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threadedComments/threadedComment1.xml" ContentType="application/vnd.ms-excel.threadedcomments+xml"/>
  <Override PartName="/xl/drawings/drawing6.xml" ContentType="application/vnd.openxmlformats-officedocument.drawing+xml"/>
  <Override PartName="/xl/comments5.xml" ContentType="application/vnd.openxmlformats-officedocument.spreadsheetml.comments+xml"/>
  <Override PartName="/xl/threadedComments/threadedComment2.xml" ContentType="application/vnd.ms-excel.threaded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threadedComments/threadedComment3.xml" ContentType="application/vnd.ms-excel.threaded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threadedComments/threadedComment4.xml" ContentType="application/vnd.ms-excel.threaded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xr:revisionPtr revIDLastSave="0" documentId="13_ncr:1_{89CAF9C8-4E43-4A04-8896-EF790207AB90}" xr6:coauthVersionLast="47" xr6:coauthVersionMax="47" xr10:uidLastSave="{00000000-0000-0000-0000-000000000000}"/>
  <bookViews>
    <workbookView xWindow="-110" yWindow="-110" windowWidth="22780" windowHeight="14660" xr2:uid="{076A3D7A-9303-4C9E-B94B-CD8193856273}"/>
  </bookViews>
  <sheets>
    <sheet name="ReadME" sheetId="14" r:id="rId1"/>
    <sheet name="Deemed Savings Tbl Revision Log" sheetId="1" r:id="rId2"/>
    <sheet name="Lighting Deemed Table" sheetId="3" r:id="rId3"/>
    <sheet name="Efficient Products Deemed Table" sheetId="16" r:id="rId4"/>
    <sheet name="Energy Effic. Kits Deemed Table" sheetId="5" r:id="rId5"/>
    <sheet name="HVAC Deemed Table" sheetId="6" r:id="rId6"/>
    <sheet name="Income Eligible Deemed Table" sheetId="7" r:id="rId7"/>
    <sheet name="Home Energy Report Deemed Table" sheetId="8" r:id="rId8"/>
    <sheet name="MFMR Deemed Table " sheetId="9" r:id="rId9"/>
    <sheet name="Appliance Recycle Deemed Table" sheetId="10" r:id="rId10"/>
    <sheet name="Demand Response Deemed Table" sheetId="11" r:id="rId11"/>
    <sheet name="BUS Deemed Savings Table" sheetId="2" r:id="rId12"/>
    <sheet name=" Measure INDEX" sheetId="15" r:id="rId13"/>
    <sheet name="Avoided Cost Benefits" sheetId="13" r:id="rId14"/>
    <sheet name="CP FACTORS" sheetId="12" r:id="rId15"/>
    <sheet name="index check" sheetId="20" state="hidden" r:id="rId16"/>
    <sheet name="2020_02_Updates_CleanUp_Items" sheetId="19" state="hidden" r:id="rId17"/>
  </sheets>
  <definedNames>
    <definedName name="_xlnm._FilterDatabase" localSheetId="12" hidden="1">' Measure INDEX'!$A$8:$AV$797</definedName>
    <definedName name="_xlnm._FilterDatabase" localSheetId="13" hidden="1">'Avoided Cost Benefits'!$A$3:$G$859</definedName>
    <definedName name="_xlnm._FilterDatabase" localSheetId="11" hidden="1">'BUS Deemed Savings Table'!$A$8:$DJ$878</definedName>
    <definedName name="_xlnm._FilterDatabase" localSheetId="5" hidden="1">'HVAC Deemed Table'!$A$1939:$BH$4450</definedName>
    <definedName name="_xlnm._FilterDatabase" localSheetId="15" hidden="1">'index check'!$A$1:$L$662</definedName>
    <definedName name="_ftn1" localSheetId="11">'BUS Deemed Savings Table'!$H$882</definedName>
    <definedName name="_ftn1" localSheetId="3">'Efficient Products Deemed Table'!$C$298</definedName>
    <definedName name="_ftn10" localSheetId="11">'BUS Deemed Savings Table'!$H$891</definedName>
    <definedName name="_ftn11" localSheetId="11">'BUS Deemed Savings Table'!$H$892</definedName>
    <definedName name="_ftn12" localSheetId="11">'BUS Deemed Savings Table'!$H$893</definedName>
    <definedName name="_ftn2" localSheetId="11">'BUS Deemed Savings Table'!$H$883</definedName>
    <definedName name="_ftn2" localSheetId="3">'Efficient Products Deemed Table'!$C$299</definedName>
    <definedName name="_ftn3" localSheetId="11">'BUS Deemed Savings Table'!$H$884</definedName>
    <definedName name="_ftn4" localSheetId="11">'BUS Deemed Savings Table'!$H$885</definedName>
    <definedName name="_ftn5" localSheetId="11">'BUS Deemed Savings Table'!$H$886</definedName>
    <definedName name="_ftn6" localSheetId="11">'BUS Deemed Savings Table'!$H$887</definedName>
    <definedName name="_ftn7" localSheetId="11">'BUS Deemed Savings Table'!$H$888</definedName>
    <definedName name="_ftn8" localSheetId="11">'BUS Deemed Savings Table'!$H$889</definedName>
    <definedName name="_ftn9" localSheetId="11">'BUS Deemed Savings Table'!$H$890</definedName>
    <definedName name="_ftnref1" localSheetId="11">'BUS Deemed Savings Table'!$H$411</definedName>
    <definedName name="_ftnref1" localSheetId="3">'Efficient Products Deemed Table'!$D$287</definedName>
    <definedName name="_ftnref10" localSheetId="11">'BUS Deemed Savings Table'!$K$735</definedName>
    <definedName name="_ftnref11" localSheetId="11">'BUS Deemed Savings Table'!$H$825</definedName>
    <definedName name="_ftnref12" localSheetId="11">'BUS Deemed Savings Table'!#REF!</definedName>
    <definedName name="_ftnref2" localSheetId="3">'Efficient Products Deemed Table'!$C$295</definedName>
    <definedName name="_ftnref3" localSheetId="11">'BUS Deemed Savings Table'!$J$417</definedName>
    <definedName name="_ftnref4" localSheetId="11">'BUS Deemed Savings Table'!$H$426</definedName>
    <definedName name="_ftnref5" localSheetId="11">'BUS Deemed Savings Table'!$H$441</definedName>
    <definedName name="_ftnref6" localSheetId="11">'BUS Deemed Savings Table'!$K$478</definedName>
    <definedName name="_ftnref7" localSheetId="11">'BUS Deemed Savings Table'!$I$573</definedName>
    <definedName name="_ftnref8" localSheetId="11">'BUS Deemed Savings Table'!#REF!</definedName>
    <definedName name="_ftnref9" localSheetId="11">'BUS Deemed Savings Table'!$H$706</definedName>
    <definedName name="_Key1" hidden="1">#REF!</definedName>
    <definedName name="_key2" hidden="1">#REF!</definedName>
    <definedName name="_Order1" hidden="1">255</definedName>
    <definedName name="_Sort" hidden="1">#REF!</definedName>
    <definedName name="_Toc477945843" localSheetId="11">'BUS Deemed Savings Table'!$H$392</definedName>
    <definedName name="abase" localSheetId="1">#REF!</definedName>
    <definedName name="abase" localSheetId="10">#REF!</definedName>
    <definedName name="abase">#REF!</definedName>
    <definedName name="APPK_profile" localSheetId="1">#REF!</definedName>
    <definedName name="APPK_profile" localSheetId="10">#REF!</definedName>
    <definedName name="APPK_profile">#REF!</definedName>
    <definedName name="APPK_profilekW" localSheetId="1">#REF!</definedName>
    <definedName name="APPK_profilekW" localSheetId="10">#REF!</definedName>
    <definedName name="APPK_profilekW">#REF!</definedName>
    <definedName name="AVGcool" localSheetId="1">#REF!</definedName>
    <definedName name="AVGcool" localSheetId="10">#REF!</definedName>
    <definedName name="AVGcool">#REF!</definedName>
    <definedName name="AVGheat" localSheetId="1">#REF!</definedName>
    <definedName name="AVGheat" localSheetId="10">#REF!</definedName>
    <definedName name="AVGheat">#REF!</definedName>
    <definedName name="AvoidedCost" localSheetId="1">#REF!</definedName>
    <definedName name="AvoidedCost" localSheetId="10">#REF!</definedName>
    <definedName name="AvoidedCost">#REF!</definedName>
    <definedName name="awrap" localSheetId="1">#REF!</definedName>
    <definedName name="awrap" localSheetId="10">#REF!</definedName>
    <definedName name="awrap">#REF!</definedName>
    <definedName name="CF" localSheetId="1">#REF!</definedName>
    <definedName name="CF" localSheetId="10">#REF!</definedName>
    <definedName name="CF">#REF!</definedName>
    <definedName name="CFlighting" localSheetId="1">#REF!</definedName>
    <definedName name="CFlighting" localSheetId="10">#REF!</definedName>
    <definedName name="CFlighting">#REF!</definedName>
    <definedName name="Changing_Cell" localSheetId="1">#REF!</definedName>
    <definedName name="Changing_Cell" localSheetId="10">#REF!</definedName>
    <definedName name="Changing_Cell">#REF!</definedName>
    <definedName name="chart_title" localSheetId="1">#REF!</definedName>
    <definedName name="chart_title" localSheetId="10">#REF!</definedName>
    <definedName name="chart_title">#REF!</definedName>
    <definedName name="ConF" localSheetId="1">#REF!</definedName>
    <definedName name="ConF" localSheetId="10">#REF!</definedName>
    <definedName name="ConF">#REF!</definedName>
    <definedName name="coupon_fr">#REF!</definedName>
    <definedName name="Coupon_ISR">#REF!</definedName>
    <definedName name="Coupon_LKG">#REF!</definedName>
    <definedName name="coupon_me">#REF!</definedName>
    <definedName name="coupon_ntg">#REF!</definedName>
    <definedName name="coupon_so">#REF!</definedName>
    <definedName name="Cp" localSheetId="1">#REF!</definedName>
    <definedName name="Cp" localSheetId="10">#REF!</definedName>
    <definedName name="Cp">#REF!</definedName>
    <definedName name="DAYS" localSheetId="1">#REF!</definedName>
    <definedName name="DAYS" localSheetId="10">#REF!</definedName>
    <definedName name="DAYS">#REF!</definedName>
    <definedName name="DeltaGPM" localSheetId="1">#REF!</definedName>
    <definedName name="DeltaGPM" localSheetId="10">#REF!</definedName>
    <definedName name="DeltaGPM">#REF!</definedName>
    <definedName name="deltaT" localSheetId="1">#REF!</definedName>
    <definedName name="deltaT" localSheetId="10">#REF!</definedName>
    <definedName name="deltaT">#REF!</definedName>
    <definedName name="den" localSheetId="1">#REF!</definedName>
    <definedName name="den" localSheetId="10">#REF!</definedName>
    <definedName name="den">#REF!</definedName>
    <definedName name="DesignDetails" localSheetId="1">#REF!</definedName>
    <definedName name="DesignDetails" localSheetId="10">#REF!</definedName>
    <definedName name="DesignDetails">#REF!</definedName>
    <definedName name="Diameter" localSheetId="1">#REF!</definedName>
    <definedName name="Diameter" localSheetId="10">#REF!</definedName>
    <definedName name="Diameter">#REF!</definedName>
    <definedName name="ductRESULTS" localSheetId="1">#REF!</definedName>
    <definedName name="ductRESULTS" localSheetId="10">#REF!</definedName>
    <definedName name="ductRESULTS">#REF!</definedName>
    <definedName name="EDR" localSheetId="1">#REF!</definedName>
    <definedName name="EDR" localSheetId="10">#REF!</definedName>
    <definedName name="EDR">#REF!</definedName>
    <definedName name="EERafter" localSheetId="1">#REF!</definedName>
    <definedName name="EERafter" localSheetId="10">#REF!</definedName>
    <definedName name="EERafter">#REF!</definedName>
    <definedName name="EERBefore" localSheetId="1">#REF!</definedName>
    <definedName name="EERBefore" localSheetId="10">#REF!</definedName>
    <definedName name="EERBefore">#REF!</definedName>
    <definedName name="EFbase" localSheetId="1">#REF!</definedName>
    <definedName name="EFbase" localSheetId="10">#REF!</definedName>
    <definedName name="EFbase">#REF!</definedName>
    <definedName name="EndRef" localSheetId="1">#REF!</definedName>
    <definedName name="EndRef" localSheetId="10">#REF!</definedName>
    <definedName name="EndRef">#REF!</definedName>
    <definedName name="Endrow" localSheetId="1">#REF!</definedName>
    <definedName name="Endrow" localSheetId="10">#REF!</definedName>
    <definedName name="Endrow">#REF!</definedName>
    <definedName name="ESFcool" localSheetId="1">#REF!</definedName>
    <definedName name="ESFcool" localSheetId="10">#REF!</definedName>
    <definedName name="ESFcool">#REF!</definedName>
    <definedName name="ESFheat" localSheetId="1">#REF!</definedName>
    <definedName name="ESFheat" localSheetId="10">#REF!</definedName>
    <definedName name="ESFheat">#REF!</definedName>
    <definedName name="EUEx" localSheetId="1">#REF!</definedName>
    <definedName name="EUEx" localSheetId="10">#REF!</definedName>
    <definedName name="EUEx">#REF!</definedName>
    <definedName name="EUNew" localSheetId="1">#REF!</definedName>
    <definedName name="EUNew" localSheetId="10">#REF!</definedName>
    <definedName name="EUNew">#REF!</definedName>
    <definedName name="FAdays" localSheetId="1">#REF!</definedName>
    <definedName name="FAdays" localSheetId="10">#REF!</definedName>
    <definedName name="FAdays">#REF!</definedName>
    <definedName name="FAdeltaGPM" localSheetId="1">#REF!</definedName>
    <definedName name="FAdeltaGPM" localSheetId="10">#REF!</definedName>
    <definedName name="FAdeltaGPM">#REF!</definedName>
    <definedName name="FauCp" localSheetId="1">#REF!</definedName>
    <definedName name="FauCp" localSheetId="10">#REF!</definedName>
    <definedName name="FauCp">#REF!</definedName>
    <definedName name="FaucTime" localSheetId="1">#REF!</definedName>
    <definedName name="FaucTime" localSheetId="10">#REF!</definedName>
    <definedName name="FaucTime">#REF!</definedName>
    <definedName name="FauDen" localSheetId="1">#REF!</definedName>
    <definedName name="FauDen" localSheetId="10">#REF!</definedName>
    <definedName name="FauDen">#REF!</definedName>
    <definedName name="FauRE" localSheetId="1">#REF!</definedName>
    <definedName name="FauRE" localSheetId="10">#REF!</definedName>
    <definedName name="FauRE">#REF!</definedName>
    <definedName name="FauTin" localSheetId="1">#REF!</definedName>
    <definedName name="FauTin" localSheetId="10">#REF!</definedName>
    <definedName name="FauTin">#REF!</definedName>
    <definedName name="HCIFd" localSheetId="1">#REF!</definedName>
    <definedName name="HCIFd" localSheetId="10">#REF!</definedName>
    <definedName name="HCIFd">#REF!</definedName>
    <definedName name="HCIFe" localSheetId="1">#REF!</definedName>
    <definedName name="HCIFe" localSheetId="10">#REF!</definedName>
    <definedName name="HCIFe">#REF!</definedName>
    <definedName name="HDD" localSheetId="1">#REF!</definedName>
    <definedName name="HDD" localSheetId="10">#REF!</definedName>
    <definedName name="HDD">#REF!</definedName>
    <definedName name="Height" localSheetId="1">#REF!</definedName>
    <definedName name="Height" localSheetId="10">#REF!</definedName>
    <definedName name="Height">#REF!</definedName>
    <definedName name="HOURRES" localSheetId="1">#REF!</definedName>
    <definedName name="HOURRES" localSheetId="10">#REF!</definedName>
    <definedName name="HOURRES">#REF!</definedName>
    <definedName name="HOURSNRES" localSheetId="1">#REF!</definedName>
    <definedName name="HOURSNRES" localSheetId="10">#REF!</definedName>
    <definedName name="HOURSNRES">#REF!</definedName>
    <definedName name="HP" localSheetId="1">#REF!</definedName>
    <definedName name="HP" localSheetId="10">#REF!</definedName>
    <definedName name="HP">#REF!</definedName>
    <definedName name="HPfive" localSheetId="1">#REF!</definedName>
    <definedName name="HPfive" localSheetId="10">#REF!</definedName>
    <definedName name="HPfive">#REF!</definedName>
    <definedName name="HPfour" localSheetId="1">#REF!</definedName>
    <definedName name="HPfour" localSheetId="10">#REF!</definedName>
    <definedName name="HPfour">#REF!</definedName>
    <definedName name="HPfpur" localSheetId="1">#REF!</definedName>
    <definedName name="HPfpur" localSheetId="10">#REF!</definedName>
    <definedName name="HPfpur">#REF!</definedName>
    <definedName name="HPsix" localSheetId="1">#REF!</definedName>
    <definedName name="HPsix" localSheetId="10">#REF!</definedName>
    <definedName name="HPsix">#REF!</definedName>
    <definedName name="HPthree" localSheetId="1">#REF!</definedName>
    <definedName name="HPthree" localSheetId="10">#REF!</definedName>
    <definedName name="HPthree">#REF!</definedName>
    <definedName name="HPtwo" localSheetId="1">#REF!</definedName>
    <definedName name="HPtwo" localSheetId="10">#REF!</definedName>
    <definedName name="HPtwo">#REF!</definedName>
    <definedName name="ISR" localSheetId="1">#REF!</definedName>
    <definedName name="ISR" localSheetId="10">#REF!</definedName>
    <definedName name="ISR">#REF!</definedName>
    <definedName name="L" localSheetId="1">#REF!</definedName>
    <definedName name="L" localSheetId="10">#REF!</definedName>
    <definedName name="L">#REF!</definedName>
    <definedName name="Ldays" localSheetId="1">#REF!</definedName>
    <definedName name="Ldays" localSheetId="10">#REF!</definedName>
    <definedName name="Ldays">#REF!</definedName>
    <definedName name="LHours" localSheetId="1">#REF!</definedName>
    <definedName name="LHours" localSheetId="10">#REF!</definedName>
    <definedName name="LHours">#REF!</definedName>
    <definedName name="LKG" localSheetId="1">#REF!</definedName>
    <definedName name="LKG" localSheetId="10">#REF!</definedName>
    <definedName name="LKG">#REF!</definedName>
    <definedName name="LWHF" localSheetId="1">#REF!</definedName>
    <definedName name="LWHF" localSheetId="10">#REF!</definedName>
    <definedName name="LWHF">#REF!</definedName>
    <definedName name="markdown_fr">#REF!</definedName>
    <definedName name="Markdown_ISR">#REF!</definedName>
    <definedName name="Markdown_LKG">#REF!</definedName>
    <definedName name="markdown_me">#REF!</definedName>
    <definedName name="markdown_ntg">#REF!</definedName>
    <definedName name="markdown_so">#REF!</definedName>
    <definedName name="MM_BldgType" localSheetId="1">#REF!</definedName>
    <definedName name="MM_BldgType" localSheetId="10">#REF!</definedName>
    <definedName name="MM_BldgType">#REF!</definedName>
    <definedName name="MM_CompAirList" localSheetId="1">#REF!</definedName>
    <definedName name="MM_CompAirList" localSheetId="10">#REF!</definedName>
    <definedName name="MM_CompAirList">#REF!</definedName>
    <definedName name="MM_EMSList" localSheetId="1">#REF!</definedName>
    <definedName name="MM_EMSList" localSheetId="10">#REF!</definedName>
    <definedName name="MM_EMSList">#REF!</definedName>
    <definedName name="MM_EndUseList" localSheetId="1">#REF!</definedName>
    <definedName name="MM_EndUseList" localSheetId="10">#REF!</definedName>
    <definedName name="MM_EndUseList">#REF!</definedName>
    <definedName name="MM_EnvList" localSheetId="1">#REF!</definedName>
    <definedName name="MM_EnvList" localSheetId="10">#REF!</definedName>
    <definedName name="MM_EnvList">#REF!</definedName>
    <definedName name="MM_FoodServList" localSheetId="1">#REF!</definedName>
    <definedName name="MM_FoodServList" localSheetId="10">#REF!</definedName>
    <definedName name="MM_FoodServList">#REF!</definedName>
    <definedName name="MM_FuelList" localSheetId="1">#REF!</definedName>
    <definedName name="MM_FuelList" localSheetId="10">#REF!</definedName>
    <definedName name="MM_FuelList">#REF!</definedName>
    <definedName name="MM_HVACList" localSheetId="1">#REF!</definedName>
    <definedName name="MM_HVACList" localSheetId="10">#REF!</definedName>
    <definedName name="MM_HVACList">#REF!</definedName>
    <definedName name="MM_IncentChangeList" localSheetId="1">#REF!</definedName>
    <definedName name="MM_IncentChangeList" localSheetId="10">#REF!</definedName>
    <definedName name="MM_IncentChangeList">#REF!</definedName>
    <definedName name="MM_IncentiveDistribution" localSheetId="1">#REF!</definedName>
    <definedName name="MM_IncentiveDistribution" localSheetId="10">#REF!</definedName>
    <definedName name="MM_IncentiveDistribution">#REF!</definedName>
    <definedName name="MM_IncentList" localSheetId="1">#REF!</definedName>
    <definedName name="MM_IncentList" localSheetId="10">#REF!</definedName>
    <definedName name="MM_IncentList">#REF!</definedName>
    <definedName name="MM_LaudryList" localSheetId="1">#REF!</definedName>
    <definedName name="MM_LaudryList" localSheetId="10">#REF!</definedName>
    <definedName name="MM_LaudryList">#REF!</definedName>
    <definedName name="MM_LgtList" localSheetId="1">#REF!</definedName>
    <definedName name="MM_LgtList" localSheetId="10">#REF!</definedName>
    <definedName name="MM_LgtList">#REF!</definedName>
    <definedName name="MM_OtherList" localSheetId="1">#REF!</definedName>
    <definedName name="MM_OtherList" localSheetId="10">#REF!</definedName>
    <definedName name="MM_OtherList">#REF!</definedName>
    <definedName name="MM_ProcessList" localSheetId="1">#REF!</definedName>
    <definedName name="MM_ProcessList" localSheetId="10">#REF!</definedName>
    <definedName name="MM_ProcessList">#REF!</definedName>
    <definedName name="MM_ProgTypeList" localSheetId="1">#REF!</definedName>
    <definedName name="MM_ProgTypeList" localSheetId="10">#REF!</definedName>
    <definedName name="MM_ProgTypeList">#REF!</definedName>
    <definedName name="MM_RefList" localSheetId="1">#REF!</definedName>
    <definedName name="MM_RefList" localSheetId="10">#REF!</definedName>
    <definedName name="MM_RefList">#REF!</definedName>
    <definedName name="MM_ReplacementType" localSheetId="1">#REF!</definedName>
    <definedName name="MM_ReplacementType" localSheetId="10">#REF!</definedName>
    <definedName name="MM_ReplacementType">#REF!</definedName>
    <definedName name="MM_SysTypeList" localSheetId="1">#REF!</definedName>
    <definedName name="MM_SysTypeList" localSheetId="10">#REF!</definedName>
    <definedName name="MM_SysTypeList">#REF!</definedName>
    <definedName name="MM_TRMList" localSheetId="1">#REF!</definedName>
    <definedName name="MM_TRMList" localSheetId="10">#REF!</definedName>
    <definedName name="MM_TRMList">#REF!</definedName>
    <definedName name="MM_WHList" localSheetId="1">#REF!</definedName>
    <definedName name="MM_WHList" localSheetId="10">#REF!</definedName>
    <definedName name="MM_WHList">#REF!</definedName>
    <definedName name="MM_YesNoList" localSheetId="1">#REF!</definedName>
    <definedName name="MM_YesNoList" localSheetId="10">#REF!</definedName>
    <definedName name="MM_YesNoList">#REF!</definedName>
    <definedName name="Month" localSheetId="1">#REF!</definedName>
    <definedName name="Month" localSheetId="10">#REF!</definedName>
    <definedName name="Month">#REF!</definedName>
    <definedName name="NoFauc" localSheetId="1">#REF!</definedName>
    <definedName name="NoFauc" localSheetId="10">#REF!</definedName>
    <definedName name="NoFauc">#REF!</definedName>
    <definedName name="NonIncent_Elec" localSheetId="1">#REF!</definedName>
    <definedName name="NonIncent_Elec" localSheetId="10">#REF!</definedName>
    <definedName name="NonIncent_Elec">#REF!</definedName>
    <definedName name="NonIncent_Gas" localSheetId="1">#REF!</definedName>
    <definedName name="NonIncent_Gas" localSheetId="10">#REF!</definedName>
    <definedName name="NonIncent_Gas">#REF!</definedName>
    <definedName name="NoPpl">#REF!</definedName>
    <definedName name="P" localSheetId="1">#REF!</definedName>
    <definedName name="P" localSheetId="10">#REF!</definedName>
    <definedName name="P">#REF!</definedName>
    <definedName name="PerDays" localSheetId="1">#REF!</definedName>
    <definedName name="PerDays" localSheetId="10">#REF!</definedName>
    <definedName name="PerDays">#REF!</definedName>
    <definedName name="PonBase" localSheetId="1">#REF!</definedName>
    <definedName name="PonBase" localSheetId="10">#REF!</definedName>
    <definedName name="PonBase">#REF!</definedName>
    <definedName name="_xlnm.Print_Area" localSheetId="9">'Appliance Recycle Deemed Table'!$A$1:$AI$75</definedName>
    <definedName name="_xlnm.Print_Area" localSheetId="11">'BUS Deemed Savings Table'!$A$1:$DN$885</definedName>
    <definedName name="_xlnm.Print_Area" localSheetId="1">'Deemed Savings Tbl Revision Log'!$B$1:$H$39</definedName>
    <definedName name="_xlnm.Print_Area" localSheetId="10">'Demand Response Deemed Table'!$A$1:$R$15</definedName>
    <definedName name="_xlnm.Print_Area" localSheetId="3">'Efficient Products Deemed Table'!$A$1:$AU$331</definedName>
    <definedName name="_xlnm.Print_Area" localSheetId="4">'Energy Effic. Kits Deemed Table'!$A$1:$BR$348</definedName>
    <definedName name="_xlnm.Print_Area" localSheetId="7">'Home Energy Report Deemed Table'!$A$1:$BE$16</definedName>
    <definedName name="_xlnm.Print_Area" localSheetId="5">'HVAC Deemed Table'!$A$1:$AK$4451</definedName>
    <definedName name="_xlnm.Print_Area" localSheetId="6">'Income Eligible Deemed Table'!$A$1:$BQ$1339</definedName>
    <definedName name="_xlnm.Print_Area" localSheetId="2">'Lighting Deemed Table'!$A$1:$BH$119</definedName>
    <definedName name="_xlnm.Print_Area" localSheetId="8">'MFMR Deemed Table '!$A$1:$BF$620</definedName>
    <definedName name="_xlnm.Print_Titles" localSheetId="9">'Appliance Recycle Deemed Table'!$1:$1</definedName>
    <definedName name="_xlnm.Print_Titles" localSheetId="11">'BUS Deemed Savings Table'!$3:$5</definedName>
    <definedName name="_xlnm.Print_Titles" localSheetId="10">'Demand Response Deemed Table'!$1:$1</definedName>
    <definedName name="_xlnm.Print_Titles" localSheetId="3">'Efficient Products Deemed Table'!$1:$1</definedName>
    <definedName name="_xlnm.Print_Titles" localSheetId="4">'Energy Effic. Kits Deemed Table'!$1:$1</definedName>
    <definedName name="_xlnm.Print_Titles" localSheetId="7">'Home Energy Report Deemed Table'!$1:$1</definedName>
    <definedName name="_xlnm.Print_Titles" localSheetId="5">'HVAC Deemed Table'!$1:$1</definedName>
    <definedName name="_xlnm.Print_Titles" localSheetId="6">'Income Eligible Deemed Table'!$1:$1</definedName>
    <definedName name="_xlnm.Print_Titles" localSheetId="2">'Lighting Deemed Table'!$1:$1</definedName>
    <definedName name="_xlnm.Print_Titles" localSheetId="8">'MFMR Deemed Table '!$1:$1</definedName>
    <definedName name="PusePer" localSheetId="1">#REF!</definedName>
    <definedName name="PusePer" localSheetId="10">#REF!</definedName>
    <definedName name="PusePer">#REF!</definedName>
    <definedName name="qout" localSheetId="1">#REF!</definedName>
    <definedName name="qout" localSheetId="10">#REF!</definedName>
    <definedName name="qout">#REF!</definedName>
    <definedName name="Rair" localSheetId="1">#REF!</definedName>
    <definedName name="Rair" localSheetId="10">#REF!</definedName>
    <definedName name="Rair">#REF!</definedName>
    <definedName name="Rduct" localSheetId="1">#REF!</definedName>
    <definedName name="Rduct" localSheetId="10">#REF!</definedName>
    <definedName name="Rduct">#REF!</definedName>
    <definedName name="RE" localSheetId="1">#REF!</definedName>
    <definedName name="RE" localSheetId="10">#REF!</definedName>
    <definedName name="RE">#REF!</definedName>
    <definedName name="REbase" localSheetId="1">#REF!</definedName>
    <definedName name="REbase" localSheetId="10">#REF!</definedName>
    <definedName name="REbase">#REF!</definedName>
    <definedName name="RESPCT" localSheetId="1">#REF!</definedName>
    <definedName name="RESPCT" localSheetId="10">#REF!</definedName>
    <definedName name="RESPCT">#REF!</definedName>
    <definedName name="Rexist" localSheetId="1">#REF!</definedName>
    <definedName name="Rexist" localSheetId="10">#REF!</definedName>
    <definedName name="Rexist">#REF!</definedName>
    <definedName name="Rnew" localSheetId="1">#REF!</definedName>
    <definedName name="Rnew" localSheetId="10">#REF!</definedName>
    <definedName name="Rnew">#REF!</definedName>
    <definedName name="Rwrap" localSheetId="1">#REF!</definedName>
    <definedName name="Rwrap" localSheetId="10">#REF!</definedName>
    <definedName name="Rwrap">#REF!</definedName>
    <definedName name="SEER" localSheetId="1">#REF!</definedName>
    <definedName name="SEER" localSheetId="10">#REF!</definedName>
    <definedName name="SEER">#REF!</definedName>
    <definedName name="Set_Cell" localSheetId="1">#REF!</definedName>
    <definedName name="Set_Cell" localSheetId="10">#REF!</definedName>
    <definedName name="Set_Cell">#REF!</definedName>
    <definedName name="SHCp" localSheetId="1">#REF!</definedName>
    <definedName name="SHCp" localSheetId="10">#REF!</definedName>
    <definedName name="SHCp">#REF!</definedName>
    <definedName name="SHdays" localSheetId="1">#REF!</definedName>
    <definedName name="SHdays" localSheetId="10">#REF!</definedName>
    <definedName name="SHdays">#REF!</definedName>
    <definedName name="SHDen" localSheetId="1">#REF!</definedName>
    <definedName name="SHDen" localSheetId="10">#REF!</definedName>
    <definedName name="SHDen">#REF!</definedName>
    <definedName name="Showerheads" localSheetId="1">#REF!</definedName>
    <definedName name="Showerheads" localSheetId="10">#REF!</definedName>
    <definedName name="Showerheads">#REF!</definedName>
    <definedName name="SHRE" localSheetId="1">#REF!</definedName>
    <definedName name="SHRE" localSheetId="10">#REF!</definedName>
    <definedName name="SHRE">#REF!</definedName>
    <definedName name="SHtime" localSheetId="1">#REF!</definedName>
    <definedName name="SHtime" localSheetId="10">#REF!</definedName>
    <definedName name="SHtime">#REF!</definedName>
    <definedName name="SHTin" localSheetId="1">#REF!</definedName>
    <definedName name="SHTin" localSheetId="10">#REF!</definedName>
    <definedName name="SHTin">#REF!</definedName>
    <definedName name="smd_fr">#REF!</definedName>
    <definedName name="SMD_ISR">#REF!</definedName>
    <definedName name="SMD_LKG">#REF!</definedName>
    <definedName name="smd_me">#REF!</definedName>
    <definedName name="smd_ntg">#REF!</definedName>
    <definedName name="smd_so">#REF!</definedName>
    <definedName name="solver_eng" localSheetId="11" hidden="1">1</definedName>
    <definedName name="solver_neg" localSheetId="11" hidden="1">1</definedName>
    <definedName name="solver_num" localSheetId="11" hidden="1">0</definedName>
    <definedName name="solver_opt" localSheetId="11" hidden="1">'BUS Deemed Savings Table'!$F$444</definedName>
    <definedName name="solver_typ" localSheetId="11" hidden="1">3</definedName>
    <definedName name="solver_val" localSheetId="11" hidden="1">411</definedName>
    <definedName name="solver_ver" localSheetId="11" hidden="1">3</definedName>
    <definedName name="Tamb" localSheetId="1">#REF!</definedName>
    <definedName name="Tamb" localSheetId="10">#REF!</definedName>
    <definedName name="Tamb">#REF!</definedName>
    <definedName name="TFauc" localSheetId="1">#REF!</definedName>
    <definedName name="TFauc" localSheetId="10">#REF!</definedName>
    <definedName name="TFauc">#REF!</definedName>
    <definedName name="Tin" localSheetId="1">#REF!</definedName>
    <definedName name="Tin" localSheetId="10">#REF!</definedName>
    <definedName name="Tin">#REF!</definedName>
    <definedName name="Tshower" localSheetId="1">#REF!</definedName>
    <definedName name="Tshower" localSheetId="10">#REF!</definedName>
    <definedName name="Tshower">#REF!</definedName>
    <definedName name="TTank" localSheetId="1">#REF!</definedName>
    <definedName name="TTank" localSheetId="10">#REF!</definedName>
    <definedName name="TTank">#REF!</definedName>
    <definedName name="TuneEFLHcool" localSheetId="1">#REF!</definedName>
    <definedName name="TuneEFLHcool" localSheetId="10">#REF!</definedName>
    <definedName name="TuneEFLHcool">#REF!</definedName>
    <definedName name="UABase" localSheetId="1">#REF!</definedName>
    <definedName name="UABase" localSheetId="10">#REF!</definedName>
    <definedName name="UABase">#REF!</definedName>
    <definedName name="ubase" localSheetId="1">#REF!</definedName>
    <definedName name="ubase" localSheetId="10">#REF!</definedName>
    <definedName name="ubase">#REF!</definedName>
    <definedName name="UnitTons" localSheetId="1">#REF!</definedName>
    <definedName name="UnitTons" localSheetId="10">#REF!</definedName>
    <definedName name="UnitTons">#REF!</definedName>
    <definedName name="usage" localSheetId="1">#REF!</definedName>
    <definedName name="usage" localSheetId="10">#REF!</definedName>
    <definedName name="usage">#REF!</definedName>
    <definedName name="Va" localSheetId="1">#REF!</definedName>
    <definedName name="Va" localSheetId="10">#REF!</definedName>
    <definedName name="Va">#REF!</definedName>
    <definedName name="Vs" localSheetId="1">#REF!</definedName>
    <definedName name="Vs" localSheetId="10">#REF!</definedName>
    <definedName name="Vs">#REF!</definedName>
    <definedName name="WB_10.5W" localSheetId="1">#REF!</definedName>
    <definedName name="WB_10.5W" localSheetId="10">#REF!</definedName>
    <definedName name="WB_10.5W">#REF!</definedName>
    <definedName name="WB_10W" localSheetId="1">#REF!</definedName>
    <definedName name="WB_10W" localSheetId="10">#REF!</definedName>
    <definedName name="WB_10W">#REF!</definedName>
    <definedName name="WB_12W" localSheetId="1">#REF!</definedName>
    <definedName name="WB_12W" localSheetId="10">#REF!</definedName>
    <definedName name="WB_12W">#REF!</definedName>
    <definedName name="WB_15W" localSheetId="1">#REF!</definedName>
    <definedName name="WB_15W" localSheetId="10">#REF!</definedName>
    <definedName name="WB_15W">#REF!</definedName>
    <definedName name="WB_15WFlood" localSheetId="1">#REF!</definedName>
    <definedName name="WB_15WFlood" localSheetId="10">#REF!</definedName>
    <definedName name="WB_15WFlood">#REF!</definedName>
    <definedName name="WB_18WFlood" localSheetId="1">#REF!</definedName>
    <definedName name="WB_18WFlood" localSheetId="10">#REF!</definedName>
    <definedName name="WB_18WFlood">#REF!</definedName>
    <definedName name="WB_20W" localSheetId="1">#REF!</definedName>
    <definedName name="WB_20W" localSheetId="10">#REF!</definedName>
    <definedName name="WB_20W">#REF!</definedName>
    <definedName name="WB_4W" localSheetId="1">#REF!</definedName>
    <definedName name="WB_4W" localSheetId="10">#REF!</definedName>
    <definedName name="WB_4W">#REF!</definedName>
    <definedName name="WB_8W" localSheetId="1">#REF!</definedName>
    <definedName name="WB_8W" localSheetId="10">#REF!</definedName>
    <definedName name="WB_8W">#REF!</definedName>
    <definedName name="Wcfl13" localSheetId="1">#REF!</definedName>
    <definedName name="Wcfl13" localSheetId="10">#REF!</definedName>
    <definedName name="Wcfl13">#REF!</definedName>
    <definedName name="Wcfl18" localSheetId="1">#REF!</definedName>
    <definedName name="Wcfl18" localSheetId="10">#REF!</definedName>
    <definedName name="Wcfl18">#REF!</definedName>
    <definedName name="Wcfl23" localSheetId="1">#REF!</definedName>
    <definedName name="Wcfl23" localSheetId="10">#REF!</definedName>
    <definedName name="Wcfl23">#REF!</definedName>
    <definedName name="WE_10.5W" localSheetId="1">#REF!</definedName>
    <definedName name="WE_10.5W" localSheetId="10">#REF!</definedName>
    <definedName name="WE_10.5W">#REF!</definedName>
    <definedName name="WE_10W" localSheetId="1">#REF!</definedName>
    <definedName name="WE_10W" localSheetId="10">#REF!</definedName>
    <definedName name="WE_10W">#REF!</definedName>
    <definedName name="WE_12W" localSheetId="1">#REF!</definedName>
    <definedName name="WE_12W" localSheetId="10">#REF!</definedName>
    <definedName name="WE_12W">#REF!</definedName>
    <definedName name="WE_15W" localSheetId="1">#REF!</definedName>
    <definedName name="WE_15W" localSheetId="10">#REF!</definedName>
    <definedName name="WE_15W">#REF!</definedName>
    <definedName name="WE_15WFlood" localSheetId="1">#REF!</definedName>
    <definedName name="WE_15WFlood" localSheetId="10">#REF!</definedName>
    <definedName name="WE_15WFlood">#REF!</definedName>
    <definedName name="WE_18WFlood" localSheetId="1">#REF!</definedName>
    <definedName name="WE_18WFlood" localSheetId="10">#REF!</definedName>
    <definedName name="WE_18WFlood">#REF!</definedName>
    <definedName name="WE_20W" localSheetId="1">#REF!</definedName>
    <definedName name="WE_20W" localSheetId="10">#REF!</definedName>
    <definedName name="WE_20W">#REF!</definedName>
    <definedName name="WE_4W" localSheetId="1">#REF!</definedName>
    <definedName name="WE_4W" localSheetId="10">#REF!</definedName>
    <definedName name="WE_4W">#REF!</definedName>
    <definedName name="WE_8W" localSheetId="1">#REF!</definedName>
    <definedName name="WE_8W" localSheetId="10">#REF!</definedName>
    <definedName name="WE_8W">#REF!</definedName>
    <definedName name="WHC" localSheetId="1">#REF!</definedName>
    <definedName name="WHC" localSheetId="10">#REF!</definedName>
    <definedName name="WHC">#REF!</definedName>
    <definedName name="WHFNRES" localSheetId="1">#REF!</definedName>
    <definedName name="WHFNRES" localSheetId="10">#REF!</definedName>
    <definedName name="WHFNRES">#REF!</definedName>
    <definedName name="WHFRES" localSheetId="1">#REF!</definedName>
    <definedName name="WHFRES" localSheetId="10">#REF!</definedName>
    <definedName name="WHFRES">#REF!</definedName>
    <definedName name="WHFRES_Coupon">#REF!</definedName>
    <definedName name="WHFRES_Markdown">#REF!</definedName>
    <definedName name="WHFRES_SMD">#REF!</definedName>
    <definedName name="Winc100" localSheetId="1">#REF!</definedName>
    <definedName name="Winc100" localSheetId="10">#REF!</definedName>
    <definedName name="Winc100">#REF!</definedName>
    <definedName name="Winc60" localSheetId="1">#REF!</definedName>
    <definedName name="Winc60" localSheetId="10">#REF!</definedName>
    <definedName name="Winc60">#REF!</definedName>
    <definedName name="Winc75" localSheetId="1">#REF!</definedName>
    <definedName name="Winc75" localSheetId="10">#REF!</definedName>
    <definedName name="Winc75">#REF!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574" i="6" l="1"/>
  <c r="AG4572" i="6" l="1"/>
  <c r="AF4572" i="6"/>
  <c r="AE4572" i="6"/>
  <c r="BE22" i="8"/>
  <c r="BE23" i="8"/>
  <c r="BE24" i="8"/>
  <c r="BE25" i="8"/>
  <c r="BE21" i="8"/>
  <c r="AI355" i="15"/>
  <c r="AI356" i="15" s="1"/>
  <c r="AI357" i="15" s="1"/>
  <c r="AI358" i="15" s="1"/>
  <c r="AI359" i="15" s="1"/>
  <c r="AI360" i="15" s="1"/>
  <c r="AI361" i="15" s="1"/>
  <c r="AI362" i="15" s="1"/>
  <c r="AI363" i="15" s="1"/>
  <c r="AI364" i="15" s="1"/>
  <c r="AI365" i="15" s="1"/>
  <c r="AI335" i="15"/>
  <c r="AI336" i="15"/>
  <c r="AI337" i="15"/>
  <c r="AI338" i="15" s="1"/>
  <c r="AI339" i="15" s="1"/>
  <c r="AI340" i="15" s="1"/>
  <c r="AI341" i="15" s="1"/>
  <c r="AI342" i="15" s="1"/>
  <c r="AI343" i="15" s="1"/>
  <c r="AI344" i="15" s="1"/>
  <c r="AI345" i="15" s="1"/>
  <c r="AI346" i="15" s="1"/>
  <c r="AI347" i="15" s="1"/>
  <c r="AI348" i="15" s="1"/>
  <c r="AI349" i="15" s="1"/>
  <c r="AI350" i="15" s="1"/>
  <c r="AI351" i="15" s="1"/>
  <c r="AI352" i="15" s="1"/>
  <c r="AI353" i="15" s="1"/>
  <c r="AI354" i="15" s="1"/>
  <c r="AI334" i="15"/>
  <c r="BE4552" i="6"/>
  <c r="BE4548" i="6"/>
  <c r="BE4546" i="6"/>
  <c r="BE4528" i="6"/>
  <c r="BE4524" i="6"/>
  <c r="BE4522" i="6"/>
  <c r="BE4504" i="6"/>
  <c r="BE4500" i="6"/>
  <c r="BE4498" i="6"/>
  <c r="BE4480" i="6"/>
  <c r="BE4476" i="6"/>
  <c r="BE4474" i="6"/>
  <c r="A4457" i="6"/>
  <c r="A4458" i="6"/>
  <c r="A4459" i="6"/>
  <c r="A4460" i="6"/>
  <c r="A4461" i="6"/>
  <c r="A4462" i="6"/>
  <c r="A4463" i="6"/>
  <c r="A4464" i="6"/>
  <c r="A4465" i="6"/>
  <c r="A4466" i="6"/>
  <c r="A4467" i="6"/>
  <c r="A4468" i="6"/>
  <c r="A4469" i="6"/>
  <c r="A4470" i="6"/>
  <c r="A4471" i="6"/>
  <c r="A4472" i="6"/>
  <c r="A4473" i="6"/>
  <c r="A4474" i="6"/>
  <c r="A4475" i="6"/>
  <c r="A4476" i="6"/>
  <c r="A4477" i="6"/>
  <c r="A4478" i="6"/>
  <c r="A4479" i="6"/>
  <c r="A4480" i="6"/>
  <c r="A4481" i="6"/>
  <c r="A4482" i="6"/>
  <c r="A4483" i="6"/>
  <c r="A4484" i="6"/>
  <c r="A4485" i="6"/>
  <c r="A4486" i="6"/>
  <c r="A4487" i="6"/>
  <c r="A4488" i="6"/>
  <c r="A4489" i="6"/>
  <c r="A4490" i="6"/>
  <c r="A4491" i="6"/>
  <c r="A4492" i="6"/>
  <c r="A4493" i="6"/>
  <c r="A4494" i="6"/>
  <c r="A4495" i="6"/>
  <c r="A4496" i="6"/>
  <c r="A4497" i="6"/>
  <c r="A4498" i="6"/>
  <c r="A4499" i="6"/>
  <c r="A4500" i="6"/>
  <c r="A4501" i="6"/>
  <c r="A4502" i="6"/>
  <c r="A4503" i="6"/>
  <c r="A4504" i="6"/>
  <c r="A4505" i="6"/>
  <c r="A4506" i="6"/>
  <c r="A4507" i="6"/>
  <c r="A4508" i="6"/>
  <c r="A4509" i="6"/>
  <c r="A4510" i="6"/>
  <c r="A4511" i="6"/>
  <c r="A4512" i="6"/>
  <c r="A4513" i="6"/>
  <c r="A4514" i="6"/>
  <c r="A4515" i="6"/>
  <c r="A4516" i="6"/>
  <c r="A4517" i="6"/>
  <c r="A4518" i="6"/>
  <c r="A4519" i="6"/>
  <c r="A4520" i="6"/>
  <c r="A4521" i="6"/>
  <c r="A4522" i="6"/>
  <c r="A4523" i="6"/>
  <c r="A4524" i="6"/>
  <c r="A4525" i="6"/>
  <c r="A4526" i="6"/>
  <c r="A4527" i="6"/>
  <c r="A4528" i="6"/>
  <c r="A4529" i="6"/>
  <c r="A4530" i="6"/>
  <c r="A4531" i="6"/>
  <c r="A4532" i="6"/>
  <c r="A4533" i="6"/>
  <c r="A4534" i="6"/>
  <c r="A4535" i="6"/>
  <c r="A4536" i="6"/>
  <c r="A4537" i="6"/>
  <c r="A4538" i="6"/>
  <c r="A4539" i="6"/>
  <c r="A4540" i="6"/>
  <c r="A4541" i="6"/>
  <c r="A4542" i="6"/>
  <c r="A4543" i="6"/>
  <c r="A4544" i="6"/>
  <c r="A4545" i="6"/>
  <c r="A4546" i="6"/>
  <c r="A4547" i="6"/>
  <c r="A4548" i="6"/>
  <c r="A4549" i="6"/>
  <c r="A4550" i="6"/>
  <c r="A4551" i="6"/>
  <c r="A4552" i="6"/>
  <c r="AD365" i="15"/>
  <c r="P365" i="15"/>
  <c r="J365" i="15"/>
  <c r="H365" i="15"/>
  <c r="G365" i="15"/>
  <c r="D365" i="15"/>
  <c r="C365" i="15"/>
  <c r="AM365" i="15" s="1"/>
  <c r="B365" i="15"/>
  <c r="A365" i="15" s="1"/>
  <c r="H363" i="15"/>
  <c r="G363" i="15"/>
  <c r="D363" i="15"/>
  <c r="C363" i="15"/>
  <c r="AM363" i="15" s="1"/>
  <c r="B363" i="15"/>
  <c r="A363" i="15" s="1"/>
  <c r="H362" i="15"/>
  <c r="G362" i="15"/>
  <c r="D362" i="15"/>
  <c r="C362" i="15"/>
  <c r="AM362" i="15" s="1"/>
  <c r="B362" i="15"/>
  <c r="A362" i="15" s="1"/>
  <c r="AD357" i="15"/>
  <c r="P357" i="15"/>
  <c r="J357" i="15"/>
  <c r="H357" i="15"/>
  <c r="G357" i="15"/>
  <c r="D357" i="15"/>
  <c r="C357" i="15"/>
  <c r="AM357" i="15" s="1"/>
  <c r="B357" i="15"/>
  <c r="A357" i="15" s="1"/>
  <c r="B355" i="15"/>
  <c r="A355" i="15" s="1"/>
  <c r="C355" i="15"/>
  <c r="AM355" i="15" s="1"/>
  <c r="D355" i="15"/>
  <c r="G355" i="15"/>
  <c r="H355" i="15"/>
  <c r="H354" i="15"/>
  <c r="G354" i="15"/>
  <c r="D354" i="15"/>
  <c r="C354" i="15"/>
  <c r="AM354" i="15" s="1"/>
  <c r="B354" i="15"/>
  <c r="A354" i="15" s="1"/>
  <c r="AD349" i="15"/>
  <c r="P349" i="15"/>
  <c r="J349" i="15"/>
  <c r="H349" i="15"/>
  <c r="G349" i="15"/>
  <c r="D349" i="15"/>
  <c r="C349" i="15"/>
  <c r="AM349" i="15" s="1"/>
  <c r="B349" i="15"/>
  <c r="A349" i="15" s="1"/>
  <c r="H347" i="15"/>
  <c r="G347" i="15"/>
  <c r="D347" i="15"/>
  <c r="C347" i="15"/>
  <c r="AM347" i="15" s="1"/>
  <c r="B347" i="15"/>
  <c r="A347" i="15" s="1"/>
  <c r="H346" i="15"/>
  <c r="G346" i="15"/>
  <c r="D346" i="15"/>
  <c r="C346" i="15"/>
  <c r="AM346" i="15" s="1"/>
  <c r="B346" i="15"/>
  <c r="A346" i="15" s="1"/>
  <c r="AD341" i="15"/>
  <c r="P341" i="15"/>
  <c r="J341" i="15"/>
  <c r="H341" i="15"/>
  <c r="G341" i="15"/>
  <c r="D341" i="15"/>
  <c r="C341" i="15"/>
  <c r="AM341" i="15" s="1"/>
  <c r="B341" i="15"/>
  <c r="A341" i="15" s="1"/>
  <c r="H339" i="15"/>
  <c r="G339" i="15"/>
  <c r="D339" i="15"/>
  <c r="C339" i="15"/>
  <c r="AM339" i="15" s="1"/>
  <c r="B339" i="15"/>
  <c r="A339" i="15" s="1"/>
  <c r="H338" i="15"/>
  <c r="G338" i="15"/>
  <c r="D338" i="15"/>
  <c r="C338" i="15"/>
  <c r="AM338" i="15" s="1"/>
  <c r="B338" i="15"/>
  <c r="A338" i="15" s="1"/>
  <c r="B337" i="15"/>
  <c r="A337" i="15" s="1"/>
  <c r="C337" i="15"/>
  <c r="AM337" i="15" s="1"/>
  <c r="D337" i="15"/>
  <c r="E337" i="15"/>
  <c r="F337" i="15"/>
  <c r="G337" i="15"/>
  <c r="H337" i="15"/>
  <c r="F4546" i="6"/>
  <c r="L362" i="15" s="1"/>
  <c r="F4545" i="6"/>
  <c r="K362" i="15" s="1"/>
  <c r="F4522" i="6"/>
  <c r="F4521" i="6"/>
  <c r="K354" i="15" s="1"/>
  <c r="F4498" i="6"/>
  <c r="L346" i="15" s="1"/>
  <c r="F4497" i="6"/>
  <c r="K346" i="15" s="1"/>
  <c r="F4473" i="6"/>
  <c r="F4474" i="6"/>
  <c r="J4480" i="6"/>
  <c r="BC4480" i="6" s="1"/>
  <c r="H4480" i="6"/>
  <c r="J4479" i="6"/>
  <c r="BC4479" i="6" s="1"/>
  <c r="H4479" i="6"/>
  <c r="J4476" i="6"/>
  <c r="BC4476" i="6" s="1"/>
  <c r="H4476" i="6"/>
  <c r="J4475" i="6"/>
  <c r="X339" i="15" s="1"/>
  <c r="H4475" i="6"/>
  <c r="J4474" i="6"/>
  <c r="BC4474" i="6" s="1"/>
  <c r="BD4474" i="6" s="1"/>
  <c r="AF338" i="15" s="1"/>
  <c r="H4474" i="6"/>
  <c r="J4473" i="6"/>
  <c r="BC4473" i="6" s="1"/>
  <c r="BD4473" i="6" s="1"/>
  <c r="H4473" i="6"/>
  <c r="J4504" i="6"/>
  <c r="BC4504" i="6" s="1"/>
  <c r="H4504" i="6"/>
  <c r="J4503" i="6"/>
  <c r="X349" i="15" s="1"/>
  <c r="Z349" i="15" s="1"/>
  <c r="H4503" i="6"/>
  <c r="J4500" i="6"/>
  <c r="BC4500" i="6" s="1"/>
  <c r="H4500" i="6"/>
  <c r="J4499" i="6"/>
  <c r="BC4499" i="6" s="1"/>
  <c r="H4499" i="6"/>
  <c r="J4498" i="6"/>
  <c r="BC4498" i="6" s="1"/>
  <c r="BD4498" i="6" s="1"/>
  <c r="AF346" i="15" s="1"/>
  <c r="H4498" i="6"/>
  <c r="J4497" i="6"/>
  <c r="BC4497" i="6" s="1"/>
  <c r="BD4497" i="6" s="1"/>
  <c r="H4497" i="6"/>
  <c r="I4497" i="6" s="1"/>
  <c r="Q346" i="15" s="1"/>
  <c r="J4552" i="6"/>
  <c r="BC4552" i="6" s="1"/>
  <c r="H4552" i="6"/>
  <c r="J4551" i="6"/>
  <c r="BC4551" i="6" s="1"/>
  <c r="H4551" i="6"/>
  <c r="J4548" i="6"/>
  <c r="BC4548" i="6" s="1"/>
  <c r="H4548" i="6"/>
  <c r="J4547" i="6"/>
  <c r="BC4547" i="6" s="1"/>
  <c r="H4547" i="6"/>
  <c r="J4546" i="6"/>
  <c r="BC4546" i="6" s="1"/>
  <c r="BD4546" i="6" s="1"/>
  <c r="H4546" i="6"/>
  <c r="I4546" i="6" s="1"/>
  <c r="R362" i="15" s="1"/>
  <c r="J4545" i="6"/>
  <c r="BC4545" i="6" s="1"/>
  <c r="BD4545" i="6" s="1"/>
  <c r="H4545" i="6"/>
  <c r="J4528" i="6"/>
  <c r="BC4528" i="6" s="1"/>
  <c r="H4528" i="6"/>
  <c r="J4527" i="6"/>
  <c r="X357" i="15" s="1"/>
  <c r="Z357" i="15" s="1"/>
  <c r="H4527" i="6"/>
  <c r="J4524" i="6"/>
  <c r="BC4524" i="6" s="1"/>
  <c r="H4524" i="6"/>
  <c r="J4523" i="6"/>
  <c r="BC4523" i="6" s="1"/>
  <c r="H4523" i="6"/>
  <c r="J4522" i="6"/>
  <c r="BC4522" i="6" s="1"/>
  <c r="BD4522" i="6" s="1"/>
  <c r="AF354" i="15" s="1"/>
  <c r="H4522" i="6"/>
  <c r="J4521" i="6"/>
  <c r="BC4521" i="6" s="1"/>
  <c r="BD4521" i="6" s="1"/>
  <c r="H4521" i="6"/>
  <c r="I4521" i="6" s="1"/>
  <c r="Q354" i="15" s="1"/>
  <c r="X338" i="15" l="1"/>
  <c r="X354" i="15"/>
  <c r="X362" i="15"/>
  <c r="X346" i="15"/>
  <c r="Z346" i="15" s="1"/>
  <c r="AN362" i="15"/>
  <c r="BC4475" i="6"/>
  <c r="BC4527" i="6"/>
  <c r="X347" i="15"/>
  <c r="AN354" i="15"/>
  <c r="X363" i="15"/>
  <c r="Z363" i="15" s="1"/>
  <c r="X355" i="15"/>
  <c r="Z355" i="15" s="1"/>
  <c r="BC4503" i="6"/>
  <c r="I4474" i="6"/>
  <c r="R338" i="15" s="1"/>
  <c r="I4473" i="6"/>
  <c r="Q338" i="15" s="1"/>
  <c r="K338" i="15"/>
  <c r="X341" i="15"/>
  <c r="Z341" i="15" s="1"/>
  <c r="X365" i="15"/>
  <c r="Z365" i="15" s="1"/>
  <c r="AE362" i="15"/>
  <c r="AE346" i="15"/>
  <c r="AC346" i="15" s="1"/>
  <c r="AE338" i="15"/>
  <c r="AC338" i="15" s="1"/>
  <c r="AE354" i="15"/>
  <c r="AC354" i="15" s="1"/>
  <c r="AF362" i="15"/>
  <c r="L338" i="15"/>
  <c r="I338" i="15" s="1"/>
  <c r="I4498" i="6"/>
  <c r="R346" i="15" s="1"/>
  <c r="O346" i="15" s="1"/>
  <c r="I4522" i="6"/>
  <c r="R354" i="15" s="1"/>
  <c r="O354" i="15" s="1"/>
  <c r="L354" i="15"/>
  <c r="I354" i="15" s="1"/>
  <c r="Z354" i="15"/>
  <c r="Z362" i="15"/>
  <c r="I362" i="15"/>
  <c r="Z347" i="15"/>
  <c r="AN346" i="15"/>
  <c r="I346" i="15"/>
  <c r="Z339" i="15"/>
  <c r="AN338" i="15"/>
  <c r="O338" i="15"/>
  <c r="Z338" i="15"/>
  <c r="I4545" i="6"/>
  <c r="Q362" i="15" s="1"/>
  <c r="O362" i="15" s="1"/>
  <c r="AO362" i="15" l="1"/>
  <c r="AC362" i="15"/>
  <c r="AO354" i="15"/>
  <c r="AO346" i="15"/>
  <c r="AO338" i="15"/>
  <c r="B766" i="15" l="1"/>
  <c r="A766" i="15" s="1"/>
  <c r="C766" i="15"/>
  <c r="AM766" i="15" s="1"/>
  <c r="G766" i="15"/>
  <c r="H766" i="15"/>
  <c r="X766" i="15"/>
  <c r="Z766" i="15" s="1"/>
  <c r="W766" i="15" s="1"/>
  <c r="V766" i="15" s="1"/>
  <c r="AB766" i="15"/>
  <c r="AD766" i="15"/>
  <c r="AI766" i="15"/>
  <c r="B767" i="15"/>
  <c r="A767" i="15" s="1"/>
  <c r="C767" i="15"/>
  <c r="AM767" i="15" s="1"/>
  <c r="G767" i="15"/>
  <c r="H767" i="15"/>
  <c r="X767" i="15"/>
  <c r="Z767" i="15" s="1"/>
  <c r="W767" i="15" s="1"/>
  <c r="V767" i="15" s="1"/>
  <c r="AB767" i="15"/>
  <c r="AD767" i="15"/>
  <c r="AI767" i="15"/>
  <c r="B768" i="15"/>
  <c r="A768" i="15" s="1"/>
  <c r="C768" i="15"/>
  <c r="AM768" i="15" s="1"/>
  <c r="G768" i="15"/>
  <c r="H768" i="15"/>
  <c r="X768" i="15"/>
  <c r="Z768" i="15" s="1"/>
  <c r="W768" i="15" s="1"/>
  <c r="V768" i="15" s="1"/>
  <c r="AB768" i="15"/>
  <c r="AD768" i="15"/>
  <c r="AI768" i="15"/>
  <c r="B769" i="15"/>
  <c r="A769" i="15" s="1"/>
  <c r="C769" i="15"/>
  <c r="AM769" i="15" s="1"/>
  <c r="G769" i="15"/>
  <c r="H769" i="15"/>
  <c r="X769" i="15"/>
  <c r="Z769" i="15" s="1"/>
  <c r="W769" i="15" s="1"/>
  <c r="V769" i="15" s="1"/>
  <c r="AB769" i="15"/>
  <c r="AD769" i="15"/>
  <c r="AI769" i="15"/>
  <c r="B770" i="15"/>
  <c r="A770" i="15" s="1"/>
  <c r="C770" i="15"/>
  <c r="AM770" i="15" s="1"/>
  <c r="G770" i="15"/>
  <c r="H770" i="15"/>
  <c r="X770" i="15"/>
  <c r="Z770" i="15" s="1"/>
  <c r="W770" i="15" s="1"/>
  <c r="V770" i="15" s="1"/>
  <c r="AB770" i="15"/>
  <c r="AD770" i="15"/>
  <c r="AI770" i="15"/>
  <c r="B771" i="15"/>
  <c r="A771" i="15" s="1"/>
  <c r="C771" i="15"/>
  <c r="AM771" i="15" s="1"/>
  <c r="G771" i="15"/>
  <c r="H771" i="15"/>
  <c r="X771" i="15"/>
  <c r="Z771" i="15" s="1"/>
  <c r="W771" i="15" s="1"/>
  <c r="V771" i="15" s="1"/>
  <c r="AB771" i="15"/>
  <c r="AD771" i="15"/>
  <c r="AI771" i="15"/>
  <c r="AI765" i="15"/>
  <c r="AB765" i="15"/>
  <c r="X765" i="15"/>
  <c r="Z765" i="15" s="1"/>
  <c r="W765" i="15" s="1"/>
  <c r="V765" i="15" s="1"/>
  <c r="H765" i="15"/>
  <c r="G765" i="15"/>
  <c r="C765" i="15"/>
  <c r="AM765" i="15" s="1"/>
  <c r="B765" i="15"/>
  <c r="A765" i="15" s="1"/>
  <c r="AD765" i="15"/>
  <c r="B740" i="15"/>
  <c r="A740" i="15" s="1"/>
  <c r="C740" i="15"/>
  <c r="G740" i="15"/>
  <c r="H740" i="15"/>
  <c r="J740" i="15"/>
  <c r="P740" i="15"/>
  <c r="X740" i="15"/>
  <c r="Z740" i="15" s="1"/>
  <c r="W740" i="15" s="1"/>
  <c r="V740" i="15" s="1"/>
  <c r="AB740" i="15"/>
  <c r="AD740" i="15"/>
  <c r="AI740" i="15"/>
  <c r="AI739" i="15"/>
  <c r="AB739" i="15"/>
  <c r="X739" i="15"/>
  <c r="Z739" i="15" s="1"/>
  <c r="W739" i="15" s="1"/>
  <c r="V739" i="15" s="1"/>
  <c r="H739" i="15"/>
  <c r="G739" i="15"/>
  <c r="C739" i="15"/>
  <c r="B739" i="15"/>
  <c r="A739" i="15" s="1"/>
  <c r="AD739" i="15"/>
  <c r="P739" i="15"/>
  <c r="J739" i="15"/>
  <c r="D605" i="2"/>
  <c r="F590" i="2"/>
  <c r="I766" i="15" s="1"/>
  <c r="F591" i="2"/>
  <c r="I767" i="15" s="1"/>
  <c r="F592" i="2"/>
  <c r="I768" i="15" s="1"/>
  <c r="F593" i="2"/>
  <c r="I769" i="15" s="1"/>
  <c r="F594" i="2"/>
  <c r="I770" i="15" s="1"/>
  <c r="F595" i="2"/>
  <c r="I771" i="15" s="1"/>
  <c r="F589" i="2"/>
  <c r="I765" i="15" s="1"/>
  <c r="E611" i="2"/>
  <c r="D611" i="2"/>
  <c r="E610" i="2"/>
  <c r="D610" i="2"/>
  <c r="E609" i="2"/>
  <c r="D609" i="2"/>
  <c r="E608" i="2"/>
  <c r="D608" i="2"/>
  <c r="E607" i="2"/>
  <c r="D607" i="2"/>
  <c r="E606" i="2"/>
  <c r="D606" i="2"/>
  <c r="E605" i="2"/>
  <c r="DJ595" i="2"/>
  <c r="DH595" i="2"/>
  <c r="H595" i="2"/>
  <c r="DJ594" i="2"/>
  <c r="DH594" i="2"/>
  <c r="H594" i="2"/>
  <c r="DJ593" i="2"/>
  <c r="DH593" i="2"/>
  <c r="H593" i="2"/>
  <c r="DJ592" i="2"/>
  <c r="DH592" i="2"/>
  <c r="H592" i="2"/>
  <c r="DJ591" i="2"/>
  <c r="DH591" i="2"/>
  <c r="H591" i="2"/>
  <c r="DJ590" i="2"/>
  <c r="DH590" i="2"/>
  <c r="DI590" i="2" s="1"/>
  <c r="AE766" i="15" s="1"/>
  <c r="AC766" i="15" s="1"/>
  <c r="H590" i="2"/>
  <c r="DJ589" i="2"/>
  <c r="DH589" i="2"/>
  <c r="H589" i="2"/>
  <c r="DJ588" i="2"/>
  <c r="DI588" i="2"/>
  <c r="DH588" i="2"/>
  <c r="DG588" i="2"/>
  <c r="BE588" i="2"/>
  <c r="BD588" i="2"/>
  <c r="BC588" i="2"/>
  <c r="BB588" i="2"/>
  <c r="AZ588" i="2"/>
  <c r="AY588" i="2"/>
  <c r="AX588" i="2"/>
  <c r="AW588" i="2"/>
  <c r="AS588" i="2"/>
  <c r="AR588" i="2"/>
  <c r="AQ588" i="2"/>
  <c r="AP588" i="2"/>
  <c r="AO588" i="2"/>
  <c r="AN588" i="2"/>
  <c r="AM588" i="2"/>
  <c r="AL588" i="2"/>
  <c r="AK588" i="2"/>
  <c r="AG588" i="2"/>
  <c r="AF588" i="2"/>
  <c r="AE588" i="2"/>
  <c r="AD588" i="2"/>
  <c r="AC588" i="2"/>
  <c r="AA588" i="2"/>
  <c r="Z588" i="2"/>
  <c r="Y588" i="2"/>
  <c r="X588" i="2"/>
  <c r="W588" i="2"/>
  <c r="DJ462" i="2"/>
  <c r="DI462" i="2"/>
  <c r="DH462" i="2"/>
  <c r="DG462" i="2"/>
  <c r="AB478" i="2"/>
  <c r="AB462" i="2"/>
  <c r="DJ464" i="2"/>
  <c r="DH464" i="2"/>
  <c r="DJ463" i="2"/>
  <c r="DH463" i="2"/>
  <c r="AU463" i="2"/>
  <c r="AU464" i="2" s="1"/>
  <c r="V463" i="2"/>
  <c r="V464" i="2" s="1"/>
  <c r="BE462" i="2"/>
  <c r="BD462" i="2"/>
  <c r="BC462" i="2"/>
  <c r="BB462" i="2"/>
  <c r="AZ462" i="2"/>
  <c r="AY462" i="2"/>
  <c r="AX462" i="2"/>
  <c r="AW462" i="2"/>
  <c r="AS462" i="2"/>
  <c r="AR462" i="2"/>
  <c r="AQ462" i="2"/>
  <c r="AP462" i="2"/>
  <c r="AO462" i="2"/>
  <c r="AN462" i="2"/>
  <c r="AM462" i="2"/>
  <c r="AL462" i="2"/>
  <c r="AK462" i="2"/>
  <c r="AG462" i="2"/>
  <c r="AF462" i="2"/>
  <c r="AE462" i="2"/>
  <c r="AD462" i="2"/>
  <c r="AC462" i="2"/>
  <c r="AA462" i="2"/>
  <c r="Z462" i="2"/>
  <c r="Y462" i="2"/>
  <c r="X462" i="2"/>
  <c r="W462" i="2"/>
  <c r="F464" i="2"/>
  <c r="K740" i="15" s="1"/>
  <c r="I740" i="15" s="1"/>
  <c r="E472" i="2"/>
  <c r="E471" i="2"/>
  <c r="D472" i="2"/>
  <c r="D471" i="2"/>
  <c r="G471" i="2"/>
  <c r="F463" i="2" s="1"/>
  <c r="K739" i="15" s="1"/>
  <c r="I739" i="15" s="1"/>
  <c r="H464" i="2"/>
  <c r="H463" i="2"/>
  <c r="AN770" i="15" l="1"/>
  <c r="AN768" i="15"/>
  <c r="DI592" i="2"/>
  <c r="AE768" i="15" s="1"/>
  <c r="AC768" i="15" s="1"/>
  <c r="AN771" i="15"/>
  <c r="AN769" i="15"/>
  <c r="DG592" i="2"/>
  <c r="I592" i="2"/>
  <c r="O768" i="15" s="1"/>
  <c r="U768" i="15" s="1"/>
  <c r="AN766" i="15"/>
  <c r="AN765" i="15"/>
  <c r="AN767" i="15"/>
  <c r="DI594" i="2"/>
  <c r="DI464" i="2"/>
  <c r="DG590" i="2"/>
  <c r="I594" i="2"/>
  <c r="O770" i="15" s="1"/>
  <c r="DI589" i="2"/>
  <c r="I593" i="2"/>
  <c r="O769" i="15" s="1"/>
  <c r="I595" i="2"/>
  <c r="O771" i="15" s="1"/>
  <c r="DI595" i="2"/>
  <c r="I589" i="2"/>
  <c r="O765" i="15" s="1"/>
  <c r="U765" i="15" s="1"/>
  <c r="I591" i="2"/>
  <c r="O767" i="15" s="1"/>
  <c r="U767" i="15" s="1"/>
  <c r="DI593" i="2"/>
  <c r="DI463" i="2"/>
  <c r="I590" i="2"/>
  <c r="O766" i="15" s="1"/>
  <c r="U766" i="15" s="1"/>
  <c r="DI591" i="2"/>
  <c r="I464" i="2"/>
  <c r="Q740" i="15" s="1"/>
  <c r="O740" i="15" s="1"/>
  <c r="U740" i="15" s="1"/>
  <c r="I463" i="2"/>
  <c r="Q739" i="15" s="1"/>
  <c r="O739" i="15" s="1"/>
  <c r="U739" i="15" s="1"/>
  <c r="AO770" i="15" l="1"/>
  <c r="AO771" i="15"/>
  <c r="DG463" i="2"/>
  <c r="AA739" i="15" s="1"/>
  <c r="AE739" i="15"/>
  <c r="AC739" i="15" s="1"/>
  <c r="DG464" i="2"/>
  <c r="AA740" i="15" s="1"/>
  <c r="AE740" i="15"/>
  <c r="AC740" i="15" s="1"/>
  <c r="AO769" i="15"/>
  <c r="AO768" i="15"/>
  <c r="U769" i="15"/>
  <c r="DG594" i="2"/>
  <c r="AE770" i="15"/>
  <c r="AC770" i="15" s="1"/>
  <c r="U771" i="15"/>
  <c r="DG595" i="2"/>
  <c r="AE771" i="15"/>
  <c r="AC771" i="15" s="1"/>
  <c r="DG593" i="2"/>
  <c r="AE769" i="15"/>
  <c r="AC769" i="15" s="1"/>
  <c r="U770" i="15"/>
  <c r="DG591" i="2"/>
  <c r="AE767" i="15"/>
  <c r="AC767" i="15" s="1"/>
  <c r="AO767" i="15"/>
  <c r="AO766" i="15"/>
  <c r="DG589" i="2"/>
  <c r="AE765" i="15"/>
  <c r="AC765" i="15" s="1"/>
  <c r="AO765" i="15"/>
  <c r="H21" i="8"/>
  <c r="I21" i="8"/>
  <c r="AI490" i="15" l="1"/>
  <c r="AI491" i="15"/>
  <c r="BT47" i="2"/>
  <c r="BE4456" i="6" l="1"/>
  <c r="BD4456" i="6"/>
  <c r="BC4456" i="6"/>
  <c r="DJ98" i="2"/>
  <c r="BB4456" i="6"/>
  <c r="J4575" i="6" l="1"/>
  <c r="J4586" i="6"/>
  <c r="F4547" i="6" l="1"/>
  <c r="F4523" i="6"/>
  <c r="F4479" i="6"/>
  <c r="F4503" i="6"/>
  <c r="F4475" i="6"/>
  <c r="F4551" i="6"/>
  <c r="F4527" i="6"/>
  <c r="F4499" i="6"/>
  <c r="F4480" i="6"/>
  <c r="F4504" i="6"/>
  <c r="F4476" i="6"/>
  <c r="F4552" i="6"/>
  <c r="F4528" i="6"/>
  <c r="F4500" i="6"/>
  <c r="F4548" i="6"/>
  <c r="F4524" i="6"/>
  <c r="F865" i="2"/>
  <c r="F864" i="2"/>
  <c r="F863" i="2"/>
  <c r="F80" i="2"/>
  <c r="F1724" i="6"/>
  <c r="K273" i="15" s="1"/>
  <c r="F1722" i="6"/>
  <c r="F1688" i="6"/>
  <c r="K261" i="15" s="1"/>
  <c r="F1668" i="6"/>
  <c r="K253" i="15" s="1"/>
  <c r="F1656" i="6"/>
  <c r="F1654" i="6"/>
  <c r="F1644" i="6"/>
  <c r="K241" i="15" s="1"/>
  <c r="F1564" i="6"/>
  <c r="K1645" i="6"/>
  <c r="BE1645" i="6" s="1"/>
  <c r="J1645" i="6"/>
  <c r="BC1645" i="6" s="1"/>
  <c r="J1644" i="6"/>
  <c r="BC1644" i="6" s="1"/>
  <c r="K1657" i="6"/>
  <c r="BE1657" i="6" s="1"/>
  <c r="J1657" i="6"/>
  <c r="BC1657" i="6" s="1"/>
  <c r="J1656" i="6"/>
  <c r="BC1656" i="6" s="1"/>
  <c r="BD1656" i="6" s="1"/>
  <c r="K1669" i="6"/>
  <c r="BE1669" i="6" s="1"/>
  <c r="J1669" i="6"/>
  <c r="BC1669" i="6" s="1"/>
  <c r="J1668" i="6"/>
  <c r="BC1668" i="6" s="1"/>
  <c r="K1689" i="6"/>
  <c r="BE1689" i="6" s="1"/>
  <c r="J1689" i="6"/>
  <c r="BC1689" i="6" s="1"/>
  <c r="J1688" i="6"/>
  <c r="BC1688" i="6" s="1"/>
  <c r="J1726" i="6"/>
  <c r="J1725" i="6"/>
  <c r="BC1725" i="6" s="1"/>
  <c r="J1724" i="6"/>
  <c r="BC1724" i="6" s="1"/>
  <c r="K1725" i="6"/>
  <c r="BE1725" i="6" s="1"/>
  <c r="K4174" i="6"/>
  <c r="K1644" i="6" s="1"/>
  <c r="J3676" i="6"/>
  <c r="F3676" i="6"/>
  <c r="J3675" i="6"/>
  <c r="F3675" i="6"/>
  <c r="J3674" i="6"/>
  <c r="F3674" i="6"/>
  <c r="J3673" i="6"/>
  <c r="F3673" i="6"/>
  <c r="J3672" i="6"/>
  <c r="F3672" i="6"/>
  <c r="J3671" i="6"/>
  <c r="F3671" i="6"/>
  <c r="J3670" i="6"/>
  <c r="F3670" i="6"/>
  <c r="J3669" i="6"/>
  <c r="F3669" i="6"/>
  <c r="J3668" i="6"/>
  <c r="F3668" i="6"/>
  <c r="J3667" i="6"/>
  <c r="F3667" i="6"/>
  <c r="F3666" i="6"/>
  <c r="J3665" i="6"/>
  <c r="F3665" i="6"/>
  <c r="J3664" i="6"/>
  <c r="F3664" i="6"/>
  <c r="J3663" i="6"/>
  <c r="F3663" i="6"/>
  <c r="J3662" i="6"/>
  <c r="F3662" i="6"/>
  <c r="J3661" i="6"/>
  <c r="F3661" i="6"/>
  <c r="J3660" i="6"/>
  <c r="F3660" i="6"/>
  <c r="J3659" i="6"/>
  <c r="F3659" i="6"/>
  <c r="J3658" i="6"/>
  <c r="F3658" i="6"/>
  <c r="J3657" i="6"/>
  <c r="F3657" i="6"/>
  <c r="J3656" i="6"/>
  <c r="F3656" i="6"/>
  <c r="F3655" i="6"/>
  <c r="J3654" i="6"/>
  <c r="F3654" i="6"/>
  <c r="J3653" i="6"/>
  <c r="F3653" i="6"/>
  <c r="J3652" i="6"/>
  <c r="F3652" i="6"/>
  <c r="J3651" i="6"/>
  <c r="F3651" i="6"/>
  <c r="J3650" i="6"/>
  <c r="F3650" i="6"/>
  <c r="J3649" i="6"/>
  <c r="F3649" i="6"/>
  <c r="J3648" i="6"/>
  <c r="F3648" i="6"/>
  <c r="F3647" i="6"/>
  <c r="J3646" i="6"/>
  <c r="F3646" i="6"/>
  <c r="J3645" i="6"/>
  <c r="F3645" i="6"/>
  <c r="J3644" i="6"/>
  <c r="F3644" i="6"/>
  <c r="J3643" i="6"/>
  <c r="F3643" i="6"/>
  <c r="J3642" i="6"/>
  <c r="F3642" i="6"/>
  <c r="J3641" i="6"/>
  <c r="F3641" i="6"/>
  <c r="F3640" i="6"/>
  <c r="J3639" i="6"/>
  <c r="F3639" i="6"/>
  <c r="J3638" i="6"/>
  <c r="F3638" i="6"/>
  <c r="J3637" i="6"/>
  <c r="F3637" i="6"/>
  <c r="J3636" i="6"/>
  <c r="F3636" i="6"/>
  <c r="J3635" i="6"/>
  <c r="F3635" i="6"/>
  <c r="J3634" i="6"/>
  <c r="F3634" i="6"/>
  <c r="J3633" i="6"/>
  <c r="F3633" i="6"/>
  <c r="F3632" i="6"/>
  <c r="J3631" i="6"/>
  <c r="F3631" i="6"/>
  <c r="J3630" i="6"/>
  <c r="F3630" i="6"/>
  <c r="J3629" i="6"/>
  <c r="F3629" i="6"/>
  <c r="J3628" i="6"/>
  <c r="F3628" i="6"/>
  <c r="J3627" i="6"/>
  <c r="F3627" i="6"/>
  <c r="J3626" i="6"/>
  <c r="F3626" i="6"/>
  <c r="J3625" i="6"/>
  <c r="F3625" i="6"/>
  <c r="F3624" i="6"/>
  <c r="J3623" i="6"/>
  <c r="F3623" i="6"/>
  <c r="J3622" i="6"/>
  <c r="F3622" i="6"/>
  <c r="J3621" i="6"/>
  <c r="F3621" i="6"/>
  <c r="J3620" i="6"/>
  <c r="F3620" i="6"/>
  <c r="J3619" i="6"/>
  <c r="F3619" i="6"/>
  <c r="J3618" i="6"/>
  <c r="F3618" i="6"/>
  <c r="J3617" i="6"/>
  <c r="F3617" i="6"/>
  <c r="F3616" i="6"/>
  <c r="J3615" i="6"/>
  <c r="F3615" i="6"/>
  <c r="J3614" i="6"/>
  <c r="F3614" i="6"/>
  <c r="J3613" i="6"/>
  <c r="F3613" i="6"/>
  <c r="J3612" i="6"/>
  <c r="F3612" i="6"/>
  <c r="J3611" i="6"/>
  <c r="F3611" i="6"/>
  <c r="J3610" i="6"/>
  <c r="F3610" i="6"/>
  <c r="J3609" i="6"/>
  <c r="F3609" i="6"/>
  <c r="F3608" i="6"/>
  <c r="J3607" i="6"/>
  <c r="F3607" i="6"/>
  <c r="J3606" i="6"/>
  <c r="F3606" i="6"/>
  <c r="J3605" i="6"/>
  <c r="F3605" i="6"/>
  <c r="J3604" i="6"/>
  <c r="F3604" i="6"/>
  <c r="J3603" i="6"/>
  <c r="F3603" i="6"/>
  <c r="J3602" i="6"/>
  <c r="F3602" i="6"/>
  <c r="J3601" i="6"/>
  <c r="F3601" i="6"/>
  <c r="F3600" i="6"/>
  <c r="J3599" i="6"/>
  <c r="F3599" i="6"/>
  <c r="J3598" i="6"/>
  <c r="F3598" i="6"/>
  <c r="J3597" i="6"/>
  <c r="F3597" i="6"/>
  <c r="J3596" i="6"/>
  <c r="F3596" i="6"/>
  <c r="J3595" i="6"/>
  <c r="F3595" i="6"/>
  <c r="J3594" i="6"/>
  <c r="F3594" i="6"/>
  <c r="J3593" i="6"/>
  <c r="F3593" i="6"/>
  <c r="J3592" i="6"/>
  <c r="F3592" i="6"/>
  <c r="J3591" i="6"/>
  <c r="F3591" i="6"/>
  <c r="J3590" i="6"/>
  <c r="F3590" i="6"/>
  <c r="J3589" i="6"/>
  <c r="F3589" i="6"/>
  <c r="J3588" i="6"/>
  <c r="F3588" i="6"/>
  <c r="J3587" i="6"/>
  <c r="F3587" i="6"/>
  <c r="J3586" i="6"/>
  <c r="F3586" i="6"/>
  <c r="J3585" i="6"/>
  <c r="F3585" i="6"/>
  <c r="J3584" i="6"/>
  <c r="F3584" i="6"/>
  <c r="J3583" i="6"/>
  <c r="F3583" i="6"/>
  <c r="J3582" i="6"/>
  <c r="F3582" i="6"/>
  <c r="J3581" i="6"/>
  <c r="F3581" i="6"/>
  <c r="J3580" i="6"/>
  <c r="F3580" i="6"/>
  <c r="J3579" i="6"/>
  <c r="F3579" i="6"/>
  <c r="J3578" i="6"/>
  <c r="F3578" i="6"/>
  <c r="J3577" i="6"/>
  <c r="F3577" i="6"/>
  <c r="J3576" i="6"/>
  <c r="F3576" i="6"/>
  <c r="J3575" i="6"/>
  <c r="F3575" i="6"/>
  <c r="J3574" i="6"/>
  <c r="F3574" i="6"/>
  <c r="F3573" i="6"/>
  <c r="J3572" i="6"/>
  <c r="F3572" i="6"/>
  <c r="J3571" i="6"/>
  <c r="F3571" i="6"/>
  <c r="J3570" i="6"/>
  <c r="F3570" i="6"/>
  <c r="J3569" i="6"/>
  <c r="F3569" i="6"/>
  <c r="J3568" i="6"/>
  <c r="F3568" i="6"/>
  <c r="J3567" i="6"/>
  <c r="F3567" i="6"/>
  <c r="J3566" i="6"/>
  <c r="F3566" i="6"/>
  <c r="J3565" i="6"/>
  <c r="F3565" i="6"/>
  <c r="J3564" i="6"/>
  <c r="F3564" i="6"/>
  <c r="J3563" i="6"/>
  <c r="F3563" i="6"/>
  <c r="J3562" i="6"/>
  <c r="F3562" i="6"/>
  <c r="J3561" i="6"/>
  <c r="F3561" i="6"/>
  <c r="J3560" i="6"/>
  <c r="F3560" i="6"/>
  <c r="J3559" i="6"/>
  <c r="F3559" i="6"/>
  <c r="J3558" i="6"/>
  <c r="F3558" i="6"/>
  <c r="J3557" i="6"/>
  <c r="F3557" i="6"/>
  <c r="J3556" i="6"/>
  <c r="F3556" i="6"/>
  <c r="J3555" i="6"/>
  <c r="F3555" i="6"/>
  <c r="J3554" i="6"/>
  <c r="F3554" i="6"/>
  <c r="J3553" i="6"/>
  <c r="F3553" i="6"/>
  <c r="J3552" i="6"/>
  <c r="F3552" i="6"/>
  <c r="J3551" i="6"/>
  <c r="F3551" i="6"/>
  <c r="J3550" i="6"/>
  <c r="F3550" i="6"/>
  <c r="J3549" i="6"/>
  <c r="F3549" i="6"/>
  <c r="J3548" i="6"/>
  <c r="F3548" i="6"/>
  <c r="J3547" i="6"/>
  <c r="F3547" i="6"/>
  <c r="J3546" i="6"/>
  <c r="F3546" i="6"/>
  <c r="J3545" i="6"/>
  <c r="F3545" i="6"/>
  <c r="J3544" i="6"/>
  <c r="F3544" i="6"/>
  <c r="J3543" i="6"/>
  <c r="F3543" i="6"/>
  <c r="J3542" i="6"/>
  <c r="F3542" i="6"/>
  <c r="J3541" i="6"/>
  <c r="F3541" i="6"/>
  <c r="J3540" i="6"/>
  <c r="F3540" i="6"/>
  <c r="J3539" i="6"/>
  <c r="F3539" i="6"/>
  <c r="J3538" i="6"/>
  <c r="F3538" i="6"/>
  <c r="J3537" i="6"/>
  <c r="F3537" i="6"/>
  <c r="J3536" i="6"/>
  <c r="F3536" i="6"/>
  <c r="J3535" i="6"/>
  <c r="F3535" i="6"/>
  <c r="J3534" i="6"/>
  <c r="F3534" i="6"/>
  <c r="J3533" i="6"/>
  <c r="F3533" i="6"/>
  <c r="J3532" i="6"/>
  <c r="F3532" i="6"/>
  <c r="F3531" i="6"/>
  <c r="J3530" i="6"/>
  <c r="F3530" i="6"/>
  <c r="J3529" i="6"/>
  <c r="F3529" i="6"/>
  <c r="J3528" i="6"/>
  <c r="F3528" i="6"/>
  <c r="J3527" i="6"/>
  <c r="F3527" i="6"/>
  <c r="J3526" i="6"/>
  <c r="F3526" i="6"/>
  <c r="J3525" i="6"/>
  <c r="F3525" i="6"/>
  <c r="J3524" i="6"/>
  <c r="F3524" i="6"/>
  <c r="J3523" i="6"/>
  <c r="F3523" i="6"/>
  <c r="J3522" i="6"/>
  <c r="F3522" i="6"/>
  <c r="F3521" i="6"/>
  <c r="J3520" i="6"/>
  <c r="F3520" i="6"/>
  <c r="J3519" i="6"/>
  <c r="F3519" i="6"/>
  <c r="J3518" i="6"/>
  <c r="F3518" i="6"/>
  <c r="J3517" i="6"/>
  <c r="F3517" i="6"/>
  <c r="J3516" i="6"/>
  <c r="F3516" i="6"/>
  <c r="J3515" i="6"/>
  <c r="F3515" i="6"/>
  <c r="J3514" i="6"/>
  <c r="F3514" i="6"/>
  <c r="J3513" i="6"/>
  <c r="F3513" i="6"/>
  <c r="J3512" i="6"/>
  <c r="F3512" i="6"/>
  <c r="J3511" i="6"/>
  <c r="F3511" i="6"/>
  <c r="J3510" i="6"/>
  <c r="F3510" i="6"/>
  <c r="F3509" i="6"/>
  <c r="J3508" i="6"/>
  <c r="F3508" i="6"/>
  <c r="J3507" i="6"/>
  <c r="F3507" i="6"/>
  <c r="J3506" i="6"/>
  <c r="F3506" i="6"/>
  <c r="F3505" i="6"/>
  <c r="J3504" i="6"/>
  <c r="F3504" i="6"/>
  <c r="J3503" i="6"/>
  <c r="F3503" i="6"/>
  <c r="J3502" i="6"/>
  <c r="F3502" i="6"/>
  <c r="J3501" i="6"/>
  <c r="F3501" i="6"/>
  <c r="J3500" i="6"/>
  <c r="F3500" i="6"/>
  <c r="J3499" i="6"/>
  <c r="F3499" i="6"/>
  <c r="J3498" i="6"/>
  <c r="F3498" i="6"/>
  <c r="J3497" i="6"/>
  <c r="F3497" i="6"/>
  <c r="J3496" i="6"/>
  <c r="F3496" i="6"/>
  <c r="J3495" i="6"/>
  <c r="F3495" i="6"/>
  <c r="J3494" i="6"/>
  <c r="F3494" i="6"/>
  <c r="J3493" i="6"/>
  <c r="F3493" i="6"/>
  <c r="J3492" i="6"/>
  <c r="F3492" i="6"/>
  <c r="J3491" i="6"/>
  <c r="F3491" i="6"/>
  <c r="J3490" i="6"/>
  <c r="F3490" i="6"/>
  <c r="J3489" i="6"/>
  <c r="F3489" i="6"/>
  <c r="J3488" i="6"/>
  <c r="F3488" i="6"/>
  <c r="J3487" i="6"/>
  <c r="F3487" i="6"/>
  <c r="J3486" i="6"/>
  <c r="F3486" i="6"/>
  <c r="J3485" i="6"/>
  <c r="F3485" i="6"/>
  <c r="J3484" i="6"/>
  <c r="F3484" i="6"/>
  <c r="J3483" i="6"/>
  <c r="F3483" i="6"/>
  <c r="J3482" i="6"/>
  <c r="F3482" i="6"/>
  <c r="J3481" i="6"/>
  <c r="F3481" i="6"/>
  <c r="J3480" i="6"/>
  <c r="F3480" i="6"/>
  <c r="J3479" i="6"/>
  <c r="F3479" i="6"/>
  <c r="J3478" i="6"/>
  <c r="F3478" i="6"/>
  <c r="J3477" i="6"/>
  <c r="F3477" i="6"/>
  <c r="J3476" i="6"/>
  <c r="F3476" i="6"/>
  <c r="J3475" i="6"/>
  <c r="F3475" i="6"/>
  <c r="J3474" i="6"/>
  <c r="F3474" i="6"/>
  <c r="F3473" i="6"/>
  <c r="J3472" i="6"/>
  <c r="F3472" i="6"/>
  <c r="J3471" i="6"/>
  <c r="F3471" i="6"/>
  <c r="J3470" i="6"/>
  <c r="F3470" i="6"/>
  <c r="J3469" i="6"/>
  <c r="F3469" i="6"/>
  <c r="J3468" i="6"/>
  <c r="F3468" i="6"/>
  <c r="J3467" i="6"/>
  <c r="F3467" i="6"/>
  <c r="J3466" i="6"/>
  <c r="F3466" i="6"/>
  <c r="J3465" i="6"/>
  <c r="F3465" i="6"/>
  <c r="J3464" i="6"/>
  <c r="F3464" i="6"/>
  <c r="J3463" i="6"/>
  <c r="F3463" i="6"/>
  <c r="F3462" i="6"/>
  <c r="J3461" i="6"/>
  <c r="F3461" i="6"/>
  <c r="J3460" i="6"/>
  <c r="F3460" i="6"/>
  <c r="J3459" i="6"/>
  <c r="F3459" i="6"/>
  <c r="J3458" i="6"/>
  <c r="F3458" i="6"/>
  <c r="J3457" i="6"/>
  <c r="F3457" i="6"/>
  <c r="J3456" i="6"/>
  <c r="F3456" i="6"/>
  <c r="J3455" i="6"/>
  <c r="F3455" i="6"/>
  <c r="F3454" i="6"/>
  <c r="J3453" i="6"/>
  <c r="F3453" i="6"/>
  <c r="J3452" i="6"/>
  <c r="F3452" i="6"/>
  <c r="J3451" i="6"/>
  <c r="F3451" i="6"/>
  <c r="J3450" i="6"/>
  <c r="F3450" i="6"/>
  <c r="J3449" i="6"/>
  <c r="F3449" i="6"/>
  <c r="J3448" i="6"/>
  <c r="F3448" i="6"/>
  <c r="F3447" i="6"/>
  <c r="J3446" i="6"/>
  <c r="F3446" i="6"/>
  <c r="J3445" i="6"/>
  <c r="F3445" i="6"/>
  <c r="J3444" i="6"/>
  <c r="F3444" i="6"/>
  <c r="J3443" i="6"/>
  <c r="F3443" i="6"/>
  <c r="J3442" i="6"/>
  <c r="F3442" i="6"/>
  <c r="J3441" i="6"/>
  <c r="F3441" i="6"/>
  <c r="J3440" i="6"/>
  <c r="F3440" i="6"/>
  <c r="F3439" i="6"/>
  <c r="J3438" i="6"/>
  <c r="F3438" i="6"/>
  <c r="J3437" i="6"/>
  <c r="F3437" i="6"/>
  <c r="J3436" i="6"/>
  <c r="F3436" i="6"/>
  <c r="J3435" i="6"/>
  <c r="F3435" i="6"/>
  <c r="J3434" i="6"/>
  <c r="F3434" i="6"/>
  <c r="J3433" i="6"/>
  <c r="F3433" i="6"/>
  <c r="J3432" i="6"/>
  <c r="F3432" i="6"/>
  <c r="F3431" i="6"/>
  <c r="J3430" i="6"/>
  <c r="F3430" i="6"/>
  <c r="J3429" i="6"/>
  <c r="F3429" i="6"/>
  <c r="J3428" i="6"/>
  <c r="F3428" i="6"/>
  <c r="J3427" i="6"/>
  <c r="F3427" i="6"/>
  <c r="J3426" i="6"/>
  <c r="F3426" i="6"/>
  <c r="J3425" i="6"/>
  <c r="F3425" i="6"/>
  <c r="J3424" i="6"/>
  <c r="F3424" i="6"/>
  <c r="F3423" i="6"/>
  <c r="J3422" i="6"/>
  <c r="F3422" i="6"/>
  <c r="J3421" i="6"/>
  <c r="F3421" i="6"/>
  <c r="J3420" i="6"/>
  <c r="F3420" i="6"/>
  <c r="J3419" i="6"/>
  <c r="F3419" i="6"/>
  <c r="J3418" i="6"/>
  <c r="F3418" i="6"/>
  <c r="J3417" i="6"/>
  <c r="F3417" i="6"/>
  <c r="J3416" i="6"/>
  <c r="F3416" i="6"/>
  <c r="F3415" i="6"/>
  <c r="J3414" i="6"/>
  <c r="F3414" i="6"/>
  <c r="J3413" i="6"/>
  <c r="F3413" i="6"/>
  <c r="J3412" i="6"/>
  <c r="F3412" i="6"/>
  <c r="J3411" i="6"/>
  <c r="F3411" i="6"/>
  <c r="J3410" i="6"/>
  <c r="F3410" i="6"/>
  <c r="J3409" i="6"/>
  <c r="F3409" i="6"/>
  <c r="J3408" i="6"/>
  <c r="F3408" i="6"/>
  <c r="F3407" i="6"/>
  <c r="J3406" i="6"/>
  <c r="F3406" i="6"/>
  <c r="J3405" i="6"/>
  <c r="F3405" i="6"/>
  <c r="J3404" i="6"/>
  <c r="F3404" i="6"/>
  <c r="J3403" i="6"/>
  <c r="F3403" i="6"/>
  <c r="J3402" i="6"/>
  <c r="F3402" i="6"/>
  <c r="J3401" i="6"/>
  <c r="F3401" i="6"/>
  <c r="J3400" i="6"/>
  <c r="F3400" i="6"/>
  <c r="J3399" i="6"/>
  <c r="F3399" i="6"/>
  <c r="J3398" i="6"/>
  <c r="F3398" i="6"/>
  <c r="J3397" i="6"/>
  <c r="F3397" i="6"/>
  <c r="J3396" i="6"/>
  <c r="F3396" i="6"/>
  <c r="J3395" i="6"/>
  <c r="F3395" i="6"/>
  <c r="J3394" i="6"/>
  <c r="F3394" i="6"/>
  <c r="J3393" i="6"/>
  <c r="F3393" i="6"/>
  <c r="J3392" i="6"/>
  <c r="F3392" i="6"/>
  <c r="J3391" i="6"/>
  <c r="F3391" i="6"/>
  <c r="J3390" i="6"/>
  <c r="F3390" i="6"/>
  <c r="J3389" i="6"/>
  <c r="F3389" i="6"/>
  <c r="J3388" i="6"/>
  <c r="F3388" i="6"/>
  <c r="J3387" i="6"/>
  <c r="F3387" i="6"/>
  <c r="J3386" i="6"/>
  <c r="F3386" i="6"/>
  <c r="J3385" i="6"/>
  <c r="F3385" i="6"/>
  <c r="J3384" i="6"/>
  <c r="F3384" i="6"/>
  <c r="J3383" i="6"/>
  <c r="F3383" i="6"/>
  <c r="J3382" i="6"/>
  <c r="F3382" i="6"/>
  <c r="J3381" i="6"/>
  <c r="F3381" i="6"/>
  <c r="F3380" i="6"/>
  <c r="J3379" i="6"/>
  <c r="F3379" i="6"/>
  <c r="J3378" i="6"/>
  <c r="F3378" i="6"/>
  <c r="J3377" i="6"/>
  <c r="F3377" i="6"/>
  <c r="J3376" i="6"/>
  <c r="F3376" i="6"/>
  <c r="J3375" i="6"/>
  <c r="F3375" i="6"/>
  <c r="J3374" i="6"/>
  <c r="F3374" i="6"/>
  <c r="J3373" i="6"/>
  <c r="F3373" i="6"/>
  <c r="J3372" i="6"/>
  <c r="F3372" i="6"/>
  <c r="J3371" i="6"/>
  <c r="F3371" i="6"/>
  <c r="J3370" i="6"/>
  <c r="F3370" i="6"/>
  <c r="J3369" i="6"/>
  <c r="F3369" i="6"/>
  <c r="J3368" i="6"/>
  <c r="F3368" i="6"/>
  <c r="J3367" i="6"/>
  <c r="F3367" i="6"/>
  <c r="J3366" i="6"/>
  <c r="F3366" i="6"/>
  <c r="J3365" i="6"/>
  <c r="F3365" i="6"/>
  <c r="J3364" i="6"/>
  <c r="F3364" i="6"/>
  <c r="J3363" i="6"/>
  <c r="F3363" i="6"/>
  <c r="J3362" i="6"/>
  <c r="F3362" i="6"/>
  <c r="J3361" i="6"/>
  <c r="F3361" i="6"/>
  <c r="J3360" i="6"/>
  <c r="F3360" i="6"/>
  <c r="J3359" i="6"/>
  <c r="F3359" i="6"/>
  <c r="J3358" i="6"/>
  <c r="F3358" i="6"/>
  <c r="J3357" i="6"/>
  <c r="F3357" i="6"/>
  <c r="J3356" i="6"/>
  <c r="F3356" i="6"/>
  <c r="J3355" i="6"/>
  <c r="F3355" i="6"/>
  <c r="J3354" i="6"/>
  <c r="F3354" i="6"/>
  <c r="J3353" i="6"/>
  <c r="F3353" i="6"/>
  <c r="J3352" i="6"/>
  <c r="F3352" i="6"/>
  <c r="J3351" i="6"/>
  <c r="F3351" i="6"/>
  <c r="J3350" i="6"/>
  <c r="F3350" i="6"/>
  <c r="J3349" i="6"/>
  <c r="F3349" i="6"/>
  <c r="J3348" i="6"/>
  <c r="F3348" i="6"/>
  <c r="J3347" i="6"/>
  <c r="F3347" i="6"/>
  <c r="J3346" i="6"/>
  <c r="F3346" i="6"/>
  <c r="J3345" i="6"/>
  <c r="F3345" i="6"/>
  <c r="J3344" i="6"/>
  <c r="F3344" i="6"/>
  <c r="J3343" i="6"/>
  <c r="F3343" i="6"/>
  <c r="J3342" i="6"/>
  <c r="F3342" i="6"/>
  <c r="J3341" i="6"/>
  <c r="F3341" i="6"/>
  <c r="J3340" i="6"/>
  <c r="F3340" i="6"/>
  <c r="J3339" i="6"/>
  <c r="F3339" i="6"/>
  <c r="F3338" i="6"/>
  <c r="J3337" i="6"/>
  <c r="F3337" i="6"/>
  <c r="J3336" i="6"/>
  <c r="F3336" i="6"/>
  <c r="J3335" i="6"/>
  <c r="F3335" i="6"/>
  <c r="J3334" i="6"/>
  <c r="F3334" i="6"/>
  <c r="J3333" i="6"/>
  <c r="F3333" i="6"/>
  <c r="J3332" i="6"/>
  <c r="F3332" i="6"/>
  <c r="J3331" i="6"/>
  <c r="F3331" i="6"/>
  <c r="J3330" i="6"/>
  <c r="F3330" i="6"/>
  <c r="J3329" i="6"/>
  <c r="F3329" i="6"/>
  <c r="F3328" i="6"/>
  <c r="J3327" i="6"/>
  <c r="F3327" i="6"/>
  <c r="J3326" i="6"/>
  <c r="F3326" i="6"/>
  <c r="J3325" i="6"/>
  <c r="F3325" i="6"/>
  <c r="J3324" i="6"/>
  <c r="F3324" i="6"/>
  <c r="J3323" i="6"/>
  <c r="F3323" i="6"/>
  <c r="J3322" i="6"/>
  <c r="F3322" i="6"/>
  <c r="J3321" i="6"/>
  <c r="F3321" i="6"/>
  <c r="J3320" i="6"/>
  <c r="F3320" i="6"/>
  <c r="J3319" i="6"/>
  <c r="F3319" i="6"/>
  <c r="J3318" i="6"/>
  <c r="F3318" i="6"/>
  <c r="J3317" i="6"/>
  <c r="F3317" i="6"/>
  <c r="F3316" i="6"/>
  <c r="J3315" i="6"/>
  <c r="F3315" i="6"/>
  <c r="J3314" i="6"/>
  <c r="F3314" i="6"/>
  <c r="J3313" i="6"/>
  <c r="F3313" i="6"/>
  <c r="F3312" i="6"/>
  <c r="J3311" i="6"/>
  <c r="F3311" i="6"/>
  <c r="J3310" i="6"/>
  <c r="F3310" i="6"/>
  <c r="J3309" i="6"/>
  <c r="F3309" i="6"/>
  <c r="J3308" i="6"/>
  <c r="F3308" i="6"/>
  <c r="J3307" i="6"/>
  <c r="F3307" i="6"/>
  <c r="J3306" i="6"/>
  <c r="F3306" i="6"/>
  <c r="J3305" i="6"/>
  <c r="F3305" i="6"/>
  <c r="J3304" i="6"/>
  <c r="F3304" i="6"/>
  <c r="J3303" i="6"/>
  <c r="F3303" i="6"/>
  <c r="J3302" i="6"/>
  <c r="F3302" i="6"/>
  <c r="J3301" i="6"/>
  <c r="F3301" i="6"/>
  <c r="J3300" i="6"/>
  <c r="F3300" i="6"/>
  <c r="J3299" i="6"/>
  <c r="F3299" i="6"/>
  <c r="J3298" i="6"/>
  <c r="F3298" i="6"/>
  <c r="J3297" i="6"/>
  <c r="F3297" i="6"/>
  <c r="J3296" i="6"/>
  <c r="F3296" i="6"/>
  <c r="J3295" i="6"/>
  <c r="F3295" i="6"/>
  <c r="J3294" i="6"/>
  <c r="F3294" i="6"/>
  <c r="J3293" i="6"/>
  <c r="F3293" i="6"/>
  <c r="J3292" i="6"/>
  <c r="F3292" i="6"/>
  <c r="J3291" i="6"/>
  <c r="F3291" i="6"/>
  <c r="J3290" i="6"/>
  <c r="F3290" i="6"/>
  <c r="J3289" i="6"/>
  <c r="F3289" i="6"/>
  <c r="J3288" i="6"/>
  <c r="F3288" i="6"/>
  <c r="J3287" i="6"/>
  <c r="F3287" i="6"/>
  <c r="J3286" i="6"/>
  <c r="F3286" i="6"/>
  <c r="J3285" i="6"/>
  <c r="F3285" i="6"/>
  <c r="J3284" i="6"/>
  <c r="F3284" i="6"/>
  <c r="J3283" i="6"/>
  <c r="F3283" i="6"/>
  <c r="J3282" i="6"/>
  <c r="F3282" i="6"/>
  <c r="J3281" i="6"/>
  <c r="F3281" i="6"/>
  <c r="F3280" i="6"/>
  <c r="J3279" i="6"/>
  <c r="F3279" i="6"/>
  <c r="J3278" i="6"/>
  <c r="F3278" i="6"/>
  <c r="J3277" i="6"/>
  <c r="F3277" i="6"/>
  <c r="J3276" i="6"/>
  <c r="F3276" i="6"/>
  <c r="J3275" i="6"/>
  <c r="F3275" i="6"/>
  <c r="J3274" i="6"/>
  <c r="F3274" i="6"/>
  <c r="J3273" i="6"/>
  <c r="F3273" i="6"/>
  <c r="J3272" i="6"/>
  <c r="F3272" i="6"/>
  <c r="J3271" i="6"/>
  <c r="F3271" i="6"/>
  <c r="J3270" i="6"/>
  <c r="F3270" i="6"/>
  <c r="F3269" i="6"/>
  <c r="J3268" i="6"/>
  <c r="F3268" i="6"/>
  <c r="J3267" i="6"/>
  <c r="F3267" i="6"/>
  <c r="J3266" i="6"/>
  <c r="F3266" i="6"/>
  <c r="J3265" i="6"/>
  <c r="F3265" i="6"/>
  <c r="J3264" i="6"/>
  <c r="F3264" i="6"/>
  <c r="J3263" i="6"/>
  <c r="F3263" i="6"/>
  <c r="J3262" i="6"/>
  <c r="F3262" i="6"/>
  <c r="F3261" i="6"/>
  <c r="J3260" i="6"/>
  <c r="F3260" i="6"/>
  <c r="J3259" i="6"/>
  <c r="F3259" i="6"/>
  <c r="J3258" i="6"/>
  <c r="F3258" i="6"/>
  <c r="J3257" i="6"/>
  <c r="F3257" i="6"/>
  <c r="J3256" i="6"/>
  <c r="F3256" i="6"/>
  <c r="J3255" i="6"/>
  <c r="F3255" i="6"/>
  <c r="F3254" i="6"/>
  <c r="J3253" i="6"/>
  <c r="F3253" i="6"/>
  <c r="J3252" i="6"/>
  <c r="F3252" i="6"/>
  <c r="J3251" i="6"/>
  <c r="F3251" i="6"/>
  <c r="J3250" i="6"/>
  <c r="F3250" i="6"/>
  <c r="J3249" i="6"/>
  <c r="F3249" i="6"/>
  <c r="J3248" i="6"/>
  <c r="F3248" i="6"/>
  <c r="J3247" i="6"/>
  <c r="F3247" i="6"/>
  <c r="F3246" i="6"/>
  <c r="J3245" i="6"/>
  <c r="F3245" i="6"/>
  <c r="J3244" i="6"/>
  <c r="F3244" i="6"/>
  <c r="J3243" i="6"/>
  <c r="F3243" i="6"/>
  <c r="J3242" i="6"/>
  <c r="F3242" i="6"/>
  <c r="J3241" i="6"/>
  <c r="F3241" i="6"/>
  <c r="J3240" i="6"/>
  <c r="F3240" i="6"/>
  <c r="J3239" i="6"/>
  <c r="F3239" i="6"/>
  <c r="F3238" i="6"/>
  <c r="J3237" i="6"/>
  <c r="F3237" i="6"/>
  <c r="J3236" i="6"/>
  <c r="F3236" i="6"/>
  <c r="J3235" i="6"/>
  <c r="F3235" i="6"/>
  <c r="J3234" i="6"/>
  <c r="F3234" i="6"/>
  <c r="J3233" i="6"/>
  <c r="F3233" i="6"/>
  <c r="J3232" i="6"/>
  <c r="F3232" i="6"/>
  <c r="J3231" i="6"/>
  <c r="F3231" i="6"/>
  <c r="F3230" i="6"/>
  <c r="J3229" i="6"/>
  <c r="F3229" i="6"/>
  <c r="J3228" i="6"/>
  <c r="F3228" i="6"/>
  <c r="J3227" i="6"/>
  <c r="F3227" i="6"/>
  <c r="J3226" i="6"/>
  <c r="F3226" i="6"/>
  <c r="J3225" i="6"/>
  <c r="F3225" i="6"/>
  <c r="J3224" i="6"/>
  <c r="F3224" i="6"/>
  <c r="J3223" i="6"/>
  <c r="F3223" i="6"/>
  <c r="F3222" i="6"/>
  <c r="J3221" i="6"/>
  <c r="F3221" i="6"/>
  <c r="J3220" i="6"/>
  <c r="F3220" i="6"/>
  <c r="J3219" i="6"/>
  <c r="F3219" i="6"/>
  <c r="J3218" i="6"/>
  <c r="F3218" i="6"/>
  <c r="J3217" i="6"/>
  <c r="F3217" i="6"/>
  <c r="J3216" i="6"/>
  <c r="F3216" i="6"/>
  <c r="J3215" i="6"/>
  <c r="F3215" i="6"/>
  <c r="F3214" i="6"/>
  <c r="J3213" i="6"/>
  <c r="F3213" i="6"/>
  <c r="J3212" i="6"/>
  <c r="F3212" i="6"/>
  <c r="J3211" i="6"/>
  <c r="F3211" i="6"/>
  <c r="J3210" i="6"/>
  <c r="F3210" i="6"/>
  <c r="J3209" i="6"/>
  <c r="F3209" i="6"/>
  <c r="J3208" i="6"/>
  <c r="F3208" i="6"/>
  <c r="J3207" i="6"/>
  <c r="F3207" i="6"/>
  <c r="J3206" i="6"/>
  <c r="F3206" i="6"/>
  <c r="J3205" i="6"/>
  <c r="F3205" i="6"/>
  <c r="J3204" i="6"/>
  <c r="F3204" i="6"/>
  <c r="J3203" i="6"/>
  <c r="F3203" i="6"/>
  <c r="J3202" i="6"/>
  <c r="F3202" i="6"/>
  <c r="J3201" i="6"/>
  <c r="F3201" i="6"/>
  <c r="J3200" i="6"/>
  <c r="F3200" i="6"/>
  <c r="J3199" i="6"/>
  <c r="F3199" i="6"/>
  <c r="J3198" i="6"/>
  <c r="F3198" i="6"/>
  <c r="J3197" i="6"/>
  <c r="F3197" i="6"/>
  <c r="J3196" i="6"/>
  <c r="F3196" i="6"/>
  <c r="J3195" i="6"/>
  <c r="F3195" i="6"/>
  <c r="J3194" i="6"/>
  <c r="F3194" i="6"/>
  <c r="J3193" i="6"/>
  <c r="F3193" i="6"/>
  <c r="J3192" i="6"/>
  <c r="F3192" i="6"/>
  <c r="J3191" i="6"/>
  <c r="F3191" i="6"/>
  <c r="J3190" i="6"/>
  <c r="F3190" i="6"/>
  <c r="J3189" i="6"/>
  <c r="F3189" i="6"/>
  <c r="J3188" i="6"/>
  <c r="F3188" i="6"/>
  <c r="F3187" i="6"/>
  <c r="J3186" i="6"/>
  <c r="F3186" i="6"/>
  <c r="J3185" i="6"/>
  <c r="F3185" i="6"/>
  <c r="J3184" i="6"/>
  <c r="F3184" i="6"/>
  <c r="J3183" i="6"/>
  <c r="F3183" i="6"/>
  <c r="J3182" i="6"/>
  <c r="F3182" i="6"/>
  <c r="J3181" i="6"/>
  <c r="F3181" i="6"/>
  <c r="J3180" i="6"/>
  <c r="F3180" i="6"/>
  <c r="J3179" i="6"/>
  <c r="F3179" i="6"/>
  <c r="J3178" i="6"/>
  <c r="F3178" i="6"/>
  <c r="J3177" i="6"/>
  <c r="F3177" i="6"/>
  <c r="J3176" i="6"/>
  <c r="F3176" i="6"/>
  <c r="J3175" i="6"/>
  <c r="F3175" i="6"/>
  <c r="J3174" i="6"/>
  <c r="F3174" i="6"/>
  <c r="J3173" i="6"/>
  <c r="F3173" i="6"/>
  <c r="J3172" i="6"/>
  <c r="F3172" i="6"/>
  <c r="J3171" i="6"/>
  <c r="F3171" i="6"/>
  <c r="J3170" i="6"/>
  <c r="F3170" i="6"/>
  <c r="J3169" i="6"/>
  <c r="F3169" i="6"/>
  <c r="J3168" i="6"/>
  <c r="F3168" i="6"/>
  <c r="J3167" i="6"/>
  <c r="F3167" i="6"/>
  <c r="J3166" i="6"/>
  <c r="F3166" i="6"/>
  <c r="J3165" i="6"/>
  <c r="F3165" i="6"/>
  <c r="J3164" i="6"/>
  <c r="F3164" i="6"/>
  <c r="J3163" i="6"/>
  <c r="F3163" i="6"/>
  <c r="J3162" i="6"/>
  <c r="F3162" i="6"/>
  <c r="J3161" i="6"/>
  <c r="F3161" i="6"/>
  <c r="J3160" i="6"/>
  <c r="F3160" i="6"/>
  <c r="J3159" i="6"/>
  <c r="F3159" i="6"/>
  <c r="J3158" i="6"/>
  <c r="F3158" i="6"/>
  <c r="J3157" i="6"/>
  <c r="F3157" i="6"/>
  <c r="J3156" i="6"/>
  <c r="F3156" i="6"/>
  <c r="J3155" i="6"/>
  <c r="F3155" i="6"/>
  <c r="J3154" i="6"/>
  <c r="F3154" i="6"/>
  <c r="J3153" i="6"/>
  <c r="F3153" i="6"/>
  <c r="J3152" i="6"/>
  <c r="F3152" i="6"/>
  <c r="J3151" i="6"/>
  <c r="F3151" i="6"/>
  <c r="J3150" i="6"/>
  <c r="F3150" i="6"/>
  <c r="J3149" i="6"/>
  <c r="F3149" i="6"/>
  <c r="J3148" i="6"/>
  <c r="F3148" i="6"/>
  <c r="J3147" i="6"/>
  <c r="F3147" i="6"/>
  <c r="J3146" i="6"/>
  <c r="F3146" i="6"/>
  <c r="F3145" i="6"/>
  <c r="J3144" i="6"/>
  <c r="F3144" i="6"/>
  <c r="J3143" i="6"/>
  <c r="F3143" i="6"/>
  <c r="J3142" i="6"/>
  <c r="F3142" i="6"/>
  <c r="J3141" i="6"/>
  <c r="F3141" i="6"/>
  <c r="J3140" i="6"/>
  <c r="F3140" i="6"/>
  <c r="J3139" i="6"/>
  <c r="F3139" i="6"/>
  <c r="J3138" i="6"/>
  <c r="F3138" i="6"/>
  <c r="J3137" i="6"/>
  <c r="F3137" i="6"/>
  <c r="J3136" i="6"/>
  <c r="F3136" i="6"/>
  <c r="F3135" i="6"/>
  <c r="J3134" i="6"/>
  <c r="F3134" i="6"/>
  <c r="J3133" i="6"/>
  <c r="F3133" i="6"/>
  <c r="J3132" i="6"/>
  <c r="F3132" i="6"/>
  <c r="J3131" i="6"/>
  <c r="F3131" i="6"/>
  <c r="J3130" i="6"/>
  <c r="F3130" i="6"/>
  <c r="J3129" i="6"/>
  <c r="F3129" i="6"/>
  <c r="J3128" i="6"/>
  <c r="F3128" i="6"/>
  <c r="J3127" i="6"/>
  <c r="F3127" i="6"/>
  <c r="J3126" i="6"/>
  <c r="F3126" i="6"/>
  <c r="J3125" i="6"/>
  <c r="F3125" i="6"/>
  <c r="J3124" i="6"/>
  <c r="F3124" i="6"/>
  <c r="F3123" i="6"/>
  <c r="J3122" i="6"/>
  <c r="F3122" i="6"/>
  <c r="J3121" i="6"/>
  <c r="F3121" i="6"/>
  <c r="J3120" i="6"/>
  <c r="F3120" i="6"/>
  <c r="F3119" i="6"/>
  <c r="J3118" i="6"/>
  <c r="F3118" i="6"/>
  <c r="J3117" i="6"/>
  <c r="F3117" i="6"/>
  <c r="J3116" i="6"/>
  <c r="F3116" i="6"/>
  <c r="J3115" i="6"/>
  <c r="F3115" i="6"/>
  <c r="J3114" i="6"/>
  <c r="F3114" i="6"/>
  <c r="J3113" i="6"/>
  <c r="F3113" i="6"/>
  <c r="J3112" i="6"/>
  <c r="F3112" i="6"/>
  <c r="J3111" i="6"/>
  <c r="F3111" i="6"/>
  <c r="J3110" i="6"/>
  <c r="F3110" i="6"/>
  <c r="J3109" i="6"/>
  <c r="F3109" i="6"/>
  <c r="J3108" i="6"/>
  <c r="F3108" i="6"/>
  <c r="J3107" i="6"/>
  <c r="F3107" i="6"/>
  <c r="J3106" i="6"/>
  <c r="F3106" i="6"/>
  <c r="J3105" i="6"/>
  <c r="F3105" i="6"/>
  <c r="J3104" i="6"/>
  <c r="F3104" i="6"/>
  <c r="J3103" i="6"/>
  <c r="F3103" i="6"/>
  <c r="J3102" i="6"/>
  <c r="F3102" i="6"/>
  <c r="J3101" i="6"/>
  <c r="F3101" i="6"/>
  <c r="J3100" i="6"/>
  <c r="F3100" i="6"/>
  <c r="J3099" i="6"/>
  <c r="F3099" i="6"/>
  <c r="J3098" i="6"/>
  <c r="F3098" i="6"/>
  <c r="J3097" i="6"/>
  <c r="F3097" i="6"/>
  <c r="J3096" i="6"/>
  <c r="F3096" i="6"/>
  <c r="J3095" i="6"/>
  <c r="F3095" i="6"/>
  <c r="J3094" i="6"/>
  <c r="F3094" i="6"/>
  <c r="J3093" i="6"/>
  <c r="F3093" i="6"/>
  <c r="J3092" i="6"/>
  <c r="F3092" i="6"/>
  <c r="J3091" i="6"/>
  <c r="F3091" i="6"/>
  <c r="J3090" i="6"/>
  <c r="F3090" i="6"/>
  <c r="J3089" i="6"/>
  <c r="F3089" i="6"/>
  <c r="J3088" i="6"/>
  <c r="F3088" i="6"/>
  <c r="F3087" i="6"/>
  <c r="J3086" i="6"/>
  <c r="F3086" i="6"/>
  <c r="J3085" i="6"/>
  <c r="F3085" i="6"/>
  <c r="J3084" i="6"/>
  <c r="F3084" i="6"/>
  <c r="J3083" i="6"/>
  <c r="F3083" i="6"/>
  <c r="J3082" i="6"/>
  <c r="F3082" i="6"/>
  <c r="J3081" i="6"/>
  <c r="F3081" i="6"/>
  <c r="J3080" i="6"/>
  <c r="F3080" i="6"/>
  <c r="J3079" i="6"/>
  <c r="F3079" i="6"/>
  <c r="J3078" i="6"/>
  <c r="F3078" i="6"/>
  <c r="J3077" i="6"/>
  <c r="F3077" i="6"/>
  <c r="F3076" i="6"/>
  <c r="J3075" i="6"/>
  <c r="F3075" i="6"/>
  <c r="J3074" i="6"/>
  <c r="F3074" i="6"/>
  <c r="J3073" i="6"/>
  <c r="F3073" i="6"/>
  <c r="J3072" i="6"/>
  <c r="F3072" i="6"/>
  <c r="J3071" i="6"/>
  <c r="F3071" i="6"/>
  <c r="J3070" i="6"/>
  <c r="F3070" i="6"/>
  <c r="J3069" i="6"/>
  <c r="F3069" i="6"/>
  <c r="F3068" i="6"/>
  <c r="J3067" i="6"/>
  <c r="F3067" i="6"/>
  <c r="J3066" i="6"/>
  <c r="F3066" i="6"/>
  <c r="J3065" i="6"/>
  <c r="F3065" i="6"/>
  <c r="J3064" i="6"/>
  <c r="F3064" i="6"/>
  <c r="J3063" i="6"/>
  <c r="F3063" i="6"/>
  <c r="J3062" i="6"/>
  <c r="F3062" i="6"/>
  <c r="F3061" i="6"/>
  <c r="J3060" i="6"/>
  <c r="F3060" i="6"/>
  <c r="J3059" i="6"/>
  <c r="F3059" i="6"/>
  <c r="J3058" i="6"/>
  <c r="F3058" i="6"/>
  <c r="J3057" i="6"/>
  <c r="F3057" i="6"/>
  <c r="J3056" i="6"/>
  <c r="F3056" i="6"/>
  <c r="J3055" i="6"/>
  <c r="F3055" i="6"/>
  <c r="J3054" i="6"/>
  <c r="F3054" i="6"/>
  <c r="F3053" i="6"/>
  <c r="J3052" i="6"/>
  <c r="F3052" i="6"/>
  <c r="J3051" i="6"/>
  <c r="F3051" i="6"/>
  <c r="J3050" i="6"/>
  <c r="F3050" i="6"/>
  <c r="J3049" i="6"/>
  <c r="F3049" i="6"/>
  <c r="J3048" i="6"/>
  <c r="F3048" i="6"/>
  <c r="J3047" i="6"/>
  <c r="F3047" i="6"/>
  <c r="J3046" i="6"/>
  <c r="F3046" i="6"/>
  <c r="F3045" i="6"/>
  <c r="J3044" i="6"/>
  <c r="F3044" i="6"/>
  <c r="J3043" i="6"/>
  <c r="F3043" i="6"/>
  <c r="J3042" i="6"/>
  <c r="F3042" i="6"/>
  <c r="J3041" i="6"/>
  <c r="F3041" i="6"/>
  <c r="J3040" i="6"/>
  <c r="F3040" i="6"/>
  <c r="J3039" i="6"/>
  <c r="F3039" i="6"/>
  <c r="J3038" i="6"/>
  <c r="F3038" i="6"/>
  <c r="F3037" i="6"/>
  <c r="J3036" i="6"/>
  <c r="F3036" i="6"/>
  <c r="J3035" i="6"/>
  <c r="F3035" i="6"/>
  <c r="J3034" i="6"/>
  <c r="F3034" i="6"/>
  <c r="J3033" i="6"/>
  <c r="F3033" i="6"/>
  <c r="J3032" i="6"/>
  <c r="F3032" i="6"/>
  <c r="J3031" i="6"/>
  <c r="F3031" i="6"/>
  <c r="J3030" i="6"/>
  <c r="F3030" i="6"/>
  <c r="F3029" i="6"/>
  <c r="J3028" i="6"/>
  <c r="F3028" i="6"/>
  <c r="J3027" i="6"/>
  <c r="F3027" i="6"/>
  <c r="J3026" i="6"/>
  <c r="F3026" i="6"/>
  <c r="J3025" i="6"/>
  <c r="F3025" i="6"/>
  <c r="J3024" i="6"/>
  <c r="F3024" i="6"/>
  <c r="J3023" i="6"/>
  <c r="F3023" i="6"/>
  <c r="J3022" i="6"/>
  <c r="F3022" i="6"/>
  <c r="F3021" i="6"/>
  <c r="J3020" i="6"/>
  <c r="F3020" i="6"/>
  <c r="J3019" i="6"/>
  <c r="F3019" i="6"/>
  <c r="J3018" i="6"/>
  <c r="F3018" i="6"/>
  <c r="J3017" i="6"/>
  <c r="F3017" i="6"/>
  <c r="J3016" i="6"/>
  <c r="F3016" i="6"/>
  <c r="J3015" i="6"/>
  <c r="F3015" i="6"/>
  <c r="J3014" i="6"/>
  <c r="F3014" i="6"/>
  <c r="J3013" i="6"/>
  <c r="F3013" i="6"/>
  <c r="J3012" i="6"/>
  <c r="F3012" i="6"/>
  <c r="J3011" i="6"/>
  <c r="F3011" i="6"/>
  <c r="J3010" i="6"/>
  <c r="F3010" i="6"/>
  <c r="J3009" i="6"/>
  <c r="F3009" i="6"/>
  <c r="J3008" i="6"/>
  <c r="F3008" i="6"/>
  <c r="J3007" i="6"/>
  <c r="F3007" i="6"/>
  <c r="J3006" i="6"/>
  <c r="F3006" i="6"/>
  <c r="J3005" i="6"/>
  <c r="F3005" i="6"/>
  <c r="J3004" i="6"/>
  <c r="F3004" i="6"/>
  <c r="J3003" i="6"/>
  <c r="F3003" i="6"/>
  <c r="J3002" i="6"/>
  <c r="F3002" i="6"/>
  <c r="J3001" i="6"/>
  <c r="F3001" i="6"/>
  <c r="J3000" i="6"/>
  <c r="F3000" i="6"/>
  <c r="J2999" i="6"/>
  <c r="F2999" i="6"/>
  <c r="J2998" i="6"/>
  <c r="F2998" i="6"/>
  <c r="J2997" i="6"/>
  <c r="F2997" i="6"/>
  <c r="J2996" i="6"/>
  <c r="F2996" i="6"/>
  <c r="J2995" i="6"/>
  <c r="F2995" i="6"/>
  <c r="F2994" i="6"/>
  <c r="J2993" i="6"/>
  <c r="F2993" i="6"/>
  <c r="J2992" i="6"/>
  <c r="F2992" i="6"/>
  <c r="J2991" i="6"/>
  <c r="F2991" i="6"/>
  <c r="J2990" i="6"/>
  <c r="F2990" i="6"/>
  <c r="J2989" i="6"/>
  <c r="F2989" i="6"/>
  <c r="J2988" i="6"/>
  <c r="F2988" i="6"/>
  <c r="J2987" i="6"/>
  <c r="F2987" i="6"/>
  <c r="J2986" i="6"/>
  <c r="F2986" i="6"/>
  <c r="J2985" i="6"/>
  <c r="F2985" i="6"/>
  <c r="J2984" i="6"/>
  <c r="F2984" i="6"/>
  <c r="J2983" i="6"/>
  <c r="F2983" i="6"/>
  <c r="J2982" i="6"/>
  <c r="F2982" i="6"/>
  <c r="J2981" i="6"/>
  <c r="F2981" i="6"/>
  <c r="J2980" i="6"/>
  <c r="F2980" i="6"/>
  <c r="J2979" i="6"/>
  <c r="F2979" i="6"/>
  <c r="J2978" i="6"/>
  <c r="F2978" i="6"/>
  <c r="J2977" i="6"/>
  <c r="F2977" i="6"/>
  <c r="J2976" i="6"/>
  <c r="F2976" i="6"/>
  <c r="J2975" i="6"/>
  <c r="F2975" i="6"/>
  <c r="J2974" i="6"/>
  <c r="F2974" i="6"/>
  <c r="J2973" i="6"/>
  <c r="F2973" i="6"/>
  <c r="J2972" i="6"/>
  <c r="F2972" i="6"/>
  <c r="J2971" i="6"/>
  <c r="F2971" i="6"/>
  <c r="J2970" i="6"/>
  <c r="F2970" i="6"/>
  <c r="J2969" i="6"/>
  <c r="F2969" i="6"/>
  <c r="J2968" i="6"/>
  <c r="F2968" i="6"/>
  <c r="J2967" i="6"/>
  <c r="F2967" i="6"/>
  <c r="J2966" i="6"/>
  <c r="F2966" i="6"/>
  <c r="J2965" i="6"/>
  <c r="F2965" i="6"/>
  <c r="J2964" i="6"/>
  <c r="F2964" i="6"/>
  <c r="J2963" i="6"/>
  <c r="F2963" i="6"/>
  <c r="J2962" i="6"/>
  <c r="F2962" i="6"/>
  <c r="J2961" i="6"/>
  <c r="F2961" i="6"/>
  <c r="J2960" i="6"/>
  <c r="F2960" i="6"/>
  <c r="J2959" i="6"/>
  <c r="F2959" i="6"/>
  <c r="J2958" i="6"/>
  <c r="F2958" i="6"/>
  <c r="J2957" i="6"/>
  <c r="F2957" i="6"/>
  <c r="J2956" i="6"/>
  <c r="F2956" i="6"/>
  <c r="J2955" i="6"/>
  <c r="F2955" i="6"/>
  <c r="J2954" i="6"/>
  <c r="F2954" i="6"/>
  <c r="J2953" i="6"/>
  <c r="F2953" i="6"/>
  <c r="F2952" i="6"/>
  <c r="J2951" i="6"/>
  <c r="F2951" i="6"/>
  <c r="J2950" i="6"/>
  <c r="F2950" i="6"/>
  <c r="J2949" i="6"/>
  <c r="F2949" i="6"/>
  <c r="J2948" i="6"/>
  <c r="F2948" i="6"/>
  <c r="J2947" i="6"/>
  <c r="F2947" i="6"/>
  <c r="J2946" i="6"/>
  <c r="F2946" i="6"/>
  <c r="J2945" i="6"/>
  <c r="F2945" i="6"/>
  <c r="J2944" i="6"/>
  <c r="F2944" i="6"/>
  <c r="J2943" i="6"/>
  <c r="F2943" i="6"/>
  <c r="F2942" i="6"/>
  <c r="J2941" i="6"/>
  <c r="F2941" i="6"/>
  <c r="J2940" i="6"/>
  <c r="F2940" i="6"/>
  <c r="J2939" i="6"/>
  <c r="F2939" i="6"/>
  <c r="J2938" i="6"/>
  <c r="F2938" i="6"/>
  <c r="J2937" i="6"/>
  <c r="F2937" i="6"/>
  <c r="J2936" i="6"/>
  <c r="F2936" i="6"/>
  <c r="J2935" i="6"/>
  <c r="F2935" i="6"/>
  <c r="J2934" i="6"/>
  <c r="F2934" i="6"/>
  <c r="J2933" i="6"/>
  <c r="F2933" i="6"/>
  <c r="J2932" i="6"/>
  <c r="F2932" i="6"/>
  <c r="J2931" i="6"/>
  <c r="F2931" i="6"/>
  <c r="F2930" i="6"/>
  <c r="J2929" i="6"/>
  <c r="F2929" i="6"/>
  <c r="J2928" i="6"/>
  <c r="F2928" i="6"/>
  <c r="J2927" i="6"/>
  <c r="F2927" i="6"/>
  <c r="F2926" i="6"/>
  <c r="J2925" i="6"/>
  <c r="F2925" i="6"/>
  <c r="J2924" i="6"/>
  <c r="F2924" i="6"/>
  <c r="J2923" i="6"/>
  <c r="F2923" i="6"/>
  <c r="J2922" i="6"/>
  <c r="F2922" i="6"/>
  <c r="J2921" i="6"/>
  <c r="F2921" i="6"/>
  <c r="J2920" i="6"/>
  <c r="F2920" i="6"/>
  <c r="J2919" i="6"/>
  <c r="F2919" i="6"/>
  <c r="J2918" i="6"/>
  <c r="F2918" i="6"/>
  <c r="J2917" i="6"/>
  <c r="F2917" i="6"/>
  <c r="J2916" i="6"/>
  <c r="F2916" i="6"/>
  <c r="J2915" i="6"/>
  <c r="F2915" i="6"/>
  <c r="J2914" i="6"/>
  <c r="F2914" i="6"/>
  <c r="J2913" i="6"/>
  <c r="F2913" i="6"/>
  <c r="J2912" i="6"/>
  <c r="F2912" i="6"/>
  <c r="J2911" i="6"/>
  <c r="F2911" i="6"/>
  <c r="J2910" i="6"/>
  <c r="F2910" i="6"/>
  <c r="J2909" i="6"/>
  <c r="F2909" i="6"/>
  <c r="J2908" i="6"/>
  <c r="F2908" i="6"/>
  <c r="J2907" i="6"/>
  <c r="F2907" i="6"/>
  <c r="J2906" i="6"/>
  <c r="F2906" i="6"/>
  <c r="J2905" i="6"/>
  <c r="F2905" i="6"/>
  <c r="J2904" i="6"/>
  <c r="F2904" i="6"/>
  <c r="J2903" i="6"/>
  <c r="F2903" i="6"/>
  <c r="J2902" i="6"/>
  <c r="F2902" i="6"/>
  <c r="J2901" i="6"/>
  <c r="F2901" i="6"/>
  <c r="J2900" i="6"/>
  <c r="F2900" i="6"/>
  <c r="J2899" i="6"/>
  <c r="F2899" i="6"/>
  <c r="J2898" i="6"/>
  <c r="F2898" i="6"/>
  <c r="J2897" i="6"/>
  <c r="F2897" i="6"/>
  <c r="J2896" i="6"/>
  <c r="F2896" i="6"/>
  <c r="J2895" i="6"/>
  <c r="F2895" i="6"/>
  <c r="F2894" i="6"/>
  <c r="J2893" i="6"/>
  <c r="F2893" i="6"/>
  <c r="J2892" i="6"/>
  <c r="F2892" i="6"/>
  <c r="J2891" i="6"/>
  <c r="F2891" i="6"/>
  <c r="J2890" i="6"/>
  <c r="F2890" i="6"/>
  <c r="J2889" i="6"/>
  <c r="F2889" i="6"/>
  <c r="J2888" i="6"/>
  <c r="F2888" i="6"/>
  <c r="J2887" i="6"/>
  <c r="F2887" i="6"/>
  <c r="J2886" i="6"/>
  <c r="F2886" i="6"/>
  <c r="J2885" i="6"/>
  <c r="F2885" i="6"/>
  <c r="J2884" i="6"/>
  <c r="F2884" i="6"/>
  <c r="F2883" i="6"/>
  <c r="J2882" i="6"/>
  <c r="F2882" i="6"/>
  <c r="J2881" i="6"/>
  <c r="F2881" i="6"/>
  <c r="J2880" i="6"/>
  <c r="F2880" i="6"/>
  <c r="J2879" i="6"/>
  <c r="F2879" i="6"/>
  <c r="J2878" i="6"/>
  <c r="F2878" i="6"/>
  <c r="J2877" i="6"/>
  <c r="F2877" i="6"/>
  <c r="J2876" i="6"/>
  <c r="F2876" i="6"/>
  <c r="F2875" i="6"/>
  <c r="J2874" i="6"/>
  <c r="F2874" i="6"/>
  <c r="J2873" i="6"/>
  <c r="F2873" i="6"/>
  <c r="J2872" i="6"/>
  <c r="F2872" i="6"/>
  <c r="J2871" i="6"/>
  <c r="F2871" i="6"/>
  <c r="J2870" i="6"/>
  <c r="F2870" i="6"/>
  <c r="J2869" i="6"/>
  <c r="F2869" i="6"/>
  <c r="F2868" i="6"/>
  <c r="J2867" i="6"/>
  <c r="F2867" i="6"/>
  <c r="J2866" i="6"/>
  <c r="F2866" i="6"/>
  <c r="J2865" i="6"/>
  <c r="F2865" i="6"/>
  <c r="J2864" i="6"/>
  <c r="F2864" i="6"/>
  <c r="J2863" i="6"/>
  <c r="F2863" i="6"/>
  <c r="J2862" i="6"/>
  <c r="F2862" i="6"/>
  <c r="J2861" i="6"/>
  <c r="F2861" i="6"/>
  <c r="F2860" i="6"/>
  <c r="J2859" i="6"/>
  <c r="F2859" i="6"/>
  <c r="J2858" i="6"/>
  <c r="F2858" i="6"/>
  <c r="J2857" i="6"/>
  <c r="F2857" i="6"/>
  <c r="J2856" i="6"/>
  <c r="F2856" i="6"/>
  <c r="J2855" i="6"/>
  <c r="F2855" i="6"/>
  <c r="J2854" i="6"/>
  <c r="F2854" i="6"/>
  <c r="J2853" i="6"/>
  <c r="F2853" i="6"/>
  <c r="F2852" i="6"/>
  <c r="J2851" i="6"/>
  <c r="F2851" i="6"/>
  <c r="J2850" i="6"/>
  <c r="F2850" i="6"/>
  <c r="J2849" i="6"/>
  <c r="F2849" i="6"/>
  <c r="J2848" i="6"/>
  <c r="F2848" i="6"/>
  <c r="J2847" i="6"/>
  <c r="F2847" i="6"/>
  <c r="J2846" i="6"/>
  <c r="F2846" i="6"/>
  <c r="J2845" i="6"/>
  <c r="F2845" i="6"/>
  <c r="F2844" i="6"/>
  <c r="J2843" i="6"/>
  <c r="F2843" i="6"/>
  <c r="J2842" i="6"/>
  <c r="F2842" i="6"/>
  <c r="J2841" i="6"/>
  <c r="F2841" i="6"/>
  <c r="J2840" i="6"/>
  <c r="F2840" i="6"/>
  <c r="J2839" i="6"/>
  <c r="F2839" i="6"/>
  <c r="J2838" i="6"/>
  <c r="F2838" i="6"/>
  <c r="J2837" i="6"/>
  <c r="F2837" i="6"/>
  <c r="F2836" i="6"/>
  <c r="J2835" i="6"/>
  <c r="F2835" i="6"/>
  <c r="J2834" i="6"/>
  <c r="F2834" i="6"/>
  <c r="J2833" i="6"/>
  <c r="F2833" i="6"/>
  <c r="J2832" i="6"/>
  <c r="F2832" i="6"/>
  <c r="J2831" i="6"/>
  <c r="F2831" i="6"/>
  <c r="J2830" i="6"/>
  <c r="F2830" i="6"/>
  <c r="J2829" i="6"/>
  <c r="F2829" i="6"/>
  <c r="F2828" i="6"/>
  <c r="J2827" i="6"/>
  <c r="F2827" i="6"/>
  <c r="J2826" i="6"/>
  <c r="F2826" i="6"/>
  <c r="J2825" i="6"/>
  <c r="F2825" i="6"/>
  <c r="J2824" i="6"/>
  <c r="F2824" i="6"/>
  <c r="J2823" i="6"/>
  <c r="F2823" i="6"/>
  <c r="J2822" i="6"/>
  <c r="F2822" i="6"/>
  <c r="J2821" i="6"/>
  <c r="F2821" i="6"/>
  <c r="J2820" i="6"/>
  <c r="F2820" i="6"/>
  <c r="J2819" i="6"/>
  <c r="F2819" i="6"/>
  <c r="J2818" i="6"/>
  <c r="F2818" i="6"/>
  <c r="J2817" i="6"/>
  <c r="F2817" i="6"/>
  <c r="J2816" i="6"/>
  <c r="F2816" i="6"/>
  <c r="J2815" i="6"/>
  <c r="F2815" i="6"/>
  <c r="J2814" i="6"/>
  <c r="F2814" i="6"/>
  <c r="J2813" i="6"/>
  <c r="F2813" i="6"/>
  <c r="J2812" i="6"/>
  <c r="F2812" i="6"/>
  <c r="J2811" i="6"/>
  <c r="F2811" i="6"/>
  <c r="J2810" i="6"/>
  <c r="F2810" i="6"/>
  <c r="J2809" i="6"/>
  <c r="F2809" i="6"/>
  <c r="J2808" i="6"/>
  <c r="F2808" i="6"/>
  <c r="J2807" i="6"/>
  <c r="F2807" i="6"/>
  <c r="J2806" i="6"/>
  <c r="F2806" i="6"/>
  <c r="J2805" i="6"/>
  <c r="F2805" i="6"/>
  <c r="J2804" i="6"/>
  <c r="F2804" i="6"/>
  <c r="J2803" i="6"/>
  <c r="F2803" i="6"/>
  <c r="J2802" i="6"/>
  <c r="F2802" i="6"/>
  <c r="F2801" i="6"/>
  <c r="J2800" i="6"/>
  <c r="F2800" i="6"/>
  <c r="J2799" i="6"/>
  <c r="F2799" i="6"/>
  <c r="J2798" i="6"/>
  <c r="F2798" i="6"/>
  <c r="J2797" i="6"/>
  <c r="F2797" i="6"/>
  <c r="J2796" i="6"/>
  <c r="F2796" i="6"/>
  <c r="J2795" i="6"/>
  <c r="F2795" i="6"/>
  <c r="J2794" i="6"/>
  <c r="F2794" i="6"/>
  <c r="J2793" i="6"/>
  <c r="F2793" i="6"/>
  <c r="J2792" i="6"/>
  <c r="F2792" i="6"/>
  <c r="J2791" i="6"/>
  <c r="F2791" i="6"/>
  <c r="J2790" i="6"/>
  <c r="F2790" i="6"/>
  <c r="J2789" i="6"/>
  <c r="F2789" i="6"/>
  <c r="J2788" i="6"/>
  <c r="F2788" i="6"/>
  <c r="J2787" i="6"/>
  <c r="F2787" i="6"/>
  <c r="J2786" i="6"/>
  <c r="F2786" i="6"/>
  <c r="J2785" i="6"/>
  <c r="F2785" i="6"/>
  <c r="J2784" i="6"/>
  <c r="F2784" i="6"/>
  <c r="J2783" i="6"/>
  <c r="F2783" i="6"/>
  <c r="J2782" i="6"/>
  <c r="F2782" i="6"/>
  <c r="J2781" i="6"/>
  <c r="F2781" i="6"/>
  <c r="J2780" i="6"/>
  <c r="F2780" i="6"/>
  <c r="J2779" i="6"/>
  <c r="F2779" i="6"/>
  <c r="J2778" i="6"/>
  <c r="F2778" i="6"/>
  <c r="J2777" i="6"/>
  <c r="F2777" i="6"/>
  <c r="J2776" i="6"/>
  <c r="F2776" i="6"/>
  <c r="J2775" i="6"/>
  <c r="F2775" i="6"/>
  <c r="J2774" i="6"/>
  <c r="F2774" i="6"/>
  <c r="J2773" i="6"/>
  <c r="F2773" i="6"/>
  <c r="J2772" i="6"/>
  <c r="F2772" i="6"/>
  <c r="J2771" i="6"/>
  <c r="F2771" i="6"/>
  <c r="J2770" i="6"/>
  <c r="F2770" i="6"/>
  <c r="J2769" i="6"/>
  <c r="F2769" i="6"/>
  <c r="J2768" i="6"/>
  <c r="F2768" i="6"/>
  <c r="J2767" i="6"/>
  <c r="F2767" i="6"/>
  <c r="J2766" i="6"/>
  <c r="F2766" i="6"/>
  <c r="J2765" i="6"/>
  <c r="F2765" i="6"/>
  <c r="J2764" i="6"/>
  <c r="F2764" i="6"/>
  <c r="J2763" i="6"/>
  <c r="F2763" i="6"/>
  <c r="J2762" i="6"/>
  <c r="F2762" i="6"/>
  <c r="J2761" i="6"/>
  <c r="F2761" i="6"/>
  <c r="J2760" i="6"/>
  <c r="F2760" i="6"/>
  <c r="F2759" i="6"/>
  <c r="J2758" i="6"/>
  <c r="F2758" i="6"/>
  <c r="J2757" i="6"/>
  <c r="F2757" i="6"/>
  <c r="J2756" i="6"/>
  <c r="F2756" i="6"/>
  <c r="J2755" i="6"/>
  <c r="F2755" i="6"/>
  <c r="J2754" i="6"/>
  <c r="F2754" i="6"/>
  <c r="J2753" i="6"/>
  <c r="F2753" i="6"/>
  <c r="J2752" i="6"/>
  <c r="F2752" i="6"/>
  <c r="J2751" i="6"/>
  <c r="F2751" i="6"/>
  <c r="J2750" i="6"/>
  <c r="F2750" i="6"/>
  <c r="F2749" i="6"/>
  <c r="J2748" i="6"/>
  <c r="F2748" i="6"/>
  <c r="J2747" i="6"/>
  <c r="F2747" i="6"/>
  <c r="J2746" i="6"/>
  <c r="F2746" i="6"/>
  <c r="J2745" i="6"/>
  <c r="F2745" i="6"/>
  <c r="J2744" i="6"/>
  <c r="F2744" i="6"/>
  <c r="J2743" i="6"/>
  <c r="F2743" i="6"/>
  <c r="J2742" i="6"/>
  <c r="F2742" i="6"/>
  <c r="J2741" i="6"/>
  <c r="F2741" i="6"/>
  <c r="J2740" i="6"/>
  <c r="F2740" i="6"/>
  <c r="J2739" i="6"/>
  <c r="F2739" i="6"/>
  <c r="J2738" i="6"/>
  <c r="F2738" i="6"/>
  <c r="F2737" i="6"/>
  <c r="J2736" i="6"/>
  <c r="F2736" i="6"/>
  <c r="J2735" i="6"/>
  <c r="F2735" i="6"/>
  <c r="J2734" i="6"/>
  <c r="F2734" i="6"/>
  <c r="F2733" i="6"/>
  <c r="J2732" i="6"/>
  <c r="F2732" i="6"/>
  <c r="J2731" i="6"/>
  <c r="F2731" i="6"/>
  <c r="J2730" i="6"/>
  <c r="F2730" i="6"/>
  <c r="J2729" i="6"/>
  <c r="F2729" i="6"/>
  <c r="J2728" i="6"/>
  <c r="F2728" i="6"/>
  <c r="J2727" i="6"/>
  <c r="F2727" i="6"/>
  <c r="J2726" i="6"/>
  <c r="F2726" i="6"/>
  <c r="J2725" i="6"/>
  <c r="F2725" i="6"/>
  <c r="J2724" i="6"/>
  <c r="F2724" i="6"/>
  <c r="J2723" i="6"/>
  <c r="F2723" i="6"/>
  <c r="J2722" i="6"/>
  <c r="F2722" i="6"/>
  <c r="J2721" i="6"/>
  <c r="F2721" i="6"/>
  <c r="J2720" i="6"/>
  <c r="F2720" i="6"/>
  <c r="J2719" i="6"/>
  <c r="F2719" i="6"/>
  <c r="J2718" i="6"/>
  <c r="F2718" i="6"/>
  <c r="J2717" i="6"/>
  <c r="F2717" i="6"/>
  <c r="J2716" i="6"/>
  <c r="F2716" i="6"/>
  <c r="J2715" i="6"/>
  <c r="F2715" i="6"/>
  <c r="J2714" i="6"/>
  <c r="F2714" i="6"/>
  <c r="J2713" i="6"/>
  <c r="F2713" i="6"/>
  <c r="J2712" i="6"/>
  <c r="F2712" i="6"/>
  <c r="J2711" i="6"/>
  <c r="F2711" i="6"/>
  <c r="J2710" i="6"/>
  <c r="F2710" i="6"/>
  <c r="J2709" i="6"/>
  <c r="F2709" i="6"/>
  <c r="J2708" i="6"/>
  <c r="F2708" i="6"/>
  <c r="J2707" i="6"/>
  <c r="F2707" i="6"/>
  <c r="J2706" i="6"/>
  <c r="F2706" i="6"/>
  <c r="J2705" i="6"/>
  <c r="F2705" i="6"/>
  <c r="J2704" i="6"/>
  <c r="F2704" i="6"/>
  <c r="J2703" i="6"/>
  <c r="F2703" i="6"/>
  <c r="J2702" i="6"/>
  <c r="F2702" i="6"/>
  <c r="F2701" i="6"/>
  <c r="J2700" i="6"/>
  <c r="F2700" i="6"/>
  <c r="J2699" i="6"/>
  <c r="F2699" i="6"/>
  <c r="J2698" i="6"/>
  <c r="F2698" i="6"/>
  <c r="J2697" i="6"/>
  <c r="F2697" i="6"/>
  <c r="J2696" i="6"/>
  <c r="F2696" i="6"/>
  <c r="J2695" i="6"/>
  <c r="F2695" i="6"/>
  <c r="J2694" i="6"/>
  <c r="F2694" i="6"/>
  <c r="J2693" i="6"/>
  <c r="F2693" i="6"/>
  <c r="J2692" i="6"/>
  <c r="F2692" i="6"/>
  <c r="J2691" i="6"/>
  <c r="F2691" i="6"/>
  <c r="F2690" i="6"/>
  <c r="J2689" i="6"/>
  <c r="F2689" i="6"/>
  <c r="J2688" i="6"/>
  <c r="F2688" i="6"/>
  <c r="J2687" i="6"/>
  <c r="F2687" i="6"/>
  <c r="J2686" i="6"/>
  <c r="F2686" i="6"/>
  <c r="J2685" i="6"/>
  <c r="F2685" i="6"/>
  <c r="J2684" i="6"/>
  <c r="F2684" i="6"/>
  <c r="J2683" i="6"/>
  <c r="F2683" i="6"/>
  <c r="F2682" i="6"/>
  <c r="J2681" i="6"/>
  <c r="F2681" i="6"/>
  <c r="J2680" i="6"/>
  <c r="F2680" i="6"/>
  <c r="J2679" i="6"/>
  <c r="F2679" i="6"/>
  <c r="J2678" i="6"/>
  <c r="F2678" i="6"/>
  <c r="J2677" i="6"/>
  <c r="F2677" i="6"/>
  <c r="J2676" i="6"/>
  <c r="F2676" i="6"/>
  <c r="F2675" i="6"/>
  <c r="J2674" i="6"/>
  <c r="F2674" i="6"/>
  <c r="J2673" i="6"/>
  <c r="F2673" i="6"/>
  <c r="J2672" i="6"/>
  <c r="F2672" i="6"/>
  <c r="J2671" i="6"/>
  <c r="F2671" i="6"/>
  <c r="J2670" i="6"/>
  <c r="F2670" i="6"/>
  <c r="J2669" i="6"/>
  <c r="F2669" i="6"/>
  <c r="J2668" i="6"/>
  <c r="F2668" i="6"/>
  <c r="F2667" i="6"/>
  <c r="J2666" i="6"/>
  <c r="F2666" i="6"/>
  <c r="J2665" i="6"/>
  <c r="F2665" i="6"/>
  <c r="J2664" i="6"/>
  <c r="F2664" i="6"/>
  <c r="J2663" i="6"/>
  <c r="F2663" i="6"/>
  <c r="J2662" i="6"/>
  <c r="F2662" i="6"/>
  <c r="J2661" i="6"/>
  <c r="F2661" i="6"/>
  <c r="J2660" i="6"/>
  <c r="F2660" i="6"/>
  <c r="F2659" i="6"/>
  <c r="J2658" i="6"/>
  <c r="F2658" i="6"/>
  <c r="J2657" i="6"/>
  <c r="F2657" i="6"/>
  <c r="J2656" i="6"/>
  <c r="F2656" i="6"/>
  <c r="J2655" i="6"/>
  <c r="F2655" i="6"/>
  <c r="J2654" i="6"/>
  <c r="F2654" i="6"/>
  <c r="J2653" i="6"/>
  <c r="F2653" i="6"/>
  <c r="J2652" i="6"/>
  <c r="F2652" i="6"/>
  <c r="F2651" i="6"/>
  <c r="J2650" i="6"/>
  <c r="F2650" i="6"/>
  <c r="J2649" i="6"/>
  <c r="F2649" i="6"/>
  <c r="J2648" i="6"/>
  <c r="F2648" i="6"/>
  <c r="J2647" i="6"/>
  <c r="F2647" i="6"/>
  <c r="J2646" i="6"/>
  <c r="F2646" i="6"/>
  <c r="J2645" i="6"/>
  <c r="F2645" i="6"/>
  <c r="J2644" i="6"/>
  <c r="F2644" i="6"/>
  <c r="F2643" i="6"/>
  <c r="J2642" i="6"/>
  <c r="F2642" i="6"/>
  <c r="J2641" i="6"/>
  <c r="F2641" i="6"/>
  <c r="J2640" i="6"/>
  <c r="F2640" i="6"/>
  <c r="J2639" i="6"/>
  <c r="F2639" i="6"/>
  <c r="J2638" i="6"/>
  <c r="F2638" i="6"/>
  <c r="J2637" i="6"/>
  <c r="F2637" i="6"/>
  <c r="J2636" i="6"/>
  <c r="F2636" i="6"/>
  <c r="F2635" i="6"/>
  <c r="J2634" i="6"/>
  <c r="F2634" i="6"/>
  <c r="J2633" i="6"/>
  <c r="F2633" i="6"/>
  <c r="J2632" i="6"/>
  <c r="F2632" i="6"/>
  <c r="J2631" i="6"/>
  <c r="F2631" i="6"/>
  <c r="J2630" i="6"/>
  <c r="F2630" i="6"/>
  <c r="J2629" i="6"/>
  <c r="F2629" i="6"/>
  <c r="J2628" i="6"/>
  <c r="F2628" i="6"/>
  <c r="J2627" i="6"/>
  <c r="F2627" i="6"/>
  <c r="J2626" i="6"/>
  <c r="F2626" i="6"/>
  <c r="J2625" i="6"/>
  <c r="F2625" i="6"/>
  <c r="J2624" i="6"/>
  <c r="F2624" i="6"/>
  <c r="J2623" i="6"/>
  <c r="F2623" i="6"/>
  <c r="J2622" i="6"/>
  <c r="F2622" i="6"/>
  <c r="J2621" i="6"/>
  <c r="F2621" i="6"/>
  <c r="J2620" i="6"/>
  <c r="F2620" i="6"/>
  <c r="J2619" i="6"/>
  <c r="F2619" i="6"/>
  <c r="J2618" i="6"/>
  <c r="F2618" i="6"/>
  <c r="J2617" i="6"/>
  <c r="F2617" i="6"/>
  <c r="J2616" i="6"/>
  <c r="F2616" i="6"/>
  <c r="J2615" i="6"/>
  <c r="F2615" i="6"/>
  <c r="J2614" i="6"/>
  <c r="F2614" i="6"/>
  <c r="J2613" i="6"/>
  <c r="F2613" i="6"/>
  <c r="J2612" i="6"/>
  <c r="F2612" i="6"/>
  <c r="J2611" i="6"/>
  <c r="F2611" i="6"/>
  <c r="J2610" i="6"/>
  <c r="F2610" i="6"/>
  <c r="J2609" i="6"/>
  <c r="F2609" i="6"/>
  <c r="F2608" i="6"/>
  <c r="J2607" i="6"/>
  <c r="F2607" i="6"/>
  <c r="J2606" i="6"/>
  <c r="F2606" i="6"/>
  <c r="J2605" i="6"/>
  <c r="F2605" i="6"/>
  <c r="J2604" i="6"/>
  <c r="F2604" i="6"/>
  <c r="J2603" i="6"/>
  <c r="F2603" i="6"/>
  <c r="J2602" i="6"/>
  <c r="F2602" i="6"/>
  <c r="J2601" i="6"/>
  <c r="F2601" i="6"/>
  <c r="J2600" i="6"/>
  <c r="F2600" i="6"/>
  <c r="J2599" i="6"/>
  <c r="F2599" i="6"/>
  <c r="J2598" i="6"/>
  <c r="F2598" i="6"/>
  <c r="J2597" i="6"/>
  <c r="F2597" i="6"/>
  <c r="J2596" i="6"/>
  <c r="F2596" i="6"/>
  <c r="J2595" i="6"/>
  <c r="F2595" i="6"/>
  <c r="J2594" i="6"/>
  <c r="F2594" i="6"/>
  <c r="J2593" i="6"/>
  <c r="F2593" i="6"/>
  <c r="J2592" i="6"/>
  <c r="F2592" i="6"/>
  <c r="J2591" i="6"/>
  <c r="F2591" i="6"/>
  <c r="J2590" i="6"/>
  <c r="F2590" i="6"/>
  <c r="J2589" i="6"/>
  <c r="F2589" i="6"/>
  <c r="J2588" i="6"/>
  <c r="F2588" i="6"/>
  <c r="J2587" i="6"/>
  <c r="F2587" i="6"/>
  <c r="J2586" i="6"/>
  <c r="F2586" i="6"/>
  <c r="J2585" i="6"/>
  <c r="F2585" i="6"/>
  <c r="J2584" i="6"/>
  <c r="F2584" i="6"/>
  <c r="J2583" i="6"/>
  <c r="F2583" i="6"/>
  <c r="J2582" i="6"/>
  <c r="F2582" i="6"/>
  <c r="J2581" i="6"/>
  <c r="F2581" i="6"/>
  <c r="J2580" i="6"/>
  <c r="F2580" i="6"/>
  <c r="J2579" i="6"/>
  <c r="F2579" i="6"/>
  <c r="J2578" i="6"/>
  <c r="F2578" i="6"/>
  <c r="J2577" i="6"/>
  <c r="F2577" i="6"/>
  <c r="J2576" i="6"/>
  <c r="F2576" i="6"/>
  <c r="J2575" i="6"/>
  <c r="F2575" i="6"/>
  <c r="J2574" i="6"/>
  <c r="F2574" i="6"/>
  <c r="J2573" i="6"/>
  <c r="F2573" i="6"/>
  <c r="J2572" i="6"/>
  <c r="F2572" i="6"/>
  <c r="J2571" i="6"/>
  <c r="F2571" i="6"/>
  <c r="J2570" i="6"/>
  <c r="F2570" i="6"/>
  <c r="J2569" i="6"/>
  <c r="F2569" i="6"/>
  <c r="J2568" i="6"/>
  <c r="F2568" i="6"/>
  <c r="J2567" i="6"/>
  <c r="F2567" i="6"/>
  <c r="F2566" i="6"/>
  <c r="J2565" i="6"/>
  <c r="F2565" i="6"/>
  <c r="J2564" i="6"/>
  <c r="F2564" i="6"/>
  <c r="J2563" i="6"/>
  <c r="F2563" i="6"/>
  <c r="J2562" i="6"/>
  <c r="F2562" i="6"/>
  <c r="J2561" i="6"/>
  <c r="F2561" i="6"/>
  <c r="J2560" i="6"/>
  <c r="F2560" i="6"/>
  <c r="J2559" i="6"/>
  <c r="F2559" i="6"/>
  <c r="J2558" i="6"/>
  <c r="F2558" i="6"/>
  <c r="J2557" i="6"/>
  <c r="F2557" i="6"/>
  <c r="F2556" i="6"/>
  <c r="J2555" i="6"/>
  <c r="F2555" i="6"/>
  <c r="J2554" i="6"/>
  <c r="F2554" i="6"/>
  <c r="J2553" i="6"/>
  <c r="F2553" i="6"/>
  <c r="J2552" i="6"/>
  <c r="F2552" i="6"/>
  <c r="J2551" i="6"/>
  <c r="F2551" i="6"/>
  <c r="J2550" i="6"/>
  <c r="F2550" i="6"/>
  <c r="J2549" i="6"/>
  <c r="F2549" i="6"/>
  <c r="J2548" i="6"/>
  <c r="F2548" i="6"/>
  <c r="J2547" i="6"/>
  <c r="F2547" i="6"/>
  <c r="J2546" i="6"/>
  <c r="F2546" i="6"/>
  <c r="J2545" i="6"/>
  <c r="F2545" i="6"/>
  <c r="F2544" i="6"/>
  <c r="J2543" i="6"/>
  <c r="F2543" i="6"/>
  <c r="J2542" i="6"/>
  <c r="F2542" i="6"/>
  <c r="J2541" i="6"/>
  <c r="F2541" i="6"/>
  <c r="F2540" i="6"/>
  <c r="J2539" i="6"/>
  <c r="F2539" i="6"/>
  <c r="J2538" i="6"/>
  <c r="F2538" i="6"/>
  <c r="J2537" i="6"/>
  <c r="F2537" i="6"/>
  <c r="J2536" i="6"/>
  <c r="F2536" i="6"/>
  <c r="J2535" i="6"/>
  <c r="F2535" i="6"/>
  <c r="J2534" i="6"/>
  <c r="F2534" i="6"/>
  <c r="J2533" i="6"/>
  <c r="F2533" i="6"/>
  <c r="J2532" i="6"/>
  <c r="F2532" i="6"/>
  <c r="J2531" i="6"/>
  <c r="F2531" i="6"/>
  <c r="J2530" i="6"/>
  <c r="F2530" i="6"/>
  <c r="J2529" i="6"/>
  <c r="F2529" i="6"/>
  <c r="J2528" i="6"/>
  <c r="F2528" i="6"/>
  <c r="J2527" i="6"/>
  <c r="F2527" i="6"/>
  <c r="J2526" i="6"/>
  <c r="F2526" i="6"/>
  <c r="J2525" i="6"/>
  <c r="F2525" i="6"/>
  <c r="J2524" i="6"/>
  <c r="F2524" i="6"/>
  <c r="J2523" i="6"/>
  <c r="F2523" i="6"/>
  <c r="J2522" i="6"/>
  <c r="F2522" i="6"/>
  <c r="J2521" i="6"/>
  <c r="F2521" i="6"/>
  <c r="J2520" i="6"/>
  <c r="F2520" i="6"/>
  <c r="J2519" i="6"/>
  <c r="F2519" i="6"/>
  <c r="J2518" i="6"/>
  <c r="F2518" i="6"/>
  <c r="J2517" i="6"/>
  <c r="F2517" i="6"/>
  <c r="J2516" i="6"/>
  <c r="F2516" i="6"/>
  <c r="J2515" i="6"/>
  <c r="F2515" i="6"/>
  <c r="J2514" i="6"/>
  <c r="F2514" i="6"/>
  <c r="J2513" i="6"/>
  <c r="F2513" i="6"/>
  <c r="J2512" i="6"/>
  <c r="F2512" i="6"/>
  <c r="J2511" i="6"/>
  <c r="F2511" i="6"/>
  <c r="J2510" i="6"/>
  <c r="F2510" i="6"/>
  <c r="J2509" i="6"/>
  <c r="F2509" i="6"/>
  <c r="F2508" i="6"/>
  <c r="J2507" i="6"/>
  <c r="F2507" i="6"/>
  <c r="J2506" i="6"/>
  <c r="F2506" i="6"/>
  <c r="J2505" i="6"/>
  <c r="F2505" i="6"/>
  <c r="J2504" i="6"/>
  <c r="F2504" i="6"/>
  <c r="J2503" i="6"/>
  <c r="F2503" i="6"/>
  <c r="J2502" i="6"/>
  <c r="F2502" i="6"/>
  <c r="J2501" i="6"/>
  <c r="F2501" i="6"/>
  <c r="J2500" i="6"/>
  <c r="F2500" i="6"/>
  <c r="J2499" i="6"/>
  <c r="F2499" i="6"/>
  <c r="J2498" i="6"/>
  <c r="F2498" i="6"/>
  <c r="F2497" i="6"/>
  <c r="J2496" i="6"/>
  <c r="F2496" i="6"/>
  <c r="J2495" i="6"/>
  <c r="F2495" i="6"/>
  <c r="J2494" i="6"/>
  <c r="F2494" i="6"/>
  <c r="J2493" i="6"/>
  <c r="F2493" i="6"/>
  <c r="J2492" i="6"/>
  <c r="F2492" i="6"/>
  <c r="J2491" i="6"/>
  <c r="F2491" i="6"/>
  <c r="J2490" i="6"/>
  <c r="F2490" i="6"/>
  <c r="F2489" i="6"/>
  <c r="J2488" i="6"/>
  <c r="F2488" i="6"/>
  <c r="J2487" i="6"/>
  <c r="F2487" i="6"/>
  <c r="J2486" i="6"/>
  <c r="F2486" i="6"/>
  <c r="J2485" i="6"/>
  <c r="F2485" i="6"/>
  <c r="J2484" i="6"/>
  <c r="F2484" i="6"/>
  <c r="J2483" i="6"/>
  <c r="F2483" i="6"/>
  <c r="F2482" i="6"/>
  <c r="J2481" i="6"/>
  <c r="F2481" i="6"/>
  <c r="J2480" i="6"/>
  <c r="F2480" i="6"/>
  <c r="J2479" i="6"/>
  <c r="F2479" i="6"/>
  <c r="J2478" i="6"/>
  <c r="F2478" i="6"/>
  <c r="J2477" i="6"/>
  <c r="F2477" i="6"/>
  <c r="J2476" i="6"/>
  <c r="F2476" i="6"/>
  <c r="J2475" i="6"/>
  <c r="F2475" i="6"/>
  <c r="F2474" i="6"/>
  <c r="J2473" i="6"/>
  <c r="F2473" i="6"/>
  <c r="J2472" i="6"/>
  <c r="F2472" i="6"/>
  <c r="J2471" i="6"/>
  <c r="F2471" i="6"/>
  <c r="J2470" i="6"/>
  <c r="F2470" i="6"/>
  <c r="J2469" i="6"/>
  <c r="F2469" i="6"/>
  <c r="J2468" i="6"/>
  <c r="F2468" i="6"/>
  <c r="J2467" i="6"/>
  <c r="F2467" i="6"/>
  <c r="F2466" i="6"/>
  <c r="J2465" i="6"/>
  <c r="F2465" i="6"/>
  <c r="J2464" i="6"/>
  <c r="F2464" i="6"/>
  <c r="J2463" i="6"/>
  <c r="F2463" i="6"/>
  <c r="J2462" i="6"/>
  <c r="F2462" i="6"/>
  <c r="J2461" i="6"/>
  <c r="F2461" i="6"/>
  <c r="J2460" i="6"/>
  <c r="F2460" i="6"/>
  <c r="J2459" i="6"/>
  <c r="F2459" i="6"/>
  <c r="F2458" i="6"/>
  <c r="J2457" i="6"/>
  <c r="F2457" i="6"/>
  <c r="J2456" i="6"/>
  <c r="F2456" i="6"/>
  <c r="J2455" i="6"/>
  <c r="F2455" i="6"/>
  <c r="J2454" i="6"/>
  <c r="F2454" i="6"/>
  <c r="J2453" i="6"/>
  <c r="F2453" i="6"/>
  <c r="J2452" i="6"/>
  <c r="F2452" i="6"/>
  <c r="J2451" i="6"/>
  <c r="F2451" i="6"/>
  <c r="F2450" i="6"/>
  <c r="J2449" i="6"/>
  <c r="F2449" i="6"/>
  <c r="J2448" i="6"/>
  <c r="F2448" i="6"/>
  <c r="J2447" i="6"/>
  <c r="F2447" i="6"/>
  <c r="J2446" i="6"/>
  <c r="F2446" i="6"/>
  <c r="J2445" i="6"/>
  <c r="F2445" i="6"/>
  <c r="J2444" i="6"/>
  <c r="F2444" i="6"/>
  <c r="J2443" i="6"/>
  <c r="F2443" i="6"/>
  <c r="F2442" i="6"/>
  <c r="J2441" i="6"/>
  <c r="F2441" i="6"/>
  <c r="J2440" i="6"/>
  <c r="F2440" i="6"/>
  <c r="J2439" i="6"/>
  <c r="F2439" i="6"/>
  <c r="J2438" i="6"/>
  <c r="F2438" i="6"/>
  <c r="J2437" i="6"/>
  <c r="F2437" i="6"/>
  <c r="J2436" i="6"/>
  <c r="F2436" i="6"/>
  <c r="J2435" i="6"/>
  <c r="F2435" i="6"/>
  <c r="J2434" i="6"/>
  <c r="F2434" i="6"/>
  <c r="J2433" i="6"/>
  <c r="F2433" i="6"/>
  <c r="J2432" i="6"/>
  <c r="F2432" i="6"/>
  <c r="J2431" i="6"/>
  <c r="F2431" i="6"/>
  <c r="J2430" i="6"/>
  <c r="F2430" i="6"/>
  <c r="J2429" i="6"/>
  <c r="F2429" i="6"/>
  <c r="J2428" i="6"/>
  <c r="F2428" i="6"/>
  <c r="J2427" i="6"/>
  <c r="F2427" i="6"/>
  <c r="J2426" i="6"/>
  <c r="F2426" i="6"/>
  <c r="J2425" i="6"/>
  <c r="F2425" i="6"/>
  <c r="J2424" i="6"/>
  <c r="F2424" i="6"/>
  <c r="J2423" i="6"/>
  <c r="F2423" i="6"/>
  <c r="J2422" i="6"/>
  <c r="F2422" i="6"/>
  <c r="J2421" i="6"/>
  <c r="F2421" i="6"/>
  <c r="J2420" i="6"/>
  <c r="F2420" i="6"/>
  <c r="J2419" i="6"/>
  <c r="F2419" i="6"/>
  <c r="J2418" i="6"/>
  <c r="F2418" i="6"/>
  <c r="J2417" i="6"/>
  <c r="F2417" i="6"/>
  <c r="J2416" i="6"/>
  <c r="F2416" i="6"/>
  <c r="F2415" i="6"/>
  <c r="J2414" i="6"/>
  <c r="F2414" i="6"/>
  <c r="J2413" i="6"/>
  <c r="F2413" i="6"/>
  <c r="J2412" i="6"/>
  <c r="F2412" i="6"/>
  <c r="J2411" i="6"/>
  <c r="F2411" i="6"/>
  <c r="J2410" i="6"/>
  <c r="F2410" i="6"/>
  <c r="J2409" i="6"/>
  <c r="F2409" i="6"/>
  <c r="J2408" i="6"/>
  <c r="F2408" i="6"/>
  <c r="J2407" i="6"/>
  <c r="F2407" i="6"/>
  <c r="J2406" i="6"/>
  <c r="F2406" i="6"/>
  <c r="J2405" i="6"/>
  <c r="F2405" i="6"/>
  <c r="J2404" i="6"/>
  <c r="F2404" i="6"/>
  <c r="J2403" i="6"/>
  <c r="F2403" i="6"/>
  <c r="J2402" i="6"/>
  <c r="F2402" i="6"/>
  <c r="J2401" i="6"/>
  <c r="F2401" i="6"/>
  <c r="J2400" i="6"/>
  <c r="F2400" i="6"/>
  <c r="J2399" i="6"/>
  <c r="F2399" i="6"/>
  <c r="J2398" i="6"/>
  <c r="F2398" i="6"/>
  <c r="J2397" i="6"/>
  <c r="F2397" i="6"/>
  <c r="J2396" i="6"/>
  <c r="F2396" i="6"/>
  <c r="J2395" i="6"/>
  <c r="F2395" i="6"/>
  <c r="J2394" i="6"/>
  <c r="F2394" i="6"/>
  <c r="J2393" i="6"/>
  <c r="F2393" i="6"/>
  <c r="J2392" i="6"/>
  <c r="F2392" i="6"/>
  <c r="J2391" i="6"/>
  <c r="F2391" i="6"/>
  <c r="J2390" i="6"/>
  <c r="F2390" i="6"/>
  <c r="J2389" i="6"/>
  <c r="F2389" i="6"/>
  <c r="J2388" i="6"/>
  <c r="F2388" i="6"/>
  <c r="J2387" i="6"/>
  <c r="F2387" i="6"/>
  <c r="J2386" i="6"/>
  <c r="F2386" i="6"/>
  <c r="J2385" i="6"/>
  <c r="F2385" i="6"/>
  <c r="J2384" i="6"/>
  <c r="F2384" i="6"/>
  <c r="J2383" i="6"/>
  <c r="F2383" i="6"/>
  <c r="J2382" i="6"/>
  <c r="F2382" i="6"/>
  <c r="J2381" i="6"/>
  <c r="F2381" i="6"/>
  <c r="J2380" i="6"/>
  <c r="F2380" i="6"/>
  <c r="J2379" i="6"/>
  <c r="F2379" i="6"/>
  <c r="J2378" i="6"/>
  <c r="F2378" i="6"/>
  <c r="J2377" i="6"/>
  <c r="F2377" i="6"/>
  <c r="J2376" i="6"/>
  <c r="F2376" i="6"/>
  <c r="J2375" i="6"/>
  <c r="F2375" i="6"/>
  <c r="J2374" i="6"/>
  <c r="F2374" i="6"/>
  <c r="F2373" i="6"/>
  <c r="J2372" i="6"/>
  <c r="F2372" i="6"/>
  <c r="J2371" i="6"/>
  <c r="F2371" i="6"/>
  <c r="J2370" i="6"/>
  <c r="F2370" i="6"/>
  <c r="J2369" i="6"/>
  <c r="F2369" i="6"/>
  <c r="J2368" i="6"/>
  <c r="F2368" i="6"/>
  <c r="J2367" i="6"/>
  <c r="F2367" i="6"/>
  <c r="J2366" i="6"/>
  <c r="F2366" i="6"/>
  <c r="J2365" i="6"/>
  <c r="F2365" i="6"/>
  <c r="J2364" i="6"/>
  <c r="F2364" i="6"/>
  <c r="F2363" i="6"/>
  <c r="J2362" i="6"/>
  <c r="F2362" i="6"/>
  <c r="J2361" i="6"/>
  <c r="F2361" i="6"/>
  <c r="J2360" i="6"/>
  <c r="F2360" i="6"/>
  <c r="J2359" i="6"/>
  <c r="F2359" i="6"/>
  <c r="J2358" i="6"/>
  <c r="F2358" i="6"/>
  <c r="J2357" i="6"/>
  <c r="F2357" i="6"/>
  <c r="J2356" i="6"/>
  <c r="F2356" i="6"/>
  <c r="J2355" i="6"/>
  <c r="F2355" i="6"/>
  <c r="J2354" i="6"/>
  <c r="F2354" i="6"/>
  <c r="J2353" i="6"/>
  <c r="F2353" i="6"/>
  <c r="J2352" i="6"/>
  <c r="F2352" i="6"/>
  <c r="F2351" i="6"/>
  <c r="J2350" i="6"/>
  <c r="F2350" i="6"/>
  <c r="J2349" i="6"/>
  <c r="F2349" i="6"/>
  <c r="J2348" i="6"/>
  <c r="F2348" i="6"/>
  <c r="F2347" i="6"/>
  <c r="J2346" i="6"/>
  <c r="F2346" i="6"/>
  <c r="J2345" i="6"/>
  <c r="F2345" i="6"/>
  <c r="J2344" i="6"/>
  <c r="F2344" i="6"/>
  <c r="J2343" i="6"/>
  <c r="F2343" i="6"/>
  <c r="J2342" i="6"/>
  <c r="F2342" i="6"/>
  <c r="J2341" i="6"/>
  <c r="F2341" i="6"/>
  <c r="J2340" i="6"/>
  <c r="F2340" i="6"/>
  <c r="J2339" i="6"/>
  <c r="F2339" i="6"/>
  <c r="J2338" i="6"/>
  <c r="F2338" i="6"/>
  <c r="J2337" i="6"/>
  <c r="F2337" i="6"/>
  <c r="J2336" i="6"/>
  <c r="F2336" i="6"/>
  <c r="J2335" i="6"/>
  <c r="F2335" i="6"/>
  <c r="J2334" i="6"/>
  <c r="F2334" i="6"/>
  <c r="J2333" i="6"/>
  <c r="F2333" i="6"/>
  <c r="J2332" i="6"/>
  <c r="F2332" i="6"/>
  <c r="J2331" i="6"/>
  <c r="F2331" i="6"/>
  <c r="J2330" i="6"/>
  <c r="F2330" i="6"/>
  <c r="J2329" i="6"/>
  <c r="F2329" i="6"/>
  <c r="J2328" i="6"/>
  <c r="F2328" i="6"/>
  <c r="J2327" i="6"/>
  <c r="F2327" i="6"/>
  <c r="J2326" i="6"/>
  <c r="F2326" i="6"/>
  <c r="J2325" i="6"/>
  <c r="F2325" i="6"/>
  <c r="J2324" i="6"/>
  <c r="F2324" i="6"/>
  <c r="J2323" i="6"/>
  <c r="F2323" i="6"/>
  <c r="J2322" i="6"/>
  <c r="F2322" i="6"/>
  <c r="J2321" i="6"/>
  <c r="F2321" i="6"/>
  <c r="J2320" i="6"/>
  <c r="F2320" i="6"/>
  <c r="J2319" i="6"/>
  <c r="F2319" i="6"/>
  <c r="J2318" i="6"/>
  <c r="F2318" i="6"/>
  <c r="J2317" i="6"/>
  <c r="F2317" i="6"/>
  <c r="J2316" i="6"/>
  <c r="F2316" i="6"/>
  <c r="F2315" i="6"/>
  <c r="J2314" i="6"/>
  <c r="F2314" i="6"/>
  <c r="J2313" i="6"/>
  <c r="F2313" i="6"/>
  <c r="J2312" i="6"/>
  <c r="F2312" i="6"/>
  <c r="J2311" i="6"/>
  <c r="F2311" i="6"/>
  <c r="J2310" i="6"/>
  <c r="F2310" i="6"/>
  <c r="J2309" i="6"/>
  <c r="F2309" i="6"/>
  <c r="J2308" i="6"/>
  <c r="F2308" i="6"/>
  <c r="J2307" i="6"/>
  <c r="F2307" i="6"/>
  <c r="J2306" i="6"/>
  <c r="F2306" i="6"/>
  <c r="J2305" i="6"/>
  <c r="F2305" i="6"/>
  <c r="F2304" i="6"/>
  <c r="J2303" i="6"/>
  <c r="F2303" i="6"/>
  <c r="J2302" i="6"/>
  <c r="F2302" i="6"/>
  <c r="J2301" i="6"/>
  <c r="F2301" i="6"/>
  <c r="J2300" i="6"/>
  <c r="F2300" i="6"/>
  <c r="J2299" i="6"/>
  <c r="F2299" i="6"/>
  <c r="J2298" i="6"/>
  <c r="F2298" i="6"/>
  <c r="J2297" i="6"/>
  <c r="F2297" i="6"/>
  <c r="F2296" i="6"/>
  <c r="J2295" i="6"/>
  <c r="F2295" i="6"/>
  <c r="J2294" i="6"/>
  <c r="F2294" i="6"/>
  <c r="J2293" i="6"/>
  <c r="F2293" i="6"/>
  <c r="J2292" i="6"/>
  <c r="F2292" i="6"/>
  <c r="J2291" i="6"/>
  <c r="F2291" i="6"/>
  <c r="J2290" i="6"/>
  <c r="F2290" i="6"/>
  <c r="F2289" i="6"/>
  <c r="J2288" i="6"/>
  <c r="F2288" i="6"/>
  <c r="J2287" i="6"/>
  <c r="F2287" i="6"/>
  <c r="J2286" i="6"/>
  <c r="F2286" i="6"/>
  <c r="J2285" i="6"/>
  <c r="F2285" i="6"/>
  <c r="J2284" i="6"/>
  <c r="F2284" i="6"/>
  <c r="J2283" i="6"/>
  <c r="F2283" i="6"/>
  <c r="J2282" i="6"/>
  <c r="F2282" i="6"/>
  <c r="F2281" i="6"/>
  <c r="J2280" i="6"/>
  <c r="F2280" i="6"/>
  <c r="J2279" i="6"/>
  <c r="F2279" i="6"/>
  <c r="J2278" i="6"/>
  <c r="F2278" i="6"/>
  <c r="J2277" i="6"/>
  <c r="F2277" i="6"/>
  <c r="J2276" i="6"/>
  <c r="F2276" i="6"/>
  <c r="J2275" i="6"/>
  <c r="F2275" i="6"/>
  <c r="J2274" i="6"/>
  <c r="F2274" i="6"/>
  <c r="F2273" i="6"/>
  <c r="J2272" i="6"/>
  <c r="F2272" i="6"/>
  <c r="J2271" i="6"/>
  <c r="F2271" i="6"/>
  <c r="J2270" i="6"/>
  <c r="F2270" i="6"/>
  <c r="J2269" i="6"/>
  <c r="F2269" i="6"/>
  <c r="J2268" i="6"/>
  <c r="F2268" i="6"/>
  <c r="J2267" i="6"/>
  <c r="F2267" i="6"/>
  <c r="J2266" i="6"/>
  <c r="F2266" i="6"/>
  <c r="F2265" i="6"/>
  <c r="J2264" i="6"/>
  <c r="F2264" i="6"/>
  <c r="J2263" i="6"/>
  <c r="F2263" i="6"/>
  <c r="J2262" i="6"/>
  <c r="F2262" i="6"/>
  <c r="J2261" i="6"/>
  <c r="F2261" i="6"/>
  <c r="J2260" i="6"/>
  <c r="F2260" i="6"/>
  <c r="J2259" i="6"/>
  <c r="F2259" i="6"/>
  <c r="J2258" i="6"/>
  <c r="F2258" i="6"/>
  <c r="F2257" i="6"/>
  <c r="J2256" i="6"/>
  <c r="F2256" i="6"/>
  <c r="J2255" i="6"/>
  <c r="F2255" i="6"/>
  <c r="J2254" i="6"/>
  <c r="F2254" i="6"/>
  <c r="J2253" i="6"/>
  <c r="F2253" i="6"/>
  <c r="J2252" i="6"/>
  <c r="F2252" i="6"/>
  <c r="J2251" i="6"/>
  <c r="F2251" i="6"/>
  <c r="J2250" i="6"/>
  <c r="F2250" i="6"/>
  <c r="F2249" i="6"/>
  <c r="J2248" i="6"/>
  <c r="F2248" i="6"/>
  <c r="J2247" i="6"/>
  <c r="F2247" i="6"/>
  <c r="J2246" i="6"/>
  <c r="F2246" i="6"/>
  <c r="J2245" i="6"/>
  <c r="F2245" i="6"/>
  <c r="J2244" i="6"/>
  <c r="F2244" i="6"/>
  <c r="J2243" i="6"/>
  <c r="F2243" i="6"/>
  <c r="J2242" i="6"/>
  <c r="F2242" i="6"/>
  <c r="J2241" i="6"/>
  <c r="F2241" i="6"/>
  <c r="J2240" i="6"/>
  <c r="F2240" i="6"/>
  <c r="J2239" i="6"/>
  <c r="F2239" i="6"/>
  <c r="J2238" i="6"/>
  <c r="F2238" i="6"/>
  <c r="J2237" i="6"/>
  <c r="F2237" i="6"/>
  <c r="J2236" i="6"/>
  <c r="F2236" i="6"/>
  <c r="J2235" i="6"/>
  <c r="F2235" i="6"/>
  <c r="J2234" i="6"/>
  <c r="F2234" i="6"/>
  <c r="J2233" i="6"/>
  <c r="F2233" i="6"/>
  <c r="J2232" i="6"/>
  <c r="F2232" i="6"/>
  <c r="J2231" i="6"/>
  <c r="F2231" i="6"/>
  <c r="J2230" i="6"/>
  <c r="F2230" i="6"/>
  <c r="J2229" i="6"/>
  <c r="F2229" i="6"/>
  <c r="J2228" i="6"/>
  <c r="F2228" i="6"/>
  <c r="J2227" i="6"/>
  <c r="F2227" i="6"/>
  <c r="J2226" i="6"/>
  <c r="F2226" i="6"/>
  <c r="J2225" i="6"/>
  <c r="F2225" i="6"/>
  <c r="J2224" i="6"/>
  <c r="F2224" i="6"/>
  <c r="J2223" i="6"/>
  <c r="F2223" i="6"/>
  <c r="F2222" i="6"/>
  <c r="J2221" i="6"/>
  <c r="F2221" i="6"/>
  <c r="J2220" i="6"/>
  <c r="F2220" i="6"/>
  <c r="J2219" i="6"/>
  <c r="F2219" i="6"/>
  <c r="J2218" i="6"/>
  <c r="F2218" i="6"/>
  <c r="J2217" i="6"/>
  <c r="F2217" i="6"/>
  <c r="J2216" i="6"/>
  <c r="F2216" i="6"/>
  <c r="J2215" i="6"/>
  <c r="F2215" i="6"/>
  <c r="J2214" i="6"/>
  <c r="F2214" i="6"/>
  <c r="J2213" i="6"/>
  <c r="F2213" i="6"/>
  <c r="J2212" i="6"/>
  <c r="F2212" i="6"/>
  <c r="J2211" i="6"/>
  <c r="F2211" i="6"/>
  <c r="J2210" i="6"/>
  <c r="F2210" i="6"/>
  <c r="J2209" i="6"/>
  <c r="F2209" i="6"/>
  <c r="J2208" i="6"/>
  <c r="F2208" i="6"/>
  <c r="J2207" i="6"/>
  <c r="F2207" i="6"/>
  <c r="J2206" i="6"/>
  <c r="F2206" i="6"/>
  <c r="J2205" i="6"/>
  <c r="F2205" i="6"/>
  <c r="J2204" i="6"/>
  <c r="F2204" i="6"/>
  <c r="J2203" i="6"/>
  <c r="F2203" i="6"/>
  <c r="J2202" i="6"/>
  <c r="F2202" i="6"/>
  <c r="J2201" i="6"/>
  <c r="F2201" i="6"/>
  <c r="J2200" i="6"/>
  <c r="F2200" i="6"/>
  <c r="J2199" i="6"/>
  <c r="F2199" i="6"/>
  <c r="J2198" i="6"/>
  <c r="F2198" i="6"/>
  <c r="J2197" i="6"/>
  <c r="F2197" i="6"/>
  <c r="J2196" i="6"/>
  <c r="F2196" i="6"/>
  <c r="J2195" i="6"/>
  <c r="F2195" i="6"/>
  <c r="J2194" i="6"/>
  <c r="F2194" i="6"/>
  <c r="J2193" i="6"/>
  <c r="F2193" i="6"/>
  <c r="J2192" i="6"/>
  <c r="F2192" i="6"/>
  <c r="J2191" i="6"/>
  <c r="F2191" i="6"/>
  <c r="J2190" i="6"/>
  <c r="F2190" i="6"/>
  <c r="J2189" i="6"/>
  <c r="F2189" i="6"/>
  <c r="J2188" i="6"/>
  <c r="F2188" i="6"/>
  <c r="J2187" i="6"/>
  <c r="F2187" i="6"/>
  <c r="J2186" i="6"/>
  <c r="F2186" i="6"/>
  <c r="J2185" i="6"/>
  <c r="F2185" i="6"/>
  <c r="J2184" i="6"/>
  <c r="F2184" i="6"/>
  <c r="J2183" i="6"/>
  <c r="F2183" i="6"/>
  <c r="J2182" i="6"/>
  <c r="F2182" i="6"/>
  <c r="J2181" i="6"/>
  <c r="F2181" i="6"/>
  <c r="F2180" i="6"/>
  <c r="J2179" i="6"/>
  <c r="F2179" i="6"/>
  <c r="J2178" i="6"/>
  <c r="F2178" i="6"/>
  <c r="J2177" i="6"/>
  <c r="F2177" i="6"/>
  <c r="J2176" i="6"/>
  <c r="F2176" i="6"/>
  <c r="J2175" i="6"/>
  <c r="F2175" i="6"/>
  <c r="J2174" i="6"/>
  <c r="F2174" i="6"/>
  <c r="J2173" i="6"/>
  <c r="F2173" i="6"/>
  <c r="J2172" i="6"/>
  <c r="F2172" i="6"/>
  <c r="J2171" i="6"/>
  <c r="F2171" i="6"/>
  <c r="F2170" i="6"/>
  <c r="J2169" i="6"/>
  <c r="F2169" i="6"/>
  <c r="J2168" i="6"/>
  <c r="F2168" i="6"/>
  <c r="J2167" i="6"/>
  <c r="F2167" i="6"/>
  <c r="J2166" i="6"/>
  <c r="F2166" i="6"/>
  <c r="J2165" i="6"/>
  <c r="F2165" i="6"/>
  <c r="J2164" i="6"/>
  <c r="F2164" i="6"/>
  <c r="J2163" i="6"/>
  <c r="F2163" i="6"/>
  <c r="J2162" i="6"/>
  <c r="F2162" i="6"/>
  <c r="J2161" i="6"/>
  <c r="F2161" i="6"/>
  <c r="J2160" i="6"/>
  <c r="F2160" i="6"/>
  <c r="J2159" i="6"/>
  <c r="F2159" i="6"/>
  <c r="F2158" i="6"/>
  <c r="J2157" i="6"/>
  <c r="F2157" i="6"/>
  <c r="J2156" i="6"/>
  <c r="F2156" i="6"/>
  <c r="J2155" i="6"/>
  <c r="F2155" i="6"/>
  <c r="F2154" i="6"/>
  <c r="J2153" i="6"/>
  <c r="F2153" i="6"/>
  <c r="J2152" i="6"/>
  <c r="F2152" i="6"/>
  <c r="J2151" i="6"/>
  <c r="F2151" i="6"/>
  <c r="J2150" i="6"/>
  <c r="F2150" i="6"/>
  <c r="J2149" i="6"/>
  <c r="F2149" i="6"/>
  <c r="J2148" i="6"/>
  <c r="F2148" i="6"/>
  <c r="J2147" i="6"/>
  <c r="F2147" i="6"/>
  <c r="J2146" i="6"/>
  <c r="F2146" i="6"/>
  <c r="J2145" i="6"/>
  <c r="F2145" i="6"/>
  <c r="J2144" i="6"/>
  <c r="F2144" i="6"/>
  <c r="J2143" i="6"/>
  <c r="F2143" i="6"/>
  <c r="J2142" i="6"/>
  <c r="F2142" i="6"/>
  <c r="J2141" i="6"/>
  <c r="F2141" i="6"/>
  <c r="J2140" i="6"/>
  <c r="F2140" i="6"/>
  <c r="J2139" i="6"/>
  <c r="F2139" i="6"/>
  <c r="J2138" i="6"/>
  <c r="F2138" i="6"/>
  <c r="J2137" i="6"/>
  <c r="F2137" i="6"/>
  <c r="J2136" i="6"/>
  <c r="F2136" i="6"/>
  <c r="J2135" i="6"/>
  <c r="F2135" i="6"/>
  <c r="J2134" i="6"/>
  <c r="F2134" i="6"/>
  <c r="J2133" i="6"/>
  <c r="F2133" i="6"/>
  <c r="F3678" i="6"/>
  <c r="J3678" i="6"/>
  <c r="F3679" i="6"/>
  <c r="J3679" i="6"/>
  <c r="F3680" i="6"/>
  <c r="J3680" i="6"/>
  <c r="F3681" i="6"/>
  <c r="J3681" i="6"/>
  <c r="F3682" i="6"/>
  <c r="J3682" i="6"/>
  <c r="F3683" i="6"/>
  <c r="J3683" i="6"/>
  <c r="F3684" i="6"/>
  <c r="J3684" i="6"/>
  <c r="F3685" i="6"/>
  <c r="J3685" i="6"/>
  <c r="F3686" i="6"/>
  <c r="J3686" i="6"/>
  <c r="F3687" i="6"/>
  <c r="J3687" i="6"/>
  <c r="F3688" i="6"/>
  <c r="J3688" i="6"/>
  <c r="F3689" i="6"/>
  <c r="J3689" i="6"/>
  <c r="F3690" i="6"/>
  <c r="J3690" i="6"/>
  <c r="F3691" i="6"/>
  <c r="J3691" i="6"/>
  <c r="F3692" i="6"/>
  <c r="J3692" i="6"/>
  <c r="F3693" i="6"/>
  <c r="J3693" i="6"/>
  <c r="F3694" i="6"/>
  <c r="J3694" i="6"/>
  <c r="F3695" i="6"/>
  <c r="J3695" i="6"/>
  <c r="F3696" i="6"/>
  <c r="J3696" i="6"/>
  <c r="F3697" i="6"/>
  <c r="J3697" i="6"/>
  <c r="F3698" i="6"/>
  <c r="J3698" i="6"/>
  <c r="F3699" i="6"/>
  <c r="J3699" i="6"/>
  <c r="F3700" i="6"/>
  <c r="J3700" i="6"/>
  <c r="F3701" i="6"/>
  <c r="J3701" i="6"/>
  <c r="F3702" i="6"/>
  <c r="J3702" i="6"/>
  <c r="F3703" i="6"/>
  <c r="J3703" i="6"/>
  <c r="F3704" i="6"/>
  <c r="J3704" i="6"/>
  <c r="F3705" i="6"/>
  <c r="J3705" i="6"/>
  <c r="F3706" i="6"/>
  <c r="J3706" i="6"/>
  <c r="F3707" i="6"/>
  <c r="J3707" i="6"/>
  <c r="F3708" i="6"/>
  <c r="J3708" i="6"/>
  <c r="F3709" i="6"/>
  <c r="J3709" i="6"/>
  <c r="F3710" i="6"/>
  <c r="J3710" i="6"/>
  <c r="F3711" i="6"/>
  <c r="J3711" i="6"/>
  <c r="F3712" i="6"/>
  <c r="J3712" i="6"/>
  <c r="F3713" i="6"/>
  <c r="J3713" i="6"/>
  <c r="F3714" i="6"/>
  <c r="J3714" i="6"/>
  <c r="F3715" i="6"/>
  <c r="J3715" i="6"/>
  <c r="F3716" i="6"/>
  <c r="J3716" i="6"/>
  <c r="F3717" i="6"/>
  <c r="J3717" i="6"/>
  <c r="F3718" i="6"/>
  <c r="J3718" i="6"/>
  <c r="F3719" i="6"/>
  <c r="F3720" i="6"/>
  <c r="F3721" i="6"/>
  <c r="F3722" i="6"/>
  <c r="J3722" i="6"/>
  <c r="F3723" i="6"/>
  <c r="J3723" i="6"/>
  <c r="F3724" i="6"/>
  <c r="J3724" i="6"/>
  <c r="F3725" i="6"/>
  <c r="J3725" i="6"/>
  <c r="F3726" i="6"/>
  <c r="J3726" i="6"/>
  <c r="F3727" i="6"/>
  <c r="F3728" i="6"/>
  <c r="F3729" i="6"/>
  <c r="F3730" i="6"/>
  <c r="J3730" i="6"/>
  <c r="F3731" i="6"/>
  <c r="J3731" i="6"/>
  <c r="F3732" i="6"/>
  <c r="J3732" i="6"/>
  <c r="F3733" i="6"/>
  <c r="J3733" i="6"/>
  <c r="F3734" i="6"/>
  <c r="J3734" i="6"/>
  <c r="F3735" i="6"/>
  <c r="J3735" i="6"/>
  <c r="F3736" i="6"/>
  <c r="J3736" i="6"/>
  <c r="F3737" i="6"/>
  <c r="J3737" i="6"/>
  <c r="F3738" i="6"/>
  <c r="J3738" i="6"/>
  <c r="F3739" i="6"/>
  <c r="J3739" i="6"/>
  <c r="F3740" i="6"/>
  <c r="J3740" i="6"/>
  <c r="F3741" i="6"/>
  <c r="F3742" i="6"/>
  <c r="J3742" i="6"/>
  <c r="F3743" i="6"/>
  <c r="J3743" i="6"/>
  <c r="F3744" i="6"/>
  <c r="J3744" i="6"/>
  <c r="F3745" i="6"/>
  <c r="J3745" i="6"/>
  <c r="F3746" i="6"/>
  <c r="J3746" i="6"/>
  <c r="F3747" i="6"/>
  <c r="J3747" i="6"/>
  <c r="F3748" i="6"/>
  <c r="J3748" i="6"/>
  <c r="F3749" i="6"/>
  <c r="J3749" i="6"/>
  <c r="F3750" i="6"/>
  <c r="J3750" i="6"/>
  <c r="F3751" i="6"/>
  <c r="F3752" i="6"/>
  <c r="F3753" i="6"/>
  <c r="F3754" i="6"/>
  <c r="J3754" i="6"/>
  <c r="F3755" i="6"/>
  <c r="J3755" i="6"/>
  <c r="F3756" i="6"/>
  <c r="J3756" i="6"/>
  <c r="F3757" i="6"/>
  <c r="F3758" i="6"/>
  <c r="J3758" i="6"/>
  <c r="F3759" i="6"/>
  <c r="J3759" i="6"/>
  <c r="F3760" i="6"/>
  <c r="J3760" i="6"/>
  <c r="F3761" i="6"/>
  <c r="F3762" i="6"/>
  <c r="J3762" i="6"/>
  <c r="F3763" i="6"/>
  <c r="J3763" i="6"/>
  <c r="F3764" i="6"/>
  <c r="J3764" i="6"/>
  <c r="F3765" i="6"/>
  <c r="J3765" i="6"/>
  <c r="F3766" i="6"/>
  <c r="J3766" i="6"/>
  <c r="F3767" i="6"/>
  <c r="J3767" i="6"/>
  <c r="F3768" i="6"/>
  <c r="J3768" i="6"/>
  <c r="F3769" i="6"/>
  <c r="J3769" i="6"/>
  <c r="F3770" i="6"/>
  <c r="J3770" i="6"/>
  <c r="F3771" i="6"/>
  <c r="F3772" i="6"/>
  <c r="F3773" i="6"/>
  <c r="F3774" i="6"/>
  <c r="J3774" i="6"/>
  <c r="F3775" i="6"/>
  <c r="J3775" i="6"/>
  <c r="F3776" i="6"/>
  <c r="J3776" i="6"/>
  <c r="F3777" i="6"/>
  <c r="J3777" i="6"/>
  <c r="F3778" i="6"/>
  <c r="J3778" i="6"/>
  <c r="F3779" i="6"/>
  <c r="J3779" i="6"/>
  <c r="F3780" i="6"/>
  <c r="J3780" i="6"/>
  <c r="F3781" i="6"/>
  <c r="J3781" i="6"/>
  <c r="F3782" i="6"/>
  <c r="J3782" i="6"/>
  <c r="F3783" i="6"/>
  <c r="J3783" i="6"/>
  <c r="F3784" i="6"/>
  <c r="J3784" i="6"/>
  <c r="F3785" i="6"/>
  <c r="F3786" i="6"/>
  <c r="J3786" i="6"/>
  <c r="F3787" i="6"/>
  <c r="J3787" i="6"/>
  <c r="F3788" i="6"/>
  <c r="J3788" i="6"/>
  <c r="F3789" i="6"/>
  <c r="J3789" i="6"/>
  <c r="F3790" i="6"/>
  <c r="J3790" i="6"/>
  <c r="F3791" i="6"/>
  <c r="J3791" i="6"/>
  <c r="F3792" i="6"/>
  <c r="J3792" i="6"/>
  <c r="F3793" i="6"/>
  <c r="F3794" i="6"/>
  <c r="J3794" i="6"/>
  <c r="F3795" i="6"/>
  <c r="J3795" i="6"/>
  <c r="F3796" i="6"/>
  <c r="J3796" i="6"/>
  <c r="F3797" i="6"/>
  <c r="J3797" i="6"/>
  <c r="F3798" i="6"/>
  <c r="J3798" i="6"/>
  <c r="F3799" i="6"/>
  <c r="J3799" i="6"/>
  <c r="F3800" i="6"/>
  <c r="J3800" i="6"/>
  <c r="F3801" i="6"/>
  <c r="J3801" i="6"/>
  <c r="F3802" i="6"/>
  <c r="J3802" i="6"/>
  <c r="F3803" i="6"/>
  <c r="J3803" i="6"/>
  <c r="F3804" i="6"/>
  <c r="J3804" i="6"/>
  <c r="F3805" i="6"/>
  <c r="F3806" i="6"/>
  <c r="J3806" i="6"/>
  <c r="F3807" i="6"/>
  <c r="J3807" i="6"/>
  <c r="F3808" i="6"/>
  <c r="J3808" i="6"/>
  <c r="F3809" i="6"/>
  <c r="J3809" i="6"/>
  <c r="F3810" i="6"/>
  <c r="J3810" i="6"/>
  <c r="F3811" i="6"/>
  <c r="J3811" i="6"/>
  <c r="F3812" i="6"/>
  <c r="J3812" i="6"/>
  <c r="F3813" i="6"/>
  <c r="J3813" i="6"/>
  <c r="F3814" i="6"/>
  <c r="J3814" i="6"/>
  <c r="F3815" i="6"/>
  <c r="J3815" i="6"/>
  <c r="F3816" i="6"/>
  <c r="J3816" i="6"/>
  <c r="F3817" i="6"/>
  <c r="F3818" i="6"/>
  <c r="J3818" i="6"/>
  <c r="F3819" i="6"/>
  <c r="J3819" i="6"/>
  <c r="F3820" i="6"/>
  <c r="J3820" i="6"/>
  <c r="F3821" i="6"/>
  <c r="J3821" i="6"/>
  <c r="F3822" i="6"/>
  <c r="J3822" i="6"/>
  <c r="F3823" i="6"/>
  <c r="J3823" i="6"/>
  <c r="F3824" i="6"/>
  <c r="J3824" i="6"/>
  <c r="F3825" i="6"/>
  <c r="J3825" i="6"/>
  <c r="F3826" i="6"/>
  <c r="J3826" i="6"/>
  <c r="F3827" i="6"/>
  <c r="J3827" i="6"/>
  <c r="F3828" i="6"/>
  <c r="J3828" i="6"/>
  <c r="F3829" i="6"/>
  <c r="J3829" i="6"/>
  <c r="F3830" i="6"/>
  <c r="J3830" i="6"/>
  <c r="F3831" i="6"/>
  <c r="J3831" i="6"/>
  <c r="F3832" i="6"/>
  <c r="J3832" i="6"/>
  <c r="F3833" i="6"/>
  <c r="J3833" i="6"/>
  <c r="F3834" i="6"/>
  <c r="J3834" i="6"/>
  <c r="F3835" i="6"/>
  <c r="J3835" i="6"/>
  <c r="F3836" i="6"/>
  <c r="J3836" i="6"/>
  <c r="F3837" i="6"/>
  <c r="F3838" i="6"/>
  <c r="J3838" i="6"/>
  <c r="F3839" i="6"/>
  <c r="J3839" i="6"/>
  <c r="F3840" i="6"/>
  <c r="J3840" i="6"/>
  <c r="F3841" i="6"/>
  <c r="J3841" i="6"/>
  <c r="F3842" i="6"/>
  <c r="J3842" i="6"/>
  <c r="F3843" i="6"/>
  <c r="J3843" i="6"/>
  <c r="F3844" i="6"/>
  <c r="J3844" i="6"/>
  <c r="F3845" i="6"/>
  <c r="J3845" i="6"/>
  <c r="F3846" i="6"/>
  <c r="J3846" i="6"/>
  <c r="F3847" i="6"/>
  <c r="J3847" i="6"/>
  <c r="F3848" i="6"/>
  <c r="J3848" i="6"/>
  <c r="F3849" i="6"/>
  <c r="J3849" i="6"/>
  <c r="F3850" i="6"/>
  <c r="J3850" i="6"/>
  <c r="F3851" i="6"/>
  <c r="J3851" i="6"/>
  <c r="F3852" i="6"/>
  <c r="J3852" i="6"/>
  <c r="F3853" i="6"/>
  <c r="J3853" i="6"/>
  <c r="F3854" i="6"/>
  <c r="J3854" i="6"/>
  <c r="F3855" i="6"/>
  <c r="F3856" i="6"/>
  <c r="F3857" i="6"/>
  <c r="F3858" i="6"/>
  <c r="J3858" i="6"/>
  <c r="F3859" i="6"/>
  <c r="J3859" i="6"/>
  <c r="F3860" i="6"/>
  <c r="J3860" i="6"/>
  <c r="F3861" i="6"/>
  <c r="J3861" i="6"/>
  <c r="F3862" i="6"/>
  <c r="J3862" i="6"/>
  <c r="F3863" i="6"/>
  <c r="J3863" i="6"/>
  <c r="F3864" i="6"/>
  <c r="J3864" i="6"/>
  <c r="F3865" i="6"/>
  <c r="J3865" i="6"/>
  <c r="F3866" i="6"/>
  <c r="J3866" i="6"/>
  <c r="F3867" i="6"/>
  <c r="J3867" i="6"/>
  <c r="F3868" i="6"/>
  <c r="J3868" i="6"/>
  <c r="F3869" i="6"/>
  <c r="J3869" i="6"/>
  <c r="F3870" i="6"/>
  <c r="J3870" i="6"/>
  <c r="M4255" i="6"/>
  <c r="L4255" i="6"/>
  <c r="J4255" i="6"/>
  <c r="F4255" i="6"/>
  <c r="J4254" i="6"/>
  <c r="F4254" i="6"/>
  <c r="M4219" i="6"/>
  <c r="L4219" i="6"/>
  <c r="J4219" i="6"/>
  <c r="F4219" i="6"/>
  <c r="J4218" i="6"/>
  <c r="F4218" i="6"/>
  <c r="M4199" i="6"/>
  <c r="L4199" i="6"/>
  <c r="J4199" i="6"/>
  <c r="F4199" i="6"/>
  <c r="J4198" i="6"/>
  <c r="F4198" i="6"/>
  <c r="M4187" i="6"/>
  <c r="L4187" i="6"/>
  <c r="J4187" i="6"/>
  <c r="F4187" i="6"/>
  <c r="J4186" i="6"/>
  <c r="F4186" i="6"/>
  <c r="M4175" i="6"/>
  <c r="L4175" i="6"/>
  <c r="J4175" i="6"/>
  <c r="F4175" i="6"/>
  <c r="J4174" i="6"/>
  <c r="F4174" i="6"/>
  <c r="L2807" i="6"/>
  <c r="L2789" i="6"/>
  <c r="L2779" i="6"/>
  <c r="L2773" i="6"/>
  <c r="L2767" i="6"/>
  <c r="J2035" i="6"/>
  <c r="F2035" i="6"/>
  <c r="J2017" i="6"/>
  <c r="F2017" i="6"/>
  <c r="J2007" i="6"/>
  <c r="F2007" i="6"/>
  <c r="J2001" i="6"/>
  <c r="F2001" i="6"/>
  <c r="L2035" i="6"/>
  <c r="L1724" i="6" s="1"/>
  <c r="AJ273" i="15" s="1"/>
  <c r="L2017" i="6"/>
  <c r="L1688" i="6" s="1"/>
  <c r="AJ261" i="15" s="1"/>
  <c r="L2007" i="6"/>
  <c r="L1668" i="6" s="1"/>
  <c r="AJ253" i="15" s="1"/>
  <c r="L2001" i="6"/>
  <c r="L1656" i="6" s="1"/>
  <c r="AJ247" i="15" s="1"/>
  <c r="J1995" i="6"/>
  <c r="F1995" i="6"/>
  <c r="L1995" i="6"/>
  <c r="L1644" i="6" s="1"/>
  <c r="AJ241" i="15" s="1"/>
  <c r="H1645" i="6"/>
  <c r="H1644" i="6"/>
  <c r="H1657" i="6"/>
  <c r="H1656" i="6"/>
  <c r="I1656" i="6" s="1"/>
  <c r="Q247" i="15" s="1"/>
  <c r="H1669" i="6"/>
  <c r="H1668" i="6"/>
  <c r="H1689" i="6"/>
  <c r="H1688" i="6"/>
  <c r="H1725" i="6"/>
  <c r="H1724" i="6"/>
  <c r="F1725" i="6"/>
  <c r="L273" i="15" s="1"/>
  <c r="F1689" i="6"/>
  <c r="L261" i="15" s="1"/>
  <c r="F1669" i="6"/>
  <c r="L253" i="15" s="1"/>
  <c r="F1645" i="6"/>
  <c r="L241" i="15" s="1"/>
  <c r="F1657" i="6"/>
  <c r="L247" i="15" s="1"/>
  <c r="AD253" i="15"/>
  <c r="P253" i="15"/>
  <c r="J253" i="15"/>
  <c r="H253" i="15"/>
  <c r="G253" i="15"/>
  <c r="D253" i="15"/>
  <c r="C253" i="15"/>
  <c r="AM253" i="15" s="1"/>
  <c r="B253" i="15"/>
  <c r="A253" i="15" s="1"/>
  <c r="AD261" i="15"/>
  <c r="P261" i="15"/>
  <c r="J261" i="15"/>
  <c r="H261" i="15"/>
  <c r="G261" i="15"/>
  <c r="D261" i="15"/>
  <c r="C261" i="15"/>
  <c r="AM261" i="15" s="1"/>
  <c r="B261" i="15"/>
  <c r="A261" i="15" s="1"/>
  <c r="AD273" i="15"/>
  <c r="P273" i="15"/>
  <c r="J273" i="15"/>
  <c r="H273" i="15"/>
  <c r="G273" i="15"/>
  <c r="D273" i="15"/>
  <c r="C273" i="15"/>
  <c r="AM273" i="15" s="1"/>
  <c r="B273" i="15"/>
  <c r="A273" i="15" s="1"/>
  <c r="AD247" i="15"/>
  <c r="P247" i="15"/>
  <c r="K247" i="15"/>
  <c r="J247" i="15"/>
  <c r="H247" i="15"/>
  <c r="G247" i="15"/>
  <c r="D247" i="15"/>
  <c r="C247" i="15"/>
  <c r="AM247" i="15" s="1"/>
  <c r="B247" i="15"/>
  <c r="A247" i="15" s="1"/>
  <c r="AD241" i="15"/>
  <c r="P241" i="15"/>
  <c r="J241" i="15"/>
  <c r="H241" i="15"/>
  <c r="G241" i="15"/>
  <c r="D241" i="15"/>
  <c r="C241" i="15"/>
  <c r="AM241" i="15" s="1"/>
  <c r="B241" i="15"/>
  <c r="A241" i="15" s="1"/>
  <c r="A1725" i="6"/>
  <c r="A1724" i="6"/>
  <c r="A1723" i="6"/>
  <c r="A1722" i="6"/>
  <c r="A1721" i="6"/>
  <c r="A1720" i="6"/>
  <c r="A1719" i="6"/>
  <c r="A1718" i="6"/>
  <c r="A1717" i="6"/>
  <c r="A1716" i="6"/>
  <c r="A1715" i="6"/>
  <c r="A1714" i="6"/>
  <c r="A1709" i="6"/>
  <c r="A1708" i="6"/>
  <c r="A1707" i="6"/>
  <c r="A1706" i="6"/>
  <c r="A1705" i="6"/>
  <c r="A1704" i="6"/>
  <c r="A1703" i="6"/>
  <c r="A1702" i="6"/>
  <c r="A1701" i="6"/>
  <c r="A1700" i="6"/>
  <c r="A1699" i="6"/>
  <c r="A1698" i="6"/>
  <c r="A1697" i="6"/>
  <c r="A1696" i="6"/>
  <c r="A1695" i="6"/>
  <c r="A1694" i="6"/>
  <c r="A1691" i="6"/>
  <c r="A1690" i="6"/>
  <c r="A1689" i="6"/>
  <c r="A1688" i="6"/>
  <c r="A1687" i="6"/>
  <c r="A1686" i="6"/>
  <c r="A1685" i="6"/>
  <c r="A1684" i="6"/>
  <c r="A1683" i="6"/>
  <c r="A1682" i="6"/>
  <c r="A1681" i="6"/>
  <c r="A1680" i="6"/>
  <c r="A1679" i="6"/>
  <c r="A1678" i="6"/>
  <c r="A1677" i="6"/>
  <c r="A1676" i="6"/>
  <c r="A1675" i="6"/>
  <c r="A1674" i="6"/>
  <c r="A1671" i="6"/>
  <c r="A1670" i="6"/>
  <c r="A1669" i="6"/>
  <c r="A1668" i="6"/>
  <c r="A1667" i="6"/>
  <c r="A1666" i="6"/>
  <c r="A1665" i="6"/>
  <c r="A1664" i="6"/>
  <c r="A1663" i="6"/>
  <c r="A1662" i="6"/>
  <c r="A1659" i="6"/>
  <c r="A1658" i="6"/>
  <c r="A1657" i="6"/>
  <c r="A1656" i="6"/>
  <c r="A1655" i="6"/>
  <c r="A1654" i="6"/>
  <c r="A1653" i="6"/>
  <c r="A1652" i="6"/>
  <c r="A1651" i="6"/>
  <c r="A1650" i="6"/>
  <c r="A1647" i="6"/>
  <c r="A1646" i="6"/>
  <c r="A1645" i="6"/>
  <c r="A1644" i="6"/>
  <c r="DJ775" i="2"/>
  <c r="F127" i="2"/>
  <c r="F126" i="2"/>
  <c r="F125" i="2"/>
  <c r="F124" i="2"/>
  <c r="F123" i="2"/>
  <c r="F122" i="2"/>
  <c r="F121" i="2"/>
  <c r="F120" i="2"/>
  <c r="F119" i="2"/>
  <c r="I334" i="16"/>
  <c r="F334" i="16" s="1"/>
  <c r="I333" i="16"/>
  <c r="F333" i="16" s="1"/>
  <c r="K365" i="15" l="1"/>
  <c r="I4551" i="6"/>
  <c r="Q365" i="15" s="1"/>
  <c r="BD4551" i="6"/>
  <c r="N354" i="15"/>
  <c r="BD4524" i="6"/>
  <c r="L355" i="15"/>
  <c r="I4524" i="6"/>
  <c r="K347" i="15"/>
  <c r="M346" i="15"/>
  <c r="BD4499" i="6"/>
  <c r="I4499" i="6"/>
  <c r="L363" i="15"/>
  <c r="N362" i="15"/>
  <c r="I4548" i="6"/>
  <c r="BD4548" i="6"/>
  <c r="K357" i="15"/>
  <c r="AN357" i="15" s="1"/>
  <c r="I4527" i="6"/>
  <c r="Q357" i="15" s="1"/>
  <c r="BD4527" i="6"/>
  <c r="M338" i="15"/>
  <c r="K339" i="15"/>
  <c r="I4475" i="6"/>
  <c r="BD4475" i="6"/>
  <c r="L365" i="15"/>
  <c r="BD4552" i="6"/>
  <c r="AF365" i="15" s="1"/>
  <c r="I4552" i="6"/>
  <c r="R365" i="15" s="1"/>
  <c r="O365" i="15" s="1"/>
  <c r="W365" i="15" s="1"/>
  <c r="K349" i="15"/>
  <c r="AN349" i="15" s="1"/>
  <c r="I4503" i="6"/>
  <c r="Q349" i="15" s="1"/>
  <c r="BD4503" i="6"/>
  <c r="L357" i="15"/>
  <c r="I357" i="15" s="1"/>
  <c r="I4528" i="6"/>
  <c r="R357" i="15" s="1"/>
  <c r="BD4528" i="6"/>
  <c r="AF357" i="15" s="1"/>
  <c r="N338" i="15"/>
  <c r="I4476" i="6"/>
  <c r="L339" i="15"/>
  <c r="BD4476" i="6"/>
  <c r="K341" i="15"/>
  <c r="I4479" i="6"/>
  <c r="Q341" i="15" s="1"/>
  <c r="BD4479" i="6"/>
  <c r="N346" i="15"/>
  <c r="BD4500" i="6"/>
  <c r="I4500" i="6"/>
  <c r="L347" i="15"/>
  <c r="I4504" i="6"/>
  <c r="R349" i="15" s="1"/>
  <c r="BD4504" i="6"/>
  <c r="AF349" i="15" s="1"/>
  <c r="L349" i="15"/>
  <c r="I349" i="15" s="1"/>
  <c r="M354" i="15"/>
  <c r="J354" i="15" s="1"/>
  <c r="K355" i="15"/>
  <c r="BD4523" i="6"/>
  <c r="I4523" i="6"/>
  <c r="L341" i="15"/>
  <c r="I4480" i="6"/>
  <c r="R341" i="15" s="1"/>
  <c r="BD4480" i="6"/>
  <c r="AF341" i="15" s="1"/>
  <c r="M362" i="15"/>
  <c r="J362" i="15" s="1"/>
  <c r="K363" i="15"/>
  <c r="I4547" i="6"/>
  <c r="BD4547" i="6"/>
  <c r="I1668" i="6"/>
  <c r="Q253" i="15" s="1"/>
  <c r="I1724" i="6"/>
  <c r="Q273" i="15" s="1"/>
  <c r="I1725" i="6"/>
  <c r="R273" i="15" s="1"/>
  <c r="BD1724" i="6"/>
  <c r="AE273" i="15" s="1"/>
  <c r="BD1689" i="6"/>
  <c r="AF261" i="15" s="1"/>
  <c r="X241" i="15"/>
  <c r="Z241" i="15" s="1"/>
  <c r="BD1645" i="6"/>
  <c r="AF241" i="15" s="1"/>
  <c r="BD1669" i="6"/>
  <c r="AF253" i="15" s="1"/>
  <c r="I1688" i="6"/>
  <c r="Q261" i="15" s="1"/>
  <c r="BD1725" i="6"/>
  <c r="AF273" i="15" s="1"/>
  <c r="BD1657" i="6"/>
  <c r="AF247" i="15" s="1"/>
  <c r="BD1688" i="6"/>
  <c r="AE261" i="15" s="1"/>
  <c r="I261" i="15"/>
  <c r="BD1668" i="6"/>
  <c r="AE253" i="15" s="1"/>
  <c r="X253" i="15"/>
  <c r="Z253" i="15" s="1"/>
  <c r="BD1644" i="6"/>
  <c r="AE241" i="15" s="1"/>
  <c r="I1644" i="6"/>
  <c r="Q241" i="15" s="1"/>
  <c r="X247" i="15"/>
  <c r="Z247" i="15" s="1"/>
  <c r="X273" i="15"/>
  <c r="Z273" i="15" s="1"/>
  <c r="X261" i="15"/>
  <c r="Z261" i="15" s="1"/>
  <c r="AB241" i="15"/>
  <c r="BE1644" i="6"/>
  <c r="AE247" i="15"/>
  <c r="AN261" i="15"/>
  <c r="I1657" i="6"/>
  <c r="R247" i="15" s="1"/>
  <c r="O247" i="15" s="1"/>
  <c r="W247" i="15" s="1"/>
  <c r="AN247" i="15"/>
  <c r="AN253" i="15"/>
  <c r="I1645" i="6"/>
  <c r="R241" i="15" s="1"/>
  <c r="I1689" i="6"/>
  <c r="R261" i="15" s="1"/>
  <c r="I1669" i="6"/>
  <c r="R253" i="15" s="1"/>
  <c r="I273" i="15"/>
  <c r="I253" i="15"/>
  <c r="AN273" i="15"/>
  <c r="I247" i="15"/>
  <c r="AN241" i="15"/>
  <c r="I241" i="15"/>
  <c r="A1917" i="6"/>
  <c r="A1916" i="6"/>
  <c r="A1913" i="6"/>
  <c r="A1912" i="6"/>
  <c r="A1909" i="6"/>
  <c r="A1908" i="6"/>
  <c r="A1905" i="6"/>
  <c r="A1904" i="6"/>
  <c r="A1901" i="6"/>
  <c r="A1900" i="6"/>
  <c r="A1895" i="6"/>
  <c r="A1894" i="6"/>
  <c r="A1893" i="6"/>
  <c r="A1892" i="6"/>
  <c r="A1891" i="6"/>
  <c r="A1890" i="6"/>
  <c r="A1889" i="6"/>
  <c r="A1888" i="6"/>
  <c r="A1885" i="6"/>
  <c r="A1884" i="6"/>
  <c r="A1883" i="6"/>
  <c r="A1882" i="6"/>
  <c r="A1881" i="6"/>
  <c r="A1880" i="6"/>
  <c r="A1879" i="6"/>
  <c r="A1878" i="6"/>
  <c r="A1873" i="6"/>
  <c r="A1872" i="6"/>
  <c r="A1871" i="6"/>
  <c r="A1870" i="6"/>
  <c r="A1869" i="6"/>
  <c r="A1868" i="6"/>
  <c r="A1867" i="6"/>
  <c r="A1866" i="6"/>
  <c r="A1865" i="6"/>
  <c r="A1864" i="6"/>
  <c r="A1863" i="6"/>
  <c r="A1862" i="6"/>
  <c r="A1857" i="6"/>
  <c r="A1856" i="6"/>
  <c r="A1855" i="6"/>
  <c r="A1854" i="6"/>
  <c r="A1853" i="6"/>
  <c r="A1852" i="6"/>
  <c r="A1851" i="6"/>
  <c r="A1850" i="6"/>
  <c r="A1849" i="6"/>
  <c r="A1848" i="6"/>
  <c r="A1843" i="6"/>
  <c r="A1842" i="6"/>
  <c r="A1841" i="6"/>
  <c r="A1840" i="6"/>
  <c r="A1839" i="6"/>
  <c r="A1838" i="6"/>
  <c r="A1837" i="6"/>
  <c r="A1836" i="6"/>
  <c r="A1835" i="6"/>
  <c r="A1834" i="6"/>
  <c r="A1833" i="6"/>
  <c r="A1832" i="6"/>
  <c r="A1827" i="6"/>
  <c r="A1826" i="6"/>
  <c r="A1825" i="6"/>
  <c r="A1824" i="6"/>
  <c r="A1823" i="6"/>
  <c r="A1822" i="6"/>
  <c r="A1821" i="6"/>
  <c r="A1820" i="6"/>
  <c r="A1819" i="6"/>
  <c r="A1818" i="6"/>
  <c r="A1817" i="6"/>
  <c r="A1816" i="6"/>
  <c r="A1811" i="6"/>
  <c r="A1810" i="6"/>
  <c r="A1809" i="6"/>
  <c r="A1808" i="6"/>
  <c r="A1807" i="6"/>
  <c r="A1806" i="6"/>
  <c r="A1805" i="6"/>
  <c r="A1804" i="6"/>
  <c r="A1803" i="6"/>
  <c r="A1802" i="6"/>
  <c r="A1801" i="6"/>
  <c r="A1800" i="6"/>
  <c r="A1795" i="6"/>
  <c r="A1794" i="6"/>
  <c r="A1793" i="6"/>
  <c r="A1792" i="6"/>
  <c r="A1791" i="6"/>
  <c r="A1790" i="6"/>
  <c r="A1789" i="6"/>
  <c r="A1788" i="6"/>
  <c r="A1787" i="6"/>
  <c r="A1786" i="6"/>
  <c r="A1785" i="6"/>
  <c r="A1784" i="6"/>
  <c r="A1779" i="6"/>
  <c r="A1778" i="6"/>
  <c r="A1777" i="6"/>
  <c r="A1776" i="6"/>
  <c r="A1775" i="6"/>
  <c r="A1774" i="6"/>
  <c r="A1773" i="6"/>
  <c r="A1772" i="6"/>
  <c r="A1771" i="6"/>
  <c r="A1770" i="6"/>
  <c r="A1769" i="6"/>
  <c r="A1768" i="6"/>
  <c r="A1763" i="6"/>
  <c r="A1762" i="6"/>
  <c r="A1761" i="6"/>
  <c r="A1760" i="6"/>
  <c r="A1759" i="6"/>
  <c r="A1758" i="6"/>
  <c r="A1757" i="6"/>
  <c r="A1756" i="6"/>
  <c r="A1755" i="6"/>
  <c r="A1754" i="6"/>
  <c r="A1753" i="6"/>
  <c r="A1752" i="6"/>
  <c r="A1751" i="6"/>
  <c r="A1750" i="6"/>
  <c r="A1749" i="6"/>
  <c r="A1748" i="6"/>
  <c r="A1747" i="6"/>
  <c r="A1746" i="6"/>
  <c r="A1745" i="6"/>
  <c r="A1744" i="6"/>
  <c r="A1743" i="6"/>
  <c r="A1742" i="6"/>
  <c r="A1741" i="6"/>
  <c r="A1740" i="6"/>
  <c r="A1739" i="6"/>
  <c r="A1738" i="6"/>
  <c r="A1737" i="6"/>
  <c r="A1736" i="6"/>
  <c r="A1735" i="6"/>
  <c r="A1734" i="6"/>
  <c r="A1733" i="6"/>
  <c r="A1732" i="6"/>
  <c r="A1731" i="6"/>
  <c r="A1730" i="6"/>
  <c r="A1729" i="6"/>
  <c r="A1728" i="6"/>
  <c r="A1727" i="6"/>
  <c r="A1726" i="6"/>
  <c r="A1643" i="6"/>
  <c r="A1642" i="6"/>
  <c r="A1639" i="6"/>
  <c r="A1638" i="6"/>
  <c r="A1637" i="6"/>
  <c r="A1636" i="6"/>
  <c r="A1635" i="6"/>
  <c r="A1634" i="6"/>
  <c r="A1633" i="6"/>
  <c r="A1632" i="6"/>
  <c r="A1631" i="6"/>
  <c r="A1630" i="6"/>
  <c r="A1625" i="6"/>
  <c r="A1624" i="6"/>
  <c r="A1623" i="6"/>
  <c r="A1622" i="6"/>
  <c r="A1621" i="6"/>
  <c r="A1620" i="6"/>
  <c r="A1619" i="6"/>
  <c r="A1618" i="6"/>
  <c r="A1615" i="6"/>
  <c r="A1614" i="6"/>
  <c r="A1611" i="6"/>
  <c r="A1610" i="6"/>
  <c r="A1605" i="6"/>
  <c r="A1604" i="6"/>
  <c r="A1603" i="6"/>
  <c r="A1602" i="6"/>
  <c r="A1601" i="6"/>
  <c r="A1600" i="6"/>
  <c r="A1599" i="6"/>
  <c r="A1598" i="6"/>
  <c r="A1595" i="6"/>
  <c r="A1594" i="6"/>
  <c r="A1593" i="6"/>
  <c r="A1592" i="6"/>
  <c r="A1591" i="6"/>
  <c r="A1590" i="6"/>
  <c r="A1589" i="6"/>
  <c r="A1588" i="6"/>
  <c r="A1587" i="6"/>
  <c r="A1586" i="6"/>
  <c r="A1581" i="6"/>
  <c r="A1580" i="6"/>
  <c r="A1579" i="6"/>
  <c r="A1578" i="6"/>
  <c r="A1573" i="6"/>
  <c r="A1572" i="6"/>
  <c r="A1571" i="6"/>
  <c r="A1570" i="6"/>
  <c r="A1569" i="6"/>
  <c r="A1568" i="6"/>
  <c r="A1567" i="6"/>
  <c r="A1566" i="6"/>
  <c r="A1565" i="6"/>
  <c r="A1564" i="6"/>
  <c r="A1563" i="6"/>
  <c r="A1562" i="6"/>
  <c r="A1561" i="6"/>
  <c r="A1560" i="6"/>
  <c r="A1559" i="6"/>
  <c r="A1558" i="6"/>
  <c r="A1557" i="6"/>
  <c r="A1556" i="6"/>
  <c r="A1555" i="6"/>
  <c r="A1554" i="6"/>
  <c r="A1553" i="6"/>
  <c r="A1552" i="6"/>
  <c r="A1551" i="6"/>
  <c r="A1550" i="6"/>
  <c r="A1549" i="6"/>
  <c r="A1548" i="6"/>
  <c r="A1547" i="6"/>
  <c r="A1546" i="6"/>
  <c r="A1545" i="6"/>
  <c r="A1544" i="6"/>
  <c r="A1543" i="6"/>
  <c r="A1542" i="6"/>
  <c r="A1541" i="6"/>
  <c r="A1540" i="6"/>
  <c r="A1539" i="6"/>
  <c r="A1538" i="6"/>
  <c r="A1537" i="6"/>
  <c r="A1536" i="6"/>
  <c r="A1535" i="6"/>
  <c r="AD214" i="15"/>
  <c r="P214" i="15"/>
  <c r="J214" i="15"/>
  <c r="H214" i="15"/>
  <c r="G214" i="15"/>
  <c r="D214" i="15"/>
  <c r="C214" i="15"/>
  <c r="AM214" i="15" s="1"/>
  <c r="B214" i="15"/>
  <c r="A214" i="15" s="1"/>
  <c r="F1567" i="6"/>
  <c r="L214" i="15" s="1"/>
  <c r="F1566" i="6"/>
  <c r="K214" i="15" s="1"/>
  <c r="K4094" i="6"/>
  <c r="K4096" i="6"/>
  <c r="M4097" i="6"/>
  <c r="L4097" i="6"/>
  <c r="J4097" i="6"/>
  <c r="F4097" i="6"/>
  <c r="J4096" i="6"/>
  <c r="F4096" i="6"/>
  <c r="L2728" i="6"/>
  <c r="F1956" i="6"/>
  <c r="J1956" i="6"/>
  <c r="L1956" i="6"/>
  <c r="K1567" i="6"/>
  <c r="BE1567" i="6" s="1"/>
  <c r="J1567" i="6"/>
  <c r="BC1567" i="6" s="1"/>
  <c r="BD1567" i="6" s="1"/>
  <c r="H1567" i="6"/>
  <c r="J1566" i="6"/>
  <c r="BC1566" i="6" s="1"/>
  <c r="BD1566" i="6" s="1"/>
  <c r="H1566" i="6"/>
  <c r="AD383" i="15"/>
  <c r="P383" i="15"/>
  <c r="J383" i="15"/>
  <c r="G383" i="15"/>
  <c r="C383" i="15"/>
  <c r="AM383" i="15" s="1"/>
  <c r="B383" i="15"/>
  <c r="A383" i="15" s="1"/>
  <c r="J61" i="7"/>
  <c r="I61" i="7"/>
  <c r="I62" i="7"/>
  <c r="AD96" i="7"/>
  <c r="AD105" i="7"/>
  <c r="AD117" i="7"/>
  <c r="F117" i="7"/>
  <c r="E78" i="7"/>
  <c r="E87" i="7" s="1"/>
  <c r="E96" i="7" s="1"/>
  <c r="E105" i="7" s="1"/>
  <c r="L61" i="7"/>
  <c r="X383" i="15" s="1"/>
  <c r="Z383" i="15" s="1"/>
  <c r="M61" i="7"/>
  <c r="AB383" i="15" s="1"/>
  <c r="N61" i="7"/>
  <c r="H61" i="7"/>
  <c r="O357" i="15" l="1"/>
  <c r="W357" i="15" s="1"/>
  <c r="O341" i="15"/>
  <c r="W341" i="15" s="1"/>
  <c r="AE363" i="15"/>
  <c r="AG362" i="15"/>
  <c r="AG354" i="15"/>
  <c r="AE355" i="15"/>
  <c r="AH346" i="15"/>
  <c r="AF347" i="15"/>
  <c r="AO357" i="15"/>
  <c r="I347" i="15"/>
  <c r="AN347" i="15"/>
  <c r="S362" i="15"/>
  <c r="Q363" i="15"/>
  <c r="AN355" i="15"/>
  <c r="I355" i="15"/>
  <c r="AH362" i="15"/>
  <c r="AF363" i="15"/>
  <c r="R355" i="15"/>
  <c r="T354" i="15"/>
  <c r="AG338" i="15"/>
  <c r="AD338" i="15" s="1"/>
  <c r="AE339" i="15"/>
  <c r="AC339" i="15" s="1"/>
  <c r="Q339" i="15"/>
  <c r="S338" i="15"/>
  <c r="AN341" i="15"/>
  <c r="AO341" i="15" s="1"/>
  <c r="I341" i="15"/>
  <c r="AE349" i="15"/>
  <c r="AC349" i="15" s="1"/>
  <c r="AN339" i="15"/>
  <c r="I339" i="15"/>
  <c r="AE341" i="15"/>
  <c r="AC341" i="15" s="1"/>
  <c r="AF339" i="15"/>
  <c r="AH338" i="15"/>
  <c r="O349" i="15"/>
  <c r="W349" i="15" s="1"/>
  <c r="J338" i="15"/>
  <c r="S346" i="15"/>
  <c r="P346" i="15" s="1"/>
  <c r="W346" i="15" s="1"/>
  <c r="Q347" i="15"/>
  <c r="O347" i="15" s="1"/>
  <c r="AO347" i="15" s="1"/>
  <c r="AE365" i="15"/>
  <c r="AC365" i="15" s="1"/>
  <c r="AE357" i="15"/>
  <c r="AC357" i="15" s="1"/>
  <c r="AG346" i="15"/>
  <c r="AE347" i="15"/>
  <c r="I363" i="15"/>
  <c r="AN363" i="15"/>
  <c r="R363" i="15"/>
  <c r="T362" i="15"/>
  <c r="AH354" i="15"/>
  <c r="AF355" i="15"/>
  <c r="S354" i="15"/>
  <c r="P354" i="15" s="1"/>
  <c r="W354" i="15" s="1"/>
  <c r="Q355" i="15"/>
  <c r="O355" i="15" s="1"/>
  <c r="AO355" i="15" s="1"/>
  <c r="T346" i="15"/>
  <c r="R347" i="15"/>
  <c r="T338" i="15"/>
  <c r="R339" i="15"/>
  <c r="J346" i="15"/>
  <c r="AN365" i="15"/>
  <c r="AO365" i="15" s="1"/>
  <c r="I365" i="15"/>
  <c r="O253" i="15"/>
  <c r="W253" i="15" s="1"/>
  <c r="O273" i="15"/>
  <c r="W273" i="15" s="1"/>
  <c r="AC261" i="15"/>
  <c r="AC247" i="15"/>
  <c r="O261" i="15"/>
  <c r="AO261" i="15" s="1"/>
  <c r="AC273" i="15"/>
  <c r="AC253" i="15"/>
  <c r="AC241" i="15"/>
  <c r="O241" i="15"/>
  <c r="W241" i="15" s="1"/>
  <c r="BB1644" i="6"/>
  <c r="AA241" i="15" s="1"/>
  <c r="AO247" i="15"/>
  <c r="I214" i="15"/>
  <c r="AF214" i="15"/>
  <c r="AE214" i="15"/>
  <c r="X214" i="15"/>
  <c r="Z214" i="15" s="1"/>
  <c r="AN214" i="15"/>
  <c r="I1566" i="6"/>
  <c r="Q214" i="15" s="1"/>
  <c r="I1567" i="6"/>
  <c r="R214" i="15" s="1"/>
  <c r="BE61" i="7"/>
  <c r="E117" i="7"/>
  <c r="BC61" i="7"/>
  <c r="F61" i="7"/>
  <c r="AI683" i="15"/>
  <c r="AD683" i="15"/>
  <c r="AB683" i="15"/>
  <c r="X683" i="15"/>
  <c r="Z683" i="15" s="1"/>
  <c r="H683" i="15"/>
  <c r="G683" i="15"/>
  <c r="C683" i="15"/>
  <c r="B683" i="15"/>
  <c r="A683" i="15" s="1"/>
  <c r="AI573" i="15"/>
  <c r="P573" i="15"/>
  <c r="J573" i="15"/>
  <c r="H573" i="15"/>
  <c r="G573" i="15"/>
  <c r="D573" i="15"/>
  <c r="C573" i="15"/>
  <c r="AM573" i="15" s="1"/>
  <c r="B573" i="15"/>
  <c r="A573" i="15" s="1"/>
  <c r="AI572" i="15"/>
  <c r="P572" i="15"/>
  <c r="J572" i="15"/>
  <c r="H572" i="15"/>
  <c r="G572" i="15"/>
  <c r="D572" i="15"/>
  <c r="C572" i="15"/>
  <c r="AM572" i="15" s="1"/>
  <c r="B572" i="15"/>
  <c r="A572" i="15" s="1"/>
  <c r="AI571" i="15"/>
  <c r="P571" i="15"/>
  <c r="J571" i="15"/>
  <c r="H571" i="15"/>
  <c r="G571" i="15"/>
  <c r="D571" i="15"/>
  <c r="C571" i="15"/>
  <c r="AM571" i="15" s="1"/>
  <c r="B571" i="15"/>
  <c r="A571" i="15" s="1"/>
  <c r="AI570" i="15"/>
  <c r="P570" i="15"/>
  <c r="J570" i="15"/>
  <c r="H570" i="15"/>
  <c r="G570" i="15"/>
  <c r="D570" i="15"/>
  <c r="C570" i="15"/>
  <c r="AM570" i="15" s="1"/>
  <c r="B570" i="15"/>
  <c r="A570" i="15" s="1"/>
  <c r="AI569" i="15"/>
  <c r="P569" i="15"/>
  <c r="J569" i="15"/>
  <c r="H569" i="15"/>
  <c r="G569" i="15"/>
  <c r="D569" i="15"/>
  <c r="C569" i="15"/>
  <c r="AM569" i="15" s="1"/>
  <c r="B569" i="15"/>
  <c r="A569" i="15" s="1"/>
  <c r="AI568" i="15"/>
  <c r="P568" i="15"/>
  <c r="J568" i="15"/>
  <c r="H568" i="15"/>
  <c r="G568" i="15"/>
  <c r="D568" i="15"/>
  <c r="C568" i="15"/>
  <c r="AM568" i="15" s="1"/>
  <c r="B568" i="15"/>
  <c r="A568" i="15" s="1"/>
  <c r="AI567" i="15"/>
  <c r="P567" i="15"/>
  <c r="J567" i="15"/>
  <c r="H567" i="15"/>
  <c r="G567" i="15"/>
  <c r="D567" i="15"/>
  <c r="C567" i="15"/>
  <c r="AM567" i="15" s="1"/>
  <c r="B567" i="15"/>
  <c r="A567" i="15" s="1"/>
  <c r="J566" i="15"/>
  <c r="P566" i="15"/>
  <c r="D566" i="15"/>
  <c r="AI566" i="15"/>
  <c r="H566" i="15"/>
  <c r="G566" i="15"/>
  <c r="C566" i="15"/>
  <c r="AM566" i="15" s="1"/>
  <c r="B566" i="15"/>
  <c r="A566" i="15" s="1"/>
  <c r="BE4550" i="6"/>
  <c r="BE4544" i="6"/>
  <c r="BE4543" i="6"/>
  <c r="BE4542" i="6"/>
  <c r="BE4540" i="6"/>
  <c r="BE4539" i="6"/>
  <c r="BE4538" i="6"/>
  <c r="BE4536" i="6"/>
  <c r="BE4535" i="6"/>
  <c r="BE4534" i="6"/>
  <c r="BE4532" i="6"/>
  <c r="BE4531" i="6"/>
  <c r="BE4530" i="6"/>
  <c r="BE4526" i="6"/>
  <c r="BE4520" i="6"/>
  <c r="BE4519" i="6"/>
  <c r="BE4518" i="6"/>
  <c r="BE4516" i="6"/>
  <c r="BE4515" i="6"/>
  <c r="BE4514" i="6"/>
  <c r="BE4512" i="6"/>
  <c r="BE4511" i="6"/>
  <c r="BE4510" i="6"/>
  <c r="BE4508" i="6"/>
  <c r="BE4507" i="6"/>
  <c r="BE4506" i="6"/>
  <c r="BE4502" i="6"/>
  <c r="BE4496" i="6"/>
  <c r="BE4495" i="6"/>
  <c r="BE4494" i="6"/>
  <c r="BE4492" i="6"/>
  <c r="BE4491" i="6"/>
  <c r="BE4490" i="6"/>
  <c r="BE4488" i="6"/>
  <c r="BE4487" i="6"/>
  <c r="BE4486" i="6"/>
  <c r="BE4484" i="6"/>
  <c r="BE4483" i="6"/>
  <c r="BE4482" i="6"/>
  <c r="BE4478" i="6"/>
  <c r="BE4472" i="6"/>
  <c r="BE4471" i="6"/>
  <c r="BE4470" i="6"/>
  <c r="BE4468" i="6"/>
  <c r="BE4467" i="6"/>
  <c r="BE4466" i="6"/>
  <c r="BE4464" i="6"/>
  <c r="BE4463" i="6"/>
  <c r="BE4462" i="6"/>
  <c r="BE4460" i="6"/>
  <c r="BE4459" i="6"/>
  <c r="BE4458" i="6"/>
  <c r="AD332" i="15"/>
  <c r="H364" i="15"/>
  <c r="G364" i="15"/>
  <c r="D364" i="15"/>
  <c r="C364" i="15"/>
  <c r="AM364" i="15" s="1"/>
  <c r="B364" i="15"/>
  <c r="A364" i="15" s="1"/>
  <c r="H361" i="15"/>
  <c r="G361" i="15"/>
  <c r="F361" i="15"/>
  <c r="E361" i="15"/>
  <c r="D361" i="15"/>
  <c r="C361" i="15"/>
  <c r="AM361" i="15" s="1"/>
  <c r="B361" i="15"/>
  <c r="A361" i="15" s="1"/>
  <c r="H360" i="15"/>
  <c r="G360" i="15"/>
  <c r="F360" i="15"/>
  <c r="E360" i="15"/>
  <c r="D360" i="15"/>
  <c r="C360" i="15"/>
  <c r="AM360" i="15" s="1"/>
  <c r="B360" i="15"/>
  <c r="A360" i="15" s="1"/>
  <c r="H359" i="15"/>
  <c r="G359" i="15"/>
  <c r="F359" i="15"/>
  <c r="E359" i="15"/>
  <c r="D359" i="15"/>
  <c r="C359" i="15"/>
  <c r="AM359" i="15" s="1"/>
  <c r="B359" i="15"/>
  <c r="A359" i="15" s="1"/>
  <c r="H358" i="15"/>
  <c r="G358" i="15"/>
  <c r="F358" i="15"/>
  <c r="E358" i="15"/>
  <c r="D358" i="15"/>
  <c r="C358" i="15"/>
  <c r="AM358" i="15" s="1"/>
  <c r="B358" i="15"/>
  <c r="A358" i="15" s="1"/>
  <c r="P356" i="15"/>
  <c r="J356" i="15"/>
  <c r="H356" i="15"/>
  <c r="G356" i="15"/>
  <c r="D356" i="15"/>
  <c r="C356" i="15"/>
  <c r="AM356" i="15" s="1"/>
  <c r="B356" i="15"/>
  <c r="A356" i="15" s="1"/>
  <c r="H353" i="15"/>
  <c r="G353" i="15"/>
  <c r="F353" i="15"/>
  <c r="E353" i="15"/>
  <c r="D353" i="15"/>
  <c r="C353" i="15"/>
  <c r="AM353" i="15" s="1"/>
  <c r="B353" i="15"/>
  <c r="A353" i="15" s="1"/>
  <c r="H352" i="15"/>
  <c r="G352" i="15"/>
  <c r="F352" i="15"/>
  <c r="E352" i="15"/>
  <c r="D352" i="15"/>
  <c r="C352" i="15"/>
  <c r="AM352" i="15" s="1"/>
  <c r="B352" i="15"/>
  <c r="A352" i="15" s="1"/>
  <c r="H351" i="15"/>
  <c r="G351" i="15"/>
  <c r="F351" i="15"/>
  <c r="E351" i="15"/>
  <c r="D351" i="15"/>
  <c r="C351" i="15"/>
  <c r="AM351" i="15" s="1"/>
  <c r="B351" i="15"/>
  <c r="A351" i="15" s="1"/>
  <c r="H350" i="15"/>
  <c r="G350" i="15"/>
  <c r="F350" i="15"/>
  <c r="E350" i="15"/>
  <c r="D350" i="15"/>
  <c r="C350" i="15"/>
  <c r="AM350" i="15" s="1"/>
  <c r="B350" i="15"/>
  <c r="A350" i="15" s="1"/>
  <c r="H348" i="15"/>
  <c r="G348" i="15"/>
  <c r="D348" i="15"/>
  <c r="C348" i="15"/>
  <c r="AM348" i="15" s="1"/>
  <c r="B348" i="15"/>
  <c r="A348" i="15" s="1"/>
  <c r="H345" i="15"/>
  <c r="G345" i="15"/>
  <c r="F345" i="15"/>
  <c r="E345" i="15"/>
  <c r="D345" i="15"/>
  <c r="C345" i="15"/>
  <c r="AM345" i="15" s="1"/>
  <c r="B345" i="15"/>
  <c r="A345" i="15" s="1"/>
  <c r="H344" i="15"/>
  <c r="G344" i="15"/>
  <c r="F344" i="15"/>
  <c r="E344" i="15"/>
  <c r="D344" i="15"/>
  <c r="C344" i="15"/>
  <c r="AM344" i="15" s="1"/>
  <c r="B344" i="15"/>
  <c r="A344" i="15" s="1"/>
  <c r="H343" i="15"/>
  <c r="G343" i="15"/>
  <c r="F343" i="15"/>
  <c r="E343" i="15"/>
  <c r="D343" i="15"/>
  <c r="C343" i="15"/>
  <c r="AM343" i="15" s="1"/>
  <c r="B343" i="15"/>
  <c r="A343" i="15" s="1"/>
  <c r="H342" i="15"/>
  <c r="G342" i="15"/>
  <c r="F342" i="15"/>
  <c r="E342" i="15"/>
  <c r="D342" i="15"/>
  <c r="C342" i="15"/>
  <c r="AM342" i="15" s="1"/>
  <c r="B342" i="15"/>
  <c r="A342" i="15" s="1"/>
  <c r="H340" i="15"/>
  <c r="G340" i="15"/>
  <c r="D340" i="15"/>
  <c r="C340" i="15"/>
  <c r="AM340" i="15" s="1"/>
  <c r="B340" i="15"/>
  <c r="A340" i="15" s="1"/>
  <c r="H336" i="15"/>
  <c r="G336" i="15"/>
  <c r="F336" i="15"/>
  <c r="E336" i="15"/>
  <c r="D336" i="15"/>
  <c r="C336" i="15"/>
  <c r="AM336" i="15" s="1"/>
  <c r="B336" i="15"/>
  <c r="A336" i="15" s="1"/>
  <c r="H335" i="15"/>
  <c r="G335" i="15"/>
  <c r="F335" i="15"/>
  <c r="E335" i="15"/>
  <c r="D335" i="15"/>
  <c r="C335" i="15"/>
  <c r="AM335" i="15" s="1"/>
  <c r="B335" i="15"/>
  <c r="A335" i="15" s="1"/>
  <c r="H334" i="15"/>
  <c r="G334" i="15"/>
  <c r="F334" i="15"/>
  <c r="E334" i="15"/>
  <c r="D334" i="15"/>
  <c r="C334" i="15"/>
  <c r="AM334" i="15" s="1"/>
  <c r="B334" i="15"/>
  <c r="A334" i="15" s="1"/>
  <c r="H191" i="15"/>
  <c r="G191" i="15"/>
  <c r="C191" i="15"/>
  <c r="AM191" i="15" s="1"/>
  <c r="B191" i="15"/>
  <c r="A191" i="15" s="1"/>
  <c r="D191" i="15"/>
  <c r="H190" i="15"/>
  <c r="G190" i="15"/>
  <c r="C190" i="15"/>
  <c r="AM190" i="15" s="1"/>
  <c r="B190" i="15"/>
  <c r="A190" i="15" s="1"/>
  <c r="D190" i="15"/>
  <c r="AD190" i="15"/>
  <c r="P190" i="15"/>
  <c r="J190" i="15"/>
  <c r="H187" i="15"/>
  <c r="G187" i="15"/>
  <c r="C187" i="15"/>
  <c r="AM187" i="15" s="1"/>
  <c r="B187" i="15"/>
  <c r="A187" i="15" s="1"/>
  <c r="D187" i="15"/>
  <c r="E187" i="15"/>
  <c r="F187" i="15"/>
  <c r="H186" i="15"/>
  <c r="G186" i="15"/>
  <c r="C186" i="15"/>
  <c r="AM186" i="15" s="1"/>
  <c r="B186" i="15"/>
  <c r="A186" i="15" s="1"/>
  <c r="D186" i="15"/>
  <c r="E186" i="15"/>
  <c r="F186" i="15"/>
  <c r="AD191" i="15"/>
  <c r="P191" i="15"/>
  <c r="J191" i="15"/>
  <c r="H174" i="15"/>
  <c r="G174" i="15"/>
  <c r="C174" i="15"/>
  <c r="AM174" i="15" s="1"/>
  <c r="B174" i="15"/>
  <c r="A174" i="15" s="1"/>
  <c r="D174" i="15"/>
  <c r="AD174" i="15"/>
  <c r="P174" i="15"/>
  <c r="J174" i="15"/>
  <c r="H172" i="15"/>
  <c r="G172" i="15"/>
  <c r="F172" i="15"/>
  <c r="E172" i="15"/>
  <c r="D172" i="15"/>
  <c r="C172" i="15"/>
  <c r="AM172" i="15" s="1"/>
  <c r="B172" i="15"/>
  <c r="A172" i="15" s="1"/>
  <c r="AI66" i="15"/>
  <c r="AI65" i="15"/>
  <c r="H66" i="15"/>
  <c r="G66" i="15"/>
  <c r="C66" i="15"/>
  <c r="AM66" i="15" s="1"/>
  <c r="B66" i="15"/>
  <c r="A66" i="15" s="1"/>
  <c r="H65" i="15"/>
  <c r="G65" i="15"/>
  <c r="C65" i="15"/>
  <c r="AM65" i="15" s="1"/>
  <c r="B65" i="15"/>
  <c r="A65" i="15" s="1"/>
  <c r="I80" i="2"/>
  <c r="P362" i="15" l="1"/>
  <c r="W362" i="15" s="1"/>
  <c r="AC355" i="15"/>
  <c r="AD354" i="15"/>
  <c r="AC347" i="15"/>
  <c r="AD362" i="15"/>
  <c r="AD346" i="15"/>
  <c r="AO349" i="15"/>
  <c r="P338" i="15"/>
  <c r="W338" i="15" s="1"/>
  <c r="O339" i="15"/>
  <c r="AO339" i="15" s="1"/>
  <c r="AC363" i="15"/>
  <c r="O363" i="15"/>
  <c r="AO363" i="15" s="1"/>
  <c r="AO253" i="15"/>
  <c r="BD61" i="7"/>
  <c r="AE383" i="15" s="1"/>
  <c r="AC383" i="15" s="1"/>
  <c r="AO273" i="15"/>
  <c r="W261" i="15"/>
  <c r="AO241" i="15"/>
  <c r="AC214" i="15"/>
  <c r="O214" i="15"/>
  <c r="W214" i="15" s="1"/>
  <c r="K61" i="7"/>
  <c r="O383" i="15" s="1"/>
  <c r="W383" i="15" s="1"/>
  <c r="I383" i="15"/>
  <c r="AN383" i="15" s="1"/>
  <c r="P340" i="15"/>
  <c r="J340" i="15"/>
  <c r="P364" i="15"/>
  <c r="AD364" i="15"/>
  <c r="AD340" i="15"/>
  <c r="P348" i="15"/>
  <c r="AD348" i="15"/>
  <c r="J364" i="15"/>
  <c r="J348" i="15"/>
  <c r="AD356" i="15"/>
  <c r="CD47" i="2"/>
  <c r="CC47" i="2"/>
  <c r="CB47" i="2"/>
  <c r="CA47" i="2"/>
  <c r="BZ47" i="2"/>
  <c r="BX47" i="2"/>
  <c r="BW47" i="2"/>
  <c r="BV47" i="2"/>
  <c r="BU47" i="2"/>
  <c r="CD90" i="2"/>
  <c r="CC90" i="2"/>
  <c r="CB90" i="2"/>
  <c r="CA90" i="2"/>
  <c r="BZ90" i="2"/>
  <c r="BX90" i="2"/>
  <c r="BW90" i="2"/>
  <c r="BV90" i="2"/>
  <c r="BU90" i="2"/>
  <c r="BT90" i="2"/>
  <c r="CD109" i="2"/>
  <c r="CC109" i="2"/>
  <c r="CB109" i="2"/>
  <c r="CA109" i="2"/>
  <c r="BZ109" i="2"/>
  <c r="BX109" i="2"/>
  <c r="BW109" i="2"/>
  <c r="BV109" i="2"/>
  <c r="BU109" i="2"/>
  <c r="BT109" i="2"/>
  <c r="CD136" i="2"/>
  <c r="CC136" i="2"/>
  <c r="CB136" i="2"/>
  <c r="CA136" i="2"/>
  <c r="BZ136" i="2"/>
  <c r="BX136" i="2"/>
  <c r="BW136" i="2"/>
  <c r="BV136" i="2"/>
  <c r="BU136" i="2"/>
  <c r="BT136" i="2"/>
  <c r="DH127" i="2"/>
  <c r="DI127" i="2" s="1"/>
  <c r="DJ127" i="2"/>
  <c r="I683" i="15"/>
  <c r="H127" i="2"/>
  <c r="DC47" i="2"/>
  <c r="DB47" i="2"/>
  <c r="DA47" i="2"/>
  <c r="CZ47" i="2"/>
  <c r="CX47" i="2"/>
  <c r="CW47" i="2"/>
  <c r="CV47" i="2"/>
  <c r="CU47" i="2"/>
  <c r="CT47" i="2"/>
  <c r="CP47" i="2"/>
  <c r="CO47" i="2"/>
  <c r="CN47" i="2"/>
  <c r="CM47" i="2"/>
  <c r="CK47" i="2"/>
  <c r="CJ47" i="2"/>
  <c r="CI47" i="2"/>
  <c r="CH47" i="2"/>
  <c r="CG47" i="2"/>
  <c r="BQ47" i="2"/>
  <c r="BP47" i="2"/>
  <c r="BO47" i="2"/>
  <c r="BN47" i="2"/>
  <c r="BL47" i="2"/>
  <c r="BK47" i="2"/>
  <c r="BJ47" i="2"/>
  <c r="BI47" i="2"/>
  <c r="BH47" i="2"/>
  <c r="BE47" i="2"/>
  <c r="BD47" i="2"/>
  <c r="BC47" i="2"/>
  <c r="BB47" i="2"/>
  <c r="AZ47" i="2"/>
  <c r="AY47" i="2"/>
  <c r="AX47" i="2"/>
  <c r="AW47" i="2"/>
  <c r="AV47" i="2"/>
  <c r="AS47" i="2"/>
  <c r="AR47" i="2"/>
  <c r="AQ47" i="2"/>
  <c r="AP47" i="2"/>
  <c r="AN47" i="2"/>
  <c r="AM47" i="2"/>
  <c r="AL47" i="2"/>
  <c r="AK47" i="2"/>
  <c r="AJ47" i="2"/>
  <c r="BB61" i="7" l="1"/>
  <c r="AA383" i="15" s="1"/>
  <c r="AO383" i="15"/>
  <c r="AO214" i="15"/>
  <c r="DG127" i="2"/>
  <c r="AA683" i="15" s="1"/>
  <c r="AE683" i="15"/>
  <c r="AC683" i="15" s="1"/>
  <c r="I127" i="2"/>
  <c r="O683" i="15" s="1"/>
  <c r="W683" i="15" s="1"/>
  <c r="V683" i="15" s="1"/>
  <c r="U683" i="15" s="1"/>
  <c r="K334" i="16"/>
  <c r="K333" i="16"/>
  <c r="X66" i="15" l="1"/>
  <c r="Z66" i="15" s="1"/>
  <c r="X65" i="15"/>
  <c r="Z65" i="15" s="1"/>
  <c r="F1448" i="7"/>
  <c r="K571" i="15" s="1"/>
  <c r="H20" i="8"/>
  <c r="G11" i="8"/>
  <c r="G16" i="8" s="1"/>
  <c r="H22" i="8" s="1"/>
  <c r="H23" i="8" l="1"/>
  <c r="I22" i="8"/>
  <c r="DJ16" i="2"/>
  <c r="H24" i="8" l="1"/>
  <c r="I23" i="8"/>
  <c r="V330" i="16"/>
  <c r="L334" i="16"/>
  <c r="AB66" i="15" s="1"/>
  <c r="L333" i="16"/>
  <c r="H25" i="8" l="1"/>
  <c r="I25" i="8" s="1"/>
  <c r="I24" i="8"/>
  <c r="AB65" i="15"/>
  <c r="BE333" i="16"/>
  <c r="AD79" i="16"/>
  <c r="AD77" i="16"/>
  <c r="AD75" i="16"/>
  <c r="AD73" i="16"/>
  <c r="AD71" i="16"/>
  <c r="AD69" i="16"/>
  <c r="AD67" i="16"/>
  <c r="AD65" i="16"/>
  <c r="AD63" i="16"/>
  <c r="AD61" i="16"/>
  <c r="AD59" i="16"/>
  <c r="AD57" i="16"/>
  <c r="E1479" i="7"/>
  <c r="E1487" i="7" s="1"/>
  <c r="E1478" i="7"/>
  <c r="E1486" i="7" s="1"/>
  <c r="E1477" i="7"/>
  <c r="E1485" i="7" s="1"/>
  <c r="E1476" i="7"/>
  <c r="E1484" i="7" s="1"/>
  <c r="E1475" i="7"/>
  <c r="E1483" i="7" s="1"/>
  <c r="E1474" i="7"/>
  <c r="E1482" i="7" s="1"/>
  <c r="E1473" i="7"/>
  <c r="E1481" i="7" s="1"/>
  <c r="E1472" i="7"/>
  <c r="E1480" i="7" s="1"/>
  <c r="F1496" i="7"/>
  <c r="F1504" i="7" s="1"/>
  <c r="F1438" i="7"/>
  <c r="K566" i="15" s="1"/>
  <c r="G40" i="7"/>
  <c r="AD487" i="7"/>
  <c r="AD479" i="7"/>
  <c r="AD475" i="7"/>
  <c r="AD470" i="7"/>
  <c r="AD1049" i="7"/>
  <c r="AD1047" i="7"/>
  <c r="F1505" i="7" l="1"/>
  <c r="F1506" i="7"/>
  <c r="F1507" i="7"/>
  <c r="F1508" i="7"/>
  <c r="F1501" i="7"/>
  <c r="F1502" i="7"/>
  <c r="F1503" i="7"/>
  <c r="J1484" i="6" l="1"/>
  <c r="J1483" i="6"/>
  <c r="J1482" i="6"/>
  <c r="J1481" i="6"/>
  <c r="L2077" i="6"/>
  <c r="L2080" i="6"/>
  <c r="L2079" i="6"/>
  <c r="L2078" i="6"/>
  <c r="J2079" i="6"/>
  <c r="J2078" i="6"/>
  <c r="J2077" i="6"/>
  <c r="L2904" i="6" l="1"/>
  <c r="L2903" i="6"/>
  <c r="L2902" i="6"/>
  <c r="L2901" i="6"/>
  <c r="L2900" i="6"/>
  <c r="L2899" i="6"/>
  <c r="L2898" i="6"/>
  <c r="L2897" i="6"/>
  <c r="L2896" i="6"/>
  <c r="L2895" i="6"/>
  <c r="L2894" i="6"/>
  <c r="L2893" i="6"/>
  <c r="L2892" i="6"/>
  <c r="L2891" i="6"/>
  <c r="L2890" i="6"/>
  <c r="L2888" i="6"/>
  <c r="L2887" i="6"/>
  <c r="L2886" i="6"/>
  <c r="L2885" i="6"/>
  <c r="L2884" i="6"/>
  <c r="L2883" i="6"/>
  <c r="L2882" i="6"/>
  <c r="L2881" i="6"/>
  <c r="L2880" i="6"/>
  <c r="L2879" i="6"/>
  <c r="L2878" i="6"/>
  <c r="L2877" i="6"/>
  <c r="L2876" i="6"/>
  <c r="L2875" i="6"/>
  <c r="L2874" i="6"/>
  <c r="L2873" i="6"/>
  <c r="L2872" i="6"/>
  <c r="L2871" i="6"/>
  <c r="L2870" i="6"/>
  <c r="L2869" i="6"/>
  <c r="L2868" i="6"/>
  <c r="L2867" i="6"/>
  <c r="L2866" i="6"/>
  <c r="L2865" i="6"/>
  <c r="L2864" i="6"/>
  <c r="L2863" i="6"/>
  <c r="L2862" i="6"/>
  <c r="L2861" i="6"/>
  <c r="L2860" i="6"/>
  <c r="L2859" i="6"/>
  <c r="L2858" i="6"/>
  <c r="L2857" i="6"/>
  <c r="L2856" i="6"/>
  <c r="L2855" i="6"/>
  <c r="L2854" i="6"/>
  <c r="L2853" i="6"/>
  <c r="L2852" i="6"/>
  <c r="L2851" i="6"/>
  <c r="L2850" i="6"/>
  <c r="L2849" i="6"/>
  <c r="L2848" i="6"/>
  <c r="L2847" i="6"/>
  <c r="L2846" i="6"/>
  <c r="L2845" i="6"/>
  <c r="L2844" i="6"/>
  <c r="L2843" i="6"/>
  <c r="L2842" i="6"/>
  <c r="L2841" i="6"/>
  <c r="L2840" i="6"/>
  <c r="L2839" i="6"/>
  <c r="L2838" i="6"/>
  <c r="L2837" i="6"/>
  <c r="L2836" i="6"/>
  <c r="L2835" i="6"/>
  <c r="L2834" i="6"/>
  <c r="L2833" i="6"/>
  <c r="L2832" i="6"/>
  <c r="L2831" i="6"/>
  <c r="L2830" i="6"/>
  <c r="L2829" i="6"/>
  <c r="L2828" i="6"/>
  <c r="L2827" i="6"/>
  <c r="L2826" i="6"/>
  <c r="L2825" i="6"/>
  <c r="L2824" i="6"/>
  <c r="L2823" i="6"/>
  <c r="L2822" i="6"/>
  <c r="L2821" i="6"/>
  <c r="L2820" i="6"/>
  <c r="L2819" i="6"/>
  <c r="L2818" i="6"/>
  <c r="L2817" i="6"/>
  <c r="L2816" i="6"/>
  <c r="L2815" i="6"/>
  <c r="L2814" i="6"/>
  <c r="L2813" i="6"/>
  <c r="L2812" i="6"/>
  <c r="L2811" i="6"/>
  <c r="L2810" i="6"/>
  <c r="L2809" i="6"/>
  <c r="L2808" i="6"/>
  <c r="L2806" i="6"/>
  <c r="L2805" i="6"/>
  <c r="L2804" i="6"/>
  <c r="L2803" i="6"/>
  <c r="L2802" i="6"/>
  <c r="L2801" i="6"/>
  <c r="L2800" i="6"/>
  <c r="L2799" i="6"/>
  <c r="L2798" i="6"/>
  <c r="L2797" i="6"/>
  <c r="L2796" i="6"/>
  <c r="L2795" i="6"/>
  <c r="L2794" i="6"/>
  <c r="L2793" i="6"/>
  <c r="L2792" i="6"/>
  <c r="L2791" i="6"/>
  <c r="L2790" i="6"/>
  <c r="L2788" i="6"/>
  <c r="L2787" i="6"/>
  <c r="L2786" i="6"/>
  <c r="L2785" i="6"/>
  <c r="L2784" i="6"/>
  <c r="L2783" i="6"/>
  <c r="L2782" i="6"/>
  <c r="L2781" i="6"/>
  <c r="L2780" i="6"/>
  <c r="L2778" i="6"/>
  <c r="L2777" i="6"/>
  <c r="L2776" i="6"/>
  <c r="L2775" i="6"/>
  <c r="L2774" i="6"/>
  <c r="L2772" i="6"/>
  <c r="L2771" i="6"/>
  <c r="L2770" i="6"/>
  <c r="L2769" i="6"/>
  <c r="L2768" i="6"/>
  <c r="L2766" i="6"/>
  <c r="L2765" i="6"/>
  <c r="L2764" i="6"/>
  <c r="L2763" i="6"/>
  <c r="L2762" i="6"/>
  <c r="L2761" i="6"/>
  <c r="L2760" i="6"/>
  <c r="L2759" i="6"/>
  <c r="L2758" i="6"/>
  <c r="L2757" i="6"/>
  <c r="L2756" i="6"/>
  <c r="L2755" i="6"/>
  <c r="L2754" i="6"/>
  <c r="L2753" i="6"/>
  <c r="L2752" i="6"/>
  <c r="L2751" i="6"/>
  <c r="L2750" i="6"/>
  <c r="L2749" i="6"/>
  <c r="L2748" i="6"/>
  <c r="L2747" i="6"/>
  <c r="L2746" i="6"/>
  <c r="L2745" i="6"/>
  <c r="L2744" i="6"/>
  <c r="L2743" i="6"/>
  <c r="L2742" i="6"/>
  <c r="L2741" i="6"/>
  <c r="L2740" i="6"/>
  <c r="L2739" i="6"/>
  <c r="L2738" i="6"/>
  <c r="L2737" i="6"/>
  <c r="L2736" i="6"/>
  <c r="L2735" i="6"/>
  <c r="L2734" i="6"/>
  <c r="L2733" i="6"/>
  <c r="L2732" i="6"/>
  <c r="L2731" i="6"/>
  <c r="L2730" i="6"/>
  <c r="L2729" i="6"/>
  <c r="L2727" i="6"/>
  <c r="L2726" i="6"/>
  <c r="L2725" i="6"/>
  <c r="L2724" i="6"/>
  <c r="L2723" i="6"/>
  <c r="L2722" i="6"/>
  <c r="L2721" i="6"/>
  <c r="L2720" i="6"/>
  <c r="L2719" i="6"/>
  <c r="L2718" i="6"/>
  <c r="L2717" i="6"/>
  <c r="L2716" i="6"/>
  <c r="L2715" i="6"/>
  <c r="L2714" i="6"/>
  <c r="L2713" i="6"/>
  <c r="L2712" i="6"/>
  <c r="L2889" i="6"/>
  <c r="J4550" i="6" l="1"/>
  <c r="BC4550" i="6" s="1"/>
  <c r="J4549" i="6"/>
  <c r="J4544" i="6"/>
  <c r="BC4544" i="6" s="1"/>
  <c r="J4543" i="6"/>
  <c r="J4542" i="6"/>
  <c r="BC4542" i="6" s="1"/>
  <c r="J4541" i="6"/>
  <c r="J4540" i="6"/>
  <c r="BC4540" i="6" s="1"/>
  <c r="J4539" i="6"/>
  <c r="J4538" i="6"/>
  <c r="BC4538" i="6" s="1"/>
  <c r="J4537" i="6"/>
  <c r="J4536" i="6"/>
  <c r="BC4536" i="6" s="1"/>
  <c r="J4535" i="6"/>
  <c r="J4534" i="6"/>
  <c r="BC4534" i="6" s="1"/>
  <c r="J4533" i="6"/>
  <c r="J4532" i="6"/>
  <c r="BC4532" i="6" s="1"/>
  <c r="J4531" i="6"/>
  <c r="J4530" i="6"/>
  <c r="BC4530" i="6" s="1"/>
  <c r="J4529" i="6"/>
  <c r="J4526" i="6"/>
  <c r="BC4526" i="6" s="1"/>
  <c r="J4525" i="6"/>
  <c r="J4520" i="6"/>
  <c r="BC4520" i="6" s="1"/>
  <c r="J4519" i="6"/>
  <c r="J4518" i="6"/>
  <c r="BC4518" i="6" s="1"/>
  <c r="J4517" i="6"/>
  <c r="J4516" i="6"/>
  <c r="BC4516" i="6" s="1"/>
  <c r="J4515" i="6"/>
  <c r="J4514" i="6"/>
  <c r="BC4514" i="6" s="1"/>
  <c r="J4513" i="6"/>
  <c r="J4512" i="6"/>
  <c r="BC4512" i="6" s="1"/>
  <c r="J4511" i="6"/>
  <c r="J4510" i="6"/>
  <c r="BC4510" i="6" s="1"/>
  <c r="J4509" i="6"/>
  <c r="J4508" i="6"/>
  <c r="BC4508" i="6" s="1"/>
  <c r="J4507" i="6"/>
  <c r="J4506" i="6"/>
  <c r="BC4506" i="6" s="1"/>
  <c r="J4505" i="6"/>
  <c r="J4502" i="6"/>
  <c r="BC4502" i="6" s="1"/>
  <c r="J4501" i="6"/>
  <c r="J4496" i="6"/>
  <c r="BC4496" i="6" s="1"/>
  <c r="J4495" i="6"/>
  <c r="J4494" i="6"/>
  <c r="BC4494" i="6" s="1"/>
  <c r="J4493" i="6"/>
  <c r="J4492" i="6"/>
  <c r="BC4492" i="6" s="1"/>
  <c r="J4491" i="6"/>
  <c r="J4490" i="6"/>
  <c r="BC4490" i="6" s="1"/>
  <c r="J4489" i="6"/>
  <c r="J4488" i="6"/>
  <c r="BC4488" i="6" s="1"/>
  <c r="J4487" i="6"/>
  <c r="J4486" i="6"/>
  <c r="BC4486" i="6" s="1"/>
  <c r="J4485" i="6"/>
  <c r="J4484" i="6"/>
  <c r="BC4484" i="6" s="1"/>
  <c r="J4483" i="6"/>
  <c r="J4482" i="6"/>
  <c r="BC4482" i="6" s="1"/>
  <c r="J4481" i="6"/>
  <c r="J4478" i="6"/>
  <c r="BC4478" i="6" s="1"/>
  <c r="J4477" i="6"/>
  <c r="J4472" i="6"/>
  <c r="BC4472" i="6" s="1"/>
  <c r="J4471" i="6"/>
  <c r="Y337" i="15" s="1"/>
  <c r="Z337" i="15" s="1"/>
  <c r="J4470" i="6"/>
  <c r="BC4470" i="6" s="1"/>
  <c r="J4469" i="6"/>
  <c r="X337" i="15" s="1"/>
  <c r="J4468" i="6"/>
  <c r="BC4468" i="6" s="1"/>
  <c r="J4467" i="6"/>
  <c r="J4466" i="6"/>
  <c r="BC4466" i="6" s="1"/>
  <c r="J4465" i="6"/>
  <c r="J4464" i="6"/>
  <c r="BC4464" i="6" s="1"/>
  <c r="J4463" i="6"/>
  <c r="J4462" i="6"/>
  <c r="BC4462" i="6" s="1"/>
  <c r="J4461" i="6"/>
  <c r="J4460" i="6"/>
  <c r="BC4460" i="6" s="1"/>
  <c r="J4459" i="6"/>
  <c r="J4458" i="6"/>
  <c r="BC4458" i="6" s="1"/>
  <c r="J4457" i="6"/>
  <c r="H4544" i="6"/>
  <c r="H4543" i="6"/>
  <c r="H4542" i="6"/>
  <c r="H4541" i="6"/>
  <c r="H4540" i="6"/>
  <c r="H4539" i="6"/>
  <c r="H4538" i="6"/>
  <c r="H4537" i="6"/>
  <c r="H4536" i="6"/>
  <c r="H4535" i="6"/>
  <c r="H4534" i="6"/>
  <c r="H4533" i="6"/>
  <c r="H4532" i="6"/>
  <c r="H4531" i="6"/>
  <c r="H4530" i="6"/>
  <c r="H4529" i="6"/>
  <c r="H4520" i="6"/>
  <c r="H4519" i="6"/>
  <c r="H4518" i="6"/>
  <c r="H4517" i="6"/>
  <c r="H4516" i="6"/>
  <c r="H4515" i="6"/>
  <c r="H4514" i="6"/>
  <c r="H4513" i="6"/>
  <c r="H4512" i="6"/>
  <c r="H4511" i="6"/>
  <c r="H4510" i="6"/>
  <c r="H4509" i="6"/>
  <c r="H4508" i="6"/>
  <c r="H4507" i="6"/>
  <c r="H4506" i="6"/>
  <c r="H4505" i="6"/>
  <c r="H4496" i="6"/>
  <c r="H4495" i="6"/>
  <c r="H4494" i="6"/>
  <c r="H4493" i="6"/>
  <c r="H4492" i="6"/>
  <c r="H4491" i="6"/>
  <c r="H4490" i="6"/>
  <c r="H4489" i="6"/>
  <c r="H4488" i="6"/>
  <c r="H4487" i="6"/>
  <c r="H4486" i="6"/>
  <c r="H4485" i="6"/>
  <c r="H4484" i="6"/>
  <c r="H4483" i="6"/>
  <c r="H4482" i="6"/>
  <c r="H4481" i="6"/>
  <c r="H4472" i="6"/>
  <c r="H4471" i="6"/>
  <c r="H4470" i="6"/>
  <c r="H4469" i="6"/>
  <c r="H4468" i="6"/>
  <c r="H4467" i="6"/>
  <c r="H4466" i="6"/>
  <c r="H4465" i="6"/>
  <c r="H4464" i="6"/>
  <c r="H4463" i="6"/>
  <c r="H4462" i="6"/>
  <c r="H4461" i="6"/>
  <c r="H4460" i="6"/>
  <c r="H4459" i="6"/>
  <c r="H4458" i="6"/>
  <c r="H4457" i="6"/>
  <c r="J4584" i="6"/>
  <c r="J4573" i="6"/>
  <c r="F4529" i="6" l="1"/>
  <c r="K4573" i="6"/>
  <c r="F4530" i="6"/>
  <c r="K4584" i="6"/>
  <c r="BC4457" i="6"/>
  <c r="X334" i="15"/>
  <c r="BC4459" i="6"/>
  <c r="Y334" i="15"/>
  <c r="BC4467" i="6"/>
  <c r="Y336" i="15"/>
  <c r="BC4483" i="6"/>
  <c r="Y342" i="15"/>
  <c r="BC4491" i="6"/>
  <c r="Y344" i="15"/>
  <c r="BC4507" i="6"/>
  <c r="Y350" i="15"/>
  <c r="BC4515" i="6"/>
  <c r="Y352" i="15"/>
  <c r="Y358" i="15"/>
  <c r="BC4531" i="6"/>
  <c r="Y360" i="15"/>
  <c r="BC4539" i="6"/>
  <c r="BC4461" i="6"/>
  <c r="X335" i="15"/>
  <c r="BC4469" i="6"/>
  <c r="BC4477" i="6"/>
  <c r="X340" i="15"/>
  <c r="Z340" i="15" s="1"/>
  <c r="BC4485" i="6"/>
  <c r="X343" i="15"/>
  <c r="X345" i="15"/>
  <c r="BC4493" i="6"/>
  <c r="BC4501" i="6"/>
  <c r="X348" i="15"/>
  <c r="Z348" i="15" s="1"/>
  <c r="X351" i="15"/>
  <c r="BC4509" i="6"/>
  <c r="X353" i="15"/>
  <c r="BC4517" i="6"/>
  <c r="BC4525" i="6"/>
  <c r="X356" i="15"/>
  <c r="Z356" i="15" s="1"/>
  <c r="BC4533" i="6"/>
  <c r="X359" i="15"/>
  <c r="BC4541" i="6"/>
  <c r="X361" i="15"/>
  <c r="BC4549" i="6"/>
  <c r="X364" i="15"/>
  <c r="Z364" i="15" s="1"/>
  <c r="BC4481" i="6"/>
  <c r="X342" i="15"/>
  <c r="X352" i="15"/>
  <c r="BC4513" i="6"/>
  <c r="BC4465" i="6"/>
  <c r="X336" i="15"/>
  <c r="BC4489" i="6"/>
  <c r="X344" i="15"/>
  <c r="BC4505" i="6"/>
  <c r="X350" i="15"/>
  <c r="X358" i="15"/>
  <c r="BC4529" i="6"/>
  <c r="X360" i="15"/>
  <c r="BC4537" i="6"/>
  <c r="BC4463" i="6"/>
  <c r="Y335" i="15"/>
  <c r="BC4471" i="6"/>
  <c r="BC4487" i="6"/>
  <c r="Y343" i="15"/>
  <c r="BC4495" i="6"/>
  <c r="Y345" i="15"/>
  <c r="BC4511" i="6"/>
  <c r="Y351" i="15"/>
  <c r="Y353" i="15"/>
  <c r="BC4519" i="6"/>
  <c r="BC4535" i="6"/>
  <c r="Y359" i="15"/>
  <c r="Y361" i="15"/>
  <c r="BC4543" i="6"/>
  <c r="F4464" i="6"/>
  <c r="BD4464" i="6" s="1"/>
  <c r="F4511" i="6"/>
  <c r="F4535" i="6"/>
  <c r="F4463" i="6"/>
  <c r="F4495" i="6"/>
  <c r="F4483" i="6"/>
  <c r="F4507" i="6"/>
  <c r="F4531" i="6"/>
  <c r="F4459" i="6"/>
  <c r="F4487" i="6"/>
  <c r="F4515" i="6"/>
  <c r="F4539" i="6"/>
  <c r="F4460" i="6"/>
  <c r="BD4460" i="6" s="1"/>
  <c r="F4491" i="6"/>
  <c r="F4519" i="6"/>
  <c r="F4543" i="6"/>
  <c r="F4467" i="6"/>
  <c r="F4484" i="6"/>
  <c r="F4520" i="6"/>
  <c r="F4544" i="6"/>
  <c r="BD4544" i="6" s="1"/>
  <c r="F4471" i="6"/>
  <c r="M337" i="15" s="1"/>
  <c r="F4488" i="6"/>
  <c r="BD4488" i="6" s="1"/>
  <c r="F4508" i="6"/>
  <c r="BD4508" i="6" s="1"/>
  <c r="F4532" i="6"/>
  <c r="F4472" i="6"/>
  <c r="F4492" i="6"/>
  <c r="BD4492" i="6" s="1"/>
  <c r="F4512" i="6"/>
  <c r="BD4512" i="6" s="1"/>
  <c r="F4536" i="6"/>
  <c r="BD4536" i="6" s="1"/>
  <c r="F4468" i="6"/>
  <c r="BD4468" i="6" s="1"/>
  <c r="F4496" i="6"/>
  <c r="F4516" i="6"/>
  <c r="F4540" i="6"/>
  <c r="BD4540" i="6" s="1"/>
  <c r="L4465" i="6"/>
  <c r="AJ336" i="15" s="1"/>
  <c r="L4457" i="6"/>
  <c r="AJ334" i="15" s="1"/>
  <c r="L4461" i="6"/>
  <c r="AJ335" i="15" s="1"/>
  <c r="L4469" i="6"/>
  <c r="AJ337" i="15" s="1"/>
  <c r="L4477" i="6"/>
  <c r="AJ340" i="15" s="1"/>
  <c r="L4537" i="6" l="1"/>
  <c r="AJ360" i="15" s="1"/>
  <c r="L4513" i="6"/>
  <c r="L4489" i="6"/>
  <c r="AJ344" i="15" s="1"/>
  <c r="L4533" i="6"/>
  <c r="L4509" i="6"/>
  <c r="L4485" i="6"/>
  <c r="AJ343" i="15" s="1"/>
  <c r="L4517" i="6"/>
  <c r="AJ353" i="15" s="1"/>
  <c r="L4529" i="6"/>
  <c r="AJ358" i="15" s="1"/>
  <c r="L4505" i="6"/>
  <c r="AJ350" i="15" s="1"/>
  <c r="L4481" i="6"/>
  <c r="AJ342" i="15" s="1"/>
  <c r="L4541" i="6"/>
  <c r="AJ361" i="15" s="1"/>
  <c r="L4493" i="6"/>
  <c r="AJ345" i="15" s="1"/>
  <c r="L4551" i="6"/>
  <c r="AJ365" i="15" s="1"/>
  <c r="L4527" i="6"/>
  <c r="AJ357" i="15" s="1"/>
  <c r="L4503" i="6"/>
  <c r="AJ349" i="15" s="1"/>
  <c r="L4479" i="6"/>
  <c r="AJ341" i="15" s="1"/>
  <c r="L4549" i="6"/>
  <c r="AJ364" i="15" s="1"/>
  <c r="L4525" i="6"/>
  <c r="AJ356" i="15" s="1"/>
  <c r="L4501" i="6"/>
  <c r="AJ348" i="15" s="1"/>
  <c r="L4475" i="6"/>
  <c r="AJ339" i="15" s="1"/>
  <c r="L4547" i="6"/>
  <c r="AJ363" i="15" s="1"/>
  <c r="L4523" i="6"/>
  <c r="AJ355" i="15" s="1"/>
  <c r="L4499" i="6"/>
  <c r="AJ347" i="15" s="1"/>
  <c r="L4473" i="6"/>
  <c r="AJ338" i="15" s="1"/>
  <c r="L4545" i="6"/>
  <c r="AJ362" i="15" s="1"/>
  <c r="L4521" i="6"/>
  <c r="AJ354" i="15" s="1"/>
  <c r="L4497" i="6"/>
  <c r="AJ346" i="15" s="1"/>
  <c r="BD4472" i="6"/>
  <c r="AH337" i="15" s="1"/>
  <c r="N337" i="15"/>
  <c r="J337" i="15" s="1"/>
  <c r="AJ352" i="15"/>
  <c r="AJ359" i="15"/>
  <c r="AJ351" i="15"/>
  <c r="J4599" i="6"/>
  <c r="J4598" i="6"/>
  <c r="K4481" i="6" s="1"/>
  <c r="BD4463" i="6"/>
  <c r="AG335" i="15" s="1"/>
  <c r="BD4543" i="6"/>
  <c r="AG361" i="15" s="1"/>
  <c r="Z334" i="15"/>
  <c r="BD4515" i="6"/>
  <c r="AG352" i="15" s="1"/>
  <c r="BD4511" i="6"/>
  <c r="AG351" i="15" s="1"/>
  <c r="BD4516" i="6"/>
  <c r="AH352" i="15" s="1"/>
  <c r="BD4539" i="6"/>
  <c r="AG360" i="15" s="1"/>
  <c r="BD4496" i="6"/>
  <c r="AH345" i="15" s="1"/>
  <c r="BD4535" i="6"/>
  <c r="AG359" i="15" s="1"/>
  <c r="BD4471" i="6"/>
  <c r="AG337" i="15" s="1"/>
  <c r="AD337" i="15" s="1"/>
  <c r="BD4507" i="6"/>
  <c r="AG350" i="15" s="1"/>
  <c r="BD4531" i="6"/>
  <c r="AG358" i="15" s="1"/>
  <c r="BD4467" i="6"/>
  <c r="AG336" i="15" s="1"/>
  <c r="BD4484" i="6"/>
  <c r="AH342" i="15" s="1"/>
  <c r="AH343" i="15"/>
  <c r="AH344" i="15"/>
  <c r="BD4483" i="6"/>
  <c r="AG342" i="15" s="1"/>
  <c r="AH361" i="15"/>
  <c r="BD4495" i="6"/>
  <c r="AG345" i="15" s="1"/>
  <c r="AH359" i="15"/>
  <c r="AH350" i="15"/>
  <c r="BD4519" i="6"/>
  <c r="AG353" i="15" s="1"/>
  <c r="BD4487" i="6"/>
  <c r="AG343" i="15" s="1"/>
  <c r="BD4491" i="6"/>
  <c r="AG344" i="15" s="1"/>
  <c r="BD4459" i="6"/>
  <c r="AG334" i="15" s="1"/>
  <c r="BD4520" i="6"/>
  <c r="AH353" i="15" s="1"/>
  <c r="BD4532" i="6"/>
  <c r="AH358" i="15" s="1"/>
  <c r="Z353" i="15"/>
  <c r="Z343" i="15"/>
  <c r="Z361" i="15"/>
  <c r="Z345" i="15"/>
  <c r="Z359" i="15"/>
  <c r="Z335" i="15"/>
  <c r="I4535" i="6"/>
  <c r="S359" i="15" s="1"/>
  <c r="M359" i="15"/>
  <c r="Z351" i="15"/>
  <c r="Z352" i="15"/>
  <c r="Z342" i="15"/>
  <c r="I4468" i="6"/>
  <c r="T336" i="15" s="1"/>
  <c r="N336" i="15"/>
  <c r="I4467" i="6"/>
  <c r="S336" i="15" s="1"/>
  <c r="M336" i="15"/>
  <c r="I4459" i="6"/>
  <c r="S334" i="15" s="1"/>
  <c r="M334" i="15"/>
  <c r="I4472" i="6"/>
  <c r="T337" i="15" s="1"/>
  <c r="I4460" i="6"/>
  <c r="T334" i="15" s="1"/>
  <c r="N334" i="15"/>
  <c r="I4483" i="6"/>
  <c r="S342" i="15" s="1"/>
  <c r="M342" i="15"/>
  <c r="I4531" i="6"/>
  <c r="S358" i="15" s="1"/>
  <c r="M358" i="15"/>
  <c r="I4464" i="6"/>
  <c r="T335" i="15" s="1"/>
  <c r="N335" i="15"/>
  <c r="AH336" i="15"/>
  <c r="Z350" i="15"/>
  <c r="I4463" i="6"/>
  <c r="S335" i="15" s="1"/>
  <c r="M335" i="15"/>
  <c r="AH335" i="15"/>
  <c r="Z360" i="15"/>
  <c r="I4511" i="6"/>
  <c r="S351" i="15" s="1"/>
  <c r="M351" i="15"/>
  <c r="I4540" i="6"/>
  <c r="T360" i="15" s="1"/>
  <c r="N360" i="15"/>
  <c r="I4536" i="6"/>
  <c r="T359" i="15" s="1"/>
  <c r="N359" i="15"/>
  <c r="I4532" i="6"/>
  <c r="T358" i="15" s="1"/>
  <c r="N358" i="15"/>
  <c r="I4544" i="6"/>
  <c r="T361" i="15" s="1"/>
  <c r="N361" i="15"/>
  <c r="I4543" i="6"/>
  <c r="S361" i="15" s="1"/>
  <c r="M361" i="15"/>
  <c r="I4539" i="6"/>
  <c r="S360" i="15" s="1"/>
  <c r="M360" i="15"/>
  <c r="AH334" i="15"/>
  <c r="Z336" i="15"/>
  <c r="I4471" i="6"/>
  <c r="S337" i="15" s="1"/>
  <c r="P337" i="15" s="1"/>
  <c r="W337" i="15" s="1"/>
  <c r="I4508" i="6"/>
  <c r="T350" i="15" s="1"/>
  <c r="N350" i="15"/>
  <c r="Z358" i="15"/>
  <c r="I4495" i="6"/>
  <c r="S345" i="15" s="1"/>
  <c r="M345" i="15"/>
  <c r="I4516" i="6"/>
  <c r="T352" i="15" s="1"/>
  <c r="N352" i="15"/>
  <c r="I4512" i="6"/>
  <c r="T351" i="15" s="1"/>
  <c r="N351" i="15"/>
  <c r="I4520" i="6"/>
  <c r="T353" i="15" s="1"/>
  <c r="N353" i="15"/>
  <c r="I4519" i="6"/>
  <c r="S353" i="15" s="1"/>
  <c r="M353" i="15"/>
  <c r="I4515" i="6"/>
  <c r="S352" i="15" s="1"/>
  <c r="M352" i="15"/>
  <c r="I4507" i="6"/>
  <c r="S350" i="15" s="1"/>
  <c r="M350" i="15"/>
  <c r="I4496" i="6"/>
  <c r="T345" i="15" s="1"/>
  <c r="N345" i="15"/>
  <c r="I4492" i="6"/>
  <c r="T344" i="15" s="1"/>
  <c r="N344" i="15"/>
  <c r="I4488" i="6"/>
  <c r="T343" i="15" s="1"/>
  <c r="N343" i="15"/>
  <c r="I4484" i="6"/>
  <c r="T342" i="15" s="1"/>
  <c r="N342" i="15"/>
  <c r="I4491" i="6"/>
  <c r="S344" i="15" s="1"/>
  <c r="M344" i="15"/>
  <c r="I4487" i="6"/>
  <c r="S343" i="15" s="1"/>
  <c r="M343" i="15"/>
  <c r="AH351" i="15"/>
  <c r="AH360" i="15"/>
  <c r="Z344" i="15"/>
  <c r="K4545" i="6" l="1"/>
  <c r="K4497" i="6"/>
  <c r="K4473" i="6"/>
  <c r="K4523" i="6"/>
  <c r="K4479" i="6"/>
  <c r="K4547" i="6"/>
  <c r="K4521" i="6"/>
  <c r="K4499" i="6"/>
  <c r="K4475" i="6"/>
  <c r="K4527" i="6"/>
  <c r="K4551" i="6"/>
  <c r="K4503" i="6"/>
  <c r="J352" i="15"/>
  <c r="K4493" i="6"/>
  <c r="BE4493" i="6" s="1"/>
  <c r="K4469" i="6"/>
  <c r="K4537" i="6"/>
  <c r="BE4537" i="6" s="1"/>
  <c r="K4509" i="6"/>
  <c r="BE4509" i="6" s="1"/>
  <c r="K4457" i="6"/>
  <c r="BE4457" i="6" s="1"/>
  <c r="K4461" i="6"/>
  <c r="BE4461" i="6" s="1"/>
  <c r="K4529" i="6"/>
  <c r="AB358" i="15" s="1"/>
  <c r="K4485" i="6"/>
  <c r="BE4485" i="6" s="1"/>
  <c r="K4505" i="6"/>
  <c r="AB350" i="15" s="1"/>
  <c r="K4517" i="6"/>
  <c r="AB353" i="15" s="1"/>
  <c r="K4533" i="6"/>
  <c r="AB359" i="15" s="1"/>
  <c r="K4541" i="6"/>
  <c r="BE4541" i="6" s="1"/>
  <c r="K4489" i="6"/>
  <c r="AB344" i="15" s="1"/>
  <c r="K4513" i="6"/>
  <c r="AB352" i="15" s="1"/>
  <c r="K4465" i="6"/>
  <c r="AB336" i="15" s="1"/>
  <c r="K4525" i="6"/>
  <c r="K4549" i="6"/>
  <c r="K4477" i="6"/>
  <c r="K4501" i="6"/>
  <c r="AD361" i="15"/>
  <c r="J350" i="15"/>
  <c r="AD344" i="15"/>
  <c r="AD343" i="15"/>
  <c r="AD350" i="15"/>
  <c r="AD342" i="15"/>
  <c r="AD359" i="15"/>
  <c r="AD353" i="15"/>
  <c r="AD352" i="15"/>
  <c r="AD358" i="15"/>
  <c r="AD345" i="15"/>
  <c r="P352" i="15"/>
  <c r="W352" i="15" s="1"/>
  <c r="AD336" i="15"/>
  <c r="P350" i="15"/>
  <c r="W350" i="15" s="1"/>
  <c r="P361" i="15"/>
  <c r="W361" i="15" s="1"/>
  <c r="P353" i="15"/>
  <c r="W353" i="15" s="1"/>
  <c r="J360" i="15"/>
  <c r="P336" i="15"/>
  <c r="W336" i="15" s="1"/>
  <c r="J343" i="15"/>
  <c r="J351" i="15"/>
  <c r="P335" i="15"/>
  <c r="W335" i="15" s="1"/>
  <c r="P359" i="15"/>
  <c r="W359" i="15" s="1"/>
  <c r="J344" i="15"/>
  <c r="P344" i="15"/>
  <c r="W344" i="15" s="1"/>
  <c r="P342" i="15"/>
  <c r="W342" i="15" s="1"/>
  <c r="J335" i="15"/>
  <c r="J334" i="15"/>
  <c r="P351" i="15"/>
  <c r="W351" i="15" s="1"/>
  <c r="P334" i="15"/>
  <c r="W334" i="15" s="1"/>
  <c r="AD360" i="15"/>
  <c r="J336" i="15"/>
  <c r="J353" i="15"/>
  <c r="AD334" i="15"/>
  <c r="BE4481" i="6"/>
  <c r="AB342" i="15"/>
  <c r="AD351" i="15"/>
  <c r="P360" i="15"/>
  <c r="W360" i="15" s="1"/>
  <c r="J358" i="15"/>
  <c r="P343" i="15"/>
  <c r="W343" i="15" s="1"/>
  <c r="J345" i="15"/>
  <c r="AD335" i="15"/>
  <c r="J361" i="15"/>
  <c r="P358" i="15"/>
  <c r="W358" i="15" s="1"/>
  <c r="P345" i="15"/>
  <c r="W345" i="15" s="1"/>
  <c r="J342" i="15"/>
  <c r="J359" i="15"/>
  <c r="L2042" i="6"/>
  <c r="L2099" i="6"/>
  <c r="BE4497" i="6" l="1"/>
  <c r="BB4497" i="6" s="1"/>
  <c r="AA346" i="15" s="1"/>
  <c r="AB346" i="15"/>
  <c r="AB339" i="15"/>
  <c r="BE4475" i="6"/>
  <c r="BB4475" i="6" s="1"/>
  <c r="AA339" i="15" s="1"/>
  <c r="BE4499" i="6"/>
  <c r="BB4499" i="6" s="1"/>
  <c r="AA347" i="15" s="1"/>
  <c r="AB347" i="15"/>
  <c r="BE4469" i="6"/>
  <c r="AB337" i="15"/>
  <c r="BE4521" i="6"/>
  <c r="BB4521" i="6" s="1"/>
  <c r="AA354" i="15" s="1"/>
  <c r="AB354" i="15"/>
  <c r="BE4545" i="6"/>
  <c r="BB4545" i="6" s="1"/>
  <c r="AA362" i="15" s="1"/>
  <c r="AB362" i="15"/>
  <c r="BE4547" i="6"/>
  <c r="BB4547" i="6" s="1"/>
  <c r="AA363" i="15" s="1"/>
  <c r="AB363" i="15"/>
  <c r="AB357" i="15"/>
  <c r="BE4527" i="6"/>
  <c r="BB4527" i="6" s="1"/>
  <c r="AA357" i="15" s="1"/>
  <c r="AB341" i="15"/>
  <c r="BE4479" i="6"/>
  <c r="BB4479" i="6" s="1"/>
  <c r="AA341" i="15" s="1"/>
  <c r="AB349" i="15"/>
  <c r="BE4503" i="6"/>
  <c r="BB4503" i="6" s="1"/>
  <c r="AA349" i="15" s="1"/>
  <c r="BE4523" i="6"/>
  <c r="BB4523" i="6" s="1"/>
  <c r="AA355" i="15" s="1"/>
  <c r="AB355" i="15"/>
  <c r="AB365" i="15"/>
  <c r="BE4551" i="6"/>
  <c r="BB4551" i="6" s="1"/>
  <c r="AA365" i="15" s="1"/>
  <c r="BE4473" i="6"/>
  <c r="BB4473" i="6" s="1"/>
  <c r="AA338" i="15" s="1"/>
  <c r="AB338" i="15"/>
  <c r="BE4533" i="6"/>
  <c r="BE4529" i="6"/>
  <c r="AB345" i="15"/>
  <c r="AB360" i="15"/>
  <c r="AB351" i="15"/>
  <c r="AB334" i="15"/>
  <c r="AB343" i="15"/>
  <c r="AB361" i="15"/>
  <c r="BE4489" i="6"/>
  <c r="BE4513" i="6"/>
  <c r="BE4505" i="6"/>
  <c r="AB335" i="15"/>
  <c r="BE4465" i="6"/>
  <c r="BE4517" i="6"/>
  <c r="BE4477" i="6"/>
  <c r="AB340" i="15"/>
  <c r="AB348" i="15"/>
  <c r="BE4501" i="6"/>
  <c r="AB364" i="15"/>
  <c r="BE4549" i="6"/>
  <c r="AB356" i="15"/>
  <c r="BE4525" i="6"/>
  <c r="L1970" i="6"/>
  <c r="J1147" i="6" l="1"/>
  <c r="J1145" i="6"/>
  <c r="J1144" i="6"/>
  <c r="J1143" i="6"/>
  <c r="J1140" i="6"/>
  <c r="J1149" i="6" s="1"/>
  <c r="J1137" i="6"/>
  <c r="J1139" i="6" s="1"/>
  <c r="J1134" i="6"/>
  <c r="J1133" i="6"/>
  <c r="J1131" i="6"/>
  <c r="J1130" i="6"/>
  <c r="J1103" i="6"/>
  <c r="J1035" i="6"/>
  <c r="J1041" i="6"/>
  <c r="J1039" i="6"/>
  <c r="J1037" i="6"/>
  <c r="J1036" i="6"/>
  <c r="J1029" i="6"/>
  <c r="J1038" i="6" s="1"/>
  <c r="J1031" i="6"/>
  <c r="J1040" i="6" s="1"/>
  <c r="J1026" i="6"/>
  <c r="J1025" i="6"/>
  <c r="J1023" i="6"/>
  <c r="J1022" i="6"/>
  <c r="J1010" i="6"/>
  <c r="J1009" i="6"/>
  <c r="J902" i="6"/>
  <c r="J901" i="6"/>
  <c r="J895" i="6"/>
  <c r="J897" i="6" s="1"/>
  <c r="J906" i="6" s="1"/>
  <c r="J894" i="6"/>
  <c r="J896" i="6" s="1"/>
  <c r="J1003" i="6"/>
  <c r="J1005" i="6" s="1"/>
  <c r="J1014" i="6" s="1"/>
  <c r="J1002" i="6"/>
  <c r="J1011" i="6" s="1"/>
  <c r="F153" i="6"/>
  <c r="J904" i="6" l="1"/>
  <c r="J1012" i="6"/>
  <c r="J1141" i="6"/>
  <c r="J1148" i="6"/>
  <c r="J905" i="6"/>
  <c r="J898" i="6"/>
  <c r="J907" i="6" s="1"/>
  <c r="J1004" i="6"/>
  <c r="J1033" i="6"/>
  <c r="J1146" i="6"/>
  <c r="J903" i="6"/>
  <c r="J1150" i="6" l="1"/>
  <c r="J1142" i="6"/>
  <c r="J1042" i="6"/>
  <c r="J1034" i="6"/>
  <c r="J1006" i="6"/>
  <c r="J1015" i="6" s="1"/>
  <c r="J1013" i="6"/>
  <c r="J1106" i="6" l="1"/>
  <c r="J1118" i="6"/>
  <c r="J1117" i="6"/>
  <c r="J1116" i="6"/>
  <c r="J1115" i="6"/>
  <c r="J1120" i="6"/>
  <c r="J1119" i="6"/>
  <c r="F794" i="6" l="1"/>
  <c r="F793" i="6"/>
  <c r="I1192" i="6"/>
  <c r="I1191" i="6"/>
  <c r="I1186" i="6"/>
  <c r="I1187" i="6"/>
  <c r="I1188" i="6"/>
  <c r="I1185" i="6"/>
  <c r="I1165" i="6"/>
  <c r="I1235" i="6" s="1"/>
  <c r="I1164" i="6"/>
  <c r="I1234" i="6" s="1"/>
  <c r="I1163" i="6"/>
  <c r="I1233" i="6" s="1"/>
  <c r="I1162" i="6"/>
  <c r="I1232" i="6" s="1"/>
  <c r="I1161" i="6"/>
  <c r="I1151" i="6"/>
  <c r="I1221" i="6" s="1"/>
  <c r="J1502" i="6"/>
  <c r="J1501" i="6"/>
  <c r="J1500" i="6"/>
  <c r="J1499" i="6"/>
  <c r="J1459" i="6"/>
  <c r="J1458" i="6"/>
  <c r="J1460" i="6"/>
  <c r="J1457" i="6"/>
  <c r="AD4572" i="6" l="1"/>
  <c r="AC4572" i="6"/>
  <c r="AB4572" i="6"/>
  <c r="AA4572" i="6"/>
  <c r="Z4572" i="6"/>
  <c r="Y4572" i="6"/>
  <c r="X4572" i="6"/>
  <c r="W4572" i="6"/>
  <c r="AG4456" i="6"/>
  <c r="AF4456" i="6"/>
  <c r="AE4456" i="6"/>
  <c r="AD4456" i="6"/>
  <c r="AC4456" i="6"/>
  <c r="AB4456" i="6"/>
  <c r="AA4456" i="6"/>
  <c r="Z4456" i="6"/>
  <c r="Y4456" i="6"/>
  <c r="X4456" i="6"/>
  <c r="W4456" i="6"/>
  <c r="H4477" i="6"/>
  <c r="H4478" i="6"/>
  <c r="H4501" i="6"/>
  <c r="H4502" i="6"/>
  <c r="H4525" i="6"/>
  <c r="H4526" i="6"/>
  <c r="H4549" i="6"/>
  <c r="H4550" i="6"/>
  <c r="H1534" i="6"/>
  <c r="A4600" i="6"/>
  <c r="A4599" i="6"/>
  <c r="A4598" i="6"/>
  <c r="A4595" i="6"/>
  <c r="A4593" i="6"/>
  <c r="A4592" i="6"/>
  <c r="A4591" i="6"/>
  <c r="A4590" i="6"/>
  <c r="A4589" i="6"/>
  <c r="A4587" i="6"/>
  <c r="A4585" i="6"/>
  <c r="A4584" i="6"/>
  <c r="A4583" i="6"/>
  <c r="A4582" i="6"/>
  <c r="A4581" i="6"/>
  <c r="A4580" i="6"/>
  <c r="A4579" i="6"/>
  <c r="A4578" i="6"/>
  <c r="A4577" i="6"/>
  <c r="A4576" i="6"/>
  <c r="A4575" i="6"/>
  <c r="A4574" i="6"/>
  <c r="A4573" i="6"/>
  <c r="A4572" i="6"/>
  <c r="A4571" i="6"/>
  <c r="A4456" i="6"/>
  <c r="A4455" i="6"/>
  <c r="A4454" i="6"/>
  <c r="V4453" i="6"/>
  <c r="A4453" i="6"/>
  <c r="L1105" i="6"/>
  <c r="J1105" i="6"/>
  <c r="J1104" i="6"/>
  <c r="I906" i="6"/>
  <c r="I933" i="6" s="1"/>
  <c r="I960" i="6" s="1"/>
  <c r="I987" i="6" s="1"/>
  <c r="I1014" i="6" s="1"/>
  <c r="I1041" i="6" s="1"/>
  <c r="I1068" i="6" s="1"/>
  <c r="I1095" i="6" s="1"/>
  <c r="I1122" i="6" s="1"/>
  <c r="I1149" i="6" s="1"/>
  <c r="I905" i="6"/>
  <c r="I932" i="6" s="1"/>
  <c r="I959" i="6" s="1"/>
  <c r="I986" i="6" s="1"/>
  <c r="I1013" i="6" s="1"/>
  <c r="I1040" i="6" s="1"/>
  <c r="I1067" i="6" s="1"/>
  <c r="I1094" i="6" s="1"/>
  <c r="I1121" i="6" s="1"/>
  <c r="I1148" i="6" s="1"/>
  <c r="I887" i="6"/>
  <c r="I914" i="6" s="1"/>
  <c r="I941" i="6" s="1"/>
  <c r="I968" i="6" s="1"/>
  <c r="I995" i="6" s="1"/>
  <c r="I1022" i="6" s="1"/>
  <c r="I1049" i="6" s="1"/>
  <c r="I1076" i="6" s="1"/>
  <c r="I1103" i="6" s="1"/>
  <c r="I1130" i="6" s="1"/>
  <c r="I888" i="6"/>
  <c r="I915" i="6" s="1"/>
  <c r="I942" i="6" s="1"/>
  <c r="I969" i="6" s="1"/>
  <c r="I996" i="6" s="1"/>
  <c r="I1023" i="6" s="1"/>
  <c r="I1050" i="6" s="1"/>
  <c r="I1077" i="6" s="1"/>
  <c r="I1104" i="6" s="1"/>
  <c r="I1131" i="6" s="1"/>
  <c r="I897" i="6"/>
  <c r="I924" i="6" s="1"/>
  <c r="I951" i="6" s="1"/>
  <c r="I978" i="6" s="1"/>
  <c r="I1005" i="6" s="1"/>
  <c r="I1032" i="6" s="1"/>
  <c r="I1059" i="6" s="1"/>
  <c r="I1086" i="6" s="1"/>
  <c r="I1113" i="6" s="1"/>
  <c r="I1140" i="6" s="1"/>
  <c r="I896" i="6"/>
  <c r="I923" i="6" s="1"/>
  <c r="I950" i="6" s="1"/>
  <c r="I977" i="6" s="1"/>
  <c r="I1004" i="6" s="1"/>
  <c r="I1031" i="6" s="1"/>
  <c r="I1058" i="6" s="1"/>
  <c r="I1085" i="6" s="1"/>
  <c r="I1112" i="6" s="1"/>
  <c r="I1139" i="6" s="1"/>
  <c r="BD4529" i="6" l="1"/>
  <c r="F4505" i="6"/>
  <c r="BD4505" i="6" s="1"/>
  <c r="F4481" i="6"/>
  <c r="BD4481" i="6" s="1"/>
  <c r="F4549" i="6"/>
  <c r="F4525" i="6"/>
  <c r="F4501" i="6"/>
  <c r="F4477" i="6"/>
  <c r="F4537" i="6"/>
  <c r="BD4537" i="6" s="1"/>
  <c r="F4457" i="6"/>
  <c r="BD4457" i="6" s="1"/>
  <c r="F4489" i="6"/>
  <c r="BD4489" i="6" s="1"/>
  <c r="F4465" i="6"/>
  <c r="BD4465" i="6" s="1"/>
  <c r="F4513" i="6"/>
  <c r="BD4513" i="6" s="1"/>
  <c r="BD4530" i="6"/>
  <c r="F4506" i="6"/>
  <c r="BD4506" i="6" s="1"/>
  <c r="F4482" i="6"/>
  <c r="BD4482" i="6" s="1"/>
  <c r="F4550" i="6"/>
  <c r="F4526" i="6"/>
  <c r="F4502" i="6"/>
  <c r="F4478" i="6"/>
  <c r="F4458" i="6"/>
  <c r="BD4458" i="6" s="1"/>
  <c r="F4466" i="6"/>
  <c r="BD4466" i="6" s="1"/>
  <c r="F4538" i="6"/>
  <c r="BD4538" i="6" s="1"/>
  <c r="F4490" i="6"/>
  <c r="BD4490" i="6" s="1"/>
  <c r="F4514" i="6"/>
  <c r="BD4514" i="6" s="1"/>
  <c r="J1114" i="6"/>
  <c r="J1123" i="6"/>
  <c r="F4542" i="6"/>
  <c r="BD4542" i="6" s="1"/>
  <c r="F4518" i="6"/>
  <c r="BD4518" i="6" s="1"/>
  <c r="F4494" i="6"/>
  <c r="BD4494" i="6" s="1"/>
  <c r="F4470" i="6"/>
  <c r="F4462" i="6"/>
  <c r="BD4462" i="6" s="1"/>
  <c r="F4534" i="6"/>
  <c r="BD4534" i="6" s="1"/>
  <c r="F4510" i="6"/>
  <c r="BD4510" i="6" s="1"/>
  <c r="F4486" i="6"/>
  <c r="BD4486" i="6" s="1"/>
  <c r="F4541" i="6"/>
  <c r="BD4541" i="6" s="1"/>
  <c r="F4517" i="6"/>
  <c r="BD4517" i="6" s="1"/>
  <c r="F4493" i="6"/>
  <c r="BD4493" i="6" s="1"/>
  <c r="F4469" i="6"/>
  <c r="F4461" i="6"/>
  <c r="BD4461" i="6" s="1"/>
  <c r="F4533" i="6"/>
  <c r="BD4533" i="6" s="1"/>
  <c r="F4509" i="6"/>
  <c r="BD4509" i="6" s="1"/>
  <c r="F4485" i="6"/>
  <c r="BD4485" i="6" s="1"/>
  <c r="AD750" i="6"/>
  <c r="AD749" i="6"/>
  <c r="AD744" i="6"/>
  <c r="AD741" i="6"/>
  <c r="AD740" i="6"/>
  <c r="AD735" i="6"/>
  <c r="AD732" i="6"/>
  <c r="AD731" i="6"/>
  <c r="AD726" i="6"/>
  <c r="AD723" i="6"/>
  <c r="AD722" i="6"/>
  <c r="AD530" i="6"/>
  <c r="AD521" i="6"/>
  <c r="AD512" i="6"/>
  <c r="AD490" i="6"/>
  <c r="AD484" i="6"/>
  <c r="AD481" i="6"/>
  <c r="AD472" i="6"/>
  <c r="AD470" i="6"/>
  <c r="AD467" i="6"/>
  <c r="AD466" i="6"/>
  <c r="AD468" i="6" s="1"/>
  <c r="AD463" i="6"/>
  <c r="AD461" i="6"/>
  <c r="AD458" i="6"/>
  <c r="AD457" i="6"/>
  <c r="AD459" i="6" s="1"/>
  <c r="AD454" i="6"/>
  <c r="AD452" i="6"/>
  <c r="AD449" i="6"/>
  <c r="AD448" i="6"/>
  <c r="AD450" i="6" s="1"/>
  <c r="AD445" i="6"/>
  <c r="AD443" i="6"/>
  <c r="AD440" i="6"/>
  <c r="AD439" i="6"/>
  <c r="AD441" i="6" s="1"/>
  <c r="AD436" i="6"/>
  <c r="AD353" i="6"/>
  <c r="AD351" i="6"/>
  <c r="AD350" i="6"/>
  <c r="AD346" i="6"/>
  <c r="AD344" i="6"/>
  <c r="AD341" i="6"/>
  <c r="AD340" i="6"/>
  <c r="AD342" i="6" s="1"/>
  <c r="AD337" i="6"/>
  <c r="AD335" i="6"/>
  <c r="AD333" i="6"/>
  <c r="AD332" i="6"/>
  <c r="AD328" i="6"/>
  <c r="AD326" i="6"/>
  <c r="AD323" i="6"/>
  <c r="AD322" i="6"/>
  <c r="AD324" i="6" s="1"/>
  <c r="AD319" i="6"/>
  <c r="AD317" i="6"/>
  <c r="AD314" i="6"/>
  <c r="AD313" i="6"/>
  <c r="AD315" i="6" s="1"/>
  <c r="AD310" i="6"/>
  <c r="AD308" i="6"/>
  <c r="AD305" i="6"/>
  <c r="AD304" i="6"/>
  <c r="AD306" i="6" s="1"/>
  <c r="AD301" i="6"/>
  <c r="AD299" i="6"/>
  <c r="AD296" i="6"/>
  <c r="AD295" i="6"/>
  <c r="AD297" i="6" s="1"/>
  <c r="AD292" i="6"/>
  <c r="AD290" i="6"/>
  <c r="AD288" i="6"/>
  <c r="AD287" i="6"/>
  <c r="AD284" i="6"/>
  <c r="AD283" i="6"/>
  <c r="AD282" i="6"/>
  <c r="AD281" i="6"/>
  <c r="AD279" i="6"/>
  <c r="AD278" i="6"/>
  <c r="AD272" i="6"/>
  <c r="AD270" i="6"/>
  <c r="AD269" i="6"/>
  <c r="AD263" i="6"/>
  <c r="AD261" i="6"/>
  <c r="AD260" i="6"/>
  <c r="AD254" i="6"/>
  <c r="AD252" i="6"/>
  <c r="AD245" i="6"/>
  <c r="AD243" i="6"/>
  <c r="AD242" i="6"/>
  <c r="AD236" i="6"/>
  <c r="AD234" i="6"/>
  <c r="AD233" i="6"/>
  <c r="AD227" i="6"/>
  <c r="AD225" i="6"/>
  <c r="AD224" i="6"/>
  <c r="AD218" i="6"/>
  <c r="AD216" i="6"/>
  <c r="K840" i="6"/>
  <c r="K844" i="6" s="1"/>
  <c r="BE844" i="6" s="1"/>
  <c r="K841" i="6"/>
  <c r="K845" i="6" s="1"/>
  <c r="BE845" i="6" s="1"/>
  <c r="K839" i="6"/>
  <c r="K843" i="6" s="1"/>
  <c r="BE843" i="6" s="1"/>
  <c r="K851" i="6"/>
  <c r="K853" i="6" s="1"/>
  <c r="BE853" i="6" s="1"/>
  <c r="K811" i="6"/>
  <c r="BE811" i="6" s="1"/>
  <c r="K806" i="6"/>
  <c r="K807" i="6"/>
  <c r="BE807" i="6" s="1"/>
  <c r="K805" i="6"/>
  <c r="BE805" i="6" s="1"/>
  <c r="J851" i="6"/>
  <c r="J853" i="6" s="1"/>
  <c r="BC853" i="6" s="1"/>
  <c r="J850" i="6"/>
  <c r="J839" i="6"/>
  <c r="J843" i="6" s="1"/>
  <c r="J840" i="6"/>
  <c r="J841" i="6"/>
  <c r="J845" i="6" s="1"/>
  <c r="BC845" i="6" s="1"/>
  <c r="J838" i="6"/>
  <c r="J846" i="6"/>
  <c r="J810" i="6"/>
  <c r="J811" i="6"/>
  <c r="BC811" i="6" s="1"/>
  <c r="J812" i="6"/>
  <c r="J813" i="6"/>
  <c r="J804" i="6"/>
  <c r="J805" i="6"/>
  <c r="BC805" i="6" s="1"/>
  <c r="J806" i="6"/>
  <c r="J807" i="6"/>
  <c r="BC807" i="6" s="1"/>
  <c r="J808" i="6"/>
  <c r="J809" i="6"/>
  <c r="F805" i="6"/>
  <c r="L172" i="15" s="1"/>
  <c r="F807" i="6"/>
  <c r="N172" i="15" s="1"/>
  <c r="F811" i="6"/>
  <c r="L174" i="15" s="1"/>
  <c r="F853" i="6"/>
  <c r="L191" i="15" s="1"/>
  <c r="F851" i="6"/>
  <c r="L190" i="15" s="1"/>
  <c r="F845" i="6"/>
  <c r="N187" i="15" s="1"/>
  <c r="F843" i="6"/>
  <c r="L187" i="15" s="1"/>
  <c r="F841" i="6"/>
  <c r="N186" i="15" s="1"/>
  <c r="F839" i="6"/>
  <c r="L186" i="15" s="1"/>
  <c r="F1215" i="6"/>
  <c r="F1214" i="6"/>
  <c r="F1211" i="6"/>
  <c r="F1210" i="6"/>
  <c r="F1209" i="6"/>
  <c r="F1208" i="6"/>
  <c r="F1192" i="6"/>
  <c r="F1262" i="6" s="1"/>
  <c r="F1308" i="6" s="1"/>
  <c r="F1191" i="6"/>
  <c r="F1261" i="6" s="1"/>
  <c r="F1307" i="6" s="1"/>
  <c r="F1188" i="6"/>
  <c r="F1258" i="6" s="1"/>
  <c r="F1304" i="6" s="1"/>
  <c r="F1187" i="6"/>
  <c r="F1257" i="6" s="1"/>
  <c r="F1303" i="6" s="1"/>
  <c r="F1186" i="6"/>
  <c r="F1256" i="6" s="1"/>
  <c r="F1302" i="6" s="1"/>
  <c r="F1185" i="6"/>
  <c r="F1255" i="6" s="1"/>
  <c r="F1301" i="6" s="1"/>
  <c r="K1023" i="6"/>
  <c r="K1284" i="6" s="1"/>
  <c r="K1022" i="6"/>
  <c r="K1278" i="6" s="1"/>
  <c r="K1020" i="6"/>
  <c r="K1274" i="6" s="1"/>
  <c r="I1281" i="6"/>
  <c r="I1280" i="6"/>
  <c r="I1279" i="6"/>
  <c r="I1278" i="6"/>
  <c r="I1215" i="6"/>
  <c r="I1214" i="6"/>
  <c r="I1211" i="6"/>
  <c r="I1210" i="6"/>
  <c r="I1209" i="6"/>
  <c r="I1208" i="6"/>
  <c r="I1262" i="6"/>
  <c r="I1308" i="6" s="1"/>
  <c r="I1261" i="6"/>
  <c r="I1307" i="6" s="1"/>
  <c r="I1258" i="6"/>
  <c r="I1304" i="6" s="1"/>
  <c r="I1257" i="6"/>
  <c r="I1303" i="6" s="1"/>
  <c r="I1256" i="6"/>
  <c r="I1302" i="6" s="1"/>
  <c r="I1255" i="6"/>
  <c r="I1301" i="6" s="1"/>
  <c r="I1169" i="6"/>
  <c r="I1239" i="6" s="1"/>
  <c r="I1285" i="6" s="1"/>
  <c r="F1169" i="6"/>
  <c r="F1239" i="6" s="1"/>
  <c r="F1285" i="6" s="1"/>
  <c r="I1168" i="6"/>
  <c r="I1238" i="6" s="1"/>
  <c r="I1284" i="6" s="1"/>
  <c r="F1168" i="6"/>
  <c r="F1238" i="6" s="1"/>
  <c r="F1284" i="6" s="1"/>
  <c r="F1163" i="6"/>
  <c r="F1233" i="6" s="1"/>
  <c r="F1279" i="6" s="1"/>
  <c r="F1164" i="6"/>
  <c r="F1234" i="6" s="1"/>
  <c r="F1280" i="6" s="1"/>
  <c r="F1165" i="6"/>
  <c r="F1235" i="6" s="1"/>
  <c r="F1281" i="6" s="1"/>
  <c r="F1162" i="6"/>
  <c r="F1232" i="6" s="1"/>
  <c r="F1278" i="6" s="1"/>
  <c r="F810" i="6"/>
  <c r="K174" i="15" s="1"/>
  <c r="F804" i="6"/>
  <c r="K172" i="15" s="1"/>
  <c r="J1122" i="6"/>
  <c r="J1121" i="6"/>
  <c r="K1041" i="6"/>
  <c r="L852" i="6" s="1"/>
  <c r="AJ191" i="15" s="1"/>
  <c r="K1040" i="6"/>
  <c r="L842" i="6" s="1"/>
  <c r="AJ187" i="15" s="1"/>
  <c r="K1032" i="6"/>
  <c r="K1307" i="6" s="1"/>
  <c r="K1031" i="6"/>
  <c r="K1301" i="6" s="1"/>
  <c r="J987" i="6"/>
  <c r="J986" i="6"/>
  <c r="J978" i="6"/>
  <c r="J977" i="6"/>
  <c r="J960" i="6"/>
  <c r="J959" i="6"/>
  <c r="J951" i="6"/>
  <c r="J950" i="6"/>
  <c r="K906" i="6"/>
  <c r="K905" i="6"/>
  <c r="F906" i="6"/>
  <c r="F933" i="6" s="1"/>
  <c r="F960" i="6" s="1"/>
  <c r="F987" i="6" s="1"/>
  <c r="F1014" i="6" s="1"/>
  <c r="F1041" i="6" s="1"/>
  <c r="F1068" i="6" s="1"/>
  <c r="F1095" i="6" s="1"/>
  <c r="F1122" i="6" s="1"/>
  <c r="F1149" i="6" s="1"/>
  <c r="F905" i="6"/>
  <c r="F932" i="6" s="1"/>
  <c r="F959" i="6" s="1"/>
  <c r="F986" i="6" s="1"/>
  <c r="F1013" i="6" s="1"/>
  <c r="F1040" i="6" s="1"/>
  <c r="F1067" i="6" s="1"/>
  <c r="F1094" i="6" s="1"/>
  <c r="F1121" i="6" s="1"/>
  <c r="F1148" i="6" s="1"/>
  <c r="F897" i="6"/>
  <c r="F924" i="6" s="1"/>
  <c r="F951" i="6" s="1"/>
  <c r="F978" i="6" s="1"/>
  <c r="F1005" i="6" s="1"/>
  <c r="F1032" i="6" s="1"/>
  <c r="F1059" i="6" s="1"/>
  <c r="F1086" i="6" s="1"/>
  <c r="F1113" i="6" s="1"/>
  <c r="F1140" i="6" s="1"/>
  <c r="F896" i="6"/>
  <c r="F923" i="6" s="1"/>
  <c r="F950" i="6" s="1"/>
  <c r="F977" i="6" s="1"/>
  <c r="F1004" i="6" s="1"/>
  <c r="F1031" i="6" s="1"/>
  <c r="F1058" i="6" s="1"/>
  <c r="F1085" i="6" s="1"/>
  <c r="F1112" i="6" s="1"/>
  <c r="F1139" i="6" s="1"/>
  <c r="F888" i="6"/>
  <c r="F915" i="6" s="1"/>
  <c r="F942" i="6" s="1"/>
  <c r="F969" i="6" s="1"/>
  <c r="F996" i="6" s="1"/>
  <c r="F1023" i="6" s="1"/>
  <c r="F1050" i="6" s="1"/>
  <c r="F1077" i="6" s="1"/>
  <c r="F1104" i="6" s="1"/>
  <c r="F1131" i="6" s="1"/>
  <c r="F887" i="6"/>
  <c r="F914" i="6" s="1"/>
  <c r="F941" i="6" s="1"/>
  <c r="F968" i="6" s="1"/>
  <c r="F995" i="6" s="1"/>
  <c r="F1022" i="6" s="1"/>
  <c r="F1049" i="6" s="1"/>
  <c r="F1076" i="6" s="1"/>
  <c r="F1103" i="6" s="1"/>
  <c r="F1130" i="6" s="1"/>
  <c r="K897" i="6"/>
  <c r="K896" i="6"/>
  <c r="K888" i="6"/>
  <c r="K887" i="6"/>
  <c r="H853" i="6"/>
  <c r="A853" i="6"/>
  <c r="H852" i="6"/>
  <c r="A852" i="6"/>
  <c r="H851" i="6"/>
  <c r="A851" i="6"/>
  <c r="H850" i="6"/>
  <c r="A850" i="6"/>
  <c r="H845" i="6"/>
  <c r="A845" i="6"/>
  <c r="H844" i="6"/>
  <c r="A844" i="6"/>
  <c r="H843" i="6"/>
  <c r="A843" i="6"/>
  <c r="H842" i="6"/>
  <c r="A842" i="6"/>
  <c r="H841" i="6"/>
  <c r="A841" i="6"/>
  <c r="H840" i="6"/>
  <c r="A840" i="6"/>
  <c r="H839" i="6"/>
  <c r="A839" i="6"/>
  <c r="H838" i="6"/>
  <c r="A838" i="6"/>
  <c r="J530" i="6"/>
  <c r="J470" i="6"/>
  <c r="J467" i="6"/>
  <c r="J461" i="6"/>
  <c r="J458" i="6"/>
  <c r="J452" i="6"/>
  <c r="J449" i="6"/>
  <c r="J443" i="6"/>
  <c r="J440" i="6"/>
  <c r="F1891" i="6"/>
  <c r="H811" i="6"/>
  <c r="A811" i="6"/>
  <c r="H810" i="6"/>
  <c r="A810" i="6"/>
  <c r="H807" i="6"/>
  <c r="A807" i="6"/>
  <c r="H806" i="6"/>
  <c r="A806" i="6"/>
  <c r="H805" i="6"/>
  <c r="A805" i="6"/>
  <c r="H804" i="6"/>
  <c r="A804" i="6"/>
  <c r="BD4477" i="6" l="1"/>
  <c r="AG339" i="15" s="1"/>
  <c r="M339" i="15"/>
  <c r="BD4469" i="6"/>
  <c r="AE337" i="15" s="1"/>
  <c r="K337" i="15"/>
  <c r="AN337" i="15" s="1"/>
  <c r="BD4501" i="6"/>
  <c r="AG347" i="15" s="1"/>
  <c r="M347" i="15"/>
  <c r="BD4525" i="6"/>
  <c r="AG355" i="15" s="1"/>
  <c r="M355" i="15"/>
  <c r="BD4549" i="6"/>
  <c r="AG363" i="15" s="1"/>
  <c r="M363" i="15"/>
  <c r="BD4550" i="6"/>
  <c r="AH363" i="15" s="1"/>
  <c r="N363" i="15"/>
  <c r="BD4470" i="6"/>
  <c r="AF337" i="15" s="1"/>
  <c r="AC337" i="15" s="1"/>
  <c r="L337" i="15"/>
  <c r="BD4478" i="6"/>
  <c r="AH339" i="15" s="1"/>
  <c r="AD339" i="15" s="1"/>
  <c r="N339" i="15"/>
  <c r="BD4502" i="6"/>
  <c r="AH347" i="15" s="1"/>
  <c r="AD347" i="15" s="1"/>
  <c r="N347" i="15"/>
  <c r="J347" i="15" s="1"/>
  <c r="BD4526" i="6"/>
  <c r="AH355" i="15" s="1"/>
  <c r="AD355" i="15" s="1"/>
  <c r="N355" i="15"/>
  <c r="J355" i="15" s="1"/>
  <c r="BD853" i="6"/>
  <c r="BD807" i="6"/>
  <c r="AH172" i="15" s="1"/>
  <c r="BD811" i="6"/>
  <c r="AF174" i="15" s="1"/>
  <c r="BD805" i="6"/>
  <c r="AF172" i="15" s="1"/>
  <c r="BD845" i="6"/>
  <c r="BC804" i="6"/>
  <c r="BD804" i="6" s="1"/>
  <c r="X172" i="15"/>
  <c r="J844" i="6"/>
  <c r="Y187" i="15" s="1"/>
  <c r="Y186" i="15"/>
  <c r="I4485" i="6"/>
  <c r="Q343" i="15" s="1"/>
  <c r="K343" i="15"/>
  <c r="AN343" i="15" s="1"/>
  <c r="I4493" i="6"/>
  <c r="Q345" i="15" s="1"/>
  <c r="K345" i="15"/>
  <c r="AN345" i="15" s="1"/>
  <c r="AE345" i="15"/>
  <c r="I4542" i="6"/>
  <c r="R361" i="15" s="1"/>
  <c r="L361" i="15"/>
  <c r="AF361" i="15"/>
  <c r="I4514" i="6"/>
  <c r="R352" i="15" s="1"/>
  <c r="L352" i="15"/>
  <c r="AF352" i="15"/>
  <c r="L348" i="15"/>
  <c r="I4530" i="6"/>
  <c r="R358" i="15" s="1"/>
  <c r="L358" i="15"/>
  <c r="AF358" i="15"/>
  <c r="I4537" i="6"/>
  <c r="Q360" i="15" s="1"/>
  <c r="K360" i="15"/>
  <c r="AN360" i="15" s="1"/>
  <c r="I172" i="15"/>
  <c r="AN172" i="15"/>
  <c r="I4534" i="6"/>
  <c r="R359" i="15" s="1"/>
  <c r="L359" i="15"/>
  <c r="AF359" i="15"/>
  <c r="I4490" i="6"/>
  <c r="R344" i="15" s="1"/>
  <c r="L344" i="15"/>
  <c r="AF344" i="15"/>
  <c r="L356" i="15"/>
  <c r="I174" i="15"/>
  <c r="AN174" i="15"/>
  <c r="J852" i="6"/>
  <c r="X190" i="15"/>
  <c r="Z190" i="15" s="1"/>
  <c r="I4509" i="6"/>
  <c r="Q351" i="15" s="1"/>
  <c r="K351" i="15"/>
  <c r="AN351" i="15" s="1"/>
  <c r="I4517" i="6"/>
  <c r="Q353" i="15" s="1"/>
  <c r="K353" i="15"/>
  <c r="AN353" i="15" s="1"/>
  <c r="I4470" i="6"/>
  <c r="R337" i="15" s="1"/>
  <c r="I4538" i="6"/>
  <c r="R360" i="15" s="1"/>
  <c r="L360" i="15"/>
  <c r="AF360" i="15"/>
  <c r="L364" i="15"/>
  <c r="I4481" i="6"/>
  <c r="Q342" i="15" s="1"/>
  <c r="K342" i="15"/>
  <c r="AN342" i="15" s="1"/>
  <c r="K340" i="15"/>
  <c r="AN340" i="15" s="1"/>
  <c r="AE340" i="15"/>
  <c r="I4505" i="6"/>
  <c r="Q350" i="15" s="1"/>
  <c r="K350" i="15"/>
  <c r="AN350" i="15" s="1"/>
  <c r="BC810" i="6"/>
  <c r="BD810" i="6" s="1"/>
  <c r="X174" i="15"/>
  <c r="Z174" i="15" s="1"/>
  <c r="I4533" i="6"/>
  <c r="Q359" i="15" s="1"/>
  <c r="K359" i="15"/>
  <c r="AN359" i="15" s="1"/>
  <c r="I4461" i="6"/>
  <c r="Q335" i="15" s="1"/>
  <c r="K335" i="15"/>
  <c r="AN335" i="15" s="1"/>
  <c r="AE335" i="15"/>
  <c r="I4541" i="6"/>
  <c r="Q361" i="15" s="1"/>
  <c r="K361" i="15"/>
  <c r="AN361" i="15" s="1"/>
  <c r="I4494" i="6"/>
  <c r="R345" i="15" s="1"/>
  <c r="L345" i="15"/>
  <c r="AF345" i="15"/>
  <c r="I4466" i="6"/>
  <c r="R336" i="15" s="1"/>
  <c r="L336" i="15"/>
  <c r="AF336" i="15"/>
  <c r="I4458" i="6"/>
  <c r="R334" i="15" s="1"/>
  <c r="L334" i="15"/>
  <c r="AF334" i="15"/>
  <c r="I4513" i="6"/>
  <c r="Q352" i="15" s="1"/>
  <c r="K352" i="15"/>
  <c r="AN352" i="15" s="1"/>
  <c r="I4465" i="6"/>
  <c r="Q336" i="15" s="1"/>
  <c r="K336" i="15"/>
  <c r="AN336" i="15" s="1"/>
  <c r="K348" i="15"/>
  <c r="AN348" i="15" s="1"/>
  <c r="AE348" i="15"/>
  <c r="I4529" i="6"/>
  <c r="Q358" i="15" s="1"/>
  <c r="K358" i="15"/>
  <c r="AN358" i="15" s="1"/>
  <c r="I4486" i="6"/>
  <c r="R343" i="15" s="1"/>
  <c r="L343" i="15"/>
  <c r="AF343" i="15"/>
  <c r="I4489" i="6"/>
  <c r="Q344" i="15" s="1"/>
  <c r="K344" i="15"/>
  <c r="AN344" i="15" s="1"/>
  <c r="K356" i="15"/>
  <c r="AN356" i="15" s="1"/>
  <c r="AE356" i="15"/>
  <c r="BC806" i="6"/>
  <c r="Y172" i="15"/>
  <c r="J842" i="6"/>
  <c r="X187" i="15" s="1"/>
  <c r="X186" i="15"/>
  <c r="I4469" i="6"/>
  <c r="Q337" i="15" s="1"/>
  <c r="O337" i="15" s="1"/>
  <c r="AO337" i="15" s="1"/>
  <c r="I4518" i="6"/>
  <c r="R353" i="15" s="1"/>
  <c r="L353" i="15"/>
  <c r="AF353" i="15"/>
  <c r="I4482" i="6"/>
  <c r="R342" i="15" s="1"/>
  <c r="L342" i="15"/>
  <c r="AF342" i="15"/>
  <c r="K364" i="15"/>
  <c r="AN364" i="15" s="1"/>
  <c r="AE364" i="15"/>
  <c r="I4510" i="6"/>
  <c r="R351" i="15" s="1"/>
  <c r="L351" i="15"/>
  <c r="AF351" i="15"/>
  <c r="I4462" i="6"/>
  <c r="R335" i="15" s="1"/>
  <c r="L335" i="15"/>
  <c r="AF335" i="15"/>
  <c r="L340" i="15"/>
  <c r="I4506" i="6"/>
  <c r="R350" i="15" s="1"/>
  <c r="L350" i="15"/>
  <c r="AF350" i="15"/>
  <c r="I4457" i="6"/>
  <c r="Q334" i="15" s="1"/>
  <c r="K334" i="15"/>
  <c r="AN334" i="15" s="1"/>
  <c r="L850" i="6"/>
  <c r="AJ190" i="15" s="1"/>
  <c r="BC839" i="6"/>
  <c r="BD839" i="6" s="1"/>
  <c r="F806" i="6"/>
  <c r="L838" i="6"/>
  <c r="AJ186" i="15" s="1"/>
  <c r="L804" i="6"/>
  <c r="AJ172" i="15" s="1"/>
  <c r="L810" i="6"/>
  <c r="AJ174" i="15" s="1"/>
  <c r="I804" i="6"/>
  <c r="Q172" i="15" s="1"/>
  <c r="BE851" i="6"/>
  <c r="BC841" i="6"/>
  <c r="BD841" i="6" s="1"/>
  <c r="BC850" i="6"/>
  <c r="BC851" i="6"/>
  <c r="BD851" i="6" s="1"/>
  <c r="BC843" i="6"/>
  <c r="BD843" i="6" s="1"/>
  <c r="BE839" i="6"/>
  <c r="I805" i="6"/>
  <c r="R172" i="15" s="1"/>
  <c r="BE840" i="6"/>
  <c r="BE841" i="6"/>
  <c r="BC838" i="6"/>
  <c r="I807" i="6"/>
  <c r="T172" i="15" s="1"/>
  <c r="I811" i="6"/>
  <c r="R174" i="15" s="1"/>
  <c r="I810" i="6"/>
  <c r="Q174" i="15" s="1"/>
  <c r="AD363" i="15" l="1"/>
  <c r="AF364" i="15"/>
  <c r="I337" i="15"/>
  <c r="J363" i="15"/>
  <c r="J339" i="15"/>
  <c r="AF340" i="15"/>
  <c r="AF348" i="15"/>
  <c r="AC348" i="15" s="1"/>
  <c r="AF356" i="15"/>
  <c r="AC356" i="15" s="1"/>
  <c r="BD806" i="6"/>
  <c r="AG172" i="15" s="1"/>
  <c r="AD172" i="15" s="1"/>
  <c r="O344" i="15"/>
  <c r="AO344" i="15" s="1"/>
  <c r="O359" i="15"/>
  <c r="AO359" i="15" s="1"/>
  <c r="O361" i="15"/>
  <c r="AO361" i="15" s="1"/>
  <c r="AC364" i="15"/>
  <c r="Z172" i="15"/>
  <c r="O174" i="15"/>
  <c r="W174" i="15" s="1"/>
  <c r="O358" i="15"/>
  <c r="AO358" i="15" s="1"/>
  <c r="O352" i="15"/>
  <c r="AO352" i="15" s="1"/>
  <c r="O334" i="15"/>
  <c r="AO334" i="15" s="1"/>
  <c r="BC842" i="6"/>
  <c r="O336" i="15"/>
  <c r="AO336" i="15" s="1"/>
  <c r="AE342" i="15"/>
  <c r="AC342" i="15" s="1"/>
  <c r="BB4481" i="6"/>
  <c r="AA342" i="15" s="1"/>
  <c r="BB4509" i="6"/>
  <c r="AA351" i="15" s="1"/>
  <c r="AE351" i="15"/>
  <c r="AC351" i="15" s="1"/>
  <c r="AE172" i="15"/>
  <c r="AC172" i="15" s="1"/>
  <c r="AE358" i="15"/>
  <c r="AC358" i="15" s="1"/>
  <c r="BB4529" i="6"/>
  <c r="AA358" i="15" s="1"/>
  <c r="AE352" i="15"/>
  <c r="AC352" i="15" s="1"/>
  <c r="BB4513" i="6"/>
  <c r="AA352" i="15" s="1"/>
  <c r="AC335" i="15"/>
  <c r="BB4505" i="6"/>
  <c r="AA350" i="15" s="1"/>
  <c r="AE350" i="15"/>
  <c r="AC350" i="15" s="1"/>
  <c r="I342" i="15"/>
  <c r="I351" i="15"/>
  <c r="BB4485" i="6"/>
  <c r="AA343" i="15" s="1"/>
  <c r="AE343" i="15"/>
  <c r="AC343" i="15" s="1"/>
  <c r="I358" i="15"/>
  <c r="I352" i="15"/>
  <c r="I335" i="15"/>
  <c r="I350" i="15"/>
  <c r="O342" i="15"/>
  <c r="AO342" i="15" s="1"/>
  <c r="O351" i="15"/>
  <c r="AO351" i="15" s="1"/>
  <c r="BB4537" i="6"/>
  <c r="AA360" i="15" s="1"/>
  <c r="AE360" i="15"/>
  <c r="AC360" i="15" s="1"/>
  <c r="I343" i="15"/>
  <c r="BB4469" i="6"/>
  <c r="AA337" i="15" s="1"/>
  <c r="I356" i="15"/>
  <c r="O335" i="15"/>
  <c r="AO335" i="15" s="1"/>
  <c r="O350" i="15"/>
  <c r="AO350" i="15" s="1"/>
  <c r="BB4517" i="6"/>
  <c r="AA353" i="15" s="1"/>
  <c r="AE353" i="15"/>
  <c r="AC353" i="15" s="1"/>
  <c r="I360" i="15"/>
  <c r="AC345" i="15"/>
  <c r="O343" i="15"/>
  <c r="AO343" i="15" s="1"/>
  <c r="AE174" i="15"/>
  <c r="AC174" i="15" s="1"/>
  <c r="I806" i="6"/>
  <c r="S172" i="15" s="1"/>
  <c r="P172" i="15" s="1"/>
  <c r="W172" i="15" s="1"/>
  <c r="M172" i="15"/>
  <c r="J172" i="15" s="1"/>
  <c r="AE359" i="15"/>
  <c r="AC359" i="15" s="1"/>
  <c r="BB4533" i="6"/>
  <c r="AA359" i="15" s="1"/>
  <c r="AC340" i="15"/>
  <c r="I353" i="15"/>
  <c r="BC852" i="6"/>
  <c r="X191" i="15"/>
  <c r="Z191" i="15" s="1"/>
  <c r="O360" i="15"/>
  <c r="AO360" i="15" s="1"/>
  <c r="I345" i="15"/>
  <c r="Z186" i="15"/>
  <c r="I364" i="15"/>
  <c r="I334" i="15"/>
  <c r="I344" i="15"/>
  <c r="I348" i="15"/>
  <c r="I359" i="15"/>
  <c r="I340" i="15"/>
  <c r="O353" i="15"/>
  <c r="AO353" i="15" s="1"/>
  <c r="O345" i="15"/>
  <c r="AO345" i="15" s="1"/>
  <c r="Z187" i="15"/>
  <c r="BB4457" i="6"/>
  <c r="AA334" i="15" s="1"/>
  <c r="AE334" i="15"/>
  <c r="AC334" i="15" s="1"/>
  <c r="AE344" i="15"/>
  <c r="AC344" i="15" s="1"/>
  <c r="BB4489" i="6"/>
  <c r="AA344" i="15" s="1"/>
  <c r="BB4465" i="6"/>
  <c r="AA336" i="15" s="1"/>
  <c r="AE336" i="15"/>
  <c r="AC336" i="15" s="1"/>
  <c r="AE361" i="15"/>
  <c r="AC361" i="15" s="1"/>
  <c r="BB4541" i="6"/>
  <c r="AA361" i="15" s="1"/>
  <c r="O172" i="15"/>
  <c r="AO172" i="15" s="1"/>
  <c r="I336" i="15"/>
  <c r="I361" i="15"/>
  <c r="I66" i="15"/>
  <c r="AN66" i="15" s="1"/>
  <c r="I65" i="15"/>
  <c r="AN65" i="15" s="1"/>
  <c r="V365" i="16"/>
  <c r="V364" i="16"/>
  <c r="V362" i="16"/>
  <c r="V361" i="16"/>
  <c r="V360" i="16"/>
  <c r="V359" i="16"/>
  <c r="V358" i="16"/>
  <c r="V357" i="16"/>
  <c r="V356" i="16"/>
  <c r="V355" i="16"/>
  <c r="V353" i="16"/>
  <c r="V352" i="16"/>
  <c r="V351" i="16"/>
  <c r="V349" i="16"/>
  <c r="V348" i="16"/>
  <c r="V347" i="16"/>
  <c r="V346" i="16"/>
  <c r="V345" i="16"/>
  <c r="AG343" i="16"/>
  <c r="AF343" i="16"/>
  <c r="AE343" i="16"/>
  <c r="AD343" i="16"/>
  <c r="AC343" i="16"/>
  <c r="AB343" i="16"/>
  <c r="AA343" i="16"/>
  <c r="Z343" i="16"/>
  <c r="Y343" i="16"/>
  <c r="X343" i="16"/>
  <c r="W343" i="16"/>
  <c r="BE334" i="16"/>
  <c r="BC334" i="16"/>
  <c r="BD334" i="16" s="1"/>
  <c r="H334" i="16"/>
  <c r="BC333" i="16"/>
  <c r="BD333" i="16" s="1"/>
  <c r="H333" i="16"/>
  <c r="BE332" i="16"/>
  <c r="BD332" i="16"/>
  <c r="BC332" i="16"/>
  <c r="BB332" i="16"/>
  <c r="AG332" i="16"/>
  <c r="AF332" i="16"/>
  <c r="AE332" i="16"/>
  <c r="AD332" i="16"/>
  <c r="AC332" i="16"/>
  <c r="AB332" i="16"/>
  <c r="AA332" i="16"/>
  <c r="Z332" i="16"/>
  <c r="Y332" i="16"/>
  <c r="X332" i="16"/>
  <c r="W332" i="16"/>
  <c r="AD44" i="9"/>
  <c r="AD226" i="9"/>
  <c r="F1452" i="7"/>
  <c r="K573" i="15" s="1"/>
  <c r="F1450" i="7"/>
  <c r="K572" i="15" s="1"/>
  <c r="F1446" i="7"/>
  <c r="K570" i="15" s="1"/>
  <c r="F1444" i="7"/>
  <c r="K569" i="15" s="1"/>
  <c r="F1442" i="7"/>
  <c r="K568" i="15" s="1"/>
  <c r="F1440" i="7"/>
  <c r="K567" i="15" s="1"/>
  <c r="J1453" i="7"/>
  <c r="J1452" i="7"/>
  <c r="X573" i="15" s="1"/>
  <c r="Z573" i="15" s="1"/>
  <c r="J1451" i="7"/>
  <c r="J1450" i="7"/>
  <c r="X572" i="15" s="1"/>
  <c r="Z572" i="15" s="1"/>
  <c r="J1449" i="7"/>
  <c r="J1448" i="7"/>
  <c r="X571" i="15" s="1"/>
  <c r="Z571" i="15" s="1"/>
  <c r="J1447" i="7"/>
  <c r="J1446" i="7"/>
  <c r="X570" i="15" s="1"/>
  <c r="Z570" i="15" s="1"/>
  <c r="J1445" i="7"/>
  <c r="J1444" i="7"/>
  <c r="X569" i="15" s="1"/>
  <c r="Z569" i="15" s="1"/>
  <c r="J1443" i="7"/>
  <c r="J1442" i="7"/>
  <c r="X568" i="15" s="1"/>
  <c r="Z568" i="15" s="1"/>
  <c r="J1441" i="7"/>
  <c r="J1440" i="7"/>
  <c r="X567" i="15" s="1"/>
  <c r="Z567" i="15" s="1"/>
  <c r="J1439" i="7"/>
  <c r="H1438" i="7"/>
  <c r="F57" i="16"/>
  <c r="J1438" i="7"/>
  <c r="X566" i="15" s="1"/>
  <c r="Z566" i="15" s="1"/>
  <c r="K1452" i="7"/>
  <c r="AB573" i="15" s="1"/>
  <c r="K1450" i="7"/>
  <c r="AB572" i="15" s="1"/>
  <c r="K1448" i="7"/>
  <c r="AB571" i="15" s="1"/>
  <c r="K1446" i="7"/>
  <c r="AB570" i="15" s="1"/>
  <c r="K1444" i="7"/>
  <c r="AB569" i="15" s="1"/>
  <c r="K1442" i="7"/>
  <c r="AB568" i="15" s="1"/>
  <c r="K1440" i="7"/>
  <c r="AB567" i="15" s="1"/>
  <c r="K1438" i="7"/>
  <c r="AB566" i="15" s="1"/>
  <c r="K57" i="16"/>
  <c r="E99" i="16"/>
  <c r="J463" i="6"/>
  <c r="BB333" i="16" l="1"/>
  <c r="AA65" i="15" s="1"/>
  <c r="AO174" i="15"/>
  <c r="J334" i="16"/>
  <c r="O66" i="15" s="1"/>
  <c r="V66" i="15" s="1"/>
  <c r="I1438" i="7"/>
  <c r="Q566" i="15" s="1"/>
  <c r="E1510" i="7"/>
  <c r="E1488" i="7"/>
  <c r="E1501" i="7"/>
  <c r="E1523" i="7"/>
  <c r="J333" i="16"/>
  <c r="O65" i="15" s="1"/>
  <c r="V65" i="15" s="1"/>
  <c r="AE65" i="15" l="1"/>
  <c r="AC65" i="15" s="1"/>
  <c r="O566" i="15"/>
  <c r="V566" i="15"/>
  <c r="BB334" i="16"/>
  <c r="AA66" i="15" s="1"/>
  <c r="AE66" i="15"/>
  <c r="AC66" i="15" s="1"/>
  <c r="AO65" i="15"/>
  <c r="AO66" i="15"/>
  <c r="V1439" i="7"/>
  <c r="V1440" i="7"/>
  <c r="V1441" i="7"/>
  <c r="V1442" i="7"/>
  <c r="V1443" i="7"/>
  <c r="V1444" i="7"/>
  <c r="V1445" i="7"/>
  <c r="V1446" i="7"/>
  <c r="V1447" i="7"/>
  <c r="V1448" i="7"/>
  <c r="V1449" i="7"/>
  <c r="V1450" i="7"/>
  <c r="V1451" i="7"/>
  <c r="V1452" i="7"/>
  <c r="V1453" i="7"/>
  <c r="V1438" i="7"/>
  <c r="V57" i="16"/>
  <c r="V1533" i="7"/>
  <c r="V1532" i="7"/>
  <c r="V1531" i="7"/>
  <c r="V1523" i="7"/>
  <c r="V1522" i="7"/>
  <c r="V1521" i="7"/>
  <c r="V1520" i="7"/>
  <c r="V1519" i="7"/>
  <c r="V1518" i="7"/>
  <c r="V1510" i="7"/>
  <c r="V1509" i="7"/>
  <c r="V1501" i="7"/>
  <c r="V1500" i="7"/>
  <c r="V1496" i="7"/>
  <c r="V1488" i="7"/>
  <c r="V1480" i="7"/>
  <c r="V1472" i="7"/>
  <c r="AG1471" i="7"/>
  <c r="AF1471" i="7"/>
  <c r="AE1471" i="7"/>
  <c r="AD1471" i="7"/>
  <c r="AC1471" i="7"/>
  <c r="AB1471" i="7"/>
  <c r="AA1471" i="7"/>
  <c r="Z1471" i="7"/>
  <c r="Y1471" i="7"/>
  <c r="X1471" i="7"/>
  <c r="BE1453" i="7"/>
  <c r="BC1453" i="7"/>
  <c r="H1453" i="7"/>
  <c r="BE1452" i="7"/>
  <c r="BC1452" i="7"/>
  <c r="BD1452" i="7" s="1"/>
  <c r="H1452" i="7"/>
  <c r="BE1451" i="7"/>
  <c r="BC1451" i="7"/>
  <c r="H1451" i="7"/>
  <c r="BE1450" i="7"/>
  <c r="BC1450" i="7"/>
  <c r="BD1450" i="7" s="1"/>
  <c r="H1450" i="7"/>
  <c r="BE1449" i="7"/>
  <c r="BC1449" i="7"/>
  <c r="H1449" i="7"/>
  <c r="BE1448" i="7"/>
  <c r="BC1448" i="7"/>
  <c r="BD1448" i="7" s="1"/>
  <c r="H1448" i="7"/>
  <c r="BE1447" i="7"/>
  <c r="BC1447" i="7"/>
  <c r="H1447" i="7"/>
  <c r="BE1446" i="7"/>
  <c r="BC1446" i="7"/>
  <c r="BD1446" i="7" s="1"/>
  <c r="H1446" i="7"/>
  <c r="BE1445" i="7"/>
  <c r="BC1445" i="7"/>
  <c r="H1445" i="7"/>
  <c r="BE1444" i="7"/>
  <c r="BC1444" i="7"/>
  <c r="BD1444" i="7" s="1"/>
  <c r="H1444" i="7"/>
  <c r="BE1443" i="7"/>
  <c r="BC1443" i="7"/>
  <c r="H1443" i="7"/>
  <c r="BE1442" i="7"/>
  <c r="BC1442" i="7"/>
  <c r="BD1442" i="7" s="1"/>
  <c r="H1442" i="7"/>
  <c r="BE1441" i="7"/>
  <c r="BC1441" i="7"/>
  <c r="H1441" i="7"/>
  <c r="BE1440" i="7"/>
  <c r="BC1440" i="7"/>
  <c r="BD1440" i="7" s="1"/>
  <c r="H1440" i="7"/>
  <c r="BE1439" i="7"/>
  <c r="BC1439" i="7"/>
  <c r="H1439" i="7"/>
  <c r="BE1438" i="7"/>
  <c r="BC1438" i="7"/>
  <c r="BE1437" i="7"/>
  <c r="BD1437" i="7"/>
  <c r="BC1437" i="7"/>
  <c r="BB1437" i="7"/>
  <c r="AG1437" i="7"/>
  <c r="AF1437" i="7"/>
  <c r="AE1437" i="7"/>
  <c r="AD1437" i="7"/>
  <c r="AC1437" i="7"/>
  <c r="AB1437" i="7"/>
  <c r="AA1437" i="7"/>
  <c r="Z1437" i="7"/>
  <c r="Y1437" i="7"/>
  <c r="X1437" i="7"/>
  <c r="V1435" i="7"/>
  <c r="I493" i="7"/>
  <c r="I604" i="7"/>
  <c r="K1140" i="7"/>
  <c r="K1132" i="7"/>
  <c r="F49" i="5"/>
  <c r="K1139" i="7"/>
  <c r="F263" i="5"/>
  <c r="I849" i="7"/>
  <c r="F849" i="7" s="1"/>
  <c r="I848" i="7"/>
  <c r="F848" i="7" s="1"/>
  <c r="BD1438" i="7" l="1"/>
  <c r="AE566" i="15" s="1"/>
  <c r="F1439" i="7"/>
  <c r="L566" i="15" s="1"/>
  <c r="I566" i="15" s="1"/>
  <c r="AN566" i="15" s="1"/>
  <c r="AO566" i="15" s="1"/>
  <c r="F1441" i="7"/>
  <c r="L567" i="15" s="1"/>
  <c r="I567" i="15" s="1"/>
  <c r="AN567" i="15" s="1"/>
  <c r="F1447" i="7"/>
  <c r="L570" i="15" s="1"/>
  <c r="I570" i="15" s="1"/>
  <c r="AN570" i="15" s="1"/>
  <c r="F1443" i="7"/>
  <c r="L568" i="15" s="1"/>
  <c r="I568" i="15" s="1"/>
  <c r="AN568" i="15" s="1"/>
  <c r="F1445" i="7"/>
  <c r="L569" i="15" s="1"/>
  <c r="I569" i="15" s="1"/>
  <c r="AN569" i="15" s="1"/>
  <c r="F1449" i="7"/>
  <c r="L571" i="15" s="1"/>
  <c r="I571" i="15" s="1"/>
  <c r="AN571" i="15" s="1"/>
  <c r="F1453" i="7"/>
  <c r="L573" i="15" s="1"/>
  <c r="I573" i="15" s="1"/>
  <c r="AN573" i="15" s="1"/>
  <c r="F1451" i="7"/>
  <c r="L572" i="15" s="1"/>
  <c r="I572" i="15" s="1"/>
  <c r="AN572" i="15" s="1"/>
  <c r="E1504" i="7"/>
  <c r="E1491" i="7"/>
  <c r="E1526" i="7"/>
  <c r="E1513" i="7"/>
  <c r="E1514" i="7"/>
  <c r="E1527" i="7"/>
  <c r="E1505" i="7"/>
  <c r="E1492" i="7"/>
  <c r="E1528" i="7"/>
  <c r="E1493" i="7"/>
  <c r="E1515" i="7"/>
  <c r="E1506" i="7"/>
  <c r="E1511" i="7"/>
  <c r="E1524" i="7"/>
  <c r="E1502" i="7"/>
  <c r="E1489" i="7"/>
  <c r="E1512" i="7"/>
  <c r="E1525" i="7"/>
  <c r="E1490" i="7"/>
  <c r="E1503" i="7"/>
  <c r="E1529" i="7"/>
  <c r="E1507" i="7"/>
  <c r="E1494" i="7"/>
  <c r="E1516" i="7"/>
  <c r="E1530" i="7"/>
  <c r="E1508" i="7"/>
  <c r="E1495" i="7"/>
  <c r="E1517" i="7"/>
  <c r="BA22" i="8"/>
  <c r="BA23" i="8"/>
  <c r="BA24" i="8"/>
  <c r="BA25" i="8"/>
  <c r="BA20" i="8"/>
  <c r="BA21" i="8"/>
  <c r="N7" i="6"/>
  <c r="N8" i="6"/>
  <c r="BC1154" i="7"/>
  <c r="BC1155" i="7"/>
  <c r="BC1153" i="7"/>
  <c r="AI738" i="15"/>
  <c r="AD738" i="15"/>
  <c r="AB738" i="15"/>
  <c r="X738" i="15"/>
  <c r="Z738" i="15" s="1"/>
  <c r="P738" i="15"/>
  <c r="J738" i="15"/>
  <c r="H738" i="15"/>
  <c r="G738" i="15"/>
  <c r="C738" i="15"/>
  <c r="AM738" i="15" s="1"/>
  <c r="B738" i="15"/>
  <c r="A738" i="15" s="1"/>
  <c r="AI672" i="15"/>
  <c r="AB672" i="15"/>
  <c r="X672" i="15"/>
  <c r="Z672" i="15" s="1"/>
  <c r="O672" i="15"/>
  <c r="I672" i="15"/>
  <c r="H672" i="15"/>
  <c r="G672" i="15"/>
  <c r="C672" i="15"/>
  <c r="AM672" i="15" s="1"/>
  <c r="B672" i="15"/>
  <c r="A672" i="15" s="1"/>
  <c r="AD672" i="15"/>
  <c r="AI671" i="15"/>
  <c r="AD671" i="15"/>
  <c r="AB671" i="15"/>
  <c r="H671" i="15"/>
  <c r="G671" i="15"/>
  <c r="C671" i="15"/>
  <c r="AM671" i="15" s="1"/>
  <c r="B671" i="15"/>
  <c r="A671" i="15" s="1"/>
  <c r="AI669" i="15"/>
  <c r="AD669" i="15"/>
  <c r="AB669" i="15"/>
  <c r="H669" i="15"/>
  <c r="G669" i="15"/>
  <c r="C669" i="15"/>
  <c r="AM669" i="15" s="1"/>
  <c r="B669" i="15"/>
  <c r="A669" i="15" s="1"/>
  <c r="AI666" i="15"/>
  <c r="AD666" i="15"/>
  <c r="AB666" i="15"/>
  <c r="H666" i="15"/>
  <c r="G666" i="15"/>
  <c r="C666" i="15"/>
  <c r="AM666" i="15" s="1"/>
  <c r="B666" i="15"/>
  <c r="A666" i="15" s="1"/>
  <c r="AI663" i="15"/>
  <c r="AD663" i="15"/>
  <c r="AB663" i="15"/>
  <c r="H663" i="15"/>
  <c r="G663" i="15"/>
  <c r="C663" i="15"/>
  <c r="AM663" i="15" s="1"/>
  <c r="B663" i="15"/>
  <c r="A663" i="15" s="1"/>
  <c r="AI645" i="15"/>
  <c r="AE645" i="15"/>
  <c r="AC645" i="15" s="1"/>
  <c r="AD645" i="15"/>
  <c r="AB645" i="15"/>
  <c r="AA645" i="15"/>
  <c r="X645" i="15"/>
  <c r="Z645" i="15" s="1"/>
  <c r="O645" i="15"/>
  <c r="I645" i="15"/>
  <c r="H645" i="15"/>
  <c r="G645" i="15"/>
  <c r="C645" i="15"/>
  <c r="B645" i="15"/>
  <c r="A645" i="15" s="1"/>
  <c r="AI636" i="15"/>
  <c r="AD636" i="15"/>
  <c r="H636" i="15"/>
  <c r="G636" i="15"/>
  <c r="C636" i="15"/>
  <c r="AM636" i="15" s="1"/>
  <c r="B636" i="15"/>
  <c r="A636" i="15" s="1"/>
  <c r="AI615" i="15"/>
  <c r="AD615" i="15"/>
  <c r="AB615" i="15"/>
  <c r="X615" i="15"/>
  <c r="Z615" i="15" s="1"/>
  <c r="H615" i="15"/>
  <c r="G615" i="15"/>
  <c r="C615" i="15"/>
  <c r="AM615" i="15" s="1"/>
  <c r="B615" i="15"/>
  <c r="A615" i="15" s="1"/>
  <c r="D586" i="15"/>
  <c r="D585" i="15"/>
  <c r="AI586" i="15"/>
  <c r="AD586" i="15"/>
  <c r="X586" i="15"/>
  <c r="Z586" i="15" s="1"/>
  <c r="P586" i="15"/>
  <c r="J586" i="15"/>
  <c r="H586" i="15"/>
  <c r="G586" i="15"/>
  <c r="C586" i="15"/>
  <c r="AM586" i="15" s="1"/>
  <c r="B586" i="15"/>
  <c r="A586" i="15" s="1"/>
  <c r="AI585" i="15"/>
  <c r="AD585" i="15"/>
  <c r="X585" i="15"/>
  <c r="Z585" i="15" s="1"/>
  <c r="P585" i="15"/>
  <c r="J585" i="15"/>
  <c r="H585" i="15"/>
  <c r="G585" i="15"/>
  <c r="C585" i="15"/>
  <c r="AM585" i="15" s="1"/>
  <c r="B585" i="15"/>
  <c r="A585" i="15" s="1"/>
  <c r="AI584" i="15"/>
  <c r="AD584" i="15"/>
  <c r="X584" i="15"/>
  <c r="Z584" i="15" s="1"/>
  <c r="Q584" i="15"/>
  <c r="O584" i="15" s="1"/>
  <c r="U584" i="15" s="1"/>
  <c r="P584" i="15"/>
  <c r="J584" i="15"/>
  <c r="H584" i="15"/>
  <c r="G584" i="15"/>
  <c r="C584" i="15"/>
  <c r="AM584" i="15" s="1"/>
  <c r="B584" i="15"/>
  <c r="A584" i="15" s="1"/>
  <c r="AI583" i="15"/>
  <c r="AD583" i="15"/>
  <c r="X583" i="15"/>
  <c r="Z583" i="15" s="1"/>
  <c r="Q583" i="15"/>
  <c r="O583" i="15" s="1"/>
  <c r="U583" i="15" s="1"/>
  <c r="P583" i="15"/>
  <c r="J583" i="15"/>
  <c r="H583" i="15"/>
  <c r="G583" i="15"/>
  <c r="C583" i="15"/>
  <c r="AM583" i="15" s="1"/>
  <c r="B583" i="15"/>
  <c r="A583" i="15" s="1"/>
  <c r="BD1451" i="7" l="1"/>
  <c r="BD1447" i="7"/>
  <c r="BD1443" i="7"/>
  <c r="BD1439" i="7"/>
  <c r="BD1449" i="7"/>
  <c r="BD1453" i="7"/>
  <c r="BD1441" i="7"/>
  <c r="BD1445" i="7"/>
  <c r="AN672" i="15"/>
  <c r="AO672" i="15" s="1"/>
  <c r="W672" i="15"/>
  <c r="V672" i="15" s="1"/>
  <c r="U672" i="15" s="1"/>
  <c r="BC21" i="8"/>
  <c r="BD21" i="8" s="1"/>
  <c r="AI516" i="15"/>
  <c r="AD516" i="15"/>
  <c r="X516" i="15"/>
  <c r="Z516" i="15" s="1"/>
  <c r="H516" i="15"/>
  <c r="G516" i="15"/>
  <c r="C516" i="15"/>
  <c r="AM516" i="15" s="1"/>
  <c r="B516" i="15"/>
  <c r="A516" i="15" s="1"/>
  <c r="AI514" i="15"/>
  <c r="AD514" i="15"/>
  <c r="X514" i="15"/>
  <c r="Z514" i="15" s="1"/>
  <c r="H514" i="15"/>
  <c r="G514" i="15"/>
  <c r="C514" i="15"/>
  <c r="AM514" i="15" s="1"/>
  <c r="B514" i="15"/>
  <c r="A514" i="15" s="1"/>
  <c r="AI458" i="15"/>
  <c r="AD458" i="15"/>
  <c r="P458" i="15"/>
  <c r="J458" i="15"/>
  <c r="H458" i="15"/>
  <c r="G458" i="15"/>
  <c r="D458" i="15"/>
  <c r="C458" i="15"/>
  <c r="AM458" i="15" s="1"/>
  <c r="B458" i="15"/>
  <c r="A458" i="15" s="1"/>
  <c r="AI457" i="15"/>
  <c r="AD457" i="15"/>
  <c r="P457" i="15"/>
  <c r="J457" i="15"/>
  <c r="H457" i="15"/>
  <c r="G457" i="15"/>
  <c r="D457" i="15"/>
  <c r="C457" i="15"/>
  <c r="AM457" i="15" s="1"/>
  <c r="B457" i="15"/>
  <c r="A457" i="15" s="1"/>
  <c r="AI456" i="15"/>
  <c r="AD456" i="15"/>
  <c r="P456" i="15"/>
  <c r="J456" i="15"/>
  <c r="H456" i="15"/>
  <c r="G456" i="15"/>
  <c r="D456" i="15"/>
  <c r="C456" i="15"/>
  <c r="AM456" i="15" s="1"/>
  <c r="B456" i="15"/>
  <c r="A456" i="15" s="1"/>
  <c r="AI380" i="15"/>
  <c r="AD380" i="15"/>
  <c r="P380" i="15"/>
  <c r="J380" i="15"/>
  <c r="H380" i="15"/>
  <c r="G380" i="15"/>
  <c r="C380" i="15"/>
  <c r="AM380" i="15" s="1"/>
  <c r="B380" i="15"/>
  <c r="A380" i="15" s="1"/>
  <c r="AI379" i="15"/>
  <c r="AD379" i="15"/>
  <c r="P379" i="15"/>
  <c r="J379" i="15"/>
  <c r="H379" i="15"/>
  <c r="G379" i="15"/>
  <c r="C379" i="15"/>
  <c r="AM379" i="15" s="1"/>
  <c r="B379" i="15"/>
  <c r="A379" i="15" s="1"/>
  <c r="AI378" i="15"/>
  <c r="AD378" i="15"/>
  <c r="P378" i="15"/>
  <c r="J378" i="15"/>
  <c r="H378" i="15"/>
  <c r="G378" i="15"/>
  <c r="C378" i="15"/>
  <c r="AM378" i="15" s="1"/>
  <c r="B378" i="15"/>
  <c r="A378" i="15" s="1"/>
  <c r="AD321" i="15"/>
  <c r="P321" i="15"/>
  <c r="J321" i="15"/>
  <c r="H321" i="15"/>
  <c r="G321" i="15"/>
  <c r="D321" i="15"/>
  <c r="C321" i="15"/>
  <c r="AM321" i="15" s="1"/>
  <c r="B321" i="15"/>
  <c r="A321" i="15" s="1"/>
  <c r="AD320" i="15"/>
  <c r="P320" i="15"/>
  <c r="L320" i="15"/>
  <c r="J320" i="15"/>
  <c r="H320" i="15"/>
  <c r="G320" i="15"/>
  <c r="D320" i="15"/>
  <c r="C320" i="15"/>
  <c r="AM320" i="15" s="1"/>
  <c r="B320" i="15"/>
  <c r="A320" i="15" s="1"/>
  <c r="L313" i="15"/>
  <c r="H313" i="15"/>
  <c r="G313" i="15"/>
  <c r="F313" i="15"/>
  <c r="E313" i="15"/>
  <c r="D313" i="15"/>
  <c r="C313" i="15"/>
  <c r="AM313" i="15" s="1"/>
  <c r="B313" i="15"/>
  <c r="A313" i="15" s="1"/>
  <c r="N312" i="15"/>
  <c r="L312" i="15"/>
  <c r="H312" i="15"/>
  <c r="G312" i="15"/>
  <c r="F312" i="15"/>
  <c r="E312" i="15"/>
  <c r="D312" i="15"/>
  <c r="C312" i="15"/>
  <c r="AM312" i="15" s="1"/>
  <c r="B312" i="15"/>
  <c r="A312" i="15" s="1"/>
  <c r="L305" i="15"/>
  <c r="H305" i="15"/>
  <c r="G305" i="15"/>
  <c r="F305" i="15"/>
  <c r="E305" i="15"/>
  <c r="D305" i="15"/>
  <c r="C305" i="15"/>
  <c r="AM305" i="15" s="1"/>
  <c r="B305" i="15"/>
  <c r="A305" i="15" s="1"/>
  <c r="N304" i="15"/>
  <c r="L304" i="15"/>
  <c r="H304" i="15"/>
  <c r="G304" i="15"/>
  <c r="F304" i="15"/>
  <c r="E304" i="15"/>
  <c r="D304" i="15"/>
  <c r="C304" i="15"/>
  <c r="AM304" i="15" s="1"/>
  <c r="B304" i="15"/>
  <c r="A304" i="15" s="1"/>
  <c r="L301" i="15"/>
  <c r="H301" i="15"/>
  <c r="G301" i="15"/>
  <c r="F301" i="15"/>
  <c r="E301" i="15"/>
  <c r="D301" i="15"/>
  <c r="C301" i="15"/>
  <c r="AM301" i="15" s="1"/>
  <c r="B301" i="15"/>
  <c r="A301" i="15" s="1"/>
  <c r="L297" i="15"/>
  <c r="H297" i="15"/>
  <c r="G297" i="15"/>
  <c r="F297" i="15"/>
  <c r="E297" i="15"/>
  <c r="D297" i="15"/>
  <c r="C297" i="15"/>
  <c r="AM297" i="15" s="1"/>
  <c r="B297" i="15"/>
  <c r="A297" i="15" s="1"/>
  <c r="N296" i="15"/>
  <c r="L296" i="15"/>
  <c r="H296" i="15"/>
  <c r="G296" i="15"/>
  <c r="F296" i="15"/>
  <c r="E296" i="15"/>
  <c r="D296" i="15"/>
  <c r="C296" i="15"/>
  <c r="AM296" i="15" s="1"/>
  <c r="B296" i="15"/>
  <c r="A296" i="15" s="1"/>
  <c r="L293" i="15"/>
  <c r="H293" i="15"/>
  <c r="G293" i="15"/>
  <c r="F293" i="15"/>
  <c r="E293" i="15"/>
  <c r="D293" i="15"/>
  <c r="C293" i="15"/>
  <c r="AM293" i="15" s="1"/>
  <c r="B293" i="15"/>
  <c r="A293" i="15" s="1"/>
  <c r="L289" i="15"/>
  <c r="H289" i="15"/>
  <c r="G289" i="15"/>
  <c r="F289" i="15"/>
  <c r="E289" i="15"/>
  <c r="D289" i="15"/>
  <c r="C289" i="15"/>
  <c r="AM289" i="15" s="1"/>
  <c r="B289" i="15"/>
  <c r="A289" i="15" s="1"/>
  <c r="N288" i="15"/>
  <c r="L288" i="15"/>
  <c r="H288" i="15"/>
  <c r="G288" i="15"/>
  <c r="F288" i="15"/>
  <c r="E288" i="15"/>
  <c r="D288" i="15"/>
  <c r="C288" i="15"/>
  <c r="AM288" i="15" s="1"/>
  <c r="B288" i="15"/>
  <c r="A288" i="15" s="1"/>
  <c r="L285" i="15"/>
  <c r="H285" i="15"/>
  <c r="G285" i="15"/>
  <c r="F285" i="15"/>
  <c r="E285" i="15"/>
  <c r="D285" i="15"/>
  <c r="C285" i="15"/>
  <c r="AM285" i="15" s="1"/>
  <c r="B285" i="15"/>
  <c r="A285" i="15" s="1"/>
  <c r="AD277" i="15"/>
  <c r="P277" i="15"/>
  <c r="J277" i="15"/>
  <c r="H277" i="15"/>
  <c r="G277" i="15"/>
  <c r="D277" i="15"/>
  <c r="C277" i="15"/>
  <c r="AM277" i="15" s="1"/>
  <c r="B277" i="15"/>
  <c r="A277" i="15" s="1"/>
  <c r="AD276" i="15"/>
  <c r="P276" i="15"/>
  <c r="L276" i="15"/>
  <c r="J276" i="15"/>
  <c r="H276" i="15"/>
  <c r="G276" i="15"/>
  <c r="D276" i="15"/>
  <c r="C276" i="15"/>
  <c r="AM276" i="15" s="1"/>
  <c r="B276" i="15"/>
  <c r="A276" i="15" s="1"/>
  <c r="L271" i="15"/>
  <c r="H271" i="15"/>
  <c r="G271" i="15"/>
  <c r="F271" i="15"/>
  <c r="E271" i="15"/>
  <c r="D271" i="15"/>
  <c r="C271" i="15"/>
  <c r="AM271" i="15" s="1"/>
  <c r="B271" i="15"/>
  <c r="A271" i="15" s="1"/>
  <c r="N270" i="15"/>
  <c r="L270" i="15"/>
  <c r="H270" i="15"/>
  <c r="G270" i="15"/>
  <c r="F270" i="15"/>
  <c r="E270" i="15"/>
  <c r="D270" i="15"/>
  <c r="C270" i="15"/>
  <c r="AM270" i="15" s="1"/>
  <c r="B270" i="15"/>
  <c r="A270" i="15" s="1"/>
  <c r="L267" i="15"/>
  <c r="H267" i="15"/>
  <c r="G267" i="15"/>
  <c r="F267" i="15"/>
  <c r="E267" i="15"/>
  <c r="D267" i="15"/>
  <c r="C267" i="15"/>
  <c r="AM267" i="15" s="1"/>
  <c r="B267" i="15"/>
  <c r="A267" i="15" s="1"/>
  <c r="AD265" i="15"/>
  <c r="P265" i="15"/>
  <c r="J265" i="15"/>
  <c r="H265" i="15"/>
  <c r="G265" i="15"/>
  <c r="D265" i="15"/>
  <c r="C265" i="15"/>
  <c r="AM265" i="15" s="1"/>
  <c r="B265" i="15"/>
  <c r="A265" i="15" s="1"/>
  <c r="AD264" i="15"/>
  <c r="P264" i="15"/>
  <c r="L264" i="15"/>
  <c r="J264" i="15"/>
  <c r="H264" i="15"/>
  <c r="G264" i="15"/>
  <c r="D264" i="15"/>
  <c r="C264" i="15"/>
  <c r="AM264" i="15" s="1"/>
  <c r="B264" i="15"/>
  <c r="A264" i="15" s="1"/>
  <c r="L259" i="15"/>
  <c r="H259" i="15"/>
  <c r="G259" i="15"/>
  <c r="F259" i="15"/>
  <c r="E259" i="15"/>
  <c r="D259" i="15"/>
  <c r="C259" i="15"/>
  <c r="AM259" i="15" s="1"/>
  <c r="B259" i="15"/>
  <c r="A259" i="15" s="1"/>
  <c r="AD257" i="15"/>
  <c r="P257" i="15"/>
  <c r="L257" i="15"/>
  <c r="J257" i="15"/>
  <c r="H257" i="15"/>
  <c r="G257" i="15"/>
  <c r="D257" i="15"/>
  <c r="C257" i="15"/>
  <c r="AM257" i="15" s="1"/>
  <c r="B257" i="15"/>
  <c r="A257" i="15" s="1"/>
  <c r="AD256" i="15"/>
  <c r="P256" i="15"/>
  <c r="L256" i="15"/>
  <c r="J256" i="15"/>
  <c r="H256" i="15"/>
  <c r="G256" i="15"/>
  <c r="D256" i="15"/>
  <c r="C256" i="15"/>
  <c r="AM256" i="15" s="1"/>
  <c r="B256" i="15"/>
  <c r="A256" i="15" s="1"/>
  <c r="AD251" i="15"/>
  <c r="P251" i="15"/>
  <c r="J251" i="15"/>
  <c r="H251" i="15"/>
  <c r="G251" i="15"/>
  <c r="D251" i="15"/>
  <c r="C251" i="15"/>
  <c r="AM251" i="15" s="1"/>
  <c r="B251" i="15"/>
  <c r="A251" i="15" s="1"/>
  <c r="AD250" i="15"/>
  <c r="P250" i="15"/>
  <c r="L250" i="15"/>
  <c r="J250" i="15"/>
  <c r="H250" i="15"/>
  <c r="G250" i="15"/>
  <c r="D250" i="15"/>
  <c r="C250" i="15"/>
  <c r="AM250" i="15" s="1"/>
  <c r="B250" i="15"/>
  <c r="A250" i="15" s="1"/>
  <c r="AD245" i="15"/>
  <c r="P245" i="15"/>
  <c r="J245" i="15"/>
  <c r="H245" i="15"/>
  <c r="G245" i="15"/>
  <c r="D245" i="15"/>
  <c r="C245" i="15"/>
  <c r="AM245" i="15" s="1"/>
  <c r="B245" i="15"/>
  <c r="A245" i="15" s="1"/>
  <c r="AD244" i="15"/>
  <c r="P244" i="15"/>
  <c r="L244" i="15"/>
  <c r="J244" i="15"/>
  <c r="H244" i="15"/>
  <c r="G244" i="15"/>
  <c r="D244" i="15"/>
  <c r="C244" i="15"/>
  <c r="AM244" i="15" s="1"/>
  <c r="B244" i="15"/>
  <c r="A244" i="15" s="1"/>
  <c r="L237" i="15"/>
  <c r="H237" i="15"/>
  <c r="G237" i="15"/>
  <c r="F237" i="15"/>
  <c r="E237" i="15"/>
  <c r="D237" i="15"/>
  <c r="C237" i="15"/>
  <c r="AM237" i="15" s="1"/>
  <c r="B237" i="15"/>
  <c r="A237" i="15" s="1"/>
  <c r="N236" i="15"/>
  <c r="L236" i="15"/>
  <c r="H236" i="15"/>
  <c r="G236" i="15"/>
  <c r="F236" i="15"/>
  <c r="E236" i="15"/>
  <c r="D236" i="15"/>
  <c r="C236" i="15"/>
  <c r="AM236" i="15" s="1"/>
  <c r="B236" i="15"/>
  <c r="A236" i="15" s="1"/>
  <c r="AD233" i="15"/>
  <c r="P233" i="15"/>
  <c r="J233" i="15"/>
  <c r="H233" i="15"/>
  <c r="G233" i="15"/>
  <c r="D233" i="15"/>
  <c r="C233" i="15"/>
  <c r="AM233" i="15" s="1"/>
  <c r="B233" i="15"/>
  <c r="A233" i="15" s="1"/>
  <c r="AD232" i="15"/>
  <c r="P232" i="15"/>
  <c r="L232" i="15"/>
  <c r="J232" i="15"/>
  <c r="H232" i="15"/>
  <c r="G232" i="15"/>
  <c r="D232" i="15"/>
  <c r="C232" i="15"/>
  <c r="AM232" i="15" s="1"/>
  <c r="B232" i="15"/>
  <c r="A232" i="15" s="1"/>
  <c r="AD225" i="15"/>
  <c r="P225" i="15"/>
  <c r="J225" i="15"/>
  <c r="H225" i="15"/>
  <c r="G225" i="15"/>
  <c r="D225" i="15"/>
  <c r="C225" i="15"/>
  <c r="AM225" i="15" s="1"/>
  <c r="B225" i="15"/>
  <c r="A225" i="15" s="1"/>
  <c r="AD224" i="15"/>
  <c r="P224" i="15"/>
  <c r="L224" i="15"/>
  <c r="J224" i="15"/>
  <c r="H224" i="15"/>
  <c r="G224" i="15"/>
  <c r="D224" i="15"/>
  <c r="C224" i="15"/>
  <c r="AM224" i="15" s="1"/>
  <c r="B224" i="15"/>
  <c r="A224" i="15" s="1"/>
  <c r="H221" i="15"/>
  <c r="G221" i="15"/>
  <c r="F221" i="15"/>
  <c r="E221" i="15"/>
  <c r="D221" i="15"/>
  <c r="C221" i="15"/>
  <c r="AM221" i="15" s="1"/>
  <c r="B221" i="15"/>
  <c r="A221" i="15" s="1"/>
  <c r="H220" i="15"/>
  <c r="G220" i="15"/>
  <c r="F220" i="15"/>
  <c r="E220" i="15"/>
  <c r="D220" i="15"/>
  <c r="C220" i="15"/>
  <c r="AM220" i="15" s="1"/>
  <c r="B220" i="15"/>
  <c r="A220" i="15" s="1"/>
  <c r="L211" i="15"/>
  <c r="H211" i="15"/>
  <c r="G211" i="15"/>
  <c r="F211" i="15"/>
  <c r="E211" i="15"/>
  <c r="D211" i="15"/>
  <c r="C211" i="15"/>
  <c r="AM211" i="15" s="1"/>
  <c r="B211" i="15"/>
  <c r="A211" i="15" s="1"/>
  <c r="AD208" i="15"/>
  <c r="P208" i="15"/>
  <c r="J208" i="15"/>
  <c r="H208" i="15"/>
  <c r="G208" i="15"/>
  <c r="D208" i="15"/>
  <c r="C208" i="15"/>
  <c r="AM208" i="15" s="1"/>
  <c r="B208" i="15"/>
  <c r="A208" i="15" s="1"/>
  <c r="H205" i="15"/>
  <c r="G205" i="15"/>
  <c r="F205" i="15"/>
  <c r="E205" i="15"/>
  <c r="D205" i="15"/>
  <c r="C205" i="15"/>
  <c r="AM205" i="15" s="1"/>
  <c r="B205" i="15"/>
  <c r="A205" i="15" s="1"/>
  <c r="B206" i="15"/>
  <c r="A206" i="15" s="1"/>
  <c r="C206" i="15"/>
  <c r="AM206" i="15" s="1"/>
  <c r="D206" i="15"/>
  <c r="E206" i="15"/>
  <c r="F206" i="15"/>
  <c r="G206" i="15"/>
  <c r="H206" i="15"/>
  <c r="BC22" i="8" l="1"/>
  <c r="BC23" i="8" l="1"/>
  <c r="AI83" i="15"/>
  <c r="H83" i="15"/>
  <c r="G83" i="15"/>
  <c r="C83" i="15"/>
  <c r="AM83" i="15" s="1"/>
  <c r="B83" i="15"/>
  <c r="A83" i="15" s="1"/>
  <c r="AI50" i="15"/>
  <c r="H50" i="15"/>
  <c r="G50" i="15"/>
  <c r="C50" i="15"/>
  <c r="AM50" i="15" s="1"/>
  <c r="B50" i="15"/>
  <c r="A50" i="15" s="1"/>
  <c r="AI34" i="15"/>
  <c r="AB34" i="15"/>
  <c r="H34" i="15"/>
  <c r="G34" i="15"/>
  <c r="C34" i="15"/>
  <c r="AM34" i="15" s="1"/>
  <c r="B34" i="15"/>
  <c r="A34" i="15" s="1"/>
  <c r="AI32" i="15"/>
  <c r="AB32" i="15"/>
  <c r="H32" i="15"/>
  <c r="G32" i="15"/>
  <c r="C32" i="15"/>
  <c r="AM32" i="15" s="1"/>
  <c r="B32" i="15"/>
  <c r="A32" i="15" s="1"/>
  <c r="BC24" i="8" l="1"/>
  <c r="J9" i="5"/>
  <c r="I9" i="5"/>
  <c r="K174" i="16"/>
  <c r="AB50" i="15" s="1"/>
  <c r="M544" i="9"/>
  <c r="K16" i="9"/>
  <c r="K19" i="7"/>
  <c r="AB378" i="15" s="1"/>
  <c r="R751" i="7"/>
  <c r="R750" i="7"/>
  <c r="R752" i="7"/>
  <c r="R753" i="7"/>
  <c r="R754" i="7"/>
  <c r="F47" i="9"/>
  <c r="K586" i="15" s="1"/>
  <c r="F45" i="9"/>
  <c r="K585" i="15" s="1"/>
  <c r="BC46" i="9"/>
  <c r="BD46" i="9" s="1"/>
  <c r="BC47" i="9"/>
  <c r="BD47" i="9" s="1"/>
  <c r="BC48" i="9"/>
  <c r="AC57" i="9"/>
  <c r="AC58" i="9"/>
  <c r="AC59" i="9"/>
  <c r="AC60" i="9"/>
  <c r="AC61" i="9"/>
  <c r="AC62" i="9"/>
  <c r="AC63" i="9"/>
  <c r="AC65" i="9"/>
  <c r="AC66" i="9"/>
  <c r="AC67" i="9"/>
  <c r="AC56" i="9"/>
  <c r="V68" i="9"/>
  <c r="V66" i="9"/>
  <c r="V65" i="9"/>
  <c r="V64" i="9"/>
  <c r="V62" i="9"/>
  <c r="V60" i="9"/>
  <c r="G64" i="9"/>
  <c r="F46" i="9" s="1"/>
  <c r="L585" i="15" s="1"/>
  <c r="D67" i="9"/>
  <c r="V67" i="9" s="1"/>
  <c r="H46" i="9"/>
  <c r="H47" i="9"/>
  <c r="H48" i="9"/>
  <c r="H45" i="9"/>
  <c r="K46" i="9"/>
  <c r="BE46" i="9" s="1"/>
  <c r="K48" i="9"/>
  <c r="BE48" i="9" s="1"/>
  <c r="V45" i="9"/>
  <c r="V47" i="9" s="1"/>
  <c r="V48" i="9" s="1"/>
  <c r="BC45" i="9"/>
  <c r="BC15" i="9"/>
  <c r="BD15" i="9" s="1"/>
  <c r="BC16" i="9"/>
  <c r="AC26" i="9"/>
  <c r="AC32" i="9"/>
  <c r="V61" i="9"/>
  <c r="V59" i="9"/>
  <c r="V58" i="9"/>
  <c r="AG55" i="9"/>
  <c r="AF55" i="9"/>
  <c r="AE55" i="9"/>
  <c r="AD55" i="9"/>
  <c r="AC55" i="9"/>
  <c r="AB55" i="9"/>
  <c r="AA55" i="9"/>
  <c r="Z55" i="9"/>
  <c r="Y55" i="9"/>
  <c r="X55" i="9"/>
  <c r="W55" i="9"/>
  <c r="V42" i="9"/>
  <c r="F16" i="9"/>
  <c r="F15" i="9"/>
  <c r="AC727" i="7"/>
  <c r="AC728" i="7"/>
  <c r="AC729" i="7"/>
  <c r="AC730" i="7"/>
  <c r="AC731" i="7"/>
  <c r="AC732" i="7"/>
  <c r="AC733" i="7"/>
  <c r="AC735" i="7"/>
  <c r="AC736" i="7"/>
  <c r="AC737" i="7"/>
  <c r="AC738" i="7"/>
  <c r="AC739" i="7"/>
  <c r="AC740" i="7"/>
  <c r="AC741" i="7"/>
  <c r="AC742" i="7"/>
  <c r="AC744" i="7"/>
  <c r="AC745" i="7"/>
  <c r="AC746" i="7"/>
  <c r="AC747" i="7"/>
  <c r="AC748" i="7"/>
  <c r="AC750" i="7"/>
  <c r="AC751" i="7"/>
  <c r="AC752" i="7"/>
  <c r="AC753" i="7"/>
  <c r="AC754" i="7"/>
  <c r="AC755" i="7"/>
  <c r="AC756" i="7"/>
  <c r="AC757" i="7"/>
  <c r="AC758" i="7"/>
  <c r="AC759" i="7"/>
  <c r="AC726" i="7"/>
  <c r="G743" i="7"/>
  <c r="AC743" i="7" s="1"/>
  <c r="K20" i="7"/>
  <c r="AB379" i="15" s="1"/>
  <c r="G31" i="7"/>
  <c r="DJ367" i="2"/>
  <c r="DH367" i="2"/>
  <c r="DJ366" i="2"/>
  <c r="DI366" i="2"/>
  <c r="DH366" i="2"/>
  <c r="DG366" i="2"/>
  <c r="BE91" i="2"/>
  <c r="BD91" i="2"/>
  <c r="BC91" i="2"/>
  <c r="BB91" i="2"/>
  <c r="BA91" i="2"/>
  <c r="AZ91" i="2"/>
  <c r="AY91" i="2"/>
  <c r="AX91" i="2"/>
  <c r="AW91" i="2"/>
  <c r="AV91" i="2"/>
  <c r="DH445" i="2"/>
  <c r="DJ445" i="2"/>
  <c r="BD45" i="9" l="1"/>
  <c r="AE585" i="15" s="1"/>
  <c r="BD16" i="9"/>
  <c r="AE586" i="15"/>
  <c r="BC25" i="8"/>
  <c r="BC544" i="9"/>
  <c r="X636" i="15"/>
  <c r="Z636" i="15" s="1"/>
  <c r="AC16" i="9"/>
  <c r="K584" i="15"/>
  <c r="I584" i="15" s="1"/>
  <c r="AN584" i="15" s="1"/>
  <c r="AO584" i="15" s="1"/>
  <c r="I585" i="15"/>
  <c r="AN585" i="15" s="1"/>
  <c r="AC15" i="9"/>
  <c r="K583" i="15"/>
  <c r="I583" i="15" s="1"/>
  <c r="AN583" i="15" s="1"/>
  <c r="AO583" i="15" s="1"/>
  <c r="BE16" i="9"/>
  <c r="AB584" i="15"/>
  <c r="AF585" i="15"/>
  <c r="V46" i="9"/>
  <c r="AC64" i="9"/>
  <c r="I47" i="9"/>
  <c r="Q586" i="15" s="1"/>
  <c r="F48" i="9"/>
  <c r="BD48" i="9" s="1"/>
  <c r="G68" i="9"/>
  <c r="AC68" i="9" s="1"/>
  <c r="I46" i="9"/>
  <c r="R585" i="15" s="1"/>
  <c r="I45" i="9"/>
  <c r="Q585" i="15" s="1"/>
  <c r="AC39" i="9"/>
  <c r="AE583" i="15"/>
  <c r="AC583" i="15" s="1"/>
  <c r="K15" i="9"/>
  <c r="K21" i="7"/>
  <c r="K708" i="7"/>
  <c r="K706" i="7"/>
  <c r="K704" i="7"/>
  <c r="G734" i="7"/>
  <c r="G749" i="7"/>
  <c r="BE709" i="7"/>
  <c r="BE707" i="7"/>
  <c r="BE705" i="7"/>
  <c r="V704" i="7"/>
  <c r="V705" i="7"/>
  <c r="V706" i="7"/>
  <c r="V707" i="7"/>
  <c r="V708" i="7"/>
  <c r="V709" i="7"/>
  <c r="J704" i="7"/>
  <c r="J705" i="7"/>
  <c r="BC705" i="7" s="1"/>
  <c r="J706" i="7"/>
  <c r="J707" i="7"/>
  <c r="BC707" i="7" s="1"/>
  <c r="J708" i="7"/>
  <c r="J709" i="7"/>
  <c r="BC709" i="7" s="1"/>
  <c r="H705" i="7"/>
  <c r="H706" i="7"/>
  <c r="H707" i="7"/>
  <c r="H708" i="7"/>
  <c r="H709" i="7"/>
  <c r="H704" i="7"/>
  <c r="BE20" i="7"/>
  <c r="BE19" i="7"/>
  <c r="J20" i="7"/>
  <c r="J21" i="7"/>
  <c r="J19" i="7"/>
  <c r="H20" i="7"/>
  <c r="H21" i="7"/>
  <c r="H19" i="7"/>
  <c r="G36" i="7"/>
  <c r="J282" i="6"/>
  <c r="K282" i="6" s="1"/>
  <c r="L119" i="6" s="1"/>
  <c r="I1219" i="6"/>
  <c r="I1218" i="6"/>
  <c r="I1217" i="6"/>
  <c r="I1216" i="6"/>
  <c r="I1213" i="6"/>
  <c r="I1212" i="6"/>
  <c r="I1207" i="6"/>
  <c r="I1206" i="6"/>
  <c r="I1205" i="6"/>
  <c r="I1204" i="6"/>
  <c r="I1203" i="6"/>
  <c r="I1202" i="6"/>
  <c r="I1201" i="6"/>
  <c r="I1200" i="6"/>
  <c r="I1199" i="6"/>
  <c r="I1198" i="6"/>
  <c r="I1197" i="6"/>
  <c r="I1196" i="6"/>
  <c r="I1266" i="6" s="1"/>
  <c r="I1312" i="6" s="1"/>
  <c r="I1195" i="6"/>
  <c r="I1265" i="6" s="1"/>
  <c r="I1311" i="6" s="1"/>
  <c r="I1194" i="6"/>
  <c r="I1264" i="6" s="1"/>
  <c r="I1310" i="6" s="1"/>
  <c r="I1193" i="6"/>
  <c r="I1263" i="6" s="1"/>
  <c r="I1309" i="6" s="1"/>
  <c r="I1190" i="6"/>
  <c r="I1260" i="6" s="1"/>
  <c r="I1306" i="6" s="1"/>
  <c r="I1189" i="6"/>
  <c r="I1259" i="6" s="1"/>
  <c r="I1305" i="6" s="1"/>
  <c r="I1184" i="6"/>
  <c r="I1254" i="6" s="1"/>
  <c r="I1300" i="6" s="1"/>
  <c r="I1183" i="6"/>
  <c r="I1253" i="6" s="1"/>
  <c r="I1299" i="6" s="1"/>
  <c r="I1182" i="6"/>
  <c r="I1252" i="6" s="1"/>
  <c r="I1298" i="6" s="1"/>
  <c r="I1181" i="6"/>
  <c r="I1251" i="6" s="1"/>
  <c r="I1297" i="6" s="1"/>
  <c r="I1180" i="6"/>
  <c r="I1250" i="6" s="1"/>
  <c r="I1296" i="6" s="1"/>
  <c r="I1179" i="6"/>
  <c r="I1249" i="6" s="1"/>
  <c r="I1295" i="6" s="1"/>
  <c r="I1178" i="6"/>
  <c r="I1248" i="6" s="1"/>
  <c r="I1294" i="6" s="1"/>
  <c r="I1177" i="6"/>
  <c r="I1247" i="6" s="1"/>
  <c r="I1293" i="6" s="1"/>
  <c r="I1176" i="6"/>
  <c r="I1246" i="6" s="1"/>
  <c r="I1292" i="6" s="1"/>
  <c r="I1175" i="6"/>
  <c r="I1245" i="6" s="1"/>
  <c r="I1291" i="6" s="1"/>
  <c r="I1174" i="6"/>
  <c r="I1244" i="6" s="1"/>
  <c r="I1290" i="6" s="1"/>
  <c r="I1173" i="6"/>
  <c r="I1243" i="6" s="1"/>
  <c r="I1289" i="6" s="1"/>
  <c r="I1172" i="6"/>
  <c r="I1242" i="6" s="1"/>
  <c r="I1288" i="6" s="1"/>
  <c r="I1171" i="6"/>
  <c r="I1241" i="6" s="1"/>
  <c r="I1287" i="6" s="1"/>
  <c r="I1170" i="6"/>
  <c r="I1240" i="6" s="1"/>
  <c r="I1286" i="6" s="1"/>
  <c r="I1167" i="6"/>
  <c r="I1237" i="6" s="1"/>
  <c r="I1283" i="6" s="1"/>
  <c r="I1166" i="6"/>
  <c r="I1236" i="6" s="1"/>
  <c r="I1282" i="6" s="1"/>
  <c r="I1231" i="6"/>
  <c r="I1277" i="6" s="1"/>
  <c r="I1160" i="6"/>
  <c r="I1230" i="6" s="1"/>
  <c r="I1276" i="6" s="1"/>
  <c r="I1159" i="6"/>
  <c r="I1229" i="6" s="1"/>
  <c r="I1275" i="6" s="1"/>
  <c r="I1158" i="6"/>
  <c r="I1228" i="6" s="1"/>
  <c r="I1274" i="6" s="1"/>
  <c r="I1157" i="6"/>
  <c r="I1227" i="6" s="1"/>
  <c r="I1273" i="6" s="1"/>
  <c r="I1156" i="6"/>
  <c r="I1226" i="6" s="1"/>
  <c r="I1272" i="6" s="1"/>
  <c r="I1155" i="6"/>
  <c r="I1225" i="6" s="1"/>
  <c r="I1271" i="6" s="1"/>
  <c r="I1154" i="6"/>
  <c r="I1224" i="6" s="1"/>
  <c r="I1270" i="6" s="1"/>
  <c r="I1153" i="6"/>
  <c r="I1223" i="6" s="1"/>
  <c r="I1269" i="6" s="1"/>
  <c r="I1152" i="6"/>
  <c r="I1222" i="6" s="1"/>
  <c r="I1268" i="6" s="1"/>
  <c r="I1267" i="6"/>
  <c r="F682" i="7"/>
  <c r="AC682" i="7" s="1"/>
  <c r="H682" i="7"/>
  <c r="J682" i="7"/>
  <c r="BC682" i="7" s="1"/>
  <c r="BD682" i="7" s="1"/>
  <c r="K682" i="7"/>
  <c r="BE682" i="7" s="1"/>
  <c r="V682" i="7"/>
  <c r="BE174" i="16"/>
  <c r="BE290" i="9"/>
  <c r="BC290" i="9"/>
  <c r="I907" i="6"/>
  <c r="I904" i="6"/>
  <c r="I931" i="6" s="1"/>
  <c r="I958" i="6" s="1"/>
  <c r="I985" i="6" s="1"/>
  <c r="I1012" i="6" s="1"/>
  <c r="I1039" i="6" s="1"/>
  <c r="I1066" i="6" s="1"/>
  <c r="I1093" i="6" s="1"/>
  <c r="I1120" i="6" s="1"/>
  <c r="I1147" i="6" s="1"/>
  <c r="I903" i="6"/>
  <c r="I930" i="6" s="1"/>
  <c r="I957" i="6" s="1"/>
  <c r="I984" i="6" s="1"/>
  <c r="I1011" i="6" s="1"/>
  <c r="I1038" i="6" s="1"/>
  <c r="I1065" i="6" s="1"/>
  <c r="I1092" i="6" s="1"/>
  <c r="I1119" i="6" s="1"/>
  <c r="I1146" i="6" s="1"/>
  <c r="I902" i="6"/>
  <c r="I929" i="6" s="1"/>
  <c r="I956" i="6" s="1"/>
  <c r="I983" i="6" s="1"/>
  <c r="I1010" i="6" s="1"/>
  <c r="I1037" i="6" s="1"/>
  <c r="I1064" i="6" s="1"/>
  <c r="I1091" i="6" s="1"/>
  <c r="I1118" i="6" s="1"/>
  <c r="I1145" i="6" s="1"/>
  <c r="I901" i="6"/>
  <c r="I928" i="6" s="1"/>
  <c r="I955" i="6" s="1"/>
  <c r="I982" i="6" s="1"/>
  <c r="I1009" i="6" s="1"/>
  <c r="I1036" i="6" s="1"/>
  <c r="I1063" i="6" s="1"/>
  <c r="I1090" i="6" s="1"/>
  <c r="I1117" i="6" s="1"/>
  <c r="I1144" i="6" s="1"/>
  <c r="I900" i="6"/>
  <c r="I927" i="6" s="1"/>
  <c r="I954" i="6" s="1"/>
  <c r="I981" i="6" s="1"/>
  <c r="I1008" i="6" s="1"/>
  <c r="I1035" i="6" s="1"/>
  <c r="I1062" i="6" s="1"/>
  <c r="I1089" i="6" s="1"/>
  <c r="I1116" i="6" s="1"/>
  <c r="I1143" i="6" s="1"/>
  <c r="I899" i="6"/>
  <c r="I926" i="6" s="1"/>
  <c r="I953" i="6" s="1"/>
  <c r="I980" i="6" s="1"/>
  <c r="I1007" i="6" s="1"/>
  <c r="I1034" i="6" s="1"/>
  <c r="I1061" i="6" s="1"/>
  <c r="I1088" i="6" s="1"/>
  <c r="I1115" i="6" s="1"/>
  <c r="I1142" i="6" s="1"/>
  <c r="I898" i="6"/>
  <c r="I925" i="6" s="1"/>
  <c r="I952" i="6" s="1"/>
  <c r="I979" i="6" s="1"/>
  <c r="I1006" i="6" s="1"/>
  <c r="I1033" i="6" s="1"/>
  <c r="I1060" i="6" s="1"/>
  <c r="I1087" i="6" s="1"/>
  <c r="I1114" i="6" s="1"/>
  <c r="I1141" i="6" s="1"/>
  <c r="I895" i="6"/>
  <c r="I922" i="6" s="1"/>
  <c r="I949" i="6" s="1"/>
  <c r="I976" i="6" s="1"/>
  <c r="I1003" i="6" s="1"/>
  <c r="I1030" i="6" s="1"/>
  <c r="I1057" i="6" s="1"/>
  <c r="I1084" i="6" s="1"/>
  <c r="I1111" i="6" s="1"/>
  <c r="I1138" i="6" s="1"/>
  <c r="I894" i="6"/>
  <c r="I921" i="6" s="1"/>
  <c r="I948" i="6" s="1"/>
  <c r="I975" i="6" s="1"/>
  <c r="I1002" i="6" s="1"/>
  <c r="I1029" i="6" s="1"/>
  <c r="I1056" i="6" s="1"/>
  <c r="I1083" i="6" s="1"/>
  <c r="I1110" i="6" s="1"/>
  <c r="I1137" i="6" s="1"/>
  <c r="I893" i="6"/>
  <c r="I920" i="6" s="1"/>
  <c r="I947" i="6" s="1"/>
  <c r="I974" i="6" s="1"/>
  <c r="I892" i="6"/>
  <c r="I919" i="6" s="1"/>
  <c r="I946" i="6" s="1"/>
  <c r="I973" i="6" s="1"/>
  <c r="I1000" i="6" s="1"/>
  <c r="I1027" i="6" s="1"/>
  <c r="I1054" i="6" s="1"/>
  <c r="I1081" i="6" s="1"/>
  <c r="I1108" i="6" s="1"/>
  <c r="I1135" i="6" s="1"/>
  <c r="I891" i="6"/>
  <c r="I918" i="6" s="1"/>
  <c r="I945" i="6" s="1"/>
  <c r="I972" i="6" s="1"/>
  <c r="I999" i="6" s="1"/>
  <c r="I1026" i="6" s="1"/>
  <c r="I1053" i="6" s="1"/>
  <c r="I1080" i="6" s="1"/>
  <c r="I1107" i="6" s="1"/>
  <c r="I1134" i="6" s="1"/>
  <c r="I890" i="6"/>
  <c r="I917" i="6" s="1"/>
  <c r="I944" i="6" s="1"/>
  <c r="I971" i="6" s="1"/>
  <c r="I998" i="6" s="1"/>
  <c r="I1025" i="6" s="1"/>
  <c r="I1052" i="6" s="1"/>
  <c r="I1079" i="6" s="1"/>
  <c r="I1106" i="6" s="1"/>
  <c r="I1133" i="6" s="1"/>
  <c r="I889" i="6"/>
  <c r="I916" i="6" s="1"/>
  <c r="I943" i="6" s="1"/>
  <c r="I970" i="6" s="1"/>
  <c r="I997" i="6" s="1"/>
  <c r="I1024" i="6" s="1"/>
  <c r="I1051" i="6" s="1"/>
  <c r="I1078" i="6" s="1"/>
  <c r="I1105" i="6" s="1"/>
  <c r="I1132" i="6" s="1"/>
  <c r="I886" i="6"/>
  <c r="I913" i="6" s="1"/>
  <c r="I940" i="6" s="1"/>
  <c r="I967" i="6" s="1"/>
  <c r="I994" i="6" s="1"/>
  <c r="I1021" i="6" s="1"/>
  <c r="I1048" i="6" s="1"/>
  <c r="I1075" i="6" s="1"/>
  <c r="I1102" i="6" s="1"/>
  <c r="I1129" i="6" s="1"/>
  <c r="I885" i="6"/>
  <c r="I912" i="6" s="1"/>
  <c r="I939" i="6" s="1"/>
  <c r="I966" i="6" s="1"/>
  <c r="I993" i="6" s="1"/>
  <c r="I1020" i="6" s="1"/>
  <c r="I1047" i="6" s="1"/>
  <c r="I1074" i="6" s="1"/>
  <c r="I1101" i="6" s="1"/>
  <c r="I1128" i="6" s="1"/>
  <c r="I884" i="6"/>
  <c r="I911" i="6" s="1"/>
  <c r="I938" i="6" s="1"/>
  <c r="I965" i="6" s="1"/>
  <c r="I992" i="6" s="1"/>
  <c r="I1019" i="6" s="1"/>
  <c r="I1046" i="6" s="1"/>
  <c r="I1073" i="6" s="1"/>
  <c r="I1100" i="6" s="1"/>
  <c r="I1127" i="6" s="1"/>
  <c r="I883" i="6"/>
  <c r="I910" i="6" s="1"/>
  <c r="I937" i="6" s="1"/>
  <c r="I964" i="6" s="1"/>
  <c r="I991" i="6" s="1"/>
  <c r="I1018" i="6" s="1"/>
  <c r="I1045" i="6" s="1"/>
  <c r="I1072" i="6" s="1"/>
  <c r="I1099" i="6" s="1"/>
  <c r="I1126" i="6" s="1"/>
  <c r="I882" i="6"/>
  <c r="I881" i="6"/>
  <c r="I908" i="6" s="1"/>
  <c r="I935" i="6" s="1"/>
  <c r="I962" i="6" s="1"/>
  <c r="I989" i="6" s="1"/>
  <c r="I1016" i="6" s="1"/>
  <c r="I1043" i="6" s="1"/>
  <c r="K881" i="6"/>
  <c r="K882" i="6"/>
  <c r="K883" i="6"/>
  <c r="K884" i="6"/>
  <c r="K885" i="6"/>
  <c r="K886" i="6"/>
  <c r="K889" i="6"/>
  <c r="J890" i="6"/>
  <c r="K890" i="6" s="1"/>
  <c r="J891" i="6"/>
  <c r="K891" i="6" s="1"/>
  <c r="K892" i="6"/>
  <c r="K893" i="6"/>
  <c r="K895" i="6"/>
  <c r="K898" i="6"/>
  <c r="J899" i="6"/>
  <c r="K899" i="6" s="1"/>
  <c r="J900" i="6"/>
  <c r="K900" i="6" s="1"/>
  <c r="K901" i="6"/>
  <c r="K902" i="6"/>
  <c r="K907" i="6"/>
  <c r="AC585" i="15" l="1"/>
  <c r="I1070" i="6"/>
  <c r="I1097" i="6" s="1"/>
  <c r="I1124" i="6" s="1"/>
  <c r="I1001" i="6"/>
  <c r="I1028" i="6" s="1"/>
  <c r="I1055" i="6" s="1"/>
  <c r="I1082" i="6" s="1"/>
  <c r="I1109" i="6" s="1"/>
  <c r="I1136" i="6" s="1"/>
  <c r="I934" i="6"/>
  <c r="I961" i="6" s="1"/>
  <c r="I988" i="6" s="1"/>
  <c r="I1015" i="6" s="1"/>
  <c r="I1042" i="6" s="1"/>
  <c r="I1069" i="6" s="1"/>
  <c r="I1096" i="6" s="1"/>
  <c r="I1123" i="6" s="1"/>
  <c r="I1150" i="6" s="1"/>
  <c r="I909" i="6"/>
  <c r="I936" i="6" s="1"/>
  <c r="I963" i="6" s="1"/>
  <c r="I990" i="6" s="1"/>
  <c r="I1017" i="6" s="1"/>
  <c r="I1044" i="6" s="1"/>
  <c r="I1071" i="6" s="1"/>
  <c r="I1098" i="6" s="1"/>
  <c r="I1125" i="6" s="1"/>
  <c r="J1284" i="6"/>
  <c r="K810" i="6" s="1"/>
  <c r="AB174" i="15" s="1"/>
  <c r="J1307" i="6"/>
  <c r="K850" i="6" s="1"/>
  <c r="AB190" i="15" s="1"/>
  <c r="K904" i="6"/>
  <c r="K903" i="6"/>
  <c r="K894" i="6"/>
  <c r="BC20" i="7"/>
  <c r="X379" i="15"/>
  <c r="Z379" i="15" s="1"/>
  <c r="BC708" i="7"/>
  <c r="X458" i="15"/>
  <c r="Z458" i="15" s="1"/>
  <c r="BC704" i="7"/>
  <c r="BD704" i="7" s="1"/>
  <c r="X456" i="15"/>
  <c r="Z456" i="15" s="1"/>
  <c r="BE704" i="7"/>
  <c r="AB456" i="15"/>
  <c r="BE706" i="7"/>
  <c r="AB457" i="15"/>
  <c r="BC19" i="7"/>
  <c r="X378" i="15"/>
  <c r="Z378" i="15" s="1"/>
  <c r="BC706" i="7"/>
  <c r="BD706" i="7" s="1"/>
  <c r="X457" i="15"/>
  <c r="Z457" i="15" s="1"/>
  <c r="BE708" i="7"/>
  <c r="AB458" i="15"/>
  <c r="BC21" i="7"/>
  <c r="X380" i="15"/>
  <c r="Z380" i="15" s="1"/>
  <c r="BE21" i="7"/>
  <c r="AB380" i="15"/>
  <c r="O585" i="15"/>
  <c r="U585" i="15" s="1"/>
  <c r="BE15" i="9"/>
  <c r="BB15" i="9" s="1"/>
  <c r="AA583" i="15" s="1"/>
  <c r="AB583" i="15"/>
  <c r="AF586" i="15"/>
  <c r="AC586" i="15" s="1"/>
  <c r="L586" i="15"/>
  <c r="I586" i="15" s="1"/>
  <c r="AN586" i="15" s="1"/>
  <c r="BB16" i="9"/>
  <c r="AA584" i="15" s="1"/>
  <c r="AE584" i="15"/>
  <c r="AC584" i="15" s="1"/>
  <c r="AC749" i="7"/>
  <c r="P751" i="7"/>
  <c r="P750" i="7"/>
  <c r="P752" i="7"/>
  <c r="P753" i="7"/>
  <c r="P754" i="7"/>
  <c r="AC734" i="7"/>
  <c r="P739" i="7"/>
  <c r="P735" i="7"/>
  <c r="P736" i="7"/>
  <c r="P738" i="7"/>
  <c r="P737" i="7"/>
  <c r="I48" i="9"/>
  <c r="R586" i="15" s="1"/>
  <c r="O586" i="15" s="1"/>
  <c r="U586" i="15" s="1"/>
  <c r="K45" i="9"/>
  <c r="K47" i="9"/>
  <c r="F707" i="7"/>
  <c r="F709" i="7"/>
  <c r="BD709" i="7" s="1"/>
  <c r="F708" i="7"/>
  <c r="F706" i="7"/>
  <c r="F704" i="7"/>
  <c r="F705" i="7"/>
  <c r="BD705" i="7" s="1"/>
  <c r="I682" i="7"/>
  <c r="DJ34" i="2"/>
  <c r="DJ32" i="2"/>
  <c r="DJ29" i="2"/>
  <c r="DJ26" i="2"/>
  <c r="H456" i="2"/>
  <c r="E456" i="2"/>
  <c r="D456" i="2"/>
  <c r="H445" i="2"/>
  <c r="E92" i="2"/>
  <c r="D92" i="2"/>
  <c r="BQ90" i="2"/>
  <c r="BP90" i="2"/>
  <c r="BO90" i="2"/>
  <c r="BN90" i="2"/>
  <c r="BL90" i="2"/>
  <c r="BK90" i="2"/>
  <c r="BJ90" i="2"/>
  <c r="BI90" i="2"/>
  <c r="BH90" i="2"/>
  <c r="AO90" i="2"/>
  <c r="AG90" i="2"/>
  <c r="AF90" i="2"/>
  <c r="BE90" i="2" s="1"/>
  <c r="AE90" i="2"/>
  <c r="BD90" i="2" s="1"/>
  <c r="AD90" i="2"/>
  <c r="AQ90" i="2" s="1"/>
  <c r="AC90" i="2"/>
  <c r="BB90" i="2" s="1"/>
  <c r="AA90" i="2"/>
  <c r="AZ90" i="2" s="1"/>
  <c r="Z90" i="2"/>
  <c r="AM90" i="2" s="1"/>
  <c r="Y90" i="2"/>
  <c r="AX90" i="2" s="1"/>
  <c r="X90" i="2"/>
  <c r="AW90" i="2" s="1"/>
  <c r="W90" i="2"/>
  <c r="AV90" i="2" s="1"/>
  <c r="DJ80" i="2"/>
  <c r="DH80" i="2"/>
  <c r="DI80" i="2" s="1"/>
  <c r="DJ79" i="2"/>
  <c r="DI79" i="2"/>
  <c r="DH79" i="2"/>
  <c r="DG79" i="2"/>
  <c r="AO79" i="2"/>
  <c r="AG79" i="2"/>
  <c r="AF79" i="2"/>
  <c r="BE79" i="2" s="1"/>
  <c r="AE79" i="2"/>
  <c r="BD79" i="2" s="1"/>
  <c r="AD79" i="2"/>
  <c r="BC79" i="2" s="1"/>
  <c r="AC79" i="2"/>
  <c r="AP79" i="2" s="1"/>
  <c r="AA79" i="2"/>
  <c r="AN79" i="2" s="1"/>
  <c r="Z79" i="2"/>
  <c r="AM79" i="2" s="1"/>
  <c r="Y79" i="2"/>
  <c r="AL79" i="2" s="1"/>
  <c r="X79" i="2"/>
  <c r="AW79" i="2" s="1"/>
  <c r="W79" i="2"/>
  <c r="AV79" i="2" s="1"/>
  <c r="V77" i="2"/>
  <c r="J32" i="2"/>
  <c r="X669" i="15" s="1"/>
  <c r="Z669" i="15" s="1"/>
  <c r="W669" i="15" s="1"/>
  <c r="J29" i="2"/>
  <c r="J26" i="2"/>
  <c r="X663" i="15" s="1"/>
  <c r="Z663" i="15" s="1"/>
  <c r="W663" i="15" s="1"/>
  <c r="D72" i="2"/>
  <c r="D69" i="2"/>
  <c r="E50" i="2"/>
  <c r="E51" i="2"/>
  <c r="E52" i="2"/>
  <c r="E53" i="2"/>
  <c r="E54" i="2"/>
  <c r="E55" i="2"/>
  <c r="E56" i="2"/>
  <c r="E57" i="2"/>
  <c r="E58" i="2"/>
  <c r="E59" i="2"/>
  <c r="E60" i="2"/>
  <c r="E61" i="2"/>
  <c r="E62" i="2"/>
  <c r="E63" i="2"/>
  <c r="E64" i="2"/>
  <c r="E65" i="2"/>
  <c r="E66" i="2"/>
  <c r="E67" i="2"/>
  <c r="E68" i="2"/>
  <c r="E69" i="2"/>
  <c r="E70" i="2"/>
  <c r="E71" i="2"/>
  <c r="E72" i="2"/>
  <c r="E73" i="2"/>
  <c r="D66" i="2"/>
  <c r="J10" i="2"/>
  <c r="J11" i="2"/>
  <c r="J12" i="2"/>
  <c r="J13" i="2"/>
  <c r="J14" i="2"/>
  <c r="J15" i="2"/>
  <c r="J16" i="2"/>
  <c r="J17" i="2"/>
  <c r="J18" i="2"/>
  <c r="J19" i="2"/>
  <c r="J20" i="2"/>
  <c r="J21" i="2"/>
  <c r="J22" i="2"/>
  <c r="J23" i="2"/>
  <c r="J24" i="2"/>
  <c r="J25" i="2"/>
  <c r="J27" i="2"/>
  <c r="J28" i="2"/>
  <c r="J30" i="2"/>
  <c r="J31" i="2"/>
  <c r="J33" i="2"/>
  <c r="J34" i="2"/>
  <c r="X671" i="15" s="1"/>
  <c r="Z671" i="15" s="1"/>
  <c r="J9" i="2"/>
  <c r="D74" i="2"/>
  <c r="E74" i="2"/>
  <c r="BD708" i="7" l="1"/>
  <c r="AE458" i="15" s="1"/>
  <c r="BD707" i="7"/>
  <c r="AF457" i="15" s="1"/>
  <c r="AO586" i="15"/>
  <c r="AO585" i="15"/>
  <c r="K852" i="6"/>
  <c r="BE850" i="6"/>
  <c r="AE457" i="15"/>
  <c r="AE456" i="15"/>
  <c r="AC706" i="7"/>
  <c r="K457" i="15"/>
  <c r="AN457" i="15" s="1"/>
  <c r="AC708" i="7"/>
  <c r="K458" i="15"/>
  <c r="AN458" i="15" s="1"/>
  <c r="AC709" i="7"/>
  <c r="L458" i="15"/>
  <c r="AC705" i="7"/>
  <c r="L456" i="15"/>
  <c r="AC704" i="7"/>
  <c r="K456" i="15"/>
  <c r="AN456" i="15" s="1"/>
  <c r="AC707" i="7"/>
  <c r="L457" i="15"/>
  <c r="DG80" i="2"/>
  <c r="AA672" i="15" s="1"/>
  <c r="AE672" i="15"/>
  <c r="AC672" i="15" s="1"/>
  <c r="DH29" i="2"/>
  <c r="X666" i="15"/>
  <c r="Z666" i="15" s="1"/>
  <c r="W666" i="15" s="1"/>
  <c r="BE47" i="9"/>
  <c r="BB47" i="9" s="1"/>
  <c r="AA586" i="15" s="1"/>
  <c r="AB586" i="15"/>
  <c r="BE45" i="9"/>
  <c r="BB45" i="9" s="1"/>
  <c r="AA585" i="15" s="1"/>
  <c r="AB585" i="15"/>
  <c r="I708" i="7"/>
  <c r="Q458" i="15" s="1"/>
  <c r="I709" i="7"/>
  <c r="R458" i="15" s="1"/>
  <c r="I707" i="7"/>
  <c r="R457" i="15" s="1"/>
  <c r="I705" i="7"/>
  <c r="R456" i="15" s="1"/>
  <c r="I704" i="7"/>
  <c r="Q456" i="15" s="1"/>
  <c r="I706" i="7"/>
  <c r="Q457" i="15" s="1"/>
  <c r="DH34" i="2"/>
  <c r="DH26" i="2"/>
  <c r="DH32" i="2"/>
  <c r="F445" i="2"/>
  <c r="DI445" i="2" s="1"/>
  <c r="AX79" i="2"/>
  <c r="AY79" i="2"/>
  <c r="AJ90" i="2"/>
  <c r="AS90" i="2"/>
  <c r="AZ79" i="2"/>
  <c r="AY90" i="2"/>
  <c r="BB79" i="2"/>
  <c r="BC90" i="2"/>
  <c r="AQ79" i="2"/>
  <c r="AN90" i="2"/>
  <c r="AR79" i="2"/>
  <c r="AP90" i="2"/>
  <c r="AR90" i="2"/>
  <c r="AK90" i="2"/>
  <c r="AJ79" i="2"/>
  <c r="AK79" i="2"/>
  <c r="AS79" i="2"/>
  <c r="AL90" i="2"/>
  <c r="S52" i="2"/>
  <c r="AC457" i="15" l="1"/>
  <c r="BE852" i="6"/>
  <c r="AB191" i="15"/>
  <c r="O457" i="15"/>
  <c r="AO457" i="15" s="1"/>
  <c r="O456" i="15"/>
  <c r="AO456" i="15" s="1"/>
  <c r="BB706" i="7"/>
  <c r="AA457" i="15" s="1"/>
  <c r="BB704" i="7"/>
  <c r="AA456" i="15" s="1"/>
  <c r="AF456" i="15"/>
  <c r="AC456" i="15" s="1"/>
  <c r="I456" i="15"/>
  <c r="BB708" i="7"/>
  <c r="AA458" i="15" s="1"/>
  <c r="AF458" i="15"/>
  <c r="AC458" i="15" s="1"/>
  <c r="I457" i="15"/>
  <c r="O458" i="15"/>
  <c r="AO458" i="15" s="1"/>
  <c r="I458" i="15"/>
  <c r="K738" i="15"/>
  <c r="I738" i="15" s="1"/>
  <c r="AN738" i="15" s="1"/>
  <c r="I445" i="2"/>
  <c r="Q738" i="15" s="1"/>
  <c r="O738" i="15" s="1"/>
  <c r="W738" i="15" s="1"/>
  <c r="V738" i="15" s="1"/>
  <c r="U738" i="15" s="1"/>
  <c r="M49" i="2"/>
  <c r="F9" i="2" s="1"/>
  <c r="M68" i="2"/>
  <c r="F28" i="2" s="1"/>
  <c r="M69" i="2"/>
  <c r="F29" i="2" s="1"/>
  <c r="I29" i="2" s="1"/>
  <c r="M70" i="2"/>
  <c r="F30" i="2" s="1"/>
  <c r="M71" i="2"/>
  <c r="F31" i="2" s="1"/>
  <c r="M72" i="2"/>
  <c r="M73" i="2"/>
  <c r="F33" i="2" s="1"/>
  <c r="M66" i="2"/>
  <c r="F26" i="2" s="1"/>
  <c r="I26" i="2" s="1"/>
  <c r="M74" i="2"/>
  <c r="F34" i="2" s="1"/>
  <c r="I34" i="2" s="1"/>
  <c r="M67" i="2"/>
  <c r="F27" i="2" s="1"/>
  <c r="M58" i="2"/>
  <c r="F18" i="2" s="1"/>
  <c r="M59" i="2"/>
  <c r="F19" i="2" s="1"/>
  <c r="M62" i="2"/>
  <c r="F22" i="2" s="1"/>
  <c r="M64" i="2"/>
  <c r="F24" i="2" s="1"/>
  <c r="M60" i="2"/>
  <c r="F20" i="2" s="1"/>
  <c r="M55" i="2"/>
  <c r="F15" i="2" s="1"/>
  <c r="M61" i="2"/>
  <c r="F21" i="2" s="1"/>
  <c r="M65" i="2"/>
  <c r="F25" i="2" s="1"/>
  <c r="M63" i="2"/>
  <c r="F23" i="2" s="1"/>
  <c r="M53" i="2"/>
  <c r="F13" i="2" s="1"/>
  <c r="M51" i="2"/>
  <c r="F11" i="2" s="1"/>
  <c r="M57" i="2"/>
  <c r="F17" i="2" s="1"/>
  <c r="M52" i="2"/>
  <c r="F12" i="2" s="1"/>
  <c r="M54" i="2"/>
  <c r="F14" i="2" s="1"/>
  <c r="M56" i="2"/>
  <c r="F16" i="2" s="1"/>
  <c r="M50" i="2"/>
  <c r="F10" i="2" s="1"/>
  <c r="DI34" i="2" l="1"/>
  <c r="DI26" i="2"/>
  <c r="DI29" i="2"/>
  <c r="AO738" i="15"/>
  <c r="I671" i="15"/>
  <c r="AN671" i="15" s="1"/>
  <c r="O671" i="15"/>
  <c r="W671" i="15" s="1"/>
  <c r="V671" i="15" s="1"/>
  <c r="U671" i="15" s="1"/>
  <c r="I666" i="15"/>
  <c r="AN666" i="15" s="1"/>
  <c r="O666" i="15"/>
  <c r="V666" i="15" s="1"/>
  <c r="U666" i="15" s="1"/>
  <c r="I663" i="15"/>
  <c r="AN663" i="15" s="1"/>
  <c r="O663" i="15"/>
  <c r="V663" i="15" s="1"/>
  <c r="U663" i="15" s="1"/>
  <c r="DG445" i="2"/>
  <c r="AA738" i="15" s="1"/>
  <c r="AE738" i="15"/>
  <c r="AC738" i="15" s="1"/>
  <c r="F32" i="2"/>
  <c r="DI32" i="2" s="1"/>
  <c r="AO666" i="15" l="1"/>
  <c r="AO671" i="15"/>
  <c r="AO663" i="15"/>
  <c r="I32" i="2"/>
  <c r="O669" i="15" s="1"/>
  <c r="V669" i="15" s="1"/>
  <c r="U669" i="15" s="1"/>
  <c r="DG29" i="2"/>
  <c r="AA666" i="15" s="1"/>
  <c r="AE666" i="15"/>
  <c r="AC666" i="15" s="1"/>
  <c r="DG34" i="2"/>
  <c r="AA671" i="15" s="1"/>
  <c r="AE671" i="15"/>
  <c r="AC671" i="15" s="1"/>
  <c r="DG26" i="2"/>
  <c r="AA663" i="15" s="1"/>
  <c r="AE663" i="15"/>
  <c r="AC663" i="15" s="1"/>
  <c r="I669" i="15"/>
  <c r="AN669" i="15" s="1"/>
  <c r="K4432" i="6"/>
  <c r="AO669" i="15" l="1"/>
  <c r="DG32" i="2"/>
  <c r="AA669" i="15" s="1"/>
  <c r="AE669" i="15"/>
  <c r="AC669" i="15" s="1"/>
  <c r="K4182" i="6"/>
  <c r="K4180" i="6"/>
  <c r="K4178" i="6"/>
  <c r="K4170" i="6"/>
  <c r="K4150" i="6"/>
  <c r="K4148" i="6"/>
  <c r="K4146" i="6"/>
  <c r="K4142" i="6"/>
  <c r="K4130" i="6"/>
  <c r="K4128" i="6"/>
  <c r="K4126" i="6"/>
  <c r="K4076" i="6"/>
  <c r="K4078" i="6"/>
  <c r="M4067" i="6"/>
  <c r="M4066" i="6"/>
  <c r="M4073" i="6"/>
  <c r="M4074" i="6"/>
  <c r="M4075" i="6"/>
  <c r="F1820" i="6" l="1"/>
  <c r="K301" i="15" s="1"/>
  <c r="F1788" i="6"/>
  <c r="K293" i="15" s="1"/>
  <c r="F1770" i="6"/>
  <c r="M288" i="15" s="1"/>
  <c r="J288" i="15" s="1"/>
  <c r="F1768" i="6"/>
  <c r="K288" i="15" s="1"/>
  <c r="F1756" i="6"/>
  <c r="K285" i="15" s="1"/>
  <c r="F1702" i="6"/>
  <c r="K267" i="15" s="1"/>
  <c r="F1682" i="6"/>
  <c r="K259" i="15" s="1"/>
  <c r="F1618" i="6"/>
  <c r="K232" i="15" s="1"/>
  <c r="F1598" i="6"/>
  <c r="K224" i="15" s="1"/>
  <c r="F1586" i="6"/>
  <c r="K220" i="15" s="1"/>
  <c r="F1556" i="6"/>
  <c r="K211" i="15" s="1"/>
  <c r="F1548" i="6"/>
  <c r="K208" i="15" s="1"/>
  <c r="L321" i="15"/>
  <c r="F1869" i="6"/>
  <c r="N313" i="15" s="1"/>
  <c r="F1839" i="6"/>
  <c r="N305" i="15" s="1"/>
  <c r="F1823" i="6"/>
  <c r="N301" i="15" s="1"/>
  <c r="F1807" i="6"/>
  <c r="N297" i="15" s="1"/>
  <c r="F1791" i="6"/>
  <c r="N293" i="15" s="1"/>
  <c r="F1775" i="6"/>
  <c r="N289" i="15" s="1"/>
  <c r="F1759" i="6"/>
  <c r="N285" i="15" s="1"/>
  <c r="F1733" i="6"/>
  <c r="L277" i="15" s="1"/>
  <c r="F1721" i="6"/>
  <c r="N271" i="15" s="1"/>
  <c r="F1705" i="6"/>
  <c r="N267" i="15" s="1"/>
  <c r="F1697" i="6"/>
  <c r="L265" i="15" s="1"/>
  <c r="F1685" i="6"/>
  <c r="N259" i="15" s="1"/>
  <c r="F1665" i="6"/>
  <c r="L251" i="15" s="1"/>
  <c r="F1653" i="6"/>
  <c r="L245" i="15" s="1"/>
  <c r="F1637" i="6"/>
  <c r="N237" i="15" s="1"/>
  <c r="F1621" i="6"/>
  <c r="L233" i="15" s="1"/>
  <c r="F1601" i="6"/>
  <c r="L225" i="15" s="1"/>
  <c r="F1593" i="6"/>
  <c r="N221" i="15" s="1"/>
  <c r="F1591" i="6"/>
  <c r="L221" i="15" s="1"/>
  <c r="F1589" i="6"/>
  <c r="N220" i="15" s="1"/>
  <c r="F1587" i="6"/>
  <c r="L220" i="15" s="1"/>
  <c r="F1559" i="6"/>
  <c r="N211" i="15" s="1"/>
  <c r="F1549" i="6"/>
  <c r="L208" i="15" s="1"/>
  <c r="F1541" i="6"/>
  <c r="N205" i="15" s="1"/>
  <c r="F1539" i="6"/>
  <c r="L205" i="15" s="1"/>
  <c r="F1538" i="6"/>
  <c r="K205" i="15" s="1"/>
  <c r="F544" i="9"/>
  <c r="BD544" i="9" s="1"/>
  <c r="F543" i="9"/>
  <c r="N544" i="9"/>
  <c r="K544" i="9"/>
  <c r="J544" i="9"/>
  <c r="I544" i="9"/>
  <c r="H544" i="9"/>
  <c r="I208" i="15" l="1"/>
  <c r="AN208" i="15"/>
  <c r="AN232" i="15"/>
  <c r="I232" i="15"/>
  <c r="I288" i="15"/>
  <c r="AN288" i="15"/>
  <c r="AN211" i="15"/>
  <c r="I211" i="15"/>
  <c r="AN259" i="15"/>
  <c r="I259" i="15"/>
  <c r="AN220" i="15"/>
  <c r="I220" i="15"/>
  <c r="AN267" i="15"/>
  <c r="I267" i="15"/>
  <c r="AN293" i="15"/>
  <c r="I293" i="15"/>
  <c r="I205" i="15"/>
  <c r="AN205" i="15"/>
  <c r="I224" i="15"/>
  <c r="AN224" i="15"/>
  <c r="AN285" i="15"/>
  <c r="I285" i="15"/>
  <c r="I301" i="15"/>
  <c r="AN301" i="15"/>
  <c r="AE636" i="15"/>
  <c r="AC636" i="15" s="1"/>
  <c r="I636" i="15"/>
  <c r="AN636" i="15" s="1"/>
  <c r="BE544" i="9"/>
  <c r="AB636" i="15"/>
  <c r="L544" i="9"/>
  <c r="O636" i="15" s="1"/>
  <c r="V636" i="15" s="1"/>
  <c r="AC495" i="9"/>
  <c r="AC494" i="9"/>
  <c r="K228" i="9"/>
  <c r="J228" i="9"/>
  <c r="I228" i="9"/>
  <c r="V8" i="11"/>
  <c r="AO636" i="15" l="1"/>
  <c r="BB544" i="9"/>
  <c r="AA636" i="15" s="1"/>
  <c r="F7" i="8"/>
  <c r="AC1049" i="7"/>
  <c r="AC1047" i="7"/>
  <c r="K611" i="7"/>
  <c r="L612" i="7"/>
  <c r="L614" i="7"/>
  <c r="J614" i="7"/>
  <c r="J612" i="7"/>
  <c r="J611" i="7"/>
  <c r="K609" i="7"/>
  <c r="L608" i="7"/>
  <c r="J609" i="7"/>
  <c r="J608" i="7"/>
  <c r="L606" i="7"/>
  <c r="J606" i="7"/>
  <c r="K605" i="7"/>
  <c r="J605" i="7"/>
  <c r="K603" i="7"/>
  <c r="J603" i="7"/>
  <c r="I614" i="7"/>
  <c r="I612" i="7"/>
  <c r="I611" i="7"/>
  <c r="I609" i="7"/>
  <c r="I608" i="7"/>
  <c r="I606" i="7"/>
  <c r="I605" i="7"/>
  <c r="I603" i="7"/>
  <c r="AC487" i="7"/>
  <c r="AC479" i="7"/>
  <c r="AC475" i="7"/>
  <c r="AC470" i="7"/>
  <c r="AC3676" i="6"/>
  <c r="AC3674" i="6"/>
  <c r="AC3672" i="6"/>
  <c r="AC3668" i="6"/>
  <c r="AC3666" i="6"/>
  <c r="AC3665" i="6"/>
  <c r="AC3661" i="6"/>
  <c r="AC3660" i="6"/>
  <c r="AC3655" i="6"/>
  <c r="AC3654" i="6"/>
  <c r="AC3647" i="6"/>
  <c r="AC3646" i="6"/>
  <c r="AC3640" i="6"/>
  <c r="AC3639" i="6"/>
  <c r="AC3632" i="6"/>
  <c r="AC3631" i="6"/>
  <c r="AC3624" i="6"/>
  <c r="AC3623" i="6"/>
  <c r="AC3616" i="6"/>
  <c r="AC3615" i="6"/>
  <c r="AC3608" i="6"/>
  <c r="AC3607" i="6"/>
  <c r="AC3604" i="6"/>
  <c r="AC3603" i="6"/>
  <c r="AC3600" i="6"/>
  <c r="AC3599" i="6"/>
  <c r="AC3582" i="6"/>
  <c r="AC3573" i="6"/>
  <c r="AC3572" i="6"/>
  <c r="AC3563" i="6"/>
  <c r="AC3553" i="6"/>
  <c r="AC3547" i="6"/>
  <c r="AC3541" i="6"/>
  <c r="AC3537" i="6"/>
  <c r="AC3531" i="6"/>
  <c r="AC3530" i="6"/>
  <c r="AC3527" i="6"/>
  <c r="AC3525" i="6"/>
  <c r="AC3523" i="6"/>
  <c r="AC3521" i="6"/>
  <c r="AC3520" i="6"/>
  <c r="AC3513" i="6"/>
  <c r="AC3512" i="6"/>
  <c r="AC3509" i="6"/>
  <c r="AC3508" i="6"/>
  <c r="AC3505" i="6"/>
  <c r="AC3504" i="6"/>
  <c r="AC3464" i="6"/>
  <c r="AC3449" i="6"/>
  <c r="AC3435" i="6"/>
  <c r="AC3433" i="6"/>
  <c r="AC3431" i="6"/>
  <c r="AC3429" i="6"/>
  <c r="AC3425" i="6"/>
  <c r="AC3421" i="6"/>
  <c r="AC3419" i="6"/>
  <c r="AC3417" i="6"/>
  <c r="AC3403" i="6"/>
  <c r="AC3401" i="6"/>
  <c r="AC3398" i="6"/>
  <c r="AC3395" i="6"/>
  <c r="AC3392" i="6"/>
  <c r="AC3376" i="6"/>
  <c r="AC3374" i="6"/>
  <c r="AC3366" i="6"/>
  <c r="AC3364" i="6"/>
  <c r="AC3356" i="6"/>
  <c r="AC3354" i="6"/>
  <c r="AC3340" i="6"/>
  <c r="AC3336" i="6"/>
  <c r="AC3334" i="6"/>
  <c r="AC3332" i="6"/>
  <c r="AC3326" i="6"/>
  <c r="AC3318" i="6"/>
  <c r="AC3314" i="6"/>
  <c r="AC3310" i="6"/>
  <c r="AC3305" i="6"/>
  <c r="AC3303" i="6"/>
  <c r="AC3301" i="6"/>
  <c r="AC3296" i="6"/>
  <c r="AC3294" i="6"/>
  <c r="AC3292" i="6"/>
  <c r="AC3097" i="6"/>
  <c r="AC3095" i="6"/>
  <c r="AC3093" i="6"/>
  <c r="AC3091" i="6"/>
  <c r="AC3089" i="6"/>
  <c r="AC3087" i="6"/>
  <c r="AC3086" i="6"/>
  <c r="AC3083" i="6"/>
  <c r="AC3081" i="6"/>
  <c r="AC3076" i="6"/>
  <c r="AC3075" i="6"/>
  <c r="AC3072" i="6"/>
  <c r="AC3071" i="6"/>
  <c r="AC3068" i="6"/>
  <c r="AC3067" i="6"/>
  <c r="AC3061" i="6"/>
  <c r="AC3060" i="6"/>
  <c r="AC3057" i="6"/>
  <c r="AC3056" i="6"/>
  <c r="AC3053" i="6"/>
  <c r="AC3052" i="6"/>
  <c r="AC3045" i="6"/>
  <c r="AC3044" i="6"/>
  <c r="AC3041" i="6"/>
  <c r="AC3040" i="6"/>
  <c r="AC3037" i="6"/>
  <c r="AC3036" i="6"/>
  <c r="AC3029" i="6"/>
  <c r="AC3028" i="6"/>
  <c r="AC3025" i="6"/>
  <c r="AC3024" i="6"/>
  <c r="AC3021" i="6"/>
  <c r="AC3020" i="6"/>
  <c r="AC2998" i="6"/>
  <c r="AC2997" i="6"/>
  <c r="AC2994" i="6"/>
  <c r="AC2993" i="6"/>
  <c r="AC2986" i="6"/>
  <c r="AC2984" i="6"/>
  <c r="AC2976" i="6"/>
  <c r="AC2974" i="6"/>
  <c r="AC2970" i="6"/>
  <c r="AC2968" i="6"/>
  <c r="AC2964" i="6"/>
  <c r="AC2962" i="6"/>
  <c r="AC2958" i="6"/>
  <c r="AC2956" i="6"/>
  <c r="AC2955" i="6"/>
  <c r="AC2952" i="6"/>
  <c r="AC2951" i="6"/>
  <c r="AC2948" i="6"/>
  <c r="AC2946" i="6"/>
  <c r="AC2944" i="6"/>
  <c r="AC2942" i="6"/>
  <c r="AC2941" i="6"/>
  <c r="AC2938" i="6"/>
  <c r="AC2936" i="6"/>
  <c r="AC2934" i="6"/>
  <c r="AC2933" i="6"/>
  <c r="AC2930" i="6"/>
  <c r="AC2929" i="6"/>
  <c r="AC2926" i="6"/>
  <c r="AC2904" i="6"/>
  <c r="AC2902" i="6"/>
  <c r="AC2900" i="6"/>
  <c r="AC2898" i="6"/>
  <c r="AC2896" i="6"/>
  <c r="AC2894" i="6"/>
  <c r="AC2893" i="6"/>
  <c r="AC2890" i="6"/>
  <c r="AC2888" i="6"/>
  <c r="AC2885" i="6"/>
  <c r="AC2883" i="6"/>
  <c r="AC2882" i="6"/>
  <c r="AC2879" i="6"/>
  <c r="AC2878" i="6"/>
  <c r="AC2875" i="6"/>
  <c r="AC2874" i="6"/>
  <c r="AC2870" i="6"/>
  <c r="AC2868" i="6"/>
  <c r="AC2867" i="6"/>
  <c r="AC2864" i="6"/>
  <c r="AC2863" i="6"/>
  <c r="AC2860" i="6"/>
  <c r="AC2859" i="6"/>
  <c r="AC2856" i="6"/>
  <c r="AC2854" i="6"/>
  <c r="AC2851" i="6"/>
  <c r="AC2850" i="6"/>
  <c r="AC2847" i="6"/>
  <c r="AC2846" i="6"/>
  <c r="AC2843" i="6"/>
  <c r="AC2842" i="6"/>
  <c r="AC2840" i="6"/>
  <c r="AC2838" i="6"/>
  <c r="AC2836" i="6"/>
  <c r="AC2835" i="6"/>
  <c r="AC2832" i="6"/>
  <c r="AC2831" i="6"/>
  <c r="AC2828" i="6"/>
  <c r="AC2827" i="6"/>
  <c r="AC2819" i="6"/>
  <c r="AC2816" i="6"/>
  <c r="AC2813" i="6"/>
  <c r="AC2805" i="6"/>
  <c r="AC2804" i="6"/>
  <c r="AC2801" i="6"/>
  <c r="AC2800" i="6"/>
  <c r="AC2797" i="6"/>
  <c r="AC2795" i="6"/>
  <c r="AC2793" i="6"/>
  <c r="AC2791" i="6"/>
  <c r="AC2787" i="6"/>
  <c r="AC2785" i="6"/>
  <c r="AC2783" i="6"/>
  <c r="AC2781" i="6"/>
  <c r="AC2777" i="6"/>
  <c r="AC2775" i="6"/>
  <c r="AC2771" i="6"/>
  <c r="AC2769" i="6"/>
  <c r="AC2765" i="6"/>
  <c r="AC2762" i="6"/>
  <c r="AC2761" i="6"/>
  <c r="AC2758" i="6"/>
  <c r="AC2757" i="6"/>
  <c r="AC2755" i="6"/>
  <c r="AC2753" i="6"/>
  <c r="AC2751" i="6"/>
  <c r="AC2748" i="6"/>
  <c r="AC2747" i="6"/>
  <c r="AC2745" i="6"/>
  <c r="AC2743" i="6"/>
  <c r="AC2740" i="6"/>
  <c r="AC2739" i="6"/>
  <c r="AC2736" i="6"/>
  <c r="AC2735" i="6"/>
  <c r="AC2732" i="6"/>
  <c r="AC2731" i="6"/>
  <c r="AC2726" i="6"/>
  <c r="AC2724" i="6"/>
  <c r="AC2722" i="6"/>
  <c r="AC2717" i="6"/>
  <c r="AC2715" i="6"/>
  <c r="AC2713" i="6"/>
  <c r="AC2692" i="6"/>
  <c r="AC2677" i="6"/>
  <c r="AC2663" i="6"/>
  <c r="AC2661" i="6"/>
  <c r="AC2657" i="6"/>
  <c r="AC2654" i="6"/>
  <c r="AC2653" i="6"/>
  <c r="AC2650" i="6"/>
  <c r="AC2649" i="6"/>
  <c r="AC2647" i="6"/>
  <c r="AC2645" i="6"/>
  <c r="AC2631" i="6"/>
  <c r="AC2629" i="6"/>
  <c r="AC2626" i="6"/>
  <c r="AC2623" i="6"/>
  <c r="AC2620" i="6"/>
  <c r="AC2604" i="6"/>
  <c r="AC2602" i="6"/>
  <c r="AC2594" i="6"/>
  <c r="AC2592" i="6"/>
  <c r="AC2568" i="6"/>
  <c r="AC2564" i="6"/>
  <c r="AC2562" i="6"/>
  <c r="AC2560" i="6"/>
  <c r="AC2558" i="6"/>
  <c r="AC2555" i="6"/>
  <c r="AC2554" i="6"/>
  <c r="AC2552" i="6"/>
  <c r="AC2550" i="6"/>
  <c r="AC2547" i="6"/>
  <c r="AC2546" i="6"/>
  <c r="AC2543" i="6"/>
  <c r="AC2542" i="6"/>
  <c r="AC2539" i="6"/>
  <c r="AC2538" i="6"/>
  <c r="AC2533" i="6"/>
  <c r="AC2531" i="6"/>
  <c r="AC2529" i="6"/>
  <c r="AC2524" i="6"/>
  <c r="AC2522" i="6"/>
  <c r="AC2520" i="6"/>
  <c r="AC2132" i="6"/>
  <c r="AC2130" i="6"/>
  <c r="AC2128" i="6"/>
  <c r="AC2126" i="6"/>
  <c r="AC2124" i="6"/>
  <c r="AC2122" i="6"/>
  <c r="AC2121" i="6"/>
  <c r="AC2118" i="6"/>
  <c r="AC2116" i="6"/>
  <c r="AC2113" i="6"/>
  <c r="AC2111" i="6"/>
  <c r="AC2110" i="6"/>
  <c r="AC2107" i="6"/>
  <c r="AC2106" i="6"/>
  <c r="AC2103" i="6"/>
  <c r="AC2102" i="6"/>
  <c r="AC2098" i="6"/>
  <c r="AC2096" i="6"/>
  <c r="AC2095" i="6"/>
  <c r="AC2092" i="6"/>
  <c r="AC2091" i="6"/>
  <c r="AC2088" i="6"/>
  <c r="AC2087" i="6"/>
  <c r="AC2084" i="6"/>
  <c r="AC2082" i="6"/>
  <c r="AC2079" i="6"/>
  <c r="AC2078" i="6"/>
  <c r="AC2075" i="6"/>
  <c r="AC2074" i="6"/>
  <c r="AC2071" i="6"/>
  <c r="AC2070" i="6"/>
  <c r="AC2068" i="6"/>
  <c r="AC2066" i="6"/>
  <c r="AC2064" i="6"/>
  <c r="AC2063" i="6"/>
  <c r="AC2060" i="6"/>
  <c r="AC2059" i="6"/>
  <c r="AC2056" i="6"/>
  <c r="AC2055" i="6"/>
  <c r="AC2047" i="6"/>
  <c r="AC2044" i="6"/>
  <c r="AC2041" i="6"/>
  <c r="AC2033" i="6"/>
  <c r="AC2032" i="6"/>
  <c r="AC2029" i="6"/>
  <c r="AC2028" i="6"/>
  <c r="AC2025" i="6"/>
  <c r="AC2023" i="6"/>
  <c r="AC2021" i="6"/>
  <c r="AC2019" i="6"/>
  <c r="AC2015" i="6"/>
  <c r="AC2013" i="6"/>
  <c r="AC2011" i="6"/>
  <c r="AC2009" i="6"/>
  <c r="AC2005" i="6"/>
  <c r="AC2003" i="6"/>
  <c r="AC1999" i="6"/>
  <c r="AC1997" i="6"/>
  <c r="AC1993" i="6"/>
  <c r="AC1990" i="6"/>
  <c r="AC1989" i="6"/>
  <c r="AC1986" i="6"/>
  <c r="AC1985" i="6"/>
  <c r="AC1983" i="6"/>
  <c r="AC1981" i="6"/>
  <c r="AC1979" i="6"/>
  <c r="AC1976" i="6"/>
  <c r="AC1975" i="6"/>
  <c r="AC1973" i="6"/>
  <c r="AC1971" i="6"/>
  <c r="AC1968" i="6"/>
  <c r="AC1967" i="6"/>
  <c r="AC1964" i="6"/>
  <c r="AC1963" i="6"/>
  <c r="AC1960" i="6"/>
  <c r="AC1959" i="6"/>
  <c r="AC1954" i="6"/>
  <c r="AC1952" i="6"/>
  <c r="AC1950" i="6"/>
  <c r="AC1945" i="6"/>
  <c r="AC1943" i="6"/>
  <c r="AC1941" i="6"/>
  <c r="L2118" i="6"/>
  <c r="L1890" i="6" s="1"/>
  <c r="AJ321" i="15" s="1"/>
  <c r="L2107" i="6"/>
  <c r="L2106" i="6"/>
  <c r="L1866" i="6" s="1"/>
  <c r="AJ313" i="15" s="1"/>
  <c r="L2092" i="6"/>
  <c r="L2091" i="6"/>
  <c r="L1836" i="6" s="1"/>
  <c r="AJ305" i="15" s="1"/>
  <c r="L2084" i="6"/>
  <c r="L2075" i="6"/>
  <c r="L1804" i="6" s="1"/>
  <c r="AJ297" i="15" s="1"/>
  <c r="L2076" i="6"/>
  <c r="L2068" i="6"/>
  <c r="L2060" i="6"/>
  <c r="L2059" i="6"/>
  <c r="L1772" i="6" s="1"/>
  <c r="AJ289" i="15" s="1"/>
  <c r="L2033" i="6"/>
  <c r="L2032" i="6"/>
  <c r="L1718" i="6" s="1"/>
  <c r="AJ271" i="15" s="1"/>
  <c r="L2025" i="6"/>
  <c r="L2021" i="6"/>
  <c r="L1696" i="6" s="1"/>
  <c r="AJ265" i="15" s="1"/>
  <c r="L2015" i="6"/>
  <c r="L2011" i="6"/>
  <c r="L1676" i="6" s="1"/>
  <c r="AJ257" i="15" s="1"/>
  <c r="L2005" i="6"/>
  <c r="L1664" i="6" s="1"/>
  <c r="AJ251" i="15" s="1"/>
  <c r="L1999" i="6"/>
  <c r="L1652" i="6" s="1"/>
  <c r="AJ245" i="15" s="1"/>
  <c r="L1990" i="6"/>
  <c r="L1634" i="6" s="1"/>
  <c r="AJ237" i="15" s="1"/>
  <c r="L1991" i="6"/>
  <c r="L1983" i="6"/>
  <c r="L1620" i="6" s="1"/>
  <c r="AJ233" i="15" s="1"/>
  <c r="L1973" i="6"/>
  <c r="L1600" i="6" s="1"/>
  <c r="AJ225" i="15" s="1"/>
  <c r="L1968" i="6"/>
  <c r="L1590" i="6" s="1"/>
  <c r="AJ221" i="15" s="1"/>
  <c r="L1969" i="6"/>
  <c r="L1952" i="6"/>
  <c r="L1943" i="6"/>
  <c r="L2131" i="6"/>
  <c r="L2129" i="6"/>
  <c r="L2127" i="6"/>
  <c r="L2125" i="6"/>
  <c r="L2123" i="6"/>
  <c r="L2120" i="6"/>
  <c r="L2119" i="6"/>
  <c r="L2117" i="6"/>
  <c r="L1888" i="6" s="1"/>
  <c r="AJ320" i="15" s="1"/>
  <c r="L2115" i="6"/>
  <c r="L2114" i="6"/>
  <c r="L2112" i="6"/>
  <c r="L2109" i="6"/>
  <c r="L2108" i="6"/>
  <c r="L2105" i="6"/>
  <c r="L2104" i="6"/>
  <c r="L1862" i="6" s="1"/>
  <c r="AJ312" i="15" s="1"/>
  <c r="L2101" i="6"/>
  <c r="L2100" i="6"/>
  <c r="L2097" i="6"/>
  <c r="L2094" i="6"/>
  <c r="L2093" i="6"/>
  <c r="L2090" i="6"/>
  <c r="L2089" i="6"/>
  <c r="L1832" i="6" s="1"/>
  <c r="AJ304" i="15" s="1"/>
  <c r="L2086" i="6"/>
  <c r="L2085" i="6"/>
  <c r="L2083" i="6"/>
  <c r="L1820" i="6" s="1"/>
  <c r="AJ301" i="15" s="1"/>
  <c r="L2081" i="6"/>
  <c r="L2073" i="6"/>
  <c r="L1800" i="6" s="1"/>
  <c r="AJ296" i="15" s="1"/>
  <c r="L2069" i="6"/>
  <c r="L2067" i="6"/>
  <c r="L1788" i="6" s="1"/>
  <c r="AJ293" i="15" s="1"/>
  <c r="L2065" i="6"/>
  <c r="L2062" i="6"/>
  <c r="L2061" i="6"/>
  <c r="L2058" i="6"/>
  <c r="L2057" i="6"/>
  <c r="L1768" i="6" s="1"/>
  <c r="AJ288" i="15" s="1"/>
  <c r="L2054" i="6"/>
  <c r="L2053" i="6"/>
  <c r="L2052" i="6"/>
  <c r="L2051" i="6"/>
  <c r="L1756" i="6" s="1"/>
  <c r="AJ285" i="15" s="1"/>
  <c r="L2050" i="6"/>
  <c r="L2049" i="6"/>
  <c r="L2048" i="6"/>
  <c r="L2046" i="6"/>
  <c r="L2045" i="6"/>
  <c r="L2043" i="6"/>
  <c r="L2040" i="6"/>
  <c r="L2039" i="6"/>
  <c r="L1732" i="6" s="1"/>
  <c r="AJ277" i="15" s="1"/>
  <c r="L2038" i="6"/>
  <c r="L1730" i="6" s="1"/>
  <c r="AJ276" i="15" s="1"/>
  <c r="L2037" i="6"/>
  <c r="L1728" i="6" s="1"/>
  <c r="L2036" i="6"/>
  <c r="L2034" i="6"/>
  <c r="L2031" i="6"/>
  <c r="L2030" i="6"/>
  <c r="L1714" i="6" s="1"/>
  <c r="AJ270" i="15" s="1"/>
  <c r="L2027" i="6"/>
  <c r="L2026" i="6"/>
  <c r="L2024" i="6"/>
  <c r="L1702" i="6" s="1"/>
  <c r="AJ267" i="15" s="1"/>
  <c r="L2022" i="6"/>
  <c r="L2020" i="6"/>
  <c r="L1694" i="6" s="1"/>
  <c r="AJ264" i="15" s="1"/>
  <c r="L2018" i="6"/>
  <c r="L2016" i="6"/>
  <c r="L2014" i="6"/>
  <c r="L1682" i="6" s="1"/>
  <c r="AJ259" i="15" s="1"/>
  <c r="L2012" i="6"/>
  <c r="L2010" i="6"/>
  <c r="L1674" i="6" s="1"/>
  <c r="AJ256" i="15" s="1"/>
  <c r="L2008" i="6"/>
  <c r="L2006" i="6"/>
  <c r="L2004" i="6"/>
  <c r="L1662" i="6" s="1"/>
  <c r="AJ250" i="15" s="1"/>
  <c r="L2002" i="6"/>
  <c r="L2000" i="6"/>
  <c r="L1998" i="6"/>
  <c r="L1650" i="6" s="1"/>
  <c r="AJ244" i="15" s="1"/>
  <c r="L1996" i="6"/>
  <c r="L1994" i="6"/>
  <c r="L1642" i="6" s="1"/>
  <c r="L1992" i="6"/>
  <c r="L1988" i="6"/>
  <c r="L1630" i="6" s="1"/>
  <c r="AJ236" i="15" s="1"/>
  <c r="L1984" i="6"/>
  <c r="L1982" i="6"/>
  <c r="L1618" i="6" s="1"/>
  <c r="AJ232" i="15" s="1"/>
  <c r="L1980" i="6"/>
  <c r="L1978" i="6"/>
  <c r="L1974" i="6"/>
  <c r="L1972" i="6"/>
  <c r="L1598" i="6" s="1"/>
  <c r="AJ224" i="15" s="1"/>
  <c r="L1966" i="6"/>
  <c r="L1586" i="6" s="1"/>
  <c r="AJ220" i="15" s="1"/>
  <c r="L1962" i="6"/>
  <c r="L1958" i="6"/>
  <c r="L1566" i="6" s="1"/>
  <c r="AJ214" i="15" s="1"/>
  <c r="L1957" i="6"/>
  <c r="L1955" i="6"/>
  <c r="L1953" i="6"/>
  <c r="L1951" i="6"/>
  <c r="L1556" i="6" s="1"/>
  <c r="AJ211" i="15" s="1"/>
  <c r="L1949" i="6"/>
  <c r="L1948" i="6"/>
  <c r="L1947" i="6"/>
  <c r="L1548" i="6" s="1"/>
  <c r="AJ208" i="15" s="1"/>
  <c r="L1946" i="6"/>
  <c r="L1546" i="6" s="1"/>
  <c r="L1944" i="6"/>
  <c r="L1942" i="6"/>
  <c r="L1538" i="6" s="1"/>
  <c r="AJ205" i="15" s="1"/>
  <c r="K1919" i="6"/>
  <c r="BE1919" i="6" s="1"/>
  <c r="J1919" i="6"/>
  <c r="J1918" i="6"/>
  <c r="K1917" i="6"/>
  <c r="BE1917" i="6" s="1"/>
  <c r="J1917" i="6"/>
  <c r="J1916" i="6"/>
  <c r="K1915" i="6"/>
  <c r="BE1915" i="6" s="1"/>
  <c r="J1915" i="6"/>
  <c r="J1914" i="6"/>
  <c r="K1913" i="6"/>
  <c r="BE1913" i="6" s="1"/>
  <c r="J1913" i="6"/>
  <c r="J1912" i="6"/>
  <c r="K1911" i="6"/>
  <c r="BE1911" i="6" s="1"/>
  <c r="J1911" i="6"/>
  <c r="J1910" i="6"/>
  <c r="K1909" i="6"/>
  <c r="BE1909" i="6" s="1"/>
  <c r="J1909" i="6"/>
  <c r="J1908" i="6"/>
  <c r="K1907" i="6"/>
  <c r="BE1907" i="6" s="1"/>
  <c r="J1907" i="6"/>
  <c r="J1906" i="6"/>
  <c r="K1905" i="6"/>
  <c r="BE1905" i="6" s="1"/>
  <c r="J1905" i="6"/>
  <c r="J1904" i="6"/>
  <c r="K1903" i="6"/>
  <c r="BE1903" i="6" s="1"/>
  <c r="J1903" i="6"/>
  <c r="K1902" i="6"/>
  <c r="BE1902" i="6" s="1"/>
  <c r="J1902" i="6"/>
  <c r="K1901" i="6"/>
  <c r="BE1901" i="6" s="1"/>
  <c r="J1901" i="6"/>
  <c r="J1900" i="6"/>
  <c r="K1899" i="6"/>
  <c r="BE1899" i="6" s="1"/>
  <c r="J1899" i="6"/>
  <c r="K1898" i="6"/>
  <c r="BE1898" i="6" s="1"/>
  <c r="J1898" i="6"/>
  <c r="K1897" i="6"/>
  <c r="BE1897" i="6" s="1"/>
  <c r="J1897" i="6"/>
  <c r="J1896" i="6"/>
  <c r="K1895" i="6"/>
  <c r="BE1895" i="6" s="1"/>
  <c r="J1895" i="6"/>
  <c r="BC1895" i="6" s="1"/>
  <c r="K1894" i="6"/>
  <c r="BE1894" i="6" s="1"/>
  <c r="J1894" i="6"/>
  <c r="BC1894" i="6" s="1"/>
  <c r="K1893" i="6"/>
  <c r="BE1893" i="6" s="1"/>
  <c r="J1893" i="6"/>
  <c r="BC1893" i="6" s="1"/>
  <c r="J1892" i="6"/>
  <c r="BC1892" i="6" s="1"/>
  <c r="K1891" i="6"/>
  <c r="BE1891" i="6" s="1"/>
  <c r="J1891" i="6"/>
  <c r="BC1891" i="6" s="1"/>
  <c r="J1890" i="6"/>
  <c r="K1889" i="6"/>
  <c r="BE1889" i="6" s="1"/>
  <c r="J1889" i="6"/>
  <c r="BC1889" i="6" s="1"/>
  <c r="J1888" i="6"/>
  <c r="K1887" i="6"/>
  <c r="BE1887" i="6" s="1"/>
  <c r="J1887" i="6"/>
  <c r="J1886" i="6"/>
  <c r="K1885" i="6"/>
  <c r="BE1885" i="6" s="1"/>
  <c r="J1885" i="6"/>
  <c r="BC1885" i="6" s="1"/>
  <c r="J1884" i="6"/>
  <c r="BC1884" i="6" s="1"/>
  <c r="K1883" i="6"/>
  <c r="BE1883" i="6" s="1"/>
  <c r="J1883" i="6"/>
  <c r="BC1883" i="6" s="1"/>
  <c r="J1882" i="6"/>
  <c r="BC1882" i="6" s="1"/>
  <c r="K1881" i="6"/>
  <c r="BE1881" i="6" s="1"/>
  <c r="J1881" i="6"/>
  <c r="BC1881" i="6" s="1"/>
  <c r="K1880" i="6"/>
  <c r="BE1880" i="6" s="1"/>
  <c r="J1880" i="6"/>
  <c r="BC1880" i="6" s="1"/>
  <c r="K1879" i="6"/>
  <c r="BE1879" i="6" s="1"/>
  <c r="J1879" i="6"/>
  <c r="BC1879" i="6" s="1"/>
  <c r="J1878" i="6"/>
  <c r="BC1878" i="6" s="1"/>
  <c r="K1877" i="6"/>
  <c r="BE1877" i="6" s="1"/>
  <c r="J1877" i="6"/>
  <c r="K1876" i="6"/>
  <c r="BE1876" i="6" s="1"/>
  <c r="J1876" i="6"/>
  <c r="K1875" i="6"/>
  <c r="BE1875" i="6" s="1"/>
  <c r="J1875" i="6"/>
  <c r="J1874" i="6"/>
  <c r="K1873" i="6"/>
  <c r="BE1873" i="6" s="1"/>
  <c r="J1873" i="6"/>
  <c r="BC1873" i="6" s="1"/>
  <c r="K1872" i="6"/>
  <c r="BE1872" i="6" s="1"/>
  <c r="J1872" i="6"/>
  <c r="BC1872" i="6" s="1"/>
  <c r="K1871" i="6"/>
  <c r="BE1871" i="6" s="1"/>
  <c r="J1871" i="6"/>
  <c r="BC1871" i="6" s="1"/>
  <c r="J1870" i="6"/>
  <c r="BC1870" i="6" s="1"/>
  <c r="K1869" i="6"/>
  <c r="BE1869" i="6" s="1"/>
  <c r="J1869" i="6"/>
  <c r="BC1869" i="6" s="1"/>
  <c r="K1868" i="6"/>
  <c r="BE1868" i="6" s="1"/>
  <c r="J1868" i="6"/>
  <c r="K1867" i="6"/>
  <c r="BE1867" i="6" s="1"/>
  <c r="J1867" i="6"/>
  <c r="BC1867" i="6" s="1"/>
  <c r="J1866" i="6"/>
  <c r="K1865" i="6"/>
  <c r="BE1865" i="6" s="1"/>
  <c r="J1865" i="6"/>
  <c r="BC1865" i="6" s="1"/>
  <c r="K1864" i="6"/>
  <c r="BE1864" i="6" s="1"/>
  <c r="J1864" i="6"/>
  <c r="K1863" i="6"/>
  <c r="BE1863" i="6" s="1"/>
  <c r="J1863" i="6"/>
  <c r="BC1863" i="6" s="1"/>
  <c r="J1862" i="6"/>
  <c r="K1861" i="6"/>
  <c r="BE1861" i="6" s="1"/>
  <c r="J1861" i="6"/>
  <c r="K1860" i="6"/>
  <c r="BE1860" i="6" s="1"/>
  <c r="J1860" i="6"/>
  <c r="K1859" i="6"/>
  <c r="BE1859" i="6" s="1"/>
  <c r="J1859" i="6"/>
  <c r="J1858" i="6"/>
  <c r="K1857" i="6"/>
  <c r="BE1857" i="6" s="1"/>
  <c r="J1857" i="6"/>
  <c r="BC1857" i="6" s="1"/>
  <c r="K1856" i="6"/>
  <c r="BE1856" i="6" s="1"/>
  <c r="J1856" i="6"/>
  <c r="BC1856" i="6" s="1"/>
  <c r="K1855" i="6"/>
  <c r="BE1855" i="6" s="1"/>
  <c r="J1855" i="6"/>
  <c r="BC1855" i="6" s="1"/>
  <c r="J1854" i="6"/>
  <c r="BC1854" i="6" s="1"/>
  <c r="K1853" i="6"/>
  <c r="BE1853" i="6" s="1"/>
  <c r="J1853" i="6"/>
  <c r="BC1853" i="6" s="1"/>
  <c r="J1852" i="6"/>
  <c r="BC1852" i="6" s="1"/>
  <c r="K1851" i="6"/>
  <c r="BE1851" i="6" s="1"/>
  <c r="J1851" i="6"/>
  <c r="BC1851" i="6" s="1"/>
  <c r="K1850" i="6"/>
  <c r="BE1850" i="6" s="1"/>
  <c r="J1850" i="6"/>
  <c r="BC1850" i="6" s="1"/>
  <c r="K1849" i="6"/>
  <c r="BE1849" i="6" s="1"/>
  <c r="J1849" i="6"/>
  <c r="BC1849" i="6" s="1"/>
  <c r="J1848" i="6"/>
  <c r="BC1848" i="6" s="1"/>
  <c r="K1847" i="6"/>
  <c r="BE1847" i="6" s="1"/>
  <c r="J1847" i="6"/>
  <c r="K1846" i="6"/>
  <c r="BE1846" i="6" s="1"/>
  <c r="J1846" i="6"/>
  <c r="K1845" i="6"/>
  <c r="BE1845" i="6" s="1"/>
  <c r="J1845" i="6"/>
  <c r="J1844" i="6"/>
  <c r="K1843" i="6"/>
  <c r="BE1843" i="6" s="1"/>
  <c r="J1843" i="6"/>
  <c r="BC1843" i="6" s="1"/>
  <c r="K1842" i="6"/>
  <c r="BE1842" i="6" s="1"/>
  <c r="J1842" i="6"/>
  <c r="BC1842" i="6" s="1"/>
  <c r="K1841" i="6"/>
  <c r="BE1841" i="6" s="1"/>
  <c r="J1841" i="6"/>
  <c r="BC1841" i="6" s="1"/>
  <c r="J1840" i="6"/>
  <c r="BC1840" i="6" s="1"/>
  <c r="K1839" i="6"/>
  <c r="BE1839" i="6" s="1"/>
  <c r="J1839" i="6"/>
  <c r="BC1839" i="6" s="1"/>
  <c r="K1838" i="6"/>
  <c r="BE1838" i="6" s="1"/>
  <c r="J1838" i="6"/>
  <c r="K1837" i="6"/>
  <c r="BE1837" i="6" s="1"/>
  <c r="J1837" i="6"/>
  <c r="BC1837" i="6" s="1"/>
  <c r="J1836" i="6"/>
  <c r="K1835" i="6"/>
  <c r="BE1835" i="6" s="1"/>
  <c r="J1835" i="6"/>
  <c r="BC1835" i="6" s="1"/>
  <c r="K1834" i="6"/>
  <c r="BE1834" i="6" s="1"/>
  <c r="J1834" i="6"/>
  <c r="K1833" i="6"/>
  <c r="BE1833" i="6" s="1"/>
  <c r="J1833" i="6"/>
  <c r="BC1833" i="6" s="1"/>
  <c r="J1832" i="6"/>
  <c r="K1831" i="6"/>
  <c r="BE1831" i="6" s="1"/>
  <c r="J1831" i="6"/>
  <c r="K1830" i="6"/>
  <c r="BE1830" i="6" s="1"/>
  <c r="J1830" i="6"/>
  <c r="K1829" i="6"/>
  <c r="BE1829" i="6" s="1"/>
  <c r="J1829" i="6"/>
  <c r="J1828" i="6"/>
  <c r="K1827" i="6"/>
  <c r="BE1827" i="6" s="1"/>
  <c r="J1827" i="6"/>
  <c r="BC1827" i="6" s="1"/>
  <c r="K1826" i="6"/>
  <c r="BE1826" i="6" s="1"/>
  <c r="J1826" i="6"/>
  <c r="BC1826" i="6" s="1"/>
  <c r="K1825" i="6"/>
  <c r="BE1825" i="6" s="1"/>
  <c r="J1825" i="6"/>
  <c r="BC1825" i="6" s="1"/>
  <c r="J1824" i="6"/>
  <c r="BC1824" i="6" s="1"/>
  <c r="K1823" i="6"/>
  <c r="BE1823" i="6" s="1"/>
  <c r="J1823" i="6"/>
  <c r="BC1823" i="6" s="1"/>
  <c r="K1822" i="6"/>
  <c r="BE1822" i="6" s="1"/>
  <c r="J1822" i="6"/>
  <c r="K1821" i="6"/>
  <c r="BE1821" i="6" s="1"/>
  <c r="J1821" i="6"/>
  <c r="BC1821" i="6" s="1"/>
  <c r="J1820" i="6"/>
  <c r="K1819" i="6"/>
  <c r="BE1819" i="6" s="1"/>
  <c r="J1819" i="6"/>
  <c r="BC1819" i="6" s="1"/>
  <c r="K1818" i="6"/>
  <c r="BE1818" i="6" s="1"/>
  <c r="J1818" i="6"/>
  <c r="BC1818" i="6" s="1"/>
  <c r="K1817" i="6"/>
  <c r="BE1817" i="6" s="1"/>
  <c r="J1817" i="6"/>
  <c r="BC1817" i="6" s="1"/>
  <c r="J1816" i="6"/>
  <c r="BC1816" i="6" s="1"/>
  <c r="K1815" i="6"/>
  <c r="BE1815" i="6" s="1"/>
  <c r="J1815" i="6"/>
  <c r="K1814" i="6"/>
  <c r="BE1814" i="6" s="1"/>
  <c r="J1814" i="6"/>
  <c r="K1813" i="6"/>
  <c r="BE1813" i="6" s="1"/>
  <c r="J1813" i="6"/>
  <c r="J1812" i="6"/>
  <c r="K1811" i="6"/>
  <c r="BE1811" i="6" s="1"/>
  <c r="J1811" i="6"/>
  <c r="BC1811" i="6" s="1"/>
  <c r="K1810" i="6"/>
  <c r="BE1810" i="6" s="1"/>
  <c r="J1810" i="6"/>
  <c r="BC1810" i="6" s="1"/>
  <c r="K1809" i="6"/>
  <c r="BE1809" i="6" s="1"/>
  <c r="J1809" i="6"/>
  <c r="BC1809" i="6" s="1"/>
  <c r="J1808" i="6"/>
  <c r="BC1808" i="6" s="1"/>
  <c r="K1807" i="6"/>
  <c r="BE1807" i="6" s="1"/>
  <c r="J1807" i="6"/>
  <c r="BC1807" i="6" s="1"/>
  <c r="K1806" i="6"/>
  <c r="BE1806" i="6" s="1"/>
  <c r="J1806" i="6"/>
  <c r="K1805" i="6"/>
  <c r="BE1805" i="6" s="1"/>
  <c r="J1805" i="6"/>
  <c r="BC1805" i="6" s="1"/>
  <c r="J1804" i="6"/>
  <c r="K1803" i="6"/>
  <c r="BE1803" i="6" s="1"/>
  <c r="J1803" i="6"/>
  <c r="BC1803" i="6" s="1"/>
  <c r="K1802" i="6"/>
  <c r="BE1802" i="6" s="1"/>
  <c r="J1802" i="6"/>
  <c r="K1801" i="6"/>
  <c r="BE1801" i="6" s="1"/>
  <c r="J1801" i="6"/>
  <c r="BC1801" i="6" s="1"/>
  <c r="J1800" i="6"/>
  <c r="K1799" i="6"/>
  <c r="BE1799" i="6" s="1"/>
  <c r="J1799" i="6"/>
  <c r="K1798" i="6"/>
  <c r="BE1798" i="6" s="1"/>
  <c r="J1798" i="6"/>
  <c r="K1797" i="6"/>
  <c r="BE1797" i="6" s="1"/>
  <c r="J1797" i="6"/>
  <c r="J1796" i="6"/>
  <c r="K1795" i="6"/>
  <c r="BE1795" i="6" s="1"/>
  <c r="J1795" i="6"/>
  <c r="BC1795" i="6" s="1"/>
  <c r="K1794" i="6"/>
  <c r="BE1794" i="6" s="1"/>
  <c r="J1794" i="6"/>
  <c r="BC1794" i="6" s="1"/>
  <c r="K1793" i="6"/>
  <c r="BE1793" i="6" s="1"/>
  <c r="J1793" i="6"/>
  <c r="BC1793" i="6" s="1"/>
  <c r="J1792" i="6"/>
  <c r="BC1792" i="6" s="1"/>
  <c r="K1791" i="6"/>
  <c r="BE1791" i="6" s="1"/>
  <c r="J1791" i="6"/>
  <c r="BC1791" i="6" s="1"/>
  <c r="K1790" i="6"/>
  <c r="BE1790" i="6" s="1"/>
  <c r="J1790" i="6"/>
  <c r="K1789" i="6"/>
  <c r="BE1789" i="6" s="1"/>
  <c r="J1789" i="6"/>
  <c r="BC1789" i="6" s="1"/>
  <c r="J1788" i="6"/>
  <c r="K1787" i="6"/>
  <c r="BE1787" i="6" s="1"/>
  <c r="J1787" i="6"/>
  <c r="BC1787" i="6" s="1"/>
  <c r="K1786" i="6"/>
  <c r="BE1786" i="6" s="1"/>
  <c r="J1786" i="6"/>
  <c r="BC1786" i="6" s="1"/>
  <c r="K1785" i="6"/>
  <c r="BE1785" i="6" s="1"/>
  <c r="J1785" i="6"/>
  <c r="BC1785" i="6" s="1"/>
  <c r="J1784" i="6"/>
  <c r="BC1784" i="6" s="1"/>
  <c r="K1783" i="6"/>
  <c r="BE1783" i="6" s="1"/>
  <c r="J1783" i="6"/>
  <c r="K1782" i="6"/>
  <c r="BE1782" i="6" s="1"/>
  <c r="J1782" i="6"/>
  <c r="K1781" i="6"/>
  <c r="BE1781" i="6" s="1"/>
  <c r="J1781" i="6"/>
  <c r="J1780" i="6"/>
  <c r="K1779" i="6"/>
  <c r="BE1779" i="6" s="1"/>
  <c r="J1779" i="6"/>
  <c r="BC1779" i="6" s="1"/>
  <c r="K1778" i="6"/>
  <c r="BE1778" i="6" s="1"/>
  <c r="J1778" i="6"/>
  <c r="BC1778" i="6" s="1"/>
  <c r="K1777" i="6"/>
  <c r="BE1777" i="6" s="1"/>
  <c r="J1777" i="6"/>
  <c r="BC1777" i="6" s="1"/>
  <c r="J1776" i="6"/>
  <c r="BC1776" i="6" s="1"/>
  <c r="K1775" i="6"/>
  <c r="BE1775" i="6" s="1"/>
  <c r="J1775" i="6"/>
  <c r="BC1775" i="6" s="1"/>
  <c r="K1774" i="6"/>
  <c r="BE1774" i="6" s="1"/>
  <c r="J1774" i="6"/>
  <c r="K1773" i="6"/>
  <c r="BE1773" i="6" s="1"/>
  <c r="J1773" i="6"/>
  <c r="BC1773" i="6" s="1"/>
  <c r="J1772" i="6"/>
  <c r="K1771" i="6"/>
  <c r="BE1771" i="6" s="1"/>
  <c r="J1771" i="6"/>
  <c r="BC1771" i="6" s="1"/>
  <c r="K1770" i="6"/>
  <c r="BE1770" i="6" s="1"/>
  <c r="J1770" i="6"/>
  <c r="K1769" i="6"/>
  <c r="BE1769" i="6" s="1"/>
  <c r="J1769" i="6"/>
  <c r="BC1769" i="6" s="1"/>
  <c r="J1768" i="6"/>
  <c r="K1767" i="6"/>
  <c r="BE1767" i="6" s="1"/>
  <c r="J1767" i="6"/>
  <c r="K1766" i="6"/>
  <c r="BE1766" i="6" s="1"/>
  <c r="J1766" i="6"/>
  <c r="K1765" i="6"/>
  <c r="BE1765" i="6" s="1"/>
  <c r="J1765" i="6"/>
  <c r="J1764" i="6"/>
  <c r="K1763" i="6"/>
  <c r="BE1763" i="6" s="1"/>
  <c r="J1763" i="6"/>
  <c r="BC1763" i="6" s="1"/>
  <c r="K1762" i="6"/>
  <c r="BE1762" i="6" s="1"/>
  <c r="J1762" i="6"/>
  <c r="BC1762" i="6" s="1"/>
  <c r="K1761" i="6"/>
  <c r="BE1761" i="6" s="1"/>
  <c r="J1761" i="6"/>
  <c r="BC1761" i="6" s="1"/>
  <c r="J1760" i="6"/>
  <c r="BC1760" i="6" s="1"/>
  <c r="K1759" i="6"/>
  <c r="BE1759" i="6" s="1"/>
  <c r="J1759" i="6"/>
  <c r="BC1759" i="6" s="1"/>
  <c r="K1758" i="6"/>
  <c r="BE1758" i="6" s="1"/>
  <c r="J1758" i="6"/>
  <c r="K1757" i="6"/>
  <c r="BE1757" i="6" s="1"/>
  <c r="J1757" i="6"/>
  <c r="BC1757" i="6" s="1"/>
  <c r="J1756" i="6"/>
  <c r="K1755" i="6"/>
  <c r="BE1755" i="6" s="1"/>
  <c r="J1755" i="6"/>
  <c r="BC1755" i="6" s="1"/>
  <c r="K1754" i="6"/>
  <c r="BE1754" i="6" s="1"/>
  <c r="J1754" i="6"/>
  <c r="BC1754" i="6" s="1"/>
  <c r="K1753" i="6"/>
  <c r="BE1753" i="6" s="1"/>
  <c r="J1753" i="6"/>
  <c r="BC1753" i="6" s="1"/>
  <c r="J1752" i="6"/>
  <c r="BC1752" i="6" s="1"/>
  <c r="K1751" i="6"/>
  <c r="BE1751" i="6" s="1"/>
  <c r="J1751" i="6"/>
  <c r="BC1751" i="6" s="1"/>
  <c r="J1750" i="6"/>
  <c r="BC1750" i="6" s="1"/>
  <c r="K1749" i="6"/>
  <c r="BE1749" i="6" s="1"/>
  <c r="J1749" i="6"/>
  <c r="BC1749" i="6" s="1"/>
  <c r="K1748" i="6"/>
  <c r="BE1748" i="6" s="1"/>
  <c r="J1748" i="6"/>
  <c r="BC1748" i="6" s="1"/>
  <c r="K1747" i="6"/>
  <c r="BE1747" i="6" s="1"/>
  <c r="J1747" i="6"/>
  <c r="BC1747" i="6" s="1"/>
  <c r="J1746" i="6"/>
  <c r="BC1746" i="6" s="1"/>
  <c r="K1745" i="6"/>
  <c r="BE1745" i="6" s="1"/>
  <c r="J1745" i="6"/>
  <c r="BC1745" i="6" s="1"/>
  <c r="J1744" i="6"/>
  <c r="BC1744" i="6" s="1"/>
  <c r="K1743" i="6"/>
  <c r="BE1743" i="6" s="1"/>
  <c r="J1743" i="6"/>
  <c r="BC1743" i="6" s="1"/>
  <c r="K1742" i="6"/>
  <c r="BE1742" i="6" s="1"/>
  <c r="J1742" i="6"/>
  <c r="BC1742" i="6" s="1"/>
  <c r="K1741" i="6"/>
  <c r="BE1741" i="6" s="1"/>
  <c r="J1741" i="6"/>
  <c r="BC1741" i="6" s="1"/>
  <c r="J1740" i="6"/>
  <c r="BC1740" i="6" s="1"/>
  <c r="K1739" i="6"/>
  <c r="BE1739" i="6" s="1"/>
  <c r="J1739" i="6"/>
  <c r="BC1739" i="6" s="1"/>
  <c r="J1738" i="6"/>
  <c r="BC1738" i="6" s="1"/>
  <c r="K1737" i="6"/>
  <c r="BE1737" i="6" s="1"/>
  <c r="J1737" i="6"/>
  <c r="BC1737" i="6" s="1"/>
  <c r="K1736" i="6"/>
  <c r="BE1736" i="6" s="1"/>
  <c r="J1736" i="6"/>
  <c r="BC1736" i="6" s="1"/>
  <c r="K1735" i="6"/>
  <c r="BE1735" i="6" s="1"/>
  <c r="J1735" i="6"/>
  <c r="BC1735" i="6" s="1"/>
  <c r="J1734" i="6"/>
  <c r="BC1734" i="6" s="1"/>
  <c r="K1733" i="6"/>
  <c r="BE1733" i="6" s="1"/>
  <c r="J1733" i="6"/>
  <c r="BC1733" i="6" s="1"/>
  <c r="J1732" i="6"/>
  <c r="K1731" i="6"/>
  <c r="BE1731" i="6" s="1"/>
  <c r="J1731" i="6"/>
  <c r="BC1731" i="6" s="1"/>
  <c r="J1730" i="6"/>
  <c r="K1729" i="6"/>
  <c r="BE1729" i="6" s="1"/>
  <c r="J1729" i="6"/>
  <c r="BC1729" i="6" s="1"/>
  <c r="J1728" i="6"/>
  <c r="BC1728" i="6" s="1"/>
  <c r="K1727" i="6"/>
  <c r="BE1727" i="6" s="1"/>
  <c r="J1727" i="6"/>
  <c r="BC1727" i="6" s="1"/>
  <c r="BC1726" i="6"/>
  <c r="K1723" i="6"/>
  <c r="BE1723" i="6" s="1"/>
  <c r="J1723" i="6"/>
  <c r="BC1723" i="6" s="1"/>
  <c r="J1722" i="6"/>
  <c r="BC1722" i="6" s="1"/>
  <c r="K1721" i="6"/>
  <c r="BE1721" i="6" s="1"/>
  <c r="J1721" i="6"/>
  <c r="BC1721" i="6" s="1"/>
  <c r="K1720" i="6"/>
  <c r="BE1720" i="6" s="1"/>
  <c r="J1720" i="6"/>
  <c r="K1719" i="6"/>
  <c r="BE1719" i="6" s="1"/>
  <c r="J1719" i="6"/>
  <c r="BC1719" i="6" s="1"/>
  <c r="J1718" i="6"/>
  <c r="K1717" i="6"/>
  <c r="BE1717" i="6" s="1"/>
  <c r="J1717" i="6"/>
  <c r="BC1717" i="6" s="1"/>
  <c r="K1716" i="6"/>
  <c r="BE1716" i="6" s="1"/>
  <c r="J1716" i="6"/>
  <c r="K1715" i="6"/>
  <c r="BE1715" i="6" s="1"/>
  <c r="J1715" i="6"/>
  <c r="BC1715" i="6" s="1"/>
  <c r="J1714" i="6"/>
  <c r="K1713" i="6"/>
  <c r="BE1713" i="6" s="1"/>
  <c r="J1713" i="6"/>
  <c r="K1712" i="6"/>
  <c r="BE1712" i="6" s="1"/>
  <c r="J1712" i="6"/>
  <c r="K1711" i="6"/>
  <c r="BE1711" i="6" s="1"/>
  <c r="J1711" i="6"/>
  <c r="J1710" i="6"/>
  <c r="K1709" i="6"/>
  <c r="BE1709" i="6" s="1"/>
  <c r="J1709" i="6"/>
  <c r="BC1709" i="6" s="1"/>
  <c r="K1708" i="6"/>
  <c r="BE1708" i="6" s="1"/>
  <c r="J1708" i="6"/>
  <c r="BC1708" i="6" s="1"/>
  <c r="K1707" i="6"/>
  <c r="BE1707" i="6" s="1"/>
  <c r="J1707" i="6"/>
  <c r="BC1707" i="6" s="1"/>
  <c r="J1706" i="6"/>
  <c r="BC1706" i="6" s="1"/>
  <c r="K1705" i="6"/>
  <c r="BE1705" i="6" s="1"/>
  <c r="J1705" i="6"/>
  <c r="BC1705" i="6" s="1"/>
  <c r="K1704" i="6"/>
  <c r="BE1704" i="6" s="1"/>
  <c r="J1704" i="6"/>
  <c r="K1703" i="6"/>
  <c r="BE1703" i="6" s="1"/>
  <c r="J1703" i="6"/>
  <c r="BC1703" i="6" s="1"/>
  <c r="J1702" i="6"/>
  <c r="K1701" i="6"/>
  <c r="BE1701" i="6" s="1"/>
  <c r="J1701" i="6"/>
  <c r="BC1701" i="6" s="1"/>
  <c r="K1700" i="6"/>
  <c r="BE1700" i="6" s="1"/>
  <c r="J1700" i="6"/>
  <c r="BC1700" i="6" s="1"/>
  <c r="K1699" i="6"/>
  <c r="BE1699" i="6" s="1"/>
  <c r="J1699" i="6"/>
  <c r="BC1699" i="6" s="1"/>
  <c r="J1698" i="6"/>
  <c r="BC1698" i="6" s="1"/>
  <c r="K1697" i="6"/>
  <c r="BE1697" i="6" s="1"/>
  <c r="J1697" i="6"/>
  <c r="BC1697" i="6" s="1"/>
  <c r="J1696" i="6"/>
  <c r="K1695" i="6"/>
  <c r="BE1695" i="6" s="1"/>
  <c r="J1695" i="6"/>
  <c r="BC1695" i="6" s="1"/>
  <c r="J1694" i="6"/>
  <c r="K1693" i="6"/>
  <c r="BE1693" i="6" s="1"/>
  <c r="J1693" i="6"/>
  <c r="J1692" i="6"/>
  <c r="K1691" i="6"/>
  <c r="BE1691" i="6" s="1"/>
  <c r="J1691" i="6"/>
  <c r="BC1691" i="6" s="1"/>
  <c r="J1690" i="6"/>
  <c r="BC1690" i="6" s="1"/>
  <c r="K1687" i="6"/>
  <c r="BE1687" i="6" s="1"/>
  <c r="J1687" i="6"/>
  <c r="BC1687" i="6" s="1"/>
  <c r="J1686" i="6"/>
  <c r="BC1686" i="6" s="1"/>
  <c r="K1685" i="6"/>
  <c r="BE1685" i="6" s="1"/>
  <c r="J1685" i="6"/>
  <c r="BC1685" i="6" s="1"/>
  <c r="K1684" i="6"/>
  <c r="BE1684" i="6" s="1"/>
  <c r="J1684" i="6"/>
  <c r="K1683" i="6"/>
  <c r="BE1683" i="6" s="1"/>
  <c r="J1683" i="6"/>
  <c r="BC1683" i="6" s="1"/>
  <c r="J1682" i="6"/>
  <c r="K1681" i="6"/>
  <c r="BE1681" i="6" s="1"/>
  <c r="J1681" i="6"/>
  <c r="BC1681" i="6" s="1"/>
  <c r="K1680" i="6"/>
  <c r="BE1680" i="6" s="1"/>
  <c r="J1680" i="6"/>
  <c r="BC1680" i="6" s="1"/>
  <c r="K1679" i="6"/>
  <c r="BE1679" i="6" s="1"/>
  <c r="J1679" i="6"/>
  <c r="BC1679" i="6" s="1"/>
  <c r="J1678" i="6"/>
  <c r="BC1678" i="6" s="1"/>
  <c r="K1677" i="6"/>
  <c r="BE1677" i="6" s="1"/>
  <c r="J1677" i="6"/>
  <c r="BC1677" i="6" s="1"/>
  <c r="J1676" i="6"/>
  <c r="K1675" i="6"/>
  <c r="BE1675" i="6" s="1"/>
  <c r="J1675" i="6"/>
  <c r="BC1675" i="6" s="1"/>
  <c r="J1674" i="6"/>
  <c r="K1673" i="6"/>
  <c r="BE1673" i="6" s="1"/>
  <c r="J1673" i="6"/>
  <c r="J1672" i="6"/>
  <c r="K1671" i="6"/>
  <c r="BE1671" i="6" s="1"/>
  <c r="J1671" i="6"/>
  <c r="BC1671" i="6" s="1"/>
  <c r="J1670" i="6"/>
  <c r="BC1670" i="6" s="1"/>
  <c r="K1667" i="6"/>
  <c r="BE1667" i="6" s="1"/>
  <c r="J1667" i="6"/>
  <c r="BC1667" i="6" s="1"/>
  <c r="J1666" i="6"/>
  <c r="BC1666" i="6" s="1"/>
  <c r="K1665" i="6"/>
  <c r="BE1665" i="6" s="1"/>
  <c r="J1665" i="6"/>
  <c r="BC1665" i="6" s="1"/>
  <c r="J1664" i="6"/>
  <c r="K1663" i="6"/>
  <c r="BE1663" i="6" s="1"/>
  <c r="J1663" i="6"/>
  <c r="BC1663" i="6" s="1"/>
  <c r="J1662" i="6"/>
  <c r="K1661" i="6"/>
  <c r="BE1661" i="6" s="1"/>
  <c r="J1661" i="6"/>
  <c r="J1660" i="6"/>
  <c r="K1659" i="6"/>
  <c r="BE1659" i="6" s="1"/>
  <c r="J1659" i="6"/>
  <c r="BC1659" i="6" s="1"/>
  <c r="J1658" i="6"/>
  <c r="BC1658" i="6" s="1"/>
  <c r="K1655" i="6"/>
  <c r="BE1655" i="6" s="1"/>
  <c r="J1655" i="6"/>
  <c r="BC1655" i="6" s="1"/>
  <c r="J1654" i="6"/>
  <c r="BC1654" i="6" s="1"/>
  <c r="K1653" i="6"/>
  <c r="BE1653" i="6" s="1"/>
  <c r="J1653" i="6"/>
  <c r="BC1653" i="6" s="1"/>
  <c r="K1652" i="6"/>
  <c r="J1652" i="6"/>
  <c r="K1651" i="6"/>
  <c r="BE1651" i="6" s="1"/>
  <c r="J1651" i="6"/>
  <c r="BC1651" i="6" s="1"/>
  <c r="K1650" i="6"/>
  <c r="J1650" i="6"/>
  <c r="K1649" i="6"/>
  <c r="BE1649" i="6" s="1"/>
  <c r="J1649" i="6"/>
  <c r="K1648" i="6"/>
  <c r="BE1648" i="6" s="1"/>
  <c r="J1648" i="6"/>
  <c r="K1647" i="6"/>
  <c r="BE1647" i="6" s="1"/>
  <c r="J1647" i="6"/>
  <c r="BC1647" i="6" s="1"/>
  <c r="J1646" i="6"/>
  <c r="BC1646" i="6" s="1"/>
  <c r="K1643" i="6"/>
  <c r="BE1643" i="6" s="1"/>
  <c r="J1643" i="6"/>
  <c r="BC1643" i="6" s="1"/>
  <c r="J1642" i="6"/>
  <c r="BC1642" i="6" s="1"/>
  <c r="K1641" i="6"/>
  <c r="BE1641" i="6" s="1"/>
  <c r="J1641" i="6"/>
  <c r="K1640" i="6"/>
  <c r="BE1640" i="6" s="1"/>
  <c r="J1640" i="6"/>
  <c r="K1639" i="6"/>
  <c r="BE1639" i="6" s="1"/>
  <c r="J1639" i="6"/>
  <c r="BC1639" i="6" s="1"/>
  <c r="J1638" i="6"/>
  <c r="BC1638" i="6" s="1"/>
  <c r="K1637" i="6"/>
  <c r="BE1637" i="6" s="1"/>
  <c r="J1637" i="6"/>
  <c r="BC1637" i="6" s="1"/>
  <c r="K1636" i="6"/>
  <c r="BE1636" i="6" s="1"/>
  <c r="J1636" i="6"/>
  <c r="K1635" i="6"/>
  <c r="BE1635" i="6" s="1"/>
  <c r="J1635" i="6"/>
  <c r="BC1635" i="6" s="1"/>
  <c r="J1634" i="6"/>
  <c r="K1633" i="6"/>
  <c r="BE1633" i="6" s="1"/>
  <c r="J1633" i="6"/>
  <c r="BC1633" i="6" s="1"/>
  <c r="K1632" i="6"/>
  <c r="BE1632" i="6" s="1"/>
  <c r="J1632" i="6"/>
  <c r="K1631" i="6"/>
  <c r="BE1631" i="6" s="1"/>
  <c r="J1631" i="6"/>
  <c r="BC1631" i="6" s="1"/>
  <c r="J1630" i="6"/>
  <c r="K1629" i="6"/>
  <c r="BE1629" i="6" s="1"/>
  <c r="J1629" i="6"/>
  <c r="K1628" i="6"/>
  <c r="BE1628" i="6" s="1"/>
  <c r="J1628" i="6"/>
  <c r="K1627" i="6"/>
  <c r="BE1627" i="6" s="1"/>
  <c r="J1627" i="6"/>
  <c r="J1626" i="6"/>
  <c r="K1625" i="6"/>
  <c r="BE1625" i="6" s="1"/>
  <c r="J1625" i="6"/>
  <c r="BC1625" i="6" s="1"/>
  <c r="K1624" i="6"/>
  <c r="BE1624" i="6" s="1"/>
  <c r="J1624" i="6"/>
  <c r="BC1624" i="6" s="1"/>
  <c r="K1623" i="6"/>
  <c r="BE1623" i="6" s="1"/>
  <c r="J1623" i="6"/>
  <c r="BC1623" i="6" s="1"/>
  <c r="J1622" i="6"/>
  <c r="BC1622" i="6" s="1"/>
  <c r="K1621" i="6"/>
  <c r="BE1621" i="6" s="1"/>
  <c r="J1621" i="6"/>
  <c r="BC1621" i="6" s="1"/>
  <c r="K1620" i="6"/>
  <c r="J1620" i="6"/>
  <c r="K1619" i="6"/>
  <c r="BE1619" i="6" s="1"/>
  <c r="J1619" i="6"/>
  <c r="BC1619" i="6" s="1"/>
  <c r="K1618" i="6"/>
  <c r="J1618" i="6"/>
  <c r="K1617" i="6"/>
  <c r="BE1617" i="6" s="1"/>
  <c r="J1617" i="6"/>
  <c r="K1616" i="6"/>
  <c r="BE1616" i="6" s="1"/>
  <c r="J1616" i="6"/>
  <c r="K1615" i="6"/>
  <c r="BE1615" i="6" s="1"/>
  <c r="J1615" i="6"/>
  <c r="BC1615" i="6" s="1"/>
  <c r="J1614" i="6"/>
  <c r="BC1614" i="6" s="1"/>
  <c r="K1613" i="6"/>
  <c r="BE1613" i="6" s="1"/>
  <c r="J1613" i="6"/>
  <c r="K1612" i="6"/>
  <c r="BE1612" i="6" s="1"/>
  <c r="J1612" i="6"/>
  <c r="K1611" i="6"/>
  <c r="BE1611" i="6" s="1"/>
  <c r="J1611" i="6"/>
  <c r="BC1611" i="6" s="1"/>
  <c r="J1610" i="6"/>
  <c r="BC1610" i="6" s="1"/>
  <c r="K1609" i="6"/>
  <c r="BE1609" i="6" s="1"/>
  <c r="J1609" i="6"/>
  <c r="K1608" i="6"/>
  <c r="BE1608" i="6" s="1"/>
  <c r="J1608" i="6"/>
  <c r="K1607" i="6"/>
  <c r="BE1607" i="6" s="1"/>
  <c r="J1607" i="6"/>
  <c r="J1606" i="6"/>
  <c r="K1605" i="6"/>
  <c r="BE1605" i="6" s="1"/>
  <c r="J1605" i="6"/>
  <c r="BC1605" i="6" s="1"/>
  <c r="K1604" i="6"/>
  <c r="BE1604" i="6" s="1"/>
  <c r="J1604" i="6"/>
  <c r="BC1604" i="6" s="1"/>
  <c r="K1603" i="6"/>
  <c r="BE1603" i="6" s="1"/>
  <c r="J1603" i="6"/>
  <c r="BC1603" i="6" s="1"/>
  <c r="J1602" i="6"/>
  <c r="BC1602" i="6" s="1"/>
  <c r="K1601" i="6"/>
  <c r="BE1601" i="6" s="1"/>
  <c r="J1601" i="6"/>
  <c r="BC1601" i="6" s="1"/>
  <c r="K1600" i="6"/>
  <c r="J1600" i="6"/>
  <c r="K1599" i="6"/>
  <c r="BE1599" i="6" s="1"/>
  <c r="J1599" i="6"/>
  <c r="BC1599" i="6" s="1"/>
  <c r="K1598" i="6"/>
  <c r="J1598" i="6"/>
  <c r="K1597" i="6"/>
  <c r="BE1597" i="6" s="1"/>
  <c r="J1597" i="6"/>
  <c r="K1596" i="6"/>
  <c r="BE1596" i="6" s="1"/>
  <c r="J1596" i="6"/>
  <c r="K1595" i="6"/>
  <c r="BE1595" i="6" s="1"/>
  <c r="J1595" i="6"/>
  <c r="BC1595" i="6" s="1"/>
  <c r="J1594" i="6"/>
  <c r="BC1594" i="6" s="1"/>
  <c r="K1593" i="6"/>
  <c r="BE1593" i="6" s="1"/>
  <c r="J1593" i="6"/>
  <c r="BC1593" i="6" s="1"/>
  <c r="K1592" i="6"/>
  <c r="BE1592" i="6" s="1"/>
  <c r="J1592" i="6"/>
  <c r="K1591" i="6"/>
  <c r="BE1591" i="6" s="1"/>
  <c r="J1591" i="6"/>
  <c r="BC1591" i="6" s="1"/>
  <c r="J1590" i="6"/>
  <c r="K1589" i="6"/>
  <c r="BE1589" i="6" s="1"/>
  <c r="J1589" i="6"/>
  <c r="BC1589" i="6" s="1"/>
  <c r="K1588" i="6"/>
  <c r="BE1588" i="6" s="1"/>
  <c r="J1588" i="6"/>
  <c r="K1587" i="6"/>
  <c r="BE1587" i="6" s="1"/>
  <c r="J1587" i="6"/>
  <c r="BC1587" i="6" s="1"/>
  <c r="J1586" i="6"/>
  <c r="K1585" i="6"/>
  <c r="BE1585" i="6" s="1"/>
  <c r="J1585" i="6"/>
  <c r="K1584" i="6"/>
  <c r="BE1584" i="6" s="1"/>
  <c r="J1584" i="6"/>
  <c r="K1583" i="6"/>
  <c r="BE1583" i="6" s="1"/>
  <c r="J1583" i="6"/>
  <c r="J1582" i="6"/>
  <c r="K1581" i="6"/>
  <c r="BE1581" i="6" s="1"/>
  <c r="J1581" i="6"/>
  <c r="BC1581" i="6" s="1"/>
  <c r="K1580" i="6"/>
  <c r="BE1580" i="6" s="1"/>
  <c r="J1580" i="6"/>
  <c r="K1579" i="6"/>
  <c r="BE1579" i="6" s="1"/>
  <c r="J1579" i="6"/>
  <c r="J1578" i="6"/>
  <c r="K1577" i="6"/>
  <c r="BE1577" i="6" s="1"/>
  <c r="J1577" i="6"/>
  <c r="K1576" i="6"/>
  <c r="BE1576" i="6" s="1"/>
  <c r="J1576" i="6"/>
  <c r="K1575" i="6"/>
  <c r="BE1575" i="6" s="1"/>
  <c r="J1575" i="6"/>
  <c r="J1574" i="6"/>
  <c r="K1573" i="6"/>
  <c r="BE1573" i="6" s="1"/>
  <c r="J1573" i="6"/>
  <c r="K1572" i="6"/>
  <c r="BE1572" i="6" s="1"/>
  <c r="J1572" i="6"/>
  <c r="K1571" i="6"/>
  <c r="BE1571" i="6" s="1"/>
  <c r="J1571" i="6"/>
  <c r="J1570" i="6"/>
  <c r="K1569" i="6"/>
  <c r="BE1569" i="6" s="1"/>
  <c r="J1569" i="6"/>
  <c r="J1568" i="6"/>
  <c r="K1565" i="6"/>
  <c r="BE1565" i="6" s="1"/>
  <c r="J1565" i="6"/>
  <c r="J1564" i="6"/>
  <c r="K1563" i="6"/>
  <c r="BE1563" i="6" s="1"/>
  <c r="J1563" i="6"/>
  <c r="K1562" i="6"/>
  <c r="BE1562" i="6" s="1"/>
  <c r="J1562" i="6"/>
  <c r="K1561" i="6"/>
  <c r="BE1561" i="6" s="1"/>
  <c r="J1561" i="6"/>
  <c r="J1560" i="6"/>
  <c r="K1559" i="6"/>
  <c r="BE1559" i="6" s="1"/>
  <c r="J1559" i="6"/>
  <c r="BC1559" i="6" s="1"/>
  <c r="K1558" i="6"/>
  <c r="BE1558" i="6" s="1"/>
  <c r="J1558" i="6"/>
  <c r="K1557" i="6"/>
  <c r="BE1557" i="6" s="1"/>
  <c r="J1557" i="6"/>
  <c r="BC1557" i="6" s="1"/>
  <c r="J1556" i="6"/>
  <c r="K1555" i="6"/>
  <c r="BE1555" i="6" s="1"/>
  <c r="J1555" i="6"/>
  <c r="BC1555" i="6" s="1"/>
  <c r="K1554" i="6"/>
  <c r="BE1554" i="6" s="1"/>
  <c r="J1554" i="6"/>
  <c r="BC1554" i="6" s="1"/>
  <c r="K1553" i="6"/>
  <c r="BE1553" i="6" s="1"/>
  <c r="J1553" i="6"/>
  <c r="BC1553" i="6" s="1"/>
  <c r="J1552" i="6"/>
  <c r="BC1552" i="6" s="1"/>
  <c r="K1551" i="6"/>
  <c r="BE1551" i="6" s="1"/>
  <c r="J1551" i="6"/>
  <c r="BC1551" i="6" s="1"/>
  <c r="J1550" i="6"/>
  <c r="BC1550" i="6" s="1"/>
  <c r="K1549" i="6"/>
  <c r="BE1549" i="6" s="1"/>
  <c r="J1549" i="6"/>
  <c r="BC1549" i="6" s="1"/>
  <c r="K1548" i="6"/>
  <c r="J1548" i="6"/>
  <c r="J1547" i="6"/>
  <c r="BC1547" i="6" s="1"/>
  <c r="K1546" i="6"/>
  <c r="J1546" i="6"/>
  <c r="BC1546" i="6" s="1"/>
  <c r="K1545" i="6"/>
  <c r="J1545" i="6"/>
  <c r="BC1545" i="6" s="1"/>
  <c r="K1544" i="6"/>
  <c r="J1544" i="6"/>
  <c r="K1543" i="6"/>
  <c r="J1543" i="6"/>
  <c r="BC1543" i="6" s="1"/>
  <c r="J1542" i="6"/>
  <c r="K1541" i="6"/>
  <c r="BE1541" i="6" s="1"/>
  <c r="J1541" i="6"/>
  <c r="BC1541" i="6" s="1"/>
  <c r="K1540" i="6"/>
  <c r="BE1540" i="6" s="1"/>
  <c r="J1540" i="6"/>
  <c r="K1539" i="6"/>
  <c r="BE1539" i="6" s="1"/>
  <c r="J1539" i="6"/>
  <c r="BC1539" i="6" s="1"/>
  <c r="J1538" i="6"/>
  <c r="K1537" i="6"/>
  <c r="J1537" i="6"/>
  <c r="K1536" i="6"/>
  <c r="J1536" i="6"/>
  <c r="K1535" i="6"/>
  <c r="J1535" i="6"/>
  <c r="F4449" i="6"/>
  <c r="F4072" i="6"/>
  <c r="F4073" i="6"/>
  <c r="F4074" i="6"/>
  <c r="F4075" i="6"/>
  <c r="F4076" i="6"/>
  <c r="F4077" i="6"/>
  <c r="F4078" i="6"/>
  <c r="F4079" i="6"/>
  <c r="F4080" i="6"/>
  <c r="F4081" i="6"/>
  <c r="F4082" i="6"/>
  <c r="F4083" i="6"/>
  <c r="F4084" i="6"/>
  <c r="F4085" i="6"/>
  <c r="F4086" i="6"/>
  <c r="F4087" i="6"/>
  <c r="F4088" i="6"/>
  <c r="F4089" i="6"/>
  <c r="F4090" i="6"/>
  <c r="F4091" i="6"/>
  <c r="F4092" i="6"/>
  <c r="F4093" i="6"/>
  <c r="F4094" i="6"/>
  <c r="F4095" i="6"/>
  <c r="F4098" i="6"/>
  <c r="F4099" i="6"/>
  <c r="F4100" i="6"/>
  <c r="F4101" i="6"/>
  <c r="F4102" i="6"/>
  <c r="F4103" i="6"/>
  <c r="F4104" i="6"/>
  <c r="F4105" i="6"/>
  <c r="F4106" i="6"/>
  <c r="F4107" i="6"/>
  <c r="F4108" i="6"/>
  <c r="F4109" i="6"/>
  <c r="F4110" i="6"/>
  <c r="F4111" i="6"/>
  <c r="F4112" i="6"/>
  <c r="F4113" i="6"/>
  <c r="F4114" i="6"/>
  <c r="F4115" i="6"/>
  <c r="F4116" i="6"/>
  <c r="F4117" i="6"/>
  <c r="F4118" i="6"/>
  <c r="F4119" i="6"/>
  <c r="F4120" i="6"/>
  <c r="F4121" i="6"/>
  <c r="F4122" i="6"/>
  <c r="F4123" i="6"/>
  <c r="F4124" i="6"/>
  <c r="F4125" i="6"/>
  <c r="F4126" i="6"/>
  <c r="F4127" i="6"/>
  <c r="F4128" i="6"/>
  <c r="F4129" i="6"/>
  <c r="F4130" i="6"/>
  <c r="F4131" i="6"/>
  <c r="F4132" i="6"/>
  <c r="F4133" i="6"/>
  <c r="F4134" i="6"/>
  <c r="F4135" i="6"/>
  <c r="F4136" i="6"/>
  <c r="F4137" i="6"/>
  <c r="F4138" i="6"/>
  <c r="F4139" i="6"/>
  <c r="F4140" i="6"/>
  <c r="F4141" i="6"/>
  <c r="F4142" i="6"/>
  <c r="F4143" i="6"/>
  <c r="F4144" i="6"/>
  <c r="F4145" i="6"/>
  <c r="F4146" i="6"/>
  <c r="F4147" i="6"/>
  <c r="F4148" i="6"/>
  <c r="F4149" i="6"/>
  <c r="F4150" i="6"/>
  <c r="F4151" i="6"/>
  <c r="F4152" i="6"/>
  <c r="F4153" i="6"/>
  <c r="F4154" i="6"/>
  <c r="F4155" i="6"/>
  <c r="F4156" i="6"/>
  <c r="F4157" i="6"/>
  <c r="F4158" i="6"/>
  <c r="F4159" i="6"/>
  <c r="F4160" i="6"/>
  <c r="F4161" i="6"/>
  <c r="F4162" i="6"/>
  <c r="F4163" i="6"/>
  <c r="F4164" i="6"/>
  <c r="F4165" i="6"/>
  <c r="F4166" i="6"/>
  <c r="F4167" i="6"/>
  <c r="F4168" i="6"/>
  <c r="F4169" i="6"/>
  <c r="F4170" i="6"/>
  <c r="F4171" i="6"/>
  <c r="F4172" i="6"/>
  <c r="F4173" i="6"/>
  <c r="F4176" i="6"/>
  <c r="F4177" i="6"/>
  <c r="F4178" i="6"/>
  <c r="F4179" i="6"/>
  <c r="F4180" i="6"/>
  <c r="F4181" i="6"/>
  <c r="F4182" i="6"/>
  <c r="F4183" i="6"/>
  <c r="F4184" i="6"/>
  <c r="F4185" i="6"/>
  <c r="F4188" i="6"/>
  <c r="F4189" i="6"/>
  <c r="F4190" i="6"/>
  <c r="F4191" i="6"/>
  <c r="F4192" i="6"/>
  <c r="F4193" i="6"/>
  <c r="F4194" i="6"/>
  <c r="F4195" i="6"/>
  <c r="F4196" i="6"/>
  <c r="F4197" i="6"/>
  <c r="F4200" i="6"/>
  <c r="F4201" i="6"/>
  <c r="F4202" i="6"/>
  <c r="F4203" i="6"/>
  <c r="F4204" i="6"/>
  <c r="F4205" i="6"/>
  <c r="F4206" i="6"/>
  <c r="F4207" i="6"/>
  <c r="F4208" i="6"/>
  <c r="F4209" i="6"/>
  <c r="F4210" i="6"/>
  <c r="F4211" i="6"/>
  <c r="F4212" i="6"/>
  <c r="F4213" i="6"/>
  <c r="F4214" i="6"/>
  <c r="F4215" i="6"/>
  <c r="F4216" i="6"/>
  <c r="F4217" i="6"/>
  <c r="F4220" i="6"/>
  <c r="F4221" i="6"/>
  <c r="F4222" i="6"/>
  <c r="F4223" i="6"/>
  <c r="F4224" i="6"/>
  <c r="F4225" i="6"/>
  <c r="F4226" i="6"/>
  <c r="F4227" i="6"/>
  <c r="F4228" i="6"/>
  <c r="F4229" i="6"/>
  <c r="F4230" i="6"/>
  <c r="F4231" i="6"/>
  <c r="F4232" i="6"/>
  <c r="F4233" i="6"/>
  <c r="F4234" i="6"/>
  <c r="F4235" i="6"/>
  <c r="F4236" i="6"/>
  <c r="F4237" i="6"/>
  <c r="F4238" i="6"/>
  <c r="F4239" i="6"/>
  <c r="F4240" i="6"/>
  <c r="F4241" i="6"/>
  <c r="F4242" i="6"/>
  <c r="F4243" i="6"/>
  <c r="F4244" i="6"/>
  <c r="F4245" i="6"/>
  <c r="F4246" i="6"/>
  <c r="F4247" i="6"/>
  <c r="F4248" i="6"/>
  <c r="F4249" i="6"/>
  <c r="F4250" i="6"/>
  <c r="F4251" i="6"/>
  <c r="F4252" i="6"/>
  <c r="F4253" i="6"/>
  <c r="F4256" i="6"/>
  <c r="F4257" i="6"/>
  <c r="F4258" i="6"/>
  <c r="F4259" i="6"/>
  <c r="F4260" i="6"/>
  <c r="F4261" i="6"/>
  <c r="F4262" i="6"/>
  <c r="F4263" i="6"/>
  <c r="F4264" i="6"/>
  <c r="F4265" i="6"/>
  <c r="F4266" i="6"/>
  <c r="F4267" i="6"/>
  <c r="F4268" i="6"/>
  <c r="F4269" i="6"/>
  <c r="F4270" i="6"/>
  <c r="F4271" i="6"/>
  <c r="F4272" i="6"/>
  <c r="F4273" i="6"/>
  <c r="F4274" i="6"/>
  <c r="F4275" i="6"/>
  <c r="F4276" i="6"/>
  <c r="F4277" i="6"/>
  <c r="F4278" i="6"/>
  <c r="F4279" i="6"/>
  <c r="F4280" i="6"/>
  <c r="F4281" i="6"/>
  <c r="F4282" i="6"/>
  <c r="F4283" i="6"/>
  <c r="F4284" i="6"/>
  <c r="F4285" i="6"/>
  <c r="F4286" i="6"/>
  <c r="F4287" i="6"/>
  <c r="F4288" i="6"/>
  <c r="F4289" i="6"/>
  <c r="F4290" i="6"/>
  <c r="F4291" i="6"/>
  <c r="F4292" i="6"/>
  <c r="F4293" i="6"/>
  <c r="F4294" i="6"/>
  <c r="F4295" i="6"/>
  <c r="F4296" i="6"/>
  <c r="F4297" i="6"/>
  <c r="F4298" i="6"/>
  <c r="F4299" i="6"/>
  <c r="F4300" i="6"/>
  <c r="F4301" i="6"/>
  <c r="F4302" i="6"/>
  <c r="F4303" i="6"/>
  <c r="F4304" i="6"/>
  <c r="F4305" i="6"/>
  <c r="F4306" i="6"/>
  <c r="F4307" i="6"/>
  <c r="F4308" i="6"/>
  <c r="F4309" i="6"/>
  <c r="F4310" i="6"/>
  <c r="F4311" i="6"/>
  <c r="F4312" i="6"/>
  <c r="F4313" i="6"/>
  <c r="F4314" i="6"/>
  <c r="F4315" i="6"/>
  <c r="F4316" i="6"/>
  <c r="F4317" i="6"/>
  <c r="F4318" i="6"/>
  <c r="F4319" i="6"/>
  <c r="F4320" i="6"/>
  <c r="F4321" i="6"/>
  <c r="F4322" i="6"/>
  <c r="F4323" i="6"/>
  <c r="F4324" i="6"/>
  <c r="F4325" i="6"/>
  <c r="F4326" i="6"/>
  <c r="F4327" i="6"/>
  <c r="F4328" i="6"/>
  <c r="F4329" i="6"/>
  <c r="F4330" i="6"/>
  <c r="F4331" i="6"/>
  <c r="F4332" i="6"/>
  <c r="F4333" i="6"/>
  <c r="F4334" i="6"/>
  <c r="F4335" i="6"/>
  <c r="F4336" i="6"/>
  <c r="F4337" i="6"/>
  <c r="F4338" i="6"/>
  <c r="F4339" i="6"/>
  <c r="F4340" i="6"/>
  <c r="F4341" i="6"/>
  <c r="F4342" i="6"/>
  <c r="F4343" i="6"/>
  <c r="F4344" i="6"/>
  <c r="F4345" i="6"/>
  <c r="F4346" i="6"/>
  <c r="F4347" i="6"/>
  <c r="F4348" i="6"/>
  <c r="F4349" i="6"/>
  <c r="F4350" i="6"/>
  <c r="F4351" i="6"/>
  <c r="F4352" i="6"/>
  <c r="F4353" i="6"/>
  <c r="F4354" i="6"/>
  <c r="F4355" i="6"/>
  <c r="F4356" i="6"/>
  <c r="F4357" i="6"/>
  <c r="F4358" i="6"/>
  <c r="F4359" i="6"/>
  <c r="F4360" i="6"/>
  <c r="F4361" i="6"/>
  <c r="F4362" i="6"/>
  <c r="F4363" i="6"/>
  <c r="F4364" i="6"/>
  <c r="F4365" i="6"/>
  <c r="F4366" i="6"/>
  <c r="F4367" i="6"/>
  <c r="F4368" i="6"/>
  <c r="F4369" i="6"/>
  <c r="F4370" i="6"/>
  <c r="F4371" i="6"/>
  <c r="F4372" i="6"/>
  <c r="F4373" i="6"/>
  <c r="F4374" i="6"/>
  <c r="F4375" i="6"/>
  <c r="F4376" i="6"/>
  <c r="F4377" i="6"/>
  <c r="F4378" i="6"/>
  <c r="F4379" i="6"/>
  <c r="F4380" i="6"/>
  <c r="F4381" i="6"/>
  <c r="F4382" i="6"/>
  <c r="F4383" i="6"/>
  <c r="F4384" i="6"/>
  <c r="F4385" i="6"/>
  <c r="F4386" i="6"/>
  <c r="F4387" i="6"/>
  <c r="F4388" i="6"/>
  <c r="F4389" i="6"/>
  <c r="F4390" i="6"/>
  <c r="F4391" i="6"/>
  <c r="F4392" i="6"/>
  <c r="F4393" i="6"/>
  <c r="F4394" i="6"/>
  <c r="F4395" i="6"/>
  <c r="F4396" i="6"/>
  <c r="F4397" i="6"/>
  <c r="F4398" i="6"/>
  <c r="F4399" i="6"/>
  <c r="F4400" i="6"/>
  <c r="F4401" i="6"/>
  <c r="F4402" i="6"/>
  <c r="F4403" i="6"/>
  <c r="F4404" i="6"/>
  <c r="F4405" i="6"/>
  <c r="F4406" i="6"/>
  <c r="F4407" i="6"/>
  <c r="F4408" i="6"/>
  <c r="F4409" i="6"/>
  <c r="F4410" i="6"/>
  <c r="F4411" i="6"/>
  <c r="F4412" i="6"/>
  <c r="F4413" i="6"/>
  <c r="F4414" i="6"/>
  <c r="F4415" i="6"/>
  <c r="F4416" i="6"/>
  <c r="F4417" i="6"/>
  <c r="F4418" i="6"/>
  <c r="F4419" i="6"/>
  <c r="F4420" i="6"/>
  <c r="F4421" i="6"/>
  <c r="F4422" i="6"/>
  <c r="F4423" i="6"/>
  <c r="F4424" i="6"/>
  <c r="F4425" i="6"/>
  <c r="F4426" i="6"/>
  <c r="F4427" i="6"/>
  <c r="F4428" i="6"/>
  <c r="F4429" i="6"/>
  <c r="F4430" i="6"/>
  <c r="F4431" i="6"/>
  <c r="F4432" i="6"/>
  <c r="F4433" i="6"/>
  <c r="F4434" i="6"/>
  <c r="F4435" i="6"/>
  <c r="F4436" i="6"/>
  <c r="F4437" i="6"/>
  <c r="F4438" i="6"/>
  <c r="F4439" i="6"/>
  <c r="F4440" i="6"/>
  <c r="F4441" i="6"/>
  <c r="F4442" i="6"/>
  <c r="F4443" i="6"/>
  <c r="F4444" i="6"/>
  <c r="F4445" i="6"/>
  <c r="F4446" i="6"/>
  <c r="F4447" i="6"/>
  <c r="F4448" i="6"/>
  <c r="F4068" i="6"/>
  <c r="F4069" i="6"/>
  <c r="F4070" i="6"/>
  <c r="F4071" i="6"/>
  <c r="F4062" i="6"/>
  <c r="F4063" i="6"/>
  <c r="F3871" i="6"/>
  <c r="F3872" i="6"/>
  <c r="F3873" i="6"/>
  <c r="F3874" i="6"/>
  <c r="F3875" i="6"/>
  <c r="F3876" i="6"/>
  <c r="F3877" i="6"/>
  <c r="F3878" i="6"/>
  <c r="F3879" i="6"/>
  <c r="F3880" i="6"/>
  <c r="F3881" i="6"/>
  <c r="F3882" i="6"/>
  <c r="F3883" i="6"/>
  <c r="F3884" i="6"/>
  <c r="F3885" i="6"/>
  <c r="F3886" i="6"/>
  <c r="F3887" i="6"/>
  <c r="F3888" i="6"/>
  <c r="F3889" i="6"/>
  <c r="F3890" i="6"/>
  <c r="F3891" i="6"/>
  <c r="F3892" i="6"/>
  <c r="F3893" i="6"/>
  <c r="F3894" i="6"/>
  <c r="F3895" i="6"/>
  <c r="F3896" i="6"/>
  <c r="F3897" i="6"/>
  <c r="F3898" i="6"/>
  <c r="F3899" i="6"/>
  <c r="F3900" i="6"/>
  <c r="F3901" i="6"/>
  <c r="F3902" i="6"/>
  <c r="F3903" i="6"/>
  <c r="F3904" i="6"/>
  <c r="F3905" i="6"/>
  <c r="F3906" i="6"/>
  <c r="F3907" i="6"/>
  <c r="F3908" i="6"/>
  <c r="F3909" i="6"/>
  <c r="F3910" i="6"/>
  <c r="F3911" i="6"/>
  <c r="F3912" i="6"/>
  <c r="F3913" i="6"/>
  <c r="F3914" i="6"/>
  <c r="F3915" i="6"/>
  <c r="F3916" i="6"/>
  <c r="F3917" i="6"/>
  <c r="F3918" i="6"/>
  <c r="F3919" i="6"/>
  <c r="F3920" i="6"/>
  <c r="F3921" i="6"/>
  <c r="F3922" i="6"/>
  <c r="F3923" i="6"/>
  <c r="F3924" i="6"/>
  <c r="F3925" i="6"/>
  <c r="F3926" i="6"/>
  <c r="F3927" i="6"/>
  <c r="F3928" i="6"/>
  <c r="F3929" i="6"/>
  <c r="F3930" i="6"/>
  <c r="F3931" i="6"/>
  <c r="F3932" i="6"/>
  <c r="F3933" i="6"/>
  <c r="F3934" i="6"/>
  <c r="F3935" i="6"/>
  <c r="F3936" i="6"/>
  <c r="F3937" i="6"/>
  <c r="F3938" i="6"/>
  <c r="F3939" i="6"/>
  <c r="F3940" i="6"/>
  <c r="F3941" i="6"/>
  <c r="F3942" i="6"/>
  <c r="F3943" i="6"/>
  <c r="F3944" i="6"/>
  <c r="F3945" i="6"/>
  <c r="F3946" i="6"/>
  <c r="F3947" i="6"/>
  <c r="F3948" i="6"/>
  <c r="F3949" i="6"/>
  <c r="F3950" i="6"/>
  <c r="F3951" i="6"/>
  <c r="F3952" i="6"/>
  <c r="F3953" i="6"/>
  <c r="F3954" i="6"/>
  <c r="F3955" i="6"/>
  <c r="F3956" i="6"/>
  <c r="F3957" i="6"/>
  <c r="F3958" i="6"/>
  <c r="F3959" i="6"/>
  <c r="F3960" i="6"/>
  <c r="F3961" i="6"/>
  <c r="F3962" i="6"/>
  <c r="F3963" i="6"/>
  <c r="F3964" i="6"/>
  <c r="F3965" i="6"/>
  <c r="F3966" i="6"/>
  <c r="F3967" i="6"/>
  <c r="F3968" i="6"/>
  <c r="F3969" i="6"/>
  <c r="F3970" i="6"/>
  <c r="F3971" i="6"/>
  <c r="F3972" i="6"/>
  <c r="F3973" i="6"/>
  <c r="F3974" i="6"/>
  <c r="F3975" i="6"/>
  <c r="F3976" i="6"/>
  <c r="F3977" i="6"/>
  <c r="F3978" i="6"/>
  <c r="F3979" i="6"/>
  <c r="F3980" i="6"/>
  <c r="F3981" i="6"/>
  <c r="F3982" i="6"/>
  <c r="F3983" i="6"/>
  <c r="F3984" i="6"/>
  <c r="F3985" i="6"/>
  <c r="F3986" i="6"/>
  <c r="F3987" i="6"/>
  <c r="F3988" i="6"/>
  <c r="F3989" i="6"/>
  <c r="F3990" i="6"/>
  <c r="F3991" i="6"/>
  <c r="F3992" i="6"/>
  <c r="F3993" i="6"/>
  <c r="F3994" i="6"/>
  <c r="F3995" i="6"/>
  <c r="F3996" i="6"/>
  <c r="F3997" i="6"/>
  <c r="F3998" i="6"/>
  <c r="F3999" i="6"/>
  <c r="F4000" i="6"/>
  <c r="F4001" i="6"/>
  <c r="F4002" i="6"/>
  <c r="F4003" i="6"/>
  <c r="F4004" i="6"/>
  <c r="F4005" i="6"/>
  <c r="F4006" i="6"/>
  <c r="F4007" i="6"/>
  <c r="F4008" i="6"/>
  <c r="F4009" i="6"/>
  <c r="F4010" i="6"/>
  <c r="F4011" i="6"/>
  <c r="F4012" i="6"/>
  <c r="F4013" i="6"/>
  <c r="F4014" i="6"/>
  <c r="F4015" i="6"/>
  <c r="F4016" i="6"/>
  <c r="F4017" i="6"/>
  <c r="F4018" i="6"/>
  <c r="F4019" i="6"/>
  <c r="F4020" i="6"/>
  <c r="F4021" i="6"/>
  <c r="F4022" i="6"/>
  <c r="F4023" i="6"/>
  <c r="F4024" i="6"/>
  <c r="F4025" i="6"/>
  <c r="F4026" i="6"/>
  <c r="F4027" i="6"/>
  <c r="F4028" i="6"/>
  <c r="F4029" i="6"/>
  <c r="F4030" i="6"/>
  <c r="F4031" i="6"/>
  <c r="F4032" i="6"/>
  <c r="F4033" i="6"/>
  <c r="F4034" i="6"/>
  <c r="F4035" i="6"/>
  <c r="F4036" i="6"/>
  <c r="F4037" i="6"/>
  <c r="F4038" i="6"/>
  <c r="F4039" i="6"/>
  <c r="F4040" i="6"/>
  <c r="F4041" i="6"/>
  <c r="F4042" i="6"/>
  <c r="F4043" i="6"/>
  <c r="F4044" i="6"/>
  <c r="F4045" i="6"/>
  <c r="F4046" i="6"/>
  <c r="F4047" i="6"/>
  <c r="F4048" i="6"/>
  <c r="F4049" i="6"/>
  <c r="F4050" i="6"/>
  <c r="F4051" i="6"/>
  <c r="F4052" i="6"/>
  <c r="F4053" i="6"/>
  <c r="F4054" i="6"/>
  <c r="F4055" i="6"/>
  <c r="F4056" i="6"/>
  <c r="F4057" i="6"/>
  <c r="F4058" i="6"/>
  <c r="F4059" i="6"/>
  <c r="F4060" i="6"/>
  <c r="F4061" i="6"/>
  <c r="F4064" i="6"/>
  <c r="F4065" i="6"/>
  <c r="F4066" i="6"/>
  <c r="F4067" i="6"/>
  <c r="F2132" i="6"/>
  <c r="F2131" i="6"/>
  <c r="F2130" i="6"/>
  <c r="F2129" i="6"/>
  <c r="F2128" i="6"/>
  <c r="F2127" i="6"/>
  <c r="F2126" i="6"/>
  <c r="F2125" i="6"/>
  <c r="F2124" i="6"/>
  <c r="F2123" i="6"/>
  <c r="F2122" i="6"/>
  <c r="F2121" i="6"/>
  <c r="F2120" i="6"/>
  <c r="F2119" i="6"/>
  <c r="F2118" i="6"/>
  <c r="F2117" i="6"/>
  <c r="F2116" i="6"/>
  <c r="F2115" i="6"/>
  <c r="F2114" i="6"/>
  <c r="F2113" i="6"/>
  <c r="F2112" i="6"/>
  <c r="F2111" i="6"/>
  <c r="F2110" i="6"/>
  <c r="F2109" i="6"/>
  <c r="F2108" i="6"/>
  <c r="F2107" i="6"/>
  <c r="F2106" i="6"/>
  <c r="F2105" i="6"/>
  <c r="F2104" i="6"/>
  <c r="F2103" i="6"/>
  <c r="F2102" i="6"/>
  <c r="F2101" i="6"/>
  <c r="F2100" i="6"/>
  <c r="F2099" i="6"/>
  <c r="F2098" i="6"/>
  <c r="F2097" i="6"/>
  <c r="F2096" i="6"/>
  <c r="F2095" i="6"/>
  <c r="F2094" i="6"/>
  <c r="F2093" i="6"/>
  <c r="F2092" i="6"/>
  <c r="F2091" i="6"/>
  <c r="F2090" i="6"/>
  <c r="F2089" i="6"/>
  <c r="F2088" i="6"/>
  <c r="F2087" i="6"/>
  <c r="F2086" i="6"/>
  <c r="F2085" i="6"/>
  <c r="F2084" i="6"/>
  <c r="F2083" i="6"/>
  <c r="F2082" i="6"/>
  <c r="F2081" i="6"/>
  <c r="F2080" i="6"/>
  <c r="F2079" i="6"/>
  <c r="F2078" i="6"/>
  <c r="F2077" i="6"/>
  <c r="F2076" i="6"/>
  <c r="F2075" i="6"/>
  <c r="F2074" i="6"/>
  <c r="F2073" i="6"/>
  <c r="F2072" i="6"/>
  <c r="F2071" i="6"/>
  <c r="F2070" i="6"/>
  <c r="F2069" i="6"/>
  <c r="F2068" i="6"/>
  <c r="F2067" i="6"/>
  <c r="F2066" i="6"/>
  <c r="F2065" i="6"/>
  <c r="F2064" i="6"/>
  <c r="F2063" i="6"/>
  <c r="F2062" i="6"/>
  <c r="F2061" i="6"/>
  <c r="F2060" i="6"/>
  <c r="F2059" i="6"/>
  <c r="F2058" i="6"/>
  <c r="F2057" i="6"/>
  <c r="F2056" i="6"/>
  <c r="F2055" i="6"/>
  <c r="F2054" i="6"/>
  <c r="F2053" i="6"/>
  <c r="F2052" i="6"/>
  <c r="F2051" i="6"/>
  <c r="F2050" i="6"/>
  <c r="F2049" i="6"/>
  <c r="F2048" i="6"/>
  <c r="F2047" i="6"/>
  <c r="F2046" i="6"/>
  <c r="F2045" i="6"/>
  <c r="F2044" i="6"/>
  <c r="F2043" i="6"/>
  <c r="F2042" i="6"/>
  <c r="F2041" i="6"/>
  <c r="F2040" i="6"/>
  <c r="F2039" i="6"/>
  <c r="F2038" i="6"/>
  <c r="F2037" i="6"/>
  <c r="F2036" i="6"/>
  <c r="F2034" i="6"/>
  <c r="F2033" i="6"/>
  <c r="F2032" i="6"/>
  <c r="F2031" i="6"/>
  <c r="F2030" i="6"/>
  <c r="F2029" i="6"/>
  <c r="F2028" i="6"/>
  <c r="F2027" i="6"/>
  <c r="F2026" i="6"/>
  <c r="F2025" i="6"/>
  <c r="F2024" i="6"/>
  <c r="F2023" i="6"/>
  <c r="F2022" i="6"/>
  <c r="F2021" i="6"/>
  <c r="F2020" i="6"/>
  <c r="F2019" i="6"/>
  <c r="F2018" i="6"/>
  <c r="F2016" i="6"/>
  <c r="F2015" i="6"/>
  <c r="F2014" i="6"/>
  <c r="F2013" i="6"/>
  <c r="F2012" i="6"/>
  <c r="F2011" i="6"/>
  <c r="F2010" i="6"/>
  <c r="F2009" i="6"/>
  <c r="F2008" i="6"/>
  <c r="F2006" i="6"/>
  <c r="F2005" i="6"/>
  <c r="F2004" i="6"/>
  <c r="F2003" i="6"/>
  <c r="F2002" i="6"/>
  <c r="F2000" i="6"/>
  <c r="F1999" i="6"/>
  <c r="F1998" i="6"/>
  <c r="F1997" i="6"/>
  <c r="F1996" i="6"/>
  <c r="F1994" i="6"/>
  <c r="F1993" i="6"/>
  <c r="F1992" i="6"/>
  <c r="F1991" i="6"/>
  <c r="F1990" i="6"/>
  <c r="F1989" i="6"/>
  <c r="F1988" i="6"/>
  <c r="F1987" i="6"/>
  <c r="F1986" i="6"/>
  <c r="F1985" i="6"/>
  <c r="F1984" i="6"/>
  <c r="F1983" i="6"/>
  <c r="F1982" i="6"/>
  <c r="F1981" i="6"/>
  <c r="F1980" i="6"/>
  <c r="F1979" i="6"/>
  <c r="F1978" i="6"/>
  <c r="F1977" i="6"/>
  <c r="F1976" i="6"/>
  <c r="F1975" i="6"/>
  <c r="F1974" i="6"/>
  <c r="F1973" i="6"/>
  <c r="F1972" i="6"/>
  <c r="F1971" i="6"/>
  <c r="F1970" i="6"/>
  <c r="F1969" i="6"/>
  <c r="F1968" i="6"/>
  <c r="F1967" i="6"/>
  <c r="F1966" i="6"/>
  <c r="F1965" i="6"/>
  <c r="F1964" i="6"/>
  <c r="F1963" i="6"/>
  <c r="F1962" i="6"/>
  <c r="F1961" i="6"/>
  <c r="F1960" i="6"/>
  <c r="F1959" i="6"/>
  <c r="F1958" i="6"/>
  <c r="F1957" i="6"/>
  <c r="F1955" i="6"/>
  <c r="F1954" i="6"/>
  <c r="F1953" i="6"/>
  <c r="F1952" i="6"/>
  <c r="F1951" i="6"/>
  <c r="F1950" i="6"/>
  <c r="F1949" i="6"/>
  <c r="F1948" i="6"/>
  <c r="F1947" i="6"/>
  <c r="F1946" i="6"/>
  <c r="F1945" i="6"/>
  <c r="F1944" i="6"/>
  <c r="F1943" i="6"/>
  <c r="F1942" i="6"/>
  <c r="F1941" i="6"/>
  <c r="F1940" i="6"/>
  <c r="J4448" i="6"/>
  <c r="J4444" i="6"/>
  <c r="J4440" i="6"/>
  <c r="J4436" i="6"/>
  <c r="J4432" i="6"/>
  <c r="J4426" i="6"/>
  <c r="J4421" i="6"/>
  <c r="J4420" i="6"/>
  <c r="J4419" i="6"/>
  <c r="J4418" i="6"/>
  <c r="J4416" i="6"/>
  <c r="J4404" i="6"/>
  <c r="J4399" i="6"/>
  <c r="J4398" i="6"/>
  <c r="J4397" i="6"/>
  <c r="J4396" i="6"/>
  <c r="J4395" i="6"/>
  <c r="J4394" i="6"/>
  <c r="J4393" i="6"/>
  <c r="J4392" i="6"/>
  <c r="J4388" i="6"/>
  <c r="J4374" i="6"/>
  <c r="J4369" i="6"/>
  <c r="J4368" i="6"/>
  <c r="J4367" i="6"/>
  <c r="J4366" i="6"/>
  <c r="J4365" i="6"/>
  <c r="J4364" i="6"/>
  <c r="J4363" i="6"/>
  <c r="J4362" i="6"/>
  <c r="J4358" i="6"/>
  <c r="J4353" i="6"/>
  <c r="J4352" i="6"/>
  <c r="J4351" i="6"/>
  <c r="J4350" i="6"/>
  <c r="J4342" i="6"/>
  <c r="J4337" i="6"/>
  <c r="J4336" i="6"/>
  <c r="J4335" i="6"/>
  <c r="J4334" i="6"/>
  <c r="J4333" i="6"/>
  <c r="J4332" i="6"/>
  <c r="J4331" i="6"/>
  <c r="J4330" i="6"/>
  <c r="J4326" i="6"/>
  <c r="J4321" i="6"/>
  <c r="J4320" i="6"/>
  <c r="J4319" i="6"/>
  <c r="J4318" i="6"/>
  <c r="J4310" i="6"/>
  <c r="J4305" i="6"/>
  <c r="J4304" i="6"/>
  <c r="J4303" i="6"/>
  <c r="J4302" i="6"/>
  <c r="J4301" i="6"/>
  <c r="J4300" i="6"/>
  <c r="J4299" i="6"/>
  <c r="J4298" i="6"/>
  <c r="J4294" i="6"/>
  <c r="J4289" i="6"/>
  <c r="J4288" i="6"/>
  <c r="J4287" i="6"/>
  <c r="J4286" i="6"/>
  <c r="J4263" i="6"/>
  <c r="J4262" i="6"/>
  <c r="J4261" i="6"/>
  <c r="J4260" i="6"/>
  <c r="J4258" i="6"/>
  <c r="J4259" i="6"/>
  <c r="J4251" i="6"/>
  <c r="J4250" i="6"/>
  <c r="J4249" i="6"/>
  <c r="J4248" i="6"/>
  <c r="J4247" i="6"/>
  <c r="J4246" i="6"/>
  <c r="J4245" i="6"/>
  <c r="J4244" i="6"/>
  <c r="J4240" i="6"/>
  <c r="J4232" i="6"/>
  <c r="J4233" i="6"/>
  <c r="J4234" i="6"/>
  <c r="J4235" i="6"/>
  <c r="J4227" i="6"/>
  <c r="J4226" i="6"/>
  <c r="J4225" i="6"/>
  <c r="J4224" i="6"/>
  <c r="J4222" i="6"/>
  <c r="J4215" i="6"/>
  <c r="J4214" i="6"/>
  <c r="J4213" i="6"/>
  <c r="J4212" i="6"/>
  <c r="J4207" i="6"/>
  <c r="J4206" i="6"/>
  <c r="J4205" i="6"/>
  <c r="J4204" i="6"/>
  <c r="J4202" i="6"/>
  <c r="J4195" i="6"/>
  <c r="J4194" i="6"/>
  <c r="J4193" i="6"/>
  <c r="J4192" i="6"/>
  <c r="J4190" i="6"/>
  <c r="J4183" i="6"/>
  <c r="J4182" i="6"/>
  <c r="J4181" i="6"/>
  <c r="J4180" i="6"/>
  <c r="J4178" i="6"/>
  <c r="J4170" i="6"/>
  <c r="J4167" i="6"/>
  <c r="J4166" i="6"/>
  <c r="J4165" i="6"/>
  <c r="J4164" i="6"/>
  <c r="J4163" i="6"/>
  <c r="J4162" i="6"/>
  <c r="J4161" i="6"/>
  <c r="J4160" i="6"/>
  <c r="J4156" i="6"/>
  <c r="J4168" i="6"/>
  <c r="J4151" i="6"/>
  <c r="J4150" i="6"/>
  <c r="J4149" i="6"/>
  <c r="J4148" i="6"/>
  <c r="J4146" i="6"/>
  <c r="J4142" i="6"/>
  <c r="J4136" i="6"/>
  <c r="J4131" i="6"/>
  <c r="J4130" i="6"/>
  <c r="J4129" i="6"/>
  <c r="J4128" i="6"/>
  <c r="J4126" i="6"/>
  <c r="J4123" i="6"/>
  <c r="J4122" i="6"/>
  <c r="J4121" i="6"/>
  <c r="J4120" i="6"/>
  <c r="J4119" i="6"/>
  <c r="J4118" i="6"/>
  <c r="J4117" i="6"/>
  <c r="J4116" i="6"/>
  <c r="J4112" i="6"/>
  <c r="J4104" i="6"/>
  <c r="J4089" i="6"/>
  <c r="J4088" i="6"/>
  <c r="J4087" i="6"/>
  <c r="J4086" i="6"/>
  <c r="J4079" i="6"/>
  <c r="J4078" i="6"/>
  <c r="J4071" i="6"/>
  <c r="J4070" i="6"/>
  <c r="J4069" i="6"/>
  <c r="J4068" i="6"/>
  <c r="J4062" i="6"/>
  <c r="J4058" i="6"/>
  <c r="J4054" i="6"/>
  <c r="J4050" i="6"/>
  <c r="J4046" i="6"/>
  <c r="J4040" i="6"/>
  <c r="J4035" i="6"/>
  <c r="J4034" i="6"/>
  <c r="J4033" i="6"/>
  <c r="J4032" i="6"/>
  <c r="J4030" i="6"/>
  <c r="J4018" i="6"/>
  <c r="J4013" i="6"/>
  <c r="J4012" i="6"/>
  <c r="J4011" i="6"/>
  <c r="J4010" i="6"/>
  <c r="J4009" i="6"/>
  <c r="J4008" i="6"/>
  <c r="J4007" i="6"/>
  <c r="J4006" i="6"/>
  <c r="J4002" i="6"/>
  <c r="J3988" i="6"/>
  <c r="J3983" i="6"/>
  <c r="J3982" i="6"/>
  <c r="J3981" i="6"/>
  <c r="J3980" i="6"/>
  <c r="J3979" i="6"/>
  <c r="J3978" i="6"/>
  <c r="J3977" i="6"/>
  <c r="J3976" i="6"/>
  <c r="J3972" i="6"/>
  <c r="J3967" i="6"/>
  <c r="J3966" i="6"/>
  <c r="J3965" i="6"/>
  <c r="J3964" i="6"/>
  <c r="J3956" i="6"/>
  <c r="J3951" i="6"/>
  <c r="J3950" i="6"/>
  <c r="J3949" i="6"/>
  <c r="J3948" i="6"/>
  <c r="J3947" i="6"/>
  <c r="J3946" i="6"/>
  <c r="J3945" i="6"/>
  <c r="J3944" i="6"/>
  <c r="J3940" i="6"/>
  <c r="J3935" i="6"/>
  <c r="J3934" i="6"/>
  <c r="J3933" i="6"/>
  <c r="J3932" i="6"/>
  <c r="J3924" i="6"/>
  <c r="J3919" i="6"/>
  <c r="J3918" i="6"/>
  <c r="J3917" i="6"/>
  <c r="J3916" i="6"/>
  <c r="J3915" i="6"/>
  <c r="J3914" i="6"/>
  <c r="J3913" i="6"/>
  <c r="J3912" i="6"/>
  <c r="J3908" i="6"/>
  <c r="J3903" i="6"/>
  <c r="J3902" i="6"/>
  <c r="J3901" i="6"/>
  <c r="J3900" i="6"/>
  <c r="J3877" i="6"/>
  <c r="J3876" i="6"/>
  <c r="J3875" i="6"/>
  <c r="J3874" i="6"/>
  <c r="J3872" i="6"/>
  <c r="J3873" i="6"/>
  <c r="J3871" i="6"/>
  <c r="J3878" i="6"/>
  <c r="J3879" i="6"/>
  <c r="J3880" i="6"/>
  <c r="J3881" i="6"/>
  <c r="J3882" i="6"/>
  <c r="J3883" i="6"/>
  <c r="J3884" i="6"/>
  <c r="J3885" i="6"/>
  <c r="J3886" i="6"/>
  <c r="J3887" i="6"/>
  <c r="J3888" i="6"/>
  <c r="J3889" i="6"/>
  <c r="J3890" i="6"/>
  <c r="J3891" i="6"/>
  <c r="J3892" i="6"/>
  <c r="J3893" i="6"/>
  <c r="J3894" i="6"/>
  <c r="J3895" i="6"/>
  <c r="J3896" i="6"/>
  <c r="J3897" i="6"/>
  <c r="J3898" i="6"/>
  <c r="J3899" i="6"/>
  <c r="J3904" i="6"/>
  <c r="J3905" i="6"/>
  <c r="J3906" i="6"/>
  <c r="J3907" i="6"/>
  <c r="J3920" i="6"/>
  <c r="J3921" i="6"/>
  <c r="J3922" i="6"/>
  <c r="J3923" i="6"/>
  <c r="J3928" i="6"/>
  <c r="J3929" i="6"/>
  <c r="J3930" i="6"/>
  <c r="J3931" i="6"/>
  <c r="J3936" i="6"/>
  <c r="J3937" i="6"/>
  <c r="J3938" i="6"/>
  <c r="J3939" i="6"/>
  <c r="J3952" i="6"/>
  <c r="J3953" i="6"/>
  <c r="J3954" i="6"/>
  <c r="J3955" i="6"/>
  <c r="J3960" i="6"/>
  <c r="J3961" i="6"/>
  <c r="J3962" i="6"/>
  <c r="J3963" i="6"/>
  <c r="J3968" i="6"/>
  <c r="J3969" i="6"/>
  <c r="J3970" i="6"/>
  <c r="J3971" i="6"/>
  <c r="J3984" i="6"/>
  <c r="J3985" i="6"/>
  <c r="J3986" i="6"/>
  <c r="J3987" i="6"/>
  <c r="J3992" i="6"/>
  <c r="J3993" i="6"/>
  <c r="J3994" i="6"/>
  <c r="J3995" i="6"/>
  <c r="J3996" i="6"/>
  <c r="J3997" i="6"/>
  <c r="J3998" i="6"/>
  <c r="J3999" i="6"/>
  <c r="J4000" i="6"/>
  <c r="J4001" i="6"/>
  <c r="J4014" i="6"/>
  <c r="J4015" i="6"/>
  <c r="J4016" i="6"/>
  <c r="J4017" i="6"/>
  <c r="J4022" i="6"/>
  <c r="J4023" i="6"/>
  <c r="J4024" i="6"/>
  <c r="J4025" i="6"/>
  <c r="J4026" i="6"/>
  <c r="J4027" i="6"/>
  <c r="J4028" i="6"/>
  <c r="J4029" i="6"/>
  <c r="J4036" i="6"/>
  <c r="J4037" i="6"/>
  <c r="J4038" i="6"/>
  <c r="J4039" i="6"/>
  <c r="J4044" i="6"/>
  <c r="J4045" i="6"/>
  <c r="J4048" i="6"/>
  <c r="J4049" i="6"/>
  <c r="J4052" i="6"/>
  <c r="J4053" i="6"/>
  <c r="J4056" i="6"/>
  <c r="J4057" i="6"/>
  <c r="J4060" i="6"/>
  <c r="J4061" i="6"/>
  <c r="J2118" i="6"/>
  <c r="J2117" i="6"/>
  <c r="J2107" i="6"/>
  <c r="J2106" i="6"/>
  <c r="J2105" i="6"/>
  <c r="J2104" i="6"/>
  <c r="J2092" i="6"/>
  <c r="J2091" i="6"/>
  <c r="J2090" i="6"/>
  <c r="J2089" i="6"/>
  <c r="J2084" i="6"/>
  <c r="J2083" i="6"/>
  <c r="J2076" i="6"/>
  <c r="J2075" i="6"/>
  <c r="J2074" i="6"/>
  <c r="J2073" i="6"/>
  <c r="J2068" i="6"/>
  <c r="J2067" i="6"/>
  <c r="J2060" i="6"/>
  <c r="J2059" i="6"/>
  <c r="J2058" i="6"/>
  <c r="J2057" i="6"/>
  <c r="J2052" i="6"/>
  <c r="J2051" i="6"/>
  <c r="J2039" i="6"/>
  <c r="J2038" i="6"/>
  <c r="J2033" i="6"/>
  <c r="J2032" i="6"/>
  <c r="J2031" i="6"/>
  <c r="J2030" i="6"/>
  <c r="J2025" i="6"/>
  <c r="J2024" i="6"/>
  <c r="J2021" i="6"/>
  <c r="J2020" i="6"/>
  <c r="J2018" i="6"/>
  <c r="J2016" i="6"/>
  <c r="J2015" i="6"/>
  <c r="J2014" i="6"/>
  <c r="H7" i="6"/>
  <c r="A7" i="6"/>
  <c r="J2011" i="6"/>
  <c r="J2010" i="6"/>
  <c r="J2005" i="6"/>
  <c r="J2004" i="6"/>
  <c r="J1999" i="6"/>
  <c r="J1998" i="6"/>
  <c r="J1991" i="6"/>
  <c r="J1990" i="6"/>
  <c r="J1989" i="6"/>
  <c r="J1988" i="6"/>
  <c r="J1983" i="6"/>
  <c r="J1982" i="6"/>
  <c r="BD1601" i="6" l="1"/>
  <c r="AF225" i="15" s="1"/>
  <c r="BD1633" i="6"/>
  <c r="AH236" i="15" s="1"/>
  <c r="BD1759" i="6"/>
  <c r="AH285" i="15" s="1"/>
  <c r="BD1773" i="6"/>
  <c r="AF289" i="15" s="1"/>
  <c r="BD1791" i="6"/>
  <c r="AH293" i="15" s="1"/>
  <c r="BD1805" i="6"/>
  <c r="AF297" i="15" s="1"/>
  <c r="BD1823" i="6"/>
  <c r="AH301" i="15" s="1"/>
  <c r="BD1837" i="6"/>
  <c r="AF305" i="15" s="1"/>
  <c r="BD1869" i="6"/>
  <c r="AH313" i="15" s="1"/>
  <c r="BD1683" i="6"/>
  <c r="AF259" i="15" s="1"/>
  <c r="BD1695" i="6"/>
  <c r="AF264" i="15" s="1"/>
  <c r="BD1865" i="6"/>
  <c r="AH312" i="15" s="1"/>
  <c r="BD1889" i="6"/>
  <c r="AF320" i="15" s="1"/>
  <c r="BD1541" i="6"/>
  <c r="AH205" i="15" s="1"/>
  <c r="BD1715" i="6"/>
  <c r="AF270" i="15" s="1"/>
  <c r="BD1619" i="6"/>
  <c r="AF232" i="15" s="1"/>
  <c r="BD1599" i="6"/>
  <c r="AF224" i="15" s="1"/>
  <c r="BD1621" i="6"/>
  <c r="AF233" i="15" s="1"/>
  <c r="BD1635" i="6"/>
  <c r="AF237" i="15" s="1"/>
  <c r="BD1675" i="6"/>
  <c r="AF256" i="15" s="1"/>
  <c r="BD1697" i="6"/>
  <c r="AF265" i="15" s="1"/>
  <c r="BD1591" i="6"/>
  <c r="AF221" i="15" s="1"/>
  <c r="BD1631" i="6"/>
  <c r="AF236" i="15" s="1"/>
  <c r="BD1651" i="6"/>
  <c r="AF244" i="15" s="1"/>
  <c r="BD1663" i="6"/>
  <c r="AF250" i="15" s="1"/>
  <c r="BD1685" i="6"/>
  <c r="AH259" i="15" s="1"/>
  <c r="BD1733" i="6"/>
  <c r="AF277" i="15" s="1"/>
  <c r="BD1757" i="6"/>
  <c r="AF285" i="15" s="1"/>
  <c r="BD1775" i="6"/>
  <c r="AH289" i="15" s="1"/>
  <c r="BD1789" i="6"/>
  <c r="AF293" i="15" s="1"/>
  <c r="BD1807" i="6"/>
  <c r="AH297" i="15" s="1"/>
  <c r="BD1821" i="6"/>
  <c r="AF301" i="15" s="1"/>
  <c r="BD1839" i="6"/>
  <c r="AH305" i="15" s="1"/>
  <c r="BD1867" i="6"/>
  <c r="AF313" i="15" s="1"/>
  <c r="BD1891" i="6"/>
  <c r="AF321" i="15" s="1"/>
  <c r="BD1549" i="6"/>
  <c r="AF208" i="15" s="1"/>
  <c r="BD1705" i="6"/>
  <c r="AH267" i="15" s="1"/>
  <c r="BD1719" i="6"/>
  <c r="AF271" i="15" s="1"/>
  <c r="BD1731" i="6"/>
  <c r="AF276" i="15" s="1"/>
  <c r="BD1801" i="6"/>
  <c r="AF296" i="15" s="1"/>
  <c r="BD1833" i="6"/>
  <c r="AF304" i="15" s="1"/>
  <c r="BD1557" i="6"/>
  <c r="AF211" i="15" s="1"/>
  <c r="BD1587" i="6"/>
  <c r="AF220" i="15" s="1"/>
  <c r="BD1703" i="6"/>
  <c r="AF267" i="15" s="1"/>
  <c r="BD1721" i="6"/>
  <c r="AH271" i="15" s="1"/>
  <c r="BD1771" i="6"/>
  <c r="AH288" i="15" s="1"/>
  <c r="BD1803" i="6"/>
  <c r="AH296" i="15" s="1"/>
  <c r="BD1835" i="6"/>
  <c r="AH304" i="15" s="1"/>
  <c r="BD1863" i="6"/>
  <c r="AF312" i="15" s="1"/>
  <c r="BD1637" i="6"/>
  <c r="AH237" i="15" s="1"/>
  <c r="BD1665" i="6"/>
  <c r="AF251" i="15" s="1"/>
  <c r="BD1593" i="6"/>
  <c r="AH221" i="15" s="1"/>
  <c r="BD1653" i="6"/>
  <c r="AF245" i="15" s="1"/>
  <c r="BD1559" i="6"/>
  <c r="AH211" i="15" s="1"/>
  <c r="BD1589" i="6"/>
  <c r="AH220" i="15" s="1"/>
  <c r="BD1769" i="6"/>
  <c r="AF288" i="15" s="1"/>
  <c r="BD1539" i="6"/>
  <c r="AF205" i="15" s="1"/>
  <c r="BD1677" i="6"/>
  <c r="AF257" i="15" s="1"/>
  <c r="BD1717" i="6"/>
  <c r="AH270" i="15" s="1"/>
  <c r="M4096" i="6"/>
  <c r="AC2844" i="6"/>
  <c r="AC3554" i="6"/>
  <c r="AC2080" i="6"/>
  <c r="AC3337" i="6"/>
  <c r="AC3426" i="6"/>
  <c r="AC3564" i="6"/>
  <c r="AC1961" i="6"/>
  <c r="AC1977" i="6"/>
  <c r="AC2759" i="6"/>
  <c r="AC3422" i="6"/>
  <c r="AC3634" i="6"/>
  <c r="AC1965" i="6"/>
  <c r="AC2540" i="6"/>
  <c r="AC2556" i="6"/>
  <c r="AC2763" i="6"/>
  <c r="AC2848" i="6"/>
  <c r="AC3341" i="6"/>
  <c r="AC2733" i="6"/>
  <c r="AC2749" i="6"/>
  <c r="AC3311" i="6"/>
  <c r="AC3574" i="6"/>
  <c r="AC3617" i="6"/>
  <c r="AC3648" i="6"/>
  <c r="AC1969" i="6"/>
  <c r="AC2544" i="6"/>
  <c r="AC2651" i="6"/>
  <c r="AC2852" i="6"/>
  <c r="AC3532" i="6"/>
  <c r="AC3583" i="6"/>
  <c r="AC3618" i="6"/>
  <c r="AC3649" i="6"/>
  <c r="AC1987" i="6"/>
  <c r="AC2072" i="6"/>
  <c r="AC2737" i="6"/>
  <c r="AC2548" i="6"/>
  <c r="AC2655" i="6"/>
  <c r="AC3542" i="6"/>
  <c r="AC1991" i="6"/>
  <c r="AC2076" i="6"/>
  <c r="AC2741" i="6"/>
  <c r="AC3548" i="6"/>
  <c r="AC3633" i="6"/>
  <c r="AC3662" i="6"/>
  <c r="L1967" i="6"/>
  <c r="L1989" i="6"/>
  <c r="BC1544" i="6"/>
  <c r="Y206" i="15"/>
  <c r="BE1548" i="6"/>
  <c r="AB208" i="15"/>
  <c r="BC1558" i="6"/>
  <c r="Y211" i="15"/>
  <c r="BC1588" i="6"/>
  <c r="Y220" i="15"/>
  <c r="BC1590" i="6"/>
  <c r="X221" i="15"/>
  <c r="BC1630" i="6"/>
  <c r="X236" i="15"/>
  <c r="BE1650" i="6"/>
  <c r="AB244" i="15"/>
  <c r="BE1652" i="6"/>
  <c r="AB245" i="15"/>
  <c r="BC1662" i="6"/>
  <c r="X250" i="15"/>
  <c r="Z250" i="15" s="1"/>
  <c r="BC1682" i="6"/>
  <c r="X259" i="15"/>
  <c r="BC1694" i="6"/>
  <c r="X264" i="15"/>
  <c r="Z264" i="15" s="1"/>
  <c r="BC1704" i="6"/>
  <c r="Y267" i="15"/>
  <c r="BC1720" i="6"/>
  <c r="Y271" i="15"/>
  <c r="BC1732" i="6"/>
  <c r="X277" i="15"/>
  <c r="Z277" i="15" s="1"/>
  <c r="BC1756" i="6"/>
  <c r="X285" i="15"/>
  <c r="BC1770" i="6"/>
  <c r="Y288" i="15"/>
  <c r="BC1772" i="6"/>
  <c r="X289" i="15"/>
  <c r="BC1788" i="6"/>
  <c r="X293" i="15"/>
  <c r="BC1802" i="6"/>
  <c r="Y296" i="15"/>
  <c r="BC1804" i="6"/>
  <c r="X297" i="15"/>
  <c r="BC1820" i="6"/>
  <c r="X301" i="15"/>
  <c r="BC1834" i="6"/>
  <c r="Y304" i="15"/>
  <c r="BC1836" i="6"/>
  <c r="X305" i="15"/>
  <c r="BC1864" i="6"/>
  <c r="Y312" i="15"/>
  <c r="BC1866" i="6"/>
  <c r="X313" i="15"/>
  <c r="BC1890" i="6"/>
  <c r="X321" i="15"/>
  <c r="Z321" i="15" s="1"/>
  <c r="BC1540" i="6"/>
  <c r="Y205" i="15"/>
  <c r="BC1542" i="6"/>
  <c r="X206" i="15"/>
  <c r="BC1556" i="6"/>
  <c r="X211" i="15"/>
  <c r="BC1586" i="6"/>
  <c r="X220" i="15"/>
  <c r="BC1702" i="6"/>
  <c r="X267" i="15"/>
  <c r="BC1716" i="6"/>
  <c r="Y270" i="15"/>
  <c r="BC1718" i="6"/>
  <c r="X271" i="15"/>
  <c r="BC1730" i="6"/>
  <c r="X276" i="15"/>
  <c r="Z276" i="15" s="1"/>
  <c r="BC1768" i="6"/>
  <c r="X288" i="15"/>
  <c r="BC1800" i="6"/>
  <c r="X296" i="15"/>
  <c r="BC1832" i="6"/>
  <c r="X304" i="15"/>
  <c r="BC1862" i="6"/>
  <c r="X312" i="15"/>
  <c r="BC1888" i="6"/>
  <c r="X320" i="15"/>
  <c r="Z320" i="15" s="1"/>
  <c r="BC1538" i="6"/>
  <c r="X205" i="15"/>
  <c r="BC1598" i="6"/>
  <c r="X224" i="15"/>
  <c r="Z224" i="15" s="1"/>
  <c r="BC1600" i="6"/>
  <c r="X225" i="15"/>
  <c r="Z225" i="15" s="1"/>
  <c r="BC1618" i="6"/>
  <c r="X232" i="15"/>
  <c r="Z232" i="15" s="1"/>
  <c r="BC1620" i="6"/>
  <c r="X233" i="15"/>
  <c r="Z233" i="15" s="1"/>
  <c r="BC1636" i="6"/>
  <c r="Y237" i="15"/>
  <c r="BC1676" i="6"/>
  <c r="X257" i="15"/>
  <c r="Z257" i="15" s="1"/>
  <c r="BC1714" i="6"/>
  <c r="X270" i="15"/>
  <c r="BC1548" i="6"/>
  <c r="X208" i="15"/>
  <c r="Z208" i="15" s="1"/>
  <c r="BC1592" i="6"/>
  <c r="Y221" i="15"/>
  <c r="Z221" i="15" s="1"/>
  <c r="BE1598" i="6"/>
  <c r="AB224" i="15"/>
  <c r="BE1600" i="6"/>
  <c r="AB225" i="15"/>
  <c r="BE1618" i="6"/>
  <c r="AB232" i="15"/>
  <c r="BE1620" i="6"/>
  <c r="AB233" i="15"/>
  <c r="BC1632" i="6"/>
  <c r="Y236" i="15"/>
  <c r="Z236" i="15" s="1"/>
  <c r="BC1634" i="6"/>
  <c r="X237" i="15"/>
  <c r="BC1650" i="6"/>
  <c r="X244" i="15"/>
  <c r="Z244" i="15" s="1"/>
  <c r="BC1652" i="6"/>
  <c r="X245" i="15"/>
  <c r="Z245" i="15" s="1"/>
  <c r="BC1664" i="6"/>
  <c r="X251" i="15"/>
  <c r="Z251" i="15" s="1"/>
  <c r="BC1674" i="6"/>
  <c r="X256" i="15"/>
  <c r="Z256" i="15" s="1"/>
  <c r="BC1684" i="6"/>
  <c r="Y259" i="15"/>
  <c r="BC1696" i="6"/>
  <c r="X265" i="15"/>
  <c r="Z265" i="15" s="1"/>
  <c r="BC1758" i="6"/>
  <c r="Y285" i="15"/>
  <c r="BC1774" i="6"/>
  <c r="Y289" i="15"/>
  <c r="BC1790" i="6"/>
  <c r="Y293" i="15"/>
  <c r="BC1806" i="6"/>
  <c r="Y297" i="15"/>
  <c r="BC1822" i="6"/>
  <c r="Y301" i="15"/>
  <c r="BC1838" i="6"/>
  <c r="Y305" i="15"/>
  <c r="Z305" i="15" s="1"/>
  <c r="BC1868" i="6"/>
  <c r="Y313" i="15"/>
  <c r="M4068" i="6"/>
  <c r="M4078" i="6"/>
  <c r="M4086" i="6"/>
  <c r="L2074" i="6"/>
  <c r="BD1586" i="6" l="1"/>
  <c r="AE220" i="15" s="1"/>
  <c r="AC220" i="15" s="1"/>
  <c r="BD1788" i="6"/>
  <c r="AE293" i="15" s="1"/>
  <c r="AC293" i="15" s="1"/>
  <c r="BD1682" i="6"/>
  <c r="AE259" i="15" s="1"/>
  <c r="AC259" i="15" s="1"/>
  <c r="BD1598" i="6"/>
  <c r="BB1598" i="6" s="1"/>
  <c r="AA224" i="15" s="1"/>
  <c r="BD1556" i="6"/>
  <c r="AE211" i="15" s="1"/>
  <c r="AC211" i="15" s="1"/>
  <c r="BD1820" i="6"/>
  <c r="AE301" i="15" s="1"/>
  <c r="AC301" i="15" s="1"/>
  <c r="BD1548" i="6"/>
  <c r="BB1548" i="6" s="1"/>
  <c r="AA208" i="15" s="1"/>
  <c r="BD1538" i="6"/>
  <c r="AE205" i="15" s="1"/>
  <c r="AC205" i="15" s="1"/>
  <c r="BD1770" i="6"/>
  <c r="AG288" i="15" s="1"/>
  <c r="AD288" i="15" s="1"/>
  <c r="BD1618" i="6"/>
  <c r="AE232" i="15" s="1"/>
  <c r="AC232" i="15" s="1"/>
  <c r="BD1768" i="6"/>
  <c r="AE288" i="15" s="1"/>
  <c r="AC288" i="15" s="1"/>
  <c r="BD1702" i="6"/>
  <c r="AE267" i="15" s="1"/>
  <c r="AC267" i="15" s="1"/>
  <c r="BD1756" i="6"/>
  <c r="AE285" i="15" s="1"/>
  <c r="AC285" i="15" s="1"/>
  <c r="AC3533" i="6"/>
  <c r="AC3312" i="6"/>
  <c r="AC3338" i="6"/>
  <c r="AC3651" i="6"/>
  <c r="AC3650" i="6"/>
  <c r="AC3636" i="6"/>
  <c r="AC3635" i="6"/>
  <c r="AC3620" i="6"/>
  <c r="AC3619" i="6"/>
  <c r="AC3423" i="6"/>
  <c r="AC3565" i="6"/>
  <c r="AC3555" i="6"/>
  <c r="AC3549" i="6"/>
  <c r="AC3543" i="6"/>
  <c r="AC3575" i="6"/>
  <c r="AC3342" i="6"/>
  <c r="AC3427" i="6"/>
  <c r="Z289" i="15"/>
  <c r="Z313" i="15"/>
  <c r="Z301" i="15"/>
  <c r="Z285" i="15"/>
  <c r="Z293" i="15"/>
  <c r="Z259" i="15"/>
  <c r="Z297" i="15"/>
  <c r="Z270" i="15"/>
  <c r="Z312" i="15"/>
  <c r="Z304" i="15"/>
  <c r="Z288" i="15"/>
  <c r="Z267" i="15"/>
  <c r="Z220" i="15"/>
  <c r="Z237" i="15"/>
  <c r="Z205" i="15"/>
  <c r="Z296" i="15"/>
  <c r="Z271" i="15"/>
  <c r="Z211" i="15"/>
  <c r="Z206" i="15"/>
  <c r="J1973" i="6"/>
  <c r="J1972" i="6"/>
  <c r="J1969" i="6"/>
  <c r="J1968" i="6"/>
  <c r="J1967" i="6"/>
  <c r="J1966" i="6"/>
  <c r="J1952" i="6"/>
  <c r="J1951" i="6"/>
  <c r="J1947" i="6"/>
  <c r="J1943" i="6"/>
  <c r="J1942" i="6"/>
  <c r="F1888" i="6"/>
  <c r="BD1888" i="6" s="1"/>
  <c r="F1758" i="6"/>
  <c r="BD1758" i="6" s="1"/>
  <c r="K3083" i="6"/>
  <c r="K3072" i="6"/>
  <c r="K3071" i="6"/>
  <c r="K3057" i="6"/>
  <c r="K3056" i="6"/>
  <c r="K3041" i="6"/>
  <c r="K3040" i="6"/>
  <c r="K3025" i="6"/>
  <c r="K3024" i="6"/>
  <c r="K2998" i="6"/>
  <c r="K2997" i="6"/>
  <c r="K2986" i="6"/>
  <c r="K2976" i="6"/>
  <c r="K2970" i="6"/>
  <c r="K2964" i="6"/>
  <c r="K2956" i="6"/>
  <c r="K2955" i="6"/>
  <c r="K2948" i="6"/>
  <c r="K2938" i="6"/>
  <c r="K2934" i="6"/>
  <c r="K2933" i="6"/>
  <c r="F1540" i="6"/>
  <c r="BD1540" i="6" s="1"/>
  <c r="AE224" i="15" l="1"/>
  <c r="AC224" i="15" s="1"/>
  <c r="BB1618" i="6"/>
  <c r="AA232" i="15" s="1"/>
  <c r="AE208" i="15"/>
  <c r="AC208" i="15" s="1"/>
  <c r="AC3576" i="6"/>
  <c r="AC3534" i="6"/>
  <c r="F1558" i="6"/>
  <c r="F1704" i="6"/>
  <c r="F1822" i="6"/>
  <c r="F1620" i="6"/>
  <c r="BD1620" i="6" s="1"/>
  <c r="AG285" i="15"/>
  <c r="AD285" i="15" s="1"/>
  <c r="M285" i="15"/>
  <c r="J285" i="15" s="1"/>
  <c r="AG205" i="15"/>
  <c r="AD205" i="15" s="1"/>
  <c r="M205" i="15"/>
  <c r="J205" i="15" s="1"/>
  <c r="AE320" i="15"/>
  <c r="AC320" i="15" s="1"/>
  <c r="K320" i="15"/>
  <c r="F1772" i="6"/>
  <c r="BD1772" i="6" s="1"/>
  <c r="F1600" i="6"/>
  <c r="BD1600" i="6" s="1"/>
  <c r="F1732" i="6"/>
  <c r="BD1732" i="6" s="1"/>
  <c r="F1730" i="6"/>
  <c r="BD1730" i="6" s="1"/>
  <c r="F1774" i="6"/>
  <c r="BD1774" i="6" s="1"/>
  <c r="F1592" i="6"/>
  <c r="BD1592" i="6" s="1"/>
  <c r="F1588" i="6"/>
  <c r="BD1588" i="6" s="1"/>
  <c r="F1790" i="6"/>
  <c r="BD1790" i="6" s="1"/>
  <c r="F1590" i="6"/>
  <c r="BD1590" i="6" s="1"/>
  <c r="F1684" i="6"/>
  <c r="BD1684" i="6" s="1"/>
  <c r="H1917" i="6"/>
  <c r="H1916" i="6"/>
  <c r="H1913" i="6"/>
  <c r="H1912" i="6"/>
  <c r="H1909" i="6"/>
  <c r="H1908" i="6"/>
  <c r="H1905" i="6"/>
  <c r="H1904" i="6"/>
  <c r="H1901" i="6"/>
  <c r="H1900" i="6"/>
  <c r="H1895" i="6"/>
  <c r="H1894" i="6"/>
  <c r="H1893" i="6"/>
  <c r="H1892" i="6"/>
  <c r="H1891" i="6"/>
  <c r="I1891" i="6" s="1"/>
  <c r="R321" i="15" s="1"/>
  <c r="H1890" i="6"/>
  <c r="H1889" i="6"/>
  <c r="I1889" i="6" s="1"/>
  <c r="R320" i="15" s="1"/>
  <c r="H1888" i="6"/>
  <c r="I1888" i="6" s="1"/>
  <c r="Q320" i="15" s="1"/>
  <c r="H1885" i="6"/>
  <c r="H1884" i="6"/>
  <c r="H1883" i="6"/>
  <c r="H1882" i="6"/>
  <c r="H1881" i="6"/>
  <c r="H1880" i="6"/>
  <c r="H1879" i="6"/>
  <c r="H1878" i="6"/>
  <c r="H1873" i="6"/>
  <c r="H1872" i="6"/>
  <c r="H1871" i="6"/>
  <c r="H1870" i="6"/>
  <c r="H1869" i="6"/>
  <c r="I1869" i="6" s="1"/>
  <c r="T313" i="15" s="1"/>
  <c r="H1868" i="6"/>
  <c r="H1867" i="6"/>
  <c r="I1867" i="6" s="1"/>
  <c r="R313" i="15" s="1"/>
  <c r="H1866" i="6"/>
  <c r="H1865" i="6"/>
  <c r="I1865" i="6" s="1"/>
  <c r="T312" i="15" s="1"/>
  <c r="H1864" i="6"/>
  <c r="H1863" i="6"/>
  <c r="I1863" i="6" s="1"/>
  <c r="R312" i="15" s="1"/>
  <c r="H1862" i="6"/>
  <c r="H1857" i="6"/>
  <c r="H1856" i="6"/>
  <c r="H1855" i="6"/>
  <c r="H1854" i="6"/>
  <c r="H1853" i="6"/>
  <c r="H1852" i="6"/>
  <c r="H1851" i="6"/>
  <c r="H1850" i="6"/>
  <c r="H1849" i="6"/>
  <c r="H1848" i="6"/>
  <c r="H1843" i="6"/>
  <c r="H1842" i="6"/>
  <c r="H1841" i="6"/>
  <c r="H1840" i="6"/>
  <c r="H1839" i="6"/>
  <c r="I1839" i="6" s="1"/>
  <c r="T305" i="15" s="1"/>
  <c r="H1838" i="6"/>
  <c r="H1837" i="6"/>
  <c r="I1837" i="6" s="1"/>
  <c r="R305" i="15" s="1"/>
  <c r="H1836" i="6"/>
  <c r="H1835" i="6"/>
  <c r="I1835" i="6" s="1"/>
  <c r="T304" i="15" s="1"/>
  <c r="H1834" i="6"/>
  <c r="H1833" i="6"/>
  <c r="I1833" i="6" s="1"/>
  <c r="R304" i="15" s="1"/>
  <c r="H1832" i="6"/>
  <c r="H1827" i="6"/>
  <c r="H1826" i="6"/>
  <c r="H1825" i="6"/>
  <c r="H1824" i="6"/>
  <c r="H1823" i="6"/>
  <c r="I1823" i="6" s="1"/>
  <c r="T301" i="15" s="1"/>
  <c r="H1822" i="6"/>
  <c r="H1821" i="6"/>
  <c r="I1821" i="6" s="1"/>
  <c r="R301" i="15" s="1"/>
  <c r="H1820" i="6"/>
  <c r="I1820" i="6" s="1"/>
  <c r="Q301" i="15" s="1"/>
  <c r="H1819" i="6"/>
  <c r="H1818" i="6"/>
  <c r="H1817" i="6"/>
  <c r="H1816" i="6"/>
  <c r="H1811" i="6"/>
  <c r="H1810" i="6"/>
  <c r="H1809" i="6"/>
  <c r="H1808" i="6"/>
  <c r="H1807" i="6"/>
  <c r="I1807" i="6" s="1"/>
  <c r="T297" i="15" s="1"/>
  <c r="H1806" i="6"/>
  <c r="H1805" i="6"/>
  <c r="I1805" i="6" s="1"/>
  <c r="R297" i="15" s="1"/>
  <c r="H1804" i="6"/>
  <c r="H1803" i="6"/>
  <c r="I1803" i="6" s="1"/>
  <c r="T296" i="15" s="1"/>
  <c r="H1802" i="6"/>
  <c r="H1801" i="6"/>
  <c r="I1801" i="6" s="1"/>
  <c r="R296" i="15" s="1"/>
  <c r="H1800" i="6"/>
  <c r="H1795" i="6"/>
  <c r="H1794" i="6"/>
  <c r="H1793" i="6"/>
  <c r="H1792" i="6"/>
  <c r="H1791" i="6"/>
  <c r="I1791" i="6" s="1"/>
  <c r="T293" i="15" s="1"/>
  <c r="H1790" i="6"/>
  <c r="H1789" i="6"/>
  <c r="I1789" i="6" s="1"/>
  <c r="R293" i="15" s="1"/>
  <c r="H1788" i="6"/>
  <c r="I1788" i="6" s="1"/>
  <c r="Q293" i="15" s="1"/>
  <c r="H1787" i="6"/>
  <c r="H1786" i="6"/>
  <c r="H1785" i="6"/>
  <c r="H1784" i="6"/>
  <c r="H1779" i="6"/>
  <c r="H1778" i="6"/>
  <c r="H1777" i="6"/>
  <c r="H1776" i="6"/>
  <c r="H1775" i="6"/>
  <c r="I1775" i="6" s="1"/>
  <c r="T289" i="15" s="1"/>
  <c r="H1774" i="6"/>
  <c r="H1773" i="6"/>
  <c r="I1773" i="6" s="1"/>
  <c r="R289" i="15" s="1"/>
  <c r="H1772" i="6"/>
  <c r="H1771" i="6"/>
  <c r="I1771" i="6" s="1"/>
  <c r="T288" i="15" s="1"/>
  <c r="H1770" i="6"/>
  <c r="I1770" i="6" s="1"/>
  <c r="S288" i="15" s="1"/>
  <c r="H1769" i="6"/>
  <c r="I1769" i="6" s="1"/>
  <c r="R288" i="15" s="1"/>
  <c r="H1768" i="6"/>
  <c r="I1768" i="6" s="1"/>
  <c r="Q288" i="15" s="1"/>
  <c r="H1763" i="6"/>
  <c r="H1762" i="6"/>
  <c r="H1761" i="6"/>
  <c r="H1760" i="6"/>
  <c r="H1759" i="6"/>
  <c r="I1759" i="6" s="1"/>
  <c r="T285" i="15" s="1"/>
  <c r="H1758" i="6"/>
  <c r="I1758" i="6" s="1"/>
  <c r="S285" i="15" s="1"/>
  <c r="H1757" i="6"/>
  <c r="I1757" i="6" s="1"/>
  <c r="R285" i="15" s="1"/>
  <c r="H1756" i="6"/>
  <c r="I1756" i="6" s="1"/>
  <c r="Q285" i="15" s="1"/>
  <c r="H1755" i="6"/>
  <c r="H1754" i="6"/>
  <c r="H1753" i="6"/>
  <c r="H1752" i="6"/>
  <c r="H1751" i="6"/>
  <c r="H1750" i="6"/>
  <c r="H1749" i="6"/>
  <c r="H1748" i="6"/>
  <c r="H1747" i="6"/>
  <c r="H1746" i="6"/>
  <c r="H1745" i="6"/>
  <c r="H1744" i="6"/>
  <c r="H1743" i="6"/>
  <c r="H1742" i="6"/>
  <c r="H1741" i="6"/>
  <c r="H1740" i="6"/>
  <c r="H1739" i="6"/>
  <c r="H1738" i="6"/>
  <c r="H1737" i="6"/>
  <c r="H1736" i="6"/>
  <c r="H1735" i="6"/>
  <c r="H1734" i="6"/>
  <c r="H1733" i="6"/>
  <c r="I1733" i="6" s="1"/>
  <c r="R277" i="15" s="1"/>
  <c r="H1732" i="6"/>
  <c r="H1731" i="6"/>
  <c r="I1731" i="6" s="1"/>
  <c r="R276" i="15" s="1"/>
  <c r="H1730" i="6"/>
  <c r="H1729" i="6"/>
  <c r="H1728" i="6"/>
  <c r="H1727" i="6"/>
  <c r="H1726" i="6"/>
  <c r="H1723" i="6"/>
  <c r="H1722" i="6"/>
  <c r="H1721" i="6"/>
  <c r="I1721" i="6" s="1"/>
  <c r="T271" i="15" s="1"/>
  <c r="H1720" i="6"/>
  <c r="H1719" i="6"/>
  <c r="I1719" i="6" s="1"/>
  <c r="R271" i="15" s="1"/>
  <c r="H1718" i="6"/>
  <c r="H1717" i="6"/>
  <c r="I1717" i="6" s="1"/>
  <c r="T270" i="15" s="1"/>
  <c r="H1716" i="6"/>
  <c r="H1715" i="6"/>
  <c r="I1715" i="6" s="1"/>
  <c r="R270" i="15" s="1"/>
  <c r="H1714" i="6"/>
  <c r="H1709" i="6"/>
  <c r="H1708" i="6"/>
  <c r="H1707" i="6"/>
  <c r="H1706" i="6"/>
  <c r="H1705" i="6"/>
  <c r="I1705" i="6" s="1"/>
  <c r="T267" i="15" s="1"/>
  <c r="H1704" i="6"/>
  <c r="H1703" i="6"/>
  <c r="I1703" i="6" s="1"/>
  <c r="R267" i="15" s="1"/>
  <c r="H1702" i="6"/>
  <c r="I1702" i="6" s="1"/>
  <c r="Q267" i="15" s="1"/>
  <c r="H1701" i="6"/>
  <c r="H1700" i="6"/>
  <c r="H1699" i="6"/>
  <c r="H1698" i="6"/>
  <c r="H1697" i="6"/>
  <c r="I1697" i="6" s="1"/>
  <c r="R265" i="15" s="1"/>
  <c r="H1696" i="6"/>
  <c r="H1695" i="6"/>
  <c r="I1695" i="6" s="1"/>
  <c r="R264" i="15" s="1"/>
  <c r="H1694" i="6"/>
  <c r="H1691" i="6"/>
  <c r="H1690" i="6"/>
  <c r="H1687" i="6"/>
  <c r="H1686" i="6"/>
  <c r="H1685" i="6"/>
  <c r="I1685" i="6" s="1"/>
  <c r="T259" i="15" s="1"/>
  <c r="H1684" i="6"/>
  <c r="H1683" i="6"/>
  <c r="I1683" i="6" s="1"/>
  <c r="R259" i="15" s="1"/>
  <c r="H1682" i="6"/>
  <c r="I1682" i="6" s="1"/>
  <c r="Q259" i="15" s="1"/>
  <c r="H1681" i="6"/>
  <c r="H1680" i="6"/>
  <c r="H1679" i="6"/>
  <c r="H1678" i="6"/>
  <c r="H1677" i="6"/>
  <c r="I1677" i="6" s="1"/>
  <c r="R257" i="15" s="1"/>
  <c r="H1676" i="6"/>
  <c r="H1675" i="6"/>
  <c r="I1675" i="6" s="1"/>
  <c r="R256" i="15" s="1"/>
  <c r="H1674" i="6"/>
  <c r="H1671" i="6"/>
  <c r="H1670" i="6"/>
  <c r="H1667" i="6"/>
  <c r="H1666" i="6"/>
  <c r="H1665" i="6"/>
  <c r="I1665" i="6" s="1"/>
  <c r="R251" i="15" s="1"/>
  <c r="H1664" i="6"/>
  <c r="H1663" i="6"/>
  <c r="I1663" i="6" s="1"/>
  <c r="R250" i="15" s="1"/>
  <c r="H1662" i="6"/>
  <c r="H1659" i="6"/>
  <c r="H1658" i="6"/>
  <c r="H1655" i="6"/>
  <c r="H1654" i="6"/>
  <c r="H1653" i="6"/>
  <c r="I1653" i="6" s="1"/>
  <c r="R245" i="15" s="1"/>
  <c r="H1652" i="6"/>
  <c r="H1651" i="6"/>
  <c r="I1651" i="6" s="1"/>
  <c r="R244" i="15" s="1"/>
  <c r="H1650" i="6"/>
  <c r="H1647" i="6"/>
  <c r="H1646" i="6"/>
  <c r="H1643" i="6"/>
  <c r="H1642" i="6"/>
  <c r="H1639" i="6"/>
  <c r="H1638" i="6"/>
  <c r="H1637" i="6"/>
  <c r="I1637" i="6" s="1"/>
  <c r="T237" i="15" s="1"/>
  <c r="H1636" i="6"/>
  <c r="H1635" i="6"/>
  <c r="I1635" i="6" s="1"/>
  <c r="R237" i="15" s="1"/>
  <c r="H1634" i="6"/>
  <c r="H1633" i="6"/>
  <c r="I1633" i="6" s="1"/>
  <c r="T236" i="15" s="1"/>
  <c r="H1632" i="6"/>
  <c r="H1631" i="6"/>
  <c r="I1631" i="6" s="1"/>
  <c r="R236" i="15" s="1"/>
  <c r="H1630" i="6"/>
  <c r="H1625" i="6"/>
  <c r="H1624" i="6"/>
  <c r="H1623" i="6"/>
  <c r="H1622" i="6"/>
  <c r="H1621" i="6"/>
  <c r="I1621" i="6" s="1"/>
  <c r="R233" i="15" s="1"/>
  <c r="H1620" i="6"/>
  <c r="H1619" i="6"/>
  <c r="I1619" i="6" s="1"/>
  <c r="R232" i="15" s="1"/>
  <c r="H1618" i="6"/>
  <c r="I1618" i="6" s="1"/>
  <c r="Q232" i="15" s="1"/>
  <c r="H1615" i="6"/>
  <c r="H1614" i="6"/>
  <c r="H1611" i="6"/>
  <c r="H1610" i="6"/>
  <c r="H1605" i="6"/>
  <c r="H1604" i="6"/>
  <c r="H1603" i="6"/>
  <c r="H1602" i="6"/>
  <c r="H1601" i="6"/>
  <c r="I1601" i="6" s="1"/>
  <c r="R225" i="15" s="1"/>
  <c r="H1600" i="6"/>
  <c r="H1599" i="6"/>
  <c r="I1599" i="6" s="1"/>
  <c r="R224" i="15" s="1"/>
  <c r="H1598" i="6"/>
  <c r="I1598" i="6" s="1"/>
  <c r="Q224" i="15" s="1"/>
  <c r="H1595" i="6"/>
  <c r="H1594" i="6"/>
  <c r="H1593" i="6"/>
  <c r="I1593" i="6" s="1"/>
  <c r="T221" i="15" s="1"/>
  <c r="H1592" i="6"/>
  <c r="H1591" i="6"/>
  <c r="I1591" i="6" s="1"/>
  <c r="R221" i="15" s="1"/>
  <c r="H1590" i="6"/>
  <c r="H1589" i="6"/>
  <c r="I1589" i="6" s="1"/>
  <c r="T220" i="15" s="1"/>
  <c r="H1588" i="6"/>
  <c r="H1587" i="6"/>
  <c r="I1587" i="6" s="1"/>
  <c r="R220" i="15" s="1"/>
  <c r="H1586" i="6"/>
  <c r="I1586" i="6" s="1"/>
  <c r="Q220" i="15" s="1"/>
  <c r="H1581" i="6"/>
  <c r="H1580" i="6"/>
  <c r="H1579" i="6"/>
  <c r="H1578" i="6"/>
  <c r="H1573" i="6"/>
  <c r="H1572" i="6"/>
  <c r="H1571" i="6"/>
  <c r="H1570" i="6"/>
  <c r="H1569" i="6"/>
  <c r="H1568" i="6"/>
  <c r="H1565" i="6"/>
  <c r="H1564" i="6"/>
  <c r="H1563" i="6"/>
  <c r="H1562" i="6"/>
  <c r="H1561" i="6"/>
  <c r="H1560" i="6"/>
  <c r="H1559" i="6"/>
  <c r="I1559" i="6" s="1"/>
  <c r="T211" i="15" s="1"/>
  <c r="H1558" i="6"/>
  <c r="H1557" i="6"/>
  <c r="I1557" i="6" s="1"/>
  <c r="R211" i="15" s="1"/>
  <c r="H1556" i="6"/>
  <c r="I1556" i="6" s="1"/>
  <c r="Q211" i="15" s="1"/>
  <c r="H1555" i="6"/>
  <c r="H1554" i="6"/>
  <c r="H1553" i="6"/>
  <c r="H1552" i="6"/>
  <c r="H1551" i="6"/>
  <c r="H1550" i="6"/>
  <c r="H1549" i="6"/>
  <c r="I1549" i="6" s="1"/>
  <c r="R208" i="15" s="1"/>
  <c r="H1548" i="6"/>
  <c r="I1548" i="6" s="1"/>
  <c r="Q208" i="15" s="1"/>
  <c r="H1542" i="6"/>
  <c r="H1543" i="6"/>
  <c r="H1544" i="6"/>
  <c r="H1545" i="6"/>
  <c r="H1546" i="6"/>
  <c r="H1547" i="6"/>
  <c r="H1538" i="6"/>
  <c r="I1538" i="6" s="1"/>
  <c r="Q205" i="15" s="1"/>
  <c r="H1539" i="6"/>
  <c r="I1539" i="6" s="1"/>
  <c r="R205" i="15" s="1"/>
  <c r="H1540" i="6"/>
  <c r="I1540" i="6" s="1"/>
  <c r="S205" i="15" s="1"/>
  <c r="H1541" i="6"/>
  <c r="I1541" i="6" s="1"/>
  <c r="T205" i="15" s="1"/>
  <c r="M301" i="15" l="1"/>
  <c r="J301" i="15" s="1"/>
  <c r="BD1822" i="6"/>
  <c r="AG301" i="15" s="1"/>
  <c r="AD301" i="15" s="1"/>
  <c r="BD1704" i="6"/>
  <c r="AG267" i="15" s="1"/>
  <c r="AD267" i="15" s="1"/>
  <c r="BD1558" i="6"/>
  <c r="AG211" i="15" s="1"/>
  <c r="AD211" i="15" s="1"/>
  <c r="I1704" i="6"/>
  <c r="S267" i="15" s="1"/>
  <c r="P267" i="15" s="1"/>
  <c r="W267" i="15" s="1"/>
  <c r="I1558" i="6"/>
  <c r="S211" i="15" s="1"/>
  <c r="P211" i="15" s="1"/>
  <c r="W211" i="15" s="1"/>
  <c r="AC3535" i="6"/>
  <c r="AC3577" i="6"/>
  <c r="M211" i="15"/>
  <c r="J211" i="15" s="1"/>
  <c r="I1732" i="6"/>
  <c r="Q277" i="15" s="1"/>
  <c r="O277" i="15" s="1"/>
  <c r="W277" i="15" s="1"/>
  <c r="M267" i="15"/>
  <c r="J267" i="15" s="1"/>
  <c r="K233" i="15"/>
  <c r="AN233" i="15" s="1"/>
  <c r="O205" i="15"/>
  <c r="AO205" i="15" s="1"/>
  <c r="I1822" i="6"/>
  <c r="S301" i="15" s="1"/>
  <c r="P301" i="15" s="1"/>
  <c r="W301" i="15" s="1"/>
  <c r="I1620" i="6"/>
  <c r="Q233" i="15" s="1"/>
  <c r="O233" i="15" s="1"/>
  <c r="W233" i="15" s="1"/>
  <c r="I1774" i="6"/>
  <c r="S289" i="15" s="1"/>
  <c r="P289" i="15" s="1"/>
  <c r="W289" i="15" s="1"/>
  <c r="I1590" i="6"/>
  <c r="Q221" i="15" s="1"/>
  <c r="O221" i="15" s="1"/>
  <c r="I1600" i="6"/>
  <c r="Q225" i="15" s="1"/>
  <c r="O225" i="15" s="1"/>
  <c r="W225" i="15" s="1"/>
  <c r="I1684" i="6"/>
  <c r="S259" i="15" s="1"/>
  <c r="P259" i="15" s="1"/>
  <c r="W259" i="15" s="1"/>
  <c r="I1730" i="6"/>
  <c r="Q276" i="15" s="1"/>
  <c r="O276" i="15" s="1"/>
  <c r="W276" i="15" s="1"/>
  <c r="P205" i="15"/>
  <c r="W205" i="15" s="1"/>
  <c r="O224" i="15"/>
  <c r="O232" i="15"/>
  <c r="P285" i="15"/>
  <c r="W285" i="15" s="1"/>
  <c r="P288" i="15"/>
  <c r="W288" i="15" s="1"/>
  <c r="O320" i="15"/>
  <c r="W320" i="15" s="1"/>
  <c r="AE221" i="15"/>
  <c r="AC221" i="15" s="1"/>
  <c r="K221" i="15"/>
  <c r="AG289" i="15"/>
  <c r="AD289" i="15" s="1"/>
  <c r="M289" i="15"/>
  <c r="J289" i="15" s="1"/>
  <c r="K225" i="15"/>
  <c r="AG293" i="15"/>
  <c r="AD293" i="15" s="1"/>
  <c r="M293" i="15"/>
  <c r="J293" i="15" s="1"/>
  <c r="AE276" i="15"/>
  <c r="AC276" i="15" s="1"/>
  <c r="K276" i="15"/>
  <c r="AE289" i="15"/>
  <c r="AC289" i="15" s="1"/>
  <c r="K289" i="15"/>
  <c r="BB1620" i="6"/>
  <c r="AA233" i="15" s="1"/>
  <c r="AE233" i="15"/>
  <c r="AC233" i="15" s="1"/>
  <c r="O208" i="15"/>
  <c r="O211" i="15"/>
  <c r="AO211" i="15" s="1"/>
  <c r="O220" i="15"/>
  <c r="AO220" i="15" s="1"/>
  <c r="AP220" i="15" s="1"/>
  <c r="O259" i="15"/>
  <c r="AO259" i="15" s="1"/>
  <c r="O267" i="15"/>
  <c r="AO267" i="15" s="1"/>
  <c r="O285" i="15"/>
  <c r="AO285" i="15" s="1"/>
  <c r="O288" i="15"/>
  <c r="AO288" i="15" s="1"/>
  <c r="AP288" i="15" s="1"/>
  <c r="O293" i="15"/>
  <c r="AO293" i="15" s="1"/>
  <c r="O301" i="15"/>
  <c r="AO301" i="15" s="1"/>
  <c r="AG220" i="15"/>
  <c r="AD220" i="15" s="1"/>
  <c r="M220" i="15"/>
  <c r="J220" i="15" s="1"/>
  <c r="AE277" i="15"/>
  <c r="AC277" i="15" s="1"/>
  <c r="K277" i="15"/>
  <c r="I320" i="15"/>
  <c r="AN320" i="15"/>
  <c r="AG259" i="15"/>
  <c r="AD259" i="15" s="1"/>
  <c r="M259" i="15"/>
  <c r="J259" i="15" s="1"/>
  <c r="AG221" i="15"/>
  <c r="AD221" i="15" s="1"/>
  <c r="M221" i="15"/>
  <c r="J221" i="15" s="1"/>
  <c r="I1592" i="6"/>
  <c r="S221" i="15" s="1"/>
  <c r="P221" i="15" s="1"/>
  <c r="W221" i="15" s="1"/>
  <c r="I1790" i="6"/>
  <c r="S293" i="15" s="1"/>
  <c r="P293" i="15" s="1"/>
  <c r="W293" i="15" s="1"/>
  <c r="I1772" i="6"/>
  <c r="Q289" i="15" s="1"/>
  <c r="O289" i="15" s="1"/>
  <c r="I1588" i="6"/>
  <c r="S220" i="15" s="1"/>
  <c r="P220" i="15" s="1"/>
  <c r="W220" i="15" s="1"/>
  <c r="F1491" i="6"/>
  <c r="F1492" i="6"/>
  <c r="F1493" i="6"/>
  <c r="F1494" i="6"/>
  <c r="F1495" i="6"/>
  <c r="F1496" i="6"/>
  <c r="F1478" i="6"/>
  <c r="F1477" i="6"/>
  <c r="F1476" i="6"/>
  <c r="F1475" i="6"/>
  <c r="F1474" i="6"/>
  <c r="F1473" i="6"/>
  <c r="F1472" i="6"/>
  <c r="F1471" i="6"/>
  <c r="F1470" i="6"/>
  <c r="F1469" i="6"/>
  <c r="F1468" i="6"/>
  <c r="F1467" i="6"/>
  <c r="F1466" i="6"/>
  <c r="F1465" i="6"/>
  <c r="F1464" i="6"/>
  <c r="F1463" i="6"/>
  <c r="F1462" i="6"/>
  <c r="F1461" i="6"/>
  <c r="I233" i="15" l="1"/>
  <c r="AO320" i="15"/>
  <c r="AP320" i="15" s="1"/>
  <c r="AO233" i="15"/>
  <c r="AP233" i="15" s="1"/>
  <c r="AN277" i="15"/>
  <c r="AO277" i="15" s="1"/>
  <c r="I277" i="15"/>
  <c r="W208" i="15"/>
  <c r="AO208" i="15"/>
  <c r="BB1600" i="6"/>
  <c r="AA225" i="15" s="1"/>
  <c r="AE225" i="15"/>
  <c r="AC225" i="15" s="1"/>
  <c r="AN276" i="15"/>
  <c r="AO276" i="15" s="1"/>
  <c r="I276" i="15"/>
  <c r="W232" i="15"/>
  <c r="AO232" i="15"/>
  <c r="AP232" i="15" s="1"/>
  <c r="W224" i="15"/>
  <c r="AO224" i="15"/>
  <c r="AP224" i="15" s="1"/>
  <c r="AN289" i="15"/>
  <c r="AO289" i="15" s="1"/>
  <c r="AP289" i="15" s="1"/>
  <c r="I289" i="15"/>
  <c r="AN225" i="15"/>
  <c r="AO225" i="15" s="1"/>
  <c r="AP225" i="15" s="1"/>
  <c r="I225" i="15"/>
  <c r="AN221" i="15"/>
  <c r="AO221" i="15" s="1"/>
  <c r="AP221" i="15" s="1"/>
  <c r="I221" i="15"/>
  <c r="L14" i="6"/>
  <c r="L13" i="6"/>
  <c r="J14" i="6"/>
  <c r="I14" i="6"/>
  <c r="J13" i="6"/>
  <c r="I13" i="6"/>
  <c r="K8" i="6"/>
  <c r="K7" i="6"/>
  <c r="J8" i="6"/>
  <c r="J7" i="6"/>
  <c r="I8" i="6"/>
  <c r="I7" i="6"/>
  <c r="K12" i="6"/>
  <c r="K10" i="6"/>
  <c r="J10" i="6"/>
  <c r="J12" i="6"/>
  <c r="J16" i="6"/>
  <c r="J18" i="6"/>
  <c r="I18" i="6"/>
  <c r="I16" i="6"/>
  <c r="I12" i="6"/>
  <c r="I10" i="6"/>
  <c r="AG269" i="5"/>
  <c r="AF269" i="5"/>
  <c r="AE269" i="5"/>
  <c r="AD269" i="5"/>
  <c r="AC269" i="5"/>
  <c r="AB269" i="5"/>
  <c r="AA269" i="5"/>
  <c r="Z269" i="5"/>
  <c r="Y269" i="5"/>
  <c r="X269" i="5"/>
  <c r="W269" i="5"/>
  <c r="G252" i="5"/>
  <c r="H67" i="3"/>
  <c r="H68" i="3"/>
  <c r="H69" i="3"/>
  <c r="DJ829" i="2" l="1"/>
  <c r="DJ812" i="2"/>
  <c r="DJ811" i="2"/>
  <c r="DJ795" i="2"/>
  <c r="DJ777" i="2"/>
  <c r="DJ776" i="2"/>
  <c r="DJ759" i="2"/>
  <c r="DJ743" i="2"/>
  <c r="DJ727" i="2"/>
  <c r="DJ711" i="2"/>
  <c r="DJ694" i="2"/>
  <c r="DJ693" i="2"/>
  <c r="DJ677" i="2"/>
  <c r="DJ660" i="2"/>
  <c r="DJ659" i="2"/>
  <c r="DJ642" i="2"/>
  <c r="DJ641" i="2"/>
  <c r="DJ619" i="2"/>
  <c r="DJ618" i="2"/>
  <c r="DJ575" i="2"/>
  <c r="DJ555" i="2"/>
  <c r="DJ554" i="2"/>
  <c r="DJ553" i="2"/>
  <c r="DJ552" i="2"/>
  <c r="DJ551" i="2"/>
  <c r="DJ550" i="2"/>
  <c r="DJ549" i="2"/>
  <c r="DJ529" i="2"/>
  <c r="DJ528" i="2"/>
  <c r="DJ527" i="2"/>
  <c r="DJ526" i="2"/>
  <c r="DJ525" i="2"/>
  <c r="DJ524" i="2"/>
  <c r="DJ523" i="2"/>
  <c r="DJ503" i="2"/>
  <c r="DJ502" i="2"/>
  <c r="DJ501" i="2"/>
  <c r="DJ500" i="2"/>
  <c r="DJ499" i="2"/>
  <c r="DJ482" i="2"/>
  <c r="DJ481" i="2"/>
  <c r="DJ480" i="2"/>
  <c r="DJ479" i="2"/>
  <c r="DJ444" i="2"/>
  <c r="DJ424" i="2"/>
  <c r="DJ423" i="2"/>
  <c r="DJ422" i="2"/>
  <c r="DJ421" i="2"/>
  <c r="DJ420" i="2"/>
  <c r="DJ419" i="2"/>
  <c r="DJ401" i="2"/>
  <c r="DJ400" i="2"/>
  <c r="DJ399" i="2"/>
  <c r="DJ398" i="2"/>
  <c r="DJ397" i="2"/>
  <c r="DJ350" i="2"/>
  <c r="DJ349" i="2"/>
  <c r="DJ347" i="2"/>
  <c r="DJ333" i="2"/>
  <c r="DJ315" i="2"/>
  <c r="DJ314" i="2"/>
  <c r="DJ313" i="2"/>
  <c r="DJ294" i="2"/>
  <c r="DJ293" i="2"/>
  <c r="DJ292" i="2"/>
  <c r="DJ291" i="2"/>
  <c r="DJ275" i="2"/>
  <c r="DJ244" i="2"/>
  <c r="DJ243" i="2"/>
  <c r="DJ223" i="2"/>
  <c r="DJ222" i="2"/>
  <c r="DJ221" i="2"/>
  <c r="DJ220" i="2"/>
  <c r="DJ219" i="2"/>
  <c r="DJ200" i="2"/>
  <c r="DJ199" i="2"/>
  <c r="DJ171" i="2"/>
  <c r="DJ170" i="2"/>
  <c r="DJ169" i="2"/>
  <c r="DJ168" i="2"/>
  <c r="DJ167" i="2"/>
  <c r="DJ166" i="2"/>
  <c r="DJ165" i="2"/>
  <c r="DJ164" i="2"/>
  <c r="DJ163" i="2"/>
  <c r="DJ162" i="2"/>
  <c r="DJ161" i="2"/>
  <c r="DJ160" i="2"/>
  <c r="DJ159" i="2"/>
  <c r="DJ158" i="2"/>
  <c r="DJ157" i="2"/>
  <c r="DJ156" i="2"/>
  <c r="DJ155" i="2"/>
  <c r="DJ154" i="2"/>
  <c r="DJ126" i="2"/>
  <c r="DJ125" i="2"/>
  <c r="DJ124" i="2"/>
  <c r="DJ123" i="2"/>
  <c r="DJ122" i="2"/>
  <c r="DJ121" i="2"/>
  <c r="DJ120" i="2"/>
  <c r="DJ119" i="2"/>
  <c r="DJ99" i="2"/>
  <c r="DJ33" i="2"/>
  <c r="DJ31" i="2"/>
  <c r="DJ30" i="2"/>
  <c r="DJ28" i="2"/>
  <c r="DJ27" i="2"/>
  <c r="DJ25" i="2"/>
  <c r="DJ24" i="2"/>
  <c r="DJ23" i="2"/>
  <c r="DJ22" i="2"/>
  <c r="DJ21" i="2"/>
  <c r="DJ20" i="2"/>
  <c r="DJ19" i="2"/>
  <c r="DJ18" i="2"/>
  <c r="DJ17" i="2"/>
  <c r="DJ15" i="2"/>
  <c r="DJ14" i="2"/>
  <c r="DJ13" i="2"/>
  <c r="DJ12" i="2"/>
  <c r="DJ11" i="2"/>
  <c r="DJ10" i="2"/>
  <c r="DJ9" i="2"/>
  <c r="BE22" i="10"/>
  <c r="BE8" i="10"/>
  <c r="BE7" i="10"/>
  <c r="BE291" i="9"/>
  <c r="BE289" i="9"/>
  <c r="BE288" i="9"/>
  <c r="BE287" i="9"/>
  <c r="BE286" i="9"/>
  <c r="BE285" i="9"/>
  <c r="BE284" i="9"/>
  <c r="BE283" i="9"/>
  <c r="BE282" i="9"/>
  <c r="BE281" i="9"/>
  <c r="BE280" i="9"/>
  <c r="BE279" i="9"/>
  <c r="BE278" i="9"/>
  <c r="BE277" i="9"/>
  <c r="BE276" i="9"/>
  <c r="BE275" i="9"/>
  <c r="BE228" i="9"/>
  <c r="BE1311" i="7"/>
  <c r="BE1309" i="7"/>
  <c r="BE943" i="7"/>
  <c r="BE941" i="7"/>
  <c r="BE939" i="7"/>
  <c r="BE937" i="7"/>
  <c r="BE935" i="7"/>
  <c r="BE933" i="7"/>
  <c r="BE931" i="7"/>
  <c r="BE929" i="7"/>
  <c r="BE927" i="7"/>
  <c r="BE925" i="7"/>
  <c r="BE923" i="7"/>
  <c r="BE921" i="7"/>
  <c r="BE703" i="7"/>
  <c r="BE701" i="7"/>
  <c r="BE699" i="7"/>
  <c r="BE697" i="7"/>
  <c r="BE695" i="7"/>
  <c r="BE693" i="7"/>
  <c r="BE691" i="7"/>
  <c r="BE689" i="7"/>
  <c r="BE687" i="7"/>
  <c r="BE685" i="7"/>
  <c r="BE683" i="7"/>
  <c r="BE15" i="7"/>
  <c r="BE1434" i="6"/>
  <c r="BE1433" i="6"/>
  <c r="BE1432" i="6"/>
  <c r="BE1431" i="6"/>
  <c r="BE1430" i="6"/>
  <c r="BE1429" i="6"/>
  <c r="BE1428" i="6"/>
  <c r="BE1427" i="6"/>
  <c r="BE1426" i="6"/>
  <c r="BE1425" i="6"/>
  <c r="BE1424" i="6"/>
  <c r="BE1423" i="6"/>
  <c r="BE1330" i="6"/>
  <c r="BE1328" i="6"/>
  <c r="BE1326" i="6"/>
  <c r="BE1324" i="6"/>
  <c r="BE1322" i="6"/>
  <c r="BE1320" i="6"/>
  <c r="BE172" i="16"/>
  <c r="BE80" i="16"/>
  <c r="BE78" i="16"/>
  <c r="BE76" i="16"/>
  <c r="BE74" i="16"/>
  <c r="BE72" i="16"/>
  <c r="BE70" i="16"/>
  <c r="BE68" i="16"/>
  <c r="BE66" i="16"/>
  <c r="BE64" i="16"/>
  <c r="BE62" i="16"/>
  <c r="BE60" i="16"/>
  <c r="BE58" i="16"/>
  <c r="BE7" i="8"/>
  <c r="BE593" i="9"/>
  <c r="BE7" i="11"/>
  <c r="DJ865" i="2"/>
  <c r="DJ864" i="2"/>
  <c r="DJ863" i="2"/>
  <c r="DJ847" i="2"/>
  <c r="DJ830" i="2"/>
  <c r="F172" i="16"/>
  <c r="J173" i="16"/>
  <c r="J174" i="16"/>
  <c r="F173" i="16"/>
  <c r="F174" i="16"/>
  <c r="I50" i="15" s="1"/>
  <c r="AN50" i="15" s="1"/>
  <c r="V200" i="16"/>
  <c r="V199" i="16"/>
  <c r="V198" i="16"/>
  <c r="V197" i="16"/>
  <c r="V196" i="16"/>
  <c r="H174" i="16"/>
  <c r="AC127" i="16"/>
  <c r="AC118" i="16"/>
  <c r="AC115" i="16"/>
  <c r="AC111" i="16"/>
  <c r="AC109" i="16"/>
  <c r="BC174" i="16" l="1"/>
  <c r="BD174" i="16" s="1"/>
  <c r="X50" i="15"/>
  <c r="Z50" i="15" s="1"/>
  <c r="I174" i="16"/>
  <c r="O50" i="15" s="1"/>
  <c r="V50" i="15" s="1"/>
  <c r="I8" i="5"/>
  <c r="J490" i="6"/>
  <c r="J484" i="6"/>
  <c r="J481" i="6"/>
  <c r="J472" i="6"/>
  <c r="J466" i="6"/>
  <c r="J468" i="6" s="1"/>
  <c r="J512" i="6"/>
  <c r="J353" i="6"/>
  <c r="J351" i="6"/>
  <c r="J350" i="6"/>
  <c r="J344" i="6"/>
  <c r="J341" i="6"/>
  <c r="J335" i="6"/>
  <c r="J333" i="6"/>
  <c r="J332" i="6"/>
  <c r="J326" i="6"/>
  <c r="J323" i="6"/>
  <c r="J317" i="6"/>
  <c r="J314" i="6"/>
  <c r="J308" i="6"/>
  <c r="J305" i="6"/>
  <c r="J299" i="6"/>
  <c r="J296" i="6"/>
  <c r="J290" i="6"/>
  <c r="J288" i="6"/>
  <c r="J287" i="6"/>
  <c r="J346" i="6"/>
  <c r="J340" i="6"/>
  <c r="J342" i="6" s="1"/>
  <c r="J337" i="6"/>
  <c r="J328" i="6"/>
  <c r="J322" i="6"/>
  <c r="J324" i="6" s="1"/>
  <c r="J319" i="6"/>
  <c r="BB174" i="16" l="1"/>
  <c r="AA50" i="15" s="1"/>
  <c r="AE50" i="15"/>
  <c r="AC50" i="15" s="1"/>
  <c r="AO50" i="15"/>
  <c r="L291" i="9"/>
  <c r="K291" i="9"/>
  <c r="H290" i="9"/>
  <c r="J290" i="9"/>
  <c r="O290" i="9"/>
  <c r="H291" i="9"/>
  <c r="J291" i="9"/>
  <c r="O291" i="9"/>
  <c r="F364" i="9"/>
  <c r="E363" i="9"/>
  <c r="E364" i="9"/>
  <c r="F348" i="9"/>
  <c r="F319" i="9"/>
  <c r="K290" i="9" s="1"/>
  <c r="L1155" i="7"/>
  <c r="K1155" i="7"/>
  <c r="J1153" i="7"/>
  <c r="O1153" i="7"/>
  <c r="J1154" i="7"/>
  <c r="K1154" i="7"/>
  <c r="L1154" i="7"/>
  <c r="O1154" i="7"/>
  <c r="P1154" i="7"/>
  <c r="BE1154" i="7" s="1"/>
  <c r="Q1154" i="7"/>
  <c r="J1155" i="7"/>
  <c r="O1155" i="7"/>
  <c r="F1232" i="7"/>
  <c r="F1189" i="7"/>
  <c r="K1153" i="7" s="1"/>
  <c r="H1155" i="7"/>
  <c r="H1153" i="7"/>
  <c r="L1153" i="7" l="1"/>
  <c r="F1153" i="7" s="1"/>
  <c r="BD1153" i="7" s="1"/>
  <c r="L290" i="9"/>
  <c r="F290" i="9" s="1"/>
  <c r="F291" i="9"/>
  <c r="M291" i="9" s="1"/>
  <c r="F1155" i="7"/>
  <c r="BD1155" i="7" s="1"/>
  <c r="I615" i="15" l="1"/>
  <c r="AN615" i="15" s="1"/>
  <c r="BD290" i="9"/>
  <c r="M1155" i="7"/>
  <c r="O516" i="15" s="1"/>
  <c r="W516" i="15" s="1"/>
  <c r="I516" i="15"/>
  <c r="AN516" i="15" s="1"/>
  <c r="M1153" i="7"/>
  <c r="O514" i="15" s="1"/>
  <c r="W514" i="15" s="1"/>
  <c r="I514" i="15"/>
  <c r="AN514" i="15" s="1"/>
  <c r="M290" i="9"/>
  <c r="O615" i="15" s="1"/>
  <c r="W615" i="15" s="1"/>
  <c r="F57" i="5"/>
  <c r="I83" i="15" s="1"/>
  <c r="AN83" i="15" s="1"/>
  <c r="G99" i="5"/>
  <c r="H57" i="5"/>
  <c r="J57" i="5"/>
  <c r="K57" i="5"/>
  <c r="AO514" i="15" l="1"/>
  <c r="AO615" i="15"/>
  <c r="AO516" i="15"/>
  <c r="BE57" i="5"/>
  <c r="AB83" i="15"/>
  <c r="BC57" i="5"/>
  <c r="BD57" i="5" s="1"/>
  <c r="X83" i="15"/>
  <c r="Z83" i="15" s="1"/>
  <c r="AE516" i="15"/>
  <c r="AC516" i="15" s="1"/>
  <c r="AE514" i="15"/>
  <c r="AC514" i="15" s="1"/>
  <c r="BB290" i="9"/>
  <c r="AA615" i="15" s="1"/>
  <c r="AE615" i="15"/>
  <c r="AC615" i="15" s="1"/>
  <c r="BB57" i="5" l="1"/>
  <c r="AA83" i="15" s="1"/>
  <c r="AE83" i="15"/>
  <c r="AC83" i="15" s="1"/>
  <c r="P32" i="3"/>
  <c r="Q32" i="3"/>
  <c r="P30" i="3"/>
  <c r="Q30" i="3"/>
  <c r="X34" i="15" l="1"/>
  <c r="Z34" i="15" s="1"/>
  <c r="BC32" i="3"/>
  <c r="X32" i="15"/>
  <c r="Z32" i="15" s="1"/>
  <c r="BC30" i="3"/>
  <c r="H88" i="3"/>
  <c r="H89" i="3"/>
  <c r="H90" i="3"/>
  <c r="H91" i="3"/>
  <c r="H92" i="3"/>
  <c r="H93" i="3"/>
  <c r="H94" i="3"/>
  <c r="H95" i="3"/>
  <c r="F93" i="3"/>
  <c r="F94" i="3"/>
  <c r="F95" i="3"/>
  <c r="G67" i="3"/>
  <c r="K30" i="3"/>
  <c r="K31" i="3"/>
  <c r="K32" i="3"/>
  <c r="I30" i="3"/>
  <c r="I31" i="3"/>
  <c r="I32" i="3"/>
  <c r="J569" i="7" l="1"/>
  <c r="J567" i="7"/>
  <c r="J565" i="7"/>
  <c r="L2113" i="6"/>
  <c r="L2098" i="6" l="1"/>
  <c r="L2082" i="6"/>
  <c r="L2047" i="6"/>
  <c r="L2041" i="6"/>
  <c r="L2023" i="6"/>
  <c r="L2013" i="6"/>
  <c r="L1975" i="6"/>
  <c r="L1959" i="6"/>
  <c r="L1954" i="6"/>
  <c r="L1950" i="6"/>
  <c r="L1945" i="6"/>
  <c r="L1941" i="6"/>
  <c r="F1366" i="7" l="1"/>
  <c r="F1365" i="7"/>
  <c r="F1364" i="7"/>
  <c r="F1363" i="7"/>
  <c r="F1362" i="7"/>
  <c r="F1361" i="7"/>
  <c r="F1360" i="7"/>
  <c r="F1359" i="7"/>
  <c r="F1358" i="7"/>
  <c r="F1357" i="7"/>
  <c r="F1356" i="7"/>
  <c r="F1355" i="7"/>
  <c r="F1354" i="7"/>
  <c r="F1353" i="7"/>
  <c r="F1352" i="7"/>
  <c r="F1351" i="7"/>
  <c r="F1350" i="7"/>
  <c r="F1349" i="7"/>
  <c r="F1348" i="7"/>
  <c r="F1347" i="7"/>
  <c r="F1346" i="7"/>
  <c r="F1345" i="7"/>
  <c r="F1344" i="7"/>
  <c r="F1343" i="7"/>
  <c r="F1423" i="6"/>
  <c r="F1425" i="6"/>
  <c r="L1136" i="7"/>
  <c r="K1136" i="7"/>
  <c r="AB303" i="9"/>
  <c r="AB23" i="9"/>
  <c r="AB93" i="9"/>
  <c r="O289" i="9"/>
  <c r="O285" i="9"/>
  <c r="O286" i="9"/>
  <c r="J289" i="9"/>
  <c r="J285" i="9"/>
  <c r="J286" i="9"/>
  <c r="L1149" i="7"/>
  <c r="J1149" i="7"/>
  <c r="J1136" i="7"/>
  <c r="L849" i="7"/>
  <c r="BE849" i="7" s="1"/>
  <c r="J568" i="7"/>
  <c r="N565" i="7"/>
  <c r="N566" i="7"/>
  <c r="N567" i="7"/>
  <c r="N568" i="7"/>
  <c r="N569" i="7"/>
  <c r="N564" i="7"/>
  <c r="K173" i="16" l="1"/>
  <c r="BE173" i="16" s="1"/>
  <c r="J172" i="16"/>
  <c r="L8" i="5"/>
  <c r="L9" i="5"/>
  <c r="L10" i="5"/>
  <c r="L11" i="5"/>
  <c r="M8" i="5"/>
  <c r="BE8" i="5" s="1"/>
  <c r="M9" i="5"/>
  <c r="BE9" i="5" s="1"/>
  <c r="M7" i="5"/>
  <c r="BE7" i="5" s="1"/>
  <c r="J302" i="5"/>
  <c r="J303" i="5"/>
  <c r="J304" i="5"/>
  <c r="J305" i="5"/>
  <c r="J306" i="5"/>
  <c r="J307" i="5"/>
  <c r="J308" i="5"/>
  <c r="J309" i="5"/>
  <c r="K106" i="5"/>
  <c r="K107" i="5"/>
  <c r="K108" i="5"/>
  <c r="K105" i="5"/>
  <c r="J49" i="5"/>
  <c r="J50" i="5"/>
  <c r="J51" i="5"/>
  <c r="J52" i="5"/>
  <c r="J53" i="5"/>
  <c r="J54" i="5"/>
  <c r="J55" i="5"/>
  <c r="J56" i="5"/>
  <c r="J8" i="5"/>
  <c r="H285" i="9"/>
  <c r="H286" i="9"/>
  <c r="H287" i="9"/>
  <c r="H288" i="9"/>
  <c r="H289" i="9"/>
  <c r="K1149" i="7"/>
  <c r="F1149" i="7" s="1"/>
  <c r="F1136" i="7"/>
  <c r="AI109" i="15" l="1"/>
  <c r="H109" i="15"/>
  <c r="G109" i="15"/>
  <c r="C109" i="15"/>
  <c r="AM109" i="15" s="1"/>
  <c r="B109" i="15"/>
  <c r="A109" i="15" s="1"/>
  <c r="J337" i="5"/>
  <c r="X109" i="15" s="1"/>
  <c r="Z109" i="15" s="1"/>
  <c r="G84" i="5" l="1"/>
  <c r="G106" i="3"/>
  <c r="F48" i="5" l="1"/>
  <c r="I57" i="5"/>
  <c r="O83" i="15" s="1"/>
  <c r="F56" i="5"/>
  <c r="F55" i="5"/>
  <c r="F54" i="5"/>
  <c r="F53" i="5"/>
  <c r="F52" i="5"/>
  <c r="F51" i="5"/>
  <c r="F50" i="5"/>
  <c r="F47" i="5"/>
  <c r="F46" i="5"/>
  <c r="W83" i="15" l="1"/>
  <c r="AO83" i="15"/>
  <c r="BC337" i="5"/>
  <c r="K337" i="5"/>
  <c r="H337" i="5"/>
  <c r="G324" i="5"/>
  <c r="G325" i="5"/>
  <c r="G326" i="5"/>
  <c r="F309" i="5" s="1"/>
  <c r="G323" i="5"/>
  <c r="V95" i="2"/>
  <c r="V116" i="2"/>
  <c r="W109" i="2"/>
  <c r="AJ109" i="2" s="1"/>
  <c r="X109" i="2"/>
  <c r="AK109" i="2" s="1"/>
  <c r="Y109" i="2"/>
  <c r="AX109" i="2" s="1"/>
  <c r="Z109" i="2"/>
  <c r="AY109" i="2" s="1"/>
  <c r="AA109" i="2"/>
  <c r="AN109" i="2" s="1"/>
  <c r="AC109" i="2"/>
  <c r="BB109" i="2" s="1"/>
  <c r="AD109" i="2"/>
  <c r="BC109" i="2" s="1"/>
  <c r="AE109" i="2"/>
  <c r="AR109" i="2" s="1"/>
  <c r="AF109" i="2"/>
  <c r="AS109" i="2" s="1"/>
  <c r="AG109" i="2"/>
  <c r="AO109" i="2"/>
  <c r="BH109" i="2"/>
  <c r="BI109" i="2"/>
  <c r="BJ109" i="2"/>
  <c r="BK109" i="2"/>
  <c r="BL109" i="2"/>
  <c r="BN109" i="2"/>
  <c r="BO109" i="2"/>
  <c r="BP109" i="2"/>
  <c r="BQ109" i="2"/>
  <c r="AZ109" i="2" l="1"/>
  <c r="AP109" i="2"/>
  <c r="AM109" i="2"/>
  <c r="AB109" i="15"/>
  <c r="BE337" i="5"/>
  <c r="AL109" i="2"/>
  <c r="AQ109" i="2"/>
  <c r="F301" i="5"/>
  <c r="AW109" i="2"/>
  <c r="BE109" i="2"/>
  <c r="AV109" i="2"/>
  <c r="BD109" i="2"/>
  <c r="J124" i="2"/>
  <c r="J123" i="2"/>
  <c r="J122" i="2"/>
  <c r="J121" i="2"/>
  <c r="J119" i="2"/>
  <c r="AO8" i="2" l="1"/>
  <c r="BA8" i="2"/>
  <c r="A1" i="20"/>
  <c r="AI616" i="15"/>
  <c r="AD616" i="15"/>
  <c r="AB616" i="15"/>
  <c r="X616" i="15"/>
  <c r="Z616" i="15" s="1"/>
  <c r="H616" i="15"/>
  <c r="G616" i="15"/>
  <c r="C616" i="15"/>
  <c r="AM616" i="15" s="1"/>
  <c r="B616" i="15"/>
  <c r="A616" i="15" s="1"/>
  <c r="AI76" i="15"/>
  <c r="X76" i="15"/>
  <c r="Z76" i="15" s="1"/>
  <c r="H76" i="15"/>
  <c r="G76" i="15"/>
  <c r="C76" i="15"/>
  <c r="AM76" i="15" s="1"/>
  <c r="B76" i="15"/>
  <c r="A76" i="15" s="1"/>
  <c r="AI75" i="15"/>
  <c r="X75" i="15"/>
  <c r="Z75" i="15" s="1"/>
  <c r="H75" i="15"/>
  <c r="G75" i="15"/>
  <c r="C75" i="15"/>
  <c r="AM75" i="15" s="1"/>
  <c r="B75" i="15"/>
  <c r="A75" i="15" s="1"/>
  <c r="J1" i="20"/>
  <c r="K1" i="20"/>
  <c r="L1" i="20"/>
  <c r="G1" i="20"/>
  <c r="H1" i="20"/>
  <c r="I1" i="20"/>
  <c r="D1" i="20"/>
  <c r="E1" i="20"/>
  <c r="F1" i="20"/>
  <c r="C1" i="20"/>
  <c r="AI682" i="15"/>
  <c r="AD682" i="15"/>
  <c r="AB682" i="15"/>
  <c r="H682" i="15"/>
  <c r="G682" i="15"/>
  <c r="C682" i="15"/>
  <c r="AM682" i="15" s="1"/>
  <c r="B682" i="15"/>
  <c r="A682" i="15" s="1"/>
  <c r="AI681" i="15"/>
  <c r="AD681" i="15"/>
  <c r="AB681" i="15"/>
  <c r="H681" i="15"/>
  <c r="G681" i="15"/>
  <c r="C681" i="15"/>
  <c r="AM681" i="15" s="1"/>
  <c r="B681" i="15"/>
  <c r="A681" i="15" s="1"/>
  <c r="AI680" i="15"/>
  <c r="AD680" i="15"/>
  <c r="AB680" i="15"/>
  <c r="H680" i="15"/>
  <c r="G680" i="15"/>
  <c r="C680" i="15"/>
  <c r="AM680" i="15" s="1"/>
  <c r="B680" i="15"/>
  <c r="A680" i="15" s="1"/>
  <c r="AI679" i="15"/>
  <c r="AD679" i="15"/>
  <c r="AB679" i="15"/>
  <c r="H679" i="15"/>
  <c r="G679" i="15"/>
  <c r="C679" i="15"/>
  <c r="AM679" i="15" s="1"/>
  <c r="B679" i="15"/>
  <c r="A679" i="15" s="1"/>
  <c r="AI678" i="15"/>
  <c r="AD678" i="15"/>
  <c r="AB678" i="15"/>
  <c r="H678" i="15"/>
  <c r="G678" i="15"/>
  <c r="C678" i="15"/>
  <c r="AM678" i="15" s="1"/>
  <c r="B678" i="15"/>
  <c r="A678" i="15" s="1"/>
  <c r="AI677" i="15"/>
  <c r="AD677" i="15"/>
  <c r="AB677" i="15"/>
  <c r="H677" i="15"/>
  <c r="G677" i="15"/>
  <c r="C677" i="15"/>
  <c r="AM677" i="15" s="1"/>
  <c r="B677" i="15"/>
  <c r="A677" i="15" s="1"/>
  <c r="AI676" i="15"/>
  <c r="AD676" i="15"/>
  <c r="AB676" i="15"/>
  <c r="H676" i="15"/>
  <c r="G676" i="15"/>
  <c r="C676" i="15"/>
  <c r="AM676" i="15" s="1"/>
  <c r="B676" i="15"/>
  <c r="A676" i="15" s="1"/>
  <c r="AI675" i="15"/>
  <c r="AD675" i="15"/>
  <c r="AB675" i="15"/>
  <c r="H675" i="15"/>
  <c r="G675" i="15"/>
  <c r="C675" i="15"/>
  <c r="AM675" i="15" s="1"/>
  <c r="B675" i="15"/>
  <c r="A675" i="15" s="1"/>
  <c r="AI668" i="15"/>
  <c r="AD668" i="15"/>
  <c r="AB668" i="15"/>
  <c r="X668" i="15"/>
  <c r="Z668" i="15" s="1"/>
  <c r="H668" i="15"/>
  <c r="G668" i="15"/>
  <c r="C668" i="15"/>
  <c r="AM668" i="15" s="1"/>
  <c r="B668" i="15"/>
  <c r="A668" i="15" s="1"/>
  <c r="AI665" i="15"/>
  <c r="AD665" i="15"/>
  <c r="AB665" i="15"/>
  <c r="X665" i="15"/>
  <c r="Z665" i="15" s="1"/>
  <c r="H665" i="15"/>
  <c r="G665" i="15"/>
  <c r="C665" i="15"/>
  <c r="AM665" i="15" s="1"/>
  <c r="B665" i="15"/>
  <c r="A665" i="15" s="1"/>
  <c r="AI662" i="15"/>
  <c r="AD662" i="15"/>
  <c r="AB662" i="15"/>
  <c r="X662" i="15"/>
  <c r="Z662" i="15" s="1"/>
  <c r="H662" i="15"/>
  <c r="G662" i="15"/>
  <c r="C662" i="15"/>
  <c r="AM662" i="15" s="1"/>
  <c r="B662" i="15"/>
  <c r="A662" i="15" s="1"/>
  <c r="J511" i="9"/>
  <c r="J512" i="9"/>
  <c r="J513" i="9"/>
  <c r="J514" i="9"/>
  <c r="J515" i="9"/>
  <c r="J516" i="9"/>
  <c r="J517" i="9"/>
  <c r="J518" i="9"/>
  <c r="J510" i="9"/>
  <c r="BC285" i="9"/>
  <c r="BC286" i="9"/>
  <c r="BC287" i="9"/>
  <c r="BC288" i="9"/>
  <c r="BC289" i="9"/>
  <c r="AI614" i="15"/>
  <c r="AD614" i="15"/>
  <c r="AB614" i="15"/>
  <c r="X614" i="15"/>
  <c r="Z614" i="15" s="1"/>
  <c r="H614" i="15"/>
  <c r="G614" i="15"/>
  <c r="C614" i="15"/>
  <c r="AM614" i="15" s="1"/>
  <c r="B614" i="15"/>
  <c r="A614" i="15" s="1"/>
  <c r="AI611" i="15"/>
  <c r="AD611" i="15"/>
  <c r="AB611" i="15"/>
  <c r="X611" i="15"/>
  <c r="Z611" i="15" s="1"/>
  <c r="H611" i="15"/>
  <c r="G611" i="15"/>
  <c r="C611" i="15"/>
  <c r="AM611" i="15" s="1"/>
  <c r="B611" i="15"/>
  <c r="A611" i="15" s="1"/>
  <c r="AI610" i="15"/>
  <c r="AD610" i="15"/>
  <c r="AB610" i="15"/>
  <c r="X610" i="15"/>
  <c r="Z610" i="15" s="1"/>
  <c r="H610" i="15"/>
  <c r="G610" i="15"/>
  <c r="C610" i="15"/>
  <c r="AM610" i="15" s="1"/>
  <c r="B610" i="15"/>
  <c r="A610" i="15" s="1"/>
  <c r="AI575" i="15"/>
  <c r="AD575" i="15"/>
  <c r="P575" i="15"/>
  <c r="J575" i="15"/>
  <c r="H575" i="15"/>
  <c r="G575" i="15"/>
  <c r="C575" i="15"/>
  <c r="AM575" i="15" s="1"/>
  <c r="B575" i="15"/>
  <c r="A575" i="15" s="1"/>
  <c r="AI576" i="15"/>
  <c r="AD576" i="15"/>
  <c r="P576" i="15"/>
  <c r="J576" i="15"/>
  <c r="H576" i="15"/>
  <c r="C576" i="15"/>
  <c r="AM576" i="15" s="1"/>
  <c r="B576" i="15"/>
  <c r="A576" i="15" s="1"/>
  <c r="AI577" i="15"/>
  <c r="AD577" i="15"/>
  <c r="P577" i="15"/>
  <c r="J577" i="15"/>
  <c r="H577" i="15"/>
  <c r="G577" i="15"/>
  <c r="C577" i="15"/>
  <c r="AM577" i="15" s="1"/>
  <c r="B577" i="15"/>
  <c r="A577" i="15" s="1"/>
  <c r="AI574" i="15"/>
  <c r="AD574" i="15"/>
  <c r="AB574" i="15"/>
  <c r="X574" i="15"/>
  <c r="Z574" i="15" s="1"/>
  <c r="H574" i="15"/>
  <c r="G574" i="15"/>
  <c r="C574" i="15"/>
  <c r="AM574" i="15" s="1"/>
  <c r="B574" i="15"/>
  <c r="A574" i="15" s="1"/>
  <c r="AI518" i="15"/>
  <c r="AD518" i="15"/>
  <c r="X518" i="15"/>
  <c r="Z518" i="15" s="1"/>
  <c r="H518" i="15"/>
  <c r="G518" i="15"/>
  <c r="C518" i="15"/>
  <c r="AM518" i="15" s="1"/>
  <c r="B518" i="15"/>
  <c r="A518" i="15" s="1"/>
  <c r="BE1396" i="7"/>
  <c r="BD1396" i="7"/>
  <c r="BC1396" i="7"/>
  <c r="BB1396" i="7"/>
  <c r="B554" i="15"/>
  <c r="A554" i="15" s="1"/>
  <c r="C554" i="15"/>
  <c r="AM554" i="15" s="1"/>
  <c r="G554" i="15"/>
  <c r="H554" i="15"/>
  <c r="AD554" i="15"/>
  <c r="AI554" i="15"/>
  <c r="AI565" i="15"/>
  <c r="AD565" i="15"/>
  <c r="H565" i="15"/>
  <c r="G565" i="15"/>
  <c r="C565" i="15"/>
  <c r="AM565" i="15" s="1"/>
  <c r="B565" i="15"/>
  <c r="A565" i="15" s="1"/>
  <c r="AI564" i="15"/>
  <c r="AD564" i="15"/>
  <c r="H564" i="15"/>
  <c r="G564" i="15"/>
  <c r="C564" i="15"/>
  <c r="AM564" i="15" s="1"/>
  <c r="B564" i="15"/>
  <c r="A564" i="15" s="1"/>
  <c r="AI563" i="15"/>
  <c r="AD563" i="15"/>
  <c r="H563" i="15"/>
  <c r="G563" i="15"/>
  <c r="C563" i="15"/>
  <c r="AM563" i="15" s="1"/>
  <c r="B563" i="15"/>
  <c r="A563" i="15" s="1"/>
  <c r="AI562" i="15"/>
  <c r="AD562" i="15"/>
  <c r="H562" i="15"/>
  <c r="G562" i="15"/>
  <c r="C562" i="15"/>
  <c r="AM562" i="15" s="1"/>
  <c r="B562" i="15"/>
  <c r="A562" i="15" s="1"/>
  <c r="AI561" i="15"/>
  <c r="AD561" i="15"/>
  <c r="H561" i="15"/>
  <c r="G561" i="15"/>
  <c r="C561" i="15"/>
  <c r="AM561" i="15" s="1"/>
  <c r="B561" i="15"/>
  <c r="A561" i="15" s="1"/>
  <c r="AI560" i="15"/>
  <c r="AD560" i="15"/>
  <c r="H560" i="15"/>
  <c r="G560" i="15"/>
  <c r="C560" i="15"/>
  <c r="AM560" i="15" s="1"/>
  <c r="B560" i="15"/>
  <c r="A560" i="15" s="1"/>
  <c r="AI559" i="15"/>
  <c r="AD559" i="15"/>
  <c r="H559" i="15"/>
  <c r="G559" i="15"/>
  <c r="C559" i="15"/>
  <c r="AM559" i="15" s="1"/>
  <c r="B559" i="15"/>
  <c r="A559" i="15" s="1"/>
  <c r="AI558" i="15"/>
  <c r="AD558" i="15"/>
  <c r="H558" i="15"/>
  <c r="G558" i="15"/>
  <c r="C558" i="15"/>
  <c r="AM558" i="15" s="1"/>
  <c r="B558" i="15"/>
  <c r="A558" i="15" s="1"/>
  <c r="AI557" i="15"/>
  <c r="AD557" i="15"/>
  <c r="H557" i="15"/>
  <c r="G557" i="15"/>
  <c r="C557" i="15"/>
  <c r="AM557" i="15" s="1"/>
  <c r="B557" i="15"/>
  <c r="A557" i="15" s="1"/>
  <c r="AI556" i="15"/>
  <c r="AD556" i="15"/>
  <c r="H556" i="15"/>
  <c r="G556" i="15"/>
  <c r="C556" i="15"/>
  <c r="AM556" i="15" s="1"/>
  <c r="B556" i="15"/>
  <c r="A556" i="15" s="1"/>
  <c r="AI555" i="15"/>
  <c r="AD555" i="15"/>
  <c r="H555" i="15"/>
  <c r="G555" i="15"/>
  <c r="C555" i="15"/>
  <c r="AM555" i="15" s="1"/>
  <c r="B555" i="15"/>
  <c r="A555" i="15" s="1"/>
  <c r="AI527" i="15"/>
  <c r="AD527" i="15"/>
  <c r="X527" i="15"/>
  <c r="Z527" i="15" s="1"/>
  <c r="H527" i="15"/>
  <c r="G527" i="15"/>
  <c r="C527" i="15"/>
  <c r="AM527" i="15" s="1"/>
  <c r="B527" i="15"/>
  <c r="A527" i="15" s="1"/>
  <c r="AI524" i="15"/>
  <c r="AD524" i="15"/>
  <c r="X524" i="15"/>
  <c r="Z524" i="15" s="1"/>
  <c r="H524" i="15"/>
  <c r="G524" i="15"/>
  <c r="C524" i="15"/>
  <c r="AM524" i="15" s="1"/>
  <c r="B524" i="15"/>
  <c r="A524" i="15" s="1"/>
  <c r="AI521" i="15"/>
  <c r="AD521" i="15"/>
  <c r="X521" i="15"/>
  <c r="Z521" i="15" s="1"/>
  <c r="H521" i="15"/>
  <c r="G521" i="15"/>
  <c r="C521" i="15"/>
  <c r="AM521" i="15" s="1"/>
  <c r="B521" i="15"/>
  <c r="A521" i="15" s="1"/>
  <c r="BC1274" i="7"/>
  <c r="BC1275" i="7"/>
  <c r="BC1276" i="7"/>
  <c r="BC1277" i="7"/>
  <c r="BC1268" i="7"/>
  <c r="BC1269" i="7"/>
  <c r="BC1270" i="7"/>
  <c r="BC1271" i="7"/>
  <c r="BC1272" i="7"/>
  <c r="BC1273" i="7"/>
  <c r="K1277" i="7"/>
  <c r="K1274" i="7"/>
  <c r="K1271" i="7"/>
  <c r="BE1271" i="7" s="1"/>
  <c r="K1275" i="7"/>
  <c r="BE1275" i="7" s="1"/>
  <c r="K1273" i="7"/>
  <c r="BE1273" i="7" s="1"/>
  <c r="K1272" i="7"/>
  <c r="BE1272" i="7" s="1"/>
  <c r="K1270" i="7"/>
  <c r="BE1270" i="7" s="1"/>
  <c r="K1269" i="7"/>
  <c r="BE1269" i="7" s="1"/>
  <c r="K1268" i="7"/>
  <c r="K1267" i="7"/>
  <c r="BE1267" i="7" s="1"/>
  <c r="BC1149" i="7"/>
  <c r="BD1149" i="7" s="1"/>
  <c r="BC1150" i="7"/>
  <c r="BC1151" i="7"/>
  <c r="BC1152" i="7"/>
  <c r="BC1136" i="7"/>
  <c r="BD1136" i="7" s="1"/>
  <c r="AI515" i="15"/>
  <c r="AD515" i="15"/>
  <c r="X515" i="15"/>
  <c r="Z515" i="15" s="1"/>
  <c r="H515" i="15"/>
  <c r="G515" i="15"/>
  <c r="C515" i="15"/>
  <c r="AM515" i="15" s="1"/>
  <c r="B515" i="15"/>
  <c r="A515" i="15" s="1"/>
  <c r="AI510" i="15"/>
  <c r="AD510" i="15"/>
  <c r="X510" i="15"/>
  <c r="Z510" i="15" s="1"/>
  <c r="I510" i="15"/>
  <c r="H510" i="15"/>
  <c r="G510" i="15"/>
  <c r="C510" i="15"/>
  <c r="AM510" i="15" s="1"/>
  <c r="B510" i="15"/>
  <c r="A510" i="15" s="1"/>
  <c r="AI497" i="15"/>
  <c r="AD497" i="15"/>
  <c r="X497" i="15"/>
  <c r="Z497" i="15" s="1"/>
  <c r="I497" i="15"/>
  <c r="H497" i="15"/>
  <c r="G497" i="15"/>
  <c r="C497" i="15"/>
  <c r="AM497" i="15" s="1"/>
  <c r="B497" i="15"/>
  <c r="A497" i="15" s="1"/>
  <c r="L807" i="7"/>
  <c r="BE807" i="7" s="1"/>
  <c r="L806" i="7"/>
  <c r="L808" i="7"/>
  <c r="L809" i="7"/>
  <c r="K807" i="7"/>
  <c r="X464" i="15" s="1"/>
  <c r="Z464" i="15" s="1"/>
  <c r="K808" i="7"/>
  <c r="X465" i="15" s="1"/>
  <c r="Z465" i="15" s="1"/>
  <c r="K809" i="7"/>
  <c r="X466" i="15" s="1"/>
  <c r="Z466" i="15" s="1"/>
  <c r="K806" i="7"/>
  <c r="X463" i="15" s="1"/>
  <c r="Z463" i="15" s="1"/>
  <c r="AI466" i="15"/>
  <c r="AD466" i="15"/>
  <c r="H466" i="15"/>
  <c r="G466" i="15"/>
  <c r="C466" i="15"/>
  <c r="AM466" i="15" s="1"/>
  <c r="B466" i="15"/>
  <c r="A466" i="15" s="1"/>
  <c r="AI465" i="15"/>
  <c r="AD465" i="15"/>
  <c r="H465" i="15"/>
  <c r="G465" i="15"/>
  <c r="C465" i="15"/>
  <c r="AM465" i="15" s="1"/>
  <c r="B465" i="15"/>
  <c r="A465" i="15" s="1"/>
  <c r="AI463" i="15"/>
  <c r="AD463" i="15"/>
  <c r="H463" i="15"/>
  <c r="G463" i="15"/>
  <c r="C463" i="15"/>
  <c r="AM463" i="15" s="1"/>
  <c r="B463" i="15"/>
  <c r="A463" i="15" s="1"/>
  <c r="AI464" i="15"/>
  <c r="AD464" i="15"/>
  <c r="H464" i="15"/>
  <c r="G464" i="15"/>
  <c r="C464" i="15"/>
  <c r="AM464" i="15" s="1"/>
  <c r="B464" i="15"/>
  <c r="A464" i="15" s="1"/>
  <c r="AI460" i="15"/>
  <c r="AD460" i="15"/>
  <c r="H460" i="15"/>
  <c r="G460" i="15"/>
  <c r="C460" i="15"/>
  <c r="AM460" i="15" s="1"/>
  <c r="B460" i="15"/>
  <c r="A460" i="15" s="1"/>
  <c r="AD434" i="15"/>
  <c r="J434" i="15"/>
  <c r="H434" i="15"/>
  <c r="G434" i="15"/>
  <c r="C434" i="15"/>
  <c r="AM434" i="15" s="1"/>
  <c r="B434" i="15"/>
  <c r="A434" i="15" s="1"/>
  <c r="AD433" i="15"/>
  <c r="J433" i="15"/>
  <c r="H433" i="15"/>
  <c r="G433" i="15"/>
  <c r="C433" i="15"/>
  <c r="AM433" i="15" s="1"/>
  <c r="B433" i="15"/>
  <c r="A433" i="15" s="1"/>
  <c r="AI110" i="15"/>
  <c r="H110" i="15"/>
  <c r="G110" i="15"/>
  <c r="C110" i="15"/>
  <c r="AM110" i="15" s="1"/>
  <c r="B110" i="15"/>
  <c r="A110" i="15" s="1"/>
  <c r="AI107" i="15"/>
  <c r="X107" i="15"/>
  <c r="Z107" i="15" s="1"/>
  <c r="H107" i="15"/>
  <c r="G107" i="15"/>
  <c r="C107" i="15"/>
  <c r="AM107" i="15" s="1"/>
  <c r="B107" i="15"/>
  <c r="A107" i="15" s="1"/>
  <c r="AI104" i="15"/>
  <c r="X104" i="15"/>
  <c r="Z104" i="15" s="1"/>
  <c r="H104" i="15"/>
  <c r="G104" i="15"/>
  <c r="C104" i="15"/>
  <c r="AM104" i="15" s="1"/>
  <c r="B104" i="15"/>
  <c r="A104" i="15" s="1"/>
  <c r="AI101" i="15"/>
  <c r="X101" i="15"/>
  <c r="Z101" i="15" s="1"/>
  <c r="H101" i="15"/>
  <c r="G101" i="15"/>
  <c r="C101" i="15"/>
  <c r="AM101" i="15" s="1"/>
  <c r="B101" i="15"/>
  <c r="A101" i="15" s="1"/>
  <c r="AI99" i="15"/>
  <c r="H99" i="15"/>
  <c r="G99" i="15"/>
  <c r="C99" i="15"/>
  <c r="AM99" i="15" s="1"/>
  <c r="B99" i="15"/>
  <c r="A99" i="15" s="1"/>
  <c r="AI97" i="15"/>
  <c r="H97" i="15"/>
  <c r="G97" i="15"/>
  <c r="C97" i="15"/>
  <c r="AM97" i="15" s="1"/>
  <c r="B97" i="15"/>
  <c r="A97" i="15" s="1"/>
  <c r="AI95" i="15"/>
  <c r="H95" i="15"/>
  <c r="G95" i="15"/>
  <c r="C95" i="15"/>
  <c r="AM95" i="15" s="1"/>
  <c r="B95" i="15"/>
  <c r="A95" i="15" s="1"/>
  <c r="AI93" i="15"/>
  <c r="H93" i="15"/>
  <c r="G93" i="15"/>
  <c r="C93" i="15"/>
  <c r="AM93" i="15" s="1"/>
  <c r="B93" i="15"/>
  <c r="A93" i="15" s="1"/>
  <c r="AI91" i="15"/>
  <c r="H91" i="15"/>
  <c r="G91" i="15"/>
  <c r="C91" i="15"/>
  <c r="AM91" i="15" s="1"/>
  <c r="B91" i="15"/>
  <c r="A91" i="15" s="1"/>
  <c r="AI89" i="15"/>
  <c r="H89" i="15"/>
  <c r="G89" i="15"/>
  <c r="C89" i="15"/>
  <c r="AM89" i="15" s="1"/>
  <c r="B89" i="15"/>
  <c r="A89" i="15" s="1"/>
  <c r="AI87" i="15"/>
  <c r="X87" i="15"/>
  <c r="Z87" i="15" s="1"/>
  <c r="H87" i="15"/>
  <c r="G87" i="15"/>
  <c r="C87" i="15"/>
  <c r="AM87" i="15" s="1"/>
  <c r="B87" i="15"/>
  <c r="A87" i="15" s="1"/>
  <c r="AI85" i="15"/>
  <c r="X85" i="15"/>
  <c r="Z85" i="15" s="1"/>
  <c r="H85" i="15"/>
  <c r="G85" i="15"/>
  <c r="C85" i="15"/>
  <c r="AM85" i="15" s="1"/>
  <c r="B85" i="15"/>
  <c r="A85" i="15" s="1"/>
  <c r="BC108" i="5"/>
  <c r="BE336" i="5"/>
  <c r="BD336" i="5"/>
  <c r="BC336" i="5"/>
  <c r="BB336" i="5"/>
  <c r="BC54" i="5"/>
  <c r="BD54" i="5" s="1"/>
  <c r="BC55" i="5"/>
  <c r="BD55" i="5" s="1"/>
  <c r="BC56" i="5"/>
  <c r="BD56" i="5" s="1"/>
  <c r="AI82" i="15"/>
  <c r="X82" i="15"/>
  <c r="Z82" i="15" s="1"/>
  <c r="H82" i="15"/>
  <c r="G82" i="15"/>
  <c r="C82" i="15"/>
  <c r="AM82" i="15" s="1"/>
  <c r="B82" i="15"/>
  <c r="A82" i="15" s="1"/>
  <c r="AI81" i="15"/>
  <c r="X81" i="15"/>
  <c r="Z81" i="15" s="1"/>
  <c r="H81" i="15"/>
  <c r="G81" i="15"/>
  <c r="C81" i="15"/>
  <c r="AM81" i="15" s="1"/>
  <c r="B81" i="15"/>
  <c r="A81" i="15" s="1"/>
  <c r="AI80" i="15"/>
  <c r="X80" i="15"/>
  <c r="Z80" i="15" s="1"/>
  <c r="H80" i="15"/>
  <c r="G80" i="15"/>
  <c r="C80" i="15"/>
  <c r="AM80" i="15" s="1"/>
  <c r="B80" i="15"/>
  <c r="A80" i="15" s="1"/>
  <c r="AI69" i="15"/>
  <c r="AB69" i="15"/>
  <c r="X69" i="15"/>
  <c r="Z69" i="15" s="1"/>
  <c r="H69" i="15"/>
  <c r="G69" i="15"/>
  <c r="C69" i="15"/>
  <c r="AM69" i="15" s="1"/>
  <c r="B69" i="15"/>
  <c r="A69" i="15" s="1"/>
  <c r="BC305" i="5"/>
  <c r="BC308" i="5"/>
  <c r="BC302" i="5"/>
  <c r="BC106" i="5"/>
  <c r="BC49" i="5"/>
  <c r="BD49" i="5" s="1"/>
  <c r="BC50" i="5"/>
  <c r="BD50" i="5" s="1"/>
  <c r="BC8" i="5"/>
  <c r="BC9" i="5"/>
  <c r="AI68" i="15"/>
  <c r="AB68" i="15"/>
  <c r="X68" i="15"/>
  <c r="Z68" i="15" s="1"/>
  <c r="H68" i="15"/>
  <c r="G68" i="15"/>
  <c r="C68" i="15"/>
  <c r="AM68" i="15" s="1"/>
  <c r="B68" i="15"/>
  <c r="A68" i="15" s="1"/>
  <c r="K229" i="16"/>
  <c r="BE229" i="16" s="1"/>
  <c r="K228" i="16"/>
  <c r="BE228" i="16" s="1"/>
  <c r="K221" i="16"/>
  <c r="BE221" i="16" s="1"/>
  <c r="K222" i="16"/>
  <c r="BE222" i="16" s="1"/>
  <c r="K223" i="16"/>
  <c r="BE223" i="16" s="1"/>
  <c r="K224" i="16"/>
  <c r="BE224" i="16" s="1"/>
  <c r="K225" i="16"/>
  <c r="BE225" i="16" s="1"/>
  <c r="K226" i="16"/>
  <c r="BE226" i="16" s="1"/>
  <c r="K227" i="16"/>
  <c r="BE227" i="16" s="1"/>
  <c r="K220" i="16"/>
  <c r="BE220" i="16" s="1"/>
  <c r="J221" i="16"/>
  <c r="J222" i="16"/>
  <c r="J223" i="16"/>
  <c r="J224" i="16"/>
  <c r="J225" i="16"/>
  <c r="J226" i="16"/>
  <c r="J227" i="16"/>
  <c r="J228" i="16"/>
  <c r="J229" i="16"/>
  <c r="BC229" i="16" s="1"/>
  <c r="J220" i="16"/>
  <c r="AI60" i="15"/>
  <c r="H60" i="15"/>
  <c r="G60" i="15"/>
  <c r="C60" i="15"/>
  <c r="AM60" i="15" s="1"/>
  <c r="B60" i="15"/>
  <c r="A60" i="15" s="1"/>
  <c r="AI18" i="15"/>
  <c r="AB18" i="15"/>
  <c r="H18" i="15"/>
  <c r="G18" i="15"/>
  <c r="C18" i="15"/>
  <c r="AM18" i="15" s="1"/>
  <c r="B18" i="15"/>
  <c r="A18" i="15" s="1"/>
  <c r="AI17" i="15"/>
  <c r="AB17" i="15"/>
  <c r="H17" i="15"/>
  <c r="G17" i="15"/>
  <c r="C17" i="15"/>
  <c r="AM17" i="15" s="1"/>
  <c r="B17" i="15"/>
  <c r="A17" i="15" s="1"/>
  <c r="J120" i="2"/>
  <c r="X677" i="15"/>
  <c r="Z677" i="15" s="1"/>
  <c r="X678" i="15"/>
  <c r="Z678" i="15" s="1"/>
  <c r="X679" i="15"/>
  <c r="Z679" i="15" s="1"/>
  <c r="X680" i="15"/>
  <c r="Z680" i="15" s="1"/>
  <c r="X675" i="15"/>
  <c r="Z675" i="15" s="1"/>
  <c r="DJ118" i="2"/>
  <c r="DI118" i="2"/>
  <c r="DH118" i="2"/>
  <c r="DG118" i="2"/>
  <c r="AG118" i="2"/>
  <c r="AF118" i="2"/>
  <c r="AS118" i="2" s="1"/>
  <c r="AE118" i="2"/>
  <c r="AR118" i="2" s="1"/>
  <c r="AD118" i="2"/>
  <c r="BC118" i="2" s="1"/>
  <c r="AC118" i="2"/>
  <c r="BB118" i="2" s="1"/>
  <c r="AO118" i="2"/>
  <c r="AA118" i="2"/>
  <c r="AN118" i="2" s="1"/>
  <c r="Z118" i="2"/>
  <c r="AY118" i="2" s="1"/>
  <c r="Y118" i="2"/>
  <c r="AX118" i="2" s="1"/>
  <c r="X118" i="2"/>
  <c r="AK118" i="2" s="1"/>
  <c r="W118" i="2"/>
  <c r="AJ118" i="2" s="1"/>
  <c r="BE137" i="2"/>
  <c r="BD137" i="2"/>
  <c r="BC137" i="2"/>
  <c r="BB137" i="2"/>
  <c r="AZ137" i="2"/>
  <c r="AY137" i="2"/>
  <c r="AX137" i="2"/>
  <c r="AW137" i="2"/>
  <c r="AV137" i="2"/>
  <c r="AS137" i="2"/>
  <c r="AR137" i="2"/>
  <c r="AQ137" i="2"/>
  <c r="AP137" i="2"/>
  <c r="AO137" i="2"/>
  <c r="AN137" i="2"/>
  <c r="AM137" i="2"/>
  <c r="AL137" i="2"/>
  <c r="AK137" i="2"/>
  <c r="AJ137" i="2"/>
  <c r="BQ136" i="2"/>
  <c r="BP136" i="2"/>
  <c r="BO136" i="2"/>
  <c r="BN136" i="2"/>
  <c r="BL136" i="2"/>
  <c r="BK136" i="2"/>
  <c r="BJ136" i="2"/>
  <c r="BI136" i="2"/>
  <c r="BH136" i="2"/>
  <c r="AG136" i="2"/>
  <c r="AF136" i="2"/>
  <c r="BE136" i="2" s="1"/>
  <c r="AE136" i="2"/>
  <c r="BD136" i="2" s="1"/>
  <c r="AD136" i="2"/>
  <c r="AQ136" i="2" s="1"/>
  <c r="AC136" i="2"/>
  <c r="BB136" i="2" s="1"/>
  <c r="AA136" i="2"/>
  <c r="AZ136" i="2" s="1"/>
  <c r="Z136" i="2"/>
  <c r="AM136" i="2" s="1"/>
  <c r="Y136" i="2"/>
  <c r="AX136" i="2" s="1"/>
  <c r="X136" i="2"/>
  <c r="AW136" i="2" s="1"/>
  <c r="W136" i="2"/>
  <c r="AV136" i="2" s="1"/>
  <c r="AN497" i="15" l="1"/>
  <c r="AN510" i="15"/>
  <c r="AB60" i="15"/>
  <c r="X676" i="15"/>
  <c r="Z676" i="15" s="1"/>
  <c r="AB466" i="15"/>
  <c r="BE809" i="7"/>
  <c r="AB465" i="15"/>
  <c r="BE808" i="7"/>
  <c r="AB524" i="15"/>
  <c r="BE1274" i="7"/>
  <c r="AB463" i="15"/>
  <c r="BE806" i="7"/>
  <c r="AB518" i="15"/>
  <c r="BE1268" i="7"/>
  <c r="AB527" i="15"/>
  <c r="BE1277" i="7"/>
  <c r="X60" i="15"/>
  <c r="Z60" i="15" s="1"/>
  <c r="BC807" i="7"/>
  <c r="AB464" i="15"/>
  <c r="AP118" i="2"/>
  <c r="AK136" i="2"/>
  <c r="AP136" i="2"/>
  <c r="AB521" i="15"/>
  <c r="X682" i="15"/>
  <c r="Z682" i="15" s="1"/>
  <c r="AL136" i="2"/>
  <c r="AR136" i="2"/>
  <c r="AV118" i="2"/>
  <c r="AN136" i="2"/>
  <c r="AS136" i="2"/>
  <c r="AZ118" i="2"/>
  <c r="X681" i="15"/>
  <c r="Z681" i="15" s="1"/>
  <c r="AJ136" i="2"/>
  <c r="AO136" i="2"/>
  <c r="AL118" i="2"/>
  <c r="BD118" i="2"/>
  <c r="AE510" i="15"/>
  <c r="AC510" i="15" s="1"/>
  <c r="AE497" i="15"/>
  <c r="AC497" i="15" s="1"/>
  <c r="AM118" i="2"/>
  <c r="AQ118" i="2"/>
  <c r="AW118" i="2"/>
  <c r="BE118" i="2"/>
  <c r="AY136" i="2"/>
  <c r="BC136" i="2"/>
  <c r="H120" i="2"/>
  <c r="H121" i="2"/>
  <c r="H122" i="2"/>
  <c r="H123" i="2"/>
  <c r="H124" i="2"/>
  <c r="H125" i="2"/>
  <c r="H126" i="2"/>
  <c r="H119" i="2"/>
  <c r="D145" i="2"/>
  <c r="D144" i="2"/>
  <c r="D143" i="2"/>
  <c r="D142" i="2"/>
  <c r="D141" i="2"/>
  <c r="D140" i="2"/>
  <c r="D139" i="2"/>
  <c r="D138" i="2"/>
  <c r="DH126" i="2"/>
  <c r="DI126" i="2" s="1"/>
  <c r="DH125" i="2"/>
  <c r="DI125" i="2" s="1"/>
  <c r="DH124" i="2"/>
  <c r="DI124" i="2" s="1"/>
  <c r="DH123" i="2"/>
  <c r="DI123" i="2" s="1"/>
  <c r="DH122" i="2"/>
  <c r="DI122" i="2" s="1"/>
  <c r="DH121" i="2"/>
  <c r="DI121" i="2" s="1"/>
  <c r="DH120" i="2"/>
  <c r="DI120" i="2" s="1"/>
  <c r="DH119" i="2"/>
  <c r="DI119" i="2" s="1"/>
  <c r="I119" i="2"/>
  <c r="I121" i="2" l="1"/>
  <c r="O677" i="15" s="1"/>
  <c r="I126" i="2"/>
  <c r="O682" i="15" s="1"/>
  <c r="I122" i="2"/>
  <c r="O678" i="15" s="1"/>
  <c r="W678" i="15" s="1"/>
  <c r="V678" i="15" s="1"/>
  <c r="U678" i="15" s="1"/>
  <c r="I120" i="2"/>
  <c r="O676" i="15" s="1"/>
  <c r="W676" i="15" s="1"/>
  <c r="V676" i="15" s="1"/>
  <c r="U676" i="15" s="1"/>
  <c r="I123" i="2"/>
  <c r="O679" i="15" s="1"/>
  <c r="I124" i="2"/>
  <c r="O680" i="15" s="1"/>
  <c r="W680" i="15" s="1"/>
  <c r="V680" i="15" s="1"/>
  <c r="U680" i="15" s="1"/>
  <c r="I125" i="2"/>
  <c r="O681" i="15" s="1"/>
  <c r="I680" i="15"/>
  <c r="AN680" i="15" s="1"/>
  <c r="I676" i="15"/>
  <c r="AN676" i="15" s="1"/>
  <c r="I681" i="15"/>
  <c r="AN681" i="15" s="1"/>
  <c r="I678" i="15"/>
  <c r="AN678" i="15" s="1"/>
  <c r="I682" i="15"/>
  <c r="AN682" i="15" s="1"/>
  <c r="DG119" i="2"/>
  <c r="AA675" i="15" s="1"/>
  <c r="DG120" i="2"/>
  <c r="AA676" i="15" s="1"/>
  <c r="I677" i="15"/>
  <c r="AN677" i="15" s="1"/>
  <c r="I675" i="15"/>
  <c r="AN675" i="15" s="1"/>
  <c r="I679" i="15"/>
  <c r="AN679" i="15" s="1"/>
  <c r="O675" i="15"/>
  <c r="AO675" i="15" l="1"/>
  <c r="AO680" i="15"/>
  <c r="AO679" i="15"/>
  <c r="AO676" i="15"/>
  <c r="AO677" i="15"/>
  <c r="AO682" i="15"/>
  <c r="AO678" i="15"/>
  <c r="AO681" i="15"/>
  <c r="W681" i="15"/>
  <c r="V681" i="15" s="1"/>
  <c r="U681" i="15" s="1"/>
  <c r="W682" i="15"/>
  <c r="V682" i="15" s="1"/>
  <c r="U682" i="15" s="1"/>
  <c r="AE675" i="15"/>
  <c r="AC675" i="15" s="1"/>
  <c r="AE676" i="15"/>
  <c r="AC676" i="15" s="1"/>
  <c r="W679" i="15"/>
  <c r="V679" i="15" s="1"/>
  <c r="U679" i="15" s="1"/>
  <c r="W677" i="15"/>
  <c r="V677" i="15" s="1"/>
  <c r="U677" i="15" s="1"/>
  <c r="W675" i="15"/>
  <c r="V675" i="15" s="1"/>
  <c r="U675" i="15" s="1"/>
  <c r="DG121" i="2"/>
  <c r="AA677" i="15" s="1"/>
  <c r="AE677" i="15"/>
  <c r="AC677" i="15" s="1"/>
  <c r="DG126" i="2"/>
  <c r="AA682" i="15" s="1"/>
  <c r="AE682" i="15"/>
  <c r="AC682" i="15" s="1"/>
  <c r="DG122" i="2"/>
  <c r="AA678" i="15" s="1"/>
  <c r="AE678" i="15"/>
  <c r="AC678" i="15" s="1"/>
  <c r="DG124" i="2"/>
  <c r="AA680" i="15" s="1"/>
  <c r="AE680" i="15"/>
  <c r="AC680" i="15" s="1"/>
  <c r="DG123" i="2"/>
  <c r="AA679" i="15" s="1"/>
  <c r="AE679" i="15"/>
  <c r="AC679" i="15" s="1"/>
  <c r="DG125" i="2"/>
  <c r="AA681" i="15" s="1"/>
  <c r="AE681" i="15"/>
  <c r="AC681" i="15" s="1"/>
  <c r="G1300" i="7" l="1"/>
  <c r="K1276" i="7" s="1"/>
  <c r="BE1276" i="7" s="1"/>
  <c r="DI418" i="2"/>
  <c r="H767" i="7"/>
  <c r="H809" i="7"/>
  <c r="H808" i="7"/>
  <c r="H807" i="7"/>
  <c r="H806" i="7"/>
  <c r="H1136" i="7"/>
  <c r="M1136" i="7" s="1"/>
  <c r="O497" i="15" s="1"/>
  <c r="AO497" i="15" s="1"/>
  <c r="H1149" i="7"/>
  <c r="M1149" i="7" s="1"/>
  <c r="O510" i="15" s="1"/>
  <c r="AO510" i="15" s="1"/>
  <c r="H1154" i="7"/>
  <c r="H1398" i="7"/>
  <c r="H1399" i="7"/>
  <c r="H1400" i="7"/>
  <c r="H1401" i="7"/>
  <c r="H1402" i="7"/>
  <c r="H1403" i="7"/>
  <c r="H1404" i="7"/>
  <c r="H1405" i="7"/>
  <c r="H1406" i="7"/>
  <c r="H1407" i="7"/>
  <c r="H1408" i="7"/>
  <c r="H1397" i="7"/>
  <c r="H9" i="5"/>
  <c r="H8" i="5"/>
  <c r="H56" i="5"/>
  <c r="I56" i="5" s="1"/>
  <c r="O82" i="15" s="1"/>
  <c r="W82" i="15" s="1"/>
  <c r="H55" i="5"/>
  <c r="I55" i="5" s="1"/>
  <c r="O81" i="15" s="1"/>
  <c r="W81" i="15" s="1"/>
  <c r="H54" i="5"/>
  <c r="I54" i="5" s="1"/>
  <c r="O80" i="15" s="1"/>
  <c r="W80" i="15" s="1"/>
  <c r="H50" i="5"/>
  <c r="I50" i="5" s="1"/>
  <c r="O76" i="15" s="1"/>
  <c r="W76" i="15" s="1"/>
  <c r="H49" i="5"/>
  <c r="I49" i="5" s="1"/>
  <c r="O75" i="15" s="1"/>
  <c r="W75" i="15" s="1"/>
  <c r="H108" i="5"/>
  <c r="H106" i="5"/>
  <c r="H263" i="5"/>
  <c r="H261" i="5"/>
  <c r="H338" i="5"/>
  <c r="H308" i="5"/>
  <c r="H305" i="5"/>
  <c r="H302" i="5"/>
  <c r="W510" i="15" l="1"/>
  <c r="W497" i="15"/>
  <c r="G357" i="5"/>
  <c r="G359" i="5"/>
  <c r="G360" i="5" s="1"/>
  <c r="G358" i="5"/>
  <c r="V1412" i="6"/>
  <c r="V1406" i="6"/>
  <c r="AE644" i="15"/>
  <c r="AI644" i="15"/>
  <c r="AB644" i="15"/>
  <c r="X644" i="15"/>
  <c r="O644" i="15"/>
  <c r="I644" i="15"/>
  <c r="H644" i="15"/>
  <c r="G644" i="15"/>
  <c r="C644" i="15"/>
  <c r="B644" i="15"/>
  <c r="A644" i="15" s="1"/>
  <c r="BC7" i="8"/>
  <c r="Z7" i="10"/>
  <c r="AA7" i="10"/>
  <c r="X7" i="10"/>
  <c r="Y7" i="10"/>
  <c r="W7" i="10"/>
  <c r="K511" i="9"/>
  <c r="BE511" i="9" s="1"/>
  <c r="K512" i="9"/>
  <c r="BE512" i="9" s="1"/>
  <c r="K513" i="9"/>
  <c r="BE513" i="9" s="1"/>
  <c r="K514" i="9"/>
  <c r="BE514" i="9" s="1"/>
  <c r="K515" i="9"/>
  <c r="BE515" i="9" s="1"/>
  <c r="K516" i="9"/>
  <c r="BE516" i="9" s="1"/>
  <c r="K517" i="9"/>
  <c r="BE517" i="9" s="1"/>
  <c r="K518" i="9"/>
  <c r="BE518" i="9" s="1"/>
  <c r="K510" i="9"/>
  <c r="BE510" i="9" s="1"/>
  <c r="J261" i="5"/>
  <c r="J262" i="5"/>
  <c r="J263" i="5"/>
  <c r="J260" i="5"/>
  <c r="K263" i="5"/>
  <c r="BE263" i="5" s="1"/>
  <c r="K262" i="5"/>
  <c r="BE262" i="5" s="1"/>
  <c r="K261" i="5"/>
  <c r="BE261" i="5" s="1"/>
  <c r="K260" i="5"/>
  <c r="BE260" i="5" s="1"/>
  <c r="F337" i="5" l="1"/>
  <c r="BD337" i="5" s="1"/>
  <c r="F338" i="5"/>
  <c r="AB99" i="15"/>
  <c r="X97" i="15"/>
  <c r="Z97" i="15" s="1"/>
  <c r="BC261" i="5"/>
  <c r="AB97" i="15"/>
  <c r="X99" i="15"/>
  <c r="Z99" i="15" s="1"/>
  <c r="BC263" i="5"/>
  <c r="BD263" i="5" s="1"/>
  <c r="I109" i="15" l="1"/>
  <c r="AN109" i="15" s="1"/>
  <c r="I337" i="5"/>
  <c r="O109" i="15" s="1"/>
  <c r="V109" i="15" s="1"/>
  <c r="F127" i="16"/>
  <c r="BL49" i="2"/>
  <c r="BP91" i="2" l="1"/>
  <c r="BO91" i="2"/>
  <c r="BN91" i="2"/>
  <c r="BL91" i="2"/>
  <c r="BK91" i="2"/>
  <c r="BJ91" i="2"/>
  <c r="BI91" i="2"/>
  <c r="BQ91" i="2"/>
  <c r="BH91" i="2"/>
  <c r="AC139" i="16"/>
  <c r="AC138" i="16"/>
  <c r="AC133" i="16"/>
  <c r="AC140" i="16"/>
  <c r="AC137" i="16"/>
  <c r="AC136" i="16"/>
  <c r="AC135" i="16"/>
  <c r="AC134" i="16"/>
  <c r="BB337" i="5"/>
  <c r="AA109" i="15" s="1"/>
  <c r="AE109" i="15"/>
  <c r="AC109" i="15" s="1"/>
  <c r="AO109" i="15"/>
  <c r="BN137" i="2"/>
  <c r="BJ137" i="2"/>
  <c r="BO137" i="2"/>
  <c r="BK137" i="2"/>
  <c r="BQ137" i="2"/>
  <c r="BI137" i="2"/>
  <c r="BP137" i="2"/>
  <c r="BL137" i="2"/>
  <c r="BH137" i="2"/>
  <c r="AA534" i="9"/>
  <c r="Z534" i="9"/>
  <c r="Y534" i="9"/>
  <c r="X534" i="9"/>
  <c r="W534" i="9"/>
  <c r="F511" i="9"/>
  <c r="F512" i="9"/>
  <c r="F513" i="9"/>
  <c r="F514" i="9"/>
  <c r="F515" i="9"/>
  <c r="F516" i="9"/>
  <c r="F517" i="9"/>
  <c r="F510" i="9"/>
  <c r="G534" i="9"/>
  <c r="F518" i="9" s="1"/>
  <c r="AA343" i="9"/>
  <c r="Z343" i="9"/>
  <c r="AA340" i="9"/>
  <c r="Z340" i="9"/>
  <c r="K227" i="9"/>
  <c r="J227" i="9"/>
  <c r="I227" i="9"/>
  <c r="Z195" i="9"/>
  <c r="AA195" i="9"/>
  <c r="AA190" i="9"/>
  <c r="Z190" i="9"/>
  <c r="AA189" i="9"/>
  <c r="Z189" i="9"/>
  <c r="AA188" i="9"/>
  <c r="Z188" i="9"/>
  <c r="AA187" i="9"/>
  <c r="Z187" i="9"/>
  <c r="AA186" i="9"/>
  <c r="Z186" i="9"/>
  <c r="AA185" i="9"/>
  <c r="Z185" i="9"/>
  <c r="AA184" i="9"/>
  <c r="Z184" i="9"/>
  <c r="AA183" i="9"/>
  <c r="Z183" i="9"/>
  <c r="AA182" i="9"/>
  <c r="Z182" i="9"/>
  <c r="AA181" i="9"/>
  <c r="Z181" i="9"/>
  <c r="AA156" i="9"/>
  <c r="Z156" i="9"/>
  <c r="AA155" i="9"/>
  <c r="Z155" i="9"/>
  <c r="AA154" i="9"/>
  <c r="Z154" i="9"/>
  <c r="AA153" i="9"/>
  <c r="Z153" i="9"/>
  <c r="AA152" i="9"/>
  <c r="Z152" i="9"/>
  <c r="AA151" i="9"/>
  <c r="Z151" i="9"/>
  <c r="AA150" i="9"/>
  <c r="Z150" i="9"/>
  <c r="AA149" i="9"/>
  <c r="Z149" i="9"/>
  <c r="AA148" i="9"/>
  <c r="Z148" i="9"/>
  <c r="AA147" i="9"/>
  <c r="Z147" i="9"/>
  <c r="AA31" i="9"/>
  <c r="Z31" i="9"/>
  <c r="AA30" i="9"/>
  <c r="Z30" i="9"/>
  <c r="AA29" i="9"/>
  <c r="Z29" i="9"/>
  <c r="AA28" i="9"/>
  <c r="Z28" i="9"/>
  <c r="G1431" i="7"/>
  <c r="K1398" i="7" s="1"/>
  <c r="BE1398" i="7" s="1"/>
  <c r="G1427" i="7"/>
  <c r="G1425" i="7"/>
  <c r="G1424" i="7"/>
  <c r="G1423" i="7"/>
  <c r="G1422" i="7"/>
  <c r="G1420" i="7"/>
  <c r="G1419" i="7"/>
  <c r="G1418" i="7"/>
  <c r="F1402" i="7" s="1"/>
  <c r="I559" i="15" s="1"/>
  <c r="AN559" i="15" s="1"/>
  <c r="G1417" i="7"/>
  <c r="AG1415" i="7"/>
  <c r="AF1415" i="7"/>
  <c r="AE1415" i="7"/>
  <c r="AD1415" i="7"/>
  <c r="AC1415" i="7"/>
  <c r="AB1415" i="7"/>
  <c r="AA1415" i="7"/>
  <c r="Z1415" i="7"/>
  <c r="Y1415" i="7"/>
  <c r="X1415" i="7"/>
  <c r="J1408" i="7"/>
  <c r="J1407" i="7"/>
  <c r="J1406" i="7"/>
  <c r="J1405" i="7"/>
  <c r="J1404" i="7"/>
  <c r="J1403" i="7"/>
  <c r="J1402" i="7"/>
  <c r="J1401" i="7"/>
  <c r="J1400" i="7"/>
  <c r="J1399" i="7"/>
  <c r="J1398" i="7"/>
  <c r="J1397" i="7"/>
  <c r="AG1396" i="7"/>
  <c r="AF1396" i="7"/>
  <c r="AE1396" i="7"/>
  <c r="AD1396" i="7"/>
  <c r="AC1396" i="7"/>
  <c r="AB1396" i="7"/>
  <c r="AA1396" i="7"/>
  <c r="Z1396" i="7"/>
  <c r="Y1396" i="7"/>
  <c r="X1396" i="7"/>
  <c r="A1395" i="7"/>
  <c r="V1394" i="7"/>
  <c r="A1394" i="7"/>
  <c r="V1268" i="7"/>
  <c r="V1269" i="7"/>
  <c r="V1270" i="7"/>
  <c r="V1271" i="7"/>
  <c r="V1272" i="7"/>
  <c r="V1273" i="7"/>
  <c r="V1274" i="7"/>
  <c r="V1275" i="7"/>
  <c r="V1277" i="7"/>
  <c r="F1272" i="7"/>
  <c r="F1271" i="7"/>
  <c r="BD1271" i="7" s="1"/>
  <c r="F1270" i="7"/>
  <c r="F1269" i="7"/>
  <c r="F1268" i="7"/>
  <c r="BD1268" i="7" s="1"/>
  <c r="F1267" i="7"/>
  <c r="G1290" i="7"/>
  <c r="F1275" i="7" s="1"/>
  <c r="G1289" i="7"/>
  <c r="F1274" i="7" s="1"/>
  <c r="BD1274" i="7" s="1"/>
  <c r="W1283" i="7"/>
  <c r="X1283" i="7"/>
  <c r="Y1283" i="7"/>
  <c r="Z1283" i="7"/>
  <c r="AA1283" i="7"/>
  <c r="AB1283" i="7"/>
  <c r="AC1283" i="7"/>
  <c r="AD1283" i="7"/>
  <c r="AE1283" i="7"/>
  <c r="AF1283" i="7"/>
  <c r="AG1283" i="7"/>
  <c r="H1268" i="7"/>
  <c r="H1269" i="7"/>
  <c r="H1270" i="7"/>
  <c r="H1271" i="7"/>
  <c r="H1272" i="7"/>
  <c r="H1273" i="7"/>
  <c r="H1274" i="7"/>
  <c r="H1275" i="7"/>
  <c r="H1276" i="7"/>
  <c r="H1277" i="7"/>
  <c r="AA1258" i="7"/>
  <c r="AM1258" i="7"/>
  <c r="AN1260" i="7"/>
  <c r="AN1258" i="7"/>
  <c r="AN1257" i="7"/>
  <c r="AN1253" i="7"/>
  <c r="AN1252" i="7"/>
  <c r="AN1248" i="7"/>
  <c r="AN1246" i="7"/>
  <c r="Q1149" i="7"/>
  <c r="P1149" i="7"/>
  <c r="BE1149" i="7" s="1"/>
  <c r="O1149" i="7"/>
  <c r="O1136" i="7"/>
  <c r="Q1136" i="7"/>
  <c r="P1136" i="7"/>
  <c r="BE1136" i="7" s="1"/>
  <c r="V838" i="7"/>
  <c r="V837" i="7"/>
  <c r="I809" i="7"/>
  <c r="F809" i="7" s="1"/>
  <c r="I466" i="15" s="1"/>
  <c r="AN466" i="15" s="1"/>
  <c r="I808" i="7"/>
  <c r="F808" i="7" s="1"/>
  <c r="I465" i="15" s="1"/>
  <c r="AN465" i="15" s="1"/>
  <c r="I807" i="7"/>
  <c r="I806" i="7"/>
  <c r="BC809" i="7"/>
  <c r="BD809" i="7" s="1"/>
  <c r="BC808" i="7"/>
  <c r="BC806" i="7"/>
  <c r="AG818" i="7"/>
  <c r="AF818" i="7"/>
  <c r="AE818" i="7"/>
  <c r="AD818" i="7"/>
  <c r="AC818" i="7"/>
  <c r="AB818" i="7"/>
  <c r="AA818" i="7"/>
  <c r="Z818" i="7"/>
  <c r="Y818" i="7"/>
  <c r="X818" i="7"/>
  <c r="W818" i="7"/>
  <c r="V806" i="7"/>
  <c r="V807" i="7" s="1"/>
  <c r="V808" i="7" s="1"/>
  <c r="V809" i="7" s="1"/>
  <c r="BE805" i="7"/>
  <c r="BD805" i="7"/>
  <c r="BC805" i="7"/>
  <c r="BB805" i="7"/>
  <c r="AG805" i="7"/>
  <c r="AF805" i="7"/>
  <c r="AE805" i="7"/>
  <c r="AD805" i="7"/>
  <c r="AC805" i="7"/>
  <c r="AB805" i="7"/>
  <c r="AA805" i="7"/>
  <c r="Z805" i="7"/>
  <c r="Y805" i="7"/>
  <c r="X805" i="7"/>
  <c r="W805" i="7"/>
  <c r="V803" i="7"/>
  <c r="L767" i="7"/>
  <c r="K767" i="7"/>
  <c r="I767" i="7"/>
  <c r="I768" i="7"/>
  <c r="I769" i="7"/>
  <c r="I766" i="7"/>
  <c r="F767" i="7" s="1"/>
  <c r="I460" i="15" s="1"/>
  <c r="AN460" i="15" s="1"/>
  <c r="L613" i="7"/>
  <c r="L607" i="7"/>
  <c r="K610" i="7"/>
  <c r="K604" i="7"/>
  <c r="J613" i="7"/>
  <c r="J610" i="7"/>
  <c r="J607" i="7"/>
  <c r="J604" i="7"/>
  <c r="I613" i="7"/>
  <c r="I610" i="7"/>
  <c r="I607" i="7"/>
  <c r="V566" i="7"/>
  <c r="V567" i="7"/>
  <c r="L566" i="7"/>
  <c r="L567" i="7"/>
  <c r="I567" i="7"/>
  <c r="J566" i="7"/>
  <c r="I566" i="7"/>
  <c r="H566" i="7"/>
  <c r="H567" i="7"/>
  <c r="AA1049" i="7"/>
  <c r="Z1049" i="7"/>
  <c r="AA1047" i="7"/>
  <c r="Z1047" i="7"/>
  <c r="AA675" i="7"/>
  <c r="Z675" i="7"/>
  <c r="AA674" i="7"/>
  <c r="Z674" i="7"/>
  <c r="AA672" i="7"/>
  <c r="Z672" i="7"/>
  <c r="AA671" i="7"/>
  <c r="Z671" i="7"/>
  <c r="AA558" i="7"/>
  <c r="Z558" i="7"/>
  <c r="AA541" i="7"/>
  <c r="Z541" i="7"/>
  <c r="AA540" i="7"/>
  <c r="Z540" i="7"/>
  <c r="Z75" i="7"/>
  <c r="V67" i="7"/>
  <c r="V66" i="7"/>
  <c r="V65" i="7"/>
  <c r="V64" i="7"/>
  <c r="V63" i="7"/>
  <c r="V62" i="7"/>
  <c r="V60" i="7"/>
  <c r="AA40" i="7"/>
  <c r="Z40" i="7"/>
  <c r="AA39" i="7"/>
  <c r="Z39" i="7"/>
  <c r="AA38" i="7"/>
  <c r="Z38" i="7"/>
  <c r="AA37" i="7"/>
  <c r="Z37" i="7"/>
  <c r="BD808" i="7" l="1"/>
  <c r="BD1270" i="7"/>
  <c r="BB1270" i="7" s="1"/>
  <c r="BD1272" i="7"/>
  <c r="BB1272" i="7" s="1"/>
  <c r="BD1275" i="7"/>
  <c r="BB1275" i="7" s="1"/>
  <c r="BD1269" i="7"/>
  <c r="BB1269" i="7" s="1"/>
  <c r="F1397" i="7"/>
  <c r="F1399" i="7"/>
  <c r="I556" i="15" s="1"/>
  <c r="AN556" i="15" s="1"/>
  <c r="X460" i="15"/>
  <c r="Z460" i="15" s="1"/>
  <c r="BC767" i="7"/>
  <c r="BD767" i="7" s="1"/>
  <c r="AB460" i="15"/>
  <c r="BE767" i="7"/>
  <c r="K1406" i="7"/>
  <c r="BE1406" i="7" s="1"/>
  <c r="K1402" i="7"/>
  <c r="K1399" i="7"/>
  <c r="K1403" i="7"/>
  <c r="BE1403" i="7" s="1"/>
  <c r="K1407" i="7"/>
  <c r="K1400" i="7"/>
  <c r="K1404" i="7"/>
  <c r="K1408" i="7"/>
  <c r="K1397" i="7"/>
  <c r="K1401" i="7"/>
  <c r="K1405" i="7"/>
  <c r="BE1405" i="7" s="1"/>
  <c r="F806" i="7"/>
  <c r="BD806" i="7" s="1"/>
  <c r="F807" i="7"/>
  <c r="BD807" i="7" s="1"/>
  <c r="F1406" i="7"/>
  <c r="I563" i="15" s="1"/>
  <c r="AN563" i="15" s="1"/>
  <c r="F1400" i="7"/>
  <c r="I557" i="15" s="1"/>
  <c r="AN557" i="15" s="1"/>
  <c r="X433" i="15"/>
  <c r="Z433" i="15" s="1"/>
  <c r="BC566" i="7"/>
  <c r="AB497" i="15"/>
  <c r="BB1136" i="7"/>
  <c r="AA497" i="15" s="1"/>
  <c r="BB1149" i="7"/>
  <c r="AA510" i="15" s="1"/>
  <c r="AB510" i="15"/>
  <c r="I521" i="15"/>
  <c r="AN521" i="15" s="1"/>
  <c r="BC1403" i="7"/>
  <c r="X560" i="15"/>
  <c r="Z560" i="15" s="1"/>
  <c r="BC1405" i="7"/>
  <c r="X562" i="15"/>
  <c r="Z562" i="15" s="1"/>
  <c r="BC1407" i="7"/>
  <c r="X564" i="15"/>
  <c r="Z564" i="15" s="1"/>
  <c r="AE466" i="15"/>
  <c r="AC466" i="15" s="1"/>
  <c r="I518" i="15"/>
  <c r="AN518" i="15" s="1"/>
  <c r="X555" i="15"/>
  <c r="Z555" i="15" s="1"/>
  <c r="BC1398" i="7"/>
  <c r="X557" i="15"/>
  <c r="Z557" i="15" s="1"/>
  <c r="BC1400" i="7"/>
  <c r="BD1400" i="7" s="1"/>
  <c r="I524" i="15"/>
  <c r="AN524" i="15" s="1"/>
  <c r="AB555" i="15"/>
  <c r="X559" i="15"/>
  <c r="Z559" i="15" s="1"/>
  <c r="BC1402" i="7"/>
  <c r="BD1402" i="7" s="1"/>
  <c r="X561" i="15"/>
  <c r="Z561" i="15" s="1"/>
  <c r="BC1404" i="7"/>
  <c r="X563" i="15"/>
  <c r="Z563" i="15" s="1"/>
  <c r="BC1406" i="7"/>
  <c r="BC1408" i="7"/>
  <c r="X565" i="15"/>
  <c r="Z565" i="15" s="1"/>
  <c r="X434" i="15"/>
  <c r="Z434" i="15" s="1"/>
  <c r="BC567" i="7"/>
  <c r="BD567" i="7" s="1"/>
  <c r="BC1397" i="7"/>
  <c r="X554" i="15"/>
  <c r="Z554" i="15" s="1"/>
  <c r="BC1399" i="7"/>
  <c r="X556" i="15"/>
  <c r="Z556" i="15" s="1"/>
  <c r="BC1401" i="7"/>
  <c r="X558" i="15"/>
  <c r="Z558" i="15" s="1"/>
  <c r="F1401" i="7"/>
  <c r="F1403" i="7"/>
  <c r="J809" i="7"/>
  <c r="O466" i="15" s="1"/>
  <c r="V466" i="15" s="1"/>
  <c r="F1273" i="7"/>
  <c r="F1398" i="7"/>
  <c r="F1407" i="7"/>
  <c r="F1405" i="7"/>
  <c r="I562" i="15" s="1"/>
  <c r="AN562" i="15" s="1"/>
  <c r="I1402" i="7"/>
  <c r="O559" i="15" s="1"/>
  <c r="W559" i="15" s="1"/>
  <c r="F1404" i="7"/>
  <c r="I561" i="15" s="1"/>
  <c r="AN561" i="15" s="1"/>
  <c r="F1408" i="7"/>
  <c r="I565" i="15" s="1"/>
  <c r="AN565" i="15" s="1"/>
  <c r="I1274" i="7"/>
  <c r="O524" i="15" s="1"/>
  <c r="V524" i="15" s="1"/>
  <c r="I1271" i="7"/>
  <c r="O521" i="15" s="1"/>
  <c r="V521" i="15" s="1"/>
  <c r="F567" i="7"/>
  <c r="I1268" i="7"/>
  <c r="O518" i="15" s="1"/>
  <c r="V518" i="15" s="1"/>
  <c r="J808" i="7"/>
  <c r="O465" i="15" s="1"/>
  <c r="V465" i="15" s="1"/>
  <c r="J767" i="7"/>
  <c r="O460" i="15" s="1"/>
  <c r="V460" i="15" s="1"/>
  <c r="F566" i="7"/>
  <c r="I1399" i="7" l="1"/>
  <c r="O556" i="15" s="1"/>
  <c r="W556" i="15" s="1"/>
  <c r="BD1399" i="7"/>
  <c r="AE556" i="15" s="1"/>
  <c r="AC556" i="15" s="1"/>
  <c r="BD1405" i="7"/>
  <c r="BD1401" i="7"/>
  <c r="BD1408" i="7"/>
  <c r="BD566" i="7"/>
  <c r="BD1273" i="7"/>
  <c r="BB1273" i="7" s="1"/>
  <c r="BD1404" i="7"/>
  <c r="BD1398" i="7"/>
  <c r="BD1397" i="7"/>
  <c r="BD1403" i="7"/>
  <c r="BD1407" i="7"/>
  <c r="BD1406" i="7"/>
  <c r="AE563" i="15" s="1"/>
  <c r="AC563" i="15" s="1"/>
  <c r="AO521" i="15"/>
  <c r="AO524" i="15"/>
  <c r="AO466" i="15"/>
  <c r="AO460" i="15"/>
  <c r="AO465" i="15"/>
  <c r="AO518" i="15"/>
  <c r="AO559" i="15"/>
  <c r="BB767" i="7"/>
  <c r="AA460" i="15" s="1"/>
  <c r="AE460" i="15"/>
  <c r="AC460" i="15" s="1"/>
  <c r="AB563" i="15"/>
  <c r="AB565" i="15"/>
  <c r="BE1408" i="7"/>
  <c r="AB561" i="15"/>
  <c r="BE1404" i="7"/>
  <c r="AB557" i="15"/>
  <c r="BE1400" i="7"/>
  <c r="AB564" i="15"/>
  <c r="BE1407" i="7"/>
  <c r="AB556" i="15"/>
  <c r="BE1399" i="7"/>
  <c r="AB558" i="15"/>
  <c r="BE1401" i="7"/>
  <c r="AB559" i="15"/>
  <c r="BE1402" i="7"/>
  <c r="BB1402" i="7" s="1"/>
  <c r="AA559" i="15" s="1"/>
  <c r="AB554" i="15"/>
  <c r="BE1397" i="7"/>
  <c r="I1400" i="7"/>
  <c r="O557" i="15" s="1"/>
  <c r="W557" i="15" s="1"/>
  <c r="AB562" i="15"/>
  <c r="AB560" i="15"/>
  <c r="I464" i="15"/>
  <c r="AN464" i="15" s="1"/>
  <c r="I1406" i="7"/>
  <c r="O563" i="15" s="1"/>
  <c r="W563" i="15" s="1"/>
  <c r="J807" i="7"/>
  <c r="O464" i="15" s="1"/>
  <c r="V464" i="15" s="1"/>
  <c r="BB809" i="7"/>
  <c r="AA466" i="15" s="1"/>
  <c r="AE434" i="15"/>
  <c r="AC434" i="15" s="1"/>
  <c r="I1398" i="7"/>
  <c r="O555" i="15" s="1"/>
  <c r="W555" i="15" s="1"/>
  <c r="I555" i="15"/>
  <c r="AN555" i="15" s="1"/>
  <c r="I1403" i="7"/>
  <c r="O560" i="15" s="1"/>
  <c r="W560" i="15" s="1"/>
  <c r="I560" i="15"/>
  <c r="AN560" i="15" s="1"/>
  <c r="AE559" i="15"/>
  <c r="AC559" i="15" s="1"/>
  <c r="BB1271" i="7"/>
  <c r="AA521" i="15" s="1"/>
  <c r="AE521" i="15"/>
  <c r="AC521" i="15" s="1"/>
  <c r="K566" i="7"/>
  <c r="O433" i="15" s="1"/>
  <c r="W433" i="15" s="1"/>
  <c r="I433" i="15"/>
  <c r="AN433" i="15" s="1"/>
  <c r="J806" i="7"/>
  <c r="O463" i="15" s="1"/>
  <c r="V463" i="15" s="1"/>
  <c r="I463" i="15"/>
  <c r="AN463" i="15" s="1"/>
  <c r="K567" i="7"/>
  <c r="O434" i="15" s="1"/>
  <c r="W434" i="15" s="1"/>
  <c r="I434" i="15"/>
  <c r="AN434" i="15" s="1"/>
  <c r="I1397" i="7"/>
  <c r="O554" i="15" s="1"/>
  <c r="W554" i="15" s="1"/>
  <c r="I554" i="15"/>
  <c r="AN554" i="15" s="1"/>
  <c r="BB1268" i="7"/>
  <c r="AA518" i="15" s="1"/>
  <c r="AE518" i="15"/>
  <c r="AC518" i="15" s="1"/>
  <c r="I1407" i="7"/>
  <c r="O564" i="15" s="1"/>
  <c r="W564" i="15" s="1"/>
  <c r="I564" i="15"/>
  <c r="AN564" i="15" s="1"/>
  <c r="I1401" i="7"/>
  <c r="O558" i="15" s="1"/>
  <c r="W558" i="15" s="1"/>
  <c r="I558" i="15"/>
  <c r="AN558" i="15" s="1"/>
  <c r="BB1274" i="7"/>
  <c r="AA524" i="15" s="1"/>
  <c r="AE524" i="15"/>
  <c r="AC524" i="15" s="1"/>
  <c r="BB807" i="7"/>
  <c r="AA464" i="15" s="1"/>
  <c r="AE464" i="15"/>
  <c r="AC464" i="15" s="1"/>
  <c r="BB808" i="7"/>
  <c r="AA465" i="15" s="1"/>
  <c r="AE465" i="15"/>
  <c r="AC465" i="15" s="1"/>
  <c r="I1404" i="7"/>
  <c r="O561" i="15" s="1"/>
  <c r="W561" i="15" s="1"/>
  <c r="I1408" i="7"/>
  <c r="O565" i="15" s="1"/>
  <c r="W565" i="15" s="1"/>
  <c r="I1405" i="7"/>
  <c r="O562" i="15" s="1"/>
  <c r="W562" i="15" s="1"/>
  <c r="AO556" i="15" l="1"/>
  <c r="BB1399" i="7"/>
  <c r="AA556" i="15" s="1"/>
  <c r="AO463" i="15"/>
  <c r="AO433" i="15"/>
  <c r="AO555" i="15"/>
  <c r="AO557" i="15"/>
  <c r="AO434" i="15"/>
  <c r="AO558" i="15"/>
  <c r="AO563" i="15"/>
  <c r="AO562" i="15"/>
  <c r="AO560" i="15"/>
  <c r="AO561" i="15"/>
  <c r="AO564" i="15"/>
  <c r="AO554" i="15"/>
  <c r="AO464" i="15"/>
  <c r="BB1406" i="7"/>
  <c r="AA563" i="15" s="1"/>
  <c r="BB1400" i="7"/>
  <c r="AA557" i="15" s="1"/>
  <c r="AE557" i="15"/>
  <c r="AC557" i="15" s="1"/>
  <c r="AE433" i="15"/>
  <c r="AC433" i="15" s="1"/>
  <c r="AE560" i="15"/>
  <c r="AC560" i="15" s="1"/>
  <c r="BB1403" i="7"/>
  <c r="AA560" i="15" s="1"/>
  <c r="AE554" i="15"/>
  <c r="AC554" i="15" s="1"/>
  <c r="BB1397" i="7"/>
  <c r="AA554" i="15" s="1"/>
  <c r="BB1408" i="7"/>
  <c r="AA565" i="15" s="1"/>
  <c r="AE565" i="15"/>
  <c r="AC565" i="15" s="1"/>
  <c r="AE564" i="15"/>
  <c r="AC564" i="15" s="1"/>
  <c r="BB1407" i="7"/>
  <c r="AA564" i="15" s="1"/>
  <c r="BB1401" i="7"/>
  <c r="AA558" i="15" s="1"/>
  <c r="AE558" i="15"/>
  <c r="AC558" i="15" s="1"/>
  <c r="AO565" i="15"/>
  <c r="AE562" i="15"/>
  <c r="AC562" i="15" s="1"/>
  <c r="BB1405" i="7"/>
  <c r="AA562" i="15" s="1"/>
  <c r="AE561" i="15"/>
  <c r="AC561" i="15" s="1"/>
  <c r="BB1404" i="7"/>
  <c r="AA561" i="15" s="1"/>
  <c r="AE555" i="15"/>
  <c r="AC555" i="15" s="1"/>
  <c r="BB1398" i="7"/>
  <c r="AA555" i="15" s="1"/>
  <c r="BB806" i="7"/>
  <c r="AA463" i="15" s="1"/>
  <c r="AE463" i="15"/>
  <c r="AC463" i="15" s="1"/>
  <c r="F1917" i="6"/>
  <c r="I1917" i="6" s="1"/>
  <c r="F1916" i="6"/>
  <c r="I1916" i="6" s="1"/>
  <c r="F1913" i="6"/>
  <c r="I1913" i="6" s="1"/>
  <c r="F1912" i="6"/>
  <c r="I1912" i="6" s="1"/>
  <c r="F1909" i="6"/>
  <c r="I1909" i="6" s="1"/>
  <c r="F1908" i="6"/>
  <c r="I1908" i="6" s="1"/>
  <c r="F1905" i="6"/>
  <c r="I1905" i="6" s="1"/>
  <c r="F1904" i="6"/>
  <c r="I1904" i="6" s="1"/>
  <c r="F1901" i="6"/>
  <c r="I1901" i="6" s="1"/>
  <c r="F1900" i="6"/>
  <c r="I1900" i="6" s="1"/>
  <c r="F1895" i="6"/>
  <c r="BD1895" i="6" s="1"/>
  <c r="F1894" i="6"/>
  <c r="BD1894" i="6" s="1"/>
  <c r="F1893" i="6"/>
  <c r="BD1893" i="6" s="1"/>
  <c r="F1892" i="6"/>
  <c r="BD1892" i="6" s="1"/>
  <c r="F1885" i="6"/>
  <c r="BD1885" i="6" s="1"/>
  <c r="F1884" i="6"/>
  <c r="BD1884" i="6" s="1"/>
  <c r="F1883" i="6"/>
  <c r="BD1883" i="6" s="1"/>
  <c r="F1882" i="6"/>
  <c r="BD1882" i="6" s="1"/>
  <c r="F1881" i="6"/>
  <c r="BD1881" i="6" s="1"/>
  <c r="F1880" i="6"/>
  <c r="BD1880" i="6" s="1"/>
  <c r="F1879" i="6"/>
  <c r="BD1879" i="6" s="1"/>
  <c r="F1878" i="6"/>
  <c r="BD1878" i="6" s="1"/>
  <c r="F1873" i="6"/>
  <c r="BD1873" i="6" s="1"/>
  <c r="F1872" i="6"/>
  <c r="BD1872" i="6" s="1"/>
  <c r="F1871" i="6"/>
  <c r="BD1871" i="6" s="1"/>
  <c r="F1870" i="6"/>
  <c r="BD1870" i="6" s="1"/>
  <c r="F1857" i="6"/>
  <c r="BD1857" i="6" s="1"/>
  <c r="F1856" i="6"/>
  <c r="BD1856" i="6" s="1"/>
  <c r="F1855" i="6"/>
  <c r="BD1855" i="6" s="1"/>
  <c r="F1854" i="6"/>
  <c r="BD1854" i="6" s="1"/>
  <c r="F1853" i="6"/>
  <c r="BD1853" i="6" s="1"/>
  <c r="F1852" i="6"/>
  <c r="BD1852" i="6" s="1"/>
  <c r="F1851" i="6"/>
  <c r="BD1851" i="6" s="1"/>
  <c r="F1850" i="6"/>
  <c r="BD1850" i="6" s="1"/>
  <c r="F1849" i="6"/>
  <c r="BD1849" i="6" s="1"/>
  <c r="F1848" i="6"/>
  <c r="BD1848" i="6" s="1"/>
  <c r="F1843" i="6"/>
  <c r="BD1843" i="6" s="1"/>
  <c r="F1842" i="6"/>
  <c r="BD1842" i="6" s="1"/>
  <c r="F1841" i="6"/>
  <c r="BD1841" i="6" s="1"/>
  <c r="F1840" i="6"/>
  <c r="BD1840" i="6" s="1"/>
  <c r="F1827" i="6"/>
  <c r="BD1827" i="6" s="1"/>
  <c r="F1826" i="6"/>
  <c r="BD1826" i="6" s="1"/>
  <c r="F1825" i="6"/>
  <c r="BD1825" i="6" s="1"/>
  <c r="F1824" i="6"/>
  <c r="BD1824" i="6" s="1"/>
  <c r="F1819" i="6"/>
  <c r="BD1819" i="6" s="1"/>
  <c r="F1818" i="6"/>
  <c r="BD1818" i="6" s="1"/>
  <c r="F1817" i="6"/>
  <c r="BD1817" i="6" s="1"/>
  <c r="F1816" i="6"/>
  <c r="BD1816" i="6" s="1"/>
  <c r="F1811" i="6"/>
  <c r="BD1811" i="6" s="1"/>
  <c r="F1810" i="6"/>
  <c r="BD1810" i="6" s="1"/>
  <c r="F1809" i="6"/>
  <c r="BD1809" i="6" s="1"/>
  <c r="F1808" i="6"/>
  <c r="BD1808" i="6" s="1"/>
  <c r="F1793" i="6"/>
  <c r="BD1793" i="6" s="1"/>
  <c r="F1792" i="6"/>
  <c r="BD1792" i="6" s="1"/>
  <c r="F1785" i="6"/>
  <c r="BD1785" i="6" s="1"/>
  <c r="F1784" i="6"/>
  <c r="BD1784" i="6" s="1"/>
  <c r="F1779" i="6"/>
  <c r="BD1779" i="6" s="1"/>
  <c r="F1778" i="6"/>
  <c r="BD1778" i="6" s="1"/>
  <c r="F1777" i="6"/>
  <c r="BD1777" i="6" s="1"/>
  <c r="F1776" i="6"/>
  <c r="BD1776" i="6" s="1"/>
  <c r="F1763" i="6"/>
  <c r="BD1763" i="6" s="1"/>
  <c r="F1762" i="6"/>
  <c r="BD1762" i="6" s="1"/>
  <c r="F1761" i="6"/>
  <c r="BD1761" i="6" s="1"/>
  <c r="F1760" i="6"/>
  <c r="BD1760" i="6" s="1"/>
  <c r="F1755" i="6"/>
  <c r="BD1755" i="6" s="1"/>
  <c r="F1754" i="6"/>
  <c r="BD1754" i="6" s="1"/>
  <c r="F1753" i="6"/>
  <c r="BD1753" i="6" s="1"/>
  <c r="F1752" i="6"/>
  <c r="BD1752" i="6" s="1"/>
  <c r="F1751" i="6"/>
  <c r="BD1751" i="6" s="1"/>
  <c r="F1750" i="6"/>
  <c r="BD1750" i="6" s="1"/>
  <c r="F1749" i="6"/>
  <c r="BD1749" i="6" s="1"/>
  <c r="F1748" i="6"/>
  <c r="BD1748" i="6" s="1"/>
  <c r="F1747" i="6"/>
  <c r="BD1747" i="6" s="1"/>
  <c r="F1746" i="6"/>
  <c r="BD1746" i="6" s="1"/>
  <c r="F1745" i="6"/>
  <c r="BD1745" i="6" s="1"/>
  <c r="F1744" i="6"/>
  <c r="BD1744" i="6" s="1"/>
  <c r="F1741" i="6"/>
  <c r="BD1741" i="6" s="1"/>
  <c r="F1740" i="6"/>
  <c r="BD1740" i="6" s="1"/>
  <c r="F1739" i="6"/>
  <c r="BD1739" i="6" s="1"/>
  <c r="F1738" i="6"/>
  <c r="BD1738" i="6" s="1"/>
  <c r="F1737" i="6"/>
  <c r="BD1737" i="6" s="1"/>
  <c r="F1736" i="6"/>
  <c r="BD1736" i="6" s="1"/>
  <c r="F1735" i="6"/>
  <c r="BD1735" i="6" s="1"/>
  <c r="F1734" i="6"/>
  <c r="BD1734" i="6" s="1"/>
  <c r="F1729" i="6"/>
  <c r="BD1729" i="6" s="1"/>
  <c r="F1728" i="6"/>
  <c r="BD1728" i="6" s="1"/>
  <c r="F1727" i="6"/>
  <c r="BD1727" i="6" s="1"/>
  <c r="F1726" i="6"/>
  <c r="BD1726" i="6" s="1"/>
  <c r="F1723" i="6"/>
  <c r="BD1723" i="6" s="1"/>
  <c r="BD1722" i="6"/>
  <c r="F1709" i="6"/>
  <c r="BD1709" i="6" s="1"/>
  <c r="F1708" i="6"/>
  <c r="BD1708" i="6" s="1"/>
  <c r="F1707" i="6"/>
  <c r="BD1707" i="6" s="1"/>
  <c r="F1706" i="6"/>
  <c r="BD1706" i="6" s="1"/>
  <c r="F1701" i="6"/>
  <c r="BD1701" i="6" s="1"/>
  <c r="F1700" i="6"/>
  <c r="BD1700" i="6" s="1"/>
  <c r="F1699" i="6"/>
  <c r="BD1699" i="6" s="1"/>
  <c r="F1698" i="6"/>
  <c r="BD1698" i="6" s="1"/>
  <c r="F1691" i="6"/>
  <c r="BD1691" i="6" s="1"/>
  <c r="F1690" i="6"/>
  <c r="BD1690" i="6" s="1"/>
  <c r="F1687" i="6"/>
  <c r="BD1687" i="6" s="1"/>
  <c r="F1686" i="6"/>
  <c r="BD1686" i="6" s="1"/>
  <c r="F1681" i="6"/>
  <c r="BD1681" i="6" s="1"/>
  <c r="F1680" i="6"/>
  <c r="BD1680" i="6" s="1"/>
  <c r="F1679" i="6"/>
  <c r="BD1679" i="6" s="1"/>
  <c r="F1678" i="6"/>
  <c r="BD1678" i="6" s="1"/>
  <c r="F1671" i="6"/>
  <c r="BD1671" i="6" s="1"/>
  <c r="F1670" i="6"/>
  <c r="BD1670" i="6" s="1"/>
  <c r="F1667" i="6"/>
  <c r="BD1667" i="6" s="1"/>
  <c r="F1666" i="6"/>
  <c r="BD1666" i="6" s="1"/>
  <c r="F1659" i="6"/>
  <c r="BD1659" i="6" s="1"/>
  <c r="F1658" i="6"/>
  <c r="BD1658" i="6" s="1"/>
  <c r="F1655" i="6"/>
  <c r="BD1655" i="6" s="1"/>
  <c r="BD1654" i="6"/>
  <c r="F1647" i="6"/>
  <c r="BD1647" i="6" s="1"/>
  <c r="F1646" i="6"/>
  <c r="BD1646" i="6" s="1"/>
  <c r="F1643" i="6"/>
  <c r="BD1643" i="6" s="1"/>
  <c r="F1642" i="6"/>
  <c r="BD1642" i="6" s="1"/>
  <c r="F1639" i="6"/>
  <c r="BD1639" i="6" s="1"/>
  <c r="F1638" i="6"/>
  <c r="BD1638" i="6" s="1"/>
  <c r="F1623" i="6"/>
  <c r="BD1623" i="6" s="1"/>
  <c r="F1622" i="6"/>
  <c r="BD1622" i="6" s="1"/>
  <c r="F1615" i="6"/>
  <c r="BD1615" i="6" s="1"/>
  <c r="F1614" i="6"/>
  <c r="BD1614" i="6" s="1"/>
  <c r="F1611" i="6"/>
  <c r="BD1611" i="6" s="1"/>
  <c r="F1610" i="6"/>
  <c r="BD1610" i="6" s="1"/>
  <c r="F1605" i="6"/>
  <c r="BD1605" i="6" s="1"/>
  <c r="F1604" i="6"/>
  <c r="BD1604" i="6" s="1"/>
  <c r="F1603" i="6"/>
  <c r="BD1603" i="6" s="1"/>
  <c r="F1602" i="6"/>
  <c r="BD1602" i="6" s="1"/>
  <c r="F1595" i="6"/>
  <c r="BD1595" i="6" s="1"/>
  <c r="F1594" i="6"/>
  <c r="BD1594" i="6" s="1"/>
  <c r="F1579" i="6"/>
  <c r="I1579" i="6" s="1"/>
  <c r="F1578" i="6"/>
  <c r="I1578" i="6" s="1"/>
  <c r="F1571" i="6"/>
  <c r="I1571" i="6" s="1"/>
  <c r="F1570" i="6"/>
  <c r="I1570" i="6" s="1"/>
  <c r="F1565" i="6"/>
  <c r="I1565" i="6" s="1"/>
  <c r="F1561" i="6"/>
  <c r="I1561" i="6" s="1"/>
  <c r="F1553" i="6"/>
  <c r="BD1553" i="6" s="1"/>
  <c r="F1547" i="6"/>
  <c r="F1543" i="6"/>
  <c r="BD1543" i="6" s="1"/>
  <c r="F1535" i="6"/>
  <c r="AB1939" i="6"/>
  <c r="L2132" i="6"/>
  <c r="L1918" i="6" s="1"/>
  <c r="L2130" i="6"/>
  <c r="L1914" i="6" s="1"/>
  <c r="L2128" i="6"/>
  <c r="L1910" i="6" s="1"/>
  <c r="L2124" i="6"/>
  <c r="L1902" i="6" s="1"/>
  <c r="L2122" i="6"/>
  <c r="L2121" i="6"/>
  <c r="L1896" i="6" s="1"/>
  <c r="L2116" i="6"/>
  <c r="L1886" i="6" s="1"/>
  <c r="L2111" i="6"/>
  <c r="L2110" i="6"/>
  <c r="L1874" i="6" s="1"/>
  <c r="L2103" i="6"/>
  <c r="L2102" i="6"/>
  <c r="L1858" i="6" s="1"/>
  <c r="L2096" i="6"/>
  <c r="L2095" i="6"/>
  <c r="L1844" i="6" s="1"/>
  <c r="L2088" i="6"/>
  <c r="L2087" i="6"/>
  <c r="L1828" i="6" s="1"/>
  <c r="L1812" i="6"/>
  <c r="L2071" i="6"/>
  <c r="L1796" i="6" s="1"/>
  <c r="L2070" i="6"/>
  <c r="L2066" i="6"/>
  <c r="L2064" i="6"/>
  <c r="L2063" i="6"/>
  <c r="L1780" i="6" s="1"/>
  <c r="L2056" i="6"/>
  <c r="L2055" i="6"/>
  <c r="L1764" i="6" s="1"/>
  <c r="L2044" i="6"/>
  <c r="L2029" i="6"/>
  <c r="L2028" i="6"/>
  <c r="L1710" i="6" s="1"/>
  <c r="L2019" i="6"/>
  <c r="L1692" i="6" s="1"/>
  <c r="L2009" i="6"/>
  <c r="L1672" i="6" s="1"/>
  <c r="L2003" i="6"/>
  <c r="L1660" i="6" s="1"/>
  <c r="L1997" i="6"/>
  <c r="L1648" i="6" s="1"/>
  <c r="L1993" i="6"/>
  <c r="L1640" i="6" s="1"/>
  <c r="L1986" i="6"/>
  <c r="L1626" i="6" s="1"/>
  <c r="L1985" i="6"/>
  <c r="L1981" i="6"/>
  <c r="L1616" i="6" s="1"/>
  <c r="L1979" i="6"/>
  <c r="L1612" i="6" s="1"/>
  <c r="L1977" i="6"/>
  <c r="L1976" i="6"/>
  <c r="L1606" i="6" s="1"/>
  <c r="L1971" i="6"/>
  <c r="L1596" i="6" s="1"/>
  <c r="L1964" i="6"/>
  <c r="L1582" i="6" s="1"/>
  <c r="L1963" i="6"/>
  <c r="L1960" i="6"/>
  <c r="L1574" i="6" s="1"/>
  <c r="F1551" i="6"/>
  <c r="BD1551" i="6" s="1"/>
  <c r="L1940" i="6"/>
  <c r="F1434" i="6"/>
  <c r="F1433" i="6"/>
  <c r="F1431" i="6"/>
  <c r="F1429" i="6"/>
  <c r="F1426" i="6"/>
  <c r="F1424" i="6"/>
  <c r="F1501" i="6"/>
  <c r="F1489" i="6"/>
  <c r="K1484" i="6"/>
  <c r="K1483" i="6"/>
  <c r="K1482" i="6"/>
  <c r="K1481" i="6"/>
  <c r="K1479" i="6"/>
  <c r="F1483" i="6"/>
  <c r="K1460" i="6"/>
  <c r="K1459" i="6"/>
  <c r="K1455" i="6"/>
  <c r="K1457" i="6"/>
  <c r="K1456" i="6"/>
  <c r="F1460" i="6"/>
  <c r="F1459" i="6"/>
  <c r="F1458" i="6"/>
  <c r="F1455" i="6"/>
  <c r="F1457" i="6"/>
  <c r="F1456" i="6"/>
  <c r="P907" i="6"/>
  <c r="P906" i="6"/>
  <c r="J1111" i="6"/>
  <c r="J1110" i="6"/>
  <c r="J1109" i="6"/>
  <c r="J1108" i="6"/>
  <c r="J1107" i="6"/>
  <c r="K1042" i="6"/>
  <c r="L858" i="6" s="1"/>
  <c r="K1036" i="6"/>
  <c r="K1035" i="6"/>
  <c r="K1034" i="6"/>
  <c r="K1028" i="6"/>
  <c r="K1295" i="6" s="1"/>
  <c r="K1027" i="6"/>
  <c r="K1026" i="6"/>
  <c r="K1024" i="6"/>
  <c r="K1021" i="6"/>
  <c r="K1019" i="6"/>
  <c r="K1272" i="6" s="1"/>
  <c r="K1018" i="6"/>
  <c r="K1270" i="6" s="1"/>
  <c r="K1017" i="6"/>
  <c r="K1269" i="6" s="1"/>
  <c r="K1016" i="6"/>
  <c r="J1008" i="6"/>
  <c r="J1007" i="6"/>
  <c r="J999" i="6"/>
  <c r="J998" i="6"/>
  <c r="F815" i="6"/>
  <c r="F814" i="6"/>
  <c r="F813" i="6"/>
  <c r="F812" i="6"/>
  <c r="F809" i="6"/>
  <c r="F808" i="6"/>
  <c r="F803" i="6"/>
  <c r="F802" i="6"/>
  <c r="F801" i="6"/>
  <c r="F800" i="6"/>
  <c r="F799" i="6"/>
  <c r="F798" i="6"/>
  <c r="F797" i="6"/>
  <c r="F796" i="6"/>
  <c r="F795" i="6"/>
  <c r="J521" i="6"/>
  <c r="J457" i="6"/>
  <c r="J459" i="6" s="1"/>
  <c r="J454" i="6"/>
  <c r="J448" i="6"/>
  <c r="J450" i="6" s="1"/>
  <c r="J445" i="6"/>
  <c r="J439" i="6"/>
  <c r="J441" i="6" s="1"/>
  <c r="J436" i="6"/>
  <c r="K353" i="6"/>
  <c r="L190" i="6" s="1"/>
  <c r="K352" i="6"/>
  <c r="L189" i="6" s="1"/>
  <c r="K351" i="6"/>
  <c r="L188" i="6" s="1"/>
  <c r="K350" i="6"/>
  <c r="L187" i="6" s="1"/>
  <c r="K349" i="6"/>
  <c r="L186" i="6" s="1"/>
  <c r="K348" i="6"/>
  <c r="L185" i="6" s="1"/>
  <c r="K347" i="6"/>
  <c r="L184" i="6" s="1"/>
  <c r="K346" i="6"/>
  <c r="L183" i="6" s="1"/>
  <c r="K345" i="6"/>
  <c r="L182" i="6" s="1"/>
  <c r="K344" i="6"/>
  <c r="L181" i="6" s="1"/>
  <c r="K343" i="6"/>
  <c r="L180" i="6" s="1"/>
  <c r="K342" i="6"/>
  <c r="L179" i="6" s="1"/>
  <c r="K341" i="6"/>
  <c r="L178" i="6" s="1"/>
  <c r="K340" i="6"/>
  <c r="L177" i="6" s="1"/>
  <c r="K339" i="6"/>
  <c r="L176" i="6" s="1"/>
  <c r="K338" i="6"/>
  <c r="L175" i="6" s="1"/>
  <c r="K337" i="6"/>
  <c r="L174" i="6" s="1"/>
  <c r="K336" i="6"/>
  <c r="L173" i="6" s="1"/>
  <c r="K335" i="6"/>
  <c r="L172" i="6" s="1"/>
  <c r="K334" i="6"/>
  <c r="L171" i="6" s="1"/>
  <c r="K333" i="6"/>
  <c r="L170" i="6" s="1"/>
  <c r="K332" i="6"/>
  <c r="L169" i="6" s="1"/>
  <c r="K331" i="6"/>
  <c r="L168" i="6" s="1"/>
  <c r="K330" i="6"/>
  <c r="L167" i="6" s="1"/>
  <c r="K329" i="6"/>
  <c r="L166" i="6" s="1"/>
  <c r="K328" i="6"/>
  <c r="L165" i="6" s="1"/>
  <c r="K327" i="6"/>
  <c r="L164" i="6" s="1"/>
  <c r="K326" i="6"/>
  <c r="L163" i="6" s="1"/>
  <c r="K325" i="6"/>
  <c r="L162" i="6" s="1"/>
  <c r="K324" i="6"/>
  <c r="L161" i="6" s="1"/>
  <c r="K323" i="6"/>
  <c r="L160" i="6" s="1"/>
  <c r="K322" i="6"/>
  <c r="L159" i="6" s="1"/>
  <c r="K321" i="6"/>
  <c r="L158" i="6" s="1"/>
  <c r="K320" i="6"/>
  <c r="L157" i="6" s="1"/>
  <c r="K319" i="6"/>
  <c r="L156" i="6" s="1"/>
  <c r="K318" i="6"/>
  <c r="L155" i="6" s="1"/>
  <c r="K317" i="6"/>
  <c r="L154" i="6" s="1"/>
  <c r="K316" i="6"/>
  <c r="L153" i="6" s="1"/>
  <c r="K314" i="6"/>
  <c r="L151" i="6" s="1"/>
  <c r="J313" i="6"/>
  <c r="K312" i="6"/>
  <c r="L149" i="6" s="1"/>
  <c r="K311" i="6"/>
  <c r="L148" i="6" s="1"/>
  <c r="J310" i="6"/>
  <c r="K310" i="6" s="1"/>
  <c r="L147" i="6" s="1"/>
  <c r="K309" i="6"/>
  <c r="L146" i="6" s="1"/>
  <c r="K308" i="6"/>
  <c r="L145" i="6" s="1"/>
  <c r="K307" i="6"/>
  <c r="L144" i="6" s="1"/>
  <c r="K305" i="6"/>
  <c r="L142" i="6" s="1"/>
  <c r="J304" i="6"/>
  <c r="K303" i="6"/>
  <c r="L140" i="6" s="1"/>
  <c r="K302" i="6"/>
  <c r="L139" i="6" s="1"/>
  <c r="J301" i="6"/>
  <c r="K301" i="6" s="1"/>
  <c r="L138" i="6" s="1"/>
  <c r="K300" i="6"/>
  <c r="L137" i="6" s="1"/>
  <c r="K299" i="6"/>
  <c r="L136" i="6" s="1"/>
  <c r="K298" i="6"/>
  <c r="L135" i="6" s="1"/>
  <c r="K296" i="6"/>
  <c r="L133" i="6" s="1"/>
  <c r="J295" i="6"/>
  <c r="K294" i="6"/>
  <c r="L131" i="6" s="1"/>
  <c r="K293" i="6"/>
  <c r="L130" i="6" s="1"/>
  <c r="J292" i="6"/>
  <c r="K292" i="6" s="1"/>
  <c r="L129" i="6" s="1"/>
  <c r="K291" i="6"/>
  <c r="L128" i="6" s="1"/>
  <c r="K290" i="6"/>
  <c r="L127" i="6" s="1"/>
  <c r="K289" i="6"/>
  <c r="L126" i="6" s="1"/>
  <c r="K288" i="6"/>
  <c r="L125" i="6" s="1"/>
  <c r="K287" i="6"/>
  <c r="L124" i="6" s="1"/>
  <c r="K286" i="6"/>
  <c r="L123" i="6" s="1"/>
  <c r="K285" i="6"/>
  <c r="L122" i="6" s="1"/>
  <c r="J284" i="6"/>
  <c r="K284" i="6" s="1"/>
  <c r="L121" i="6" s="1"/>
  <c r="J283" i="6"/>
  <c r="K283" i="6" s="1"/>
  <c r="L120" i="6" s="1"/>
  <c r="F119" i="6"/>
  <c r="F189" i="6"/>
  <c r="F186" i="6"/>
  <c r="F185" i="6"/>
  <c r="F184" i="6"/>
  <c r="F183" i="6"/>
  <c r="F182" i="6"/>
  <c r="F180" i="6"/>
  <c r="F177" i="6"/>
  <c r="F176" i="6"/>
  <c r="F175" i="6"/>
  <c r="F174" i="6"/>
  <c r="F173" i="6"/>
  <c r="F171" i="6"/>
  <c r="F168" i="6"/>
  <c r="F167" i="6"/>
  <c r="F166" i="6"/>
  <c r="F165" i="6"/>
  <c r="F164" i="6"/>
  <c r="F162" i="6"/>
  <c r="F160" i="6"/>
  <c r="F159" i="6"/>
  <c r="F158" i="6"/>
  <c r="F157" i="6"/>
  <c r="F156" i="6"/>
  <c r="F155" i="6"/>
  <c r="F149" i="6"/>
  <c r="F148" i="6"/>
  <c r="F146" i="6"/>
  <c r="F144" i="6"/>
  <c r="F140" i="6"/>
  <c r="F139" i="6"/>
  <c r="F137" i="6"/>
  <c r="F135" i="6"/>
  <c r="F131" i="6"/>
  <c r="F130" i="6"/>
  <c r="F128" i="6"/>
  <c r="F126" i="6"/>
  <c r="F124" i="6"/>
  <c r="F123" i="6"/>
  <c r="F122" i="6"/>
  <c r="AA3097" i="6"/>
  <c r="Z3097" i="6"/>
  <c r="AA3095" i="6"/>
  <c r="Z3095" i="6"/>
  <c r="AA3093" i="6"/>
  <c r="Z3093" i="6"/>
  <c r="AA3091" i="6"/>
  <c r="Z3091" i="6"/>
  <c r="AA3089" i="6"/>
  <c r="Z3089" i="6"/>
  <c r="AA3087" i="6"/>
  <c r="Z3087" i="6"/>
  <c r="AA3086" i="6"/>
  <c r="Z3086" i="6"/>
  <c r="AA3081" i="6"/>
  <c r="Z3081" i="6"/>
  <c r="AA3076" i="6"/>
  <c r="Z3076" i="6"/>
  <c r="AA3075" i="6"/>
  <c r="Z3075" i="6"/>
  <c r="AA3068" i="6"/>
  <c r="Z3068" i="6"/>
  <c r="AA3067" i="6"/>
  <c r="Z3067" i="6"/>
  <c r="AA3061" i="6"/>
  <c r="Z3061" i="6"/>
  <c r="AA3060" i="6"/>
  <c r="Z3060" i="6"/>
  <c r="AA3053" i="6"/>
  <c r="Z3053" i="6"/>
  <c r="AA3052" i="6"/>
  <c r="Z3052" i="6"/>
  <c r="AA3045" i="6"/>
  <c r="Z3045" i="6"/>
  <c r="AA3044" i="6"/>
  <c r="Z3044" i="6"/>
  <c r="AA3037" i="6"/>
  <c r="Z3037" i="6"/>
  <c r="AA3036" i="6"/>
  <c r="Z3036" i="6"/>
  <c r="AA3029" i="6"/>
  <c r="Z3029" i="6"/>
  <c r="AA3028" i="6"/>
  <c r="Z3028" i="6"/>
  <c r="AA3021" i="6"/>
  <c r="Z3021" i="6"/>
  <c r="AA3020" i="6"/>
  <c r="Z3020" i="6"/>
  <c r="AA2994" i="6"/>
  <c r="Z2994" i="6"/>
  <c r="AA2993" i="6"/>
  <c r="Z2993" i="6"/>
  <c r="AA2984" i="6"/>
  <c r="Z2984" i="6"/>
  <c r="AA2974" i="6"/>
  <c r="Z2974" i="6"/>
  <c r="AA2968" i="6"/>
  <c r="Z2968" i="6"/>
  <c r="AA2962" i="6"/>
  <c r="Z2962" i="6"/>
  <c r="AA2958" i="6"/>
  <c r="Z2958" i="6"/>
  <c r="AA2952" i="6"/>
  <c r="Z2952" i="6"/>
  <c r="AA2951" i="6"/>
  <c r="Z2951" i="6"/>
  <c r="AA2946" i="6"/>
  <c r="Z2946" i="6"/>
  <c r="AA2944" i="6"/>
  <c r="Z2944" i="6"/>
  <c r="AA2942" i="6"/>
  <c r="Z2942" i="6"/>
  <c r="AA2941" i="6"/>
  <c r="Z2941" i="6"/>
  <c r="AA2936" i="6"/>
  <c r="Z2936" i="6"/>
  <c r="AA2930" i="6"/>
  <c r="Z2930" i="6"/>
  <c r="AA2929" i="6"/>
  <c r="Z2929" i="6"/>
  <c r="AA2926" i="6"/>
  <c r="Z2926" i="6"/>
  <c r="AA1478" i="6"/>
  <c r="Z1478" i="6"/>
  <c r="AA1477" i="6"/>
  <c r="Z1477" i="6"/>
  <c r="AA1475" i="6"/>
  <c r="Z1475" i="6"/>
  <c r="AA1474" i="6"/>
  <c r="Z1474" i="6"/>
  <c r="AA1473" i="6"/>
  <c r="Z1473" i="6"/>
  <c r="AA1460" i="6"/>
  <c r="AA1484" i="6" s="1"/>
  <c r="Z1460" i="6"/>
  <c r="Z1484" i="6" s="1"/>
  <c r="AA1459" i="6"/>
  <c r="AA1482" i="6" s="1"/>
  <c r="Z1459" i="6"/>
  <c r="Z1482" i="6" s="1"/>
  <c r="AA1455" i="6"/>
  <c r="AA1481" i="6" s="1"/>
  <c r="Z1455" i="6"/>
  <c r="Z1481" i="6" s="1"/>
  <c r="AA1457" i="6"/>
  <c r="AA1480" i="6" s="1"/>
  <c r="Z1457" i="6"/>
  <c r="Z1480" i="6" s="1"/>
  <c r="AA1456" i="6"/>
  <c r="AA1479" i="6" s="1"/>
  <c r="Z1456" i="6"/>
  <c r="Z1479" i="6" s="1"/>
  <c r="AA108" i="6"/>
  <c r="Z108" i="6"/>
  <c r="AA107" i="6"/>
  <c r="Z107" i="6"/>
  <c r="AA102" i="6"/>
  <c r="Z102" i="6"/>
  <c r="AA101" i="6"/>
  <c r="Z101" i="6"/>
  <c r="AG347" i="5"/>
  <c r="AF347" i="5"/>
  <c r="AE347" i="5"/>
  <c r="AD347" i="5"/>
  <c r="AC347" i="5"/>
  <c r="AB347" i="5"/>
  <c r="AA347" i="5"/>
  <c r="Z347" i="5"/>
  <c r="Y347" i="5"/>
  <c r="X347" i="5"/>
  <c r="W347" i="5"/>
  <c r="AG336" i="5"/>
  <c r="AF336" i="5"/>
  <c r="AE336" i="5"/>
  <c r="AD336" i="5"/>
  <c r="AC336" i="5"/>
  <c r="AB336" i="5"/>
  <c r="AA336" i="5"/>
  <c r="Z336" i="5"/>
  <c r="Y336" i="5"/>
  <c r="X336" i="5"/>
  <c r="W336" i="5"/>
  <c r="V334" i="5"/>
  <c r="V301" i="5"/>
  <c r="V302" i="5" s="1"/>
  <c r="V303" i="5" s="1"/>
  <c r="V304" i="5" s="1"/>
  <c r="V305" i="5" s="1"/>
  <c r="V306" i="5" s="1"/>
  <c r="V307" i="5" s="1"/>
  <c r="V308" i="5" s="1"/>
  <c r="V309" i="5" s="1"/>
  <c r="Z288" i="5"/>
  <c r="AA288" i="5" s="1"/>
  <c r="Z283" i="5"/>
  <c r="AA283" i="5" s="1"/>
  <c r="I1547" i="6" l="1"/>
  <c r="BD1547" i="6"/>
  <c r="K1267" i="6"/>
  <c r="L793" i="6"/>
  <c r="K1286" i="6"/>
  <c r="K1282" i="6"/>
  <c r="K1293" i="6"/>
  <c r="K1039" i="6"/>
  <c r="K1030" i="6"/>
  <c r="L846" i="6" s="1"/>
  <c r="K1038" i="6"/>
  <c r="K1292" i="6"/>
  <c r="I1543" i="6"/>
  <c r="R206" i="15" s="1"/>
  <c r="L206" i="15"/>
  <c r="I1659" i="6"/>
  <c r="I1739" i="6"/>
  <c r="I1841" i="6"/>
  <c r="I1551" i="6"/>
  <c r="F1907" i="6"/>
  <c r="L2126" i="6"/>
  <c r="L1906" i="6" s="1"/>
  <c r="I1594" i="6"/>
  <c r="I1614" i="6"/>
  <c r="I1646" i="6"/>
  <c r="I1670" i="6"/>
  <c r="I1690" i="6"/>
  <c r="I1708" i="6"/>
  <c r="I1734" i="6"/>
  <c r="I1744" i="6"/>
  <c r="I1752" i="6"/>
  <c r="I1776" i="6"/>
  <c r="I1808" i="6"/>
  <c r="I1824" i="6"/>
  <c r="I1848" i="6"/>
  <c r="I1856" i="6"/>
  <c r="I1880" i="6"/>
  <c r="I1894" i="6"/>
  <c r="I1873" i="6"/>
  <c r="I1553" i="6"/>
  <c r="I1595" i="6"/>
  <c r="I1615" i="6"/>
  <c r="I1647" i="6"/>
  <c r="I1671" i="6"/>
  <c r="I1691" i="6"/>
  <c r="I1709" i="6"/>
  <c r="I1735" i="6"/>
  <c r="I1745" i="6"/>
  <c r="I1753" i="6"/>
  <c r="I1777" i="6"/>
  <c r="I1809" i="6"/>
  <c r="I1825" i="6"/>
  <c r="I1849" i="6"/>
  <c r="I1857" i="6"/>
  <c r="I1881" i="6"/>
  <c r="I1895" i="6"/>
  <c r="I1681" i="6"/>
  <c r="I1761" i="6"/>
  <c r="I1602" i="6"/>
  <c r="I1622" i="6"/>
  <c r="I1654" i="6"/>
  <c r="I1678" i="6"/>
  <c r="I1698" i="6"/>
  <c r="I1722" i="6"/>
  <c r="I1736" i="6"/>
  <c r="I1746" i="6"/>
  <c r="I1754" i="6"/>
  <c r="I1778" i="6"/>
  <c r="I1810" i="6"/>
  <c r="I1826" i="6"/>
  <c r="I1850" i="6"/>
  <c r="I1870" i="6"/>
  <c r="I1882" i="6"/>
  <c r="I1701" i="6"/>
  <c r="I1785" i="6"/>
  <c r="I1603" i="6"/>
  <c r="I1623" i="6"/>
  <c r="I1655" i="6"/>
  <c r="I1679" i="6"/>
  <c r="I1699" i="6"/>
  <c r="I1723" i="6"/>
  <c r="I1737" i="6"/>
  <c r="I1747" i="6"/>
  <c r="I1755" i="6"/>
  <c r="I1779" i="6"/>
  <c r="I1811" i="6"/>
  <c r="I1827" i="6"/>
  <c r="I1851" i="6"/>
  <c r="I1871" i="6"/>
  <c r="I1883" i="6"/>
  <c r="I1639" i="6"/>
  <c r="I1604" i="6"/>
  <c r="I1638" i="6"/>
  <c r="I1658" i="6"/>
  <c r="I1680" i="6"/>
  <c r="I1700" i="6"/>
  <c r="I1726" i="6"/>
  <c r="I1738" i="6"/>
  <c r="I1748" i="6"/>
  <c r="I1760" i="6"/>
  <c r="I1784" i="6"/>
  <c r="I1816" i="6"/>
  <c r="I1840" i="6"/>
  <c r="I1852" i="6"/>
  <c r="I1872" i="6"/>
  <c r="I1884" i="6"/>
  <c r="I1605" i="6"/>
  <c r="I1749" i="6"/>
  <c r="I1853" i="6"/>
  <c r="I1610" i="6"/>
  <c r="I1642" i="6"/>
  <c r="I1666" i="6"/>
  <c r="I1686" i="6"/>
  <c r="I1706" i="6"/>
  <c r="I1728" i="6"/>
  <c r="I1740" i="6"/>
  <c r="I1750" i="6"/>
  <c r="I1762" i="6"/>
  <c r="I1792" i="6"/>
  <c r="I1818" i="6"/>
  <c r="I1842" i="6"/>
  <c r="I1854" i="6"/>
  <c r="I1878" i="6"/>
  <c r="I1892" i="6"/>
  <c r="I1727" i="6"/>
  <c r="I1817" i="6"/>
  <c r="I1885" i="6"/>
  <c r="I1611" i="6"/>
  <c r="I1643" i="6"/>
  <c r="I1667" i="6"/>
  <c r="I1687" i="6"/>
  <c r="I1707" i="6"/>
  <c r="I1729" i="6"/>
  <c r="I1741" i="6"/>
  <c r="I1751" i="6"/>
  <c r="I1763" i="6"/>
  <c r="I1793" i="6"/>
  <c r="I1819" i="6"/>
  <c r="I1843" i="6"/>
  <c r="I1855" i="6"/>
  <c r="I1879" i="6"/>
  <c r="I1893" i="6"/>
  <c r="F120" i="6"/>
  <c r="F1795" i="6"/>
  <c r="BD1795" i="6" s="1"/>
  <c r="K295" i="6"/>
  <c r="L132" i="6" s="1"/>
  <c r="J297" i="6"/>
  <c r="K297" i="6" s="1"/>
  <c r="L134" i="6" s="1"/>
  <c r="K304" i="6"/>
  <c r="L141" i="6" s="1"/>
  <c r="J306" i="6"/>
  <c r="K306" i="6" s="1"/>
  <c r="L143" i="6" s="1"/>
  <c r="K313" i="6"/>
  <c r="L150" i="6" s="1"/>
  <c r="J315" i="6"/>
  <c r="K315" i="6" s="1"/>
  <c r="L152" i="6" s="1"/>
  <c r="J1272" i="6"/>
  <c r="J1282" i="6"/>
  <c r="K1480" i="6"/>
  <c r="F1427" i="6"/>
  <c r="F121" i="6"/>
  <c r="F1563" i="6"/>
  <c r="I1563" i="6" s="1"/>
  <c r="F1786" i="6"/>
  <c r="BD1786" i="6" s="1"/>
  <c r="F1569" i="6"/>
  <c r="I1569" i="6" s="1"/>
  <c r="J1292" i="6"/>
  <c r="F1537" i="6"/>
  <c r="F1534" i="6"/>
  <c r="F1552" i="6"/>
  <c r="BD1552" i="6" s="1"/>
  <c r="F1542" i="6"/>
  <c r="BD1542" i="6" s="1"/>
  <c r="F1560" i="6"/>
  <c r="I1560" i="6" s="1"/>
  <c r="F1572" i="6"/>
  <c r="I1572" i="6" s="1"/>
  <c r="F1545" i="6"/>
  <c r="BD1545" i="6" s="1"/>
  <c r="L1961" i="6"/>
  <c r="F1573" i="6"/>
  <c r="I1573" i="6" s="1"/>
  <c r="F1597" i="6"/>
  <c r="F1743" i="6"/>
  <c r="BD1743" i="6" s="1"/>
  <c r="F1787" i="6"/>
  <c r="BD1787" i="6" s="1"/>
  <c r="F1546" i="6"/>
  <c r="I1564" i="6"/>
  <c r="F150" i="6"/>
  <c r="F1432" i="6"/>
  <c r="F1580" i="6"/>
  <c r="I1580" i="6" s="1"/>
  <c r="F1624" i="6"/>
  <c r="BD1624" i="6" s="1"/>
  <c r="F1742" i="6"/>
  <c r="BD1742" i="6" s="1"/>
  <c r="F1794" i="6"/>
  <c r="BD1794" i="6" s="1"/>
  <c r="F141" i="6"/>
  <c r="F1555" i="6"/>
  <c r="BD1555" i="6" s="1"/>
  <c r="F1581" i="6"/>
  <c r="BD1581" i="6" s="1"/>
  <c r="F1625" i="6"/>
  <c r="BD1625" i="6" s="1"/>
  <c r="L1965" i="6"/>
  <c r="L2072" i="6"/>
  <c r="L1987" i="6"/>
  <c r="F1428" i="6"/>
  <c r="F1430" i="6"/>
  <c r="F138" i="6"/>
  <c r="J1305" i="6"/>
  <c r="F147" i="6"/>
  <c r="P885" i="6"/>
  <c r="J1269" i="6"/>
  <c r="J1293" i="6"/>
  <c r="J1270" i="6"/>
  <c r="J1295" i="6"/>
  <c r="F816" i="6"/>
  <c r="K1025" i="6"/>
  <c r="K1029" i="6"/>
  <c r="K1033" i="6"/>
  <c r="K1037" i="6"/>
  <c r="F132" i="6"/>
  <c r="F129" i="6"/>
  <c r="I1546" i="6" l="1"/>
  <c r="BD1546" i="6"/>
  <c r="K1309" i="6"/>
  <c r="L854" i="6"/>
  <c r="K1297" i="6"/>
  <c r="L830" i="6"/>
  <c r="K1305" i="6"/>
  <c r="K1290" i="6"/>
  <c r="I1545" i="6"/>
  <c r="T206" i="15" s="1"/>
  <c r="N206" i="15"/>
  <c r="I1542" i="6"/>
  <c r="Q206" i="15" s="1"/>
  <c r="O206" i="15" s="1"/>
  <c r="K206" i="15"/>
  <c r="I1625" i="6"/>
  <c r="I1624" i="6"/>
  <c r="I1787" i="6"/>
  <c r="I1581" i="6"/>
  <c r="I1743" i="6"/>
  <c r="I1555" i="6"/>
  <c r="I1742" i="6"/>
  <c r="I1795" i="6"/>
  <c r="I1786" i="6"/>
  <c r="I1552" i="6"/>
  <c r="I1794" i="6"/>
  <c r="F1550" i="6"/>
  <c r="BD1550" i="6" s="1"/>
  <c r="F1568" i="6"/>
  <c r="I1568" i="6" s="1"/>
  <c r="F1554" i="6"/>
  <c r="BD1554" i="6" s="1"/>
  <c r="F1536" i="6"/>
  <c r="F1544" i="6"/>
  <c r="BD1544" i="6" s="1"/>
  <c r="F1562" i="6"/>
  <c r="I1562" i="6" s="1"/>
  <c r="I206" i="15" l="1"/>
  <c r="AN206" i="15"/>
  <c r="AO206" i="15" s="1"/>
  <c r="I1544" i="6"/>
  <c r="S206" i="15" s="1"/>
  <c r="P206" i="15" s="1"/>
  <c r="W206" i="15" s="1"/>
  <c r="M206" i="15"/>
  <c r="J206" i="15" s="1"/>
  <c r="I1550" i="6"/>
  <c r="I1554" i="6"/>
  <c r="V56" i="5" l="1"/>
  <c r="V55" i="5"/>
  <c r="V54" i="5"/>
  <c r="V8" i="5" l="1"/>
  <c r="V9" i="5"/>
  <c r="V10" i="5"/>
  <c r="V11" i="5"/>
  <c r="V7" i="5"/>
  <c r="V47" i="5"/>
  <c r="V48" i="5"/>
  <c r="V49" i="5"/>
  <c r="V50" i="5"/>
  <c r="V51" i="5"/>
  <c r="V52" i="5"/>
  <c r="V53" i="5"/>
  <c r="V46" i="5"/>
  <c r="F227" i="16"/>
  <c r="F226" i="16"/>
  <c r="F225" i="16"/>
  <c r="F224" i="16"/>
  <c r="F223" i="16"/>
  <c r="F222" i="16"/>
  <c r="F221" i="16"/>
  <c r="F220" i="16"/>
  <c r="G245" i="16"/>
  <c r="F228" i="16" s="1"/>
  <c r="F1276" i="7" s="1"/>
  <c r="H229" i="16"/>
  <c r="BD1276" i="7" l="1"/>
  <c r="BB1276" i="7" s="1"/>
  <c r="F229" i="16"/>
  <c r="BD229" i="16" s="1"/>
  <c r="F1277" i="7" l="1"/>
  <c r="BD1277" i="7" s="1"/>
  <c r="I60" i="15"/>
  <c r="AN60" i="15" s="1"/>
  <c r="K276" i="9"/>
  <c r="L289" i="9"/>
  <c r="L288" i="9"/>
  <c r="L287" i="9"/>
  <c r="L286" i="9"/>
  <c r="L285" i="9"/>
  <c r="L284" i="9"/>
  <c r="L283" i="9"/>
  <c r="L282" i="9"/>
  <c r="L281" i="9"/>
  <c r="L280" i="9"/>
  <c r="L279" i="9"/>
  <c r="L278" i="9"/>
  <c r="L277" i="9"/>
  <c r="L276" i="9"/>
  <c r="K289" i="9"/>
  <c r="K288" i="9"/>
  <c r="K287" i="9"/>
  <c r="K286" i="9"/>
  <c r="K285" i="9"/>
  <c r="K284" i="9"/>
  <c r="K283" i="9"/>
  <c r="K282" i="9"/>
  <c r="K281" i="9"/>
  <c r="K280" i="9"/>
  <c r="K279" i="9"/>
  <c r="K278" i="9"/>
  <c r="K277" i="9"/>
  <c r="F363" i="9"/>
  <c r="E365" i="9"/>
  <c r="E360" i="9"/>
  <c r="E359" i="9"/>
  <c r="X1130" i="7"/>
  <c r="Y1130" i="7"/>
  <c r="Z1130" i="7"/>
  <c r="AA1130" i="7"/>
  <c r="AB1130" i="7"/>
  <c r="AC1130" i="7"/>
  <c r="AD1130" i="7"/>
  <c r="AE1130" i="7"/>
  <c r="AF1130" i="7"/>
  <c r="AG1130" i="7"/>
  <c r="W1130" i="7"/>
  <c r="G1260" i="7"/>
  <c r="Q1155" i="7" s="1"/>
  <c r="F1260" i="7"/>
  <c r="P1155" i="7" s="1"/>
  <c r="F1258" i="7"/>
  <c r="P1153" i="7" s="1"/>
  <c r="G1258" i="7"/>
  <c r="Q1153" i="7" s="1"/>
  <c r="L17" i="6"/>
  <c r="L15" i="6"/>
  <c r="K11" i="6"/>
  <c r="K9" i="6"/>
  <c r="AG1533" i="6"/>
  <c r="AF1533" i="6"/>
  <c r="AE1533" i="6"/>
  <c r="AD1533" i="6"/>
  <c r="AC1533" i="6"/>
  <c r="AB1533" i="6"/>
  <c r="AA1533" i="6"/>
  <c r="Z1533" i="6"/>
  <c r="Y1533" i="6"/>
  <c r="X1533" i="6"/>
  <c r="W1533" i="6"/>
  <c r="AG1422" i="6"/>
  <c r="AF1422" i="6"/>
  <c r="AE1422" i="6"/>
  <c r="AD1422" i="6"/>
  <c r="AC1422" i="6"/>
  <c r="AB1422" i="6"/>
  <c r="AA1422" i="6"/>
  <c r="Z1422" i="6"/>
  <c r="Y1422" i="6"/>
  <c r="X1422" i="6"/>
  <c r="W1422" i="6"/>
  <c r="AG1318" i="6"/>
  <c r="AF1318" i="6"/>
  <c r="AE1318" i="6"/>
  <c r="AD1318" i="6"/>
  <c r="AC1318" i="6"/>
  <c r="AB1318" i="6"/>
  <c r="AA1318" i="6"/>
  <c r="Z1318" i="6"/>
  <c r="Y1318" i="6"/>
  <c r="X1318" i="6"/>
  <c r="W1318" i="6"/>
  <c r="AG792" i="6"/>
  <c r="AF792" i="6"/>
  <c r="AE792" i="6"/>
  <c r="AD792" i="6"/>
  <c r="AC792" i="6"/>
  <c r="AB792" i="6"/>
  <c r="AA792" i="6"/>
  <c r="Z792" i="6"/>
  <c r="Y792" i="6"/>
  <c r="X792" i="6"/>
  <c r="W792" i="6"/>
  <c r="X118" i="6"/>
  <c r="Y118" i="6"/>
  <c r="Z118" i="6"/>
  <c r="AA118" i="6"/>
  <c r="AB118" i="6"/>
  <c r="AC118" i="6"/>
  <c r="AD118" i="6"/>
  <c r="AE118" i="6"/>
  <c r="AF118" i="6"/>
  <c r="AG118" i="6"/>
  <c r="W118" i="6"/>
  <c r="V1533" i="6"/>
  <c r="A1534" i="6"/>
  <c r="A1424" i="6"/>
  <c r="A1425" i="6"/>
  <c r="A1426" i="6"/>
  <c r="A1427" i="6"/>
  <c r="A1428" i="6"/>
  <c r="A1429" i="6"/>
  <c r="A1430" i="6"/>
  <c r="A1431" i="6"/>
  <c r="A1432" i="6"/>
  <c r="A1433" i="6"/>
  <c r="A1434" i="6"/>
  <c r="A1423" i="6"/>
  <c r="A1320" i="6"/>
  <c r="A1321" i="6"/>
  <c r="A1322" i="6"/>
  <c r="A1323" i="6"/>
  <c r="A1324" i="6"/>
  <c r="A1325" i="6"/>
  <c r="A1326" i="6"/>
  <c r="A1327" i="6"/>
  <c r="A1328" i="6"/>
  <c r="A1329" i="6"/>
  <c r="A1330" i="6"/>
  <c r="A1319" i="6"/>
  <c r="A794" i="6"/>
  <c r="A795" i="6"/>
  <c r="A796" i="6"/>
  <c r="A797" i="6"/>
  <c r="A798" i="6"/>
  <c r="A799" i="6"/>
  <c r="A800" i="6"/>
  <c r="A801" i="6"/>
  <c r="A802" i="6"/>
  <c r="A803" i="6"/>
  <c r="A808" i="6"/>
  <c r="A809" i="6"/>
  <c r="A812" i="6"/>
  <c r="A813" i="6"/>
  <c r="A814" i="6"/>
  <c r="A815" i="6"/>
  <c r="A816" i="6"/>
  <c r="A817" i="6"/>
  <c r="A818" i="6"/>
  <c r="A819" i="6"/>
  <c r="A820" i="6"/>
  <c r="A821" i="6"/>
  <c r="A822" i="6"/>
  <c r="A823" i="6"/>
  <c r="A824" i="6"/>
  <c r="A825" i="6"/>
  <c r="A826" i="6"/>
  <c r="A827" i="6"/>
  <c r="A828" i="6"/>
  <c r="A829" i="6"/>
  <c r="A830" i="6"/>
  <c r="A831" i="6"/>
  <c r="A832" i="6"/>
  <c r="A833" i="6"/>
  <c r="A834" i="6"/>
  <c r="A835" i="6"/>
  <c r="A836" i="6"/>
  <c r="A837" i="6"/>
  <c r="A846" i="6"/>
  <c r="A847" i="6"/>
  <c r="A848" i="6"/>
  <c r="A849" i="6"/>
  <c r="A854" i="6"/>
  <c r="A855" i="6"/>
  <c r="A856" i="6"/>
  <c r="A857" i="6"/>
  <c r="A858" i="6"/>
  <c r="A859" i="6"/>
  <c r="A860" i="6"/>
  <c r="A861" i="6"/>
  <c r="A793" i="6"/>
  <c r="A120" i="6"/>
  <c r="A121" i="6"/>
  <c r="A122" i="6"/>
  <c r="A123" i="6"/>
  <c r="A124" i="6"/>
  <c r="A125" i="6"/>
  <c r="A126" i="6"/>
  <c r="A127" i="6"/>
  <c r="A128" i="6"/>
  <c r="A129" i="6"/>
  <c r="A130" i="6"/>
  <c r="A131" i="6"/>
  <c r="A132" i="6"/>
  <c r="A133" i="6"/>
  <c r="A134" i="6"/>
  <c r="A135" i="6"/>
  <c r="A136" i="6"/>
  <c r="A137" i="6"/>
  <c r="A138" i="6"/>
  <c r="A139" i="6"/>
  <c r="A140" i="6"/>
  <c r="A141" i="6"/>
  <c r="A142" i="6"/>
  <c r="A143" i="6"/>
  <c r="A144" i="6"/>
  <c r="A145" i="6"/>
  <c r="A146" i="6"/>
  <c r="A147" i="6"/>
  <c r="A148" i="6"/>
  <c r="A149" i="6"/>
  <c r="A150" i="6"/>
  <c r="A151" i="6"/>
  <c r="A152" i="6"/>
  <c r="A153" i="6"/>
  <c r="A154" i="6"/>
  <c r="A155" i="6"/>
  <c r="A156" i="6"/>
  <c r="A157" i="6"/>
  <c r="A158" i="6"/>
  <c r="A159" i="6"/>
  <c r="A160" i="6"/>
  <c r="A161" i="6"/>
  <c r="A162" i="6"/>
  <c r="A163" i="6"/>
  <c r="A164" i="6"/>
  <c r="A165" i="6"/>
  <c r="A166" i="6"/>
  <c r="A167" i="6"/>
  <c r="A168" i="6"/>
  <c r="A169" i="6"/>
  <c r="A170" i="6"/>
  <c r="A171" i="6"/>
  <c r="A172" i="6"/>
  <c r="A173" i="6"/>
  <c r="A174" i="6"/>
  <c r="A175" i="6"/>
  <c r="A176" i="6"/>
  <c r="A177" i="6"/>
  <c r="A178" i="6"/>
  <c r="A179" i="6"/>
  <c r="A180" i="6"/>
  <c r="A181" i="6"/>
  <c r="A182" i="6"/>
  <c r="A183" i="6"/>
  <c r="A184" i="6"/>
  <c r="A185" i="6"/>
  <c r="A186" i="6"/>
  <c r="A187" i="6"/>
  <c r="A188" i="6"/>
  <c r="A189" i="6"/>
  <c r="A190" i="6"/>
  <c r="A119" i="6"/>
  <c r="A8" i="6"/>
  <c r="A9" i="6"/>
  <c r="A11" i="6"/>
  <c r="A13" i="6"/>
  <c r="A14" i="6"/>
  <c r="A15" i="6"/>
  <c r="A17" i="6"/>
  <c r="BE1155" i="7" l="1"/>
  <c r="BB1155" i="7" s="1"/>
  <c r="AA516" i="15" s="1"/>
  <c r="AB516" i="15"/>
  <c r="BE1153" i="7"/>
  <c r="BB1153" i="7" s="1"/>
  <c r="AA514" i="15" s="1"/>
  <c r="AB514" i="15"/>
  <c r="F1154" i="7"/>
  <c r="BD1154" i="7" s="1"/>
  <c r="AB515" i="15"/>
  <c r="BB229" i="16"/>
  <c r="AA60" i="15" s="1"/>
  <c r="AE60" i="15"/>
  <c r="AC60" i="15" s="1"/>
  <c r="I1277" i="7"/>
  <c r="O527" i="15" s="1"/>
  <c r="V527" i="15" s="1"/>
  <c r="I527" i="15"/>
  <c r="AN527" i="15" s="1"/>
  <c r="I616" i="15"/>
  <c r="AN616" i="15" s="1"/>
  <c r="F289" i="9"/>
  <c r="F288" i="9"/>
  <c r="F285" i="9"/>
  <c r="F286" i="9"/>
  <c r="F284" i="9"/>
  <c r="F287" i="9"/>
  <c r="BD287" i="9" s="1"/>
  <c r="F283" i="9"/>
  <c r="M286" i="9" l="1"/>
  <c r="O611" i="15" s="1"/>
  <c r="W611" i="15" s="1"/>
  <c r="BD286" i="9"/>
  <c r="M285" i="9"/>
  <c r="O610" i="15" s="1"/>
  <c r="W610" i="15" s="1"/>
  <c r="BD285" i="9"/>
  <c r="BD288" i="9"/>
  <c r="BB288" i="9" s="1"/>
  <c r="M289" i="9"/>
  <c r="O614" i="15" s="1"/>
  <c r="W614" i="15" s="1"/>
  <c r="BD289" i="9"/>
  <c r="AO527" i="15"/>
  <c r="M1154" i="7"/>
  <c r="O515" i="15" s="1"/>
  <c r="W515" i="15" s="1"/>
  <c r="BB1154" i="7"/>
  <c r="I515" i="15"/>
  <c r="AN515" i="15" s="1"/>
  <c r="I611" i="15"/>
  <c r="AN611" i="15" s="1"/>
  <c r="I614" i="15"/>
  <c r="AN614" i="15" s="1"/>
  <c r="I610" i="15"/>
  <c r="AN610" i="15" s="1"/>
  <c r="BB1277" i="7"/>
  <c r="AA527" i="15" s="1"/>
  <c r="AE527" i="15"/>
  <c r="AC527" i="15" s="1"/>
  <c r="F22" i="10"/>
  <c r="F7" i="10"/>
  <c r="V30" i="10"/>
  <c r="V16" i="10"/>
  <c r="V7" i="11"/>
  <c r="BB7" i="11"/>
  <c r="AA644" i="15" s="1"/>
  <c r="V7" i="8"/>
  <c r="H7" i="8"/>
  <c r="G276" i="5"/>
  <c r="I263" i="5" s="1"/>
  <c r="O99" i="15" s="1"/>
  <c r="V99" i="15" s="1"/>
  <c r="G273" i="5"/>
  <c r="G275" i="5"/>
  <c r="K338" i="5"/>
  <c r="BE338" i="5" s="1"/>
  <c r="J338" i="5"/>
  <c r="I110" i="15"/>
  <c r="AN110" i="15" s="1"/>
  <c r="K308" i="5"/>
  <c r="BE308" i="5" s="1"/>
  <c r="K305" i="5"/>
  <c r="BE305" i="5" s="1"/>
  <c r="K302" i="5"/>
  <c r="BE302" i="5" s="1"/>
  <c r="K309" i="5"/>
  <c r="BE309" i="5" s="1"/>
  <c r="K307" i="5"/>
  <c r="BE307" i="5" s="1"/>
  <c r="K306" i="5"/>
  <c r="BE306" i="5" s="1"/>
  <c r="K304" i="5"/>
  <c r="BE304" i="5" s="1"/>
  <c r="K303" i="5"/>
  <c r="BE303" i="5" s="1"/>
  <c r="K301" i="5"/>
  <c r="BE301" i="5" s="1"/>
  <c r="F308" i="5"/>
  <c r="F307" i="5"/>
  <c r="F306" i="5"/>
  <c r="F305" i="5"/>
  <c r="F304" i="5"/>
  <c r="F303" i="5"/>
  <c r="F302" i="5"/>
  <c r="BC303" i="5"/>
  <c r="BD303" i="5" s="1"/>
  <c r="BC304" i="5"/>
  <c r="BD304" i="5" s="1"/>
  <c r="BC306" i="5"/>
  <c r="BD306" i="5" s="1"/>
  <c r="BC307" i="5"/>
  <c r="BD307" i="5" s="1"/>
  <c r="BC309" i="5"/>
  <c r="BD309" i="5" s="1"/>
  <c r="J301" i="5"/>
  <c r="I212" i="5"/>
  <c r="I210" i="5"/>
  <c r="I211" i="5"/>
  <c r="L212" i="5"/>
  <c r="BE212" i="5" s="1"/>
  <c r="K212" i="5"/>
  <c r="L210" i="5"/>
  <c r="BE210" i="5" s="1"/>
  <c r="K210" i="5"/>
  <c r="L211" i="5"/>
  <c r="BE211" i="5" s="1"/>
  <c r="K211" i="5"/>
  <c r="L209" i="5"/>
  <c r="BE209" i="5" s="1"/>
  <c r="K209" i="5"/>
  <c r="H210" i="5"/>
  <c r="H212" i="5"/>
  <c r="L160" i="5"/>
  <c r="BE160" i="5" s="1"/>
  <c r="K160" i="5"/>
  <c r="L158" i="5"/>
  <c r="BE158" i="5" s="1"/>
  <c r="K158" i="5"/>
  <c r="L159" i="5"/>
  <c r="BE159" i="5" s="1"/>
  <c r="K159" i="5"/>
  <c r="L157" i="5"/>
  <c r="BE157" i="5" s="1"/>
  <c r="K157" i="5"/>
  <c r="I160" i="5"/>
  <c r="F160" i="5" s="1"/>
  <c r="I91" i="15" s="1"/>
  <c r="AN91" i="15" s="1"/>
  <c r="I159" i="5"/>
  <c r="F159" i="5" s="1"/>
  <c r="I158" i="5"/>
  <c r="I157" i="5"/>
  <c r="F157" i="5" s="1"/>
  <c r="H158" i="5"/>
  <c r="H160" i="5"/>
  <c r="L108" i="5"/>
  <c r="BE108" i="5" s="1"/>
  <c r="L106" i="5"/>
  <c r="BE106" i="5" s="1"/>
  <c r="L107" i="5"/>
  <c r="BE107" i="5" s="1"/>
  <c r="L105" i="5"/>
  <c r="BE105" i="5" s="1"/>
  <c r="K56" i="5"/>
  <c r="BE56" i="5" s="1"/>
  <c r="K55" i="5"/>
  <c r="BE55" i="5" s="1"/>
  <c r="K54" i="5"/>
  <c r="BE54" i="5" s="1"/>
  <c r="K53" i="5"/>
  <c r="BE53" i="5" s="1"/>
  <c r="K52" i="5"/>
  <c r="BE52" i="5" s="1"/>
  <c r="K51" i="5"/>
  <c r="BE51" i="5" s="1"/>
  <c r="K50" i="5"/>
  <c r="BE50" i="5" s="1"/>
  <c r="K49" i="5"/>
  <c r="BE49" i="5" s="1"/>
  <c r="K48" i="5"/>
  <c r="BE48" i="5" s="1"/>
  <c r="K47" i="5"/>
  <c r="BE47" i="5" s="1"/>
  <c r="J47" i="5"/>
  <c r="I108" i="5"/>
  <c r="I106" i="5"/>
  <c r="F106" i="5" s="1"/>
  <c r="I107" i="5"/>
  <c r="F107" i="5" s="1"/>
  <c r="I105" i="5"/>
  <c r="F105" i="5" s="1"/>
  <c r="J7" i="5"/>
  <c r="I7" i="5"/>
  <c r="F9" i="5"/>
  <c r="BD9" i="5" s="1"/>
  <c r="F8" i="5"/>
  <c r="I10" i="5"/>
  <c r="I11" i="5"/>
  <c r="AO610" i="15" l="1"/>
  <c r="AO611" i="15"/>
  <c r="I308" i="5"/>
  <c r="O107" i="15" s="1"/>
  <c r="V107" i="15" s="1"/>
  <c r="BD308" i="5"/>
  <c r="I302" i="5"/>
  <c r="O101" i="15" s="1"/>
  <c r="V101" i="15" s="1"/>
  <c r="BD302" i="5"/>
  <c r="J106" i="5"/>
  <c r="O85" i="15" s="1"/>
  <c r="V85" i="15" s="1"/>
  <c r="BD106" i="5"/>
  <c r="K8" i="5"/>
  <c r="O68" i="15" s="1"/>
  <c r="V68" i="15" s="1"/>
  <c r="BD8" i="5"/>
  <c r="I305" i="5"/>
  <c r="O104" i="15" s="1"/>
  <c r="V104" i="15" s="1"/>
  <c r="BD305" i="5"/>
  <c r="AO614" i="15"/>
  <c r="AO515" i="15"/>
  <c r="F108" i="5"/>
  <c r="BB304" i="5"/>
  <c r="AE515" i="15"/>
  <c r="AC515" i="15" s="1"/>
  <c r="K9" i="5"/>
  <c r="O69" i="15" s="1"/>
  <c r="V69" i="15" s="1"/>
  <c r="AA515" i="15"/>
  <c r="BB306" i="5"/>
  <c r="F158" i="5"/>
  <c r="I89" i="15" s="1"/>
  <c r="AN89" i="15" s="1"/>
  <c r="BB307" i="5"/>
  <c r="BB303" i="5"/>
  <c r="BB309" i="5"/>
  <c r="BB289" i="9"/>
  <c r="AA614" i="15" s="1"/>
  <c r="AE614" i="15"/>
  <c r="AC614" i="15" s="1"/>
  <c r="AE611" i="15"/>
  <c r="AC611" i="15" s="1"/>
  <c r="BB286" i="9"/>
  <c r="AA611" i="15" s="1"/>
  <c r="AE610" i="15"/>
  <c r="AC610" i="15" s="1"/>
  <c r="BB285" i="9"/>
  <c r="AA610" i="15" s="1"/>
  <c r="AB76" i="15"/>
  <c r="AB75" i="15"/>
  <c r="I75" i="15"/>
  <c r="AN75" i="15" s="1"/>
  <c r="AO75" i="15" s="1"/>
  <c r="I76" i="15"/>
  <c r="AN76" i="15" s="1"/>
  <c r="AO76" i="15" s="1"/>
  <c r="I68" i="15"/>
  <c r="AN68" i="15" s="1"/>
  <c r="I69" i="15"/>
  <c r="AN69" i="15" s="1"/>
  <c r="I81" i="15"/>
  <c r="AN81" i="15" s="1"/>
  <c r="AO81" i="15" s="1"/>
  <c r="BC210" i="5"/>
  <c r="X93" i="15"/>
  <c r="Z93" i="15" s="1"/>
  <c r="I107" i="15"/>
  <c r="AN107" i="15" s="1"/>
  <c r="AB101" i="15"/>
  <c r="BC338" i="5"/>
  <c r="BD338" i="5" s="1"/>
  <c r="X110" i="15"/>
  <c r="Z110" i="15" s="1"/>
  <c r="I99" i="15"/>
  <c r="AN99" i="15" s="1"/>
  <c r="AO99" i="15" s="1"/>
  <c r="I85" i="15"/>
  <c r="AN85" i="15" s="1"/>
  <c r="BC160" i="5"/>
  <c r="BD160" i="5" s="1"/>
  <c r="X91" i="15"/>
  <c r="Z91" i="15" s="1"/>
  <c r="I82" i="15"/>
  <c r="AN82" i="15" s="1"/>
  <c r="AO82" i="15" s="1"/>
  <c r="I87" i="15"/>
  <c r="AN87" i="15" s="1"/>
  <c r="AB80" i="15"/>
  <c r="AB91" i="15"/>
  <c r="AB93" i="15"/>
  <c r="I104" i="15"/>
  <c r="AN104" i="15" s="1"/>
  <c r="AB104" i="15"/>
  <c r="AB110" i="15"/>
  <c r="AB81" i="15"/>
  <c r="AB85" i="15"/>
  <c r="X89" i="15"/>
  <c r="Z89" i="15" s="1"/>
  <c r="BC158" i="5"/>
  <c r="BD158" i="5" s="1"/>
  <c r="X95" i="15"/>
  <c r="Z95" i="15" s="1"/>
  <c r="BC212" i="5"/>
  <c r="I101" i="15"/>
  <c r="AN101" i="15" s="1"/>
  <c r="AB107" i="15"/>
  <c r="I80" i="15"/>
  <c r="AN80" i="15" s="1"/>
  <c r="AO80" i="15" s="1"/>
  <c r="AB82" i="15"/>
  <c r="AB87" i="15"/>
  <c r="AB89" i="15"/>
  <c r="AB95" i="15"/>
  <c r="I338" i="5"/>
  <c r="O110" i="15" s="1"/>
  <c r="V110" i="15" s="1"/>
  <c r="J160" i="5"/>
  <c r="O91" i="15" s="1"/>
  <c r="V91" i="15" s="1"/>
  <c r="F71" i="16"/>
  <c r="F77" i="16"/>
  <c r="P15" i="3"/>
  <c r="Q15" i="3"/>
  <c r="P16" i="3"/>
  <c r="Q16" i="3"/>
  <c r="G112" i="3"/>
  <c r="G103" i="3"/>
  <c r="AO101" i="15" l="1"/>
  <c r="AO85" i="15"/>
  <c r="AO107" i="15"/>
  <c r="AO104" i="15"/>
  <c r="J108" i="5"/>
  <c r="O87" i="15" s="1"/>
  <c r="V87" i="15" s="1"/>
  <c r="BD108" i="5"/>
  <c r="BB108" i="5" s="1"/>
  <c r="AA87" i="15" s="1"/>
  <c r="AO68" i="15"/>
  <c r="AO69" i="15"/>
  <c r="J158" i="5"/>
  <c r="O89" i="15" s="1"/>
  <c r="V89" i="15" s="1"/>
  <c r="BB50" i="5"/>
  <c r="AA76" i="15" s="1"/>
  <c r="AE76" i="15"/>
  <c r="AC76" i="15" s="1"/>
  <c r="BB49" i="5"/>
  <c r="AA75" i="15" s="1"/>
  <c r="AE75" i="15"/>
  <c r="AC75" i="15" s="1"/>
  <c r="X17" i="15"/>
  <c r="Z17" i="15" s="1"/>
  <c r="BC15" i="3"/>
  <c r="BC16" i="3"/>
  <c r="X18" i="15"/>
  <c r="Z18" i="15" s="1"/>
  <c r="BB54" i="5"/>
  <c r="AA80" i="15" s="1"/>
  <c r="AE80" i="15"/>
  <c r="AC80" i="15" s="1"/>
  <c r="AO110" i="15"/>
  <c r="BB263" i="5"/>
  <c r="AA99" i="15" s="1"/>
  <c r="AE99" i="15"/>
  <c r="AC99" i="15" s="1"/>
  <c r="BB9" i="5"/>
  <c r="AA69" i="15" s="1"/>
  <c r="AE69" i="15"/>
  <c r="AC69" i="15" s="1"/>
  <c r="BB302" i="5"/>
  <c r="AA101" i="15" s="1"/>
  <c r="AE101" i="15"/>
  <c r="AC101" i="15" s="1"/>
  <c r="BB158" i="5"/>
  <c r="AA89" i="15" s="1"/>
  <c r="AE89" i="15"/>
  <c r="AC89" i="15" s="1"/>
  <c r="AO91" i="15"/>
  <c r="BB160" i="5"/>
  <c r="AA91" i="15" s="1"/>
  <c r="AE91" i="15"/>
  <c r="AC91" i="15" s="1"/>
  <c r="BB106" i="5"/>
  <c r="AA85" i="15" s="1"/>
  <c r="AE85" i="15"/>
  <c r="AC85" i="15" s="1"/>
  <c r="BB308" i="5"/>
  <c r="AA107" i="15" s="1"/>
  <c r="AE107" i="15"/>
  <c r="AC107" i="15" s="1"/>
  <c r="BB55" i="5"/>
  <c r="AA81" i="15" s="1"/>
  <c r="AE81" i="15"/>
  <c r="AC81" i="15" s="1"/>
  <c r="AE68" i="15"/>
  <c r="AC68" i="15" s="1"/>
  <c r="BB8" i="5"/>
  <c r="AA68" i="15" s="1"/>
  <c r="BB305" i="5"/>
  <c r="AA104" i="15" s="1"/>
  <c r="AE104" i="15"/>
  <c r="AC104" i="15" s="1"/>
  <c r="BB56" i="5"/>
  <c r="AA82" i="15" s="1"/>
  <c r="AE82" i="15"/>
  <c r="AC82" i="15" s="1"/>
  <c r="BB338" i="5"/>
  <c r="AA110" i="15" s="1"/>
  <c r="AE110" i="15"/>
  <c r="AC110" i="15" s="1"/>
  <c r="G96" i="3"/>
  <c r="M16" i="3" s="1"/>
  <c r="F79" i="3"/>
  <c r="F78" i="3"/>
  <c r="H78" i="3"/>
  <c r="H79" i="3"/>
  <c r="H52" i="3"/>
  <c r="H53" i="3"/>
  <c r="G52" i="3"/>
  <c r="F52" i="3"/>
  <c r="F53" i="3"/>
  <c r="I15" i="3"/>
  <c r="K15" i="3"/>
  <c r="I16" i="3"/>
  <c r="K16" i="3"/>
  <c r="AO87" i="15" l="1"/>
  <c r="AE87" i="15"/>
  <c r="AC87" i="15" s="1"/>
  <c r="AO89" i="15"/>
  <c r="M32" i="3"/>
  <c r="O32" i="3" s="1"/>
  <c r="BE32" i="3" s="1"/>
  <c r="M30" i="3"/>
  <c r="O30" i="3" s="1"/>
  <c r="BE30" i="3" s="1"/>
  <c r="L30" i="3"/>
  <c r="L32" i="3"/>
  <c r="O16" i="3"/>
  <c r="BE16" i="3" s="1"/>
  <c r="L16" i="3"/>
  <c r="L15" i="3"/>
  <c r="M15" i="3"/>
  <c r="O15" i="3" s="1"/>
  <c r="BE15" i="3" s="1"/>
  <c r="AA106" i="3"/>
  <c r="Z106" i="3"/>
  <c r="AM877" i="2"/>
  <c r="AN877" i="2"/>
  <c r="BX332" i="2"/>
  <c r="BY332" i="2"/>
  <c r="N32" i="3" l="1"/>
  <c r="F32" i="3"/>
  <c r="BD32" i="3" s="1"/>
  <c r="N30" i="3"/>
  <c r="F30" i="3"/>
  <c r="BD30" i="3" s="1"/>
  <c r="N15" i="3"/>
  <c r="F15" i="3"/>
  <c r="BD15" i="3" s="1"/>
  <c r="N16" i="3"/>
  <c r="F16" i="3"/>
  <c r="BD16" i="3" s="1"/>
  <c r="G30" i="3" l="1"/>
  <c r="O32" i="15" s="1"/>
  <c r="W32" i="15" s="1"/>
  <c r="I32" i="15"/>
  <c r="AN32" i="15" s="1"/>
  <c r="G32" i="3"/>
  <c r="O34" i="15" s="1"/>
  <c r="W34" i="15" s="1"/>
  <c r="I34" i="15"/>
  <c r="AN34" i="15" s="1"/>
  <c r="G15" i="3"/>
  <c r="O17" i="15" s="1"/>
  <c r="W17" i="15" s="1"/>
  <c r="I17" i="15"/>
  <c r="AN17" i="15" s="1"/>
  <c r="G16" i="3"/>
  <c r="O18" i="15" s="1"/>
  <c r="W18" i="15" s="1"/>
  <c r="I18" i="15"/>
  <c r="AN18" i="15" s="1"/>
  <c r="DH25" i="2"/>
  <c r="DI25" i="2" s="1"/>
  <c r="DH27" i="2"/>
  <c r="DI27" i="2" s="1"/>
  <c r="DH28" i="2"/>
  <c r="DI28" i="2" s="1"/>
  <c r="DH30" i="2"/>
  <c r="DI30" i="2" s="1"/>
  <c r="DH31" i="2"/>
  <c r="DI31" i="2" s="1"/>
  <c r="CY48" i="2"/>
  <c r="CL48" i="2"/>
  <c r="AO48" i="2"/>
  <c r="DK424" i="2"/>
  <c r="DK423" i="2"/>
  <c r="DK422" i="2"/>
  <c r="DK421" i="2"/>
  <c r="DK420" i="2"/>
  <c r="DK419" i="2"/>
  <c r="DL418" i="2"/>
  <c r="DK418" i="2"/>
  <c r="W418" i="2"/>
  <c r="X418" i="2"/>
  <c r="Y418" i="2"/>
  <c r="Z418" i="2"/>
  <c r="AA418" i="2"/>
  <c r="AC418" i="2"/>
  <c r="AD418" i="2"/>
  <c r="AE418" i="2"/>
  <c r="AF418" i="2"/>
  <c r="AG418" i="2"/>
  <c r="AK418" i="2"/>
  <c r="AL418" i="2"/>
  <c r="AM418" i="2"/>
  <c r="AN418" i="2"/>
  <c r="AP418" i="2"/>
  <c r="AQ418" i="2"/>
  <c r="AR418" i="2"/>
  <c r="AS418" i="2"/>
  <c r="AW418" i="2"/>
  <c r="AX418" i="2"/>
  <c r="AY418" i="2"/>
  <c r="AZ418" i="2"/>
  <c r="BB418" i="2"/>
  <c r="BC418" i="2"/>
  <c r="BD418" i="2"/>
  <c r="BE418" i="2"/>
  <c r="BI418" i="2"/>
  <c r="BJ418" i="2"/>
  <c r="BK418" i="2"/>
  <c r="BL418" i="2"/>
  <c r="BN418" i="2"/>
  <c r="BO418" i="2"/>
  <c r="BP418" i="2"/>
  <c r="BQ418" i="2"/>
  <c r="BV418" i="2"/>
  <c r="BW418" i="2"/>
  <c r="BX418" i="2"/>
  <c r="BY418" i="2"/>
  <c r="CA418" i="2"/>
  <c r="CB418" i="2"/>
  <c r="CC418" i="2"/>
  <c r="CD418" i="2"/>
  <c r="DG418" i="2"/>
  <c r="DH418" i="2"/>
  <c r="DJ418" i="2"/>
  <c r="F419" i="2"/>
  <c r="G419" i="2"/>
  <c r="V419" i="2"/>
  <c r="V420" i="2" s="1"/>
  <c r="V421" i="2" s="1"/>
  <c r="V422" i="2" s="1"/>
  <c r="AI419" i="2"/>
  <c r="AI420" i="2" s="1"/>
  <c r="AI421" i="2" s="1"/>
  <c r="AI422" i="2" s="1"/>
  <c r="AU419" i="2"/>
  <c r="AU420" i="2" s="1"/>
  <c r="AU421" i="2" s="1"/>
  <c r="AU422" i="2" s="1"/>
  <c r="BT419" i="2"/>
  <c r="BT420" i="2" s="1"/>
  <c r="BT421" i="2" s="1"/>
  <c r="BT422" i="2" s="1"/>
  <c r="DH419" i="2"/>
  <c r="F420" i="2"/>
  <c r="G420" i="2"/>
  <c r="DH420" i="2"/>
  <c r="G421" i="2"/>
  <c r="DH421" i="2"/>
  <c r="G422" i="2"/>
  <c r="DH422" i="2"/>
  <c r="DL421" i="2" l="1"/>
  <c r="DL422" i="2"/>
  <c r="DI419" i="2"/>
  <c r="DL420" i="2"/>
  <c r="DL419" i="2"/>
  <c r="DI420" i="2"/>
  <c r="AO32" i="15"/>
  <c r="BB30" i="3"/>
  <c r="AA32" i="15" s="1"/>
  <c r="AE32" i="15"/>
  <c r="AC32" i="15" s="1"/>
  <c r="BB32" i="3"/>
  <c r="AA34" i="15" s="1"/>
  <c r="AE34" i="15"/>
  <c r="AC34" i="15" s="1"/>
  <c r="AO34" i="15"/>
  <c r="AO17" i="15"/>
  <c r="BB15" i="3"/>
  <c r="AA17" i="15" s="1"/>
  <c r="AE17" i="15"/>
  <c r="AC17" i="15" s="1"/>
  <c r="BB16" i="3"/>
  <c r="AA18" i="15" s="1"/>
  <c r="AE18" i="15"/>
  <c r="AC18" i="15" s="1"/>
  <c r="AO18" i="15"/>
  <c r="L419" i="2"/>
  <c r="H419" i="2"/>
  <c r="H420" i="2"/>
  <c r="L420" i="2"/>
  <c r="DG419" i="2" l="1"/>
  <c r="DG420" i="2"/>
  <c r="H31" i="2"/>
  <c r="I31" i="2" s="1"/>
  <c r="I668" i="15"/>
  <c r="AN668" i="15" s="1"/>
  <c r="H28" i="2"/>
  <c r="I28" i="2" s="1"/>
  <c r="I665" i="15"/>
  <c r="AN665" i="15" s="1"/>
  <c r="I662" i="15"/>
  <c r="AN662" i="15" s="1"/>
  <c r="H25" i="2"/>
  <c r="I25" i="2" s="1"/>
  <c r="D68" i="2"/>
  <c r="D70" i="2"/>
  <c r="D71" i="2"/>
  <c r="D65" i="2"/>
  <c r="O665" i="15" l="1"/>
  <c r="W665" i="15" s="1"/>
  <c r="V665" i="15" s="1"/>
  <c r="U665" i="15" s="1"/>
  <c r="DG30" i="2"/>
  <c r="DG27" i="2"/>
  <c r="O668" i="15"/>
  <c r="W668" i="15" s="1"/>
  <c r="V668" i="15" s="1"/>
  <c r="U668" i="15" s="1"/>
  <c r="J438" i="2"/>
  <c r="J439" i="2"/>
  <c r="J440" i="2"/>
  <c r="J437" i="2"/>
  <c r="F421" i="2" s="1"/>
  <c r="DI421" i="2" s="1"/>
  <c r="AO668" i="15" l="1"/>
  <c r="AO665" i="15"/>
  <c r="O662" i="15"/>
  <c r="DG25" i="2"/>
  <c r="AA662" i="15" s="1"/>
  <c r="AE662" i="15"/>
  <c r="AC662" i="15" s="1"/>
  <c r="DG31" i="2"/>
  <c r="AA668" i="15" s="1"/>
  <c r="AE668" i="15"/>
  <c r="AC668" i="15" s="1"/>
  <c r="DG28" i="2"/>
  <c r="AA665" i="15" s="1"/>
  <c r="AE665" i="15"/>
  <c r="AC665" i="15" s="1"/>
  <c r="F422" i="2"/>
  <c r="DI422" i="2" s="1"/>
  <c r="H421" i="2"/>
  <c r="L421" i="2"/>
  <c r="DG421" i="2"/>
  <c r="H865" i="2"/>
  <c r="H864" i="2"/>
  <c r="H863" i="2"/>
  <c r="H349" i="2"/>
  <c r="H350" i="2"/>
  <c r="H98" i="2"/>
  <c r="H99" i="2"/>
  <c r="H693" i="2"/>
  <c r="H694" i="2"/>
  <c r="W662" i="15" l="1"/>
  <c r="V662" i="15" s="1"/>
  <c r="U662" i="15" s="1"/>
  <c r="AO662" i="15"/>
  <c r="DG422" i="2"/>
  <c r="L422" i="2"/>
  <c r="H422" i="2"/>
  <c r="AI796" i="15"/>
  <c r="AD796" i="15"/>
  <c r="AB796" i="15"/>
  <c r="X796" i="15"/>
  <c r="Z796" i="15" s="1"/>
  <c r="W796" i="15" s="1"/>
  <c r="H796" i="15"/>
  <c r="G796" i="15"/>
  <c r="C796" i="15"/>
  <c r="AM796" i="15" s="1"/>
  <c r="B796" i="15"/>
  <c r="A796" i="15" s="1"/>
  <c r="AI795" i="15"/>
  <c r="AD795" i="15"/>
  <c r="AB795" i="15"/>
  <c r="X795" i="15"/>
  <c r="Z795" i="15" s="1"/>
  <c r="W795" i="15" s="1"/>
  <c r="H795" i="15"/>
  <c r="G795" i="15"/>
  <c r="C795" i="15"/>
  <c r="AM795" i="15" s="1"/>
  <c r="B795" i="15"/>
  <c r="A795" i="15" s="1"/>
  <c r="AI794" i="15"/>
  <c r="AD794" i="15"/>
  <c r="AB794" i="15"/>
  <c r="X794" i="15"/>
  <c r="Z794" i="15" s="1"/>
  <c r="W794" i="15" s="1"/>
  <c r="H794" i="15"/>
  <c r="G794" i="15"/>
  <c r="C794" i="15"/>
  <c r="AM794" i="15" s="1"/>
  <c r="B794" i="15"/>
  <c r="A794" i="15" s="1"/>
  <c r="BE862" i="2"/>
  <c r="BD862" i="2"/>
  <c r="BC862" i="2"/>
  <c r="BB862" i="2"/>
  <c r="AZ862" i="2"/>
  <c r="AY862" i="2"/>
  <c r="AX862" i="2"/>
  <c r="AW862" i="2"/>
  <c r="AS862" i="2"/>
  <c r="AR862" i="2"/>
  <c r="AQ862" i="2"/>
  <c r="AP862" i="2"/>
  <c r="AO862" i="2"/>
  <c r="AN862" i="2"/>
  <c r="AM862" i="2"/>
  <c r="AL862" i="2"/>
  <c r="AK862" i="2"/>
  <c r="AG862" i="2"/>
  <c r="AF862" i="2"/>
  <c r="AE862" i="2"/>
  <c r="AD862" i="2"/>
  <c r="AC862" i="2"/>
  <c r="AA862" i="2"/>
  <c r="Z862" i="2"/>
  <c r="Y862" i="2"/>
  <c r="X862" i="2"/>
  <c r="W862" i="2"/>
  <c r="V860" i="2"/>
  <c r="D873" i="2"/>
  <c r="D872" i="2"/>
  <c r="D871" i="2"/>
  <c r="DH865" i="2"/>
  <c r="DI865" i="2" s="1"/>
  <c r="DH864" i="2"/>
  <c r="DH863" i="2"/>
  <c r="DI863" i="2" s="1"/>
  <c r="DJ862" i="2"/>
  <c r="DI862" i="2"/>
  <c r="DH862" i="2"/>
  <c r="DG862" i="2"/>
  <c r="D704" i="2"/>
  <c r="E704" i="2"/>
  <c r="D705" i="2"/>
  <c r="E705" i="2"/>
  <c r="AI780" i="15"/>
  <c r="AD780" i="15"/>
  <c r="AB780" i="15"/>
  <c r="X780" i="15"/>
  <c r="Z780" i="15" s="1"/>
  <c r="H780" i="15"/>
  <c r="G780" i="15"/>
  <c r="C780" i="15"/>
  <c r="AM780" i="15" s="1"/>
  <c r="B780" i="15"/>
  <c r="A780" i="15" s="1"/>
  <c r="AI779" i="15"/>
  <c r="AD779" i="15"/>
  <c r="AB779" i="15"/>
  <c r="X779" i="15"/>
  <c r="Z779" i="15" s="1"/>
  <c r="H779" i="15"/>
  <c r="G779" i="15"/>
  <c r="C779" i="15"/>
  <c r="AM779" i="15" s="1"/>
  <c r="B779" i="15"/>
  <c r="A779" i="15" s="1"/>
  <c r="F694" i="2"/>
  <c r="F693" i="2"/>
  <c r="DH694" i="2"/>
  <c r="DH693" i="2"/>
  <c r="G424" i="2"/>
  <c r="DL424" i="2" s="1"/>
  <c r="G423" i="2"/>
  <c r="DL423" i="2" s="1"/>
  <c r="F423" i="2"/>
  <c r="H415" i="2"/>
  <c r="F401" i="2" s="1"/>
  <c r="H414" i="2"/>
  <c r="H413" i="2"/>
  <c r="H412" i="2"/>
  <c r="H411" i="2"/>
  <c r="DI694" i="2" l="1"/>
  <c r="DI864" i="2"/>
  <c r="DG864" i="2" s="1"/>
  <c r="AA795" i="15" s="1"/>
  <c r="DI693" i="2"/>
  <c r="I795" i="15"/>
  <c r="AN795" i="15" s="1"/>
  <c r="I779" i="15"/>
  <c r="AN779" i="15" s="1"/>
  <c r="I796" i="15"/>
  <c r="AN796" i="15" s="1"/>
  <c r="I780" i="15"/>
  <c r="AN780" i="15" s="1"/>
  <c r="I863" i="2"/>
  <c r="O794" i="15" s="1"/>
  <c r="V794" i="15" s="1"/>
  <c r="U794" i="15" s="1"/>
  <c r="I865" i="2"/>
  <c r="O796" i="15" s="1"/>
  <c r="V796" i="15" s="1"/>
  <c r="U796" i="15" s="1"/>
  <c r="I794" i="15"/>
  <c r="AN794" i="15" s="1"/>
  <c r="DG865" i="2"/>
  <c r="AA796" i="15" s="1"/>
  <c r="I694" i="2"/>
  <c r="O780" i="15" s="1"/>
  <c r="W780" i="15" s="1"/>
  <c r="V780" i="15" s="1"/>
  <c r="U780" i="15" s="1"/>
  <c r="I864" i="2"/>
  <c r="O795" i="15" s="1"/>
  <c r="V795" i="15" s="1"/>
  <c r="U795" i="15" s="1"/>
  <c r="I693" i="2"/>
  <c r="O779" i="15" s="1"/>
  <c r="W779" i="15" s="1"/>
  <c r="V779" i="15" s="1"/>
  <c r="U779" i="15" s="1"/>
  <c r="AO780" i="15" l="1"/>
  <c r="AO796" i="15"/>
  <c r="AO779" i="15"/>
  <c r="AO794" i="15"/>
  <c r="AO795" i="15"/>
  <c r="AE796" i="15"/>
  <c r="AC796" i="15" s="1"/>
  <c r="AE795" i="15"/>
  <c r="AC795" i="15" s="1"/>
  <c r="DG863" i="2"/>
  <c r="AA794" i="15" s="1"/>
  <c r="AE794" i="15"/>
  <c r="AC794" i="15" s="1"/>
  <c r="DG694" i="2"/>
  <c r="AA780" i="15" s="1"/>
  <c r="AE780" i="15"/>
  <c r="AC780" i="15" s="1"/>
  <c r="DG693" i="2"/>
  <c r="AA779" i="15" s="1"/>
  <c r="AE779" i="15"/>
  <c r="AC779" i="15" s="1"/>
  <c r="AI724" i="15" l="1"/>
  <c r="AD724" i="15"/>
  <c r="AB724" i="15"/>
  <c r="X724" i="15"/>
  <c r="Z724" i="15" s="1"/>
  <c r="H724" i="15"/>
  <c r="G724" i="15"/>
  <c r="C724" i="15"/>
  <c r="AM724" i="15" s="1"/>
  <c r="B724" i="15"/>
  <c r="A724" i="15" s="1"/>
  <c r="AI723" i="15"/>
  <c r="AD723" i="15"/>
  <c r="AB723" i="15"/>
  <c r="X723" i="15"/>
  <c r="Z723" i="15" s="1"/>
  <c r="H723" i="15"/>
  <c r="G723" i="15"/>
  <c r="C723" i="15"/>
  <c r="AM723" i="15" s="1"/>
  <c r="B723" i="15"/>
  <c r="A723" i="15" s="1"/>
  <c r="F350" i="2"/>
  <c r="F349" i="2"/>
  <c r="E363" i="2"/>
  <c r="E362" i="2"/>
  <c r="D363" i="2"/>
  <c r="D362" i="2"/>
  <c r="DH350" i="2"/>
  <c r="DH349" i="2"/>
  <c r="AI674" i="15"/>
  <c r="AD674" i="15"/>
  <c r="AB674" i="15"/>
  <c r="X674" i="15"/>
  <c r="Z674" i="15" s="1"/>
  <c r="H674" i="15"/>
  <c r="G674" i="15"/>
  <c r="C674" i="15"/>
  <c r="AM674" i="15" s="1"/>
  <c r="B674" i="15"/>
  <c r="A674" i="15" s="1"/>
  <c r="AI673" i="15"/>
  <c r="AD673" i="15"/>
  <c r="AB673" i="15"/>
  <c r="X673" i="15"/>
  <c r="Z673" i="15" s="1"/>
  <c r="H673" i="15"/>
  <c r="G673" i="15"/>
  <c r="C673" i="15"/>
  <c r="AM673" i="15" s="1"/>
  <c r="B673" i="15"/>
  <c r="A673" i="15" s="1"/>
  <c r="DH99" i="2"/>
  <c r="F99" i="2"/>
  <c r="I99" i="2" s="1"/>
  <c r="DH98" i="2"/>
  <c r="F98" i="2"/>
  <c r="I98" i="2" s="1"/>
  <c r="E112" i="2"/>
  <c r="D112" i="2"/>
  <c r="E111" i="2"/>
  <c r="D111" i="2"/>
  <c r="AI797" i="15"/>
  <c r="X797" i="15"/>
  <c r="O797" i="15"/>
  <c r="I797" i="15"/>
  <c r="H797" i="15"/>
  <c r="G797" i="15"/>
  <c r="C797" i="15"/>
  <c r="AM797" i="15" s="1"/>
  <c r="B797" i="15"/>
  <c r="A797" i="15" s="1"/>
  <c r="AI793" i="15"/>
  <c r="AB793" i="15"/>
  <c r="X793" i="15"/>
  <c r="H793" i="15"/>
  <c r="G793" i="15"/>
  <c r="C793" i="15"/>
  <c r="AM793" i="15" s="1"/>
  <c r="B793" i="15"/>
  <c r="A793" i="15" s="1"/>
  <c r="AI792" i="15"/>
  <c r="AB792" i="15"/>
  <c r="X792" i="15"/>
  <c r="H792" i="15"/>
  <c r="G792" i="15"/>
  <c r="C792" i="15"/>
  <c r="AM792" i="15" s="1"/>
  <c r="B792" i="15"/>
  <c r="A792" i="15" s="1"/>
  <c r="AI791" i="15"/>
  <c r="AB791" i="15"/>
  <c r="X791" i="15"/>
  <c r="H791" i="15"/>
  <c r="G791" i="15"/>
  <c r="C791" i="15"/>
  <c r="AM791" i="15" s="1"/>
  <c r="B791" i="15"/>
  <c r="A791" i="15" s="1"/>
  <c r="AI790" i="15"/>
  <c r="AB790" i="15"/>
  <c r="X790" i="15"/>
  <c r="H790" i="15"/>
  <c r="G790" i="15"/>
  <c r="C790" i="15"/>
  <c r="AM790" i="15" s="1"/>
  <c r="B790" i="15"/>
  <c r="A790" i="15" s="1"/>
  <c r="AI789" i="15"/>
  <c r="AB789" i="15"/>
  <c r="X789" i="15"/>
  <c r="H789" i="15"/>
  <c r="G789" i="15"/>
  <c r="C789" i="15"/>
  <c r="AM789" i="15" s="1"/>
  <c r="B789" i="15"/>
  <c r="A789" i="15" s="1"/>
  <c r="AI788" i="15"/>
  <c r="AB788" i="15"/>
  <c r="X788" i="15"/>
  <c r="H788" i="15"/>
  <c r="G788" i="15"/>
  <c r="C788" i="15"/>
  <c r="AM788" i="15" s="1"/>
  <c r="B788" i="15"/>
  <c r="A788" i="15" s="1"/>
  <c r="AI787" i="15"/>
  <c r="AB787" i="15"/>
  <c r="X787" i="15"/>
  <c r="H787" i="15"/>
  <c r="G787" i="15"/>
  <c r="C787" i="15"/>
  <c r="AM787" i="15" s="1"/>
  <c r="B787" i="15"/>
  <c r="A787" i="15" s="1"/>
  <c r="AI786" i="15"/>
  <c r="AB786" i="15"/>
  <c r="X786" i="15"/>
  <c r="H786" i="15"/>
  <c r="G786" i="15"/>
  <c r="C786" i="15"/>
  <c r="AM786" i="15" s="1"/>
  <c r="B786" i="15"/>
  <c r="A786" i="15" s="1"/>
  <c r="AI785" i="15"/>
  <c r="AB785" i="15"/>
  <c r="X785" i="15"/>
  <c r="H785" i="15"/>
  <c r="G785" i="15"/>
  <c r="C785" i="15"/>
  <c r="AM785" i="15" s="1"/>
  <c r="B785" i="15"/>
  <c r="A785" i="15" s="1"/>
  <c r="AI784" i="15"/>
  <c r="AB784" i="15"/>
  <c r="X784" i="15"/>
  <c r="H784" i="15"/>
  <c r="G784" i="15"/>
  <c r="C784" i="15"/>
  <c r="AM784" i="15" s="1"/>
  <c r="B784" i="15"/>
  <c r="A784" i="15" s="1"/>
  <c r="AI783" i="15"/>
  <c r="AB783" i="15"/>
  <c r="X783" i="15"/>
  <c r="H783" i="15"/>
  <c r="G783" i="15"/>
  <c r="C783" i="15"/>
  <c r="AM783" i="15" s="1"/>
  <c r="B783" i="15"/>
  <c r="A783" i="15" s="1"/>
  <c r="AI782" i="15"/>
  <c r="AB782" i="15"/>
  <c r="X782" i="15"/>
  <c r="H782" i="15"/>
  <c r="G782" i="15"/>
  <c r="C782" i="15"/>
  <c r="AM782" i="15" s="1"/>
  <c r="B782" i="15"/>
  <c r="A782" i="15" s="1"/>
  <c r="AI781" i="15"/>
  <c r="AB781" i="15"/>
  <c r="X781" i="15"/>
  <c r="H781" i="15"/>
  <c r="G781" i="15"/>
  <c r="C781" i="15"/>
  <c r="AM781" i="15" s="1"/>
  <c r="B781" i="15"/>
  <c r="A781" i="15" s="1"/>
  <c r="AI778" i="15"/>
  <c r="AB778" i="15"/>
  <c r="X778" i="15"/>
  <c r="H778" i="15"/>
  <c r="G778" i="15"/>
  <c r="C778" i="15"/>
  <c r="AM778" i="15" s="1"/>
  <c r="B778" i="15"/>
  <c r="A778" i="15" s="1"/>
  <c r="AI777" i="15"/>
  <c r="AB777" i="15"/>
  <c r="X777" i="15"/>
  <c r="H777" i="15"/>
  <c r="G777" i="15"/>
  <c r="C777" i="15"/>
  <c r="AM777" i="15" s="1"/>
  <c r="B777" i="15"/>
  <c r="A777" i="15" s="1"/>
  <c r="AI776" i="15"/>
  <c r="AB776" i="15"/>
  <c r="X776" i="15"/>
  <c r="H776" i="15"/>
  <c r="G776" i="15"/>
  <c r="C776" i="15"/>
  <c r="AM776" i="15" s="1"/>
  <c r="B776" i="15"/>
  <c r="A776" i="15" s="1"/>
  <c r="AI775" i="15"/>
  <c r="AB775" i="15"/>
  <c r="X775" i="15"/>
  <c r="H775" i="15"/>
  <c r="G775" i="15"/>
  <c r="C775" i="15"/>
  <c r="AM775" i="15" s="1"/>
  <c r="B775" i="15"/>
  <c r="A775" i="15" s="1"/>
  <c r="AI774" i="15"/>
  <c r="AB774" i="15"/>
  <c r="X774" i="15"/>
  <c r="H774" i="15"/>
  <c r="G774" i="15"/>
  <c r="C774" i="15"/>
  <c r="AM774" i="15" s="1"/>
  <c r="B774" i="15"/>
  <c r="A774" i="15" s="1"/>
  <c r="AI773" i="15"/>
  <c r="AB773" i="15"/>
  <c r="X773" i="15"/>
  <c r="H773" i="15"/>
  <c r="G773" i="15"/>
  <c r="C773" i="15"/>
  <c r="AM773" i="15" s="1"/>
  <c r="B773" i="15"/>
  <c r="A773" i="15" s="1"/>
  <c r="AI772" i="15"/>
  <c r="AB772" i="15"/>
  <c r="X772" i="15"/>
  <c r="H772" i="15"/>
  <c r="G772" i="15"/>
  <c r="C772" i="15"/>
  <c r="AM772" i="15" s="1"/>
  <c r="B772" i="15"/>
  <c r="A772" i="15" s="1"/>
  <c r="AI764" i="15"/>
  <c r="AB764" i="15"/>
  <c r="X764" i="15"/>
  <c r="H764" i="15"/>
  <c r="G764" i="15"/>
  <c r="C764" i="15"/>
  <c r="AM764" i="15" s="1"/>
  <c r="B764" i="15"/>
  <c r="A764" i="15" s="1"/>
  <c r="AI763" i="15"/>
  <c r="AB763" i="15"/>
  <c r="X763" i="15"/>
  <c r="H763" i="15"/>
  <c r="G763" i="15"/>
  <c r="C763" i="15"/>
  <c r="AM763" i="15" s="1"/>
  <c r="B763" i="15"/>
  <c r="A763" i="15" s="1"/>
  <c r="AI762" i="15"/>
  <c r="AB762" i="15"/>
  <c r="X762" i="15"/>
  <c r="H762" i="15"/>
  <c r="G762" i="15"/>
  <c r="C762" i="15"/>
  <c r="AM762" i="15" s="1"/>
  <c r="B762" i="15"/>
  <c r="A762" i="15" s="1"/>
  <c r="AI761" i="15"/>
  <c r="AB761" i="15"/>
  <c r="X761" i="15"/>
  <c r="H761" i="15"/>
  <c r="G761" i="15"/>
  <c r="C761" i="15"/>
  <c r="AM761" i="15" s="1"/>
  <c r="B761" i="15"/>
  <c r="A761" i="15" s="1"/>
  <c r="AI760" i="15"/>
  <c r="AB760" i="15"/>
  <c r="X760" i="15"/>
  <c r="H760" i="15"/>
  <c r="G760" i="15"/>
  <c r="C760" i="15"/>
  <c r="AM760" i="15" s="1"/>
  <c r="B760" i="15"/>
  <c r="A760" i="15" s="1"/>
  <c r="AI759" i="15"/>
  <c r="AB759" i="15"/>
  <c r="X759" i="15"/>
  <c r="H759" i="15"/>
  <c r="G759" i="15"/>
  <c r="C759" i="15"/>
  <c r="AM759" i="15" s="1"/>
  <c r="B759" i="15"/>
  <c r="A759" i="15" s="1"/>
  <c r="AI758" i="15"/>
  <c r="AB758" i="15"/>
  <c r="X758" i="15"/>
  <c r="H758" i="15"/>
  <c r="G758" i="15"/>
  <c r="C758" i="15"/>
  <c r="AM758" i="15" s="1"/>
  <c r="B758" i="15"/>
  <c r="A758" i="15" s="1"/>
  <c r="AI757" i="15"/>
  <c r="AB757" i="15"/>
  <c r="X757" i="15"/>
  <c r="H757" i="15"/>
  <c r="G757" i="15"/>
  <c r="C757" i="15"/>
  <c r="AM757" i="15" s="1"/>
  <c r="B757" i="15"/>
  <c r="A757" i="15" s="1"/>
  <c r="AI756" i="15"/>
  <c r="AB756" i="15"/>
  <c r="X756" i="15"/>
  <c r="H756" i="15"/>
  <c r="G756" i="15"/>
  <c r="C756" i="15"/>
  <c r="AM756" i="15" s="1"/>
  <c r="B756" i="15"/>
  <c r="A756" i="15" s="1"/>
  <c r="AI755" i="15"/>
  <c r="AB755" i="15"/>
  <c r="X755" i="15"/>
  <c r="H755" i="15"/>
  <c r="G755" i="15"/>
  <c r="C755" i="15"/>
  <c r="AM755" i="15" s="1"/>
  <c r="B755" i="15"/>
  <c r="A755" i="15" s="1"/>
  <c r="AI754" i="15"/>
  <c r="AB754" i="15"/>
  <c r="X754" i="15"/>
  <c r="H754" i="15"/>
  <c r="G754" i="15"/>
  <c r="C754" i="15"/>
  <c r="AM754" i="15" s="1"/>
  <c r="B754" i="15"/>
  <c r="A754" i="15" s="1"/>
  <c r="AI753" i="15"/>
  <c r="AB753" i="15"/>
  <c r="X753" i="15"/>
  <c r="H753" i="15"/>
  <c r="G753" i="15"/>
  <c r="C753" i="15"/>
  <c r="AM753" i="15" s="1"/>
  <c r="B753" i="15"/>
  <c r="A753" i="15" s="1"/>
  <c r="AI752" i="15"/>
  <c r="AB752" i="15"/>
  <c r="X752" i="15"/>
  <c r="H752" i="15"/>
  <c r="G752" i="15"/>
  <c r="C752" i="15"/>
  <c r="AM752" i="15" s="1"/>
  <c r="B752" i="15"/>
  <c r="A752" i="15" s="1"/>
  <c r="AI751" i="15"/>
  <c r="AB751" i="15"/>
  <c r="X751" i="15"/>
  <c r="H751" i="15"/>
  <c r="G751" i="15"/>
  <c r="C751" i="15"/>
  <c r="AM751" i="15" s="1"/>
  <c r="B751" i="15"/>
  <c r="A751" i="15" s="1"/>
  <c r="AI750" i="15"/>
  <c r="AB750" i="15"/>
  <c r="X750" i="15"/>
  <c r="H750" i="15"/>
  <c r="G750" i="15"/>
  <c r="C750" i="15"/>
  <c r="AM750" i="15" s="1"/>
  <c r="B750" i="15"/>
  <c r="A750" i="15" s="1"/>
  <c r="AI749" i="15"/>
  <c r="AB749" i="15"/>
  <c r="X749" i="15"/>
  <c r="H749" i="15"/>
  <c r="G749" i="15"/>
  <c r="C749" i="15"/>
  <c r="AM749" i="15" s="1"/>
  <c r="B749" i="15"/>
  <c r="A749" i="15" s="1"/>
  <c r="AI748" i="15"/>
  <c r="AB748" i="15"/>
  <c r="X748" i="15"/>
  <c r="H748" i="15"/>
  <c r="G748" i="15"/>
  <c r="C748" i="15"/>
  <c r="AM748" i="15" s="1"/>
  <c r="B748" i="15"/>
  <c r="A748" i="15" s="1"/>
  <c r="AI747" i="15"/>
  <c r="AB747" i="15"/>
  <c r="X747" i="15"/>
  <c r="H747" i="15"/>
  <c r="G747" i="15"/>
  <c r="C747" i="15"/>
  <c r="AM747" i="15" s="1"/>
  <c r="B747" i="15"/>
  <c r="A747" i="15" s="1"/>
  <c r="AI746" i="15"/>
  <c r="AB746" i="15"/>
  <c r="X746" i="15"/>
  <c r="H746" i="15"/>
  <c r="G746" i="15"/>
  <c r="C746" i="15"/>
  <c r="AM746" i="15" s="1"/>
  <c r="B746" i="15"/>
  <c r="A746" i="15" s="1"/>
  <c r="AI745" i="15"/>
  <c r="AB745" i="15"/>
  <c r="X745" i="15"/>
  <c r="H745" i="15"/>
  <c r="G745" i="15"/>
  <c r="C745" i="15"/>
  <c r="AM745" i="15" s="1"/>
  <c r="B745" i="15"/>
  <c r="A745" i="15" s="1"/>
  <c r="AI744" i="15"/>
  <c r="AB744" i="15"/>
  <c r="X744" i="15"/>
  <c r="H744" i="15"/>
  <c r="G744" i="15"/>
  <c r="C744" i="15"/>
  <c r="AM744" i="15" s="1"/>
  <c r="B744" i="15"/>
  <c r="A744" i="15" s="1"/>
  <c r="AI743" i="15"/>
  <c r="AB743" i="15"/>
  <c r="X743" i="15"/>
  <c r="H743" i="15"/>
  <c r="G743" i="15"/>
  <c r="C743" i="15"/>
  <c r="AM743" i="15" s="1"/>
  <c r="B743" i="15"/>
  <c r="A743" i="15" s="1"/>
  <c r="AI742" i="15"/>
  <c r="AB742" i="15"/>
  <c r="X742" i="15"/>
  <c r="H742" i="15"/>
  <c r="G742" i="15"/>
  <c r="C742" i="15"/>
  <c r="AM742" i="15" s="1"/>
  <c r="B742" i="15"/>
  <c r="A742" i="15" s="1"/>
  <c r="AI741" i="15"/>
  <c r="AB741" i="15"/>
  <c r="X741" i="15"/>
  <c r="H741" i="15"/>
  <c r="G741" i="15"/>
  <c r="C741" i="15"/>
  <c r="AM741" i="15" s="1"/>
  <c r="B741" i="15"/>
  <c r="A741" i="15" s="1"/>
  <c r="AI737" i="15"/>
  <c r="AB737" i="15"/>
  <c r="X737" i="15"/>
  <c r="H737" i="15"/>
  <c r="G737" i="15"/>
  <c r="C737" i="15"/>
  <c r="AM737" i="15" s="1"/>
  <c r="B737" i="15"/>
  <c r="A737" i="15" s="1"/>
  <c r="AI736" i="15"/>
  <c r="AB736" i="15"/>
  <c r="X736" i="15"/>
  <c r="H736" i="15"/>
  <c r="G736" i="15"/>
  <c r="D736" i="15"/>
  <c r="C736" i="15"/>
  <c r="AM736" i="15" s="1"/>
  <c r="B736" i="15"/>
  <c r="A736" i="15" s="1"/>
  <c r="AI735" i="15"/>
  <c r="AB735" i="15"/>
  <c r="X735" i="15"/>
  <c r="H735" i="15"/>
  <c r="G735" i="15"/>
  <c r="D735" i="15"/>
  <c r="C735" i="15"/>
  <c r="AM735" i="15" s="1"/>
  <c r="B735" i="15"/>
  <c r="A735" i="15" s="1"/>
  <c r="AI734" i="15"/>
  <c r="AB734" i="15"/>
  <c r="X734" i="15"/>
  <c r="H734" i="15"/>
  <c r="G734" i="15"/>
  <c r="D734" i="15"/>
  <c r="C734" i="15"/>
  <c r="AM734" i="15" s="1"/>
  <c r="B734" i="15"/>
  <c r="A734" i="15" s="1"/>
  <c r="AI733" i="15"/>
  <c r="AB733" i="15"/>
  <c r="X733" i="15"/>
  <c r="H733" i="15"/>
  <c r="G733" i="15"/>
  <c r="D733" i="15"/>
  <c r="C733" i="15"/>
  <c r="AM733" i="15" s="1"/>
  <c r="B733" i="15"/>
  <c r="A733" i="15" s="1"/>
  <c r="AI732" i="15"/>
  <c r="AB732" i="15"/>
  <c r="X732" i="15"/>
  <c r="H732" i="15"/>
  <c r="G732" i="15"/>
  <c r="D732" i="15"/>
  <c r="C732" i="15"/>
  <c r="AM732" i="15" s="1"/>
  <c r="B732" i="15"/>
  <c r="A732" i="15" s="1"/>
  <c r="AI731" i="15"/>
  <c r="AB731" i="15"/>
  <c r="X731" i="15"/>
  <c r="H731" i="15"/>
  <c r="G731" i="15"/>
  <c r="D731" i="15"/>
  <c r="C731" i="15"/>
  <c r="AM731" i="15" s="1"/>
  <c r="B731" i="15"/>
  <c r="A731" i="15" s="1"/>
  <c r="AI730" i="15"/>
  <c r="AB730" i="15"/>
  <c r="X730" i="15"/>
  <c r="H730" i="15"/>
  <c r="G730" i="15"/>
  <c r="C730" i="15"/>
  <c r="AM730" i="15" s="1"/>
  <c r="B730" i="15"/>
  <c r="A730" i="15" s="1"/>
  <c r="AI729" i="15"/>
  <c r="AB729" i="15"/>
  <c r="X729" i="15"/>
  <c r="H729" i="15"/>
  <c r="G729" i="15"/>
  <c r="C729" i="15"/>
  <c r="AM729" i="15" s="1"/>
  <c r="B729" i="15"/>
  <c r="A729" i="15" s="1"/>
  <c r="AI728" i="15"/>
  <c r="AB728" i="15"/>
  <c r="X728" i="15"/>
  <c r="H728" i="15"/>
  <c r="G728" i="15"/>
  <c r="C728" i="15"/>
  <c r="AM728" i="15" s="1"/>
  <c r="B728" i="15"/>
  <c r="A728" i="15" s="1"/>
  <c r="AI727" i="15"/>
  <c r="AB727" i="15"/>
  <c r="X727" i="15"/>
  <c r="H727" i="15"/>
  <c r="G727" i="15"/>
  <c r="C727" i="15"/>
  <c r="AM727" i="15" s="1"/>
  <c r="B727" i="15"/>
  <c r="A727" i="15" s="1"/>
  <c r="AI726" i="15"/>
  <c r="AB726" i="15"/>
  <c r="X726" i="15"/>
  <c r="H726" i="15"/>
  <c r="G726" i="15"/>
  <c r="C726" i="15"/>
  <c r="AM726" i="15" s="1"/>
  <c r="B726" i="15"/>
  <c r="A726" i="15" s="1"/>
  <c r="AI725" i="15"/>
  <c r="AB725" i="15"/>
  <c r="X725" i="15"/>
  <c r="H725" i="15"/>
  <c r="G725" i="15"/>
  <c r="C725" i="15"/>
  <c r="AM725" i="15" s="1"/>
  <c r="B725" i="15"/>
  <c r="A725" i="15" s="1"/>
  <c r="AI722" i="15"/>
  <c r="X722" i="15"/>
  <c r="H722" i="15"/>
  <c r="G722" i="15"/>
  <c r="C722" i="15"/>
  <c r="AM722" i="15" s="1"/>
  <c r="B722" i="15"/>
  <c r="A722" i="15" s="1"/>
  <c r="AI721" i="15"/>
  <c r="AB721" i="15"/>
  <c r="X721" i="15"/>
  <c r="H721" i="15"/>
  <c r="G721" i="15"/>
  <c r="C721" i="15"/>
  <c r="AM721" i="15" s="1"/>
  <c r="B721" i="15"/>
  <c r="A721" i="15" s="1"/>
  <c r="AI720" i="15"/>
  <c r="AB720" i="15"/>
  <c r="X720" i="15"/>
  <c r="H720" i="15"/>
  <c r="G720" i="15"/>
  <c r="D720" i="15"/>
  <c r="C720" i="15"/>
  <c r="AM720" i="15" s="1"/>
  <c r="B720" i="15"/>
  <c r="A720" i="15" s="1"/>
  <c r="AI719" i="15"/>
  <c r="AB719" i="15"/>
  <c r="X719" i="15"/>
  <c r="H719" i="15"/>
  <c r="G719" i="15"/>
  <c r="C719" i="15"/>
  <c r="AM719" i="15" s="1"/>
  <c r="B719" i="15"/>
  <c r="A719" i="15" s="1"/>
  <c r="AI718" i="15"/>
  <c r="AB718" i="15"/>
  <c r="X718" i="15"/>
  <c r="H718" i="15"/>
  <c r="G718" i="15"/>
  <c r="C718" i="15"/>
  <c r="AM718" i="15" s="1"/>
  <c r="B718" i="15"/>
  <c r="A718" i="15" s="1"/>
  <c r="AI717" i="15"/>
  <c r="AB717" i="15"/>
  <c r="X717" i="15"/>
  <c r="H717" i="15"/>
  <c r="G717" i="15"/>
  <c r="C717" i="15"/>
  <c r="AM717" i="15" s="1"/>
  <c r="B717" i="15"/>
  <c r="A717" i="15" s="1"/>
  <c r="AI716" i="15"/>
  <c r="AB716" i="15"/>
  <c r="X716" i="15"/>
  <c r="H716" i="15"/>
  <c r="G716" i="15"/>
  <c r="C716" i="15"/>
  <c r="AM716" i="15" s="1"/>
  <c r="B716" i="15"/>
  <c r="A716" i="15" s="1"/>
  <c r="AI715" i="15"/>
  <c r="AB715" i="15"/>
  <c r="X715" i="15"/>
  <c r="H715" i="15"/>
  <c r="G715" i="15"/>
  <c r="C715" i="15"/>
  <c r="AM715" i="15" s="1"/>
  <c r="B715" i="15"/>
  <c r="A715" i="15" s="1"/>
  <c r="AI714" i="15"/>
  <c r="AB714" i="15"/>
  <c r="X714" i="15"/>
  <c r="H714" i="15"/>
  <c r="G714" i="15"/>
  <c r="C714" i="15"/>
  <c r="AM714" i="15" s="1"/>
  <c r="B714" i="15"/>
  <c r="A714" i="15" s="1"/>
  <c r="AI713" i="15"/>
  <c r="AB713" i="15"/>
  <c r="X713" i="15"/>
  <c r="H713" i="15"/>
  <c r="G713" i="15"/>
  <c r="C713" i="15"/>
  <c r="AM713" i="15" s="1"/>
  <c r="B713" i="15"/>
  <c r="A713" i="15" s="1"/>
  <c r="AI712" i="15"/>
  <c r="AB712" i="15"/>
  <c r="X712" i="15"/>
  <c r="H712" i="15"/>
  <c r="G712" i="15"/>
  <c r="C712" i="15"/>
  <c r="AM712" i="15" s="1"/>
  <c r="B712" i="15"/>
  <c r="A712" i="15" s="1"/>
  <c r="AI711" i="15"/>
  <c r="X711" i="15"/>
  <c r="H711" i="15"/>
  <c r="G711" i="15"/>
  <c r="C711" i="15"/>
  <c r="AM711" i="15" s="1"/>
  <c r="B711" i="15"/>
  <c r="A711" i="15" s="1"/>
  <c r="AI710" i="15"/>
  <c r="AB710" i="15"/>
  <c r="X710" i="15"/>
  <c r="H710" i="15"/>
  <c r="G710" i="15"/>
  <c r="C710" i="15"/>
  <c r="AM710" i="15" s="1"/>
  <c r="B710" i="15"/>
  <c r="A710" i="15" s="1"/>
  <c r="AI709" i="15"/>
  <c r="AB709" i="15"/>
  <c r="X709" i="15"/>
  <c r="H709" i="15"/>
  <c r="G709" i="15"/>
  <c r="C709" i="15"/>
  <c r="AM709" i="15" s="1"/>
  <c r="B709" i="15"/>
  <c r="A709" i="15" s="1"/>
  <c r="AI708" i="15"/>
  <c r="AB708" i="15"/>
  <c r="X708" i="15"/>
  <c r="H708" i="15"/>
  <c r="G708" i="15"/>
  <c r="C708" i="15"/>
  <c r="AM708" i="15" s="1"/>
  <c r="B708" i="15"/>
  <c r="A708" i="15" s="1"/>
  <c r="AI707" i="15"/>
  <c r="AB707" i="15"/>
  <c r="X707" i="15"/>
  <c r="H707" i="15"/>
  <c r="G707" i="15"/>
  <c r="C707" i="15"/>
  <c r="AM707" i="15" s="1"/>
  <c r="B707" i="15"/>
  <c r="A707" i="15" s="1"/>
  <c r="AI706" i="15"/>
  <c r="AB706" i="15"/>
  <c r="X706" i="15"/>
  <c r="H706" i="15"/>
  <c r="G706" i="15"/>
  <c r="C706" i="15"/>
  <c r="AM706" i="15" s="1"/>
  <c r="B706" i="15"/>
  <c r="A706" i="15" s="1"/>
  <c r="AI705" i="15"/>
  <c r="AB705" i="15"/>
  <c r="X705" i="15"/>
  <c r="H705" i="15"/>
  <c r="G705" i="15"/>
  <c r="C705" i="15"/>
  <c r="AM705" i="15" s="1"/>
  <c r="B705" i="15"/>
  <c r="A705" i="15" s="1"/>
  <c r="AI704" i="15"/>
  <c r="AB704" i="15"/>
  <c r="X704" i="15"/>
  <c r="H704" i="15"/>
  <c r="G704" i="15"/>
  <c r="C704" i="15"/>
  <c r="AM704" i="15" s="1"/>
  <c r="B704" i="15"/>
  <c r="A704" i="15" s="1"/>
  <c r="AI703" i="15"/>
  <c r="AB703" i="15"/>
  <c r="X703" i="15"/>
  <c r="H703" i="15"/>
  <c r="G703" i="15"/>
  <c r="C703" i="15"/>
  <c r="AM703" i="15" s="1"/>
  <c r="B703" i="15"/>
  <c r="A703" i="15" s="1"/>
  <c r="AI702" i="15"/>
  <c r="AB702" i="15"/>
  <c r="X702" i="15"/>
  <c r="H702" i="15"/>
  <c r="G702" i="15"/>
  <c r="C702" i="15"/>
  <c r="AM702" i="15" s="1"/>
  <c r="B702" i="15"/>
  <c r="A702" i="15" s="1"/>
  <c r="AI701" i="15"/>
  <c r="AB701" i="15"/>
  <c r="X701" i="15"/>
  <c r="H701" i="15"/>
  <c r="G701" i="15"/>
  <c r="C701" i="15"/>
  <c r="AM701" i="15" s="1"/>
  <c r="B701" i="15"/>
  <c r="A701" i="15" s="1"/>
  <c r="AI700" i="15"/>
  <c r="AB700" i="15"/>
  <c r="X700" i="15"/>
  <c r="H700" i="15"/>
  <c r="G700" i="15"/>
  <c r="C700" i="15"/>
  <c r="AM700" i="15" s="1"/>
  <c r="B700" i="15"/>
  <c r="A700" i="15" s="1"/>
  <c r="AI699" i="15"/>
  <c r="AB699" i="15"/>
  <c r="X699" i="15"/>
  <c r="H699" i="15"/>
  <c r="G699" i="15"/>
  <c r="C699" i="15"/>
  <c r="AM699" i="15" s="1"/>
  <c r="B699" i="15"/>
  <c r="A699" i="15" s="1"/>
  <c r="AI698" i="15"/>
  <c r="AB698" i="15"/>
  <c r="X698" i="15"/>
  <c r="H698" i="15"/>
  <c r="G698" i="15"/>
  <c r="C698" i="15"/>
  <c r="AM698" i="15" s="1"/>
  <c r="B698" i="15"/>
  <c r="A698" i="15" s="1"/>
  <c r="AI697" i="15"/>
  <c r="AB697" i="15"/>
  <c r="X697" i="15"/>
  <c r="H697" i="15"/>
  <c r="G697" i="15"/>
  <c r="C697" i="15"/>
  <c r="AM697" i="15" s="1"/>
  <c r="B697" i="15"/>
  <c r="A697" i="15" s="1"/>
  <c r="AI696" i="15"/>
  <c r="AB696" i="15"/>
  <c r="X696" i="15"/>
  <c r="H696" i="15"/>
  <c r="G696" i="15"/>
  <c r="C696" i="15"/>
  <c r="AM696" i="15" s="1"/>
  <c r="B696" i="15"/>
  <c r="A696" i="15" s="1"/>
  <c r="AI695" i="15"/>
  <c r="AB695" i="15"/>
  <c r="X695" i="15"/>
  <c r="H695" i="15"/>
  <c r="G695" i="15"/>
  <c r="C695" i="15"/>
  <c r="AM695" i="15" s="1"/>
  <c r="B695" i="15"/>
  <c r="A695" i="15" s="1"/>
  <c r="AI694" i="15"/>
  <c r="AB694" i="15"/>
  <c r="X694" i="15"/>
  <c r="H694" i="15"/>
  <c r="G694" i="15"/>
  <c r="C694" i="15"/>
  <c r="AM694" i="15" s="1"/>
  <c r="B694" i="15"/>
  <c r="A694" i="15" s="1"/>
  <c r="AI693" i="15"/>
  <c r="AB693" i="15"/>
  <c r="X693" i="15"/>
  <c r="H693" i="15"/>
  <c r="G693" i="15"/>
  <c r="C693" i="15"/>
  <c r="AM693" i="15" s="1"/>
  <c r="B693" i="15"/>
  <c r="A693" i="15" s="1"/>
  <c r="AI692" i="15"/>
  <c r="AB692" i="15"/>
  <c r="X692" i="15"/>
  <c r="H692" i="15"/>
  <c r="G692" i="15"/>
  <c r="C692" i="15"/>
  <c r="AM692" i="15" s="1"/>
  <c r="B692" i="15"/>
  <c r="A692" i="15" s="1"/>
  <c r="AI691" i="15"/>
  <c r="AB691" i="15"/>
  <c r="H691" i="15"/>
  <c r="G691" i="15"/>
  <c r="C691" i="15"/>
  <c r="AM691" i="15" s="1"/>
  <c r="B691" i="15"/>
  <c r="A691" i="15" s="1"/>
  <c r="AI690" i="15"/>
  <c r="AB690" i="15"/>
  <c r="H690" i="15"/>
  <c r="G690" i="15"/>
  <c r="C690" i="15"/>
  <c r="AM690" i="15" s="1"/>
  <c r="B690" i="15"/>
  <c r="A690" i="15" s="1"/>
  <c r="AI689" i="15"/>
  <c r="AB689" i="15"/>
  <c r="H689" i="15"/>
  <c r="G689" i="15"/>
  <c r="C689" i="15"/>
  <c r="AM689" i="15" s="1"/>
  <c r="B689" i="15"/>
  <c r="A689" i="15" s="1"/>
  <c r="AI688" i="15"/>
  <c r="AB688" i="15"/>
  <c r="H688" i="15"/>
  <c r="G688" i="15"/>
  <c r="C688" i="15"/>
  <c r="AM688" i="15" s="1"/>
  <c r="B688" i="15"/>
  <c r="A688" i="15" s="1"/>
  <c r="AI687" i="15"/>
  <c r="AB687" i="15"/>
  <c r="H687" i="15"/>
  <c r="G687" i="15"/>
  <c r="C687" i="15"/>
  <c r="AM687" i="15" s="1"/>
  <c r="B687" i="15"/>
  <c r="A687" i="15" s="1"/>
  <c r="AI686" i="15"/>
  <c r="AB686" i="15"/>
  <c r="H686" i="15"/>
  <c r="G686" i="15"/>
  <c r="C686" i="15"/>
  <c r="AM686" i="15" s="1"/>
  <c r="B686" i="15"/>
  <c r="A686" i="15" s="1"/>
  <c r="AI685" i="15"/>
  <c r="AB685" i="15"/>
  <c r="H685" i="15"/>
  <c r="G685" i="15"/>
  <c r="C685" i="15"/>
  <c r="AM685" i="15" s="1"/>
  <c r="B685" i="15"/>
  <c r="A685" i="15" s="1"/>
  <c r="AI684" i="15"/>
  <c r="AB684" i="15"/>
  <c r="X684" i="15"/>
  <c r="H684" i="15"/>
  <c r="G684" i="15"/>
  <c r="C684" i="15"/>
  <c r="AM684" i="15" s="1"/>
  <c r="B684" i="15"/>
  <c r="A684" i="15" s="1"/>
  <c r="AI670" i="15"/>
  <c r="AB670" i="15"/>
  <c r="H670" i="15"/>
  <c r="G670" i="15"/>
  <c r="C670" i="15"/>
  <c r="AM670" i="15" s="1"/>
  <c r="B670" i="15"/>
  <c r="A670" i="15" s="1"/>
  <c r="AI667" i="15"/>
  <c r="AB667" i="15"/>
  <c r="H667" i="15"/>
  <c r="G667" i="15"/>
  <c r="C667" i="15"/>
  <c r="AM667" i="15" s="1"/>
  <c r="B667" i="15"/>
  <c r="A667" i="15" s="1"/>
  <c r="AI664" i="15"/>
  <c r="AB664" i="15"/>
  <c r="H664" i="15"/>
  <c r="G664" i="15"/>
  <c r="C664" i="15"/>
  <c r="AM664" i="15" s="1"/>
  <c r="B664" i="15"/>
  <c r="A664" i="15" s="1"/>
  <c r="AI661" i="15"/>
  <c r="AB661" i="15"/>
  <c r="H661" i="15"/>
  <c r="G661" i="15"/>
  <c r="C661" i="15"/>
  <c r="AM661" i="15" s="1"/>
  <c r="B661" i="15"/>
  <c r="A661" i="15" s="1"/>
  <c r="AI660" i="15"/>
  <c r="AB660" i="15"/>
  <c r="X660" i="15"/>
  <c r="H660" i="15"/>
  <c r="G660" i="15"/>
  <c r="C660" i="15"/>
  <c r="AM660" i="15" s="1"/>
  <c r="B660" i="15"/>
  <c r="A660" i="15" s="1"/>
  <c r="AI659" i="15"/>
  <c r="AB659" i="15"/>
  <c r="H659" i="15"/>
  <c r="G659" i="15"/>
  <c r="C659" i="15"/>
  <c r="AM659" i="15" s="1"/>
  <c r="B659" i="15"/>
  <c r="A659" i="15" s="1"/>
  <c r="AI658" i="15"/>
  <c r="AB658" i="15"/>
  <c r="H658" i="15"/>
  <c r="G658" i="15"/>
  <c r="C658" i="15"/>
  <c r="AM658" i="15" s="1"/>
  <c r="B658" i="15"/>
  <c r="A658" i="15" s="1"/>
  <c r="AI657" i="15"/>
  <c r="AB657" i="15"/>
  <c r="H657" i="15"/>
  <c r="G657" i="15"/>
  <c r="C657" i="15"/>
  <c r="AM657" i="15" s="1"/>
  <c r="B657" i="15"/>
  <c r="A657" i="15" s="1"/>
  <c r="AI656" i="15"/>
  <c r="AB656" i="15"/>
  <c r="H656" i="15"/>
  <c r="G656" i="15"/>
  <c r="C656" i="15"/>
  <c r="AM656" i="15" s="1"/>
  <c r="B656" i="15"/>
  <c r="A656" i="15" s="1"/>
  <c r="AI655" i="15"/>
  <c r="AB655" i="15"/>
  <c r="H655" i="15"/>
  <c r="G655" i="15"/>
  <c r="C655" i="15"/>
  <c r="AM655" i="15" s="1"/>
  <c r="B655" i="15"/>
  <c r="A655" i="15" s="1"/>
  <c r="AI654" i="15"/>
  <c r="AB654" i="15"/>
  <c r="H654" i="15"/>
  <c r="G654" i="15"/>
  <c r="C654" i="15"/>
  <c r="AM654" i="15" s="1"/>
  <c r="B654" i="15"/>
  <c r="A654" i="15" s="1"/>
  <c r="AI653" i="15"/>
  <c r="AB653" i="15"/>
  <c r="H653" i="15"/>
  <c r="G653" i="15"/>
  <c r="C653" i="15"/>
  <c r="AM653" i="15" s="1"/>
  <c r="B653" i="15"/>
  <c r="A653" i="15" s="1"/>
  <c r="AI652" i="15"/>
  <c r="AB652" i="15"/>
  <c r="H652" i="15"/>
  <c r="G652" i="15"/>
  <c r="C652" i="15"/>
  <c r="AM652" i="15" s="1"/>
  <c r="B652" i="15"/>
  <c r="A652" i="15" s="1"/>
  <c r="AI651" i="15"/>
  <c r="AB651" i="15"/>
  <c r="H651" i="15"/>
  <c r="G651" i="15"/>
  <c r="C651" i="15"/>
  <c r="AM651" i="15" s="1"/>
  <c r="B651" i="15"/>
  <c r="A651" i="15" s="1"/>
  <c r="AI650" i="15"/>
  <c r="AB650" i="15"/>
  <c r="H650" i="15"/>
  <c r="G650" i="15"/>
  <c r="C650" i="15"/>
  <c r="AM650" i="15" s="1"/>
  <c r="B650" i="15"/>
  <c r="A650" i="15" s="1"/>
  <c r="AI649" i="15"/>
  <c r="AB649" i="15"/>
  <c r="H649" i="15"/>
  <c r="G649" i="15"/>
  <c r="C649" i="15"/>
  <c r="AM649" i="15" s="1"/>
  <c r="B649" i="15"/>
  <c r="A649" i="15" s="1"/>
  <c r="AI648" i="15"/>
  <c r="AB648" i="15"/>
  <c r="H648" i="15"/>
  <c r="G648" i="15"/>
  <c r="C648" i="15"/>
  <c r="AM648" i="15" s="1"/>
  <c r="B648" i="15"/>
  <c r="A648" i="15" s="1"/>
  <c r="AI647" i="15"/>
  <c r="AB647" i="15"/>
  <c r="H647" i="15"/>
  <c r="G647" i="15"/>
  <c r="C647" i="15"/>
  <c r="AM647" i="15" s="1"/>
  <c r="B647" i="15"/>
  <c r="A647" i="15" s="1"/>
  <c r="AI646" i="15"/>
  <c r="AB646" i="15"/>
  <c r="H646" i="15"/>
  <c r="G646" i="15"/>
  <c r="C646" i="15"/>
  <c r="B646" i="15"/>
  <c r="A646" i="15" s="1"/>
  <c r="DI350" i="2" l="1"/>
  <c r="AE724" i="15" s="1"/>
  <c r="AC724" i="15" s="1"/>
  <c r="DI349" i="2"/>
  <c r="AE723" i="15" s="1"/>
  <c r="AC723" i="15" s="1"/>
  <c r="DI99" i="2"/>
  <c r="DG99" i="2" s="1"/>
  <c r="AA674" i="15" s="1"/>
  <c r="DI98" i="2"/>
  <c r="DG98" i="2" s="1"/>
  <c r="AA673" i="15" s="1"/>
  <c r="AN797" i="15"/>
  <c r="AO797" i="15" s="1"/>
  <c r="I723" i="15"/>
  <c r="AN723" i="15" s="1"/>
  <c r="I724" i="15"/>
  <c r="AN724" i="15" s="1"/>
  <c r="I674" i="15"/>
  <c r="AN674" i="15" s="1"/>
  <c r="I673" i="15"/>
  <c r="AN673" i="15" s="1"/>
  <c r="I349" i="2"/>
  <c r="O723" i="15" s="1"/>
  <c r="W723" i="15" s="1"/>
  <c r="V723" i="15" s="1"/>
  <c r="U723" i="15" s="1"/>
  <c r="I350" i="2"/>
  <c r="O724" i="15" s="1"/>
  <c r="W724" i="15" s="1"/>
  <c r="V724" i="15" s="1"/>
  <c r="U724" i="15" s="1"/>
  <c r="O674" i="15"/>
  <c r="W674" i="15" s="1"/>
  <c r="V674" i="15" s="1"/>
  <c r="U674" i="15" s="1"/>
  <c r="O673" i="15"/>
  <c r="AO674" i="15" l="1"/>
  <c r="AO724" i="15"/>
  <c r="AO723" i="15"/>
  <c r="AO673" i="15"/>
  <c r="DG349" i="2"/>
  <c r="AA723" i="15" s="1"/>
  <c r="DG350" i="2"/>
  <c r="AA724" i="15" s="1"/>
  <c r="AE674" i="15"/>
  <c r="AC674" i="15" s="1"/>
  <c r="AE673" i="15"/>
  <c r="AC673" i="15" s="1"/>
  <c r="W673" i="15"/>
  <c r="V673" i="15" s="1"/>
  <c r="U673" i="15" s="1"/>
  <c r="AI94" i="15"/>
  <c r="AI92" i="15"/>
  <c r="AI90" i="15"/>
  <c r="AI88" i="15"/>
  <c r="AI86" i="15"/>
  <c r="AI84" i="15"/>
  <c r="AI428" i="15"/>
  <c r="AI429" i="15" s="1"/>
  <c r="AI430" i="15" s="1"/>
  <c r="AI444" i="15"/>
  <c r="AI443" i="15"/>
  <c r="AI442" i="15"/>
  <c r="AI441" i="15"/>
  <c r="AI440" i="15"/>
  <c r="AI439" i="15"/>
  <c r="AI438" i="15"/>
  <c r="AI437" i="15"/>
  <c r="AI471" i="15"/>
  <c r="AI470" i="15"/>
  <c r="AI469" i="15"/>
  <c r="AI468" i="15"/>
  <c r="AI467" i="15"/>
  <c r="AI462" i="15"/>
  <c r="AI461" i="15"/>
  <c r="AI459" i="15"/>
  <c r="AI488" i="15"/>
  <c r="AI487" i="15"/>
  <c r="AI513" i="15"/>
  <c r="AI512" i="15"/>
  <c r="AI511" i="15"/>
  <c r="AI509" i="15"/>
  <c r="AI508" i="15"/>
  <c r="AI507" i="15"/>
  <c r="AI506" i="15"/>
  <c r="AI505" i="15"/>
  <c r="AI504" i="15"/>
  <c r="AI503" i="15"/>
  <c r="AI502" i="15"/>
  <c r="AI501" i="15"/>
  <c r="AI500" i="15"/>
  <c r="AI499" i="15"/>
  <c r="AI498" i="15"/>
  <c r="AI496" i="15"/>
  <c r="AI495" i="15"/>
  <c r="AI494" i="15"/>
  <c r="AI493" i="15"/>
  <c r="AI492" i="15"/>
  <c r="AI599" i="15"/>
  <c r="AI613" i="15"/>
  <c r="AI612" i="15"/>
  <c r="AI609" i="15"/>
  <c r="AI608" i="15"/>
  <c r="AI607" i="15"/>
  <c r="AI606" i="15"/>
  <c r="AI605" i="15"/>
  <c r="AI604" i="15"/>
  <c r="AI603" i="15"/>
  <c r="AI602" i="15"/>
  <c r="AI601" i="15"/>
  <c r="AI600" i="15"/>
  <c r="AI618" i="15"/>
  <c r="AI617" i="15"/>
  <c r="AI619" i="15"/>
  <c r="AI635" i="15"/>
  <c r="AI598" i="15"/>
  <c r="AI597" i="15"/>
  <c r="AI587" i="15"/>
  <c r="AI588" i="15" s="1"/>
  <c r="AI589" i="15" s="1"/>
  <c r="AI590" i="15" s="1"/>
  <c r="AI591" i="15" s="1"/>
  <c r="AI592" i="15" s="1"/>
  <c r="AI593" i="15" s="1"/>
  <c r="AI594" i="15" s="1"/>
  <c r="AI595" i="15" s="1"/>
  <c r="AI596" i="15" s="1"/>
  <c r="AI431" i="15"/>
  <c r="AI432" i="15" s="1"/>
  <c r="AI420" i="15"/>
  <c r="AI421" i="15" s="1"/>
  <c r="AI422" i="15" s="1"/>
  <c r="AI423" i="15" s="1"/>
  <c r="AI424" i="15" s="1"/>
  <c r="AI425" i="15" s="1"/>
  <c r="AI390" i="15"/>
  <c r="AI391" i="15" s="1"/>
  <c r="AI392" i="15" s="1"/>
  <c r="AI393" i="15" s="1"/>
  <c r="AI394" i="15" s="1"/>
  <c r="AI395" i="15" s="1"/>
  <c r="AI396" i="15" s="1"/>
  <c r="AI397" i="15" s="1"/>
  <c r="AI398" i="15" s="1"/>
  <c r="AI399" i="15" s="1"/>
  <c r="AI400" i="15" s="1"/>
  <c r="AI401" i="15" s="1"/>
  <c r="AI402" i="15" s="1"/>
  <c r="AI403" i="15" s="1"/>
  <c r="AI404" i="15" s="1"/>
  <c r="AI405" i="15" s="1"/>
  <c r="AI406" i="15" s="1"/>
  <c r="AI407" i="15" s="1"/>
  <c r="AI408" i="15" s="1"/>
  <c r="AI409" i="15" s="1"/>
  <c r="AI410" i="15" s="1"/>
  <c r="AI411" i="15" s="1"/>
  <c r="AI412" i="15" s="1"/>
  <c r="AI413" i="15" s="1"/>
  <c r="AI414" i="15" s="1"/>
  <c r="AI415" i="15" s="1"/>
  <c r="AI416" i="15" s="1"/>
  <c r="AI417" i="15" s="1"/>
  <c r="AI418" i="15" s="1"/>
  <c r="AI419" i="15" s="1"/>
  <c r="AI381" i="15"/>
  <c r="AI382" i="15" s="1"/>
  <c r="AI427" i="15"/>
  <c r="AI426" i="15"/>
  <c r="AI71" i="15"/>
  <c r="AI70" i="15"/>
  <c r="AI67" i="15"/>
  <c r="AI35" i="15"/>
  <c r="AI33" i="15"/>
  <c r="AI31" i="15"/>
  <c r="AI30" i="15"/>
  <c r="AI29" i="15"/>
  <c r="AI28" i="15"/>
  <c r="AI27" i="15"/>
  <c r="AI26" i="15"/>
  <c r="AI25" i="15"/>
  <c r="AI24" i="15"/>
  <c r="AI23" i="15"/>
  <c r="AI22" i="15"/>
  <c r="AI21" i="15"/>
  <c r="AI20" i="15"/>
  <c r="AI19" i="15"/>
  <c r="AI16" i="15"/>
  <c r="AI15" i="15"/>
  <c r="AI14" i="15"/>
  <c r="AI13" i="15"/>
  <c r="AI12" i="15"/>
  <c r="AI11" i="15"/>
  <c r="AI10" i="15"/>
  <c r="AI9" i="15"/>
  <c r="AI643" i="15"/>
  <c r="AI642" i="15"/>
  <c r="AI641" i="15"/>
  <c r="AI640" i="15"/>
  <c r="AI639" i="15"/>
  <c r="AI638" i="15"/>
  <c r="AI637" i="15"/>
  <c r="AI626" i="15"/>
  <c r="AI625" i="15"/>
  <c r="AI624" i="15"/>
  <c r="AI623" i="15"/>
  <c r="AI622" i="15"/>
  <c r="AI621" i="15"/>
  <c r="AI620" i="15"/>
  <c r="AI582" i="15"/>
  <c r="AI581" i="15"/>
  <c r="AI580" i="15"/>
  <c r="AI579" i="15"/>
  <c r="AI578" i="15"/>
  <c r="AI553" i="15"/>
  <c r="AI547" i="15"/>
  <c r="AI541" i="15"/>
  <c r="AI535" i="15"/>
  <c r="AI552" i="15"/>
  <c r="AI546" i="15"/>
  <c r="AI540" i="15"/>
  <c r="AI534" i="15"/>
  <c r="AI551" i="15"/>
  <c r="AI545" i="15"/>
  <c r="AI539" i="15"/>
  <c r="AI533" i="15"/>
  <c r="AI550" i="15"/>
  <c r="AI544" i="15"/>
  <c r="AI538" i="15"/>
  <c r="AI532" i="15"/>
  <c r="AI549" i="15"/>
  <c r="AI543" i="15"/>
  <c r="AI537" i="15"/>
  <c r="AI531" i="15"/>
  <c r="AI548" i="15"/>
  <c r="AI542" i="15"/>
  <c r="AI536" i="15"/>
  <c r="AI530" i="15"/>
  <c r="AI529" i="15"/>
  <c r="AI528" i="15"/>
  <c r="AI526" i="15"/>
  <c r="AI525" i="15"/>
  <c r="AI523" i="15"/>
  <c r="AI522" i="15"/>
  <c r="AI520" i="15"/>
  <c r="AI519" i="15"/>
  <c r="AI517" i="15"/>
  <c r="AI489" i="15"/>
  <c r="AI486" i="15"/>
  <c r="AI485" i="15"/>
  <c r="AI484" i="15"/>
  <c r="AI483" i="15"/>
  <c r="AI482" i="15"/>
  <c r="AI481" i="15"/>
  <c r="AI480" i="15"/>
  <c r="AI479" i="15"/>
  <c r="AI478" i="15"/>
  <c r="AI477" i="15"/>
  <c r="AI476" i="15"/>
  <c r="AI475" i="15"/>
  <c r="AI474" i="15"/>
  <c r="AI473" i="15"/>
  <c r="AI472" i="15"/>
  <c r="AI455" i="15"/>
  <c r="AI454" i="15"/>
  <c r="AI453" i="15"/>
  <c r="AI452" i="15"/>
  <c r="AI451" i="15"/>
  <c r="AI450" i="15"/>
  <c r="AI449" i="15"/>
  <c r="AI448" i="15"/>
  <c r="AI447" i="15"/>
  <c r="AI446" i="15"/>
  <c r="AI445" i="15"/>
  <c r="AI377" i="15"/>
  <c r="AI376" i="15"/>
  <c r="AI375" i="15"/>
  <c r="AI374" i="15"/>
  <c r="AI373" i="15"/>
  <c r="AI372" i="15"/>
  <c r="AI371" i="15"/>
  <c r="AI370" i="15"/>
  <c r="AI369" i="15"/>
  <c r="AI368" i="15"/>
  <c r="AI367" i="15"/>
  <c r="AI366" i="15"/>
  <c r="AI108" i="15"/>
  <c r="AI111" i="15" s="1"/>
  <c r="AI112" i="15" s="1"/>
  <c r="AI113" i="15" s="1"/>
  <c r="AI114" i="15" s="1"/>
  <c r="AI115" i="15" s="1"/>
  <c r="AI116" i="15" s="1"/>
  <c r="AI117" i="15" s="1"/>
  <c r="AI118" i="15" s="1"/>
  <c r="AI119" i="15" s="1"/>
  <c r="AI120" i="15" s="1"/>
  <c r="AI121" i="15" s="1"/>
  <c r="AI122" i="15" s="1"/>
  <c r="AI123" i="15" s="1"/>
  <c r="AI124" i="15" s="1"/>
  <c r="AI125" i="15" s="1"/>
  <c r="AI126" i="15" s="1"/>
  <c r="AI127" i="15" s="1"/>
  <c r="AI128" i="15" s="1"/>
  <c r="AI129" i="15" s="1"/>
  <c r="AI130" i="15" s="1"/>
  <c r="AI131" i="15" s="1"/>
  <c r="AI132" i="15" s="1"/>
  <c r="AI133" i="15" s="1"/>
  <c r="AI134" i="15" s="1"/>
  <c r="AI135" i="15" s="1"/>
  <c r="AI136" i="15" s="1"/>
  <c r="AI137" i="15" s="1"/>
  <c r="AI138" i="15" s="1"/>
  <c r="AI139" i="15" s="1"/>
  <c r="AI140" i="15" s="1"/>
  <c r="AI141" i="15" s="1"/>
  <c r="AI142" i="15" s="1"/>
  <c r="AI143" i="15" s="1"/>
  <c r="AI144" i="15" s="1"/>
  <c r="AI145" i="15" s="1"/>
  <c r="AI146" i="15" s="1"/>
  <c r="AI147" i="15" s="1"/>
  <c r="AI148" i="15" s="1"/>
  <c r="AI149" i="15" s="1"/>
  <c r="AI150" i="15" s="1"/>
  <c r="AI151" i="15" s="1"/>
  <c r="AI152" i="15" s="1"/>
  <c r="AI153" i="15" s="1"/>
  <c r="AI154" i="15" s="1"/>
  <c r="AI155" i="15" s="1"/>
  <c r="AI156" i="15" s="1"/>
  <c r="AI157" i="15" s="1"/>
  <c r="AI158" i="15" s="1"/>
  <c r="AI159" i="15" s="1"/>
  <c r="AI160" i="15" s="1"/>
  <c r="AI161" i="15" s="1"/>
  <c r="AI162" i="15" s="1"/>
  <c r="AI163" i="15" s="1"/>
  <c r="AI164" i="15" s="1"/>
  <c r="AI165" i="15" s="1"/>
  <c r="AI166" i="15" s="1"/>
  <c r="AI167" i="15" s="1"/>
  <c r="AI168" i="15" s="1"/>
  <c r="AI169" i="15" s="1"/>
  <c r="AI170" i="15" s="1"/>
  <c r="AI171" i="15" s="1"/>
  <c r="AI106" i="15"/>
  <c r="AI105" i="15"/>
  <c r="AI103" i="15"/>
  <c r="AI102" i="15"/>
  <c r="AI100" i="15"/>
  <c r="AI98" i="15"/>
  <c r="AI96" i="15"/>
  <c r="AI79" i="15"/>
  <c r="AI78" i="15"/>
  <c r="AI77" i="15"/>
  <c r="AI74" i="15"/>
  <c r="AI73" i="15"/>
  <c r="AI72" i="15"/>
  <c r="AI64" i="15"/>
  <c r="AI63" i="15"/>
  <c r="AI62" i="15"/>
  <c r="AI61" i="15"/>
  <c r="AI59" i="15"/>
  <c r="AI58" i="15"/>
  <c r="AI57" i="15"/>
  <c r="AI56" i="15"/>
  <c r="AI55" i="15"/>
  <c r="AI54" i="15"/>
  <c r="AI53" i="15"/>
  <c r="AI52" i="15"/>
  <c r="AI51" i="15"/>
  <c r="AI49" i="15"/>
  <c r="AI48" i="15"/>
  <c r="AI47" i="15"/>
  <c r="AI46" i="15"/>
  <c r="AI45" i="15"/>
  <c r="AI44" i="15"/>
  <c r="AI43" i="15"/>
  <c r="AI42" i="15"/>
  <c r="AI41" i="15"/>
  <c r="AI40" i="15"/>
  <c r="AI39" i="15"/>
  <c r="AI38" i="15"/>
  <c r="AI37" i="15"/>
  <c r="AI36" i="15"/>
  <c r="AI384" i="15" l="1"/>
  <c r="AI385" i="15" s="1"/>
  <c r="AI386" i="15" s="1"/>
  <c r="AI387" i="15" s="1"/>
  <c r="AI388" i="15" s="1"/>
  <c r="AI389" i="15" s="1"/>
  <c r="AI383" i="15"/>
  <c r="AI173" i="15"/>
  <c r="AI175" i="15" s="1"/>
  <c r="AI176" i="15" s="1"/>
  <c r="AI177" i="15" s="1"/>
  <c r="AI178" i="15" s="1"/>
  <c r="AI179" i="15" s="1"/>
  <c r="AI180" i="15" s="1"/>
  <c r="AI181" i="15" s="1"/>
  <c r="AI182" i="15" s="1"/>
  <c r="AI183" i="15" s="1"/>
  <c r="AI184" i="15" s="1"/>
  <c r="AI185" i="15" s="1"/>
  <c r="AI172" i="15"/>
  <c r="AI174" i="15" s="1"/>
  <c r="AI435" i="15"/>
  <c r="AI436" i="15" s="1"/>
  <c r="AI433" i="15"/>
  <c r="AI434" i="15" s="1"/>
  <c r="V282" i="6"/>
  <c r="F470" i="7"/>
  <c r="J457" i="7" s="1"/>
  <c r="AD423" i="15"/>
  <c r="AD424" i="15"/>
  <c r="AD425" i="15"/>
  <c r="J423" i="15"/>
  <c r="J424" i="15"/>
  <c r="J425" i="15"/>
  <c r="H423" i="15"/>
  <c r="H424" i="15"/>
  <c r="H425" i="15"/>
  <c r="B423" i="15"/>
  <c r="A423" i="15" s="1"/>
  <c r="C423" i="15"/>
  <c r="B424" i="15"/>
  <c r="A424" i="15" s="1"/>
  <c r="C424" i="15"/>
  <c r="B425" i="15"/>
  <c r="A425" i="15" s="1"/>
  <c r="C425" i="15"/>
  <c r="G423" i="15"/>
  <c r="G424" i="15"/>
  <c r="G425" i="15"/>
  <c r="AD144" i="15"/>
  <c r="AD147" i="15"/>
  <c r="AD148" i="15"/>
  <c r="AD150" i="15"/>
  <c r="AD153" i="15"/>
  <c r="AD154" i="15"/>
  <c r="AD156" i="15"/>
  <c r="AD159" i="15"/>
  <c r="AD160" i="15"/>
  <c r="AD162" i="15"/>
  <c r="AD165" i="15"/>
  <c r="AD166" i="15"/>
  <c r="X160" i="15"/>
  <c r="Z160" i="15" s="1"/>
  <c r="X154" i="15"/>
  <c r="Z154" i="15" s="1"/>
  <c r="X148" i="15"/>
  <c r="Z148" i="15" s="1"/>
  <c r="X147" i="15"/>
  <c r="Z147" i="15" s="1"/>
  <c r="H166" i="15"/>
  <c r="H165" i="15"/>
  <c r="H164" i="15"/>
  <c r="H163" i="15"/>
  <c r="H162" i="15"/>
  <c r="H161" i="15"/>
  <c r="H160" i="15"/>
  <c r="H159" i="15"/>
  <c r="H158" i="15"/>
  <c r="H157" i="15"/>
  <c r="H156" i="15"/>
  <c r="H155" i="15"/>
  <c r="H154" i="15"/>
  <c r="H153" i="15"/>
  <c r="H152" i="15"/>
  <c r="H151" i="15"/>
  <c r="H150" i="15"/>
  <c r="H149" i="15"/>
  <c r="H148" i="15"/>
  <c r="H147" i="15"/>
  <c r="H146" i="15"/>
  <c r="H145" i="15"/>
  <c r="H144" i="15"/>
  <c r="H143" i="15"/>
  <c r="P144" i="15"/>
  <c r="P147" i="15"/>
  <c r="P148" i="15"/>
  <c r="P150" i="15"/>
  <c r="P153" i="15"/>
  <c r="P154" i="15"/>
  <c r="P156" i="15"/>
  <c r="P159" i="15"/>
  <c r="P160" i="15"/>
  <c r="P162" i="15"/>
  <c r="P165" i="15"/>
  <c r="P166" i="15"/>
  <c r="J147" i="15"/>
  <c r="J144" i="15"/>
  <c r="J148" i="15"/>
  <c r="J150" i="15"/>
  <c r="J153" i="15"/>
  <c r="J154" i="15"/>
  <c r="J156" i="15"/>
  <c r="J159" i="15"/>
  <c r="J160" i="15"/>
  <c r="J162" i="15"/>
  <c r="J165" i="15"/>
  <c r="J166" i="15"/>
  <c r="G144" i="15"/>
  <c r="G145" i="15"/>
  <c r="D164" i="15"/>
  <c r="D163" i="15"/>
  <c r="D161" i="15"/>
  <c r="D158" i="15"/>
  <c r="D157" i="15"/>
  <c r="D155" i="15"/>
  <c r="D152" i="15"/>
  <c r="D151" i="15"/>
  <c r="D149" i="15"/>
  <c r="D146" i="15"/>
  <c r="D145" i="15"/>
  <c r="D143" i="15"/>
  <c r="C166" i="15"/>
  <c r="C165" i="15"/>
  <c r="C164" i="15"/>
  <c r="C163" i="15"/>
  <c r="C162" i="15"/>
  <c r="C161" i="15"/>
  <c r="C160" i="15"/>
  <c r="C159" i="15"/>
  <c r="C158" i="15"/>
  <c r="C157" i="15"/>
  <c r="C156" i="15"/>
  <c r="C155" i="15"/>
  <c r="C154" i="15"/>
  <c r="C153" i="15"/>
  <c r="C152" i="15"/>
  <c r="C151" i="15"/>
  <c r="C150" i="15"/>
  <c r="C149" i="15"/>
  <c r="C148" i="15"/>
  <c r="C147" i="15"/>
  <c r="C146" i="15"/>
  <c r="C145" i="15"/>
  <c r="C144" i="15"/>
  <c r="C143" i="15"/>
  <c r="B143" i="15"/>
  <c r="A143" i="15" s="1"/>
  <c r="B144" i="15"/>
  <c r="A144" i="15" s="1"/>
  <c r="B145" i="15"/>
  <c r="A145" i="15" s="1"/>
  <c r="B146" i="15"/>
  <c r="A146" i="15" s="1"/>
  <c r="B147" i="15"/>
  <c r="A147" i="15" s="1"/>
  <c r="B148" i="15"/>
  <c r="A148" i="15" s="1"/>
  <c r="B149" i="15"/>
  <c r="A149" i="15" s="1"/>
  <c r="B150" i="15"/>
  <c r="A150" i="15" s="1"/>
  <c r="B151" i="15"/>
  <c r="A151" i="15" s="1"/>
  <c r="B152" i="15"/>
  <c r="A152" i="15" s="1"/>
  <c r="B153" i="15"/>
  <c r="A153" i="15" s="1"/>
  <c r="B154" i="15"/>
  <c r="A154" i="15" s="1"/>
  <c r="B155" i="15"/>
  <c r="A155" i="15" s="1"/>
  <c r="B156" i="15"/>
  <c r="A156" i="15" s="1"/>
  <c r="B157" i="15"/>
  <c r="A157" i="15" s="1"/>
  <c r="B158" i="15"/>
  <c r="A158" i="15" s="1"/>
  <c r="B159" i="15"/>
  <c r="A159" i="15" s="1"/>
  <c r="B160" i="15"/>
  <c r="A160" i="15" s="1"/>
  <c r="B161" i="15"/>
  <c r="A161" i="15" s="1"/>
  <c r="B162" i="15"/>
  <c r="A162" i="15" s="1"/>
  <c r="B163" i="15"/>
  <c r="A163" i="15" s="1"/>
  <c r="B164" i="15"/>
  <c r="A164" i="15" s="1"/>
  <c r="B165" i="15"/>
  <c r="A165" i="15" s="1"/>
  <c r="B166" i="15"/>
  <c r="A166" i="15" s="1"/>
  <c r="G157" i="15"/>
  <c r="G159" i="15"/>
  <c r="G161" i="15"/>
  <c r="G162" i="15"/>
  <c r="G163" i="15"/>
  <c r="G165" i="15"/>
  <c r="G153" i="15"/>
  <c r="G155" i="15"/>
  <c r="G156" i="15"/>
  <c r="G149" i="15"/>
  <c r="G150" i="15"/>
  <c r="G151" i="15"/>
  <c r="G143" i="15"/>
  <c r="G147" i="15"/>
  <c r="I247" i="6"/>
  <c r="I319" i="6" s="1"/>
  <c r="I391" i="6" s="1"/>
  <c r="I463" i="6" s="1"/>
  <c r="I535" i="6" s="1"/>
  <c r="I607" i="6" s="1"/>
  <c r="I680" i="6" s="1"/>
  <c r="I752" i="6" s="1"/>
  <c r="I248" i="6"/>
  <c r="I320" i="6" s="1"/>
  <c r="I392" i="6" s="1"/>
  <c r="I464" i="6" s="1"/>
  <c r="I536" i="6" s="1"/>
  <c r="I608" i="6" s="1"/>
  <c r="I681" i="6" s="1"/>
  <c r="I753" i="6" s="1"/>
  <c r="I249" i="6"/>
  <c r="I321" i="6" s="1"/>
  <c r="I393" i="6" s="1"/>
  <c r="I465" i="6" s="1"/>
  <c r="I537" i="6" s="1"/>
  <c r="I609" i="6" s="1"/>
  <c r="I682" i="6" s="1"/>
  <c r="I754" i="6" s="1"/>
  <c r="I250" i="6"/>
  <c r="I322" i="6" s="1"/>
  <c r="I394" i="6" s="1"/>
  <c r="I466" i="6" s="1"/>
  <c r="I538" i="6" s="1"/>
  <c r="I610" i="6" s="1"/>
  <c r="I683" i="6" s="1"/>
  <c r="I755" i="6" s="1"/>
  <c r="I251" i="6"/>
  <c r="I323" i="6" s="1"/>
  <c r="I395" i="6" s="1"/>
  <c r="I467" i="6" s="1"/>
  <c r="I539" i="6" s="1"/>
  <c r="I611" i="6" s="1"/>
  <c r="I684" i="6" s="1"/>
  <c r="I756" i="6" s="1"/>
  <c r="I252" i="6"/>
  <c r="I324" i="6" s="1"/>
  <c r="I396" i="6" s="1"/>
  <c r="I468" i="6" s="1"/>
  <c r="I540" i="6" s="1"/>
  <c r="I612" i="6" s="1"/>
  <c r="I685" i="6" s="1"/>
  <c r="I757" i="6" s="1"/>
  <c r="I253" i="6"/>
  <c r="I325" i="6" s="1"/>
  <c r="I397" i="6" s="1"/>
  <c r="I469" i="6" s="1"/>
  <c r="I541" i="6" s="1"/>
  <c r="I613" i="6" s="1"/>
  <c r="I686" i="6" s="1"/>
  <c r="I758" i="6" s="1"/>
  <c r="I254" i="6"/>
  <c r="I326" i="6" s="1"/>
  <c r="I398" i="6" s="1"/>
  <c r="I470" i="6" s="1"/>
  <c r="I542" i="6" s="1"/>
  <c r="I614" i="6" s="1"/>
  <c r="I687" i="6" s="1"/>
  <c r="I759" i="6" s="1"/>
  <c r="I255" i="6"/>
  <c r="I327" i="6" s="1"/>
  <c r="I399" i="6" s="1"/>
  <c r="I471" i="6" s="1"/>
  <c r="I543" i="6" s="1"/>
  <c r="I615" i="6" s="1"/>
  <c r="I688" i="6" s="1"/>
  <c r="I760" i="6" s="1"/>
  <c r="I256" i="6"/>
  <c r="I328" i="6" s="1"/>
  <c r="I400" i="6" s="1"/>
  <c r="I472" i="6" s="1"/>
  <c r="I544" i="6" s="1"/>
  <c r="I616" i="6" s="1"/>
  <c r="I689" i="6" s="1"/>
  <c r="I761" i="6" s="1"/>
  <c r="I257" i="6"/>
  <c r="I329" i="6" s="1"/>
  <c r="I401" i="6" s="1"/>
  <c r="I473" i="6" s="1"/>
  <c r="I545" i="6" s="1"/>
  <c r="I617" i="6" s="1"/>
  <c r="I690" i="6" s="1"/>
  <c r="I762" i="6" s="1"/>
  <c r="I258" i="6"/>
  <c r="I330" i="6" s="1"/>
  <c r="I402" i="6" s="1"/>
  <c r="I474" i="6" s="1"/>
  <c r="I546" i="6" s="1"/>
  <c r="I618" i="6" s="1"/>
  <c r="I691" i="6" s="1"/>
  <c r="I763" i="6" s="1"/>
  <c r="I259" i="6"/>
  <c r="I331" i="6" s="1"/>
  <c r="I403" i="6" s="1"/>
  <c r="I475" i="6" s="1"/>
  <c r="I547" i="6" s="1"/>
  <c r="I619" i="6" s="1"/>
  <c r="I692" i="6" s="1"/>
  <c r="I764" i="6" s="1"/>
  <c r="I260" i="6"/>
  <c r="I332" i="6" s="1"/>
  <c r="I404" i="6" s="1"/>
  <c r="I476" i="6" s="1"/>
  <c r="I548" i="6" s="1"/>
  <c r="I620" i="6" s="1"/>
  <c r="I693" i="6" s="1"/>
  <c r="I765" i="6" s="1"/>
  <c r="I261" i="6"/>
  <c r="I333" i="6" s="1"/>
  <c r="I405" i="6" s="1"/>
  <c r="I477" i="6" s="1"/>
  <c r="I549" i="6" s="1"/>
  <c r="I621" i="6" s="1"/>
  <c r="I694" i="6" s="1"/>
  <c r="I766" i="6" s="1"/>
  <c r="I262" i="6"/>
  <c r="I334" i="6" s="1"/>
  <c r="I406" i="6" s="1"/>
  <c r="I478" i="6" s="1"/>
  <c r="I550" i="6" s="1"/>
  <c r="I622" i="6" s="1"/>
  <c r="I695" i="6" s="1"/>
  <c r="I767" i="6" s="1"/>
  <c r="I263" i="6"/>
  <c r="I335" i="6" s="1"/>
  <c r="I407" i="6" s="1"/>
  <c r="I479" i="6" s="1"/>
  <c r="I551" i="6" s="1"/>
  <c r="I623" i="6" s="1"/>
  <c r="I696" i="6" s="1"/>
  <c r="I768" i="6" s="1"/>
  <c r="I264" i="6"/>
  <c r="I336" i="6" s="1"/>
  <c r="I408" i="6" s="1"/>
  <c r="I480" i="6" s="1"/>
  <c r="I552" i="6" s="1"/>
  <c r="I624" i="6" s="1"/>
  <c r="I697" i="6" s="1"/>
  <c r="I769" i="6" s="1"/>
  <c r="I265" i="6"/>
  <c r="I337" i="6" s="1"/>
  <c r="I409" i="6" s="1"/>
  <c r="I481" i="6" s="1"/>
  <c r="I553" i="6" s="1"/>
  <c r="I625" i="6" s="1"/>
  <c r="I698" i="6" s="1"/>
  <c r="I770" i="6" s="1"/>
  <c r="I266" i="6"/>
  <c r="I338" i="6" s="1"/>
  <c r="I410" i="6" s="1"/>
  <c r="I482" i="6" s="1"/>
  <c r="I554" i="6" s="1"/>
  <c r="I626" i="6" s="1"/>
  <c r="I699" i="6" s="1"/>
  <c r="I771" i="6" s="1"/>
  <c r="I267" i="6"/>
  <c r="I339" i="6" s="1"/>
  <c r="I411" i="6" s="1"/>
  <c r="I483" i="6" s="1"/>
  <c r="I555" i="6" s="1"/>
  <c r="I627" i="6" s="1"/>
  <c r="I700" i="6" s="1"/>
  <c r="I772" i="6" s="1"/>
  <c r="I268" i="6"/>
  <c r="I340" i="6" s="1"/>
  <c r="I412" i="6" s="1"/>
  <c r="I484" i="6" s="1"/>
  <c r="I556" i="6" s="1"/>
  <c r="I628" i="6" s="1"/>
  <c r="I701" i="6" s="1"/>
  <c r="I773" i="6" s="1"/>
  <c r="I269" i="6"/>
  <c r="I341" i="6" s="1"/>
  <c r="I413" i="6" s="1"/>
  <c r="I485" i="6" s="1"/>
  <c r="I557" i="6" s="1"/>
  <c r="I629" i="6" s="1"/>
  <c r="I702" i="6" s="1"/>
  <c r="I774" i="6" s="1"/>
  <c r="I270" i="6"/>
  <c r="I342" i="6" s="1"/>
  <c r="I414" i="6" s="1"/>
  <c r="I486" i="6" s="1"/>
  <c r="I558" i="6" s="1"/>
  <c r="I630" i="6" s="1"/>
  <c r="I703" i="6" s="1"/>
  <c r="I775" i="6" s="1"/>
  <c r="I271" i="6"/>
  <c r="I343" i="6" s="1"/>
  <c r="I415" i="6" s="1"/>
  <c r="I487" i="6" s="1"/>
  <c r="I559" i="6" s="1"/>
  <c r="I631" i="6" s="1"/>
  <c r="I704" i="6" s="1"/>
  <c r="I776" i="6" s="1"/>
  <c r="I272" i="6"/>
  <c r="I344" i="6" s="1"/>
  <c r="I416" i="6" s="1"/>
  <c r="I488" i="6" s="1"/>
  <c r="I560" i="6" s="1"/>
  <c r="I632" i="6" s="1"/>
  <c r="I705" i="6" s="1"/>
  <c r="I777" i="6" s="1"/>
  <c r="I273" i="6"/>
  <c r="I345" i="6" s="1"/>
  <c r="I417" i="6" s="1"/>
  <c r="I489" i="6" s="1"/>
  <c r="I561" i="6" s="1"/>
  <c r="I633" i="6" s="1"/>
  <c r="I706" i="6" s="1"/>
  <c r="I778" i="6" s="1"/>
  <c r="I274" i="6"/>
  <c r="I346" i="6" s="1"/>
  <c r="I418" i="6" s="1"/>
  <c r="I490" i="6" s="1"/>
  <c r="I562" i="6" s="1"/>
  <c r="I634" i="6" s="1"/>
  <c r="I707" i="6" s="1"/>
  <c r="I779" i="6" s="1"/>
  <c r="I275" i="6"/>
  <c r="I347" i="6" s="1"/>
  <c r="I419" i="6" s="1"/>
  <c r="I491" i="6" s="1"/>
  <c r="I563" i="6" s="1"/>
  <c r="I635" i="6" s="1"/>
  <c r="I708" i="6" s="1"/>
  <c r="I780" i="6" s="1"/>
  <c r="I276" i="6"/>
  <c r="I348" i="6" s="1"/>
  <c r="I420" i="6" s="1"/>
  <c r="I492" i="6" s="1"/>
  <c r="I564" i="6" s="1"/>
  <c r="I636" i="6" s="1"/>
  <c r="I709" i="6" s="1"/>
  <c r="I781" i="6" s="1"/>
  <c r="I277" i="6"/>
  <c r="I349" i="6" s="1"/>
  <c r="I421" i="6" s="1"/>
  <c r="I493" i="6" s="1"/>
  <c r="I565" i="6" s="1"/>
  <c r="I637" i="6" s="1"/>
  <c r="I710" i="6" s="1"/>
  <c r="I782" i="6" s="1"/>
  <c r="I278" i="6"/>
  <c r="I350" i="6" s="1"/>
  <c r="I422" i="6" s="1"/>
  <c r="I494" i="6" s="1"/>
  <c r="I566" i="6" s="1"/>
  <c r="I638" i="6" s="1"/>
  <c r="I711" i="6" s="1"/>
  <c r="I783" i="6" s="1"/>
  <c r="I279" i="6"/>
  <c r="I351" i="6" s="1"/>
  <c r="I423" i="6" s="1"/>
  <c r="I495" i="6" s="1"/>
  <c r="I567" i="6" s="1"/>
  <c r="I639" i="6" s="1"/>
  <c r="I712" i="6" s="1"/>
  <c r="I784" i="6" s="1"/>
  <c r="I280" i="6"/>
  <c r="I352" i="6" s="1"/>
  <c r="I424" i="6" s="1"/>
  <c r="I496" i="6" s="1"/>
  <c r="I568" i="6" s="1"/>
  <c r="I640" i="6" s="1"/>
  <c r="I713" i="6" s="1"/>
  <c r="I785" i="6" s="1"/>
  <c r="I281" i="6"/>
  <c r="I353" i="6" s="1"/>
  <c r="I425" i="6" s="1"/>
  <c r="I497" i="6" s="1"/>
  <c r="I569" i="6" s="1"/>
  <c r="I641" i="6" s="1"/>
  <c r="I714" i="6" s="1"/>
  <c r="I786" i="6" s="1"/>
  <c r="I246" i="6"/>
  <c r="I318" i="6" s="1"/>
  <c r="I390" i="6" s="1"/>
  <c r="I462" i="6" s="1"/>
  <c r="I534" i="6" s="1"/>
  <c r="I606" i="6" s="1"/>
  <c r="I679" i="6" s="1"/>
  <c r="I751" i="6" s="1"/>
  <c r="K1327" i="6"/>
  <c r="BE1327" i="6" s="1"/>
  <c r="K1325" i="6"/>
  <c r="K1323" i="6"/>
  <c r="BE1323" i="6" s="1"/>
  <c r="K1321" i="6"/>
  <c r="BE1321" i="6" s="1"/>
  <c r="K1319" i="6"/>
  <c r="BE1319" i="6" s="1"/>
  <c r="K1329" i="6"/>
  <c r="BE1329" i="6" s="1"/>
  <c r="F246" i="6"/>
  <c r="F318" i="6" s="1"/>
  <c r="F390" i="6" s="1"/>
  <c r="F462" i="6" s="1"/>
  <c r="F534" i="6" s="1"/>
  <c r="F606" i="6" s="1"/>
  <c r="F679" i="6" s="1"/>
  <c r="F751" i="6" s="1"/>
  <c r="F247" i="6"/>
  <c r="F319" i="6" s="1"/>
  <c r="F391" i="6" s="1"/>
  <c r="F463" i="6" s="1"/>
  <c r="F535" i="6" s="1"/>
  <c r="F607" i="6" s="1"/>
  <c r="F680" i="6" s="1"/>
  <c r="F752" i="6" s="1"/>
  <c r="F248" i="6"/>
  <c r="F320" i="6" s="1"/>
  <c r="F392" i="6" s="1"/>
  <c r="F464" i="6" s="1"/>
  <c r="F536" i="6" s="1"/>
  <c r="F608" i="6" s="1"/>
  <c r="F681" i="6" s="1"/>
  <c r="F753" i="6" s="1"/>
  <c r="F249" i="6"/>
  <c r="F321" i="6" s="1"/>
  <c r="F393" i="6" s="1"/>
  <c r="F465" i="6" s="1"/>
  <c r="F537" i="6" s="1"/>
  <c r="F609" i="6" s="1"/>
  <c r="F682" i="6" s="1"/>
  <c r="F754" i="6" s="1"/>
  <c r="F250" i="6"/>
  <c r="F322" i="6" s="1"/>
  <c r="F394" i="6" s="1"/>
  <c r="F466" i="6" s="1"/>
  <c r="F538" i="6" s="1"/>
  <c r="F610" i="6" s="1"/>
  <c r="F683" i="6" s="1"/>
  <c r="F755" i="6" s="1"/>
  <c r="F253" i="6"/>
  <c r="F325" i="6" s="1"/>
  <c r="F397" i="6" s="1"/>
  <c r="F469" i="6" s="1"/>
  <c r="F541" i="6" s="1"/>
  <c r="F613" i="6" s="1"/>
  <c r="F686" i="6" s="1"/>
  <c r="F758" i="6" s="1"/>
  <c r="F255" i="6"/>
  <c r="F327" i="6" s="1"/>
  <c r="F399" i="6" s="1"/>
  <c r="F471" i="6" s="1"/>
  <c r="F543" i="6" s="1"/>
  <c r="F615" i="6" s="1"/>
  <c r="F688" i="6" s="1"/>
  <c r="F760" i="6" s="1"/>
  <c r="F256" i="6"/>
  <c r="F328" i="6" s="1"/>
  <c r="F400" i="6" s="1"/>
  <c r="F472" i="6" s="1"/>
  <c r="F544" i="6" s="1"/>
  <c r="F616" i="6" s="1"/>
  <c r="F689" i="6" s="1"/>
  <c r="F761" i="6" s="1"/>
  <c r="F257" i="6"/>
  <c r="F329" i="6" s="1"/>
  <c r="F401" i="6" s="1"/>
  <c r="F473" i="6" s="1"/>
  <c r="F545" i="6" s="1"/>
  <c r="F617" i="6" s="1"/>
  <c r="F690" i="6" s="1"/>
  <c r="F762" i="6" s="1"/>
  <c r="F258" i="6"/>
  <c r="F330" i="6" s="1"/>
  <c r="F402" i="6" s="1"/>
  <c r="F474" i="6" s="1"/>
  <c r="F546" i="6" s="1"/>
  <c r="F618" i="6" s="1"/>
  <c r="F691" i="6" s="1"/>
  <c r="F763" i="6" s="1"/>
  <c r="F259" i="6"/>
  <c r="F331" i="6" s="1"/>
  <c r="F403" i="6" s="1"/>
  <c r="F475" i="6" s="1"/>
  <c r="F547" i="6" s="1"/>
  <c r="F619" i="6" s="1"/>
  <c r="F692" i="6" s="1"/>
  <c r="F764" i="6" s="1"/>
  <c r="F262" i="6"/>
  <c r="F334" i="6" s="1"/>
  <c r="F406" i="6" s="1"/>
  <c r="F478" i="6" s="1"/>
  <c r="F550" i="6" s="1"/>
  <c r="F622" i="6" s="1"/>
  <c r="F695" i="6" s="1"/>
  <c r="F767" i="6" s="1"/>
  <c r="F264" i="6"/>
  <c r="F336" i="6" s="1"/>
  <c r="F408" i="6" s="1"/>
  <c r="F480" i="6" s="1"/>
  <c r="F552" i="6" s="1"/>
  <c r="F624" i="6" s="1"/>
  <c r="F697" i="6" s="1"/>
  <c r="F769" i="6" s="1"/>
  <c r="F265" i="6"/>
  <c r="F337" i="6" s="1"/>
  <c r="F409" i="6" s="1"/>
  <c r="F481" i="6" s="1"/>
  <c r="F553" i="6" s="1"/>
  <c r="F625" i="6" s="1"/>
  <c r="F698" i="6" s="1"/>
  <c r="F770" i="6" s="1"/>
  <c r="F266" i="6"/>
  <c r="F338" i="6" s="1"/>
  <c r="F410" i="6" s="1"/>
  <c r="F482" i="6" s="1"/>
  <c r="F554" i="6" s="1"/>
  <c r="F626" i="6" s="1"/>
  <c r="F699" i="6" s="1"/>
  <c r="F771" i="6" s="1"/>
  <c r="F267" i="6"/>
  <c r="F339" i="6" s="1"/>
  <c r="F411" i="6" s="1"/>
  <c r="F483" i="6" s="1"/>
  <c r="F555" i="6" s="1"/>
  <c r="F627" i="6" s="1"/>
  <c r="F700" i="6" s="1"/>
  <c r="F772" i="6" s="1"/>
  <c r="F268" i="6"/>
  <c r="F340" i="6" s="1"/>
  <c r="F412" i="6" s="1"/>
  <c r="F484" i="6" s="1"/>
  <c r="F556" i="6" s="1"/>
  <c r="F628" i="6" s="1"/>
  <c r="F701" i="6" s="1"/>
  <c r="F773" i="6" s="1"/>
  <c r="F271" i="6"/>
  <c r="F343" i="6" s="1"/>
  <c r="F415" i="6" s="1"/>
  <c r="F487" i="6" s="1"/>
  <c r="F559" i="6" s="1"/>
  <c r="F631" i="6" s="1"/>
  <c r="F704" i="6" s="1"/>
  <c r="F776" i="6" s="1"/>
  <c r="F273" i="6"/>
  <c r="F345" i="6" s="1"/>
  <c r="F417" i="6" s="1"/>
  <c r="F489" i="6" s="1"/>
  <c r="F561" i="6" s="1"/>
  <c r="F633" i="6" s="1"/>
  <c r="F706" i="6" s="1"/>
  <c r="F778" i="6" s="1"/>
  <c r="F274" i="6"/>
  <c r="F346" i="6" s="1"/>
  <c r="F418" i="6" s="1"/>
  <c r="F490" i="6" s="1"/>
  <c r="F562" i="6" s="1"/>
  <c r="F634" i="6" s="1"/>
  <c r="F707" i="6" s="1"/>
  <c r="F779" i="6" s="1"/>
  <c r="F275" i="6"/>
  <c r="F347" i="6" s="1"/>
  <c r="F419" i="6" s="1"/>
  <c r="F491" i="6" s="1"/>
  <c r="F563" i="6" s="1"/>
  <c r="F635" i="6" s="1"/>
  <c r="F708" i="6" s="1"/>
  <c r="F780" i="6" s="1"/>
  <c r="F276" i="6"/>
  <c r="F348" i="6" s="1"/>
  <c r="F420" i="6" s="1"/>
  <c r="F492" i="6" s="1"/>
  <c r="F564" i="6" s="1"/>
  <c r="F636" i="6" s="1"/>
  <c r="F709" i="6" s="1"/>
  <c r="F781" i="6" s="1"/>
  <c r="F277" i="6"/>
  <c r="F349" i="6" s="1"/>
  <c r="F421" i="6" s="1"/>
  <c r="F493" i="6" s="1"/>
  <c r="F565" i="6" s="1"/>
  <c r="F637" i="6" s="1"/>
  <c r="F710" i="6" s="1"/>
  <c r="F782" i="6" s="1"/>
  <c r="F280" i="6"/>
  <c r="F352" i="6" s="1"/>
  <c r="F424" i="6" s="1"/>
  <c r="F496" i="6" s="1"/>
  <c r="F568" i="6" s="1"/>
  <c r="F640" i="6" s="1"/>
  <c r="F713" i="6" s="1"/>
  <c r="F785" i="6" s="1"/>
  <c r="F279" i="6"/>
  <c r="F351" i="6" s="1"/>
  <c r="F423" i="6" s="1"/>
  <c r="F495" i="6" s="1"/>
  <c r="F567" i="6" s="1"/>
  <c r="F639" i="6" s="1"/>
  <c r="F712" i="6" s="1"/>
  <c r="F784" i="6" s="1"/>
  <c r="F270" i="6"/>
  <c r="F342" i="6" s="1"/>
  <c r="F414" i="6" s="1"/>
  <c r="F486" i="6" s="1"/>
  <c r="F558" i="6" s="1"/>
  <c r="F630" i="6" s="1"/>
  <c r="F703" i="6" s="1"/>
  <c r="F775" i="6" s="1"/>
  <c r="F269" i="6"/>
  <c r="F341" i="6" s="1"/>
  <c r="F413" i="6" s="1"/>
  <c r="F485" i="6" s="1"/>
  <c r="F557" i="6" s="1"/>
  <c r="F629" i="6" s="1"/>
  <c r="F702" i="6" s="1"/>
  <c r="F774" i="6" s="1"/>
  <c r="F261" i="6"/>
  <c r="F333" i="6" s="1"/>
  <c r="F405" i="6" s="1"/>
  <c r="F477" i="6" s="1"/>
  <c r="F549" i="6" s="1"/>
  <c r="F621" i="6" s="1"/>
  <c r="F694" i="6" s="1"/>
  <c r="F766" i="6" s="1"/>
  <c r="F252" i="6"/>
  <c r="F324" i="6" s="1"/>
  <c r="F396" i="6" s="1"/>
  <c r="F468" i="6" s="1"/>
  <c r="F540" i="6" s="1"/>
  <c r="F612" i="6" s="1"/>
  <c r="F685" i="6" s="1"/>
  <c r="F757" i="6" s="1"/>
  <c r="J190" i="6"/>
  <c r="X166" i="15" s="1"/>
  <c r="Z166" i="15" s="1"/>
  <c r="H190" i="6"/>
  <c r="G166" i="15"/>
  <c r="J189" i="6"/>
  <c r="H189" i="6"/>
  <c r="I189" i="6" s="1"/>
  <c r="Q165" i="15" s="1"/>
  <c r="O165" i="15" s="1"/>
  <c r="K188" i="6"/>
  <c r="BE188" i="6" s="1"/>
  <c r="J188" i="6"/>
  <c r="Y164" i="15" s="1"/>
  <c r="H188" i="6"/>
  <c r="J187" i="6"/>
  <c r="H187" i="6"/>
  <c r="K186" i="6"/>
  <c r="BE186" i="6" s="1"/>
  <c r="J186" i="6"/>
  <c r="Y163" i="15" s="1"/>
  <c r="H186" i="6"/>
  <c r="J185" i="6"/>
  <c r="BC185" i="6" s="1"/>
  <c r="BD185" i="6" s="1"/>
  <c r="H185" i="6"/>
  <c r="I185" i="6" s="1"/>
  <c r="Q163" i="15" s="1"/>
  <c r="O163" i="15" s="1"/>
  <c r="J184" i="6"/>
  <c r="X162" i="15" s="1"/>
  <c r="Z162" i="15" s="1"/>
  <c r="H184" i="6"/>
  <c r="I184" i="6" s="1"/>
  <c r="Q162" i="15" s="1"/>
  <c r="K162" i="15"/>
  <c r="I162" i="15" s="1"/>
  <c r="K183" i="6"/>
  <c r="BE183" i="6" s="1"/>
  <c r="J183" i="6"/>
  <c r="BC183" i="6" s="1"/>
  <c r="BD183" i="6" s="1"/>
  <c r="H183" i="6"/>
  <c r="J182" i="6"/>
  <c r="X161" i="15" s="1"/>
  <c r="H182" i="6"/>
  <c r="BC181" i="6"/>
  <c r="H181" i="6"/>
  <c r="F272" i="6"/>
  <c r="F344" i="6" s="1"/>
  <c r="F416" i="6" s="1"/>
  <c r="F488" i="6" s="1"/>
  <c r="F560" i="6" s="1"/>
  <c r="F632" i="6" s="1"/>
  <c r="F705" i="6" s="1"/>
  <c r="F777" i="6" s="1"/>
  <c r="J180" i="6"/>
  <c r="X159" i="15" s="1"/>
  <c r="Z159" i="15" s="1"/>
  <c r="H180" i="6"/>
  <c r="K179" i="6"/>
  <c r="BE179" i="6" s="1"/>
  <c r="J179" i="6"/>
  <c r="BC179" i="6" s="1"/>
  <c r="H179" i="6"/>
  <c r="J178" i="6"/>
  <c r="X158" i="15" s="1"/>
  <c r="H178" i="6"/>
  <c r="K177" i="6"/>
  <c r="BE177" i="6" s="1"/>
  <c r="J177" i="6"/>
  <c r="Y157" i="15" s="1"/>
  <c r="H177" i="6"/>
  <c r="I177" i="6" s="1"/>
  <c r="S157" i="15" s="1"/>
  <c r="P157" i="15" s="1"/>
  <c r="W157" i="15" s="1"/>
  <c r="J176" i="6"/>
  <c r="X157" i="15" s="1"/>
  <c r="H176" i="6"/>
  <c r="J175" i="6"/>
  <c r="X156" i="15" s="1"/>
  <c r="Z156" i="15" s="1"/>
  <c r="H175" i="6"/>
  <c r="I175" i="6" s="1"/>
  <c r="Q156" i="15" s="1"/>
  <c r="K174" i="6"/>
  <c r="BE174" i="6" s="1"/>
  <c r="J174" i="6"/>
  <c r="H174" i="6"/>
  <c r="J173" i="6"/>
  <c r="BC173" i="6" s="1"/>
  <c r="H173" i="6"/>
  <c r="I173" i="6" s="1"/>
  <c r="Q155" i="15" s="1"/>
  <c r="O155" i="15" s="1"/>
  <c r="K155" i="15"/>
  <c r="I155" i="15" s="1"/>
  <c r="BC172" i="6"/>
  <c r="H172" i="6"/>
  <c r="G154" i="15"/>
  <c r="J171" i="6"/>
  <c r="BC171" i="6" s="1"/>
  <c r="BD171" i="6" s="1"/>
  <c r="H171" i="6"/>
  <c r="K170" i="6"/>
  <c r="BE170" i="6" s="1"/>
  <c r="J170" i="6"/>
  <c r="H170" i="6"/>
  <c r="J169" i="6"/>
  <c r="X152" i="15" s="1"/>
  <c r="H169" i="6"/>
  <c r="K168" i="6"/>
  <c r="BE168" i="6" s="1"/>
  <c r="J168" i="6"/>
  <c r="BC168" i="6" s="1"/>
  <c r="BD168" i="6" s="1"/>
  <c r="H168" i="6"/>
  <c r="J167" i="6"/>
  <c r="BC167" i="6" s="1"/>
  <c r="H167" i="6"/>
  <c r="I167" i="6" s="1"/>
  <c r="Q151" i="15" s="1"/>
  <c r="O151" i="15" s="1"/>
  <c r="K151" i="15"/>
  <c r="I151" i="15" s="1"/>
  <c r="J166" i="6"/>
  <c r="X150" i="15" s="1"/>
  <c r="Z150" i="15" s="1"/>
  <c r="H166" i="6"/>
  <c r="K165" i="6"/>
  <c r="BE165" i="6" s="1"/>
  <c r="J165" i="6"/>
  <c r="BC165" i="6" s="1"/>
  <c r="BD165" i="6" s="1"/>
  <c r="H165" i="6"/>
  <c r="J164" i="6"/>
  <c r="X149" i="15" s="1"/>
  <c r="H164" i="6"/>
  <c r="I164" i="6" s="1"/>
  <c r="Q149" i="15" s="1"/>
  <c r="O149" i="15" s="1"/>
  <c r="BC163" i="6"/>
  <c r="H163" i="6"/>
  <c r="G148" i="15"/>
  <c r="BC162" i="6"/>
  <c r="BD162" i="6" s="1"/>
  <c r="H162" i="6"/>
  <c r="K161" i="6"/>
  <c r="BE161" i="6" s="1"/>
  <c r="J161" i="6"/>
  <c r="BC161" i="6" s="1"/>
  <c r="H161" i="6"/>
  <c r="J160" i="6"/>
  <c r="H160" i="6"/>
  <c r="I160" i="6" s="1"/>
  <c r="Q146" i="15" s="1"/>
  <c r="O146" i="15" s="1"/>
  <c r="K159" i="6"/>
  <c r="BE159" i="6" s="1"/>
  <c r="J159" i="6"/>
  <c r="H159" i="6"/>
  <c r="J158" i="6"/>
  <c r="BC158" i="6" s="1"/>
  <c r="H158" i="6"/>
  <c r="J157" i="6"/>
  <c r="BC157" i="6" s="1"/>
  <c r="BD157" i="6" s="1"/>
  <c r="H157" i="6"/>
  <c r="K156" i="6"/>
  <c r="BE156" i="6" s="1"/>
  <c r="J156" i="6"/>
  <c r="BC156" i="6" s="1"/>
  <c r="H156" i="6"/>
  <c r="I156" i="6" s="1"/>
  <c r="S143" i="15" s="1"/>
  <c r="P143" i="15" s="1"/>
  <c r="W143" i="15" s="1"/>
  <c r="J155" i="6"/>
  <c r="BC155" i="6" s="1"/>
  <c r="H155" i="6"/>
  <c r="I155" i="6" s="1"/>
  <c r="Q143" i="15" s="1"/>
  <c r="O143" i="15" s="1"/>
  <c r="E715" i="6"/>
  <c r="E1267" i="6" s="1"/>
  <c r="L391" i="6"/>
  <c r="L392" i="6" s="1"/>
  <c r="L393" i="6" s="1"/>
  <c r="L394" i="6" s="1"/>
  <c r="L397" i="6" s="1"/>
  <c r="L399" i="6" s="1"/>
  <c r="L400" i="6" s="1"/>
  <c r="L401" i="6" s="1"/>
  <c r="L402" i="6" s="1"/>
  <c r="L403" i="6" s="1"/>
  <c r="L406" i="6" s="1"/>
  <c r="L408" i="6" s="1"/>
  <c r="L409" i="6" s="1"/>
  <c r="L410" i="6" s="1"/>
  <c r="L411" i="6" s="1"/>
  <c r="L412" i="6" s="1"/>
  <c r="L415" i="6" s="1"/>
  <c r="L417" i="6" s="1"/>
  <c r="L418" i="6" s="1"/>
  <c r="L419" i="6" s="1"/>
  <c r="L420" i="6" s="1"/>
  <c r="L421" i="6" s="1"/>
  <c r="L424" i="6" s="1"/>
  <c r="K786" i="6"/>
  <c r="K783" i="6"/>
  <c r="AJ163" i="15"/>
  <c r="K777" i="6"/>
  <c r="AJ159" i="15"/>
  <c r="K773" i="6"/>
  <c r="AJ157" i="15"/>
  <c r="K772" i="6"/>
  <c r="AJ162" i="15"/>
  <c r="K770" i="6"/>
  <c r="K778" i="6"/>
  <c r="AJ154" i="15"/>
  <c r="K767" i="6"/>
  <c r="K765" i="6"/>
  <c r="AJ150" i="15"/>
  <c r="K761" i="6"/>
  <c r="K758" i="6"/>
  <c r="K756" i="6"/>
  <c r="K751" i="6"/>
  <c r="J281" i="6"/>
  <c r="F190" i="6" s="1"/>
  <c r="J279" i="6"/>
  <c r="F188" i="6" s="1"/>
  <c r="J278" i="6"/>
  <c r="F187" i="6" s="1"/>
  <c r="J272" i="6"/>
  <c r="F181" i="6" s="1"/>
  <c r="J270" i="6"/>
  <c r="F179" i="6" s="1"/>
  <c r="J269" i="6"/>
  <c r="F178" i="6" s="1"/>
  <c r="J263" i="6"/>
  <c r="F172" i="6" s="1"/>
  <c r="J261" i="6"/>
  <c r="F170" i="6" s="1"/>
  <c r="J260" i="6"/>
  <c r="F169" i="6" s="1"/>
  <c r="J254" i="6"/>
  <c r="F163" i="6" s="1"/>
  <c r="K148" i="15" s="1"/>
  <c r="I148" i="15" s="1"/>
  <c r="J252" i="6"/>
  <c r="F161" i="6" s="1"/>
  <c r="W1352" i="6"/>
  <c r="F263" i="6"/>
  <c r="F335" i="6" s="1"/>
  <c r="F407" i="6" s="1"/>
  <c r="F479" i="6" s="1"/>
  <c r="F551" i="6" s="1"/>
  <c r="F623" i="6" s="1"/>
  <c r="F696" i="6" s="1"/>
  <c r="F768" i="6" s="1"/>
  <c r="F260" i="6"/>
  <c r="F332" i="6" s="1"/>
  <c r="F404" i="6" s="1"/>
  <c r="F476" i="6" s="1"/>
  <c r="F548" i="6" s="1"/>
  <c r="F620" i="6" s="1"/>
  <c r="F693" i="6" s="1"/>
  <c r="F765" i="6" s="1"/>
  <c r="G152" i="15"/>
  <c r="AJ147" i="15"/>
  <c r="AJ160" i="15"/>
  <c r="AJ164" i="15"/>
  <c r="K752" i="6"/>
  <c r="K780" i="6"/>
  <c r="AJ166" i="15"/>
  <c r="AJ153" i="15"/>
  <c r="AJ152" i="15"/>
  <c r="K766" i="6"/>
  <c r="AJ146" i="15"/>
  <c r="K762" i="6"/>
  <c r="AJ161" i="15"/>
  <c r="AJ143" i="15"/>
  <c r="I452" i="7"/>
  <c r="V457" i="7"/>
  <c r="N457" i="7"/>
  <c r="L457" i="7"/>
  <c r="BC457" i="7" s="1"/>
  <c r="H457" i="7"/>
  <c r="V456" i="7"/>
  <c r="N456" i="7"/>
  <c r="L456" i="7"/>
  <c r="H456" i="7"/>
  <c r="V455" i="7"/>
  <c r="N455" i="7"/>
  <c r="L455" i="7"/>
  <c r="X423" i="15" s="1"/>
  <c r="Z423" i="15" s="1"/>
  <c r="H455" i="7"/>
  <c r="AD617" i="15"/>
  <c r="H617" i="15"/>
  <c r="G617" i="15"/>
  <c r="C617" i="15"/>
  <c r="AM617" i="15" s="1"/>
  <c r="B618" i="15"/>
  <c r="A618" i="15" s="1"/>
  <c r="AD115" i="15"/>
  <c r="AD116" i="15"/>
  <c r="AD120" i="15"/>
  <c r="AD123" i="15"/>
  <c r="AD124" i="15"/>
  <c r="AD126" i="15"/>
  <c r="AD129" i="15"/>
  <c r="AD130" i="15"/>
  <c r="AD132" i="15"/>
  <c r="AD135" i="15"/>
  <c r="AD136" i="15"/>
  <c r="AD138" i="15"/>
  <c r="AD141" i="15"/>
  <c r="AD142" i="15"/>
  <c r="AD168" i="15"/>
  <c r="AD169" i="15"/>
  <c r="AD170" i="15"/>
  <c r="AD173" i="15"/>
  <c r="AD178" i="15"/>
  <c r="AD179" i="15"/>
  <c r="AD180" i="15"/>
  <c r="AD181" i="15"/>
  <c r="AD182" i="15"/>
  <c r="AD183" i="15"/>
  <c r="AD188" i="15"/>
  <c r="AD189" i="15"/>
  <c r="AD194" i="15"/>
  <c r="AD195" i="15"/>
  <c r="AD196" i="15"/>
  <c r="AD197" i="15"/>
  <c r="AD198" i="15"/>
  <c r="AD199" i="15"/>
  <c r="AD200" i="15"/>
  <c r="AD203" i="15"/>
  <c r="AD207" i="15"/>
  <c r="AD209" i="15"/>
  <c r="AD213" i="15"/>
  <c r="AD215" i="15"/>
  <c r="AD222" i="15"/>
  <c r="AD223" i="15"/>
  <c r="AD228" i="15"/>
  <c r="AD229" i="15"/>
  <c r="AD230" i="15"/>
  <c r="AD231" i="15"/>
  <c r="AD238" i="15"/>
  <c r="AD239" i="15"/>
  <c r="AD240" i="15"/>
  <c r="AD242" i="15"/>
  <c r="AD243" i="15"/>
  <c r="AD246" i="15"/>
  <c r="AD248" i="15"/>
  <c r="AD249" i="15"/>
  <c r="AD252" i="15"/>
  <c r="AD254" i="15"/>
  <c r="AD255" i="15"/>
  <c r="AD260" i="15"/>
  <c r="AD262" i="15"/>
  <c r="AD263" i="15"/>
  <c r="AD272" i="15"/>
  <c r="AD274" i="15"/>
  <c r="AD275" i="15"/>
  <c r="AD279" i="15"/>
  <c r="AD281" i="15"/>
  <c r="AD283" i="15"/>
  <c r="AD309" i="15"/>
  <c r="AD317" i="15"/>
  <c r="AD318" i="15"/>
  <c r="AD319" i="15"/>
  <c r="AD324" i="15"/>
  <c r="AD325" i="15"/>
  <c r="AD326" i="15"/>
  <c r="AD327" i="15"/>
  <c r="AD328" i="15"/>
  <c r="AD329" i="15"/>
  <c r="AD330" i="15"/>
  <c r="AD331" i="15"/>
  <c r="AD333" i="15"/>
  <c r="AD366" i="15"/>
  <c r="AD367" i="15"/>
  <c r="AD368" i="15"/>
  <c r="AD369" i="15"/>
  <c r="AD370" i="15"/>
  <c r="AD371" i="15"/>
  <c r="AD372" i="15"/>
  <c r="AD373" i="15"/>
  <c r="AD374" i="15"/>
  <c r="AD375" i="15"/>
  <c r="AD376" i="15"/>
  <c r="AD377" i="15"/>
  <c r="AD381" i="15"/>
  <c r="AD382" i="15"/>
  <c r="AD384" i="15"/>
  <c r="AD385" i="15"/>
  <c r="AD386" i="15"/>
  <c r="AD387" i="15"/>
  <c r="AD388" i="15"/>
  <c r="AD389" i="15"/>
  <c r="AD390" i="15"/>
  <c r="AD391" i="15"/>
  <c r="AD392" i="15"/>
  <c r="AD393" i="15"/>
  <c r="AD394" i="15"/>
  <c r="AD395" i="15"/>
  <c r="AD396" i="15"/>
  <c r="AD397" i="15"/>
  <c r="AD398" i="15"/>
  <c r="AD399" i="15"/>
  <c r="AD400" i="15"/>
  <c r="AD401" i="15"/>
  <c r="AD402" i="15"/>
  <c r="AD403" i="15"/>
  <c r="AD404" i="15"/>
  <c r="AD405" i="15"/>
  <c r="AD406" i="15"/>
  <c r="AD407" i="15"/>
  <c r="AD408" i="15"/>
  <c r="AD409" i="15"/>
  <c r="AD410" i="15"/>
  <c r="AD411" i="15"/>
  <c r="AD412" i="15"/>
  <c r="AD413" i="15"/>
  <c r="AD414" i="15"/>
  <c r="AD415" i="15"/>
  <c r="AD416" i="15"/>
  <c r="AD417" i="15"/>
  <c r="AD418" i="15"/>
  <c r="AD419" i="15"/>
  <c r="AD420" i="15"/>
  <c r="AD421" i="15"/>
  <c r="AD422" i="15"/>
  <c r="AD426" i="15"/>
  <c r="AD427" i="15"/>
  <c r="AD428" i="15"/>
  <c r="AD429" i="15"/>
  <c r="AD430" i="15"/>
  <c r="AD431" i="15"/>
  <c r="AD432" i="15"/>
  <c r="AD435" i="15"/>
  <c r="AD436" i="15"/>
  <c r="AD437" i="15"/>
  <c r="AD439" i="15"/>
  <c r="AD441" i="15"/>
  <c r="AD443" i="15"/>
  <c r="AD445" i="15"/>
  <c r="AD446" i="15"/>
  <c r="AD447" i="15"/>
  <c r="AD448" i="15"/>
  <c r="AD449" i="15"/>
  <c r="AD450" i="15"/>
  <c r="AD451" i="15"/>
  <c r="AD452" i="15"/>
  <c r="AD453" i="15"/>
  <c r="AD454" i="15"/>
  <c r="AD455" i="15"/>
  <c r="AD459" i="15"/>
  <c r="AD461" i="15"/>
  <c r="AD462" i="15"/>
  <c r="AD467" i="15"/>
  <c r="AD468" i="15"/>
  <c r="AD469" i="15"/>
  <c r="AD470" i="15"/>
  <c r="AD471" i="15"/>
  <c r="AD472" i="15"/>
  <c r="AD473" i="15"/>
  <c r="AD474" i="15"/>
  <c r="AD475" i="15"/>
  <c r="AD476" i="15"/>
  <c r="AD477" i="15"/>
  <c r="AD478" i="15"/>
  <c r="AD479" i="15"/>
  <c r="AD480" i="15"/>
  <c r="AD481" i="15"/>
  <c r="AD482" i="15"/>
  <c r="AD483" i="15"/>
  <c r="AD484" i="15"/>
  <c r="AD485" i="15"/>
  <c r="AD486" i="15"/>
  <c r="AD487" i="15"/>
  <c r="AD488" i="15"/>
  <c r="AD489" i="15"/>
  <c r="AD490" i="15"/>
  <c r="AD491" i="15"/>
  <c r="AD492" i="15"/>
  <c r="AD493" i="15"/>
  <c r="AD494" i="15"/>
  <c r="AD495" i="15"/>
  <c r="AD496" i="15"/>
  <c r="AD498" i="15"/>
  <c r="AD499" i="15"/>
  <c r="AD500" i="15"/>
  <c r="AD501" i="15"/>
  <c r="AD502" i="15"/>
  <c r="AD503" i="15"/>
  <c r="AD504" i="15"/>
  <c r="AD505" i="15"/>
  <c r="AD506" i="15"/>
  <c r="AD507" i="15"/>
  <c r="AD508" i="15"/>
  <c r="AD509" i="15"/>
  <c r="AD511" i="15"/>
  <c r="AD512" i="15"/>
  <c r="AD513" i="15"/>
  <c r="AD517" i="15"/>
  <c r="AD519" i="15"/>
  <c r="AD520" i="15"/>
  <c r="AD522" i="15"/>
  <c r="AD523" i="15"/>
  <c r="AD525" i="15"/>
  <c r="AD526" i="15"/>
  <c r="AD530" i="15"/>
  <c r="AD536" i="15"/>
  <c r="AD542" i="15"/>
  <c r="AD548" i="15"/>
  <c r="AD531" i="15"/>
  <c r="AD537" i="15"/>
  <c r="AD543" i="15"/>
  <c r="AD549" i="15"/>
  <c r="AD532" i="15"/>
  <c r="AD538" i="15"/>
  <c r="AD544" i="15"/>
  <c r="AD550" i="15"/>
  <c r="AD533" i="15"/>
  <c r="AD539" i="15"/>
  <c r="AD545" i="15"/>
  <c r="AD551" i="15"/>
  <c r="AD534" i="15"/>
  <c r="AD540" i="15"/>
  <c r="AD546" i="15"/>
  <c r="AD552" i="15"/>
  <c r="AD535" i="15"/>
  <c r="AD541" i="15"/>
  <c r="AD547" i="15"/>
  <c r="AD553" i="15"/>
  <c r="AD578" i="15"/>
  <c r="AD579" i="15"/>
  <c r="AD580" i="15"/>
  <c r="AD581" i="15"/>
  <c r="AD582" i="15"/>
  <c r="AD587" i="15"/>
  <c r="AD588" i="15"/>
  <c r="AD589" i="15"/>
  <c r="AD590" i="15"/>
  <c r="AD591" i="15"/>
  <c r="AD592" i="15"/>
  <c r="AD593" i="15"/>
  <c r="AD594" i="15"/>
  <c r="AD595" i="15"/>
  <c r="AD596" i="15"/>
  <c r="AD597" i="15"/>
  <c r="AD598" i="15"/>
  <c r="AD600" i="15"/>
  <c r="AD601" i="15"/>
  <c r="AD602" i="15"/>
  <c r="AD603" i="15"/>
  <c r="AD604" i="15"/>
  <c r="AD605" i="15"/>
  <c r="AD606" i="15"/>
  <c r="AD607" i="15"/>
  <c r="AD608" i="15"/>
  <c r="AD609" i="15"/>
  <c r="AD612" i="15"/>
  <c r="AD613" i="15"/>
  <c r="AD618" i="15"/>
  <c r="AD619" i="15"/>
  <c r="AD620" i="15"/>
  <c r="AD621" i="15"/>
  <c r="AD622" i="15"/>
  <c r="AD623" i="15"/>
  <c r="AD624" i="15"/>
  <c r="AD625" i="15"/>
  <c r="AD626" i="15"/>
  <c r="AD627" i="15"/>
  <c r="AD628" i="15"/>
  <c r="AD629" i="15"/>
  <c r="AD630" i="15"/>
  <c r="AD631" i="15"/>
  <c r="AD632" i="15"/>
  <c r="AD633" i="15"/>
  <c r="AD634" i="15"/>
  <c r="AD635" i="15"/>
  <c r="AD638" i="15"/>
  <c r="AD639" i="15"/>
  <c r="AD640" i="15"/>
  <c r="AD641" i="15"/>
  <c r="AD642" i="15"/>
  <c r="AD643" i="15"/>
  <c r="AD644" i="15"/>
  <c r="AD646" i="15"/>
  <c r="AD647" i="15"/>
  <c r="AD648" i="15"/>
  <c r="AD649" i="15"/>
  <c r="AD650" i="15"/>
  <c r="AD651" i="15"/>
  <c r="AD652" i="15"/>
  <c r="AD653" i="15"/>
  <c r="AD654" i="15"/>
  <c r="AD655" i="15"/>
  <c r="AD656" i="15"/>
  <c r="AD657" i="15"/>
  <c r="AD658" i="15"/>
  <c r="AD659" i="15"/>
  <c r="AD660" i="15"/>
  <c r="AD661" i="15"/>
  <c r="AD664" i="15"/>
  <c r="AD667" i="15"/>
  <c r="AD670" i="15"/>
  <c r="AD684" i="15"/>
  <c r="AD685" i="15"/>
  <c r="AD686" i="15"/>
  <c r="AD687" i="15"/>
  <c r="AD688" i="15"/>
  <c r="AD689" i="15"/>
  <c r="AD690" i="15"/>
  <c r="AD691" i="15"/>
  <c r="AD692" i="15"/>
  <c r="AD693" i="15"/>
  <c r="AD694" i="15"/>
  <c r="AD695" i="15"/>
  <c r="AD696" i="15"/>
  <c r="AD697" i="15"/>
  <c r="AD698" i="15"/>
  <c r="AD699" i="15"/>
  <c r="AD700" i="15"/>
  <c r="AD701" i="15"/>
  <c r="AD702" i="15"/>
  <c r="AD703" i="15"/>
  <c r="AD704" i="15"/>
  <c r="AD705" i="15"/>
  <c r="AD706" i="15"/>
  <c r="AD707" i="15"/>
  <c r="AD708" i="15"/>
  <c r="AD709" i="15"/>
  <c r="AD710" i="15"/>
  <c r="AD711" i="15"/>
  <c r="AD712" i="15"/>
  <c r="AD713" i="15"/>
  <c r="AD714" i="15"/>
  <c r="AD715" i="15"/>
  <c r="AD716" i="15"/>
  <c r="AD717" i="15"/>
  <c r="AD718" i="15"/>
  <c r="AD719" i="15"/>
  <c r="AD720" i="15"/>
  <c r="AD721" i="15"/>
  <c r="AD722" i="15"/>
  <c r="AD725" i="15"/>
  <c r="AD726" i="15"/>
  <c r="AD727" i="15"/>
  <c r="AD728" i="15"/>
  <c r="AD729" i="15"/>
  <c r="AD730" i="15"/>
  <c r="AD731" i="15"/>
  <c r="AD732" i="15"/>
  <c r="AD733" i="15"/>
  <c r="AD734" i="15"/>
  <c r="AD735" i="15"/>
  <c r="AD736" i="15"/>
  <c r="AD737" i="15"/>
  <c r="AD741" i="15"/>
  <c r="AD742" i="15"/>
  <c r="AD743" i="15"/>
  <c r="AD744" i="15"/>
  <c r="AD745" i="15"/>
  <c r="AD746" i="15"/>
  <c r="AD747" i="15"/>
  <c r="AD748" i="15"/>
  <c r="AD749" i="15"/>
  <c r="AD750" i="15"/>
  <c r="AD751" i="15"/>
  <c r="AD752" i="15"/>
  <c r="AD753" i="15"/>
  <c r="AD754" i="15"/>
  <c r="AD755" i="15"/>
  <c r="AD756" i="15"/>
  <c r="AD757" i="15"/>
  <c r="AD758" i="15"/>
  <c r="AD759" i="15"/>
  <c r="AD760" i="15"/>
  <c r="AD761" i="15"/>
  <c r="AD762" i="15"/>
  <c r="AD763" i="15"/>
  <c r="AD764" i="15"/>
  <c r="AD772" i="15"/>
  <c r="AD773" i="15"/>
  <c r="AD774" i="15"/>
  <c r="AD775" i="15"/>
  <c r="AD776" i="15"/>
  <c r="AD777" i="15"/>
  <c r="AD778" i="15"/>
  <c r="AD781" i="15"/>
  <c r="AD782" i="15"/>
  <c r="AD783" i="15"/>
  <c r="AD784" i="15"/>
  <c r="AD785" i="15"/>
  <c r="AD786" i="15"/>
  <c r="AD787" i="15"/>
  <c r="AD788" i="15"/>
  <c r="AD789" i="15"/>
  <c r="AD790" i="15"/>
  <c r="AD791" i="15"/>
  <c r="AD792" i="15"/>
  <c r="AD793" i="15"/>
  <c r="AC644" i="15"/>
  <c r="W797" i="15"/>
  <c r="V797" i="15" s="1"/>
  <c r="U797" i="15" s="1"/>
  <c r="Z793" i="15"/>
  <c r="Z792" i="15"/>
  <c r="W792" i="15" s="1"/>
  <c r="Z790" i="15"/>
  <c r="Z789" i="15"/>
  <c r="Z788" i="15"/>
  <c r="Z786" i="15"/>
  <c r="W786" i="15" s="1"/>
  <c r="Z785" i="15"/>
  <c r="W785" i="15" s="1"/>
  <c r="Z784" i="15"/>
  <c r="W784" i="15" s="1"/>
  <c r="V784" i="15" s="1"/>
  <c r="Z782" i="15"/>
  <c r="W782" i="15" s="1"/>
  <c r="V782" i="15" s="1"/>
  <c r="Z781" i="15"/>
  <c r="W781" i="15" s="1"/>
  <c r="V781" i="15" s="1"/>
  <c r="Z777" i="15"/>
  <c r="W777" i="15" s="1"/>
  <c r="Z775" i="15"/>
  <c r="W775" i="15" s="1"/>
  <c r="Z773" i="15"/>
  <c r="W773" i="15" s="1"/>
  <c r="Z772" i="15"/>
  <c r="W772" i="15" s="1"/>
  <c r="Z764" i="15"/>
  <c r="W764" i="15" s="1"/>
  <c r="Z758" i="15"/>
  <c r="Z759" i="15"/>
  <c r="Z760" i="15"/>
  <c r="Z761" i="15"/>
  <c r="Z762" i="15"/>
  <c r="Z763" i="15"/>
  <c r="Z757" i="15"/>
  <c r="Z751" i="15"/>
  <c r="W751" i="15" s="1"/>
  <c r="Z753" i="15"/>
  <c r="W753" i="15" s="1"/>
  <c r="Z754" i="15"/>
  <c r="W754" i="15" s="1"/>
  <c r="Z755" i="15"/>
  <c r="W755" i="15" s="1"/>
  <c r="Z756" i="15"/>
  <c r="W756" i="15" s="1"/>
  <c r="Z750" i="15"/>
  <c r="W750" i="15" s="1"/>
  <c r="Z746" i="15"/>
  <c r="W746" i="15" s="1"/>
  <c r="Z747" i="15"/>
  <c r="W747" i="15" s="1"/>
  <c r="Z748" i="15"/>
  <c r="W748" i="15" s="1"/>
  <c r="Z749" i="15"/>
  <c r="W749" i="15" s="1"/>
  <c r="Z742" i="15"/>
  <c r="W742" i="15" s="1"/>
  <c r="Z743" i="15"/>
  <c r="W743" i="15" s="1"/>
  <c r="Z744" i="15"/>
  <c r="W744" i="15" s="1"/>
  <c r="Z737" i="15"/>
  <c r="P737" i="15"/>
  <c r="J737" i="15"/>
  <c r="J732" i="15"/>
  <c r="P732" i="15"/>
  <c r="Z732" i="15"/>
  <c r="J733" i="15"/>
  <c r="P733" i="15"/>
  <c r="Z733" i="15"/>
  <c r="J734" i="15"/>
  <c r="P734" i="15"/>
  <c r="Z734" i="15"/>
  <c r="J735" i="15"/>
  <c r="P735" i="15"/>
  <c r="Z735" i="15"/>
  <c r="J736" i="15"/>
  <c r="P736" i="15"/>
  <c r="Z736" i="15"/>
  <c r="Z731" i="15"/>
  <c r="P731" i="15"/>
  <c r="J731" i="15"/>
  <c r="P730" i="15"/>
  <c r="P729" i="15"/>
  <c r="P728" i="15"/>
  <c r="P727" i="15"/>
  <c r="P726" i="15"/>
  <c r="J730" i="15"/>
  <c r="J729" i="15"/>
  <c r="J728" i="15"/>
  <c r="J727" i="15"/>
  <c r="J726" i="15"/>
  <c r="Z727" i="15"/>
  <c r="Z728" i="15"/>
  <c r="Z729" i="15"/>
  <c r="Z730" i="15"/>
  <c r="Z726" i="15"/>
  <c r="Z725" i="15"/>
  <c r="Z722" i="15"/>
  <c r="Z720" i="15"/>
  <c r="W720" i="15" s="1"/>
  <c r="P720" i="15"/>
  <c r="J720" i="15"/>
  <c r="Z718" i="15"/>
  <c r="W718" i="15" s="1"/>
  <c r="Z719" i="15"/>
  <c r="W719" i="15" s="1"/>
  <c r="Z717" i="15"/>
  <c r="W717" i="15" s="1"/>
  <c r="Z714" i="15"/>
  <c r="W714" i="15" s="1"/>
  <c r="Z716" i="15"/>
  <c r="W716" i="15" s="1"/>
  <c r="Z713" i="15"/>
  <c r="W713" i="15" s="1"/>
  <c r="Z712" i="15"/>
  <c r="W712" i="15" s="1"/>
  <c r="Z710" i="15"/>
  <c r="Z706" i="15"/>
  <c r="Z707" i="15"/>
  <c r="Z708" i="15"/>
  <c r="Z703" i="15"/>
  <c r="W703" i="15" s="1"/>
  <c r="Z702" i="15"/>
  <c r="W702" i="15" s="1"/>
  <c r="Z699" i="15"/>
  <c r="W699" i="15" s="1"/>
  <c r="Z700" i="15"/>
  <c r="W700" i="15" s="1"/>
  <c r="Z693" i="15"/>
  <c r="W693" i="15" s="1"/>
  <c r="Z695" i="15"/>
  <c r="W695" i="15" s="1"/>
  <c r="Z696" i="15"/>
  <c r="W696" i="15" s="1"/>
  <c r="Z698" i="15"/>
  <c r="W698" i="15" s="1"/>
  <c r="AM646" i="15"/>
  <c r="Z644" i="15"/>
  <c r="G643" i="15"/>
  <c r="G642" i="15"/>
  <c r="G641" i="15"/>
  <c r="G640" i="15"/>
  <c r="G639" i="15"/>
  <c r="G638" i="15"/>
  <c r="AB640" i="15"/>
  <c r="AB639" i="15"/>
  <c r="AB638" i="15"/>
  <c r="X642" i="15"/>
  <c r="Z642" i="15" s="1"/>
  <c r="X641" i="15"/>
  <c r="Z641" i="15" s="1"/>
  <c r="X640" i="15"/>
  <c r="Z640" i="15" s="1"/>
  <c r="X639" i="15"/>
  <c r="Z639" i="15" s="1"/>
  <c r="X638" i="15"/>
  <c r="Z638" i="15" s="1"/>
  <c r="H643" i="15"/>
  <c r="H642" i="15"/>
  <c r="H641" i="15"/>
  <c r="H640" i="15"/>
  <c r="H639" i="15"/>
  <c r="H638" i="15"/>
  <c r="C643" i="15"/>
  <c r="AM643" i="15" s="1"/>
  <c r="C642" i="15"/>
  <c r="AM642" i="15" s="1"/>
  <c r="C641" i="15"/>
  <c r="AM641" i="15" s="1"/>
  <c r="C640" i="15"/>
  <c r="AM640" i="15" s="1"/>
  <c r="C639" i="15"/>
  <c r="AM639" i="15" s="1"/>
  <c r="C638" i="15"/>
  <c r="AM638" i="15" s="1"/>
  <c r="B643" i="15"/>
  <c r="A643" i="15" s="1"/>
  <c r="B642" i="15"/>
  <c r="A642" i="15" s="1"/>
  <c r="B641" i="15"/>
  <c r="A641" i="15" s="1"/>
  <c r="B640" i="15"/>
  <c r="A640" i="15" s="1"/>
  <c r="B639" i="15"/>
  <c r="A639" i="15" s="1"/>
  <c r="B638" i="15"/>
  <c r="A638" i="15" s="1"/>
  <c r="H637" i="15"/>
  <c r="H635" i="15"/>
  <c r="G637" i="15"/>
  <c r="G635" i="15"/>
  <c r="D637" i="15"/>
  <c r="C637" i="15"/>
  <c r="AM637" i="15" s="1"/>
  <c r="C635" i="15"/>
  <c r="AM635" i="15" s="1"/>
  <c r="B637" i="15"/>
  <c r="A637" i="15" s="1"/>
  <c r="B635" i="15"/>
  <c r="A635" i="15" s="1"/>
  <c r="B627" i="15"/>
  <c r="A627" i="15" s="1"/>
  <c r="H627" i="15"/>
  <c r="B628" i="15"/>
  <c r="A628" i="15" s="1"/>
  <c r="H628" i="15"/>
  <c r="B629" i="15"/>
  <c r="A629" i="15" s="1"/>
  <c r="H629" i="15"/>
  <c r="B630" i="15"/>
  <c r="A630" i="15" s="1"/>
  <c r="H630" i="15"/>
  <c r="B631" i="15"/>
  <c r="A631" i="15" s="1"/>
  <c r="H631" i="15"/>
  <c r="B632" i="15"/>
  <c r="A632" i="15" s="1"/>
  <c r="H632" i="15"/>
  <c r="B633" i="15"/>
  <c r="A633" i="15" s="1"/>
  <c r="H633" i="15"/>
  <c r="B634" i="15"/>
  <c r="A634" i="15" s="1"/>
  <c r="H634" i="15"/>
  <c r="H626" i="15"/>
  <c r="B626" i="15"/>
  <c r="A626" i="15" s="1"/>
  <c r="B625" i="15"/>
  <c r="A625" i="15" s="1"/>
  <c r="C625" i="15"/>
  <c r="AM625" i="15" s="1"/>
  <c r="G625" i="15"/>
  <c r="H625" i="15"/>
  <c r="B621" i="15"/>
  <c r="A621" i="15" s="1"/>
  <c r="C621" i="15"/>
  <c r="AM621" i="15" s="1"/>
  <c r="G621" i="15"/>
  <c r="H621" i="15"/>
  <c r="B622" i="15"/>
  <c r="A622" i="15" s="1"/>
  <c r="C622" i="15"/>
  <c r="AM622" i="15" s="1"/>
  <c r="G622" i="15"/>
  <c r="H622" i="15"/>
  <c r="B623" i="15"/>
  <c r="A623" i="15" s="1"/>
  <c r="C623" i="15"/>
  <c r="AM623" i="15" s="1"/>
  <c r="G623" i="15"/>
  <c r="H623" i="15"/>
  <c r="B624" i="15"/>
  <c r="A624" i="15" s="1"/>
  <c r="C624" i="15"/>
  <c r="AM624" i="15" s="1"/>
  <c r="G624" i="15"/>
  <c r="H624" i="15"/>
  <c r="H620" i="15"/>
  <c r="G620" i="15"/>
  <c r="C620" i="15"/>
  <c r="AM620" i="15" s="1"/>
  <c r="B620" i="15"/>
  <c r="A620" i="15" s="1"/>
  <c r="H619" i="15"/>
  <c r="H618" i="15"/>
  <c r="G619" i="15"/>
  <c r="G618" i="15"/>
  <c r="C619" i="15"/>
  <c r="AM619" i="15" s="1"/>
  <c r="C618" i="15"/>
  <c r="AM618" i="15" s="1"/>
  <c r="B619" i="15"/>
  <c r="A619" i="15" s="1"/>
  <c r="B617" i="15"/>
  <c r="A617" i="15" s="1"/>
  <c r="AB601" i="15"/>
  <c r="AB602" i="15"/>
  <c r="AB603" i="15"/>
  <c r="AB613" i="15"/>
  <c r="AB600" i="15"/>
  <c r="X601" i="15"/>
  <c r="Z601" i="15" s="1"/>
  <c r="X602" i="15"/>
  <c r="Z602" i="15" s="1"/>
  <c r="X603" i="15"/>
  <c r="Z603" i="15" s="1"/>
  <c r="X604" i="15"/>
  <c r="Z604" i="15" s="1"/>
  <c r="X605" i="15"/>
  <c r="Z605" i="15" s="1"/>
  <c r="X606" i="15"/>
  <c r="Z606" i="15" s="1"/>
  <c r="X607" i="15"/>
  <c r="Z607" i="15" s="1"/>
  <c r="X608" i="15"/>
  <c r="Z608" i="15" s="1"/>
  <c r="X609" i="15"/>
  <c r="Z609" i="15" s="1"/>
  <c r="X612" i="15"/>
  <c r="Z612" i="15" s="1"/>
  <c r="X613" i="15"/>
  <c r="Z613" i="15" s="1"/>
  <c r="X600" i="15"/>
  <c r="Z600" i="15" s="1"/>
  <c r="H601" i="15"/>
  <c r="H602" i="15"/>
  <c r="H603" i="15"/>
  <c r="H604" i="15"/>
  <c r="H605" i="15"/>
  <c r="H606" i="15"/>
  <c r="H607" i="15"/>
  <c r="H608" i="15"/>
  <c r="H609" i="15"/>
  <c r="H612" i="15"/>
  <c r="H613" i="15"/>
  <c r="H600" i="15"/>
  <c r="G601" i="15"/>
  <c r="G602" i="15"/>
  <c r="G603" i="15"/>
  <c r="G604" i="15"/>
  <c r="G605" i="15"/>
  <c r="G606" i="15"/>
  <c r="G607" i="15"/>
  <c r="G608" i="15"/>
  <c r="G609" i="15"/>
  <c r="G612" i="15"/>
  <c r="G613" i="15"/>
  <c r="G600" i="15"/>
  <c r="C601" i="15"/>
  <c r="AM601" i="15" s="1"/>
  <c r="C602" i="15"/>
  <c r="AM602" i="15" s="1"/>
  <c r="C603" i="15"/>
  <c r="AM603" i="15" s="1"/>
  <c r="C604" i="15"/>
  <c r="AM604" i="15" s="1"/>
  <c r="C605" i="15"/>
  <c r="AM605" i="15" s="1"/>
  <c r="C606" i="15"/>
  <c r="AM606" i="15" s="1"/>
  <c r="C607" i="15"/>
  <c r="AM607" i="15" s="1"/>
  <c r="C608" i="15"/>
  <c r="AM608" i="15" s="1"/>
  <c r="C609" i="15"/>
  <c r="AM609" i="15" s="1"/>
  <c r="C612" i="15"/>
  <c r="AM612" i="15" s="1"/>
  <c r="C613" i="15"/>
  <c r="AM613" i="15" s="1"/>
  <c r="C600" i="15"/>
  <c r="AM600" i="15" s="1"/>
  <c r="B601" i="15"/>
  <c r="A601" i="15" s="1"/>
  <c r="B602" i="15"/>
  <c r="A602" i="15" s="1"/>
  <c r="B603" i="15"/>
  <c r="A603" i="15" s="1"/>
  <c r="B604" i="15"/>
  <c r="A604" i="15" s="1"/>
  <c r="B605" i="15"/>
  <c r="A605" i="15" s="1"/>
  <c r="B606" i="15"/>
  <c r="A606" i="15" s="1"/>
  <c r="B607" i="15"/>
  <c r="A607" i="15" s="1"/>
  <c r="B608" i="15"/>
  <c r="A608" i="15" s="1"/>
  <c r="B609" i="15"/>
  <c r="A609" i="15" s="1"/>
  <c r="B612" i="15"/>
  <c r="A612" i="15" s="1"/>
  <c r="B613" i="15"/>
  <c r="A613" i="15" s="1"/>
  <c r="B600" i="15"/>
  <c r="A600" i="15" s="1"/>
  <c r="H599" i="15"/>
  <c r="G599" i="15"/>
  <c r="D599" i="15"/>
  <c r="C599" i="15"/>
  <c r="AM599" i="15" s="1"/>
  <c r="B599" i="15"/>
  <c r="A599" i="15" s="1"/>
  <c r="H598" i="15"/>
  <c r="H597" i="15"/>
  <c r="G597" i="15"/>
  <c r="C598" i="15"/>
  <c r="AM598" i="15" s="1"/>
  <c r="C597" i="15"/>
  <c r="AM597" i="15" s="1"/>
  <c r="B598" i="15"/>
  <c r="A598" i="15" s="1"/>
  <c r="B597" i="15"/>
  <c r="A597" i="15" s="1"/>
  <c r="H588" i="15"/>
  <c r="H589" i="15"/>
  <c r="H590" i="15"/>
  <c r="H591" i="15"/>
  <c r="H592" i="15"/>
  <c r="H593" i="15"/>
  <c r="H594" i="15"/>
  <c r="H595" i="15"/>
  <c r="H596" i="15"/>
  <c r="H587" i="15"/>
  <c r="G588" i="15"/>
  <c r="G589" i="15"/>
  <c r="G590" i="15"/>
  <c r="G591" i="15"/>
  <c r="G592" i="15"/>
  <c r="G593" i="15"/>
  <c r="G594" i="15"/>
  <c r="G595" i="15"/>
  <c r="G596" i="15"/>
  <c r="G587" i="15"/>
  <c r="C588" i="15"/>
  <c r="AM588" i="15" s="1"/>
  <c r="C589" i="15"/>
  <c r="AM589" i="15" s="1"/>
  <c r="C590" i="15"/>
  <c r="AM590" i="15" s="1"/>
  <c r="C591" i="15"/>
  <c r="AM591" i="15" s="1"/>
  <c r="C592" i="15"/>
  <c r="AM592" i="15" s="1"/>
  <c r="C593" i="15"/>
  <c r="AM593" i="15" s="1"/>
  <c r="C594" i="15"/>
  <c r="AM594" i="15" s="1"/>
  <c r="C595" i="15"/>
  <c r="AM595" i="15" s="1"/>
  <c r="C596" i="15"/>
  <c r="AM596" i="15" s="1"/>
  <c r="C587" i="15"/>
  <c r="AM587" i="15" s="1"/>
  <c r="B588" i="15"/>
  <c r="A588" i="15" s="1"/>
  <c r="B589" i="15"/>
  <c r="A589" i="15" s="1"/>
  <c r="B590" i="15"/>
  <c r="A590" i="15" s="1"/>
  <c r="B591" i="15"/>
  <c r="A591" i="15" s="1"/>
  <c r="B592" i="15"/>
  <c r="A592" i="15" s="1"/>
  <c r="B593" i="15"/>
  <c r="A593" i="15" s="1"/>
  <c r="B594" i="15"/>
  <c r="A594" i="15" s="1"/>
  <c r="B595" i="15"/>
  <c r="A595" i="15" s="1"/>
  <c r="B596" i="15"/>
  <c r="A596" i="15" s="1"/>
  <c r="B587" i="15"/>
  <c r="A587" i="15" s="1"/>
  <c r="P582" i="15"/>
  <c r="P581" i="15"/>
  <c r="P580" i="15"/>
  <c r="P579" i="15"/>
  <c r="P578" i="15"/>
  <c r="J578" i="15"/>
  <c r="J579" i="15"/>
  <c r="J580" i="15"/>
  <c r="J581" i="15"/>
  <c r="J582" i="15"/>
  <c r="H578" i="15"/>
  <c r="H579" i="15"/>
  <c r="H580" i="15"/>
  <c r="H581" i="15"/>
  <c r="H582" i="15"/>
  <c r="G579" i="15"/>
  <c r="G581" i="15"/>
  <c r="C578" i="15"/>
  <c r="AM578" i="15" s="1"/>
  <c r="C579" i="15"/>
  <c r="AM579" i="15" s="1"/>
  <c r="C580" i="15"/>
  <c r="AM580" i="15" s="1"/>
  <c r="C581" i="15"/>
  <c r="AM581" i="15" s="1"/>
  <c r="C582" i="15"/>
  <c r="AM582" i="15" s="1"/>
  <c r="B578" i="15"/>
  <c r="A578" i="15" s="1"/>
  <c r="B579" i="15"/>
  <c r="A579" i="15" s="1"/>
  <c r="B580" i="15"/>
  <c r="A580" i="15" s="1"/>
  <c r="B581" i="15"/>
  <c r="A581" i="15" s="1"/>
  <c r="B582" i="15"/>
  <c r="A582" i="15" s="1"/>
  <c r="J553" i="15"/>
  <c r="J547" i="15"/>
  <c r="J541" i="15"/>
  <c r="J535" i="15"/>
  <c r="J552" i="15"/>
  <c r="J546" i="15"/>
  <c r="J540" i="15"/>
  <c r="J534" i="15"/>
  <c r="J551" i="15"/>
  <c r="J545" i="15"/>
  <c r="J539" i="15"/>
  <c r="J533" i="15"/>
  <c r="J550" i="15"/>
  <c r="J544" i="15"/>
  <c r="J538" i="15"/>
  <c r="J532" i="15"/>
  <c r="J549" i="15"/>
  <c r="J543" i="15"/>
  <c r="J537" i="15"/>
  <c r="J531" i="15"/>
  <c r="J548" i="15"/>
  <c r="J542" i="15"/>
  <c r="J536" i="15"/>
  <c r="J530" i="15"/>
  <c r="P553" i="15"/>
  <c r="P547" i="15"/>
  <c r="P541" i="15"/>
  <c r="P535" i="15"/>
  <c r="P552" i="15"/>
  <c r="P546" i="15"/>
  <c r="P540" i="15"/>
  <c r="P534" i="15"/>
  <c r="P551" i="15"/>
  <c r="P545" i="15"/>
  <c r="P539" i="15"/>
  <c r="P533" i="15"/>
  <c r="P550" i="15"/>
  <c r="P544" i="15"/>
  <c r="P538" i="15"/>
  <c r="P532" i="15"/>
  <c r="P549" i="15"/>
  <c r="P543" i="15"/>
  <c r="P537" i="15"/>
  <c r="P531" i="15"/>
  <c r="P548" i="15"/>
  <c r="P542" i="15"/>
  <c r="P536" i="15"/>
  <c r="P530" i="15"/>
  <c r="G536" i="15"/>
  <c r="H536" i="15"/>
  <c r="G542" i="15"/>
  <c r="H542" i="15"/>
  <c r="G548" i="15"/>
  <c r="H548" i="15"/>
  <c r="G531" i="15"/>
  <c r="H531" i="15"/>
  <c r="G537" i="15"/>
  <c r="H537" i="15"/>
  <c r="G543" i="15"/>
  <c r="H543" i="15"/>
  <c r="G549" i="15"/>
  <c r="H549" i="15"/>
  <c r="G532" i="15"/>
  <c r="H532" i="15"/>
  <c r="G538" i="15"/>
  <c r="H538" i="15"/>
  <c r="G544" i="15"/>
  <c r="H544" i="15"/>
  <c r="G550" i="15"/>
  <c r="H550" i="15"/>
  <c r="G533" i="15"/>
  <c r="H533" i="15"/>
  <c r="G539" i="15"/>
  <c r="H539" i="15"/>
  <c r="G545" i="15"/>
  <c r="H545" i="15"/>
  <c r="G551" i="15"/>
  <c r="H551" i="15"/>
  <c r="G534" i="15"/>
  <c r="H534" i="15"/>
  <c r="G540" i="15"/>
  <c r="H540" i="15"/>
  <c r="G546" i="15"/>
  <c r="H546" i="15"/>
  <c r="G552" i="15"/>
  <c r="H552" i="15"/>
  <c r="G535" i="15"/>
  <c r="H535" i="15"/>
  <c r="G541" i="15"/>
  <c r="H541" i="15"/>
  <c r="G547" i="15"/>
  <c r="H547" i="15"/>
  <c r="G553" i="15"/>
  <c r="H553" i="15"/>
  <c r="H530" i="15"/>
  <c r="G530" i="15"/>
  <c r="C536" i="15"/>
  <c r="AM536" i="15" s="1"/>
  <c r="C542" i="15"/>
  <c r="AM542" i="15" s="1"/>
  <c r="C548" i="15"/>
  <c r="AM548" i="15" s="1"/>
  <c r="C531" i="15"/>
  <c r="AM531" i="15" s="1"/>
  <c r="C537" i="15"/>
  <c r="AM537" i="15" s="1"/>
  <c r="C543" i="15"/>
  <c r="AM543" i="15" s="1"/>
  <c r="C549" i="15"/>
  <c r="AM549" i="15" s="1"/>
  <c r="C532" i="15"/>
  <c r="AM532" i="15" s="1"/>
  <c r="C538" i="15"/>
  <c r="AM538" i="15" s="1"/>
  <c r="C544" i="15"/>
  <c r="AM544" i="15" s="1"/>
  <c r="C550" i="15"/>
  <c r="AM550" i="15" s="1"/>
  <c r="C533" i="15"/>
  <c r="AM533" i="15" s="1"/>
  <c r="C539" i="15"/>
  <c r="AM539" i="15" s="1"/>
  <c r="C545" i="15"/>
  <c r="AM545" i="15" s="1"/>
  <c r="C551" i="15"/>
  <c r="AM551" i="15" s="1"/>
  <c r="C534" i="15"/>
  <c r="AM534" i="15" s="1"/>
  <c r="C540" i="15"/>
  <c r="AM540" i="15" s="1"/>
  <c r="C546" i="15"/>
  <c r="AM546" i="15" s="1"/>
  <c r="C552" i="15"/>
  <c r="AM552" i="15" s="1"/>
  <c r="C535" i="15"/>
  <c r="AM535" i="15" s="1"/>
  <c r="C541" i="15"/>
  <c r="AM541" i="15" s="1"/>
  <c r="C547" i="15"/>
  <c r="AM547" i="15" s="1"/>
  <c r="C553" i="15"/>
  <c r="AM553" i="15" s="1"/>
  <c r="C530" i="15"/>
  <c r="AM530" i="15" s="1"/>
  <c r="B535" i="15"/>
  <c r="A535" i="15" s="1"/>
  <c r="B541" i="15"/>
  <c r="A541" i="15" s="1"/>
  <c r="B547" i="15"/>
  <c r="A547" i="15" s="1"/>
  <c r="B553" i="15"/>
  <c r="A553" i="15" s="1"/>
  <c r="B536" i="15"/>
  <c r="A536" i="15" s="1"/>
  <c r="B542" i="15"/>
  <c r="A542" i="15" s="1"/>
  <c r="B548" i="15"/>
  <c r="A548" i="15" s="1"/>
  <c r="B531" i="15"/>
  <c r="A531" i="15" s="1"/>
  <c r="B537" i="15"/>
  <c r="A537" i="15" s="1"/>
  <c r="B543" i="15"/>
  <c r="A543" i="15" s="1"/>
  <c r="B549" i="15"/>
  <c r="A549" i="15" s="1"/>
  <c r="B532" i="15"/>
  <c r="A532" i="15" s="1"/>
  <c r="B538" i="15"/>
  <c r="A538" i="15" s="1"/>
  <c r="B544" i="15"/>
  <c r="A544" i="15" s="1"/>
  <c r="B550" i="15"/>
  <c r="A550" i="15" s="1"/>
  <c r="B533" i="15"/>
  <c r="A533" i="15" s="1"/>
  <c r="B539" i="15"/>
  <c r="A539" i="15" s="1"/>
  <c r="B545" i="15"/>
  <c r="A545" i="15" s="1"/>
  <c r="B551" i="15"/>
  <c r="A551" i="15" s="1"/>
  <c r="B534" i="15"/>
  <c r="A534" i="15" s="1"/>
  <c r="B540" i="15"/>
  <c r="A540" i="15" s="1"/>
  <c r="B546" i="15"/>
  <c r="A546" i="15" s="1"/>
  <c r="B552" i="15"/>
  <c r="A552" i="15" s="1"/>
  <c r="B530" i="15"/>
  <c r="A530" i="15" s="1"/>
  <c r="H529" i="15"/>
  <c r="H528" i="15"/>
  <c r="G529" i="15"/>
  <c r="G528" i="15"/>
  <c r="D528" i="15"/>
  <c r="C529" i="15"/>
  <c r="AM529" i="15" s="1"/>
  <c r="D529" i="15"/>
  <c r="C528" i="15"/>
  <c r="AM528" i="15" s="1"/>
  <c r="B529" i="15"/>
  <c r="A529" i="15" s="1"/>
  <c r="B528" i="15"/>
  <c r="A528" i="15" s="1"/>
  <c r="X519" i="15"/>
  <c r="Z519" i="15" s="1"/>
  <c r="X520" i="15"/>
  <c r="Z520" i="15" s="1"/>
  <c r="X522" i="15"/>
  <c r="Z522" i="15" s="1"/>
  <c r="X523" i="15"/>
  <c r="Z523" i="15" s="1"/>
  <c r="X525" i="15"/>
  <c r="Z525" i="15" s="1"/>
  <c r="X526" i="15"/>
  <c r="Z526" i="15" s="1"/>
  <c r="AB519" i="15"/>
  <c r="AB520" i="15"/>
  <c r="AB522" i="15"/>
  <c r="AB523" i="15"/>
  <c r="AB525" i="15"/>
  <c r="AB517" i="15"/>
  <c r="X517" i="15"/>
  <c r="Z517" i="15" s="1"/>
  <c r="H519" i="15"/>
  <c r="H520" i="15"/>
  <c r="H522" i="15"/>
  <c r="H523" i="15"/>
  <c r="H525" i="15"/>
  <c r="H526" i="15"/>
  <c r="H517" i="15"/>
  <c r="G519" i="15"/>
  <c r="G520" i="15"/>
  <c r="G522" i="15"/>
  <c r="G523" i="15"/>
  <c r="G525" i="15"/>
  <c r="G526" i="15"/>
  <c r="G517" i="15"/>
  <c r="C519" i="15"/>
  <c r="AM519" i="15" s="1"/>
  <c r="C520" i="15"/>
  <c r="AM520" i="15" s="1"/>
  <c r="C522" i="15"/>
  <c r="AM522" i="15" s="1"/>
  <c r="C523" i="15"/>
  <c r="AM523" i="15" s="1"/>
  <c r="C525" i="15"/>
  <c r="AM525" i="15" s="1"/>
  <c r="C526" i="15"/>
  <c r="AM526" i="15" s="1"/>
  <c r="C517" i="15"/>
  <c r="AM517" i="15" s="1"/>
  <c r="B519" i="15"/>
  <c r="A519" i="15" s="1"/>
  <c r="B520" i="15"/>
  <c r="A520" i="15" s="1"/>
  <c r="B522" i="15"/>
  <c r="A522" i="15" s="1"/>
  <c r="B523" i="15"/>
  <c r="A523" i="15" s="1"/>
  <c r="B525" i="15"/>
  <c r="A525" i="15" s="1"/>
  <c r="B526" i="15"/>
  <c r="A526" i="15" s="1"/>
  <c r="B517" i="15"/>
  <c r="A517" i="15" s="1"/>
  <c r="X493" i="15"/>
  <c r="Z493" i="15" s="1"/>
  <c r="X494" i="15"/>
  <c r="Z494" i="15" s="1"/>
  <c r="X495" i="15"/>
  <c r="Z495" i="15" s="1"/>
  <c r="X496" i="15"/>
  <c r="Z496" i="15" s="1"/>
  <c r="X498" i="15"/>
  <c r="Z498" i="15" s="1"/>
  <c r="X499" i="15"/>
  <c r="Z499" i="15" s="1"/>
  <c r="X500" i="15"/>
  <c r="Z500" i="15" s="1"/>
  <c r="X501" i="15"/>
  <c r="Z501" i="15" s="1"/>
  <c r="X502" i="15"/>
  <c r="Z502" i="15" s="1"/>
  <c r="X503" i="15"/>
  <c r="Z503" i="15" s="1"/>
  <c r="X504" i="15"/>
  <c r="Z504" i="15" s="1"/>
  <c r="X505" i="15"/>
  <c r="Z505" i="15" s="1"/>
  <c r="X506" i="15"/>
  <c r="Z506" i="15" s="1"/>
  <c r="X507" i="15"/>
  <c r="Z507" i="15" s="1"/>
  <c r="X508" i="15"/>
  <c r="Z508" i="15" s="1"/>
  <c r="X509" i="15"/>
  <c r="Z509" i="15" s="1"/>
  <c r="X511" i="15"/>
  <c r="Z511" i="15" s="1"/>
  <c r="X512" i="15"/>
  <c r="Z512" i="15" s="1"/>
  <c r="X513" i="15"/>
  <c r="Z513" i="15" s="1"/>
  <c r="X492" i="15"/>
  <c r="Z492" i="15" s="1"/>
  <c r="H493" i="15"/>
  <c r="H494" i="15"/>
  <c r="H495" i="15"/>
  <c r="H496" i="15"/>
  <c r="H498" i="15"/>
  <c r="H499" i="15"/>
  <c r="H500" i="15"/>
  <c r="H501" i="15"/>
  <c r="H502" i="15"/>
  <c r="H503" i="15"/>
  <c r="H504" i="15"/>
  <c r="H505" i="15"/>
  <c r="H506" i="15"/>
  <c r="H507" i="15"/>
  <c r="H508" i="15"/>
  <c r="H509" i="15"/>
  <c r="H511" i="15"/>
  <c r="H512" i="15"/>
  <c r="H513" i="15"/>
  <c r="H492" i="15"/>
  <c r="G493" i="15"/>
  <c r="G494" i="15"/>
  <c r="G495" i="15"/>
  <c r="G496" i="15"/>
  <c r="G498" i="15"/>
  <c r="G499" i="15"/>
  <c r="G500" i="15"/>
  <c r="G501" i="15"/>
  <c r="G502" i="15"/>
  <c r="G503" i="15"/>
  <c r="G504" i="15"/>
  <c r="G505" i="15"/>
  <c r="G506" i="15"/>
  <c r="G507" i="15"/>
  <c r="G508" i="15"/>
  <c r="G509" i="15"/>
  <c r="G511" i="15"/>
  <c r="G512" i="15"/>
  <c r="G513" i="15"/>
  <c r="G492" i="15"/>
  <c r="C493" i="15"/>
  <c r="AM493" i="15" s="1"/>
  <c r="C494" i="15"/>
  <c r="AM494" i="15" s="1"/>
  <c r="C495" i="15"/>
  <c r="AM495" i="15" s="1"/>
  <c r="C496" i="15"/>
  <c r="AM496" i="15" s="1"/>
  <c r="C498" i="15"/>
  <c r="AM498" i="15" s="1"/>
  <c r="C499" i="15"/>
  <c r="AM499" i="15" s="1"/>
  <c r="C500" i="15"/>
  <c r="AM500" i="15" s="1"/>
  <c r="C501" i="15"/>
  <c r="AM501" i="15" s="1"/>
  <c r="C502" i="15"/>
  <c r="AM502" i="15" s="1"/>
  <c r="C503" i="15"/>
  <c r="AM503" i="15" s="1"/>
  <c r="C504" i="15"/>
  <c r="AM504" i="15" s="1"/>
  <c r="C505" i="15"/>
  <c r="AM505" i="15" s="1"/>
  <c r="C506" i="15"/>
  <c r="AM506" i="15" s="1"/>
  <c r="C507" i="15"/>
  <c r="AM507" i="15" s="1"/>
  <c r="C508" i="15"/>
  <c r="AM508" i="15" s="1"/>
  <c r="C509" i="15"/>
  <c r="AM509" i="15" s="1"/>
  <c r="C511" i="15"/>
  <c r="AM511" i="15" s="1"/>
  <c r="C512" i="15"/>
  <c r="AM512" i="15" s="1"/>
  <c r="C513" i="15"/>
  <c r="AM513" i="15" s="1"/>
  <c r="C492" i="15"/>
  <c r="AM492" i="15" s="1"/>
  <c r="B493" i="15"/>
  <c r="A493" i="15" s="1"/>
  <c r="B494" i="15"/>
  <c r="A494" i="15" s="1"/>
  <c r="B495" i="15"/>
  <c r="A495" i="15" s="1"/>
  <c r="B496" i="15"/>
  <c r="A496" i="15" s="1"/>
  <c r="B498" i="15"/>
  <c r="A498" i="15" s="1"/>
  <c r="B499" i="15"/>
  <c r="A499" i="15" s="1"/>
  <c r="B500" i="15"/>
  <c r="A500" i="15" s="1"/>
  <c r="B501" i="15"/>
  <c r="A501" i="15" s="1"/>
  <c r="B502" i="15"/>
  <c r="A502" i="15" s="1"/>
  <c r="B503" i="15"/>
  <c r="A503" i="15" s="1"/>
  <c r="B504" i="15"/>
  <c r="A504" i="15" s="1"/>
  <c r="B505" i="15"/>
  <c r="A505" i="15" s="1"/>
  <c r="B506" i="15"/>
  <c r="A506" i="15" s="1"/>
  <c r="B507" i="15"/>
  <c r="A507" i="15" s="1"/>
  <c r="B508" i="15"/>
  <c r="A508" i="15" s="1"/>
  <c r="B509" i="15"/>
  <c r="A509" i="15" s="1"/>
  <c r="B511" i="15"/>
  <c r="A511" i="15" s="1"/>
  <c r="B512" i="15"/>
  <c r="A512" i="15" s="1"/>
  <c r="B513" i="15"/>
  <c r="A513" i="15" s="1"/>
  <c r="B492" i="15"/>
  <c r="A492" i="15" s="1"/>
  <c r="H491" i="15"/>
  <c r="G491" i="15"/>
  <c r="C491" i="15"/>
  <c r="AM491" i="15" s="1"/>
  <c r="B491" i="15"/>
  <c r="A491" i="15" s="1"/>
  <c r="H490" i="15"/>
  <c r="G490" i="15"/>
  <c r="C490" i="15"/>
  <c r="AM490" i="15" s="1"/>
  <c r="B490" i="15"/>
  <c r="A490" i="15" s="1"/>
  <c r="H489" i="15"/>
  <c r="G489" i="15"/>
  <c r="C489" i="15"/>
  <c r="AM489" i="15" s="1"/>
  <c r="B489" i="15"/>
  <c r="A489" i="15" s="1"/>
  <c r="C488" i="15"/>
  <c r="AM488" i="15" s="1"/>
  <c r="G488" i="15"/>
  <c r="H488" i="15"/>
  <c r="H487" i="15"/>
  <c r="G487" i="15"/>
  <c r="C487" i="15"/>
  <c r="AM487" i="15" s="1"/>
  <c r="B488" i="15"/>
  <c r="A488" i="15" s="1"/>
  <c r="B487" i="15"/>
  <c r="A487" i="15" s="1"/>
  <c r="P486" i="15"/>
  <c r="P485" i="15"/>
  <c r="P484" i="15"/>
  <c r="P483" i="15"/>
  <c r="P482" i="15"/>
  <c r="P481" i="15"/>
  <c r="P480" i="15"/>
  <c r="P479" i="15"/>
  <c r="P478" i="15"/>
  <c r="P477" i="15"/>
  <c r="P476" i="15"/>
  <c r="P475" i="15"/>
  <c r="J486" i="15"/>
  <c r="J485" i="15"/>
  <c r="J484" i="15"/>
  <c r="J483" i="15"/>
  <c r="J482" i="15"/>
  <c r="J481" i="15"/>
  <c r="J480" i="15"/>
  <c r="J479" i="15"/>
  <c r="J478" i="15"/>
  <c r="J477" i="15"/>
  <c r="J476" i="15"/>
  <c r="J475" i="15"/>
  <c r="L481" i="15"/>
  <c r="L482" i="15"/>
  <c r="L483" i="15"/>
  <c r="H476" i="15"/>
  <c r="H477" i="15"/>
  <c r="H478" i="15"/>
  <c r="H479" i="15"/>
  <c r="H480" i="15"/>
  <c r="H481" i="15"/>
  <c r="H482" i="15"/>
  <c r="H483" i="15"/>
  <c r="H484" i="15"/>
  <c r="H485" i="15"/>
  <c r="H486" i="15"/>
  <c r="H475" i="15"/>
  <c r="G477" i="15"/>
  <c r="G478" i="15"/>
  <c r="G480" i="15"/>
  <c r="G481" i="15"/>
  <c r="G483" i="15"/>
  <c r="G484" i="15"/>
  <c r="G486" i="15"/>
  <c r="G475" i="15"/>
  <c r="D475" i="15"/>
  <c r="C476" i="15"/>
  <c r="AM476" i="15" s="1"/>
  <c r="D476" i="15"/>
  <c r="C477" i="15"/>
  <c r="AM477" i="15" s="1"/>
  <c r="D477" i="15"/>
  <c r="C478" i="15"/>
  <c r="AM478" i="15" s="1"/>
  <c r="D478" i="15"/>
  <c r="C479" i="15"/>
  <c r="AM479" i="15" s="1"/>
  <c r="D479" i="15"/>
  <c r="C480" i="15"/>
  <c r="AM480" i="15" s="1"/>
  <c r="D480" i="15"/>
  <c r="C481" i="15"/>
  <c r="AM481" i="15" s="1"/>
  <c r="D481" i="15"/>
  <c r="C482" i="15"/>
  <c r="AM482" i="15" s="1"/>
  <c r="D482" i="15"/>
  <c r="C483" i="15"/>
  <c r="AM483" i="15" s="1"/>
  <c r="D483" i="15"/>
  <c r="C484" i="15"/>
  <c r="AM484" i="15" s="1"/>
  <c r="D484" i="15"/>
  <c r="C485" i="15"/>
  <c r="AM485" i="15" s="1"/>
  <c r="D485" i="15"/>
  <c r="C486" i="15"/>
  <c r="AM486" i="15" s="1"/>
  <c r="D486" i="15"/>
  <c r="C475" i="15"/>
  <c r="AM475" i="15" s="1"/>
  <c r="B476" i="15"/>
  <c r="A476" i="15" s="1"/>
  <c r="B477" i="15"/>
  <c r="A477" i="15" s="1"/>
  <c r="B478" i="15"/>
  <c r="A478" i="15" s="1"/>
  <c r="B479" i="15"/>
  <c r="A479" i="15" s="1"/>
  <c r="B480" i="15"/>
  <c r="A480" i="15" s="1"/>
  <c r="B481" i="15"/>
  <c r="A481" i="15" s="1"/>
  <c r="B482" i="15"/>
  <c r="A482" i="15" s="1"/>
  <c r="B483" i="15"/>
  <c r="A483" i="15" s="1"/>
  <c r="B484" i="15"/>
  <c r="A484" i="15" s="1"/>
  <c r="B485" i="15"/>
  <c r="A485" i="15" s="1"/>
  <c r="B486" i="15"/>
  <c r="A486" i="15" s="1"/>
  <c r="B475" i="15"/>
  <c r="A475" i="15" s="1"/>
  <c r="H473" i="15"/>
  <c r="H474" i="15"/>
  <c r="H472" i="15"/>
  <c r="G473" i="15"/>
  <c r="G474" i="15"/>
  <c r="G472" i="15"/>
  <c r="C473" i="15"/>
  <c r="AM473" i="15" s="1"/>
  <c r="C474" i="15"/>
  <c r="AM474" i="15" s="1"/>
  <c r="C472" i="15"/>
  <c r="AM472" i="15" s="1"/>
  <c r="B473" i="15"/>
  <c r="A473" i="15" s="1"/>
  <c r="B474" i="15"/>
  <c r="A474" i="15" s="1"/>
  <c r="B472" i="15"/>
  <c r="A472" i="15" s="1"/>
  <c r="AB471" i="15"/>
  <c r="H468" i="15"/>
  <c r="H469" i="15"/>
  <c r="H470" i="15"/>
  <c r="H471" i="15"/>
  <c r="H467" i="15"/>
  <c r="G468" i="15"/>
  <c r="G469" i="15"/>
  <c r="G470" i="15"/>
  <c r="G471" i="15"/>
  <c r="G467" i="15"/>
  <c r="C468" i="15"/>
  <c r="AM468" i="15" s="1"/>
  <c r="C469" i="15"/>
  <c r="AM469" i="15" s="1"/>
  <c r="C470" i="15"/>
  <c r="AM470" i="15" s="1"/>
  <c r="C471" i="15"/>
  <c r="AM471" i="15" s="1"/>
  <c r="C467" i="15"/>
  <c r="AM467" i="15" s="1"/>
  <c r="B468" i="15"/>
  <c r="A468" i="15" s="1"/>
  <c r="B469" i="15"/>
  <c r="A469" i="15" s="1"/>
  <c r="B470" i="15"/>
  <c r="A470" i="15" s="1"/>
  <c r="B471" i="15"/>
  <c r="A471" i="15" s="1"/>
  <c r="B467" i="15"/>
  <c r="A467" i="15" s="1"/>
  <c r="H461" i="15"/>
  <c r="H462" i="15"/>
  <c r="H459" i="15"/>
  <c r="G461" i="15"/>
  <c r="G462" i="15"/>
  <c r="G459" i="15"/>
  <c r="B461" i="15"/>
  <c r="A461" i="15" s="1"/>
  <c r="B462" i="15"/>
  <c r="A462" i="15" s="1"/>
  <c r="B459" i="15"/>
  <c r="A459" i="15" s="1"/>
  <c r="C461" i="15"/>
  <c r="AM461" i="15" s="1"/>
  <c r="C462" i="15"/>
  <c r="AM462" i="15" s="1"/>
  <c r="C459" i="15"/>
  <c r="AM459" i="15" s="1"/>
  <c r="J390" i="15"/>
  <c r="J391" i="15"/>
  <c r="J392" i="15"/>
  <c r="J393" i="15"/>
  <c r="J394" i="15"/>
  <c r="J395" i="15"/>
  <c r="J396" i="15"/>
  <c r="J397" i="15"/>
  <c r="J398" i="15"/>
  <c r="J399" i="15"/>
  <c r="J400" i="15"/>
  <c r="J401" i="15"/>
  <c r="J402" i="15"/>
  <c r="J403" i="15"/>
  <c r="J404" i="15"/>
  <c r="J405" i="15"/>
  <c r="J406" i="15"/>
  <c r="J407" i="15"/>
  <c r="J408" i="15"/>
  <c r="J409" i="15"/>
  <c r="J410" i="15"/>
  <c r="J411" i="15"/>
  <c r="J412" i="15"/>
  <c r="J413" i="15"/>
  <c r="J414" i="15"/>
  <c r="J415" i="15"/>
  <c r="J416" i="15"/>
  <c r="J417" i="15"/>
  <c r="J418" i="15"/>
  <c r="J419" i="15"/>
  <c r="J420" i="15"/>
  <c r="J421" i="15"/>
  <c r="J422" i="15"/>
  <c r="J426" i="15"/>
  <c r="J427" i="15"/>
  <c r="J428" i="15"/>
  <c r="J429" i="15"/>
  <c r="J430" i="15"/>
  <c r="J431" i="15"/>
  <c r="J432" i="15"/>
  <c r="J435" i="15"/>
  <c r="J436" i="15"/>
  <c r="J446" i="15"/>
  <c r="J447" i="15"/>
  <c r="J448" i="15"/>
  <c r="J449" i="15"/>
  <c r="J450" i="15"/>
  <c r="J451" i="15"/>
  <c r="J452" i="15"/>
  <c r="J453" i="15"/>
  <c r="J454" i="15"/>
  <c r="J455" i="15"/>
  <c r="J445" i="15"/>
  <c r="P455" i="15"/>
  <c r="P454" i="15"/>
  <c r="P453" i="15"/>
  <c r="P452" i="15"/>
  <c r="P451" i="15"/>
  <c r="P450" i="15"/>
  <c r="P449" i="15"/>
  <c r="P448" i="15"/>
  <c r="P447" i="15"/>
  <c r="P446" i="15"/>
  <c r="P445" i="15"/>
  <c r="D445" i="15"/>
  <c r="C446" i="15"/>
  <c r="AM446" i="15" s="1"/>
  <c r="G446" i="15"/>
  <c r="H446" i="15"/>
  <c r="D446" i="15"/>
  <c r="C447" i="15"/>
  <c r="AM447" i="15" s="1"/>
  <c r="G447" i="15"/>
  <c r="H447" i="15"/>
  <c r="D447" i="15"/>
  <c r="C448" i="15"/>
  <c r="AM448" i="15" s="1"/>
  <c r="G448" i="15"/>
  <c r="H448" i="15"/>
  <c r="D448" i="15"/>
  <c r="C449" i="15"/>
  <c r="AM449" i="15" s="1"/>
  <c r="H449" i="15"/>
  <c r="D449" i="15"/>
  <c r="C450" i="15"/>
  <c r="AM450" i="15" s="1"/>
  <c r="G450" i="15"/>
  <c r="H450" i="15"/>
  <c r="D450" i="15"/>
  <c r="C451" i="15"/>
  <c r="AM451" i="15" s="1"/>
  <c r="G451" i="15"/>
  <c r="H451" i="15"/>
  <c r="D451" i="15"/>
  <c r="C452" i="15"/>
  <c r="AM452" i="15" s="1"/>
  <c r="H452" i="15"/>
  <c r="D452" i="15"/>
  <c r="C453" i="15"/>
  <c r="AM453" i="15" s="1"/>
  <c r="G453" i="15"/>
  <c r="H453" i="15"/>
  <c r="D453" i="15"/>
  <c r="C454" i="15"/>
  <c r="AM454" i="15" s="1"/>
  <c r="G454" i="15"/>
  <c r="H454" i="15"/>
  <c r="D454" i="15"/>
  <c r="C455" i="15"/>
  <c r="AM455" i="15" s="1"/>
  <c r="H455" i="15"/>
  <c r="D455" i="15"/>
  <c r="H445" i="15"/>
  <c r="G445" i="15"/>
  <c r="C445" i="15"/>
  <c r="AM445" i="15" s="1"/>
  <c r="B455" i="15"/>
  <c r="A455" i="15" s="1"/>
  <c r="B446" i="15"/>
  <c r="A446" i="15" s="1"/>
  <c r="B447" i="15"/>
  <c r="A447" i="15" s="1"/>
  <c r="B448" i="15"/>
  <c r="A448" i="15" s="1"/>
  <c r="B449" i="15"/>
  <c r="A449" i="15" s="1"/>
  <c r="B450" i="15"/>
  <c r="A450" i="15" s="1"/>
  <c r="B451" i="15"/>
  <c r="A451" i="15" s="1"/>
  <c r="B452" i="15"/>
  <c r="A452" i="15" s="1"/>
  <c r="B453" i="15"/>
  <c r="A453" i="15" s="1"/>
  <c r="B454" i="15"/>
  <c r="A454" i="15" s="1"/>
  <c r="B445" i="15"/>
  <c r="A445" i="15" s="1"/>
  <c r="G438" i="15"/>
  <c r="H438" i="15"/>
  <c r="G439" i="15"/>
  <c r="H439" i="15"/>
  <c r="G440" i="15"/>
  <c r="H440" i="15"/>
  <c r="G441" i="15"/>
  <c r="H441" i="15"/>
  <c r="G442" i="15"/>
  <c r="H442" i="15"/>
  <c r="G443" i="15"/>
  <c r="H443" i="15"/>
  <c r="G444" i="15"/>
  <c r="H444" i="15"/>
  <c r="H437" i="15"/>
  <c r="G437" i="15"/>
  <c r="C438" i="15"/>
  <c r="AM438" i="15" s="1"/>
  <c r="C439" i="15"/>
  <c r="AM439" i="15" s="1"/>
  <c r="C440" i="15"/>
  <c r="AM440" i="15" s="1"/>
  <c r="C441" i="15"/>
  <c r="AM441" i="15" s="1"/>
  <c r="C442" i="15"/>
  <c r="AM442" i="15" s="1"/>
  <c r="C443" i="15"/>
  <c r="AM443" i="15" s="1"/>
  <c r="C444" i="15"/>
  <c r="AM444" i="15" s="1"/>
  <c r="C437" i="15"/>
  <c r="AM437" i="15" s="1"/>
  <c r="B443" i="15"/>
  <c r="A443" i="15" s="1"/>
  <c r="B444" i="15"/>
  <c r="A444" i="15" s="1"/>
  <c r="B438" i="15"/>
  <c r="A438" i="15" s="1"/>
  <c r="B439" i="15"/>
  <c r="A439" i="15" s="1"/>
  <c r="B440" i="15"/>
  <c r="A440" i="15" s="1"/>
  <c r="B441" i="15"/>
  <c r="A441" i="15" s="1"/>
  <c r="B442" i="15"/>
  <c r="A442" i="15" s="1"/>
  <c r="B437" i="15"/>
  <c r="A437" i="15" s="1"/>
  <c r="H432" i="15"/>
  <c r="H435" i="15"/>
  <c r="H436" i="15"/>
  <c r="H431" i="15"/>
  <c r="G435" i="15"/>
  <c r="G436" i="15"/>
  <c r="G432" i="15"/>
  <c r="G431" i="15"/>
  <c r="C432" i="15"/>
  <c r="AM432" i="15" s="1"/>
  <c r="C435" i="15"/>
  <c r="AM435" i="15" s="1"/>
  <c r="C436" i="15"/>
  <c r="AM436" i="15" s="1"/>
  <c r="C431" i="15"/>
  <c r="AM431" i="15" s="1"/>
  <c r="B432" i="15"/>
  <c r="A432" i="15" s="1"/>
  <c r="B435" i="15"/>
  <c r="A435" i="15" s="1"/>
  <c r="B436" i="15"/>
  <c r="A436" i="15" s="1"/>
  <c r="B431" i="15"/>
  <c r="A431" i="15" s="1"/>
  <c r="H429" i="15"/>
  <c r="H430" i="15"/>
  <c r="H428" i="15"/>
  <c r="G429" i="15"/>
  <c r="G430" i="15"/>
  <c r="G428" i="15"/>
  <c r="C429" i="15"/>
  <c r="AM429" i="15" s="1"/>
  <c r="C430" i="15"/>
  <c r="AM430" i="15" s="1"/>
  <c r="C428" i="15"/>
  <c r="AM428" i="15" s="1"/>
  <c r="B429" i="15"/>
  <c r="A429" i="15" s="1"/>
  <c r="B430" i="15"/>
  <c r="A430" i="15" s="1"/>
  <c r="B428" i="15"/>
  <c r="A428" i="15" s="1"/>
  <c r="H427" i="15"/>
  <c r="H426" i="15"/>
  <c r="H421" i="15"/>
  <c r="H422" i="15"/>
  <c r="H420" i="15"/>
  <c r="G426" i="15"/>
  <c r="G421" i="15"/>
  <c r="G422" i="15"/>
  <c r="G420" i="15"/>
  <c r="C427" i="15"/>
  <c r="AM427" i="15" s="1"/>
  <c r="C426" i="15"/>
  <c r="AM426" i="15" s="1"/>
  <c r="C421" i="15"/>
  <c r="AM421" i="15" s="1"/>
  <c r="C422" i="15"/>
  <c r="AM422" i="15" s="1"/>
  <c r="C420" i="15"/>
  <c r="AM420" i="15" s="1"/>
  <c r="B427" i="15"/>
  <c r="A427" i="15" s="1"/>
  <c r="B426" i="15"/>
  <c r="A426" i="15" s="1"/>
  <c r="B421" i="15"/>
  <c r="A421" i="15" s="1"/>
  <c r="B422" i="15"/>
  <c r="A422" i="15" s="1"/>
  <c r="B420" i="15"/>
  <c r="A420" i="15" s="1"/>
  <c r="P390" i="15"/>
  <c r="P391" i="15"/>
  <c r="P392" i="15"/>
  <c r="P393" i="15"/>
  <c r="P394" i="15"/>
  <c r="P395" i="15"/>
  <c r="P396" i="15"/>
  <c r="P397" i="15"/>
  <c r="P398" i="15"/>
  <c r="P399" i="15"/>
  <c r="P400" i="15"/>
  <c r="P401" i="15"/>
  <c r="P402" i="15"/>
  <c r="P403" i="15"/>
  <c r="P404" i="15"/>
  <c r="P405" i="15"/>
  <c r="P406" i="15"/>
  <c r="P407" i="15"/>
  <c r="P408" i="15"/>
  <c r="P409" i="15"/>
  <c r="P410" i="15"/>
  <c r="P411" i="15"/>
  <c r="P412" i="15"/>
  <c r="P413" i="15"/>
  <c r="P414" i="15"/>
  <c r="P415" i="15"/>
  <c r="P416" i="15"/>
  <c r="P417" i="15"/>
  <c r="P418" i="15"/>
  <c r="P419" i="15"/>
  <c r="C391" i="15"/>
  <c r="AM391" i="15" s="1"/>
  <c r="G391" i="15"/>
  <c r="H391" i="15"/>
  <c r="C392" i="15"/>
  <c r="AM392" i="15" s="1"/>
  <c r="G392" i="15"/>
  <c r="H392" i="15"/>
  <c r="C393" i="15"/>
  <c r="AM393" i="15" s="1"/>
  <c r="G393" i="15"/>
  <c r="H393" i="15"/>
  <c r="C394" i="15"/>
  <c r="AM394" i="15" s="1"/>
  <c r="G394" i="15"/>
  <c r="H394" i="15"/>
  <c r="C395" i="15"/>
  <c r="AM395" i="15" s="1"/>
  <c r="G395" i="15"/>
  <c r="H395" i="15"/>
  <c r="C396" i="15"/>
  <c r="AM396" i="15" s="1"/>
  <c r="G396" i="15"/>
  <c r="H396" i="15"/>
  <c r="C397" i="15"/>
  <c r="AM397" i="15" s="1"/>
  <c r="G397" i="15"/>
  <c r="H397" i="15"/>
  <c r="C398" i="15"/>
  <c r="AM398" i="15" s="1"/>
  <c r="G398" i="15"/>
  <c r="H398" i="15"/>
  <c r="C399" i="15"/>
  <c r="AM399" i="15" s="1"/>
  <c r="G399" i="15"/>
  <c r="H399" i="15"/>
  <c r="C400" i="15"/>
  <c r="AM400" i="15" s="1"/>
  <c r="G400" i="15"/>
  <c r="H400" i="15"/>
  <c r="C401" i="15"/>
  <c r="AM401" i="15" s="1"/>
  <c r="G401" i="15"/>
  <c r="H401" i="15"/>
  <c r="C402" i="15"/>
  <c r="AM402" i="15" s="1"/>
  <c r="G402" i="15"/>
  <c r="H402" i="15"/>
  <c r="C403" i="15"/>
  <c r="AM403" i="15" s="1"/>
  <c r="G403" i="15"/>
  <c r="H403" i="15"/>
  <c r="C404" i="15"/>
  <c r="AM404" i="15" s="1"/>
  <c r="G404" i="15"/>
  <c r="H404" i="15"/>
  <c r="C405" i="15"/>
  <c r="AM405" i="15" s="1"/>
  <c r="G405" i="15"/>
  <c r="H405" i="15"/>
  <c r="C406" i="15"/>
  <c r="AM406" i="15" s="1"/>
  <c r="G406" i="15"/>
  <c r="H406" i="15"/>
  <c r="C407" i="15"/>
  <c r="AM407" i="15" s="1"/>
  <c r="G407" i="15"/>
  <c r="H407" i="15"/>
  <c r="C408" i="15"/>
  <c r="AM408" i="15" s="1"/>
  <c r="G408" i="15"/>
  <c r="H408" i="15"/>
  <c r="C409" i="15"/>
  <c r="AM409" i="15" s="1"/>
  <c r="G409" i="15"/>
  <c r="H409" i="15"/>
  <c r="C410" i="15"/>
  <c r="AM410" i="15" s="1"/>
  <c r="G410" i="15"/>
  <c r="H410" i="15"/>
  <c r="C411" i="15"/>
  <c r="AM411" i="15" s="1"/>
  <c r="G411" i="15"/>
  <c r="H411" i="15"/>
  <c r="C412" i="15"/>
  <c r="AM412" i="15" s="1"/>
  <c r="G412" i="15"/>
  <c r="H412" i="15"/>
  <c r="C413" i="15"/>
  <c r="AM413" i="15" s="1"/>
  <c r="G413" i="15"/>
  <c r="H413" i="15"/>
  <c r="C414" i="15"/>
  <c r="AM414" i="15" s="1"/>
  <c r="G414" i="15"/>
  <c r="H414" i="15"/>
  <c r="C415" i="15"/>
  <c r="AM415" i="15" s="1"/>
  <c r="G415" i="15"/>
  <c r="H415" i="15"/>
  <c r="C416" i="15"/>
  <c r="AM416" i="15" s="1"/>
  <c r="G416" i="15"/>
  <c r="H416" i="15"/>
  <c r="C417" i="15"/>
  <c r="AM417" i="15" s="1"/>
  <c r="G417" i="15"/>
  <c r="H417" i="15"/>
  <c r="C418" i="15"/>
  <c r="AM418" i="15" s="1"/>
  <c r="G418" i="15"/>
  <c r="H418" i="15"/>
  <c r="C419" i="15"/>
  <c r="AM419" i="15" s="1"/>
  <c r="G419" i="15"/>
  <c r="H419" i="15"/>
  <c r="H390" i="15"/>
  <c r="G390" i="15"/>
  <c r="C390" i="15"/>
  <c r="AM390" i="15" s="1"/>
  <c r="B417" i="15"/>
  <c r="A417" i="15" s="1"/>
  <c r="B418" i="15"/>
  <c r="A418" i="15" s="1"/>
  <c r="B419" i="15"/>
  <c r="A419" i="15" s="1"/>
  <c r="B413" i="15"/>
  <c r="A413" i="15" s="1"/>
  <c r="B414" i="15"/>
  <c r="A414" i="15" s="1"/>
  <c r="B415" i="15"/>
  <c r="A415" i="15" s="1"/>
  <c r="B416" i="15"/>
  <c r="A416" i="15" s="1"/>
  <c r="B391" i="15"/>
  <c r="A391" i="15" s="1"/>
  <c r="B392" i="15"/>
  <c r="A392" i="15" s="1"/>
  <c r="B393" i="15"/>
  <c r="A393" i="15" s="1"/>
  <c r="B394" i="15"/>
  <c r="A394" i="15" s="1"/>
  <c r="B395" i="15"/>
  <c r="A395" i="15" s="1"/>
  <c r="B396" i="15"/>
  <c r="A396" i="15" s="1"/>
  <c r="B397" i="15"/>
  <c r="A397" i="15" s="1"/>
  <c r="B398" i="15"/>
  <c r="A398" i="15" s="1"/>
  <c r="B399" i="15"/>
  <c r="A399" i="15" s="1"/>
  <c r="B400" i="15"/>
  <c r="A400" i="15" s="1"/>
  <c r="B401" i="15"/>
  <c r="A401" i="15" s="1"/>
  <c r="B402" i="15"/>
  <c r="A402" i="15" s="1"/>
  <c r="B403" i="15"/>
  <c r="A403" i="15" s="1"/>
  <c r="B404" i="15"/>
  <c r="A404" i="15" s="1"/>
  <c r="B405" i="15"/>
  <c r="A405" i="15" s="1"/>
  <c r="B406" i="15"/>
  <c r="A406" i="15" s="1"/>
  <c r="B407" i="15"/>
  <c r="A407" i="15" s="1"/>
  <c r="B408" i="15"/>
  <c r="A408" i="15" s="1"/>
  <c r="B409" i="15"/>
  <c r="A409" i="15" s="1"/>
  <c r="B410" i="15"/>
  <c r="A410" i="15" s="1"/>
  <c r="B411" i="15"/>
  <c r="A411" i="15" s="1"/>
  <c r="B412" i="15"/>
  <c r="A412" i="15" s="1"/>
  <c r="B390" i="15"/>
  <c r="A390" i="15" s="1"/>
  <c r="P381" i="15"/>
  <c r="P382" i="15"/>
  <c r="P384" i="15"/>
  <c r="P385" i="15"/>
  <c r="P386" i="15"/>
  <c r="P387" i="15"/>
  <c r="P388" i="15"/>
  <c r="P389" i="15"/>
  <c r="J381" i="15"/>
  <c r="J382" i="15"/>
  <c r="J384" i="15"/>
  <c r="J385" i="15"/>
  <c r="J386" i="15"/>
  <c r="J387" i="15"/>
  <c r="J388" i="15"/>
  <c r="J389" i="15"/>
  <c r="H381" i="15"/>
  <c r="G382" i="15"/>
  <c r="G384" i="15"/>
  <c r="G385" i="15"/>
  <c r="G386" i="15"/>
  <c r="G387" i="15"/>
  <c r="G388" i="15"/>
  <c r="G389" i="15"/>
  <c r="G381" i="15"/>
  <c r="C382" i="15"/>
  <c r="AM382" i="15" s="1"/>
  <c r="C384" i="15"/>
  <c r="AM384" i="15" s="1"/>
  <c r="C385" i="15"/>
  <c r="AM385" i="15" s="1"/>
  <c r="C386" i="15"/>
  <c r="AM386" i="15" s="1"/>
  <c r="C387" i="15"/>
  <c r="AM387" i="15" s="1"/>
  <c r="C388" i="15"/>
  <c r="AM388" i="15" s="1"/>
  <c r="C389" i="15"/>
  <c r="AM389" i="15" s="1"/>
  <c r="C381" i="15"/>
  <c r="AM381" i="15" s="1"/>
  <c r="B382" i="15"/>
  <c r="A382" i="15" s="1"/>
  <c r="B384" i="15"/>
  <c r="A384" i="15" s="1"/>
  <c r="B385" i="15"/>
  <c r="A385" i="15" s="1"/>
  <c r="B386" i="15"/>
  <c r="A386" i="15" s="1"/>
  <c r="B387" i="15"/>
  <c r="A387" i="15" s="1"/>
  <c r="B388" i="15"/>
  <c r="A388" i="15" s="1"/>
  <c r="B389" i="15"/>
  <c r="A389" i="15" s="1"/>
  <c r="B381" i="15"/>
  <c r="A381" i="15" s="1"/>
  <c r="AB374" i="15"/>
  <c r="P366" i="15"/>
  <c r="P367" i="15"/>
  <c r="P368" i="15"/>
  <c r="P369" i="15"/>
  <c r="P370" i="15"/>
  <c r="P371" i="15"/>
  <c r="P372" i="15"/>
  <c r="P373" i="15"/>
  <c r="P374" i="15"/>
  <c r="P375" i="15"/>
  <c r="P376" i="15"/>
  <c r="P377" i="15"/>
  <c r="J366" i="15"/>
  <c r="J367" i="15"/>
  <c r="J368" i="15"/>
  <c r="J369" i="15"/>
  <c r="J370" i="15"/>
  <c r="J371" i="15"/>
  <c r="J372" i="15"/>
  <c r="J373" i="15"/>
  <c r="J374" i="15"/>
  <c r="J375" i="15"/>
  <c r="J376" i="15"/>
  <c r="J377" i="15"/>
  <c r="H367" i="15"/>
  <c r="H368" i="15"/>
  <c r="H369" i="15"/>
  <c r="H370" i="15"/>
  <c r="H371" i="15"/>
  <c r="H372" i="15"/>
  <c r="H373" i="15"/>
  <c r="H374" i="15"/>
  <c r="H375" i="15"/>
  <c r="H376" i="15"/>
  <c r="H377" i="15"/>
  <c r="H366" i="15"/>
  <c r="G367" i="15"/>
  <c r="G369" i="15"/>
  <c r="G370" i="15"/>
  <c r="G372" i="15"/>
  <c r="G373" i="15"/>
  <c r="G375" i="15"/>
  <c r="G376" i="15"/>
  <c r="G366" i="15"/>
  <c r="C367" i="15"/>
  <c r="AM367" i="15" s="1"/>
  <c r="C368" i="15"/>
  <c r="AM368" i="15" s="1"/>
  <c r="C369" i="15"/>
  <c r="AM369" i="15" s="1"/>
  <c r="C370" i="15"/>
  <c r="AM370" i="15" s="1"/>
  <c r="C371" i="15"/>
  <c r="AM371" i="15" s="1"/>
  <c r="C372" i="15"/>
  <c r="AM372" i="15" s="1"/>
  <c r="C373" i="15"/>
  <c r="AM373" i="15" s="1"/>
  <c r="C374" i="15"/>
  <c r="AM374" i="15" s="1"/>
  <c r="C375" i="15"/>
  <c r="AM375" i="15" s="1"/>
  <c r="C376" i="15"/>
  <c r="AM376" i="15" s="1"/>
  <c r="C377" i="15"/>
  <c r="AM377" i="15" s="1"/>
  <c r="C366" i="15"/>
  <c r="AM366" i="15" s="1"/>
  <c r="B367" i="15"/>
  <c r="A367" i="15" s="1"/>
  <c r="B368" i="15"/>
  <c r="A368" i="15" s="1"/>
  <c r="B369" i="15"/>
  <c r="A369" i="15" s="1"/>
  <c r="B370" i="15"/>
  <c r="A370" i="15" s="1"/>
  <c r="B371" i="15"/>
  <c r="A371" i="15" s="1"/>
  <c r="B372" i="15"/>
  <c r="A372" i="15" s="1"/>
  <c r="B373" i="15"/>
  <c r="A373" i="15" s="1"/>
  <c r="B374" i="15"/>
  <c r="A374" i="15" s="1"/>
  <c r="B375" i="15"/>
  <c r="A375" i="15" s="1"/>
  <c r="B376" i="15"/>
  <c r="A376" i="15" s="1"/>
  <c r="B377" i="15"/>
  <c r="A377" i="15" s="1"/>
  <c r="B366" i="15"/>
  <c r="A366" i="15" s="1"/>
  <c r="P120" i="15"/>
  <c r="P123" i="15"/>
  <c r="P124" i="15"/>
  <c r="P126" i="15"/>
  <c r="P129" i="15"/>
  <c r="P130" i="15"/>
  <c r="P132" i="15"/>
  <c r="P135" i="15"/>
  <c r="P136" i="15"/>
  <c r="P138" i="15"/>
  <c r="P141" i="15"/>
  <c r="P142" i="15"/>
  <c r="P168" i="15"/>
  <c r="J324" i="15"/>
  <c r="J325" i="15"/>
  <c r="J326" i="15"/>
  <c r="J327" i="15"/>
  <c r="J328" i="15"/>
  <c r="J329" i="15"/>
  <c r="J330" i="15"/>
  <c r="J331" i="15"/>
  <c r="J332" i="15"/>
  <c r="J333" i="15"/>
  <c r="P324" i="15"/>
  <c r="P325" i="15"/>
  <c r="P326" i="15"/>
  <c r="P327" i="15"/>
  <c r="P328" i="15"/>
  <c r="P329" i="15"/>
  <c r="P330" i="15"/>
  <c r="P331" i="15"/>
  <c r="P332" i="15"/>
  <c r="P333" i="15"/>
  <c r="P309" i="15"/>
  <c r="P317" i="15"/>
  <c r="P318" i="15"/>
  <c r="P319" i="15"/>
  <c r="J309" i="15"/>
  <c r="J317" i="15"/>
  <c r="J318" i="15"/>
  <c r="J319" i="15"/>
  <c r="P281" i="15"/>
  <c r="P283" i="15"/>
  <c r="P252" i="15"/>
  <c r="P254" i="15"/>
  <c r="P255" i="15"/>
  <c r="P260" i="15"/>
  <c r="P262" i="15"/>
  <c r="P263" i="15"/>
  <c r="P272" i="15"/>
  <c r="P274" i="15"/>
  <c r="P275" i="15"/>
  <c r="P279" i="15"/>
  <c r="J272" i="15"/>
  <c r="J274" i="15"/>
  <c r="J275" i="15"/>
  <c r="J279" i="15"/>
  <c r="J281" i="15"/>
  <c r="J283" i="15"/>
  <c r="J260" i="15"/>
  <c r="J262" i="15"/>
  <c r="J263" i="15"/>
  <c r="J238" i="15"/>
  <c r="J239" i="15"/>
  <c r="J240" i="15"/>
  <c r="J242" i="15"/>
  <c r="J243" i="15"/>
  <c r="J246" i="15"/>
  <c r="J248" i="15"/>
  <c r="J249" i="15"/>
  <c r="J252" i="15"/>
  <c r="J254" i="15"/>
  <c r="J255" i="15"/>
  <c r="P238" i="15"/>
  <c r="P239" i="15"/>
  <c r="P240" i="15"/>
  <c r="P242" i="15"/>
  <c r="P243" i="15"/>
  <c r="P246" i="15"/>
  <c r="P248" i="15"/>
  <c r="P249" i="15"/>
  <c r="D234" i="15"/>
  <c r="E234" i="15"/>
  <c r="F234" i="15"/>
  <c r="P228" i="15"/>
  <c r="P229" i="15"/>
  <c r="P230" i="15"/>
  <c r="P231" i="15"/>
  <c r="J228" i="15"/>
  <c r="J229" i="15"/>
  <c r="J230" i="15"/>
  <c r="J231" i="15"/>
  <c r="Z745" i="15"/>
  <c r="W745" i="15" s="1"/>
  <c r="Z752" i="15"/>
  <c r="W752" i="15" s="1"/>
  <c r="Z715" i="15"/>
  <c r="W715" i="15" s="1"/>
  <c r="Z787" i="15"/>
  <c r="W787" i="15" s="1"/>
  <c r="Z791" i="15"/>
  <c r="W791" i="15" s="1"/>
  <c r="Z783" i="15"/>
  <c r="Z778" i="15"/>
  <c r="W778" i="15" s="1"/>
  <c r="Z776" i="15"/>
  <c r="W776" i="15" s="1"/>
  <c r="Z774" i="15"/>
  <c r="W774" i="15" s="1"/>
  <c r="Z741" i="15"/>
  <c r="W741" i="15" s="1"/>
  <c r="Z721" i="15"/>
  <c r="Z694" i="15"/>
  <c r="W694" i="15" s="1"/>
  <c r="Z711" i="15"/>
  <c r="Z709" i="15"/>
  <c r="Z705" i="15"/>
  <c r="Z704" i="15"/>
  <c r="Z701" i="15"/>
  <c r="W701" i="15" s="1"/>
  <c r="Z697" i="15"/>
  <c r="W697" i="15" s="1"/>
  <c r="Z660" i="15"/>
  <c r="Z692" i="15"/>
  <c r="W692" i="15" s="1"/>
  <c r="Z684" i="15"/>
  <c r="W684" i="15" s="1"/>
  <c r="J223" i="15"/>
  <c r="P223" i="15"/>
  <c r="J222" i="15"/>
  <c r="P222" i="15"/>
  <c r="J209" i="15"/>
  <c r="J213" i="15"/>
  <c r="J215" i="15"/>
  <c r="P209" i="15"/>
  <c r="P213" i="15"/>
  <c r="P215" i="15"/>
  <c r="J207" i="15"/>
  <c r="P207" i="15"/>
  <c r="D204" i="15"/>
  <c r="E204" i="15"/>
  <c r="F204" i="15"/>
  <c r="B207" i="15"/>
  <c r="A207" i="15" s="1"/>
  <c r="C207" i="15"/>
  <c r="AM207" i="15" s="1"/>
  <c r="G207" i="15"/>
  <c r="H207" i="15"/>
  <c r="D207" i="15"/>
  <c r="B209" i="15"/>
  <c r="A209" i="15" s="1"/>
  <c r="C209" i="15"/>
  <c r="AM209" i="15" s="1"/>
  <c r="G209" i="15"/>
  <c r="H209" i="15"/>
  <c r="D209" i="15"/>
  <c r="B210" i="15"/>
  <c r="A210" i="15" s="1"/>
  <c r="C210" i="15"/>
  <c r="AM210" i="15" s="1"/>
  <c r="G210" i="15"/>
  <c r="H210" i="15"/>
  <c r="D210" i="15"/>
  <c r="E210" i="15"/>
  <c r="F210" i="15"/>
  <c r="B212" i="15"/>
  <c r="A212" i="15" s="1"/>
  <c r="C212" i="15"/>
  <c r="AM212" i="15" s="1"/>
  <c r="G212" i="15"/>
  <c r="H212" i="15"/>
  <c r="D212" i="15"/>
  <c r="E212" i="15"/>
  <c r="F212" i="15"/>
  <c r="B213" i="15"/>
  <c r="A213" i="15" s="1"/>
  <c r="C213" i="15"/>
  <c r="AM213" i="15" s="1"/>
  <c r="G213" i="15"/>
  <c r="H213" i="15"/>
  <c r="D213" i="15"/>
  <c r="B215" i="15"/>
  <c r="A215" i="15" s="1"/>
  <c r="C215" i="15"/>
  <c r="AM215" i="15" s="1"/>
  <c r="G215" i="15"/>
  <c r="H215" i="15"/>
  <c r="D215" i="15"/>
  <c r="B216" i="15"/>
  <c r="A216" i="15" s="1"/>
  <c r="C216" i="15"/>
  <c r="AM216" i="15" s="1"/>
  <c r="G216" i="15"/>
  <c r="H216" i="15"/>
  <c r="D216" i="15"/>
  <c r="E216" i="15"/>
  <c r="F216" i="15"/>
  <c r="B217" i="15"/>
  <c r="A217" i="15" s="1"/>
  <c r="H217" i="15"/>
  <c r="B218" i="15"/>
  <c r="A218" i="15" s="1"/>
  <c r="C218" i="15"/>
  <c r="AM218" i="15" s="1"/>
  <c r="G218" i="15"/>
  <c r="H218" i="15"/>
  <c r="D218" i="15"/>
  <c r="E218" i="15"/>
  <c r="F218" i="15"/>
  <c r="B219" i="15"/>
  <c r="A219" i="15" s="1"/>
  <c r="H219" i="15"/>
  <c r="B222" i="15"/>
  <c r="A222" i="15" s="1"/>
  <c r="C222" i="15"/>
  <c r="AM222" i="15" s="1"/>
  <c r="G222" i="15"/>
  <c r="H222" i="15"/>
  <c r="D222" i="15"/>
  <c r="B223" i="15"/>
  <c r="A223" i="15" s="1"/>
  <c r="H223" i="15"/>
  <c r="B226" i="15"/>
  <c r="A226" i="15" s="1"/>
  <c r="C226" i="15"/>
  <c r="AM226" i="15" s="1"/>
  <c r="G226" i="15"/>
  <c r="H226" i="15"/>
  <c r="D226" i="15"/>
  <c r="E226" i="15"/>
  <c r="F226" i="15"/>
  <c r="B227" i="15"/>
  <c r="A227" i="15" s="1"/>
  <c r="H227" i="15"/>
  <c r="B228" i="15"/>
  <c r="A228" i="15" s="1"/>
  <c r="C228" i="15"/>
  <c r="AM228" i="15" s="1"/>
  <c r="G228" i="15"/>
  <c r="H228" i="15"/>
  <c r="D228" i="15"/>
  <c r="B229" i="15"/>
  <c r="A229" i="15" s="1"/>
  <c r="H229" i="15"/>
  <c r="B230" i="15"/>
  <c r="A230" i="15" s="1"/>
  <c r="C230" i="15"/>
  <c r="AM230" i="15" s="1"/>
  <c r="G230" i="15"/>
  <c r="H230" i="15"/>
  <c r="D230" i="15"/>
  <c r="B231" i="15"/>
  <c r="A231" i="15" s="1"/>
  <c r="H231" i="15"/>
  <c r="B234" i="15"/>
  <c r="A234" i="15" s="1"/>
  <c r="C234" i="15"/>
  <c r="AM234" i="15" s="1"/>
  <c r="G234" i="15"/>
  <c r="H234" i="15"/>
  <c r="B235" i="15"/>
  <c r="A235" i="15" s="1"/>
  <c r="H235" i="15"/>
  <c r="B238" i="15"/>
  <c r="A238" i="15" s="1"/>
  <c r="C238" i="15"/>
  <c r="AM238" i="15" s="1"/>
  <c r="G238" i="15"/>
  <c r="H238" i="15"/>
  <c r="D238" i="15"/>
  <c r="B239" i="15"/>
  <c r="A239" i="15" s="1"/>
  <c r="H239" i="15"/>
  <c r="B240" i="15"/>
  <c r="A240" i="15" s="1"/>
  <c r="C240" i="15"/>
  <c r="AM240" i="15" s="1"/>
  <c r="G240" i="15"/>
  <c r="H240" i="15"/>
  <c r="D240" i="15"/>
  <c r="B242" i="15"/>
  <c r="A242" i="15" s="1"/>
  <c r="C242" i="15"/>
  <c r="AM242" i="15" s="1"/>
  <c r="G242" i="15"/>
  <c r="H242" i="15"/>
  <c r="D242" i="15"/>
  <c r="B243" i="15"/>
  <c r="A243" i="15" s="1"/>
  <c r="H243" i="15"/>
  <c r="B246" i="15"/>
  <c r="A246" i="15" s="1"/>
  <c r="C246" i="15"/>
  <c r="AM246" i="15" s="1"/>
  <c r="G246" i="15"/>
  <c r="H246" i="15"/>
  <c r="D246" i="15"/>
  <c r="B248" i="15"/>
  <c r="A248" i="15" s="1"/>
  <c r="C248" i="15"/>
  <c r="AM248" i="15" s="1"/>
  <c r="G248" i="15"/>
  <c r="H248" i="15"/>
  <c r="D248" i="15"/>
  <c r="B249" i="15"/>
  <c r="A249" i="15" s="1"/>
  <c r="H249" i="15"/>
  <c r="B252" i="15"/>
  <c r="A252" i="15" s="1"/>
  <c r="C252" i="15"/>
  <c r="AM252" i="15" s="1"/>
  <c r="G252" i="15"/>
  <c r="H252" i="15"/>
  <c r="D252" i="15"/>
  <c r="B254" i="15"/>
  <c r="A254" i="15" s="1"/>
  <c r="C254" i="15"/>
  <c r="AM254" i="15" s="1"/>
  <c r="G254" i="15"/>
  <c r="H254" i="15"/>
  <c r="D254" i="15"/>
  <c r="B255" i="15"/>
  <c r="A255" i="15" s="1"/>
  <c r="H255" i="15"/>
  <c r="B258" i="15"/>
  <c r="A258" i="15" s="1"/>
  <c r="C258" i="15"/>
  <c r="AM258" i="15" s="1"/>
  <c r="G258" i="15"/>
  <c r="H258" i="15"/>
  <c r="D258" i="15"/>
  <c r="E258" i="15"/>
  <c r="F258" i="15"/>
  <c r="B260" i="15"/>
  <c r="A260" i="15" s="1"/>
  <c r="C260" i="15"/>
  <c r="AM260" i="15" s="1"/>
  <c r="G260" i="15"/>
  <c r="H260" i="15"/>
  <c r="D260" i="15"/>
  <c r="B262" i="15"/>
  <c r="A262" i="15" s="1"/>
  <c r="C262" i="15"/>
  <c r="AM262" i="15" s="1"/>
  <c r="G262" i="15"/>
  <c r="H262" i="15"/>
  <c r="D262" i="15"/>
  <c r="B263" i="15"/>
  <c r="A263" i="15" s="1"/>
  <c r="H263" i="15"/>
  <c r="B266" i="15"/>
  <c r="A266" i="15" s="1"/>
  <c r="C266" i="15"/>
  <c r="AM266" i="15" s="1"/>
  <c r="G266" i="15"/>
  <c r="H266" i="15"/>
  <c r="D266" i="15"/>
  <c r="E266" i="15"/>
  <c r="F266" i="15"/>
  <c r="B268" i="15"/>
  <c r="A268" i="15" s="1"/>
  <c r="C268" i="15"/>
  <c r="AM268" i="15" s="1"/>
  <c r="G268" i="15"/>
  <c r="H268" i="15"/>
  <c r="D268" i="15"/>
  <c r="E268" i="15"/>
  <c r="F268" i="15"/>
  <c r="B269" i="15"/>
  <c r="A269" i="15" s="1"/>
  <c r="H269" i="15"/>
  <c r="B272" i="15"/>
  <c r="A272" i="15" s="1"/>
  <c r="C272" i="15"/>
  <c r="AM272" i="15" s="1"/>
  <c r="G272" i="15"/>
  <c r="H272" i="15"/>
  <c r="D272" i="15"/>
  <c r="B274" i="15"/>
  <c r="A274" i="15" s="1"/>
  <c r="C274" i="15"/>
  <c r="AM274" i="15" s="1"/>
  <c r="G274" i="15"/>
  <c r="H274" i="15"/>
  <c r="D274" i="15"/>
  <c r="B275" i="15"/>
  <c r="A275" i="15" s="1"/>
  <c r="C275" i="15"/>
  <c r="AM275" i="15" s="1"/>
  <c r="H275" i="15"/>
  <c r="D275" i="15"/>
  <c r="B278" i="15"/>
  <c r="A278" i="15" s="1"/>
  <c r="C278" i="15"/>
  <c r="AM278" i="15" s="1"/>
  <c r="G278" i="15"/>
  <c r="H278" i="15"/>
  <c r="D278" i="15"/>
  <c r="E278" i="15"/>
  <c r="F278" i="15"/>
  <c r="B279" i="15"/>
  <c r="A279" i="15" s="1"/>
  <c r="C279" i="15"/>
  <c r="AM279" i="15" s="1"/>
  <c r="G279" i="15"/>
  <c r="H279" i="15"/>
  <c r="D279" i="15"/>
  <c r="B280" i="15"/>
  <c r="A280" i="15" s="1"/>
  <c r="C280" i="15"/>
  <c r="AM280" i="15" s="1"/>
  <c r="G280" i="15"/>
  <c r="H280" i="15"/>
  <c r="D280" i="15"/>
  <c r="E280" i="15"/>
  <c r="F280" i="15"/>
  <c r="B281" i="15"/>
  <c r="A281" i="15" s="1"/>
  <c r="C281" i="15"/>
  <c r="AM281" i="15" s="1"/>
  <c r="G281" i="15"/>
  <c r="H281" i="15"/>
  <c r="D281" i="15"/>
  <c r="B282" i="15"/>
  <c r="A282" i="15" s="1"/>
  <c r="C282" i="15"/>
  <c r="AM282" i="15" s="1"/>
  <c r="G282" i="15"/>
  <c r="H282" i="15"/>
  <c r="D282" i="15"/>
  <c r="E282" i="15"/>
  <c r="F282" i="15"/>
  <c r="B283" i="15"/>
  <c r="A283" i="15" s="1"/>
  <c r="C283" i="15"/>
  <c r="AM283" i="15" s="1"/>
  <c r="G283" i="15"/>
  <c r="H283" i="15"/>
  <c r="D283" i="15"/>
  <c r="B284" i="15"/>
  <c r="A284" i="15" s="1"/>
  <c r="C284" i="15"/>
  <c r="AM284" i="15" s="1"/>
  <c r="G284" i="15"/>
  <c r="H284" i="15"/>
  <c r="D284" i="15"/>
  <c r="E284" i="15"/>
  <c r="F284" i="15"/>
  <c r="B286" i="15"/>
  <c r="A286" i="15" s="1"/>
  <c r="C286" i="15"/>
  <c r="AM286" i="15" s="1"/>
  <c r="G286" i="15"/>
  <c r="H286" i="15"/>
  <c r="D286" i="15"/>
  <c r="E286" i="15"/>
  <c r="F286" i="15"/>
  <c r="B287" i="15"/>
  <c r="A287" i="15" s="1"/>
  <c r="H287" i="15"/>
  <c r="B290" i="15"/>
  <c r="A290" i="15" s="1"/>
  <c r="C290" i="15"/>
  <c r="AM290" i="15" s="1"/>
  <c r="G290" i="15"/>
  <c r="H290" i="15"/>
  <c r="D290" i="15"/>
  <c r="E290" i="15"/>
  <c r="F290" i="15"/>
  <c r="B291" i="15"/>
  <c r="A291" i="15" s="1"/>
  <c r="H291" i="15"/>
  <c r="B292" i="15"/>
  <c r="A292" i="15" s="1"/>
  <c r="C292" i="15"/>
  <c r="AM292" i="15" s="1"/>
  <c r="G292" i="15"/>
  <c r="H292" i="15"/>
  <c r="D292" i="15"/>
  <c r="E292" i="15"/>
  <c r="F292" i="15"/>
  <c r="B294" i="15"/>
  <c r="A294" i="15" s="1"/>
  <c r="C294" i="15"/>
  <c r="AM294" i="15" s="1"/>
  <c r="G294" i="15"/>
  <c r="H294" i="15"/>
  <c r="D294" i="15"/>
  <c r="E294" i="15"/>
  <c r="F294" i="15"/>
  <c r="B295" i="15"/>
  <c r="A295" i="15" s="1"/>
  <c r="H295" i="15"/>
  <c r="B298" i="15"/>
  <c r="A298" i="15" s="1"/>
  <c r="C298" i="15"/>
  <c r="AM298" i="15" s="1"/>
  <c r="G298" i="15"/>
  <c r="H298" i="15"/>
  <c r="D298" i="15"/>
  <c r="E298" i="15"/>
  <c r="F298" i="15"/>
  <c r="B299" i="15"/>
  <c r="A299" i="15" s="1"/>
  <c r="H299" i="15"/>
  <c r="B300" i="15"/>
  <c r="A300" i="15" s="1"/>
  <c r="C300" i="15"/>
  <c r="AM300" i="15" s="1"/>
  <c r="G300" i="15"/>
  <c r="H300" i="15"/>
  <c r="D300" i="15"/>
  <c r="E300" i="15"/>
  <c r="F300" i="15"/>
  <c r="B302" i="15"/>
  <c r="A302" i="15" s="1"/>
  <c r="C302" i="15"/>
  <c r="AM302" i="15" s="1"/>
  <c r="G302" i="15"/>
  <c r="H302" i="15"/>
  <c r="D302" i="15"/>
  <c r="E302" i="15"/>
  <c r="F302" i="15"/>
  <c r="B303" i="15"/>
  <c r="A303" i="15" s="1"/>
  <c r="H303" i="15"/>
  <c r="B306" i="15"/>
  <c r="A306" i="15" s="1"/>
  <c r="C306" i="15"/>
  <c r="AM306" i="15" s="1"/>
  <c r="G306" i="15"/>
  <c r="H306" i="15"/>
  <c r="D306" i="15"/>
  <c r="E306" i="15"/>
  <c r="F306" i="15"/>
  <c r="B307" i="15"/>
  <c r="A307" i="15" s="1"/>
  <c r="H307" i="15"/>
  <c r="B308" i="15"/>
  <c r="A308" i="15" s="1"/>
  <c r="C308" i="15"/>
  <c r="AM308" i="15" s="1"/>
  <c r="G308" i="15"/>
  <c r="H308" i="15"/>
  <c r="D308" i="15"/>
  <c r="E308" i="15"/>
  <c r="F308" i="15"/>
  <c r="B309" i="15"/>
  <c r="A309" i="15" s="1"/>
  <c r="C309" i="15"/>
  <c r="AM309" i="15" s="1"/>
  <c r="G309" i="15"/>
  <c r="H309" i="15"/>
  <c r="D309" i="15"/>
  <c r="B310" i="15"/>
  <c r="A310" i="15" s="1"/>
  <c r="C310" i="15"/>
  <c r="AM310" i="15" s="1"/>
  <c r="G310" i="15"/>
  <c r="H310" i="15"/>
  <c r="D310" i="15"/>
  <c r="E310" i="15"/>
  <c r="F310" i="15"/>
  <c r="B311" i="15"/>
  <c r="A311" i="15" s="1"/>
  <c r="H311" i="15"/>
  <c r="B314" i="15"/>
  <c r="A314" i="15" s="1"/>
  <c r="C314" i="15"/>
  <c r="AM314" i="15" s="1"/>
  <c r="G314" i="15"/>
  <c r="H314" i="15"/>
  <c r="D314" i="15"/>
  <c r="E314" i="15"/>
  <c r="F314" i="15"/>
  <c r="B315" i="15"/>
  <c r="A315" i="15" s="1"/>
  <c r="H315" i="15"/>
  <c r="B316" i="15"/>
  <c r="A316" i="15" s="1"/>
  <c r="C316" i="15"/>
  <c r="AM316" i="15" s="1"/>
  <c r="G316" i="15"/>
  <c r="H316" i="15"/>
  <c r="D316" i="15"/>
  <c r="E316" i="15"/>
  <c r="F316" i="15"/>
  <c r="B317" i="15"/>
  <c r="A317" i="15" s="1"/>
  <c r="C317" i="15"/>
  <c r="AM317" i="15" s="1"/>
  <c r="G317" i="15"/>
  <c r="H317" i="15"/>
  <c r="D317" i="15"/>
  <c r="B318" i="15"/>
  <c r="A318" i="15" s="1"/>
  <c r="C318" i="15"/>
  <c r="AM318" i="15" s="1"/>
  <c r="G318" i="15"/>
  <c r="H318" i="15"/>
  <c r="D318" i="15"/>
  <c r="B319" i="15"/>
  <c r="A319" i="15" s="1"/>
  <c r="H319" i="15"/>
  <c r="B322" i="15"/>
  <c r="A322" i="15" s="1"/>
  <c r="C322" i="15"/>
  <c r="AM322" i="15" s="1"/>
  <c r="G322" i="15"/>
  <c r="H322" i="15"/>
  <c r="D322" i="15"/>
  <c r="E322" i="15"/>
  <c r="F322" i="15"/>
  <c r="B323" i="15"/>
  <c r="A323" i="15" s="1"/>
  <c r="H323" i="15"/>
  <c r="B324" i="15"/>
  <c r="A324" i="15" s="1"/>
  <c r="C324" i="15"/>
  <c r="AM324" i="15" s="1"/>
  <c r="G324" i="15"/>
  <c r="H324" i="15"/>
  <c r="D324" i="15"/>
  <c r="B325" i="15"/>
  <c r="A325" i="15" s="1"/>
  <c r="H325" i="15"/>
  <c r="B326" i="15"/>
  <c r="A326" i="15" s="1"/>
  <c r="C326" i="15"/>
  <c r="AM326" i="15" s="1"/>
  <c r="G326" i="15"/>
  <c r="H326" i="15"/>
  <c r="D326" i="15"/>
  <c r="B327" i="15"/>
  <c r="A327" i="15" s="1"/>
  <c r="H327" i="15"/>
  <c r="B328" i="15"/>
  <c r="A328" i="15" s="1"/>
  <c r="C328" i="15"/>
  <c r="AM328" i="15" s="1"/>
  <c r="G328" i="15"/>
  <c r="H328" i="15"/>
  <c r="D328" i="15"/>
  <c r="B329" i="15"/>
  <c r="A329" i="15" s="1"/>
  <c r="H329" i="15"/>
  <c r="B330" i="15"/>
  <c r="A330" i="15" s="1"/>
  <c r="C330" i="15"/>
  <c r="AM330" i="15" s="1"/>
  <c r="G330" i="15"/>
  <c r="H330" i="15"/>
  <c r="D330" i="15"/>
  <c r="B331" i="15"/>
  <c r="A331" i="15" s="1"/>
  <c r="H331" i="15"/>
  <c r="B332" i="15"/>
  <c r="A332" i="15" s="1"/>
  <c r="C332" i="15"/>
  <c r="AM332" i="15" s="1"/>
  <c r="G332" i="15"/>
  <c r="H332" i="15"/>
  <c r="D332" i="15"/>
  <c r="B333" i="15"/>
  <c r="A333" i="15" s="1"/>
  <c r="H333" i="15"/>
  <c r="H204" i="15"/>
  <c r="G204" i="15"/>
  <c r="C204" i="15"/>
  <c r="AM204" i="15" s="1"/>
  <c r="B204" i="15"/>
  <c r="A204" i="15" s="1"/>
  <c r="J200" i="15"/>
  <c r="J203" i="15"/>
  <c r="P200" i="15"/>
  <c r="P203" i="15"/>
  <c r="AB201" i="15"/>
  <c r="AB202" i="15"/>
  <c r="AB203" i="15"/>
  <c r="AB200" i="15"/>
  <c r="X201" i="15"/>
  <c r="Y201" i="15"/>
  <c r="X202" i="15"/>
  <c r="Y202" i="15"/>
  <c r="X203" i="15"/>
  <c r="Z203" i="15" s="1"/>
  <c r="X200" i="15"/>
  <c r="Z200" i="15" s="1"/>
  <c r="H201" i="15"/>
  <c r="H202" i="15"/>
  <c r="H203" i="15"/>
  <c r="H200" i="15"/>
  <c r="G201" i="15"/>
  <c r="G202" i="15"/>
  <c r="G203" i="15"/>
  <c r="G200" i="15"/>
  <c r="D200" i="15"/>
  <c r="C201" i="15"/>
  <c r="AM201" i="15" s="1"/>
  <c r="D201" i="15"/>
  <c r="E201" i="15"/>
  <c r="F201" i="15"/>
  <c r="C202" i="15"/>
  <c r="AM202" i="15" s="1"/>
  <c r="D202" i="15"/>
  <c r="E202" i="15"/>
  <c r="F202" i="15"/>
  <c r="C203" i="15"/>
  <c r="AM203" i="15" s="1"/>
  <c r="D203" i="15"/>
  <c r="C200" i="15"/>
  <c r="AM200" i="15" s="1"/>
  <c r="B201" i="15"/>
  <c r="A201" i="15" s="1"/>
  <c r="B202" i="15"/>
  <c r="A202" i="15" s="1"/>
  <c r="B203" i="15"/>
  <c r="A203" i="15" s="1"/>
  <c r="B200" i="15"/>
  <c r="A200" i="15" s="1"/>
  <c r="J194" i="15"/>
  <c r="J195" i="15"/>
  <c r="J196" i="15"/>
  <c r="J197" i="15"/>
  <c r="J198" i="15"/>
  <c r="J199" i="15"/>
  <c r="P194" i="15"/>
  <c r="P195" i="15"/>
  <c r="P196" i="15"/>
  <c r="P197" i="15"/>
  <c r="P198" i="15"/>
  <c r="P199" i="15"/>
  <c r="D194" i="15"/>
  <c r="C195" i="15"/>
  <c r="AM195" i="15" s="1"/>
  <c r="H195" i="15"/>
  <c r="D195" i="15"/>
  <c r="C196" i="15"/>
  <c r="AM196" i="15" s="1"/>
  <c r="G196" i="15"/>
  <c r="H196" i="15"/>
  <c r="D196" i="15"/>
  <c r="C197" i="15"/>
  <c r="AM197" i="15" s="1"/>
  <c r="H197" i="15"/>
  <c r="D197" i="15"/>
  <c r="C198" i="15"/>
  <c r="AM198" i="15" s="1"/>
  <c r="G198" i="15"/>
  <c r="H198" i="15"/>
  <c r="D198" i="15"/>
  <c r="C199" i="15"/>
  <c r="AM199" i="15" s="1"/>
  <c r="H199" i="15"/>
  <c r="D199" i="15"/>
  <c r="H194" i="15"/>
  <c r="G194" i="15"/>
  <c r="C194" i="15"/>
  <c r="AM194" i="15" s="1"/>
  <c r="B195" i="15"/>
  <c r="A195" i="15" s="1"/>
  <c r="B196" i="15"/>
  <c r="A196" i="15" s="1"/>
  <c r="B197" i="15"/>
  <c r="A197" i="15" s="1"/>
  <c r="B198" i="15"/>
  <c r="A198" i="15" s="1"/>
  <c r="B199" i="15"/>
  <c r="A199" i="15" s="1"/>
  <c r="B194" i="15"/>
  <c r="A194" i="15" s="1"/>
  <c r="P189" i="15"/>
  <c r="J189" i="15"/>
  <c r="P188" i="15"/>
  <c r="J188" i="15"/>
  <c r="E184" i="15"/>
  <c r="P183" i="15"/>
  <c r="J183" i="15"/>
  <c r="D183" i="15"/>
  <c r="P182" i="15"/>
  <c r="J182" i="15"/>
  <c r="P181" i="15"/>
  <c r="J181" i="15"/>
  <c r="P178" i="15"/>
  <c r="P179" i="15"/>
  <c r="P180" i="15"/>
  <c r="J178" i="15"/>
  <c r="J179" i="15"/>
  <c r="J180" i="15"/>
  <c r="J123" i="15"/>
  <c r="J124" i="15"/>
  <c r="J126" i="15"/>
  <c r="J129" i="15"/>
  <c r="J130" i="15"/>
  <c r="J132" i="15"/>
  <c r="J135" i="15"/>
  <c r="J136" i="15"/>
  <c r="J138" i="15"/>
  <c r="J141" i="15"/>
  <c r="J142" i="15"/>
  <c r="J168" i="15"/>
  <c r="J120" i="15"/>
  <c r="P37" i="15"/>
  <c r="P38" i="15"/>
  <c r="P39" i="15"/>
  <c r="P40" i="15"/>
  <c r="P41" i="15"/>
  <c r="P42" i="15"/>
  <c r="P43" i="15"/>
  <c r="P44" i="15"/>
  <c r="P45" i="15"/>
  <c r="P46" i="15"/>
  <c r="P47" i="15"/>
  <c r="P36" i="15"/>
  <c r="J37" i="15"/>
  <c r="J38" i="15"/>
  <c r="J39" i="15"/>
  <c r="J40" i="15"/>
  <c r="J41" i="15"/>
  <c r="J42" i="15"/>
  <c r="J43" i="15"/>
  <c r="J44" i="15"/>
  <c r="J45" i="15"/>
  <c r="J46" i="15"/>
  <c r="J47" i="15"/>
  <c r="J36" i="15"/>
  <c r="P173" i="15"/>
  <c r="J173" i="15"/>
  <c r="J170" i="15"/>
  <c r="P170" i="15"/>
  <c r="P169" i="15"/>
  <c r="J169" i="15"/>
  <c r="H168" i="15"/>
  <c r="H169" i="15"/>
  <c r="H170" i="15"/>
  <c r="H171" i="15"/>
  <c r="H173" i="15"/>
  <c r="H175" i="15"/>
  <c r="H176" i="15"/>
  <c r="H177" i="15"/>
  <c r="H178" i="15"/>
  <c r="H179" i="15"/>
  <c r="H180" i="15"/>
  <c r="H181" i="15"/>
  <c r="H182" i="15"/>
  <c r="H183" i="15"/>
  <c r="H184" i="15"/>
  <c r="H185" i="15"/>
  <c r="H188" i="15"/>
  <c r="H189" i="15"/>
  <c r="H192" i="15"/>
  <c r="H193" i="15"/>
  <c r="H167" i="15"/>
  <c r="G168" i="15"/>
  <c r="G169" i="15"/>
  <c r="G170" i="15"/>
  <c r="G171" i="15"/>
  <c r="G173" i="15"/>
  <c r="G175" i="15"/>
  <c r="G176" i="15"/>
  <c r="G178" i="15"/>
  <c r="G180" i="15"/>
  <c r="G182" i="15"/>
  <c r="G184" i="15"/>
  <c r="G188" i="15"/>
  <c r="G192" i="15"/>
  <c r="G167" i="15"/>
  <c r="D167" i="15"/>
  <c r="C168" i="15"/>
  <c r="AM168" i="15" s="1"/>
  <c r="C169" i="15"/>
  <c r="AM169" i="15" s="1"/>
  <c r="D169" i="15"/>
  <c r="C170" i="15"/>
  <c r="AM170" i="15" s="1"/>
  <c r="D170" i="15"/>
  <c r="C171" i="15"/>
  <c r="AM171" i="15" s="1"/>
  <c r="D171" i="15"/>
  <c r="E171" i="15"/>
  <c r="F171" i="15"/>
  <c r="C173" i="15"/>
  <c r="AM173" i="15" s="1"/>
  <c r="D173" i="15"/>
  <c r="C175" i="15"/>
  <c r="AM175" i="15" s="1"/>
  <c r="D175" i="15"/>
  <c r="E175" i="15"/>
  <c r="F175" i="15"/>
  <c r="C176" i="15"/>
  <c r="AM176" i="15" s="1"/>
  <c r="D176" i="15"/>
  <c r="C177" i="15"/>
  <c r="AM177" i="15" s="1"/>
  <c r="D177" i="15"/>
  <c r="C178" i="15"/>
  <c r="AM178" i="15" s="1"/>
  <c r="C179" i="15"/>
  <c r="AM179" i="15" s="1"/>
  <c r="C180" i="15"/>
  <c r="AM180" i="15" s="1"/>
  <c r="D180" i="15"/>
  <c r="C181" i="15"/>
  <c r="AM181" i="15" s="1"/>
  <c r="D181" i="15"/>
  <c r="C182" i="15"/>
  <c r="AM182" i="15" s="1"/>
  <c r="D182" i="15"/>
  <c r="C183" i="15"/>
  <c r="AM183" i="15" s="1"/>
  <c r="C184" i="15"/>
  <c r="AM184" i="15" s="1"/>
  <c r="D184" i="15"/>
  <c r="F184" i="15"/>
  <c r="C185" i="15"/>
  <c r="AM185" i="15" s="1"/>
  <c r="D185" i="15"/>
  <c r="E185" i="15"/>
  <c r="F185" i="15"/>
  <c r="C188" i="15"/>
  <c r="AM188" i="15" s="1"/>
  <c r="D188" i="15"/>
  <c r="C189" i="15"/>
  <c r="AM189" i="15" s="1"/>
  <c r="D189" i="15"/>
  <c r="C192" i="15"/>
  <c r="AM192" i="15" s="1"/>
  <c r="D192" i="15"/>
  <c r="E192" i="15"/>
  <c r="F192" i="15"/>
  <c r="C193" i="15"/>
  <c r="AM193" i="15" s="1"/>
  <c r="D193" i="15"/>
  <c r="E193" i="15"/>
  <c r="F193" i="15"/>
  <c r="C167" i="15"/>
  <c r="AM167" i="15" s="1"/>
  <c r="B168" i="15"/>
  <c r="A168" i="15" s="1"/>
  <c r="B169" i="15"/>
  <c r="A169" i="15" s="1"/>
  <c r="B170" i="15"/>
  <c r="A170" i="15" s="1"/>
  <c r="B171" i="15"/>
  <c r="A171" i="15" s="1"/>
  <c r="B173" i="15"/>
  <c r="A173" i="15" s="1"/>
  <c r="B175" i="15"/>
  <c r="A175" i="15" s="1"/>
  <c r="B176" i="15"/>
  <c r="A176" i="15" s="1"/>
  <c r="B177" i="15"/>
  <c r="A177" i="15" s="1"/>
  <c r="B178" i="15"/>
  <c r="A178" i="15" s="1"/>
  <c r="B179" i="15"/>
  <c r="A179" i="15" s="1"/>
  <c r="B180" i="15"/>
  <c r="A180" i="15" s="1"/>
  <c r="B181" i="15"/>
  <c r="A181" i="15" s="1"/>
  <c r="B182" i="15"/>
  <c r="A182" i="15" s="1"/>
  <c r="B183" i="15"/>
  <c r="A183" i="15" s="1"/>
  <c r="B184" i="15"/>
  <c r="A184" i="15" s="1"/>
  <c r="B185" i="15"/>
  <c r="A185" i="15" s="1"/>
  <c r="B188" i="15"/>
  <c r="A188" i="15" s="1"/>
  <c r="B189" i="15"/>
  <c r="A189" i="15" s="1"/>
  <c r="B192" i="15"/>
  <c r="A192" i="15" s="1"/>
  <c r="B193" i="15"/>
  <c r="A193" i="15" s="1"/>
  <c r="B167" i="15"/>
  <c r="A167" i="15" s="1"/>
  <c r="D47" i="15"/>
  <c r="D46" i="15"/>
  <c r="D45" i="15"/>
  <c r="D44" i="15"/>
  <c r="D43" i="15"/>
  <c r="D42" i="15"/>
  <c r="D41" i="15"/>
  <c r="D40" i="15"/>
  <c r="D39" i="15"/>
  <c r="D38" i="15"/>
  <c r="D37" i="15"/>
  <c r="X123" i="15"/>
  <c r="Z123" i="15" s="1"/>
  <c r="X124" i="15"/>
  <c r="Z124" i="15" s="1"/>
  <c r="X130" i="15"/>
  <c r="Z130" i="15" s="1"/>
  <c r="X136" i="15"/>
  <c r="Z136" i="15" s="1"/>
  <c r="H120" i="15"/>
  <c r="H121" i="15"/>
  <c r="H122" i="15"/>
  <c r="H123" i="15"/>
  <c r="H124" i="15"/>
  <c r="H125" i="15"/>
  <c r="H126" i="15"/>
  <c r="H127" i="15"/>
  <c r="H128" i="15"/>
  <c r="H129" i="15"/>
  <c r="H130" i="15"/>
  <c r="H131" i="15"/>
  <c r="H132" i="15"/>
  <c r="H133" i="15"/>
  <c r="H134" i="15"/>
  <c r="H135" i="15"/>
  <c r="H136" i="15"/>
  <c r="H137" i="15"/>
  <c r="H138" i="15"/>
  <c r="H139" i="15"/>
  <c r="H140" i="15"/>
  <c r="H141" i="15"/>
  <c r="H142" i="15"/>
  <c r="H119" i="15"/>
  <c r="H112" i="15"/>
  <c r="H113" i="15"/>
  <c r="H114" i="15"/>
  <c r="H115" i="15"/>
  <c r="H116" i="15"/>
  <c r="H117" i="15"/>
  <c r="H118" i="15"/>
  <c r="H111" i="15"/>
  <c r="H102" i="15"/>
  <c r="H103" i="15"/>
  <c r="H105" i="15"/>
  <c r="H106" i="15"/>
  <c r="H108" i="15"/>
  <c r="H100" i="15"/>
  <c r="G102" i="15"/>
  <c r="G103" i="15"/>
  <c r="G105" i="15"/>
  <c r="G106" i="15"/>
  <c r="G108" i="15"/>
  <c r="G100" i="15"/>
  <c r="G112" i="15"/>
  <c r="G113" i="15"/>
  <c r="G114" i="15"/>
  <c r="G115" i="15"/>
  <c r="G116" i="15"/>
  <c r="G117" i="15"/>
  <c r="G118" i="15"/>
  <c r="G111" i="15"/>
  <c r="G120" i="15"/>
  <c r="G121" i="15"/>
  <c r="G123" i="15"/>
  <c r="G125" i="15"/>
  <c r="G126" i="15"/>
  <c r="G127" i="15"/>
  <c r="G129" i="15"/>
  <c r="G131" i="15"/>
  <c r="G132" i="15"/>
  <c r="G133" i="15"/>
  <c r="G135" i="15"/>
  <c r="G137" i="15"/>
  <c r="G138" i="15"/>
  <c r="G139" i="15"/>
  <c r="G141" i="15"/>
  <c r="G119" i="15"/>
  <c r="D119" i="15"/>
  <c r="C120" i="15"/>
  <c r="AM120" i="15" s="1"/>
  <c r="C121" i="15"/>
  <c r="AM121" i="15" s="1"/>
  <c r="D121" i="15"/>
  <c r="C122" i="15"/>
  <c r="AM122" i="15" s="1"/>
  <c r="D122" i="15"/>
  <c r="C123" i="15"/>
  <c r="AM123" i="15" s="1"/>
  <c r="C124" i="15"/>
  <c r="AM124" i="15" s="1"/>
  <c r="C125" i="15"/>
  <c r="AM125" i="15" s="1"/>
  <c r="D125" i="15"/>
  <c r="C126" i="15"/>
  <c r="AM126" i="15" s="1"/>
  <c r="C127" i="15"/>
  <c r="AM127" i="15" s="1"/>
  <c r="D127" i="15"/>
  <c r="C128" i="15"/>
  <c r="AM128" i="15" s="1"/>
  <c r="D128" i="15"/>
  <c r="C129" i="15"/>
  <c r="AM129" i="15" s="1"/>
  <c r="C130" i="15"/>
  <c r="AM130" i="15" s="1"/>
  <c r="C131" i="15"/>
  <c r="AM131" i="15" s="1"/>
  <c r="D131" i="15"/>
  <c r="C132" i="15"/>
  <c r="AM132" i="15" s="1"/>
  <c r="C133" i="15"/>
  <c r="AM133" i="15" s="1"/>
  <c r="D133" i="15"/>
  <c r="C134" i="15"/>
  <c r="AM134" i="15" s="1"/>
  <c r="D134" i="15"/>
  <c r="C135" i="15"/>
  <c r="AM135" i="15" s="1"/>
  <c r="C136" i="15"/>
  <c r="AM136" i="15" s="1"/>
  <c r="C137" i="15"/>
  <c r="AM137" i="15" s="1"/>
  <c r="D137" i="15"/>
  <c r="C138" i="15"/>
  <c r="AM138" i="15" s="1"/>
  <c r="C139" i="15"/>
  <c r="AM139" i="15" s="1"/>
  <c r="D139" i="15"/>
  <c r="C140" i="15"/>
  <c r="AM140" i="15" s="1"/>
  <c r="D140" i="15"/>
  <c r="C141" i="15"/>
  <c r="AM141" i="15" s="1"/>
  <c r="C142" i="15"/>
  <c r="AM142" i="15" s="1"/>
  <c r="C119" i="15"/>
  <c r="AM119" i="15" s="1"/>
  <c r="B134" i="15"/>
  <c r="A134" i="15" s="1"/>
  <c r="B135" i="15"/>
  <c r="A135" i="15" s="1"/>
  <c r="B136" i="15"/>
  <c r="A136" i="15" s="1"/>
  <c r="B137" i="15"/>
  <c r="A137" i="15" s="1"/>
  <c r="B138" i="15"/>
  <c r="A138" i="15" s="1"/>
  <c r="B139" i="15"/>
  <c r="A139" i="15" s="1"/>
  <c r="B140" i="15"/>
  <c r="A140" i="15" s="1"/>
  <c r="B141" i="15"/>
  <c r="A141" i="15" s="1"/>
  <c r="B142" i="15"/>
  <c r="A142" i="15" s="1"/>
  <c r="B120" i="15"/>
  <c r="A120" i="15" s="1"/>
  <c r="B121" i="15"/>
  <c r="A121" i="15" s="1"/>
  <c r="B122" i="15"/>
  <c r="A122" i="15" s="1"/>
  <c r="B123" i="15"/>
  <c r="A123" i="15" s="1"/>
  <c r="B124" i="15"/>
  <c r="A124" i="15" s="1"/>
  <c r="B125" i="15"/>
  <c r="A125" i="15" s="1"/>
  <c r="B126" i="15"/>
  <c r="A126" i="15" s="1"/>
  <c r="B127" i="15"/>
  <c r="A127" i="15" s="1"/>
  <c r="B128" i="15"/>
  <c r="A128" i="15" s="1"/>
  <c r="B129" i="15"/>
  <c r="A129" i="15" s="1"/>
  <c r="B130" i="15"/>
  <c r="A130" i="15" s="1"/>
  <c r="B131" i="15"/>
  <c r="A131" i="15" s="1"/>
  <c r="B132" i="15"/>
  <c r="A132" i="15" s="1"/>
  <c r="B133" i="15"/>
  <c r="A133" i="15" s="1"/>
  <c r="B119" i="15"/>
  <c r="A119" i="15" s="1"/>
  <c r="C112" i="15"/>
  <c r="AM112" i="15" s="1"/>
  <c r="C113" i="15"/>
  <c r="AM113" i="15" s="1"/>
  <c r="C114" i="15"/>
  <c r="AM114" i="15" s="1"/>
  <c r="C115" i="15"/>
  <c r="AM115" i="15" s="1"/>
  <c r="C116" i="15"/>
  <c r="AM116" i="15" s="1"/>
  <c r="C117" i="15"/>
  <c r="AM117" i="15" s="1"/>
  <c r="C118" i="15"/>
  <c r="AM118" i="15" s="1"/>
  <c r="C111" i="15"/>
  <c r="AM111" i="15" s="1"/>
  <c r="B112" i="15"/>
  <c r="A112" i="15" s="1"/>
  <c r="B113" i="15"/>
  <c r="A113" i="15" s="1"/>
  <c r="B114" i="15"/>
  <c r="A114" i="15" s="1"/>
  <c r="B115" i="15"/>
  <c r="A115" i="15" s="1"/>
  <c r="B116" i="15"/>
  <c r="A116" i="15" s="1"/>
  <c r="B117" i="15"/>
  <c r="A117" i="15" s="1"/>
  <c r="B118" i="15"/>
  <c r="A118" i="15" s="1"/>
  <c r="B111" i="15"/>
  <c r="A111" i="15" s="1"/>
  <c r="C102" i="15"/>
  <c r="AM102" i="15" s="1"/>
  <c r="C103" i="15"/>
  <c r="AM103" i="15" s="1"/>
  <c r="C105" i="15"/>
  <c r="AM105" i="15" s="1"/>
  <c r="C106" i="15"/>
  <c r="AM106" i="15" s="1"/>
  <c r="C108" i="15"/>
  <c r="AM108" i="15" s="1"/>
  <c r="C100" i="15"/>
  <c r="AM100" i="15" s="1"/>
  <c r="B102" i="15"/>
  <c r="A102" i="15" s="1"/>
  <c r="B103" i="15"/>
  <c r="A103" i="15" s="1"/>
  <c r="B105" i="15"/>
  <c r="A105" i="15" s="1"/>
  <c r="B106" i="15"/>
  <c r="A106" i="15" s="1"/>
  <c r="B108" i="15"/>
  <c r="A108" i="15" s="1"/>
  <c r="B100" i="15"/>
  <c r="A100" i="15" s="1"/>
  <c r="H98" i="15"/>
  <c r="H96" i="15"/>
  <c r="G98" i="15"/>
  <c r="G96" i="15"/>
  <c r="C98" i="15"/>
  <c r="AM98" i="15" s="1"/>
  <c r="C96" i="15"/>
  <c r="AM96" i="15" s="1"/>
  <c r="B98" i="15"/>
  <c r="A98" i="15" s="1"/>
  <c r="B96" i="15"/>
  <c r="A96" i="15" s="1"/>
  <c r="B94" i="15"/>
  <c r="A94" i="15" s="1"/>
  <c r="C94" i="15"/>
  <c r="AM94" i="15" s="1"/>
  <c r="G94" i="15"/>
  <c r="H94" i="15"/>
  <c r="H92" i="15"/>
  <c r="G92" i="15"/>
  <c r="C92" i="15"/>
  <c r="AM92" i="15" s="1"/>
  <c r="B92" i="15"/>
  <c r="A92" i="15" s="1"/>
  <c r="B90" i="15"/>
  <c r="A90" i="15" s="1"/>
  <c r="C90" i="15"/>
  <c r="AM90" i="15" s="1"/>
  <c r="H90" i="15"/>
  <c r="H88" i="15"/>
  <c r="G88" i="15"/>
  <c r="C88" i="15"/>
  <c r="AM88" i="15" s="1"/>
  <c r="B88" i="15"/>
  <c r="A88" i="15" s="1"/>
  <c r="H86" i="15"/>
  <c r="H84" i="15"/>
  <c r="G86" i="15"/>
  <c r="G84" i="15"/>
  <c r="C86" i="15"/>
  <c r="AM86" i="15" s="1"/>
  <c r="C84" i="15"/>
  <c r="AM84" i="15" s="1"/>
  <c r="B86" i="15"/>
  <c r="A86" i="15" s="1"/>
  <c r="B84" i="15"/>
  <c r="A84" i="15" s="1"/>
  <c r="H73" i="15"/>
  <c r="H74" i="15"/>
  <c r="H77" i="15"/>
  <c r="H78" i="15"/>
  <c r="H79" i="15"/>
  <c r="H72" i="15"/>
  <c r="G78" i="15"/>
  <c r="G79" i="15"/>
  <c r="C73" i="15"/>
  <c r="AM73" i="15" s="1"/>
  <c r="C74" i="15"/>
  <c r="AM74" i="15" s="1"/>
  <c r="C77" i="15"/>
  <c r="AM77" i="15" s="1"/>
  <c r="C78" i="15"/>
  <c r="AM78" i="15" s="1"/>
  <c r="C79" i="15"/>
  <c r="AM79" i="15" s="1"/>
  <c r="C72" i="15"/>
  <c r="AM72" i="15" s="1"/>
  <c r="B73" i="15"/>
  <c r="A73" i="15" s="1"/>
  <c r="B74" i="15"/>
  <c r="A74" i="15" s="1"/>
  <c r="B77" i="15"/>
  <c r="A77" i="15" s="1"/>
  <c r="B78" i="15"/>
  <c r="A78" i="15" s="1"/>
  <c r="B79" i="15"/>
  <c r="A79" i="15" s="1"/>
  <c r="B72" i="15"/>
  <c r="A72" i="15" s="1"/>
  <c r="H70" i="15"/>
  <c r="H71" i="15"/>
  <c r="H67" i="15"/>
  <c r="G70" i="15"/>
  <c r="G67" i="15"/>
  <c r="C70" i="15"/>
  <c r="AM70" i="15" s="1"/>
  <c r="C71" i="15"/>
  <c r="AM71" i="15" s="1"/>
  <c r="C67" i="15"/>
  <c r="AM67" i="15" s="1"/>
  <c r="B70" i="15"/>
  <c r="A70" i="15" s="1"/>
  <c r="B71" i="15"/>
  <c r="A71" i="15" s="1"/>
  <c r="B67" i="15"/>
  <c r="A67" i="15" s="1"/>
  <c r="H64" i="15"/>
  <c r="H63" i="15"/>
  <c r="H62" i="15"/>
  <c r="H61" i="15"/>
  <c r="G64" i="15"/>
  <c r="G63" i="15"/>
  <c r="G62" i="15"/>
  <c r="G61" i="15"/>
  <c r="G52" i="15"/>
  <c r="G53" i="15"/>
  <c r="G54" i="15"/>
  <c r="G55" i="15"/>
  <c r="G56" i="15"/>
  <c r="G57" i="15"/>
  <c r="G58" i="15"/>
  <c r="G59" i="15"/>
  <c r="G51" i="15"/>
  <c r="C64" i="15"/>
  <c r="AM64" i="15" s="1"/>
  <c r="C63" i="15"/>
  <c r="AM63" i="15" s="1"/>
  <c r="C62" i="15"/>
  <c r="AM62" i="15" s="1"/>
  <c r="C61" i="15"/>
  <c r="AM61" i="15" s="1"/>
  <c r="B64" i="15"/>
  <c r="A64" i="15" s="1"/>
  <c r="B63" i="15"/>
  <c r="A63" i="15" s="1"/>
  <c r="B62" i="15"/>
  <c r="A62" i="15" s="1"/>
  <c r="B61" i="15"/>
  <c r="A61" i="15" s="1"/>
  <c r="H52" i="15"/>
  <c r="H53" i="15"/>
  <c r="H54" i="15"/>
  <c r="H55" i="15"/>
  <c r="H56" i="15"/>
  <c r="H57" i="15"/>
  <c r="H58" i="15"/>
  <c r="H59" i="15"/>
  <c r="H51" i="15"/>
  <c r="C52" i="15"/>
  <c r="AM52" i="15" s="1"/>
  <c r="C53" i="15"/>
  <c r="AM53" i="15" s="1"/>
  <c r="C54" i="15"/>
  <c r="AM54" i="15" s="1"/>
  <c r="C55" i="15"/>
  <c r="AM55" i="15" s="1"/>
  <c r="C56" i="15"/>
  <c r="AM56" i="15" s="1"/>
  <c r="C57" i="15"/>
  <c r="AM57" i="15" s="1"/>
  <c r="C58" i="15"/>
  <c r="AM58" i="15" s="1"/>
  <c r="C59" i="15"/>
  <c r="AM59" i="15" s="1"/>
  <c r="C51" i="15"/>
  <c r="AM51" i="15" s="1"/>
  <c r="B52" i="15"/>
  <c r="A52" i="15" s="1"/>
  <c r="B53" i="15"/>
  <c r="A53" i="15" s="1"/>
  <c r="B54" i="15"/>
  <c r="A54" i="15" s="1"/>
  <c r="B55" i="15"/>
  <c r="A55" i="15" s="1"/>
  <c r="B56" i="15"/>
  <c r="A56" i="15" s="1"/>
  <c r="B57" i="15"/>
  <c r="A57" i="15" s="1"/>
  <c r="B58" i="15"/>
  <c r="A58" i="15" s="1"/>
  <c r="B59" i="15"/>
  <c r="A59" i="15" s="1"/>
  <c r="B51" i="15"/>
  <c r="A51" i="15" s="1"/>
  <c r="X49" i="15"/>
  <c r="Z49" i="15" s="1"/>
  <c r="AB49" i="15"/>
  <c r="AB48" i="15"/>
  <c r="X48" i="15"/>
  <c r="Z48" i="15" s="1"/>
  <c r="G49" i="15"/>
  <c r="G48" i="15"/>
  <c r="H49" i="15"/>
  <c r="H48" i="15"/>
  <c r="C49" i="15"/>
  <c r="AM49" i="15" s="1"/>
  <c r="C48" i="15"/>
  <c r="AM48" i="15" s="1"/>
  <c r="B49" i="15"/>
  <c r="A49" i="15" s="1"/>
  <c r="B48" i="15"/>
  <c r="A48" i="15" s="1"/>
  <c r="V4" i="16"/>
  <c r="H7" i="16"/>
  <c r="I7" i="16"/>
  <c r="J7" i="16"/>
  <c r="K7" i="16"/>
  <c r="M7" i="16"/>
  <c r="BC7" i="16" s="1"/>
  <c r="N7" i="16"/>
  <c r="BE7" i="16" s="1"/>
  <c r="V7" i="16"/>
  <c r="X26" i="16"/>
  <c r="Y26" i="16"/>
  <c r="Z26" i="16"/>
  <c r="AA26" i="16"/>
  <c r="AB26" i="16"/>
  <c r="AC26" i="16"/>
  <c r="AD26" i="16"/>
  <c r="AE26" i="16"/>
  <c r="AF26" i="16"/>
  <c r="AG26" i="16"/>
  <c r="V27" i="16"/>
  <c r="V28" i="16"/>
  <c r="V29" i="16"/>
  <c r="W29" i="16"/>
  <c r="V30" i="16"/>
  <c r="V31" i="16"/>
  <c r="V32" i="16"/>
  <c r="V33" i="16"/>
  <c r="V34" i="16"/>
  <c r="V35" i="16"/>
  <c r="V36" i="16"/>
  <c r="V37" i="16"/>
  <c r="V38" i="16"/>
  <c r="V39" i="16"/>
  <c r="V40" i="16"/>
  <c r="V41" i="16"/>
  <c r="V42" i="16"/>
  <c r="V43" i="16"/>
  <c r="V44" i="16"/>
  <c r="V45" i="16"/>
  <c r="V46" i="16"/>
  <c r="V47" i="16"/>
  <c r="V48" i="16"/>
  <c r="V49" i="16"/>
  <c r="D50" i="16"/>
  <c r="V50" i="16" s="1"/>
  <c r="E50" i="16"/>
  <c r="D51" i="16"/>
  <c r="D213" i="16" s="1"/>
  <c r="V213" i="16" s="1"/>
  <c r="E51" i="16"/>
  <c r="V54" i="16"/>
  <c r="X56" i="16"/>
  <c r="Y56" i="16"/>
  <c r="Z56" i="16"/>
  <c r="AA56" i="16"/>
  <c r="AB56" i="16"/>
  <c r="AC56" i="16"/>
  <c r="AD56" i="16"/>
  <c r="AE56" i="16"/>
  <c r="AF56" i="16"/>
  <c r="AG56" i="16"/>
  <c r="BB56" i="16"/>
  <c r="BC56" i="16"/>
  <c r="BD56" i="16"/>
  <c r="BE56" i="16"/>
  <c r="H57" i="16"/>
  <c r="J57" i="16"/>
  <c r="BC57" i="16" s="1"/>
  <c r="BD57" i="16" s="1"/>
  <c r="H58" i="16"/>
  <c r="J58" i="16"/>
  <c r="BC58" i="16" s="1"/>
  <c r="V58" i="16"/>
  <c r="F59" i="16"/>
  <c r="K37" i="15" s="1"/>
  <c r="H59" i="16"/>
  <c r="J59" i="16"/>
  <c r="BC59" i="16" s="1"/>
  <c r="K59" i="16"/>
  <c r="BE59" i="16" s="1"/>
  <c r="V59" i="16"/>
  <c r="H60" i="16"/>
  <c r="J60" i="16"/>
  <c r="BC60" i="16" s="1"/>
  <c r="V60" i="16"/>
  <c r="D61" i="16"/>
  <c r="H38" i="15" s="1"/>
  <c r="E61" i="16"/>
  <c r="E109" i="16" s="1"/>
  <c r="F61" i="16"/>
  <c r="K38" i="15" s="1"/>
  <c r="H61" i="16"/>
  <c r="J61" i="16"/>
  <c r="BC61" i="16" s="1"/>
  <c r="BD61" i="16" s="1"/>
  <c r="K61" i="16"/>
  <c r="BE61" i="16" s="1"/>
  <c r="V61" i="16"/>
  <c r="D62" i="16"/>
  <c r="E62" i="16"/>
  <c r="H62" i="16"/>
  <c r="J62" i="16"/>
  <c r="BC62" i="16" s="1"/>
  <c r="V62" i="16"/>
  <c r="F63" i="16"/>
  <c r="K39" i="15" s="1"/>
  <c r="H63" i="16"/>
  <c r="J63" i="16"/>
  <c r="X39" i="15" s="1"/>
  <c r="Z39" i="15" s="1"/>
  <c r="K63" i="16"/>
  <c r="BE63" i="16" s="1"/>
  <c r="V63" i="16"/>
  <c r="H64" i="16"/>
  <c r="J64" i="16"/>
  <c r="BC64" i="16" s="1"/>
  <c r="V64" i="16"/>
  <c r="D65" i="16"/>
  <c r="H40" i="15" s="1"/>
  <c r="E65" i="16"/>
  <c r="E111" i="16" s="1"/>
  <c r="F65" i="16"/>
  <c r="H65" i="16"/>
  <c r="J65" i="16"/>
  <c r="BC65" i="16" s="1"/>
  <c r="K65" i="16"/>
  <c r="BE65" i="16" s="1"/>
  <c r="V65" i="16"/>
  <c r="D66" i="16"/>
  <c r="E66" i="16"/>
  <c r="H66" i="16"/>
  <c r="J66" i="16"/>
  <c r="BC66" i="16" s="1"/>
  <c r="V66" i="16"/>
  <c r="F67" i="16"/>
  <c r="H67" i="16"/>
  <c r="J67" i="16"/>
  <c r="BC67" i="16" s="1"/>
  <c r="K67" i="16"/>
  <c r="BE67" i="16" s="1"/>
  <c r="V67" i="16"/>
  <c r="H68" i="16"/>
  <c r="J68" i="16"/>
  <c r="BC68" i="16" s="1"/>
  <c r="V68" i="16"/>
  <c r="F69" i="16"/>
  <c r="H69" i="16"/>
  <c r="J69" i="16"/>
  <c r="BC69" i="16" s="1"/>
  <c r="K69" i="16"/>
  <c r="V69" i="16"/>
  <c r="H70" i="16"/>
  <c r="J70" i="16"/>
  <c r="BC70" i="16" s="1"/>
  <c r="V70" i="16"/>
  <c r="H71" i="16"/>
  <c r="J71" i="16"/>
  <c r="BC71" i="16" s="1"/>
  <c r="K71" i="16"/>
  <c r="V71" i="16"/>
  <c r="H72" i="16"/>
  <c r="J72" i="16"/>
  <c r="BC72" i="16" s="1"/>
  <c r="V72" i="16"/>
  <c r="D73" i="16"/>
  <c r="H44" i="15" s="1"/>
  <c r="F73" i="16"/>
  <c r="K44" i="15" s="1"/>
  <c r="H73" i="16"/>
  <c r="J73" i="16"/>
  <c r="BC73" i="16" s="1"/>
  <c r="K73" i="16"/>
  <c r="BE73" i="16" s="1"/>
  <c r="V73" i="16"/>
  <c r="D74" i="16"/>
  <c r="H74" i="16"/>
  <c r="J74" i="16"/>
  <c r="BC74" i="16" s="1"/>
  <c r="V74" i="16"/>
  <c r="F75" i="16"/>
  <c r="K45" i="15" s="1"/>
  <c r="H75" i="16"/>
  <c r="J75" i="16"/>
  <c r="K75" i="16"/>
  <c r="V75" i="16"/>
  <c r="H76" i="16"/>
  <c r="J76" i="16"/>
  <c r="BC76" i="16" s="1"/>
  <c r="V76" i="16"/>
  <c r="K46" i="15"/>
  <c r="H77" i="16"/>
  <c r="J77" i="16"/>
  <c r="BC77" i="16" s="1"/>
  <c r="BD77" i="16" s="1"/>
  <c r="K77" i="16"/>
  <c r="V77" i="16"/>
  <c r="H78" i="16"/>
  <c r="J78" i="16"/>
  <c r="BC78" i="16" s="1"/>
  <c r="V78" i="16"/>
  <c r="D79" i="16"/>
  <c r="H47" i="15" s="1"/>
  <c r="F79" i="16"/>
  <c r="K47" i="15" s="1"/>
  <c r="H79" i="16"/>
  <c r="J79" i="16"/>
  <c r="BC79" i="16" s="1"/>
  <c r="BD79" i="16" s="1"/>
  <c r="K79" i="16"/>
  <c r="BE79" i="16" s="1"/>
  <c r="V79" i="16"/>
  <c r="D80" i="16"/>
  <c r="H80" i="16"/>
  <c r="J80" i="16"/>
  <c r="BC80" i="16" s="1"/>
  <c r="V80" i="16"/>
  <c r="X90" i="16"/>
  <c r="Y90" i="16"/>
  <c r="Z90" i="16"/>
  <c r="AA90" i="16"/>
  <c r="AB90" i="16"/>
  <c r="AC90" i="16"/>
  <c r="AD90" i="16"/>
  <c r="AE90" i="16"/>
  <c r="AF90" i="16"/>
  <c r="AG90" i="16"/>
  <c r="X98" i="16"/>
  <c r="Y98" i="16"/>
  <c r="Z98" i="16"/>
  <c r="AA98" i="16"/>
  <c r="AB98" i="16"/>
  <c r="AC98" i="16"/>
  <c r="AD98" i="16"/>
  <c r="AE98" i="16"/>
  <c r="AF98" i="16"/>
  <c r="AG98" i="16"/>
  <c r="E119" i="16"/>
  <c r="V99" i="16"/>
  <c r="E100" i="16"/>
  <c r="E143" i="16" s="1"/>
  <c r="E101" i="16"/>
  <c r="E110" i="16" s="1"/>
  <c r="E102" i="16"/>
  <c r="E145" i="16" s="1"/>
  <c r="E103" i="16"/>
  <c r="E160" i="16" s="1"/>
  <c r="E104" i="16"/>
  <c r="E138" i="16" s="1"/>
  <c r="E105" i="16"/>
  <c r="E139" i="16" s="1"/>
  <c r="E106" i="16"/>
  <c r="E163" i="16" s="1"/>
  <c r="V107" i="16"/>
  <c r="X107" i="16"/>
  <c r="F109" i="16"/>
  <c r="W110" i="16"/>
  <c r="F111" i="16"/>
  <c r="X112" i="16"/>
  <c r="X110" i="16" s="1"/>
  <c r="E115" i="16"/>
  <c r="F115" i="16"/>
  <c r="E118" i="16"/>
  <c r="F118" i="16"/>
  <c r="V119" i="16"/>
  <c r="V127" i="16"/>
  <c r="V131" i="16"/>
  <c r="F133" i="16"/>
  <c r="V133" i="16"/>
  <c r="W133" i="16"/>
  <c r="X133" i="16"/>
  <c r="F134" i="16"/>
  <c r="F135" i="16"/>
  <c r="W135" i="16"/>
  <c r="X135" i="16"/>
  <c r="F136" i="16"/>
  <c r="W136" i="16"/>
  <c r="X136" i="16"/>
  <c r="F137" i="16"/>
  <c r="W137" i="16"/>
  <c r="X137" i="16"/>
  <c r="F138" i="16"/>
  <c r="F139" i="16"/>
  <c r="W139" i="16"/>
  <c r="X139" i="16"/>
  <c r="F140" i="16"/>
  <c r="V141" i="16"/>
  <c r="V142" i="16"/>
  <c r="V150" i="16"/>
  <c r="V152" i="16"/>
  <c r="V153" i="16"/>
  <c r="X153" i="16"/>
  <c r="V154" i="16"/>
  <c r="V155" i="16"/>
  <c r="V156" i="16"/>
  <c r="V164" i="16"/>
  <c r="V169" i="16"/>
  <c r="X171" i="16"/>
  <c r="Y171" i="16"/>
  <c r="Z171" i="16"/>
  <c r="AA171" i="16"/>
  <c r="AB171" i="16"/>
  <c r="AC171" i="16"/>
  <c r="AD171" i="16"/>
  <c r="AE171" i="16"/>
  <c r="AF171" i="16"/>
  <c r="AG171" i="16"/>
  <c r="BB171" i="16"/>
  <c r="BC171" i="16"/>
  <c r="BD171" i="16"/>
  <c r="BE171" i="16"/>
  <c r="H172" i="16"/>
  <c r="BC172" i="16"/>
  <c r="BD172" i="16" s="1"/>
  <c r="I49" i="15"/>
  <c r="H173" i="16"/>
  <c r="BC173" i="16"/>
  <c r="BD173" i="16" s="1"/>
  <c r="X194" i="16"/>
  <c r="Y194" i="16"/>
  <c r="Z194" i="16"/>
  <c r="AA194" i="16"/>
  <c r="AB194" i="16"/>
  <c r="AC194" i="16"/>
  <c r="AD194" i="16"/>
  <c r="AE194" i="16"/>
  <c r="AF194" i="16"/>
  <c r="AG194" i="16"/>
  <c r="AJ194" i="16"/>
  <c r="AK194" i="16"/>
  <c r="AL194" i="16"/>
  <c r="AM194" i="16"/>
  <c r="AN194" i="16"/>
  <c r="AO194" i="16"/>
  <c r="AP194" i="16"/>
  <c r="AQ194" i="16"/>
  <c r="AR194" i="16"/>
  <c r="AS194" i="16"/>
  <c r="V201" i="16"/>
  <c r="V202" i="16"/>
  <c r="V203" i="16"/>
  <c r="V204" i="16"/>
  <c r="V205" i="16"/>
  <c r="V206" i="16"/>
  <c r="V207" i="16"/>
  <c r="V208" i="16"/>
  <c r="V209" i="16"/>
  <c r="V210" i="16"/>
  <c r="V211" i="16"/>
  <c r="V217" i="16"/>
  <c r="X219" i="16"/>
  <c r="Y219" i="16"/>
  <c r="Z219" i="16"/>
  <c r="AA219" i="16"/>
  <c r="AB219" i="16"/>
  <c r="AC219" i="16"/>
  <c r="AD219" i="16"/>
  <c r="AE219" i="16"/>
  <c r="AF219" i="16"/>
  <c r="AG219" i="16"/>
  <c r="BB219" i="16"/>
  <c r="BC219" i="16"/>
  <c r="BD219" i="16"/>
  <c r="BE219" i="16"/>
  <c r="I51" i="15"/>
  <c r="H220" i="16"/>
  <c r="H510" i="9" s="1"/>
  <c r="X51" i="15"/>
  <c r="Z51" i="15" s="1"/>
  <c r="AB51" i="15"/>
  <c r="I52" i="15"/>
  <c r="H221" i="16"/>
  <c r="X52" i="15"/>
  <c r="Z52" i="15" s="1"/>
  <c r="H222" i="16"/>
  <c r="H512" i="9" s="1"/>
  <c r="AB53" i="15"/>
  <c r="H223" i="16"/>
  <c r="H513" i="9" s="1"/>
  <c r="X54" i="15"/>
  <c r="Z54" i="15" s="1"/>
  <c r="AB54" i="15"/>
  <c r="I55" i="15"/>
  <c r="H224" i="16"/>
  <c r="H514" i="9" s="1"/>
  <c r="X55" i="15"/>
  <c r="Z55" i="15" s="1"/>
  <c r="I56" i="15"/>
  <c r="H225" i="16"/>
  <c r="H515" i="9" s="1"/>
  <c r="X56" i="15"/>
  <c r="Z56" i="15" s="1"/>
  <c r="AB56" i="15"/>
  <c r="I57" i="15"/>
  <c r="H226" i="16"/>
  <c r="H516" i="9" s="1"/>
  <c r="AB57" i="15"/>
  <c r="I58" i="15"/>
  <c r="H227" i="16"/>
  <c r="H517" i="9" s="1"/>
  <c r="BC227" i="16"/>
  <c r="AB58" i="15"/>
  <c r="H228" i="16"/>
  <c r="H518" i="9" s="1"/>
  <c r="AB59" i="15"/>
  <c r="X235" i="16"/>
  <c r="Y235" i="16"/>
  <c r="Z235" i="16"/>
  <c r="AA235" i="16"/>
  <c r="AB235" i="16"/>
  <c r="AC235" i="16"/>
  <c r="AD235" i="16"/>
  <c r="AE235" i="16"/>
  <c r="AF235" i="16"/>
  <c r="AG235" i="16"/>
  <c r="V253" i="16"/>
  <c r="X255" i="16"/>
  <c r="Y255" i="16"/>
  <c r="Z255" i="16"/>
  <c r="AA255" i="16"/>
  <c r="AB255" i="16"/>
  <c r="AC255" i="16"/>
  <c r="AD255" i="16"/>
  <c r="AE255" i="16"/>
  <c r="AF255" i="16"/>
  <c r="AG255" i="16"/>
  <c r="BB255" i="16"/>
  <c r="BC255" i="16"/>
  <c r="BD255" i="16"/>
  <c r="BE255" i="16"/>
  <c r="F256" i="16"/>
  <c r="I61" i="15" s="1"/>
  <c r="H256" i="16"/>
  <c r="J256" i="16"/>
  <c r="K256" i="16"/>
  <c r="X264" i="16"/>
  <c r="Y264" i="16"/>
  <c r="Z264" i="16"/>
  <c r="AA264" i="16"/>
  <c r="AB264" i="16"/>
  <c r="AC264" i="16"/>
  <c r="AD264" i="16"/>
  <c r="AE264" i="16"/>
  <c r="AF264" i="16"/>
  <c r="AG264" i="16"/>
  <c r="V265" i="16"/>
  <c r="V266" i="16"/>
  <c r="V267" i="16"/>
  <c r="V268" i="16"/>
  <c r="V269" i="16"/>
  <c r="V270" i="16"/>
  <c r="V271" i="16"/>
  <c r="V272" i="16"/>
  <c r="V277" i="16"/>
  <c r="X279" i="16"/>
  <c r="Y279" i="16"/>
  <c r="Z279" i="16"/>
  <c r="AA279" i="16"/>
  <c r="AB279" i="16"/>
  <c r="AC279" i="16"/>
  <c r="AD279" i="16"/>
  <c r="AE279" i="16"/>
  <c r="AF279" i="16"/>
  <c r="AG279" i="16"/>
  <c r="BB279" i="16"/>
  <c r="BC279" i="16"/>
  <c r="BD279" i="16"/>
  <c r="BE279" i="16"/>
  <c r="F280" i="16"/>
  <c r="H280" i="16"/>
  <c r="J280" i="16"/>
  <c r="X62" i="15" s="1"/>
  <c r="Z62" i="15" s="1"/>
  <c r="K280" i="16"/>
  <c r="BE280" i="16" s="1"/>
  <c r="X286" i="16"/>
  <c r="Y286" i="16"/>
  <c r="Z286" i="16"/>
  <c r="AA286" i="16"/>
  <c r="AB286" i="16"/>
  <c r="AC286" i="16"/>
  <c r="AD286" i="16"/>
  <c r="AE286" i="16"/>
  <c r="AF286" i="16"/>
  <c r="AG286" i="16"/>
  <c r="V304" i="16"/>
  <c r="X306" i="16"/>
  <c r="Y306" i="16"/>
  <c r="Z306" i="16"/>
  <c r="AA306" i="16"/>
  <c r="AB306" i="16"/>
  <c r="AC306" i="16"/>
  <c r="AD306" i="16"/>
  <c r="AE306" i="16"/>
  <c r="AF306" i="16"/>
  <c r="AG306" i="16"/>
  <c r="BB306" i="16"/>
  <c r="BC306" i="16"/>
  <c r="BD306" i="16"/>
  <c r="BE306" i="16"/>
  <c r="F307" i="16"/>
  <c r="I63" i="15" s="1"/>
  <c r="K63" i="15" s="1"/>
  <c r="H307" i="16"/>
  <c r="J307" i="16"/>
  <c r="K307" i="16"/>
  <c r="F308" i="16"/>
  <c r="I64" i="15" s="1"/>
  <c r="K64" i="15" s="1"/>
  <c r="H308" i="16"/>
  <c r="J308" i="16"/>
  <c r="BC308" i="16" s="1"/>
  <c r="K308" i="16"/>
  <c r="X316" i="16"/>
  <c r="Y316" i="16"/>
  <c r="Z316" i="16"/>
  <c r="AA316" i="16"/>
  <c r="AB316" i="16"/>
  <c r="AC316" i="16"/>
  <c r="AD316" i="16"/>
  <c r="AE316" i="16"/>
  <c r="AF316" i="16"/>
  <c r="AG316" i="16"/>
  <c r="BC225" i="16"/>
  <c r="BC224" i="16"/>
  <c r="BD224" i="16" s="1"/>
  <c r="BC221" i="16"/>
  <c r="BD221" i="16" s="1"/>
  <c r="BC228" i="16"/>
  <c r="BD228" i="16" s="1"/>
  <c r="X59" i="15"/>
  <c r="Z59" i="15" s="1"/>
  <c r="C46" i="15"/>
  <c r="AM46" i="15" s="1"/>
  <c r="G46" i="15"/>
  <c r="H46" i="15"/>
  <c r="C47" i="15"/>
  <c r="AM47" i="15" s="1"/>
  <c r="G47" i="15"/>
  <c r="C37" i="15"/>
  <c r="AM37" i="15" s="1"/>
  <c r="G37" i="15"/>
  <c r="H37" i="15"/>
  <c r="C38" i="15"/>
  <c r="AM38" i="15" s="1"/>
  <c r="C39" i="15"/>
  <c r="AM39" i="15" s="1"/>
  <c r="G39" i="15"/>
  <c r="H39" i="15"/>
  <c r="C40" i="15"/>
  <c r="AM40" i="15" s="1"/>
  <c r="C41" i="15"/>
  <c r="AM41" i="15" s="1"/>
  <c r="G41" i="15"/>
  <c r="H41" i="15"/>
  <c r="C42" i="15"/>
  <c r="AM42" i="15" s="1"/>
  <c r="G42" i="15"/>
  <c r="H42" i="15"/>
  <c r="C43" i="15"/>
  <c r="AM43" i="15" s="1"/>
  <c r="G43" i="15"/>
  <c r="H43" i="15"/>
  <c r="C44" i="15"/>
  <c r="AM44" i="15" s="1"/>
  <c r="G44" i="15"/>
  <c r="X44" i="15"/>
  <c r="Z44" i="15" s="1"/>
  <c r="C45" i="15"/>
  <c r="AM45" i="15" s="1"/>
  <c r="G45" i="15"/>
  <c r="H45" i="15"/>
  <c r="D36" i="15"/>
  <c r="G36" i="15"/>
  <c r="G35" i="15"/>
  <c r="H36" i="15"/>
  <c r="C36" i="15"/>
  <c r="AM36" i="15" s="1"/>
  <c r="H35" i="15"/>
  <c r="C35" i="15"/>
  <c r="AM35" i="15" s="1"/>
  <c r="B37" i="15"/>
  <c r="A37" i="15" s="1"/>
  <c r="B38" i="15"/>
  <c r="A38" i="15" s="1"/>
  <c r="B39" i="15"/>
  <c r="A39" i="15" s="1"/>
  <c r="B40" i="15"/>
  <c r="A40" i="15" s="1"/>
  <c r="B41" i="15"/>
  <c r="A41" i="15" s="1"/>
  <c r="B42" i="15"/>
  <c r="A42" i="15" s="1"/>
  <c r="B43" i="15"/>
  <c r="A43" i="15" s="1"/>
  <c r="B44" i="15"/>
  <c r="A44" i="15" s="1"/>
  <c r="B45" i="15"/>
  <c r="A45" i="15" s="1"/>
  <c r="B46" i="15"/>
  <c r="A46" i="15" s="1"/>
  <c r="B47" i="15"/>
  <c r="A47" i="15" s="1"/>
  <c r="B36" i="15"/>
  <c r="A36" i="15" s="1"/>
  <c r="B35" i="15"/>
  <c r="A35" i="15" s="1"/>
  <c r="AB10" i="15"/>
  <c r="AB11" i="15"/>
  <c r="AB12" i="15"/>
  <c r="AB13" i="15"/>
  <c r="AB14" i="15"/>
  <c r="AB15" i="15"/>
  <c r="AB16" i="15"/>
  <c r="AB19" i="15"/>
  <c r="AB20" i="15"/>
  <c r="AB21" i="15"/>
  <c r="AB22" i="15"/>
  <c r="AB23" i="15"/>
  <c r="AB24" i="15"/>
  <c r="AB25" i="15"/>
  <c r="AB26" i="15"/>
  <c r="AB27" i="15"/>
  <c r="AB28" i="15"/>
  <c r="AB29" i="15"/>
  <c r="AB30" i="15"/>
  <c r="AB31" i="15"/>
  <c r="AB33" i="15"/>
  <c r="AB9" i="15"/>
  <c r="C10" i="15"/>
  <c r="AM10" i="15" s="1"/>
  <c r="G10" i="15"/>
  <c r="H10" i="15"/>
  <c r="C11" i="15"/>
  <c r="AM11" i="15" s="1"/>
  <c r="G11" i="15"/>
  <c r="H11" i="15"/>
  <c r="C12" i="15"/>
  <c r="AM12" i="15" s="1"/>
  <c r="G12" i="15"/>
  <c r="H12" i="15"/>
  <c r="C13" i="15"/>
  <c r="AM13" i="15" s="1"/>
  <c r="G13" i="15"/>
  <c r="H13" i="15"/>
  <c r="C14" i="15"/>
  <c r="AM14" i="15" s="1"/>
  <c r="G14" i="15"/>
  <c r="H14" i="15"/>
  <c r="C15" i="15"/>
  <c r="AM15" i="15" s="1"/>
  <c r="G15" i="15"/>
  <c r="H15" i="15"/>
  <c r="C16" i="15"/>
  <c r="AM16" i="15" s="1"/>
  <c r="G16" i="15"/>
  <c r="H16" i="15"/>
  <c r="C19" i="15"/>
  <c r="AM19" i="15" s="1"/>
  <c r="G19" i="15"/>
  <c r="H19" i="15"/>
  <c r="C20" i="15"/>
  <c r="AM20" i="15" s="1"/>
  <c r="G20" i="15"/>
  <c r="H20" i="15"/>
  <c r="C21" i="15"/>
  <c r="AM21" i="15" s="1"/>
  <c r="G21" i="15"/>
  <c r="H21" i="15"/>
  <c r="C22" i="15"/>
  <c r="AM22" i="15" s="1"/>
  <c r="G22" i="15"/>
  <c r="H22" i="15"/>
  <c r="C23" i="15"/>
  <c r="AM23" i="15" s="1"/>
  <c r="G23" i="15"/>
  <c r="H23" i="15"/>
  <c r="C24" i="15"/>
  <c r="AM24" i="15" s="1"/>
  <c r="G24" i="15"/>
  <c r="H24" i="15"/>
  <c r="C25" i="15"/>
  <c r="AM25" i="15" s="1"/>
  <c r="G25" i="15"/>
  <c r="H25" i="15"/>
  <c r="C26" i="15"/>
  <c r="AM26" i="15" s="1"/>
  <c r="G26" i="15"/>
  <c r="H26" i="15"/>
  <c r="C27" i="15"/>
  <c r="AM27" i="15" s="1"/>
  <c r="G27" i="15"/>
  <c r="H27" i="15"/>
  <c r="C28" i="15"/>
  <c r="AM28" i="15" s="1"/>
  <c r="G28" i="15"/>
  <c r="H28" i="15"/>
  <c r="C29" i="15"/>
  <c r="AM29" i="15" s="1"/>
  <c r="G29" i="15"/>
  <c r="H29" i="15"/>
  <c r="C30" i="15"/>
  <c r="AM30" i="15" s="1"/>
  <c r="G30" i="15"/>
  <c r="H30" i="15"/>
  <c r="C31" i="15"/>
  <c r="AM31" i="15" s="1"/>
  <c r="G31" i="15"/>
  <c r="H31" i="15"/>
  <c r="C33" i="15"/>
  <c r="AM33" i="15" s="1"/>
  <c r="G33" i="15"/>
  <c r="H33" i="15"/>
  <c r="H9" i="15"/>
  <c r="G9" i="15"/>
  <c r="C9" i="15"/>
  <c r="AM9" i="15" s="1"/>
  <c r="B31" i="15"/>
  <c r="A31" i="15" s="1"/>
  <c r="B33" i="15"/>
  <c r="A33" i="15" s="1"/>
  <c r="B10" i="15"/>
  <c r="A10" i="15" s="1"/>
  <c r="B11" i="15"/>
  <c r="A11" i="15" s="1"/>
  <c r="B12" i="15"/>
  <c r="A12" i="15" s="1"/>
  <c r="B13" i="15"/>
  <c r="A13" i="15" s="1"/>
  <c r="B14" i="15"/>
  <c r="A14" i="15" s="1"/>
  <c r="B15" i="15"/>
  <c r="A15" i="15" s="1"/>
  <c r="B16" i="15"/>
  <c r="A16" i="15" s="1"/>
  <c r="B19" i="15"/>
  <c r="A19" i="15" s="1"/>
  <c r="B20" i="15"/>
  <c r="A20" i="15" s="1"/>
  <c r="B21" i="15"/>
  <c r="A21" i="15" s="1"/>
  <c r="B22" i="15"/>
  <c r="A22" i="15" s="1"/>
  <c r="B23" i="15"/>
  <c r="A23" i="15" s="1"/>
  <c r="B24" i="15"/>
  <c r="A24" i="15" s="1"/>
  <c r="B25" i="15"/>
  <c r="A25" i="15" s="1"/>
  <c r="B26" i="15"/>
  <c r="A26" i="15" s="1"/>
  <c r="B27" i="15"/>
  <c r="A27" i="15" s="1"/>
  <c r="B28" i="15"/>
  <c r="A28" i="15" s="1"/>
  <c r="B29" i="15"/>
  <c r="A29" i="15" s="1"/>
  <c r="B30" i="15"/>
  <c r="A30" i="15" s="1"/>
  <c r="B9" i="15"/>
  <c r="A9" i="15" s="1"/>
  <c r="Y73" i="9"/>
  <c r="Y190" i="9"/>
  <c r="Y189" i="9"/>
  <c r="Y188" i="9"/>
  <c r="Y187" i="9"/>
  <c r="Y186" i="9"/>
  <c r="Y185" i="9"/>
  <c r="Y184" i="9"/>
  <c r="Y183" i="9"/>
  <c r="Y182" i="9"/>
  <c r="Y181" i="9"/>
  <c r="Y156" i="9"/>
  <c r="Y155" i="9"/>
  <c r="Y154" i="9"/>
  <c r="Y153" i="9"/>
  <c r="Y152" i="9"/>
  <c r="Y151" i="9"/>
  <c r="Y150" i="9"/>
  <c r="Y149" i="9"/>
  <c r="Y148" i="9"/>
  <c r="Y147" i="9"/>
  <c r="H182" i="9"/>
  <c r="H183" i="9"/>
  <c r="H184" i="9"/>
  <c r="H185" i="9"/>
  <c r="H186" i="9"/>
  <c r="H187" i="9"/>
  <c r="H188" i="9"/>
  <c r="H189" i="9"/>
  <c r="H190" i="9"/>
  <c r="H181" i="9"/>
  <c r="F190" i="9"/>
  <c r="M83" i="9" s="1"/>
  <c r="BE83" i="9" s="1"/>
  <c r="F189" i="9"/>
  <c r="F188" i="9"/>
  <c r="M81" i="9" s="1"/>
  <c r="BE81" i="9" s="1"/>
  <c r="F187" i="9"/>
  <c r="M80" i="9" s="1"/>
  <c r="BE80" i="9" s="1"/>
  <c r="F186" i="9"/>
  <c r="M79" i="9" s="1"/>
  <c r="BE79" i="9" s="1"/>
  <c r="F185" i="9"/>
  <c r="M78" i="9" s="1"/>
  <c r="BE78" i="9" s="1"/>
  <c r="F184" i="9"/>
  <c r="M77" i="9" s="1"/>
  <c r="BE77" i="9" s="1"/>
  <c r="F183" i="9"/>
  <c r="M76" i="9" s="1"/>
  <c r="BE76" i="9" s="1"/>
  <c r="F182" i="9"/>
  <c r="M75" i="9" s="1"/>
  <c r="BE75" i="9" s="1"/>
  <c r="F181" i="9"/>
  <c r="M74" i="9" s="1"/>
  <c r="BE74" i="9" s="1"/>
  <c r="L847" i="7"/>
  <c r="L848" i="7"/>
  <c r="L846" i="7"/>
  <c r="L845" i="7"/>
  <c r="V4" i="11"/>
  <c r="V67" i="10"/>
  <c r="AG66" i="10"/>
  <c r="AF66" i="10"/>
  <c r="AE66" i="10"/>
  <c r="AD66" i="10"/>
  <c r="AC66" i="10"/>
  <c r="AB66" i="10"/>
  <c r="AA66" i="10"/>
  <c r="Z66" i="10"/>
  <c r="Y66" i="10"/>
  <c r="X66" i="10"/>
  <c r="W66" i="10"/>
  <c r="V58" i="10"/>
  <c r="K58" i="10"/>
  <c r="J58" i="10"/>
  <c r="X643" i="15" s="1"/>
  <c r="Z643" i="15" s="1"/>
  <c r="H58" i="10"/>
  <c r="F58" i="10"/>
  <c r="BE57" i="10"/>
  <c r="BD57" i="10"/>
  <c r="BC57" i="10"/>
  <c r="BB57" i="10"/>
  <c r="AG57" i="10"/>
  <c r="AF57" i="10"/>
  <c r="AE57" i="10"/>
  <c r="AD57" i="10"/>
  <c r="AC57" i="10"/>
  <c r="AB57" i="10"/>
  <c r="AA57" i="10"/>
  <c r="Z57" i="10"/>
  <c r="Y57" i="10"/>
  <c r="X57" i="10"/>
  <c r="V55" i="10"/>
  <c r="V53" i="10"/>
  <c r="V52" i="10"/>
  <c r="V51" i="10"/>
  <c r="V50" i="10"/>
  <c r="V49" i="10"/>
  <c r="V48" i="10"/>
  <c r="AG47" i="10"/>
  <c r="AF47" i="10"/>
  <c r="AE47" i="10"/>
  <c r="AD47" i="10"/>
  <c r="AC47" i="10"/>
  <c r="AB47" i="10"/>
  <c r="AA47" i="10"/>
  <c r="Z47" i="10"/>
  <c r="Y47" i="10"/>
  <c r="X47" i="10"/>
  <c r="W47" i="10"/>
  <c r="BC36" i="10"/>
  <c r="BD36" i="10" s="1"/>
  <c r="X36" i="10"/>
  <c r="W36" i="10"/>
  <c r="K36" i="10"/>
  <c r="BE36" i="10" s="1"/>
  <c r="H36" i="10"/>
  <c r="F36" i="10"/>
  <c r="BC35" i="10"/>
  <c r="BD35" i="10" s="1"/>
  <c r="AE641" i="15" s="1"/>
  <c r="AC641" i="15" s="1"/>
  <c r="X35" i="10"/>
  <c r="W35" i="10"/>
  <c r="V35" i="10"/>
  <c r="V36" i="10" s="1"/>
  <c r="K35" i="10"/>
  <c r="H35" i="10"/>
  <c r="F35" i="10"/>
  <c r="BE34" i="10"/>
  <c r="BD34" i="10"/>
  <c r="BC34" i="10"/>
  <c r="BB34" i="10"/>
  <c r="AG34" i="10"/>
  <c r="AF34" i="10"/>
  <c r="AE34" i="10"/>
  <c r="AD34" i="10"/>
  <c r="AC34" i="10"/>
  <c r="AB34" i="10"/>
  <c r="AA34" i="10"/>
  <c r="Z34" i="10"/>
  <c r="Y34" i="10"/>
  <c r="X34" i="10"/>
  <c r="W34" i="10"/>
  <c r="V32" i="10"/>
  <c r="V29" i="10"/>
  <c r="AG28" i="10"/>
  <c r="AF28" i="10"/>
  <c r="AE28" i="10"/>
  <c r="AD28" i="10"/>
  <c r="AC28" i="10"/>
  <c r="AB28" i="10"/>
  <c r="AA28" i="10"/>
  <c r="Z28" i="10"/>
  <c r="Y28" i="10"/>
  <c r="X28" i="10"/>
  <c r="W28" i="10"/>
  <c r="BC22" i="10"/>
  <c r="V22" i="10"/>
  <c r="H22" i="10"/>
  <c r="I22" i="10" s="1"/>
  <c r="O640" i="15" s="1"/>
  <c r="U640" i="15" s="1"/>
  <c r="BE21" i="10"/>
  <c r="BD21" i="10"/>
  <c r="BC21" i="10"/>
  <c r="BB21" i="10"/>
  <c r="AG21" i="10"/>
  <c r="AF21" i="10"/>
  <c r="AE21" i="10"/>
  <c r="AD21" i="10"/>
  <c r="AC21" i="10"/>
  <c r="AB21" i="10"/>
  <c r="AA21" i="10"/>
  <c r="Z21" i="10"/>
  <c r="Y21" i="10"/>
  <c r="X21" i="10"/>
  <c r="W21" i="10"/>
  <c r="V19" i="10"/>
  <c r="V15" i="10"/>
  <c r="AG14" i="10"/>
  <c r="AF14" i="10"/>
  <c r="AE14" i="10"/>
  <c r="AD14" i="10"/>
  <c r="AC14" i="10"/>
  <c r="AB14" i="10"/>
  <c r="AA14" i="10"/>
  <c r="Z14" i="10"/>
  <c r="Y14" i="10"/>
  <c r="X14" i="10"/>
  <c r="W14" i="10"/>
  <c r="BC8" i="10"/>
  <c r="BD8" i="10" s="1"/>
  <c r="H8" i="10"/>
  <c r="F8" i="10"/>
  <c r="BC7" i="10"/>
  <c r="BD7" i="10" s="1"/>
  <c r="V7" i="10"/>
  <c r="V8" i="10" s="1"/>
  <c r="H7" i="10"/>
  <c r="I7" i="10" s="1"/>
  <c r="O638" i="15" s="1"/>
  <c r="U638" i="15" s="1"/>
  <c r="I638" i="15"/>
  <c r="V4" i="10"/>
  <c r="V613" i="9"/>
  <c r="V612" i="9"/>
  <c r="V611" i="9"/>
  <c r="V610" i="9"/>
  <c r="V609" i="9"/>
  <c r="V608" i="9"/>
  <c r="V607" i="9"/>
  <c r="F607" i="9"/>
  <c r="V606" i="9"/>
  <c r="F606" i="9"/>
  <c r="V605" i="9"/>
  <c r="F605" i="9"/>
  <c r="V604" i="9"/>
  <c r="F604" i="9"/>
  <c r="V603" i="9"/>
  <c r="F603" i="9"/>
  <c r="V602" i="9"/>
  <c r="F602" i="9"/>
  <c r="F600" i="9" s="1"/>
  <c r="F593" i="9" s="1"/>
  <c r="V601" i="9"/>
  <c r="V600" i="9"/>
  <c r="V599" i="9"/>
  <c r="AG598" i="9"/>
  <c r="AF598" i="9"/>
  <c r="AE598" i="9"/>
  <c r="AD598" i="9"/>
  <c r="AC598" i="9"/>
  <c r="AB598" i="9"/>
  <c r="AA598" i="9"/>
  <c r="Z598" i="9"/>
  <c r="Y598" i="9"/>
  <c r="X598" i="9"/>
  <c r="W598" i="9"/>
  <c r="J593" i="9"/>
  <c r="Y637" i="15" s="1"/>
  <c r="H593" i="9"/>
  <c r="V592" i="9"/>
  <c r="V593" i="9" s="1"/>
  <c r="K592" i="9"/>
  <c r="BE592" i="9" s="1"/>
  <c r="J592" i="9"/>
  <c r="BC592" i="9" s="1"/>
  <c r="H592" i="9"/>
  <c r="BE591" i="9"/>
  <c r="BD591" i="9"/>
  <c r="BC591" i="9"/>
  <c r="BB591" i="9"/>
  <c r="AG591" i="9"/>
  <c r="AF591" i="9"/>
  <c r="AE591" i="9"/>
  <c r="AD591" i="9"/>
  <c r="AC591" i="9"/>
  <c r="AB591" i="9"/>
  <c r="AA591" i="9"/>
  <c r="Z591" i="9"/>
  <c r="Y591" i="9"/>
  <c r="X591" i="9"/>
  <c r="W591" i="9"/>
  <c r="V589" i="9"/>
  <c r="V583" i="9"/>
  <c r="V582" i="9"/>
  <c r="V581" i="9"/>
  <c r="V580" i="9"/>
  <c r="V579" i="9"/>
  <c r="V578" i="9"/>
  <c r="V577" i="9"/>
  <c r="V576" i="9"/>
  <c r="V575" i="9"/>
  <c r="V574" i="9"/>
  <c r="V573" i="9"/>
  <c r="V572" i="9"/>
  <c r="AG566" i="9"/>
  <c r="AF566" i="9"/>
  <c r="AE566" i="9"/>
  <c r="AD566" i="9"/>
  <c r="AC566" i="9"/>
  <c r="AB566" i="9"/>
  <c r="AA566" i="9"/>
  <c r="Z566" i="9"/>
  <c r="Y566" i="9"/>
  <c r="X566" i="9"/>
  <c r="W566" i="9"/>
  <c r="V543" i="9"/>
  <c r="N543" i="9"/>
  <c r="BE543" i="9" s="1"/>
  <c r="M543" i="9"/>
  <c r="BC543" i="9" s="1"/>
  <c r="BD543" i="9" s="1"/>
  <c r="K543" i="9"/>
  <c r="J543" i="9"/>
  <c r="I543" i="9"/>
  <c r="H543" i="9"/>
  <c r="BE542" i="9"/>
  <c r="BD542" i="9"/>
  <c r="BC542" i="9"/>
  <c r="BB542" i="9"/>
  <c r="AG542" i="9"/>
  <c r="AF542" i="9"/>
  <c r="AE542" i="9"/>
  <c r="AD542" i="9"/>
  <c r="AC542" i="9"/>
  <c r="AB542" i="9"/>
  <c r="AA542" i="9"/>
  <c r="Z542" i="9"/>
  <c r="Y542" i="9"/>
  <c r="X542" i="9"/>
  <c r="W542" i="9"/>
  <c r="V540" i="9"/>
  <c r="AG524" i="9"/>
  <c r="AF524" i="9"/>
  <c r="AE524" i="9"/>
  <c r="AD524" i="9"/>
  <c r="AC524" i="9"/>
  <c r="AB524" i="9"/>
  <c r="AA524" i="9"/>
  <c r="Z524" i="9"/>
  <c r="Y524" i="9"/>
  <c r="X524" i="9"/>
  <c r="X518" i="9"/>
  <c r="W518" i="9"/>
  <c r="L518" i="9"/>
  <c r="AI634" i="15" s="1"/>
  <c r="X634" i="15"/>
  <c r="Z634" i="15" s="1"/>
  <c r="G518" i="9"/>
  <c r="C634" i="15" s="1"/>
  <c r="AM634" i="15" s="1"/>
  <c r="E518" i="9"/>
  <c r="G634" i="15" s="1"/>
  <c r="X517" i="9"/>
  <c r="W517" i="9"/>
  <c r="L517" i="9"/>
  <c r="AI633" i="15" s="1"/>
  <c r="X633" i="15"/>
  <c r="Z633" i="15" s="1"/>
  <c r="G517" i="9"/>
  <c r="C633" i="15" s="1"/>
  <c r="AM633" i="15" s="1"/>
  <c r="E517" i="9"/>
  <c r="G633" i="15" s="1"/>
  <c r="X516" i="9"/>
  <c r="W516" i="9"/>
  <c r="L516" i="9"/>
  <c r="AI632" i="15" s="1"/>
  <c r="X632" i="15"/>
  <c r="Z632" i="15" s="1"/>
  <c r="G516" i="9"/>
  <c r="C632" i="15" s="1"/>
  <c r="AM632" i="15" s="1"/>
  <c r="E516" i="9"/>
  <c r="G632" i="15" s="1"/>
  <c r="X515" i="9"/>
  <c r="W515" i="9"/>
  <c r="L515" i="9"/>
  <c r="AI631" i="15" s="1"/>
  <c r="X631" i="15"/>
  <c r="Z631" i="15" s="1"/>
  <c r="G515" i="9"/>
  <c r="C631" i="15" s="1"/>
  <c r="AM631" i="15" s="1"/>
  <c r="E515" i="9"/>
  <c r="G631" i="15" s="1"/>
  <c r="X514" i="9"/>
  <c r="W514" i="9"/>
  <c r="L514" i="9"/>
  <c r="AI630" i="15" s="1"/>
  <c r="X630" i="15"/>
  <c r="Z630" i="15" s="1"/>
  <c r="G514" i="9"/>
  <c r="E514" i="9"/>
  <c r="G630" i="15" s="1"/>
  <c r="X513" i="9"/>
  <c r="W513" i="9"/>
  <c r="L513" i="9"/>
  <c r="AI629" i="15" s="1"/>
  <c r="X629" i="15"/>
  <c r="Z629" i="15" s="1"/>
  <c r="G513" i="9"/>
  <c r="C629" i="15" s="1"/>
  <c r="AM629" i="15" s="1"/>
  <c r="E513" i="9"/>
  <c r="G629" i="15" s="1"/>
  <c r="X512" i="9"/>
  <c r="W512" i="9"/>
  <c r="L512" i="9"/>
  <c r="AI628" i="15" s="1"/>
  <c r="X628" i="15"/>
  <c r="Z628" i="15" s="1"/>
  <c r="G512" i="9"/>
  <c r="E512" i="9"/>
  <c r="G628" i="15" s="1"/>
  <c r="X511" i="9"/>
  <c r="W511" i="9"/>
  <c r="L511" i="9"/>
  <c r="AI627" i="15" s="1"/>
  <c r="X627" i="15"/>
  <c r="Z627" i="15" s="1"/>
  <c r="G511" i="9"/>
  <c r="E511" i="9"/>
  <c r="G627" i="15" s="1"/>
  <c r="X510" i="9"/>
  <c r="W510" i="9"/>
  <c r="V510" i="9"/>
  <c r="V511" i="9" s="1"/>
  <c r="V512" i="9" s="1"/>
  <c r="V513" i="9" s="1"/>
  <c r="V514" i="9" s="1"/>
  <c r="V515" i="9" s="1"/>
  <c r="V516" i="9" s="1"/>
  <c r="V517" i="9" s="1"/>
  <c r="V518" i="9" s="1"/>
  <c r="X626" i="15"/>
  <c r="Z626" i="15" s="1"/>
  <c r="G510" i="9"/>
  <c r="E510" i="9"/>
  <c r="G626" i="15" s="1"/>
  <c r="BE509" i="9"/>
  <c r="BD509" i="9"/>
  <c r="BC509" i="9"/>
  <c r="BB509" i="9"/>
  <c r="AG509" i="9"/>
  <c r="AF509" i="9"/>
  <c r="AE509" i="9"/>
  <c r="AD509" i="9"/>
  <c r="AC509" i="9"/>
  <c r="AB509" i="9"/>
  <c r="AA509" i="9"/>
  <c r="Z509" i="9"/>
  <c r="Y509" i="9"/>
  <c r="X509" i="9"/>
  <c r="W509" i="9"/>
  <c r="V507" i="9"/>
  <c r="G495" i="9"/>
  <c r="F482" i="9" s="1"/>
  <c r="G494" i="9"/>
  <c r="F481" i="9" s="1"/>
  <c r="AG489" i="9"/>
  <c r="AF489" i="9"/>
  <c r="AE489" i="9"/>
  <c r="AD489" i="9"/>
  <c r="AC489" i="9"/>
  <c r="AB489" i="9"/>
  <c r="AA489" i="9"/>
  <c r="Z489" i="9"/>
  <c r="Y489" i="9"/>
  <c r="X489" i="9"/>
  <c r="W489" i="9"/>
  <c r="K482" i="9"/>
  <c r="BE482" i="9" s="1"/>
  <c r="J482" i="9"/>
  <c r="BC482" i="9" s="1"/>
  <c r="H482" i="9"/>
  <c r="K481" i="9"/>
  <c r="BE481" i="9" s="1"/>
  <c r="J481" i="9"/>
  <c r="X624" i="15" s="1"/>
  <c r="Z624" i="15" s="1"/>
  <c r="H481" i="9"/>
  <c r="K480" i="9"/>
  <c r="BE480" i="9" s="1"/>
  <c r="J480" i="9"/>
  <c r="X623" i="15" s="1"/>
  <c r="Z623" i="15" s="1"/>
  <c r="H480" i="9"/>
  <c r="F480" i="9"/>
  <c r="K479" i="9"/>
  <c r="BE479" i="9" s="1"/>
  <c r="J479" i="9"/>
  <c r="X622" i="15" s="1"/>
  <c r="Z622" i="15" s="1"/>
  <c r="H479" i="9"/>
  <c r="F479" i="9"/>
  <c r="K478" i="9"/>
  <c r="BE478" i="9" s="1"/>
  <c r="J478" i="9"/>
  <c r="X621" i="15" s="1"/>
  <c r="Z621" i="15" s="1"/>
  <c r="H478" i="9"/>
  <c r="F478" i="9"/>
  <c r="V477" i="9"/>
  <c r="V478" i="9" s="1"/>
  <c r="V479" i="9" s="1"/>
  <c r="V480" i="9" s="1"/>
  <c r="V481" i="9" s="1"/>
  <c r="V482" i="9" s="1"/>
  <c r="K477" i="9"/>
  <c r="BE477" i="9" s="1"/>
  <c r="J477" i="9"/>
  <c r="X620" i="15" s="1"/>
  <c r="Z620" i="15" s="1"/>
  <c r="H477" i="9"/>
  <c r="F477" i="9"/>
  <c r="BE476" i="9"/>
  <c r="BD476" i="9"/>
  <c r="BC476" i="9"/>
  <c r="BB476" i="9"/>
  <c r="AG476" i="9"/>
  <c r="AF476" i="9"/>
  <c r="AE476" i="9"/>
  <c r="AD476" i="9"/>
  <c r="AC476" i="9"/>
  <c r="AB476" i="9"/>
  <c r="AA476" i="9"/>
  <c r="Z476" i="9"/>
  <c r="Y476" i="9"/>
  <c r="X476" i="9"/>
  <c r="W476" i="9"/>
  <c r="V474" i="9"/>
  <c r="V468" i="9"/>
  <c r="V467" i="9"/>
  <c r="V466" i="9"/>
  <c r="V465" i="9"/>
  <c r="V464" i="9"/>
  <c r="V463" i="9"/>
  <c r="V462" i="9"/>
  <c r="V461" i="9"/>
  <c r="V460" i="9"/>
  <c r="V459" i="9"/>
  <c r="V458" i="9"/>
  <c r="V457" i="9"/>
  <c r="V456" i="9"/>
  <c r="V455" i="9"/>
  <c r="V454" i="9"/>
  <c r="V453" i="9"/>
  <c r="V452" i="9"/>
  <c r="AG451" i="9"/>
  <c r="AF451" i="9"/>
  <c r="AE451" i="9"/>
  <c r="AD451" i="9"/>
  <c r="AC451" i="9"/>
  <c r="AB451" i="9"/>
  <c r="AA451" i="9"/>
  <c r="Z451" i="9"/>
  <c r="Y451" i="9"/>
  <c r="X451" i="9"/>
  <c r="W451" i="9"/>
  <c r="V441" i="9"/>
  <c r="L441" i="9"/>
  <c r="BE441" i="9" s="1"/>
  <c r="K441" i="9"/>
  <c r="X619" i="15" s="1"/>
  <c r="Z619" i="15" s="1"/>
  <c r="I441" i="9"/>
  <c r="F441" i="9" s="1"/>
  <c r="H441" i="9"/>
  <c r="BE440" i="9"/>
  <c r="BD440" i="9"/>
  <c r="BC440" i="9"/>
  <c r="BB440" i="9"/>
  <c r="AG440" i="9"/>
  <c r="AF440" i="9"/>
  <c r="AE440" i="9"/>
  <c r="AD440" i="9"/>
  <c r="AC440" i="9"/>
  <c r="AB440" i="9"/>
  <c r="AA440" i="9"/>
  <c r="Z440" i="9"/>
  <c r="Y440" i="9"/>
  <c r="X440" i="9"/>
  <c r="W440" i="9"/>
  <c r="V438" i="9"/>
  <c r="V433" i="9"/>
  <c r="V432" i="9"/>
  <c r="V431" i="9"/>
  <c r="V430" i="9"/>
  <c r="V429" i="9"/>
  <c r="V428" i="9"/>
  <c r="V427" i="9"/>
  <c r="V426" i="9"/>
  <c r="V425" i="9"/>
  <c r="V424" i="9"/>
  <c r="V423" i="9"/>
  <c r="V422" i="9"/>
  <c r="V421" i="9"/>
  <c r="V420" i="9"/>
  <c r="V419" i="9"/>
  <c r="V418" i="9"/>
  <c r="V417" i="9"/>
  <c r="AG416" i="9"/>
  <c r="AF416" i="9"/>
  <c r="AE416" i="9"/>
  <c r="AD416" i="9"/>
  <c r="AC416" i="9"/>
  <c r="AB416" i="9"/>
  <c r="AA416" i="9"/>
  <c r="Z416" i="9"/>
  <c r="Y416" i="9"/>
  <c r="X416" i="9"/>
  <c r="W416" i="9"/>
  <c r="V406" i="9"/>
  <c r="L406" i="9"/>
  <c r="BE406" i="9" s="1"/>
  <c r="K406" i="9"/>
  <c r="BC406" i="9" s="1"/>
  <c r="BD406" i="9" s="1"/>
  <c r="I406" i="9"/>
  <c r="F406" i="9" s="1"/>
  <c r="H406" i="9"/>
  <c r="BE405" i="9"/>
  <c r="BD405" i="9"/>
  <c r="BC405" i="9"/>
  <c r="BB405" i="9"/>
  <c r="AG405" i="9"/>
  <c r="AF405" i="9"/>
  <c r="AE405" i="9"/>
  <c r="AD405" i="9"/>
  <c r="AC405" i="9"/>
  <c r="AB405" i="9"/>
  <c r="AA405" i="9"/>
  <c r="Z405" i="9"/>
  <c r="Y405" i="9"/>
  <c r="X405" i="9"/>
  <c r="W405" i="9"/>
  <c r="V403" i="9"/>
  <c r="V398" i="9"/>
  <c r="V397" i="9"/>
  <c r="V396" i="9"/>
  <c r="V395" i="9"/>
  <c r="V394" i="9"/>
  <c r="V393" i="9"/>
  <c r="V392" i="9"/>
  <c r="V391" i="9"/>
  <c r="V390" i="9"/>
  <c r="V389" i="9"/>
  <c r="V388" i="9"/>
  <c r="V387" i="9"/>
  <c r="V386" i="9"/>
  <c r="V385" i="9"/>
  <c r="V384" i="9"/>
  <c r="V383" i="9"/>
  <c r="V382" i="9"/>
  <c r="AG381" i="9"/>
  <c r="AF381" i="9"/>
  <c r="AE381" i="9"/>
  <c r="AD381" i="9"/>
  <c r="AC381" i="9"/>
  <c r="AB381" i="9"/>
  <c r="AA381" i="9"/>
  <c r="Z381" i="9"/>
  <c r="Y381" i="9"/>
  <c r="X381" i="9"/>
  <c r="W381" i="9"/>
  <c r="V371" i="9"/>
  <c r="L371" i="9"/>
  <c r="K371" i="9"/>
  <c r="X617" i="15" s="1"/>
  <c r="Z617" i="15" s="1"/>
  <c r="I371" i="9"/>
  <c r="F371" i="9" s="1"/>
  <c r="H371" i="9"/>
  <c r="BE370" i="9"/>
  <c r="BD370" i="9"/>
  <c r="BC370" i="9"/>
  <c r="BB370" i="9"/>
  <c r="AG370" i="9"/>
  <c r="AF370" i="9"/>
  <c r="AE370" i="9"/>
  <c r="AD370" i="9"/>
  <c r="AC370" i="9"/>
  <c r="AB370" i="9"/>
  <c r="AA370" i="9"/>
  <c r="Z370" i="9"/>
  <c r="Y370" i="9"/>
  <c r="X370" i="9"/>
  <c r="W370" i="9"/>
  <c r="V368" i="9"/>
  <c r="W361" i="9"/>
  <c r="F361" i="9"/>
  <c r="V349" i="9"/>
  <c r="V347" i="9"/>
  <c r="V346" i="9"/>
  <c r="V345" i="9"/>
  <c r="Y343" i="9"/>
  <c r="X343" i="9"/>
  <c r="W343" i="9"/>
  <c r="V343" i="9"/>
  <c r="V342" i="9"/>
  <c r="Y340" i="9"/>
  <c r="X340" i="9"/>
  <c r="W340" i="9"/>
  <c r="V340" i="9"/>
  <c r="V339" i="9"/>
  <c r="V338" i="9"/>
  <c r="X334" i="9"/>
  <c r="W334" i="9"/>
  <c r="E334" i="9"/>
  <c r="E362" i="9" s="1"/>
  <c r="X333" i="9"/>
  <c r="W333" i="9"/>
  <c r="E333" i="9"/>
  <c r="E361" i="9" s="1"/>
  <c r="X330" i="9"/>
  <c r="W330" i="9"/>
  <c r="E330" i="9"/>
  <c r="E358" i="9" s="1"/>
  <c r="X329" i="9"/>
  <c r="W329" i="9"/>
  <c r="G329" i="9"/>
  <c r="E329" i="9"/>
  <c r="E357" i="9" s="1"/>
  <c r="X328" i="9"/>
  <c r="W328" i="9"/>
  <c r="E328" i="9"/>
  <c r="E356" i="9" s="1"/>
  <c r="X327" i="9"/>
  <c r="W327" i="9"/>
  <c r="G327" i="9"/>
  <c r="E327" i="9"/>
  <c r="E355" i="9" s="1"/>
  <c r="X326" i="9"/>
  <c r="W326" i="9"/>
  <c r="E326" i="9"/>
  <c r="E354" i="9" s="1"/>
  <c r="X325" i="9"/>
  <c r="W325" i="9"/>
  <c r="G325" i="9"/>
  <c r="E325" i="9"/>
  <c r="E353" i="9" s="1"/>
  <c r="E324" i="9"/>
  <c r="E352" i="9" s="1"/>
  <c r="X323" i="9"/>
  <c r="W323" i="9"/>
  <c r="E323" i="9"/>
  <c r="E351" i="9" s="1"/>
  <c r="E322" i="9"/>
  <c r="E350" i="9" s="1"/>
  <c r="V321" i="9"/>
  <c r="E321" i="9"/>
  <c r="E349" i="9" s="1"/>
  <c r="E320" i="9"/>
  <c r="X317" i="9"/>
  <c r="W317" i="9"/>
  <c r="E317" i="9"/>
  <c r="X316" i="9"/>
  <c r="W316" i="9"/>
  <c r="E316" i="9"/>
  <c r="X313" i="9"/>
  <c r="W313" i="9"/>
  <c r="E313" i="9"/>
  <c r="X312" i="9"/>
  <c r="W312" i="9"/>
  <c r="G312" i="9"/>
  <c r="E312" i="9"/>
  <c r="X311" i="9"/>
  <c r="W311" i="9"/>
  <c r="E311" i="9"/>
  <c r="X310" i="9"/>
  <c r="W310" i="9"/>
  <c r="G310" i="9"/>
  <c r="E310" i="9"/>
  <c r="X309" i="9"/>
  <c r="W309" i="9"/>
  <c r="E309" i="9"/>
  <c r="X308" i="9"/>
  <c r="W308" i="9"/>
  <c r="G308" i="9"/>
  <c r="E308" i="9"/>
  <c r="E307" i="9"/>
  <c r="X306" i="9"/>
  <c r="W306" i="9"/>
  <c r="E306" i="9"/>
  <c r="E305" i="9"/>
  <c r="V304" i="9"/>
  <c r="E304" i="9"/>
  <c r="AG303" i="9"/>
  <c r="AF303" i="9"/>
  <c r="AE303" i="9"/>
  <c r="AD303" i="9"/>
  <c r="AC303" i="9"/>
  <c r="AA303" i="9"/>
  <c r="Z303" i="9"/>
  <c r="Y303" i="9"/>
  <c r="X303" i="9"/>
  <c r="W303" i="9"/>
  <c r="BC291" i="9"/>
  <c r="O288" i="9"/>
  <c r="J288" i="9"/>
  <c r="M288" i="9" s="1"/>
  <c r="O613" i="15" s="1"/>
  <c r="BB287" i="9"/>
  <c r="O287" i="9"/>
  <c r="J287" i="9"/>
  <c r="BC284" i="9"/>
  <c r="O284" i="9"/>
  <c r="J284" i="9"/>
  <c r="H284" i="9"/>
  <c r="BC283" i="9"/>
  <c r="O283" i="9"/>
  <c r="J283" i="9"/>
  <c r="H283" i="9"/>
  <c r="BC282" i="9"/>
  <c r="O282" i="9"/>
  <c r="J282" i="9"/>
  <c r="H282" i="9"/>
  <c r="BC281" i="9"/>
  <c r="O281" i="9"/>
  <c r="J281" i="9"/>
  <c r="H281" i="9"/>
  <c r="BC280" i="9"/>
  <c r="O280" i="9"/>
  <c r="J280" i="9"/>
  <c r="H280" i="9"/>
  <c r="BC279" i="9"/>
  <c r="O279" i="9"/>
  <c r="J279" i="9"/>
  <c r="H279" i="9"/>
  <c r="BC278" i="9"/>
  <c r="O278" i="9"/>
  <c r="J278" i="9"/>
  <c r="H278" i="9"/>
  <c r="BC277" i="9"/>
  <c r="O277" i="9"/>
  <c r="J277" i="9"/>
  <c r="H277" i="9"/>
  <c r="BC276" i="9"/>
  <c r="O276" i="9"/>
  <c r="J276" i="9"/>
  <c r="H276" i="9"/>
  <c r="BC275" i="9"/>
  <c r="O275" i="9"/>
  <c r="L275" i="9"/>
  <c r="K275" i="9"/>
  <c r="J275" i="9"/>
  <c r="H275" i="9"/>
  <c r="BE274" i="9"/>
  <c r="BD274" i="9"/>
  <c r="BC274" i="9"/>
  <c r="BB274" i="9"/>
  <c r="AG274" i="9"/>
  <c r="AF274" i="9"/>
  <c r="AE274" i="9"/>
  <c r="AD274" i="9"/>
  <c r="AC274" i="9"/>
  <c r="AB274" i="9"/>
  <c r="AA274" i="9"/>
  <c r="Z274" i="9"/>
  <c r="Y274" i="9"/>
  <c r="X274" i="9"/>
  <c r="W274" i="9"/>
  <c r="V272" i="9"/>
  <c r="F269" i="9"/>
  <c r="F268" i="9"/>
  <c r="F267" i="9"/>
  <c r="F266" i="9"/>
  <c r="E263" i="9"/>
  <c r="Q262" i="9"/>
  <c r="R257" i="9" s="1"/>
  <c r="I268" i="9" s="1"/>
  <c r="O227" i="9" s="1"/>
  <c r="BE227" i="9" s="1"/>
  <c r="E257" i="9"/>
  <c r="E256" i="9"/>
  <c r="E253" i="9"/>
  <c r="E252" i="9"/>
  <c r="E251" i="9"/>
  <c r="AG247" i="9"/>
  <c r="AF247" i="9"/>
  <c r="AE247" i="9"/>
  <c r="AD247" i="9"/>
  <c r="AC247" i="9"/>
  <c r="AB247" i="9"/>
  <c r="AA247" i="9"/>
  <c r="Z247" i="9"/>
  <c r="Y247" i="9"/>
  <c r="X247" i="9"/>
  <c r="W247" i="9"/>
  <c r="N228" i="9"/>
  <c r="BC228" i="9" s="1"/>
  <c r="H228" i="9"/>
  <c r="V227" i="9"/>
  <c r="V228" i="9" s="1"/>
  <c r="N227" i="9"/>
  <c r="BC227" i="9" s="1"/>
  <c r="H227" i="9"/>
  <c r="BE226" i="9"/>
  <c r="BD226" i="9"/>
  <c r="BC226" i="9"/>
  <c r="BB226" i="9"/>
  <c r="AG226" i="9"/>
  <c r="AF226" i="9"/>
  <c r="AE226" i="9"/>
  <c r="AC226" i="9"/>
  <c r="AB226" i="9"/>
  <c r="AA226" i="9"/>
  <c r="Z226" i="9"/>
  <c r="Y226" i="9"/>
  <c r="X226" i="9"/>
  <c r="W226" i="9"/>
  <c r="V221" i="9"/>
  <c r="W220" i="9"/>
  <c r="X220" i="9" s="1"/>
  <c r="Y220" i="9" s="1"/>
  <c r="Z220" i="9" s="1"/>
  <c r="AA220" i="9" s="1"/>
  <c r="V220" i="9"/>
  <c r="W219" i="9"/>
  <c r="X219" i="9" s="1"/>
  <c r="Y219" i="9" s="1"/>
  <c r="Z219" i="9" s="1"/>
  <c r="AA219" i="9" s="1"/>
  <c r="V219" i="9"/>
  <c r="V217" i="9"/>
  <c r="V216" i="9"/>
  <c r="V215" i="9"/>
  <c r="V214" i="9"/>
  <c r="V213" i="9"/>
  <c r="V211" i="9"/>
  <c r="V210" i="9"/>
  <c r="V209" i="9"/>
  <c r="AG208" i="9"/>
  <c r="AF208" i="9"/>
  <c r="AE208" i="9"/>
  <c r="AD208" i="9"/>
  <c r="AC208" i="9"/>
  <c r="AB208" i="9"/>
  <c r="AA208" i="9"/>
  <c r="Z208" i="9"/>
  <c r="Y208" i="9"/>
  <c r="X208" i="9"/>
  <c r="W208" i="9"/>
  <c r="J197" i="9"/>
  <c r="I197" i="9"/>
  <c r="H197" i="9"/>
  <c r="E197" i="9"/>
  <c r="G598" i="15" s="1"/>
  <c r="V196" i="9"/>
  <c r="V197" i="9" s="1"/>
  <c r="M196" i="9"/>
  <c r="L196" i="9"/>
  <c r="BC196" i="9" s="1"/>
  <c r="J196" i="9"/>
  <c r="I196" i="9"/>
  <c r="H196" i="9"/>
  <c r="BE195" i="9"/>
  <c r="BD195" i="9"/>
  <c r="BC195" i="9"/>
  <c r="BB195" i="9"/>
  <c r="AG195" i="9"/>
  <c r="AF195" i="9"/>
  <c r="AE195" i="9"/>
  <c r="AD195" i="9"/>
  <c r="AC195" i="9"/>
  <c r="AB195" i="9"/>
  <c r="Y195" i="9"/>
  <c r="X195" i="9"/>
  <c r="W195" i="9"/>
  <c r="V193" i="9"/>
  <c r="V170" i="9"/>
  <c r="V160" i="9"/>
  <c r="V159" i="9"/>
  <c r="V158" i="9"/>
  <c r="V157" i="9"/>
  <c r="F155" i="9"/>
  <c r="I82" i="9" s="1"/>
  <c r="F153" i="9"/>
  <c r="F151" i="9"/>
  <c r="F149" i="9"/>
  <c r="V147" i="9"/>
  <c r="V137" i="9"/>
  <c r="V136" i="9"/>
  <c r="V135" i="9"/>
  <c r="V134" i="9"/>
  <c r="X133" i="9"/>
  <c r="X156" i="9" s="1"/>
  <c r="W133" i="9"/>
  <c r="W156" i="9" s="1"/>
  <c r="X132" i="9"/>
  <c r="X155" i="9" s="1"/>
  <c r="W132" i="9"/>
  <c r="W155" i="9" s="1"/>
  <c r="X131" i="9"/>
  <c r="X154" i="9" s="1"/>
  <c r="W131" i="9"/>
  <c r="W154" i="9" s="1"/>
  <c r="F154" i="9"/>
  <c r="X130" i="9"/>
  <c r="X153" i="9" s="1"/>
  <c r="W130" i="9"/>
  <c r="W153" i="9" s="1"/>
  <c r="N80" i="9"/>
  <c r="X129" i="9"/>
  <c r="X152" i="9" s="1"/>
  <c r="W129" i="9"/>
  <c r="W152" i="9" s="1"/>
  <c r="N79" i="9"/>
  <c r="X128" i="9"/>
  <c r="X151" i="9" s="1"/>
  <c r="W128" i="9"/>
  <c r="W151" i="9" s="1"/>
  <c r="X127" i="9"/>
  <c r="X150" i="9" s="1"/>
  <c r="W127" i="9"/>
  <c r="W150" i="9" s="1"/>
  <c r="F150" i="9"/>
  <c r="X126" i="9"/>
  <c r="X149" i="9" s="1"/>
  <c r="W126" i="9"/>
  <c r="W149" i="9" s="1"/>
  <c r="X125" i="9"/>
  <c r="X148" i="9" s="1"/>
  <c r="W125" i="9"/>
  <c r="W148" i="9" s="1"/>
  <c r="X124" i="9"/>
  <c r="X147" i="9" s="1"/>
  <c r="W124" i="9"/>
  <c r="W147" i="9" s="1"/>
  <c r="V124" i="9"/>
  <c r="V114" i="9"/>
  <c r="V104" i="9"/>
  <c r="V94" i="9"/>
  <c r="AG93" i="9"/>
  <c r="AF93" i="9"/>
  <c r="AE93" i="9"/>
  <c r="AD93" i="9"/>
  <c r="AC93" i="9"/>
  <c r="AA93" i="9"/>
  <c r="Z93" i="9"/>
  <c r="Y93" i="9"/>
  <c r="X93" i="9"/>
  <c r="W93" i="9"/>
  <c r="N83" i="9"/>
  <c r="L83" i="9"/>
  <c r="BC83" i="9" s="1"/>
  <c r="J83" i="9"/>
  <c r="H83" i="9"/>
  <c r="M82" i="9"/>
  <c r="L82" i="9"/>
  <c r="BC82" i="9" s="1"/>
  <c r="H82" i="9"/>
  <c r="N81" i="9"/>
  <c r="L81" i="9"/>
  <c r="BC81" i="9" s="1"/>
  <c r="J81" i="9"/>
  <c r="H81" i="9"/>
  <c r="L80" i="9"/>
  <c r="X593" i="15" s="1"/>
  <c r="Z593" i="15" s="1"/>
  <c r="H80" i="9"/>
  <c r="L79" i="9"/>
  <c r="X592" i="15" s="1"/>
  <c r="Z592" i="15" s="1"/>
  <c r="H79" i="9"/>
  <c r="L78" i="9"/>
  <c r="X591" i="15" s="1"/>
  <c r="Z591" i="15" s="1"/>
  <c r="H78" i="9"/>
  <c r="L77" i="9"/>
  <c r="BC77" i="9" s="1"/>
  <c r="J77" i="9"/>
  <c r="H77" i="9"/>
  <c r="N76" i="9"/>
  <c r="L76" i="9"/>
  <c r="BC76" i="9" s="1"/>
  <c r="J76" i="9"/>
  <c r="H76" i="9"/>
  <c r="N75" i="9"/>
  <c r="L75" i="9"/>
  <c r="X588" i="15" s="1"/>
  <c r="Z588" i="15" s="1"/>
  <c r="J75" i="9"/>
  <c r="H75" i="9"/>
  <c r="V74" i="9"/>
  <c r="V75" i="9" s="1"/>
  <c r="V76" i="9" s="1"/>
  <c r="V77" i="9" s="1"/>
  <c r="V78" i="9" s="1"/>
  <c r="V79" i="9" s="1"/>
  <c r="V80" i="9" s="1"/>
  <c r="V81" i="9" s="1"/>
  <c r="V82" i="9" s="1"/>
  <c r="V83" i="9" s="1"/>
  <c r="L74" i="9"/>
  <c r="BC74" i="9" s="1"/>
  <c r="H74" i="9"/>
  <c r="BE73" i="9"/>
  <c r="BD73" i="9"/>
  <c r="BC73" i="9"/>
  <c r="BB73" i="9"/>
  <c r="AG73" i="9"/>
  <c r="AF73" i="9"/>
  <c r="AE73" i="9"/>
  <c r="AD73" i="9"/>
  <c r="AC73" i="9"/>
  <c r="AB73" i="9"/>
  <c r="AA73" i="9"/>
  <c r="Z73" i="9"/>
  <c r="X73" i="9"/>
  <c r="W73" i="9"/>
  <c r="V71" i="9"/>
  <c r="E35" i="9"/>
  <c r="E585" i="9" s="1"/>
  <c r="D35" i="9"/>
  <c r="D585" i="9" s="1"/>
  <c r="V585" i="9" s="1"/>
  <c r="E34" i="9"/>
  <c r="E614" i="9" s="1"/>
  <c r="D34" i="9"/>
  <c r="V34" i="9" s="1"/>
  <c r="V33" i="9"/>
  <c r="Y31" i="9"/>
  <c r="X31" i="9"/>
  <c r="W31" i="9"/>
  <c r="G31" i="9"/>
  <c r="Y30" i="9"/>
  <c r="X30" i="9"/>
  <c r="W30" i="9"/>
  <c r="G30" i="9"/>
  <c r="Y29" i="9"/>
  <c r="X29" i="9"/>
  <c r="W29" i="9"/>
  <c r="G29" i="9"/>
  <c r="Y28" i="9"/>
  <c r="X28" i="9"/>
  <c r="W28" i="9"/>
  <c r="V28" i="9"/>
  <c r="G28" i="9"/>
  <c r="F7" i="9" s="1"/>
  <c r="AC7" i="9" s="1"/>
  <c r="V27" i="9"/>
  <c r="V26" i="9"/>
  <c r="AG23" i="9"/>
  <c r="AF23" i="9"/>
  <c r="AE23" i="9"/>
  <c r="AD23" i="9"/>
  <c r="AC23" i="9"/>
  <c r="AA23" i="9"/>
  <c r="Z23" i="9"/>
  <c r="Y23" i="9"/>
  <c r="X23" i="9"/>
  <c r="W23" i="9"/>
  <c r="J14" i="9"/>
  <c r="BC14" i="9" s="1"/>
  <c r="H14" i="9"/>
  <c r="E14" i="9"/>
  <c r="G582" i="15" s="1"/>
  <c r="K13" i="9"/>
  <c r="BE13" i="9" s="1"/>
  <c r="J13" i="9"/>
  <c r="X581" i="15" s="1"/>
  <c r="Z581" i="15" s="1"/>
  <c r="H13" i="9"/>
  <c r="J12" i="9"/>
  <c r="BC12" i="9" s="1"/>
  <c r="H12" i="9"/>
  <c r="E12" i="9"/>
  <c r="G580" i="15" s="1"/>
  <c r="K11" i="9"/>
  <c r="J11" i="9"/>
  <c r="BC11" i="9" s="1"/>
  <c r="H11" i="9"/>
  <c r="J10" i="9"/>
  <c r="X578" i="15" s="1"/>
  <c r="Z578" i="15" s="1"/>
  <c r="H10" i="9"/>
  <c r="E10" i="9"/>
  <c r="G578" i="15" s="1"/>
  <c r="K9" i="9"/>
  <c r="BE9" i="9" s="1"/>
  <c r="J9" i="9"/>
  <c r="H9" i="9"/>
  <c r="J8" i="9"/>
  <c r="H8" i="9"/>
  <c r="E8" i="9"/>
  <c r="G576" i="15" s="1"/>
  <c r="V7" i="9"/>
  <c r="V8" i="9" s="1"/>
  <c r="V9" i="9" s="1"/>
  <c r="V10" i="9" s="1"/>
  <c r="V11" i="9" s="1"/>
  <c r="V12" i="9" s="1"/>
  <c r="V13" i="9" s="1"/>
  <c r="V14" i="9" s="1"/>
  <c r="V15" i="9" s="1"/>
  <c r="V16" i="9" s="1"/>
  <c r="K7" i="9"/>
  <c r="J7" i="9"/>
  <c r="H7" i="9"/>
  <c r="V4" i="9"/>
  <c r="V4" i="8"/>
  <c r="AS1374" i="7"/>
  <c r="AR1374" i="7"/>
  <c r="AQ1374" i="7"/>
  <c r="AP1374" i="7"/>
  <c r="AO1374" i="7"/>
  <c r="AN1374" i="7"/>
  <c r="AM1374" i="7"/>
  <c r="AL1374" i="7"/>
  <c r="AK1374" i="7"/>
  <c r="AJ1374" i="7"/>
  <c r="AG1374" i="7"/>
  <c r="AF1374" i="7"/>
  <c r="AE1374" i="7"/>
  <c r="AD1374" i="7"/>
  <c r="AC1374" i="7"/>
  <c r="AB1374" i="7"/>
  <c r="AA1374" i="7"/>
  <c r="Z1374" i="7"/>
  <c r="Y1374" i="7"/>
  <c r="X1374" i="7"/>
  <c r="K1366" i="7"/>
  <c r="BE1366" i="7" s="1"/>
  <c r="J1366" i="7"/>
  <c r="X553" i="15" s="1"/>
  <c r="Z553" i="15" s="1"/>
  <c r="H1366" i="7"/>
  <c r="K553" i="15"/>
  <c r="I553" i="15" s="1"/>
  <c r="K1365" i="7"/>
  <c r="BE1365" i="7" s="1"/>
  <c r="J1365" i="7"/>
  <c r="X547" i="15" s="1"/>
  <c r="Z547" i="15" s="1"/>
  <c r="H1365" i="7"/>
  <c r="K547" i="15"/>
  <c r="I547" i="15" s="1"/>
  <c r="K1364" i="7"/>
  <c r="BE1364" i="7" s="1"/>
  <c r="J1364" i="7"/>
  <c r="X541" i="15" s="1"/>
  <c r="Z541" i="15" s="1"/>
  <c r="H1364" i="7"/>
  <c r="K541" i="15"/>
  <c r="I541" i="15" s="1"/>
  <c r="K1363" i="7"/>
  <c r="BE1363" i="7" s="1"/>
  <c r="J1363" i="7"/>
  <c r="X535" i="15" s="1"/>
  <c r="Z535" i="15" s="1"/>
  <c r="H1363" i="7"/>
  <c r="K535" i="15"/>
  <c r="I535" i="15" s="1"/>
  <c r="K1362" i="7"/>
  <c r="BE1362" i="7" s="1"/>
  <c r="J1362" i="7"/>
  <c r="X552" i="15" s="1"/>
  <c r="Z552" i="15" s="1"/>
  <c r="H1362" i="7"/>
  <c r="K552" i="15"/>
  <c r="I552" i="15" s="1"/>
  <c r="K1361" i="7"/>
  <c r="BE1361" i="7" s="1"/>
  <c r="J1361" i="7"/>
  <c r="X546" i="15" s="1"/>
  <c r="Z546" i="15" s="1"/>
  <c r="H1361" i="7"/>
  <c r="K546" i="15"/>
  <c r="I546" i="15" s="1"/>
  <c r="K1360" i="7"/>
  <c r="BE1360" i="7" s="1"/>
  <c r="J1360" i="7"/>
  <c r="X540" i="15" s="1"/>
  <c r="Z540" i="15" s="1"/>
  <c r="H1360" i="7"/>
  <c r="K540" i="15"/>
  <c r="I540" i="15" s="1"/>
  <c r="K1359" i="7"/>
  <c r="BE1359" i="7" s="1"/>
  <c r="J1359" i="7"/>
  <c r="X534" i="15" s="1"/>
  <c r="Z534" i="15" s="1"/>
  <c r="H1359" i="7"/>
  <c r="K534" i="15"/>
  <c r="I534" i="15" s="1"/>
  <c r="K1358" i="7"/>
  <c r="BE1358" i="7" s="1"/>
  <c r="J1358" i="7"/>
  <c r="X551" i="15" s="1"/>
  <c r="Z551" i="15" s="1"/>
  <c r="H1358" i="7"/>
  <c r="K551" i="15"/>
  <c r="I551" i="15" s="1"/>
  <c r="K1357" i="7"/>
  <c r="BE1357" i="7" s="1"/>
  <c r="J1357" i="7"/>
  <c r="X545" i="15" s="1"/>
  <c r="Z545" i="15" s="1"/>
  <c r="H1357" i="7"/>
  <c r="K545" i="15"/>
  <c r="I545" i="15" s="1"/>
  <c r="K1356" i="7"/>
  <c r="BE1356" i="7" s="1"/>
  <c r="J1356" i="7"/>
  <c r="X539" i="15" s="1"/>
  <c r="Z539" i="15" s="1"/>
  <c r="H1356" i="7"/>
  <c r="K539" i="15"/>
  <c r="I539" i="15" s="1"/>
  <c r="K1355" i="7"/>
  <c r="BE1355" i="7" s="1"/>
  <c r="J1355" i="7"/>
  <c r="X533" i="15" s="1"/>
  <c r="Z533" i="15" s="1"/>
  <c r="H1355" i="7"/>
  <c r="K533" i="15"/>
  <c r="I533" i="15" s="1"/>
  <c r="K1354" i="7"/>
  <c r="BE1354" i="7" s="1"/>
  <c r="J1354" i="7"/>
  <c r="X550" i="15" s="1"/>
  <c r="Z550" i="15" s="1"/>
  <c r="H1354" i="7"/>
  <c r="K550" i="15"/>
  <c r="I550" i="15" s="1"/>
  <c r="K1353" i="7"/>
  <c r="BE1353" i="7" s="1"/>
  <c r="J1353" i="7"/>
  <c r="X544" i="15" s="1"/>
  <c r="Z544" i="15" s="1"/>
  <c r="H1353" i="7"/>
  <c r="K544" i="15"/>
  <c r="I544" i="15" s="1"/>
  <c r="K1352" i="7"/>
  <c r="BE1352" i="7" s="1"/>
  <c r="J1352" i="7"/>
  <c r="X538" i="15" s="1"/>
  <c r="Z538" i="15" s="1"/>
  <c r="H1352" i="7"/>
  <c r="K538" i="15"/>
  <c r="I538" i="15" s="1"/>
  <c r="K1351" i="7"/>
  <c r="BE1351" i="7" s="1"/>
  <c r="J1351" i="7"/>
  <c r="X532" i="15" s="1"/>
  <c r="Z532" i="15" s="1"/>
  <c r="H1351" i="7"/>
  <c r="K532" i="15"/>
  <c r="I532" i="15" s="1"/>
  <c r="K1350" i="7"/>
  <c r="BE1350" i="7" s="1"/>
  <c r="J1350" i="7"/>
  <c r="X549" i="15" s="1"/>
  <c r="Z549" i="15" s="1"/>
  <c r="H1350" i="7"/>
  <c r="K549" i="15"/>
  <c r="I549" i="15" s="1"/>
  <c r="K1349" i="7"/>
  <c r="BE1349" i="7" s="1"/>
  <c r="J1349" i="7"/>
  <c r="X543" i="15" s="1"/>
  <c r="Z543" i="15" s="1"/>
  <c r="H1349" i="7"/>
  <c r="K543" i="15"/>
  <c r="I543" i="15" s="1"/>
  <c r="K1348" i="7"/>
  <c r="BE1348" i="7" s="1"/>
  <c r="J1348" i="7"/>
  <c r="X537" i="15" s="1"/>
  <c r="Z537" i="15" s="1"/>
  <c r="H1348" i="7"/>
  <c r="K537" i="15"/>
  <c r="I537" i="15" s="1"/>
  <c r="K1347" i="7"/>
  <c r="BE1347" i="7" s="1"/>
  <c r="J1347" i="7"/>
  <c r="X531" i="15" s="1"/>
  <c r="Z531" i="15" s="1"/>
  <c r="H1347" i="7"/>
  <c r="K531" i="15"/>
  <c r="I531" i="15" s="1"/>
  <c r="K1346" i="7"/>
  <c r="BE1346" i="7" s="1"/>
  <c r="J1346" i="7"/>
  <c r="X548" i="15" s="1"/>
  <c r="Z548" i="15" s="1"/>
  <c r="H1346" i="7"/>
  <c r="K548" i="15"/>
  <c r="I548" i="15" s="1"/>
  <c r="K1345" i="7"/>
  <c r="BE1345" i="7" s="1"/>
  <c r="J1345" i="7"/>
  <c r="X542" i="15" s="1"/>
  <c r="Z542" i="15" s="1"/>
  <c r="H1345" i="7"/>
  <c r="K542" i="15"/>
  <c r="I542" i="15" s="1"/>
  <c r="K1344" i="7"/>
  <c r="BE1344" i="7" s="1"/>
  <c r="J1344" i="7"/>
  <c r="X536" i="15" s="1"/>
  <c r="Z536" i="15" s="1"/>
  <c r="H1344" i="7"/>
  <c r="K536" i="15"/>
  <c r="I536" i="15" s="1"/>
  <c r="K1343" i="7"/>
  <c r="BE1343" i="7" s="1"/>
  <c r="J1343" i="7"/>
  <c r="X530" i="15" s="1"/>
  <c r="Z530" i="15" s="1"/>
  <c r="H1343" i="7"/>
  <c r="K530" i="15"/>
  <c r="I530" i="15" s="1"/>
  <c r="BE1342" i="7"/>
  <c r="BD1342" i="7"/>
  <c r="BC1342" i="7"/>
  <c r="BB1342" i="7"/>
  <c r="AG1342" i="7"/>
  <c r="AF1342" i="7"/>
  <c r="AE1342" i="7"/>
  <c r="AD1342" i="7"/>
  <c r="AC1342" i="7"/>
  <c r="AB1342" i="7"/>
  <c r="AA1342" i="7"/>
  <c r="Z1342" i="7"/>
  <c r="Y1342" i="7"/>
  <c r="X1342" i="7"/>
  <c r="V1340" i="7"/>
  <c r="E1336" i="7"/>
  <c r="E1335" i="7"/>
  <c r="V1334" i="7"/>
  <c r="V1333" i="7"/>
  <c r="V1332" i="7"/>
  <c r="V1331" i="7"/>
  <c r="V1330" i="7"/>
  <c r="V1329" i="7"/>
  <c r="X1328" i="7"/>
  <c r="V1328" i="7"/>
  <c r="F1328" i="7"/>
  <c r="X1327" i="7"/>
  <c r="V1327" i="7"/>
  <c r="F1327" i="7"/>
  <c r="X1326" i="7"/>
  <c r="V1326" i="7"/>
  <c r="F1326" i="7"/>
  <c r="X1325" i="7"/>
  <c r="V1325" i="7"/>
  <c r="F1325" i="7"/>
  <c r="X1324" i="7"/>
  <c r="V1324" i="7"/>
  <c r="F1324" i="7"/>
  <c r="X1323" i="7"/>
  <c r="V1323" i="7"/>
  <c r="F1323" i="7"/>
  <c r="X1321" i="7" s="1"/>
  <c r="V1322" i="7"/>
  <c r="V1321" i="7"/>
  <c r="V1319" i="7"/>
  <c r="AG1318" i="7"/>
  <c r="AF1318" i="7"/>
  <c r="AE1318" i="7"/>
  <c r="AD1318" i="7"/>
  <c r="AC1318" i="7"/>
  <c r="AB1318" i="7"/>
  <c r="AA1318" i="7"/>
  <c r="Z1318" i="7"/>
  <c r="Y1318" i="7"/>
  <c r="X1318" i="7"/>
  <c r="W1318" i="7"/>
  <c r="J1311" i="7"/>
  <c r="BC1311" i="7" s="1"/>
  <c r="H1311" i="7"/>
  <c r="K1310" i="7"/>
  <c r="J1310" i="7"/>
  <c r="X529" i="15" s="1"/>
  <c r="H1310" i="7"/>
  <c r="J1309" i="7"/>
  <c r="BC1309" i="7" s="1"/>
  <c r="H1309" i="7"/>
  <c r="V1308" i="7"/>
  <c r="V1309" i="7" s="1"/>
  <c r="V1310" i="7" s="1"/>
  <c r="V1311" i="7" s="1"/>
  <c r="K1308" i="7"/>
  <c r="J1308" i="7"/>
  <c r="X528" i="15" s="1"/>
  <c r="H1308" i="7"/>
  <c r="BE1307" i="7"/>
  <c r="BD1307" i="7"/>
  <c r="BC1307" i="7"/>
  <c r="BB1307" i="7"/>
  <c r="AG1307" i="7"/>
  <c r="AF1307" i="7"/>
  <c r="AE1307" i="7"/>
  <c r="AD1307" i="7"/>
  <c r="AC1307" i="7"/>
  <c r="AB1307" i="7"/>
  <c r="AA1307" i="7"/>
  <c r="Z1307" i="7"/>
  <c r="Y1307" i="7"/>
  <c r="X1307" i="7"/>
  <c r="V1305" i="7"/>
  <c r="I1275" i="7"/>
  <c r="I1273" i="7"/>
  <c r="V1276" i="7"/>
  <c r="BC1267" i="7"/>
  <c r="BD1267" i="7" s="1"/>
  <c r="V1267" i="7"/>
  <c r="H1267" i="7"/>
  <c r="I517" i="15"/>
  <c r="BE1266" i="7"/>
  <c r="BD1266" i="7"/>
  <c r="BC1266" i="7"/>
  <c r="BB1266" i="7"/>
  <c r="AG1266" i="7"/>
  <c r="AF1266" i="7"/>
  <c r="AE1266" i="7"/>
  <c r="AD1266" i="7"/>
  <c r="AC1266" i="7"/>
  <c r="AB1266" i="7"/>
  <c r="AA1266" i="7"/>
  <c r="Z1266" i="7"/>
  <c r="Y1266" i="7"/>
  <c r="X1266" i="7"/>
  <c r="V1264" i="7"/>
  <c r="AI1257" i="7"/>
  <c r="W1257" i="7"/>
  <c r="G1257" i="7"/>
  <c r="F1257" i="7"/>
  <c r="W1256" i="7"/>
  <c r="F1256" i="7"/>
  <c r="W1255" i="7"/>
  <c r="F1255" i="7"/>
  <c r="AI1253" i="7"/>
  <c r="W1253" i="7"/>
  <c r="G1253" i="7"/>
  <c r="F1253" i="7"/>
  <c r="AI1252" i="7"/>
  <c r="W1252" i="7"/>
  <c r="G1252" i="7"/>
  <c r="F1252" i="7"/>
  <c r="W1251" i="7"/>
  <c r="F1251" i="7"/>
  <c r="P1146" i="7" s="1"/>
  <c r="BE1146" i="7" s="1"/>
  <c r="W1250" i="7"/>
  <c r="F1250" i="7"/>
  <c r="W1249" i="7"/>
  <c r="F1249" i="7"/>
  <c r="AI1248" i="7"/>
  <c r="G1248" i="7"/>
  <c r="AI1246" i="7"/>
  <c r="G1246" i="7"/>
  <c r="AS1235" i="7"/>
  <c r="AR1235" i="7"/>
  <c r="AQ1235" i="7"/>
  <c r="AP1235" i="7"/>
  <c r="AO1235" i="7"/>
  <c r="AN1235" i="7"/>
  <c r="AM1235" i="7"/>
  <c r="AL1235" i="7"/>
  <c r="AK1235" i="7"/>
  <c r="AJ1235" i="7"/>
  <c r="AI1235" i="7"/>
  <c r="AG1235" i="7"/>
  <c r="AF1235" i="7"/>
  <c r="AE1235" i="7"/>
  <c r="AD1235" i="7"/>
  <c r="AC1235" i="7"/>
  <c r="AB1235" i="7"/>
  <c r="AA1235" i="7"/>
  <c r="Z1235" i="7"/>
  <c r="Y1235" i="7"/>
  <c r="X1235" i="7"/>
  <c r="W1235" i="7"/>
  <c r="AS1234" i="7"/>
  <c r="AR1234" i="7"/>
  <c r="AQ1234" i="7"/>
  <c r="AP1234" i="7"/>
  <c r="AO1234" i="7"/>
  <c r="AN1234" i="7"/>
  <c r="AM1234" i="7"/>
  <c r="AL1234" i="7"/>
  <c r="AK1234" i="7"/>
  <c r="AJ1234" i="7"/>
  <c r="AI1234" i="7"/>
  <c r="AG1234" i="7"/>
  <c r="AF1234" i="7"/>
  <c r="AE1234" i="7"/>
  <c r="AD1234" i="7"/>
  <c r="AC1234" i="7"/>
  <c r="AB1234" i="7"/>
  <c r="AA1234" i="7"/>
  <c r="Z1234" i="7"/>
  <c r="Y1234" i="7"/>
  <c r="X1234" i="7"/>
  <c r="W1234" i="7"/>
  <c r="AG1166" i="7"/>
  <c r="AF1166" i="7"/>
  <c r="AE1166" i="7"/>
  <c r="AD1166" i="7"/>
  <c r="AC1166" i="7"/>
  <c r="AB1166" i="7"/>
  <c r="AA1166" i="7"/>
  <c r="Z1166" i="7"/>
  <c r="Y1166" i="7"/>
  <c r="X1166" i="7"/>
  <c r="W1166" i="7"/>
  <c r="V1159" i="7"/>
  <c r="V1158" i="7"/>
  <c r="O1152" i="7"/>
  <c r="L1152" i="7"/>
  <c r="K1152" i="7"/>
  <c r="J1152" i="7"/>
  <c r="H1152" i="7"/>
  <c r="Q1151" i="7"/>
  <c r="O1151" i="7"/>
  <c r="L1151" i="7"/>
  <c r="K1151" i="7"/>
  <c r="J1151" i="7"/>
  <c r="H1151" i="7"/>
  <c r="Q1150" i="7"/>
  <c r="O1150" i="7"/>
  <c r="L1150" i="7"/>
  <c r="K1150" i="7"/>
  <c r="J1150" i="7"/>
  <c r="H1150" i="7"/>
  <c r="BC1148" i="7"/>
  <c r="O1148" i="7"/>
  <c r="L1148" i="7"/>
  <c r="K1148" i="7"/>
  <c r="J1148" i="7"/>
  <c r="H1148" i="7"/>
  <c r="BC1147" i="7"/>
  <c r="O1147" i="7"/>
  <c r="L1147" i="7"/>
  <c r="K1147" i="7"/>
  <c r="J1147" i="7"/>
  <c r="H1147" i="7"/>
  <c r="BC1146" i="7"/>
  <c r="Q1146" i="7"/>
  <c r="O1146" i="7"/>
  <c r="L1146" i="7"/>
  <c r="K1146" i="7"/>
  <c r="J1146" i="7"/>
  <c r="H1146" i="7"/>
  <c r="BC1145" i="7"/>
  <c r="Q1145" i="7"/>
  <c r="O1145" i="7"/>
  <c r="L1145" i="7"/>
  <c r="K1145" i="7"/>
  <c r="J1145" i="7"/>
  <c r="H1145" i="7"/>
  <c r="BC1144" i="7"/>
  <c r="Q1144" i="7"/>
  <c r="O1144" i="7"/>
  <c r="L1144" i="7"/>
  <c r="K1144" i="7"/>
  <c r="J1144" i="7"/>
  <c r="H1144" i="7"/>
  <c r="BC1143" i="7"/>
  <c r="P1143" i="7"/>
  <c r="BE1143" i="7" s="1"/>
  <c r="O1143" i="7"/>
  <c r="L1143" i="7"/>
  <c r="K1143" i="7"/>
  <c r="J1143" i="7"/>
  <c r="H1143" i="7"/>
  <c r="BC1142" i="7"/>
  <c r="Q1142" i="7"/>
  <c r="P1142" i="7"/>
  <c r="O1142" i="7"/>
  <c r="L1142" i="7"/>
  <c r="K1142" i="7"/>
  <c r="J1142" i="7"/>
  <c r="H1142" i="7"/>
  <c r="BC1141" i="7"/>
  <c r="P1141" i="7"/>
  <c r="BE1141" i="7" s="1"/>
  <c r="O1141" i="7"/>
  <c r="L1141" i="7"/>
  <c r="K1141" i="7"/>
  <c r="J1141" i="7"/>
  <c r="H1141" i="7"/>
  <c r="BC1140" i="7"/>
  <c r="Q1140" i="7"/>
  <c r="P1140" i="7"/>
  <c r="BE1140" i="7" s="1"/>
  <c r="O1140" i="7"/>
  <c r="L1140" i="7"/>
  <c r="J1140" i="7"/>
  <c r="H1140" i="7"/>
  <c r="BC1139" i="7"/>
  <c r="Q1139" i="7"/>
  <c r="P1139" i="7"/>
  <c r="BE1139" i="7" s="1"/>
  <c r="O1139" i="7"/>
  <c r="L1139" i="7"/>
  <c r="J1139" i="7"/>
  <c r="H1139" i="7"/>
  <c r="BC1138" i="7"/>
  <c r="Q1138" i="7"/>
  <c r="P1138" i="7"/>
  <c r="BE1138" i="7" s="1"/>
  <c r="O1138" i="7"/>
  <c r="L1138" i="7"/>
  <c r="K1138" i="7"/>
  <c r="J1138" i="7"/>
  <c r="H1138" i="7"/>
  <c r="BC1137" i="7"/>
  <c r="Q1137" i="7"/>
  <c r="P1137" i="7"/>
  <c r="BE1137" i="7" s="1"/>
  <c r="O1137" i="7"/>
  <c r="L1137" i="7"/>
  <c r="K1137" i="7"/>
  <c r="J1137" i="7"/>
  <c r="H1137" i="7"/>
  <c r="BC1135" i="7"/>
  <c r="Q1135" i="7"/>
  <c r="P1135" i="7"/>
  <c r="BE1135" i="7" s="1"/>
  <c r="O1135" i="7"/>
  <c r="L1135" i="7"/>
  <c r="K1135" i="7"/>
  <c r="J1135" i="7"/>
  <c r="H1135" i="7"/>
  <c r="BC1134" i="7"/>
  <c r="Q1134" i="7"/>
  <c r="P1134" i="7"/>
  <c r="BE1134" i="7" s="1"/>
  <c r="O1134" i="7"/>
  <c r="L1134" i="7"/>
  <c r="K1134" i="7"/>
  <c r="J1134" i="7"/>
  <c r="H1134" i="7"/>
  <c r="BC1133" i="7"/>
  <c r="Q1133" i="7"/>
  <c r="P1133" i="7"/>
  <c r="BE1133" i="7" s="1"/>
  <c r="O1133" i="7"/>
  <c r="L1133" i="7"/>
  <c r="K1133" i="7"/>
  <c r="J1133" i="7"/>
  <c r="H1133" i="7"/>
  <c r="BC1132" i="7"/>
  <c r="Q1132" i="7"/>
  <c r="P1132" i="7"/>
  <c r="BE1132" i="7" s="1"/>
  <c r="O1132" i="7"/>
  <c r="L1132" i="7"/>
  <c r="J1132" i="7"/>
  <c r="H1132" i="7"/>
  <c r="BC1131" i="7"/>
  <c r="V1131" i="7"/>
  <c r="V1132" i="7" s="1"/>
  <c r="V1133" i="7" s="1"/>
  <c r="V1134" i="7" s="1"/>
  <c r="V1135" i="7" s="1"/>
  <c r="V1136" i="7" s="1"/>
  <c r="V1137" i="7" s="1"/>
  <c r="V1138" i="7" s="1"/>
  <c r="V1139" i="7" s="1"/>
  <c r="V1140" i="7" s="1"/>
  <c r="V1141" i="7" s="1"/>
  <c r="V1142" i="7" s="1"/>
  <c r="V1143" i="7" s="1"/>
  <c r="V1144" i="7" s="1"/>
  <c r="V1145" i="7" s="1"/>
  <c r="V1146" i="7" s="1"/>
  <c r="V1147" i="7" s="1"/>
  <c r="V1148" i="7" s="1"/>
  <c r="V1149" i="7" s="1"/>
  <c r="V1150" i="7" s="1"/>
  <c r="V1151" i="7" s="1"/>
  <c r="V1152" i="7" s="1"/>
  <c r="V1153" i="7" s="1"/>
  <c r="V1154" i="7" s="1"/>
  <c r="V1155" i="7" s="1"/>
  <c r="Q1131" i="7"/>
  <c r="P1131" i="7"/>
  <c r="BE1131" i="7" s="1"/>
  <c r="O1131" i="7"/>
  <c r="L1131" i="7"/>
  <c r="K1131" i="7"/>
  <c r="J1131" i="7"/>
  <c r="H1131" i="7"/>
  <c r="BE1130" i="7"/>
  <c r="BD1130" i="7"/>
  <c r="BC1130" i="7"/>
  <c r="BB1130" i="7"/>
  <c r="V1127" i="7"/>
  <c r="V1121" i="7"/>
  <c r="V1120" i="7"/>
  <c r="V1119" i="7"/>
  <c r="V1118" i="7"/>
  <c r="V1117" i="7"/>
  <c r="V1116" i="7"/>
  <c r="V1115" i="7"/>
  <c r="V1114" i="7"/>
  <c r="V1113" i="7"/>
  <c r="V1112" i="7"/>
  <c r="V1111" i="7"/>
  <c r="V1110" i="7"/>
  <c r="V1109" i="7"/>
  <c r="V1108" i="7"/>
  <c r="V1107" i="7"/>
  <c r="AG1106" i="7"/>
  <c r="AF1106" i="7"/>
  <c r="AE1106" i="7"/>
  <c r="AD1106" i="7"/>
  <c r="AC1106" i="7"/>
  <c r="AB1106" i="7"/>
  <c r="AA1106" i="7"/>
  <c r="Z1106" i="7"/>
  <c r="Y1106" i="7"/>
  <c r="X1106" i="7"/>
  <c r="W1106" i="7"/>
  <c r="V1097" i="7"/>
  <c r="L1097" i="7"/>
  <c r="BE1097" i="7" s="1"/>
  <c r="K1097" i="7"/>
  <c r="X491" i="15" s="1"/>
  <c r="Z491" i="15" s="1"/>
  <c r="I1097" i="7"/>
  <c r="F1097" i="7" s="1"/>
  <c r="H1097" i="7"/>
  <c r="BE1096" i="7"/>
  <c r="BD1096" i="7"/>
  <c r="BC1096" i="7"/>
  <c r="BB1096" i="7"/>
  <c r="AG1096" i="7"/>
  <c r="AF1096" i="7"/>
  <c r="AE1096" i="7"/>
  <c r="AD1096" i="7"/>
  <c r="AC1096" i="7"/>
  <c r="AB1096" i="7"/>
  <c r="AA1096" i="7"/>
  <c r="Z1096" i="7"/>
  <c r="Y1096" i="7"/>
  <c r="X1096" i="7"/>
  <c r="W1096" i="7"/>
  <c r="V1095" i="7"/>
  <c r="V1094" i="7"/>
  <c r="V1088" i="7"/>
  <c r="V1087" i="7"/>
  <c r="V1086" i="7"/>
  <c r="V1085" i="7"/>
  <c r="V1084" i="7"/>
  <c r="V1083" i="7"/>
  <c r="V1082" i="7"/>
  <c r="V1081" i="7"/>
  <c r="V1080" i="7"/>
  <c r="V1079" i="7"/>
  <c r="V1078" i="7"/>
  <c r="V1077" i="7"/>
  <c r="AG1076" i="7"/>
  <c r="AF1076" i="7"/>
  <c r="AE1076" i="7"/>
  <c r="AD1076" i="7"/>
  <c r="AC1076" i="7"/>
  <c r="AB1076" i="7"/>
  <c r="AA1076" i="7"/>
  <c r="Z1076" i="7"/>
  <c r="Y1076" i="7"/>
  <c r="X1076" i="7"/>
  <c r="W1076" i="7"/>
  <c r="V1066" i="7"/>
  <c r="L1066" i="7"/>
  <c r="BE1066" i="7" s="1"/>
  <c r="K1066" i="7"/>
  <c r="BC1066" i="7" s="1"/>
  <c r="BD1066" i="7" s="1"/>
  <c r="I1066" i="7"/>
  <c r="F1066" i="7" s="1"/>
  <c r="I490" i="15" s="1"/>
  <c r="H1066" i="7"/>
  <c r="BE1065" i="7"/>
  <c r="BD1065" i="7"/>
  <c r="BC1065" i="7"/>
  <c r="BB1065" i="7"/>
  <c r="AG1065" i="7"/>
  <c r="AF1065" i="7"/>
  <c r="AE1065" i="7"/>
  <c r="AD1065" i="7"/>
  <c r="AC1065" i="7"/>
  <c r="AB1065" i="7"/>
  <c r="AA1065" i="7"/>
  <c r="Z1065" i="7"/>
  <c r="Y1065" i="7"/>
  <c r="X1065" i="7"/>
  <c r="W1065" i="7"/>
  <c r="V1064" i="7"/>
  <c r="V1063" i="7"/>
  <c r="V1057" i="7"/>
  <c r="V1056" i="7"/>
  <c r="V1055" i="7"/>
  <c r="V1054" i="7"/>
  <c r="V1053" i="7"/>
  <c r="V1052" i="7"/>
  <c r="V1051" i="7"/>
  <c r="V1050" i="7"/>
  <c r="Y1049" i="7"/>
  <c r="X1049" i="7"/>
  <c r="W1049" i="7"/>
  <c r="V1049" i="7"/>
  <c r="F1049" i="7"/>
  <c r="V1048" i="7"/>
  <c r="Y1047" i="7"/>
  <c r="X1047" i="7"/>
  <c r="W1047" i="7"/>
  <c r="V1047" i="7"/>
  <c r="F1047" i="7"/>
  <c r="AG1046" i="7"/>
  <c r="AF1046" i="7"/>
  <c r="AE1046" i="7"/>
  <c r="AD1046" i="7"/>
  <c r="AC1046" i="7"/>
  <c r="AB1046" i="7"/>
  <c r="AA1046" i="7"/>
  <c r="Z1046" i="7"/>
  <c r="Y1046" i="7"/>
  <c r="X1046" i="7"/>
  <c r="W1046" i="7"/>
  <c r="V1040" i="7"/>
  <c r="K1040" i="7"/>
  <c r="J1040" i="7"/>
  <c r="BC1040" i="7" s="1"/>
  <c r="H1040" i="7"/>
  <c r="BE1039" i="7"/>
  <c r="BD1039" i="7"/>
  <c r="BC1039" i="7"/>
  <c r="BB1039" i="7"/>
  <c r="AG1039" i="7"/>
  <c r="AF1039" i="7"/>
  <c r="AE1039" i="7"/>
  <c r="AD1039" i="7"/>
  <c r="AC1039" i="7"/>
  <c r="AB1039" i="7"/>
  <c r="AA1039" i="7"/>
  <c r="Z1039" i="7"/>
  <c r="Y1039" i="7"/>
  <c r="X1039" i="7"/>
  <c r="W1039" i="7"/>
  <c r="V1037" i="7"/>
  <c r="E1032" i="7"/>
  <c r="V1031" i="7"/>
  <c r="V1030" i="7"/>
  <c r="V1029" i="7"/>
  <c r="V1028" i="7"/>
  <c r="V1027" i="7"/>
  <c r="V1026" i="7"/>
  <c r="V1025" i="7"/>
  <c r="V1024" i="7"/>
  <c r="V1022" i="7"/>
  <c r="V1021" i="7"/>
  <c r="V1020" i="7"/>
  <c r="V1018" i="7"/>
  <c r="V1017" i="7"/>
  <c r="V1016" i="7"/>
  <c r="V1015" i="7"/>
  <c r="AG1014" i="7"/>
  <c r="AF1014" i="7"/>
  <c r="AE1014" i="7"/>
  <c r="AD1014" i="7"/>
  <c r="AC1014" i="7"/>
  <c r="AB1014" i="7"/>
  <c r="AA1014" i="7"/>
  <c r="Z1014" i="7"/>
  <c r="Y1014" i="7"/>
  <c r="X1014" i="7"/>
  <c r="W1014" i="7"/>
  <c r="V1006" i="7"/>
  <c r="L1006" i="7"/>
  <c r="BE1006" i="7" s="1"/>
  <c r="K1006" i="7"/>
  <c r="BC1006" i="7" s="1"/>
  <c r="I1006" i="7"/>
  <c r="H1006" i="7"/>
  <c r="V1005" i="7"/>
  <c r="L1005" i="7"/>
  <c r="K1005" i="7"/>
  <c r="BC1005" i="7" s="1"/>
  <c r="I1005" i="7"/>
  <c r="F1006" i="7" s="1"/>
  <c r="I488" i="15" s="1"/>
  <c r="H1005" i="7"/>
  <c r="BE1004" i="7"/>
  <c r="BD1004" i="7"/>
  <c r="BC1004" i="7"/>
  <c r="BB1004" i="7"/>
  <c r="AG1004" i="7"/>
  <c r="AF1004" i="7"/>
  <c r="AE1004" i="7"/>
  <c r="AD1004" i="7"/>
  <c r="AC1004" i="7"/>
  <c r="AB1004" i="7"/>
  <c r="AA1004" i="7"/>
  <c r="Z1004" i="7"/>
  <c r="Y1004" i="7"/>
  <c r="X1004" i="7"/>
  <c r="W1004" i="7"/>
  <c r="V1002" i="7"/>
  <c r="V1001" i="7"/>
  <c r="V1000" i="7"/>
  <c r="E999" i="7"/>
  <c r="E1060" i="7" s="1"/>
  <c r="E1091" i="7" s="1"/>
  <c r="E1124" i="7" s="1"/>
  <c r="E998" i="7"/>
  <c r="E1059" i="7" s="1"/>
  <c r="E1090" i="7" s="1"/>
  <c r="E1123" i="7" s="1"/>
  <c r="E997" i="7"/>
  <c r="E1058" i="7" s="1"/>
  <c r="E1089" i="7" s="1"/>
  <c r="E1122" i="7" s="1"/>
  <c r="V996" i="7"/>
  <c r="V995" i="7"/>
  <c r="V994" i="7"/>
  <c r="X993" i="7"/>
  <c r="F993" i="7"/>
  <c r="X992" i="7"/>
  <c r="F992" i="7"/>
  <c r="X989" i="7"/>
  <c r="F989" i="7"/>
  <c r="F931" i="7" s="1"/>
  <c r="L480" i="15" s="1"/>
  <c r="X988" i="7"/>
  <c r="F988" i="7"/>
  <c r="V986" i="7"/>
  <c r="V978" i="7"/>
  <c r="V976" i="7"/>
  <c r="X975" i="7"/>
  <c r="W975" i="7"/>
  <c r="F975" i="7"/>
  <c r="X974" i="7"/>
  <c r="W974" i="7"/>
  <c r="F974" i="7"/>
  <c r="V968" i="7"/>
  <c r="V967" i="7"/>
  <c r="V966" i="7"/>
  <c r="V965" i="7"/>
  <c r="V964" i="7"/>
  <c r="W962" i="7"/>
  <c r="W960" i="7"/>
  <c r="W958" i="7"/>
  <c r="W956" i="7"/>
  <c r="V956" i="7"/>
  <c r="V954" i="7"/>
  <c r="AG953" i="7"/>
  <c r="AF953" i="7"/>
  <c r="AE953" i="7"/>
  <c r="AD953" i="7"/>
  <c r="AC953" i="7"/>
  <c r="AB953" i="7"/>
  <c r="AA953" i="7"/>
  <c r="Z953" i="7"/>
  <c r="Y953" i="7"/>
  <c r="X953" i="7"/>
  <c r="W953" i="7"/>
  <c r="V952" i="7"/>
  <c r="V951" i="7"/>
  <c r="V950" i="7"/>
  <c r="V949" i="7"/>
  <c r="V948" i="7"/>
  <c r="V947" i="7"/>
  <c r="V946" i="7"/>
  <c r="J943" i="7"/>
  <c r="BC943" i="7" s="1"/>
  <c r="H943" i="7"/>
  <c r="K942" i="7"/>
  <c r="BE942" i="7" s="1"/>
  <c r="J942" i="7"/>
  <c r="BC942" i="7" s="1"/>
  <c r="H942" i="7"/>
  <c r="F942" i="7"/>
  <c r="K486" i="15" s="1"/>
  <c r="J941" i="7"/>
  <c r="BC941" i="7" s="1"/>
  <c r="H941" i="7"/>
  <c r="E941" i="7"/>
  <c r="K940" i="7"/>
  <c r="BE940" i="7" s="1"/>
  <c r="J940" i="7"/>
  <c r="BC940" i="7" s="1"/>
  <c r="H940" i="7"/>
  <c r="F940" i="7"/>
  <c r="K485" i="15" s="1"/>
  <c r="E940" i="7"/>
  <c r="G485" i="15" s="1"/>
  <c r="J939" i="7"/>
  <c r="BC939" i="7" s="1"/>
  <c r="H939" i="7"/>
  <c r="K938" i="7"/>
  <c r="BE938" i="7" s="1"/>
  <c r="J938" i="7"/>
  <c r="X484" i="15" s="1"/>
  <c r="Z484" i="15" s="1"/>
  <c r="H938" i="7"/>
  <c r="F938" i="7"/>
  <c r="K484" i="15" s="1"/>
  <c r="J937" i="7"/>
  <c r="BC937" i="7" s="1"/>
  <c r="BD937" i="7" s="1"/>
  <c r="H937" i="7"/>
  <c r="I937" i="7" s="1"/>
  <c r="R483" i="15" s="1"/>
  <c r="K936" i="7"/>
  <c r="BE936" i="7" s="1"/>
  <c r="J936" i="7"/>
  <c r="BC936" i="7" s="1"/>
  <c r="H936" i="7"/>
  <c r="F936" i="7"/>
  <c r="K483" i="15" s="1"/>
  <c r="J935" i="7"/>
  <c r="BC935" i="7" s="1"/>
  <c r="H935" i="7"/>
  <c r="I935" i="7" s="1"/>
  <c r="R482" i="15" s="1"/>
  <c r="E935" i="7"/>
  <c r="K934" i="7"/>
  <c r="BE934" i="7" s="1"/>
  <c r="J934" i="7"/>
  <c r="BC934" i="7" s="1"/>
  <c r="H934" i="7"/>
  <c r="F934" i="7"/>
  <c r="K482" i="15" s="1"/>
  <c r="E934" i="7"/>
  <c r="G482" i="15" s="1"/>
  <c r="J933" i="7"/>
  <c r="BC933" i="7" s="1"/>
  <c r="H933" i="7"/>
  <c r="I933" i="7" s="1"/>
  <c r="R481" i="15" s="1"/>
  <c r="K932" i="7"/>
  <c r="BE932" i="7" s="1"/>
  <c r="J932" i="7"/>
  <c r="BC932" i="7" s="1"/>
  <c r="H932" i="7"/>
  <c r="F932" i="7"/>
  <c r="K481" i="15" s="1"/>
  <c r="J931" i="7"/>
  <c r="BC931" i="7" s="1"/>
  <c r="H931" i="7"/>
  <c r="K930" i="7"/>
  <c r="BE930" i="7" s="1"/>
  <c r="J930" i="7"/>
  <c r="BC930" i="7" s="1"/>
  <c r="BD930" i="7" s="1"/>
  <c r="H930" i="7"/>
  <c r="F930" i="7"/>
  <c r="K480" i="15" s="1"/>
  <c r="J929" i="7"/>
  <c r="BC929" i="7" s="1"/>
  <c r="H929" i="7"/>
  <c r="E929" i="7"/>
  <c r="K928" i="7"/>
  <c r="J928" i="7"/>
  <c r="X479" i="15" s="1"/>
  <c r="Z479" i="15" s="1"/>
  <c r="H928" i="7"/>
  <c r="F928" i="7"/>
  <c r="K479" i="15" s="1"/>
  <c r="E928" i="7"/>
  <c r="G479" i="15" s="1"/>
  <c r="J927" i="7"/>
  <c r="BC927" i="7" s="1"/>
  <c r="H927" i="7"/>
  <c r="K926" i="7"/>
  <c r="BE926" i="7" s="1"/>
  <c r="J926" i="7"/>
  <c r="BC926" i="7" s="1"/>
  <c r="H926" i="7"/>
  <c r="F926" i="7"/>
  <c r="K478" i="15" s="1"/>
  <c r="J925" i="7"/>
  <c r="BC925" i="7" s="1"/>
  <c r="BD925" i="7" s="1"/>
  <c r="H925" i="7"/>
  <c r="F925" i="7"/>
  <c r="L477" i="15" s="1"/>
  <c r="K924" i="7"/>
  <c r="J924" i="7"/>
  <c r="BC924" i="7" s="1"/>
  <c r="BD924" i="7" s="1"/>
  <c r="H924" i="7"/>
  <c r="F924" i="7"/>
  <c r="K477" i="15" s="1"/>
  <c r="J923" i="7"/>
  <c r="BC923" i="7" s="1"/>
  <c r="BD923" i="7" s="1"/>
  <c r="H923" i="7"/>
  <c r="F923" i="7"/>
  <c r="L476" i="15" s="1"/>
  <c r="E923" i="7"/>
  <c r="K922" i="7"/>
  <c r="BE922" i="7" s="1"/>
  <c r="J922" i="7"/>
  <c r="BC922" i="7" s="1"/>
  <c r="BD922" i="7" s="1"/>
  <c r="H922" i="7"/>
  <c r="F922" i="7"/>
  <c r="K476" i="15" s="1"/>
  <c r="E922" i="7"/>
  <c r="G476" i="15" s="1"/>
  <c r="J921" i="7"/>
  <c r="BC921" i="7" s="1"/>
  <c r="BD921" i="7" s="1"/>
  <c r="H921" i="7"/>
  <c r="F921" i="7"/>
  <c r="L475" i="15" s="1"/>
  <c r="V920" i="7"/>
  <c r="V921" i="7" s="1"/>
  <c r="V922" i="7" s="1"/>
  <c r="V923" i="7" s="1"/>
  <c r="V924" i="7" s="1"/>
  <c r="V925" i="7" s="1"/>
  <c r="V926" i="7" s="1"/>
  <c r="V927" i="7" s="1"/>
  <c r="V928" i="7" s="1"/>
  <c r="V929" i="7" s="1"/>
  <c r="V930" i="7" s="1"/>
  <c r="V931" i="7" s="1"/>
  <c r="V932" i="7" s="1"/>
  <c r="V933" i="7" s="1"/>
  <c r="V934" i="7" s="1"/>
  <c r="V935" i="7" s="1"/>
  <c r="V936" i="7" s="1"/>
  <c r="V937" i="7" s="1"/>
  <c r="V938" i="7" s="1"/>
  <c r="V939" i="7" s="1"/>
  <c r="V940" i="7" s="1"/>
  <c r="V941" i="7" s="1"/>
  <c r="V942" i="7" s="1"/>
  <c r="V943" i="7" s="1"/>
  <c r="K920" i="7"/>
  <c r="BE920" i="7" s="1"/>
  <c r="J920" i="7"/>
  <c r="X475" i="15" s="1"/>
  <c r="Z475" i="15" s="1"/>
  <c r="H920" i="7"/>
  <c r="F920" i="7"/>
  <c r="K475" i="15" s="1"/>
  <c r="BE919" i="7"/>
  <c r="BD919" i="7"/>
  <c r="BC919" i="7"/>
  <c r="BB919" i="7"/>
  <c r="AG919" i="7"/>
  <c r="AF919" i="7"/>
  <c r="AE919" i="7"/>
  <c r="AD919" i="7"/>
  <c r="AC919" i="7"/>
  <c r="AB919" i="7"/>
  <c r="AA919" i="7"/>
  <c r="Z919" i="7"/>
  <c r="Y919" i="7"/>
  <c r="X919" i="7"/>
  <c r="W919" i="7"/>
  <c r="V917" i="7"/>
  <c r="V911" i="7"/>
  <c r="V910" i="7"/>
  <c r="V909" i="7"/>
  <c r="V908" i="7"/>
  <c r="V907" i="7"/>
  <c r="V906" i="7"/>
  <c r="V905" i="7"/>
  <c r="V904" i="7"/>
  <c r="V903" i="7"/>
  <c r="V902" i="7"/>
  <c r="W901" i="7"/>
  <c r="V901" i="7"/>
  <c r="X900" i="7"/>
  <c r="W900" i="7"/>
  <c r="V900" i="7"/>
  <c r="F900" i="7"/>
  <c r="V899" i="7"/>
  <c r="X898" i="7"/>
  <c r="W898" i="7"/>
  <c r="V898" i="7"/>
  <c r="F898" i="7"/>
  <c r="AG897" i="7"/>
  <c r="AF897" i="7"/>
  <c r="AE897" i="7"/>
  <c r="AD897" i="7"/>
  <c r="AC897" i="7"/>
  <c r="AB897" i="7"/>
  <c r="AA897" i="7"/>
  <c r="Z897" i="7"/>
  <c r="Y897" i="7"/>
  <c r="X897" i="7"/>
  <c r="W897" i="7"/>
  <c r="K892" i="7"/>
  <c r="BE892" i="7" s="1"/>
  <c r="J892" i="7"/>
  <c r="X474" i="15" s="1"/>
  <c r="Z474" i="15" s="1"/>
  <c r="H892" i="7"/>
  <c r="K891" i="7"/>
  <c r="BE891" i="7" s="1"/>
  <c r="J891" i="7"/>
  <c r="BC891" i="7" s="1"/>
  <c r="H891" i="7"/>
  <c r="V890" i="7"/>
  <c r="V891" i="7" s="1"/>
  <c r="V892" i="7" s="1"/>
  <c r="K890" i="7"/>
  <c r="BE890" i="7" s="1"/>
  <c r="J890" i="7"/>
  <c r="BC890" i="7" s="1"/>
  <c r="H890" i="7"/>
  <c r="BE889" i="7"/>
  <c r="BD889" i="7"/>
  <c r="BC889" i="7"/>
  <c r="BB889" i="7"/>
  <c r="AG889" i="7"/>
  <c r="AF889" i="7"/>
  <c r="AE889" i="7"/>
  <c r="AD889" i="7"/>
  <c r="AC889" i="7"/>
  <c r="AB889" i="7"/>
  <c r="AA889" i="7"/>
  <c r="Z889" i="7"/>
  <c r="Y889" i="7"/>
  <c r="X889" i="7"/>
  <c r="W889" i="7"/>
  <c r="V887" i="7"/>
  <c r="V877" i="7"/>
  <c r="V876" i="7"/>
  <c r="V875" i="7"/>
  <c r="V874" i="7"/>
  <c r="V873" i="7"/>
  <c r="V872" i="7"/>
  <c r="V871" i="7"/>
  <c r="V870" i="7"/>
  <c r="V868" i="7"/>
  <c r="V867" i="7"/>
  <c r="V866" i="7"/>
  <c r="V864" i="7"/>
  <c r="V863" i="7"/>
  <c r="V862" i="7"/>
  <c r="V861" i="7"/>
  <c r="X860" i="7"/>
  <c r="X862" i="7" s="1"/>
  <c r="V860" i="7"/>
  <c r="AG858" i="7"/>
  <c r="AF858" i="7"/>
  <c r="AE858" i="7"/>
  <c r="AD858" i="7"/>
  <c r="AC858" i="7"/>
  <c r="AB858" i="7"/>
  <c r="AA858" i="7"/>
  <c r="Z858" i="7"/>
  <c r="Y858" i="7"/>
  <c r="X858" i="7"/>
  <c r="W858" i="7"/>
  <c r="K849" i="7"/>
  <c r="BC849" i="7" s="1"/>
  <c r="BD849" i="7" s="1"/>
  <c r="H849" i="7"/>
  <c r="K848" i="7"/>
  <c r="BC848" i="7" s="1"/>
  <c r="BD848" i="7" s="1"/>
  <c r="H848" i="7"/>
  <c r="K847" i="7"/>
  <c r="X469" i="15" s="1"/>
  <c r="Z469" i="15" s="1"/>
  <c r="I847" i="7"/>
  <c r="F847" i="7" s="1"/>
  <c r="H847" i="7"/>
  <c r="K846" i="7"/>
  <c r="X468" i="15" s="1"/>
  <c r="Z468" i="15" s="1"/>
  <c r="I846" i="7"/>
  <c r="F846" i="7" s="1"/>
  <c r="H846" i="7"/>
  <c r="V845" i="7"/>
  <c r="V846" i="7" s="1"/>
  <c r="V847" i="7" s="1"/>
  <c r="V848" i="7" s="1"/>
  <c r="V849" i="7" s="1"/>
  <c r="K845" i="7"/>
  <c r="BC845" i="7" s="1"/>
  <c r="BD845" i="7" s="1"/>
  <c r="I845" i="7"/>
  <c r="F845" i="7" s="1"/>
  <c r="H845" i="7"/>
  <c r="BE844" i="7"/>
  <c r="BD844" i="7"/>
  <c r="BC844" i="7"/>
  <c r="BB844" i="7"/>
  <c r="AG844" i="7"/>
  <c r="AF844" i="7"/>
  <c r="AE844" i="7"/>
  <c r="AD844" i="7"/>
  <c r="AC844" i="7"/>
  <c r="AB844" i="7"/>
  <c r="AA844" i="7"/>
  <c r="Z844" i="7"/>
  <c r="Y844" i="7"/>
  <c r="X844" i="7"/>
  <c r="W844" i="7"/>
  <c r="V842" i="7"/>
  <c r="AG779" i="7"/>
  <c r="AF779" i="7"/>
  <c r="AE779" i="7"/>
  <c r="AD779" i="7"/>
  <c r="AC779" i="7"/>
  <c r="AB779" i="7"/>
  <c r="AA779" i="7"/>
  <c r="Z779" i="7"/>
  <c r="Y779" i="7"/>
  <c r="X779" i="7"/>
  <c r="W779" i="7"/>
  <c r="L769" i="7"/>
  <c r="K769" i="7"/>
  <c r="X462" i="15" s="1"/>
  <c r="Z462" i="15" s="1"/>
  <c r="F769" i="7"/>
  <c r="H769" i="7"/>
  <c r="L768" i="7"/>
  <c r="BE768" i="7" s="1"/>
  <c r="K768" i="7"/>
  <c r="X461" i="15" s="1"/>
  <c r="Z461" i="15" s="1"/>
  <c r="F768" i="7"/>
  <c r="I461" i="15" s="1"/>
  <c r="H768" i="7"/>
  <c r="V766" i="7"/>
  <c r="V767" i="7" s="1"/>
  <c r="V768" i="7" s="1"/>
  <c r="V769" i="7" s="1"/>
  <c r="L766" i="7"/>
  <c r="BE766" i="7" s="1"/>
  <c r="K766" i="7"/>
  <c r="BC766" i="7" s="1"/>
  <c r="BD766" i="7" s="1"/>
  <c r="F766" i="7"/>
  <c r="I459" i="15" s="1"/>
  <c r="H766" i="7"/>
  <c r="BE765" i="7"/>
  <c r="BD765" i="7"/>
  <c r="BC765" i="7"/>
  <c r="BB765" i="7"/>
  <c r="AG765" i="7"/>
  <c r="AF765" i="7"/>
  <c r="AE765" i="7"/>
  <c r="AD765" i="7"/>
  <c r="AC765" i="7"/>
  <c r="AB765" i="7"/>
  <c r="AA765" i="7"/>
  <c r="Z765" i="7"/>
  <c r="Y765" i="7"/>
  <c r="X765" i="7"/>
  <c r="W765" i="7"/>
  <c r="V763" i="7"/>
  <c r="W729" i="7"/>
  <c r="AG725" i="7"/>
  <c r="AF725" i="7"/>
  <c r="AE725" i="7"/>
  <c r="AD725" i="7"/>
  <c r="AC725" i="7"/>
  <c r="AB725" i="7"/>
  <c r="AA725" i="7"/>
  <c r="Z725" i="7"/>
  <c r="Y725" i="7"/>
  <c r="X725" i="7"/>
  <c r="W725" i="7"/>
  <c r="V703" i="7"/>
  <c r="J703" i="7"/>
  <c r="BC703" i="7" s="1"/>
  <c r="BD703" i="7" s="1"/>
  <c r="H703" i="7"/>
  <c r="F703" i="7"/>
  <c r="E703" i="7"/>
  <c r="V702" i="7"/>
  <c r="K702" i="7"/>
  <c r="BE702" i="7" s="1"/>
  <c r="J702" i="7"/>
  <c r="BC702" i="7" s="1"/>
  <c r="H702" i="7"/>
  <c r="F702" i="7"/>
  <c r="E702" i="7"/>
  <c r="G455" i="15" s="1"/>
  <c r="V701" i="7"/>
  <c r="J701" i="7"/>
  <c r="BC701" i="7" s="1"/>
  <c r="H701" i="7"/>
  <c r="F701" i="7"/>
  <c r="V700" i="7"/>
  <c r="K700" i="7"/>
  <c r="BE700" i="7" s="1"/>
  <c r="J700" i="7"/>
  <c r="X454" i="15" s="1"/>
  <c r="Z454" i="15" s="1"/>
  <c r="H700" i="7"/>
  <c r="F700" i="7"/>
  <c r="V699" i="7"/>
  <c r="J699" i="7"/>
  <c r="BC699" i="7" s="1"/>
  <c r="H699" i="7"/>
  <c r="F699" i="7"/>
  <c r="V698" i="7"/>
  <c r="K698" i="7"/>
  <c r="BE698" i="7" s="1"/>
  <c r="J698" i="7"/>
  <c r="BC698" i="7" s="1"/>
  <c r="H698" i="7"/>
  <c r="F698" i="7"/>
  <c r="V697" i="7"/>
  <c r="J697" i="7"/>
  <c r="BC697" i="7" s="1"/>
  <c r="H697" i="7"/>
  <c r="F697" i="7"/>
  <c r="E697" i="7"/>
  <c r="V696" i="7"/>
  <c r="K696" i="7"/>
  <c r="BE696" i="7" s="1"/>
  <c r="J696" i="7"/>
  <c r="BC696" i="7" s="1"/>
  <c r="H696" i="7"/>
  <c r="F696" i="7"/>
  <c r="E696" i="7"/>
  <c r="G452" i="15" s="1"/>
  <c r="V695" i="7"/>
  <c r="J695" i="7"/>
  <c r="BC695" i="7" s="1"/>
  <c r="BD695" i="7" s="1"/>
  <c r="H695" i="7"/>
  <c r="F695" i="7"/>
  <c r="V694" i="7"/>
  <c r="K694" i="7"/>
  <c r="J694" i="7"/>
  <c r="BC694" i="7" s="1"/>
  <c r="H694" i="7"/>
  <c r="F694" i="7"/>
  <c r="V693" i="7"/>
  <c r="J693" i="7"/>
  <c r="BC693" i="7" s="1"/>
  <c r="H693" i="7"/>
  <c r="F693" i="7"/>
  <c r="V692" i="7"/>
  <c r="K692" i="7"/>
  <c r="J692" i="7"/>
  <c r="X450" i="15" s="1"/>
  <c r="Z450" i="15" s="1"/>
  <c r="H692" i="7"/>
  <c r="F692" i="7"/>
  <c r="V691" i="7"/>
  <c r="J691" i="7"/>
  <c r="BC691" i="7" s="1"/>
  <c r="H691" i="7"/>
  <c r="F691" i="7"/>
  <c r="E691" i="7"/>
  <c r="V690" i="7"/>
  <c r="K690" i="7"/>
  <c r="BE690" i="7" s="1"/>
  <c r="J690" i="7"/>
  <c r="BC690" i="7" s="1"/>
  <c r="BD690" i="7" s="1"/>
  <c r="H690" i="7"/>
  <c r="F690" i="7"/>
  <c r="E690" i="7"/>
  <c r="G449" i="15" s="1"/>
  <c r="V689" i="7"/>
  <c r="J689" i="7"/>
  <c r="BC689" i="7" s="1"/>
  <c r="H689" i="7"/>
  <c r="F689" i="7"/>
  <c r="V688" i="7"/>
  <c r="K688" i="7"/>
  <c r="BE688" i="7" s="1"/>
  <c r="J688" i="7"/>
  <c r="X448" i="15" s="1"/>
  <c r="Z448" i="15" s="1"/>
  <c r="H688" i="7"/>
  <c r="F688" i="7"/>
  <c r="V687" i="7"/>
  <c r="J687" i="7"/>
  <c r="BC687" i="7" s="1"/>
  <c r="H687" i="7"/>
  <c r="F687" i="7"/>
  <c r="V686" i="7"/>
  <c r="K686" i="7"/>
  <c r="J686" i="7"/>
  <c r="BC686" i="7" s="1"/>
  <c r="H686" i="7"/>
  <c r="F686" i="7"/>
  <c r="V685" i="7"/>
  <c r="J685" i="7"/>
  <c r="BC685" i="7" s="1"/>
  <c r="H685" i="7"/>
  <c r="F685" i="7"/>
  <c r="V684" i="7"/>
  <c r="K684" i="7"/>
  <c r="BE684" i="7" s="1"/>
  <c r="J684" i="7"/>
  <c r="BC684" i="7" s="1"/>
  <c r="H684" i="7"/>
  <c r="F684" i="7"/>
  <c r="V683" i="7"/>
  <c r="J683" i="7"/>
  <c r="BC683" i="7" s="1"/>
  <c r="BD683" i="7" s="1"/>
  <c r="H683" i="7"/>
  <c r="F683" i="7"/>
  <c r="X445" i="15"/>
  <c r="Z445" i="15" s="1"/>
  <c r="K445" i="15"/>
  <c r="BE681" i="7"/>
  <c r="BD681" i="7"/>
  <c r="BC681" i="7"/>
  <c r="BB681" i="7"/>
  <c r="AG681" i="7"/>
  <c r="AF681" i="7"/>
  <c r="AE681" i="7"/>
  <c r="AD681" i="7"/>
  <c r="AC681" i="7"/>
  <c r="AB681" i="7"/>
  <c r="AA681" i="7"/>
  <c r="Z681" i="7"/>
  <c r="Y681" i="7"/>
  <c r="X681" i="7"/>
  <c r="W681" i="7"/>
  <c r="V679" i="7"/>
  <c r="Y675" i="7"/>
  <c r="G675" i="7"/>
  <c r="O613" i="7" s="1"/>
  <c r="BE613" i="7" s="1"/>
  <c r="Y672" i="7"/>
  <c r="G672" i="7"/>
  <c r="O668" i="7"/>
  <c r="O662" i="7" s="1"/>
  <c r="G674" i="7" s="1"/>
  <c r="O609" i="7" s="1"/>
  <c r="BE609" i="7" s="1"/>
  <c r="F649" i="7"/>
  <c r="F648" i="7"/>
  <c r="F647" i="7"/>
  <c r="F646" i="7"/>
  <c r="F645" i="7"/>
  <c r="F644" i="7"/>
  <c r="AG634" i="7"/>
  <c r="AF634" i="7"/>
  <c r="AE634" i="7"/>
  <c r="AD634" i="7"/>
  <c r="AC634" i="7"/>
  <c r="AB634" i="7"/>
  <c r="AA634" i="7"/>
  <c r="Z634" i="7"/>
  <c r="Y634" i="7"/>
  <c r="X634" i="7"/>
  <c r="W634" i="7"/>
  <c r="V614" i="7"/>
  <c r="O614" i="7"/>
  <c r="BE614" i="7" s="1"/>
  <c r="N614" i="7"/>
  <c r="Y444" i="15" s="1"/>
  <c r="G614" i="7"/>
  <c r="H614" i="7" s="1"/>
  <c r="V613" i="7"/>
  <c r="N613" i="7"/>
  <c r="X444" i="15" s="1"/>
  <c r="H613" i="7"/>
  <c r="V612" i="7"/>
  <c r="N612" i="7"/>
  <c r="BC612" i="7" s="1"/>
  <c r="H612" i="7"/>
  <c r="V611" i="7"/>
  <c r="O611" i="7"/>
  <c r="BE611" i="7" s="1"/>
  <c r="N611" i="7"/>
  <c r="Y442" i="15" s="1"/>
  <c r="G611" i="7"/>
  <c r="H611" i="7" s="1"/>
  <c r="V610" i="7"/>
  <c r="N610" i="7"/>
  <c r="X442" i="15" s="1"/>
  <c r="F610" i="7"/>
  <c r="H610" i="7"/>
  <c r="V609" i="7"/>
  <c r="N609" i="7"/>
  <c r="BC609" i="7" s="1"/>
  <c r="H609" i="7"/>
  <c r="V608" i="7"/>
  <c r="O608" i="7"/>
  <c r="BE608" i="7" s="1"/>
  <c r="N608" i="7"/>
  <c r="Y440" i="15" s="1"/>
  <c r="G608" i="7"/>
  <c r="D440" i="15" s="1"/>
  <c r="V607" i="7"/>
  <c r="N607" i="7"/>
  <c r="BC607" i="7" s="1"/>
  <c r="H607" i="7"/>
  <c r="V606" i="7"/>
  <c r="N606" i="7"/>
  <c r="BC606" i="7" s="1"/>
  <c r="H606" i="7"/>
  <c r="V605" i="7"/>
  <c r="O605" i="7"/>
  <c r="BE605" i="7" s="1"/>
  <c r="N605" i="7"/>
  <c r="Y438" i="15" s="1"/>
  <c r="G605" i="7"/>
  <c r="D438" i="15" s="1"/>
  <c r="V604" i="7"/>
  <c r="N604" i="7"/>
  <c r="BC604" i="7" s="1"/>
  <c r="H604" i="7"/>
  <c r="V603" i="7"/>
  <c r="N603" i="7"/>
  <c r="BC603" i="7" s="1"/>
  <c r="H603" i="7"/>
  <c r="BE602" i="7"/>
  <c r="BD602" i="7"/>
  <c r="BC602" i="7"/>
  <c r="BB602" i="7"/>
  <c r="AG602" i="7"/>
  <c r="AF602" i="7"/>
  <c r="AE602" i="7"/>
  <c r="AD602" i="7"/>
  <c r="AC602" i="7"/>
  <c r="AB602" i="7"/>
  <c r="AA602" i="7"/>
  <c r="Z602" i="7"/>
  <c r="Y602" i="7"/>
  <c r="X602" i="7"/>
  <c r="W602" i="7"/>
  <c r="B600" i="7"/>
  <c r="B224" i="9" s="1"/>
  <c r="V224" i="9" s="1"/>
  <c r="G597" i="7"/>
  <c r="M569" i="7" s="1"/>
  <c r="BE569" i="7" s="1"/>
  <c r="V595" i="7"/>
  <c r="V594" i="7"/>
  <c r="V593" i="7"/>
  <c r="V592" i="7"/>
  <c r="V591" i="7"/>
  <c r="V585" i="7"/>
  <c r="W584" i="7"/>
  <c r="V584" i="7"/>
  <c r="V581" i="7"/>
  <c r="AG580" i="7"/>
  <c r="AF580" i="7"/>
  <c r="AE580" i="7"/>
  <c r="AD580" i="7"/>
  <c r="AC580" i="7"/>
  <c r="AB580" i="7"/>
  <c r="AA580" i="7"/>
  <c r="Z580" i="7"/>
  <c r="Y580" i="7"/>
  <c r="X580" i="7"/>
  <c r="W580" i="7"/>
  <c r="V569" i="7"/>
  <c r="L569" i="7"/>
  <c r="X436" i="15" s="1"/>
  <c r="Z436" i="15" s="1"/>
  <c r="I569" i="7"/>
  <c r="H569" i="7"/>
  <c r="V568" i="7"/>
  <c r="L568" i="7"/>
  <c r="BC568" i="7" s="1"/>
  <c r="I568" i="7"/>
  <c r="H568" i="7"/>
  <c r="V565" i="7"/>
  <c r="L565" i="7"/>
  <c r="X432" i="15" s="1"/>
  <c r="Z432" i="15" s="1"/>
  <c r="I565" i="7"/>
  <c r="H565" i="7"/>
  <c r="V564" i="7"/>
  <c r="L564" i="7"/>
  <c r="X431" i="15" s="1"/>
  <c r="Z431" i="15" s="1"/>
  <c r="J564" i="7"/>
  <c r="I564" i="7"/>
  <c r="H564" i="7"/>
  <c r="BE563" i="7"/>
  <c r="BD563" i="7"/>
  <c r="BC563" i="7"/>
  <c r="BB563" i="7"/>
  <c r="AG563" i="7"/>
  <c r="AF563" i="7"/>
  <c r="AE563" i="7"/>
  <c r="AD563" i="7"/>
  <c r="AC563" i="7"/>
  <c r="AB563" i="7"/>
  <c r="AA563" i="7"/>
  <c r="Z563" i="7"/>
  <c r="Y563" i="7"/>
  <c r="X563" i="7"/>
  <c r="W563" i="7"/>
  <c r="V561" i="7"/>
  <c r="Y558" i="7"/>
  <c r="G558" i="7"/>
  <c r="N525" i="7" s="1"/>
  <c r="BE525" i="7" s="1"/>
  <c r="V556" i="7"/>
  <c r="V555" i="7"/>
  <c r="V554" i="7"/>
  <c r="V553" i="7"/>
  <c r="V552" i="7"/>
  <c r="V551" i="7"/>
  <c r="V550" i="7"/>
  <c r="V549" i="7"/>
  <c r="V548" i="7"/>
  <c r="V547" i="7"/>
  <c r="V546" i="7"/>
  <c r="V545" i="7"/>
  <c r="V544" i="7"/>
  <c r="V543" i="7"/>
  <c r="V542" i="7"/>
  <c r="Y541" i="7"/>
  <c r="X541" i="7"/>
  <c r="V541" i="7"/>
  <c r="G541" i="7"/>
  <c r="I524" i="7" s="1"/>
  <c r="Y540" i="7"/>
  <c r="X540" i="7"/>
  <c r="W540" i="7"/>
  <c r="V540" i="7"/>
  <c r="G540" i="7"/>
  <c r="V539" i="7"/>
  <c r="V538" i="7"/>
  <c r="AG537" i="7"/>
  <c r="AF537" i="7"/>
  <c r="AE537" i="7"/>
  <c r="AD537" i="7"/>
  <c r="AC537" i="7"/>
  <c r="AB537" i="7"/>
  <c r="AA537" i="7"/>
  <c r="Z537" i="7"/>
  <c r="Y537" i="7"/>
  <c r="X537" i="7"/>
  <c r="W537" i="7"/>
  <c r="V525" i="7"/>
  <c r="M525" i="7"/>
  <c r="X430" i="15" s="1"/>
  <c r="Z430" i="15" s="1"/>
  <c r="H525" i="7"/>
  <c r="V524" i="7"/>
  <c r="M524" i="7"/>
  <c r="BC524" i="7" s="1"/>
  <c r="H524" i="7"/>
  <c r="V523" i="7"/>
  <c r="M523" i="7"/>
  <c r="BC523" i="7" s="1"/>
  <c r="H523" i="7"/>
  <c r="BE522" i="7"/>
  <c r="BD522" i="7"/>
  <c r="BC522" i="7"/>
  <c r="BB522" i="7"/>
  <c r="AG522" i="7"/>
  <c r="AF522" i="7"/>
  <c r="AE522" i="7"/>
  <c r="AD522" i="7"/>
  <c r="AC522" i="7"/>
  <c r="AB522" i="7"/>
  <c r="AA522" i="7"/>
  <c r="Z522" i="7"/>
  <c r="Y522" i="7"/>
  <c r="X522" i="7"/>
  <c r="W522" i="7"/>
  <c r="V520" i="7"/>
  <c r="V515" i="7"/>
  <c r="AG504" i="7"/>
  <c r="AF504" i="7"/>
  <c r="AE504" i="7"/>
  <c r="AD504" i="7"/>
  <c r="AC504" i="7"/>
  <c r="AB504" i="7"/>
  <c r="AA504" i="7"/>
  <c r="Z504" i="7"/>
  <c r="Y504" i="7"/>
  <c r="X504" i="7"/>
  <c r="W504" i="7"/>
  <c r="L494" i="7"/>
  <c r="X427" i="15" s="1"/>
  <c r="Z427" i="15" s="1"/>
  <c r="J494" i="7"/>
  <c r="I494" i="7"/>
  <c r="H494" i="7"/>
  <c r="E494" i="7"/>
  <c r="G427" i="15" s="1"/>
  <c r="V493" i="7"/>
  <c r="V494" i="7" s="1"/>
  <c r="M493" i="7"/>
  <c r="L493" i="7"/>
  <c r="BC493" i="7" s="1"/>
  <c r="J493" i="7"/>
  <c r="H493" i="7"/>
  <c r="BE492" i="7"/>
  <c r="BD492" i="7"/>
  <c r="BC492" i="7"/>
  <c r="BB492" i="7"/>
  <c r="AG492" i="7"/>
  <c r="AF492" i="7"/>
  <c r="AE492" i="7"/>
  <c r="AD492" i="7"/>
  <c r="AC492" i="7"/>
  <c r="AB492" i="7"/>
  <c r="Z492" i="7"/>
  <c r="Y492" i="7"/>
  <c r="X492" i="7"/>
  <c r="W492" i="7"/>
  <c r="V490" i="7"/>
  <c r="F487" i="7"/>
  <c r="M452" i="7" s="1"/>
  <c r="E487" i="7"/>
  <c r="E517" i="7" s="1"/>
  <c r="E558" i="7" s="1"/>
  <c r="E597" i="7" s="1"/>
  <c r="E756" i="7" s="1"/>
  <c r="E799" i="7" s="1"/>
  <c r="E881" i="7" s="1"/>
  <c r="E1033" i="7" s="1"/>
  <c r="D487" i="7"/>
  <c r="V487" i="7" s="1"/>
  <c r="E486" i="7"/>
  <c r="E516" i="7" s="1"/>
  <c r="E557" i="7" s="1"/>
  <c r="E596" i="7" s="1"/>
  <c r="E755" i="7" s="1"/>
  <c r="E798" i="7" s="1"/>
  <c r="E880" i="7" s="1"/>
  <c r="D486" i="7"/>
  <c r="V486" i="7" s="1"/>
  <c r="V485" i="7"/>
  <c r="V484" i="7"/>
  <c r="E483" i="7"/>
  <c r="E482" i="7"/>
  <c r="V481" i="7"/>
  <c r="E481" i="7"/>
  <c r="E480" i="7"/>
  <c r="F479" i="7"/>
  <c r="E479" i="7"/>
  <c r="V478" i="7"/>
  <c r="E478" i="7"/>
  <c r="V477" i="7"/>
  <c r="E476" i="7"/>
  <c r="F475" i="7"/>
  <c r="E475" i="7"/>
  <c r="V474" i="7"/>
  <c r="E474" i="7"/>
  <c r="V473" i="7"/>
  <c r="W472" i="7"/>
  <c r="V472" i="7"/>
  <c r="V471" i="7"/>
  <c r="V469" i="7"/>
  <c r="AG468" i="7"/>
  <c r="AF468" i="7"/>
  <c r="AE468" i="7"/>
  <c r="AD468" i="7"/>
  <c r="AC468" i="7"/>
  <c r="AB468" i="7"/>
  <c r="AA468" i="7"/>
  <c r="Z468" i="7"/>
  <c r="Y468" i="7"/>
  <c r="X468" i="7"/>
  <c r="W468" i="7"/>
  <c r="V454" i="7"/>
  <c r="N454" i="7"/>
  <c r="L454" i="7"/>
  <c r="BC454" i="7" s="1"/>
  <c r="J454" i="7"/>
  <c r="I454" i="7"/>
  <c r="H454" i="7"/>
  <c r="V453" i="7"/>
  <c r="N453" i="7"/>
  <c r="L453" i="7"/>
  <c r="BC453" i="7" s="1"/>
  <c r="J453" i="7"/>
  <c r="H453" i="7"/>
  <c r="V452" i="7"/>
  <c r="N452" i="7"/>
  <c r="L452" i="7"/>
  <c r="BC452" i="7" s="1"/>
  <c r="J452" i="7"/>
  <c r="H452" i="7"/>
  <c r="BE451" i="7"/>
  <c r="BD451" i="7"/>
  <c r="BC451" i="7"/>
  <c r="BB451" i="7"/>
  <c r="AG451" i="7"/>
  <c r="AF451" i="7"/>
  <c r="AE451" i="7"/>
  <c r="AD451" i="7"/>
  <c r="AC451" i="7"/>
  <c r="AB451" i="7"/>
  <c r="AA451" i="7"/>
  <c r="Z451" i="7"/>
  <c r="Y451" i="7"/>
  <c r="X451" i="7"/>
  <c r="W451" i="7"/>
  <c r="V449" i="7"/>
  <c r="F446" i="7"/>
  <c r="M158" i="7" s="1"/>
  <c r="BE158" i="7" s="1"/>
  <c r="F445" i="7"/>
  <c r="M157" i="7" s="1"/>
  <c r="BE157" i="7" s="1"/>
  <c r="F444" i="7"/>
  <c r="M156" i="7" s="1"/>
  <c r="BE156" i="7" s="1"/>
  <c r="I443" i="7"/>
  <c r="F443" i="7"/>
  <c r="M155" i="7" s="1"/>
  <c r="BE155" i="7" s="1"/>
  <c r="I442" i="7"/>
  <c r="F442" i="7"/>
  <c r="M154" i="7" s="1"/>
  <c r="BE154" i="7" s="1"/>
  <c r="I441" i="7"/>
  <c r="F441" i="7"/>
  <c r="M153" i="7" s="1"/>
  <c r="BE153" i="7" s="1"/>
  <c r="F440" i="7"/>
  <c r="M152" i="7" s="1"/>
  <c r="BE152" i="7" s="1"/>
  <c r="F439" i="7"/>
  <c r="M151" i="7" s="1"/>
  <c r="F438" i="7"/>
  <c r="M150" i="7" s="1"/>
  <c r="BE150" i="7" s="1"/>
  <c r="I437" i="7"/>
  <c r="F437" i="7"/>
  <c r="M149" i="7" s="1"/>
  <c r="I436" i="7"/>
  <c r="F436" i="7"/>
  <c r="M148" i="7" s="1"/>
  <c r="BE148" i="7" s="1"/>
  <c r="I435" i="7"/>
  <c r="F435" i="7"/>
  <c r="M147" i="7" s="1"/>
  <c r="F434" i="7"/>
  <c r="M146" i="7" s="1"/>
  <c r="BE146" i="7" s="1"/>
  <c r="F433" i="7"/>
  <c r="M145" i="7" s="1"/>
  <c r="BE145" i="7" s="1"/>
  <c r="F432" i="7"/>
  <c r="M144" i="7" s="1"/>
  <c r="BE144" i="7" s="1"/>
  <c r="I431" i="7"/>
  <c r="F431" i="7"/>
  <c r="M143" i="7" s="1"/>
  <c r="BE143" i="7" s="1"/>
  <c r="I430" i="7"/>
  <c r="F430" i="7"/>
  <c r="M142" i="7" s="1"/>
  <c r="BE142" i="7" s="1"/>
  <c r="I429" i="7"/>
  <c r="F429" i="7"/>
  <c r="M141" i="7" s="1"/>
  <c r="BE141" i="7" s="1"/>
  <c r="F428" i="7"/>
  <c r="M140" i="7" s="1"/>
  <c r="BE140" i="7" s="1"/>
  <c r="F427" i="7"/>
  <c r="M139" i="7" s="1"/>
  <c r="BE139" i="7" s="1"/>
  <c r="F426" i="7"/>
  <c r="M138" i="7" s="1"/>
  <c r="I425" i="7"/>
  <c r="F425" i="7"/>
  <c r="M137" i="7" s="1"/>
  <c r="I424" i="7"/>
  <c r="F424" i="7"/>
  <c r="M136" i="7" s="1"/>
  <c r="BE136" i="7" s="1"/>
  <c r="I423" i="7"/>
  <c r="F423" i="7"/>
  <c r="M135" i="7" s="1"/>
  <c r="BE135" i="7" s="1"/>
  <c r="F422" i="7"/>
  <c r="M134" i="7" s="1"/>
  <c r="BE134" i="7" s="1"/>
  <c r="F421" i="7"/>
  <c r="M133" i="7" s="1"/>
  <c r="BE133" i="7" s="1"/>
  <c r="F420" i="7"/>
  <c r="M132" i="7" s="1"/>
  <c r="BE132" i="7" s="1"/>
  <c r="I419" i="7"/>
  <c r="F419" i="7"/>
  <c r="M131" i="7" s="1"/>
  <c r="BE131" i="7" s="1"/>
  <c r="I418" i="7"/>
  <c r="F418" i="7"/>
  <c r="M130" i="7" s="1"/>
  <c r="BE130" i="7" s="1"/>
  <c r="I417" i="7"/>
  <c r="F417" i="7"/>
  <c r="M129" i="7" s="1"/>
  <c r="BE129" i="7" s="1"/>
  <c r="V386" i="7"/>
  <c r="V356" i="7"/>
  <c r="V355" i="7"/>
  <c r="V354" i="7"/>
  <c r="V353" i="7"/>
  <c r="W352" i="7"/>
  <c r="F352" i="7"/>
  <c r="I158" i="7" s="1"/>
  <c r="W350" i="7"/>
  <c r="F350" i="7"/>
  <c r="I156" i="7" s="1"/>
  <c r="F349" i="7"/>
  <c r="I155" i="7" s="1"/>
  <c r="F347" i="7"/>
  <c r="I153" i="7" s="1"/>
  <c r="W346" i="7"/>
  <c r="F346" i="7"/>
  <c r="I152" i="7" s="1"/>
  <c r="W344" i="7"/>
  <c r="F344" i="7"/>
  <c r="I150" i="7" s="1"/>
  <c r="F343" i="7"/>
  <c r="I149" i="7" s="1"/>
  <c r="F341" i="7"/>
  <c r="I147" i="7" s="1"/>
  <c r="W340" i="7"/>
  <c r="F340" i="7"/>
  <c r="I146" i="7" s="1"/>
  <c r="W338" i="7"/>
  <c r="F338" i="7"/>
  <c r="I144" i="7" s="1"/>
  <c r="F337" i="7"/>
  <c r="I143" i="7" s="1"/>
  <c r="F335" i="7"/>
  <c r="I141" i="7" s="1"/>
  <c r="W334" i="7"/>
  <c r="F334" i="7"/>
  <c r="I140" i="7" s="1"/>
  <c r="W332" i="7"/>
  <c r="F332" i="7"/>
  <c r="I138" i="7" s="1"/>
  <c r="F331" i="7"/>
  <c r="I137" i="7" s="1"/>
  <c r="F329" i="7"/>
  <c r="I135" i="7" s="1"/>
  <c r="W328" i="7"/>
  <c r="F328" i="7"/>
  <c r="I134" i="7" s="1"/>
  <c r="W326" i="7"/>
  <c r="F326" i="7"/>
  <c r="I132" i="7" s="1"/>
  <c r="F325" i="7"/>
  <c r="I131" i="7" s="1"/>
  <c r="V323" i="7"/>
  <c r="F323" i="7"/>
  <c r="I129" i="7" s="1"/>
  <c r="W321" i="7"/>
  <c r="W351" i="7" s="1"/>
  <c r="F321" i="7"/>
  <c r="F351" i="7" s="1"/>
  <c r="I157" i="7" s="1"/>
  <c r="W318" i="7"/>
  <c r="F318" i="7"/>
  <c r="F348" i="7" s="1"/>
  <c r="I154" i="7" s="1"/>
  <c r="W315" i="7"/>
  <c r="W345" i="7" s="1"/>
  <c r="F315" i="7"/>
  <c r="F345" i="7" s="1"/>
  <c r="I151" i="7" s="1"/>
  <c r="W312" i="7"/>
  <c r="F312" i="7"/>
  <c r="F342" i="7" s="1"/>
  <c r="I148" i="7" s="1"/>
  <c r="W309" i="7"/>
  <c r="W339" i="7" s="1"/>
  <c r="F309" i="7"/>
  <c r="F339" i="7" s="1"/>
  <c r="I145" i="7" s="1"/>
  <c r="W306" i="7"/>
  <c r="F306" i="7"/>
  <c r="F336" i="7" s="1"/>
  <c r="I142" i="7" s="1"/>
  <c r="W303" i="7"/>
  <c r="W333" i="7" s="1"/>
  <c r="F303" i="7"/>
  <c r="F333" i="7" s="1"/>
  <c r="I139" i="7" s="1"/>
  <c r="W300" i="7"/>
  <c r="F300" i="7"/>
  <c r="F330" i="7" s="1"/>
  <c r="I136" i="7" s="1"/>
  <c r="W297" i="7"/>
  <c r="W327" i="7" s="1"/>
  <c r="F297" i="7"/>
  <c r="F327" i="7" s="1"/>
  <c r="W294" i="7"/>
  <c r="F294" i="7"/>
  <c r="F324" i="7" s="1"/>
  <c r="V293" i="7"/>
  <c r="V292" i="7"/>
  <c r="V291" i="7"/>
  <c r="V290" i="7"/>
  <c r="W286" i="7"/>
  <c r="W349" i="7" s="1"/>
  <c r="W285" i="7"/>
  <c r="W284" i="7"/>
  <c r="W347" i="7" s="1"/>
  <c r="W280" i="7"/>
  <c r="W343" i="7" s="1"/>
  <c r="W279" i="7"/>
  <c r="W278" i="7"/>
  <c r="W341" i="7" s="1"/>
  <c r="W274" i="7"/>
  <c r="W337" i="7" s="1"/>
  <c r="W273" i="7"/>
  <c r="W272" i="7"/>
  <c r="W335" i="7" s="1"/>
  <c r="W268" i="7"/>
  <c r="W331" i="7" s="1"/>
  <c r="W267" i="7"/>
  <c r="W266" i="7"/>
  <c r="W329" i="7" s="1"/>
  <c r="W262" i="7"/>
  <c r="W325" i="7" s="1"/>
  <c r="W261" i="7"/>
  <c r="W260" i="7"/>
  <c r="W323" i="7" s="1"/>
  <c r="V260" i="7"/>
  <c r="V230" i="7"/>
  <c r="V200" i="7"/>
  <c r="V170" i="7"/>
  <c r="AG169" i="7"/>
  <c r="AF169" i="7"/>
  <c r="AE169" i="7"/>
  <c r="AD169" i="7"/>
  <c r="AC169" i="7"/>
  <c r="AB169" i="7"/>
  <c r="AA169" i="7"/>
  <c r="Z169" i="7"/>
  <c r="Y169" i="7"/>
  <c r="X169" i="7"/>
  <c r="W169" i="7"/>
  <c r="V158" i="7"/>
  <c r="N158" i="7"/>
  <c r="L158" i="7"/>
  <c r="BC158" i="7" s="1"/>
  <c r="J158" i="7"/>
  <c r="H158" i="7"/>
  <c r="V157" i="7"/>
  <c r="N157" i="7"/>
  <c r="L157" i="7"/>
  <c r="BC157" i="7" s="1"/>
  <c r="J157" i="7"/>
  <c r="H157" i="7"/>
  <c r="V156" i="7"/>
  <c r="N156" i="7"/>
  <c r="L156" i="7"/>
  <c r="BC156" i="7" s="1"/>
  <c r="J156" i="7"/>
  <c r="H156" i="7"/>
  <c r="V155" i="7"/>
  <c r="N155" i="7"/>
  <c r="L155" i="7"/>
  <c r="X416" i="15" s="1"/>
  <c r="Z416" i="15" s="1"/>
  <c r="J155" i="7"/>
  <c r="H155" i="7"/>
  <c r="V154" i="7"/>
  <c r="N154" i="7"/>
  <c r="L154" i="7"/>
  <c r="X415" i="15" s="1"/>
  <c r="Z415" i="15" s="1"/>
  <c r="J154" i="7"/>
  <c r="H154" i="7"/>
  <c r="V153" i="7"/>
  <c r="N153" i="7"/>
  <c r="L153" i="7"/>
  <c r="BC153" i="7" s="1"/>
  <c r="J153" i="7"/>
  <c r="H153" i="7"/>
  <c r="V152" i="7"/>
  <c r="N152" i="7"/>
  <c r="L152" i="7"/>
  <c r="BC152" i="7" s="1"/>
  <c r="J152" i="7"/>
  <c r="H152" i="7"/>
  <c r="V151" i="7"/>
  <c r="N151" i="7"/>
  <c r="L151" i="7"/>
  <c r="BC151" i="7" s="1"/>
  <c r="J151" i="7"/>
  <c r="H151" i="7"/>
  <c r="V150" i="7"/>
  <c r="N150" i="7"/>
  <c r="L150" i="7"/>
  <c r="BC150" i="7" s="1"/>
  <c r="J150" i="7"/>
  <c r="H150" i="7"/>
  <c r="V149" i="7"/>
  <c r="N149" i="7"/>
  <c r="L149" i="7"/>
  <c r="X410" i="15" s="1"/>
  <c r="Z410" i="15" s="1"/>
  <c r="J149" i="7"/>
  <c r="H149" i="7"/>
  <c r="V148" i="7"/>
  <c r="N148" i="7"/>
  <c r="L148" i="7"/>
  <c r="X409" i="15" s="1"/>
  <c r="Z409" i="15" s="1"/>
  <c r="J148" i="7"/>
  <c r="H148" i="7"/>
  <c r="V147" i="7"/>
  <c r="N147" i="7"/>
  <c r="L147" i="7"/>
  <c r="X408" i="15" s="1"/>
  <c r="Z408" i="15" s="1"/>
  <c r="J147" i="7"/>
  <c r="H147" i="7"/>
  <c r="V146" i="7"/>
  <c r="N146" i="7"/>
  <c r="L146" i="7"/>
  <c r="BC146" i="7" s="1"/>
  <c r="J146" i="7"/>
  <c r="H146" i="7"/>
  <c r="V145" i="7"/>
  <c r="N145" i="7"/>
  <c r="L145" i="7"/>
  <c r="BC145" i="7" s="1"/>
  <c r="J145" i="7"/>
  <c r="H145" i="7"/>
  <c r="V144" i="7"/>
  <c r="N144" i="7"/>
  <c r="L144" i="7"/>
  <c r="BC144" i="7" s="1"/>
  <c r="J144" i="7"/>
  <c r="H144" i="7"/>
  <c r="V143" i="7"/>
  <c r="N143" i="7"/>
  <c r="L143" i="7"/>
  <c r="BC143" i="7" s="1"/>
  <c r="J143" i="7"/>
  <c r="H143" i="7"/>
  <c r="V142" i="7"/>
  <c r="N142" i="7"/>
  <c r="L142" i="7"/>
  <c r="BC142" i="7" s="1"/>
  <c r="J142" i="7"/>
  <c r="H142" i="7"/>
  <c r="V141" i="7"/>
  <c r="N141" i="7"/>
  <c r="L141" i="7"/>
  <c r="BC141" i="7" s="1"/>
  <c r="J141" i="7"/>
  <c r="H141" i="7"/>
  <c r="V140" i="7"/>
  <c r="N140" i="7"/>
  <c r="L140" i="7"/>
  <c r="BC140" i="7" s="1"/>
  <c r="J140" i="7"/>
  <c r="H140" i="7"/>
  <c r="V139" i="7"/>
  <c r="N139" i="7"/>
  <c r="L139" i="7"/>
  <c r="X400" i="15" s="1"/>
  <c r="Z400" i="15" s="1"/>
  <c r="J139" i="7"/>
  <c r="H139" i="7"/>
  <c r="V138" i="7"/>
  <c r="N138" i="7"/>
  <c r="L138" i="7"/>
  <c r="BC138" i="7" s="1"/>
  <c r="J138" i="7"/>
  <c r="H138" i="7"/>
  <c r="V137" i="7"/>
  <c r="N137" i="7"/>
  <c r="L137" i="7"/>
  <c r="X398" i="15" s="1"/>
  <c r="Z398" i="15" s="1"/>
  <c r="J137" i="7"/>
  <c r="H137" i="7"/>
  <c r="V136" i="7"/>
  <c r="N136" i="7"/>
  <c r="L136" i="7"/>
  <c r="X397" i="15" s="1"/>
  <c r="Z397" i="15" s="1"/>
  <c r="J136" i="7"/>
  <c r="H136" i="7"/>
  <c r="V135" i="7"/>
  <c r="N135" i="7"/>
  <c r="L135" i="7"/>
  <c r="BC135" i="7" s="1"/>
  <c r="J135" i="7"/>
  <c r="H135" i="7"/>
  <c r="V134" i="7"/>
  <c r="N134" i="7"/>
  <c r="L134" i="7"/>
  <c r="BC134" i="7" s="1"/>
  <c r="J134" i="7"/>
  <c r="H134" i="7"/>
  <c r="V133" i="7"/>
  <c r="N133" i="7"/>
  <c r="L133" i="7"/>
  <c r="BC133" i="7" s="1"/>
  <c r="J133" i="7"/>
  <c r="H133" i="7"/>
  <c r="V132" i="7"/>
  <c r="N132" i="7"/>
  <c r="L132" i="7"/>
  <c r="X393" i="15" s="1"/>
  <c r="Z393" i="15" s="1"/>
  <c r="J132" i="7"/>
  <c r="H132" i="7"/>
  <c r="V131" i="7"/>
  <c r="N131" i="7"/>
  <c r="L131" i="7"/>
  <c r="BC131" i="7" s="1"/>
  <c r="J131" i="7"/>
  <c r="H131" i="7"/>
  <c r="V130" i="7"/>
  <c r="N130" i="7"/>
  <c r="L130" i="7"/>
  <c r="BC130" i="7" s="1"/>
  <c r="J130" i="7"/>
  <c r="H130" i="7"/>
  <c r="V129" i="7"/>
  <c r="N129" i="7"/>
  <c r="L129" i="7"/>
  <c r="X390" i="15" s="1"/>
  <c r="Z390" i="15" s="1"/>
  <c r="J129" i="7"/>
  <c r="H129" i="7"/>
  <c r="BE128" i="7"/>
  <c r="BD128" i="7"/>
  <c r="BC128" i="7"/>
  <c r="BB128" i="7"/>
  <c r="AG128" i="7"/>
  <c r="AF128" i="7"/>
  <c r="AE128" i="7"/>
  <c r="AD128" i="7"/>
  <c r="AC128" i="7"/>
  <c r="AB128" i="7"/>
  <c r="AA128" i="7"/>
  <c r="Z128" i="7"/>
  <c r="Y128" i="7"/>
  <c r="X128" i="7"/>
  <c r="W128" i="7"/>
  <c r="V126" i="7"/>
  <c r="F123" i="7"/>
  <c r="F122" i="7"/>
  <c r="F121" i="7"/>
  <c r="F120" i="7"/>
  <c r="F119" i="7"/>
  <c r="F118" i="7"/>
  <c r="F116" i="7"/>
  <c r="F115" i="7"/>
  <c r="D115" i="7"/>
  <c r="V115" i="7" s="1"/>
  <c r="D114" i="7"/>
  <c r="V114" i="7" s="1"/>
  <c r="V113" i="7"/>
  <c r="V112" i="7"/>
  <c r="F101" i="7"/>
  <c r="F102" i="7" s="1"/>
  <c r="J67" i="7" s="1"/>
  <c r="F98" i="7"/>
  <c r="J63" i="7" s="1"/>
  <c r="V94" i="7"/>
  <c r="W91" i="7"/>
  <c r="W541" i="7" s="1"/>
  <c r="W86" i="7"/>
  <c r="W85" i="7"/>
  <c r="V85" i="7"/>
  <c r="E84" i="7"/>
  <c r="E93" i="7" s="1"/>
  <c r="E102" i="7" s="1"/>
  <c r="E111" i="7" s="1"/>
  <c r="E83" i="7"/>
  <c r="E92" i="7" s="1"/>
  <c r="E101" i="7" s="1"/>
  <c r="E82" i="7"/>
  <c r="E91" i="7" s="1"/>
  <c r="E100" i="7" s="1"/>
  <c r="E109" i="7" s="1"/>
  <c r="E81" i="7"/>
  <c r="E90" i="7" s="1"/>
  <c r="E99" i="7" s="1"/>
  <c r="E120" i="7" s="1"/>
  <c r="E80" i="7"/>
  <c r="E89" i="7" s="1"/>
  <c r="E98" i="7" s="1"/>
  <c r="E107" i="7" s="1"/>
  <c r="E79" i="7"/>
  <c r="E88" i="7" s="1"/>
  <c r="E97" i="7" s="1"/>
  <c r="E118" i="7" s="1"/>
  <c r="E77" i="7"/>
  <c r="E86" i="7" s="1"/>
  <c r="E95" i="7" s="1"/>
  <c r="E104" i="7" s="1"/>
  <c r="V76" i="7"/>
  <c r="E76" i="7"/>
  <c r="E85" i="7" s="1"/>
  <c r="E94" i="7" s="1"/>
  <c r="E103" i="7" s="1"/>
  <c r="AG75" i="7"/>
  <c r="AF75" i="7"/>
  <c r="AE75" i="7"/>
  <c r="AD75" i="7"/>
  <c r="AC75" i="7"/>
  <c r="AB75" i="7"/>
  <c r="AA75" i="7"/>
  <c r="Y75" i="7"/>
  <c r="X75" i="7"/>
  <c r="W75" i="7"/>
  <c r="N67" i="7"/>
  <c r="M67" i="7"/>
  <c r="BE67" i="7" s="1"/>
  <c r="L67" i="7"/>
  <c r="I67" i="7"/>
  <c r="H67" i="7"/>
  <c r="N66" i="7"/>
  <c r="M66" i="7"/>
  <c r="BE66" i="7" s="1"/>
  <c r="L66" i="7"/>
  <c r="I66" i="7"/>
  <c r="H66" i="7"/>
  <c r="N65" i="7"/>
  <c r="M65" i="7"/>
  <c r="BE65" i="7" s="1"/>
  <c r="L65" i="7"/>
  <c r="BC65" i="7" s="1"/>
  <c r="J65" i="7"/>
  <c r="I65" i="7"/>
  <c r="H65" i="7"/>
  <c r="N64" i="7"/>
  <c r="M64" i="7"/>
  <c r="BE64" i="7" s="1"/>
  <c r="L64" i="7"/>
  <c r="X386" i="15" s="1"/>
  <c r="Z386" i="15" s="1"/>
  <c r="J64" i="7"/>
  <c r="I64" i="7"/>
  <c r="H64" i="7"/>
  <c r="N63" i="7"/>
  <c r="M63" i="7"/>
  <c r="BE63" i="7" s="1"/>
  <c r="L63" i="7"/>
  <c r="X385" i="15" s="1"/>
  <c r="Z385" i="15" s="1"/>
  <c r="I63" i="7"/>
  <c r="H63" i="7"/>
  <c r="N62" i="7"/>
  <c r="M62" i="7"/>
  <c r="L62" i="7"/>
  <c r="X384" i="15" s="1"/>
  <c r="Z384" i="15" s="1"/>
  <c r="J62" i="7"/>
  <c r="H62" i="7"/>
  <c r="N60" i="7"/>
  <c r="M60" i="7"/>
  <c r="BE60" i="7" s="1"/>
  <c r="L60" i="7"/>
  <c r="BC60" i="7" s="1"/>
  <c r="J60" i="7"/>
  <c r="I60" i="7"/>
  <c r="H60" i="7"/>
  <c r="V59" i="7"/>
  <c r="N59" i="7"/>
  <c r="M59" i="7"/>
  <c r="L59" i="7"/>
  <c r="BC59" i="7" s="1"/>
  <c r="J59" i="7"/>
  <c r="I59" i="7"/>
  <c r="H59" i="7"/>
  <c r="BE58" i="7"/>
  <c r="BD58" i="7"/>
  <c r="BC58" i="7"/>
  <c r="BB58" i="7"/>
  <c r="AG58" i="7"/>
  <c r="AF58" i="7"/>
  <c r="AE58" i="7"/>
  <c r="AD58" i="7"/>
  <c r="AC58" i="7"/>
  <c r="AB58" i="7"/>
  <c r="AA58" i="7"/>
  <c r="Z58" i="7"/>
  <c r="Y58" i="7"/>
  <c r="X58" i="7"/>
  <c r="W58" i="7"/>
  <c r="V56" i="7"/>
  <c r="F51" i="7"/>
  <c r="F50" i="7"/>
  <c r="F49" i="7"/>
  <c r="F48" i="7"/>
  <c r="F47" i="7"/>
  <c r="F46" i="7"/>
  <c r="F45" i="7"/>
  <c r="F44" i="7"/>
  <c r="D44" i="7"/>
  <c r="D43" i="7"/>
  <c r="D416" i="7" s="1"/>
  <c r="V416" i="7" s="1"/>
  <c r="V42" i="7"/>
  <c r="Y40" i="7"/>
  <c r="X40" i="7"/>
  <c r="Y39" i="7"/>
  <c r="X39" i="7"/>
  <c r="G39" i="7"/>
  <c r="F13" i="7" s="1"/>
  <c r="Y38" i="7"/>
  <c r="X38" i="7"/>
  <c r="G38" i="7"/>
  <c r="F11" i="7" s="1"/>
  <c r="Y37" i="7"/>
  <c r="X37" i="7"/>
  <c r="V37" i="7"/>
  <c r="G37" i="7"/>
  <c r="F7" i="7" s="1"/>
  <c r="V32" i="7"/>
  <c r="V30" i="7"/>
  <c r="V28" i="7"/>
  <c r="AG27" i="7"/>
  <c r="AF27" i="7"/>
  <c r="AE27" i="7"/>
  <c r="AD27" i="7"/>
  <c r="AC27" i="7"/>
  <c r="AB27" i="7"/>
  <c r="AA27" i="7"/>
  <c r="Z27" i="7"/>
  <c r="Y27" i="7"/>
  <c r="X27" i="7"/>
  <c r="W27" i="7"/>
  <c r="J18" i="7"/>
  <c r="BC18" i="7" s="1"/>
  <c r="H18" i="7"/>
  <c r="E18" i="7"/>
  <c r="G377" i="15" s="1"/>
  <c r="K17" i="7"/>
  <c r="BE17" i="7" s="1"/>
  <c r="J17" i="7"/>
  <c r="X376" i="15" s="1"/>
  <c r="Z376" i="15" s="1"/>
  <c r="H17" i="7"/>
  <c r="K16" i="7"/>
  <c r="J16" i="7"/>
  <c r="X375" i="15" s="1"/>
  <c r="Z375" i="15" s="1"/>
  <c r="H16" i="7"/>
  <c r="J15" i="7"/>
  <c r="BC15" i="7" s="1"/>
  <c r="H15" i="7"/>
  <c r="E15" i="7"/>
  <c r="G374" i="15" s="1"/>
  <c r="K14" i="7"/>
  <c r="BE14" i="7" s="1"/>
  <c r="J14" i="7"/>
  <c r="BC14" i="7" s="1"/>
  <c r="H14" i="7"/>
  <c r="K13" i="7"/>
  <c r="BE13" i="7" s="1"/>
  <c r="J13" i="7"/>
  <c r="BC13" i="7" s="1"/>
  <c r="H13" i="7"/>
  <c r="J12" i="7"/>
  <c r="BC12" i="7" s="1"/>
  <c r="H12" i="7"/>
  <c r="E12" i="7"/>
  <c r="G371" i="15" s="1"/>
  <c r="K11" i="7"/>
  <c r="BE11" i="7" s="1"/>
  <c r="J11" i="7"/>
  <c r="BC11" i="7" s="1"/>
  <c r="H11" i="7"/>
  <c r="K10" i="7"/>
  <c r="BE10" i="7" s="1"/>
  <c r="J10" i="7"/>
  <c r="BC10" i="7" s="1"/>
  <c r="H10" i="7"/>
  <c r="J9" i="7"/>
  <c r="X368" i="15" s="1"/>
  <c r="Z368" i="15" s="1"/>
  <c r="H9" i="7"/>
  <c r="E9" i="7"/>
  <c r="G368" i="15" s="1"/>
  <c r="K8" i="7"/>
  <c r="BE8" i="7" s="1"/>
  <c r="J8" i="7"/>
  <c r="X367" i="15" s="1"/>
  <c r="Z367" i="15" s="1"/>
  <c r="H8" i="7"/>
  <c r="K7" i="7"/>
  <c r="BE7" i="7" s="1"/>
  <c r="J7" i="7"/>
  <c r="BC7" i="7" s="1"/>
  <c r="H7" i="7"/>
  <c r="V4" i="7"/>
  <c r="M4447" i="6"/>
  <c r="L4447" i="6"/>
  <c r="J4447" i="6"/>
  <c r="J4446" i="6"/>
  <c r="M4443" i="6"/>
  <c r="L4443" i="6"/>
  <c r="J4443" i="6"/>
  <c r="J4442" i="6"/>
  <c r="M4439" i="6"/>
  <c r="L4439" i="6"/>
  <c r="J4439" i="6"/>
  <c r="J4438" i="6"/>
  <c r="M4435" i="6"/>
  <c r="L4435" i="6"/>
  <c r="J4435" i="6"/>
  <c r="J4434" i="6"/>
  <c r="M4431" i="6"/>
  <c r="L4431" i="6"/>
  <c r="J4431" i="6"/>
  <c r="X4430" i="6"/>
  <c r="K4430" i="6"/>
  <c r="K1900" i="6" s="1"/>
  <c r="BE1900" i="6" s="1"/>
  <c r="J4430" i="6"/>
  <c r="M4425" i="6"/>
  <c r="L4425" i="6"/>
  <c r="J4425" i="6"/>
  <c r="M4424" i="6"/>
  <c r="L4424" i="6"/>
  <c r="J4424" i="6"/>
  <c r="M4423" i="6"/>
  <c r="L4423" i="6"/>
  <c r="J4423" i="6"/>
  <c r="J4422" i="6"/>
  <c r="M4415" i="6"/>
  <c r="L4415" i="6"/>
  <c r="J4415" i="6"/>
  <c r="J4414" i="6"/>
  <c r="M4413" i="6"/>
  <c r="L4413" i="6"/>
  <c r="J4413" i="6"/>
  <c r="J4412" i="6"/>
  <c r="M4411" i="6"/>
  <c r="L4411" i="6"/>
  <c r="J4411" i="6"/>
  <c r="M4410" i="6"/>
  <c r="L4410" i="6"/>
  <c r="J4410" i="6"/>
  <c r="M4409" i="6"/>
  <c r="L4409" i="6"/>
  <c r="J4409" i="6"/>
  <c r="J4408" i="6"/>
  <c r="M4403" i="6"/>
  <c r="L4403" i="6"/>
  <c r="J4403" i="6"/>
  <c r="M4402" i="6"/>
  <c r="L4402" i="6"/>
  <c r="J4402" i="6"/>
  <c r="M4401" i="6"/>
  <c r="L4401" i="6"/>
  <c r="J4401" i="6"/>
  <c r="J4400" i="6"/>
  <c r="M4387" i="6"/>
  <c r="L4387" i="6"/>
  <c r="J4387" i="6"/>
  <c r="M4386" i="6"/>
  <c r="L4386" i="6"/>
  <c r="J4386" i="6"/>
  <c r="M4385" i="6"/>
  <c r="L4385" i="6"/>
  <c r="J4385" i="6"/>
  <c r="J4384" i="6"/>
  <c r="M4383" i="6"/>
  <c r="L4383" i="6"/>
  <c r="J4383" i="6"/>
  <c r="J4382" i="6"/>
  <c r="M4381" i="6"/>
  <c r="L4381" i="6"/>
  <c r="J4381" i="6"/>
  <c r="M4380" i="6"/>
  <c r="L4380" i="6"/>
  <c r="J4380" i="6"/>
  <c r="M4379" i="6"/>
  <c r="L4379" i="6"/>
  <c r="J4379" i="6"/>
  <c r="J4378" i="6"/>
  <c r="M4373" i="6"/>
  <c r="L4373" i="6"/>
  <c r="J4373" i="6"/>
  <c r="M4372" i="6"/>
  <c r="L4372" i="6"/>
  <c r="J4372" i="6"/>
  <c r="M4371" i="6"/>
  <c r="L4371" i="6"/>
  <c r="J4371" i="6"/>
  <c r="J4370" i="6"/>
  <c r="M4357" i="6"/>
  <c r="L4357" i="6"/>
  <c r="J4357" i="6"/>
  <c r="M4356" i="6"/>
  <c r="L4356" i="6"/>
  <c r="J4356" i="6"/>
  <c r="M4355" i="6"/>
  <c r="L4355" i="6"/>
  <c r="J4355" i="6"/>
  <c r="J4354" i="6"/>
  <c r="M4349" i="6"/>
  <c r="L4349" i="6"/>
  <c r="J4349" i="6"/>
  <c r="M4348" i="6"/>
  <c r="L4348" i="6"/>
  <c r="J4348" i="6"/>
  <c r="M4347" i="6"/>
  <c r="L4347" i="6"/>
  <c r="J4347" i="6"/>
  <c r="J4346" i="6"/>
  <c r="M4341" i="6"/>
  <c r="L4341" i="6"/>
  <c r="J4341" i="6"/>
  <c r="M4340" i="6"/>
  <c r="L4340" i="6"/>
  <c r="J4340" i="6"/>
  <c r="M4339" i="6"/>
  <c r="L4339" i="6"/>
  <c r="J4339" i="6"/>
  <c r="J4338" i="6"/>
  <c r="M4325" i="6"/>
  <c r="L4325" i="6"/>
  <c r="J4325" i="6"/>
  <c r="M4324" i="6"/>
  <c r="L4324" i="6"/>
  <c r="J4324" i="6"/>
  <c r="M4323" i="6"/>
  <c r="L4323" i="6"/>
  <c r="J4323" i="6"/>
  <c r="J4322" i="6"/>
  <c r="M4317" i="6"/>
  <c r="L4317" i="6"/>
  <c r="J4317" i="6"/>
  <c r="M4316" i="6"/>
  <c r="L4316" i="6"/>
  <c r="J4316" i="6"/>
  <c r="M4315" i="6"/>
  <c r="L4315" i="6"/>
  <c r="J4315" i="6"/>
  <c r="J4314" i="6"/>
  <c r="M4309" i="6"/>
  <c r="L4309" i="6"/>
  <c r="J4309" i="6"/>
  <c r="M4308" i="6"/>
  <c r="L4308" i="6"/>
  <c r="J4308" i="6"/>
  <c r="M4307" i="6"/>
  <c r="L4307" i="6"/>
  <c r="J4307" i="6"/>
  <c r="J4306" i="6"/>
  <c r="M4293" i="6"/>
  <c r="L4293" i="6"/>
  <c r="J4293" i="6"/>
  <c r="M4292" i="6"/>
  <c r="L4292" i="6"/>
  <c r="J4292" i="6"/>
  <c r="M4291" i="6"/>
  <c r="L4291" i="6"/>
  <c r="J4291" i="6"/>
  <c r="J4290" i="6"/>
  <c r="M4285" i="6"/>
  <c r="L4285" i="6"/>
  <c r="J4285" i="6"/>
  <c r="M4284" i="6"/>
  <c r="L4284" i="6"/>
  <c r="J4284" i="6"/>
  <c r="M4283" i="6"/>
  <c r="L4283" i="6"/>
  <c r="J4283" i="6"/>
  <c r="J4282" i="6"/>
  <c r="M4281" i="6"/>
  <c r="L4281" i="6"/>
  <c r="J4281" i="6"/>
  <c r="J4280" i="6"/>
  <c r="M4279" i="6"/>
  <c r="L4279" i="6"/>
  <c r="J4279" i="6"/>
  <c r="M4278" i="6"/>
  <c r="L4278" i="6"/>
  <c r="J4278" i="6"/>
  <c r="M4277" i="6"/>
  <c r="L4277" i="6"/>
  <c r="J4277" i="6"/>
  <c r="J4276" i="6"/>
  <c r="M4275" i="6"/>
  <c r="L4275" i="6"/>
  <c r="J4275" i="6"/>
  <c r="J4274" i="6"/>
  <c r="M4273" i="6"/>
  <c r="L4273" i="6"/>
  <c r="J4273" i="6"/>
  <c r="M4272" i="6"/>
  <c r="L4272" i="6"/>
  <c r="J4272" i="6"/>
  <c r="M4271" i="6"/>
  <c r="L4271" i="6"/>
  <c r="J4271" i="6"/>
  <c r="J4270" i="6"/>
  <c r="M4269" i="6"/>
  <c r="L4269" i="6"/>
  <c r="J4269" i="6"/>
  <c r="X4268" i="6"/>
  <c r="K4268" i="6"/>
  <c r="K1738" i="6" s="1"/>
  <c r="BE1738" i="6" s="1"/>
  <c r="J4268" i="6"/>
  <c r="M4267" i="6"/>
  <c r="L4267" i="6"/>
  <c r="J4267" i="6"/>
  <c r="M4266" i="6"/>
  <c r="L4266" i="6"/>
  <c r="J4266" i="6"/>
  <c r="M4265" i="6"/>
  <c r="L4265" i="6"/>
  <c r="J4265" i="6"/>
  <c r="J4264" i="6"/>
  <c r="M4257" i="6"/>
  <c r="L4257" i="6"/>
  <c r="J4257" i="6"/>
  <c r="J4256" i="6"/>
  <c r="M4253" i="6"/>
  <c r="L4253" i="6"/>
  <c r="J4253" i="6"/>
  <c r="J4252" i="6"/>
  <c r="M4239" i="6"/>
  <c r="L4239" i="6"/>
  <c r="J4239" i="6"/>
  <c r="M4238" i="6"/>
  <c r="L4238" i="6"/>
  <c r="J4238" i="6"/>
  <c r="M4237" i="6"/>
  <c r="L4237" i="6"/>
  <c r="J4237" i="6"/>
  <c r="J4236" i="6"/>
  <c r="M4231" i="6"/>
  <c r="L4231" i="6"/>
  <c r="J4231" i="6"/>
  <c r="M4230" i="6"/>
  <c r="L4230" i="6"/>
  <c r="J4230" i="6"/>
  <c r="M4229" i="6"/>
  <c r="L4229" i="6"/>
  <c r="J4229" i="6"/>
  <c r="J4228" i="6"/>
  <c r="M4221" i="6"/>
  <c r="L4221" i="6"/>
  <c r="J4221" i="6"/>
  <c r="J4220" i="6"/>
  <c r="M4217" i="6"/>
  <c r="L4217" i="6"/>
  <c r="J4217" i="6"/>
  <c r="J4216" i="6"/>
  <c r="M4211" i="6"/>
  <c r="L4211" i="6"/>
  <c r="J4211" i="6"/>
  <c r="M4210" i="6"/>
  <c r="L4210" i="6"/>
  <c r="J4210" i="6"/>
  <c r="M4209" i="6"/>
  <c r="L4209" i="6"/>
  <c r="J4209" i="6"/>
  <c r="J4208" i="6"/>
  <c r="M4201" i="6"/>
  <c r="L4201" i="6"/>
  <c r="J4201" i="6"/>
  <c r="J4200" i="6"/>
  <c r="M4197" i="6"/>
  <c r="L4197" i="6"/>
  <c r="J4197" i="6"/>
  <c r="J4196" i="6"/>
  <c r="M4189" i="6"/>
  <c r="L4189" i="6"/>
  <c r="J4189" i="6"/>
  <c r="J4188" i="6"/>
  <c r="M4185" i="6"/>
  <c r="L4185" i="6"/>
  <c r="J4185" i="6"/>
  <c r="J4184" i="6"/>
  <c r="M4177" i="6"/>
  <c r="L4177" i="6"/>
  <c r="J4177" i="6"/>
  <c r="X4176" i="6"/>
  <c r="K4176" i="6"/>
  <c r="K1646" i="6" s="1"/>
  <c r="BE1646" i="6" s="1"/>
  <c r="J4176" i="6"/>
  <c r="M4173" i="6"/>
  <c r="L4173" i="6"/>
  <c r="J4173" i="6"/>
  <c r="X4172" i="6"/>
  <c r="K4172" i="6"/>
  <c r="K1642" i="6" s="1"/>
  <c r="BE1642" i="6" s="1"/>
  <c r="J4172" i="6"/>
  <c r="M4169" i="6"/>
  <c r="L4169" i="6"/>
  <c r="J4169" i="6"/>
  <c r="X4168" i="6"/>
  <c r="K4168" i="6"/>
  <c r="K1638" i="6" s="1"/>
  <c r="BE1638" i="6" s="1"/>
  <c r="M4155" i="6"/>
  <c r="L4155" i="6"/>
  <c r="J4155" i="6"/>
  <c r="M4154" i="6"/>
  <c r="L4154" i="6"/>
  <c r="J4154" i="6"/>
  <c r="M4153" i="6"/>
  <c r="L4153" i="6"/>
  <c r="J4153" i="6"/>
  <c r="J4152" i="6"/>
  <c r="M4145" i="6"/>
  <c r="L4145" i="6"/>
  <c r="J4145" i="6"/>
  <c r="X4144" i="6"/>
  <c r="K4144" i="6"/>
  <c r="K1614" i="6" s="1"/>
  <c r="BE1614" i="6" s="1"/>
  <c r="J4144" i="6"/>
  <c r="M4141" i="6"/>
  <c r="L4141" i="6"/>
  <c r="J4141" i="6"/>
  <c r="X4140" i="6"/>
  <c r="K4140" i="6"/>
  <c r="K1610" i="6" s="1"/>
  <c r="BE1610" i="6" s="1"/>
  <c r="J4140" i="6"/>
  <c r="M4135" i="6"/>
  <c r="L4135" i="6"/>
  <c r="J4135" i="6"/>
  <c r="M4134" i="6"/>
  <c r="L4134" i="6"/>
  <c r="J4134" i="6"/>
  <c r="M4133" i="6"/>
  <c r="L4133" i="6"/>
  <c r="J4133" i="6"/>
  <c r="J4132" i="6"/>
  <c r="M4125" i="6"/>
  <c r="L4125" i="6"/>
  <c r="J4125" i="6"/>
  <c r="X4124" i="6"/>
  <c r="K4124" i="6"/>
  <c r="K1594" i="6" s="1"/>
  <c r="BE1594" i="6" s="1"/>
  <c r="J4124" i="6"/>
  <c r="M4111" i="6"/>
  <c r="L4111" i="6"/>
  <c r="J4111" i="6"/>
  <c r="M4110" i="6"/>
  <c r="L4110" i="6"/>
  <c r="J4110" i="6"/>
  <c r="M4109" i="6"/>
  <c r="L4109" i="6"/>
  <c r="J4109" i="6"/>
  <c r="J4108" i="6"/>
  <c r="M4103" i="6"/>
  <c r="L4103" i="6"/>
  <c r="J4103" i="6"/>
  <c r="M4102" i="6"/>
  <c r="L4102" i="6"/>
  <c r="J4102" i="6"/>
  <c r="M4101" i="6"/>
  <c r="L4101" i="6"/>
  <c r="J4101" i="6"/>
  <c r="J4100" i="6"/>
  <c r="M4099" i="6"/>
  <c r="L4099" i="6"/>
  <c r="J4099" i="6"/>
  <c r="K4098" i="6"/>
  <c r="K1566" i="6" s="1"/>
  <c r="J4098" i="6"/>
  <c r="M4095" i="6"/>
  <c r="L4095" i="6"/>
  <c r="J4095" i="6"/>
  <c r="K1564" i="6"/>
  <c r="BE1564" i="6" s="1"/>
  <c r="J4094" i="6"/>
  <c r="M4093" i="6"/>
  <c r="L4093" i="6"/>
  <c r="J4093" i="6"/>
  <c r="M4092" i="6"/>
  <c r="L4092" i="6"/>
  <c r="J4092" i="6"/>
  <c r="M4091" i="6"/>
  <c r="L4091" i="6"/>
  <c r="J4091" i="6"/>
  <c r="J4090" i="6"/>
  <c r="M4085" i="6"/>
  <c r="L4085" i="6"/>
  <c r="J4085" i="6"/>
  <c r="M4084" i="6"/>
  <c r="L4084" i="6"/>
  <c r="J4084" i="6"/>
  <c r="M4083" i="6"/>
  <c r="L4083" i="6"/>
  <c r="J4083" i="6"/>
  <c r="J4082" i="6"/>
  <c r="M4081" i="6"/>
  <c r="L4081" i="6"/>
  <c r="J4081" i="6"/>
  <c r="K4080" i="6"/>
  <c r="K1550" i="6" s="1"/>
  <c r="BE1550" i="6" s="1"/>
  <c r="J4080" i="6"/>
  <c r="J4077" i="6"/>
  <c r="BE1546" i="6"/>
  <c r="J4076" i="6"/>
  <c r="L4075" i="6"/>
  <c r="J4075" i="6"/>
  <c r="L4074" i="6"/>
  <c r="J4074" i="6"/>
  <c r="L4073" i="6"/>
  <c r="J4073" i="6"/>
  <c r="J4072" i="6"/>
  <c r="J4067" i="6"/>
  <c r="J4066" i="6"/>
  <c r="M4065" i="6"/>
  <c r="J4065" i="6"/>
  <c r="J4064" i="6"/>
  <c r="F1919" i="6"/>
  <c r="F1915" i="6"/>
  <c r="F1911" i="6"/>
  <c r="F1903" i="6"/>
  <c r="F1899" i="6"/>
  <c r="F1897" i="6"/>
  <c r="F1877" i="6"/>
  <c r="F1875" i="6"/>
  <c r="F1847" i="6"/>
  <c r="F1845" i="6"/>
  <c r="F1815" i="6"/>
  <c r="F1813" i="6"/>
  <c r="F1783" i="6"/>
  <c r="F1781" i="6"/>
  <c r="F1767" i="6"/>
  <c r="F1765" i="6"/>
  <c r="F1711" i="6"/>
  <c r="F1641" i="6"/>
  <c r="F1627" i="6"/>
  <c r="F1617" i="6"/>
  <c r="F1613" i="6"/>
  <c r="F1609" i="6"/>
  <c r="F1607" i="6"/>
  <c r="F1585" i="6"/>
  <c r="F1583" i="6"/>
  <c r="F1577" i="6"/>
  <c r="M4104" i="6"/>
  <c r="Y3097" i="6"/>
  <c r="K3097" i="6"/>
  <c r="Y3095" i="6"/>
  <c r="K3095" i="6"/>
  <c r="Y3093" i="6"/>
  <c r="K3093" i="6"/>
  <c r="Y3091" i="6"/>
  <c r="K3091" i="6"/>
  <c r="Y3089" i="6"/>
  <c r="K3089" i="6"/>
  <c r="Y3087" i="6"/>
  <c r="K3087" i="6"/>
  <c r="Y3086" i="6"/>
  <c r="K3086" i="6"/>
  <c r="Y3081" i="6"/>
  <c r="K3081" i="6"/>
  <c r="Y3076" i="6"/>
  <c r="K3076" i="6"/>
  <c r="Y3075" i="6"/>
  <c r="K3075" i="6"/>
  <c r="Y3068" i="6"/>
  <c r="K3068" i="6"/>
  <c r="Y3067" i="6"/>
  <c r="K3067" i="6"/>
  <c r="Y3061" i="6"/>
  <c r="K3061" i="6"/>
  <c r="Y3060" i="6"/>
  <c r="K3060" i="6"/>
  <c r="Y3053" i="6"/>
  <c r="K3053" i="6"/>
  <c r="Y3052" i="6"/>
  <c r="K3052" i="6"/>
  <c r="Y3045" i="6"/>
  <c r="K3045" i="6"/>
  <c r="Y3044" i="6"/>
  <c r="K3044" i="6"/>
  <c r="Y3037" i="6"/>
  <c r="K3037" i="6"/>
  <c r="Y3036" i="6"/>
  <c r="K3036" i="6"/>
  <c r="Y3029" i="6"/>
  <c r="K3029" i="6"/>
  <c r="Y3028" i="6"/>
  <c r="K3028" i="6"/>
  <c r="Y3021" i="6"/>
  <c r="K3021" i="6"/>
  <c r="Y3020" i="6"/>
  <c r="K3020" i="6"/>
  <c r="Y2994" i="6"/>
  <c r="K2994" i="6"/>
  <c r="Y2993" i="6"/>
  <c r="K2993" i="6"/>
  <c r="Y2984" i="6"/>
  <c r="K2984" i="6"/>
  <c r="Y2974" i="6"/>
  <c r="K2974" i="6"/>
  <c r="Y2968" i="6"/>
  <c r="K2968" i="6"/>
  <c r="Y2962" i="6"/>
  <c r="K2962" i="6"/>
  <c r="Y2958" i="6"/>
  <c r="K2958" i="6"/>
  <c r="Y2952" i="6"/>
  <c r="K2952" i="6"/>
  <c r="Y2951" i="6"/>
  <c r="K2951" i="6"/>
  <c r="Y2946" i="6"/>
  <c r="K2946" i="6"/>
  <c r="Y2944" i="6"/>
  <c r="K2944" i="6"/>
  <c r="Y2942" i="6"/>
  <c r="K2942" i="6"/>
  <c r="Y2941" i="6"/>
  <c r="K2941" i="6"/>
  <c r="Y2936" i="6"/>
  <c r="K2936" i="6"/>
  <c r="F1596" i="6" s="1"/>
  <c r="Y2930" i="6"/>
  <c r="K2930" i="6"/>
  <c r="Y2929" i="6"/>
  <c r="K2929" i="6"/>
  <c r="Y2926" i="6"/>
  <c r="K2926" i="6"/>
  <c r="X2729" i="6"/>
  <c r="X2727" i="6"/>
  <c r="X2726" i="6"/>
  <c r="X2725" i="6"/>
  <c r="X2722" i="6"/>
  <c r="X2721" i="6"/>
  <c r="X2720" i="6"/>
  <c r="X2718" i="6"/>
  <c r="X2717" i="6"/>
  <c r="X2716" i="6"/>
  <c r="X2713" i="6"/>
  <c r="X2712" i="6"/>
  <c r="J2132" i="6"/>
  <c r="L1916" i="6"/>
  <c r="J2131" i="6"/>
  <c r="J2130" i="6"/>
  <c r="L1912" i="6"/>
  <c r="AJ330" i="15" s="1"/>
  <c r="J2129" i="6"/>
  <c r="J2128" i="6"/>
  <c r="L1908" i="6"/>
  <c r="J2127" i="6"/>
  <c r="J2126" i="6"/>
  <c r="L1904" i="6"/>
  <c r="J2125" i="6"/>
  <c r="J2124" i="6"/>
  <c r="L1900" i="6"/>
  <c r="J2123" i="6"/>
  <c r="J2121" i="6"/>
  <c r="J2120" i="6"/>
  <c r="L1892" i="6"/>
  <c r="J2119" i="6"/>
  <c r="J2116" i="6"/>
  <c r="L1884" i="6"/>
  <c r="J2115" i="6"/>
  <c r="L1882" i="6"/>
  <c r="AJ317" i="15" s="1"/>
  <c r="J2114" i="6"/>
  <c r="J2113" i="6"/>
  <c r="L1878" i="6"/>
  <c r="AJ316" i="15" s="1"/>
  <c r="J2112" i="6"/>
  <c r="J2110" i="6"/>
  <c r="J2109" i="6"/>
  <c r="L1870" i="6"/>
  <c r="J2108" i="6"/>
  <c r="J2102" i="6"/>
  <c r="J2101" i="6"/>
  <c r="L1854" i="6"/>
  <c r="J2100" i="6"/>
  <c r="L1852" i="6"/>
  <c r="AJ309" i="15" s="1"/>
  <c r="J2099" i="6"/>
  <c r="J2098" i="6"/>
  <c r="L1848" i="6"/>
  <c r="AJ308" i="15" s="1"/>
  <c r="J2097" i="6"/>
  <c r="J2095" i="6"/>
  <c r="J2094" i="6"/>
  <c r="L1840" i="6"/>
  <c r="J2093" i="6"/>
  <c r="J2087" i="6"/>
  <c r="J2086" i="6"/>
  <c r="L1824" i="6"/>
  <c r="J2085" i="6"/>
  <c r="J2082" i="6"/>
  <c r="L1816" i="6"/>
  <c r="AJ300" i="15" s="1"/>
  <c r="J2081" i="6"/>
  <c r="L1808" i="6"/>
  <c r="J2071" i="6"/>
  <c r="J2070" i="6"/>
  <c r="L1792" i="6"/>
  <c r="J2069" i="6"/>
  <c r="J2066" i="6"/>
  <c r="L1784" i="6"/>
  <c r="AJ292" i="15" s="1"/>
  <c r="J2065" i="6"/>
  <c r="J2063" i="6"/>
  <c r="J2062" i="6"/>
  <c r="L1776" i="6"/>
  <c r="AJ290" i="15" s="1"/>
  <c r="J2061" i="6"/>
  <c r="J2055" i="6"/>
  <c r="J2054" i="6"/>
  <c r="L1760" i="6"/>
  <c r="J2053" i="6"/>
  <c r="J2050" i="6"/>
  <c r="L1752" i="6"/>
  <c r="AJ284" i="15" s="1"/>
  <c r="J2049" i="6"/>
  <c r="L1750" i="6"/>
  <c r="AJ283" i="15" s="1"/>
  <c r="J2048" i="6"/>
  <c r="J2047" i="6"/>
  <c r="L1746" i="6"/>
  <c r="AJ282" i="15" s="1"/>
  <c r="J2046" i="6"/>
  <c r="L1744" i="6"/>
  <c r="AJ281" i="15" s="1"/>
  <c r="J2045" i="6"/>
  <c r="J2044" i="6"/>
  <c r="L1740" i="6"/>
  <c r="AJ280" i="15" s="1"/>
  <c r="J2043" i="6"/>
  <c r="L1738" i="6"/>
  <c r="AJ279" i="15" s="1"/>
  <c r="J2042" i="6"/>
  <c r="J2041" i="6"/>
  <c r="L1734" i="6"/>
  <c r="AJ278" i="15" s="1"/>
  <c r="J2040" i="6"/>
  <c r="J2037" i="6"/>
  <c r="L1726" i="6"/>
  <c r="J2036" i="6"/>
  <c r="L1722" i="6"/>
  <c r="AJ272" i="15" s="1"/>
  <c r="J2034" i="6"/>
  <c r="J2028" i="6"/>
  <c r="J2027" i="6"/>
  <c r="L1706" i="6"/>
  <c r="J2026" i="6"/>
  <c r="J2023" i="6"/>
  <c r="L1698" i="6"/>
  <c r="AJ266" i="15" s="1"/>
  <c r="J2022" i="6"/>
  <c r="J2019" i="6"/>
  <c r="L1690" i="6"/>
  <c r="AJ262" i="15" s="1"/>
  <c r="L1686" i="6"/>
  <c r="AJ260" i="15" s="1"/>
  <c r="J2013" i="6"/>
  <c r="L1678" i="6"/>
  <c r="AJ258" i="15" s="1"/>
  <c r="J2012" i="6"/>
  <c r="J2009" i="6"/>
  <c r="L1670" i="6"/>
  <c r="J2008" i="6"/>
  <c r="L1666" i="6"/>
  <c r="AJ252" i="15" s="1"/>
  <c r="J2006" i="6"/>
  <c r="J2003" i="6"/>
  <c r="L1658" i="6"/>
  <c r="J2002" i="6"/>
  <c r="L1654" i="6"/>
  <c r="AJ246" i="15" s="1"/>
  <c r="J2000" i="6"/>
  <c r="J1997" i="6"/>
  <c r="L1646" i="6"/>
  <c r="J1996" i="6"/>
  <c r="AJ240" i="15"/>
  <c r="J1994" i="6"/>
  <c r="J1993" i="6"/>
  <c r="L1638" i="6"/>
  <c r="J1992" i="6"/>
  <c r="J1986" i="6"/>
  <c r="J1985" i="6"/>
  <c r="L1622" i="6"/>
  <c r="J1984" i="6"/>
  <c r="J1981" i="6"/>
  <c r="L1614" i="6"/>
  <c r="AJ230" i="15" s="1"/>
  <c r="J1980" i="6"/>
  <c r="J1979" i="6"/>
  <c r="J1978" i="6"/>
  <c r="J1976" i="6"/>
  <c r="J1975" i="6"/>
  <c r="L1602" i="6"/>
  <c r="J1974" i="6"/>
  <c r="J1971" i="6"/>
  <c r="L1594" i="6"/>
  <c r="J1970" i="6"/>
  <c r="J1964" i="6"/>
  <c r="J1963" i="6"/>
  <c r="L1578" i="6"/>
  <c r="AJ218" i="15" s="1"/>
  <c r="J1962" i="6"/>
  <c r="R1962" i="6"/>
  <c r="R1961" i="6"/>
  <c r="Q1960" i="6" s="1"/>
  <c r="J1960" i="6"/>
  <c r="J1959" i="6"/>
  <c r="L1570" i="6"/>
  <c r="AJ216" i="15" s="1"/>
  <c r="J1958" i="6"/>
  <c r="X1957" i="6"/>
  <c r="X4098" i="6" s="1"/>
  <c r="J1957" i="6"/>
  <c r="X1955" i="6"/>
  <c r="X4094" i="6" s="1"/>
  <c r="J1955" i="6"/>
  <c r="X1954" i="6"/>
  <c r="J1954" i="6"/>
  <c r="X1953" i="6"/>
  <c r="J1953" i="6"/>
  <c r="X1950" i="6"/>
  <c r="J1950" i="6"/>
  <c r="X1949" i="6"/>
  <c r="J1949" i="6"/>
  <c r="X1948" i="6"/>
  <c r="X4080" i="6" s="1"/>
  <c r="R1947" i="6"/>
  <c r="K4186" i="6" s="1"/>
  <c r="K1656" i="6" s="1"/>
  <c r="J1948" i="6"/>
  <c r="X1946" i="6"/>
  <c r="X4076" i="6" s="1"/>
  <c r="J1946" i="6"/>
  <c r="X1945" i="6"/>
  <c r="J1945" i="6"/>
  <c r="X1944" i="6"/>
  <c r="J1944" i="6"/>
  <c r="X1941" i="6"/>
  <c r="J1941" i="6"/>
  <c r="X1940" i="6"/>
  <c r="J1940" i="6"/>
  <c r="AG1939" i="6"/>
  <c r="AF1939" i="6"/>
  <c r="AE1939" i="6"/>
  <c r="AD1939" i="6"/>
  <c r="AC1939" i="6"/>
  <c r="AA1939" i="6"/>
  <c r="Z1939" i="6"/>
  <c r="Y1939" i="6"/>
  <c r="X1939" i="6"/>
  <c r="G1919" i="6"/>
  <c r="C1919" i="6"/>
  <c r="G1918" i="6"/>
  <c r="G333" i="15"/>
  <c r="X332" i="15"/>
  <c r="Z332" i="15" s="1"/>
  <c r="G1915" i="6"/>
  <c r="C1915" i="6"/>
  <c r="G1914" i="6"/>
  <c r="G331" i="15"/>
  <c r="X331" i="15"/>
  <c r="Z331" i="15" s="1"/>
  <c r="G1911" i="6"/>
  <c r="H1911" i="6" s="1"/>
  <c r="C1911" i="6"/>
  <c r="G1910" i="6"/>
  <c r="X328" i="15"/>
  <c r="Z328" i="15" s="1"/>
  <c r="G1907" i="6"/>
  <c r="C1907" i="6"/>
  <c r="G1906" i="6"/>
  <c r="G327" i="15"/>
  <c r="BC1905" i="6"/>
  <c r="BD1905" i="6" s="1"/>
  <c r="L326" i="15"/>
  <c r="X326" i="15"/>
  <c r="Z326" i="15" s="1"/>
  <c r="G1903" i="6"/>
  <c r="C1903" i="6"/>
  <c r="G1902" i="6"/>
  <c r="X325" i="15"/>
  <c r="Z325" i="15" s="1"/>
  <c r="G1899" i="6"/>
  <c r="G1898" i="6"/>
  <c r="G1897" i="6"/>
  <c r="BC1897" i="6" s="1"/>
  <c r="C1897" i="6"/>
  <c r="G1896" i="6"/>
  <c r="A1896" i="6" s="1"/>
  <c r="G323" i="15"/>
  <c r="AG322" i="15"/>
  <c r="M322" i="15"/>
  <c r="AF322" i="15"/>
  <c r="L322" i="15"/>
  <c r="X322" i="15"/>
  <c r="G1887" i="6"/>
  <c r="BC1887" i="6" s="1"/>
  <c r="C1887" i="6"/>
  <c r="G1886" i="6"/>
  <c r="A1886" i="6" s="1"/>
  <c r="AF318" i="15"/>
  <c r="X319" i="15"/>
  <c r="Z319" i="15" s="1"/>
  <c r="AF317" i="15"/>
  <c r="L317" i="15"/>
  <c r="X317" i="15"/>
  <c r="Z317" i="15" s="1"/>
  <c r="K317" i="15"/>
  <c r="AH316" i="15"/>
  <c r="AG316" i="15"/>
  <c r="AF316" i="15"/>
  <c r="X316" i="15"/>
  <c r="G1877" i="6"/>
  <c r="BC1877" i="6" s="1"/>
  <c r="G1876" i="6"/>
  <c r="BC1876" i="6" s="1"/>
  <c r="G1875" i="6"/>
  <c r="BC1875" i="6" s="1"/>
  <c r="C1875" i="6"/>
  <c r="G1874" i="6"/>
  <c r="A1874" i="6" s="1"/>
  <c r="G315" i="15"/>
  <c r="AG314" i="15"/>
  <c r="G1861" i="6"/>
  <c r="BC1861" i="6" s="1"/>
  <c r="G1860" i="6"/>
  <c r="BC1860" i="6" s="1"/>
  <c r="G1859" i="6"/>
  <c r="C1859" i="6"/>
  <c r="G1858" i="6"/>
  <c r="A1858" i="6" s="1"/>
  <c r="G311" i="15"/>
  <c r="AH310" i="15"/>
  <c r="AG310" i="15"/>
  <c r="M310" i="15"/>
  <c r="X310" i="15"/>
  <c r="AF309" i="15"/>
  <c r="Q308" i="15"/>
  <c r="G1847" i="6"/>
  <c r="BC1847" i="6" s="1"/>
  <c r="BD1847" i="6" s="1"/>
  <c r="G1846" i="6"/>
  <c r="BC1846" i="6" s="1"/>
  <c r="G1845" i="6"/>
  <c r="BC1845" i="6" s="1"/>
  <c r="C1845" i="6"/>
  <c r="G1844" i="6"/>
  <c r="G307" i="15"/>
  <c r="Y306" i="15"/>
  <c r="L306" i="15"/>
  <c r="X306" i="15"/>
  <c r="Q306" i="15"/>
  <c r="K306" i="15"/>
  <c r="G1831" i="6"/>
  <c r="BC1831" i="6" s="1"/>
  <c r="G1830" i="6"/>
  <c r="BC1830" i="6" s="1"/>
  <c r="G1829" i="6"/>
  <c r="BC1829" i="6" s="1"/>
  <c r="C1829" i="6"/>
  <c r="G1828" i="6"/>
  <c r="A1828" i="6" s="1"/>
  <c r="G303" i="15"/>
  <c r="Y303" i="15"/>
  <c r="M302" i="15"/>
  <c r="X302" i="15"/>
  <c r="AH300" i="15"/>
  <c r="AG300" i="15"/>
  <c r="AF300" i="15"/>
  <c r="R300" i="15"/>
  <c r="K300" i="15"/>
  <c r="G1815" i="6"/>
  <c r="BC1815" i="6" s="1"/>
  <c r="G1814" i="6"/>
  <c r="BC1814" i="6" s="1"/>
  <c r="G1813" i="6"/>
  <c r="BC1813" i="6" s="1"/>
  <c r="C1813" i="6"/>
  <c r="G1812" i="6"/>
  <c r="A1812" i="6" s="1"/>
  <c r="G299" i="15"/>
  <c r="N298" i="15"/>
  <c r="AF298" i="15"/>
  <c r="X298" i="15"/>
  <c r="G1799" i="6"/>
  <c r="BC1799" i="6" s="1"/>
  <c r="G1798" i="6"/>
  <c r="BC1798" i="6" s="1"/>
  <c r="G1797" i="6"/>
  <c r="BC1797" i="6" s="1"/>
  <c r="C1797" i="6"/>
  <c r="G1796" i="6"/>
  <c r="G295" i="15"/>
  <c r="AF294" i="15"/>
  <c r="X294" i="15"/>
  <c r="K294" i="15"/>
  <c r="AH292" i="15"/>
  <c r="T292" i="15"/>
  <c r="AE292" i="15"/>
  <c r="K292" i="15"/>
  <c r="G1783" i="6"/>
  <c r="BC1783" i="6" s="1"/>
  <c r="BD1783" i="6" s="1"/>
  <c r="G1782" i="6"/>
  <c r="BC1782" i="6" s="1"/>
  <c r="G1781" i="6"/>
  <c r="BC1781" i="6" s="1"/>
  <c r="C1781" i="6"/>
  <c r="G1780" i="6"/>
  <c r="A1780" i="6" s="1"/>
  <c r="G291" i="15"/>
  <c r="Y290" i="15"/>
  <c r="AF290" i="15"/>
  <c r="L290" i="15"/>
  <c r="X291" i="15"/>
  <c r="K290" i="15"/>
  <c r="G1767" i="6"/>
  <c r="BC1767" i="6" s="1"/>
  <c r="G1766" i="6"/>
  <c r="BC1766" i="6" s="1"/>
  <c r="G1765" i="6"/>
  <c r="BC1765" i="6" s="1"/>
  <c r="C1765" i="6"/>
  <c r="G1764" i="6"/>
  <c r="G287" i="15"/>
  <c r="K286" i="15"/>
  <c r="AH284" i="15"/>
  <c r="AG284" i="15"/>
  <c r="S284" i="15"/>
  <c r="M284" i="15"/>
  <c r="AF284" i="15"/>
  <c r="R284" i="15"/>
  <c r="L284" i="15"/>
  <c r="K284" i="15"/>
  <c r="X283" i="15"/>
  <c r="Z283" i="15" s="1"/>
  <c r="Q283" i="15"/>
  <c r="AG282" i="15"/>
  <c r="M282" i="15"/>
  <c r="R282" i="15"/>
  <c r="S280" i="15"/>
  <c r="AF280" i="15"/>
  <c r="AE280" i="15"/>
  <c r="AF279" i="15"/>
  <c r="X279" i="15"/>
  <c r="Z279" i="15" s="1"/>
  <c r="K279" i="15"/>
  <c r="AH278" i="15"/>
  <c r="T278" i="15"/>
  <c r="AG278" i="15"/>
  <c r="S278" i="15"/>
  <c r="M278" i="15"/>
  <c r="X278" i="15"/>
  <c r="K275" i="15"/>
  <c r="G275" i="15"/>
  <c r="L274" i="15"/>
  <c r="X274" i="15"/>
  <c r="Z274" i="15" s="1"/>
  <c r="K274" i="15"/>
  <c r="L272" i="15"/>
  <c r="Q272" i="15"/>
  <c r="K272" i="15"/>
  <c r="G1713" i="6"/>
  <c r="BC1713" i="6" s="1"/>
  <c r="G1712" i="6"/>
  <c r="BC1712" i="6" s="1"/>
  <c r="G1711" i="6"/>
  <c r="BC1711" i="6" s="1"/>
  <c r="C1711" i="6"/>
  <c r="J3855" i="6" s="1"/>
  <c r="G1710" i="6"/>
  <c r="A1710" i="6" s="1"/>
  <c r="G269" i="15"/>
  <c r="N268" i="15"/>
  <c r="AE268" i="15"/>
  <c r="AH266" i="15"/>
  <c r="N266" i="15"/>
  <c r="Y266" i="15"/>
  <c r="S266" i="15"/>
  <c r="AF266" i="15"/>
  <c r="R266" i="15"/>
  <c r="L266" i="15"/>
  <c r="K266" i="15"/>
  <c r="G1693" i="6"/>
  <c r="BC1693" i="6" s="1"/>
  <c r="C1693" i="6"/>
  <c r="G1692" i="6"/>
  <c r="A1692" i="6" s="1"/>
  <c r="G263" i="15"/>
  <c r="AF262" i="15"/>
  <c r="L262" i="15"/>
  <c r="AE262" i="15"/>
  <c r="K262" i="15"/>
  <c r="R260" i="15"/>
  <c r="L260" i="15"/>
  <c r="X260" i="15"/>
  <c r="Z260" i="15" s="1"/>
  <c r="AH258" i="15"/>
  <c r="Y258" i="15"/>
  <c r="S258" i="15"/>
  <c r="R258" i="15"/>
  <c r="L258" i="15"/>
  <c r="AE258" i="15"/>
  <c r="G1673" i="6"/>
  <c r="BC1673" i="6" s="1"/>
  <c r="C1673" i="6"/>
  <c r="J3817" i="6" s="1"/>
  <c r="G1672" i="6"/>
  <c r="A1672" i="6" s="1"/>
  <c r="K254" i="15"/>
  <c r="X252" i="15"/>
  <c r="Z252" i="15" s="1"/>
  <c r="G1661" i="6"/>
  <c r="BC1661" i="6" s="1"/>
  <c r="C1661" i="6"/>
  <c r="J3805" i="6" s="1"/>
  <c r="G1660" i="6"/>
  <c r="A1660" i="6" s="1"/>
  <c r="G249" i="15"/>
  <c r="X248" i="15"/>
  <c r="Z248" i="15" s="1"/>
  <c r="AF246" i="15"/>
  <c r="G1649" i="6"/>
  <c r="BC1649" i="6" s="1"/>
  <c r="C1649" i="6"/>
  <c r="G1648" i="6"/>
  <c r="A1648" i="6" s="1"/>
  <c r="X240" i="15"/>
  <c r="Z240" i="15" s="1"/>
  <c r="G1641" i="6"/>
  <c r="BC1641" i="6" s="1"/>
  <c r="C1641" i="6"/>
  <c r="J3785" i="6" s="1"/>
  <c r="G1640" i="6"/>
  <c r="A1640" i="6" s="1"/>
  <c r="G239" i="15"/>
  <c r="X239" i="15"/>
  <c r="Z239" i="15" s="1"/>
  <c r="K238" i="15"/>
  <c r="G1629" i="6"/>
  <c r="G1628" i="6"/>
  <c r="BC1628" i="6" s="1"/>
  <c r="G1627" i="6"/>
  <c r="C1627" i="6"/>
  <c r="J3771" i="6" s="1"/>
  <c r="G1626" i="6"/>
  <c r="A1626" i="6" s="1"/>
  <c r="G235" i="15"/>
  <c r="X235" i="15"/>
  <c r="G1617" i="6"/>
  <c r="BC1617" i="6" s="1"/>
  <c r="C1617" i="6"/>
  <c r="J3761" i="6" s="1"/>
  <c r="G1616" i="6"/>
  <c r="A1616" i="6" s="1"/>
  <c r="G231" i="15"/>
  <c r="AF230" i="15"/>
  <c r="L230" i="15"/>
  <c r="G1613" i="6"/>
  <c r="BC1613" i="6" s="1"/>
  <c r="C1613" i="6"/>
  <c r="J3757" i="6" s="1"/>
  <c r="G1612" i="6"/>
  <c r="L1610" i="6"/>
  <c r="AJ228" i="15" s="1"/>
  <c r="X229" i="15"/>
  <c r="Z229" i="15" s="1"/>
  <c r="K228" i="15"/>
  <c r="G1609" i="6"/>
  <c r="BC1609" i="6" s="1"/>
  <c r="BD1609" i="6" s="1"/>
  <c r="G1608" i="6"/>
  <c r="BC1608" i="6" s="1"/>
  <c r="G1607" i="6"/>
  <c r="BC1607" i="6" s="1"/>
  <c r="C1607" i="6"/>
  <c r="J3751" i="6" s="1"/>
  <c r="G1606" i="6"/>
  <c r="A1606" i="6" s="1"/>
  <c r="G227" i="15"/>
  <c r="Y226" i="15"/>
  <c r="L226" i="15"/>
  <c r="AE226" i="15"/>
  <c r="G1597" i="6"/>
  <c r="BC1597" i="6" s="1"/>
  <c r="BD1597" i="6" s="1"/>
  <c r="C1597" i="6"/>
  <c r="J3741" i="6" s="1"/>
  <c r="G1596" i="6"/>
  <c r="A1596" i="6" s="1"/>
  <c r="G223" i="15"/>
  <c r="AF222" i="15"/>
  <c r="G1585" i="6"/>
  <c r="BC1585" i="6" s="1"/>
  <c r="G1584" i="6"/>
  <c r="BC1584" i="6" s="1"/>
  <c r="G1583" i="6"/>
  <c r="BC1583" i="6" s="1"/>
  <c r="C1583" i="6"/>
  <c r="J3727" i="6" s="1"/>
  <c r="G1582" i="6"/>
  <c r="G219" i="15"/>
  <c r="Y218" i="15"/>
  <c r="BC1578" i="6"/>
  <c r="BD1578" i="6" s="1"/>
  <c r="G1577" i="6"/>
  <c r="G1576" i="6"/>
  <c r="H1576" i="6" s="1"/>
  <c r="G1575" i="6"/>
  <c r="C1575" i="6"/>
  <c r="J3719" i="6" s="1"/>
  <c r="G1574" i="6"/>
  <c r="G217" i="15"/>
  <c r="Y216" i="15"/>
  <c r="M216" i="15"/>
  <c r="BC1570" i="6"/>
  <c r="BD1570" i="6" s="1"/>
  <c r="BC1569" i="6"/>
  <c r="BD1569" i="6" s="1"/>
  <c r="BC1568" i="6"/>
  <c r="BD1568" i="6" s="1"/>
  <c r="BC1565" i="6"/>
  <c r="BD1565" i="6" s="1"/>
  <c r="BC1563" i="6"/>
  <c r="BD1563" i="6" s="1"/>
  <c r="T212" i="15"/>
  <c r="BC1562" i="6"/>
  <c r="BD1562" i="6" s="1"/>
  <c r="BC1561" i="6"/>
  <c r="BD1561" i="6" s="1"/>
  <c r="AH210" i="15"/>
  <c r="T210" i="15"/>
  <c r="S210" i="15"/>
  <c r="AE210" i="15"/>
  <c r="AF209" i="15"/>
  <c r="X209" i="15"/>
  <c r="Z209" i="15" s="1"/>
  <c r="AF207" i="15"/>
  <c r="BE1545" i="6"/>
  <c r="AH206" i="15"/>
  <c r="BE1544" i="6"/>
  <c r="BE1543" i="6"/>
  <c r="AF206" i="15"/>
  <c r="BE1537" i="6"/>
  <c r="BC1537" i="6"/>
  <c r="H1537" i="6"/>
  <c r="I1537" i="6" s="1"/>
  <c r="T204" i="15" s="1"/>
  <c r="BE1536" i="6"/>
  <c r="Y204" i="15"/>
  <c r="H1536" i="6"/>
  <c r="BE1535" i="6"/>
  <c r="BC1535" i="6"/>
  <c r="H1535" i="6"/>
  <c r="I1535" i="6" s="1"/>
  <c r="R204" i="15" s="1"/>
  <c r="J1534" i="6"/>
  <c r="X204" i="15" s="1"/>
  <c r="BE1533" i="6"/>
  <c r="BD1533" i="6"/>
  <c r="BC1533" i="6"/>
  <c r="BB1533" i="6"/>
  <c r="V1530" i="6"/>
  <c r="F1527" i="6"/>
  <c r="F1526" i="6"/>
  <c r="F1525" i="6"/>
  <c r="F1524" i="6"/>
  <c r="F1523" i="6"/>
  <c r="F1522" i="6"/>
  <c r="F1521" i="6"/>
  <c r="F1520" i="6"/>
  <c r="F1519" i="6"/>
  <c r="F1518" i="6"/>
  <c r="F1517" i="6"/>
  <c r="F1516" i="6"/>
  <c r="F1515" i="6"/>
  <c r="F1514" i="6"/>
  <c r="F1513" i="6"/>
  <c r="F1512" i="6"/>
  <c r="F1511" i="6"/>
  <c r="F1510" i="6"/>
  <c r="F1509" i="6"/>
  <c r="F1508" i="6"/>
  <c r="F1507" i="6"/>
  <c r="F1506" i="6"/>
  <c r="F1505" i="6"/>
  <c r="F1504" i="6"/>
  <c r="F1502" i="6"/>
  <c r="F1500" i="6"/>
  <c r="F1499" i="6"/>
  <c r="F1498" i="6"/>
  <c r="F1497" i="6"/>
  <c r="F1490" i="6"/>
  <c r="F1488" i="6"/>
  <c r="F1487" i="6"/>
  <c r="F1486" i="6"/>
  <c r="F1485" i="6"/>
  <c r="X1484" i="6"/>
  <c r="L1433" i="6"/>
  <c r="AJ203" i="15" s="1"/>
  <c r="F1484" i="6"/>
  <c r="X1482" i="6"/>
  <c r="L1429" i="6"/>
  <c r="AJ202" i="15" s="1"/>
  <c r="F1482" i="6"/>
  <c r="X1481" i="6"/>
  <c r="F1481" i="6"/>
  <c r="X1480" i="6"/>
  <c r="L1425" i="6"/>
  <c r="AJ201" i="15" s="1"/>
  <c r="F1480" i="6"/>
  <c r="X1479" i="6"/>
  <c r="L1423" i="6"/>
  <c r="AJ200" i="15" s="1"/>
  <c r="F1479" i="6"/>
  <c r="Y1478" i="6"/>
  <c r="W1478" i="6"/>
  <c r="Y1477" i="6"/>
  <c r="W1477" i="6"/>
  <c r="Y1475" i="6"/>
  <c r="W1475" i="6"/>
  <c r="Y1474" i="6"/>
  <c r="W1474" i="6"/>
  <c r="Y1473" i="6"/>
  <c r="W1473" i="6"/>
  <c r="Y1460" i="6"/>
  <c r="Y1484" i="6" s="1"/>
  <c r="X1460" i="6"/>
  <c r="Y1459" i="6"/>
  <c r="Y1482" i="6" s="1"/>
  <c r="X1459" i="6"/>
  <c r="Y1455" i="6"/>
  <c r="Y1481" i="6" s="1"/>
  <c r="X1455" i="6"/>
  <c r="Y1457" i="6"/>
  <c r="Y1480" i="6" s="1"/>
  <c r="X1457" i="6"/>
  <c r="Y1456" i="6"/>
  <c r="Y1479" i="6" s="1"/>
  <c r="X1456" i="6"/>
  <c r="AG1454" i="6"/>
  <c r="AF1454" i="6"/>
  <c r="AE1454" i="6"/>
  <c r="AD1454" i="6"/>
  <c r="AC1454" i="6"/>
  <c r="AB1454" i="6"/>
  <c r="AA1454" i="6"/>
  <c r="Z1454" i="6"/>
  <c r="Y1454" i="6"/>
  <c r="X1454" i="6"/>
  <c r="BC1434" i="6"/>
  <c r="H1434" i="6"/>
  <c r="I1434" i="6" s="1"/>
  <c r="R203" i="15" s="1"/>
  <c r="BC1433" i="6"/>
  <c r="H1433" i="6"/>
  <c r="I1433" i="6" s="1"/>
  <c r="Q203" i="15" s="1"/>
  <c r="K203" i="15"/>
  <c r="BC1432" i="6"/>
  <c r="BD1432" i="6" s="1"/>
  <c r="H1432" i="6"/>
  <c r="I1432" i="6" s="1"/>
  <c r="T202" i="15" s="1"/>
  <c r="N202" i="15"/>
  <c r="BC1431" i="6"/>
  <c r="H1431" i="6"/>
  <c r="I1431" i="6" s="1"/>
  <c r="S202" i="15" s="1"/>
  <c r="BC1430" i="6"/>
  <c r="H1430" i="6"/>
  <c r="I1430" i="6" s="1"/>
  <c r="R202" i="15" s="1"/>
  <c r="L202" i="15"/>
  <c r="BC1429" i="6"/>
  <c r="BD1429" i="6" s="1"/>
  <c r="H1429" i="6"/>
  <c r="I1429" i="6" s="1"/>
  <c r="Q202" i="15" s="1"/>
  <c r="K202" i="15"/>
  <c r="BC1428" i="6"/>
  <c r="H1428" i="6"/>
  <c r="I1428" i="6" s="1"/>
  <c r="T201" i="15" s="1"/>
  <c r="BC1427" i="6"/>
  <c r="H1427" i="6"/>
  <c r="BC1426" i="6"/>
  <c r="H1426" i="6"/>
  <c r="I1426" i="6" s="1"/>
  <c r="R201" i="15" s="1"/>
  <c r="BC1425" i="6"/>
  <c r="BD1425" i="6" s="1"/>
  <c r="H1425" i="6"/>
  <c r="I1425" i="6" s="1"/>
  <c r="Q201" i="15" s="1"/>
  <c r="K201" i="15"/>
  <c r="BC1424" i="6"/>
  <c r="H1424" i="6"/>
  <c r="I1424" i="6" s="1"/>
  <c r="R200" i="15" s="1"/>
  <c r="L200" i="15"/>
  <c r="BC1423" i="6"/>
  <c r="BD1423" i="6" s="1"/>
  <c r="H1423" i="6"/>
  <c r="I1423" i="6" s="1"/>
  <c r="Q200" i="15" s="1"/>
  <c r="K200" i="15"/>
  <c r="BE1422" i="6"/>
  <c r="BD1422" i="6"/>
  <c r="BC1422" i="6"/>
  <c r="BB1422" i="6"/>
  <c r="V1420" i="6"/>
  <c r="K1381" i="6"/>
  <c r="L1329" i="6" s="1"/>
  <c r="AJ199" i="15" s="1"/>
  <c r="K1380" i="6"/>
  <c r="K1379" i="6"/>
  <c r="L1325" i="6" s="1"/>
  <c r="AJ197" i="15" s="1"/>
  <c r="K1378" i="6"/>
  <c r="X1378" i="6" s="1"/>
  <c r="K1377" i="6"/>
  <c r="L1321" i="6" s="1"/>
  <c r="AJ195" i="15" s="1"/>
  <c r="K1376" i="6"/>
  <c r="W1376" i="6" s="1"/>
  <c r="K1357" i="6"/>
  <c r="K1356" i="6"/>
  <c r="W1356" i="6" s="1"/>
  <c r="F1356" i="6"/>
  <c r="F1410" i="6" s="1"/>
  <c r="K1355" i="6"/>
  <c r="K1354" i="6"/>
  <c r="W1354" i="6" s="1"/>
  <c r="F1354" i="6"/>
  <c r="F1402" i="6" s="1"/>
  <c r="K1353" i="6"/>
  <c r="K1352" i="6"/>
  <c r="F1352" i="6"/>
  <c r="F1412" i="6" s="1"/>
  <c r="AG1350" i="6"/>
  <c r="AF1350" i="6"/>
  <c r="AE1350" i="6"/>
  <c r="AD1350" i="6"/>
  <c r="AC1350" i="6"/>
  <c r="AB1350" i="6"/>
  <c r="AA1350" i="6"/>
  <c r="Z1350" i="6"/>
  <c r="Y1350" i="6"/>
  <c r="X1350" i="6"/>
  <c r="H1330" i="6"/>
  <c r="F1330" i="6"/>
  <c r="J1329" i="6"/>
  <c r="H1329" i="6"/>
  <c r="F1329" i="6"/>
  <c r="G199" i="15"/>
  <c r="H1328" i="6"/>
  <c r="F1328" i="6"/>
  <c r="J1327" i="6"/>
  <c r="BC1327" i="6" s="1"/>
  <c r="H1327" i="6"/>
  <c r="F1327" i="6"/>
  <c r="H1326" i="6"/>
  <c r="F1326" i="6"/>
  <c r="J1325" i="6"/>
  <c r="BC1325" i="6" s="1"/>
  <c r="H1325" i="6"/>
  <c r="F1325" i="6"/>
  <c r="H1324" i="6"/>
  <c r="F1324" i="6"/>
  <c r="L196" i="15" s="1"/>
  <c r="J1323" i="6"/>
  <c r="J1324" i="6" s="1"/>
  <c r="BC1324" i="6" s="1"/>
  <c r="H1323" i="6"/>
  <c r="F1323" i="6"/>
  <c r="H1322" i="6"/>
  <c r="F1322" i="6"/>
  <c r="J1321" i="6"/>
  <c r="BC1321" i="6" s="1"/>
  <c r="H1321" i="6"/>
  <c r="F1321" i="6"/>
  <c r="G195" i="15"/>
  <c r="H1320" i="6"/>
  <c r="F1320" i="6"/>
  <c r="J1319" i="6"/>
  <c r="J1320" i="6" s="1"/>
  <c r="BC1320" i="6" s="1"/>
  <c r="H1319" i="6"/>
  <c r="F1319" i="6"/>
  <c r="BE1318" i="6"/>
  <c r="BD1318" i="6"/>
  <c r="BC1318" i="6"/>
  <c r="BB1318" i="6"/>
  <c r="V1315" i="6"/>
  <c r="Y1290" i="6"/>
  <c r="Y1286" i="6"/>
  <c r="Y1282" i="6"/>
  <c r="K808" i="6"/>
  <c r="BE808" i="6" s="1"/>
  <c r="Y1274" i="6"/>
  <c r="Y1272" i="6"/>
  <c r="K798" i="6"/>
  <c r="BE798" i="6" s="1"/>
  <c r="Y1270" i="6"/>
  <c r="K796" i="6"/>
  <c r="BE796" i="6" s="1"/>
  <c r="Y1269" i="6"/>
  <c r="K795" i="6"/>
  <c r="BE795" i="6" s="1"/>
  <c r="Y1267" i="6"/>
  <c r="F1196" i="6"/>
  <c r="F1266" i="6" s="1"/>
  <c r="F1312" i="6" s="1"/>
  <c r="F1195" i="6"/>
  <c r="F1265" i="6" s="1"/>
  <c r="F1311" i="6" s="1"/>
  <c r="F1194" i="6"/>
  <c r="F1264" i="6" s="1"/>
  <c r="F1310" i="6" s="1"/>
  <c r="F1193" i="6"/>
  <c r="F1263" i="6" s="1"/>
  <c r="F1309" i="6" s="1"/>
  <c r="F1190" i="6"/>
  <c r="F1260" i="6" s="1"/>
  <c r="F1306" i="6" s="1"/>
  <c r="F1189" i="6"/>
  <c r="F1259" i="6" s="1"/>
  <c r="F1305" i="6" s="1"/>
  <c r="F1184" i="6"/>
  <c r="F1254" i="6" s="1"/>
  <c r="F1300" i="6" s="1"/>
  <c r="F1183" i="6"/>
  <c r="F1253" i="6" s="1"/>
  <c r="F1299" i="6" s="1"/>
  <c r="F1182" i="6"/>
  <c r="F1252" i="6" s="1"/>
  <c r="F1298" i="6" s="1"/>
  <c r="F1181" i="6"/>
  <c r="F1251" i="6" s="1"/>
  <c r="F1297" i="6" s="1"/>
  <c r="F1180" i="6"/>
  <c r="F1250" i="6" s="1"/>
  <c r="F1296" i="6" s="1"/>
  <c r="F1179" i="6"/>
  <c r="F1249" i="6" s="1"/>
  <c r="F1295" i="6" s="1"/>
  <c r="F1178" i="6"/>
  <c r="F1248" i="6" s="1"/>
  <c r="F1294" i="6" s="1"/>
  <c r="F1177" i="6"/>
  <c r="F1247" i="6" s="1"/>
  <c r="F1293" i="6" s="1"/>
  <c r="F1176" i="6"/>
  <c r="F1246" i="6" s="1"/>
  <c r="F1292" i="6" s="1"/>
  <c r="Y1175" i="6"/>
  <c r="Y1176" i="6" s="1"/>
  <c r="Y1292" i="6" s="1"/>
  <c r="J1175" i="6"/>
  <c r="J1176" i="6" s="1"/>
  <c r="J1177" i="6" s="1"/>
  <c r="J1178" i="6" s="1"/>
  <c r="J1179" i="6" s="1"/>
  <c r="F1175" i="6"/>
  <c r="F1245" i="6" s="1"/>
  <c r="F1291" i="6" s="1"/>
  <c r="F1174" i="6"/>
  <c r="F1244" i="6" s="1"/>
  <c r="F1290" i="6" s="1"/>
  <c r="F1173" i="6"/>
  <c r="F1243" i="6" s="1"/>
  <c r="F1289" i="6" s="1"/>
  <c r="F1172" i="6"/>
  <c r="F1242" i="6" s="1"/>
  <c r="F1288" i="6" s="1"/>
  <c r="F1171" i="6"/>
  <c r="F1241" i="6" s="1"/>
  <c r="F1287" i="6" s="1"/>
  <c r="F1170" i="6"/>
  <c r="F1240" i="6" s="1"/>
  <c r="F1286" i="6" s="1"/>
  <c r="F1167" i="6"/>
  <c r="F1237" i="6" s="1"/>
  <c r="F1283" i="6" s="1"/>
  <c r="F1166" i="6"/>
  <c r="F1236" i="6" s="1"/>
  <c r="F1282" i="6" s="1"/>
  <c r="F1161" i="6"/>
  <c r="F1231" i="6" s="1"/>
  <c r="F1277" i="6" s="1"/>
  <c r="F1160" i="6"/>
  <c r="F1230" i="6" s="1"/>
  <c r="F1276" i="6" s="1"/>
  <c r="F1159" i="6"/>
  <c r="F1229" i="6" s="1"/>
  <c r="F1275" i="6" s="1"/>
  <c r="F1158" i="6"/>
  <c r="F1228" i="6" s="1"/>
  <c r="F1274" i="6" s="1"/>
  <c r="F1157" i="6"/>
  <c r="F1227" i="6" s="1"/>
  <c r="F1273" i="6" s="1"/>
  <c r="F1156" i="6"/>
  <c r="F1226" i="6" s="1"/>
  <c r="F1272" i="6" s="1"/>
  <c r="F1155" i="6"/>
  <c r="F1225" i="6" s="1"/>
  <c r="F1271" i="6" s="1"/>
  <c r="F1154" i="6"/>
  <c r="F1224" i="6" s="1"/>
  <c r="F1270" i="6" s="1"/>
  <c r="F1153" i="6"/>
  <c r="F1223" i="6" s="1"/>
  <c r="F1269" i="6" s="1"/>
  <c r="F1152" i="6"/>
  <c r="F1222" i="6" s="1"/>
  <c r="F1268" i="6" s="1"/>
  <c r="F1151" i="6"/>
  <c r="F1221" i="6" s="1"/>
  <c r="F1267" i="6" s="1"/>
  <c r="J1096" i="6"/>
  <c r="J1093" i="6"/>
  <c r="J1092" i="6"/>
  <c r="J1091" i="6"/>
  <c r="J1090" i="6"/>
  <c r="J1089" i="6"/>
  <c r="J1088" i="6"/>
  <c r="J1087" i="6"/>
  <c r="J1084" i="6"/>
  <c r="J1083" i="6"/>
  <c r="J1082" i="6"/>
  <c r="J1081" i="6"/>
  <c r="J1080" i="6"/>
  <c r="J1079" i="6"/>
  <c r="AJ193" i="15"/>
  <c r="L848" i="6"/>
  <c r="AJ189" i="15" s="1"/>
  <c r="L834" i="6"/>
  <c r="AJ185" i="15" s="1"/>
  <c r="L828" i="6"/>
  <c r="AJ183" i="15" s="1"/>
  <c r="L824" i="6"/>
  <c r="AJ181" i="15" s="1"/>
  <c r="L821" i="6"/>
  <c r="AJ179" i="15" s="1"/>
  <c r="L818" i="6"/>
  <c r="AJ177" i="15" s="1"/>
  <c r="X1024" i="6"/>
  <c r="X1286" i="6" s="1"/>
  <c r="L812" i="6"/>
  <c r="AJ175" i="15" s="1"/>
  <c r="X1021" i="6"/>
  <c r="X1282" i="6" s="1"/>
  <c r="L808" i="6"/>
  <c r="AJ173" i="15" s="1"/>
  <c r="X1020" i="6"/>
  <c r="X1274" i="6" s="1"/>
  <c r="AJ184" i="15"/>
  <c r="X1019" i="6"/>
  <c r="X1295" i="6" s="1"/>
  <c r="L826" i="6"/>
  <c r="AJ182" i="15" s="1"/>
  <c r="X1018" i="6"/>
  <c r="X1270" i="6" s="1"/>
  <c r="L796" i="6"/>
  <c r="AJ169" i="15" s="1"/>
  <c r="X1017" i="6"/>
  <c r="X1269" i="6" s="1"/>
  <c r="X1016" i="6"/>
  <c r="X1267" i="6" s="1"/>
  <c r="L816" i="6"/>
  <c r="AJ176" i="15" s="1"/>
  <c r="J988" i="6"/>
  <c r="J985" i="6"/>
  <c r="J984" i="6"/>
  <c r="J983" i="6"/>
  <c r="J982" i="6"/>
  <c r="J981" i="6"/>
  <c r="J980" i="6"/>
  <c r="J979" i="6"/>
  <c r="J976" i="6"/>
  <c r="J975" i="6"/>
  <c r="J974" i="6"/>
  <c r="J973" i="6"/>
  <c r="J972" i="6"/>
  <c r="J971" i="6"/>
  <c r="J961" i="6"/>
  <c r="J958" i="6"/>
  <c r="J957" i="6"/>
  <c r="J956" i="6"/>
  <c r="J955" i="6"/>
  <c r="J954" i="6"/>
  <c r="J953" i="6"/>
  <c r="J952" i="6"/>
  <c r="J949" i="6"/>
  <c r="J948" i="6"/>
  <c r="J947" i="6"/>
  <c r="J946" i="6"/>
  <c r="J945" i="6"/>
  <c r="J944" i="6"/>
  <c r="F898" i="6"/>
  <c r="F925" i="6" s="1"/>
  <c r="F895" i="6"/>
  <c r="F922" i="6" s="1"/>
  <c r="F949" i="6" s="1"/>
  <c r="F976" i="6" s="1"/>
  <c r="F1003" i="6" s="1"/>
  <c r="F1030" i="6" s="1"/>
  <c r="F1057" i="6" s="1"/>
  <c r="F1084" i="6" s="1"/>
  <c r="F1111" i="6" s="1"/>
  <c r="F1138" i="6" s="1"/>
  <c r="F894" i="6"/>
  <c r="F921" i="6" s="1"/>
  <c r="F948" i="6" s="1"/>
  <c r="F975" i="6" s="1"/>
  <c r="F1002" i="6" s="1"/>
  <c r="F1029" i="6" s="1"/>
  <c r="F1056" i="6" s="1"/>
  <c r="F1083" i="6" s="1"/>
  <c r="F1110" i="6" s="1"/>
  <c r="F1137" i="6" s="1"/>
  <c r="F893" i="6"/>
  <c r="F920" i="6" s="1"/>
  <c r="F947" i="6" s="1"/>
  <c r="F974" i="6" s="1"/>
  <c r="F1001" i="6" s="1"/>
  <c r="F1028" i="6" s="1"/>
  <c r="F1055" i="6" s="1"/>
  <c r="F1082" i="6" s="1"/>
  <c r="F1109" i="6" s="1"/>
  <c r="F1136" i="6" s="1"/>
  <c r="F892" i="6"/>
  <c r="F919" i="6" s="1"/>
  <c r="F946" i="6" s="1"/>
  <c r="F973" i="6" s="1"/>
  <c r="F1000" i="6" s="1"/>
  <c r="F1027" i="6" s="1"/>
  <c r="F1054" i="6" s="1"/>
  <c r="F1081" i="6" s="1"/>
  <c r="F1108" i="6" s="1"/>
  <c r="F1135" i="6" s="1"/>
  <c r="F891" i="6"/>
  <c r="F918" i="6" s="1"/>
  <c r="F945" i="6" s="1"/>
  <c r="F972" i="6" s="1"/>
  <c r="F999" i="6" s="1"/>
  <c r="F1026" i="6" s="1"/>
  <c r="F1053" i="6" s="1"/>
  <c r="F1080" i="6" s="1"/>
  <c r="F1107" i="6" s="1"/>
  <c r="F1134" i="6" s="1"/>
  <c r="F890" i="6"/>
  <c r="F917" i="6" s="1"/>
  <c r="F944" i="6" s="1"/>
  <c r="X889" i="6"/>
  <c r="F889" i="6"/>
  <c r="F916" i="6" s="1"/>
  <c r="F943" i="6" s="1"/>
  <c r="X886" i="6"/>
  <c r="F886" i="6"/>
  <c r="F913" i="6" s="1"/>
  <c r="F940" i="6" s="1"/>
  <c r="F967" i="6" s="1"/>
  <c r="F994" i="6" s="1"/>
  <c r="F1021" i="6" s="1"/>
  <c r="F1048" i="6" s="1"/>
  <c r="F1075" i="6" s="1"/>
  <c r="F1102" i="6" s="1"/>
  <c r="F1129" i="6" s="1"/>
  <c r="X885" i="6"/>
  <c r="F885" i="6"/>
  <c r="F912" i="6" s="1"/>
  <c r="F939" i="6" s="1"/>
  <c r="F966" i="6" s="1"/>
  <c r="F993" i="6" s="1"/>
  <c r="F1020" i="6" s="1"/>
  <c r="F1047" i="6" s="1"/>
  <c r="F1074" i="6" s="1"/>
  <c r="F1101" i="6" s="1"/>
  <c r="F1128" i="6" s="1"/>
  <c r="X884" i="6"/>
  <c r="F884" i="6"/>
  <c r="F911" i="6" s="1"/>
  <c r="F938" i="6" s="1"/>
  <c r="F965" i="6" s="1"/>
  <c r="F992" i="6" s="1"/>
  <c r="F1019" i="6" s="1"/>
  <c r="F1046" i="6" s="1"/>
  <c r="F1073" i="6" s="1"/>
  <c r="F1100" i="6" s="1"/>
  <c r="F1127" i="6" s="1"/>
  <c r="X883" i="6"/>
  <c r="F883" i="6"/>
  <c r="F910" i="6" s="1"/>
  <c r="F937" i="6" s="1"/>
  <c r="F964" i="6" s="1"/>
  <c r="F991" i="6" s="1"/>
  <c r="F1018" i="6" s="1"/>
  <c r="F1045" i="6" s="1"/>
  <c r="F1072" i="6" s="1"/>
  <c r="F1099" i="6" s="1"/>
  <c r="F1126" i="6" s="1"/>
  <c r="F882" i="6"/>
  <c r="F909" i="6" s="1"/>
  <c r="F936" i="6" s="1"/>
  <c r="F963" i="6" s="1"/>
  <c r="F990" i="6" s="1"/>
  <c r="F1017" i="6" s="1"/>
  <c r="F1044" i="6" s="1"/>
  <c r="F1071" i="6" s="1"/>
  <c r="F1098" i="6" s="1"/>
  <c r="F1125" i="6" s="1"/>
  <c r="F881" i="6"/>
  <c r="AG880" i="6"/>
  <c r="AF880" i="6"/>
  <c r="AE880" i="6"/>
  <c r="AD880" i="6"/>
  <c r="AC880" i="6"/>
  <c r="AB880" i="6"/>
  <c r="AA880" i="6"/>
  <c r="Z880" i="6"/>
  <c r="Y880" i="6"/>
  <c r="X880" i="6"/>
  <c r="H861" i="6"/>
  <c r="F1219" i="6"/>
  <c r="H860" i="6"/>
  <c r="F1218" i="6"/>
  <c r="H859" i="6"/>
  <c r="F1217" i="6"/>
  <c r="H858" i="6"/>
  <c r="K857" i="6"/>
  <c r="BE857" i="6" s="1"/>
  <c r="J857" i="6"/>
  <c r="BC857" i="6" s="1"/>
  <c r="H857" i="6"/>
  <c r="K856" i="6"/>
  <c r="BE856" i="6" s="1"/>
  <c r="J856" i="6"/>
  <c r="J860" i="6" s="1"/>
  <c r="Y193" i="15" s="1"/>
  <c r="H856" i="6"/>
  <c r="K855" i="6"/>
  <c r="J855" i="6"/>
  <c r="BC855" i="6" s="1"/>
  <c r="H855" i="6"/>
  <c r="J854" i="6"/>
  <c r="J858" i="6" s="1"/>
  <c r="BC858" i="6" s="1"/>
  <c r="H854" i="6"/>
  <c r="H849" i="6"/>
  <c r="F1213" i="6"/>
  <c r="H848" i="6"/>
  <c r="K847" i="6"/>
  <c r="J847" i="6"/>
  <c r="H847" i="6"/>
  <c r="H846" i="6"/>
  <c r="H837" i="6"/>
  <c r="F1207" i="6"/>
  <c r="H836" i="6"/>
  <c r="F1206" i="6"/>
  <c r="H835" i="6"/>
  <c r="F1205" i="6"/>
  <c r="H834" i="6"/>
  <c r="F1204" i="6"/>
  <c r="K833" i="6"/>
  <c r="BE833" i="6" s="1"/>
  <c r="J833" i="6"/>
  <c r="J837" i="6" s="1"/>
  <c r="BC837" i="6" s="1"/>
  <c r="H833" i="6"/>
  <c r="K832" i="6"/>
  <c r="BE832" i="6" s="1"/>
  <c r="J832" i="6"/>
  <c r="Y184" i="15" s="1"/>
  <c r="H832" i="6"/>
  <c r="K831" i="6"/>
  <c r="J831" i="6"/>
  <c r="H831" i="6"/>
  <c r="J830" i="6"/>
  <c r="X184" i="15" s="1"/>
  <c r="H830" i="6"/>
  <c r="H829" i="6"/>
  <c r="F1203" i="6"/>
  <c r="H828" i="6"/>
  <c r="G183" i="15"/>
  <c r="K827" i="6"/>
  <c r="BE827" i="6" s="1"/>
  <c r="J827" i="6"/>
  <c r="J829" i="6" s="1"/>
  <c r="BC829" i="6" s="1"/>
  <c r="H827" i="6"/>
  <c r="J826" i="6"/>
  <c r="J828" i="6" s="1"/>
  <c r="H826" i="6"/>
  <c r="H825" i="6"/>
  <c r="F1201" i="6"/>
  <c r="H824" i="6"/>
  <c r="F901" i="6"/>
  <c r="F928" i="6" s="1"/>
  <c r="K823" i="6"/>
  <c r="J823" i="6"/>
  <c r="BC823" i="6" s="1"/>
  <c r="H823" i="6"/>
  <c r="J822" i="6"/>
  <c r="BC822" i="6" s="1"/>
  <c r="H822" i="6"/>
  <c r="H821" i="6"/>
  <c r="F1199" i="6"/>
  <c r="J820" i="6"/>
  <c r="BC820" i="6" s="1"/>
  <c r="H820" i="6"/>
  <c r="H819" i="6"/>
  <c r="F1198" i="6"/>
  <c r="H818" i="6"/>
  <c r="G177" i="15"/>
  <c r="K817" i="6"/>
  <c r="BE817" i="6" s="1"/>
  <c r="J817" i="6"/>
  <c r="J819" i="6" s="1"/>
  <c r="BC819" i="6" s="1"/>
  <c r="H817" i="6"/>
  <c r="J816" i="6"/>
  <c r="H816" i="6"/>
  <c r="I816" i="6" s="1"/>
  <c r="Q176" i="15" s="1"/>
  <c r="O176" i="15" s="1"/>
  <c r="K815" i="6"/>
  <c r="BE815" i="6" s="1"/>
  <c r="J815" i="6"/>
  <c r="BC815" i="6" s="1"/>
  <c r="H815" i="6"/>
  <c r="I815" i="6" s="1"/>
  <c r="T175" i="15" s="1"/>
  <c r="N175" i="15"/>
  <c r="K814" i="6"/>
  <c r="BE814" i="6" s="1"/>
  <c r="J814" i="6"/>
  <c r="Y175" i="15" s="1"/>
  <c r="H814" i="6"/>
  <c r="I814" i="6" s="1"/>
  <c r="S175" i="15" s="1"/>
  <c r="M175" i="15"/>
  <c r="K813" i="6"/>
  <c r="BE813" i="6" s="1"/>
  <c r="BC813" i="6"/>
  <c r="H813" i="6"/>
  <c r="I813" i="6" s="1"/>
  <c r="R175" i="15" s="1"/>
  <c r="H812" i="6"/>
  <c r="I812" i="6" s="1"/>
  <c r="Q175" i="15" s="1"/>
  <c r="K809" i="6"/>
  <c r="BE809" i="6" s="1"/>
  <c r="BC809" i="6"/>
  <c r="H809" i="6"/>
  <c r="I809" i="6" s="1"/>
  <c r="R173" i="15" s="1"/>
  <c r="X173" i="15"/>
  <c r="Z173" i="15" s="1"/>
  <c r="H808" i="6"/>
  <c r="I808" i="6" s="1"/>
  <c r="Q173" i="15" s="1"/>
  <c r="K803" i="6"/>
  <c r="BE803" i="6" s="1"/>
  <c r="J803" i="6"/>
  <c r="BC803" i="6" s="1"/>
  <c r="H803" i="6"/>
  <c r="I803" i="6" s="1"/>
  <c r="T171" i="15" s="1"/>
  <c r="N171" i="15"/>
  <c r="K802" i="6"/>
  <c r="BE802" i="6" s="1"/>
  <c r="J802" i="6"/>
  <c r="BC802" i="6" s="1"/>
  <c r="H802" i="6"/>
  <c r="I802" i="6" s="1"/>
  <c r="S171" i="15" s="1"/>
  <c r="K801" i="6"/>
  <c r="BE801" i="6" s="1"/>
  <c r="J801" i="6"/>
  <c r="BC801" i="6" s="1"/>
  <c r="H801" i="6"/>
  <c r="I801" i="6" s="1"/>
  <c r="R171" i="15" s="1"/>
  <c r="J800" i="6"/>
  <c r="BC800" i="6" s="1"/>
  <c r="BD800" i="6" s="1"/>
  <c r="H800" i="6"/>
  <c r="I800" i="6" s="1"/>
  <c r="Q171" i="15" s="1"/>
  <c r="K799" i="6"/>
  <c r="BE799" i="6" s="1"/>
  <c r="J799" i="6"/>
  <c r="BC799" i="6" s="1"/>
  <c r="H799" i="6"/>
  <c r="I799" i="6" s="1"/>
  <c r="R170" i="15" s="1"/>
  <c r="J798" i="6"/>
  <c r="X170" i="15" s="1"/>
  <c r="Z170" i="15" s="1"/>
  <c r="H798" i="6"/>
  <c r="I798" i="6" s="1"/>
  <c r="Q170" i="15" s="1"/>
  <c r="K797" i="6"/>
  <c r="BE797" i="6" s="1"/>
  <c r="J797" i="6"/>
  <c r="BC797" i="6" s="1"/>
  <c r="H797" i="6"/>
  <c r="I797" i="6" s="1"/>
  <c r="R169" i="15" s="1"/>
  <c r="J796" i="6"/>
  <c r="X169" i="15" s="1"/>
  <c r="Z169" i="15" s="1"/>
  <c r="H796" i="6"/>
  <c r="I796" i="6" s="1"/>
  <c r="Q169" i="15" s="1"/>
  <c r="K169" i="15"/>
  <c r="J795" i="6"/>
  <c r="BC795" i="6" s="1"/>
  <c r="H795" i="6"/>
  <c r="I795" i="6" s="1"/>
  <c r="Q168" i="15" s="1"/>
  <c r="W168" i="15" s="1"/>
  <c r="K168" i="15"/>
  <c r="I168" i="15" s="1"/>
  <c r="K794" i="6"/>
  <c r="BE794" i="6" s="1"/>
  <c r="J794" i="6"/>
  <c r="BC794" i="6" s="1"/>
  <c r="H794" i="6"/>
  <c r="I794" i="6" s="1"/>
  <c r="S167" i="15" s="1"/>
  <c r="P167" i="15" s="1"/>
  <c r="W167" i="15" s="1"/>
  <c r="M167" i="15"/>
  <c r="J167" i="15" s="1"/>
  <c r="J793" i="6"/>
  <c r="X167" i="15" s="1"/>
  <c r="H793" i="6"/>
  <c r="I793" i="6" s="1"/>
  <c r="Q167" i="15" s="1"/>
  <c r="O167" i="15" s="1"/>
  <c r="BE792" i="6"/>
  <c r="BD792" i="6"/>
  <c r="BC792" i="6"/>
  <c r="BB792" i="6"/>
  <c r="V789" i="6"/>
  <c r="J750" i="6"/>
  <c r="K154" i="6" s="1"/>
  <c r="BE154" i="6" s="1"/>
  <c r="J749" i="6"/>
  <c r="K153" i="6" s="1"/>
  <c r="BE153" i="6" s="1"/>
  <c r="J744" i="6"/>
  <c r="K148" i="6" s="1"/>
  <c r="BE148" i="6" s="1"/>
  <c r="J741" i="6"/>
  <c r="K145" i="6" s="1"/>
  <c r="BE145" i="6" s="1"/>
  <c r="X740" i="6"/>
  <c r="J740" i="6"/>
  <c r="K144" i="6" s="1"/>
  <c r="BE144" i="6" s="1"/>
  <c r="J735" i="6"/>
  <c r="K139" i="6" s="1"/>
  <c r="J732" i="6"/>
  <c r="K136" i="6" s="1"/>
  <c r="BE136" i="6" s="1"/>
  <c r="J731" i="6"/>
  <c r="K135" i="6" s="1"/>
  <c r="BE135" i="6" s="1"/>
  <c r="J726" i="6"/>
  <c r="K130" i="6" s="1"/>
  <c r="BE130" i="6" s="1"/>
  <c r="J723" i="6"/>
  <c r="K127" i="6" s="1"/>
  <c r="BE127" i="6" s="1"/>
  <c r="J722" i="6"/>
  <c r="K126" i="6" s="1"/>
  <c r="BE126" i="6" s="1"/>
  <c r="V715" i="6"/>
  <c r="E643" i="6"/>
  <c r="E1221" i="6" s="1"/>
  <c r="V1221" i="6"/>
  <c r="X599" i="6"/>
  <c r="X598" i="6"/>
  <c r="X597" i="6"/>
  <c r="X590" i="6"/>
  <c r="X589" i="6"/>
  <c r="X588" i="6"/>
  <c r="X581" i="6"/>
  <c r="X726" i="6" s="1"/>
  <c r="X580" i="6"/>
  <c r="X579" i="6"/>
  <c r="X572" i="6"/>
  <c r="X571" i="6"/>
  <c r="X570" i="6"/>
  <c r="V570" i="6"/>
  <c r="V498" i="6"/>
  <c r="X460" i="6"/>
  <c r="X457" i="6"/>
  <c r="X456" i="6"/>
  <c r="X455" i="6"/>
  <c r="X454" i="6"/>
  <c r="X453" i="6"/>
  <c r="X428" i="6"/>
  <c r="V426" i="6"/>
  <c r="L355" i="6"/>
  <c r="L356" i="6" s="1"/>
  <c r="L357" i="6" s="1"/>
  <c r="L358" i="6" s="1"/>
  <c r="L361" i="6" s="1"/>
  <c r="L363" i="6" s="1"/>
  <c r="L364" i="6" s="1"/>
  <c r="L365" i="6" s="1"/>
  <c r="L366" i="6" s="1"/>
  <c r="L367" i="6" s="1"/>
  <c r="L370" i="6" s="1"/>
  <c r="L372" i="6" s="1"/>
  <c r="L373" i="6" s="1"/>
  <c r="L374" i="6" s="1"/>
  <c r="L375" i="6" s="1"/>
  <c r="L376" i="6" s="1"/>
  <c r="L379" i="6" s="1"/>
  <c r="L381" i="6" s="1"/>
  <c r="L382" i="6" s="1"/>
  <c r="L383" i="6" s="1"/>
  <c r="L384" i="6" s="1"/>
  <c r="L385" i="6" s="1"/>
  <c r="L388" i="6" s="1"/>
  <c r="V354" i="6"/>
  <c r="X316" i="6"/>
  <c r="X749" i="6" s="1"/>
  <c r="K749" i="6"/>
  <c r="X313" i="6"/>
  <c r="K746" i="6"/>
  <c r="X312" i="6"/>
  <c r="K745" i="6"/>
  <c r="X311" i="6"/>
  <c r="X310" i="6"/>
  <c r="X309" i="6"/>
  <c r="K741" i="6"/>
  <c r="AJ135" i="15"/>
  <c r="K739" i="6"/>
  <c r="K738" i="6"/>
  <c r="K737" i="6"/>
  <c r="AJ133" i="15"/>
  <c r="X302" i="6"/>
  <c r="X301" i="6"/>
  <c r="X300" i="6"/>
  <c r="K732" i="6"/>
  <c r="X298" i="6"/>
  <c r="X731" i="6" s="1"/>
  <c r="K731" i="6"/>
  <c r="K729" i="6"/>
  <c r="X295" i="6"/>
  <c r="K728" i="6"/>
  <c r="X294" i="6"/>
  <c r="K727" i="6"/>
  <c r="X293" i="6"/>
  <c r="X292" i="6"/>
  <c r="X291" i="6"/>
  <c r="AJ125" i="15"/>
  <c r="K722" i="6"/>
  <c r="K720" i="6"/>
  <c r="K719" i="6"/>
  <c r="K718" i="6"/>
  <c r="X284" i="6"/>
  <c r="X283" i="6"/>
  <c r="X282" i="6"/>
  <c r="K715" i="6"/>
  <c r="J245" i="6"/>
  <c r="F154" i="6" s="1"/>
  <c r="I245" i="6"/>
  <c r="I317" i="6" s="1"/>
  <c r="I389" i="6" s="1"/>
  <c r="I461" i="6" s="1"/>
  <c r="I533" i="6" s="1"/>
  <c r="I605" i="6" s="1"/>
  <c r="I678" i="6" s="1"/>
  <c r="I750" i="6" s="1"/>
  <c r="X244" i="6"/>
  <c r="I244" i="6"/>
  <c r="I316" i="6" s="1"/>
  <c r="I388" i="6" s="1"/>
  <c r="I460" i="6" s="1"/>
  <c r="I532" i="6" s="1"/>
  <c r="I604" i="6" s="1"/>
  <c r="I677" i="6" s="1"/>
  <c r="I749" i="6" s="1"/>
  <c r="F244" i="6"/>
  <c r="F316" i="6" s="1"/>
  <c r="F388" i="6" s="1"/>
  <c r="F460" i="6" s="1"/>
  <c r="F532" i="6" s="1"/>
  <c r="F604" i="6" s="1"/>
  <c r="F677" i="6" s="1"/>
  <c r="F749" i="6" s="1"/>
  <c r="J243" i="6"/>
  <c r="F152" i="6" s="1"/>
  <c r="I243" i="6"/>
  <c r="I315" i="6" s="1"/>
  <c r="I387" i="6" s="1"/>
  <c r="I459" i="6" s="1"/>
  <c r="I531" i="6" s="1"/>
  <c r="I603" i="6" s="1"/>
  <c r="I676" i="6" s="1"/>
  <c r="I748" i="6" s="1"/>
  <c r="J242" i="6"/>
  <c r="F151" i="6" s="1"/>
  <c r="I242" i="6"/>
  <c r="I314" i="6" s="1"/>
  <c r="I386" i="6" s="1"/>
  <c r="I458" i="6" s="1"/>
  <c r="I530" i="6" s="1"/>
  <c r="I602" i="6" s="1"/>
  <c r="I675" i="6" s="1"/>
  <c r="I747" i="6" s="1"/>
  <c r="X241" i="6"/>
  <c r="I241" i="6"/>
  <c r="I313" i="6" s="1"/>
  <c r="I385" i="6" s="1"/>
  <c r="I457" i="6" s="1"/>
  <c r="I529" i="6" s="1"/>
  <c r="I601" i="6" s="1"/>
  <c r="I674" i="6" s="1"/>
  <c r="I746" i="6" s="1"/>
  <c r="F241" i="6"/>
  <c r="F313" i="6" s="1"/>
  <c r="F385" i="6" s="1"/>
  <c r="F457" i="6" s="1"/>
  <c r="F529" i="6" s="1"/>
  <c r="F601" i="6" s="1"/>
  <c r="F674" i="6" s="1"/>
  <c r="F746" i="6" s="1"/>
  <c r="X240" i="6"/>
  <c r="I240" i="6"/>
  <c r="I312" i="6" s="1"/>
  <c r="I384" i="6" s="1"/>
  <c r="I456" i="6" s="1"/>
  <c r="I528" i="6" s="1"/>
  <c r="I600" i="6" s="1"/>
  <c r="I673" i="6" s="1"/>
  <c r="I745" i="6" s="1"/>
  <c r="F240" i="6"/>
  <c r="F312" i="6" s="1"/>
  <c r="F384" i="6" s="1"/>
  <c r="F456" i="6" s="1"/>
  <c r="F528" i="6" s="1"/>
  <c r="F600" i="6" s="1"/>
  <c r="F673" i="6" s="1"/>
  <c r="F745" i="6" s="1"/>
  <c r="X239" i="6"/>
  <c r="I239" i="6"/>
  <c r="I311" i="6" s="1"/>
  <c r="I383" i="6" s="1"/>
  <c r="I455" i="6" s="1"/>
  <c r="I527" i="6" s="1"/>
  <c r="I599" i="6" s="1"/>
  <c r="I672" i="6" s="1"/>
  <c r="I744" i="6" s="1"/>
  <c r="F239" i="6"/>
  <c r="F311" i="6" s="1"/>
  <c r="F383" i="6" s="1"/>
  <c r="F455" i="6" s="1"/>
  <c r="F527" i="6" s="1"/>
  <c r="F599" i="6" s="1"/>
  <c r="F672" i="6" s="1"/>
  <c r="F744" i="6" s="1"/>
  <c r="X238" i="6"/>
  <c r="I238" i="6"/>
  <c r="I310" i="6" s="1"/>
  <c r="I382" i="6" s="1"/>
  <c r="I454" i="6" s="1"/>
  <c r="I526" i="6" s="1"/>
  <c r="I598" i="6" s="1"/>
  <c r="I671" i="6" s="1"/>
  <c r="I743" i="6" s="1"/>
  <c r="F238" i="6"/>
  <c r="F310" i="6" s="1"/>
  <c r="F382" i="6" s="1"/>
  <c r="F454" i="6" s="1"/>
  <c r="F526" i="6" s="1"/>
  <c r="F598" i="6" s="1"/>
  <c r="F671" i="6" s="1"/>
  <c r="F743" i="6" s="1"/>
  <c r="X237" i="6"/>
  <c r="I237" i="6"/>
  <c r="I309" i="6" s="1"/>
  <c r="I381" i="6" s="1"/>
  <c r="I453" i="6" s="1"/>
  <c r="I525" i="6" s="1"/>
  <c r="I597" i="6" s="1"/>
  <c r="I670" i="6" s="1"/>
  <c r="I742" i="6" s="1"/>
  <c r="F237" i="6"/>
  <c r="F309" i="6" s="1"/>
  <c r="F381" i="6" s="1"/>
  <c r="F453" i="6" s="1"/>
  <c r="F525" i="6" s="1"/>
  <c r="F597" i="6" s="1"/>
  <c r="F670" i="6" s="1"/>
  <c r="F742" i="6" s="1"/>
  <c r="J236" i="6"/>
  <c r="F145" i="6" s="1"/>
  <c r="I236" i="6"/>
  <c r="I308" i="6" s="1"/>
  <c r="I380" i="6" s="1"/>
  <c r="I452" i="6" s="1"/>
  <c r="I524" i="6" s="1"/>
  <c r="I596" i="6" s="1"/>
  <c r="I669" i="6" s="1"/>
  <c r="I741" i="6" s="1"/>
  <c r="I235" i="6"/>
  <c r="I307" i="6" s="1"/>
  <c r="I379" i="6" s="1"/>
  <c r="I451" i="6" s="1"/>
  <c r="I523" i="6" s="1"/>
  <c r="I595" i="6" s="1"/>
  <c r="I668" i="6" s="1"/>
  <c r="I740" i="6" s="1"/>
  <c r="F235" i="6"/>
  <c r="F307" i="6" s="1"/>
  <c r="F379" i="6" s="1"/>
  <c r="F451" i="6" s="1"/>
  <c r="F523" i="6" s="1"/>
  <c r="F595" i="6" s="1"/>
  <c r="F668" i="6" s="1"/>
  <c r="F740" i="6" s="1"/>
  <c r="J234" i="6"/>
  <c r="F143" i="6" s="1"/>
  <c r="I234" i="6"/>
  <c r="I306" i="6" s="1"/>
  <c r="I378" i="6" s="1"/>
  <c r="I450" i="6" s="1"/>
  <c r="I522" i="6" s="1"/>
  <c r="I594" i="6" s="1"/>
  <c r="I667" i="6" s="1"/>
  <c r="I739" i="6" s="1"/>
  <c r="J233" i="6"/>
  <c r="F142" i="6" s="1"/>
  <c r="I233" i="6"/>
  <c r="I305" i="6" s="1"/>
  <c r="I377" i="6" s="1"/>
  <c r="I449" i="6" s="1"/>
  <c r="I521" i="6" s="1"/>
  <c r="I593" i="6" s="1"/>
  <c r="I666" i="6" s="1"/>
  <c r="I738" i="6" s="1"/>
  <c r="I232" i="6"/>
  <c r="I304" i="6" s="1"/>
  <c r="I376" i="6" s="1"/>
  <c r="I448" i="6" s="1"/>
  <c r="I520" i="6" s="1"/>
  <c r="I592" i="6" s="1"/>
  <c r="I665" i="6" s="1"/>
  <c r="I737" i="6" s="1"/>
  <c r="F232" i="6"/>
  <c r="F304" i="6" s="1"/>
  <c r="F376" i="6" s="1"/>
  <c r="F448" i="6" s="1"/>
  <c r="F520" i="6" s="1"/>
  <c r="F592" i="6" s="1"/>
  <c r="F665" i="6" s="1"/>
  <c r="F737" i="6" s="1"/>
  <c r="I231" i="6"/>
  <c r="I303" i="6" s="1"/>
  <c r="I375" i="6" s="1"/>
  <c r="I447" i="6" s="1"/>
  <c r="I519" i="6" s="1"/>
  <c r="I591" i="6" s="1"/>
  <c r="I664" i="6" s="1"/>
  <c r="I736" i="6" s="1"/>
  <c r="F231" i="6"/>
  <c r="F303" i="6" s="1"/>
  <c r="F375" i="6" s="1"/>
  <c r="F447" i="6" s="1"/>
  <c r="F519" i="6" s="1"/>
  <c r="F591" i="6" s="1"/>
  <c r="F664" i="6" s="1"/>
  <c r="F736" i="6" s="1"/>
  <c r="X230" i="6"/>
  <c r="I230" i="6"/>
  <c r="I302" i="6" s="1"/>
  <c r="I374" i="6" s="1"/>
  <c r="I446" i="6" s="1"/>
  <c r="I518" i="6" s="1"/>
  <c r="I590" i="6" s="1"/>
  <c r="I663" i="6" s="1"/>
  <c r="I735" i="6" s="1"/>
  <c r="F230" i="6"/>
  <c r="F302" i="6" s="1"/>
  <c r="F374" i="6" s="1"/>
  <c r="F446" i="6" s="1"/>
  <c r="F518" i="6" s="1"/>
  <c r="F590" i="6" s="1"/>
  <c r="F663" i="6" s="1"/>
  <c r="F735" i="6" s="1"/>
  <c r="X229" i="6"/>
  <c r="I229" i="6"/>
  <c r="I301" i="6" s="1"/>
  <c r="I373" i="6" s="1"/>
  <c r="I445" i="6" s="1"/>
  <c r="I517" i="6" s="1"/>
  <c r="I589" i="6" s="1"/>
  <c r="I662" i="6" s="1"/>
  <c r="I734" i="6" s="1"/>
  <c r="F229" i="6"/>
  <c r="F301" i="6" s="1"/>
  <c r="F373" i="6" s="1"/>
  <c r="F445" i="6" s="1"/>
  <c r="F517" i="6" s="1"/>
  <c r="F589" i="6" s="1"/>
  <c r="F662" i="6" s="1"/>
  <c r="F734" i="6" s="1"/>
  <c r="X228" i="6"/>
  <c r="I228" i="6"/>
  <c r="I300" i="6" s="1"/>
  <c r="I372" i="6" s="1"/>
  <c r="I444" i="6" s="1"/>
  <c r="I516" i="6" s="1"/>
  <c r="I588" i="6" s="1"/>
  <c r="I661" i="6" s="1"/>
  <c r="I733" i="6" s="1"/>
  <c r="F228" i="6"/>
  <c r="F300" i="6" s="1"/>
  <c r="F372" i="6" s="1"/>
  <c r="F444" i="6" s="1"/>
  <c r="F516" i="6" s="1"/>
  <c r="F588" i="6" s="1"/>
  <c r="F661" i="6" s="1"/>
  <c r="F733" i="6" s="1"/>
  <c r="J227" i="6"/>
  <c r="F136" i="6" s="1"/>
  <c r="I227" i="6"/>
  <c r="I299" i="6" s="1"/>
  <c r="I371" i="6" s="1"/>
  <c r="I443" i="6" s="1"/>
  <c r="I515" i="6" s="1"/>
  <c r="I587" i="6" s="1"/>
  <c r="I660" i="6" s="1"/>
  <c r="I732" i="6" s="1"/>
  <c r="I226" i="6"/>
  <c r="I298" i="6" s="1"/>
  <c r="I370" i="6" s="1"/>
  <c r="I442" i="6" s="1"/>
  <c r="I514" i="6" s="1"/>
  <c r="I586" i="6" s="1"/>
  <c r="I659" i="6" s="1"/>
  <c r="I731" i="6" s="1"/>
  <c r="F226" i="6"/>
  <c r="F298" i="6" s="1"/>
  <c r="F370" i="6" s="1"/>
  <c r="F442" i="6" s="1"/>
  <c r="F514" i="6" s="1"/>
  <c r="F586" i="6" s="1"/>
  <c r="F659" i="6" s="1"/>
  <c r="F731" i="6" s="1"/>
  <c r="J225" i="6"/>
  <c r="F134" i="6" s="1"/>
  <c r="I225" i="6"/>
  <c r="I297" i="6" s="1"/>
  <c r="I369" i="6" s="1"/>
  <c r="I441" i="6" s="1"/>
  <c r="I513" i="6" s="1"/>
  <c r="I585" i="6" s="1"/>
  <c r="I658" i="6" s="1"/>
  <c r="I730" i="6" s="1"/>
  <c r="R225" i="6"/>
  <c r="J224" i="6"/>
  <c r="F133" i="6" s="1"/>
  <c r="I224" i="6"/>
  <c r="I296" i="6" s="1"/>
  <c r="I368" i="6" s="1"/>
  <c r="I440" i="6" s="1"/>
  <c r="I512" i="6" s="1"/>
  <c r="I584" i="6" s="1"/>
  <c r="I657" i="6" s="1"/>
  <c r="I729" i="6" s="1"/>
  <c r="R224" i="6"/>
  <c r="Q223" i="6" s="1"/>
  <c r="I223" i="6"/>
  <c r="I295" i="6" s="1"/>
  <c r="I367" i="6" s="1"/>
  <c r="I439" i="6" s="1"/>
  <c r="I511" i="6" s="1"/>
  <c r="I583" i="6" s="1"/>
  <c r="I656" i="6" s="1"/>
  <c r="I728" i="6" s="1"/>
  <c r="F223" i="6"/>
  <c r="F295" i="6" s="1"/>
  <c r="F367" i="6" s="1"/>
  <c r="F439" i="6" s="1"/>
  <c r="F511" i="6" s="1"/>
  <c r="F583" i="6" s="1"/>
  <c r="F656" i="6" s="1"/>
  <c r="F728" i="6" s="1"/>
  <c r="I222" i="6"/>
  <c r="I294" i="6" s="1"/>
  <c r="I366" i="6" s="1"/>
  <c r="I438" i="6" s="1"/>
  <c r="I510" i="6" s="1"/>
  <c r="I582" i="6" s="1"/>
  <c r="I655" i="6" s="1"/>
  <c r="I727" i="6" s="1"/>
  <c r="F222" i="6"/>
  <c r="F294" i="6" s="1"/>
  <c r="F366" i="6" s="1"/>
  <c r="F438" i="6" s="1"/>
  <c r="F510" i="6" s="1"/>
  <c r="F582" i="6" s="1"/>
  <c r="F655" i="6" s="1"/>
  <c r="F727" i="6" s="1"/>
  <c r="X221" i="6"/>
  <c r="I221" i="6"/>
  <c r="I293" i="6" s="1"/>
  <c r="I365" i="6" s="1"/>
  <c r="I437" i="6" s="1"/>
  <c r="I509" i="6" s="1"/>
  <c r="I581" i="6" s="1"/>
  <c r="I654" i="6" s="1"/>
  <c r="I726" i="6" s="1"/>
  <c r="F221" i="6"/>
  <c r="F293" i="6" s="1"/>
  <c r="F365" i="6" s="1"/>
  <c r="F437" i="6" s="1"/>
  <c r="F509" i="6" s="1"/>
  <c r="F581" i="6" s="1"/>
  <c r="F654" i="6" s="1"/>
  <c r="F726" i="6" s="1"/>
  <c r="X220" i="6"/>
  <c r="I220" i="6"/>
  <c r="I292" i="6" s="1"/>
  <c r="I364" i="6" s="1"/>
  <c r="I436" i="6" s="1"/>
  <c r="I508" i="6" s="1"/>
  <c r="I580" i="6" s="1"/>
  <c r="I653" i="6" s="1"/>
  <c r="I725" i="6" s="1"/>
  <c r="F220" i="6"/>
  <c r="F292" i="6" s="1"/>
  <c r="F364" i="6" s="1"/>
  <c r="F436" i="6" s="1"/>
  <c r="F508" i="6" s="1"/>
  <c r="F580" i="6" s="1"/>
  <c r="F653" i="6" s="1"/>
  <c r="F725" i="6" s="1"/>
  <c r="X219" i="6"/>
  <c r="I219" i="6"/>
  <c r="I291" i="6" s="1"/>
  <c r="I363" i="6" s="1"/>
  <c r="I435" i="6" s="1"/>
  <c r="I507" i="6" s="1"/>
  <c r="I579" i="6" s="1"/>
  <c r="I652" i="6" s="1"/>
  <c r="I724" i="6" s="1"/>
  <c r="F219" i="6"/>
  <c r="F291" i="6" s="1"/>
  <c r="F363" i="6" s="1"/>
  <c r="F435" i="6" s="1"/>
  <c r="F507" i="6" s="1"/>
  <c r="F579" i="6" s="1"/>
  <c r="F652" i="6" s="1"/>
  <c r="F724" i="6" s="1"/>
  <c r="J218" i="6"/>
  <c r="F127" i="6" s="1"/>
  <c r="I218" i="6"/>
  <c r="I290" i="6" s="1"/>
  <c r="I362" i="6" s="1"/>
  <c r="I434" i="6" s="1"/>
  <c r="I506" i="6" s="1"/>
  <c r="I578" i="6" s="1"/>
  <c r="I651" i="6" s="1"/>
  <c r="I723" i="6" s="1"/>
  <c r="I217" i="6"/>
  <c r="I289" i="6" s="1"/>
  <c r="I361" i="6" s="1"/>
  <c r="I433" i="6" s="1"/>
  <c r="I505" i="6" s="1"/>
  <c r="I577" i="6" s="1"/>
  <c r="I650" i="6" s="1"/>
  <c r="I722" i="6" s="1"/>
  <c r="F217" i="6"/>
  <c r="F289" i="6" s="1"/>
  <c r="F361" i="6" s="1"/>
  <c r="F433" i="6" s="1"/>
  <c r="F505" i="6" s="1"/>
  <c r="F577" i="6" s="1"/>
  <c r="F650" i="6" s="1"/>
  <c r="F722" i="6" s="1"/>
  <c r="J216" i="6"/>
  <c r="F125" i="6" s="1"/>
  <c r="I216" i="6"/>
  <c r="I288" i="6" s="1"/>
  <c r="I360" i="6" s="1"/>
  <c r="I432" i="6" s="1"/>
  <c r="I504" i="6" s="1"/>
  <c r="I576" i="6" s="1"/>
  <c r="I649" i="6" s="1"/>
  <c r="I721" i="6" s="1"/>
  <c r="I215" i="6"/>
  <c r="I287" i="6" s="1"/>
  <c r="I359" i="6" s="1"/>
  <c r="I431" i="6" s="1"/>
  <c r="I503" i="6" s="1"/>
  <c r="I575" i="6" s="1"/>
  <c r="I648" i="6" s="1"/>
  <c r="I720" i="6" s="1"/>
  <c r="R214" i="6"/>
  <c r="I214" i="6"/>
  <c r="I286" i="6" s="1"/>
  <c r="I358" i="6" s="1"/>
  <c r="I430" i="6" s="1"/>
  <c r="I502" i="6" s="1"/>
  <c r="I574" i="6" s="1"/>
  <c r="I647" i="6" s="1"/>
  <c r="I719" i="6" s="1"/>
  <c r="F214" i="6"/>
  <c r="F286" i="6" s="1"/>
  <c r="F358" i="6" s="1"/>
  <c r="F430" i="6" s="1"/>
  <c r="F502" i="6" s="1"/>
  <c r="F574" i="6" s="1"/>
  <c r="F647" i="6" s="1"/>
  <c r="F719" i="6" s="1"/>
  <c r="I213" i="6"/>
  <c r="I285" i="6" s="1"/>
  <c r="I357" i="6" s="1"/>
  <c r="I429" i="6" s="1"/>
  <c r="I501" i="6" s="1"/>
  <c r="I573" i="6" s="1"/>
  <c r="I646" i="6" s="1"/>
  <c r="I718" i="6" s="1"/>
  <c r="F213" i="6"/>
  <c r="F285" i="6" s="1"/>
  <c r="F357" i="6" s="1"/>
  <c r="F429" i="6" s="1"/>
  <c r="F501" i="6" s="1"/>
  <c r="F573" i="6" s="1"/>
  <c r="F646" i="6" s="1"/>
  <c r="F718" i="6" s="1"/>
  <c r="X212" i="6"/>
  <c r="I212" i="6"/>
  <c r="I284" i="6" s="1"/>
  <c r="I356" i="6" s="1"/>
  <c r="I428" i="6" s="1"/>
  <c r="I500" i="6" s="1"/>
  <c r="I572" i="6" s="1"/>
  <c r="I645" i="6" s="1"/>
  <c r="I717" i="6" s="1"/>
  <c r="F212" i="6"/>
  <c r="F284" i="6" s="1"/>
  <c r="F356" i="6" s="1"/>
  <c r="F428" i="6" s="1"/>
  <c r="F500" i="6" s="1"/>
  <c r="F572" i="6" s="1"/>
  <c r="F645" i="6" s="1"/>
  <c r="F717" i="6" s="1"/>
  <c r="X211" i="6"/>
  <c r="I211" i="6"/>
  <c r="I283" i="6" s="1"/>
  <c r="I355" i="6" s="1"/>
  <c r="I427" i="6" s="1"/>
  <c r="I499" i="6" s="1"/>
  <c r="I571" i="6" s="1"/>
  <c r="I644" i="6" s="1"/>
  <c r="I716" i="6" s="1"/>
  <c r="F211" i="6"/>
  <c r="F283" i="6" s="1"/>
  <c r="F355" i="6" s="1"/>
  <c r="F427" i="6" s="1"/>
  <c r="F499" i="6" s="1"/>
  <c r="F571" i="6" s="1"/>
  <c r="F644" i="6" s="1"/>
  <c r="F716" i="6" s="1"/>
  <c r="X210" i="6"/>
  <c r="V210" i="6"/>
  <c r="I210" i="6"/>
  <c r="I282" i="6" s="1"/>
  <c r="I354" i="6" s="1"/>
  <c r="I426" i="6" s="1"/>
  <c r="I498" i="6" s="1"/>
  <c r="I570" i="6" s="1"/>
  <c r="I643" i="6" s="1"/>
  <c r="I715" i="6" s="1"/>
  <c r="F210" i="6"/>
  <c r="F282" i="6" s="1"/>
  <c r="F354" i="6" s="1"/>
  <c r="F426" i="6" s="1"/>
  <c r="F498" i="6" s="1"/>
  <c r="F570" i="6" s="1"/>
  <c r="F643" i="6" s="1"/>
  <c r="F715" i="6" s="1"/>
  <c r="AG209" i="6"/>
  <c r="AF209" i="6"/>
  <c r="AE209" i="6"/>
  <c r="AD209" i="6"/>
  <c r="AC209" i="6"/>
  <c r="AB209" i="6"/>
  <c r="AA209" i="6"/>
  <c r="Z209" i="6"/>
  <c r="Y209" i="6"/>
  <c r="X209" i="6"/>
  <c r="J154" i="6"/>
  <c r="BC154" i="6" s="1"/>
  <c r="H154" i="6"/>
  <c r="G142" i="15"/>
  <c r="J153" i="6"/>
  <c r="BC153" i="6" s="1"/>
  <c r="BD153" i="6" s="1"/>
  <c r="H153" i="6"/>
  <c r="K152" i="6"/>
  <c r="BE152" i="6" s="1"/>
  <c r="J152" i="6"/>
  <c r="BC152" i="6" s="1"/>
  <c r="H152" i="6"/>
  <c r="F243" i="6"/>
  <c r="F315" i="6" s="1"/>
  <c r="F387" i="6" s="1"/>
  <c r="F459" i="6" s="1"/>
  <c r="F531" i="6" s="1"/>
  <c r="F603" i="6" s="1"/>
  <c r="F676" i="6" s="1"/>
  <c r="F748" i="6" s="1"/>
  <c r="J151" i="6"/>
  <c r="BC151" i="6" s="1"/>
  <c r="H151" i="6"/>
  <c r="G140" i="15"/>
  <c r="K150" i="6"/>
  <c r="BE150" i="6" s="1"/>
  <c r="J150" i="6"/>
  <c r="H150" i="6"/>
  <c r="I150" i="6" s="1"/>
  <c r="S139" i="15" s="1"/>
  <c r="P139" i="15" s="1"/>
  <c r="W139" i="15" s="1"/>
  <c r="M139" i="15"/>
  <c r="J139" i="15" s="1"/>
  <c r="J149" i="6"/>
  <c r="X139" i="15" s="1"/>
  <c r="H149" i="6"/>
  <c r="I149" i="6" s="1"/>
  <c r="Q139" i="15" s="1"/>
  <c r="O139" i="15" s="1"/>
  <c r="K139" i="15"/>
  <c r="I139" i="15" s="1"/>
  <c r="J148" i="6"/>
  <c r="BC148" i="6" s="1"/>
  <c r="BD148" i="6" s="1"/>
  <c r="H148" i="6"/>
  <c r="I148" i="6" s="1"/>
  <c r="Q138" i="15" s="1"/>
  <c r="K147" i="6"/>
  <c r="BE147" i="6" s="1"/>
  <c r="J147" i="6"/>
  <c r="BC147" i="6" s="1"/>
  <c r="BD147" i="6" s="1"/>
  <c r="H147" i="6"/>
  <c r="I147" i="6" s="1"/>
  <c r="S137" i="15" s="1"/>
  <c r="P137" i="15" s="1"/>
  <c r="W137" i="15" s="1"/>
  <c r="J146" i="6"/>
  <c r="BC146" i="6" s="1"/>
  <c r="H146" i="6"/>
  <c r="I146" i="6" s="1"/>
  <c r="Q137" i="15" s="1"/>
  <c r="O137" i="15" s="1"/>
  <c r="BC145" i="6"/>
  <c r="H145" i="6"/>
  <c r="G136" i="15"/>
  <c r="J144" i="6"/>
  <c r="H144" i="6"/>
  <c r="I144" i="6" s="1"/>
  <c r="Q135" i="15" s="1"/>
  <c r="K143" i="6"/>
  <c r="BE143" i="6" s="1"/>
  <c r="J143" i="6"/>
  <c r="H143" i="6"/>
  <c r="F234" i="6"/>
  <c r="F306" i="6" s="1"/>
  <c r="F378" i="6" s="1"/>
  <c r="F450" i="6" s="1"/>
  <c r="F522" i="6" s="1"/>
  <c r="F594" i="6" s="1"/>
  <c r="F667" i="6" s="1"/>
  <c r="F739" i="6" s="1"/>
  <c r="J142" i="6"/>
  <c r="BC142" i="6" s="1"/>
  <c r="H142" i="6"/>
  <c r="G134" i="15"/>
  <c r="K141" i="6"/>
  <c r="BE141" i="6" s="1"/>
  <c r="J141" i="6"/>
  <c r="H141" i="6"/>
  <c r="J140" i="6"/>
  <c r="X133" i="15" s="1"/>
  <c r="H140" i="6"/>
  <c r="I140" i="6" s="1"/>
  <c r="Q133" i="15" s="1"/>
  <c r="O133" i="15" s="1"/>
  <c r="K133" i="15"/>
  <c r="I133" i="15" s="1"/>
  <c r="J139" i="6"/>
  <c r="X132" i="15" s="1"/>
  <c r="Z132" i="15" s="1"/>
  <c r="H139" i="6"/>
  <c r="I139" i="6" s="1"/>
  <c r="Q132" i="15" s="1"/>
  <c r="W132" i="15" s="1"/>
  <c r="K138" i="6"/>
  <c r="BE138" i="6" s="1"/>
  <c r="J138" i="6"/>
  <c r="Y131" i="15" s="1"/>
  <c r="H138" i="6"/>
  <c r="I138" i="6" s="1"/>
  <c r="S131" i="15" s="1"/>
  <c r="P131" i="15" s="1"/>
  <c r="W131" i="15" s="1"/>
  <c r="J137" i="6"/>
  <c r="BC137" i="6" s="1"/>
  <c r="H137" i="6"/>
  <c r="I137" i="6" s="1"/>
  <c r="Q131" i="15" s="1"/>
  <c r="O131" i="15" s="1"/>
  <c r="BC136" i="6"/>
  <c r="H136" i="6"/>
  <c r="G130" i="15"/>
  <c r="J135" i="6"/>
  <c r="BC135" i="6" s="1"/>
  <c r="H135" i="6"/>
  <c r="I135" i="6" s="1"/>
  <c r="Q129" i="15" s="1"/>
  <c r="W129" i="15" s="1"/>
  <c r="K129" i="15"/>
  <c r="I129" i="15" s="1"/>
  <c r="BE134" i="6"/>
  <c r="J134" i="6"/>
  <c r="H134" i="6"/>
  <c r="F225" i="6"/>
  <c r="F297" i="6" s="1"/>
  <c r="F369" i="6" s="1"/>
  <c r="F441" i="6" s="1"/>
  <c r="F513" i="6" s="1"/>
  <c r="F585" i="6" s="1"/>
  <c r="F658" i="6" s="1"/>
  <c r="F730" i="6" s="1"/>
  <c r="J133" i="6"/>
  <c r="BC133" i="6" s="1"/>
  <c r="H133" i="6"/>
  <c r="F224" i="6"/>
  <c r="F296" i="6" s="1"/>
  <c r="F368" i="6" s="1"/>
  <c r="F440" i="6" s="1"/>
  <c r="F512" i="6" s="1"/>
  <c r="F584" i="6" s="1"/>
  <c r="F657" i="6" s="1"/>
  <c r="F729" i="6" s="1"/>
  <c r="K132" i="6"/>
  <c r="BE132" i="6" s="1"/>
  <c r="J132" i="6"/>
  <c r="BC132" i="6" s="1"/>
  <c r="H132" i="6"/>
  <c r="J131" i="6"/>
  <c r="H131" i="6"/>
  <c r="I131" i="6" s="1"/>
  <c r="Q127" i="15" s="1"/>
  <c r="O127" i="15" s="1"/>
  <c r="K127" i="15"/>
  <c r="I127" i="15" s="1"/>
  <c r="J130" i="6"/>
  <c r="X126" i="15" s="1"/>
  <c r="Z126" i="15" s="1"/>
  <c r="H130" i="6"/>
  <c r="I130" i="6" s="1"/>
  <c r="Q126" i="15" s="1"/>
  <c r="O126" i="15" s="1"/>
  <c r="K129" i="6"/>
  <c r="BE129" i="6" s="1"/>
  <c r="J129" i="6"/>
  <c r="BC129" i="6" s="1"/>
  <c r="H129" i="6"/>
  <c r="I129" i="6" s="1"/>
  <c r="S125" i="15" s="1"/>
  <c r="P125" i="15" s="1"/>
  <c r="W125" i="15" s="1"/>
  <c r="J128" i="6"/>
  <c r="X125" i="15" s="1"/>
  <c r="Z125" i="15" s="1"/>
  <c r="H128" i="6"/>
  <c r="I128" i="6" s="1"/>
  <c r="Q125" i="15" s="1"/>
  <c r="O125" i="15" s="1"/>
  <c r="BC127" i="6"/>
  <c r="H127" i="6"/>
  <c r="F218" i="6"/>
  <c r="F290" i="6" s="1"/>
  <c r="F362" i="6" s="1"/>
  <c r="F434" i="6" s="1"/>
  <c r="F506" i="6" s="1"/>
  <c r="F578" i="6" s="1"/>
  <c r="F651" i="6" s="1"/>
  <c r="F723" i="6" s="1"/>
  <c r="BC126" i="6"/>
  <c r="BD126" i="6" s="1"/>
  <c r="H126" i="6"/>
  <c r="I126" i="6" s="1"/>
  <c r="Q123" i="15" s="1"/>
  <c r="O123" i="15" s="1"/>
  <c r="K123" i="15"/>
  <c r="I123" i="15" s="1"/>
  <c r="K125" i="6"/>
  <c r="BE125" i="6" s="1"/>
  <c r="J125" i="6"/>
  <c r="BC125" i="6" s="1"/>
  <c r="H125" i="6"/>
  <c r="F216" i="6"/>
  <c r="F288" i="6" s="1"/>
  <c r="F360" i="6" s="1"/>
  <c r="F432" i="6" s="1"/>
  <c r="F504" i="6" s="1"/>
  <c r="F576" i="6" s="1"/>
  <c r="F649" i="6" s="1"/>
  <c r="F721" i="6" s="1"/>
  <c r="J124" i="6"/>
  <c r="BC124" i="6" s="1"/>
  <c r="H124" i="6"/>
  <c r="I124" i="6" s="1"/>
  <c r="Q122" i="15" s="1"/>
  <c r="O122" i="15" s="1"/>
  <c r="G122" i="15"/>
  <c r="K123" i="6"/>
  <c r="BE123" i="6" s="1"/>
  <c r="J123" i="6"/>
  <c r="Y121" i="15" s="1"/>
  <c r="H123" i="6"/>
  <c r="I123" i="6" s="1"/>
  <c r="S121" i="15" s="1"/>
  <c r="P121" i="15" s="1"/>
  <c r="W121" i="15" s="1"/>
  <c r="J122" i="6"/>
  <c r="H122" i="6"/>
  <c r="K121" i="6"/>
  <c r="BE121" i="6" s="1"/>
  <c r="J121" i="6"/>
  <c r="BC121" i="6" s="1"/>
  <c r="H121" i="6"/>
  <c r="K120" i="6"/>
  <c r="BE120" i="6" s="1"/>
  <c r="J120" i="6"/>
  <c r="BC120" i="6" s="1"/>
  <c r="H120" i="6"/>
  <c r="I120" i="6" s="1"/>
  <c r="S119" i="15" s="1"/>
  <c r="P119" i="15" s="1"/>
  <c r="W119" i="15" s="1"/>
  <c r="J119" i="6"/>
  <c r="P908" i="6" s="1"/>
  <c r="J1301" i="6" s="1"/>
  <c r="K838" i="6" s="1"/>
  <c r="AB186" i="15" s="1"/>
  <c r="H119" i="6"/>
  <c r="I119" i="6" s="1"/>
  <c r="Q119" i="15" s="1"/>
  <c r="O119" i="15" s="1"/>
  <c r="BE118" i="6"/>
  <c r="BD118" i="6"/>
  <c r="BC118" i="6"/>
  <c r="BB118" i="6"/>
  <c r="V115" i="6"/>
  <c r="F112" i="6"/>
  <c r="F111" i="6"/>
  <c r="F110" i="6"/>
  <c r="F109" i="6"/>
  <c r="Y108" i="6"/>
  <c r="X108" i="6"/>
  <c r="W108" i="6"/>
  <c r="I108" i="6"/>
  <c r="F108" i="6"/>
  <c r="Y107" i="6"/>
  <c r="X107" i="6"/>
  <c r="W107" i="6"/>
  <c r="I107" i="6"/>
  <c r="F107" i="6"/>
  <c r="F106" i="6"/>
  <c r="F105" i="6"/>
  <c r="F104" i="6"/>
  <c r="F103" i="6"/>
  <c r="Y102" i="6"/>
  <c r="X102" i="6"/>
  <c r="W102" i="6"/>
  <c r="Q102" i="6"/>
  <c r="Q97" i="6" s="1"/>
  <c r="W111" i="6" s="1"/>
  <c r="I102" i="6"/>
  <c r="F102" i="6"/>
  <c r="Y101" i="6"/>
  <c r="X101" i="6"/>
  <c r="W101" i="6"/>
  <c r="I101" i="6"/>
  <c r="F101" i="6"/>
  <c r="D101" i="6"/>
  <c r="F100" i="6"/>
  <c r="F99" i="6"/>
  <c r="F98" i="6"/>
  <c r="F97" i="6"/>
  <c r="F96" i="6"/>
  <c r="F95" i="6"/>
  <c r="F94" i="6"/>
  <c r="F93" i="6"/>
  <c r="F92" i="6"/>
  <c r="F91" i="6"/>
  <c r="F90" i="6"/>
  <c r="F89" i="6"/>
  <c r="D89" i="6"/>
  <c r="F87" i="6"/>
  <c r="F86" i="6"/>
  <c r="F85" i="6"/>
  <c r="F84" i="6"/>
  <c r="F83" i="6"/>
  <c r="F82" i="6"/>
  <c r="F81" i="6"/>
  <c r="F80" i="6"/>
  <c r="F79" i="6"/>
  <c r="F78" i="6"/>
  <c r="F77" i="6"/>
  <c r="F76" i="6"/>
  <c r="X67" i="6"/>
  <c r="F67" i="6"/>
  <c r="X66" i="6"/>
  <c r="F66" i="6"/>
  <c r="X65" i="6"/>
  <c r="F65" i="6"/>
  <c r="X64" i="6"/>
  <c r="F64" i="6"/>
  <c r="X63" i="6"/>
  <c r="F63" i="6"/>
  <c r="X62" i="6"/>
  <c r="F62" i="6"/>
  <c r="X61" i="6"/>
  <c r="F61" i="6"/>
  <c r="X60" i="6"/>
  <c r="F60" i="6"/>
  <c r="X59" i="6"/>
  <c r="F59" i="6"/>
  <c r="X58" i="6"/>
  <c r="F58" i="6"/>
  <c r="X57" i="6"/>
  <c r="I57" i="6"/>
  <c r="F57" i="6"/>
  <c r="X56" i="6"/>
  <c r="F56" i="6"/>
  <c r="X52" i="6"/>
  <c r="F52" i="6"/>
  <c r="X51" i="6"/>
  <c r="F51" i="6"/>
  <c r="X50" i="6"/>
  <c r="F50" i="6"/>
  <c r="X49" i="6"/>
  <c r="F49" i="6"/>
  <c r="X48" i="6"/>
  <c r="F48" i="6"/>
  <c r="X47" i="6"/>
  <c r="F47" i="6"/>
  <c r="X46" i="6"/>
  <c r="F46" i="6"/>
  <c r="X45" i="6"/>
  <c r="F45" i="6"/>
  <c r="X44" i="6"/>
  <c r="F44" i="6"/>
  <c r="X43" i="6"/>
  <c r="F43" i="6"/>
  <c r="X42" i="6"/>
  <c r="I42" i="6"/>
  <c r="F42" i="6"/>
  <c r="X41" i="6"/>
  <c r="F41" i="6"/>
  <c r="AG40" i="6"/>
  <c r="AF40" i="6"/>
  <c r="AE40" i="6"/>
  <c r="AD40" i="6"/>
  <c r="AC40" i="6"/>
  <c r="AB40" i="6"/>
  <c r="AA40" i="6"/>
  <c r="Z40" i="6"/>
  <c r="Y40" i="6"/>
  <c r="X40" i="6"/>
  <c r="O18" i="6"/>
  <c r="BE18" i="6" s="1"/>
  <c r="N18" i="6"/>
  <c r="Y118" i="15" s="1"/>
  <c r="G18" i="6"/>
  <c r="H18" i="6" s="1"/>
  <c r="N17" i="6"/>
  <c r="BC17" i="6" s="1"/>
  <c r="H17" i="6"/>
  <c r="O16" i="6"/>
  <c r="BE16" i="6" s="1"/>
  <c r="N16" i="6"/>
  <c r="Y117" i="15" s="1"/>
  <c r="G16" i="6"/>
  <c r="A16" i="6" s="1"/>
  <c r="N15" i="6"/>
  <c r="X117" i="15" s="1"/>
  <c r="H15" i="6"/>
  <c r="N14" i="6"/>
  <c r="BC14" i="6" s="1"/>
  <c r="H14" i="6"/>
  <c r="N13" i="6"/>
  <c r="X115" i="15" s="1"/>
  <c r="Z115" i="15" s="1"/>
  <c r="H13" i="6"/>
  <c r="O12" i="6"/>
  <c r="BE12" i="6" s="1"/>
  <c r="N12" i="6"/>
  <c r="G12" i="6"/>
  <c r="H12" i="6" s="1"/>
  <c r="N11" i="6"/>
  <c r="BC11" i="6" s="1"/>
  <c r="H11" i="6"/>
  <c r="O10" i="6"/>
  <c r="BE10" i="6" s="1"/>
  <c r="N10" i="6"/>
  <c r="Y113" i="15" s="1"/>
  <c r="G10" i="6"/>
  <c r="A10" i="6" s="1"/>
  <c r="N9" i="6"/>
  <c r="BC9" i="6" s="1"/>
  <c r="H9" i="6"/>
  <c r="BC8" i="6"/>
  <c r="H8" i="6"/>
  <c r="BC7" i="6"/>
  <c r="V4" i="6"/>
  <c r="AG316" i="5"/>
  <c r="AF316" i="5"/>
  <c r="AE316" i="5"/>
  <c r="AD316" i="5"/>
  <c r="AC316" i="5"/>
  <c r="AB316" i="5"/>
  <c r="AA316" i="5"/>
  <c r="Z316" i="5"/>
  <c r="Y316" i="5"/>
  <c r="X316" i="5"/>
  <c r="W316" i="5"/>
  <c r="H309" i="5"/>
  <c r="I309" i="5" s="1"/>
  <c r="O108" i="15" s="1"/>
  <c r="V108" i="15" s="1"/>
  <c r="I108" i="15"/>
  <c r="H307" i="5"/>
  <c r="I106" i="15"/>
  <c r="AB105" i="15"/>
  <c r="X105" i="15"/>
  <c r="Z105" i="15" s="1"/>
  <c r="H306" i="5"/>
  <c r="I105" i="15"/>
  <c r="X103" i="15"/>
  <c r="Z103" i="15" s="1"/>
  <c r="H304" i="5"/>
  <c r="I103" i="15"/>
  <c r="H303" i="5"/>
  <c r="I102" i="15"/>
  <c r="X100" i="15"/>
  <c r="Z100" i="15" s="1"/>
  <c r="H301" i="5"/>
  <c r="I100" i="15"/>
  <c r="BE300" i="5"/>
  <c r="BD300" i="5"/>
  <c r="BC300" i="5"/>
  <c r="BB300" i="5"/>
  <c r="AG300" i="5"/>
  <c r="AF300" i="5"/>
  <c r="AE300" i="5"/>
  <c r="AD300" i="5"/>
  <c r="AC300" i="5"/>
  <c r="AB300" i="5"/>
  <c r="AA300" i="5"/>
  <c r="Z300" i="5"/>
  <c r="Y300" i="5"/>
  <c r="X300" i="5"/>
  <c r="W300" i="5"/>
  <c r="V298" i="5"/>
  <c r="Z296" i="5"/>
  <c r="AA296" i="5" s="1"/>
  <c r="Z295" i="5"/>
  <c r="AA295" i="5" s="1"/>
  <c r="Z286" i="5"/>
  <c r="AA286" i="5" s="1"/>
  <c r="Z282" i="5"/>
  <c r="AA282" i="5" s="1"/>
  <c r="Z281" i="5"/>
  <c r="AA281" i="5" s="1"/>
  <c r="Z280" i="5"/>
  <c r="AA280" i="5" s="1"/>
  <c r="Z278" i="5"/>
  <c r="AA278" i="5" s="1"/>
  <c r="Z277" i="5"/>
  <c r="AA277" i="5" s="1"/>
  <c r="Y275" i="5"/>
  <c r="Z275" i="5" s="1"/>
  <c r="AA275" i="5" s="1"/>
  <c r="X275" i="5"/>
  <c r="W275" i="5"/>
  <c r="Y273" i="5"/>
  <c r="Z273" i="5" s="1"/>
  <c r="AA273" i="5" s="1"/>
  <c r="X273" i="5"/>
  <c r="W273" i="5"/>
  <c r="Z272" i="5"/>
  <c r="AA272" i="5" s="1"/>
  <c r="Y270" i="5"/>
  <c r="Z270" i="5" s="1"/>
  <c r="AA270" i="5" s="1"/>
  <c r="X270" i="5"/>
  <c r="W270" i="5"/>
  <c r="G270" i="5"/>
  <c r="F261" i="5" s="1"/>
  <c r="X98" i="15"/>
  <c r="Z98" i="15" s="1"/>
  <c r="H262" i="5"/>
  <c r="V260" i="5"/>
  <c r="V262" i="5" s="1"/>
  <c r="V261" i="5" s="1"/>
  <c r="V263" i="5" s="1"/>
  <c r="AB96" i="15"/>
  <c r="X96" i="15"/>
  <c r="Z96" i="15" s="1"/>
  <c r="H260" i="5"/>
  <c r="BE259" i="5"/>
  <c r="BD259" i="5"/>
  <c r="BC259" i="5"/>
  <c r="BB259" i="5"/>
  <c r="AG259" i="5"/>
  <c r="AF259" i="5"/>
  <c r="AE259" i="5"/>
  <c r="AD259" i="5"/>
  <c r="AC259" i="5"/>
  <c r="AB259" i="5"/>
  <c r="AA259" i="5"/>
  <c r="Z259" i="5"/>
  <c r="Y259" i="5"/>
  <c r="X259" i="5"/>
  <c r="W259" i="5"/>
  <c r="V257" i="5"/>
  <c r="AG220" i="5"/>
  <c r="AF220" i="5"/>
  <c r="AE220" i="5"/>
  <c r="AD220" i="5"/>
  <c r="AC220" i="5"/>
  <c r="AB220" i="5"/>
  <c r="AA220" i="5"/>
  <c r="Z220" i="5"/>
  <c r="Y220" i="5"/>
  <c r="X220" i="5"/>
  <c r="W220" i="5"/>
  <c r="BC211" i="5"/>
  <c r="H211" i="5"/>
  <c r="V209" i="5"/>
  <c r="V211" i="5" s="1"/>
  <c r="V210" i="5" s="1"/>
  <c r="V212" i="5" s="1"/>
  <c r="X92" i="15"/>
  <c r="Z92" i="15" s="1"/>
  <c r="I209" i="5"/>
  <c r="H209" i="5"/>
  <c r="BE208" i="5"/>
  <c r="BD208" i="5"/>
  <c r="BC208" i="5"/>
  <c r="BB208" i="5"/>
  <c r="AG208" i="5"/>
  <c r="AF208" i="5"/>
  <c r="AE208" i="5"/>
  <c r="AD208" i="5"/>
  <c r="AC208" i="5"/>
  <c r="AB208" i="5"/>
  <c r="AA208" i="5"/>
  <c r="Z208" i="5"/>
  <c r="Y208" i="5"/>
  <c r="X208" i="5"/>
  <c r="W208" i="5"/>
  <c r="V206" i="5"/>
  <c r="AG168" i="5"/>
  <c r="AF168" i="5"/>
  <c r="AE168" i="5"/>
  <c r="AD168" i="5"/>
  <c r="AC168" i="5"/>
  <c r="AB168" i="5"/>
  <c r="AA168" i="5"/>
  <c r="Z168" i="5"/>
  <c r="Y168" i="5"/>
  <c r="X168" i="5"/>
  <c r="W168" i="5"/>
  <c r="BC159" i="5"/>
  <c r="BD159" i="5" s="1"/>
  <c r="H159" i="5"/>
  <c r="E159" i="5"/>
  <c r="V157" i="5"/>
  <c r="V159" i="5" s="1"/>
  <c r="V158" i="5" s="1"/>
  <c r="V160" i="5" s="1"/>
  <c r="BC157" i="5"/>
  <c r="I88" i="15"/>
  <c r="H157" i="5"/>
  <c r="BE156" i="5"/>
  <c r="BD156" i="5"/>
  <c r="BC156" i="5"/>
  <c r="BB156" i="5"/>
  <c r="AG156" i="5"/>
  <c r="AF156" i="5"/>
  <c r="AE156" i="5"/>
  <c r="AD156" i="5"/>
  <c r="AC156" i="5"/>
  <c r="AB156" i="5"/>
  <c r="AA156" i="5"/>
  <c r="Z156" i="5"/>
  <c r="Y156" i="5"/>
  <c r="X156" i="5"/>
  <c r="W156" i="5"/>
  <c r="V154" i="5"/>
  <c r="AG116" i="5"/>
  <c r="AF116" i="5"/>
  <c r="AE116" i="5"/>
  <c r="AD116" i="5"/>
  <c r="AC116" i="5"/>
  <c r="AB116" i="5"/>
  <c r="AA116" i="5"/>
  <c r="Z116" i="5"/>
  <c r="Y116" i="5"/>
  <c r="X116" i="5"/>
  <c r="W116" i="5"/>
  <c r="BC107" i="5"/>
  <c r="BD107" i="5" s="1"/>
  <c r="I86" i="15"/>
  <c r="H107" i="5"/>
  <c r="V105" i="5"/>
  <c r="V107" i="5" s="1"/>
  <c r="V106" i="5" s="1"/>
  <c r="V108" i="5" s="1"/>
  <c r="H105" i="5"/>
  <c r="BE104" i="5"/>
  <c r="BD104" i="5"/>
  <c r="BC104" i="5"/>
  <c r="BB104" i="5"/>
  <c r="AG104" i="5"/>
  <c r="AF104" i="5"/>
  <c r="AE104" i="5"/>
  <c r="AD104" i="5"/>
  <c r="AC104" i="5"/>
  <c r="AB104" i="5"/>
  <c r="AA104" i="5"/>
  <c r="Z104" i="5"/>
  <c r="Y104" i="5"/>
  <c r="X104" i="5"/>
  <c r="W104" i="5"/>
  <c r="V102" i="5"/>
  <c r="AG69" i="5"/>
  <c r="AF69" i="5"/>
  <c r="AE69" i="5"/>
  <c r="AD69" i="5"/>
  <c r="AC69" i="5"/>
  <c r="AB69" i="5"/>
  <c r="AA69" i="5"/>
  <c r="Z69" i="5"/>
  <c r="Y69" i="5"/>
  <c r="X69" i="5"/>
  <c r="W69" i="5"/>
  <c r="BC53" i="5"/>
  <c r="BD53" i="5" s="1"/>
  <c r="H53" i="5"/>
  <c r="I79" i="15"/>
  <c r="BC52" i="5"/>
  <c r="BD52" i="5" s="1"/>
  <c r="H52" i="5"/>
  <c r="I78" i="15"/>
  <c r="AB77" i="15"/>
  <c r="X77" i="15"/>
  <c r="Z77" i="15" s="1"/>
  <c r="H51" i="5"/>
  <c r="I77" i="15"/>
  <c r="J48" i="5"/>
  <c r="BC48" i="5" s="1"/>
  <c r="BD48" i="5" s="1"/>
  <c r="H48" i="5"/>
  <c r="I74" i="15"/>
  <c r="AB73" i="15"/>
  <c r="BC47" i="5"/>
  <c r="BD47" i="5" s="1"/>
  <c r="H47" i="5"/>
  <c r="I73" i="15"/>
  <c r="K46" i="5"/>
  <c r="BE46" i="5" s="1"/>
  <c r="J46" i="5"/>
  <c r="BC46" i="5" s="1"/>
  <c r="BD46" i="5" s="1"/>
  <c r="H46" i="5"/>
  <c r="I72" i="15"/>
  <c r="BE45" i="5"/>
  <c r="BD45" i="5"/>
  <c r="BC45" i="5"/>
  <c r="BB45" i="5"/>
  <c r="AG45" i="5"/>
  <c r="AF45" i="5"/>
  <c r="AE45" i="5"/>
  <c r="AD45" i="5"/>
  <c r="AC45" i="5"/>
  <c r="AB45" i="5"/>
  <c r="AA45" i="5"/>
  <c r="Z45" i="5"/>
  <c r="Y45" i="5"/>
  <c r="X45" i="5"/>
  <c r="W45" i="5"/>
  <c r="V43" i="5"/>
  <c r="V41" i="5"/>
  <c r="V39" i="5"/>
  <c r="V38" i="5"/>
  <c r="V36" i="5"/>
  <c r="W35" i="5"/>
  <c r="V34" i="5"/>
  <c r="V27" i="5"/>
  <c r="V25" i="5"/>
  <c r="V24" i="5"/>
  <c r="W23" i="5"/>
  <c r="V22" i="5"/>
  <c r="AG21" i="5"/>
  <c r="AF21" i="5"/>
  <c r="AE21" i="5"/>
  <c r="AD21" i="5"/>
  <c r="AC21" i="5"/>
  <c r="AB21" i="5"/>
  <c r="AA21" i="5"/>
  <c r="Z21" i="5"/>
  <c r="Y21" i="5"/>
  <c r="X21" i="5"/>
  <c r="W21" i="5"/>
  <c r="M11" i="5"/>
  <c r="BE11" i="5" s="1"/>
  <c r="J11" i="5"/>
  <c r="F11" i="5" s="1"/>
  <c r="I71" i="15" s="1"/>
  <c r="H11" i="5"/>
  <c r="E11" i="5"/>
  <c r="G71" i="15" s="1"/>
  <c r="M10" i="5"/>
  <c r="X70" i="15"/>
  <c r="Z70" i="15" s="1"/>
  <c r="J10" i="5"/>
  <c r="F10" i="5" s="1"/>
  <c r="H10" i="5"/>
  <c r="L7" i="5"/>
  <c r="X67" i="15" s="1"/>
  <c r="Z67" i="15" s="1"/>
  <c r="F7" i="5"/>
  <c r="I67" i="15" s="1"/>
  <c r="H7" i="5"/>
  <c r="V4" i="5"/>
  <c r="AB526" i="15"/>
  <c r="Y106" i="3"/>
  <c r="X106" i="3"/>
  <c r="W106" i="3"/>
  <c r="X92" i="3"/>
  <c r="W92" i="3"/>
  <c r="F92" i="3"/>
  <c r="X91" i="3"/>
  <c r="W91" i="3"/>
  <c r="F91" i="3"/>
  <c r="X90" i="3"/>
  <c r="W90" i="3"/>
  <c r="F90" i="3"/>
  <c r="F89" i="3"/>
  <c r="F88" i="3"/>
  <c r="H87" i="3"/>
  <c r="F87" i="3"/>
  <c r="H86" i="3"/>
  <c r="F86" i="3"/>
  <c r="H85" i="3"/>
  <c r="F85" i="3"/>
  <c r="H84" i="3"/>
  <c r="F84" i="3"/>
  <c r="H83" i="3"/>
  <c r="F83" i="3"/>
  <c r="H82" i="3"/>
  <c r="F82" i="3"/>
  <c r="H81" i="3"/>
  <c r="F81" i="3"/>
  <c r="H80" i="3"/>
  <c r="F80" i="3"/>
  <c r="H77" i="3"/>
  <c r="F77" i="3"/>
  <c r="H76" i="3"/>
  <c r="F76" i="3"/>
  <c r="H75" i="3"/>
  <c r="F75" i="3"/>
  <c r="H74" i="3"/>
  <c r="F74" i="3"/>
  <c r="H73" i="3"/>
  <c r="F73" i="3"/>
  <c r="H72" i="3"/>
  <c r="F72" i="3"/>
  <c r="H71" i="3"/>
  <c r="F71" i="3"/>
  <c r="H70" i="3"/>
  <c r="F70" i="3"/>
  <c r="F68" i="3"/>
  <c r="X66" i="3"/>
  <c r="W66" i="3"/>
  <c r="H66" i="3"/>
  <c r="F66" i="3"/>
  <c r="X65" i="3"/>
  <c r="W65" i="3"/>
  <c r="I65" i="3"/>
  <c r="H65" i="3"/>
  <c r="F65" i="3"/>
  <c r="X64" i="3"/>
  <c r="W64" i="3"/>
  <c r="I64" i="3"/>
  <c r="H64" i="3"/>
  <c r="F64" i="3"/>
  <c r="H63" i="3"/>
  <c r="F63" i="3"/>
  <c r="H62" i="3"/>
  <c r="F62" i="3"/>
  <c r="H61" i="3"/>
  <c r="F61" i="3"/>
  <c r="H60" i="3"/>
  <c r="F60" i="3"/>
  <c r="H59" i="3"/>
  <c r="F59" i="3"/>
  <c r="H58" i="3"/>
  <c r="F58" i="3"/>
  <c r="H57" i="3"/>
  <c r="F57" i="3"/>
  <c r="H56" i="3"/>
  <c r="F56" i="3"/>
  <c r="H55" i="3"/>
  <c r="F55" i="3"/>
  <c r="H54" i="3"/>
  <c r="F54" i="3"/>
  <c r="H51" i="3"/>
  <c r="F51" i="3"/>
  <c r="H50" i="3"/>
  <c r="F50" i="3"/>
  <c r="H49" i="3"/>
  <c r="F49" i="3"/>
  <c r="H48" i="3"/>
  <c r="F48" i="3"/>
  <c r="H47" i="3"/>
  <c r="F47" i="3"/>
  <c r="F71" i="5" s="1"/>
  <c r="H46" i="3"/>
  <c r="F46" i="3"/>
  <c r="F70" i="5" s="1"/>
  <c r="H45" i="3"/>
  <c r="F45" i="3"/>
  <c r="H44" i="3"/>
  <c r="F44" i="3"/>
  <c r="AG43" i="3"/>
  <c r="AF43" i="3"/>
  <c r="AE43" i="3"/>
  <c r="AD43" i="3"/>
  <c r="AC43" i="3"/>
  <c r="AB43" i="3"/>
  <c r="AA43" i="3"/>
  <c r="Z43" i="3"/>
  <c r="Y43" i="3"/>
  <c r="X43" i="3"/>
  <c r="H43" i="3"/>
  <c r="Q31" i="3"/>
  <c r="P31" i="3"/>
  <c r="M31" i="3"/>
  <c r="L31" i="3"/>
  <c r="Q29" i="3"/>
  <c r="P29" i="3"/>
  <c r="BC29" i="3" s="1"/>
  <c r="M29" i="3"/>
  <c r="L29" i="3"/>
  <c r="K29" i="3"/>
  <c r="I29" i="3"/>
  <c r="Q28" i="3"/>
  <c r="P28" i="3"/>
  <c r="X30" i="15" s="1"/>
  <c r="Z30" i="15" s="1"/>
  <c r="M28" i="3"/>
  <c r="L28" i="3"/>
  <c r="K28" i="3"/>
  <c r="I28" i="3"/>
  <c r="Q27" i="3"/>
  <c r="P27" i="3"/>
  <c r="X29" i="15" s="1"/>
  <c r="Z29" i="15" s="1"/>
  <c r="M27" i="3"/>
  <c r="L27" i="3"/>
  <c r="K27" i="3"/>
  <c r="I27" i="3"/>
  <c r="Q26" i="3"/>
  <c r="P26" i="3"/>
  <c r="BC26" i="3" s="1"/>
  <c r="M26" i="3"/>
  <c r="L26" i="3"/>
  <c r="K26" i="3"/>
  <c r="I26" i="3"/>
  <c r="Q25" i="3"/>
  <c r="P25" i="3"/>
  <c r="X27" i="15" s="1"/>
  <c r="Z27" i="15" s="1"/>
  <c r="M25" i="3"/>
  <c r="L25" i="3"/>
  <c r="K25" i="3"/>
  <c r="I25" i="3"/>
  <c r="Q24" i="3"/>
  <c r="P24" i="3"/>
  <c r="BC24" i="3" s="1"/>
  <c r="M24" i="3"/>
  <c r="L24" i="3"/>
  <c r="K24" i="3"/>
  <c r="I24" i="3"/>
  <c r="Q23" i="3"/>
  <c r="P23" i="3"/>
  <c r="M23" i="3"/>
  <c r="L23" i="3"/>
  <c r="K23" i="3"/>
  <c r="I23" i="3"/>
  <c r="Q22" i="3"/>
  <c r="P22" i="3"/>
  <c r="BC22" i="3" s="1"/>
  <c r="M22" i="3"/>
  <c r="L22" i="3"/>
  <c r="K22" i="3"/>
  <c r="I22" i="3"/>
  <c r="Q21" i="3"/>
  <c r="P21" i="3"/>
  <c r="BC21" i="3" s="1"/>
  <c r="M21" i="3"/>
  <c r="L21" i="3"/>
  <c r="K21" i="3"/>
  <c r="I21" i="3"/>
  <c r="Q20" i="3"/>
  <c r="P20" i="3"/>
  <c r="BC20" i="3" s="1"/>
  <c r="M20" i="3"/>
  <c r="L20" i="3"/>
  <c r="K20" i="3"/>
  <c r="I20" i="3"/>
  <c r="Q19" i="3"/>
  <c r="P19" i="3"/>
  <c r="M19" i="3"/>
  <c r="L19" i="3"/>
  <c r="K19" i="3"/>
  <c r="I19" i="3"/>
  <c r="Q18" i="3"/>
  <c r="P18" i="3"/>
  <c r="BC18" i="3" s="1"/>
  <c r="M18" i="3"/>
  <c r="L18" i="3"/>
  <c r="K18" i="3"/>
  <c r="I18" i="3"/>
  <c r="Q17" i="3"/>
  <c r="P17" i="3"/>
  <c r="BC17" i="3" s="1"/>
  <c r="M17" i="3"/>
  <c r="L17" i="3"/>
  <c r="K17" i="3"/>
  <c r="I17" i="3"/>
  <c r="Q14" i="3"/>
  <c r="P14" i="3"/>
  <c r="BC14" i="3" s="1"/>
  <c r="M14" i="3"/>
  <c r="L14" i="3"/>
  <c r="K14" i="3"/>
  <c r="I14" i="3"/>
  <c r="Q13" i="3"/>
  <c r="P13" i="3"/>
  <c r="M13" i="3"/>
  <c r="L13" i="3"/>
  <c r="K13" i="3"/>
  <c r="I13" i="3"/>
  <c r="Q12" i="3"/>
  <c r="P12" i="3"/>
  <c r="BC12" i="3" s="1"/>
  <c r="M12" i="3"/>
  <c r="L12" i="3"/>
  <c r="K12" i="3"/>
  <c r="I12" i="3"/>
  <c r="Q11" i="3"/>
  <c r="P11" i="3"/>
  <c r="BC11" i="3" s="1"/>
  <c r="M11" i="3"/>
  <c r="L11" i="3"/>
  <c r="K11" i="3"/>
  <c r="I11" i="3"/>
  <c r="Q10" i="3"/>
  <c r="P10" i="3"/>
  <c r="BC10" i="3" s="1"/>
  <c r="M10" i="3"/>
  <c r="L10" i="3"/>
  <c r="K10" i="3"/>
  <c r="I10" i="3"/>
  <c r="Q9" i="3"/>
  <c r="P9" i="3"/>
  <c r="M9" i="3"/>
  <c r="L9" i="3"/>
  <c r="K9" i="3"/>
  <c r="I9" i="3"/>
  <c r="Q8" i="3"/>
  <c r="P8" i="3"/>
  <c r="BC8" i="3" s="1"/>
  <c r="M8" i="3"/>
  <c r="L8" i="3"/>
  <c r="K8" i="3"/>
  <c r="I8" i="3"/>
  <c r="Q7" i="3"/>
  <c r="P7" i="3"/>
  <c r="M7" i="3"/>
  <c r="L7" i="3"/>
  <c r="K7" i="3"/>
  <c r="I7" i="3"/>
  <c r="V4" i="3"/>
  <c r="DH878" i="2"/>
  <c r="DJ877" i="2"/>
  <c r="DI877" i="2"/>
  <c r="DH877" i="2"/>
  <c r="DG877" i="2"/>
  <c r="BE877" i="2"/>
  <c r="BD877" i="2"/>
  <c r="BC877" i="2"/>
  <c r="BB877" i="2"/>
  <c r="AZ877" i="2"/>
  <c r="AY877" i="2"/>
  <c r="AX877" i="2"/>
  <c r="AW877" i="2"/>
  <c r="AS877" i="2"/>
  <c r="AR877" i="2"/>
  <c r="AQ877" i="2"/>
  <c r="AP877" i="2"/>
  <c r="AO877" i="2"/>
  <c r="AL877" i="2"/>
  <c r="AK877" i="2"/>
  <c r="AG877" i="2"/>
  <c r="AF877" i="2"/>
  <c r="AE877" i="2"/>
  <c r="AD877" i="2"/>
  <c r="AC877" i="2"/>
  <c r="AA877" i="2"/>
  <c r="Z877" i="2"/>
  <c r="Y877" i="2"/>
  <c r="X877" i="2"/>
  <c r="W877" i="2"/>
  <c r="V875" i="2"/>
  <c r="E857" i="2"/>
  <c r="D857" i="2"/>
  <c r="DH847" i="2"/>
  <c r="H847" i="2"/>
  <c r="F847" i="2"/>
  <c r="DJ846" i="2"/>
  <c r="DI846" i="2"/>
  <c r="DH846" i="2"/>
  <c r="DG846" i="2"/>
  <c r="BE846" i="2"/>
  <c r="BD846" i="2"/>
  <c r="BC846" i="2"/>
  <c r="BB846" i="2"/>
  <c r="AZ846" i="2"/>
  <c r="AY846" i="2"/>
  <c r="AX846" i="2"/>
  <c r="AW846" i="2"/>
  <c r="AS846" i="2"/>
  <c r="AR846" i="2"/>
  <c r="AQ846" i="2"/>
  <c r="AP846" i="2"/>
  <c r="AO846" i="2"/>
  <c r="AN846" i="2"/>
  <c r="AM846" i="2"/>
  <c r="AL846" i="2"/>
  <c r="AK846" i="2"/>
  <c r="AG846" i="2"/>
  <c r="AF846" i="2"/>
  <c r="AE846" i="2"/>
  <c r="AD846" i="2"/>
  <c r="AC846" i="2"/>
  <c r="AA846" i="2"/>
  <c r="Z846" i="2"/>
  <c r="Y846" i="2"/>
  <c r="X846" i="2"/>
  <c r="W846" i="2"/>
  <c r="V844" i="2"/>
  <c r="G841" i="2"/>
  <c r="F841" i="2"/>
  <c r="E841" i="2"/>
  <c r="D841" i="2"/>
  <c r="G840" i="2"/>
  <c r="F840" i="2"/>
  <c r="F829" i="2" s="1"/>
  <c r="E840" i="2"/>
  <c r="D840" i="2"/>
  <c r="DH830" i="2"/>
  <c r="H830" i="2"/>
  <c r="DH829" i="2"/>
  <c r="H829" i="2"/>
  <c r="DJ828" i="2"/>
  <c r="DI828" i="2"/>
  <c r="DH828" i="2"/>
  <c r="DG828" i="2"/>
  <c r="BE828" i="2"/>
  <c r="BD828" i="2"/>
  <c r="BC828" i="2"/>
  <c r="BB828" i="2"/>
  <c r="AZ828" i="2"/>
  <c r="AY828" i="2"/>
  <c r="AX828" i="2"/>
  <c r="AW828" i="2"/>
  <c r="AS828" i="2"/>
  <c r="AR828" i="2"/>
  <c r="AQ828" i="2"/>
  <c r="AP828" i="2"/>
  <c r="AO828" i="2"/>
  <c r="AN828" i="2"/>
  <c r="AM828" i="2"/>
  <c r="AL828" i="2"/>
  <c r="AK828" i="2"/>
  <c r="AG828" i="2"/>
  <c r="AF828" i="2"/>
  <c r="AE828" i="2"/>
  <c r="AD828" i="2"/>
  <c r="AC828" i="2"/>
  <c r="AA828" i="2"/>
  <c r="Z828" i="2"/>
  <c r="Y828" i="2"/>
  <c r="X828" i="2"/>
  <c r="W828" i="2"/>
  <c r="V826" i="2"/>
  <c r="E823" i="2"/>
  <c r="D823" i="2"/>
  <c r="E822" i="2"/>
  <c r="D822" i="2"/>
  <c r="DH812" i="2"/>
  <c r="DI812" i="2" s="1"/>
  <c r="V812" i="2"/>
  <c r="G812" i="2"/>
  <c r="F812" i="2"/>
  <c r="DH811" i="2"/>
  <c r="AI811" i="2"/>
  <c r="AI812" i="2" s="1"/>
  <c r="V811" i="2"/>
  <c r="G811" i="2"/>
  <c r="F811" i="2"/>
  <c r="DJ810" i="2"/>
  <c r="DI810" i="2"/>
  <c r="DH810" i="2"/>
  <c r="DG810" i="2"/>
  <c r="BQ810" i="2"/>
  <c r="BP810" i="2"/>
  <c r="BO810" i="2"/>
  <c r="BN810" i="2"/>
  <c r="BL810" i="2"/>
  <c r="BK810" i="2"/>
  <c r="BJ810" i="2"/>
  <c r="BI810" i="2"/>
  <c r="BE810" i="2"/>
  <c r="BD810" i="2"/>
  <c r="BC810" i="2"/>
  <c r="BB810" i="2"/>
  <c r="AZ810" i="2"/>
  <c r="AY810" i="2"/>
  <c r="AX810" i="2"/>
  <c r="AW810" i="2"/>
  <c r="AS810" i="2"/>
  <c r="AR810" i="2"/>
  <c r="AQ810" i="2"/>
  <c r="AP810" i="2"/>
  <c r="AO810" i="2"/>
  <c r="AN810" i="2"/>
  <c r="AM810" i="2"/>
  <c r="AL810" i="2"/>
  <c r="AK810" i="2"/>
  <c r="AG810" i="2"/>
  <c r="AF810" i="2"/>
  <c r="AE810" i="2"/>
  <c r="AD810" i="2"/>
  <c r="AC810" i="2"/>
  <c r="AA810" i="2"/>
  <c r="Z810" i="2"/>
  <c r="Y810" i="2"/>
  <c r="X810" i="2"/>
  <c r="W810" i="2"/>
  <c r="V808" i="2"/>
  <c r="E805" i="2"/>
  <c r="D805" i="2"/>
  <c r="DH795" i="2"/>
  <c r="V795" i="2"/>
  <c r="V796" i="2" s="1"/>
  <c r="H795" i="2"/>
  <c r="F795" i="2"/>
  <c r="DJ794" i="2"/>
  <c r="DI794" i="2"/>
  <c r="DH794" i="2"/>
  <c r="DG794" i="2"/>
  <c r="BE794" i="2"/>
  <c r="BD794" i="2"/>
  <c r="BC794" i="2"/>
  <c r="BB794" i="2"/>
  <c r="AZ794" i="2"/>
  <c r="AY794" i="2"/>
  <c r="AX794" i="2"/>
  <c r="AW794" i="2"/>
  <c r="AS794" i="2"/>
  <c r="AR794" i="2"/>
  <c r="AQ794" i="2"/>
  <c r="AP794" i="2"/>
  <c r="AO794" i="2"/>
  <c r="AN794" i="2"/>
  <c r="AM794" i="2"/>
  <c r="AL794" i="2"/>
  <c r="AK794" i="2"/>
  <c r="AG794" i="2"/>
  <c r="AF794" i="2"/>
  <c r="AE794" i="2"/>
  <c r="AD794" i="2"/>
  <c r="AC794" i="2"/>
  <c r="AA794" i="2"/>
  <c r="Z794" i="2"/>
  <c r="Y794" i="2"/>
  <c r="X794" i="2"/>
  <c r="W794" i="2"/>
  <c r="V792" i="2"/>
  <c r="E789" i="2"/>
  <c r="D789" i="2"/>
  <c r="E788" i="2"/>
  <c r="D788" i="2"/>
  <c r="E787" i="2"/>
  <c r="D787" i="2"/>
  <c r="DH777" i="2"/>
  <c r="H777" i="2"/>
  <c r="F777" i="2"/>
  <c r="DH776" i="2"/>
  <c r="H776" i="2"/>
  <c r="F776" i="2"/>
  <c r="DH775" i="2"/>
  <c r="V775" i="2"/>
  <c r="V776" i="2" s="1"/>
  <c r="V777" i="2" s="1"/>
  <c r="H775" i="2"/>
  <c r="F775" i="2"/>
  <c r="DJ774" i="2"/>
  <c r="DI774" i="2"/>
  <c r="DH774" i="2"/>
  <c r="DG774" i="2"/>
  <c r="BE774" i="2"/>
  <c r="BD774" i="2"/>
  <c r="BC774" i="2"/>
  <c r="BB774" i="2"/>
  <c r="AZ774" i="2"/>
  <c r="AY774" i="2"/>
  <c r="AX774" i="2"/>
  <c r="AW774" i="2"/>
  <c r="AS774" i="2"/>
  <c r="AR774" i="2"/>
  <c r="AQ774" i="2"/>
  <c r="AP774" i="2"/>
  <c r="AO774" i="2"/>
  <c r="AN774" i="2"/>
  <c r="AM774" i="2"/>
  <c r="AL774" i="2"/>
  <c r="AK774" i="2"/>
  <c r="AG774" i="2"/>
  <c r="AF774" i="2"/>
  <c r="AE774" i="2"/>
  <c r="AD774" i="2"/>
  <c r="AC774" i="2"/>
  <c r="AA774" i="2"/>
  <c r="Z774" i="2"/>
  <c r="Y774" i="2"/>
  <c r="X774" i="2"/>
  <c r="W774" i="2"/>
  <c r="V772" i="2"/>
  <c r="E769" i="2"/>
  <c r="D769" i="2"/>
  <c r="DH759" i="2"/>
  <c r="V759" i="2"/>
  <c r="H759" i="2"/>
  <c r="F759" i="2"/>
  <c r="DJ758" i="2"/>
  <c r="DI758" i="2"/>
  <c r="DH758" i="2"/>
  <c r="DG758" i="2"/>
  <c r="BE758" i="2"/>
  <c r="BD758" i="2"/>
  <c r="BC758" i="2"/>
  <c r="BB758" i="2"/>
  <c r="AZ758" i="2"/>
  <c r="AY758" i="2"/>
  <c r="AX758" i="2"/>
  <c r="AW758" i="2"/>
  <c r="AS758" i="2"/>
  <c r="AR758" i="2"/>
  <c r="AQ758" i="2"/>
  <c r="AP758" i="2"/>
  <c r="AO758" i="2"/>
  <c r="AN758" i="2"/>
  <c r="AM758" i="2"/>
  <c r="AL758" i="2"/>
  <c r="AK758" i="2"/>
  <c r="AG758" i="2"/>
  <c r="AF758" i="2"/>
  <c r="AE758" i="2"/>
  <c r="AD758" i="2"/>
  <c r="AC758" i="2"/>
  <c r="AA758" i="2"/>
  <c r="Z758" i="2"/>
  <c r="Y758" i="2"/>
  <c r="X758" i="2"/>
  <c r="W758" i="2"/>
  <c r="V756" i="2"/>
  <c r="E753" i="2"/>
  <c r="D753" i="2"/>
  <c r="DH743" i="2"/>
  <c r="DI743" i="2" s="1"/>
  <c r="H743" i="2"/>
  <c r="F743" i="2"/>
  <c r="DJ742" i="2"/>
  <c r="DI742" i="2"/>
  <c r="DH742" i="2"/>
  <c r="DG742" i="2"/>
  <c r="BE742" i="2"/>
  <c r="BD742" i="2"/>
  <c r="BC742" i="2"/>
  <c r="BB742" i="2"/>
  <c r="AZ742" i="2"/>
  <c r="AY742" i="2"/>
  <c r="AX742" i="2"/>
  <c r="AW742" i="2"/>
  <c r="AS742" i="2"/>
  <c r="AR742" i="2"/>
  <c r="AQ742" i="2"/>
  <c r="AP742" i="2"/>
  <c r="AO742" i="2"/>
  <c r="AN742" i="2"/>
  <c r="AM742" i="2"/>
  <c r="AL742" i="2"/>
  <c r="AK742" i="2"/>
  <c r="AG742" i="2"/>
  <c r="AF742" i="2"/>
  <c r="AE742" i="2"/>
  <c r="AD742" i="2"/>
  <c r="AC742" i="2"/>
  <c r="AA742" i="2"/>
  <c r="Z742" i="2"/>
  <c r="Y742" i="2"/>
  <c r="X742" i="2"/>
  <c r="W742" i="2"/>
  <c r="V740" i="2"/>
  <c r="J737" i="2"/>
  <c r="F727" i="2" s="1"/>
  <c r="E737" i="2"/>
  <c r="D737" i="2"/>
  <c r="DH727" i="2"/>
  <c r="H727" i="2"/>
  <c r="DJ726" i="2"/>
  <c r="DI726" i="2"/>
  <c r="DH726" i="2"/>
  <c r="DG726" i="2"/>
  <c r="BE726" i="2"/>
  <c r="BD726" i="2"/>
  <c r="BC726" i="2"/>
  <c r="BB726" i="2"/>
  <c r="AZ726" i="2"/>
  <c r="AY726" i="2"/>
  <c r="AX726" i="2"/>
  <c r="AW726" i="2"/>
  <c r="AS726" i="2"/>
  <c r="AR726" i="2"/>
  <c r="AQ726" i="2"/>
  <c r="AP726" i="2"/>
  <c r="AO726" i="2"/>
  <c r="AN726" i="2"/>
  <c r="AM726" i="2"/>
  <c r="AL726" i="2"/>
  <c r="AK726" i="2"/>
  <c r="AG726" i="2"/>
  <c r="AF726" i="2"/>
  <c r="AE726" i="2"/>
  <c r="AD726" i="2"/>
  <c r="AC726" i="2"/>
  <c r="AA726" i="2"/>
  <c r="Z726" i="2"/>
  <c r="Y726" i="2"/>
  <c r="X726" i="2"/>
  <c r="W726" i="2"/>
  <c r="V724" i="2"/>
  <c r="K721" i="2"/>
  <c r="F721" i="2"/>
  <c r="E721" i="2"/>
  <c r="D721" i="2"/>
  <c r="DH711" i="2"/>
  <c r="H711" i="2"/>
  <c r="DJ710" i="2"/>
  <c r="DI710" i="2"/>
  <c r="DH710" i="2"/>
  <c r="DG710" i="2"/>
  <c r="BE710" i="2"/>
  <c r="BD710" i="2"/>
  <c r="BC710" i="2"/>
  <c r="BB710" i="2"/>
  <c r="AZ710" i="2"/>
  <c r="AY710" i="2"/>
  <c r="AX710" i="2"/>
  <c r="AW710" i="2"/>
  <c r="AS710" i="2"/>
  <c r="AR710" i="2"/>
  <c r="AQ710" i="2"/>
  <c r="AP710" i="2"/>
  <c r="AO710" i="2"/>
  <c r="AN710" i="2"/>
  <c r="AM710" i="2"/>
  <c r="AL710" i="2"/>
  <c r="AK710" i="2"/>
  <c r="AG710" i="2"/>
  <c r="AF710" i="2"/>
  <c r="AE710" i="2"/>
  <c r="AD710" i="2"/>
  <c r="AC710" i="2"/>
  <c r="AA710" i="2"/>
  <c r="Z710" i="2"/>
  <c r="Y710" i="2"/>
  <c r="X710" i="2"/>
  <c r="W710" i="2"/>
  <c r="V708" i="2"/>
  <c r="V694" i="2"/>
  <c r="DJ692" i="2"/>
  <c r="DI692" i="2"/>
  <c r="DH692" i="2"/>
  <c r="DG692" i="2"/>
  <c r="BE692" i="2"/>
  <c r="BD692" i="2"/>
  <c r="BC692" i="2"/>
  <c r="BB692" i="2"/>
  <c r="AZ692" i="2"/>
  <c r="AY692" i="2"/>
  <c r="AX692" i="2"/>
  <c r="AW692" i="2"/>
  <c r="AS692" i="2"/>
  <c r="AR692" i="2"/>
  <c r="AQ692" i="2"/>
  <c r="AP692" i="2"/>
  <c r="AO692" i="2"/>
  <c r="AN692" i="2"/>
  <c r="AM692" i="2"/>
  <c r="AL692" i="2"/>
  <c r="AK692" i="2"/>
  <c r="AG692" i="2"/>
  <c r="AF692" i="2"/>
  <c r="AE692" i="2"/>
  <c r="AD692" i="2"/>
  <c r="AC692" i="2"/>
  <c r="AA692" i="2"/>
  <c r="Z692" i="2"/>
  <c r="Y692" i="2"/>
  <c r="X692" i="2"/>
  <c r="W692" i="2"/>
  <c r="V690" i="2"/>
  <c r="E687" i="2"/>
  <c r="D687" i="2"/>
  <c r="DH677" i="2"/>
  <c r="H677" i="2"/>
  <c r="F677" i="2"/>
  <c r="DJ676" i="2"/>
  <c r="DI676" i="2"/>
  <c r="DH676" i="2"/>
  <c r="DG676" i="2"/>
  <c r="BE676" i="2"/>
  <c r="BD676" i="2"/>
  <c r="BC676" i="2"/>
  <c r="BB676" i="2"/>
  <c r="AZ676" i="2"/>
  <c r="AY676" i="2"/>
  <c r="AX676" i="2"/>
  <c r="AW676" i="2"/>
  <c r="AS676" i="2"/>
  <c r="AR676" i="2"/>
  <c r="AQ676" i="2"/>
  <c r="AP676" i="2"/>
  <c r="AO676" i="2"/>
  <c r="AN676" i="2"/>
  <c r="AM676" i="2"/>
  <c r="AL676" i="2"/>
  <c r="AK676" i="2"/>
  <c r="AG676" i="2"/>
  <c r="AF676" i="2"/>
  <c r="AE676" i="2"/>
  <c r="AD676" i="2"/>
  <c r="AC676" i="2"/>
  <c r="AA676" i="2"/>
  <c r="Z676" i="2"/>
  <c r="Y676" i="2"/>
  <c r="X676" i="2"/>
  <c r="W676" i="2"/>
  <c r="V674" i="2"/>
  <c r="E671" i="2"/>
  <c r="D671" i="2"/>
  <c r="E670" i="2"/>
  <c r="D670" i="2"/>
  <c r="DH660" i="2"/>
  <c r="H660" i="2"/>
  <c r="F660" i="2"/>
  <c r="DH659" i="2"/>
  <c r="DI659" i="2" s="1"/>
  <c r="H659" i="2"/>
  <c r="F659" i="2"/>
  <c r="DJ658" i="2"/>
  <c r="DI658" i="2"/>
  <c r="DH658" i="2"/>
  <c r="DG658" i="2"/>
  <c r="BE658" i="2"/>
  <c r="BD658" i="2"/>
  <c r="BC658" i="2"/>
  <c r="BB658" i="2"/>
  <c r="AZ658" i="2"/>
  <c r="AY658" i="2"/>
  <c r="AX658" i="2"/>
  <c r="AW658" i="2"/>
  <c r="AS658" i="2"/>
  <c r="AR658" i="2"/>
  <c r="AQ658" i="2"/>
  <c r="AP658" i="2"/>
  <c r="AO658" i="2"/>
  <c r="AN658" i="2"/>
  <c r="AM658" i="2"/>
  <c r="AL658" i="2"/>
  <c r="AK658" i="2"/>
  <c r="AG658" i="2"/>
  <c r="AF658" i="2"/>
  <c r="AE658" i="2"/>
  <c r="AD658" i="2"/>
  <c r="AC658" i="2"/>
  <c r="AA658" i="2"/>
  <c r="Z658" i="2"/>
  <c r="Y658" i="2"/>
  <c r="X658" i="2"/>
  <c r="W658" i="2"/>
  <c r="V656" i="2"/>
  <c r="E653" i="2"/>
  <c r="D653" i="2"/>
  <c r="E652" i="2"/>
  <c r="D652" i="2"/>
  <c r="DH642" i="2"/>
  <c r="H642" i="2"/>
  <c r="F642" i="2"/>
  <c r="DH641" i="2"/>
  <c r="H641" i="2"/>
  <c r="F641" i="2"/>
  <c r="DJ640" i="2"/>
  <c r="DI640" i="2"/>
  <c r="DH640" i="2"/>
  <c r="DG640" i="2"/>
  <c r="BE640" i="2"/>
  <c r="BD640" i="2"/>
  <c r="BC640" i="2"/>
  <c r="BB640" i="2"/>
  <c r="AZ640" i="2"/>
  <c r="AY640" i="2"/>
  <c r="AX640" i="2"/>
  <c r="AW640" i="2"/>
  <c r="AS640" i="2"/>
  <c r="AR640" i="2"/>
  <c r="AQ640" i="2"/>
  <c r="AP640" i="2"/>
  <c r="AO640" i="2"/>
  <c r="AN640" i="2"/>
  <c r="AM640" i="2"/>
  <c r="AL640" i="2"/>
  <c r="AK640" i="2"/>
  <c r="AG640" i="2"/>
  <c r="AF640" i="2"/>
  <c r="AE640" i="2"/>
  <c r="AD640" i="2"/>
  <c r="AC640" i="2"/>
  <c r="AA640" i="2"/>
  <c r="Z640" i="2"/>
  <c r="Y640" i="2"/>
  <c r="X640" i="2"/>
  <c r="W640" i="2"/>
  <c r="V638" i="2"/>
  <c r="M636" i="2"/>
  <c r="I636" i="2"/>
  <c r="E636" i="2"/>
  <c r="D636" i="2"/>
  <c r="M635" i="2"/>
  <c r="I635" i="2"/>
  <c r="E635" i="2"/>
  <c r="D635" i="2"/>
  <c r="N632" i="2"/>
  <c r="E632" i="2"/>
  <c r="D632" i="2"/>
  <c r="N631" i="2"/>
  <c r="E631" i="2"/>
  <c r="D631" i="2"/>
  <c r="DH619" i="2"/>
  <c r="H619" i="2"/>
  <c r="DH618" i="2"/>
  <c r="H618" i="2"/>
  <c r="DJ617" i="2"/>
  <c r="DI617" i="2"/>
  <c r="DH617" i="2"/>
  <c r="DG617" i="2"/>
  <c r="BE617" i="2"/>
  <c r="BD617" i="2"/>
  <c r="BC617" i="2"/>
  <c r="BB617" i="2"/>
  <c r="AZ617" i="2"/>
  <c r="AY617" i="2"/>
  <c r="AX617" i="2"/>
  <c r="AW617" i="2"/>
  <c r="AS617" i="2"/>
  <c r="AR617" i="2"/>
  <c r="AQ617" i="2"/>
  <c r="AP617" i="2"/>
  <c r="AO617" i="2"/>
  <c r="AN617" i="2"/>
  <c r="AM617" i="2"/>
  <c r="AL617" i="2"/>
  <c r="AK617" i="2"/>
  <c r="AG617" i="2"/>
  <c r="AF617" i="2"/>
  <c r="AE617" i="2"/>
  <c r="AD617" i="2"/>
  <c r="AC617" i="2"/>
  <c r="AA617" i="2"/>
  <c r="Z617" i="2"/>
  <c r="Y617" i="2"/>
  <c r="X617" i="2"/>
  <c r="W617" i="2"/>
  <c r="V615" i="2"/>
  <c r="E585" i="2"/>
  <c r="D585" i="2"/>
  <c r="DH575" i="2"/>
  <c r="AU575" i="2"/>
  <c r="V575" i="2"/>
  <c r="H575" i="2"/>
  <c r="F575" i="2"/>
  <c r="DJ574" i="2"/>
  <c r="DI574" i="2"/>
  <c r="DH574" i="2"/>
  <c r="DG574" i="2"/>
  <c r="BE574" i="2"/>
  <c r="BD574" i="2"/>
  <c r="BC574" i="2"/>
  <c r="BB574" i="2"/>
  <c r="AZ574" i="2"/>
  <c r="AY574" i="2"/>
  <c r="AX574" i="2"/>
  <c r="AW574" i="2"/>
  <c r="AS574" i="2"/>
  <c r="AR574" i="2"/>
  <c r="AQ574" i="2"/>
  <c r="AP574" i="2"/>
  <c r="AO574" i="2"/>
  <c r="AN574" i="2"/>
  <c r="AM574" i="2"/>
  <c r="AL574" i="2"/>
  <c r="AK574" i="2"/>
  <c r="AG574" i="2"/>
  <c r="AF574" i="2"/>
  <c r="AE574" i="2"/>
  <c r="AD574" i="2"/>
  <c r="AC574" i="2"/>
  <c r="AA574" i="2"/>
  <c r="Z574" i="2"/>
  <c r="Y574" i="2"/>
  <c r="X574" i="2"/>
  <c r="W574" i="2"/>
  <c r="E571" i="2"/>
  <c r="D571" i="2"/>
  <c r="E570" i="2"/>
  <c r="D570" i="2"/>
  <c r="E569" i="2"/>
  <c r="D569" i="2"/>
  <c r="E568" i="2"/>
  <c r="D568" i="2"/>
  <c r="E567" i="2"/>
  <c r="D567" i="2"/>
  <c r="E566" i="2"/>
  <c r="D566" i="2"/>
  <c r="E565" i="2"/>
  <c r="D565" i="2"/>
  <c r="DH555" i="2"/>
  <c r="H555" i="2"/>
  <c r="F555" i="2"/>
  <c r="DH554" i="2"/>
  <c r="H554" i="2"/>
  <c r="F554" i="2"/>
  <c r="DH553" i="2"/>
  <c r="H553" i="2"/>
  <c r="F553" i="2"/>
  <c r="DH552" i="2"/>
  <c r="H552" i="2"/>
  <c r="F552" i="2"/>
  <c r="DH551" i="2"/>
  <c r="H551" i="2"/>
  <c r="F551" i="2"/>
  <c r="DH550" i="2"/>
  <c r="H550" i="2"/>
  <c r="F550" i="2"/>
  <c r="DH549" i="2"/>
  <c r="H549" i="2"/>
  <c r="F549" i="2"/>
  <c r="DJ548" i="2"/>
  <c r="DI548" i="2"/>
  <c r="DH548" i="2"/>
  <c r="DG548" i="2"/>
  <c r="BE548" i="2"/>
  <c r="BD548" i="2"/>
  <c r="BC548" i="2"/>
  <c r="BB548" i="2"/>
  <c r="AZ548" i="2"/>
  <c r="AY548" i="2"/>
  <c r="AX548" i="2"/>
  <c r="AW548" i="2"/>
  <c r="AS548" i="2"/>
  <c r="AR548" i="2"/>
  <c r="AQ548" i="2"/>
  <c r="AP548" i="2"/>
  <c r="AO548" i="2"/>
  <c r="AN548" i="2"/>
  <c r="AM548" i="2"/>
  <c r="AL548" i="2"/>
  <c r="AK548" i="2"/>
  <c r="AG548" i="2"/>
  <c r="AF548" i="2"/>
  <c r="AE548" i="2"/>
  <c r="AD548" i="2"/>
  <c r="AC548" i="2"/>
  <c r="AA548" i="2"/>
  <c r="Z548" i="2"/>
  <c r="Y548" i="2"/>
  <c r="X548" i="2"/>
  <c r="W548" i="2"/>
  <c r="E545" i="2"/>
  <c r="D545" i="2"/>
  <c r="E544" i="2"/>
  <c r="D544" i="2"/>
  <c r="E543" i="2"/>
  <c r="D543" i="2"/>
  <c r="E542" i="2"/>
  <c r="D542" i="2"/>
  <c r="E541" i="2"/>
  <c r="D541" i="2"/>
  <c r="E540" i="2"/>
  <c r="D540" i="2"/>
  <c r="E539" i="2"/>
  <c r="D539" i="2"/>
  <c r="DH529" i="2"/>
  <c r="H529" i="2"/>
  <c r="F529" i="2"/>
  <c r="DH528" i="2"/>
  <c r="H528" i="2"/>
  <c r="F528" i="2"/>
  <c r="DH527" i="2"/>
  <c r="H527" i="2"/>
  <c r="F527" i="2"/>
  <c r="DH526" i="2"/>
  <c r="H526" i="2"/>
  <c r="F526" i="2"/>
  <c r="DH525" i="2"/>
  <c r="H525" i="2"/>
  <c r="F525" i="2"/>
  <c r="DH524" i="2"/>
  <c r="H524" i="2"/>
  <c r="F524" i="2"/>
  <c r="DH523" i="2"/>
  <c r="H523" i="2"/>
  <c r="F523" i="2"/>
  <c r="DJ522" i="2"/>
  <c r="DI522" i="2"/>
  <c r="DH522" i="2"/>
  <c r="DG522" i="2"/>
  <c r="BE522" i="2"/>
  <c r="BD522" i="2"/>
  <c r="BC522" i="2"/>
  <c r="BB522" i="2"/>
  <c r="AZ522" i="2"/>
  <c r="AY522" i="2"/>
  <c r="AX522" i="2"/>
  <c r="AW522" i="2"/>
  <c r="AS522" i="2"/>
  <c r="AR522" i="2"/>
  <c r="AQ522" i="2"/>
  <c r="AP522" i="2"/>
  <c r="AO522" i="2"/>
  <c r="AN522" i="2"/>
  <c r="AM522" i="2"/>
  <c r="AL522" i="2"/>
  <c r="AK522" i="2"/>
  <c r="AG522" i="2"/>
  <c r="AF522" i="2"/>
  <c r="AE522" i="2"/>
  <c r="AD522" i="2"/>
  <c r="AC522" i="2"/>
  <c r="AA522" i="2"/>
  <c r="Z522" i="2"/>
  <c r="Y522" i="2"/>
  <c r="X522" i="2"/>
  <c r="W522" i="2"/>
  <c r="V520" i="2"/>
  <c r="E517" i="2"/>
  <c r="D517" i="2"/>
  <c r="E516" i="2"/>
  <c r="D516" i="2"/>
  <c r="E515" i="2"/>
  <c r="D515" i="2"/>
  <c r="E514" i="2"/>
  <c r="D514" i="2"/>
  <c r="E513" i="2"/>
  <c r="D513" i="2"/>
  <c r="DH503" i="2"/>
  <c r="H503" i="2"/>
  <c r="F503" i="2"/>
  <c r="DH502" i="2"/>
  <c r="H502" i="2"/>
  <c r="F502" i="2"/>
  <c r="DH501" i="2"/>
  <c r="DI501" i="2" s="1"/>
  <c r="H501" i="2"/>
  <c r="F501" i="2"/>
  <c r="DH500" i="2"/>
  <c r="H500" i="2"/>
  <c r="F500" i="2"/>
  <c r="DH499" i="2"/>
  <c r="H499" i="2"/>
  <c r="F499" i="2"/>
  <c r="DJ498" i="2"/>
  <c r="DI498" i="2"/>
  <c r="DH498" i="2"/>
  <c r="DG498" i="2"/>
  <c r="BE498" i="2"/>
  <c r="BD498" i="2"/>
  <c r="BC498" i="2"/>
  <c r="BB498" i="2"/>
  <c r="AZ498" i="2"/>
  <c r="AY498" i="2"/>
  <c r="AX498" i="2"/>
  <c r="AW498" i="2"/>
  <c r="AS498" i="2"/>
  <c r="AR498" i="2"/>
  <c r="AQ498" i="2"/>
  <c r="AP498" i="2"/>
  <c r="AO498" i="2"/>
  <c r="AN498" i="2"/>
  <c r="AM498" i="2"/>
  <c r="AL498" i="2"/>
  <c r="AK498" i="2"/>
  <c r="AG498" i="2"/>
  <c r="AF498" i="2"/>
  <c r="AE498" i="2"/>
  <c r="AD498" i="2"/>
  <c r="AC498" i="2"/>
  <c r="AA498" i="2"/>
  <c r="Z498" i="2"/>
  <c r="Y498" i="2"/>
  <c r="X498" i="2"/>
  <c r="W498" i="2"/>
  <c r="E495" i="2"/>
  <c r="D495" i="2"/>
  <c r="E494" i="2"/>
  <c r="D494" i="2"/>
  <c r="E493" i="2"/>
  <c r="D493" i="2"/>
  <c r="E492" i="2"/>
  <c r="D492" i="2"/>
  <c r="DH482" i="2"/>
  <c r="DI482" i="2" s="1"/>
  <c r="H482" i="2"/>
  <c r="F482" i="2"/>
  <c r="DH481" i="2"/>
  <c r="H481" i="2"/>
  <c r="F481" i="2"/>
  <c r="DH480" i="2"/>
  <c r="H480" i="2"/>
  <c r="F480" i="2"/>
  <c r="DH479" i="2"/>
  <c r="H479" i="2"/>
  <c r="F479" i="2"/>
  <c r="DJ478" i="2"/>
  <c r="DI478" i="2"/>
  <c r="DH478" i="2"/>
  <c r="DG478" i="2"/>
  <c r="BE478" i="2"/>
  <c r="BD478" i="2"/>
  <c r="BC478" i="2"/>
  <c r="BB478" i="2"/>
  <c r="AZ478" i="2"/>
  <c r="AY478" i="2"/>
  <c r="AX478" i="2"/>
  <c r="AW478" i="2"/>
  <c r="AS478" i="2"/>
  <c r="AR478" i="2"/>
  <c r="AQ478" i="2"/>
  <c r="AP478" i="2"/>
  <c r="AO478" i="2"/>
  <c r="AN478" i="2"/>
  <c r="AM478" i="2"/>
  <c r="AL478" i="2"/>
  <c r="AK478" i="2"/>
  <c r="AG478" i="2"/>
  <c r="AF478" i="2"/>
  <c r="AE478" i="2"/>
  <c r="AD478" i="2"/>
  <c r="AC478" i="2"/>
  <c r="AA478" i="2"/>
  <c r="Z478" i="2"/>
  <c r="Y478" i="2"/>
  <c r="X478" i="2"/>
  <c r="W478" i="2"/>
  <c r="V476" i="2"/>
  <c r="G455" i="2"/>
  <c r="F444" i="2" s="1"/>
  <c r="E455" i="2"/>
  <c r="D455" i="2"/>
  <c r="DH444" i="2"/>
  <c r="AU444" i="2"/>
  <c r="AU445" i="2" s="1"/>
  <c r="V444" i="2"/>
  <c r="V445" i="2" s="1"/>
  <c r="H444" i="2"/>
  <c r="DJ443" i="2"/>
  <c r="DI443" i="2"/>
  <c r="DH443" i="2"/>
  <c r="DG443" i="2"/>
  <c r="BE443" i="2"/>
  <c r="BD443" i="2"/>
  <c r="BC443" i="2"/>
  <c r="BB443" i="2"/>
  <c r="AZ443" i="2"/>
  <c r="AY443" i="2"/>
  <c r="AX443" i="2"/>
  <c r="AW443" i="2"/>
  <c r="AS443" i="2"/>
  <c r="AR443" i="2"/>
  <c r="AQ443" i="2"/>
  <c r="AP443" i="2"/>
  <c r="AO443" i="2"/>
  <c r="AN443" i="2"/>
  <c r="AM443" i="2"/>
  <c r="AL443" i="2"/>
  <c r="AK443" i="2"/>
  <c r="AG443" i="2"/>
  <c r="AF443" i="2"/>
  <c r="AE443" i="2"/>
  <c r="AD443" i="2"/>
  <c r="AC443" i="2"/>
  <c r="AA443" i="2"/>
  <c r="Z443" i="2"/>
  <c r="Y443" i="2"/>
  <c r="X443" i="2"/>
  <c r="W443" i="2"/>
  <c r="E440" i="2"/>
  <c r="D440" i="2"/>
  <c r="E439" i="2"/>
  <c r="D439" i="2"/>
  <c r="E438" i="2"/>
  <c r="D438" i="2"/>
  <c r="E437" i="2"/>
  <c r="D437" i="2"/>
  <c r="E436" i="2"/>
  <c r="D436" i="2"/>
  <c r="E435" i="2"/>
  <c r="D435" i="2"/>
  <c r="DH424" i="2"/>
  <c r="L736" i="15"/>
  <c r="F424" i="2"/>
  <c r="DH423" i="2"/>
  <c r="DI423" i="2" s="1"/>
  <c r="L735" i="15"/>
  <c r="K735" i="15"/>
  <c r="AN735" i="15" s="1"/>
  <c r="L734" i="15"/>
  <c r="K734" i="15"/>
  <c r="AN734" i="15" s="1"/>
  <c r="AE733" i="15"/>
  <c r="AC733" i="15" s="1"/>
  <c r="L733" i="15"/>
  <c r="K733" i="15"/>
  <c r="AN733" i="15" s="1"/>
  <c r="L732" i="15"/>
  <c r="K732" i="15"/>
  <c r="AN732" i="15" s="1"/>
  <c r="BT423" i="2"/>
  <c r="BT424" i="2" s="1"/>
  <c r="AU423" i="2"/>
  <c r="AU424" i="2" s="1"/>
  <c r="AI423" i="2"/>
  <c r="AI424" i="2" s="1"/>
  <c r="V423" i="2"/>
  <c r="L731" i="15"/>
  <c r="K731" i="15"/>
  <c r="AN731" i="15" s="1"/>
  <c r="E415" i="2"/>
  <c r="D415" i="2"/>
  <c r="E414" i="2"/>
  <c r="D414" i="2"/>
  <c r="E413" i="2"/>
  <c r="D413" i="2"/>
  <c r="E412" i="2"/>
  <c r="D412" i="2"/>
  <c r="E411" i="2"/>
  <c r="D411" i="2"/>
  <c r="DH401" i="2"/>
  <c r="H401" i="2"/>
  <c r="K730" i="15"/>
  <c r="I730" i="15" s="1"/>
  <c r="AN730" i="15" s="1"/>
  <c r="DH400" i="2"/>
  <c r="H400" i="2"/>
  <c r="F400" i="2"/>
  <c r="DH399" i="2"/>
  <c r="H399" i="2"/>
  <c r="F399" i="2"/>
  <c r="DH398" i="2"/>
  <c r="H398" i="2"/>
  <c r="F398" i="2"/>
  <c r="DH397" i="2"/>
  <c r="V397" i="2"/>
  <c r="V398" i="2" s="1"/>
  <c r="V399" i="2" s="1"/>
  <c r="V400" i="2" s="1"/>
  <c r="V401" i="2" s="1"/>
  <c r="H397" i="2"/>
  <c r="F397" i="2"/>
  <c r="DJ396" i="2"/>
  <c r="DI396" i="2"/>
  <c r="DH396" i="2"/>
  <c r="DG396" i="2"/>
  <c r="BE396" i="2"/>
  <c r="BD396" i="2"/>
  <c r="BC396" i="2"/>
  <c r="BB396" i="2"/>
  <c r="AZ396" i="2"/>
  <c r="AY396" i="2"/>
  <c r="AX396" i="2"/>
  <c r="AW396" i="2"/>
  <c r="AS396" i="2"/>
  <c r="AR396" i="2"/>
  <c r="AQ396" i="2"/>
  <c r="AP396" i="2"/>
  <c r="AN396" i="2"/>
  <c r="AM396" i="2"/>
  <c r="AL396" i="2"/>
  <c r="AK396" i="2"/>
  <c r="AG396" i="2"/>
  <c r="AF396" i="2"/>
  <c r="AE396" i="2"/>
  <c r="AD396" i="2"/>
  <c r="AC396" i="2"/>
  <c r="AA396" i="2"/>
  <c r="Z396" i="2"/>
  <c r="Y396" i="2"/>
  <c r="X396" i="2"/>
  <c r="W396" i="2"/>
  <c r="E393" i="2"/>
  <c r="D393" i="2"/>
  <c r="AU367" i="2"/>
  <c r="V367" i="2"/>
  <c r="H367" i="2"/>
  <c r="F367" i="2"/>
  <c r="DI367" i="2" s="1"/>
  <c r="BE366" i="2"/>
  <c r="BD366" i="2"/>
  <c r="BC366" i="2"/>
  <c r="BB366" i="2"/>
  <c r="AZ366" i="2"/>
  <c r="AY366" i="2"/>
  <c r="AX366" i="2"/>
  <c r="AW366" i="2"/>
  <c r="AS366" i="2"/>
  <c r="AR366" i="2"/>
  <c r="AQ366" i="2"/>
  <c r="AP366" i="2"/>
  <c r="AO366" i="2"/>
  <c r="AN366" i="2"/>
  <c r="AM366" i="2"/>
  <c r="AL366" i="2"/>
  <c r="AK366" i="2"/>
  <c r="AG366" i="2"/>
  <c r="AF366" i="2"/>
  <c r="AE366" i="2"/>
  <c r="AD366" i="2"/>
  <c r="AC366" i="2"/>
  <c r="AA366" i="2"/>
  <c r="Z366" i="2"/>
  <c r="Y366" i="2"/>
  <c r="X366" i="2"/>
  <c r="W366" i="2"/>
  <c r="E361" i="2"/>
  <c r="D361" i="2"/>
  <c r="E360" i="2"/>
  <c r="D360" i="2"/>
  <c r="DH348" i="2"/>
  <c r="AW348" i="2"/>
  <c r="AV348" i="2"/>
  <c r="K348" i="2"/>
  <c r="DJ348" i="2" s="1"/>
  <c r="H348" i="2"/>
  <c r="F348" i="2"/>
  <c r="DH347" i="2"/>
  <c r="AU347" i="2"/>
  <c r="AU348" i="2" s="1"/>
  <c r="AU349" i="2" s="1"/>
  <c r="AU350" i="2" s="1"/>
  <c r="V347" i="2"/>
  <c r="V348" i="2" s="1"/>
  <c r="V349" i="2" s="1"/>
  <c r="V350" i="2" s="1"/>
  <c r="H347" i="2"/>
  <c r="F347" i="2"/>
  <c r="DJ346" i="2"/>
  <c r="DI346" i="2"/>
  <c r="DH346" i="2"/>
  <c r="DG346" i="2"/>
  <c r="BE346" i="2"/>
  <c r="BD346" i="2"/>
  <c r="BC346" i="2"/>
  <c r="BB346" i="2"/>
  <c r="AZ346" i="2"/>
  <c r="AY346" i="2"/>
  <c r="AX346" i="2"/>
  <c r="AW346" i="2"/>
  <c r="AS346" i="2"/>
  <c r="AR346" i="2"/>
  <c r="AQ346" i="2"/>
  <c r="AP346" i="2"/>
  <c r="AO346" i="2"/>
  <c r="AN346" i="2"/>
  <c r="AM346" i="2"/>
  <c r="AL346" i="2"/>
  <c r="AK346" i="2"/>
  <c r="AG346" i="2"/>
  <c r="AF346" i="2"/>
  <c r="AE346" i="2"/>
  <c r="AD346" i="2"/>
  <c r="AC346" i="2"/>
  <c r="AA346" i="2"/>
  <c r="Z346" i="2"/>
  <c r="Y346" i="2"/>
  <c r="X346" i="2"/>
  <c r="W346" i="2"/>
  <c r="E343" i="2"/>
  <c r="D343" i="2"/>
  <c r="DH333" i="2"/>
  <c r="BT333" i="2"/>
  <c r="AU333" i="2"/>
  <c r="AI333" i="2"/>
  <c r="V333" i="2"/>
  <c r="G333" i="2"/>
  <c r="F333" i="2"/>
  <c r="DJ332" i="2"/>
  <c r="DI332" i="2"/>
  <c r="DH332" i="2"/>
  <c r="DG332" i="2"/>
  <c r="CD332" i="2"/>
  <c r="CC332" i="2"/>
  <c r="CB332" i="2"/>
  <c r="CA332" i="2"/>
  <c r="BZ332" i="2"/>
  <c r="BW332" i="2"/>
  <c r="BV332" i="2"/>
  <c r="BQ332" i="2"/>
  <c r="BP332" i="2"/>
  <c r="BO332" i="2"/>
  <c r="BN332" i="2"/>
  <c r="BL332" i="2"/>
  <c r="BK332" i="2"/>
  <c r="BJ332" i="2"/>
  <c r="BI332" i="2"/>
  <c r="BE332" i="2"/>
  <c r="BD332" i="2"/>
  <c r="BC332" i="2"/>
  <c r="BB332" i="2"/>
  <c r="AZ332" i="2"/>
  <c r="AY332" i="2"/>
  <c r="AX332" i="2"/>
  <c r="AW332" i="2"/>
  <c r="AS332" i="2"/>
  <c r="AR332" i="2"/>
  <c r="AQ332" i="2"/>
  <c r="AP332" i="2"/>
  <c r="AO332" i="2"/>
  <c r="AN332" i="2"/>
  <c r="AM332" i="2"/>
  <c r="AL332" i="2"/>
  <c r="AK332" i="2"/>
  <c r="AG332" i="2"/>
  <c r="AF332" i="2"/>
  <c r="AE332" i="2"/>
  <c r="AD332" i="2"/>
  <c r="AC332" i="2"/>
  <c r="AA332" i="2"/>
  <c r="Z332" i="2"/>
  <c r="Y332" i="2"/>
  <c r="X332" i="2"/>
  <c r="W332" i="2"/>
  <c r="V330" i="2"/>
  <c r="I327" i="2"/>
  <c r="H327" i="2"/>
  <c r="E327" i="2"/>
  <c r="D327" i="2"/>
  <c r="I326" i="2"/>
  <c r="H326" i="2"/>
  <c r="E326" i="2"/>
  <c r="D326" i="2"/>
  <c r="I325" i="2"/>
  <c r="H325" i="2"/>
  <c r="E325" i="2"/>
  <c r="D325" i="2"/>
  <c r="DH315" i="2"/>
  <c r="H315" i="2"/>
  <c r="DH314" i="2"/>
  <c r="H314" i="2"/>
  <c r="DH313" i="2"/>
  <c r="H313" i="2"/>
  <c r="DJ312" i="2"/>
  <c r="DI312" i="2"/>
  <c r="DH312" i="2"/>
  <c r="DG312" i="2"/>
  <c r="BE312" i="2"/>
  <c r="BD312" i="2"/>
  <c r="BC312" i="2"/>
  <c r="BB312" i="2"/>
  <c r="AZ312" i="2"/>
  <c r="AY312" i="2"/>
  <c r="AX312" i="2"/>
  <c r="AW312" i="2"/>
  <c r="AS312" i="2"/>
  <c r="AR312" i="2"/>
  <c r="AQ312" i="2"/>
  <c r="AP312" i="2"/>
  <c r="AO312" i="2"/>
  <c r="AN312" i="2"/>
  <c r="AM312" i="2"/>
  <c r="AL312" i="2"/>
  <c r="AK312" i="2"/>
  <c r="AG312" i="2"/>
  <c r="AF312" i="2"/>
  <c r="AE312" i="2"/>
  <c r="AD312" i="2"/>
  <c r="AC312" i="2"/>
  <c r="AA312" i="2"/>
  <c r="Z312" i="2"/>
  <c r="Y312" i="2"/>
  <c r="X312" i="2"/>
  <c r="W312" i="2"/>
  <c r="V310" i="2"/>
  <c r="G307" i="2"/>
  <c r="F307" i="2"/>
  <c r="E307" i="2"/>
  <c r="D307" i="2"/>
  <c r="G306" i="2"/>
  <c r="F306" i="2"/>
  <c r="E306" i="2"/>
  <c r="D306" i="2"/>
  <c r="G305" i="2"/>
  <c r="F305" i="2"/>
  <c r="E305" i="2"/>
  <c r="D305" i="2"/>
  <c r="G304" i="2"/>
  <c r="F304" i="2"/>
  <c r="E304" i="2"/>
  <c r="D304" i="2"/>
  <c r="DH294" i="2"/>
  <c r="H294" i="2"/>
  <c r="DH293" i="2"/>
  <c r="H293" i="2"/>
  <c r="DH292" i="2"/>
  <c r="H292" i="2"/>
  <c r="DH291" i="2"/>
  <c r="H291" i="2"/>
  <c r="DJ290" i="2"/>
  <c r="DI290" i="2"/>
  <c r="DH290" i="2"/>
  <c r="DG290" i="2"/>
  <c r="BE290" i="2"/>
  <c r="BD290" i="2"/>
  <c r="BC290" i="2"/>
  <c r="BB290" i="2"/>
  <c r="AZ290" i="2"/>
  <c r="AY290" i="2"/>
  <c r="AX290" i="2"/>
  <c r="AW290" i="2"/>
  <c r="AS290" i="2"/>
  <c r="AR290" i="2"/>
  <c r="AQ290" i="2"/>
  <c r="AP290" i="2"/>
  <c r="AO290" i="2"/>
  <c r="AN290" i="2"/>
  <c r="AM290" i="2"/>
  <c r="AL290" i="2"/>
  <c r="AK290" i="2"/>
  <c r="AG290" i="2"/>
  <c r="AF290" i="2"/>
  <c r="AE290" i="2"/>
  <c r="AD290" i="2"/>
  <c r="AC290" i="2"/>
  <c r="AA290" i="2"/>
  <c r="Z290" i="2"/>
  <c r="Y290" i="2"/>
  <c r="X290" i="2"/>
  <c r="W290" i="2"/>
  <c r="V288" i="2"/>
  <c r="E285" i="2"/>
  <c r="D285" i="2"/>
  <c r="DH275" i="2"/>
  <c r="H275" i="2"/>
  <c r="F275" i="2"/>
  <c r="DJ274" i="2"/>
  <c r="DI274" i="2"/>
  <c r="DH274" i="2"/>
  <c r="DG274" i="2"/>
  <c r="BE274" i="2"/>
  <c r="BD274" i="2"/>
  <c r="BC274" i="2"/>
  <c r="BB274" i="2"/>
  <c r="AZ274" i="2"/>
  <c r="AY274" i="2"/>
  <c r="AX274" i="2"/>
  <c r="AW274" i="2"/>
  <c r="AS274" i="2"/>
  <c r="AR274" i="2"/>
  <c r="AQ274" i="2"/>
  <c r="AP274" i="2"/>
  <c r="AO274" i="2"/>
  <c r="AN274" i="2"/>
  <c r="AM274" i="2"/>
  <c r="AL274" i="2"/>
  <c r="AK274" i="2"/>
  <c r="AG274" i="2"/>
  <c r="AF274" i="2"/>
  <c r="AE274" i="2"/>
  <c r="AD274" i="2"/>
  <c r="AC274" i="2"/>
  <c r="AA274" i="2"/>
  <c r="Z274" i="2"/>
  <c r="Y274" i="2"/>
  <c r="X274" i="2"/>
  <c r="W274" i="2"/>
  <c r="E271" i="2"/>
  <c r="D271" i="2"/>
  <c r="DH261" i="2"/>
  <c r="K261" i="2"/>
  <c r="DJ261" i="2" s="1"/>
  <c r="H261" i="2"/>
  <c r="F261" i="2"/>
  <c r="DJ260" i="2"/>
  <c r="DI260" i="2"/>
  <c r="DH260" i="2"/>
  <c r="DG260" i="2"/>
  <c r="BE260" i="2"/>
  <c r="BD260" i="2"/>
  <c r="BC260" i="2"/>
  <c r="BB260" i="2"/>
  <c r="AZ260" i="2"/>
  <c r="AY260" i="2"/>
  <c r="AX260" i="2"/>
  <c r="AW260" i="2"/>
  <c r="AS260" i="2"/>
  <c r="AR260" i="2"/>
  <c r="AQ260" i="2"/>
  <c r="AP260" i="2"/>
  <c r="AO260" i="2"/>
  <c r="AN260" i="2"/>
  <c r="AM260" i="2"/>
  <c r="AL260" i="2"/>
  <c r="AK260" i="2"/>
  <c r="AG260" i="2"/>
  <c r="AF260" i="2"/>
  <c r="AE260" i="2"/>
  <c r="AD260" i="2"/>
  <c r="AC260" i="2"/>
  <c r="AA260" i="2"/>
  <c r="Z260" i="2"/>
  <c r="Y260" i="2"/>
  <c r="X260" i="2"/>
  <c r="W260" i="2"/>
  <c r="V258" i="2"/>
  <c r="F255" i="2"/>
  <c r="F244" i="2" s="1"/>
  <c r="E255" i="2"/>
  <c r="D255" i="2"/>
  <c r="F254" i="2"/>
  <c r="F243" i="2" s="1"/>
  <c r="E254" i="2"/>
  <c r="D254" i="2"/>
  <c r="DH244" i="2"/>
  <c r="H244" i="2"/>
  <c r="DH243" i="2"/>
  <c r="DI243" i="2" s="1"/>
  <c r="AU243" i="2"/>
  <c r="AU244" i="2" s="1"/>
  <c r="H243" i="2"/>
  <c r="DJ242" i="2"/>
  <c r="DI242" i="2"/>
  <c r="DH242" i="2"/>
  <c r="DG242" i="2"/>
  <c r="BE242" i="2"/>
  <c r="BD242" i="2"/>
  <c r="BC242" i="2"/>
  <c r="BB242" i="2"/>
  <c r="AZ242" i="2"/>
  <c r="AY242" i="2"/>
  <c r="AX242" i="2"/>
  <c r="AW242" i="2"/>
  <c r="AS242" i="2"/>
  <c r="AR242" i="2"/>
  <c r="AQ242" i="2"/>
  <c r="AP242" i="2"/>
  <c r="AO242" i="2"/>
  <c r="AN242" i="2"/>
  <c r="AM242" i="2"/>
  <c r="AL242" i="2"/>
  <c r="AK242" i="2"/>
  <c r="AG242" i="2"/>
  <c r="AF242" i="2"/>
  <c r="AE242" i="2"/>
  <c r="AD242" i="2"/>
  <c r="AC242" i="2"/>
  <c r="AA242" i="2"/>
  <c r="Z242" i="2"/>
  <c r="Y242" i="2"/>
  <c r="X242" i="2"/>
  <c r="W242" i="2"/>
  <c r="V240" i="2"/>
  <c r="H237" i="2"/>
  <c r="N237" i="2" s="1"/>
  <c r="E237" i="2"/>
  <c r="D237" i="2"/>
  <c r="H236" i="2"/>
  <c r="N236" i="2" s="1"/>
  <c r="E236" i="2"/>
  <c r="D236" i="2"/>
  <c r="H235" i="2"/>
  <c r="N235" i="2" s="1"/>
  <c r="E235" i="2"/>
  <c r="D235" i="2"/>
  <c r="H234" i="2"/>
  <c r="N234" i="2" s="1"/>
  <c r="E234" i="2"/>
  <c r="D234" i="2"/>
  <c r="H233" i="2"/>
  <c r="N233" i="2" s="1"/>
  <c r="F233" i="2"/>
  <c r="E233" i="2"/>
  <c r="D233" i="2"/>
  <c r="DH223" i="2"/>
  <c r="H223" i="2"/>
  <c r="DH222" i="2"/>
  <c r="H222" i="2"/>
  <c r="DH221" i="2"/>
  <c r="H221" i="2"/>
  <c r="DH220" i="2"/>
  <c r="H220" i="2"/>
  <c r="DH219" i="2"/>
  <c r="H219" i="2"/>
  <c r="DJ218" i="2"/>
  <c r="DI218" i="2"/>
  <c r="DH218" i="2"/>
  <c r="DG218" i="2"/>
  <c r="BE218" i="2"/>
  <c r="BD218" i="2"/>
  <c r="BC218" i="2"/>
  <c r="BB218" i="2"/>
  <c r="AZ218" i="2"/>
  <c r="AY218" i="2"/>
  <c r="AX218" i="2"/>
  <c r="AW218" i="2"/>
  <c r="AS218" i="2"/>
  <c r="AR218" i="2"/>
  <c r="AQ218" i="2"/>
  <c r="AP218" i="2"/>
  <c r="AO218" i="2"/>
  <c r="AN218" i="2"/>
  <c r="AM218" i="2"/>
  <c r="AL218" i="2"/>
  <c r="AK218" i="2"/>
  <c r="AG218" i="2"/>
  <c r="AF218" i="2"/>
  <c r="AE218" i="2"/>
  <c r="AD218" i="2"/>
  <c r="AC218" i="2"/>
  <c r="AA218" i="2"/>
  <c r="Z218" i="2"/>
  <c r="Y218" i="2"/>
  <c r="X218" i="2"/>
  <c r="W218" i="2"/>
  <c r="V216" i="2"/>
  <c r="E213" i="2"/>
  <c r="E212" i="2"/>
  <c r="DH200" i="2"/>
  <c r="H200" i="2"/>
  <c r="F200" i="2"/>
  <c r="DH199" i="2"/>
  <c r="DI199" i="2" s="1"/>
  <c r="AU199" i="2"/>
  <c r="AU200" i="2" s="1"/>
  <c r="V199" i="2"/>
  <c r="V200" i="2" s="1"/>
  <c r="H199" i="2"/>
  <c r="F199" i="2"/>
  <c r="DJ198" i="2"/>
  <c r="DI198" i="2"/>
  <c r="DH198" i="2"/>
  <c r="DG198" i="2"/>
  <c r="BE198" i="2"/>
  <c r="BD198" i="2"/>
  <c r="BC198" i="2"/>
  <c r="BB198" i="2"/>
  <c r="AZ198" i="2"/>
  <c r="AY198" i="2"/>
  <c r="AX198" i="2"/>
  <c r="AW198" i="2"/>
  <c r="AS198" i="2"/>
  <c r="AR198" i="2"/>
  <c r="AQ198" i="2"/>
  <c r="AP198" i="2"/>
  <c r="AO198" i="2"/>
  <c r="AN198" i="2"/>
  <c r="AM198" i="2"/>
  <c r="AL198" i="2"/>
  <c r="AK198" i="2"/>
  <c r="AG198" i="2"/>
  <c r="AF198" i="2"/>
  <c r="AE198" i="2"/>
  <c r="AD198" i="2"/>
  <c r="AC198" i="2"/>
  <c r="AA198" i="2"/>
  <c r="Z198" i="2"/>
  <c r="Y198" i="2"/>
  <c r="X198" i="2"/>
  <c r="W198" i="2"/>
  <c r="V196" i="2"/>
  <c r="DH171" i="2"/>
  <c r="H171" i="2"/>
  <c r="F171" i="2"/>
  <c r="DH170" i="2"/>
  <c r="DI170" i="2" s="1"/>
  <c r="H170" i="2"/>
  <c r="F170" i="2"/>
  <c r="DH169" i="2"/>
  <c r="H169" i="2"/>
  <c r="F169" i="2"/>
  <c r="DH168" i="2"/>
  <c r="H168" i="2"/>
  <c r="F168" i="2"/>
  <c r="DH167" i="2"/>
  <c r="H167" i="2"/>
  <c r="F167" i="2"/>
  <c r="DH166" i="2"/>
  <c r="H166" i="2"/>
  <c r="F166" i="2"/>
  <c r="DH165" i="2"/>
  <c r="H165" i="2"/>
  <c r="F165" i="2"/>
  <c r="DH164" i="2"/>
  <c r="H164" i="2"/>
  <c r="F164" i="2"/>
  <c r="DH163" i="2"/>
  <c r="H163" i="2"/>
  <c r="F163" i="2"/>
  <c r="DH162" i="2"/>
  <c r="DI162" i="2" s="1"/>
  <c r="H162" i="2"/>
  <c r="F162" i="2"/>
  <c r="J161" i="2"/>
  <c r="H161" i="2"/>
  <c r="F161" i="2"/>
  <c r="J160" i="2"/>
  <c r="H160" i="2"/>
  <c r="F160" i="2"/>
  <c r="J159" i="2"/>
  <c r="H159" i="2"/>
  <c r="F159" i="2"/>
  <c r="J158" i="2"/>
  <c r="H158" i="2"/>
  <c r="F158" i="2"/>
  <c r="J157" i="2"/>
  <c r="H157" i="2"/>
  <c r="F157" i="2"/>
  <c r="J156" i="2"/>
  <c r="H156" i="2"/>
  <c r="F156" i="2"/>
  <c r="J155" i="2"/>
  <c r="H155" i="2"/>
  <c r="F155" i="2"/>
  <c r="DH154" i="2"/>
  <c r="DI154" i="2" s="1"/>
  <c r="H154" i="2"/>
  <c r="F154" i="2"/>
  <c r="DJ153" i="2"/>
  <c r="DI153" i="2"/>
  <c r="DH153" i="2"/>
  <c r="DG153" i="2"/>
  <c r="BE153" i="2"/>
  <c r="BD153" i="2"/>
  <c r="BC153" i="2"/>
  <c r="BB153" i="2"/>
  <c r="AZ153" i="2"/>
  <c r="AY153" i="2"/>
  <c r="AX153" i="2"/>
  <c r="AW153" i="2"/>
  <c r="AS153" i="2"/>
  <c r="AR153" i="2"/>
  <c r="AQ153" i="2"/>
  <c r="AP153" i="2"/>
  <c r="AO153" i="2"/>
  <c r="AN153" i="2"/>
  <c r="AM153" i="2"/>
  <c r="AL153" i="2"/>
  <c r="AK153" i="2"/>
  <c r="AG153" i="2"/>
  <c r="AF153" i="2"/>
  <c r="AE153" i="2"/>
  <c r="AD153" i="2"/>
  <c r="AC153" i="2"/>
  <c r="AA153" i="2"/>
  <c r="Z153" i="2"/>
  <c r="Y153" i="2"/>
  <c r="X153" i="2"/>
  <c r="W153" i="2"/>
  <c r="V151" i="2"/>
  <c r="BQ110" i="2"/>
  <c r="BP110" i="2"/>
  <c r="BO110" i="2"/>
  <c r="BN110" i="2"/>
  <c r="BL110" i="2"/>
  <c r="BK110" i="2"/>
  <c r="BJ110" i="2"/>
  <c r="BI110" i="2"/>
  <c r="BH110" i="2"/>
  <c r="BE110" i="2"/>
  <c r="BD110" i="2"/>
  <c r="BC110" i="2"/>
  <c r="BB110" i="2"/>
  <c r="AZ110" i="2"/>
  <c r="AY110" i="2"/>
  <c r="AX110" i="2"/>
  <c r="AW110" i="2"/>
  <c r="AV110" i="2"/>
  <c r="AS110" i="2"/>
  <c r="AR110" i="2"/>
  <c r="AQ110" i="2"/>
  <c r="AP110" i="2"/>
  <c r="AO110" i="2"/>
  <c r="AN110" i="2"/>
  <c r="AM110" i="2"/>
  <c r="AL110" i="2"/>
  <c r="AK110" i="2"/>
  <c r="AJ110" i="2"/>
  <c r="AG110" i="2"/>
  <c r="AF110" i="2"/>
  <c r="AE110" i="2"/>
  <c r="AD110" i="2"/>
  <c r="AC110" i="2"/>
  <c r="AA110" i="2"/>
  <c r="Z110" i="2"/>
  <c r="Y110" i="2"/>
  <c r="X110" i="2"/>
  <c r="W110" i="2"/>
  <c r="DJ97" i="2"/>
  <c r="DI97" i="2"/>
  <c r="DH97" i="2"/>
  <c r="DG97" i="2"/>
  <c r="AG97" i="2"/>
  <c r="AF97" i="2"/>
  <c r="AE97" i="2"/>
  <c r="AD97" i="2"/>
  <c r="AC97" i="2"/>
  <c r="AA97" i="2"/>
  <c r="Z97" i="2"/>
  <c r="Y97" i="2"/>
  <c r="X97" i="2"/>
  <c r="W97" i="2"/>
  <c r="D73" i="2"/>
  <c r="D67" i="2"/>
  <c r="D64" i="2"/>
  <c r="D63" i="2"/>
  <c r="D62" i="2"/>
  <c r="D61" i="2"/>
  <c r="D60" i="2"/>
  <c r="D59" i="2"/>
  <c r="D58" i="2"/>
  <c r="D57" i="2"/>
  <c r="D56" i="2"/>
  <c r="D55" i="2"/>
  <c r="D54" i="2"/>
  <c r="D53" i="2"/>
  <c r="D52" i="2"/>
  <c r="D51" i="2"/>
  <c r="D50" i="2"/>
  <c r="E49" i="2"/>
  <c r="D49" i="2"/>
  <c r="DD48" i="2"/>
  <c r="DC48" i="2"/>
  <c r="DB48" i="2"/>
  <c r="DA48" i="2"/>
  <c r="CZ48" i="2"/>
  <c r="CX48" i="2"/>
  <c r="CW48" i="2"/>
  <c r="CV48" i="2"/>
  <c r="CU48" i="2"/>
  <c r="CT48" i="2"/>
  <c r="CQ48" i="2"/>
  <c r="CP48" i="2"/>
  <c r="CO48" i="2"/>
  <c r="CN48" i="2"/>
  <c r="CM48" i="2"/>
  <c r="CK48" i="2"/>
  <c r="CJ48" i="2"/>
  <c r="CI48" i="2"/>
  <c r="CH48" i="2"/>
  <c r="CG48" i="2"/>
  <c r="BQ48" i="2"/>
  <c r="BP48" i="2"/>
  <c r="BO48" i="2"/>
  <c r="BN48" i="2"/>
  <c r="BL48" i="2"/>
  <c r="BK48" i="2"/>
  <c r="BJ48" i="2"/>
  <c r="BI48" i="2"/>
  <c r="BH48" i="2"/>
  <c r="BE48" i="2"/>
  <c r="BD48" i="2"/>
  <c r="BC48" i="2"/>
  <c r="BB48" i="2"/>
  <c r="AZ48" i="2"/>
  <c r="AY48" i="2"/>
  <c r="AX48" i="2"/>
  <c r="AW48" i="2"/>
  <c r="AV48" i="2"/>
  <c r="AS48" i="2"/>
  <c r="AR48" i="2"/>
  <c r="AQ48" i="2"/>
  <c r="AP48" i="2"/>
  <c r="AN48" i="2"/>
  <c r="AM48" i="2"/>
  <c r="AL48" i="2"/>
  <c r="AK48" i="2"/>
  <c r="AJ48" i="2"/>
  <c r="AG48" i="2"/>
  <c r="AF48" i="2"/>
  <c r="AE48" i="2"/>
  <c r="AD48" i="2"/>
  <c r="AC48" i="2"/>
  <c r="AA48" i="2"/>
  <c r="Z48" i="2"/>
  <c r="Y48" i="2"/>
  <c r="X48" i="2"/>
  <c r="W48" i="2"/>
  <c r="DD47" i="2"/>
  <c r="CQ47" i="2"/>
  <c r="AG47" i="2"/>
  <c r="AF47" i="2"/>
  <c r="AE47" i="2"/>
  <c r="AD47" i="2"/>
  <c r="AC47" i="2"/>
  <c r="AA47" i="2"/>
  <c r="Z47" i="2"/>
  <c r="Y47" i="2"/>
  <c r="X47" i="2"/>
  <c r="W47" i="2"/>
  <c r="H33" i="2"/>
  <c r="I33" i="2" s="1"/>
  <c r="X667" i="15"/>
  <c r="Z667" i="15" s="1"/>
  <c r="W667" i="15" s="1"/>
  <c r="H30" i="2"/>
  <c r="I30" i="2" s="1"/>
  <c r="I667" i="15"/>
  <c r="AN667" i="15" s="1"/>
  <c r="H27" i="2"/>
  <c r="I27" i="2" s="1"/>
  <c r="I664" i="15"/>
  <c r="AN664" i="15" s="1"/>
  <c r="H24" i="2"/>
  <c r="I24" i="2" s="1"/>
  <c r="DH23" i="2"/>
  <c r="DI23" i="2" s="1"/>
  <c r="H23" i="2"/>
  <c r="I23" i="2" s="1"/>
  <c r="X659" i="15"/>
  <c r="Z659" i="15" s="1"/>
  <c r="H22" i="2"/>
  <c r="I22" i="2" s="1"/>
  <c r="X658" i="15"/>
  <c r="Z658" i="15" s="1"/>
  <c r="H21" i="2"/>
  <c r="I21" i="2" s="1"/>
  <c r="X657" i="15"/>
  <c r="Z657" i="15" s="1"/>
  <c r="H20" i="2"/>
  <c r="I20" i="2" s="1"/>
  <c r="X656" i="15"/>
  <c r="Z656" i="15" s="1"/>
  <c r="H19" i="2"/>
  <c r="I19" i="2" s="1"/>
  <c r="X655" i="15"/>
  <c r="Z655" i="15" s="1"/>
  <c r="H18" i="2"/>
  <c r="I18" i="2" s="1"/>
  <c r="X654" i="15"/>
  <c r="Z654" i="15" s="1"/>
  <c r="H17" i="2"/>
  <c r="I17" i="2" s="1"/>
  <c r="X653" i="15"/>
  <c r="Z653" i="15" s="1"/>
  <c r="H16" i="2"/>
  <c r="I16" i="2" s="1"/>
  <c r="X652" i="15"/>
  <c r="Z652" i="15" s="1"/>
  <c r="H15" i="2"/>
  <c r="I15" i="2" s="1"/>
  <c r="X651" i="15"/>
  <c r="Z651" i="15" s="1"/>
  <c r="H14" i="2"/>
  <c r="I14" i="2" s="1"/>
  <c r="X650" i="15"/>
  <c r="Z650" i="15" s="1"/>
  <c r="W650" i="15" s="1"/>
  <c r="H13" i="2"/>
  <c r="I13" i="2" s="1"/>
  <c r="X649" i="15"/>
  <c r="Z649" i="15" s="1"/>
  <c r="W649" i="15" s="1"/>
  <c r="H12" i="2"/>
  <c r="I12" i="2" s="1"/>
  <c r="X648" i="15"/>
  <c r="Z648" i="15" s="1"/>
  <c r="W648" i="15" s="1"/>
  <c r="H11" i="2"/>
  <c r="I11" i="2" s="1"/>
  <c r="X647" i="15"/>
  <c r="Z647" i="15" s="1"/>
  <c r="H10" i="2"/>
  <c r="I10" i="2" s="1"/>
  <c r="X646" i="15"/>
  <c r="Z646" i="15" s="1"/>
  <c r="H9" i="2"/>
  <c r="I9" i="2" s="1"/>
  <c r="BE8" i="2"/>
  <c r="BD8" i="2"/>
  <c r="BC8" i="2"/>
  <c r="BB8" i="2"/>
  <c r="AZ8" i="2"/>
  <c r="AY8" i="2"/>
  <c r="AX8" i="2"/>
  <c r="AW8" i="2"/>
  <c r="AV8" i="2"/>
  <c r="AS8" i="2"/>
  <c r="AR8" i="2"/>
  <c r="AQ8" i="2"/>
  <c r="AP8" i="2"/>
  <c r="AN8" i="2"/>
  <c r="AM8" i="2"/>
  <c r="AL8" i="2"/>
  <c r="AK8" i="2"/>
  <c r="AJ8" i="2"/>
  <c r="V6" i="2"/>
  <c r="L423" i="2"/>
  <c r="Q735" i="15" s="1"/>
  <c r="O735" i="15" s="1"/>
  <c r="AB620" i="15"/>
  <c r="AB629" i="15"/>
  <c r="AB633" i="15"/>
  <c r="AB612" i="15"/>
  <c r="AB628" i="15"/>
  <c r="AB632" i="15"/>
  <c r="AB627" i="15"/>
  <c r="AB631" i="15"/>
  <c r="AB626" i="15"/>
  <c r="AB630" i="15"/>
  <c r="AB634" i="15"/>
  <c r="K234" i="15"/>
  <c r="L1542" i="6"/>
  <c r="AJ206" i="15" s="1"/>
  <c r="K734" i="6"/>
  <c r="L210" i="15"/>
  <c r="AJ131" i="15"/>
  <c r="L1564" i="6"/>
  <c r="AJ213" i="15" s="1"/>
  <c r="AJ132" i="15"/>
  <c r="L213" i="15"/>
  <c r="L1552" i="6"/>
  <c r="AJ210" i="15" s="1"/>
  <c r="L1568" i="6"/>
  <c r="AJ215" i="15" s="1"/>
  <c r="AB478" i="15"/>
  <c r="X106" i="15"/>
  <c r="Z106" i="15" s="1"/>
  <c r="X108" i="15"/>
  <c r="Z108" i="15" s="1"/>
  <c r="AB103" i="15"/>
  <c r="AB106" i="15"/>
  <c r="AB74" i="15"/>
  <c r="AB78" i="15"/>
  <c r="AB84" i="15"/>
  <c r="AB196" i="15"/>
  <c r="AJ119" i="15"/>
  <c r="AJ188" i="15"/>
  <c r="AJ121" i="15"/>
  <c r="AJ127" i="15"/>
  <c r="AJ134" i="15"/>
  <c r="AJ130" i="15"/>
  <c r="K730" i="6"/>
  <c r="H423" i="2"/>
  <c r="AE734" i="15"/>
  <c r="AC734" i="15" s="1"/>
  <c r="AJ122" i="15"/>
  <c r="L822" i="6"/>
  <c r="AJ180" i="15" s="1"/>
  <c r="V1516" i="6"/>
  <c r="F279" i="9"/>
  <c r="AJ139" i="15"/>
  <c r="AJ141" i="15"/>
  <c r="Q316" i="15"/>
  <c r="I36" i="10"/>
  <c r="O642" i="15" s="1"/>
  <c r="U642" i="15" s="1"/>
  <c r="F276" i="9"/>
  <c r="F281" i="9"/>
  <c r="F609" i="7"/>
  <c r="I441" i="15" s="1"/>
  <c r="F613" i="7"/>
  <c r="AJ129" i="15"/>
  <c r="L800" i="6"/>
  <c r="AJ171" i="15" s="1"/>
  <c r="AJ192" i="15"/>
  <c r="K736" i="6"/>
  <c r="AJ136" i="15"/>
  <c r="K748" i="6"/>
  <c r="R278" i="15"/>
  <c r="I58" i="10"/>
  <c r="O643" i="15" s="1"/>
  <c r="U643" i="15" s="1"/>
  <c r="F227" i="9"/>
  <c r="F278" i="9"/>
  <c r="I603" i="15" s="1"/>
  <c r="F614" i="7"/>
  <c r="J444" i="15" s="1"/>
  <c r="F605" i="7"/>
  <c r="F606" i="7"/>
  <c r="I439" i="15" s="1"/>
  <c r="F603" i="7"/>
  <c r="F612" i="7"/>
  <c r="I443" i="15" s="1"/>
  <c r="AE520" i="15"/>
  <c r="AC520" i="15" s="1"/>
  <c r="F604" i="7"/>
  <c r="I438" i="15" s="1"/>
  <c r="F611" i="7"/>
  <c r="J442" i="15" s="1"/>
  <c r="L820" i="6"/>
  <c r="AJ178" i="15" s="1"/>
  <c r="AJ167" i="15"/>
  <c r="L795" i="6"/>
  <c r="AJ168" i="15" s="1"/>
  <c r="AJ137" i="15"/>
  <c r="K747" i="6"/>
  <c r="AJ140" i="15"/>
  <c r="K721" i="6"/>
  <c r="V1504" i="6"/>
  <c r="K716" i="6"/>
  <c r="F7" i="6"/>
  <c r="Q731" i="15"/>
  <c r="O731" i="15" s="1"/>
  <c r="Q733" i="15"/>
  <c r="O733" i="15" s="1"/>
  <c r="Q734" i="15"/>
  <c r="O734" i="15" s="1"/>
  <c r="K723" i="6"/>
  <c r="AJ124" i="15"/>
  <c r="K750" i="6"/>
  <c r="AJ142" i="15"/>
  <c r="F1197" i="6"/>
  <c r="F899" i="6"/>
  <c r="F926" i="6" s="1"/>
  <c r="K724" i="6"/>
  <c r="K743" i="6"/>
  <c r="AJ128" i="15"/>
  <c r="K820" i="6"/>
  <c r="L798" i="6"/>
  <c r="AJ170" i="15" s="1"/>
  <c r="AE294" i="15"/>
  <c r="L1534" i="6"/>
  <c r="AJ204" i="15" s="1"/>
  <c r="L1550" i="6"/>
  <c r="AJ209" i="15" s="1"/>
  <c r="L1560" i="6"/>
  <c r="AJ212" i="15" s="1"/>
  <c r="F280" i="9"/>
  <c r="N77" i="9"/>
  <c r="J79" i="9"/>
  <c r="J80" i="9"/>
  <c r="F277" i="9"/>
  <c r="N74" i="9"/>
  <c r="J74" i="9"/>
  <c r="F282" i="9"/>
  <c r="N78" i="9"/>
  <c r="J78" i="9"/>
  <c r="N82" i="9"/>
  <c r="J82" i="9"/>
  <c r="F147" i="9"/>
  <c r="F148" i="9"/>
  <c r="F152" i="9"/>
  <c r="F156" i="9"/>
  <c r="F228" i="9"/>
  <c r="I608" i="15"/>
  <c r="I609" i="15"/>
  <c r="L223" i="15"/>
  <c r="L327" i="15"/>
  <c r="K735" i="6"/>
  <c r="K733" i="6"/>
  <c r="K742" i="6"/>
  <c r="K126" i="15"/>
  <c r="I126" i="15" s="1"/>
  <c r="K176" i="15"/>
  <c r="I176" i="15" s="1"/>
  <c r="M137" i="15"/>
  <c r="J137" i="15" s="1"/>
  <c r="K137" i="15"/>
  <c r="I137" i="15" s="1"/>
  <c r="K210" i="15"/>
  <c r="K744" i="6"/>
  <c r="AJ138" i="15"/>
  <c r="K717" i="6"/>
  <c r="AJ120" i="15"/>
  <c r="K726" i="6"/>
  <c r="AJ126" i="15"/>
  <c r="DI400" i="2" l="1"/>
  <c r="DI424" i="2"/>
  <c r="DI550" i="2"/>
  <c r="DI502" i="2"/>
  <c r="DI759" i="2"/>
  <c r="BD685" i="7"/>
  <c r="AF446" i="15" s="1"/>
  <c r="DI480" i="2"/>
  <c r="AE742" i="15" s="1"/>
  <c r="AC742" i="15" s="1"/>
  <c r="DI499" i="2"/>
  <c r="AE745" i="15" s="1"/>
  <c r="AC745" i="15" s="1"/>
  <c r="DI528" i="2"/>
  <c r="DI641" i="2"/>
  <c r="DI660" i="2"/>
  <c r="DI549" i="2"/>
  <c r="DI529" i="2"/>
  <c r="BD276" i="9"/>
  <c r="BD280" i="9"/>
  <c r="AE605" i="15" s="1"/>
  <c r="AC605" i="15" s="1"/>
  <c r="BD282" i="9"/>
  <c r="AE607" i="15" s="1"/>
  <c r="AC607" i="15" s="1"/>
  <c r="BD11" i="7"/>
  <c r="BD609" i="7"/>
  <c r="BD942" i="7"/>
  <c r="AE486" i="15" s="1"/>
  <c r="BD13" i="7"/>
  <c r="BD691" i="7"/>
  <c r="AF449" i="15" s="1"/>
  <c r="BD936" i="7"/>
  <c r="BD606" i="7"/>
  <c r="AE439" i="15" s="1"/>
  <c r="AC439" i="15" s="1"/>
  <c r="BD604" i="7"/>
  <c r="AE438" i="15" s="1"/>
  <c r="AC438" i="15" s="1"/>
  <c r="BD308" i="16"/>
  <c r="BD65" i="16"/>
  <c r="BD1813" i="6"/>
  <c r="AF299" i="15" s="1"/>
  <c r="BD1617" i="6"/>
  <c r="BD1875" i="6"/>
  <c r="AF315" i="15" s="1"/>
  <c r="BD1327" i="6"/>
  <c r="AE198" i="15" s="1"/>
  <c r="BD1711" i="6"/>
  <c r="AF269" i="15" s="1"/>
  <c r="BD1613" i="6"/>
  <c r="AF229" i="15" s="1"/>
  <c r="BD136" i="6"/>
  <c r="AE130" i="15" s="1"/>
  <c r="AC130" i="15" s="1"/>
  <c r="BC27" i="3"/>
  <c r="BD225" i="16"/>
  <c r="AE56" i="15" s="1"/>
  <c r="AC56" i="15" s="1"/>
  <c r="BD227" i="16"/>
  <c r="AE58" i="15" s="1"/>
  <c r="AC58" i="15" s="1"/>
  <c r="BD73" i="16"/>
  <c r="AE44" i="15" s="1"/>
  <c r="BD69" i="16"/>
  <c r="BD67" i="16"/>
  <c r="AE41" i="15" s="1"/>
  <c r="BD59" i="16"/>
  <c r="AE37" i="15" s="1"/>
  <c r="BD71" i="16"/>
  <c r="AE43" i="15" s="1"/>
  <c r="I261" i="5"/>
  <c r="O97" i="15" s="1"/>
  <c r="V97" i="15" s="1"/>
  <c r="BD261" i="5"/>
  <c r="BD157" i="5"/>
  <c r="AE88" i="15" s="1"/>
  <c r="AC88" i="15" s="1"/>
  <c r="BD142" i="6"/>
  <c r="AE134" i="15" s="1"/>
  <c r="AC134" i="15" s="1"/>
  <c r="DI171" i="2"/>
  <c r="AE701" i="15" s="1"/>
  <c r="AC701" i="15" s="1"/>
  <c r="DI163" i="2"/>
  <c r="AE693" i="15" s="1"/>
  <c r="AC693" i="15" s="1"/>
  <c r="DI200" i="2"/>
  <c r="AE703" i="15" s="1"/>
  <c r="AC703" i="15" s="1"/>
  <c r="DI481" i="2"/>
  <c r="AE743" i="15" s="1"/>
  <c r="AC743" i="15" s="1"/>
  <c r="DI500" i="2"/>
  <c r="AO733" i="15"/>
  <c r="AO731" i="15"/>
  <c r="DI727" i="2"/>
  <c r="AE782" i="15" s="1"/>
  <c r="AC782" i="15" s="1"/>
  <c r="DI397" i="2"/>
  <c r="AE726" i="15" s="1"/>
  <c r="AC726" i="15" s="1"/>
  <c r="DI775" i="2"/>
  <c r="AE785" i="15" s="1"/>
  <c r="AC785" i="15" s="1"/>
  <c r="DI795" i="2"/>
  <c r="AE788" i="15" s="1"/>
  <c r="AC788" i="15" s="1"/>
  <c r="BD22" i="10"/>
  <c r="AE640" i="15" s="1"/>
  <c r="AC640" i="15" s="1"/>
  <c r="BD284" i="9"/>
  <c r="AE609" i="15" s="1"/>
  <c r="AC609" i="15" s="1"/>
  <c r="BD277" i="9"/>
  <c r="BD279" i="9"/>
  <c r="AE604" i="15" s="1"/>
  <c r="AC604" i="15" s="1"/>
  <c r="BD281" i="9"/>
  <c r="AE606" i="15" s="1"/>
  <c r="AC606" i="15" s="1"/>
  <c r="BD283" i="9"/>
  <c r="AE608" i="15" s="1"/>
  <c r="AC608" i="15" s="1"/>
  <c r="BD278" i="9"/>
  <c r="AE603" i="15" s="1"/>
  <c r="AC603" i="15" s="1"/>
  <c r="BD227" i="9"/>
  <c r="AE599" i="15" s="1"/>
  <c r="AC599" i="15" s="1"/>
  <c r="BD291" i="9"/>
  <c r="AE616" i="15" s="1"/>
  <c r="AC616" i="15" s="1"/>
  <c r="BD482" i="9"/>
  <c r="BB482" i="9" s="1"/>
  <c r="AA625" i="15" s="1"/>
  <c r="BD689" i="7"/>
  <c r="AF448" i="15" s="1"/>
  <c r="BD694" i="7"/>
  <c r="BD697" i="7"/>
  <c r="AF452" i="15" s="1"/>
  <c r="BD933" i="7"/>
  <c r="AF481" i="15" s="1"/>
  <c r="BD935" i="7"/>
  <c r="AF482" i="15" s="1"/>
  <c r="BD940" i="7"/>
  <c r="AE485" i="15" s="1"/>
  <c r="BD1006" i="7"/>
  <c r="BD7" i="7"/>
  <c r="BD684" i="7"/>
  <c r="AE446" i="15" s="1"/>
  <c r="BD699" i="7"/>
  <c r="AF453" i="15" s="1"/>
  <c r="BD926" i="7"/>
  <c r="BD612" i="7"/>
  <c r="AE443" i="15" s="1"/>
  <c r="AC443" i="15" s="1"/>
  <c r="BD686" i="7"/>
  <c r="BD696" i="7"/>
  <c r="BD701" i="7"/>
  <c r="BD931" i="7"/>
  <c r="AF480" i="15" s="1"/>
  <c r="BD687" i="7"/>
  <c r="AF447" i="15" s="1"/>
  <c r="BD702" i="7"/>
  <c r="AE455" i="15" s="1"/>
  <c r="BD603" i="7"/>
  <c r="BD693" i="7"/>
  <c r="AF450" i="15" s="1"/>
  <c r="BD698" i="7"/>
  <c r="AE453" i="15" s="1"/>
  <c r="BD934" i="7"/>
  <c r="BD932" i="7"/>
  <c r="AE481" i="15" s="1"/>
  <c r="A1693" i="6"/>
  <c r="J3837" i="6"/>
  <c r="A1649" i="6"/>
  <c r="J3793" i="6"/>
  <c r="BD1320" i="6"/>
  <c r="AF194" i="15" s="1"/>
  <c r="BE1656" i="6"/>
  <c r="BB1656" i="6" s="1"/>
  <c r="AA247" i="15" s="1"/>
  <c r="AB247" i="15"/>
  <c r="A1673" i="6"/>
  <c r="BD1607" i="6"/>
  <c r="AF227" i="15" s="1"/>
  <c r="A1711" i="6"/>
  <c r="M4072" i="6"/>
  <c r="BD1765" i="6"/>
  <c r="AF287" i="15" s="1"/>
  <c r="AB194" i="15"/>
  <c r="A1661" i="6"/>
  <c r="M4076" i="6"/>
  <c r="L4076" i="6" s="1"/>
  <c r="BD161" i="6"/>
  <c r="AG146" i="15" s="1"/>
  <c r="AD146" i="15" s="1"/>
  <c r="BD1877" i="6"/>
  <c r="AH315" i="15" s="1"/>
  <c r="BD1815" i="6"/>
  <c r="AH299" i="15" s="1"/>
  <c r="BD1897" i="6"/>
  <c r="BD1325" i="6"/>
  <c r="AE197" i="15" s="1"/>
  <c r="BD1583" i="6"/>
  <c r="AF219" i="15" s="1"/>
  <c r="BD7" i="6"/>
  <c r="AE111" i="15" s="1"/>
  <c r="AC111" i="15" s="1"/>
  <c r="BD1641" i="6"/>
  <c r="AF239" i="15" s="1"/>
  <c r="BD1767" i="6"/>
  <c r="AH287" i="15" s="1"/>
  <c r="A1617" i="6"/>
  <c r="BD145" i="6"/>
  <c r="AE136" i="15" s="1"/>
  <c r="AC136" i="15" s="1"/>
  <c r="BD1845" i="6"/>
  <c r="AF307" i="15" s="1"/>
  <c r="BD1585" i="6"/>
  <c r="AH219" i="15" s="1"/>
  <c r="BD1781" i="6"/>
  <c r="AF291" i="15" s="1"/>
  <c r="BD795" i="6"/>
  <c r="AE168" i="15" s="1"/>
  <c r="AC168" i="15" s="1"/>
  <c r="BD1428" i="6"/>
  <c r="AH201" i="15" s="1"/>
  <c r="BD1434" i="6"/>
  <c r="AF203" i="15" s="1"/>
  <c r="BD124" i="6"/>
  <c r="AE122" i="15" s="1"/>
  <c r="AC122" i="15" s="1"/>
  <c r="BD799" i="6"/>
  <c r="AF170" i="15" s="1"/>
  <c r="BD802" i="6"/>
  <c r="AG171" i="15" s="1"/>
  <c r="A1897" i="6"/>
  <c r="BD158" i="6"/>
  <c r="AE145" i="15" s="1"/>
  <c r="AC145" i="15" s="1"/>
  <c r="BD152" i="6"/>
  <c r="AG140" i="15" s="1"/>
  <c r="AD140" i="15" s="1"/>
  <c r="BD155" i="6"/>
  <c r="AE143" i="15" s="1"/>
  <c r="AC143" i="15" s="1"/>
  <c r="BD132" i="6"/>
  <c r="AG127" i="15" s="1"/>
  <c r="AD127" i="15" s="1"/>
  <c r="BD137" i="6"/>
  <c r="AE131" i="15" s="1"/>
  <c r="AC131" i="15" s="1"/>
  <c r="BD135" i="6"/>
  <c r="AE129" i="15" s="1"/>
  <c r="AC129" i="15" s="1"/>
  <c r="BD809" i="6"/>
  <c r="AF173" i="15" s="1"/>
  <c r="BD127" i="6"/>
  <c r="BD133" i="6"/>
  <c r="AE128" i="15" s="1"/>
  <c r="AC128" i="15" s="1"/>
  <c r="BD794" i="6"/>
  <c r="AG167" i="15" s="1"/>
  <c r="AD167" i="15" s="1"/>
  <c r="BD1321" i="6"/>
  <c r="AE195" i="15" s="1"/>
  <c r="BD1426" i="6"/>
  <c r="AF201" i="15" s="1"/>
  <c r="BD120" i="6"/>
  <c r="AG119" i="15" s="1"/>
  <c r="AD119" i="15" s="1"/>
  <c r="BD125" i="6"/>
  <c r="AG122" i="15" s="1"/>
  <c r="AD122" i="15" s="1"/>
  <c r="BD797" i="6"/>
  <c r="AF169" i="15" s="1"/>
  <c r="BD156" i="6"/>
  <c r="AG143" i="15" s="1"/>
  <c r="AD143" i="15" s="1"/>
  <c r="BD181" i="6"/>
  <c r="BD1427" i="6"/>
  <c r="AG201" i="15" s="1"/>
  <c r="BD1430" i="6"/>
  <c r="AF202" i="15" s="1"/>
  <c r="BD1433" i="6"/>
  <c r="AE203" i="15" s="1"/>
  <c r="BD172" i="6"/>
  <c r="BD801" i="6"/>
  <c r="AF171" i="15" s="1"/>
  <c r="BD813" i="6"/>
  <c r="AF175" i="15" s="1"/>
  <c r="BD815" i="6"/>
  <c r="AH175" i="15" s="1"/>
  <c r="BD1424" i="6"/>
  <c r="AF200" i="15" s="1"/>
  <c r="BD163" i="6"/>
  <c r="BD179" i="6"/>
  <c r="AG158" i="15" s="1"/>
  <c r="AD158" i="15" s="1"/>
  <c r="BD151" i="6"/>
  <c r="BD803" i="6"/>
  <c r="AH171" i="15" s="1"/>
  <c r="BD129" i="6"/>
  <c r="AG125" i="15" s="1"/>
  <c r="AD125" i="15" s="1"/>
  <c r="BD1431" i="6"/>
  <c r="AG202" i="15" s="1"/>
  <c r="BD121" i="6"/>
  <c r="AE120" i="15" s="1"/>
  <c r="AC120" i="15" s="1"/>
  <c r="BD146" i="6"/>
  <c r="AE137" i="15" s="1"/>
  <c r="AC137" i="15" s="1"/>
  <c r="BD154" i="6"/>
  <c r="BD1324" i="6"/>
  <c r="AF196" i="15" s="1"/>
  <c r="BD167" i="6"/>
  <c r="AE151" i="15" s="1"/>
  <c r="AC151" i="15" s="1"/>
  <c r="BD173" i="6"/>
  <c r="AE155" i="15" s="1"/>
  <c r="AC155" i="15" s="1"/>
  <c r="BD1535" i="6"/>
  <c r="AF204" i="15" s="1"/>
  <c r="BD1537" i="6"/>
  <c r="AH204" i="15" s="1"/>
  <c r="DI166" i="2"/>
  <c r="DI169" i="2"/>
  <c r="AE699" i="15" s="1"/>
  <c r="AC699" i="15" s="1"/>
  <c r="DI167" i="2"/>
  <c r="AE697" i="15" s="1"/>
  <c r="AC697" i="15" s="1"/>
  <c r="DI829" i="2"/>
  <c r="DI168" i="2"/>
  <c r="AE698" i="15" s="1"/>
  <c r="AC698" i="15" s="1"/>
  <c r="DI347" i="2"/>
  <c r="DI526" i="2"/>
  <c r="AE753" i="15" s="1"/>
  <c r="AC753" i="15" s="1"/>
  <c r="DI554" i="2"/>
  <c r="AE762" i="15" s="1"/>
  <c r="AC762" i="15" s="1"/>
  <c r="DI677" i="2"/>
  <c r="DI776" i="2"/>
  <c r="AE786" i="15" s="1"/>
  <c r="AC786" i="15" s="1"/>
  <c r="DI244" i="2"/>
  <c r="AE710" i="15" s="1"/>
  <c r="AC710" i="15" s="1"/>
  <c r="DI333" i="2"/>
  <c r="AE720" i="15" s="1"/>
  <c r="AC720" i="15" s="1"/>
  <c r="DI503" i="2"/>
  <c r="DI524" i="2"/>
  <c r="DI552" i="2"/>
  <c r="AE760" i="15" s="1"/>
  <c r="AC760" i="15" s="1"/>
  <c r="DI399" i="2"/>
  <c r="AE728" i="15" s="1"/>
  <c r="AC728" i="15" s="1"/>
  <c r="DI479" i="2"/>
  <c r="AE741" i="15" s="1"/>
  <c r="AC741" i="15" s="1"/>
  <c r="DI527" i="2"/>
  <c r="AE754" i="15" s="1"/>
  <c r="AC754" i="15" s="1"/>
  <c r="DI555" i="2"/>
  <c r="AE763" i="15" s="1"/>
  <c r="AC763" i="15" s="1"/>
  <c r="DI777" i="2"/>
  <c r="AE787" i="15" s="1"/>
  <c r="AC787" i="15" s="1"/>
  <c r="DI847" i="2"/>
  <c r="DI164" i="2"/>
  <c r="DI261" i="2"/>
  <c r="AE711" i="15" s="1"/>
  <c r="AC711" i="15" s="1"/>
  <c r="DI811" i="2"/>
  <c r="AE789" i="15" s="1"/>
  <c r="AC789" i="15" s="1"/>
  <c r="DI444" i="2"/>
  <c r="AE737" i="15" s="1"/>
  <c r="AC737" i="15" s="1"/>
  <c r="DI525" i="2"/>
  <c r="AE752" i="15" s="1"/>
  <c r="AC752" i="15" s="1"/>
  <c r="DI553" i="2"/>
  <c r="AE761" i="15" s="1"/>
  <c r="AC761" i="15" s="1"/>
  <c r="DI575" i="2"/>
  <c r="AE764" i="15" s="1"/>
  <c r="AC764" i="15" s="1"/>
  <c r="DI401" i="2"/>
  <c r="AE730" i="15" s="1"/>
  <c r="AC730" i="15" s="1"/>
  <c r="DI348" i="2"/>
  <c r="DI165" i="2"/>
  <c r="AE695" i="15" s="1"/>
  <c r="AC695" i="15" s="1"/>
  <c r="DI523" i="2"/>
  <c r="AE750" i="15" s="1"/>
  <c r="AC750" i="15" s="1"/>
  <c r="DI551" i="2"/>
  <c r="DI642" i="2"/>
  <c r="AE775" i="15" s="1"/>
  <c r="AC775" i="15" s="1"/>
  <c r="DI275" i="2"/>
  <c r="AE712" i="15" s="1"/>
  <c r="AC712" i="15" s="1"/>
  <c r="DI398" i="2"/>
  <c r="AE727" i="15" s="1"/>
  <c r="AC727" i="15" s="1"/>
  <c r="A1607" i="6"/>
  <c r="A1613" i="6"/>
  <c r="A1829" i="6"/>
  <c r="A1911" i="6"/>
  <c r="A1575" i="6"/>
  <c r="A1583" i="6"/>
  <c r="A1813" i="6"/>
  <c r="A1781" i="6"/>
  <c r="A1903" i="6"/>
  <c r="A1915" i="6"/>
  <c r="BE1566" i="6"/>
  <c r="BB1566" i="6" s="1"/>
  <c r="AA214" i="15" s="1"/>
  <c r="AB214" i="15"/>
  <c r="A1797" i="6"/>
  <c r="A1919" i="6"/>
  <c r="L4096" i="6"/>
  <c r="A1887" i="6"/>
  <c r="J4405" i="6"/>
  <c r="A1875" i="6"/>
  <c r="H1910" i="6"/>
  <c r="A1910" i="6"/>
  <c r="BC1612" i="6"/>
  <c r="A1612" i="6"/>
  <c r="A1859" i="6"/>
  <c r="BC1710" i="6"/>
  <c r="BC1764" i="6"/>
  <c r="A1764" i="6"/>
  <c r="BC1796" i="6"/>
  <c r="A1796" i="6"/>
  <c r="H1918" i="6"/>
  <c r="A1918" i="6"/>
  <c r="H1574" i="6"/>
  <c r="A1574" i="6"/>
  <c r="BC1582" i="6"/>
  <c r="A1582" i="6"/>
  <c r="A1597" i="6"/>
  <c r="A1765" i="6"/>
  <c r="BC1844" i="6"/>
  <c r="A1844" i="6"/>
  <c r="H1906" i="6"/>
  <c r="A1906" i="6"/>
  <c r="A1627" i="6"/>
  <c r="A1641" i="6"/>
  <c r="A1845" i="6"/>
  <c r="H1902" i="6"/>
  <c r="A1902" i="6"/>
  <c r="A1907" i="6"/>
  <c r="H1914" i="6"/>
  <c r="A1914" i="6"/>
  <c r="AN638" i="15"/>
  <c r="AO638" i="15" s="1"/>
  <c r="AO735" i="15"/>
  <c r="K1568" i="6"/>
  <c r="BE1568" i="6" s="1"/>
  <c r="F711" i="2"/>
  <c r="DI711" i="2" s="1"/>
  <c r="AO734" i="15"/>
  <c r="AN553" i="15"/>
  <c r="AN551" i="15"/>
  <c r="AN549" i="15"/>
  <c r="AN603" i="15"/>
  <c r="AN609" i="15"/>
  <c r="AN608" i="15"/>
  <c r="AN485" i="15"/>
  <c r="AN477" i="15"/>
  <c r="AN490" i="15"/>
  <c r="AN547" i="15"/>
  <c r="AN545" i="15"/>
  <c r="AN543" i="15"/>
  <c r="AN443" i="15"/>
  <c r="AN541" i="15"/>
  <c r="AN539" i="15"/>
  <c r="AN537" i="15"/>
  <c r="AN445" i="15"/>
  <c r="AN484" i="15"/>
  <c r="AN480" i="15"/>
  <c r="AN476" i="15"/>
  <c r="AN488" i="15"/>
  <c r="AN517" i="15"/>
  <c r="AN535" i="15"/>
  <c r="AN533" i="15"/>
  <c r="AN531" i="15"/>
  <c r="AN441" i="15"/>
  <c r="AN459" i="15"/>
  <c r="AN552" i="15"/>
  <c r="AN550" i="15"/>
  <c r="AN548" i="15"/>
  <c r="AN475" i="15"/>
  <c r="AN479" i="15"/>
  <c r="AN546" i="15"/>
  <c r="AN544" i="15"/>
  <c r="AN542" i="15"/>
  <c r="AN439" i="15"/>
  <c r="AN461" i="15"/>
  <c r="AN540" i="15"/>
  <c r="AN538" i="15"/>
  <c r="AN536" i="15"/>
  <c r="AN438" i="15"/>
  <c r="AN486" i="15"/>
  <c r="AN478" i="15"/>
  <c r="AN530" i="15"/>
  <c r="AN534" i="15"/>
  <c r="AN532" i="15"/>
  <c r="AI188" i="15"/>
  <c r="AI189" i="15" s="1"/>
  <c r="AI186" i="15"/>
  <c r="AI187" i="15" s="1"/>
  <c r="AB35" i="15"/>
  <c r="AD74" i="16"/>
  <c r="E117" i="16"/>
  <c r="AD62" i="16"/>
  <c r="AD80" i="16"/>
  <c r="BC280" i="16"/>
  <c r="BD280" i="16" s="1"/>
  <c r="AE62" i="15" s="1"/>
  <c r="AC62" i="15" s="1"/>
  <c r="F78" i="16"/>
  <c r="L46" i="15" s="1"/>
  <c r="I46" i="15" s="1"/>
  <c r="AD78" i="16"/>
  <c r="F70" i="16"/>
  <c r="L42" i="15" s="1"/>
  <c r="AD70" i="16"/>
  <c r="F68" i="16"/>
  <c r="L41" i="15" s="1"/>
  <c r="AD68" i="16"/>
  <c r="F60" i="16"/>
  <c r="I60" i="16" s="1"/>
  <c r="AD60" i="16"/>
  <c r="AD58" i="16"/>
  <c r="F76" i="16"/>
  <c r="L45" i="15" s="1"/>
  <c r="I45" i="15" s="1"/>
  <c r="AD76" i="16"/>
  <c r="AD66" i="16"/>
  <c r="F72" i="16"/>
  <c r="L43" i="15" s="1"/>
  <c r="AD72" i="16"/>
  <c r="F64" i="16"/>
  <c r="BD64" i="16" s="1"/>
  <c r="AF39" i="15" s="1"/>
  <c r="AD64" i="16"/>
  <c r="F58" i="16"/>
  <c r="L36" i="15" s="1"/>
  <c r="X36" i="15"/>
  <c r="Z36" i="15" s="1"/>
  <c r="BC613" i="7"/>
  <c r="BD613" i="7" s="1"/>
  <c r="AB533" i="15"/>
  <c r="AB530" i="15"/>
  <c r="BC481" i="9"/>
  <c r="X428" i="15"/>
  <c r="Z428" i="15" s="1"/>
  <c r="J753" i="6"/>
  <c r="K157" i="6" s="1"/>
  <c r="BE157" i="6" s="1"/>
  <c r="AD754" i="6"/>
  <c r="AD753" i="6"/>
  <c r="AD751" i="6"/>
  <c r="AD759" i="6"/>
  <c r="AD758" i="6"/>
  <c r="AD756" i="6"/>
  <c r="K842" i="6"/>
  <c r="BE838" i="6"/>
  <c r="AD742" i="6"/>
  <c r="AD718" i="6"/>
  <c r="AD729" i="6"/>
  <c r="AD715" i="6"/>
  <c r="AD727" i="6"/>
  <c r="AD738" i="6"/>
  <c r="AD736" i="6"/>
  <c r="AD724" i="6"/>
  <c r="AD747" i="6"/>
  <c r="AD745" i="6"/>
  <c r="AD733" i="6"/>
  <c r="AD720" i="6"/>
  <c r="J1274" i="6"/>
  <c r="K800" i="6" s="1"/>
  <c r="BE800" i="6" s="1"/>
  <c r="J1278" i="6"/>
  <c r="K804" i="6" s="1"/>
  <c r="AH227" i="15"/>
  <c r="F952" i="6"/>
  <c r="F979" i="6" s="1"/>
  <c r="F1006" i="6" s="1"/>
  <c r="F1033" i="6" s="1"/>
  <c r="F1060" i="6" s="1"/>
  <c r="F1087" i="6" s="1"/>
  <c r="F1114" i="6" s="1"/>
  <c r="F1141" i="6" s="1"/>
  <c r="F955" i="6"/>
  <c r="F982" i="6" s="1"/>
  <c r="F1009" i="6" s="1"/>
  <c r="F1036" i="6" s="1"/>
  <c r="F1063" i="6" s="1"/>
  <c r="F1090" i="6" s="1"/>
  <c r="F1117" i="6" s="1"/>
  <c r="F1144" i="6" s="1"/>
  <c r="F953" i="6"/>
  <c r="F980" i="6" s="1"/>
  <c r="F1007" i="6" s="1"/>
  <c r="F1034" i="6" s="1"/>
  <c r="F1061" i="6" s="1"/>
  <c r="F1088" i="6" s="1"/>
  <c r="F1115" i="6" s="1"/>
  <c r="F1142" i="6" s="1"/>
  <c r="F970" i="6"/>
  <c r="F997" i="6" s="1"/>
  <c r="F1024" i="6" s="1"/>
  <c r="F1051" i="6" s="1"/>
  <c r="F1078" i="6" s="1"/>
  <c r="F1105" i="6" s="1"/>
  <c r="F1132" i="6" s="1"/>
  <c r="F971" i="6"/>
  <c r="F998" i="6" s="1"/>
  <c r="F1025" i="6" s="1"/>
  <c r="F1052" i="6" s="1"/>
  <c r="F1079" i="6" s="1"/>
  <c r="F1106" i="6" s="1"/>
  <c r="F1133" i="6" s="1"/>
  <c r="F908" i="6"/>
  <c r="F935" i="6" s="1"/>
  <c r="F962" i="6" s="1"/>
  <c r="F989" i="6" s="1"/>
  <c r="F1016" i="6" s="1"/>
  <c r="F1043" i="6" s="1"/>
  <c r="F1070" i="6" s="1"/>
  <c r="F1097" i="6" s="1"/>
  <c r="F1124" i="6" s="1"/>
  <c r="E125" i="16"/>
  <c r="M453" i="7"/>
  <c r="AB421" i="15" s="1"/>
  <c r="K525" i="7"/>
  <c r="J525" i="7" s="1"/>
  <c r="I525" i="7"/>
  <c r="E161" i="16"/>
  <c r="AE47" i="15"/>
  <c r="X46" i="15"/>
  <c r="Z46" i="15" s="1"/>
  <c r="F210" i="5"/>
  <c r="F212" i="5"/>
  <c r="BD212" i="5" s="1"/>
  <c r="AB552" i="15"/>
  <c r="AB550" i="15"/>
  <c r="D165" i="16"/>
  <c r="V165" i="16" s="1"/>
  <c r="AB548" i="15"/>
  <c r="AB643" i="15"/>
  <c r="BE58" i="10"/>
  <c r="G40" i="15"/>
  <c r="D326" i="16"/>
  <c r="V326" i="16" s="1"/>
  <c r="D273" i="16"/>
  <c r="V273" i="16" s="1"/>
  <c r="AB641" i="15"/>
  <c r="BE35" i="10"/>
  <c r="D300" i="16"/>
  <c r="V300" i="16" s="1"/>
  <c r="D212" i="16"/>
  <c r="V212" i="16" s="1"/>
  <c r="Y599" i="15"/>
  <c r="X637" i="15"/>
  <c r="Z637" i="15" s="1"/>
  <c r="BC479" i="9"/>
  <c r="O21" i="3"/>
  <c r="BE21" i="3" s="1"/>
  <c r="X33" i="15"/>
  <c r="Z33" i="15" s="1"/>
  <c r="BC31" i="3"/>
  <c r="DG367" i="2"/>
  <c r="AA725" i="15" s="1"/>
  <c r="AE725" i="15"/>
  <c r="AC725" i="15" s="1"/>
  <c r="X579" i="15"/>
  <c r="Z579" i="15" s="1"/>
  <c r="BC920" i="7"/>
  <c r="AB46" i="15"/>
  <c r="BE77" i="16"/>
  <c r="AB45" i="15"/>
  <c r="BE75" i="16"/>
  <c r="AB42" i="15"/>
  <c r="BE69" i="16"/>
  <c r="AB36" i="15"/>
  <c r="BE57" i="16"/>
  <c r="AB63" i="15"/>
  <c r="BE307" i="16"/>
  <c r="AB43" i="15"/>
  <c r="BE71" i="16"/>
  <c r="AB64" i="15"/>
  <c r="BE308" i="16"/>
  <c r="AB61" i="15"/>
  <c r="BE256" i="16"/>
  <c r="AB624" i="15"/>
  <c r="AB592" i="15"/>
  <c r="BC441" i="9"/>
  <c r="K453" i="15"/>
  <c r="AN453" i="15" s="1"/>
  <c r="AC698" i="7"/>
  <c r="AB486" i="15"/>
  <c r="L445" i="15"/>
  <c r="I445" i="15" s="1"/>
  <c r="AC683" i="7"/>
  <c r="K449" i="15"/>
  <c r="AN449" i="15" s="1"/>
  <c r="AC690" i="7"/>
  <c r="L451" i="15"/>
  <c r="AC695" i="7"/>
  <c r="K454" i="15"/>
  <c r="AN454" i="15" s="1"/>
  <c r="AC700" i="7"/>
  <c r="L455" i="15"/>
  <c r="AC703" i="7"/>
  <c r="AB547" i="15"/>
  <c r="AB544" i="15"/>
  <c r="BC768" i="7"/>
  <c r="L446" i="15"/>
  <c r="AC685" i="7"/>
  <c r="AB535" i="15"/>
  <c r="AB532" i="15"/>
  <c r="L447" i="15"/>
  <c r="AC687" i="7"/>
  <c r="K450" i="15"/>
  <c r="AN450" i="15" s="1"/>
  <c r="AC692" i="7"/>
  <c r="K455" i="15"/>
  <c r="AN455" i="15" s="1"/>
  <c r="AC702" i="7"/>
  <c r="L450" i="15"/>
  <c r="AC693" i="7"/>
  <c r="AB543" i="15"/>
  <c r="L448" i="15"/>
  <c r="AC689" i="7"/>
  <c r="K451" i="15"/>
  <c r="I451" i="15" s="1"/>
  <c r="AC694" i="7"/>
  <c r="L452" i="15"/>
  <c r="AC697" i="7"/>
  <c r="AB546" i="15"/>
  <c r="AB531" i="15"/>
  <c r="AB480" i="15"/>
  <c r="K446" i="15"/>
  <c r="AN446" i="15" s="1"/>
  <c r="AC684" i="7"/>
  <c r="L453" i="15"/>
  <c r="AC699" i="7"/>
  <c r="AB534" i="15"/>
  <c r="K447" i="15"/>
  <c r="AN447" i="15" s="1"/>
  <c r="AC686" i="7"/>
  <c r="K452" i="15"/>
  <c r="AN452" i="15" s="1"/>
  <c r="AC696" i="7"/>
  <c r="L454" i="15"/>
  <c r="AC701" i="7"/>
  <c r="AB545" i="15"/>
  <c r="AB542" i="15"/>
  <c r="K448" i="15"/>
  <c r="AN448" i="15" s="1"/>
  <c r="AC688" i="7"/>
  <c r="L449" i="15"/>
  <c r="AC691" i="7"/>
  <c r="AB618" i="15"/>
  <c r="X587" i="15"/>
  <c r="Z587" i="15" s="1"/>
  <c r="AB635" i="15"/>
  <c r="F9" i="9"/>
  <c r="I9" i="9" s="1"/>
  <c r="Q577" i="15" s="1"/>
  <c r="O577" i="15" s="1"/>
  <c r="U577" i="15" s="1"/>
  <c r="F11" i="9"/>
  <c r="BD11" i="9" s="1"/>
  <c r="BC593" i="9"/>
  <c r="BC478" i="9"/>
  <c r="BC371" i="9"/>
  <c r="BD371" i="9" s="1"/>
  <c r="BC480" i="9"/>
  <c r="AB454" i="15"/>
  <c r="E514" i="7"/>
  <c r="F1321" i="7"/>
  <c r="F1311" i="7" s="1"/>
  <c r="J529" i="15" s="1"/>
  <c r="AB540" i="15"/>
  <c r="AB538" i="15"/>
  <c r="AB536" i="15"/>
  <c r="AB452" i="15"/>
  <c r="BC1308" i="7"/>
  <c r="AB553" i="15"/>
  <c r="AB551" i="15"/>
  <c r="AB549" i="15"/>
  <c r="AB488" i="15"/>
  <c r="AB541" i="15"/>
  <c r="AB539" i="15"/>
  <c r="AB537" i="15"/>
  <c r="BC565" i="7"/>
  <c r="I455" i="7"/>
  <c r="K372" i="15"/>
  <c r="I372" i="15" s="1"/>
  <c r="AN372" i="15" s="1"/>
  <c r="H1627" i="6"/>
  <c r="I1627" i="6" s="1"/>
  <c r="R235" i="15" s="1"/>
  <c r="BC1627" i="6"/>
  <c r="H1660" i="6"/>
  <c r="BC1660" i="6"/>
  <c r="H1886" i="6"/>
  <c r="BC1886" i="6"/>
  <c r="H1874" i="6"/>
  <c r="BC1874" i="6"/>
  <c r="H1896" i="6"/>
  <c r="BC1896" i="6"/>
  <c r="AF212" i="15"/>
  <c r="AE218" i="15"/>
  <c r="H1629" i="6"/>
  <c r="BC1629" i="6"/>
  <c r="H1648" i="6"/>
  <c r="BC1648" i="6"/>
  <c r="AH307" i="15"/>
  <c r="H1858" i="6"/>
  <c r="BC1858" i="6"/>
  <c r="H1606" i="6"/>
  <c r="BC1606" i="6"/>
  <c r="AH291" i="15"/>
  <c r="H1828" i="6"/>
  <c r="BC1828" i="6"/>
  <c r="K4434" i="6"/>
  <c r="K1904" i="6" s="1"/>
  <c r="BE1904" i="6" s="1"/>
  <c r="K4436" i="6"/>
  <c r="K1906" i="6" s="1"/>
  <c r="BE1906" i="6" s="1"/>
  <c r="K4194" i="6"/>
  <c r="K1664" i="6" s="1"/>
  <c r="K4192" i="6"/>
  <c r="K1662" i="6" s="1"/>
  <c r="K4190" i="6"/>
  <c r="K1660" i="6" s="1"/>
  <c r="BE1660" i="6" s="1"/>
  <c r="H1616" i="6"/>
  <c r="BC1616" i="6"/>
  <c r="H1596" i="6"/>
  <c r="I1596" i="6" s="1"/>
  <c r="Q223" i="15" s="1"/>
  <c r="BC1596" i="6"/>
  <c r="H1859" i="6"/>
  <c r="BC1859" i="6"/>
  <c r="AH212" i="15"/>
  <c r="H1672" i="6"/>
  <c r="BC1672" i="6"/>
  <c r="H1812" i="6"/>
  <c r="BC1812" i="6"/>
  <c r="L4104" i="6"/>
  <c r="K4104" i="6" s="1"/>
  <c r="K1574" i="6" s="1"/>
  <c r="BE1574" i="6" s="1"/>
  <c r="AF213" i="15"/>
  <c r="H1626" i="6"/>
  <c r="BC1626" i="6"/>
  <c r="H1640" i="6"/>
  <c r="BC1640" i="6"/>
  <c r="H1692" i="6"/>
  <c r="BC1692" i="6"/>
  <c r="H1780" i="6"/>
  <c r="BC1780" i="6"/>
  <c r="BC1355" i="7"/>
  <c r="BD1355" i="7" s="1"/>
  <c r="AE533" i="15" s="1"/>
  <c r="AC533" i="15" s="1"/>
  <c r="F1134" i="7"/>
  <c r="I495" i="15" s="1"/>
  <c r="AN495" i="15" s="1"/>
  <c r="F1135" i="7"/>
  <c r="I496" i="15" s="1"/>
  <c r="AN496" i="15" s="1"/>
  <c r="F1138" i="7"/>
  <c r="BD1138" i="7" s="1"/>
  <c r="X451" i="15"/>
  <c r="Z451" i="15" s="1"/>
  <c r="BC846" i="7"/>
  <c r="BD846" i="7" s="1"/>
  <c r="BC1343" i="7"/>
  <c r="BC1359" i="7"/>
  <c r="BC1357" i="7"/>
  <c r="BC1353" i="7"/>
  <c r="BC1351" i="7"/>
  <c r="F16" i="7"/>
  <c r="BC1365" i="7"/>
  <c r="BC1349" i="7"/>
  <c r="X489" i="15"/>
  <c r="Z489" i="15" s="1"/>
  <c r="BC1363" i="7"/>
  <c r="BC1347" i="7"/>
  <c r="BC1361" i="7"/>
  <c r="BC1345" i="7"/>
  <c r="F1139" i="7"/>
  <c r="M1139" i="7" s="1"/>
  <c r="O500" i="15" s="1"/>
  <c r="W500" i="15" s="1"/>
  <c r="BC892" i="7"/>
  <c r="X481" i="15"/>
  <c r="Z481" i="15" s="1"/>
  <c r="F599" i="9"/>
  <c r="F592" i="9" s="1"/>
  <c r="I637" i="15" s="1"/>
  <c r="AN637" i="15" s="1"/>
  <c r="AB619" i="15"/>
  <c r="D400" i="9"/>
  <c r="V400" i="9" s="1"/>
  <c r="F14" i="9"/>
  <c r="BD14" i="9" s="1"/>
  <c r="X459" i="15"/>
  <c r="Z459" i="15" s="1"/>
  <c r="F939" i="7"/>
  <c r="I939" i="7" s="1"/>
  <c r="R484" i="15" s="1"/>
  <c r="K812" i="2"/>
  <c r="P790" i="15" s="1"/>
  <c r="W790" i="15" s="1"/>
  <c r="V790" i="15" s="1"/>
  <c r="U790" i="15" s="1"/>
  <c r="D616" i="9"/>
  <c r="BC80" i="9"/>
  <c r="D434" i="9"/>
  <c r="V434" i="9" s="1"/>
  <c r="M280" i="9"/>
  <c r="O605" i="15" s="1"/>
  <c r="W605" i="15" s="1"/>
  <c r="AB595" i="15"/>
  <c r="BE82" i="9"/>
  <c r="AB617" i="15"/>
  <c r="BE371" i="9"/>
  <c r="AB579" i="15"/>
  <c r="BE11" i="9"/>
  <c r="AB597" i="15"/>
  <c r="BE196" i="9"/>
  <c r="AB575" i="15"/>
  <c r="BE7" i="9"/>
  <c r="J4063" i="6"/>
  <c r="J4449" i="6"/>
  <c r="J4059" i="6"/>
  <c r="J4445" i="6"/>
  <c r="J4055" i="6"/>
  <c r="J4441" i="6"/>
  <c r="J4051" i="6"/>
  <c r="J4437" i="6"/>
  <c r="J4047" i="6"/>
  <c r="J4433" i="6"/>
  <c r="J4041" i="6"/>
  <c r="J4427" i="6"/>
  <c r="J4031" i="6"/>
  <c r="J4417" i="6"/>
  <c r="J3989" i="6"/>
  <c r="J4375" i="6"/>
  <c r="J4003" i="6"/>
  <c r="J4389" i="6"/>
  <c r="J3957" i="6"/>
  <c r="J4343" i="6"/>
  <c r="J3973" i="6"/>
  <c r="J4359" i="6"/>
  <c r="J3925" i="6"/>
  <c r="J4311" i="6"/>
  <c r="J3941" i="6"/>
  <c r="J4327" i="6"/>
  <c r="J3909" i="6"/>
  <c r="J4295" i="6"/>
  <c r="J4241" i="6"/>
  <c r="J4223" i="6"/>
  <c r="J4203" i="6"/>
  <c r="J4191" i="6"/>
  <c r="J4171" i="6"/>
  <c r="J4179" i="6"/>
  <c r="J4157" i="6"/>
  <c r="J4143" i="6"/>
  <c r="J4147" i="6"/>
  <c r="J4137" i="6"/>
  <c r="F1710" i="6"/>
  <c r="J4127" i="6"/>
  <c r="J4113" i="6"/>
  <c r="J4105" i="6"/>
  <c r="M4064" i="6"/>
  <c r="F1812" i="6"/>
  <c r="C1876" i="6"/>
  <c r="J4019" i="6"/>
  <c r="F1616" i="6"/>
  <c r="K231" i="15" s="1"/>
  <c r="F1576" i="6"/>
  <c r="M217" i="15" s="1"/>
  <c r="BC1901" i="6"/>
  <c r="AF306" i="15"/>
  <c r="F1629" i="6"/>
  <c r="N235" i="15" s="1"/>
  <c r="F1661" i="6"/>
  <c r="BD1661" i="6" s="1"/>
  <c r="F1693" i="6"/>
  <c r="L263" i="15" s="1"/>
  <c r="F1797" i="6"/>
  <c r="F1799" i="6"/>
  <c r="N295" i="15" s="1"/>
  <c r="F1829" i="6"/>
  <c r="BD1829" i="6" s="1"/>
  <c r="F1673" i="6"/>
  <c r="L255" i="15" s="1"/>
  <c r="F1831" i="6"/>
  <c r="N303" i="15" s="1"/>
  <c r="AE234" i="15"/>
  <c r="F1649" i="6"/>
  <c r="L243" i="15" s="1"/>
  <c r="F1859" i="6"/>
  <c r="L311" i="15" s="1"/>
  <c r="F1910" i="6"/>
  <c r="K329" i="15" s="1"/>
  <c r="F1713" i="6"/>
  <c r="F1861" i="6"/>
  <c r="N311" i="15" s="1"/>
  <c r="F1887" i="6"/>
  <c r="L319" i="15" s="1"/>
  <c r="X234" i="15"/>
  <c r="AB198" i="15"/>
  <c r="X330" i="15"/>
  <c r="Z330" i="15" s="1"/>
  <c r="F1874" i="6"/>
  <c r="D291" i="15"/>
  <c r="H1781" i="6"/>
  <c r="I1781" i="6" s="1"/>
  <c r="R291" i="15" s="1"/>
  <c r="D295" i="15"/>
  <c r="H1797" i="6"/>
  <c r="D307" i="15"/>
  <c r="H1845" i="6"/>
  <c r="I1845" i="6" s="1"/>
  <c r="R307" i="15" s="1"/>
  <c r="H1582" i="6"/>
  <c r="D287" i="15"/>
  <c r="H1765" i="6"/>
  <c r="I1765" i="6" s="1"/>
  <c r="R287" i="15" s="1"/>
  <c r="E299" i="15"/>
  <c r="H1814" i="6"/>
  <c r="E303" i="15"/>
  <c r="H1830" i="6"/>
  <c r="E315" i="15"/>
  <c r="H1876" i="6"/>
  <c r="D333" i="15"/>
  <c r="H1919" i="6"/>
  <c r="I1919" i="6" s="1"/>
  <c r="R333" i="15" s="1"/>
  <c r="D227" i="15"/>
  <c r="H1607" i="6"/>
  <c r="I1607" i="6" s="1"/>
  <c r="R227" i="15" s="1"/>
  <c r="D255" i="15"/>
  <c r="H1673" i="6"/>
  <c r="D263" i="15"/>
  <c r="H1693" i="6"/>
  <c r="D269" i="15"/>
  <c r="H1711" i="6"/>
  <c r="I1711" i="6" s="1"/>
  <c r="R269" i="15" s="1"/>
  <c r="E287" i="15"/>
  <c r="H1766" i="6"/>
  <c r="E291" i="15"/>
  <c r="H1782" i="6"/>
  <c r="E295" i="15"/>
  <c r="H1798" i="6"/>
  <c r="F299" i="15"/>
  <c r="H1815" i="6"/>
  <c r="I1815" i="6" s="1"/>
  <c r="T299" i="15" s="1"/>
  <c r="F303" i="15"/>
  <c r="H1831" i="6"/>
  <c r="E307" i="15"/>
  <c r="H1846" i="6"/>
  <c r="F315" i="15"/>
  <c r="H1877" i="6"/>
  <c r="I1877" i="6" s="1"/>
  <c r="T315" i="15" s="1"/>
  <c r="D323" i="15"/>
  <c r="H1897" i="6"/>
  <c r="I1897" i="6" s="1"/>
  <c r="R323" i="15" s="1"/>
  <c r="D331" i="15"/>
  <c r="H1915" i="6"/>
  <c r="I1915" i="6" s="1"/>
  <c r="R331" i="15" s="1"/>
  <c r="F217" i="15"/>
  <c r="H1577" i="6"/>
  <c r="I1577" i="6" s="1"/>
  <c r="T217" i="15" s="1"/>
  <c r="D219" i="15"/>
  <c r="H1583" i="6"/>
  <c r="I1583" i="6" s="1"/>
  <c r="R219" i="15" s="1"/>
  <c r="E235" i="15"/>
  <c r="H1628" i="6"/>
  <c r="F287" i="15"/>
  <c r="H1767" i="6"/>
  <c r="I1767" i="6" s="1"/>
  <c r="T287" i="15" s="1"/>
  <c r="F291" i="15"/>
  <c r="H1783" i="6"/>
  <c r="I1783" i="6" s="1"/>
  <c r="T291" i="15" s="1"/>
  <c r="F295" i="15"/>
  <c r="H1799" i="6"/>
  <c r="F307" i="15"/>
  <c r="H1847" i="6"/>
  <c r="I1847" i="6" s="1"/>
  <c r="T307" i="15" s="1"/>
  <c r="E311" i="15"/>
  <c r="H1860" i="6"/>
  <c r="BC832" i="6"/>
  <c r="E227" i="15"/>
  <c r="H1608" i="6"/>
  <c r="H1612" i="6"/>
  <c r="D239" i="15"/>
  <c r="H1641" i="6"/>
  <c r="I1641" i="6" s="1"/>
  <c r="R239" i="15" s="1"/>
  <c r="E269" i="15"/>
  <c r="H1712" i="6"/>
  <c r="F311" i="15"/>
  <c r="H1861" i="6"/>
  <c r="E323" i="15"/>
  <c r="H1898" i="6"/>
  <c r="D325" i="15"/>
  <c r="H1903" i="6"/>
  <c r="I1903" i="6" s="1"/>
  <c r="R325" i="15" s="1"/>
  <c r="D327" i="15"/>
  <c r="H1907" i="6"/>
  <c r="I1907" i="6" s="1"/>
  <c r="R327" i="15" s="1"/>
  <c r="H1710" i="6"/>
  <c r="J836" i="6"/>
  <c r="BC836" i="6" s="1"/>
  <c r="D217" i="15"/>
  <c r="H1575" i="6"/>
  <c r="E219" i="15"/>
  <c r="H1584" i="6"/>
  <c r="F227" i="15"/>
  <c r="H1609" i="6"/>
  <c r="I1609" i="6" s="1"/>
  <c r="T227" i="15" s="1"/>
  <c r="D243" i="15"/>
  <c r="H1649" i="6"/>
  <c r="F269" i="15"/>
  <c r="H1713" i="6"/>
  <c r="D319" i="15"/>
  <c r="H1887" i="6"/>
  <c r="F323" i="15"/>
  <c r="H1899" i="6"/>
  <c r="I1899" i="6" s="1"/>
  <c r="T323" i="15" s="1"/>
  <c r="I1911" i="6"/>
  <c r="R329" i="15" s="1"/>
  <c r="F219" i="15"/>
  <c r="H1585" i="6"/>
  <c r="I1585" i="6" s="1"/>
  <c r="T219" i="15" s="1"/>
  <c r="D223" i="15"/>
  <c r="H1597" i="6"/>
  <c r="I1597" i="6" s="1"/>
  <c r="R223" i="15" s="1"/>
  <c r="D229" i="15"/>
  <c r="H1613" i="6"/>
  <c r="I1613" i="6" s="1"/>
  <c r="R229" i="15" s="1"/>
  <c r="D231" i="15"/>
  <c r="H1617" i="6"/>
  <c r="I1617" i="6" s="1"/>
  <c r="R231" i="15" s="1"/>
  <c r="H1796" i="6"/>
  <c r="H1844" i="6"/>
  <c r="D249" i="15"/>
  <c r="H1661" i="6"/>
  <c r="H1764" i="6"/>
  <c r="D299" i="15"/>
  <c r="H1813" i="6"/>
  <c r="I1813" i="6" s="1"/>
  <c r="R299" i="15" s="1"/>
  <c r="D303" i="15"/>
  <c r="H1829" i="6"/>
  <c r="D315" i="15"/>
  <c r="H1875" i="6"/>
  <c r="I1875" i="6" s="1"/>
  <c r="R315" i="15" s="1"/>
  <c r="L291" i="15"/>
  <c r="L239" i="15"/>
  <c r="N315" i="15"/>
  <c r="L331" i="15"/>
  <c r="L229" i="15"/>
  <c r="N287" i="15"/>
  <c r="L299" i="15"/>
  <c r="K223" i="15"/>
  <c r="I223" i="15" s="1"/>
  <c r="L219" i="15"/>
  <c r="N299" i="15"/>
  <c r="N219" i="15"/>
  <c r="L235" i="15"/>
  <c r="L307" i="15"/>
  <c r="L315" i="15"/>
  <c r="N217" i="15"/>
  <c r="N307" i="15"/>
  <c r="L333" i="15"/>
  <c r="N227" i="15"/>
  <c r="L325" i="15"/>
  <c r="L269" i="15"/>
  <c r="BC1904" i="6"/>
  <c r="BD1904" i="6" s="1"/>
  <c r="BC1916" i="6"/>
  <c r="BD1916" i="6" s="1"/>
  <c r="AE310" i="15"/>
  <c r="X295" i="15"/>
  <c r="AE322" i="15"/>
  <c r="AC322" i="15" s="1"/>
  <c r="Y212" i="15"/>
  <c r="BC1580" i="6"/>
  <c r="BD1580" i="6" s="1"/>
  <c r="BC826" i="6"/>
  <c r="Y219" i="15"/>
  <c r="X323" i="15"/>
  <c r="X210" i="15"/>
  <c r="BC190" i="6"/>
  <c r="BD190" i="6" s="1"/>
  <c r="AE283" i="15"/>
  <c r="V643" i="6"/>
  <c r="Y278" i="15"/>
  <c r="Z278" i="15" s="1"/>
  <c r="X299" i="15"/>
  <c r="AE298" i="15"/>
  <c r="AC298" i="15" s="1"/>
  <c r="X262" i="15"/>
  <c r="Z262" i="15" s="1"/>
  <c r="X268" i="15"/>
  <c r="F1364" i="6"/>
  <c r="J1326" i="6"/>
  <c r="BC1326" i="6" s="1"/>
  <c r="S298" i="15"/>
  <c r="X263" i="15"/>
  <c r="Z263" i="15" s="1"/>
  <c r="F1370" i="6"/>
  <c r="X197" i="15"/>
  <c r="Z197" i="15" s="1"/>
  <c r="F1376" i="6"/>
  <c r="BC1571" i="6"/>
  <c r="BD1571" i="6" s="1"/>
  <c r="F1384" i="6"/>
  <c r="Y316" i="15"/>
  <c r="Z316" i="15" s="1"/>
  <c r="F1366" i="6"/>
  <c r="X281" i="15"/>
  <c r="Z281" i="15" s="1"/>
  <c r="F1396" i="6"/>
  <c r="AE279" i="15"/>
  <c r="AC279" i="15" s="1"/>
  <c r="Q326" i="15"/>
  <c r="BC166" i="6"/>
  <c r="BC169" i="6"/>
  <c r="BC1579" i="6"/>
  <c r="BD1579" i="6" s="1"/>
  <c r="AH298" i="15"/>
  <c r="AB238" i="15"/>
  <c r="K835" i="6"/>
  <c r="BE835" i="6" s="1"/>
  <c r="BE831" i="6"/>
  <c r="AB230" i="15"/>
  <c r="K849" i="6"/>
  <c r="BE849" i="6" s="1"/>
  <c r="BE847" i="6"/>
  <c r="K859" i="6"/>
  <c r="BE859" i="6" s="1"/>
  <c r="BE855" i="6"/>
  <c r="AB178" i="15"/>
  <c r="BE820" i="6"/>
  <c r="K825" i="6"/>
  <c r="BE825" i="6" s="1"/>
  <c r="BE823" i="6"/>
  <c r="AB132" i="15"/>
  <c r="BE139" i="6"/>
  <c r="F1005" i="7"/>
  <c r="J1005" i="7" s="1"/>
  <c r="O487" i="15" s="1"/>
  <c r="V487" i="15" s="1"/>
  <c r="AB484" i="15"/>
  <c r="BC1366" i="7"/>
  <c r="F9" i="7"/>
  <c r="AB426" i="15"/>
  <c r="BE493" i="7"/>
  <c r="AB487" i="15"/>
  <c r="BE1005" i="7"/>
  <c r="AB375" i="15"/>
  <c r="BE16" i="7"/>
  <c r="AB399" i="15"/>
  <c r="BE138" i="7"/>
  <c r="AB410" i="15"/>
  <c r="BE149" i="7"/>
  <c r="AB462" i="15"/>
  <c r="BE769" i="7"/>
  <c r="AB528" i="15"/>
  <c r="BE1308" i="7"/>
  <c r="AB398" i="15"/>
  <c r="BE137" i="7"/>
  <c r="AB469" i="15"/>
  <c r="BE847" i="7"/>
  <c r="AB473" i="15"/>
  <c r="BC1350" i="7"/>
  <c r="AB381" i="15"/>
  <c r="BE59" i="7"/>
  <c r="AB450" i="15"/>
  <c r="BE692" i="7"/>
  <c r="AB451" i="15"/>
  <c r="BE694" i="7"/>
  <c r="AB503" i="15"/>
  <c r="BE1142" i="7"/>
  <c r="AB477" i="15"/>
  <c r="BE924" i="7"/>
  <c r="F8" i="7"/>
  <c r="AB412" i="15"/>
  <c r="BE151" i="7"/>
  <c r="AB420" i="15"/>
  <c r="BE452" i="7"/>
  <c r="AB489" i="15"/>
  <c r="BE1040" i="7"/>
  <c r="AB467" i="15"/>
  <c r="BE845" i="7"/>
  <c r="AB384" i="15"/>
  <c r="BE62" i="7"/>
  <c r="AB529" i="15"/>
  <c r="BE1310" i="7"/>
  <c r="BC1358" i="7"/>
  <c r="AB408" i="15"/>
  <c r="BE147" i="7"/>
  <c r="AB447" i="15"/>
  <c r="BE686" i="7"/>
  <c r="AB479" i="15"/>
  <c r="BE928" i="7"/>
  <c r="AB468" i="15"/>
  <c r="BE846" i="7"/>
  <c r="AB470" i="15"/>
  <c r="BE848" i="7"/>
  <c r="AB70" i="15"/>
  <c r="BE10" i="5"/>
  <c r="AB197" i="15"/>
  <c r="BE1325" i="6"/>
  <c r="K12" i="9"/>
  <c r="D266" i="9"/>
  <c r="X589" i="15"/>
  <c r="Z589" i="15" s="1"/>
  <c r="D399" i="9"/>
  <c r="V399" i="9" s="1"/>
  <c r="D614" i="9"/>
  <c r="L197" i="9"/>
  <c r="X598" i="15" s="1"/>
  <c r="Z598" i="15" s="1"/>
  <c r="X597" i="15"/>
  <c r="Z597" i="15" s="1"/>
  <c r="D469" i="9"/>
  <c r="V469" i="9" s="1"/>
  <c r="D584" i="9"/>
  <c r="V584" i="9" s="1"/>
  <c r="D180" i="9"/>
  <c r="V180" i="9" s="1"/>
  <c r="AB637" i="15"/>
  <c r="AB501" i="15"/>
  <c r="AB482" i="15"/>
  <c r="AB448" i="15"/>
  <c r="X470" i="15"/>
  <c r="Z470" i="15" s="1"/>
  <c r="AB499" i="15"/>
  <c r="AB481" i="15"/>
  <c r="AB496" i="15"/>
  <c r="AB494" i="15"/>
  <c r="X477" i="15"/>
  <c r="Z477" i="15" s="1"/>
  <c r="AB476" i="15"/>
  <c r="AB483" i="15"/>
  <c r="F452" i="7"/>
  <c r="I420" i="15" s="1"/>
  <c r="AN420" i="15" s="1"/>
  <c r="F31" i="3"/>
  <c r="G31" i="3" s="1"/>
  <c r="X31" i="15"/>
  <c r="Z31" i="15" s="1"/>
  <c r="BC25" i="3"/>
  <c r="X23" i="15"/>
  <c r="Z23" i="15" s="1"/>
  <c r="X19" i="15"/>
  <c r="Z19" i="15" s="1"/>
  <c r="F12" i="3"/>
  <c r="I14" i="15" s="1"/>
  <c r="AN14" i="15" s="1"/>
  <c r="D516" i="7"/>
  <c r="V516" i="7" s="1"/>
  <c r="BC847" i="7"/>
  <c r="BD847" i="7" s="1"/>
  <c r="M494" i="7"/>
  <c r="BE494" i="7" s="1"/>
  <c r="AG206" i="15"/>
  <c r="AD206" i="15" s="1"/>
  <c r="BC769" i="7"/>
  <c r="BD769" i="7" s="1"/>
  <c r="F1141" i="7"/>
  <c r="BD1141" i="7" s="1"/>
  <c r="AE278" i="15"/>
  <c r="F1782" i="6"/>
  <c r="BD1782" i="6" s="1"/>
  <c r="F245" i="6"/>
  <c r="F317" i="6" s="1"/>
  <c r="F389" i="6" s="1"/>
  <c r="F461" i="6" s="1"/>
  <c r="F533" i="6" s="1"/>
  <c r="F605" i="6" s="1"/>
  <c r="F678" i="6" s="1"/>
  <c r="F750" i="6" s="1"/>
  <c r="F1876" i="6"/>
  <c r="BD1876" i="6" s="1"/>
  <c r="F1914" i="6"/>
  <c r="F1582" i="6"/>
  <c r="F1814" i="6"/>
  <c r="BD1814" i="6" s="1"/>
  <c r="X4184" i="6"/>
  <c r="K4274" i="6"/>
  <c r="AF234" i="15"/>
  <c r="Y300" i="15"/>
  <c r="Y282" i="15"/>
  <c r="F1353" i="6"/>
  <c r="F1413" i="6" s="1"/>
  <c r="AB324" i="15"/>
  <c r="AG226" i="15"/>
  <c r="AH322" i="15"/>
  <c r="AD322" i="15" s="1"/>
  <c r="X222" i="15"/>
  <c r="Z222" i="15" s="1"/>
  <c r="K821" i="6"/>
  <c r="BE821" i="6" s="1"/>
  <c r="Y227" i="15"/>
  <c r="G319" i="15"/>
  <c r="J861" i="6"/>
  <c r="BC861" i="6" s="1"/>
  <c r="AH290" i="15"/>
  <c r="X309" i="15"/>
  <c r="Z309" i="15" s="1"/>
  <c r="X735" i="6"/>
  <c r="X1272" i="6"/>
  <c r="BC796" i="6"/>
  <c r="F1362" i="6"/>
  <c r="X1292" i="6"/>
  <c r="X1290" i="6"/>
  <c r="X292" i="15"/>
  <c r="AF226" i="15"/>
  <c r="AC226" i="15" s="1"/>
  <c r="G160" i="15"/>
  <c r="F1357" i="6"/>
  <c r="F1405" i="6" s="1"/>
  <c r="X307" i="15"/>
  <c r="AB228" i="15"/>
  <c r="Y291" i="15"/>
  <c r="Z291" i="15" s="1"/>
  <c r="AG290" i="15"/>
  <c r="X1293" i="6"/>
  <c r="AE274" i="15"/>
  <c r="G179" i="15"/>
  <c r="AF223" i="15"/>
  <c r="X215" i="15"/>
  <c r="Z215" i="15" s="1"/>
  <c r="X242" i="15"/>
  <c r="Z242" i="15" s="1"/>
  <c r="BC798" i="6"/>
  <c r="BD798" i="6" s="1"/>
  <c r="Q330" i="15"/>
  <c r="AE316" i="15"/>
  <c r="AC316" i="15" s="1"/>
  <c r="AB207" i="15"/>
  <c r="AE242" i="15"/>
  <c r="F1660" i="6"/>
  <c r="F1846" i="6"/>
  <c r="BD1846" i="6" s="1"/>
  <c r="AB279" i="15"/>
  <c r="S234" i="15"/>
  <c r="Y292" i="15"/>
  <c r="G128" i="15"/>
  <c r="F1844" i="6"/>
  <c r="AE238" i="15"/>
  <c r="F1606" i="6"/>
  <c r="AH226" i="15"/>
  <c r="AE252" i="15"/>
  <c r="X238" i="15"/>
  <c r="Z238" i="15" s="1"/>
  <c r="AG302" i="15"/>
  <c r="BC833" i="6"/>
  <c r="X324" i="15"/>
  <c r="Z324" i="15" s="1"/>
  <c r="F1416" i="6"/>
  <c r="F1368" i="6"/>
  <c r="F1392" i="6"/>
  <c r="F1380" i="6"/>
  <c r="F242" i="6"/>
  <c r="F314" i="6" s="1"/>
  <c r="F386" i="6" s="1"/>
  <c r="F458" i="6" s="1"/>
  <c r="F530" i="6" s="1"/>
  <c r="F602" i="6" s="1"/>
  <c r="F675" i="6" s="1"/>
  <c r="F747" i="6" s="1"/>
  <c r="F236" i="6"/>
  <c r="F308" i="6" s="1"/>
  <c r="F380" i="6" s="1"/>
  <c r="F452" i="6" s="1"/>
  <c r="F524" i="6" s="1"/>
  <c r="F596" i="6" s="1"/>
  <c r="F669" i="6" s="1"/>
  <c r="F741" i="6" s="1"/>
  <c r="F1648" i="6"/>
  <c r="BC1902" i="6"/>
  <c r="Y210" i="15"/>
  <c r="F1398" i="6"/>
  <c r="Y302" i="15"/>
  <c r="Z302" i="15" s="1"/>
  <c r="F1780" i="6"/>
  <c r="K291" i="15" s="1"/>
  <c r="BC1900" i="6"/>
  <c r="BD1900" i="6" s="1"/>
  <c r="AE306" i="15"/>
  <c r="AE318" i="15"/>
  <c r="AC318" i="15" s="1"/>
  <c r="F1386" i="6"/>
  <c r="BC1536" i="6"/>
  <c r="BD1536" i="6" s="1"/>
  <c r="X194" i="15"/>
  <c r="Z194" i="15" s="1"/>
  <c r="F1374" i="6"/>
  <c r="BC1319" i="6"/>
  <c r="F1404" i="6"/>
  <c r="J825" i="6"/>
  <c r="BC825" i="6" s="1"/>
  <c r="X318" i="15"/>
  <c r="Z318" i="15" s="1"/>
  <c r="G158" i="15"/>
  <c r="BC1364" i="7"/>
  <c r="BC1356" i="7"/>
  <c r="BC1348" i="7"/>
  <c r="AB461" i="15"/>
  <c r="BC1362" i="7"/>
  <c r="BC1354" i="7"/>
  <c r="BC1346" i="7"/>
  <c r="BC1360" i="7"/>
  <c r="BC1352" i="7"/>
  <c r="BC1344" i="7"/>
  <c r="AB623" i="15"/>
  <c r="AB621" i="15"/>
  <c r="X599" i="15"/>
  <c r="AG599" i="15"/>
  <c r="AD599" i="15" s="1"/>
  <c r="K9" i="7"/>
  <c r="BE9" i="7" s="1"/>
  <c r="K12" i="7"/>
  <c r="BE12" i="7" s="1"/>
  <c r="K18" i="7"/>
  <c r="BE18" i="7" s="1"/>
  <c r="AF475" i="15"/>
  <c r="F1152" i="7"/>
  <c r="AE618" i="15"/>
  <c r="AC618" i="15" s="1"/>
  <c r="X40" i="15"/>
  <c r="Z40" i="15" s="1"/>
  <c r="AB37" i="15"/>
  <c r="X43" i="15"/>
  <c r="Z43" i="15" s="1"/>
  <c r="AE38" i="15"/>
  <c r="X35" i="15"/>
  <c r="Z35" i="15" s="1"/>
  <c r="V35" i="9"/>
  <c r="V268" i="9" s="1"/>
  <c r="D470" i="9"/>
  <c r="V470" i="9" s="1"/>
  <c r="V471" i="9"/>
  <c r="D181" i="9"/>
  <c r="V181" i="9" s="1"/>
  <c r="D435" i="9"/>
  <c r="V435" i="9" s="1"/>
  <c r="M197" i="9"/>
  <c r="BE197" i="9" s="1"/>
  <c r="X635" i="15"/>
  <c r="Z635" i="15" s="1"/>
  <c r="AB622" i="15"/>
  <c r="X618" i="15"/>
  <c r="Z618" i="15" s="1"/>
  <c r="D268" i="9"/>
  <c r="J441" i="9"/>
  <c r="O619" i="15" s="1"/>
  <c r="V619" i="15" s="1"/>
  <c r="X388" i="15"/>
  <c r="Z388" i="15" s="1"/>
  <c r="BC66" i="7"/>
  <c r="AB388" i="15"/>
  <c r="X389" i="15"/>
  <c r="Z389" i="15" s="1"/>
  <c r="BC67" i="7"/>
  <c r="J456" i="7"/>
  <c r="AB389" i="15"/>
  <c r="BC129" i="7"/>
  <c r="I468" i="15"/>
  <c r="AN468" i="15" s="1"/>
  <c r="I470" i="15"/>
  <c r="AN470" i="15" s="1"/>
  <c r="I469" i="15"/>
  <c r="AN469" i="15" s="1"/>
  <c r="AE64" i="15"/>
  <c r="AC64" i="15" s="1"/>
  <c r="X455" i="15"/>
  <c r="Z455" i="15" s="1"/>
  <c r="BC79" i="9"/>
  <c r="BC10" i="9"/>
  <c r="BC1903" i="6"/>
  <c r="BD1903" i="6" s="1"/>
  <c r="Q1945" i="6"/>
  <c r="X4090" i="6" s="1"/>
  <c r="Y235" i="15"/>
  <c r="Z235" i="15" s="1"/>
  <c r="BC1912" i="6"/>
  <c r="BD1912" i="6" s="1"/>
  <c r="AF310" i="15"/>
  <c r="R302" i="15"/>
  <c r="BC1909" i="6"/>
  <c r="BD1909" i="6" s="1"/>
  <c r="AF248" i="15"/>
  <c r="AF254" i="15"/>
  <c r="Y284" i="15"/>
  <c r="X269" i="15"/>
  <c r="X258" i="15"/>
  <c r="Z258" i="15" s="1"/>
  <c r="Y234" i="15"/>
  <c r="AE260" i="15"/>
  <c r="BC1577" i="6"/>
  <c r="BD1577" i="6" s="1"/>
  <c r="Y143" i="15"/>
  <c r="AG234" i="15"/>
  <c r="AB199" i="15"/>
  <c r="BC1575" i="6"/>
  <c r="M4100" i="6"/>
  <c r="L4100" i="6" s="1"/>
  <c r="K4100" i="6" s="1"/>
  <c r="BC184" i="6"/>
  <c r="BC1917" i="6"/>
  <c r="BD1917" i="6" s="1"/>
  <c r="X182" i="15"/>
  <c r="Z182" i="15" s="1"/>
  <c r="F233" i="6"/>
  <c r="F305" i="6" s="1"/>
  <c r="F377" i="6" s="1"/>
  <c r="F449" i="6" s="1"/>
  <c r="F521" i="6" s="1"/>
  <c r="F593" i="6" s="1"/>
  <c r="F666" i="6" s="1"/>
  <c r="F738" i="6" s="1"/>
  <c r="X151" i="15"/>
  <c r="BC186" i="6"/>
  <c r="Q318" i="15"/>
  <c r="R286" i="15"/>
  <c r="Q226" i="15"/>
  <c r="T322" i="15"/>
  <c r="S268" i="15"/>
  <c r="R314" i="15"/>
  <c r="I1326" i="6"/>
  <c r="R197" i="15" s="1"/>
  <c r="R330" i="15"/>
  <c r="S322" i="15"/>
  <c r="Q332" i="15"/>
  <c r="Q298" i="15"/>
  <c r="Q254" i="15"/>
  <c r="Q294" i="15"/>
  <c r="E142" i="16"/>
  <c r="E107" i="16"/>
  <c r="AB47" i="15"/>
  <c r="E156" i="16"/>
  <c r="E133" i="16"/>
  <c r="E159" i="16"/>
  <c r="E136" i="16"/>
  <c r="O604" i="7"/>
  <c r="BE604" i="7" s="1"/>
  <c r="O607" i="7"/>
  <c r="BE607" i="7" s="1"/>
  <c r="N523" i="7"/>
  <c r="BE523" i="7" s="1"/>
  <c r="M564" i="7"/>
  <c r="BE564" i="7" s="1"/>
  <c r="AB209" i="15"/>
  <c r="X13" i="15"/>
  <c r="Z13" i="15" s="1"/>
  <c r="AB459" i="15"/>
  <c r="X472" i="15"/>
  <c r="Z472" i="15" s="1"/>
  <c r="BC131" i="6"/>
  <c r="X127" i="15"/>
  <c r="AF275" i="15"/>
  <c r="AF274" i="15"/>
  <c r="Y280" i="15"/>
  <c r="AG280" i="15"/>
  <c r="AH302" i="15"/>
  <c r="Y310" i="15"/>
  <c r="Z310" i="15" s="1"/>
  <c r="G181" i="15"/>
  <c r="F1200" i="6"/>
  <c r="K829" i="6"/>
  <c r="BE829" i="6" s="1"/>
  <c r="J835" i="6"/>
  <c r="BC835" i="6" s="1"/>
  <c r="BC831" i="6"/>
  <c r="D235" i="15"/>
  <c r="X246" i="15"/>
  <c r="Z246" i="15" s="1"/>
  <c r="AE246" i="15"/>
  <c r="AC246" i="15" s="1"/>
  <c r="AH268" i="15"/>
  <c r="AB590" i="15"/>
  <c r="X61" i="15"/>
  <c r="Z61" i="15" s="1"/>
  <c r="BC256" i="16"/>
  <c r="BD256" i="16" s="1"/>
  <c r="BC7" i="3"/>
  <c r="X9" i="15"/>
  <c r="Z9" i="15" s="1"/>
  <c r="BC23" i="3"/>
  <c r="X25" i="15"/>
  <c r="Z25" i="15" s="1"/>
  <c r="Q242" i="15"/>
  <c r="F1798" i="6"/>
  <c r="BD1798" i="6" s="1"/>
  <c r="F564" i="7"/>
  <c r="I431" i="15" s="1"/>
  <c r="AN431" i="15" s="1"/>
  <c r="F929" i="7"/>
  <c r="L479" i="15" s="1"/>
  <c r="I479" i="15" s="1"/>
  <c r="F927" i="7"/>
  <c r="AB491" i="15"/>
  <c r="X576" i="15"/>
  <c r="Z576" i="15" s="1"/>
  <c r="BC8" i="9"/>
  <c r="AE642" i="15"/>
  <c r="AC642" i="15" s="1"/>
  <c r="X37" i="15"/>
  <c r="Z37" i="15" s="1"/>
  <c r="X47" i="15"/>
  <c r="Z47" i="15" s="1"/>
  <c r="E148" i="16"/>
  <c r="E135" i="16"/>
  <c r="I457" i="7"/>
  <c r="F457" i="7" s="1"/>
  <c r="I425" i="15" s="1"/>
  <c r="F254" i="6"/>
  <c r="F326" i="6" s="1"/>
  <c r="F398" i="6" s="1"/>
  <c r="F470" i="6" s="1"/>
  <c r="F542" i="6" s="1"/>
  <c r="F614" i="6" s="1"/>
  <c r="F687" i="6" s="1"/>
  <c r="F759" i="6" s="1"/>
  <c r="Y161" i="15"/>
  <c r="Z161" i="15" s="1"/>
  <c r="BC178" i="6"/>
  <c r="BD178" i="6" s="1"/>
  <c r="BC164" i="6"/>
  <c r="BC938" i="7"/>
  <c r="O11" i="3"/>
  <c r="BE11" i="3" s="1"/>
  <c r="F14" i="3"/>
  <c r="BD14" i="3" s="1"/>
  <c r="F20" i="3"/>
  <c r="I22" i="15" s="1"/>
  <c r="AN22" i="15" s="1"/>
  <c r="F26" i="3"/>
  <c r="I28" i="15" s="1"/>
  <c r="AN28" i="15" s="1"/>
  <c r="F28" i="3"/>
  <c r="G28" i="3" s="1"/>
  <c r="O30" i="15" s="1"/>
  <c r="W30" i="15" s="1"/>
  <c r="F1626" i="6"/>
  <c r="F1672" i="6"/>
  <c r="F1712" i="6"/>
  <c r="BD1712" i="6" s="1"/>
  <c r="F1796" i="6"/>
  <c r="F1886" i="6"/>
  <c r="I453" i="7"/>
  <c r="F453" i="7" s="1"/>
  <c r="BD453" i="7" s="1"/>
  <c r="X38" i="15"/>
  <c r="Z38" i="15" s="1"/>
  <c r="E147" i="16"/>
  <c r="E108" i="16"/>
  <c r="E121" i="16"/>
  <c r="AB39" i="15"/>
  <c r="E144" i="16"/>
  <c r="E158" i="16"/>
  <c r="E162" i="16"/>
  <c r="J455" i="7"/>
  <c r="F281" i="6"/>
  <c r="F353" i="6" s="1"/>
  <c r="F425" i="6" s="1"/>
  <c r="F497" i="6" s="1"/>
  <c r="F569" i="6" s="1"/>
  <c r="F641" i="6" s="1"/>
  <c r="F714" i="6" s="1"/>
  <c r="F786" i="6" s="1"/>
  <c r="Y146" i="15"/>
  <c r="BC188" i="6"/>
  <c r="X155" i="15"/>
  <c r="F7" i="3"/>
  <c r="N8" i="3"/>
  <c r="F9" i="3"/>
  <c r="I11" i="15" s="1"/>
  <c r="AN11" i="15" s="1"/>
  <c r="N10" i="3"/>
  <c r="F11" i="3"/>
  <c r="I13" i="15" s="1"/>
  <c r="AN13" i="15" s="1"/>
  <c r="N12" i="3"/>
  <c r="F13" i="3"/>
  <c r="G13" i="3" s="1"/>
  <c r="O15" i="15" s="1"/>
  <c r="W15" i="15" s="1"/>
  <c r="N14" i="3"/>
  <c r="F17" i="3"/>
  <c r="G17" i="3" s="1"/>
  <c r="O19" i="15" s="1"/>
  <c r="W19" i="15" s="1"/>
  <c r="N20" i="3"/>
  <c r="N22" i="3"/>
  <c r="F23" i="3"/>
  <c r="I25" i="15" s="1"/>
  <c r="AN25" i="15" s="1"/>
  <c r="N24" i="3"/>
  <c r="F25" i="3"/>
  <c r="I27" i="15" s="1"/>
  <c r="AN27" i="15" s="1"/>
  <c r="N26" i="3"/>
  <c r="N27" i="3"/>
  <c r="N28" i="3"/>
  <c r="N29" i="3"/>
  <c r="N31" i="3"/>
  <c r="I145" i="6"/>
  <c r="Q136" i="15" s="1"/>
  <c r="W136" i="15" s="1"/>
  <c r="Q1946" i="6"/>
  <c r="X4306" i="6" s="1"/>
  <c r="F1584" i="6"/>
  <c r="BD1584" i="6" s="1"/>
  <c r="M4098" i="6"/>
  <c r="L4098" i="6" s="1"/>
  <c r="W324" i="7"/>
  <c r="W348" i="7"/>
  <c r="X41" i="15"/>
  <c r="Z41" i="15" s="1"/>
  <c r="E116" i="16"/>
  <c r="D327" i="16"/>
  <c r="V327" i="16" s="1"/>
  <c r="BC180" i="6"/>
  <c r="BD180" i="6" s="1"/>
  <c r="BC177" i="6"/>
  <c r="F15" i="7"/>
  <c r="BD15" i="7" s="1"/>
  <c r="X435" i="15"/>
  <c r="Z435" i="15" s="1"/>
  <c r="AB446" i="15"/>
  <c r="AB372" i="15"/>
  <c r="X443" i="15"/>
  <c r="Z443" i="15" s="1"/>
  <c r="E115" i="7"/>
  <c r="F12" i="7"/>
  <c r="I12" i="7" s="1"/>
  <c r="Q371" i="15" s="1"/>
  <c r="O371" i="15" s="1"/>
  <c r="G38" i="15"/>
  <c r="D166" i="16"/>
  <c r="V166" i="16" s="1"/>
  <c r="AB44" i="15"/>
  <c r="E157" i="16"/>
  <c r="D274" i="16"/>
  <c r="V274" i="16" s="1"/>
  <c r="I69" i="16"/>
  <c r="Q42" i="15" s="1"/>
  <c r="V42" i="15" s="1"/>
  <c r="E124" i="16"/>
  <c r="D301" i="16"/>
  <c r="V301" i="16" s="1"/>
  <c r="X287" i="15"/>
  <c r="X223" i="15"/>
  <c r="Z223" i="15" s="1"/>
  <c r="N323" i="15"/>
  <c r="M4082" i="6"/>
  <c r="L4082" i="6" s="1"/>
  <c r="K4082" i="6" s="1"/>
  <c r="X4434" i="6"/>
  <c r="X4274" i="6"/>
  <c r="BC1908" i="6"/>
  <c r="BD1908" i="6" s="1"/>
  <c r="K4188" i="6"/>
  <c r="K4184" i="6"/>
  <c r="Q1947" i="6"/>
  <c r="X4270" i="6" s="1"/>
  <c r="BC1907" i="6"/>
  <c r="BD1907" i="6" s="1"/>
  <c r="AE222" i="15"/>
  <c r="AC222" i="15" s="1"/>
  <c r="BC1919" i="6"/>
  <c r="BD1919" i="6" s="1"/>
  <c r="AE314" i="15"/>
  <c r="F1358" i="6"/>
  <c r="F903" i="6"/>
  <c r="F930" i="6" s="1"/>
  <c r="M4080" i="6"/>
  <c r="L4080" i="6" s="1"/>
  <c r="X329" i="15"/>
  <c r="Z329" i="15" s="1"/>
  <c r="AG266" i="15"/>
  <c r="AD266" i="15" s="1"/>
  <c r="AE240" i="15"/>
  <c r="Y308" i="15"/>
  <c r="G185" i="15"/>
  <c r="G329" i="15"/>
  <c r="I125" i="6"/>
  <c r="S122" i="15" s="1"/>
  <c r="P122" i="15" s="1"/>
  <c r="W122" i="15" s="1"/>
  <c r="M4094" i="6"/>
  <c r="L4094" i="6" s="1"/>
  <c r="X4188" i="6"/>
  <c r="AG306" i="15"/>
  <c r="AH218" i="15"/>
  <c r="F1394" i="6"/>
  <c r="BC1323" i="6"/>
  <c r="M4090" i="6"/>
  <c r="L4090" i="6" s="1"/>
  <c r="K4090" i="6" s="1"/>
  <c r="BC1573" i="6"/>
  <c r="BD1573" i="6" s="1"/>
  <c r="BC1899" i="6"/>
  <c r="BD1899" i="6" s="1"/>
  <c r="K860" i="6"/>
  <c r="BE860" i="6" s="1"/>
  <c r="X314" i="15"/>
  <c r="X303" i="15"/>
  <c r="Z303" i="15" s="1"/>
  <c r="AE317" i="15"/>
  <c r="AC317" i="15" s="1"/>
  <c r="C269" i="15"/>
  <c r="AM269" i="15" s="1"/>
  <c r="AE302" i="15"/>
  <c r="AH314" i="15"/>
  <c r="AD314" i="15" s="1"/>
  <c r="AE248" i="15"/>
  <c r="R228" i="15"/>
  <c r="BB1550" i="6"/>
  <c r="AA209" i="15" s="1"/>
  <c r="Y294" i="15"/>
  <c r="Z294" i="15" s="1"/>
  <c r="AG258" i="15"/>
  <c r="AD258" i="15" s="1"/>
  <c r="X280" i="15"/>
  <c r="O26" i="3"/>
  <c r="BE26" i="3" s="1"/>
  <c r="O7" i="3"/>
  <c r="BE7" i="3" s="1"/>
  <c r="O8" i="3"/>
  <c r="BE8" i="3" s="1"/>
  <c r="O12" i="3"/>
  <c r="BE12" i="3" s="1"/>
  <c r="O14" i="3"/>
  <c r="BE14" i="3" s="1"/>
  <c r="O17" i="3"/>
  <c r="BE17" i="3" s="1"/>
  <c r="O18" i="3"/>
  <c r="BE18" i="3" s="1"/>
  <c r="O19" i="3"/>
  <c r="BE19" i="3" s="1"/>
  <c r="O29" i="3"/>
  <c r="BE29" i="3" s="1"/>
  <c r="F10" i="3"/>
  <c r="BD10" i="3" s="1"/>
  <c r="B4" i="20"/>
  <c r="B8" i="20"/>
  <c r="B12" i="20"/>
  <c r="B16" i="20"/>
  <c r="B20" i="20"/>
  <c r="B24" i="20"/>
  <c r="B28" i="20"/>
  <c r="B32" i="20"/>
  <c r="B36" i="20"/>
  <c r="B40" i="20"/>
  <c r="B44" i="20"/>
  <c r="B48" i="20"/>
  <c r="B52" i="20"/>
  <c r="B56" i="20"/>
  <c r="B60" i="20"/>
  <c r="B64" i="20"/>
  <c r="B68" i="20"/>
  <c r="B72" i="20"/>
  <c r="B76" i="20"/>
  <c r="B80" i="20"/>
  <c r="B84" i="20"/>
  <c r="B88" i="20"/>
  <c r="B92" i="20"/>
  <c r="B96" i="20"/>
  <c r="B100" i="20"/>
  <c r="B104" i="20"/>
  <c r="B108" i="20"/>
  <c r="B112" i="20"/>
  <c r="B116" i="20"/>
  <c r="B120" i="20"/>
  <c r="B124" i="20"/>
  <c r="B128" i="20"/>
  <c r="B132" i="20"/>
  <c r="B136" i="20"/>
  <c r="B140" i="20"/>
  <c r="B144" i="20"/>
  <c r="B148" i="20"/>
  <c r="B152" i="20"/>
  <c r="B156" i="20"/>
  <c r="B160" i="20"/>
  <c r="B164" i="20"/>
  <c r="B168" i="20"/>
  <c r="B172" i="20"/>
  <c r="B176" i="20"/>
  <c r="B180" i="20"/>
  <c r="B184" i="20"/>
  <c r="B188" i="20"/>
  <c r="B192" i="20"/>
  <c r="B196" i="20"/>
  <c r="B200" i="20"/>
  <c r="B204" i="20"/>
  <c r="B208" i="20"/>
  <c r="B212" i="20"/>
  <c r="B216" i="20"/>
  <c r="B220" i="20"/>
  <c r="B224" i="20"/>
  <c r="B228" i="20"/>
  <c r="B232" i="20"/>
  <c r="B236" i="20"/>
  <c r="B240" i="20"/>
  <c r="B244" i="20"/>
  <c r="B248" i="20"/>
  <c r="B252" i="20"/>
  <c r="B256" i="20"/>
  <c r="B260" i="20"/>
  <c r="B264" i="20"/>
  <c r="B268" i="20"/>
  <c r="B272" i="20"/>
  <c r="B276" i="20"/>
  <c r="B280" i="20"/>
  <c r="B284" i="20"/>
  <c r="B288" i="20"/>
  <c r="B292" i="20"/>
  <c r="B296" i="20"/>
  <c r="B300" i="20"/>
  <c r="B304" i="20"/>
  <c r="B308" i="20"/>
  <c r="B312" i="20"/>
  <c r="B316" i="20"/>
  <c r="B320" i="20"/>
  <c r="B324" i="20"/>
  <c r="B328" i="20"/>
  <c r="B332" i="20"/>
  <c r="B336" i="20"/>
  <c r="B340" i="20"/>
  <c r="B5" i="20"/>
  <c r="B9" i="20"/>
  <c r="B13" i="20"/>
  <c r="B17" i="20"/>
  <c r="B21" i="20"/>
  <c r="B25" i="20"/>
  <c r="B29" i="20"/>
  <c r="B33" i="20"/>
  <c r="B37" i="20"/>
  <c r="B41" i="20"/>
  <c r="B45" i="20"/>
  <c r="B49" i="20"/>
  <c r="B53" i="20"/>
  <c r="B57" i="20"/>
  <c r="B61" i="20"/>
  <c r="B65" i="20"/>
  <c r="B69" i="20"/>
  <c r="B73" i="20"/>
  <c r="B77" i="20"/>
  <c r="B81" i="20"/>
  <c r="B85" i="20"/>
  <c r="B89" i="20"/>
  <c r="B93" i="20"/>
  <c r="B97" i="20"/>
  <c r="B101" i="20"/>
  <c r="B105" i="20"/>
  <c r="B109" i="20"/>
  <c r="B113" i="20"/>
  <c r="B117" i="20"/>
  <c r="B121" i="20"/>
  <c r="B125" i="20"/>
  <c r="B129" i="20"/>
  <c r="B133" i="20"/>
  <c r="B137" i="20"/>
  <c r="B141" i="20"/>
  <c r="B145" i="20"/>
  <c r="B149" i="20"/>
  <c r="B153" i="20"/>
  <c r="B157" i="20"/>
  <c r="B161" i="20"/>
  <c r="B165" i="20"/>
  <c r="B169" i="20"/>
  <c r="B173" i="20"/>
  <c r="B177" i="20"/>
  <c r="B181" i="20"/>
  <c r="B185" i="20"/>
  <c r="B189" i="20"/>
  <c r="B193" i="20"/>
  <c r="B197" i="20"/>
  <c r="B201" i="20"/>
  <c r="B205" i="20"/>
  <c r="B209" i="20"/>
  <c r="B213" i="20"/>
  <c r="B217" i="20"/>
  <c r="B221" i="20"/>
  <c r="B225" i="20"/>
  <c r="B229" i="20"/>
  <c r="B233" i="20"/>
  <c r="B237" i="20"/>
  <c r="B241" i="20"/>
  <c r="B245" i="20"/>
  <c r="B249" i="20"/>
  <c r="B253" i="20"/>
  <c r="B257" i="20"/>
  <c r="B261" i="20"/>
  <c r="B265" i="20"/>
  <c r="B269" i="20"/>
  <c r="B273" i="20"/>
  <c r="B277" i="20"/>
  <c r="B281" i="20"/>
  <c r="B285" i="20"/>
  <c r="B289" i="20"/>
  <c r="B293" i="20"/>
  <c r="B297" i="20"/>
  <c r="B301" i="20"/>
  <c r="B305" i="20"/>
  <c r="B309" i="20"/>
  <c r="B313" i="20"/>
  <c r="B317" i="20"/>
  <c r="B321" i="20"/>
  <c r="B325" i="20"/>
  <c r="B329" i="20"/>
  <c r="B333" i="20"/>
  <c r="B337" i="20"/>
  <c r="B341" i="20"/>
  <c r="B6" i="20"/>
  <c r="B10" i="20"/>
  <c r="B14" i="20"/>
  <c r="B18" i="20"/>
  <c r="B22" i="20"/>
  <c r="B26" i="20"/>
  <c r="B30" i="20"/>
  <c r="B34" i="20"/>
  <c r="B38" i="20"/>
  <c r="B42" i="20"/>
  <c r="B46" i="20"/>
  <c r="B50" i="20"/>
  <c r="B54" i="20"/>
  <c r="B58" i="20"/>
  <c r="B62" i="20"/>
  <c r="B66" i="20"/>
  <c r="B70" i="20"/>
  <c r="B74" i="20"/>
  <c r="B78" i="20"/>
  <c r="B82" i="20"/>
  <c r="B86" i="20"/>
  <c r="B90" i="20"/>
  <c r="B94" i="20"/>
  <c r="B98" i="20"/>
  <c r="B102" i="20"/>
  <c r="B106" i="20"/>
  <c r="B110" i="20"/>
  <c r="B114" i="20"/>
  <c r="B118" i="20"/>
  <c r="B122" i="20"/>
  <c r="B126" i="20"/>
  <c r="B130" i="20"/>
  <c r="B134" i="20"/>
  <c r="B138" i="20"/>
  <c r="B142" i="20"/>
  <c r="B146" i="20"/>
  <c r="B150" i="20"/>
  <c r="B154" i="20"/>
  <c r="B158" i="20"/>
  <c r="B162" i="20"/>
  <c r="B166" i="20"/>
  <c r="B170" i="20"/>
  <c r="B174" i="20"/>
  <c r="B178" i="20"/>
  <c r="B182" i="20"/>
  <c r="B186" i="20"/>
  <c r="B190" i="20"/>
  <c r="B194" i="20"/>
  <c r="B198" i="20"/>
  <c r="B202" i="20"/>
  <c r="B206" i="20"/>
  <c r="B210" i="20"/>
  <c r="B214" i="20"/>
  <c r="B218" i="20"/>
  <c r="B222" i="20"/>
  <c r="B226" i="20"/>
  <c r="B230" i="20"/>
  <c r="B234" i="20"/>
  <c r="B238" i="20"/>
  <c r="B242" i="20"/>
  <c r="B246" i="20"/>
  <c r="B250" i="20"/>
  <c r="B254" i="20"/>
  <c r="B258" i="20"/>
  <c r="B262" i="20"/>
  <c r="B266" i="20"/>
  <c r="B270" i="20"/>
  <c r="B274" i="20"/>
  <c r="B278" i="20"/>
  <c r="B282" i="20"/>
  <c r="B286" i="20"/>
  <c r="B290" i="20"/>
  <c r="B294" i="20"/>
  <c r="B298" i="20"/>
  <c r="B302" i="20"/>
  <c r="B306" i="20"/>
  <c r="B310" i="20"/>
  <c r="B314" i="20"/>
  <c r="B318" i="20"/>
  <c r="B322" i="20"/>
  <c r="B326" i="20"/>
  <c r="B330" i="20"/>
  <c r="B334" i="20"/>
  <c r="B338" i="20"/>
  <c r="B342" i="20"/>
  <c r="B7" i="20"/>
  <c r="B23" i="20"/>
  <c r="B39" i="20"/>
  <c r="B55" i="20"/>
  <c r="B71" i="20"/>
  <c r="B87" i="20"/>
  <c r="B103" i="20"/>
  <c r="B119" i="20"/>
  <c r="B135" i="20"/>
  <c r="B151" i="20"/>
  <c r="B167" i="20"/>
  <c r="B183" i="20"/>
  <c r="B199" i="20"/>
  <c r="B215" i="20"/>
  <c r="B231" i="20"/>
  <c r="B247" i="20"/>
  <c r="B263" i="20"/>
  <c r="B279" i="20"/>
  <c r="B295" i="20"/>
  <c r="B311" i="20"/>
  <c r="B327" i="20"/>
  <c r="B343" i="20"/>
  <c r="B347" i="20"/>
  <c r="B351" i="20"/>
  <c r="B355" i="20"/>
  <c r="B359" i="20"/>
  <c r="B363" i="20"/>
  <c r="B367" i="20"/>
  <c r="B371" i="20"/>
  <c r="B375" i="20"/>
  <c r="B379" i="20"/>
  <c r="B383" i="20"/>
  <c r="B387" i="20"/>
  <c r="B391" i="20"/>
  <c r="B395" i="20"/>
  <c r="B399" i="20"/>
  <c r="B403" i="20"/>
  <c r="B407" i="20"/>
  <c r="B411" i="20"/>
  <c r="B415" i="20"/>
  <c r="B419" i="20"/>
  <c r="B423" i="20"/>
  <c r="B427" i="20"/>
  <c r="B431" i="20"/>
  <c r="B435" i="20"/>
  <c r="B439" i="20"/>
  <c r="B443" i="20"/>
  <c r="B447" i="20"/>
  <c r="B451" i="20"/>
  <c r="B455" i="20"/>
  <c r="B459" i="20"/>
  <c r="B463" i="20"/>
  <c r="B467" i="20"/>
  <c r="B471" i="20"/>
  <c r="B475" i="20"/>
  <c r="B479" i="20"/>
  <c r="B483" i="20"/>
  <c r="B487" i="20"/>
  <c r="B491" i="20"/>
  <c r="B495" i="20"/>
  <c r="B499" i="20"/>
  <c r="B503" i="20"/>
  <c r="B507" i="20"/>
  <c r="B511" i="20"/>
  <c r="B515" i="20"/>
  <c r="B519" i="20"/>
  <c r="B523" i="20"/>
  <c r="B527" i="20"/>
  <c r="B531" i="20"/>
  <c r="B535" i="20"/>
  <c r="B539" i="20"/>
  <c r="B543" i="20"/>
  <c r="B547" i="20"/>
  <c r="B551" i="20"/>
  <c r="B555" i="20"/>
  <c r="B559" i="20"/>
  <c r="B563" i="20"/>
  <c r="B567" i="20"/>
  <c r="B571" i="20"/>
  <c r="B575" i="20"/>
  <c r="B579" i="20"/>
  <c r="B583" i="20"/>
  <c r="B587" i="20"/>
  <c r="B591" i="20"/>
  <c r="B595" i="20"/>
  <c r="B599" i="20"/>
  <c r="B11" i="20"/>
  <c r="B27" i="20"/>
  <c r="B43" i="20"/>
  <c r="B59" i="20"/>
  <c r="B75" i="20"/>
  <c r="B91" i="20"/>
  <c r="B107" i="20"/>
  <c r="B123" i="20"/>
  <c r="B139" i="20"/>
  <c r="B155" i="20"/>
  <c r="B171" i="20"/>
  <c r="B187" i="20"/>
  <c r="B203" i="20"/>
  <c r="B219" i="20"/>
  <c r="B235" i="20"/>
  <c r="B251" i="20"/>
  <c r="B267" i="20"/>
  <c r="B283" i="20"/>
  <c r="B299" i="20"/>
  <c r="B315" i="20"/>
  <c r="B331" i="20"/>
  <c r="B344" i="20"/>
  <c r="B348" i="20"/>
  <c r="B352" i="20"/>
  <c r="B356" i="20"/>
  <c r="B360" i="20"/>
  <c r="B364" i="20"/>
  <c r="B368" i="20"/>
  <c r="B372" i="20"/>
  <c r="B376" i="20"/>
  <c r="B380" i="20"/>
  <c r="B384" i="20"/>
  <c r="B388" i="20"/>
  <c r="B392" i="20"/>
  <c r="B396" i="20"/>
  <c r="B400" i="20"/>
  <c r="B404" i="20"/>
  <c r="B408" i="20"/>
  <c r="B412" i="20"/>
  <c r="B416" i="20"/>
  <c r="B420" i="20"/>
  <c r="B424" i="20"/>
  <c r="B428" i="20"/>
  <c r="B432" i="20"/>
  <c r="B436" i="20"/>
  <c r="B440" i="20"/>
  <c r="B444" i="20"/>
  <c r="B448" i="20"/>
  <c r="B452" i="20"/>
  <c r="B456" i="20"/>
  <c r="B460" i="20"/>
  <c r="B464" i="20"/>
  <c r="B468" i="20"/>
  <c r="B472" i="20"/>
  <c r="B476" i="20"/>
  <c r="B480" i="20"/>
  <c r="B484" i="20"/>
  <c r="B488" i="20"/>
  <c r="B492" i="20"/>
  <c r="B496" i="20"/>
  <c r="B500" i="20"/>
  <c r="B504" i="20"/>
  <c r="B508" i="20"/>
  <c r="B512" i="20"/>
  <c r="B516" i="20"/>
  <c r="B520" i="20"/>
  <c r="B524" i="20"/>
  <c r="B528" i="20"/>
  <c r="B532" i="20"/>
  <c r="B536" i="20"/>
  <c r="B540" i="20"/>
  <c r="B544" i="20"/>
  <c r="B548" i="20"/>
  <c r="B552" i="20"/>
  <c r="B556" i="20"/>
  <c r="B560" i="20"/>
  <c r="B564" i="20"/>
  <c r="B568" i="20"/>
  <c r="B572" i="20"/>
  <c r="B576" i="20"/>
  <c r="B580" i="20"/>
  <c r="B584" i="20"/>
  <c r="B588" i="20"/>
  <c r="B592" i="20"/>
  <c r="B596" i="20"/>
  <c r="B15" i="20"/>
  <c r="B47" i="20"/>
  <c r="B79" i="20"/>
  <c r="B111" i="20"/>
  <c r="B143" i="20"/>
  <c r="B175" i="20"/>
  <c r="B207" i="20"/>
  <c r="B239" i="20"/>
  <c r="B271" i="20"/>
  <c r="B303" i="20"/>
  <c r="B335" i="20"/>
  <c r="B349" i="20"/>
  <c r="B357" i="20"/>
  <c r="B365" i="20"/>
  <c r="B373" i="20"/>
  <c r="B381" i="20"/>
  <c r="B389" i="20"/>
  <c r="B397" i="20"/>
  <c r="B405" i="20"/>
  <c r="B413" i="20"/>
  <c r="B421" i="20"/>
  <c r="B429" i="20"/>
  <c r="B437" i="20"/>
  <c r="B445" i="20"/>
  <c r="B453" i="20"/>
  <c r="B461" i="20"/>
  <c r="B469" i="20"/>
  <c r="B477" i="20"/>
  <c r="B485" i="20"/>
  <c r="B493" i="20"/>
  <c r="B501" i="20"/>
  <c r="B509" i="20"/>
  <c r="B517" i="20"/>
  <c r="B525" i="20"/>
  <c r="B533" i="20"/>
  <c r="B541" i="20"/>
  <c r="B549" i="20"/>
  <c r="B557" i="20"/>
  <c r="B565" i="20"/>
  <c r="B573" i="20"/>
  <c r="B581" i="20"/>
  <c r="B589" i="20"/>
  <c r="B597" i="20"/>
  <c r="B602" i="20"/>
  <c r="B606" i="20"/>
  <c r="B610" i="20"/>
  <c r="B614" i="20"/>
  <c r="B618" i="20"/>
  <c r="B622" i="20"/>
  <c r="B626" i="20"/>
  <c r="B630" i="20"/>
  <c r="B634" i="20"/>
  <c r="B638" i="20"/>
  <c r="B642" i="20"/>
  <c r="B646" i="20"/>
  <c r="B650" i="20"/>
  <c r="B654" i="20"/>
  <c r="B658" i="20"/>
  <c r="B662" i="20"/>
  <c r="B31" i="20"/>
  <c r="B95" i="20"/>
  <c r="B159" i="20"/>
  <c r="B223" i="20"/>
  <c r="B287" i="20"/>
  <c r="B345" i="20"/>
  <c r="B353" i="20"/>
  <c r="B369" i="20"/>
  <c r="B385" i="20"/>
  <c r="B401" i="20"/>
  <c r="B417" i="20"/>
  <c r="B433" i="20"/>
  <c r="B449" i="20"/>
  <c r="B465" i="20"/>
  <c r="B489" i="20"/>
  <c r="B505" i="20"/>
  <c r="B521" i="20"/>
  <c r="B537" i="20"/>
  <c r="B553" i="20"/>
  <c r="B569" i="20"/>
  <c r="B585" i="20"/>
  <c r="B600" i="20"/>
  <c r="B608" i="20"/>
  <c r="B616" i="20"/>
  <c r="B624" i="20"/>
  <c r="B636" i="20"/>
  <c r="B644" i="20"/>
  <c r="B652" i="20"/>
  <c r="B660" i="20"/>
  <c r="B35" i="20"/>
  <c r="B131" i="20"/>
  <c r="B195" i="20"/>
  <c r="B259" i="20"/>
  <c r="B323" i="20"/>
  <c r="B354" i="20"/>
  <c r="B370" i="20"/>
  <c r="B386" i="20"/>
  <c r="B410" i="20"/>
  <c r="B426" i="20"/>
  <c r="B442" i="20"/>
  <c r="B458" i="20"/>
  <c r="B474" i="20"/>
  <c r="B490" i="20"/>
  <c r="B506" i="20"/>
  <c r="B522" i="20"/>
  <c r="B538" i="20"/>
  <c r="B554" i="20"/>
  <c r="B570" i="20"/>
  <c r="B586" i="20"/>
  <c r="B601" i="20"/>
  <c r="B609" i="20"/>
  <c r="B617" i="20"/>
  <c r="B625" i="20"/>
  <c r="B633" i="20"/>
  <c r="B641" i="20"/>
  <c r="B645" i="20"/>
  <c r="B653" i="20"/>
  <c r="B661" i="20"/>
  <c r="B19" i="20"/>
  <c r="B51" i="20"/>
  <c r="B83" i="20"/>
  <c r="B115" i="20"/>
  <c r="B147" i="20"/>
  <c r="B179" i="20"/>
  <c r="B211" i="20"/>
  <c r="B243" i="20"/>
  <c r="B275" i="20"/>
  <c r="B307" i="20"/>
  <c r="B339" i="20"/>
  <c r="B350" i="20"/>
  <c r="B358" i="20"/>
  <c r="B366" i="20"/>
  <c r="B374" i="20"/>
  <c r="B382" i="20"/>
  <c r="B390" i="20"/>
  <c r="B398" i="20"/>
  <c r="B406" i="20"/>
  <c r="B414" i="20"/>
  <c r="B422" i="20"/>
  <c r="B430" i="20"/>
  <c r="B438" i="20"/>
  <c r="B446" i="20"/>
  <c r="B454" i="20"/>
  <c r="B462" i="20"/>
  <c r="B470" i="20"/>
  <c r="B478" i="20"/>
  <c r="B486" i="20"/>
  <c r="B494" i="20"/>
  <c r="B502" i="20"/>
  <c r="B510" i="20"/>
  <c r="B518" i="20"/>
  <c r="B526" i="20"/>
  <c r="B534" i="20"/>
  <c r="B542" i="20"/>
  <c r="B550" i="20"/>
  <c r="B558" i="20"/>
  <c r="B566" i="20"/>
  <c r="B574" i="20"/>
  <c r="B582" i="20"/>
  <c r="B590" i="20"/>
  <c r="B598" i="20"/>
  <c r="B603" i="20"/>
  <c r="B607" i="20"/>
  <c r="B611" i="20"/>
  <c r="B615" i="20"/>
  <c r="B619" i="20"/>
  <c r="B623" i="20"/>
  <c r="B627" i="20"/>
  <c r="B631" i="20"/>
  <c r="B635" i="20"/>
  <c r="B639" i="20"/>
  <c r="B643" i="20"/>
  <c r="B647" i="20"/>
  <c r="B651" i="20"/>
  <c r="B655" i="20"/>
  <c r="B659" i="20"/>
  <c r="B3" i="20"/>
  <c r="B63" i="20"/>
  <c r="B127" i="20"/>
  <c r="B191" i="20"/>
  <c r="B255" i="20"/>
  <c r="B319" i="20"/>
  <c r="B361" i="20"/>
  <c r="B377" i="20"/>
  <c r="B393" i="20"/>
  <c r="B409" i="20"/>
  <c r="B425" i="20"/>
  <c r="B441" i="20"/>
  <c r="B457" i="20"/>
  <c r="B473" i="20"/>
  <c r="B481" i="20"/>
  <c r="B497" i="20"/>
  <c r="B513" i="20"/>
  <c r="B529" i="20"/>
  <c r="B545" i="20"/>
  <c r="B561" i="20"/>
  <c r="B577" i="20"/>
  <c r="B593" i="20"/>
  <c r="B604" i="20"/>
  <c r="B612" i="20"/>
  <c r="B620" i="20"/>
  <c r="B628" i="20"/>
  <c r="B632" i="20"/>
  <c r="B640" i="20"/>
  <c r="B648" i="20"/>
  <c r="B656" i="20"/>
  <c r="B67" i="20"/>
  <c r="B99" i="20"/>
  <c r="B163" i="20"/>
  <c r="B227" i="20"/>
  <c r="B291" i="20"/>
  <c r="B346" i="20"/>
  <c r="B362" i="20"/>
  <c r="B378" i="20"/>
  <c r="B394" i="20"/>
  <c r="B402" i="20"/>
  <c r="B418" i="20"/>
  <c r="B434" i="20"/>
  <c r="B450" i="20"/>
  <c r="B466" i="20"/>
  <c r="B482" i="20"/>
  <c r="B498" i="20"/>
  <c r="B514" i="20"/>
  <c r="B530" i="20"/>
  <c r="B546" i="20"/>
  <c r="B562" i="20"/>
  <c r="B578" i="20"/>
  <c r="B594" i="20"/>
  <c r="B605" i="20"/>
  <c r="B613" i="20"/>
  <c r="B621" i="20"/>
  <c r="B629" i="20"/>
  <c r="B637" i="20"/>
  <c r="B649" i="20"/>
  <c r="B657" i="20"/>
  <c r="I97" i="15"/>
  <c r="AN97" i="15" s="1"/>
  <c r="AO97" i="15" s="1"/>
  <c r="I7" i="9"/>
  <c r="Q575" i="15" s="1"/>
  <c r="O575" i="15" s="1"/>
  <c r="U575" i="15" s="1"/>
  <c r="K575" i="15"/>
  <c r="I575" i="15" s="1"/>
  <c r="AN575" i="15" s="1"/>
  <c r="BC9" i="9"/>
  <c r="X577" i="15"/>
  <c r="Z577" i="15" s="1"/>
  <c r="BC7" i="9"/>
  <c r="X575" i="15"/>
  <c r="Z575" i="15" s="1"/>
  <c r="AB577" i="15"/>
  <c r="AN292" i="15"/>
  <c r="X183" i="15"/>
  <c r="Z183" i="15" s="1"/>
  <c r="BC828" i="6"/>
  <c r="BC1914" i="6"/>
  <c r="X315" i="15"/>
  <c r="F215" i="6"/>
  <c r="F287" i="6" s="1"/>
  <c r="F359" i="6" s="1"/>
  <c r="F431" i="6" s="1"/>
  <c r="F503" i="6" s="1"/>
  <c r="F575" i="6" s="1"/>
  <c r="F648" i="6" s="1"/>
  <c r="F720" i="6" s="1"/>
  <c r="Y133" i="15"/>
  <c r="Z133" i="15" s="1"/>
  <c r="BC141" i="6"/>
  <c r="X199" i="15"/>
  <c r="Z199" i="15" s="1"/>
  <c r="J1330" i="6"/>
  <c r="BC1330" i="6" s="1"/>
  <c r="W1380" i="6"/>
  <c r="X1380" i="6"/>
  <c r="BC1572" i="6"/>
  <c r="BD1572" i="6" s="1"/>
  <c r="Y217" i="15"/>
  <c r="AH234" i="15"/>
  <c r="X243" i="15"/>
  <c r="Z243" i="15" s="1"/>
  <c r="G243" i="15"/>
  <c r="AE272" i="15"/>
  <c r="X272" i="15"/>
  <c r="Z272" i="15" s="1"/>
  <c r="X300" i="15"/>
  <c r="AE300" i="15"/>
  <c r="AC300" i="15" s="1"/>
  <c r="Y314" i="15"/>
  <c r="V1267" i="6"/>
  <c r="F900" i="6"/>
  <c r="F927" i="6" s="1"/>
  <c r="X230" i="15"/>
  <c r="Z230" i="15" s="1"/>
  <c r="BC1534" i="6"/>
  <c r="BD1534" i="6" s="1"/>
  <c r="X142" i="15"/>
  <c r="Z142" i="15" s="1"/>
  <c r="X112" i="15"/>
  <c r="Z112" i="15" s="1"/>
  <c r="BC1329" i="6"/>
  <c r="BD1329" i="6" s="1"/>
  <c r="X196" i="15"/>
  <c r="Z196" i="15" s="1"/>
  <c r="D311" i="15"/>
  <c r="F1202" i="6"/>
  <c r="F902" i="6"/>
  <c r="F929" i="6" s="1"/>
  <c r="K837" i="6"/>
  <c r="BE837" i="6" s="1"/>
  <c r="BC847" i="6"/>
  <c r="J849" i="6"/>
  <c r="BC849" i="6" s="1"/>
  <c r="G229" i="15"/>
  <c r="R262" i="15"/>
  <c r="AH294" i="15"/>
  <c r="G193" i="15"/>
  <c r="F1216" i="6"/>
  <c r="F907" i="6"/>
  <c r="F934" i="6" s="1"/>
  <c r="F961" i="6" s="1"/>
  <c r="F988" i="6" s="1"/>
  <c r="F1015" i="6" s="1"/>
  <c r="F1042" i="6" s="1"/>
  <c r="F1069" i="6" s="1"/>
  <c r="F1096" i="6" s="1"/>
  <c r="F1123" i="6" s="1"/>
  <c r="F1150" i="6" s="1"/>
  <c r="F1406" i="6"/>
  <c r="F1388" i="6"/>
  <c r="F1400" i="6"/>
  <c r="F1382" i="6"/>
  <c r="X286" i="15"/>
  <c r="AE286" i="15"/>
  <c r="AH286" i="15"/>
  <c r="I151" i="6"/>
  <c r="Q140" i="15" s="1"/>
  <c r="O140" i="15" s="1"/>
  <c r="Q211" i="6"/>
  <c r="X727" i="6" s="1"/>
  <c r="AN126" i="15"/>
  <c r="AO126" i="15" s="1"/>
  <c r="O168" i="15"/>
  <c r="AN137" i="15"/>
  <c r="AO137" i="15" s="1"/>
  <c r="AN262" i="15"/>
  <c r="V266" i="9"/>
  <c r="V614" i="9"/>
  <c r="I599" i="15"/>
  <c r="AN599" i="15" s="1"/>
  <c r="F1140" i="7"/>
  <c r="M1140" i="7" s="1"/>
  <c r="O501" i="15" s="1"/>
  <c r="W501" i="15" s="1"/>
  <c r="BC477" i="9"/>
  <c r="AB625" i="15"/>
  <c r="F275" i="9"/>
  <c r="I600" i="15" s="1"/>
  <c r="AN600" i="15" s="1"/>
  <c r="I1320" i="6"/>
  <c r="R194" i="15" s="1"/>
  <c r="I1322" i="6"/>
  <c r="R195" i="15" s="1"/>
  <c r="AB195" i="15"/>
  <c r="X198" i="15"/>
  <c r="Z198" i="15" s="1"/>
  <c r="J1328" i="6"/>
  <c r="BC1328" i="6" s="1"/>
  <c r="AN286" i="15"/>
  <c r="Y529" i="15"/>
  <c r="Z529" i="15" s="1"/>
  <c r="BC1097" i="7"/>
  <c r="BD1097" i="7" s="1"/>
  <c r="AE490" i="15"/>
  <c r="AC490" i="15" s="1"/>
  <c r="AE476" i="15"/>
  <c r="I703" i="7"/>
  <c r="R455" i="15" s="1"/>
  <c r="O612" i="7"/>
  <c r="G671" i="7"/>
  <c r="I922" i="7"/>
  <c r="Q476" i="15" s="1"/>
  <c r="I481" i="15"/>
  <c r="AN481" i="15" s="1"/>
  <c r="I308" i="16"/>
  <c r="O64" i="15" s="1"/>
  <c r="Q64" i="15" s="1"/>
  <c r="I256" i="16"/>
  <c r="O61" i="15" s="1"/>
  <c r="U61" i="15" s="1"/>
  <c r="BC220" i="16"/>
  <c r="K42" i="15"/>
  <c r="I1321" i="6"/>
  <c r="Q195" i="15" s="1"/>
  <c r="BC175" i="6"/>
  <c r="AB135" i="15"/>
  <c r="AB722" i="15"/>
  <c r="I742" i="15"/>
  <c r="AN742" i="15" s="1"/>
  <c r="I744" i="15"/>
  <c r="AN744" i="15" s="1"/>
  <c r="I757" i="15"/>
  <c r="AN757" i="15" s="1"/>
  <c r="I759" i="15"/>
  <c r="AN759" i="15" s="1"/>
  <c r="I761" i="15"/>
  <c r="AN761" i="15" s="1"/>
  <c r="I763" i="15"/>
  <c r="AN763" i="15" s="1"/>
  <c r="I776" i="15"/>
  <c r="AN776" i="15" s="1"/>
  <c r="I788" i="15"/>
  <c r="AN788" i="15" s="1"/>
  <c r="I790" i="15"/>
  <c r="AN790" i="15" s="1"/>
  <c r="I746" i="15"/>
  <c r="AN746" i="15" s="1"/>
  <c r="I748" i="15"/>
  <c r="AN748" i="15" s="1"/>
  <c r="I751" i="15"/>
  <c r="AN751" i="15" s="1"/>
  <c r="I753" i="15"/>
  <c r="AN753" i="15" s="1"/>
  <c r="I755" i="15"/>
  <c r="AN755" i="15" s="1"/>
  <c r="J790" i="15"/>
  <c r="I774" i="15"/>
  <c r="AN774" i="15" s="1"/>
  <c r="I783" i="15"/>
  <c r="AN783" i="15" s="1"/>
  <c r="I784" i="15"/>
  <c r="AN784" i="15" s="1"/>
  <c r="I789" i="15"/>
  <c r="AN789" i="15" s="1"/>
  <c r="X686" i="15"/>
  <c r="Z686" i="15" s="1"/>
  <c r="W686" i="15" s="1"/>
  <c r="X688" i="15"/>
  <c r="Z688" i="15" s="1"/>
  <c r="W688" i="15" s="1"/>
  <c r="X690" i="15"/>
  <c r="Z690" i="15" s="1"/>
  <c r="W690" i="15" s="1"/>
  <c r="I764" i="15"/>
  <c r="AN764" i="15" s="1"/>
  <c r="I785" i="15"/>
  <c r="AN785" i="15" s="1"/>
  <c r="J789" i="15"/>
  <c r="I793" i="15"/>
  <c r="AN793" i="15" s="1"/>
  <c r="I741" i="15"/>
  <c r="AN741" i="15" s="1"/>
  <c r="I743" i="15"/>
  <c r="AN743" i="15" s="1"/>
  <c r="I758" i="15"/>
  <c r="AN758" i="15" s="1"/>
  <c r="I760" i="15"/>
  <c r="AN760" i="15" s="1"/>
  <c r="I762" i="15"/>
  <c r="AN762" i="15" s="1"/>
  <c r="I777" i="15"/>
  <c r="AN777" i="15" s="1"/>
  <c r="I787" i="15"/>
  <c r="AN787" i="15" s="1"/>
  <c r="I745" i="15"/>
  <c r="AN745" i="15" s="1"/>
  <c r="I747" i="15"/>
  <c r="AN747" i="15" s="1"/>
  <c r="I749" i="15"/>
  <c r="AN749" i="15" s="1"/>
  <c r="I750" i="15"/>
  <c r="AN750" i="15" s="1"/>
  <c r="I752" i="15"/>
  <c r="AN752" i="15" s="1"/>
  <c r="I754" i="15"/>
  <c r="AN754" i="15" s="1"/>
  <c r="I756" i="15"/>
  <c r="AN756" i="15" s="1"/>
  <c r="L720" i="15"/>
  <c r="I775" i="15"/>
  <c r="AN775" i="15" s="1"/>
  <c r="I778" i="15"/>
  <c r="AN778" i="15" s="1"/>
  <c r="I782" i="15"/>
  <c r="AN782" i="15" s="1"/>
  <c r="AE757" i="15"/>
  <c r="AC757" i="15" s="1"/>
  <c r="AE776" i="15"/>
  <c r="AC776" i="15" s="1"/>
  <c r="I660" i="2"/>
  <c r="O777" i="15" s="1"/>
  <c r="V777" i="15" s="1"/>
  <c r="U777" i="15" s="1"/>
  <c r="I710" i="15"/>
  <c r="AN710" i="15" s="1"/>
  <c r="I721" i="15"/>
  <c r="AN721" i="15" s="1"/>
  <c r="I722" i="15"/>
  <c r="AN722" i="15" s="1"/>
  <c r="J811" i="2"/>
  <c r="O789" i="15" s="1"/>
  <c r="I684" i="15"/>
  <c r="AN684" i="15" s="1"/>
  <c r="I686" i="15"/>
  <c r="AN686" i="15" s="1"/>
  <c r="I688" i="15"/>
  <c r="AN688" i="15" s="1"/>
  <c r="I690" i="15"/>
  <c r="AN690" i="15" s="1"/>
  <c r="I692" i="15"/>
  <c r="AN692" i="15" s="1"/>
  <c r="I694" i="15"/>
  <c r="AN694" i="15" s="1"/>
  <c r="I696" i="15"/>
  <c r="AN696" i="15" s="1"/>
  <c r="I698" i="15"/>
  <c r="AN698" i="15" s="1"/>
  <c r="I700" i="15"/>
  <c r="AN700" i="15" s="1"/>
  <c r="I703" i="15"/>
  <c r="AN703" i="15" s="1"/>
  <c r="I711" i="15"/>
  <c r="AN711" i="15" s="1"/>
  <c r="I702" i="15"/>
  <c r="AN702" i="15" s="1"/>
  <c r="I709" i="15"/>
  <c r="AN709" i="15" s="1"/>
  <c r="I685" i="15"/>
  <c r="AN685" i="15" s="1"/>
  <c r="I687" i="15"/>
  <c r="AN687" i="15" s="1"/>
  <c r="I689" i="15"/>
  <c r="AN689" i="15" s="1"/>
  <c r="I691" i="15"/>
  <c r="AN691" i="15" s="1"/>
  <c r="I693" i="15"/>
  <c r="AN693" i="15" s="1"/>
  <c r="I695" i="15"/>
  <c r="AN695" i="15" s="1"/>
  <c r="I697" i="15"/>
  <c r="AN697" i="15" s="1"/>
  <c r="I699" i="15"/>
  <c r="AN699" i="15" s="1"/>
  <c r="I701" i="15"/>
  <c r="AN701" i="15" s="1"/>
  <c r="I725" i="15"/>
  <c r="AN725" i="15" s="1"/>
  <c r="AE784" i="15"/>
  <c r="AC784" i="15" s="1"/>
  <c r="AE756" i="15"/>
  <c r="AC756" i="15" s="1"/>
  <c r="BC512" i="9"/>
  <c r="BD512" i="9" s="1"/>
  <c r="X625" i="15"/>
  <c r="Z625" i="15" s="1"/>
  <c r="M227" i="9"/>
  <c r="O599" i="15" s="1"/>
  <c r="J406" i="9"/>
  <c r="O618" i="15" s="1"/>
  <c r="V618" i="15" s="1"/>
  <c r="M284" i="9"/>
  <c r="O609" i="15" s="1"/>
  <c r="W609" i="15" s="1"/>
  <c r="I480" i="9"/>
  <c r="O623" i="15" s="1"/>
  <c r="V623" i="15" s="1"/>
  <c r="I477" i="9"/>
  <c r="O620" i="15" s="1"/>
  <c r="V620" i="15" s="1"/>
  <c r="I478" i="9"/>
  <c r="O621" i="15" s="1"/>
  <c r="V621" i="15" s="1"/>
  <c r="AB593" i="15"/>
  <c r="BC13" i="9"/>
  <c r="M228" i="9"/>
  <c r="P599" i="15" s="1"/>
  <c r="W599" i="15" s="1"/>
  <c r="I621" i="15"/>
  <c r="AN621" i="15" s="1"/>
  <c r="I620" i="15"/>
  <c r="AN620" i="15" s="1"/>
  <c r="F196" i="9"/>
  <c r="I597" i="15" s="1"/>
  <c r="AN597" i="15" s="1"/>
  <c r="AA613" i="15"/>
  <c r="M278" i="9"/>
  <c r="O603" i="15" s="1"/>
  <c r="W603" i="15" s="1"/>
  <c r="I482" i="9"/>
  <c r="O625" i="15" s="1"/>
  <c r="V625" i="15" s="1"/>
  <c r="I593" i="9"/>
  <c r="P637" i="15" s="1"/>
  <c r="W637" i="15" s="1"/>
  <c r="X595" i="15"/>
  <c r="Z595" i="15" s="1"/>
  <c r="X590" i="15"/>
  <c r="Z590" i="15" s="1"/>
  <c r="I479" i="9"/>
  <c r="O622" i="15" s="1"/>
  <c r="V622" i="15" s="1"/>
  <c r="I618" i="15"/>
  <c r="AN618" i="15" s="1"/>
  <c r="BC511" i="9"/>
  <c r="AB599" i="15"/>
  <c r="M283" i="9"/>
  <c r="O608" i="15" s="1"/>
  <c r="W608" i="15" s="1"/>
  <c r="F197" i="9"/>
  <c r="K197" i="9" s="1"/>
  <c r="O598" i="15" s="1"/>
  <c r="V598" i="15" s="1"/>
  <c r="BC78" i="9"/>
  <c r="K14" i="9"/>
  <c r="BE14" i="9" s="1"/>
  <c r="K10" i="9"/>
  <c r="BE10" i="9" s="1"/>
  <c r="AB581" i="15"/>
  <c r="F8" i="9"/>
  <c r="AC8" i="9" s="1"/>
  <c r="I934" i="7"/>
  <c r="Q482" i="15" s="1"/>
  <c r="O482" i="15" s="1"/>
  <c r="V482" i="15" s="1"/>
  <c r="I684" i="7"/>
  <c r="Q446" i="15" s="1"/>
  <c r="I920" i="7"/>
  <c r="Q475" i="15" s="1"/>
  <c r="AB455" i="15"/>
  <c r="I1363" i="7"/>
  <c r="Q535" i="15" s="1"/>
  <c r="O535" i="15" s="1"/>
  <c r="U535" i="15" s="1"/>
  <c r="O610" i="7"/>
  <c r="BE610" i="7" s="1"/>
  <c r="BC1310" i="7"/>
  <c r="X490" i="15"/>
  <c r="Z490" i="15" s="1"/>
  <c r="X487" i="15"/>
  <c r="Z487" i="15" s="1"/>
  <c r="AB485" i="15"/>
  <c r="X482" i="15"/>
  <c r="Z482" i="15" s="1"/>
  <c r="X476" i="15"/>
  <c r="Z476" i="15" s="1"/>
  <c r="X452" i="15"/>
  <c r="Z452" i="15" s="1"/>
  <c r="AB369" i="15"/>
  <c r="W342" i="7"/>
  <c r="F494" i="7"/>
  <c r="I427" i="15" s="1"/>
  <c r="AN427" i="15" s="1"/>
  <c r="F941" i="7"/>
  <c r="L485" i="15" s="1"/>
  <c r="I485" i="15" s="1"/>
  <c r="F1040" i="7"/>
  <c r="I489" i="15" s="1"/>
  <c r="AN489" i="15" s="1"/>
  <c r="F1132" i="7"/>
  <c r="I493" i="15" s="1"/>
  <c r="AN493" i="15" s="1"/>
  <c r="F1133" i="7"/>
  <c r="F1137" i="7"/>
  <c r="I498" i="15" s="1"/>
  <c r="AN498" i="15" s="1"/>
  <c r="I1361" i="7"/>
  <c r="Q546" i="15" s="1"/>
  <c r="O546" i="15" s="1"/>
  <c r="U546" i="15" s="1"/>
  <c r="I1352" i="7"/>
  <c r="Q538" i="15" s="1"/>
  <c r="O538" i="15" s="1"/>
  <c r="U538" i="15" s="1"/>
  <c r="I931" i="7"/>
  <c r="R480" i="15" s="1"/>
  <c r="F1320" i="7"/>
  <c r="I471" i="15"/>
  <c r="AN471" i="15" s="1"/>
  <c r="N524" i="7"/>
  <c r="BE524" i="7" s="1"/>
  <c r="F18" i="7"/>
  <c r="BD18" i="7" s="1"/>
  <c r="F17" i="7"/>
  <c r="V43" i="7"/>
  <c r="M565" i="7"/>
  <c r="BE565" i="7" s="1"/>
  <c r="X402" i="15"/>
  <c r="Z402" i="15" s="1"/>
  <c r="X373" i="15"/>
  <c r="Z373" i="15" s="1"/>
  <c r="X439" i="15"/>
  <c r="Z439" i="15" s="1"/>
  <c r="BC149" i="7"/>
  <c r="AB474" i="15"/>
  <c r="X426" i="15"/>
  <c r="Z426" i="15" s="1"/>
  <c r="F10" i="7"/>
  <c r="I10" i="7" s="1"/>
  <c r="Q369" i="15" s="1"/>
  <c r="O369" i="15" s="1"/>
  <c r="X1319" i="7"/>
  <c r="F1145" i="7"/>
  <c r="F1148" i="7"/>
  <c r="BD1148" i="7" s="1"/>
  <c r="I685" i="7"/>
  <c r="R446" i="15" s="1"/>
  <c r="F493" i="7"/>
  <c r="I426" i="15" s="1"/>
  <c r="AN426" i="15" s="1"/>
  <c r="F569" i="7"/>
  <c r="I436" i="15" s="1"/>
  <c r="AN436" i="15" s="1"/>
  <c r="BC614" i="7"/>
  <c r="AG444" i="15" s="1"/>
  <c r="AD444" i="15" s="1"/>
  <c r="AE451" i="15"/>
  <c r="AB376" i="15"/>
  <c r="BC564" i="7"/>
  <c r="BD564" i="7" s="1"/>
  <c r="J524" i="7"/>
  <c r="F524" i="7" s="1"/>
  <c r="BD524" i="7" s="1"/>
  <c r="E508" i="7"/>
  <c r="AB370" i="15"/>
  <c r="X438" i="15"/>
  <c r="Z438" i="15" s="1"/>
  <c r="BC525" i="7"/>
  <c r="I697" i="7"/>
  <c r="R452" i="15" s="1"/>
  <c r="F891" i="7"/>
  <c r="I473" i="15" s="1"/>
  <c r="AN473" i="15" s="1"/>
  <c r="I519" i="15"/>
  <c r="AN519" i="15" s="1"/>
  <c r="I1269" i="7"/>
  <c r="O519" i="15" s="1"/>
  <c r="V519" i="15" s="1"/>
  <c r="D517" i="7"/>
  <c r="V517" i="7" s="1"/>
  <c r="BC155" i="7"/>
  <c r="BC494" i="7"/>
  <c r="I520" i="15"/>
  <c r="AN520" i="15" s="1"/>
  <c r="I1270" i="7"/>
  <c r="O520" i="15" s="1"/>
  <c r="V520" i="15" s="1"/>
  <c r="I522" i="15"/>
  <c r="AN522" i="15" s="1"/>
  <c r="I1272" i="7"/>
  <c r="O522" i="15" s="1"/>
  <c r="V522" i="15" s="1"/>
  <c r="X478" i="15"/>
  <c r="Z478" i="15" s="1"/>
  <c r="X446" i="15"/>
  <c r="Z446" i="15" s="1"/>
  <c r="E119" i="7"/>
  <c r="F145" i="7"/>
  <c r="BD145" i="7" s="1"/>
  <c r="AB504" i="15"/>
  <c r="AB492" i="15"/>
  <c r="AB472" i="15"/>
  <c r="F890" i="7"/>
  <c r="I472" i="15" s="1"/>
  <c r="AN472" i="15" s="1"/>
  <c r="X471" i="15"/>
  <c r="Z471" i="15" s="1"/>
  <c r="H605" i="7"/>
  <c r="M605" i="7" s="1"/>
  <c r="P438" i="15" s="1"/>
  <c r="X440" i="15"/>
  <c r="Z440" i="15" s="1"/>
  <c r="J1006" i="7"/>
  <c r="O488" i="15" s="1"/>
  <c r="V488" i="15" s="1"/>
  <c r="F156" i="7"/>
  <c r="I417" i="15" s="1"/>
  <c r="AN417" i="15" s="1"/>
  <c r="AB444" i="15"/>
  <c r="F142" i="7"/>
  <c r="BD142" i="7" s="1"/>
  <c r="F943" i="7"/>
  <c r="I943" i="7" s="1"/>
  <c r="R486" i="15" s="1"/>
  <c r="F1319" i="7"/>
  <c r="BB1006" i="7"/>
  <c r="AA488" i="15" s="1"/>
  <c r="F565" i="7"/>
  <c r="I432" i="15" s="1"/>
  <c r="AN432" i="15" s="1"/>
  <c r="BB766" i="7"/>
  <c r="AA459" i="15" s="1"/>
  <c r="AB507" i="15"/>
  <c r="F14" i="7"/>
  <c r="BD14" i="7" s="1"/>
  <c r="F892" i="7"/>
  <c r="I1365" i="7"/>
  <c r="Q547" i="15" s="1"/>
  <c r="O547" i="15" s="1"/>
  <c r="U547" i="15" s="1"/>
  <c r="AF477" i="15"/>
  <c r="I1362" i="7"/>
  <c r="Q552" i="15" s="1"/>
  <c r="O552" i="15" s="1"/>
  <c r="U552" i="15" s="1"/>
  <c r="J768" i="7"/>
  <c r="O461" i="15" s="1"/>
  <c r="V461" i="15" s="1"/>
  <c r="X413" i="15"/>
  <c r="Z413" i="15" s="1"/>
  <c r="AB490" i="15"/>
  <c r="X488" i="15"/>
  <c r="Z488" i="15" s="1"/>
  <c r="AB366" i="15"/>
  <c r="X453" i="15"/>
  <c r="Z453" i="15" s="1"/>
  <c r="AB449" i="15"/>
  <c r="BC569" i="7"/>
  <c r="Y528" i="15"/>
  <c r="Z528" i="15" s="1"/>
  <c r="F135" i="7"/>
  <c r="I693" i="7"/>
  <c r="R450" i="15" s="1"/>
  <c r="I696" i="7"/>
  <c r="Q452" i="15" s="1"/>
  <c r="I700" i="7"/>
  <c r="Q454" i="15" s="1"/>
  <c r="I702" i="7"/>
  <c r="Q455" i="15" s="1"/>
  <c r="I923" i="7"/>
  <c r="R476" i="15" s="1"/>
  <c r="I924" i="7"/>
  <c r="Q477" i="15" s="1"/>
  <c r="I925" i="7"/>
  <c r="R477" i="15" s="1"/>
  <c r="I926" i="7"/>
  <c r="Q478" i="15" s="1"/>
  <c r="I928" i="7"/>
  <c r="Q479" i="15" s="1"/>
  <c r="I930" i="7"/>
  <c r="Q480" i="15" s="1"/>
  <c r="I936" i="7"/>
  <c r="Q483" i="15" s="1"/>
  <c r="O483" i="15" s="1"/>
  <c r="I1357" i="7"/>
  <c r="Q545" i="15" s="1"/>
  <c r="O545" i="15" s="1"/>
  <c r="U545" i="15" s="1"/>
  <c r="I1359" i="7"/>
  <c r="Q534" i="15" s="1"/>
  <c r="O534" i="15" s="1"/>
  <c r="U534" i="15" s="1"/>
  <c r="D417" i="7"/>
  <c r="V417" i="7" s="1"/>
  <c r="I1356" i="7"/>
  <c r="Q539" i="15" s="1"/>
  <c r="O539" i="15" s="1"/>
  <c r="U539" i="15" s="1"/>
  <c r="Q445" i="15"/>
  <c r="AA522" i="15"/>
  <c r="I1360" i="7"/>
  <c r="Q540" i="15" s="1"/>
  <c r="O540" i="15" s="1"/>
  <c r="U540" i="15" s="1"/>
  <c r="I1358" i="7"/>
  <c r="Q551" i="15" s="1"/>
  <c r="O551" i="15" s="1"/>
  <c r="U551" i="15" s="1"/>
  <c r="AE477" i="15"/>
  <c r="AB502" i="15"/>
  <c r="AB500" i="15"/>
  <c r="AB498" i="15"/>
  <c r="AB495" i="15"/>
  <c r="AB493" i="15"/>
  <c r="AB475" i="15"/>
  <c r="X473" i="15"/>
  <c r="Z473" i="15" s="1"/>
  <c r="X467" i="15"/>
  <c r="Z467" i="15" s="1"/>
  <c r="X429" i="15"/>
  <c r="Z429" i="15" s="1"/>
  <c r="I1364" i="7"/>
  <c r="Q541" i="15" s="1"/>
  <c r="O541" i="15" s="1"/>
  <c r="U541" i="15" s="1"/>
  <c r="BC610" i="7"/>
  <c r="F60" i="7"/>
  <c r="K60" i="7" s="1"/>
  <c r="O382" i="15" s="1"/>
  <c r="W382" i="15" s="1"/>
  <c r="I687" i="7"/>
  <c r="R447" i="15" s="1"/>
  <c r="I1366" i="7"/>
  <c r="Q553" i="15" s="1"/>
  <c r="O553" i="15" s="1"/>
  <c r="U553" i="15" s="1"/>
  <c r="J66" i="7"/>
  <c r="F66" i="7" s="1"/>
  <c r="K66" i="7" s="1"/>
  <c r="O388" i="15" s="1"/>
  <c r="W388" i="15" s="1"/>
  <c r="AB409" i="15"/>
  <c r="D444" i="15"/>
  <c r="BC688" i="7"/>
  <c r="AB373" i="15"/>
  <c r="AE445" i="15"/>
  <c r="I921" i="7"/>
  <c r="R475" i="15" s="1"/>
  <c r="I491" i="15"/>
  <c r="AN491" i="15" s="1"/>
  <c r="J1097" i="7"/>
  <c r="O491" i="15" s="1"/>
  <c r="V491" i="15" s="1"/>
  <c r="BC136" i="7"/>
  <c r="F59" i="7"/>
  <c r="BD59" i="7" s="1"/>
  <c r="F454" i="7"/>
  <c r="I422" i="15" s="1"/>
  <c r="AN422" i="15" s="1"/>
  <c r="M568" i="7"/>
  <c r="BE568" i="7" s="1"/>
  <c r="M566" i="7"/>
  <c r="BE566" i="7" s="1"/>
  <c r="M567" i="7"/>
  <c r="BE567" i="7" s="1"/>
  <c r="I691" i="7"/>
  <c r="R449" i="15" s="1"/>
  <c r="I699" i="7"/>
  <c r="R453" i="15" s="1"/>
  <c r="AF476" i="15"/>
  <c r="J1066" i="7"/>
  <c r="O490" i="15" s="1"/>
  <c r="V490" i="15" s="1"/>
  <c r="F1131" i="7"/>
  <c r="I492" i="15" s="1"/>
  <c r="AN492" i="15" s="1"/>
  <c r="I1343" i="7"/>
  <c r="Q530" i="15" s="1"/>
  <c r="O530" i="15" s="1"/>
  <c r="U530" i="15" s="1"/>
  <c r="I1344" i="7"/>
  <c r="Q536" i="15" s="1"/>
  <c r="O536" i="15" s="1"/>
  <c r="U536" i="15" s="1"/>
  <c r="I1345" i="7"/>
  <c r="Q542" i="15" s="1"/>
  <c r="O542" i="15" s="1"/>
  <c r="U542" i="15" s="1"/>
  <c r="I1346" i="7"/>
  <c r="Q548" i="15" s="1"/>
  <c r="O548" i="15" s="1"/>
  <c r="U548" i="15" s="1"/>
  <c r="I1347" i="7"/>
  <c r="Q531" i="15" s="1"/>
  <c r="O531" i="15" s="1"/>
  <c r="U531" i="15" s="1"/>
  <c r="I1348" i="7"/>
  <c r="Q537" i="15" s="1"/>
  <c r="O537" i="15" s="1"/>
  <c r="U537" i="15" s="1"/>
  <c r="I1349" i="7"/>
  <c r="Q543" i="15" s="1"/>
  <c r="O543" i="15" s="1"/>
  <c r="U543" i="15" s="1"/>
  <c r="I1350" i="7"/>
  <c r="Q549" i="15" s="1"/>
  <c r="O549" i="15" s="1"/>
  <c r="U549" i="15" s="1"/>
  <c r="I1351" i="7"/>
  <c r="Q532" i="15" s="1"/>
  <c r="O532" i="15" s="1"/>
  <c r="U532" i="15" s="1"/>
  <c r="I1353" i="7"/>
  <c r="Q544" i="15" s="1"/>
  <c r="O544" i="15" s="1"/>
  <c r="U544" i="15" s="1"/>
  <c r="I1354" i="7"/>
  <c r="Q550" i="15" s="1"/>
  <c r="O550" i="15" s="1"/>
  <c r="U550" i="15" s="1"/>
  <c r="I1355" i="7"/>
  <c r="Q533" i="15" s="1"/>
  <c r="O533" i="15" s="1"/>
  <c r="U533" i="15" s="1"/>
  <c r="M603" i="7"/>
  <c r="O437" i="15" s="1"/>
  <c r="W437" i="15" s="1"/>
  <c r="F568" i="7"/>
  <c r="BD568" i="7" s="1"/>
  <c r="I932" i="7"/>
  <c r="Q481" i="15" s="1"/>
  <c r="O481" i="15" s="1"/>
  <c r="V481" i="15" s="1"/>
  <c r="I938" i="7"/>
  <c r="Q484" i="15" s="1"/>
  <c r="I940" i="7"/>
  <c r="Q485" i="15" s="1"/>
  <c r="I942" i="7"/>
  <c r="Q486" i="15" s="1"/>
  <c r="J766" i="7"/>
  <c r="O459" i="15" s="1"/>
  <c r="V459" i="15" s="1"/>
  <c r="V600" i="7"/>
  <c r="E106" i="7"/>
  <c r="X391" i="15"/>
  <c r="Z391" i="15" s="1"/>
  <c r="AB394" i="15"/>
  <c r="X394" i="15"/>
  <c r="Z394" i="15" s="1"/>
  <c r="X405" i="15"/>
  <c r="Z405" i="15" s="1"/>
  <c r="BC692" i="7"/>
  <c r="F147" i="7"/>
  <c r="K147" i="7" s="1"/>
  <c r="O408" i="15" s="1"/>
  <c r="W408" i="15" s="1"/>
  <c r="BC605" i="7"/>
  <c r="AG438" i="15" s="1"/>
  <c r="AD438" i="15" s="1"/>
  <c r="E123" i="7"/>
  <c r="X377" i="15"/>
  <c r="Z377" i="15" s="1"/>
  <c r="X370" i="15"/>
  <c r="Z370" i="15" s="1"/>
  <c r="BC62" i="7"/>
  <c r="F62" i="7"/>
  <c r="K62" i="7" s="1"/>
  <c r="O384" i="15" s="1"/>
  <c r="W384" i="15" s="1"/>
  <c r="F140" i="7"/>
  <c r="I401" i="15" s="1"/>
  <c r="AN401" i="15" s="1"/>
  <c r="I690" i="7"/>
  <c r="Q449" i="15" s="1"/>
  <c r="I694" i="7"/>
  <c r="Q451" i="15" s="1"/>
  <c r="AB453" i="15"/>
  <c r="AB445" i="15"/>
  <c r="I688" i="7"/>
  <c r="Q448" i="15" s="1"/>
  <c r="M609" i="7"/>
  <c r="O441" i="15" s="1"/>
  <c r="W441" i="15" s="1"/>
  <c r="E108" i="7"/>
  <c r="H608" i="7"/>
  <c r="BC9" i="7"/>
  <c r="BD9" i="7" s="1"/>
  <c r="BC139" i="7"/>
  <c r="BC16" i="7"/>
  <c r="BC611" i="7"/>
  <c r="F131" i="7"/>
  <c r="I392" i="15" s="1"/>
  <c r="AN392" i="15" s="1"/>
  <c r="X366" i="15"/>
  <c r="Z366" i="15" s="1"/>
  <c r="AB419" i="15"/>
  <c r="X419" i="15"/>
  <c r="Z419" i="15" s="1"/>
  <c r="X421" i="15"/>
  <c r="Z421" i="15" s="1"/>
  <c r="J523" i="7"/>
  <c r="I523" i="7"/>
  <c r="AB385" i="15"/>
  <c r="X382" i="15"/>
  <c r="Z382" i="15" s="1"/>
  <c r="E116" i="7"/>
  <c r="I13" i="7"/>
  <c r="Q372" i="15" s="1"/>
  <c r="O372" i="15" s="1"/>
  <c r="I462" i="15"/>
  <c r="AN462" i="15" s="1"/>
  <c r="J769" i="7"/>
  <c r="O462" i="15" s="1"/>
  <c r="V462" i="15" s="1"/>
  <c r="I467" i="15"/>
  <c r="AN467" i="15" s="1"/>
  <c r="J845" i="7"/>
  <c r="O467" i="15" s="1"/>
  <c r="V467" i="15" s="1"/>
  <c r="AE467" i="15"/>
  <c r="AC467" i="15" s="1"/>
  <c r="P1147" i="7"/>
  <c r="BE1147" i="7" s="1"/>
  <c r="P1148" i="7"/>
  <c r="BE1148" i="7" s="1"/>
  <c r="P1150" i="7"/>
  <c r="BE1150" i="7" s="1"/>
  <c r="AA520" i="15"/>
  <c r="I513" i="15"/>
  <c r="AN513" i="15" s="1"/>
  <c r="AE372" i="15"/>
  <c r="AC372" i="15" s="1"/>
  <c r="F65" i="7"/>
  <c r="K65" i="7" s="1"/>
  <c r="O387" i="15" s="1"/>
  <c r="W387" i="15" s="1"/>
  <c r="F608" i="7"/>
  <c r="AE449" i="15"/>
  <c r="I695" i="7"/>
  <c r="R451" i="15" s="1"/>
  <c r="I698" i="7"/>
  <c r="Q453" i="15" s="1"/>
  <c r="I701" i="7"/>
  <c r="R454" i="15" s="1"/>
  <c r="AE480" i="15"/>
  <c r="AE483" i="15"/>
  <c r="Q1141" i="7"/>
  <c r="P1144" i="7"/>
  <c r="BE1144" i="7" s="1"/>
  <c r="Q1147" i="7"/>
  <c r="Q1148" i="7"/>
  <c r="P1152" i="7"/>
  <c r="F136" i="7"/>
  <c r="K136" i="7" s="1"/>
  <c r="O397" i="15" s="1"/>
  <c r="W397" i="15" s="1"/>
  <c r="F607" i="7"/>
  <c r="BD607" i="7" s="1"/>
  <c r="I683" i="7"/>
  <c r="R445" i="15" s="1"/>
  <c r="I686" i="7"/>
  <c r="Q447" i="15" s="1"/>
  <c r="I689" i="7"/>
  <c r="R448" i="15" s="1"/>
  <c r="I692" i="7"/>
  <c r="Q450" i="15" s="1"/>
  <c r="AF451" i="15"/>
  <c r="AF454" i="15"/>
  <c r="P1151" i="7"/>
  <c r="BE1151" i="7" s="1"/>
  <c r="Q1152" i="7"/>
  <c r="I1267" i="7"/>
  <c r="O517" i="15" s="1"/>
  <c r="V517" i="15" s="1"/>
  <c r="X425" i="15"/>
  <c r="Z425" i="15" s="1"/>
  <c r="Q1143" i="7"/>
  <c r="P1145" i="7"/>
  <c r="BE1145" i="7" s="1"/>
  <c r="X14" i="15"/>
  <c r="Z14" i="15" s="1"/>
  <c r="X64" i="15"/>
  <c r="Z64" i="15" s="1"/>
  <c r="V51" i="16"/>
  <c r="D249" i="16"/>
  <c r="V249" i="16"/>
  <c r="T216" i="15"/>
  <c r="T226" i="15"/>
  <c r="I1319" i="6"/>
  <c r="Q194" i="15" s="1"/>
  <c r="L197" i="15"/>
  <c r="I1328" i="6"/>
  <c r="R198" i="15" s="1"/>
  <c r="I1329" i="6"/>
  <c r="Q199" i="15" s="1"/>
  <c r="R242" i="15"/>
  <c r="R248" i="15"/>
  <c r="Q1944" i="6"/>
  <c r="X4072" i="6" s="1"/>
  <c r="Y295" i="15"/>
  <c r="X195" i="15"/>
  <c r="Z195" i="15" s="1"/>
  <c r="J1322" i="6"/>
  <c r="BC1322" i="6" s="1"/>
  <c r="F1414" i="6"/>
  <c r="F1408" i="6"/>
  <c r="X207" i="15"/>
  <c r="Z207" i="15" s="1"/>
  <c r="AG286" i="15"/>
  <c r="Y286" i="15"/>
  <c r="Y298" i="15"/>
  <c r="Z298" i="15" s="1"/>
  <c r="AG298" i="15"/>
  <c r="C329" i="15"/>
  <c r="AM329" i="15" s="1"/>
  <c r="AE228" i="15"/>
  <c r="AE290" i="15"/>
  <c r="AC290" i="15" s="1"/>
  <c r="W1378" i="6"/>
  <c r="F1378" i="6"/>
  <c r="L1323" i="6"/>
  <c r="AJ196" i="15" s="1"/>
  <c r="AG294" i="15"/>
  <c r="Y287" i="15"/>
  <c r="X290" i="15"/>
  <c r="Z290" i="15" s="1"/>
  <c r="F227" i="6"/>
  <c r="F299" i="6" s="1"/>
  <c r="F371" i="6" s="1"/>
  <c r="F443" i="6" s="1"/>
  <c r="F515" i="6" s="1"/>
  <c r="F587" i="6" s="1"/>
  <c r="F660" i="6" s="1"/>
  <c r="F732" i="6" s="1"/>
  <c r="J859" i="6"/>
  <c r="BC859" i="6" s="1"/>
  <c r="Y192" i="15"/>
  <c r="BC856" i="6"/>
  <c r="K861" i="6"/>
  <c r="BE861" i="6" s="1"/>
  <c r="K196" i="15"/>
  <c r="I196" i="15" s="1"/>
  <c r="I1323" i="6"/>
  <c r="Q196" i="15" s="1"/>
  <c r="AE206" i="15"/>
  <c r="AC206" i="15" s="1"/>
  <c r="E217" i="15"/>
  <c r="X218" i="15"/>
  <c r="Z218" i="15" s="1"/>
  <c r="S226" i="15"/>
  <c r="X284" i="15"/>
  <c r="AE284" i="15"/>
  <c r="AC284" i="15" s="1"/>
  <c r="AF286" i="15"/>
  <c r="F1372" i="6"/>
  <c r="F1390" i="6"/>
  <c r="X228" i="15"/>
  <c r="Z228" i="15" s="1"/>
  <c r="X188" i="15"/>
  <c r="Z188" i="15" s="1"/>
  <c r="BC846" i="6"/>
  <c r="J848" i="6"/>
  <c r="BC848" i="6" s="1"/>
  <c r="G189" i="15"/>
  <c r="F1212" i="6"/>
  <c r="F904" i="6"/>
  <c r="F931" i="6" s="1"/>
  <c r="X216" i="15"/>
  <c r="Z216" i="15" s="1"/>
  <c r="X266" i="15"/>
  <c r="Z266" i="15" s="1"/>
  <c r="AE266" i="15"/>
  <c r="AC266" i="15" s="1"/>
  <c r="Y268" i="15"/>
  <c r="AG268" i="15"/>
  <c r="X282" i="15"/>
  <c r="AE282" i="15"/>
  <c r="R318" i="15"/>
  <c r="Y322" i="15"/>
  <c r="Z322" i="15" s="1"/>
  <c r="G325" i="15"/>
  <c r="AB240" i="15"/>
  <c r="AB242" i="15"/>
  <c r="F1360" i="6"/>
  <c r="Q222" i="15"/>
  <c r="BC144" i="6"/>
  <c r="X135" i="15"/>
  <c r="Z135" i="15" s="1"/>
  <c r="Y139" i="15"/>
  <c r="Z139" i="15" s="1"/>
  <c r="BC150" i="6"/>
  <c r="X178" i="15"/>
  <c r="Z178" i="15" s="1"/>
  <c r="J821" i="6"/>
  <c r="AB213" i="15"/>
  <c r="Q228" i="15"/>
  <c r="Q230" i="15"/>
  <c r="F235" i="15"/>
  <c r="X254" i="15"/>
  <c r="Z254" i="15" s="1"/>
  <c r="S294" i="15"/>
  <c r="X308" i="15"/>
  <c r="AE308" i="15"/>
  <c r="AF314" i="15"/>
  <c r="D329" i="15"/>
  <c r="BC1911" i="6"/>
  <c r="BD1911" i="6" s="1"/>
  <c r="BC1915" i="6"/>
  <c r="BD1915" i="6" s="1"/>
  <c r="BC1913" i="6"/>
  <c r="BD1913" i="6" s="1"/>
  <c r="R1948" i="6"/>
  <c r="K4198" i="6" s="1"/>
  <c r="K1668" i="6" s="1"/>
  <c r="F1898" i="6"/>
  <c r="F1608" i="6"/>
  <c r="BD1608" i="6" s="1"/>
  <c r="F1640" i="6"/>
  <c r="F1692" i="6"/>
  <c r="F1896" i="6"/>
  <c r="F1906" i="6"/>
  <c r="F1575" i="6"/>
  <c r="F1612" i="6"/>
  <c r="F1766" i="6"/>
  <c r="BD1766" i="6" s="1"/>
  <c r="F1830" i="6"/>
  <c r="BD1830" i="6" s="1"/>
  <c r="F1860" i="6"/>
  <c r="BD1860" i="6" s="1"/>
  <c r="F1628" i="6"/>
  <c r="BD1628" i="6" s="1"/>
  <c r="F1764" i="6"/>
  <c r="F1828" i="6"/>
  <c r="F1858" i="6"/>
  <c r="F1902" i="6"/>
  <c r="F1918" i="6"/>
  <c r="AF282" i="15"/>
  <c r="S286" i="15"/>
  <c r="R292" i="15"/>
  <c r="AG292" i="15"/>
  <c r="AD292" i="15" s="1"/>
  <c r="S306" i="15"/>
  <c r="AF308" i="15"/>
  <c r="S308" i="15"/>
  <c r="AH308" i="15"/>
  <c r="AE309" i="15"/>
  <c r="AC309" i="15" s="1"/>
  <c r="Q212" i="15"/>
  <c r="AF215" i="15"/>
  <c r="R218" i="15"/>
  <c r="R275" i="15"/>
  <c r="AF281" i="15"/>
  <c r="AH282" i="15"/>
  <c r="AD282" i="15" s="1"/>
  <c r="T314" i="15"/>
  <c r="AF252" i="15"/>
  <c r="T258" i="15"/>
  <c r="P258" i="15" s="1"/>
  <c r="W258" i="15" s="1"/>
  <c r="R309" i="15"/>
  <c r="R310" i="15"/>
  <c r="R328" i="15"/>
  <c r="AG308" i="15"/>
  <c r="Q240" i="15"/>
  <c r="Q266" i="15"/>
  <c r="O266" i="15" s="1"/>
  <c r="Q275" i="15"/>
  <c r="Q282" i="15"/>
  <c r="O282" i="15" s="1"/>
  <c r="Q309" i="15"/>
  <c r="Q310" i="15"/>
  <c r="S300" i="15"/>
  <c r="S316" i="15"/>
  <c r="Q317" i="15"/>
  <c r="Q252" i="15"/>
  <c r="Q258" i="15"/>
  <c r="O258" i="15" s="1"/>
  <c r="Q260" i="15"/>
  <c r="O260" i="15" s="1"/>
  <c r="W260" i="15" s="1"/>
  <c r="Q284" i="15"/>
  <c r="O284" i="15" s="1"/>
  <c r="Q300" i="15"/>
  <c r="O300" i="15" s="1"/>
  <c r="Q246" i="15"/>
  <c r="Q278" i="15"/>
  <c r="O278" i="15" s="1"/>
  <c r="AH306" i="15"/>
  <c r="AF242" i="15"/>
  <c r="AF302" i="15"/>
  <c r="R308" i="15"/>
  <c r="O308" i="15" s="1"/>
  <c r="T308" i="15"/>
  <c r="R317" i="15"/>
  <c r="AF292" i="15"/>
  <c r="AC292" i="15" s="1"/>
  <c r="R326" i="15"/>
  <c r="R274" i="15"/>
  <c r="R279" i="15"/>
  <c r="R280" i="15"/>
  <c r="T300" i="15"/>
  <c r="R316" i="15"/>
  <c r="O316" i="15" s="1"/>
  <c r="T316" i="15"/>
  <c r="R306" i="15"/>
  <c r="O306" i="15" s="1"/>
  <c r="L287" i="15"/>
  <c r="AF238" i="15"/>
  <c r="L292" i="15"/>
  <c r="I292" i="15" s="1"/>
  <c r="L227" i="15"/>
  <c r="AF326" i="15"/>
  <c r="R207" i="15"/>
  <c r="L329" i="15"/>
  <c r="N291" i="15"/>
  <c r="AF228" i="15"/>
  <c r="R240" i="15"/>
  <c r="R281" i="15"/>
  <c r="T282" i="15"/>
  <c r="R283" i="15"/>
  <c r="O283" i="15" s="1"/>
  <c r="W283" i="15" s="1"/>
  <c r="R252" i="15"/>
  <c r="T266" i="15"/>
  <c r="P266" i="15" s="1"/>
  <c r="W266" i="15" s="1"/>
  <c r="AF272" i="15"/>
  <c r="AF268" i="15"/>
  <c r="AC268" i="15" s="1"/>
  <c r="AF240" i="15"/>
  <c r="AF258" i="15"/>
  <c r="AC258" i="15" s="1"/>
  <c r="AF260" i="15"/>
  <c r="AF283" i="15"/>
  <c r="T284" i="15"/>
  <c r="P284" i="15" s="1"/>
  <c r="W284" i="15" s="1"/>
  <c r="AB141" i="15"/>
  <c r="AB222" i="15"/>
  <c r="Q207" i="15"/>
  <c r="R209" i="15"/>
  <c r="Q292" i="15"/>
  <c r="S292" i="15"/>
  <c r="P292" i="15" s="1"/>
  <c r="W292" i="15" s="1"/>
  <c r="F817" i="6"/>
  <c r="I817" i="6" s="1"/>
  <c r="S176" i="15" s="1"/>
  <c r="P176" i="15" s="1"/>
  <c r="W176" i="15" s="1"/>
  <c r="I1324" i="6"/>
  <c r="R196" i="15" s="1"/>
  <c r="I1325" i="6"/>
  <c r="Q197" i="15" s="1"/>
  <c r="I1327" i="6"/>
  <c r="Q198" i="15" s="1"/>
  <c r="AJ219" i="15"/>
  <c r="I1534" i="6"/>
  <c r="Q204" i="15" s="1"/>
  <c r="O204" i="15" s="1"/>
  <c r="Q210" i="15"/>
  <c r="R213" i="15"/>
  <c r="R215" i="15"/>
  <c r="C219" i="15"/>
  <c r="AM219" i="15" s="1"/>
  <c r="AJ229" i="15"/>
  <c r="C229" i="15"/>
  <c r="AM229" i="15" s="1"/>
  <c r="R246" i="15"/>
  <c r="R272" i="15"/>
  <c r="O272" i="15" s="1"/>
  <c r="W272" i="15" s="1"/>
  <c r="Q279" i="15"/>
  <c r="Q280" i="15"/>
  <c r="T280" i="15"/>
  <c r="P280" i="15" s="1"/>
  <c r="W280" i="15" s="1"/>
  <c r="Q281" i="15"/>
  <c r="S282" i="15"/>
  <c r="C287" i="15"/>
  <c r="AM287" i="15" s="1"/>
  <c r="W135" i="15"/>
  <c r="O135" i="15"/>
  <c r="Q238" i="15"/>
  <c r="T234" i="15"/>
  <c r="X128" i="15"/>
  <c r="X145" i="15"/>
  <c r="T294" i="15"/>
  <c r="R254" i="15"/>
  <c r="BC817" i="6"/>
  <c r="BC140" i="6"/>
  <c r="BC793" i="6"/>
  <c r="R222" i="15"/>
  <c r="Q290" i="15"/>
  <c r="X138" i="15"/>
  <c r="Z138" i="15" s="1"/>
  <c r="Y171" i="15"/>
  <c r="X131" i="15"/>
  <c r="Z131" i="15" s="1"/>
  <c r="Y122" i="15"/>
  <c r="S216" i="15"/>
  <c r="R290" i="15"/>
  <c r="Q262" i="15"/>
  <c r="S290" i="15"/>
  <c r="T290" i="15"/>
  <c r="BC119" i="6"/>
  <c r="AB124" i="15"/>
  <c r="X114" i="15"/>
  <c r="BB148" i="6"/>
  <c r="AA138" i="15" s="1"/>
  <c r="T268" i="15"/>
  <c r="Y137" i="15"/>
  <c r="Q234" i="15"/>
  <c r="I1427" i="6"/>
  <c r="S201" i="15" s="1"/>
  <c r="P201" i="15" s="1"/>
  <c r="W201" i="15" s="1"/>
  <c r="T310" i="15"/>
  <c r="Q218" i="15"/>
  <c r="R322" i="15"/>
  <c r="T306" i="15"/>
  <c r="R268" i="15"/>
  <c r="BC138" i="6"/>
  <c r="BC814" i="6"/>
  <c r="BC149" i="6"/>
  <c r="X134" i="15"/>
  <c r="BC13" i="6"/>
  <c r="Y167" i="15"/>
  <c r="Z167" i="15" s="1"/>
  <c r="Q322" i="15"/>
  <c r="S310" i="15"/>
  <c r="Q328" i="15"/>
  <c r="Q286" i="15"/>
  <c r="S218" i="15"/>
  <c r="X137" i="15"/>
  <c r="AB170" i="15"/>
  <c r="R216" i="15"/>
  <c r="S302" i="15"/>
  <c r="R332" i="15"/>
  <c r="Q314" i="15"/>
  <c r="R298" i="15"/>
  <c r="Q302" i="15"/>
  <c r="S314" i="15"/>
  <c r="T302" i="15"/>
  <c r="X122" i="15"/>
  <c r="BC10" i="6"/>
  <c r="BC130" i="6"/>
  <c r="H10" i="6"/>
  <c r="BC182" i="6"/>
  <c r="Y149" i="15"/>
  <c r="Z149" i="15" s="1"/>
  <c r="Y158" i="15"/>
  <c r="Z158" i="15" s="1"/>
  <c r="AE200" i="15"/>
  <c r="BB1433" i="6"/>
  <c r="AA203" i="15" s="1"/>
  <c r="Q324" i="15"/>
  <c r="Q268" i="15"/>
  <c r="X153" i="15"/>
  <c r="Z153" i="15" s="1"/>
  <c r="Y1177" i="6"/>
  <c r="R294" i="15"/>
  <c r="Q216" i="15"/>
  <c r="X1376" i="6"/>
  <c r="T218" i="15"/>
  <c r="T298" i="15"/>
  <c r="R238" i="15"/>
  <c r="Q248" i="15"/>
  <c r="R324" i="15"/>
  <c r="Y176" i="15"/>
  <c r="BC18" i="6"/>
  <c r="X171" i="15"/>
  <c r="BC808" i="6"/>
  <c r="BD808" i="6" s="1"/>
  <c r="X141" i="15"/>
  <c r="Z141" i="15" s="1"/>
  <c r="F820" i="6"/>
  <c r="K178" i="15" s="1"/>
  <c r="I178" i="15" s="1"/>
  <c r="AN178" i="15" s="1"/>
  <c r="AN201" i="15"/>
  <c r="Y177" i="15"/>
  <c r="X744" i="6"/>
  <c r="R230" i="15"/>
  <c r="T286" i="15"/>
  <c r="R234" i="15"/>
  <c r="R226" i="15"/>
  <c r="BC139" i="6"/>
  <c r="X119" i="15"/>
  <c r="BC16" i="6"/>
  <c r="X163" i="15"/>
  <c r="Z163" i="15" s="1"/>
  <c r="J1290" i="6"/>
  <c r="K816" i="6" s="1"/>
  <c r="BE816" i="6" s="1"/>
  <c r="O887" i="6"/>
  <c r="J1286" i="6"/>
  <c r="O888" i="6"/>
  <c r="J1309" i="6"/>
  <c r="O886" i="6"/>
  <c r="J1297" i="6"/>
  <c r="J1267" i="6"/>
  <c r="AN275" i="15"/>
  <c r="AN254" i="15"/>
  <c r="BC176" i="6"/>
  <c r="BD176" i="6" s="1"/>
  <c r="X144" i="15"/>
  <c r="Z144" i="15" s="1"/>
  <c r="F822" i="6"/>
  <c r="BD822" i="6" s="1"/>
  <c r="BC854" i="6"/>
  <c r="BC830" i="6"/>
  <c r="K819" i="6"/>
  <c r="BE819" i="6" s="1"/>
  <c r="BC827" i="6"/>
  <c r="X192" i="15"/>
  <c r="F826" i="6"/>
  <c r="F823" i="6"/>
  <c r="BD823" i="6" s="1"/>
  <c r="X193" i="15"/>
  <c r="Z193" i="15" s="1"/>
  <c r="K836" i="6"/>
  <c r="BE836" i="6" s="1"/>
  <c r="J834" i="6"/>
  <c r="BC860" i="6"/>
  <c r="X168" i="15"/>
  <c r="Z168" i="15" s="1"/>
  <c r="AB173" i="15"/>
  <c r="AB169" i="15"/>
  <c r="AN176" i="15"/>
  <c r="AO176" i="15" s="1"/>
  <c r="AN284" i="15"/>
  <c r="AN228" i="15"/>
  <c r="AN294" i="15"/>
  <c r="P171" i="15"/>
  <c r="W171" i="15" s="1"/>
  <c r="BC12" i="6"/>
  <c r="I142" i="6"/>
  <c r="Q134" i="15" s="1"/>
  <c r="O134" i="15" s="1"/>
  <c r="Y140" i="15"/>
  <c r="BC123" i="6"/>
  <c r="J758" i="6"/>
  <c r="K162" i="6" s="1"/>
  <c r="BE162" i="6" s="1"/>
  <c r="Y151" i="15"/>
  <c r="AB142" i="15"/>
  <c r="AB120" i="15"/>
  <c r="X129" i="15"/>
  <c r="Z129" i="15" s="1"/>
  <c r="R215" i="6"/>
  <c r="X143" i="15"/>
  <c r="I187" i="6"/>
  <c r="Q164" i="15" s="1"/>
  <c r="O164" i="15" s="1"/>
  <c r="W165" i="15"/>
  <c r="K757" i="6"/>
  <c r="H16" i="6"/>
  <c r="M7" i="6"/>
  <c r="O111" i="15" s="1"/>
  <c r="W111" i="15" s="1"/>
  <c r="I111" i="15"/>
  <c r="AN111" i="15" s="1"/>
  <c r="K826" i="6"/>
  <c r="BE826" i="6" s="1"/>
  <c r="J1180" i="6"/>
  <c r="F827" i="6" s="1"/>
  <c r="AB130" i="15"/>
  <c r="K136" i="15"/>
  <c r="I136" i="15" s="1"/>
  <c r="AN136" i="15" s="1"/>
  <c r="M140" i="15"/>
  <c r="J140" i="15" s="1"/>
  <c r="I152" i="6"/>
  <c r="S140" i="15" s="1"/>
  <c r="P140" i="15" s="1"/>
  <c r="W140" i="15" s="1"/>
  <c r="I111" i="6"/>
  <c r="O17" i="6" s="1"/>
  <c r="BE17" i="6" s="1"/>
  <c r="Z111" i="6"/>
  <c r="Z105" i="6"/>
  <c r="AA109" i="6"/>
  <c r="AA103" i="6"/>
  <c r="Z109" i="6"/>
  <c r="Z103" i="6"/>
  <c r="AA111" i="6"/>
  <c r="AA105" i="6"/>
  <c r="Y671" i="7"/>
  <c r="K124" i="15"/>
  <c r="I124" i="15" s="1"/>
  <c r="AN124" i="15" s="1"/>
  <c r="I127" i="6"/>
  <c r="Q124" i="15" s="1"/>
  <c r="W124" i="15" s="1"/>
  <c r="M128" i="15"/>
  <c r="J128" i="15" s="1"/>
  <c r="I134" i="6"/>
  <c r="S128" i="15" s="1"/>
  <c r="P128" i="15" s="1"/>
  <c r="W128" i="15" s="1"/>
  <c r="K130" i="15"/>
  <c r="I130" i="15" s="1"/>
  <c r="AN130" i="15" s="1"/>
  <c r="I136" i="6"/>
  <c r="Q130" i="15" s="1"/>
  <c r="K142" i="15"/>
  <c r="I142" i="15" s="1"/>
  <c r="AN142" i="15" s="1"/>
  <c r="I154" i="6"/>
  <c r="Q142" i="15" s="1"/>
  <c r="W142" i="15" s="1"/>
  <c r="AB126" i="15"/>
  <c r="K128" i="15"/>
  <c r="I128" i="15" s="1"/>
  <c r="AN128" i="15" s="1"/>
  <c r="I133" i="6"/>
  <c r="Q128" i="15" s="1"/>
  <c r="O128" i="15" s="1"/>
  <c r="L204" i="15"/>
  <c r="M133" i="15"/>
  <c r="J133" i="15" s="1"/>
  <c r="K140" i="15"/>
  <c r="I140" i="15" s="1"/>
  <c r="AN140" i="15" s="1"/>
  <c r="K171" i="15"/>
  <c r="AN171" i="15" s="1"/>
  <c r="K173" i="15"/>
  <c r="AN173" i="15" s="1"/>
  <c r="K194" i="15"/>
  <c r="AN194" i="15" s="1"/>
  <c r="L218" i="15"/>
  <c r="L242" i="15"/>
  <c r="M258" i="15"/>
  <c r="M266" i="15"/>
  <c r="J266" i="15" s="1"/>
  <c r="L278" i="15"/>
  <c r="L282" i="15"/>
  <c r="K283" i="15"/>
  <c r="L286" i="15"/>
  <c r="I286" i="15" s="1"/>
  <c r="C1814" i="6"/>
  <c r="K302" i="15"/>
  <c r="AN302" i="15" s="1"/>
  <c r="K328" i="15"/>
  <c r="AN328" i="15" s="1"/>
  <c r="AJ328" i="15"/>
  <c r="AJ329" i="15"/>
  <c r="K144" i="15"/>
  <c r="I144" i="15" s="1"/>
  <c r="BC159" i="6"/>
  <c r="BD159" i="6" s="1"/>
  <c r="Y145" i="15"/>
  <c r="K147" i="15"/>
  <c r="I147" i="15" s="1"/>
  <c r="M151" i="15"/>
  <c r="J151" i="15" s="1"/>
  <c r="I168" i="6"/>
  <c r="S151" i="15" s="1"/>
  <c r="P151" i="15" s="1"/>
  <c r="W151" i="15" s="1"/>
  <c r="M163" i="15"/>
  <c r="J163" i="15" s="1"/>
  <c r="I186" i="6"/>
  <c r="S163" i="15" s="1"/>
  <c r="P163" i="15" s="1"/>
  <c r="W163" i="15" s="1"/>
  <c r="G146" i="15"/>
  <c r="F251" i="6"/>
  <c r="F323" i="6" s="1"/>
  <c r="F395" i="6" s="1"/>
  <c r="F467" i="6" s="1"/>
  <c r="F539" i="6" s="1"/>
  <c r="F611" i="6" s="1"/>
  <c r="F684" i="6" s="1"/>
  <c r="F756" i="6" s="1"/>
  <c r="F278" i="6"/>
  <c r="F350" i="6" s="1"/>
  <c r="F422" i="6" s="1"/>
  <c r="F494" i="6" s="1"/>
  <c r="F566" i="6" s="1"/>
  <c r="F638" i="6" s="1"/>
  <c r="F711" i="6" s="1"/>
  <c r="F783" i="6" s="1"/>
  <c r="G164" i="15"/>
  <c r="K161" i="15"/>
  <c r="I161" i="15" s="1"/>
  <c r="O200" i="15"/>
  <c r="W200" i="15" s="1"/>
  <c r="I141" i="6"/>
  <c r="S133" i="15" s="1"/>
  <c r="P133" i="15" s="1"/>
  <c r="W133" i="15" s="1"/>
  <c r="I153" i="6"/>
  <c r="Q141" i="15" s="1"/>
  <c r="AJ123" i="15"/>
  <c r="M204" i="15"/>
  <c r="X118" i="15"/>
  <c r="Z118" i="15" s="1"/>
  <c r="Y127" i="15"/>
  <c r="X140" i="15"/>
  <c r="M125" i="15"/>
  <c r="J125" i="15" s="1"/>
  <c r="K131" i="15"/>
  <c r="I131" i="15" s="1"/>
  <c r="AN131" i="15" s="1"/>
  <c r="AO131" i="15" s="1"/>
  <c r="M131" i="15"/>
  <c r="J131" i="15" s="1"/>
  <c r="K207" i="15"/>
  <c r="AN207" i="15" s="1"/>
  <c r="M119" i="15"/>
  <c r="J119" i="15" s="1"/>
  <c r="K132" i="15"/>
  <c r="I132" i="15" s="1"/>
  <c r="AN132" i="15" s="1"/>
  <c r="L209" i="15"/>
  <c r="N204" i="15"/>
  <c r="M121" i="15"/>
  <c r="J121" i="15" s="1"/>
  <c r="K740" i="6"/>
  <c r="M171" i="15"/>
  <c r="J171" i="15" s="1"/>
  <c r="L175" i="15"/>
  <c r="L198" i="15"/>
  <c r="K199" i="15"/>
  <c r="AN199" i="15" s="1"/>
  <c r="K212" i="15"/>
  <c r="AN212" i="15" s="1"/>
  <c r="L216" i="15"/>
  <c r="C217" i="15"/>
  <c r="AM217" i="15" s="1"/>
  <c r="K218" i="15"/>
  <c r="AN218" i="15" s="1"/>
  <c r="N226" i="15"/>
  <c r="C231" i="15"/>
  <c r="AM231" i="15" s="1"/>
  <c r="K242" i="15"/>
  <c r="AN242" i="15" s="1"/>
  <c r="L248" i="15"/>
  <c r="L281" i="15"/>
  <c r="C291" i="15"/>
  <c r="AM291" i="15" s="1"/>
  <c r="K760" i="6"/>
  <c r="AJ149" i="15"/>
  <c r="K763" i="6"/>
  <c r="AJ151" i="15"/>
  <c r="K769" i="6"/>
  <c r="AJ155" i="15"/>
  <c r="AJ156" i="15"/>
  <c r="K771" i="6"/>
  <c r="K774" i="6"/>
  <c r="AJ158" i="15"/>
  <c r="K784" i="6"/>
  <c r="AG137" i="15"/>
  <c r="AD137" i="15" s="1"/>
  <c r="G124" i="15"/>
  <c r="X120" i="15"/>
  <c r="Z120" i="15" s="1"/>
  <c r="Y114" i="15"/>
  <c r="N210" i="15"/>
  <c r="K119" i="15"/>
  <c r="I119" i="15" s="1"/>
  <c r="AN119" i="15" s="1"/>
  <c r="AO119" i="15" s="1"/>
  <c r="K121" i="15"/>
  <c r="I121" i="15" s="1"/>
  <c r="AN121" i="15" s="1"/>
  <c r="M127" i="15"/>
  <c r="J127" i="15" s="1"/>
  <c r="K135" i="15"/>
  <c r="I135" i="15" s="1"/>
  <c r="AN135" i="15" s="1"/>
  <c r="M122" i="15"/>
  <c r="J122" i="15" s="1"/>
  <c r="K134" i="15"/>
  <c r="I134" i="15" s="1"/>
  <c r="AN134" i="15" s="1"/>
  <c r="K138" i="15"/>
  <c r="I138" i="15" s="1"/>
  <c r="AN138" i="15" s="1"/>
  <c r="L169" i="15"/>
  <c r="I169" i="15" s="1"/>
  <c r="K175" i="15"/>
  <c r="AN175" i="15" s="1"/>
  <c r="K197" i="15"/>
  <c r="AN197" i="15" s="1"/>
  <c r="K198" i="15"/>
  <c r="AN198" i="15" s="1"/>
  <c r="M202" i="15"/>
  <c r="J202" i="15" s="1"/>
  <c r="AF210" i="15"/>
  <c r="AC210" i="15" s="1"/>
  <c r="L215" i="15"/>
  <c r="K216" i="15"/>
  <c r="AN216" i="15" s="1"/>
  <c r="K230" i="15"/>
  <c r="AN230" i="15" s="1"/>
  <c r="L246" i="15"/>
  <c r="L252" i="15"/>
  <c r="K268" i="15"/>
  <c r="AN268" i="15" s="1"/>
  <c r="N280" i="15"/>
  <c r="N286" i="15"/>
  <c r="C1766" i="6"/>
  <c r="AJ294" i="15"/>
  <c r="AJ295" i="15"/>
  <c r="O169" i="15"/>
  <c r="W169" i="15" s="1"/>
  <c r="BC128" i="6"/>
  <c r="Y119" i="15"/>
  <c r="K125" i="15"/>
  <c r="I125" i="15" s="1"/>
  <c r="AN125" i="15" s="1"/>
  <c r="AO125" i="15" s="1"/>
  <c r="L207" i="15"/>
  <c r="L1327" i="6"/>
  <c r="AJ198" i="15" s="1"/>
  <c r="I122" i="6"/>
  <c r="Q121" i="15" s="1"/>
  <c r="O121" i="15" s="1"/>
  <c r="K122" i="15"/>
  <c r="I122" i="15" s="1"/>
  <c r="AN122" i="15" s="1"/>
  <c r="AO122" i="15" s="1"/>
  <c r="I132" i="6"/>
  <c r="S127" i="15" s="1"/>
  <c r="P127" i="15" s="1"/>
  <c r="W127" i="15" s="1"/>
  <c r="K141" i="15"/>
  <c r="I141" i="15" s="1"/>
  <c r="AN141" i="15" s="1"/>
  <c r="K167" i="15"/>
  <c r="I167" i="15" s="1"/>
  <c r="AN167" i="15" s="1"/>
  <c r="AO167" i="15" s="1"/>
  <c r="K170" i="15"/>
  <c r="AN170" i="15" s="1"/>
  <c r="L170" i="15"/>
  <c r="L171" i="15"/>
  <c r="L173" i="15"/>
  <c r="K195" i="15"/>
  <c r="AN195" i="15" s="1"/>
  <c r="L195" i="15"/>
  <c r="L201" i="15"/>
  <c r="I201" i="15" s="1"/>
  <c r="M201" i="15"/>
  <c r="N201" i="15"/>
  <c r="C223" i="15"/>
  <c r="AM223" i="15" s="1"/>
  <c r="L228" i="15"/>
  <c r="I228" i="15" s="1"/>
  <c r="N234" i="15"/>
  <c r="K246" i="15"/>
  <c r="AN246" i="15" s="1"/>
  <c r="C249" i="15"/>
  <c r="AM249" i="15" s="1"/>
  <c r="K252" i="15"/>
  <c r="AN252" i="15" s="1"/>
  <c r="K781" i="6"/>
  <c r="C1576" i="6"/>
  <c r="L222" i="15"/>
  <c r="K226" i="15"/>
  <c r="AN226" i="15" s="1"/>
  <c r="C227" i="15"/>
  <c r="AM227" i="15" s="1"/>
  <c r="L234" i="15"/>
  <c r="I234" i="15" s="1"/>
  <c r="L238" i="15"/>
  <c r="I238" i="15" s="1"/>
  <c r="K248" i="15"/>
  <c r="C255" i="15"/>
  <c r="AM255" i="15" s="1"/>
  <c r="N258" i="15"/>
  <c r="C263" i="15"/>
  <c r="AM263" i="15" s="1"/>
  <c r="K278" i="15"/>
  <c r="AN278" i="15" s="1"/>
  <c r="N278" i="15"/>
  <c r="J278" i="15" s="1"/>
  <c r="K281" i="15"/>
  <c r="AN281" i="15" s="1"/>
  <c r="K282" i="15"/>
  <c r="AN282" i="15" s="1"/>
  <c r="L294" i="15"/>
  <c r="I294" i="15" s="1"/>
  <c r="C307" i="15"/>
  <c r="AM307" i="15" s="1"/>
  <c r="C323" i="15"/>
  <c r="AM323" i="15" s="1"/>
  <c r="AJ231" i="15"/>
  <c r="I179" i="6"/>
  <c r="S158" i="15" s="1"/>
  <c r="P158" i="15" s="1"/>
  <c r="W158" i="15" s="1"/>
  <c r="K775" i="6"/>
  <c r="K782" i="6"/>
  <c r="K785" i="6"/>
  <c r="AJ165" i="15"/>
  <c r="M149" i="15"/>
  <c r="J149" i="15" s="1"/>
  <c r="I165" i="6"/>
  <c r="S149" i="15" s="1"/>
  <c r="P149" i="15" s="1"/>
  <c r="W149" i="15" s="1"/>
  <c r="M161" i="15"/>
  <c r="J161" i="15" s="1"/>
  <c r="I183" i="6"/>
  <c r="S161" i="15" s="1"/>
  <c r="P161" i="15" s="1"/>
  <c r="W161" i="15" s="1"/>
  <c r="K163" i="15"/>
  <c r="I163" i="15" s="1"/>
  <c r="L203" i="15"/>
  <c r="I203" i="15" s="1"/>
  <c r="N216" i="15"/>
  <c r="J216" i="15" s="1"/>
  <c r="M218" i="15"/>
  <c r="K222" i="15"/>
  <c r="M226" i="15"/>
  <c r="C1608" i="6"/>
  <c r="C235" i="15"/>
  <c r="AM235" i="15" s="1"/>
  <c r="L240" i="15"/>
  <c r="C243" i="15"/>
  <c r="AM243" i="15" s="1"/>
  <c r="L254" i="15"/>
  <c r="I254" i="15" s="1"/>
  <c r="K258" i="15"/>
  <c r="AN258" i="15" s="1"/>
  <c r="C1712" i="6"/>
  <c r="L275" i="15"/>
  <c r="I275" i="15" s="1"/>
  <c r="L279" i="15"/>
  <c r="I279" i="15" s="1"/>
  <c r="L280" i="15"/>
  <c r="AH280" i="15"/>
  <c r="M286" i="15"/>
  <c r="C1798" i="6"/>
  <c r="M308" i="15"/>
  <c r="N308" i="15"/>
  <c r="L310" i="15"/>
  <c r="C1898" i="6"/>
  <c r="K332" i="15"/>
  <c r="AN332" i="15" s="1"/>
  <c r="I188" i="6"/>
  <c r="S164" i="15" s="1"/>
  <c r="P164" i="15" s="1"/>
  <c r="W164" i="15" s="1"/>
  <c r="K753" i="6"/>
  <c r="AJ144" i="15"/>
  <c r="K149" i="15"/>
  <c r="I149" i="15" s="1"/>
  <c r="K153" i="15"/>
  <c r="I153" i="15" s="1"/>
  <c r="I171" i="6"/>
  <c r="Q153" i="15" s="1"/>
  <c r="O153" i="15" s="1"/>
  <c r="Z157" i="15"/>
  <c r="M143" i="15"/>
  <c r="J143" i="15" s="1"/>
  <c r="L194" i="15"/>
  <c r="AH202" i="15"/>
  <c r="R210" i="15"/>
  <c r="N218" i="15"/>
  <c r="C1584" i="6"/>
  <c r="M234" i="15"/>
  <c r="C1628" i="6"/>
  <c r="C239" i="15"/>
  <c r="AM239" i="15" s="1"/>
  <c r="K240" i="15"/>
  <c r="AN240" i="15" s="1"/>
  <c r="K260" i="15"/>
  <c r="I260" i="15" s="1"/>
  <c r="L268" i="15"/>
  <c r="M268" i="15"/>
  <c r="J268" i="15" s="1"/>
  <c r="K280" i="15"/>
  <c r="AN280" i="15" s="1"/>
  <c r="M280" i="15"/>
  <c r="L300" i="15"/>
  <c r="I300" i="15" s="1"/>
  <c r="L302" i="15"/>
  <c r="C1830" i="6"/>
  <c r="M306" i="15"/>
  <c r="K310" i="15"/>
  <c r="AN310" i="15" s="1"/>
  <c r="M314" i="15"/>
  <c r="C319" i="15"/>
  <c r="AM319" i="15" s="1"/>
  <c r="K322" i="15"/>
  <c r="I322" i="15" s="1"/>
  <c r="C325" i="15"/>
  <c r="AM325" i="15" s="1"/>
  <c r="K326" i="15"/>
  <c r="AN326" i="15" s="1"/>
  <c r="AJ234" i="15"/>
  <c r="AJ235" i="15"/>
  <c r="K145" i="15"/>
  <c r="I145" i="15" s="1"/>
  <c r="I158" i="6"/>
  <c r="Q145" i="15" s="1"/>
  <c r="O145" i="15" s="1"/>
  <c r="BC170" i="6"/>
  <c r="BD170" i="6" s="1"/>
  <c r="Y152" i="15"/>
  <c r="Z152" i="15" s="1"/>
  <c r="M157" i="15"/>
  <c r="J157" i="15" s="1"/>
  <c r="I182" i="6"/>
  <c r="Q161" i="15" s="1"/>
  <c r="O161" i="15" s="1"/>
  <c r="N282" i="15"/>
  <c r="J282" i="15" s="1"/>
  <c r="L283" i="15"/>
  <c r="N284" i="15"/>
  <c r="J284" i="15" s="1"/>
  <c r="M290" i="15"/>
  <c r="N290" i="15"/>
  <c r="M292" i="15"/>
  <c r="M294" i="15"/>
  <c r="C295" i="15"/>
  <c r="AM295" i="15" s="1"/>
  <c r="K298" i="15"/>
  <c r="AN298" i="15" s="1"/>
  <c r="L298" i="15"/>
  <c r="C299" i="15"/>
  <c r="AM299" i="15" s="1"/>
  <c r="M300" i="15"/>
  <c r="N300" i="15"/>
  <c r="N302" i="15"/>
  <c r="J302" i="15" s="1"/>
  <c r="C303" i="15"/>
  <c r="AM303" i="15" s="1"/>
  <c r="C1846" i="6"/>
  <c r="K308" i="15"/>
  <c r="L308" i="15"/>
  <c r="K309" i="15"/>
  <c r="L309" i="15"/>
  <c r="N310" i="15"/>
  <c r="J310" i="15" s="1"/>
  <c r="C311" i="15"/>
  <c r="AM311" i="15" s="1"/>
  <c r="L314" i="15"/>
  <c r="N314" i="15"/>
  <c r="K316" i="15"/>
  <c r="L316" i="15"/>
  <c r="K318" i="15"/>
  <c r="AN318" i="15" s="1"/>
  <c r="L318" i="15"/>
  <c r="N322" i="15"/>
  <c r="J322" i="15" s="1"/>
  <c r="K324" i="15"/>
  <c r="AN324" i="15" s="1"/>
  <c r="L330" i="15"/>
  <c r="C331" i="15"/>
  <c r="AM331" i="15" s="1"/>
  <c r="C333" i="15"/>
  <c r="AM333" i="15" s="1"/>
  <c r="AG149" i="15"/>
  <c r="AD149" i="15" s="1"/>
  <c r="AG161" i="15"/>
  <c r="AD161" i="15" s="1"/>
  <c r="AE153" i="15"/>
  <c r="AC153" i="15" s="1"/>
  <c r="K164" i="15"/>
  <c r="I164" i="15" s="1"/>
  <c r="K143" i="15"/>
  <c r="I143" i="15" s="1"/>
  <c r="I162" i="6"/>
  <c r="Q147" i="15" s="1"/>
  <c r="M155" i="15"/>
  <c r="J155" i="15" s="1"/>
  <c r="I176" i="6"/>
  <c r="Q157" i="15" s="1"/>
  <c r="O157" i="15" s="1"/>
  <c r="AE163" i="15"/>
  <c r="AC163" i="15" s="1"/>
  <c r="K165" i="15"/>
  <c r="I165" i="15" s="1"/>
  <c r="C1782" i="6"/>
  <c r="N292" i="15"/>
  <c r="N294" i="15"/>
  <c r="M298" i="15"/>
  <c r="J298" i="15" s="1"/>
  <c r="N306" i="15"/>
  <c r="C1860" i="6"/>
  <c r="K314" i="15"/>
  <c r="AN314" i="15" s="1"/>
  <c r="C315" i="15"/>
  <c r="AM315" i="15" s="1"/>
  <c r="M316" i="15"/>
  <c r="N316" i="15"/>
  <c r="L324" i="15"/>
  <c r="C327" i="15"/>
  <c r="AM327" i="15" s="1"/>
  <c r="L328" i="15"/>
  <c r="K330" i="15"/>
  <c r="AN330" i="15" s="1"/>
  <c r="L332" i="15"/>
  <c r="N212" i="15"/>
  <c r="AG151" i="15"/>
  <c r="AD151" i="15" s="1"/>
  <c r="K146" i="15"/>
  <c r="I146" i="15" s="1"/>
  <c r="AE147" i="15"/>
  <c r="AC147" i="15" s="1"/>
  <c r="I174" i="6"/>
  <c r="S155" i="15" s="1"/>
  <c r="P155" i="15" s="1"/>
  <c r="W155" i="15" s="1"/>
  <c r="K156" i="15"/>
  <c r="I156" i="15" s="1"/>
  <c r="I624" i="15"/>
  <c r="AN624" i="15" s="1"/>
  <c r="J599" i="15"/>
  <c r="F13" i="9"/>
  <c r="J371" i="9"/>
  <c r="O617" i="15" s="1"/>
  <c r="V617" i="15" s="1"/>
  <c r="I625" i="15"/>
  <c r="AN625" i="15" s="1"/>
  <c r="F10" i="9"/>
  <c r="I622" i="15"/>
  <c r="AN622" i="15" s="1"/>
  <c r="I623" i="15"/>
  <c r="AN623" i="15" s="1"/>
  <c r="F12" i="9"/>
  <c r="AC12" i="9" s="1"/>
  <c r="I619" i="15"/>
  <c r="AN619" i="15" s="1"/>
  <c r="I481" i="9"/>
  <c r="O624" i="15" s="1"/>
  <c r="V624" i="15" s="1"/>
  <c r="BC510" i="9"/>
  <c r="BD510" i="9" s="1"/>
  <c r="BC514" i="9"/>
  <c r="BD514" i="9" s="1"/>
  <c r="J637" i="15"/>
  <c r="BC262" i="5"/>
  <c r="M233" i="2"/>
  <c r="F219" i="2" s="1"/>
  <c r="DI219" i="2" s="1"/>
  <c r="V424" i="2"/>
  <c r="X111" i="15"/>
  <c r="Z111" i="15" s="1"/>
  <c r="X116" i="15"/>
  <c r="Z116" i="15" s="1"/>
  <c r="Q214" i="6"/>
  <c r="X113" i="15"/>
  <c r="Z113" i="15" s="1"/>
  <c r="E166" i="16"/>
  <c r="E249" i="16"/>
  <c r="I53" i="15"/>
  <c r="AN53" i="15" s="1"/>
  <c r="I229" i="16"/>
  <c r="O60" i="15" s="1"/>
  <c r="AE52" i="15"/>
  <c r="AC52" i="15" s="1"/>
  <c r="I227" i="16"/>
  <c r="O58" i="15" s="1"/>
  <c r="V58" i="15" s="1"/>
  <c r="AE55" i="15"/>
  <c r="AC55" i="15" s="1"/>
  <c r="I222" i="16"/>
  <c r="O53" i="15" s="1"/>
  <c r="V53" i="15" s="1"/>
  <c r="I221" i="16"/>
  <c r="O52" i="15" s="1"/>
  <c r="V52" i="15" s="1"/>
  <c r="I67" i="16"/>
  <c r="Q41" i="15" s="1"/>
  <c r="O41" i="15" s="1"/>
  <c r="I617" i="15"/>
  <c r="AN617" i="15" s="1"/>
  <c r="M282" i="9"/>
  <c r="O607" i="15" s="1"/>
  <c r="W607" i="15" s="1"/>
  <c r="X596" i="15"/>
  <c r="Z596" i="15" s="1"/>
  <c r="X580" i="15"/>
  <c r="Z580" i="15" s="1"/>
  <c r="O616" i="15"/>
  <c r="AO616" i="15" s="1"/>
  <c r="BC515" i="9"/>
  <c r="BD515" i="9" s="1"/>
  <c r="E616" i="9"/>
  <c r="E268" i="9"/>
  <c r="I604" i="15"/>
  <c r="AN604" i="15" s="1"/>
  <c r="M276" i="9"/>
  <c r="O601" i="15" s="1"/>
  <c r="W601" i="15" s="1"/>
  <c r="M279" i="9"/>
  <c r="O604" i="15" s="1"/>
  <c r="W604" i="15" s="1"/>
  <c r="I601" i="15"/>
  <c r="AN601" i="15" s="1"/>
  <c r="AB589" i="15"/>
  <c r="I77" i="9"/>
  <c r="F77" i="9" s="1"/>
  <c r="BD77" i="9" s="1"/>
  <c r="X594" i="15"/>
  <c r="Z594" i="15" s="1"/>
  <c r="X582" i="15"/>
  <c r="Z582" i="15" s="1"/>
  <c r="AB591" i="15"/>
  <c r="I602" i="15"/>
  <c r="AN602" i="15" s="1"/>
  <c r="BB291" i="9"/>
  <c r="AA616" i="15" s="1"/>
  <c r="M281" i="9"/>
  <c r="O606" i="15" s="1"/>
  <c r="W606" i="15" s="1"/>
  <c r="I606" i="15"/>
  <c r="AN606" i="15" s="1"/>
  <c r="C628" i="15"/>
  <c r="AM628" i="15" s="1"/>
  <c r="I613" i="15"/>
  <c r="AN613" i="15" s="1"/>
  <c r="AO613" i="15" s="1"/>
  <c r="I74" i="9"/>
  <c r="F74" i="9" s="1"/>
  <c r="BD74" i="9" s="1"/>
  <c r="W613" i="15"/>
  <c r="M287" i="9"/>
  <c r="O612" i="15" s="1"/>
  <c r="W612" i="15" s="1"/>
  <c r="I605" i="15"/>
  <c r="AN605" i="15" s="1"/>
  <c r="M277" i="9"/>
  <c r="O602" i="15" s="1"/>
  <c r="W602" i="15" s="1"/>
  <c r="AE613" i="15"/>
  <c r="AC613" i="15" s="1"/>
  <c r="I75" i="9"/>
  <c r="F75" i="9" s="1"/>
  <c r="I588" i="15" s="1"/>
  <c r="AN588" i="15" s="1"/>
  <c r="AB594" i="15"/>
  <c r="I76" i="9"/>
  <c r="F76" i="9" s="1"/>
  <c r="I589" i="15" s="1"/>
  <c r="AN589" i="15" s="1"/>
  <c r="F82" i="9"/>
  <c r="BD82" i="9" s="1"/>
  <c r="AB588" i="15"/>
  <c r="I81" i="9"/>
  <c r="F81" i="9" s="1"/>
  <c r="BD81" i="9" s="1"/>
  <c r="I83" i="9"/>
  <c r="F83" i="9" s="1"/>
  <c r="BD83" i="9" s="1"/>
  <c r="I78" i="9"/>
  <c r="F78" i="9" s="1"/>
  <c r="I591" i="15" s="1"/>
  <c r="AN591" i="15" s="1"/>
  <c r="I79" i="9"/>
  <c r="F79" i="9" s="1"/>
  <c r="AB596" i="15"/>
  <c r="I80" i="9"/>
  <c r="F80" i="9" s="1"/>
  <c r="F64" i="7"/>
  <c r="I386" i="15" s="1"/>
  <c r="AN386" i="15" s="1"/>
  <c r="BC17" i="7"/>
  <c r="X371" i="15"/>
  <c r="Z371" i="15" s="1"/>
  <c r="X387" i="15"/>
  <c r="Z387" i="15" s="1"/>
  <c r="BC154" i="7"/>
  <c r="X404" i="15"/>
  <c r="Z404" i="15" s="1"/>
  <c r="AB387" i="15"/>
  <c r="BC148" i="7"/>
  <c r="AB393" i="15"/>
  <c r="M604" i="7"/>
  <c r="O438" i="15" s="1"/>
  <c r="W438" i="15" s="1"/>
  <c r="AB396" i="15"/>
  <c r="BC8" i="7"/>
  <c r="BD8" i="7" s="1"/>
  <c r="BC64" i="7"/>
  <c r="BC132" i="7"/>
  <c r="X369" i="15"/>
  <c r="Z369" i="15" s="1"/>
  <c r="M612" i="7"/>
  <c r="O443" i="15" s="1"/>
  <c r="W443" i="15" s="1"/>
  <c r="X399" i="15"/>
  <c r="Z399" i="15" s="1"/>
  <c r="X412" i="15"/>
  <c r="Z412" i="15" s="1"/>
  <c r="AB400" i="15"/>
  <c r="M606" i="7"/>
  <c r="O439" i="15" s="1"/>
  <c r="W439" i="15" s="1"/>
  <c r="X407" i="15"/>
  <c r="Z407" i="15" s="1"/>
  <c r="BC928" i="7"/>
  <c r="X483" i="15"/>
  <c r="Z483" i="15" s="1"/>
  <c r="X420" i="15"/>
  <c r="Z420" i="15" s="1"/>
  <c r="AB382" i="15"/>
  <c r="X396" i="15"/>
  <c r="Z396" i="15" s="1"/>
  <c r="X486" i="15"/>
  <c r="Z486" i="15" s="1"/>
  <c r="X449" i="15"/>
  <c r="Z449" i="15" s="1"/>
  <c r="X418" i="15"/>
  <c r="Z418" i="15" s="1"/>
  <c r="X381" i="15"/>
  <c r="Z381" i="15" s="1"/>
  <c r="F138" i="7"/>
  <c r="K138" i="7" s="1"/>
  <c r="O399" i="15" s="1"/>
  <c r="W399" i="15" s="1"/>
  <c r="F146" i="7"/>
  <c r="K146" i="7" s="1"/>
  <c r="O407" i="15" s="1"/>
  <c r="W407" i="15" s="1"/>
  <c r="X401" i="15"/>
  <c r="Z401" i="15" s="1"/>
  <c r="X480" i="15"/>
  <c r="Z480" i="15" s="1"/>
  <c r="X485" i="15"/>
  <c r="Z485" i="15" s="1"/>
  <c r="AB405" i="15"/>
  <c r="BC63" i="7"/>
  <c r="F157" i="7"/>
  <c r="K157" i="7" s="1"/>
  <c r="O418" i="15" s="1"/>
  <c r="W418" i="15" s="1"/>
  <c r="X406" i="15"/>
  <c r="Z406" i="15" s="1"/>
  <c r="F153" i="7"/>
  <c r="BD153" i="7" s="1"/>
  <c r="X417" i="15"/>
  <c r="Z417" i="15" s="1"/>
  <c r="M614" i="7"/>
  <c r="P444" i="15" s="1"/>
  <c r="F149" i="7"/>
  <c r="X403" i="15"/>
  <c r="Z403" i="15" s="1"/>
  <c r="BC147" i="7"/>
  <c r="BC700" i="7"/>
  <c r="BB609" i="7"/>
  <c r="AA441" i="15" s="1"/>
  <c r="M611" i="7"/>
  <c r="P442" i="15" s="1"/>
  <c r="X422" i="15"/>
  <c r="Z422" i="15" s="1"/>
  <c r="X374" i="15"/>
  <c r="Z374" i="15" s="1"/>
  <c r="F154" i="7"/>
  <c r="F132" i="7"/>
  <c r="X447" i="15"/>
  <c r="Z447" i="15" s="1"/>
  <c r="BC608" i="7"/>
  <c r="X411" i="15"/>
  <c r="Z411" i="15" s="1"/>
  <c r="BC137" i="7"/>
  <c r="X372" i="15"/>
  <c r="Z372" i="15" s="1"/>
  <c r="X414" i="15"/>
  <c r="Z414" i="15" s="1"/>
  <c r="X441" i="15"/>
  <c r="Z441" i="15" s="1"/>
  <c r="AB441" i="15"/>
  <c r="F134" i="7"/>
  <c r="K134" i="7" s="1"/>
  <c r="O395" i="15" s="1"/>
  <c r="W395" i="15" s="1"/>
  <c r="AB407" i="15"/>
  <c r="F148" i="7"/>
  <c r="F150" i="7"/>
  <c r="BD150" i="7" s="1"/>
  <c r="D442" i="15"/>
  <c r="AB397" i="15"/>
  <c r="F144" i="7"/>
  <c r="BD144" i="7" s="1"/>
  <c r="F139" i="7"/>
  <c r="K139" i="7" s="1"/>
  <c r="O400" i="15" s="1"/>
  <c r="F151" i="7"/>
  <c r="BD151" i="7" s="1"/>
  <c r="F137" i="7"/>
  <c r="K137" i="7" s="1"/>
  <c r="O398" i="15" s="1"/>
  <c r="W398" i="15" s="1"/>
  <c r="AB402" i="15"/>
  <c r="AB411" i="15"/>
  <c r="I525" i="15"/>
  <c r="AN525" i="15" s="1"/>
  <c r="O525" i="15"/>
  <c r="V525" i="15" s="1"/>
  <c r="K366" i="15"/>
  <c r="I366" i="15" s="1"/>
  <c r="AN366" i="15" s="1"/>
  <c r="I7" i="7"/>
  <c r="Q366" i="15" s="1"/>
  <c r="O366" i="15" s="1"/>
  <c r="AB392" i="15"/>
  <c r="AB417" i="15"/>
  <c r="AB403" i="15"/>
  <c r="AB413" i="15"/>
  <c r="AB418" i="15"/>
  <c r="AB414" i="15"/>
  <c r="AB404" i="15"/>
  <c r="K370" i="15"/>
  <c r="I370" i="15" s="1"/>
  <c r="AN370" i="15" s="1"/>
  <c r="I11" i="7"/>
  <c r="Q370" i="15" s="1"/>
  <c r="O370" i="15" s="1"/>
  <c r="AB390" i="15"/>
  <c r="AB395" i="15"/>
  <c r="AB415" i="15"/>
  <c r="AB391" i="15"/>
  <c r="AB401" i="15"/>
  <c r="AB406" i="15"/>
  <c r="AB416" i="15"/>
  <c r="AB430" i="15"/>
  <c r="AE370" i="15"/>
  <c r="AC370" i="15" s="1"/>
  <c r="W336" i="7"/>
  <c r="F129" i="7"/>
  <c r="K129" i="7" s="1"/>
  <c r="O390" i="15" s="1"/>
  <c r="W390" i="15" s="1"/>
  <c r="F141" i="7"/>
  <c r="K141" i="7" s="1"/>
  <c r="O402" i="15" s="1"/>
  <c r="W402" i="15" s="1"/>
  <c r="F155" i="7"/>
  <c r="F63" i="7"/>
  <c r="F143" i="7"/>
  <c r="I404" i="15" s="1"/>
  <c r="AN404" i="15" s="1"/>
  <c r="AB367" i="15"/>
  <c r="X437" i="15"/>
  <c r="Z437" i="15" s="1"/>
  <c r="I456" i="7"/>
  <c r="F152" i="7"/>
  <c r="BD152" i="7" s="1"/>
  <c r="F158" i="7"/>
  <c r="K158" i="7" s="1"/>
  <c r="O419" i="15" s="1"/>
  <c r="W419" i="15" s="1"/>
  <c r="E122" i="7"/>
  <c r="E110" i="7"/>
  <c r="AF483" i="15"/>
  <c r="X395" i="15"/>
  <c r="Z395" i="15" s="1"/>
  <c r="X392" i="15"/>
  <c r="Z392" i="15" s="1"/>
  <c r="BC455" i="7"/>
  <c r="F1142" i="7"/>
  <c r="M1142" i="7" s="1"/>
  <c r="O503" i="15" s="1"/>
  <c r="W503" i="15" s="1"/>
  <c r="F1143" i="7"/>
  <c r="BD1143" i="7" s="1"/>
  <c r="F1144" i="7"/>
  <c r="BD1144" i="7" s="1"/>
  <c r="F1150" i="7"/>
  <c r="BD1150" i="7" s="1"/>
  <c r="F1151" i="7"/>
  <c r="BD1151" i="7" s="1"/>
  <c r="F1147" i="7"/>
  <c r="BD1147" i="7" s="1"/>
  <c r="AB436" i="15"/>
  <c r="F67" i="7"/>
  <c r="I389" i="15" s="1"/>
  <c r="AN389" i="15" s="1"/>
  <c r="AB386" i="15"/>
  <c r="E121" i="7"/>
  <c r="Q212" i="6"/>
  <c r="I109" i="6"/>
  <c r="J738" i="6"/>
  <c r="K142" i="6" s="1"/>
  <c r="BE142" i="6" s="1"/>
  <c r="J724" i="6"/>
  <c r="K128" i="6" s="1"/>
  <c r="BE128" i="6" s="1"/>
  <c r="Y109" i="6"/>
  <c r="Y674" i="7"/>
  <c r="BC15" i="6"/>
  <c r="O7" i="6"/>
  <c r="BE7" i="6" s="1"/>
  <c r="J733" i="6"/>
  <c r="K137" i="6" s="1"/>
  <c r="BE137" i="6" s="1"/>
  <c r="Q213" i="6"/>
  <c r="X742" i="6" s="1"/>
  <c r="X105" i="6"/>
  <c r="I105" i="6"/>
  <c r="O13" i="6"/>
  <c r="BE13" i="6" s="1"/>
  <c r="I103" i="6"/>
  <c r="X103" i="6"/>
  <c r="J747" i="6"/>
  <c r="K151" i="6" s="1"/>
  <c r="BE151" i="6" s="1"/>
  <c r="J729" i="6"/>
  <c r="K133" i="6" s="1"/>
  <c r="BE133" i="6" s="1"/>
  <c r="Y103" i="6"/>
  <c r="J720" i="6"/>
  <c r="K124" i="6" s="1"/>
  <c r="Y105" i="6"/>
  <c r="J727" i="6"/>
  <c r="K131" i="6" s="1"/>
  <c r="BE131" i="6" s="1"/>
  <c r="J736" i="6"/>
  <c r="K140" i="6" s="1"/>
  <c r="BE140" i="6" s="1"/>
  <c r="J742" i="6"/>
  <c r="K146" i="6" s="1"/>
  <c r="J745" i="6"/>
  <c r="K149" i="6" s="1"/>
  <c r="BE149" i="6" s="1"/>
  <c r="W105" i="6"/>
  <c r="W103" i="6"/>
  <c r="J718" i="6"/>
  <c r="K122" i="6" s="1"/>
  <c r="BE122" i="6" s="1"/>
  <c r="X111" i="6"/>
  <c r="Q210" i="6"/>
  <c r="W109" i="6"/>
  <c r="J715" i="6"/>
  <c r="K119" i="6" s="1"/>
  <c r="X109" i="6"/>
  <c r="I43" i="6"/>
  <c r="Y111" i="6"/>
  <c r="O8" i="6"/>
  <c r="BE8" i="6" s="1"/>
  <c r="O14" i="6"/>
  <c r="BE14" i="6" s="1"/>
  <c r="O138" i="15"/>
  <c r="W138" i="15"/>
  <c r="AE138" i="15"/>
  <c r="AC138" i="15" s="1"/>
  <c r="I159" i="6"/>
  <c r="S145" i="15" s="1"/>
  <c r="P145" i="15" s="1"/>
  <c r="W145" i="15" s="1"/>
  <c r="D117" i="15"/>
  <c r="D118" i="15"/>
  <c r="A18" i="6"/>
  <c r="I169" i="6"/>
  <c r="Q152" i="15" s="1"/>
  <c r="O152" i="15" s="1"/>
  <c r="AE202" i="15"/>
  <c r="O201" i="15"/>
  <c r="Q274" i="15"/>
  <c r="D113" i="15"/>
  <c r="D114" i="15"/>
  <c r="A12" i="6"/>
  <c r="Z201" i="15"/>
  <c r="I178" i="6"/>
  <c r="Q158" i="15" s="1"/>
  <c r="O158" i="15" s="1"/>
  <c r="I58" i="6"/>
  <c r="E266" i="9"/>
  <c r="E584" i="9"/>
  <c r="BC75" i="9"/>
  <c r="K8" i="9"/>
  <c r="BE8" i="9" s="1"/>
  <c r="I35" i="10"/>
  <c r="O641" i="15" s="1"/>
  <c r="U641" i="15" s="1"/>
  <c r="I642" i="15"/>
  <c r="AN642" i="15" s="1"/>
  <c r="AO642" i="15" s="1"/>
  <c r="BC58" i="10"/>
  <c r="BB35" i="10"/>
  <c r="AA641" i="15" s="1"/>
  <c r="I8" i="10"/>
  <c r="O639" i="15" s="1"/>
  <c r="U639" i="15" s="1"/>
  <c r="I641" i="15"/>
  <c r="AN641" i="15" s="1"/>
  <c r="I643" i="15"/>
  <c r="AN643" i="15" s="1"/>
  <c r="AO643" i="15" s="1"/>
  <c r="I640" i="15"/>
  <c r="AN640" i="15" s="1"/>
  <c r="AO640" i="15" s="1"/>
  <c r="F260" i="5"/>
  <c r="I260" i="5" s="1"/>
  <c r="O96" i="15" s="1"/>
  <c r="V96" i="15" s="1"/>
  <c r="F262" i="5"/>
  <c r="I98" i="15" s="1"/>
  <c r="AN98" i="15" s="1"/>
  <c r="I303" i="5"/>
  <c r="O102" i="15" s="1"/>
  <c r="V102" i="15" s="1"/>
  <c r="I306" i="5"/>
  <c r="O105" i="15" s="1"/>
  <c r="V105" i="15" s="1"/>
  <c r="AA102" i="15"/>
  <c r="AB108" i="15"/>
  <c r="AA108" i="15"/>
  <c r="F211" i="5"/>
  <c r="BD211" i="5" s="1"/>
  <c r="F209" i="5"/>
  <c r="X94" i="15"/>
  <c r="Z94" i="15" s="1"/>
  <c r="G90" i="15"/>
  <c r="BC260" i="5"/>
  <c r="X88" i="15"/>
  <c r="Z88" i="15" s="1"/>
  <c r="AB94" i="15"/>
  <c r="X90" i="15"/>
  <c r="Z90" i="15" s="1"/>
  <c r="AB72" i="15"/>
  <c r="X86" i="15"/>
  <c r="Z86" i="15" s="1"/>
  <c r="AN71" i="15"/>
  <c r="BB48" i="5"/>
  <c r="AA74" i="15" s="1"/>
  <c r="X102" i="15"/>
  <c r="Z102" i="15" s="1"/>
  <c r="AE79" i="15"/>
  <c r="AC79" i="15" s="1"/>
  <c r="AE73" i="15"/>
  <c r="AC73" i="15" s="1"/>
  <c r="I51" i="5"/>
  <c r="O77" i="15" s="1"/>
  <c r="W77" i="15" s="1"/>
  <c r="AE106" i="15"/>
  <c r="AC106" i="15" s="1"/>
  <c r="I304" i="5"/>
  <c r="O103" i="15" s="1"/>
  <c r="V103" i="15" s="1"/>
  <c r="I307" i="5"/>
  <c r="O106" i="15" s="1"/>
  <c r="V106" i="15" s="1"/>
  <c r="I48" i="5"/>
  <c r="O74" i="15" s="1"/>
  <c r="W74" i="15" s="1"/>
  <c r="AB88" i="15"/>
  <c r="AE105" i="15"/>
  <c r="AC105" i="15" s="1"/>
  <c r="AB86" i="15"/>
  <c r="X74" i="15"/>
  <c r="Z74" i="15" s="1"/>
  <c r="AE103" i="15"/>
  <c r="AC103" i="15" s="1"/>
  <c r="I53" i="5"/>
  <c r="O79" i="15" s="1"/>
  <c r="W79" i="15" s="1"/>
  <c r="BC7" i="5"/>
  <c r="BB52" i="5"/>
  <c r="AA78" i="15" s="1"/>
  <c r="J157" i="5"/>
  <c r="O88" i="15" s="1"/>
  <c r="V88" i="15" s="1"/>
  <c r="AB90" i="15"/>
  <c r="AE72" i="15"/>
  <c r="AC72" i="15" s="1"/>
  <c r="AB100" i="15"/>
  <c r="X78" i="15"/>
  <c r="Z78" i="15" s="1"/>
  <c r="AB98" i="15"/>
  <c r="I301" i="5"/>
  <c r="O100" i="15" s="1"/>
  <c r="V100" i="15" s="1"/>
  <c r="I52" i="5"/>
  <c r="O78" i="15" s="1"/>
  <c r="W78" i="15" s="1"/>
  <c r="X72" i="15"/>
  <c r="Z72" i="15" s="1"/>
  <c r="I47" i="5"/>
  <c r="O73" i="15" s="1"/>
  <c r="W73" i="15" s="1"/>
  <c r="I90" i="15"/>
  <c r="AN90" i="15" s="1"/>
  <c r="I46" i="5"/>
  <c r="O72" i="15" s="1"/>
  <c r="W72" i="15" s="1"/>
  <c r="AE86" i="15"/>
  <c r="AC86" i="15" s="1"/>
  <c r="J159" i="5"/>
  <c r="O90" i="15" s="1"/>
  <c r="V90" i="15" s="1"/>
  <c r="AB92" i="15"/>
  <c r="BC51" i="5"/>
  <c r="K11" i="5"/>
  <c r="O71" i="15" s="1"/>
  <c r="V71" i="15" s="1"/>
  <c r="J107" i="5"/>
  <c r="O86" i="15" s="1"/>
  <c r="V86" i="15" s="1"/>
  <c r="AB79" i="15"/>
  <c r="BC301" i="5"/>
  <c r="BC10" i="5"/>
  <c r="BD10" i="5" s="1"/>
  <c r="AB102" i="15"/>
  <c r="X79" i="15"/>
  <c r="Z79" i="15" s="1"/>
  <c r="X73" i="15"/>
  <c r="Z73" i="15" s="1"/>
  <c r="BC209" i="5"/>
  <c r="AE108" i="15"/>
  <c r="AC108" i="15" s="1"/>
  <c r="AN74" i="15"/>
  <c r="BB157" i="5"/>
  <c r="AA88" i="15" s="1"/>
  <c r="K7" i="5"/>
  <c r="O67" i="15" s="1"/>
  <c r="V67" i="15" s="1"/>
  <c r="E300" i="16"/>
  <c r="E212" i="16"/>
  <c r="I63" i="16"/>
  <c r="Q39" i="15" s="1"/>
  <c r="V39" i="15" s="1"/>
  <c r="I59" i="16"/>
  <c r="Q37" i="15" s="1"/>
  <c r="O37" i="15" s="1"/>
  <c r="BC518" i="9"/>
  <c r="BD518" i="9" s="1"/>
  <c r="C627" i="15"/>
  <c r="AM627" i="15" s="1"/>
  <c r="I512" i="9"/>
  <c r="O628" i="15" s="1"/>
  <c r="V628" i="15" s="1"/>
  <c r="I516" i="9"/>
  <c r="O632" i="15" s="1"/>
  <c r="V632" i="15" s="1"/>
  <c r="I517" i="9"/>
  <c r="O633" i="15" s="1"/>
  <c r="V633" i="15" s="1"/>
  <c r="BC513" i="9"/>
  <c r="BD513" i="9" s="1"/>
  <c r="BC517" i="9"/>
  <c r="BD517" i="9" s="1"/>
  <c r="F74" i="16"/>
  <c r="BD74" i="16" s="1"/>
  <c r="F62" i="16"/>
  <c r="L38" i="15" s="1"/>
  <c r="I38" i="15" s="1"/>
  <c r="C630" i="15"/>
  <c r="AM630" i="15" s="1"/>
  <c r="E273" i="16"/>
  <c r="BC516" i="9"/>
  <c r="BD516" i="9" s="1"/>
  <c r="E165" i="16"/>
  <c r="AE40" i="15"/>
  <c r="K40" i="15"/>
  <c r="AN40" i="15" s="1"/>
  <c r="K43" i="15"/>
  <c r="X42" i="15"/>
  <c r="Z42" i="15" s="1"/>
  <c r="E123" i="16"/>
  <c r="I79" i="16"/>
  <c r="Q47" i="15" s="1"/>
  <c r="V47" i="15" s="1"/>
  <c r="AB41" i="15"/>
  <c r="I65" i="16"/>
  <c r="Q40" i="15" s="1"/>
  <c r="O40" i="15" s="1"/>
  <c r="I59" i="15"/>
  <c r="AN59" i="15" s="1"/>
  <c r="BC223" i="16"/>
  <c r="I61" i="16"/>
  <c r="Q38" i="15" s="1"/>
  <c r="V38" i="15" s="1"/>
  <c r="E137" i="16"/>
  <c r="I307" i="16"/>
  <c r="O63" i="15" s="1"/>
  <c r="U63" i="15" s="1"/>
  <c r="X58" i="15"/>
  <c r="Z58" i="15" s="1"/>
  <c r="I226" i="16"/>
  <c r="O57" i="15" s="1"/>
  <c r="V57" i="15" s="1"/>
  <c r="I224" i="16"/>
  <c r="O55" i="15" s="1"/>
  <c r="V55" i="15" s="1"/>
  <c r="E114" i="16"/>
  <c r="I75" i="16"/>
  <c r="Q45" i="15" s="1"/>
  <c r="O45" i="15" s="1"/>
  <c r="F7" i="16"/>
  <c r="L7" i="16" s="1"/>
  <c r="O35" i="15" s="1"/>
  <c r="V35" i="15" s="1"/>
  <c r="C626" i="15"/>
  <c r="AM626" i="15" s="1"/>
  <c r="H511" i="9"/>
  <c r="K41" i="15"/>
  <c r="E149" i="16"/>
  <c r="AB38" i="15"/>
  <c r="F80" i="16"/>
  <c r="BD80" i="16" s="1"/>
  <c r="I173" i="16"/>
  <c r="O49" i="15" s="1"/>
  <c r="V49" i="15" s="1"/>
  <c r="I71" i="16"/>
  <c r="Q43" i="15" s="1"/>
  <c r="O43" i="15" s="1"/>
  <c r="O20" i="3"/>
  <c r="BE20" i="3" s="1"/>
  <c r="O22" i="3"/>
  <c r="BE22" i="3" s="1"/>
  <c r="F19" i="3"/>
  <c r="G19" i="3" s="1"/>
  <c r="O21" i="15" s="1"/>
  <c r="W21" i="15" s="1"/>
  <c r="O31" i="3"/>
  <c r="BE31" i="3" s="1"/>
  <c r="N9" i="3"/>
  <c r="O9" i="3"/>
  <c r="BE9" i="3" s="1"/>
  <c r="O13" i="3"/>
  <c r="BE13" i="3" s="1"/>
  <c r="O25" i="3"/>
  <c r="BE25" i="3" s="1"/>
  <c r="O10" i="3"/>
  <c r="BE10" i="3" s="1"/>
  <c r="E46" i="5"/>
  <c r="G72" i="15" s="1"/>
  <c r="E47" i="5"/>
  <c r="G73" i="15" s="1"/>
  <c r="N17" i="3"/>
  <c r="X10" i="15"/>
  <c r="Z10" i="15" s="1"/>
  <c r="N23" i="3"/>
  <c r="X24" i="15"/>
  <c r="Z24" i="15" s="1"/>
  <c r="X28" i="15"/>
  <c r="Z28" i="15" s="1"/>
  <c r="X20" i="15"/>
  <c r="Z20" i="15" s="1"/>
  <c r="F21" i="3"/>
  <c r="I23" i="15" s="1"/>
  <c r="AN23" i="15" s="1"/>
  <c r="G23" i="3"/>
  <c r="O25" i="15" s="1"/>
  <c r="W25" i="15" s="1"/>
  <c r="F27" i="3"/>
  <c r="N25" i="3"/>
  <c r="N13" i="3"/>
  <c r="N7" i="3"/>
  <c r="X26" i="15"/>
  <c r="Z26" i="15" s="1"/>
  <c r="X22" i="15"/>
  <c r="Z22" i="15" s="1"/>
  <c r="X16" i="15"/>
  <c r="Z16" i="15" s="1"/>
  <c r="X12" i="15"/>
  <c r="Z12" i="15" s="1"/>
  <c r="F29" i="3"/>
  <c r="G29" i="3" s="1"/>
  <c r="O31" i="15" s="1"/>
  <c r="W31" i="15" s="1"/>
  <c r="N11" i="3"/>
  <c r="N19" i="3"/>
  <c r="BC28" i="3"/>
  <c r="BD28" i="3" s="1"/>
  <c r="F8" i="3"/>
  <c r="BD8" i="3" s="1"/>
  <c r="N21" i="3"/>
  <c r="F22" i="3"/>
  <c r="BD22" i="3" s="1"/>
  <c r="O24" i="3"/>
  <c r="BE24" i="3" s="1"/>
  <c r="O27" i="3"/>
  <c r="BE27" i="3" s="1"/>
  <c r="O28" i="3"/>
  <c r="BE28" i="3" s="1"/>
  <c r="I659" i="2"/>
  <c r="O776" i="15" s="1"/>
  <c r="V776" i="15" s="1"/>
  <c r="U776" i="15" s="1"/>
  <c r="I670" i="15"/>
  <c r="AN670" i="15" s="1"/>
  <c r="I444" i="2"/>
  <c r="AE747" i="15"/>
  <c r="AC747" i="15" s="1"/>
  <c r="AE790" i="15"/>
  <c r="AC790" i="15" s="1"/>
  <c r="I654" i="15"/>
  <c r="AN654" i="15" s="1"/>
  <c r="I646" i="15"/>
  <c r="AN646" i="15" s="1"/>
  <c r="I650" i="15"/>
  <c r="AN650" i="15" s="1"/>
  <c r="I658" i="15"/>
  <c r="AN658" i="15" s="1"/>
  <c r="K726" i="15"/>
  <c r="I726" i="15" s="1"/>
  <c r="AN726" i="15" s="1"/>
  <c r="I647" i="15"/>
  <c r="AN647" i="15" s="1"/>
  <c r="I649" i="15"/>
  <c r="AN649" i="15" s="1"/>
  <c r="I651" i="15"/>
  <c r="AN651" i="15" s="1"/>
  <c r="I653" i="15"/>
  <c r="AN653" i="15" s="1"/>
  <c r="I655" i="15"/>
  <c r="AN655" i="15" s="1"/>
  <c r="I657" i="15"/>
  <c r="AN657" i="15" s="1"/>
  <c r="I659" i="15"/>
  <c r="AN659" i="15" s="1"/>
  <c r="I661" i="15"/>
  <c r="AN661" i="15" s="1"/>
  <c r="I648" i="15"/>
  <c r="AN648" i="15" s="1"/>
  <c r="I652" i="15"/>
  <c r="AN652" i="15" s="1"/>
  <c r="I656" i="15"/>
  <c r="AN656" i="15" s="1"/>
  <c r="I660" i="15"/>
  <c r="AN660" i="15" s="1"/>
  <c r="K728" i="15"/>
  <c r="I728" i="15" s="1"/>
  <c r="AN728" i="15" s="1"/>
  <c r="K727" i="15"/>
  <c r="I727" i="15" s="1"/>
  <c r="AN727" i="15" s="1"/>
  <c r="AE735" i="15"/>
  <c r="AC735" i="15" s="1"/>
  <c r="DG423" i="2"/>
  <c r="AA735" i="15" s="1"/>
  <c r="AE793" i="15"/>
  <c r="AC793" i="15" s="1"/>
  <c r="K811" i="2"/>
  <c r="P789" i="15" s="1"/>
  <c r="W789" i="15" s="1"/>
  <c r="V789" i="15" s="1"/>
  <c r="U789" i="15" s="1"/>
  <c r="K737" i="15"/>
  <c r="I737" i="15" s="1"/>
  <c r="AN737" i="15" s="1"/>
  <c r="AE746" i="15"/>
  <c r="AC746" i="15" s="1"/>
  <c r="I398" i="2"/>
  <c r="Q727" i="15" s="1"/>
  <c r="O727" i="15" s="1"/>
  <c r="W727" i="15" s="1"/>
  <c r="V727" i="15" s="1"/>
  <c r="U727" i="15" s="1"/>
  <c r="AJ274" i="15"/>
  <c r="AJ275" i="15"/>
  <c r="F1146" i="7"/>
  <c r="BD1146" i="7" s="1"/>
  <c r="F353" i="9"/>
  <c r="W353" i="9"/>
  <c r="F355" i="9"/>
  <c r="W355" i="9"/>
  <c r="F357" i="9"/>
  <c r="W357" i="9"/>
  <c r="I523" i="15"/>
  <c r="AN523" i="15" s="1"/>
  <c r="O523" i="15"/>
  <c r="V523" i="15" s="1"/>
  <c r="K779" i="6"/>
  <c r="BC160" i="6"/>
  <c r="BD160" i="6" s="1"/>
  <c r="X146" i="15"/>
  <c r="AE281" i="15"/>
  <c r="I612" i="15"/>
  <c r="AN612" i="15" s="1"/>
  <c r="L323" i="15"/>
  <c r="AF278" i="15"/>
  <c r="K213" i="15"/>
  <c r="I213" i="15" s="1"/>
  <c r="Q213" i="15"/>
  <c r="AE123" i="15"/>
  <c r="AC123" i="15" s="1"/>
  <c r="I12" i="15"/>
  <c r="AN12" i="15" s="1"/>
  <c r="O132" i="15"/>
  <c r="AE254" i="15"/>
  <c r="I15" i="15"/>
  <c r="AN15" i="15" s="1"/>
  <c r="BB1267" i="7"/>
  <c r="AA517" i="15" s="1"/>
  <c r="AE517" i="15"/>
  <c r="AC517" i="15" s="1"/>
  <c r="J438" i="15"/>
  <c r="AE519" i="15"/>
  <c r="AC519" i="15" s="1"/>
  <c r="AA519" i="15"/>
  <c r="M210" i="15"/>
  <c r="I121" i="6"/>
  <c r="Q120" i="15" s="1"/>
  <c r="O120" i="15" s="1"/>
  <c r="K120" i="15"/>
  <c r="I120" i="15" s="1"/>
  <c r="AN120" i="15" s="1"/>
  <c r="O170" i="15"/>
  <c r="W170" i="15" s="1"/>
  <c r="I437" i="15"/>
  <c r="AN437" i="15" s="1"/>
  <c r="P210" i="15"/>
  <c r="W210" i="15" s="1"/>
  <c r="I444" i="15"/>
  <c r="AN444" i="15" s="1"/>
  <c r="M613" i="7"/>
  <c r="O444" i="15" s="1"/>
  <c r="W444" i="15" s="1"/>
  <c r="I631" i="15"/>
  <c r="AN631" i="15" s="1"/>
  <c r="I515" i="9"/>
  <c r="O631" i="15" s="1"/>
  <c r="V631" i="15" s="1"/>
  <c r="M610" i="7"/>
  <c r="O442" i="15" s="1"/>
  <c r="W442" i="15" s="1"/>
  <c r="I442" i="15"/>
  <c r="AN442" i="15" s="1"/>
  <c r="AE201" i="15"/>
  <c r="Q209" i="15"/>
  <c r="K209" i="15"/>
  <c r="K822" i="6"/>
  <c r="BE822" i="6" s="1"/>
  <c r="AE216" i="15"/>
  <c r="I607" i="15"/>
  <c r="AN607" i="15" s="1"/>
  <c r="BB22" i="10"/>
  <c r="AA640" i="15" s="1"/>
  <c r="X231" i="15"/>
  <c r="Z231" i="15" s="1"/>
  <c r="BC9" i="3"/>
  <c r="X11" i="15"/>
  <c r="Z11" i="15" s="1"/>
  <c r="BC13" i="3"/>
  <c r="BD13" i="3" s="1"/>
  <c r="X15" i="15"/>
  <c r="Z15" i="15" s="1"/>
  <c r="F18" i="3"/>
  <c r="BD18" i="3" s="1"/>
  <c r="N18" i="3"/>
  <c r="BC19" i="3"/>
  <c r="X21" i="15"/>
  <c r="Z21" i="15" s="1"/>
  <c r="BC11" i="5"/>
  <c r="BD11" i="5" s="1"/>
  <c r="X71" i="15"/>
  <c r="Z71" i="15" s="1"/>
  <c r="G255" i="15"/>
  <c r="BC134" i="6"/>
  <c r="BD134" i="6" s="1"/>
  <c r="Y128" i="15"/>
  <c r="BC143" i="6"/>
  <c r="BD143" i="6" s="1"/>
  <c r="Y134" i="15"/>
  <c r="AB136" i="15"/>
  <c r="BC816" i="6"/>
  <c r="BD816" i="6" s="1"/>
  <c r="J818" i="6"/>
  <c r="X176" i="15"/>
  <c r="J824" i="6"/>
  <c r="X180" i="15"/>
  <c r="Z180" i="15" s="1"/>
  <c r="AB129" i="15"/>
  <c r="L199" i="15"/>
  <c r="I1330" i="6"/>
  <c r="R199" i="15" s="1"/>
  <c r="X212" i="15"/>
  <c r="BC1560" i="6"/>
  <c r="BD1560" i="6" s="1"/>
  <c r="BC1564" i="6"/>
  <c r="BD1564" i="6" s="1"/>
  <c r="X213" i="15"/>
  <c r="Z213" i="15" s="1"/>
  <c r="X226" i="15"/>
  <c r="Z226" i="15" s="1"/>
  <c r="E51" i="5"/>
  <c r="G77" i="15" s="1"/>
  <c r="E48" i="5"/>
  <c r="G74" i="15" s="1"/>
  <c r="AB67" i="15"/>
  <c r="O173" i="15"/>
  <c r="W173" i="15" s="1"/>
  <c r="F24" i="3"/>
  <c r="BD24" i="3" s="1"/>
  <c r="AJ207" i="15"/>
  <c r="K725" i="6"/>
  <c r="AB168" i="15"/>
  <c r="L212" i="15"/>
  <c r="R212" i="15"/>
  <c r="AJ286" i="15"/>
  <c r="AJ287" i="15"/>
  <c r="AB587" i="15"/>
  <c r="BC307" i="16"/>
  <c r="BD307" i="16" s="1"/>
  <c r="X63" i="15"/>
  <c r="Z63" i="15" s="1"/>
  <c r="X53" i="15"/>
  <c r="Z53" i="15" s="1"/>
  <c r="BC222" i="16"/>
  <c r="BD222" i="16" s="1"/>
  <c r="K154" i="15"/>
  <c r="I154" i="15" s="1"/>
  <c r="I172" i="6"/>
  <c r="Q154" i="15" s="1"/>
  <c r="O154" i="15" s="1"/>
  <c r="AB71" i="15"/>
  <c r="K720" i="15"/>
  <c r="AN720" i="15" s="1"/>
  <c r="L333" i="2"/>
  <c r="Q720" i="15" s="1"/>
  <c r="O720" i="15" s="1"/>
  <c r="I84" i="15"/>
  <c r="AN84" i="15" s="1"/>
  <c r="J105" i="5"/>
  <c r="O84" i="15" s="1"/>
  <c r="V84" i="15" s="1"/>
  <c r="BC122" i="6"/>
  <c r="BD122" i="6" s="1"/>
  <c r="X121" i="15"/>
  <c r="Z121" i="15" s="1"/>
  <c r="BC812" i="6"/>
  <c r="BD812" i="6" s="1"/>
  <c r="X175" i="15"/>
  <c r="Z175" i="15" s="1"/>
  <c r="F1355" i="6"/>
  <c r="G197" i="15"/>
  <c r="AJ222" i="15"/>
  <c r="AJ223" i="15"/>
  <c r="AJ238" i="15"/>
  <c r="AJ239" i="15"/>
  <c r="AJ242" i="15"/>
  <c r="AJ243" i="15"/>
  <c r="K736" i="15"/>
  <c r="L424" i="2"/>
  <c r="Q736" i="15" s="1"/>
  <c r="O736" i="15" s="1"/>
  <c r="I786" i="15"/>
  <c r="AN786" i="15" s="1"/>
  <c r="BC105" i="5"/>
  <c r="BD105" i="5" s="1"/>
  <c r="X84" i="15"/>
  <c r="Z84" i="15" s="1"/>
  <c r="BB126" i="6"/>
  <c r="AA123" i="15" s="1"/>
  <c r="AB123" i="15"/>
  <c r="AJ310" i="15"/>
  <c r="AJ311" i="15"/>
  <c r="M134" i="15"/>
  <c r="J134" i="15" s="1"/>
  <c r="I143" i="6"/>
  <c r="S134" i="15" s="1"/>
  <c r="P134" i="15" s="1"/>
  <c r="W134" i="15" s="1"/>
  <c r="AJ302" i="15"/>
  <c r="AJ303" i="15"/>
  <c r="AB138" i="15"/>
  <c r="J756" i="6"/>
  <c r="K160" i="6" s="1"/>
  <c r="BE160" i="6" s="1"/>
  <c r="J759" i="6"/>
  <c r="K163" i="6" s="1"/>
  <c r="BE163" i="6" s="1"/>
  <c r="J751" i="6"/>
  <c r="K155" i="6" s="1"/>
  <c r="BE155" i="6" s="1"/>
  <c r="AJ298" i="15"/>
  <c r="AJ299" i="15"/>
  <c r="L1319" i="6"/>
  <c r="AJ194" i="15" s="1"/>
  <c r="O23" i="3"/>
  <c r="BE23" i="3" s="1"/>
  <c r="AJ306" i="15"/>
  <c r="AJ307" i="15"/>
  <c r="J812" i="2"/>
  <c r="O790" i="15" s="1"/>
  <c r="F830" i="2"/>
  <c r="DI830" i="2" s="1"/>
  <c r="AJ248" i="15"/>
  <c r="AJ249" i="15"/>
  <c r="AJ254" i="15"/>
  <c r="AJ255" i="15"/>
  <c r="AJ263" i="15"/>
  <c r="AE748" i="15"/>
  <c r="AC748" i="15" s="1"/>
  <c r="AE751" i="15"/>
  <c r="AC751" i="15" s="1"/>
  <c r="AJ217" i="15"/>
  <c r="AJ324" i="15"/>
  <c r="AJ325" i="15"/>
  <c r="Z204" i="15"/>
  <c r="AJ331" i="15"/>
  <c r="I317" i="15"/>
  <c r="AJ291" i="15"/>
  <c r="AJ314" i="15"/>
  <c r="AJ315" i="15"/>
  <c r="I266" i="15"/>
  <c r="AJ322" i="15"/>
  <c r="AJ323" i="15"/>
  <c r="AJ326" i="15"/>
  <c r="AJ327" i="15"/>
  <c r="I306" i="15"/>
  <c r="AJ226" i="15"/>
  <c r="AJ227" i="15"/>
  <c r="I272" i="15"/>
  <c r="AJ268" i="15"/>
  <c r="AJ269" i="15"/>
  <c r="AJ318" i="15"/>
  <c r="AJ319" i="15"/>
  <c r="AJ332" i="15"/>
  <c r="AJ333" i="15"/>
  <c r="I130" i="7"/>
  <c r="F130" i="7" s="1"/>
  <c r="BD130" i="7" s="1"/>
  <c r="W330" i="7"/>
  <c r="I133" i="7"/>
  <c r="F133" i="7" s="1"/>
  <c r="BD133" i="7" s="1"/>
  <c r="M455" i="7"/>
  <c r="BE455" i="7" s="1"/>
  <c r="M456" i="7"/>
  <c r="BE456" i="7" s="1"/>
  <c r="M457" i="7"/>
  <c r="BE457" i="7" s="1"/>
  <c r="M454" i="7"/>
  <c r="BE454" i="7" s="1"/>
  <c r="I639" i="15"/>
  <c r="AN639" i="15" s="1"/>
  <c r="I77" i="16"/>
  <c r="Q46" i="15" s="1"/>
  <c r="O46" i="15" s="1"/>
  <c r="BC75" i="16"/>
  <c r="BD75" i="16" s="1"/>
  <c r="X45" i="15"/>
  <c r="Z45" i="15" s="1"/>
  <c r="L39" i="15"/>
  <c r="I39" i="15" s="1"/>
  <c r="I64" i="16"/>
  <c r="AB62" i="15"/>
  <c r="I48" i="15"/>
  <c r="AN48" i="15" s="1"/>
  <c r="I172" i="16"/>
  <c r="O48" i="15" s="1"/>
  <c r="V48" i="15" s="1"/>
  <c r="BC63" i="16"/>
  <c r="BD63" i="16" s="1"/>
  <c r="K36" i="15"/>
  <c r="I57" i="16"/>
  <c r="Q36" i="15" s="1"/>
  <c r="AJ148" i="15"/>
  <c r="K759" i="6"/>
  <c r="AB642" i="15"/>
  <c r="I62" i="15"/>
  <c r="K62" i="15" s="1"/>
  <c r="I280" i="16"/>
  <c r="O62" i="15" s="1"/>
  <c r="Q62" i="15" s="1"/>
  <c r="E134" i="16"/>
  <c r="E120" i="16"/>
  <c r="E301" i="16"/>
  <c r="E274" i="16"/>
  <c r="E213" i="16"/>
  <c r="I220" i="16"/>
  <c r="O51" i="15" s="1"/>
  <c r="V51" i="15" s="1"/>
  <c r="I73" i="16"/>
  <c r="Q44" i="15" s="1"/>
  <c r="O44" i="15" s="1"/>
  <c r="I228" i="16"/>
  <c r="O59" i="15" s="1"/>
  <c r="V59" i="15" s="1"/>
  <c r="BC226" i="16"/>
  <c r="BD226" i="16" s="1"/>
  <c r="X57" i="15"/>
  <c r="Z57" i="15" s="1"/>
  <c r="AB52" i="15"/>
  <c r="L37" i="15"/>
  <c r="I37" i="15" s="1"/>
  <c r="AB40" i="15"/>
  <c r="I225" i="16"/>
  <c r="O56" i="15" s="1"/>
  <c r="V56" i="15" s="1"/>
  <c r="I54" i="15"/>
  <c r="AN54" i="15" s="1"/>
  <c r="I223" i="16"/>
  <c r="O54" i="15" s="1"/>
  <c r="V54" i="15" s="1"/>
  <c r="F66" i="16"/>
  <c r="BD66" i="16" s="1"/>
  <c r="I180" i="6"/>
  <c r="Q159" i="15" s="1"/>
  <c r="W159" i="15" s="1"/>
  <c r="K159" i="15"/>
  <c r="I159" i="15" s="1"/>
  <c r="E146" i="16"/>
  <c r="E113" i="16"/>
  <c r="I163" i="6"/>
  <c r="Q148" i="15" s="1"/>
  <c r="W148" i="15" s="1"/>
  <c r="K755" i="6"/>
  <c r="K776" i="6"/>
  <c r="M145" i="15"/>
  <c r="J145" i="15" s="1"/>
  <c r="K157" i="15"/>
  <c r="I157" i="15" s="1"/>
  <c r="I190" i="6"/>
  <c r="Q166" i="15" s="1"/>
  <c r="K166" i="15"/>
  <c r="I166" i="15" s="1"/>
  <c r="BC189" i="6"/>
  <c r="BD189" i="6" s="1"/>
  <c r="X165" i="15"/>
  <c r="Z165" i="15" s="1"/>
  <c r="AB55" i="15"/>
  <c r="E112" i="16"/>
  <c r="E126" i="16"/>
  <c r="E122" i="16"/>
  <c r="M158" i="15"/>
  <c r="J158" i="15" s="1"/>
  <c r="I157" i="6"/>
  <c r="Q144" i="15" s="1"/>
  <c r="O144" i="15" s="1"/>
  <c r="BC174" i="6"/>
  <c r="BD174" i="6" s="1"/>
  <c r="Y155" i="15"/>
  <c r="BC187" i="6"/>
  <c r="BD187" i="6" s="1"/>
  <c r="X164" i="15"/>
  <c r="Z164" i="15" s="1"/>
  <c r="O162" i="15"/>
  <c r="W162" i="15"/>
  <c r="K158" i="15"/>
  <c r="I158" i="15" s="1"/>
  <c r="K150" i="15"/>
  <c r="I150" i="15" s="1"/>
  <c r="I166" i="6"/>
  <c r="Q150" i="15" s="1"/>
  <c r="W150" i="15" s="1"/>
  <c r="E140" i="16"/>
  <c r="K160" i="15"/>
  <c r="I160" i="15" s="1"/>
  <c r="I181" i="6"/>
  <c r="Q160" i="15" s="1"/>
  <c r="O160" i="15" s="1"/>
  <c r="M164" i="15"/>
  <c r="J164" i="15" s="1"/>
  <c r="BC456" i="7"/>
  <c r="X424" i="15"/>
  <c r="Z424" i="15" s="1"/>
  <c r="K754" i="6"/>
  <c r="J754" i="6" s="1"/>
  <c r="K158" i="6" s="1"/>
  <c r="BE158" i="6" s="1"/>
  <c r="AJ145" i="15"/>
  <c r="M146" i="15"/>
  <c r="J146" i="15" s="1"/>
  <c r="I161" i="6"/>
  <c r="S146" i="15" s="1"/>
  <c r="P146" i="15" s="1"/>
  <c r="W146" i="15" s="1"/>
  <c r="M152" i="15"/>
  <c r="J152" i="15" s="1"/>
  <c r="I170" i="6"/>
  <c r="S152" i="15" s="1"/>
  <c r="P152" i="15" s="1"/>
  <c r="W152" i="15" s="1"/>
  <c r="K764" i="6"/>
  <c r="K768" i="6"/>
  <c r="K152" i="15"/>
  <c r="I152" i="15" s="1"/>
  <c r="I677" i="2"/>
  <c r="O778" i="15" s="1"/>
  <c r="V778" i="15" s="1"/>
  <c r="U778" i="15" s="1"/>
  <c r="AE722" i="15"/>
  <c r="AC722" i="15" s="1"/>
  <c r="F314" i="2"/>
  <c r="DI314" i="2" s="1"/>
  <c r="AE721" i="15"/>
  <c r="AC721" i="15" s="1"/>
  <c r="F292" i="2"/>
  <c r="DI292" i="2" s="1"/>
  <c r="F293" i="2"/>
  <c r="DI293" i="2" s="1"/>
  <c r="I397" i="2"/>
  <c r="Q726" i="15" s="1"/>
  <c r="O726" i="15" s="1"/>
  <c r="W726" i="15" s="1"/>
  <c r="V726" i="15" s="1"/>
  <c r="U726" i="15" s="1"/>
  <c r="M236" i="2"/>
  <c r="F222" i="2" s="1"/>
  <c r="DI222" i="2" s="1"/>
  <c r="F315" i="2"/>
  <c r="DI315" i="2" s="1"/>
  <c r="AE731" i="15"/>
  <c r="AC731" i="15" s="1"/>
  <c r="M237" i="2"/>
  <c r="F223" i="2" s="1"/>
  <c r="DI223" i="2" s="1"/>
  <c r="I743" i="2"/>
  <c r="O783" i="15" s="1"/>
  <c r="W783" i="15" s="1"/>
  <c r="V783" i="15" s="1"/>
  <c r="U783" i="15" s="1"/>
  <c r="AE729" i="15"/>
  <c r="AC729" i="15" s="1"/>
  <c r="AE732" i="15"/>
  <c r="AC732" i="15" s="1"/>
  <c r="AE744" i="15"/>
  <c r="AC744" i="15" s="1"/>
  <c r="I499" i="2"/>
  <c r="O745" i="15" s="1"/>
  <c r="V745" i="15" s="1"/>
  <c r="U745" i="15" s="1"/>
  <c r="AE783" i="15"/>
  <c r="AC783" i="15" s="1"/>
  <c r="Q732" i="15"/>
  <c r="O732" i="15" s="1"/>
  <c r="H424" i="2"/>
  <c r="AE749" i="15"/>
  <c r="AC749" i="15" s="1"/>
  <c r="AE758" i="15"/>
  <c r="AC758" i="15" s="1"/>
  <c r="AE759" i="15"/>
  <c r="AC759" i="15" s="1"/>
  <c r="F618" i="2"/>
  <c r="DI618" i="2" s="1"/>
  <c r="F619" i="2"/>
  <c r="DI619" i="2" s="1"/>
  <c r="AE777" i="15"/>
  <c r="AC777" i="15" s="1"/>
  <c r="I163" i="2"/>
  <c r="O693" i="15" s="1"/>
  <c r="I641" i="2"/>
  <c r="O774" i="15" s="1"/>
  <c r="V774" i="15" s="1"/>
  <c r="U774" i="15" s="1"/>
  <c r="I162" i="2"/>
  <c r="O692" i="15" s="1"/>
  <c r="V692" i="15" s="1"/>
  <c r="U692" i="15" s="1"/>
  <c r="I164" i="2"/>
  <c r="O694" i="15" s="1"/>
  <c r="V694" i="15" s="1"/>
  <c r="U694" i="15" s="1"/>
  <c r="I161" i="2"/>
  <c r="O691" i="15" s="1"/>
  <c r="AE778" i="15"/>
  <c r="AC778" i="15" s="1"/>
  <c r="M235" i="2"/>
  <c r="F221" i="2" s="1"/>
  <c r="DI221" i="2" s="1"/>
  <c r="AE684" i="15"/>
  <c r="AC684" i="15" s="1"/>
  <c r="AE692" i="15"/>
  <c r="AC692" i="15" s="1"/>
  <c r="AE694" i="15"/>
  <c r="AC694" i="15" s="1"/>
  <c r="AE696" i="15"/>
  <c r="AC696" i="15" s="1"/>
  <c r="AE700" i="15"/>
  <c r="AC700" i="15" s="1"/>
  <c r="I275" i="2"/>
  <c r="O712" i="15" s="1"/>
  <c r="F291" i="2"/>
  <c r="DI291" i="2" s="1"/>
  <c r="I775" i="2"/>
  <c r="O785" i="15" s="1"/>
  <c r="V785" i="15" s="1"/>
  <c r="U785" i="15" s="1"/>
  <c r="DH156" i="2"/>
  <c r="I575" i="2"/>
  <c r="O764" i="15" s="1"/>
  <c r="V764" i="15" s="1"/>
  <c r="U764" i="15" s="1"/>
  <c r="I154" i="2"/>
  <c r="O684" i="15" s="1"/>
  <c r="V684" i="15" s="1"/>
  <c r="U684" i="15" s="1"/>
  <c r="I155" i="2"/>
  <c r="O685" i="15" s="1"/>
  <c r="I156" i="2"/>
  <c r="O686" i="15" s="1"/>
  <c r="I157" i="2"/>
  <c r="O687" i="15" s="1"/>
  <c r="I158" i="2"/>
  <c r="O688" i="15" s="1"/>
  <c r="I159" i="2"/>
  <c r="O689" i="15" s="1"/>
  <c r="I160" i="2"/>
  <c r="O690" i="15" s="1"/>
  <c r="I165" i="2"/>
  <c r="O695" i="15" s="1"/>
  <c r="V695" i="15" s="1"/>
  <c r="U695" i="15" s="1"/>
  <c r="I166" i="2"/>
  <c r="O696" i="15" s="1"/>
  <c r="V696" i="15" s="1"/>
  <c r="U696" i="15" s="1"/>
  <c r="I167" i="2"/>
  <c r="O697" i="15" s="1"/>
  <c r="V697" i="15" s="1"/>
  <c r="U697" i="15" s="1"/>
  <c r="I168" i="2"/>
  <c r="O698" i="15" s="1"/>
  <c r="V698" i="15" s="1"/>
  <c r="U698" i="15" s="1"/>
  <c r="I169" i="2"/>
  <c r="O699" i="15" s="1"/>
  <c r="V699" i="15" s="1"/>
  <c r="U699" i="15" s="1"/>
  <c r="I170" i="2"/>
  <c r="O700" i="15" s="1"/>
  <c r="V700" i="15" s="1"/>
  <c r="U700" i="15" s="1"/>
  <c r="I171" i="2"/>
  <c r="O701" i="15" s="1"/>
  <c r="V701" i="15" s="1"/>
  <c r="U701" i="15" s="1"/>
  <c r="F294" i="2"/>
  <c r="DI294" i="2" s="1"/>
  <c r="F313" i="2"/>
  <c r="DI313" i="2" s="1"/>
  <c r="I479" i="2"/>
  <c r="O741" i="15" s="1"/>
  <c r="V741" i="15" s="1"/>
  <c r="U741" i="15" s="1"/>
  <c r="I480" i="2"/>
  <c r="O742" i="15" s="1"/>
  <c r="V742" i="15" s="1"/>
  <c r="U742" i="15" s="1"/>
  <c r="I481" i="2"/>
  <c r="O743" i="15" s="1"/>
  <c r="V743" i="15" s="1"/>
  <c r="U743" i="15" s="1"/>
  <c r="I482" i="2"/>
  <c r="O744" i="15" s="1"/>
  <c r="V744" i="15" s="1"/>
  <c r="U744" i="15" s="1"/>
  <c r="I549" i="2"/>
  <c r="O757" i="15" s="1"/>
  <c r="W757" i="15" s="1"/>
  <c r="V757" i="15" s="1"/>
  <c r="U757" i="15" s="1"/>
  <c r="I550" i="2"/>
  <c r="O758" i="15" s="1"/>
  <c r="W758" i="15" s="1"/>
  <c r="V758" i="15" s="1"/>
  <c r="U758" i="15" s="1"/>
  <c r="I551" i="2"/>
  <c r="O759" i="15" s="1"/>
  <c r="I552" i="2"/>
  <c r="O760" i="15" s="1"/>
  <c r="W760" i="15" s="1"/>
  <c r="V760" i="15" s="1"/>
  <c r="U760" i="15" s="1"/>
  <c r="I553" i="2"/>
  <c r="O761" i="15" s="1"/>
  <c r="W761" i="15" s="1"/>
  <c r="V761" i="15" s="1"/>
  <c r="U761" i="15" s="1"/>
  <c r="I554" i="2"/>
  <c r="O762" i="15" s="1"/>
  <c r="W762" i="15" s="1"/>
  <c r="V762" i="15" s="1"/>
  <c r="U762" i="15" s="1"/>
  <c r="I348" i="2"/>
  <c r="O722" i="15" s="1"/>
  <c r="W722" i="15" s="1"/>
  <c r="V722" i="15" s="1"/>
  <c r="U722" i="15" s="1"/>
  <c r="I347" i="2"/>
  <c r="O721" i="15" s="1"/>
  <c r="W721" i="15" s="1"/>
  <c r="V721" i="15" s="1"/>
  <c r="U721" i="15" s="1"/>
  <c r="X664" i="15"/>
  <c r="Z664" i="15" s="1"/>
  <c r="W664" i="15" s="1"/>
  <c r="AE664" i="15"/>
  <c r="AC664" i="15" s="1"/>
  <c r="AE709" i="15"/>
  <c r="AC709" i="15" s="1"/>
  <c r="H333" i="2"/>
  <c r="DH158" i="2"/>
  <c r="AE667" i="15"/>
  <c r="AC667" i="15" s="1"/>
  <c r="AK97" i="2"/>
  <c r="AW97" i="2"/>
  <c r="AO97" i="2"/>
  <c r="AS97" i="2"/>
  <c r="BE97" i="2"/>
  <c r="K729" i="15"/>
  <c r="I729" i="15" s="1"/>
  <c r="AN729" i="15" s="1"/>
  <c r="I400" i="2"/>
  <c r="Q729" i="15" s="1"/>
  <c r="O729" i="15" s="1"/>
  <c r="W729" i="15" s="1"/>
  <c r="V729" i="15" s="1"/>
  <c r="U729" i="15" s="1"/>
  <c r="X661" i="15"/>
  <c r="Z661" i="15" s="1"/>
  <c r="W661" i="15" s="1"/>
  <c r="DH24" i="2"/>
  <c r="DI24" i="2" s="1"/>
  <c r="X670" i="15"/>
  <c r="Z670" i="15" s="1"/>
  <c r="W670" i="15" s="1"/>
  <c r="DH33" i="2"/>
  <c r="DI33" i="2" s="1"/>
  <c r="AV97" i="2"/>
  <c r="AJ97" i="2"/>
  <c r="AN97" i="2"/>
  <c r="AZ97" i="2"/>
  <c r="BD97" i="2"/>
  <c r="AR97" i="2"/>
  <c r="X685" i="15"/>
  <c r="Z685" i="15" s="1"/>
  <c r="W685" i="15" s="1"/>
  <c r="DH155" i="2"/>
  <c r="DI155" i="2" s="1"/>
  <c r="DH160" i="2"/>
  <c r="AE702" i="15"/>
  <c r="AC702" i="15" s="1"/>
  <c r="M234" i="2"/>
  <c r="F220" i="2" s="1"/>
  <c r="DI220" i="2" s="1"/>
  <c r="I243" i="2"/>
  <c r="O709" i="15" s="1"/>
  <c r="W709" i="15" s="1"/>
  <c r="V709" i="15" s="1"/>
  <c r="U709" i="15" s="1"/>
  <c r="AB711" i="15"/>
  <c r="X687" i="15"/>
  <c r="Z687" i="15" s="1"/>
  <c r="W687" i="15" s="1"/>
  <c r="DH157" i="2"/>
  <c r="X689" i="15"/>
  <c r="Z689" i="15" s="1"/>
  <c r="W689" i="15" s="1"/>
  <c r="DH159" i="2"/>
  <c r="X691" i="15"/>
  <c r="Z691" i="15" s="1"/>
  <c r="W691" i="15" s="1"/>
  <c r="DH161" i="2"/>
  <c r="I200" i="2"/>
  <c r="O703" i="15" s="1"/>
  <c r="V703" i="15" s="1"/>
  <c r="U703" i="15" s="1"/>
  <c r="DH9" i="2"/>
  <c r="DI9" i="2" s="1"/>
  <c r="AY97" i="2"/>
  <c r="AM97" i="2"/>
  <c r="BC97" i="2"/>
  <c r="AQ97" i="2"/>
  <c r="I244" i="2"/>
  <c r="O710" i="15" s="1"/>
  <c r="W710" i="15" s="1"/>
  <c r="V710" i="15" s="1"/>
  <c r="U710" i="15" s="1"/>
  <c r="I712" i="15"/>
  <c r="AN712" i="15" s="1"/>
  <c r="AE774" i="15"/>
  <c r="AC774" i="15" s="1"/>
  <c r="O650" i="15"/>
  <c r="V650" i="15" s="1"/>
  <c r="U650" i="15" s="1"/>
  <c r="O651" i="15"/>
  <c r="W651" i="15" s="1"/>
  <c r="O654" i="15"/>
  <c r="O655" i="15"/>
  <c r="O656" i="15"/>
  <c r="O657" i="15"/>
  <c r="O658" i="15"/>
  <c r="O659" i="15"/>
  <c r="W659" i="15" s="1"/>
  <c r="V659" i="15" s="1"/>
  <c r="O660" i="15"/>
  <c r="W660" i="15" s="1"/>
  <c r="V660" i="15" s="1"/>
  <c r="U660" i="15" s="1"/>
  <c r="O664" i="15"/>
  <c r="AO664" i="15" s="1"/>
  <c r="O667" i="15"/>
  <c r="V667" i="15" s="1"/>
  <c r="U667" i="15" s="1"/>
  <c r="AL97" i="2"/>
  <c r="AX97" i="2"/>
  <c r="BB97" i="2"/>
  <c r="AP97" i="2"/>
  <c r="I199" i="2"/>
  <c r="O702" i="15" s="1"/>
  <c r="V702" i="15" s="1"/>
  <c r="U702" i="15" s="1"/>
  <c r="I261" i="2"/>
  <c r="O711" i="15" s="1"/>
  <c r="W711" i="15" s="1"/>
  <c r="V711" i="15" s="1"/>
  <c r="U711" i="15" s="1"/>
  <c r="I642" i="2"/>
  <c r="O775" i="15" s="1"/>
  <c r="V775" i="15" s="1"/>
  <c r="U775" i="15" s="1"/>
  <c r="I503" i="2"/>
  <c r="O749" i="15" s="1"/>
  <c r="V749" i="15" s="1"/>
  <c r="U749" i="15" s="1"/>
  <c r="I523" i="2"/>
  <c r="O750" i="15" s="1"/>
  <c r="V750" i="15" s="1"/>
  <c r="U750" i="15" s="1"/>
  <c r="I524" i="2"/>
  <c r="O751" i="15" s="1"/>
  <c r="V751" i="15" s="1"/>
  <c r="U751" i="15" s="1"/>
  <c r="I525" i="2"/>
  <c r="O752" i="15" s="1"/>
  <c r="V752" i="15" s="1"/>
  <c r="U752" i="15" s="1"/>
  <c r="I526" i="2"/>
  <c r="O753" i="15" s="1"/>
  <c r="V753" i="15" s="1"/>
  <c r="U753" i="15" s="1"/>
  <c r="I527" i="2"/>
  <c r="O754" i="15" s="1"/>
  <c r="V754" i="15" s="1"/>
  <c r="U754" i="15" s="1"/>
  <c r="I528" i="2"/>
  <c r="O755" i="15" s="1"/>
  <c r="I529" i="2"/>
  <c r="O756" i="15" s="1"/>
  <c r="V756" i="15" s="1"/>
  <c r="U756" i="15" s="1"/>
  <c r="I555" i="2"/>
  <c r="O763" i="15" s="1"/>
  <c r="I727" i="2"/>
  <c r="O782" i="15" s="1"/>
  <c r="I759" i="2"/>
  <c r="O784" i="15" s="1"/>
  <c r="U784" i="15" s="1"/>
  <c r="I776" i="2"/>
  <c r="O786" i="15" s="1"/>
  <c r="V786" i="15" s="1"/>
  <c r="U786" i="15" s="1"/>
  <c r="I777" i="2"/>
  <c r="O787" i="15" s="1"/>
  <c r="I795" i="2"/>
  <c r="O788" i="15" s="1"/>
  <c r="W788" i="15" s="1"/>
  <c r="V788" i="15" s="1"/>
  <c r="U788" i="15" s="1"/>
  <c r="AD300" i="15"/>
  <c r="AN203" i="15"/>
  <c r="W123" i="15"/>
  <c r="I734" i="15"/>
  <c r="I735" i="15"/>
  <c r="AN88" i="15"/>
  <c r="I202" i="15"/>
  <c r="O202" i="15"/>
  <c r="AC262" i="15"/>
  <c r="AN44" i="15"/>
  <c r="Z117" i="15"/>
  <c r="AN202" i="15"/>
  <c r="AN306" i="15"/>
  <c r="AN210" i="15"/>
  <c r="AA733" i="15"/>
  <c r="I847" i="2"/>
  <c r="O793" i="15" s="1"/>
  <c r="W793" i="15" s="1"/>
  <c r="V793" i="15" s="1"/>
  <c r="U793" i="15" s="1"/>
  <c r="AN100" i="15"/>
  <c r="AN103" i="15"/>
  <c r="I483" i="15"/>
  <c r="AN483" i="15" s="1"/>
  <c r="I284" i="15"/>
  <c r="I475" i="15"/>
  <c r="AN38" i="15"/>
  <c r="P202" i="15"/>
  <c r="W202" i="15" s="1"/>
  <c r="W733" i="15"/>
  <c r="V733" i="15" s="1"/>
  <c r="U733" i="15" s="1"/>
  <c r="AN300" i="15"/>
  <c r="Z306" i="15"/>
  <c r="AD310" i="15"/>
  <c r="O171" i="15"/>
  <c r="AD284" i="15"/>
  <c r="P278" i="15"/>
  <c r="W278" i="15" s="1"/>
  <c r="P175" i="15"/>
  <c r="W175" i="15" s="1"/>
  <c r="O175" i="15"/>
  <c r="AC294" i="15"/>
  <c r="I262" i="15"/>
  <c r="AN317" i="15"/>
  <c r="AN272" i="15"/>
  <c r="AN266" i="15"/>
  <c r="I476" i="15"/>
  <c r="I732" i="15"/>
  <c r="I733" i="15"/>
  <c r="I731" i="15"/>
  <c r="I500" i="2"/>
  <c r="O746" i="15" s="1"/>
  <c r="V746" i="15" s="1"/>
  <c r="U746" i="15" s="1"/>
  <c r="I501" i="2"/>
  <c r="O747" i="15" s="1"/>
  <c r="V747" i="15" s="1"/>
  <c r="U747" i="15" s="1"/>
  <c r="I502" i="2"/>
  <c r="O748" i="15" s="1"/>
  <c r="V748" i="15" s="1"/>
  <c r="U748" i="15" s="1"/>
  <c r="AA734" i="15"/>
  <c r="DG401" i="2"/>
  <c r="AA730" i="15" s="1"/>
  <c r="I399" i="2"/>
  <c r="Q728" i="15" s="1"/>
  <c r="O728" i="15" s="1"/>
  <c r="W728" i="15" s="1"/>
  <c r="V728" i="15" s="1"/>
  <c r="U728" i="15" s="1"/>
  <c r="I401" i="2"/>
  <c r="Q730" i="15" s="1"/>
  <c r="O730" i="15" s="1"/>
  <c r="W730" i="15" s="1"/>
  <c r="V730" i="15" s="1"/>
  <c r="U730" i="15" s="1"/>
  <c r="I367" i="2"/>
  <c r="O725" i="15" s="1"/>
  <c r="O129" i="15"/>
  <c r="I210" i="15"/>
  <c r="AD278" i="15"/>
  <c r="AN73" i="15"/>
  <c r="AN129" i="15"/>
  <c r="AC280" i="15"/>
  <c r="AN79" i="15"/>
  <c r="I200" i="15"/>
  <c r="O156" i="15"/>
  <c r="W156" i="15"/>
  <c r="AN127" i="15"/>
  <c r="AO127" i="15" s="1"/>
  <c r="AN238" i="15"/>
  <c r="AN67" i="15"/>
  <c r="Z444" i="15"/>
  <c r="W735" i="15"/>
  <c r="V735" i="15" s="1"/>
  <c r="U735" i="15" s="1"/>
  <c r="I274" i="15"/>
  <c r="Z442" i="15"/>
  <c r="I482" i="15"/>
  <c r="AN482" i="15" s="1"/>
  <c r="AN200" i="15"/>
  <c r="W126" i="15"/>
  <c r="AN139" i="15"/>
  <c r="AO139" i="15" s="1"/>
  <c r="I477" i="15"/>
  <c r="AD316" i="15"/>
  <c r="AN108" i="15"/>
  <c r="AO108" i="15" s="1"/>
  <c r="I480" i="15"/>
  <c r="O203" i="15"/>
  <c r="W203" i="15" s="1"/>
  <c r="AN168" i="15"/>
  <c r="AN45" i="15"/>
  <c r="DG23" i="2"/>
  <c r="AA660" i="15" s="1"/>
  <c r="AA731" i="15"/>
  <c r="DH13" i="2"/>
  <c r="DI13" i="2" s="1"/>
  <c r="DH22" i="2"/>
  <c r="DI22" i="2" s="1"/>
  <c r="DH19" i="2"/>
  <c r="DI19" i="2" s="1"/>
  <c r="DH16" i="2"/>
  <c r="DI16" i="2" s="1"/>
  <c r="DH12" i="2"/>
  <c r="DI12" i="2" s="1"/>
  <c r="DH11" i="2"/>
  <c r="DI11" i="2" s="1"/>
  <c r="AN274" i="15"/>
  <c r="AN279" i="15"/>
  <c r="AN290" i="15"/>
  <c r="I290" i="15"/>
  <c r="Z184" i="15"/>
  <c r="AN106" i="15"/>
  <c r="J175" i="15"/>
  <c r="AN77" i="15"/>
  <c r="AN102" i="15"/>
  <c r="AN72" i="15"/>
  <c r="AN61" i="15"/>
  <c r="AN46" i="15"/>
  <c r="AN78" i="15"/>
  <c r="AN86" i="15"/>
  <c r="AN123" i="15"/>
  <c r="AO123" i="15" s="1"/>
  <c r="AN39" i="15"/>
  <c r="AN58" i="15"/>
  <c r="AN133" i="15"/>
  <c r="AO133" i="15" s="1"/>
  <c r="AN37" i="15"/>
  <c r="AN57" i="15"/>
  <c r="AN49" i="15"/>
  <c r="AN51" i="15"/>
  <c r="AN56" i="15"/>
  <c r="AN52" i="15"/>
  <c r="AN234" i="15"/>
  <c r="AN105" i="15"/>
  <c r="AN47" i="15"/>
  <c r="AN55" i="15"/>
  <c r="AN63" i="15"/>
  <c r="Z202" i="15"/>
  <c r="O648" i="15"/>
  <c r="DH21" i="2"/>
  <c r="DI21" i="2" s="1"/>
  <c r="DH10" i="2"/>
  <c r="DI10" i="2" s="1"/>
  <c r="O652" i="15"/>
  <c r="W652" i="15" s="1"/>
  <c r="O649" i="15"/>
  <c r="V649" i="15" s="1"/>
  <c r="U649" i="15" s="1"/>
  <c r="O661" i="15"/>
  <c r="O670" i="15"/>
  <c r="W731" i="15"/>
  <c r="V731" i="15" s="1"/>
  <c r="U731" i="15" s="1"/>
  <c r="O646" i="15"/>
  <c r="W646" i="15" s="1"/>
  <c r="V646" i="15" s="1"/>
  <c r="U646" i="15" s="1"/>
  <c r="O647" i="15"/>
  <c r="W647" i="15" s="1"/>
  <c r="V647" i="15" s="1"/>
  <c r="U647" i="15" s="1"/>
  <c r="DH14" i="2"/>
  <c r="DI14" i="2" s="1"/>
  <c r="O653" i="15"/>
  <c r="W653" i="15" s="1"/>
  <c r="DH20" i="2"/>
  <c r="DI20" i="2" s="1"/>
  <c r="DH17" i="2"/>
  <c r="DI17" i="2" s="1"/>
  <c r="DH15" i="2"/>
  <c r="DI15" i="2" s="1"/>
  <c r="DH18" i="2"/>
  <c r="DI18" i="2" s="1"/>
  <c r="W734" i="15"/>
  <c r="V734" i="15" s="1"/>
  <c r="U734" i="15" s="1"/>
  <c r="AN169" i="15"/>
  <c r="AN64" i="15"/>
  <c r="I68" i="16" l="1"/>
  <c r="I72" i="16"/>
  <c r="AO605" i="15"/>
  <c r="BB795" i="6"/>
  <c r="AA168" i="15" s="1"/>
  <c r="BB225" i="16"/>
  <c r="AA56" i="15" s="1"/>
  <c r="BD1005" i="7"/>
  <c r="BD11" i="3"/>
  <c r="BD19" i="3"/>
  <c r="BB19" i="3" s="1"/>
  <c r="AA21" i="15" s="1"/>
  <c r="BD23" i="3"/>
  <c r="BD25" i="3"/>
  <c r="AE27" i="15" s="1"/>
  <c r="AC27" i="15" s="1"/>
  <c r="BB227" i="16"/>
  <c r="AA58" i="15" s="1"/>
  <c r="AO790" i="15"/>
  <c r="AO619" i="15"/>
  <c r="BD9" i="9"/>
  <c r="BD64" i="7"/>
  <c r="BD137" i="7"/>
  <c r="BD16" i="7"/>
  <c r="BD494" i="7"/>
  <c r="BD136" i="7"/>
  <c r="AE397" i="15" s="1"/>
  <c r="AC397" i="15" s="1"/>
  <c r="BD260" i="5"/>
  <c r="BD209" i="5"/>
  <c r="BD58" i="16"/>
  <c r="AF36" i="15" s="1"/>
  <c r="I76" i="16"/>
  <c r="BB7" i="6"/>
  <c r="AA111" i="15" s="1"/>
  <c r="BB934" i="7"/>
  <c r="AA482" i="15" s="1"/>
  <c r="BB121" i="6"/>
  <c r="AA120" i="15" s="1"/>
  <c r="BD17" i="3"/>
  <c r="AE19" i="15" s="1"/>
  <c r="AC19" i="15" s="1"/>
  <c r="BD31" i="3"/>
  <c r="BB31" i="3" s="1"/>
  <c r="AA33" i="15" s="1"/>
  <c r="BD26" i="3"/>
  <c r="BD7" i="3"/>
  <c r="BB7" i="3" s="1"/>
  <c r="AA9" i="15" s="1"/>
  <c r="BD20" i="3"/>
  <c r="AE22" i="15" s="1"/>
  <c r="AC22" i="15" s="1"/>
  <c r="BD9" i="3"/>
  <c r="AE11" i="15" s="1"/>
  <c r="AC11" i="15" s="1"/>
  <c r="BD12" i="3"/>
  <c r="BD29" i="3"/>
  <c r="AE12" i="15"/>
  <c r="AC12" i="15" s="1"/>
  <c r="BD21" i="3"/>
  <c r="AE23" i="15" s="1"/>
  <c r="AC23" i="15" s="1"/>
  <c r="BD27" i="3"/>
  <c r="AE29" i="15" s="1"/>
  <c r="AC29" i="15" s="1"/>
  <c r="BD60" i="16"/>
  <c r="AF37" i="15" s="1"/>
  <c r="AC37" i="15" s="1"/>
  <c r="BD223" i="16"/>
  <c r="AE54" i="15" s="1"/>
  <c r="AC54" i="15" s="1"/>
  <c r="BD7" i="16"/>
  <c r="AE35" i="15" s="1"/>
  <c r="AC35" i="15" s="1"/>
  <c r="BD68" i="16"/>
  <c r="BD220" i="16"/>
  <c r="AE51" i="15" s="1"/>
  <c r="AC51" i="15" s="1"/>
  <c r="BD70" i="16"/>
  <c r="AF42" i="15" s="1"/>
  <c r="BD62" i="16"/>
  <c r="BB61" i="16" s="1"/>
  <c r="AA38" i="15" s="1"/>
  <c r="BD72" i="16"/>
  <c r="AF43" i="15" s="1"/>
  <c r="AC43" i="15" s="1"/>
  <c r="BD76" i="16"/>
  <c r="AF45" i="15" s="1"/>
  <c r="BD78" i="16"/>
  <c r="AF46" i="15" s="1"/>
  <c r="BD7" i="5"/>
  <c r="AE67" i="15" s="1"/>
  <c r="AC67" i="15" s="1"/>
  <c r="BD301" i="5"/>
  <c r="BB301" i="5" s="1"/>
  <c r="AA100" i="15" s="1"/>
  <c r="BD262" i="5"/>
  <c r="AE98" i="15" s="1"/>
  <c r="AC98" i="15" s="1"/>
  <c r="I93" i="15"/>
  <c r="AN93" i="15" s="1"/>
  <c r="BD210" i="5"/>
  <c r="BB210" i="5" s="1"/>
  <c r="AA93" i="15" s="1"/>
  <c r="BD51" i="5"/>
  <c r="AE77" i="15" s="1"/>
  <c r="AC77" i="15" s="1"/>
  <c r="BD155" i="7"/>
  <c r="BD457" i="7"/>
  <c r="AE425" i="15" s="1"/>
  <c r="AC425" i="15" s="1"/>
  <c r="BD1311" i="7"/>
  <c r="AG529" i="15" s="1"/>
  <c r="AD529" i="15" s="1"/>
  <c r="BD149" i="7"/>
  <c r="BD17" i="7"/>
  <c r="BB17" i="7" s="1"/>
  <c r="AA376" i="15" s="1"/>
  <c r="BD58" i="10"/>
  <c r="AE643" i="15" s="1"/>
  <c r="AC643" i="15" s="1"/>
  <c r="BD593" i="9"/>
  <c r="AG637" i="15" s="1"/>
  <c r="AD637" i="15" s="1"/>
  <c r="BD76" i="9"/>
  <c r="AE589" i="15" s="1"/>
  <c r="AC589" i="15" s="1"/>
  <c r="BD10" i="9"/>
  <c r="BD80" i="9"/>
  <c r="BD479" i="9"/>
  <c r="AE622" i="15" s="1"/>
  <c r="AC622" i="15" s="1"/>
  <c r="BD196" i="9"/>
  <c r="BD13" i="9"/>
  <c r="BD79" i="9"/>
  <c r="BD12" i="9"/>
  <c r="AE580" i="15" s="1"/>
  <c r="AC580" i="15" s="1"/>
  <c r="BD511" i="9"/>
  <c r="AE627" i="15" s="1"/>
  <c r="AC627" i="15" s="1"/>
  <c r="BD8" i="9"/>
  <c r="AE576" i="15" s="1"/>
  <c r="AC576" i="15" s="1"/>
  <c r="BD7" i="9"/>
  <c r="AE575" i="15" s="1"/>
  <c r="AC575" i="15" s="1"/>
  <c r="BD481" i="9"/>
  <c r="BB481" i="9" s="1"/>
  <c r="AA624" i="15" s="1"/>
  <c r="BD480" i="9"/>
  <c r="BB480" i="9" s="1"/>
  <c r="AA623" i="15" s="1"/>
  <c r="BD592" i="9"/>
  <c r="AE637" i="15" s="1"/>
  <c r="AC637" i="15" s="1"/>
  <c r="BD275" i="9"/>
  <c r="BB275" i="9" s="1"/>
  <c r="AA600" i="15" s="1"/>
  <c r="BD477" i="9"/>
  <c r="BB477" i="9" s="1"/>
  <c r="AA620" i="15" s="1"/>
  <c r="BD75" i="9"/>
  <c r="BB75" i="9" s="1"/>
  <c r="AA588" i="15" s="1"/>
  <c r="BD78" i="9"/>
  <c r="BB78" i="9" s="1"/>
  <c r="AA591" i="15" s="1"/>
  <c r="Z599" i="15"/>
  <c r="BD478" i="9"/>
  <c r="AE621" i="15" s="1"/>
  <c r="AC621" i="15" s="1"/>
  <c r="BD441" i="9"/>
  <c r="AE619" i="15" s="1"/>
  <c r="AC619" i="15" s="1"/>
  <c r="BD66" i="7"/>
  <c r="BD1354" i="7"/>
  <c r="BB1354" i="7" s="1"/>
  <c r="AA550" i="15" s="1"/>
  <c r="BD1345" i="7"/>
  <c r="BB1345" i="7" s="1"/>
  <c r="AA542" i="15" s="1"/>
  <c r="BD1351" i="7"/>
  <c r="AE532" i="15" s="1"/>
  <c r="AC532" i="15" s="1"/>
  <c r="BD768" i="7"/>
  <c r="BB768" i="7" s="1"/>
  <c r="AA461" i="15" s="1"/>
  <c r="BD10" i="7"/>
  <c r="BB10" i="7" s="1"/>
  <c r="AA369" i="15" s="1"/>
  <c r="BD1132" i="7"/>
  <c r="AE493" i="15" s="1"/>
  <c r="AC493" i="15" s="1"/>
  <c r="BD938" i="7"/>
  <c r="AE484" i="15" s="1"/>
  <c r="BD1362" i="7"/>
  <c r="BB1362" i="7" s="1"/>
  <c r="AA552" i="15" s="1"/>
  <c r="BD1361" i="7"/>
  <c r="BB1361" i="7" s="1"/>
  <c r="AA546" i="15" s="1"/>
  <c r="BD1353" i="7"/>
  <c r="AE544" i="15" s="1"/>
  <c r="AC544" i="15" s="1"/>
  <c r="BD890" i="7"/>
  <c r="BD929" i="7"/>
  <c r="AF479" i="15" s="1"/>
  <c r="BD1040" i="7"/>
  <c r="AE489" i="15" s="1"/>
  <c r="AC489" i="15" s="1"/>
  <c r="BD1140" i="7"/>
  <c r="AE501" i="15" s="1"/>
  <c r="AC501" i="15" s="1"/>
  <c r="BD62" i="7"/>
  <c r="AC481" i="15"/>
  <c r="BD129" i="7"/>
  <c r="BB129" i="7" s="1"/>
  <c r="AA390" i="15" s="1"/>
  <c r="BD1347" i="7"/>
  <c r="AE531" i="15" s="1"/>
  <c r="AC531" i="15" s="1"/>
  <c r="BD1357" i="7"/>
  <c r="AE545" i="15" s="1"/>
  <c r="AC545" i="15" s="1"/>
  <c r="BD927" i="7"/>
  <c r="AF478" i="15" s="1"/>
  <c r="BD452" i="7"/>
  <c r="AE420" i="15" s="1"/>
  <c r="AC420" i="15" s="1"/>
  <c r="AE403" i="15"/>
  <c r="AC403" i="15" s="1"/>
  <c r="BD1152" i="7"/>
  <c r="AE513" i="15" s="1"/>
  <c r="AC513" i="15" s="1"/>
  <c r="BD1348" i="7"/>
  <c r="AE537" i="15" s="1"/>
  <c r="AC537" i="15" s="1"/>
  <c r="BD1366" i="7"/>
  <c r="BB1366" i="7" s="1"/>
  <c r="AA553" i="15" s="1"/>
  <c r="BD1363" i="7"/>
  <c r="AE535" i="15" s="1"/>
  <c r="AC535" i="15" s="1"/>
  <c r="BD1359" i="7"/>
  <c r="BB1359" i="7" s="1"/>
  <c r="AA534" i="15" s="1"/>
  <c r="BD146" i="7"/>
  <c r="AE407" i="15" s="1"/>
  <c r="AC407" i="15" s="1"/>
  <c r="BD134" i="7"/>
  <c r="AE395" i="15" s="1"/>
  <c r="AC395" i="15" s="1"/>
  <c r="BD493" i="7"/>
  <c r="BD148" i="7"/>
  <c r="AE440" i="15"/>
  <c r="AC440" i="15" s="1"/>
  <c r="BD147" i="7"/>
  <c r="AE408" i="15" s="1"/>
  <c r="AC408" i="15" s="1"/>
  <c r="BD63" i="7"/>
  <c r="BB63" i="7" s="1"/>
  <c r="AA385" i="15" s="1"/>
  <c r="BD132" i="7"/>
  <c r="BD139" i="7"/>
  <c r="BD688" i="7"/>
  <c r="AE448" i="15" s="1"/>
  <c r="AC448" i="15" s="1"/>
  <c r="BD610" i="7"/>
  <c r="AE442" i="15" s="1"/>
  <c r="AC442" i="15" s="1"/>
  <c r="BD1344" i="7"/>
  <c r="AE536" i="15" s="1"/>
  <c r="AC536" i="15" s="1"/>
  <c r="BD1356" i="7"/>
  <c r="AE539" i="15" s="1"/>
  <c r="AC539" i="15" s="1"/>
  <c r="BD1343" i="7"/>
  <c r="BB1343" i="7" s="1"/>
  <c r="AA530" i="15" s="1"/>
  <c r="BD920" i="7"/>
  <c r="AE475" i="15" s="1"/>
  <c r="AC475" i="15" s="1"/>
  <c r="BD454" i="7"/>
  <c r="AE422" i="15" s="1"/>
  <c r="AC422" i="15" s="1"/>
  <c r="BD138" i="7"/>
  <c r="AE399" i="15" s="1"/>
  <c r="AC399" i="15" s="1"/>
  <c r="BD1131" i="7"/>
  <c r="BB1131" i="7" s="1"/>
  <c r="AA492" i="15" s="1"/>
  <c r="BD157" i="7"/>
  <c r="BB157" i="7" s="1"/>
  <c r="AA418" i="15" s="1"/>
  <c r="BD1137" i="7"/>
  <c r="AE498" i="15" s="1"/>
  <c r="AC498" i="15" s="1"/>
  <c r="BD67" i="7"/>
  <c r="BD1352" i="7"/>
  <c r="AE538" i="15" s="1"/>
  <c r="AC538" i="15" s="1"/>
  <c r="BD1364" i="7"/>
  <c r="AE541" i="15" s="1"/>
  <c r="AC541" i="15" s="1"/>
  <c r="BB1141" i="7"/>
  <c r="AA502" i="15" s="1"/>
  <c r="BD1349" i="7"/>
  <c r="BB1349" i="7" s="1"/>
  <c r="AA543" i="15" s="1"/>
  <c r="BD943" i="7"/>
  <c r="AF486" i="15" s="1"/>
  <c r="AC486" i="15" s="1"/>
  <c r="BD141" i="7"/>
  <c r="BB141" i="7" s="1"/>
  <c r="AA402" i="15" s="1"/>
  <c r="BD1135" i="7"/>
  <c r="BB1135" i="7" s="1"/>
  <c r="AA496" i="15" s="1"/>
  <c r="BD140" i="7"/>
  <c r="AE401" i="15" s="1"/>
  <c r="AC401" i="15" s="1"/>
  <c r="BD131" i="7"/>
  <c r="AE392" i="15" s="1"/>
  <c r="AC392" i="15" s="1"/>
  <c r="BD700" i="7"/>
  <c r="BB700" i="7" s="1"/>
  <c r="AA454" i="15" s="1"/>
  <c r="BD928" i="7"/>
  <c r="AE479" i="15" s="1"/>
  <c r="AE435" i="15"/>
  <c r="AC435" i="15" s="1"/>
  <c r="AE381" i="15"/>
  <c r="AC381" i="15" s="1"/>
  <c r="BD569" i="7"/>
  <c r="BB569" i="7" s="1"/>
  <c r="AA436" i="15" s="1"/>
  <c r="BD1360" i="7"/>
  <c r="AE540" i="15" s="1"/>
  <c r="AC540" i="15" s="1"/>
  <c r="BD1358" i="7"/>
  <c r="AE551" i="15" s="1"/>
  <c r="AC551" i="15" s="1"/>
  <c r="BD1350" i="7"/>
  <c r="AE549" i="15" s="1"/>
  <c r="AC549" i="15" s="1"/>
  <c r="BD892" i="7"/>
  <c r="BD1365" i="7"/>
  <c r="AE547" i="15" s="1"/>
  <c r="AC547" i="15" s="1"/>
  <c r="BD941" i="7"/>
  <c r="BD143" i="7"/>
  <c r="BB143" i="7" s="1"/>
  <c r="AA404" i="15" s="1"/>
  <c r="BD156" i="7"/>
  <c r="BB156" i="7" s="1"/>
  <c r="AA417" i="15" s="1"/>
  <c r="BD60" i="7"/>
  <c r="BB60" i="7" s="1"/>
  <c r="AA382" i="15" s="1"/>
  <c r="BD1134" i="7"/>
  <c r="BB1134" i="7" s="1"/>
  <c r="AA495" i="15" s="1"/>
  <c r="BD65" i="7"/>
  <c r="BB65" i="7" s="1"/>
  <c r="AA387" i="15" s="1"/>
  <c r="BD158" i="7"/>
  <c r="AE419" i="15" s="1"/>
  <c r="AC419" i="15" s="1"/>
  <c r="BB144" i="7"/>
  <c r="AA405" i="15" s="1"/>
  <c r="BD154" i="7"/>
  <c r="BD692" i="7"/>
  <c r="BB692" i="7" s="1"/>
  <c r="AA450" i="15" s="1"/>
  <c r="AE421" i="15"/>
  <c r="AC421" i="15" s="1"/>
  <c r="BD1346" i="7"/>
  <c r="AE548" i="15" s="1"/>
  <c r="AC548" i="15" s="1"/>
  <c r="BD565" i="7"/>
  <c r="AE432" i="15" s="1"/>
  <c r="AC432" i="15" s="1"/>
  <c r="BD1142" i="7"/>
  <c r="AE503" i="15" s="1"/>
  <c r="AC503" i="15" s="1"/>
  <c r="BD939" i="7"/>
  <c r="AF484" i="15" s="1"/>
  <c r="BD135" i="7"/>
  <c r="BB135" i="7" s="1"/>
  <c r="AA396" i="15" s="1"/>
  <c r="BD1145" i="7"/>
  <c r="AE506" i="15" s="1"/>
  <c r="AC506" i="15" s="1"/>
  <c r="BD891" i="7"/>
  <c r="BD1133" i="7"/>
  <c r="BB1133" i="7" s="1"/>
  <c r="AA494" i="15" s="1"/>
  <c r="BD12" i="7"/>
  <c r="BB12" i="7" s="1"/>
  <c r="AA371" i="15" s="1"/>
  <c r="BD1139" i="7"/>
  <c r="AE500" i="15" s="1"/>
  <c r="AC500" i="15" s="1"/>
  <c r="J2690" i="6"/>
  <c r="J3076" i="6"/>
  <c r="J2304" i="6"/>
  <c r="J3269" i="6"/>
  <c r="J2497" i="6"/>
  <c r="J3655" i="6"/>
  <c r="J2883" i="6"/>
  <c r="J3462" i="6"/>
  <c r="A1628" i="6"/>
  <c r="J3338" i="6"/>
  <c r="J3145" i="6"/>
  <c r="J2373" i="6"/>
  <c r="J2952" i="6"/>
  <c r="J2180" i="6"/>
  <c r="J3531" i="6"/>
  <c r="J2759" i="6"/>
  <c r="J3772" i="6"/>
  <c r="J2566" i="6"/>
  <c r="A1898" i="6"/>
  <c r="J2894" i="6"/>
  <c r="J2701" i="6"/>
  <c r="J3280" i="6"/>
  <c r="J2508" i="6"/>
  <c r="J3666" i="6"/>
  <c r="J3087" i="6"/>
  <c r="J2315" i="6"/>
  <c r="J3473" i="6"/>
  <c r="A1608" i="6"/>
  <c r="J2942" i="6"/>
  <c r="J3328" i="6"/>
  <c r="J2556" i="6"/>
  <c r="J2170" i="6"/>
  <c r="J3521" i="6"/>
  <c r="J2749" i="6"/>
  <c r="J3752" i="6"/>
  <c r="J3135" i="6"/>
  <c r="J2363" i="6"/>
  <c r="A1860" i="6"/>
  <c r="J3068" i="6"/>
  <c r="J2296" i="6"/>
  <c r="J3454" i="6"/>
  <c r="J2682" i="6"/>
  <c r="J3647" i="6"/>
  <c r="J2875" i="6"/>
  <c r="J3261" i="6"/>
  <c r="J2489" i="6"/>
  <c r="A1766" i="6"/>
  <c r="J3600" i="6"/>
  <c r="J2828" i="6"/>
  <c r="J3021" i="6"/>
  <c r="J3407" i="6"/>
  <c r="J2635" i="6"/>
  <c r="J2249" i="6"/>
  <c r="J3214" i="6"/>
  <c r="J2442" i="6"/>
  <c r="A1576" i="6"/>
  <c r="J2926" i="6"/>
  <c r="J3312" i="6"/>
  <c r="J2540" i="6"/>
  <c r="J3505" i="6"/>
  <c r="J3720" i="6"/>
  <c r="J2733" i="6"/>
  <c r="J3119" i="6"/>
  <c r="J2347" i="6"/>
  <c r="J2154" i="6"/>
  <c r="A1830" i="6"/>
  <c r="J3632" i="6"/>
  <c r="J2860" i="6"/>
  <c r="J2474" i="6"/>
  <c r="J2281" i="6"/>
  <c r="J3053" i="6"/>
  <c r="J3439" i="6"/>
  <c r="J2667" i="6"/>
  <c r="J3246" i="6"/>
  <c r="J3238" i="6"/>
  <c r="J2273" i="6"/>
  <c r="J3624" i="6"/>
  <c r="J2852" i="6"/>
  <c r="J2466" i="6"/>
  <c r="J3431" i="6"/>
  <c r="J2659" i="6"/>
  <c r="J3045" i="6"/>
  <c r="A1712" i="6"/>
  <c r="J3573" i="6"/>
  <c r="J3380" i="6"/>
  <c r="J2608" i="6"/>
  <c r="J3187" i="6"/>
  <c r="J2415" i="6"/>
  <c r="J2222" i="6"/>
  <c r="J2801" i="6"/>
  <c r="J3856" i="6"/>
  <c r="J2994" i="6"/>
  <c r="A1782" i="6"/>
  <c r="J2257" i="6"/>
  <c r="J3608" i="6"/>
  <c r="J2836" i="6"/>
  <c r="J3222" i="6"/>
  <c r="J3415" i="6"/>
  <c r="J2643" i="6"/>
  <c r="J3029" i="6"/>
  <c r="J2450" i="6"/>
  <c r="A1846" i="6"/>
  <c r="J3254" i="6"/>
  <c r="J2482" i="6"/>
  <c r="J3640" i="6"/>
  <c r="J2868" i="6"/>
  <c r="J3061" i="6"/>
  <c r="J3447" i="6"/>
  <c r="J2675" i="6"/>
  <c r="J2289" i="6"/>
  <c r="A1584" i="6"/>
  <c r="J2158" i="6"/>
  <c r="J3316" i="6"/>
  <c r="J2544" i="6"/>
  <c r="J2930" i="6"/>
  <c r="J2737" i="6"/>
  <c r="J3123" i="6"/>
  <c r="J2351" i="6"/>
  <c r="J3509" i="6"/>
  <c r="J3728" i="6"/>
  <c r="A1798" i="6"/>
  <c r="J3230" i="6"/>
  <c r="J3616" i="6"/>
  <c r="J2844" i="6"/>
  <c r="J3037" i="6"/>
  <c r="J3423" i="6"/>
  <c r="J2651" i="6"/>
  <c r="J2265" i="6"/>
  <c r="J2458" i="6"/>
  <c r="AB253" i="15"/>
  <c r="BE1668" i="6"/>
  <c r="BB1668" i="6" s="1"/>
  <c r="AA253" i="15" s="1"/>
  <c r="BD1914" i="6"/>
  <c r="AE331" i="15" s="1"/>
  <c r="BB1423" i="6"/>
  <c r="AA200" i="15" s="1"/>
  <c r="BD827" i="6"/>
  <c r="AD201" i="15"/>
  <c r="AO622" i="15"/>
  <c r="L249" i="15"/>
  <c r="AB215" i="15"/>
  <c r="BB135" i="6"/>
  <c r="AA129" i="15" s="1"/>
  <c r="BD1859" i="6"/>
  <c r="AF311" i="15" s="1"/>
  <c r="BB1425" i="6"/>
  <c r="AA201" i="15" s="1"/>
  <c r="BD1672" i="6"/>
  <c r="AE255" i="15" s="1"/>
  <c r="AD171" i="15"/>
  <c r="BD1710" i="6"/>
  <c r="AE269" i="15" s="1"/>
  <c r="AC269" i="15" s="1"/>
  <c r="AC203" i="15"/>
  <c r="BD1812" i="6"/>
  <c r="AC201" i="15"/>
  <c r="BD140" i="6"/>
  <c r="AE133" i="15" s="1"/>
  <c r="AC133" i="15" s="1"/>
  <c r="BD184" i="6"/>
  <c r="AE162" i="15" s="1"/>
  <c r="AC162" i="15" s="1"/>
  <c r="BD1828" i="6"/>
  <c r="AE303" i="15" s="1"/>
  <c r="BD1648" i="6"/>
  <c r="AE243" i="15" s="1"/>
  <c r="BD1874" i="6"/>
  <c r="AE315" i="15" s="1"/>
  <c r="AC315" i="15" s="1"/>
  <c r="BD1693" i="6"/>
  <c r="AF263" i="15" s="1"/>
  <c r="BD820" i="6"/>
  <c r="BD128" i="6"/>
  <c r="AE125" i="15" s="1"/>
  <c r="AC125" i="15" s="1"/>
  <c r="BD817" i="6"/>
  <c r="AG176" i="15" s="1"/>
  <c r="AD176" i="15" s="1"/>
  <c r="BD1902" i="6"/>
  <c r="BD1326" i="6"/>
  <c r="AF197" i="15" s="1"/>
  <c r="AC197" i="15" s="1"/>
  <c r="BD1640" i="6"/>
  <c r="AE239" i="15" s="1"/>
  <c r="AC239" i="15" s="1"/>
  <c r="BD1616" i="6"/>
  <c r="AE231" i="15" s="1"/>
  <c r="BD1796" i="6"/>
  <c r="AE295" i="15" s="1"/>
  <c r="BD1612" i="6"/>
  <c r="AE229" i="15" s="1"/>
  <c r="AC229" i="15" s="1"/>
  <c r="AC200" i="15"/>
  <c r="BD1575" i="6"/>
  <c r="AF217" i="15" s="1"/>
  <c r="BD169" i="6"/>
  <c r="AE152" i="15" s="1"/>
  <c r="AC152" i="15" s="1"/>
  <c r="BD1629" i="6"/>
  <c r="AH235" i="15" s="1"/>
  <c r="BD1886" i="6"/>
  <c r="AE319" i="15" s="1"/>
  <c r="BD1673" i="6"/>
  <c r="AF255" i="15" s="1"/>
  <c r="AD202" i="15"/>
  <c r="BD119" i="6"/>
  <c r="AE119" i="15" s="1"/>
  <c r="AC119" i="15" s="1"/>
  <c r="BD150" i="6"/>
  <c r="BD186" i="6"/>
  <c r="AG163" i="15" s="1"/>
  <c r="AD163" i="15" s="1"/>
  <c r="BD166" i="6"/>
  <c r="AE150" i="15" s="1"/>
  <c r="AC150" i="15" s="1"/>
  <c r="BD1626" i="6"/>
  <c r="AE235" i="15" s="1"/>
  <c r="BD1606" i="6"/>
  <c r="BD1582" i="6"/>
  <c r="AE219" i="15" s="1"/>
  <c r="AC219" i="15" s="1"/>
  <c r="BD1764" i="6"/>
  <c r="AE287" i="15" s="1"/>
  <c r="AC287" i="15" s="1"/>
  <c r="BD149" i="6"/>
  <c r="AE139" i="15" s="1"/>
  <c r="AC139" i="15" s="1"/>
  <c r="BD188" i="6"/>
  <c r="AG164" i="15" s="1"/>
  <c r="AD164" i="15" s="1"/>
  <c r="BD1660" i="6"/>
  <c r="AE249" i="15" s="1"/>
  <c r="BD1649" i="6"/>
  <c r="AF243" i="15" s="1"/>
  <c r="AC202" i="15"/>
  <c r="BD1322" i="6"/>
  <c r="AF195" i="15" s="1"/>
  <c r="AC195" i="15" s="1"/>
  <c r="BD175" i="6"/>
  <c r="AE156" i="15" s="1"/>
  <c r="AC156" i="15" s="1"/>
  <c r="BD1330" i="6"/>
  <c r="BB1329" i="6" s="1"/>
  <c r="AA199" i="15" s="1"/>
  <c r="BD177" i="6"/>
  <c r="AG157" i="15" s="1"/>
  <c r="AD157" i="15" s="1"/>
  <c r="BD164" i="6"/>
  <c r="AE149" i="15" s="1"/>
  <c r="AC149" i="15" s="1"/>
  <c r="BD1319" i="6"/>
  <c r="AE194" i="15" s="1"/>
  <c r="AC194" i="15" s="1"/>
  <c r="BD1780" i="6"/>
  <c r="AE291" i="15" s="1"/>
  <c r="AC291" i="15" s="1"/>
  <c r="BD1858" i="6"/>
  <c r="AE311" i="15" s="1"/>
  <c r="BD1861" i="6"/>
  <c r="AH311" i="15" s="1"/>
  <c r="BD123" i="6"/>
  <c r="AG121" i="15" s="1"/>
  <c r="AD121" i="15" s="1"/>
  <c r="BD182" i="6"/>
  <c r="AE161" i="15" s="1"/>
  <c r="AC161" i="15" s="1"/>
  <c r="BD814" i="6"/>
  <c r="AG175" i="15" s="1"/>
  <c r="AD175" i="15" s="1"/>
  <c r="BD139" i="6"/>
  <c r="AE132" i="15" s="1"/>
  <c r="AC132" i="15" s="1"/>
  <c r="BD138" i="6"/>
  <c r="AG131" i="15" s="1"/>
  <c r="AD131" i="15" s="1"/>
  <c r="BD144" i="6"/>
  <c r="BB144" i="6" s="1"/>
  <c r="AA135" i="15" s="1"/>
  <c r="BD1323" i="6"/>
  <c r="AE196" i="15" s="1"/>
  <c r="AC196" i="15" s="1"/>
  <c r="BD131" i="6"/>
  <c r="AE127" i="15" s="1"/>
  <c r="AC127" i="15" s="1"/>
  <c r="BD826" i="6"/>
  <c r="AE182" i="15" s="1"/>
  <c r="BD1896" i="6"/>
  <c r="AE323" i="15" s="1"/>
  <c r="BD1844" i="6"/>
  <c r="AE307" i="15" s="1"/>
  <c r="AC307" i="15" s="1"/>
  <c r="BD1799" i="6"/>
  <c r="AH295" i="15" s="1"/>
  <c r="BD1831" i="6"/>
  <c r="AH303" i="15" s="1"/>
  <c r="AF180" i="15"/>
  <c r="BD130" i="6"/>
  <c r="AE126" i="15" s="1"/>
  <c r="AC126" i="15" s="1"/>
  <c r="BD793" i="6"/>
  <c r="AE167" i="15" s="1"/>
  <c r="AC167" i="15" s="1"/>
  <c r="BD1328" i="6"/>
  <c r="BB1327" i="6" s="1"/>
  <c r="AA198" i="15" s="1"/>
  <c r="BD141" i="6"/>
  <c r="AG133" i="15" s="1"/>
  <c r="AD133" i="15" s="1"/>
  <c r="BD796" i="6"/>
  <c r="AE169" i="15" s="1"/>
  <c r="AC169" i="15" s="1"/>
  <c r="AF303" i="15"/>
  <c r="AF249" i="15"/>
  <c r="BD1692" i="6"/>
  <c r="AE263" i="15" s="1"/>
  <c r="BD1713" i="6"/>
  <c r="AH269" i="15" s="1"/>
  <c r="BD1797" i="6"/>
  <c r="AF295" i="15" s="1"/>
  <c r="BD1887" i="6"/>
  <c r="AF319" i="15" s="1"/>
  <c r="BD1901" i="6"/>
  <c r="AF324" i="15" s="1"/>
  <c r="BD1627" i="6"/>
  <c r="AF235" i="15" s="1"/>
  <c r="BD1596" i="6"/>
  <c r="AE223" i="15" s="1"/>
  <c r="AC223" i="15" s="1"/>
  <c r="DI161" i="2"/>
  <c r="AE691" i="15" s="1"/>
  <c r="AC691" i="15" s="1"/>
  <c r="DI158" i="2"/>
  <c r="AE688" i="15" s="1"/>
  <c r="AC688" i="15" s="1"/>
  <c r="DI159" i="2"/>
  <c r="AE689" i="15" s="1"/>
  <c r="AC689" i="15" s="1"/>
  <c r="DI160" i="2"/>
  <c r="DG160" i="2" s="1"/>
  <c r="AA690" i="15" s="1"/>
  <c r="DI157" i="2"/>
  <c r="AE687" i="15" s="1"/>
  <c r="AC687" i="15" s="1"/>
  <c r="DI156" i="2"/>
  <c r="AE686" i="15" s="1"/>
  <c r="AC686" i="15" s="1"/>
  <c r="AE650" i="15"/>
  <c r="AC650" i="15" s="1"/>
  <c r="DG10" i="2"/>
  <c r="AA647" i="15" s="1"/>
  <c r="AE658" i="15"/>
  <c r="AC658" i="15" s="1"/>
  <c r="DG11" i="2"/>
  <c r="AA648" i="15" s="1"/>
  <c r="AE659" i="15"/>
  <c r="AC659" i="15" s="1"/>
  <c r="DG12" i="2"/>
  <c r="AA649" i="15" s="1"/>
  <c r="AE646" i="15"/>
  <c r="AC646" i="15" s="1"/>
  <c r="AE670" i="15"/>
  <c r="AC670" i="15" s="1"/>
  <c r="AE653" i="15"/>
  <c r="AC653" i="15" s="1"/>
  <c r="AE656" i="15"/>
  <c r="AC656" i="15" s="1"/>
  <c r="AE661" i="15"/>
  <c r="AC661" i="15" s="1"/>
  <c r="AO712" i="15"/>
  <c r="A1876" i="6"/>
  <c r="J2080" i="6"/>
  <c r="A1814" i="6"/>
  <c r="O42" i="15"/>
  <c r="AO602" i="15"/>
  <c r="G10" i="3"/>
  <c r="O12" i="15" s="1"/>
  <c r="W12" i="15" s="1"/>
  <c r="AO612" i="15"/>
  <c r="AO621" i="15"/>
  <c r="AO623" i="15"/>
  <c r="AO624" i="15"/>
  <c r="I41" i="15"/>
  <c r="AO639" i="15"/>
  <c r="AO604" i="15"/>
  <c r="AO482" i="15"/>
  <c r="AO522" i="15"/>
  <c r="AO631" i="15"/>
  <c r="AO437" i="15"/>
  <c r="AO467" i="15"/>
  <c r="AO519" i="15"/>
  <c r="AO441" i="15"/>
  <c r="AO523" i="15"/>
  <c r="AO607" i="15"/>
  <c r="AO617" i="15"/>
  <c r="AO618" i="15"/>
  <c r="AO606" i="15"/>
  <c r="BB82" i="9"/>
  <c r="AA595" i="15" s="1"/>
  <c r="AO601" i="15"/>
  <c r="AO620" i="15"/>
  <c r="AO625" i="15"/>
  <c r="AO599" i="15"/>
  <c r="AO641" i="15"/>
  <c r="AO659" i="15"/>
  <c r="AO658" i="15"/>
  <c r="AO725" i="15"/>
  <c r="AO687" i="15"/>
  <c r="AO696" i="15"/>
  <c r="AO722" i="15"/>
  <c r="AO775" i="15"/>
  <c r="AO745" i="15"/>
  <c r="AO793" i="15"/>
  <c r="AO784" i="15"/>
  <c r="AO746" i="15"/>
  <c r="AO744" i="15"/>
  <c r="AO657" i="15"/>
  <c r="AO701" i="15"/>
  <c r="AO685" i="15"/>
  <c r="AO694" i="15"/>
  <c r="AO721" i="15"/>
  <c r="AO783" i="15"/>
  <c r="AO742" i="15"/>
  <c r="AO777" i="15"/>
  <c r="AO481" i="15"/>
  <c r="AO648" i="15"/>
  <c r="AO647" i="15"/>
  <c r="AO691" i="15"/>
  <c r="AO700" i="15"/>
  <c r="AO684" i="15"/>
  <c r="AO782" i="15"/>
  <c r="AO749" i="15"/>
  <c r="AO743" i="15"/>
  <c r="AO751" i="15"/>
  <c r="AO759" i="15"/>
  <c r="AO661" i="15"/>
  <c r="AO726" i="15"/>
  <c r="AO689" i="15"/>
  <c r="AO698" i="15"/>
  <c r="AO778" i="15"/>
  <c r="AO747" i="15"/>
  <c r="AO741" i="15"/>
  <c r="AO789" i="15"/>
  <c r="AO748" i="15"/>
  <c r="AO757" i="15"/>
  <c r="AO462" i="15"/>
  <c r="AO520" i="15"/>
  <c r="AO787" i="15"/>
  <c r="AO603" i="15"/>
  <c r="AO444" i="15"/>
  <c r="AO650" i="15"/>
  <c r="AO786" i="15"/>
  <c r="AO655" i="15"/>
  <c r="AO670" i="15"/>
  <c r="AO699" i="15"/>
  <c r="AO709" i="15"/>
  <c r="AO692" i="15"/>
  <c r="AO710" i="15"/>
  <c r="AO756" i="15"/>
  <c r="AO785" i="15"/>
  <c r="AO774" i="15"/>
  <c r="AO788" i="15"/>
  <c r="AO608" i="15"/>
  <c r="AO609" i="15"/>
  <c r="AO660" i="15"/>
  <c r="AO653" i="15"/>
  <c r="AO654" i="15"/>
  <c r="AO491" i="15"/>
  <c r="AO697" i="15"/>
  <c r="AO702" i="15"/>
  <c r="AO690" i="15"/>
  <c r="AO754" i="15"/>
  <c r="AO762" i="15"/>
  <c r="AO764" i="15"/>
  <c r="AO776" i="15"/>
  <c r="I736" i="15"/>
  <c r="AN736" i="15"/>
  <c r="AO736" i="15" s="1"/>
  <c r="AO442" i="15"/>
  <c r="AO656" i="15"/>
  <c r="AO651" i="15"/>
  <c r="AO525" i="15"/>
  <c r="AO695" i="15"/>
  <c r="AO711" i="15"/>
  <c r="AO688" i="15"/>
  <c r="AO752" i="15"/>
  <c r="AO760" i="15"/>
  <c r="AO755" i="15"/>
  <c r="AO763" i="15"/>
  <c r="AO517" i="15"/>
  <c r="AO667" i="15"/>
  <c r="AO652" i="15"/>
  <c r="AO649" i="15"/>
  <c r="AO693" i="15"/>
  <c r="AO703" i="15"/>
  <c r="AO686" i="15"/>
  <c r="AO750" i="15"/>
  <c r="AO758" i="15"/>
  <c r="AO753" i="15"/>
  <c r="AO761" i="15"/>
  <c r="AO729" i="15"/>
  <c r="W732" i="15"/>
  <c r="V732" i="15" s="1"/>
  <c r="U732" i="15" s="1"/>
  <c r="AO732" i="15"/>
  <c r="AO370" i="15"/>
  <c r="AO544" i="15"/>
  <c r="AO728" i="15"/>
  <c r="AO366" i="15"/>
  <c r="W736" i="15"/>
  <c r="V736" i="15" s="1"/>
  <c r="U736" i="15" s="1"/>
  <c r="V720" i="15"/>
  <c r="U720" i="15" s="1"/>
  <c r="AO720" i="15"/>
  <c r="AO483" i="15"/>
  <c r="AO372" i="15"/>
  <c r="AO550" i="15"/>
  <c r="AO727" i="15"/>
  <c r="AO730" i="15"/>
  <c r="AO547" i="15"/>
  <c r="AO536" i="15"/>
  <c r="AO546" i="15"/>
  <c r="AO552" i="15"/>
  <c r="AO553" i="15"/>
  <c r="AO549" i="15"/>
  <c r="AN451" i="15"/>
  <c r="AO538" i="15"/>
  <c r="AO461" i="15"/>
  <c r="AO530" i="15"/>
  <c r="AO438" i="15"/>
  <c r="AO540" i="15"/>
  <c r="AO488" i="15"/>
  <c r="AO537" i="15"/>
  <c r="AO443" i="15"/>
  <c r="AO539" i="15"/>
  <c r="AO551" i="15"/>
  <c r="AO439" i="15"/>
  <c r="AO531" i="15"/>
  <c r="AO541" i="15"/>
  <c r="AO490" i="15"/>
  <c r="AO532" i="15"/>
  <c r="AO459" i="15"/>
  <c r="AO533" i="15"/>
  <c r="AO543" i="15"/>
  <c r="M1141" i="7"/>
  <c r="O502" i="15" s="1"/>
  <c r="W502" i="15" s="1"/>
  <c r="AO534" i="15"/>
  <c r="AO542" i="15"/>
  <c r="AO548" i="15"/>
  <c r="AO535" i="15"/>
  <c r="AO545" i="15"/>
  <c r="I43" i="15"/>
  <c r="BE842" i="6"/>
  <c r="AB187" i="15"/>
  <c r="BE804" i="6"/>
  <c r="AB172" i="15"/>
  <c r="AI192" i="15"/>
  <c r="AI193" i="15" s="1"/>
  <c r="AI194" i="15" s="1"/>
  <c r="AI195" i="15" s="1"/>
  <c r="AI196" i="15" s="1"/>
  <c r="AI197" i="15" s="1"/>
  <c r="AI198" i="15" s="1"/>
  <c r="AI199" i="15" s="1"/>
  <c r="AI200" i="15" s="1"/>
  <c r="AI201" i="15" s="1"/>
  <c r="AI202" i="15" s="1"/>
  <c r="AI203" i="15" s="1"/>
  <c r="AI204" i="15" s="1"/>
  <c r="AI205" i="15" s="1"/>
  <c r="AI206" i="15" s="1"/>
  <c r="AI207" i="15" s="1"/>
  <c r="AI208" i="15" s="1"/>
  <c r="AI209" i="15" s="1"/>
  <c r="AI210" i="15" s="1"/>
  <c r="AI211" i="15" s="1"/>
  <c r="AI212" i="15" s="1"/>
  <c r="AI213" i="15" s="1"/>
  <c r="AI214" i="15" s="1"/>
  <c r="AI215" i="15" s="1"/>
  <c r="AI216" i="15" s="1"/>
  <c r="AI217" i="15" s="1"/>
  <c r="AI218" i="15" s="1"/>
  <c r="AI219" i="15" s="1"/>
  <c r="AI220" i="15" s="1"/>
  <c r="AI221" i="15" s="1"/>
  <c r="AI222" i="15" s="1"/>
  <c r="AI223" i="15" s="1"/>
  <c r="AI224" i="15" s="1"/>
  <c r="AI225" i="15" s="1"/>
  <c r="AI226" i="15" s="1"/>
  <c r="AI227" i="15" s="1"/>
  <c r="AI228" i="15" s="1"/>
  <c r="AI229" i="15" s="1"/>
  <c r="AI230" i="15" s="1"/>
  <c r="AI231" i="15" s="1"/>
  <c r="AI232" i="15" s="1"/>
  <c r="AI233" i="15" s="1"/>
  <c r="AI234" i="15" s="1"/>
  <c r="AI235" i="15" s="1"/>
  <c r="AI236" i="15" s="1"/>
  <c r="AI237" i="15" s="1"/>
  <c r="AI238" i="15" s="1"/>
  <c r="AI239" i="15" s="1"/>
  <c r="AI240" i="15" s="1"/>
  <c r="AI241" i="15" s="1"/>
  <c r="AI242" i="15" s="1"/>
  <c r="AI243" i="15" s="1"/>
  <c r="AI244" i="15" s="1"/>
  <c r="AI245" i="15" s="1"/>
  <c r="AI246" i="15" s="1"/>
  <c r="AI247" i="15" s="1"/>
  <c r="AI248" i="15" s="1"/>
  <c r="AI249" i="15" s="1"/>
  <c r="AI250" i="15" s="1"/>
  <c r="AI251" i="15" s="1"/>
  <c r="AI252" i="15" s="1"/>
  <c r="AI253" i="15" s="1"/>
  <c r="AI254" i="15" s="1"/>
  <c r="AI255" i="15" s="1"/>
  <c r="AI256" i="15" s="1"/>
  <c r="AI257" i="15" s="1"/>
  <c r="AI258" i="15" s="1"/>
  <c r="AI259" i="15" s="1"/>
  <c r="AI260" i="15" s="1"/>
  <c r="AI261" i="15" s="1"/>
  <c r="AI262" i="15" s="1"/>
  <c r="AI263" i="15" s="1"/>
  <c r="AI264" i="15" s="1"/>
  <c r="AI265" i="15" s="1"/>
  <c r="AI266" i="15" s="1"/>
  <c r="AI267" i="15" s="1"/>
  <c r="AI268" i="15" s="1"/>
  <c r="AI269" i="15" s="1"/>
  <c r="AI270" i="15" s="1"/>
  <c r="AI271" i="15" s="1"/>
  <c r="AI272" i="15" s="1"/>
  <c r="AI273" i="15" s="1"/>
  <c r="AI274" i="15" s="1"/>
  <c r="AI190" i="15"/>
  <c r="AI191" i="15" s="1"/>
  <c r="I33" i="15"/>
  <c r="AN33" i="15" s="1"/>
  <c r="G26" i="3"/>
  <c r="O28" i="15" s="1"/>
  <c r="W28" i="15" s="1"/>
  <c r="J210" i="5"/>
  <c r="O93" i="15" s="1"/>
  <c r="V93" i="15" s="1"/>
  <c r="G9" i="3"/>
  <c r="O11" i="15" s="1"/>
  <c r="W11" i="15" s="1"/>
  <c r="G20" i="3"/>
  <c r="O22" i="15" s="1"/>
  <c r="W22" i="15" s="1"/>
  <c r="AB144" i="15"/>
  <c r="BB36" i="10"/>
  <c r="AA642" i="15" s="1"/>
  <c r="BC197" i="9"/>
  <c r="BD197" i="9" s="1"/>
  <c r="BB197" i="9" s="1"/>
  <c r="AA598" i="15" s="1"/>
  <c r="I449" i="15"/>
  <c r="I30" i="15"/>
  <c r="AN30" i="15" s="1"/>
  <c r="AO30" i="15" s="1"/>
  <c r="F525" i="7"/>
  <c r="L525" i="7" s="1"/>
  <c r="O430" i="15" s="1"/>
  <c r="W430" i="15" s="1"/>
  <c r="F455" i="7"/>
  <c r="I423" i="15" s="1"/>
  <c r="I42" i="15"/>
  <c r="I70" i="16"/>
  <c r="I78" i="16"/>
  <c r="I453" i="15"/>
  <c r="I455" i="15"/>
  <c r="I502" i="15"/>
  <c r="AN502" i="15" s="1"/>
  <c r="F1309" i="7"/>
  <c r="I1311" i="7"/>
  <c r="P529" i="15" s="1"/>
  <c r="V529" i="15" s="1"/>
  <c r="F1310" i="7"/>
  <c r="I529" i="15" s="1"/>
  <c r="AN529" i="15" s="1"/>
  <c r="M1135" i="7"/>
  <c r="O496" i="15" s="1"/>
  <c r="W496" i="15" s="1"/>
  <c r="L4064" i="6"/>
  <c r="K4064" i="6" s="1"/>
  <c r="K1534" i="6" s="1"/>
  <c r="I929" i="7"/>
  <c r="R479" i="15" s="1"/>
  <c r="O479" i="15" s="1"/>
  <c r="V479" i="15" s="1"/>
  <c r="AD767" i="6"/>
  <c r="AD765" i="6"/>
  <c r="AD763" i="6"/>
  <c r="AD762" i="6"/>
  <c r="AD760" i="6"/>
  <c r="AD768" i="6"/>
  <c r="N269" i="15"/>
  <c r="I1692" i="6"/>
  <c r="Q263" i="15" s="1"/>
  <c r="F956" i="6"/>
  <c r="F983" i="6" s="1"/>
  <c r="F1010" i="6" s="1"/>
  <c r="F1037" i="6" s="1"/>
  <c r="F1064" i="6" s="1"/>
  <c r="F1091" i="6" s="1"/>
  <c r="F1118" i="6" s="1"/>
  <c r="F1145" i="6" s="1"/>
  <c r="F954" i="6"/>
  <c r="F981" i="6" s="1"/>
  <c r="F1008" i="6" s="1"/>
  <c r="F1035" i="6" s="1"/>
  <c r="F1062" i="6" s="1"/>
  <c r="F1089" i="6" s="1"/>
  <c r="F1116" i="6" s="1"/>
  <c r="F1143" i="6" s="1"/>
  <c r="F957" i="6"/>
  <c r="F984" i="6" s="1"/>
  <c r="F1011" i="6" s="1"/>
  <c r="F1038" i="6" s="1"/>
  <c r="F1065" i="6" s="1"/>
  <c r="F1092" i="6" s="1"/>
  <c r="F1119" i="6" s="1"/>
  <c r="F1146" i="6" s="1"/>
  <c r="F958" i="6"/>
  <c r="F985" i="6" s="1"/>
  <c r="F1012" i="6" s="1"/>
  <c r="F1039" i="6" s="1"/>
  <c r="F1066" i="6" s="1"/>
  <c r="F1093" i="6" s="1"/>
  <c r="F1120" i="6" s="1"/>
  <c r="F1147" i="6" s="1"/>
  <c r="K793" i="6"/>
  <c r="BE793" i="6" s="1"/>
  <c r="Z234" i="15"/>
  <c r="F1890" i="6"/>
  <c r="K812" i="6"/>
  <c r="BE812" i="6" s="1"/>
  <c r="BE806" i="6"/>
  <c r="BE810" i="6"/>
  <c r="BB810" i="6" s="1"/>
  <c r="AA174" i="15" s="1"/>
  <c r="BB308" i="16"/>
  <c r="AA64" i="15" s="1"/>
  <c r="I450" i="15"/>
  <c r="AE487" i="15"/>
  <c r="AC487" i="15" s="1"/>
  <c r="M1134" i="7"/>
  <c r="O495" i="15" s="1"/>
  <c r="W495" i="15" s="1"/>
  <c r="I1449" i="7"/>
  <c r="BE453" i="7"/>
  <c r="BB453" i="7" s="1"/>
  <c r="AA421" i="15" s="1"/>
  <c r="I1453" i="7"/>
  <c r="K150" i="7"/>
  <c r="O411" i="15" s="1"/>
  <c r="W411" i="15" s="1"/>
  <c r="K148" i="7"/>
  <c r="O409" i="15" s="1"/>
  <c r="W409" i="15" s="1"/>
  <c r="AE414" i="15"/>
  <c r="AC414" i="15" s="1"/>
  <c r="BB152" i="7"/>
  <c r="AA413" i="15" s="1"/>
  <c r="I487" i="15"/>
  <c r="AN487" i="15" s="1"/>
  <c r="AO487" i="15" s="1"/>
  <c r="AE412" i="15"/>
  <c r="AC412" i="15" s="1"/>
  <c r="K132" i="7"/>
  <c r="O393" i="15" s="1"/>
  <c r="W393" i="15" s="1"/>
  <c r="F456" i="7"/>
  <c r="I424" i="15" s="1"/>
  <c r="M1138" i="7"/>
  <c r="O499" i="15" s="1"/>
  <c r="W499" i="15" s="1"/>
  <c r="K149" i="7"/>
  <c r="O410" i="15" s="1"/>
  <c r="W410" i="15" s="1"/>
  <c r="I452" i="15"/>
  <c r="F1308" i="7"/>
  <c r="I528" i="15" s="1"/>
  <c r="AN528" i="15" s="1"/>
  <c r="I1859" i="6"/>
  <c r="R311" i="15" s="1"/>
  <c r="I1616" i="6"/>
  <c r="Q231" i="15" s="1"/>
  <c r="O231" i="15" s="1"/>
  <c r="W231" i="15" s="1"/>
  <c r="I499" i="15"/>
  <c r="AN499" i="15" s="1"/>
  <c r="AB326" i="15"/>
  <c r="AE499" i="15"/>
  <c r="AC499" i="15" s="1"/>
  <c r="BB1138" i="7"/>
  <c r="AA499" i="15" s="1"/>
  <c r="I1710" i="6"/>
  <c r="Q269" i="15" s="1"/>
  <c r="O269" i="15" s="1"/>
  <c r="I1874" i="6"/>
  <c r="Q315" i="15" s="1"/>
  <c r="O315" i="15" s="1"/>
  <c r="K269" i="15"/>
  <c r="I269" i="15" s="1"/>
  <c r="G12" i="3"/>
  <c r="O14" i="15" s="1"/>
  <c r="W14" i="15" s="1"/>
  <c r="AE577" i="15"/>
  <c r="AC577" i="15" s="1"/>
  <c r="I448" i="15"/>
  <c r="BE1662" i="6"/>
  <c r="AB250" i="15"/>
  <c r="I1713" i="6"/>
  <c r="T269" i="15" s="1"/>
  <c r="BE1664" i="6"/>
  <c r="AB251" i="15"/>
  <c r="I62" i="16"/>
  <c r="I447" i="15"/>
  <c r="I446" i="15"/>
  <c r="BB256" i="16"/>
  <c r="AA61" i="15" s="1"/>
  <c r="AE61" i="15"/>
  <c r="AC61" i="15" s="1"/>
  <c r="BB371" i="9"/>
  <c r="AA617" i="15" s="1"/>
  <c r="I454" i="15"/>
  <c r="AE617" i="15"/>
  <c r="AC617" i="15" s="1"/>
  <c r="I13" i="9"/>
  <c r="Q581" i="15" s="1"/>
  <c r="O581" i="15" s="1"/>
  <c r="AC13" i="9"/>
  <c r="I14" i="9"/>
  <c r="Q582" i="15" s="1"/>
  <c r="O582" i="15" s="1"/>
  <c r="U582" i="15" s="1"/>
  <c r="AC14" i="9"/>
  <c r="K579" i="15"/>
  <c r="I579" i="15" s="1"/>
  <c r="AN579" i="15" s="1"/>
  <c r="AC11" i="9"/>
  <c r="K577" i="15"/>
  <c r="I577" i="15" s="1"/>
  <c r="AN577" i="15" s="1"/>
  <c r="AO577" i="15" s="1"/>
  <c r="AC9" i="9"/>
  <c r="AE578" i="15"/>
  <c r="AC578" i="15" s="1"/>
  <c r="AC10" i="9"/>
  <c r="AE579" i="15"/>
  <c r="AC579" i="15" s="1"/>
  <c r="BB14" i="9"/>
  <c r="I11" i="9"/>
  <c r="Q579" i="15" s="1"/>
  <c r="O579" i="15" s="1"/>
  <c r="U579" i="15" s="1"/>
  <c r="K582" i="15"/>
  <c r="I582" i="15" s="1"/>
  <c r="AN582" i="15" s="1"/>
  <c r="K376" i="15"/>
  <c r="I376" i="15" s="1"/>
  <c r="AN376" i="15" s="1"/>
  <c r="K374" i="15"/>
  <c r="I374" i="15" s="1"/>
  <c r="AN374" i="15" s="1"/>
  <c r="K377" i="15"/>
  <c r="I377" i="15" s="1"/>
  <c r="AN377" i="15" s="1"/>
  <c r="K373" i="15"/>
  <c r="I373" i="15" s="1"/>
  <c r="AN373" i="15" s="1"/>
  <c r="K371" i="15"/>
  <c r="I371" i="15" s="1"/>
  <c r="AN371" i="15" s="1"/>
  <c r="AO371" i="15" s="1"/>
  <c r="K367" i="15"/>
  <c r="I367" i="15" s="1"/>
  <c r="AN367" i="15" s="1"/>
  <c r="K368" i="15"/>
  <c r="I368" i="15" s="1"/>
  <c r="AN368" i="15" s="1"/>
  <c r="K375" i="15"/>
  <c r="I375" i="15" s="1"/>
  <c r="AN375" i="15" s="1"/>
  <c r="K369" i="15"/>
  <c r="I369" i="15" s="1"/>
  <c r="AN369" i="15" s="1"/>
  <c r="AO369" i="15" s="1"/>
  <c r="I1886" i="6"/>
  <c r="Q319" i="15" s="1"/>
  <c r="I1661" i="6"/>
  <c r="R249" i="15" s="1"/>
  <c r="I1812" i="6"/>
  <c r="Q299" i="15" s="1"/>
  <c r="O299" i="15" s="1"/>
  <c r="C1877" i="6"/>
  <c r="J2111" i="6"/>
  <c r="I1829" i="6"/>
  <c r="R303" i="15" s="1"/>
  <c r="L303" i="15"/>
  <c r="AF216" i="15"/>
  <c r="AC216" i="15" s="1"/>
  <c r="F1866" i="6"/>
  <c r="F1862" i="6"/>
  <c r="AF332" i="15"/>
  <c r="AE332" i="15"/>
  <c r="I1673" i="6"/>
  <c r="R255" i="15" s="1"/>
  <c r="F1836" i="6"/>
  <c r="F1832" i="6"/>
  <c r="F1664" i="6"/>
  <c r="F1662" i="6"/>
  <c r="AE328" i="15"/>
  <c r="F1652" i="6"/>
  <c r="F1650" i="6"/>
  <c r="K4204" i="6"/>
  <c r="K1674" i="6" s="1"/>
  <c r="K4440" i="6"/>
  <c r="K1910" i="6" s="1"/>
  <c r="BE1910" i="6" s="1"/>
  <c r="K4206" i="6"/>
  <c r="K1676" i="6" s="1"/>
  <c r="K4202" i="6"/>
  <c r="K1672" i="6" s="1"/>
  <c r="BE1672" i="6" s="1"/>
  <c r="AF333" i="15"/>
  <c r="AH217" i="15"/>
  <c r="AF328" i="15"/>
  <c r="AF325" i="15"/>
  <c r="BB1904" i="6"/>
  <c r="AA326" i="15" s="1"/>
  <c r="F1868" i="6"/>
  <c r="F1864" i="6"/>
  <c r="F1806" i="6"/>
  <c r="F1802" i="6"/>
  <c r="F1630" i="6"/>
  <c r="AF330" i="15"/>
  <c r="AG218" i="15"/>
  <c r="AD218" i="15" s="1"/>
  <c r="L295" i="15"/>
  <c r="AF331" i="15"/>
  <c r="AF327" i="15"/>
  <c r="F1714" i="6"/>
  <c r="F1838" i="6"/>
  <c r="F1834" i="6"/>
  <c r="F1804" i="6"/>
  <c r="F1800" i="6"/>
  <c r="AF329" i="15"/>
  <c r="AH323" i="15"/>
  <c r="AE330" i="15"/>
  <c r="AE324" i="15"/>
  <c r="AF218" i="15"/>
  <c r="AC218" i="15" s="1"/>
  <c r="AG216" i="15"/>
  <c r="AH216" i="15"/>
  <c r="I1693" i="6"/>
  <c r="R263" i="15" s="1"/>
  <c r="F1676" i="6"/>
  <c r="F1674" i="6"/>
  <c r="F1696" i="6"/>
  <c r="F1694" i="6"/>
  <c r="BB769" i="7"/>
  <c r="AA462" i="15" s="1"/>
  <c r="I403" i="15"/>
  <c r="AN403" i="15" s="1"/>
  <c r="AE375" i="15"/>
  <c r="AC375" i="15" s="1"/>
  <c r="AE367" i="15"/>
  <c r="AC367" i="15" s="1"/>
  <c r="AE368" i="15"/>
  <c r="AC368" i="15" s="1"/>
  <c r="I8" i="7"/>
  <c r="Q367" i="15" s="1"/>
  <c r="O367" i="15" s="1"/>
  <c r="I9" i="7"/>
  <c r="Q368" i="15" s="1"/>
  <c r="O368" i="15" s="1"/>
  <c r="I16" i="7"/>
  <c r="Q375" i="15" s="1"/>
  <c r="O375" i="15" s="1"/>
  <c r="L484" i="15"/>
  <c r="I484" i="15" s="1"/>
  <c r="BB849" i="7"/>
  <c r="AA471" i="15" s="1"/>
  <c r="I500" i="15"/>
  <c r="AN500" i="15" s="1"/>
  <c r="AO500" i="15" s="1"/>
  <c r="M1152" i="7"/>
  <c r="O513" i="15" s="1"/>
  <c r="W513" i="15" s="1"/>
  <c r="AC480" i="15"/>
  <c r="D557" i="7"/>
  <c r="D596" i="7" s="1"/>
  <c r="D665" i="7" s="1"/>
  <c r="D755" i="7" s="1"/>
  <c r="K156" i="7"/>
  <c r="O417" i="15" s="1"/>
  <c r="W417" i="15" s="1"/>
  <c r="F19" i="7"/>
  <c r="BD19" i="7" s="1"/>
  <c r="F20" i="7"/>
  <c r="BD20" i="7" s="1"/>
  <c r="F21" i="7"/>
  <c r="BD21" i="7" s="1"/>
  <c r="BB15" i="7"/>
  <c r="AA374" i="15" s="1"/>
  <c r="L478" i="15"/>
  <c r="I478" i="15" s="1"/>
  <c r="I15" i="7"/>
  <c r="Q374" i="15" s="1"/>
  <c r="O374" i="15" s="1"/>
  <c r="I927" i="7"/>
  <c r="R478" i="15" s="1"/>
  <c r="O478" i="15" s="1"/>
  <c r="V478" i="15" s="1"/>
  <c r="AF445" i="15"/>
  <c r="AC445" i="15" s="1"/>
  <c r="BB682" i="7"/>
  <c r="AA445" i="15" s="1"/>
  <c r="I293" i="2"/>
  <c r="O715" i="15" s="1"/>
  <c r="V715" i="15" s="1"/>
  <c r="U715" i="15" s="1"/>
  <c r="AE781" i="15"/>
  <c r="AC781" i="15" s="1"/>
  <c r="AE772" i="15"/>
  <c r="AC772" i="15" s="1"/>
  <c r="I708" i="15"/>
  <c r="AN708" i="15" s="1"/>
  <c r="I830" i="2"/>
  <c r="O792" i="15" s="1"/>
  <c r="V792" i="15" s="1"/>
  <c r="U792" i="15" s="1"/>
  <c r="I829" i="2"/>
  <c r="O791" i="15" s="1"/>
  <c r="V791" i="15" s="1"/>
  <c r="U791" i="15" s="1"/>
  <c r="U659" i="15"/>
  <c r="W655" i="15"/>
  <c r="V655" i="15" s="1"/>
  <c r="U655" i="15" s="1"/>
  <c r="W657" i="15"/>
  <c r="V657" i="15" s="1"/>
  <c r="U657" i="15" s="1"/>
  <c r="V653" i="15"/>
  <c r="U653" i="15" s="1"/>
  <c r="V652" i="15"/>
  <c r="U652" i="15" s="1"/>
  <c r="V651" i="15"/>
  <c r="U651" i="15" s="1"/>
  <c r="W658" i="15"/>
  <c r="V658" i="15" s="1"/>
  <c r="U658" i="15" s="1"/>
  <c r="W656" i="15"/>
  <c r="V656" i="15" s="1"/>
  <c r="U656" i="15" s="1"/>
  <c r="W654" i="15"/>
  <c r="V654" i="15" s="1"/>
  <c r="U654" i="15" s="1"/>
  <c r="DG523" i="2"/>
  <c r="AA750" i="15" s="1"/>
  <c r="I711" i="2"/>
  <c r="O781" i="15" s="1"/>
  <c r="U781" i="15" s="1"/>
  <c r="I618" i="2"/>
  <c r="O772" i="15" s="1"/>
  <c r="V772" i="15" s="1"/>
  <c r="U772" i="15" s="1"/>
  <c r="K1654" i="6"/>
  <c r="AB246" i="15" s="1"/>
  <c r="K1658" i="6"/>
  <c r="AB248" i="15" s="1"/>
  <c r="K1744" i="6"/>
  <c r="AB281" i="15" s="1"/>
  <c r="AB580" i="15"/>
  <c r="BE12" i="9"/>
  <c r="AB598" i="15"/>
  <c r="M275" i="9"/>
  <c r="O600" i="15" s="1"/>
  <c r="W600" i="15" s="1"/>
  <c r="J440" i="15"/>
  <c r="M608" i="7"/>
  <c r="P440" i="15" s="1"/>
  <c r="AB427" i="15"/>
  <c r="BB847" i="7"/>
  <c r="AA469" i="15" s="1"/>
  <c r="K1560" i="6"/>
  <c r="BE1560" i="6" s="1"/>
  <c r="K1552" i="6"/>
  <c r="K1570" i="6"/>
  <c r="I1576" i="6"/>
  <c r="S217" i="15" s="1"/>
  <c r="P217" i="15" s="1"/>
  <c r="W217" i="15" s="1"/>
  <c r="J4042" i="6"/>
  <c r="J4428" i="6"/>
  <c r="I1887" i="6"/>
  <c r="R319" i="15" s="1"/>
  <c r="J4020" i="6"/>
  <c r="J4406" i="6"/>
  <c r="J4004" i="6"/>
  <c r="J4390" i="6"/>
  <c r="J3990" i="6"/>
  <c r="J4376" i="6"/>
  <c r="J3958" i="6"/>
  <c r="J4344" i="6"/>
  <c r="J3974" i="6"/>
  <c r="J4360" i="6"/>
  <c r="J3926" i="6"/>
  <c r="J4312" i="6"/>
  <c r="J3942" i="6"/>
  <c r="J4328" i="6"/>
  <c r="J3910" i="6"/>
  <c r="J4296" i="6"/>
  <c r="J4242" i="6"/>
  <c r="I1649" i="6"/>
  <c r="R243" i="15" s="1"/>
  <c r="J4158" i="6"/>
  <c r="J4138" i="6"/>
  <c r="J4114" i="6"/>
  <c r="J4106" i="6"/>
  <c r="I1831" i="6"/>
  <c r="T303" i="15" s="1"/>
  <c r="I1797" i="6"/>
  <c r="R295" i="15" s="1"/>
  <c r="AC234" i="15"/>
  <c r="I1629" i="6"/>
  <c r="T235" i="15" s="1"/>
  <c r="I1799" i="6"/>
  <c r="T295" i="15" s="1"/>
  <c r="I1910" i="6"/>
  <c r="Q329" i="15" s="1"/>
  <c r="O329" i="15" s="1"/>
  <c r="W329" i="15" s="1"/>
  <c r="I1861" i="6"/>
  <c r="T311" i="15" s="1"/>
  <c r="O223" i="15"/>
  <c r="W223" i="15" s="1"/>
  <c r="Z282" i="15"/>
  <c r="I291" i="15"/>
  <c r="Z295" i="15"/>
  <c r="AD280" i="15"/>
  <c r="I1764" i="6"/>
  <c r="Q287" i="15" s="1"/>
  <c r="O287" i="15" s="1"/>
  <c r="Y185" i="15"/>
  <c r="Z212" i="15"/>
  <c r="AC283" i="15"/>
  <c r="X4314" i="6"/>
  <c r="Z268" i="15"/>
  <c r="I1612" i="6"/>
  <c r="Q229" i="15" s="1"/>
  <c r="O229" i="15" s="1"/>
  <c r="W229" i="15" s="1"/>
  <c r="Z210" i="15"/>
  <c r="BB1738" i="6"/>
  <c r="AA279" i="15" s="1"/>
  <c r="I329" i="15"/>
  <c r="AN329" i="15"/>
  <c r="J217" i="15"/>
  <c r="AN223" i="15"/>
  <c r="AC252" i="15"/>
  <c r="I1628" i="6"/>
  <c r="S235" i="15" s="1"/>
  <c r="X4132" i="6"/>
  <c r="I1766" i="6"/>
  <c r="S287" i="15" s="1"/>
  <c r="P287" i="15" s="1"/>
  <c r="W287" i="15" s="1"/>
  <c r="AN291" i="15"/>
  <c r="Z280" i="15"/>
  <c r="O254" i="15"/>
  <c r="W254" i="15" s="1"/>
  <c r="I1844" i="6"/>
  <c r="Q307" i="15" s="1"/>
  <c r="O307" i="15" s="1"/>
  <c r="O242" i="15"/>
  <c r="W242" i="15" s="1"/>
  <c r="AG295" i="15"/>
  <c r="Z284" i="15"/>
  <c r="X4082" i="6"/>
  <c r="X4152" i="6"/>
  <c r="K311" i="15"/>
  <c r="I311" i="15" s="1"/>
  <c r="I1858" i="6"/>
  <c r="Q311" i="15" s="1"/>
  <c r="I1830" i="6"/>
  <c r="S303" i="15" s="1"/>
  <c r="I1640" i="6"/>
  <c r="Q239" i="15" s="1"/>
  <c r="O239" i="15" s="1"/>
  <c r="W239" i="15" s="1"/>
  <c r="I1782" i="6"/>
  <c r="S291" i="15" s="1"/>
  <c r="P291" i="15" s="1"/>
  <c r="W291" i="15" s="1"/>
  <c r="M227" i="15"/>
  <c r="J227" i="15" s="1"/>
  <c r="I1608" i="6"/>
  <c r="S227" i="15" s="1"/>
  <c r="P227" i="15" s="1"/>
  <c r="W227" i="15" s="1"/>
  <c r="K295" i="15"/>
  <c r="I1796" i="6"/>
  <c r="Q295" i="15" s="1"/>
  <c r="K249" i="15"/>
  <c r="AN249" i="15" s="1"/>
  <c r="I1660" i="6"/>
  <c r="Q249" i="15" s="1"/>
  <c r="M219" i="15"/>
  <c r="J219" i="15" s="1"/>
  <c r="I1584" i="6"/>
  <c r="S219" i="15" s="1"/>
  <c r="P219" i="15" s="1"/>
  <c r="W219" i="15" s="1"/>
  <c r="M269" i="15"/>
  <c r="I1712" i="6"/>
  <c r="S269" i="15" s="1"/>
  <c r="M311" i="15"/>
  <c r="J311" i="15" s="1"/>
  <c r="I1860" i="6"/>
  <c r="S311" i="15" s="1"/>
  <c r="K217" i="15"/>
  <c r="AN217" i="15" s="1"/>
  <c r="I1574" i="6"/>
  <c r="Q217" i="15" s="1"/>
  <c r="I1672" i="6"/>
  <c r="Q255" i="15" s="1"/>
  <c r="K227" i="15"/>
  <c r="AN227" i="15" s="1"/>
  <c r="I1606" i="6"/>
  <c r="Q227" i="15" s="1"/>
  <c r="O227" i="15" s="1"/>
  <c r="M299" i="15"/>
  <c r="J299" i="15" s="1"/>
  <c r="I1814" i="6"/>
  <c r="S299" i="15" s="1"/>
  <c r="P299" i="15" s="1"/>
  <c r="W299" i="15" s="1"/>
  <c r="I1780" i="6"/>
  <c r="Q291" i="15" s="1"/>
  <c r="O291" i="15" s="1"/>
  <c r="I1575" i="6"/>
  <c r="R217" i="15" s="1"/>
  <c r="K235" i="15"/>
  <c r="I235" i="15" s="1"/>
  <c r="I1626" i="6"/>
  <c r="Q235" i="15" s="1"/>
  <c r="O235" i="15" s="1"/>
  <c r="K243" i="15"/>
  <c r="I243" i="15" s="1"/>
  <c r="I1648" i="6"/>
  <c r="Q243" i="15" s="1"/>
  <c r="K219" i="15"/>
  <c r="I219" i="15" s="1"/>
  <c r="I1582" i="6"/>
  <c r="Q219" i="15" s="1"/>
  <c r="O219" i="15" s="1"/>
  <c r="I1918" i="6"/>
  <c r="Q333" i="15" s="1"/>
  <c r="O333" i="15" s="1"/>
  <c r="W333" i="15" s="1"/>
  <c r="K327" i="15"/>
  <c r="I327" i="15" s="1"/>
  <c r="I1906" i="6"/>
  <c r="Q327" i="15" s="1"/>
  <c r="O327" i="15" s="1"/>
  <c r="W327" i="15" s="1"/>
  <c r="M323" i="15"/>
  <c r="J323" i="15" s="1"/>
  <c r="I1898" i="6"/>
  <c r="S323" i="15" s="1"/>
  <c r="P323" i="15" s="1"/>
  <c r="W323" i="15" s="1"/>
  <c r="M295" i="15"/>
  <c r="J295" i="15" s="1"/>
  <c r="I1798" i="6"/>
  <c r="S295" i="15" s="1"/>
  <c r="K331" i="15"/>
  <c r="I331" i="15" s="1"/>
  <c r="I1914" i="6"/>
  <c r="Q331" i="15" s="1"/>
  <c r="O331" i="15" s="1"/>
  <c r="W331" i="15" s="1"/>
  <c r="I1828" i="6"/>
  <c r="Q303" i="15" s="1"/>
  <c r="K325" i="15"/>
  <c r="I325" i="15" s="1"/>
  <c r="I1902" i="6"/>
  <c r="Q325" i="15" s="1"/>
  <c r="O325" i="15" s="1"/>
  <c r="W325" i="15" s="1"/>
  <c r="I1896" i="6"/>
  <c r="Q323" i="15" s="1"/>
  <c r="O323" i="15" s="1"/>
  <c r="M307" i="15"/>
  <c r="J307" i="15" s="1"/>
  <c r="I1846" i="6"/>
  <c r="S307" i="15" s="1"/>
  <c r="P307" i="15" s="1"/>
  <c r="W307" i="15" s="1"/>
  <c r="M315" i="15"/>
  <c r="J315" i="15" s="1"/>
  <c r="I1876" i="6"/>
  <c r="S315" i="15" s="1"/>
  <c r="P315" i="15" s="1"/>
  <c r="W315" i="15" s="1"/>
  <c r="AD290" i="15"/>
  <c r="P298" i="15"/>
  <c r="W298" i="15" s="1"/>
  <c r="AG291" i="15"/>
  <c r="AD291" i="15" s="1"/>
  <c r="O294" i="15"/>
  <c r="AO294" i="15" s="1"/>
  <c r="P268" i="15"/>
  <c r="W268" i="15" s="1"/>
  <c r="Y311" i="15"/>
  <c r="P234" i="15"/>
  <c r="W234" i="15" s="1"/>
  <c r="AC306" i="15"/>
  <c r="Z127" i="15"/>
  <c r="M291" i="15"/>
  <c r="J291" i="15" s="1"/>
  <c r="AD226" i="15"/>
  <c r="F1383" i="6"/>
  <c r="AD298" i="15"/>
  <c r="AB239" i="15"/>
  <c r="O302" i="15"/>
  <c r="AO302" i="15" s="1"/>
  <c r="F1407" i="6"/>
  <c r="F1395" i="6"/>
  <c r="F1365" i="6"/>
  <c r="F1401" i="6"/>
  <c r="F1377" i="6"/>
  <c r="F1389" i="6"/>
  <c r="BC1910" i="6"/>
  <c r="BD1910" i="6" s="1"/>
  <c r="O228" i="15"/>
  <c r="W228" i="15" s="1"/>
  <c r="O326" i="15"/>
  <c r="W326" i="15" s="1"/>
  <c r="F1359" i="6"/>
  <c r="AG227" i="15"/>
  <c r="AD227" i="15" s="1"/>
  <c r="AB243" i="15"/>
  <c r="AG307" i="15"/>
  <c r="AD307" i="15" s="1"/>
  <c r="AB325" i="15"/>
  <c r="AC302" i="15"/>
  <c r="AC260" i="15"/>
  <c r="AB119" i="15"/>
  <c r="BE119" i="6"/>
  <c r="AB137" i="15"/>
  <c r="BE146" i="6"/>
  <c r="BB146" i="6" s="1"/>
  <c r="AA137" i="15" s="1"/>
  <c r="BE124" i="6"/>
  <c r="BB124" i="6" s="1"/>
  <c r="AA122" i="15" s="1"/>
  <c r="AB443" i="15"/>
  <c r="BE612" i="7"/>
  <c r="BB612" i="7" s="1"/>
  <c r="AA443" i="15" s="1"/>
  <c r="BE1152" i="7"/>
  <c r="K564" i="7"/>
  <c r="O431" i="15" s="1"/>
  <c r="W431" i="15" s="1"/>
  <c r="K452" i="7"/>
  <c r="O420" i="15" s="1"/>
  <c r="W420" i="15" s="1"/>
  <c r="AE431" i="15"/>
  <c r="AC431" i="15" s="1"/>
  <c r="F1371" i="6"/>
  <c r="DG499" i="2"/>
  <c r="AA745" i="15" s="1"/>
  <c r="BB543" i="9"/>
  <c r="AA635" i="15" s="1"/>
  <c r="AE635" i="15"/>
  <c r="AC635" i="15" s="1"/>
  <c r="I635" i="15"/>
  <c r="AN635" i="15" s="1"/>
  <c r="L543" i="9"/>
  <c r="O635" i="15" s="1"/>
  <c r="V635" i="15" s="1"/>
  <c r="V616" i="9"/>
  <c r="BB406" i="9"/>
  <c r="AA618" i="15" s="1"/>
  <c r="M1137" i="7"/>
  <c r="O498" i="15" s="1"/>
  <c r="W498" i="15" s="1"/>
  <c r="I396" i="15"/>
  <c r="AN396" i="15" s="1"/>
  <c r="AB438" i="15"/>
  <c r="AB431" i="15"/>
  <c r="J849" i="7"/>
  <c r="O471" i="15" s="1"/>
  <c r="V471" i="15" s="1"/>
  <c r="BB932" i="7"/>
  <c r="AA481" i="15" s="1"/>
  <c r="AB442" i="15"/>
  <c r="I501" i="15"/>
  <c r="AN501" i="15" s="1"/>
  <c r="AO501" i="15" s="1"/>
  <c r="M1148" i="7"/>
  <c r="O509" i="15" s="1"/>
  <c r="W509" i="15" s="1"/>
  <c r="AE25" i="15"/>
  <c r="AC25" i="15" s="1"/>
  <c r="G25" i="3"/>
  <c r="O27" i="15" s="1"/>
  <c r="W27" i="15" s="1"/>
  <c r="BB13" i="3"/>
  <c r="AA15" i="15" s="1"/>
  <c r="AD234" i="15"/>
  <c r="M1132" i="7"/>
  <c r="O493" i="15" s="1"/>
  <c r="W493" i="15" s="1"/>
  <c r="O317" i="15"/>
  <c r="W317" i="15" s="1"/>
  <c r="P322" i="15"/>
  <c r="W322" i="15" s="1"/>
  <c r="D558" i="7"/>
  <c r="D597" i="7" s="1"/>
  <c r="V597" i="7" s="1"/>
  <c r="V671" i="7" s="1"/>
  <c r="O318" i="15"/>
  <c r="W318" i="15" s="1"/>
  <c r="AG235" i="15"/>
  <c r="X4322" i="6"/>
  <c r="X4338" i="6"/>
  <c r="BB1594" i="6"/>
  <c r="AA222" i="15" s="1"/>
  <c r="BB1614" i="6"/>
  <c r="AA230" i="15" s="1"/>
  <c r="AB179" i="15"/>
  <c r="F1369" i="6"/>
  <c r="I222" i="15"/>
  <c r="Z292" i="15"/>
  <c r="Z146" i="15"/>
  <c r="F1411" i="6"/>
  <c r="K255" i="15"/>
  <c r="I255" i="15" s="1"/>
  <c r="F1381" i="6"/>
  <c r="F1399" i="6"/>
  <c r="O330" i="15"/>
  <c r="W330" i="15" s="1"/>
  <c r="J306" i="15"/>
  <c r="O275" i="15"/>
  <c r="W275" i="15" s="1"/>
  <c r="F1393" i="6"/>
  <c r="Z300" i="15"/>
  <c r="F1375" i="6"/>
  <c r="F1387" i="6"/>
  <c r="F1363" i="6"/>
  <c r="K239" i="15"/>
  <c r="I239" i="15" s="1"/>
  <c r="AC314" i="15"/>
  <c r="AD268" i="15"/>
  <c r="O197" i="15"/>
  <c r="W197" i="15" s="1"/>
  <c r="F1417" i="6"/>
  <c r="X4290" i="6"/>
  <c r="O286" i="15"/>
  <c r="AO286" i="15" s="1"/>
  <c r="AC310" i="15"/>
  <c r="BB1638" i="6"/>
  <c r="AA238" i="15" s="1"/>
  <c r="Y307" i="15"/>
  <c r="Z307" i="15" s="1"/>
  <c r="O332" i="15"/>
  <c r="AO332" i="15" s="1"/>
  <c r="K323" i="15"/>
  <c r="AN323" i="15" s="1"/>
  <c r="AC238" i="15"/>
  <c r="X4282" i="6"/>
  <c r="X4264" i="6"/>
  <c r="K303" i="15"/>
  <c r="AG287" i="15"/>
  <c r="AD287" i="15" s="1"/>
  <c r="O207" i="15"/>
  <c r="W207" i="15" s="1"/>
  <c r="X724" i="6"/>
  <c r="AE209" i="15"/>
  <c r="AC209" i="15" s="1"/>
  <c r="O314" i="15"/>
  <c r="AO314" i="15" s="1"/>
  <c r="Z151" i="15"/>
  <c r="Z314" i="15"/>
  <c r="BC1576" i="6"/>
  <c r="BD1576" i="6" s="1"/>
  <c r="BB1610" i="6"/>
  <c r="AA228" i="15" s="1"/>
  <c r="AG219" i="15"/>
  <c r="AD219" i="15" s="1"/>
  <c r="AB231" i="15"/>
  <c r="AB229" i="15"/>
  <c r="AB428" i="15"/>
  <c r="BB1097" i="7"/>
  <c r="AA491" i="15" s="1"/>
  <c r="I494" i="15"/>
  <c r="AN494" i="15" s="1"/>
  <c r="I592" i="9"/>
  <c r="O637" i="15" s="1"/>
  <c r="AO637" i="15" s="1"/>
  <c r="AB377" i="15"/>
  <c r="AB371" i="15"/>
  <c r="AB368" i="15"/>
  <c r="M1133" i="7"/>
  <c r="O494" i="15" s="1"/>
  <c r="W494" i="15" s="1"/>
  <c r="Z143" i="15"/>
  <c r="G14" i="3"/>
  <c r="O16" i="15" s="1"/>
  <c r="W16" i="15" s="1"/>
  <c r="I9" i="15"/>
  <c r="AN9" i="15" s="1"/>
  <c r="O33" i="15"/>
  <c r="W33" i="15" s="1"/>
  <c r="BB14" i="3"/>
  <c r="AA16" i="15" s="1"/>
  <c r="AE16" i="15"/>
  <c r="AC16" i="15" s="1"/>
  <c r="I16" i="15"/>
  <c r="AN16" i="15" s="1"/>
  <c r="I19" i="15"/>
  <c r="AN19" i="15" s="1"/>
  <c r="AO19" i="15" s="1"/>
  <c r="G11" i="3"/>
  <c r="O13" i="15" s="1"/>
  <c r="W13" i="15" s="1"/>
  <c r="G7" i="3"/>
  <c r="O9" i="15" s="1"/>
  <c r="W9" i="15" s="1"/>
  <c r="AE13" i="15"/>
  <c r="AC13" i="15" s="1"/>
  <c r="I21" i="15"/>
  <c r="AN21" i="15" s="1"/>
  <c r="AO21" i="15" s="1"/>
  <c r="BB10" i="3"/>
  <c r="AA12" i="15" s="1"/>
  <c r="DG811" i="2"/>
  <c r="AA789" i="15" s="1"/>
  <c r="DG549" i="2"/>
  <c r="AA757" i="15" s="1"/>
  <c r="DG500" i="2"/>
  <c r="AA746" i="15" s="1"/>
  <c r="DG659" i="2"/>
  <c r="DG759" i="2"/>
  <c r="AA784" i="15" s="1"/>
  <c r="BB227" i="9"/>
  <c r="AA599" i="15" s="1"/>
  <c r="K145" i="7"/>
  <c r="O406" i="15" s="1"/>
  <c r="W406" i="15" s="1"/>
  <c r="AE482" i="15"/>
  <c r="AC482" i="15" s="1"/>
  <c r="BB686" i="7"/>
  <c r="AA447" i="15" s="1"/>
  <c r="I406" i="15"/>
  <c r="AN406" i="15" s="1"/>
  <c r="BB926" i="7"/>
  <c r="AA478" i="15" s="1"/>
  <c r="AE199" i="15"/>
  <c r="K828" i="6"/>
  <c r="BE828" i="6" s="1"/>
  <c r="O226" i="15"/>
  <c r="AO226" i="15" s="1"/>
  <c r="O298" i="15"/>
  <c r="AO298" i="15" s="1"/>
  <c r="AC274" i="15"/>
  <c r="Z308" i="15"/>
  <c r="AC248" i="15"/>
  <c r="Z155" i="15"/>
  <c r="Z287" i="15"/>
  <c r="O136" i="15"/>
  <c r="AO136" i="15" s="1"/>
  <c r="J226" i="15"/>
  <c r="BB1646" i="6"/>
  <c r="AA242" i="15" s="1"/>
  <c r="AE207" i="15"/>
  <c r="AC207" i="15" s="1"/>
  <c r="I223" i="2"/>
  <c r="O708" i="15" s="1"/>
  <c r="W708" i="15" s="1"/>
  <c r="V708" i="15" s="1"/>
  <c r="U708" i="15" s="1"/>
  <c r="BB221" i="16"/>
  <c r="AA52" i="15" s="1"/>
  <c r="I96" i="15"/>
  <c r="AN96" i="15" s="1"/>
  <c r="AO96" i="15" s="1"/>
  <c r="K196" i="9"/>
  <c r="O597" i="15" s="1"/>
  <c r="V597" i="15" s="1"/>
  <c r="J847" i="7"/>
  <c r="O469" i="15" s="1"/>
  <c r="V469" i="15" s="1"/>
  <c r="I598" i="15"/>
  <c r="AN598" i="15" s="1"/>
  <c r="AO598" i="15" s="1"/>
  <c r="K333" i="15"/>
  <c r="I333" i="15" s="1"/>
  <c r="I509" i="15"/>
  <c r="AN509" i="15" s="1"/>
  <c r="X327" i="15"/>
  <c r="Z327" i="15" s="1"/>
  <c r="BC1906" i="6"/>
  <c r="BD1906" i="6" s="1"/>
  <c r="BB196" i="9"/>
  <c r="AA597" i="15" s="1"/>
  <c r="L524" i="7"/>
  <c r="O429" i="15" s="1"/>
  <c r="W429" i="15" s="1"/>
  <c r="BB1151" i="7"/>
  <c r="BB1355" i="7"/>
  <c r="AA533" i="15" s="1"/>
  <c r="AB327" i="15"/>
  <c r="X189" i="15"/>
  <c r="Z189" i="15" s="1"/>
  <c r="I941" i="7"/>
  <c r="R485" i="15" s="1"/>
  <c r="O485" i="15" s="1"/>
  <c r="V485" i="15" s="1"/>
  <c r="AB440" i="15"/>
  <c r="K319" i="15"/>
  <c r="I319" i="15" s="1"/>
  <c r="AE708" i="15"/>
  <c r="AC708" i="15" s="1"/>
  <c r="W616" i="15"/>
  <c r="BB7" i="9"/>
  <c r="AA575" i="15" s="1"/>
  <c r="BB567" i="7"/>
  <c r="AA434" i="15" s="1"/>
  <c r="AB434" i="15"/>
  <c r="AB433" i="15"/>
  <c r="BB566" i="7"/>
  <c r="AA433" i="15" s="1"/>
  <c r="M1150" i="7"/>
  <c r="O511" i="15" s="1"/>
  <c r="W511" i="15" s="1"/>
  <c r="BB1150" i="7"/>
  <c r="V60" i="15"/>
  <c r="AO60" i="15"/>
  <c r="X333" i="15"/>
  <c r="Z333" i="15" s="1"/>
  <c r="BC1918" i="6"/>
  <c r="BD1918" i="6" s="1"/>
  <c r="X275" i="15"/>
  <c r="Z275" i="15" s="1"/>
  <c r="AE275" i="15"/>
  <c r="AC275" i="15" s="1"/>
  <c r="X249" i="15"/>
  <c r="Z249" i="15" s="1"/>
  <c r="J212" i="5"/>
  <c r="O95" i="15" s="1"/>
  <c r="V95" i="15" s="1"/>
  <c r="I95" i="15"/>
  <c r="AN95" i="15" s="1"/>
  <c r="BB261" i="5"/>
  <c r="AA97" i="15" s="1"/>
  <c r="AE97" i="15"/>
  <c r="AC97" i="15" s="1"/>
  <c r="AB576" i="15"/>
  <c r="AO575" i="15"/>
  <c r="I8" i="9"/>
  <c r="Q576" i="15" s="1"/>
  <c r="O576" i="15" s="1"/>
  <c r="U576" i="15" s="1"/>
  <c r="K576" i="15"/>
  <c r="I576" i="15" s="1"/>
  <c r="AN576" i="15" s="1"/>
  <c r="AD286" i="15"/>
  <c r="AD306" i="15"/>
  <c r="O194" i="15"/>
  <c r="W194" i="15" s="1"/>
  <c r="V690" i="15"/>
  <c r="U690" i="15" s="1"/>
  <c r="O455" i="15"/>
  <c r="AO455" i="15" s="1"/>
  <c r="Z286" i="15"/>
  <c r="V37" i="15"/>
  <c r="AC272" i="15"/>
  <c r="V41" i="15"/>
  <c r="AO140" i="15"/>
  <c r="AC286" i="15"/>
  <c r="P300" i="15"/>
  <c r="W300" i="15" s="1"/>
  <c r="O274" i="15"/>
  <c r="W274" i="15" s="1"/>
  <c r="P294" i="15"/>
  <c r="W294" i="15" s="1"/>
  <c r="AD294" i="15"/>
  <c r="AC476" i="15"/>
  <c r="O209" i="15"/>
  <c r="W209" i="15" s="1"/>
  <c r="AC228" i="15"/>
  <c r="O262" i="15"/>
  <c r="AO262" i="15" s="1"/>
  <c r="O292" i="15"/>
  <c r="AO292" i="15" s="1"/>
  <c r="M176" i="15"/>
  <c r="J176" i="15" s="1"/>
  <c r="Y315" i="15"/>
  <c r="Z315" i="15" s="1"/>
  <c r="AG315" i="15"/>
  <c r="AD315" i="15" s="1"/>
  <c r="Z122" i="15"/>
  <c r="U64" i="15"/>
  <c r="Z176" i="15"/>
  <c r="AC242" i="15"/>
  <c r="Z145" i="15"/>
  <c r="I720" i="15"/>
  <c r="V40" i="15"/>
  <c r="O230" i="15"/>
  <c r="W230" i="15" s="1"/>
  <c r="P306" i="15"/>
  <c r="W306" i="15" s="1"/>
  <c r="O322" i="15"/>
  <c r="AC282" i="15"/>
  <c r="I318" i="15"/>
  <c r="J234" i="15"/>
  <c r="AO121" i="15"/>
  <c r="O252" i="15"/>
  <c r="W252" i="15" s="1"/>
  <c r="O281" i="15"/>
  <c r="W281" i="15" s="1"/>
  <c r="O280" i="15"/>
  <c r="AO280" i="15" s="1"/>
  <c r="AD302" i="15"/>
  <c r="O310" i="15"/>
  <c r="AO310" i="15" s="1"/>
  <c r="O328" i="15"/>
  <c r="W328" i="15" s="1"/>
  <c r="AC308" i="15"/>
  <c r="AN196" i="15"/>
  <c r="Z192" i="15"/>
  <c r="AO64" i="15"/>
  <c r="AO55" i="15"/>
  <c r="AO168" i="15"/>
  <c r="O216" i="15"/>
  <c r="AO216" i="15" s="1"/>
  <c r="P216" i="15"/>
  <c r="W216" i="15" s="1"/>
  <c r="O222" i="15"/>
  <c r="W222" i="15" s="1"/>
  <c r="O476" i="15"/>
  <c r="V476" i="15" s="1"/>
  <c r="AO51" i="15"/>
  <c r="AN42" i="15"/>
  <c r="AO53" i="15"/>
  <c r="V62" i="15"/>
  <c r="O279" i="15"/>
  <c r="W279" i="15" s="1"/>
  <c r="O240" i="15"/>
  <c r="W240" i="15" s="1"/>
  <c r="I226" i="15"/>
  <c r="I197" i="15"/>
  <c r="AO49" i="15"/>
  <c r="I328" i="15"/>
  <c r="O268" i="15"/>
  <c r="AO268" i="15" s="1"/>
  <c r="P282" i="15"/>
  <c r="W282" i="15" s="1"/>
  <c r="P308" i="15"/>
  <c r="W308" i="15" s="1"/>
  <c r="P316" i="15"/>
  <c r="W316" i="15" s="1"/>
  <c r="O309" i="15"/>
  <c r="W309" i="15" s="1"/>
  <c r="O218" i="15"/>
  <c r="AO218" i="15" s="1"/>
  <c r="I195" i="15"/>
  <c r="AC281" i="15"/>
  <c r="O196" i="15"/>
  <c r="W196" i="15" s="1"/>
  <c r="P226" i="15"/>
  <c r="W226" i="15" s="1"/>
  <c r="I248" i="15"/>
  <c r="O212" i="15"/>
  <c r="AO212" i="15" s="1"/>
  <c r="J286" i="15"/>
  <c r="AC278" i="15"/>
  <c r="O290" i="15"/>
  <c r="AO290" i="15" s="1"/>
  <c r="AD308" i="15"/>
  <c r="AC240" i="15"/>
  <c r="O195" i="15"/>
  <c r="W195" i="15" s="1"/>
  <c r="I198" i="15"/>
  <c r="AO52" i="15"/>
  <c r="AO61" i="15"/>
  <c r="O199" i="15"/>
  <c r="AO199" i="15" s="1"/>
  <c r="AC254" i="15"/>
  <c r="I324" i="15"/>
  <c r="P286" i="15"/>
  <c r="W286" i="15" s="1"/>
  <c r="V688" i="15"/>
  <c r="U688" i="15" s="1"/>
  <c r="AN322" i="15"/>
  <c r="I199" i="15"/>
  <c r="Z134" i="15"/>
  <c r="O234" i="15"/>
  <c r="AO234" i="15" s="1"/>
  <c r="AC451" i="15"/>
  <c r="AO63" i="15"/>
  <c r="O248" i="15"/>
  <c r="W248" i="15" s="1"/>
  <c r="P302" i="15"/>
  <c r="W302" i="15" s="1"/>
  <c r="O475" i="15"/>
  <c r="V475" i="15" s="1"/>
  <c r="AO58" i="15"/>
  <c r="O39" i="15"/>
  <c r="AO39" i="15" s="1"/>
  <c r="Z128" i="15"/>
  <c r="J290" i="15"/>
  <c r="P314" i="15"/>
  <c r="W314" i="15" s="1"/>
  <c r="P310" i="15"/>
  <c r="W310" i="15" s="1"/>
  <c r="I246" i="15"/>
  <c r="DG777" i="2"/>
  <c r="DG502" i="2"/>
  <c r="AA748" i="15" s="1"/>
  <c r="DG812" i="2"/>
  <c r="AA790" i="15" s="1"/>
  <c r="DG348" i="2"/>
  <c r="AA722" i="15" s="1"/>
  <c r="K568" i="7"/>
  <c r="O435" i="15" s="1"/>
  <c r="W435" i="15" s="1"/>
  <c r="M1145" i="7"/>
  <c r="O506" i="15" s="1"/>
  <c r="W506" i="15" s="1"/>
  <c r="I506" i="15"/>
  <c r="AN506" i="15" s="1"/>
  <c r="AB429" i="15"/>
  <c r="K142" i="7"/>
  <c r="O403" i="15" s="1"/>
  <c r="W403" i="15" s="1"/>
  <c r="BB524" i="7"/>
  <c r="AA429" i="15" s="1"/>
  <c r="AE459" i="15"/>
  <c r="AC459" i="15" s="1"/>
  <c r="AO169" i="15"/>
  <c r="BB1066" i="7"/>
  <c r="AA490" i="15" s="1"/>
  <c r="I1040" i="7"/>
  <c r="O489" i="15" s="1"/>
  <c r="V489" i="15" s="1"/>
  <c r="O477" i="15"/>
  <c r="V477" i="15" s="1"/>
  <c r="J846" i="7"/>
  <c r="O468" i="15" s="1"/>
  <c r="V468" i="15" s="1"/>
  <c r="AE468" i="15"/>
  <c r="AC468" i="15" s="1"/>
  <c r="O446" i="15"/>
  <c r="AO446" i="15" s="1"/>
  <c r="O606" i="7"/>
  <c r="BE606" i="7" s="1"/>
  <c r="O603" i="7"/>
  <c r="BE603" i="7" s="1"/>
  <c r="I891" i="7"/>
  <c r="O473" i="15" s="1"/>
  <c r="V473" i="15" s="1"/>
  <c r="O452" i="15"/>
  <c r="AO452" i="15" s="1"/>
  <c r="AE478" i="15"/>
  <c r="O480" i="15"/>
  <c r="V480" i="15" s="1"/>
  <c r="BB696" i="7"/>
  <c r="AA452" i="15" s="1"/>
  <c r="O484" i="15"/>
  <c r="V484" i="15" s="1"/>
  <c r="K565" i="7"/>
  <c r="O432" i="15" s="1"/>
  <c r="W432" i="15" s="1"/>
  <c r="K569" i="7"/>
  <c r="O436" i="15" s="1"/>
  <c r="W436" i="15" s="1"/>
  <c r="K493" i="7"/>
  <c r="O426" i="15" s="1"/>
  <c r="W426" i="15" s="1"/>
  <c r="K494" i="7"/>
  <c r="O427" i="15" s="1"/>
  <c r="W427" i="15" s="1"/>
  <c r="K453" i="7"/>
  <c r="O421" i="15" s="1"/>
  <c r="W421" i="15" s="1"/>
  <c r="I17" i="7"/>
  <c r="Q376" i="15" s="1"/>
  <c r="O376" i="15" s="1"/>
  <c r="I18" i="7"/>
  <c r="Q377" i="15" s="1"/>
  <c r="O377" i="15" s="1"/>
  <c r="BB224" i="16"/>
  <c r="AA55" i="15" s="1"/>
  <c r="AO56" i="15"/>
  <c r="AO40" i="15"/>
  <c r="I36" i="15"/>
  <c r="Q63" i="15"/>
  <c r="O198" i="15"/>
  <c r="W198" i="15" s="1"/>
  <c r="X4100" i="6"/>
  <c r="X4108" i="6"/>
  <c r="X4064" i="6"/>
  <c r="DG501" i="2"/>
  <c r="AA747" i="15" s="1"/>
  <c r="V686" i="15"/>
  <c r="U686" i="15" s="1"/>
  <c r="I773" i="15"/>
  <c r="AN773" i="15" s="1"/>
  <c r="I772" i="15"/>
  <c r="AN772" i="15" s="1"/>
  <c r="I792" i="15"/>
  <c r="AN792" i="15" s="1"/>
  <c r="I781" i="15"/>
  <c r="AN781" i="15" s="1"/>
  <c r="AE791" i="15"/>
  <c r="AC791" i="15" s="1"/>
  <c r="DG527" i="2"/>
  <c r="AA754" i="15" s="1"/>
  <c r="DG795" i="2"/>
  <c r="AA788" i="15" s="1"/>
  <c r="DG163" i="2"/>
  <c r="AA693" i="15" s="1"/>
  <c r="I718" i="15"/>
  <c r="AN718" i="15" s="1"/>
  <c r="DG529" i="2"/>
  <c r="AA756" i="15" s="1"/>
  <c r="DG847" i="2"/>
  <c r="AA793" i="15" s="1"/>
  <c r="I715" i="15"/>
  <c r="AN715" i="15" s="1"/>
  <c r="I713" i="15"/>
  <c r="AN713" i="15" s="1"/>
  <c r="I292" i="2"/>
  <c r="O714" i="15" s="1"/>
  <c r="V714" i="15" s="1"/>
  <c r="U714" i="15" s="1"/>
  <c r="DG677" i="2"/>
  <c r="I314" i="2"/>
  <c r="O718" i="15" s="1"/>
  <c r="V718" i="15" s="1"/>
  <c r="U718" i="15" s="1"/>
  <c r="I704" i="15"/>
  <c r="AN704" i="15" s="1"/>
  <c r="I222" i="2"/>
  <c r="O707" i="15" s="1"/>
  <c r="W707" i="15" s="1"/>
  <c r="V707" i="15" s="1"/>
  <c r="U707" i="15" s="1"/>
  <c r="I705" i="15"/>
  <c r="AN705" i="15" s="1"/>
  <c r="I719" i="15"/>
  <c r="AN719" i="15" s="1"/>
  <c r="I590" i="15"/>
  <c r="AN590" i="15" s="1"/>
  <c r="AE625" i="15"/>
  <c r="AC625" i="15" s="1"/>
  <c r="BB278" i="9"/>
  <c r="AA603" i="15" s="1"/>
  <c r="AB578" i="15"/>
  <c r="AB582" i="15"/>
  <c r="O445" i="15"/>
  <c r="AO445" i="15" s="1"/>
  <c r="AF485" i="15"/>
  <c r="AC485" i="15" s="1"/>
  <c r="AC446" i="15"/>
  <c r="J848" i="7"/>
  <c r="O470" i="15" s="1"/>
  <c r="V470" i="15" s="1"/>
  <c r="I435" i="15"/>
  <c r="AN435" i="15" s="1"/>
  <c r="I429" i="15"/>
  <c r="AN429" i="15" s="1"/>
  <c r="M1131" i="7"/>
  <c r="O492" i="15" s="1"/>
  <c r="W492" i="15" s="1"/>
  <c r="BB1360" i="7"/>
  <c r="AA540" i="15" s="1"/>
  <c r="I421" i="15"/>
  <c r="AN421" i="15" s="1"/>
  <c r="O447" i="15"/>
  <c r="AO447" i="15" s="1"/>
  <c r="AE377" i="15"/>
  <c r="AC377" i="15" s="1"/>
  <c r="L486" i="15"/>
  <c r="I486" i="15" s="1"/>
  <c r="AB432" i="15"/>
  <c r="AE470" i="15"/>
  <c r="AC470" i="15" s="1"/>
  <c r="O450" i="15"/>
  <c r="AO450" i="15" s="1"/>
  <c r="AC453" i="15"/>
  <c r="I890" i="7"/>
  <c r="O472" i="15" s="1"/>
  <c r="V472" i="15" s="1"/>
  <c r="O454" i="15"/>
  <c r="AO454" i="15" s="1"/>
  <c r="AE447" i="15"/>
  <c r="AC447" i="15" s="1"/>
  <c r="AE522" i="15"/>
  <c r="AC522" i="15" s="1"/>
  <c r="AC449" i="15"/>
  <c r="I382" i="15"/>
  <c r="AN382" i="15" s="1"/>
  <c r="AO382" i="15" s="1"/>
  <c r="BB694" i="7"/>
  <c r="AA451" i="15" s="1"/>
  <c r="M607" i="7"/>
  <c r="O440" i="15" s="1"/>
  <c r="W440" i="15" s="1"/>
  <c r="K454" i="7"/>
  <c r="O422" i="15" s="1"/>
  <c r="W422" i="15" s="1"/>
  <c r="BB690" i="7"/>
  <c r="AA449" i="15" s="1"/>
  <c r="AB505" i="15"/>
  <c r="I511" i="15"/>
  <c r="AN511" i="15" s="1"/>
  <c r="O486" i="15"/>
  <c r="V486" i="15" s="1"/>
  <c r="K64" i="7"/>
  <c r="O386" i="15" s="1"/>
  <c r="W386" i="15" s="1"/>
  <c r="BB698" i="7"/>
  <c r="AA453" i="15" s="1"/>
  <c r="BB922" i="7"/>
  <c r="AA476" i="15" s="1"/>
  <c r="BB924" i="7"/>
  <c r="AA477" i="15" s="1"/>
  <c r="AE452" i="15"/>
  <c r="AC452" i="15" s="1"/>
  <c r="AC477" i="15"/>
  <c r="I503" i="15"/>
  <c r="AN503" i="15" s="1"/>
  <c r="AO503" i="15" s="1"/>
  <c r="AE491" i="15"/>
  <c r="AC491" i="15" s="1"/>
  <c r="K140" i="7"/>
  <c r="O401" i="15" s="1"/>
  <c r="W401" i="15" s="1"/>
  <c r="I381" i="15"/>
  <c r="AN381" i="15" s="1"/>
  <c r="K59" i="7"/>
  <c r="O381" i="15" s="1"/>
  <c r="W381" i="15" s="1"/>
  <c r="I418" i="15"/>
  <c r="AN418" i="15" s="1"/>
  <c r="AO418" i="15" s="1"/>
  <c r="K135" i="7"/>
  <c r="O396" i="15" s="1"/>
  <c r="W396" i="15" s="1"/>
  <c r="AE488" i="15"/>
  <c r="AC488" i="15" s="1"/>
  <c r="AB435" i="15"/>
  <c r="BB702" i="7"/>
  <c r="AA455" i="15" s="1"/>
  <c r="AG440" i="15"/>
  <c r="AD440" i="15" s="1"/>
  <c r="O449" i="15"/>
  <c r="AO449" i="15" s="1"/>
  <c r="I474" i="15"/>
  <c r="AN474" i="15" s="1"/>
  <c r="I892" i="7"/>
  <c r="O474" i="15" s="1"/>
  <c r="V474" i="15" s="1"/>
  <c r="BB13" i="7"/>
  <c r="AA372" i="15" s="1"/>
  <c r="BB684" i="7"/>
  <c r="AA446" i="15" s="1"/>
  <c r="I14" i="7"/>
  <c r="Q373" i="15" s="1"/>
  <c r="O373" i="15" s="1"/>
  <c r="BB930" i="7"/>
  <c r="AA480" i="15" s="1"/>
  <c r="AE386" i="15"/>
  <c r="AC386" i="15" s="1"/>
  <c r="K131" i="7"/>
  <c r="O392" i="15" s="1"/>
  <c r="W392" i="15" s="1"/>
  <c r="O453" i="15"/>
  <c r="AO453" i="15" s="1"/>
  <c r="O448" i="15"/>
  <c r="AO448" i="15" s="1"/>
  <c r="O451" i="15"/>
  <c r="AE462" i="15"/>
  <c r="AC462" i="15" s="1"/>
  <c r="AE461" i="15"/>
  <c r="AC461" i="15" s="1"/>
  <c r="I384" i="15"/>
  <c r="AN384" i="15" s="1"/>
  <c r="AO384" i="15" s="1"/>
  <c r="BB62" i="7"/>
  <c r="AA384" i="15" s="1"/>
  <c r="BB845" i="7"/>
  <c r="AA467" i="15" s="1"/>
  <c r="AF455" i="15"/>
  <c r="AC455" i="15" s="1"/>
  <c r="BB936" i="7"/>
  <c r="AA483" i="15" s="1"/>
  <c r="I397" i="15"/>
  <c r="AN397" i="15" s="1"/>
  <c r="AO397" i="15" s="1"/>
  <c r="AC483" i="15"/>
  <c r="I408" i="15"/>
  <c r="AN408" i="15" s="1"/>
  <c r="AO408" i="15" s="1"/>
  <c r="I440" i="15"/>
  <c r="AN440" i="15" s="1"/>
  <c r="I387" i="15"/>
  <c r="AN387" i="15" s="1"/>
  <c r="AO387" i="15" s="1"/>
  <c r="I388" i="15"/>
  <c r="AN388" i="15" s="1"/>
  <c r="AO388" i="15" s="1"/>
  <c r="BB59" i="7"/>
  <c r="AA381" i="15" s="1"/>
  <c r="F523" i="7"/>
  <c r="M1144" i="7"/>
  <c r="O505" i="15" s="1"/>
  <c r="W505" i="15" s="1"/>
  <c r="AB512" i="15"/>
  <c r="AB511" i="15"/>
  <c r="AB508" i="15"/>
  <c r="BB1143" i="7"/>
  <c r="AA504" i="15" s="1"/>
  <c r="BB1145" i="7"/>
  <c r="AA506" i="15" s="1"/>
  <c r="AB506" i="15"/>
  <c r="I512" i="15"/>
  <c r="AN512" i="15" s="1"/>
  <c r="BB1148" i="7"/>
  <c r="AA509" i="15" s="1"/>
  <c r="AB509" i="15"/>
  <c r="M1147" i="7"/>
  <c r="O508" i="15" s="1"/>
  <c r="W508" i="15" s="1"/>
  <c r="AB513" i="15"/>
  <c r="AN222" i="15"/>
  <c r="I326" i="15"/>
  <c r="I173" i="15"/>
  <c r="J760" i="6"/>
  <c r="K164" i="6" s="1"/>
  <c r="P290" i="15"/>
  <c r="W290" i="15" s="1"/>
  <c r="I240" i="15"/>
  <c r="I330" i="15"/>
  <c r="J300" i="15"/>
  <c r="I302" i="15"/>
  <c r="AO135" i="15"/>
  <c r="Z119" i="15"/>
  <c r="Z171" i="15"/>
  <c r="O324" i="15"/>
  <c r="AO324" i="15" s="1"/>
  <c r="AG311" i="15"/>
  <c r="AB118" i="15"/>
  <c r="AN260" i="15"/>
  <c r="AO260" i="15" s="1"/>
  <c r="W154" i="15"/>
  <c r="AB111" i="15"/>
  <c r="L180" i="15"/>
  <c r="Q215" i="6"/>
  <c r="I823" i="6"/>
  <c r="R180" i="15" s="1"/>
  <c r="K287" i="15"/>
  <c r="AN287" i="15" s="1"/>
  <c r="AG303" i="15"/>
  <c r="M303" i="15"/>
  <c r="J303" i="15" s="1"/>
  <c r="X179" i="15"/>
  <c r="Z179" i="15" s="1"/>
  <c r="BC821" i="6"/>
  <c r="X217" i="15"/>
  <c r="Z217" i="15" s="1"/>
  <c r="BC1574" i="6"/>
  <c r="BD1574" i="6" s="1"/>
  <c r="X219" i="15"/>
  <c r="Z219" i="15" s="1"/>
  <c r="AN248" i="15"/>
  <c r="AO111" i="15"/>
  <c r="AO134" i="15"/>
  <c r="AO201" i="15"/>
  <c r="Z114" i="15"/>
  <c r="M235" i="15"/>
  <c r="J235" i="15" s="1"/>
  <c r="M287" i="15"/>
  <c r="J287" i="15" s="1"/>
  <c r="L217" i="15"/>
  <c r="K263" i="15"/>
  <c r="I263" i="15" s="1"/>
  <c r="X255" i="15"/>
  <c r="Z255" i="15" s="1"/>
  <c r="Y323" i="15"/>
  <c r="Z323" i="15" s="1"/>
  <c r="BC1898" i="6"/>
  <c r="BD1898" i="6" s="1"/>
  <c r="K229" i="15"/>
  <c r="I229" i="15" s="1"/>
  <c r="K4438" i="6"/>
  <c r="X4438" i="6"/>
  <c r="K4200" i="6"/>
  <c r="X4280" i="6"/>
  <c r="R1949" i="6"/>
  <c r="K4218" i="6" s="1"/>
  <c r="K1688" i="6" s="1"/>
  <c r="K4280" i="6"/>
  <c r="X4200" i="6"/>
  <c r="Q1948" i="6"/>
  <c r="K4196" i="6"/>
  <c r="X4196" i="6"/>
  <c r="Y299" i="15"/>
  <c r="Z299" i="15" s="1"/>
  <c r="AG299" i="15"/>
  <c r="AD299" i="15" s="1"/>
  <c r="W153" i="15"/>
  <c r="J218" i="15"/>
  <c r="J763" i="6"/>
  <c r="K167" i="6" s="1"/>
  <c r="AG269" i="15"/>
  <c r="Y269" i="15"/>
  <c r="Z269" i="15" s="1"/>
  <c r="X311" i="15"/>
  <c r="I212" i="15"/>
  <c r="J210" i="15"/>
  <c r="I242" i="15"/>
  <c r="I278" i="15"/>
  <c r="I230" i="15"/>
  <c r="O213" i="15"/>
  <c r="W213" i="15" s="1"/>
  <c r="O210" i="15"/>
  <c r="AO210" i="15" s="1"/>
  <c r="I252" i="15"/>
  <c r="AE230" i="15"/>
  <c r="AC230" i="15" s="1"/>
  <c r="P218" i="15"/>
  <c r="W218" i="15" s="1"/>
  <c r="O238" i="15"/>
  <c r="W238" i="15" s="1"/>
  <c r="AO306" i="15"/>
  <c r="O246" i="15"/>
  <c r="W246" i="15" s="1"/>
  <c r="I314" i="15"/>
  <c r="J280" i="15"/>
  <c r="BB1642" i="6"/>
  <c r="AA240" i="15" s="1"/>
  <c r="K204" i="15"/>
  <c r="AE204" i="15"/>
  <c r="AC204" i="15" s="1"/>
  <c r="I1536" i="6"/>
  <c r="S204" i="15" s="1"/>
  <c r="P204" i="15" s="1"/>
  <c r="W204" i="15" s="1"/>
  <c r="AG204" i="15"/>
  <c r="AD204" i="15" s="1"/>
  <c r="K215" i="15"/>
  <c r="Q215" i="15"/>
  <c r="O215" i="15" s="1"/>
  <c r="W215" i="15" s="1"/>
  <c r="AB223" i="15"/>
  <c r="Z137" i="15"/>
  <c r="J316" i="15"/>
  <c r="J292" i="15"/>
  <c r="J201" i="15"/>
  <c r="AN231" i="15"/>
  <c r="Z140" i="15"/>
  <c r="I258" i="15"/>
  <c r="O148" i="15"/>
  <c r="AO120" i="15"/>
  <c r="I332" i="15"/>
  <c r="AO258" i="15"/>
  <c r="I207" i="15"/>
  <c r="BB145" i="6"/>
  <c r="AA136" i="15" s="1"/>
  <c r="X745" i="6"/>
  <c r="I298" i="15"/>
  <c r="I268" i="15"/>
  <c r="J308" i="15"/>
  <c r="AO300" i="15"/>
  <c r="AO284" i="15"/>
  <c r="Y1178" i="6"/>
  <c r="Y1179" i="6" s="1"/>
  <c r="Y1293" i="6"/>
  <c r="I820" i="6"/>
  <c r="Q178" i="15" s="1"/>
  <c r="O178" i="15" s="1"/>
  <c r="I194" i="15"/>
  <c r="BB800" i="6"/>
  <c r="AA171" i="15" s="1"/>
  <c r="AB171" i="15"/>
  <c r="AB176" i="15"/>
  <c r="K818" i="6"/>
  <c r="BE818" i="6" s="1"/>
  <c r="X185" i="15"/>
  <c r="BC834" i="6"/>
  <c r="AO173" i="15"/>
  <c r="AO170" i="15"/>
  <c r="BB136" i="6"/>
  <c r="AA130" i="15" s="1"/>
  <c r="J768" i="6"/>
  <c r="K172" i="6" s="1"/>
  <c r="BE172" i="6" s="1"/>
  <c r="J767" i="6"/>
  <c r="K171" i="6" s="1"/>
  <c r="BE171" i="6" s="1"/>
  <c r="R216" i="6"/>
  <c r="J765" i="6"/>
  <c r="K169" i="6" s="1"/>
  <c r="BE169" i="6" s="1"/>
  <c r="J762" i="6"/>
  <c r="K166" i="6" s="1"/>
  <c r="BE166" i="6" s="1"/>
  <c r="AB147" i="15"/>
  <c r="BB162" i="6"/>
  <c r="AA147" i="15" s="1"/>
  <c r="AO138" i="15"/>
  <c r="W144" i="15"/>
  <c r="O142" i="15"/>
  <c r="AO142" i="15" s="1"/>
  <c r="W160" i="15"/>
  <c r="AB122" i="15"/>
  <c r="I309" i="15"/>
  <c r="I281" i="15"/>
  <c r="I316" i="15"/>
  <c r="J294" i="15"/>
  <c r="J258" i="15"/>
  <c r="I218" i="15"/>
  <c r="C1799" i="6"/>
  <c r="J2072" i="6"/>
  <c r="J2103" i="6"/>
  <c r="C1861" i="6"/>
  <c r="C1783" i="6"/>
  <c r="J2064" i="6"/>
  <c r="J314" i="15"/>
  <c r="I170" i="15"/>
  <c r="AE171" i="15"/>
  <c r="AC171" i="15" s="1"/>
  <c r="L231" i="15"/>
  <c r="I231" i="15" s="1"/>
  <c r="AE170" i="15"/>
  <c r="AC170" i="15" s="1"/>
  <c r="BB798" i="6"/>
  <c r="AA170" i="15" s="1"/>
  <c r="J204" i="15"/>
  <c r="I283" i="15"/>
  <c r="AN283" i="15"/>
  <c r="AO283" i="15" s="1"/>
  <c r="AF231" i="15"/>
  <c r="K315" i="15"/>
  <c r="C1585" i="6"/>
  <c r="J3729" i="6" s="1"/>
  <c r="J1965" i="6"/>
  <c r="C1899" i="6"/>
  <c r="J2122" i="6"/>
  <c r="K307" i="15"/>
  <c r="I307" i="15" s="1"/>
  <c r="AO128" i="15"/>
  <c r="AO200" i="15"/>
  <c r="O150" i="15"/>
  <c r="O159" i="15"/>
  <c r="I310" i="15"/>
  <c r="I216" i="15"/>
  <c r="I282" i="15"/>
  <c r="AN309" i="15"/>
  <c r="AB182" i="15"/>
  <c r="O147" i="15"/>
  <c r="W147" i="15"/>
  <c r="AN308" i="15"/>
  <c r="AO308" i="15" s="1"/>
  <c r="I308" i="15"/>
  <c r="C1629" i="6"/>
  <c r="J3773" i="6" s="1"/>
  <c r="J1987" i="6"/>
  <c r="C1577" i="6"/>
  <c r="J3721" i="6" s="1"/>
  <c r="J1961" i="6"/>
  <c r="AE173" i="15"/>
  <c r="AC173" i="15" s="1"/>
  <c r="BB808" i="6"/>
  <c r="AA173" i="15" s="1"/>
  <c r="W141" i="15"/>
  <c r="O141" i="15"/>
  <c r="AO141" i="15" s="1"/>
  <c r="BB154" i="6"/>
  <c r="AA142" i="15" s="1"/>
  <c r="AE142" i="15"/>
  <c r="AC142" i="15" s="1"/>
  <c r="O130" i="15"/>
  <c r="AO130" i="15" s="1"/>
  <c r="W130" i="15"/>
  <c r="BB127" i="6"/>
  <c r="AA124" i="15" s="1"/>
  <c r="AE124" i="15"/>
  <c r="AC124" i="15" s="1"/>
  <c r="BB1429" i="6"/>
  <c r="AA202" i="15" s="1"/>
  <c r="K182" i="15"/>
  <c r="I826" i="6"/>
  <c r="Q182" i="15" s="1"/>
  <c r="J2096" i="6"/>
  <c r="C1847" i="6"/>
  <c r="J1977" i="6"/>
  <c r="C1609" i="6"/>
  <c r="J3753" i="6" s="1"/>
  <c r="AE141" i="15"/>
  <c r="AC141" i="15" s="1"/>
  <c r="BB153" i="6"/>
  <c r="AA141" i="15" s="1"/>
  <c r="C1815" i="6"/>
  <c r="AN213" i="15"/>
  <c r="AO266" i="15"/>
  <c r="I280" i="15"/>
  <c r="AN316" i="15"/>
  <c r="AO316" i="15" s="1"/>
  <c r="O124" i="15"/>
  <c r="AO124" i="15" s="1"/>
  <c r="C1831" i="6"/>
  <c r="J2088" i="6"/>
  <c r="C1713" i="6"/>
  <c r="J2029" i="6"/>
  <c r="C1767" i="6"/>
  <c r="J2056" i="6"/>
  <c r="I175" i="15"/>
  <c r="I171" i="15"/>
  <c r="J1181" i="6"/>
  <c r="K578" i="15"/>
  <c r="I578" i="15" s="1"/>
  <c r="AN578" i="15" s="1"/>
  <c r="K581" i="15"/>
  <c r="I581" i="15" s="1"/>
  <c r="AN581" i="15" s="1"/>
  <c r="K580" i="15"/>
  <c r="I580" i="15" s="1"/>
  <c r="AN580" i="15" s="1"/>
  <c r="I12" i="9"/>
  <c r="Q580" i="15" s="1"/>
  <c r="I10" i="9"/>
  <c r="Q578" i="15" s="1"/>
  <c r="AO105" i="15"/>
  <c r="AE96" i="15"/>
  <c r="AC96" i="15" s="1"/>
  <c r="I315" i="2"/>
  <c r="O719" i="15" s="1"/>
  <c r="V719" i="15" s="1"/>
  <c r="U719" i="15" s="1"/>
  <c r="AE715" i="15"/>
  <c r="AC715" i="15" s="1"/>
  <c r="DG554" i="2"/>
  <c r="AA762" i="15" s="1"/>
  <c r="AE719" i="15"/>
  <c r="AC719" i="15" s="1"/>
  <c r="F8" i="6"/>
  <c r="AO59" i="15"/>
  <c r="I510" i="9"/>
  <c r="O626" i="15" s="1"/>
  <c r="V626" i="15" s="1"/>
  <c r="BB510" i="9"/>
  <c r="AA626" i="15" s="1"/>
  <c r="I511" i="9"/>
  <c r="O627" i="15" s="1"/>
  <c r="V627" i="15" s="1"/>
  <c r="AE630" i="15"/>
  <c r="AC630" i="15" s="1"/>
  <c r="AE633" i="15"/>
  <c r="AC633" i="15" s="1"/>
  <c r="I626" i="15"/>
  <c r="AN626" i="15" s="1"/>
  <c r="K75" i="9"/>
  <c r="O588" i="15" s="1"/>
  <c r="W588" i="15" s="1"/>
  <c r="K83" i="9"/>
  <c r="O596" i="15" s="1"/>
  <c r="W596" i="15" s="1"/>
  <c r="AE596" i="15"/>
  <c r="AC596" i="15" s="1"/>
  <c r="K77" i="9"/>
  <c r="O590" i="15" s="1"/>
  <c r="W590" i="15" s="1"/>
  <c r="I596" i="15"/>
  <c r="AN596" i="15" s="1"/>
  <c r="I627" i="15"/>
  <c r="AN627" i="15" s="1"/>
  <c r="K82" i="9"/>
  <c r="O595" i="15" s="1"/>
  <c r="W595" i="15" s="1"/>
  <c r="AE587" i="15"/>
  <c r="AC587" i="15" s="1"/>
  <c r="I587" i="15"/>
  <c r="AN587" i="15" s="1"/>
  <c r="I513" i="9"/>
  <c r="O629" i="15" s="1"/>
  <c r="V629" i="15" s="1"/>
  <c r="I633" i="15"/>
  <c r="AN633" i="15" s="1"/>
  <c r="AO633" i="15" s="1"/>
  <c r="I630" i="15"/>
  <c r="AN630" i="15" s="1"/>
  <c r="I514" i="9"/>
  <c r="O630" i="15" s="1"/>
  <c r="V630" i="15" s="1"/>
  <c r="I628" i="15"/>
  <c r="AN628" i="15" s="1"/>
  <c r="AO628" i="15" s="1"/>
  <c r="K74" i="9"/>
  <c r="O587" i="15" s="1"/>
  <c r="W587" i="15" s="1"/>
  <c r="AE602" i="15"/>
  <c r="AC602" i="15" s="1"/>
  <c r="BB277" i="9"/>
  <c r="AA602" i="15" s="1"/>
  <c r="AE601" i="15"/>
  <c r="AC601" i="15" s="1"/>
  <c r="BB276" i="9"/>
  <c r="AA601" i="15" s="1"/>
  <c r="K80" i="9"/>
  <c r="O593" i="15" s="1"/>
  <c r="W593" i="15" s="1"/>
  <c r="I593" i="15"/>
  <c r="AN593" i="15" s="1"/>
  <c r="K79" i="9"/>
  <c r="O592" i="15" s="1"/>
  <c r="W592" i="15" s="1"/>
  <c r="I592" i="15"/>
  <c r="AN592" i="15" s="1"/>
  <c r="K78" i="9"/>
  <c r="O591" i="15" s="1"/>
  <c r="W591" i="15" s="1"/>
  <c r="K76" i="9"/>
  <c r="O589" i="15" s="1"/>
  <c r="W589" i="15" s="1"/>
  <c r="I595" i="15"/>
  <c r="AN595" i="15" s="1"/>
  <c r="K81" i="9"/>
  <c r="O594" i="15" s="1"/>
  <c r="W594" i="15" s="1"/>
  <c r="I594" i="15"/>
  <c r="AN594" i="15" s="1"/>
  <c r="K144" i="7"/>
  <c r="O405" i="15" s="1"/>
  <c r="W405" i="15" s="1"/>
  <c r="AG442" i="15"/>
  <c r="AD442" i="15" s="1"/>
  <c r="I405" i="15"/>
  <c r="AN405" i="15" s="1"/>
  <c r="AE405" i="15"/>
  <c r="AC405" i="15" s="1"/>
  <c r="BB154" i="7"/>
  <c r="AA415" i="15" s="1"/>
  <c r="I393" i="15"/>
  <c r="AN393" i="15" s="1"/>
  <c r="K143" i="7"/>
  <c r="O404" i="15" s="1"/>
  <c r="W404" i="15" s="1"/>
  <c r="K457" i="7"/>
  <c r="O425" i="15" s="1"/>
  <c r="W425" i="15" s="1"/>
  <c r="I407" i="15"/>
  <c r="AN407" i="15" s="1"/>
  <c r="AO407" i="15" s="1"/>
  <c r="BB604" i="7"/>
  <c r="AA438" i="15" s="1"/>
  <c r="AE409" i="15"/>
  <c r="AC409" i="15" s="1"/>
  <c r="I409" i="15"/>
  <c r="AN409" i="15" s="1"/>
  <c r="K153" i="7"/>
  <c r="O414" i="15" s="1"/>
  <c r="W414" i="15" s="1"/>
  <c r="I414" i="15"/>
  <c r="AN414" i="15" s="1"/>
  <c r="K154" i="7"/>
  <c r="O415" i="15" s="1"/>
  <c r="W415" i="15" s="1"/>
  <c r="M1151" i="7"/>
  <c r="O512" i="15" s="1"/>
  <c r="W512" i="15" s="1"/>
  <c r="I415" i="15"/>
  <c r="AN415" i="15" s="1"/>
  <c r="I395" i="15"/>
  <c r="AN395" i="15" s="1"/>
  <c r="AO395" i="15" s="1"/>
  <c r="I398" i="15"/>
  <c r="AN398" i="15" s="1"/>
  <c r="AO398" i="15" s="1"/>
  <c r="AE441" i="15"/>
  <c r="AC441" i="15" s="1"/>
  <c r="AE398" i="15"/>
  <c r="AC398" i="15" s="1"/>
  <c r="K67" i="7"/>
  <c r="O389" i="15" s="1"/>
  <c r="W389" i="15" s="1"/>
  <c r="I385" i="15"/>
  <c r="AN385" i="15" s="1"/>
  <c r="I399" i="15"/>
  <c r="AN399" i="15" s="1"/>
  <c r="AO399" i="15" s="1"/>
  <c r="I410" i="15"/>
  <c r="AN410" i="15" s="1"/>
  <c r="AE508" i="15"/>
  <c r="AC508" i="15" s="1"/>
  <c r="BB149" i="7"/>
  <c r="AA410" i="15" s="1"/>
  <c r="BB568" i="7"/>
  <c r="AA435" i="15" s="1"/>
  <c r="I504" i="15"/>
  <c r="AN504" i="15" s="1"/>
  <c r="I402" i="15"/>
  <c r="AN402" i="15" s="1"/>
  <c r="AO402" i="15" s="1"/>
  <c r="I400" i="15"/>
  <c r="AN400" i="15" s="1"/>
  <c r="AO400" i="15" s="1"/>
  <c r="BB142" i="7"/>
  <c r="AA403" i="15" s="1"/>
  <c r="I412" i="15"/>
  <c r="AN412" i="15" s="1"/>
  <c r="K63" i="7"/>
  <c r="O385" i="15" s="1"/>
  <c r="W385" i="15" s="1"/>
  <c r="M1143" i="7"/>
  <c r="O504" i="15" s="1"/>
  <c r="W504" i="15" s="1"/>
  <c r="AE411" i="15"/>
  <c r="AC411" i="15" s="1"/>
  <c r="BB11" i="7"/>
  <c r="AA370" i="15" s="1"/>
  <c r="W400" i="15"/>
  <c r="AE512" i="15"/>
  <c r="AC512" i="15" s="1"/>
  <c r="K151" i="7"/>
  <c r="O412" i="15" s="1"/>
  <c r="I419" i="15"/>
  <c r="AN419" i="15" s="1"/>
  <c r="AO419" i="15" s="1"/>
  <c r="I411" i="15"/>
  <c r="AN411" i="15" s="1"/>
  <c r="AE509" i="15"/>
  <c r="AC509" i="15" s="1"/>
  <c r="I390" i="15"/>
  <c r="AN390" i="15" s="1"/>
  <c r="AO390" i="15" s="1"/>
  <c r="K152" i="7"/>
  <c r="O413" i="15" s="1"/>
  <c r="W413" i="15" s="1"/>
  <c r="I413" i="15"/>
  <c r="AN413" i="15" s="1"/>
  <c r="BB7" i="7"/>
  <c r="AA366" i="15" s="1"/>
  <c r="AE366" i="15"/>
  <c r="AC366" i="15" s="1"/>
  <c r="AE525" i="15"/>
  <c r="AC525" i="15" s="1"/>
  <c r="AA525" i="15"/>
  <c r="I508" i="15"/>
  <c r="AN508" i="15" s="1"/>
  <c r="I416" i="15"/>
  <c r="AN416" i="15" s="1"/>
  <c r="K155" i="7"/>
  <c r="O416" i="15" s="1"/>
  <c r="W416" i="15" s="1"/>
  <c r="BB1144" i="7"/>
  <c r="AA505" i="15" s="1"/>
  <c r="I505" i="15"/>
  <c r="AN505" i="15" s="1"/>
  <c r="AE502" i="15"/>
  <c r="AC502" i="15" s="1"/>
  <c r="AE429" i="15"/>
  <c r="AC429" i="15" s="1"/>
  <c r="AB116" i="15"/>
  <c r="I44" i="6"/>
  <c r="I9" i="6"/>
  <c r="AB121" i="15"/>
  <c r="AB134" i="15"/>
  <c r="BB142" i="6"/>
  <c r="AA134" i="15" s="1"/>
  <c r="O9" i="6"/>
  <c r="BE9" i="6" s="1"/>
  <c r="AB140" i="15"/>
  <c r="O15" i="6"/>
  <c r="BE15" i="6" s="1"/>
  <c r="J9" i="6"/>
  <c r="AB112" i="15"/>
  <c r="AB131" i="15"/>
  <c r="AB133" i="15"/>
  <c r="AB139" i="15"/>
  <c r="X736" i="6"/>
  <c r="X733" i="6"/>
  <c r="AB125" i="15"/>
  <c r="AB127" i="15"/>
  <c r="AB115" i="15"/>
  <c r="X718" i="6"/>
  <c r="X715" i="6"/>
  <c r="AB128" i="15"/>
  <c r="BB133" i="6"/>
  <c r="AA128" i="15" s="1"/>
  <c r="O11" i="6"/>
  <c r="BE11" i="6" s="1"/>
  <c r="W120" i="15"/>
  <c r="AO132" i="15"/>
  <c r="AO171" i="15"/>
  <c r="I59" i="6"/>
  <c r="AE595" i="15"/>
  <c r="AC595" i="15" s="1"/>
  <c r="I262" i="5"/>
  <c r="O98" i="15" s="1"/>
  <c r="V98" i="15" s="1"/>
  <c r="AO102" i="15"/>
  <c r="AE102" i="15"/>
  <c r="AC102" i="15" s="1"/>
  <c r="BB211" i="5"/>
  <c r="AA94" i="15" s="1"/>
  <c r="J211" i="5"/>
  <c r="O94" i="15" s="1"/>
  <c r="V94" i="15" s="1"/>
  <c r="AO106" i="15"/>
  <c r="AO79" i="15"/>
  <c r="AO77" i="15"/>
  <c r="AE74" i="15"/>
  <c r="AC74" i="15" s="1"/>
  <c r="BB53" i="5"/>
  <c r="AA79" i="15" s="1"/>
  <c r="AO74" i="15"/>
  <c r="BB47" i="5"/>
  <c r="AA73" i="15" s="1"/>
  <c r="AE78" i="15"/>
  <c r="AC78" i="15" s="1"/>
  <c r="AO103" i="15"/>
  <c r="AO78" i="15"/>
  <c r="AO100" i="15"/>
  <c r="AA103" i="15"/>
  <c r="AA105" i="15"/>
  <c r="AA106" i="15"/>
  <c r="AO88" i="15"/>
  <c r="AO84" i="15"/>
  <c r="BB46" i="5"/>
  <c r="AA72" i="15" s="1"/>
  <c r="AO73" i="15"/>
  <c r="AO90" i="15"/>
  <c r="AO71" i="15"/>
  <c r="AO86" i="15"/>
  <c r="BB107" i="5"/>
  <c r="AA86" i="15" s="1"/>
  <c r="AE90" i="15"/>
  <c r="AC90" i="15" s="1"/>
  <c r="BB159" i="5"/>
  <c r="AA90" i="15" s="1"/>
  <c r="AO72" i="15"/>
  <c r="AO67" i="15"/>
  <c r="K10" i="5"/>
  <c r="O70" i="15" s="1"/>
  <c r="V70" i="15" s="1"/>
  <c r="I70" i="15"/>
  <c r="AN70" i="15" s="1"/>
  <c r="AO44" i="15"/>
  <c r="AE42" i="15"/>
  <c r="O47" i="15"/>
  <c r="AO47" i="15" s="1"/>
  <c r="L44" i="15"/>
  <c r="I44" i="15" s="1"/>
  <c r="I74" i="16"/>
  <c r="AF44" i="15"/>
  <c r="AC44" i="15" s="1"/>
  <c r="BB73" i="16"/>
  <c r="AA44" i="15" s="1"/>
  <c r="I58" i="16"/>
  <c r="AE629" i="15"/>
  <c r="AC629" i="15" s="1"/>
  <c r="I632" i="15"/>
  <c r="AN632" i="15" s="1"/>
  <c r="AO632" i="15" s="1"/>
  <c r="V45" i="15"/>
  <c r="I629" i="15"/>
  <c r="AN629" i="15" s="1"/>
  <c r="BB516" i="9"/>
  <c r="AA632" i="15" s="1"/>
  <c r="AO45" i="15"/>
  <c r="AN41" i="15"/>
  <c r="AO41" i="15" s="1"/>
  <c r="O38" i="15"/>
  <c r="AO38" i="15" s="1"/>
  <c r="AO48" i="15"/>
  <c r="BB280" i="16"/>
  <c r="AA62" i="15" s="1"/>
  <c r="V43" i="15"/>
  <c r="AN43" i="15"/>
  <c r="AO43" i="15" s="1"/>
  <c r="V46" i="15"/>
  <c r="AF47" i="15"/>
  <c r="AC47" i="15" s="1"/>
  <c r="BB79" i="16"/>
  <c r="AA47" i="15" s="1"/>
  <c r="I1276" i="7"/>
  <c r="AO54" i="15"/>
  <c r="I35" i="15"/>
  <c r="AN35" i="15" s="1"/>
  <c r="AO35" i="15" s="1"/>
  <c r="AO57" i="15"/>
  <c r="L47" i="15"/>
  <c r="I47" i="15" s="1"/>
  <c r="I80" i="16"/>
  <c r="AE49" i="15"/>
  <c r="AC49" i="15" s="1"/>
  <c r="BB173" i="16"/>
  <c r="AA49" i="15" s="1"/>
  <c r="G21" i="3"/>
  <c r="O23" i="15" s="1"/>
  <c r="W23" i="15" s="1"/>
  <c r="AO25" i="15"/>
  <c r="AO15" i="15"/>
  <c r="I31" i="15"/>
  <c r="AN31" i="15" s="1"/>
  <c r="AO31" i="15" s="1"/>
  <c r="I29" i="15"/>
  <c r="AN29" i="15" s="1"/>
  <c r="G27" i="3"/>
  <c r="O29" i="15" s="1"/>
  <c r="W29" i="15" s="1"/>
  <c r="I24" i="15"/>
  <c r="AN24" i="15" s="1"/>
  <c r="G22" i="3"/>
  <c r="O24" i="15" s="1"/>
  <c r="W24" i="15" s="1"/>
  <c r="G8" i="3"/>
  <c r="O10" i="15" s="1"/>
  <c r="W10" i="15" s="1"/>
  <c r="I10" i="15"/>
  <c r="AN10" i="15" s="1"/>
  <c r="I791" i="15"/>
  <c r="AN791" i="15" s="1"/>
  <c r="DG524" i="2"/>
  <c r="AA751" i="15" s="1"/>
  <c r="DG479" i="2"/>
  <c r="AA741" i="15" s="1"/>
  <c r="DG503" i="2"/>
  <c r="AA749" i="15" s="1"/>
  <c r="AE736" i="15"/>
  <c r="AC736" i="15" s="1"/>
  <c r="DG424" i="2"/>
  <c r="AA736" i="15" s="1"/>
  <c r="I220" i="2"/>
  <c r="O705" i="15" s="1"/>
  <c r="W705" i="15" s="1"/>
  <c r="V705" i="15" s="1"/>
  <c r="U705" i="15" s="1"/>
  <c r="AE718" i="15"/>
  <c r="AC718" i="15" s="1"/>
  <c r="DG244" i="2"/>
  <c r="AA710" i="15" s="1"/>
  <c r="DG347" i="2"/>
  <c r="AA721" i="15" s="1"/>
  <c r="DG775" i="2"/>
  <c r="DG168" i="2"/>
  <c r="AA698" i="15" s="1"/>
  <c r="DG444" i="2"/>
  <c r="AA737" i="15" s="1"/>
  <c r="DG776" i="2"/>
  <c r="Q737" i="15"/>
  <c r="O737" i="15" s="1"/>
  <c r="W737" i="15" s="1"/>
  <c r="V737" i="15" s="1"/>
  <c r="U737" i="15" s="1"/>
  <c r="DG481" i="2"/>
  <c r="AA743" i="15" s="1"/>
  <c r="DG154" i="2"/>
  <c r="AA684" i="15" s="1"/>
  <c r="DG526" i="2"/>
  <c r="AA753" i="15" s="1"/>
  <c r="DG551" i="2"/>
  <c r="AA759" i="15" s="1"/>
  <c r="DG743" i="2"/>
  <c r="AA783" i="15" s="1"/>
  <c r="DG170" i="2"/>
  <c r="AA700" i="15" s="1"/>
  <c r="V664" i="15"/>
  <c r="U664" i="15" s="1"/>
  <c r="V661" i="15"/>
  <c r="U661" i="15" s="1"/>
  <c r="DG400" i="2"/>
  <c r="AA729" i="15" s="1"/>
  <c r="DG397" i="2"/>
  <c r="AA726" i="15" s="1"/>
  <c r="DG552" i="2"/>
  <c r="AA760" i="15" s="1"/>
  <c r="W759" i="15"/>
  <c r="V759" i="15" s="1"/>
  <c r="U759" i="15" s="1"/>
  <c r="AA732" i="15"/>
  <c r="DG660" i="2"/>
  <c r="V687" i="15"/>
  <c r="U687" i="15" s="1"/>
  <c r="DG550" i="2"/>
  <c r="AA758" i="15" s="1"/>
  <c r="DG398" i="2"/>
  <c r="AA727" i="15" s="1"/>
  <c r="DG243" i="2"/>
  <c r="AA709" i="15" s="1"/>
  <c r="DG24" i="2"/>
  <c r="AA661" i="15" s="1"/>
  <c r="AE48" i="15"/>
  <c r="AC48" i="15" s="1"/>
  <c r="BB172" i="16"/>
  <c r="AA48" i="15" s="1"/>
  <c r="BB512" i="9"/>
  <c r="AA628" i="15" s="1"/>
  <c r="AE628" i="15"/>
  <c r="AC628" i="15" s="1"/>
  <c r="F358" i="9"/>
  <c r="AB608" i="15"/>
  <c r="W358" i="9"/>
  <c r="BB283" i="9"/>
  <c r="AA608" i="15" s="1"/>
  <c r="AE39" i="15"/>
  <c r="AC39" i="15" s="1"/>
  <c r="BB63" i="16"/>
  <c r="AA39" i="15" s="1"/>
  <c r="BB160" i="6"/>
  <c r="AA146" i="15" s="1"/>
  <c r="AB146" i="15"/>
  <c r="F1403" i="6"/>
  <c r="F1397" i="6"/>
  <c r="F1409" i="6"/>
  <c r="F1385" i="6"/>
  <c r="F1373" i="6"/>
  <c r="F1391" i="6"/>
  <c r="F1367" i="6"/>
  <c r="F1361" i="6"/>
  <c r="F1415" i="6"/>
  <c r="F1379" i="6"/>
  <c r="AG128" i="15"/>
  <c r="AD128" i="15" s="1"/>
  <c r="AE437" i="15"/>
  <c r="AC437" i="15" s="1"/>
  <c r="AE523" i="15"/>
  <c r="AC523" i="15" s="1"/>
  <c r="AA523" i="15"/>
  <c r="I507" i="15"/>
  <c r="AN507" i="15" s="1"/>
  <c r="AE639" i="15"/>
  <c r="AC639" i="15" s="1"/>
  <c r="BB8" i="10"/>
  <c r="AA639" i="15" s="1"/>
  <c r="BB307" i="16"/>
  <c r="AA63" i="15" s="1"/>
  <c r="AE63" i="15"/>
  <c r="AC63" i="15" s="1"/>
  <c r="X177" i="15"/>
  <c r="Z177" i="15" s="1"/>
  <c r="BC818" i="6"/>
  <c r="J209" i="5"/>
  <c r="O92" i="15" s="1"/>
  <c r="V92" i="15" s="1"/>
  <c r="I92" i="15"/>
  <c r="AN92" i="15" s="1"/>
  <c r="M1146" i="7"/>
  <c r="O507" i="15" s="1"/>
  <c r="W507" i="15" s="1"/>
  <c r="AG152" i="15"/>
  <c r="AD152" i="15" s="1"/>
  <c r="I394" i="15"/>
  <c r="AN394" i="15" s="1"/>
  <c r="K133" i="7"/>
  <c r="O394" i="15" s="1"/>
  <c r="W394" i="15" s="1"/>
  <c r="DG641" i="2"/>
  <c r="AA774" i="15" s="1"/>
  <c r="AE36" i="15"/>
  <c r="DG555" i="2"/>
  <c r="AA763" i="15" s="1"/>
  <c r="AB145" i="15"/>
  <c r="BB158" i="6"/>
  <c r="AA145" i="15" s="1"/>
  <c r="AE165" i="15"/>
  <c r="AC165" i="15" s="1"/>
  <c r="AE148" i="15"/>
  <c r="AC148" i="15" s="1"/>
  <c r="BB226" i="16"/>
  <c r="AA57" i="15" s="1"/>
  <c r="AE57" i="15"/>
  <c r="AC57" i="15" s="1"/>
  <c r="AE45" i="15"/>
  <c r="K299" i="15"/>
  <c r="AE175" i="15"/>
  <c r="AC175" i="15" s="1"/>
  <c r="BB151" i="6"/>
  <c r="AA140" i="15" s="1"/>
  <c r="AE140" i="15"/>
  <c r="AC140" i="15" s="1"/>
  <c r="X227" i="15"/>
  <c r="Z227" i="15" s="1"/>
  <c r="AE176" i="15"/>
  <c r="AC176" i="15" s="1"/>
  <c r="I94" i="15"/>
  <c r="AN94" i="15" s="1"/>
  <c r="I20" i="15"/>
  <c r="AN20" i="15" s="1"/>
  <c r="G18" i="3"/>
  <c r="O20" i="15" s="1"/>
  <c r="W20" i="15" s="1"/>
  <c r="AE612" i="15"/>
  <c r="AC612" i="15" s="1"/>
  <c r="AA612" i="15"/>
  <c r="I219" i="2"/>
  <c r="O704" i="15" s="1"/>
  <c r="W704" i="15" s="1"/>
  <c r="V704" i="15" s="1"/>
  <c r="U704" i="15" s="1"/>
  <c r="DG525" i="2"/>
  <c r="AA752" i="15" s="1"/>
  <c r="V755" i="15"/>
  <c r="U755" i="15" s="1"/>
  <c r="V691" i="15"/>
  <c r="U691" i="15" s="1"/>
  <c r="DG480" i="2"/>
  <c r="AA742" i="15" s="1"/>
  <c r="AE157" i="15"/>
  <c r="AC157" i="15" s="1"/>
  <c r="AE166" i="15"/>
  <c r="AC166" i="15" s="1"/>
  <c r="AF41" i="15"/>
  <c r="AC41" i="15" s="1"/>
  <c r="BB67" i="16"/>
  <c r="AA41" i="15" s="1"/>
  <c r="AB422" i="15"/>
  <c r="BB105" i="5"/>
  <c r="AA84" i="15" s="1"/>
  <c r="AE84" i="15"/>
  <c r="AC84" i="15" s="1"/>
  <c r="AE154" i="15"/>
  <c r="AC154" i="15" s="1"/>
  <c r="AE406" i="15"/>
  <c r="AC406" i="15" s="1"/>
  <c r="BB145" i="7"/>
  <c r="AA406" i="15" s="1"/>
  <c r="AN209" i="15"/>
  <c r="I209" i="15"/>
  <c r="AG210" i="15"/>
  <c r="AD210" i="15" s="1"/>
  <c r="BB77" i="9"/>
  <c r="AA590" i="15" s="1"/>
  <c r="AE590" i="15"/>
  <c r="AC590" i="15" s="1"/>
  <c r="AE158" i="15"/>
  <c r="AC158" i="15" s="1"/>
  <c r="BB163" i="6"/>
  <c r="AA148" i="15" s="1"/>
  <c r="AB148" i="15"/>
  <c r="DG166" i="2"/>
  <c r="AA696" i="15" s="1"/>
  <c r="DG399" i="2"/>
  <c r="AA728" i="15" s="1"/>
  <c r="DG200" i="2"/>
  <c r="AA703" i="15" s="1"/>
  <c r="V44" i="15"/>
  <c r="AO272" i="15"/>
  <c r="V693" i="15"/>
  <c r="U693" i="15" s="1"/>
  <c r="AE164" i="15"/>
  <c r="AC164" i="15" s="1"/>
  <c r="AE159" i="15"/>
  <c r="AC159" i="15" s="1"/>
  <c r="AE638" i="15"/>
  <c r="AC638" i="15" s="1"/>
  <c r="BB7" i="10"/>
  <c r="AA638" i="15" s="1"/>
  <c r="AE46" i="15"/>
  <c r="AB425" i="15"/>
  <c r="AE121" i="15"/>
  <c r="AC121" i="15" s="1"/>
  <c r="I822" i="6"/>
  <c r="Q180" i="15" s="1"/>
  <c r="K180" i="15"/>
  <c r="AF323" i="15"/>
  <c r="F356" i="9"/>
  <c r="AB606" i="15"/>
  <c r="W356" i="9"/>
  <c r="BB281" i="9"/>
  <c r="AA606" i="15" s="1"/>
  <c r="DG165" i="2"/>
  <c r="AA695" i="15" s="1"/>
  <c r="AE144" i="15"/>
  <c r="AC144" i="15" s="1"/>
  <c r="BB157" i="6"/>
  <c r="AA144" i="15" s="1"/>
  <c r="DG727" i="2"/>
  <c r="AA782" i="15" s="1"/>
  <c r="W166" i="15"/>
  <c r="O166" i="15"/>
  <c r="AG145" i="15"/>
  <c r="AD145" i="15" s="1"/>
  <c r="AN36" i="15"/>
  <c r="AB424" i="15"/>
  <c r="K130" i="7"/>
  <c r="O391" i="15" s="1"/>
  <c r="W391" i="15" s="1"/>
  <c r="I391" i="15"/>
  <c r="AN391" i="15" s="1"/>
  <c r="AE213" i="15"/>
  <c r="AC213" i="15" s="1"/>
  <c r="BB1564" i="6"/>
  <c r="AA213" i="15" s="1"/>
  <c r="AB180" i="15"/>
  <c r="K824" i="6"/>
  <c r="BE824" i="6" s="1"/>
  <c r="BB28" i="3"/>
  <c r="AA30" i="15" s="1"/>
  <c r="AE30" i="15"/>
  <c r="AC30" i="15" s="1"/>
  <c r="AE146" i="15"/>
  <c r="AC146" i="15" s="1"/>
  <c r="AE160" i="15"/>
  <c r="AC160" i="15" s="1"/>
  <c r="I26" i="15"/>
  <c r="AN26" i="15" s="1"/>
  <c r="G24" i="3"/>
  <c r="O26" i="15" s="1"/>
  <c r="W26" i="15" s="1"/>
  <c r="X181" i="15"/>
  <c r="Z181" i="15" s="1"/>
  <c r="BC824" i="6"/>
  <c r="AN62" i="15"/>
  <c r="AO62" i="15" s="1"/>
  <c r="AE714" i="15"/>
  <c r="AC714" i="15" s="1"/>
  <c r="DG575" i="2"/>
  <c r="AA764" i="15" s="1"/>
  <c r="DG171" i="2"/>
  <c r="AA701" i="15" s="1"/>
  <c r="AG155" i="15"/>
  <c r="AD155" i="15" s="1"/>
  <c r="L40" i="15"/>
  <c r="I40" i="15" s="1"/>
  <c r="I66" i="16"/>
  <c r="O36" i="15"/>
  <c r="V36" i="15"/>
  <c r="AB423" i="15"/>
  <c r="AB143" i="15"/>
  <c r="BB155" i="6"/>
  <c r="AA143" i="15" s="1"/>
  <c r="AE53" i="15"/>
  <c r="AC53" i="15" s="1"/>
  <c r="BB222" i="16"/>
  <c r="AA53" i="15" s="1"/>
  <c r="AE212" i="15"/>
  <c r="AC212" i="15" s="1"/>
  <c r="AG134" i="15"/>
  <c r="AD134" i="15" s="1"/>
  <c r="AE71" i="15"/>
  <c r="AC71" i="15" s="1"/>
  <c r="BB11" i="5"/>
  <c r="AA71" i="15" s="1"/>
  <c r="AE444" i="15"/>
  <c r="AC444" i="15" s="1"/>
  <c r="BB613" i="7"/>
  <c r="AA444" i="15" s="1"/>
  <c r="AE631" i="15"/>
  <c r="AC631" i="15" s="1"/>
  <c r="BB515" i="9"/>
  <c r="AA631" i="15" s="1"/>
  <c r="BB279" i="9"/>
  <c r="AA604" i="15" s="1"/>
  <c r="AB604" i="15"/>
  <c r="W354" i="9"/>
  <c r="F354" i="9"/>
  <c r="I706" i="15"/>
  <c r="AN706" i="15" s="1"/>
  <c r="AE706" i="15"/>
  <c r="AC706" i="15" s="1"/>
  <c r="I619" i="2"/>
  <c r="O773" i="15" s="1"/>
  <c r="V773" i="15" s="1"/>
  <c r="U773" i="15" s="1"/>
  <c r="I714" i="15"/>
  <c r="AN714" i="15" s="1"/>
  <c r="DG275" i="2"/>
  <c r="AA712" i="15" s="1"/>
  <c r="DG553" i="2"/>
  <c r="AA761" i="15" s="1"/>
  <c r="DG482" i="2"/>
  <c r="AA744" i="15" s="1"/>
  <c r="DG199" i="2"/>
  <c r="AA702" i="15" s="1"/>
  <c r="I291" i="2"/>
  <c r="O713" i="15" s="1"/>
  <c r="V713" i="15" s="1"/>
  <c r="U713" i="15" s="1"/>
  <c r="AE773" i="15"/>
  <c r="AC773" i="15" s="1"/>
  <c r="AE707" i="15"/>
  <c r="AC707" i="15" s="1"/>
  <c r="AE704" i="15"/>
  <c r="AC704" i="15" s="1"/>
  <c r="AE755" i="15"/>
  <c r="AC755" i="15" s="1"/>
  <c r="DG528" i="2"/>
  <c r="AA755" i="15" s="1"/>
  <c r="I707" i="15"/>
  <c r="AN707" i="15" s="1"/>
  <c r="DG642" i="2"/>
  <c r="DG333" i="2"/>
  <c r="AA720" i="15" s="1"/>
  <c r="DG162" i="2"/>
  <c r="AA692" i="15" s="1"/>
  <c r="DG167" i="2"/>
  <c r="AA697" i="15" s="1"/>
  <c r="DG261" i="2"/>
  <c r="AA711" i="15" s="1"/>
  <c r="V712" i="15"/>
  <c r="U712" i="15" s="1"/>
  <c r="V689" i="15"/>
  <c r="U689" i="15" s="1"/>
  <c r="V685" i="15"/>
  <c r="U685" i="15" s="1"/>
  <c r="DG169" i="2"/>
  <c r="AA699" i="15" s="1"/>
  <c r="W763" i="15"/>
  <c r="V763" i="15" s="1"/>
  <c r="U763" i="15" s="1"/>
  <c r="DG164" i="2"/>
  <c r="AA694" i="15" s="1"/>
  <c r="I221" i="2"/>
  <c r="O706" i="15" s="1"/>
  <c r="W706" i="15" s="1"/>
  <c r="V706" i="15" s="1"/>
  <c r="U706" i="15" s="1"/>
  <c r="AA667" i="15"/>
  <c r="I717" i="15"/>
  <c r="AN717" i="15" s="1"/>
  <c r="I313" i="2"/>
  <c r="O717" i="15" s="1"/>
  <c r="V717" i="15" s="1"/>
  <c r="U717" i="15" s="1"/>
  <c r="DG161" i="2"/>
  <c r="AA691" i="15" s="1"/>
  <c r="AE705" i="15"/>
  <c r="AC705" i="15" s="1"/>
  <c r="I716" i="15"/>
  <c r="AN716" i="15" s="1"/>
  <c r="I294" i="2"/>
  <c r="O716" i="15" s="1"/>
  <c r="V716" i="15" s="1"/>
  <c r="U716" i="15" s="1"/>
  <c r="V787" i="15"/>
  <c r="U787" i="15" s="1"/>
  <c r="AA664" i="15"/>
  <c r="U782" i="15"/>
  <c r="AE685" i="15"/>
  <c r="AC685" i="15" s="1"/>
  <c r="DG155" i="2"/>
  <c r="AA685" i="15" s="1"/>
  <c r="AO46" i="15"/>
  <c r="AO282" i="15"/>
  <c r="AO129" i="15"/>
  <c r="AO202" i="15"/>
  <c r="AO37" i="15"/>
  <c r="AO175" i="15"/>
  <c r="AE660" i="15"/>
  <c r="AC660" i="15" s="1"/>
  <c r="W725" i="15"/>
  <c r="V725" i="15" s="1"/>
  <c r="U725" i="15" s="1"/>
  <c r="AO278" i="15"/>
  <c r="AO203" i="15"/>
  <c r="AE647" i="15"/>
  <c r="AC647" i="15" s="1"/>
  <c r="V483" i="15"/>
  <c r="DG16" i="2"/>
  <c r="AA653" i="15" s="1"/>
  <c r="DG13" i="2"/>
  <c r="AA650" i="15" s="1"/>
  <c r="V648" i="15"/>
  <c r="U648" i="15" s="1"/>
  <c r="AE654" i="15"/>
  <c r="AC654" i="15" s="1"/>
  <c r="DG17" i="2"/>
  <c r="AA654" i="15" s="1"/>
  <c r="AE651" i="15"/>
  <c r="AC651" i="15" s="1"/>
  <c r="DG14" i="2"/>
  <c r="AA651" i="15" s="1"/>
  <c r="V670" i="15"/>
  <c r="U670" i="15" s="1"/>
  <c r="AE657" i="15"/>
  <c r="AC657" i="15" s="1"/>
  <c r="DG20" i="2"/>
  <c r="AA657" i="15" s="1"/>
  <c r="AO646" i="15"/>
  <c r="AE652" i="15"/>
  <c r="AC652" i="15" s="1"/>
  <c r="DG15" i="2"/>
  <c r="AA652" i="15" s="1"/>
  <c r="AE655" i="15"/>
  <c r="AC655" i="15" s="1"/>
  <c r="DG18" i="2"/>
  <c r="AA655" i="15" s="1"/>
  <c r="BB223" i="16" l="1"/>
  <c r="AA54" i="15" s="1"/>
  <c r="BB131" i="6"/>
  <c r="AA127" i="15" s="1"/>
  <c r="BB220" i="16"/>
  <c r="AA51" i="15" s="1"/>
  <c r="I430" i="15"/>
  <c r="AN430" i="15" s="1"/>
  <c r="AO430" i="15" s="1"/>
  <c r="AE530" i="15"/>
  <c r="AC530" i="15" s="1"/>
  <c r="BB1139" i="7"/>
  <c r="AA500" i="15" s="1"/>
  <c r="AE552" i="15"/>
  <c r="AC552" i="15" s="1"/>
  <c r="AE100" i="15"/>
  <c r="AC100" i="15" s="1"/>
  <c r="BB1357" i="7"/>
  <c r="AA545" i="15" s="1"/>
  <c r="BB452" i="7"/>
  <c r="AA420" i="15" s="1"/>
  <c r="BB688" i="7"/>
  <c r="AA448" i="15" s="1"/>
  <c r="BB9" i="3"/>
  <c r="AA11" i="15" s="1"/>
  <c r="BB7" i="5"/>
  <c r="AA67" i="15" s="1"/>
  <c r="BB479" i="9"/>
  <c r="AA622" i="15" s="1"/>
  <c r="AE9" i="15"/>
  <c r="AC9" i="15" s="1"/>
  <c r="BB59" i="16"/>
  <c r="AA37" i="15" s="1"/>
  <c r="BB51" i="5"/>
  <c r="AA77" i="15" s="1"/>
  <c r="AE494" i="15"/>
  <c r="AC494" i="15" s="1"/>
  <c r="BB71" i="16"/>
  <c r="AA43" i="15" s="1"/>
  <c r="AE542" i="15"/>
  <c r="AC542" i="15" s="1"/>
  <c r="BB1356" i="7"/>
  <c r="AA539" i="15" s="1"/>
  <c r="BB1323" i="6"/>
  <c r="AA196" i="15" s="1"/>
  <c r="BB1347" i="7"/>
  <c r="AA531" i="15" s="1"/>
  <c r="DG158" i="2"/>
  <c r="AA688" i="15" s="1"/>
  <c r="BB1325" i="6"/>
  <c r="AA197" i="15" s="1"/>
  <c r="BB122" i="6"/>
  <c r="AA121" i="15" s="1"/>
  <c r="BB139" i="6"/>
  <c r="AA132" i="15" s="1"/>
  <c r="AO12" i="15"/>
  <c r="BB511" i="9"/>
  <c r="AA627" i="15" s="1"/>
  <c r="BB610" i="7"/>
  <c r="AA442" i="15" s="1"/>
  <c r="AE543" i="15"/>
  <c r="AC543" i="15" s="1"/>
  <c r="BD525" i="7"/>
  <c r="BB525" i="7" s="1"/>
  <c r="AA430" i="15" s="1"/>
  <c r="AE371" i="15"/>
  <c r="AC371" i="15" s="1"/>
  <c r="AE546" i="15"/>
  <c r="AC546" i="15" s="1"/>
  <c r="BB1363" i="7"/>
  <c r="AA535" i="15" s="1"/>
  <c r="AO406" i="15"/>
  <c r="BB1346" i="7"/>
  <c r="AA548" i="15" s="1"/>
  <c r="BB1351" i="7"/>
  <c r="AA532" i="15" s="1"/>
  <c r="BB1358" i="7"/>
  <c r="AA551" i="15" s="1"/>
  <c r="K455" i="7"/>
  <c r="O423" i="15" s="1"/>
  <c r="W423" i="15" s="1"/>
  <c r="BD455" i="7"/>
  <c r="AE423" i="15" s="1"/>
  <c r="AC423" i="15" s="1"/>
  <c r="AO635" i="15"/>
  <c r="DG159" i="2"/>
  <c r="AA689" i="15" s="1"/>
  <c r="BB58" i="10"/>
  <c r="AA643" i="15" s="1"/>
  <c r="AE620" i="15"/>
  <c r="AC620" i="15" s="1"/>
  <c r="BB441" i="9"/>
  <c r="AA619" i="15" s="1"/>
  <c r="BB478" i="9"/>
  <c r="AA621" i="15" s="1"/>
  <c r="AE623" i="15"/>
  <c r="AC623" i="15" s="1"/>
  <c r="AE624" i="15"/>
  <c r="AC624" i="15" s="1"/>
  <c r="AC479" i="15"/>
  <c r="BB1348" i="7"/>
  <c r="AA537" i="15" s="1"/>
  <c r="BB1364" i="7"/>
  <c r="AA541" i="15" s="1"/>
  <c r="AC484" i="15"/>
  <c r="L523" i="7"/>
  <c r="O428" i="15" s="1"/>
  <c r="W428" i="15" s="1"/>
  <c r="BD523" i="7"/>
  <c r="AE428" i="15" s="1"/>
  <c r="AC428" i="15" s="1"/>
  <c r="AE396" i="15"/>
  <c r="AC396" i="15" s="1"/>
  <c r="BB1352" i="7"/>
  <c r="AA538" i="15" s="1"/>
  <c r="BB1350" i="7"/>
  <c r="AA549" i="15" s="1"/>
  <c r="BB1353" i="7"/>
  <c r="AA544" i="15" s="1"/>
  <c r="BB1344" i="7"/>
  <c r="AA536" i="15" s="1"/>
  <c r="BB1365" i="7"/>
  <c r="AA547" i="15" s="1"/>
  <c r="BD1310" i="7"/>
  <c r="AE529" i="15" s="1"/>
  <c r="AC529" i="15" s="1"/>
  <c r="AE454" i="15"/>
  <c r="AC454" i="15" s="1"/>
  <c r="AE553" i="15"/>
  <c r="AC553" i="15" s="1"/>
  <c r="AE550" i="15"/>
  <c r="AC550" i="15" s="1"/>
  <c r="J528" i="15"/>
  <c r="BD1309" i="7"/>
  <c r="AG528" i="15" s="1"/>
  <c r="AD528" i="15" s="1"/>
  <c r="AE450" i="15"/>
  <c r="AC450" i="15" s="1"/>
  <c r="AE534" i="15"/>
  <c r="AC534" i="15" s="1"/>
  <c r="BB920" i="7"/>
  <c r="AA475" i="15" s="1"/>
  <c r="AC478" i="15"/>
  <c r="BD1308" i="7"/>
  <c r="AE528" i="15" s="1"/>
  <c r="AC528" i="15" s="1"/>
  <c r="BB1152" i="7"/>
  <c r="AA513" i="15" s="1"/>
  <c r="BD456" i="7"/>
  <c r="AE424" i="15" s="1"/>
  <c r="AC424" i="15" s="1"/>
  <c r="A1713" i="6"/>
  <c r="J3857" i="6"/>
  <c r="M4174" i="6"/>
  <c r="L4174" i="6" s="1"/>
  <c r="M4254" i="6"/>
  <c r="L4254" i="6" s="1"/>
  <c r="M4218" i="6"/>
  <c r="L4218" i="6" s="1"/>
  <c r="M4186" i="6"/>
  <c r="L4186" i="6" s="1"/>
  <c r="M4198" i="6"/>
  <c r="L4198" i="6" s="1"/>
  <c r="BE1688" i="6"/>
  <c r="BB1688" i="6" s="1"/>
  <c r="AA261" i="15" s="1"/>
  <c r="AB261" i="15"/>
  <c r="BB130" i="6"/>
  <c r="AA126" i="15" s="1"/>
  <c r="BB140" i="6"/>
  <c r="AA133" i="15" s="1"/>
  <c r="BB137" i="6"/>
  <c r="AA131" i="15" s="1"/>
  <c r="BB1319" i="6"/>
  <c r="AA194" i="15" s="1"/>
  <c r="BB793" i="6"/>
  <c r="AA167" i="15" s="1"/>
  <c r="BB128" i="6"/>
  <c r="AA125" i="15" s="1"/>
  <c r="AO42" i="15"/>
  <c r="BB149" i="6"/>
  <c r="AA139" i="15" s="1"/>
  <c r="AC249" i="15"/>
  <c r="BB1321" i="6"/>
  <c r="AA195" i="15" s="1"/>
  <c r="AC303" i="15"/>
  <c r="BB119" i="6"/>
  <c r="AA119" i="15" s="1"/>
  <c r="AG139" i="15"/>
  <c r="AD139" i="15" s="1"/>
  <c r="BB1596" i="6"/>
  <c r="AA223" i="15" s="1"/>
  <c r="AC295" i="15"/>
  <c r="K270" i="15"/>
  <c r="I270" i="15" s="1"/>
  <c r="BD1714" i="6"/>
  <c r="AE270" i="15" s="1"/>
  <c r="AC270" i="15" s="1"/>
  <c r="K250" i="15"/>
  <c r="I250" i="15" s="1"/>
  <c r="BD1662" i="6"/>
  <c r="K312" i="15"/>
  <c r="I312" i="15" s="1"/>
  <c r="BD1862" i="6"/>
  <c r="AE312" i="15" s="1"/>
  <c r="AC312" i="15" s="1"/>
  <c r="AF198" i="15"/>
  <c r="AC198" i="15" s="1"/>
  <c r="AE135" i="15"/>
  <c r="AC135" i="15" s="1"/>
  <c r="K236" i="15"/>
  <c r="I236" i="15" s="1"/>
  <c r="BD1630" i="6"/>
  <c r="AE236" i="15" s="1"/>
  <c r="AC236" i="15" s="1"/>
  <c r="AF199" i="15"/>
  <c r="AC199" i="15" s="1"/>
  <c r="BB796" i="6"/>
  <c r="AA169" i="15" s="1"/>
  <c r="M296" i="15"/>
  <c r="J296" i="15" s="1"/>
  <c r="BD1802" i="6"/>
  <c r="AG296" i="15" s="1"/>
  <c r="AD296" i="15" s="1"/>
  <c r="K251" i="15"/>
  <c r="I251" i="15" s="1"/>
  <c r="BD1664" i="6"/>
  <c r="K313" i="15"/>
  <c r="AN313" i="15" s="1"/>
  <c r="BD1866" i="6"/>
  <c r="AE313" i="15" s="1"/>
  <c r="AC313" i="15" s="1"/>
  <c r="BB812" i="6"/>
  <c r="AA175" i="15" s="1"/>
  <c r="M305" i="15"/>
  <c r="J305" i="15" s="1"/>
  <c r="BD1838" i="6"/>
  <c r="AG305" i="15" s="1"/>
  <c r="AD305" i="15" s="1"/>
  <c r="M297" i="15"/>
  <c r="J297" i="15" s="1"/>
  <c r="BD1806" i="6"/>
  <c r="AG297" i="15" s="1"/>
  <c r="AD297" i="15" s="1"/>
  <c r="K304" i="15"/>
  <c r="AN304" i="15" s="1"/>
  <c r="BD1832" i="6"/>
  <c r="AE304" i="15" s="1"/>
  <c r="AC304" i="15" s="1"/>
  <c r="K321" i="15"/>
  <c r="I321" i="15" s="1"/>
  <c r="BD1890" i="6"/>
  <c r="AE321" i="15" s="1"/>
  <c r="AC321" i="15" s="1"/>
  <c r="M304" i="15"/>
  <c r="J304" i="15" s="1"/>
  <c r="BD1834" i="6"/>
  <c r="AG304" i="15" s="1"/>
  <c r="AD304" i="15" s="1"/>
  <c r="K264" i="15"/>
  <c r="I264" i="15" s="1"/>
  <c r="BD1694" i="6"/>
  <c r="AE264" i="15" s="1"/>
  <c r="AC264" i="15" s="1"/>
  <c r="M312" i="15"/>
  <c r="J312" i="15" s="1"/>
  <c r="BD1864" i="6"/>
  <c r="AG312" i="15" s="1"/>
  <c r="AD312" i="15" s="1"/>
  <c r="K244" i="15"/>
  <c r="I244" i="15" s="1"/>
  <c r="BD1650" i="6"/>
  <c r="K305" i="15"/>
  <c r="I305" i="15" s="1"/>
  <c r="BD1836" i="6"/>
  <c r="AE305" i="15" s="1"/>
  <c r="AC305" i="15" s="1"/>
  <c r="AD269" i="15"/>
  <c r="M8" i="6"/>
  <c r="O112" i="15" s="1"/>
  <c r="W112" i="15" s="1"/>
  <c r="BD8" i="6"/>
  <c r="AE112" i="15" s="1"/>
  <c r="AC112" i="15" s="1"/>
  <c r="K265" i="15"/>
  <c r="I265" i="15" s="1"/>
  <c r="BD1696" i="6"/>
  <c r="AE265" i="15" s="1"/>
  <c r="AC265" i="15" s="1"/>
  <c r="K296" i="15"/>
  <c r="AN296" i="15" s="1"/>
  <c r="BD1800" i="6"/>
  <c r="AE296" i="15" s="1"/>
  <c r="AC296" i="15" s="1"/>
  <c r="M313" i="15"/>
  <c r="J313" i="15" s="1"/>
  <c r="BD1868" i="6"/>
  <c r="AG313" i="15" s="1"/>
  <c r="AD313" i="15" s="1"/>
  <c r="K245" i="15"/>
  <c r="I245" i="15" s="1"/>
  <c r="BD1652" i="6"/>
  <c r="K257" i="15"/>
  <c r="AN257" i="15" s="1"/>
  <c r="BD1676" i="6"/>
  <c r="K256" i="15"/>
  <c r="AN256" i="15" s="1"/>
  <c r="BD1674" i="6"/>
  <c r="K297" i="15"/>
  <c r="I297" i="15" s="1"/>
  <c r="BD1804" i="6"/>
  <c r="AE297" i="15" s="1"/>
  <c r="AC297" i="15" s="1"/>
  <c r="AC324" i="15"/>
  <c r="AC235" i="15"/>
  <c r="DG157" i="2"/>
  <c r="AA687" i="15" s="1"/>
  <c r="AO715" i="15"/>
  <c r="AO781" i="15"/>
  <c r="DG156" i="2"/>
  <c r="AA686" i="15" s="1"/>
  <c r="AO772" i="15"/>
  <c r="AE690" i="15"/>
  <c r="AC690" i="15" s="1"/>
  <c r="DG21" i="2"/>
  <c r="AA658" i="15" s="1"/>
  <c r="DG22" i="2"/>
  <c r="AA659" i="15" s="1"/>
  <c r="DG33" i="2"/>
  <c r="AA670" i="15" s="1"/>
  <c r="AE648" i="15"/>
  <c r="AC648" i="15" s="1"/>
  <c r="DG19" i="2"/>
  <c r="AA656" i="15" s="1"/>
  <c r="DG9" i="2"/>
  <c r="AA646" i="15" s="1"/>
  <c r="AE649" i="15"/>
  <c r="AC649" i="15" s="1"/>
  <c r="AO791" i="15"/>
  <c r="J4361" i="6"/>
  <c r="A1831" i="6"/>
  <c r="J4139" i="6"/>
  <c r="A1609" i="6"/>
  <c r="J4329" i="6"/>
  <c r="A1799" i="6"/>
  <c r="J4115" i="6"/>
  <c r="A1585" i="6"/>
  <c r="J4407" i="6"/>
  <c r="A1877" i="6"/>
  <c r="J4377" i="6"/>
  <c r="A1847" i="6"/>
  <c r="J4297" i="6"/>
  <c r="A1767" i="6"/>
  <c r="J4107" i="6"/>
  <c r="A1577" i="6"/>
  <c r="J4313" i="6"/>
  <c r="A1783" i="6"/>
  <c r="J4243" i="6"/>
  <c r="J4345" i="6"/>
  <c r="A1815" i="6"/>
  <c r="J4159" i="6"/>
  <c r="A1629" i="6"/>
  <c r="J4429" i="6"/>
  <c r="A1899" i="6"/>
  <c r="J4391" i="6"/>
  <c r="A1861" i="6"/>
  <c r="AO714" i="15"/>
  <c r="AO393" i="15"/>
  <c r="AO11" i="15"/>
  <c r="BB69" i="16"/>
  <c r="AA42" i="15" s="1"/>
  <c r="AC42" i="15"/>
  <c r="AO511" i="15"/>
  <c r="AO435" i="15"/>
  <c r="AO505" i="15"/>
  <c r="AO410" i="15"/>
  <c r="AO409" i="15"/>
  <c r="AO429" i="15"/>
  <c r="AE496" i="15"/>
  <c r="AC496" i="15" s="1"/>
  <c r="BB153" i="7"/>
  <c r="AA414" i="15" s="1"/>
  <c r="AE21" i="15"/>
  <c r="AC21" i="15" s="1"/>
  <c r="AO28" i="15"/>
  <c r="BB23" i="3"/>
  <c r="AA25" i="15" s="1"/>
  <c r="AO627" i="15"/>
  <c r="AO630" i="15"/>
  <c r="AO626" i="15"/>
  <c r="AO494" i="15"/>
  <c r="AO392" i="15"/>
  <c r="AO592" i="15"/>
  <c r="AO587" i="15"/>
  <c r="AO593" i="15"/>
  <c r="AO717" i="15"/>
  <c r="AO707" i="15"/>
  <c r="AO629" i="15"/>
  <c r="AO413" i="15"/>
  <c r="AO595" i="15"/>
  <c r="AO596" i="15"/>
  <c r="AO496" i="15"/>
  <c r="AO706" i="15"/>
  <c r="AO412" i="15"/>
  <c r="AO704" i="15"/>
  <c r="AO718" i="15"/>
  <c r="AO773" i="15"/>
  <c r="AO470" i="15"/>
  <c r="AO708" i="15"/>
  <c r="AO499" i="15"/>
  <c r="AO493" i="15"/>
  <c r="AO588" i="15"/>
  <c r="AO391" i="15"/>
  <c r="AO474" i="15"/>
  <c r="AO421" i="15"/>
  <c r="AO590" i="15"/>
  <c r="AO589" i="15"/>
  <c r="AO716" i="15"/>
  <c r="AO594" i="15"/>
  <c r="AO713" i="15"/>
  <c r="AO597" i="15"/>
  <c r="AO411" i="15"/>
  <c r="AO719" i="15"/>
  <c r="AO475" i="15"/>
  <c r="AO600" i="15"/>
  <c r="AO705" i="15"/>
  <c r="AO792" i="15"/>
  <c r="AO591" i="15"/>
  <c r="AO478" i="15"/>
  <c r="AO476" i="15"/>
  <c r="AO479" i="15"/>
  <c r="AO737" i="15"/>
  <c r="AO376" i="15"/>
  <c r="AO498" i="15"/>
  <c r="AO440" i="15"/>
  <c r="AO375" i="15"/>
  <c r="AO426" i="15"/>
  <c r="AO432" i="15"/>
  <c r="AO417" i="15"/>
  <c r="AO422" i="15"/>
  <c r="AO394" i="15"/>
  <c r="AO385" i="15"/>
  <c r="AO415" i="15"/>
  <c r="AO509" i="15"/>
  <c r="AO368" i="15"/>
  <c r="AO477" i="15"/>
  <c r="AO485" i="15"/>
  <c r="AO389" i="15"/>
  <c r="AO471" i="15"/>
  <c r="AO492" i="15"/>
  <c r="AO367" i="15"/>
  <c r="AO480" i="15"/>
  <c r="AO451" i="15"/>
  <c r="AO420" i="15"/>
  <c r="AO513" i="15"/>
  <c r="AO512" i="15"/>
  <c r="AO504" i="15"/>
  <c r="AO405" i="15"/>
  <c r="AO381" i="15"/>
  <c r="AO502" i="15"/>
  <c r="AO484" i="15"/>
  <c r="AO473" i="15"/>
  <c r="AO489" i="15"/>
  <c r="AO386" i="15"/>
  <c r="AO495" i="15"/>
  <c r="AO403" i="15"/>
  <c r="AO373" i="15"/>
  <c r="AO469" i="15"/>
  <c r="AO401" i="15"/>
  <c r="AO404" i="15"/>
  <c r="AO468" i="15"/>
  <c r="AO507" i="15"/>
  <c r="AO416" i="15"/>
  <c r="AO377" i="15"/>
  <c r="AO486" i="15"/>
  <c r="AO427" i="15"/>
  <c r="AO431" i="15"/>
  <c r="AO508" i="15"/>
  <c r="AO414" i="15"/>
  <c r="AO506" i="15"/>
  <c r="AO396" i="15"/>
  <c r="AO374" i="15"/>
  <c r="AO436" i="15"/>
  <c r="AO472" i="15"/>
  <c r="BB804" i="6"/>
  <c r="AA172" i="15" s="1"/>
  <c r="AO93" i="15"/>
  <c r="AO22" i="15"/>
  <c r="AO14" i="15"/>
  <c r="DG618" i="2"/>
  <c r="AA772" i="15" s="1"/>
  <c r="AE93" i="15"/>
  <c r="AC93" i="15" s="1"/>
  <c r="BB20" i="3"/>
  <c r="AA22" i="15" s="1"/>
  <c r="AC45" i="15"/>
  <c r="BB75" i="16"/>
  <c r="AA45" i="15" s="1"/>
  <c r="BB25" i="3"/>
  <c r="AA27" i="15" s="1"/>
  <c r="AC46" i="15"/>
  <c r="BB77" i="16"/>
  <c r="AA46" i="15" s="1"/>
  <c r="DG711" i="2"/>
  <c r="AA781" i="15" s="1"/>
  <c r="I1310" i="7"/>
  <c r="O529" i="15" s="1"/>
  <c r="AO529" i="15" s="1"/>
  <c r="AE495" i="15"/>
  <c r="AC495" i="15" s="1"/>
  <c r="I1308" i="7"/>
  <c r="O528" i="15" s="1"/>
  <c r="AO528" i="15" s="1"/>
  <c r="BB928" i="7"/>
  <c r="AA479" i="15" s="1"/>
  <c r="I1309" i="7"/>
  <c r="P528" i="15" s="1"/>
  <c r="V528" i="15" s="1"/>
  <c r="BB1040" i="7"/>
  <c r="AA489" i="15" s="1"/>
  <c r="BB8" i="7"/>
  <c r="AA367" i="15" s="1"/>
  <c r="BB9" i="9"/>
  <c r="AA577" i="15" s="1"/>
  <c r="BE1534" i="6"/>
  <c r="BB1534" i="6" s="1"/>
  <c r="AA204" i="15" s="1"/>
  <c r="AB204" i="15"/>
  <c r="J269" i="15"/>
  <c r="J769" i="6"/>
  <c r="K173" i="6" s="1"/>
  <c r="BE173" i="6" s="1"/>
  <c r="BB173" i="6" s="1"/>
  <c r="AA155" i="15" s="1"/>
  <c r="AD777" i="6"/>
  <c r="AD776" i="6"/>
  <c r="AD774" i="6"/>
  <c r="AD772" i="6"/>
  <c r="AD771" i="6"/>
  <c r="AD769" i="6"/>
  <c r="AB175" i="15"/>
  <c r="AB167" i="15"/>
  <c r="I1890" i="6"/>
  <c r="Q321" i="15" s="1"/>
  <c r="O321" i="15" s="1"/>
  <c r="W321" i="15" s="1"/>
  <c r="F830" i="6"/>
  <c r="BD830" i="6" s="1"/>
  <c r="BC840" i="6"/>
  <c r="BC844" i="6"/>
  <c r="O311" i="15"/>
  <c r="AN269" i="15"/>
  <c r="AO269" i="15" s="1"/>
  <c r="AP269" i="15" s="1"/>
  <c r="P269" i="15"/>
  <c r="W269" i="15" s="1"/>
  <c r="BB151" i="7"/>
  <c r="AA412" i="15" s="1"/>
  <c r="AF571" i="15"/>
  <c r="BB1005" i="7"/>
  <c r="AA487" i="15" s="1"/>
  <c r="AF573" i="15"/>
  <c r="AE413" i="15"/>
  <c r="AC413" i="15" s="1"/>
  <c r="AE572" i="15"/>
  <c r="I1450" i="7"/>
  <c r="Q572" i="15" s="1"/>
  <c r="AF568" i="15"/>
  <c r="I1443" i="7"/>
  <c r="I1439" i="7"/>
  <c r="AF566" i="15"/>
  <c r="AC566" i="15" s="1"/>
  <c r="I1448" i="7"/>
  <c r="Q571" i="15" s="1"/>
  <c r="AE571" i="15"/>
  <c r="AF569" i="15"/>
  <c r="I1445" i="7"/>
  <c r="AF570" i="15"/>
  <c r="I1447" i="7"/>
  <c r="I1452" i="7"/>
  <c r="Q573" i="15" s="1"/>
  <c r="AE573" i="15"/>
  <c r="AE569" i="15"/>
  <c r="I1444" i="7"/>
  <c r="Q569" i="15" s="1"/>
  <c r="I1451" i="7"/>
  <c r="AF572" i="15"/>
  <c r="K456" i="7"/>
  <c r="O424" i="15" s="1"/>
  <c r="W424" i="15" s="1"/>
  <c r="AF567" i="15"/>
  <c r="I1441" i="7"/>
  <c r="I1446" i="7"/>
  <c r="Q570" i="15" s="1"/>
  <c r="AE570" i="15"/>
  <c r="I1442" i="7"/>
  <c r="Q568" i="15" s="1"/>
  <c r="AE568" i="15"/>
  <c r="I1440" i="7"/>
  <c r="Q567" i="15" s="1"/>
  <c r="AE567" i="15"/>
  <c r="BB1137" i="7"/>
  <c r="AA498" i="15" s="1"/>
  <c r="P311" i="15"/>
  <c r="W311" i="15" s="1"/>
  <c r="AE15" i="15"/>
  <c r="AC15" i="15" s="1"/>
  <c r="J4021" i="6"/>
  <c r="BB10" i="9"/>
  <c r="AA578" i="15" s="1"/>
  <c r="AE471" i="15"/>
  <c r="AC471" i="15" s="1"/>
  <c r="BE1674" i="6"/>
  <c r="AB256" i="15"/>
  <c r="BE1676" i="6"/>
  <c r="AB257" i="15"/>
  <c r="K380" i="15"/>
  <c r="I380" i="15" s="1"/>
  <c r="AN380" i="15" s="1"/>
  <c r="K379" i="15"/>
  <c r="I379" i="15" s="1"/>
  <c r="AN379" i="15" s="1"/>
  <c r="K378" i="15"/>
  <c r="I378" i="15" s="1"/>
  <c r="AN378" i="15" s="1"/>
  <c r="AD311" i="15"/>
  <c r="AC255" i="15"/>
  <c r="AC311" i="15"/>
  <c r="I303" i="15"/>
  <c r="O249" i="15"/>
  <c r="AO249" i="15" s="1"/>
  <c r="AP249" i="15" s="1"/>
  <c r="P303" i="15"/>
  <c r="W303" i="15" s="1"/>
  <c r="O263" i="15"/>
  <c r="W263" i="15" s="1"/>
  <c r="AO16" i="15"/>
  <c r="AD303" i="15"/>
  <c r="O303" i="15"/>
  <c r="AO27" i="15"/>
  <c r="AO13" i="15"/>
  <c r="O255" i="15"/>
  <c r="W255" i="15" s="1"/>
  <c r="I295" i="15"/>
  <c r="O243" i="15"/>
  <c r="W243" i="15" s="1"/>
  <c r="AC263" i="15"/>
  <c r="AC332" i="15"/>
  <c r="AE582" i="15"/>
  <c r="AC582" i="15" s="1"/>
  <c r="BB11" i="9"/>
  <c r="AA579" i="15" s="1"/>
  <c r="BB592" i="9"/>
  <c r="AA637" i="15" s="1"/>
  <c r="AA582" i="15"/>
  <c r="BB8" i="9"/>
  <c r="AA576" i="15" s="1"/>
  <c r="AE374" i="15"/>
  <c r="AC374" i="15" s="1"/>
  <c r="BB16" i="7"/>
  <c r="AA375" i="15" s="1"/>
  <c r="BB1900" i="6"/>
  <c r="AA324" i="15" s="1"/>
  <c r="O295" i="15"/>
  <c r="AC328" i="15"/>
  <c r="O319" i="15"/>
  <c r="W319" i="15" s="1"/>
  <c r="AC330" i="15"/>
  <c r="AD216" i="15"/>
  <c r="AE333" i="15"/>
  <c r="AC333" i="15" s="1"/>
  <c r="I1694" i="6"/>
  <c r="Q264" i="15" s="1"/>
  <c r="O264" i="15" s="1"/>
  <c r="W264" i="15" s="1"/>
  <c r="AC243" i="15"/>
  <c r="I1696" i="6"/>
  <c r="Q265" i="15" s="1"/>
  <c r="O265" i="15" s="1"/>
  <c r="W265" i="15" s="1"/>
  <c r="I1804" i="6"/>
  <c r="Q297" i="15" s="1"/>
  <c r="O297" i="15" s="1"/>
  <c r="AE326" i="15"/>
  <c r="AC326" i="15" s="1"/>
  <c r="I1630" i="6"/>
  <c r="Q236" i="15" s="1"/>
  <c r="O236" i="15" s="1"/>
  <c r="AG217" i="15"/>
  <c r="AD217" i="15" s="1"/>
  <c r="AC319" i="15"/>
  <c r="AE329" i="15"/>
  <c r="AC329" i="15" s="1"/>
  <c r="I1676" i="6"/>
  <c r="Q257" i="15" s="1"/>
  <c r="O257" i="15" s="1"/>
  <c r="W257" i="15" s="1"/>
  <c r="I1838" i="6"/>
  <c r="S305" i="15" s="1"/>
  <c r="P305" i="15" s="1"/>
  <c r="W305" i="15" s="1"/>
  <c r="M4164" i="6"/>
  <c r="L4164" i="6" s="1"/>
  <c r="K4164" i="6" s="1"/>
  <c r="K1634" i="6" s="1"/>
  <c r="F1632" i="6"/>
  <c r="I1664" i="6"/>
  <c r="Q251" i="15" s="1"/>
  <c r="O251" i="15" s="1"/>
  <c r="W251" i="15" s="1"/>
  <c r="BE1744" i="6"/>
  <c r="BB1744" i="6" s="1"/>
  <c r="AA281" i="15" s="1"/>
  <c r="I1714" i="6"/>
  <c r="Q270" i="15" s="1"/>
  <c r="O270" i="15" s="1"/>
  <c r="I1802" i="6"/>
  <c r="S296" i="15" s="1"/>
  <c r="P296" i="15" s="1"/>
  <c r="W296" i="15" s="1"/>
  <c r="I1650" i="6"/>
  <c r="Q244" i="15" s="1"/>
  <c r="O244" i="15" s="1"/>
  <c r="W244" i="15" s="1"/>
  <c r="I1832" i="6"/>
  <c r="Q304" i="15" s="1"/>
  <c r="O304" i="15" s="1"/>
  <c r="I1862" i="6"/>
  <c r="Q312" i="15" s="1"/>
  <c r="O312" i="15" s="1"/>
  <c r="I1834" i="6"/>
  <c r="S304" i="15" s="1"/>
  <c r="P304" i="15" s="1"/>
  <c r="W304" i="15" s="1"/>
  <c r="I1662" i="6"/>
  <c r="Q250" i="15" s="1"/>
  <c r="O250" i="15" s="1"/>
  <c r="W250" i="15" s="1"/>
  <c r="BE1658" i="6"/>
  <c r="BB1658" i="6" s="1"/>
  <c r="AA248" i="15" s="1"/>
  <c r="F1716" i="6"/>
  <c r="I1806" i="6"/>
  <c r="S297" i="15" s="1"/>
  <c r="P297" i="15" s="1"/>
  <c r="W297" i="15" s="1"/>
  <c r="I1652" i="6"/>
  <c r="Q245" i="15" s="1"/>
  <c r="O245" i="15" s="1"/>
  <c r="W245" i="15" s="1"/>
  <c r="I1836" i="6"/>
  <c r="Q305" i="15" s="1"/>
  <c r="O305" i="15" s="1"/>
  <c r="I1866" i="6"/>
  <c r="Q313" i="15" s="1"/>
  <c r="O313" i="15" s="1"/>
  <c r="K4224" i="6"/>
  <c r="K1694" i="6" s="1"/>
  <c r="K4222" i="6"/>
  <c r="K1692" i="6" s="1"/>
  <c r="BE1692" i="6" s="1"/>
  <c r="K4444" i="6"/>
  <c r="K1914" i="6" s="1"/>
  <c r="BE1914" i="6" s="1"/>
  <c r="K4226" i="6"/>
  <c r="K1696" i="6" s="1"/>
  <c r="AB212" i="15"/>
  <c r="AC331" i="15"/>
  <c r="I1674" i="6"/>
  <c r="Q256" i="15" s="1"/>
  <c r="O256" i="15" s="1"/>
  <c r="W256" i="15" s="1"/>
  <c r="BE1654" i="6"/>
  <c r="BB1654" i="6" s="1"/>
  <c r="AA246" i="15" s="1"/>
  <c r="I1864" i="6"/>
  <c r="S312" i="15" s="1"/>
  <c r="P312" i="15" s="1"/>
  <c r="W312" i="15" s="1"/>
  <c r="AG323" i="15"/>
  <c r="AD323" i="15" s="1"/>
  <c r="I1800" i="6"/>
  <c r="Q296" i="15" s="1"/>
  <c r="O296" i="15" s="1"/>
  <c r="M4416" i="6"/>
  <c r="L4416" i="6" s="1"/>
  <c r="M4294" i="6"/>
  <c r="L4294" i="6" s="1"/>
  <c r="K4294" i="6" s="1"/>
  <c r="K1764" i="6" s="1"/>
  <c r="BE1764" i="6" s="1"/>
  <c r="M4130" i="6"/>
  <c r="L4130" i="6" s="1"/>
  <c r="M4388" i="6"/>
  <c r="L4388" i="6" s="1"/>
  <c r="K4388" i="6" s="1"/>
  <c r="K1858" i="6" s="1"/>
  <c r="BE1858" i="6" s="1"/>
  <c r="M4260" i="6"/>
  <c r="L4260" i="6" s="1"/>
  <c r="M4180" i="6"/>
  <c r="L4180" i="6" s="1"/>
  <c r="M4240" i="6"/>
  <c r="L4240" i="6" s="1"/>
  <c r="M4436" i="6"/>
  <c r="L4436" i="6" s="1"/>
  <c r="M4358" i="6"/>
  <c r="L4358" i="6" s="1"/>
  <c r="K4358" i="6" s="1"/>
  <c r="K1828" i="6" s="1"/>
  <c r="BE1828" i="6" s="1"/>
  <c r="M4232" i="6"/>
  <c r="L4232" i="6" s="1"/>
  <c r="M4262" i="6"/>
  <c r="L4262" i="6" s="1"/>
  <c r="M4330" i="6"/>
  <c r="L4330" i="6" s="1"/>
  <c r="K4330" i="6" s="1"/>
  <c r="K1800" i="6" s="1"/>
  <c r="M4222" i="6"/>
  <c r="L4222" i="6" s="1"/>
  <c r="M4136" i="6"/>
  <c r="L4136" i="6" s="1"/>
  <c r="K4136" i="6" s="1"/>
  <c r="K1606" i="6" s="1"/>
  <c r="BE1606" i="6" s="1"/>
  <c r="M4146" i="6"/>
  <c r="L4146" i="6" s="1"/>
  <c r="M4444" i="6"/>
  <c r="L4444" i="6" s="1"/>
  <c r="M4190" i="6"/>
  <c r="L4190" i="6" s="1"/>
  <c r="M4182" i="6"/>
  <c r="L4182" i="6" s="1"/>
  <c r="M4302" i="6"/>
  <c r="L4302" i="6" s="1"/>
  <c r="K4302" i="6" s="1"/>
  <c r="K1772" i="6" s="1"/>
  <c r="M4194" i="6"/>
  <c r="L4194" i="6" s="1"/>
  <c r="M4224" i="6"/>
  <c r="L4224" i="6" s="1"/>
  <c r="M4440" i="6"/>
  <c r="L4440" i="6" s="1"/>
  <c r="M4120" i="6"/>
  <c r="L4120" i="6" s="1"/>
  <c r="K4120" i="6" s="1"/>
  <c r="K1590" i="6" s="1"/>
  <c r="M4116" i="6"/>
  <c r="L4116" i="6" s="1"/>
  <c r="K4116" i="6" s="1"/>
  <c r="K1586" i="6" s="1"/>
  <c r="M4204" i="6"/>
  <c r="L4204" i="6" s="1"/>
  <c r="M4160" i="6"/>
  <c r="L4160" i="6" s="1"/>
  <c r="K4160" i="6" s="1"/>
  <c r="K1630" i="6" s="1"/>
  <c r="M4150" i="6"/>
  <c r="L4150" i="6" s="1"/>
  <c r="M4148" i="6"/>
  <c r="L4148" i="6" s="1"/>
  <c r="M4420" i="6"/>
  <c r="L4420" i="6" s="1"/>
  <c r="M4206" i="6"/>
  <c r="L4206" i="6" s="1"/>
  <c r="M4366" i="6"/>
  <c r="L4366" i="6" s="1"/>
  <c r="K4366" i="6" s="1"/>
  <c r="K1836" i="6" s="1"/>
  <c r="M4404" i="6"/>
  <c r="L4404" i="6" s="1"/>
  <c r="K4404" i="6" s="1"/>
  <c r="K1874" i="6" s="1"/>
  <c r="BE1874" i="6" s="1"/>
  <c r="M4392" i="6"/>
  <c r="L4392" i="6" s="1"/>
  <c r="K4392" i="6" s="1"/>
  <c r="K1862" i="6" s="1"/>
  <c r="M4334" i="6"/>
  <c r="L4334" i="6" s="1"/>
  <c r="K4334" i="6" s="1"/>
  <c r="K1804" i="6" s="1"/>
  <c r="M4202" i="6"/>
  <c r="L4202" i="6" s="1"/>
  <c r="M4418" i="6"/>
  <c r="L4418" i="6" s="1"/>
  <c r="M4142" i="6"/>
  <c r="L4142" i="6" s="1"/>
  <c r="M4362" i="6"/>
  <c r="L4362" i="6" s="1"/>
  <c r="K4362" i="6" s="1"/>
  <c r="K1832" i="6" s="1"/>
  <c r="M4298" i="6"/>
  <c r="L4298" i="6" s="1"/>
  <c r="K4298" i="6" s="1"/>
  <c r="K1768" i="6" s="1"/>
  <c r="M4286" i="6"/>
  <c r="L4286" i="6" s="1"/>
  <c r="K4286" i="6" s="1"/>
  <c r="K1756" i="6" s="1"/>
  <c r="M4156" i="6"/>
  <c r="L4156" i="6" s="1"/>
  <c r="K4156" i="6" s="1"/>
  <c r="K1626" i="6" s="1"/>
  <c r="BE1626" i="6" s="1"/>
  <c r="M4426" i="6"/>
  <c r="L4426" i="6" s="1"/>
  <c r="M4310" i="6"/>
  <c r="L4310" i="6" s="1"/>
  <c r="K4310" i="6" s="1"/>
  <c r="K1780" i="6" s="1"/>
  <c r="BE1780" i="6" s="1"/>
  <c r="M4318" i="6"/>
  <c r="L4318" i="6" s="1"/>
  <c r="K4318" i="6" s="1"/>
  <c r="K1788" i="6" s="1"/>
  <c r="M4170" i="6"/>
  <c r="L4170" i="6" s="1"/>
  <c r="M4128" i="6"/>
  <c r="L4128" i="6" s="1"/>
  <c r="M4350" i="6"/>
  <c r="L4350" i="6" s="1"/>
  <c r="K4350" i="6" s="1"/>
  <c r="K1820" i="6" s="1"/>
  <c r="M4396" i="6"/>
  <c r="L4396" i="6" s="1"/>
  <c r="K4396" i="6" s="1"/>
  <c r="K1866" i="6" s="1"/>
  <c r="M4226" i="6"/>
  <c r="L4226" i="6" s="1"/>
  <c r="M4374" i="6"/>
  <c r="L4374" i="6" s="1"/>
  <c r="K4374" i="6" s="1"/>
  <c r="K1844" i="6" s="1"/>
  <c r="BE1844" i="6" s="1"/>
  <c r="M4258" i="6"/>
  <c r="L4258" i="6" s="1"/>
  <c r="M4112" i="6"/>
  <c r="L4112" i="6" s="1"/>
  <c r="K4112" i="6" s="1"/>
  <c r="K1582" i="6" s="1"/>
  <c r="BE1582" i="6" s="1"/>
  <c r="M4342" i="6"/>
  <c r="L4342" i="6" s="1"/>
  <c r="K4342" i="6" s="1"/>
  <c r="K1812" i="6" s="1"/>
  <c r="BE1812" i="6" s="1"/>
  <c r="M4192" i="6"/>
  <c r="L4192" i="6" s="1"/>
  <c r="M4432" i="6"/>
  <c r="L4432" i="6" s="1"/>
  <c r="M4326" i="6"/>
  <c r="L4326" i="6" s="1"/>
  <c r="K4326" i="6" s="1"/>
  <c r="K1796" i="6" s="1"/>
  <c r="BE1796" i="6" s="1"/>
  <c r="M4178" i="6"/>
  <c r="L4178" i="6" s="1"/>
  <c r="M4212" i="6"/>
  <c r="L4212" i="6" s="1"/>
  <c r="K4212" i="6" s="1"/>
  <c r="K1682" i="6" s="1"/>
  <c r="M4126" i="6"/>
  <c r="L4126" i="6" s="1"/>
  <c r="M4244" i="6"/>
  <c r="L4244" i="6" s="1"/>
  <c r="M4448" i="6"/>
  <c r="L4448" i="6" s="1"/>
  <c r="I1868" i="6"/>
  <c r="S313" i="15" s="1"/>
  <c r="P313" i="15" s="1"/>
  <c r="W313" i="15" s="1"/>
  <c r="V596" i="7"/>
  <c r="V665" i="7" s="1"/>
  <c r="V557" i="7"/>
  <c r="BB938" i="7"/>
  <c r="AA484" i="15" s="1"/>
  <c r="BB564" i="7"/>
  <c r="AA431" i="15" s="1"/>
  <c r="BB9" i="7"/>
  <c r="AA368" i="15" s="1"/>
  <c r="AE376" i="15"/>
  <c r="AC376" i="15" s="1"/>
  <c r="I21" i="7"/>
  <c r="Q380" i="15" s="1"/>
  <c r="O380" i="15" s="1"/>
  <c r="I20" i="7"/>
  <c r="Q379" i="15" s="1"/>
  <c r="O379" i="15" s="1"/>
  <c r="I19" i="7"/>
  <c r="Q378" i="15" s="1"/>
  <c r="O378" i="15" s="1"/>
  <c r="BB1140" i="7"/>
  <c r="AA501" i="15" s="1"/>
  <c r="BE1570" i="6"/>
  <c r="BB1570" i="6" s="1"/>
  <c r="AA216" i="15" s="1"/>
  <c r="BE1552" i="6"/>
  <c r="BB1552" i="6" s="1"/>
  <c r="AA210" i="15" s="1"/>
  <c r="AE469" i="15"/>
  <c r="AC469" i="15" s="1"/>
  <c r="DG829" i="2"/>
  <c r="AA791" i="15" s="1"/>
  <c r="K1750" i="6"/>
  <c r="AB283" i="15" s="1"/>
  <c r="K1670" i="6"/>
  <c r="AB254" i="15" s="1"/>
  <c r="K1666" i="6"/>
  <c r="AB252" i="15" s="1"/>
  <c r="K1908" i="6"/>
  <c r="BE1908" i="6" s="1"/>
  <c r="BB1908" i="6" s="1"/>
  <c r="AA328" i="15" s="1"/>
  <c r="AE588" i="15"/>
  <c r="AC588" i="15" s="1"/>
  <c r="AB216" i="15"/>
  <c r="AB210" i="15"/>
  <c r="AD235" i="15"/>
  <c r="P295" i="15"/>
  <c r="W295" i="15" s="1"/>
  <c r="P235" i="15"/>
  <c r="W235" i="15" s="1"/>
  <c r="AD295" i="15"/>
  <c r="J4043" i="6"/>
  <c r="J4005" i="6"/>
  <c r="J3991" i="6"/>
  <c r="J3975" i="6"/>
  <c r="J3959" i="6"/>
  <c r="J3943" i="6"/>
  <c r="J3927" i="6"/>
  <c r="J3911" i="6"/>
  <c r="L4086" i="6"/>
  <c r="K4086" i="6" s="1"/>
  <c r="K1556" i="6" s="1"/>
  <c r="L4078" i="6"/>
  <c r="L4068" i="6"/>
  <c r="K4068" i="6" s="1"/>
  <c r="K1538" i="6" s="1"/>
  <c r="AO223" i="15"/>
  <c r="AP223" i="15" s="1"/>
  <c r="Z185" i="15"/>
  <c r="AO254" i="15"/>
  <c r="Z311" i="15"/>
  <c r="I217" i="15"/>
  <c r="I249" i="15"/>
  <c r="AO291" i="15"/>
  <c r="AP291" i="15" s="1"/>
  <c r="AO329" i="15"/>
  <c r="AP329" i="15" s="1"/>
  <c r="AN243" i="15"/>
  <c r="AN311" i="15"/>
  <c r="AO242" i="15"/>
  <c r="AN295" i="15"/>
  <c r="AN235" i="15"/>
  <c r="AO235" i="15" s="1"/>
  <c r="AP235" i="15" s="1"/>
  <c r="AN219" i="15"/>
  <c r="AO219" i="15" s="1"/>
  <c r="AP219" i="15" s="1"/>
  <c r="AN327" i="15"/>
  <c r="AO327" i="15" s="1"/>
  <c r="AP327" i="15" s="1"/>
  <c r="AN325" i="15"/>
  <c r="AO325" i="15" s="1"/>
  <c r="AP325" i="15" s="1"/>
  <c r="I227" i="15"/>
  <c r="O217" i="15"/>
  <c r="AO217" i="15" s="1"/>
  <c r="AP217" i="15" s="1"/>
  <c r="AB249" i="15"/>
  <c r="AN331" i="15"/>
  <c r="AO331" i="15" s="1"/>
  <c r="AP331" i="15" s="1"/>
  <c r="AO228" i="15"/>
  <c r="AO318" i="15"/>
  <c r="AO326" i="15"/>
  <c r="BB1648" i="6"/>
  <c r="AA243" i="15" s="1"/>
  <c r="I323" i="15"/>
  <c r="AO317" i="15"/>
  <c r="AO227" i="15"/>
  <c r="AP227" i="15" s="1"/>
  <c r="AN255" i="15"/>
  <c r="AO275" i="15"/>
  <c r="AN303" i="15"/>
  <c r="AC323" i="15"/>
  <c r="AB149" i="15"/>
  <c r="BE164" i="6"/>
  <c r="BB164" i="6" s="1"/>
  <c r="AA149" i="15" s="1"/>
  <c r="AB151" i="15"/>
  <c r="BE167" i="6"/>
  <c r="BB167" i="6" s="1"/>
  <c r="AA151" i="15" s="1"/>
  <c r="D756" i="7"/>
  <c r="D799" i="7" s="1"/>
  <c r="AB217" i="15"/>
  <c r="AE600" i="15"/>
  <c r="AC600" i="15" s="1"/>
  <c r="AE387" i="15"/>
  <c r="AC387" i="15" s="1"/>
  <c r="BB1132" i="7"/>
  <c r="AA493" i="15" s="1"/>
  <c r="D671" i="7"/>
  <c r="V558" i="7"/>
  <c r="AO9" i="15"/>
  <c r="AE14" i="15"/>
  <c r="AC14" i="15" s="1"/>
  <c r="BB12" i="3"/>
  <c r="AA14" i="15" s="1"/>
  <c r="AE33" i="15"/>
  <c r="AC33" i="15" s="1"/>
  <c r="AO207" i="15"/>
  <c r="AN239" i="15"/>
  <c r="AO239" i="15" s="1"/>
  <c r="AP239" i="15" s="1"/>
  <c r="AO197" i="15"/>
  <c r="AO330" i="15"/>
  <c r="W332" i="15"/>
  <c r="BB1660" i="6"/>
  <c r="AA249" i="15" s="1"/>
  <c r="AN333" i="15"/>
  <c r="AO333" i="15" s="1"/>
  <c r="AP333" i="15" s="1"/>
  <c r="BB1612" i="6"/>
  <c r="AA229" i="15" s="1"/>
  <c r="BB816" i="6"/>
  <c r="AA176" i="15" s="1"/>
  <c r="AB183" i="15"/>
  <c r="BB66" i="7"/>
  <c r="AA388" i="15" s="1"/>
  <c r="AE388" i="15"/>
  <c r="AC388" i="15" s="1"/>
  <c r="BB67" i="7"/>
  <c r="AA389" i="15" s="1"/>
  <c r="AE389" i="15"/>
  <c r="AC389" i="15" s="1"/>
  <c r="BB11" i="3"/>
  <c r="AA13" i="15" s="1"/>
  <c r="AO33" i="15"/>
  <c r="BB17" i="3"/>
  <c r="AA19" i="15" s="1"/>
  <c r="BB26" i="3"/>
  <c r="AA28" i="15" s="1"/>
  <c r="AE28" i="15"/>
  <c r="AC28" i="15" s="1"/>
  <c r="DG223" i="2"/>
  <c r="AA708" i="15" s="1"/>
  <c r="AE597" i="15"/>
  <c r="AC597" i="15" s="1"/>
  <c r="BB942" i="7"/>
  <c r="AA486" i="15" s="1"/>
  <c r="AE417" i="15"/>
  <c r="AC417" i="15" s="1"/>
  <c r="AE385" i="15"/>
  <c r="AC385" i="15" s="1"/>
  <c r="BB455" i="7"/>
  <c r="AA423" i="15" s="1"/>
  <c r="BB131" i="7"/>
  <c r="AA392" i="15" s="1"/>
  <c r="AN319" i="15"/>
  <c r="AO194" i="15"/>
  <c r="AF38" i="15"/>
  <c r="AC38" i="15" s="1"/>
  <c r="AO95" i="15"/>
  <c r="BB21" i="3"/>
  <c r="AA23" i="15" s="1"/>
  <c r="BB212" i="5"/>
  <c r="AA95" i="15" s="1"/>
  <c r="AE95" i="15"/>
  <c r="AC95" i="15" s="1"/>
  <c r="AO576" i="15"/>
  <c r="AE598" i="15"/>
  <c r="AC598" i="15" s="1"/>
  <c r="AO582" i="15"/>
  <c r="AO581" i="15"/>
  <c r="AO579" i="15"/>
  <c r="O578" i="15"/>
  <c r="U578" i="15" s="1"/>
  <c r="U581" i="15"/>
  <c r="O580" i="15"/>
  <c r="U580" i="15" s="1"/>
  <c r="AO274" i="15"/>
  <c r="AO23" i="15"/>
  <c r="W262" i="15"/>
  <c r="AO323" i="15"/>
  <c r="AP323" i="15" s="1"/>
  <c r="AO209" i="15"/>
  <c r="I112" i="15"/>
  <c r="AN112" i="15" s="1"/>
  <c r="AO322" i="15"/>
  <c r="AO252" i="15"/>
  <c r="AO222" i="15"/>
  <c r="AO230" i="15"/>
  <c r="AO281" i="15"/>
  <c r="AO328" i="15"/>
  <c r="AO248" i="15"/>
  <c r="AO240" i="15"/>
  <c r="W199" i="15"/>
  <c r="AO279" i="15"/>
  <c r="AO309" i="15"/>
  <c r="AO195" i="15"/>
  <c r="AO196" i="15"/>
  <c r="AO246" i="15"/>
  <c r="AO213" i="15"/>
  <c r="BB18" i="7"/>
  <c r="AA377" i="15" s="1"/>
  <c r="AO198" i="15"/>
  <c r="W324" i="15"/>
  <c r="AO287" i="15"/>
  <c r="AP287" i="15" s="1"/>
  <c r="AA511" i="15"/>
  <c r="BB940" i="7"/>
  <c r="AA485" i="15" s="1"/>
  <c r="BB846" i="7"/>
  <c r="AA468" i="15" s="1"/>
  <c r="BB603" i="7"/>
  <c r="AA437" i="15" s="1"/>
  <c r="AB437" i="15"/>
  <c r="BB606" i="7"/>
  <c r="AA439" i="15" s="1"/>
  <c r="AB439" i="15"/>
  <c r="BB607" i="7"/>
  <c r="AA440" i="15" s="1"/>
  <c r="AE473" i="15"/>
  <c r="AC473" i="15" s="1"/>
  <c r="BB891" i="7"/>
  <c r="AA473" i="15" s="1"/>
  <c r="AE369" i="15"/>
  <c r="AC369" i="15" s="1"/>
  <c r="BB1142" i="7"/>
  <c r="AA503" i="15" s="1"/>
  <c r="AE511" i="15"/>
  <c r="AC511" i="15" s="1"/>
  <c r="BB136" i="7"/>
  <c r="AA397" i="15" s="1"/>
  <c r="AE492" i="15"/>
  <c r="AC492" i="15" s="1"/>
  <c r="BB147" i="7"/>
  <c r="AA408" i="15" s="1"/>
  <c r="BB454" i="7"/>
  <c r="AA422" i="15" s="1"/>
  <c r="AE382" i="15"/>
  <c r="AC382" i="15" s="1"/>
  <c r="AE418" i="15"/>
  <c r="AC418" i="15" s="1"/>
  <c r="AE436" i="15"/>
  <c r="AC436" i="15" s="1"/>
  <c r="BB565" i="7"/>
  <c r="AA432" i="15" s="1"/>
  <c r="AE427" i="15"/>
  <c r="AC427" i="15" s="1"/>
  <c r="BB494" i="7"/>
  <c r="AA427" i="15" s="1"/>
  <c r="AE426" i="15"/>
  <c r="AC426" i="15" s="1"/>
  <c r="BB493" i="7"/>
  <c r="AA426" i="15" s="1"/>
  <c r="BB140" i="7"/>
  <c r="AA401" i="15" s="1"/>
  <c r="BB64" i="7"/>
  <c r="AA386" i="15" s="1"/>
  <c r="BB57" i="16"/>
  <c r="AA36" i="15" s="1"/>
  <c r="AC36" i="15"/>
  <c r="DG315" i="2"/>
  <c r="AA719" i="15" s="1"/>
  <c r="DG293" i="2"/>
  <c r="AA715" i="15" s="1"/>
  <c r="BB76" i="9"/>
  <c r="AA589" i="15" s="1"/>
  <c r="BB83" i="9"/>
  <c r="AA596" i="15" s="1"/>
  <c r="AE402" i="15"/>
  <c r="AC402" i="15" s="1"/>
  <c r="BB848" i="7"/>
  <c r="AA470" i="15" s="1"/>
  <c r="BB1147" i="7"/>
  <c r="AA508" i="15" s="1"/>
  <c r="AE373" i="15"/>
  <c r="AC373" i="15" s="1"/>
  <c r="BB14" i="7"/>
  <c r="AA373" i="15" s="1"/>
  <c r="AE472" i="15"/>
  <c r="AC472" i="15" s="1"/>
  <c r="BB890" i="7"/>
  <c r="AA472" i="15" s="1"/>
  <c r="AE504" i="15"/>
  <c r="AC504" i="15" s="1"/>
  <c r="BB892" i="7"/>
  <c r="AA474" i="15" s="1"/>
  <c r="AE474" i="15"/>
  <c r="AC474" i="15" s="1"/>
  <c r="AE384" i="15"/>
  <c r="AC384" i="15" s="1"/>
  <c r="I428" i="15"/>
  <c r="AN428" i="15" s="1"/>
  <c r="DG314" i="2"/>
  <c r="AA718" i="15" s="1"/>
  <c r="K4442" i="6"/>
  <c r="X4382" i="6"/>
  <c r="R1950" i="6"/>
  <c r="K4254" i="6" s="1"/>
  <c r="K1724" i="6" s="1"/>
  <c r="K4216" i="6"/>
  <c r="K4382" i="6"/>
  <c r="K4220" i="6"/>
  <c r="X4442" i="6"/>
  <c r="Q1949" i="6"/>
  <c r="X4220" i="6"/>
  <c r="X4216" i="6"/>
  <c r="AE325" i="15"/>
  <c r="AC325" i="15" s="1"/>
  <c r="BB1902" i="6"/>
  <c r="AA325" i="15" s="1"/>
  <c r="O180" i="15"/>
  <c r="W180" i="15" s="1"/>
  <c r="X4370" i="6"/>
  <c r="X4354" i="6"/>
  <c r="X4346" i="6"/>
  <c r="X4276" i="6"/>
  <c r="I287" i="15"/>
  <c r="BB1640" i="6"/>
  <c r="AA239" i="15" s="1"/>
  <c r="AN229" i="15"/>
  <c r="AO229" i="15" s="1"/>
  <c r="AE327" i="15"/>
  <c r="AC327" i="15" s="1"/>
  <c r="BB1906" i="6"/>
  <c r="AA327" i="15" s="1"/>
  <c r="AN263" i="15"/>
  <c r="AO238" i="15"/>
  <c r="AN204" i="15"/>
  <c r="AO204" i="15" s="1"/>
  <c r="I204" i="15"/>
  <c r="BB1568" i="6"/>
  <c r="AA215" i="15" s="1"/>
  <c r="AE215" i="15"/>
  <c r="AC215" i="15" s="1"/>
  <c r="AN215" i="15"/>
  <c r="AO215" i="15" s="1"/>
  <c r="I215" i="15"/>
  <c r="Y1180" i="6"/>
  <c r="Y1181" i="6" s="1"/>
  <c r="Y1182" i="6" s="1"/>
  <c r="Y1183" i="6" s="1"/>
  <c r="Y1184" i="6" s="1"/>
  <c r="Y1189" i="6" s="1"/>
  <c r="Y1190" i="6" s="1"/>
  <c r="Y1193" i="6" s="1"/>
  <c r="Y1194" i="6" s="1"/>
  <c r="Y1195" i="6" s="1"/>
  <c r="Y1196" i="6" s="1"/>
  <c r="Y1197" i="6" s="1"/>
  <c r="Y1198" i="6" s="1"/>
  <c r="Y1199" i="6" s="1"/>
  <c r="Y1200" i="6" s="1"/>
  <c r="Y1201" i="6" s="1"/>
  <c r="Y1202" i="6" s="1"/>
  <c r="Y1203" i="6" s="1"/>
  <c r="Y1204" i="6" s="1"/>
  <c r="Y1205" i="6" s="1"/>
  <c r="Y1206" i="6" s="1"/>
  <c r="Y1207" i="6" s="1"/>
  <c r="Y1212" i="6" s="1"/>
  <c r="Y1213" i="6" s="1"/>
  <c r="Y1216" i="6" s="1"/>
  <c r="Y1217" i="6" s="1"/>
  <c r="Y1218" i="6" s="1"/>
  <c r="Y1219" i="6" s="1"/>
  <c r="Y1295" i="6"/>
  <c r="AE178" i="15"/>
  <c r="AC178" i="15" s="1"/>
  <c r="BB820" i="6"/>
  <c r="AA178" i="15" s="1"/>
  <c r="W178" i="15"/>
  <c r="AO178" i="15"/>
  <c r="AB177" i="15"/>
  <c r="AC231" i="15"/>
  <c r="BB1616" i="6"/>
  <c r="AA231" i="15" s="1"/>
  <c r="AO231" i="15"/>
  <c r="AP231" i="15" s="1"/>
  <c r="AB152" i="15"/>
  <c r="BB169" i="6"/>
  <c r="AA152" i="15" s="1"/>
  <c r="J771" i="6"/>
  <c r="K175" i="6" s="1"/>
  <c r="BE175" i="6" s="1"/>
  <c r="R217" i="6"/>
  <c r="J772" i="6"/>
  <c r="K176" i="6" s="1"/>
  <c r="BE176" i="6" s="1"/>
  <c r="J774" i="6"/>
  <c r="K178" i="6" s="1"/>
  <c r="BE178" i="6" s="1"/>
  <c r="J777" i="6"/>
  <c r="K181" i="6" s="1"/>
  <c r="BE181" i="6" s="1"/>
  <c r="Q216" i="6"/>
  <c r="J776" i="6"/>
  <c r="K180" i="6" s="1"/>
  <c r="BE180" i="6" s="1"/>
  <c r="BB171" i="6"/>
  <c r="AA153" i="15" s="1"/>
  <c r="AB153" i="15"/>
  <c r="BB166" i="6"/>
  <c r="AA150" i="15" s="1"/>
  <c r="AB150" i="15"/>
  <c r="AB154" i="15"/>
  <c r="BB172" i="6"/>
  <c r="AA154" i="15" s="1"/>
  <c r="K830" i="6"/>
  <c r="BE830" i="6" s="1"/>
  <c r="J1182" i="6"/>
  <c r="X1297" i="6"/>
  <c r="Y1297" i="6"/>
  <c r="M4168" i="6"/>
  <c r="L4168" i="6" s="1"/>
  <c r="M4200" i="6"/>
  <c r="L4200" i="6" s="1"/>
  <c r="M4140" i="6"/>
  <c r="L4140" i="6" s="1"/>
  <c r="M4172" i="6"/>
  <c r="L4172" i="6" s="1"/>
  <c r="M4270" i="6"/>
  <c r="L4270" i="6" s="1"/>
  <c r="K4270" i="6" s="1"/>
  <c r="M4384" i="6"/>
  <c r="L4384" i="6" s="1"/>
  <c r="K4384" i="6" s="1"/>
  <c r="M4252" i="6"/>
  <c r="L4252" i="6" s="1"/>
  <c r="M4264" i="6"/>
  <c r="L4264" i="6" s="1"/>
  <c r="M4370" i="6"/>
  <c r="L4370" i="6" s="1"/>
  <c r="K4370" i="6" s="1"/>
  <c r="M4228" i="6"/>
  <c r="L4228" i="6" s="1"/>
  <c r="M4382" i="6"/>
  <c r="L4382" i="6" s="1"/>
  <c r="M4282" i="6"/>
  <c r="L4282" i="6" s="1"/>
  <c r="K4282" i="6" s="1"/>
  <c r="M4108" i="6"/>
  <c r="L4108" i="6" s="1"/>
  <c r="K4108" i="6" s="1"/>
  <c r="M4268" i="6"/>
  <c r="L4268" i="6" s="1"/>
  <c r="M4236" i="6"/>
  <c r="L4236" i="6" s="1"/>
  <c r="M4188" i="6"/>
  <c r="L4188" i="6" s="1"/>
  <c r="M4434" i="6"/>
  <c r="L4434" i="6" s="1"/>
  <c r="M4274" i="6"/>
  <c r="L4274" i="6" s="1"/>
  <c r="M4256" i="6"/>
  <c r="L4256" i="6" s="1"/>
  <c r="M4346" i="6"/>
  <c r="L4346" i="6" s="1"/>
  <c r="K4346" i="6" s="1"/>
  <c r="M4378" i="6"/>
  <c r="L4378" i="6" s="1"/>
  <c r="K4378" i="6" s="1"/>
  <c r="M4152" i="6"/>
  <c r="L4152" i="6" s="1"/>
  <c r="K4152" i="6" s="1"/>
  <c r="M4196" i="6"/>
  <c r="L4196" i="6" s="1"/>
  <c r="M4184" i="6"/>
  <c r="L4184" i="6" s="1"/>
  <c r="M4144" i="6"/>
  <c r="L4144" i="6" s="1"/>
  <c r="M4442" i="6"/>
  <c r="L4442" i="6" s="1"/>
  <c r="M4414" i="6"/>
  <c r="L4414" i="6" s="1"/>
  <c r="M4430" i="6"/>
  <c r="L4430" i="6" s="1"/>
  <c r="M4290" i="6"/>
  <c r="L4290" i="6" s="1"/>
  <c r="K4290" i="6" s="1"/>
  <c r="M4132" i="6"/>
  <c r="L4132" i="6" s="1"/>
  <c r="K4132" i="6" s="1"/>
  <c r="M4338" i="6"/>
  <c r="L4338" i="6" s="1"/>
  <c r="K4338" i="6" s="1"/>
  <c r="M4276" i="6"/>
  <c r="L4276" i="6" s="1"/>
  <c r="K4276" i="6" s="1"/>
  <c r="M4400" i="6"/>
  <c r="L4400" i="6" s="1"/>
  <c r="K4400" i="6" s="1"/>
  <c r="M4208" i="6"/>
  <c r="L4208" i="6" s="1"/>
  <c r="K4208" i="6" s="1"/>
  <c r="M4176" i="6"/>
  <c r="L4176" i="6" s="1"/>
  <c r="M4306" i="6"/>
  <c r="L4306" i="6" s="1"/>
  <c r="K4306" i="6" s="1"/>
  <c r="M4408" i="6"/>
  <c r="L4408" i="6" s="1"/>
  <c r="M4280" i="6"/>
  <c r="L4280" i="6" s="1"/>
  <c r="M4412" i="6"/>
  <c r="L4412" i="6" s="1"/>
  <c r="M4438" i="6"/>
  <c r="L4438" i="6" s="1"/>
  <c r="M4322" i="6"/>
  <c r="L4322" i="6" s="1"/>
  <c r="K4322" i="6" s="1"/>
  <c r="M4220" i="6"/>
  <c r="L4220" i="6" s="1"/>
  <c r="M4216" i="6"/>
  <c r="L4216" i="6" s="1"/>
  <c r="M4422" i="6"/>
  <c r="L4422" i="6" s="1"/>
  <c r="M4314" i="6"/>
  <c r="L4314" i="6" s="1"/>
  <c r="K4314" i="6" s="1"/>
  <c r="M4354" i="6"/>
  <c r="L4354" i="6" s="1"/>
  <c r="K4354" i="6" s="1"/>
  <c r="M4124" i="6"/>
  <c r="L4124" i="6" s="1"/>
  <c r="M4446" i="6"/>
  <c r="L4446" i="6" s="1"/>
  <c r="I315" i="15"/>
  <c r="AN315" i="15"/>
  <c r="AO315" i="15" s="1"/>
  <c r="AP315" i="15" s="1"/>
  <c r="I827" i="6"/>
  <c r="R182" i="15" s="1"/>
  <c r="O182" i="15" s="1"/>
  <c r="W182" i="15" s="1"/>
  <c r="L182" i="15"/>
  <c r="I182" i="15" s="1"/>
  <c r="AN182" i="15"/>
  <c r="AN307" i="15"/>
  <c r="AO307" i="15" s="1"/>
  <c r="AP307" i="15" s="1"/>
  <c r="AE634" i="15"/>
  <c r="AC634" i="15" s="1"/>
  <c r="BB12" i="9"/>
  <c r="AA580" i="15" s="1"/>
  <c r="AE581" i="15"/>
  <c r="AC581" i="15" s="1"/>
  <c r="BB13" i="9"/>
  <c r="AA581" i="15" s="1"/>
  <c r="BB260" i="5"/>
  <c r="AA96" i="15" s="1"/>
  <c r="F9" i="6"/>
  <c r="AE626" i="15"/>
  <c r="AC626" i="15" s="1"/>
  <c r="BB514" i="9"/>
  <c r="AA630" i="15" s="1"/>
  <c r="BB517" i="9"/>
  <c r="AA633" i="15" s="1"/>
  <c r="I634" i="15"/>
  <c r="AN634" i="15" s="1"/>
  <c r="I518" i="9"/>
  <c r="O634" i="15" s="1"/>
  <c r="V634" i="15" s="1"/>
  <c r="AE591" i="15"/>
  <c r="AC591" i="15" s="1"/>
  <c r="BB74" i="9"/>
  <c r="AA587" i="15" s="1"/>
  <c r="AE632" i="15"/>
  <c r="AC632" i="15" s="1"/>
  <c r="BB513" i="9"/>
  <c r="AA629" i="15" s="1"/>
  <c r="BB80" i="9"/>
  <c r="AA593" i="15" s="1"/>
  <c r="AE593" i="15"/>
  <c r="AC593" i="15" s="1"/>
  <c r="BB79" i="9"/>
  <c r="AA592" i="15" s="1"/>
  <c r="AE592" i="15"/>
  <c r="AC592" i="15" s="1"/>
  <c r="AE594" i="15"/>
  <c r="AC594" i="15" s="1"/>
  <c r="BB81" i="9"/>
  <c r="AA594" i="15" s="1"/>
  <c r="BB148" i="7"/>
  <c r="AA409" i="15" s="1"/>
  <c r="BB134" i="7"/>
  <c r="AA395" i="15" s="1"/>
  <c r="BB138" i="7"/>
  <c r="AA399" i="15" s="1"/>
  <c r="AE415" i="15"/>
  <c r="AC415" i="15" s="1"/>
  <c r="AE390" i="15"/>
  <c r="AC390" i="15" s="1"/>
  <c r="AE404" i="15"/>
  <c r="AC404" i="15" s="1"/>
  <c r="BB137" i="7"/>
  <c r="AA398" i="15" s="1"/>
  <c r="BB146" i="7"/>
  <c r="AA407" i="15" s="1"/>
  <c r="AA512" i="15"/>
  <c r="AE410" i="15"/>
  <c r="AC410" i="15" s="1"/>
  <c r="BB457" i="7"/>
  <c r="AA425" i="15" s="1"/>
  <c r="BB132" i="7"/>
  <c r="AA393" i="15" s="1"/>
  <c r="AE393" i="15"/>
  <c r="AC393" i="15" s="1"/>
  <c r="BB139" i="7"/>
  <c r="AA400" i="15" s="1"/>
  <c r="AE400" i="15"/>
  <c r="AC400" i="15" s="1"/>
  <c r="BB158" i="7"/>
  <c r="AA419" i="15" s="1"/>
  <c r="BB150" i="7"/>
  <c r="AA411" i="15" s="1"/>
  <c r="W412" i="15"/>
  <c r="AE416" i="15"/>
  <c r="AC416" i="15" s="1"/>
  <c r="BB155" i="7"/>
  <c r="AA416" i="15" s="1"/>
  <c r="AE505" i="15"/>
  <c r="AC505" i="15" s="1"/>
  <c r="AB117" i="15"/>
  <c r="AB114" i="15"/>
  <c r="I45" i="6"/>
  <c r="AB113" i="15"/>
  <c r="I60" i="6"/>
  <c r="BB262" i="5"/>
  <c r="AA98" i="15" s="1"/>
  <c r="AO98" i="15"/>
  <c r="AE94" i="15"/>
  <c r="AC94" i="15" s="1"/>
  <c r="AO94" i="15"/>
  <c r="AO70" i="15"/>
  <c r="AO92" i="15"/>
  <c r="AE70" i="15"/>
  <c r="AC70" i="15" s="1"/>
  <c r="BB10" i="5"/>
  <c r="AA70" i="15" s="1"/>
  <c r="BB7" i="16"/>
  <c r="AA35" i="15" s="1"/>
  <c r="BB228" i="16"/>
  <c r="AA59" i="15" s="1"/>
  <c r="AE59" i="15"/>
  <c r="AC59" i="15" s="1"/>
  <c r="O526" i="15"/>
  <c r="V526" i="15" s="1"/>
  <c r="I526" i="15"/>
  <c r="AN526" i="15" s="1"/>
  <c r="BB27" i="3"/>
  <c r="AA29" i="15" s="1"/>
  <c r="AE31" i="15"/>
  <c r="AC31" i="15" s="1"/>
  <c r="BB29" i="3"/>
  <c r="AA31" i="15" s="1"/>
  <c r="AO29" i="15"/>
  <c r="AE24" i="15"/>
  <c r="AC24" i="15" s="1"/>
  <c r="BB22" i="3"/>
  <c r="AA24" i="15" s="1"/>
  <c r="BB8" i="3"/>
  <c r="AA10" i="15" s="1"/>
  <c r="AE10" i="15"/>
  <c r="AC10" i="15" s="1"/>
  <c r="AO10" i="15"/>
  <c r="AO24" i="15"/>
  <c r="DG219" i="2"/>
  <c r="AA704" i="15" s="1"/>
  <c r="DG292" i="2"/>
  <c r="AA714" i="15" s="1"/>
  <c r="DG619" i="2"/>
  <c r="AA773" i="15" s="1"/>
  <c r="BB282" i="9"/>
  <c r="AA607" i="15" s="1"/>
  <c r="AB607" i="15"/>
  <c r="AO20" i="15"/>
  <c r="BB133" i="7"/>
  <c r="AA394" i="15" s="1"/>
  <c r="AE394" i="15"/>
  <c r="AC394" i="15" s="1"/>
  <c r="AB181" i="15"/>
  <c r="BB18" i="3"/>
  <c r="AA20" i="15" s="1"/>
  <c r="AE20" i="15"/>
  <c r="AC20" i="15" s="1"/>
  <c r="AE92" i="15"/>
  <c r="AC92" i="15" s="1"/>
  <c r="BB209" i="5"/>
  <c r="AA92" i="15" s="1"/>
  <c r="AF40" i="15"/>
  <c r="AC40" i="15" s="1"/>
  <c r="BB65" i="16"/>
  <c r="AA40" i="15" s="1"/>
  <c r="AE391" i="15"/>
  <c r="AC391" i="15" s="1"/>
  <c r="BB130" i="7"/>
  <c r="AA391" i="15" s="1"/>
  <c r="I180" i="15"/>
  <c r="AN180" i="15"/>
  <c r="AE180" i="15"/>
  <c r="AC180" i="15" s="1"/>
  <c r="BB822" i="6"/>
  <c r="AA180" i="15" s="1"/>
  <c r="V755" i="7"/>
  <c r="D798" i="7"/>
  <c r="BB24" i="3"/>
  <c r="AA26" i="15" s="1"/>
  <c r="AE26" i="15"/>
  <c r="AC26" i="15" s="1"/>
  <c r="AE299" i="15"/>
  <c r="AC299" i="15" s="1"/>
  <c r="BB284" i="9"/>
  <c r="AA609" i="15" s="1"/>
  <c r="AB609" i="15"/>
  <c r="M212" i="15"/>
  <c r="J212" i="15" s="1"/>
  <c r="S212" i="15"/>
  <c r="P212" i="15" s="1"/>
  <c r="W212" i="15" s="1"/>
  <c r="DG221" i="2"/>
  <c r="AA706" i="15" s="1"/>
  <c r="BB280" i="9"/>
  <c r="AA605" i="15" s="1"/>
  <c r="AB605" i="15"/>
  <c r="AO26" i="15"/>
  <c r="AO36" i="15"/>
  <c r="DG222" i="2"/>
  <c r="AA707" i="15" s="1"/>
  <c r="AE792" i="15"/>
  <c r="AC792" i="15" s="1"/>
  <c r="DG830" i="2"/>
  <c r="AA792" i="15" s="1"/>
  <c r="AE227" i="15"/>
  <c r="AC227" i="15" s="1"/>
  <c r="AN299" i="15"/>
  <c r="AO299" i="15" s="1"/>
  <c r="AP299" i="15" s="1"/>
  <c r="I299" i="15"/>
  <c r="AE507" i="15"/>
  <c r="AC507" i="15" s="1"/>
  <c r="BB1146" i="7"/>
  <c r="AA507" i="15" s="1"/>
  <c r="AE713" i="15"/>
  <c r="AC713" i="15" s="1"/>
  <c r="DG291" i="2"/>
  <c r="AA713" i="15" s="1"/>
  <c r="AE717" i="15"/>
  <c r="AC717" i="15" s="1"/>
  <c r="DG313" i="2"/>
  <c r="AA717" i="15" s="1"/>
  <c r="AE716" i="15"/>
  <c r="AC716" i="15" s="1"/>
  <c r="DG294" i="2"/>
  <c r="AA716" i="15" s="1"/>
  <c r="DG220" i="2"/>
  <c r="AA705" i="15" s="1"/>
  <c r="AO428" i="15" l="1"/>
  <c r="AE430" i="15"/>
  <c r="AC430" i="15" s="1"/>
  <c r="AB273" i="15"/>
  <c r="BE1724" i="6"/>
  <c r="BB1724" i="6" s="1"/>
  <c r="AA273" i="15" s="1"/>
  <c r="AN270" i="15"/>
  <c r="AO270" i="15" s="1"/>
  <c r="AP270" i="15" s="1"/>
  <c r="AO311" i="15"/>
  <c r="AP311" i="15" s="1"/>
  <c r="I296" i="15"/>
  <c r="AN250" i="15"/>
  <c r="AO250" i="15" s="1"/>
  <c r="AP250" i="15" s="1"/>
  <c r="I256" i="15"/>
  <c r="AN264" i="15"/>
  <c r="AO264" i="15" s="1"/>
  <c r="AP264" i="15" s="1"/>
  <c r="AN312" i="15"/>
  <c r="AO312" i="15" s="1"/>
  <c r="AP312" i="15" s="1"/>
  <c r="AN321" i="15"/>
  <c r="AO321" i="15" s="1"/>
  <c r="AP321" i="15" s="1"/>
  <c r="AN236" i="15"/>
  <c r="AO236" i="15" s="1"/>
  <c r="AP236" i="15" s="1"/>
  <c r="I313" i="15"/>
  <c r="AN251" i="15"/>
  <c r="AO251" i="15" s="1"/>
  <c r="AP251" i="15" s="1"/>
  <c r="AN244" i="15"/>
  <c r="AO244" i="15" s="1"/>
  <c r="AP244" i="15" s="1"/>
  <c r="AO112" i="15"/>
  <c r="I304" i="15"/>
  <c r="AN245" i="15"/>
  <c r="AO245" i="15" s="1"/>
  <c r="AP245" i="15" s="1"/>
  <c r="AN265" i="15"/>
  <c r="AO265" i="15" s="1"/>
  <c r="AP265" i="15" s="1"/>
  <c r="AN297" i="15"/>
  <c r="AO297" i="15" s="1"/>
  <c r="AP297" i="15" s="1"/>
  <c r="I257" i="15"/>
  <c r="AN305" i="15"/>
  <c r="AO305" i="15" s="1"/>
  <c r="AP305" i="15" s="1"/>
  <c r="M9" i="6"/>
  <c r="O113" i="15" s="1"/>
  <c r="W113" i="15" s="1"/>
  <c r="BD9" i="6"/>
  <c r="AE113" i="15" s="1"/>
  <c r="AC113" i="15" s="1"/>
  <c r="M270" i="15"/>
  <c r="J270" i="15" s="1"/>
  <c r="BD1716" i="6"/>
  <c r="AG270" i="15" s="1"/>
  <c r="AD270" i="15" s="1"/>
  <c r="M236" i="15"/>
  <c r="J236" i="15" s="1"/>
  <c r="BD1632" i="6"/>
  <c r="AC569" i="15"/>
  <c r="AC570" i="15"/>
  <c r="AC571" i="15"/>
  <c r="AO634" i="15"/>
  <c r="AC567" i="15"/>
  <c r="AO526" i="15"/>
  <c r="AO380" i="15"/>
  <c r="AC573" i="15"/>
  <c r="V571" i="15"/>
  <c r="O571" i="15"/>
  <c r="AO571" i="15" s="1"/>
  <c r="O573" i="15"/>
  <c r="AO573" i="15" s="1"/>
  <c r="V573" i="15"/>
  <c r="V570" i="15"/>
  <c r="O570" i="15"/>
  <c r="AO570" i="15" s="1"/>
  <c r="V567" i="15"/>
  <c r="O567" i="15"/>
  <c r="AO567" i="15" s="1"/>
  <c r="AC568" i="15"/>
  <c r="V572" i="15"/>
  <c r="O572" i="15"/>
  <c r="AO572" i="15" s="1"/>
  <c r="AO378" i="15"/>
  <c r="V568" i="15"/>
  <c r="O568" i="15"/>
  <c r="AO568" i="15" s="1"/>
  <c r="AC572" i="15"/>
  <c r="AO379" i="15"/>
  <c r="V569" i="15"/>
  <c r="O569" i="15"/>
  <c r="AO569" i="15" s="1"/>
  <c r="AB155" i="15"/>
  <c r="BB1310" i="7"/>
  <c r="AA529" i="15" s="1"/>
  <c r="BB1308" i="7"/>
  <c r="AA528" i="15" s="1"/>
  <c r="R218" i="6"/>
  <c r="AD778" i="6"/>
  <c r="AD786" i="6"/>
  <c r="AD785" i="6"/>
  <c r="AD783" i="6"/>
  <c r="AD781" i="6"/>
  <c r="AD780" i="6"/>
  <c r="F831" i="6"/>
  <c r="BD831" i="6" s="1"/>
  <c r="W249" i="15"/>
  <c r="AO303" i="15"/>
  <c r="AP303" i="15" s="1"/>
  <c r="BB1452" i="7"/>
  <c r="AA573" i="15" s="1"/>
  <c r="BB1440" i="7"/>
  <c r="AA567" i="15" s="1"/>
  <c r="BB1446" i="7"/>
  <c r="AA570" i="15" s="1"/>
  <c r="BB1448" i="7"/>
  <c r="AA571" i="15" s="1"/>
  <c r="BB1442" i="7"/>
  <c r="AA568" i="15" s="1"/>
  <c r="BB1438" i="7"/>
  <c r="AA566" i="15" s="1"/>
  <c r="BB1444" i="7"/>
  <c r="AA569" i="15" s="1"/>
  <c r="BB456" i="7"/>
  <c r="AA424" i="15" s="1"/>
  <c r="BB1450" i="7"/>
  <c r="AA572" i="15" s="1"/>
  <c r="AB328" i="15"/>
  <c r="BB1674" i="6"/>
  <c r="AA256" i="15" s="1"/>
  <c r="AE256" i="15"/>
  <c r="AC256" i="15" s="1"/>
  <c r="BB1652" i="6"/>
  <c r="AA245" i="15" s="1"/>
  <c r="AE245" i="15"/>
  <c r="AC245" i="15" s="1"/>
  <c r="BB1676" i="6"/>
  <c r="AA257" i="15" s="1"/>
  <c r="AE257" i="15"/>
  <c r="AC257" i="15" s="1"/>
  <c r="AO296" i="15"/>
  <c r="AP296" i="15" s="1"/>
  <c r="AO304" i="15"/>
  <c r="AP304" i="15" s="1"/>
  <c r="AO313" i="15"/>
  <c r="AP313" i="15" s="1"/>
  <c r="AO257" i="15"/>
  <c r="AP257" i="15" s="1"/>
  <c r="BE1694" i="6"/>
  <c r="BB1694" i="6" s="1"/>
  <c r="AA264" i="15" s="1"/>
  <c r="AB264" i="15"/>
  <c r="BB1664" i="6"/>
  <c r="AA251" i="15" s="1"/>
  <c r="AE251" i="15"/>
  <c r="AC251" i="15" s="1"/>
  <c r="AO256" i="15"/>
  <c r="AP256" i="15" s="1"/>
  <c r="BE1696" i="6"/>
  <c r="BB1696" i="6" s="1"/>
  <c r="AA265" i="15" s="1"/>
  <c r="AB265" i="15"/>
  <c r="BB1662" i="6"/>
  <c r="AA250" i="15" s="1"/>
  <c r="AE250" i="15"/>
  <c r="AC250" i="15" s="1"/>
  <c r="BB1650" i="6"/>
  <c r="AA244" i="15" s="1"/>
  <c r="AE244" i="15"/>
  <c r="AC244" i="15" s="1"/>
  <c r="BE1832" i="6"/>
  <c r="BB1832" i="6" s="1"/>
  <c r="AA304" i="15" s="1"/>
  <c r="AB304" i="15"/>
  <c r="BE1804" i="6"/>
  <c r="BB1804" i="6" s="1"/>
  <c r="AA297" i="15" s="1"/>
  <c r="AB297" i="15"/>
  <c r="BE1630" i="6"/>
  <c r="AB236" i="15"/>
  <c r="BE1862" i="6"/>
  <c r="BB1862" i="6" s="1"/>
  <c r="AA312" i="15" s="1"/>
  <c r="AB312" i="15"/>
  <c r="BE1634" i="6"/>
  <c r="AB237" i="15"/>
  <c r="BE1820" i="6"/>
  <c r="BB1820" i="6" s="1"/>
  <c r="AA301" i="15" s="1"/>
  <c r="AB301" i="15"/>
  <c r="BE1866" i="6"/>
  <c r="BB1866" i="6" s="1"/>
  <c r="AA313" i="15" s="1"/>
  <c r="AB313" i="15"/>
  <c r="BE1788" i="6"/>
  <c r="BB1788" i="6" s="1"/>
  <c r="AA293" i="15" s="1"/>
  <c r="AB293" i="15"/>
  <c r="BE1756" i="6"/>
  <c r="BB1756" i="6" s="1"/>
  <c r="AA285" i="15" s="1"/>
  <c r="AB285" i="15"/>
  <c r="BE1586" i="6"/>
  <c r="BB1586" i="6" s="1"/>
  <c r="AA220" i="15" s="1"/>
  <c r="AB220" i="15"/>
  <c r="BE1800" i="6"/>
  <c r="BB1800" i="6" s="1"/>
  <c r="AA296" i="15" s="1"/>
  <c r="AB296" i="15"/>
  <c r="BE1538" i="6"/>
  <c r="BB1538" i="6" s="1"/>
  <c r="AA205" i="15" s="1"/>
  <c r="AB205" i="15"/>
  <c r="BE1682" i="6"/>
  <c r="BB1682" i="6" s="1"/>
  <c r="AA259" i="15" s="1"/>
  <c r="AB259" i="15"/>
  <c r="BE1556" i="6"/>
  <c r="BB1556" i="6" s="1"/>
  <c r="AA211" i="15" s="1"/>
  <c r="AB211" i="15"/>
  <c r="BE1768" i="6"/>
  <c r="BB1768" i="6" s="1"/>
  <c r="AA288" i="15" s="1"/>
  <c r="AB288" i="15"/>
  <c r="BE1836" i="6"/>
  <c r="BB1836" i="6" s="1"/>
  <c r="AA305" i="15" s="1"/>
  <c r="AB305" i="15"/>
  <c r="BE1590" i="6"/>
  <c r="BB1590" i="6" s="1"/>
  <c r="AA221" i="15" s="1"/>
  <c r="AB221" i="15"/>
  <c r="BE1772" i="6"/>
  <c r="BB1772" i="6" s="1"/>
  <c r="AA289" i="15" s="1"/>
  <c r="AB289" i="15"/>
  <c r="BB19" i="7"/>
  <c r="AA378" i="15" s="1"/>
  <c r="AE378" i="15"/>
  <c r="AC378" i="15" s="1"/>
  <c r="BB21" i="7"/>
  <c r="AA380" i="15" s="1"/>
  <c r="AE380" i="15"/>
  <c r="AC380" i="15" s="1"/>
  <c r="BB20" i="7"/>
  <c r="AA379" i="15" s="1"/>
  <c r="AE379" i="15"/>
  <c r="AC379" i="15" s="1"/>
  <c r="AO263" i="15"/>
  <c r="AP263" i="15" s="1"/>
  <c r="AO255" i="15"/>
  <c r="AP255" i="15" s="1"/>
  <c r="AO243" i="15"/>
  <c r="AP243" i="15" s="1"/>
  <c r="AO319" i="15"/>
  <c r="AP319" i="15" s="1"/>
  <c r="AO295" i="15"/>
  <c r="AP295" i="15" s="1"/>
  <c r="K4244" i="6"/>
  <c r="K1714" i="6" s="1"/>
  <c r="BB1574" i="6"/>
  <c r="AA217" i="15" s="1"/>
  <c r="AE217" i="15"/>
  <c r="AC217" i="15" s="1"/>
  <c r="K4426" i="6"/>
  <c r="K1896" i="6" s="1"/>
  <c r="BE1896" i="6" s="1"/>
  <c r="F1720" i="6"/>
  <c r="F1718" i="6"/>
  <c r="K4232" i="6"/>
  <c r="K1702" i="6" s="1"/>
  <c r="K4240" i="6"/>
  <c r="K1710" i="6" s="1"/>
  <c r="BE1710" i="6" s="1"/>
  <c r="BE1666" i="6"/>
  <c r="BB1666" i="6" s="1"/>
  <c r="AA252" i="15" s="1"/>
  <c r="M4248" i="6"/>
  <c r="L4248" i="6" s="1"/>
  <c r="K4248" i="6" s="1"/>
  <c r="K1718" i="6" s="1"/>
  <c r="I1632" i="6"/>
  <c r="S236" i="15" s="1"/>
  <c r="P236" i="15" s="1"/>
  <c r="W236" i="15" s="1"/>
  <c r="BE1670" i="6"/>
  <c r="BB1670" i="6" s="1"/>
  <c r="AA254" i="15" s="1"/>
  <c r="F1636" i="6"/>
  <c r="F1634" i="6"/>
  <c r="K4260" i="6"/>
  <c r="K1730" i="6" s="1"/>
  <c r="K4420" i="6"/>
  <c r="K1890" i="6" s="1"/>
  <c r="K4418" i="6"/>
  <c r="K1888" i="6" s="1"/>
  <c r="K4416" i="6"/>
  <c r="K1886" i="6" s="1"/>
  <c r="BE1886" i="6" s="1"/>
  <c r="K4258" i="6"/>
  <c r="K1728" i="6" s="1"/>
  <c r="BE1728" i="6" s="1"/>
  <c r="K4448" i="6"/>
  <c r="K1918" i="6" s="1"/>
  <c r="BE1918" i="6" s="1"/>
  <c r="K4262" i="6"/>
  <c r="K1732" i="6" s="1"/>
  <c r="BE1750" i="6"/>
  <c r="BB1750" i="6" s="1"/>
  <c r="AA283" i="15" s="1"/>
  <c r="I1716" i="6"/>
  <c r="S270" i="15" s="1"/>
  <c r="P270" i="15" s="1"/>
  <c r="W270" i="15" s="1"/>
  <c r="K1852" i="6"/>
  <c r="AB309" i="15" s="1"/>
  <c r="K1686" i="6"/>
  <c r="AB260" i="15" s="1"/>
  <c r="R1951" i="6"/>
  <c r="K4446" i="6"/>
  <c r="K1916" i="6" s="1"/>
  <c r="BE1916" i="6" s="1"/>
  <c r="K1912" i="6"/>
  <c r="BE1912" i="6" s="1"/>
  <c r="BB1912" i="6" s="1"/>
  <c r="AA330" i="15" s="1"/>
  <c r="K1690" i="6"/>
  <c r="AB262" i="15" s="1"/>
  <c r="K1602" i="6"/>
  <c r="K1622" i="6"/>
  <c r="K1854" i="6"/>
  <c r="K1824" i="6"/>
  <c r="K1784" i="6"/>
  <c r="K1760" i="6"/>
  <c r="K1848" i="6"/>
  <c r="AB308" i="15" s="1"/>
  <c r="K1578" i="6"/>
  <c r="K1740" i="6"/>
  <c r="K1808" i="6"/>
  <c r="K1816" i="6"/>
  <c r="AB300" i="15" s="1"/>
  <c r="K1752" i="6"/>
  <c r="K1776" i="6"/>
  <c r="K1678" i="6"/>
  <c r="K1792" i="6"/>
  <c r="K1870" i="6"/>
  <c r="K1840" i="6"/>
  <c r="AB306" i="15" s="1"/>
  <c r="K1746" i="6"/>
  <c r="K4422" i="6"/>
  <c r="V756" i="7"/>
  <c r="K4236" i="6"/>
  <c r="K4408" i="6"/>
  <c r="K4228" i="6"/>
  <c r="AO580" i="15"/>
  <c r="AO578" i="15"/>
  <c r="AO180" i="15"/>
  <c r="BB518" i="9"/>
  <c r="AA634" i="15" s="1"/>
  <c r="BB523" i="7"/>
  <c r="AA428" i="15" s="1"/>
  <c r="V799" i="7"/>
  <c r="D881" i="7"/>
  <c r="AB255" i="15"/>
  <c r="BB1672" i="6"/>
  <c r="AA255" i="15" s="1"/>
  <c r="AB329" i="15"/>
  <c r="BB1910" i="6"/>
  <c r="AA329" i="15" s="1"/>
  <c r="X4384" i="6"/>
  <c r="X4208" i="6"/>
  <c r="X4378" i="6"/>
  <c r="X4400" i="6"/>
  <c r="K4256" i="6"/>
  <c r="K1726" i="6" s="1"/>
  <c r="BE1726" i="6" s="1"/>
  <c r="K4412" i="6"/>
  <c r="X4446" i="6"/>
  <c r="X4252" i="6"/>
  <c r="Q1950" i="6"/>
  <c r="Q1951" i="6" s="1"/>
  <c r="X4256" i="6"/>
  <c r="X4414" i="6"/>
  <c r="X4412" i="6"/>
  <c r="K4252" i="6"/>
  <c r="K4414" i="6"/>
  <c r="AB158" i="15"/>
  <c r="BB178" i="6"/>
  <c r="AA158" i="15" s="1"/>
  <c r="AB156" i="15"/>
  <c r="BB175" i="6"/>
  <c r="AA156" i="15" s="1"/>
  <c r="BB180" i="6"/>
  <c r="AA159" i="15" s="1"/>
  <c r="AB159" i="15"/>
  <c r="BB176" i="6"/>
  <c r="AA157" i="15" s="1"/>
  <c r="AB157" i="15"/>
  <c r="AB160" i="15"/>
  <c r="BB181" i="6"/>
  <c r="AA160" i="15" s="1"/>
  <c r="J786" i="6"/>
  <c r="K190" i="6" s="1"/>
  <c r="BE190" i="6" s="1"/>
  <c r="J785" i="6"/>
  <c r="K189" i="6" s="1"/>
  <c r="BE189" i="6" s="1"/>
  <c r="J780" i="6"/>
  <c r="K184" i="6" s="1"/>
  <c r="BE184" i="6" s="1"/>
  <c r="J778" i="6"/>
  <c r="K182" i="6" s="1"/>
  <c r="BE182" i="6" s="1"/>
  <c r="J783" i="6"/>
  <c r="K187" i="6" s="1"/>
  <c r="BE187" i="6" s="1"/>
  <c r="Q217" i="6"/>
  <c r="Q218" i="6" s="1"/>
  <c r="J781" i="6"/>
  <c r="K185" i="6" s="1"/>
  <c r="BE185" i="6" s="1"/>
  <c r="I113" i="15"/>
  <c r="AN113" i="15" s="1"/>
  <c r="F10" i="6"/>
  <c r="AG113" i="15" s="1"/>
  <c r="AD113" i="15" s="1"/>
  <c r="AO182" i="15"/>
  <c r="I830" i="6"/>
  <c r="Q184" i="15" s="1"/>
  <c r="AE184" i="15"/>
  <c r="K184" i="15"/>
  <c r="AN184" i="15" s="1"/>
  <c r="AF182" i="15"/>
  <c r="AC182" i="15" s="1"/>
  <c r="BB826" i="6"/>
  <c r="AA182" i="15" s="1"/>
  <c r="J1183" i="6"/>
  <c r="AB184" i="15"/>
  <c r="K834" i="6"/>
  <c r="BE834" i="6" s="1"/>
  <c r="BB8" i="6"/>
  <c r="AA112" i="15" s="1"/>
  <c r="I11" i="6"/>
  <c r="I46" i="6"/>
  <c r="J11" i="6"/>
  <c r="I61" i="6"/>
  <c r="AA526" i="15"/>
  <c r="AE526" i="15"/>
  <c r="AC526" i="15" s="1"/>
  <c r="V798" i="7"/>
  <c r="D880" i="7"/>
  <c r="AG212" i="15"/>
  <c r="AD212" i="15" s="1"/>
  <c r="BB1560" i="6"/>
  <c r="AA212" i="15" s="1"/>
  <c r="AO113" i="15" l="1"/>
  <c r="M237" i="15"/>
  <c r="J237" i="15" s="1"/>
  <c r="BD1636" i="6"/>
  <c r="AG237" i="15" s="1"/>
  <c r="AD237" i="15" s="1"/>
  <c r="M271" i="15"/>
  <c r="J271" i="15" s="1"/>
  <c r="BD1720" i="6"/>
  <c r="AG271" i="15" s="1"/>
  <c r="AD271" i="15" s="1"/>
  <c r="K237" i="15"/>
  <c r="AN237" i="15" s="1"/>
  <c r="BD1634" i="6"/>
  <c r="K271" i="15"/>
  <c r="AN271" i="15" s="1"/>
  <c r="BD1718" i="6"/>
  <c r="AE271" i="15" s="1"/>
  <c r="AC271" i="15" s="1"/>
  <c r="F832" i="6"/>
  <c r="BD832" i="6" s="1"/>
  <c r="I839" i="6"/>
  <c r="R186" i="15" s="1"/>
  <c r="AF186" i="15"/>
  <c r="BE1890" i="6"/>
  <c r="BB1890" i="6" s="1"/>
  <c r="AA321" i="15" s="1"/>
  <c r="AB321" i="15"/>
  <c r="BE1730" i="6"/>
  <c r="BB1730" i="6" s="1"/>
  <c r="AA276" i="15" s="1"/>
  <c r="AB276" i="15"/>
  <c r="BE1732" i="6"/>
  <c r="BB1732" i="6" s="1"/>
  <c r="AA277" i="15" s="1"/>
  <c r="AB277" i="15"/>
  <c r="BE1888" i="6"/>
  <c r="BB1888" i="6" s="1"/>
  <c r="AA320" i="15" s="1"/>
  <c r="AB320" i="15"/>
  <c r="BB1630" i="6"/>
  <c r="AA236" i="15" s="1"/>
  <c r="AG236" i="15"/>
  <c r="AD236" i="15" s="1"/>
  <c r="BE1718" i="6"/>
  <c r="AB271" i="15"/>
  <c r="BE1714" i="6"/>
  <c r="BB1714" i="6" s="1"/>
  <c r="AA270" i="15" s="1"/>
  <c r="AB270" i="15"/>
  <c r="BE1702" i="6"/>
  <c r="BB1702" i="6" s="1"/>
  <c r="AA267" i="15" s="1"/>
  <c r="AB267" i="15"/>
  <c r="BE1690" i="6"/>
  <c r="BB1690" i="6" s="1"/>
  <c r="AA262" i="15" s="1"/>
  <c r="I1636" i="6"/>
  <c r="S237" i="15" s="1"/>
  <c r="P237" i="15" s="1"/>
  <c r="W237" i="15" s="1"/>
  <c r="I1718" i="6"/>
  <c r="Q271" i="15" s="1"/>
  <c r="O271" i="15" s="1"/>
  <c r="BE1686" i="6"/>
  <c r="BB1686" i="6" s="1"/>
  <c r="AA260" i="15" s="1"/>
  <c r="I1720" i="6"/>
  <c r="S271" i="15" s="1"/>
  <c r="P271" i="15" s="1"/>
  <c r="W271" i="15" s="1"/>
  <c r="I1634" i="6"/>
  <c r="Q237" i="15" s="1"/>
  <c r="O237" i="15" s="1"/>
  <c r="BE1852" i="6"/>
  <c r="BB1852" i="6" s="1"/>
  <c r="AA309" i="15" s="1"/>
  <c r="AB330" i="15"/>
  <c r="BE1840" i="6"/>
  <c r="BB1840" i="6" s="1"/>
  <c r="AA306" i="15" s="1"/>
  <c r="BE1740" i="6"/>
  <c r="BB1740" i="6" s="1"/>
  <c r="AA280" i="15" s="1"/>
  <c r="BE1602" i="6"/>
  <c r="BB1602" i="6" s="1"/>
  <c r="AA226" i="15" s="1"/>
  <c r="BE1746" i="6"/>
  <c r="BB1746" i="6" s="1"/>
  <c r="AA282" i="15" s="1"/>
  <c r="AB294" i="15"/>
  <c r="BE1792" i="6"/>
  <c r="BB1792" i="6" s="1"/>
  <c r="AA294" i="15" s="1"/>
  <c r="BE1848" i="6"/>
  <c r="BB1848" i="6" s="1"/>
  <c r="AA308" i="15" s="1"/>
  <c r="AB218" i="15"/>
  <c r="BE1578" i="6"/>
  <c r="BB1578" i="6" s="1"/>
  <c r="AA218" i="15" s="1"/>
  <c r="BE1678" i="6"/>
  <c r="BB1678" i="6" s="1"/>
  <c r="AA258" i="15" s="1"/>
  <c r="AB286" i="15"/>
  <c r="BE1760" i="6"/>
  <c r="BB1760" i="6" s="1"/>
  <c r="AA286" i="15" s="1"/>
  <c r="BE1622" i="6"/>
  <c r="BB1622" i="6" s="1"/>
  <c r="AA234" i="15" s="1"/>
  <c r="AB314" i="15"/>
  <c r="BE1870" i="6"/>
  <c r="BB1870" i="6" s="1"/>
  <c r="AA314" i="15" s="1"/>
  <c r="BE1776" i="6"/>
  <c r="BB1776" i="6" s="1"/>
  <c r="AA290" i="15" s="1"/>
  <c r="BE1784" i="6"/>
  <c r="BB1784" i="6" s="1"/>
  <c r="AA292" i="15" s="1"/>
  <c r="AB284" i="15"/>
  <c r="BE1752" i="6"/>
  <c r="BB1752" i="6" s="1"/>
  <c r="AA284" i="15" s="1"/>
  <c r="BE1824" i="6"/>
  <c r="BB1824" i="6" s="1"/>
  <c r="AA302" i="15" s="1"/>
  <c r="BE1808" i="6"/>
  <c r="BB1808" i="6" s="1"/>
  <c r="AA298" i="15" s="1"/>
  <c r="AB226" i="15"/>
  <c r="BE1816" i="6"/>
  <c r="BB1816" i="6" s="1"/>
  <c r="AA300" i="15" s="1"/>
  <c r="BE1854" i="6"/>
  <c r="BB1854" i="6" s="1"/>
  <c r="AA310" i="15" s="1"/>
  <c r="K1884" i="6"/>
  <c r="AB318" i="15" s="1"/>
  <c r="K1722" i="6"/>
  <c r="AB272" i="15" s="1"/>
  <c r="K1882" i="6"/>
  <c r="AB280" i="15"/>
  <c r="AB292" i="15"/>
  <c r="AB282" i="15"/>
  <c r="AB234" i="15"/>
  <c r="AB298" i="15"/>
  <c r="AB290" i="15"/>
  <c r="AB310" i="15"/>
  <c r="AB258" i="15"/>
  <c r="AB302" i="15"/>
  <c r="K1892" i="6"/>
  <c r="K1698" i="6"/>
  <c r="K1878" i="6"/>
  <c r="K1706" i="6"/>
  <c r="BB1896" i="6"/>
  <c r="AA323" i="15" s="1"/>
  <c r="BB1710" i="6"/>
  <c r="AA269" i="15" s="1"/>
  <c r="V881" i="7"/>
  <c r="D913" i="7"/>
  <c r="AB331" i="15"/>
  <c r="BB1914" i="6"/>
  <c r="AA331" i="15" s="1"/>
  <c r="M10" i="6"/>
  <c r="P113" i="15" s="1"/>
  <c r="AB263" i="15"/>
  <c r="BB1692" i="6"/>
  <c r="AA263" i="15" s="1"/>
  <c r="BB1916" i="6"/>
  <c r="AA332" i="15" s="1"/>
  <c r="AB332" i="15"/>
  <c r="X4408" i="6"/>
  <c r="X4228" i="6"/>
  <c r="X4236" i="6"/>
  <c r="X4422" i="6"/>
  <c r="J113" i="15"/>
  <c r="F11" i="6"/>
  <c r="BB189" i="6"/>
  <c r="AA165" i="15" s="1"/>
  <c r="AB165" i="15"/>
  <c r="AB164" i="15"/>
  <c r="BB187" i="6"/>
  <c r="AA164" i="15" s="1"/>
  <c r="AB166" i="15"/>
  <c r="BB190" i="6"/>
  <c r="AA166" i="15" s="1"/>
  <c r="AB161" i="15"/>
  <c r="BB182" i="6"/>
  <c r="AA161" i="15" s="1"/>
  <c r="BB185" i="6"/>
  <c r="AA163" i="15" s="1"/>
  <c r="AB163" i="15"/>
  <c r="AB162" i="15"/>
  <c r="BB184" i="6"/>
  <c r="AA162" i="15" s="1"/>
  <c r="AF184" i="15"/>
  <c r="AC184" i="15" s="1"/>
  <c r="L184" i="15"/>
  <c r="I184" i="15" s="1"/>
  <c r="I831" i="6"/>
  <c r="R184" i="15" s="1"/>
  <c r="O184" i="15" s="1"/>
  <c r="AO184" i="15" s="1"/>
  <c r="BB1606" i="6"/>
  <c r="AA227" i="15" s="1"/>
  <c r="AB227" i="15"/>
  <c r="BB1828" i="6"/>
  <c r="AA303" i="15" s="1"/>
  <c r="AB303" i="15"/>
  <c r="BB1812" i="6"/>
  <c r="AA299" i="15" s="1"/>
  <c r="AB299" i="15"/>
  <c r="J1184" i="6"/>
  <c r="J1185" i="6" s="1"/>
  <c r="AB307" i="15"/>
  <c r="BB1844" i="6"/>
  <c r="AA307" i="15" s="1"/>
  <c r="AB219" i="15"/>
  <c r="BB1582" i="6"/>
  <c r="AA219" i="15" s="1"/>
  <c r="BB1874" i="6"/>
  <c r="AA315" i="15" s="1"/>
  <c r="AB315" i="15"/>
  <c r="BB1796" i="6"/>
  <c r="AA295" i="15" s="1"/>
  <c r="AB295" i="15"/>
  <c r="BB1626" i="6"/>
  <c r="AA235" i="15" s="1"/>
  <c r="AB235" i="15"/>
  <c r="AB287" i="15"/>
  <c r="BB1764" i="6"/>
  <c r="AA287" i="15" s="1"/>
  <c r="AB291" i="15"/>
  <c r="BB1780" i="6"/>
  <c r="AA291" i="15" s="1"/>
  <c r="AB185" i="15"/>
  <c r="AB311" i="15"/>
  <c r="BB1858" i="6"/>
  <c r="AA311" i="15" s="1"/>
  <c r="I47" i="6"/>
  <c r="BB9" i="6"/>
  <c r="AA113" i="15" s="1"/>
  <c r="I62" i="6"/>
  <c r="D912" i="7"/>
  <c r="V880" i="7"/>
  <c r="I271" i="15" l="1"/>
  <c r="I237" i="15"/>
  <c r="I114" i="15"/>
  <c r="AN114" i="15" s="1"/>
  <c r="BD11" i="6"/>
  <c r="AE114" i="15" s="1"/>
  <c r="AC114" i="15" s="1"/>
  <c r="J1186" i="6"/>
  <c r="J1187" i="6" s="1"/>
  <c r="J1188" i="6" s="1"/>
  <c r="F840" i="6" s="1"/>
  <c r="F838" i="6"/>
  <c r="F833" i="6"/>
  <c r="BD833" i="6" s="1"/>
  <c r="BB1634" i="6"/>
  <c r="AA237" i="15" s="1"/>
  <c r="AE237" i="15"/>
  <c r="AC237" i="15" s="1"/>
  <c r="AO271" i="15"/>
  <c r="AP271" i="15" s="1"/>
  <c r="AO237" i="15"/>
  <c r="AP237" i="15" s="1"/>
  <c r="BB1718" i="6"/>
  <c r="AA271" i="15" s="1"/>
  <c r="AB317" i="15"/>
  <c r="BE1882" i="6"/>
  <c r="BB1882" i="6" s="1"/>
  <c r="AA317" i="15" s="1"/>
  <c r="BE1722" i="6"/>
  <c r="BB1722" i="6" s="1"/>
  <c r="AA272" i="15" s="1"/>
  <c r="BE1884" i="6"/>
  <c r="BB1884" i="6" s="1"/>
  <c r="AA318" i="15" s="1"/>
  <c r="BE1892" i="6"/>
  <c r="BB1892" i="6" s="1"/>
  <c r="AA322" i="15" s="1"/>
  <c r="AB268" i="15"/>
  <c r="BE1706" i="6"/>
  <c r="BB1706" i="6" s="1"/>
  <c r="AA268" i="15" s="1"/>
  <c r="BE1698" i="6"/>
  <c r="BB1698" i="6" s="1"/>
  <c r="AA266" i="15" s="1"/>
  <c r="BE1878" i="6"/>
  <c r="BB1878" i="6" s="1"/>
  <c r="AA316" i="15" s="1"/>
  <c r="AB316" i="15"/>
  <c r="AB266" i="15"/>
  <c r="AB322" i="15"/>
  <c r="AB323" i="15"/>
  <c r="AB269" i="15"/>
  <c r="M11" i="6"/>
  <c r="O114" i="15" s="1"/>
  <c r="W114" i="15" s="1"/>
  <c r="D998" i="7"/>
  <c r="V913" i="7"/>
  <c r="BB1918" i="6"/>
  <c r="AA333" i="15" s="1"/>
  <c r="AB333" i="15"/>
  <c r="AB274" i="15"/>
  <c r="BB1726" i="6"/>
  <c r="AA274" i="15" s="1"/>
  <c r="AB319" i="15"/>
  <c r="BB1886" i="6"/>
  <c r="AA319" i="15" s="1"/>
  <c r="BB1728" i="6"/>
  <c r="AA275" i="15" s="1"/>
  <c r="AB275" i="15"/>
  <c r="F12" i="6"/>
  <c r="I832" i="6"/>
  <c r="S184" i="15" s="1"/>
  <c r="M184" i="15"/>
  <c r="AG184" i="15"/>
  <c r="J1189" i="6"/>
  <c r="I48" i="6"/>
  <c r="I63" i="6"/>
  <c r="D1032" i="7"/>
  <c r="V912" i="7"/>
  <c r="D997" i="7"/>
  <c r="V997" i="7" s="1"/>
  <c r="K186" i="15" l="1"/>
  <c r="AN186" i="15" s="1"/>
  <c r="BD838" i="6"/>
  <c r="M186" i="15"/>
  <c r="J186" i="15" s="1"/>
  <c r="BD840" i="6"/>
  <c r="AG186" i="15" s="1"/>
  <c r="I840" i="6"/>
  <c r="S186" i="15" s="1"/>
  <c r="J1191" i="6"/>
  <c r="J1192" i="6" s="1"/>
  <c r="I838" i="6"/>
  <c r="Q186" i="15" s="1"/>
  <c r="O186" i="15" s="1"/>
  <c r="F846" i="6"/>
  <c r="BD846" i="6" s="1"/>
  <c r="I841" i="6"/>
  <c r="T186" i="15" s="1"/>
  <c r="AH186" i="15"/>
  <c r="AO114" i="15"/>
  <c r="M12" i="6"/>
  <c r="P114" i="15" s="1"/>
  <c r="AG114" i="15"/>
  <c r="AD114" i="15" s="1"/>
  <c r="D1033" i="7"/>
  <c r="V998" i="7"/>
  <c r="J114" i="15"/>
  <c r="F13" i="6"/>
  <c r="X1305" i="6"/>
  <c r="Y1305" i="6"/>
  <c r="K846" i="6"/>
  <c r="BE846" i="6" s="1"/>
  <c r="J1190" i="6"/>
  <c r="N184" i="15"/>
  <c r="J184" i="15" s="1"/>
  <c r="I833" i="6"/>
  <c r="T184" i="15" s="1"/>
  <c r="P184" i="15" s="1"/>
  <c r="W184" i="15" s="1"/>
  <c r="AH184" i="15"/>
  <c r="AD184" i="15" s="1"/>
  <c r="I49" i="6"/>
  <c r="I64" i="6"/>
  <c r="V1032" i="7"/>
  <c r="D1058" i="7"/>
  <c r="I186" i="15" l="1"/>
  <c r="M13" i="6"/>
  <c r="O115" i="15" s="1"/>
  <c r="W115" i="15" s="1"/>
  <c r="BD13" i="6"/>
  <c r="AE115" i="15" s="1"/>
  <c r="AC115" i="15" s="1"/>
  <c r="BB838" i="6"/>
  <c r="AA186" i="15" s="1"/>
  <c r="AE186" i="15"/>
  <c r="AC186" i="15" s="1"/>
  <c r="AD186" i="15"/>
  <c r="P186" i="15"/>
  <c r="W186" i="15" s="1"/>
  <c r="AO186" i="15"/>
  <c r="F850" i="6"/>
  <c r="BD850" i="6" s="1"/>
  <c r="F847" i="6"/>
  <c r="BD847" i="6" s="1"/>
  <c r="F14" i="6"/>
  <c r="BB11" i="6"/>
  <c r="AA114" i="15" s="1"/>
  <c r="D1059" i="7"/>
  <c r="V1033" i="7"/>
  <c r="I115" i="15"/>
  <c r="AN115" i="15" s="1"/>
  <c r="K188" i="15"/>
  <c r="I846" i="6"/>
  <c r="Q188" i="15" s="1"/>
  <c r="AE188" i="15"/>
  <c r="K848" i="6"/>
  <c r="BE848" i="6" s="1"/>
  <c r="AB188" i="15"/>
  <c r="J1193" i="6"/>
  <c r="F854" i="6" s="1"/>
  <c r="BD854" i="6" s="1"/>
  <c r="BB830" i="6"/>
  <c r="AA184" i="15" s="1"/>
  <c r="J15" i="6"/>
  <c r="I15" i="6"/>
  <c r="I50" i="6"/>
  <c r="I65" i="6"/>
  <c r="D1089" i="7"/>
  <c r="V1058" i="7"/>
  <c r="AO115" i="15" l="1"/>
  <c r="I116" i="15"/>
  <c r="AN116" i="15" s="1"/>
  <c r="BD14" i="6"/>
  <c r="BB14" i="6" s="1"/>
  <c r="AA116" i="15" s="1"/>
  <c r="I850" i="6"/>
  <c r="Q190" i="15" s="1"/>
  <c r="K190" i="15"/>
  <c r="AE190" i="15"/>
  <c r="I851" i="6"/>
  <c r="R190" i="15" s="1"/>
  <c r="AF190" i="15"/>
  <c r="M14" i="6"/>
  <c r="O116" i="15" s="1"/>
  <c r="W116" i="15" s="1"/>
  <c r="BB13" i="6"/>
  <c r="AA115" i="15" s="1"/>
  <c r="D1090" i="7"/>
  <c r="V1059" i="7"/>
  <c r="F15" i="6"/>
  <c r="AN188" i="15"/>
  <c r="AF188" i="15"/>
  <c r="AC188" i="15" s="1"/>
  <c r="L188" i="15"/>
  <c r="I188" i="15" s="1"/>
  <c r="I847" i="6"/>
  <c r="R188" i="15" s="1"/>
  <c r="O188" i="15" s="1"/>
  <c r="W188" i="15" s="1"/>
  <c r="X1309" i="6"/>
  <c r="Y1309" i="6"/>
  <c r="K854" i="6"/>
  <c r="BE854" i="6" s="1"/>
  <c r="J1194" i="6"/>
  <c r="F855" i="6" s="1"/>
  <c r="BD855" i="6" s="1"/>
  <c r="AB189" i="15"/>
  <c r="I51" i="6"/>
  <c r="I66" i="6"/>
  <c r="V1089" i="7"/>
  <c r="D1122" i="7"/>
  <c r="I117" i="15" l="1"/>
  <c r="AN117" i="15" s="1"/>
  <c r="BD15" i="6"/>
  <c r="AE117" i="15" s="1"/>
  <c r="AC117" i="15" s="1"/>
  <c r="O190" i="15"/>
  <c r="W190" i="15" s="1"/>
  <c r="AC190" i="15"/>
  <c r="AN190" i="15"/>
  <c r="I190" i="15"/>
  <c r="BB850" i="6"/>
  <c r="AA190" i="15" s="1"/>
  <c r="AE116" i="15"/>
  <c r="AC116" i="15" s="1"/>
  <c r="AO116" i="15"/>
  <c r="D1123" i="7"/>
  <c r="V1090" i="7"/>
  <c r="M15" i="6"/>
  <c r="O117" i="15" s="1"/>
  <c r="W117" i="15" s="1"/>
  <c r="F16" i="6"/>
  <c r="AG117" i="15" s="1"/>
  <c r="AD117" i="15" s="1"/>
  <c r="K192" i="15"/>
  <c r="AN192" i="15" s="1"/>
  <c r="I854" i="6"/>
  <c r="Q192" i="15" s="1"/>
  <c r="AE192" i="15"/>
  <c r="K858" i="6"/>
  <c r="BE858" i="6" s="1"/>
  <c r="AB192" i="15"/>
  <c r="BB846" i="6"/>
  <c r="AA188" i="15" s="1"/>
  <c r="AO188" i="15"/>
  <c r="J1195" i="6"/>
  <c r="F856" i="6" s="1"/>
  <c r="BD856" i="6" s="1"/>
  <c r="J17" i="6"/>
  <c r="I17" i="6"/>
  <c r="I52" i="6"/>
  <c r="I67" i="6"/>
  <c r="D1231" i="7"/>
  <c r="V1231" i="7" s="1"/>
  <c r="V1122" i="7"/>
  <c r="AO190" i="15" l="1"/>
  <c r="AO117" i="15"/>
  <c r="M16" i="6"/>
  <c r="P117" i="15" s="1"/>
  <c r="J117" i="15"/>
  <c r="V1123" i="7"/>
  <c r="V1297" i="7" s="1"/>
  <c r="D1236" i="7"/>
  <c r="F17" i="6"/>
  <c r="J1196" i="6"/>
  <c r="F857" i="6" s="1"/>
  <c r="BD857" i="6" s="1"/>
  <c r="AF192" i="15"/>
  <c r="AC192" i="15" s="1"/>
  <c r="L192" i="15"/>
  <c r="I192" i="15" s="1"/>
  <c r="I855" i="6"/>
  <c r="R192" i="15" s="1"/>
  <c r="O192" i="15" s="1"/>
  <c r="AO192" i="15" s="1"/>
  <c r="AB193" i="15"/>
  <c r="BB15" i="6"/>
  <c r="AA117" i="15" s="1"/>
  <c r="M17" i="6" l="1"/>
  <c r="O118" i="15" s="1"/>
  <c r="W118" i="15" s="1"/>
  <c r="BD17" i="6"/>
  <c r="AE118" i="15" s="1"/>
  <c r="AC118" i="15" s="1"/>
  <c r="V1236" i="7"/>
  <c r="D1337" i="7"/>
  <c r="I118" i="15"/>
  <c r="AN118" i="15" s="1"/>
  <c r="M192" i="15"/>
  <c r="AG192" i="15"/>
  <c r="I856" i="6"/>
  <c r="S192" i="15" s="1"/>
  <c r="J1197" i="6"/>
  <c r="F818" i="6" s="1"/>
  <c r="BD818" i="6" s="1"/>
  <c r="F18" i="6"/>
  <c r="D1389" i="7"/>
  <c r="V1389" i="7" s="1"/>
  <c r="V1335" i="7"/>
  <c r="AO118" i="15" l="1"/>
  <c r="V1337" i="7"/>
  <c r="D1390" i="7"/>
  <c r="V1390" i="7" s="1"/>
  <c r="AH192" i="15"/>
  <c r="AD192" i="15" s="1"/>
  <c r="N192" i="15"/>
  <c r="J192" i="15" s="1"/>
  <c r="I857" i="6"/>
  <c r="T192" i="15" s="1"/>
  <c r="P192" i="15" s="1"/>
  <c r="W192" i="15" s="1"/>
  <c r="J1198" i="6"/>
  <c r="F819" i="6" s="1"/>
  <c r="BD819" i="6" s="1"/>
  <c r="AG118" i="15"/>
  <c r="AD118" i="15" s="1"/>
  <c r="M18" i="6"/>
  <c r="P118" i="15" s="1"/>
  <c r="J118" i="15"/>
  <c r="AI275" i="15" l="1"/>
  <c r="AI276" i="15" s="1"/>
  <c r="AI277" i="15" s="1"/>
  <c r="AI278" i="15" s="1"/>
  <c r="AI279" i="15" s="1"/>
  <c r="AI280" i="15" s="1"/>
  <c r="AI281" i="15" s="1"/>
  <c r="AI282" i="15" s="1"/>
  <c r="AI283" i="15" s="1"/>
  <c r="AI284" i="15" s="1"/>
  <c r="AI285" i="15" s="1"/>
  <c r="AI286" i="15" s="1"/>
  <c r="AI287" i="15" s="1"/>
  <c r="AI288" i="15" s="1"/>
  <c r="I818" i="6"/>
  <c r="Q177" i="15" s="1"/>
  <c r="O177" i="15" s="1"/>
  <c r="K177" i="15"/>
  <c r="I177" i="15" s="1"/>
  <c r="AN177" i="15" s="1"/>
  <c r="AE177" i="15"/>
  <c r="AC177" i="15" s="1"/>
  <c r="BB854" i="6"/>
  <c r="AA192" i="15" s="1"/>
  <c r="J1199" i="6"/>
  <c r="F821" i="6" s="1"/>
  <c r="BD821" i="6" s="1"/>
  <c r="BB17" i="6"/>
  <c r="AA118" i="15" s="1"/>
  <c r="AO177" i="15" l="1"/>
  <c r="J1200" i="6"/>
  <c r="F824" i="6" s="1"/>
  <c r="BD824" i="6" s="1"/>
  <c r="M177" i="15"/>
  <c r="J177" i="15" s="1"/>
  <c r="AG177" i="15"/>
  <c r="AD177" i="15" s="1"/>
  <c r="I819" i="6"/>
  <c r="S177" i="15" s="1"/>
  <c r="P177" i="15" s="1"/>
  <c r="W177" i="15" s="1"/>
  <c r="AI289" i="15" l="1"/>
  <c r="AI290" i="15" s="1"/>
  <c r="AI291" i="15" s="1"/>
  <c r="AI292" i="15" s="1"/>
  <c r="AI293" i="15" s="1"/>
  <c r="AI294" i="15" s="1"/>
  <c r="AI295" i="15" s="1"/>
  <c r="AI296" i="15" s="1"/>
  <c r="AI297" i="15" s="1"/>
  <c r="AI298" i="15" s="1"/>
  <c r="AI299" i="15" s="1"/>
  <c r="AI300" i="15" s="1"/>
  <c r="AI301" i="15" s="1"/>
  <c r="AI302" i="15" s="1"/>
  <c r="AI303" i="15" s="1"/>
  <c r="AI304" i="15" s="1"/>
  <c r="AI305" i="15" s="1"/>
  <c r="AI306" i="15" s="1"/>
  <c r="AI307" i="15" s="1"/>
  <c r="AI308" i="15" s="1"/>
  <c r="AI309" i="15" s="1"/>
  <c r="AI310" i="15" s="1"/>
  <c r="AI311" i="15" s="1"/>
  <c r="AI312" i="15" s="1"/>
  <c r="AI313" i="15" s="1"/>
  <c r="AI314" i="15" s="1"/>
  <c r="AI315" i="15" s="1"/>
  <c r="AI316" i="15" s="1"/>
  <c r="AI317" i="15" s="1"/>
  <c r="AI318" i="15" s="1"/>
  <c r="AI319" i="15" s="1"/>
  <c r="AI320" i="15" s="1"/>
  <c r="AI321" i="15" s="1"/>
  <c r="AI322" i="15" s="1"/>
  <c r="AI323" i="15" s="1"/>
  <c r="AI324" i="15" s="1"/>
  <c r="AI325" i="15" s="1"/>
  <c r="AI326" i="15" s="1"/>
  <c r="AI327" i="15" s="1"/>
  <c r="AI328" i="15" s="1"/>
  <c r="AI329" i="15" s="1"/>
  <c r="AI330" i="15" s="1"/>
  <c r="AI331" i="15" s="1"/>
  <c r="AI332" i="15" s="1"/>
  <c r="AI333" i="15" s="1"/>
  <c r="BB818" i="6"/>
  <c r="AA177" i="15" s="1"/>
  <c r="I821" i="6"/>
  <c r="Q179" i="15" s="1"/>
  <c r="O179" i="15" s="1"/>
  <c r="W179" i="15" s="1"/>
  <c r="K179" i="15"/>
  <c r="I179" i="15" s="1"/>
  <c r="AN179" i="15" s="1"/>
  <c r="J1201" i="6"/>
  <c r="F825" i="6" s="1"/>
  <c r="BD825" i="6" s="1"/>
  <c r="AE181" i="15" l="1"/>
  <c r="I824" i="6"/>
  <c r="Q181" i="15" s="1"/>
  <c r="K181" i="15"/>
  <c r="AN181" i="15" s="1"/>
  <c r="BB821" i="6"/>
  <c r="AA179" i="15" s="1"/>
  <c r="AE179" i="15"/>
  <c r="AC179" i="15" s="1"/>
  <c r="J1202" i="6"/>
  <c r="F828" i="6" s="1"/>
  <c r="BD828" i="6" s="1"/>
  <c r="AO179" i="15"/>
  <c r="L181" i="15" l="1"/>
  <c r="I181" i="15" s="1"/>
  <c r="I825" i="6"/>
  <c r="R181" i="15" s="1"/>
  <c r="O181" i="15" s="1"/>
  <c r="W181" i="15" s="1"/>
  <c r="AF181" i="15"/>
  <c r="AC181" i="15" s="1"/>
  <c r="J1203" i="6"/>
  <c r="F829" i="6" s="1"/>
  <c r="BD829" i="6" s="1"/>
  <c r="K183" i="15" l="1"/>
  <c r="AE183" i="15"/>
  <c r="I828" i="6"/>
  <c r="Q183" i="15" s="1"/>
  <c r="J1204" i="6"/>
  <c r="F834" i="6" s="1"/>
  <c r="BD834" i="6" s="1"/>
  <c r="BB824" i="6"/>
  <c r="AA181" i="15" s="1"/>
  <c r="AO181" i="15"/>
  <c r="AF183" i="15" l="1"/>
  <c r="AC183" i="15" s="1"/>
  <c r="I829" i="6"/>
  <c r="R183" i="15" s="1"/>
  <c r="O183" i="15" s="1"/>
  <c r="W183" i="15" s="1"/>
  <c r="L183" i="15"/>
  <c r="I183" i="15" s="1"/>
  <c r="AN183" i="15"/>
  <c r="J1205" i="6"/>
  <c r="F835" i="6" s="1"/>
  <c r="BD835" i="6" s="1"/>
  <c r="K185" i="15" l="1"/>
  <c r="AN185" i="15" s="1"/>
  <c r="AE185" i="15"/>
  <c r="I834" i="6"/>
  <c r="Q185" i="15" s="1"/>
  <c r="AO183" i="15"/>
  <c r="J1206" i="6"/>
  <c r="F836" i="6" s="1"/>
  <c r="BD836" i="6" s="1"/>
  <c r="BB828" i="6"/>
  <c r="AA183" i="15" s="1"/>
  <c r="I843" i="6" l="1"/>
  <c r="R187" i="15" s="1"/>
  <c r="AF187" i="15"/>
  <c r="L185" i="15"/>
  <c r="I185" i="15" s="1"/>
  <c r="I835" i="6"/>
  <c r="R185" i="15" s="1"/>
  <c r="O185" i="15" s="1"/>
  <c r="AO185" i="15" s="1"/>
  <c r="AF185" i="15"/>
  <c r="AC185" i="15" s="1"/>
  <c r="J1207" i="6"/>
  <c r="J1208" i="6" l="1"/>
  <c r="J1212" i="6"/>
  <c r="F837" i="6"/>
  <c r="BD837" i="6" s="1"/>
  <c r="I836" i="6"/>
  <c r="S185" i="15" s="1"/>
  <c r="AG185" i="15"/>
  <c r="M185" i="15"/>
  <c r="J1213" i="6" l="1"/>
  <c r="J1216" i="6" s="1"/>
  <c r="J1217" i="6" s="1"/>
  <c r="F859" i="6" s="1"/>
  <c r="BD859" i="6" s="1"/>
  <c r="F848" i="6"/>
  <c r="BD848" i="6" s="1"/>
  <c r="J1209" i="6"/>
  <c r="F842" i="6"/>
  <c r="I845" i="6"/>
  <c r="T187" i="15" s="1"/>
  <c r="AH187" i="15"/>
  <c r="I837" i="6"/>
  <c r="T185" i="15" s="1"/>
  <c r="P185" i="15" s="1"/>
  <c r="W185" i="15" s="1"/>
  <c r="AH185" i="15"/>
  <c r="AD185" i="15" s="1"/>
  <c r="N185" i="15"/>
  <c r="J185" i="15" s="1"/>
  <c r="K187" i="15" l="1"/>
  <c r="AN187" i="15" s="1"/>
  <c r="BD842" i="6"/>
  <c r="F849" i="6"/>
  <c r="I842" i="6"/>
  <c r="Q187" i="15" s="1"/>
  <c r="O187" i="15" s="1"/>
  <c r="J1214" i="6"/>
  <c r="J1215" i="6" s="1"/>
  <c r="F852" i="6" s="1"/>
  <c r="J1210" i="6"/>
  <c r="I853" i="6"/>
  <c r="R191" i="15" s="1"/>
  <c r="AF191" i="15"/>
  <c r="J1218" i="6"/>
  <c r="BB834" i="6"/>
  <c r="AA185" i="15" s="1"/>
  <c r="K191" i="15" l="1"/>
  <c r="AN191" i="15" s="1"/>
  <c r="BD852" i="6"/>
  <c r="I849" i="6"/>
  <c r="R189" i="15" s="1"/>
  <c r="BD849" i="6"/>
  <c r="AF189" i="15" s="1"/>
  <c r="I187" i="15"/>
  <c r="AO187" i="15"/>
  <c r="AE187" i="15"/>
  <c r="AC187" i="15" s="1"/>
  <c r="L189" i="15"/>
  <c r="J1211" i="6"/>
  <c r="F844" i="6"/>
  <c r="I852" i="6"/>
  <c r="Q191" i="15" s="1"/>
  <c r="O191" i="15" s="1"/>
  <c r="W191" i="15" s="1"/>
  <c r="F860" i="6"/>
  <c r="BD860" i="6" s="1"/>
  <c r="L193" i="15"/>
  <c r="I859" i="6"/>
  <c r="R193" i="15" s="1"/>
  <c r="AF193" i="15"/>
  <c r="J1219" i="6"/>
  <c r="I191" i="15" l="1"/>
  <c r="M187" i="15"/>
  <c r="J187" i="15" s="1"/>
  <c r="BD844" i="6"/>
  <c r="AO191" i="15"/>
  <c r="BB852" i="6"/>
  <c r="AA191" i="15" s="1"/>
  <c r="AE191" i="15"/>
  <c r="AC191" i="15" s="1"/>
  <c r="I844" i="6"/>
  <c r="S187" i="15" s="1"/>
  <c r="P187" i="15" s="1"/>
  <c r="W187" i="15" s="1"/>
  <c r="F858" i="6"/>
  <c r="BD858" i="6" s="1"/>
  <c r="F861" i="6"/>
  <c r="BD861" i="6" s="1"/>
  <c r="AG193" i="15"/>
  <c r="M193" i="15"/>
  <c r="I860" i="6"/>
  <c r="S193" i="15" s="1"/>
  <c r="K189" i="15"/>
  <c r="I848" i="6"/>
  <c r="Q189" i="15" s="1"/>
  <c r="O189" i="15" s="1"/>
  <c r="W189" i="15" s="1"/>
  <c r="AG187" i="15" l="1"/>
  <c r="AD187" i="15" s="1"/>
  <c r="BB842" i="6"/>
  <c r="AA187" i="15" s="1"/>
  <c r="N193" i="15"/>
  <c r="J193" i="15" s="1"/>
  <c r="I861" i="6"/>
  <c r="T193" i="15" s="1"/>
  <c r="P193" i="15" s="1"/>
  <c r="W193" i="15" s="1"/>
  <c r="AH193" i="15"/>
  <c r="AD193" i="15" s="1"/>
  <c r="I189" i="15"/>
  <c r="AN189" i="15"/>
  <c r="AO189" i="15" s="1"/>
  <c r="AE189" i="15"/>
  <c r="AC189" i="15" s="1"/>
  <c r="BB848" i="6"/>
  <c r="AA189" i="15" s="1"/>
  <c r="K193" i="15"/>
  <c r="I858" i="6"/>
  <c r="Q193" i="15" s="1"/>
  <c r="O193" i="15" s="1"/>
  <c r="I193" i="15" l="1"/>
  <c r="AN193" i="15"/>
  <c r="AO193" i="15" s="1"/>
  <c r="BB858" i="6"/>
  <c r="AA193" i="15" s="1"/>
  <c r="AE193" i="15"/>
  <c r="AC193" i="15" s="1"/>
  <c r="I574" i="15" l="1"/>
  <c r="AN574" i="15" s="1"/>
  <c r="I7" i="8"/>
  <c r="O574" i="15" s="1"/>
  <c r="U574" i="15" s="1"/>
  <c r="AO574" i="15" l="1"/>
  <c r="BB21" i="8"/>
  <c r="BD22" i="8" l="1"/>
  <c r="L4072" i="6"/>
  <c r="K4072" i="6" s="1"/>
  <c r="K1542" i="6" s="1"/>
  <c r="AB206" i="15" s="1"/>
  <c r="BB22" i="8" l="1"/>
  <c r="BD23" i="8"/>
  <c r="BB23" i="8" s="1"/>
  <c r="BE1542" i="6"/>
  <c r="BB1542" i="6" s="1"/>
  <c r="AA206" i="15" s="1"/>
  <c r="K4264" i="6"/>
  <c r="K1734" i="6" s="1"/>
  <c r="BE1734" i="6" s="1"/>
  <c r="BD25" i="8" l="1"/>
  <c r="BB25" i="8" s="1"/>
  <c r="BD24" i="8"/>
  <c r="BB24" i="8" s="1"/>
  <c r="AB278" i="15"/>
  <c r="BB1734" i="6"/>
  <c r="AA278" i="15" s="1"/>
  <c r="K1547" i="6"/>
  <c r="BE1547" i="6" s="1"/>
  <c r="BB1546" i="6" s="1"/>
  <c r="AA207" i="15" s="1"/>
  <c r="L4077" i="6"/>
  <c r="M4077" i="6"/>
  <c r="BD7" i="8" l="1"/>
  <c r="AE574" i="15" l="1"/>
  <c r="AC574" i="15" s="1"/>
  <c r="BB7" i="8"/>
  <c r="AA574" i="15" s="1"/>
  <c r="I4525" i="6" l="1"/>
  <c r="I4501" i="6"/>
  <c r="I4477" i="6"/>
  <c r="I4478" i="6"/>
  <c r="I4502" i="6"/>
  <c r="I4549" i="6"/>
  <c r="I4526" i="6"/>
  <c r="I4550" i="6"/>
  <c r="R356" i="15" l="1"/>
  <c r="T355" i="15"/>
  <c r="Q356" i="15"/>
  <c r="S355" i="15"/>
  <c r="P355" i="15" s="1"/>
  <c r="W355" i="15" s="1"/>
  <c r="Q364" i="15"/>
  <c r="S363" i="15"/>
  <c r="R348" i="15"/>
  <c r="T347" i="15"/>
  <c r="R364" i="15"/>
  <c r="T363" i="15"/>
  <c r="Q340" i="15"/>
  <c r="S339" i="15"/>
  <c r="R340" i="15"/>
  <c r="T339" i="15"/>
  <c r="Q348" i="15"/>
  <c r="S347" i="15"/>
  <c r="P347" i="15" s="1"/>
  <c r="W347" i="15" s="1"/>
  <c r="P363" i="15" l="1"/>
  <c r="W363" i="15" s="1"/>
  <c r="O348" i="15"/>
  <c r="AO348" i="15" s="1"/>
  <c r="O340" i="15"/>
  <c r="O364" i="15"/>
  <c r="O356" i="15"/>
  <c r="AO356" i="15" s="1"/>
  <c r="P339" i="15"/>
  <c r="W339" i="15" s="1"/>
  <c r="W340" i="15"/>
  <c r="AO340" i="15"/>
  <c r="W364" i="15"/>
  <c r="AO364" i="15"/>
  <c r="W348" i="15"/>
  <c r="BB4461" i="6"/>
  <c r="AA335" i="15" s="1"/>
  <c r="BB4493" i="6"/>
  <c r="AA345" i="15" s="1"/>
  <c r="BB4477" i="6"/>
  <c r="AA340" i="15" s="1"/>
  <c r="BB4549" i="6"/>
  <c r="AA364" i="15" s="1"/>
  <c r="BB4501" i="6"/>
  <c r="AA348" i="15" s="1"/>
  <c r="BB4525" i="6"/>
  <c r="AA356" i="15" s="1"/>
  <c r="W356"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X6" authorId="0" shapeId="0" xr:uid="{00000000-0006-0000-0200-000001000000}">
      <text>
        <r>
          <rPr>
            <b/>
            <sz val="9"/>
            <color indexed="81"/>
            <rFont val="Tahoma"/>
            <family val="2"/>
          </rPr>
          <t>Author:</t>
        </r>
        <r>
          <rPr>
            <sz val="9"/>
            <color indexed="81"/>
            <rFont val="Tahoma"/>
            <family val="2"/>
          </rPr>
          <t xml:space="preserve">
PY17 Results</t>
        </r>
      </text>
    </comment>
    <comment ref="Y6" authorId="0" shapeId="0" xr:uid="{00000000-0006-0000-0200-000002000000}">
      <text>
        <r>
          <rPr>
            <b/>
            <sz val="9"/>
            <color indexed="81"/>
            <rFont val="Tahoma"/>
            <family val="2"/>
          </rPr>
          <t>Author:</t>
        </r>
        <r>
          <rPr>
            <sz val="9"/>
            <color indexed="81"/>
            <rFont val="Tahoma"/>
            <family val="2"/>
          </rPr>
          <t xml:space="preserve">
PY18  EM&amp;V</t>
        </r>
      </text>
    </comment>
    <comment ref="Z6" authorId="0" shapeId="0" xr:uid="{00000000-0006-0000-0200-000003000000}">
      <text>
        <r>
          <rPr>
            <b/>
            <sz val="9"/>
            <color indexed="81"/>
            <rFont val="Tahoma"/>
            <family val="2"/>
          </rPr>
          <t>11 Step updates</t>
        </r>
      </text>
    </comment>
    <comment ref="X49" authorId="0" shapeId="0" xr:uid="{00000000-0006-0000-0200-000004000000}">
      <text>
        <r>
          <rPr>
            <b/>
            <sz val="9"/>
            <color indexed="81"/>
            <rFont val="Tahoma"/>
            <family val="2"/>
          </rPr>
          <t xml:space="preserve">One measures "12W_LED_Dimmable" showed a base watts last year of 76.3 watts and this year it showed a base watts of 60.0 watts (dropped savings from 70.5 down to 47.3) - only 3k measues in this bucket in 2017  -------------
From Evaluation:
We made a methodology change.  Instead of using the maximum wattage to evaluate 3-ways, we used the middle wattage to be more consistent with other evaluations.  Three-way bulbs are consistently a tiny fraction of the market, so it had a limited impact on savings.  </t>
        </r>
      </text>
    </comment>
    <comment ref="M96" authorId="0" shapeId="0" xr:uid="{00000000-0006-0000-0200-000005000000}">
      <text>
        <r>
          <rPr>
            <b/>
            <sz val="9"/>
            <color indexed="81"/>
            <rFont val="Tahoma"/>
            <family val="2"/>
          </rPr>
          <t xml:space="preserve">Opinion Dunamics:
</t>
        </r>
        <r>
          <rPr>
            <sz val="9"/>
            <color indexed="81"/>
            <rFont val="Tahoma"/>
            <family val="2"/>
          </rPr>
          <t>Table 3-2. PY2019 Lighting Program Participation Summary by Channel and Bulb Type. Values are used to calculate weighted average ISR, weighted average, Leakage, and Weighted Average %RES.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Author</author>
    <author>tc={CB138494-EC53-4488-BBF5-9F837D5EDA5E}</author>
    <author>tc={308D0ACD-F529-4ADB-9AB9-B581C6699527}</author>
    <author>tc={AC3899FB-CF05-491E-B05E-D6D9EB5CEAF4}</author>
    <author>tc={1F79EB30-40E6-4FEE-8081-264A0DD3316F}</author>
    <author>tc={4FD58C77-BC14-487C-A631-ECCF90B20D10}</author>
    <author>tc={3FD83065-96A6-464C-9E8E-273A11926546}</author>
    <author>tc={109B7D96-496F-49F3-A4EB-E4D20B2F633F}</author>
    <author>tc={032AEE45-646D-4A2E-93EE-ADA5B4D4ED52}</author>
    <author>tc={9A5B632C-620F-4DEF-870E-DEB9BAABB0E4}</author>
    <author>tc={86E77457-CE44-4238-B22B-14F932107653}</author>
    <author>tc={F24F4E8F-98C0-4133-9385-04E85E29C6B5}</author>
    <author>tc={02C142E9-5B6D-479B-AF8F-203809E105F8}</author>
  </authors>
  <commentList>
    <comment ref="J8" authorId="0" shapeId="0" xr:uid="{00000000-0006-0000-0B00-000001000000}">
      <text>
        <r>
          <rPr>
            <b/>
            <sz val="9"/>
            <color indexed="81"/>
            <rFont val="Tahoma"/>
            <family val="2"/>
          </rPr>
          <t xml:space="preserve">Opinion Dynamics:
</t>
        </r>
        <r>
          <rPr>
            <sz val="9"/>
            <color indexed="81"/>
            <rFont val="Tahoma"/>
            <family val="2"/>
          </rPr>
          <t xml:space="preserve">EUL values updated to match TRC Memo, source of EUL values used in PY19 Evaluation; PY20 Evaluation will reflect values discussed during ongoing stakeholder collaborative meetings.
</t>
        </r>
      </text>
    </comment>
    <comment ref="Z8" authorId="0" shapeId="0" xr:uid="{00000000-0006-0000-0B00-000002000000}">
      <text>
        <r>
          <rPr>
            <b/>
            <sz val="9"/>
            <color indexed="81"/>
            <rFont val="Tahoma"/>
            <family val="2"/>
          </rPr>
          <t>11 Step updates</t>
        </r>
      </text>
    </comment>
    <comment ref="I26" authorId="1" shapeId="0" xr:uid="{CB138494-EC53-4488-BBF5-9F837D5EDA5E}">
      <text>
        <t>[Threaded comment]
Your version of Excel allows you to read this threaded comment; however, any edits to it will get removed if the file is opened in a newer version of Excel. Learn more: https://go.microsoft.com/fwlink/?linkid=870924
Comment:
    Corrected formula in 2022</t>
      </text>
    </comment>
    <comment ref="I29" authorId="2" shapeId="0" xr:uid="{308D0ACD-F529-4ADB-9AB9-B581C6699527}">
      <text>
        <t>[Threaded comment]
Your version of Excel allows you to read this threaded comment; however, any edits to it will get removed if the file is opened in a newer version of Excel. Learn more: https://go.microsoft.com/fwlink/?linkid=870924
Comment:
    Corrected formula in 2022</t>
      </text>
    </comment>
    <comment ref="I32" authorId="3" shapeId="0" xr:uid="{AC3899FB-CF05-491E-B05E-D6D9EB5CEAF4}">
      <text>
        <t>[Threaded comment]
Your version of Excel allows you to read this threaded comment; however, any edits to it will get removed if the file is opened in a newer version of Excel. Learn more: https://go.microsoft.com/fwlink/?linkid=870924
Comment:
    Corrected formula in 2022</t>
      </text>
    </comment>
    <comment ref="CA47" authorId="4" shapeId="0" xr:uid="{1F79EB30-40E6-4FEE-8081-264A0DD3316F}">
      <text>
        <t>[Threaded comment]
Your version of Excel allows you to read this threaded comment; however, any edits to it will get removed if the file is opened in a newer version of Excel. Learn more: https://go.microsoft.com/fwlink/?linkid=870924
Comment:
    New Parameter in 2022</t>
      </text>
    </comment>
    <comment ref="F48" authorId="0" shapeId="0" xr:uid="{00000000-0006-0000-0B00-000003000000}">
      <text>
        <r>
          <rPr>
            <sz val="9"/>
            <color indexed="81"/>
            <rFont val="Tahoma"/>
            <family val="2"/>
          </rPr>
          <t>Average wattage values based on program tracking data; Updated with PY2021 tracking data</t>
        </r>
      </text>
    </comment>
    <comment ref="G48" authorId="0" shapeId="0" xr:uid="{00000000-0006-0000-0B00-000004000000}">
      <text>
        <r>
          <rPr>
            <sz val="9"/>
            <color indexed="81"/>
            <rFont val="Tahoma"/>
            <family val="2"/>
          </rPr>
          <t>Average wattage values based on program tracking data; Updated with PY2021 tracking data</t>
        </r>
      </text>
    </comment>
    <comment ref="H48" authorId="0" shapeId="0" xr:uid="{00000000-0006-0000-0B00-000005000000}">
      <text>
        <r>
          <rPr>
            <sz val="9"/>
            <color indexed="81"/>
            <rFont val="Tahoma"/>
            <family val="2"/>
          </rPr>
          <t>Average Hours values based on program tracking data; updated with PY2021 tracking data</t>
        </r>
      </text>
    </comment>
    <comment ref="I48" authorId="0" shapeId="0" xr:uid="{00000000-0006-0000-0B00-000006000000}">
      <text>
        <r>
          <rPr>
            <sz val="9"/>
            <color indexed="81"/>
            <rFont val="Tahoma"/>
            <family val="2"/>
          </rPr>
          <t xml:space="preserve">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Source of values: 1.00 is used for exterior and unconditioned spaced; 1.071  represents the weighted average HCIF value from the PY19 Standard, SBDI, and BSS evaluation. </t>
        </r>
      </text>
    </comment>
    <comment ref="J48" authorId="5" shapeId="0" xr:uid="{4FD58C77-BC14-487C-A631-ECCF90B20D10}">
      <text>
        <t>[Threaded comment]
Your version of Excel allows you to read this threaded comment; however, any edits to it will get removed if the file is opened in a newer version of Excel. Learn more: https://go.microsoft.com/fwlink/?linkid=870924
Comment:
    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
      </text>
    </comment>
    <comment ref="L48" authorId="0" shapeId="0" xr:uid="{00000000-0006-0000-0B00-000007000000}">
      <text>
        <r>
          <rPr>
            <b/>
            <sz val="9"/>
            <color indexed="81"/>
            <rFont val="Tahoma"/>
            <family val="2"/>
          </rPr>
          <t xml:space="preserve">Opinion Dynamics:
</t>
        </r>
        <r>
          <rPr>
            <sz val="9"/>
            <color indexed="81"/>
            <rFont val="Tahoma"/>
            <family val="2"/>
          </rPr>
          <t xml:space="preserve">EUL values updated to match EUL values developed through stakeholder process in 2020. EUL values are documented in 1/6/2021 Memo: Recommended EUL Values for Ameren Missouri Business Lighting Measures
</t>
        </r>
      </text>
    </comment>
    <comment ref="M48" authorId="0" shapeId="0" xr:uid="{00000000-0006-0000-0B00-000008000000}">
      <text>
        <r>
          <rPr>
            <b/>
            <sz val="9"/>
            <color indexed="81"/>
            <rFont val="Tahoma"/>
            <family val="2"/>
          </rPr>
          <t>Opinion Dynamics:</t>
        </r>
        <r>
          <rPr>
            <sz val="9"/>
            <color indexed="81"/>
            <rFont val="Tahoma"/>
            <family val="2"/>
          </rPr>
          <t xml:space="preserve">
Value is a weighted avaerage value across programs based on PY2019 EM&amp;V results including fixture/lamp kW and quantity adjustments.  This value applies only when new evaluation results are not conducted.
</t>
        </r>
      </text>
    </comment>
    <comment ref="X67" authorId="0" shapeId="0" xr:uid="{00000000-0006-0000-0B00-00000A000000}">
      <text>
        <r>
          <rPr>
            <b/>
            <sz val="9"/>
            <color indexed="81"/>
            <rFont val="Tahoma"/>
            <family val="2"/>
          </rPr>
          <t>Average of measures 3023,3024,3025 from ADM</t>
        </r>
      </text>
    </comment>
    <comment ref="Y67" authorId="0" shapeId="0" xr:uid="{00000000-0006-0000-0B00-00000B000000}">
      <text>
        <r>
          <rPr>
            <b/>
            <sz val="9"/>
            <color indexed="81"/>
            <rFont val="Tahoma"/>
            <family val="2"/>
          </rPr>
          <t>Average of measures 3023,3024,3025 from ADM</t>
        </r>
      </text>
    </comment>
    <comment ref="K79" authorId="0" shapeId="0" xr:uid="{00000000-0006-0000-0B00-00000C000000}">
      <text>
        <r>
          <rPr>
            <b/>
            <sz val="9"/>
            <color indexed="81"/>
            <rFont val="Tahoma"/>
            <family val="2"/>
          </rPr>
          <t xml:space="preserve">Opinion Dynamics:
</t>
        </r>
        <r>
          <rPr>
            <sz val="9"/>
            <color indexed="81"/>
            <rFont val="Tahoma"/>
            <family val="2"/>
          </rPr>
          <t xml:space="preserve">Estimated incremental cost ($/sqft) for a 10% improvement over baseline, based on three Wisconsin FOE LPD measures .
</t>
        </r>
      </text>
    </comment>
    <comment ref="CA90" authorId="6" shapeId="0" xr:uid="{3FD83065-96A6-464C-9E8E-273A11926546}">
      <text>
        <t>[Threaded comment]
Your version of Excel allows you to read this threaded comment; however, any edits to it will get removed if the file is opened in a newer version of Excel. Learn more: https://go.microsoft.com/fwlink/?linkid=870924
Comment:
    New Parameter in 2022</t>
      </text>
    </comment>
    <comment ref="G91" authorId="0" shapeId="0" xr:uid="{00000000-0006-0000-0B00-00000D000000}">
      <text>
        <r>
          <rPr>
            <b/>
            <sz val="9"/>
            <color indexed="81"/>
            <rFont val="Tahoma"/>
            <family val="2"/>
          </rPr>
          <t xml:space="preserve">Opinion Dynamics:
</t>
        </r>
        <r>
          <rPr>
            <sz val="9"/>
            <color indexed="81"/>
            <rFont val="Tahoma"/>
            <family val="2"/>
          </rPr>
          <t>Baseline LPD based on IECC 2009 maximum LPD for Building Type = Office</t>
        </r>
      </text>
    </comment>
    <comment ref="J91" authorId="0" shapeId="0" xr:uid="{00000000-0006-0000-0B00-00000E000000}">
      <text>
        <r>
          <rPr>
            <b/>
            <sz val="9"/>
            <color indexed="81"/>
            <rFont val="Tahoma"/>
            <family val="2"/>
          </rPr>
          <t xml:space="preserve">Opinion Dynamics: 
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t>
        </r>
        <r>
          <rPr>
            <sz val="9"/>
            <color indexed="81"/>
            <rFont val="Tahoma"/>
            <family val="2"/>
          </rPr>
          <t>Source of values: 1.00 is used for exterior and unconditioned spaced; 1.071  represents the weighted average HCIF value from the PY19 Standard, SBDI, and BSS evaluation.</t>
        </r>
      </text>
    </comment>
    <comment ref="K91" authorId="7" shapeId="0" xr:uid="{109B7D96-496F-49F3-A4EB-E4D20B2F633F}">
      <text>
        <t>[Threaded comment]
Your version of Excel allows you to read this threaded comment; however, any edits to it will get removed if the file is opened in a newer version of Excel. Learn more: https://go.microsoft.com/fwlink/?linkid=870924
Comment:
    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
      </text>
    </comment>
    <comment ref="C97" authorId="0" shapeId="0" xr:uid="{00000000-0006-0000-0B00-00000F000000}">
      <text>
        <r>
          <rPr>
            <b/>
            <sz val="9"/>
            <color indexed="81"/>
            <rFont val="Tahoma"/>
            <family val="2"/>
          </rPr>
          <t>Retired REF. IDS - June 2020:
801000
801050
801100
801150
801200</t>
        </r>
        <r>
          <rPr>
            <sz val="9"/>
            <color indexed="81"/>
            <rFont val="Tahoma"/>
            <family val="2"/>
          </rPr>
          <t xml:space="preserve">
Replaced with two New Measures 801110 &amp; 801120</t>
        </r>
      </text>
    </comment>
    <comment ref="CA109" authorId="8" shapeId="0" xr:uid="{032AEE45-646D-4A2E-93EE-ADA5B4D4ED52}">
      <text>
        <t>[Threaded comment]
Your version of Excel allows you to read this threaded comment; however, any edits to it will get removed if the file is opened in a newer version of Excel. Learn more: https://go.microsoft.com/fwlink/?linkid=870924
Comment:
    New Parameter in 2022</t>
      </text>
    </comment>
    <comment ref="F110" authorId="0" shapeId="0" xr:uid="{00000000-0006-0000-0B00-000010000000}">
      <text>
        <r>
          <rPr>
            <sz val="9"/>
            <color indexed="81"/>
            <rFont val="Tahoma"/>
            <family val="2"/>
          </rPr>
          <t>Lighting_Controls Tables</t>
        </r>
      </text>
    </comment>
    <comment ref="G110" authorId="0" shapeId="0" xr:uid="{00000000-0006-0000-0B00-000011000000}">
      <text>
        <r>
          <rPr>
            <sz val="9"/>
            <color indexed="81"/>
            <rFont val="Tahoma"/>
            <family val="2"/>
          </rPr>
          <t>Lighting Reference Table</t>
        </r>
      </text>
    </comment>
    <comment ref="H110" authorId="0" shapeId="0" xr:uid="{00000000-0006-0000-0B00-000012000000}">
      <text>
        <r>
          <rPr>
            <sz val="9"/>
            <color indexed="81"/>
            <rFont val="Tahoma"/>
            <family val="2"/>
          </rPr>
          <t>Lighting_Controls Tables</t>
        </r>
      </text>
    </comment>
    <comment ref="I110" authorId="0" shapeId="0" xr:uid="{00000000-0006-0000-0B00-000013000000}">
      <text>
        <r>
          <rPr>
            <sz val="9"/>
            <color indexed="81"/>
            <rFont val="Tahoma"/>
            <family val="2"/>
          </rPr>
          <t>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Source of values: 1.00 is used for exterior and unconditioned spaced; 1.071  represents the weighted average HCIF value from the PY19 Standard, SBDI, and BSS evaluation.</t>
        </r>
      </text>
    </comment>
    <comment ref="J110" authorId="9" shapeId="0" xr:uid="{9A5B632C-620F-4DEF-870E-DEB9BAABB0E4}">
      <text>
        <t>[Threaded comment]
Your version of Excel allows you to read this threaded comment; however, any edits to it will get removed if the file is opened in a newer version of Excel. Learn more: https://go.microsoft.com/fwlink/?linkid=870924
Comment:
    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
      </text>
    </comment>
    <comment ref="D113" authorId="0" shapeId="0" xr:uid="{00000000-0006-0000-0B00-000014000000}">
      <text>
        <r>
          <rPr>
            <b/>
            <sz val="9"/>
            <color indexed="81"/>
            <rFont val="Tahoma"/>
            <family val="2"/>
          </rPr>
          <t>Lawrence Berkeley National Laboratory. A Meta-Analysis of Energy Savings from Lighting Controls in Commercial Buildings. Page &amp; Associates Inc. 2011.</t>
        </r>
      </text>
    </comment>
    <comment ref="K119" authorId="0" shapeId="0" xr:uid="{00000000-0006-0000-0B00-000015000000}">
      <text>
        <r>
          <rPr>
            <b/>
            <sz val="9"/>
            <color indexed="81"/>
            <rFont val="Tahoma"/>
            <family val="2"/>
          </rPr>
          <t>the cost of all the variations of tubes is $29.64.  The average of the occ sensor incremental costs = ~$104.5 with assumption that 1 sensor would control 4 lamps, therefore the per lamp cost of the sensor is ~$26.12.  
 29.64+26.12=$55.76.  
Similarly, MH, used the average sensor cost and the average interior HID cost ~$262.22.</t>
        </r>
        <r>
          <rPr>
            <sz val="9"/>
            <color indexed="81"/>
            <rFont val="Tahoma"/>
            <family val="2"/>
          </rPr>
          <t xml:space="preserve">
</t>
        </r>
      </text>
    </comment>
    <comment ref="L127" authorId="10" shapeId="0" xr:uid="{86E77457-CE44-4238-B22B-14F932107653}">
      <text>
        <t xml:space="preserve">[Threaded comment]
Your version of Excel allows you to read this threaded comment; however, any edits to it will get removed if the file is opened in a newer version of Excel. Learn more: https://go.microsoft.com/fwlink/?linkid=870924
Comment:
    Set equal to Lighting Redesign projects. </t>
      </text>
    </comment>
    <comment ref="CA136" authorId="11" shapeId="0" xr:uid="{F24F4E8F-98C0-4133-9385-04E85E29C6B5}">
      <text>
        <t>[Threaded comment]
Your version of Excel allows you to read this threaded comment; however, any edits to it will get removed if the file is opened in a newer version of Excel. Learn more: https://go.microsoft.com/fwlink/?linkid=870924
Comment:
    New Parameter in 2022</t>
      </text>
    </comment>
    <comment ref="F137" authorId="0" shapeId="0" xr:uid="{00000000-0006-0000-0B00-000016000000}">
      <text>
        <r>
          <rPr>
            <sz val="9"/>
            <color indexed="81"/>
            <rFont val="Tahoma"/>
            <family val="2"/>
          </rPr>
          <t>LED New and Baseline Assumptions</t>
        </r>
      </text>
    </comment>
    <comment ref="G137" authorId="0" shapeId="0" xr:uid="{00000000-0006-0000-0B00-000017000000}">
      <text>
        <r>
          <rPr>
            <sz val="9"/>
            <color indexed="81"/>
            <rFont val="Tahoma"/>
            <family val="2"/>
          </rPr>
          <t>LED New and Baseline Assumptions</t>
        </r>
      </text>
    </comment>
    <comment ref="J137" authorId="0" shapeId="0" xr:uid="{00000000-0006-0000-0B00-000018000000}">
      <text>
        <r>
          <rPr>
            <sz val="9"/>
            <color indexed="81"/>
            <rFont val="Tahoma"/>
            <family val="2"/>
          </rPr>
          <t xml:space="preserve">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Source of values: 1.00 is used for exterior and unconditioned spaced; 1.071  represents the weighted average HCIF value from the PY19 Standard, SBDI, and BSS evaluation. </t>
        </r>
      </text>
    </comment>
    <comment ref="K137" authorId="12" shapeId="0" xr:uid="{02C142E9-5B6D-479B-AF8F-203809E105F8}">
      <text>
        <t>[Threaded comment]
Your version of Excel allows you to read this threaded comment; however, any edits to it will get removed if the file is opened in a newer version of Excel. Learn more: https://go.microsoft.com/fwlink/?linkid=870924
Comment:
    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
      </text>
    </comment>
    <comment ref="D147" authorId="0" shapeId="0" xr:uid="{00000000-0006-0000-0B00-000019000000}">
      <text>
        <r>
          <rPr>
            <b/>
            <sz val="9"/>
            <color indexed="81"/>
            <rFont val="Tahoma"/>
            <family val="2"/>
          </rPr>
          <t>Lawrence Berkeley National Laboratory. A Meta-Analysis of Energy Savings from Lighting Controls in Commercial Buildings. Page &amp; Associates Inc. 2011.</t>
        </r>
      </text>
    </comment>
    <comment ref="H180" authorId="0" shapeId="0" xr:uid="{00000000-0006-0000-0B00-00001A000000}">
      <text>
        <r>
          <rPr>
            <sz val="9"/>
            <color indexed="81"/>
            <rFont val="Tahoma"/>
            <family val="2"/>
          </rPr>
          <t>Refrigerator &amp; Freezer Tables</t>
        </r>
      </text>
    </comment>
    <comment ref="J180" authorId="0" shapeId="0" xr:uid="{00000000-0006-0000-0B00-00001B000000}">
      <text>
        <r>
          <rPr>
            <sz val="9"/>
            <color indexed="81"/>
            <rFont val="Tahoma"/>
            <family val="2"/>
          </rPr>
          <t>Refrigerator &amp; Freezer Tables</t>
        </r>
      </text>
    </comment>
    <comment ref="F232" authorId="0" shapeId="0" xr:uid="{00000000-0006-0000-0B00-00001C000000}">
      <text>
        <r>
          <rPr>
            <sz val="9"/>
            <color indexed="81"/>
            <rFont val="Tahoma"/>
            <family val="2"/>
          </rPr>
          <t>Heat Pump Water Heater Tables</t>
        </r>
      </text>
    </comment>
    <comment ref="H232" authorId="0" shapeId="0" xr:uid="{00000000-0006-0000-0B00-00001D000000}">
      <text>
        <r>
          <rPr>
            <sz val="9"/>
            <color indexed="81"/>
            <rFont val="Tahoma"/>
            <family val="2"/>
          </rPr>
          <t>Heat Pump Water Heater Tables</t>
        </r>
      </text>
    </comment>
    <comment ref="Q232" authorId="0" shapeId="0" xr:uid="{00000000-0006-0000-0B00-00001E000000}">
      <text>
        <r>
          <rPr>
            <sz val="9"/>
            <color indexed="81"/>
            <rFont val="Tahoma"/>
            <family val="2"/>
          </rPr>
          <t>Heat Pump Water Heater Tables</t>
        </r>
      </text>
    </comment>
    <comment ref="R232" authorId="0" shapeId="0" xr:uid="{00000000-0006-0000-0B00-00001F000000}">
      <text>
        <r>
          <rPr>
            <sz val="9"/>
            <color indexed="81"/>
            <rFont val="Tahoma"/>
            <family val="2"/>
          </rPr>
          <t>Heat Pump Water Heater Tables</t>
        </r>
      </text>
    </comment>
    <comment ref="S232" authorId="0" shapeId="0" xr:uid="{00000000-0006-0000-0B00-000020000000}">
      <text>
        <r>
          <rPr>
            <sz val="9"/>
            <color indexed="81"/>
            <rFont val="Tahoma"/>
            <family val="2"/>
          </rPr>
          <t>Heat Pump Water Heater Tables</t>
        </r>
      </text>
    </comment>
    <comment ref="I254" authorId="0" shapeId="0" xr:uid="{00000000-0006-0000-0B00-000021000000}">
      <text>
        <r>
          <rPr>
            <sz val="9"/>
            <color indexed="81"/>
            <rFont val="Tahoma"/>
            <family val="2"/>
          </rPr>
          <t>Average eff from energy.gov</t>
        </r>
      </text>
    </comment>
    <comment ref="K303" authorId="0" shapeId="0" xr:uid="{00000000-0006-0000-0B00-000022000000}">
      <text>
        <r>
          <rPr>
            <sz val="9"/>
            <color indexed="81"/>
            <rFont val="Tahoma"/>
            <family val="2"/>
          </rPr>
          <t>Stm Cooker &amp; Holding Cab Tables</t>
        </r>
      </text>
    </comment>
    <comment ref="I324" authorId="0" shapeId="0" xr:uid="{00000000-0006-0000-0B00-000023000000}">
      <text>
        <r>
          <rPr>
            <sz val="9"/>
            <color indexed="81"/>
            <rFont val="Tahoma"/>
            <family val="2"/>
          </rPr>
          <t>Stm Cooker &amp; Holding Cab Tables</t>
        </r>
      </text>
    </comment>
    <comment ref="N333" authorId="0" shapeId="0" xr:uid="{00000000-0006-0000-0B00-000024000000}">
      <text>
        <r>
          <rPr>
            <sz val="9"/>
            <color indexed="81"/>
            <rFont val="Tahoma"/>
            <family val="2"/>
          </rPr>
          <t xml:space="preserve">remains in alignment with program data (PY20)
</t>
        </r>
      </text>
    </comment>
    <comment ref="E347" authorId="0" shapeId="0" xr:uid="{00000000-0006-0000-0B00-000025000000}">
      <text>
        <r>
          <rPr>
            <b/>
            <sz val="9"/>
            <color indexed="81"/>
            <rFont val="Tahoma"/>
            <family val="2"/>
          </rPr>
          <t>Jun- 2020 Removed 1-75HP and adjusted to allow measures &gt;= 1HP</t>
        </r>
      </text>
    </comment>
    <comment ref="E348" authorId="0" shapeId="0" xr:uid="{00000000-0006-0000-0B00-000026000000}">
      <text>
        <r>
          <rPr>
            <b/>
            <sz val="9"/>
            <color indexed="81"/>
            <rFont val="Tahoma"/>
            <family val="2"/>
          </rPr>
          <t>Jun- 2020 Removed 1-75HP and adjusted to allow measures &gt;= 1HP</t>
        </r>
      </text>
    </comment>
    <comment ref="H359" authorId="0" shapeId="0" xr:uid="{00000000-0006-0000-0B00-000027000000}">
      <text>
        <r>
          <rPr>
            <sz val="9"/>
            <color indexed="81"/>
            <rFont val="Tahoma"/>
            <family val="2"/>
          </rPr>
          <t>Chilled_Hot Water Pump Tables</t>
        </r>
      </text>
    </comment>
    <comment ref="I359" authorId="0" shapeId="0" xr:uid="{00000000-0006-0000-0B00-000028000000}">
      <text>
        <r>
          <rPr>
            <sz val="9"/>
            <color indexed="81"/>
            <rFont val="Tahoma"/>
            <family val="2"/>
          </rPr>
          <t>Chilled_Hot Water Pump Tables</t>
        </r>
      </text>
    </comment>
    <comment ref="E367" authorId="0" shapeId="0" xr:uid="{00000000-0006-0000-0B00-000029000000}">
      <text>
        <r>
          <rPr>
            <b/>
            <sz val="9"/>
            <color indexed="81"/>
            <rFont val="Tahoma"/>
            <family val="2"/>
          </rPr>
          <t>Jun- 2020 Removed 1-75HP and adjusted to allow measures &gt;= 1HP</t>
        </r>
      </text>
    </comment>
    <comment ref="H392" authorId="0" shapeId="0" xr:uid="{00000000-0006-0000-0B00-00002A000000}">
      <text>
        <r>
          <rPr>
            <sz val="9"/>
            <color indexed="81"/>
            <rFont val="Tahoma"/>
            <family val="2"/>
          </rPr>
          <t>VFD Supply_Return Fan Tables</t>
        </r>
      </text>
    </comment>
    <comment ref="I392" authorId="0" shapeId="0" xr:uid="{00000000-0006-0000-0B00-00002B000000}">
      <text>
        <r>
          <rPr>
            <sz val="9"/>
            <color indexed="81"/>
            <rFont val="Tahoma"/>
            <family val="2"/>
          </rPr>
          <t>VFD Supply_Return Fan Tables</t>
        </r>
      </text>
    </comment>
    <comment ref="J392" authorId="0" shapeId="0" xr:uid="{00000000-0006-0000-0B00-00002C000000}">
      <text>
        <r>
          <rPr>
            <sz val="9"/>
            <color indexed="81"/>
            <rFont val="Tahoma"/>
            <family val="2"/>
          </rPr>
          <t>VFD Supply_Return Fan Tables</t>
        </r>
      </text>
    </comment>
    <comment ref="K392" authorId="0" shapeId="0" xr:uid="{00000000-0006-0000-0B00-00002D000000}">
      <text>
        <r>
          <rPr>
            <sz val="9"/>
            <color indexed="81"/>
            <rFont val="Tahoma"/>
            <family val="2"/>
          </rPr>
          <t>VFD Supply_Return Fan Tables</t>
        </r>
      </text>
    </comment>
    <comment ref="H393" authorId="0" shapeId="0" xr:uid="{00000000-0006-0000-0B00-00002E000000}">
      <text>
        <r>
          <rPr>
            <sz val="9"/>
            <color indexed="81"/>
            <rFont val="Tahoma"/>
            <family val="2"/>
          </rPr>
          <t>Assumed 20HP ODP 4-pole 1800RPM</t>
        </r>
      </text>
    </comment>
    <comment ref="E397" authorId="0" shapeId="0" xr:uid="{00000000-0006-0000-0B00-00002F000000}">
      <text>
        <r>
          <rPr>
            <sz val="9"/>
            <color indexed="81"/>
            <rFont val="Tahoma"/>
            <family val="2"/>
          </rPr>
          <t>changed name to include packaged and split sytems - aligns with Vol2 description</t>
        </r>
      </text>
    </comment>
    <comment ref="G410" authorId="0" shapeId="0" xr:uid="{00000000-0006-0000-0B00-000030000000}">
      <text>
        <r>
          <rPr>
            <b/>
            <sz val="9"/>
            <color indexed="81"/>
            <rFont val="Tahoma"/>
            <family val="2"/>
          </rPr>
          <t>Author:</t>
        </r>
        <r>
          <rPr>
            <sz val="9"/>
            <color indexed="81"/>
            <rFont val="Tahoma"/>
            <family val="2"/>
          </rPr>
          <t xml:space="preserve">
IECC 2012, non-electric heating</t>
        </r>
      </text>
    </comment>
    <comment ref="DG418" authorId="0" shapeId="0" xr:uid="{00000000-0006-0000-0B00-000031000000}">
      <text>
        <r>
          <rPr>
            <b/>
            <sz val="9"/>
            <color indexed="81"/>
            <rFont val="Tahoma"/>
            <family val="2"/>
          </rPr>
          <t xml:space="preserve">Opinion Dynamics: 
</t>
        </r>
        <r>
          <rPr>
            <sz val="9"/>
            <color indexed="81"/>
            <rFont val="Tahoma"/>
            <family val="2"/>
          </rPr>
          <t>Updated TRC calculation to include heating benefits</t>
        </r>
      </text>
    </comment>
    <comment ref="G434" authorId="0" shapeId="0" xr:uid="{00000000-0006-0000-0B00-000032000000}">
      <text>
        <r>
          <rPr>
            <sz val="9"/>
            <color indexed="81"/>
            <rFont val="Tahoma"/>
            <family val="2"/>
          </rPr>
          <t>2009 IECC</t>
        </r>
      </text>
    </comment>
    <comment ref="I434" authorId="0" shapeId="0" xr:uid="{00000000-0006-0000-0B00-000033000000}">
      <text>
        <r>
          <rPr>
            <sz val="9"/>
            <color indexed="81"/>
            <rFont val="Tahoma"/>
            <family val="2"/>
          </rPr>
          <t xml:space="preserve">2012 IECC
</t>
        </r>
      </text>
    </comment>
    <comment ref="N434" authorId="0" shapeId="0" xr:uid="{00000000-0006-0000-0B00-000034000000}">
      <text>
        <r>
          <rPr>
            <sz val="9"/>
            <color indexed="81"/>
            <rFont val="Tahoma"/>
            <family val="2"/>
          </rPr>
          <t>2009 IECC</t>
        </r>
      </text>
    </comment>
    <comment ref="G435" authorId="0" shapeId="0" xr:uid="{00000000-0006-0000-0B00-000035000000}">
      <text>
        <r>
          <rPr>
            <sz val="9"/>
            <color indexed="81"/>
            <rFont val="Tahoma"/>
            <family val="2"/>
          </rPr>
          <t>2009 IECC</t>
        </r>
      </text>
    </comment>
    <comment ref="H435" authorId="0" shapeId="0" xr:uid="{00000000-0006-0000-0B00-000036000000}">
      <text>
        <r>
          <rPr>
            <sz val="9"/>
            <color indexed="81"/>
            <rFont val="Tahoma"/>
            <family val="2"/>
          </rPr>
          <t>2015 IECC (First 2)</t>
        </r>
      </text>
    </comment>
    <comment ref="N634" authorId="0" shapeId="0" xr:uid="{00000000-0006-0000-0B00-000037000000}">
      <text>
        <r>
          <rPr>
            <b/>
            <sz val="9"/>
            <color indexed="81"/>
            <rFont val="Tahoma"/>
            <family val="2"/>
          </rPr>
          <t xml:space="preserve">Cut and pasted this entire section of inputs below the inputs above to allow room room for revision updates to the right of column "U" </t>
        </r>
      </text>
    </comment>
    <comment ref="C692" authorId="0" shapeId="0" xr:uid="{00000000-0006-0000-0B00-000038000000}">
      <text>
        <r>
          <rPr>
            <b/>
            <sz val="9"/>
            <color indexed="81"/>
            <rFont val="Tahoma"/>
            <family val="2"/>
          </rPr>
          <t>Retired REF. IDS - June 2020:
805400</t>
        </r>
        <r>
          <rPr>
            <sz val="9"/>
            <color indexed="81"/>
            <rFont val="Tahoma"/>
            <family val="2"/>
          </rPr>
          <t xml:space="preserve">
Replaced with two New Measures 805405 &amp; 805410</t>
        </r>
      </text>
    </comment>
    <comment ref="G787" authorId="0" shapeId="0" xr:uid="{00000000-0006-0000-0B00-000039000000}">
      <text>
        <r>
          <rPr>
            <sz val="9"/>
            <color indexed="81"/>
            <rFont val="Tahoma"/>
            <family val="2"/>
          </rPr>
          <t>Average of Table</t>
        </r>
      </text>
    </comment>
    <comment ref="H787" authorId="0" shapeId="0" xr:uid="{00000000-0006-0000-0B00-00003A000000}">
      <text>
        <r>
          <rPr>
            <sz val="9"/>
            <color indexed="81"/>
            <rFont val="Tahoma"/>
            <family val="2"/>
          </rPr>
          <t>Average of Table</t>
        </r>
      </text>
    </comment>
    <comment ref="V860" authorId="0" shapeId="0" xr:uid="{00000000-0006-0000-0B00-00003B000000}">
      <text>
        <r>
          <rPr>
            <b/>
            <sz val="9"/>
            <color indexed="81"/>
            <rFont val="Tahoma"/>
            <family val="2"/>
          </rPr>
          <t>New measure addded June 2020</t>
        </r>
        <r>
          <rPr>
            <sz val="9"/>
            <color indexed="81"/>
            <rFont val="Tahoma"/>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I6" authorId="0" shapeId="0" xr:uid="{00000000-0006-0000-0C00-000001000000}">
      <text>
        <r>
          <rPr>
            <b/>
            <sz val="9"/>
            <color indexed="81"/>
            <rFont val="Tahoma"/>
            <family val="2"/>
          </rPr>
          <t xml:space="preserve">EO bucket for 1st year savings
</t>
        </r>
      </text>
    </comment>
    <comment ref="J6" authorId="0" shapeId="0" xr:uid="{00000000-0006-0000-0C00-000002000000}">
      <text>
        <r>
          <rPr>
            <b/>
            <sz val="9"/>
            <color indexed="81"/>
            <rFont val="Tahoma"/>
            <family val="2"/>
          </rPr>
          <t xml:space="preserve">Author:
</t>
        </r>
      </text>
    </comment>
    <comment ref="K6" authorId="0" shapeId="0" xr:uid="{00000000-0006-0000-0C00-000003000000}">
      <text>
        <r>
          <rPr>
            <b/>
            <sz val="9"/>
            <color indexed="81"/>
            <rFont val="Tahoma"/>
            <family val="2"/>
          </rPr>
          <t xml:space="preserve">Author:
</t>
        </r>
      </text>
    </comment>
    <comment ref="O6" authorId="0" shapeId="0" xr:uid="{00000000-0006-0000-0C00-000004000000}">
      <text>
        <r>
          <rPr>
            <b/>
            <sz val="9"/>
            <color indexed="81"/>
            <rFont val="Tahoma"/>
            <family val="2"/>
          </rPr>
          <t xml:space="preserve">Author:
</t>
        </r>
      </text>
    </comment>
    <comment ref="P6" authorId="0" shapeId="0" xr:uid="{00000000-0006-0000-0C00-000005000000}">
      <text>
        <r>
          <rPr>
            <b/>
            <sz val="9"/>
            <color indexed="81"/>
            <rFont val="Tahoma"/>
            <family val="2"/>
          </rPr>
          <t xml:space="preserve">Author:
</t>
        </r>
      </text>
    </comment>
    <comment ref="Q6" authorId="0" shapeId="0" xr:uid="{00000000-0006-0000-0C00-000006000000}">
      <text>
        <r>
          <rPr>
            <b/>
            <sz val="9"/>
            <color indexed="81"/>
            <rFont val="Tahoma"/>
            <family val="2"/>
          </rPr>
          <t xml:space="preserve">Author:
</t>
        </r>
      </text>
    </comment>
    <comment ref="AC6" authorId="0" shapeId="0" xr:uid="{00000000-0006-0000-0C00-000007000000}">
      <text>
        <r>
          <rPr>
            <b/>
            <sz val="9"/>
            <color indexed="81"/>
            <rFont val="Tahoma"/>
            <family val="2"/>
          </rPr>
          <t>These are the benefits that would be derived from measures installed in 2020 to adjust the program year, the benefits in the deemed tables (~column BD) would need to lookup from a different column in the avoided cost benefit tab</t>
        </r>
      </text>
    </comment>
    <comment ref="AO9" authorId="0" shapeId="0" xr:uid="{00000000-0006-0000-0C00-000008000000}">
      <text>
        <r>
          <rPr>
            <b/>
            <sz val="9"/>
            <color indexed="81"/>
            <rFont val="Tahoma"/>
            <family val="2"/>
          </rPr>
          <t>Author:</t>
        </r>
        <r>
          <rPr>
            <sz val="9"/>
            <color indexed="81"/>
            <rFont val="Tahoma"/>
            <family val="2"/>
          </rPr>
          <t xml:space="preserve">
mix of res &amp; Bus lighting end use causes some variance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Y6" authorId="0" shapeId="0" xr:uid="{00000000-0006-0000-0300-000001000000}">
      <text>
        <r>
          <rPr>
            <b/>
            <sz val="9"/>
            <color indexed="81"/>
            <rFont val="Tahoma"/>
            <family val="2"/>
          </rPr>
          <t>Author:</t>
        </r>
        <r>
          <rPr>
            <sz val="9"/>
            <color indexed="81"/>
            <rFont val="Tahoma"/>
            <family val="2"/>
          </rPr>
          <t xml:space="preserve">
PY18 EM&amp;V</t>
        </r>
      </text>
    </comment>
    <comment ref="Z6" authorId="0" shapeId="0" xr:uid="{00000000-0006-0000-0300-000002000000}">
      <text>
        <r>
          <rPr>
            <b/>
            <sz val="9"/>
            <color indexed="81"/>
            <rFont val="Tahoma"/>
            <family val="2"/>
          </rPr>
          <t>11 Step updates</t>
        </r>
      </text>
    </comment>
    <comment ref="W29" authorId="0" shapeId="0" xr:uid="{00000000-0006-0000-0300-000003000000}">
      <text>
        <r>
          <rPr>
            <b/>
            <sz val="9"/>
            <color indexed="81"/>
            <rFont val="Tahoma"/>
            <family val="2"/>
          </rPr>
          <t>Cadmus EM&amp;V 2016 value for gallons per day, 64, divided by people per household.  
Cadmus source for gallons per a day is 'DOE Federal Energy Management Program Energy Cost Calculator'</t>
        </r>
        <r>
          <rPr>
            <sz val="9"/>
            <color indexed="81"/>
            <rFont val="Tahoma"/>
            <family val="2"/>
          </rPr>
          <t xml:space="preserve">
</t>
        </r>
      </text>
    </comment>
    <comment ref="W33" authorId="0" shapeId="0" xr:uid="{00000000-0006-0000-0300-000004000000}">
      <text>
        <r>
          <rPr>
            <b/>
            <sz val="9"/>
            <color indexed="81"/>
            <rFont val="Tahoma"/>
            <family val="2"/>
          </rPr>
          <t>Ameren TRM</t>
        </r>
      </text>
    </comment>
    <comment ref="D38" authorId="0" shapeId="0" xr:uid="{00000000-0006-0000-0300-000005000000}">
      <text>
        <r>
          <rPr>
            <sz val="9"/>
            <color indexed="81"/>
            <rFont val="Tahoma"/>
            <family val="2"/>
          </rPr>
          <t xml:space="preserve">Changed these from descriptions to actual factors in the equation - just formating change no update to the values or how they were used
</t>
        </r>
      </text>
    </comment>
    <comment ref="W45" authorId="0" shapeId="0" xr:uid="{00000000-0006-0000-0300-000006000000}">
      <text>
        <r>
          <rPr>
            <b/>
            <sz val="9"/>
            <color indexed="81"/>
            <rFont val="Tahoma"/>
            <family val="2"/>
          </rPr>
          <t>Infiltration Factor Calculation Methodology by Bruce Harley, Senior Manager, Applied Building Science, CLEAResult 11/18/2015</t>
        </r>
      </text>
    </comment>
    <comment ref="X47" authorId="0" shapeId="0" xr:uid="{00000000-0006-0000-0300-000007000000}">
      <text>
        <r>
          <rPr>
            <b/>
            <sz val="9"/>
            <color indexed="81"/>
            <rFont val="Tahoma"/>
            <family val="2"/>
          </rPr>
          <t>PY16 Efficient Products Survey Results (customers with HPWH)</t>
        </r>
        <r>
          <rPr>
            <sz val="9"/>
            <color indexed="81"/>
            <rFont val="Tahoma"/>
            <family val="2"/>
          </rPr>
          <t xml:space="preserve">
</t>
        </r>
      </text>
    </comment>
    <comment ref="X48" authorId="0" shapeId="0" xr:uid="{00000000-0006-0000-0300-000008000000}">
      <text>
        <r>
          <rPr>
            <b/>
            <sz val="9"/>
            <color indexed="81"/>
            <rFont val="Tahoma"/>
            <family val="2"/>
          </rPr>
          <t>PY16 Efficient Products Survey Results (customers with HPWH)</t>
        </r>
        <r>
          <rPr>
            <sz val="9"/>
            <color indexed="81"/>
            <rFont val="Tahoma"/>
            <family val="2"/>
          </rPr>
          <t xml:space="preserve">
</t>
        </r>
      </text>
    </comment>
    <comment ref="F71" authorId="0" shapeId="0" xr:uid="{00000000-0006-0000-0300-000009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the EFLHcool reference, row 144 instead of 145.</t>
        </r>
      </text>
    </comment>
    <comment ref="F77" authorId="0" shapeId="0" xr:uid="{00000000-0006-0000-0300-00000A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the EFLHcool reference, row 144 instead of 145.</t>
        </r>
      </text>
    </comment>
    <comment ref="W107" authorId="0" shapeId="0" xr:uid="{00000000-0006-0000-0300-00000B000000}">
      <text>
        <r>
          <rPr>
            <b/>
            <sz val="9"/>
            <color indexed="81"/>
            <rFont val="Tahoma"/>
            <family val="2"/>
          </rPr>
          <t>St Louis - Heat Pump- MO TRM</t>
        </r>
        <r>
          <rPr>
            <sz val="9"/>
            <color indexed="81"/>
            <rFont val="Tahoma"/>
            <family val="2"/>
          </rPr>
          <t xml:space="preserve">
</t>
        </r>
      </text>
    </comment>
    <comment ref="X107" authorId="0" shapeId="0" xr:uid="{00000000-0006-0000-0300-00000C000000}">
      <text>
        <r>
          <rPr>
            <sz val="9"/>
            <color indexed="81"/>
            <rFont val="Tahoma"/>
            <family val="2"/>
          </rPr>
          <t xml:space="preserve">Filterd data on "Cooling"  for Heat Pump measures - took average
</t>
        </r>
      </text>
    </comment>
    <comment ref="Y107" authorId="0" shapeId="0" xr:uid="{00000000-0006-0000-0300-00000D000000}">
      <text>
        <r>
          <rPr>
            <sz val="9"/>
            <color indexed="81"/>
            <rFont val="Tahoma"/>
            <family val="2"/>
          </rPr>
          <t xml:space="preserve"> updated values by filtering thermostat data by heating/cooling type.</t>
        </r>
      </text>
    </comment>
    <comment ref="W110" authorId="0" shapeId="0" xr:uid="{00000000-0006-0000-0300-00000E000000}">
      <text>
        <r>
          <rPr>
            <b/>
            <sz val="9"/>
            <color indexed="81"/>
            <rFont val="Tahoma"/>
            <family val="2"/>
          </rPr>
          <t>St Louis - Resistance - MO TRM</t>
        </r>
        <r>
          <rPr>
            <sz val="9"/>
            <color indexed="81"/>
            <rFont val="Tahoma"/>
            <family val="2"/>
          </rPr>
          <t xml:space="preserve">
</t>
        </r>
      </text>
    </comment>
    <comment ref="W112" authorId="0" shapeId="0" xr:uid="{00000000-0006-0000-0300-00000F000000}">
      <text>
        <r>
          <rPr>
            <b/>
            <sz val="9"/>
            <color indexed="81"/>
            <rFont val="Tahoma"/>
            <family val="2"/>
          </rPr>
          <t xml:space="preserve">St Louis - Resistance - MO TRM
</t>
        </r>
        <r>
          <rPr>
            <sz val="9"/>
            <color indexed="81"/>
            <rFont val="Tahoma"/>
            <family val="2"/>
          </rPr>
          <t xml:space="preserve">
</t>
        </r>
      </text>
    </comment>
    <comment ref="X116" authorId="0" shapeId="0" xr:uid="{00000000-0006-0000-0300-000010000000}">
      <text>
        <r>
          <rPr>
            <sz val="9"/>
            <color indexed="81"/>
            <rFont val="Tahoma"/>
            <family val="2"/>
          </rPr>
          <t xml:space="preserve">If you exclude gas systems from Gas data, this average value is 12,382.71  Used this value as gas measures have own line item (set as "0")
</t>
        </r>
      </text>
    </comment>
    <comment ref="W127" authorId="0" shapeId="0" xr:uid="{00000000-0006-0000-0300-000011000000}">
      <text>
        <r>
          <rPr>
            <b/>
            <sz val="9"/>
            <color indexed="81"/>
            <rFont val="Tahoma"/>
            <family val="2"/>
          </rPr>
          <t>MO - TRM</t>
        </r>
      </text>
    </comment>
    <comment ref="X127" authorId="0" shapeId="0" xr:uid="{00000000-0006-0000-0300-000012000000}">
      <text>
        <r>
          <rPr>
            <sz val="9"/>
            <color indexed="81"/>
            <rFont val="Tahoma"/>
            <family val="2"/>
          </rPr>
          <t>This is a weighted average of the types shown in the Word TRM document
Frequency was 41,55,4</t>
        </r>
      </text>
    </comment>
    <comment ref="F132" authorId="0" shapeId="0" xr:uid="{00000000-0006-0000-0300-000013000000}">
      <text>
        <r>
          <rPr>
            <sz val="11"/>
            <color theme="1"/>
            <rFont val="Calibri"/>
            <family val="2"/>
            <scheme val="minor"/>
          </rPr>
          <t xml:space="preserve">
    Cell not referenced in this tab, but added the results of the HVAC evaluation.</t>
        </r>
      </text>
    </comment>
    <comment ref="AB132" authorId="0" shapeId="0" xr:uid="{00000000-0006-0000-0300-000014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Cell not referenced in this tab, but added the results of the HVAC evaluation.</t>
        </r>
      </text>
    </comment>
    <comment ref="AC132" authorId="0" shapeId="0" xr:uid="{00000000-0006-0000-0300-000015000000}">
      <text>
        <r>
          <rPr>
            <sz val="11"/>
            <color theme="1"/>
            <rFont val="Calibri"/>
            <family val="2"/>
            <scheme val="minor"/>
          </rPr>
          <t xml:space="preserve">
    Cell not referenced in this tab, but added the results of the HVAC evaluation.</t>
        </r>
      </text>
    </comment>
    <comment ref="AD132" authorId="0" shapeId="0" xr:uid="{584B132B-A9BA-4C4E-B64A-DCEF9B396571}">
      <text>
        <r>
          <rPr>
            <sz val="11"/>
            <color theme="1"/>
            <rFont val="Calibri"/>
            <family val="2"/>
            <scheme val="minor"/>
          </rPr>
          <t xml:space="preserve">
    Cell not referenced in this tab, but added the results of the HVAC evaluation.</t>
        </r>
      </text>
    </comment>
    <comment ref="F153" authorId="0" shapeId="0" xr:uid="{00000000-0006-0000-0300-000016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Value is 24000 in most recent program data for MFMR
Reply:
    If this value is updated to 24000, the Household Factor (HF) should be updated to 100% for all measures. HF currently already accounts for the smaller capacity of MF units.</t>
        </r>
      </text>
    </comment>
    <comment ref="X153" authorId="0" shapeId="0" xr:uid="{00000000-0006-0000-0300-000017000000}">
      <text>
        <r>
          <rPr>
            <sz val="9"/>
            <color indexed="81"/>
            <rFont val="Tahoma"/>
            <family val="2"/>
          </rPr>
          <t>Used default value for MF (SF x 65%)</t>
        </r>
      </text>
    </comment>
    <comment ref="Y153" authorId="0" shapeId="0" xr:uid="{00000000-0006-0000-0300-000018000000}">
      <text>
        <r>
          <rPr>
            <sz val="9"/>
            <color indexed="81"/>
            <rFont val="Tahoma"/>
            <family val="2"/>
          </rPr>
          <t xml:space="preserve">Corrected  to match SF value - The 65% factor is being applied to adjust SF capacities &amp;  heating consumption downward for MF to calculate savings
</t>
        </r>
      </text>
    </comment>
    <comment ref="AC153" authorId="0" shapeId="0" xr:uid="{00000000-0006-0000-0300-000019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Value is 24000 in most recent program data for MFMR
Reply:
    If this value is updated to 24000, the Household Factor (HF) should be updated to 100% for all measures. HF currently already accounts for the smaller capacity of MF units.</t>
        </r>
      </text>
    </comment>
    <comment ref="AD153" authorId="0" shapeId="0" xr:uid="{A98B51B4-B518-43B9-B507-8518DCAEEFEC}">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Value is 24000 in most recent program data for MFMR
Reply:
    If this value is updated to 24000, the Household Factor (HF) should be updated to 100% for all measures. HF currently already accounts for the smaller capacity of MF units.</t>
        </r>
      </text>
    </comment>
    <comment ref="W162" authorId="0" shapeId="0" xr:uid="{00000000-0006-0000-0300-00001A000000}">
      <text>
        <r>
          <rPr>
            <b/>
            <sz val="9"/>
            <color indexed="81"/>
            <rFont val="Tahoma"/>
            <family val="2"/>
          </rPr>
          <t>MO - TRM</t>
        </r>
      </text>
    </comment>
    <comment ref="G256" authorId="0" shapeId="0" xr:uid="{00000000-0006-0000-0300-00001B000000}">
      <text>
        <r>
          <rPr>
            <sz val="9"/>
            <color indexed="81"/>
            <rFont val="Tahoma"/>
            <family val="2"/>
          </rPr>
          <t>PY2018 Evaluation updated to HVAC RES end use in calculations. Previously: Miscellaneous RES</t>
        </r>
      </text>
    </comment>
    <comment ref="W265" authorId="0" shapeId="0" xr:uid="{00000000-0006-0000-0300-00001C000000}">
      <text>
        <r>
          <rPr>
            <b/>
            <sz val="9"/>
            <color indexed="81"/>
            <rFont val="Tahoma"/>
            <family val="2"/>
          </rPr>
          <t>PY16 EfficientProducts Database - Average CADR/Watt, updated Mar 2017</t>
        </r>
        <r>
          <rPr>
            <sz val="9"/>
            <color indexed="81"/>
            <rFont val="Tahoma"/>
            <family val="2"/>
          </rPr>
          <t xml:space="preserve">
</t>
        </r>
      </text>
    </comment>
    <comment ref="X265" authorId="0" shapeId="0" xr:uid="{00000000-0006-0000-0300-00001D000000}">
      <text>
        <r>
          <rPr>
            <b/>
            <sz val="9"/>
            <color indexed="81"/>
            <rFont val="Tahoma"/>
            <family val="2"/>
          </rPr>
          <t>PY17 EfficientProducts Database</t>
        </r>
      </text>
    </comment>
    <comment ref="W267" authorId="0" shapeId="0" xr:uid="{00000000-0006-0000-0300-00001E000000}">
      <text>
        <r>
          <rPr>
            <b/>
            <sz val="9"/>
            <color indexed="81"/>
            <rFont val="Tahoma"/>
            <family val="2"/>
          </rPr>
          <t xml:space="preserve">PY16 EfficientProducts Database - Average standby power, updated Mar 2017
</t>
        </r>
        <r>
          <rPr>
            <sz val="9"/>
            <color indexed="81"/>
            <rFont val="Tahoma"/>
            <family val="2"/>
          </rPr>
          <t xml:space="preserve">
</t>
        </r>
      </text>
    </comment>
    <comment ref="X267" authorId="0" shapeId="0" xr:uid="{00000000-0006-0000-0300-00001F000000}">
      <text>
        <r>
          <rPr>
            <b/>
            <sz val="9"/>
            <color indexed="81"/>
            <rFont val="Tahoma"/>
            <family val="2"/>
          </rPr>
          <t>PY17 EfficientProducts Database</t>
        </r>
        <r>
          <rPr>
            <sz val="9"/>
            <color indexed="81"/>
            <rFont val="Tahoma"/>
            <family val="2"/>
          </rPr>
          <t xml:space="preserve">
</t>
        </r>
      </text>
    </comment>
    <comment ref="W269" authorId="0" shapeId="0" xr:uid="{00000000-0006-0000-0300-000020000000}">
      <text>
        <r>
          <rPr>
            <b/>
            <sz val="9"/>
            <color indexed="81"/>
            <rFont val="Tahoma"/>
            <family val="2"/>
          </rPr>
          <t xml:space="preserve">PY16 EfficientProducts Database - Average dust-free delivery rate, updated Mar 2017
</t>
        </r>
        <r>
          <rPr>
            <sz val="9"/>
            <color indexed="81"/>
            <rFont val="Tahoma"/>
            <family val="2"/>
          </rPr>
          <t xml:space="preserve">
</t>
        </r>
      </text>
    </comment>
    <comment ref="X269" authorId="0" shapeId="0" xr:uid="{00000000-0006-0000-0300-000021000000}">
      <text>
        <r>
          <rPr>
            <b/>
            <sz val="9"/>
            <color indexed="81"/>
            <rFont val="Tahoma"/>
            <family val="2"/>
          </rPr>
          <t>PY17 EfficientProducts Database</t>
        </r>
        <r>
          <rPr>
            <sz val="9"/>
            <color indexed="81"/>
            <rFont val="Tahoma"/>
            <family val="2"/>
          </rPr>
          <t xml:space="preserve">
</t>
        </r>
      </text>
    </comment>
    <comment ref="E287" authorId="0" shapeId="0" xr:uid="{00000000-0006-0000-0300-000022000000}">
      <text>
        <r>
          <rPr>
            <b/>
            <sz val="9"/>
            <color indexed="81"/>
            <rFont val="Tahoma"/>
            <family val="2"/>
          </rPr>
          <t>THESE CATEGORIES WERE TITLED WRONG - SIMPLY FLIPPED THE NAMES TOP TO BOTTOM</t>
        </r>
      </text>
    </comment>
    <comment ref="W318" authorId="0" shapeId="0" xr:uid="{00000000-0006-0000-0300-000023000000}">
      <text>
        <r>
          <rPr>
            <b/>
            <sz val="9"/>
            <color indexed="81"/>
            <rFont val="Tahoma"/>
            <family val="2"/>
          </rPr>
          <t>PY13 RebateSavers Database (average BTU)</t>
        </r>
        <r>
          <rPr>
            <sz val="9"/>
            <color indexed="81"/>
            <rFont val="Tahoma"/>
            <family val="2"/>
          </rPr>
          <t xml:space="preserve">
</t>
        </r>
      </text>
    </comment>
    <comment ref="W319" authorId="0" shapeId="0" xr:uid="{00000000-0006-0000-0300-000024000000}">
      <text>
        <r>
          <rPr>
            <b/>
            <sz val="9"/>
            <color indexed="81"/>
            <rFont val="Tahoma"/>
            <family val="2"/>
          </rPr>
          <t>Federal minimum efficiency standard (updated from EER to CEER in March 2017)</t>
        </r>
        <r>
          <rPr>
            <sz val="9"/>
            <color indexed="81"/>
            <rFont val="Tahoma"/>
            <family val="2"/>
          </rPr>
          <t xml:space="preserve">
</t>
        </r>
      </text>
    </comment>
    <comment ref="X319" authorId="0" shapeId="0" xr:uid="{00000000-0006-0000-0300-000025000000}">
      <text>
        <r>
          <rPr>
            <b/>
            <sz val="9"/>
            <color indexed="81"/>
            <rFont val="Tahoma"/>
            <family val="2"/>
          </rPr>
          <t>https://www.energystar.gov/products/heating_cooling/air_conditioning_room/key_product_criteria
Federal minimum efficiency standard (updated from EER to CEER in March 2017) based on size of rebated unit</t>
        </r>
      </text>
    </comment>
    <comment ref="X322" authorId="0" shapeId="0" xr:uid="{00000000-0006-0000-0300-000026000000}">
      <text>
        <r>
          <rPr>
            <b/>
            <sz val="9"/>
            <color indexed="81"/>
            <rFont val="Tahoma"/>
            <family val="2"/>
          </rPr>
          <t>Cadmus did not identify secondary vs primary unit, therefore did not update these values</t>
        </r>
        <r>
          <rPr>
            <sz val="9"/>
            <color indexed="81"/>
            <rFont val="Tahoma"/>
            <family val="2"/>
          </rPr>
          <t xml:space="preserve">
</t>
        </r>
      </text>
    </comment>
    <comment ref="Y322" authorId="0" shapeId="0" xr:uid="{00000000-0006-0000-0300-000027000000}">
      <text>
        <r>
          <rPr>
            <b/>
            <sz val="9"/>
            <color indexed="81"/>
            <rFont val="Tahoma"/>
            <family val="2"/>
          </rPr>
          <t>EM&amp;V did not identify secondary vs primary unit, therefore did not update these values</t>
        </r>
        <r>
          <rPr>
            <sz val="9"/>
            <color indexed="81"/>
            <rFont val="Tahoma"/>
            <family val="2"/>
          </rPr>
          <t xml:space="preserve">
PY18 EM&amp;V specified a different input based upon location (weighted average ended up 537)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Y6" authorId="0" shapeId="0" xr:uid="{00000000-0006-0000-0400-000001000000}">
      <text>
        <r>
          <rPr>
            <b/>
            <sz val="9"/>
            <color indexed="81"/>
            <rFont val="Tahoma"/>
            <family val="2"/>
          </rPr>
          <t>Author:</t>
        </r>
        <r>
          <rPr>
            <sz val="9"/>
            <color indexed="81"/>
            <rFont val="Tahoma"/>
            <family val="2"/>
          </rPr>
          <t xml:space="preserve">
PY18 EM&amp;V</t>
        </r>
      </text>
    </comment>
    <comment ref="Z6" authorId="0" shapeId="0" xr:uid="{00000000-0006-0000-0400-000002000000}">
      <text>
        <r>
          <rPr>
            <b/>
            <sz val="9"/>
            <color indexed="81"/>
            <rFont val="Tahoma"/>
            <family val="2"/>
          </rPr>
          <t>11 Step updates</t>
        </r>
      </text>
    </comment>
    <comment ref="D9" authorId="0" shapeId="0" xr:uid="{00000000-0006-0000-0400-000003000000}">
      <text>
        <r>
          <rPr>
            <b/>
            <sz val="9"/>
            <color indexed="81"/>
            <rFont val="Tahoma"/>
            <family val="2"/>
          </rPr>
          <t>Appliance Recycling Program</t>
        </r>
      </text>
    </comment>
    <comment ref="X41" authorId="0" shapeId="0" xr:uid="{00000000-0006-0000-0400-000004000000}">
      <text>
        <r>
          <rPr>
            <b/>
            <sz val="9"/>
            <color indexed="81"/>
            <rFont val="Tahoma"/>
            <family val="2"/>
          </rPr>
          <t>In PY2017 this was included in the ISR rate but may need to be considered in future</t>
        </r>
        <r>
          <rPr>
            <sz val="9"/>
            <color indexed="81"/>
            <rFont val="Tahoma"/>
            <family val="2"/>
          </rPr>
          <t xml:space="preserve">
</t>
        </r>
      </text>
    </comment>
    <comment ref="D50" authorId="0" shapeId="0" xr:uid="{00000000-0006-0000-0400-000005000000}">
      <text>
        <r>
          <rPr>
            <b/>
            <sz val="9"/>
            <color indexed="81"/>
            <rFont val="Tahoma"/>
            <family val="2"/>
          </rPr>
          <t>Appliance Recycling Program</t>
        </r>
      </text>
    </comment>
    <comment ref="C53" authorId="0" shapeId="0" xr:uid="{00000000-0006-0000-0400-000006000000}">
      <text>
        <r>
          <rPr>
            <b/>
            <sz val="9"/>
            <color indexed="81"/>
            <rFont val="Tahoma"/>
            <family val="2"/>
          </rPr>
          <t>Author:</t>
        </r>
        <r>
          <rPr>
            <sz val="9"/>
            <color indexed="81"/>
            <rFont val="Tahoma"/>
            <family val="2"/>
          </rPr>
          <t xml:space="preserve">
in NOV 2019 TRM update this value was 2018_12 and should have been changed to 2019_12</t>
        </r>
      </text>
    </comment>
    <comment ref="AB84" authorId="0" shapeId="0" xr:uid="{00000000-0006-0000-0400-000007000000}">
      <text>
        <r>
          <rPr>
            <b/>
            <sz val="9"/>
            <color indexed="81"/>
            <rFont val="Tahoma"/>
            <family val="2"/>
          </rPr>
          <t>changed to take hours and days into account to match to formats of other deemed tables</t>
        </r>
      </text>
    </comment>
    <comment ref="W88" authorId="0" shapeId="0" xr:uid="{00000000-0006-0000-0400-000008000000}">
      <text>
        <r>
          <rPr>
            <b/>
            <sz val="9"/>
            <color indexed="81"/>
            <rFont val="Tahoma"/>
            <family val="2"/>
          </rPr>
          <t>PY16 Engineering Simulation Modeling adjusted for heating and cooling saturations</t>
        </r>
      </text>
    </comment>
    <comment ref="W90" authorId="0" shapeId="0" xr:uid="{00000000-0006-0000-0400-000009000000}">
      <text>
        <r>
          <rPr>
            <b/>
            <sz val="9"/>
            <color indexed="81"/>
            <rFont val="Tahoma"/>
            <family val="2"/>
          </rPr>
          <t xml:space="preserve">PY16 Energy Efficiency Kits School Survey Results </t>
        </r>
        <r>
          <rPr>
            <sz val="9"/>
            <color indexed="81"/>
            <rFont val="Tahoma"/>
            <family val="2"/>
          </rPr>
          <t xml:space="preserve">
</t>
        </r>
      </text>
    </comment>
    <comment ref="W94" authorId="0" shapeId="0" xr:uid="{00000000-0006-0000-0400-00000A000000}">
      <text>
        <r>
          <rPr>
            <b/>
            <sz val="9"/>
            <color indexed="81"/>
            <rFont val="Tahoma"/>
            <family val="2"/>
          </rPr>
          <t xml:space="preserve">PY16 Energy Efficiency Kits School Survey Results </t>
        </r>
        <r>
          <rPr>
            <sz val="9"/>
            <color indexed="81"/>
            <rFont val="Tahoma"/>
            <family val="2"/>
          </rPr>
          <t xml:space="preserve">
</t>
        </r>
      </text>
    </comment>
    <comment ref="D106" authorId="0" shapeId="0" xr:uid="{00000000-0006-0000-0400-00000B000000}">
      <text>
        <r>
          <rPr>
            <b/>
            <sz val="9"/>
            <color indexed="81"/>
            <rFont val="Tahoma"/>
            <family val="2"/>
          </rPr>
          <t>Appliance Recycling Program</t>
        </r>
      </text>
    </comment>
    <comment ref="W118" authorId="0" shapeId="0" xr:uid="{00000000-0006-0000-0400-00000C000000}">
      <text>
        <r>
          <rPr>
            <b/>
            <sz val="9"/>
            <color indexed="81"/>
            <rFont val="Tahoma"/>
            <family val="2"/>
          </rPr>
          <t>PY16 Energy Efficiency Kits School Survey Results</t>
        </r>
        <r>
          <rPr>
            <sz val="9"/>
            <color indexed="81"/>
            <rFont val="Tahoma"/>
            <family val="2"/>
          </rPr>
          <t xml:space="preserve">
</t>
        </r>
      </text>
    </comment>
    <comment ref="W129" authorId="0" shapeId="0" xr:uid="{00000000-0006-0000-0400-00000D000000}">
      <text>
        <r>
          <rPr>
            <b/>
            <sz val="9"/>
            <color indexed="81"/>
            <rFont val="Tahoma"/>
            <family val="2"/>
          </rPr>
          <t>PY16 Energy Efficiency Kits School Survey Results</t>
        </r>
        <r>
          <rPr>
            <sz val="9"/>
            <color indexed="81"/>
            <rFont val="Tahoma"/>
            <family val="2"/>
          </rPr>
          <t xml:space="preserve">
</t>
        </r>
      </text>
    </comment>
    <comment ref="W145" authorId="0" shapeId="0" xr:uid="{00000000-0006-0000-0400-00000E000000}">
      <text>
        <r>
          <rPr>
            <b/>
            <sz val="9"/>
            <color indexed="81"/>
            <rFont val="Tahoma"/>
            <family val="2"/>
          </rPr>
          <t>PY16 Energy Efficiency Kits School Survey Results</t>
        </r>
        <r>
          <rPr>
            <sz val="9"/>
            <color indexed="81"/>
            <rFont val="Tahoma"/>
            <family val="2"/>
          </rPr>
          <t xml:space="preserve">
</t>
        </r>
      </text>
    </comment>
    <comment ref="W147" authorId="0" shapeId="0" xr:uid="{00000000-0006-0000-0400-00000F000000}">
      <text>
        <r>
          <rPr>
            <b/>
            <sz val="9"/>
            <color indexed="81"/>
            <rFont val="Tahoma"/>
            <family val="2"/>
          </rPr>
          <t>PY16 Energy Efficiency Kits School Survey Results</t>
        </r>
        <r>
          <rPr>
            <sz val="9"/>
            <color indexed="81"/>
            <rFont val="Tahoma"/>
            <family val="2"/>
          </rPr>
          <t xml:space="preserve">
</t>
        </r>
      </text>
    </comment>
    <comment ref="D158" authorId="0" shapeId="0" xr:uid="{00000000-0006-0000-0400-000010000000}">
      <text>
        <r>
          <rPr>
            <b/>
            <sz val="9"/>
            <color indexed="81"/>
            <rFont val="Tahoma"/>
            <family val="2"/>
          </rPr>
          <t>Appliance Recycling Program</t>
        </r>
      </text>
    </comment>
    <comment ref="W170" authorId="0" shapeId="0" xr:uid="{00000000-0006-0000-0400-000011000000}">
      <text>
        <r>
          <rPr>
            <b/>
            <sz val="9"/>
            <color indexed="81"/>
            <rFont val="Tahoma"/>
            <family val="2"/>
          </rPr>
          <t xml:space="preserve">PY16 Energy Efficiency Kits School Survey Results </t>
        </r>
        <r>
          <rPr>
            <sz val="9"/>
            <color indexed="81"/>
            <rFont val="Tahoma"/>
            <family val="2"/>
          </rPr>
          <t xml:space="preserve">
</t>
        </r>
      </text>
    </comment>
    <comment ref="W179" authorId="0" shapeId="0" xr:uid="{00000000-0006-0000-0400-000012000000}">
      <text>
        <r>
          <rPr>
            <b/>
            <sz val="9"/>
            <color indexed="81"/>
            <rFont val="Tahoma"/>
            <family val="2"/>
          </rPr>
          <t xml:space="preserve">PY16 Energy Efficiency Kits School Survey Results </t>
        </r>
        <r>
          <rPr>
            <sz val="9"/>
            <color indexed="81"/>
            <rFont val="Tahoma"/>
            <family val="2"/>
          </rPr>
          <t xml:space="preserve">
</t>
        </r>
      </text>
    </comment>
    <comment ref="W186" authorId="0" shapeId="0" xr:uid="{00000000-0006-0000-0400-000013000000}">
      <text>
        <r>
          <rPr>
            <b/>
            <sz val="9"/>
            <color indexed="81"/>
            <rFont val="Tahoma"/>
            <family val="2"/>
          </rPr>
          <t xml:space="preserve">PY16 Energy Efficiency Kits School Survey Results </t>
        </r>
        <r>
          <rPr>
            <sz val="9"/>
            <color indexed="81"/>
            <rFont val="Tahoma"/>
            <family val="2"/>
          </rPr>
          <t xml:space="preserve">
</t>
        </r>
      </text>
    </comment>
    <comment ref="W196" authorId="0" shapeId="0" xr:uid="{00000000-0006-0000-0400-000014000000}">
      <text>
        <r>
          <rPr>
            <b/>
            <sz val="9"/>
            <color indexed="81"/>
            <rFont val="Tahoma"/>
            <family val="2"/>
          </rPr>
          <t xml:space="preserve">PY16 Energy Efficiency Kits School Survey Results </t>
        </r>
      </text>
    </comment>
    <comment ref="W198" authorId="0" shapeId="0" xr:uid="{00000000-0006-0000-0400-000015000000}">
      <text>
        <r>
          <rPr>
            <b/>
            <sz val="9"/>
            <color indexed="81"/>
            <rFont val="Tahoma"/>
            <family val="2"/>
          </rPr>
          <t xml:space="preserve">PY16 Energy Efficiency Kits School Survey Results </t>
        </r>
        <r>
          <rPr>
            <sz val="9"/>
            <color indexed="81"/>
            <rFont val="Tahoma"/>
            <family val="2"/>
          </rPr>
          <t xml:space="preserve">
</t>
        </r>
      </text>
    </comment>
    <comment ref="D210" authorId="0" shapeId="0" xr:uid="{00000000-0006-0000-0400-000016000000}">
      <text>
        <r>
          <rPr>
            <b/>
            <sz val="9"/>
            <color indexed="81"/>
            <rFont val="Tahoma"/>
            <family val="2"/>
          </rPr>
          <t>Appliance Recycling Program</t>
        </r>
      </text>
    </comment>
    <comment ref="W222" authorId="0" shapeId="0" xr:uid="{00000000-0006-0000-0400-000017000000}">
      <text>
        <r>
          <rPr>
            <b/>
            <sz val="9"/>
            <color indexed="81"/>
            <rFont val="Tahoma"/>
            <family val="2"/>
          </rPr>
          <t>PY16 Energy Efficiency Kits School Survey Results</t>
        </r>
        <r>
          <rPr>
            <sz val="9"/>
            <color indexed="81"/>
            <rFont val="Tahoma"/>
            <family val="2"/>
          </rPr>
          <t xml:space="preserve">
</t>
        </r>
      </text>
    </comment>
    <comment ref="W232" authorId="0" shapeId="0" xr:uid="{00000000-0006-0000-0400-000018000000}">
      <text>
        <r>
          <rPr>
            <b/>
            <sz val="9"/>
            <color indexed="81"/>
            <rFont val="Tahoma"/>
            <family val="2"/>
          </rPr>
          <t>PY16 Energy Efficiency Kits School Survey Results </t>
        </r>
        <r>
          <rPr>
            <sz val="9"/>
            <color indexed="81"/>
            <rFont val="Tahoma"/>
            <family val="2"/>
          </rPr>
          <t xml:space="preserve">
</t>
        </r>
      </text>
    </comment>
    <comment ref="W239" authorId="0" shapeId="0" xr:uid="{00000000-0006-0000-0400-000019000000}">
      <text>
        <r>
          <rPr>
            <b/>
            <sz val="9"/>
            <color indexed="81"/>
            <rFont val="Tahoma"/>
            <family val="2"/>
          </rPr>
          <t>PY16 Energy Efficiency Kits School Survey Results </t>
        </r>
      </text>
    </comment>
    <comment ref="W248" authorId="0" shapeId="0" xr:uid="{00000000-0006-0000-0400-00001A000000}">
      <text>
        <r>
          <rPr>
            <b/>
            <sz val="9"/>
            <color indexed="81"/>
            <rFont val="Tahoma"/>
            <family val="2"/>
          </rPr>
          <t>PY16 Energy Efficiency Kits School Survey Results </t>
        </r>
        <r>
          <rPr>
            <sz val="9"/>
            <color indexed="81"/>
            <rFont val="Tahoma"/>
            <family val="2"/>
          </rPr>
          <t xml:space="preserve">
</t>
        </r>
      </text>
    </comment>
    <comment ref="W250" authorId="0" shapeId="0" xr:uid="{00000000-0006-0000-0400-00001B000000}">
      <text>
        <r>
          <rPr>
            <b/>
            <sz val="9"/>
            <color indexed="81"/>
            <rFont val="Tahoma"/>
            <family val="2"/>
          </rPr>
          <t>PY16 Energy Efficiency Kits School Survey Results </t>
        </r>
        <r>
          <rPr>
            <sz val="9"/>
            <color indexed="81"/>
            <rFont val="Tahoma"/>
            <family val="2"/>
          </rPr>
          <t xml:space="preserve">
</t>
        </r>
      </text>
    </comment>
    <comment ref="D261" authorId="0" shapeId="0" xr:uid="{00000000-0006-0000-0400-00001C000000}">
      <text>
        <r>
          <rPr>
            <b/>
            <sz val="9"/>
            <color indexed="81"/>
            <rFont val="Tahoma"/>
            <family val="2"/>
          </rPr>
          <t>Appliance Recycling Program</t>
        </r>
      </text>
    </comment>
    <comment ref="W283" authorId="0" shapeId="0" xr:uid="{00000000-0006-0000-0400-00001D000000}">
      <text>
        <r>
          <rPr>
            <b/>
            <sz val="9"/>
            <color indexed="81"/>
            <rFont val="Tahoma"/>
            <family val="2"/>
          </rPr>
          <t xml:space="preserve">PY16 Energy Efficiency Kits School Survey Results </t>
        </r>
        <r>
          <rPr>
            <sz val="9"/>
            <color indexed="81"/>
            <rFont val="Tahoma"/>
            <family val="2"/>
          </rPr>
          <t xml:space="preserve">
</t>
        </r>
      </text>
    </comment>
    <comment ref="W286" authorId="0" shapeId="0" xr:uid="{00000000-0006-0000-0400-00001E000000}">
      <text>
        <r>
          <rPr>
            <b/>
            <sz val="9"/>
            <color indexed="81"/>
            <rFont val="Tahoma"/>
            <family val="2"/>
          </rPr>
          <t xml:space="preserve">PY16 Energy Efficiency Kits School Survey Results </t>
        </r>
        <r>
          <rPr>
            <sz val="9"/>
            <color indexed="81"/>
            <rFont val="Tahoma"/>
            <family val="2"/>
          </rPr>
          <t xml:space="preserve">
</t>
        </r>
      </text>
    </comment>
    <comment ref="AI286" authorId="0" shapeId="0" xr:uid="{00000000-0006-0000-0400-00001F000000}">
      <text>
        <r>
          <rPr>
            <b/>
            <sz val="9"/>
            <color indexed="81"/>
            <rFont val="Tahoma"/>
            <family val="2"/>
          </rPr>
          <t>Assumption based on program design</t>
        </r>
        <r>
          <rPr>
            <sz val="9"/>
            <color indexed="81"/>
            <rFont val="Tahoma"/>
            <family val="2"/>
          </rPr>
          <t xml:space="preserve">
</t>
        </r>
      </text>
    </comment>
    <comment ref="D301" authorId="0" shapeId="0" xr:uid="{00000000-0006-0000-0400-000020000000}">
      <text>
        <r>
          <rPr>
            <b/>
            <sz val="9"/>
            <color indexed="81"/>
            <rFont val="Tahoma"/>
            <family val="2"/>
          </rPr>
          <t>Not specific to MF/SF, etc.</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tc={387AE222-63E0-41F3-8218-5B2EFF91A020}</author>
    <author>tc={10E7ED2F-AF54-49F6-A47D-8B805AE2EAF7}</author>
    <author>tc={1B189221-E314-40C2-941E-CA60AF3AC027}</author>
    <author>tc={D33F3C28-9C7D-4C8B-A43A-D5A62E829534}</author>
  </authors>
  <commentList>
    <comment ref="Y6" authorId="0" shapeId="0" xr:uid="{00000000-0006-0000-0500-000001000000}">
      <text>
        <r>
          <rPr>
            <b/>
            <sz val="9"/>
            <color indexed="81"/>
            <rFont val="Tahoma"/>
            <family val="2"/>
          </rPr>
          <t>Author:</t>
        </r>
        <r>
          <rPr>
            <sz val="9"/>
            <color indexed="81"/>
            <rFont val="Tahoma"/>
            <family val="2"/>
          </rPr>
          <t xml:space="preserve">
PY18 EM&amp;V</t>
        </r>
      </text>
    </comment>
    <comment ref="Z6" authorId="0" shapeId="0" xr:uid="{00000000-0006-0000-0500-000002000000}">
      <text>
        <r>
          <rPr>
            <b/>
            <sz val="9"/>
            <color indexed="81"/>
            <rFont val="Tahoma"/>
            <family val="2"/>
          </rPr>
          <t>11 Step updates</t>
        </r>
      </text>
    </comment>
    <comment ref="E53" authorId="0" shapeId="0" xr:uid="{00000000-0006-0000-0500-000004000000}">
      <text>
        <r>
          <rPr>
            <b/>
            <sz val="9"/>
            <color indexed="81"/>
            <rFont val="Tahoma"/>
            <family val="2"/>
          </rPr>
          <t>Added this row as this was not shown in inputs table previously but was just a number in the equation - just formating change no update to the values or how they were used and allows showing source for this value</t>
        </r>
        <r>
          <rPr>
            <sz val="9"/>
            <color indexed="81"/>
            <rFont val="Tahoma"/>
            <family val="2"/>
          </rPr>
          <t xml:space="preserve">
</t>
        </r>
      </text>
    </comment>
    <comment ref="Y53" authorId="0" shapeId="0" xr:uid="{00000000-0006-0000-0500-000005000000}">
      <text>
        <r>
          <rPr>
            <b/>
            <sz val="9"/>
            <color indexed="81"/>
            <rFont val="Tahoma"/>
            <family val="2"/>
          </rPr>
          <t>This value is not new just including it in the input table (previously only shown in the equation)</t>
        </r>
      </text>
    </comment>
    <comment ref="Y54" authorId="0" shapeId="0" xr:uid="{00000000-0006-0000-0500-000006000000}">
      <text>
        <r>
          <rPr>
            <b/>
            <sz val="9"/>
            <color indexed="81"/>
            <rFont val="Tahoma"/>
            <family val="2"/>
          </rPr>
          <t xml:space="preserve">This values should remain 2009 
The formula compares a ratio of the Wisconsin vs St. Louis values </t>
        </r>
        <r>
          <rPr>
            <sz val="9"/>
            <color indexed="81"/>
            <rFont val="Tahoma"/>
            <family val="2"/>
          </rPr>
          <t xml:space="preserve">
</t>
        </r>
      </text>
    </comment>
    <comment ref="Y68" authorId="0" shapeId="0" xr:uid="{00000000-0006-0000-0500-000007000000}">
      <text>
        <r>
          <rPr>
            <b/>
            <sz val="9"/>
            <color indexed="81"/>
            <rFont val="Tahoma"/>
            <family val="2"/>
          </rPr>
          <t>This value is not new just including it in the input table (previously only shown in the equation)</t>
        </r>
      </text>
    </comment>
    <comment ref="I69" authorId="0" shapeId="0" xr:uid="{00000000-0006-0000-0500-000008000000}">
      <text>
        <r>
          <rPr>
            <sz val="12"/>
            <color indexed="81"/>
            <rFont val="Tahoma"/>
            <family val="2"/>
          </rPr>
          <t xml:space="preserve">THIS VALUE SHOULD REMAIN 1215 
The formula compares uses a ratio of the Wisconsin vs St. Louis values </t>
        </r>
      </text>
    </comment>
    <comment ref="X69" authorId="0" shapeId="0" xr:uid="{00000000-0006-0000-0500-000009000000}">
      <text>
        <r>
          <rPr>
            <sz val="12"/>
            <color indexed="81"/>
            <rFont val="Tahoma"/>
            <family val="2"/>
          </rPr>
          <t xml:space="preserve">THIS VALUE SHOULD REMAIN 1215 
The formula compares uses a ratio of the Wisconsin vs St. Louis values </t>
        </r>
      </text>
    </comment>
    <comment ref="Y69" authorId="0" shapeId="0" xr:uid="{00000000-0006-0000-0500-00000A000000}">
      <text>
        <r>
          <rPr>
            <sz val="12"/>
            <color indexed="81"/>
            <rFont val="Tahoma"/>
            <family val="2"/>
          </rPr>
          <t xml:space="preserve">This values should remain 1215 
The formula compares a ratio of the Wisconsin vs St. Louis values </t>
        </r>
      </text>
    </comment>
    <comment ref="I76" authorId="0" shapeId="0" xr:uid="{00000000-0006-0000-0500-00000B000000}">
      <text>
        <r>
          <rPr>
            <sz val="12"/>
            <color indexed="81"/>
            <rFont val="Tahoma"/>
            <family val="2"/>
          </rPr>
          <t>SEE NOTE IN CELL "E62"</t>
        </r>
      </text>
    </comment>
    <comment ref="X76" authorId="0" shapeId="0" xr:uid="{00000000-0006-0000-0500-00000C000000}">
      <text>
        <r>
          <rPr>
            <sz val="12"/>
            <color indexed="81"/>
            <rFont val="Tahoma"/>
            <family val="2"/>
          </rPr>
          <t>SEE NOTE IN CELL "E62"</t>
        </r>
      </text>
    </comment>
    <comment ref="Y76" authorId="0" shapeId="0" xr:uid="{00000000-0006-0000-0500-00000D000000}">
      <text>
        <r>
          <rPr>
            <sz val="12"/>
            <color indexed="81"/>
            <rFont val="Tahoma"/>
            <family val="2"/>
          </rPr>
          <t>SEE NOTE IN CELL "E62"</t>
        </r>
      </text>
    </comment>
    <comment ref="Q97" authorId="0" shapeId="0" xr:uid="{00000000-0006-0000-0500-00000E000000}">
      <text>
        <r>
          <rPr>
            <b/>
            <sz val="9"/>
            <color indexed="81"/>
            <rFont val="Tahoma"/>
            <family val="2"/>
          </rPr>
          <t>From Evaluation - Opinion Dynamics review PY19
discount factor =  (1+discount rate)^(1/3 EUL-1).    year 1 is considered to be when the measure is installed and therefore do not discount “period 1”.</t>
        </r>
      </text>
    </comment>
    <comment ref="Q210" authorId="0" shapeId="0" xr:uid="{00000000-0006-0000-0500-00000F000000}">
      <text>
        <r>
          <rPr>
            <b/>
            <sz val="9"/>
            <color indexed="81"/>
            <rFont val="Tahoma"/>
            <family val="2"/>
          </rPr>
          <t>discount factor =  (1+discount rate)^(1/3 EUL-1).    year 1 is considered to be when the measure is installed and therefore do not discount “period 1”.</t>
        </r>
      </text>
    </comment>
    <comment ref="X213" authorId="0" shapeId="0" xr:uid="{00000000-0006-0000-0500-000010000000}">
      <text>
        <r>
          <rPr>
            <b/>
            <sz val="9"/>
            <color indexed="81"/>
            <rFont val="Tahoma"/>
            <family val="2"/>
          </rPr>
          <t>update from Community Savers - ADM</t>
        </r>
        <r>
          <rPr>
            <sz val="9"/>
            <color indexed="81"/>
            <rFont val="Tahoma"/>
            <family val="2"/>
          </rPr>
          <t xml:space="preserve">
</t>
        </r>
      </text>
    </comment>
    <comment ref="X214" authorId="0" shapeId="0" xr:uid="{00000000-0006-0000-0500-000011000000}">
      <text>
        <r>
          <rPr>
            <b/>
            <sz val="9"/>
            <color indexed="81"/>
            <rFont val="Tahoma"/>
            <family val="2"/>
          </rPr>
          <t>update from Community Savers - ADM</t>
        </r>
        <r>
          <rPr>
            <sz val="9"/>
            <color indexed="81"/>
            <rFont val="Tahoma"/>
            <family val="2"/>
          </rPr>
          <t xml:space="preserve">
</t>
        </r>
      </text>
    </comment>
    <comment ref="X217" authorId="0" shapeId="0" xr:uid="{00000000-0006-0000-0500-000012000000}">
      <text>
        <r>
          <rPr>
            <b/>
            <sz val="9"/>
            <color indexed="81"/>
            <rFont val="Tahoma"/>
            <family val="2"/>
          </rPr>
          <t>update from Community Savers - ADM</t>
        </r>
        <r>
          <rPr>
            <sz val="9"/>
            <color indexed="81"/>
            <rFont val="Tahoma"/>
            <family val="2"/>
          </rPr>
          <t xml:space="preserve">
</t>
        </r>
      </text>
    </comment>
    <comment ref="X222" authorId="0" shapeId="0" xr:uid="{00000000-0006-0000-0500-000013000000}">
      <text>
        <r>
          <rPr>
            <b/>
            <sz val="9"/>
            <color indexed="81"/>
            <rFont val="Tahoma"/>
            <family val="2"/>
          </rPr>
          <t>update from Community Savers - ADM</t>
        </r>
        <r>
          <rPr>
            <sz val="9"/>
            <color indexed="81"/>
            <rFont val="Tahoma"/>
            <family val="2"/>
          </rPr>
          <t xml:space="preserve">
</t>
        </r>
      </text>
    </comment>
    <comment ref="X223" authorId="0" shapeId="0" xr:uid="{00000000-0006-0000-0500-000014000000}">
      <text>
        <r>
          <rPr>
            <b/>
            <sz val="9"/>
            <color indexed="81"/>
            <rFont val="Tahoma"/>
            <family val="2"/>
          </rPr>
          <t>update from Community Savers - ADM</t>
        </r>
        <r>
          <rPr>
            <sz val="9"/>
            <color indexed="81"/>
            <rFont val="Tahoma"/>
            <family val="2"/>
          </rPr>
          <t xml:space="preserve">
</t>
        </r>
      </text>
    </comment>
    <comment ref="X226" authorId="0" shapeId="0" xr:uid="{00000000-0006-0000-0500-000015000000}">
      <text>
        <r>
          <rPr>
            <b/>
            <sz val="9"/>
            <color indexed="81"/>
            <rFont val="Tahoma"/>
            <family val="2"/>
          </rPr>
          <t>update from Community Savers - ADM</t>
        </r>
        <r>
          <rPr>
            <sz val="9"/>
            <color indexed="81"/>
            <rFont val="Tahoma"/>
            <family val="2"/>
          </rPr>
          <t xml:space="preserve">
</t>
        </r>
      </text>
    </comment>
    <comment ref="X231" authorId="0" shapeId="0" xr:uid="{00000000-0006-0000-0500-000016000000}">
      <text>
        <r>
          <rPr>
            <b/>
            <sz val="9"/>
            <color indexed="81"/>
            <rFont val="Tahoma"/>
            <family val="2"/>
          </rPr>
          <t>update from Community Savers - ADM</t>
        </r>
        <r>
          <rPr>
            <sz val="9"/>
            <color indexed="81"/>
            <rFont val="Tahoma"/>
            <family val="2"/>
          </rPr>
          <t xml:space="preserve">
</t>
        </r>
      </text>
    </comment>
    <comment ref="X232" authorId="0" shapeId="0" xr:uid="{00000000-0006-0000-0500-000017000000}">
      <text>
        <r>
          <rPr>
            <b/>
            <sz val="9"/>
            <color indexed="81"/>
            <rFont val="Tahoma"/>
            <family val="2"/>
          </rPr>
          <t>update from Community Savers - ADM</t>
        </r>
        <r>
          <rPr>
            <sz val="9"/>
            <color indexed="81"/>
            <rFont val="Tahoma"/>
            <family val="2"/>
          </rPr>
          <t xml:space="preserve">
</t>
        </r>
      </text>
    </comment>
    <comment ref="X235" authorId="0" shapeId="0" xr:uid="{00000000-0006-0000-0500-000018000000}">
      <text>
        <r>
          <rPr>
            <b/>
            <sz val="9"/>
            <color indexed="81"/>
            <rFont val="Tahoma"/>
            <family val="2"/>
          </rPr>
          <t>update from Community Savers - ADM</t>
        </r>
        <r>
          <rPr>
            <sz val="9"/>
            <color indexed="81"/>
            <rFont val="Tahoma"/>
            <family val="2"/>
          </rPr>
          <t xml:space="preserve">
</t>
        </r>
      </text>
    </comment>
    <comment ref="X285" authorId="0" shapeId="0" xr:uid="{00000000-0006-0000-0500-000019000000}">
      <text>
        <r>
          <rPr>
            <b/>
            <sz val="9"/>
            <color indexed="81"/>
            <rFont val="Tahoma"/>
            <family val="2"/>
          </rPr>
          <t>update from Community Savers - ADM</t>
        </r>
        <r>
          <rPr>
            <sz val="9"/>
            <color indexed="81"/>
            <rFont val="Tahoma"/>
            <family val="2"/>
          </rPr>
          <t xml:space="preserve">
</t>
        </r>
      </text>
    </comment>
    <comment ref="X286" authorId="0" shapeId="0" xr:uid="{00000000-0006-0000-0500-00001A000000}">
      <text>
        <r>
          <rPr>
            <b/>
            <sz val="9"/>
            <color indexed="81"/>
            <rFont val="Tahoma"/>
            <family val="2"/>
          </rPr>
          <t>update from Community Savers - ADM</t>
        </r>
        <r>
          <rPr>
            <sz val="9"/>
            <color indexed="81"/>
            <rFont val="Tahoma"/>
            <family val="2"/>
          </rPr>
          <t xml:space="preserve">
</t>
        </r>
      </text>
    </comment>
    <comment ref="X289" authorId="0" shapeId="0" xr:uid="{00000000-0006-0000-0500-00001B000000}">
      <text>
        <r>
          <rPr>
            <b/>
            <sz val="9"/>
            <color indexed="81"/>
            <rFont val="Tahoma"/>
            <family val="2"/>
          </rPr>
          <t>update from Community Savers - ADM</t>
        </r>
        <r>
          <rPr>
            <sz val="9"/>
            <color indexed="81"/>
            <rFont val="Tahoma"/>
            <family val="2"/>
          </rPr>
          <t xml:space="preserve">
</t>
        </r>
      </text>
    </comment>
    <comment ref="X303" authorId="0" shapeId="0" xr:uid="{00000000-0006-0000-0500-00001C000000}">
      <text>
        <r>
          <rPr>
            <b/>
            <sz val="9"/>
            <color indexed="81"/>
            <rFont val="Tahoma"/>
            <family val="2"/>
          </rPr>
          <t>update from Community Savers - ADM</t>
        </r>
        <r>
          <rPr>
            <sz val="9"/>
            <color indexed="81"/>
            <rFont val="Tahoma"/>
            <family val="2"/>
          </rPr>
          <t xml:space="preserve">
</t>
        </r>
      </text>
    </comment>
    <comment ref="X304" authorId="0" shapeId="0" xr:uid="{00000000-0006-0000-0500-00001D000000}">
      <text>
        <r>
          <rPr>
            <b/>
            <sz val="9"/>
            <color indexed="81"/>
            <rFont val="Tahoma"/>
            <family val="2"/>
          </rPr>
          <t>update from Community Savers - ADM</t>
        </r>
        <r>
          <rPr>
            <sz val="9"/>
            <color indexed="81"/>
            <rFont val="Tahoma"/>
            <family val="2"/>
          </rPr>
          <t xml:space="preserve">
</t>
        </r>
      </text>
    </comment>
    <comment ref="X307" authorId="0" shapeId="0" xr:uid="{00000000-0006-0000-0500-00001E000000}">
      <text>
        <r>
          <rPr>
            <b/>
            <sz val="9"/>
            <color indexed="81"/>
            <rFont val="Tahoma"/>
            <family val="2"/>
          </rPr>
          <t>update from Community Savers - ADM</t>
        </r>
        <r>
          <rPr>
            <sz val="9"/>
            <color indexed="81"/>
            <rFont val="Tahoma"/>
            <family val="2"/>
          </rPr>
          <t xml:space="preserve">
</t>
        </r>
      </text>
    </comment>
    <comment ref="X429" authorId="0" shapeId="0" xr:uid="{00000000-0006-0000-0500-00001F000000}">
      <text>
        <r>
          <rPr>
            <b/>
            <sz val="9"/>
            <color indexed="81"/>
            <rFont val="Tahoma"/>
            <family val="2"/>
          </rPr>
          <t>update from Community Savers - ADM</t>
        </r>
        <r>
          <rPr>
            <sz val="9"/>
            <color indexed="81"/>
            <rFont val="Tahoma"/>
            <family val="2"/>
          </rPr>
          <t xml:space="preserve">
</t>
        </r>
      </text>
    </comment>
    <comment ref="X430" authorId="0" shapeId="0" xr:uid="{00000000-0006-0000-0500-000020000000}">
      <text>
        <r>
          <rPr>
            <b/>
            <sz val="9"/>
            <color indexed="81"/>
            <rFont val="Tahoma"/>
            <family val="2"/>
          </rPr>
          <t>update from Community Savers - ADM</t>
        </r>
        <r>
          <rPr>
            <sz val="9"/>
            <color indexed="81"/>
            <rFont val="Tahoma"/>
            <family val="2"/>
          </rPr>
          <t xml:space="preserve">
</t>
        </r>
      </text>
    </comment>
    <comment ref="X433" authorId="0" shapeId="0" xr:uid="{00000000-0006-0000-0500-000021000000}">
      <text>
        <r>
          <rPr>
            <b/>
            <sz val="9"/>
            <color indexed="81"/>
            <rFont val="Tahoma"/>
            <family val="2"/>
          </rPr>
          <t>update from Community Savers - ADM</t>
        </r>
        <r>
          <rPr>
            <sz val="9"/>
            <color indexed="81"/>
            <rFont val="Tahoma"/>
            <family val="2"/>
          </rPr>
          <t xml:space="preserve">
</t>
        </r>
      </text>
    </comment>
    <comment ref="X444" authorId="0" shapeId="0" xr:uid="{00000000-0006-0000-0500-000022000000}">
      <text>
        <r>
          <rPr>
            <b/>
            <sz val="9"/>
            <color indexed="81"/>
            <rFont val="Tahoma"/>
            <family val="2"/>
          </rPr>
          <t>The 2017 measure is a CAC 16+ and MEEIA 3 currently separates these higher SEERS into separate buckets.  Program design could impact this value some in the future.</t>
        </r>
        <r>
          <rPr>
            <sz val="9"/>
            <color indexed="81"/>
            <rFont val="Tahoma"/>
            <family val="2"/>
          </rPr>
          <t xml:space="preserve">
</t>
        </r>
      </text>
    </comment>
    <comment ref="X447" authorId="0" shapeId="0" xr:uid="{00000000-0006-0000-0500-000023000000}">
      <text>
        <r>
          <rPr>
            <b/>
            <sz val="9"/>
            <color indexed="81"/>
            <rFont val="Tahoma"/>
            <family val="2"/>
          </rPr>
          <t>update from Community Savers - ADM</t>
        </r>
        <r>
          <rPr>
            <sz val="9"/>
            <color indexed="81"/>
            <rFont val="Tahoma"/>
            <family val="2"/>
          </rPr>
          <t xml:space="preserve">
</t>
        </r>
      </text>
    </comment>
    <comment ref="X448" authorId="0" shapeId="0" xr:uid="{00000000-0006-0000-0500-000024000000}">
      <text>
        <r>
          <rPr>
            <b/>
            <sz val="9"/>
            <color indexed="81"/>
            <rFont val="Tahoma"/>
            <family val="2"/>
          </rPr>
          <t>update from Community Savers - ADM</t>
        </r>
        <r>
          <rPr>
            <sz val="9"/>
            <color indexed="81"/>
            <rFont val="Tahoma"/>
            <family val="2"/>
          </rPr>
          <t xml:space="preserve">
</t>
        </r>
      </text>
    </comment>
    <comment ref="X451" authorId="0" shapeId="0" xr:uid="{00000000-0006-0000-0500-000025000000}">
      <text>
        <r>
          <rPr>
            <b/>
            <sz val="9"/>
            <color indexed="81"/>
            <rFont val="Tahoma"/>
            <family val="2"/>
          </rPr>
          <t>update from Community Savers - ADM</t>
        </r>
        <r>
          <rPr>
            <sz val="9"/>
            <color indexed="81"/>
            <rFont val="Tahoma"/>
            <family val="2"/>
          </rPr>
          <t xml:space="preserve">
</t>
        </r>
      </text>
    </comment>
    <comment ref="X573" authorId="0" shapeId="0" xr:uid="{00000000-0006-0000-0500-000026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74" authorId="0" shapeId="0" xr:uid="{00000000-0006-0000-0500-000027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77" authorId="0" shapeId="0" xr:uid="{00000000-0006-0000-0500-000028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82" authorId="0" shapeId="0" xr:uid="{00000000-0006-0000-0500-000029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83" authorId="0" shapeId="0" xr:uid="{00000000-0006-0000-0500-00002A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86" authorId="0" shapeId="0" xr:uid="{00000000-0006-0000-0500-00002B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91" authorId="0" shapeId="0" xr:uid="{00000000-0006-0000-0500-00002C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92" authorId="0" shapeId="0" xr:uid="{00000000-0006-0000-0500-00002D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95" authorId="0" shapeId="0" xr:uid="{00000000-0006-0000-0500-00002E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600" authorId="0" shapeId="0" xr:uid="{00000000-0006-0000-0500-00002F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601" authorId="0" shapeId="0" xr:uid="{00000000-0006-0000-0500-000030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604" authorId="0" shapeId="0" xr:uid="{00000000-0006-0000-0500-000031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Y650" authorId="0" shapeId="0" xr:uid="{00000000-0006-0000-0500-000032000000}">
      <text>
        <r>
          <rPr>
            <b/>
            <sz val="9"/>
            <color indexed="81"/>
            <rFont val="Tahoma"/>
            <family val="2"/>
          </rPr>
          <t xml:space="preserve">corrected typo error
</t>
        </r>
      </text>
    </comment>
    <comment ref="X715" authorId="0" shapeId="0" xr:uid="{00000000-0006-0000-0500-000033000000}">
      <text>
        <r>
          <rPr>
            <b/>
            <sz val="9"/>
            <color indexed="81"/>
            <rFont val="Tahoma"/>
            <family val="2"/>
          </rPr>
          <t>capacities updated</t>
        </r>
        <r>
          <rPr>
            <sz val="9"/>
            <color indexed="81"/>
            <rFont val="Tahoma"/>
            <family val="2"/>
          </rPr>
          <t xml:space="preserve">
</t>
        </r>
      </text>
    </comment>
    <comment ref="Y715" authorId="0" shapeId="0" xr:uid="{00000000-0006-0000-0500-000034000000}">
      <text>
        <r>
          <rPr>
            <b/>
            <sz val="9"/>
            <color indexed="81"/>
            <rFont val="Tahoma"/>
            <family val="2"/>
          </rPr>
          <t>Formula updated in this calculation 
Also Updates if capacities change</t>
        </r>
      </text>
    </comment>
    <comment ref="L793" authorId="1" shapeId="0" xr:uid="{387AE222-63E0-41F3-8218-5B2EFF91A020}">
      <text>
        <t>[Threaded comment]
Your version of Excel allows you to read this threaded comment; however, any edits to it will get removed if the file is opened in a newer version of Excel. Learn more: https://go.microsoft.com/fwlink/?linkid=870924
Comment:
    Updated the formula, previosly refrencing the value for #351250</t>
      </text>
    </comment>
    <comment ref="F795" authorId="0" shapeId="0" xr:uid="{00000000-0006-0000-0500-000036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algorithm - previously referenced SEERexist instead of SEERbase</t>
        </r>
      </text>
    </comment>
    <comment ref="F820" authorId="0" shapeId="0" xr:uid="{00000000-0006-0000-0500-000037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algorithm - previously referenced SEERexist instead of SEERbase</t>
        </r>
      </text>
    </comment>
    <comment ref="L830" authorId="2" shapeId="0" xr:uid="{10E7ED2F-AF54-49F6-A47D-8B805AE2EAF7}">
      <text>
        <t>[Threaded comment]
Your version of Excel allows you to read this threaded comment; however, any edits to it will get removed if the file is opened in a newer version of Excel. Learn more: https://go.microsoft.com/fwlink/?linkid=870924
Comment:
    Updated the formula, it was using the value for #351400</t>
      </text>
    </comment>
    <comment ref="F848" authorId="3" shapeId="0" xr:uid="{1B189221-E314-40C2-941E-CA60AF3AC027}">
      <text>
        <t>[Threaded comment]
Your version of Excel allows you to read this threaded comment; however, any edits to it will get removed if the file is opened in a newer version of Excel. Learn more: https://go.microsoft.com/fwlink/?linkid=870924
Comment:
    Updated the formula, the HF value for #351851 was used by mistake</t>
      </text>
    </comment>
    <comment ref="W937" authorId="0" shapeId="0" xr:uid="{00000000-0006-0000-0500-000038000000}">
      <text>
        <r>
          <rPr>
            <sz val="11"/>
            <color indexed="81"/>
            <rFont val="Tahoma"/>
            <family val="2"/>
          </rPr>
          <t>MO TRM includes 7.7 for manufacture dates prior to 1/2/2017 and 8.0 for manufacture dates after 1/1/2017</t>
        </r>
      </text>
    </comment>
    <comment ref="X937" authorId="0" shapeId="0" xr:uid="{00000000-0006-0000-0500-000039000000}">
      <text>
        <r>
          <rPr>
            <sz val="11"/>
            <color indexed="81"/>
            <rFont val="Tahoma"/>
            <family val="2"/>
          </rPr>
          <t>MO TRM includes 7.7 for manufacture dates prior to 1/2/2017 and 8.0 for manufacture dates after 1/1/2017</t>
        </r>
      </text>
    </comment>
    <comment ref="W1016" authorId="0" shapeId="0" xr:uid="{00000000-0006-0000-0500-00003A000000}">
      <text>
        <r>
          <rPr>
            <sz val="9"/>
            <color indexed="81"/>
            <rFont val="Tahoma"/>
            <family val="2"/>
          </rPr>
          <t>Assumed same size as similar ASHP</t>
        </r>
      </text>
    </comment>
    <comment ref="X1016" authorId="0" shapeId="0" xr:uid="{00000000-0006-0000-0500-00003B000000}">
      <text>
        <r>
          <rPr>
            <sz val="11"/>
            <color indexed="81"/>
            <rFont val="Tahoma"/>
            <family val="2"/>
          </rPr>
          <t>CADMUS PROVIDED A SINGLE "Tonnage" value" used same for heating and cooling</t>
        </r>
        <r>
          <rPr>
            <sz val="9"/>
            <color indexed="81"/>
            <rFont val="Tahoma"/>
            <family val="2"/>
          </rPr>
          <t xml:space="preserve">
</t>
        </r>
      </text>
    </comment>
    <comment ref="W1017" authorId="0" shapeId="0" xr:uid="{00000000-0006-0000-0500-00003C000000}">
      <text>
        <r>
          <rPr>
            <sz val="9"/>
            <color indexed="81"/>
            <rFont val="Tahoma"/>
            <family val="2"/>
          </rPr>
          <t xml:space="preserve">Assumed Same Size as similar ASHP
</t>
        </r>
      </text>
    </comment>
    <comment ref="W1070" authorId="0" shapeId="0" xr:uid="{00000000-0006-0000-0500-00003D000000}">
      <text>
        <r>
          <rPr>
            <sz val="11"/>
            <color indexed="81"/>
            <rFont val="Tahoma"/>
            <family val="2"/>
          </rPr>
          <t>MO TRM includes 13 for manufacture dates prior to 1/2/2017 and 14 for manufacture dates after 1/1/2017</t>
        </r>
      </text>
    </comment>
    <comment ref="X1070" authorId="0" shapeId="0" xr:uid="{00000000-0006-0000-0500-00003E000000}">
      <text>
        <r>
          <rPr>
            <sz val="11"/>
            <color indexed="81"/>
            <rFont val="Tahoma"/>
            <family val="2"/>
          </rPr>
          <t>MO TRM includes 13 for manufacture dates prior to 1/2/2017 and 14 for manufacture dates after 1/1/2017</t>
        </r>
      </text>
    </comment>
    <comment ref="X1174" authorId="0" shapeId="0" xr:uid="{00000000-0006-0000-0500-00003F000000}">
      <text>
        <r>
          <rPr>
            <sz val="11"/>
            <color indexed="81"/>
            <rFont val="Tahoma"/>
            <family val="2"/>
          </rPr>
          <t>Used Cadmus data to update the tonnage of the units  but the updated tonnage was for SF only therfore left the application here to convert for MF</t>
        </r>
      </text>
    </comment>
    <comment ref="X1197" authorId="0" shapeId="0" xr:uid="{00000000-0006-0000-0500-000040000000}">
      <text>
        <r>
          <rPr>
            <sz val="11"/>
            <color indexed="81"/>
            <rFont val="Tahoma"/>
            <family val="2"/>
          </rPr>
          <t>Used Cadmus data to update the tonnage of the units  but the updated tonnage was for SF only therfore left the application here to convert for MF</t>
        </r>
      </text>
    </comment>
    <comment ref="X1267" authorId="0" shapeId="0" xr:uid="{00000000-0006-0000-0500-000041000000}">
      <text>
        <r>
          <rPr>
            <b/>
            <sz val="9"/>
            <color indexed="81"/>
            <rFont val="Tahoma"/>
            <family val="2"/>
          </rPr>
          <t>Capacity of units adjusted which impacts cost/ton calculation</t>
        </r>
      </text>
    </comment>
    <comment ref="Y1267" authorId="0" shapeId="0" xr:uid="{00000000-0006-0000-0500-00004200000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Z1267" authorId="0" shapeId="0" xr:uid="{00000000-0006-0000-0500-00004300000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AA1267" authorId="0" shapeId="0" xr:uid="{00000000-0006-0000-0500-00004400000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X1352" authorId="0" shapeId="0" xr:uid="{00000000-0006-0000-0500-000046000000}">
      <text>
        <r>
          <rPr>
            <sz val="11"/>
            <color indexed="81"/>
            <rFont val="Tahoma"/>
            <family val="2"/>
          </rPr>
          <t>Not a good comparison or enough data to update as the PY2017 summary from Cadmus has 15/16/18 SEER and the only SEER here are 19, 20,21.</t>
        </r>
        <r>
          <rPr>
            <sz val="9"/>
            <color indexed="81"/>
            <rFont val="Tahoma"/>
            <family val="2"/>
          </rPr>
          <t xml:space="preserve">
</t>
        </r>
      </text>
    </comment>
    <comment ref="X1400" authorId="0" shapeId="0" xr:uid="{00000000-0006-0000-0500-000047000000}">
      <text>
        <r>
          <rPr>
            <sz val="14"/>
            <color indexed="81"/>
            <rFont val="Tahoma"/>
            <family val="2"/>
          </rPr>
          <t>Left these at 65% because  did not adjust the capacity based upon MF capacities above - If we obtain evaluation data on capacities of MF units this should then be adjusted to 100%</t>
        </r>
      </text>
    </comment>
    <comment ref="F1423" authorId="0" shapeId="0" xr:uid="{00000000-0006-0000-0500-000049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Cooling Capacity reference</t>
        </r>
      </text>
    </comment>
    <comment ref="F1425" authorId="0" shapeId="0" xr:uid="{00000000-0006-0000-0500-00004A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Cooling Capacity reference</t>
        </r>
      </text>
    </comment>
    <comment ref="F1427" authorId="0" shapeId="0" xr:uid="{00000000-0006-0000-0500-00004B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Cooling Capacity reference</t>
        </r>
      </text>
    </comment>
    <comment ref="F1455" authorId="0" shapeId="0" xr:uid="{00000000-0006-0000-0500-00004C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Rearranged order to align with above summary table and the order for other parameters.</t>
        </r>
      </text>
    </comment>
    <comment ref="F1461" authorId="0" shapeId="0" xr:uid="{00000000-0006-0000-0500-00004D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Rearranged order to align with above summary table and the order for other parameters.</t>
        </r>
      </text>
    </comment>
    <comment ref="F1467" authorId="0" shapeId="0" xr:uid="{00000000-0006-0000-0500-00004E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Rearranged order to align with above summary table and the order for other parameters.</t>
        </r>
      </text>
    </comment>
    <comment ref="X1470" authorId="0" shapeId="0" xr:uid="{00000000-0006-0000-0500-00004F000000}">
      <text>
        <r>
          <rPr>
            <b/>
            <sz val="9"/>
            <color indexed="81"/>
            <rFont val="Tahoma"/>
            <family val="2"/>
          </rPr>
          <t>Added this line item - needs a separate base for ER1 vs ER2</t>
        </r>
      </text>
    </comment>
    <comment ref="Y1473" authorId="0" shapeId="0" xr:uid="{00000000-0006-0000-0500-000050000000}">
      <text>
        <r>
          <rPr>
            <b/>
            <sz val="9"/>
            <color indexed="81"/>
            <rFont val="Tahoma"/>
            <family val="2"/>
          </rPr>
          <t>Author:</t>
        </r>
        <r>
          <rPr>
            <sz val="9"/>
            <color indexed="81"/>
            <rFont val="Tahoma"/>
            <family val="2"/>
          </rPr>
          <t xml:space="preserve">
COP of 4.44 from report table 15 *3.41
</t>
        </r>
      </text>
    </comment>
    <comment ref="Z1473" authorId="0" shapeId="0" xr:uid="{00000000-0006-0000-0500-000051000000}">
      <text>
        <r>
          <rPr>
            <b/>
            <sz val="9"/>
            <color indexed="81"/>
            <rFont val="Tahoma"/>
            <family val="2"/>
          </rPr>
          <t>Author:</t>
        </r>
        <r>
          <rPr>
            <sz val="9"/>
            <color indexed="81"/>
            <rFont val="Tahoma"/>
            <family val="2"/>
          </rPr>
          <t xml:space="preserve">
COP of 4.44 from report table 15 *3.41
</t>
        </r>
      </text>
    </comment>
    <comment ref="AA1473" authorId="0" shapeId="0" xr:uid="{00000000-0006-0000-0500-000052000000}">
      <text>
        <r>
          <rPr>
            <b/>
            <sz val="9"/>
            <color indexed="81"/>
            <rFont val="Tahoma"/>
            <family val="2"/>
          </rPr>
          <t>Author:</t>
        </r>
        <r>
          <rPr>
            <sz val="9"/>
            <color indexed="81"/>
            <rFont val="Tahoma"/>
            <family val="2"/>
          </rPr>
          <t xml:space="preserve">
COP of 4.44 from report table 15 *3.41
</t>
        </r>
      </text>
    </comment>
    <comment ref="X1497" authorId="0" shapeId="0" xr:uid="{00000000-0006-0000-0500-000053000000}">
      <text>
        <r>
          <rPr>
            <b/>
            <sz val="9"/>
            <color indexed="81"/>
            <rFont val="Tahoma"/>
            <family val="2"/>
          </rPr>
          <t xml:space="preserve">Changed to EER rather than SEER in calc </t>
        </r>
        <r>
          <rPr>
            <sz val="9"/>
            <color indexed="81"/>
            <rFont val="Tahoma"/>
            <family val="2"/>
          </rPr>
          <t xml:space="preserve">
</t>
        </r>
      </text>
    </comment>
    <comment ref="C1744" authorId="0" shapeId="0" xr:uid="{00000000-0006-0000-0500-000057000000}">
      <text>
        <r>
          <rPr>
            <b/>
            <sz val="9"/>
            <color indexed="81"/>
            <rFont val="Tahoma"/>
            <family val="2"/>
          </rPr>
          <t xml:space="preserve">353900 was a duplicate measure to this and was removed in PY2019 </t>
        </r>
      </text>
    </comment>
    <comment ref="W2133" authorId="0" shapeId="0" xr:uid="{00000000-0006-0000-0500-000058000000}">
      <text>
        <r>
          <rPr>
            <b/>
            <sz val="9"/>
            <color indexed="81"/>
            <rFont val="Tahoma"/>
            <family val="2"/>
          </rPr>
          <t>MO TRM</t>
        </r>
        <r>
          <rPr>
            <sz val="9"/>
            <color indexed="81"/>
            <rFont val="Tahoma"/>
            <family val="2"/>
          </rPr>
          <t xml:space="preserve">
</t>
        </r>
      </text>
    </comment>
    <comment ref="X2133" authorId="0" shapeId="0" xr:uid="{00000000-0006-0000-0500-000059000000}">
      <text>
        <r>
          <rPr>
            <b/>
            <sz val="9"/>
            <color indexed="81"/>
            <rFont val="Tahoma"/>
            <family val="2"/>
          </rPr>
          <t>2017 Cadmus EM&amp;V - 2016 -2017 AMR Data &amp; HP</t>
        </r>
        <r>
          <rPr>
            <sz val="9"/>
            <color indexed="81"/>
            <rFont val="Tahoma"/>
            <family val="2"/>
          </rPr>
          <t xml:space="preserve">
</t>
        </r>
      </text>
    </comment>
    <comment ref="X3300" authorId="0" shapeId="0" xr:uid="{00000000-0006-0000-0500-00005A000000}">
      <text>
        <r>
          <rPr>
            <b/>
            <sz val="16"/>
            <color indexed="81"/>
            <rFont val="Tahoma"/>
            <family val="2"/>
          </rPr>
          <t>EM&amp;V data was for 16+ measurses… did not update these values because these may overstate as there are higher SEER units in these tables (Cadmus data was 16.86 for this 16+ category</t>
        </r>
        <r>
          <rPr>
            <sz val="20"/>
            <color indexed="81"/>
            <rFont val="Tahoma"/>
            <family val="2"/>
          </rPr>
          <t xml:space="preserve">
</t>
        </r>
      </text>
    </comment>
    <comment ref="Y3300" authorId="0" shapeId="0" xr:uid="{00000000-0006-0000-0500-00005B00000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Z3300" authorId="0" shapeId="0" xr:uid="{00000000-0006-0000-0500-00005C00000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AA3300" authorId="0" shapeId="0" xr:uid="{00000000-0006-0000-0500-00005D00000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K4064" authorId="0" shapeId="0" xr:uid="{00000000-0006-0000-0500-00005E00000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L4064" authorId="0" shapeId="0" xr:uid="{00000000-0006-0000-0500-00005F000000}">
      <text>
        <r>
          <rPr>
            <b/>
            <sz val="9"/>
            <color indexed="81"/>
            <rFont val="Tahoma"/>
            <family val="2"/>
          </rPr>
          <t>Author:</t>
        </r>
        <r>
          <rPr>
            <sz val="9"/>
            <color indexed="81"/>
            <rFont val="Tahoma"/>
            <family val="2"/>
          </rPr>
          <t xml:space="preserve">
Adjusted Capacity based upon HF Factor</t>
        </r>
      </text>
    </comment>
    <comment ref="Y4064" authorId="0" shapeId="0" xr:uid="{00000000-0006-0000-0500-000060000000}">
      <text>
        <r>
          <rPr>
            <b/>
            <sz val="14"/>
            <color indexed="81"/>
            <rFont val="Tahoma"/>
            <family val="2"/>
          </rPr>
          <t>Adjusted Formula so that it all calculations were driven off column J and not J&amp;K so that this could be copied over with each new TRM update 8/13/2019</t>
        </r>
      </text>
    </comment>
    <comment ref="Z4064" authorId="0" shapeId="0" xr:uid="{00000000-0006-0000-0500-000061000000}">
      <text>
        <r>
          <rPr>
            <b/>
            <sz val="14"/>
            <color indexed="81"/>
            <rFont val="Tahoma"/>
            <family val="2"/>
          </rPr>
          <t>Adjusted Formula so that it all calculations were driven off column J and not J&amp;K so that this could be copied over with each new TRM update 8/13/2019</t>
        </r>
      </text>
    </comment>
    <comment ref="AA4064" authorId="0" shapeId="0" xr:uid="{00000000-0006-0000-0500-000062000000}">
      <text>
        <r>
          <rPr>
            <b/>
            <sz val="14"/>
            <color indexed="81"/>
            <rFont val="Tahoma"/>
            <family val="2"/>
          </rPr>
          <t>Adjusted Formula so that it all calculations were driven off column J and not J&amp;K so that this could be copied over with each new TRM update 8/13/2019</t>
        </r>
      </text>
    </comment>
    <comment ref="AB4064" authorId="0" shapeId="0" xr:uid="{00000000-0006-0000-0500-00006300000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AC4064" authorId="0" shapeId="0" xr:uid="{00000000-0006-0000-0500-00006400000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AD4064" authorId="0" shapeId="0" xr:uid="{396144DB-1276-4943-A657-80AB24DBBDF1}">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L4068" authorId="0" shapeId="0" xr:uid="{00000000-0006-0000-0500-000065000000}">
      <text>
        <r>
          <rPr>
            <b/>
            <sz val="9"/>
            <color indexed="81"/>
            <rFont val="Tahoma"/>
            <family val="2"/>
          </rPr>
          <t>Author:</t>
        </r>
        <r>
          <rPr>
            <sz val="9"/>
            <color indexed="81"/>
            <rFont val="Tahoma"/>
            <family val="2"/>
          </rPr>
          <t xml:space="preserve">
Adjusted Capacity based upon HF Factor</t>
        </r>
      </text>
    </comment>
    <comment ref="L4072" authorId="0" shapeId="0" xr:uid="{00000000-0006-0000-0500-000066000000}">
      <text>
        <r>
          <rPr>
            <b/>
            <sz val="9"/>
            <color indexed="81"/>
            <rFont val="Tahoma"/>
            <family val="2"/>
          </rPr>
          <t>Author:</t>
        </r>
        <r>
          <rPr>
            <sz val="9"/>
            <color indexed="81"/>
            <rFont val="Tahoma"/>
            <family val="2"/>
          </rPr>
          <t xml:space="preserve">
Adjusted Capacity based upon HF Factor</t>
        </r>
      </text>
    </comment>
    <comment ref="L4076" authorId="0" shapeId="0" xr:uid="{00000000-0006-0000-0500-000067000000}">
      <text>
        <r>
          <rPr>
            <b/>
            <sz val="9"/>
            <color indexed="81"/>
            <rFont val="Tahoma"/>
            <family val="2"/>
          </rPr>
          <t>Author:</t>
        </r>
        <r>
          <rPr>
            <sz val="9"/>
            <color indexed="81"/>
            <rFont val="Tahoma"/>
            <family val="2"/>
          </rPr>
          <t xml:space="preserve">
Adjusted Capacity based upon HF Factor</t>
        </r>
      </text>
    </comment>
    <comment ref="L4078" authorId="0" shapeId="0" xr:uid="{00000000-0006-0000-0500-000068000000}">
      <text>
        <r>
          <rPr>
            <b/>
            <sz val="9"/>
            <color indexed="81"/>
            <rFont val="Tahoma"/>
            <family val="2"/>
          </rPr>
          <t>Author:</t>
        </r>
        <r>
          <rPr>
            <sz val="9"/>
            <color indexed="81"/>
            <rFont val="Tahoma"/>
            <family val="2"/>
          </rPr>
          <t xml:space="preserve">
Adjusted Capacity based upon HF Factor</t>
        </r>
      </text>
    </comment>
    <comment ref="L4080" authorId="0" shapeId="0" xr:uid="{00000000-0006-0000-0500-000069000000}">
      <text>
        <r>
          <rPr>
            <b/>
            <sz val="9"/>
            <color indexed="81"/>
            <rFont val="Tahoma"/>
            <family val="2"/>
          </rPr>
          <t>Author:</t>
        </r>
        <r>
          <rPr>
            <sz val="9"/>
            <color indexed="81"/>
            <rFont val="Tahoma"/>
            <family val="2"/>
          </rPr>
          <t xml:space="preserve">
Adjusted Capacity based upon HF Factor</t>
        </r>
      </text>
    </comment>
    <comment ref="L4082" authorId="0" shapeId="0" xr:uid="{00000000-0006-0000-0500-00006A000000}">
      <text>
        <r>
          <rPr>
            <b/>
            <sz val="9"/>
            <color indexed="81"/>
            <rFont val="Tahoma"/>
            <family val="2"/>
          </rPr>
          <t>Author:</t>
        </r>
        <r>
          <rPr>
            <sz val="9"/>
            <color indexed="81"/>
            <rFont val="Tahoma"/>
            <family val="2"/>
          </rPr>
          <t xml:space="preserve">
Adjusted Capacity based upon HF Factor</t>
        </r>
      </text>
    </comment>
    <comment ref="L4086" authorId="0" shapeId="0" xr:uid="{00000000-0006-0000-0500-00006B000000}">
      <text>
        <r>
          <rPr>
            <b/>
            <sz val="9"/>
            <color indexed="81"/>
            <rFont val="Tahoma"/>
            <family val="2"/>
          </rPr>
          <t>Author:</t>
        </r>
        <r>
          <rPr>
            <sz val="9"/>
            <color indexed="81"/>
            <rFont val="Tahoma"/>
            <family val="2"/>
          </rPr>
          <t xml:space="preserve">
Adjusted Capacity based upon HF Factor</t>
        </r>
      </text>
    </comment>
    <comment ref="L4090" authorId="0" shapeId="0" xr:uid="{00000000-0006-0000-0500-00006C000000}">
      <text>
        <r>
          <rPr>
            <b/>
            <sz val="9"/>
            <color indexed="81"/>
            <rFont val="Tahoma"/>
            <family val="2"/>
          </rPr>
          <t>Author:</t>
        </r>
        <r>
          <rPr>
            <sz val="9"/>
            <color indexed="81"/>
            <rFont val="Tahoma"/>
            <family val="2"/>
          </rPr>
          <t xml:space="preserve">
Adjusted Capacity based upon HF Factor</t>
        </r>
      </text>
    </comment>
    <comment ref="L4094" authorId="0" shapeId="0" xr:uid="{00000000-0006-0000-0500-00006D000000}">
      <text>
        <r>
          <rPr>
            <b/>
            <sz val="9"/>
            <color indexed="81"/>
            <rFont val="Tahoma"/>
            <family val="2"/>
          </rPr>
          <t>Author:</t>
        </r>
        <r>
          <rPr>
            <sz val="9"/>
            <color indexed="81"/>
            <rFont val="Tahoma"/>
            <family val="2"/>
          </rPr>
          <t xml:space="preserve">
Adjusted Capacity based upon HF Factor</t>
        </r>
      </text>
    </comment>
    <comment ref="L4096" authorId="0" shapeId="0" xr:uid="{0ED55CF5-8A9C-432B-A3BE-65640E3F966D}">
      <text>
        <r>
          <rPr>
            <b/>
            <sz val="9"/>
            <color indexed="81"/>
            <rFont val="Tahoma"/>
            <family val="2"/>
          </rPr>
          <t>Author:</t>
        </r>
        <r>
          <rPr>
            <sz val="9"/>
            <color indexed="81"/>
            <rFont val="Tahoma"/>
            <family val="2"/>
          </rPr>
          <t xml:space="preserve">
Adjusted Capacity based upon HF Factor</t>
        </r>
      </text>
    </comment>
    <comment ref="L4098" authorId="0" shapeId="0" xr:uid="{00000000-0006-0000-0500-00006E000000}">
      <text>
        <r>
          <rPr>
            <b/>
            <sz val="9"/>
            <color indexed="81"/>
            <rFont val="Tahoma"/>
            <family val="2"/>
          </rPr>
          <t>Author:</t>
        </r>
        <r>
          <rPr>
            <sz val="9"/>
            <color indexed="81"/>
            <rFont val="Tahoma"/>
            <family val="2"/>
          </rPr>
          <t xml:space="preserve">
Adjusted Capacity based upon HF Factor</t>
        </r>
      </text>
    </comment>
    <comment ref="L4100" authorId="0" shapeId="0" xr:uid="{00000000-0006-0000-0500-00006F000000}">
      <text>
        <r>
          <rPr>
            <b/>
            <sz val="9"/>
            <color indexed="81"/>
            <rFont val="Tahoma"/>
            <family val="2"/>
          </rPr>
          <t>Author:</t>
        </r>
        <r>
          <rPr>
            <sz val="9"/>
            <color indexed="81"/>
            <rFont val="Tahoma"/>
            <family val="2"/>
          </rPr>
          <t xml:space="preserve">
Adjusted Capacity based upon HF Factor</t>
        </r>
      </text>
    </comment>
    <comment ref="L4104" authorId="0" shapeId="0" xr:uid="{00000000-0006-0000-0500-000070000000}">
      <text>
        <r>
          <rPr>
            <b/>
            <sz val="9"/>
            <color indexed="81"/>
            <rFont val="Tahoma"/>
            <family val="2"/>
          </rPr>
          <t>Author:</t>
        </r>
        <r>
          <rPr>
            <sz val="9"/>
            <color indexed="81"/>
            <rFont val="Tahoma"/>
            <family val="2"/>
          </rPr>
          <t xml:space="preserve">
Adjusted Capacity based upon HF Factor</t>
        </r>
      </text>
    </comment>
    <comment ref="L4108" authorId="0" shapeId="0" xr:uid="{00000000-0006-0000-0500-000071000000}">
      <text>
        <r>
          <rPr>
            <b/>
            <sz val="9"/>
            <color indexed="81"/>
            <rFont val="Tahoma"/>
            <family val="2"/>
          </rPr>
          <t>Author:</t>
        </r>
        <r>
          <rPr>
            <sz val="9"/>
            <color indexed="81"/>
            <rFont val="Tahoma"/>
            <family val="2"/>
          </rPr>
          <t xml:space="preserve">
Adjusted Capacity based upon HF Factor</t>
        </r>
      </text>
    </comment>
    <comment ref="L4112" authorId="0" shapeId="0" xr:uid="{00000000-0006-0000-0500-000072000000}">
      <text>
        <r>
          <rPr>
            <b/>
            <sz val="9"/>
            <color indexed="81"/>
            <rFont val="Tahoma"/>
            <family val="2"/>
          </rPr>
          <t>Author:</t>
        </r>
        <r>
          <rPr>
            <sz val="9"/>
            <color indexed="81"/>
            <rFont val="Tahoma"/>
            <family val="2"/>
          </rPr>
          <t xml:space="preserve">
Adjusted Capacity based upon HF Factor</t>
        </r>
      </text>
    </comment>
    <comment ref="L4116" authorId="0" shapeId="0" xr:uid="{00000000-0006-0000-0500-000073000000}">
      <text>
        <r>
          <rPr>
            <b/>
            <sz val="9"/>
            <color indexed="81"/>
            <rFont val="Tahoma"/>
            <family val="2"/>
          </rPr>
          <t>Author:</t>
        </r>
        <r>
          <rPr>
            <sz val="9"/>
            <color indexed="81"/>
            <rFont val="Tahoma"/>
            <family val="2"/>
          </rPr>
          <t xml:space="preserve">
Adjusted Capacity based upon HF Factor</t>
        </r>
      </text>
    </comment>
    <comment ref="L4120" authorId="0" shapeId="0" xr:uid="{00000000-0006-0000-0500-000074000000}">
      <text>
        <r>
          <rPr>
            <b/>
            <sz val="9"/>
            <color indexed="81"/>
            <rFont val="Tahoma"/>
            <family val="2"/>
          </rPr>
          <t>Author:</t>
        </r>
        <r>
          <rPr>
            <sz val="9"/>
            <color indexed="81"/>
            <rFont val="Tahoma"/>
            <family val="2"/>
          </rPr>
          <t xml:space="preserve">
Adjusted Capacity based upon HF Factor</t>
        </r>
      </text>
    </comment>
    <comment ref="L4124" authorId="0" shapeId="0" xr:uid="{00000000-0006-0000-0500-000075000000}">
      <text>
        <r>
          <rPr>
            <b/>
            <sz val="9"/>
            <color indexed="81"/>
            <rFont val="Tahoma"/>
            <family val="2"/>
          </rPr>
          <t>Author:</t>
        </r>
        <r>
          <rPr>
            <sz val="9"/>
            <color indexed="81"/>
            <rFont val="Tahoma"/>
            <family val="2"/>
          </rPr>
          <t xml:space="preserve">
Adjusted Capacity based upon HF Factor</t>
        </r>
      </text>
    </comment>
    <comment ref="L4126" authorId="0" shapeId="0" xr:uid="{00000000-0006-0000-0500-000076000000}">
      <text>
        <r>
          <rPr>
            <b/>
            <sz val="9"/>
            <color indexed="81"/>
            <rFont val="Tahoma"/>
            <family val="2"/>
          </rPr>
          <t>Author:</t>
        </r>
        <r>
          <rPr>
            <sz val="9"/>
            <color indexed="81"/>
            <rFont val="Tahoma"/>
            <family val="2"/>
          </rPr>
          <t xml:space="preserve">
Adjusted Capacity based upon HF Factor</t>
        </r>
      </text>
    </comment>
    <comment ref="L4128" authorId="0" shapeId="0" xr:uid="{00000000-0006-0000-0500-000077000000}">
      <text>
        <r>
          <rPr>
            <b/>
            <sz val="9"/>
            <color indexed="81"/>
            <rFont val="Tahoma"/>
            <family val="2"/>
          </rPr>
          <t>Author:</t>
        </r>
        <r>
          <rPr>
            <sz val="9"/>
            <color indexed="81"/>
            <rFont val="Tahoma"/>
            <family val="2"/>
          </rPr>
          <t xml:space="preserve">
Adjusted Capacity based upon HF Factor</t>
        </r>
      </text>
    </comment>
    <comment ref="L4130" authorId="0" shapeId="0" xr:uid="{00000000-0006-0000-0500-000078000000}">
      <text>
        <r>
          <rPr>
            <b/>
            <sz val="9"/>
            <color indexed="81"/>
            <rFont val="Tahoma"/>
            <family val="2"/>
          </rPr>
          <t>Author:</t>
        </r>
        <r>
          <rPr>
            <sz val="9"/>
            <color indexed="81"/>
            <rFont val="Tahoma"/>
            <family val="2"/>
          </rPr>
          <t xml:space="preserve">
Adjusted Capacity based upon HF Factor</t>
        </r>
      </text>
    </comment>
    <comment ref="L4132" authorId="0" shapeId="0" xr:uid="{00000000-0006-0000-0500-000079000000}">
      <text>
        <r>
          <rPr>
            <b/>
            <sz val="9"/>
            <color indexed="81"/>
            <rFont val="Tahoma"/>
            <family val="2"/>
          </rPr>
          <t>Author:</t>
        </r>
        <r>
          <rPr>
            <sz val="9"/>
            <color indexed="81"/>
            <rFont val="Tahoma"/>
            <family val="2"/>
          </rPr>
          <t xml:space="preserve">
Adjusted Capacity based upon HF Factor</t>
        </r>
      </text>
    </comment>
    <comment ref="L4136" authorId="0" shapeId="0" xr:uid="{00000000-0006-0000-0500-00007A000000}">
      <text>
        <r>
          <rPr>
            <b/>
            <sz val="9"/>
            <color indexed="81"/>
            <rFont val="Tahoma"/>
            <family val="2"/>
          </rPr>
          <t>Author:</t>
        </r>
        <r>
          <rPr>
            <sz val="9"/>
            <color indexed="81"/>
            <rFont val="Tahoma"/>
            <family val="2"/>
          </rPr>
          <t xml:space="preserve">
Adjusted Capacity based upon HF Factor</t>
        </r>
      </text>
    </comment>
    <comment ref="L4140" authorId="0" shapeId="0" xr:uid="{00000000-0006-0000-0500-00007B000000}">
      <text>
        <r>
          <rPr>
            <b/>
            <sz val="9"/>
            <color indexed="81"/>
            <rFont val="Tahoma"/>
            <family val="2"/>
          </rPr>
          <t>Author:</t>
        </r>
        <r>
          <rPr>
            <sz val="9"/>
            <color indexed="81"/>
            <rFont val="Tahoma"/>
            <family val="2"/>
          </rPr>
          <t xml:space="preserve">
Adjusted Capacity based upon HF Factor</t>
        </r>
      </text>
    </comment>
    <comment ref="L4142" authorId="0" shapeId="0" xr:uid="{00000000-0006-0000-0500-00007C000000}">
      <text>
        <r>
          <rPr>
            <b/>
            <sz val="9"/>
            <color indexed="81"/>
            <rFont val="Tahoma"/>
            <family val="2"/>
          </rPr>
          <t>Author:</t>
        </r>
        <r>
          <rPr>
            <sz val="9"/>
            <color indexed="81"/>
            <rFont val="Tahoma"/>
            <family val="2"/>
          </rPr>
          <t xml:space="preserve">
Adjusted Capacity based upon HF Factor</t>
        </r>
      </text>
    </comment>
    <comment ref="L4144" authorId="0" shapeId="0" xr:uid="{00000000-0006-0000-0500-00007D000000}">
      <text>
        <r>
          <rPr>
            <b/>
            <sz val="9"/>
            <color indexed="81"/>
            <rFont val="Tahoma"/>
            <family val="2"/>
          </rPr>
          <t>Author:</t>
        </r>
        <r>
          <rPr>
            <sz val="9"/>
            <color indexed="81"/>
            <rFont val="Tahoma"/>
            <family val="2"/>
          </rPr>
          <t xml:space="preserve">
Adjusted Capacity based upon HF Factor</t>
        </r>
      </text>
    </comment>
    <comment ref="L4146" authorId="0" shapeId="0" xr:uid="{00000000-0006-0000-0500-00007E000000}">
      <text>
        <r>
          <rPr>
            <b/>
            <sz val="9"/>
            <color indexed="81"/>
            <rFont val="Tahoma"/>
            <family val="2"/>
          </rPr>
          <t>Author:</t>
        </r>
        <r>
          <rPr>
            <sz val="9"/>
            <color indexed="81"/>
            <rFont val="Tahoma"/>
            <family val="2"/>
          </rPr>
          <t xml:space="preserve">
Adjusted Capacity based upon HF Factor</t>
        </r>
      </text>
    </comment>
    <comment ref="L4148" authorId="0" shapeId="0" xr:uid="{00000000-0006-0000-0500-00007F000000}">
      <text>
        <r>
          <rPr>
            <b/>
            <sz val="9"/>
            <color indexed="81"/>
            <rFont val="Tahoma"/>
            <family val="2"/>
          </rPr>
          <t>Author:</t>
        </r>
        <r>
          <rPr>
            <sz val="9"/>
            <color indexed="81"/>
            <rFont val="Tahoma"/>
            <family val="2"/>
          </rPr>
          <t xml:space="preserve">
Adjusted Capacity based upon HF Factor</t>
        </r>
      </text>
    </comment>
    <comment ref="L4150" authorId="0" shapeId="0" xr:uid="{00000000-0006-0000-0500-000080000000}">
      <text>
        <r>
          <rPr>
            <b/>
            <sz val="9"/>
            <color indexed="81"/>
            <rFont val="Tahoma"/>
            <family val="2"/>
          </rPr>
          <t>Author:</t>
        </r>
        <r>
          <rPr>
            <sz val="9"/>
            <color indexed="81"/>
            <rFont val="Tahoma"/>
            <family val="2"/>
          </rPr>
          <t xml:space="preserve">
Adjusted Capacity based upon HF Factor</t>
        </r>
      </text>
    </comment>
    <comment ref="L4152" authorId="0" shapeId="0" xr:uid="{00000000-0006-0000-0500-000081000000}">
      <text>
        <r>
          <rPr>
            <b/>
            <sz val="9"/>
            <color indexed="81"/>
            <rFont val="Tahoma"/>
            <family val="2"/>
          </rPr>
          <t>Author:</t>
        </r>
        <r>
          <rPr>
            <sz val="9"/>
            <color indexed="81"/>
            <rFont val="Tahoma"/>
            <family val="2"/>
          </rPr>
          <t xml:space="preserve">
Adjusted Capacity based upon HF Factor</t>
        </r>
      </text>
    </comment>
    <comment ref="L4156" authorId="0" shapeId="0" xr:uid="{00000000-0006-0000-0500-000082000000}">
      <text>
        <r>
          <rPr>
            <b/>
            <sz val="9"/>
            <color indexed="81"/>
            <rFont val="Tahoma"/>
            <family val="2"/>
          </rPr>
          <t>Author:</t>
        </r>
        <r>
          <rPr>
            <sz val="9"/>
            <color indexed="81"/>
            <rFont val="Tahoma"/>
            <family val="2"/>
          </rPr>
          <t xml:space="preserve">
Adjusted Capacity based upon HF Factor</t>
        </r>
      </text>
    </comment>
    <comment ref="L4160" authorId="0" shapeId="0" xr:uid="{00000000-0006-0000-0500-000083000000}">
      <text>
        <r>
          <rPr>
            <b/>
            <sz val="9"/>
            <color indexed="81"/>
            <rFont val="Tahoma"/>
            <family val="2"/>
          </rPr>
          <t>Author:</t>
        </r>
        <r>
          <rPr>
            <sz val="9"/>
            <color indexed="81"/>
            <rFont val="Tahoma"/>
            <family val="2"/>
          </rPr>
          <t xml:space="preserve">
Adjusted Capacity based upon HF Factor</t>
        </r>
      </text>
    </comment>
    <comment ref="L4164" authorId="0" shapeId="0" xr:uid="{00000000-0006-0000-0500-000084000000}">
      <text>
        <r>
          <rPr>
            <b/>
            <sz val="9"/>
            <color indexed="81"/>
            <rFont val="Tahoma"/>
            <family val="2"/>
          </rPr>
          <t>Author:</t>
        </r>
        <r>
          <rPr>
            <sz val="9"/>
            <color indexed="81"/>
            <rFont val="Tahoma"/>
            <family val="2"/>
          </rPr>
          <t xml:space="preserve">
Adjusted Capacity based upon HF Factor</t>
        </r>
      </text>
    </comment>
    <comment ref="L4168" authorId="0" shapeId="0" xr:uid="{00000000-0006-0000-0500-000085000000}">
      <text>
        <r>
          <rPr>
            <b/>
            <sz val="9"/>
            <color indexed="81"/>
            <rFont val="Tahoma"/>
            <family val="2"/>
          </rPr>
          <t>Author:</t>
        </r>
        <r>
          <rPr>
            <sz val="9"/>
            <color indexed="81"/>
            <rFont val="Tahoma"/>
            <family val="2"/>
          </rPr>
          <t xml:space="preserve">
Adjusted Capacity based upon HF Factor</t>
        </r>
      </text>
    </comment>
    <comment ref="L4170" authorId="0" shapeId="0" xr:uid="{00000000-0006-0000-0500-000086000000}">
      <text>
        <r>
          <rPr>
            <b/>
            <sz val="9"/>
            <color indexed="81"/>
            <rFont val="Tahoma"/>
            <family val="2"/>
          </rPr>
          <t>Author:</t>
        </r>
        <r>
          <rPr>
            <sz val="9"/>
            <color indexed="81"/>
            <rFont val="Tahoma"/>
            <family val="2"/>
          </rPr>
          <t xml:space="preserve">
Adjusted Capacity based upon HF Factor</t>
        </r>
      </text>
    </comment>
    <comment ref="L4172" authorId="0" shapeId="0" xr:uid="{00000000-0006-0000-0500-000087000000}">
      <text>
        <r>
          <rPr>
            <b/>
            <sz val="9"/>
            <color indexed="81"/>
            <rFont val="Tahoma"/>
            <family val="2"/>
          </rPr>
          <t>Author:</t>
        </r>
        <r>
          <rPr>
            <sz val="9"/>
            <color indexed="81"/>
            <rFont val="Tahoma"/>
            <family val="2"/>
          </rPr>
          <t xml:space="preserve">
Adjusted Capacity based upon HF Factor</t>
        </r>
      </text>
    </comment>
    <comment ref="L4174" authorId="0" shapeId="0" xr:uid="{2D91F4C5-9B95-417A-8ACC-A0829B171CF4}">
      <text>
        <r>
          <rPr>
            <b/>
            <sz val="9"/>
            <color indexed="81"/>
            <rFont val="Tahoma"/>
            <family val="2"/>
          </rPr>
          <t>Author:</t>
        </r>
        <r>
          <rPr>
            <sz val="9"/>
            <color indexed="81"/>
            <rFont val="Tahoma"/>
            <family val="2"/>
          </rPr>
          <t xml:space="preserve">
Adjusted Capacity based upon HF Factor</t>
        </r>
      </text>
    </comment>
    <comment ref="L4176" authorId="0" shapeId="0" xr:uid="{00000000-0006-0000-0500-000088000000}">
      <text>
        <r>
          <rPr>
            <b/>
            <sz val="9"/>
            <color indexed="81"/>
            <rFont val="Tahoma"/>
            <family val="2"/>
          </rPr>
          <t>Author:</t>
        </r>
        <r>
          <rPr>
            <sz val="9"/>
            <color indexed="81"/>
            <rFont val="Tahoma"/>
            <family val="2"/>
          </rPr>
          <t xml:space="preserve">
Adjusted Capacity based upon HF Factor</t>
        </r>
      </text>
    </comment>
    <comment ref="L4178" authorId="0" shapeId="0" xr:uid="{00000000-0006-0000-0500-000089000000}">
      <text>
        <r>
          <rPr>
            <b/>
            <sz val="9"/>
            <color indexed="81"/>
            <rFont val="Tahoma"/>
            <family val="2"/>
          </rPr>
          <t>Author:</t>
        </r>
        <r>
          <rPr>
            <sz val="9"/>
            <color indexed="81"/>
            <rFont val="Tahoma"/>
            <family val="2"/>
          </rPr>
          <t xml:space="preserve">
Adjusted Capacity based upon HF Factor</t>
        </r>
      </text>
    </comment>
    <comment ref="L4180" authorId="0" shapeId="0" xr:uid="{00000000-0006-0000-0500-00008A000000}">
      <text>
        <r>
          <rPr>
            <b/>
            <sz val="9"/>
            <color indexed="81"/>
            <rFont val="Tahoma"/>
            <family val="2"/>
          </rPr>
          <t>Author:</t>
        </r>
        <r>
          <rPr>
            <sz val="9"/>
            <color indexed="81"/>
            <rFont val="Tahoma"/>
            <family val="2"/>
          </rPr>
          <t xml:space="preserve">
Adjusted Capacity based upon HF Factor</t>
        </r>
      </text>
    </comment>
    <comment ref="L4182" authorId="0" shapeId="0" xr:uid="{00000000-0006-0000-0500-00008B000000}">
      <text>
        <r>
          <rPr>
            <b/>
            <sz val="9"/>
            <color indexed="81"/>
            <rFont val="Tahoma"/>
            <family val="2"/>
          </rPr>
          <t>Author:</t>
        </r>
        <r>
          <rPr>
            <sz val="9"/>
            <color indexed="81"/>
            <rFont val="Tahoma"/>
            <family val="2"/>
          </rPr>
          <t xml:space="preserve">
Adjusted Capacity based upon HF Factor</t>
        </r>
      </text>
    </comment>
    <comment ref="L4184" authorId="0" shapeId="0" xr:uid="{00000000-0006-0000-0500-00008C000000}">
      <text>
        <r>
          <rPr>
            <b/>
            <sz val="9"/>
            <color indexed="81"/>
            <rFont val="Tahoma"/>
            <family val="2"/>
          </rPr>
          <t>Author:</t>
        </r>
        <r>
          <rPr>
            <sz val="9"/>
            <color indexed="81"/>
            <rFont val="Tahoma"/>
            <family val="2"/>
          </rPr>
          <t xml:space="preserve">
Adjusted Capacity based upon HF Factor</t>
        </r>
      </text>
    </comment>
    <comment ref="L4186" authorId="0" shapeId="0" xr:uid="{301F5973-B91D-4205-B188-B4D34570E8F7}">
      <text>
        <r>
          <rPr>
            <b/>
            <sz val="9"/>
            <color indexed="81"/>
            <rFont val="Tahoma"/>
            <family val="2"/>
          </rPr>
          <t>Author:</t>
        </r>
        <r>
          <rPr>
            <sz val="9"/>
            <color indexed="81"/>
            <rFont val="Tahoma"/>
            <family val="2"/>
          </rPr>
          <t xml:space="preserve">
Adjusted Capacity based upon HF Factor</t>
        </r>
      </text>
    </comment>
    <comment ref="L4188" authorId="0" shapeId="0" xr:uid="{00000000-0006-0000-0500-00008D000000}">
      <text>
        <r>
          <rPr>
            <b/>
            <sz val="9"/>
            <color indexed="81"/>
            <rFont val="Tahoma"/>
            <family val="2"/>
          </rPr>
          <t>Author:</t>
        </r>
        <r>
          <rPr>
            <sz val="9"/>
            <color indexed="81"/>
            <rFont val="Tahoma"/>
            <family val="2"/>
          </rPr>
          <t xml:space="preserve">
Adjusted Capacity based upon HF Factor</t>
        </r>
      </text>
    </comment>
    <comment ref="L4190" authorId="0" shapeId="0" xr:uid="{00000000-0006-0000-0500-00008E000000}">
      <text>
        <r>
          <rPr>
            <b/>
            <sz val="9"/>
            <color indexed="81"/>
            <rFont val="Tahoma"/>
            <family val="2"/>
          </rPr>
          <t>Author:</t>
        </r>
        <r>
          <rPr>
            <sz val="9"/>
            <color indexed="81"/>
            <rFont val="Tahoma"/>
            <family val="2"/>
          </rPr>
          <t xml:space="preserve">
Adjusted Capacity based upon HF Factor</t>
        </r>
      </text>
    </comment>
    <comment ref="L4192" authorId="0" shapeId="0" xr:uid="{00000000-0006-0000-0500-00008F000000}">
      <text>
        <r>
          <rPr>
            <b/>
            <sz val="9"/>
            <color indexed="81"/>
            <rFont val="Tahoma"/>
            <family val="2"/>
          </rPr>
          <t>Author:</t>
        </r>
        <r>
          <rPr>
            <sz val="9"/>
            <color indexed="81"/>
            <rFont val="Tahoma"/>
            <family val="2"/>
          </rPr>
          <t xml:space="preserve">
Adjusted Capacity based upon HF Factor</t>
        </r>
      </text>
    </comment>
    <comment ref="L4194" authorId="0" shapeId="0" xr:uid="{00000000-0006-0000-0500-000090000000}">
      <text>
        <r>
          <rPr>
            <b/>
            <sz val="9"/>
            <color indexed="81"/>
            <rFont val="Tahoma"/>
            <family val="2"/>
          </rPr>
          <t>Author:</t>
        </r>
        <r>
          <rPr>
            <sz val="9"/>
            <color indexed="81"/>
            <rFont val="Tahoma"/>
            <family val="2"/>
          </rPr>
          <t xml:space="preserve">
Adjusted Capacity based upon HF Factor</t>
        </r>
      </text>
    </comment>
    <comment ref="L4196" authorId="0" shapeId="0" xr:uid="{00000000-0006-0000-0500-000091000000}">
      <text>
        <r>
          <rPr>
            <b/>
            <sz val="9"/>
            <color indexed="81"/>
            <rFont val="Tahoma"/>
            <family val="2"/>
          </rPr>
          <t>Author:</t>
        </r>
        <r>
          <rPr>
            <sz val="9"/>
            <color indexed="81"/>
            <rFont val="Tahoma"/>
            <family val="2"/>
          </rPr>
          <t xml:space="preserve">
Adjusted Capacity based upon HF Factor</t>
        </r>
      </text>
    </comment>
    <comment ref="L4198" authorId="0" shapeId="0" xr:uid="{C78E22EC-3A63-4165-A903-D32AD953727A}">
      <text>
        <r>
          <rPr>
            <b/>
            <sz val="9"/>
            <color indexed="81"/>
            <rFont val="Tahoma"/>
            <family val="2"/>
          </rPr>
          <t>Author:</t>
        </r>
        <r>
          <rPr>
            <sz val="9"/>
            <color indexed="81"/>
            <rFont val="Tahoma"/>
            <family val="2"/>
          </rPr>
          <t xml:space="preserve">
Adjusted Capacity based upon HF Factor</t>
        </r>
      </text>
    </comment>
    <comment ref="L4200" authorId="0" shapeId="0" xr:uid="{00000000-0006-0000-0500-000092000000}">
      <text>
        <r>
          <rPr>
            <b/>
            <sz val="9"/>
            <color indexed="81"/>
            <rFont val="Tahoma"/>
            <family val="2"/>
          </rPr>
          <t>Author:</t>
        </r>
        <r>
          <rPr>
            <sz val="9"/>
            <color indexed="81"/>
            <rFont val="Tahoma"/>
            <family val="2"/>
          </rPr>
          <t xml:space="preserve">
Adjusted Capacity based upon HF Factor</t>
        </r>
      </text>
    </comment>
    <comment ref="L4202" authorId="0" shapeId="0" xr:uid="{00000000-0006-0000-0500-000093000000}">
      <text>
        <r>
          <rPr>
            <b/>
            <sz val="9"/>
            <color indexed="81"/>
            <rFont val="Tahoma"/>
            <family val="2"/>
          </rPr>
          <t>Author:</t>
        </r>
        <r>
          <rPr>
            <sz val="9"/>
            <color indexed="81"/>
            <rFont val="Tahoma"/>
            <family val="2"/>
          </rPr>
          <t xml:space="preserve">
Adjusted Capacity based upon HF Factor</t>
        </r>
      </text>
    </comment>
    <comment ref="L4204" authorId="0" shapeId="0" xr:uid="{00000000-0006-0000-0500-000094000000}">
      <text>
        <r>
          <rPr>
            <b/>
            <sz val="9"/>
            <color indexed="81"/>
            <rFont val="Tahoma"/>
            <family val="2"/>
          </rPr>
          <t>Author:</t>
        </r>
        <r>
          <rPr>
            <sz val="9"/>
            <color indexed="81"/>
            <rFont val="Tahoma"/>
            <family val="2"/>
          </rPr>
          <t xml:space="preserve">
Adjusted Capacity based upon HF Factor</t>
        </r>
      </text>
    </comment>
    <comment ref="L4206" authorId="0" shapeId="0" xr:uid="{00000000-0006-0000-0500-000095000000}">
      <text>
        <r>
          <rPr>
            <b/>
            <sz val="9"/>
            <color indexed="81"/>
            <rFont val="Tahoma"/>
            <family val="2"/>
          </rPr>
          <t>Author:</t>
        </r>
        <r>
          <rPr>
            <sz val="9"/>
            <color indexed="81"/>
            <rFont val="Tahoma"/>
            <family val="2"/>
          </rPr>
          <t xml:space="preserve">
Adjusted Capacity based upon HF Factor</t>
        </r>
      </text>
    </comment>
    <comment ref="L4208" authorId="0" shapeId="0" xr:uid="{00000000-0006-0000-0500-000096000000}">
      <text>
        <r>
          <rPr>
            <b/>
            <sz val="9"/>
            <color indexed="81"/>
            <rFont val="Tahoma"/>
            <family val="2"/>
          </rPr>
          <t>Author:</t>
        </r>
        <r>
          <rPr>
            <sz val="9"/>
            <color indexed="81"/>
            <rFont val="Tahoma"/>
            <family val="2"/>
          </rPr>
          <t xml:space="preserve">
Adjusted Capacity based upon HF Factor</t>
        </r>
      </text>
    </comment>
    <comment ref="L4212" authorId="0" shapeId="0" xr:uid="{00000000-0006-0000-0500-000097000000}">
      <text>
        <r>
          <rPr>
            <b/>
            <sz val="9"/>
            <color indexed="81"/>
            <rFont val="Tahoma"/>
            <family val="2"/>
          </rPr>
          <t>Author:</t>
        </r>
        <r>
          <rPr>
            <sz val="9"/>
            <color indexed="81"/>
            <rFont val="Tahoma"/>
            <family val="2"/>
          </rPr>
          <t xml:space="preserve">
Adjusted Capacity based upon HF Factor</t>
        </r>
      </text>
    </comment>
    <comment ref="L4216" authorId="0" shapeId="0" xr:uid="{00000000-0006-0000-0500-000098000000}">
      <text>
        <r>
          <rPr>
            <b/>
            <sz val="9"/>
            <color indexed="81"/>
            <rFont val="Tahoma"/>
            <family val="2"/>
          </rPr>
          <t>Author:</t>
        </r>
        <r>
          <rPr>
            <sz val="9"/>
            <color indexed="81"/>
            <rFont val="Tahoma"/>
            <family val="2"/>
          </rPr>
          <t xml:space="preserve">
Adjusted Capacity based upon HF Factor</t>
        </r>
      </text>
    </comment>
    <comment ref="L4218" authorId="0" shapeId="0" xr:uid="{61028132-511D-4D0E-AA49-2EDD644766F1}">
      <text>
        <r>
          <rPr>
            <b/>
            <sz val="9"/>
            <color indexed="81"/>
            <rFont val="Tahoma"/>
            <family val="2"/>
          </rPr>
          <t>Author:</t>
        </r>
        <r>
          <rPr>
            <sz val="9"/>
            <color indexed="81"/>
            <rFont val="Tahoma"/>
            <family val="2"/>
          </rPr>
          <t xml:space="preserve">
Adjusted Capacity based upon HF Factor</t>
        </r>
      </text>
    </comment>
    <comment ref="L4220" authorId="0" shapeId="0" xr:uid="{00000000-0006-0000-0500-000099000000}">
      <text>
        <r>
          <rPr>
            <b/>
            <sz val="9"/>
            <color indexed="81"/>
            <rFont val="Tahoma"/>
            <family val="2"/>
          </rPr>
          <t>Author:</t>
        </r>
        <r>
          <rPr>
            <sz val="9"/>
            <color indexed="81"/>
            <rFont val="Tahoma"/>
            <family val="2"/>
          </rPr>
          <t xml:space="preserve">
Adjusted Capacity based upon HF Factor</t>
        </r>
      </text>
    </comment>
    <comment ref="L4222" authorId="0" shapeId="0" xr:uid="{00000000-0006-0000-0500-00009A000000}">
      <text>
        <r>
          <rPr>
            <b/>
            <sz val="9"/>
            <color indexed="81"/>
            <rFont val="Tahoma"/>
            <family val="2"/>
          </rPr>
          <t>Author:</t>
        </r>
        <r>
          <rPr>
            <sz val="9"/>
            <color indexed="81"/>
            <rFont val="Tahoma"/>
            <family val="2"/>
          </rPr>
          <t xml:space="preserve">
Adjusted Capacity based upon HF Factor</t>
        </r>
      </text>
    </comment>
    <comment ref="L4224" authorId="0" shapeId="0" xr:uid="{00000000-0006-0000-0500-00009B000000}">
      <text>
        <r>
          <rPr>
            <b/>
            <sz val="9"/>
            <color indexed="81"/>
            <rFont val="Tahoma"/>
            <family val="2"/>
          </rPr>
          <t>Author:</t>
        </r>
        <r>
          <rPr>
            <sz val="9"/>
            <color indexed="81"/>
            <rFont val="Tahoma"/>
            <family val="2"/>
          </rPr>
          <t xml:space="preserve">
Adjusted Capacity based upon HF Factor</t>
        </r>
      </text>
    </comment>
    <comment ref="L4226" authorId="0" shapeId="0" xr:uid="{00000000-0006-0000-0500-00009C000000}">
      <text>
        <r>
          <rPr>
            <b/>
            <sz val="9"/>
            <color indexed="81"/>
            <rFont val="Tahoma"/>
            <family val="2"/>
          </rPr>
          <t>Author:</t>
        </r>
        <r>
          <rPr>
            <sz val="9"/>
            <color indexed="81"/>
            <rFont val="Tahoma"/>
            <family val="2"/>
          </rPr>
          <t xml:space="preserve">
Adjusted Capacity based upon HF Factor</t>
        </r>
      </text>
    </comment>
    <comment ref="L4228" authorId="0" shapeId="0" xr:uid="{00000000-0006-0000-0500-00009D000000}">
      <text>
        <r>
          <rPr>
            <b/>
            <sz val="9"/>
            <color indexed="81"/>
            <rFont val="Tahoma"/>
            <family val="2"/>
          </rPr>
          <t>Author:</t>
        </r>
        <r>
          <rPr>
            <sz val="9"/>
            <color indexed="81"/>
            <rFont val="Tahoma"/>
            <family val="2"/>
          </rPr>
          <t xml:space="preserve">
Adjusted Capacity based upon HF Factor</t>
        </r>
      </text>
    </comment>
    <comment ref="L4232" authorId="0" shapeId="0" xr:uid="{00000000-0006-0000-0500-00009E000000}">
      <text>
        <r>
          <rPr>
            <b/>
            <sz val="9"/>
            <color indexed="81"/>
            <rFont val="Tahoma"/>
            <family val="2"/>
          </rPr>
          <t>Author:</t>
        </r>
        <r>
          <rPr>
            <sz val="9"/>
            <color indexed="81"/>
            <rFont val="Tahoma"/>
            <family val="2"/>
          </rPr>
          <t xml:space="preserve">
Adjusted Capacity based upon HF Factor</t>
        </r>
      </text>
    </comment>
    <comment ref="L4236" authorId="0" shapeId="0" xr:uid="{00000000-0006-0000-0500-00009F000000}">
      <text>
        <r>
          <rPr>
            <b/>
            <sz val="9"/>
            <color indexed="81"/>
            <rFont val="Tahoma"/>
            <family val="2"/>
          </rPr>
          <t>Author:</t>
        </r>
        <r>
          <rPr>
            <sz val="9"/>
            <color indexed="81"/>
            <rFont val="Tahoma"/>
            <family val="2"/>
          </rPr>
          <t xml:space="preserve">
Adjusted Capacity based upon HF Factor</t>
        </r>
      </text>
    </comment>
    <comment ref="L4240" authorId="0" shapeId="0" xr:uid="{00000000-0006-0000-0500-0000A0000000}">
      <text>
        <r>
          <rPr>
            <b/>
            <sz val="9"/>
            <color indexed="81"/>
            <rFont val="Tahoma"/>
            <family val="2"/>
          </rPr>
          <t>Author:</t>
        </r>
        <r>
          <rPr>
            <sz val="9"/>
            <color indexed="81"/>
            <rFont val="Tahoma"/>
            <family val="2"/>
          </rPr>
          <t xml:space="preserve">
Adjusted Capacity based upon HF Factor</t>
        </r>
      </text>
    </comment>
    <comment ref="L4244" authorId="0" shapeId="0" xr:uid="{00000000-0006-0000-0500-0000A1000000}">
      <text>
        <r>
          <rPr>
            <b/>
            <sz val="9"/>
            <color indexed="81"/>
            <rFont val="Tahoma"/>
            <family val="2"/>
          </rPr>
          <t>Author:</t>
        </r>
        <r>
          <rPr>
            <sz val="9"/>
            <color indexed="81"/>
            <rFont val="Tahoma"/>
            <family val="2"/>
          </rPr>
          <t xml:space="preserve">
Adjusted Capacity based upon HF Factor</t>
        </r>
      </text>
    </comment>
    <comment ref="L4248" authorId="0" shapeId="0" xr:uid="{00000000-0006-0000-0500-0000A2000000}">
      <text>
        <r>
          <rPr>
            <b/>
            <sz val="9"/>
            <color indexed="81"/>
            <rFont val="Tahoma"/>
            <family val="2"/>
          </rPr>
          <t>Author:</t>
        </r>
        <r>
          <rPr>
            <sz val="9"/>
            <color indexed="81"/>
            <rFont val="Tahoma"/>
            <family val="2"/>
          </rPr>
          <t xml:space="preserve">
Adjusted Capacity based upon HF Factor</t>
        </r>
      </text>
    </comment>
    <comment ref="L4252" authorId="0" shapeId="0" xr:uid="{00000000-0006-0000-0500-0000A3000000}">
      <text>
        <r>
          <rPr>
            <b/>
            <sz val="9"/>
            <color indexed="81"/>
            <rFont val="Tahoma"/>
            <family val="2"/>
          </rPr>
          <t>Author:</t>
        </r>
        <r>
          <rPr>
            <sz val="9"/>
            <color indexed="81"/>
            <rFont val="Tahoma"/>
            <family val="2"/>
          </rPr>
          <t xml:space="preserve">
Adjusted Capacity based upon HF Factor</t>
        </r>
      </text>
    </comment>
    <comment ref="L4254" authorId="0" shapeId="0" xr:uid="{AFE5A7D7-9962-4A74-946A-C5DF3B29B5B4}">
      <text>
        <r>
          <rPr>
            <b/>
            <sz val="9"/>
            <color indexed="81"/>
            <rFont val="Tahoma"/>
            <family val="2"/>
          </rPr>
          <t>Author:</t>
        </r>
        <r>
          <rPr>
            <sz val="9"/>
            <color indexed="81"/>
            <rFont val="Tahoma"/>
            <family val="2"/>
          </rPr>
          <t xml:space="preserve">
Adjusted Capacity based upon HF Factor</t>
        </r>
      </text>
    </comment>
    <comment ref="L4256" authorId="0" shapeId="0" xr:uid="{00000000-0006-0000-0500-0000A4000000}">
      <text>
        <r>
          <rPr>
            <b/>
            <sz val="9"/>
            <color indexed="81"/>
            <rFont val="Tahoma"/>
            <family val="2"/>
          </rPr>
          <t>Author:</t>
        </r>
        <r>
          <rPr>
            <sz val="9"/>
            <color indexed="81"/>
            <rFont val="Tahoma"/>
            <family val="2"/>
          </rPr>
          <t xml:space="preserve">
Adjusted Capacity based upon HF Factor</t>
        </r>
      </text>
    </comment>
    <comment ref="L4258" authorId="0" shapeId="0" xr:uid="{00000000-0006-0000-0500-0000A5000000}">
      <text>
        <r>
          <rPr>
            <b/>
            <sz val="9"/>
            <color indexed="81"/>
            <rFont val="Tahoma"/>
            <family val="2"/>
          </rPr>
          <t>Author:</t>
        </r>
        <r>
          <rPr>
            <sz val="9"/>
            <color indexed="81"/>
            <rFont val="Tahoma"/>
            <family val="2"/>
          </rPr>
          <t xml:space="preserve">
Adjusted Capacity based upon HF Factor</t>
        </r>
      </text>
    </comment>
    <comment ref="L4260" authorId="0" shapeId="0" xr:uid="{00000000-0006-0000-0500-0000A6000000}">
      <text>
        <r>
          <rPr>
            <b/>
            <sz val="9"/>
            <color indexed="81"/>
            <rFont val="Tahoma"/>
            <family val="2"/>
          </rPr>
          <t>Author:</t>
        </r>
        <r>
          <rPr>
            <sz val="9"/>
            <color indexed="81"/>
            <rFont val="Tahoma"/>
            <family val="2"/>
          </rPr>
          <t xml:space="preserve">
Adjusted Capacity based upon HF Factor</t>
        </r>
      </text>
    </comment>
    <comment ref="L4262" authorId="0" shapeId="0" xr:uid="{00000000-0006-0000-0500-0000A7000000}">
      <text>
        <r>
          <rPr>
            <b/>
            <sz val="9"/>
            <color indexed="81"/>
            <rFont val="Tahoma"/>
            <family val="2"/>
          </rPr>
          <t>Author:</t>
        </r>
        <r>
          <rPr>
            <sz val="9"/>
            <color indexed="81"/>
            <rFont val="Tahoma"/>
            <family val="2"/>
          </rPr>
          <t xml:space="preserve">
Adjusted Capacity based upon HF Factor</t>
        </r>
      </text>
    </comment>
    <comment ref="L4264" authorId="0" shapeId="0" xr:uid="{00000000-0006-0000-0500-0000A8000000}">
      <text>
        <r>
          <rPr>
            <b/>
            <sz val="9"/>
            <color indexed="81"/>
            <rFont val="Tahoma"/>
            <family val="2"/>
          </rPr>
          <t>Author:</t>
        </r>
        <r>
          <rPr>
            <sz val="9"/>
            <color indexed="81"/>
            <rFont val="Tahoma"/>
            <family val="2"/>
          </rPr>
          <t xml:space="preserve">
Adjusted Capacity based upon HF Factor</t>
        </r>
      </text>
    </comment>
    <comment ref="L4268" authorId="0" shapeId="0" xr:uid="{00000000-0006-0000-0500-0000A9000000}">
      <text>
        <r>
          <rPr>
            <b/>
            <sz val="9"/>
            <color indexed="81"/>
            <rFont val="Tahoma"/>
            <family val="2"/>
          </rPr>
          <t>Author:</t>
        </r>
        <r>
          <rPr>
            <sz val="9"/>
            <color indexed="81"/>
            <rFont val="Tahoma"/>
            <family val="2"/>
          </rPr>
          <t xml:space="preserve">
Adjusted Capacity based upon HF Factor</t>
        </r>
      </text>
    </comment>
    <comment ref="L4270" authorId="0" shapeId="0" xr:uid="{00000000-0006-0000-0500-0000AA000000}">
      <text>
        <r>
          <rPr>
            <b/>
            <sz val="9"/>
            <color indexed="81"/>
            <rFont val="Tahoma"/>
            <family val="2"/>
          </rPr>
          <t>Author:</t>
        </r>
        <r>
          <rPr>
            <sz val="9"/>
            <color indexed="81"/>
            <rFont val="Tahoma"/>
            <family val="2"/>
          </rPr>
          <t xml:space="preserve">
Adjusted Capacity based upon HF Factor</t>
        </r>
      </text>
    </comment>
    <comment ref="L4274" authorId="0" shapeId="0" xr:uid="{00000000-0006-0000-0500-0000AB000000}">
      <text>
        <r>
          <rPr>
            <b/>
            <sz val="9"/>
            <color indexed="81"/>
            <rFont val="Tahoma"/>
            <family val="2"/>
          </rPr>
          <t>Author:</t>
        </r>
        <r>
          <rPr>
            <sz val="9"/>
            <color indexed="81"/>
            <rFont val="Tahoma"/>
            <family val="2"/>
          </rPr>
          <t xml:space="preserve">
Adjusted Capacity based upon HF Factor</t>
        </r>
      </text>
    </comment>
    <comment ref="L4276" authorId="0" shapeId="0" xr:uid="{00000000-0006-0000-0500-0000AC000000}">
      <text>
        <r>
          <rPr>
            <b/>
            <sz val="9"/>
            <color indexed="81"/>
            <rFont val="Tahoma"/>
            <family val="2"/>
          </rPr>
          <t>Author:</t>
        </r>
        <r>
          <rPr>
            <sz val="9"/>
            <color indexed="81"/>
            <rFont val="Tahoma"/>
            <family val="2"/>
          </rPr>
          <t xml:space="preserve">
Adjusted Capacity based upon HF Factor</t>
        </r>
      </text>
    </comment>
    <comment ref="L4280" authorId="0" shapeId="0" xr:uid="{00000000-0006-0000-0500-0000AD000000}">
      <text>
        <r>
          <rPr>
            <b/>
            <sz val="9"/>
            <color indexed="81"/>
            <rFont val="Tahoma"/>
            <family val="2"/>
          </rPr>
          <t>Author:</t>
        </r>
        <r>
          <rPr>
            <sz val="9"/>
            <color indexed="81"/>
            <rFont val="Tahoma"/>
            <family val="2"/>
          </rPr>
          <t xml:space="preserve">
Adjusted Capacity based upon HF Factor</t>
        </r>
      </text>
    </comment>
    <comment ref="L4282" authorId="0" shapeId="0" xr:uid="{00000000-0006-0000-0500-0000AE000000}">
      <text>
        <r>
          <rPr>
            <b/>
            <sz val="9"/>
            <color indexed="81"/>
            <rFont val="Tahoma"/>
            <family val="2"/>
          </rPr>
          <t>Author:</t>
        </r>
        <r>
          <rPr>
            <sz val="9"/>
            <color indexed="81"/>
            <rFont val="Tahoma"/>
            <family val="2"/>
          </rPr>
          <t xml:space="preserve">
Adjusted Capacity based upon HF Factor</t>
        </r>
      </text>
    </comment>
    <comment ref="L4286" authorId="0" shapeId="0" xr:uid="{00000000-0006-0000-0500-0000AF000000}">
      <text>
        <r>
          <rPr>
            <b/>
            <sz val="9"/>
            <color indexed="81"/>
            <rFont val="Tahoma"/>
            <family val="2"/>
          </rPr>
          <t>Author:</t>
        </r>
        <r>
          <rPr>
            <sz val="9"/>
            <color indexed="81"/>
            <rFont val="Tahoma"/>
            <family val="2"/>
          </rPr>
          <t xml:space="preserve">
Adjusted Capacity based upon HF Factor</t>
        </r>
      </text>
    </comment>
    <comment ref="L4290" authorId="0" shapeId="0" xr:uid="{00000000-0006-0000-0500-0000B0000000}">
      <text>
        <r>
          <rPr>
            <b/>
            <sz val="9"/>
            <color indexed="81"/>
            <rFont val="Tahoma"/>
            <family val="2"/>
          </rPr>
          <t>Author:</t>
        </r>
        <r>
          <rPr>
            <sz val="9"/>
            <color indexed="81"/>
            <rFont val="Tahoma"/>
            <family val="2"/>
          </rPr>
          <t xml:space="preserve">
Adjusted Capacity based upon HF Factor</t>
        </r>
      </text>
    </comment>
    <comment ref="L4294" authorId="0" shapeId="0" xr:uid="{00000000-0006-0000-0500-0000B1000000}">
      <text>
        <r>
          <rPr>
            <b/>
            <sz val="9"/>
            <color indexed="81"/>
            <rFont val="Tahoma"/>
            <family val="2"/>
          </rPr>
          <t>Author:</t>
        </r>
        <r>
          <rPr>
            <sz val="9"/>
            <color indexed="81"/>
            <rFont val="Tahoma"/>
            <family val="2"/>
          </rPr>
          <t xml:space="preserve">
Adjusted Capacity based upon HF Factor</t>
        </r>
      </text>
    </comment>
    <comment ref="L4298" authorId="0" shapeId="0" xr:uid="{00000000-0006-0000-0500-0000B2000000}">
      <text>
        <r>
          <rPr>
            <b/>
            <sz val="9"/>
            <color indexed="81"/>
            <rFont val="Tahoma"/>
            <family val="2"/>
          </rPr>
          <t>Author:</t>
        </r>
        <r>
          <rPr>
            <sz val="9"/>
            <color indexed="81"/>
            <rFont val="Tahoma"/>
            <family val="2"/>
          </rPr>
          <t xml:space="preserve">
Adjusted Capacity based upon HF Factor</t>
        </r>
      </text>
    </comment>
    <comment ref="L4302" authorId="0" shapeId="0" xr:uid="{00000000-0006-0000-0500-0000B3000000}">
      <text>
        <r>
          <rPr>
            <b/>
            <sz val="9"/>
            <color indexed="81"/>
            <rFont val="Tahoma"/>
            <family val="2"/>
          </rPr>
          <t>Author:</t>
        </r>
        <r>
          <rPr>
            <sz val="9"/>
            <color indexed="81"/>
            <rFont val="Tahoma"/>
            <family val="2"/>
          </rPr>
          <t xml:space="preserve">
Adjusted Capacity based upon HF Factor</t>
        </r>
      </text>
    </comment>
    <comment ref="L4306" authorId="0" shapeId="0" xr:uid="{00000000-0006-0000-0500-0000B4000000}">
      <text>
        <r>
          <rPr>
            <b/>
            <sz val="9"/>
            <color indexed="81"/>
            <rFont val="Tahoma"/>
            <family val="2"/>
          </rPr>
          <t>Author:</t>
        </r>
        <r>
          <rPr>
            <sz val="9"/>
            <color indexed="81"/>
            <rFont val="Tahoma"/>
            <family val="2"/>
          </rPr>
          <t xml:space="preserve">
Adjusted Capacity based upon HF Factor</t>
        </r>
      </text>
    </comment>
    <comment ref="X4306" authorId="0" shapeId="0" xr:uid="{00000000-0006-0000-0500-0000B5000000}">
      <text>
        <r>
          <rPr>
            <b/>
            <sz val="14"/>
            <color indexed="81"/>
            <rFont val="Tahoma"/>
            <family val="2"/>
          </rPr>
          <t xml:space="preserve">These highlighted "Green" include a corrections to the forumula. It was previously pointing to an incorrect cell reference
</t>
        </r>
      </text>
    </comment>
    <comment ref="L4310" authorId="0" shapeId="0" xr:uid="{00000000-0006-0000-0500-0000B6000000}">
      <text>
        <r>
          <rPr>
            <b/>
            <sz val="9"/>
            <color indexed="81"/>
            <rFont val="Tahoma"/>
            <family val="2"/>
          </rPr>
          <t>Author:</t>
        </r>
        <r>
          <rPr>
            <sz val="9"/>
            <color indexed="81"/>
            <rFont val="Tahoma"/>
            <family val="2"/>
          </rPr>
          <t xml:space="preserve">
Adjusted Capacity based upon HF Factor</t>
        </r>
      </text>
    </comment>
    <comment ref="L4314" authorId="0" shapeId="0" xr:uid="{00000000-0006-0000-0500-0000B7000000}">
      <text>
        <r>
          <rPr>
            <b/>
            <sz val="9"/>
            <color indexed="81"/>
            <rFont val="Tahoma"/>
            <family val="2"/>
          </rPr>
          <t>Author:</t>
        </r>
        <r>
          <rPr>
            <sz val="9"/>
            <color indexed="81"/>
            <rFont val="Tahoma"/>
            <family val="2"/>
          </rPr>
          <t xml:space="preserve">
Adjusted Capacity based upon HF Factor</t>
        </r>
      </text>
    </comment>
    <comment ref="L4318" authorId="0" shapeId="0" xr:uid="{00000000-0006-0000-0500-0000B8000000}">
      <text>
        <r>
          <rPr>
            <b/>
            <sz val="9"/>
            <color indexed="81"/>
            <rFont val="Tahoma"/>
            <family val="2"/>
          </rPr>
          <t>Author:</t>
        </r>
        <r>
          <rPr>
            <sz val="9"/>
            <color indexed="81"/>
            <rFont val="Tahoma"/>
            <family val="2"/>
          </rPr>
          <t xml:space="preserve">
Adjusted Capacity based upon HF Factor</t>
        </r>
      </text>
    </comment>
    <comment ref="L4322" authorId="0" shapeId="0" xr:uid="{00000000-0006-0000-0500-0000B9000000}">
      <text>
        <r>
          <rPr>
            <b/>
            <sz val="9"/>
            <color indexed="81"/>
            <rFont val="Tahoma"/>
            <family val="2"/>
          </rPr>
          <t>Author:</t>
        </r>
        <r>
          <rPr>
            <sz val="9"/>
            <color indexed="81"/>
            <rFont val="Tahoma"/>
            <family val="2"/>
          </rPr>
          <t xml:space="preserve">
Adjusted Capacity based upon HF Factor</t>
        </r>
      </text>
    </comment>
    <comment ref="L4326" authorId="0" shapeId="0" xr:uid="{00000000-0006-0000-0500-0000BA000000}">
      <text>
        <r>
          <rPr>
            <b/>
            <sz val="9"/>
            <color indexed="81"/>
            <rFont val="Tahoma"/>
            <family val="2"/>
          </rPr>
          <t>Author:</t>
        </r>
        <r>
          <rPr>
            <sz val="9"/>
            <color indexed="81"/>
            <rFont val="Tahoma"/>
            <family val="2"/>
          </rPr>
          <t xml:space="preserve">
Adjusted Capacity based upon HF Factor</t>
        </r>
      </text>
    </comment>
    <comment ref="L4330" authorId="0" shapeId="0" xr:uid="{00000000-0006-0000-0500-0000BB000000}">
      <text>
        <r>
          <rPr>
            <b/>
            <sz val="9"/>
            <color indexed="81"/>
            <rFont val="Tahoma"/>
            <family val="2"/>
          </rPr>
          <t>Author:</t>
        </r>
        <r>
          <rPr>
            <sz val="9"/>
            <color indexed="81"/>
            <rFont val="Tahoma"/>
            <family val="2"/>
          </rPr>
          <t xml:space="preserve">
Adjusted Capacity based upon HF Factor</t>
        </r>
      </text>
    </comment>
    <comment ref="L4334" authorId="0" shapeId="0" xr:uid="{00000000-0006-0000-0500-0000BC000000}">
      <text>
        <r>
          <rPr>
            <b/>
            <sz val="9"/>
            <color indexed="81"/>
            <rFont val="Tahoma"/>
            <family val="2"/>
          </rPr>
          <t>Author:</t>
        </r>
        <r>
          <rPr>
            <sz val="9"/>
            <color indexed="81"/>
            <rFont val="Tahoma"/>
            <family val="2"/>
          </rPr>
          <t xml:space="preserve">
Adjusted Capacity based upon HF Factor</t>
        </r>
      </text>
    </comment>
    <comment ref="L4338" authorId="0" shapeId="0" xr:uid="{00000000-0006-0000-0500-0000BD000000}">
      <text>
        <r>
          <rPr>
            <b/>
            <sz val="9"/>
            <color indexed="81"/>
            <rFont val="Tahoma"/>
            <family val="2"/>
          </rPr>
          <t>Author:</t>
        </r>
        <r>
          <rPr>
            <sz val="9"/>
            <color indexed="81"/>
            <rFont val="Tahoma"/>
            <family val="2"/>
          </rPr>
          <t xml:space="preserve">
Adjusted Capacity based upon HF Factor</t>
        </r>
      </text>
    </comment>
    <comment ref="L4342" authorId="0" shapeId="0" xr:uid="{00000000-0006-0000-0500-0000BE000000}">
      <text>
        <r>
          <rPr>
            <b/>
            <sz val="9"/>
            <color indexed="81"/>
            <rFont val="Tahoma"/>
            <family val="2"/>
          </rPr>
          <t>Author:</t>
        </r>
        <r>
          <rPr>
            <sz val="9"/>
            <color indexed="81"/>
            <rFont val="Tahoma"/>
            <family val="2"/>
          </rPr>
          <t xml:space="preserve">
Adjusted Capacity based upon HF Factor</t>
        </r>
      </text>
    </comment>
    <comment ref="L4346" authorId="0" shapeId="0" xr:uid="{00000000-0006-0000-0500-0000BF000000}">
      <text>
        <r>
          <rPr>
            <b/>
            <sz val="9"/>
            <color indexed="81"/>
            <rFont val="Tahoma"/>
            <family val="2"/>
          </rPr>
          <t>Author:</t>
        </r>
        <r>
          <rPr>
            <sz val="9"/>
            <color indexed="81"/>
            <rFont val="Tahoma"/>
            <family val="2"/>
          </rPr>
          <t xml:space="preserve">
Adjusted Capacity based upon HF Factor</t>
        </r>
      </text>
    </comment>
    <comment ref="L4350" authorId="0" shapeId="0" xr:uid="{00000000-0006-0000-0500-0000C0000000}">
      <text>
        <r>
          <rPr>
            <b/>
            <sz val="9"/>
            <color indexed="81"/>
            <rFont val="Tahoma"/>
            <family val="2"/>
          </rPr>
          <t>Author:</t>
        </r>
        <r>
          <rPr>
            <sz val="9"/>
            <color indexed="81"/>
            <rFont val="Tahoma"/>
            <family val="2"/>
          </rPr>
          <t xml:space="preserve">
Adjusted Capacity based upon HF Factor</t>
        </r>
      </text>
    </comment>
    <comment ref="L4354" authorId="0" shapeId="0" xr:uid="{00000000-0006-0000-0500-0000C1000000}">
      <text>
        <r>
          <rPr>
            <b/>
            <sz val="9"/>
            <color indexed="81"/>
            <rFont val="Tahoma"/>
            <family val="2"/>
          </rPr>
          <t>Author:</t>
        </r>
        <r>
          <rPr>
            <sz val="9"/>
            <color indexed="81"/>
            <rFont val="Tahoma"/>
            <family val="2"/>
          </rPr>
          <t xml:space="preserve">
Adjusted Capacity based upon HF Factor</t>
        </r>
      </text>
    </comment>
    <comment ref="L4358" authorId="0" shapeId="0" xr:uid="{00000000-0006-0000-0500-0000C2000000}">
      <text>
        <r>
          <rPr>
            <b/>
            <sz val="9"/>
            <color indexed="81"/>
            <rFont val="Tahoma"/>
            <family val="2"/>
          </rPr>
          <t>Author:</t>
        </r>
        <r>
          <rPr>
            <sz val="9"/>
            <color indexed="81"/>
            <rFont val="Tahoma"/>
            <family val="2"/>
          </rPr>
          <t xml:space="preserve">
Adjusted Capacity based upon HF Factor</t>
        </r>
      </text>
    </comment>
    <comment ref="L4362" authorId="0" shapeId="0" xr:uid="{00000000-0006-0000-0500-0000C3000000}">
      <text>
        <r>
          <rPr>
            <b/>
            <sz val="9"/>
            <color indexed="81"/>
            <rFont val="Tahoma"/>
            <family val="2"/>
          </rPr>
          <t>Author:</t>
        </r>
        <r>
          <rPr>
            <sz val="9"/>
            <color indexed="81"/>
            <rFont val="Tahoma"/>
            <family val="2"/>
          </rPr>
          <t xml:space="preserve">
Adjusted Capacity based upon HF Factor</t>
        </r>
      </text>
    </comment>
    <comment ref="L4366" authorId="0" shapeId="0" xr:uid="{00000000-0006-0000-0500-0000C4000000}">
      <text>
        <r>
          <rPr>
            <b/>
            <sz val="9"/>
            <color indexed="81"/>
            <rFont val="Tahoma"/>
            <family val="2"/>
          </rPr>
          <t>Author:</t>
        </r>
        <r>
          <rPr>
            <sz val="9"/>
            <color indexed="81"/>
            <rFont val="Tahoma"/>
            <family val="2"/>
          </rPr>
          <t xml:space="preserve">
Adjusted Capacity based upon HF Factor</t>
        </r>
      </text>
    </comment>
    <comment ref="L4370" authorId="0" shapeId="0" xr:uid="{00000000-0006-0000-0500-0000C5000000}">
      <text>
        <r>
          <rPr>
            <b/>
            <sz val="9"/>
            <color indexed="81"/>
            <rFont val="Tahoma"/>
            <family val="2"/>
          </rPr>
          <t>Author:</t>
        </r>
        <r>
          <rPr>
            <sz val="9"/>
            <color indexed="81"/>
            <rFont val="Tahoma"/>
            <family val="2"/>
          </rPr>
          <t xml:space="preserve">
Adjusted Capacity based upon HF Factor</t>
        </r>
      </text>
    </comment>
    <comment ref="L4374" authorId="0" shapeId="0" xr:uid="{00000000-0006-0000-0500-0000C6000000}">
      <text>
        <r>
          <rPr>
            <b/>
            <sz val="9"/>
            <color indexed="81"/>
            <rFont val="Tahoma"/>
            <family val="2"/>
          </rPr>
          <t>Author:</t>
        </r>
        <r>
          <rPr>
            <sz val="9"/>
            <color indexed="81"/>
            <rFont val="Tahoma"/>
            <family val="2"/>
          </rPr>
          <t xml:space="preserve">
Adjusted Capacity based upon HF Factor</t>
        </r>
      </text>
    </comment>
    <comment ref="L4378" authorId="0" shapeId="0" xr:uid="{00000000-0006-0000-0500-0000C7000000}">
      <text>
        <r>
          <rPr>
            <b/>
            <sz val="9"/>
            <color indexed="81"/>
            <rFont val="Tahoma"/>
            <family val="2"/>
          </rPr>
          <t>Author:</t>
        </r>
        <r>
          <rPr>
            <sz val="9"/>
            <color indexed="81"/>
            <rFont val="Tahoma"/>
            <family val="2"/>
          </rPr>
          <t xml:space="preserve">
Adjusted Capacity based upon HF Factor</t>
        </r>
      </text>
    </comment>
    <comment ref="L4382" authorId="0" shapeId="0" xr:uid="{00000000-0006-0000-0500-0000C8000000}">
      <text>
        <r>
          <rPr>
            <b/>
            <sz val="9"/>
            <color indexed="81"/>
            <rFont val="Tahoma"/>
            <family val="2"/>
          </rPr>
          <t>Author:</t>
        </r>
        <r>
          <rPr>
            <sz val="9"/>
            <color indexed="81"/>
            <rFont val="Tahoma"/>
            <family val="2"/>
          </rPr>
          <t xml:space="preserve">
Adjusted Capacity based upon HF Factor</t>
        </r>
      </text>
    </comment>
    <comment ref="L4384" authorId="0" shapeId="0" xr:uid="{00000000-0006-0000-0500-0000C9000000}">
      <text>
        <r>
          <rPr>
            <b/>
            <sz val="9"/>
            <color indexed="81"/>
            <rFont val="Tahoma"/>
            <family val="2"/>
          </rPr>
          <t>Author:</t>
        </r>
        <r>
          <rPr>
            <sz val="9"/>
            <color indexed="81"/>
            <rFont val="Tahoma"/>
            <family val="2"/>
          </rPr>
          <t xml:space="preserve">
Adjusted Capacity based upon HF Factor</t>
        </r>
      </text>
    </comment>
    <comment ref="L4388" authorId="0" shapeId="0" xr:uid="{00000000-0006-0000-0500-0000CA000000}">
      <text>
        <r>
          <rPr>
            <b/>
            <sz val="9"/>
            <color indexed="81"/>
            <rFont val="Tahoma"/>
            <family val="2"/>
          </rPr>
          <t>Author:</t>
        </r>
        <r>
          <rPr>
            <sz val="9"/>
            <color indexed="81"/>
            <rFont val="Tahoma"/>
            <family val="2"/>
          </rPr>
          <t xml:space="preserve">
Adjusted Capacity based upon HF Factor</t>
        </r>
      </text>
    </comment>
    <comment ref="L4392" authorId="0" shapeId="0" xr:uid="{00000000-0006-0000-0500-0000CB000000}">
      <text>
        <r>
          <rPr>
            <b/>
            <sz val="9"/>
            <color indexed="81"/>
            <rFont val="Tahoma"/>
            <family val="2"/>
          </rPr>
          <t>Author:</t>
        </r>
        <r>
          <rPr>
            <sz val="9"/>
            <color indexed="81"/>
            <rFont val="Tahoma"/>
            <family val="2"/>
          </rPr>
          <t xml:space="preserve">
Adjusted Capacity based upon HF Factor</t>
        </r>
      </text>
    </comment>
    <comment ref="L4396" authorId="0" shapeId="0" xr:uid="{00000000-0006-0000-0500-0000CC000000}">
      <text>
        <r>
          <rPr>
            <b/>
            <sz val="9"/>
            <color indexed="81"/>
            <rFont val="Tahoma"/>
            <family val="2"/>
          </rPr>
          <t>Author:</t>
        </r>
        <r>
          <rPr>
            <sz val="9"/>
            <color indexed="81"/>
            <rFont val="Tahoma"/>
            <family val="2"/>
          </rPr>
          <t xml:space="preserve">
Adjusted Capacity based upon HF Factor</t>
        </r>
      </text>
    </comment>
    <comment ref="L4400" authorId="0" shapeId="0" xr:uid="{00000000-0006-0000-0500-0000CD000000}">
      <text>
        <r>
          <rPr>
            <b/>
            <sz val="9"/>
            <color indexed="81"/>
            <rFont val="Tahoma"/>
            <family val="2"/>
          </rPr>
          <t>Author:</t>
        </r>
        <r>
          <rPr>
            <sz val="9"/>
            <color indexed="81"/>
            <rFont val="Tahoma"/>
            <family val="2"/>
          </rPr>
          <t xml:space="preserve">
Adjusted Capacity based upon HF Factor</t>
        </r>
      </text>
    </comment>
    <comment ref="L4404" authorId="0" shapeId="0" xr:uid="{00000000-0006-0000-0500-0000CE000000}">
      <text>
        <r>
          <rPr>
            <b/>
            <sz val="9"/>
            <color indexed="81"/>
            <rFont val="Tahoma"/>
            <family val="2"/>
          </rPr>
          <t>Author:</t>
        </r>
        <r>
          <rPr>
            <sz val="9"/>
            <color indexed="81"/>
            <rFont val="Tahoma"/>
            <family val="2"/>
          </rPr>
          <t xml:space="preserve">
Adjusted Capacity based upon HF Factor</t>
        </r>
      </text>
    </comment>
    <comment ref="L4408" authorId="0" shapeId="0" xr:uid="{00000000-0006-0000-0500-0000CF000000}">
      <text>
        <r>
          <rPr>
            <b/>
            <sz val="9"/>
            <color indexed="81"/>
            <rFont val="Tahoma"/>
            <family val="2"/>
          </rPr>
          <t>Author:</t>
        </r>
        <r>
          <rPr>
            <sz val="9"/>
            <color indexed="81"/>
            <rFont val="Tahoma"/>
            <family val="2"/>
          </rPr>
          <t xml:space="preserve">
Adjusted Capacity based upon HF Factor</t>
        </r>
      </text>
    </comment>
    <comment ref="L4412" authorId="0" shapeId="0" xr:uid="{00000000-0006-0000-0500-0000D0000000}">
      <text>
        <r>
          <rPr>
            <b/>
            <sz val="9"/>
            <color indexed="81"/>
            <rFont val="Tahoma"/>
            <family val="2"/>
          </rPr>
          <t>Author:</t>
        </r>
        <r>
          <rPr>
            <sz val="9"/>
            <color indexed="81"/>
            <rFont val="Tahoma"/>
            <family val="2"/>
          </rPr>
          <t xml:space="preserve">
Adjusted Capacity based upon HF Factor</t>
        </r>
      </text>
    </comment>
    <comment ref="L4414" authorId="0" shapeId="0" xr:uid="{00000000-0006-0000-0500-0000D1000000}">
      <text>
        <r>
          <rPr>
            <b/>
            <sz val="9"/>
            <color indexed="81"/>
            <rFont val="Tahoma"/>
            <family val="2"/>
          </rPr>
          <t>Author:</t>
        </r>
        <r>
          <rPr>
            <sz val="9"/>
            <color indexed="81"/>
            <rFont val="Tahoma"/>
            <family val="2"/>
          </rPr>
          <t xml:space="preserve">
Adjusted Capacity based upon HF Factor</t>
        </r>
      </text>
    </comment>
    <comment ref="L4416" authorId="0" shapeId="0" xr:uid="{00000000-0006-0000-0500-0000D2000000}">
      <text>
        <r>
          <rPr>
            <b/>
            <sz val="9"/>
            <color indexed="81"/>
            <rFont val="Tahoma"/>
            <family val="2"/>
          </rPr>
          <t>Author:</t>
        </r>
        <r>
          <rPr>
            <sz val="9"/>
            <color indexed="81"/>
            <rFont val="Tahoma"/>
            <family val="2"/>
          </rPr>
          <t xml:space="preserve">
Adjusted Capacity based upon HF Factor</t>
        </r>
      </text>
    </comment>
    <comment ref="L4418" authorId="0" shapeId="0" xr:uid="{00000000-0006-0000-0500-0000D3000000}">
      <text>
        <r>
          <rPr>
            <b/>
            <sz val="9"/>
            <color indexed="81"/>
            <rFont val="Tahoma"/>
            <family val="2"/>
          </rPr>
          <t>Author:</t>
        </r>
        <r>
          <rPr>
            <sz val="9"/>
            <color indexed="81"/>
            <rFont val="Tahoma"/>
            <family val="2"/>
          </rPr>
          <t xml:space="preserve">
Adjusted Capacity based upon HF Factor</t>
        </r>
      </text>
    </comment>
    <comment ref="L4420" authorId="0" shapeId="0" xr:uid="{00000000-0006-0000-0500-0000D4000000}">
      <text>
        <r>
          <rPr>
            <b/>
            <sz val="9"/>
            <color indexed="81"/>
            <rFont val="Tahoma"/>
            <family val="2"/>
          </rPr>
          <t>Author:</t>
        </r>
        <r>
          <rPr>
            <sz val="9"/>
            <color indexed="81"/>
            <rFont val="Tahoma"/>
            <family val="2"/>
          </rPr>
          <t xml:space="preserve">
Adjusted Capacity based upon HF Factor</t>
        </r>
      </text>
    </comment>
    <comment ref="L4422" authorId="0" shapeId="0" xr:uid="{00000000-0006-0000-0500-0000D5000000}">
      <text>
        <r>
          <rPr>
            <b/>
            <sz val="9"/>
            <color indexed="81"/>
            <rFont val="Tahoma"/>
            <family val="2"/>
          </rPr>
          <t>Author:</t>
        </r>
        <r>
          <rPr>
            <sz val="9"/>
            <color indexed="81"/>
            <rFont val="Tahoma"/>
            <family val="2"/>
          </rPr>
          <t xml:space="preserve">
Adjusted Capacity based upon HF Factor</t>
        </r>
      </text>
    </comment>
    <comment ref="L4426" authorId="0" shapeId="0" xr:uid="{00000000-0006-0000-0500-0000D6000000}">
      <text>
        <r>
          <rPr>
            <b/>
            <sz val="9"/>
            <color indexed="81"/>
            <rFont val="Tahoma"/>
            <family val="2"/>
          </rPr>
          <t>Author:</t>
        </r>
        <r>
          <rPr>
            <sz val="9"/>
            <color indexed="81"/>
            <rFont val="Tahoma"/>
            <family val="2"/>
          </rPr>
          <t xml:space="preserve">
Adjusted Capacity based upon HF Factor</t>
        </r>
      </text>
    </comment>
    <comment ref="L4430" authorId="0" shapeId="0" xr:uid="{00000000-0006-0000-0500-0000D7000000}">
      <text>
        <r>
          <rPr>
            <b/>
            <sz val="9"/>
            <color indexed="81"/>
            <rFont val="Tahoma"/>
            <family val="2"/>
          </rPr>
          <t>Author:</t>
        </r>
        <r>
          <rPr>
            <sz val="9"/>
            <color indexed="81"/>
            <rFont val="Tahoma"/>
            <family val="2"/>
          </rPr>
          <t xml:space="preserve">
Adjusted Capacity based upon HF Factor</t>
        </r>
      </text>
    </comment>
    <comment ref="L4432" authorId="0" shapeId="0" xr:uid="{00000000-0006-0000-0500-0000D8000000}">
      <text>
        <r>
          <rPr>
            <b/>
            <sz val="9"/>
            <color indexed="81"/>
            <rFont val="Tahoma"/>
            <family val="2"/>
          </rPr>
          <t>Author:</t>
        </r>
        <r>
          <rPr>
            <sz val="9"/>
            <color indexed="81"/>
            <rFont val="Tahoma"/>
            <family val="2"/>
          </rPr>
          <t xml:space="preserve">
Adjusted Capacity based upon HF Factor</t>
        </r>
      </text>
    </comment>
    <comment ref="L4434" authorId="0" shapeId="0" xr:uid="{00000000-0006-0000-0500-0000D9000000}">
      <text>
        <r>
          <rPr>
            <b/>
            <sz val="9"/>
            <color indexed="81"/>
            <rFont val="Tahoma"/>
            <family val="2"/>
          </rPr>
          <t>Author:</t>
        </r>
        <r>
          <rPr>
            <sz val="9"/>
            <color indexed="81"/>
            <rFont val="Tahoma"/>
            <family val="2"/>
          </rPr>
          <t xml:space="preserve">
Adjusted Capacity based upon HF Factor</t>
        </r>
      </text>
    </comment>
    <comment ref="L4436" authorId="0" shapeId="0" xr:uid="{00000000-0006-0000-0500-0000DA000000}">
      <text>
        <r>
          <rPr>
            <b/>
            <sz val="9"/>
            <color indexed="81"/>
            <rFont val="Tahoma"/>
            <family val="2"/>
          </rPr>
          <t>Author:</t>
        </r>
        <r>
          <rPr>
            <sz val="9"/>
            <color indexed="81"/>
            <rFont val="Tahoma"/>
            <family val="2"/>
          </rPr>
          <t xml:space="preserve">
Adjusted Capacity based upon HF Factor</t>
        </r>
      </text>
    </comment>
    <comment ref="L4438" authorId="0" shapeId="0" xr:uid="{00000000-0006-0000-0500-0000DB000000}">
      <text>
        <r>
          <rPr>
            <b/>
            <sz val="9"/>
            <color indexed="81"/>
            <rFont val="Tahoma"/>
            <family val="2"/>
          </rPr>
          <t>Author:</t>
        </r>
        <r>
          <rPr>
            <sz val="9"/>
            <color indexed="81"/>
            <rFont val="Tahoma"/>
            <family val="2"/>
          </rPr>
          <t xml:space="preserve">
Adjusted Capacity based upon HF Factor</t>
        </r>
      </text>
    </comment>
    <comment ref="L4440" authorId="0" shapeId="0" xr:uid="{00000000-0006-0000-0500-0000DC000000}">
      <text>
        <r>
          <rPr>
            <b/>
            <sz val="9"/>
            <color indexed="81"/>
            <rFont val="Tahoma"/>
            <family val="2"/>
          </rPr>
          <t>Author:</t>
        </r>
        <r>
          <rPr>
            <sz val="9"/>
            <color indexed="81"/>
            <rFont val="Tahoma"/>
            <family val="2"/>
          </rPr>
          <t xml:space="preserve">
Adjusted Capacity based upon HF Factor</t>
        </r>
      </text>
    </comment>
    <comment ref="L4442" authorId="0" shapeId="0" xr:uid="{00000000-0006-0000-0500-0000DD000000}">
      <text>
        <r>
          <rPr>
            <b/>
            <sz val="9"/>
            <color indexed="81"/>
            <rFont val="Tahoma"/>
            <family val="2"/>
          </rPr>
          <t>Author:</t>
        </r>
        <r>
          <rPr>
            <sz val="9"/>
            <color indexed="81"/>
            <rFont val="Tahoma"/>
            <family val="2"/>
          </rPr>
          <t xml:space="preserve">
Adjusted Capacity based upon HF Factor</t>
        </r>
      </text>
    </comment>
    <comment ref="L4444" authorId="0" shapeId="0" xr:uid="{00000000-0006-0000-0500-0000DE000000}">
      <text>
        <r>
          <rPr>
            <b/>
            <sz val="9"/>
            <color indexed="81"/>
            <rFont val="Tahoma"/>
            <family val="2"/>
          </rPr>
          <t>Author:</t>
        </r>
        <r>
          <rPr>
            <sz val="9"/>
            <color indexed="81"/>
            <rFont val="Tahoma"/>
            <family val="2"/>
          </rPr>
          <t xml:space="preserve">
Adjusted Capacity based upon HF Factor</t>
        </r>
      </text>
    </comment>
    <comment ref="L4446" authorId="0" shapeId="0" xr:uid="{00000000-0006-0000-0500-0000DF000000}">
      <text>
        <r>
          <rPr>
            <b/>
            <sz val="9"/>
            <color indexed="81"/>
            <rFont val="Tahoma"/>
            <family val="2"/>
          </rPr>
          <t>Author:</t>
        </r>
        <r>
          <rPr>
            <sz val="9"/>
            <color indexed="81"/>
            <rFont val="Tahoma"/>
            <family val="2"/>
          </rPr>
          <t xml:space="preserve">
Adjusted Capacity based upon HF Factor</t>
        </r>
      </text>
    </comment>
    <comment ref="L4448" authorId="0" shapeId="0" xr:uid="{00000000-0006-0000-0500-0000E0000000}">
      <text>
        <r>
          <rPr>
            <b/>
            <sz val="9"/>
            <color indexed="81"/>
            <rFont val="Tahoma"/>
            <family val="2"/>
          </rPr>
          <t>Author:</t>
        </r>
        <r>
          <rPr>
            <sz val="9"/>
            <color indexed="81"/>
            <rFont val="Tahoma"/>
            <family val="2"/>
          </rPr>
          <t xml:space="preserve">
Adjusted Capacity based upon HF Factor</t>
        </r>
      </text>
    </comment>
    <comment ref="AD4456" authorId="4" shapeId="0" xr:uid="{D33F3C28-9C7D-4C8B-A43A-D5A62E829534}">
      <text>
        <t>[Threaded comment]
Your version of Excel allows you to read this threaded comment; however, any edits to it will get removed if the file is opened in a newer version of Excel. Learn more: https://go.microsoft.com/fwlink/?linkid=870924
Comment:
    New Measure in 2022</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author>
    <author>tc={A8B9F2C9-22EC-4BF2-B86B-7F17F1CAC0CD}</author>
    <author>tc={02B05CAF-95AE-468D-A6F1-2ED4D3EEA314}</author>
    <author>tc={9DA6E058-D35F-4402-B1E8-A09D3C3D54F6}</author>
    <author>tc={55FFAAF9-1E98-4856-94E0-38898E2F4890}</author>
    <author>tc={FCC87098-EB3B-4058-8A48-26134D35F49C}</author>
    <author>tc={7202F212-DE41-4632-A930-DA1F7256FEFA}</author>
    <author>tc={4DF66CAA-922E-462C-9181-59F8894605CA}</author>
  </authors>
  <commentList>
    <comment ref="Y6" authorId="0" shapeId="0" xr:uid="{00000000-0006-0000-0600-000001000000}">
      <text>
        <r>
          <rPr>
            <b/>
            <sz val="9"/>
            <color indexed="81"/>
            <rFont val="Tahoma"/>
            <family val="2"/>
          </rPr>
          <t>Author:</t>
        </r>
        <r>
          <rPr>
            <sz val="9"/>
            <color indexed="81"/>
            <rFont val="Tahoma"/>
            <family val="2"/>
          </rPr>
          <t xml:space="preserve">
PY18 EM&amp;V</t>
        </r>
      </text>
    </comment>
    <comment ref="Z6" authorId="0" shapeId="0" xr:uid="{00000000-0006-0000-0600-000002000000}">
      <text>
        <r>
          <rPr>
            <b/>
            <sz val="9"/>
            <color indexed="81"/>
            <rFont val="Tahoma"/>
            <family val="2"/>
          </rPr>
          <t>11 Step updates</t>
        </r>
      </text>
    </comment>
    <comment ref="G28" authorId="0" shapeId="0" xr:uid="{00000000-0006-0000-0600-00000300000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W28" authorId="0" shapeId="0" xr:uid="{00000000-0006-0000-0600-00000400000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X28" authorId="0" shapeId="0" xr:uid="{00000000-0006-0000-0600-00000500000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W30" authorId="0" shapeId="0" xr:uid="{00000000-0006-0000-0600-00000600000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X30" authorId="0" shapeId="0" xr:uid="{00000000-0006-0000-0600-00000700000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W31" authorId="0" shapeId="0" xr:uid="{00000000-0006-0000-0600-000008000000}">
      <text>
        <r>
          <rPr>
            <b/>
            <sz val="9"/>
            <color indexed="81"/>
            <rFont val="Tahoma"/>
            <family val="2"/>
          </rPr>
          <t xml:space="preserve">SF capacity for same measure *0.65, per Ameren guidance.
</t>
        </r>
      </text>
    </comment>
    <comment ref="X31" authorId="0" shapeId="0" xr:uid="{00000000-0006-0000-0600-000009000000}">
      <text>
        <r>
          <rPr>
            <b/>
            <sz val="9"/>
            <color indexed="81"/>
            <rFont val="Tahoma"/>
            <family val="2"/>
          </rPr>
          <t xml:space="preserve">SF capacity for same measure *0.65, per Ameren guidance.
</t>
        </r>
      </text>
    </comment>
    <comment ref="G32" authorId="0" shapeId="0" xr:uid="{00000000-0006-0000-0600-00000A00000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W32" authorId="0" shapeId="0" xr:uid="{00000000-0006-0000-0600-00000B00000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X32" authorId="0" shapeId="0" xr:uid="{00000000-0006-0000-0600-00000C00000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G33" authorId="0" shapeId="0" xr:uid="{00000000-0006-0000-0600-00000D000000}">
      <text>
        <r>
          <rPr>
            <b/>
            <sz val="9"/>
            <color indexed="81"/>
            <rFont val="Tahoma"/>
            <family val="2"/>
          </rPr>
          <t>MO TRM</t>
        </r>
        <r>
          <rPr>
            <sz val="9"/>
            <color indexed="81"/>
            <rFont val="Tahoma"/>
            <family val="2"/>
          </rPr>
          <t xml:space="preserve">
</t>
        </r>
      </text>
    </comment>
    <comment ref="W33" authorId="0" shapeId="0" xr:uid="{00000000-0006-0000-0600-00000E000000}">
      <text>
        <r>
          <rPr>
            <b/>
            <sz val="9"/>
            <color indexed="81"/>
            <rFont val="Tahoma"/>
            <family val="2"/>
          </rPr>
          <t>MO TRM</t>
        </r>
        <r>
          <rPr>
            <sz val="9"/>
            <color indexed="81"/>
            <rFont val="Tahoma"/>
            <family val="2"/>
          </rPr>
          <t xml:space="preserve">
</t>
        </r>
      </text>
    </comment>
    <comment ref="X33" authorId="0" shapeId="0" xr:uid="{00000000-0006-0000-0600-00000F000000}">
      <text>
        <r>
          <rPr>
            <b/>
            <sz val="9"/>
            <color indexed="81"/>
            <rFont val="Tahoma"/>
            <family val="2"/>
          </rPr>
          <t>MO TRM</t>
        </r>
        <r>
          <rPr>
            <sz val="9"/>
            <color indexed="81"/>
            <rFont val="Tahoma"/>
            <family val="2"/>
          </rPr>
          <t xml:space="preserve">
</t>
        </r>
      </text>
    </comment>
    <comment ref="G34" authorId="0" shapeId="0" xr:uid="{00000000-0006-0000-0600-000010000000}">
      <text>
        <r>
          <rPr>
            <b/>
            <sz val="9"/>
            <color indexed="81"/>
            <rFont val="Tahoma"/>
            <family val="2"/>
          </rPr>
          <t>MO TRM
Matches 2015 Heating and Cooling evaluation</t>
        </r>
      </text>
    </comment>
    <comment ref="W34" authorId="0" shapeId="0" xr:uid="{00000000-0006-0000-0600-000011000000}">
      <text>
        <r>
          <rPr>
            <b/>
            <sz val="9"/>
            <color indexed="81"/>
            <rFont val="Tahoma"/>
            <family val="2"/>
          </rPr>
          <t>MO TRM
Matches 2015 Heating and Cooling evaluation</t>
        </r>
      </text>
    </comment>
    <comment ref="X34" authorId="0" shapeId="0" xr:uid="{00000000-0006-0000-0600-000012000000}">
      <text>
        <r>
          <rPr>
            <b/>
            <sz val="9"/>
            <color indexed="81"/>
            <rFont val="Tahoma"/>
            <family val="2"/>
          </rPr>
          <t>MO TRM
Matches 2015 Heating and Cooling evaluation</t>
        </r>
      </text>
    </comment>
    <comment ref="G35" authorId="0" shapeId="0" xr:uid="{00000000-0006-0000-0600-000013000000}">
      <text>
        <r>
          <rPr>
            <b/>
            <sz val="9"/>
            <color indexed="81"/>
            <rFont val="Tahoma"/>
            <family val="2"/>
          </rPr>
          <t>MO TRM</t>
        </r>
        <r>
          <rPr>
            <sz val="9"/>
            <color indexed="81"/>
            <rFont val="Tahoma"/>
            <family val="2"/>
          </rPr>
          <t xml:space="preserve">
</t>
        </r>
      </text>
    </comment>
    <comment ref="W35" authorId="0" shapeId="0" xr:uid="{00000000-0006-0000-0600-000014000000}">
      <text>
        <r>
          <rPr>
            <b/>
            <sz val="9"/>
            <color indexed="81"/>
            <rFont val="Tahoma"/>
            <family val="2"/>
          </rPr>
          <t>MO TRM</t>
        </r>
        <r>
          <rPr>
            <sz val="9"/>
            <color indexed="81"/>
            <rFont val="Tahoma"/>
            <family val="2"/>
          </rPr>
          <t xml:space="preserve">
</t>
        </r>
      </text>
    </comment>
    <comment ref="X35" authorId="0" shapeId="0" xr:uid="{00000000-0006-0000-0600-000015000000}">
      <text>
        <r>
          <rPr>
            <b/>
            <sz val="9"/>
            <color indexed="81"/>
            <rFont val="Tahoma"/>
            <family val="2"/>
          </rPr>
          <t>MO TRM</t>
        </r>
        <r>
          <rPr>
            <sz val="9"/>
            <color indexed="81"/>
            <rFont val="Tahoma"/>
            <family val="2"/>
          </rPr>
          <t xml:space="preserve">
</t>
        </r>
      </text>
    </comment>
    <comment ref="G37" authorId="0" shapeId="0" xr:uid="{00000000-0006-0000-0600-000016000000}">
      <text>
        <r>
          <rPr>
            <b/>
            <sz val="9"/>
            <color indexed="81"/>
            <rFont val="Tahoma"/>
            <family val="2"/>
          </rPr>
          <t>MO TRM</t>
        </r>
        <r>
          <rPr>
            <sz val="9"/>
            <color indexed="81"/>
            <rFont val="Tahoma"/>
            <family val="2"/>
          </rPr>
          <t xml:space="preserve">
</t>
        </r>
      </text>
    </comment>
    <comment ref="W37" authorId="0" shapeId="0" xr:uid="{00000000-0006-0000-0600-000017000000}">
      <text>
        <r>
          <rPr>
            <b/>
            <sz val="9"/>
            <color indexed="81"/>
            <rFont val="Tahoma"/>
            <family val="2"/>
          </rPr>
          <t>MO TRM</t>
        </r>
        <r>
          <rPr>
            <sz val="9"/>
            <color indexed="81"/>
            <rFont val="Tahoma"/>
            <family val="2"/>
          </rPr>
          <t xml:space="preserve">
</t>
        </r>
      </text>
    </comment>
    <comment ref="X37" authorId="0" shapeId="0" xr:uid="{00000000-0006-0000-0600-000018000000}">
      <text>
        <r>
          <rPr>
            <b/>
            <sz val="9"/>
            <color indexed="81"/>
            <rFont val="Tahoma"/>
            <family val="2"/>
          </rPr>
          <t>MO TRM</t>
        </r>
        <r>
          <rPr>
            <sz val="9"/>
            <color indexed="81"/>
            <rFont val="Tahoma"/>
            <family val="2"/>
          </rPr>
          <t xml:space="preserve">
</t>
        </r>
      </text>
    </comment>
    <comment ref="G38" authorId="0" shapeId="0" xr:uid="{00000000-0006-0000-0600-000019000000}">
      <text>
        <r>
          <rPr>
            <b/>
            <sz val="9"/>
            <color indexed="81"/>
            <rFont val="Tahoma"/>
            <family val="2"/>
          </rPr>
          <t>MO TRM</t>
        </r>
        <r>
          <rPr>
            <sz val="9"/>
            <color indexed="81"/>
            <rFont val="Tahoma"/>
            <family val="2"/>
          </rPr>
          <t xml:space="preserve">
Matches 2015 Heating and Cooling evaluation
</t>
        </r>
      </text>
    </comment>
    <comment ref="W38" authorId="0" shapeId="0" xr:uid="{00000000-0006-0000-0600-00001A000000}">
      <text>
        <r>
          <rPr>
            <b/>
            <sz val="9"/>
            <color indexed="81"/>
            <rFont val="Tahoma"/>
            <family val="2"/>
          </rPr>
          <t>MO TRM</t>
        </r>
        <r>
          <rPr>
            <sz val="9"/>
            <color indexed="81"/>
            <rFont val="Tahoma"/>
            <family val="2"/>
          </rPr>
          <t xml:space="preserve">
Matches 2015 Heating and Cooling evaluation
</t>
        </r>
      </text>
    </comment>
    <comment ref="X38" authorId="0" shapeId="0" xr:uid="{00000000-0006-0000-0600-00001B000000}">
      <text>
        <r>
          <rPr>
            <b/>
            <sz val="9"/>
            <color indexed="81"/>
            <rFont val="Tahoma"/>
            <family val="2"/>
          </rPr>
          <t>MO TRM</t>
        </r>
        <r>
          <rPr>
            <sz val="9"/>
            <color indexed="81"/>
            <rFont val="Tahoma"/>
            <family val="2"/>
          </rPr>
          <t xml:space="preserve">
Matches 2015 Heating and Cooling evaluation
</t>
        </r>
      </text>
    </comment>
    <comment ref="G39" authorId="0" shapeId="0" xr:uid="{00000000-0006-0000-0600-00001C000000}">
      <text>
        <r>
          <rPr>
            <b/>
            <sz val="9"/>
            <color indexed="81"/>
            <rFont val="Tahoma"/>
            <family val="2"/>
          </rPr>
          <t>MO TRM
Matches 2015 Heating and Cooling evaluation</t>
        </r>
      </text>
    </comment>
    <comment ref="W39" authorId="0" shapeId="0" xr:uid="{00000000-0006-0000-0600-00001D000000}">
      <text>
        <r>
          <rPr>
            <b/>
            <sz val="9"/>
            <color indexed="81"/>
            <rFont val="Tahoma"/>
            <family val="2"/>
          </rPr>
          <t>MO TRM
Matches 2015 Heating and Cooling evaluation</t>
        </r>
      </text>
    </comment>
    <comment ref="X39" authorId="0" shapeId="0" xr:uid="{00000000-0006-0000-0600-00001E000000}">
      <text>
        <r>
          <rPr>
            <b/>
            <sz val="9"/>
            <color indexed="81"/>
            <rFont val="Tahoma"/>
            <family val="2"/>
          </rPr>
          <t>MO TRM
Matches 2015 Heating and Cooling evaluation</t>
        </r>
      </text>
    </comment>
    <comment ref="G40" authorId="0" shapeId="0" xr:uid="{00000000-0006-0000-0600-00001F000000}">
      <text>
        <r>
          <rPr>
            <b/>
            <sz val="9"/>
            <color indexed="81"/>
            <rFont val="Tahoma"/>
            <family val="2"/>
          </rPr>
          <t>MO TRM</t>
        </r>
        <r>
          <rPr>
            <sz val="9"/>
            <color indexed="81"/>
            <rFont val="Tahoma"/>
            <family val="2"/>
          </rPr>
          <t xml:space="preserve">
Matches 2015 Heating and Cooling evaluation</t>
        </r>
      </text>
    </comment>
    <comment ref="W40" authorId="0" shapeId="0" xr:uid="{00000000-0006-0000-0600-000020000000}">
      <text>
        <r>
          <rPr>
            <b/>
            <sz val="9"/>
            <color indexed="81"/>
            <rFont val="Tahoma"/>
            <family val="2"/>
          </rPr>
          <t>MO TRM</t>
        </r>
        <r>
          <rPr>
            <sz val="9"/>
            <color indexed="81"/>
            <rFont val="Tahoma"/>
            <family val="2"/>
          </rPr>
          <t xml:space="preserve">
Matches 2015 Heating and Cooling evaluation</t>
        </r>
      </text>
    </comment>
    <comment ref="X40" authorId="0" shapeId="0" xr:uid="{00000000-0006-0000-0600-000021000000}">
      <text>
        <r>
          <rPr>
            <b/>
            <sz val="9"/>
            <color indexed="81"/>
            <rFont val="Tahoma"/>
            <family val="2"/>
          </rPr>
          <t>MO TRM</t>
        </r>
        <r>
          <rPr>
            <sz val="9"/>
            <color indexed="81"/>
            <rFont val="Tahoma"/>
            <family val="2"/>
          </rPr>
          <t xml:space="preserve">
Matches 2015 Heating and Cooling evaluation</t>
        </r>
      </text>
    </comment>
    <comment ref="Y58" authorId="0" shapeId="0" xr:uid="{00000000-0006-0000-0600-000022000000}">
      <text>
        <r>
          <rPr>
            <b/>
            <sz val="9"/>
            <color indexed="81"/>
            <rFont val="Tahoma"/>
            <family val="2"/>
          </rPr>
          <t>changed to a per square foot value rather than per average size home</t>
        </r>
      </text>
    </comment>
    <comment ref="Y85" authorId="0" shapeId="0" xr:uid="{00000000-0006-0000-0600-000023000000}">
      <text>
        <r>
          <rPr>
            <b/>
            <sz val="9"/>
            <color indexed="81"/>
            <rFont val="Tahoma"/>
            <family val="2"/>
          </rPr>
          <t xml:space="preserve">updated to per sq. ft. basis
</t>
        </r>
      </text>
    </comment>
    <comment ref="V103" authorId="0" shapeId="0" xr:uid="{00000000-0006-0000-0600-000024000000}">
      <text>
        <r>
          <rPr>
            <b/>
            <sz val="9"/>
            <color indexed="81"/>
            <rFont val="Tahoma"/>
            <family val="2"/>
          </rPr>
          <t xml:space="preserve">This table was originallly included in Volume 3 of the Ameren Missouri TRM and was added to the deemed savings tables during implementation. </t>
        </r>
      </text>
    </comment>
    <comment ref="Y115" authorId="0" shapeId="0" xr:uid="{00000000-0006-0000-0600-000025000000}">
      <text>
        <r>
          <rPr>
            <b/>
            <sz val="9"/>
            <color indexed="81"/>
            <rFont val="Tahoma"/>
            <family val="2"/>
          </rPr>
          <t>updated to per sq. ft. basis</t>
        </r>
        <r>
          <rPr>
            <sz val="9"/>
            <color indexed="81"/>
            <rFont val="Tahoma"/>
            <family val="2"/>
          </rPr>
          <t xml:space="preserve">
</t>
        </r>
      </text>
    </comment>
    <comment ref="Y128" authorId="0" shapeId="0" xr:uid="{00000000-0006-0000-0600-000026000000}">
      <text>
        <r>
          <rPr>
            <b/>
            <sz val="9"/>
            <color indexed="81"/>
            <rFont val="Tahoma"/>
            <family val="2"/>
          </rPr>
          <t>changed to a per square foot value rather than per average size home</t>
        </r>
      </text>
    </comment>
    <comment ref="Y260" authorId="0" shapeId="0" xr:uid="{00000000-0006-0000-0600-000027000000}">
      <text>
        <r>
          <rPr>
            <b/>
            <sz val="9"/>
            <color indexed="81"/>
            <rFont val="Tahoma"/>
            <family val="2"/>
          </rPr>
          <t>updated to per sq ft. basis</t>
        </r>
        <r>
          <rPr>
            <sz val="9"/>
            <color indexed="81"/>
            <rFont val="Tahoma"/>
            <family val="2"/>
          </rPr>
          <t xml:space="preserve">
</t>
        </r>
      </text>
    </comment>
    <comment ref="Y417" authorId="0" shapeId="0" xr:uid="{00000000-0006-0000-0600-000028000000}">
      <text>
        <r>
          <rPr>
            <b/>
            <sz val="9"/>
            <color indexed="81"/>
            <rFont val="Tahoma"/>
            <family val="2"/>
          </rPr>
          <t>based upon a per sq. ft basis</t>
        </r>
        <r>
          <rPr>
            <sz val="9"/>
            <color indexed="81"/>
            <rFont val="Tahoma"/>
            <family val="2"/>
          </rPr>
          <t xml:space="preserve">
</t>
        </r>
      </text>
    </comment>
    <comment ref="Y451" authorId="0" shapeId="0" xr:uid="{00000000-0006-0000-0600-000029000000}">
      <text>
        <r>
          <rPr>
            <b/>
            <sz val="9"/>
            <color indexed="81"/>
            <rFont val="Tahoma"/>
            <family val="2"/>
          </rPr>
          <t>changed to a per square foot value rather than per average size home</t>
        </r>
      </text>
    </comment>
    <comment ref="Y472" authorId="0" shapeId="0" xr:uid="{00000000-0006-0000-0600-00002A000000}">
      <text>
        <r>
          <rPr>
            <b/>
            <sz val="9"/>
            <color indexed="81"/>
            <rFont val="Tahoma"/>
            <family val="2"/>
          </rPr>
          <t>updated to per square ft. basis</t>
        </r>
        <r>
          <rPr>
            <sz val="9"/>
            <color indexed="81"/>
            <rFont val="Tahoma"/>
            <family val="2"/>
          </rPr>
          <t xml:space="preserve">
</t>
        </r>
      </text>
    </comment>
    <comment ref="Y487" authorId="0" shapeId="0" xr:uid="{00000000-0006-0000-0600-00002B000000}">
      <text>
        <r>
          <rPr>
            <b/>
            <sz val="9"/>
            <color indexed="81"/>
            <rFont val="Tahoma"/>
            <family val="2"/>
          </rPr>
          <t>updated to per square ft. basis</t>
        </r>
        <r>
          <rPr>
            <sz val="9"/>
            <color indexed="81"/>
            <rFont val="Tahoma"/>
            <family val="2"/>
          </rPr>
          <t xml:space="preserve">
</t>
        </r>
      </text>
    </comment>
    <comment ref="X505" authorId="0" shapeId="0" xr:uid="{00000000-0006-0000-0600-00002C000000}">
      <text>
        <r>
          <rPr>
            <b/>
            <sz val="9"/>
            <color indexed="81"/>
            <rFont val="Tahoma"/>
            <family val="2"/>
          </rPr>
          <t>The %AC and % Heating values were not used in the prior ADM calcs but applying them at 100% obtains the same value they reached.</t>
        </r>
        <r>
          <rPr>
            <sz val="9"/>
            <color indexed="81"/>
            <rFont val="Tahoma"/>
            <family val="2"/>
          </rPr>
          <t xml:space="preserve">
</t>
        </r>
      </text>
    </comment>
    <comment ref="X515" authorId="0" shapeId="0" xr:uid="{00000000-0006-0000-0600-00002D000000}">
      <text>
        <r>
          <rPr>
            <b/>
            <sz val="9"/>
            <color indexed="81"/>
            <rFont val="Tahoma"/>
            <family val="2"/>
          </rPr>
          <t>In PY2017 this was included in the ISR rate.</t>
        </r>
        <r>
          <rPr>
            <sz val="9"/>
            <color indexed="81"/>
            <rFont val="Tahoma"/>
            <family val="2"/>
          </rPr>
          <t xml:space="preserve">
</t>
        </r>
      </text>
    </comment>
    <comment ref="Y515" authorId="0" shapeId="0" xr:uid="{00000000-0006-0000-0600-00002E000000}">
      <text>
        <r>
          <rPr>
            <b/>
            <sz val="9"/>
            <color indexed="81"/>
            <rFont val="Tahoma"/>
            <family val="2"/>
          </rPr>
          <t xml:space="preserve"> included in the ISR rate.</t>
        </r>
        <r>
          <rPr>
            <sz val="9"/>
            <color indexed="81"/>
            <rFont val="Tahoma"/>
            <family val="2"/>
          </rPr>
          <t xml:space="preserve">
</t>
        </r>
      </text>
    </comment>
    <comment ref="Y558" authorId="0" shapeId="0" xr:uid="{00000000-0006-0000-0600-00002F000000}">
      <text>
        <r>
          <rPr>
            <b/>
            <sz val="9"/>
            <color indexed="81"/>
            <rFont val="Tahoma"/>
            <family val="2"/>
          </rPr>
          <t>updated to per foot basis</t>
        </r>
        <r>
          <rPr>
            <sz val="9"/>
            <color indexed="81"/>
            <rFont val="Tahoma"/>
            <family val="2"/>
          </rPr>
          <t xml:space="preserve">
</t>
        </r>
      </text>
    </comment>
    <comment ref="Y597" authorId="0" shapeId="0" xr:uid="{00000000-0006-0000-0600-000030000000}">
      <text>
        <r>
          <rPr>
            <b/>
            <sz val="9"/>
            <color indexed="81"/>
            <rFont val="Tahoma"/>
            <family val="2"/>
          </rPr>
          <t>updated to per square foot basis</t>
        </r>
      </text>
    </comment>
    <comment ref="I603" authorId="0" shapeId="0" xr:uid="{00000000-0006-0000-0600-000031000000}">
      <text>
        <r>
          <rPr>
            <b/>
            <sz val="9"/>
            <color indexed="81"/>
            <rFont val="Tahoma"/>
            <family val="2"/>
          </rPr>
          <t xml:space="preserve">Opinion Dynamics:
</t>
        </r>
        <r>
          <rPr>
            <sz val="9"/>
            <color indexed="81"/>
            <rFont val="Tahoma"/>
            <family val="2"/>
          </rPr>
          <t xml:space="preserve">Added ISR (100%) in December 2020 update
</t>
        </r>
      </text>
    </comment>
    <comment ref="Y641" authorId="0" shapeId="0" xr:uid="{00000000-0006-0000-0600-000032000000}">
      <text>
        <r>
          <rPr>
            <b/>
            <sz val="9"/>
            <color indexed="81"/>
            <rFont val="Tahoma"/>
            <family val="2"/>
          </rPr>
          <t>This value is not new just including it in the input table (previously only shown in the equation)</t>
        </r>
      </text>
    </comment>
    <comment ref="Y650" authorId="0" shapeId="0" xr:uid="{00000000-0006-0000-0600-000033000000}">
      <text>
        <r>
          <rPr>
            <b/>
            <sz val="9"/>
            <color indexed="81"/>
            <rFont val="Tahoma"/>
            <family val="2"/>
          </rPr>
          <t>This value is not new just including it in the input table (previously only shown in the equation)</t>
        </r>
      </text>
    </comment>
    <comment ref="Y653" authorId="0" shapeId="0" xr:uid="{00000000-0006-0000-0600-000034000000}">
      <text>
        <r>
          <rPr>
            <b/>
            <sz val="9"/>
            <color indexed="81"/>
            <rFont val="Tahoma"/>
            <family val="2"/>
          </rPr>
          <t>This value is not new just including it in the input table (previously only shown in the equation)</t>
        </r>
      </text>
    </comment>
    <comment ref="Y657" authorId="0" shapeId="0" xr:uid="{00000000-0006-0000-0600-000035000000}">
      <text>
        <r>
          <rPr>
            <b/>
            <sz val="9"/>
            <color indexed="81"/>
            <rFont val="Tahoma"/>
            <family val="2"/>
          </rPr>
          <t>This value is not new just including it in the input table (previously only shown in the equation)</t>
        </r>
      </text>
    </comment>
    <comment ref="M660" authorId="0" shapeId="0" xr:uid="{00000000-0006-0000-0600-000036000000}">
      <text>
        <r>
          <rPr>
            <b/>
            <sz val="9"/>
            <color indexed="81"/>
            <rFont val="Tahoma"/>
            <family val="2"/>
          </rPr>
          <t>Same table is in HVAC and MFMR deemed tables</t>
        </r>
        <r>
          <rPr>
            <sz val="9"/>
            <color indexed="81"/>
            <rFont val="Tahoma"/>
            <family val="2"/>
          </rPr>
          <t xml:space="preserve">
</t>
        </r>
      </text>
    </comment>
    <comment ref="I661" authorId="0" shapeId="0" xr:uid="{00000000-0006-0000-0600-00003700000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I662" authorId="0" shapeId="0" xr:uid="{00000000-0006-0000-0600-00003800000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O662" authorId="0" shapeId="0" xr:uid="{00000000-0006-0000-0600-00003900000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I663" authorId="0" shapeId="0" xr:uid="{00000000-0006-0000-0600-00003A00000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Y671" authorId="0" shapeId="0" xr:uid="{00000000-0006-0000-0600-00003B000000}">
      <text>
        <r>
          <rPr>
            <b/>
            <sz val="9"/>
            <color indexed="81"/>
            <rFont val="Tahoma"/>
            <family val="2"/>
          </rPr>
          <t>Formula updated</t>
        </r>
        <r>
          <rPr>
            <sz val="9"/>
            <color indexed="81"/>
            <rFont val="Tahoma"/>
            <family val="2"/>
          </rPr>
          <t xml:space="preserve">
</t>
        </r>
      </text>
    </comment>
    <comment ref="C702" authorId="0" shapeId="0" xr:uid="{00000000-0006-0000-0600-00003C000000}">
      <text>
        <r>
          <rPr>
            <b/>
            <sz val="9"/>
            <color indexed="81"/>
            <rFont val="Tahoma"/>
            <family val="2"/>
          </rPr>
          <t>In PY19 TRM update this was 403300 (Same as prior measure)</t>
        </r>
      </text>
    </comment>
    <comment ref="X726" authorId="0" shapeId="0" xr:uid="{00000000-0006-0000-0600-00003D000000}">
      <text>
        <r>
          <rPr>
            <b/>
            <sz val="9"/>
            <color indexed="81"/>
            <rFont val="Tahoma"/>
            <family val="2"/>
          </rPr>
          <t>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t>
        </r>
      </text>
    </comment>
    <comment ref="D777" authorId="1" shapeId="0" xr:uid="{A8B9F2C9-22EC-4BF2-B86B-7F17F1CAC0CD}">
      <text>
        <t>[Threaded comment]
Your version of Excel allows you to read this threaded comment; however, any edits to it will get removed if the file is opened in a newer version of Excel. Learn more: https://go.microsoft.com/fwlink/?linkid=870924
Comment:
    Added kW Demand formula for consistency.</t>
      </text>
    </comment>
    <comment ref="E781" authorId="0" shapeId="0" xr:uid="{00000000-0006-0000-0600-00003E000000}">
      <text>
        <r>
          <rPr>
            <b/>
            <sz val="9"/>
            <color indexed="81"/>
            <rFont val="Tahoma"/>
            <family val="2"/>
          </rPr>
          <t>Author:</t>
        </r>
        <r>
          <rPr>
            <sz val="9"/>
            <color indexed="81"/>
            <rFont val="Tahoma"/>
            <family val="2"/>
          </rPr>
          <t xml:space="preserve">
changed "showerhead' to "aerator"</t>
        </r>
      </text>
    </comment>
    <comment ref="E783" authorId="0" shapeId="0" xr:uid="{00000000-0006-0000-0600-00003F000000}">
      <text>
        <r>
          <rPr>
            <b/>
            <sz val="9"/>
            <color indexed="81"/>
            <rFont val="Tahoma"/>
            <family val="2"/>
          </rPr>
          <t>Author:</t>
        </r>
        <r>
          <rPr>
            <sz val="9"/>
            <color indexed="81"/>
            <rFont val="Tahoma"/>
            <family val="2"/>
          </rPr>
          <t xml:space="preserve">
changed "showerhead' to "aerator"</t>
        </r>
      </text>
    </comment>
    <comment ref="W786" authorId="0" shapeId="0" xr:uid="{00000000-0006-0000-0600-000040000000}">
      <text>
        <r>
          <rPr>
            <b/>
            <sz val="9"/>
            <color indexed="81"/>
            <rFont val="Tahoma"/>
            <family val="2"/>
          </rPr>
          <t>Illinois Statewide Technical Reference Manual for Energy Efficiency Version 5.0. pp. 175. 2016. Available online: http://ilsagfiles.org/SAG_files/Technical_Reference_Manual/Version_5/Final/IL-TRM_Version_5.0_dated_February-11-2016_Final_Compiled_Volumes_1-4.pdf</t>
        </r>
      </text>
    </comment>
    <comment ref="X786" authorId="0" shapeId="0" xr:uid="{00000000-0006-0000-0600-000041000000}">
      <text>
        <r>
          <rPr>
            <b/>
            <sz val="9"/>
            <color indexed="81"/>
            <rFont val="Tahoma"/>
            <family val="2"/>
          </rPr>
          <t xml:space="preserve">No Drain factor included in PY2017 EM&amp;V results
</t>
        </r>
      </text>
    </comment>
    <comment ref="W788" authorId="0" shapeId="0" xr:uid="{00000000-0006-0000-0600-000042000000}">
      <text>
        <r>
          <rPr>
            <b/>
            <sz val="9"/>
            <color indexed="81"/>
            <rFont val="Tahoma"/>
            <family val="2"/>
          </rPr>
          <t xml:space="preserve">PY2016 Program Data, per Community Saves 2016 EM&amp;V report. </t>
        </r>
        <r>
          <rPr>
            <sz val="9"/>
            <color indexed="81"/>
            <rFont val="Tahoma"/>
            <family val="2"/>
          </rPr>
          <t xml:space="preserve">
</t>
        </r>
      </text>
    </comment>
    <comment ref="W796" authorId="0" shapeId="0" xr:uid="{00000000-0006-0000-0600-000043000000}">
      <text>
        <r>
          <rPr>
            <b/>
            <sz val="9"/>
            <color indexed="81"/>
            <rFont val="Tahoma"/>
            <family val="2"/>
          </rPr>
          <t>These original values appear to be flipped - would assume DI would be 100%</t>
        </r>
      </text>
    </comment>
    <comment ref="W797" authorId="0" shapeId="0" xr:uid="{00000000-0006-0000-0600-000044000000}">
      <text>
        <r>
          <rPr>
            <b/>
            <sz val="9"/>
            <color indexed="81"/>
            <rFont val="Tahoma"/>
            <family val="2"/>
          </rPr>
          <t>Missouri TRM</t>
        </r>
        <r>
          <rPr>
            <sz val="9"/>
            <color indexed="81"/>
            <rFont val="Tahoma"/>
            <family val="2"/>
          </rPr>
          <t xml:space="preserve">
</t>
        </r>
      </text>
    </comment>
    <comment ref="D816" authorId="2" shapeId="0" xr:uid="{02B05CAF-95AE-468D-A6F1-2ED4D3EEA314}">
      <text>
        <t>[Threaded comment]
Your version of Excel allows you to read this threaded comment; however, any edits to it will get removed if the file is opened in a newer version of Excel. Learn more: https://go.microsoft.com/fwlink/?linkid=870924
Comment:
    Added kW Demand formula for consistency.</t>
      </text>
    </comment>
    <comment ref="E820" authorId="0" shapeId="0" xr:uid="{00000000-0006-0000-0600-000045000000}">
      <text>
        <r>
          <rPr>
            <b/>
            <sz val="9"/>
            <color indexed="81"/>
            <rFont val="Tahoma"/>
            <family val="2"/>
          </rPr>
          <t>Author:</t>
        </r>
        <r>
          <rPr>
            <sz val="9"/>
            <color indexed="81"/>
            <rFont val="Tahoma"/>
            <family val="2"/>
          </rPr>
          <t xml:space="preserve">
changed "showerhead' to "aerator"</t>
        </r>
      </text>
    </comment>
    <comment ref="E822" authorId="0" shapeId="0" xr:uid="{00000000-0006-0000-0600-000046000000}">
      <text>
        <r>
          <rPr>
            <b/>
            <sz val="9"/>
            <color indexed="81"/>
            <rFont val="Tahoma"/>
            <family val="2"/>
          </rPr>
          <t>Author:</t>
        </r>
        <r>
          <rPr>
            <sz val="9"/>
            <color indexed="81"/>
            <rFont val="Tahoma"/>
            <family val="2"/>
          </rPr>
          <t xml:space="preserve">
changed "showerhead' to "aerator"</t>
        </r>
      </text>
    </comment>
    <comment ref="D856" authorId="3" shapeId="0" xr:uid="{9DA6E058-D35F-4402-B1E8-A09D3C3D54F6}">
      <text>
        <t>[Threaded comment]
Your version of Excel allows you to read this threaded comment; however, any edits to it will get removed if the file is opened in a newer version of Excel. Learn more: https://go.microsoft.com/fwlink/?linkid=870924
Comment:
    Added kW Demand formula for consistency.</t>
      </text>
    </comment>
    <comment ref="V860" authorId="0" shapeId="0" xr:uid="{00000000-0006-0000-0600-000047000000}">
      <text>
        <r>
          <rPr>
            <b/>
            <sz val="9"/>
            <color indexed="81"/>
            <rFont val="Tahoma"/>
            <family val="2"/>
          </rPr>
          <t>Illinois Statewide Technical Reference Manual for Energy Efficiency Version 5.0. pp. 184. 2016. Available Online: http://ilsagfiles.org/SAG_files/Technical_Reference
_Manual/Version_5/Final/IL-TRM_Version_5.0_dated_February-11-2016_Final_Compiled_Volumes_1-4.pdf</t>
        </r>
      </text>
    </comment>
    <comment ref="X860" authorId="0" shapeId="0" xr:uid="{00000000-0006-0000-0600-000048000000}">
      <text>
        <r>
          <rPr>
            <b/>
            <sz val="9"/>
            <color indexed="81"/>
            <rFont val="Tahoma"/>
            <family val="2"/>
          </rPr>
          <t>PY2017  Community Savers Site Visit Data and Ride Along Data (ADM only provided the delta GPM, not the base and efficient values)</t>
        </r>
        <r>
          <rPr>
            <sz val="9"/>
            <color indexed="81"/>
            <rFont val="Tahoma"/>
            <family val="2"/>
          </rPr>
          <t xml:space="preserve">
</t>
        </r>
      </text>
    </comment>
    <comment ref="G862" authorId="0" shapeId="0" xr:uid="{00000000-0006-0000-0600-000049000000}">
      <text>
        <r>
          <rPr>
            <b/>
            <sz val="9"/>
            <color indexed="81"/>
            <rFont val="Tahoma"/>
            <family val="2"/>
          </rPr>
          <t>Author:</t>
        </r>
        <r>
          <rPr>
            <sz val="9"/>
            <color indexed="81"/>
            <rFont val="Tahoma"/>
            <family val="2"/>
          </rPr>
          <t xml:space="preserve">
Showerhead pivot tab cell E428</t>
        </r>
      </text>
    </comment>
    <comment ref="V862" authorId="0" shapeId="0" xr:uid="{00000000-0006-0000-0600-00004A000000}">
      <text>
        <r>
          <rPr>
            <b/>
            <sz val="9"/>
            <color indexed="81"/>
            <rFont val="Tahoma"/>
            <family val="2"/>
          </rPr>
          <t>PY2016 Program Data, per Community Saves 2016 EM&amp;V report. </t>
        </r>
        <r>
          <rPr>
            <sz val="9"/>
            <color indexed="81"/>
            <rFont val="Tahoma"/>
            <family val="2"/>
          </rPr>
          <t xml:space="preserve">
</t>
        </r>
      </text>
    </comment>
    <comment ref="X862" authorId="0" shapeId="0" xr:uid="{00000000-0006-0000-0600-00004B000000}">
      <text>
        <r>
          <rPr>
            <b/>
            <sz val="9"/>
            <color indexed="81"/>
            <rFont val="Tahoma"/>
            <family val="2"/>
          </rPr>
          <t>PY2017  Community Savers Site Visit Data and Ride Along Data (ADM only provided the delta GPM, not the base and efficient values)</t>
        </r>
      </text>
    </comment>
    <comment ref="G864" authorId="0" shapeId="0" xr:uid="{00000000-0006-0000-0600-00004D000000}">
      <text>
        <r>
          <rPr>
            <b/>
            <sz val="9"/>
            <color indexed="81"/>
            <rFont val="Tahoma"/>
            <family val="2"/>
          </rPr>
          <t>Author:</t>
        </r>
        <r>
          <rPr>
            <sz val="9"/>
            <color indexed="81"/>
            <rFont val="Tahoma"/>
            <family val="2"/>
          </rPr>
          <t xml:space="preserve">
Showerhead pivot tab cell E428</t>
        </r>
      </text>
    </comment>
    <comment ref="W865" authorId="0" shapeId="0" xr:uid="{00000000-0006-0000-0600-00004F000000}">
      <text>
        <r>
          <rPr>
            <b/>
            <sz val="9"/>
            <color indexed="81"/>
            <rFont val="Tahoma"/>
            <family val="2"/>
          </rPr>
          <t>Missouri TRM</t>
        </r>
      </text>
    </comment>
    <comment ref="W869" authorId="0" shapeId="0" xr:uid="{00000000-0006-0000-0600-000050000000}">
      <text>
        <r>
          <rPr>
            <b/>
            <sz val="9"/>
            <color indexed="81"/>
            <rFont val="Tahoma"/>
            <family val="2"/>
          </rPr>
          <t>Ameren Missouri Efficient Products Impact and Process Evaluation: Planning Year 2015, provided by Cadmus.</t>
        </r>
        <r>
          <rPr>
            <sz val="9"/>
            <color indexed="81"/>
            <rFont val="Tahoma"/>
            <family val="2"/>
          </rPr>
          <t xml:space="preserve">
</t>
        </r>
      </text>
    </comment>
    <comment ref="G875" authorId="4" shapeId="0" xr:uid="{55FFAAF9-1E98-4856-94E0-38898E2F4890}">
      <text>
        <t>[Threaded comment]
Your version of Excel allows you to read this threaded comment; however, any edits to it will get removed if the file is opened in a newer version of Excel. Learn more: https://go.microsoft.com/fwlink/?linkid=870924
Comment:
    Small Typo found that used 3,413 instead of 3,412</t>
      </text>
    </comment>
    <comment ref="Y882" authorId="0" shapeId="0" xr:uid="{00000000-0006-0000-0600-000051000000}">
      <text>
        <r>
          <rPr>
            <b/>
            <sz val="9"/>
            <color indexed="81"/>
            <rFont val="Tahoma"/>
            <family val="2"/>
          </rPr>
          <t>PY19 Actual</t>
        </r>
        <r>
          <rPr>
            <sz val="9"/>
            <color indexed="81"/>
            <rFont val="Tahoma"/>
            <family val="2"/>
          </rPr>
          <t xml:space="preserve">
</t>
        </r>
      </text>
    </comment>
    <comment ref="Y883" authorId="0" shapeId="0" xr:uid="{00000000-0006-0000-0600-000052000000}">
      <text>
        <r>
          <rPr>
            <b/>
            <sz val="9"/>
            <color indexed="81"/>
            <rFont val="Tahoma"/>
            <family val="2"/>
          </rPr>
          <t>added handheld showerhead option</t>
        </r>
      </text>
    </comment>
    <comment ref="Y884" authorId="0" shapeId="0" xr:uid="{00000000-0006-0000-0600-000053000000}">
      <text>
        <r>
          <rPr>
            <b/>
            <sz val="9"/>
            <color indexed="81"/>
            <rFont val="Tahoma"/>
            <family val="2"/>
          </rPr>
          <t>combination of $7 from IL TRM and difference in actual DI costs</t>
        </r>
        <r>
          <rPr>
            <sz val="9"/>
            <color indexed="81"/>
            <rFont val="Tahoma"/>
            <family val="2"/>
          </rPr>
          <t xml:space="preserve">
</t>
        </r>
      </text>
    </comment>
    <comment ref="W903" authorId="0" shapeId="0" xr:uid="{00000000-0006-0000-0600-000054000000}">
      <text>
        <r>
          <rPr>
            <b/>
            <sz val="9"/>
            <color indexed="81"/>
            <rFont val="Tahoma"/>
            <family val="2"/>
          </rPr>
          <t>MO TRM - Assumes 125°F water leaving the hot water tank and average basement temperature of 65°F.
Cited in Ameren Missouri Low Income and Process Evaluation: program Year 2015. p.24</t>
        </r>
      </text>
    </comment>
    <comment ref="X994" authorId="0" shapeId="0" xr:uid="{00000000-0006-0000-0600-000055000000}">
      <text>
        <r>
          <rPr>
            <b/>
            <sz val="9"/>
            <color indexed="81"/>
            <rFont val="Tahoma"/>
            <family val="2"/>
          </rPr>
          <t>MO TRM</t>
        </r>
      </text>
    </comment>
    <comment ref="X996" authorId="0" shapeId="0" xr:uid="{00000000-0006-0000-0600-000056000000}">
      <text>
        <r>
          <rPr>
            <b/>
            <sz val="9"/>
            <color indexed="81"/>
            <rFont val="Tahoma"/>
            <family val="2"/>
          </rPr>
          <t>no adjustment as these did not align in same manner with ADM formula</t>
        </r>
        <r>
          <rPr>
            <sz val="9"/>
            <color indexed="81"/>
            <rFont val="Tahoma"/>
            <family val="2"/>
          </rPr>
          <t xml:space="preserve">
</t>
        </r>
      </text>
    </comment>
    <comment ref="Y996" authorId="0" shapeId="0" xr:uid="{00000000-0006-0000-0600-000057000000}">
      <text>
        <r>
          <rPr>
            <b/>
            <sz val="9"/>
            <color indexed="81"/>
            <rFont val="Tahoma"/>
            <family val="2"/>
          </rPr>
          <t>no adjustment as these did not align in same manner with ADM formula</t>
        </r>
        <r>
          <rPr>
            <sz val="9"/>
            <color indexed="81"/>
            <rFont val="Tahoma"/>
            <family val="2"/>
          </rPr>
          <t xml:space="preserve">
</t>
        </r>
      </text>
    </comment>
    <comment ref="D1012" authorId="5" shapeId="0" xr:uid="{FCC87098-EB3B-4058-8A48-26134D35F49C}">
      <text>
        <t>[Threaded comment]
Your version of Excel allows you to read this threaded comment; however, any edits to it will get removed if the file is opened in a newer version of Excel. Learn more: https://go.microsoft.com/fwlink/?linkid=870924
Comment:
    Added kW Demand formula for consistency.</t>
      </text>
    </comment>
    <comment ref="D1074" authorId="6" shapeId="0" xr:uid="{7202F212-DE41-4632-A930-DA1F7256FEFA}">
      <text>
        <t>[Threaded comment]
Your version of Excel allows you to read this threaded comment; however, any edits to it will get removed if the file is opened in a newer version of Excel. Learn more: https://go.microsoft.com/fwlink/?linkid=870924
Comment:
    Added kW Demand formula for consistency.</t>
      </text>
    </comment>
    <comment ref="W1167" authorId="0" shapeId="0" xr:uid="{00000000-0006-0000-0600-000058000000}">
      <text>
        <r>
          <rPr>
            <b/>
            <sz val="9"/>
            <color indexed="81"/>
            <rFont val="Tahoma"/>
            <family val="2"/>
          </rPr>
          <t xml:space="preserve">Bulb-type and lumen look-up in Energy Star database
</t>
        </r>
      </text>
    </comment>
    <comment ref="W1169" authorId="0" shapeId="0" xr:uid="{00000000-0006-0000-0600-000059000000}">
      <text>
        <r>
          <rPr>
            <b/>
            <sz val="9"/>
            <color indexed="81"/>
            <rFont val="Tahoma"/>
            <family val="2"/>
          </rPr>
          <t xml:space="preserve">Matched to nearest EE wattage in TRM wattage table
</t>
        </r>
        <r>
          <rPr>
            <sz val="9"/>
            <color indexed="81"/>
            <rFont val="Tahoma"/>
            <family val="2"/>
          </rPr>
          <t xml:space="preserve">
</t>
        </r>
      </text>
    </comment>
    <comment ref="W1170" authorId="0" shapeId="0" xr:uid="{00000000-0006-0000-0600-00005A000000}">
      <text>
        <r>
          <rPr>
            <b/>
            <sz val="9"/>
            <color indexed="81"/>
            <rFont val="Tahoma"/>
            <family val="2"/>
          </rPr>
          <t>Bulb-type and lumen look-up in Energy Star database</t>
        </r>
      </text>
    </comment>
    <comment ref="W1173" authorId="0" shapeId="0" xr:uid="{00000000-0006-0000-0600-00005B000000}">
      <text>
        <r>
          <rPr>
            <b/>
            <sz val="9"/>
            <color indexed="81"/>
            <rFont val="Tahoma"/>
            <family val="2"/>
          </rPr>
          <t xml:space="preserve">Bulb-type and lumen look-up in Energy Star database
</t>
        </r>
        <r>
          <rPr>
            <sz val="9"/>
            <color indexed="81"/>
            <rFont val="Tahoma"/>
            <family val="2"/>
          </rPr>
          <t xml:space="preserve">
</t>
        </r>
      </text>
    </comment>
    <comment ref="W1174" authorId="0" shapeId="0" xr:uid="{00000000-0006-0000-0600-00005C000000}">
      <text>
        <r>
          <rPr>
            <b/>
            <sz val="9"/>
            <color indexed="81"/>
            <rFont val="Tahoma"/>
            <family val="2"/>
          </rPr>
          <t>Bulb-type and lumen look-up in Energy Star database</t>
        </r>
      </text>
    </comment>
    <comment ref="W1178" authorId="0" shapeId="0" xr:uid="{00000000-0006-0000-0600-00005D000000}">
      <text>
        <r>
          <rPr>
            <b/>
            <sz val="9"/>
            <color indexed="81"/>
            <rFont val="Tahoma"/>
            <family val="2"/>
          </rPr>
          <t xml:space="preserve">Bulb-type and lumen look-up in Energy Star database
</t>
        </r>
        <r>
          <rPr>
            <sz val="9"/>
            <color indexed="81"/>
            <rFont val="Tahoma"/>
            <family val="2"/>
          </rPr>
          <t xml:space="preserve">
</t>
        </r>
      </text>
    </comment>
    <comment ref="W1192" authorId="0" shapeId="0" xr:uid="{00000000-0006-0000-0600-00005E000000}">
      <text>
        <r>
          <rPr>
            <b/>
            <sz val="9"/>
            <color indexed="81"/>
            <rFont val="Tahoma"/>
            <family val="2"/>
          </rPr>
          <t>Program Wattage</t>
        </r>
        <r>
          <rPr>
            <sz val="9"/>
            <color indexed="81"/>
            <rFont val="Tahoma"/>
            <family val="2"/>
          </rPr>
          <t xml:space="preserve">
</t>
        </r>
      </text>
    </comment>
    <comment ref="W1193" authorId="0" shapeId="0" xr:uid="{00000000-0006-0000-0600-00005F000000}">
      <text>
        <r>
          <rPr>
            <b/>
            <sz val="9"/>
            <color indexed="81"/>
            <rFont val="Tahoma"/>
            <family val="2"/>
          </rPr>
          <t>Program Wattage</t>
        </r>
        <r>
          <rPr>
            <sz val="9"/>
            <color indexed="81"/>
            <rFont val="Tahoma"/>
            <family val="2"/>
          </rPr>
          <t xml:space="preserve">
</t>
        </r>
      </text>
    </comment>
    <comment ref="W1194" authorId="0" shapeId="0" xr:uid="{00000000-0006-0000-0600-000060000000}">
      <text>
        <r>
          <rPr>
            <b/>
            <sz val="9"/>
            <color indexed="81"/>
            <rFont val="Tahoma"/>
            <family val="2"/>
          </rPr>
          <t>Program Wattage</t>
        </r>
        <r>
          <rPr>
            <sz val="9"/>
            <color indexed="81"/>
            <rFont val="Tahoma"/>
            <family val="2"/>
          </rPr>
          <t xml:space="preserve">
</t>
        </r>
      </text>
    </comment>
    <comment ref="W1195" authorId="0" shapeId="0" xr:uid="{00000000-0006-0000-0600-000061000000}">
      <text>
        <r>
          <rPr>
            <b/>
            <sz val="9"/>
            <color indexed="81"/>
            <rFont val="Tahoma"/>
            <family val="2"/>
          </rPr>
          <t>Program Wattage</t>
        </r>
        <r>
          <rPr>
            <sz val="9"/>
            <color indexed="81"/>
            <rFont val="Tahoma"/>
            <family val="2"/>
          </rPr>
          <t xml:space="preserve">
</t>
        </r>
      </text>
    </comment>
    <comment ref="W1196" authorId="0" shapeId="0" xr:uid="{00000000-0006-0000-0600-000062000000}">
      <text>
        <r>
          <rPr>
            <b/>
            <sz val="9"/>
            <color indexed="81"/>
            <rFont val="Tahoma"/>
            <family val="2"/>
          </rPr>
          <t>Program Wattage</t>
        </r>
        <r>
          <rPr>
            <sz val="9"/>
            <color indexed="81"/>
            <rFont val="Tahoma"/>
            <family val="2"/>
          </rPr>
          <t xml:space="preserve">
</t>
        </r>
      </text>
    </comment>
    <comment ref="W1198" authorId="0" shapeId="0" xr:uid="{00000000-0006-0000-0600-000063000000}">
      <text>
        <r>
          <rPr>
            <b/>
            <sz val="9"/>
            <color indexed="81"/>
            <rFont val="Tahoma"/>
            <family val="2"/>
          </rPr>
          <t>Program Wattage</t>
        </r>
        <r>
          <rPr>
            <sz val="9"/>
            <color indexed="81"/>
            <rFont val="Tahoma"/>
            <family val="2"/>
          </rPr>
          <t xml:space="preserve">
</t>
        </r>
      </text>
    </comment>
    <comment ref="W1199" authorId="0" shapeId="0" xr:uid="{00000000-0006-0000-0600-000064000000}">
      <text>
        <r>
          <rPr>
            <b/>
            <sz val="9"/>
            <color indexed="81"/>
            <rFont val="Tahoma"/>
            <family val="2"/>
          </rPr>
          <t>Bulb-type and lumen look-up in Energy Star database</t>
        </r>
        <r>
          <rPr>
            <sz val="9"/>
            <color indexed="81"/>
            <rFont val="Tahoma"/>
            <family val="2"/>
          </rPr>
          <t xml:space="preserve">
</t>
        </r>
      </text>
    </comment>
    <comment ref="W1200" authorId="0" shapeId="0" xr:uid="{00000000-0006-0000-0600-000065000000}">
      <text>
        <r>
          <rPr>
            <b/>
            <sz val="9"/>
            <color indexed="81"/>
            <rFont val="Tahoma"/>
            <family val="2"/>
          </rPr>
          <t>Bulb-type and lumen look-up in Energy Star database</t>
        </r>
        <r>
          <rPr>
            <sz val="9"/>
            <color indexed="81"/>
            <rFont val="Tahoma"/>
            <family val="2"/>
          </rPr>
          <t xml:space="preserve">
</t>
        </r>
      </text>
    </comment>
    <comment ref="W1201" authorId="0" shapeId="0" xr:uid="{00000000-0006-0000-0600-000066000000}">
      <text>
        <r>
          <rPr>
            <b/>
            <sz val="9"/>
            <color indexed="81"/>
            <rFont val="Tahoma"/>
            <family val="2"/>
          </rPr>
          <t>Bulb-type and lumen look-up in Energy Star database</t>
        </r>
        <r>
          <rPr>
            <sz val="9"/>
            <color indexed="81"/>
            <rFont val="Tahoma"/>
            <family val="2"/>
          </rPr>
          <t xml:space="preserve">
</t>
        </r>
      </text>
    </comment>
    <comment ref="W1202" authorId="0" shapeId="0" xr:uid="{00000000-0006-0000-0600-000067000000}">
      <text>
        <r>
          <rPr>
            <b/>
            <sz val="9"/>
            <color indexed="81"/>
            <rFont val="Tahoma"/>
            <family val="2"/>
          </rPr>
          <t>Bulb-type and lumen look-up in Energy Star database</t>
        </r>
        <r>
          <rPr>
            <sz val="9"/>
            <color indexed="81"/>
            <rFont val="Tahoma"/>
            <family val="2"/>
          </rPr>
          <t xml:space="preserve">
</t>
        </r>
      </text>
    </comment>
    <comment ref="W1203" authorId="0" shapeId="0" xr:uid="{00000000-0006-0000-0600-000068000000}">
      <text>
        <r>
          <rPr>
            <b/>
            <sz val="9"/>
            <color indexed="81"/>
            <rFont val="Tahoma"/>
            <family val="2"/>
          </rPr>
          <t>Bulb-type and lumen look-up in Energy Star database</t>
        </r>
        <r>
          <rPr>
            <sz val="9"/>
            <color indexed="81"/>
            <rFont val="Tahoma"/>
            <family val="2"/>
          </rPr>
          <t xml:space="preserve">
</t>
        </r>
      </text>
    </comment>
    <comment ref="W1204" authorId="0" shapeId="0" xr:uid="{00000000-0006-0000-0600-000069000000}">
      <text>
        <r>
          <rPr>
            <b/>
            <sz val="9"/>
            <color indexed="81"/>
            <rFont val="Tahoma"/>
            <family val="2"/>
          </rPr>
          <t>Bulb-type and lumen look-up in Energy Star database</t>
        </r>
        <r>
          <rPr>
            <sz val="9"/>
            <color indexed="81"/>
            <rFont val="Tahoma"/>
            <family val="2"/>
          </rPr>
          <t xml:space="preserve">
</t>
        </r>
      </text>
    </comment>
    <comment ref="W1205" authorId="0" shapeId="0" xr:uid="{00000000-0006-0000-0600-00006A000000}">
      <text>
        <r>
          <rPr>
            <b/>
            <sz val="9"/>
            <color indexed="81"/>
            <rFont val="Tahoma"/>
            <family val="2"/>
          </rPr>
          <t>Bulb-type and lumen look-up in Energy Star database</t>
        </r>
        <r>
          <rPr>
            <sz val="9"/>
            <color indexed="81"/>
            <rFont val="Tahoma"/>
            <family val="2"/>
          </rPr>
          <t xml:space="preserve">
</t>
        </r>
      </text>
    </comment>
    <comment ref="W1206" authorId="0" shapeId="0" xr:uid="{00000000-0006-0000-0600-00006B000000}">
      <text>
        <r>
          <rPr>
            <b/>
            <sz val="9"/>
            <color indexed="81"/>
            <rFont val="Tahoma"/>
            <family val="2"/>
          </rPr>
          <t>Bulb-type and lumen look-up in Energy Star database</t>
        </r>
        <r>
          <rPr>
            <sz val="9"/>
            <color indexed="81"/>
            <rFont val="Tahoma"/>
            <family val="2"/>
          </rPr>
          <t xml:space="preserve">
</t>
        </r>
      </text>
    </comment>
    <comment ref="W1207" authorId="0" shapeId="0" xr:uid="{00000000-0006-0000-0600-00006C000000}">
      <text>
        <r>
          <rPr>
            <b/>
            <sz val="9"/>
            <color indexed="81"/>
            <rFont val="Tahoma"/>
            <family val="2"/>
          </rPr>
          <t>Bulb-type and lumen look-up in Energy Star database</t>
        </r>
        <r>
          <rPr>
            <sz val="9"/>
            <color indexed="81"/>
            <rFont val="Tahoma"/>
            <family val="2"/>
          </rPr>
          <t xml:space="preserve">
</t>
        </r>
      </text>
    </comment>
    <comment ref="W1208" authorId="0" shapeId="0" xr:uid="{00000000-0006-0000-0600-00006D000000}">
      <text>
        <r>
          <rPr>
            <b/>
            <sz val="9"/>
            <color indexed="81"/>
            <rFont val="Tahoma"/>
            <family val="2"/>
          </rPr>
          <t>Bulb-type and lumen look-up in Energy Star database</t>
        </r>
        <r>
          <rPr>
            <sz val="9"/>
            <color indexed="81"/>
            <rFont val="Tahoma"/>
            <family val="2"/>
          </rPr>
          <t xml:space="preserve">
</t>
        </r>
      </text>
    </comment>
    <comment ref="W1209" authorId="0" shapeId="0" xr:uid="{00000000-0006-0000-0600-00006E000000}">
      <text>
        <r>
          <rPr>
            <b/>
            <sz val="9"/>
            <color indexed="81"/>
            <rFont val="Tahoma"/>
            <family val="2"/>
          </rPr>
          <t>Bulb-type and lumen look-up in Energy Star database</t>
        </r>
        <r>
          <rPr>
            <sz val="9"/>
            <color indexed="81"/>
            <rFont val="Tahoma"/>
            <family val="2"/>
          </rPr>
          <t xml:space="preserve">
</t>
        </r>
      </text>
    </comment>
    <comment ref="W1211" authorId="0" shapeId="0" xr:uid="{00000000-0006-0000-0600-00006F000000}">
      <text>
        <r>
          <rPr>
            <b/>
            <sz val="9"/>
            <color indexed="81"/>
            <rFont val="Tahoma"/>
            <family val="2"/>
          </rPr>
          <t>Bulb-type and lumen look-up in Energy Star database</t>
        </r>
        <r>
          <rPr>
            <sz val="9"/>
            <color indexed="81"/>
            <rFont val="Tahoma"/>
            <family val="2"/>
          </rPr>
          <t xml:space="preserve">
</t>
        </r>
      </text>
    </comment>
    <comment ref="W1212" authorId="0" shapeId="0" xr:uid="{00000000-0006-0000-0600-000070000000}">
      <text>
        <r>
          <rPr>
            <b/>
            <sz val="9"/>
            <color indexed="81"/>
            <rFont val="Tahoma"/>
            <family val="2"/>
          </rPr>
          <t>Bulb-type and lumen look-up in Energy Star database</t>
        </r>
        <r>
          <rPr>
            <sz val="9"/>
            <color indexed="81"/>
            <rFont val="Tahoma"/>
            <family val="2"/>
          </rPr>
          <t xml:space="preserve">
</t>
        </r>
      </text>
    </comment>
    <comment ref="W1213" authorId="0" shapeId="0" xr:uid="{00000000-0006-0000-0600-000071000000}">
      <text>
        <r>
          <rPr>
            <b/>
            <sz val="9"/>
            <color indexed="81"/>
            <rFont val="Tahoma"/>
            <family val="2"/>
          </rPr>
          <t>Bulb-type and lumen look-up in Energy Star database</t>
        </r>
        <r>
          <rPr>
            <sz val="9"/>
            <color indexed="81"/>
            <rFont val="Tahoma"/>
            <family val="2"/>
          </rPr>
          <t xml:space="preserve">
</t>
        </r>
      </text>
    </comment>
    <comment ref="W1217" authorId="0" shapeId="0" xr:uid="{00000000-0006-0000-0600-000072000000}">
      <text>
        <r>
          <rPr>
            <b/>
            <sz val="9"/>
            <color indexed="81"/>
            <rFont val="Tahoma"/>
            <family val="2"/>
          </rPr>
          <t xml:space="preserve">Ameren Missouri Home Energy Analysis Program Impact and Process Evaluation: Program Year 2015 </t>
        </r>
        <r>
          <rPr>
            <sz val="9"/>
            <color indexed="81"/>
            <rFont val="Tahoma"/>
            <family val="2"/>
          </rPr>
          <t xml:space="preserve">
</t>
        </r>
      </text>
    </comment>
    <comment ref="X1220" authorId="0" shapeId="0" xr:uid="{00000000-0006-0000-0600-000073000000}">
      <text>
        <r>
          <rPr>
            <b/>
            <sz val="9"/>
            <color indexed="81"/>
            <rFont val="Tahoma"/>
            <family val="2"/>
          </rPr>
          <t>Weighted HOU from ADM based upon program data</t>
        </r>
        <r>
          <rPr>
            <sz val="9"/>
            <color indexed="81"/>
            <rFont val="Tahoma"/>
            <family val="2"/>
          </rPr>
          <t xml:space="preserve">
</t>
        </r>
      </text>
    </comment>
    <comment ref="W1223" authorId="0" shapeId="0" xr:uid="{00000000-0006-0000-0600-000074000000}">
      <text>
        <r>
          <rPr>
            <b/>
            <sz val="9"/>
            <color indexed="81"/>
            <rFont val="Tahoma"/>
            <family val="2"/>
          </rPr>
          <t xml:space="preserve">Illinois TRM v5.0, Lighting Reference Tables (Sec. 4.5.1), "Unknown" Building type, screw base lamp operating hours / 365 </t>
        </r>
        <r>
          <rPr>
            <sz val="9"/>
            <color indexed="81"/>
            <rFont val="Tahoma"/>
            <family val="2"/>
          </rPr>
          <t xml:space="preserve">
</t>
        </r>
      </text>
    </comment>
    <comment ref="X1223" authorId="0" shapeId="0" xr:uid="{00000000-0006-0000-0600-000075000000}">
      <text>
        <r>
          <rPr>
            <b/>
            <sz val="9"/>
            <color indexed="81"/>
            <rFont val="Tahoma"/>
            <family val="2"/>
          </rPr>
          <t>Author:</t>
        </r>
        <r>
          <rPr>
            <sz val="9"/>
            <color indexed="81"/>
            <rFont val="Tahoma"/>
            <family val="2"/>
          </rPr>
          <t xml:space="preserve">
Weighted HOU from ADM based upon program data</t>
        </r>
      </text>
    </comment>
    <comment ref="AB1283" authorId="0" shapeId="0" xr:uid="{00000000-0006-0000-0600-000076000000}">
      <text>
        <r>
          <rPr>
            <b/>
            <sz val="9"/>
            <color indexed="81"/>
            <rFont val="Tahoma"/>
            <family val="2"/>
          </rPr>
          <t xml:space="preserve">Opinion Dynamics:
</t>
        </r>
        <r>
          <rPr>
            <sz val="9"/>
            <color indexed="81"/>
            <rFont val="Tahoma"/>
            <family val="2"/>
          </rPr>
          <t>Reformatted table</t>
        </r>
      </text>
    </comment>
    <comment ref="Y1307" authorId="0" shapeId="0" xr:uid="{00000000-0006-0000-0600-000077000000}">
      <text>
        <r>
          <rPr>
            <sz val="9"/>
            <color indexed="81"/>
            <rFont val="Tahoma"/>
            <family val="2"/>
          </rPr>
          <t xml:space="preserve">Use existing inputs to develop measure based on program design.
</t>
        </r>
      </text>
    </comment>
    <comment ref="Y1320" authorId="0" shapeId="0" xr:uid="{00000000-0006-0000-0600-000078000000}">
      <text>
        <r>
          <rPr>
            <b/>
            <sz val="9"/>
            <color indexed="81"/>
            <rFont val="Tahoma"/>
            <family val="2"/>
          </rPr>
          <t>Added pre-1993 unit based upon existing inputs</t>
        </r>
        <r>
          <rPr>
            <sz val="9"/>
            <color indexed="81"/>
            <rFont val="Tahoma"/>
            <family val="2"/>
          </rPr>
          <t xml:space="preserve">
</t>
        </r>
      </text>
    </comment>
    <comment ref="Y1342" authorId="0" shapeId="0" xr:uid="{00000000-0006-0000-0600-000079000000}">
      <text>
        <r>
          <rPr>
            <b/>
            <sz val="9"/>
            <color indexed="81"/>
            <rFont val="Tahoma"/>
            <family val="2"/>
          </rPr>
          <t>Added standard size units to provide more options for Implementation and based upon program design all replacements are primary units (not secondary)</t>
        </r>
      </text>
    </comment>
    <comment ref="F1343" authorId="0" shapeId="0" xr:uid="{00000000-0006-0000-0600-00007A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Formulas were previously not capturing the ISR parameter.</t>
        </r>
      </text>
    </comment>
    <comment ref="Y1347" authorId="0" shapeId="0" xr:uid="{00000000-0006-0000-0600-00007B000000}">
      <text>
        <r>
          <rPr>
            <b/>
            <sz val="9"/>
            <color indexed="81"/>
            <rFont val="Tahoma"/>
            <family val="2"/>
          </rPr>
          <t xml:space="preserve">Added multiple kbtu size options (5,8,10,12,15) </t>
        </r>
      </text>
    </comment>
    <comment ref="W1376" authorId="0" shapeId="0" xr:uid="{00000000-0006-0000-0600-00007C000000}">
      <text>
        <r>
          <rPr>
            <b/>
            <sz val="9"/>
            <color indexed="81"/>
            <rFont val="Tahoma"/>
            <family val="2"/>
          </rPr>
          <t>PY13 RebateSavers Database (average BTU)</t>
        </r>
        <r>
          <rPr>
            <sz val="9"/>
            <color indexed="81"/>
            <rFont val="Tahoma"/>
            <family val="2"/>
          </rPr>
          <t xml:space="preserve">
</t>
        </r>
      </text>
    </comment>
    <comment ref="W1382" authorId="0" shapeId="0" xr:uid="{00000000-0006-0000-0600-00007D000000}">
      <text>
        <r>
          <rPr>
            <b/>
            <sz val="9"/>
            <color indexed="81"/>
            <rFont val="Tahoma"/>
            <family val="2"/>
          </rPr>
          <t>Federal minimum efficiency standard (updated from EER to CEER in March 2017)</t>
        </r>
        <r>
          <rPr>
            <sz val="9"/>
            <color indexed="81"/>
            <rFont val="Tahoma"/>
            <family val="2"/>
          </rPr>
          <t xml:space="preserve">
</t>
        </r>
      </text>
    </comment>
    <comment ref="X1385" authorId="0" shapeId="0" xr:uid="{00000000-0006-0000-0600-00007E000000}">
      <text>
        <r>
          <rPr>
            <b/>
            <sz val="9"/>
            <color indexed="81"/>
            <rFont val="Tahoma"/>
            <family val="2"/>
          </rPr>
          <t>Cadmus did not identify secondary vs primary unit, therefore did not update these values</t>
        </r>
        <r>
          <rPr>
            <sz val="9"/>
            <color indexed="81"/>
            <rFont val="Tahoma"/>
            <family val="2"/>
          </rPr>
          <t xml:space="preserve">
</t>
        </r>
      </text>
    </comment>
    <comment ref="Y1385" authorId="0" shapeId="0" xr:uid="{00000000-0006-0000-0600-00007F000000}">
      <text>
        <r>
          <rPr>
            <b/>
            <sz val="9"/>
            <color indexed="81"/>
            <rFont val="Tahoma"/>
            <family val="2"/>
          </rPr>
          <t>Cadmus did not identify secondary vs primary unit, therefore did not update these values</t>
        </r>
        <r>
          <rPr>
            <sz val="9"/>
            <color indexed="81"/>
            <rFont val="Tahoma"/>
            <family val="2"/>
          </rPr>
          <t xml:space="preserve">
</t>
        </r>
      </text>
    </comment>
    <comment ref="AJ1386" authorId="0" shapeId="0" xr:uid="{00000000-0006-0000-0600-000080000000}">
      <text>
        <r>
          <rPr>
            <b/>
            <sz val="9"/>
            <color indexed="81"/>
            <rFont val="Tahoma"/>
            <family val="2"/>
          </rPr>
          <t>used EFLH that ADM used for all measures</t>
        </r>
      </text>
    </comment>
    <comment ref="J1397" authorId="0" shapeId="0" xr:uid="{00000000-0006-0000-0600-000081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Fixed cell reference (all measure codes)</t>
        </r>
      </text>
    </comment>
    <comment ref="K1397" authorId="0" shapeId="0" xr:uid="{00000000-0006-0000-0600-000082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Fixed cell reference (all measure codes)</t>
        </r>
      </text>
    </comment>
    <comment ref="AD1471" authorId="7" shapeId="0" xr:uid="{4DF66CAA-922E-462C-9181-59F8894605CA}">
      <text>
        <t>[Threaded comment]
Your version of Excel allows you to read this threaded comment; however, any edits to it will get removed if the file is opened in a newer version of Excel. Learn more: https://go.microsoft.com/fwlink/?linkid=870924
Comment:
    New measure in 2022</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Y6" authorId="0" shapeId="0" xr:uid="{00000000-0006-0000-0700-000001000000}">
      <text>
        <r>
          <rPr>
            <b/>
            <sz val="9"/>
            <color indexed="81"/>
            <rFont val="Tahoma"/>
            <family val="2"/>
          </rPr>
          <t>Author:</t>
        </r>
        <r>
          <rPr>
            <sz val="9"/>
            <color indexed="81"/>
            <rFont val="Tahoma"/>
            <family val="2"/>
          </rPr>
          <t xml:space="preserve">
PY18 EM&amp;V</t>
        </r>
      </text>
    </comment>
    <comment ref="Z6" authorId="0" shapeId="0" xr:uid="{00000000-0006-0000-0700-000002000000}">
      <text>
        <r>
          <rPr>
            <b/>
            <sz val="9"/>
            <color indexed="81"/>
            <rFont val="Tahoma"/>
            <family val="2"/>
          </rPr>
          <t>11 Step updates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Author</author>
    <author>tc={7DBB5A4F-7BC1-49C4-BAEA-32966902ADB0}</author>
    <author>tc={54AA4E61-4881-45FB-99A8-BFB77B476A16}</author>
    <author>tc={46D02C35-8B86-4F6A-97F1-EE98EAF399B3}</author>
    <author>tc={1E09F6D6-1F30-40ED-B88B-F167EB6F0C28}</author>
  </authors>
  <commentList>
    <comment ref="Y6" authorId="0" shapeId="0" xr:uid="{00000000-0006-0000-0800-000001000000}">
      <text>
        <r>
          <rPr>
            <b/>
            <sz val="9"/>
            <color indexed="81"/>
            <rFont val="Tahoma"/>
            <family val="2"/>
          </rPr>
          <t>Author:</t>
        </r>
        <r>
          <rPr>
            <sz val="9"/>
            <color indexed="81"/>
            <rFont val="Tahoma"/>
            <family val="2"/>
          </rPr>
          <t xml:space="preserve">
PY18 EM&amp;V</t>
        </r>
      </text>
    </comment>
    <comment ref="Z6" authorId="0" shapeId="0" xr:uid="{00000000-0006-0000-0800-000002000000}">
      <text>
        <r>
          <rPr>
            <b/>
            <sz val="9"/>
            <color indexed="81"/>
            <rFont val="Tahoma"/>
            <family val="2"/>
          </rPr>
          <t>11 Step updates</t>
        </r>
      </text>
    </comment>
    <comment ref="AD45" authorId="1" shapeId="0" xr:uid="{7DBB5A4F-7BC1-49C4-BAEA-32966902ADB0}">
      <text>
        <t>[Threaded comment]
Your version of Excel allows you to read this threaded comment; however, any edits to it will get removed if the file is opened in a newer version of Excel. Learn more: https://go.microsoft.com/fwlink/?linkid=870924
Comment:
    December-21 values were incorrectly copy/pasted. In Agust-22, no updates made to measure assumptions, but correct values entered.</t>
      </text>
    </comment>
    <comment ref="Y73" authorId="0" shapeId="0" xr:uid="{00000000-0006-0000-0800-000003000000}">
      <text>
        <r>
          <rPr>
            <b/>
            <sz val="9"/>
            <color indexed="81"/>
            <rFont val="Tahoma"/>
            <family val="2"/>
          </rPr>
          <t>changed to a per square foot value rather than per average size home</t>
        </r>
        <r>
          <rPr>
            <sz val="9"/>
            <color indexed="81"/>
            <rFont val="Tahoma"/>
            <family val="2"/>
          </rPr>
          <t xml:space="preserve">
</t>
        </r>
      </text>
    </comment>
    <comment ref="C74" authorId="0" shapeId="0" xr:uid="{00000000-0006-0000-0800-000004000000}">
      <text>
        <r>
          <rPr>
            <b/>
            <sz val="9"/>
            <color indexed="81"/>
            <rFont val="Tahoma"/>
            <family val="2"/>
          </rPr>
          <t>Author:</t>
        </r>
        <r>
          <rPr>
            <sz val="9"/>
            <color indexed="81"/>
            <rFont val="Tahoma"/>
            <family val="2"/>
          </rPr>
          <t xml:space="preserve">
In NOV 2019 TRM updated these had "2018_12" but shourld have been "2019_12"</t>
        </r>
      </text>
    </comment>
    <comment ref="C196" authorId="0" shapeId="0" xr:uid="{00000000-0006-0000-0800-000005000000}">
      <text>
        <r>
          <rPr>
            <b/>
            <sz val="9"/>
            <color indexed="81"/>
            <rFont val="Tahoma"/>
            <family val="2"/>
          </rPr>
          <t xml:space="preserve">Author:
</t>
        </r>
        <r>
          <rPr>
            <sz val="9"/>
            <color indexed="81"/>
            <rFont val="Tahoma"/>
            <family val="2"/>
          </rPr>
          <t xml:space="preserve">In NOV 2019 TRM updated these had "2018_12" but shourld have been "2019_12"
</t>
        </r>
      </text>
    </comment>
    <comment ref="X221" authorId="0" shapeId="0" xr:uid="{00000000-0006-0000-0800-000006000000}">
      <text>
        <r>
          <rPr>
            <b/>
            <sz val="9"/>
            <color indexed="81"/>
            <rFont val="Tahoma"/>
            <family val="2"/>
          </rPr>
          <t>In PY2017 this was included in the ISR rate but may need to be considered in future</t>
        </r>
        <r>
          <rPr>
            <sz val="9"/>
            <color indexed="81"/>
            <rFont val="Tahoma"/>
            <family val="2"/>
          </rPr>
          <t xml:space="preserve">
</t>
        </r>
      </text>
    </comment>
    <comment ref="Y250" authorId="0" shapeId="0" xr:uid="{00000000-0006-0000-0800-000007000000}">
      <text>
        <r>
          <rPr>
            <b/>
            <sz val="9"/>
            <color indexed="81"/>
            <rFont val="Tahoma"/>
            <family val="2"/>
          </rPr>
          <t>This value is not new just including it in the input table (previously only shown in the equation)</t>
        </r>
      </text>
    </comment>
    <comment ref="R255" authorId="0" shapeId="0" xr:uid="{00000000-0006-0000-0800-000008000000}">
      <text>
        <r>
          <rPr>
            <b/>
            <sz val="9"/>
            <color indexed="81"/>
            <rFont val="Tahoma"/>
            <family val="2"/>
          </rPr>
          <t>Same table is in HVAC and MFMR deemed tables</t>
        </r>
        <r>
          <rPr>
            <sz val="9"/>
            <color indexed="81"/>
            <rFont val="Tahoma"/>
            <family val="2"/>
          </rPr>
          <t xml:space="preserve">
</t>
        </r>
      </text>
    </comment>
    <comment ref="Y255" authorId="0" shapeId="0" xr:uid="{00000000-0006-0000-0800-000009000000}">
      <text>
        <r>
          <rPr>
            <b/>
            <sz val="9"/>
            <color indexed="81"/>
            <rFont val="Tahoma"/>
            <family val="2"/>
          </rPr>
          <t>This value is not new just including it in the input table (previously only shown in the equation)</t>
        </r>
      </text>
    </comment>
    <comment ref="R257" authorId="0" shapeId="0" xr:uid="{00000000-0006-0000-0800-00000A000000}">
      <text>
        <r>
          <rPr>
            <b/>
            <sz val="9"/>
            <color indexed="81"/>
            <rFont val="Tahoma"/>
            <family val="2"/>
          </rPr>
          <t>discount factor =  (1+discount rate)^(1/3 EUL-1).    year 1 is considered to be when the measure is installed and therefore do not discount “period 1”.</t>
        </r>
      </text>
    </comment>
    <comment ref="Y262" authorId="0" shapeId="0" xr:uid="{00000000-0006-0000-0800-00000B000000}">
      <text>
        <r>
          <rPr>
            <b/>
            <sz val="9"/>
            <color indexed="81"/>
            <rFont val="Tahoma"/>
            <family val="2"/>
          </rPr>
          <t>This value is not new just including it in the input table (previously only shown in the equation)</t>
        </r>
      </text>
    </comment>
    <comment ref="Y268" authorId="0" shapeId="0" xr:uid="{00000000-0006-0000-0800-00000C000000}">
      <text>
        <r>
          <rPr>
            <b/>
            <sz val="9"/>
            <color indexed="81"/>
            <rFont val="Tahoma"/>
            <family val="2"/>
          </rPr>
          <t>Formula updated</t>
        </r>
      </text>
    </comment>
    <comment ref="D379" authorId="2" shapeId="0" xr:uid="{54AA4E61-4881-45FB-99A8-BFB77B476A16}">
      <text>
        <t>[Threaded comment]
Your version of Excel allows you to read this threaded comment; however, any edits to it will get removed if the file is opened in a newer version of Excel. Learn more: https://go.microsoft.com/fwlink/?linkid=870924
Comment:
    Added kW Demand formula for consistency.</t>
      </text>
    </comment>
    <comment ref="D414" authorId="3" shapeId="0" xr:uid="{46D02C35-8B86-4F6A-97F1-EE98EAF399B3}">
      <text>
        <t>[Threaded comment]
Your version of Excel allows you to read this threaded comment; however, any edits to it will get removed if the file is opened in a newer version of Excel. Learn more: https://go.microsoft.com/fwlink/?linkid=870924
Comment:
    Added kW Demand formula for consistency.</t>
      </text>
    </comment>
    <comment ref="L441" authorId="0" shapeId="0" xr:uid="{00000000-0006-0000-0800-00000D000000}">
      <text>
        <r>
          <rPr>
            <sz val="11"/>
            <color indexed="81"/>
            <rFont val="Tahoma"/>
            <family val="2"/>
          </rPr>
          <t>The incremental cost for time of sale, new construction or efficiency kits is $7 or program actual.
For low flow showerheads provided in retrofit or direct install programs, the actual program delivery costs should be utilized, if unknown assume $15.33145.</t>
        </r>
      </text>
    </comment>
    <comment ref="D449" authorId="4" shapeId="0" xr:uid="{1E09F6D6-1F30-40ED-B88B-F167EB6F0C28}">
      <text>
        <t>[Threaded comment]
Your version of Excel allows you to read this threaded comment; however, any edits to it will get removed if the file is opened in a newer version of Excel. Learn more: https://go.microsoft.com/fwlink/?linkid=870924
Comment:
    Added kW Demand formula for consistency.</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Y6" authorId="0" shapeId="0" xr:uid="{00000000-0006-0000-0900-000001000000}">
      <text>
        <r>
          <rPr>
            <b/>
            <sz val="9"/>
            <color indexed="81"/>
            <rFont val="Tahoma"/>
            <family val="2"/>
          </rPr>
          <t>Author:</t>
        </r>
        <r>
          <rPr>
            <sz val="9"/>
            <color indexed="81"/>
            <rFont val="Tahoma"/>
            <family val="2"/>
          </rPr>
          <t xml:space="preserve">
PY18 EM&amp;V</t>
        </r>
      </text>
    </comment>
    <comment ref="Z6" authorId="0" shapeId="0" xr:uid="{00000000-0006-0000-0900-000002000000}">
      <text>
        <r>
          <rPr>
            <b/>
            <sz val="9"/>
            <color indexed="81"/>
            <rFont val="Tahoma"/>
            <family val="2"/>
          </rPr>
          <t>11 Step updates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Z6" authorId="0" shapeId="0" xr:uid="{00000000-0006-0000-0A00-000001000000}">
      <text>
        <r>
          <rPr>
            <b/>
            <sz val="9"/>
            <color indexed="81"/>
            <rFont val="Tahoma"/>
            <family val="2"/>
          </rPr>
          <t>11 Step updates</t>
        </r>
      </text>
    </comment>
  </commentList>
</comments>
</file>

<file path=xl/sharedStrings.xml><?xml version="1.0" encoding="utf-8"?>
<sst xmlns="http://schemas.openxmlformats.org/spreadsheetml/2006/main" count="18642" uniqueCount="4587">
  <si>
    <t>General Layout of the Deemed Savings Tables:</t>
  </si>
  <si>
    <t>Deemed Savings Tables and Inputs</t>
  </si>
  <si>
    <t xml:space="preserve">Current + Historical kWh Values and Inputs </t>
  </si>
  <si>
    <t>*TRC (Measure Level)</t>
  </si>
  <si>
    <t>"1"= Collapse all Inputs to Calculations</t>
  </si>
  <si>
    <t>"2" = Expand all Inputs to Calculations</t>
  </si>
  <si>
    <t>"-/+" = Collapse or Expand each Section</t>
  </si>
  <si>
    <t>Deemed Savings Table(s)</t>
  </si>
  <si>
    <t>Formula/Equation(s)</t>
  </si>
  <si>
    <t>Equation Inputs</t>
  </si>
  <si>
    <t>* TRC calculations use the avoided cost benefit tables from workpapers in the approved MEEIA 2019-2021 filing (EO-2018-0211)</t>
  </si>
  <si>
    <t>Ameren Missouri Deemed Savings Table Revision Log</t>
  </si>
  <si>
    <t>Ameren Missouri Deemed Savings Table</t>
  </si>
  <si>
    <t>Date</t>
  </si>
  <si>
    <t>Ameren Missouri TRM</t>
  </si>
  <si>
    <t>Description</t>
  </si>
  <si>
    <t>Volume 1: Overview and User Guide</t>
  </si>
  <si>
    <t>Volume 2:           C&amp;I Measures</t>
  </si>
  <si>
    <t>Volume 3: Residential Measures</t>
  </si>
  <si>
    <t xml:space="preserve">Revision </t>
  </si>
  <si>
    <t>Initial version filed for Commission approval.</t>
  </si>
  <si>
    <t>Updated RES/BUS "Deemed Tables" with PY2017 Evaluation results per Stipulation and Agreement (File No. EO-2018-0211). This included updates to Volume 3 of the TRM.</t>
  </si>
  <si>
    <t>Updated Business Deemed Table in alignment with 11 step program changes to best meet goals under current market conditions.</t>
  </si>
  <si>
    <t>Updated “Deemed Tables” with PY19 Evaluation results and variations of existing measures such as "direct install" and other options.  Updated Appendix H &amp; I for consistency.</t>
  </si>
  <si>
    <t>RESIDENTIAL LIGHTING</t>
  </si>
  <si>
    <t>Lighting Program</t>
  </si>
  <si>
    <t>** CFL baseline is Post 2021, EISA baseline is pre-2021 **</t>
  </si>
  <si>
    <t>Measure Reference No.</t>
  </si>
  <si>
    <t>Program/ Channel</t>
  </si>
  <si>
    <t>Measure</t>
  </si>
  <si>
    <t>kWh Annual Savings</t>
  </si>
  <si>
    <t>kW</t>
  </si>
  <si>
    <t>End Use - RES</t>
  </si>
  <si>
    <t>kW Factor - RES</t>
  </si>
  <si>
    <t>End Use - BUS</t>
  </si>
  <si>
    <t>kW Factor - BUS</t>
  </si>
  <si>
    <t>kWh RES</t>
  </si>
  <si>
    <t>kWh BUS</t>
  </si>
  <si>
    <t>KW RES</t>
  </si>
  <si>
    <t>KW BUS</t>
  </si>
  <si>
    <t>EUL - RES</t>
  </si>
  <si>
    <t>EUL - BUS**</t>
  </si>
  <si>
    <t>Inc. Cost*</t>
  </si>
  <si>
    <t>Units</t>
  </si>
  <si>
    <t>REVISION DATE</t>
  </si>
  <si>
    <t>-</t>
  </si>
  <si>
    <t>TRC (2020)</t>
  </si>
  <si>
    <t>Benefit Lookup</t>
  </si>
  <si>
    <t>Benefits (2019 $)</t>
  </si>
  <si>
    <t>Incremental Cost (2019 $)</t>
  </si>
  <si>
    <t>200050_2019_12_</t>
  </si>
  <si>
    <t>Lighting</t>
  </si>
  <si>
    <t>LED - 10.5W Downlight E26 (CFL baseline)</t>
  </si>
  <si>
    <t>Lighting RES</t>
  </si>
  <si>
    <t>Lighting BUS</t>
  </si>
  <si>
    <t xml:space="preserve">  per bulb</t>
  </si>
  <si>
    <t>200100_2019_12_</t>
  </si>
  <si>
    <t>LED - 10.5W Downlight E26 (Halogen baseline)</t>
  </si>
  <si>
    <t>200150_2019_12_</t>
  </si>
  <si>
    <t>LED - 10W (CFL baseline) (750-1049 lumens)</t>
  </si>
  <si>
    <t>200200_2019_12_</t>
  </si>
  <si>
    <t>LED - 10W (Halogen baseline) (750-1049 lumens)</t>
  </si>
  <si>
    <t>200250_2019_12_</t>
  </si>
  <si>
    <t>LED - 12W Dimmable Light Bulb (Replacing CFL)</t>
  </si>
  <si>
    <t>200300_2019_12_</t>
  </si>
  <si>
    <t>LED - 12W Dimmable Light Bulb (Replacing Specialty Incandescent)</t>
  </si>
  <si>
    <t>200350_2019_12_</t>
  </si>
  <si>
    <t>LED - 15W (Halogen baseline) (1050-1489 lumens)</t>
  </si>
  <si>
    <t>200400_2019_12_</t>
  </si>
  <si>
    <t>LED - 15W (CFL baseline) (1050-1489 lumens)</t>
  </si>
  <si>
    <t>200401_2020_12_</t>
  </si>
  <si>
    <t>LED - 11W Flood Light BR30 Bulb (CFL baseline)</t>
  </si>
  <si>
    <t>200402_2020_12_</t>
  </si>
  <si>
    <t xml:space="preserve">LED - 11W Flood Light BR30 Bulb (Halogen baseline) </t>
  </si>
  <si>
    <t>200450_2019_12_</t>
  </si>
  <si>
    <t>LED - 15W Flood Light PAR30 Bulb (CFL baseline)</t>
  </si>
  <si>
    <t>200500_2019_12_</t>
  </si>
  <si>
    <t>LED - 15W Flood Light PAR30 Bulb (Halogen baseline)</t>
  </si>
  <si>
    <t>200550_2019_12_</t>
  </si>
  <si>
    <t>LED - 18W Flood Light PAR30 Bulb (CFL baseline)</t>
  </si>
  <si>
    <t>200600_2019_12_</t>
  </si>
  <si>
    <t>LED - 18W Flood Light PAR38 Bulb (Halogen baseline)</t>
  </si>
  <si>
    <t>200650_2019_12_</t>
  </si>
  <si>
    <t>LED - 20W (CFL baseline) (1490-2600 lumens)</t>
  </si>
  <si>
    <t>200700_2019_12_</t>
  </si>
  <si>
    <t>LED - 20W (Halogen baseline) (1490-2600 lumens)</t>
  </si>
  <si>
    <t>200750_2019_12_</t>
  </si>
  <si>
    <t>LED - 4W Candelabra (CFL baseline)</t>
  </si>
  <si>
    <t>200800_2019_12_</t>
  </si>
  <si>
    <t>LED - 4W Candelabra (Replacing Specialty Incandescent)</t>
  </si>
  <si>
    <t>200850_2019_12_</t>
  </si>
  <si>
    <t>LED - 8W Globe Light G25 Bulb (Replacing CFL)</t>
  </si>
  <si>
    <t>200900_2019_12_</t>
  </si>
  <si>
    <t>LED - 8W Globe Light G25 Bulb (Replacing Specialty Incandescent)</t>
  </si>
  <si>
    <t>200950_2019_12_</t>
  </si>
  <si>
    <t>LED - 10W (Halogen baseline) (750-1049 lumens) - Specialty Connected Light</t>
  </si>
  <si>
    <t>201000_2019_12_</t>
  </si>
  <si>
    <t>LED - 15W (Halogen baseline) (1050-1489 lumens) - Specialty Connected Light</t>
  </si>
  <si>
    <t>201050_2019_12_</t>
  </si>
  <si>
    <t>LED - 15W Flood Light PAR30 Bulb (Halogen baseline) - Specialty Connected Light</t>
  </si>
  <si>
    <t>201099_2021_12_</t>
  </si>
  <si>
    <t>LED - 6W (CFL baseline) (310-749 lumens)</t>
  </si>
  <si>
    <t>201100_2019_12_</t>
  </si>
  <si>
    <t>LED - 6W (Halogen baseline) (310-749 lumens)</t>
  </si>
  <si>
    <t>LED Nightlights</t>
  </si>
  <si>
    <t xml:space="preserve">*The present value cost of multiple Halogen or CFL bulbs over the life of the measure is typically at or below $0.  For modeling purposes, use $.000001 to model these measures within DSMore. </t>
  </si>
  <si>
    <t xml:space="preserve">**EUL-BUS based on MO TRM - 20,000 hours total life; 3,351 annual hours of use for average building type.  </t>
  </si>
  <si>
    <t>Evaluation Formula:</t>
  </si>
  <si>
    <t>Factor</t>
  </si>
  <si>
    <t>Term</t>
  </si>
  <si>
    <t xml:space="preserve">Measure Category </t>
  </si>
  <si>
    <t>Value</t>
  </si>
  <si>
    <t>Notes</t>
  </si>
  <si>
    <t>  Watts Base</t>
  </si>
  <si>
    <t>Baseline wattage, based on lumens of LED bulb installed.</t>
  </si>
  <si>
    <t>Ameren Missouri Lighting Evaluation PY2018</t>
  </si>
  <si>
    <t>WattsBase after EISA 2020 value from TRM matched to closest cell against base wattage</t>
  </si>
  <si>
    <t>EISA Baseline for Lumen Range (reference IL TRM)</t>
  </si>
  <si>
    <t>WattsBase after EISA 2020 value from TRM matched to closest cell against Average lumen-equivalent halogen wattage for program bulbs</t>
  </si>
  <si>
    <t>Calculation: 850 lumen / 45 lumen per watt, where 850 lumen is the actual value from program delivery for BR30 LED.</t>
  </si>
  <si>
    <t>2019 IL TRM, section 5.5.6.</t>
  </si>
  <si>
    <t>Table in TRM WattsBase after EISA 2020 = WattsBase before EISA 2020 over 2600 Lumens. Lumens are &gt;2600 based off 18W flood EISA compliant baseline of 100W</t>
  </si>
  <si>
    <t>Bulb-type and lumen look-up in Energy Star database</t>
  </si>
  <si>
    <t>WattsBase after EISA 2020 value from TRM matched against Average lumen-equivalent halogen wattage for program bulbs</t>
  </si>
  <si>
    <t>Based on 4W EE</t>
  </si>
  <si>
    <t>Compared to 43W (nearest) pre-EISA baseline</t>
  </si>
  <si>
    <t xml:space="preserve"> EISA Baseline for 310-749 lumen A-Lamps </t>
  </si>
  <si>
    <t>IL TRM V9.0, section 5.5.11</t>
  </si>
  <si>
    <t>  Watts EE</t>
  </si>
  <si>
    <t>Actual wattage of LED purchased / installed</t>
  </si>
  <si>
    <t>Program Wattage</t>
  </si>
  <si>
    <t xml:space="preserve"> Bulb nameplaate Wattage </t>
  </si>
  <si>
    <t>ISR</t>
  </si>
  <si>
    <t>In Service Rate, the percentage of units rebated that are actually in service</t>
  </si>
  <si>
    <t>All</t>
  </si>
  <si>
    <t>Ameren Missouri Lighting Evaluation PY2019 (weighted average value for Upsteam and Online)</t>
  </si>
  <si>
    <t>PY19 Bulbs</t>
  </si>
  <si>
    <t>Online Store - Standard</t>
  </si>
  <si>
    <t>Online Store - Reflector</t>
  </si>
  <si>
    <t>Online Store - Specialty</t>
  </si>
  <si>
    <t xml:space="preserve">Upstream - Standard </t>
  </si>
  <si>
    <t>Upstream - Reflector</t>
  </si>
  <si>
    <t>Upstream - Specialty</t>
  </si>
  <si>
    <t>Leakage</t>
  </si>
  <si>
    <t>Leakage rate (program bulbs installed outside Ameren Missouri's service area)</t>
  </si>
  <si>
    <t xml:space="preserve">Online Store </t>
  </si>
  <si>
    <t>Upstream</t>
  </si>
  <si>
    <t>HOU_Res</t>
  </si>
  <si>
    <t>Average hours of use per year for residential homes</t>
  </si>
  <si>
    <t>Non-Nightlight</t>
  </si>
  <si>
    <t>2017 Ameren MO Lighting study  - Matches Ameren Missouri Lighting Evaluation PY2018</t>
  </si>
  <si>
    <t>Nightlight</t>
  </si>
  <si>
    <t>WHF_Res</t>
  </si>
  <si>
    <t xml:space="preserve">Waste Heat Factor for energy to account for electric heating increase from reducing waste heat from efficient lighting (if fossil fuel heating – see calculation of heating penalty in that section). </t>
  </si>
  <si>
    <t>Res  energy</t>
  </si>
  <si>
    <t>PY 14 Eval</t>
  </si>
  <si>
    <t>HOU_NRES</t>
  </si>
  <si>
    <t>Average hours of use per year for non- residential homes</t>
  </si>
  <si>
    <t xml:space="preserve">Illinois TRM v5.0, Lighting Reference Tables (Sec. 4.5.1), "Unknown" Building type, screw base lamp operating hours / 365 
*** Multiplied by 365 so equation doesn’t need hard coded values of 365 </t>
  </si>
  <si>
    <t>WHF_Nres</t>
  </si>
  <si>
    <t>NRES</t>
  </si>
  <si>
    <t>PY16 value equal to PY15</t>
  </si>
  <si>
    <t>%Res</t>
  </si>
  <si>
    <t>Percentage of bulbs sold to residential customers</t>
  </si>
  <si>
    <t>Ameren Missouri Lighting Evaluation PY2019 Final Report, Appendices, Table 2 (weighted average value for Upsteam and Online)</t>
  </si>
  <si>
    <t>EUL Residential</t>
  </si>
  <si>
    <t>Effective Useful Life</t>
  </si>
  <si>
    <t xml:space="preserve">Based on 100,000 hour rated lamp lifetime, with 19-year measure life cap. Equipment used by programs is rated for 100,000 hours: https://products.amconservationgroup.com/led-night-light/ </t>
  </si>
  <si>
    <t>EUL Business</t>
  </si>
  <si>
    <t>Inc. Cost</t>
  </si>
  <si>
    <t>Incremental Cost</t>
  </si>
  <si>
    <t>Specialty connected lighting has an additional $20 cost per IL TRM 2019</t>
  </si>
  <si>
    <t>RESIDENTIAL EFFICIENT PRODUCTS</t>
  </si>
  <si>
    <t>Heat Pump Hot Water Heater</t>
  </si>
  <si>
    <t>Program/Channel</t>
  </si>
  <si>
    <t>End Use</t>
  </si>
  <si>
    <t>kW Factor</t>
  </si>
  <si>
    <r>
      <t>kWh</t>
    </r>
    <r>
      <rPr>
        <vertAlign val="subscript"/>
        <sz val="11"/>
        <rFont val="Calibri"/>
        <family val="2"/>
        <scheme val="minor"/>
      </rPr>
      <t>cool</t>
    </r>
  </si>
  <si>
    <r>
      <t>kWh</t>
    </r>
    <r>
      <rPr>
        <vertAlign val="subscript"/>
        <sz val="11"/>
        <rFont val="Calibri"/>
        <family val="2"/>
        <scheme val="minor"/>
      </rPr>
      <t>heat</t>
    </r>
    <r>
      <rPr>
        <sz val="11"/>
        <rFont val="Calibri"/>
        <family val="2"/>
        <scheme val="minor"/>
      </rPr>
      <t xml:space="preserve"> - Electric Resistance</t>
    </r>
  </si>
  <si>
    <r>
      <t>kWh</t>
    </r>
    <r>
      <rPr>
        <vertAlign val="subscript"/>
        <sz val="11"/>
        <rFont val="Calibri"/>
        <family val="2"/>
        <scheme val="minor"/>
      </rPr>
      <t>heat</t>
    </r>
    <r>
      <rPr>
        <sz val="11"/>
        <rFont val="Calibri"/>
        <family val="2"/>
        <scheme val="minor"/>
      </rPr>
      <t xml:space="preserve"> - Heat Pumps</t>
    </r>
  </si>
  <si>
    <t>EUL</t>
  </si>
  <si>
    <t>250050_2019_12_</t>
  </si>
  <si>
    <t>Efficient Products</t>
  </si>
  <si>
    <t>Water Heating RES</t>
  </si>
  <si>
    <t>per measure</t>
  </si>
  <si>
    <t>Parameter</t>
  </si>
  <si>
    <t>Source</t>
  </si>
  <si>
    <r>
      <t>EF</t>
    </r>
    <r>
      <rPr>
        <vertAlign val="subscript"/>
        <sz val="11"/>
        <rFont val="Calibri"/>
        <family val="2"/>
        <scheme val="minor"/>
      </rPr>
      <t>BASE</t>
    </r>
  </si>
  <si>
    <t>Efficient rating of baseline equipment</t>
  </si>
  <si>
    <t>Federal minimum efficiency standard</t>
  </si>
  <si>
    <t xml:space="preserve">Updated value matches EM&amp;V, originall 0.945.  Further investigation required to determine UEF baseline. </t>
  </si>
  <si>
    <r>
      <t>EF</t>
    </r>
    <r>
      <rPr>
        <vertAlign val="subscript"/>
        <sz val="11"/>
        <rFont val="Calibri"/>
        <family val="2"/>
        <scheme val="minor"/>
      </rPr>
      <t>EE</t>
    </r>
  </si>
  <si>
    <t>Efficient rating of efficient equipment</t>
  </si>
  <si>
    <t>PY18 EfficientProducts Database - Average EF</t>
  </si>
  <si>
    <t>Value matches EM&amp;V</t>
  </si>
  <si>
    <t>GPD</t>
  </si>
  <si>
    <t>Gallons per day</t>
  </si>
  <si>
    <t>MO 2017 TRM, section 3.3.5, GPD based on 45.5 gallons of hot water per day per household and 2.59 people per household, from Residential End Uses of Water Study 2013 Update. Prepared by Deoreo, B., and P. Mayer for the Water Research Foundation, 2014.</t>
  </si>
  <si>
    <t xml:space="preserve">Defined at gallons per a day per a person in the Statewide TRM (EM&amp;V defines GPD as gallons per a day per a household). </t>
  </si>
  <si>
    <t>Household</t>
  </si>
  <si>
    <t>Average number of people per household</t>
  </si>
  <si>
    <t>Ameren Missouri Efficient Products Evaluation PY2018</t>
  </si>
  <si>
    <t>Not defined by EM&amp;V</t>
  </si>
  <si>
    <t>Days per year</t>
  </si>
  <si>
    <t>Conversion Factor (days/year)</t>
  </si>
  <si>
    <t>Den</t>
  </si>
  <si>
    <t>Specific weight of water</t>
  </si>
  <si>
    <t>Density of water (lb/gallon)</t>
  </si>
  <si>
    <t>HWT</t>
  </si>
  <si>
    <t>TOUT = Tank temperature</t>
  </si>
  <si>
    <t>Illinois TRM v6</t>
  </si>
  <si>
    <t>CWT</t>
  </si>
  <si>
    <t>Incoming water temperature from well or municipal system</t>
  </si>
  <si>
    <t>Using 40" deep soil temp as a proxy at Powell Gardens SCAN site. 12 month average of available data from 3/28/02–10/11/14</t>
  </si>
  <si>
    <r>
      <t>C</t>
    </r>
    <r>
      <rPr>
        <vertAlign val="subscript"/>
        <sz val="11"/>
        <rFont val="Calibri"/>
        <family val="2"/>
        <scheme val="minor"/>
      </rPr>
      <t>P</t>
    </r>
  </si>
  <si>
    <t>Heat capacity of water (1 Btu/lb*°F)</t>
  </si>
  <si>
    <t>Specific Heat of Water  (Btu/lb-oF)</t>
  </si>
  <si>
    <t>Conversion Factor (Btu/kWh)</t>
  </si>
  <si>
    <t>Value matches TRM</t>
  </si>
  <si>
    <t>LF</t>
  </si>
  <si>
    <t>Location Factor</t>
  </si>
  <si>
    <t>Wisconsin TRM unknown location</t>
  </si>
  <si>
    <t>PY18 Ameren Missouri Evaluation</t>
  </si>
  <si>
    <r>
      <t>WHF</t>
    </r>
    <r>
      <rPr>
        <vertAlign val="subscript"/>
        <sz val="11"/>
        <rFont val="Calibri"/>
        <family val="2"/>
        <scheme val="minor"/>
      </rPr>
      <t>C</t>
    </r>
  </si>
  <si>
    <t>Portion of reduced waste heat that results in cooling savings</t>
  </si>
  <si>
    <t>MO 2017 TRM, section 3.3.5</t>
  </si>
  <si>
    <t>Based on 193 days where CDD 65&gt;0, divided by 365.25. CDD days determined with a base temp of 65°F.</t>
  </si>
  <si>
    <r>
      <t>WHF</t>
    </r>
    <r>
      <rPr>
        <vertAlign val="subscript"/>
        <sz val="11"/>
        <rFont val="Calibri"/>
        <family val="2"/>
        <scheme val="minor"/>
      </rPr>
      <t>H</t>
    </r>
  </si>
  <si>
    <t>Portion of reduced waste heat that results in increased heating load</t>
  </si>
  <si>
    <t>Based on 157 days where HDD 60&gt;0, divided by 365.25. HDD days determined from Climate Normals data with a base temp of 60°F. NOTE: The HDD base temperature for residential measures in the MO-TRM v.1.0 is a non-consensus item. The calculations made in this measure have been based on HDD60. Please refer to Appendix A in Vol 1 of the MO-TRM v1.0 for full documentation of this non-consensus issue and stakeholder positions regarding the appropriate use of HDD60 vs. HDD65. As a non-consensus item, this value should be revisited in future TRM versions.</t>
  </si>
  <si>
    <t>COPcool</t>
  </si>
  <si>
    <t xml:space="preserve">COP of central air conditioner - Actual, or if unknown, assume 2.8 </t>
  </si>
  <si>
    <t>Starting from standard assumption of SEER 10.5 central AC unit, converted to 9.5 EER using algorithm (-0.02 * SEER2) + (1.12 * SEER) (from Wassmer, M. (2003); A Component-Based Model for Residential Air Conditioner and Heat Pump Energy Calculations. Masters Thesis, University of Colorado at Boulder), converted to COP = EER/3.412 = 2.8COP).</t>
  </si>
  <si>
    <t>COPheat</t>
  </si>
  <si>
    <t>Electric Resistance</t>
  </si>
  <si>
    <t>COP (Effective COP Estimate) (HSPF/3.412)*0.85</t>
  </si>
  <si>
    <t>Heat Pump - Installed before 2006</t>
  </si>
  <si>
    <t>Heat Pump - Installed from 2006-2014</t>
  </si>
  <si>
    <t>Heat Pump - Installed in 2015 and After</t>
  </si>
  <si>
    <t>LM</t>
  </si>
  <si>
    <t>Latent multiplier to account for latent cooling demand</t>
  </si>
  <si>
    <t>Wisconsin and Illinois TRMs</t>
  </si>
  <si>
    <t>%Cool</t>
  </si>
  <si>
    <t>Percentage of homes with central cooling</t>
  </si>
  <si>
    <t>Ameren Missouri PY2019 Baseline Study (Non-Low Income Saturation of Central AC)</t>
  </si>
  <si>
    <t xml:space="preserve">%ElectricHeat - Electric Resistance Saturation </t>
  </si>
  <si>
    <t xml:space="preserve">Electric Resistance Saturation </t>
  </si>
  <si>
    <t>PY18 Efficient Products tracking data (Heating System type)</t>
  </si>
  <si>
    <t>%ElectricHeat - Heat Pump Saturation</t>
  </si>
  <si>
    <t>Heat Pump Saturation</t>
  </si>
  <si>
    <t xml:space="preserve">Value matches EM&amp;V not updated as </t>
  </si>
  <si>
    <t>Installation Rate</t>
  </si>
  <si>
    <t>Ameren Missouri Efficient Products Evaluation PY2019 (Table 6-9)</t>
  </si>
  <si>
    <t>Learning Thermostat / Advanced Thermostat</t>
  </si>
  <si>
    <t xml:space="preserve">*CompE = Comprehensive Envelope </t>
  </si>
  <si>
    <t>250100_2021_12_</t>
  </si>
  <si>
    <t>Learning Thermostat - ASHP heating/cooling SF</t>
  </si>
  <si>
    <t>Cooling RES</t>
  </si>
  <si>
    <t>Heating RES</t>
  </si>
  <si>
    <t>250101_2021_12_</t>
  </si>
  <si>
    <t>Learning Thermostat - ASHP heating/cooling MF</t>
  </si>
  <si>
    <t>250102_2021_12_</t>
  </si>
  <si>
    <t>250150_2021_12_</t>
  </si>
  <si>
    <t>Learning Thermostat - electric furnace heating / central AC MF</t>
  </si>
  <si>
    <t>250151_2021_12_</t>
  </si>
  <si>
    <t>250250_2021_12_</t>
  </si>
  <si>
    <t>Learning Thermostat - electric furnace heating / central AC SF</t>
  </si>
  <si>
    <t>250350_2021_12_</t>
  </si>
  <si>
    <t>Learning Thermostat - Gas Heated / central AC SF**</t>
  </si>
  <si>
    <t>250351_2021_12_</t>
  </si>
  <si>
    <t>Learning Thermostat - Gas Heated / central AC MF**</t>
  </si>
  <si>
    <t>250352_2021_12_</t>
  </si>
  <si>
    <t>Learning Thermostat - Gas Heated / central AC MF_CompE**</t>
  </si>
  <si>
    <t>250450_2021_12_</t>
  </si>
  <si>
    <t>Learning Thermostat - Unknown SF**</t>
  </si>
  <si>
    <t>250451_2021_12_</t>
  </si>
  <si>
    <t>Learning Thermostat - Unknown MF**</t>
  </si>
  <si>
    <t>250452_2021_12_</t>
  </si>
  <si>
    <t>Learning Thermostat - Unknown MF_CompE**</t>
  </si>
  <si>
    <t>**If not claiming gas value is applicable to propane as well</t>
  </si>
  <si>
    <t xml:space="preserve">                                                                                                                                              </t>
  </si>
  <si>
    <t>Frequency</t>
  </si>
  <si>
    <t>Comments</t>
  </si>
  <si>
    <t>%ElectricHeat</t>
  </si>
  <si>
    <t>MO - TRM</t>
  </si>
  <si>
    <t>Ameren Missouri Efficient Products Evaluation PY2020</t>
  </si>
  <si>
    <t>HeatingConsumption_Electric</t>
  </si>
  <si>
    <t xml:space="preserve">Ameren Missouri Efficient Products Evaluation PY2018 workpapers.  For Comprehensive Envelope (CompE) Measures , the ratio of MF effective full load hours (1496) to the Opinion Dynamic recommendation for Comprehensive Envelope full load hours (509) was used to scale heating consumption values.  </t>
  </si>
  <si>
    <t>Default if efficiency is unknown:  Use new equipment specification if new system installed</t>
  </si>
  <si>
    <t>North East (Fort Madison, IA)</t>
  </si>
  <si>
    <t>North West (Lincoln, NE)</t>
  </si>
  <si>
    <t>South East (Cape Girardeau, MO)</t>
  </si>
  <si>
    <t>South West (Kaiser, MO)</t>
  </si>
  <si>
    <t>HF</t>
  </si>
  <si>
    <t>St Louis, MO</t>
  </si>
  <si>
    <t>Kansas City, MO</t>
  </si>
  <si>
    <t>Average/Unknown (Knob Noster)</t>
  </si>
  <si>
    <t>HeatingReduction</t>
  </si>
  <si>
    <t>Unknown Baseline (Weighted Average)</t>
  </si>
  <si>
    <t>MO Statewide TRM weighted with survey data</t>
  </si>
  <si>
    <t>Frequency of Baseline Thermostats</t>
  </si>
  <si>
    <t>Baseline Manual Thermostat</t>
  </si>
  <si>
    <t>Baseline Programmable Thermostat</t>
  </si>
  <si>
    <t>Baseline Smart Thermostat</t>
  </si>
  <si>
    <t>Eff_ISR</t>
  </si>
  <si>
    <t>Default value could change with evaluation</t>
  </si>
  <si>
    <t>All - HVAC Program</t>
  </si>
  <si>
    <t>∆Therms</t>
  </si>
  <si>
    <t>Calculated</t>
  </si>
  <si>
    <t>Fe</t>
  </si>
  <si>
    <t>Default value no alternative</t>
  </si>
  <si>
    <t>%AC</t>
  </si>
  <si>
    <r>
      <t xml:space="preserve">EFLH </t>
    </r>
    <r>
      <rPr>
        <vertAlign val="subscript"/>
        <sz val="11"/>
        <rFont val="Calibri Light"/>
        <family val="2"/>
        <scheme val="major"/>
      </rPr>
      <t>cool</t>
    </r>
  </si>
  <si>
    <t>SF &amp; MF</t>
  </si>
  <si>
    <t>St Louis</t>
  </si>
  <si>
    <t>MFc</t>
  </si>
  <si>
    <t>Evaluation - Opinion Dynamics review PY19</t>
  </si>
  <si>
    <t>CapacityCool</t>
  </si>
  <si>
    <t>SF</t>
  </si>
  <si>
    <t>Default if capacity is unknown</t>
  </si>
  <si>
    <t>MF</t>
  </si>
  <si>
    <t>none</t>
  </si>
  <si>
    <t>SEER</t>
  </si>
  <si>
    <t>Based on minimum federal standard</t>
  </si>
  <si>
    <t>CoolingReduction</t>
  </si>
  <si>
    <t>%FossilHeat</t>
  </si>
  <si>
    <t>Tracking Database</t>
  </si>
  <si>
    <t>HeatingConsumption_Gas</t>
  </si>
  <si>
    <t>Ameren Missouri Efficient Products Evaluation PY2017</t>
  </si>
  <si>
    <t>St. Louis</t>
  </si>
  <si>
    <t>IL TRM v8.0 pg 165</t>
  </si>
  <si>
    <t>The assumed incremental cost is based on the middle of the range ($175) minus a cost of $50 for the baseline equipment blend of manual
and programmable thermostats.</t>
  </si>
  <si>
    <t xml:space="preserve"> kW</t>
  </si>
  <si>
    <t>250500_2021_12_</t>
  </si>
  <si>
    <t>ENERGY STAR Pool Pump and motor w auto controls - multi speed</t>
  </si>
  <si>
    <t>Pool Spa RES</t>
  </si>
  <si>
    <t>250550_2021_12_</t>
  </si>
  <si>
    <t>250551_2021_12_</t>
  </si>
  <si>
    <t>ENERGY STAR VFDs on Residential Swimming Pool Pumps - ER</t>
  </si>
  <si>
    <t>For TOS and NC:</t>
  </si>
  <si>
    <t>For Early Replacement</t>
  </si>
  <si>
    <t>Multi-Speed Value</t>
  </si>
  <si>
    <t>VFD Value</t>
  </si>
  <si>
    <t>Gallons</t>
  </si>
  <si>
    <t>Capacity of the pool (gal)</t>
  </si>
  <si>
    <t>ENERGY STAR Pool Pump Calculator (accessed 06/2021)</t>
  </si>
  <si>
    <t>Turnovers</t>
  </si>
  <si>
    <t>Desired number of pool water turnovers per day</t>
  </si>
  <si>
    <t>WEFbase</t>
  </si>
  <si>
    <t>Weighted Energy Factor of baseline pump (gal/Wh)</t>
  </si>
  <si>
    <t>Consistent with IL-TRM V10.0 assumption, which is based on applying the federal standard specifications to the average Curve-C rated hydraulic horsepower (hhp) from the ENERGY STAR Qualified Products List, accessed 3/31/2021.</t>
  </si>
  <si>
    <t>WEFee</t>
  </si>
  <si>
    <t>Weighted Energy Factor of installed ENERGY STAR pump (gal/Wh)</t>
  </si>
  <si>
    <t>Consistent with IL-TRM V10.0 assumption, which is based on applying the ENERGY STAR specifications to the average Curve-C rated hydraulic horsepower (hhp) from the ENERGY STAR Qualified Products List, accessed 3/31/2021.</t>
  </si>
  <si>
    <t>EFexist</t>
  </si>
  <si>
    <t>Energy Factor of existing single speed pump (gal/Wh)</t>
  </si>
  <si>
    <t>ENERGY STAR Pool Pump Calculator, assuming 1.5 HP pump (accessed 06/2021)</t>
  </si>
  <si>
    <t>Days per Year of Operation</t>
  </si>
  <si>
    <t>Runtime in hours/day using single speed (ss) pump</t>
  </si>
  <si>
    <t xml:space="preserve">ES Pool Pump Calculator downloaded on   (version last updated 12-13) and adjusted for dual speed in Missouri </t>
  </si>
  <si>
    <t>Runtime in hours/day in low speed (ls) using dual speed (ds) pump</t>
  </si>
  <si>
    <t>Runtime in hours/day in high speed (hs) using dual speed (ds) pump</t>
  </si>
  <si>
    <t>Gallons per minute using single speed (ss) pump</t>
  </si>
  <si>
    <t>Gallons per minute in low speed (ls) using dual speed (ds) pump</t>
  </si>
  <si>
    <t>Gallons per minute in high speed (ls) using dual speed (ds) pump</t>
  </si>
  <si>
    <t>Efss</t>
  </si>
  <si>
    <t>Energy factor (gallons/watt-hr) using single speed (ss) pump</t>
  </si>
  <si>
    <t>Efls</t>
  </si>
  <si>
    <t>Energy factor (gallons/watt-hr) in low speed (ls) using dual speed (ds) pump</t>
  </si>
  <si>
    <t>Efhs</t>
  </si>
  <si>
    <t>Energy factor (gallons/watt-hr) in high speed (hs) using dual speed (ds) pump</t>
  </si>
  <si>
    <t>ENERGY STAR® Pool Pump Calculator, using the difference between the two speed pool pump and variable speed pool pump incremental costs.</t>
  </si>
  <si>
    <t>Advanced Power Strips Tier 2  /  Advanced Control Stategies</t>
  </si>
  <si>
    <t>250600_2019_12_</t>
  </si>
  <si>
    <t>Advanced Tier 2 Power Strips  -  A</t>
  </si>
  <si>
    <t>Miscellaneous RES</t>
  </si>
  <si>
    <t>250650_2019_12_</t>
  </si>
  <si>
    <t>Advanced Tier 2 Power Strips -  B</t>
  </si>
  <si>
    <t>250700_2019_12_</t>
  </si>
  <si>
    <t>Advanced Tier 2 Power Strips -  C</t>
  </si>
  <si>
    <t>250750_2019_12_</t>
  </si>
  <si>
    <t>Advanced Tier 2 Power Strips -  D</t>
  </si>
  <si>
    <t>250800_2019_12_</t>
  </si>
  <si>
    <t>Advanced Tier 2 Power Strips -  E</t>
  </si>
  <si>
    <t>250850_2019_12_</t>
  </si>
  <si>
    <t>Advanced Tier 2 Power Strips -  F</t>
  </si>
  <si>
    <t>250900_2019_12_</t>
  </si>
  <si>
    <t>Advanced Tier 2 Power Strips -  G</t>
  </si>
  <si>
    <t>250950_2019_12_</t>
  </si>
  <si>
    <t>Advanced Tier 2 Power Strips -  H</t>
  </si>
  <si>
    <t>251000_2019_12_</t>
  </si>
  <si>
    <t>Advanced Tier 2 Power Strips / TOS/NC / Average</t>
  </si>
  <si>
    <t>251001_2020_12_</t>
  </si>
  <si>
    <t>Advanced Tier 2 Power Strips / DI / Average</t>
  </si>
  <si>
    <t>*The actual full installation cost of the Tier 2 AV APS (including equipment and labor) should be used.</t>
  </si>
  <si>
    <t>* No update -  Measure not in PY 2017</t>
  </si>
  <si>
    <t>* No update -  Measure not in PY 2018</t>
  </si>
  <si>
    <t>Comments:</t>
  </si>
  <si>
    <t>BaselineEnergyAV</t>
  </si>
  <si>
    <t>Baseline kWh usage</t>
  </si>
  <si>
    <t xml:space="preserve">“Energy Savings of Tier 2 Advanced Power Strips in Residential AV Systems,” AESC, Inc., February 2016. Note this load represents the average controlled AV devices only and will likely be lower than total AV usage.  </t>
  </si>
  <si>
    <t>ERP</t>
  </si>
  <si>
    <t>Energy Reduction Percentage</t>
  </si>
  <si>
    <t>Product Class A</t>
  </si>
  <si>
    <t>2017 MO TRM, volume 3, pg 46</t>
  </si>
  <si>
    <t>Product Class B</t>
  </si>
  <si>
    <t>Used in calculation for average</t>
  </si>
  <si>
    <t>Product Class C</t>
  </si>
  <si>
    <t>Product Class D</t>
  </si>
  <si>
    <t>Product Class E</t>
  </si>
  <si>
    <t>Product Class F</t>
  </si>
  <si>
    <t>Product Class G</t>
  </si>
  <si>
    <t>Product Class H</t>
  </si>
  <si>
    <t>Average</t>
  </si>
  <si>
    <t>Average of product classes B and G</t>
  </si>
  <si>
    <t>In service rate</t>
  </si>
  <si>
    <t>Non-DI</t>
  </si>
  <si>
    <t>DI</t>
  </si>
  <si>
    <t>Ameren Missouri Single Family Income Eligible Evaluation PY2019 (Table 10-10)</t>
  </si>
  <si>
    <t>Online market research</t>
  </si>
  <si>
    <t>https://www.walmart.com/ip/TrickleStar-00627-3-Cord-7-Outlet-Tier-1-Power-Strip-7-OUTLET-TIER-1-ADVANCED-POWERSTRIP-1-080-JOULES-3-FOOT-POWER-CORD-ALUMI/836049860?wmlspartner=wlpa&amp;selectedSellerId=1087
https://www.walmart.com/ip/Embertec-00035-8AV-Emberstrip-with-Classic-Sensor-EMBERTEC-CLASSIC-8AV/693567947?wmlspartner=wlpa&amp;selectedSellerId=1087
https://www.amazon.com/AHRISE-Protector%EF%BC%881680-Outlets-outlets-Extension/dp/B07WGN3X5F/ref=sr_1_3?dchild=1&amp;keywords=smart+power+strip&amp;qid=1595622845&amp;sr=8-3
https://www.amazon.com/Kasa-Smart-Protector-Required-KP303/dp/B083JKSSR5/ref=sr_1_4?dchild=1&amp;keywords=smart+power+strip&amp;qid=1595622845&amp;sr=8-4</t>
  </si>
  <si>
    <t>Actual for SF Income Eligible program.</t>
  </si>
  <si>
    <t>ENERGY STAR Air Purifier</t>
  </si>
  <si>
    <t>251050_2019_12_</t>
  </si>
  <si>
    <t>ENERGY STAR Air Purifier/Cleaner</t>
  </si>
  <si>
    <t>HVAC RES</t>
  </si>
  <si>
    <r>
      <t>Eff</t>
    </r>
    <r>
      <rPr>
        <vertAlign val="subscript"/>
        <sz val="11"/>
        <rFont val="Calibri"/>
        <family val="2"/>
        <scheme val="minor"/>
      </rPr>
      <t>ES</t>
    </r>
    <r>
      <rPr>
        <sz val="11"/>
        <rFont val="Calibri"/>
        <family val="2"/>
        <scheme val="minor"/>
      </rPr>
      <t xml:space="preserve"> </t>
    </r>
  </si>
  <si>
    <t>CADR/Watt for ENERGY STAR (ES) unit</t>
  </si>
  <si>
    <t>Ameren Missouri PY18 EfficientProducts Database</t>
  </si>
  <si>
    <r>
      <t>Eff</t>
    </r>
    <r>
      <rPr>
        <vertAlign val="subscript"/>
        <sz val="11"/>
        <rFont val="Calibri"/>
        <family val="2"/>
        <scheme val="minor"/>
      </rPr>
      <t>BL</t>
    </r>
  </si>
  <si>
    <t xml:space="preserve"> CADR/Watt for baseline (BL) unit</t>
  </si>
  <si>
    <t>ENERGY STAR Appliance Calculator as of January 2016</t>
  </si>
  <si>
    <r>
      <t>SB</t>
    </r>
    <r>
      <rPr>
        <vertAlign val="subscript"/>
        <sz val="11"/>
        <rFont val="Calibri"/>
        <family val="2"/>
        <scheme val="minor"/>
      </rPr>
      <t xml:space="preserve">ES </t>
    </r>
  </si>
  <si>
    <t>Standby for ENERGY STAR</t>
  </si>
  <si>
    <r>
      <t>SB</t>
    </r>
    <r>
      <rPr>
        <vertAlign val="subscript"/>
        <sz val="11"/>
        <rFont val="Calibri"/>
        <family val="2"/>
        <scheme val="minor"/>
      </rPr>
      <t>BL</t>
    </r>
    <r>
      <rPr>
        <sz val="11"/>
        <rFont val="Calibri"/>
        <family val="2"/>
        <scheme val="minor"/>
      </rPr>
      <t xml:space="preserve"> </t>
    </r>
  </si>
  <si>
    <t xml:space="preserve">Standby for baseline  </t>
  </si>
  <si>
    <t>CADR</t>
  </si>
  <si>
    <t xml:space="preserve"> Clean air delivery rate (CFM) for dust </t>
  </si>
  <si>
    <r>
      <t>Hr</t>
    </r>
    <r>
      <rPr>
        <vertAlign val="subscript"/>
        <sz val="11"/>
        <rFont val="Calibri"/>
        <family val="2"/>
        <scheme val="minor"/>
      </rPr>
      <t>oper</t>
    </r>
  </si>
  <si>
    <t xml:space="preserve"> Hours Per Day of Operation</t>
  </si>
  <si>
    <t>Days per Year</t>
  </si>
  <si>
    <t xml:space="preserve">PY18 Participant Survey </t>
  </si>
  <si>
    <t>ENERGY STAR Dehumidifier</t>
  </si>
  <si>
    <t>251100_2019_12_</t>
  </si>
  <si>
    <t>ENERGY STAR Annual kWh Limit</t>
  </si>
  <si>
    <t>Maximum allowed annual kWh in order to meet ENERGY STAR standards</t>
  </si>
  <si>
    <t>≤25 pints/day</t>
  </si>
  <si>
    <t>1.35 ≥ L/kWh</t>
  </si>
  <si>
    <t>Federal Standard Annual kWh Limit</t>
  </si>
  <si>
    <t>&gt; 25 to ≤35 pints/day</t>
  </si>
  <si>
    <t>&gt; 35 to ≤45 pints/day</t>
  </si>
  <si>
    <t>1.5 ≥ L/kWh</t>
  </si>
  <si>
    <t>&gt; 45 to ≤ 54 pints/day</t>
  </si>
  <si>
    <t>1.6 ≥ L/kWh</t>
  </si>
  <si>
    <t>&gt; 54 to ≤ 75 pints/day</t>
  </si>
  <si>
    <t>1.7 ≥ L/kWh</t>
  </si>
  <si>
    <t>&gt; 75 to ≤ 185 pints/day</t>
  </si>
  <si>
    <t>2.5 ≥ L/kWh</t>
  </si>
  <si>
    <t>Maximum allowed annual kWh in order to meet Federal standards</t>
  </si>
  <si>
    <t>2 ≥ L/kWh</t>
  </si>
  <si>
    <t>2.8 ≥ L/kWh</t>
  </si>
  <si>
    <t>Weighted Average Savings</t>
  </si>
  <si>
    <t xml:space="preserve">kWh difference between Federal and ENERGY STAR limits, weighted by the number of units in each prodcut class on the ENERGY STAR certified list. </t>
  </si>
  <si>
    <t>Energy Star Room AC</t>
  </si>
  <si>
    <t>251150_2019_12_</t>
  </si>
  <si>
    <t>ENERGY STAR Room AC (kWh w ISR)</t>
  </si>
  <si>
    <t>251200_2019_12_</t>
  </si>
  <si>
    <t>ENERGY STAR Room AC (kWh w/o ISR)</t>
  </si>
  <si>
    <t>Efficient Products Source</t>
  </si>
  <si>
    <t>Value Efficient Products</t>
  </si>
  <si>
    <t>SF Value</t>
  </si>
  <si>
    <t>Btu/hr</t>
  </si>
  <si>
    <t>PY18 Ameren Missouri tracking Database (average BTU)</t>
  </si>
  <si>
    <r>
      <t>EER</t>
    </r>
    <r>
      <rPr>
        <vertAlign val="subscript"/>
        <sz val="11"/>
        <rFont val="Calibri"/>
        <family val="2"/>
        <scheme val="minor"/>
      </rPr>
      <t>BASE</t>
    </r>
  </si>
  <si>
    <t>MO Statewide TRM</t>
  </si>
  <si>
    <r>
      <t>EER</t>
    </r>
    <r>
      <rPr>
        <vertAlign val="subscript"/>
        <sz val="11"/>
        <color theme="1"/>
        <rFont val="Calibri"/>
        <family val="2"/>
        <scheme val="minor"/>
      </rPr>
      <t>BASE</t>
    </r>
  </si>
  <si>
    <r>
      <t>EER</t>
    </r>
    <r>
      <rPr>
        <vertAlign val="subscript"/>
        <sz val="11"/>
        <rFont val="Calibri"/>
        <family val="2"/>
        <scheme val="minor"/>
      </rPr>
      <t>EFF</t>
    </r>
  </si>
  <si>
    <t xml:space="preserve">PY18 Ameren Missouri tracking Database </t>
  </si>
  <si>
    <r>
      <t>EER</t>
    </r>
    <r>
      <rPr>
        <vertAlign val="subscript"/>
        <sz val="11"/>
        <color theme="1"/>
        <rFont val="Calibri"/>
        <family val="2"/>
        <scheme val="minor"/>
      </rPr>
      <t>EFF</t>
    </r>
  </si>
  <si>
    <r>
      <t>EER</t>
    </r>
    <r>
      <rPr>
        <vertAlign val="subscript"/>
        <sz val="11"/>
        <rFont val="Calibri"/>
        <family val="2"/>
        <scheme val="minor"/>
      </rPr>
      <t>existing</t>
    </r>
  </si>
  <si>
    <t>N/A</t>
  </si>
  <si>
    <t>EERexisting</t>
  </si>
  <si>
    <r>
      <t>EFLH</t>
    </r>
    <r>
      <rPr>
        <vertAlign val="subscript"/>
        <sz val="11"/>
        <rFont val="Calibri"/>
        <family val="2"/>
        <scheme val="minor"/>
      </rPr>
      <t xml:space="preserve">COOL </t>
    </r>
    <r>
      <rPr>
        <sz val="11"/>
        <rFont val="Calibri"/>
        <family val="2"/>
        <scheme val="minor"/>
      </rPr>
      <t>- Secondary unit</t>
    </r>
  </si>
  <si>
    <t>Ameren Missouri Efficient Products PY 2016 Evaluation</t>
  </si>
  <si>
    <r>
      <t>EFLH</t>
    </r>
    <r>
      <rPr>
        <vertAlign val="subscript"/>
        <sz val="11"/>
        <color theme="1"/>
        <rFont val="Calibri"/>
        <family val="2"/>
        <scheme val="minor"/>
      </rPr>
      <t xml:space="preserve">COOL </t>
    </r>
    <r>
      <rPr>
        <sz val="11"/>
        <color theme="1"/>
        <rFont val="Calibri"/>
        <family val="2"/>
        <scheme val="minor"/>
      </rPr>
      <t>- Secondary unit</t>
    </r>
  </si>
  <si>
    <r>
      <t>EFLH</t>
    </r>
    <r>
      <rPr>
        <vertAlign val="subscript"/>
        <sz val="11"/>
        <rFont val="Calibri"/>
        <family val="2"/>
        <scheme val="minor"/>
      </rPr>
      <t xml:space="preserve">COOL </t>
    </r>
    <r>
      <rPr>
        <sz val="11"/>
        <rFont val="Calibri"/>
        <family val="2"/>
        <scheme val="minor"/>
      </rPr>
      <t>- Primary unit</t>
    </r>
  </si>
  <si>
    <t>PY13 CoolSavers data</t>
  </si>
  <si>
    <r>
      <t>EFLH</t>
    </r>
    <r>
      <rPr>
        <vertAlign val="subscript"/>
        <sz val="11"/>
        <color theme="1"/>
        <rFont val="Calibri"/>
        <family val="2"/>
        <scheme val="minor"/>
      </rPr>
      <t xml:space="preserve">COOL </t>
    </r>
    <r>
      <rPr>
        <sz val="11"/>
        <color theme="1"/>
        <rFont val="Calibri"/>
        <family val="2"/>
        <scheme val="minor"/>
      </rPr>
      <t>- Primary unit</t>
    </r>
  </si>
  <si>
    <t>Conversion factor (Wh to kWh)</t>
  </si>
  <si>
    <t>n/a</t>
  </si>
  <si>
    <t xml:space="preserve">Ameren Missouri PY18 Participant Survey </t>
  </si>
  <si>
    <t>RESIDENTIAL ENERGY EFFICIENCY KITS</t>
  </si>
  <si>
    <t>Dirty Filter Alarm</t>
  </si>
  <si>
    <t>Heating kWh</t>
  </si>
  <si>
    <t>Cooling kWh</t>
  </si>
  <si>
    <t>300050_2019_12_</t>
  </si>
  <si>
    <t>School</t>
  </si>
  <si>
    <t>Dirty Filter Alarm_SF</t>
  </si>
  <si>
    <t>300051_2020_12_</t>
  </si>
  <si>
    <t>300060_2021_12_</t>
  </si>
  <si>
    <t>ARP</t>
  </si>
  <si>
    <t>Dirty Filter Alarm_SF - ARP Kits</t>
  </si>
  <si>
    <t>300100_2019_12_</t>
  </si>
  <si>
    <t>Dirty Filter Alarm_MF</t>
  </si>
  <si>
    <t>300101_2019_12_</t>
  </si>
  <si>
    <t>%Heating</t>
  </si>
  <si>
    <t>Dirty Filter Alarm_SF:School Kits</t>
  </si>
  <si>
    <t>Ameren Missouri EE Kits EM&amp;V PY2018</t>
  </si>
  <si>
    <t>Dirty Filter Alarm_MF: Kits</t>
  </si>
  <si>
    <t>MO - Evaluation</t>
  </si>
  <si>
    <r>
      <t>EFLH</t>
    </r>
    <r>
      <rPr>
        <i/>
        <vertAlign val="subscript"/>
        <sz val="11"/>
        <rFont val="Calibri"/>
        <family val="2"/>
        <scheme val="minor"/>
      </rPr>
      <t>heat</t>
    </r>
  </si>
  <si>
    <t>Ameren Missouri HVAC PY16 Metering Study</t>
  </si>
  <si>
    <t>MFc (MF comprehensive envelope)</t>
  </si>
  <si>
    <t>From Evaluation - Opinion Dynamics review PY19</t>
  </si>
  <si>
    <t>EI</t>
  </si>
  <si>
    <t xml:space="preserve">Public Utilities Commission. State of Pennsylvania Technical Reference Manual. pp 73. 2016. Available online: http://www.puc.pa.gov/pcdocs/1370278.docx </t>
  </si>
  <si>
    <t>Utility Adjustment</t>
  </si>
  <si>
    <t>Ameren Missouri EE Kits Evaluation PY2019 (Appendix Table 47)</t>
  </si>
  <si>
    <t>Ameren Missouri EE Kits PY18 Program Data</t>
  </si>
  <si>
    <t>Ameren Missouri EE Kits Evaluation PY2019 (Table 7-10)</t>
  </si>
  <si>
    <t>Ameren Missouri Community Savers Evaluation PY2018</t>
  </si>
  <si>
    <t>Matches IE Deemed Table value for DI in MF homes.</t>
  </si>
  <si>
    <t>ARP Kits</t>
  </si>
  <si>
    <t>Ameren Missouri Appliance Recycling Evaluation PY2019 (Table 9-4)</t>
  </si>
  <si>
    <r>
      <t>EFLH</t>
    </r>
    <r>
      <rPr>
        <i/>
        <vertAlign val="subscript"/>
        <sz val="11"/>
        <rFont val="Calibri"/>
        <family val="2"/>
        <scheme val="minor"/>
      </rPr>
      <t>cool</t>
    </r>
  </si>
  <si>
    <t>Ameren Missouri HVAC PY2013 Metering Study</t>
  </si>
  <si>
    <t xml:space="preserve">EUL </t>
  </si>
  <si>
    <t>Incremental Cost ($)</t>
  </si>
  <si>
    <t>P</t>
  </si>
  <si>
    <t>Persistence rate of reinstalling alarm after filter change</t>
  </si>
  <si>
    <t>None</t>
  </si>
  <si>
    <t xml:space="preserve">LEDs (per bulb) </t>
  </si>
  <si>
    <t>300150_2019_12_</t>
  </si>
  <si>
    <t>300200_2019_12_</t>
  </si>
  <si>
    <t>300250_2019_12_</t>
  </si>
  <si>
    <t>300251_2020_12_</t>
  </si>
  <si>
    <t>300260_2020_12_</t>
  </si>
  <si>
    <t>LED - 10W (Halogen baseline) (750-1049 lumens) - ARP Kit</t>
  </si>
  <si>
    <t>300300_2019_12_</t>
  </si>
  <si>
    <t>300350_2019_12_</t>
  </si>
  <si>
    <t>300400_2019_12_</t>
  </si>
  <si>
    <t>300401_2020_12_</t>
  </si>
  <si>
    <r>
      <t xml:space="preserve">LED 8W Globe Light G25 Bulb (Halogen Baseline) - </t>
    </r>
    <r>
      <rPr>
        <sz val="11"/>
        <color rgb="FFFF0000"/>
        <rFont val="Calibri"/>
        <family val="2"/>
        <scheme val="minor"/>
      </rPr>
      <t>IE</t>
    </r>
    <r>
      <rPr>
        <sz val="11"/>
        <rFont val="Calibri"/>
        <family val="2"/>
        <scheme val="minor"/>
      </rPr>
      <t xml:space="preserve"> Kit</t>
    </r>
  </si>
  <si>
    <t>300402_2020_12_</t>
  </si>
  <si>
    <r>
      <t xml:space="preserve">LED 20W (Halogen baseline) (1490-2600 lumens) - </t>
    </r>
    <r>
      <rPr>
        <sz val="11"/>
        <color rgb="FFFF0000"/>
        <rFont val="Calibri"/>
        <family val="2"/>
        <scheme val="minor"/>
      </rPr>
      <t>IE</t>
    </r>
    <r>
      <rPr>
        <sz val="11"/>
        <rFont val="Calibri"/>
        <family val="2"/>
        <scheme val="minor"/>
      </rPr>
      <t xml:space="preserve"> Kit</t>
    </r>
  </si>
  <si>
    <t>300403_2020_12_</t>
  </si>
  <si>
    <r>
      <t xml:space="preserve">LED 15W Flood Light PAR30 Bulb (Halogen Baseline) - </t>
    </r>
    <r>
      <rPr>
        <sz val="11"/>
        <color rgb="FFFF0000"/>
        <rFont val="Calibri"/>
        <family val="2"/>
        <scheme val="minor"/>
      </rPr>
      <t>IE</t>
    </r>
    <r>
      <rPr>
        <sz val="11"/>
        <rFont val="Calibri"/>
        <family val="2"/>
        <scheme val="minor"/>
      </rPr>
      <t xml:space="preserve"> Kit</t>
    </r>
  </si>
  <si>
    <t>IE</t>
  </si>
  <si>
    <t>*Costs from IL TRM.  5.5.8</t>
  </si>
  <si>
    <t>Measure Category</t>
  </si>
  <si>
    <r>
      <t>Watts</t>
    </r>
    <r>
      <rPr>
        <vertAlign val="subscript"/>
        <sz val="11"/>
        <rFont val="Calibri"/>
        <family val="2"/>
        <scheme val="minor"/>
      </rPr>
      <t>Base</t>
    </r>
  </si>
  <si>
    <t>Baseline Wattage</t>
  </si>
  <si>
    <t>The lumen-equivalent halogen wattage for LEDs - Ameren Missouri EE KITS PY2018</t>
  </si>
  <si>
    <t>Matches value used in Lighting Deemed Table</t>
  </si>
  <si>
    <r>
      <t>LED 8W Globe Light G25 Bulb (Halogen Baseline) -</t>
    </r>
    <r>
      <rPr>
        <sz val="11"/>
        <color rgb="FFFF0000"/>
        <rFont val="Calibri"/>
        <family val="2"/>
        <scheme val="minor"/>
      </rPr>
      <t xml:space="preserve"> IE</t>
    </r>
    <r>
      <rPr>
        <sz val="11"/>
        <rFont val="Calibri"/>
        <family val="2"/>
        <scheme val="minor"/>
      </rPr>
      <t xml:space="preserve"> Kit</t>
    </r>
  </si>
  <si>
    <t xml:space="preserve"> Ameren Missouri Lighting Evaluation PY2018 </t>
  </si>
  <si>
    <r>
      <t>LED 20W (Halogen baseline) (1490-2600 lumens) -</t>
    </r>
    <r>
      <rPr>
        <sz val="11"/>
        <color rgb="FFFF0000"/>
        <rFont val="Calibri"/>
        <family val="2"/>
        <scheme val="minor"/>
      </rPr>
      <t xml:space="preserve"> IE </t>
    </r>
    <r>
      <rPr>
        <sz val="11"/>
        <rFont val="Calibri"/>
        <family val="2"/>
        <scheme val="minor"/>
      </rPr>
      <t>Kit</t>
    </r>
  </si>
  <si>
    <r>
      <t>LED 15W Flood Light PAR30 Bulb (Halogen Baseline) -</t>
    </r>
    <r>
      <rPr>
        <sz val="11"/>
        <color rgb="FFFF0000"/>
        <rFont val="Calibri"/>
        <family val="2"/>
        <scheme val="minor"/>
      </rPr>
      <t xml:space="preserve"> IE</t>
    </r>
    <r>
      <rPr>
        <sz val="11"/>
        <rFont val="Calibri"/>
        <family val="2"/>
        <scheme val="minor"/>
      </rPr>
      <t xml:space="preserve"> Kit</t>
    </r>
  </si>
  <si>
    <r>
      <t>Watts</t>
    </r>
    <r>
      <rPr>
        <vertAlign val="subscript"/>
        <sz val="11"/>
        <rFont val="Calibri"/>
        <family val="2"/>
        <scheme val="minor"/>
      </rPr>
      <t>EE</t>
    </r>
  </si>
  <si>
    <t>Wattage of new LED installed</t>
  </si>
  <si>
    <t>LED - 10W (CFL baseline)</t>
  </si>
  <si>
    <t>LED - 10W (Halogen baseline)</t>
  </si>
  <si>
    <t>9-watt ENERGY STAR LEDs with 800 lumen output.</t>
  </si>
  <si>
    <t>Program wattage</t>
  </si>
  <si>
    <r>
      <t>Hours</t>
    </r>
    <r>
      <rPr>
        <vertAlign val="subscript"/>
        <sz val="11"/>
        <rFont val="Calibri"/>
        <family val="2"/>
        <scheme val="minor"/>
      </rPr>
      <t>RES</t>
    </r>
  </si>
  <si>
    <t>The average hours of use per day</t>
  </si>
  <si>
    <t xml:space="preserve">2017 Ameren MO Lighting study </t>
  </si>
  <si>
    <t xml:space="preserve">Matches  Ameren Missouri  Evaluation PY2018 </t>
  </si>
  <si>
    <t>Nighlight</t>
  </si>
  <si>
    <t>Days</t>
  </si>
  <si>
    <t>Conversion Factor (day/yr)</t>
  </si>
  <si>
    <t>Conversion Factor (Wh/kWh)</t>
  </si>
  <si>
    <t>WHF</t>
  </si>
  <si>
    <t>WHF to account for interactive effects</t>
  </si>
  <si>
    <t>2017 Ameren MO Lighting study</t>
  </si>
  <si>
    <t>Electric Saturation</t>
  </si>
  <si>
    <t>% Homes with Electric Lighting</t>
  </si>
  <si>
    <t>Electric only measure</t>
  </si>
  <si>
    <t>% Homes in Service Territory</t>
  </si>
  <si>
    <t>Ameren Missouri EE Kits Evaluation PY2019 (Table 7-9)</t>
  </si>
  <si>
    <t>This parameter is sometimes described in terms of Utility Adjustment, where the Utility Adjusment = 1 - Leakage</t>
  </si>
  <si>
    <t>Utility Adjustment (1-Leakage)</t>
  </si>
  <si>
    <t>Multifamily</t>
  </si>
  <si>
    <t>Assumption based on program design</t>
  </si>
  <si>
    <t>Ameren Missouri Appliance Recycling Evaluation PY2019 (Appendix Table 56)</t>
  </si>
  <si>
    <t>Ameren Missouir  EE MF Kits Evaluation PY2018</t>
  </si>
  <si>
    <t>Ameren Missouri Appliance Recycling Evaluation PY2019 (Table 9-9; cumulative value)</t>
  </si>
  <si>
    <t>Kit Faucet Aerators (Kitchen)</t>
  </si>
  <si>
    <t>EPG_electric</t>
  </si>
  <si>
    <t>300450_2019_12_</t>
  </si>
  <si>
    <t>Kit Faucet Aerator (Kitchen)</t>
  </si>
  <si>
    <t>300460_2020_12_</t>
  </si>
  <si>
    <t>Kit Faucet Aerator (Kitchen) - ARP Kits</t>
  </si>
  <si>
    <t>300500_2019_12_</t>
  </si>
  <si>
    <t>300501_2020_12_</t>
  </si>
  <si>
    <t>Channel</t>
  </si>
  <si>
    <t>%Electric DHW</t>
  </si>
  <si>
    <t>% Homes with Electric Water Heating</t>
  </si>
  <si>
    <t>School Kits</t>
  </si>
  <si>
    <t>Ameren Missouri EE Kits Evaluation PY2019 (Appendix Table 43)</t>
  </si>
  <si>
    <t>Ameren Missouri  EE Kits PY18 Program Data</t>
  </si>
  <si>
    <t>GPM_base</t>
  </si>
  <si>
    <t>Rated flowrate of the baseline faucet</t>
  </si>
  <si>
    <t>Federal rated maximum flow rate for faucets (10CFR430.32 (p) (DOE 1998).</t>
  </si>
  <si>
    <t>L_base</t>
  </si>
  <si>
    <t>The average length of baseline faucet use per day (min/day/person)</t>
  </si>
  <si>
    <t xml:space="preserve">Cadmus and Opinion Dynamics Evaluation Team. Showerhead and Faucet Aerator Meter Study. Memorandum prepared for Michigan Evaluation Working Group. pp 10. 2013. </t>
  </si>
  <si>
    <t>PY11 MFIQ Metering Study</t>
  </si>
  <si>
    <t>Cadmus PY3 metering study. Cited in Ameren Missouri Low Income and Process Evaluation: program Year 2015. p.23</t>
  </si>
  <si>
    <t>GPM_low</t>
  </si>
  <si>
    <t>Rated flowrate of the low flow faucet</t>
  </si>
  <si>
    <t>Actual</t>
  </si>
  <si>
    <t>L_low</t>
  </si>
  <si>
    <t>The average length of low flow faucet use per day (min/day/person)</t>
  </si>
  <si>
    <t>The number of people using faucet aerators (people/household)</t>
  </si>
  <si>
    <t>PY18 Energy Efficiency Kits Property Manager Survey results (I1-I2)</t>
  </si>
  <si>
    <t>PY6 program data (not reported in PY2016).  Ameren Missouri Low Income and Process Evaluation: program Year 2015. p.23</t>
  </si>
  <si>
    <t>Ameren Missouri Appliance Recycling Evaluation PY2019 (Appendix Table 54)</t>
  </si>
  <si>
    <t>DF</t>
  </si>
  <si>
    <t xml:space="preserve">Drain Factor </t>
  </si>
  <si>
    <t>Illinois Statewide Technical Reference Manual for Energy Efficiency Version 5.0. pp. 175. 2016. Available online: http://ilsagfiles.org/SAG_files/Technical_Reference_Manual/Version_5/Final/IL-TRM_Version_5.0_dated_February-11-2016_Final_Compiled_Volumes_1-4.pdf</t>
  </si>
  <si>
    <t>FPH</t>
  </si>
  <si>
    <t>The number of used faucets per home</t>
  </si>
  <si>
    <t xml:space="preserve">Ameren Missouiri PY18 EE Kits School Survey </t>
  </si>
  <si>
    <t>PY13 Program Data</t>
  </si>
  <si>
    <t xml:space="preserve">Matches EE Kits EM&amp;V.  Community Savers EM&amp;V (1.86) does not make sense for kitchen faucets. </t>
  </si>
  <si>
    <t>The water density (lb/gal)</t>
  </si>
  <si>
    <t>Density (lb/gal)</t>
  </si>
  <si>
    <t>The specific heat of water (Btu/lb-oF)</t>
  </si>
  <si>
    <t>Specific Heat of Water (Btu/lb-°F)</t>
  </si>
  <si>
    <t>WaterTemp</t>
  </si>
  <si>
    <t>The average water temperature out of the faucet (oF)</t>
  </si>
  <si>
    <t>Illinois Statewide Technical Reference Manual for Energy Efficiency Version 5.0. pp. 178. 2016. Available online: http://ilsagfiles.org/SAG_files/Technical_Reference_Manual/Version_5/Final/IL-TRM_Version_5.0_dated_February-11-2016_Final_Compiled_Volumes_1-4.pdf</t>
  </si>
  <si>
    <t>SupplyTemp</t>
  </si>
  <si>
    <t>The average inlet water temperature (oF)</t>
  </si>
  <si>
    <t>Ameren Missouri 2012 Technical Resource Manual. Appendix A. pp. 43. Available online: https://www.efis.psc.mo.gov/mpsc/commoncomponents/viewdocument.asp?DocId=935658483</t>
  </si>
  <si>
    <t>RE_electric</t>
  </si>
  <si>
    <t>The water heater’s recovery efficiency</t>
  </si>
  <si>
    <t>National Renewable Energy Laboratory, Building America Research. Recovery efficiency for electric hot water heater. Benchmark definition, pp. 12. 2009. Available online: http://www.nrel.gov/docs/fy10osti/47246.pdf</t>
  </si>
  <si>
    <t>The conversion rate from Btu to kWh (Btu/kWh)</t>
  </si>
  <si>
    <t>Non-School Kits</t>
  </si>
  <si>
    <t>Ameren Missouri Single Family Low Income Evaluation PY2019 (Table 10-10)</t>
  </si>
  <si>
    <t>Kit Faucet Aerators (Bathroom)</t>
  </si>
  <si>
    <t>300550_2019_12_</t>
  </si>
  <si>
    <t>Kit Faucet Aerator (Bathroom)</t>
  </si>
  <si>
    <t>300560_2020_12_</t>
  </si>
  <si>
    <t>Kit Faucet Aerator (Bathroom) - ARP Kits</t>
  </si>
  <si>
    <t>300600_2019_12_</t>
  </si>
  <si>
    <t>300601_2020_12_</t>
  </si>
  <si>
    <t>Kit Faucet Aerator (Bathroom) - SFLI Kits</t>
  </si>
  <si>
    <t>Assumed to be the same as Income Eligible Deemed Tables DI measure</t>
  </si>
  <si>
    <t>Cadmus and Opinion Dynamics Evaluation Team. Showerhead and Faucet Aerator Meter Study. Memorandum prepared for Michigan Evaluation Working Group. 2013. pp. 10.</t>
  </si>
  <si>
    <t>Matches Community Savers EM&amp;V</t>
  </si>
  <si>
    <t>Non-Low-Income</t>
  </si>
  <si>
    <t>Ameren Missouri  EE Kits PY18 Property Manager Survey results (I1-I2)</t>
  </si>
  <si>
    <t>Not accounted for in EM&amp;V</t>
  </si>
  <si>
    <t>Ameren Missouri  EE Kits PY18 Property Manager Application data</t>
  </si>
  <si>
    <t>Ameren Missouri Community Savers Evaluation: PY2018</t>
  </si>
  <si>
    <t>Vermont Technical Reference Manual, 2009</t>
  </si>
  <si>
    <t>Same as DI measure in Income Eligible Deemed Table.</t>
  </si>
  <si>
    <t xml:space="preserve">Low Flow Showerheads </t>
  </si>
  <si>
    <t>300650_2019_12_</t>
  </si>
  <si>
    <t>Low Flow Showerheads</t>
  </si>
  <si>
    <t>300660_2020_12_</t>
  </si>
  <si>
    <t>Low Flow Showerheads - ARP Kits</t>
  </si>
  <si>
    <t>300700_2019_12_</t>
  </si>
  <si>
    <t>300701_2021_12_</t>
  </si>
  <si>
    <t>Ameren Missouri EE Kits Evaluation PY2019 (Appendix Table 44)</t>
  </si>
  <si>
    <t xml:space="preserve">Ameren Missouiri PY18 EE Kits Evaluation </t>
  </si>
  <si>
    <t>Rated flowrate of the baseline showerhead</t>
  </si>
  <si>
    <t>Non-Income Eligible</t>
  </si>
  <si>
    <t>Illinois Statewide Technical Reference Manual for Energy Efficiency Version 5.0. pp. 184. 2016. Available Online: http://ilsagfiles.org/SAG_files/Technical_Reference
_Manual/Version_5/Final/IL-TRM_Version_5.0_dated_February-11-2016_Final_Compiled_Volumes_1-4.pdf</t>
  </si>
  <si>
    <t xml:space="preserve">Ameren Missouri Community Savers Evaluation PY2018 </t>
  </si>
  <si>
    <t>The average shower length  with baseline showerhead(min/shower)</t>
  </si>
  <si>
    <t>Cadmus and Opinion Dynamics Evaluation Team. Showerhead and Faucet Aerator Meter Study. Memorandum prepared for Michigan Evaluation Working Group. pp 10. 2013. </t>
  </si>
  <si>
    <t>DeOreo, William, P. Mayer, L. Martien, M. Hayden, A. Funk, M. Kramer-Duffield, and R. Davis (2011). “California SingleFamily
Water Use Efficiency Study.” </t>
  </si>
  <si>
    <t>Rated flowrate of the low flow showerhead</t>
  </si>
  <si>
    <t>The average shower length with low flow showerhead (min/shower)</t>
  </si>
  <si>
    <t>The number of people taking showers (ppl/household)</t>
  </si>
  <si>
    <t>Missouri TRM</t>
  </si>
  <si>
    <t xml:space="preserve">Matches SF value for IE.  MF not represented in this assumption. </t>
  </si>
  <si>
    <t>Ameren Missouri Appliance Recycling Evaluation PY2019 (Appendix Table 55)</t>
  </si>
  <si>
    <t>SPDC</t>
  </si>
  <si>
    <t>The number of showers per day, per person (shower/day-ppl)</t>
  </si>
  <si>
    <t>The number of days per year (day/yr.)</t>
  </si>
  <si>
    <t>SPH</t>
  </si>
  <si>
    <t>The number of showerheads used per home</t>
  </si>
  <si>
    <t>ShowerTemp</t>
  </si>
  <si>
    <t>The average water temperature at the showerhead (oF)</t>
  </si>
  <si>
    <t>Illinois Statewide Technical Reference Manual for Energy Efficiency Version 5.0. 2016. pp 103. Available Online: http://ilsagfiles.org/SAG_files/Technical_Reference_Manual/Version_5/Final/IL-TRM_Version_5.0_dated_February-11-2016_Final_Compiled_Volumes_1-4.pdf</t>
  </si>
  <si>
    <t>Ameren Missouri Efficient Kits Impact and Process Evaluation: PY2018PY2019 (Table 7-10)</t>
  </si>
  <si>
    <t xml:space="preserve">Match value for Income Eligible (Non DI) showerhead. </t>
  </si>
  <si>
    <t>Ameren Missouri Appliance Recycling Evaluation PY2019 (Table 9-10)</t>
  </si>
  <si>
    <t>Pipe Insulation</t>
  </si>
  <si>
    <t>300750_2019_12_</t>
  </si>
  <si>
    <t>per foot</t>
  </si>
  <si>
    <t>300760_2020_12_</t>
  </si>
  <si>
    <t>Pipe Insulation - ARP Kits</t>
  </si>
  <si>
    <t>300800_2019_12_</t>
  </si>
  <si>
    <t>300801_2020_12_</t>
  </si>
  <si>
    <r>
      <t>C</t>
    </r>
    <r>
      <rPr>
        <vertAlign val="subscript"/>
        <sz val="11"/>
        <rFont val="Calibri"/>
        <family val="2"/>
        <scheme val="minor"/>
      </rPr>
      <t>Base</t>
    </r>
  </si>
  <si>
    <t>Circumference (feet) of uninsulated pipe with 0.75 inch diameter</t>
  </si>
  <si>
    <t>Calculated from Pipe Diameter (value below)</t>
  </si>
  <si>
    <t>Updated for .75 inch Pipe</t>
  </si>
  <si>
    <r>
      <t>R</t>
    </r>
    <r>
      <rPr>
        <vertAlign val="subscript"/>
        <sz val="11"/>
        <rFont val="Calibri"/>
        <family val="2"/>
        <scheme val="minor"/>
      </rPr>
      <t>Base</t>
    </r>
  </si>
  <si>
    <r>
      <t>Thermal resistance coefficient (hr-°F-ft</t>
    </r>
    <r>
      <rPr>
        <vertAlign val="superscript"/>
        <sz val="11"/>
        <rFont val="Calibri"/>
        <family val="2"/>
        <scheme val="minor"/>
      </rPr>
      <t>2</t>
    </r>
    <r>
      <rPr>
        <sz val="11"/>
        <rFont val="Calibri"/>
        <family val="2"/>
        <scheme val="minor"/>
      </rPr>
      <t>)/Btu) of uninsulated pipe</t>
    </r>
  </si>
  <si>
    <t>Division of Energy. State of Missouri Technical Reference Manual. pp 71. 2017. energy.mo.gov/about/trm</t>
  </si>
  <si>
    <r>
      <t>C</t>
    </r>
    <r>
      <rPr>
        <vertAlign val="subscript"/>
        <sz val="11"/>
        <rFont val="Calibri"/>
        <family val="2"/>
        <scheme val="minor"/>
      </rPr>
      <t>EE</t>
    </r>
  </si>
  <si>
    <t>Circumference (ft) of insulated pipe = diameter (in) * π/12</t>
  </si>
  <si>
    <t>Calculated from Pipe Diameter and Pipe Wrap Width (values below)</t>
  </si>
  <si>
    <t xml:space="preserve">Circumference increases due to installation of pipe insulation is not accounted for in Community Saves EM&amp;V.  The statewide TRM does account for this.  Franklin Energy recommends factoring the circumference increase into calculations.  Calations in this workbook do factor in the circumference increase. </t>
  </si>
  <si>
    <r>
      <t>R</t>
    </r>
    <r>
      <rPr>
        <vertAlign val="subscript"/>
        <sz val="11"/>
        <rFont val="Calibri"/>
        <family val="2"/>
        <scheme val="minor"/>
      </rPr>
      <t>EE</t>
    </r>
  </si>
  <si>
    <t>Thermal resistance coefficient (hr-°F-ft2)/Btu) of insulated pipe</t>
  </si>
  <si>
    <t>Division of Energy. State of Missouri Technical Reference Manual. pp 71. 2017. energy.mo.gov/about/trm (assuming R-4 wrap)</t>
  </si>
  <si>
    <t>Based on EM&amp;V, Franklin Energy assumed insulation provided in kits has an Ree value of 5.  Statewide defaul Ree is 5.</t>
  </si>
  <si>
    <t>L</t>
  </si>
  <si>
    <t>Length of pipe from water heating source covered by Pipe Insulation (ft)</t>
  </si>
  <si>
    <t>Per installed foot</t>
  </si>
  <si>
    <t>DT</t>
  </si>
  <si>
    <t>Average temperature difference between supplied hot water and outside air temperatures (°F)</t>
  </si>
  <si>
    <t>Revised to match EM&amp;V</t>
  </si>
  <si>
    <t>Hours</t>
  </si>
  <si>
    <t>Hours per year</t>
  </si>
  <si>
    <r>
      <t>ȠDHW</t>
    </r>
    <r>
      <rPr>
        <vertAlign val="subscript"/>
        <sz val="11"/>
        <rFont val="Calibri"/>
        <family val="2"/>
        <scheme val="minor"/>
      </rPr>
      <t>Elec</t>
    </r>
  </si>
  <si>
    <t>Recovery Efficiency of electric hot water heater</t>
  </si>
  <si>
    <t>Conversion factor from Btu to kWh</t>
  </si>
  <si>
    <t>*Electric Saturation</t>
  </si>
  <si>
    <t>Ameren Missouri EE Kits Evaluation PY2019 (Appendix Table 44) (adopting Faucet Aerator value)</t>
  </si>
  <si>
    <t>PY18 Program Data</t>
  </si>
  <si>
    <t xml:space="preserve">PY18 Energy Efficiency Kits School Survey Results </t>
  </si>
  <si>
    <t xml:space="preserve">Based on Ameren MEEIA 3 V1 file. </t>
  </si>
  <si>
    <t>Ameren Missouri Community Savers Evaluation PY2018 Site Visits</t>
  </si>
  <si>
    <t>Pipe diameter</t>
  </si>
  <si>
    <t>Diameter of uninsulated pipe, weighted average of  1/2" and 3/4"</t>
  </si>
  <si>
    <t>Pipe Wrap</t>
  </si>
  <si>
    <t>Pipe wrap width</t>
  </si>
  <si>
    <t>Pipe wrap width/thickness</t>
  </si>
  <si>
    <t>Advanced Power Strips Tier 1  / Load Sensing</t>
  </si>
  <si>
    <t>300850_2019_12_</t>
  </si>
  <si>
    <t>Unknown</t>
  </si>
  <si>
    <t>Advanced Tier 1 Power Strips -TOS/NC - Home Office</t>
  </si>
  <si>
    <t>300851_2020_12_</t>
  </si>
  <si>
    <t>Advanced Tier 1 Power Strips -DI - Home Office</t>
  </si>
  <si>
    <t>300900_2019_12_</t>
  </si>
  <si>
    <t>Advanced Tier 1 Power Strips -Kits - Home Office</t>
  </si>
  <si>
    <t>300950_2019_12_</t>
  </si>
  <si>
    <t>Advanced Tier 1 Power Strips -TOS/NC - Home Entertainment</t>
  </si>
  <si>
    <t>300951_2020_12_</t>
  </si>
  <si>
    <t>Advanced Tier 1 Power Strips -DI - Home Entertainment</t>
  </si>
  <si>
    <t>301000_2019_12_</t>
  </si>
  <si>
    <t>Advanced Tier 1 Power Strips -Kits - Home Entertainment</t>
  </si>
  <si>
    <t>301050_2019_12_</t>
  </si>
  <si>
    <t>Advanced Tier 1 Power Strips -TOS/NC - Unknown Location</t>
  </si>
  <si>
    <t>301051_2020_12_</t>
  </si>
  <si>
    <t>Advanced Tier 1 Power Strips -DI - Unknown Location</t>
  </si>
  <si>
    <t>301100_2019_12_</t>
  </si>
  <si>
    <t>Advanced Tier 1 Power Strips -Kits - Unknown Location</t>
  </si>
  <si>
    <t>KWh</t>
  </si>
  <si>
    <t>kWh Installation by Location</t>
  </si>
  <si>
    <t>Home Office</t>
  </si>
  <si>
    <t>Home Entertainment</t>
  </si>
  <si>
    <t>Weighting Entertainment</t>
  </si>
  <si>
    <t>% Entertainment</t>
  </si>
  <si>
    <t>Unknown Location - TOS/NC/DI</t>
  </si>
  <si>
    <t>Unknown Location - Kits</t>
  </si>
  <si>
    <t>Weighting Office</t>
  </si>
  <si>
    <t>% OFFICE</t>
  </si>
  <si>
    <t>TOS/NC/DI</t>
  </si>
  <si>
    <t>Adopting APS Tier 2 value, from Ameren Missouri Single Family Low Income Evaluation PY2019 (Table 10-10)</t>
  </si>
  <si>
    <t>Kits</t>
  </si>
  <si>
    <t>Adopting APS Tier 2 value, from Ameren Missouri Energy Efficient Products Evaluation PY2019 (Table 6-9)</t>
  </si>
  <si>
    <t>Direct Install (DI)</t>
  </si>
  <si>
    <t>301149_2021_12_</t>
  </si>
  <si>
    <t>Advanced Tier 2 Power Strips - TOS/NC/DI - Unknown Location</t>
  </si>
  <si>
    <t>301150_2021_12_</t>
  </si>
  <si>
    <t>Assume same as Tier 1 APS</t>
  </si>
  <si>
    <t>RESIDENTIAL HVAC</t>
  </si>
  <si>
    <t>ECM/ Blower Motor</t>
  </si>
  <si>
    <t>Auto kWh</t>
  </si>
  <si>
    <t>Continous kWh</t>
  </si>
  <si>
    <t>350050_2021_12_</t>
  </si>
  <si>
    <t>ECM Auto Fan ROF-SF</t>
  </si>
  <si>
    <t>350100_2021_12_</t>
  </si>
  <si>
    <t>ECM Auto Fan ROF-MF</t>
  </si>
  <si>
    <t>350150_2021_12_</t>
  </si>
  <si>
    <t>ECM Auto Fan ER1 - SF</t>
  </si>
  <si>
    <t>ECM Auto Fan ER2 - SF</t>
  </si>
  <si>
    <t>350175_2021_12_</t>
  </si>
  <si>
    <t>ECM Auto Fan ER1 - MF</t>
  </si>
  <si>
    <t>ECM Auto Fan ER2 - MF</t>
  </si>
  <si>
    <t>350200_2021_12_</t>
  </si>
  <si>
    <t>ECM Continuous Fan ROF- SF</t>
  </si>
  <si>
    <t>350250_2021_12_</t>
  </si>
  <si>
    <t>ECM Continuous Fan ROF- MF</t>
  </si>
  <si>
    <t>350300_2021_12_</t>
  </si>
  <si>
    <t>ECM Continuous Fan ER1 - SF</t>
  </si>
  <si>
    <t>ECM Continuous Fan ER2 - SF</t>
  </si>
  <si>
    <t>350350_2021_12_</t>
  </si>
  <si>
    <t>ECM Continuous Fan ER1 - MF</t>
  </si>
  <si>
    <t>ECM Continuous Fan ER2 - MF</t>
  </si>
  <si>
    <t>% with New ASHP</t>
  </si>
  <si>
    <t>% of furnaces with new ASHP</t>
  </si>
  <si>
    <t>16% of furnaces used w/ASHP</t>
  </si>
  <si>
    <t>400 kWh/yr</t>
  </si>
  <si>
    <t>Wisconsin Heating Savings</t>
  </si>
  <si>
    <t>Ameren Missouri HVAC Evaluation PY17' Page 41</t>
  </si>
  <si>
    <r>
      <t xml:space="preserve">EFLH </t>
    </r>
    <r>
      <rPr>
        <i/>
        <vertAlign val="subscript"/>
        <sz val="11"/>
        <rFont val="Calibri"/>
        <family val="2"/>
        <scheme val="minor"/>
      </rPr>
      <t>heating</t>
    </r>
  </si>
  <si>
    <t>Effective full load heating hours (in St. Louis)</t>
  </si>
  <si>
    <r>
      <t xml:space="preserve">WI_EFLH </t>
    </r>
    <r>
      <rPr>
        <i/>
        <vertAlign val="subscript"/>
        <sz val="11"/>
        <rFont val="Calibri"/>
        <family val="2"/>
        <scheme val="minor"/>
      </rPr>
      <t>heating</t>
    </r>
  </si>
  <si>
    <t>Wisconsin effective full load heating hours</t>
  </si>
  <si>
    <t>Ameren Missouri HVAC EM&amp;V PY2018</t>
  </si>
  <si>
    <t>% with New Central Cooling</t>
  </si>
  <si>
    <t>% of furnaces with new central cooling</t>
  </si>
  <si>
    <t>70 kWh/yr</t>
  </si>
  <si>
    <t>Wisconsin Cooling Savings</t>
  </si>
  <si>
    <t>Ameren Missouri HVAC EM&amp;V PY2017 Page 41</t>
  </si>
  <si>
    <r>
      <t xml:space="preserve">EFLH </t>
    </r>
    <r>
      <rPr>
        <i/>
        <vertAlign val="subscript"/>
        <sz val="11"/>
        <rFont val="Calibri"/>
        <family val="2"/>
        <scheme val="minor"/>
      </rPr>
      <t>cooling</t>
    </r>
  </si>
  <si>
    <t>Effective full load cooling hours (in St. Louis)</t>
  </si>
  <si>
    <r>
      <t xml:space="preserve">WI_EFLH </t>
    </r>
    <r>
      <rPr>
        <i/>
        <vertAlign val="subscript"/>
        <sz val="11"/>
        <rFont val="Calibri"/>
        <family val="2"/>
        <scheme val="minor"/>
      </rPr>
      <t>cooling</t>
    </r>
  </si>
  <si>
    <t>Wisconsin effective full load cooling hours</t>
  </si>
  <si>
    <t>25 kWh/yr</t>
  </si>
  <si>
    <t>Cooling Savings - All Systems</t>
  </si>
  <si>
    <t>2960 kWh/yr</t>
  </si>
  <si>
    <t>Wisconsin Circulation Savings</t>
  </si>
  <si>
    <t>RT</t>
  </si>
  <si>
    <t>Percent additional run time factor</t>
  </si>
  <si>
    <t>Auto Fan</t>
  </si>
  <si>
    <t>Adjusted to match EM&amp;V Kwh</t>
  </si>
  <si>
    <t>Continuous Fan</t>
  </si>
  <si>
    <t>30 kWh/yr</t>
  </si>
  <si>
    <t>Standby Losses</t>
  </si>
  <si>
    <t>65% MF value is not applicable in this case, because it should be based upon pressure drop in the system and many of the components will have the same pressure drop, filters, coils, grills, duct length, etc.</t>
  </si>
  <si>
    <t>In Service Rate</t>
  </si>
  <si>
    <t>End of Useful Life</t>
  </si>
  <si>
    <t>ECM</t>
  </si>
  <si>
    <t>Full Cost of Installation</t>
  </si>
  <si>
    <t>ER install cost</t>
  </si>
  <si>
    <t>ROF install cost</t>
  </si>
  <si>
    <t>https://energy.mo.gov/sites/energy/files/evaluation-of-retrofit-variable-speed-furnace-fan-motors.pdf</t>
  </si>
  <si>
    <t>Inflation Rate</t>
  </si>
  <si>
    <t>Discount Rate</t>
  </si>
  <si>
    <t>#Years</t>
  </si>
  <si>
    <t>Central Air Conditioners</t>
  </si>
  <si>
    <t xml:space="preserve">*MFc = Multifamily Comprehensive Envelope,  CompE = Comprehensive Envelope </t>
  </si>
  <si>
    <t>Units (tons/measure)</t>
  </si>
  <si>
    <t>350400_2021_12_</t>
  </si>
  <si>
    <t>CAC-SEER14_ER1_SF</t>
  </si>
  <si>
    <t>CAC-SEER14_ER2_SF</t>
  </si>
  <si>
    <t>Cooling RES ER2</t>
  </si>
  <si>
    <t>350450_2021_12_</t>
  </si>
  <si>
    <t>CAC-SEER14_ROF_SF</t>
  </si>
  <si>
    <t>350500_2021_12_</t>
  </si>
  <si>
    <t>CAC-SEER14_ER1_MF</t>
  </si>
  <si>
    <t>CAC-SEER14_ER2_MF</t>
  </si>
  <si>
    <t>350501_2021_12_</t>
  </si>
  <si>
    <t>CAC-SEER14_ER1_MF_CompE</t>
  </si>
  <si>
    <t>CAC-SEER14_ER2_MF_CompE</t>
  </si>
  <si>
    <t>350550_2021_12_</t>
  </si>
  <si>
    <t>CAC-SEER14_ROF_MF</t>
  </si>
  <si>
    <t>350551_2021_12_</t>
  </si>
  <si>
    <t>CAC-SEER14_ROF_MF_CompE</t>
  </si>
  <si>
    <t>350600_2021_12_</t>
  </si>
  <si>
    <t>CAC-SEER15_ER1_SF</t>
  </si>
  <si>
    <t>CAC-SEER15_ER2_SF</t>
  </si>
  <si>
    <t>350650_2021_12_</t>
  </si>
  <si>
    <t>CAC-SEER15_ROF_SF</t>
  </si>
  <si>
    <t>350700_2021_12_</t>
  </si>
  <si>
    <t>CAC-SEER15_ER1_MF</t>
  </si>
  <si>
    <t>CAC-SEER15_ER2_MF</t>
  </si>
  <si>
    <t>350701_2021_12_</t>
  </si>
  <si>
    <t>CAC-SEER15_ER1_MF_CompE</t>
  </si>
  <si>
    <t>CAC-SEER15_ER2_MF_CompE</t>
  </si>
  <si>
    <t>350750_2021_12_</t>
  </si>
  <si>
    <t>CAC-SEER15_ROF_MF</t>
  </si>
  <si>
    <t>350751_2021_12_</t>
  </si>
  <si>
    <t>CAC-SEER15_ROF_MF_CompE</t>
  </si>
  <si>
    <t>350800_2021_12_</t>
  </si>
  <si>
    <t>CAC-SEER16_ER1_SF</t>
  </si>
  <si>
    <t>CAC-SEER16_ER2_SF</t>
  </si>
  <si>
    <t>350850_2021_12_</t>
  </si>
  <si>
    <t>CAC-SEER16_ROF_SF</t>
  </si>
  <si>
    <t>350900_2021_12_</t>
  </si>
  <si>
    <t>CAC-SEER16_ER1_MF</t>
  </si>
  <si>
    <t>CAC-SEER16_ER2_MF</t>
  </si>
  <si>
    <t>350901_2021_12_</t>
  </si>
  <si>
    <t>CAC-SEER16_ER1_MF_CompE</t>
  </si>
  <si>
    <t>CAC-SEER16_ER2_MF_CompE</t>
  </si>
  <si>
    <t>350950_2021_12_</t>
  </si>
  <si>
    <t>CAC-SEER16_ROF_MF</t>
  </si>
  <si>
    <t>350951_2021_12_</t>
  </si>
  <si>
    <t>CAC-SEER16_ROF_MF_CompE</t>
  </si>
  <si>
    <t>351000_2021_12_</t>
  </si>
  <si>
    <t>CAC-SEER17_ER1_SF</t>
  </si>
  <si>
    <t>CAC-SEER17_ER2_SF</t>
  </si>
  <si>
    <t>351050_2021_12_</t>
  </si>
  <si>
    <t>CAC-SEER17_ROF_SF</t>
  </si>
  <si>
    <t>351100_2021_12_</t>
  </si>
  <si>
    <t>CAC-SEER17_ER1_MF</t>
  </si>
  <si>
    <t>CAC-SEER17_ER2_MF</t>
  </si>
  <si>
    <t>351101_2021_12_</t>
  </si>
  <si>
    <t>CAC-SEER17_ER1_MF_CompE</t>
  </si>
  <si>
    <t>CAC-SEER17_ER2_MF_CompE</t>
  </si>
  <si>
    <t>351150_2021_12_</t>
  </si>
  <si>
    <t>CAC-SEER17_ROF_MF</t>
  </si>
  <si>
    <t>351151_2021_12_</t>
  </si>
  <si>
    <t>CAC-SEER17_ROF_MF_CompE</t>
  </si>
  <si>
    <t>CAC-SEER18_ER1_SF</t>
  </si>
  <si>
    <t>CAC-SEER18_ER2_SF</t>
  </si>
  <si>
    <t>CAC-SEER18_ROF_SF</t>
  </si>
  <si>
    <t>CAC-SEER18_ER1_MF</t>
  </si>
  <si>
    <t>CAC-SEER18_ER2_MF</t>
  </si>
  <si>
    <t>CAC-SEER18_ER1_MF_CompE</t>
  </si>
  <si>
    <t>CAC-SEER18_ER2_MF_CompE</t>
  </si>
  <si>
    <t>CAC-SEER18_ROF_MF</t>
  </si>
  <si>
    <t>CAC-SEER18_ROF_MF_CompE</t>
  </si>
  <si>
    <t>CAC-SEER19_ER1_SF</t>
  </si>
  <si>
    <t>CAC-SEER19_ER2_SF</t>
  </si>
  <si>
    <t>CAC-SEER19_ROF_SF</t>
  </si>
  <si>
    <t>CAC-SEER19_ER1_MF</t>
  </si>
  <si>
    <t>CAC-SEER19_ER2_MF</t>
  </si>
  <si>
    <t>CAC-SEER19_ER1_MF_CompE</t>
  </si>
  <si>
    <t>CAC-SEER19_ER2_MF_CompE</t>
  </si>
  <si>
    <t>CAC-SEER19_ROF_MF</t>
  </si>
  <si>
    <t>CAC-SEER19_ROF_MF_CompE</t>
  </si>
  <si>
    <t>CAC-SEER20_ER1_SF</t>
  </si>
  <si>
    <t>CAC-SEER20_ER2_SF</t>
  </si>
  <si>
    <t>CAC-SEER20_ROF_SF</t>
  </si>
  <si>
    <t>CAC-SEER20_ER1_MF</t>
  </si>
  <si>
    <t>CAC-SEER20_ER2_MF</t>
  </si>
  <si>
    <t>CAC-SEER20_ER1_MF_CompE</t>
  </si>
  <si>
    <t>CAC-SEER20_ER2_MF_CompE</t>
  </si>
  <si>
    <t>CAC-SEER20_ROF_MF</t>
  </si>
  <si>
    <t>CAC-SEER20_ROF_MF_CompE</t>
  </si>
  <si>
    <t>CAC-SEER21+_ER1_SF</t>
  </si>
  <si>
    <t>CAC-SEER21+_ER2_SF</t>
  </si>
  <si>
    <t>CAC-SEER21+_ROF_SF</t>
  </si>
  <si>
    <t>CAC-SEER21+_ER1_MF</t>
  </si>
  <si>
    <t>CAC-SEER21+_ER2_MF</t>
  </si>
  <si>
    <t>CAC-SEER21+_ER1_MF_CompE</t>
  </si>
  <si>
    <t>CAC-SEER21+_ER2_MF_CompE</t>
  </si>
  <si>
    <t>CAC-SEER21+_ROF_MF</t>
  </si>
  <si>
    <t>CAC-SEER21+_ROF_MF_CompE</t>
  </si>
  <si>
    <t xml:space="preserve">ER1 represents 1st 6 years of Early Replacement. </t>
  </si>
  <si>
    <t>ER2 represents the last 12 years of Early Replacement.</t>
  </si>
  <si>
    <t>CAC</t>
  </si>
  <si>
    <t>*Incremental Cost</t>
  </si>
  <si>
    <t xml:space="preserve">Ton(s) </t>
  </si>
  <si>
    <t xml:space="preserve">ER ($) </t>
  </si>
  <si>
    <t>ROF ($)</t>
  </si>
  <si>
    <t>FLHcool</t>
  </si>
  <si>
    <t>Full load cooling hours</t>
  </si>
  <si>
    <t>SEER 14</t>
  </si>
  <si>
    <t>IL TRM 8.0</t>
  </si>
  <si>
    <t>SEER 15</t>
  </si>
  <si>
    <t>SEER 16</t>
  </si>
  <si>
    <t>SEER 17</t>
  </si>
  <si>
    <t>SEER 18</t>
  </si>
  <si>
    <t>SEER 19</t>
  </si>
  <si>
    <t>SEER 20</t>
  </si>
  <si>
    <t>Derived using IL TRM ($/unit) and the % change in Mid-Atlantic TRM V9 ($/ton)</t>
  </si>
  <si>
    <t>SEER 21</t>
  </si>
  <si>
    <t>*Hypothetical values calculated based on a 3 ton system.  Actual values based on system size and SEER combinations.</t>
  </si>
  <si>
    <t>Full Cost of Installation (3 ton unit)</t>
  </si>
  <si>
    <t>ER</t>
  </si>
  <si>
    <t>ROF</t>
  </si>
  <si>
    <t>Install cost</t>
  </si>
  <si>
    <t>Ameren Missouri 2017 IRP</t>
  </si>
  <si>
    <t>1/3 of 18 year EUL</t>
  </si>
  <si>
    <t>*ER cost = Full Retrofit Cost (ROF) - 6 Year Discounted ER cost</t>
  </si>
  <si>
    <t>Btu/hr / Capacity</t>
  </si>
  <si>
    <t>Size of new equipment in Btu/hr (note 1 ton = 12,000Btu/hr)</t>
  </si>
  <si>
    <t>Ameren Missouri HVAC EM&amp;V PY2018 workpapers</t>
  </si>
  <si>
    <t>Ameren Missouri Community Savers EM&amp;V PY2017</t>
  </si>
  <si>
    <t xml:space="preserve">Match similar unit. </t>
  </si>
  <si>
    <t>Ameren Missouri HVAC PY2020 Program Data Averages</t>
  </si>
  <si>
    <t>SEERbase</t>
  </si>
  <si>
    <t>Seasonal Energy Efficiency Ratio of baseline unit (kBtu/kWh)</t>
  </si>
  <si>
    <t>MO TRM</t>
  </si>
  <si>
    <t>SEERee</t>
  </si>
  <si>
    <t>Seasonal Energy Efficiency Ratio of ENERGY STAR unit (kBtu/kWh)</t>
  </si>
  <si>
    <t>Ameren Missouri Community Savers EM&amp;V PY18</t>
  </si>
  <si>
    <t>SEERexist</t>
  </si>
  <si>
    <t>Seasonal Energy Efficiency Ratio of existing unit (kBtu/kWh)</t>
  </si>
  <si>
    <t>HF of 65% used to convert residential to multifamily</t>
  </si>
  <si>
    <t>*Incremental cost to be adjusted based on cost testing used</t>
  </si>
  <si>
    <t>351200_2021_12_</t>
  </si>
  <si>
    <t>Mini/MultiSplitAC_ER1_SF</t>
  </si>
  <si>
    <t>Mini/MultiSplitAC_ER2_SF</t>
  </si>
  <si>
    <t>351250_2021_12_</t>
  </si>
  <si>
    <t>Mini/MultiSplitAC_ROF_SF</t>
  </si>
  <si>
    <t>351300_2021_12_</t>
  </si>
  <si>
    <t>Mini/MultiSplitASHP_ROF_SF_NC</t>
  </si>
  <si>
    <t>351350_2021_12_</t>
  </si>
  <si>
    <t>Mini/MultiSplitASHP_ROF_SF</t>
  </si>
  <si>
    <t>351400_2021_12_</t>
  </si>
  <si>
    <t>Mini/MultiSplitASHP-Replace_CAC_ElectricHeat_ER1_SF</t>
  </si>
  <si>
    <t>Mini/MultiSplitASHP-Replace_CAC_ElectricHeat_ER2_SF</t>
  </si>
  <si>
    <t>Heating RES ER2</t>
  </si>
  <si>
    <t>351450_2021_12_</t>
  </si>
  <si>
    <t>Mini/MultiSplitASHP-Replace_CAC_ElectricHeat_ROF_SF</t>
  </si>
  <si>
    <t>351500_2021_12_</t>
  </si>
  <si>
    <t>Mini/MultiSplitASHP_ER1_SF</t>
  </si>
  <si>
    <t>Mini/MultiSplitASHP_ER2_SF</t>
  </si>
  <si>
    <t>351550_2021_12_</t>
  </si>
  <si>
    <t>Mini/MultiSplitAC_ER1_MF</t>
  </si>
  <si>
    <t>Mini/MultiSplitAC_ER2_MF</t>
  </si>
  <si>
    <t>351551_2021_12_</t>
  </si>
  <si>
    <t>Mini/MultiSplitAC_ER1_MF_CompE</t>
  </si>
  <si>
    <t>Mini/MultiSplitAC_ER2_MF_CompE</t>
  </si>
  <si>
    <t>351600_2021_12_</t>
  </si>
  <si>
    <t>Mini/MultiSplitAC_ROF_MF</t>
  </si>
  <si>
    <t>351601_2021_12_</t>
  </si>
  <si>
    <t>Mini/MultiSplitAC_ROF_MF_CompE</t>
  </si>
  <si>
    <t>351650_2021_12_</t>
  </si>
  <si>
    <t>Mini/MultiSplitASHP_ROF_MF_NC</t>
  </si>
  <si>
    <t>351651_2021_12_</t>
  </si>
  <si>
    <t>Mini/MultiSplitASHP_ROF_MF_NC_CompE</t>
  </si>
  <si>
    <t>351700_2021_12_</t>
  </si>
  <si>
    <t>Mini/MultiSplitASHP_ROF_MF</t>
  </si>
  <si>
    <t>351701_2021_12_</t>
  </si>
  <si>
    <t>Mini/MultiSplitASHP_ROF_MF_CompE</t>
  </si>
  <si>
    <t>351750_2021_12_</t>
  </si>
  <si>
    <t>Mini/MultiSplitASHP-Replace_CAC_ElectricHeat_ER1_MF</t>
  </si>
  <si>
    <t>Mini/MultiSplitASHP-Replace_CAC_ElectricHeat_ER2_MF</t>
  </si>
  <si>
    <t>351751_2021_12_</t>
  </si>
  <si>
    <t>Mini/MultiSplitASHP-Replace_CAC_ElectricHeat_ER1_MF_CompE</t>
  </si>
  <si>
    <t>Mini/MultiSplitASHP-Replace_CAC_ElectricHeat_ER2_MF_CompE</t>
  </si>
  <si>
    <t>351800_2021_12_</t>
  </si>
  <si>
    <t>Mini/MultiSplitASHP-Replace_CAC_ElectricHeat_ROF_MF</t>
  </si>
  <si>
    <t>351801_2021_12_</t>
  </si>
  <si>
    <t>Mini/MultiSplitASHP-Replace_CAC_ElectricHeat_ROF_MF_CompE</t>
  </si>
  <si>
    <t>351850_2021_12_</t>
  </si>
  <si>
    <t>Mini/MultiSplitASHP_ER1_MF</t>
  </si>
  <si>
    <t>Mini/MultiSplitASHP_ER2_MF</t>
  </si>
  <si>
    <t>351851_2021_12_</t>
  </si>
  <si>
    <t>Mini/MultiSplitASHP_ER1_MF_CompE</t>
  </si>
  <si>
    <t>Mini/MultiSplitASHP_ER2_MF_CompE</t>
  </si>
  <si>
    <t xml:space="preserve">*MFc = Multifamily Comprehensive envelope,  CompE = Comprehensive Envelope </t>
  </si>
  <si>
    <t>ER2 represents the last 12 years of Early Replacement, or all years of Replace on Failure.</t>
  </si>
  <si>
    <t>Ductless HP</t>
  </si>
  <si>
    <t>Capacityheat</t>
  </si>
  <si>
    <t>Heating capacity of the ductless heat pump unit in Btu/hr</t>
  </si>
  <si>
    <t>no heating</t>
  </si>
  <si>
    <t>Example costs for Capacity:</t>
  </si>
  <si>
    <t>tons</t>
  </si>
  <si>
    <t>Baseline</t>
  </si>
  <si>
    <t>ER ($)</t>
  </si>
  <si>
    <t>IL TRM 8.0, ROF HSPFee in 10-10.9 range</t>
  </si>
  <si>
    <t>ER - ASHP</t>
  </si>
  <si>
    <t>IL TRM 8.0, ER HSPFee in 11-12.9 range</t>
  </si>
  <si>
    <t>ER - CAC</t>
  </si>
  <si>
    <t>ER - Elec Resist</t>
  </si>
  <si>
    <t>Match Similar Unit</t>
  </si>
  <si>
    <t>Efficient Total Cost of Installation ($/ton)</t>
  </si>
  <si>
    <t>Efficiency</t>
  </si>
  <si>
    <t>ROF - ASHP</t>
  </si>
  <si>
    <t>HSPF 10-10.9</t>
  </si>
  <si>
    <t>IL TRM 8.0, p. 141</t>
  </si>
  <si>
    <t>HSPF 11-12.9</t>
  </si>
  <si>
    <t>Baseline Total Cost of Installation ($/ton)</t>
  </si>
  <si>
    <t>ER Deferred</t>
  </si>
  <si>
    <t>ASHP</t>
  </si>
  <si>
    <t>IL TRM 8.0, p. 142</t>
  </si>
  <si>
    <t>Elec Resist</t>
  </si>
  <si>
    <t>EFLHheat</t>
  </si>
  <si>
    <t>Equivalent Full Load Hours for heating</t>
  </si>
  <si>
    <t>Ameren MO 2017 IRP</t>
  </si>
  <si>
    <t>1/3 of 18 EUL</t>
  </si>
  <si>
    <t>HSPFbase</t>
  </si>
  <si>
    <t>HSPF rating of baseline equipment (kbtu/kwh)</t>
  </si>
  <si>
    <t>Matches Ameren Missouri HVAC EM&amp;V PY2018</t>
  </si>
  <si>
    <t>HSPFexist</t>
  </si>
  <si>
    <t>HSPF rating of existing equipment (kbtu/kwh)</t>
  </si>
  <si>
    <t>Per TRM</t>
  </si>
  <si>
    <t>HSPFee</t>
  </si>
  <si>
    <t>HSPF rating of new equipment (kbtu/kwh)</t>
  </si>
  <si>
    <t>Capacitycool</t>
  </si>
  <si>
    <t>Cooling capacity of the ductless heat pump unit in Btu/hr</t>
  </si>
  <si>
    <t>EFLHcool</t>
  </si>
  <si>
    <t>Equivalent Full Load Hours for cooling</t>
  </si>
  <si>
    <t>SEER rating of baseline equipment (kbtu/kwh)</t>
  </si>
  <si>
    <t>Federal standard, minimum efficiency</t>
  </si>
  <si>
    <t>SEER rating of existing equipment (kbtu/kwh)</t>
  </si>
  <si>
    <t>Match similar unit</t>
  </si>
  <si>
    <t>SEER rating of new equipment (kbtu/kwh)</t>
  </si>
  <si>
    <t>HF of 65% from thermostat measure used to convert from "residential" to Multifamily. Page 79 of TRM volume 3 without any more relevant information.</t>
  </si>
  <si>
    <t>From Evaluation - Opinion Dynamics review PY19  -100% for MF recommended by evaluator which assumes systems are of similar size in SF and MF homes for ductless units.</t>
  </si>
  <si>
    <t>IL-TRM v8.0</t>
  </si>
  <si>
    <t>Dual Fuel Heat Pumps</t>
  </si>
  <si>
    <t>351900_2019_12_</t>
  </si>
  <si>
    <t>DFHP-SEER19-ROF_MF</t>
  </si>
  <si>
    <t>Cooling Res</t>
  </si>
  <si>
    <t>Heating Res</t>
  </si>
  <si>
    <t>351901_2019_12_</t>
  </si>
  <si>
    <t>DFHP-SEER19-ROF_MF_CompE</t>
  </si>
  <si>
    <t>351950_2019_12_</t>
  </si>
  <si>
    <t>DFHP-SEER20-ROF_MF</t>
  </si>
  <si>
    <t>351951_2019_12_</t>
  </si>
  <si>
    <t>DFHP-SEER20-ROF_MF_CompE</t>
  </si>
  <si>
    <t>352000_2019_12_</t>
  </si>
  <si>
    <t>DFHP-SEER21-ROF_MF</t>
  </si>
  <si>
    <t>352001_2019_12_</t>
  </si>
  <si>
    <t>DFHP-SEER21-ROF_MF_CompE</t>
  </si>
  <si>
    <t>Cost determined with RS Means 2018 data.</t>
  </si>
  <si>
    <t>Capacity Heating</t>
  </si>
  <si>
    <t>Heating Capacity of Air Source Heat Pump (Btu/hr)</t>
  </si>
  <si>
    <t>From Evaluation</t>
  </si>
  <si>
    <t>EFLH_heat</t>
  </si>
  <si>
    <t>Equivalent full load hours of heating</t>
  </si>
  <si>
    <t>Matches Ameren Missouri HVAC EM&amp;V PY2017</t>
  </si>
  <si>
    <t>Evaluation recommendation PY2019</t>
  </si>
  <si>
    <t>HSPF_base / exist</t>
  </si>
  <si>
    <t>Heating System Performance Factor of baseline / existing heating system (kBtu/kWh)</t>
  </si>
  <si>
    <t>HSPF_ee</t>
  </si>
  <si>
    <t>Heating System Performance Factor of efficient Duel Fuel Heat Pump
   (kBtu/kWh)</t>
  </si>
  <si>
    <t>Assumed similar to 18+</t>
  </si>
  <si>
    <t>Capacity_cooling</t>
  </si>
  <si>
    <t>Cooling Capacity of Duel Fuel Heat Pump (Btu/hr)</t>
  </si>
  <si>
    <t>EFLH_cooling</t>
  </si>
  <si>
    <t>Equivalent full load hours of air conditioning</t>
  </si>
  <si>
    <t>SEER_base / exist</t>
  </si>
  <si>
    <t>Seasonal Energy Efficiency Ratio of baseline / existing cooling system (kBtu/kWh)</t>
  </si>
  <si>
    <t>SEER_ee</t>
  </si>
  <si>
    <t>Seasonal Energy Efficiency Ratio of efficient Duel Fuel Heat Pump (kBtu/kWh)</t>
  </si>
  <si>
    <t>From Measure Description</t>
  </si>
  <si>
    <t>HF of 65% from thermostat measure used to convert from "residential" to Multifamily. Page 79 of MO TRM volume 3.</t>
  </si>
  <si>
    <t>End Useful Life</t>
  </si>
  <si>
    <t>Ground Source Heat Pumps</t>
  </si>
  <si>
    <t>352050_2021_12_</t>
  </si>
  <si>
    <t>GSHP-EER23-Replace_CAC_ElectricHeat_ROF_SF</t>
  </si>
  <si>
    <t>352100_2021_12_</t>
  </si>
  <si>
    <t>GSHP-EER23-Replace_CAC_ElectricHeat_ER1_SF</t>
  </si>
  <si>
    <t>GSHP-EER23-Replace_CAC_ElectricHeat_ER2_SF</t>
  </si>
  <si>
    <t>Cooling Res ER2</t>
  </si>
  <si>
    <t>352200_2021_12_</t>
  </si>
  <si>
    <t>GSHP-EER23_ER1_SF</t>
  </si>
  <si>
    <t>GSHP-EER23_ER2_SF</t>
  </si>
  <si>
    <t>352250_2021_12_</t>
  </si>
  <si>
    <t>GSHP-EER23_ROF_SF</t>
  </si>
  <si>
    <t>Heating Capacity of Heat Pump (Btu/hr)</t>
  </si>
  <si>
    <t>Heating System Performance Factor of efficient Heat Pump
   (kBtu/kWh)</t>
  </si>
  <si>
    <t>Cooling Capacity of Heat Pump (Btu/hr)</t>
  </si>
  <si>
    <t>EFLHcooling</t>
  </si>
  <si>
    <t>SEERbase / exist</t>
  </si>
  <si>
    <t>Seasonal Energy Efficiency Ratio of efficient Heat Pump (kBtu/kWh)</t>
  </si>
  <si>
    <t>Air Source Heat Pumps</t>
  </si>
  <si>
    <t>352300_2019_12_</t>
  </si>
  <si>
    <t>352300_2021_12_</t>
  </si>
  <si>
    <t>ASHP-SEER15-Replace_CAC_ElectricHeat_ER1_SF</t>
  </si>
  <si>
    <t>ASHP-SEER15-Replace_CAC_ElectricHeat_ER2_SF</t>
  </si>
  <si>
    <t>Heating Res ER2</t>
  </si>
  <si>
    <t>352310_2021_12_</t>
  </si>
  <si>
    <t>ASHP-SEER15-Replace_CAC_NonElectricHeat_ER1_SF</t>
  </si>
  <si>
    <t>ASHP-SEER15-Replace_CAC_NonElectricHeat_ER2_SF</t>
  </si>
  <si>
    <t>352350_2019_12_</t>
  </si>
  <si>
    <t>352350_2021_12_</t>
  </si>
  <si>
    <t>ASHP-SEER15_ER1_SF</t>
  </si>
  <si>
    <t>ASHP-SEER15_ER2_SF</t>
  </si>
  <si>
    <t>352400_2019_12_</t>
  </si>
  <si>
    <t>352400_2021_12_</t>
  </si>
  <si>
    <t>ASHP-SEER15-Replace_CAC_ElectricHeat_ROF_SF</t>
  </si>
  <si>
    <t>352410_2021_12_</t>
  </si>
  <si>
    <t>ASHP-SEER15-Replace_CAC_NonElectricHeat_ROF_SF</t>
  </si>
  <si>
    <t>352450_2019_12_</t>
  </si>
  <si>
    <t>352450_2021_12_</t>
  </si>
  <si>
    <t>ASHP-SEER15_ROF_SF</t>
  </si>
  <si>
    <t>352500_2019_12_</t>
  </si>
  <si>
    <t>352500_2021_12_</t>
  </si>
  <si>
    <t>ASHP-SEER16-Replace_CAC_ElectricHeat_ER1_SF</t>
  </si>
  <si>
    <t>ASHP-SEER16-Replace_CAC_ElectricHeat_ER2_SF</t>
  </si>
  <si>
    <t>352510_2021_12_</t>
  </si>
  <si>
    <t>ASHP-SEER16-Replace_CAC_NonElectricHeat_ER1_SF</t>
  </si>
  <si>
    <t>ASHP-SEER16-Replace_CAC_NonElectricHeat_ER2_SF</t>
  </si>
  <si>
    <t>352550_2019_12_</t>
  </si>
  <si>
    <t>352550_2021_12_</t>
  </si>
  <si>
    <t>ASHP-SEER16_ER1_SF</t>
  </si>
  <si>
    <t>ASHP-SEER16_ER2_SF</t>
  </si>
  <si>
    <t>352600_2019_12_</t>
  </si>
  <si>
    <t>352600_2021_12_</t>
  </si>
  <si>
    <t>ASHP-SEER16-Replace_CAC_ElectricHeat_ROF_SF</t>
  </si>
  <si>
    <t>352650_2019_12_</t>
  </si>
  <si>
    <t>352650_2021_12_</t>
  </si>
  <si>
    <t>ASHP-SEER16_ROF_SF</t>
  </si>
  <si>
    <t>352700_2019_12_</t>
  </si>
  <si>
    <t>352700_2021_12_</t>
  </si>
  <si>
    <t>ASHP-SEER15_ER1_MF</t>
  </si>
  <si>
    <t>ASHP-SEER15_ER2_MF</t>
  </si>
  <si>
    <t>352701_2019_12_</t>
  </si>
  <si>
    <t>352701_2021_12_</t>
  </si>
  <si>
    <t>ASHP-SEER15_ER1_MF_CompE</t>
  </si>
  <si>
    <t>ASHP-SEER15_ER2_MF_CompE</t>
  </si>
  <si>
    <t>352750_2019_12_</t>
  </si>
  <si>
    <t>352750_2021_12_</t>
  </si>
  <si>
    <t>ASHP-SEER15-Replace_CAC_ElectricHeat_ER1_MF</t>
  </si>
  <si>
    <t>ASHP-SEER15-Replace_CAC_ElectricHeat_ER2_MF</t>
  </si>
  <si>
    <t>352751_2019_12_</t>
  </si>
  <si>
    <t>352751_2021_12_</t>
  </si>
  <si>
    <t>ASHP-SEER15-Replace_CAC_ElectricHeat_ER1_MF_CompE</t>
  </si>
  <si>
    <t>ASHP-SEER15-Replace_CAC_ElectricHeat_ER2_MF_CompE</t>
  </si>
  <si>
    <t>352760_2021_12_</t>
  </si>
  <si>
    <t>ASHP-SEER15-Replace_CAC_NonElectricHeat_ER1_MF</t>
  </si>
  <si>
    <t>ASHP-SEER15-Replace_CAC_NonElectricHeat_ER2_MF</t>
  </si>
  <si>
    <t>352761_2021_12_</t>
  </si>
  <si>
    <t>ASHP-SEER15-Replace_CAC_NonElectricHeat_ER1_MF_CompE</t>
  </si>
  <si>
    <t>ASHP-SEER15-Replace_CAC_NonElectricHeat_ER2_MF_CompE</t>
  </si>
  <si>
    <t>352800_2019_12_</t>
  </si>
  <si>
    <t>ASHP-SEER15-Replace_CAC_ElectricHeat_ROF_MF</t>
  </si>
  <si>
    <t>352801_2019_12_</t>
  </si>
  <si>
    <t>ASHP-SEER15-Replace_CAC_ElectricHeat_ROF_MF_CompE</t>
  </si>
  <si>
    <t>352810_2021_12_</t>
  </si>
  <si>
    <t>ASHP-SEER15-Replace_CAC_NonElectricHeat_ROF_MF</t>
  </si>
  <si>
    <t>352811_2021_12_</t>
  </si>
  <si>
    <t>ASHP-SEER15-Replace_CAC_NonElectricHeat_ROF_MF_CompE</t>
  </si>
  <si>
    <t>352850_2019_12_</t>
  </si>
  <si>
    <t>352850_2021_12_</t>
  </si>
  <si>
    <t>ASHP-SEER16_ER1_MF</t>
  </si>
  <si>
    <t>ASHP-SEER16_ER2_MF</t>
  </si>
  <si>
    <t>352851_2019_12_</t>
  </si>
  <si>
    <t>352851_2021_12_</t>
  </si>
  <si>
    <t>ASHP-SEER16_ER1_MF_CompE</t>
  </si>
  <si>
    <t>ASHP-SEER16_ER2_MF_CompE</t>
  </si>
  <si>
    <t>352900_2019_12_</t>
  </si>
  <si>
    <t>352900_2021_12_</t>
  </si>
  <si>
    <t>ASHP-SEER16_ROF_MF</t>
  </si>
  <si>
    <t>352901_2019_12_</t>
  </si>
  <si>
    <t>352901_2021_12_</t>
  </si>
  <si>
    <t>ASHP-SEER16_ROF_MF_CompE</t>
  </si>
  <si>
    <t>352950_2019_12_</t>
  </si>
  <si>
    <t>ASHP-SEER16-Replace_CAC_ElectricHeat_ROF_MF</t>
  </si>
  <si>
    <t>352951_2019_12_</t>
  </si>
  <si>
    <t>ASHP-SEER16-Replace_CAC_ElectricHeat_ROF_MF_CompE</t>
  </si>
  <si>
    <t>352960_2021_12_</t>
  </si>
  <si>
    <t>ASHP-SEER16-Replace_CAC_NonElectricHeat_ROF_MF</t>
  </si>
  <si>
    <t>352961_2021_12_</t>
  </si>
  <si>
    <t>ASHP-SEER16-Replace_CAC_NonElectricHeat_ROF_MF_CompE</t>
  </si>
  <si>
    <t>353000_2019_12_</t>
  </si>
  <si>
    <t>353000_2021_12_</t>
  </si>
  <si>
    <t>ASHP-SEER16-Replace_CAC_ElectricHeat_ER1_MF</t>
  </si>
  <si>
    <t>ASHP-SEER16-Replace_CAC_ElectricHeat_ER2_MF</t>
  </si>
  <si>
    <t>353001_2019_12_</t>
  </si>
  <si>
    <t>353001_2021_12_</t>
  </si>
  <si>
    <t>ASHP-SEER16-Replace_CAC_ElectricHeat_ER1_MF_CompE</t>
  </si>
  <si>
    <t>ASHP-SEER16-Replace_CAC_ElectricHeat_ER2_MF_CompE</t>
  </si>
  <si>
    <t>353010_2021_12_</t>
  </si>
  <si>
    <t>ASHP-SEER16-Replace_CAC_NonElectricHeat_ER1_MF</t>
  </si>
  <si>
    <t>ASHP-SEER16-Replace_CAC_NonElectricHeat_ER2_MF</t>
  </si>
  <si>
    <t>353011_2021_12_</t>
  </si>
  <si>
    <t>ASHP-SEER16-Replace_CAC_NonElectricHeat_ER1_MF_CompE</t>
  </si>
  <si>
    <t>ASHP-SEER16-Replace_CAC_NonElectricHeat_ER2_MF_CompE</t>
  </si>
  <si>
    <t>353050_2019_12_</t>
  </si>
  <si>
    <t>353050_2021_12_</t>
  </si>
  <si>
    <t>ASHP-SEER15_ROF_MF</t>
  </si>
  <si>
    <t>353051_2019_12_</t>
  </si>
  <si>
    <t>353051_2021_12_</t>
  </si>
  <si>
    <t>ASHP-SEER15_ROF_MF_CompE</t>
  </si>
  <si>
    <t>353100_2019_12_</t>
  </si>
  <si>
    <t>353100_2021_12_</t>
  </si>
  <si>
    <t>ASHP-SEER17-Replace_CAC_ElectricHeat_ROF_SF</t>
  </si>
  <si>
    <t>353150_2019_12_</t>
  </si>
  <si>
    <t>ASHP-SEER17-Replace_CAC_ElectricHeat_ROF_MF</t>
  </si>
  <si>
    <t>353151_2019_12_</t>
  </si>
  <si>
    <t>ASHP-SEER17-Replace_CAC_ElectricHeat_ROF_MF_CompE</t>
  </si>
  <si>
    <t>353160_2021_12_</t>
  </si>
  <si>
    <t>ASHP-SEER17-Replace_CAC_NonElectricHeat_ROF_MF</t>
  </si>
  <si>
    <t>353161_2021_12_</t>
  </si>
  <si>
    <t>ASHP-SEER17-Replace_CAC_NonElectricHeat_ROF_MF_CompE</t>
  </si>
  <si>
    <t>353200_2019_12_</t>
  </si>
  <si>
    <t>353200_2021_12_</t>
  </si>
  <si>
    <t>ASHP-SEER18-Replace_CAC_ElectricHeat_ROF_SF</t>
  </si>
  <si>
    <t>353250_2019_12_</t>
  </si>
  <si>
    <t>353250_2021_12_</t>
  </si>
  <si>
    <t>ASHP-SEER18-Replace_CAC_ElectricHeat_ROF_MF</t>
  </si>
  <si>
    <t>353251_2019_12_</t>
  </si>
  <si>
    <t>353251_2021_12_</t>
  </si>
  <si>
    <t>ASHP-SEER18-Replace_CAC_ElectricHeat_ROF_MF_CompE</t>
  </si>
  <si>
    <t>353260_2021_12_</t>
  </si>
  <si>
    <t>ASHP-SEER18-Replace_CAC_NonElectricHeat_ROF_MF</t>
  </si>
  <si>
    <t>353261_2021_12_</t>
  </si>
  <si>
    <t>ASHP-SEER18-Replace_CAC_NonElectricHeat_ROF_MF_CompE</t>
  </si>
  <si>
    <t>353300_2019_12_</t>
  </si>
  <si>
    <t>353300_2021_12_</t>
  </si>
  <si>
    <t>ASHP-SEER19-Replace_CAC_ElectricHeat_ROF_SF</t>
  </si>
  <si>
    <t>353350_2019_12_</t>
  </si>
  <si>
    <t>353350_2021_12_</t>
  </si>
  <si>
    <t>ASHP-SEER19-Replace_CAC_ElectricHeat_ROF_MF</t>
  </si>
  <si>
    <t>353351_2019_12_</t>
  </si>
  <si>
    <t>ASHP-SEER19-Replace_CAC_ElectricHeat_ROF_MF_CompE</t>
  </si>
  <si>
    <t>353360_2021_12_</t>
  </si>
  <si>
    <t>ASHP-SEER19-Replace_CAC_NonElectricHeat_ROF_MF</t>
  </si>
  <si>
    <t>353361_2021_12_</t>
  </si>
  <si>
    <t>ASHP-SEER19-Replace_CAC_NonElectricHeat_ROF_MF_CompE</t>
  </si>
  <si>
    <t>353400_2019_12_</t>
  </si>
  <si>
    <t>353400_2021_12_</t>
  </si>
  <si>
    <t>ASHP-SEER20-Replace_CAC_ElectricHeat_ER1_SF</t>
  </si>
  <si>
    <t>ASHP-SEER20-Replace_CAC_ElectricHeat_ER2_SF</t>
  </si>
  <si>
    <t>353410_2021_12_</t>
  </si>
  <si>
    <t>ASHP-SEER20-Replace_CAC_NonElectricHeat_ER1_SF</t>
  </si>
  <si>
    <t>ASHP-SEER20-Replace_CAC_NonElectricHeat_ER2_SF</t>
  </si>
  <si>
    <t>353450_2019_12_</t>
  </si>
  <si>
    <t>353450_2021_12_</t>
  </si>
  <si>
    <t>ASHP-SEER20-Replace_CAC_ElectricHeat_ROF_SF</t>
  </si>
  <si>
    <t>353500_2019_12_</t>
  </si>
  <si>
    <t>ASHP-SEER20-Replace_CAC_ElectricHeat_ROF_MF</t>
  </si>
  <si>
    <t>353501_2019_12_</t>
  </si>
  <si>
    <t>ASHP-SEER20-Replace_CAC_ElectricHeat_ROF_MF_CompE</t>
  </si>
  <si>
    <t>353510_2021_12_</t>
  </si>
  <si>
    <t>ASHP-SEER20-Replace_CAC_NonElectricHeat_ROF_MF</t>
  </si>
  <si>
    <t>353511_2021_12_</t>
  </si>
  <si>
    <t>ASHP-SEER20-Replace_CAC_NonElectricHeat_ROF_MF_CompE</t>
  </si>
  <si>
    <t>353550_2019_12_</t>
  </si>
  <si>
    <t>353550_2021_12_</t>
  </si>
  <si>
    <t>ASHP-SEER21-Replace_CAC_ElectricHeat_ER1_SF</t>
  </si>
  <si>
    <t>ASHP-SEER21-Replace_CAC_ElectricHeat_ER2_SF</t>
  </si>
  <si>
    <t>353560_2021_12_</t>
  </si>
  <si>
    <t>ASHP-SEER21-Replace_CAC_NonElectricHeat_ER1_SF</t>
  </si>
  <si>
    <t>ASHP-SEER21-Replace_CAC_NonElectricHeat_ER2_SF</t>
  </si>
  <si>
    <t>353600_2019_12_</t>
  </si>
  <si>
    <t>ASHP-SEER21-Replace_CAC_ElectricHeat_ER1_MF</t>
  </si>
  <si>
    <t>ASHP-SEER21-Replace_CAC_ElectricHeat_ER2_MF</t>
  </si>
  <si>
    <t>353601_2019_12_</t>
  </si>
  <si>
    <t>ASHP-SEER21-Replace_CAC_ElectricHeat_ER1_MF_CompE</t>
  </si>
  <si>
    <t>ASHP-SEER21-Replace_CAC_ElectricHeat_ER2_MF_CompE</t>
  </si>
  <si>
    <t>353610_2021_12_</t>
  </si>
  <si>
    <t>ASHP-SEER21-Replace_CAC_NonElectricHeat_ER1_MF</t>
  </si>
  <si>
    <t>ASHP-SEER21-Replace_CAC_NonElectricHeat_ER2_MF</t>
  </si>
  <si>
    <t>353611_2021_12_</t>
  </si>
  <si>
    <t>ASHP-SEER21-Replace_CAC_NonElectricHeat_ER1_MF_CompE</t>
  </si>
  <si>
    <t>ASHP-SEER21-Replace_CAC_NonElectricHeat_ER2_MF_CompE</t>
  </si>
  <si>
    <t>353650_2019_12_</t>
  </si>
  <si>
    <t>353650_2021_12_</t>
  </si>
  <si>
    <t>ASHP-SEER21-Replace_CAC_ElectricHeat_ROF_SF</t>
  </si>
  <si>
    <t>353700_2019_12_</t>
  </si>
  <si>
    <t>ASHP-SEER21+-Replace_CAC_ElectricHeat_ROF_MF</t>
  </si>
  <si>
    <t>353701_2019_12_</t>
  </si>
  <si>
    <t>ASHP-SEER21+-Replace_CAC_ElectricHeat_ROF_MF_CompE</t>
  </si>
  <si>
    <t>353710_2021_12_</t>
  </si>
  <si>
    <t>ASHP-SEER21+-Replace_CAC_NonElectricHeat_ROF_MF</t>
  </si>
  <si>
    <t>353711_2021_12_</t>
  </si>
  <si>
    <t>ASHP-SEER21+-Replace_CAC_NonElectricHeat_ROF_MF_CompE</t>
  </si>
  <si>
    <t>353750_2019_12_</t>
  </si>
  <si>
    <t>353750_2021_12_</t>
  </si>
  <si>
    <t>ASHP-SEER17_ER1_SF</t>
  </si>
  <si>
    <t>ASHP-SEER17_ER2_SF</t>
  </si>
  <si>
    <t>353800_2019_12_</t>
  </si>
  <si>
    <t>353800_2021_12_</t>
  </si>
  <si>
    <t>ASHP-SEER17_ROF_SF</t>
  </si>
  <si>
    <t>353850_2019_12_</t>
  </si>
  <si>
    <t>353850_2021_12_</t>
  </si>
  <si>
    <t>ASHP-SEER18_ER1_SF</t>
  </si>
  <si>
    <t>ASHP-SEER18_ER2_SF</t>
  </si>
  <si>
    <t>353950_2019_12_</t>
  </si>
  <si>
    <t>353950_2021_12_</t>
  </si>
  <si>
    <t>ASHP-SEER18_ROF_SF</t>
  </si>
  <si>
    <t>354000_2019_12_</t>
  </si>
  <si>
    <t>354000_2021_12_</t>
  </si>
  <si>
    <t>ASHP-SEER19_ER1_SF</t>
  </si>
  <si>
    <t>ASHP-SEER19_ER2_SF</t>
  </si>
  <si>
    <t>354050_2019_12_</t>
  </si>
  <si>
    <t>354050_2021_12_</t>
  </si>
  <si>
    <t>ASHP-SEER19_ROF_SF</t>
  </si>
  <si>
    <t>354100_2019_12_</t>
  </si>
  <si>
    <t>354100_2021_12_</t>
  </si>
  <si>
    <t>ASHP-SEER17-Replace_CAC_ElectricHeat_ER1_SF</t>
  </si>
  <si>
    <t>ASHP-SEER17-Replace_CAC_ElectricHeat_ER2_SF</t>
  </si>
  <si>
    <t>354110_2021_12_</t>
  </si>
  <si>
    <t>ASHP-SEER17-Replace_CAC_NonElectricHeat_ER1_SF</t>
  </si>
  <si>
    <t>ASHP-SEER17-Replace_CAC_NonElectricHeat_ER2_SF</t>
  </si>
  <si>
    <t>354150_2019_12_</t>
  </si>
  <si>
    <t>ASHP-SEER17-Replace_CAC_ElectricHeat_ER1_MF</t>
  </si>
  <si>
    <t>ASHP-SEER17-Replace_CAC_ElectricHeat_ER2_MF</t>
  </si>
  <si>
    <t>354151_2019_12_</t>
  </si>
  <si>
    <t>ASHP-SEER17-Replace_CAC_ElectricHeat_ER1_MF_CompE</t>
  </si>
  <si>
    <t>ASHP-SEER17-Replace_CAC_ElectricHeat_ER2_MF_CompE</t>
  </si>
  <si>
    <t>354160_2021_12_</t>
  </si>
  <si>
    <t>ASHP-SEER17-Replace_CAC_NonElectricHeat_ER1_MF</t>
  </si>
  <si>
    <t>ASHP-SEER17-Replace_CAC_NonElectricHeat_ER2_MF</t>
  </si>
  <si>
    <t>354161_2021_12_</t>
  </si>
  <si>
    <t>ASHP-SEER17-Replace_CAC_NonElectricHeat_ER1_MF_CompE</t>
  </si>
  <si>
    <t>ASHP-SEER17-Replace_CAC_NonElectricHeat_ER2_MF_CompE</t>
  </si>
  <si>
    <t>354200_2019_12_</t>
  </si>
  <si>
    <t>ASHP-SEER17_ER1_MF</t>
  </si>
  <si>
    <t>ASHP-SEER17_ER2_MF</t>
  </si>
  <si>
    <t>354201_2019_12_</t>
  </si>
  <si>
    <t>ASHP-SEER17_ER1_MF_CompE</t>
  </si>
  <si>
    <t>ASHP-SEER17_ER2_MF_CompE</t>
  </si>
  <si>
    <t>354250_2019_12_</t>
  </si>
  <si>
    <t>354250_2021_12_</t>
  </si>
  <si>
    <t>ASHP-SEER18-Replace_CAC_ElectricHeat_ER1_SF</t>
  </si>
  <si>
    <t>ASHP-SEER18-Replace_CAC_ElectricHeat_ER2_SF</t>
  </si>
  <si>
    <t>354260_2021_12_</t>
  </si>
  <si>
    <t>ASHP-SEER18-Replace_CAC_NonElectricHeat_ER1_SF</t>
  </si>
  <si>
    <t>ASHP-SEER18-Replace_CAC_NonElectricHeat_ER2_SF</t>
  </si>
  <si>
    <t>354300_2019_12_</t>
  </si>
  <si>
    <t>354300_2021_12_</t>
  </si>
  <si>
    <t>ASHP-SEER18-Replace_CAC_ElectricHeat_ER1_MF</t>
  </si>
  <si>
    <t>ASHP-SEER18-Replace_CAC_ElectricHeat_ER2_MF</t>
  </si>
  <si>
    <t>354301_2019_12_</t>
  </si>
  <si>
    <t>354301_2021_12_</t>
  </si>
  <si>
    <t>ASHP-SEER18-Replace_CAC_ElectricHeat_ER1_MF_CompE</t>
  </si>
  <si>
    <t>ASHP-SEER18-Replace_CAC_ElectricHeat_ER2_MF_CompE</t>
  </si>
  <si>
    <t>354310_2021_12_</t>
  </si>
  <si>
    <t>ASHP-SEER18-Replace_CAC_NonElectricHeat_ER1_MF</t>
  </si>
  <si>
    <t>ASHP-SEER18-Replace_CAC_NonElectricHeat_ER2_MF</t>
  </si>
  <si>
    <t>354311_2021_12_</t>
  </si>
  <si>
    <t>ASHP-SEER18-Replace_CAC_NonElectricHeat_ER1_MF_CompE</t>
  </si>
  <si>
    <t>ASHP-SEER18-Replace_CAC_NonElectricHeat_ER2_MF_CompE</t>
  </si>
  <si>
    <t>354350_2019_12_</t>
  </si>
  <si>
    <t>354350_2021_12_</t>
  </si>
  <si>
    <t>ASHP-SEER18_ER1_MF</t>
  </si>
  <si>
    <t>ASHP-SEER18_ER2_MF</t>
  </si>
  <si>
    <t>354351_2019_12_</t>
  </si>
  <si>
    <t>354351_2021_12_</t>
  </si>
  <si>
    <t>ASHP-SEER18_ER1_MF_CompE</t>
  </si>
  <si>
    <t>ASHP-SEER18_ER2_MF_CompE</t>
  </si>
  <si>
    <t>354400_2019_12_</t>
  </si>
  <si>
    <t>354400_2021_12_</t>
  </si>
  <si>
    <t>ASHP-SEER19-Replace_CAC_ElectricHeat_ER1_SF</t>
  </si>
  <si>
    <t>ASHP-SEER19-Replace_CAC_ElectricHeat_ER2_SF</t>
  </si>
  <si>
    <t>354410_2021_12_</t>
  </si>
  <si>
    <t>ASHP-SEER19-Replace_CAC_NonElectricHeat_ER1_SF</t>
  </si>
  <si>
    <t>ASHP-SEER19-Replace_CAC_NonElectricHeat_ER2_SF</t>
  </si>
  <si>
    <t>354450_2019_12_</t>
  </si>
  <si>
    <t>ASHP-SEER19-Replace_CAC_ElectricHeat_ER1_MF</t>
  </si>
  <si>
    <t>ASHP-SEER19-Replace_CAC_ElectricHeat_ER2_MF</t>
  </si>
  <si>
    <t>354451_2019_12_</t>
  </si>
  <si>
    <t>ASHP-SEER19-Replace_CAC_ElectricHeat_ER1_MF_CompE</t>
  </si>
  <si>
    <t>ASHP-SEER19-Replace_CAC_ElectricHeat_ER2_MF_CompE</t>
  </si>
  <si>
    <t>354460_2021_12_</t>
  </si>
  <si>
    <t>ASHP-SEER19-Replace_CAC_NonElectricHeat_ER1_MF</t>
  </si>
  <si>
    <t>ASHP-SEER19-Replace_CAC_NonElectricHeat_ER2_MF</t>
  </si>
  <si>
    <t>354461_2021_12_</t>
  </si>
  <si>
    <t>ASHP-SEER19-Replace_CAC_NonElectricHeat_ER1_MF_CompE</t>
  </si>
  <si>
    <t>ASHP-SEER19-Replace_CAC_NonElectricHeat_ER2_MF_CompE</t>
  </si>
  <si>
    <t>354500_2019_12_</t>
  </si>
  <si>
    <t>ASHP-SEER19_ER1_MF</t>
  </si>
  <si>
    <t>ASHP-SEER19_ER2_MF</t>
  </si>
  <si>
    <t>354501_2019_12_</t>
  </si>
  <si>
    <t>ASHP-SEER19_ER1_MF_CompE</t>
  </si>
  <si>
    <t>ASHP-SEER19_ER2_MF_CompE</t>
  </si>
  <si>
    <t>354550_2019_12_</t>
  </si>
  <si>
    <t>354550_2021_12_</t>
  </si>
  <si>
    <t>ASHP-SEER20_ER1_SF</t>
  </si>
  <si>
    <t>ASHP-SEER20_ER2_SF</t>
  </si>
  <si>
    <t>354600_2019_12_</t>
  </si>
  <si>
    <t>354600_2021_12_</t>
  </si>
  <si>
    <t>ASHP-SEER20_ROF_SF</t>
  </si>
  <si>
    <t>354650_2019_12_</t>
  </si>
  <si>
    <t>ASHP-SEER20-Replace_CAC_ElectricHeat_ER1_MF</t>
  </si>
  <si>
    <t>ASHP-SEER20-Replace_CAC_ElectricHeat_ER2_MF</t>
  </si>
  <si>
    <t>354651_2019_12_</t>
  </si>
  <si>
    <t>ASHP-SEER20-Replace_CAC_ElectricHeat_ER1_MF_CompE</t>
  </si>
  <si>
    <t>ASHP-SEER20-Replace_CAC_ElectricHeat_ER2_MF_CompE</t>
  </si>
  <si>
    <t>354660_2021_12_</t>
  </si>
  <si>
    <t>ASHP-SEER20-Replace_CAC_NonElectricHeat_ER1_MF</t>
  </si>
  <si>
    <t>ASHP-SEER20-Replace_CAC_NonElectricHeat_ER2_MF</t>
  </si>
  <si>
    <t>354661_2021_12_</t>
  </si>
  <si>
    <t>ASHP-SEER20-Replace_CAC_NonElectricHeat_ER1_MF_CompE</t>
  </si>
  <si>
    <t>ASHP-SEER20-Replace_CAC_NonElectricHeat_ER2_MF_CompE</t>
  </si>
  <si>
    <t>354700_2019_12_</t>
  </si>
  <si>
    <t>ASHP-SEER20_ER1_MF</t>
  </si>
  <si>
    <t>ASHP-SEER20_ER2_MF</t>
  </si>
  <si>
    <t>354701_2019_12_</t>
  </si>
  <si>
    <t>ASHP-SEER20_ER1_MF_CompE</t>
  </si>
  <si>
    <t>ASHP-SEER20_ER2_MF_CompE</t>
  </si>
  <si>
    <t>354750_2019_12_</t>
  </si>
  <si>
    <t>354750_2021_12_</t>
  </si>
  <si>
    <t>ASHP-SEER21_ER1_SF</t>
  </si>
  <si>
    <t>ASHP-SEER21_ER2_SF</t>
  </si>
  <si>
    <t>354800_2019_12_</t>
  </si>
  <si>
    <t>354800_2021_12_</t>
  </si>
  <si>
    <t>ASHP-SEER21_ROF_SF</t>
  </si>
  <si>
    <t>354850_2019_12_</t>
  </si>
  <si>
    <t>ASHP-SEER21-Replace_CAC_ElectricHeat_ROF_MF</t>
  </si>
  <si>
    <t>354851_2019_12_</t>
  </si>
  <si>
    <t>ASHP-SEER21-Replace_CAC_ElectricHeat_ROF_MF_CompE</t>
  </si>
  <si>
    <t>354860_2021_12_</t>
  </si>
  <si>
    <t>ASHP-SEER21-Replace_CAC_NonElectricHeat_ROF_MF</t>
  </si>
  <si>
    <t>354861_2021_12_</t>
  </si>
  <si>
    <t>ASHP-SEER21-Replace_CAC_NonElectricHeat_ROF_MF_CompE</t>
  </si>
  <si>
    <t>354900_2019_12_</t>
  </si>
  <si>
    <t>ASHP-SEER21_ER1_MF</t>
  </si>
  <si>
    <t>ASHP-SEER21_ER2_MF</t>
  </si>
  <si>
    <t>354901_2019_12_</t>
  </si>
  <si>
    <t>ASHP-SEER21_ER1_MF_CompE</t>
  </si>
  <si>
    <t>ASHP-SEER21_ER2_MF_CompE</t>
  </si>
  <si>
    <t>354950_2019_12_</t>
  </si>
  <si>
    <t>ASHP-SEER17_ROF_MF</t>
  </si>
  <si>
    <t>354951_2019_12_</t>
  </si>
  <si>
    <t>ASHP-SEER17_ROF_MF_CompE</t>
  </si>
  <si>
    <t>355000_2019_12_</t>
  </si>
  <si>
    <t>ASHP-SEER18_ROF_MF</t>
  </si>
  <si>
    <t>355001_2019_12_</t>
  </si>
  <si>
    <t>ASHP-SEER18_ROF_MF_CompE</t>
  </si>
  <si>
    <t>355050_2019_12_</t>
  </si>
  <si>
    <t>ASHP-SEER19_ROF_MF</t>
  </si>
  <si>
    <t>355051_2019_12_</t>
  </si>
  <si>
    <t>ASHP-SEER19_ROF_MF_CompE</t>
  </si>
  <si>
    <t>355100_2019_12_</t>
  </si>
  <si>
    <t>ASHP-SEER20_ROF_MF</t>
  </si>
  <si>
    <t>355101_2019_12_</t>
  </si>
  <si>
    <t>ASHP-SEER20_ROF_MF_CompE</t>
  </si>
  <si>
    <t>355150_2019_12_</t>
  </si>
  <si>
    <t>ASHP-SEER21_ROF_MF</t>
  </si>
  <si>
    <t>355151_2019_12_</t>
  </si>
  <si>
    <t>ASHP-SEER21_ROF_MF_CompE</t>
  </si>
  <si>
    <t>PY19 Program Data</t>
  </si>
  <si>
    <t>Based on similar Measure</t>
  </si>
  <si>
    <t>Ameren Missouri HVAC EM&amp;V PY2017 - 2016 -2017 AMR Data &amp; HP Metering</t>
  </si>
  <si>
    <t>From Evaluation - Opinion Dynamics review PY2019</t>
  </si>
  <si>
    <t>Replacing non-electric heating system</t>
  </si>
  <si>
    <t>Ameren Missouri Comm. Savers EM&amp;V PY2018</t>
  </si>
  <si>
    <t>Heating System Performance Factor of efficient Air Source Heat Pump
   (kBtu/kWh)</t>
  </si>
  <si>
    <t>Cooling Capacity of Air Source Heat Pump (Btu/hr)</t>
  </si>
  <si>
    <t>Seasonal Energy Efficiency Ratio of efficient Air Source Heat Pump (kBtu/kWh)</t>
  </si>
  <si>
    <t>Based on measure name</t>
  </si>
  <si>
    <t>RESIDENTIAL INCOME ELIGIBLE</t>
  </si>
  <si>
    <t>AC Tune-up</t>
  </si>
  <si>
    <t>SFIE</t>
  </si>
  <si>
    <t>MFIE</t>
  </si>
  <si>
    <t>MFIEc</t>
  </si>
  <si>
    <t>400050_2019_12_</t>
  </si>
  <si>
    <t>AC General Tune-Up (no charge or coil clean) SF</t>
  </si>
  <si>
    <t>400100_2019_12_</t>
  </si>
  <si>
    <t>AC General Tune-Up (no charge or coil clean) MF</t>
  </si>
  <si>
    <t>400101_2019_12_</t>
  </si>
  <si>
    <t>400150_2019_12_</t>
  </si>
  <si>
    <t>AC Tune-up / Refrigerant charge SF</t>
  </si>
  <si>
    <t>400200_2019_12_</t>
  </si>
  <si>
    <t>AC Tune-up / Refrigerant charge MF</t>
  </si>
  <si>
    <t>400201_2019_12_</t>
  </si>
  <si>
    <t>400250_2019_12_</t>
  </si>
  <si>
    <t>AC Tune-up / Indoor Coil (Evaporator) Cleaning SF</t>
  </si>
  <si>
    <t>400300_2019_12_</t>
  </si>
  <si>
    <t>AC Tune-up /Indoor Coil (Evaporator) Cleaning MF</t>
  </si>
  <si>
    <t>400301_2019_12_</t>
  </si>
  <si>
    <t>400350_2019_12_</t>
  </si>
  <si>
    <t>AC Tune-up /Outdoor Coil (Condenser) Cleaning SF</t>
  </si>
  <si>
    <t>400400_2019_12_</t>
  </si>
  <si>
    <t>AC Tune-up /Outdoor Coil (Condenser) Cleaning MF</t>
  </si>
  <si>
    <t>400401_2019_12_</t>
  </si>
  <si>
    <t xml:space="preserve">Equation: </t>
  </si>
  <si>
    <r>
      <t>EFLH</t>
    </r>
    <r>
      <rPr>
        <vertAlign val="subscript"/>
        <sz val="11"/>
        <rFont val="Calibri"/>
        <family val="2"/>
        <scheme val="minor"/>
      </rPr>
      <t>cool</t>
    </r>
  </si>
  <si>
    <r>
      <t>Capacity</t>
    </r>
    <r>
      <rPr>
        <vertAlign val="subscript"/>
        <sz val="11"/>
        <rFont val="Calibri"/>
        <family val="2"/>
        <scheme val="minor"/>
      </rPr>
      <t>cool</t>
    </r>
  </si>
  <si>
    <t>Value not provided in TRM.  Average value from 'Air Source Heat Pump' measures provides consistancy in assumptions.</t>
  </si>
  <si>
    <t>SEERtest-in</t>
  </si>
  <si>
    <t>Seasonal Energy Efficiency Ratio of existing cooling system before tuning (kBtu/kWh)</t>
  </si>
  <si>
    <t>General Tune-Up</t>
  </si>
  <si>
    <t>Refrigerant Charge Adjustment</t>
  </si>
  <si>
    <t>Indoor Coil Cleaning</t>
  </si>
  <si>
    <t>Matches 2015 Heating and Cooling evaluation</t>
  </si>
  <si>
    <t>Outdoor Coil Cleaning</t>
  </si>
  <si>
    <r>
      <t>SEER</t>
    </r>
    <r>
      <rPr>
        <vertAlign val="subscript"/>
        <sz val="11"/>
        <rFont val="Calibri"/>
        <family val="2"/>
        <scheme val="minor"/>
      </rPr>
      <t>test-out</t>
    </r>
  </si>
  <si>
    <t>Seasonal Energy Efficiency Ratio of existing cooling system after tuning (kBtu/kWh)</t>
  </si>
  <si>
    <t>Convert from Btu to kBtu</t>
  </si>
  <si>
    <t>Conversion Factor (Btu/kBtu)</t>
  </si>
  <si>
    <t>Air Sealing</t>
  </si>
  <si>
    <t>Units (sq. ft)</t>
  </si>
  <si>
    <t>400450_2019_12_</t>
  </si>
  <si>
    <t>Building Shell RES</t>
  </si>
  <si>
    <t>400500_2019_12_</t>
  </si>
  <si>
    <t>400550_2019_12_</t>
  </si>
  <si>
    <t>400551_2019_12_</t>
  </si>
  <si>
    <t>400600_2019_12_</t>
  </si>
  <si>
    <t>400650_2019_12_</t>
  </si>
  <si>
    <t>400651_2019_12_</t>
  </si>
  <si>
    <t>400652_2019_12_</t>
  </si>
  <si>
    <t>(Conservative Deemed Approach)</t>
  </si>
  <si>
    <r>
      <t>Default</t>
    </r>
    <r>
      <rPr>
        <i/>
        <vertAlign val="subscript"/>
        <sz val="11"/>
        <rFont val="Calibri"/>
        <family val="2"/>
        <scheme val="minor"/>
      </rPr>
      <t>heat</t>
    </r>
  </si>
  <si>
    <t>Sq. Ft.</t>
  </si>
  <si>
    <t>Average size house (902 sq. ft.) insulation</t>
  </si>
  <si>
    <t>Assumes 65% HF</t>
  </si>
  <si>
    <t xml:space="preserve">Average size house (1387 sq. ft.) insulation </t>
  </si>
  <si>
    <t>Average size house (1387 sq. ft.) insulation</t>
  </si>
  <si>
    <t>Average mobile Home (15'x72' =1080 sq. ft.)</t>
  </si>
  <si>
    <r>
      <t>Default</t>
    </r>
    <r>
      <rPr>
        <i/>
        <vertAlign val="subscript"/>
        <sz val="11"/>
        <rFont val="Calibri"/>
        <family val="2"/>
        <scheme val="minor"/>
      </rPr>
      <t>cool</t>
    </r>
  </si>
  <si>
    <t>Default Therms per sq.ft.</t>
  </si>
  <si>
    <t>Default Therms saved per sq ft</t>
  </si>
  <si>
    <t>Use Actual Square footage where applicable.</t>
  </si>
  <si>
    <t>No measures in PY18</t>
  </si>
  <si>
    <t>Ceiling Insulation</t>
  </si>
  <si>
    <t>Units - area of ceiling/attic (ft2)</t>
  </si>
  <si>
    <t>400700_2019_12_</t>
  </si>
  <si>
    <t>400750_2019_12_</t>
  </si>
  <si>
    <t>400800_2019_12_</t>
  </si>
  <si>
    <t>400850_2019_12_</t>
  </si>
  <si>
    <t>400900_2019_12_</t>
  </si>
  <si>
    <t>400950_2019_12_</t>
  </si>
  <si>
    <t>401000_2019_12_</t>
  </si>
  <si>
    <t>401050_2019_12_</t>
  </si>
  <si>
    <t>401100_2019_12_</t>
  </si>
  <si>
    <t>401150_2019_12_</t>
  </si>
  <si>
    <t>401200_2019_12_</t>
  </si>
  <si>
    <t>401250_2019_12_</t>
  </si>
  <si>
    <t>401300_2019_12_</t>
  </si>
  <si>
    <t>401350_2019_12_</t>
  </si>
  <si>
    <t>401400_2019_12_</t>
  </si>
  <si>
    <t>401450_2019_12_</t>
  </si>
  <si>
    <t>401500_2019_12_</t>
  </si>
  <si>
    <t>401550_2019_12_</t>
  </si>
  <si>
    <t>401600_2019_12_</t>
  </si>
  <si>
    <t>401650_2019_12_</t>
  </si>
  <si>
    <t>401700_2019_12_</t>
  </si>
  <si>
    <t>401750_2019_12_</t>
  </si>
  <si>
    <t>401800_2019_12_</t>
  </si>
  <si>
    <t>401850_2019_12_</t>
  </si>
  <si>
    <t>401900_2019_12_</t>
  </si>
  <si>
    <t>401950_2019_12_</t>
  </si>
  <si>
    <t>402000_2019_12_</t>
  </si>
  <si>
    <t>402050_2019_12_</t>
  </si>
  <si>
    <t>402100_2019_12_</t>
  </si>
  <si>
    <t>402150_2019_12_</t>
  </si>
  <si>
    <r>
      <t>R</t>
    </r>
    <r>
      <rPr>
        <i/>
        <vertAlign val="subscript"/>
        <sz val="11"/>
        <rFont val="Calibri"/>
        <family val="2"/>
        <scheme val="minor"/>
      </rPr>
      <t>old</t>
    </r>
  </si>
  <si>
    <t>Assumes R5 of Assembly is not inlcuded in R value</t>
  </si>
  <si>
    <r>
      <t>R</t>
    </r>
    <r>
      <rPr>
        <i/>
        <vertAlign val="subscript"/>
        <sz val="11"/>
        <rFont val="Calibri"/>
        <family val="2"/>
        <scheme val="minor"/>
      </rPr>
      <t>Attic</t>
    </r>
  </si>
  <si>
    <r>
      <t>A</t>
    </r>
    <r>
      <rPr>
        <i/>
        <vertAlign val="subscript"/>
        <sz val="11"/>
        <rFont val="Calibri"/>
        <family val="2"/>
        <scheme val="minor"/>
      </rPr>
      <t>Attic</t>
    </r>
  </si>
  <si>
    <t>PY5 Evaluation</t>
  </si>
  <si>
    <t>Avg. size home 875.55 sq. ft.</t>
  </si>
  <si>
    <t>Avg. size home 1347 sq. ft.</t>
  </si>
  <si>
    <t>Avg. size home 718.9 sq. ft.</t>
  </si>
  <si>
    <t>Avg. size home 1106 sq. ft.</t>
  </si>
  <si>
    <t>Assumed same as R5-R30</t>
  </si>
  <si>
    <r>
      <t>Framing Factor</t>
    </r>
    <r>
      <rPr>
        <i/>
        <vertAlign val="subscript"/>
        <sz val="11"/>
        <rFont val="Calibri"/>
        <family val="2"/>
        <scheme val="minor"/>
      </rPr>
      <t>Attic</t>
    </r>
  </si>
  <si>
    <t>MO -TRM</t>
  </si>
  <si>
    <t>HDD</t>
  </si>
  <si>
    <t>HDD65</t>
  </si>
  <si>
    <r>
      <t>Adj</t>
    </r>
    <r>
      <rPr>
        <i/>
        <vertAlign val="subscript"/>
        <sz val="11"/>
        <rFont val="Calibri"/>
        <family val="2"/>
        <scheme val="minor"/>
      </rPr>
      <t>Attic</t>
    </r>
  </si>
  <si>
    <t>ƞheat</t>
  </si>
  <si>
    <t>CDD</t>
  </si>
  <si>
    <t>CDD65</t>
  </si>
  <si>
    <t>DUA</t>
  </si>
  <si>
    <t>%cool</t>
  </si>
  <si>
    <t>Joint Program</t>
  </si>
  <si>
    <t>Adv. Tstat value</t>
  </si>
  <si>
    <t>ƞcool</t>
  </si>
  <si>
    <t>PY15 Evaluation</t>
  </si>
  <si>
    <t>Floor Insulation</t>
  </si>
  <si>
    <t>*MH = Mobile Home</t>
  </si>
  <si>
    <t>Units - area of floor (ft2)</t>
  </si>
  <si>
    <t>402200_2019_12_</t>
  </si>
  <si>
    <t>Floor Insulation R25 (R-3.96 base) MH electric furnace/baseboard and electric cooling</t>
  </si>
  <si>
    <t>402201_2019_12_</t>
  </si>
  <si>
    <t>Floor Insulation R25 (R-3.96 base) MH heat pump and electric cooling</t>
  </si>
  <si>
    <t>402202_2019_12_</t>
  </si>
  <si>
    <t>Floor Insulation R25 (R-3.96 base) MH gas furnace/baseboard and electric cooling</t>
  </si>
  <si>
    <t>402203_2020_02_</t>
  </si>
  <si>
    <t>Floor Insulation R25 (R-13 base) MH electric furnace/baseboard and electric cooling</t>
  </si>
  <si>
    <t>402204_2020_02_</t>
  </si>
  <si>
    <t>Floor Insulation R25 (R-13 base) MH heat pump and electric cooling</t>
  </si>
  <si>
    <t>402205_2020_02_</t>
  </si>
  <si>
    <t>Floor Insulation R25 (R-13 base) MH gas furnace/baseboard and electric cooling</t>
  </si>
  <si>
    <t>Floor Insulation R25 MH - No existing insulatin</t>
  </si>
  <si>
    <t xml:space="preserve">3/4" plywood subfloor and carpet with pad. </t>
  </si>
  <si>
    <t>Floor Insulation R25 MH - Pre-existing insulatin (R-13)</t>
  </si>
  <si>
    <t>3.96 from MO TRM, 13 added</t>
  </si>
  <si>
    <r>
      <t>R</t>
    </r>
    <r>
      <rPr>
        <i/>
        <vertAlign val="subscript"/>
        <sz val="11"/>
        <rFont val="Calibri"/>
        <family val="2"/>
        <scheme val="minor"/>
      </rPr>
      <t>added</t>
    </r>
  </si>
  <si>
    <t>Floor Insulation R25 MH electric furnace/baseboard and electric cooling</t>
  </si>
  <si>
    <r>
      <t>A</t>
    </r>
    <r>
      <rPr>
        <i/>
        <vertAlign val="subscript"/>
        <sz val="11"/>
        <rFont val="Calibri"/>
        <family val="2"/>
        <scheme val="minor"/>
      </rPr>
      <t>Floor</t>
    </r>
  </si>
  <si>
    <t>Unit=Per Square Foot (if unknown, Avg MH: 72' x 15' =1080)</t>
  </si>
  <si>
    <r>
      <t>Framing Factor</t>
    </r>
    <r>
      <rPr>
        <i/>
        <vertAlign val="subscript"/>
        <sz val="11"/>
        <rFont val="Calibri"/>
        <family val="2"/>
        <scheme val="minor"/>
      </rPr>
      <t>Floor</t>
    </r>
  </si>
  <si>
    <t>HDD50</t>
  </si>
  <si>
    <r>
      <t>Adj</t>
    </r>
    <r>
      <rPr>
        <i/>
        <vertAlign val="subscript"/>
        <sz val="11"/>
        <rFont val="Calibri"/>
        <family val="2"/>
        <scheme val="minor"/>
      </rPr>
      <t>Floor</t>
    </r>
  </si>
  <si>
    <t>MO - TRM Average value of 3 values provided</t>
  </si>
  <si>
    <t>CDD75</t>
  </si>
  <si>
    <t>PY5 Evaluaiton - Insulation</t>
  </si>
  <si>
    <t>402250_2019_12_</t>
  </si>
  <si>
    <t>402251_2019_12_</t>
  </si>
  <si>
    <r>
      <t>EFLH</t>
    </r>
    <r>
      <rPr>
        <i/>
        <vertAlign val="subscript"/>
        <sz val="11"/>
        <color theme="1"/>
        <rFont val="Calibri"/>
        <family val="2"/>
        <scheme val="minor"/>
      </rPr>
      <t>heat</t>
    </r>
  </si>
  <si>
    <t>Assumed DI and 100%</t>
  </si>
  <si>
    <r>
      <t>EFLH</t>
    </r>
    <r>
      <rPr>
        <i/>
        <vertAlign val="subscript"/>
        <sz val="11"/>
        <color theme="1"/>
        <rFont val="Calibri"/>
        <family val="2"/>
        <scheme val="minor"/>
      </rPr>
      <t>cool</t>
    </r>
  </si>
  <si>
    <t>Duct Insulation</t>
  </si>
  <si>
    <t>kWh
Annual Savings</t>
  </si>
  <si>
    <t>ΔkWhCooling</t>
  </si>
  <si>
    <t>ΔkWhHeating</t>
  </si>
  <si>
    <t>Δtherms</t>
  </si>
  <si>
    <t>Units - DuctLength (ft.)</t>
  </si>
  <si>
    <t>402300_2019_12_</t>
  </si>
  <si>
    <t>Duct Insulation - Electric Heating</t>
  </si>
  <si>
    <t>402350_2019_12_</t>
  </si>
  <si>
    <t>Mobile Home Adjusted Duct Insulation - Electric Heating </t>
  </si>
  <si>
    <t>402400_2019_12_</t>
  </si>
  <si>
    <t>Duct Insulation - Gas Heating</t>
  </si>
  <si>
    <t xml:space="preserve">*MEMD estimates $100/sq ft of conditioned floor area.  Area is assumed based on Air Sealing measure (1387). </t>
  </si>
  <si>
    <t>Gas Heating:</t>
  </si>
  <si>
    <t>Electric Heating:</t>
  </si>
  <si>
    <r>
      <t>R</t>
    </r>
    <r>
      <rPr>
        <vertAlign val="subscript"/>
        <sz val="10"/>
        <rFont val="Calibri"/>
        <family val="2"/>
        <scheme val="minor"/>
      </rPr>
      <t>existing</t>
    </r>
  </si>
  <si>
    <t>Duct heat loss coefficient with existing insulation ((hr-⁰F-ft2)/Btu)</t>
  </si>
  <si>
    <t>Case Studies of Duct Retrofits and Guidelines for Attic and Crawl Space Duct Sealing', Oak Ridge National Laboratory, November 2011, pg. 11</t>
  </si>
  <si>
    <r>
      <t>R</t>
    </r>
    <r>
      <rPr>
        <vertAlign val="subscript"/>
        <sz val="10"/>
        <rFont val="Calibri"/>
        <family val="2"/>
        <scheme val="minor"/>
      </rPr>
      <t>new</t>
    </r>
  </si>
  <si>
    <t>Duct heat loss coefficient with new insulation (hr-⁰F-ft2)/Btu)</t>
  </si>
  <si>
    <t>Case Studies of Duct Retrofits and Guidelines for Attic and Crawl Space Duct Sealing', Oak Ridge National Laboratory, November 2011, pg. 12</t>
  </si>
  <si>
    <t>Area</t>
  </si>
  <si>
    <t>Area of the duct surface exposed to the unconditioned space that has been insulated (ft2)</t>
  </si>
  <si>
    <t xml:space="preserve">Area - Single Family </t>
  </si>
  <si>
    <t>Length * Width, assuming 12"x30" duct and Length = 1'</t>
  </si>
  <si>
    <t>Area - Mobile Home</t>
  </si>
  <si>
    <t xml:space="preserve">Equivalent Full Load Cooling Hours </t>
  </si>
  <si>
    <r>
      <rPr>
        <sz val="11"/>
        <rFont val="Calibri"/>
        <family val="2"/>
        <scheme val="minor"/>
      </rPr>
      <t xml:space="preserve">Evaluation recommendation PY2019 </t>
    </r>
    <r>
      <rPr>
        <strike/>
        <sz val="11"/>
        <rFont val="Calibri"/>
        <family val="2"/>
        <scheme val="minor"/>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t>
    </r>
  </si>
  <si>
    <t>Matches MO TRM.  Measure not found in Community Savers EM&amp;V</t>
  </si>
  <si>
    <r>
      <t>ΔT</t>
    </r>
    <r>
      <rPr>
        <vertAlign val="subscript"/>
        <sz val="10"/>
        <rFont val="Calibri"/>
        <family val="2"/>
        <scheme val="minor"/>
      </rPr>
      <t>AVG, cooling</t>
    </r>
  </si>
  <si>
    <t>Average temperature difference (⁰F) during cooling season between outdoor air temperature and assumed 60⁰F  duct supply air temperature</t>
  </si>
  <si>
    <t>National Solar Radiation Data Base -- 1991- 2005 Update: Typical Meteorological Year 3 http://rredc.nrel.gov/solar/old_data/nsrdb/1991-2005/tmy3/by_state_and_city.html . Heating Season defined as September 17th through April 13th, cooling season defined as May 20 through August 15th. For cooling season, temperatures from 8AM to 8PM were used to establish average temperatures as this is when cooling systems are expected to be loaded.</t>
  </si>
  <si>
    <t xml:space="preserve">Efficiency in SEER of air conditioning equipment </t>
  </si>
  <si>
    <t xml:space="preserve">MO TRM, assumes equipment age is older than 2006.  </t>
  </si>
  <si>
    <t>Matches MO TRM, assuming age is 2006 or later.  Measure not found in Community Savers EM&amp;V</t>
  </si>
  <si>
    <r>
      <t>ΔT</t>
    </r>
    <r>
      <rPr>
        <vertAlign val="subscript"/>
        <sz val="10"/>
        <rFont val="Calibri"/>
        <family val="2"/>
        <scheme val="minor"/>
      </rPr>
      <t>AVG, heating</t>
    </r>
  </si>
  <si>
    <t>Average temperature difference (⁰F) during heating season between outdoor air temperature and assumed 115⁰F  duct supply temperature</t>
  </si>
  <si>
    <t>Matches Community Saves EM&amp;V</t>
  </si>
  <si>
    <t>COP</t>
  </si>
  <si>
    <t xml:space="preserve">Electric Heating efficiency in COP of heating equipment </t>
  </si>
  <si>
    <t>MO TRM, assumes vast majority of electric heating equipment are not heat pumps.</t>
  </si>
  <si>
    <r>
      <t>F</t>
    </r>
    <r>
      <rPr>
        <vertAlign val="subscript"/>
        <sz val="11"/>
        <rFont val="Calibri"/>
        <family val="2"/>
        <scheme val="minor"/>
      </rPr>
      <t>e</t>
    </r>
  </si>
  <si>
    <t>Furnace Fan energy consumption as a percentage of annual fuel consumption</t>
  </si>
  <si>
    <t xml:space="preserve">Fe is not one of the AHRI certified ratings provided for residential furnaces, but can be reasonably estimated from a calculation based on the certified values for fuel energy (Ef in MMBtu/yr) and Eae (kWh/yr).  An average of a 300 record sample (non-random) out of 1495 was 3.14%.  This is, appropriately, ~50% greater than the ENERGY STAR version 3 criteria for 2% Fe. </t>
  </si>
  <si>
    <t>Converts therms to kWh</t>
  </si>
  <si>
    <t>Conversion Factor (therms/kWh)</t>
  </si>
  <si>
    <t>Conversion factor from Btu to therms</t>
  </si>
  <si>
    <t>Conversion Factor (btu/therm)</t>
  </si>
  <si>
    <t xml:space="preserve">This variable is not defined in the MO TRM but it is required for the algorithm that's provided.  </t>
  </si>
  <si>
    <r>
      <t>Eff</t>
    </r>
    <r>
      <rPr>
        <vertAlign val="subscript"/>
        <sz val="11"/>
        <rFont val="Calibri"/>
        <family val="2"/>
        <scheme val="minor"/>
      </rPr>
      <t>heat</t>
    </r>
  </si>
  <si>
    <t xml:space="preserve">Gas Heat - Efficiency in COP of heating equipment </t>
  </si>
  <si>
    <t>% Homes with Electric Cooling</t>
  </si>
  <si>
    <t>Assumed for Income Eligible</t>
  </si>
  <si>
    <t xml:space="preserve"> In-service rate</t>
  </si>
  <si>
    <t>PY7 Site Visits</t>
  </si>
  <si>
    <t xml:space="preserve">Unit=Per Foot </t>
  </si>
  <si>
    <t>Duct Repair (Duct Sealing and Repair - Methodology 3)</t>
  </si>
  <si>
    <t>402450_2019_12_</t>
  </si>
  <si>
    <t>Duct Repair (Sealing) - Electric Heating SF</t>
  </si>
  <si>
    <t>402451_2021_12_</t>
  </si>
  <si>
    <t>Duct Repair (Sealing) - Gas Heating SF</t>
  </si>
  <si>
    <t>402452_2020_12_</t>
  </si>
  <si>
    <t>Duct Repair (Sealing) - Electric Heating MF Adjusted</t>
  </si>
  <si>
    <t>402453_2021_12_</t>
  </si>
  <si>
    <t>Duct Repair (Sealing) - Gas Heating  MF Adjusted</t>
  </si>
  <si>
    <t>402500_2019_12_</t>
  </si>
  <si>
    <t>Duct Repair (Sealing) - Electric Heating MH Adjusted</t>
  </si>
  <si>
    <t>402501_2021_12_</t>
  </si>
  <si>
    <t>Duct Repair (Sealing) - Gas Heating  MH Adjusted</t>
  </si>
  <si>
    <t>(Method 3)</t>
  </si>
  <si>
    <t>CoolSavingsPerUnit</t>
  </si>
  <si>
    <t>Annual cooling savings per linear foot of duct (kWh/ft)</t>
  </si>
  <si>
    <t>Missouri TRM &amp; Iowa TRM inputs here are sourced from same Cadmus Assessment noted below.</t>
  </si>
  <si>
    <t>MH</t>
  </si>
  <si>
    <t>Iowa TRM v2.0</t>
  </si>
  <si>
    <r>
      <t>Duct</t>
    </r>
    <r>
      <rPr>
        <vertAlign val="subscript"/>
        <sz val="11"/>
        <rFont val="Calibri"/>
        <family val="2"/>
        <scheme val="minor"/>
      </rPr>
      <t>Length</t>
    </r>
  </si>
  <si>
    <t>Duct Length (ft)</t>
  </si>
  <si>
    <t>HeatSavingsPerUnit</t>
  </si>
  <si>
    <t>Annual heating savings per linear foot of duct (kWh/ft)</t>
  </si>
  <si>
    <t>SF - Electric Heating</t>
  </si>
  <si>
    <t>Savings per unit are based upon analysis performed by Cadmus for the 2011 Joint Assessment of Potential. It was based on 10% savings in system efficiency. This would represent savings from homes with significant duct work outside of the thermal envelope. With no performance testing or verification, a deemed savings value should be very conservative and therefore the values provided in this section represent half of the savings – or 5% improvement. These values are provided as a conservative deemed estimate for Missouri, while encouraging the use of performance testing and verification for determination of more accurate savings estimates.</t>
  </si>
  <si>
    <t>MF - Electric Heating</t>
  </si>
  <si>
    <t>MH - Electric Heating</t>
  </si>
  <si>
    <t>SF - Gas Heating</t>
  </si>
  <si>
    <t>MF - Gas Heating</t>
  </si>
  <si>
    <t>MH - Gas Heating</t>
  </si>
  <si>
    <t>Use Actual Square length where applicable.</t>
  </si>
  <si>
    <t>402550_2021_12_</t>
  </si>
  <si>
    <t>ECM Auto Fan EUL Replacement -SF</t>
  </si>
  <si>
    <t>402600_2021_12_</t>
  </si>
  <si>
    <t>ECM Auto Fan Early Replacement ER1 (Full Cost) - SF</t>
  </si>
  <si>
    <t>ECM Auto Fan Early Replacement ER2 (Remaining Life) - SF</t>
  </si>
  <si>
    <t>402650_2021_12_</t>
  </si>
  <si>
    <t>ECM Continous Fan EUL Replacement - SF</t>
  </si>
  <si>
    <t>402700_2021_12_</t>
  </si>
  <si>
    <t>ECM Continous Fan Early Replacement ER1 (Full Cost) - SF</t>
  </si>
  <si>
    <t>ECM Continous Fan Early Replacement ER2 (Remaining Life) - SF</t>
  </si>
  <si>
    <t>402750_2021_12_</t>
  </si>
  <si>
    <t>ECM Auto Fan EUL Replacement - MF</t>
  </si>
  <si>
    <t>402800_2021_12_</t>
  </si>
  <si>
    <t>ECM Auto Fan Early Replacement ER1 (Full Cost) - MF</t>
  </si>
  <si>
    <t>ECM Auto Fan Early Replacement ER2 (Remaining Life) - MF</t>
  </si>
  <si>
    <t>402850_2021_12_</t>
  </si>
  <si>
    <t>ECM Continous Fan EUL Replacement - MF</t>
  </si>
  <si>
    <t>402900_2021_12_</t>
  </si>
  <si>
    <t>ECM Continous Fan Early Replacement ER1 (Full Cost) - MF</t>
  </si>
  <si>
    <t>ECM Continous Fan Early Replacement ER2 (Remaining Life) - MF</t>
  </si>
  <si>
    <t>ECM Fan EUL Replacement -SF</t>
  </si>
  <si>
    <t>ECM Fan Early Replacement ER 1 (Full Cost) - SF</t>
  </si>
  <si>
    <t>ECM Fan Early Replacement ER 2 (Remaining Life) - SF</t>
  </si>
  <si>
    <t>ECM Fan EUL Replacement - MF</t>
  </si>
  <si>
    <t>ECM Fan Early Replacement ER 1 (Full Cost) - MF</t>
  </si>
  <si>
    <t>ECM Fan Early Replacement ER 2 (Remaining Life) - MF</t>
  </si>
  <si>
    <r>
      <t xml:space="preserve">EFLH </t>
    </r>
    <r>
      <rPr>
        <vertAlign val="subscript"/>
        <sz val="11"/>
        <rFont val="Calibri"/>
        <family val="2"/>
        <scheme val="minor"/>
      </rPr>
      <t>heating</t>
    </r>
  </si>
  <si>
    <r>
      <t xml:space="preserve">WI_EFLH </t>
    </r>
    <r>
      <rPr>
        <vertAlign val="subscript"/>
        <sz val="11"/>
        <rFont val="Calibri"/>
        <family val="2"/>
        <scheme val="minor"/>
      </rPr>
      <t>heating</t>
    </r>
  </si>
  <si>
    <r>
      <t xml:space="preserve">EFLH </t>
    </r>
    <r>
      <rPr>
        <vertAlign val="subscript"/>
        <sz val="11"/>
        <rFont val="Calibri"/>
        <family val="2"/>
        <scheme val="minor"/>
      </rPr>
      <t>cooling</t>
    </r>
  </si>
  <si>
    <r>
      <t xml:space="preserve">WI_EFLH </t>
    </r>
    <r>
      <rPr>
        <vertAlign val="subscript"/>
        <sz val="11"/>
        <rFont val="Calibri"/>
        <family val="2"/>
        <scheme val="minor"/>
      </rPr>
      <t>cooling</t>
    </r>
  </si>
  <si>
    <t>Household Factor</t>
  </si>
  <si>
    <t>ECM Auto Fan Early Replacement ER 1 (Full Cost) - SF</t>
  </si>
  <si>
    <t>ECM Auto Fan Early Replacement ER 2 (Remaining Life) - SF</t>
  </si>
  <si>
    <t>ER  ($)</t>
  </si>
  <si>
    <t>ECM Auto Fan Early Replacement ER 1 (Full Cost) - MF</t>
  </si>
  <si>
    <t>ECM Auto Fan Early Replacement ER 2 (Remaining Life) - MF</t>
  </si>
  <si>
    <t>Heat Pump (HP) Tune-up</t>
  </si>
  <si>
    <t>402950_2019_12_</t>
  </si>
  <si>
    <t>General HP tune-up (no charge or coil clean)</t>
  </si>
  <si>
    <t>403000_2019_12_</t>
  </si>
  <si>
    <t>403050_2019_12_</t>
  </si>
  <si>
    <t>HP tune-up / Refrigerant charge SF</t>
  </si>
  <si>
    <t>403100_2019_12_</t>
  </si>
  <si>
    <t>HP tune-up / Refrigerant charge MF</t>
  </si>
  <si>
    <t>403101_2019_12_</t>
  </si>
  <si>
    <t>403150_2019_12_</t>
  </si>
  <si>
    <t>HP tune-up / Indoor Coil (Evaporator) Cleaning SF</t>
  </si>
  <si>
    <t>403200_2019_12_</t>
  </si>
  <si>
    <t>HP tune-up / Indoor Coil (Evaporator) Cleaning MF</t>
  </si>
  <si>
    <t>403201_2019_12_</t>
  </si>
  <si>
    <t>403250_2019_12_</t>
  </si>
  <si>
    <t>HP tune-up / Outdoor Coil (Condenser) Cleaning SF</t>
  </si>
  <si>
    <t>403300_2019_12_</t>
  </si>
  <si>
    <t>HP tune-up / Outdoor Coil (Condenser) Cleaning MF</t>
  </si>
  <si>
    <t>403301_2019_12_</t>
  </si>
  <si>
    <t>EUL Sourced from DEER Database Technology and Measure Cost Data. Per MO TRM</t>
  </si>
  <si>
    <r>
      <t>EFLH</t>
    </r>
    <r>
      <rPr>
        <vertAlign val="subscript"/>
        <sz val="11"/>
        <color theme="1"/>
        <rFont val="Calibri"/>
        <family val="2"/>
        <scheme val="minor"/>
      </rPr>
      <t>cool</t>
    </r>
  </si>
  <si>
    <t>Average capacity of 'Air Source Heat Pumps' measures in 'HVAC' program.  Values come from evaluation</t>
  </si>
  <si>
    <r>
      <t>Capacity</t>
    </r>
    <r>
      <rPr>
        <vertAlign val="subscript"/>
        <sz val="11"/>
        <color theme="1"/>
        <rFont val="Calibri"/>
        <family val="2"/>
        <scheme val="minor"/>
      </rPr>
      <t>cool</t>
    </r>
  </si>
  <si>
    <r>
      <t>SEER</t>
    </r>
    <r>
      <rPr>
        <vertAlign val="subscript"/>
        <sz val="11"/>
        <color theme="1"/>
        <rFont val="Calibri"/>
        <family val="2"/>
        <scheme val="minor"/>
      </rPr>
      <t>test-out</t>
    </r>
  </si>
  <si>
    <r>
      <t>EFLH</t>
    </r>
    <r>
      <rPr>
        <vertAlign val="subscript"/>
        <sz val="11"/>
        <rFont val="Calibri"/>
        <family val="2"/>
        <scheme val="minor"/>
      </rPr>
      <t>heat</t>
    </r>
  </si>
  <si>
    <r>
      <t>EFLH</t>
    </r>
    <r>
      <rPr>
        <vertAlign val="subscript"/>
        <sz val="11"/>
        <color theme="1"/>
        <rFont val="Calibri"/>
        <family val="2"/>
        <scheme val="minor"/>
      </rPr>
      <t>heat</t>
    </r>
  </si>
  <si>
    <r>
      <t>Capacity</t>
    </r>
    <r>
      <rPr>
        <vertAlign val="subscript"/>
        <sz val="11"/>
        <rFont val="Calibri"/>
        <family val="2"/>
        <scheme val="minor"/>
      </rPr>
      <t>heat</t>
    </r>
  </si>
  <si>
    <r>
      <t>Capacity</t>
    </r>
    <r>
      <rPr>
        <vertAlign val="subscript"/>
        <sz val="11"/>
        <color theme="1"/>
        <rFont val="Calibri"/>
        <family val="2"/>
        <scheme val="minor"/>
      </rPr>
      <t>heat</t>
    </r>
  </si>
  <si>
    <r>
      <t>HSPF</t>
    </r>
    <r>
      <rPr>
        <vertAlign val="subscript"/>
        <sz val="11"/>
        <rFont val="Calibri"/>
        <family val="2"/>
        <scheme val="minor"/>
      </rPr>
      <t>test-in</t>
    </r>
  </si>
  <si>
    <t>Heating Seasonal Performance Factor before tuning (kBtu/kWh)</t>
  </si>
  <si>
    <t>Based on evaluation results outlined in “Ameren Missouri Heating and Cooling Program Impact and Process Evaluation: Program Year 2015.”</t>
  </si>
  <si>
    <r>
      <t>HSPF</t>
    </r>
    <r>
      <rPr>
        <vertAlign val="subscript"/>
        <sz val="11"/>
        <color theme="1"/>
        <rFont val="Calibri"/>
        <family val="2"/>
        <scheme val="minor"/>
      </rPr>
      <t>test-out</t>
    </r>
  </si>
  <si>
    <r>
      <t>HSPF</t>
    </r>
    <r>
      <rPr>
        <vertAlign val="subscript"/>
        <sz val="11"/>
        <rFont val="Calibri"/>
        <family val="2"/>
        <scheme val="minor"/>
      </rPr>
      <t>test-out</t>
    </r>
  </si>
  <si>
    <t>Heating System Performance Factor of existing Air Source Heat Pump after tuning (kBtu/kWh)</t>
  </si>
  <si>
    <t>MO TRM:  "Assumes the efficiency improvement is the same in heating mode as was realized in cooling mode. Based on the improvement reported in “Ameren Missouri Heating and Cooling Program Impact and Process Evaluation: Program Year 2015"</t>
  </si>
  <si>
    <r>
      <t>Determined through linerar interpolation, using MO TRM value for overall tune-up improvement (HSPF=6.9) and partial improvement values used for General, Refrigerant Charge, and Coil Clean improvements (SEER</t>
    </r>
    <r>
      <rPr>
        <vertAlign val="subscript"/>
        <sz val="11"/>
        <rFont val="Calibri"/>
        <family val="2"/>
        <scheme val="minor"/>
      </rPr>
      <t>test-out</t>
    </r>
    <r>
      <rPr>
        <sz val="11"/>
        <rFont val="Calibri"/>
        <family val="2"/>
        <scheme val="minor"/>
      </rPr>
      <t xml:space="preserve"> values above).  Using 6.9 for all Tune-Up measures would result in double counting of heating savings.  </t>
    </r>
  </si>
  <si>
    <t>Low Flow Faucet Aerators (Bathroom)</t>
  </si>
  <si>
    <t>403350_2019_12_</t>
  </si>
  <si>
    <t>Water heating RES</t>
  </si>
  <si>
    <t>403351_2020_12_</t>
  </si>
  <si>
    <t>403400_2019_12_</t>
  </si>
  <si>
    <t>403450_2019_12_</t>
  </si>
  <si>
    <t>Parameters</t>
  </si>
  <si>
    <t>Rated flowrate of the baseline aerator</t>
  </si>
  <si>
    <t>The average length of faucet use per day (min/day)</t>
  </si>
  <si>
    <t>Rated flowrate of the low flow aerator</t>
  </si>
  <si>
    <t xml:space="preserve">PY2016 Program Data, per Community Saves 2016 EM&amp;V report. </t>
  </si>
  <si>
    <t>The number of people in the home (ppl/household)</t>
  </si>
  <si>
    <t>The number of days per year (day/yr)</t>
  </si>
  <si>
    <t>The number of faucets installed per home</t>
  </si>
  <si>
    <t>Revised to match Community Savers EM&amp;V</t>
  </si>
  <si>
    <t>The specific water heat (Btu/lb degrees F)</t>
  </si>
  <si>
    <t>The average water temperature out of the faucet (°F)</t>
  </si>
  <si>
    <t>The average inlet water temperature (°F)</t>
  </si>
  <si>
    <t>Recovery efficiency of the electric hot water heater</t>
  </si>
  <si>
    <t>Cadmus PY3 site visits.  Cited in Ameren Missouri Low Income and Process Evaluation: program Year 2015. p.20</t>
  </si>
  <si>
    <t>Matches Ameren Missouri  EE Kits for Non DI PY2017</t>
  </si>
  <si>
    <t>Low Flow Faucet Aerators (Kitchen)</t>
  </si>
  <si>
    <t>403470_2020_12_</t>
  </si>
  <si>
    <t>403471_2020_12_</t>
  </si>
  <si>
    <t>403480_2020_12_</t>
  </si>
  <si>
    <t>403481_2020_12_</t>
  </si>
  <si>
    <t>Estimated Useful Life</t>
  </si>
  <si>
    <t>403500_2021_12_</t>
  </si>
  <si>
    <t>403550_2021_12_</t>
  </si>
  <si>
    <t>403551_2021_12_</t>
  </si>
  <si>
    <t>403600_2021_12_</t>
  </si>
  <si>
    <t>403601_2021_12_</t>
  </si>
  <si>
    <t>The average shower length (min/shower)</t>
  </si>
  <si>
    <t xml:space="preserve">DeOreo, William, P. Mayer, L. Martien, M. Hayden, A. Funk, M. Kramer-Duffield, and R. Davis (2011). “California SingleFamily
Water Use Efficiency Study.” </t>
  </si>
  <si>
    <t>TRM used because EM&amp;V does not provide values for SF and MF households.</t>
  </si>
  <si>
    <t>The number of showers taken per person, per day</t>
  </si>
  <si>
    <t>New formula, same values. Matches Community Savers EM&amp;V</t>
  </si>
  <si>
    <t xml:space="preserve"> The number of days per year (day/yr)</t>
  </si>
  <si>
    <t>The number of showerheads installed per home</t>
  </si>
  <si>
    <t xml:space="preserve"> The specific water heat (BTU/lb-°F)</t>
  </si>
  <si>
    <t>The average water temperature at the showerhead (°F)</t>
  </si>
  <si>
    <t>DI (Single Family)</t>
  </si>
  <si>
    <t>Ameren Missouri Single Family Low Income Impact and Process Evaluation: PY2019 (Table 10-10)</t>
  </si>
  <si>
    <t>DI (Multifamily)</t>
  </si>
  <si>
    <t>Ameren Missouri Community Savers Evaluation PY2018 Tenant Surveys and Site Visits</t>
  </si>
  <si>
    <t>Showerhead - Non-DI (SF &amp; MF)</t>
  </si>
  <si>
    <t>Showerhead DI</t>
  </si>
  <si>
    <t>Handheld Showerhead DI (SF)</t>
  </si>
  <si>
    <t>Handheld Showerhead DI (MF)</t>
  </si>
  <si>
    <t>403650_2019_12_</t>
  </si>
  <si>
    <t>403700_2019_12_</t>
  </si>
  <si>
    <t>403750_2019_12_</t>
  </si>
  <si>
    <t>Circumference (feet) of uninsulated pipe (.75" diameter)</t>
  </si>
  <si>
    <t>Thermal resistance coefficient (hr-°F-ft2)/Btu) of uninsulated pipe</t>
  </si>
  <si>
    <t>PY7 program data</t>
  </si>
  <si>
    <t>Length of pipe from water heating source covered by pipe wrap (ft)</t>
  </si>
  <si>
    <t>Cited in Ameren Missouri Low Income and Process Evaluation: program Year 2015. p.24</t>
  </si>
  <si>
    <t>Pipe Diameter</t>
  </si>
  <si>
    <t>Effective Useful Life (All)</t>
  </si>
  <si>
    <t>Incremental Cost - Non-DI</t>
  </si>
  <si>
    <t>Incremental Cost - Direct Install (DI)</t>
  </si>
  <si>
    <t>Actual SFIE program cost (set rate established with installing contractor).</t>
  </si>
  <si>
    <t>Programmable Thermostat</t>
  </si>
  <si>
    <t xml:space="preserve">*MFLIc = Multifamily Low Income Comprehensive Envelope,  CompE = Comprehensive Envelope </t>
  </si>
  <si>
    <t>403800_2019_12_</t>
  </si>
  <si>
    <t>Setback thermostat - full setback - ASHP heating/cooling MF</t>
  </si>
  <si>
    <t>403801_2019_12_</t>
  </si>
  <si>
    <t>403850_2019_12_</t>
  </si>
  <si>
    <t>Setback thermostat - full setback - ASHP heating/cooling SF</t>
  </si>
  <si>
    <t>403900_2019_12_</t>
  </si>
  <si>
    <t>Setback thermostat - full setback - elec furnace heating / central AC MF</t>
  </si>
  <si>
    <t>403901_2019_12_</t>
  </si>
  <si>
    <t>403950_2019_12_</t>
  </si>
  <si>
    <t>Setback thermostat - full setback - elec furnace heating / central AC SF</t>
  </si>
  <si>
    <t>404000_2019_12_</t>
  </si>
  <si>
    <t>Setback thermostat - full setback - gas heating / central AC MF</t>
  </si>
  <si>
    <t>404001_2019_12_</t>
  </si>
  <si>
    <t>404050_2019_12_</t>
  </si>
  <si>
    <t>Setback thermostat for SF - full setback - gas heating / central AC </t>
  </si>
  <si>
    <t>404100_2019_12_</t>
  </si>
  <si>
    <t>Setback thermostat - full setback - Unknown MF</t>
  </si>
  <si>
    <t>404101_2019_12_</t>
  </si>
  <si>
    <t>404150_2019_12_</t>
  </si>
  <si>
    <t>Setback thermostat for SF - full setback - Unknown</t>
  </si>
  <si>
    <r>
      <t>Capacity</t>
    </r>
    <r>
      <rPr>
        <vertAlign val="subscript"/>
        <sz val="11"/>
        <rFont val="Calibri"/>
        <family val="2"/>
        <scheme val="minor"/>
      </rPr>
      <t>Cooling</t>
    </r>
  </si>
  <si>
    <t>Ameren Missouri Community Savers Evaluation PY2018  Program Data</t>
  </si>
  <si>
    <t>IL-TRM (Based on minimum federal standards between 1992 and 2006) Ameren Missouri Community Savers Evaluation PY2018</t>
  </si>
  <si>
    <r>
      <t>Sbdegrees</t>
    </r>
    <r>
      <rPr>
        <vertAlign val="subscript"/>
        <sz val="11"/>
        <rFont val="Calibri"/>
        <family val="2"/>
        <scheme val="minor"/>
      </rPr>
      <t>cooling</t>
    </r>
  </si>
  <si>
    <t>Ameren Missouri Community Savers Evaluation PY2018 Site Visit Thermostat SB Data</t>
  </si>
  <si>
    <r>
      <t>SF</t>
    </r>
    <r>
      <rPr>
        <vertAlign val="subscript"/>
        <sz val="11"/>
        <rFont val="Calibri"/>
        <family val="2"/>
        <scheme val="minor"/>
      </rPr>
      <t>cooling</t>
    </r>
  </si>
  <si>
    <t>ENERGY STAR Calculator - Ameren Missouri Community Savers Evaluation PY2018</t>
  </si>
  <si>
    <r>
      <t>EF</t>
    </r>
    <r>
      <rPr>
        <vertAlign val="subscript"/>
        <sz val="11"/>
        <rFont val="Calibri"/>
        <family val="2"/>
        <scheme val="minor"/>
      </rPr>
      <t>cooling</t>
    </r>
  </si>
  <si>
    <t>Ameren Missouri Community Savers Evaluation PY2018 Program Data</t>
  </si>
  <si>
    <r>
      <t>Capacity</t>
    </r>
    <r>
      <rPr>
        <vertAlign val="subscript"/>
        <sz val="11"/>
        <rFont val="Calibri"/>
        <family val="2"/>
        <scheme val="minor"/>
      </rPr>
      <t>Heating</t>
    </r>
  </si>
  <si>
    <t>HSPF</t>
  </si>
  <si>
    <t>IL-TRM (Based on minimum federal standards between 1992 and 2006) - Ameren Missouri Community Savers Evaluation PY2018</t>
  </si>
  <si>
    <r>
      <t>Sbdegrees</t>
    </r>
    <r>
      <rPr>
        <vertAlign val="subscript"/>
        <sz val="11"/>
        <rFont val="Calibri"/>
        <family val="2"/>
        <scheme val="minor"/>
      </rPr>
      <t>heating</t>
    </r>
  </si>
  <si>
    <r>
      <t>SF</t>
    </r>
    <r>
      <rPr>
        <vertAlign val="subscript"/>
        <sz val="11"/>
        <rFont val="Calibri"/>
        <family val="2"/>
        <scheme val="minor"/>
      </rPr>
      <t>heating</t>
    </r>
  </si>
  <si>
    <t>ENERGY STAR Calculator</t>
  </si>
  <si>
    <r>
      <t>EF</t>
    </r>
    <r>
      <rPr>
        <vertAlign val="subscript"/>
        <sz val="11"/>
        <rFont val="Calibri"/>
        <family val="2"/>
        <scheme val="minor"/>
      </rPr>
      <t>heating</t>
    </r>
  </si>
  <si>
    <t>Thermostatic Restrictor Shower Valve</t>
  </si>
  <si>
    <t>404200_2019_12_</t>
  </si>
  <si>
    <t>404250_2019_12_</t>
  </si>
  <si>
    <t>Assumed for DI</t>
  </si>
  <si>
    <r>
      <t>GPM</t>
    </r>
    <r>
      <rPr>
        <vertAlign val="subscript"/>
        <sz val="11"/>
        <rFont val="Calibri"/>
        <family val="2"/>
        <scheme val="minor"/>
      </rPr>
      <t>base</t>
    </r>
  </si>
  <si>
    <t xml:space="preserve">Assumes this measure is installed in tandem with DI low flow showerheads.  </t>
  </si>
  <si>
    <r>
      <t>L</t>
    </r>
    <r>
      <rPr>
        <vertAlign val="subscript"/>
        <sz val="11"/>
        <rFont val="Calibri"/>
        <family val="2"/>
        <scheme val="minor"/>
      </rPr>
      <t>base</t>
    </r>
  </si>
  <si>
    <t>Average of the following sources: ShowerStart LLC survey; “Identifying, Quantifying and Reducing Behavioral Waste in the Shower: Exploring the Savings Potential of ShowerStart”, City of San Diego Water Department survey; “Water Conservation Program: ShowerStart Pilot Project White Paper”, and PG&amp;E Work Paper PGECODHW113</t>
  </si>
  <si>
    <t xml:space="preserve">Matches IL TRM.  Not addresed in MO TRM or Cadmus EM&amp;V.  </t>
  </si>
  <si>
    <t xml:space="preserve"> </t>
  </si>
  <si>
    <r>
      <t>RE</t>
    </r>
    <r>
      <rPr>
        <vertAlign val="subscript"/>
        <sz val="11"/>
        <rFont val="Calibri"/>
        <family val="2"/>
        <scheme val="minor"/>
      </rPr>
      <t>electric</t>
    </r>
  </si>
  <si>
    <t>Matches MO TRM</t>
  </si>
  <si>
    <t>PY7 Tenant surveys</t>
  </si>
  <si>
    <t>Water Heater Wrap</t>
  </si>
  <si>
    <t>404300_2019_12_</t>
  </si>
  <si>
    <r>
      <t>A</t>
    </r>
    <r>
      <rPr>
        <vertAlign val="subscript"/>
        <sz val="11"/>
        <rFont val="Calibri"/>
        <family val="2"/>
        <scheme val="minor"/>
      </rPr>
      <t>Base</t>
    </r>
  </si>
  <si>
    <t>Surface area (ft2) of storage tank prior to adding tank wrap</t>
  </si>
  <si>
    <t>Average of surface area assumptions from the June 2016 Pennsylvania TRM, for 30, 40, 50, and 80 gallon tanks. Area values were calculated from average dimensions of several commercially available units, with radius values measured to the center of the insulation.  Area includes tank sides and top to account for typical wrap coverage.</t>
  </si>
  <si>
    <t xml:space="preserve">Matches MO TRM.  </t>
  </si>
  <si>
    <t>Thermal resistance coefficient (hr-°F-ft2)/Btu) of uninsulated tank</t>
  </si>
  <si>
    <t xml:space="preserve">Matches MO TRM. </t>
  </si>
  <si>
    <r>
      <t>A</t>
    </r>
    <r>
      <rPr>
        <vertAlign val="subscript"/>
        <sz val="11"/>
        <rFont val="Calibri"/>
        <family val="2"/>
        <scheme val="minor"/>
      </rPr>
      <t>EE</t>
    </r>
  </si>
  <si>
    <t>Surface area (ft2) of storage tank after addition of tank wrap</t>
  </si>
  <si>
    <r>
      <t>Average of surface area assumptions from the June 2016 Pennsylvania TRM, for 30, 40, 50, and 80 gallon tanks. A</t>
    </r>
    <r>
      <rPr>
        <vertAlign val="subscript"/>
        <sz val="11"/>
        <rFont val="Calibri"/>
        <family val="2"/>
        <scheme val="minor"/>
      </rPr>
      <t>EE</t>
    </r>
    <r>
      <rPr>
        <sz val="11"/>
        <rFont val="Calibri"/>
        <family val="2"/>
        <scheme val="minor"/>
      </rPr>
      <t xml:space="preserve"> was calculated by assuming that the water heater wrap is a 2” thick fiberglass material. </t>
    </r>
  </si>
  <si>
    <t>Matches MO TRM.  Not addressed in Cadmus EM&amp;V</t>
  </si>
  <si>
    <t>Thermal resistance coefficient (hr-°F-ft2)/Btu) of insulated tank</t>
  </si>
  <si>
    <t>Matches MO TRM.</t>
  </si>
  <si>
    <t>Common Area Faucet Aerators</t>
  </si>
  <si>
    <t>404350_2019_12_</t>
  </si>
  <si>
    <t>Common Area Low Flow Bathroom Faucet Aerator</t>
  </si>
  <si>
    <t>In Unit Value</t>
  </si>
  <si>
    <t>In Unit Source</t>
  </si>
  <si>
    <t>Matches Energy Efficiency Kits EM&amp;V. Value not provided in Community Savers EM&amp;V.</t>
  </si>
  <si>
    <t>Usage</t>
  </si>
  <si>
    <t>Estimated usage of mixed water (mixture of hot water from water heater line and cold water line) per faucet (gallons per year)</t>
  </si>
  <si>
    <t>MO TRM value for Hotels.  Value for Multifamily is not proviced, and Hotels is most similar to this building type.  Not addressed in Cadmus EM&amp;V.</t>
  </si>
  <si>
    <t>Missouri 2017 TRM, Section 2.6.2</t>
  </si>
  <si>
    <t>Matches MO TRM.  Not addressed in Cadmus EM&amp;V.</t>
  </si>
  <si>
    <t>No common area measures in PY18</t>
  </si>
  <si>
    <t xml:space="preserve">Common Area Low Flow Showerheads </t>
  </si>
  <si>
    <t>404400_2019_12_</t>
  </si>
  <si>
    <t>Common Area Low Flow Showerhead</t>
  </si>
  <si>
    <t xml:space="preserve">Matches Community Savers EM&amp;V and IL TRM for commercial fixtures.  Commercial values are relevant for common areas.  Not covered in MO TRM. </t>
  </si>
  <si>
    <t xml:space="preserve">Measure not covered in Cadmus EM&amp;V or MO TRM.  IL TRM applied. </t>
  </si>
  <si>
    <r>
      <t>GPM</t>
    </r>
    <r>
      <rPr>
        <vertAlign val="subscript"/>
        <sz val="11"/>
        <rFont val="Calibri"/>
        <family val="2"/>
        <scheme val="minor"/>
      </rPr>
      <t>low</t>
    </r>
  </si>
  <si>
    <r>
      <t>L</t>
    </r>
    <r>
      <rPr>
        <vertAlign val="subscript"/>
        <sz val="11"/>
        <rFont val="Calibri"/>
        <family val="2"/>
        <scheme val="minor"/>
      </rPr>
      <t>low</t>
    </r>
  </si>
  <si>
    <t>NSPD</t>
  </si>
  <si>
    <t>Estimated number of showers taken per day for one showerhead</t>
  </si>
  <si>
    <t>Conservative assumption</t>
  </si>
  <si>
    <t xml:space="preserve">Value not provided in IL TRM.  Common area showerheads are not addressed in Cadmus EM&amp;V or the MO TRM.  Assumed a conservative value of 1 shower per day per showerhead. </t>
  </si>
  <si>
    <t>Matches Community Savers EM&amp;V.</t>
  </si>
  <si>
    <t>404450_2019_12_</t>
  </si>
  <si>
    <t>404500_2019_12_</t>
  </si>
  <si>
    <t>404550_2019_12_</t>
  </si>
  <si>
    <t>404600_2019_12_</t>
  </si>
  <si>
    <t>404650_2019_12_</t>
  </si>
  <si>
    <t>404651_2020_12_</t>
  </si>
  <si>
    <t>404700_2019_12_</t>
  </si>
  <si>
    <t>404750_2019_12_</t>
  </si>
  <si>
    <t>404800_2019_12_</t>
  </si>
  <si>
    <t>404850_2019_12_</t>
  </si>
  <si>
    <t>404900_2019_12_</t>
  </si>
  <si>
    <t>404950_2019_12_</t>
  </si>
  <si>
    <t>405000_2019_12_</t>
  </si>
  <si>
    <t>405050_2019_12_</t>
  </si>
  <si>
    <t>405100_2019_12_</t>
  </si>
  <si>
    <t>405150_2019_12_</t>
  </si>
  <si>
    <t>405200_2019_12_</t>
  </si>
  <si>
    <t>405250_2019_12_</t>
  </si>
  <si>
    <t>405251_2020_12_</t>
  </si>
  <si>
    <t>405300_2019_12_</t>
  </si>
  <si>
    <t>405350_2019_12_</t>
  </si>
  <si>
    <t>405400_2019_12_</t>
  </si>
  <si>
    <t>405409_2021_12_</t>
  </si>
  <si>
    <t>SFIE / MFIE</t>
  </si>
  <si>
    <t>LED - 6W (CFL baseline) (310-749 lumens) IEDI</t>
  </si>
  <si>
    <t>405410_2019_12_</t>
  </si>
  <si>
    <t>501450_2021_12_</t>
  </si>
  <si>
    <t>Watt Base</t>
  </si>
  <si>
    <t>Average lumen-equivalent halogen wattage for program bulbs. (Value updated to align the measure with new lumen range and not overlap with the 6W measure.)</t>
  </si>
  <si>
    <t>Average lumen-equivalent halogen wattage for program bulbs</t>
  </si>
  <si>
    <t>IL TRM V8.0, section 5.5.6.</t>
  </si>
  <si>
    <t>Ameren Missouri Community Savers Evaluation PY2017</t>
  </si>
  <si>
    <t>2021 IL TRM, section 5.5.11</t>
  </si>
  <si>
    <t>Watt EE</t>
  </si>
  <si>
    <t>Program Wattage - Ameren Missouri Community Savers Evaluation PY2018 workpapers</t>
  </si>
  <si>
    <t>Program Wattage - Ameren Missouri Community Savers Evaluation PY2017 workpapers</t>
  </si>
  <si>
    <t>Actual wattage for bulb offered by programs, https://amerenmissouristore.com/led-11-watt-flood-br30-65w-eqv/</t>
  </si>
  <si>
    <t>Ameren Missouri Community Savers Evaluation PY2018 workpapers</t>
  </si>
  <si>
    <t>PY19 Evaluation (Table 10-10)</t>
  </si>
  <si>
    <t>Ameren Missouri Community Savers Evaluation PY2018 workpapers- Weighted Avg. HOU from ADM workpapers</t>
  </si>
  <si>
    <t>Res</t>
  </si>
  <si>
    <t>Ameren Missouri Community Savers Evaluation PY2018 workpapers- Weighted Avg. calculated from ADM workpapers</t>
  </si>
  <si>
    <t>PY16 Intercept Survey</t>
  </si>
  <si>
    <t>KW Factor_RES</t>
  </si>
  <si>
    <t>Ameren EE Plan PY16-PY18, Appendix E</t>
  </si>
  <si>
    <t>KW Factor _ BUS</t>
  </si>
  <si>
    <t>Hours24/7</t>
  </si>
  <si>
    <t>24/7 hours</t>
  </si>
  <si>
    <t>24*365</t>
  </si>
  <si>
    <t>Hours12/7</t>
  </si>
  <si>
    <t>12/7 hours</t>
  </si>
  <si>
    <t>12*365</t>
  </si>
  <si>
    <t>Effective Useful Life - Residential</t>
  </si>
  <si>
    <t>Effective Useful Life - Nightlights</t>
  </si>
  <si>
    <t>Effective Useful Life - Business</t>
  </si>
  <si>
    <t>Matched value for LED - 10W (Halogen Baseline)</t>
  </si>
  <si>
    <t>405450_2021_12_</t>
  </si>
  <si>
    <t>Advanced Tier 1 Power Strips / TOS/NC - Home Office</t>
  </si>
  <si>
    <t>405451_2021_12_</t>
  </si>
  <si>
    <t>Advanced Tier 1 Power Strips / DI - Home Office</t>
  </si>
  <si>
    <t>405500_2019_12_</t>
  </si>
  <si>
    <t>Advanced Tier 1 Power Strips / Kits - Home Office</t>
  </si>
  <si>
    <t>405550_2021_12_</t>
  </si>
  <si>
    <t>Advanced Tier 1 Power Strips / TOS/NC - Home Entertainment</t>
  </si>
  <si>
    <t>405551_2021_12_</t>
  </si>
  <si>
    <t>Advanced Tier 1 Power Strips / DI - Home Entertainment</t>
  </si>
  <si>
    <t>405600_2019_12_</t>
  </si>
  <si>
    <t>Advanced Tier 1 Power Strips / Kits - Home Entertainment</t>
  </si>
  <si>
    <t>405650_2021_12_</t>
  </si>
  <si>
    <t>Advanced Tier 1 Power Strips / TOS/NC - Unknown Location</t>
  </si>
  <si>
    <t>405651_2021_12_</t>
  </si>
  <si>
    <t>Advanced Tier 1 Power Strips / DI - Unknown Location</t>
  </si>
  <si>
    <t>405700_2019_12_</t>
  </si>
  <si>
    <t>Advanced Tier 1 Power  / Kits - Unknown Location</t>
  </si>
  <si>
    <t>405750_2019_12_</t>
  </si>
  <si>
    <t>405751_2020_12_</t>
  </si>
  <si>
    <t>“Advanced Power Strip Research Report.” Note that estimates are not based on pre/post metering but on analysis based on frequency and consumption of likely products in active, standby, and off modes. This measure should be reviewed frequently to ensure that assumptions continue to be appropriate.</t>
  </si>
  <si>
    <t>“Advanced Power Strip Research Report.”</t>
  </si>
  <si>
    <t>Based on measure name.</t>
  </si>
  <si>
    <t>Ameren Missouri Efficient Product Impact and Process Evaluation: Program Year 2015</t>
  </si>
  <si>
    <t>in service/installation rate</t>
  </si>
  <si>
    <t>Ameren Missouri Single Family Low Income Evaluation: PY2019, Table 10-10.</t>
  </si>
  <si>
    <t>“Advanced Power Strip Research Report,” NYSERDA, August 2011.</t>
  </si>
  <si>
    <t>Tier 1 - Non-DI</t>
  </si>
  <si>
    <t>Tier 1 - Direct Install (DI)</t>
  </si>
  <si>
    <t>Tier 2 - Non-DI</t>
  </si>
  <si>
    <t>Tier 2 - Direct Install (DI)</t>
  </si>
  <si>
    <t xml:space="preserve">Class B and G are the 2 classes of power strip currently in the market, therefore the savings of class B and G were averaged for savings estimate (See efficient products deemed table) </t>
  </si>
  <si>
    <t>Refrigerator</t>
  </si>
  <si>
    <t>405800_2019_12_</t>
  </si>
  <si>
    <t>Refrigerator - early replacement ER1</t>
  </si>
  <si>
    <t>Refrigeration RES</t>
  </si>
  <si>
    <t>Refrigerator - early replacement ER2</t>
  </si>
  <si>
    <t>Refrigeration RES ER2</t>
  </si>
  <si>
    <t>405825_2019_12_</t>
  </si>
  <si>
    <t>Refrigerator - Pre 1993 - ER1</t>
  </si>
  <si>
    <t>Refrigerator - Pre 1993 - ER2</t>
  </si>
  <si>
    <r>
      <t>kWh</t>
    </r>
    <r>
      <rPr>
        <vertAlign val="subscript"/>
        <sz val="11"/>
        <rFont val="Calibri"/>
        <family val="2"/>
        <scheme val="minor"/>
      </rPr>
      <t>Base</t>
    </r>
  </si>
  <si>
    <t>Existing kWh Consumption</t>
  </si>
  <si>
    <t>Baseline Refrigerator Usage</t>
  </si>
  <si>
    <t>Existing kWh Consumption - Pre 1993</t>
  </si>
  <si>
    <r>
      <t>kWh</t>
    </r>
    <r>
      <rPr>
        <vertAlign val="subscript"/>
        <sz val="11"/>
        <rFont val="Calibri"/>
        <family val="2"/>
        <scheme val="minor"/>
      </rPr>
      <t>new</t>
    </r>
  </si>
  <si>
    <t>Efficient kWh Consumption</t>
  </si>
  <si>
    <t>Age</t>
  </si>
  <si>
    <t>Bottom Freezer</t>
  </si>
  <si>
    <t>Side by Side</t>
  </si>
  <si>
    <t>Top Freezer</t>
  </si>
  <si>
    <t>% Savings</t>
  </si>
  <si>
    <t>Savings factor for ENERGY STAR and CEE Tier 1 refrigerators</t>
  </si>
  <si>
    <t>16 cubic ft.</t>
  </si>
  <si>
    <t>14 cubic ft.</t>
  </si>
  <si>
    <t>15 cubic ft.</t>
  </si>
  <si>
    <t>17 cubic ft.</t>
  </si>
  <si>
    <t>18 cubic ft.</t>
  </si>
  <si>
    <r>
      <t>kWh</t>
    </r>
    <r>
      <rPr>
        <vertAlign val="subscript"/>
        <sz val="11"/>
        <rFont val="Calibri"/>
        <family val="2"/>
        <scheme val="minor"/>
      </rPr>
      <t>2011-2015</t>
    </r>
  </si>
  <si>
    <t xml:space="preserve">Average kWh for refrigerators installed from 2011-2015 </t>
  </si>
  <si>
    <t>2011-2015</t>
  </si>
  <si>
    <r>
      <t>kWh</t>
    </r>
    <r>
      <rPr>
        <vertAlign val="subscript"/>
        <sz val="11"/>
        <rFont val="Calibri"/>
        <family val="2"/>
        <scheme val="minor"/>
      </rPr>
      <t>2001(after July)-2010</t>
    </r>
  </si>
  <si>
    <t>Average kWh for refrigerators installed from 2001(after july)-2010</t>
  </si>
  <si>
    <t>2001(after July)-2010</t>
  </si>
  <si>
    <r>
      <t>kWh</t>
    </r>
    <r>
      <rPr>
        <vertAlign val="subscript"/>
        <sz val="11"/>
        <rFont val="Calibri"/>
        <family val="2"/>
        <scheme val="minor"/>
      </rPr>
      <t>1993-2001(before June)</t>
    </r>
  </si>
  <si>
    <t>Average kWh for refrigerators installed from 1993-2001(before june)</t>
  </si>
  <si>
    <t>1993-2001(before June)</t>
  </si>
  <si>
    <r>
      <t>kWh</t>
    </r>
    <r>
      <rPr>
        <vertAlign val="subscript"/>
        <sz val="11"/>
        <rFont val="Calibri"/>
        <family val="2"/>
        <scheme val="minor"/>
      </rPr>
      <t>1990-1992</t>
    </r>
  </si>
  <si>
    <t>Average kWh for refrigerators installed from 1990-1992</t>
  </si>
  <si>
    <t>1990-1992</t>
  </si>
  <si>
    <r>
      <t>kWh</t>
    </r>
    <r>
      <rPr>
        <vertAlign val="subscript"/>
        <sz val="11"/>
        <rFont val="Calibri"/>
        <family val="2"/>
        <scheme val="minor"/>
      </rPr>
      <t>1980-1989</t>
    </r>
  </si>
  <si>
    <t>Average kWh for refrigerators installed from 1980-1989</t>
  </si>
  <si>
    <t>1980-1989</t>
  </si>
  <si>
    <r>
      <t>kWh</t>
    </r>
    <r>
      <rPr>
        <vertAlign val="subscript"/>
        <sz val="11"/>
        <rFont val="Calibri"/>
        <family val="2"/>
        <scheme val="minor"/>
      </rPr>
      <t>before 1980</t>
    </r>
  </si>
  <si>
    <t>Average kWh for refrigerators installed from before 1980</t>
  </si>
  <si>
    <t>before 1980</t>
  </si>
  <si>
    <r>
      <t>Number of Units</t>
    </r>
    <r>
      <rPr>
        <vertAlign val="subscript"/>
        <sz val="11"/>
        <rFont val="Calibri"/>
        <family val="2"/>
        <scheme val="minor"/>
      </rPr>
      <t>2011-2015</t>
    </r>
  </si>
  <si>
    <t xml:space="preserve">Number of Unitsfrom 2011-2015 </t>
  </si>
  <si>
    <r>
      <t>Number of Units</t>
    </r>
    <r>
      <rPr>
        <vertAlign val="subscript"/>
        <sz val="11"/>
        <rFont val="Calibri"/>
        <family val="2"/>
        <scheme val="minor"/>
      </rPr>
      <t>2001(after July)-2010</t>
    </r>
  </si>
  <si>
    <t>Number of Unitsfrom 2001(after july)-2010</t>
  </si>
  <si>
    <r>
      <t>Number of Units</t>
    </r>
    <r>
      <rPr>
        <vertAlign val="subscript"/>
        <sz val="11"/>
        <rFont val="Calibri"/>
        <family val="2"/>
        <scheme val="minor"/>
      </rPr>
      <t>1993-2001(before June)</t>
    </r>
  </si>
  <si>
    <t>Number of Unitsfrom 1993-2001(before june)</t>
  </si>
  <si>
    <r>
      <t>Number of Units</t>
    </r>
    <r>
      <rPr>
        <vertAlign val="subscript"/>
        <sz val="11"/>
        <rFont val="Calibri"/>
        <family val="2"/>
        <scheme val="minor"/>
      </rPr>
      <t>1990-1992</t>
    </r>
  </si>
  <si>
    <t>Number of Unitsfrom 1990-1992</t>
  </si>
  <si>
    <r>
      <t>Number of Units</t>
    </r>
    <r>
      <rPr>
        <vertAlign val="subscript"/>
        <sz val="11"/>
        <rFont val="Calibri"/>
        <family val="2"/>
        <scheme val="minor"/>
      </rPr>
      <t>1980-1989</t>
    </r>
  </si>
  <si>
    <t>Number of Unitsfrom 1980-1989</t>
  </si>
  <si>
    <r>
      <t>Number of Units</t>
    </r>
    <r>
      <rPr>
        <vertAlign val="subscript"/>
        <sz val="11"/>
        <rFont val="Calibri"/>
        <family val="2"/>
        <scheme val="minor"/>
      </rPr>
      <t>before 1980</t>
    </r>
  </si>
  <si>
    <t>Number of Unitsfrom before 1980</t>
  </si>
  <si>
    <t>PY18 Evaluation used different methodology</t>
  </si>
  <si>
    <t>405850_2021_12_</t>
  </si>
  <si>
    <t>AC - Energy Star Room _unknown size_Thru-Wall_MF</t>
  </si>
  <si>
    <t>405900_2021_12_</t>
  </si>
  <si>
    <t>AC - Energy Star Room  _unknown size_Thru-Wall_SF</t>
  </si>
  <si>
    <t>405950_2021_12_</t>
  </si>
  <si>
    <t>AC - Energy Star Room _unknown size_MF</t>
  </si>
  <si>
    <t>406000_2021_12_</t>
  </si>
  <si>
    <t>AC - Energy Star Room _unknown size_SF</t>
  </si>
  <si>
    <t>405851_2021_12_</t>
  </si>
  <si>
    <t>AC - Energy Star Room _5kBtu_Thru-Wall_MF</t>
  </si>
  <si>
    <t>405901_2021_12_</t>
  </si>
  <si>
    <t>AC - Energy Star Room _5kBtu _Thru-Wall_SF</t>
  </si>
  <si>
    <t>405951_2021_12_</t>
  </si>
  <si>
    <t>AC - Energy Star Room_5kBtu_MF</t>
  </si>
  <si>
    <t>406001_2021_12_</t>
  </si>
  <si>
    <t>AC - Energy Star Room_5kBtu_SF</t>
  </si>
  <si>
    <t>405852_2021_12_</t>
  </si>
  <si>
    <t>AC - Energy Star Room _8kBtu_Thru-Wall_MF</t>
  </si>
  <si>
    <t>405902_2021_12_</t>
  </si>
  <si>
    <t>AC - Energy Star Room _8kBtu_Thru-Wall_SF</t>
  </si>
  <si>
    <t>405952_2021_12_</t>
  </si>
  <si>
    <t>AC - Energy Star Room_8kBtu_MF</t>
  </si>
  <si>
    <t>406002_2021_12_</t>
  </si>
  <si>
    <t>AC - Energy Star Room_8kBtu_SF</t>
  </si>
  <si>
    <t>405853_2021_12_</t>
  </si>
  <si>
    <t>AC - Energy Star Room _10kBtu_Thru-Wall_MF</t>
  </si>
  <si>
    <t>405903_2021_12_</t>
  </si>
  <si>
    <t>AC - Energy Star Room _10kBtu_Thru-Wall_SF</t>
  </si>
  <si>
    <t>405953_2021_12_</t>
  </si>
  <si>
    <t>AC - Energy Star Room_10kBtu_MF</t>
  </si>
  <si>
    <t>406003_2021_12_</t>
  </si>
  <si>
    <t>AC - Energy Star Room_10kBtu_SF</t>
  </si>
  <si>
    <t>405854_2021_12_</t>
  </si>
  <si>
    <t>AC - Energy Star Room _12kBtu_Thru-Wall_MF</t>
  </si>
  <si>
    <t>405904_2021_12_</t>
  </si>
  <si>
    <t>AC - Energy Star Room _12kBtu_Thru-Wall_SF</t>
  </si>
  <si>
    <t>405954_2021_12_</t>
  </si>
  <si>
    <t>AC - Energy Star Room_12kBtu_MF</t>
  </si>
  <si>
    <t>406004_2021_12_</t>
  </si>
  <si>
    <t>AC - Energy Star Room_12kBtu_SF</t>
  </si>
  <si>
    <t>405855_2021_12_</t>
  </si>
  <si>
    <t>AC - Energy Star Room _15kBtu_Thru-Wall_MF</t>
  </si>
  <si>
    <t>405905_2021_12_</t>
  </si>
  <si>
    <t>AC - Energy Star Room _15kBtu_Thru-Wall_SF</t>
  </si>
  <si>
    <t>405955_2021_12_</t>
  </si>
  <si>
    <t>AC - Energy Star Room_15kBtu_MF</t>
  </si>
  <si>
    <t>406005_2021_12_</t>
  </si>
  <si>
    <t>AC - Energy Star Room_15kBtu_SF</t>
  </si>
  <si>
    <t>MF Source</t>
  </si>
  <si>
    <t>PY13 RebateSavers Database (average Btu)</t>
  </si>
  <si>
    <t>Ameren Missouri Community Savers Evaluation PY2017 - Program Data</t>
  </si>
  <si>
    <t>NONE</t>
  </si>
  <si>
    <t>Standard size:  5000 Btu</t>
  </si>
  <si>
    <t>Standard size:  8000 Btu</t>
  </si>
  <si>
    <t>Standard size:  10000 Btu</t>
  </si>
  <si>
    <t>Standard size:  12000 Btu</t>
  </si>
  <si>
    <t>Standard size:  15000 Btu</t>
  </si>
  <si>
    <t>Federal minimum efficiency standard (updated from EER to CEER in March 2017)</t>
  </si>
  <si>
    <t>PY16 Efficient Products Database (average CEER)</t>
  </si>
  <si>
    <t>Ameren MO TRM</t>
  </si>
  <si>
    <t>Same source for SF &amp; MF</t>
  </si>
  <si>
    <t xml:space="preserve">PY16 Participant Survey </t>
  </si>
  <si>
    <t xml:space="preserve">Ameren Missouri Community Savers Evaluation PY16 Participant Survey </t>
  </si>
  <si>
    <t>Storm Window</t>
  </si>
  <si>
    <t>406025_2020_12_</t>
  </si>
  <si>
    <t>Storm Window - Single Pane, Double Hung - Electric Furnace</t>
  </si>
  <si>
    <t>per sq ft</t>
  </si>
  <si>
    <t>406050_2020_12_</t>
  </si>
  <si>
    <t>Storm Window - Single Pane, Double Hung - Heat Pump</t>
  </si>
  <si>
    <t>406075_2020_12_</t>
  </si>
  <si>
    <t>Storm Window - Single Pane, Double Hung - Gas Heating</t>
  </si>
  <si>
    <t>406100_2020_12_</t>
  </si>
  <si>
    <t>Storm Window - Double Pane, Double Hung - Electric Furnace</t>
  </si>
  <si>
    <t>406125_2020_12_</t>
  </si>
  <si>
    <t>Storm Window - Double Pane, Double Hung - Heat Pump</t>
  </si>
  <si>
    <t>406150_2020_12_</t>
  </si>
  <si>
    <t>Storm Window - Double Pane, Double Hung - Gas Heating</t>
  </si>
  <si>
    <t>406175_2020_12_</t>
  </si>
  <si>
    <t>Storm Window - Single Pane, Fixed - Electric Furnace</t>
  </si>
  <si>
    <t>406200_2020_12_</t>
  </si>
  <si>
    <t>Storm Window - Single Pane, Fixed - Heat Pump</t>
  </si>
  <si>
    <t>406225_2020_12_</t>
  </si>
  <si>
    <t>Storm Window - Single Pane, Fixed - Gas Heating</t>
  </si>
  <si>
    <t>406250_2020_12_</t>
  </si>
  <si>
    <t>Storm Window - Double Pane, Fixed - Electric Furnace</t>
  </si>
  <si>
    <t>406275_2020_12_</t>
  </si>
  <si>
    <t>Storm Window - Double Pane, Fixed - Heat Pump</t>
  </si>
  <si>
    <t>406300_2020_12_</t>
  </si>
  <si>
    <t>Storm Window - Double Pane, Fixed - Gas Heating</t>
  </si>
  <si>
    <t>A</t>
  </si>
  <si>
    <t>Area (square footage) of storm windows installed</t>
  </si>
  <si>
    <t>Saving are per sq ft</t>
  </si>
  <si>
    <t>Σcool</t>
  </si>
  <si>
    <t>Savings factor for cooling.</t>
  </si>
  <si>
    <t>Single Pane, Double Hung</t>
  </si>
  <si>
    <t>Ameren MO TRM 2017 Volume 3, pg. 197</t>
  </si>
  <si>
    <t xml:space="preserve">Average value for clear/low-e and exterior/interior glass.  </t>
  </si>
  <si>
    <t>Double Pane, Double Hung</t>
  </si>
  <si>
    <t>Single Pane, Fixed</t>
  </si>
  <si>
    <t>Double Pane, Fixed</t>
  </si>
  <si>
    <t>ηCool</t>
  </si>
  <si>
    <t>Efficiency (SEER) of Air Conditioning equipment (kBtu/kWh).</t>
  </si>
  <si>
    <t>PY5 Evaluaiton for other shell measures (see Ceiling and Floor Insulation)</t>
  </si>
  <si>
    <t>ΣHeat</t>
  </si>
  <si>
    <t>Savings factor for heating.</t>
  </si>
  <si>
    <t>ηHeat</t>
  </si>
  <si>
    <t>Efficiency of heating system.</t>
  </si>
  <si>
    <t>Electric Furnace</t>
  </si>
  <si>
    <t>Ameren MO TRM 2017 Volume 3, pg. 199</t>
  </si>
  <si>
    <t>Heat Pump</t>
  </si>
  <si>
    <t>Ameren MO TRM 2017 Volume 3, pg. 199 Average value of 3 values provided.</t>
  </si>
  <si>
    <t>Gas Furnace</t>
  </si>
  <si>
    <t>Heating kWh savings not calculated for gas furnace.</t>
  </si>
  <si>
    <t>Converts kBtu to kWh</t>
  </si>
  <si>
    <t>Ameren MO TRM 2017 Volume 3, pg. 193</t>
  </si>
  <si>
    <t>Inc Cost</t>
  </si>
  <si>
    <t>Clear</t>
  </si>
  <si>
    <t>$30 cost per window for installation divided by average area (15 sq ft)</t>
  </si>
  <si>
    <t>RESIDENTIAL HOME ENERGY REPORT</t>
  </si>
  <si>
    <r>
      <rPr>
        <b/>
        <sz val="26"/>
        <color theme="0" tint="-0.34998626667073579"/>
        <rFont val="Calibri"/>
        <family val="2"/>
        <scheme val="minor"/>
      </rPr>
      <t xml:space="preserve">&lt;------ </t>
    </r>
    <r>
      <rPr>
        <b/>
        <sz val="16"/>
        <color theme="0" tint="-0.34998626667073579"/>
        <rFont val="Calibri"/>
        <family val="2"/>
        <scheme val="minor"/>
      </rPr>
      <t>Use the "Grouping" Features to expand or hide the formulas/input variables</t>
    </r>
  </si>
  <si>
    <t>Home Energy Report</t>
  </si>
  <si>
    <t>450050_2021_12_</t>
  </si>
  <si>
    <t xml:space="preserve">Home Energy Report </t>
  </si>
  <si>
    <t>per report</t>
  </si>
  <si>
    <t>First Year Annual kWh</t>
  </si>
  <si>
    <t>Annual Savings Decay</t>
  </si>
  <si>
    <t>Year</t>
  </si>
  <si>
    <t>Entire Document Is Confidential and Submitted for Purposes of Potential Settlement.</t>
  </si>
  <si>
    <t xml:space="preserve">*MFMRc = Multifamily Market Rate Comprehensive Envelope,  CompE = Comprehensive Envelope </t>
  </si>
  <si>
    <t>500050_2019_12_</t>
  </si>
  <si>
    <t>MFMR</t>
  </si>
  <si>
    <t>General Tune-Up (no charge or coil clean) / MFMR</t>
  </si>
  <si>
    <t>500051_2019_12_</t>
  </si>
  <si>
    <t>MFMRc</t>
  </si>
  <si>
    <t>500100_2019_12_</t>
  </si>
  <si>
    <t>AC Tune-up / refrigerant charge / MFMR</t>
  </si>
  <si>
    <t>500101_2019_12_</t>
  </si>
  <si>
    <t>500150_2019_12_</t>
  </si>
  <si>
    <t>Indoor Coil (Evaporator) Cleaning / MFMR</t>
  </si>
  <si>
    <t>500151_2019_12_</t>
  </si>
  <si>
    <t>500200_2019_12_</t>
  </si>
  <si>
    <t>Outdoor Coil (Condenser) Cleaning / MFMR</t>
  </si>
  <si>
    <t>500201_2019_12_</t>
  </si>
  <si>
    <r>
      <t>SEER</t>
    </r>
    <r>
      <rPr>
        <vertAlign val="subscript"/>
        <sz val="11"/>
        <rFont val="Calibri"/>
        <family val="2"/>
        <scheme val="minor"/>
      </rPr>
      <t>test-in</t>
    </r>
  </si>
  <si>
    <t>Assuming:  EER = (-0.02 * SEER2) + (1.12 * SEER), 
this SEER value is based on test-in efficiency of 10.5 EER, as listed in “Ameren Missouri Heating and Cooling Program Impact and Process Evaluation: Program Year 2015.”</t>
  </si>
  <si>
    <t>Matches MO TRM.  Measure not found in Cadmus Heating and Cooling EM&amp;V</t>
  </si>
  <si>
    <t>Indoor Coil (Evaporator) Cleaning SF</t>
  </si>
  <si>
    <t>Outdoor Coil (Condenser) Cleaning SF</t>
  </si>
  <si>
    <t>500250_2019_12_</t>
  </si>
  <si>
    <t>Ceiling Insulation R11-R49 MFMR electric furnace base</t>
  </si>
  <si>
    <t>500300_2019_12_</t>
  </si>
  <si>
    <t>Ceiling Insulation R11-R49 MFMR gas heat and electric cool base</t>
  </si>
  <si>
    <t>500350_2019_12_</t>
  </si>
  <si>
    <t>Ceiling Insulation R5-R30 MFMR electric furnace base</t>
  </si>
  <si>
    <t>500400_2019_12_</t>
  </si>
  <si>
    <t>Ceiling Insulation R5-R30 MFMR gas heat and electric cool base</t>
  </si>
  <si>
    <t>500450_2019_12_</t>
  </si>
  <si>
    <t>Ceiling Insulation R5-R38 MFMR electric furnace base</t>
  </si>
  <si>
    <t>500500_2019_12_</t>
  </si>
  <si>
    <t>Ceiling Insulation R5-R38 MFMR gas heat and electric cool base</t>
  </si>
  <si>
    <t>500550_2019_12_</t>
  </si>
  <si>
    <t>Ceiling Insulation R5-R49 MFMR electric furnace base</t>
  </si>
  <si>
    <t>500600_2019_12_</t>
  </si>
  <si>
    <t>Ceiling Insulation R5-R49 MFMR gas heat and electric cool base</t>
  </si>
  <si>
    <t>500650_2019_12_</t>
  </si>
  <si>
    <t>Ceiling Insulation R5-R60 MFMR electric furnace base</t>
  </si>
  <si>
    <t>500700_2019_12_</t>
  </si>
  <si>
    <t>Ceiling Insulation R5-R60 MFMR gas heat and electric cool base</t>
  </si>
  <si>
    <t>Ceiling Insulation R11-R49 MF electric furnace base</t>
  </si>
  <si>
    <t>Ceiling Insulation R11-R49 MF gas heat and electric cool base</t>
  </si>
  <si>
    <t>Ceiling Insulation R5-R30 MF electric furnace base</t>
  </si>
  <si>
    <t>Ceiling Insulation R5-R30 MF gas heat and electric cool base</t>
  </si>
  <si>
    <t>Ceiling Insulation R5-R38 MF electric furnace base</t>
  </si>
  <si>
    <t>Ceiling Insulation R5-R38 MF gas heat and electric cool base</t>
  </si>
  <si>
    <t>Ceiling Insulation R5-R49 MF electric furnace base</t>
  </si>
  <si>
    <t>Ceiling Insulation R5-R49 MF gas heat and electric cool base</t>
  </si>
  <si>
    <t>Ceiling Insulation R5-R60 MF electric furnace base</t>
  </si>
  <si>
    <t>Ceiling Insulation R5-R60 MF gas heat and electric cool base</t>
  </si>
  <si>
    <t>Avg. size home 875.55 sq.ft.</t>
  </si>
  <si>
    <t>Assumed same as R5-R49</t>
  </si>
  <si>
    <t>Avg. size home 718.9 sq.ft.</t>
  </si>
  <si>
    <t>Assumed same as R5-R50</t>
  </si>
  <si>
    <t>Program. Tstat value</t>
  </si>
  <si>
    <t xml:space="preserve">MO - TRM </t>
  </si>
  <si>
    <t>500750_2019_12_</t>
  </si>
  <si>
    <t>Dirty Filter Alarm_MFMR</t>
  </si>
  <si>
    <t>500751_2019_12_</t>
  </si>
  <si>
    <r>
      <t>EFLH</t>
    </r>
    <r>
      <rPr>
        <i/>
        <vertAlign val="subscript"/>
        <sz val="11"/>
        <rFont val="Calibri Light"/>
        <family val="2"/>
        <scheme val="major"/>
      </rPr>
      <t>heat</t>
    </r>
  </si>
  <si>
    <t>Dirty Filter Alarm_MFLI</t>
  </si>
  <si>
    <t>Assumed all have Ameren as electric Utility provider.</t>
  </si>
  <si>
    <t>Assumed filter changes by customer require reinstallation</t>
  </si>
  <si>
    <t>MO-Evaluation</t>
  </si>
  <si>
    <r>
      <t>EFLH</t>
    </r>
    <r>
      <rPr>
        <i/>
        <vertAlign val="subscript"/>
        <sz val="11"/>
        <rFont val="Calibri Light"/>
        <family val="2"/>
        <scheme val="major"/>
      </rPr>
      <t>cool</t>
    </r>
  </si>
  <si>
    <t>EUL*</t>
  </si>
  <si>
    <t>500800_2021_12_</t>
  </si>
  <si>
    <t>ECM Auto Fan Early Replacement ER1 (Full Cost) - MFMR</t>
  </si>
  <si>
    <t>ECM Auto Fan Early Replacement ER2 (Remaining Life) - MFMR</t>
  </si>
  <si>
    <t>HVAC RES ER2</t>
  </si>
  <si>
    <r>
      <t xml:space="preserve">EFLH </t>
    </r>
    <r>
      <rPr>
        <vertAlign val="subscript"/>
        <sz val="11"/>
        <rFont val="Calibri Light"/>
        <family val="2"/>
        <scheme val="major"/>
      </rPr>
      <t>heating</t>
    </r>
  </si>
  <si>
    <r>
      <t xml:space="preserve">EFLH </t>
    </r>
    <r>
      <rPr>
        <i/>
        <vertAlign val="subscript"/>
        <sz val="11"/>
        <rFont val="Calibri Light"/>
        <family val="2"/>
        <scheme val="major"/>
      </rPr>
      <t>heating</t>
    </r>
  </si>
  <si>
    <r>
      <t xml:space="preserve">WI_EFLH </t>
    </r>
    <r>
      <rPr>
        <vertAlign val="subscript"/>
        <sz val="11"/>
        <rFont val="Calibri Light"/>
        <family val="2"/>
        <scheme val="major"/>
      </rPr>
      <t>heating</t>
    </r>
  </si>
  <si>
    <r>
      <t xml:space="preserve">WI_EFLH </t>
    </r>
    <r>
      <rPr>
        <i/>
        <vertAlign val="subscript"/>
        <sz val="11"/>
        <rFont val="Calibri Light"/>
        <family val="2"/>
        <scheme val="major"/>
      </rPr>
      <t>heating</t>
    </r>
  </si>
  <si>
    <t>ROF Efficiency Level Cost per Unit</t>
  </si>
  <si>
    <t>ER Efficiency Level ($) per Unit</t>
  </si>
  <si>
    <r>
      <t xml:space="preserve">EFLH </t>
    </r>
    <r>
      <rPr>
        <vertAlign val="subscript"/>
        <sz val="11"/>
        <rFont val="Calibri Light"/>
        <family val="2"/>
        <scheme val="major"/>
      </rPr>
      <t>cooling</t>
    </r>
  </si>
  <si>
    <r>
      <t xml:space="preserve">EFLH </t>
    </r>
    <r>
      <rPr>
        <i/>
        <vertAlign val="subscript"/>
        <sz val="11"/>
        <rFont val="Calibri Light"/>
        <family val="2"/>
        <scheme val="major"/>
      </rPr>
      <t>cooling</t>
    </r>
  </si>
  <si>
    <r>
      <t xml:space="preserve">WI_EFLH </t>
    </r>
    <r>
      <rPr>
        <vertAlign val="subscript"/>
        <sz val="11"/>
        <rFont val="Calibri Light"/>
        <family val="2"/>
        <scheme val="major"/>
      </rPr>
      <t>cooling</t>
    </r>
  </si>
  <si>
    <r>
      <rPr>
        <strike/>
        <sz val="11"/>
        <rFont val="Calibri"/>
        <family val="2"/>
        <scheme val="minor"/>
      </rPr>
      <t>SEER14</t>
    </r>
    <r>
      <rPr>
        <sz val="11"/>
        <rFont val="Calibri"/>
        <family val="2"/>
        <scheme val="minor"/>
      </rPr>
      <t xml:space="preserve"> ECM</t>
    </r>
  </si>
  <si>
    <r>
      <t xml:space="preserve">WI_EFLH </t>
    </r>
    <r>
      <rPr>
        <i/>
        <vertAlign val="subscript"/>
        <sz val="11"/>
        <rFont val="Calibri Light"/>
        <family val="2"/>
        <scheme val="major"/>
      </rPr>
      <t>cooling</t>
    </r>
  </si>
  <si>
    <t>% run time</t>
  </si>
  <si>
    <t>500850_2019_12_</t>
  </si>
  <si>
    <t>500900_2019_12_</t>
  </si>
  <si>
    <t>500950_2019_12_</t>
  </si>
  <si>
    <t>501000_2019_12_</t>
  </si>
  <si>
    <t>501050_2019_12_</t>
  </si>
  <si>
    <t>LED - 12W (Halogen baseline)</t>
  </si>
  <si>
    <t>501100_2019_12_</t>
  </si>
  <si>
    <t>LED - 12W (Replacing CFL)</t>
  </si>
  <si>
    <t>501150_2019_12_</t>
  </si>
  <si>
    <t>501200_2019_12_</t>
  </si>
  <si>
    <t>501250_2019_12_</t>
  </si>
  <si>
    <t>501300_2019_12_</t>
  </si>
  <si>
    <t>501310_2020_12_</t>
  </si>
  <si>
    <t>LED - 11W Flood Light BR30 Bulb (Halogen baseline)</t>
  </si>
  <si>
    <t>501311_2020_12_</t>
  </si>
  <si>
    <t>501350_2019_12_</t>
  </si>
  <si>
    <t>501400_2019_12_</t>
  </si>
  <si>
    <t>501401_2019_12_</t>
  </si>
  <si>
    <t xml:space="preserve">LED - 6W (Halogen baseline) (310-749 lumens) </t>
  </si>
  <si>
    <t>501402_2021_12_</t>
  </si>
  <si>
    <t xml:space="preserve">LED - 6W (CFL baseline) (310-749 lumens) </t>
  </si>
  <si>
    <t xml:space="preserve">Statewide Formula: </t>
  </si>
  <si>
    <t>Updated UMP Method (based on initial install value from PY17 inventory)</t>
  </si>
  <si>
    <t xml:space="preserve">ADM 2017 Community Savers EM&amp;V </t>
  </si>
  <si>
    <t>Match to LED - 10W (Halogen baseline)</t>
  </si>
  <si>
    <t>Match to LED - 10W (CFL baseline)</t>
  </si>
  <si>
    <t>Faucet Aerators (Kitchen)</t>
  </si>
  <si>
    <t>501500_2021_12_</t>
  </si>
  <si>
    <t>Faucet Aerators (Kitchen) MFMR</t>
  </si>
  <si>
    <t>Assumed for MF Market.</t>
  </si>
  <si>
    <t>Matches EE Kits EM&amp;V.</t>
  </si>
  <si>
    <t xml:space="preserve">PY14 Community Savers Program Data </t>
  </si>
  <si>
    <t>Faucet Aerators (Bathroom)</t>
  </si>
  <si>
    <t>501550_2021_12_</t>
  </si>
  <si>
    <t>Faucet Aerators (Bathroom) MFMR</t>
  </si>
  <si>
    <t>Multifamily Value</t>
  </si>
  <si>
    <t>Multifamily Source</t>
  </si>
  <si>
    <t>Low Flow Showerhead</t>
  </si>
  <si>
    <t>501600_2021_12_</t>
  </si>
  <si>
    <t>Low Flow Showerhead MFMR</t>
  </si>
  <si>
    <t>Illinois Statewide Technical Reference Manual for Energy Efficiency Version 5.0. pp. 184. 2016. Available Online: http://ilsagfiles.org/SAG_files/Technical_Reference_x000D_
_Manual/Version_5/Final/IL-TRM_Version_5.0_dated_February-11-2016_Final_Compiled_Volumes_1-4.pdf</t>
  </si>
  <si>
    <t xml:space="preserve">DeOreo, William, P. Mayer, L. Martien, M. Hayden, A. Funk, M. Kramer-Duffield, and R. Davis (2011). “California SingleFamily_x000D_
Water Use Efficiency Study.” </t>
  </si>
  <si>
    <t>Matches Community Savers EM&amp;V</t>
  </si>
  <si>
    <t>Direct Install</t>
  </si>
  <si>
    <t>Time of Sale</t>
  </si>
  <si>
    <t>501650_2019_12_</t>
  </si>
  <si>
    <t>Advanced Tier 1 Power Strips / TOS/NC/DI - Home Office</t>
  </si>
  <si>
    <t>501700_2019_12_</t>
  </si>
  <si>
    <t>501750_2019_12_</t>
  </si>
  <si>
    <t>Advanced Tier 1 Power Strips / TOS/NC/DI - Home Entertainment</t>
  </si>
  <si>
    <t>501800_2019_12_</t>
  </si>
  <si>
    <t>501850_2019_12_</t>
  </si>
  <si>
    <t>Advanced Tier 1 Power Strips / TOS/NC/DI - Unknown Location</t>
  </si>
  <si>
    <t>501900_2019_12_</t>
  </si>
  <si>
    <t>Location</t>
  </si>
  <si>
    <t>501950_2019_12_</t>
  </si>
  <si>
    <t>502000_2019_12_</t>
  </si>
  <si>
    <t>502050_2019_12_</t>
  </si>
  <si>
    <t>502100_2019_12_</t>
  </si>
  <si>
    <t>502150_2019_12_</t>
  </si>
  <si>
    <t>502200_2019_12_</t>
  </si>
  <si>
    <t>502250_2019_12_</t>
  </si>
  <si>
    <t>502300_2019_12_</t>
  </si>
  <si>
    <t>502350_2019_12_</t>
  </si>
  <si>
    <t>*Cost determined through online search - retail price of Embertec and TrickleStar prices</t>
  </si>
  <si>
    <t>Online market research (matches Products)</t>
  </si>
  <si>
    <t>High Efficienty Pool Pump</t>
  </si>
  <si>
    <r>
      <t>kWh</t>
    </r>
    <r>
      <rPr>
        <vertAlign val="subscript"/>
        <sz val="11"/>
        <rFont val="Calibri"/>
        <family val="2"/>
        <scheme val="minor"/>
      </rPr>
      <t>ss</t>
    </r>
    <r>
      <rPr>
        <sz val="11"/>
        <rFont val="Calibri"/>
        <family val="2"/>
        <scheme val="minor"/>
      </rPr>
      <t>/Day</t>
    </r>
  </si>
  <si>
    <r>
      <t>kWh</t>
    </r>
    <r>
      <rPr>
        <vertAlign val="subscript"/>
        <sz val="11"/>
        <rFont val="Calibri"/>
        <family val="2"/>
        <scheme val="minor"/>
      </rPr>
      <t>hs</t>
    </r>
    <r>
      <rPr>
        <sz val="11"/>
        <rFont val="Calibri"/>
        <family val="2"/>
        <scheme val="minor"/>
      </rPr>
      <t>/Day</t>
    </r>
  </si>
  <si>
    <r>
      <t>kWh</t>
    </r>
    <r>
      <rPr>
        <vertAlign val="subscript"/>
        <sz val="11"/>
        <rFont val="Calibri"/>
        <family val="2"/>
        <scheme val="minor"/>
      </rPr>
      <t>ls</t>
    </r>
    <r>
      <rPr>
        <sz val="11"/>
        <rFont val="Calibri"/>
        <family val="2"/>
        <scheme val="minor"/>
      </rPr>
      <t>/Day</t>
    </r>
  </si>
  <si>
    <t>502400_2019_12_</t>
  </si>
  <si>
    <t>Days per year of operation</t>
  </si>
  <si>
    <t>PY16 EM&amp;V</t>
  </si>
  <si>
    <t>Runtime in hours/day in high speed (hs) using multi-speed pump</t>
  </si>
  <si>
    <t>Gallons per a minute in high speed (hs) using multi-speed pump</t>
  </si>
  <si>
    <t>Runtime in hours/day in low speed (ls) using multi-speed pump</t>
  </si>
  <si>
    <t>Gallons per a minute in low speed (ls) using multi-speed pump</t>
  </si>
  <si>
    <t>The conversion rate from minutes to hours (min/hr)</t>
  </si>
  <si>
    <t>Energy factor (gallons/watt-hr)  in high speed (hs) using multi-speed pump</t>
  </si>
  <si>
    <t>Energy factor (gallons/watt-hr)  in low speed (ls) using multi-speed pump</t>
  </si>
  <si>
    <t>502450_2019_12_</t>
  </si>
  <si>
    <t>Refrigerator - early replacement ER1 (full cost)   -  MFMR</t>
  </si>
  <si>
    <t xml:space="preserve">Refrigerator - early replacement ER2 (remaining life) - MFMR </t>
  </si>
  <si>
    <t>Reference Table, kWh Use</t>
  </si>
  <si>
    <t>PY16EM&amp;V - Community Savers</t>
  </si>
  <si>
    <t>RESIDENTIAL APPLIANCE RECYCLING</t>
  </si>
  <si>
    <t>Refrigerator Recycling</t>
  </si>
  <si>
    <t>550050_2019_12_</t>
  </si>
  <si>
    <t>Appliance Recycling</t>
  </si>
  <si>
    <t>Refrigerator recycling (pre-1990)</t>
  </si>
  <si>
    <t>550100_2019_12_</t>
  </si>
  <si>
    <t>Refrigerator recycling (post-1990)</t>
  </si>
  <si>
    <t>UEC</t>
  </si>
  <si>
    <t>Unit Energy Consumption</t>
  </si>
  <si>
    <t>Cadmus evaluation of Ameren Missouri refrigerator recycling program year 2015</t>
  </si>
  <si>
    <t>Part Use Factor</t>
  </si>
  <si>
    <t>To account for units not used throughout the entire year</t>
  </si>
  <si>
    <t>Ameren Missouri Appliance Recycling Evaluation PY2019 survey results</t>
  </si>
  <si>
    <t>550150_2019_12_</t>
  </si>
  <si>
    <t>Freezer recycling</t>
  </si>
  <si>
    <t>Freezer RES</t>
  </si>
  <si>
    <t>Room AC Recycling</t>
  </si>
  <si>
    <t>550200_2019_12_</t>
  </si>
  <si>
    <t>Room AC recycling - Primary</t>
  </si>
  <si>
    <t>550250_2019_12_</t>
  </si>
  <si>
    <t>Room AC recycling - Secondary</t>
  </si>
  <si>
    <t>*Cost  based on full cost of Room AC equipment ($349) and ratio of refridgerator recycling cost ($140) to full refridgerator cost ($742 + $11) .  Full cost of Room AC is based on an internet search. </t>
  </si>
  <si>
    <t>Hours Primary</t>
  </si>
  <si>
    <t>Full Load Hours of room air conditioning primary unit</t>
  </si>
  <si>
    <t>Hours Secondary</t>
  </si>
  <si>
    <t>Full Load Hours of room air conditioning Secondary unit</t>
  </si>
  <si>
    <t>BtuH</t>
  </si>
  <si>
    <t>Size of unit</t>
  </si>
  <si>
    <t>EERexist</t>
  </si>
  <si>
    <t>Efficiency of recycled unit</t>
  </si>
  <si>
    <t>% replaced</t>
  </si>
  <si>
    <t>Percentage of units dropped off that are replaced</t>
  </si>
  <si>
    <t>EERNewBase</t>
  </si>
  <si>
    <t>Efficiency of baseline unit</t>
  </si>
  <si>
    <t>Dehumidifier Recycling</t>
  </si>
  <si>
    <t>550300_2019_12_</t>
  </si>
  <si>
    <t>*EUL assumed to be 33% higher than Room AC EUL, based on TRM values for full equipment life (12 for dehumidifier and 9 for Room AC)</t>
  </si>
  <si>
    <t>**Cost assumed based on full cost of Dehumidifier equipment ($230) and ratio of refrigerator recycling cost ($140) to full refridgerator cost ($742 + $11) .  Full cost of Dehumidifier is based on an internet search. </t>
  </si>
  <si>
    <t>Deemed Savings</t>
  </si>
  <si>
    <t xml:space="preserve">2018 MEMD Master Database, measure code N-RE-AP-010111-E-XX-XX-XX-XX-01.   http://www.michigan.gov/mpsc/0,4639,7-159-52495_55129---,00.html </t>
  </si>
  <si>
    <t>http://www.puc.state.pa.us/Electric/pdf/Act129/Act129_TRM-2014_Redlined_V2.pdf</t>
  </si>
  <si>
    <t>RESIDENTIAL DEMAND RESPONSE</t>
  </si>
  <si>
    <t>Demand Response</t>
  </si>
  <si>
    <t>Measure [1]</t>
  </si>
  <si>
    <t>Gross kWh Annual Savings [2]</t>
  </si>
  <si>
    <t>End Use [3]</t>
  </si>
  <si>
    <t>kW Factor [4]</t>
  </si>
  <si>
    <t>kW (Annual) [5]</t>
  </si>
  <si>
    <t>600050_2020_12_</t>
  </si>
  <si>
    <t>DR</t>
  </si>
  <si>
    <t>per thermostat</t>
  </si>
  <si>
    <t>600100_2021_12_</t>
  </si>
  <si>
    <t xml:space="preserve">[Note 1] </t>
  </si>
  <si>
    <t xml:space="preserve">[Note 2] </t>
  </si>
  <si>
    <t>[Note 3]</t>
  </si>
  <si>
    <t xml:space="preserve">[Note 4] </t>
  </si>
  <si>
    <t>The kW factor based on end use is not used because the actual demand impacts are directly measured.</t>
  </si>
  <si>
    <t xml:space="preserve">[Note 5] </t>
  </si>
  <si>
    <r>
      <rPr>
        <b/>
        <sz val="11"/>
        <rFont val="Calibri"/>
        <family val="2"/>
        <scheme val="minor"/>
      </rPr>
      <t>Residential demand response:</t>
    </r>
    <r>
      <rPr>
        <sz val="11"/>
        <rFont val="Calibri"/>
        <family val="2"/>
        <scheme val="minor"/>
      </rPr>
      <t xml:space="preserve"> For demand and energy savings associated with calling a demand response event, smart thermostat program participants will be randomly partitioned into two groups. In this scenario, on an event day, participants in one group receive a signal to initiate activity on the thermostat, while the other group of participants would not receive this signal. As a result, the participants who receive the signal will serve as the treatment group, and the participants who do not receive a signal will serve as the control group. Demand impacts will be estimated from the average of the hours over all event periods. Energy savings impacts will be estimated from comparing the 24 hours of the control group for each event day to the 24 hours of actual kWh consumption for each event day.</t>
    </r>
  </si>
  <si>
    <r>
      <rPr>
        <b/>
        <sz val="11"/>
        <rFont val="Calibri"/>
        <family val="2"/>
        <scheme val="minor"/>
      </rPr>
      <t>Business demand response:</t>
    </r>
    <r>
      <rPr>
        <sz val="11"/>
        <rFont val="Calibri"/>
        <family val="2"/>
        <scheme val="minor"/>
      </rPr>
      <t xml:space="preserve"> For demand and energy savings associated with calling a demand response event, a customer baseline load ("CBL") approach will be used. A CBL approach applies a model or algorithm to develop customer-specific baselines for each event that are used to estimate load impacts for each hour of the event. Demand impacts will be estimated from the average of the hours over all event periods. Energy savings impacts will be estimated from comparing the 24 hours of the CBL for each event day to the 24 hours of actual kWh consumption for each event day.</t>
    </r>
  </si>
  <si>
    <t>RESIDENTIAL</t>
  </si>
  <si>
    <t>BUSINESS PRESCRIPTIVE MEASURES</t>
  </si>
  <si>
    <t xml:space="preserve">The values in the cells highlighted in this color are values used in the planning process of the portfolio.  TRM allows delivery program design to use actual values for these cells, or a default value if actuals are not available. </t>
  </si>
  <si>
    <t>Cells highlighted in this color are calculated variables</t>
  </si>
  <si>
    <t>PROGRAMS:  All</t>
  </si>
  <si>
    <t>800050_2019_12_</t>
  </si>
  <si>
    <t>C&amp;I</t>
  </si>
  <si>
    <t>LED &lt;=11 Watt Lamp Replacing Interior Halogen A 28-52 Watt Lamp</t>
  </si>
  <si>
    <t>800100_2019_12_</t>
  </si>
  <si>
    <t>LED 7-20 Watt Lamp Replacing Interior Halogen 53-70 Watt Lamp</t>
  </si>
  <si>
    <t>800150_2019_12_</t>
  </si>
  <si>
    <t>LED &lt;=14 Watt Lamp Replacing Interior Halogen BR/R 45-65 Watt Lamp</t>
  </si>
  <si>
    <t>800200_2019_12_</t>
  </si>
  <si>
    <t>LED &lt;=13 Watt Lamp Replacing Interior Halogen MR-16 35-50 Watt Lamp</t>
  </si>
  <si>
    <t>800250_2019_12_</t>
  </si>
  <si>
    <t>LED &lt;=20 Watt Lamp Replacing Interior Halogen PAR 48-90 Watt Lamp</t>
  </si>
  <si>
    <t>800300_2019_12_</t>
  </si>
  <si>
    <t>LED &lt;=80 Watt Lamp or Fixture Replacing Interior HID 100-175 Watt Lamp or Fixture</t>
  </si>
  <si>
    <t>800350_2019_12_</t>
  </si>
  <si>
    <t>LED 62 - 130 Watt Lamp or Fixture Replacing Interior HID 176-300 Watt Lamp or Fixture</t>
  </si>
  <si>
    <t>800400_2019_12_</t>
  </si>
  <si>
    <t>LED 85 - 225 Watt Lamp or Fixture Replacing Interior HID 301-500 Watt Lamp or Fixture</t>
  </si>
  <si>
    <t>800450_2019_12_</t>
  </si>
  <si>
    <t>LED &lt;=80 Watt Lamp or Fixture Replacing Garage or Exterior &lt;24/7 HID 100-175 Watt Lamp or Fixture</t>
  </si>
  <si>
    <t>Ext Lighting BUS</t>
  </si>
  <si>
    <t>800500_2019_12_</t>
  </si>
  <si>
    <t>LED 62 - 130 Watt Lamp or Fixture Replacing Garage or Exterior &lt;24/7 HID 176-300 Watt Lamp or Fixture</t>
  </si>
  <si>
    <t>800550_2019_12_</t>
  </si>
  <si>
    <t>LED 85 - 225 Watt Lamp or Fixture Replacing Garage or Exterior &lt;24/7 HID 301-500 Watt Lamp or Fixture</t>
  </si>
  <si>
    <t>800600_2019_12_</t>
  </si>
  <si>
    <t>LED &lt;=80 Watt Lamp or Fixture Replacing Garage or Exterior 24/7 HID 100-175 Watt Lamp or Fixture Misc.</t>
  </si>
  <si>
    <t>Miscellaneous BUS</t>
  </si>
  <si>
    <t>800650_2019_12_</t>
  </si>
  <si>
    <t>LED 62 - 130 Watt Lamp or Fixture Replacing Garage or Exterior 24/7 HID 176-300 Watt Lamp or Fixture Misc.</t>
  </si>
  <si>
    <t>800700_2019_12_</t>
  </si>
  <si>
    <t xml:space="preserve">LED 85 - 225 Watt Lamp or Fixture Replacing Garage or Exterior 24/7 HID 301-500 Watt Lamp or Fixture Misc. </t>
  </si>
  <si>
    <t>800750_2019_12_</t>
  </si>
  <si>
    <t>LED or Electroluminescent Replacing Interior Incandescent/CFL Exit Sign</t>
  </si>
  <si>
    <t>800800_2020_12_</t>
  </si>
  <si>
    <t xml:space="preserve">LED Replacing Interior T5 Fluorescent (Type A / Hybrid) </t>
  </si>
  <si>
    <t>800801_2020_12_</t>
  </si>
  <si>
    <t>800850_2020_12_</t>
  </si>
  <si>
    <t xml:space="preserve">LED Replacing Interior T8 Fluorescent (Type A / Hybrid) </t>
  </si>
  <si>
    <t>800851_2020_12_</t>
  </si>
  <si>
    <t>800900_2020_12_</t>
  </si>
  <si>
    <t xml:space="preserve">LED Replacing Interior T12 Fluorescent (Type A / Hybrid) </t>
  </si>
  <si>
    <t>800901_2020_12_</t>
  </si>
  <si>
    <t>800950_2019_12_</t>
  </si>
  <si>
    <t>LED Specialty Lamp</t>
  </si>
  <si>
    <t>Evaluation Formula</t>
  </si>
  <si>
    <t>Watts Base</t>
  </si>
  <si>
    <t>Watts EE</t>
  </si>
  <si>
    <t>HOU</t>
  </si>
  <si>
    <t>WHFe + -IFkWh</t>
  </si>
  <si>
    <t>Lighting - Occupancy Sensor Lighting Controls</t>
  </si>
  <si>
    <t>801010_2020_07</t>
  </si>
  <si>
    <t>Fixture Mounted Occupancy Sensor Controlling &gt; 60 Watts</t>
  </si>
  <si>
    <t>801020_2020_07</t>
  </si>
  <si>
    <t>Remote Mounted Occupancy Sensor Controlling &gt; 150 Watts</t>
  </si>
  <si>
    <t>kWControlled</t>
  </si>
  <si>
    <t>ESF</t>
  </si>
  <si>
    <t>ESF =Energy Savings factor (represents the percentage reduction to the operating Hours from the non-controlled baseline lighting system). Determined on a site-specific basis or use 24% as default value</t>
  </si>
  <si>
    <t>Lighting - LED with Network Controls</t>
  </si>
  <si>
    <t>801225_2020_12_</t>
  </si>
  <si>
    <t>LED Retrofit Kit with Network Controls Replacing Interior T5 Fluorescent</t>
  </si>
  <si>
    <t>801227_2020_12_</t>
  </si>
  <si>
    <t>LED Fixture with Network Controls Replacing Interior T5 Fluorescent</t>
  </si>
  <si>
    <t>801229_2020_12_</t>
  </si>
  <si>
    <t>LED Retrofit Kit with Network Controls Replacing Interior T8 Fluorescent</t>
  </si>
  <si>
    <t>801231_2020_12_</t>
  </si>
  <si>
    <t>LED Fixture with Network Controls Replacing Interior T8 Fluorescent</t>
  </si>
  <si>
    <t>801233_2020_12_</t>
  </si>
  <si>
    <t>LED Retrofit Kit with Network Controls Replacing Interior T12 Fluorescent</t>
  </si>
  <si>
    <t>801235_2020_12_</t>
  </si>
  <si>
    <t>LED Fixture with Network Controls Replacing Interior T12 Fluorescent</t>
  </si>
  <si>
    <t>801237_2020_12_</t>
  </si>
  <si>
    <t>LED Retrofit Kit with Network Controls Replacing Interior HID</t>
  </si>
  <si>
    <t>801239_2020_12_</t>
  </si>
  <si>
    <t>LED Fixture with Network Controls Replacing Interior HID</t>
  </si>
  <si>
    <t>Commercial Solid and Glass Door Refrigerators &amp; Freezers</t>
  </si>
  <si>
    <t>801250_2019_12_</t>
  </si>
  <si>
    <t>0 &lt; V &lt; 15 - Vertical Closed - Solid Door Refrigerator</t>
  </si>
  <si>
    <t>Refrigeration BUS</t>
  </si>
  <si>
    <t>801300_2019_12_</t>
  </si>
  <si>
    <t>15 ≤ V &lt; 30 - Vertical Closed - Solid Door Refrigerator</t>
  </si>
  <si>
    <t>801350_2019_12_</t>
  </si>
  <si>
    <t>30 ≤ V &lt; 50 - Vertical Closed - Solid Door Refrigerator</t>
  </si>
  <si>
    <t>801400_2019_12_</t>
  </si>
  <si>
    <t>V ≥ 50 - Vertical Closed - Solid Door Refrigerator</t>
  </si>
  <si>
    <t>801450_2019_12_</t>
  </si>
  <si>
    <t>0 &lt; V &lt; 15 - Vertical Closed - Glass Door Refrigerator</t>
  </si>
  <si>
    <t>801500_2019_12_</t>
  </si>
  <si>
    <t>15 ≤ V &lt; 30 - Vertical Closed - Glass Door Refrigerator</t>
  </si>
  <si>
    <t>801550_2019_12_</t>
  </si>
  <si>
    <t>30 ≤ V &lt; 50 - Vertical Closed - Glass Door Refrigerator</t>
  </si>
  <si>
    <t>801600_2019_12_</t>
  </si>
  <si>
    <t>V ≥ 50 - Vertical Closed - Glass Door Refrigerator</t>
  </si>
  <si>
    <t>801650_2019_12_</t>
  </si>
  <si>
    <t>Horizontal Closed - Solid or Glass Door Refrigerator  - All Volumes</t>
  </si>
  <si>
    <t>801700_2019_12_</t>
  </si>
  <si>
    <t>0 &lt; V &lt; 15 - Vertical Closed - Solid Door Freezer</t>
  </si>
  <si>
    <t>801750_2019_12_</t>
  </si>
  <si>
    <t>15 ≤ V &lt; 30 - Vertical Closed - Solid Door Freezer</t>
  </si>
  <si>
    <t>801800_2019_12_</t>
  </si>
  <si>
    <t>30 ≤ V &lt; 50 - Vertical Closed - Solid Door Freezer</t>
  </si>
  <si>
    <t>801850_2019_12_</t>
  </si>
  <si>
    <t>V ≥ 50 - Vertical Closed - Solid Door Freezer</t>
  </si>
  <si>
    <t>801900_2019_12_</t>
  </si>
  <si>
    <t>0 &lt; V &lt; 15 - Vertical Closed - Glass Door Freezer</t>
  </si>
  <si>
    <t>801950_2019_12_</t>
  </si>
  <si>
    <t>15 ≤ V &lt; 30 - Vertical Closed - Glass Door Freezer</t>
  </si>
  <si>
    <t>802000_2019_12_</t>
  </si>
  <si>
    <t>30 ≤ V &lt; 50 - Vertical Closed - Glass Door Freezer</t>
  </si>
  <si>
    <t>802050_2019_12_</t>
  </si>
  <si>
    <t>V ≥ 50 - Vertical Closed - Glass Door Freezer</t>
  </si>
  <si>
    <t>802100_2019_12_</t>
  </si>
  <si>
    <t>Horizontal Closed - Solid or Glass Door Freezer  - All Volumes</t>
  </si>
  <si>
    <t>FACTOR</t>
  </si>
  <si>
    <t>Equipment Type</t>
  </si>
  <si>
    <r>
      <t>Volume Range (ft</t>
    </r>
    <r>
      <rPr>
        <vertAlign val="superscript"/>
        <sz val="11"/>
        <rFont val="Calibri"/>
        <family val="2"/>
        <scheme val="minor"/>
      </rPr>
      <t>3</t>
    </r>
    <r>
      <rPr>
        <sz val="11"/>
        <rFont val="Calibri"/>
        <family val="2"/>
        <scheme val="minor"/>
      </rPr>
      <t>)</t>
    </r>
  </si>
  <si>
    <r>
      <t>Volume (ft</t>
    </r>
    <r>
      <rPr>
        <vertAlign val="superscript"/>
        <sz val="11"/>
        <rFont val="Calibri"/>
        <family val="2"/>
        <scheme val="minor"/>
      </rPr>
      <t>3</t>
    </r>
    <r>
      <rPr>
        <sz val="11"/>
        <rFont val="Calibri"/>
        <family val="2"/>
        <scheme val="minor"/>
      </rPr>
      <t>)</t>
    </r>
  </si>
  <si>
    <t>Freezer</t>
  </si>
  <si>
    <t>(A x V) + B</t>
  </si>
  <si>
    <t>(C x V) + D</t>
  </si>
  <si>
    <t>V</t>
  </si>
  <si>
    <t>B</t>
  </si>
  <si>
    <t>C</t>
  </si>
  <si>
    <t>D</t>
  </si>
  <si>
    <t>kWhBase</t>
  </si>
  <si>
    <t>Solid Door</t>
  </si>
  <si>
    <t>See Below</t>
  </si>
  <si>
    <t>See below</t>
  </si>
  <si>
    <t xml:space="preserve">Glass Door </t>
  </si>
  <si>
    <t>kWhESTAR</t>
  </si>
  <si>
    <t>Vertical Closed - Solid Door</t>
  </si>
  <si>
    <t>0 &lt; V &lt; 15</t>
  </si>
  <si>
    <t>15 ≤ V &lt; 30</t>
  </si>
  <si>
    <t>30 ≤ V &lt; 50</t>
  </si>
  <si>
    <t>V ≥ 50</t>
  </si>
  <si>
    <t>Vertical Closed - Glass Door</t>
  </si>
  <si>
    <t>Horizontal Closed - Solid or Glass Door</t>
  </si>
  <si>
    <t>All Volumes</t>
  </si>
  <si>
    <t>Refrigerators &amp; Freezers Controls</t>
  </si>
  <si>
    <t>kWh Annual Savings (per door)</t>
  </si>
  <si>
    <t>Inc. Cost (per door)</t>
  </si>
  <si>
    <t>802150_2019_12_</t>
  </si>
  <si>
    <t>Anti-Sweat Heater Controls Refrigerator</t>
  </si>
  <si>
    <t>per door</t>
  </si>
  <si>
    <t>802200_2019_12_</t>
  </si>
  <si>
    <t>Anti-Sweat Heater Controls Freezer</t>
  </si>
  <si>
    <t>Power Drawn Per Door (kW)</t>
  </si>
  <si>
    <t>DOORS</t>
  </si>
  <si>
    <t>% ON</t>
  </si>
  <si>
    <t>Cooling Bonus Factor (Less Waste Heat to Cool)</t>
  </si>
  <si>
    <t>Non-Controlled Door</t>
  </si>
  <si>
    <t>Heat Pump Water Heaters</t>
  </si>
  <si>
    <t>802250_2019_12_</t>
  </si>
  <si>
    <t>Heat Pump Water Heater w/ 98% Efficiency 2.9-14.6 kW (10 to 50 MBH)</t>
  </si>
  <si>
    <t>Water Heating BUS</t>
  </si>
  <si>
    <t>802300_2019_12_</t>
  </si>
  <si>
    <t>Heat Pump Water Heater w/ 98% Efficiency 14.7-29.3 kW (50 to 100 MBH)</t>
  </si>
  <si>
    <t>802350_2019_12_</t>
  </si>
  <si>
    <t>Heat Pump Water Heater w/ 98% Efficiency 29.4-87.9 kW (100 to 300 MBH)</t>
  </si>
  <si>
    <t>802400_2019_12_</t>
  </si>
  <si>
    <t>Heat Pump Water Heater w/ 98% Efficiency 88-146.5 kW (300 to 500 MBH)</t>
  </si>
  <si>
    <t>802450_2019_12_</t>
  </si>
  <si>
    <t>Heat Pump Water Heater w/ 98% Efficiency &gt;146.6 kW (above 500 MBH)</t>
  </si>
  <si>
    <t>EFBASE</t>
  </si>
  <si>
    <t>EFEE</t>
  </si>
  <si>
    <t>HotWaterUse (Gallon)</t>
  </si>
  <si>
    <t>Capacity (gal)</t>
  </si>
  <si>
    <t>γWater</t>
  </si>
  <si>
    <t>Tout</t>
  </si>
  <si>
    <t>TIn</t>
  </si>
  <si>
    <t>kWhCool</t>
  </si>
  <si>
    <t>kWhHeat</t>
  </si>
  <si>
    <t>COPCool</t>
  </si>
  <si>
    <t>COPHeat</t>
  </si>
  <si>
    <t>Location Factor   LF</t>
  </si>
  <si>
    <t>Heat Pump Pool Heater</t>
  </si>
  <si>
    <t>Inc. Cost (per unit)</t>
  </si>
  <si>
    <t>802500_2019_12_</t>
  </si>
  <si>
    <t>Pool Heater Heat Pump (Uncovered)</t>
  </si>
  <si>
    <t>802550_2019_12_</t>
  </si>
  <si>
    <t>Pool Heater Heat Pump (Covered)</t>
  </si>
  <si>
    <t>Uncovered Pool</t>
  </si>
  <si>
    <t>Covered Pool</t>
  </si>
  <si>
    <t>QPoolHeating</t>
  </si>
  <si>
    <t>SQFT</t>
  </si>
  <si>
    <t>EffBase</t>
  </si>
  <si>
    <t>EffEE</t>
  </si>
  <si>
    <t>Pool Pump</t>
  </si>
  <si>
    <t>kWh Annual Savings (per HP)</t>
  </si>
  <si>
    <t>802600_2019_12_</t>
  </si>
  <si>
    <t>Pool Pump w/ Variable Frequency Drive</t>
  </si>
  <si>
    <t>Motors BUS</t>
  </si>
  <si>
    <t>Horsepower</t>
  </si>
  <si>
    <t>802650_2019_12_</t>
  </si>
  <si>
    <t>Pool Pump Timer</t>
  </si>
  <si>
    <t>TimeSaved (hrs)</t>
  </si>
  <si>
    <t>Size (HP)</t>
  </si>
  <si>
    <t>Steam Cookers</t>
  </si>
  <si>
    <t>802700_2019_12_</t>
  </si>
  <si>
    <t>3 Pan ENERGY STAR Steam Cooker</t>
  </si>
  <si>
    <t>Cooking BUS</t>
  </si>
  <si>
    <t>802750_2019_12_</t>
  </si>
  <si>
    <t>4 Pan ENERGY STAR Steam Cooker</t>
  </si>
  <si>
    <t>802800_2019_12_</t>
  </si>
  <si>
    <t>5 Pan ENERGY STAR Steam Cooker</t>
  </si>
  <si>
    <t>802850_2019_12_</t>
  </si>
  <si>
    <t>6 Pan ENERGY STAR Steam Cooker</t>
  </si>
  <si>
    <t>∆IdleEnergy</t>
  </si>
  <si>
    <t>∆CookingEnergy</t>
  </si>
  <si>
    <t>SteamMode</t>
  </si>
  <si>
    <t>IdleRateBase (W)</t>
  </si>
  <si>
    <t>IdleRateESTAR (W)</t>
  </si>
  <si>
    <t>ProductionBase (lb/hr)</t>
  </si>
  <si>
    <t>ProductionESTAR (lb/hr/pan)</t>
  </si>
  <si>
    <t>Pans</t>
  </si>
  <si>
    <t>EFOOD (Wh/lb)</t>
  </si>
  <si>
    <t>EffESTAR</t>
  </si>
  <si>
    <t>FoodCooked (lbs)</t>
  </si>
  <si>
    <t>Holding Cabinet</t>
  </si>
  <si>
    <t>802900_2019_12_</t>
  </si>
  <si>
    <t>ENERGY STAR Hot Holding Cabinet (0 &lt; V &lt;13)</t>
  </si>
  <si>
    <t>802950_2019_12_</t>
  </si>
  <si>
    <t>ENERGY STAR Hot Holding Cabinet (13 ≤ V &lt;28)</t>
  </si>
  <si>
    <t>803000_2019_12_</t>
  </si>
  <si>
    <t>ENERGY STAR Hot Holding Cabinet (28 ≤ V)</t>
  </si>
  <si>
    <t>IdleRateBase</t>
  </si>
  <si>
    <t>IdleRateESTAR</t>
  </si>
  <si>
    <t>0 &lt; V &lt;13</t>
  </si>
  <si>
    <t>Cost from Ameren MO TRM Jan-1,2018</t>
  </si>
  <si>
    <r>
      <t xml:space="preserve">13 </t>
    </r>
    <r>
      <rPr>
        <sz val="11"/>
        <rFont val="Calibri"/>
        <family val="2"/>
      </rPr>
      <t>≤ V &lt;28</t>
    </r>
  </si>
  <si>
    <t>28 ≤ V</t>
  </si>
  <si>
    <t>HVAC</t>
  </si>
  <si>
    <t>Cooling kWh Annual Savings (per Ton)</t>
  </si>
  <si>
    <t>Heating kWh Annual Savings (per ton)</t>
  </si>
  <si>
    <t>Total kWh Annual Savings</t>
  </si>
  <si>
    <t>803050_2019_12_</t>
  </si>
  <si>
    <t>Learning Thermostat</t>
  </si>
  <si>
    <t>Cooling BUS</t>
  </si>
  <si>
    <t>Heating BUS</t>
  </si>
  <si>
    <t>Eff (EER/SEER)</t>
  </si>
  <si>
    <t>EFLHCool</t>
  </si>
  <si>
    <t>BtuhCool</t>
  </si>
  <si>
    <t>ESFCool</t>
  </si>
  <si>
    <t>EFLHHEAT</t>
  </si>
  <si>
    <t>ηHEAT</t>
  </si>
  <si>
    <t>BtuhHEAT</t>
  </si>
  <si>
    <t>ESFHEAT</t>
  </si>
  <si>
    <t>Inc. Cost (per HP)</t>
  </si>
  <si>
    <t>803100_2020_07_</t>
  </si>
  <si>
    <t>VFD on Chilled Water Pump &gt;= 1HP</t>
  </si>
  <si>
    <t>per Hp</t>
  </si>
  <si>
    <t>803150_2020_07_</t>
  </si>
  <si>
    <t>VFD on Hot Water Pump &gt;= 1HP</t>
  </si>
  <si>
    <t>HVAC BUS</t>
  </si>
  <si>
    <t>803155_2020_07_</t>
  </si>
  <si>
    <t>VFD on Condenser Water Pump &gt;= 1HP</t>
  </si>
  <si>
    <t>803160_2020_07_</t>
  </si>
  <si>
    <t>VFD on Cooling Tower Fan &gt;= 1HP</t>
  </si>
  <si>
    <t>BHP</t>
  </si>
  <si>
    <t>EEFi</t>
  </si>
  <si>
    <t>803200_2020_07_</t>
  </si>
  <si>
    <t xml:space="preserve"> VFD on HVAC Fans &gt;= 1HP </t>
  </si>
  <si>
    <t>Control Type Factors</t>
  </si>
  <si>
    <t>No Control or Bypass Damper</t>
  </si>
  <si>
    <t>Discharge Dampers</t>
  </si>
  <si>
    <t>Outlet Damper, BI &amp; Airfoil Fans</t>
  </si>
  <si>
    <t>Inlet Damper Box</t>
  </si>
  <si>
    <t>Inlet Guide Vane, BI &amp; Airfoil Fans</t>
  </si>
  <si>
    <t>Inlet Vane Dampers</t>
  </si>
  <si>
    <t>Outlet Damper, FC Fans</t>
  </si>
  <si>
    <t>Eddy Current Drives</t>
  </si>
  <si>
    <t>Inlet Guide Vane, FC Fans</t>
  </si>
  <si>
    <t>VFD with duct static pressure controls</t>
  </si>
  <si>
    <t>VFD with low/no duct static pressure</t>
  </si>
  <si>
    <t>HP</t>
  </si>
  <si>
    <t>ηmotor</t>
  </si>
  <si>
    <t>RHRSBase</t>
  </si>
  <si>
    <t>ControlTypeFactorBase</t>
  </si>
  <si>
    <t>ControlTypeFactorEff</t>
  </si>
  <si>
    <t>IEenergy</t>
  </si>
  <si>
    <t>kWh Annual Savings (per ton)</t>
  </si>
  <si>
    <t>803250_2020_07_</t>
  </si>
  <si>
    <t>Single Packag or Split Sytem Unitary AC_DX 135 - 240kbtu</t>
  </si>
  <si>
    <t>per ton</t>
  </si>
  <si>
    <t>803300_2020_07_</t>
  </si>
  <si>
    <t>Single Packag or Split Sytem Unitary AC_DX 240 - 760kbtu</t>
  </si>
  <si>
    <t>803350_2020_07_</t>
  </si>
  <si>
    <t>Single Packag or Split Sytem Unitary AC_DX 65 -135kbtu</t>
  </si>
  <si>
    <t>803400_2020_07_</t>
  </si>
  <si>
    <t>Single Packag or Split Sytem Unitary AC_DX &gt;760kbtu</t>
  </si>
  <si>
    <t>803450_2020_07_</t>
  </si>
  <si>
    <t>Single Packag or Split Sytem Unitary AC_DX &lt;65kbtu</t>
  </si>
  <si>
    <t>&lt;65 kBtu/hr</t>
  </si>
  <si>
    <r>
      <rPr>
        <b/>
        <sz val="11"/>
        <rFont val="Calibri"/>
        <family val="2"/>
      </rPr>
      <t>≥</t>
    </r>
    <r>
      <rPr>
        <b/>
        <sz val="11"/>
        <rFont val="Calibri"/>
        <family val="2"/>
        <scheme val="minor"/>
      </rPr>
      <t>65 kBtu/hr</t>
    </r>
  </si>
  <si>
    <t>kBtu/hrCool</t>
  </si>
  <si>
    <t>SEERBase/
IEERBase</t>
  </si>
  <si>
    <t>SEERee/
IEERee</t>
  </si>
  <si>
    <t>EFLH</t>
  </si>
  <si>
    <t>Cooling</t>
  </si>
  <si>
    <t>Heating</t>
  </si>
  <si>
    <t>Cooling kWh Annual Savings (per ton)</t>
  </si>
  <si>
    <t>Inc. Cost     (per ton)</t>
  </si>
  <si>
    <t>803500_2019_12_</t>
  </si>
  <si>
    <t>GSHP &lt;135kbtu; ≥17EER</t>
  </si>
  <si>
    <t>803550_2019_12_</t>
  </si>
  <si>
    <t>GSHP &lt;135kbtu; ≥19EER</t>
  </si>
  <si>
    <t>803600_2020_07_</t>
  </si>
  <si>
    <t>ASHP 65 - 135kbtu</t>
  </si>
  <si>
    <t>803650_2020_07_</t>
  </si>
  <si>
    <t>ASHP 135 - 240kbtu</t>
  </si>
  <si>
    <t>803700_2020_07_</t>
  </si>
  <si>
    <t>ASHP &gt;240kbtu</t>
  </si>
  <si>
    <t>803750_2020_07_</t>
  </si>
  <si>
    <t>ASHP &lt;65kbtu</t>
  </si>
  <si>
    <r>
      <rPr>
        <b/>
        <sz val="10"/>
        <rFont val="Calibri"/>
        <family val="2"/>
      </rPr>
      <t>≥</t>
    </r>
    <r>
      <rPr>
        <b/>
        <sz val="10"/>
        <rFont val="Calibri"/>
        <family val="2"/>
        <scheme val="minor"/>
      </rPr>
      <t>65 kBtu/hr</t>
    </r>
  </si>
  <si>
    <t>EERBase</t>
  </si>
  <si>
    <t>EERee</t>
  </si>
  <si>
    <t>SEERbase/
IEERbase</t>
  </si>
  <si>
    <t>COPbase</t>
  </si>
  <si>
    <t>COPee</t>
  </si>
  <si>
    <t>HSPFBase</t>
  </si>
  <si>
    <t>kBtu/hrHeat</t>
  </si>
  <si>
    <t>EFLHHeat</t>
  </si>
  <si>
    <t>Comment</t>
  </si>
  <si>
    <t>COPee values from Trane product catalog</t>
  </si>
  <si>
    <t>HSPFee values from Trane product catalog</t>
  </si>
  <si>
    <t>Inc. Cost (per ton)</t>
  </si>
  <si>
    <t>803800_2019_12_</t>
  </si>
  <si>
    <t>Air Cooled Chiller</t>
  </si>
  <si>
    <t>TONS</t>
  </si>
  <si>
    <t>IPLVbase (kW/ton)</t>
  </si>
  <si>
    <t>IPLVee (kW/Ton)</t>
  </si>
  <si>
    <t>Appliances</t>
  </si>
  <si>
    <t>803850_2019_12_</t>
  </si>
  <si>
    <t>Clothes Washer (Electric DHW; Electric Dryer)</t>
  </si>
  <si>
    <t>803900_2019_12_</t>
  </si>
  <si>
    <t>Clothes Washer (Gas DHW; Electric Dryer)</t>
  </si>
  <si>
    <t>803950_2019_12_</t>
  </si>
  <si>
    <t>Clothes Washer (Electric DHW; Gas Dryer)</t>
  </si>
  <si>
    <t>804000_2019_12_</t>
  </si>
  <si>
    <t>Clothes Washer (Gas DHW; Gas Dryer)</t>
  </si>
  <si>
    <t>Capacity (cubic feet)</t>
  </si>
  <si>
    <t>MEFbase</t>
  </si>
  <si>
    <t>MEFeff</t>
  </si>
  <si>
    <t>Ncycles</t>
  </si>
  <si>
    <t>%CWbase</t>
  </si>
  <si>
    <t>%CWeff</t>
  </si>
  <si>
    <t>%DHWbase</t>
  </si>
  <si>
    <t>%DHWeff</t>
  </si>
  <si>
    <t>%Dryerbase</t>
  </si>
  <si>
    <t>%Dryereff</t>
  </si>
  <si>
    <t>%ElectricDHW</t>
  </si>
  <si>
    <t>%ElectricDryer</t>
  </si>
  <si>
    <t>804050_2019_12_</t>
  </si>
  <si>
    <t>Clothes Dryer Vented Electric, Standard (≥ 4.4 ft3)</t>
  </si>
  <si>
    <t>804100_2019_12_</t>
  </si>
  <si>
    <t>Clothes Dryer Vented Electric, Compact (120V) (&lt; 4.4 ft3)</t>
  </si>
  <si>
    <t>804150_2019_12_</t>
  </si>
  <si>
    <t>Clothes Dryer Vented Electric, Compact (240V) (&lt;4.4 ft3)</t>
  </si>
  <si>
    <t>804200_2019_12_</t>
  </si>
  <si>
    <t>Clothes Dryer Ventless Electric, Compact (240V) (&lt;4.4 ft3)</t>
  </si>
  <si>
    <t>804250_2019_12_</t>
  </si>
  <si>
    <t>Clothes Dryer Vented Gas</t>
  </si>
  <si>
    <t>Load</t>
  </si>
  <si>
    <t>CEFbase</t>
  </si>
  <si>
    <t>CEFeff</t>
  </si>
  <si>
    <t>%Electric</t>
  </si>
  <si>
    <t>Compressed Air</t>
  </si>
  <si>
    <t>804300_2019_12_</t>
  </si>
  <si>
    <t>No Loss Condensate Drain (Reciprocating - On/off Control)</t>
  </si>
  <si>
    <t>Air Comp BUS</t>
  </si>
  <si>
    <t>804350_2019_12_</t>
  </si>
  <si>
    <t>No Loss Condensate Drain (Reciprocating - Load/Unload)</t>
  </si>
  <si>
    <t>804400_2019_12_</t>
  </si>
  <si>
    <t>No Loss Condensate Drain (Screw - Load/Unload)</t>
  </si>
  <si>
    <t>804450_2019_12_</t>
  </si>
  <si>
    <t>No Loss Condensate Drain (Screw - Inlet Modulation)</t>
  </si>
  <si>
    <t>804500_2019_12_</t>
  </si>
  <si>
    <t>No Loss Condensate Drain (Screw - Inlet Modulation w/ Unloading)</t>
  </si>
  <si>
    <t>804550_2019_12_</t>
  </si>
  <si>
    <t>No Loss Condensate Drain (Screw - Variable Displacement)</t>
  </si>
  <si>
    <t>804600_2019_12_</t>
  </si>
  <si>
    <t>No Loss Condensate Drain (Screw - VFD)</t>
  </si>
  <si>
    <t>CFMreduced</t>
  </si>
  <si>
    <t>kWcfm</t>
  </si>
  <si>
    <t>804650_2019_12_</t>
  </si>
  <si>
    <t>Compressed Air Nozzle (Reciprocating - On/off Control)</t>
  </si>
  <si>
    <t>804700_2019_12_</t>
  </si>
  <si>
    <t>Compressed Air Nozzle (Reciprocating - Load/Unload)</t>
  </si>
  <si>
    <t>804750_2019_12_</t>
  </si>
  <si>
    <t>Compressed Air Nozzle (Screw - Load/Unload)</t>
  </si>
  <si>
    <t>804800_2019_12_</t>
  </si>
  <si>
    <t>Compressed Air Nozzle (Screw - Inlet Modulation)</t>
  </si>
  <si>
    <t>804850_2019_12_</t>
  </si>
  <si>
    <t>Compressed Air Nozzle (Screw - Inlet Modulation w/ Unloading)</t>
  </si>
  <si>
    <t>804900_2019_12_</t>
  </si>
  <si>
    <t>Compressed Air Nozzle (Screw - Variable Displacement)</t>
  </si>
  <si>
    <t>804950_2019_12_</t>
  </si>
  <si>
    <t>Compressed Air Nozzle (Screw - VFD)</t>
  </si>
  <si>
    <t>SCFM</t>
  </si>
  <si>
    <t>SCFM%reduced</t>
  </si>
  <si>
    <t>kW/CFM</t>
  </si>
  <si>
    <t>%Use</t>
  </si>
  <si>
    <t>805000_2020_07_</t>
  </si>
  <si>
    <t>VSD Air Compressor 5-40 HP</t>
  </si>
  <si>
    <t>"=(127*HPcomp)+1446"</t>
  </si>
  <si>
    <t>per HP</t>
  </si>
  <si>
    <t>hpcompressor</t>
  </si>
  <si>
    <t>CFb</t>
  </si>
  <si>
    <t>Cfe</t>
  </si>
  <si>
    <t>Combination Oven</t>
  </si>
  <si>
    <t>805050_2019_12_</t>
  </si>
  <si>
    <t>Combination Oven (Pan Capacity &lt; 15)</t>
  </si>
  <si>
    <t>805100_2019_12_</t>
  </si>
  <si>
    <r>
      <t xml:space="preserve">Combination Oven (Pan Capacity </t>
    </r>
    <r>
      <rPr>
        <sz val="11"/>
        <rFont val="Calibri"/>
        <family val="2"/>
      </rPr>
      <t>≥</t>
    </r>
    <r>
      <rPr>
        <sz val="9.9"/>
        <rFont val="Calibri"/>
        <family val="2"/>
      </rPr>
      <t xml:space="preserve"> 15</t>
    </r>
    <r>
      <rPr>
        <sz val="11"/>
        <rFont val="Calibri"/>
        <family val="2"/>
        <scheme val="minor"/>
      </rPr>
      <t>)</t>
    </r>
  </si>
  <si>
    <t>FoodCookedElec (lbs)</t>
  </si>
  <si>
    <t>EFOODConvElec (Wh/lb)</t>
  </si>
  <si>
    <t>ElecEFFConvBase</t>
  </si>
  <si>
    <t>ElecEFFConvEE</t>
  </si>
  <si>
    <t>%Conv</t>
  </si>
  <si>
    <t>EFOODSteamElec (Wh/lb)</t>
  </si>
  <si>
    <t>ElecEFFSteamBase</t>
  </si>
  <si>
    <t>ElecEFFSteamEE</t>
  </si>
  <si>
    <t>%Steam</t>
  </si>
  <si>
    <t>ElecIDLEConvBase (W)</t>
  </si>
  <si>
    <t>ElecIDLESteamBase (W)</t>
  </si>
  <si>
    <t>Hours (Daily)</t>
  </si>
  <si>
    <t>ElecPCConvBase (lbs/hr)</t>
  </si>
  <si>
    <t>ElecPCSteamBase (lbs/hr)</t>
  </si>
  <si>
    <t>ElecIDLEConvEE</t>
  </si>
  <si>
    <t>P (Pan Capacity)</t>
  </si>
  <si>
    <t>ElecPCSteamEE (lbs/hr)</t>
  </si>
  <si>
    <t>ElecPCConvEE (lbs/hr)</t>
  </si>
  <si>
    <t>ElecIDLESteamEE</t>
  </si>
  <si>
    <t>Fryer</t>
  </si>
  <si>
    <t>805150_2019_12_</t>
  </si>
  <si>
    <t>Standard Open Deep-Fat Fryer</t>
  </si>
  <si>
    <t>805200_2019_12_</t>
  </si>
  <si>
    <t>Large Vat Open Deep-Fat Fryer</t>
  </si>
  <si>
    <t>ElecIdleBase (W)</t>
  </si>
  <si>
    <t>ElecIdleESTAR (W)</t>
  </si>
  <si>
    <t>Food Cooked (lbs per day)</t>
  </si>
  <si>
    <t>ElecPCBase (lb/hr)</t>
  </si>
  <si>
    <t>ElecPCESTAR (lb/hr)</t>
  </si>
  <si>
    <t>EFOODElec (Wh/lb)</t>
  </si>
  <si>
    <t>ElecEffBase</t>
  </si>
  <si>
    <t>ElecEffESTAR</t>
  </si>
  <si>
    <t>Convection Oven</t>
  </si>
  <si>
    <t>805250_2019_12_</t>
  </si>
  <si>
    <t>Convection Oven (Full Size)</t>
  </si>
  <si>
    <t>805300_2019_12_</t>
  </si>
  <si>
    <t>Convection Oven (Half Size)</t>
  </si>
  <si>
    <t>Griddle</t>
  </si>
  <si>
    <t>805350_2019_12_</t>
  </si>
  <si>
    <t>ElecIdleBase (W/sqft)</t>
  </si>
  <si>
    <t>ElecRateESTAR (W/sqft)</t>
  </si>
  <si>
    <t>Width (ft)</t>
  </si>
  <si>
    <t>Depth (ft)</t>
  </si>
  <si>
    <t>FoodCooked (lbs/day)</t>
  </si>
  <si>
    <t>Kitchen Demand Ventilation Controls</t>
  </si>
  <si>
    <t>Inc. Cost (per Hp)</t>
  </si>
  <si>
    <t>805405_2020_07_</t>
  </si>
  <si>
    <t>Kitchen Demand Ventilation Controls, Retrofit</t>
  </si>
  <si>
    <t>805410_2020_07_</t>
  </si>
  <si>
    <t>Kitchen Demand Ventilation Controls, New</t>
  </si>
  <si>
    <t>Savings per HP (kWh)</t>
  </si>
  <si>
    <t>Pre-Rinse Spray Valve</t>
  </si>
  <si>
    <t xml:space="preserve">kWh Annual Savings </t>
  </si>
  <si>
    <t>805450_2019_12_</t>
  </si>
  <si>
    <t>∆Gallons</t>
  </si>
  <si>
    <t>FLObase (gal/min)</t>
  </si>
  <si>
    <t>FLOeff (gal/min)</t>
  </si>
  <si>
    <t>HOURSday</t>
  </si>
  <si>
    <t>DAYSyear</t>
  </si>
  <si>
    <t>Tin</t>
  </si>
  <si>
    <t>EFF_Elec</t>
  </si>
  <si>
    <t>Low Flow Faucet Aerator</t>
  </si>
  <si>
    <t>805500_2019_12_</t>
  </si>
  <si>
    <t>GPMbase</t>
  </si>
  <si>
    <t>GPMlow</t>
  </si>
  <si>
    <t>Usage (GPY)</t>
  </si>
  <si>
    <t>EPGelectric</t>
  </si>
  <si>
    <t>WaterTempmixed</t>
  </si>
  <si>
    <t>WaterTempsupply</t>
  </si>
  <si>
    <t>REelectric</t>
  </si>
  <si>
    <t>Circulator Pump</t>
  </si>
  <si>
    <t>805550_2019_12_</t>
  </si>
  <si>
    <t>Small Commercial Programmable Thermostats</t>
  </si>
  <si>
    <t>kWh Annual Savings (per sqft)</t>
  </si>
  <si>
    <t>805600_2019_12_</t>
  </si>
  <si>
    <t>Sqft</t>
  </si>
  <si>
    <t>Savings Factor kWh/sqft-yr</t>
  </si>
  <si>
    <t>PF</t>
  </si>
  <si>
    <t>805650_2019_12_</t>
  </si>
  <si>
    <t>Demand Controlled Ventillation (Gas Heat)</t>
  </si>
  <si>
    <t>per sq. ft.</t>
  </si>
  <si>
    <t>805700_2019_12_</t>
  </si>
  <si>
    <t>Demand Controlled Ventillation (Electric Heat)</t>
  </si>
  <si>
    <t>805750_2019_12_</t>
  </si>
  <si>
    <t>Demand Controlled Ventillation (Heat Pump)</t>
  </si>
  <si>
    <t>SQFTcond</t>
  </si>
  <si>
    <t>SFcooling</t>
  </si>
  <si>
    <t>SFheat</t>
  </si>
  <si>
    <t>Advanced RTU Controls</t>
  </si>
  <si>
    <t>805800_2019_12_</t>
  </si>
  <si>
    <t>Psf</t>
  </si>
  <si>
    <t>SF (kWh/hour/HP)</t>
  </si>
  <si>
    <t>Hoursfan</t>
  </si>
  <si>
    <t>PTAC &amp; PTHP</t>
  </si>
  <si>
    <t>kWh Annual Savings (per ton) first 5 years</t>
  </si>
  <si>
    <t>kWh Annual Savings (per ton) next ten years</t>
  </si>
  <si>
    <t>kW (per ton) first 5 years</t>
  </si>
  <si>
    <t>kW (per ton) next ten years</t>
  </si>
  <si>
    <t>805850_2019_12_</t>
  </si>
  <si>
    <t>PTAC</t>
  </si>
  <si>
    <t>805900_2019_12_</t>
  </si>
  <si>
    <t>PTHP</t>
  </si>
  <si>
    <t>kBtucool/hr</t>
  </si>
  <si>
    <t>EERbase</t>
  </si>
  <si>
    <t>kBtuheat/hr</t>
  </si>
  <si>
    <t>COPexist</t>
  </si>
  <si>
    <t>Refrigerated Beverage Vending Machine</t>
  </si>
  <si>
    <t>kWh Annual Savings (per cubicft)</t>
  </si>
  <si>
    <t>805950_2019_12_</t>
  </si>
  <si>
    <t>Refrigerated Beverage Vending Machine (Class A)</t>
  </si>
  <si>
    <t>806000_2019_12_</t>
  </si>
  <si>
    <t>Refrigerated Beverage Vending Machine (Class B)</t>
  </si>
  <si>
    <t>ECM for Walk-in &amp; Reach-in Coolers/Freezers</t>
  </si>
  <si>
    <t>kWh Annual Savings (per motor)</t>
  </si>
  <si>
    <t>Inc. Cost (per motor)</t>
  </si>
  <si>
    <t>806050_2019_12_</t>
  </si>
  <si>
    <t>per motor</t>
  </si>
  <si>
    <t>Savings per motor (kWh)</t>
  </si>
  <si>
    <t>motors</t>
  </si>
  <si>
    <t>High Volume Low Speed Fans</t>
  </si>
  <si>
    <t>kWh Annual Savings (per measure)</t>
  </si>
  <si>
    <t>806100_2020_07_</t>
  </si>
  <si>
    <t>High Volume Low Speed Fan, 20</t>
  </si>
  <si>
    <t>806110_2020_07_</t>
  </si>
  <si>
    <t>High Volume Low Speed Fan, 22</t>
  </si>
  <si>
    <t>806120_2020_07_</t>
  </si>
  <si>
    <t>High Volume Low Speed Fan, 24</t>
  </si>
  <si>
    <t>Savings per Fan (kWh)</t>
  </si>
  <si>
    <t>Fans</t>
  </si>
  <si>
    <t>Custom Measure</t>
  </si>
  <si>
    <t>999999_2019_12</t>
  </si>
  <si>
    <t>Custom</t>
  </si>
  <si>
    <t>Variable</t>
  </si>
  <si>
    <t>Avoided Cost Benefits per Measure per kWh</t>
  </si>
  <si>
    <t>Air Comp BUS 1 Year EUL</t>
  </si>
  <si>
    <t>Air Comp BUS 10 Year EUL</t>
  </si>
  <si>
    <t>Air Comp BUS 11 Year EUL</t>
  </si>
  <si>
    <t>Air Comp BUS 12 Year EUL</t>
  </si>
  <si>
    <t>Air Comp BUS 13 Year EUL</t>
  </si>
  <si>
    <t>Air Comp BUS 14 Year EUL</t>
  </si>
  <si>
    <t>Air Comp BUS 15 Year EUL</t>
  </si>
  <si>
    <t>Air Comp BUS 16 Year EUL</t>
  </si>
  <si>
    <t>Air Comp BUS 17 Year EUL</t>
  </si>
  <si>
    <t>Air Comp BUS 18 Year EUL</t>
  </si>
  <si>
    <t>Air Comp BUS 19 Year EUL</t>
  </si>
  <si>
    <t>Air Comp BUS 2 Year EUL</t>
  </si>
  <si>
    <t>Air Comp BUS 20 Year EUL</t>
  </si>
  <si>
    <t>Air Comp BUS 21 Year EUL</t>
  </si>
  <si>
    <t>Air Comp BUS 22 Year EUL</t>
  </si>
  <si>
    <t>Air Comp BUS 23 Year EUL</t>
  </si>
  <si>
    <t>Air Comp BUS 24 Year EUL</t>
  </si>
  <si>
    <t>Air Comp BUS 25 Year EUL</t>
  </si>
  <si>
    <t>Air Comp BUS 26 Year EUL</t>
  </si>
  <si>
    <t>Air Comp BUS 27 Year EUL</t>
  </si>
  <si>
    <t>Air Comp BUS 28 Year EUL</t>
  </si>
  <si>
    <t>Air Comp BUS 29 Year EUL</t>
  </si>
  <si>
    <t>Air Comp BUS 3 Year EUL</t>
  </si>
  <si>
    <t>Air Comp BUS 30 Year EUL</t>
  </si>
  <si>
    <t>Air Comp BUS 4 Year EUL</t>
  </si>
  <si>
    <t>Air Comp BUS 5 Year EUL</t>
  </si>
  <si>
    <t>Air Comp BUS 6 Year EUL</t>
  </si>
  <si>
    <t>Air Comp BUS 7 Year EUL</t>
  </si>
  <si>
    <t>Air Comp BUS 8 Year EUL</t>
  </si>
  <si>
    <t>Air Comp BUS 9 Year EUL</t>
  </si>
  <si>
    <t>Appliances RES 1 Year EUL</t>
  </si>
  <si>
    <t>Appliances RES 10 Year EUL</t>
  </si>
  <si>
    <t>Appliances RES 11 Year EUL</t>
  </si>
  <si>
    <t>Appliances RES 12 Year EUL</t>
  </si>
  <si>
    <t>Appliances RES 13 Year EUL</t>
  </si>
  <si>
    <t>Appliances RES 14 Year EUL</t>
  </si>
  <si>
    <t>Appliances RES 15 Year EUL</t>
  </si>
  <si>
    <t>Appliances RES 16 Year EUL</t>
  </si>
  <si>
    <t>Appliances RES 17 Year EUL</t>
  </si>
  <si>
    <t>Appliances RES 18 Year EUL</t>
  </si>
  <si>
    <t>Appliances RES 19 Year EUL</t>
  </si>
  <si>
    <t>Appliances RES 2 Year EUL</t>
  </si>
  <si>
    <t>Appliances RES 20 Year EUL</t>
  </si>
  <si>
    <t>Appliances RES 21 Year EUL</t>
  </si>
  <si>
    <t>Appliances RES 22 Year EUL</t>
  </si>
  <si>
    <t>Appliances RES 23 Year EUL</t>
  </si>
  <si>
    <t>Appliances RES 24 Year EUL</t>
  </si>
  <si>
    <t>Appliances RES 25 Year EUL</t>
  </si>
  <si>
    <t>Appliances RES 3 Year EUL</t>
  </si>
  <si>
    <t>Appliances RES 4 Year EUL</t>
  </si>
  <si>
    <t>Appliances RES 5 Year EUL</t>
  </si>
  <si>
    <t>Appliances RES 6 Year EUL</t>
  </si>
  <si>
    <t>Appliances RES 7 Year EUL</t>
  </si>
  <si>
    <t>Appliances RES 8 Year EUL</t>
  </si>
  <si>
    <t>Appliances RES 9 Year EUL</t>
  </si>
  <si>
    <t>Building Shell BUS 1 Year EUL</t>
  </si>
  <si>
    <t>Building Shell BUS 10 Year EUL</t>
  </si>
  <si>
    <t>Building Shell BUS 11 Year EUL</t>
  </si>
  <si>
    <t>Building Shell BUS 12 Year EUL</t>
  </si>
  <si>
    <t>Building Shell BUS 13 Year EUL</t>
  </si>
  <si>
    <t>Building Shell BUS 14 Year EUL</t>
  </si>
  <si>
    <t>Building Shell BUS 15 Year EUL</t>
  </si>
  <si>
    <t>Building Shell BUS 16 Year EUL</t>
  </si>
  <si>
    <t>Building Shell BUS 17 Year EUL</t>
  </si>
  <si>
    <t>Building Shell BUS 18 Year EUL</t>
  </si>
  <si>
    <t>Building Shell BUS 19 Year EUL</t>
  </si>
  <si>
    <t>Building Shell BUS 2 Year EUL</t>
  </si>
  <si>
    <t>Building Shell BUS 20 Year EUL</t>
  </si>
  <si>
    <t>Building Shell BUS 21 Year EUL</t>
  </si>
  <si>
    <t>Building Shell BUS 22 Year EUL</t>
  </si>
  <si>
    <t>Building Shell BUS 23 Year EUL</t>
  </si>
  <si>
    <t>Building Shell BUS 24 Year EUL</t>
  </si>
  <si>
    <t>Building Shell BUS 25 Year EUL</t>
  </si>
  <si>
    <t>Building Shell BUS 26 Year EUL</t>
  </si>
  <si>
    <t>Building Shell BUS 27 Year EUL</t>
  </si>
  <si>
    <t>Building Shell BUS 28 Year EUL</t>
  </si>
  <si>
    <t>Building Shell BUS 29 Year EUL</t>
  </si>
  <si>
    <t>Building Shell BUS 3 Year EUL</t>
  </si>
  <si>
    <t>Building Shell BUS 30 Year EUL</t>
  </si>
  <si>
    <t>Building Shell BUS 4 Year EUL</t>
  </si>
  <si>
    <t>Building Shell BUS 5 Year EUL</t>
  </si>
  <si>
    <t>Building Shell BUS 6 Year EUL</t>
  </si>
  <si>
    <t>Building Shell BUS 7 Year EUL</t>
  </si>
  <si>
    <t>Building Shell BUS 8 Year EUL</t>
  </si>
  <si>
    <t>Building Shell BUS 9 Year EUL</t>
  </si>
  <si>
    <t>Building Shell RES 1 Year EUL</t>
  </si>
  <si>
    <t>Building Shell RES 10 Year EUL</t>
  </si>
  <si>
    <t>Building Shell RES 11 Year EUL</t>
  </si>
  <si>
    <t>Building Shell RES 12 Year EUL</t>
  </si>
  <si>
    <t>Building Shell RES 13 Year EUL</t>
  </si>
  <si>
    <t>Building Shell RES 14 Year EUL</t>
  </si>
  <si>
    <t>Building Shell RES 15 Year EUL</t>
  </si>
  <si>
    <t>Building Shell RES 16 Year EUL</t>
  </si>
  <si>
    <t>Building Shell RES 17 Year EUL</t>
  </si>
  <si>
    <t>Building Shell RES 18 Year EUL</t>
  </si>
  <si>
    <t>Building Shell RES 19 Year EUL</t>
  </si>
  <si>
    <t>Building Shell RES 2 Year EUL</t>
  </si>
  <si>
    <t>Building Shell RES 20 Year EUL</t>
  </si>
  <si>
    <t>Building Shell RES 21 Year EUL</t>
  </si>
  <si>
    <t>Building Shell RES 22 Year EUL</t>
  </si>
  <si>
    <t>Building Shell RES 23 Year EUL</t>
  </si>
  <si>
    <t>Building Shell RES 24 Year EUL</t>
  </si>
  <si>
    <t>Building Shell RES 25 Year EUL</t>
  </si>
  <si>
    <t>Building Shell RES 3 Year EUL</t>
  </si>
  <si>
    <t>Building Shell RES 4 Year EUL</t>
  </si>
  <si>
    <t>Building Shell RES 5 Year EUL</t>
  </si>
  <si>
    <t>Building Shell RES 6 Year EUL</t>
  </si>
  <si>
    <t>Building Shell RES 7 Year EUL</t>
  </si>
  <si>
    <t>Building Shell RES 8 Year EUL</t>
  </si>
  <si>
    <t>Building Shell RES 9 Year EUL</t>
  </si>
  <si>
    <t>Clothes Dryer RES 1 Year EUL</t>
  </si>
  <si>
    <t>Clothes Dryer RES 10 Year EUL</t>
  </si>
  <si>
    <t>Clothes Dryer RES 11 Year EUL</t>
  </si>
  <si>
    <t>Clothes Dryer RES 12 Year EUL</t>
  </si>
  <si>
    <t>Clothes Dryer RES 13 Year EUL</t>
  </si>
  <si>
    <t>Clothes Dryer RES 14 Year EUL</t>
  </si>
  <si>
    <t>Clothes Dryer RES 15 Year EUL</t>
  </si>
  <si>
    <t>Clothes Dryer RES 16 Year EUL</t>
  </si>
  <si>
    <t>Clothes Dryer RES 17 Year EUL</t>
  </si>
  <si>
    <t>Clothes Dryer RES 18 Year EUL</t>
  </si>
  <si>
    <t>Clothes Dryer RES 19 Year EUL</t>
  </si>
  <si>
    <t>Clothes Dryer RES 2 Year EUL</t>
  </si>
  <si>
    <t>Clothes Dryer RES 20 Year EUL</t>
  </si>
  <si>
    <t>Clothes Dryer RES 21 Year EUL</t>
  </si>
  <si>
    <t>Clothes Dryer RES 22 Year EUL</t>
  </si>
  <si>
    <t>Clothes Dryer RES 23 Year EUL</t>
  </si>
  <si>
    <t>Clothes Dryer RES 24 Year EUL</t>
  </si>
  <si>
    <t>Clothes Dryer RES 25 Year EUL</t>
  </si>
  <si>
    <t>Clothes Dryer RES 3 Year EUL</t>
  </si>
  <si>
    <t>Clothes Dryer RES 4 Year EUL</t>
  </si>
  <si>
    <t>Clothes Dryer RES 5 Year EUL</t>
  </si>
  <si>
    <t>Clothes Dryer RES 6 Year EUL</t>
  </si>
  <si>
    <t>Clothes Dryer RES 7 Year EUL</t>
  </si>
  <si>
    <t>Clothes Dryer RES 8 Year EUL</t>
  </si>
  <si>
    <t>Clothes Dryer RES 9 Year EUL</t>
  </si>
  <si>
    <t>Clothes Washer RES 1 Year EUL</t>
  </si>
  <si>
    <t>Clothes Washer RES 10 Year EUL</t>
  </si>
  <si>
    <t>Clothes Washer RES 11 Year EUL</t>
  </si>
  <si>
    <t>Clothes Washer RES 12 Year EUL</t>
  </si>
  <si>
    <t>Clothes Washer RES 13 Year EUL</t>
  </si>
  <si>
    <t>Clothes Washer RES 14 Year EUL</t>
  </si>
  <si>
    <t>Clothes Washer RES 15 Year EUL</t>
  </si>
  <si>
    <t>Clothes Washer RES 16 Year EUL</t>
  </si>
  <si>
    <t>Clothes Washer RES 17 Year EUL</t>
  </si>
  <si>
    <t>Clothes Washer RES 18 Year EUL</t>
  </si>
  <si>
    <t>Clothes Washer RES 19 Year EUL</t>
  </si>
  <si>
    <t>Clothes Washer RES 2 Year EUL</t>
  </si>
  <si>
    <t>Clothes Washer RES 20 Year EUL</t>
  </si>
  <si>
    <t>Clothes Washer RES 21 Year EUL</t>
  </si>
  <si>
    <t>Clothes Washer RES 22 Year EUL</t>
  </si>
  <si>
    <t>Clothes Washer RES 23 Year EUL</t>
  </si>
  <si>
    <t>Clothes Washer RES 24 Year EUL</t>
  </si>
  <si>
    <t>Clothes Washer RES 25 Year EUL</t>
  </si>
  <si>
    <t>Clothes Washer RES 3 Year EUL</t>
  </si>
  <si>
    <t>Clothes Washer RES 4 Year EUL</t>
  </si>
  <si>
    <t>Clothes Washer RES 5 Year EUL</t>
  </si>
  <si>
    <t>Clothes Washer RES 6 Year EUL</t>
  </si>
  <si>
    <t>Clothes Washer RES 7 Year EUL</t>
  </si>
  <si>
    <t>Clothes Washer RES 8 Year EUL</t>
  </si>
  <si>
    <t>Clothes Washer RES 9 Year EUL</t>
  </si>
  <si>
    <t>Color TV RES 1 Year EUL</t>
  </si>
  <si>
    <t>Color TV RES 10 Year EUL</t>
  </si>
  <si>
    <t>Color TV RES 11 Year EUL</t>
  </si>
  <si>
    <t>Color TV RES 12 Year EUL</t>
  </si>
  <si>
    <t>Color TV RES 13 Year EUL</t>
  </si>
  <si>
    <t>Color TV RES 14 Year EUL</t>
  </si>
  <si>
    <t>Color TV RES 15 Year EUL</t>
  </si>
  <si>
    <t>Color TV RES 16 Year EUL</t>
  </si>
  <si>
    <t>Color TV RES 17 Year EUL</t>
  </si>
  <si>
    <t>Color TV RES 18 Year EUL</t>
  </si>
  <si>
    <t>Color TV RES 19 Year EUL</t>
  </si>
  <si>
    <t>Color TV RES 2 Year EUL</t>
  </si>
  <si>
    <t>Color TV RES 20 Year EUL</t>
  </si>
  <si>
    <t>Color TV RES 21 Year EUL</t>
  </si>
  <si>
    <t>Color TV RES 22 Year EUL</t>
  </si>
  <si>
    <t>Color TV RES 23 Year EUL</t>
  </si>
  <si>
    <t>Color TV RES 24 Year EUL</t>
  </si>
  <si>
    <t>Color TV RES 25 Year EUL</t>
  </si>
  <si>
    <t>Color TV RES 3 Year EUL</t>
  </si>
  <si>
    <t>Color TV RES 4 Year EUL</t>
  </si>
  <si>
    <t>Color TV RES 5 Year EUL</t>
  </si>
  <si>
    <t>Color TV RES 6 Year EUL</t>
  </si>
  <si>
    <t>Color TV RES 7 Year EUL</t>
  </si>
  <si>
    <t>Color TV RES 8 Year EUL</t>
  </si>
  <si>
    <t>Color TV RES 9 Year EUL</t>
  </si>
  <si>
    <t>Cooking BUS 1 Year EUL</t>
  </si>
  <si>
    <t>Cooking BUS 10 Year EUL</t>
  </si>
  <si>
    <t>Cooking BUS 11 Year EUL</t>
  </si>
  <si>
    <t>Cooking BUS 12 Year EUL</t>
  </si>
  <si>
    <t>Cooking BUS 13 Year EUL</t>
  </si>
  <si>
    <t>Cooking BUS 14 Year EUL</t>
  </si>
  <si>
    <t>Cooking BUS 15 Year EUL</t>
  </si>
  <si>
    <t>Cooking BUS 16 Year EUL</t>
  </si>
  <si>
    <t>Cooking BUS 17 Year EUL</t>
  </si>
  <si>
    <t>Cooking BUS 18 Year EUL</t>
  </si>
  <si>
    <t>Cooking BUS 19 Year EUL</t>
  </si>
  <si>
    <t>Cooking BUS 2 Year EUL</t>
  </si>
  <si>
    <t>Cooking BUS 20 Year EUL</t>
  </si>
  <si>
    <t>Cooking BUS 21 Year EUL</t>
  </si>
  <si>
    <t>Cooking BUS 22 Year EUL</t>
  </si>
  <si>
    <t>Cooking BUS 23 Year EUL</t>
  </si>
  <si>
    <t>Cooking BUS 24 Year EUL</t>
  </si>
  <si>
    <t>Cooking BUS 25 Year EUL</t>
  </si>
  <si>
    <t>Cooking BUS 26 Year EUL</t>
  </si>
  <si>
    <t>Cooking BUS 27 Year EUL</t>
  </si>
  <si>
    <t>Cooking BUS 28 Year EUL</t>
  </si>
  <si>
    <t>Cooking BUS 29 Year EUL</t>
  </si>
  <si>
    <t>Cooking BUS 3 Year EUL</t>
  </si>
  <si>
    <t>Cooking BUS 30 Year EUL</t>
  </si>
  <si>
    <t>Cooking BUS 4 Year EUL</t>
  </si>
  <si>
    <t>Cooking BUS 5 Year EUL</t>
  </si>
  <si>
    <t>Cooking BUS 6 Year EUL</t>
  </si>
  <si>
    <t>Cooking BUS 7 Year EUL</t>
  </si>
  <si>
    <t>Cooking BUS 8 Year EUL</t>
  </si>
  <si>
    <t>Cooking BUS 9 Year EUL</t>
  </si>
  <si>
    <t>Cooking RES 1 Year EUL</t>
  </si>
  <si>
    <t>Cooking RES 10 Year EUL</t>
  </si>
  <si>
    <t>Cooking RES 11 Year EUL</t>
  </si>
  <si>
    <t>Cooking RES 12 Year EUL</t>
  </si>
  <si>
    <t>Cooking RES 13 Year EUL</t>
  </si>
  <si>
    <t>Cooking RES 14 Year EUL</t>
  </si>
  <si>
    <t>Cooking RES 15 Year EUL</t>
  </si>
  <si>
    <t>Cooking RES 16 Year EUL</t>
  </si>
  <si>
    <t>Cooking RES 17 Year EUL</t>
  </si>
  <si>
    <t>Cooking RES 18 Year EUL</t>
  </si>
  <si>
    <t>Cooking RES 19 Year EUL</t>
  </si>
  <si>
    <t>Cooking RES 2 Year EUL</t>
  </si>
  <si>
    <t>Cooking RES 20 Year EUL</t>
  </si>
  <si>
    <t>Cooking RES 21 Year EUL</t>
  </si>
  <si>
    <t>Cooking RES 22 Year EUL</t>
  </si>
  <si>
    <t>Cooking RES 23 Year EUL</t>
  </si>
  <si>
    <t>Cooking RES 24 Year EUL</t>
  </si>
  <si>
    <t>Cooking RES 25 Year EUL</t>
  </si>
  <si>
    <t>updated on 2/8/18</t>
  </si>
  <si>
    <t>Cooking RES 3 Year EUL</t>
  </si>
  <si>
    <t>Cooking RES 4 Year EUL</t>
  </si>
  <si>
    <t>Cooking RES 5 Year EUL</t>
  </si>
  <si>
    <t>Cooking RES 6 Year EUL</t>
  </si>
  <si>
    <t>Cooking RES 7 Year EUL</t>
  </si>
  <si>
    <t>Cooking RES 8 Year EUL</t>
  </si>
  <si>
    <t>Cooking RES 9 Year EUL</t>
  </si>
  <si>
    <t>Cooling BUS 1 Year EUL</t>
  </si>
  <si>
    <t>Cooling BUS 10 Year EUL</t>
  </si>
  <si>
    <t>Cooling BUS 11 Year EUL</t>
  </si>
  <si>
    <t>Cooling BUS 12 Year EUL</t>
  </si>
  <si>
    <t>Cooling BUS 13 Year EUL</t>
  </si>
  <si>
    <t>Cooling BUS 14 Year EUL</t>
  </si>
  <si>
    <t>Cooling BUS 15 Year EUL</t>
  </si>
  <si>
    <t>Cooling BUS 16 Year EUL</t>
  </si>
  <si>
    <t>Cooling BUS 17 Year EUL</t>
  </si>
  <si>
    <t>Cooling BUS 18 Year EUL</t>
  </si>
  <si>
    <t>Cooling BUS 19 Year EUL</t>
  </si>
  <si>
    <t>Cooling BUS 2 Year EUL</t>
  </si>
  <si>
    <t>Cooling BUS 20 Year EUL</t>
  </si>
  <si>
    <t>Cooling BUS 21 Year EUL</t>
  </si>
  <si>
    <t>Cooling BUS 22 Year EUL</t>
  </si>
  <si>
    <t>Cooling BUS 23 Year EUL</t>
  </si>
  <si>
    <t>Cooling BUS 24 Year EUL</t>
  </si>
  <si>
    <t>Cooling BUS 25 Year EUL</t>
  </si>
  <si>
    <t>Cooling BUS 26 Year EUL</t>
  </si>
  <si>
    <t>Cooling BUS 27 Year EUL</t>
  </si>
  <si>
    <t>Cooling BUS 28 Year EUL</t>
  </si>
  <si>
    <t>Cooling BUS 29 Year EUL</t>
  </si>
  <si>
    <t>Cooling BUS 3 Year EUL</t>
  </si>
  <si>
    <t>Cooling BUS 30 Year EUL</t>
  </si>
  <si>
    <t>Cooling BUS 4 Year EUL</t>
  </si>
  <si>
    <t>Cooling BUS 5 Year EUL</t>
  </si>
  <si>
    <t>Cooling BUS 6 Year EUL</t>
  </si>
  <si>
    <t>Cooling BUS 7 Year EUL</t>
  </si>
  <si>
    <t>Cooling BUS 8 Year EUL</t>
  </si>
  <si>
    <t>Cooling BUS 9 Year EUL</t>
  </si>
  <si>
    <t>Cooling RES 1 Year EUL</t>
  </si>
  <si>
    <t>Cooling RES 10 Year EUL</t>
  </si>
  <si>
    <t>Cooling RES 11 Year EUL</t>
  </si>
  <si>
    <t>Cooling RES 12 Year EUL</t>
  </si>
  <si>
    <t>Cooling RES 13 Year EUL</t>
  </si>
  <si>
    <t>Cooling RES 14 Year EUL</t>
  </si>
  <si>
    <t>Cooling RES 15 Year EUL</t>
  </si>
  <si>
    <t>Cooling RES 16 Year EUL</t>
  </si>
  <si>
    <t>Cooling RES 17 Year EUL</t>
  </si>
  <si>
    <t>Cooling RES 18 Year EUL</t>
  </si>
  <si>
    <t>Cooling RES 19 Year EUL</t>
  </si>
  <si>
    <t>Cooling RES 2 Year EUL</t>
  </si>
  <si>
    <t>Cooling RES 20 Year EUL</t>
  </si>
  <si>
    <t>Cooling RES 21 Year EUL</t>
  </si>
  <si>
    <t>Cooling RES 22 Year EUL</t>
  </si>
  <si>
    <t>Cooling RES 23 Year EUL</t>
  </si>
  <si>
    <t>Cooling RES 24 Year EUL</t>
  </si>
  <si>
    <t>Cooling RES 25 Year EUL</t>
  </si>
  <si>
    <t>Cooling RES 3 Year EUL</t>
  </si>
  <si>
    <t>Cooling RES 4 Year EUL</t>
  </si>
  <si>
    <t>Cooling RES 5 Year EUL</t>
  </si>
  <si>
    <t>Cooling RES 6 Year EUL</t>
  </si>
  <si>
    <t>Cooling RES 7 Year EUL</t>
  </si>
  <si>
    <t>Cooling RES 8 Year EUL</t>
  </si>
  <si>
    <t>Cooling RES 9 Year EUL</t>
  </si>
  <si>
    <t>Cooling RES ER2 12 Year EUL</t>
  </si>
  <si>
    <t>Dishwasher RES 1 Year EUL</t>
  </si>
  <si>
    <t>Dishwasher RES 10 Year EUL</t>
  </si>
  <si>
    <t>Dishwasher RES 11 Year EUL</t>
  </si>
  <si>
    <t>Dishwasher RES 12 Year EUL</t>
  </si>
  <si>
    <t>Dishwasher RES 13 Year EUL</t>
  </si>
  <si>
    <t>Dishwasher RES 14 Year EUL</t>
  </si>
  <si>
    <t>Dishwasher RES 15 Year EUL</t>
  </si>
  <si>
    <t>Dishwasher RES 16 Year EUL</t>
  </si>
  <si>
    <t>Dishwasher RES 17 Year EUL</t>
  </si>
  <si>
    <t>Dishwasher RES 18 Year EUL</t>
  </si>
  <si>
    <t>Dishwasher RES 19 Year EUL</t>
  </si>
  <si>
    <t>Dishwasher RES 2 Year EUL</t>
  </si>
  <si>
    <t>Dishwasher RES 20 Year EUL</t>
  </si>
  <si>
    <t>Dishwasher RES 21 Year EUL</t>
  </si>
  <si>
    <t>Dishwasher RES 22 Year EUL</t>
  </si>
  <si>
    <t>Dishwasher RES 23 Year EUL</t>
  </si>
  <si>
    <t>Dishwasher RES 24 Year EUL</t>
  </si>
  <si>
    <t>Dishwasher RES 25 Year EUL</t>
  </si>
  <si>
    <t>Dishwasher RES 3 Year EUL</t>
  </si>
  <si>
    <t>Dishwasher RES 4 Year EUL</t>
  </si>
  <si>
    <t>Dishwasher RES 5 Year EUL</t>
  </si>
  <si>
    <t>Dishwasher RES 6 Year EUL</t>
  </si>
  <si>
    <t>Dishwasher RES 7 Year EUL</t>
  </si>
  <si>
    <t>Dishwasher RES 8 Year EUL</t>
  </si>
  <si>
    <t>Dishwasher RES 9 Year EUL</t>
  </si>
  <si>
    <t>Ext Lighting BUS 1 Year EUL</t>
  </si>
  <si>
    <t>Ext Lighting BUS 10 Year EUL</t>
  </si>
  <si>
    <t>Ext Lighting BUS 11 Year EUL</t>
  </si>
  <si>
    <t>Ext Lighting BUS 12 Year EUL</t>
  </si>
  <si>
    <t>Ext Lighting BUS 13 Year EUL</t>
  </si>
  <si>
    <t>Ext Lighting BUS 14 Year EUL</t>
  </si>
  <si>
    <t>Ext Lighting BUS 15 Year EUL</t>
  </si>
  <si>
    <t>Ext Lighting BUS 16 Year EUL</t>
  </si>
  <si>
    <t>Ext Lighting BUS 17 Year EUL</t>
  </si>
  <si>
    <t>Ext Lighting BUS 18 Year EUL</t>
  </si>
  <si>
    <t>Ext Lighting BUS 19 Year EUL</t>
  </si>
  <si>
    <t>Ext Lighting BUS 2 Year EUL</t>
  </si>
  <si>
    <t>Ext Lighting BUS 20 Year EUL</t>
  </si>
  <si>
    <t>Ext Lighting BUS 21 Year EUL</t>
  </si>
  <si>
    <t>Ext Lighting BUS 22 Year EUL</t>
  </si>
  <si>
    <t>Ext Lighting BUS 23 Year EUL</t>
  </si>
  <si>
    <t>Ext Lighting BUS 24 Year EUL</t>
  </si>
  <si>
    <t>Ext Lighting BUS 25 Year EUL</t>
  </si>
  <si>
    <t>Ext Lighting BUS 26 Year EUL</t>
  </si>
  <si>
    <t>Ext Lighting BUS 27 Year EUL</t>
  </si>
  <si>
    <t>Ext Lighting BUS 28 Year EUL</t>
  </si>
  <si>
    <t>Ext Lighting BUS 29 Year EUL</t>
  </si>
  <si>
    <t>Ext Lighting BUS 3 Year EUL</t>
  </si>
  <si>
    <t>Ext Lighting BUS 30 Year EUL</t>
  </si>
  <si>
    <t>Ext Lighting BUS 4 Year EUL</t>
  </si>
  <si>
    <t>Ext Lighting BUS 5 Year EUL</t>
  </si>
  <si>
    <t>Ext Lighting BUS 6 Year EUL</t>
  </si>
  <si>
    <t>Ext Lighting BUS 7 Year EUL</t>
  </si>
  <si>
    <t>Ext Lighting BUS 8 Year EUL</t>
  </si>
  <si>
    <t>Ext Lighting BUS 9 Year EUL</t>
  </si>
  <si>
    <t>Freezer RES 1 Year EUL</t>
  </si>
  <si>
    <t>Freezer RES 10 Year EUL</t>
  </si>
  <si>
    <t>Freezer RES 11 Year EUL</t>
  </si>
  <si>
    <t>Freezer RES 12 Year EUL</t>
  </si>
  <si>
    <t>Freezer RES 13 Year EUL</t>
  </si>
  <si>
    <t>Freezer RES 14 Year EUL</t>
  </si>
  <si>
    <t>Freezer RES 15 Year EUL</t>
  </si>
  <si>
    <t>Freezer RES 16 Year EUL</t>
  </si>
  <si>
    <t>Freezer RES 17 Year EUL</t>
  </si>
  <si>
    <t>Freezer RES 18 Year EUL</t>
  </si>
  <si>
    <t>Freezer RES 19 Year EUL</t>
  </si>
  <si>
    <t>Freezer RES 2 Year EUL</t>
  </si>
  <si>
    <t>Freezer RES 20 Year EUL</t>
  </si>
  <si>
    <t>Freezer RES 21 Year EUL</t>
  </si>
  <si>
    <t>Freezer RES 22 Year EUL</t>
  </si>
  <si>
    <t>Freezer RES 23 Year EUL</t>
  </si>
  <si>
    <t>Freezer RES 24 Year EUL</t>
  </si>
  <si>
    <t>Freezer RES 25 Year EUL</t>
  </si>
  <si>
    <t>Freezer RES 3 Year EUL</t>
  </si>
  <si>
    <t>Freezer RES 4 Year EUL</t>
  </si>
  <si>
    <t>Freezer RES 5 Year EUL</t>
  </si>
  <si>
    <t>Freezer RES 6 Year EUL</t>
  </si>
  <si>
    <t>Freezer RES 7 Year EUL</t>
  </si>
  <si>
    <t>Freezer RES 8 Year EUL</t>
  </si>
  <si>
    <t>Freezer RES 9 Year EUL</t>
  </si>
  <si>
    <t>Heating BUS 1 Year EUL</t>
  </si>
  <si>
    <t>Heating BUS 10 Year EUL</t>
  </si>
  <si>
    <t>Heating BUS 11 Year EUL</t>
  </si>
  <si>
    <t>Heating BUS 12 Year EUL</t>
  </si>
  <si>
    <t>Heating BUS 13 Year EUL</t>
  </si>
  <si>
    <t>Heating BUS 14 Year EUL</t>
  </si>
  <si>
    <t>Heating BUS 15 Year EUL</t>
  </si>
  <si>
    <t>Heating BUS 16 Year EUL</t>
  </si>
  <si>
    <t>Heating BUS 17 Year EUL</t>
  </si>
  <si>
    <t>Heating BUS 18 Year EUL</t>
  </si>
  <si>
    <t>Heating BUS 19 Year EUL</t>
  </si>
  <si>
    <t>updated on 5/14/18</t>
  </si>
  <si>
    <t>Heating BUS 2 Year EUL</t>
  </si>
  <si>
    <t>Heating BUS 20 Year EUL</t>
  </si>
  <si>
    <t>Heating BUS 21 Year EUL</t>
  </si>
  <si>
    <t>Heating BUS 22 Year EUL</t>
  </si>
  <si>
    <t>Heating BUS 23 Year EUL</t>
  </si>
  <si>
    <t>Heating BUS 24 Year EUL</t>
  </si>
  <si>
    <t>Heating BUS 25 Year EUL</t>
  </si>
  <si>
    <t>Heating BUS 26 Year EUL</t>
  </si>
  <si>
    <t>Heating BUS 27 Year EUL</t>
  </si>
  <si>
    <t>Heating BUS 28 Year EUL</t>
  </si>
  <si>
    <t>Heating BUS 29 Year EUL</t>
  </si>
  <si>
    <t>Heating BUS 3 Year EUL</t>
  </si>
  <si>
    <t>Heating BUS 30 Year EUL</t>
  </si>
  <si>
    <t>Heating BUS 4 Year EUL</t>
  </si>
  <si>
    <t>Heating BUS 5 Year EUL</t>
  </si>
  <si>
    <t>Heating BUS 6 Year EUL</t>
  </si>
  <si>
    <t>Heating BUS 7 Year EUL</t>
  </si>
  <si>
    <t>Heating BUS 8 Year EUL</t>
  </si>
  <si>
    <t>Heating BUS 9 Year EUL</t>
  </si>
  <si>
    <t>Heating RES 1 Year EUL</t>
  </si>
  <si>
    <t>Heating RES 10 Year EUL</t>
  </si>
  <si>
    <t>Heating RES 11 Year EUL</t>
  </si>
  <si>
    <t>Heating RES 12 Year EUL</t>
  </si>
  <si>
    <t>Heating RES 13 Year EUL</t>
  </si>
  <si>
    <t>Heating RES 14 Year EUL</t>
  </si>
  <si>
    <t>Heating RES 15 Year EUL</t>
  </si>
  <si>
    <t>Heating RES 16 Year EUL</t>
  </si>
  <si>
    <t>Heating RES 17 Year EUL</t>
  </si>
  <si>
    <t>Heating RES 18 Year EUL</t>
  </si>
  <si>
    <t>Heating RES 19 Year EUL</t>
  </si>
  <si>
    <t>Heating RES 2 Year EUL</t>
  </si>
  <si>
    <t>Heating RES 20 Year EUL</t>
  </si>
  <si>
    <t>Heating RES 21 Year EUL</t>
  </si>
  <si>
    <t>Heating RES 22 Year EUL</t>
  </si>
  <si>
    <t>Heating RES 23 Year EUL</t>
  </si>
  <si>
    <t>Heating RES 24 Year EUL</t>
  </si>
  <si>
    <t>Heating RES 25 Year EUL</t>
  </si>
  <si>
    <t>Heating RES 3 Year EUL</t>
  </si>
  <si>
    <t>Heating RES 4 Year EUL</t>
  </si>
  <si>
    <t>Heating RES 5 Year EUL</t>
  </si>
  <si>
    <t>Heating RES 6 Year EUL</t>
  </si>
  <si>
    <t>Heating RES 7 Year EUL</t>
  </si>
  <si>
    <t>Heating RES 8 Year EUL</t>
  </si>
  <si>
    <t>Heating RES 9 Year EUL</t>
  </si>
  <si>
    <t>Heating RES ER2 12 Year EUL</t>
  </si>
  <si>
    <t>HVAC BUS 1 Year EUL</t>
  </si>
  <si>
    <t>HVAC BUS 10 Year EUL</t>
  </si>
  <si>
    <t>HVAC BUS 11 Year EUL</t>
  </si>
  <si>
    <t>HVAC BUS 12 Year EUL</t>
  </si>
  <si>
    <t>HVAC BUS 13 Year EUL</t>
  </si>
  <si>
    <t>HVAC BUS 14 Year EUL</t>
  </si>
  <si>
    <t>HVAC BUS 15 Year EUL</t>
  </si>
  <si>
    <t>HVAC BUS 16 Year EUL</t>
  </si>
  <si>
    <t>HVAC BUS 17 Year EUL</t>
  </si>
  <si>
    <t>HVAC BUS 18 Year EUL</t>
  </si>
  <si>
    <t>HVAC BUS 19 Year EUL</t>
  </si>
  <si>
    <t>HVAC BUS 2 Year EUL</t>
  </si>
  <si>
    <t>HVAC BUS 20 Year EUL</t>
  </si>
  <si>
    <t>HVAC BUS 21 Year EUL</t>
  </si>
  <si>
    <t>HVAC BUS 22 Year EUL</t>
  </si>
  <si>
    <t>HVAC BUS 23 Year EUL</t>
  </si>
  <si>
    <t>HVAC BUS 24 Year EUL</t>
  </si>
  <si>
    <t>HVAC BUS 25 Year EUL</t>
  </si>
  <si>
    <t>HVAC BUS 26 Year EUL</t>
  </si>
  <si>
    <t>HVAC BUS 27 Year EUL</t>
  </si>
  <si>
    <t>HVAC BUS 28 Year EUL</t>
  </si>
  <si>
    <t>HVAC BUS 29 Year EUL</t>
  </si>
  <si>
    <t>HVAC BUS 3 Year EUL</t>
  </si>
  <si>
    <t>HVAC BUS 30 Year EUL</t>
  </si>
  <si>
    <t>HVAC BUS 4 Year EUL</t>
  </si>
  <si>
    <t>HVAC BUS 5 Year EUL</t>
  </si>
  <si>
    <t>HVAC BUS 6 Year EUL</t>
  </si>
  <si>
    <t>HVAC BUS 7 Year EUL</t>
  </si>
  <si>
    <t>HVAC BUS 8 Year EUL</t>
  </si>
  <si>
    <t>HVAC BUS 9 Year EUL</t>
  </si>
  <si>
    <t>HVAC RES 1 Year EUL</t>
  </si>
  <si>
    <t>HVAC RES 10 Year EUL</t>
  </si>
  <si>
    <t>HVAC RES 11 Year EUL</t>
  </si>
  <si>
    <t>HVAC RES 12 Year EUL</t>
  </si>
  <si>
    <t>HVAC RES 13 Year EUL</t>
  </si>
  <si>
    <t>HVAC RES 14 Year EUL</t>
  </si>
  <si>
    <t>HVAC RES 15 Year EUL</t>
  </si>
  <si>
    <t>HVAC RES 16 Year EUL</t>
  </si>
  <si>
    <t>HVAC RES 17 Year EUL</t>
  </si>
  <si>
    <t>HVAC RES 18 Year EUL</t>
  </si>
  <si>
    <t>HVAC RES 19 Year EUL</t>
  </si>
  <si>
    <t>HVAC RES 2 Year EUL</t>
  </si>
  <si>
    <t>HVAC RES 20 Year EUL</t>
  </si>
  <si>
    <t>HVAC RES 21 Year EUL</t>
  </si>
  <si>
    <t>HVAC RES 22 Year EUL</t>
  </si>
  <si>
    <t>HVAC RES 23 Year EUL</t>
  </si>
  <si>
    <t>HVAC RES 24 Year EUL</t>
  </si>
  <si>
    <t>HVAC RES 25 Year EUL</t>
  </si>
  <si>
    <t>HVAC RES 3 Year EUL</t>
  </si>
  <si>
    <t>HVAC RES 4 Year EUL</t>
  </si>
  <si>
    <t>HVAC RES 5 Year EUL</t>
  </si>
  <si>
    <t>HVAC RES 6 Year EUL</t>
  </si>
  <si>
    <t>HVAC RES 7 Year EUL</t>
  </si>
  <si>
    <t>HVAC RES 8 Year EUL</t>
  </si>
  <si>
    <t>HVAC RES 9 Year EUL</t>
  </si>
  <si>
    <t>HVAC RES ER2 12 Year EUL</t>
  </si>
  <si>
    <t>Lighting BUS 1 Year EUL</t>
  </si>
  <si>
    <t>Lighting BUS 10 Year EUL</t>
  </si>
  <si>
    <t>Lighting BUS 11 Year EUL</t>
  </si>
  <si>
    <t>Lighting BUS 12 Year EUL</t>
  </si>
  <si>
    <t>Lighting BUS 13 Year EUL</t>
  </si>
  <si>
    <t>Lighting BUS 14 Year EUL</t>
  </si>
  <si>
    <t>Lighting BUS 15 Year EUL</t>
  </si>
  <si>
    <t>Lighting BUS 16 Year EUL</t>
  </si>
  <si>
    <t>Lighting BUS 17 Year EUL</t>
  </si>
  <si>
    <t>Lighting BUS 18 Year EUL</t>
  </si>
  <si>
    <t>Lighting BUS 19 Year EUL</t>
  </si>
  <si>
    <t>Lighting BUS 2 Year EUL</t>
  </si>
  <si>
    <t>Lighting BUS 20 Year EUL</t>
  </si>
  <si>
    <t>Lighting BUS 21 Year EUL</t>
  </si>
  <si>
    <t>Lighting BUS 22 Year EUL</t>
  </si>
  <si>
    <t>Lighting BUS 23 Year EUL</t>
  </si>
  <si>
    <t>Lighting BUS 24 Year EUL</t>
  </si>
  <si>
    <t>Lighting BUS 25 Year EUL</t>
  </si>
  <si>
    <t>Lighting BUS 26 Year EUL</t>
  </si>
  <si>
    <t>Lighting BUS 27 Year EUL</t>
  </si>
  <si>
    <t>Lighting BUS 28 Year EUL</t>
  </si>
  <si>
    <t>Lighting BUS 29 Year EUL</t>
  </si>
  <si>
    <t>Lighting BUS 3 Year EUL</t>
  </si>
  <si>
    <t>Lighting BUS 30 Year EUL</t>
  </si>
  <si>
    <t>Lighting BUS 4 Year EUL</t>
  </si>
  <si>
    <t>Lighting BUS 5 Year EUL</t>
  </si>
  <si>
    <t>Lighting BUS 6 Year EUL</t>
  </si>
  <si>
    <t>Lighting BUS 7 Year EUL</t>
  </si>
  <si>
    <t>Lighting BUS 8 Year EUL</t>
  </si>
  <si>
    <t>Lighting BUS 9 Year EUL</t>
  </si>
  <si>
    <t>Lighting RES 1 Year EUL</t>
  </si>
  <si>
    <t>Lighting RES 10 Year EUL</t>
  </si>
  <si>
    <t>Lighting RES 11 Year EUL</t>
  </si>
  <si>
    <t>Lighting RES 12 Year EUL</t>
  </si>
  <si>
    <t>Lighting RES 13 Year EUL</t>
  </si>
  <si>
    <t>Lighting RES 14 Year EUL</t>
  </si>
  <si>
    <t>Lighting RES 15 Year EUL</t>
  </si>
  <si>
    <t>Lighting RES 16 Year EUL</t>
  </si>
  <si>
    <t>Lighting RES 17 Year EUL</t>
  </si>
  <si>
    <t>Lighting RES 18 Year EUL</t>
  </si>
  <si>
    <t>Lighting RES 19 Year EUL</t>
  </si>
  <si>
    <t>Lighting RES 2 Year EUL</t>
  </si>
  <si>
    <t>Lighting RES 20 Year EUL</t>
  </si>
  <si>
    <t>Lighting RES 21 Year EUL</t>
  </si>
  <si>
    <t>Lighting RES 22 Year EUL</t>
  </si>
  <si>
    <t>Lighting RES 23 Year EUL</t>
  </si>
  <si>
    <t>Lighting RES 24 Year EUL</t>
  </si>
  <si>
    <t>Lighting RES 25 Year EUL</t>
  </si>
  <si>
    <t>Lighting RES 3 Year EUL</t>
  </si>
  <si>
    <t>Lighting RES 4 Year EUL</t>
  </si>
  <si>
    <t>Lighting RES 5 Year EUL</t>
  </si>
  <si>
    <t>Lighting RES 6 Year EUL</t>
  </si>
  <si>
    <t>Lighting RES 7 Year EUL</t>
  </si>
  <si>
    <t>Lighting RES 8 Year EUL</t>
  </si>
  <si>
    <t>Lighting RES 9 Year EUL</t>
  </si>
  <si>
    <t>Miscellaneous BUS 1 Year EUL</t>
  </si>
  <si>
    <t>Miscellaneous BUS 10 Year EUL</t>
  </si>
  <si>
    <t>Miscellaneous BUS 11 Year EUL</t>
  </si>
  <si>
    <t>Miscellaneous BUS 12 Year EUL</t>
  </si>
  <si>
    <t>Miscellaneous BUS 13 Year EUL</t>
  </si>
  <si>
    <t>Miscellaneous BUS 14 Year EUL</t>
  </si>
  <si>
    <t>Miscellaneous BUS 15 Year EUL</t>
  </si>
  <si>
    <t>Miscellaneous BUS 16 Year EUL</t>
  </si>
  <si>
    <t>Miscellaneous BUS 17 Year EUL</t>
  </si>
  <si>
    <t>Miscellaneous BUS 18 Year EUL</t>
  </si>
  <si>
    <t>Miscellaneous BUS 19 Year EUL</t>
  </si>
  <si>
    <t>Miscellaneous BUS 2 Year EUL</t>
  </si>
  <si>
    <t>Miscellaneous BUS 20 Year EUL</t>
  </si>
  <si>
    <t>Miscellaneous BUS 21 Year EUL</t>
  </si>
  <si>
    <t>Miscellaneous BUS 22 Year EUL</t>
  </si>
  <si>
    <t>Miscellaneous BUS 23 Year EUL</t>
  </si>
  <si>
    <t>Miscellaneous BUS 24 Year EUL</t>
  </si>
  <si>
    <t>Miscellaneous BUS 25 Year EUL</t>
  </si>
  <si>
    <t>Miscellaneous BUS 26 Year EUL</t>
  </si>
  <si>
    <t>Miscellaneous BUS 27 Year EUL</t>
  </si>
  <si>
    <t>Miscellaneous BUS 28 Year EUL</t>
  </si>
  <si>
    <t>Miscellaneous BUS 29 Year EUL</t>
  </si>
  <si>
    <t>Miscellaneous BUS 3 Year EUL</t>
  </si>
  <si>
    <t>Miscellaneous BUS 30 Year EUL</t>
  </si>
  <si>
    <t>Miscellaneous BUS 4 Year EUL</t>
  </si>
  <si>
    <t>Miscellaneous BUS 5 Year EUL</t>
  </si>
  <si>
    <t>Miscellaneous BUS 6 Year EUL</t>
  </si>
  <si>
    <t>Miscellaneous BUS 7 Year EUL</t>
  </si>
  <si>
    <t>Miscellaneous BUS 8 Year EUL</t>
  </si>
  <si>
    <t>Miscellaneous BUS 9 Year EUL</t>
  </si>
  <si>
    <t>Miscellaneous RES 1 Year EUL</t>
  </si>
  <si>
    <t>Miscellaneous RES 10 Year EUL</t>
  </si>
  <si>
    <t>Miscellaneous RES 11 Year EUL</t>
  </si>
  <si>
    <t>Miscellaneous RES 12 Year EUL</t>
  </si>
  <si>
    <t>Miscellaneous RES 13 Year EUL</t>
  </si>
  <si>
    <t>Miscellaneous RES 14 Year EUL</t>
  </si>
  <si>
    <t>Miscellaneous RES 15 Year EUL</t>
  </si>
  <si>
    <t>Miscellaneous RES 16 Year EUL</t>
  </si>
  <si>
    <t>Miscellaneous RES 17 Year EUL</t>
  </si>
  <si>
    <t>Miscellaneous RES 18 Year EUL</t>
  </si>
  <si>
    <t>Miscellaneous RES 19 Year EUL</t>
  </si>
  <si>
    <t>Miscellaneous RES 2 Year EUL</t>
  </si>
  <si>
    <t>Miscellaneous RES 20 Year EUL</t>
  </si>
  <si>
    <t>Miscellaneous RES 21 Year EUL</t>
  </si>
  <si>
    <t>Miscellaneous RES 22 Year EUL</t>
  </si>
  <si>
    <t>Miscellaneous RES 23 Year EUL</t>
  </si>
  <si>
    <t>Miscellaneous RES 24 Year EUL</t>
  </si>
  <si>
    <t>Miscellaneous RES 25 Year EUL</t>
  </si>
  <si>
    <t>Miscellaneous RES 3 Year EUL</t>
  </si>
  <si>
    <t>Miscellaneous RES 4 Year EUL</t>
  </si>
  <si>
    <t>Miscellaneous RES 5 Year EUL</t>
  </si>
  <si>
    <t>Miscellaneous RES 6 Year EUL</t>
  </si>
  <si>
    <t>Miscellaneous RES 7 Year EUL</t>
  </si>
  <si>
    <t>Miscellaneous RES 8 Year EUL</t>
  </si>
  <si>
    <t>Miscellaneous RES 9 Year EUL</t>
  </si>
  <si>
    <t>Motors BUS 1 Year EUL</t>
  </si>
  <si>
    <t>Motors BUS 10 Year EUL</t>
  </si>
  <si>
    <t>Motors BUS 11 Year EUL</t>
  </si>
  <si>
    <t>Motors BUS 12 Year EUL</t>
  </si>
  <si>
    <t>Motors BUS 13 Year EUL</t>
  </si>
  <si>
    <t>Motors BUS 14 Year EUL</t>
  </si>
  <si>
    <t>Motors BUS 15 Year EUL</t>
  </si>
  <si>
    <t>Motors BUS 16 Year EUL</t>
  </si>
  <si>
    <t>Motors BUS 17 Year EUL</t>
  </si>
  <si>
    <t>Motors BUS 18 Year EUL</t>
  </si>
  <si>
    <t>Motors BUS 19 Year EUL</t>
  </si>
  <si>
    <t>Motors BUS 2 Year EUL</t>
  </si>
  <si>
    <t>Motors BUS 20 Year EUL</t>
  </si>
  <si>
    <t>Motors BUS 21 Year EUL</t>
  </si>
  <si>
    <t>Motors BUS 22 Year EUL</t>
  </si>
  <si>
    <t>Motors BUS 23 Year EUL</t>
  </si>
  <si>
    <t>Motors BUS 24 Year EUL</t>
  </si>
  <si>
    <t>Motors BUS 25 Year EUL</t>
  </si>
  <si>
    <t>Motors BUS 26 Year EUL</t>
  </si>
  <si>
    <t>Motors BUS 27 Year EUL</t>
  </si>
  <si>
    <t>Motors BUS 28 Year EUL</t>
  </si>
  <si>
    <t>Motors BUS 29 Year EUL</t>
  </si>
  <si>
    <t>Motors BUS 3 Year EUL</t>
  </si>
  <si>
    <t>Motors BUS 30 Year EUL</t>
  </si>
  <si>
    <t>Motors BUS 4 Year EUL</t>
  </si>
  <si>
    <t>Motors BUS 5 Year EUL</t>
  </si>
  <si>
    <t>Motors BUS 6 Year EUL</t>
  </si>
  <si>
    <t>Motors BUS 7 Year EUL</t>
  </si>
  <si>
    <t>Motors BUS 8 Year EUL</t>
  </si>
  <si>
    <t>Motors BUS 9 Year EUL</t>
  </si>
  <si>
    <t>Office BUS 1 Year EUL</t>
  </si>
  <si>
    <t>Office BUS 10 Year EUL</t>
  </si>
  <si>
    <t>Office BUS 11 Year EUL</t>
  </si>
  <si>
    <t>Office BUS 12 Year EUL</t>
  </si>
  <si>
    <t>Office BUS 13 Year EUL</t>
  </si>
  <si>
    <t>Office BUS 14 Year EUL</t>
  </si>
  <si>
    <t>Office BUS 15 Year EUL</t>
  </si>
  <si>
    <t>Office BUS 16 Year EUL</t>
  </si>
  <si>
    <t>Office BUS 17 Year EUL</t>
  </si>
  <si>
    <t>Office BUS 18 Year EUL</t>
  </si>
  <si>
    <t>Office BUS 19 Year EUL</t>
  </si>
  <si>
    <t>Office BUS 2 Year EUL</t>
  </si>
  <si>
    <t>Office BUS 20 Year EUL</t>
  </si>
  <si>
    <t>Office BUS 21 Year EUL</t>
  </si>
  <si>
    <t>Office BUS 22 Year EUL</t>
  </si>
  <si>
    <t>Office BUS 23 Year EUL</t>
  </si>
  <si>
    <t>Office BUS 24 Year EUL</t>
  </si>
  <si>
    <t>Office BUS 25 Year EUL</t>
  </si>
  <si>
    <t>Office BUS 26 Year EUL</t>
  </si>
  <si>
    <t>Office BUS 27 Year EUL</t>
  </si>
  <si>
    <t>Office BUS 28 Year EUL</t>
  </si>
  <si>
    <t>Office BUS 29 Year EUL</t>
  </si>
  <si>
    <t>Office BUS 3 Year EUL</t>
  </si>
  <si>
    <t>Office BUS 30 Year EUL</t>
  </si>
  <si>
    <t>Office BUS 4 Year EUL</t>
  </si>
  <si>
    <t>Office BUS 5 Year EUL</t>
  </si>
  <si>
    <t>Office BUS 6 Year EUL</t>
  </si>
  <si>
    <t>Office BUS 7 Year EUL</t>
  </si>
  <si>
    <t>Office BUS 8 Year EUL</t>
  </si>
  <si>
    <t>Office BUS 9 Year EUL</t>
  </si>
  <si>
    <t>Pool Spa RES 1 Year EUL</t>
  </si>
  <si>
    <t>Pool Spa RES 10 Year EUL</t>
  </si>
  <si>
    <t>Pool Spa RES 11 Year EUL</t>
  </si>
  <si>
    <t>Pool Spa RES 12 Year EUL</t>
  </si>
  <si>
    <t>Pool Spa RES 13 Year EUL</t>
  </si>
  <si>
    <t>Pool Spa RES 14 Year EUL</t>
  </si>
  <si>
    <t>Pool Spa RES 15 Year EUL</t>
  </si>
  <si>
    <t>Pool Spa RES 16 Year EUL</t>
  </si>
  <si>
    <t>Pool Spa RES 17 Year EUL</t>
  </si>
  <si>
    <t>Pool Spa RES 18 Year EUL</t>
  </si>
  <si>
    <t>Pool Spa RES 19 Year EUL</t>
  </si>
  <si>
    <t>Pool Spa RES 2 Year EUL</t>
  </si>
  <si>
    <t>Pool Spa RES 20 Year EUL</t>
  </si>
  <si>
    <t>Pool Spa RES 21 Year EUL</t>
  </si>
  <si>
    <t>Pool Spa RES 22 Year EUL</t>
  </si>
  <si>
    <t>Pool Spa RES 23 Year EUL</t>
  </si>
  <si>
    <t>Pool Spa RES 24 Year EUL</t>
  </si>
  <si>
    <t>Pool Spa RES 25 Year EUL</t>
  </si>
  <si>
    <t>Pool Spa RES 3 Year EUL</t>
  </si>
  <si>
    <t>Pool Spa RES 4 Year EUL</t>
  </si>
  <si>
    <t>Pool Spa RES 5 Year EUL</t>
  </si>
  <si>
    <t>Pool Spa RES 6 Year EUL</t>
  </si>
  <si>
    <t>Pool Spa RES 7 Year EUL</t>
  </si>
  <si>
    <t>Pool Spa RES 8 Year EUL</t>
  </si>
  <si>
    <t>Pool Spa RES 9 Year EUL</t>
  </si>
  <si>
    <t>Process BUS 1 Year EUL</t>
  </si>
  <si>
    <t>Process BUS 10 Year EUL</t>
  </si>
  <si>
    <t>Process BUS 11 Year EUL</t>
  </si>
  <si>
    <t>Process BUS 12 Year EUL</t>
  </si>
  <si>
    <t>Process BUS 13 Year EUL</t>
  </si>
  <si>
    <t>Process BUS 14 Year EUL</t>
  </si>
  <si>
    <t>Process BUS 15 Year EUL</t>
  </si>
  <si>
    <t>Process BUS 16 Year EUL</t>
  </si>
  <si>
    <t>Process BUS 17 Year EUL</t>
  </si>
  <si>
    <t>Process BUS 18 Year EUL</t>
  </si>
  <si>
    <t>Process BUS 19 Year EUL</t>
  </si>
  <si>
    <t>Process BUS 2 Year EUL</t>
  </si>
  <si>
    <t>Process BUS 20 Year EUL</t>
  </si>
  <si>
    <t>Process BUS 21 Year EUL</t>
  </si>
  <si>
    <t>Process BUS 22 Year EUL</t>
  </si>
  <si>
    <t>Process BUS 23 Year EUL</t>
  </si>
  <si>
    <t>Process BUS 24 Year EUL</t>
  </si>
  <si>
    <t>Process BUS 25 Year EUL</t>
  </si>
  <si>
    <t>Process BUS 26 Year EUL</t>
  </si>
  <si>
    <t>Process BUS 27 Year EUL</t>
  </si>
  <si>
    <t>Process BUS 28 Year EUL</t>
  </si>
  <si>
    <t>Process BUS 29 Year EUL</t>
  </si>
  <si>
    <t>Process BUS 3 Year EUL</t>
  </si>
  <si>
    <t>Process BUS 30 Year EUL</t>
  </si>
  <si>
    <t>Process BUS 4 Year EUL</t>
  </si>
  <si>
    <t>Process BUS 5 Year EUL</t>
  </si>
  <si>
    <t>Process BUS 6 Year EUL</t>
  </si>
  <si>
    <t>Process BUS 7 Year EUL</t>
  </si>
  <si>
    <t>Process BUS 8 Year EUL</t>
  </si>
  <si>
    <t>Process BUS 9 Year EUL</t>
  </si>
  <si>
    <t>Refrigeration BUS 1 Year EUL</t>
  </si>
  <si>
    <t>Refrigeration BUS 10 Year EUL</t>
  </si>
  <si>
    <t>Refrigeration BUS 11 Year EUL</t>
  </si>
  <si>
    <t>Refrigeration BUS 12 Year EUL</t>
  </si>
  <si>
    <t>Refrigeration BUS 13 Year EUL</t>
  </si>
  <si>
    <t>Refrigeration BUS 14 Year EUL</t>
  </si>
  <si>
    <t>Refrigeration BUS 15 Year EUL</t>
  </si>
  <si>
    <t>Refrigeration BUS 16 Year EUL</t>
  </si>
  <si>
    <t>Refrigeration BUS 17 Year EUL</t>
  </si>
  <si>
    <t>Refrigeration BUS 18 Year EUL</t>
  </si>
  <si>
    <t>Refrigeration BUS 19 Year EUL</t>
  </si>
  <si>
    <t>Refrigeration BUS 2 Year EUL</t>
  </si>
  <si>
    <t>Refrigeration BUS 20 Year EUL</t>
  </si>
  <si>
    <t>Refrigeration BUS 21 Year EUL</t>
  </si>
  <si>
    <t>Refrigeration BUS 22 Year EUL</t>
  </si>
  <si>
    <t>Refrigeration BUS 23 Year EUL</t>
  </si>
  <si>
    <t>Refrigeration BUS 24 Year EUL</t>
  </si>
  <si>
    <t>Refrigeration BUS 25 Year EUL</t>
  </si>
  <si>
    <t>Refrigeration BUS 26 Year EUL</t>
  </si>
  <si>
    <t>Refrigeration BUS 27 Year EUL</t>
  </si>
  <si>
    <t>Refrigeration BUS 28 Year EUL</t>
  </si>
  <si>
    <t>Refrigeration BUS 29 Year EUL</t>
  </si>
  <si>
    <t>Refrigeration BUS 3 Year EUL</t>
  </si>
  <si>
    <t>Refrigeration BUS 30 Year EUL</t>
  </si>
  <si>
    <t>Refrigeration BUS 4 Year EUL</t>
  </si>
  <si>
    <t>Refrigeration BUS 5 Year EUL</t>
  </si>
  <si>
    <t>Refrigeration BUS 6 Year EUL</t>
  </si>
  <si>
    <t>Refrigeration BUS 7 Year EUL</t>
  </si>
  <si>
    <t>Refrigeration BUS 8 Year EUL</t>
  </si>
  <si>
    <t>Refrigeration BUS 9 Year EUL</t>
  </si>
  <si>
    <t>Refrigeration RES 1 Year EUL</t>
  </si>
  <si>
    <t>Refrigeration RES 10 Year EUL</t>
  </si>
  <si>
    <t>Refrigeration RES 11 Year EUL</t>
  </si>
  <si>
    <t>Refrigeration RES 12 Year EUL</t>
  </si>
  <si>
    <t>Refrigeration RES 13 Year EUL</t>
  </si>
  <si>
    <t>Refrigeration RES 14 Year EUL</t>
  </si>
  <si>
    <t>Refrigeration RES 15 Year EUL</t>
  </si>
  <si>
    <t>Refrigeration RES 16 Year EUL</t>
  </si>
  <si>
    <t>Refrigeration RES 17 Year EUL</t>
  </si>
  <si>
    <t>Refrigeration RES 18 Year EUL</t>
  </si>
  <si>
    <t>Refrigeration RES 19 Year EUL</t>
  </si>
  <si>
    <t>Refrigeration RES 2 Year EUL</t>
  </si>
  <si>
    <t>Refrigeration RES 20 Year EUL</t>
  </si>
  <si>
    <t>Refrigeration RES 21 Year EUL</t>
  </si>
  <si>
    <t>Refrigeration RES 22 Year EUL</t>
  </si>
  <si>
    <t>Refrigeration RES 23 Year EUL</t>
  </si>
  <si>
    <t>Refrigeration RES 24 Year EUL</t>
  </si>
  <si>
    <t>Refrigeration RES 25 Year EUL</t>
  </si>
  <si>
    <t>Refrigeration RES 3 Year EUL</t>
  </si>
  <si>
    <t>Refrigeration RES 4 Year EUL</t>
  </si>
  <si>
    <t>Refrigeration RES 5 Year EUL</t>
  </si>
  <si>
    <t>Refrigeration RES 6 Year EUL</t>
  </si>
  <si>
    <t>Refrigeration RES 7 Year EUL</t>
  </si>
  <si>
    <t>Refrigeration RES 8 Year EUL</t>
  </si>
  <si>
    <t>Refrigeration RES 9 Year EUL</t>
  </si>
  <si>
    <t>Refrigeration RES ER2 11 Year EUL</t>
  </si>
  <si>
    <t>Ventilation BUS 1 Year EUL</t>
  </si>
  <si>
    <t>Ventilation BUS 10 Year EUL</t>
  </si>
  <si>
    <t>Ventilation BUS 11 Year EUL</t>
  </si>
  <si>
    <t>Ventilation BUS 12 Year EUL</t>
  </si>
  <si>
    <t>Ventilation BUS 13 Year EUL</t>
  </si>
  <si>
    <t>Ventilation BUS 14 Year EUL</t>
  </si>
  <si>
    <t>Ventilation BUS 15 Year EUL</t>
  </si>
  <si>
    <t>Ventilation BUS 16 Year EUL</t>
  </si>
  <si>
    <t>Ventilation BUS 17 Year EUL</t>
  </si>
  <si>
    <t>Ventilation BUS 18 Year EUL</t>
  </si>
  <si>
    <t>Ventilation BUS 19 Year EUL</t>
  </si>
  <si>
    <t>Ventilation BUS 2 Year EUL</t>
  </si>
  <si>
    <t>Ventilation BUS 20 Year EUL</t>
  </si>
  <si>
    <t>Ventilation BUS 21 Year EUL</t>
  </si>
  <si>
    <t>Ventilation BUS 22 Year EUL</t>
  </si>
  <si>
    <t>Ventilation BUS 23 Year EUL</t>
  </si>
  <si>
    <t>Ventilation BUS 24 Year EUL</t>
  </si>
  <si>
    <t>Ventilation BUS 25 Year EUL</t>
  </si>
  <si>
    <t>Ventilation BUS 26 Year EUL</t>
  </si>
  <si>
    <t>Ventilation BUS 27 Year EUL</t>
  </si>
  <si>
    <t>Ventilation BUS 28 Year EUL</t>
  </si>
  <si>
    <t>Ventilation BUS 29 Year EUL</t>
  </si>
  <si>
    <t>Ventilation BUS 3 Year EUL</t>
  </si>
  <si>
    <t>Ventilation BUS 30 Year EUL</t>
  </si>
  <si>
    <t>Ventilation BUS 4 Year EUL</t>
  </si>
  <si>
    <t>Ventilation BUS 5 Year EUL</t>
  </si>
  <si>
    <t>Ventilation BUS 6 Year EUL</t>
  </si>
  <si>
    <t>Ventilation BUS 7 Year EUL</t>
  </si>
  <si>
    <t>Ventilation BUS 8 Year EUL</t>
  </si>
  <si>
    <t>Ventilation BUS 9 Year EUL</t>
  </si>
  <si>
    <t>Water Heating BUS 1 Year EUL</t>
  </si>
  <si>
    <t>Water Heating BUS 10 Year EUL</t>
  </si>
  <si>
    <t>Water Heating BUS 11 Year EUL</t>
  </si>
  <si>
    <t>Water Heating BUS 12 Year EUL</t>
  </si>
  <si>
    <t>Water Heating BUS 13 Year EUL</t>
  </si>
  <si>
    <t>Water Heating BUS 14 Year EUL</t>
  </si>
  <si>
    <t>Water Heating BUS 15 Year EUL</t>
  </si>
  <si>
    <t>Water Heating BUS 16 Year EUL</t>
  </si>
  <si>
    <t>Water Heating BUS 17 Year EUL</t>
  </si>
  <si>
    <t>Water Heating BUS 18 Year EUL</t>
  </si>
  <si>
    <t>Water Heating BUS 19 Year EUL</t>
  </si>
  <si>
    <t>Water Heating BUS 2 Year EUL</t>
  </si>
  <si>
    <t>Water Heating BUS 20 Year EUL</t>
  </si>
  <si>
    <t>Water Heating BUS 21 Year EUL</t>
  </si>
  <si>
    <t>Water Heating BUS 22 Year EUL</t>
  </si>
  <si>
    <t>Water Heating BUS 23 Year EUL</t>
  </si>
  <si>
    <t>Water Heating BUS 24 Year EUL</t>
  </si>
  <si>
    <t>Water Heating BUS 25 Year EUL</t>
  </si>
  <si>
    <t>Water Heating BUS 26 Year EUL</t>
  </si>
  <si>
    <t>Water Heating BUS 27 Year EUL</t>
  </si>
  <si>
    <t>Water Heating BUS 28 Year EUL</t>
  </si>
  <si>
    <t>Water Heating BUS 29 Year EUL</t>
  </si>
  <si>
    <t>Water Heating BUS 3 Year EUL</t>
  </si>
  <si>
    <t>Water Heating BUS 30 Year EUL</t>
  </si>
  <si>
    <t>Water Heating BUS 4 Year EUL</t>
  </si>
  <si>
    <t>Water Heating BUS 5 Year EUL</t>
  </si>
  <si>
    <t>Water Heating BUS 6 Year EUL</t>
  </si>
  <si>
    <t>Water Heating BUS 7 Year EUL</t>
  </si>
  <si>
    <t>Water Heating BUS 8 Year EUL</t>
  </si>
  <si>
    <t>Water Heating BUS 9 Year EUL</t>
  </si>
  <si>
    <t>Water Heating RES 1 Year EUL</t>
  </si>
  <si>
    <t>Water Heating RES 10 Year EUL</t>
  </si>
  <si>
    <t>Water Heating RES 11 Year EUL</t>
  </si>
  <si>
    <t>Water Heating RES 12 Year EUL</t>
  </si>
  <si>
    <t>Water Heating RES 13 Year EUL</t>
  </si>
  <si>
    <t>Water Heating RES 14 Year EUL</t>
  </si>
  <si>
    <t>Water Heating RES 15 Year EUL</t>
  </si>
  <si>
    <t>Water Heating RES 16 Year EUL</t>
  </si>
  <si>
    <t>Water Heating RES 17 Year EUL</t>
  </si>
  <si>
    <t>Water Heating RES 18 Year EUL</t>
  </si>
  <si>
    <t>Water Heating RES 19 Year EUL</t>
  </si>
  <si>
    <t>Water Heating RES 2 Year EUL</t>
  </si>
  <si>
    <t>Water Heating RES 20 Year EUL</t>
  </si>
  <si>
    <t>Water Heating RES 21 Year EUL</t>
  </si>
  <si>
    <t>Water Heating RES 22 Year EUL</t>
  </si>
  <si>
    <t>Water Heating RES 23 Year EUL</t>
  </si>
  <si>
    <t>Water Heating RES 24 Year EUL</t>
  </si>
  <si>
    <t>Water Heating RES 25 Year EUL</t>
  </si>
  <si>
    <t>Water Heating RES 3 Year EUL</t>
  </si>
  <si>
    <t>Water Heating RES 4 Year EUL</t>
  </si>
  <si>
    <t>Water Heating RES 5 Year EUL</t>
  </si>
  <si>
    <t>Water Heating RES 6 Year EUL</t>
  </si>
  <si>
    <t>Water Heating RES 7 Year EUL</t>
  </si>
  <si>
    <t>Water Heating RES 8 Year EUL</t>
  </si>
  <si>
    <t>Water Heating RES 9 Year EUL</t>
  </si>
  <si>
    <t>Appliances RES</t>
  </si>
  <si>
    <t>Clothes Dryer RES</t>
  </si>
  <si>
    <t>Clothes Washer RES</t>
  </si>
  <si>
    <t>Color TV RES</t>
  </si>
  <si>
    <t>Cooking RES</t>
  </si>
  <si>
    <t>Dishwasher RES</t>
  </si>
  <si>
    <t>Freezer RES ER2</t>
  </si>
  <si>
    <t>BUSINESS</t>
  </si>
  <si>
    <t>Building Shell BUS</t>
  </si>
  <si>
    <t>Process BUS</t>
  </si>
  <si>
    <t xml:space="preserve">The below index is a summary of all measures within the deemed savings tables.  It serves as a lookup table linked directly to the official records within the deemed savings tables and summarizes measure attributes in a single row for each measure ID.  </t>
  </si>
  <si>
    <t>Measure Name</t>
  </si>
  <si>
    <t>Total 1st year kWh per measure</t>
  </si>
  <si>
    <t>Total last year kWh per measure</t>
  </si>
  <si>
    <t>KWh per Measure</t>
  </si>
  <si>
    <t>Total 1st year kW per measure</t>
  </si>
  <si>
    <t>Total last year kW per measure</t>
  </si>
  <si>
    <t>KW per Measure</t>
  </si>
  <si>
    <t>0-9 EUL (EO) KW</t>
  </si>
  <si>
    <t>10-14 EUL (EO) KW</t>
  </si>
  <si>
    <t>15+ EUL (EO) KW</t>
  </si>
  <si>
    <t>TRC</t>
  </si>
  <si>
    <t>2020 ER1 Total Benefits (2019 $)</t>
  </si>
  <si>
    <t>2020 ER2 Total Benefits (2019 $)</t>
  </si>
  <si>
    <t>PY2020 ER1 Benefits (2019 $)</t>
  </si>
  <si>
    <t>PY2020 ER2 Benefits (2019 $)</t>
  </si>
  <si>
    <t>added on 3-24-2020</t>
  </si>
  <si>
    <t xml:space="preserve">ER1 </t>
  </si>
  <si>
    <t>ER2</t>
  </si>
  <si>
    <t>ER1 Cooling</t>
  </si>
  <si>
    <t>ER1 Heating</t>
  </si>
  <si>
    <t>ER2 Cooling</t>
  </si>
  <si>
    <t>ER2 Heating</t>
  </si>
  <si>
    <t>KW_ER1</t>
  </si>
  <si>
    <t>KW_ER2</t>
  </si>
  <si>
    <t>ER1</t>
  </si>
  <si>
    <t>Total EUL</t>
  </si>
  <si>
    <t>Tons/unit</t>
  </si>
  <si>
    <t xml:space="preserve">Delete - check </t>
  </si>
  <si>
    <t>Formula error in Nov 2019 TRM update (correct with next TRM update opportunity)</t>
  </si>
  <si>
    <t>Savings includes some heating that is not counted in C/E/Benefits here</t>
  </si>
  <si>
    <t>variable</t>
  </si>
  <si>
    <t>350050_2019_12_</t>
  </si>
  <si>
    <t>450050_2020_12_</t>
  </si>
  <si>
    <t>250100_2019_12_</t>
  </si>
  <si>
    <t>350100_2019_12_</t>
  </si>
  <si>
    <t>250101_2019_12_</t>
  </si>
  <si>
    <t>300060_2020_12_</t>
  </si>
  <si>
    <t>350150_2019_12_</t>
  </si>
  <si>
    <t>250102_2019_12_</t>
  </si>
  <si>
    <t>350175_2019_12_</t>
  </si>
  <si>
    <t>250150_2019_12_</t>
  </si>
  <si>
    <t>350200_2019_12_</t>
  </si>
  <si>
    <t>250151_2019_12_</t>
  </si>
  <si>
    <t>350250_2019_12_</t>
  </si>
  <si>
    <t>250250_2019_12_</t>
  </si>
  <si>
    <t>350300_2019_12_</t>
  </si>
  <si>
    <t>250350_2019_12_</t>
  </si>
  <si>
    <t>350350_2019_12_</t>
  </si>
  <si>
    <t>200401_2020_11_</t>
  </si>
  <si>
    <t>250351_2019_12_</t>
  </si>
  <si>
    <t>350400_2019_12_</t>
  </si>
  <si>
    <t>200402_2020_11_</t>
  </si>
  <si>
    <t>250352_2019_12_</t>
  </si>
  <si>
    <t>350450_2019_12_</t>
  </si>
  <si>
    <t>250450_2019_12_</t>
  </si>
  <si>
    <t>350500_2019_12_</t>
  </si>
  <si>
    <t>250451_2019_12_</t>
  </si>
  <si>
    <t>350501_2019_12_</t>
  </si>
  <si>
    <t>250452_2019_12_</t>
  </si>
  <si>
    <t>350550_2019_12_</t>
  </si>
  <si>
    <t>250500_2019_12_</t>
  </si>
  <si>
    <t>350551_2019_12_</t>
  </si>
  <si>
    <t>250550_2019_12_</t>
  </si>
  <si>
    <t>350600_2019_12_</t>
  </si>
  <si>
    <t>350650_2019_12_</t>
  </si>
  <si>
    <t>350700_2019_12_</t>
  </si>
  <si>
    <t>350701_2019_12_</t>
  </si>
  <si>
    <t>350750_2019_12_</t>
  </si>
  <si>
    <t>350751_2019_12_</t>
  </si>
  <si>
    <t>350800_2019_12_</t>
  </si>
  <si>
    <t>500800_2019_12_</t>
  </si>
  <si>
    <t>350850_2019_12_</t>
  </si>
  <si>
    <t>350900_2019_12_</t>
  </si>
  <si>
    <t>350901_2019_12_</t>
  </si>
  <si>
    <t>350950_2019_12_</t>
  </si>
  <si>
    <t>350951_2019_12_</t>
  </si>
  <si>
    <t>351000_2019_12_</t>
  </si>
  <si>
    <t>300701_2020_12_</t>
  </si>
  <si>
    <t>351050_2019_12_</t>
  </si>
  <si>
    <t>351100_2019_12_</t>
  </si>
  <si>
    <t>351101_2019_12_</t>
  </si>
  <si>
    <t>351150_2019_12_</t>
  </si>
  <si>
    <t>351151_2019_12_</t>
  </si>
  <si>
    <t>351160_2020_02_</t>
  </si>
  <si>
    <t>351161_2020_02_</t>
  </si>
  <si>
    <t>351162_2020_02_</t>
  </si>
  <si>
    <t>351163_2020_02_</t>
  </si>
  <si>
    <t>351164_2020_02_</t>
  </si>
  <si>
    <t>501450_2019_12_</t>
  </si>
  <si>
    <t>351165_2020_02_</t>
  </si>
  <si>
    <t>501500_2019_12_</t>
  </si>
  <si>
    <t>351170_2020_02_</t>
  </si>
  <si>
    <t>501550_2019_12_</t>
  </si>
  <si>
    <t>351171_2020_02_</t>
  </si>
  <si>
    <t>501600_2019_12_</t>
  </si>
  <si>
    <t>351172_2020_02_</t>
  </si>
  <si>
    <t>301149_2020_12_</t>
  </si>
  <si>
    <t>351173_2020_02_</t>
  </si>
  <si>
    <t>301150_2020_12_</t>
  </si>
  <si>
    <t>351174_2020_02_</t>
  </si>
  <si>
    <t>351175_2020_02_</t>
  </si>
  <si>
    <t>351180_2020_02_</t>
  </si>
  <si>
    <t>351181_2020_02_</t>
  </si>
  <si>
    <t>351182_2020_02_</t>
  </si>
  <si>
    <t>351183_2020_02_</t>
  </si>
  <si>
    <t>351184_2020_02_</t>
  </si>
  <si>
    <t>351185_2020_02_</t>
  </si>
  <si>
    <t>351190_2020_02_</t>
  </si>
  <si>
    <t>351191_2020_02_</t>
  </si>
  <si>
    <t>351192_2020_02_</t>
  </si>
  <si>
    <t>351193_2020_02_</t>
  </si>
  <si>
    <t>351194_2020_02_</t>
  </si>
  <si>
    <t>351195_2020_02_</t>
  </si>
  <si>
    <t>351200_2019_12_</t>
  </si>
  <si>
    <t>351250_2019_12_</t>
  </si>
  <si>
    <t>351300_2019_12_</t>
  </si>
  <si>
    <t>351350_2019_12_</t>
  </si>
  <si>
    <t>351400_2019_12_</t>
  </si>
  <si>
    <t>351450_2019_12_</t>
  </si>
  <si>
    <t>351500_2019_12_</t>
  </si>
  <si>
    <t>402451_2019_12_</t>
  </si>
  <si>
    <t>351550_2019_12_</t>
  </si>
  <si>
    <t>351551_2019_12_</t>
  </si>
  <si>
    <t>402453_2020_12_</t>
  </si>
  <si>
    <t>351600_2019_12_</t>
  </si>
  <si>
    <t>351601_2019_12_</t>
  </si>
  <si>
    <t>402501_2019_12_</t>
  </si>
  <si>
    <t>351650_2019_12_</t>
  </si>
  <si>
    <t>402550_2019_12_</t>
  </si>
  <si>
    <t>351651_2019_12_</t>
  </si>
  <si>
    <t>402600_2019_12_</t>
  </si>
  <si>
    <t>351700_2019_12_</t>
  </si>
  <si>
    <t>402650_2019_12_</t>
  </si>
  <si>
    <t>351701_2019_12_</t>
  </si>
  <si>
    <t>402700_2019_12_</t>
  </si>
  <si>
    <t>351750_2019_12_</t>
  </si>
  <si>
    <t>402750_2019_12_</t>
  </si>
  <si>
    <t>351751_2019_12_</t>
  </si>
  <si>
    <t>402800_2019_12_</t>
  </si>
  <si>
    <t>351800_2019_12_</t>
  </si>
  <si>
    <t>402850_2019_12_</t>
  </si>
  <si>
    <t>351801_2019_12_</t>
  </si>
  <si>
    <t>402900_2019_12_</t>
  </si>
  <si>
    <t>351850_2019_12_</t>
  </si>
  <si>
    <t>351851_2019_12_</t>
  </si>
  <si>
    <t>352050_2019_12_</t>
  </si>
  <si>
    <t>352100_2019_12_</t>
  </si>
  <si>
    <t>352200_2019_12_</t>
  </si>
  <si>
    <t>352250_2019_12_</t>
  </si>
  <si>
    <t>403351_2020_11_</t>
  </si>
  <si>
    <t>403500_2019_12_</t>
  </si>
  <si>
    <t>403550_2019_12_</t>
  </si>
  <si>
    <t>403551_2019_12_</t>
  </si>
  <si>
    <t>403600_2019_12_</t>
  </si>
  <si>
    <t>403601_2019_12_</t>
  </si>
  <si>
    <t>404651_2020_11_</t>
  </si>
  <si>
    <t>405251_2020_11_</t>
  </si>
  <si>
    <t>405450_2019_12_</t>
  </si>
  <si>
    <t>405451_2020_12_</t>
  </si>
  <si>
    <t>405550_2019_12_</t>
  </si>
  <si>
    <t>405551_2020_12_</t>
  </si>
  <si>
    <t>405650_2019_12_</t>
  </si>
  <si>
    <t>405651_2020_12_</t>
  </si>
  <si>
    <t>405850_2019_12_</t>
  </si>
  <si>
    <t>405900_2019_12_</t>
  </si>
  <si>
    <t>405950_2019_12_</t>
  </si>
  <si>
    <t>406000_2019_12_</t>
  </si>
  <si>
    <t>405851_2019_12_</t>
  </si>
  <si>
    <t>405901_2019_12_</t>
  </si>
  <si>
    <t>405951_2019_12_</t>
  </si>
  <si>
    <t>406001_2019_12_</t>
  </si>
  <si>
    <t>405852_2019_12_</t>
  </si>
  <si>
    <t>405902_2019_12_</t>
  </si>
  <si>
    <t>405952_2019_12_</t>
  </si>
  <si>
    <t>406002_2019_12_</t>
  </si>
  <si>
    <t>405853_2019_12_</t>
  </si>
  <si>
    <t>405903_2019_12_</t>
  </si>
  <si>
    <t>405953_2019_12_</t>
  </si>
  <si>
    <t>406003_2019_12_</t>
  </si>
  <si>
    <t>405854_2019_12_</t>
  </si>
  <si>
    <t>405904_2019_12_</t>
  </si>
  <si>
    <t>405954_2019_12_</t>
  </si>
  <si>
    <t>406004_2019_12_</t>
  </si>
  <si>
    <t>405855_2019_12_</t>
  </si>
  <si>
    <t>405905_2019_12_</t>
  </si>
  <si>
    <t>405955_2019_12_</t>
  </si>
  <si>
    <t>406005_2019_12_</t>
  </si>
  <si>
    <t>Modifications  to Deemed Savings Tables revision 3.1 on 02/06/2020</t>
  </si>
  <si>
    <t>#</t>
  </si>
  <si>
    <t>Deemed Table</t>
  </si>
  <si>
    <t>Update Type</t>
  </si>
  <si>
    <t>Cell Reference</t>
  </si>
  <si>
    <t>Efficient Kits</t>
  </si>
  <si>
    <t>Clean up Item</t>
  </si>
  <si>
    <t>C45</t>
  </si>
  <si>
    <t>Update measure ID to show "2019_12" rather than "2018_12"</t>
  </si>
  <si>
    <t>Update</t>
  </si>
  <si>
    <t>C-146 to C181</t>
  </si>
  <si>
    <t>Add higher SEER CAC Measures with existing inputs.</t>
  </si>
  <si>
    <t>BB777, BB796, BB797</t>
  </si>
  <si>
    <t>Update equation to calculate TRC for these rows</t>
  </si>
  <si>
    <t>I1416-I1643</t>
  </si>
  <si>
    <t>27  Multifamily comprehensive envelope ASHP measures included the same KW value as the similiare non comprehensive measure.  Corrected formulas here to multiply the kWh by the CP factor.   Impacted measures have not yet been implemented in programs.</t>
  </si>
  <si>
    <t>Income Eligible</t>
  </si>
  <si>
    <t>BC438, BC439</t>
  </si>
  <si>
    <t>C440-C442</t>
  </si>
  <si>
    <t>Add Floor Insulation measure with R-13 baseline insulation in addition to existing measures which had no insulation for a baseline.</t>
  </si>
  <si>
    <t>C666,C667</t>
  </si>
  <si>
    <t>Update measure ID to show "43301" rather than "43300" as it is duplicate of the measure before it.</t>
  </si>
  <si>
    <t>C40-49 &amp; C160,161</t>
  </si>
  <si>
    <t>BC188-189</t>
  </si>
  <si>
    <t>Savings per household (kWh)</t>
  </si>
  <si>
    <t>[2] EUL is 5.0 years; however, the annual energy savings are estimated to decline each year over the 5-year lifetime. The table below shows the estimated annual savings for each year in the measure life.</t>
  </si>
  <si>
    <t>Variable Speed Pool Pump - ER</t>
  </si>
  <si>
    <t>502400_2021_12_</t>
  </si>
  <si>
    <t>502401_2021_12_</t>
  </si>
  <si>
    <t>355001_2021_12_</t>
  </si>
  <si>
    <t>800980_2021_12</t>
  </si>
  <si>
    <t>LED Lighting Redesign</t>
  </si>
  <si>
    <t>per project</t>
  </si>
  <si>
    <t>EMV Adjustment (ADJ_EMV)</t>
  </si>
  <si>
    <t xml:space="preserve">EMV Adjustment Factor for Lighting Measures </t>
  </si>
  <si>
    <t>Program</t>
  </si>
  <si>
    <t>ΔWatts Adjustment</t>
  </si>
  <si>
    <t>HOU Adjustment</t>
  </si>
  <si>
    <t>Total EMV Adjustment</t>
  </si>
  <si>
    <t>Weight</t>
  </si>
  <si>
    <t>Standard</t>
  </si>
  <si>
    <t>SBDI</t>
  </si>
  <si>
    <t>BSS</t>
  </si>
  <si>
    <t>Weighted Average EM&amp;V Adjustment</t>
  </si>
  <si>
    <t>LED Replacting Interior T8 Fluorescent (Type C)</t>
  </si>
  <si>
    <t>LED Replacing Interior T5 Fluorescent (Type C)</t>
  </si>
  <si>
    <t>LED Replacing Interior T12 Fluorescent (Type C)</t>
  </si>
  <si>
    <t>Lighting - Lighting Power Density (LPD)</t>
  </si>
  <si>
    <t>800990_2021_12</t>
  </si>
  <si>
    <t>Lighting Power Density</t>
  </si>
  <si>
    <t>per sqft</t>
  </si>
  <si>
    <t>WSFbase (W/ft^2)</t>
  </si>
  <si>
    <t>WSFee  (W/ft^2)</t>
  </si>
  <si>
    <t>803810_2021_12_</t>
  </si>
  <si>
    <t>Water Cooled Chiller</t>
  </si>
  <si>
    <t>IPLV_base: AC Chiller Baseline IPLV assumes the 12.5 EER Minimum Requirement for &lt; 150 ton unit in IECC 2009/2012; WC Chiller Baseline IPLV assumes the 0.58 kW/ton Minimum Requirement for 150-300 ton WC Chiller in IECC 2009/2012</t>
  </si>
  <si>
    <t>IPLV_ee: WC Chiller Baseline IPLV assumes 20% improvement in chiller efficiency compared to baseline</t>
  </si>
  <si>
    <t>WSFbase</t>
  </si>
  <si>
    <t>Note: ASHPs replacing non-electric heating are eligible for cooling savings only.</t>
  </si>
  <si>
    <t>351160_2021_12_</t>
  </si>
  <si>
    <t>351161_2021_12_</t>
  </si>
  <si>
    <t>351162_2021_12_</t>
  </si>
  <si>
    <t>351163_2021_12_</t>
  </si>
  <si>
    <t>351164_2021_12_</t>
  </si>
  <si>
    <t>351165_2021_12_</t>
  </si>
  <si>
    <t>351170_2021_12_</t>
  </si>
  <si>
    <t>351171_2021_12_</t>
  </si>
  <si>
    <t>351172_2021_12_</t>
  </si>
  <si>
    <t>351173_2021_12_</t>
  </si>
  <si>
    <t>351174_2021_12_</t>
  </si>
  <si>
    <t>351175_2021_12_</t>
  </si>
  <si>
    <t>351180_2021_12_</t>
  </si>
  <si>
    <t>351181_2021_12_</t>
  </si>
  <si>
    <t>351182_2021_12_</t>
  </si>
  <si>
    <t>351183_2021_12_</t>
  </si>
  <si>
    <t>351184_2021_12_</t>
  </si>
  <si>
    <t>351185_2021_12_</t>
  </si>
  <si>
    <t>351190_2021_12_</t>
  </si>
  <si>
    <t>351191_2021_12_</t>
  </si>
  <si>
    <t>351192_2021_12_</t>
  </si>
  <si>
    <t>351193_2021_12_</t>
  </si>
  <si>
    <t>351194_2021_12_</t>
  </si>
  <si>
    <t>351195_2021_12_</t>
  </si>
  <si>
    <t>End Use may be "HVAC RES" for optimization routines that save energy during the cooling and heating seasons, or "Cooling RES" for optimization routines that save energy only during the cooling season.</t>
  </si>
  <si>
    <t>Demand Response Advanced Thermostat - without Program-Driven Optimization</t>
  </si>
  <si>
    <t>352801_2021_12_</t>
  </si>
  <si>
    <t>Packaged Service</t>
  </si>
  <si>
    <t>AC Tune-up / Packaged Service SF</t>
  </si>
  <si>
    <t>AC Tune-up / Packaged Service MF</t>
  </si>
  <si>
    <t>Btu / kBtu</t>
  </si>
  <si>
    <t>Btu / lBtu</t>
  </si>
  <si>
    <t>HP tune-up / Packaged Service SF</t>
  </si>
  <si>
    <t>HP tune-up / Packaged Service MF</t>
  </si>
  <si>
    <t>HP tune-up / Packaged Service MF_CompE</t>
  </si>
  <si>
    <t>LED Replacting Interior T8 Fluorescent (Type B, Kits, and Fixtures)</t>
  </si>
  <si>
    <t xml:space="preserve">LED Replacing Interior T12 Fluorescent (Type B, Kits, and Fixtures) </t>
  </si>
  <si>
    <t>Demand Controlled Ventilation</t>
  </si>
  <si>
    <t xml:space="preserve">WSFee </t>
  </si>
  <si>
    <t>Average capacity for SF multiplied by 0.65</t>
  </si>
  <si>
    <t>Based on 13.6% average improvement from 75 PY2019 MFIE packaged tune-up measures.</t>
  </si>
  <si>
    <t xml:space="preserve">Packaged Service </t>
  </si>
  <si>
    <t>Matched to value for MFIE</t>
  </si>
  <si>
    <t>HP Tune-up</t>
  </si>
  <si>
    <t>Heating Seasonal Performance Factor after tuning (kBtu/kWh)</t>
  </si>
  <si>
    <t>Matched to cooling capacity value</t>
  </si>
  <si>
    <t>Assuming:  EER = (-0.02 * SEER2) + (1.12 * SEER), 
this SEER value is based on test-in efficiency of 10.5 EER, as listed in “Ameren Missouri Heating and Cooling Program Impact and Process Evaluation: Program Year 2015.”
Matches MO TRM.  Measure not found in Cadmus Heating and Cooling EM&amp;V</t>
  </si>
  <si>
    <t>Source and Notes</t>
  </si>
  <si>
    <t>%improvement</t>
  </si>
  <si>
    <t>General Tune-Up (no charge or coil clean)</t>
  </si>
  <si>
    <t>AC Tune-up / refrigerant charge</t>
  </si>
  <si>
    <t>Indoor Coil (Evaporator) Cleaning</t>
  </si>
  <si>
    <t>Outdoor Coil (Condenser) Cleaning</t>
  </si>
  <si>
    <t>ENERGY STAR® Pool Pump Calculator, cost for a variable speed pool pump.</t>
  </si>
  <si>
    <t>ENERGY STAR® Pool Pump Calculator, using variable speed pool pump costs.</t>
  </si>
  <si>
    <t>As advanced thermostats mature, some models include embedded optimization routines that achieve energy savings. The program differentiates between thermostats with “program-driven optimization,” which achieve savings through program influence to operate optional optimization, and without “program-driven optimization,” which achieve no energy savings due to either the default optimization baseline or no optimization routine employed.</t>
  </si>
  <si>
    <t>Estimate of avearge packaged service tune-up costs provided by implementer using 2014-2016 tune-up data.</t>
  </si>
  <si>
    <t>500210_2021_12</t>
  </si>
  <si>
    <t>500211_2021_12</t>
  </si>
  <si>
    <t>400410_2021_12</t>
  </si>
  <si>
    <t>400411_2021_12</t>
  </si>
  <si>
    <t>400412_2021_12</t>
  </si>
  <si>
    <t>403310_2021_12</t>
  </si>
  <si>
    <t>403311_2021_12</t>
  </si>
  <si>
    <t>403312_2021_12</t>
  </si>
  <si>
    <t>500230_2021_12</t>
  </si>
  <si>
    <t>500231_2021_12</t>
  </si>
  <si>
    <t>AC Tune-up / Packaged Service / MFMR</t>
  </si>
  <si>
    <t>AC Tune-up / Packaged Service / MFMR_CompE</t>
  </si>
  <si>
    <t>HP Tune-up / Packaged Service / MFMR</t>
  </si>
  <si>
    <t xml:space="preserve">HP Tune-up / Packaged Service / MFMR_CompE </t>
  </si>
  <si>
    <t xml:space="preserve">HP Tune-up / Packaged Service / MFMR_CompE  </t>
  </si>
  <si>
    <t>800802_2021_12_</t>
  </si>
  <si>
    <t>800852_2021_12_</t>
  </si>
  <si>
    <t>800902_2021_12_</t>
  </si>
  <si>
    <t>405430_2021_12_</t>
  </si>
  <si>
    <t>300430_2021_12_</t>
  </si>
  <si>
    <t>201130_2021_12_</t>
  </si>
  <si>
    <t>AC Tune-up / Packaged Service MF_CompE</t>
  </si>
  <si>
    <t>* Note all current TRM redlines are NOT indicated on this tab, primarily new measures added and Measure ID's that have changed for various reasons are redlined here.</t>
  </si>
  <si>
    <t>RESIDENTIAL MULTI-FAMILY MARKET RATE</t>
  </si>
  <si>
    <t xml:space="preserve">EUL estimated based on the ratio of average equipment lifetime specifications to the estimated annual operating hours. EULs of 19 years for residential is based on average rated lifetime for 2021 progrmaprogram measures (through 8/3/2021) divided by 995 hours for residential settings. </t>
  </si>
  <si>
    <t>EUL estimated based on 
the ratio of average equipment lifetime specifications to the estimated annual operating hours. EUL of 6 years for non-residential are based on average rated lifetime for 2021 program measures (through 8/3/2021) divided by 3,351 for non-residential settings.</t>
  </si>
  <si>
    <t>Ameren Missouri HVAC Evaluation PY2020 (Table 28)</t>
  </si>
  <si>
    <t>High Efficiency Pool Pumps</t>
  </si>
  <si>
    <t>ENERGY STAR VFDs on Residential Swimming Pool Pumps - ROF</t>
  </si>
  <si>
    <t>*retained strikethough on this measure in gray font to retain historical record of inputs and calculations</t>
  </si>
  <si>
    <t>Dirty Filter Alarm_SF - IE Kits</t>
  </si>
  <si>
    <t>Dirty Filter Alarm_SF:IE Kits</t>
  </si>
  <si>
    <t>LED - 10W (Halogen baseline) (750-1049 lumens) - IE Kit</t>
  </si>
  <si>
    <t>LED 8W Globe Light G25 Bulb (Halogen Baseline) - IE Kit</t>
  </si>
  <si>
    <t>LED 20W (Halogen baseline) (1490-2600 lumens) - IE Kit</t>
  </si>
  <si>
    <t>LED 15W Flood Light PAR30 Bulb (Halogen Baseline) - IE Kit</t>
  </si>
  <si>
    <t>IE Kits</t>
  </si>
  <si>
    <t>Kit Faucet Aerator (Kitchen) - SFIE Kits</t>
  </si>
  <si>
    <t>SFIE Kits</t>
  </si>
  <si>
    <t>Non-SFIE Kits</t>
  </si>
  <si>
    <t>Low Flow Showerheads - SFIE Kits</t>
  </si>
  <si>
    <t>Pipe Insulation - SFIE Kits</t>
  </si>
  <si>
    <t>Advanced Tier 2 Power Strips - SFIE Kits - Unknown Location</t>
  </si>
  <si>
    <t>Note: As part of the Code of Federal Regulations, energy conservation standards for covered residential furnace fans became effective on July 3, 2019 (10 CFR 430.32(y)). This code requirement effectively makes ECMs part of the baseline for New Construction (NC), Replace-on-Fail (ROF), Time-of-Replacement (TOS), and Early Replacement (EREP) scenarios. Savings are only allowable for EREP measures, for the remaining useful life of the existing equipment (ER1, 6 years). Therefore, the EUL of the measure is assumed to be 6 years. (ER1 = 6, ER2 = 0).</t>
  </si>
  <si>
    <t>Ameren Missouri HVAC PY2020 Evaluation (Table 28)</t>
  </si>
  <si>
    <t>Match similar unit.</t>
  </si>
  <si>
    <t>Ameren Missouri HVAC Program Evaluation PY2020 (Table 28)</t>
  </si>
  <si>
    <t>Mini/Multi-Split Heat Pumps and Air Conditioners</t>
  </si>
  <si>
    <t>HVAC Ameren Missouri HVAC Program Evaluation PY2020 (Table 28)</t>
  </si>
  <si>
    <t>Ameren Missouri PY2020 Program Data</t>
  </si>
  <si>
    <t xml:space="preserve">*MFIEc = Multifamily Income Eligible Comprehensive Envelope,  CompE = Comprehensive Envelope </t>
  </si>
  <si>
    <t>Air Sealing (Infiltration reduction) - 30% MF IE DI electric furnace base</t>
  </si>
  <si>
    <t>Air Sealing (Infiltration reduction) - 30% MF IE DI heat pump base</t>
  </si>
  <si>
    <t>Air Sealing (Infiltration reduction) - 30% SF IE DI electric furnace base</t>
  </si>
  <si>
    <t>Air Sealing (Infiltration reduction) - 30% SF IE DI Gas furnace base</t>
  </si>
  <si>
    <t>Air Sealing (Infiltration reduction) - 30% SF IE DI heat pump base</t>
  </si>
  <si>
    <t>MH Adjusted Air Sealing (Infiltration reduction) - 30% SF IE DI electric furnace base</t>
  </si>
  <si>
    <t>MH Adjusted Air Sealing (Infiltration reduction) - 30% SF IE DI heat pump base</t>
  </si>
  <si>
    <t>MH Adjusted Air Sealing (Infiltration reduction) - 30% SF IE DI gas furnace base</t>
  </si>
  <si>
    <t>Ceiling Insulation R11-R49 MF IE DI electric furnace base</t>
  </si>
  <si>
    <t>Ceiling Insulation R11-R49 MF IE DI heat pump base</t>
  </si>
  <si>
    <t>Ceiling Insulation R11-R49 MF IE DI gas heat electric cool base</t>
  </si>
  <si>
    <t>Ceiling Insulation R11-R49 SF IE DI electric furnace base</t>
  </si>
  <si>
    <t>Ceiling Insulation R11-R49 SF IE DI heat pump base</t>
  </si>
  <si>
    <t>Ceiling Insulation R11-R49 SF IE DI gas heat electric cool base</t>
  </si>
  <si>
    <t>Ceiling Insulation R5-R30 MF IE DI electric furnace base</t>
  </si>
  <si>
    <t>Ceiling Insulation R5-R30 MF IE DI heat pump base</t>
  </si>
  <si>
    <t>Ceiling Insulation R5-R30 MF IE DI gas heat electric cool base</t>
  </si>
  <si>
    <t>Ceiling Insulation R5-R30 SF IE DI electric furnace base</t>
  </si>
  <si>
    <t>Ceiling Insulation R5-R30 SF IE DI heat pump base</t>
  </si>
  <si>
    <t>Ceiling Insulation R5-R30 SF IE DI gas heat electric cool base</t>
  </si>
  <si>
    <t>Ceiling Insulation R5-R38 MF IE DI electric furnace base</t>
  </si>
  <si>
    <t>Ceiling Insulation R5-R38 MF IE DI heat pump base</t>
  </si>
  <si>
    <t>Ceiling Insulation R5-R38 MF IE DI gas heat electric cool base</t>
  </si>
  <si>
    <t>Ceiling Insulation R5-R38 SF IE DI electric furnace base</t>
  </si>
  <si>
    <t>Ceiling Insulation R5-R38 SF IE DI heat pump base</t>
  </si>
  <si>
    <t>Ceiling Insulation R5-R38 SF IE DI gas heat electric cool base</t>
  </si>
  <si>
    <t>Ceiling Insulation R5-R49 MF IE DI electric furnace base</t>
  </si>
  <si>
    <t>Ceiling Insulation R5-R49 MF IE DI heat pump base</t>
  </si>
  <si>
    <t>Ceiling Insulation R5-R49 MF IE DI gas heat electric cool base</t>
  </si>
  <si>
    <t>Ceiling Insulation R5-R49 SF IE DI electric furnace base</t>
  </si>
  <si>
    <t>Ceiling Insulation R5-R49 SF IE DI heat pump base</t>
  </si>
  <si>
    <t>Ceiling Insulation R5-R49 SF IE DI gas heat electric cool base</t>
  </si>
  <si>
    <t>Ceiling Insulation R5-R60 MF IE DI electric furnace base</t>
  </si>
  <si>
    <t>Ceiling Insulation R5-R60 MF IE DI heat pump base</t>
  </si>
  <si>
    <t>Ceiling Insulation R5-R60 MF IE DI gas heat electric cool base</t>
  </si>
  <si>
    <t>Ceiling Insulation R5-R60 SF IE DI electric furnace base</t>
  </si>
  <si>
    <t>Ceiling Insulation R5-R60 SF IE DI heat pump base</t>
  </si>
  <si>
    <t>Ceiling Insulation R5-R60 SF IE DI gas heat electric cool base</t>
  </si>
  <si>
    <t>Dirty Filter Alarm_MFIE</t>
  </si>
  <si>
    <t>Low Flow Bathroom Faucet Aerator MFIE</t>
  </si>
  <si>
    <t>Low Flow Bathroom Faucet Aerator SFIE</t>
  </si>
  <si>
    <t>MFIE DI</t>
  </si>
  <si>
    <t>Low Flow Bathroom Faucet Aerator MFIE DI</t>
  </si>
  <si>
    <t>SFIE DI</t>
  </si>
  <si>
    <t>Low Flow Bathroom Faucet Aerator SFIE DI</t>
  </si>
  <si>
    <t>Low Flow Kitchen Faucet Aerator MFIE</t>
  </si>
  <si>
    <t>Low Flow Kitchen Faucet Aerator SFIE</t>
  </si>
  <si>
    <t>Low Flow Kitchen Faucet Aerator MFIE DI</t>
  </si>
  <si>
    <t>Low Flow Kitchen Faucet Aerator SFIE DI</t>
  </si>
  <si>
    <t>Low Flow Showerhead MFIE</t>
  </si>
  <si>
    <t>Low Flow Showerhead MFIE DI</t>
  </si>
  <si>
    <t>Low Flow Handheld Showerhead MFIE DI</t>
  </si>
  <si>
    <t>Low Flow Showerhead SFIE DI</t>
  </si>
  <si>
    <t>Low Flow Handheld Showerhead SFIE DI</t>
  </si>
  <si>
    <t>Pipe Insulation MFIE</t>
  </si>
  <si>
    <t>Pipe Insulation MFIE DI</t>
  </si>
  <si>
    <t>Pipe Insulation SFIE DI</t>
  </si>
  <si>
    <t>Shower Start 1.5 gpm electric water heater SFIE DI</t>
  </si>
  <si>
    <t>Shower Start 1.5 gpm electric water heater MFIE DI</t>
  </si>
  <si>
    <t>Water Heater Wrap SFIE</t>
  </si>
  <si>
    <t>LED - 10.5W Downlight E26 (EISA baseline) IE DI</t>
  </si>
  <si>
    <t>LED - 10W (Halogen baseline) (750-1049 lumens) IEDI</t>
  </si>
  <si>
    <t>LED - 12W (Halogen baseline) IE DI</t>
  </si>
  <si>
    <t>LED - 12W Dimmable Light Bulb (Replacing Specialty Incandescent) IE DI</t>
  </si>
  <si>
    <t>LED - 15W (Halogen baseline) (1050-1489 lumens) IEDI</t>
  </si>
  <si>
    <t>LED - 11W Flood Light BR30 Bulb (Halogen baseline) IE DI</t>
  </si>
  <si>
    <t>LED - 15W Flood Light PAR30 Bulb (Halogen baseline) IE DI</t>
  </si>
  <si>
    <t>LED - 18W Flood Light PAR38 Bulb (Halogen baseline) IE DI</t>
  </si>
  <si>
    <t>LED - 20W (Halogen baseline) (1490-2600 lumens) IEDI</t>
  </si>
  <si>
    <t>LED - 4W Candelabra (Replacing Specialty Incandescent) IE DI</t>
  </si>
  <si>
    <t>LED - 4W Candelabra (CFL baseline) IEDI</t>
  </si>
  <si>
    <t>LED - 8W Globe Light G25 Bulb (Replacing Specialty Incandescent) IE DI</t>
  </si>
  <si>
    <t>LED - 8W Globe Light G25 Bulb (Replacing CFL) IEDI</t>
  </si>
  <si>
    <t>LED - 10W (CFL baseline) (750-1049 lumens) IEDI</t>
  </si>
  <si>
    <t>LED - 10.5W Downlight E26 (CFL baseline) IEDI</t>
  </si>
  <si>
    <t>LED - 12W Dimmable Light Bulb (Replacing CFL) IEDI</t>
  </si>
  <si>
    <t>LED - 12W (Replacing CFL) IEDI</t>
  </si>
  <si>
    <t>LED - 15W (CFL baseline) (1050-1489 lumens) IEDI</t>
  </si>
  <si>
    <t>LED - 11W Flood Light BR30 Bulb (CFL baseline) IEDI</t>
  </si>
  <si>
    <t>LED - 15W Flood Light PAR30 Bulb (CFL baseline) IEDI</t>
  </si>
  <si>
    <t>LED - 18W Flood Light PAR38 Bulb (CFL baseline) IEDI</t>
  </si>
  <si>
    <t>LED - 20W (CFL baseline) (1490-2600 lumens) IEDI</t>
  </si>
  <si>
    <t>LED - 6W (Halogen baseline) (310-749 lumens) IEDI</t>
  </si>
  <si>
    <t>MF IE (this value should be used in the custom savings calculations for MF IE measures)</t>
  </si>
  <si>
    <t>SF IE</t>
  </si>
  <si>
    <t>Source:</t>
  </si>
  <si>
    <t>SFIE Source</t>
  </si>
  <si>
    <t>Value SFIE</t>
  </si>
  <si>
    <t>Value MFIE</t>
  </si>
  <si>
    <t>kWh Annual Savings [1]</t>
  </si>
  <si>
    <t>EUL [2]</t>
  </si>
  <si>
    <t>Variable Speed Pool Pump - ROF</t>
  </si>
  <si>
    <r>
      <t>RT</t>
    </r>
    <r>
      <rPr>
        <strike/>
        <vertAlign val="subscript"/>
        <sz val="11"/>
        <color theme="0" tint="-0.249977111117893"/>
        <rFont val="Calibri"/>
        <family val="2"/>
        <scheme val="minor"/>
      </rPr>
      <t>ss</t>
    </r>
  </si>
  <si>
    <r>
      <t>GPM</t>
    </r>
    <r>
      <rPr>
        <strike/>
        <vertAlign val="subscript"/>
        <sz val="11"/>
        <color theme="0" tint="-0.249977111117893"/>
        <rFont val="Calibri"/>
        <family val="2"/>
        <scheme val="minor"/>
      </rPr>
      <t>ss</t>
    </r>
  </si>
  <si>
    <r>
      <t>RT</t>
    </r>
    <r>
      <rPr>
        <strike/>
        <vertAlign val="subscript"/>
        <sz val="11"/>
        <color theme="0" tint="-0.249977111117893"/>
        <rFont val="Calibri"/>
        <family val="2"/>
        <scheme val="minor"/>
      </rPr>
      <t>hs</t>
    </r>
  </si>
  <si>
    <r>
      <t>GPM</t>
    </r>
    <r>
      <rPr>
        <strike/>
        <vertAlign val="subscript"/>
        <sz val="11"/>
        <color theme="0" tint="-0.249977111117893"/>
        <rFont val="Calibri"/>
        <family val="2"/>
        <scheme val="minor"/>
      </rPr>
      <t>hs</t>
    </r>
  </si>
  <si>
    <r>
      <t>RT</t>
    </r>
    <r>
      <rPr>
        <strike/>
        <vertAlign val="subscript"/>
        <sz val="11"/>
        <color theme="0" tint="-0.249977111117893"/>
        <rFont val="Calibri"/>
        <family val="2"/>
        <scheme val="minor"/>
      </rPr>
      <t>ls</t>
    </r>
  </si>
  <si>
    <r>
      <t>GPM</t>
    </r>
    <r>
      <rPr>
        <strike/>
        <vertAlign val="subscript"/>
        <sz val="11"/>
        <color theme="0" tint="-0.249977111117893"/>
        <rFont val="Calibri"/>
        <family val="2"/>
        <scheme val="minor"/>
      </rPr>
      <t>ls</t>
    </r>
  </si>
  <si>
    <r>
      <t>EF</t>
    </r>
    <r>
      <rPr>
        <strike/>
        <vertAlign val="subscript"/>
        <sz val="11"/>
        <color theme="0" tint="-0.249977111117893"/>
        <rFont val="Calibri"/>
        <family val="2"/>
        <scheme val="minor"/>
      </rPr>
      <t>ss</t>
    </r>
  </si>
  <si>
    <r>
      <t>EF</t>
    </r>
    <r>
      <rPr>
        <strike/>
        <vertAlign val="subscript"/>
        <sz val="11"/>
        <color theme="0" tint="-0.249977111117893"/>
        <rFont val="Calibri"/>
        <family val="2"/>
        <scheme val="minor"/>
      </rPr>
      <t>hs</t>
    </r>
  </si>
  <si>
    <r>
      <t>EF</t>
    </r>
    <r>
      <rPr>
        <strike/>
        <vertAlign val="subscript"/>
        <sz val="11"/>
        <color theme="0" tint="-0.249977111117893"/>
        <rFont val="Calibri"/>
        <family val="2"/>
        <scheme val="minor"/>
      </rPr>
      <t>ls</t>
    </r>
  </si>
  <si>
    <r>
      <t>Days</t>
    </r>
    <r>
      <rPr>
        <strike/>
        <vertAlign val="subscript"/>
        <sz val="11"/>
        <color theme="0" tint="-0.249977111117893"/>
        <rFont val="Calibri"/>
        <family val="2"/>
        <scheme val="minor"/>
      </rPr>
      <t>oper</t>
    </r>
  </si>
  <si>
    <t>Demand Response Advanced Thermostat - with Program-driven Optimization</t>
  </si>
  <si>
    <t>LED Replacing Interior T5 Fluorescent (Type B, Kits, and Fixtures)</t>
  </si>
  <si>
    <t>Freezer Recycling</t>
  </si>
  <si>
    <t>Updated "Deemed Tables" with PY2018 Evaluation results.   Also includes revisions to HVAC measures and multifamily measures, based on feedback from evaluation contractor. This includes updates to Volume 3 of the TRM.</t>
  </si>
  <si>
    <r>
      <t xml:space="preserve">EFLH </t>
    </r>
    <r>
      <rPr>
        <vertAlign val="subscript"/>
        <sz val="11"/>
        <color rgb="FFFF0000"/>
        <rFont val="Calibri Light"/>
        <family val="2"/>
        <scheme val="major"/>
      </rPr>
      <t>cool</t>
    </r>
  </si>
  <si>
    <t>Ameren Missouri HVAC PY2021 Program Data Averages</t>
  </si>
  <si>
    <t>No change- only decimals</t>
  </si>
  <si>
    <t>Mini/MultiSplitASHP-Replace_CAC_NonElectricHeat_ER1_SF</t>
  </si>
  <si>
    <t>Mini/MultiSplitASHP-Replace_CAC_NonElectricHeat_ER2_SF</t>
  </si>
  <si>
    <t>Mini/MultiSplitASHP-Replace_CAC_NonElectricHeat_ROF_SF</t>
  </si>
  <si>
    <t>The SEERexist values reported in table below include derating for age.</t>
  </si>
  <si>
    <t>351752_2022_12_</t>
  </si>
  <si>
    <t>351753_2022_12_</t>
  </si>
  <si>
    <t>Mini/MultiSplitASHP-Replace_CAC_NonElectricHeat_ER1_MF</t>
  </si>
  <si>
    <t>Mini/MultiSplitASHP-Replace_CAC_NonElectricHeat_ER2_MF</t>
  </si>
  <si>
    <t>Mini/MultiSplitASHP-Replace_CAC_NonElectricHeat_ER1_MF_CompE</t>
  </si>
  <si>
    <t>Mini/MultiSplitASHP-Replace_CAC_NonElectricHeat_ER2_MF_CompE</t>
  </si>
  <si>
    <t>Mini/MultiSplitASHP-Replace_CAC_NonElectricHeat_ROF_MF</t>
  </si>
  <si>
    <t>Mini/MultiSplitASHP-Replace_CAC_NonElectricHeat_ROF_MF_CompE</t>
  </si>
  <si>
    <t>351802_2022_12_</t>
  </si>
  <si>
    <t>351803_2022_12_</t>
  </si>
  <si>
    <t>351451_2022_12_</t>
  </si>
  <si>
    <t>351401_2022_12_</t>
  </si>
  <si>
    <t>Ameren Missouri HVAC  PY2021 Program Data Averages</t>
  </si>
  <si>
    <t>Packaged Terminal Air Source Heat Pumps</t>
  </si>
  <si>
    <t>PTHP-SEER15-Replace_PTAC_ElectricHeat_ROF_MF</t>
  </si>
  <si>
    <t>356200_2022_12_</t>
  </si>
  <si>
    <t>356225_2022_12_</t>
  </si>
  <si>
    <t>356250_2022_12_</t>
  </si>
  <si>
    <t>356275_2022_12_</t>
  </si>
  <si>
    <t>356300_2022_12_</t>
  </si>
  <si>
    <t>356400_2022_12_</t>
  </si>
  <si>
    <t>356425_2022_12_</t>
  </si>
  <si>
    <t>356450_2022_12_</t>
  </si>
  <si>
    <t>356475_2022_12_</t>
  </si>
  <si>
    <t>356500_2022_12_</t>
  </si>
  <si>
    <t>Note: PTHPs replacing non-electric heating are eligible for cooling savings only.</t>
  </si>
  <si>
    <t>Typical sizes found online are 9,400, 12,000 and 15,000 btu/hr.</t>
  </si>
  <si>
    <t>Non-CompE</t>
  </si>
  <si>
    <t>Ameren TRM, section 3.4.10</t>
  </si>
  <si>
    <t>CompE</t>
  </si>
  <si>
    <t>ER_Electric Heat</t>
  </si>
  <si>
    <t>Consistent for all electric resistance heating equipment.</t>
  </si>
  <si>
    <t>ROF_Electric Heat</t>
  </si>
  <si>
    <t>PTHP-SEER15</t>
  </si>
  <si>
    <t>ER - PTHP</t>
  </si>
  <si>
    <t>ER - PTAC</t>
  </si>
  <si>
    <t>Ameren Missouri PY2021 Program Data</t>
  </si>
  <si>
    <t>Full Cost of Installation ($/ton)</t>
  </si>
  <si>
    <t>Heating Capacity of Package Terminal Heat Pump (Btu/hr)</t>
  </si>
  <si>
    <t>Calculated from reduction ratio for ASHP MF to MF_CompE EFLH</t>
  </si>
  <si>
    <t>Cooling Capacity of Package Terminal Heat Pump (Btu/hr)</t>
  </si>
  <si>
    <t>PTHP-SEER15-ER1_MF</t>
  </si>
  <si>
    <t>PTHP-SEER15-ER1_MF_CompE</t>
  </si>
  <si>
    <t>PTHP-SEER15-Replace_PTAC_ElectricHeat_ER1_MF</t>
  </si>
  <si>
    <t>PTHP-SEER15-Replace_PTAC_ElectricHeat_ER1_MF_CompE</t>
  </si>
  <si>
    <t>PTHP-SEER15-ER2_MF</t>
  </si>
  <si>
    <t>PTHP-SEER15-ER2_MF_CompE</t>
  </si>
  <si>
    <t>PTHP-SEER15-Replace_PTAC_ElectricHeat_ER2_MF</t>
  </si>
  <si>
    <t>PTHP-SEER15-Replace_PTAC_ElectricHeat_ER2_MF_CompE</t>
  </si>
  <si>
    <t>EUL / RUL</t>
  </si>
  <si>
    <t>PY2021 Program Data</t>
  </si>
  <si>
    <t>Program design</t>
  </si>
  <si>
    <t>Set to match MFIE DI value.</t>
  </si>
  <si>
    <t>Set to match School Kits value.</t>
  </si>
  <si>
    <t>Average cooling capacity for ASHP measures for SF homes in the PY2021 HVAC Program (rounded)</t>
  </si>
  <si>
    <t>MF Value</t>
  </si>
  <si>
    <t>406500_2022_12_</t>
  </si>
  <si>
    <t>406525_2022_12_</t>
  </si>
  <si>
    <t>406550_2022_12_</t>
  </si>
  <si>
    <t>406575_2022_12_</t>
  </si>
  <si>
    <t>406650_2022_12_</t>
  </si>
  <si>
    <t>406675_2022_12_</t>
  </si>
  <si>
    <t>406600_2022_12_</t>
  </si>
  <si>
    <t>406625_2022_12_</t>
  </si>
  <si>
    <t>Low Flow Handheld Showerhead MF</t>
  </si>
  <si>
    <t>Low Flow Handheld Showerhead SF</t>
  </si>
  <si>
    <t>251300_2022_12_</t>
  </si>
  <si>
    <t>251350_2022_12_</t>
  </si>
  <si>
    <t>Showerhead (SF &amp; MF)</t>
  </si>
  <si>
    <t>MO Statewide TRM weighted with survey data. Set to match Energy Efficienct Products.</t>
  </si>
  <si>
    <t>Applies assumption for Retrofit, Efficiency Kits, NC or TOS Program Delivery</t>
  </si>
  <si>
    <t>Default may change with evaluation.</t>
  </si>
  <si>
    <t>Cadmus and Opinion Dynamics Showerhead and Faucet Aerator Meter Study Memorandum, dated June 2013, directed to Michigan Evaluation Working Group. This study of 135 single and multifamily homes in Michigan metered energy parameters for efficient showerhead and faucet aerators.</t>
  </si>
  <si>
    <t>Study included both SF and MF homes</t>
  </si>
  <si>
    <t>TRM MFMR value used because EM&amp;V does not provide values for SF and MF households.</t>
  </si>
  <si>
    <t>TRM SF value used because EM&amp;V does not provide values for SF and MF households.</t>
  </si>
  <si>
    <t>Electric water heaters have recovery efficiency of 98%: http://www.ahridirectory.org/ahridirectory/pages/home.aspx</t>
  </si>
  <si>
    <t>Default may change with evaluation. Matches Community Savers EM&amp;V</t>
  </si>
  <si>
    <t xml:space="preserve">Low Flow Handheld Showerheads </t>
  </si>
  <si>
    <t>Based on "Unknown" assumption because evaluation does not track DHW heating fuel.</t>
  </si>
  <si>
    <r>
      <t xml:space="preserve">SOURCE: ΔWatts and HOU Adjustment factors are calculated based on desk review and on-site data collection during the PY2019 Impact Evaluation. Weights are based on </t>
    </r>
    <r>
      <rPr>
        <sz val="10"/>
        <color rgb="FFFF0000"/>
        <rFont val="Calibri"/>
        <family val="2"/>
      </rPr>
      <t>PY2021</t>
    </r>
    <r>
      <rPr>
        <sz val="10"/>
        <rFont val="Calibri"/>
        <family val="2"/>
      </rPr>
      <t xml:space="preserve"> Final Ex Ante Gross Annual </t>
    </r>
    <r>
      <rPr>
        <sz val="10"/>
        <color rgb="FFFF0000"/>
        <rFont val="Calibri"/>
        <family val="2"/>
      </rPr>
      <t>Lighting</t>
    </r>
    <r>
      <rPr>
        <sz val="10"/>
        <rFont val="Calibri"/>
        <family val="2"/>
      </rPr>
      <t xml:space="preserve"> kWh for each program. These values should be updated/replaced if and when new EM&amp;V verification occurs; weights should be updated annually.</t>
    </r>
  </si>
  <si>
    <r>
      <t xml:space="preserve">[1] Ameren MO </t>
    </r>
    <r>
      <rPr>
        <sz val="11"/>
        <color rgb="FFFF0000"/>
        <rFont val="Calibri"/>
        <family val="2"/>
        <scheme val="minor"/>
      </rPr>
      <t>PY21</t>
    </r>
    <r>
      <rPr>
        <sz val="11"/>
        <rFont val="Calibri"/>
        <family val="2"/>
        <scheme val="minor"/>
      </rPr>
      <t xml:space="preserve"> Evaluation Report, </t>
    </r>
    <r>
      <rPr>
        <sz val="11"/>
        <color rgb="FFFF0000"/>
        <rFont val="Calibri"/>
        <family val="2"/>
        <scheme val="minor"/>
      </rPr>
      <t>PY2021</t>
    </r>
    <r>
      <rPr>
        <sz val="11"/>
        <rFont val="Calibri"/>
        <family val="2"/>
        <scheme val="minor"/>
      </rPr>
      <t xml:space="preserve"> HER Program Adjusted Net Annual Savings / Number of Customers Treated)</t>
    </r>
  </si>
  <si>
    <r>
      <rPr>
        <sz val="11"/>
        <color rgb="FFFF0000"/>
        <rFont val="Calibri"/>
        <family val="2"/>
        <scheme val="minor"/>
      </rPr>
      <t>Table 32.</t>
    </r>
    <r>
      <rPr>
        <sz val="11"/>
        <rFont val="Calibri"/>
        <family val="2"/>
        <scheme val="minor"/>
      </rPr>
      <t xml:space="preserve"> Final Adjusted Net Program Savings (MWh)</t>
    </r>
  </si>
  <si>
    <r>
      <rPr>
        <sz val="11"/>
        <color rgb="FFFF0000"/>
        <rFont val="Calibri"/>
        <family val="2"/>
        <scheme val="minor"/>
      </rPr>
      <t>Table 28</t>
    </r>
    <r>
      <rPr>
        <sz val="11"/>
        <rFont val="Calibri"/>
        <family val="2"/>
        <scheme val="minor"/>
      </rPr>
      <t>. Number of Customers Treated</t>
    </r>
  </si>
  <si>
    <t>PY21 Implementation Costs</t>
  </si>
  <si>
    <t>IFkW</t>
  </si>
  <si>
    <t>801241_2022_12_</t>
  </si>
  <si>
    <t>Lighting Redesign-LED Fixture w/ network controls-Replacing Linear Fluorescent or HID</t>
  </si>
  <si>
    <t xml:space="preserve">Updated "Deemed Tables" with PY20 Evaluation results; variations of existing measures such as non-electric heat ASHP, Lighting, Water Chillers, Home Energy Report EUL, and updated Appendix G, H and I for consistency. </t>
  </si>
  <si>
    <t>400501_2022_12_</t>
  </si>
  <si>
    <t>Air Sealing (Infiltration reduction) - 30% MF IE DI gas furnace base</t>
  </si>
  <si>
    <t>ASHP-SEER16-Replace_CAC_NonElectricHeat_ROF_SF</t>
  </si>
  <si>
    <t>352610_2022_12_</t>
  </si>
  <si>
    <t>356600_2022_12_</t>
  </si>
  <si>
    <t>356625_2022_12_</t>
  </si>
  <si>
    <t>356650_2022_12_</t>
  </si>
  <si>
    <t>356675_2022_12_</t>
  </si>
  <si>
    <t>356700_2022_12_</t>
  </si>
  <si>
    <t>356800_2022_12_</t>
  </si>
  <si>
    <t>356825_2022_12_</t>
  </si>
  <si>
    <t>356850_2022_12_</t>
  </si>
  <si>
    <t>356875_2022_12_</t>
  </si>
  <si>
    <t>356900_2022_12_</t>
  </si>
  <si>
    <t>PY21 Implementation Cost of Materials</t>
  </si>
  <si>
    <t xml:space="preserve">Updated "Deemed Tables" with PY21 Evaluation results, variations of existing measures such as DMSHP replacing non-electric heat, Advanced Thermostats in Income Eligible, Handheld Showerhead in EE Products, and Lighting Redesign w/ Network Controls, a new PTHP measure, and updated Appendix G, H and I for consistency. </t>
  </si>
  <si>
    <t>Updated "Deemed Tables" with updates for 11 step process/program updates and minor corrections found since prior TRM update.</t>
  </si>
  <si>
    <t>TRC (2022)</t>
  </si>
  <si>
    <t>Updated references to 2022 avoided cost</t>
  </si>
  <si>
    <t>Note: energy savings (per HP) do not align to incremental costs (per measure). TRC may not reflect actual cost effectiveness.</t>
  </si>
  <si>
    <t>Note: energy savings (per ton) do not align to incremental costs (per measure). TRC may not reflect actual cost effectiveness.</t>
  </si>
  <si>
    <t>Note: energy savings (per sqft) do not align to incremental costs (per measure). TRC may not reflect actual cost effectiveness.</t>
  </si>
  <si>
    <t>Note: Incremental cost is the actual cost. TRC is calculated on a project by project basis.</t>
  </si>
  <si>
    <t>Note: energy savings (per cubicft) do not align to incremental costs (per measure). TRC may not reflect actual cost effectiveness.</t>
  </si>
  <si>
    <t>Note: Incremental cost is $0.</t>
  </si>
  <si>
    <t>353110_2022_12_</t>
  </si>
  <si>
    <t>ASHP-SEER17-Replace_CAC_NonElectricHeat_ROF_SF</t>
  </si>
  <si>
    <t>353210_2022_12_</t>
  </si>
  <si>
    <t>ASHP-SEER18-Replace_CAC_NonElectricHeat_ROF_SF</t>
  </si>
  <si>
    <t>353660_2022_12_</t>
  </si>
  <si>
    <t>ASHP-SEER21-Replace_CAC_NonElectricHeat_ROF_SF</t>
  </si>
  <si>
    <t>353460_2022_12_</t>
  </si>
  <si>
    <t>ASHP-SEER20-Replace_CAC_NonElectricHeat_ROF_SF</t>
  </si>
  <si>
    <t>353310_2022_12_</t>
  </si>
  <si>
    <t>ASHP-SEER19-Replace_CAC_NonElectricHeat_ROF_SF</t>
  </si>
  <si>
    <t>PTHP-SEER12</t>
  </si>
  <si>
    <t>PTHP-SEER13</t>
  </si>
  <si>
    <t>PTHP-SEER14</t>
  </si>
  <si>
    <t>Average efficiency of market available PTHP</t>
  </si>
  <si>
    <t>Federal standard. CFR 431.97 Table 7</t>
  </si>
  <si>
    <t xml:space="preserve">Note: CompE versions of ElectricHeat_ROF do not have qualifying TRC values. This is why the measures are not included above. </t>
  </si>
  <si>
    <t>PTHP-SEER12-ER1_MF</t>
  </si>
  <si>
    <t>PTHP-SEER12-ER2_MF</t>
  </si>
  <si>
    <t>PTHP-SEER12-ER1_MF_CompE</t>
  </si>
  <si>
    <t>PTHP-SEER12-ER2_MF_CompE</t>
  </si>
  <si>
    <t>PTHP-SEER12-Replace_PTAC_ElectricHeat_ER1_MF</t>
  </si>
  <si>
    <t>PTHP-SEER12-Replace_PTAC_ElectricHeat_ER2_MF</t>
  </si>
  <si>
    <t>PTHP-SEER12-Replace_PTAC_ElectricHeat_ER1_MF_CompE</t>
  </si>
  <si>
    <t>PTHP-SEER12-Replace_PTAC_ElectricHeat_ER2_MF_CompE</t>
  </si>
  <si>
    <t>PTHP-SEER12-Replace_PTAC_ElectricHeat_ROF_MF</t>
  </si>
  <si>
    <t>PTHP-SEER13-ER1_MF</t>
  </si>
  <si>
    <t>PTHP-SEER13-ER2_MF</t>
  </si>
  <si>
    <t>PTHP-SEER13-ER1_MF_CompE</t>
  </si>
  <si>
    <t>PTHP-SEER13-ER2_MF_CompE</t>
  </si>
  <si>
    <t>PTHP-SEER13-Replace_PTAC_ElectricHeat_ER1_MF</t>
  </si>
  <si>
    <t>PTHP-SEER13-Replace_PTAC_ElectricHeat_ER2_MF</t>
  </si>
  <si>
    <t>PTHP-SEER13-Replace_PTAC_ElectricHeat_ER1_MF_CompE</t>
  </si>
  <si>
    <t>PTHP-SEER13-Replace_PTAC_ElectricHeat_ER2_MF_CompE</t>
  </si>
  <si>
    <t>PTHP-SEER13-Replace_PTAC_ElectricHeat_ROF_MF</t>
  </si>
  <si>
    <t>PTHP-SEER14-ER1_MF</t>
  </si>
  <si>
    <t>PTHP-SEER14-ER2_MF</t>
  </si>
  <si>
    <t>PTHP-SEER14-ER1_MF_CompE</t>
  </si>
  <si>
    <t>PTHP-SEER14-ER2_MF_CompE</t>
  </si>
  <si>
    <t>PTHP-SEER14-Replace_PTAC_ElectricHeat_ER1_MF</t>
  </si>
  <si>
    <t>PTHP-SEER14-Replace_PTAC_ElectricHeat_ER2_MF</t>
  </si>
  <si>
    <t>PTHP-SEER14-Replace_PTAC_ElectricHeat_ER1_MF_CompE</t>
  </si>
  <si>
    <t>PTHP-SEER14-Replace_PTAC_ElectricHeat_ER2_MF_CompE</t>
  </si>
  <si>
    <t>PTHP-SEER14-Replace_PTAC_ElectricHeat_ROF_MF</t>
  </si>
  <si>
    <r>
      <t xml:space="preserve">Demand savings are calculated for demand response events, therefore no demand savings are calculated based on the energy savings for this measure. For planning estimates a value of </t>
    </r>
    <r>
      <rPr>
        <sz val="11"/>
        <color rgb="FFFF0000"/>
        <rFont val="Calibri"/>
        <family val="2"/>
        <scheme val="minor"/>
      </rPr>
      <t>1.15 kW/thermostat</t>
    </r>
    <r>
      <rPr>
        <sz val="11"/>
        <rFont val="Calibri"/>
        <family val="2"/>
        <scheme val="minor"/>
      </rPr>
      <t xml:space="preserve"> is assumed based on the </t>
    </r>
    <r>
      <rPr>
        <sz val="11"/>
        <color rgb="FFFF0000"/>
        <rFont val="Calibri"/>
        <family val="2"/>
        <scheme val="minor"/>
      </rPr>
      <t>PY21</t>
    </r>
    <r>
      <rPr>
        <sz val="11"/>
        <rFont val="Calibri"/>
        <family val="2"/>
        <scheme val="minor"/>
      </rPr>
      <t xml:space="preserve"> evaluation results. </t>
    </r>
  </si>
  <si>
    <t>Cooling RES ER2 10 Year EUL</t>
  </si>
  <si>
    <t>added on 8/26/22</t>
  </si>
  <si>
    <t>Heating RES ER2 10 Year EUL</t>
  </si>
  <si>
    <r>
      <t xml:space="preserve">Source for Savings: Ameren MO </t>
    </r>
    <r>
      <rPr>
        <sz val="11"/>
        <color rgb="FFFF0000"/>
        <rFont val="Calibri"/>
        <family val="2"/>
        <scheme val="minor"/>
      </rPr>
      <t>PY2021</t>
    </r>
    <r>
      <rPr>
        <sz val="11"/>
        <rFont val="Calibri"/>
        <family val="2"/>
        <scheme val="minor"/>
      </rPr>
      <t xml:space="preserve"> Final Report
Optimization Energy Savings Summary, Per Device: </t>
    </r>
    <r>
      <rPr>
        <sz val="11"/>
        <color rgb="FFFF0000"/>
        <rFont val="Calibri"/>
        <family val="2"/>
        <scheme val="minor"/>
      </rPr>
      <t xml:space="preserve">Table 25. Residential DR Program: Device Optimization Energy Savings Summary
</t>
    </r>
    <r>
      <rPr>
        <sz val="11"/>
        <rFont val="Calibri"/>
        <family val="2"/>
        <scheme val="minor"/>
      </rPr>
      <t xml:space="preserve">Demand Impact, Per Device </t>
    </r>
    <r>
      <rPr>
        <sz val="11"/>
        <color rgb="FFFF0000"/>
        <rFont val="Calibri"/>
        <family val="2"/>
        <scheme val="minor"/>
      </rPr>
      <t>and Active Device Counts</t>
    </r>
    <r>
      <rPr>
        <sz val="11"/>
        <rFont val="Calibri"/>
        <family val="2"/>
        <scheme val="minor"/>
      </rPr>
      <t xml:space="preserve">:  </t>
    </r>
    <r>
      <rPr>
        <sz val="11"/>
        <color rgb="FFFF0000"/>
        <rFont val="Calibri"/>
        <family val="2"/>
        <scheme val="minor"/>
      </rPr>
      <t>Table 19. Residential DR Program: Resource Capability Impacts
Gross kWh Annual Savings are calculated as the total aggregate PY2021 energy savings (473.21 MWh) divided by the number of devices active at the end of the 2021 event season (9,887).</t>
    </r>
  </si>
  <si>
    <t>HP; assumption for TRC</t>
  </si>
  <si>
    <t xml:space="preserve">Gross Demand Savings </t>
  </si>
  <si>
    <r>
      <t xml:space="preserve">Annual Savings over the 5-Year EUL </t>
    </r>
    <r>
      <rPr>
        <b/>
        <sz val="11"/>
        <color rgb="FFFF0000"/>
        <rFont val="Calibri"/>
        <family val="2"/>
        <scheme val="minor"/>
      </rPr>
      <t>(for entry to Appendix I)</t>
    </r>
  </si>
  <si>
    <t>Air Cooled Chiller Tune up</t>
  </si>
  <si>
    <t>Water Cooled Chiller Tune up</t>
  </si>
  <si>
    <t>803820_2022_12_</t>
  </si>
  <si>
    <t xml:space="preserve">Hours assumes a 3-shift (24/5) schedule, i.e., 24 hours per day, weekdays, minus some holidays and scheduled down time </t>
  </si>
  <si>
    <t>805020_2022_12_</t>
  </si>
  <si>
    <t>805030_2022_12_</t>
  </si>
  <si>
    <t>805022_2022_12_</t>
  </si>
  <si>
    <t>805024_2022_12_</t>
  </si>
  <si>
    <t>805026_2022_12_</t>
  </si>
  <si>
    <t>805028_2022_12_</t>
  </si>
  <si>
    <t>805032_2022_12_</t>
  </si>
  <si>
    <t>From Measure Description; units meeting 11.7 SEER federal standard are offered in SEER 12 grouping</t>
  </si>
  <si>
    <t>803825_2022_12_</t>
  </si>
  <si>
    <t>kWh Annual Savings (per CFM Reduced)</t>
  </si>
  <si>
    <t>per CFM Reduced</t>
  </si>
  <si>
    <t>Leak Repair  (Reciprocating - On/off Control)</t>
  </si>
  <si>
    <t>Leak Repair (Reciprocating - Load/Unload)</t>
  </si>
  <si>
    <t>Leak Repair (Screw - Load/Unload)</t>
  </si>
  <si>
    <t>Leak Repair (Screw - Inlet Modulation)</t>
  </si>
  <si>
    <t>Leak Repair (Screw - Inlet Modulation w/ Unloading)</t>
  </si>
  <si>
    <t>Leak Repair (Screw - Variable Displacement)</t>
  </si>
  <si>
    <t>Leak Repair  (Screw - VFD)</t>
  </si>
  <si>
    <t>PTHP-SEER15-ROF_MF</t>
  </si>
  <si>
    <t>PTHP-SEER15-ROF_MF_CompE</t>
  </si>
  <si>
    <t>PTHP-SEER15-Replace_PTAC_ElectricHeat_ROF_MF_CompE</t>
  </si>
  <si>
    <t>PTHP-SEER12-ROF_MF</t>
  </si>
  <si>
    <t>PTHP-SEER12-ROF_MF_CompE</t>
  </si>
  <si>
    <t>PTHP-SEER12-Replace_PTAC_ElectricHeat_ROF_MF_CompE</t>
  </si>
  <si>
    <t>356325_2022_12_</t>
  </si>
  <si>
    <t>356350_2022_12_</t>
  </si>
  <si>
    <t>356375_2022_12_</t>
  </si>
  <si>
    <t>356525_2022_12_</t>
  </si>
  <si>
    <t>356550_2022_12_</t>
  </si>
  <si>
    <t>356575_2022_12_</t>
  </si>
  <si>
    <t>356725_2022_12_</t>
  </si>
  <si>
    <t>356750_2022_12_</t>
  </si>
  <si>
    <t>356775_2022_12_</t>
  </si>
  <si>
    <t>356925_2022_12_</t>
  </si>
  <si>
    <t>356950_2022_12_</t>
  </si>
  <si>
    <t>356975_2022_12_</t>
  </si>
  <si>
    <t>PTHP-SEER14-ROF_MF</t>
  </si>
  <si>
    <t>PTHP-SEER14-ROF_MF_CompE</t>
  </si>
  <si>
    <t>PTHP-SEER14-Replace_PTAC_ElectricHeat_ROF_MF_CompE</t>
  </si>
  <si>
    <t>PTHP-SEER13-ROF_MF</t>
  </si>
  <si>
    <t>PTHP-SEER13-ROF_MF_CompE</t>
  </si>
  <si>
    <t>PTHP-SEER13-Replace_PTAC_ElectricHeat_ROF_MF_CompE</t>
  </si>
  <si>
    <r>
      <rPr>
        <b/>
        <sz val="26"/>
        <rFont val="Calibri"/>
        <family val="2"/>
        <scheme val="minor"/>
      </rPr>
      <t xml:space="preserve">&lt;------ </t>
    </r>
    <r>
      <rPr>
        <b/>
        <sz val="16"/>
        <rFont val="Calibri"/>
        <family val="2"/>
        <scheme val="minor"/>
      </rPr>
      <t>Use the "Grouping" Features to expand or hide the formulas/input variables</t>
    </r>
  </si>
  <si>
    <r>
      <rPr>
        <strike/>
        <sz val="11"/>
        <rFont val="Calibri"/>
        <family val="2"/>
        <scheme val="minor"/>
      </rPr>
      <t xml:space="preserve">VFD </t>
    </r>
    <r>
      <rPr>
        <sz val="11"/>
        <rFont val="Calibri"/>
        <family val="2"/>
        <scheme val="minor"/>
      </rPr>
      <t>Value</t>
    </r>
  </si>
  <si>
    <r>
      <t>Days</t>
    </r>
    <r>
      <rPr>
        <strike/>
        <vertAlign val="subscript"/>
        <sz val="11"/>
        <rFont val="Calibri"/>
        <family val="2"/>
        <scheme val="minor"/>
      </rPr>
      <t>oper</t>
    </r>
  </si>
  <si>
    <r>
      <rPr>
        <strike/>
        <sz val="11"/>
        <rFont val="Calibri"/>
        <family val="2"/>
        <scheme val="minor"/>
      </rPr>
      <t xml:space="preserve">ES Pool Pump Calculator downloaded on   (version last updated 12-13) and adjusted for dual speed in Missouri </t>
    </r>
    <r>
      <rPr>
        <sz val="11"/>
        <rFont val="Calibri"/>
        <family val="2"/>
        <scheme val="minor"/>
      </rPr>
      <t>ENERGY STAR Pool Pump Calculator (accessed 06/2021)</t>
    </r>
  </si>
  <si>
    <r>
      <t>RT</t>
    </r>
    <r>
      <rPr>
        <strike/>
        <vertAlign val="subscript"/>
        <sz val="11"/>
        <rFont val="Calibri"/>
        <family val="2"/>
        <scheme val="minor"/>
      </rPr>
      <t>ss</t>
    </r>
  </si>
  <si>
    <r>
      <t>RT</t>
    </r>
    <r>
      <rPr>
        <strike/>
        <vertAlign val="subscript"/>
        <sz val="11"/>
        <rFont val="Calibri"/>
        <family val="2"/>
        <scheme val="minor"/>
      </rPr>
      <t>ls</t>
    </r>
  </si>
  <si>
    <r>
      <t>RT</t>
    </r>
    <r>
      <rPr>
        <strike/>
        <vertAlign val="subscript"/>
        <sz val="11"/>
        <rFont val="Calibri"/>
        <family val="2"/>
        <scheme val="minor"/>
      </rPr>
      <t>hs</t>
    </r>
  </si>
  <si>
    <r>
      <t>GPM</t>
    </r>
    <r>
      <rPr>
        <strike/>
        <vertAlign val="subscript"/>
        <sz val="11"/>
        <rFont val="Calibri"/>
        <family val="2"/>
        <scheme val="minor"/>
      </rPr>
      <t>ss</t>
    </r>
  </si>
  <si>
    <r>
      <t>GPM</t>
    </r>
    <r>
      <rPr>
        <strike/>
        <vertAlign val="subscript"/>
        <sz val="11"/>
        <rFont val="Calibri"/>
        <family val="2"/>
        <scheme val="minor"/>
      </rPr>
      <t>ls</t>
    </r>
  </si>
  <si>
    <r>
      <t>GPM</t>
    </r>
    <r>
      <rPr>
        <strike/>
        <vertAlign val="subscript"/>
        <sz val="11"/>
        <rFont val="Calibri"/>
        <family val="2"/>
        <scheme val="minor"/>
      </rPr>
      <t>hs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</si>
</sst>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1">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409]mmmm\ d\,\ yyyy;@"/>
    <numFmt numFmtId="165" formatCode="0.0"/>
    <numFmt numFmtId="166" formatCode="0.0000000000"/>
    <numFmt numFmtId="167" formatCode="[$-409]mmmm\-yy;@"/>
    <numFmt numFmtId="168" formatCode="_(* #,##0_);_(* \(#,##0\);_(* &quot;-&quot;??_);_(@_)"/>
    <numFmt numFmtId="169" formatCode="0.000000"/>
    <numFmt numFmtId="170" formatCode="#,##0.0_);\(#,##0.0\)"/>
    <numFmt numFmtId="171" formatCode="&quot;$&quot;#,##0.00"/>
    <numFmt numFmtId="172" formatCode="0.0%"/>
    <numFmt numFmtId="173" formatCode="_(&quot;$&quot;* #,##0_);_(&quot;$&quot;* \(#,##0\);_(&quot;$&quot;* &quot;-&quot;??_);_(@_)"/>
    <numFmt numFmtId="174" formatCode="0.00_);\(0.00\)"/>
    <numFmt numFmtId="175" formatCode="0_);\(0\)"/>
    <numFmt numFmtId="176" formatCode="0.0_);\(0.0\)"/>
    <numFmt numFmtId="177" formatCode="0.000_);\(0.000\)"/>
    <numFmt numFmtId="178" formatCode="0.0000"/>
    <numFmt numFmtId="179" formatCode="#,##0.0"/>
    <numFmt numFmtId="180" formatCode="0.000"/>
    <numFmt numFmtId="181" formatCode="#,##0.000"/>
    <numFmt numFmtId="182" formatCode="#,##0.0000000000_);\(#,##0.0000000000\)"/>
    <numFmt numFmtId="183" formatCode="#,##0.0000000_);\(#,##0.0000000\)"/>
    <numFmt numFmtId="184" formatCode="#,##0.0000_);\(#,##0.0000\)"/>
    <numFmt numFmtId="185" formatCode="_(&quot;$&quot;* #,##0.0000000_);_(&quot;$&quot;* \(#,##0.0000000\);_(&quot;$&quot;* &quot;-&quot;??_);_(@_)"/>
    <numFmt numFmtId="186" formatCode="0.00000"/>
    <numFmt numFmtId="187" formatCode="0.000000000%"/>
    <numFmt numFmtId="188" formatCode="0.00000000"/>
    <numFmt numFmtId="189" formatCode="#,##0.000_);\(#,##0.000\)"/>
    <numFmt numFmtId="190" formatCode="0.000%"/>
    <numFmt numFmtId="191" formatCode="_(* #,##0.000_);_(* \(#,##0.000\);_(* &quot;-&quot;??_);_(@_)"/>
    <numFmt numFmtId="192" formatCode="0.000000000"/>
    <numFmt numFmtId="193" formatCode="#,##0.000000_);\(#,##0.000000\)"/>
    <numFmt numFmtId="194" formatCode="_(* #,##0.0000000_);_(* \(#,##0.0000000\);_(* &quot;-&quot;??_);_(@_)"/>
    <numFmt numFmtId="195" formatCode="_(* #,##0.0_);_(* \(#,##0.0\);_(* &quot;-&quot;??_);_(@_)"/>
    <numFmt numFmtId="196" formatCode="&quot;$&quot;#,##0.00000_);\(&quot;$&quot;#,##0.00000\)"/>
    <numFmt numFmtId="197" formatCode="&quot;$&quot;#,##0.000_);\(&quot;$&quot;#,##0.000\)"/>
    <numFmt numFmtId="198" formatCode="#,##0.00000000000_);\(#,##0.00000000000\)"/>
    <numFmt numFmtId="199" formatCode="0.0000000"/>
    <numFmt numFmtId="200" formatCode="[$$-409]#,##0.00_);\([$$-409]#,##0.00\)"/>
    <numFmt numFmtId="201" formatCode="#,##0.000000000_);\(#,##0.000000000\)"/>
    <numFmt numFmtId="202" formatCode="_([$$-409]* #,##0.00_);_([$$-409]* \(#,##0.00\);_([$$-409]* &quot;-&quot;??_);_(@_)"/>
    <numFmt numFmtId="203" formatCode="0.000000000000"/>
    <numFmt numFmtId="204" formatCode="0.0000%"/>
    <numFmt numFmtId="205" formatCode="_(* #,##0.000000_);_(* \(#,##0.000000\);_(* &quot;-&quot;??????_);_(@_)"/>
    <numFmt numFmtId="206" formatCode="_(* #,##0.00000000_);_(* \(#,##0.00000000\);_(* &quot;-&quot;??_);_(@_)"/>
    <numFmt numFmtId="207" formatCode="0.0000000000000"/>
    <numFmt numFmtId="208" formatCode="&quot;$&quot;#,##0.000000"/>
  </numFmts>
  <fonts count="112" x14ac:knownFonts="1">
    <font>
      <sz val="11"/>
      <color theme="1"/>
      <name val="Calibri"/>
      <family val="2"/>
      <scheme val="minor"/>
    </font>
    <font>
      <sz val="11"/>
      <color theme="1"/>
      <name val="Calibri"/>
      <family val="2"/>
      <scheme val="minor"/>
    </font>
    <font>
      <sz val="11"/>
      <color rgb="FF3F3F76"/>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36"/>
      <color theme="1"/>
      <name val="Calibri"/>
      <family val="2"/>
      <scheme val="minor"/>
    </font>
    <font>
      <sz val="28"/>
      <color theme="1"/>
      <name val="Calibri"/>
      <family val="2"/>
      <scheme val="minor"/>
    </font>
    <font>
      <b/>
      <sz val="14"/>
      <color theme="1"/>
      <name val="Times New Roman"/>
      <family val="1"/>
    </font>
    <font>
      <sz val="10"/>
      <color theme="1"/>
      <name val="Times New Roman"/>
      <family val="1"/>
    </font>
    <font>
      <sz val="10"/>
      <name val="Times New Roman"/>
      <family val="1"/>
    </font>
    <font>
      <sz val="10"/>
      <color theme="1"/>
      <name val="Calibri"/>
      <family val="2"/>
      <scheme val="minor"/>
    </font>
    <font>
      <b/>
      <sz val="10"/>
      <color theme="0"/>
      <name val="Calibri"/>
      <family val="2"/>
      <scheme val="minor"/>
    </font>
    <font>
      <b/>
      <sz val="16"/>
      <color theme="1"/>
      <name val="Calibri"/>
      <family val="2"/>
      <scheme val="minor"/>
    </font>
    <font>
      <b/>
      <sz val="14"/>
      <color theme="0"/>
      <name val="Calibri"/>
      <family val="2"/>
      <scheme val="minor"/>
    </font>
    <font>
      <sz val="10"/>
      <color theme="0"/>
      <name val="Calibri"/>
      <family val="2"/>
      <scheme val="minor"/>
    </font>
    <font>
      <b/>
      <sz val="12"/>
      <color theme="0" tint="-0.34998626667073579"/>
      <name val="Calibri"/>
      <family val="2"/>
      <scheme val="minor"/>
    </font>
    <font>
      <b/>
      <sz val="26"/>
      <color theme="0" tint="-0.34998626667073579"/>
      <name val="Calibri"/>
      <family val="2"/>
      <scheme val="minor"/>
    </font>
    <font>
      <b/>
      <sz val="16"/>
      <color theme="0" tint="-0.34998626667073579"/>
      <name val="Calibri"/>
      <family val="2"/>
      <scheme val="minor"/>
    </font>
    <font>
      <sz val="11"/>
      <name val="Calibri"/>
      <family val="2"/>
      <scheme val="minor"/>
    </font>
    <font>
      <sz val="10"/>
      <color rgb="FFFF0000"/>
      <name val="Calibri"/>
      <family val="2"/>
      <scheme val="minor"/>
    </font>
    <font>
      <sz val="10"/>
      <color rgb="FF000000"/>
      <name val="Calibri"/>
      <family val="2"/>
    </font>
    <font>
      <sz val="11"/>
      <color rgb="FF000000"/>
      <name val="Calibri"/>
      <family val="2"/>
    </font>
    <font>
      <sz val="11"/>
      <color theme="1"/>
      <name val="Calibri Light"/>
      <family val="2"/>
    </font>
    <font>
      <sz val="11"/>
      <name val="Calibri Light"/>
      <family val="2"/>
    </font>
    <font>
      <sz val="11"/>
      <color rgb="FFFF0000"/>
      <name val="Calibri Light"/>
      <family val="2"/>
    </font>
    <font>
      <vertAlign val="superscript"/>
      <sz val="11"/>
      <name val="Calibri"/>
      <family val="2"/>
      <scheme val="minor"/>
    </font>
    <font>
      <sz val="11"/>
      <name val="Calibri"/>
      <family val="2"/>
    </font>
    <font>
      <sz val="9"/>
      <color indexed="81"/>
      <name val="Tahoma"/>
      <family val="2"/>
    </font>
    <font>
      <b/>
      <sz val="9"/>
      <color indexed="81"/>
      <name val="Tahoma"/>
      <family val="2"/>
    </font>
    <font>
      <b/>
      <sz val="12"/>
      <color theme="0"/>
      <name val="Calibri"/>
      <family val="2"/>
      <scheme val="minor"/>
    </font>
    <font>
      <sz val="12"/>
      <color theme="0" tint="-0.34998626667073579"/>
      <name val="Calibri"/>
      <family val="2"/>
      <scheme val="minor"/>
    </font>
    <font>
      <sz val="10"/>
      <name val="Arial"/>
      <family val="2"/>
    </font>
    <font>
      <sz val="11"/>
      <name val="Arial"/>
      <family val="2"/>
    </font>
    <font>
      <sz val="10"/>
      <name val="Calibri"/>
      <family val="2"/>
      <scheme val="minor"/>
    </font>
    <font>
      <sz val="11"/>
      <color rgb="FF9C5700"/>
      <name val="Calibri"/>
      <family val="2"/>
      <scheme val="minor"/>
    </font>
    <font>
      <sz val="11"/>
      <color rgb="FFFF0000"/>
      <name val="Calibri"/>
      <family val="2"/>
    </font>
    <font>
      <i/>
      <sz val="11"/>
      <name val="Calibri Light"/>
      <family val="2"/>
      <scheme val="major"/>
    </font>
    <font>
      <b/>
      <sz val="16"/>
      <name val="Calibri"/>
      <family val="2"/>
      <scheme val="minor"/>
    </font>
    <font>
      <b/>
      <sz val="11"/>
      <name val="Calibri"/>
      <family val="2"/>
      <scheme val="minor"/>
    </font>
    <font>
      <vertAlign val="subscript"/>
      <sz val="11"/>
      <name val="Calibri"/>
      <family val="2"/>
      <scheme val="minor"/>
    </font>
    <font>
      <b/>
      <sz val="10"/>
      <name val="Calibri"/>
      <family val="2"/>
      <scheme val="minor"/>
    </font>
    <font>
      <sz val="11"/>
      <color rgb="FF000000"/>
      <name val="Calibri"/>
      <family val="2"/>
      <scheme val="minor"/>
    </font>
    <font>
      <sz val="11"/>
      <color indexed="8"/>
      <name val="Calibri"/>
      <family val="2"/>
      <scheme val="minor"/>
    </font>
    <font>
      <i/>
      <vertAlign val="subscript"/>
      <sz val="11"/>
      <name val="Calibri Light"/>
      <family val="2"/>
      <scheme val="major"/>
    </font>
    <font>
      <b/>
      <u/>
      <sz val="11"/>
      <name val="Calibri"/>
      <family val="2"/>
      <scheme val="minor"/>
    </font>
    <font>
      <i/>
      <sz val="11"/>
      <color theme="1"/>
      <name val="Calibri Light"/>
      <family val="2"/>
      <scheme val="major"/>
    </font>
    <font>
      <i/>
      <sz val="11"/>
      <name val="Calibri"/>
      <family val="2"/>
      <scheme val="minor"/>
    </font>
    <font>
      <sz val="11"/>
      <name val="Times New Roman"/>
      <family val="1"/>
    </font>
    <font>
      <vertAlign val="subscript"/>
      <sz val="11"/>
      <color theme="1"/>
      <name val="Calibri"/>
      <family val="2"/>
      <scheme val="minor"/>
    </font>
    <font>
      <sz val="11"/>
      <color rgb="FF00B050"/>
      <name val="Calibri"/>
      <family val="2"/>
      <scheme val="minor"/>
    </font>
    <font>
      <i/>
      <sz val="11"/>
      <color theme="1"/>
      <name val="Calibri"/>
      <family val="2"/>
      <scheme val="minor"/>
    </font>
    <font>
      <b/>
      <sz val="18"/>
      <name val="Calibri"/>
      <family val="2"/>
      <scheme val="minor"/>
    </font>
    <font>
      <sz val="20"/>
      <color theme="1"/>
      <name val="Calibri"/>
      <family val="2"/>
      <scheme val="minor"/>
    </font>
    <font>
      <i/>
      <vertAlign val="subscript"/>
      <sz val="11"/>
      <name val="Calibri"/>
      <family val="2"/>
      <scheme val="minor"/>
    </font>
    <font>
      <u/>
      <sz val="11"/>
      <color theme="10"/>
      <name val="Calibri"/>
      <family val="2"/>
      <scheme val="minor"/>
    </font>
    <font>
      <sz val="12"/>
      <color indexed="81"/>
      <name val="Tahoma"/>
      <family val="2"/>
    </font>
    <font>
      <sz val="11"/>
      <color indexed="81"/>
      <name val="Tahoma"/>
      <family val="2"/>
    </font>
    <font>
      <sz val="14"/>
      <color indexed="81"/>
      <name val="Tahoma"/>
      <family val="2"/>
    </font>
    <font>
      <b/>
      <sz val="14"/>
      <color indexed="81"/>
      <name val="Tahoma"/>
      <family val="2"/>
    </font>
    <font>
      <b/>
      <sz val="16"/>
      <color indexed="81"/>
      <name val="Tahoma"/>
      <family val="2"/>
    </font>
    <font>
      <sz val="20"/>
      <color indexed="81"/>
      <name val="Tahoma"/>
      <family val="2"/>
    </font>
    <font>
      <i/>
      <vertAlign val="subscript"/>
      <sz val="11"/>
      <color theme="1"/>
      <name val="Calibri"/>
      <family val="2"/>
      <scheme val="minor"/>
    </font>
    <font>
      <sz val="11"/>
      <color rgb="FF0070C0"/>
      <name val="Calibri"/>
      <family val="2"/>
      <scheme val="minor"/>
    </font>
    <font>
      <b/>
      <sz val="12"/>
      <name val="Calibri"/>
      <family val="2"/>
      <scheme val="minor"/>
    </font>
    <font>
      <strike/>
      <sz val="11"/>
      <name val="Calibri"/>
      <family val="2"/>
      <scheme val="minor"/>
    </font>
    <font>
      <strike/>
      <sz val="10"/>
      <name val="Calibri"/>
      <family val="2"/>
      <scheme val="minor"/>
    </font>
    <font>
      <sz val="11"/>
      <name val="Calibri Light"/>
      <family val="2"/>
      <scheme val="major"/>
    </font>
    <font>
      <sz val="10"/>
      <color theme="0"/>
      <name val="Arial"/>
      <family val="2"/>
    </font>
    <font>
      <sz val="10"/>
      <color rgb="FF00B050"/>
      <name val="Arial"/>
      <family val="2"/>
    </font>
    <font>
      <sz val="16"/>
      <name val="Calibri"/>
      <family val="2"/>
      <scheme val="minor"/>
    </font>
    <font>
      <b/>
      <sz val="10"/>
      <name val="Calibri"/>
      <family val="2"/>
    </font>
    <font>
      <sz val="9.9"/>
      <name val="Calibri"/>
      <family val="2"/>
    </font>
    <font>
      <sz val="12"/>
      <name val="Calibri"/>
      <family val="2"/>
      <scheme val="minor"/>
    </font>
    <font>
      <sz val="12"/>
      <color theme="0"/>
      <name val="Calibri"/>
      <family val="2"/>
      <scheme val="minor"/>
    </font>
    <font>
      <sz val="9"/>
      <name val="Calibri"/>
      <family val="2"/>
      <scheme val="minor"/>
    </font>
    <font>
      <u/>
      <sz val="11"/>
      <name val="Calibri"/>
      <family val="2"/>
      <scheme val="minor"/>
    </font>
    <font>
      <vertAlign val="subscript"/>
      <sz val="10"/>
      <name val="Calibri"/>
      <family val="2"/>
      <scheme val="minor"/>
    </font>
    <font>
      <b/>
      <u/>
      <sz val="11"/>
      <name val="Calibri Light"/>
      <family val="2"/>
    </font>
    <font>
      <i/>
      <strike/>
      <sz val="11"/>
      <name val="Calibri"/>
      <family val="2"/>
      <scheme val="minor"/>
    </font>
    <font>
      <b/>
      <sz val="14"/>
      <color theme="1"/>
      <name val="Calibri"/>
      <family val="2"/>
      <scheme val="minor"/>
    </font>
    <font>
      <b/>
      <sz val="14"/>
      <color rgb="FF0070C0"/>
      <name val="Calibri"/>
      <family val="2"/>
      <scheme val="minor"/>
    </font>
    <font>
      <b/>
      <sz val="14"/>
      <color rgb="FFFF0000"/>
      <name val="Calibri"/>
      <family val="2"/>
      <scheme val="minor"/>
    </font>
    <font>
      <b/>
      <sz val="28"/>
      <color theme="1"/>
      <name val="Calibri"/>
      <family val="2"/>
      <scheme val="minor"/>
    </font>
    <font>
      <sz val="12"/>
      <color theme="1"/>
      <name val="Calibri"/>
      <family val="2"/>
      <scheme val="minor"/>
    </font>
    <font>
      <b/>
      <sz val="11"/>
      <color rgb="FFFF0000"/>
      <name val="Calibri"/>
      <family val="2"/>
      <scheme val="minor"/>
    </font>
    <font>
      <sz val="11"/>
      <color theme="0" tint="-0.34998626667073579"/>
      <name val="Calibri"/>
      <family val="2"/>
      <scheme val="minor"/>
    </font>
    <font>
      <b/>
      <sz val="20"/>
      <color theme="1"/>
      <name val="Calibri"/>
      <family val="2"/>
      <scheme val="minor"/>
    </font>
    <font>
      <strike/>
      <sz val="11"/>
      <color rgb="FFFF0000"/>
      <name val="Calibri"/>
      <family val="2"/>
      <scheme val="minor"/>
    </font>
    <font>
      <b/>
      <sz val="11"/>
      <name val="Calibri"/>
      <family val="2"/>
    </font>
    <font>
      <vertAlign val="subscript"/>
      <sz val="11"/>
      <name val="Calibri Light"/>
      <family val="2"/>
      <scheme val="major"/>
    </font>
    <font>
      <b/>
      <strike/>
      <sz val="11"/>
      <color rgb="FFFF0000"/>
      <name val="Calibri"/>
      <family val="2"/>
      <scheme val="minor"/>
    </font>
    <font>
      <sz val="11"/>
      <color theme="1"/>
      <name val="Calibri"/>
      <family val="2"/>
    </font>
    <font>
      <sz val="11"/>
      <color theme="2" tint="-0.249977111117893"/>
      <name val="Calibri"/>
      <family val="2"/>
      <scheme val="minor"/>
    </font>
    <font>
      <b/>
      <sz val="14"/>
      <name val="Calibri"/>
      <family val="2"/>
      <scheme val="minor"/>
    </font>
    <font>
      <sz val="11"/>
      <color rgb="FFFF0000"/>
      <name val="Calibri Light"/>
      <family val="2"/>
      <scheme val="major"/>
    </font>
    <font>
      <strike/>
      <sz val="11"/>
      <color theme="0" tint="-0.14999847407452621"/>
      <name val="Calibri"/>
      <family val="2"/>
      <scheme val="minor"/>
    </font>
    <font>
      <b/>
      <strike/>
      <sz val="11"/>
      <color theme="0" tint="-0.249977111117893"/>
      <name val="Calibri"/>
      <family val="2"/>
      <scheme val="minor"/>
    </font>
    <font>
      <strike/>
      <sz val="11"/>
      <color theme="0" tint="-0.249977111117893"/>
      <name val="Calibri"/>
      <family val="2"/>
      <scheme val="minor"/>
    </font>
    <font>
      <strike/>
      <vertAlign val="subscript"/>
      <sz val="11"/>
      <color theme="0" tint="-0.249977111117893"/>
      <name val="Calibri"/>
      <family val="2"/>
      <scheme val="minor"/>
    </font>
    <font>
      <sz val="10"/>
      <name val="Calibri"/>
      <family val="2"/>
    </font>
    <font>
      <vertAlign val="subscript"/>
      <sz val="11"/>
      <color rgb="FFFF0000"/>
      <name val="Calibri Light"/>
      <family val="2"/>
      <scheme val="major"/>
    </font>
    <font>
      <sz val="8"/>
      <name val="Calibri"/>
      <family val="2"/>
      <scheme val="minor"/>
    </font>
    <font>
      <sz val="11"/>
      <color theme="2"/>
      <name val="Calibri"/>
      <family val="2"/>
      <scheme val="minor"/>
    </font>
    <font>
      <sz val="10"/>
      <color rgb="FFFF0000"/>
      <name val="Calibri"/>
      <family val="2"/>
    </font>
    <font>
      <b/>
      <strike/>
      <sz val="11"/>
      <name val="Calibri"/>
      <family val="2"/>
      <scheme val="minor"/>
    </font>
    <font>
      <b/>
      <sz val="11"/>
      <color theme="2" tint="-0.249977111117893"/>
      <name val="Calibri"/>
      <family val="2"/>
      <scheme val="minor"/>
    </font>
    <font>
      <sz val="10"/>
      <color rgb="FFFF0000"/>
      <name val="Times New Roman"/>
      <family val="1"/>
    </font>
    <font>
      <sz val="10"/>
      <color rgb="FFFF0000"/>
      <name val="Arial"/>
      <family val="2"/>
    </font>
    <font>
      <b/>
      <sz val="26"/>
      <name val="Calibri"/>
      <family val="2"/>
      <scheme val="minor"/>
    </font>
    <font>
      <strike/>
      <vertAlign val="subscript"/>
      <sz val="11"/>
      <name val="Calibri"/>
      <family val="2"/>
      <scheme val="minor"/>
    </font>
  </fonts>
  <fills count="37">
    <fill>
      <patternFill patternType="none"/>
    </fill>
    <fill>
      <patternFill patternType="gray125"/>
    </fill>
    <fill>
      <patternFill patternType="solid">
        <fgColor rgb="FFFFEB9C"/>
      </patternFill>
    </fill>
    <fill>
      <patternFill patternType="solid">
        <fgColor rgb="FFFFCC99"/>
      </patternFill>
    </fill>
    <fill>
      <patternFill patternType="solid">
        <fgColor theme="0"/>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rgb="FFA9D08E"/>
        <bgColor indexed="64"/>
      </patternFill>
    </fill>
    <fill>
      <patternFill patternType="solid">
        <fgColor rgb="FF9BC2E6"/>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rgb="FFFFFFFF"/>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F0000"/>
        <bgColor indexed="64"/>
      </patternFill>
    </fill>
    <fill>
      <patternFill patternType="solid">
        <fgColor rgb="FF92D050"/>
        <bgColor indexed="64"/>
      </patternFill>
    </fill>
    <fill>
      <patternFill patternType="solid">
        <fgColor theme="4"/>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rgb="FFD9D9D9"/>
        <bgColor rgb="FF000000"/>
      </patternFill>
    </fill>
    <fill>
      <patternFill patternType="solid">
        <fgColor rgb="FFFFFFFF"/>
        <bgColor rgb="FF000000"/>
      </patternFill>
    </fill>
    <fill>
      <patternFill patternType="solid">
        <fgColor theme="0"/>
        <bgColor rgb="FF000000"/>
      </patternFill>
    </fill>
  </fills>
  <borders count="98">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medium">
        <color indexed="64"/>
      </top>
      <bottom/>
      <diagonal/>
    </border>
    <border>
      <left style="medium">
        <color auto="1"/>
      </left>
      <right style="thin">
        <color auto="1"/>
      </right>
      <top style="medium">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auto="1"/>
      </left>
      <right style="thin">
        <color auto="1"/>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theme="0"/>
      </top>
      <bottom style="thin">
        <color theme="0"/>
      </bottom>
      <diagonal/>
    </border>
    <border>
      <left style="thin">
        <color theme="0"/>
      </left>
      <right style="thin">
        <color theme="0"/>
      </right>
      <top/>
      <bottom/>
      <diagonal/>
    </border>
    <border>
      <left/>
      <right/>
      <top/>
      <bottom style="thin">
        <color theme="0"/>
      </bottom>
      <diagonal/>
    </border>
    <border>
      <left/>
      <right/>
      <top style="thin">
        <color theme="0"/>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auto="1"/>
      </right>
      <top/>
      <bottom style="thin">
        <color indexed="64"/>
      </bottom>
      <diagonal/>
    </border>
    <border>
      <left/>
      <right style="medium">
        <color auto="1"/>
      </right>
      <top style="thin">
        <color auto="1"/>
      </top>
      <bottom style="thin">
        <color auto="1"/>
      </bottom>
      <diagonal/>
    </border>
    <border>
      <left/>
      <right style="medium">
        <color auto="1"/>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style="thin">
        <color theme="0"/>
      </top>
      <bottom/>
      <diagonal/>
    </border>
    <border>
      <left/>
      <right style="thin">
        <color theme="0"/>
      </right>
      <top/>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right/>
      <top style="medium">
        <color indexed="64"/>
      </top>
      <bottom style="medium">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medium">
        <color indexed="64"/>
      </left>
      <right style="thin">
        <color indexed="64"/>
      </right>
      <top style="medium">
        <color indexed="64"/>
      </top>
      <bottom style="medium">
        <color indexed="64"/>
      </bottom>
      <diagonal/>
    </border>
    <border>
      <left style="medium">
        <color rgb="FFBFBFBF"/>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A6A6A6"/>
      </left>
      <right style="thin">
        <color rgb="FFA6A6A6"/>
      </right>
      <top style="thin">
        <color rgb="FFA6A6A6"/>
      </top>
      <bottom style="thin">
        <color rgb="FFA6A6A6"/>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medium">
        <color indexed="64"/>
      </left>
      <right style="thin">
        <color indexed="64"/>
      </right>
      <top style="thin">
        <color indexed="64"/>
      </top>
      <bottom/>
      <diagonal/>
    </border>
  </borders>
  <cellStyleXfs count="22">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3" borderId="1" applyNumberFormat="0" applyAlignment="0" applyProtection="0"/>
    <xf numFmtId="0" fontId="12" fillId="0" borderId="0"/>
    <xf numFmtId="0" fontId="1" fillId="0" borderId="0"/>
    <xf numFmtId="9" fontId="22" fillId="0" borderId="0">
      <alignment horizontal="right" vertical="center" wrapText="1" readingOrder="1"/>
    </xf>
    <xf numFmtId="0" fontId="24"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3" fillId="0" borderId="0"/>
    <xf numFmtId="0" fontId="1" fillId="0" borderId="0"/>
    <xf numFmtId="0" fontId="36" fillId="2" borderId="0" applyNumberFormat="0" applyBorder="0" applyAlignment="0" applyProtection="0"/>
    <xf numFmtId="9" fontId="43" fillId="0" borderId="0" applyFont="0" applyFill="0" applyBorder="0" applyAlignment="0" applyProtection="0"/>
    <xf numFmtId="9" fontId="44" fillId="0" borderId="0" applyFont="0" applyFill="0" applyBorder="0" applyAlignment="0" applyProtection="0"/>
    <xf numFmtId="0" fontId="56" fillId="0" borderId="0" applyNumberFormat="0" applyFill="0" applyBorder="0" applyAlignment="0" applyProtection="0"/>
    <xf numFmtId="0" fontId="33" fillId="0" borderId="0"/>
    <xf numFmtId="44" fontId="1" fillId="0" borderId="0" applyFont="0" applyFill="0" applyBorder="0" applyAlignment="0" applyProtection="0"/>
    <xf numFmtId="9" fontId="1" fillId="0" borderId="0" applyFont="0" applyFill="0" applyBorder="0" applyAlignment="0" applyProtection="0"/>
    <xf numFmtId="0" fontId="28" fillId="0" borderId="0"/>
  </cellStyleXfs>
  <cellXfs count="4609">
    <xf numFmtId="0" fontId="0" fillId="0" borderId="0" xfId="0"/>
    <xf numFmtId="0" fontId="0" fillId="0" borderId="0" xfId="0" applyAlignment="1">
      <alignment horizontal="center" wrapText="1"/>
    </xf>
    <xf numFmtId="0" fontId="9" fillId="5" borderId="8"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10" fillId="5" borderId="11" xfId="0" applyFont="1" applyFill="1" applyBorder="1" applyAlignment="1">
      <alignment horizontal="center" vertical="center" wrapText="1"/>
    </xf>
    <xf numFmtId="0" fontId="10" fillId="5" borderId="13" xfId="0" applyFont="1" applyFill="1" applyBorder="1" applyAlignment="1">
      <alignment horizontal="center" vertical="center" wrapText="1"/>
    </xf>
    <xf numFmtId="0" fontId="10" fillId="5" borderId="14" xfId="0" applyFont="1" applyFill="1" applyBorder="1" applyAlignment="1">
      <alignment horizontal="center" vertical="center" wrapText="1"/>
    </xf>
    <xf numFmtId="0" fontId="10" fillId="5" borderId="15" xfId="0" applyFont="1" applyFill="1" applyBorder="1" applyAlignment="1">
      <alignment horizontal="center" vertical="center" wrapText="1"/>
    </xf>
    <xf numFmtId="165" fontId="10" fillId="0" borderId="3" xfId="0" applyNumberFormat="1" applyFont="1" applyBorder="1" applyAlignment="1">
      <alignment horizontal="center" vertical="center" wrapText="1"/>
    </xf>
    <xf numFmtId="14" fontId="10" fillId="0" borderId="4" xfId="0" applyNumberFormat="1" applyFont="1" applyBorder="1" applyAlignment="1">
      <alignment horizontal="center" vertical="center" wrapText="1"/>
    </xf>
    <xf numFmtId="165" fontId="10" fillId="0" borderId="4" xfId="0" applyNumberFormat="1" applyFont="1" applyBorder="1" applyAlignment="1">
      <alignment horizontal="center" vertical="center" wrapText="1"/>
    </xf>
    <xf numFmtId="0" fontId="10" fillId="0" borderId="5" xfId="0" applyFont="1" applyBorder="1" applyAlignment="1">
      <alignment horizontal="left" vertical="center" wrapText="1"/>
    </xf>
    <xf numFmtId="165" fontId="10" fillId="0" borderId="8" xfId="0" applyNumberFormat="1" applyFont="1" applyBorder="1" applyAlignment="1">
      <alignment horizontal="center" vertical="center" wrapText="1"/>
    </xf>
    <xf numFmtId="14" fontId="10" fillId="0" borderId="9" xfId="0" applyNumberFormat="1" applyFont="1" applyBorder="1" applyAlignment="1">
      <alignment horizontal="justify" vertical="center" wrapText="1"/>
    </xf>
    <xf numFmtId="165" fontId="10" fillId="0" borderId="9" xfId="0" applyNumberFormat="1" applyFont="1" applyBorder="1" applyAlignment="1">
      <alignment horizontal="center" vertical="center" wrapText="1"/>
    </xf>
    <xf numFmtId="0" fontId="10" fillId="0" borderId="10" xfId="0" applyFont="1" applyBorder="1" applyAlignment="1">
      <alignment horizontal="left" vertical="center" wrapText="1"/>
    </xf>
    <xf numFmtId="165" fontId="10" fillId="0" borderId="13" xfId="0" applyNumberFormat="1" applyFont="1" applyBorder="1" applyAlignment="1">
      <alignment horizontal="center" vertical="center" wrapText="1"/>
    </xf>
    <xf numFmtId="14" fontId="10" fillId="0" borderId="14" xfId="0" applyNumberFormat="1" applyFont="1" applyBorder="1" applyAlignment="1">
      <alignment horizontal="justify" vertical="center" wrapText="1"/>
    </xf>
    <xf numFmtId="165" fontId="10" fillId="0" borderId="14" xfId="0" applyNumberFormat="1" applyFont="1" applyBorder="1" applyAlignment="1">
      <alignment horizontal="center" vertical="center" wrapText="1"/>
    </xf>
    <xf numFmtId="0" fontId="10" fillId="0" borderId="15" xfId="0" applyFont="1" applyBorder="1" applyAlignment="1">
      <alignment horizontal="left" vertical="center" wrapText="1"/>
    </xf>
    <xf numFmtId="0" fontId="12" fillId="0" borderId="0" xfId="5"/>
    <xf numFmtId="2" fontId="12" fillId="0" borderId="0" xfId="5" applyNumberFormat="1" applyAlignment="1">
      <alignment horizontal="center"/>
    </xf>
    <xf numFmtId="0" fontId="13" fillId="0" borderId="0" xfId="5" applyFont="1"/>
    <xf numFmtId="0" fontId="14" fillId="0" borderId="0" xfId="5" applyFont="1"/>
    <xf numFmtId="0" fontId="5" fillId="0" borderId="0" xfId="5" applyFont="1" applyAlignment="1">
      <alignment horizontal="center" vertical="center" wrapText="1"/>
    </xf>
    <xf numFmtId="0" fontId="15" fillId="9" borderId="0" xfId="5" applyFont="1" applyFill="1"/>
    <xf numFmtId="0" fontId="16" fillId="9" borderId="0" xfId="5" applyFont="1" applyFill="1"/>
    <xf numFmtId="0" fontId="12" fillId="9" borderId="0" xfId="5" applyFill="1"/>
    <xf numFmtId="0" fontId="14" fillId="0" borderId="0" xfId="5" applyFont="1" applyAlignment="1">
      <alignment horizontal="center"/>
    </xf>
    <xf numFmtId="0" fontId="1" fillId="4" borderId="0" xfId="6" applyFill="1"/>
    <xf numFmtId="0" fontId="1" fillId="0" borderId="0" xfId="6"/>
    <xf numFmtId="2" fontId="1" fillId="0" borderId="0" xfId="6" applyNumberFormat="1" applyAlignment="1">
      <alignment horizontal="center"/>
    </xf>
    <xf numFmtId="0" fontId="20" fillId="0" borderId="0" xfId="5" applyFont="1"/>
    <xf numFmtId="0" fontId="12" fillId="0" borderId="0" xfId="6" applyFont="1"/>
    <xf numFmtId="0" fontId="20" fillId="11" borderId="9" xfId="6" applyFont="1" applyFill="1" applyBorder="1" applyAlignment="1">
      <alignment horizontal="center" vertical="center" wrapText="1"/>
    </xf>
    <xf numFmtId="166" fontId="20" fillId="11" borderId="9" xfId="5" applyNumberFormat="1" applyFont="1" applyFill="1" applyBorder="1" applyAlignment="1">
      <alignment horizontal="center" vertical="center" wrapText="1"/>
    </xf>
    <xf numFmtId="0" fontId="20" fillId="11" borderId="19" xfId="6" applyFont="1" applyFill="1" applyBorder="1" applyAlignment="1">
      <alignment horizontal="center" vertical="center" wrapText="1"/>
    </xf>
    <xf numFmtId="0" fontId="20" fillId="8" borderId="9" xfId="0" applyFont="1" applyFill="1" applyBorder="1"/>
    <xf numFmtId="0" fontId="0" fillId="8" borderId="9" xfId="0" applyFill="1" applyBorder="1" applyAlignment="1">
      <alignment horizontal="center" wrapText="1"/>
    </xf>
    <xf numFmtId="2" fontId="0" fillId="0" borderId="22" xfId="1" applyNumberFormat="1" applyFont="1" applyBorder="1" applyAlignment="1">
      <alignment horizontal="center"/>
    </xf>
    <xf numFmtId="2" fontId="0" fillId="0" borderId="25" xfId="1" applyNumberFormat="1" applyFont="1" applyBorder="1" applyAlignment="1">
      <alignment horizontal="center"/>
    </xf>
    <xf numFmtId="0" fontId="12" fillId="4" borderId="0" xfId="5" applyFill="1"/>
    <xf numFmtId="0" fontId="0" fillId="12" borderId="0" xfId="0" applyFill="1"/>
    <xf numFmtId="0" fontId="20" fillId="12" borderId="9" xfId="0" applyFont="1" applyFill="1" applyBorder="1" applyAlignment="1">
      <alignment horizontal="center" vertical="center" wrapText="1"/>
    </xf>
    <xf numFmtId="166" fontId="20" fillId="12" borderId="9" xfId="0" applyNumberFormat="1" applyFont="1" applyFill="1" applyBorder="1" applyAlignment="1">
      <alignment horizontal="center" vertical="center" wrapText="1"/>
    </xf>
    <xf numFmtId="2" fontId="20" fillId="7" borderId="9" xfId="0" applyNumberFormat="1" applyFont="1" applyFill="1" applyBorder="1" applyAlignment="1">
      <alignment horizontal="center"/>
    </xf>
    <xf numFmtId="168" fontId="20" fillId="4" borderId="9" xfId="0" applyNumberFormat="1" applyFont="1" applyFill="1" applyBorder="1" applyAlignment="1">
      <alignment horizontal="center" vertical="center" wrapText="1"/>
    </xf>
    <xf numFmtId="2" fontId="0" fillId="0" borderId="9" xfId="0" applyNumberFormat="1" applyBorder="1" applyAlignment="1">
      <alignment horizontal="center"/>
    </xf>
    <xf numFmtId="2" fontId="20" fillId="0" borderId="9" xfId="0" applyNumberFormat="1" applyFont="1" applyBorder="1" applyAlignment="1">
      <alignment horizontal="center"/>
    </xf>
    <xf numFmtId="0" fontId="20" fillId="0" borderId="9" xfId="0" applyFont="1" applyBorder="1" applyAlignment="1">
      <alignment horizontal="center"/>
    </xf>
    <xf numFmtId="170" fontId="20" fillId="0" borderId="9" xfId="5" applyNumberFormat="1" applyFont="1" applyBorder="1" applyAlignment="1">
      <alignment horizontal="center"/>
    </xf>
    <xf numFmtId="2" fontId="20" fillId="4" borderId="9" xfId="0" applyNumberFormat="1" applyFont="1" applyFill="1" applyBorder="1" applyAlignment="1">
      <alignment horizontal="center"/>
    </xf>
    <xf numFmtId="165" fontId="20" fillId="4" borderId="9" xfId="0" applyNumberFormat="1" applyFont="1" applyFill="1" applyBorder="1" applyAlignment="1">
      <alignment horizontal="center"/>
    </xf>
    <xf numFmtId="0" fontId="12" fillId="0" borderId="0" xfId="5" applyAlignment="1">
      <alignment horizontal="center"/>
    </xf>
    <xf numFmtId="165" fontId="20" fillId="0" borderId="9" xfId="0" applyNumberFormat="1" applyFont="1" applyBorder="1" applyAlignment="1">
      <alignment horizontal="center"/>
    </xf>
    <xf numFmtId="44" fontId="0" fillId="0" borderId="27" xfId="2" applyFont="1" applyFill="1" applyBorder="1"/>
    <xf numFmtId="44" fontId="0" fillId="0" borderId="0" xfId="2" applyFont="1" applyFill="1" applyBorder="1"/>
    <xf numFmtId="44" fontId="0" fillId="0" borderId="28" xfId="2" applyFont="1" applyFill="1" applyBorder="1"/>
    <xf numFmtId="2" fontId="12" fillId="0" borderId="0" xfId="6" applyNumberFormat="1" applyFont="1" applyAlignment="1">
      <alignment horizontal="center"/>
    </xf>
    <xf numFmtId="2" fontId="20" fillId="0" borderId="0" xfId="5" applyNumberFormat="1" applyFont="1" applyAlignment="1">
      <alignment horizontal="center"/>
    </xf>
    <xf numFmtId="165" fontId="1" fillId="0" borderId="29" xfId="6" applyNumberFormat="1" applyBorder="1" applyAlignment="1">
      <alignment horizontal="center"/>
    </xf>
    <xf numFmtId="165" fontId="1" fillId="0" borderId="9" xfId="5" applyNumberFormat="1" applyFont="1" applyBorder="1" applyAlignment="1">
      <alignment horizontal="center"/>
    </xf>
    <xf numFmtId="0" fontId="20" fillId="11" borderId="30" xfId="5" applyFont="1" applyFill="1" applyBorder="1" applyAlignment="1">
      <alignment horizontal="center" vertical="center" wrapText="1"/>
    </xf>
    <xf numFmtId="0" fontId="20" fillId="11" borderId="23" xfId="5" applyFont="1" applyFill="1" applyBorder="1" applyAlignment="1">
      <alignment horizontal="center" vertical="center" wrapText="1"/>
    </xf>
    <xf numFmtId="0" fontId="20" fillId="11" borderId="20" xfId="5" applyFont="1" applyFill="1" applyBorder="1" applyAlignment="1">
      <alignment vertical="center" wrapText="1"/>
    </xf>
    <xf numFmtId="170" fontId="1" fillId="0" borderId="9" xfId="5" applyNumberFormat="1" applyFont="1" applyBorder="1" applyAlignment="1">
      <alignment horizontal="center"/>
    </xf>
    <xf numFmtId="0" fontId="20" fillId="11" borderId="9" xfId="5" applyFont="1" applyFill="1" applyBorder="1" applyAlignment="1">
      <alignment vertical="center" wrapText="1"/>
    </xf>
    <xf numFmtId="0" fontId="28" fillId="11" borderId="19" xfId="5" applyFont="1" applyFill="1" applyBorder="1" applyAlignment="1">
      <alignment horizontal="center" vertical="center" wrapText="1"/>
    </xf>
    <xf numFmtId="0" fontId="0" fillId="0" borderId="0" xfId="6" applyFont="1"/>
    <xf numFmtId="1" fontId="20" fillId="11" borderId="19" xfId="5" applyNumberFormat="1" applyFont="1" applyFill="1" applyBorder="1" applyAlignment="1">
      <alignment horizontal="center" vertical="center" wrapText="1"/>
    </xf>
    <xf numFmtId="165" fontId="1" fillId="0" borderId="9" xfId="6" applyNumberFormat="1" applyBorder="1" applyAlignment="1">
      <alignment horizontal="center"/>
    </xf>
    <xf numFmtId="165" fontId="20" fillId="0" borderId="9" xfId="5" applyNumberFormat="1" applyFont="1" applyBorder="1" applyAlignment="1">
      <alignment horizontal="center" vertical="center"/>
    </xf>
    <xf numFmtId="180" fontId="20" fillId="0" borderId="9" xfId="5" applyNumberFormat="1" applyFont="1" applyBorder="1" applyAlignment="1">
      <alignment horizontal="center" vertical="center"/>
    </xf>
    <xf numFmtId="9" fontId="20" fillId="0" borderId="9" xfId="3" applyFont="1" applyFill="1" applyBorder="1" applyAlignment="1">
      <alignment horizontal="center" vertical="center"/>
    </xf>
    <xf numFmtId="0" fontId="20" fillId="4" borderId="9" xfId="5" applyFont="1" applyFill="1" applyBorder="1" applyAlignment="1">
      <alignment horizontal="center"/>
    </xf>
    <xf numFmtId="1" fontId="20" fillId="7" borderId="9" xfId="3" applyNumberFormat="1" applyFont="1" applyFill="1" applyBorder="1" applyAlignment="1">
      <alignment horizontal="center" vertical="center"/>
    </xf>
    <xf numFmtId="165" fontId="1" fillId="0" borderId="19" xfId="6" applyNumberFormat="1" applyBorder="1" applyAlignment="1">
      <alignment horizontal="center"/>
    </xf>
    <xf numFmtId="1" fontId="0" fillId="4" borderId="0" xfId="11" applyNumberFormat="1" applyFont="1" applyFill="1" applyBorder="1" applyAlignment="1">
      <alignment horizontal="center" vertical="center"/>
    </xf>
    <xf numFmtId="2" fontId="0" fillId="4" borderId="0" xfId="11" applyNumberFormat="1" applyFont="1" applyFill="1" applyBorder="1" applyAlignment="1">
      <alignment horizontal="center" vertical="center"/>
    </xf>
    <xf numFmtId="9" fontId="0" fillId="0" borderId="9" xfId="3" applyFont="1" applyFill="1" applyBorder="1" applyAlignment="1">
      <alignment horizontal="center"/>
    </xf>
    <xf numFmtId="0" fontId="21" fillId="0" borderId="0" xfId="5" applyFont="1"/>
    <xf numFmtId="165" fontId="4" fillId="0" borderId="9" xfId="6" applyNumberFormat="1" applyFont="1" applyBorder="1" applyAlignment="1">
      <alignment horizontal="center"/>
    </xf>
    <xf numFmtId="0" fontId="4" fillId="4" borderId="9" xfId="0" applyFont="1" applyFill="1" applyBorder="1" applyAlignment="1">
      <alignment horizontal="center" vertical="center" wrapText="1"/>
    </xf>
    <xf numFmtId="0" fontId="4" fillId="0" borderId="0" xfId="0" applyFont="1"/>
    <xf numFmtId="170" fontId="4" fillId="4" borderId="9" xfId="5" applyNumberFormat="1" applyFont="1" applyFill="1" applyBorder="1" applyAlignment="1">
      <alignment horizontal="center"/>
    </xf>
    <xf numFmtId="171" fontId="4" fillId="4" borderId="9" xfId="5" applyNumberFormat="1" applyFont="1" applyFill="1" applyBorder="1" applyAlignment="1">
      <alignment horizontal="center" vertical="center" wrapText="1"/>
    </xf>
    <xf numFmtId="0" fontId="0" fillId="0" borderId="0" xfId="0" applyAlignment="1">
      <alignment horizontal="center"/>
    </xf>
    <xf numFmtId="0" fontId="20" fillId="0" borderId="9" xfId="0" applyFont="1" applyBorder="1" applyAlignment="1">
      <alignment horizontal="center" vertical="center" wrapText="1"/>
    </xf>
    <xf numFmtId="2" fontId="20" fillId="4" borderId="9" xfId="0" applyNumberFormat="1" applyFont="1" applyFill="1" applyBorder="1" applyAlignment="1">
      <alignment horizontal="center" vertical="center" wrapText="1"/>
    </xf>
    <xf numFmtId="169" fontId="20" fillId="0" borderId="9" xfId="0" applyNumberFormat="1" applyFont="1" applyBorder="1" applyAlignment="1">
      <alignment horizontal="center" vertical="center" wrapText="1"/>
    </xf>
    <xf numFmtId="0" fontId="34" fillId="0" borderId="9" xfId="12" applyFont="1" applyBorder="1" applyAlignment="1">
      <alignment horizontal="center"/>
    </xf>
    <xf numFmtId="165" fontId="20" fillId="0" borderId="9" xfId="0" applyNumberFormat="1" applyFont="1" applyBorder="1" applyAlignment="1">
      <alignment horizontal="center" vertical="center" wrapText="1"/>
    </xf>
    <xf numFmtId="2" fontId="20" fillId="4" borderId="9" xfId="0" applyNumberFormat="1" applyFont="1" applyFill="1" applyBorder="1"/>
    <xf numFmtId="43" fontId="0" fillId="0" borderId="20" xfId="1" applyFont="1" applyBorder="1"/>
    <xf numFmtId="7" fontId="0" fillId="0" borderId="27" xfId="0" applyNumberFormat="1" applyBorder="1"/>
    <xf numFmtId="2" fontId="4" fillId="4" borderId="9" xfId="0" applyNumberFormat="1" applyFont="1" applyFill="1" applyBorder="1"/>
    <xf numFmtId="43" fontId="0" fillId="0" borderId="22" xfId="1" applyFont="1" applyBorder="1"/>
    <xf numFmtId="7" fontId="0" fillId="0" borderId="0" xfId="0" applyNumberFormat="1"/>
    <xf numFmtId="2" fontId="4" fillId="4" borderId="9" xfId="0" applyNumberFormat="1" applyFont="1" applyFill="1" applyBorder="1" applyAlignment="1">
      <alignment horizontal="center" vertical="center" wrapText="1"/>
    </xf>
    <xf numFmtId="165" fontId="4" fillId="0" borderId="9" xfId="0" applyNumberFormat="1" applyFont="1" applyBorder="1" applyAlignment="1">
      <alignment horizontal="center" vertical="center" wrapText="1"/>
    </xf>
    <xf numFmtId="43" fontId="0" fillId="0" borderId="25" xfId="1" applyFont="1" applyBorder="1"/>
    <xf numFmtId="7" fontId="0" fillId="0" borderId="28" xfId="0" applyNumberFormat="1" applyBorder="1"/>
    <xf numFmtId="0" fontId="20" fillId="0" borderId="0" xfId="0" applyFont="1" applyAlignment="1">
      <alignment horizontal="center"/>
    </xf>
    <xf numFmtId="0" fontId="0" fillId="0" borderId="0" xfId="0" applyAlignment="1">
      <alignment horizontal="left"/>
    </xf>
    <xf numFmtId="0" fontId="35" fillId="0" borderId="0" xfId="0" applyFont="1"/>
    <xf numFmtId="0" fontId="20" fillId="0" borderId="0" xfId="0" applyFont="1"/>
    <xf numFmtId="2" fontId="20" fillId="4" borderId="4" xfId="0" applyNumberFormat="1" applyFont="1" applyFill="1" applyBorder="1"/>
    <xf numFmtId="2" fontId="0" fillId="0" borderId="4" xfId="0" applyNumberFormat="1" applyBorder="1"/>
    <xf numFmtId="2" fontId="0" fillId="4" borderId="9" xfId="0" applyNumberFormat="1" applyFill="1" applyBorder="1"/>
    <xf numFmtId="2" fontId="0" fillId="0" borderId="9" xfId="0" applyNumberFormat="1" applyBorder="1"/>
    <xf numFmtId="165" fontId="4" fillId="0" borderId="0" xfId="0" applyNumberFormat="1" applyFont="1"/>
    <xf numFmtId="2" fontId="20" fillId="0" borderId="9" xfId="0" applyNumberFormat="1" applyFont="1" applyBorder="1"/>
    <xf numFmtId="2" fontId="20" fillId="4" borderId="9" xfId="14" applyNumberFormat="1" applyFont="1" applyFill="1" applyBorder="1"/>
    <xf numFmtId="2" fontId="20" fillId="0" borderId="9" xfId="14" applyNumberFormat="1" applyFont="1" applyFill="1" applyBorder="1"/>
    <xf numFmtId="2" fontId="20" fillId="0" borderId="4" xfId="0" applyNumberFormat="1" applyFont="1" applyBorder="1"/>
    <xf numFmtId="2" fontId="4" fillId="0" borderId="4" xfId="0" applyNumberFormat="1" applyFont="1" applyBorder="1"/>
    <xf numFmtId="2" fontId="4" fillId="4" borderId="9" xfId="14" applyNumberFormat="1" applyFont="1" applyFill="1" applyBorder="1"/>
    <xf numFmtId="165" fontId="4" fillId="0" borderId="9" xfId="0" applyNumberFormat="1" applyFont="1" applyBorder="1"/>
    <xf numFmtId="10" fontId="28" fillId="0" borderId="23" xfId="7" applyNumberFormat="1" applyFont="1" applyBorder="1" applyAlignment="1">
      <alignment horizontal="center" vertical="center" wrapText="1"/>
    </xf>
    <xf numFmtId="10" fontId="23" fillId="0" borderId="9" xfId="7" applyNumberFormat="1" applyFont="1" applyBorder="1" applyAlignment="1">
      <alignment horizontal="center" vertical="center" wrapText="1"/>
    </xf>
    <xf numFmtId="39" fontId="20" fillId="4" borderId="9" xfId="5" applyNumberFormat="1" applyFont="1" applyFill="1" applyBorder="1" applyAlignment="1">
      <alignment horizontal="center"/>
    </xf>
    <xf numFmtId="39" fontId="4" fillId="0" borderId="9" xfId="5" applyNumberFormat="1" applyFont="1" applyBorder="1" applyAlignment="1">
      <alignment horizontal="center"/>
    </xf>
    <xf numFmtId="9" fontId="28" fillId="0" borderId="9" xfId="7" applyFont="1" applyBorder="1" applyAlignment="1">
      <alignment horizontal="center" vertical="center" wrapText="1"/>
    </xf>
    <xf numFmtId="165" fontId="20" fillId="4" borderId="9" xfId="0" applyNumberFormat="1" applyFont="1" applyFill="1" applyBorder="1" applyAlignment="1">
      <alignment horizontal="center" vertical="center" wrapText="1"/>
    </xf>
    <xf numFmtId="2" fontId="12" fillId="0" borderId="0" xfId="5" applyNumberFormat="1"/>
    <xf numFmtId="0" fontId="39" fillId="0" borderId="0" xfId="5" applyFont="1" applyAlignment="1">
      <alignment horizontal="center"/>
    </xf>
    <xf numFmtId="0" fontId="40" fillId="0" borderId="0" xfId="0" applyFont="1" applyAlignment="1">
      <alignment horizontal="center"/>
    </xf>
    <xf numFmtId="0" fontId="40" fillId="0" borderId="0" xfId="0" applyFont="1" applyAlignment="1">
      <alignment horizontal="left"/>
    </xf>
    <xf numFmtId="2" fontId="20" fillId="0" borderId="0" xfId="0" applyNumberFormat="1" applyFont="1"/>
    <xf numFmtId="0" fontId="20" fillId="0" borderId="0" xfId="6" applyFont="1" applyAlignment="1">
      <alignment horizontal="center"/>
    </xf>
    <xf numFmtId="0" fontId="20" fillId="0" borderId="0" xfId="6" applyFont="1" applyAlignment="1">
      <alignment horizontal="left"/>
    </xf>
    <xf numFmtId="0" fontId="20" fillId="0" borderId="0" xfId="6" applyFont="1"/>
    <xf numFmtId="0" fontId="4" fillId="0" borderId="0" xfId="6" applyFont="1"/>
    <xf numFmtId="2" fontId="1" fillId="0" borderId="0" xfId="6" applyNumberFormat="1"/>
    <xf numFmtId="0" fontId="20" fillId="4" borderId="9" xfId="6" applyFont="1" applyFill="1" applyBorder="1" applyAlignment="1">
      <alignment horizontal="left"/>
    </xf>
    <xf numFmtId="182" fontId="20" fillId="4" borderId="9" xfId="1" applyNumberFormat="1" applyFont="1" applyFill="1" applyBorder="1" applyAlignment="1">
      <alignment horizontal="center"/>
    </xf>
    <xf numFmtId="2" fontId="20" fillId="4" borderId="9" xfId="6" applyNumberFormat="1" applyFont="1" applyFill="1" applyBorder="1" applyAlignment="1">
      <alignment horizontal="center"/>
    </xf>
    <xf numFmtId="169" fontId="20" fillId="4" borderId="9" xfId="6" applyNumberFormat="1" applyFont="1" applyFill="1" applyBorder="1" applyAlignment="1">
      <alignment horizontal="center"/>
    </xf>
    <xf numFmtId="165" fontId="20" fillId="4" borderId="9" xfId="6" applyNumberFormat="1" applyFont="1" applyFill="1" applyBorder="1" applyAlignment="1">
      <alignment horizontal="center"/>
    </xf>
    <xf numFmtId="7" fontId="25" fillId="4" borderId="9" xfId="2" applyNumberFormat="1" applyFont="1" applyFill="1" applyBorder="1"/>
    <xf numFmtId="0" fontId="0" fillId="0" borderId="9" xfId="0" applyBorder="1"/>
    <xf numFmtId="189" fontId="0" fillId="4" borderId="9" xfId="1" applyNumberFormat="1" applyFont="1" applyFill="1" applyBorder="1" applyAlignment="1">
      <alignment horizontal="center"/>
    </xf>
    <xf numFmtId="2" fontId="4" fillId="4" borderId="9" xfId="6" applyNumberFormat="1" applyFont="1" applyFill="1" applyBorder="1" applyAlignment="1">
      <alignment horizontal="center"/>
    </xf>
    <xf numFmtId="9" fontId="0" fillId="0" borderId="0" xfId="3" applyFont="1"/>
    <xf numFmtId="189" fontId="1" fillId="0" borderId="0" xfId="6" applyNumberFormat="1"/>
    <xf numFmtId="2" fontId="0" fillId="0" borderId="16" xfId="1" applyNumberFormat="1" applyFont="1" applyBorder="1"/>
    <xf numFmtId="7" fontId="0" fillId="0" borderId="17" xfId="0" applyNumberFormat="1" applyBorder="1"/>
    <xf numFmtId="0" fontId="20" fillId="4" borderId="0" xfId="6" applyFont="1" applyFill="1" applyAlignment="1">
      <alignment horizontal="left"/>
    </xf>
    <xf numFmtId="180" fontId="40" fillId="0" borderId="0" xfId="6" applyNumberFormat="1" applyFont="1"/>
    <xf numFmtId="0" fontId="1" fillId="0" borderId="0" xfId="13"/>
    <xf numFmtId="0" fontId="20" fillId="0" borderId="0" xfId="13" applyFont="1" applyAlignment="1">
      <alignment horizontal="center"/>
    </xf>
    <xf numFmtId="0" fontId="20" fillId="4" borderId="0" xfId="13" applyFont="1" applyFill="1" applyAlignment="1">
      <alignment horizontal="left"/>
    </xf>
    <xf numFmtId="1" fontId="20" fillId="0" borderId="0" xfId="13" applyNumberFormat="1" applyFont="1"/>
    <xf numFmtId="0" fontId="20" fillId="0" borderId="0" xfId="13" applyFont="1"/>
    <xf numFmtId="0" fontId="40" fillId="0" borderId="0" xfId="13" applyFont="1" applyAlignment="1">
      <alignment horizontal="left"/>
    </xf>
    <xf numFmtId="0" fontId="1" fillId="0" borderId="0" xfId="0" applyFont="1"/>
    <xf numFmtId="0" fontId="20" fillId="0" borderId="0" xfId="13" applyFont="1" applyAlignment="1">
      <alignment horizontal="left"/>
    </xf>
    <xf numFmtId="180" fontId="20" fillId="4" borderId="9" xfId="13" applyNumberFormat="1" applyFont="1" applyFill="1" applyBorder="1" applyAlignment="1">
      <alignment horizontal="center" vertical="center" wrapText="1"/>
    </xf>
    <xf numFmtId="165" fontId="20" fillId="4" borderId="9" xfId="13" applyNumberFormat="1" applyFont="1" applyFill="1" applyBorder="1" applyAlignment="1">
      <alignment vertical="center" wrapText="1"/>
    </xf>
    <xf numFmtId="180" fontId="4" fillId="0" borderId="9" xfId="13" applyNumberFormat="1" applyFont="1" applyBorder="1" applyAlignment="1">
      <alignment horizontal="center" vertical="center" wrapText="1"/>
    </xf>
    <xf numFmtId="180" fontId="4" fillId="4" borderId="9" xfId="13" applyNumberFormat="1" applyFont="1" applyFill="1" applyBorder="1" applyAlignment="1">
      <alignment horizontal="center" vertical="center" wrapText="1"/>
    </xf>
    <xf numFmtId="180" fontId="20" fillId="0" borderId="9" xfId="13" applyNumberFormat="1" applyFont="1" applyBorder="1" applyAlignment="1">
      <alignment horizontal="center" vertical="center" wrapText="1"/>
    </xf>
    <xf numFmtId="2" fontId="20" fillId="4" borderId="9" xfId="13" applyNumberFormat="1" applyFont="1" applyFill="1" applyBorder="1" applyAlignment="1">
      <alignment horizontal="center" vertical="center" wrapText="1"/>
    </xf>
    <xf numFmtId="2" fontId="1" fillId="4" borderId="9" xfId="13" applyNumberFormat="1" applyFill="1" applyBorder="1" applyAlignment="1">
      <alignment horizontal="center" vertical="center" wrapText="1"/>
    </xf>
    <xf numFmtId="2" fontId="4" fillId="0" borderId="9" xfId="13" applyNumberFormat="1" applyFont="1" applyBorder="1" applyAlignment="1">
      <alignment horizontal="center" vertical="center" wrapText="1"/>
    </xf>
    <xf numFmtId="2" fontId="4" fillId="4" borderId="9" xfId="13" applyNumberFormat="1" applyFont="1" applyFill="1" applyBorder="1" applyAlignment="1">
      <alignment horizontal="center" vertical="center" wrapText="1"/>
    </xf>
    <xf numFmtId="2" fontId="1" fillId="0" borderId="9" xfId="13" applyNumberFormat="1" applyBorder="1" applyAlignment="1">
      <alignment horizontal="center" vertical="center" wrapText="1"/>
    </xf>
    <xf numFmtId="2" fontId="20" fillId="0" borderId="9" xfId="13" applyNumberFormat="1" applyFont="1" applyBorder="1" applyAlignment="1">
      <alignment horizontal="center" vertical="center" wrapText="1"/>
    </xf>
    <xf numFmtId="2" fontId="20" fillId="4" borderId="9" xfId="13" applyNumberFormat="1" applyFont="1" applyFill="1" applyBorder="1" applyAlignment="1">
      <alignment horizontal="left" vertical="center" wrapText="1"/>
    </xf>
    <xf numFmtId="165" fontId="20" fillId="4" borderId="9" xfId="13" applyNumberFormat="1" applyFont="1" applyFill="1" applyBorder="1" applyAlignment="1">
      <alignment horizontal="center" vertical="center" wrapText="1"/>
    </xf>
    <xf numFmtId="165" fontId="1" fillId="4" borderId="9" xfId="13" applyNumberFormat="1" applyFill="1" applyBorder="1" applyAlignment="1">
      <alignment horizontal="center" vertical="center" wrapText="1"/>
    </xf>
    <xf numFmtId="165" fontId="1" fillId="0" borderId="9" xfId="13" applyNumberFormat="1" applyBorder="1" applyAlignment="1">
      <alignment horizontal="center" vertical="center" wrapText="1"/>
    </xf>
    <xf numFmtId="0" fontId="1" fillId="0" borderId="0" xfId="6" applyAlignment="1">
      <alignment horizontal="center"/>
    </xf>
    <xf numFmtId="165" fontId="4" fillId="0" borderId="9" xfId="13" applyNumberFormat="1" applyFont="1" applyBorder="1" applyAlignment="1">
      <alignment horizontal="center" vertical="center" wrapText="1"/>
    </xf>
    <xf numFmtId="1" fontId="20" fillId="4" borderId="9" xfId="13" applyNumberFormat="1" applyFont="1" applyFill="1" applyBorder="1" applyAlignment="1">
      <alignment horizontal="center" vertical="center" wrapText="1"/>
    </xf>
    <xf numFmtId="1" fontId="1" fillId="4" borderId="9" xfId="13" applyNumberFormat="1" applyFill="1" applyBorder="1" applyAlignment="1">
      <alignment horizontal="center" vertical="center" wrapText="1"/>
    </xf>
    <xf numFmtId="1" fontId="1" fillId="0" borderId="9" xfId="13" applyNumberFormat="1" applyBorder="1" applyAlignment="1">
      <alignment horizontal="center" vertical="center" wrapText="1"/>
    </xf>
    <xf numFmtId="0" fontId="20" fillId="4" borderId="9" xfId="13" applyFont="1" applyFill="1" applyBorder="1" applyAlignment="1">
      <alignment horizontal="left"/>
    </xf>
    <xf numFmtId="9" fontId="20" fillId="4" borderId="9" xfId="13" applyNumberFormat="1" applyFont="1" applyFill="1" applyBorder="1" applyAlignment="1">
      <alignment horizontal="center" vertical="center"/>
    </xf>
    <xf numFmtId="9" fontId="4" fillId="4" borderId="9" xfId="13" applyNumberFormat="1" applyFont="1" applyFill="1" applyBorder="1" applyAlignment="1">
      <alignment horizontal="center"/>
    </xf>
    <xf numFmtId="9" fontId="20" fillId="4" borderId="9" xfId="13" applyNumberFormat="1" applyFont="1" applyFill="1" applyBorder="1" applyAlignment="1">
      <alignment horizontal="center"/>
    </xf>
    <xf numFmtId="0" fontId="20" fillId="4" borderId="9" xfId="13" applyFont="1" applyFill="1" applyBorder="1" applyAlignment="1">
      <alignment horizontal="left" vertical="center"/>
    </xf>
    <xf numFmtId="0" fontId="20" fillId="4" borderId="9" xfId="13" applyFont="1" applyFill="1" applyBorder="1" applyAlignment="1">
      <alignment horizontal="center" vertical="center"/>
    </xf>
    <xf numFmtId="0" fontId="20" fillId="4" borderId="9" xfId="13" applyFont="1" applyFill="1" applyBorder="1" applyAlignment="1">
      <alignment horizontal="left" vertical="center" wrapText="1"/>
    </xf>
    <xf numFmtId="2" fontId="20" fillId="4" borderId="9" xfId="13" applyNumberFormat="1" applyFont="1" applyFill="1" applyBorder="1" applyAlignment="1">
      <alignment horizontal="center"/>
    </xf>
    <xf numFmtId="180" fontId="1" fillId="4" borderId="9" xfId="13" applyNumberFormat="1" applyFill="1" applyBorder="1" applyAlignment="1">
      <alignment horizontal="center" vertical="center" wrapText="1"/>
    </xf>
    <xf numFmtId="180" fontId="1" fillId="0" borderId="9" xfId="13" applyNumberFormat="1" applyBorder="1" applyAlignment="1">
      <alignment horizontal="center" vertical="center" wrapText="1"/>
    </xf>
    <xf numFmtId="9" fontId="20" fillId="4" borderId="9" xfId="3" applyFont="1" applyFill="1" applyBorder="1" applyAlignment="1">
      <alignment horizontal="center" vertical="center" wrapText="1"/>
    </xf>
    <xf numFmtId="9" fontId="1" fillId="4" borderId="9" xfId="3" applyFont="1" applyFill="1" applyBorder="1" applyAlignment="1">
      <alignment horizontal="center" vertical="center" wrapText="1"/>
    </xf>
    <xf numFmtId="9" fontId="1" fillId="0" borderId="9" xfId="3" applyFont="1" applyFill="1" applyBorder="1" applyAlignment="1">
      <alignment horizontal="center" vertical="center" wrapText="1"/>
    </xf>
    <xf numFmtId="165" fontId="1" fillId="4" borderId="9" xfId="6" applyNumberFormat="1" applyFill="1" applyBorder="1" applyAlignment="1">
      <alignment horizontal="center"/>
    </xf>
    <xf numFmtId="7" fontId="25" fillId="4" borderId="9" xfId="2" applyNumberFormat="1" applyFont="1" applyFill="1" applyBorder="1" applyAlignment="1">
      <alignment horizontal="center"/>
    </xf>
    <xf numFmtId="7" fontId="24" fillId="4" borderId="9" xfId="2" applyNumberFormat="1" applyFont="1" applyFill="1" applyBorder="1" applyAlignment="1">
      <alignment horizontal="center"/>
    </xf>
    <xf numFmtId="0" fontId="42" fillId="0" borderId="0" xfId="6" applyFont="1" applyAlignment="1">
      <alignment horizontal="left" vertical="center" wrapText="1"/>
    </xf>
    <xf numFmtId="0" fontId="42" fillId="0" borderId="0" xfId="6" applyFont="1" applyAlignment="1">
      <alignment horizontal="center" vertical="center" wrapText="1"/>
    </xf>
    <xf numFmtId="0" fontId="24" fillId="0" borderId="0" xfId="8"/>
    <xf numFmtId="0" fontId="25" fillId="0" borderId="0" xfId="8" applyFont="1" applyAlignment="1">
      <alignment horizontal="center"/>
    </xf>
    <xf numFmtId="0" fontId="25" fillId="0" borderId="40" xfId="8" applyFont="1" applyBorder="1"/>
    <xf numFmtId="0" fontId="25" fillId="0" borderId="0" xfId="8" applyFont="1"/>
    <xf numFmtId="2" fontId="0" fillId="8" borderId="9" xfId="1" applyNumberFormat="1" applyFont="1" applyFill="1" applyBorder="1" applyAlignment="1">
      <alignment horizontal="center" wrapText="1"/>
    </xf>
    <xf numFmtId="0" fontId="25" fillId="0" borderId="19" xfId="8" applyFont="1" applyBorder="1" applyAlignment="1">
      <alignment horizontal="left"/>
    </xf>
    <xf numFmtId="4" fontId="25" fillId="0" borderId="9" xfId="8" applyNumberFormat="1" applyFont="1" applyBorder="1" applyAlignment="1">
      <alignment horizontal="center"/>
    </xf>
    <xf numFmtId="0" fontId="25" fillId="0" borderId="9" xfId="8" applyFont="1" applyBorder="1" applyAlignment="1">
      <alignment horizontal="center"/>
    </xf>
    <xf numFmtId="169" fontId="25" fillId="0" borderId="9" xfId="2" applyNumberFormat="1" applyFont="1" applyBorder="1" applyAlignment="1">
      <alignment horizontal="center"/>
    </xf>
    <xf numFmtId="181" fontId="25" fillId="0" borderId="0" xfId="8" applyNumberFormat="1" applyFont="1"/>
    <xf numFmtId="170" fontId="20" fillId="4" borderId="9" xfId="1" applyNumberFormat="1" applyFont="1" applyFill="1" applyBorder="1" applyAlignment="1">
      <alignment horizontal="center"/>
    </xf>
    <xf numFmtId="170" fontId="4" fillId="4" borderId="9" xfId="1" applyNumberFormat="1" applyFont="1" applyFill="1" applyBorder="1" applyAlignment="1">
      <alignment horizontal="center"/>
    </xf>
    <xf numFmtId="39" fontId="4" fillId="4" borderId="9" xfId="1" applyNumberFormat="1" applyFont="1" applyFill="1" applyBorder="1" applyAlignment="1">
      <alignment horizontal="center"/>
    </xf>
    <xf numFmtId="2" fontId="0" fillId="0" borderId="20" xfId="1" applyNumberFormat="1" applyFont="1" applyBorder="1"/>
    <xf numFmtId="0" fontId="25" fillId="0" borderId="23" xfId="8" applyFont="1" applyBorder="1" applyAlignment="1">
      <alignment horizontal="left"/>
    </xf>
    <xf numFmtId="9" fontId="20" fillId="0" borderId="0" xfId="3" applyFont="1" applyFill="1" applyBorder="1"/>
    <xf numFmtId="2" fontId="0" fillId="8" borderId="22" xfId="1" applyNumberFormat="1" applyFont="1" applyFill="1" applyBorder="1"/>
    <xf numFmtId="165" fontId="26" fillId="0" borderId="9" xfId="8" applyNumberFormat="1" applyFont="1" applyBorder="1" applyAlignment="1">
      <alignment horizontal="center"/>
    </xf>
    <xf numFmtId="2" fontId="0" fillId="0" borderId="22" xfId="1" applyNumberFormat="1" applyFont="1" applyBorder="1"/>
    <xf numFmtId="9" fontId="20" fillId="0" borderId="0" xfId="0" applyNumberFormat="1" applyFont="1"/>
    <xf numFmtId="2" fontId="0" fillId="8" borderId="25" xfId="1" applyNumberFormat="1" applyFont="1" applyFill="1" applyBorder="1"/>
    <xf numFmtId="0" fontId="25" fillId="0" borderId="0" xfId="8" applyFont="1" applyAlignment="1">
      <alignment horizontal="left"/>
    </xf>
    <xf numFmtId="39" fontId="25" fillId="0" borderId="0" xfId="1" applyNumberFormat="1" applyFont="1" applyAlignment="1">
      <alignment horizontal="center"/>
    </xf>
    <xf numFmtId="0" fontId="4" fillId="0" borderId="0" xfId="13" applyFont="1"/>
    <xf numFmtId="2" fontId="1" fillId="0" borderId="0" xfId="13" applyNumberFormat="1"/>
    <xf numFmtId="0" fontId="25" fillId="0" borderId="41" xfId="8" applyFont="1" applyBorder="1" applyAlignment="1">
      <alignment horizontal="center"/>
    </xf>
    <xf numFmtId="0" fontId="25" fillId="0" borderId="0" xfId="8" applyFont="1" applyAlignment="1">
      <alignment horizontal="left" vertical="top" wrapText="1"/>
    </xf>
    <xf numFmtId="0" fontId="25" fillId="0" borderId="0" xfId="8" applyFont="1" applyAlignment="1">
      <alignment vertical="top" wrapText="1"/>
    </xf>
    <xf numFmtId="9" fontId="25" fillId="0" borderId="0" xfId="3" applyFont="1" applyFill="1"/>
    <xf numFmtId="0" fontId="1" fillId="0" borderId="0" xfId="13" applyAlignment="1">
      <alignment wrapText="1"/>
    </xf>
    <xf numFmtId="0" fontId="25" fillId="0" borderId="0" xfId="8" applyFont="1" applyAlignment="1">
      <alignment wrapText="1"/>
    </xf>
    <xf numFmtId="9" fontId="25" fillId="0" borderId="0" xfId="3" applyFont="1" applyFill="1" applyAlignment="1">
      <alignment wrapText="1"/>
    </xf>
    <xf numFmtId="189" fontId="1" fillId="0" borderId="0" xfId="6" applyNumberFormat="1" applyAlignment="1">
      <alignment wrapText="1"/>
    </xf>
    <xf numFmtId="2" fontId="1" fillId="0" borderId="0" xfId="13" applyNumberFormat="1" applyAlignment="1">
      <alignment wrapText="1"/>
    </xf>
    <xf numFmtId="10" fontId="25" fillId="0" borderId="9" xfId="8" applyNumberFormat="1" applyFont="1" applyBorder="1" applyAlignment="1">
      <alignment vertical="top" wrapText="1"/>
    </xf>
    <xf numFmtId="10" fontId="1" fillId="0" borderId="9" xfId="3" applyNumberFormat="1" applyFill="1" applyBorder="1"/>
    <xf numFmtId="10" fontId="4" fillId="0" borderId="9" xfId="3" applyNumberFormat="1" applyFont="1" applyFill="1" applyBorder="1"/>
    <xf numFmtId="0" fontId="1" fillId="0" borderId="9" xfId="13" applyBorder="1"/>
    <xf numFmtId="0" fontId="25" fillId="0" borderId="39" xfId="8" applyFont="1" applyBorder="1" applyAlignment="1">
      <alignment horizontal="center"/>
    </xf>
    <xf numFmtId="0" fontId="25" fillId="0" borderId="42" xfId="8" applyFont="1" applyBorder="1" applyAlignment="1">
      <alignment horizontal="center"/>
    </xf>
    <xf numFmtId="9" fontId="25" fillId="4" borderId="9" xfId="3" applyFont="1" applyFill="1" applyBorder="1" applyAlignment="1">
      <alignment horizontal="center"/>
    </xf>
    <xf numFmtId="0" fontId="25" fillId="0" borderId="9" xfId="8" applyFont="1" applyBorder="1"/>
    <xf numFmtId="9" fontId="24" fillId="0" borderId="9" xfId="3" applyFont="1" applyBorder="1" applyAlignment="1">
      <alignment horizontal="center"/>
    </xf>
    <xf numFmtId="9" fontId="24" fillId="4" borderId="9" xfId="3" applyFont="1" applyFill="1" applyBorder="1" applyAlignment="1">
      <alignment horizontal="center"/>
    </xf>
    <xf numFmtId="9" fontId="26" fillId="4" borderId="9" xfId="3" applyFont="1" applyFill="1" applyBorder="1" applyAlignment="1">
      <alignment horizontal="center"/>
    </xf>
    <xf numFmtId="9" fontId="26" fillId="0" borderId="9" xfId="3" applyFont="1" applyBorder="1" applyAlignment="1">
      <alignment horizontal="center"/>
    </xf>
    <xf numFmtId="172" fontId="4" fillId="4" borderId="9" xfId="16" applyNumberFormat="1" applyFont="1" applyFill="1" applyBorder="1" applyAlignment="1">
      <alignment horizontal="center"/>
    </xf>
    <xf numFmtId="1" fontId="25" fillId="4" borderId="9" xfId="3" applyNumberFormat="1" applyFont="1" applyFill="1" applyBorder="1" applyAlignment="1">
      <alignment horizontal="center"/>
    </xf>
    <xf numFmtId="1" fontId="24" fillId="0" borderId="9" xfId="3" applyNumberFormat="1" applyFont="1" applyBorder="1" applyAlignment="1">
      <alignment horizontal="center"/>
    </xf>
    <xf numFmtId="1" fontId="26" fillId="4" borderId="9" xfId="3" applyNumberFormat="1" applyFont="1" applyFill="1" applyBorder="1" applyAlignment="1">
      <alignment horizontal="center"/>
    </xf>
    <xf numFmtId="1" fontId="24" fillId="4" borderId="9" xfId="3" applyNumberFormat="1" applyFont="1" applyFill="1" applyBorder="1" applyAlignment="1">
      <alignment horizontal="center"/>
    </xf>
    <xf numFmtId="0" fontId="1" fillId="0" borderId="9" xfId="6" applyBorder="1"/>
    <xf numFmtId="3" fontId="1" fillId="0" borderId="9" xfId="6" applyNumberFormat="1" applyBorder="1"/>
    <xf numFmtId="3" fontId="4" fillId="4" borderId="9" xfId="0" applyNumberFormat="1" applyFont="1" applyFill="1" applyBorder="1" applyAlignment="1">
      <alignment horizontal="center"/>
    </xf>
    <xf numFmtId="172" fontId="26" fillId="4" borderId="9" xfId="3" applyNumberFormat="1" applyFont="1" applyFill="1" applyBorder="1" applyAlignment="1">
      <alignment horizontal="center"/>
    </xf>
    <xf numFmtId="172" fontId="4" fillId="0" borderId="9" xfId="3" applyNumberFormat="1" applyFont="1" applyFill="1" applyBorder="1" applyAlignment="1">
      <alignment horizontal="center"/>
    </xf>
    <xf numFmtId="3" fontId="1" fillId="0" borderId="0" xfId="6" applyNumberFormat="1"/>
    <xf numFmtId="172" fontId="24" fillId="0" borderId="9" xfId="3" applyNumberFormat="1" applyFont="1" applyBorder="1" applyAlignment="1">
      <alignment horizontal="center"/>
    </xf>
    <xf numFmtId="190" fontId="4" fillId="0" borderId="9" xfId="3" applyNumberFormat="1" applyFont="1" applyFill="1" applyBorder="1" applyAlignment="1">
      <alignment horizontal="center"/>
    </xf>
    <xf numFmtId="172" fontId="24" fillId="4" borderId="9" xfId="3" applyNumberFormat="1" applyFont="1" applyFill="1" applyBorder="1" applyAlignment="1">
      <alignment horizontal="center"/>
    </xf>
    <xf numFmtId="9" fontId="25" fillId="0" borderId="9" xfId="3" applyFont="1" applyBorder="1" applyAlignment="1">
      <alignment horizontal="center"/>
    </xf>
    <xf numFmtId="39" fontId="26" fillId="4" borderId="9" xfId="1" applyNumberFormat="1" applyFont="1" applyFill="1" applyBorder="1" applyAlignment="1">
      <alignment horizontal="center"/>
    </xf>
    <xf numFmtId="178" fontId="25" fillId="0" borderId="0" xfId="8" applyNumberFormat="1" applyFont="1"/>
    <xf numFmtId="39" fontId="24" fillId="0" borderId="9" xfId="1" applyNumberFormat="1" applyFont="1" applyBorder="1" applyAlignment="1">
      <alignment horizontal="center"/>
    </xf>
    <xf numFmtId="39" fontId="24" fillId="4" borderId="9" xfId="1" applyNumberFormat="1" applyFont="1" applyFill="1" applyBorder="1" applyAlignment="1">
      <alignment horizontal="center"/>
    </xf>
    <xf numFmtId="39" fontId="26" fillId="0" borderId="9" xfId="1" applyNumberFormat="1" applyFont="1" applyBorder="1" applyAlignment="1">
      <alignment horizontal="center"/>
    </xf>
    <xf numFmtId="10" fontId="24" fillId="0" borderId="9" xfId="3" applyNumberFormat="1" applyFont="1" applyBorder="1" applyAlignment="1">
      <alignment horizontal="center"/>
    </xf>
    <xf numFmtId="10" fontId="26" fillId="0" borderId="9" xfId="3" applyNumberFormat="1" applyFont="1" applyBorder="1" applyAlignment="1">
      <alignment horizontal="center"/>
    </xf>
    <xf numFmtId="37" fontId="24" fillId="0" borderId="9" xfId="1" applyNumberFormat="1" applyFont="1" applyBorder="1" applyAlignment="1">
      <alignment horizontal="center"/>
    </xf>
    <xf numFmtId="37" fontId="26" fillId="0" borderId="9" xfId="1" applyNumberFormat="1" applyFont="1" applyBorder="1" applyAlignment="1">
      <alignment horizontal="center"/>
    </xf>
    <xf numFmtId="0" fontId="38" fillId="0" borderId="9" xfId="8" applyFont="1" applyBorder="1" applyAlignment="1">
      <alignment horizontal="left"/>
    </xf>
    <xf numFmtId="189" fontId="25" fillId="4" borderId="9" xfId="1" applyNumberFormat="1" applyFont="1" applyFill="1" applyBorder="1" applyAlignment="1">
      <alignment horizontal="center"/>
    </xf>
    <xf numFmtId="179" fontId="4" fillId="0" borderId="9" xfId="0" applyNumberFormat="1" applyFont="1" applyBorder="1" applyAlignment="1">
      <alignment horizontal="center"/>
    </xf>
    <xf numFmtId="172" fontId="25" fillId="0" borderId="9" xfId="3" applyNumberFormat="1" applyFont="1" applyBorder="1" applyAlignment="1">
      <alignment horizontal="center"/>
    </xf>
    <xf numFmtId="1" fontId="26" fillId="0" borderId="9" xfId="3" applyNumberFormat="1" applyFont="1" applyBorder="1" applyAlignment="1">
      <alignment horizontal="center"/>
    </xf>
    <xf numFmtId="165" fontId="38" fillId="0" borderId="9" xfId="8" applyNumberFormat="1" applyFont="1" applyBorder="1" applyAlignment="1">
      <alignment horizontal="left" vertical="center"/>
    </xf>
    <xf numFmtId="1" fontId="25" fillId="0" borderId="9" xfId="3" applyNumberFormat="1" applyFont="1" applyBorder="1" applyAlignment="1">
      <alignment horizontal="center"/>
    </xf>
    <xf numFmtId="171" fontId="20" fillId="0" borderId="9" xfId="6" applyNumberFormat="1" applyFont="1" applyBorder="1" applyAlignment="1">
      <alignment horizontal="center"/>
    </xf>
    <xf numFmtId="0" fontId="20" fillId="0" borderId="9" xfId="6" applyFont="1" applyBorder="1" applyAlignment="1">
      <alignment horizontal="left" wrapText="1"/>
    </xf>
    <xf numFmtId="179" fontId="24" fillId="0" borderId="9" xfId="8" applyNumberFormat="1" applyBorder="1" applyAlignment="1">
      <alignment horizontal="center"/>
    </xf>
    <xf numFmtId="2" fontId="0" fillId="0" borderId="25" xfId="1" applyNumberFormat="1" applyFont="1" applyBorder="1"/>
    <xf numFmtId="0" fontId="25" fillId="0" borderId="9" xfId="8" applyFont="1" applyBorder="1" applyAlignment="1">
      <alignment horizontal="left"/>
    </xf>
    <xf numFmtId="179" fontId="35" fillId="0" borderId="0" xfId="9" applyNumberFormat="1" applyFont="1" applyFill="1" applyBorder="1" applyAlignment="1">
      <alignment horizontal="left" vertical="center" wrapText="1"/>
    </xf>
    <xf numFmtId="179" fontId="35" fillId="0" borderId="0" xfId="9" applyNumberFormat="1" applyFont="1" applyFill="1" applyBorder="1" applyAlignment="1">
      <alignment horizontal="center" vertical="center" wrapText="1"/>
    </xf>
    <xf numFmtId="179" fontId="20" fillId="0" borderId="0" xfId="9" applyNumberFormat="1" applyFont="1" applyFill="1" applyBorder="1" applyAlignment="1">
      <alignment horizontal="left" vertical="center" wrapText="1"/>
    </xf>
    <xf numFmtId="0" fontId="35" fillId="0" borderId="0" xfId="13" applyFont="1" applyAlignment="1">
      <alignment horizontal="left" vertical="center" wrapText="1"/>
    </xf>
    <xf numFmtId="0" fontId="20" fillId="0" borderId="0" xfId="13" applyFont="1" applyAlignment="1">
      <alignment vertical="center"/>
    </xf>
    <xf numFmtId="0" fontId="46" fillId="0" borderId="0" xfId="13" applyFont="1" applyAlignment="1">
      <alignment horizontal="left"/>
    </xf>
    <xf numFmtId="165" fontId="20" fillId="0" borderId="9" xfId="6" applyNumberFormat="1" applyFont="1" applyBorder="1" applyAlignment="1">
      <alignment horizontal="center" vertical="center" wrapText="1"/>
    </xf>
    <xf numFmtId="165" fontId="0" fillId="0" borderId="9" xfId="6" applyNumberFormat="1" applyFont="1" applyBorder="1" applyAlignment="1">
      <alignment horizontal="left" vertical="center" wrapText="1"/>
    </xf>
    <xf numFmtId="165" fontId="1" fillId="0" borderId="9" xfId="6" applyNumberFormat="1" applyBorder="1" applyAlignment="1">
      <alignment horizontal="center" vertical="center" wrapText="1"/>
    </xf>
    <xf numFmtId="9" fontId="20" fillId="0" borderId="9" xfId="3" applyFont="1" applyFill="1" applyBorder="1" applyAlignment="1">
      <alignment horizontal="center" vertical="center" wrapText="1"/>
    </xf>
    <xf numFmtId="165" fontId="1" fillId="0" borderId="9" xfId="6" applyNumberFormat="1" applyBorder="1" applyAlignment="1">
      <alignment horizontal="left" vertical="center" wrapText="1"/>
    </xf>
    <xf numFmtId="165" fontId="20" fillId="0" borderId="9" xfId="6" applyNumberFormat="1" applyFont="1" applyBorder="1" applyAlignment="1">
      <alignment horizontal="center"/>
    </xf>
    <xf numFmtId="165" fontId="47" fillId="0" borderId="9" xfId="8" applyNumberFormat="1" applyFont="1" applyBorder="1" applyAlignment="1">
      <alignment horizontal="left" vertical="center"/>
    </xf>
    <xf numFmtId="171" fontId="1" fillId="4" borderId="9" xfId="6" applyNumberFormat="1" applyFill="1" applyBorder="1" applyAlignment="1">
      <alignment horizontal="center"/>
    </xf>
    <xf numFmtId="0" fontId="20" fillId="0" borderId="0" xfId="0" applyFont="1" applyAlignment="1">
      <alignment horizontal="left"/>
    </xf>
    <xf numFmtId="0" fontId="4" fillId="0" borderId="9" xfId="0" applyFont="1" applyBorder="1" applyAlignment="1">
      <alignment horizontal="center" vertical="center" wrapText="1"/>
    </xf>
    <xf numFmtId="0" fontId="33" fillId="0" borderId="9" xfId="12" applyBorder="1" applyAlignment="1">
      <alignment horizontal="center"/>
    </xf>
    <xf numFmtId="165" fontId="0" fillId="0" borderId="9" xfId="0" applyNumberFormat="1" applyBorder="1" applyAlignment="1">
      <alignment horizontal="center" vertical="center" wrapText="1"/>
    </xf>
    <xf numFmtId="182" fontId="20" fillId="4" borderId="9" xfId="1" applyNumberFormat="1" applyFont="1" applyFill="1" applyBorder="1" applyAlignment="1">
      <alignment horizontal="center" vertical="center"/>
    </xf>
    <xf numFmtId="0" fontId="20" fillId="0" borderId="0" xfId="6" applyFont="1" applyAlignment="1">
      <alignment vertical="center"/>
    </xf>
    <xf numFmtId="0" fontId="1" fillId="0" borderId="0" xfId="6" applyAlignment="1">
      <alignment vertical="center"/>
    </xf>
    <xf numFmtId="0" fontId="1" fillId="0" borderId="9" xfId="6" applyBorder="1" applyAlignment="1">
      <alignment vertical="center"/>
    </xf>
    <xf numFmtId="0" fontId="4" fillId="4" borderId="0" xfId="0" applyFont="1" applyFill="1"/>
    <xf numFmtId="0" fontId="20" fillId="0" borderId="9" xfId="6" applyFont="1" applyBorder="1" applyAlignment="1">
      <alignment horizontal="center"/>
    </xf>
    <xf numFmtId="9" fontId="1" fillId="0" borderId="9" xfId="3" applyBorder="1" applyAlignment="1">
      <alignment horizontal="left"/>
    </xf>
    <xf numFmtId="0" fontId="20" fillId="0" borderId="9" xfId="6" applyFont="1" applyBorder="1"/>
    <xf numFmtId="179" fontId="1" fillId="0" borderId="9" xfId="1" applyNumberFormat="1" applyBorder="1" applyAlignment="1">
      <alignment horizontal="left"/>
    </xf>
    <xf numFmtId="171" fontId="20" fillId="0" borderId="9" xfId="13" applyNumberFormat="1" applyFont="1" applyBorder="1" applyAlignment="1">
      <alignment horizontal="center"/>
    </xf>
    <xf numFmtId="0" fontId="20" fillId="11" borderId="9" xfId="0" applyFont="1" applyFill="1" applyBorder="1" applyAlignment="1">
      <alignment horizontal="center" vertical="center"/>
    </xf>
    <xf numFmtId="0" fontId="4" fillId="4" borderId="9" xfId="0" applyFont="1" applyFill="1" applyBorder="1" applyAlignment="1">
      <alignment horizontal="center" vertical="center"/>
    </xf>
    <xf numFmtId="171" fontId="1" fillId="4" borderId="9" xfId="13" applyNumberFormat="1" applyFill="1" applyBorder="1" applyAlignment="1">
      <alignment horizontal="center" vertical="center"/>
    </xf>
    <xf numFmtId="180" fontId="20" fillId="4" borderId="0" xfId="6" applyNumberFormat="1" applyFont="1" applyFill="1" applyAlignment="1">
      <alignment horizontal="center" vertical="center"/>
    </xf>
    <xf numFmtId="0" fontId="20" fillId="4" borderId="0" xfId="6" applyFont="1" applyFill="1"/>
    <xf numFmtId="179" fontId="20" fillId="0" borderId="0" xfId="9" applyNumberFormat="1" applyFont="1" applyFill="1" applyBorder="1" applyAlignment="1">
      <alignment horizontal="left" vertical="center"/>
    </xf>
    <xf numFmtId="179" fontId="20" fillId="0" borderId="0" xfId="9" applyNumberFormat="1" applyFont="1" applyFill="1" applyBorder="1" applyAlignment="1">
      <alignment horizontal="center" vertical="center"/>
    </xf>
    <xf numFmtId="0" fontId="1" fillId="0" borderId="0" xfId="13" applyAlignment="1">
      <alignment horizontal="center"/>
    </xf>
    <xf numFmtId="0" fontId="20" fillId="0" borderId="0" xfId="13" applyFont="1" applyAlignment="1">
      <alignment horizontal="left" vertical="center"/>
    </xf>
    <xf numFmtId="0" fontId="20" fillId="11" borderId="9" xfId="0" applyFont="1" applyFill="1" applyBorder="1" applyAlignment="1">
      <alignment horizontal="left" vertical="center"/>
    </xf>
    <xf numFmtId="167" fontId="5" fillId="12" borderId="0" xfId="0" applyNumberFormat="1" applyFont="1" applyFill="1" applyAlignment="1">
      <alignment horizontal="center"/>
    </xf>
    <xf numFmtId="165" fontId="20" fillId="0" borderId="9" xfId="6" applyNumberFormat="1" applyFont="1" applyBorder="1" applyAlignment="1">
      <alignment horizontal="center" vertical="center"/>
    </xf>
    <xf numFmtId="165" fontId="4" fillId="0" borderId="9" xfId="6" applyNumberFormat="1" applyFont="1" applyBorder="1" applyAlignment="1">
      <alignment horizontal="center" vertical="center"/>
    </xf>
    <xf numFmtId="165" fontId="1" fillId="0" borderId="9" xfId="6" applyNumberFormat="1" applyBorder="1" applyAlignment="1">
      <alignment horizontal="center" vertical="center"/>
    </xf>
    <xf numFmtId="180" fontId="20" fillId="0" borderId="9" xfId="6" applyNumberFormat="1" applyFont="1" applyBorder="1" applyAlignment="1">
      <alignment horizontal="center" vertical="center"/>
    </xf>
    <xf numFmtId="180" fontId="4" fillId="0" borderId="9" xfId="6" applyNumberFormat="1" applyFont="1" applyBorder="1" applyAlignment="1">
      <alignment horizontal="center" vertical="center"/>
    </xf>
    <xf numFmtId="2" fontId="4" fillId="0" borderId="9" xfId="0" applyNumberFormat="1" applyFont="1" applyBorder="1" applyAlignment="1">
      <alignment horizontal="center"/>
    </xf>
    <xf numFmtId="9" fontId="1" fillId="0" borderId="9" xfId="3" applyFont="1" applyFill="1" applyBorder="1" applyAlignment="1">
      <alignment horizontal="center" vertical="center"/>
    </xf>
    <xf numFmtId="9" fontId="4" fillId="0" borderId="9" xfId="3" applyFont="1" applyFill="1" applyBorder="1" applyAlignment="1">
      <alignment horizontal="center" vertical="center"/>
    </xf>
    <xf numFmtId="171" fontId="20" fillId="0" borderId="9" xfId="13" applyNumberFormat="1" applyFont="1" applyBorder="1" applyAlignment="1">
      <alignment horizontal="center" vertical="center"/>
    </xf>
    <xf numFmtId="165" fontId="20" fillId="0" borderId="0" xfId="6" applyNumberFormat="1" applyFont="1" applyAlignment="1">
      <alignment horizontal="left" vertical="center" wrapText="1"/>
    </xf>
    <xf numFmtId="9" fontId="20" fillId="0" borderId="0" xfId="3" applyFont="1" applyFill="1" applyBorder="1" applyAlignment="1">
      <alignment horizontal="left" vertical="center"/>
    </xf>
    <xf numFmtId="9" fontId="20" fillId="0" borderId="0" xfId="3" applyFont="1" applyFill="1" applyBorder="1" applyAlignment="1">
      <alignment horizontal="left" vertical="center" wrapText="1"/>
    </xf>
    <xf numFmtId="0" fontId="4" fillId="0" borderId="9" xfId="0" applyFont="1" applyBorder="1" applyAlignment="1">
      <alignment horizontal="center" vertical="center"/>
    </xf>
    <xf numFmtId="0" fontId="20" fillId="0" borderId="9" xfId="0" applyFont="1" applyBorder="1" applyAlignment="1">
      <alignment horizontal="center" vertical="center"/>
    </xf>
    <xf numFmtId="0" fontId="1" fillId="0" borderId="9" xfId="6" applyBorder="1" applyAlignment="1">
      <alignment horizontal="center" vertical="center"/>
    </xf>
    <xf numFmtId="2" fontId="1" fillId="0" borderId="9" xfId="6" applyNumberFormat="1" applyBorder="1" applyAlignment="1">
      <alignment horizontal="center" vertical="center"/>
    </xf>
    <xf numFmtId="0" fontId="20" fillId="11" borderId="19" xfId="0" applyFont="1" applyFill="1" applyBorder="1" applyAlignment="1">
      <alignment horizontal="left" vertical="center" wrapText="1"/>
    </xf>
    <xf numFmtId="0" fontId="20" fillId="11" borderId="19" xfId="0" applyFont="1" applyFill="1" applyBorder="1" applyAlignment="1">
      <alignment horizontal="left" vertical="center"/>
    </xf>
    <xf numFmtId="0" fontId="20" fillId="11" borderId="19" xfId="0" applyFont="1" applyFill="1" applyBorder="1" applyAlignment="1">
      <alignment horizontal="center" vertical="center"/>
    </xf>
    <xf numFmtId="0" fontId="20" fillId="0" borderId="4" xfId="0" applyFont="1" applyBorder="1" applyAlignment="1">
      <alignment horizontal="center" vertical="center" wrapText="1"/>
    </xf>
    <xf numFmtId="3" fontId="20" fillId="0" borderId="9" xfId="0" applyNumberFormat="1" applyFont="1" applyBorder="1" applyAlignment="1">
      <alignment horizontal="center" vertical="center" wrapText="1"/>
    </xf>
    <xf numFmtId="3" fontId="20" fillId="0" borderId="19" xfId="0" applyNumberFormat="1" applyFont="1" applyBorder="1" applyAlignment="1">
      <alignment horizontal="center" vertical="center" wrapText="1"/>
    </xf>
    <xf numFmtId="3" fontId="20" fillId="0" borderId="14" xfId="0" applyNumberFormat="1" applyFont="1" applyBorder="1" applyAlignment="1">
      <alignment horizontal="center" vertical="center" wrapText="1"/>
    </xf>
    <xf numFmtId="165" fontId="20" fillId="0" borderId="23" xfId="0" applyNumberFormat="1" applyFont="1" applyBorder="1" applyAlignment="1">
      <alignment horizontal="center" vertical="center" wrapText="1"/>
    </xf>
    <xf numFmtId="0" fontId="49" fillId="0" borderId="0" xfId="0" applyFont="1" applyAlignment="1">
      <alignment horizontal="left" vertical="center" wrapText="1"/>
    </xf>
    <xf numFmtId="0" fontId="49" fillId="0" borderId="0" xfId="0" applyFont="1" applyAlignment="1">
      <alignment horizontal="center" vertical="center" wrapText="1"/>
    </xf>
    <xf numFmtId="179" fontId="25" fillId="0" borderId="9" xfId="8" applyNumberFormat="1" applyFont="1" applyBorder="1" applyAlignment="1">
      <alignment horizontal="center"/>
    </xf>
    <xf numFmtId="9" fontId="1" fillId="0" borderId="0" xfId="3" applyFont="1"/>
    <xf numFmtId="2" fontId="1" fillId="0" borderId="9" xfId="6" applyNumberFormat="1" applyBorder="1" applyAlignment="1">
      <alignment horizontal="center"/>
    </xf>
    <xf numFmtId="2" fontId="4" fillId="0" borderId="9" xfId="6" applyNumberFormat="1" applyFont="1" applyBorder="1" applyAlignment="1">
      <alignment horizontal="center"/>
    </xf>
    <xf numFmtId="191" fontId="40" fillId="0" borderId="0" xfId="9" applyNumberFormat="1" applyFont="1" applyFill="1" applyBorder="1" applyAlignment="1">
      <alignment horizontal="left"/>
    </xf>
    <xf numFmtId="180" fontId="40" fillId="0" borderId="0" xfId="13" applyNumberFormat="1" applyFont="1"/>
    <xf numFmtId="168" fontId="40" fillId="0" borderId="0" xfId="9" applyNumberFormat="1" applyFont="1" applyFill="1" applyBorder="1" applyAlignment="1">
      <alignment horizontal="left"/>
    </xf>
    <xf numFmtId="0" fontId="35" fillId="0" borderId="0" xfId="6" applyFont="1"/>
    <xf numFmtId="168" fontId="20" fillId="0" borderId="0" xfId="9" applyNumberFormat="1" applyFont="1" applyAlignment="1">
      <alignment horizontal="left"/>
    </xf>
    <xf numFmtId="165" fontId="4" fillId="0" borderId="9" xfId="6" applyNumberFormat="1" applyFont="1" applyBorder="1" applyAlignment="1">
      <alignment horizontal="center" vertical="center" wrapText="1"/>
    </xf>
    <xf numFmtId="2" fontId="20" fillId="0" borderId="9" xfId="6" applyNumberFormat="1" applyFont="1" applyBorder="1" applyAlignment="1">
      <alignment horizontal="center" vertical="center" wrapText="1"/>
    </xf>
    <xf numFmtId="165" fontId="51" fillId="0" borderId="9" xfId="6" applyNumberFormat="1" applyFont="1" applyBorder="1" applyAlignment="1">
      <alignment horizontal="center" vertical="center" wrapText="1"/>
    </xf>
    <xf numFmtId="0" fontId="20" fillId="0" borderId="0" xfId="6" applyFont="1" applyAlignment="1">
      <alignment horizontal="center" wrapText="1"/>
    </xf>
    <xf numFmtId="165" fontId="1" fillId="4" borderId="9" xfId="6" applyNumberFormat="1" applyFill="1" applyBorder="1" applyAlignment="1">
      <alignment horizontal="center" vertical="center" wrapText="1"/>
    </xf>
    <xf numFmtId="165" fontId="1" fillId="0" borderId="14" xfId="6" applyNumberFormat="1" applyBorder="1" applyAlignment="1">
      <alignment horizontal="left" vertical="center" wrapText="1"/>
    </xf>
    <xf numFmtId="9" fontId="1" fillId="0" borderId="14" xfId="3" applyFont="1" applyFill="1" applyBorder="1" applyAlignment="1">
      <alignment horizontal="center" vertical="center" wrapText="1"/>
    </xf>
    <xf numFmtId="9" fontId="4" fillId="0" borderId="14" xfId="3" applyFont="1" applyFill="1" applyBorder="1" applyAlignment="1">
      <alignment horizontal="center" vertical="center" wrapText="1"/>
    </xf>
    <xf numFmtId="0" fontId="1" fillId="0" borderId="14" xfId="6" applyBorder="1"/>
    <xf numFmtId="165" fontId="1" fillId="0" borderId="23" xfId="6" applyNumberFormat="1" applyBorder="1" applyAlignment="1">
      <alignment horizontal="left" vertical="center" wrapText="1"/>
    </xf>
    <xf numFmtId="165" fontId="1" fillId="0" borderId="23" xfId="6" applyNumberFormat="1" applyBorder="1" applyAlignment="1">
      <alignment horizontal="center" vertical="center"/>
    </xf>
    <xf numFmtId="168" fontId="35" fillId="0" borderId="0" xfId="9" applyNumberFormat="1" applyFont="1" applyBorder="1" applyAlignment="1">
      <alignment horizontal="left" vertical="center" wrapText="1"/>
    </xf>
    <xf numFmtId="168" fontId="35" fillId="0" borderId="0" xfId="9" applyNumberFormat="1" applyFont="1" applyBorder="1" applyAlignment="1">
      <alignment vertical="center" wrapText="1"/>
    </xf>
    <xf numFmtId="168" fontId="35" fillId="0" borderId="0" xfId="9" applyNumberFormat="1" applyFont="1" applyFill="1" applyBorder="1" applyAlignment="1">
      <alignment vertical="center" wrapText="1"/>
    </xf>
    <xf numFmtId="0" fontId="12" fillId="0" borderId="0" xfId="5" applyAlignment="1">
      <alignment horizontal="center" wrapText="1"/>
    </xf>
    <xf numFmtId="0" fontId="25" fillId="0" borderId="40" xfId="8" applyFont="1" applyBorder="1" applyAlignment="1">
      <alignment horizontal="left"/>
    </xf>
    <xf numFmtId="0" fontId="20" fillId="0" borderId="9" xfId="8" applyFont="1" applyBorder="1" applyAlignment="1">
      <alignment horizontal="left"/>
    </xf>
    <xf numFmtId="39" fontId="0" fillId="0" borderId="9" xfId="1" applyNumberFormat="1" applyFont="1" applyBorder="1" applyAlignment="1">
      <alignment horizontal="center"/>
    </xf>
    <xf numFmtId="0" fontId="0" fillId="4" borderId="0" xfId="0" applyFill="1"/>
    <xf numFmtId="170" fontId="0" fillId="4" borderId="9" xfId="1" applyNumberFormat="1" applyFont="1" applyFill="1" applyBorder="1" applyAlignment="1">
      <alignment horizontal="center"/>
    </xf>
    <xf numFmtId="170" fontId="20" fillId="4" borderId="9" xfId="0" applyNumberFormat="1" applyFont="1" applyFill="1" applyBorder="1" applyAlignment="1">
      <alignment horizontal="center" vertical="center" wrapText="1"/>
    </xf>
    <xf numFmtId="39" fontId="4" fillId="0" borderId="9" xfId="0" applyNumberFormat="1" applyFont="1" applyBorder="1" applyAlignment="1">
      <alignment horizontal="center"/>
    </xf>
    <xf numFmtId="0" fontId="20" fillId="0" borderId="19" xfId="8" applyFont="1" applyBorder="1" applyAlignment="1">
      <alignment horizontal="left"/>
    </xf>
    <xf numFmtId="0" fontId="20" fillId="0" borderId="0" xfId="8" applyFont="1" applyAlignment="1">
      <alignment horizontal="left"/>
    </xf>
    <xf numFmtId="44" fontId="0" fillId="0" borderId="0" xfId="2" applyFont="1" applyFill="1" applyAlignment="1">
      <alignment horizontal="center" wrapText="1"/>
    </xf>
    <xf numFmtId="0" fontId="24" fillId="4" borderId="0" xfId="8" applyFill="1"/>
    <xf numFmtId="167" fontId="0" fillId="0" borderId="0" xfId="0" applyNumberFormat="1"/>
    <xf numFmtId="9" fontId="25" fillId="0" borderId="9" xfId="3" applyFont="1" applyFill="1" applyBorder="1" applyAlignment="1">
      <alignment horizontal="center"/>
    </xf>
    <xf numFmtId="0" fontId="26" fillId="4" borderId="0" xfId="8" applyFont="1" applyFill="1"/>
    <xf numFmtId="2" fontId="25" fillId="0" borderId="9" xfId="3" applyNumberFormat="1" applyFont="1" applyFill="1" applyBorder="1" applyAlignment="1">
      <alignment horizontal="center"/>
    </xf>
    <xf numFmtId="2" fontId="25" fillId="0" borderId="9" xfId="3" applyNumberFormat="1" applyFont="1" applyBorder="1" applyAlignment="1">
      <alignment horizontal="center"/>
    </xf>
    <xf numFmtId="1" fontId="25" fillId="0" borderId="9" xfId="3" applyNumberFormat="1" applyFont="1" applyFill="1" applyBorder="1" applyAlignment="1">
      <alignment horizontal="center"/>
    </xf>
    <xf numFmtId="9" fontId="25" fillId="0" borderId="16" xfId="3" applyFont="1" applyFill="1" applyBorder="1" applyAlignment="1">
      <alignment horizontal="center"/>
    </xf>
    <xf numFmtId="1" fontId="25" fillId="0" borderId="16" xfId="3" applyNumberFormat="1" applyFont="1" applyFill="1" applyBorder="1" applyAlignment="1">
      <alignment horizontal="center"/>
    </xf>
    <xf numFmtId="165" fontId="20" fillId="4" borderId="9" xfId="8" applyNumberFormat="1" applyFont="1" applyFill="1" applyBorder="1" applyAlignment="1">
      <alignment horizontal="center"/>
    </xf>
    <xf numFmtId="7" fontId="20" fillId="4" borderId="9" xfId="2" applyNumberFormat="1" applyFont="1" applyFill="1" applyBorder="1" applyAlignment="1">
      <alignment horizontal="center"/>
    </xf>
    <xf numFmtId="44" fontId="20" fillId="4" borderId="9" xfId="2" applyFont="1" applyFill="1" applyBorder="1" applyAlignment="1">
      <alignment horizontal="center"/>
    </xf>
    <xf numFmtId="7" fontId="25" fillId="0" borderId="9" xfId="2" applyNumberFormat="1" applyFont="1" applyFill="1" applyBorder="1" applyAlignment="1">
      <alignment horizontal="center"/>
    </xf>
    <xf numFmtId="44" fontId="25" fillId="4" borderId="9" xfId="2" applyFont="1" applyFill="1" applyBorder="1" applyAlignment="1">
      <alignment horizontal="center"/>
    </xf>
    <xf numFmtId="0" fontId="20" fillId="0" borderId="9" xfId="0" applyFont="1" applyBorder="1" applyAlignment="1">
      <alignment horizontal="left" vertical="center"/>
    </xf>
    <xf numFmtId="2" fontId="20" fillId="4" borderId="9" xfId="0" applyNumberFormat="1" applyFont="1" applyFill="1" applyBorder="1" applyAlignment="1">
      <alignment horizontal="center" vertical="center"/>
    </xf>
    <xf numFmtId="182" fontId="20" fillId="0" borderId="9" xfId="1" applyNumberFormat="1" applyFont="1" applyFill="1" applyBorder="1" applyAlignment="1">
      <alignment horizontal="center"/>
    </xf>
    <xf numFmtId="169" fontId="20" fillId="0" borderId="9" xfId="0" applyNumberFormat="1" applyFont="1" applyBorder="1" applyAlignment="1">
      <alignment horizontal="center" vertical="center"/>
    </xf>
    <xf numFmtId="0" fontId="20" fillId="0" borderId="9" xfId="8" applyFont="1" applyBorder="1" applyAlignment="1">
      <alignment horizontal="center"/>
    </xf>
    <xf numFmtId="165" fontId="0" fillId="0" borderId="9" xfId="0" applyNumberFormat="1" applyBorder="1" applyAlignment="1">
      <alignment horizontal="center" vertical="center"/>
    </xf>
    <xf numFmtId="2" fontId="4" fillId="4" borderId="9" xfId="0" applyNumberFormat="1" applyFont="1" applyFill="1" applyBorder="1" applyAlignment="1">
      <alignment horizontal="center" vertical="center"/>
    </xf>
    <xf numFmtId="0" fontId="0" fillId="0" borderId="0" xfId="0" applyAlignment="1">
      <alignment wrapText="1"/>
    </xf>
    <xf numFmtId="39" fontId="20" fillId="0" borderId="9" xfId="0" applyNumberFormat="1" applyFont="1" applyBorder="1" applyAlignment="1">
      <alignment horizontal="center" vertical="center"/>
    </xf>
    <xf numFmtId="39" fontId="0" fillId="0" borderId="9" xfId="0" applyNumberFormat="1" applyBorder="1" applyAlignment="1">
      <alignment horizontal="center" vertical="center"/>
    </xf>
    <xf numFmtId="39" fontId="4" fillId="0" borderId="9" xfId="0" applyNumberFormat="1" applyFont="1" applyBorder="1" applyAlignment="1">
      <alignment horizontal="center" vertical="center"/>
    </xf>
    <xf numFmtId="39" fontId="20" fillId="4" borderId="9" xfId="0" applyNumberFormat="1" applyFont="1" applyFill="1" applyBorder="1" applyAlignment="1">
      <alignment horizontal="center" vertical="center"/>
    </xf>
    <xf numFmtId="0" fontId="0" fillId="0" borderId="9" xfId="0" applyBorder="1" applyAlignment="1">
      <alignment horizontal="left" vertical="center"/>
    </xf>
    <xf numFmtId="0" fontId="0" fillId="0" borderId="9" xfId="0" applyBorder="1" applyAlignment="1">
      <alignment horizontal="center" vertical="center"/>
    </xf>
    <xf numFmtId="3" fontId="20" fillId="0" borderId="9" xfId="0" applyNumberFormat="1" applyFont="1" applyBorder="1" applyAlignment="1">
      <alignment horizontal="left" vertical="center"/>
    </xf>
    <xf numFmtId="3" fontId="20" fillId="0" borderId="9" xfId="0" applyNumberFormat="1" applyFont="1" applyBorder="1" applyAlignment="1">
      <alignment horizontal="center" vertical="center"/>
    </xf>
    <xf numFmtId="3" fontId="0" fillId="0" borderId="9" xfId="0" applyNumberFormat="1" applyBorder="1" applyAlignment="1">
      <alignment horizontal="center" vertical="center"/>
    </xf>
    <xf numFmtId="9" fontId="20" fillId="0" borderId="16" xfId="0" applyNumberFormat="1" applyFont="1" applyBorder="1" applyAlignment="1">
      <alignment horizontal="center" vertical="center"/>
    </xf>
    <xf numFmtId="9" fontId="0" fillId="0" borderId="9" xfId="0" applyNumberFormat="1" applyBorder="1" applyAlignment="1">
      <alignment horizontal="center" vertical="center"/>
    </xf>
    <xf numFmtId="9" fontId="4" fillId="0" borderId="9" xfId="0" applyNumberFormat="1" applyFont="1" applyBorder="1" applyAlignment="1">
      <alignment horizontal="center" vertical="center"/>
    </xf>
    <xf numFmtId="9" fontId="20" fillId="0" borderId="9" xfId="3" applyFont="1" applyFill="1" applyBorder="1" applyAlignment="1">
      <alignment horizontal="center"/>
    </xf>
    <xf numFmtId="9" fontId="20" fillId="0" borderId="16" xfId="3" applyFont="1" applyFill="1" applyBorder="1" applyAlignment="1">
      <alignment horizontal="center"/>
    </xf>
    <xf numFmtId="9" fontId="4" fillId="0" borderId="9" xfId="3" applyFont="1" applyFill="1" applyBorder="1" applyAlignment="1">
      <alignment horizontal="center"/>
    </xf>
    <xf numFmtId="9" fontId="0" fillId="0" borderId="9" xfId="3" applyFont="1" applyBorder="1" applyAlignment="1">
      <alignment horizontal="center"/>
    </xf>
    <xf numFmtId="0" fontId="20" fillId="0" borderId="0" xfId="0" applyFont="1" applyAlignment="1">
      <alignment horizontal="left" vertical="center"/>
    </xf>
    <xf numFmtId="0" fontId="20" fillId="0" borderId="0" xfId="0" applyFont="1" applyAlignment="1">
      <alignment horizontal="center" wrapText="1"/>
    </xf>
    <xf numFmtId="0" fontId="4" fillId="0" borderId="0" xfId="0" applyFont="1" applyAlignment="1">
      <alignment wrapText="1"/>
    </xf>
    <xf numFmtId="2" fontId="0" fillId="0" borderId="9" xfId="0" applyNumberFormat="1" applyBorder="1" applyAlignment="1">
      <alignment horizontal="center" vertical="center" wrapText="1"/>
    </xf>
    <xf numFmtId="0" fontId="0" fillId="0" borderId="9" xfId="0" applyBorder="1" applyAlignment="1">
      <alignment horizontal="center" vertical="center" wrapText="1"/>
    </xf>
    <xf numFmtId="171" fontId="20" fillId="0" borderId="9" xfId="0" applyNumberFormat="1" applyFont="1" applyBorder="1" applyAlignment="1">
      <alignment horizontal="center" vertical="center" wrapText="1"/>
    </xf>
    <xf numFmtId="170" fontId="20" fillId="4" borderId="22" xfId="1" applyNumberFormat="1" applyFont="1" applyFill="1" applyBorder="1" applyAlignment="1" applyProtection="1">
      <alignment horizontal="right"/>
    </xf>
    <xf numFmtId="0" fontId="35" fillId="0" borderId="0" xfId="0" applyFont="1" applyAlignment="1">
      <alignment horizontal="left" vertical="center" wrapText="1"/>
    </xf>
    <xf numFmtId="0" fontId="5" fillId="0" borderId="0" xfId="0" applyFont="1"/>
    <xf numFmtId="0" fontId="20" fillId="4" borderId="0" xfId="0" applyFont="1" applyFill="1" applyAlignment="1">
      <alignment horizontal="center" vertical="center" wrapText="1"/>
    </xf>
    <xf numFmtId="9" fontId="20" fillId="4" borderId="9" xfId="0" applyNumberFormat="1" applyFont="1" applyFill="1" applyBorder="1" applyAlignment="1">
      <alignment horizontal="center" vertical="center" wrapText="1"/>
    </xf>
    <xf numFmtId="9" fontId="0" fillId="4" borderId="9" xfId="0" applyNumberFormat="1" applyFill="1" applyBorder="1" applyAlignment="1">
      <alignment horizontal="center" vertical="center" wrapText="1"/>
    </xf>
    <xf numFmtId="9" fontId="0" fillId="0" borderId="9" xfId="0" applyNumberFormat="1" applyBorder="1" applyAlignment="1">
      <alignment horizontal="center" vertical="center" wrapText="1"/>
    </xf>
    <xf numFmtId="9" fontId="4" fillId="4" borderId="9" xfId="0" applyNumberFormat="1" applyFont="1" applyFill="1" applyBorder="1" applyAlignment="1">
      <alignment horizontal="center" vertical="center" wrapText="1"/>
    </xf>
    <xf numFmtId="0" fontId="0" fillId="4" borderId="9" xfId="0" applyFill="1" applyBorder="1" applyAlignment="1">
      <alignment horizontal="center" vertical="center" wrapText="1"/>
    </xf>
    <xf numFmtId="0" fontId="20" fillId="4" borderId="9" xfId="0" applyFont="1" applyFill="1" applyBorder="1" applyAlignment="1">
      <alignment horizontal="center" vertical="center"/>
    </xf>
    <xf numFmtId="0" fontId="0" fillId="4" borderId="9" xfId="0" applyFill="1" applyBorder="1" applyAlignment="1">
      <alignment horizontal="center" vertical="center"/>
    </xf>
    <xf numFmtId="180" fontId="20" fillId="4" borderId="9" xfId="0" applyNumberFormat="1" applyFont="1" applyFill="1" applyBorder="1" applyAlignment="1">
      <alignment horizontal="center" vertical="center"/>
    </xf>
    <xf numFmtId="180" fontId="0" fillId="0" borderId="9" xfId="0" applyNumberFormat="1" applyBorder="1" applyAlignment="1">
      <alignment horizontal="center" vertical="center"/>
    </xf>
    <xf numFmtId="180" fontId="4" fillId="4" borderId="9" xfId="0" applyNumberFormat="1" applyFont="1" applyFill="1" applyBorder="1" applyAlignment="1">
      <alignment horizontal="center" vertical="center"/>
    </xf>
    <xf numFmtId="180" fontId="4" fillId="0" borderId="9" xfId="0" applyNumberFormat="1" applyFont="1" applyBorder="1" applyAlignment="1">
      <alignment horizontal="center" vertical="center"/>
    </xf>
    <xf numFmtId="180" fontId="4" fillId="0" borderId="9" xfId="0" applyNumberFormat="1" applyFont="1" applyBorder="1" applyAlignment="1">
      <alignment horizontal="center" vertical="center" wrapText="1"/>
    </xf>
    <xf numFmtId="178" fontId="20" fillId="4" borderId="9" xfId="0" applyNumberFormat="1" applyFont="1" applyFill="1" applyBorder="1" applyAlignment="1">
      <alignment horizontal="center" vertical="center"/>
    </xf>
    <xf numFmtId="178" fontId="20" fillId="0" borderId="9" xfId="0" applyNumberFormat="1" applyFont="1" applyBorder="1" applyAlignment="1">
      <alignment horizontal="center" vertical="center"/>
    </xf>
    <xf numFmtId="178" fontId="0" fillId="0" borderId="9" xfId="0" applyNumberFormat="1" applyBorder="1" applyAlignment="1">
      <alignment horizontal="center" vertical="center"/>
    </xf>
    <xf numFmtId="178" fontId="0" fillId="4" borderId="9" xfId="0" applyNumberFormat="1" applyFill="1" applyBorder="1" applyAlignment="1">
      <alignment horizontal="center" vertical="center"/>
    </xf>
    <xf numFmtId="178" fontId="4" fillId="0" borderId="9" xfId="0" applyNumberFormat="1" applyFont="1" applyBorder="1" applyAlignment="1">
      <alignment horizontal="center" vertical="center"/>
    </xf>
    <xf numFmtId="4" fontId="0" fillId="0" borderId="9" xfId="0" applyNumberFormat="1" applyBorder="1" applyAlignment="1">
      <alignment horizontal="center" vertical="center" wrapText="1"/>
    </xf>
    <xf numFmtId="3" fontId="20" fillId="4" borderId="9" xfId="0" applyNumberFormat="1" applyFont="1" applyFill="1" applyBorder="1" applyAlignment="1">
      <alignment horizontal="center" vertical="center" wrapText="1"/>
    </xf>
    <xf numFmtId="3" fontId="0" fillId="0" borderId="9" xfId="0" applyNumberFormat="1" applyBorder="1" applyAlignment="1">
      <alignment horizontal="center" vertical="center" wrapText="1"/>
    </xf>
    <xf numFmtId="3" fontId="0" fillId="4" borderId="9" xfId="0" applyNumberFormat="1" applyFill="1" applyBorder="1" applyAlignment="1">
      <alignment horizontal="center" vertical="center" wrapText="1"/>
    </xf>
    <xf numFmtId="3" fontId="4" fillId="4" borderId="9" xfId="0" applyNumberFormat="1" applyFont="1" applyFill="1" applyBorder="1" applyAlignment="1">
      <alignment horizontal="center" vertical="center" wrapText="1"/>
    </xf>
    <xf numFmtId="190" fontId="20" fillId="4" borderId="9" xfId="0" applyNumberFormat="1" applyFont="1" applyFill="1" applyBorder="1" applyAlignment="1">
      <alignment horizontal="center" vertical="center" wrapText="1"/>
    </xf>
    <xf numFmtId="10" fontId="0" fillId="0" borderId="9" xfId="0" applyNumberFormat="1" applyBorder="1" applyAlignment="1">
      <alignment horizontal="center" vertical="center" wrapText="1"/>
    </xf>
    <xf numFmtId="190" fontId="4" fillId="4" borderId="9" xfId="0" applyNumberFormat="1" applyFont="1" applyFill="1" applyBorder="1" applyAlignment="1">
      <alignment horizontal="center" vertical="center" wrapText="1"/>
    </xf>
    <xf numFmtId="10" fontId="4" fillId="0" borderId="9" xfId="0" applyNumberFormat="1" applyFont="1" applyBorder="1" applyAlignment="1">
      <alignment horizontal="center" vertical="center" wrapText="1"/>
    </xf>
    <xf numFmtId="190" fontId="0" fillId="0" borderId="9" xfId="0" applyNumberFormat="1" applyBorder="1" applyAlignment="1">
      <alignment horizontal="center" vertical="center" wrapText="1"/>
    </xf>
    <xf numFmtId="0" fontId="20" fillId="4" borderId="0" xfId="0" applyFont="1" applyFill="1"/>
    <xf numFmtId="10" fontId="20" fillId="4" borderId="9" xfId="0" applyNumberFormat="1" applyFont="1" applyFill="1" applyBorder="1" applyAlignment="1">
      <alignment horizontal="center" vertical="center" wrapText="1"/>
    </xf>
    <xf numFmtId="10" fontId="4" fillId="4" borderId="9" xfId="0" applyNumberFormat="1" applyFont="1" applyFill="1" applyBorder="1" applyAlignment="1">
      <alignment horizontal="center" vertical="center" wrapText="1"/>
    </xf>
    <xf numFmtId="172" fontId="4" fillId="0" borderId="9" xfId="0" applyNumberFormat="1" applyFont="1" applyBorder="1" applyAlignment="1">
      <alignment horizontal="center" vertical="center" wrapText="1"/>
    </xf>
    <xf numFmtId="2" fontId="0" fillId="0" borderId="9" xfId="0" applyNumberFormat="1" applyBorder="1" applyAlignment="1">
      <alignment horizontal="center" vertical="center"/>
    </xf>
    <xf numFmtId="2" fontId="4" fillId="0" borderId="9" xfId="0" applyNumberFormat="1" applyFont="1" applyBorder="1" applyAlignment="1">
      <alignment horizontal="center" vertical="center"/>
    </xf>
    <xf numFmtId="180" fontId="20" fillId="0" borderId="9" xfId="0" applyNumberFormat="1" applyFont="1" applyBorder="1" applyAlignment="1">
      <alignment horizontal="center" vertical="center" wrapText="1"/>
    </xf>
    <xf numFmtId="2" fontId="4" fillId="0" borderId="9" xfId="0" applyNumberFormat="1" applyFont="1" applyBorder="1" applyAlignment="1">
      <alignment horizontal="center" vertical="center" wrapText="1"/>
    </xf>
    <xf numFmtId="2" fontId="0" fillId="4" borderId="9" xfId="0" applyNumberFormat="1" applyFill="1" applyBorder="1" applyAlignment="1">
      <alignment horizontal="center" vertical="center"/>
    </xf>
    <xf numFmtId="2" fontId="20" fillId="0" borderId="9" xfId="0" applyNumberFormat="1" applyFont="1" applyBorder="1" applyAlignment="1">
      <alignment horizontal="center" vertical="center" wrapText="1"/>
    </xf>
    <xf numFmtId="7" fontId="20" fillId="4" borderId="9" xfId="2" applyNumberFormat="1" applyFont="1" applyFill="1" applyBorder="1" applyAlignment="1">
      <alignment horizontal="center" vertical="center" wrapText="1"/>
    </xf>
    <xf numFmtId="170" fontId="20" fillId="4" borderId="0" xfId="1" applyNumberFormat="1" applyFont="1" applyFill="1" applyBorder="1" applyAlignment="1" applyProtection="1">
      <alignment horizontal="right"/>
    </xf>
    <xf numFmtId="165" fontId="4" fillId="4" borderId="9" xfId="0" applyNumberFormat="1" applyFont="1" applyFill="1" applyBorder="1" applyAlignment="1">
      <alignment horizontal="center" vertical="center" wrapText="1"/>
    </xf>
    <xf numFmtId="7" fontId="4" fillId="4" borderId="9" xfId="2" applyNumberFormat="1" applyFont="1" applyFill="1" applyBorder="1" applyAlignment="1">
      <alignment horizontal="center" vertical="center" wrapText="1"/>
    </xf>
    <xf numFmtId="9" fontId="20" fillId="4" borderId="0" xfId="0" applyNumberFormat="1" applyFont="1" applyFill="1" applyAlignment="1">
      <alignment horizontal="center" vertical="center" wrapText="1"/>
    </xf>
    <xf numFmtId="9" fontId="4" fillId="0" borderId="9" xfId="0" applyNumberFormat="1" applyFont="1" applyBorder="1" applyAlignment="1">
      <alignment horizontal="center" vertical="center" wrapText="1"/>
    </xf>
    <xf numFmtId="0" fontId="20" fillId="0" borderId="9" xfId="0" applyFont="1" applyBorder="1" applyAlignment="1">
      <alignment horizontal="center" wrapText="1"/>
    </xf>
    <xf numFmtId="165" fontId="20" fillId="4" borderId="0" xfId="0" applyNumberFormat="1" applyFont="1" applyFill="1" applyAlignment="1">
      <alignment horizontal="center" vertical="center" wrapText="1"/>
    </xf>
    <xf numFmtId="0" fontId="0" fillId="0" borderId="9" xfId="0" applyBorder="1" applyAlignment="1">
      <alignment horizontal="center" wrapText="1"/>
    </xf>
    <xf numFmtId="3" fontId="20" fillId="4" borderId="0" xfId="0" applyNumberFormat="1" applyFont="1" applyFill="1" applyAlignment="1">
      <alignment horizontal="center" vertical="center" wrapText="1"/>
    </xf>
    <xf numFmtId="3" fontId="4" fillId="0" borderId="9" xfId="0" applyNumberFormat="1" applyFont="1" applyBorder="1" applyAlignment="1">
      <alignment horizontal="center" vertical="center" wrapText="1"/>
    </xf>
    <xf numFmtId="190" fontId="4" fillId="0" borderId="9" xfId="3" applyNumberFormat="1" applyFont="1" applyBorder="1" applyAlignment="1">
      <alignment horizontal="center" wrapText="1"/>
    </xf>
    <xf numFmtId="165" fontId="4" fillId="4" borderId="9" xfId="8" applyNumberFormat="1" applyFont="1" applyFill="1" applyBorder="1" applyAlignment="1">
      <alignment horizontal="center"/>
    </xf>
    <xf numFmtId="7" fontId="4" fillId="0" borderId="9" xfId="2" applyNumberFormat="1" applyFont="1" applyFill="1" applyBorder="1" applyAlignment="1">
      <alignment horizontal="center"/>
    </xf>
    <xf numFmtId="171" fontId="20" fillId="4" borderId="9" xfId="0" applyNumberFormat="1" applyFont="1" applyFill="1" applyBorder="1" applyAlignment="1">
      <alignment horizontal="center" vertical="center" wrapText="1"/>
    </xf>
    <xf numFmtId="165" fontId="4" fillId="4" borderId="9" xfId="0" applyNumberFormat="1" applyFont="1" applyFill="1" applyBorder="1" applyAlignment="1">
      <alignment horizontal="center"/>
    </xf>
    <xf numFmtId="2" fontId="4" fillId="4" borderId="9" xfId="0" applyNumberFormat="1" applyFont="1" applyFill="1" applyBorder="1" applyAlignment="1">
      <alignment horizontal="center"/>
    </xf>
    <xf numFmtId="0" fontId="0" fillId="0" borderId="9" xfId="0" applyBorder="1" applyAlignment="1">
      <alignment horizontal="center"/>
    </xf>
    <xf numFmtId="0" fontId="40" fillId="12" borderId="0" xfId="0" applyFont="1" applyFill="1"/>
    <xf numFmtId="167" fontId="40" fillId="12" borderId="0" xfId="0" applyNumberFormat="1" applyFont="1" applyFill="1"/>
    <xf numFmtId="180" fontId="20" fillId="4" borderId="9" xfId="0" applyNumberFormat="1" applyFont="1" applyFill="1" applyBorder="1" applyAlignment="1">
      <alignment horizontal="center"/>
    </xf>
    <xf numFmtId="180" fontId="0" fillId="4" borderId="9" xfId="0" applyNumberFormat="1" applyFill="1" applyBorder="1" applyAlignment="1">
      <alignment horizontal="center"/>
    </xf>
    <xf numFmtId="2" fontId="0" fillId="4" borderId="9" xfId="0" applyNumberFormat="1" applyFill="1" applyBorder="1" applyAlignment="1">
      <alignment horizontal="center"/>
    </xf>
    <xf numFmtId="179" fontId="20" fillId="4" borderId="9" xfId="0" applyNumberFormat="1" applyFont="1" applyFill="1" applyBorder="1" applyAlignment="1">
      <alignment horizontal="center" vertical="center" wrapText="1"/>
    </xf>
    <xf numFmtId="0" fontId="20" fillId="0" borderId="0" xfId="0" applyFont="1" applyAlignment="1">
      <alignment wrapText="1"/>
    </xf>
    <xf numFmtId="4" fontId="20" fillId="4" borderId="9" xfId="0" applyNumberFormat="1" applyFont="1" applyFill="1" applyBorder="1" applyAlignment="1">
      <alignment horizontal="center" vertical="center" wrapText="1"/>
    </xf>
    <xf numFmtId="39" fontId="20" fillId="4" borderId="9" xfId="1" applyNumberFormat="1" applyFont="1" applyFill="1" applyBorder="1" applyAlignment="1">
      <alignment horizontal="center" vertical="center" wrapText="1"/>
    </xf>
    <xf numFmtId="39" fontId="4" fillId="0" borderId="9" xfId="1" applyNumberFormat="1" applyFont="1" applyFill="1" applyBorder="1" applyAlignment="1">
      <alignment horizontal="center" vertical="center" wrapText="1"/>
    </xf>
    <xf numFmtId="39" fontId="4" fillId="4" borderId="9" xfId="1" applyNumberFormat="1" applyFont="1" applyFill="1" applyBorder="1" applyAlignment="1">
      <alignment horizontal="center" vertical="center" wrapText="1"/>
    </xf>
    <xf numFmtId="0" fontId="20" fillId="0" borderId="9" xfId="12" applyFont="1" applyBorder="1" applyAlignment="1">
      <alignment horizontal="center"/>
    </xf>
    <xf numFmtId="180" fontId="0" fillId="0" borderId="9" xfId="0" applyNumberFormat="1" applyBorder="1" applyAlignment="1">
      <alignment horizontal="center"/>
    </xf>
    <xf numFmtId="2" fontId="0" fillId="4" borderId="9" xfId="0" applyNumberFormat="1" applyFill="1" applyBorder="1" applyAlignment="1">
      <alignment horizontal="center" vertical="center" wrapText="1"/>
    </xf>
    <xf numFmtId="10" fontId="0" fillId="0" borderId="9" xfId="3" applyNumberFormat="1" applyFont="1" applyBorder="1" applyAlignment="1">
      <alignment horizontal="center"/>
    </xf>
    <xf numFmtId="10" fontId="0" fillId="4" borderId="9" xfId="3" applyNumberFormat="1" applyFont="1" applyFill="1" applyBorder="1" applyAlignment="1">
      <alignment horizontal="center" vertical="center" wrapText="1"/>
    </xf>
    <xf numFmtId="10" fontId="0" fillId="0" borderId="9" xfId="0" applyNumberFormat="1" applyBorder="1"/>
    <xf numFmtId="2" fontId="12" fillId="0" borderId="0" xfId="1" applyNumberFormat="1" applyFont="1"/>
    <xf numFmtId="0" fontId="35" fillId="4" borderId="0" xfId="5" applyFont="1" applyFill="1"/>
    <xf numFmtId="2" fontId="12" fillId="0" borderId="0" xfId="1" applyNumberFormat="1" applyFont="1" applyFill="1"/>
    <xf numFmtId="44" fontId="0" fillId="8" borderId="9" xfId="0" applyNumberFormat="1" applyFill="1" applyBorder="1" applyAlignment="1">
      <alignment horizontal="center" wrapText="1"/>
    </xf>
    <xf numFmtId="39" fontId="20" fillId="0" borderId="9" xfId="1" applyNumberFormat="1" applyFont="1" applyBorder="1" applyAlignment="1">
      <alignment horizontal="center"/>
    </xf>
    <xf numFmtId="192" fontId="20" fillId="0" borderId="9" xfId="2" applyNumberFormat="1" applyFont="1" applyBorder="1" applyAlignment="1">
      <alignment horizontal="center"/>
    </xf>
    <xf numFmtId="0" fontId="20" fillId="4" borderId="19" xfId="8" applyFont="1" applyFill="1" applyBorder="1" applyAlignment="1">
      <alignment horizontal="left"/>
    </xf>
    <xf numFmtId="7" fontId="20" fillId="4" borderId="0" xfId="0" applyNumberFormat="1" applyFont="1" applyFill="1"/>
    <xf numFmtId="44" fontId="0" fillId="0" borderId="0" xfId="2" applyFont="1" applyFill="1"/>
    <xf numFmtId="0" fontId="54" fillId="0" borderId="0" xfId="0" applyFont="1"/>
    <xf numFmtId="9" fontId="20" fillId="4" borderId="4" xfId="3" applyFont="1" applyFill="1" applyBorder="1" applyAlignment="1">
      <alignment horizontal="center"/>
    </xf>
    <xf numFmtId="0" fontId="20" fillId="4" borderId="4" xfId="8" applyFont="1" applyFill="1" applyBorder="1"/>
    <xf numFmtId="0" fontId="20" fillId="4" borderId="5" xfId="8" applyFont="1" applyFill="1" applyBorder="1"/>
    <xf numFmtId="9" fontId="0" fillId="0" borderId="4" xfId="3" applyFont="1" applyFill="1" applyBorder="1" applyAlignment="1">
      <alignment horizontal="center"/>
    </xf>
    <xf numFmtId="9" fontId="4" fillId="4" borderId="4" xfId="3" applyFont="1" applyFill="1" applyBorder="1" applyAlignment="1">
      <alignment horizontal="center"/>
    </xf>
    <xf numFmtId="9" fontId="20" fillId="4" borderId="9" xfId="3" applyFont="1" applyFill="1" applyBorder="1" applyAlignment="1">
      <alignment horizontal="center"/>
    </xf>
    <xf numFmtId="0" fontId="20" fillId="4" borderId="9" xfId="8" applyFont="1" applyFill="1" applyBorder="1"/>
    <xf numFmtId="0" fontId="20" fillId="4" borderId="45" xfId="8" applyFont="1" applyFill="1" applyBorder="1"/>
    <xf numFmtId="9" fontId="4" fillId="4" borderId="9" xfId="3" applyFont="1" applyFill="1" applyBorder="1" applyAlignment="1">
      <alignment horizontal="center"/>
    </xf>
    <xf numFmtId="0" fontId="20" fillId="4" borderId="10" xfId="8" applyFont="1" applyFill="1" applyBorder="1"/>
    <xf numFmtId="0" fontId="20" fillId="4" borderId="46" xfId="8" applyFont="1" applyFill="1" applyBorder="1"/>
    <xf numFmtId="0" fontId="20" fillId="4" borderId="14" xfId="0" applyFont="1" applyFill="1" applyBorder="1"/>
    <xf numFmtId="0" fontId="20" fillId="4" borderId="15" xfId="8" applyFont="1" applyFill="1" applyBorder="1"/>
    <xf numFmtId="9" fontId="4" fillId="4" borderId="19" xfId="3" applyFont="1" applyFill="1" applyBorder="1" applyAlignment="1">
      <alignment horizontal="center"/>
    </xf>
    <xf numFmtId="0" fontId="20" fillId="0" borderId="5" xfId="8" applyFont="1" applyBorder="1" applyAlignment="1">
      <alignment wrapText="1"/>
    </xf>
    <xf numFmtId="1" fontId="20" fillId="0" borderId="48" xfId="3" applyNumberFormat="1" applyFont="1" applyFill="1" applyBorder="1" applyAlignment="1">
      <alignment horizontal="center"/>
    </xf>
    <xf numFmtId="1" fontId="20" fillId="4" borderId="48" xfId="3" applyNumberFormat="1" applyFont="1" applyFill="1" applyBorder="1" applyAlignment="1">
      <alignment horizontal="center"/>
    </xf>
    <xf numFmtId="0" fontId="48" fillId="4" borderId="3" xfId="8" applyFont="1" applyFill="1" applyBorder="1" applyAlignment="1">
      <alignment horizontal="left" vertical="center" wrapText="1"/>
    </xf>
    <xf numFmtId="1" fontId="4" fillId="4" borderId="23" xfId="3" applyNumberFormat="1" applyFont="1" applyFill="1" applyBorder="1" applyAlignment="1">
      <alignment horizontal="center"/>
    </xf>
    <xf numFmtId="0" fontId="48" fillId="4" borderId="13" xfId="8" applyFont="1" applyFill="1" applyBorder="1" applyAlignment="1">
      <alignment horizontal="left" vertical="center" wrapText="1"/>
    </xf>
    <xf numFmtId="2" fontId="4" fillId="4" borderId="19" xfId="3" applyNumberFormat="1" applyFont="1" applyFill="1" applyBorder="1" applyAlignment="1">
      <alignment horizontal="center"/>
    </xf>
    <xf numFmtId="0" fontId="24" fillId="0" borderId="0" xfId="8" applyAlignment="1">
      <alignment horizontal="center"/>
    </xf>
    <xf numFmtId="9" fontId="0" fillId="0" borderId="14" xfId="3" applyFont="1" applyFill="1" applyBorder="1" applyAlignment="1">
      <alignment horizontal="center"/>
    </xf>
    <xf numFmtId="9" fontId="4" fillId="4" borderId="14" xfId="3" applyFont="1" applyFill="1" applyBorder="1" applyAlignment="1">
      <alignment horizontal="center"/>
    </xf>
    <xf numFmtId="2" fontId="4" fillId="4" borderId="23" xfId="3" applyNumberFormat="1" applyFont="1" applyFill="1" applyBorder="1" applyAlignment="1">
      <alignment horizontal="center"/>
    </xf>
    <xf numFmtId="0" fontId="48" fillId="4" borderId="8" xfId="8" applyFont="1" applyFill="1" applyBorder="1" applyAlignment="1">
      <alignment horizontal="left" vertical="center" wrapText="1"/>
    </xf>
    <xf numFmtId="165" fontId="4" fillId="0" borderId="9" xfId="3" applyNumberFormat="1" applyFont="1" applyBorder="1" applyAlignment="1">
      <alignment horizontal="center"/>
    </xf>
    <xf numFmtId="165" fontId="4" fillId="4" borderId="9" xfId="3" applyNumberFormat="1" applyFont="1" applyFill="1" applyBorder="1" applyAlignment="1">
      <alignment horizontal="center"/>
    </xf>
    <xf numFmtId="165" fontId="20" fillId="0" borderId="9" xfId="3" applyNumberFormat="1" applyFont="1" applyBorder="1" applyAlignment="1">
      <alignment horizontal="center"/>
    </xf>
    <xf numFmtId="10" fontId="4" fillId="4" borderId="9" xfId="3" applyNumberFormat="1" applyFont="1" applyFill="1" applyBorder="1" applyAlignment="1">
      <alignment horizontal="center"/>
    </xf>
    <xf numFmtId="10" fontId="20" fillId="4" borderId="9" xfId="3" applyNumberFormat="1" applyFont="1" applyFill="1" applyBorder="1" applyAlignment="1">
      <alignment horizontal="center"/>
    </xf>
    <xf numFmtId="165" fontId="20" fillId="0" borderId="14" xfId="3" applyNumberFormat="1" applyFont="1" applyBorder="1" applyAlignment="1">
      <alignment horizontal="center"/>
    </xf>
    <xf numFmtId="0" fontId="20" fillId="4" borderId="23" xfId="8" applyFont="1" applyFill="1" applyBorder="1"/>
    <xf numFmtId="0" fontId="20" fillId="4" borderId="49" xfId="8" applyFont="1" applyFill="1" applyBorder="1"/>
    <xf numFmtId="165" fontId="20" fillId="0" borderId="23" xfId="3" applyNumberFormat="1" applyFont="1" applyBorder="1" applyAlignment="1">
      <alignment horizontal="center"/>
    </xf>
    <xf numFmtId="0" fontId="20" fillId="4" borderId="50" xfId="8" applyFont="1" applyFill="1" applyBorder="1"/>
    <xf numFmtId="0" fontId="20" fillId="4" borderId="19" xfId="8" applyFont="1" applyFill="1" applyBorder="1"/>
    <xf numFmtId="0" fontId="20" fillId="4" borderId="14" xfId="8" applyFont="1" applyFill="1" applyBorder="1"/>
    <xf numFmtId="0" fontId="20" fillId="4" borderId="51" xfId="8" applyFont="1" applyFill="1" applyBorder="1"/>
    <xf numFmtId="170" fontId="0" fillId="0" borderId="9" xfId="1" applyNumberFormat="1" applyFont="1" applyBorder="1" applyAlignment="1">
      <alignment horizontal="center"/>
    </xf>
    <xf numFmtId="0" fontId="20" fillId="15" borderId="18" xfId="0" applyFont="1" applyFill="1" applyBorder="1" applyAlignment="1">
      <alignment horizontal="center" vertical="center" wrapText="1"/>
    </xf>
    <xf numFmtId="44" fontId="20" fillId="0" borderId="9" xfId="2" applyFont="1" applyFill="1" applyBorder="1" applyAlignment="1">
      <alignment horizontal="center"/>
    </xf>
    <xf numFmtId="44" fontId="20" fillId="0" borderId="27" xfId="2" applyFont="1" applyFill="1" applyBorder="1"/>
    <xf numFmtId="7" fontId="20" fillId="0" borderId="27" xfId="2" applyNumberFormat="1" applyFont="1" applyFill="1" applyBorder="1" applyAlignment="1">
      <alignment horizontal="center"/>
    </xf>
    <xf numFmtId="8" fontId="20" fillId="0" borderId="9" xfId="2" applyNumberFormat="1" applyFont="1" applyFill="1" applyBorder="1"/>
    <xf numFmtId="171" fontId="0" fillId="0" borderId="9" xfId="3" applyNumberFormat="1" applyFont="1" applyBorder="1" applyAlignment="1">
      <alignment horizontal="center"/>
    </xf>
    <xf numFmtId="190" fontId="20" fillId="0" borderId="9" xfId="3" applyNumberFormat="1" applyFont="1" applyFill="1" applyBorder="1"/>
    <xf numFmtId="0" fontId="20" fillId="0" borderId="16" xfId="0" applyFont="1" applyBorder="1" applyAlignment="1">
      <alignment horizontal="left"/>
    </xf>
    <xf numFmtId="0" fontId="20" fillId="0" borderId="18" xfId="0" applyFont="1" applyBorder="1" applyAlignment="1">
      <alignment horizontal="left"/>
    </xf>
    <xf numFmtId="44" fontId="0" fillId="8" borderId="9" xfId="1" applyNumberFormat="1" applyFont="1" applyFill="1" applyBorder="1" applyAlignment="1">
      <alignment horizontal="center" wrapText="1"/>
    </xf>
    <xf numFmtId="37" fontId="20" fillId="0" borderId="9" xfId="0" applyNumberFormat="1" applyFont="1" applyBorder="1" applyAlignment="1">
      <alignment horizontal="center"/>
    </xf>
    <xf numFmtId="5" fontId="20" fillId="4" borderId="9" xfId="2" applyNumberFormat="1" applyFont="1" applyFill="1" applyBorder="1" applyAlignment="1">
      <alignment horizontal="center"/>
    </xf>
    <xf numFmtId="168" fontId="4" fillId="0" borderId="9" xfId="1" applyNumberFormat="1" applyFont="1" applyBorder="1"/>
    <xf numFmtId="43" fontId="20" fillId="0" borderId="9" xfId="1" applyFont="1" applyBorder="1"/>
    <xf numFmtId="39" fontId="20" fillId="4" borderId="9" xfId="1" applyNumberFormat="1" applyFont="1" applyFill="1" applyBorder="1" applyAlignment="1">
      <alignment horizontal="center"/>
    </xf>
    <xf numFmtId="168" fontId="20" fillId="4" borderId="9" xfId="0" applyNumberFormat="1" applyFont="1" applyFill="1" applyBorder="1" applyAlignment="1">
      <alignment horizontal="left"/>
    </xf>
    <xf numFmtId="39" fontId="4" fillId="0" borderId="9" xfId="1" applyNumberFormat="1" applyFont="1" applyBorder="1" applyAlignment="1">
      <alignment horizontal="center"/>
    </xf>
    <xf numFmtId="37" fontId="20" fillId="4" borderId="9" xfId="0" applyNumberFormat="1" applyFont="1" applyFill="1" applyBorder="1" applyAlignment="1">
      <alignment horizontal="center"/>
    </xf>
    <xf numFmtId="0" fontId="20" fillId="4" borderId="4" xfId="0" applyFont="1" applyFill="1" applyBorder="1"/>
    <xf numFmtId="2" fontId="20" fillId="0" borderId="16" xfId="0" applyNumberFormat="1" applyFont="1" applyBorder="1" applyAlignment="1">
      <alignment wrapText="1"/>
    </xf>
    <xf numFmtId="7" fontId="4" fillId="4" borderId="9" xfId="2" applyNumberFormat="1" applyFont="1" applyFill="1" applyBorder="1" applyAlignment="1">
      <alignment horizontal="center"/>
    </xf>
    <xf numFmtId="7" fontId="20" fillId="0" borderId="9" xfId="2" applyNumberFormat="1" applyFont="1" applyBorder="1" applyAlignment="1">
      <alignment horizontal="center"/>
    </xf>
    <xf numFmtId="0" fontId="20" fillId="4" borderId="9" xfId="0" applyFont="1" applyFill="1" applyBorder="1"/>
    <xf numFmtId="2" fontId="20" fillId="0" borderId="16" xfId="0" applyNumberFormat="1" applyFont="1" applyBorder="1" applyAlignment="1">
      <alignment horizontal="left" wrapText="1"/>
    </xf>
    <xf numFmtId="44" fontId="20" fillId="0" borderId="9" xfId="2" applyFont="1" applyBorder="1"/>
    <xf numFmtId="190" fontId="20" fillId="0" borderId="18" xfId="3" applyNumberFormat="1" applyFont="1" applyBorder="1"/>
    <xf numFmtId="8" fontId="20" fillId="0" borderId="16" xfId="0" applyNumberFormat="1" applyFont="1" applyBorder="1" applyAlignment="1">
      <alignment horizontal="left"/>
    </xf>
    <xf numFmtId="2" fontId="20" fillId="0" borderId="0" xfId="0" applyNumberFormat="1" applyFont="1" applyAlignment="1">
      <alignment horizontal="left"/>
    </xf>
    <xf numFmtId="0" fontId="4" fillId="4" borderId="19" xfId="0" applyFont="1" applyFill="1" applyBorder="1" applyAlignment="1">
      <alignment horizontal="left" vertical="top" wrapText="1"/>
    </xf>
    <xf numFmtId="0" fontId="20" fillId="4" borderId="19" xfId="0" applyFont="1" applyFill="1" applyBorder="1" applyAlignment="1">
      <alignment horizontal="left" vertical="top" wrapText="1"/>
    </xf>
    <xf numFmtId="0" fontId="4" fillId="4" borderId="30" xfId="0" applyFont="1" applyFill="1" applyBorder="1" applyAlignment="1">
      <alignment horizontal="left" vertical="top" wrapText="1"/>
    </xf>
    <xf numFmtId="0" fontId="20" fillId="4" borderId="30" xfId="0" applyFont="1" applyFill="1" applyBorder="1" applyAlignment="1">
      <alignment horizontal="left" vertical="top" wrapText="1"/>
    </xf>
    <xf numFmtId="0" fontId="20" fillId="4" borderId="23" xfId="0" applyFont="1" applyFill="1" applyBorder="1" applyAlignment="1">
      <alignment horizontal="left" vertical="top" wrapText="1"/>
    </xf>
    <xf numFmtId="0" fontId="20" fillId="4" borderId="10" xfId="0" applyFont="1" applyFill="1" applyBorder="1" applyAlignment="1">
      <alignment horizontal="left" vertical="top" wrapText="1"/>
    </xf>
    <xf numFmtId="0" fontId="20" fillId="4" borderId="10" xfId="0" applyFont="1" applyFill="1" applyBorder="1"/>
    <xf numFmtId="2" fontId="4" fillId="4" borderId="4" xfId="0" applyNumberFormat="1" applyFont="1" applyFill="1" applyBorder="1" applyAlignment="1">
      <alignment horizontal="left" vertical="top" wrapText="1"/>
    </xf>
    <xf numFmtId="2" fontId="20" fillId="4" borderId="9" xfId="0" applyNumberFormat="1" applyFont="1" applyFill="1" applyBorder="1" applyAlignment="1">
      <alignment horizontal="left" vertical="top" wrapText="1"/>
    </xf>
    <xf numFmtId="2" fontId="4" fillId="4" borderId="9" xfId="0" applyNumberFormat="1" applyFont="1" applyFill="1" applyBorder="1" applyAlignment="1">
      <alignment horizontal="left" vertical="top" wrapText="1"/>
    </xf>
    <xf numFmtId="2" fontId="20" fillId="4" borderId="19" xfId="0" applyNumberFormat="1" applyFont="1" applyFill="1" applyBorder="1" applyAlignment="1">
      <alignment horizontal="left" vertical="top" wrapText="1"/>
    </xf>
    <xf numFmtId="2" fontId="20" fillId="4" borderId="30" xfId="0" applyNumberFormat="1" applyFont="1" applyFill="1" applyBorder="1" applyAlignment="1">
      <alignment horizontal="left" vertical="top" wrapText="1"/>
    </xf>
    <xf numFmtId="9" fontId="20" fillId="4" borderId="4" xfId="0" applyNumberFormat="1" applyFont="1" applyFill="1" applyBorder="1" applyAlignment="1">
      <alignment horizontal="left" vertical="top"/>
    </xf>
    <xf numFmtId="9" fontId="20" fillId="4" borderId="9" xfId="0" applyNumberFormat="1" applyFont="1" applyFill="1" applyBorder="1" applyAlignment="1">
      <alignment horizontal="left" vertical="top"/>
    </xf>
    <xf numFmtId="9" fontId="4" fillId="4" borderId="9" xfId="0" applyNumberFormat="1" applyFont="1" applyFill="1" applyBorder="1" applyAlignment="1">
      <alignment horizontal="left" vertical="top"/>
    </xf>
    <xf numFmtId="0" fontId="20" fillId="4" borderId="19" xfId="0" applyFont="1" applyFill="1" applyBorder="1" applyAlignment="1">
      <alignment horizontal="left" vertical="top"/>
    </xf>
    <xf numFmtId="9" fontId="20" fillId="4" borderId="19" xfId="0" applyNumberFormat="1" applyFont="1" applyFill="1" applyBorder="1" applyAlignment="1">
      <alignment horizontal="left" vertical="top"/>
    </xf>
    <xf numFmtId="9" fontId="20" fillId="4" borderId="30" xfId="0" applyNumberFormat="1" applyFont="1" applyFill="1" applyBorder="1" applyAlignment="1">
      <alignment horizontal="left" vertical="top"/>
    </xf>
    <xf numFmtId="9" fontId="4" fillId="4" borderId="23" xfId="0" applyNumberFormat="1" applyFont="1" applyFill="1" applyBorder="1" applyAlignment="1">
      <alignment horizontal="left" vertical="top"/>
    </xf>
    <xf numFmtId="9" fontId="20" fillId="4" borderId="23" xfId="0" applyNumberFormat="1" applyFont="1" applyFill="1" applyBorder="1" applyAlignment="1">
      <alignment horizontal="left" vertical="top"/>
    </xf>
    <xf numFmtId="39" fontId="20" fillId="4" borderId="4" xfId="1" applyNumberFormat="1" applyFont="1" applyFill="1" applyBorder="1" applyAlignment="1">
      <alignment horizontal="center" vertical="top"/>
    </xf>
    <xf numFmtId="39" fontId="20" fillId="4" borderId="9" xfId="1" applyNumberFormat="1" applyFont="1" applyFill="1" applyBorder="1" applyAlignment="1">
      <alignment horizontal="center" vertical="top"/>
    </xf>
    <xf numFmtId="39" fontId="4" fillId="4" borderId="9" xfId="1" applyNumberFormat="1" applyFont="1" applyFill="1" applyBorder="1" applyAlignment="1">
      <alignment horizontal="center" vertical="top"/>
    </xf>
    <xf numFmtId="39" fontId="20" fillId="4" borderId="19" xfId="1" applyNumberFormat="1" applyFont="1" applyFill="1" applyBorder="1" applyAlignment="1">
      <alignment horizontal="center" vertical="top"/>
    </xf>
    <xf numFmtId="39" fontId="20" fillId="4" borderId="14" xfId="1" applyNumberFormat="1" applyFont="1" applyFill="1" applyBorder="1" applyAlignment="1">
      <alignment horizontal="center" vertical="top"/>
    </xf>
    <xf numFmtId="5" fontId="20" fillId="4" borderId="23" xfId="2" applyNumberFormat="1" applyFont="1" applyFill="1" applyBorder="1" applyAlignment="1">
      <alignment horizontal="center"/>
    </xf>
    <xf numFmtId="197" fontId="4" fillId="4" borderId="23" xfId="2" applyNumberFormat="1" applyFont="1" applyFill="1" applyBorder="1" applyAlignment="1">
      <alignment horizontal="center"/>
    </xf>
    <xf numFmtId="197" fontId="20" fillId="4" borderId="9" xfId="2" applyNumberFormat="1" applyFont="1" applyFill="1" applyBorder="1" applyAlignment="1">
      <alignment horizontal="center"/>
    </xf>
    <xf numFmtId="197" fontId="4" fillId="4" borderId="9" xfId="2" applyNumberFormat="1" applyFont="1" applyFill="1" applyBorder="1" applyAlignment="1">
      <alignment horizontal="center"/>
    </xf>
    <xf numFmtId="5" fontId="20" fillId="4" borderId="19" xfId="2" applyNumberFormat="1" applyFont="1" applyFill="1" applyBorder="1" applyAlignment="1">
      <alignment horizontal="center"/>
    </xf>
    <xf numFmtId="197" fontId="20" fillId="4" borderId="19" xfId="2" applyNumberFormat="1" applyFont="1" applyFill="1" applyBorder="1" applyAlignment="1">
      <alignment horizontal="center"/>
    </xf>
    <xf numFmtId="197" fontId="4" fillId="4" borderId="19" xfId="2" applyNumberFormat="1" applyFont="1" applyFill="1" applyBorder="1" applyAlignment="1">
      <alignment horizontal="center"/>
    </xf>
    <xf numFmtId="5" fontId="20" fillId="4" borderId="14" xfId="2" applyNumberFormat="1" applyFont="1" applyFill="1" applyBorder="1" applyAlignment="1">
      <alignment horizontal="center"/>
    </xf>
    <xf numFmtId="197" fontId="4" fillId="4" borderId="14" xfId="2" applyNumberFormat="1" applyFont="1" applyFill="1" applyBorder="1" applyAlignment="1">
      <alignment horizontal="center"/>
    </xf>
    <xf numFmtId="0" fontId="20" fillId="10" borderId="17" xfId="0" applyFont="1" applyFill="1" applyBorder="1" applyAlignment="1">
      <alignment horizontal="center"/>
    </xf>
    <xf numFmtId="43" fontId="4" fillId="0" borderId="9" xfId="0" applyNumberFormat="1" applyFont="1" applyBorder="1"/>
    <xf numFmtId="9" fontId="0" fillId="0" borderId="9" xfId="3" applyFont="1" applyFill="1" applyBorder="1" applyAlignment="1">
      <alignment horizontal="center" vertical="center" wrapText="1"/>
    </xf>
    <xf numFmtId="43" fontId="4" fillId="4" borderId="9" xfId="0" applyNumberFormat="1" applyFont="1" applyFill="1" applyBorder="1"/>
    <xf numFmtId="165" fontId="20" fillId="0" borderId="19" xfId="0" applyNumberFormat="1" applyFont="1" applyBorder="1" applyAlignment="1">
      <alignment horizontal="center" vertical="center" wrapText="1"/>
    </xf>
    <xf numFmtId="7" fontId="20" fillId="4" borderId="19" xfId="2" applyNumberFormat="1" applyFont="1" applyFill="1" applyBorder="1" applyAlignment="1">
      <alignment horizontal="center"/>
    </xf>
    <xf numFmtId="39" fontId="20" fillId="4" borderId="9" xfId="1" quotePrefix="1" applyNumberFormat="1" applyFont="1" applyFill="1" applyBorder="1" applyAlignment="1">
      <alignment horizontal="center" vertical="center" wrapText="1"/>
    </xf>
    <xf numFmtId="2" fontId="0" fillId="0" borderId="0" xfId="0" applyNumberFormat="1"/>
    <xf numFmtId="2" fontId="4" fillId="0" borderId="9" xfId="1" applyNumberFormat="1" applyFont="1" applyBorder="1"/>
    <xf numFmtId="39" fontId="4" fillId="4" borderId="9" xfId="1" quotePrefix="1" applyNumberFormat="1" applyFont="1" applyFill="1" applyBorder="1" applyAlignment="1">
      <alignment horizontal="center" vertical="center" wrapText="1"/>
    </xf>
    <xf numFmtId="9" fontId="4" fillId="0" borderId="9" xfId="3" applyFont="1" applyFill="1" applyBorder="1" applyAlignment="1">
      <alignment horizontal="center" vertical="center" wrapText="1"/>
    </xf>
    <xf numFmtId="0" fontId="20" fillId="8" borderId="37" xfId="0" applyFont="1" applyFill="1" applyBorder="1"/>
    <xf numFmtId="0" fontId="20" fillId="16" borderId="5" xfId="0" applyFont="1" applyFill="1" applyBorder="1" applyAlignment="1">
      <alignment horizontal="left" vertical="top"/>
    </xf>
    <xf numFmtId="0" fontId="20" fillId="4" borderId="5" xfId="0" applyFont="1" applyFill="1" applyBorder="1" applyAlignment="1">
      <alignment horizontal="left" vertical="top" wrapText="1"/>
    </xf>
    <xf numFmtId="0" fontId="20" fillId="8" borderId="16" xfId="0" applyFont="1" applyFill="1" applyBorder="1" applyAlignment="1">
      <alignment horizontal="center"/>
    </xf>
    <xf numFmtId="0" fontId="20" fillId="16" borderId="10" xfId="0" applyFont="1" applyFill="1" applyBorder="1" applyAlignment="1">
      <alignment horizontal="left" vertical="top"/>
    </xf>
    <xf numFmtId="2" fontId="20" fillId="0" borderId="10" xfId="0" applyNumberFormat="1" applyFont="1" applyBorder="1"/>
    <xf numFmtId="0" fontId="20" fillId="4" borderId="15" xfId="0" applyFont="1" applyFill="1" applyBorder="1" applyAlignment="1">
      <alignment horizontal="left" vertical="top" wrapText="1"/>
    </xf>
    <xf numFmtId="0" fontId="20" fillId="5" borderId="37" xfId="0" applyFont="1" applyFill="1" applyBorder="1" applyAlignment="1">
      <alignment horizontal="left" vertical="top" wrapText="1"/>
    </xf>
    <xf numFmtId="0" fontId="20" fillId="5" borderId="16" xfId="0" applyFont="1" applyFill="1" applyBorder="1" applyAlignment="1">
      <alignment horizontal="left" vertical="top" wrapText="1"/>
    </xf>
    <xf numFmtId="0" fontId="4" fillId="5" borderId="16" xfId="0" applyFont="1" applyFill="1" applyBorder="1" applyAlignment="1">
      <alignment horizontal="left" vertical="top" wrapText="1"/>
    </xf>
    <xf numFmtId="0" fontId="4" fillId="5" borderId="9" xfId="0" applyFont="1" applyFill="1" applyBorder="1" applyAlignment="1">
      <alignment horizontal="left" vertical="top" wrapText="1"/>
    </xf>
    <xf numFmtId="0" fontId="4" fillId="5" borderId="14" xfId="0" applyFont="1" applyFill="1" applyBorder="1" applyAlignment="1">
      <alignment horizontal="left" vertical="top" wrapText="1"/>
    </xf>
    <xf numFmtId="9" fontId="20" fillId="4" borderId="23" xfId="0" applyNumberFormat="1" applyFont="1" applyFill="1" applyBorder="1" applyAlignment="1">
      <alignment horizontal="left" vertical="top" wrapText="1"/>
    </xf>
    <xf numFmtId="0" fontId="20" fillId="8" borderId="4" xfId="0" applyFont="1" applyFill="1" applyBorder="1" applyAlignment="1">
      <alignment horizontal="left" vertical="top" wrapText="1"/>
    </xf>
    <xf numFmtId="9" fontId="20" fillId="4" borderId="4" xfId="0" applyNumberFormat="1" applyFont="1" applyFill="1" applyBorder="1" applyAlignment="1">
      <alignment horizontal="left" vertical="top" wrapText="1"/>
    </xf>
    <xf numFmtId="9" fontId="20" fillId="4" borderId="5" xfId="0" applyNumberFormat="1" applyFont="1" applyFill="1" applyBorder="1" applyAlignment="1">
      <alignment horizontal="left" vertical="top" wrapText="1"/>
    </xf>
    <xf numFmtId="9" fontId="20" fillId="4" borderId="9" xfId="0" applyNumberFormat="1" applyFont="1" applyFill="1" applyBorder="1" applyAlignment="1">
      <alignment horizontal="left" vertical="top" wrapText="1"/>
    </xf>
    <xf numFmtId="0" fontId="20" fillId="8" borderId="9" xfId="0" applyFont="1" applyFill="1" applyBorder="1" applyAlignment="1">
      <alignment horizontal="left" vertical="top" wrapText="1"/>
    </xf>
    <xf numFmtId="9" fontId="20" fillId="4" borderId="10" xfId="0" applyNumberFormat="1" applyFont="1" applyFill="1" applyBorder="1" applyAlignment="1">
      <alignment horizontal="left" vertical="top" wrapText="1"/>
    </xf>
    <xf numFmtId="9" fontId="4" fillId="4" borderId="9" xfId="0" applyNumberFormat="1" applyFont="1" applyFill="1" applyBorder="1" applyAlignment="1">
      <alignment horizontal="left" vertical="top" wrapText="1"/>
    </xf>
    <xf numFmtId="9" fontId="20" fillId="4" borderId="45" xfId="0" applyNumberFormat="1" applyFont="1" applyFill="1" applyBorder="1" applyAlignment="1">
      <alignment horizontal="left" vertical="top" wrapText="1"/>
    </xf>
    <xf numFmtId="9" fontId="4" fillId="4" borderId="14" xfId="0" applyNumberFormat="1" applyFont="1" applyFill="1" applyBorder="1" applyAlignment="1">
      <alignment horizontal="left" vertical="top" wrapText="1"/>
    </xf>
    <xf numFmtId="0" fontId="20" fillId="8" borderId="14" xfId="0" applyFont="1" applyFill="1" applyBorder="1" applyAlignment="1">
      <alignment horizontal="left" vertical="top" wrapText="1"/>
    </xf>
    <xf numFmtId="9" fontId="20" fillId="4" borderId="14" xfId="0" applyNumberFormat="1" applyFont="1" applyFill="1" applyBorder="1" applyAlignment="1">
      <alignment horizontal="left" vertical="top" wrapText="1"/>
    </xf>
    <xf numFmtId="9" fontId="20" fillId="4" borderId="15" xfId="0" applyNumberFormat="1" applyFont="1" applyFill="1" applyBorder="1" applyAlignment="1">
      <alignment horizontal="left" vertical="top" wrapText="1"/>
    </xf>
    <xf numFmtId="39" fontId="20" fillId="4" borderId="23" xfId="1" applyNumberFormat="1" applyFont="1" applyFill="1" applyBorder="1" applyAlignment="1">
      <alignment horizontal="left" vertical="top" wrapText="1"/>
    </xf>
    <xf numFmtId="39" fontId="20" fillId="4" borderId="4" xfId="1" applyNumberFormat="1" applyFont="1" applyFill="1" applyBorder="1" applyAlignment="1">
      <alignment horizontal="left" vertical="top" wrapText="1"/>
    </xf>
    <xf numFmtId="39" fontId="20" fillId="4" borderId="9" xfId="1" applyNumberFormat="1" applyFont="1" applyFill="1" applyBorder="1" applyAlignment="1">
      <alignment horizontal="left" vertical="top" wrapText="1"/>
    </xf>
    <xf numFmtId="39" fontId="20" fillId="4" borderId="14" xfId="1" applyNumberFormat="1" applyFont="1" applyFill="1" applyBorder="1" applyAlignment="1">
      <alignment horizontal="left" vertical="top" wrapText="1"/>
    </xf>
    <xf numFmtId="0" fontId="20" fillId="16" borderId="15" xfId="0" applyFont="1" applyFill="1" applyBorder="1" applyAlignment="1">
      <alignment horizontal="left" vertical="top"/>
    </xf>
    <xf numFmtId="7" fontId="4" fillId="4" borderId="9" xfId="2" applyNumberFormat="1" applyFont="1" applyFill="1" applyBorder="1" applyAlignment="1">
      <alignment horizontal="left"/>
    </xf>
    <xf numFmtId="7" fontId="20" fillId="4" borderId="4" xfId="2" applyNumberFormat="1" applyFont="1" applyFill="1" applyBorder="1" applyAlignment="1">
      <alignment horizontal="left"/>
    </xf>
    <xf numFmtId="7" fontId="4" fillId="4" borderId="4" xfId="2" applyNumberFormat="1" applyFont="1" applyFill="1" applyBorder="1" applyAlignment="1">
      <alignment horizontal="left"/>
    </xf>
    <xf numFmtId="7" fontId="20" fillId="4" borderId="9" xfId="2" applyNumberFormat="1" applyFont="1" applyFill="1" applyBorder="1" applyAlignment="1">
      <alignment horizontal="left"/>
    </xf>
    <xf numFmtId="7" fontId="4" fillId="4" borderId="9" xfId="2" applyNumberFormat="1" applyFont="1" applyFill="1" applyBorder="1" applyAlignment="1">
      <alignment horizontal="left" vertical="center" wrapText="1"/>
    </xf>
    <xf numFmtId="7" fontId="20" fillId="4" borderId="9" xfId="2" applyNumberFormat="1" applyFont="1" applyFill="1" applyBorder="1" applyAlignment="1">
      <alignment horizontal="left" vertical="center" wrapText="1"/>
    </xf>
    <xf numFmtId="7" fontId="20" fillId="0" borderId="9" xfId="2" applyNumberFormat="1" applyFont="1" applyFill="1" applyBorder="1" applyAlignment="1">
      <alignment horizontal="left" vertical="center" wrapText="1"/>
    </xf>
    <xf numFmtId="8" fontId="20" fillId="0" borderId="0" xfId="0" applyNumberFormat="1" applyFont="1"/>
    <xf numFmtId="0" fontId="20" fillId="16" borderId="45" xfId="0" applyFont="1" applyFill="1" applyBorder="1" applyAlignment="1">
      <alignment horizontal="left" vertical="top"/>
    </xf>
    <xf numFmtId="9" fontId="20" fillId="4" borderId="4" xfId="3" applyFont="1" applyFill="1" applyBorder="1" applyAlignment="1">
      <alignment horizontal="left" vertical="top" wrapText="1"/>
    </xf>
    <xf numFmtId="0" fontId="20" fillId="16" borderId="23" xfId="0" applyFont="1" applyFill="1" applyBorder="1" applyAlignment="1">
      <alignment horizontal="left" vertical="top" wrapText="1"/>
    </xf>
    <xf numFmtId="9" fontId="4" fillId="4" borderId="9" xfId="3" applyFont="1" applyFill="1" applyBorder="1" applyAlignment="1">
      <alignment horizontal="left" vertical="top" wrapText="1"/>
    </xf>
    <xf numFmtId="9" fontId="20" fillId="4" borderId="23" xfId="3" applyFont="1" applyFill="1" applyBorder="1" applyAlignment="1">
      <alignment horizontal="left" vertical="top" wrapText="1"/>
    </xf>
    <xf numFmtId="9" fontId="20" fillId="4" borderId="9" xfId="3" applyFont="1" applyFill="1" applyBorder="1" applyAlignment="1">
      <alignment horizontal="left" vertical="top" wrapText="1"/>
    </xf>
    <xf numFmtId="39" fontId="4" fillId="4" borderId="9" xfId="1" applyNumberFormat="1" applyFont="1" applyFill="1" applyBorder="1" applyAlignment="1">
      <alignment horizontal="left" vertical="top" wrapText="1"/>
    </xf>
    <xf numFmtId="7" fontId="20" fillId="4" borderId="4" xfId="2" applyNumberFormat="1" applyFont="1" applyFill="1" applyBorder="1" applyAlignment="1">
      <alignment horizontal="left" vertical="top" wrapText="1"/>
    </xf>
    <xf numFmtId="7" fontId="4" fillId="4" borderId="9" xfId="2" applyNumberFormat="1" applyFont="1" applyFill="1" applyBorder="1" applyAlignment="1">
      <alignment horizontal="left" vertical="top" wrapText="1"/>
    </xf>
    <xf numFmtId="7" fontId="20" fillId="4" borderId="23" xfId="2" applyNumberFormat="1" applyFont="1" applyFill="1" applyBorder="1" applyAlignment="1">
      <alignment horizontal="left" vertical="top" wrapText="1"/>
    </xf>
    <xf numFmtId="7" fontId="20" fillId="4" borderId="9" xfId="2" applyNumberFormat="1" applyFont="1" applyFill="1" applyBorder="1" applyAlignment="1">
      <alignment horizontal="left" vertical="top" wrapText="1"/>
    </xf>
    <xf numFmtId="0" fontId="20" fillId="16" borderId="0" xfId="0" applyFont="1" applyFill="1" applyAlignment="1">
      <alignment horizontal="left" vertical="top" wrapText="1"/>
    </xf>
    <xf numFmtId="165" fontId="0" fillId="4" borderId="9" xfId="0" applyNumberFormat="1" applyFill="1" applyBorder="1" applyAlignment="1">
      <alignment horizontal="center" vertical="center" wrapText="1"/>
    </xf>
    <xf numFmtId="170" fontId="20" fillId="4" borderId="9" xfId="1" quotePrefix="1" applyNumberFormat="1" applyFont="1" applyFill="1" applyBorder="1" applyAlignment="1">
      <alignment horizontal="center" vertical="center" wrapText="1"/>
    </xf>
    <xf numFmtId="170" fontId="4" fillId="0" borderId="9" xfId="0" applyNumberFormat="1" applyFont="1" applyBorder="1"/>
    <xf numFmtId="170" fontId="4" fillId="4" borderId="9" xfId="1" quotePrefix="1" applyNumberFormat="1" applyFont="1" applyFill="1" applyBorder="1" applyAlignment="1">
      <alignment horizontal="center" vertical="center" wrapText="1"/>
    </xf>
    <xf numFmtId="170" fontId="4" fillId="4" borderId="9" xfId="0" applyNumberFormat="1" applyFont="1" applyFill="1" applyBorder="1" applyAlignment="1">
      <alignment horizontal="center" vertical="center" wrapText="1"/>
    </xf>
    <xf numFmtId="0" fontId="20" fillId="4" borderId="16" xfId="0" applyFont="1" applyFill="1" applyBorder="1"/>
    <xf numFmtId="2" fontId="20" fillId="4" borderId="23" xfId="0" applyNumberFormat="1" applyFont="1" applyFill="1" applyBorder="1" applyAlignment="1">
      <alignment horizontal="left" vertical="top" wrapText="1"/>
    </xf>
    <xf numFmtId="2" fontId="4" fillId="4" borderId="23" xfId="0" applyNumberFormat="1" applyFont="1" applyFill="1" applyBorder="1" applyAlignment="1">
      <alignment horizontal="left" vertical="top" wrapText="1"/>
    </xf>
    <xf numFmtId="165" fontId="20" fillId="4" borderId="4" xfId="0" applyNumberFormat="1" applyFont="1" applyFill="1" applyBorder="1" applyAlignment="1">
      <alignment horizontal="left" vertical="top" wrapText="1"/>
    </xf>
    <xf numFmtId="165" fontId="4" fillId="4" borderId="4" xfId="0" applyNumberFormat="1" applyFont="1" applyFill="1" applyBorder="1" applyAlignment="1">
      <alignment horizontal="left" vertical="top" wrapText="1"/>
    </xf>
    <xf numFmtId="0" fontId="20" fillId="4" borderId="37" xfId="0" applyFont="1" applyFill="1" applyBorder="1"/>
    <xf numFmtId="165" fontId="4" fillId="4" borderId="9" xfId="0" applyNumberFormat="1" applyFont="1" applyFill="1" applyBorder="1" applyAlignment="1">
      <alignment horizontal="left" vertical="top" wrapText="1"/>
    </xf>
    <xf numFmtId="2" fontId="20" fillId="4" borderId="16" xfId="0" applyNumberFormat="1" applyFont="1" applyFill="1" applyBorder="1" applyAlignment="1">
      <alignment wrapText="1"/>
    </xf>
    <xf numFmtId="7" fontId="20" fillId="4" borderId="14" xfId="2" applyNumberFormat="1" applyFont="1" applyFill="1" applyBorder="1" applyAlignment="1">
      <alignment horizontal="left" vertical="top" wrapText="1"/>
    </xf>
    <xf numFmtId="2" fontId="20" fillId="4" borderId="35" xfId="0" applyNumberFormat="1" applyFont="1" applyFill="1" applyBorder="1" applyAlignment="1">
      <alignment wrapText="1"/>
    </xf>
    <xf numFmtId="37" fontId="4" fillId="4" borderId="9" xfId="1" quotePrefix="1" applyNumberFormat="1" applyFont="1" applyFill="1" applyBorder="1" applyAlignment="1">
      <alignment horizontal="center" vertical="center" wrapText="1"/>
    </xf>
    <xf numFmtId="7" fontId="20" fillId="0" borderId="0" xfId="2" applyNumberFormat="1" applyFont="1" applyFill="1" applyBorder="1" applyAlignment="1">
      <alignment horizontal="center" vertical="center" wrapText="1"/>
    </xf>
    <xf numFmtId="0" fontId="20" fillId="4" borderId="23" xfId="0" applyFont="1" applyFill="1" applyBorder="1" applyAlignment="1">
      <alignment horizontal="left" vertical="top"/>
    </xf>
    <xf numFmtId="37" fontId="20" fillId="4" borderId="9" xfId="1" quotePrefix="1" applyNumberFormat="1" applyFont="1" applyFill="1" applyBorder="1" applyAlignment="1">
      <alignment horizontal="center" vertical="center" wrapText="1"/>
    </xf>
    <xf numFmtId="170" fontId="20" fillId="4" borderId="9" xfId="1" applyNumberFormat="1" applyFont="1" applyFill="1" applyBorder="1" applyAlignment="1">
      <alignment horizontal="center" vertical="center" wrapText="1"/>
    </xf>
    <xf numFmtId="0" fontId="20" fillId="4" borderId="0" xfId="0" applyFont="1" applyFill="1" applyAlignment="1">
      <alignment horizontal="left"/>
    </xf>
    <xf numFmtId="171" fontId="20" fillId="4" borderId="0" xfId="2" applyNumberFormat="1" applyFont="1" applyFill="1" applyBorder="1" applyAlignment="1">
      <alignment horizontal="center"/>
    </xf>
    <xf numFmtId="171" fontId="20" fillId="15" borderId="9" xfId="0" applyNumberFormat="1" applyFont="1" applyFill="1" applyBorder="1" applyAlignment="1">
      <alignment horizontal="center"/>
    </xf>
    <xf numFmtId="6" fontId="20" fillId="0" borderId="0" xfId="0" applyNumberFormat="1" applyFont="1" applyAlignment="1">
      <alignment horizontal="left"/>
    </xf>
    <xf numFmtId="2" fontId="20" fillId="0" borderId="9" xfId="0" applyNumberFormat="1" applyFont="1" applyBorder="1" applyAlignment="1">
      <alignment wrapText="1"/>
    </xf>
    <xf numFmtId="171" fontId="20" fillId="4" borderId="9" xfId="2" applyNumberFormat="1" applyFont="1" applyFill="1" applyBorder="1" applyAlignment="1">
      <alignment horizontal="center"/>
    </xf>
    <xf numFmtId="9" fontId="20" fillId="0" borderId="0" xfId="3" applyFont="1" applyBorder="1" applyAlignment="1"/>
    <xf numFmtId="171" fontId="20" fillId="0" borderId="9" xfId="0" applyNumberFormat="1" applyFont="1" applyBorder="1" applyAlignment="1">
      <alignment wrapText="1"/>
    </xf>
    <xf numFmtId="171" fontId="20" fillId="0" borderId="9" xfId="0" applyNumberFormat="1" applyFont="1" applyBorder="1" applyAlignment="1">
      <alignment horizontal="center"/>
    </xf>
    <xf numFmtId="171" fontId="20" fillId="0" borderId="0" xfId="0" applyNumberFormat="1" applyFont="1" applyAlignment="1">
      <alignment wrapText="1"/>
    </xf>
    <xf numFmtId="190" fontId="20" fillId="0" borderId="9" xfId="3" applyNumberFormat="1" applyFont="1" applyBorder="1"/>
    <xf numFmtId="8" fontId="20" fillId="0" borderId="9" xfId="0" applyNumberFormat="1" applyFont="1" applyBorder="1" applyAlignment="1">
      <alignment horizontal="center"/>
    </xf>
    <xf numFmtId="2" fontId="20" fillId="0" borderId="0" xfId="0" applyNumberFormat="1" applyFont="1" applyAlignment="1">
      <alignment horizontal="center"/>
    </xf>
    <xf numFmtId="0" fontId="20" fillId="8" borderId="16" xfId="0" applyFont="1" applyFill="1" applyBorder="1"/>
    <xf numFmtId="2" fontId="20" fillId="8" borderId="16" xfId="0" applyNumberFormat="1" applyFont="1" applyFill="1" applyBorder="1" applyAlignment="1">
      <alignment wrapText="1"/>
    </xf>
    <xf numFmtId="2" fontId="20" fillId="8" borderId="20" xfId="0" applyNumberFormat="1" applyFont="1" applyFill="1" applyBorder="1" applyAlignment="1">
      <alignment wrapText="1"/>
    </xf>
    <xf numFmtId="0" fontId="4" fillId="4" borderId="33" xfId="0" applyFont="1" applyFill="1" applyBorder="1" applyAlignment="1">
      <alignment horizontal="left" vertical="top" wrapText="1"/>
    </xf>
    <xf numFmtId="2" fontId="20" fillId="8" borderId="60" xfId="0" applyNumberFormat="1" applyFont="1" applyFill="1" applyBorder="1" applyAlignment="1">
      <alignment wrapText="1"/>
    </xf>
    <xf numFmtId="0" fontId="20" fillId="4" borderId="33" xfId="0" applyFont="1" applyFill="1" applyBorder="1" applyAlignment="1">
      <alignment horizontal="left" vertical="top" wrapText="1"/>
    </xf>
    <xf numFmtId="0" fontId="20" fillId="4" borderId="5" xfId="0" applyFont="1" applyFill="1" applyBorder="1"/>
    <xf numFmtId="0" fontId="20" fillId="0" borderId="10" xfId="0" applyFont="1" applyBorder="1"/>
    <xf numFmtId="2" fontId="20" fillId="8" borderId="22" xfId="0" applyNumberFormat="1" applyFont="1" applyFill="1" applyBorder="1" applyAlignment="1">
      <alignment wrapText="1"/>
    </xf>
    <xf numFmtId="0" fontId="20" fillId="0" borderId="5" xfId="0" applyFont="1" applyBorder="1"/>
    <xf numFmtId="2" fontId="20" fillId="8" borderId="9" xfId="0" applyNumberFormat="1" applyFont="1" applyFill="1" applyBorder="1" applyAlignment="1">
      <alignment wrapText="1"/>
    </xf>
    <xf numFmtId="2" fontId="20" fillId="8" borderId="19" xfId="0" applyNumberFormat="1" applyFont="1" applyFill="1" applyBorder="1" applyAlignment="1">
      <alignment wrapText="1"/>
    </xf>
    <xf numFmtId="9" fontId="20" fillId="4" borderId="19" xfId="3" applyFont="1" applyFill="1" applyBorder="1" applyAlignment="1">
      <alignment horizontal="left" vertical="top" wrapText="1"/>
    </xf>
    <xf numFmtId="170" fontId="20" fillId="4" borderId="4" xfId="1" applyNumberFormat="1" applyFont="1" applyFill="1" applyBorder="1" applyAlignment="1">
      <alignment horizontal="left" vertical="top" wrapText="1"/>
    </xf>
    <xf numFmtId="170" fontId="20" fillId="4" borderId="9" xfId="1" applyNumberFormat="1" applyFont="1" applyFill="1" applyBorder="1" applyAlignment="1">
      <alignment horizontal="left" vertical="top" wrapText="1"/>
    </xf>
    <xf numFmtId="170" fontId="20" fillId="4" borderId="23" xfId="1" applyNumberFormat="1" applyFont="1" applyFill="1" applyBorder="1" applyAlignment="1">
      <alignment horizontal="left" vertical="top" wrapText="1"/>
    </xf>
    <xf numFmtId="170" fontId="20" fillId="4" borderId="14" xfId="1" applyNumberFormat="1" applyFont="1" applyFill="1" applyBorder="1" applyAlignment="1">
      <alignment horizontal="left" vertical="top" wrapText="1"/>
    </xf>
    <xf numFmtId="7" fontId="4" fillId="4" borderId="14" xfId="2" applyNumberFormat="1" applyFont="1" applyFill="1" applyBorder="1" applyAlignment="1">
      <alignment horizontal="center" vertical="center" wrapText="1"/>
    </xf>
    <xf numFmtId="7" fontId="20" fillId="4" borderId="14" xfId="2" applyNumberFormat="1" applyFont="1" applyFill="1" applyBorder="1" applyAlignment="1">
      <alignment horizontal="center" vertical="center" wrapText="1"/>
    </xf>
    <xf numFmtId="9" fontId="20" fillId="4" borderId="14" xfId="3" applyFont="1" applyFill="1" applyBorder="1" applyAlignment="1">
      <alignment horizontal="left" vertical="top" wrapText="1"/>
    </xf>
    <xf numFmtId="0" fontId="12" fillId="9" borderId="0" xfId="5" applyFill="1" applyAlignment="1">
      <alignment horizontal="center"/>
    </xf>
    <xf numFmtId="0" fontId="40" fillId="0" borderId="0" xfId="5" applyFont="1" applyAlignment="1">
      <alignment horizontal="center" vertical="center" wrapText="1"/>
    </xf>
    <xf numFmtId="0" fontId="35" fillId="0" borderId="0" xfId="5" applyFont="1"/>
    <xf numFmtId="2" fontId="24" fillId="0" borderId="0" xfId="8" applyNumberFormat="1" applyAlignment="1">
      <alignment horizontal="center"/>
    </xf>
    <xf numFmtId="168" fontId="20" fillId="0" borderId="9" xfId="0" applyNumberFormat="1" applyFont="1" applyBorder="1" applyAlignment="1">
      <alignment horizontal="left"/>
    </xf>
    <xf numFmtId="165" fontId="20" fillId="4" borderId="9" xfId="13" applyNumberFormat="1" applyFont="1" applyFill="1" applyBorder="1" applyAlignment="1">
      <alignment horizontal="center"/>
    </xf>
    <xf numFmtId="171" fontId="20" fillId="4" borderId="9" xfId="13" applyNumberFormat="1" applyFont="1" applyFill="1" applyBorder="1" applyAlignment="1">
      <alignment horizontal="center"/>
    </xf>
    <xf numFmtId="189" fontId="20" fillId="4" borderId="9" xfId="0" applyNumberFormat="1" applyFont="1" applyFill="1" applyBorder="1" applyAlignment="1">
      <alignment horizontal="center" vertical="center" wrapText="1"/>
    </xf>
    <xf numFmtId="39" fontId="20" fillId="4" borderId="9" xfId="0" applyNumberFormat="1" applyFont="1" applyFill="1" applyBorder="1" applyAlignment="1">
      <alignment horizontal="center" vertical="center" wrapText="1"/>
    </xf>
    <xf numFmtId="189" fontId="24" fillId="0" borderId="0" xfId="8" applyNumberFormat="1"/>
    <xf numFmtId="2" fontId="4" fillId="0" borderId="9" xfId="13" applyNumberFormat="1" applyFont="1" applyBorder="1" applyAlignment="1">
      <alignment horizontal="center"/>
    </xf>
    <xf numFmtId="39" fontId="4" fillId="4" borderId="9" xfId="0" applyNumberFormat="1" applyFont="1" applyFill="1" applyBorder="1" applyAlignment="1">
      <alignment horizontal="center" vertical="center" wrapText="1"/>
    </xf>
    <xf numFmtId="1" fontId="1" fillId="0" borderId="16" xfId="13" applyNumberFormat="1" applyBorder="1" applyAlignment="1">
      <alignment horizontal="center" vertical="center" wrapText="1"/>
    </xf>
    <xf numFmtId="1" fontId="4" fillId="0" borderId="16" xfId="13" applyNumberFormat="1" applyFont="1" applyBorder="1" applyAlignment="1">
      <alignment horizontal="center" vertical="center" wrapText="1"/>
    </xf>
    <xf numFmtId="165" fontId="1" fillId="0" borderId="16" xfId="13" applyNumberFormat="1" applyBorder="1" applyAlignment="1">
      <alignment horizontal="center" vertical="center" wrapText="1"/>
    </xf>
    <xf numFmtId="1" fontId="1" fillId="0" borderId="9" xfId="13" applyNumberFormat="1" applyBorder="1" applyAlignment="1">
      <alignment horizontal="left" vertical="center" wrapText="1"/>
    </xf>
    <xf numFmtId="171" fontId="1" fillId="0" borderId="9" xfId="13" applyNumberFormat="1" applyBorder="1" applyAlignment="1">
      <alignment horizontal="center"/>
    </xf>
    <xf numFmtId="2" fontId="0" fillId="0" borderId="0" xfId="0" applyNumberFormat="1" applyAlignment="1">
      <alignment horizontal="center"/>
    </xf>
    <xf numFmtId="0" fontId="1" fillId="0" borderId="0" xfId="8" applyFont="1"/>
    <xf numFmtId="169" fontId="20" fillId="0" borderId="9" xfId="2" applyNumberFormat="1" applyFont="1" applyBorder="1" applyAlignment="1">
      <alignment horizontal="center"/>
    </xf>
    <xf numFmtId="7" fontId="1" fillId="0" borderId="9" xfId="2" applyNumberFormat="1" applyFont="1" applyFill="1" applyBorder="1" applyAlignment="1">
      <alignment horizontal="center"/>
    </xf>
    <xf numFmtId="0" fontId="25" fillId="0" borderId="66" xfId="8" applyFont="1" applyBorder="1"/>
    <xf numFmtId="0" fontId="25" fillId="0" borderId="69" xfId="8" applyFont="1" applyBorder="1"/>
    <xf numFmtId="180" fontId="1" fillId="0" borderId="9" xfId="8" applyNumberFormat="1" applyFont="1" applyBorder="1" applyAlignment="1">
      <alignment horizontal="center"/>
    </xf>
    <xf numFmtId="180" fontId="4" fillId="0" borderId="9" xfId="8" applyNumberFormat="1" applyFont="1" applyBorder="1" applyAlignment="1">
      <alignment horizontal="center"/>
    </xf>
    <xf numFmtId="0" fontId="24" fillId="0" borderId="9" xfId="8" applyBorder="1"/>
    <xf numFmtId="1" fontId="4" fillId="0" borderId="9" xfId="3" applyNumberFormat="1" applyFont="1" applyFill="1" applyBorder="1" applyAlignment="1">
      <alignment horizontal="center"/>
    </xf>
    <xf numFmtId="1" fontId="1" fillId="0" borderId="9" xfId="3" applyNumberFormat="1" applyFont="1" applyBorder="1" applyAlignment="1">
      <alignment horizontal="center"/>
    </xf>
    <xf numFmtId="180" fontId="4" fillId="4" borderId="9" xfId="8" applyNumberFormat="1" applyFont="1" applyFill="1" applyBorder="1" applyAlignment="1">
      <alignment horizontal="center"/>
    </xf>
    <xf numFmtId="2" fontId="1" fillId="0" borderId="0" xfId="8" applyNumberFormat="1" applyFont="1" applyAlignment="1">
      <alignment horizontal="center"/>
    </xf>
    <xf numFmtId="0" fontId="20" fillId="0" borderId="0" xfId="8" applyFont="1" applyAlignment="1">
      <alignment horizontal="center"/>
    </xf>
    <xf numFmtId="0" fontId="20" fillId="0" borderId="40" xfId="8" applyFont="1" applyBorder="1"/>
    <xf numFmtId="0" fontId="1" fillId="0" borderId="19" xfId="8" applyFont="1" applyBorder="1" applyAlignment="1">
      <alignment horizontal="left"/>
    </xf>
    <xf numFmtId="0" fontId="20" fillId="0" borderId="0" xfId="8" applyFont="1"/>
    <xf numFmtId="0" fontId="1" fillId="0" borderId="0" xfId="8" applyFont="1" applyAlignment="1">
      <alignment horizontal="center"/>
    </xf>
    <xf numFmtId="0" fontId="20" fillId="0" borderId="41" xfId="8" applyFont="1" applyBorder="1" applyAlignment="1">
      <alignment horizontal="center"/>
    </xf>
    <xf numFmtId="0" fontId="20" fillId="0" borderId="39" xfId="8" applyFont="1" applyBorder="1" applyAlignment="1">
      <alignment horizontal="center"/>
    </xf>
    <xf numFmtId="0" fontId="20" fillId="0" borderId="42" xfId="8" applyFont="1" applyBorder="1" applyAlignment="1">
      <alignment horizontal="center"/>
    </xf>
    <xf numFmtId="9" fontId="1" fillId="0" borderId="9" xfId="3" applyFont="1" applyBorder="1" applyAlignment="1">
      <alignment horizontal="center"/>
    </xf>
    <xf numFmtId="2" fontId="4" fillId="0" borderId="9" xfId="3" applyNumberFormat="1" applyFont="1" applyBorder="1" applyAlignment="1">
      <alignment horizontal="center"/>
    </xf>
    <xf numFmtId="0" fontId="52" fillId="0" borderId="9" xfId="8" applyFont="1" applyBorder="1" applyAlignment="1">
      <alignment horizontal="left" vertical="center"/>
    </xf>
    <xf numFmtId="2" fontId="1" fillId="0" borderId="9" xfId="3" applyNumberFormat="1" applyFont="1" applyBorder="1" applyAlignment="1">
      <alignment horizontal="center"/>
    </xf>
    <xf numFmtId="10" fontId="1" fillId="0" borderId="9" xfId="3" applyNumberFormat="1" applyFont="1" applyBorder="1" applyAlignment="1">
      <alignment horizontal="center"/>
    </xf>
    <xf numFmtId="1" fontId="1" fillId="0" borderId="21" xfId="3" applyNumberFormat="1" applyFont="1" applyBorder="1" applyAlignment="1">
      <alignment horizontal="center"/>
    </xf>
    <xf numFmtId="1" fontId="1" fillId="0" borderId="19" xfId="3" applyNumberFormat="1" applyFont="1" applyBorder="1" applyAlignment="1">
      <alignment horizontal="center"/>
    </xf>
    <xf numFmtId="165" fontId="1" fillId="0" borderId="9" xfId="3" applyNumberFormat="1" applyFont="1" applyFill="1" applyBorder="1" applyAlignment="1">
      <alignment horizontal="center"/>
    </xf>
    <xf numFmtId="0" fontId="52" fillId="4" borderId="9" xfId="8" applyFont="1" applyFill="1" applyBorder="1" applyAlignment="1">
      <alignment horizontal="left" vertical="center"/>
    </xf>
    <xf numFmtId="165" fontId="1" fillId="4" borderId="9" xfId="3" applyNumberFormat="1" applyFont="1" applyFill="1" applyBorder="1" applyAlignment="1">
      <alignment horizontal="center"/>
    </xf>
    <xf numFmtId="0" fontId="1" fillId="0" borderId="9" xfId="8" applyFont="1" applyBorder="1" applyAlignment="1">
      <alignment horizontal="left"/>
    </xf>
    <xf numFmtId="7" fontId="1" fillId="4" borderId="9" xfId="2" applyNumberFormat="1" applyFont="1" applyFill="1" applyBorder="1" applyAlignment="1">
      <alignment horizontal="center"/>
    </xf>
    <xf numFmtId="0" fontId="20" fillId="0" borderId="0" xfId="8" applyFont="1" applyAlignment="1">
      <alignment vertical="center" wrapText="1"/>
    </xf>
    <xf numFmtId="1" fontId="4" fillId="0" borderId="9" xfId="3" applyNumberFormat="1" applyFont="1" applyBorder="1" applyAlignment="1">
      <alignment horizontal="center"/>
    </xf>
    <xf numFmtId="1" fontId="1" fillId="4" borderId="9" xfId="3" applyNumberFormat="1" applyFont="1" applyFill="1" applyBorder="1" applyAlignment="1">
      <alignment horizontal="center"/>
    </xf>
    <xf numFmtId="9" fontId="1" fillId="4" borderId="9" xfId="3" applyFont="1" applyFill="1" applyBorder="1" applyAlignment="1">
      <alignment horizontal="center"/>
    </xf>
    <xf numFmtId="2" fontId="1" fillId="4" borderId="9" xfId="3" applyNumberFormat="1" applyFont="1" applyFill="1" applyBorder="1" applyAlignment="1">
      <alignment horizontal="center"/>
    </xf>
    <xf numFmtId="2" fontId="4" fillId="4" borderId="9" xfId="3" applyNumberFormat="1" applyFont="1" applyFill="1" applyBorder="1" applyAlignment="1">
      <alignment horizontal="center"/>
    </xf>
    <xf numFmtId="9" fontId="1" fillId="0" borderId="9" xfId="3" applyFont="1" applyFill="1" applyBorder="1" applyAlignment="1">
      <alignment horizontal="center"/>
    </xf>
    <xf numFmtId="1" fontId="1" fillId="0" borderId="9" xfId="3" applyNumberFormat="1" applyFont="1" applyFill="1" applyBorder="1" applyAlignment="1">
      <alignment horizontal="center"/>
    </xf>
    <xf numFmtId="165" fontId="52" fillId="0" borderId="9" xfId="8" applyNumberFormat="1" applyFont="1" applyBorder="1" applyAlignment="1">
      <alignment horizontal="left" vertical="center"/>
    </xf>
    <xf numFmtId="0" fontId="48" fillId="4" borderId="9" xfId="8" applyFont="1" applyFill="1" applyBorder="1" applyAlignment="1">
      <alignment horizontal="left" vertical="center"/>
    </xf>
    <xf numFmtId="2" fontId="20" fillId="0" borderId="9" xfId="3" applyNumberFormat="1" applyFont="1" applyBorder="1" applyAlignment="1">
      <alignment horizontal="center"/>
    </xf>
    <xf numFmtId="2" fontId="1" fillId="0" borderId="9" xfId="3" applyNumberFormat="1" applyFont="1" applyFill="1" applyBorder="1" applyAlignment="1">
      <alignment horizontal="center"/>
    </xf>
    <xf numFmtId="1" fontId="4" fillId="4" borderId="9" xfId="3" applyNumberFormat="1" applyFont="1" applyFill="1" applyBorder="1" applyAlignment="1">
      <alignment horizontal="center"/>
    </xf>
    <xf numFmtId="10" fontId="20" fillId="0" borderId="9" xfId="3" applyNumberFormat="1" applyFont="1" applyBorder="1" applyAlignment="1">
      <alignment horizontal="center"/>
    </xf>
    <xf numFmtId="9" fontId="20" fillId="0" borderId="9" xfId="3" applyFont="1" applyBorder="1" applyAlignment="1">
      <alignment horizontal="center"/>
    </xf>
    <xf numFmtId="10" fontId="4" fillId="0" borderId="9" xfId="3" applyNumberFormat="1" applyFont="1" applyBorder="1" applyAlignment="1">
      <alignment horizontal="center"/>
    </xf>
    <xf numFmtId="1" fontId="20" fillId="4" borderId="9" xfId="3" applyNumberFormat="1" applyFont="1" applyFill="1" applyBorder="1" applyAlignment="1">
      <alignment horizontal="center"/>
    </xf>
    <xf numFmtId="0" fontId="25" fillId="4" borderId="0" xfId="8" applyFont="1" applyFill="1" applyAlignment="1">
      <alignment horizontal="center"/>
    </xf>
    <xf numFmtId="0" fontId="25" fillId="4" borderId="9" xfId="8" applyFont="1" applyFill="1" applyBorder="1"/>
    <xf numFmtId="0" fontId="47" fillId="0" borderId="9" xfId="8" applyFont="1" applyBorder="1" applyAlignment="1">
      <alignment horizontal="left" vertical="center"/>
    </xf>
    <xf numFmtId="165" fontId="48" fillId="4" borderId="9" xfId="8" applyNumberFormat="1" applyFont="1" applyFill="1" applyBorder="1" applyAlignment="1">
      <alignment horizontal="left" vertical="center"/>
    </xf>
    <xf numFmtId="165" fontId="20" fillId="4" borderId="9" xfId="3" applyNumberFormat="1" applyFont="1" applyFill="1" applyBorder="1" applyAlignment="1">
      <alignment horizontal="center"/>
    </xf>
    <xf numFmtId="0" fontId="1" fillId="4" borderId="9" xfId="8" applyFont="1" applyFill="1" applyBorder="1" applyAlignment="1">
      <alignment horizontal="left"/>
    </xf>
    <xf numFmtId="2" fontId="20" fillId="4" borderId="9" xfId="8" applyNumberFormat="1" applyFont="1" applyFill="1" applyBorder="1" applyAlignment="1">
      <alignment horizontal="center"/>
    </xf>
    <xf numFmtId="170" fontId="1" fillId="4" borderId="9" xfId="8" applyNumberFormat="1" applyFont="1" applyFill="1" applyBorder="1" applyAlignment="1">
      <alignment horizontal="center"/>
    </xf>
    <xf numFmtId="39" fontId="4" fillId="4" borderId="9" xfId="8" applyNumberFormat="1" applyFont="1" applyFill="1" applyBorder="1" applyAlignment="1">
      <alignment horizontal="center"/>
    </xf>
    <xf numFmtId="0" fontId="1" fillId="4" borderId="0" xfId="8" applyFont="1" applyFill="1"/>
    <xf numFmtId="0" fontId="20" fillId="4" borderId="0" xfId="8" applyFont="1" applyFill="1"/>
    <xf numFmtId="0" fontId="1" fillId="0" borderId="9" xfId="8" applyFont="1" applyBorder="1" applyAlignment="1">
      <alignment horizontal="center" vertical="center" wrapText="1"/>
    </xf>
    <xf numFmtId="165" fontId="1" fillId="0" borderId="9" xfId="8" applyNumberFormat="1" applyFont="1" applyBorder="1" applyAlignment="1">
      <alignment horizontal="center" vertical="center" wrapText="1"/>
    </xf>
    <xf numFmtId="165" fontId="1" fillId="0" borderId="16" xfId="8" applyNumberFormat="1" applyFont="1" applyBorder="1" applyAlignment="1">
      <alignment horizontal="center" vertical="center" wrapText="1"/>
    </xf>
    <xf numFmtId="1" fontId="4" fillId="0" borderId="9" xfId="13" applyNumberFormat="1" applyFont="1" applyBorder="1" applyAlignment="1">
      <alignment horizontal="center" vertical="center" wrapText="1"/>
    </xf>
    <xf numFmtId="10" fontId="1" fillId="0" borderId="9" xfId="13" applyNumberFormat="1" applyBorder="1" applyAlignment="1">
      <alignment horizontal="center" vertical="center" wrapText="1"/>
    </xf>
    <xf numFmtId="9" fontId="1" fillId="0" borderId="9" xfId="13" applyNumberFormat="1" applyBorder="1" applyAlignment="1">
      <alignment horizontal="center" vertical="center" wrapText="1"/>
    </xf>
    <xf numFmtId="9" fontId="1" fillId="0" borderId="9" xfId="0" applyNumberFormat="1" applyFont="1" applyBorder="1" applyAlignment="1">
      <alignment horizontal="center" vertical="center" wrapText="1"/>
    </xf>
    <xf numFmtId="39" fontId="1" fillId="0" borderId="9" xfId="1" applyNumberFormat="1" applyFont="1" applyFill="1" applyBorder="1" applyAlignment="1">
      <alignment horizontal="center" wrapText="1"/>
    </xf>
    <xf numFmtId="39" fontId="1" fillId="0" borderId="9" xfId="1" applyNumberFormat="1" applyFont="1" applyBorder="1" applyAlignment="1">
      <alignment horizontal="center" wrapText="1"/>
    </xf>
    <xf numFmtId="170" fontId="1" fillId="4" borderId="9" xfId="1" applyNumberFormat="1" applyFont="1" applyFill="1" applyBorder="1" applyAlignment="1">
      <alignment horizontal="center" vertical="center" wrapText="1"/>
    </xf>
    <xf numFmtId="189" fontId="1" fillId="0" borderId="9" xfId="1" applyNumberFormat="1" applyFont="1" applyBorder="1" applyAlignment="1">
      <alignment horizontal="center"/>
    </xf>
    <xf numFmtId="0" fontId="1" fillId="0" borderId="9" xfId="8" applyFont="1" applyBorder="1" applyAlignment="1">
      <alignment horizontal="center" wrapText="1"/>
    </xf>
    <xf numFmtId="2" fontId="1" fillId="0" borderId="9" xfId="8" applyNumberFormat="1" applyFont="1" applyBorder="1" applyAlignment="1">
      <alignment horizontal="center" wrapText="1"/>
    </xf>
    <xf numFmtId="0" fontId="20" fillId="0" borderId="9" xfId="8" applyFont="1" applyBorder="1" applyAlignment="1">
      <alignment horizontal="center" wrapText="1"/>
    </xf>
    <xf numFmtId="170" fontId="1" fillId="0" borderId="9" xfId="1" applyNumberFormat="1" applyFont="1" applyBorder="1" applyAlignment="1">
      <alignment horizontal="center"/>
    </xf>
    <xf numFmtId="2" fontId="4" fillId="0" borderId="9" xfId="1" applyNumberFormat="1" applyFont="1" applyBorder="1" applyAlignment="1">
      <alignment horizontal="center"/>
    </xf>
    <xf numFmtId="0" fontId="0" fillId="4" borderId="19" xfId="8" applyFont="1" applyFill="1" applyBorder="1" applyAlignment="1">
      <alignment horizontal="left"/>
    </xf>
    <xf numFmtId="0" fontId="0" fillId="4" borderId="23" xfId="8" applyFont="1" applyFill="1" applyBorder="1" applyAlignment="1">
      <alignment horizontal="left"/>
    </xf>
    <xf numFmtId="2" fontId="0" fillId="8" borderId="22" xfId="1" applyNumberFormat="1" applyFont="1" applyFill="1" applyBorder="1" applyAlignment="1">
      <alignment horizontal="center"/>
    </xf>
    <xf numFmtId="165" fontId="20" fillId="0" borderId="9" xfId="8" applyNumberFormat="1" applyFont="1" applyBorder="1" applyAlignment="1">
      <alignment horizontal="center"/>
    </xf>
    <xf numFmtId="2" fontId="0" fillId="8" borderId="25" xfId="1" applyNumberFormat="1" applyFont="1" applyFill="1" applyBorder="1" applyAlignment="1">
      <alignment horizontal="center"/>
    </xf>
    <xf numFmtId="0" fontId="20" fillId="0" borderId="9" xfId="8" applyFont="1" applyBorder="1"/>
    <xf numFmtId="1" fontId="20" fillId="0" borderId="9" xfId="3" applyNumberFormat="1" applyFont="1" applyFill="1" applyBorder="1" applyAlignment="1">
      <alignment horizontal="center"/>
    </xf>
    <xf numFmtId="2" fontId="20" fillId="0" borderId="9" xfId="3" applyNumberFormat="1" applyFont="1" applyFill="1" applyBorder="1" applyAlignment="1">
      <alignment horizontal="center"/>
    </xf>
    <xf numFmtId="165" fontId="20" fillId="0" borderId="9" xfId="3" applyNumberFormat="1" applyFont="1" applyFill="1" applyBorder="1" applyAlignment="1">
      <alignment horizontal="center"/>
    </xf>
    <xf numFmtId="170" fontId="20" fillId="0" borderId="9" xfId="1" applyNumberFormat="1" applyFont="1" applyFill="1" applyBorder="1" applyAlignment="1">
      <alignment horizontal="center"/>
    </xf>
    <xf numFmtId="170" fontId="1" fillId="4" borderId="9" xfId="1" applyNumberFormat="1" applyFont="1" applyFill="1" applyBorder="1" applyAlignment="1">
      <alignment horizontal="center"/>
    </xf>
    <xf numFmtId="170" fontId="1" fillId="0" borderId="9" xfId="1" applyNumberFormat="1" applyFont="1" applyFill="1" applyBorder="1" applyAlignment="1">
      <alignment horizontal="center"/>
    </xf>
    <xf numFmtId="0" fontId="12" fillId="0" borderId="0" xfId="13" applyFont="1"/>
    <xf numFmtId="165" fontId="20" fillId="0" borderId="9" xfId="13" applyNumberFormat="1" applyFont="1" applyBorder="1" applyAlignment="1">
      <alignment horizontal="center"/>
    </xf>
    <xf numFmtId="0" fontId="20" fillId="0" borderId="9" xfId="13" applyFont="1" applyBorder="1" applyAlignment="1">
      <alignment horizontal="center"/>
    </xf>
    <xf numFmtId="165" fontId="1" fillId="0" borderId="9" xfId="13" applyNumberFormat="1" applyBorder="1" applyAlignment="1">
      <alignment horizontal="center"/>
    </xf>
    <xf numFmtId="0" fontId="0" fillId="0" borderId="23" xfId="8" applyFont="1" applyBorder="1" applyAlignment="1">
      <alignment horizontal="left"/>
    </xf>
    <xf numFmtId="2" fontId="0" fillId="0" borderId="9" xfId="13" applyNumberFormat="1" applyFont="1" applyBorder="1" applyAlignment="1">
      <alignment horizontal="center"/>
    </xf>
    <xf numFmtId="165" fontId="0" fillId="0" borderId="9" xfId="13" applyNumberFormat="1" applyFont="1" applyBorder="1" applyAlignment="1">
      <alignment horizontal="center"/>
    </xf>
    <xf numFmtId="0" fontId="4" fillId="0" borderId="0" xfId="6" applyFont="1" applyAlignment="1">
      <alignment horizontal="center"/>
    </xf>
    <xf numFmtId="1" fontId="20" fillId="0" borderId="16" xfId="13" applyNumberFormat="1" applyFont="1" applyBorder="1" applyAlignment="1">
      <alignment horizontal="center" vertical="center" wrapText="1"/>
    </xf>
    <xf numFmtId="1" fontId="20" fillId="4" borderId="16" xfId="13" applyNumberFormat="1" applyFont="1" applyFill="1" applyBorder="1" applyAlignment="1">
      <alignment horizontal="center" vertical="center" wrapText="1"/>
    </xf>
    <xf numFmtId="1" fontId="4" fillId="4" borderId="9" xfId="13" applyNumberFormat="1" applyFont="1" applyFill="1" applyBorder="1" applyAlignment="1">
      <alignment horizontal="center" vertical="center" wrapText="1"/>
    </xf>
    <xf numFmtId="0" fontId="20" fillId="0" borderId="9" xfId="13" applyFont="1" applyBorder="1" applyAlignment="1">
      <alignment wrapText="1"/>
    </xf>
    <xf numFmtId="165" fontId="20" fillId="4" borderId="16" xfId="13" applyNumberFormat="1" applyFont="1" applyFill="1" applyBorder="1" applyAlignment="1">
      <alignment horizontal="center" vertical="center" wrapText="1"/>
    </xf>
    <xf numFmtId="165" fontId="25" fillId="4" borderId="9" xfId="8" applyNumberFormat="1" applyFont="1" applyFill="1" applyBorder="1" applyAlignment="1">
      <alignment horizontal="center" vertical="center"/>
    </xf>
    <xf numFmtId="1" fontId="20" fillId="0" borderId="9" xfId="13" applyNumberFormat="1" applyFont="1" applyBorder="1" applyAlignment="1">
      <alignment horizontal="left" vertical="center" wrapText="1"/>
    </xf>
    <xf numFmtId="0" fontId="20" fillId="0" borderId="9" xfId="8" applyFont="1" applyBorder="1" applyAlignment="1">
      <alignment horizontal="left" wrapText="1"/>
    </xf>
    <xf numFmtId="1" fontId="4" fillId="4" borderId="16" xfId="13" applyNumberFormat="1" applyFont="1" applyFill="1" applyBorder="1" applyAlignment="1">
      <alignment horizontal="center" vertical="center" wrapText="1"/>
    </xf>
    <xf numFmtId="2" fontId="0" fillId="4" borderId="9" xfId="13" applyNumberFormat="1" applyFont="1" applyFill="1" applyBorder="1" applyAlignment="1">
      <alignment horizontal="center" vertical="center" wrapText="1"/>
    </xf>
    <xf numFmtId="2" fontId="0" fillId="0" borderId="9" xfId="13" applyNumberFormat="1" applyFont="1" applyBorder="1" applyAlignment="1">
      <alignment horizontal="center" vertical="center" wrapText="1"/>
    </xf>
    <xf numFmtId="165" fontId="25" fillId="4" borderId="0" xfId="8" applyNumberFormat="1" applyFont="1" applyFill="1" applyAlignment="1">
      <alignment horizontal="center" vertical="center"/>
    </xf>
    <xf numFmtId="2" fontId="20" fillId="0" borderId="16" xfId="13" applyNumberFormat="1" applyFont="1" applyBorder="1" applyAlignment="1">
      <alignment horizontal="center" vertical="center" wrapText="1"/>
    </xf>
    <xf numFmtId="2" fontId="20" fillId="4" borderId="16" xfId="13" applyNumberFormat="1" applyFont="1" applyFill="1" applyBorder="1" applyAlignment="1">
      <alignment horizontal="center" vertical="center" wrapText="1"/>
    </xf>
    <xf numFmtId="0" fontId="1" fillId="0" borderId="9" xfId="0" applyFont="1" applyBorder="1"/>
    <xf numFmtId="170" fontId="1" fillId="0" borderId="9" xfId="0" applyNumberFormat="1" applyFont="1" applyBorder="1" applyAlignment="1">
      <alignment horizontal="center" vertical="center" wrapText="1"/>
    </xf>
    <xf numFmtId="189" fontId="1" fillId="0" borderId="0" xfId="8" applyNumberFormat="1" applyFont="1"/>
    <xf numFmtId="2" fontId="1" fillId="0" borderId="20" xfId="1" applyNumberFormat="1" applyFont="1" applyBorder="1" applyAlignment="1">
      <alignment horizontal="center"/>
    </xf>
    <xf numFmtId="44" fontId="1" fillId="0" borderId="21" xfId="2" applyFont="1" applyFill="1" applyBorder="1"/>
    <xf numFmtId="170" fontId="1" fillId="0" borderId="9" xfId="1" applyNumberFormat="1" applyFont="1" applyFill="1" applyBorder="1" applyAlignment="1">
      <alignment horizontal="center" wrapText="1"/>
    </xf>
    <xf numFmtId="2" fontId="1" fillId="0" borderId="22" xfId="1" applyNumberFormat="1" applyFont="1" applyBorder="1" applyAlignment="1">
      <alignment horizontal="center"/>
    </xf>
    <xf numFmtId="44" fontId="1" fillId="0" borderId="24" xfId="2" applyFont="1" applyFill="1" applyBorder="1"/>
    <xf numFmtId="2" fontId="1" fillId="0" borderId="25" xfId="1" applyNumberFormat="1" applyFont="1" applyBorder="1" applyAlignment="1">
      <alignment horizontal="center"/>
    </xf>
    <xf numFmtId="44" fontId="1" fillId="0" borderId="26" xfId="2" applyFont="1" applyFill="1" applyBorder="1"/>
    <xf numFmtId="178" fontId="25" fillId="4" borderId="0" xfId="8" applyNumberFormat="1" applyFont="1" applyFill="1"/>
    <xf numFmtId="0" fontId="25" fillId="4" borderId="0" xfId="8" applyFont="1" applyFill="1"/>
    <xf numFmtId="0" fontId="1" fillId="0" borderId="9" xfId="0" applyFont="1" applyBorder="1" applyAlignment="1">
      <alignment horizontal="center" vertical="center" wrapText="1"/>
    </xf>
    <xf numFmtId="180" fontId="25" fillId="4" borderId="9" xfId="8" applyNumberFormat="1" applyFont="1" applyFill="1" applyBorder="1" applyAlignment="1">
      <alignment horizontal="center"/>
    </xf>
    <xf numFmtId="39" fontId="4" fillId="0" borderId="9" xfId="1" applyNumberFormat="1" applyFont="1" applyBorder="1" applyAlignment="1">
      <alignment horizontal="center" wrapText="1"/>
    </xf>
    <xf numFmtId="180" fontId="26" fillId="4" borderId="9" xfId="8" applyNumberFormat="1" applyFont="1" applyFill="1" applyBorder="1" applyAlignment="1">
      <alignment horizontal="center"/>
    </xf>
    <xf numFmtId="39" fontId="20" fillId="0" borderId="9" xfId="1" applyNumberFormat="1" applyFont="1" applyBorder="1" applyAlignment="1">
      <alignment horizontal="center" wrapText="1"/>
    </xf>
    <xf numFmtId="39" fontId="4" fillId="4" borderId="9" xfId="1" applyNumberFormat="1" applyFont="1" applyFill="1" applyBorder="1" applyAlignment="1">
      <alignment horizontal="center" wrapText="1"/>
    </xf>
    <xf numFmtId="0" fontId="24" fillId="4" borderId="9" xfId="8" applyFill="1" applyBorder="1" applyAlignment="1">
      <alignment horizontal="center"/>
    </xf>
    <xf numFmtId="9" fontId="1" fillId="0" borderId="9" xfId="3" applyFont="1" applyBorder="1" applyAlignment="1">
      <alignment horizontal="center" wrapText="1"/>
    </xf>
    <xf numFmtId="0" fontId="25" fillId="0" borderId="73" xfId="8" applyFont="1" applyBorder="1" applyAlignment="1">
      <alignment horizontal="center"/>
    </xf>
    <xf numFmtId="39" fontId="4" fillId="0" borderId="9" xfId="1" applyNumberFormat="1" applyFont="1" applyFill="1" applyBorder="1" applyAlignment="1">
      <alignment horizontal="center" wrapText="1"/>
    </xf>
    <xf numFmtId="9" fontId="20" fillId="0" borderId="0" xfId="0" applyNumberFormat="1" applyFont="1" applyAlignment="1">
      <alignment horizontal="center" vertical="center" wrapText="1"/>
    </xf>
    <xf numFmtId="9" fontId="20" fillId="0" borderId="9" xfId="0" applyNumberFormat="1" applyFont="1" applyBorder="1" applyAlignment="1">
      <alignment horizontal="center" vertical="center" wrapText="1"/>
    </xf>
    <xf numFmtId="178" fontId="20" fillId="0" borderId="9" xfId="0" applyNumberFormat="1" applyFont="1" applyBorder="1" applyAlignment="1">
      <alignment horizontal="center" vertical="center" wrapText="1"/>
    </xf>
    <xf numFmtId="178" fontId="4" fillId="0" borderId="9" xfId="0" applyNumberFormat="1" applyFont="1" applyBorder="1" applyAlignment="1">
      <alignment horizontal="center" vertical="center" wrapText="1"/>
    </xf>
    <xf numFmtId="39" fontId="20" fillId="0" borderId="0" xfId="1" applyNumberFormat="1" applyFont="1" applyBorder="1" applyAlignment="1">
      <alignment horizontal="center" wrapText="1"/>
    </xf>
    <xf numFmtId="37" fontId="1" fillId="0" borderId="9" xfId="1" applyNumberFormat="1" applyFont="1" applyBorder="1" applyAlignment="1">
      <alignment horizontal="center" wrapText="1"/>
    </xf>
    <xf numFmtId="37" fontId="20" fillId="0" borderId="0" xfId="1" applyNumberFormat="1" applyFont="1" applyBorder="1" applyAlignment="1">
      <alignment horizontal="center" wrapText="1"/>
    </xf>
    <xf numFmtId="37" fontId="20" fillId="0" borderId="9" xfId="1" applyNumberFormat="1" applyFont="1" applyBorder="1" applyAlignment="1">
      <alignment horizontal="center" wrapText="1"/>
    </xf>
    <xf numFmtId="9" fontId="20" fillId="0" borderId="0" xfId="3" applyFont="1" applyBorder="1" applyAlignment="1">
      <alignment horizontal="center" wrapText="1"/>
    </xf>
    <xf numFmtId="189" fontId="20" fillId="0" borderId="9" xfId="1" applyNumberFormat="1" applyFont="1" applyBorder="1" applyAlignment="1">
      <alignment horizontal="center" wrapText="1"/>
    </xf>
    <xf numFmtId="189" fontId="1" fillId="0" borderId="9" xfId="1" applyNumberFormat="1" applyFont="1" applyBorder="1" applyAlignment="1">
      <alignment horizontal="center" wrapText="1"/>
    </xf>
    <xf numFmtId="189" fontId="4" fillId="0" borderId="9" xfId="1" applyNumberFormat="1" applyFont="1" applyBorder="1" applyAlignment="1">
      <alignment horizontal="center" wrapText="1"/>
    </xf>
    <xf numFmtId="170" fontId="1" fillId="0" borderId="9" xfId="2" applyNumberFormat="1" applyFont="1" applyFill="1" applyBorder="1" applyAlignment="1">
      <alignment horizontal="center" vertical="center" wrapText="1"/>
    </xf>
    <xf numFmtId="7" fontId="20" fillId="0" borderId="9" xfId="2" applyNumberFormat="1" applyFont="1" applyFill="1" applyBorder="1" applyAlignment="1">
      <alignment horizontal="center" vertical="center" wrapText="1"/>
    </xf>
    <xf numFmtId="7" fontId="1" fillId="0" borderId="9" xfId="2" applyNumberFormat="1" applyFont="1" applyBorder="1" applyAlignment="1">
      <alignment horizontal="center" wrapText="1"/>
    </xf>
    <xf numFmtId="7" fontId="20" fillId="0" borderId="9" xfId="2" applyNumberFormat="1" applyFont="1" applyBorder="1" applyAlignment="1">
      <alignment horizontal="center" wrapText="1"/>
    </xf>
    <xf numFmtId="7" fontId="4" fillId="0" borderId="9" xfId="2" applyNumberFormat="1" applyFont="1" applyBorder="1" applyAlignment="1">
      <alignment horizontal="center" wrapText="1"/>
    </xf>
    <xf numFmtId="189" fontId="1" fillId="4" borderId="9" xfId="1" applyNumberFormat="1" applyFont="1" applyFill="1" applyBorder="1" applyAlignment="1">
      <alignment horizontal="center"/>
    </xf>
    <xf numFmtId="0" fontId="1" fillId="0" borderId="0" xfId="0" applyFont="1" applyAlignment="1">
      <alignment horizontal="center"/>
    </xf>
    <xf numFmtId="0" fontId="1" fillId="0" borderId="9" xfId="0" applyFont="1" applyBorder="1" applyAlignment="1">
      <alignment horizontal="left" vertical="center"/>
    </xf>
    <xf numFmtId="180" fontId="4" fillId="4" borderId="9" xfId="0" applyNumberFormat="1" applyFont="1" applyFill="1" applyBorder="1" applyAlignment="1">
      <alignment horizontal="center"/>
    </xf>
    <xf numFmtId="178" fontId="20" fillId="0" borderId="0" xfId="8" applyNumberFormat="1" applyFont="1"/>
    <xf numFmtId="180" fontId="1" fillId="4" borderId="9" xfId="0" applyNumberFormat="1" applyFont="1" applyFill="1" applyBorder="1" applyAlignment="1">
      <alignment horizontal="center"/>
    </xf>
    <xf numFmtId="39" fontId="20" fillId="4" borderId="9" xfId="1" applyNumberFormat="1" applyFont="1" applyFill="1" applyBorder="1" applyAlignment="1">
      <alignment horizontal="center" wrapText="1"/>
    </xf>
    <xf numFmtId="39" fontId="43" fillId="4" borderId="9" xfId="1" applyNumberFormat="1" applyFont="1" applyFill="1" applyBorder="1" applyAlignment="1">
      <alignment horizontal="center" wrapText="1"/>
    </xf>
    <xf numFmtId="2" fontId="1" fillId="4" borderId="9" xfId="0" applyNumberFormat="1" applyFont="1" applyFill="1" applyBorder="1" applyAlignment="1">
      <alignment horizontal="center" vertical="center"/>
    </xf>
    <xf numFmtId="0" fontId="1" fillId="0" borderId="9" xfId="0" applyFont="1" applyBorder="1" applyAlignment="1">
      <alignment horizontal="center"/>
    </xf>
    <xf numFmtId="179" fontId="4" fillId="4" borderId="9" xfId="0" applyNumberFormat="1" applyFont="1" applyFill="1" applyBorder="1" applyAlignment="1">
      <alignment horizontal="center" vertical="center" wrapText="1"/>
    </xf>
    <xf numFmtId="9" fontId="43" fillId="0" borderId="9" xfId="0" applyNumberFormat="1" applyFont="1" applyBorder="1" applyAlignment="1">
      <alignment horizontal="center" vertical="center" wrapText="1"/>
    </xf>
    <xf numFmtId="39" fontId="43" fillId="0" borderId="9" xfId="1" applyNumberFormat="1" applyFont="1" applyFill="1" applyBorder="1" applyAlignment="1">
      <alignment horizontal="center" wrapText="1"/>
    </xf>
    <xf numFmtId="39" fontId="20" fillId="0" borderId="9" xfId="1" applyNumberFormat="1" applyFont="1" applyFill="1" applyBorder="1" applyAlignment="1">
      <alignment horizontal="center" wrapText="1"/>
    </xf>
    <xf numFmtId="7" fontId="1" fillId="4" borderId="9" xfId="2" applyNumberFormat="1" applyFont="1" applyFill="1" applyBorder="1" applyAlignment="1">
      <alignment horizontal="center" wrapText="1"/>
    </xf>
    <xf numFmtId="2" fontId="20" fillId="4" borderId="9" xfId="3" applyNumberFormat="1" applyFont="1" applyFill="1" applyBorder="1" applyAlignment="1">
      <alignment horizontal="center"/>
    </xf>
    <xf numFmtId="180" fontId="20" fillId="4" borderId="9" xfId="3" applyNumberFormat="1" applyFont="1" applyFill="1" applyBorder="1" applyAlignment="1">
      <alignment horizontal="center"/>
    </xf>
    <xf numFmtId="180" fontId="1" fillId="4" borderId="9" xfId="3" applyNumberFormat="1" applyFont="1" applyFill="1" applyBorder="1" applyAlignment="1">
      <alignment horizontal="center"/>
    </xf>
    <xf numFmtId="189" fontId="26" fillId="4" borderId="9" xfId="1" applyNumberFormat="1" applyFont="1" applyFill="1" applyBorder="1" applyAlignment="1">
      <alignment horizontal="center"/>
    </xf>
    <xf numFmtId="171" fontId="25" fillId="0" borderId="9" xfId="8" applyNumberFormat="1" applyFont="1" applyBorder="1" applyAlignment="1">
      <alignment horizontal="center"/>
    </xf>
    <xf numFmtId="165" fontId="1" fillId="0" borderId="9" xfId="0" applyNumberFormat="1" applyFont="1" applyBorder="1" applyAlignment="1">
      <alignment horizontal="center" vertical="center" wrapText="1"/>
    </xf>
    <xf numFmtId="0" fontId="51" fillId="0" borderId="0" xfId="8" applyFont="1"/>
    <xf numFmtId="9" fontId="1" fillId="0" borderId="16" xfId="0" applyNumberFormat="1" applyFont="1" applyBorder="1" applyAlignment="1">
      <alignment horizontal="center" vertical="center" wrapText="1"/>
    </xf>
    <xf numFmtId="0" fontId="1" fillId="0" borderId="16" xfId="0" applyFont="1" applyBorder="1" applyAlignment="1">
      <alignment horizontal="center" vertical="center" wrapText="1"/>
    </xf>
    <xf numFmtId="39" fontId="1" fillId="0" borderId="16" xfId="1" applyNumberFormat="1" applyFont="1" applyBorder="1" applyAlignment="1">
      <alignment horizontal="center" wrapText="1"/>
    </xf>
    <xf numFmtId="39" fontId="20" fillId="0" borderId="16" xfId="1" applyNumberFormat="1" applyFont="1" applyFill="1" applyBorder="1" applyAlignment="1">
      <alignment horizontal="center" wrapText="1"/>
    </xf>
    <xf numFmtId="37" fontId="20" fillId="0" borderId="16" xfId="1" applyNumberFormat="1" applyFont="1" applyFill="1" applyBorder="1" applyAlignment="1">
      <alignment horizontal="center" wrapText="1"/>
    </xf>
    <xf numFmtId="37" fontId="1" fillId="0" borderId="16" xfId="1" applyNumberFormat="1" applyFont="1" applyBorder="1" applyAlignment="1">
      <alignment horizontal="center" wrapText="1"/>
    </xf>
    <xf numFmtId="9" fontId="20" fillId="0" borderId="16" xfId="0" applyNumberFormat="1" applyFont="1" applyBorder="1" applyAlignment="1">
      <alignment horizontal="center" vertical="center" wrapText="1"/>
    </xf>
    <xf numFmtId="170" fontId="20" fillId="0" borderId="9" xfId="1" applyNumberFormat="1" applyFont="1" applyFill="1" applyBorder="1" applyAlignment="1">
      <alignment horizontal="center" vertical="center" wrapText="1"/>
    </xf>
    <xf numFmtId="7" fontId="20" fillId="0" borderId="9" xfId="2" applyNumberFormat="1" applyFont="1" applyFill="1" applyBorder="1" applyAlignment="1">
      <alignment horizontal="center" wrapText="1"/>
    </xf>
    <xf numFmtId="171" fontId="20" fillId="0" borderId="9" xfId="8" applyNumberFormat="1" applyFont="1" applyBorder="1" applyAlignment="1">
      <alignment horizontal="center"/>
    </xf>
    <xf numFmtId="2" fontId="1" fillId="0" borderId="16" xfId="1" applyNumberFormat="1" applyFont="1" applyBorder="1" applyAlignment="1">
      <alignment horizontal="center"/>
    </xf>
    <xf numFmtId="44" fontId="1" fillId="0" borderId="18" xfId="2" applyFont="1" applyFill="1" applyBorder="1"/>
    <xf numFmtId="189" fontId="1" fillId="0" borderId="16" xfId="1" applyNumberFormat="1" applyFont="1" applyFill="1" applyBorder="1" applyAlignment="1">
      <alignment horizontal="center" wrapText="1"/>
    </xf>
    <xf numFmtId="189" fontId="1" fillId="0" borderId="9" xfId="1" applyNumberFormat="1" applyFont="1" applyFill="1" applyBorder="1" applyAlignment="1">
      <alignment horizontal="center" wrapText="1"/>
    </xf>
    <xf numFmtId="39" fontId="1" fillId="0" borderId="16" xfId="1" applyNumberFormat="1" applyFont="1" applyFill="1" applyBorder="1" applyAlignment="1">
      <alignment horizontal="center" wrapText="1"/>
    </xf>
    <xf numFmtId="37" fontId="1" fillId="0" borderId="16" xfId="1" applyNumberFormat="1" applyFont="1" applyFill="1" applyBorder="1" applyAlignment="1">
      <alignment horizontal="center" wrapText="1"/>
    </xf>
    <xf numFmtId="37" fontId="1" fillId="0" borderId="9" xfId="1" applyNumberFormat="1" applyFont="1" applyFill="1" applyBorder="1" applyAlignment="1">
      <alignment horizontal="center" wrapText="1"/>
    </xf>
    <xf numFmtId="3" fontId="1" fillId="0" borderId="16" xfId="0" applyNumberFormat="1" applyFont="1" applyBorder="1" applyAlignment="1">
      <alignment horizontal="center" vertical="center" wrapText="1"/>
    </xf>
    <xf numFmtId="3" fontId="1" fillId="0" borderId="9" xfId="0" applyNumberFormat="1" applyFont="1" applyBorder="1" applyAlignment="1">
      <alignment horizontal="center" vertical="center" wrapText="1"/>
    </xf>
    <xf numFmtId="0" fontId="4" fillId="4" borderId="0" xfId="8" applyFont="1" applyFill="1"/>
    <xf numFmtId="170" fontId="1" fillId="0" borderId="9" xfId="1" applyNumberFormat="1" applyFont="1" applyBorder="1" applyAlignment="1">
      <alignment horizontal="center" wrapText="1"/>
    </xf>
    <xf numFmtId="189" fontId="20" fillId="0" borderId="9" xfId="1" applyNumberFormat="1" applyFont="1" applyFill="1" applyBorder="1" applyAlignment="1">
      <alignment horizontal="center" wrapText="1"/>
    </xf>
    <xf numFmtId="189" fontId="1" fillId="0" borderId="16" xfId="1" applyNumberFormat="1" applyFont="1" applyBorder="1" applyAlignment="1">
      <alignment horizontal="center" wrapText="1"/>
    </xf>
    <xf numFmtId="0" fontId="35" fillId="0" borderId="9" xfId="12" applyFont="1" applyBorder="1" applyAlignment="1">
      <alignment horizontal="center"/>
    </xf>
    <xf numFmtId="171" fontId="20" fillId="0" borderId="19" xfId="4" applyNumberFormat="1" applyFont="1" applyFill="1" applyBorder="1" applyAlignment="1" applyProtection="1">
      <alignment horizontal="center"/>
      <protection locked="0"/>
    </xf>
    <xf numFmtId="171" fontId="20" fillId="0" borderId="19" xfId="4" applyNumberFormat="1" applyFont="1" applyFill="1" applyBorder="1" applyProtection="1">
      <protection locked="0"/>
    </xf>
    <xf numFmtId="189" fontId="20" fillId="0" borderId="9" xfId="0" applyNumberFormat="1" applyFont="1" applyBorder="1" applyAlignment="1">
      <alignment horizontal="center" vertical="center" wrapText="1"/>
    </xf>
    <xf numFmtId="0" fontId="35" fillId="4" borderId="9" xfId="12" applyFont="1" applyFill="1" applyBorder="1" applyAlignment="1">
      <alignment horizontal="center"/>
    </xf>
    <xf numFmtId="171" fontId="20" fillId="0" borderId="9" xfId="4" applyNumberFormat="1" applyFont="1" applyFill="1" applyBorder="1" applyAlignment="1" applyProtection="1">
      <alignment horizontal="center"/>
      <protection locked="0"/>
    </xf>
    <xf numFmtId="171" fontId="20" fillId="0" borderId="9" xfId="4" applyNumberFormat="1" applyFont="1" applyFill="1" applyBorder="1" applyProtection="1">
      <protection locked="0"/>
    </xf>
    <xf numFmtId="0" fontId="20" fillId="0" borderId="0" xfId="0" applyFont="1" applyAlignment="1">
      <alignment horizontal="left" vertical="center" wrapText="1"/>
    </xf>
    <xf numFmtId="0" fontId="33" fillId="0" borderId="0" xfId="12" applyAlignment="1">
      <alignment horizontal="center"/>
    </xf>
    <xf numFmtId="165" fontId="20" fillId="0" borderId="0" xfId="0" applyNumberFormat="1" applyFont="1" applyAlignment="1">
      <alignment horizontal="center" vertical="center" wrapText="1"/>
    </xf>
    <xf numFmtId="0" fontId="20" fillId="4" borderId="0" xfId="0" applyFont="1" applyFill="1" applyAlignment="1">
      <alignment horizontal="left" vertical="center" wrapText="1"/>
    </xf>
    <xf numFmtId="0" fontId="33" fillId="4" borderId="0" xfId="12" applyFill="1" applyAlignment="1">
      <alignment horizontal="center"/>
    </xf>
    <xf numFmtId="180" fontId="20" fillId="0" borderId="0" xfId="0" applyNumberFormat="1" applyFont="1" applyAlignment="1">
      <alignment horizontal="center" vertical="center" wrapText="1"/>
    </xf>
    <xf numFmtId="0" fontId="20" fillId="0" borderId="24" xfId="0" applyFont="1" applyBorder="1" applyAlignment="1">
      <alignment horizontal="center"/>
    </xf>
    <xf numFmtId="0" fontId="20" fillId="11" borderId="9" xfId="5" applyFont="1" applyFill="1" applyBorder="1" applyAlignment="1">
      <alignment horizontal="left" vertical="center" wrapText="1"/>
    </xf>
    <xf numFmtId="168" fontId="20" fillId="0" borderId="9" xfId="5" applyNumberFormat="1" applyFont="1" applyBorder="1" applyAlignment="1">
      <alignment horizontal="left" vertical="center"/>
    </xf>
    <xf numFmtId="2" fontId="20" fillId="0" borderId="18" xfId="0" applyNumberFormat="1" applyFont="1" applyBorder="1" applyAlignment="1">
      <alignment horizontal="center"/>
    </xf>
    <xf numFmtId="2" fontId="1" fillId="0" borderId="9" xfId="0" applyNumberFormat="1" applyFont="1" applyBorder="1" applyAlignment="1">
      <alignment horizontal="center"/>
    </xf>
    <xf numFmtId="2" fontId="25" fillId="0" borderId="9" xfId="8" applyNumberFormat="1" applyFont="1" applyBorder="1" applyAlignment="1">
      <alignment horizontal="center"/>
    </xf>
    <xf numFmtId="2" fontId="1" fillId="4" borderId="9" xfId="0" applyNumberFormat="1" applyFont="1" applyFill="1" applyBorder="1" applyAlignment="1">
      <alignment horizontal="center"/>
    </xf>
    <xf numFmtId="2" fontId="24" fillId="0" borderId="9" xfId="8" applyNumberFormat="1" applyBorder="1" applyAlignment="1">
      <alignment horizontal="center"/>
    </xf>
    <xf numFmtId="2" fontId="1" fillId="4" borderId="19" xfId="0" applyNumberFormat="1" applyFont="1" applyFill="1" applyBorder="1" applyAlignment="1">
      <alignment horizontal="center"/>
    </xf>
    <xf numFmtId="2" fontId="25" fillId="0" borderId="19" xfId="8" applyNumberFormat="1" applyFont="1" applyBorder="1" applyAlignment="1">
      <alignment horizontal="center"/>
    </xf>
    <xf numFmtId="0" fontId="20" fillId="4" borderId="14" xfId="0" applyFont="1" applyFill="1" applyBorder="1" applyAlignment="1">
      <alignment horizontal="center"/>
    </xf>
    <xf numFmtId="0" fontId="1" fillId="4" borderId="9" xfId="0" applyFont="1" applyFill="1" applyBorder="1" applyAlignment="1">
      <alignment horizontal="center"/>
    </xf>
    <xf numFmtId="2" fontId="20" fillId="0" borderId="23" xfId="0" applyNumberFormat="1" applyFont="1" applyBorder="1" applyAlignment="1">
      <alignment horizontal="center"/>
    </xf>
    <xf numFmtId="2" fontId="20" fillId="0" borderId="26" xfId="0" applyNumberFormat="1" applyFont="1" applyBorder="1" applyAlignment="1">
      <alignment horizontal="center"/>
    </xf>
    <xf numFmtId="2" fontId="20" fillId="4" borderId="9" xfId="14" applyNumberFormat="1" applyFont="1" applyFill="1" applyBorder="1" applyAlignment="1">
      <alignment horizontal="center"/>
    </xf>
    <xf numFmtId="9" fontId="20" fillId="0" borderId="0" xfId="3" applyFont="1"/>
    <xf numFmtId="2" fontId="26" fillId="0" borderId="9" xfId="8" applyNumberFormat="1" applyFont="1" applyBorder="1" applyAlignment="1">
      <alignment horizontal="center"/>
    </xf>
    <xf numFmtId="39" fontId="20" fillId="0" borderId="9" xfId="5" applyNumberFormat="1" applyFont="1" applyBorder="1" applyAlignment="1">
      <alignment horizontal="center"/>
    </xf>
    <xf numFmtId="9" fontId="20" fillId="0" borderId="9" xfId="7" applyFont="1" applyBorder="1" applyAlignment="1">
      <alignment horizontal="center" vertical="center" wrapText="1"/>
    </xf>
    <xf numFmtId="193" fontId="20" fillId="0" borderId="9" xfId="5" applyNumberFormat="1" applyFont="1" applyBorder="1" applyAlignment="1">
      <alignment horizontal="center"/>
    </xf>
    <xf numFmtId="193" fontId="1" fillId="0" borderId="9" xfId="5" applyNumberFormat="1" applyFont="1" applyBorder="1" applyAlignment="1">
      <alignment horizontal="center"/>
    </xf>
    <xf numFmtId="171" fontId="20" fillId="4" borderId="9" xfId="4" applyNumberFormat="1" applyFont="1" applyFill="1" applyBorder="1" applyAlignment="1" applyProtection="1">
      <alignment horizontal="center"/>
      <protection locked="0"/>
    </xf>
    <xf numFmtId="171" fontId="25" fillId="4" borderId="9" xfId="2" applyNumberFormat="1" applyFont="1" applyFill="1" applyBorder="1" applyAlignment="1">
      <alignment horizontal="center"/>
    </xf>
    <xf numFmtId="0" fontId="33" fillId="4" borderId="9" xfId="12" applyFill="1" applyBorder="1" applyAlignment="1">
      <alignment horizontal="center"/>
    </xf>
    <xf numFmtId="39" fontId="0" fillId="4" borderId="9" xfId="1" applyNumberFormat="1" applyFont="1" applyFill="1" applyBorder="1" applyAlignment="1">
      <alignment horizontal="center"/>
    </xf>
    <xf numFmtId="39" fontId="24" fillId="0" borderId="9" xfId="8" applyNumberFormat="1" applyBorder="1" applyAlignment="1">
      <alignment horizontal="center"/>
    </xf>
    <xf numFmtId="180" fontId="20" fillId="4" borderId="9" xfId="0" applyNumberFormat="1" applyFont="1" applyFill="1" applyBorder="1" applyAlignment="1">
      <alignment horizontal="center" vertical="center" wrapText="1"/>
    </xf>
    <xf numFmtId="0" fontId="24" fillId="0" borderId="0" xfId="8" applyAlignment="1">
      <alignment vertical="center"/>
    </xf>
    <xf numFmtId="180" fontId="20" fillId="4" borderId="0" xfId="0" applyNumberFormat="1" applyFont="1" applyFill="1" applyAlignment="1">
      <alignment horizontal="center" vertical="center" wrapText="1"/>
    </xf>
    <xf numFmtId="0" fontId="24" fillId="0" borderId="0" xfId="8" applyAlignment="1">
      <alignment horizontal="center" vertical="center"/>
    </xf>
    <xf numFmtId="0" fontId="20" fillId="11" borderId="28" xfId="0" applyFont="1" applyFill="1" applyBorder="1" applyAlignment="1">
      <alignment horizontal="center" vertical="center" wrapText="1"/>
    </xf>
    <xf numFmtId="0" fontId="20" fillId="11" borderId="26" xfId="0" applyFont="1" applyFill="1" applyBorder="1" applyAlignment="1">
      <alignment horizontal="center" vertical="center" wrapText="1"/>
    </xf>
    <xf numFmtId="2" fontId="24" fillId="4" borderId="9" xfId="8" applyNumberFormat="1" applyFill="1" applyBorder="1" applyAlignment="1">
      <alignment horizontal="center"/>
    </xf>
    <xf numFmtId="39" fontId="20" fillId="0" borderId="9" xfId="1" applyNumberFormat="1" applyFont="1" applyFill="1" applyBorder="1" applyAlignment="1">
      <alignment horizontal="center" vertical="center" wrapText="1"/>
    </xf>
    <xf numFmtId="39" fontId="64" fillId="0" borderId="9" xfId="1" applyNumberFormat="1" applyFont="1" applyFill="1" applyBorder="1" applyAlignment="1">
      <alignment horizontal="center" vertical="center" wrapText="1"/>
    </xf>
    <xf numFmtId="9" fontId="64" fillId="0" borderId="9" xfId="3" applyFont="1" applyFill="1" applyBorder="1" applyAlignment="1">
      <alignment horizontal="center" vertical="center" wrapText="1"/>
    </xf>
    <xf numFmtId="0" fontId="25" fillId="0" borderId="9" xfId="8" applyFont="1" applyBorder="1" applyAlignment="1">
      <alignment wrapText="1"/>
    </xf>
    <xf numFmtId="37" fontId="20" fillId="0" borderId="9" xfId="1" applyNumberFormat="1" applyFont="1" applyFill="1" applyBorder="1" applyAlignment="1">
      <alignment horizontal="center" vertical="center" wrapText="1"/>
    </xf>
    <xf numFmtId="37" fontId="64" fillId="0" borderId="9" xfId="1" applyNumberFormat="1" applyFont="1" applyFill="1" applyBorder="1" applyAlignment="1">
      <alignment horizontal="center" vertical="center" wrapText="1"/>
    </xf>
    <xf numFmtId="171" fontId="64" fillId="0" borderId="9" xfId="0" applyNumberFormat="1" applyFont="1" applyBorder="1" applyAlignment="1">
      <alignment horizontal="center" vertical="center" wrapText="1"/>
    </xf>
    <xf numFmtId="165" fontId="25" fillId="0" borderId="9" xfId="8" applyNumberFormat="1" applyFont="1" applyBorder="1" applyAlignment="1">
      <alignment horizontal="center"/>
    </xf>
    <xf numFmtId="171" fontId="20" fillId="4" borderId="9" xfId="13" applyNumberFormat="1" applyFont="1" applyFill="1" applyBorder="1" applyAlignment="1">
      <alignment horizontal="center" vertical="center"/>
    </xf>
    <xf numFmtId="0" fontId="20" fillId="4" borderId="14" xfId="6" applyFont="1" applyFill="1" applyBorder="1" applyAlignment="1">
      <alignment horizontal="left"/>
    </xf>
    <xf numFmtId="171" fontId="20" fillId="4" borderId="14" xfId="13" applyNumberFormat="1" applyFont="1" applyFill="1" applyBorder="1" applyAlignment="1">
      <alignment horizontal="center" vertical="center"/>
    </xf>
    <xf numFmtId="0" fontId="4" fillId="4" borderId="0" xfId="6" applyFont="1" applyFill="1" applyAlignment="1">
      <alignment horizontal="center"/>
    </xf>
    <xf numFmtId="0" fontId="1" fillId="4" borderId="0" xfId="6" applyFill="1" applyAlignment="1">
      <alignment horizontal="center"/>
    </xf>
    <xf numFmtId="2" fontId="20" fillId="0" borderId="9" xfId="6" applyNumberFormat="1" applyFont="1" applyBorder="1"/>
    <xf numFmtId="37" fontId="4" fillId="0" borderId="9" xfId="1" applyNumberFormat="1" applyFont="1" applyFill="1" applyBorder="1" applyAlignment="1">
      <alignment horizontal="center" vertical="center" wrapText="1"/>
    </xf>
    <xf numFmtId="0" fontId="1" fillId="0" borderId="9" xfId="6" applyBorder="1" applyAlignment="1">
      <alignment horizontal="center"/>
    </xf>
    <xf numFmtId="165" fontId="51" fillId="0" borderId="9" xfId="6" applyNumberFormat="1" applyFont="1" applyBorder="1" applyAlignment="1">
      <alignment horizontal="left" vertical="center" wrapText="1"/>
    </xf>
    <xf numFmtId="0" fontId="4" fillId="4" borderId="9" xfId="6" applyFont="1" applyFill="1" applyBorder="1" applyAlignment="1">
      <alignment horizontal="center"/>
    </xf>
    <xf numFmtId="165" fontId="20" fillId="4" borderId="9" xfId="6" applyNumberFormat="1" applyFont="1" applyFill="1" applyBorder="1" applyAlignment="1">
      <alignment horizontal="center" vertical="center" wrapText="1"/>
    </xf>
    <xf numFmtId="165" fontId="1" fillId="4" borderId="9" xfId="6" applyNumberFormat="1" applyFill="1" applyBorder="1" applyAlignment="1">
      <alignment horizontal="left" vertical="center" wrapText="1"/>
    </xf>
    <xf numFmtId="165" fontId="4" fillId="4" borderId="9" xfId="6" applyNumberFormat="1" applyFont="1" applyFill="1" applyBorder="1" applyAlignment="1">
      <alignment horizontal="center" vertical="center" wrapText="1"/>
    </xf>
    <xf numFmtId="9" fontId="1" fillId="0" borderId="14" xfId="3" applyFont="1" applyFill="1" applyBorder="1" applyAlignment="1">
      <alignment horizontal="left" vertical="center" wrapText="1"/>
    </xf>
    <xf numFmtId="9" fontId="20" fillId="0" borderId="14" xfId="3" applyFont="1" applyFill="1" applyBorder="1" applyAlignment="1">
      <alignment horizontal="center" vertical="center" wrapText="1"/>
    </xf>
    <xf numFmtId="165" fontId="20" fillId="0" borderId="23" xfId="6" applyNumberFormat="1" applyFont="1" applyBorder="1" applyAlignment="1">
      <alignment horizontal="center" vertical="center"/>
    </xf>
    <xf numFmtId="0" fontId="17" fillId="4" borderId="0" xfId="5" applyFont="1" applyFill="1" applyAlignment="1">
      <alignment vertical="center" wrapText="1"/>
    </xf>
    <xf numFmtId="0" fontId="32" fillId="4" borderId="0" xfId="0" applyFont="1" applyFill="1" applyAlignment="1">
      <alignment vertical="center" wrapText="1"/>
    </xf>
    <xf numFmtId="0" fontId="0" fillId="0" borderId="0" xfId="0" applyAlignment="1">
      <alignment vertical="center" wrapText="1"/>
    </xf>
    <xf numFmtId="43" fontId="0" fillId="0" borderId="16" xfId="1" applyFont="1" applyBorder="1"/>
    <xf numFmtId="0" fontId="65" fillId="4" borderId="0" xfId="5" applyFont="1" applyFill="1" applyAlignment="1">
      <alignment vertical="center" wrapText="1"/>
    </xf>
    <xf numFmtId="0" fontId="20" fillId="0" borderId="0" xfId="6" applyFont="1" applyAlignment="1">
      <alignment horizontal="left" vertical="center" wrapText="1"/>
    </xf>
    <xf numFmtId="1" fontId="0" fillId="0" borderId="9" xfId="13" applyNumberFormat="1" applyFont="1" applyBorder="1" applyAlignment="1">
      <alignment horizontal="center" vertical="center" wrapText="1"/>
    </xf>
    <xf numFmtId="165" fontId="0" fillId="0" borderId="9" xfId="13" applyNumberFormat="1" applyFont="1" applyBorder="1" applyAlignment="1">
      <alignment horizontal="center" vertical="center" wrapText="1"/>
    </xf>
    <xf numFmtId="0" fontId="66" fillId="0" borderId="0" xfId="0" applyFont="1" applyAlignment="1">
      <alignment horizontal="left"/>
    </xf>
    <xf numFmtId="200" fontId="20" fillId="0" borderId="9" xfId="8" applyNumberFormat="1" applyFont="1" applyBorder="1" applyAlignment="1">
      <alignment horizontal="center"/>
    </xf>
    <xf numFmtId="39" fontId="20" fillId="0" borderId="9" xfId="0" applyNumberFormat="1" applyFont="1" applyBorder="1" applyAlignment="1">
      <alignment horizontal="center" vertical="center" wrapText="1"/>
    </xf>
    <xf numFmtId="1" fontId="0" fillId="0" borderId="9" xfId="3" applyNumberFormat="1" applyFont="1" applyBorder="1" applyAlignment="1">
      <alignment horizontal="center"/>
    </xf>
    <xf numFmtId="2" fontId="0" fillId="0" borderId="9" xfId="3" applyNumberFormat="1" applyFont="1" applyBorder="1" applyAlignment="1">
      <alignment horizontal="center"/>
    </xf>
    <xf numFmtId="1" fontId="20" fillId="0" borderId="9" xfId="3" applyNumberFormat="1" applyFont="1" applyBorder="1" applyAlignment="1">
      <alignment horizontal="center"/>
    </xf>
    <xf numFmtId="165" fontId="24" fillId="4" borderId="9" xfId="8" applyNumberFormat="1" applyFill="1" applyBorder="1" applyAlignment="1">
      <alignment horizontal="center"/>
    </xf>
    <xf numFmtId="165" fontId="25" fillId="4" borderId="9" xfId="8" applyNumberFormat="1" applyFont="1" applyFill="1" applyBorder="1" applyAlignment="1">
      <alignment horizontal="center"/>
    </xf>
    <xf numFmtId="0" fontId="25" fillId="4" borderId="0" xfId="8" applyFont="1" applyFill="1" applyAlignment="1">
      <alignment horizontal="left"/>
    </xf>
    <xf numFmtId="0" fontId="38" fillId="0" borderId="9" xfId="8" applyFont="1" applyBorder="1" applyAlignment="1">
      <alignment horizontal="left" vertical="center"/>
    </xf>
    <xf numFmtId="2" fontId="24" fillId="0" borderId="9" xfId="3" applyNumberFormat="1" applyFont="1" applyBorder="1" applyAlignment="1">
      <alignment horizontal="center"/>
    </xf>
    <xf numFmtId="169" fontId="20" fillId="4" borderId="9" xfId="2" applyNumberFormat="1" applyFont="1" applyFill="1" applyBorder="1" applyAlignment="1">
      <alignment horizontal="center"/>
    </xf>
    <xf numFmtId="0" fontId="35" fillId="4" borderId="9" xfId="13" applyFont="1" applyFill="1" applyBorder="1" applyAlignment="1">
      <alignment horizontal="center"/>
    </xf>
    <xf numFmtId="2" fontId="25" fillId="4" borderId="9" xfId="3" applyNumberFormat="1" applyFont="1" applyFill="1" applyBorder="1" applyAlignment="1">
      <alignment horizontal="center"/>
    </xf>
    <xf numFmtId="2" fontId="24" fillId="4" borderId="9" xfId="3" applyNumberFormat="1" applyFont="1" applyFill="1" applyBorder="1" applyAlignment="1">
      <alignment horizontal="center"/>
    </xf>
    <xf numFmtId="165" fontId="25" fillId="4" borderId="9" xfId="3" applyNumberFormat="1" applyFont="1" applyFill="1" applyBorder="1" applyAlignment="1">
      <alignment horizontal="center"/>
    </xf>
    <xf numFmtId="44" fontId="20" fillId="0" borderId="9" xfId="2" applyFont="1" applyFill="1" applyBorder="1"/>
    <xf numFmtId="165" fontId="24" fillId="4" borderId="9" xfId="3" applyNumberFormat="1" applyFont="1" applyFill="1" applyBorder="1" applyAlignment="1">
      <alignment horizontal="center"/>
    </xf>
    <xf numFmtId="9" fontId="25" fillId="4" borderId="23" xfId="3" applyFont="1" applyFill="1" applyBorder="1" applyAlignment="1">
      <alignment horizontal="center"/>
    </xf>
    <xf numFmtId="44" fontId="25" fillId="0" borderId="0" xfId="8" applyNumberFormat="1" applyFont="1"/>
    <xf numFmtId="170" fontId="20" fillId="0" borderId="9" xfId="1" applyNumberFormat="1" applyFont="1" applyBorder="1" applyAlignment="1">
      <alignment horizontal="center"/>
    </xf>
    <xf numFmtId="171" fontId="20" fillId="0" borderId="9" xfId="3" applyNumberFormat="1" applyFont="1" applyBorder="1" applyAlignment="1">
      <alignment horizontal="center"/>
    </xf>
    <xf numFmtId="171" fontId="4" fillId="0" borderId="9" xfId="3" applyNumberFormat="1" applyFont="1" applyBorder="1" applyAlignment="1">
      <alignment horizontal="center"/>
    </xf>
    <xf numFmtId="0" fontId="35" fillId="0" borderId="0" xfId="12" applyFont="1" applyAlignment="1">
      <alignment horizontal="center"/>
    </xf>
    <xf numFmtId="0" fontId="20" fillId="4" borderId="9" xfId="0" applyFont="1" applyFill="1" applyBorder="1" applyAlignment="1">
      <alignment horizontal="center"/>
    </xf>
    <xf numFmtId="200" fontId="64" fillId="0" borderId="9" xfId="8" applyNumberFormat="1" applyFont="1" applyBorder="1" applyAlignment="1">
      <alignment horizontal="center"/>
    </xf>
    <xf numFmtId="2" fontId="0" fillId="0" borderId="0" xfId="0" applyNumberFormat="1" applyAlignment="1">
      <alignment horizontal="center" wrapText="1"/>
    </xf>
    <xf numFmtId="0" fontId="25" fillId="0" borderId="39" xfId="8" applyFont="1" applyBorder="1"/>
    <xf numFmtId="189" fontId="25" fillId="0" borderId="0" xfId="8" applyNumberFormat="1" applyFont="1"/>
    <xf numFmtId="2" fontId="25" fillId="0" borderId="0" xfId="8" applyNumberFormat="1" applyFont="1" applyAlignment="1">
      <alignment horizontal="center"/>
    </xf>
    <xf numFmtId="179" fontId="0" fillId="4" borderId="9" xfId="0" applyNumberFormat="1" applyFill="1" applyBorder="1" applyAlignment="1">
      <alignment horizontal="center" vertical="center" wrapText="1"/>
    </xf>
    <xf numFmtId="0" fontId="67" fillId="0" borderId="0" xfId="0" applyFont="1" applyAlignment="1">
      <alignment horizontal="left" vertical="center" wrapText="1"/>
    </xf>
    <xf numFmtId="170" fontId="20" fillId="0" borderId="9" xfId="0" applyNumberFormat="1" applyFont="1" applyBorder="1" applyAlignment="1">
      <alignment horizontal="center" vertical="center" wrapText="1"/>
    </xf>
    <xf numFmtId="2" fontId="0" fillId="4" borderId="9" xfId="1" applyNumberFormat="1" applyFont="1" applyFill="1" applyBorder="1" applyAlignment="1">
      <alignment horizontal="center"/>
    </xf>
    <xf numFmtId="0" fontId="20" fillId="0" borderId="22" xfId="0" applyFont="1" applyBorder="1" applyAlignment="1">
      <alignment horizontal="center" vertical="center" wrapText="1"/>
    </xf>
    <xf numFmtId="39" fontId="64" fillId="4" borderId="9" xfId="1" applyNumberFormat="1" applyFont="1" applyFill="1" applyBorder="1" applyAlignment="1">
      <alignment horizontal="center" vertical="center" wrapText="1"/>
    </xf>
    <xf numFmtId="39" fontId="0" fillId="0" borderId="9" xfId="1" applyNumberFormat="1" applyFont="1" applyFill="1" applyBorder="1" applyAlignment="1">
      <alignment horizontal="center" vertical="center" wrapText="1"/>
    </xf>
    <xf numFmtId="0" fontId="20" fillId="0" borderId="18" xfId="8" applyFont="1" applyBorder="1" applyAlignment="1">
      <alignment horizontal="left" wrapText="1"/>
    </xf>
    <xf numFmtId="37" fontId="0" fillId="0" borderId="9" xfId="1" applyNumberFormat="1" applyFont="1" applyFill="1" applyBorder="1" applyAlignment="1">
      <alignment horizontal="center" vertical="center" wrapText="1"/>
    </xf>
    <xf numFmtId="0" fontId="0" fillId="0" borderId="9" xfId="6" applyFont="1" applyBorder="1"/>
    <xf numFmtId="168" fontId="0" fillId="0" borderId="9" xfId="5" applyNumberFormat="1" applyFont="1" applyBorder="1" applyAlignment="1">
      <alignment horizontal="left" vertical="center" wrapText="1"/>
    </xf>
    <xf numFmtId="2" fontId="0" fillId="0" borderId="9" xfId="0" applyNumberFormat="1" applyBorder="1" applyAlignment="1">
      <alignment wrapText="1"/>
    </xf>
    <xf numFmtId="2" fontId="0" fillId="0" borderId="9" xfId="0" applyNumberFormat="1" applyBorder="1" applyAlignment="1">
      <alignment horizontal="center" wrapText="1"/>
    </xf>
    <xf numFmtId="9" fontId="0" fillId="0" borderId="9" xfId="3" applyFont="1" applyBorder="1" applyAlignment="1">
      <alignment horizontal="center" wrapText="1"/>
    </xf>
    <xf numFmtId="43" fontId="0" fillId="0" borderId="9" xfId="1" applyFont="1" applyBorder="1" applyAlignment="1">
      <alignment horizontal="center" wrapText="1"/>
    </xf>
    <xf numFmtId="0" fontId="35" fillId="4" borderId="0" xfId="0" applyFont="1" applyFill="1"/>
    <xf numFmtId="203" fontId="0" fillId="0" borderId="0" xfId="0" applyNumberFormat="1"/>
    <xf numFmtId="0" fontId="0" fillId="18" borderId="16" xfId="0" applyFill="1" applyBorder="1"/>
    <xf numFmtId="166" fontId="0" fillId="18" borderId="18" xfId="0" applyNumberFormat="1" applyFill="1" applyBorder="1"/>
    <xf numFmtId="0" fontId="33" fillId="4" borderId="9" xfId="12" applyFill="1" applyBorder="1"/>
    <xf numFmtId="166" fontId="0" fillId="4" borderId="9" xfId="0" applyNumberFormat="1" applyFill="1" applyBorder="1"/>
    <xf numFmtId="0" fontId="33" fillId="14" borderId="16" xfId="12" applyFill="1" applyBorder="1"/>
    <xf numFmtId="166" fontId="0" fillId="14" borderId="18" xfId="0" applyNumberFormat="1" applyFill="1" applyBorder="1"/>
    <xf numFmtId="203" fontId="0" fillId="0" borderId="9" xfId="0" applyNumberFormat="1" applyBorder="1"/>
    <xf numFmtId="166" fontId="0" fillId="0" borderId="0" xfId="0" applyNumberFormat="1"/>
    <xf numFmtId="204" fontId="0" fillId="4" borderId="0" xfId="3" applyNumberFormat="1" applyFont="1" applyFill="1"/>
    <xf numFmtId="0" fontId="33" fillId="4" borderId="0" xfId="18" applyFill="1"/>
    <xf numFmtId="0" fontId="69" fillId="4" borderId="0" xfId="18" applyFont="1" applyFill="1"/>
    <xf numFmtId="0" fontId="6" fillId="4" borderId="0" xfId="0" applyFont="1" applyFill="1"/>
    <xf numFmtId="0" fontId="70" fillId="4" borderId="0" xfId="18" applyFont="1" applyFill="1"/>
    <xf numFmtId="0" fontId="51" fillId="4" borderId="0" xfId="0" applyFont="1" applyFill="1"/>
    <xf numFmtId="0" fontId="20" fillId="0" borderId="27" xfId="8" applyFont="1" applyBorder="1" applyAlignment="1">
      <alignment horizontal="center"/>
    </xf>
    <xf numFmtId="169" fontId="20" fillId="0" borderId="27" xfId="2" applyNumberFormat="1" applyFont="1" applyBorder="1"/>
    <xf numFmtId="0" fontId="0" fillId="0" borderId="27" xfId="0" applyBorder="1"/>
    <xf numFmtId="170" fontId="20" fillId="4" borderId="27" xfId="1" applyNumberFormat="1" applyFont="1" applyFill="1" applyBorder="1" applyAlignment="1">
      <alignment horizontal="center"/>
    </xf>
    <xf numFmtId="170" fontId="20" fillId="4" borderId="27" xfId="0" applyNumberFormat="1" applyFont="1" applyFill="1" applyBorder="1" applyAlignment="1">
      <alignment horizontal="center" vertical="center" wrapText="1"/>
    </xf>
    <xf numFmtId="0" fontId="4" fillId="0" borderId="27" xfId="0" applyFont="1" applyBorder="1" applyAlignment="1">
      <alignment horizontal="center"/>
    </xf>
    <xf numFmtId="0" fontId="20" fillId="0" borderId="23" xfId="0" applyFont="1" applyBorder="1" applyAlignment="1">
      <alignment horizontal="left"/>
    </xf>
    <xf numFmtId="0" fontId="39" fillId="0" borderId="0" xfId="5" applyFont="1"/>
    <xf numFmtId="0" fontId="40" fillId="4" borderId="0" xfId="6" applyFont="1" applyFill="1" applyAlignment="1">
      <alignment horizontal="left" vertical="center"/>
    </xf>
    <xf numFmtId="0" fontId="39" fillId="4" borderId="0" xfId="6" applyFont="1" applyFill="1" applyAlignment="1">
      <alignment horizontal="left" vertical="center"/>
    </xf>
    <xf numFmtId="166" fontId="39" fillId="4" borderId="0" xfId="6" applyNumberFormat="1" applyFont="1" applyFill="1" applyAlignment="1">
      <alignment horizontal="center" vertical="center"/>
    </xf>
    <xf numFmtId="0" fontId="46" fillId="0" borderId="0" xfId="6" applyFont="1"/>
    <xf numFmtId="166" fontId="20" fillId="0" borderId="0" xfId="5" applyNumberFormat="1" applyFont="1" applyAlignment="1">
      <alignment horizontal="center"/>
    </xf>
    <xf numFmtId="168" fontId="20" fillId="0" borderId="9" xfId="5" applyNumberFormat="1" applyFont="1" applyBorder="1" applyAlignment="1">
      <alignment horizontal="center"/>
    </xf>
    <xf numFmtId="166" fontId="20" fillId="0" borderId="9" xfId="5" applyNumberFormat="1" applyFont="1" applyBorder="1" applyAlignment="1">
      <alignment horizontal="center"/>
    </xf>
    <xf numFmtId="165" fontId="20" fillId="4" borderId="9" xfId="6" applyNumberFormat="1" applyFont="1" applyFill="1" applyBorder="1" applyAlignment="1">
      <alignment horizontal="left" vertical="center" wrapText="1" indent="3"/>
    </xf>
    <xf numFmtId="168" fontId="35" fillId="0" borderId="0" xfId="5" applyNumberFormat="1" applyFont="1"/>
    <xf numFmtId="4" fontId="20" fillId="0" borderId="0" xfId="5" applyNumberFormat="1" applyFont="1"/>
    <xf numFmtId="9" fontId="28" fillId="0" borderId="0" xfId="7" applyFont="1">
      <alignment horizontal="right" vertical="center" wrapText="1" readingOrder="1"/>
    </xf>
    <xf numFmtId="169" fontId="20" fillId="0" borderId="0" xfId="5" applyNumberFormat="1" applyFont="1"/>
    <xf numFmtId="172" fontId="28" fillId="0" borderId="0" xfId="7" applyNumberFormat="1" applyFont="1">
      <alignment horizontal="right" vertical="center" wrapText="1" readingOrder="1"/>
    </xf>
    <xf numFmtId="168" fontId="20" fillId="0" borderId="9" xfId="5" applyNumberFormat="1" applyFont="1" applyBorder="1" applyAlignment="1">
      <alignment wrapText="1"/>
    </xf>
    <xf numFmtId="166" fontId="20" fillId="0" borderId="0" xfId="5" applyNumberFormat="1" applyFont="1" applyAlignment="1">
      <alignment horizontal="center" wrapText="1"/>
    </xf>
    <xf numFmtId="0" fontId="40" fillId="0" borderId="0" xfId="5" applyFont="1"/>
    <xf numFmtId="166" fontId="35" fillId="0" borderId="0" xfId="5" applyNumberFormat="1" applyFont="1" applyAlignment="1">
      <alignment horizontal="center" wrapText="1"/>
    </xf>
    <xf numFmtId="168" fontId="20" fillId="4" borderId="9" xfId="5" applyNumberFormat="1" applyFont="1" applyFill="1" applyBorder="1" applyAlignment="1">
      <alignment horizontal="left" vertical="center"/>
    </xf>
    <xf numFmtId="0" fontId="35" fillId="0" borderId="0" xfId="6" applyFont="1" applyAlignment="1">
      <alignment horizontal="right"/>
    </xf>
    <xf numFmtId="3" fontId="35" fillId="0" borderId="0" xfId="6" applyNumberFormat="1" applyFont="1" applyAlignment="1">
      <alignment horizontal="right"/>
    </xf>
    <xf numFmtId="0" fontId="35" fillId="0" borderId="0" xfId="5" applyFont="1" applyAlignment="1">
      <alignment horizontal="right"/>
    </xf>
    <xf numFmtId="3" fontId="35" fillId="0" borderId="0" xfId="5" applyNumberFormat="1" applyFont="1" applyAlignment="1">
      <alignment horizontal="right"/>
    </xf>
    <xf numFmtId="168" fontId="20" fillId="0" borderId="0" xfId="5" applyNumberFormat="1" applyFont="1"/>
    <xf numFmtId="168" fontId="20" fillId="0" borderId="9" xfId="5" applyNumberFormat="1" applyFont="1" applyBorder="1"/>
    <xf numFmtId="0" fontId="20" fillId="0" borderId="9" xfId="5" applyFont="1" applyBorder="1" applyAlignment="1">
      <alignment horizontal="center"/>
    </xf>
    <xf numFmtId="171" fontId="20" fillId="7" borderId="9" xfId="5" applyNumberFormat="1" applyFont="1" applyFill="1" applyBorder="1" applyAlignment="1">
      <alignment horizontal="center"/>
    </xf>
    <xf numFmtId="1" fontId="20" fillId="7" borderId="9" xfId="3" applyNumberFormat="1" applyFont="1" applyFill="1" applyBorder="1" applyAlignment="1">
      <alignment horizontal="center"/>
    </xf>
    <xf numFmtId="9" fontId="20" fillId="7" borderId="9" xfId="3" applyFont="1" applyFill="1" applyBorder="1" applyAlignment="1">
      <alignment horizontal="center"/>
    </xf>
    <xf numFmtId="168" fontId="20" fillId="4" borderId="0" xfId="5" applyNumberFormat="1" applyFont="1" applyFill="1" applyAlignment="1">
      <alignment horizontal="left" vertical="center"/>
    </xf>
    <xf numFmtId="39" fontId="20" fillId="0" borderId="0" xfId="5" applyNumberFormat="1" applyFont="1" applyAlignment="1">
      <alignment horizontal="center"/>
    </xf>
    <xf numFmtId="37" fontId="20" fillId="0" borderId="0" xfId="5" applyNumberFormat="1" applyFont="1" applyAlignment="1">
      <alignment horizontal="center"/>
    </xf>
    <xf numFmtId="165" fontId="20" fillId="0" borderId="29" xfId="6" applyNumberFormat="1" applyFont="1" applyBorder="1" applyAlignment="1">
      <alignment horizontal="center"/>
    </xf>
    <xf numFmtId="165" fontId="20" fillId="0" borderId="9" xfId="5" applyNumberFormat="1" applyFont="1" applyBorder="1" applyAlignment="1">
      <alignment horizontal="center"/>
    </xf>
    <xf numFmtId="7" fontId="35" fillId="0" borderId="22" xfId="5" applyNumberFormat="1" applyFont="1" applyBorder="1" applyAlignment="1">
      <alignment wrapText="1"/>
    </xf>
    <xf numFmtId="0" fontId="35" fillId="0" borderId="0" xfId="5" applyFont="1" applyAlignment="1">
      <alignment wrapText="1"/>
    </xf>
    <xf numFmtId="174" fontId="20" fillId="7" borderId="9" xfId="9" applyNumberFormat="1" applyFont="1" applyFill="1" applyBorder="1" applyAlignment="1">
      <alignment horizontal="center" vertical="center"/>
    </xf>
    <xf numFmtId="174" fontId="20" fillId="0" borderId="9" xfId="9" applyNumberFormat="1" applyFont="1" applyFill="1" applyBorder="1" applyAlignment="1">
      <alignment horizontal="center" vertical="center"/>
    </xf>
    <xf numFmtId="174" fontId="20" fillId="0" borderId="9" xfId="9" applyNumberFormat="1" applyFont="1" applyFill="1" applyBorder="1" applyAlignment="1">
      <alignment horizontal="center"/>
    </xf>
    <xf numFmtId="174" fontId="20" fillId="0" borderId="9" xfId="9" applyNumberFormat="1" applyFont="1" applyFill="1" applyBorder="1" applyAlignment="1">
      <alignment horizontal="center" vertical="center" wrapText="1"/>
    </xf>
    <xf numFmtId="168" fontId="20" fillId="5" borderId="9" xfId="5" applyNumberFormat="1" applyFont="1" applyFill="1" applyBorder="1" applyAlignment="1">
      <alignment horizontal="center" vertical="center"/>
    </xf>
    <xf numFmtId="174" fontId="20" fillId="0" borderId="9" xfId="9" applyNumberFormat="1" applyFont="1" applyFill="1" applyBorder="1" applyAlignment="1">
      <alignment horizontal="center" vertical="top" wrapText="1"/>
    </xf>
    <xf numFmtId="7" fontId="20" fillId="7" borderId="9" xfId="10" applyNumberFormat="1" applyFont="1" applyFill="1" applyBorder="1" applyAlignment="1">
      <alignment horizontal="center"/>
    </xf>
    <xf numFmtId="2" fontId="20" fillId="0" borderId="9" xfId="5" applyNumberFormat="1" applyFont="1" applyBorder="1" applyAlignment="1">
      <alignment horizontal="center" vertical="center"/>
    </xf>
    <xf numFmtId="175" fontId="20" fillId="7" borderId="9" xfId="9" applyNumberFormat="1" applyFont="1" applyFill="1" applyBorder="1" applyAlignment="1">
      <alignment horizontal="center" vertical="center"/>
    </xf>
    <xf numFmtId="172" fontId="20" fillId="7" borderId="9" xfId="11" applyNumberFormat="1" applyFont="1" applyFill="1" applyBorder="1" applyAlignment="1">
      <alignment horizontal="center" vertical="center"/>
    </xf>
    <xf numFmtId="175" fontId="20" fillId="0" borderId="9" xfId="9" applyNumberFormat="1" applyFont="1" applyFill="1" applyBorder="1" applyAlignment="1">
      <alignment horizontal="center"/>
    </xf>
    <xf numFmtId="176" fontId="20" fillId="0" borderId="9" xfId="9" applyNumberFormat="1" applyFont="1" applyFill="1" applyBorder="1" applyAlignment="1">
      <alignment horizontal="center"/>
    </xf>
    <xf numFmtId="168" fontId="20" fillId="0" borderId="9" xfId="5" applyNumberFormat="1" applyFont="1" applyBorder="1" applyAlignment="1">
      <alignment horizontal="center" vertical="center"/>
    </xf>
    <xf numFmtId="175" fontId="20" fillId="5" borderId="9" xfId="9" applyNumberFormat="1" applyFont="1" applyFill="1" applyBorder="1" applyAlignment="1">
      <alignment horizontal="center" vertical="center"/>
    </xf>
    <xf numFmtId="172" fontId="20" fillId="5" borderId="9" xfId="11" applyNumberFormat="1" applyFont="1" applyFill="1" applyBorder="1" applyAlignment="1">
      <alignment horizontal="center" vertical="center"/>
    </xf>
    <xf numFmtId="9" fontId="20" fillId="7" borderId="9" xfId="11" applyFont="1" applyFill="1" applyBorder="1" applyAlignment="1">
      <alignment horizontal="center" vertical="center"/>
    </xf>
    <xf numFmtId="168" fontId="20" fillId="7" borderId="9" xfId="1" applyNumberFormat="1" applyFont="1" applyFill="1" applyBorder="1" applyAlignment="1">
      <alignment horizontal="center" vertical="center"/>
    </xf>
    <xf numFmtId="1" fontId="20" fillId="7" borderId="9" xfId="11" applyNumberFormat="1" applyFont="1" applyFill="1" applyBorder="1" applyAlignment="1">
      <alignment horizontal="center" vertical="center"/>
    </xf>
    <xf numFmtId="175" fontId="20" fillId="7" borderId="9" xfId="9" applyNumberFormat="1" applyFont="1" applyFill="1" applyBorder="1" applyAlignment="1">
      <alignment horizontal="center"/>
    </xf>
    <xf numFmtId="177" fontId="20" fillId="0" borderId="9" xfId="9" applyNumberFormat="1" applyFont="1" applyFill="1" applyBorder="1" applyAlignment="1">
      <alignment horizontal="center"/>
    </xf>
    <xf numFmtId="176" fontId="20" fillId="8" borderId="9" xfId="9" applyNumberFormat="1" applyFont="1" applyFill="1" applyBorder="1" applyAlignment="1">
      <alignment horizontal="center"/>
    </xf>
    <xf numFmtId="9" fontId="20" fillId="0" borderId="9" xfId="11" applyFont="1" applyFill="1" applyBorder="1" applyAlignment="1">
      <alignment horizontal="center" vertical="center"/>
    </xf>
    <xf numFmtId="166" fontId="35" fillId="0" borderId="0" xfId="5" applyNumberFormat="1" applyFont="1" applyAlignment="1">
      <alignment horizontal="center"/>
    </xf>
    <xf numFmtId="2" fontId="20" fillId="4" borderId="9" xfId="10" applyNumberFormat="1" applyFont="1" applyFill="1" applyBorder="1" applyAlignment="1">
      <alignment horizontal="center"/>
    </xf>
    <xf numFmtId="0" fontId="42" fillId="0" borderId="0" xfId="5" applyFont="1"/>
    <xf numFmtId="2" fontId="20" fillId="8" borderId="9" xfId="5" applyNumberFormat="1" applyFont="1" applyFill="1" applyBorder="1" applyAlignment="1">
      <alignment horizontal="center" vertical="center"/>
    </xf>
    <xf numFmtId="172" fontId="20" fillId="0" borderId="9" xfId="11" applyNumberFormat="1" applyFont="1" applyFill="1" applyBorder="1" applyAlignment="1">
      <alignment horizontal="center" vertical="center"/>
    </xf>
    <xf numFmtId="9" fontId="20" fillId="7" borderId="9" xfId="11" applyFont="1" applyFill="1" applyBorder="1" applyAlignment="1">
      <alignment horizontal="center"/>
    </xf>
    <xf numFmtId="2" fontId="20" fillId="7" borderId="9" xfId="5" applyNumberFormat="1" applyFont="1" applyFill="1" applyBorder="1" applyAlignment="1">
      <alignment horizontal="center" vertical="center"/>
    </xf>
    <xf numFmtId="2" fontId="20" fillId="0" borderId="9" xfId="10" applyNumberFormat="1" applyFont="1" applyFill="1" applyBorder="1" applyAlignment="1">
      <alignment horizontal="center"/>
    </xf>
    <xf numFmtId="1" fontId="20" fillId="0" borderId="9" xfId="5" applyNumberFormat="1" applyFont="1" applyBorder="1" applyAlignment="1">
      <alignment horizontal="center" vertical="center"/>
    </xf>
    <xf numFmtId="1" fontId="20" fillId="7" borderId="9" xfId="5" applyNumberFormat="1" applyFont="1" applyFill="1" applyBorder="1" applyAlignment="1">
      <alignment horizontal="center" vertical="center"/>
    </xf>
    <xf numFmtId="165" fontId="20" fillId="0" borderId="0" xfId="6" applyNumberFormat="1" applyFont="1" applyAlignment="1">
      <alignment horizontal="center"/>
    </xf>
    <xf numFmtId="168" fontId="20" fillId="8" borderId="9" xfId="5" applyNumberFormat="1" applyFont="1" applyFill="1" applyBorder="1" applyAlignment="1">
      <alignment horizontal="center" vertical="center"/>
    </xf>
    <xf numFmtId="2" fontId="20" fillId="8" borderId="9" xfId="11" applyNumberFormat="1" applyFont="1" applyFill="1" applyBorder="1" applyAlignment="1">
      <alignment horizontal="center" vertical="center"/>
    </xf>
    <xf numFmtId="1" fontId="20" fillId="0" borderId="9" xfId="11" applyNumberFormat="1" applyFont="1" applyFill="1" applyBorder="1" applyAlignment="1">
      <alignment horizontal="center" vertical="center"/>
    </xf>
    <xf numFmtId="176" fontId="20" fillId="7" borderId="9" xfId="9" applyNumberFormat="1" applyFont="1" applyFill="1" applyBorder="1" applyAlignment="1">
      <alignment horizontal="center"/>
    </xf>
    <xf numFmtId="1" fontId="20" fillId="8" borderId="9" xfId="11" applyNumberFormat="1" applyFont="1" applyFill="1" applyBorder="1" applyAlignment="1">
      <alignment horizontal="center" vertical="center"/>
    </xf>
    <xf numFmtId="1" fontId="20" fillId="8" borderId="9" xfId="11" applyNumberFormat="1" applyFont="1" applyFill="1" applyBorder="1" applyAlignment="1">
      <alignment horizontal="center"/>
    </xf>
    <xf numFmtId="1" fontId="20" fillId="7" borderId="9" xfId="11" applyNumberFormat="1" applyFont="1" applyFill="1" applyBorder="1" applyAlignment="1">
      <alignment horizontal="center"/>
    </xf>
    <xf numFmtId="173" fontId="35" fillId="0" borderId="0" xfId="2" applyNumberFormat="1" applyFont="1"/>
    <xf numFmtId="173" fontId="35" fillId="0" borderId="0" xfId="2" applyNumberFormat="1" applyFont="1" applyFill="1" applyBorder="1"/>
    <xf numFmtId="168" fontId="20" fillId="0" borderId="9" xfId="5" applyNumberFormat="1" applyFont="1" applyBorder="1" applyAlignment="1">
      <alignment horizontal="left"/>
    </xf>
    <xf numFmtId="169" fontId="20" fillId="0" borderId="9" xfId="5" applyNumberFormat="1" applyFont="1" applyBorder="1" applyAlignment="1">
      <alignment horizontal="center"/>
    </xf>
    <xf numFmtId="165" fontId="20" fillId="7" borderId="9" xfId="5" applyNumberFormat="1" applyFont="1" applyFill="1" applyBorder="1" applyAlignment="1">
      <alignment horizontal="center" vertical="center"/>
    </xf>
    <xf numFmtId="3" fontId="20" fillId="0" borderId="9" xfId="1" applyNumberFormat="1" applyFont="1" applyFill="1" applyBorder="1" applyAlignment="1">
      <alignment horizontal="center" vertical="center"/>
    </xf>
    <xf numFmtId="178" fontId="20" fillId="7" borderId="9" xfId="5" applyNumberFormat="1" applyFont="1" applyFill="1" applyBorder="1" applyAlignment="1">
      <alignment horizontal="center" vertical="center"/>
    </xf>
    <xf numFmtId="1" fontId="20" fillId="0" borderId="9" xfId="6" applyNumberFormat="1" applyFont="1" applyBorder="1" applyAlignment="1">
      <alignment horizontal="center" vertical="center" wrapText="1"/>
    </xf>
    <xf numFmtId="7" fontId="20" fillId="0" borderId="0" xfId="5" applyNumberFormat="1" applyFont="1"/>
    <xf numFmtId="9" fontId="20" fillId="7" borderId="9" xfId="3" applyFont="1" applyFill="1" applyBorder="1" applyAlignment="1">
      <alignment horizontal="center" vertical="center"/>
    </xf>
    <xf numFmtId="0" fontId="35" fillId="14" borderId="3" xfId="5" applyFont="1" applyFill="1" applyBorder="1"/>
    <xf numFmtId="0" fontId="35" fillId="14" borderId="5" xfId="5" applyFont="1" applyFill="1" applyBorder="1"/>
    <xf numFmtId="0" fontId="35" fillId="0" borderId="8" xfId="5" applyFont="1" applyBorder="1"/>
    <xf numFmtId="0" fontId="35" fillId="0" borderId="10" xfId="5" applyFont="1" applyBorder="1"/>
    <xf numFmtId="0" fontId="35" fillId="0" borderId="8" xfId="5" applyFont="1" applyBorder="1" applyAlignment="1">
      <alignment horizontal="right"/>
    </xf>
    <xf numFmtId="0" fontId="35" fillId="0" borderId="13" xfId="5" applyFont="1" applyBorder="1" applyAlignment="1">
      <alignment horizontal="right"/>
    </xf>
    <xf numFmtId="0" fontId="35" fillId="0" borderId="15" xfId="5" applyFont="1" applyBorder="1"/>
    <xf numFmtId="172" fontId="20" fillId="0" borderId="9" xfId="3" applyNumberFormat="1" applyFont="1" applyFill="1" applyBorder="1" applyAlignment="1">
      <alignment horizontal="center" vertical="center"/>
    </xf>
    <xf numFmtId="0" fontId="35" fillId="0" borderId="0" xfId="5" applyFont="1" applyAlignment="1">
      <alignment horizontal="center" vertical="center"/>
    </xf>
    <xf numFmtId="174" fontId="20" fillId="7" borderId="9" xfId="9" applyNumberFormat="1" applyFont="1" applyFill="1" applyBorder="1" applyAlignment="1">
      <alignment horizontal="center"/>
    </xf>
    <xf numFmtId="175" fontId="20" fillId="0" borderId="9" xfId="9" applyNumberFormat="1" applyFont="1" applyFill="1" applyBorder="1" applyAlignment="1">
      <alignment horizontal="left" vertical="center"/>
    </xf>
    <xf numFmtId="168" fontId="20" fillId="7" borderId="9" xfId="5" applyNumberFormat="1" applyFont="1" applyFill="1" applyBorder="1" applyAlignment="1">
      <alignment horizontal="center" vertical="center"/>
    </xf>
    <xf numFmtId="2" fontId="20" fillId="0" borderId="9" xfId="11" applyNumberFormat="1" applyFont="1" applyFill="1" applyBorder="1" applyAlignment="1">
      <alignment horizontal="center" vertical="center"/>
    </xf>
    <xf numFmtId="44" fontId="35" fillId="0" borderId="0" xfId="2" applyFont="1"/>
    <xf numFmtId="179" fontId="20" fillId="7" borderId="9" xfId="1" applyNumberFormat="1" applyFont="1" applyFill="1" applyBorder="1" applyAlignment="1">
      <alignment horizontal="center" vertical="center"/>
    </xf>
    <xf numFmtId="179" fontId="20" fillId="0" borderId="9" xfId="1" applyNumberFormat="1" applyFont="1" applyFill="1" applyBorder="1" applyAlignment="1">
      <alignment horizontal="center" vertical="center"/>
    </xf>
    <xf numFmtId="3" fontId="20" fillId="7" borderId="9" xfId="1" applyNumberFormat="1" applyFont="1" applyFill="1" applyBorder="1" applyAlignment="1">
      <alignment horizontal="center" vertical="center"/>
    </xf>
    <xf numFmtId="4" fontId="20" fillId="0" borderId="9" xfId="1" applyNumberFormat="1" applyFont="1" applyFill="1" applyBorder="1" applyAlignment="1">
      <alignment horizontal="center" vertical="center"/>
    </xf>
    <xf numFmtId="181" fontId="20" fillId="0" borderId="9" xfId="1" applyNumberFormat="1" applyFont="1" applyFill="1" applyBorder="1" applyAlignment="1">
      <alignment horizontal="center" vertical="center"/>
    </xf>
    <xf numFmtId="180" fontId="20" fillId="0" borderId="9" xfId="3" applyNumberFormat="1" applyFont="1" applyFill="1" applyBorder="1" applyAlignment="1">
      <alignment horizontal="center" vertical="center"/>
    </xf>
    <xf numFmtId="165" fontId="20" fillId="0" borderId="19" xfId="6" applyNumberFormat="1" applyFont="1" applyBorder="1" applyAlignment="1">
      <alignment horizontal="center"/>
    </xf>
    <xf numFmtId="165" fontId="20" fillId="0" borderId="9" xfId="11" applyNumberFormat="1" applyFont="1" applyFill="1" applyBorder="1" applyAlignment="1">
      <alignment horizontal="center" vertical="center"/>
    </xf>
    <xf numFmtId="165" fontId="20" fillId="0" borderId="9" xfId="3" applyNumberFormat="1" applyFont="1" applyFill="1" applyBorder="1" applyAlignment="1">
      <alignment horizontal="center" vertical="center"/>
    </xf>
    <xf numFmtId="9" fontId="20" fillId="8" borderId="9" xfId="3" applyFont="1" applyFill="1" applyBorder="1" applyAlignment="1">
      <alignment horizontal="center"/>
    </xf>
    <xf numFmtId="168" fontId="20" fillId="4" borderId="0" xfId="5" applyNumberFormat="1" applyFont="1" applyFill="1" applyAlignment="1">
      <alignment horizontal="center" vertical="center"/>
    </xf>
    <xf numFmtId="165" fontId="20" fillId="4" borderId="0" xfId="11" applyNumberFormat="1" applyFont="1" applyFill="1" applyBorder="1" applyAlignment="1">
      <alignment horizontal="center" vertical="center"/>
    </xf>
    <xf numFmtId="9" fontId="20" fillId="4" borderId="0" xfId="3" applyFont="1" applyFill="1" applyBorder="1" applyAlignment="1">
      <alignment horizontal="center" vertical="center"/>
    </xf>
    <xf numFmtId="165" fontId="20" fillId="4" borderId="0" xfId="3" applyNumberFormat="1" applyFont="1" applyFill="1" applyBorder="1" applyAlignment="1">
      <alignment horizontal="center" vertical="center"/>
    </xf>
    <xf numFmtId="9" fontId="20" fillId="4" borderId="0" xfId="3" applyFont="1" applyFill="1" applyBorder="1" applyAlignment="1">
      <alignment horizontal="center"/>
    </xf>
    <xf numFmtId="175" fontId="20" fillId="4" borderId="0" xfId="9" applyNumberFormat="1" applyFont="1" applyFill="1" applyBorder="1" applyAlignment="1">
      <alignment horizontal="center"/>
    </xf>
    <xf numFmtId="1" fontId="20" fillId="4" borderId="0" xfId="11" applyNumberFormat="1" applyFont="1" applyFill="1" applyBorder="1" applyAlignment="1">
      <alignment horizontal="center" vertical="center"/>
    </xf>
    <xf numFmtId="175" fontId="20" fillId="4" borderId="0" xfId="9" applyNumberFormat="1" applyFont="1" applyFill="1" applyBorder="1" applyAlignment="1">
      <alignment horizontal="center" vertical="center"/>
    </xf>
    <xf numFmtId="175" fontId="20" fillId="8" borderId="9" xfId="9" applyNumberFormat="1" applyFont="1" applyFill="1" applyBorder="1" applyAlignment="1">
      <alignment horizontal="center" vertical="center"/>
    </xf>
    <xf numFmtId="1" fontId="20" fillId="0" borderId="9" xfId="3" applyNumberFormat="1" applyFont="1" applyFill="1" applyBorder="1" applyAlignment="1">
      <alignment horizontal="center" vertical="center"/>
    </xf>
    <xf numFmtId="2" fontId="20" fillId="7" borderId="9" xfId="3" applyNumberFormat="1" applyFont="1" applyFill="1" applyBorder="1" applyAlignment="1">
      <alignment horizontal="center" vertical="center"/>
    </xf>
    <xf numFmtId="10" fontId="20" fillId="0" borderId="9" xfId="5" applyNumberFormat="1" applyFont="1" applyBorder="1" applyAlignment="1">
      <alignment horizontal="center" vertical="center"/>
    </xf>
    <xf numFmtId="2" fontId="20" fillId="8" borderId="9" xfId="3" applyNumberFormat="1" applyFont="1" applyFill="1" applyBorder="1" applyAlignment="1">
      <alignment horizontal="center" vertical="center"/>
    </xf>
    <xf numFmtId="0" fontId="40" fillId="4" borderId="0" xfId="5" applyFont="1" applyFill="1"/>
    <xf numFmtId="180" fontId="20" fillId="0" borderId="9" xfId="11" applyNumberFormat="1" applyFont="1" applyFill="1" applyBorder="1" applyAlignment="1">
      <alignment horizontal="center" vertical="center"/>
    </xf>
    <xf numFmtId="178" fontId="20" fillId="0" borderId="16" xfId="5" applyNumberFormat="1" applyFont="1" applyBorder="1" applyAlignment="1">
      <alignment horizontal="center"/>
    </xf>
    <xf numFmtId="180" fontId="20" fillId="0" borderId="16" xfId="5" applyNumberFormat="1" applyFont="1" applyBorder="1" applyAlignment="1">
      <alignment horizontal="center"/>
    </xf>
    <xf numFmtId="165" fontId="20" fillId="7" borderId="9" xfId="3" applyNumberFormat="1" applyFont="1" applyFill="1" applyBorder="1" applyAlignment="1">
      <alignment horizontal="center" vertical="center"/>
    </xf>
    <xf numFmtId="165" fontId="20" fillId="7" borderId="9" xfId="3" applyNumberFormat="1" applyFont="1" applyFill="1" applyBorder="1" applyAlignment="1">
      <alignment horizontal="center"/>
    </xf>
    <xf numFmtId="178" fontId="20" fillId="8" borderId="9" xfId="11" applyNumberFormat="1" applyFont="1" applyFill="1" applyBorder="1" applyAlignment="1">
      <alignment horizontal="center" vertical="center"/>
    </xf>
    <xf numFmtId="183" fontId="20" fillId="0" borderId="9" xfId="1" applyNumberFormat="1" applyFont="1" applyBorder="1" applyAlignment="1">
      <alignment horizontal="center"/>
    </xf>
    <xf numFmtId="0" fontId="20" fillId="0" borderId="32" xfId="0" applyFont="1" applyBorder="1" applyAlignment="1">
      <alignment wrapText="1"/>
    </xf>
    <xf numFmtId="181" fontId="20" fillId="0" borderId="0" xfId="6" applyNumberFormat="1" applyFont="1"/>
    <xf numFmtId="9" fontId="20" fillId="0" borderId="0" xfId="3" applyFont="1" applyFill="1"/>
    <xf numFmtId="4" fontId="20" fillId="0" borderId="0" xfId="6" applyNumberFormat="1" applyFont="1"/>
    <xf numFmtId="2" fontId="35" fillId="0" borderId="0" xfId="6" applyNumberFormat="1" applyFont="1"/>
    <xf numFmtId="0" fontId="20" fillId="4" borderId="9" xfId="13" applyFont="1" applyFill="1" applyBorder="1" applyAlignment="1">
      <alignment horizontal="left" wrapText="1"/>
    </xf>
    <xf numFmtId="165" fontId="20" fillId="4" borderId="23" xfId="13" applyNumberFormat="1" applyFont="1" applyFill="1" applyBorder="1" applyAlignment="1">
      <alignment vertical="center" wrapText="1"/>
    </xf>
    <xf numFmtId="0" fontId="25" fillId="4" borderId="40" xfId="8" applyFont="1" applyFill="1" applyBorder="1"/>
    <xf numFmtId="0" fontId="20" fillId="0" borderId="0" xfId="13" applyFont="1" applyAlignment="1">
      <alignment wrapText="1"/>
    </xf>
    <xf numFmtId="0" fontId="25" fillId="0" borderId="39" xfId="8" applyFont="1" applyBorder="1" applyAlignment="1">
      <alignment wrapText="1"/>
    </xf>
    <xf numFmtId="180" fontId="20" fillId="0" borderId="0" xfId="6" applyNumberFormat="1" applyFont="1"/>
    <xf numFmtId="39" fontId="25" fillId="4" borderId="9" xfId="1" applyNumberFormat="1" applyFont="1" applyFill="1" applyBorder="1" applyAlignment="1">
      <alignment horizontal="center"/>
    </xf>
    <xf numFmtId="165" fontId="20" fillId="0" borderId="0" xfId="6" applyNumberFormat="1" applyFont="1" applyAlignment="1">
      <alignment horizontal="center" vertical="center" wrapText="1"/>
    </xf>
    <xf numFmtId="9" fontId="20" fillId="0" borderId="0" xfId="3" applyFont="1" applyFill="1" applyBorder="1" applyAlignment="1">
      <alignment horizontal="center" vertical="center" wrapText="1"/>
    </xf>
    <xf numFmtId="9" fontId="20" fillId="0" borderId="0" xfId="3" applyFont="1" applyFill="1" applyBorder="1" applyAlignment="1">
      <alignment horizontal="left"/>
    </xf>
    <xf numFmtId="3" fontId="49" fillId="0" borderId="0" xfId="0" applyNumberFormat="1" applyFont="1" applyAlignment="1">
      <alignment horizontal="center" vertical="center" wrapText="1"/>
    </xf>
    <xf numFmtId="0" fontId="35" fillId="0" borderId="0" xfId="6" applyFont="1" applyAlignment="1">
      <alignment wrapText="1"/>
    </xf>
    <xf numFmtId="3" fontId="20" fillId="0" borderId="0" xfId="0" applyNumberFormat="1" applyFont="1" applyAlignment="1">
      <alignment horizontal="left" vertical="center"/>
    </xf>
    <xf numFmtId="0" fontId="25" fillId="0" borderId="41" xfId="8" applyFont="1" applyBorder="1"/>
    <xf numFmtId="2" fontId="20" fillId="0" borderId="9" xfId="8" applyNumberFormat="1" applyFont="1" applyBorder="1" applyAlignment="1">
      <alignment horizontal="center"/>
    </xf>
    <xf numFmtId="39" fontId="20" fillId="0" borderId="18" xfId="1" applyNumberFormat="1" applyFont="1" applyBorder="1" applyAlignment="1">
      <alignment horizontal="center"/>
    </xf>
    <xf numFmtId="39" fontId="20" fillId="0" borderId="0" xfId="1" applyNumberFormat="1" applyFont="1" applyBorder="1" applyAlignment="1">
      <alignment horizontal="center"/>
    </xf>
    <xf numFmtId="0" fontId="20" fillId="4" borderId="0" xfId="8" applyFont="1" applyFill="1" applyAlignment="1">
      <alignment horizontal="center"/>
    </xf>
    <xf numFmtId="182" fontId="20" fillId="4" borderId="0" xfId="1" applyNumberFormat="1" applyFont="1" applyFill="1" applyBorder="1" applyAlignment="1">
      <alignment horizontal="center"/>
    </xf>
    <xf numFmtId="2" fontId="20" fillId="0" borderId="0" xfId="8" applyNumberFormat="1" applyFont="1" applyAlignment="1">
      <alignment horizontal="center"/>
    </xf>
    <xf numFmtId="2" fontId="20" fillId="0" borderId="0" xfId="8" applyNumberFormat="1" applyFont="1"/>
    <xf numFmtId="2" fontId="20" fillId="0" borderId="0" xfId="2" applyNumberFormat="1" applyFont="1" applyBorder="1"/>
    <xf numFmtId="1" fontId="20" fillId="4" borderId="0" xfId="8" applyNumberFormat="1" applyFont="1" applyFill="1"/>
    <xf numFmtId="44" fontId="20" fillId="4" borderId="0" xfId="2" applyFont="1" applyFill="1" applyBorder="1" applyAlignment="1">
      <alignment wrapText="1"/>
    </xf>
    <xf numFmtId="39" fontId="20" fillId="0" borderId="0" xfId="1" applyNumberFormat="1" applyFont="1" applyAlignment="1">
      <alignment horizontal="center"/>
    </xf>
    <xf numFmtId="0" fontId="48" fillId="0" borderId="0" xfId="0" applyFont="1"/>
    <xf numFmtId="0" fontId="20" fillId="0" borderId="0" xfId="0" applyFont="1" applyAlignment="1">
      <alignment vertical="center"/>
    </xf>
    <xf numFmtId="0" fontId="35" fillId="0" borderId="9" xfId="0" applyFont="1" applyBorder="1" applyAlignment="1">
      <alignment horizontal="left" vertical="center" wrapText="1"/>
    </xf>
    <xf numFmtId="9" fontId="20" fillId="0" borderId="0" xfId="3" applyFont="1" applyFill="1" applyBorder="1" applyAlignment="1">
      <alignment horizontal="center"/>
    </xf>
    <xf numFmtId="9" fontId="20" fillId="0" borderId="0" xfId="3" applyFont="1" applyBorder="1" applyAlignment="1">
      <alignment horizontal="center"/>
    </xf>
    <xf numFmtId="165" fontId="35" fillId="0" borderId="0" xfId="0" applyNumberFormat="1" applyFont="1" applyAlignment="1">
      <alignment horizontal="center" vertical="center" wrapText="1"/>
    </xf>
    <xf numFmtId="0" fontId="35" fillId="0" borderId="0" xfId="0" applyFont="1" applyAlignment="1">
      <alignment horizontal="center" vertical="center" wrapText="1"/>
    </xf>
    <xf numFmtId="166" fontId="35" fillId="0" borderId="0" xfId="0" applyNumberFormat="1" applyFont="1" applyAlignment="1">
      <alignment horizontal="center" vertical="center" wrapText="1"/>
    </xf>
    <xf numFmtId="180" fontId="35" fillId="0" borderId="0" xfId="0" applyNumberFormat="1" applyFont="1" applyAlignment="1">
      <alignment horizontal="center" vertical="center" wrapText="1"/>
    </xf>
    <xf numFmtId="188" fontId="20" fillId="0" borderId="9" xfId="0" applyNumberFormat="1" applyFont="1" applyBorder="1" applyAlignment="1">
      <alignment horizontal="center" vertical="center" wrapText="1"/>
    </xf>
    <xf numFmtId="0" fontId="40" fillId="0" borderId="0" xfId="0" applyFont="1"/>
    <xf numFmtId="0" fontId="20" fillId="0" borderId="22" xfId="0" applyFont="1" applyBorder="1" applyAlignment="1">
      <alignment wrapText="1"/>
    </xf>
    <xf numFmtId="0" fontId="76" fillId="0" borderId="0" xfId="0" applyFont="1"/>
    <xf numFmtId="43" fontId="20" fillId="0" borderId="0" xfId="1" applyFont="1"/>
    <xf numFmtId="0" fontId="20" fillId="4" borderId="3" xfId="8" applyFont="1" applyFill="1" applyBorder="1" applyAlignment="1">
      <alignment horizontal="left" vertical="center" wrapText="1"/>
    </xf>
    <xf numFmtId="165" fontId="20" fillId="4" borderId="48" xfId="3" applyNumberFormat="1" applyFont="1" applyFill="1" applyBorder="1" applyAlignment="1">
      <alignment horizontal="center"/>
    </xf>
    <xf numFmtId="1" fontId="20" fillId="4" borderId="23" xfId="3" applyNumberFormat="1" applyFont="1" applyFill="1" applyBorder="1" applyAlignment="1">
      <alignment horizontal="center"/>
    </xf>
    <xf numFmtId="2" fontId="20" fillId="4" borderId="19" xfId="3" applyNumberFormat="1" applyFont="1" applyFill="1" applyBorder="1" applyAlignment="1">
      <alignment horizontal="center"/>
    </xf>
    <xf numFmtId="2" fontId="20" fillId="4" borderId="23" xfId="3" applyNumberFormat="1" applyFont="1" applyFill="1" applyBorder="1" applyAlignment="1">
      <alignment horizontal="center"/>
    </xf>
    <xf numFmtId="0" fontId="20" fillId="4" borderId="13" xfId="8" applyFont="1" applyFill="1" applyBorder="1" applyAlignment="1">
      <alignment horizontal="left" vertical="center" wrapText="1"/>
    </xf>
    <xf numFmtId="165" fontId="20" fillId="4" borderId="14" xfId="3" applyNumberFormat="1" applyFont="1" applyFill="1" applyBorder="1" applyAlignment="1">
      <alignment horizontal="center"/>
    </xf>
    <xf numFmtId="9" fontId="20" fillId="0" borderId="4" xfId="3" applyFont="1" applyBorder="1" applyAlignment="1">
      <alignment horizontal="center"/>
    </xf>
    <xf numFmtId="9" fontId="20" fillId="0" borderId="23" xfId="3" applyFont="1" applyBorder="1" applyAlignment="1">
      <alignment horizontal="center"/>
    </xf>
    <xf numFmtId="9" fontId="20" fillId="0" borderId="19" xfId="3" applyFont="1" applyBorder="1" applyAlignment="1">
      <alignment horizontal="center"/>
    </xf>
    <xf numFmtId="9" fontId="20" fillId="0" borderId="14" xfId="3" applyFont="1" applyBorder="1" applyAlignment="1">
      <alignment horizontal="center"/>
    </xf>
    <xf numFmtId="170" fontId="20" fillId="0" borderId="4" xfId="1" applyNumberFormat="1" applyFont="1" applyBorder="1" applyAlignment="1">
      <alignment horizontal="center"/>
    </xf>
    <xf numFmtId="170" fontId="20" fillId="0" borderId="23" xfId="1" applyNumberFormat="1" applyFont="1" applyBorder="1" applyAlignment="1">
      <alignment horizontal="center"/>
    </xf>
    <xf numFmtId="0" fontId="20" fillId="15" borderId="16" xfId="0" applyFont="1" applyFill="1" applyBorder="1"/>
    <xf numFmtId="170" fontId="20" fillId="0" borderId="19" xfId="1" applyNumberFormat="1" applyFont="1" applyBorder="1" applyAlignment="1">
      <alignment horizontal="center"/>
    </xf>
    <xf numFmtId="170" fontId="20" fillId="0" borderId="14" xfId="1" applyNumberFormat="1" applyFont="1" applyBorder="1" applyAlignment="1">
      <alignment horizontal="center"/>
    </xf>
    <xf numFmtId="171" fontId="20" fillId="0" borderId="4" xfId="3" applyNumberFormat="1" applyFont="1" applyBorder="1" applyAlignment="1">
      <alignment horizontal="center"/>
    </xf>
    <xf numFmtId="0" fontId="77" fillId="0" borderId="0" xfId="17" applyFont="1"/>
    <xf numFmtId="171" fontId="20" fillId="0" borderId="23" xfId="3" applyNumberFormat="1" applyFont="1" applyBorder="1" applyAlignment="1">
      <alignment horizontal="center"/>
    </xf>
    <xf numFmtId="44" fontId="77" fillId="0" borderId="0" xfId="17" applyNumberFormat="1" applyFont="1" applyFill="1"/>
    <xf numFmtId="171" fontId="20" fillId="0" borderId="19" xfId="3" applyNumberFormat="1" applyFont="1" applyBorder="1" applyAlignment="1">
      <alignment horizontal="center"/>
    </xf>
    <xf numFmtId="171" fontId="20" fillId="0" borderId="14" xfId="3" applyNumberFormat="1" applyFont="1" applyBorder="1" applyAlignment="1">
      <alignment horizontal="center"/>
    </xf>
    <xf numFmtId="193" fontId="20" fillId="0" borderId="9" xfId="0" applyNumberFormat="1" applyFont="1" applyBorder="1" applyAlignment="1">
      <alignment horizontal="center"/>
    </xf>
    <xf numFmtId="168" fontId="20" fillId="0" borderId="9" xfId="0" applyNumberFormat="1" applyFont="1" applyBorder="1" applyAlignment="1">
      <alignment horizontal="center"/>
    </xf>
    <xf numFmtId="7" fontId="20" fillId="0" borderId="0" xfId="0" applyNumberFormat="1" applyFont="1"/>
    <xf numFmtId="170" fontId="20" fillId="0" borderId="0" xfId="0" applyNumberFormat="1" applyFont="1"/>
    <xf numFmtId="168" fontId="48" fillId="0" borderId="0" xfId="0" applyNumberFormat="1" applyFont="1" applyAlignment="1">
      <alignment horizontal="left" vertical="top"/>
    </xf>
    <xf numFmtId="168" fontId="48" fillId="0" borderId="0" xfId="0" applyNumberFormat="1" applyFont="1" applyAlignment="1">
      <alignment horizontal="left"/>
    </xf>
    <xf numFmtId="37" fontId="20" fillId="0" borderId="0" xfId="1" quotePrefix="1" applyNumberFormat="1" applyFont="1" applyFill="1" applyBorder="1" applyAlignment="1">
      <alignment horizontal="center" vertical="center" wrapText="1"/>
    </xf>
    <xf numFmtId="195" fontId="20" fillId="0" borderId="0" xfId="0" applyNumberFormat="1" applyFont="1" applyAlignment="1">
      <alignment horizontal="center"/>
    </xf>
    <xf numFmtId="184" fontId="20" fillId="0" borderId="0" xfId="0" applyNumberFormat="1" applyFont="1" applyAlignment="1">
      <alignment horizontal="center"/>
    </xf>
    <xf numFmtId="196" fontId="20" fillId="0" borderId="0" xfId="0" applyNumberFormat="1" applyFont="1"/>
    <xf numFmtId="0" fontId="20" fillId="4" borderId="0" xfId="0" applyFont="1" applyFill="1" applyAlignment="1">
      <alignment horizontal="center"/>
    </xf>
    <xf numFmtId="9" fontId="20" fillId="0" borderId="0" xfId="3" applyFont="1" applyAlignment="1">
      <alignment horizontal="left"/>
    </xf>
    <xf numFmtId="0" fontId="20" fillId="4" borderId="0" xfId="0" applyFont="1" applyFill="1" applyAlignment="1">
      <alignment horizontal="left" vertical="top" wrapText="1"/>
    </xf>
    <xf numFmtId="0" fontId="20" fillId="0" borderId="16" xfId="0" applyFont="1" applyBorder="1"/>
    <xf numFmtId="2" fontId="20" fillId="0" borderId="0" xfId="0" applyNumberFormat="1" applyFont="1" applyAlignment="1">
      <alignment wrapText="1"/>
    </xf>
    <xf numFmtId="0" fontId="20" fillId="17" borderId="17" xfId="0" applyFont="1" applyFill="1" applyBorder="1"/>
    <xf numFmtId="0" fontId="20" fillId="17" borderId="18" xfId="0" applyFont="1" applyFill="1" applyBorder="1"/>
    <xf numFmtId="43" fontId="20" fillId="0" borderId="0" xfId="0" applyNumberFormat="1" applyFont="1"/>
    <xf numFmtId="193" fontId="20" fillId="0" borderId="0" xfId="0" applyNumberFormat="1" applyFont="1"/>
    <xf numFmtId="168" fontId="20" fillId="0" borderId="19" xfId="0" applyNumberFormat="1" applyFont="1" applyBorder="1" applyAlignment="1">
      <alignment horizontal="center"/>
    </xf>
    <xf numFmtId="170" fontId="20" fillId="4" borderId="19" xfId="1" applyNumberFormat="1" applyFont="1" applyFill="1" applyBorder="1" applyAlignment="1">
      <alignment horizontal="center"/>
    </xf>
    <xf numFmtId="2" fontId="20" fillId="0" borderId="0" xfId="3" applyNumberFormat="1" applyFont="1" applyFill="1"/>
    <xf numFmtId="182" fontId="20" fillId="4" borderId="4" xfId="1" applyNumberFormat="1" applyFont="1" applyFill="1" applyBorder="1" applyAlignment="1">
      <alignment horizontal="center"/>
    </xf>
    <xf numFmtId="168" fontId="20" fillId="0" borderId="23" xfId="0" applyNumberFormat="1" applyFont="1" applyBorder="1" applyAlignment="1">
      <alignment horizontal="center"/>
    </xf>
    <xf numFmtId="7" fontId="20" fillId="4" borderId="23" xfId="2" applyNumberFormat="1" applyFont="1" applyFill="1" applyBorder="1" applyAlignment="1">
      <alignment horizontal="center"/>
    </xf>
    <xf numFmtId="170" fontId="20" fillId="4" borderId="23" xfId="1" applyNumberFormat="1" applyFont="1" applyFill="1" applyBorder="1" applyAlignment="1">
      <alignment horizontal="center"/>
    </xf>
    <xf numFmtId="0" fontId="20" fillId="0" borderId="0" xfId="0" applyFont="1" applyAlignment="1">
      <alignment horizontal="left" vertical="top" wrapText="1"/>
    </xf>
    <xf numFmtId="2" fontId="20" fillId="0" borderId="15" xfId="0" applyNumberFormat="1" applyFont="1" applyBorder="1"/>
    <xf numFmtId="0" fontId="20" fillId="5" borderId="9" xfId="0" applyFont="1" applyFill="1" applyBorder="1" applyAlignment="1">
      <alignment horizontal="left" vertical="top" wrapText="1"/>
    </xf>
    <xf numFmtId="0" fontId="20" fillId="0" borderId="0" xfId="0" applyFont="1" applyAlignment="1">
      <alignment horizontal="left" vertical="top"/>
    </xf>
    <xf numFmtId="0" fontId="20" fillId="4" borderId="9" xfId="0" applyFont="1" applyFill="1" applyBorder="1" applyAlignment="1">
      <alignment horizontal="center" wrapText="1"/>
    </xf>
    <xf numFmtId="0" fontId="48" fillId="0" borderId="0" xfId="0" applyFont="1" applyAlignment="1">
      <alignment horizontal="left"/>
    </xf>
    <xf numFmtId="171" fontId="20" fillId="4" borderId="9" xfId="0" applyNumberFormat="1" applyFont="1" applyFill="1" applyBorder="1" applyAlignment="1">
      <alignment horizontal="center"/>
    </xf>
    <xf numFmtId="168" fontId="20" fillId="4" borderId="9" xfId="0" applyNumberFormat="1" applyFont="1" applyFill="1" applyBorder="1" applyAlignment="1">
      <alignment horizontal="center"/>
    </xf>
    <xf numFmtId="44" fontId="20" fillId="4" borderId="9" xfId="2" applyFont="1" applyFill="1" applyBorder="1" applyAlignment="1">
      <alignment horizontal="center" vertical="center" wrapText="1"/>
    </xf>
    <xf numFmtId="9" fontId="20" fillId="4" borderId="9" xfId="3" applyFont="1" applyFill="1" applyBorder="1" applyAlignment="1">
      <alignment horizontal="center" vertical="center"/>
    </xf>
    <xf numFmtId="0" fontId="20" fillId="4" borderId="35" xfId="0" applyFont="1" applyFill="1" applyBorder="1"/>
    <xf numFmtId="0" fontId="20" fillId="4" borderId="25" xfId="0" applyFont="1" applyFill="1" applyBorder="1"/>
    <xf numFmtId="0" fontId="20" fillId="0" borderId="0" xfId="0" applyFont="1" applyAlignment="1">
      <alignment horizontal="center" vertical="center"/>
    </xf>
    <xf numFmtId="184" fontId="20" fillId="0" borderId="0" xfId="0" applyNumberFormat="1" applyFont="1"/>
    <xf numFmtId="2" fontId="20" fillId="0" borderId="0" xfId="1" applyNumberFormat="1" applyFont="1"/>
    <xf numFmtId="2" fontId="20" fillId="0" borderId="24" xfId="0" applyNumberFormat="1" applyFont="1" applyBorder="1"/>
    <xf numFmtId="171" fontId="20" fillId="4" borderId="0" xfId="0" applyNumberFormat="1" applyFont="1" applyFill="1"/>
    <xf numFmtId="171" fontId="20" fillId="0" borderId="9" xfId="0" applyNumberFormat="1" applyFont="1" applyBorder="1"/>
    <xf numFmtId="9" fontId="20" fillId="4" borderId="0" xfId="3" applyFont="1" applyFill="1" applyBorder="1" applyAlignment="1">
      <alignment horizontal="left"/>
    </xf>
    <xf numFmtId="2" fontId="20" fillId="0" borderId="27" xfId="0" applyNumberFormat="1" applyFont="1" applyBorder="1"/>
    <xf numFmtId="2" fontId="20" fillId="0" borderId="9" xfId="13" applyNumberFormat="1" applyFont="1" applyBorder="1" applyAlignment="1">
      <alignment horizontal="center"/>
    </xf>
    <xf numFmtId="179" fontId="20" fillId="0" borderId="0" xfId="9" applyNumberFormat="1" applyFont="1" applyFill="1" applyBorder="1" applyAlignment="1">
      <alignment horizontal="center" vertical="center" wrapText="1"/>
    </xf>
    <xf numFmtId="0" fontId="49" fillId="0" borderId="0" xfId="0" applyFont="1" applyAlignment="1">
      <alignment horizontal="left" vertical="center"/>
    </xf>
    <xf numFmtId="165" fontId="20" fillId="0" borderId="9" xfId="6" applyNumberFormat="1" applyFont="1" applyBorder="1"/>
    <xf numFmtId="0" fontId="20" fillId="0" borderId="39" xfId="8" applyFont="1" applyBorder="1"/>
    <xf numFmtId="0" fontId="20" fillId="4" borderId="9" xfId="0" applyFont="1" applyFill="1" applyBorder="1" applyAlignment="1">
      <alignment horizontal="left"/>
    </xf>
    <xf numFmtId="0" fontId="25" fillId="0" borderId="64" xfId="8" applyFont="1" applyBorder="1" applyAlignment="1">
      <alignment horizontal="left"/>
    </xf>
    <xf numFmtId="0" fontId="25" fillId="0" borderId="65" xfId="8" applyFont="1" applyBorder="1" applyAlignment="1">
      <alignment horizontal="left"/>
    </xf>
    <xf numFmtId="0" fontId="25" fillId="0" borderId="65" xfId="8" applyFont="1" applyBorder="1"/>
    <xf numFmtId="0" fontId="25" fillId="0" borderId="67" xfId="8" applyFont="1" applyBorder="1" applyAlignment="1">
      <alignment horizontal="left"/>
    </xf>
    <xf numFmtId="0" fontId="25" fillId="0" borderId="68" xfId="8" applyFont="1" applyBorder="1" applyAlignment="1">
      <alignment horizontal="left"/>
    </xf>
    <xf numFmtId="0" fontId="25" fillId="0" borderId="68" xfId="8" applyFont="1" applyBorder="1"/>
    <xf numFmtId="0" fontId="25" fillId="0" borderId="70" xfId="8" applyFont="1" applyBorder="1" applyAlignment="1">
      <alignment horizontal="left"/>
    </xf>
    <xf numFmtId="180" fontId="20" fillId="0" borderId="9" xfId="8" applyNumberFormat="1" applyFont="1" applyBorder="1" applyAlignment="1">
      <alignment horizontal="center"/>
    </xf>
    <xf numFmtId="180" fontId="20" fillId="4" borderId="9" xfId="8" applyNumberFormat="1" applyFont="1" applyFill="1" applyBorder="1" applyAlignment="1">
      <alignment horizontal="center"/>
    </xf>
    <xf numFmtId="0" fontId="20" fillId="0" borderId="40" xfId="8" applyFont="1" applyBorder="1" applyAlignment="1">
      <alignment horizontal="left"/>
    </xf>
    <xf numFmtId="0" fontId="20" fillId="4" borderId="40" xfId="8" applyFont="1" applyFill="1" applyBorder="1"/>
    <xf numFmtId="0" fontId="20" fillId="0" borderId="22" xfId="8" applyFont="1" applyBorder="1" applyAlignment="1">
      <alignment horizontal="left"/>
    </xf>
    <xf numFmtId="0" fontId="20" fillId="0" borderId="19" xfId="8" applyFont="1" applyBorder="1" applyAlignment="1">
      <alignment horizontal="center"/>
    </xf>
    <xf numFmtId="165" fontId="20" fillId="0" borderId="19" xfId="8" applyNumberFormat="1" applyFont="1" applyBorder="1" applyAlignment="1">
      <alignment horizontal="center"/>
    </xf>
    <xf numFmtId="2" fontId="20" fillId="0" borderId="19" xfId="8" applyNumberFormat="1" applyFont="1" applyBorder="1" applyAlignment="1">
      <alignment horizontal="center"/>
    </xf>
    <xf numFmtId="0" fontId="20" fillId="0" borderId="42" xfId="8" applyFont="1" applyBorder="1"/>
    <xf numFmtId="0" fontId="20" fillId="0" borderId="27" xfId="8" applyFont="1" applyBorder="1" applyAlignment="1">
      <alignment horizontal="left"/>
    </xf>
    <xf numFmtId="39" fontId="20" fillId="0" borderId="27" xfId="1" applyNumberFormat="1" applyFont="1" applyBorder="1" applyAlignment="1">
      <alignment horizontal="center"/>
    </xf>
    <xf numFmtId="198" fontId="20" fillId="0" borderId="27" xfId="1" applyNumberFormat="1" applyFont="1" applyBorder="1" applyAlignment="1">
      <alignment horizontal="center"/>
    </xf>
    <xf numFmtId="2" fontId="20" fillId="0" borderId="27" xfId="8" applyNumberFormat="1" applyFont="1" applyBorder="1" applyAlignment="1">
      <alignment horizontal="center"/>
    </xf>
    <xf numFmtId="2" fontId="20" fillId="0" borderId="27" xfId="8" applyNumberFormat="1" applyFont="1" applyBorder="1"/>
    <xf numFmtId="165" fontId="20" fillId="0" borderId="27" xfId="8" applyNumberFormat="1" applyFont="1" applyBorder="1" applyAlignment="1">
      <alignment horizontal="center"/>
    </xf>
    <xf numFmtId="44" fontId="20" fillId="0" borderId="27" xfId="2" applyFont="1" applyBorder="1"/>
    <xf numFmtId="0" fontId="20" fillId="0" borderId="27" xfId="8" applyFont="1" applyBorder="1"/>
    <xf numFmtId="0" fontId="20" fillId="0" borderId="41" xfId="8" applyFont="1" applyBorder="1"/>
    <xf numFmtId="1" fontId="20" fillId="0" borderId="21" xfId="3" applyNumberFormat="1" applyFont="1" applyBorder="1" applyAlignment="1">
      <alignment horizontal="center"/>
    </xf>
    <xf numFmtId="1" fontId="20" fillId="0" borderId="19" xfId="3" applyNumberFormat="1" applyFont="1" applyBorder="1" applyAlignment="1">
      <alignment horizontal="center"/>
    </xf>
    <xf numFmtId="172" fontId="20" fillId="0" borderId="0" xfId="3" applyNumberFormat="1" applyFont="1" applyBorder="1"/>
    <xf numFmtId="9" fontId="20" fillId="0" borderId="0" xfId="3" applyFont="1" applyBorder="1"/>
    <xf numFmtId="0" fontId="20" fillId="4" borderId="9" xfId="8" applyFont="1" applyFill="1" applyBorder="1" applyAlignment="1">
      <alignment horizontal="left" wrapText="1"/>
    </xf>
    <xf numFmtId="169" fontId="20" fillId="4" borderId="9" xfId="8" applyNumberFormat="1" applyFont="1" applyFill="1" applyBorder="1" applyAlignment="1">
      <alignment horizontal="center"/>
    </xf>
    <xf numFmtId="0" fontId="20" fillId="4" borderId="0" xfId="8" applyFont="1" applyFill="1" applyAlignment="1">
      <alignment horizontal="left"/>
    </xf>
    <xf numFmtId="0" fontId="20" fillId="4" borderId="0" xfId="8" applyFont="1" applyFill="1" applyAlignment="1">
      <alignment horizontal="right"/>
    </xf>
    <xf numFmtId="165" fontId="20" fillId="0" borderId="19" xfId="13" applyNumberFormat="1" applyFont="1" applyBorder="1" applyAlignment="1">
      <alignment horizontal="center" vertical="center" wrapText="1"/>
    </xf>
    <xf numFmtId="0" fontId="20" fillId="0" borderId="9" xfId="8" applyFont="1" applyBorder="1" applyAlignment="1">
      <alignment horizontal="center" vertical="center" wrapText="1"/>
    </xf>
    <xf numFmtId="165" fontId="20" fillId="0" borderId="9" xfId="8" applyNumberFormat="1" applyFont="1" applyBorder="1" applyAlignment="1">
      <alignment horizontal="center" vertical="center" wrapText="1"/>
    </xf>
    <xf numFmtId="165" fontId="20" fillId="0" borderId="16" xfId="8" applyNumberFormat="1" applyFont="1" applyBorder="1" applyAlignment="1">
      <alignment horizontal="center" vertical="center" wrapText="1"/>
    </xf>
    <xf numFmtId="0" fontId="20" fillId="0" borderId="9" xfId="8" applyFont="1" applyBorder="1" applyAlignment="1">
      <alignment horizontal="left" vertical="center" wrapText="1"/>
    </xf>
    <xf numFmtId="1" fontId="20" fillId="0" borderId="9" xfId="13" applyNumberFormat="1" applyFont="1" applyBorder="1" applyAlignment="1">
      <alignment horizontal="center" vertical="center" wrapText="1"/>
    </xf>
    <xf numFmtId="0" fontId="20" fillId="4" borderId="0" xfId="8" applyFont="1" applyFill="1" applyAlignment="1">
      <alignment wrapText="1"/>
    </xf>
    <xf numFmtId="10" fontId="20" fillId="0" borderId="9" xfId="13" applyNumberFormat="1" applyFont="1" applyBorder="1" applyAlignment="1">
      <alignment horizontal="center" vertical="center" wrapText="1"/>
    </xf>
    <xf numFmtId="3" fontId="20" fillId="0" borderId="9" xfId="8" applyNumberFormat="1" applyFont="1" applyBorder="1" applyAlignment="1">
      <alignment horizontal="left" vertical="center" wrapText="1"/>
    </xf>
    <xf numFmtId="9" fontId="20" fillId="0" borderId="9" xfId="13" applyNumberFormat="1" applyFont="1" applyBorder="1" applyAlignment="1">
      <alignment horizontal="left" vertical="center" wrapText="1"/>
    </xf>
    <xf numFmtId="9" fontId="20" fillId="0" borderId="9" xfId="13" applyNumberFormat="1" applyFont="1" applyBorder="1" applyAlignment="1">
      <alignment horizontal="center" vertical="center" wrapText="1"/>
    </xf>
    <xf numFmtId="0" fontId="20" fillId="0" borderId="9" xfId="8" applyFont="1" applyBorder="1" applyAlignment="1">
      <alignment vertical="center" wrapText="1"/>
    </xf>
    <xf numFmtId="0" fontId="20" fillId="0" borderId="0" xfId="8" applyFont="1" applyAlignment="1">
      <alignment horizontal="left" wrapText="1"/>
    </xf>
    <xf numFmtId="0" fontId="20" fillId="0" borderId="0" xfId="8" applyFont="1" applyAlignment="1">
      <alignment wrapText="1"/>
    </xf>
    <xf numFmtId="2" fontId="20" fillId="0" borderId="9" xfId="8" applyNumberFormat="1" applyFont="1" applyBorder="1" applyAlignment="1">
      <alignment horizontal="center" wrapText="1"/>
    </xf>
    <xf numFmtId="2" fontId="20" fillId="0" borderId="9" xfId="1" applyNumberFormat="1" applyFont="1" applyBorder="1" applyAlignment="1">
      <alignment horizontal="center"/>
    </xf>
    <xf numFmtId="1" fontId="20" fillId="0" borderId="9" xfId="8" applyNumberFormat="1" applyFont="1" applyBorder="1" applyAlignment="1">
      <alignment horizontal="center"/>
    </xf>
    <xf numFmtId="44" fontId="20" fillId="0" borderId="9" xfId="2" applyFont="1" applyBorder="1" applyAlignment="1">
      <alignment horizontal="center"/>
    </xf>
    <xf numFmtId="39" fontId="25" fillId="0" borderId="0" xfId="1" applyNumberFormat="1" applyFont="1" applyAlignment="1">
      <alignment horizontal="left"/>
    </xf>
    <xf numFmtId="0" fontId="35" fillId="0" borderId="0" xfId="13" applyFont="1"/>
    <xf numFmtId="178" fontId="20" fillId="0" borderId="0" xfId="13" applyNumberFormat="1" applyFont="1" applyAlignment="1">
      <alignment horizontal="center"/>
    </xf>
    <xf numFmtId="169" fontId="20" fillId="0" borderId="9" xfId="8" applyNumberFormat="1" applyFont="1" applyBorder="1" applyAlignment="1">
      <alignment horizontal="center"/>
    </xf>
    <xf numFmtId="166" fontId="25" fillId="4" borderId="0" xfId="8" applyNumberFormat="1" applyFont="1" applyFill="1"/>
    <xf numFmtId="0" fontId="25" fillId="4" borderId="64" xfId="8" applyFont="1" applyFill="1" applyBorder="1" applyAlignment="1">
      <alignment horizontal="left"/>
    </xf>
    <xf numFmtId="0" fontId="25" fillId="4" borderId="65" xfId="8" applyFont="1" applyFill="1" applyBorder="1" applyAlignment="1">
      <alignment horizontal="left"/>
    </xf>
    <xf numFmtId="0" fontId="25" fillId="4" borderId="67" xfId="8" applyFont="1" applyFill="1" applyBorder="1" applyAlignment="1">
      <alignment horizontal="left"/>
    </xf>
    <xf numFmtId="0" fontId="25" fillId="4" borderId="68" xfId="8" applyFont="1" applyFill="1" applyBorder="1" applyAlignment="1">
      <alignment horizontal="left"/>
    </xf>
    <xf numFmtId="0" fontId="25" fillId="0" borderId="72" xfId="8" applyFont="1" applyBorder="1"/>
    <xf numFmtId="0" fontId="25" fillId="0" borderId="9" xfId="8" applyFont="1" applyBorder="1" applyAlignment="1">
      <alignment horizontal="left" vertical="center"/>
    </xf>
    <xf numFmtId="9" fontId="20" fillId="0" borderId="9" xfId="3" applyFont="1" applyBorder="1" applyAlignment="1">
      <alignment horizontal="center" wrapText="1"/>
    </xf>
    <xf numFmtId="0" fontId="25" fillId="0" borderId="64" xfId="8" applyFont="1" applyBorder="1"/>
    <xf numFmtId="43" fontId="20" fillId="0" borderId="0" xfId="1" applyFont="1" applyFill="1" applyBorder="1" applyAlignment="1">
      <alignment horizontal="center" vertical="center" wrapText="1"/>
    </xf>
    <xf numFmtId="1" fontId="25" fillId="4" borderId="0" xfId="8" applyNumberFormat="1" applyFont="1" applyFill="1"/>
    <xf numFmtId="0" fontId="25" fillId="4" borderId="66" xfId="8" applyFont="1" applyFill="1" applyBorder="1"/>
    <xf numFmtId="0" fontId="25" fillId="4" borderId="69" xfId="8" applyFont="1" applyFill="1" applyBorder="1"/>
    <xf numFmtId="170" fontId="20" fillId="0" borderId="9" xfId="2" applyNumberFormat="1" applyFont="1" applyFill="1" applyBorder="1" applyAlignment="1">
      <alignment horizontal="center" vertical="center" wrapText="1"/>
    </xf>
    <xf numFmtId="0" fontId="20" fillId="4" borderId="65" xfId="8" applyFont="1" applyFill="1" applyBorder="1" applyAlignment="1">
      <alignment horizontal="left"/>
    </xf>
    <xf numFmtId="0" fontId="20" fillId="4" borderId="65" xfId="8" applyFont="1" applyFill="1" applyBorder="1"/>
    <xf numFmtId="0" fontId="20" fillId="4" borderId="67" xfId="8" applyFont="1" applyFill="1" applyBorder="1" applyAlignment="1">
      <alignment horizontal="left"/>
    </xf>
    <xf numFmtId="0" fontId="20" fillId="4" borderId="68" xfId="8" applyFont="1" applyFill="1" applyBorder="1" applyAlignment="1">
      <alignment horizontal="left"/>
    </xf>
    <xf numFmtId="0" fontId="20" fillId="4" borderId="68" xfId="8" applyFont="1" applyFill="1" applyBorder="1"/>
    <xf numFmtId="0" fontId="20" fillId="0" borderId="67" xfId="8" applyFont="1" applyBorder="1" applyAlignment="1">
      <alignment horizontal="left"/>
    </xf>
    <xf numFmtId="0" fontId="20" fillId="0" borderId="68" xfId="8" applyFont="1" applyBorder="1" applyAlignment="1">
      <alignment horizontal="left"/>
    </xf>
    <xf numFmtId="0" fontId="20" fillId="0" borderId="68" xfId="8" applyFont="1" applyBorder="1"/>
    <xf numFmtId="0" fontId="20" fillId="0" borderId="72" xfId="8" applyFont="1" applyBorder="1"/>
    <xf numFmtId="7" fontId="20" fillId="4" borderId="9" xfId="2" applyNumberFormat="1" applyFont="1" applyFill="1" applyBorder="1" applyAlignment="1">
      <alignment horizontal="center" wrapText="1"/>
    </xf>
    <xf numFmtId="0" fontId="38" fillId="0" borderId="0" xfId="8" applyFont="1" applyAlignment="1">
      <alignment horizontal="left" vertical="center"/>
    </xf>
    <xf numFmtId="9" fontId="25" fillId="0" borderId="0" xfId="3" applyFont="1" applyBorder="1" applyAlignment="1">
      <alignment horizontal="center"/>
    </xf>
    <xf numFmtId="39" fontId="20" fillId="0" borderId="16" xfId="1" applyNumberFormat="1" applyFont="1" applyBorder="1" applyAlignment="1">
      <alignment horizontal="center" wrapText="1"/>
    </xf>
    <xf numFmtId="189" fontId="20" fillId="0" borderId="16" xfId="1" applyNumberFormat="1" applyFont="1" applyFill="1" applyBorder="1" applyAlignment="1">
      <alignment horizontal="center" wrapText="1"/>
    </xf>
    <xf numFmtId="0" fontId="20" fillId="0" borderId="9" xfId="8" applyFont="1" applyBorder="1" applyAlignment="1">
      <alignment horizontal="left" vertical="center"/>
    </xf>
    <xf numFmtId="166" fontId="20" fillId="0" borderId="0" xfId="8" applyNumberFormat="1" applyFont="1"/>
    <xf numFmtId="0" fontId="20" fillId="0" borderId="64" xfId="8" applyFont="1" applyBorder="1" applyAlignment="1">
      <alignment horizontal="left"/>
    </xf>
    <xf numFmtId="0" fontId="20" fillId="0" borderId="65" xfId="8" applyFont="1" applyBorder="1" applyAlignment="1">
      <alignment horizontal="left"/>
    </xf>
    <xf numFmtId="1" fontId="20" fillId="0" borderId="0" xfId="8" applyNumberFormat="1" applyFont="1"/>
    <xf numFmtId="0" fontId="20" fillId="0" borderId="66" xfId="8" applyFont="1" applyBorder="1"/>
    <xf numFmtId="0" fontId="20" fillId="0" borderId="69" xfId="8" applyFont="1" applyBorder="1"/>
    <xf numFmtId="37" fontId="20" fillId="0" borderId="16" xfId="1" applyNumberFormat="1" applyFont="1" applyBorder="1" applyAlignment="1">
      <alignment horizontal="center" wrapText="1"/>
    </xf>
    <xf numFmtId="189" fontId="20" fillId="0" borderId="16" xfId="1" applyNumberFormat="1" applyFont="1" applyBorder="1" applyAlignment="1">
      <alignment horizontal="center" wrapText="1"/>
    </xf>
    <xf numFmtId="189" fontId="20" fillId="0" borderId="0" xfId="1" applyNumberFormat="1" applyFont="1" applyBorder="1" applyAlignment="1">
      <alignment horizontal="center" wrapText="1"/>
    </xf>
    <xf numFmtId="183" fontId="20" fillId="4" borderId="9" xfId="1" applyNumberFormat="1" applyFont="1" applyFill="1" applyBorder="1" applyAlignment="1">
      <alignment horizontal="center"/>
    </xf>
    <xf numFmtId="183" fontId="20" fillId="0" borderId="0" xfId="1" applyNumberFormat="1" applyFont="1" applyBorder="1" applyAlignment="1">
      <alignment horizontal="center"/>
    </xf>
    <xf numFmtId="1" fontId="20" fillId="0" borderId="0" xfId="0" applyNumberFormat="1" applyFont="1" applyAlignment="1">
      <alignment horizontal="center" vertical="center" wrapText="1"/>
    </xf>
    <xf numFmtId="44" fontId="25" fillId="0" borderId="0" xfId="2" applyFont="1" applyBorder="1"/>
    <xf numFmtId="166" fontId="20" fillId="4" borderId="0" xfId="0" applyNumberFormat="1" applyFont="1" applyFill="1" applyAlignment="1">
      <alignment horizontal="center" vertical="center" wrapText="1"/>
    </xf>
    <xf numFmtId="171" fontId="25" fillId="0" borderId="9" xfId="2" applyNumberFormat="1" applyFont="1" applyFill="1" applyBorder="1" applyAlignment="1">
      <alignment horizontal="center"/>
    </xf>
    <xf numFmtId="0" fontId="25" fillId="0" borderId="0" xfId="8" applyFont="1" applyAlignment="1">
      <alignment vertical="center"/>
    </xf>
    <xf numFmtId="1" fontId="20" fillId="4" borderId="0" xfId="0" applyNumberFormat="1" applyFont="1" applyFill="1" applyAlignment="1">
      <alignment horizontal="center" vertical="center" wrapText="1"/>
    </xf>
    <xf numFmtId="0" fontId="20" fillId="0" borderId="27" xfId="0" applyFont="1" applyBorder="1" applyAlignment="1">
      <alignment horizontal="left" vertical="center"/>
    </xf>
    <xf numFmtId="2" fontId="25" fillId="4" borderId="9" xfId="8" applyNumberFormat="1" applyFont="1" applyFill="1" applyBorder="1" applyAlignment="1">
      <alignment horizontal="center"/>
    </xf>
    <xf numFmtId="2" fontId="25" fillId="4" borderId="9" xfId="1" applyNumberFormat="1" applyFont="1" applyFill="1" applyBorder="1" applyAlignment="1">
      <alignment horizontal="center"/>
    </xf>
    <xf numFmtId="0" fontId="25" fillId="0" borderId="9" xfId="8" applyFont="1" applyBorder="1" applyAlignment="1">
      <alignment horizontal="left" wrapText="1"/>
    </xf>
    <xf numFmtId="0" fontId="20" fillId="4" borderId="9" xfId="6" applyFont="1" applyFill="1" applyBorder="1" applyAlignment="1">
      <alignment horizontal="center"/>
    </xf>
    <xf numFmtId="0" fontId="20" fillId="4" borderId="14" xfId="0" applyFont="1" applyFill="1" applyBorder="1" applyAlignment="1">
      <alignment horizontal="center" vertical="center" wrapText="1"/>
    </xf>
    <xf numFmtId="182" fontId="20" fillId="4" borderId="14" xfId="1" applyNumberFormat="1" applyFont="1" applyFill="1" applyBorder="1" applyAlignment="1">
      <alignment horizontal="center"/>
    </xf>
    <xf numFmtId="193" fontId="20" fillId="0" borderId="14" xfId="0" applyNumberFormat="1" applyFont="1" applyBorder="1" applyAlignment="1">
      <alignment horizontal="center"/>
    </xf>
    <xf numFmtId="165" fontId="20" fillId="0" borderId="14" xfId="6" applyNumberFormat="1" applyFont="1" applyBorder="1" applyAlignment="1">
      <alignment horizontal="center"/>
    </xf>
    <xf numFmtId="0" fontId="20" fillId="4" borderId="14" xfId="6" applyFont="1" applyFill="1" applyBorder="1" applyAlignment="1">
      <alignment horizontal="center"/>
    </xf>
    <xf numFmtId="0" fontId="20" fillId="4" borderId="4" xfId="6" applyFont="1" applyFill="1" applyBorder="1" applyAlignment="1">
      <alignment horizontal="left"/>
    </xf>
    <xf numFmtId="0" fontId="20" fillId="4" borderId="4" xfId="0" applyFont="1" applyFill="1" applyBorder="1" applyAlignment="1">
      <alignment horizontal="center" vertical="center" wrapText="1"/>
    </xf>
    <xf numFmtId="193" fontId="20" fillId="0" borderId="4" xfId="0" applyNumberFormat="1" applyFont="1" applyBorder="1" applyAlignment="1">
      <alignment horizontal="center"/>
    </xf>
    <xf numFmtId="165" fontId="20" fillId="0" borderId="4" xfId="6" applyNumberFormat="1" applyFont="1" applyBorder="1" applyAlignment="1">
      <alignment horizontal="center"/>
    </xf>
    <xf numFmtId="171" fontId="20" fillId="4" borderId="4" xfId="13" applyNumberFormat="1" applyFont="1" applyFill="1" applyBorder="1" applyAlignment="1">
      <alignment horizontal="center" vertical="center"/>
    </xf>
    <xf numFmtId="0" fontId="20" fillId="4" borderId="4" xfId="6" applyFont="1" applyFill="1" applyBorder="1" applyAlignment="1">
      <alignment horizontal="center"/>
    </xf>
    <xf numFmtId="0" fontId="74" fillId="4" borderId="0" xfId="0" applyFont="1" applyFill="1" applyAlignment="1">
      <alignment vertical="center" wrapText="1"/>
    </xf>
    <xf numFmtId="0" fontId="20" fillId="0" borderId="0" xfId="0" applyFont="1" applyAlignment="1">
      <alignment vertical="center" wrapText="1"/>
    </xf>
    <xf numFmtId="0" fontId="20" fillId="0" borderId="9" xfId="13" applyFont="1" applyBorder="1" applyAlignment="1">
      <alignment horizontal="left"/>
    </xf>
    <xf numFmtId="0" fontId="66" fillId="0" borderId="0" xfId="0" applyFont="1"/>
    <xf numFmtId="0" fontId="66" fillId="0" borderId="0" xfId="0" applyFont="1" applyAlignment="1">
      <alignment horizontal="center"/>
    </xf>
    <xf numFmtId="39" fontId="25" fillId="4" borderId="0" xfId="1" applyNumberFormat="1" applyFont="1" applyFill="1" applyBorder="1" applyAlignment="1">
      <alignment horizontal="center"/>
    </xf>
    <xf numFmtId="2" fontId="25" fillId="4" borderId="0" xfId="8" applyNumberFormat="1" applyFont="1" applyFill="1" applyAlignment="1">
      <alignment horizontal="center"/>
    </xf>
    <xf numFmtId="2" fontId="25" fillId="4" borderId="0" xfId="8" applyNumberFormat="1" applyFont="1" applyFill="1"/>
    <xf numFmtId="1" fontId="25" fillId="0" borderId="0" xfId="8" applyNumberFormat="1" applyFont="1"/>
    <xf numFmtId="2" fontId="25" fillId="0" borderId="0" xfId="2" applyNumberFormat="1" applyFont="1" applyBorder="1"/>
    <xf numFmtId="39" fontId="20" fillId="4" borderId="0" xfId="1" applyNumberFormat="1" applyFont="1" applyFill="1" applyAlignment="1">
      <alignment horizontal="center"/>
    </xf>
    <xf numFmtId="9" fontId="20" fillId="4" borderId="19" xfId="3" applyFont="1" applyFill="1" applyBorder="1" applyAlignment="1">
      <alignment horizontal="center"/>
    </xf>
    <xf numFmtId="1" fontId="25" fillId="4" borderId="9" xfId="3" applyNumberFormat="1" applyFont="1" applyFill="1" applyBorder="1" applyAlignment="1">
      <alignment horizontal="center" vertical="center"/>
    </xf>
    <xf numFmtId="201" fontId="20" fillId="4" borderId="0" xfId="1" applyNumberFormat="1" applyFont="1" applyFill="1" applyBorder="1" applyAlignment="1">
      <alignment horizontal="center"/>
    </xf>
    <xf numFmtId="178" fontId="20" fillId="4" borderId="9" xfId="0" applyNumberFormat="1" applyFont="1" applyFill="1" applyBorder="1" applyAlignment="1">
      <alignment horizontal="left" vertical="center" wrapText="1"/>
    </xf>
    <xf numFmtId="4" fontId="20" fillId="0" borderId="9" xfId="0" applyNumberFormat="1" applyFont="1" applyBorder="1" applyAlignment="1">
      <alignment horizontal="center" vertical="center" wrapText="1"/>
    </xf>
    <xf numFmtId="0" fontId="80" fillId="0" borderId="0" xfId="0" applyFont="1"/>
    <xf numFmtId="0" fontId="66" fillId="0" borderId="0" xfId="0" applyFont="1" applyAlignment="1">
      <alignment wrapText="1"/>
    </xf>
    <xf numFmtId="0" fontId="66" fillId="0" borderId="0" xfId="0" applyFont="1" applyAlignment="1">
      <alignment horizontal="center" wrapText="1"/>
    </xf>
    <xf numFmtId="3" fontId="20" fillId="0" borderId="0" xfId="0" applyNumberFormat="1" applyFont="1" applyAlignment="1">
      <alignment horizontal="left" vertical="center" wrapText="1"/>
    </xf>
    <xf numFmtId="3" fontId="66" fillId="0" borderId="0" xfId="0" applyNumberFormat="1" applyFont="1" applyAlignment="1">
      <alignment horizontal="left" vertical="center" wrapText="1"/>
    </xf>
    <xf numFmtId="0" fontId="67" fillId="0" borderId="0" xfId="0" applyFont="1" applyAlignment="1">
      <alignment horizontal="center" vertical="center" wrapText="1"/>
    </xf>
    <xf numFmtId="165" fontId="67" fillId="0" borderId="0" xfId="0" applyNumberFormat="1" applyFont="1" applyAlignment="1">
      <alignment horizontal="center" vertical="center" wrapText="1"/>
    </xf>
    <xf numFmtId="166" fontId="67" fillId="0" borderId="0" xfId="0" applyNumberFormat="1" applyFont="1" applyAlignment="1">
      <alignment horizontal="center" vertical="center" wrapText="1"/>
    </xf>
    <xf numFmtId="180" fontId="67" fillId="0" borderId="0" xfId="0" applyNumberFormat="1" applyFont="1" applyAlignment="1">
      <alignment horizontal="center" vertical="center" wrapText="1"/>
    </xf>
    <xf numFmtId="3" fontId="20" fillId="0" borderId="0" xfId="0" applyNumberFormat="1" applyFont="1" applyAlignment="1">
      <alignment horizontal="center" vertical="center" wrapText="1"/>
    </xf>
    <xf numFmtId="9" fontId="20" fillId="0" borderId="0" xfId="3" applyFont="1" applyAlignment="1">
      <alignment horizontal="center"/>
    </xf>
    <xf numFmtId="178" fontId="20" fillId="0" borderId="9" xfId="0" applyNumberFormat="1" applyFont="1" applyBorder="1"/>
    <xf numFmtId="0" fontId="66" fillId="0" borderId="0" xfId="0" applyFont="1" applyAlignment="1">
      <alignment horizontal="left" vertical="center" wrapText="1"/>
    </xf>
    <xf numFmtId="9" fontId="66" fillId="0" borderId="0" xfId="0" applyNumberFormat="1" applyFont="1" applyAlignment="1">
      <alignment horizontal="center" vertical="center" wrapText="1"/>
    </xf>
    <xf numFmtId="2" fontId="20" fillId="4" borderId="9" xfId="1" applyNumberFormat="1" applyFont="1" applyFill="1" applyBorder="1" applyAlignment="1">
      <alignment horizontal="center"/>
    </xf>
    <xf numFmtId="0" fontId="20" fillId="0" borderId="30" xfId="8" applyFont="1" applyBorder="1" applyAlignment="1">
      <alignment wrapText="1"/>
    </xf>
    <xf numFmtId="9" fontId="20" fillId="0" borderId="9" xfId="3" applyFont="1" applyBorder="1" applyAlignment="1">
      <alignment wrapText="1"/>
    </xf>
    <xf numFmtId="43" fontId="20" fillId="0" borderId="9" xfId="1" applyFont="1" applyBorder="1" applyAlignment="1">
      <alignment wrapText="1"/>
    </xf>
    <xf numFmtId="168" fontId="20" fillId="0" borderId="0" xfId="5" applyNumberFormat="1" applyFont="1" applyAlignment="1">
      <alignment horizontal="left" vertical="center" wrapText="1"/>
    </xf>
    <xf numFmtId="0" fontId="20" fillId="0" borderId="0" xfId="0" applyFont="1" applyAlignment="1">
      <alignment horizontal="left" wrapText="1"/>
    </xf>
    <xf numFmtId="43" fontId="20" fillId="0" borderId="0" xfId="1" applyFont="1" applyBorder="1" applyAlignment="1">
      <alignment wrapText="1"/>
    </xf>
    <xf numFmtId="168" fontId="20" fillId="0" borderId="0" xfId="5" applyNumberFormat="1" applyFont="1" applyAlignment="1">
      <alignment horizontal="left" vertical="top" wrapText="1"/>
    </xf>
    <xf numFmtId="202" fontId="20" fillId="0" borderId="0" xfId="0" applyNumberFormat="1" applyFont="1" applyAlignment="1">
      <alignment horizontal="center" vertical="center" wrapText="1"/>
    </xf>
    <xf numFmtId="0" fontId="25" fillId="0" borderId="9" xfId="8" applyFont="1" applyBorder="1" applyAlignment="1">
      <alignment horizontal="center" vertical="center"/>
    </xf>
    <xf numFmtId="0" fontId="81" fillId="0" borderId="0" xfId="0" applyFont="1"/>
    <xf numFmtId="0" fontId="64" fillId="0" borderId="0" xfId="0" applyFont="1"/>
    <xf numFmtId="0" fontId="82" fillId="0" borderId="0" xfId="0" applyFont="1"/>
    <xf numFmtId="0" fontId="83" fillId="0" borderId="0" xfId="0" applyFont="1"/>
    <xf numFmtId="0" fontId="84" fillId="0" borderId="0" xfId="0" applyFont="1"/>
    <xf numFmtId="200" fontId="4" fillId="0" borderId="9" xfId="8" applyNumberFormat="1" applyFont="1" applyBorder="1" applyAlignment="1">
      <alignment horizontal="center"/>
    </xf>
    <xf numFmtId="39" fontId="4" fillId="0" borderId="9" xfId="0" applyNumberFormat="1" applyFont="1" applyBorder="1" applyAlignment="1">
      <alignment horizontal="center" vertical="center" wrapText="1"/>
    </xf>
    <xf numFmtId="165" fontId="48" fillId="0" borderId="9" xfId="8" applyNumberFormat="1" applyFont="1" applyBorder="1" applyAlignment="1">
      <alignment horizontal="left" vertical="center"/>
    </xf>
    <xf numFmtId="0" fontId="53" fillId="19" borderId="19" xfId="0" applyFont="1" applyFill="1" applyBorder="1" applyAlignment="1">
      <alignment horizontal="center" wrapText="1"/>
    </xf>
    <xf numFmtId="0" fontId="40" fillId="19" borderId="9" xfId="0" applyFont="1" applyFill="1" applyBorder="1" applyAlignment="1">
      <alignment horizontal="center" wrapText="1"/>
    </xf>
    <xf numFmtId="0" fontId="0" fillId="0" borderId="0" xfId="0" applyAlignment="1">
      <alignment vertical="center"/>
    </xf>
    <xf numFmtId="205" fontId="0" fillId="26" borderId="0" xfId="0" applyNumberFormat="1" applyFill="1"/>
    <xf numFmtId="43" fontId="4" fillId="0" borderId="0" xfId="0" applyNumberFormat="1" applyFont="1"/>
    <xf numFmtId="205" fontId="0" fillId="28" borderId="0" xfId="0" applyNumberFormat="1" applyFill="1"/>
    <xf numFmtId="43" fontId="0" fillId="0" borderId="0" xfId="1" applyFont="1"/>
    <xf numFmtId="207" fontId="0" fillId="0" borderId="0" xfId="0" applyNumberFormat="1"/>
    <xf numFmtId="205" fontId="0" fillId="25" borderId="0" xfId="0" applyNumberFormat="1" applyFill="1"/>
    <xf numFmtId="206" fontId="0" fillId="25" borderId="0" xfId="0" applyNumberFormat="1" applyFill="1"/>
    <xf numFmtId="0" fontId="4" fillId="25" borderId="0" xfId="0" applyFont="1" applyFill="1"/>
    <xf numFmtId="7" fontId="0" fillId="0" borderId="0" xfId="1" applyNumberFormat="1" applyFont="1"/>
    <xf numFmtId="44" fontId="12" fillId="0" borderId="0" xfId="5" applyNumberFormat="1"/>
    <xf numFmtId="0" fontId="0" fillId="28" borderId="0" xfId="0" applyFill="1"/>
    <xf numFmtId="0" fontId="6" fillId="28" borderId="0" xfId="0" applyFont="1" applyFill="1"/>
    <xf numFmtId="0" fontId="40" fillId="19" borderId="30" xfId="0" applyFont="1" applyFill="1" applyBorder="1" applyAlignment="1">
      <alignment horizontal="center" wrapText="1"/>
    </xf>
    <xf numFmtId="0" fontId="40" fillId="21" borderId="9" xfId="0" applyFont="1" applyFill="1" applyBorder="1" applyAlignment="1">
      <alignment horizontal="center" wrapText="1"/>
    </xf>
    <xf numFmtId="0" fontId="85" fillId="24" borderId="9" xfId="0" applyFont="1" applyFill="1" applyBorder="1" applyAlignment="1">
      <alignment horizontal="center" wrapText="1"/>
    </xf>
    <xf numFmtId="171" fontId="65" fillId="13" borderId="9" xfId="0" applyNumberFormat="1" applyFont="1" applyFill="1" applyBorder="1" applyAlignment="1">
      <alignment horizontal="center" wrapText="1"/>
    </xf>
    <xf numFmtId="171" fontId="65" fillId="13" borderId="9" xfId="2" applyNumberFormat="1" applyFont="1" applyFill="1" applyBorder="1" applyAlignment="1">
      <alignment horizontal="center" wrapText="1"/>
    </xf>
    <xf numFmtId="0" fontId="87" fillId="0" borderId="0" xfId="0" applyFont="1" applyAlignment="1">
      <alignment horizontal="center"/>
    </xf>
    <xf numFmtId="39" fontId="0" fillId="0" borderId="9" xfId="0" applyNumberFormat="1" applyBorder="1"/>
    <xf numFmtId="43" fontId="65" fillId="27" borderId="20" xfId="1" applyFont="1" applyFill="1" applyBorder="1" applyAlignment="1">
      <alignment horizontal="center" wrapText="1"/>
    </xf>
    <xf numFmtId="165" fontId="0" fillId="0" borderId="9" xfId="0" applyNumberFormat="1" applyBorder="1" applyAlignment="1">
      <alignment horizontal="center"/>
    </xf>
    <xf numFmtId="43" fontId="65" fillId="30" borderId="20" xfId="1" applyFont="1" applyFill="1" applyBorder="1" applyAlignment="1">
      <alignment horizontal="center" wrapText="1"/>
    </xf>
    <xf numFmtId="7" fontId="20" fillId="0" borderId="0" xfId="2" applyNumberFormat="1" applyFont="1" applyFill="1" applyBorder="1" applyAlignment="1">
      <alignment horizontal="center"/>
    </xf>
    <xf numFmtId="44" fontId="20" fillId="0" borderId="0" xfId="0" applyNumberFormat="1" applyFont="1"/>
    <xf numFmtId="0" fontId="20" fillId="11" borderId="24" xfId="0" applyFont="1" applyFill="1" applyBorder="1" applyAlignment="1">
      <alignment horizontal="left" vertical="center" wrapText="1"/>
    </xf>
    <xf numFmtId="0" fontId="20" fillId="11" borderId="30" xfId="0" applyFont="1" applyFill="1" applyBorder="1" applyAlignment="1">
      <alignment horizontal="left" vertical="center" wrapText="1"/>
    </xf>
    <xf numFmtId="0" fontId="20" fillId="11" borderId="22" xfId="0" applyFont="1" applyFill="1" applyBorder="1" applyAlignment="1">
      <alignment horizontal="center" vertical="center" wrapText="1"/>
    </xf>
    <xf numFmtId="0" fontId="20" fillId="11" borderId="0" xfId="0" applyFont="1" applyFill="1" applyAlignment="1">
      <alignment horizontal="center" vertical="center" wrapText="1"/>
    </xf>
    <xf numFmtId="0" fontId="20" fillId="11" borderId="24" xfId="0" applyFont="1" applyFill="1" applyBorder="1" applyAlignment="1">
      <alignment horizontal="center" vertical="center" wrapText="1"/>
    </xf>
    <xf numFmtId="0" fontId="20" fillId="11" borderId="30" xfId="0" applyFont="1" applyFill="1" applyBorder="1" applyAlignment="1">
      <alignment horizontal="center" vertical="center" wrapText="1"/>
    </xf>
    <xf numFmtId="2" fontId="20" fillId="0" borderId="0" xfId="0" applyNumberFormat="1" applyFont="1" applyAlignment="1">
      <alignment horizontal="left" wrapText="1"/>
    </xf>
    <xf numFmtId="44" fontId="20" fillId="0" borderId="0" xfId="2" applyFont="1" applyFill="1" applyBorder="1"/>
    <xf numFmtId="190" fontId="20" fillId="0" borderId="0" xfId="3" applyNumberFormat="1" applyFont="1" applyFill="1" applyBorder="1"/>
    <xf numFmtId="8" fontId="20" fillId="0" borderId="0" xfId="0" applyNumberFormat="1" applyFont="1" applyAlignment="1">
      <alignment horizontal="left"/>
    </xf>
    <xf numFmtId="5" fontId="4" fillId="4" borderId="9" xfId="2" applyNumberFormat="1" applyFont="1" applyFill="1" applyBorder="1" applyAlignment="1">
      <alignment horizontal="center"/>
    </xf>
    <xf numFmtId="6" fontId="20" fillId="4" borderId="0" xfId="0" applyNumberFormat="1" applyFont="1" applyFill="1"/>
    <xf numFmtId="0" fontId="20" fillId="4" borderId="75" xfId="8" quotePrefix="1" applyFont="1" applyFill="1" applyBorder="1" applyAlignment="1">
      <alignment wrapText="1"/>
    </xf>
    <xf numFmtId="2" fontId="0" fillId="4" borderId="16" xfId="1" applyNumberFormat="1" applyFont="1" applyFill="1" applyBorder="1" applyAlignment="1">
      <alignment horizontal="center"/>
    </xf>
    <xf numFmtId="7" fontId="0" fillId="4" borderId="17" xfId="0" applyNumberFormat="1" applyFill="1" applyBorder="1"/>
    <xf numFmtId="44" fontId="0" fillId="4" borderId="18" xfId="2" applyFont="1" applyFill="1" applyBorder="1"/>
    <xf numFmtId="0" fontId="20" fillId="16" borderId="19" xfId="0" applyFont="1" applyFill="1" applyBorder="1" applyAlignment="1">
      <alignment horizontal="left" vertical="top" wrapText="1"/>
    </xf>
    <xf numFmtId="0" fontId="20" fillId="4" borderId="20" xfId="0" applyFont="1" applyFill="1" applyBorder="1"/>
    <xf numFmtId="39" fontId="4" fillId="0" borderId="9" xfId="0" applyNumberFormat="1" applyFont="1" applyBorder="1"/>
    <xf numFmtId="0" fontId="20" fillId="4" borderId="9" xfId="0" applyFont="1" applyFill="1" applyBorder="1" applyAlignment="1">
      <alignment vertical="center"/>
    </xf>
    <xf numFmtId="0" fontId="0" fillId="21" borderId="0" xfId="0" applyFill="1" applyAlignment="1">
      <alignment horizontal="center" vertical="center"/>
    </xf>
    <xf numFmtId="0" fontId="0" fillId="21" borderId="0" xfId="0" applyFill="1" applyAlignment="1">
      <alignment horizontal="left" vertical="center" wrapText="1"/>
    </xf>
    <xf numFmtId="0" fontId="20" fillId="0" borderId="16" xfId="8" applyFont="1" applyBorder="1" applyAlignment="1">
      <alignment horizontal="center"/>
    </xf>
    <xf numFmtId="0" fontId="20" fillId="4" borderId="19" xfId="0" applyFont="1" applyFill="1" applyBorder="1" applyAlignment="1">
      <alignment horizontal="center" vertical="center" wrapText="1"/>
    </xf>
    <xf numFmtId="0" fontId="0" fillId="4" borderId="0" xfId="0" applyFill="1" applyAlignment="1">
      <alignment horizontal="center"/>
    </xf>
    <xf numFmtId="9" fontId="4" fillId="4" borderId="19" xfId="0" applyNumberFormat="1" applyFont="1" applyFill="1" applyBorder="1" applyAlignment="1">
      <alignment horizontal="left" vertical="top"/>
    </xf>
    <xf numFmtId="9" fontId="4" fillId="4" borderId="30" xfId="0" applyNumberFormat="1" applyFont="1" applyFill="1" applyBorder="1" applyAlignment="1">
      <alignment horizontal="left" vertical="top"/>
    </xf>
    <xf numFmtId="39" fontId="4" fillId="4" borderId="19" xfId="1" applyNumberFormat="1" applyFont="1" applyFill="1" applyBorder="1" applyAlignment="1">
      <alignment horizontal="center" vertical="top"/>
    </xf>
    <xf numFmtId="39" fontId="4" fillId="4" borderId="14" xfId="1" applyNumberFormat="1" applyFont="1" applyFill="1" applyBorder="1" applyAlignment="1">
      <alignment horizontal="center" vertical="top"/>
    </xf>
    <xf numFmtId="39" fontId="20" fillId="4" borderId="23" xfId="1" applyNumberFormat="1" applyFont="1" applyFill="1" applyBorder="1" applyAlignment="1">
      <alignment horizontal="center" vertical="top"/>
    </xf>
    <xf numFmtId="39" fontId="4" fillId="4" borderId="23" xfId="1" applyNumberFormat="1" applyFont="1" applyFill="1" applyBorder="1" applyAlignment="1">
      <alignment horizontal="center" vertical="top"/>
    </xf>
    <xf numFmtId="5" fontId="4" fillId="4" borderId="19" xfId="2" applyNumberFormat="1" applyFont="1" applyFill="1" applyBorder="1" applyAlignment="1">
      <alignment horizontal="center"/>
    </xf>
    <xf numFmtId="7" fontId="4" fillId="4" borderId="0" xfId="0" applyNumberFormat="1" applyFont="1" applyFill="1" applyAlignment="1">
      <alignment horizontal="center"/>
    </xf>
    <xf numFmtId="7" fontId="4" fillId="4" borderId="19" xfId="2" applyNumberFormat="1" applyFont="1" applyFill="1" applyBorder="1" applyAlignment="1">
      <alignment horizontal="center"/>
    </xf>
    <xf numFmtId="7" fontId="4" fillId="4" borderId="14" xfId="2" applyNumberFormat="1" applyFont="1" applyFill="1" applyBorder="1" applyAlignment="1">
      <alignment horizontal="center"/>
    </xf>
    <xf numFmtId="7" fontId="4" fillId="4" borderId="23" xfId="2" applyNumberFormat="1" applyFont="1" applyFill="1" applyBorder="1" applyAlignment="1">
      <alignment horizontal="center"/>
    </xf>
    <xf numFmtId="5" fontId="20" fillId="4" borderId="4" xfId="2" applyNumberFormat="1" applyFont="1" applyFill="1" applyBorder="1" applyAlignment="1">
      <alignment horizontal="center"/>
    </xf>
    <xf numFmtId="197" fontId="4" fillId="4" borderId="4" xfId="2" applyNumberFormat="1" applyFont="1" applyFill="1" applyBorder="1" applyAlignment="1">
      <alignment horizontal="center"/>
    </xf>
    <xf numFmtId="5" fontId="4" fillId="4" borderId="4" xfId="2" applyNumberFormat="1" applyFont="1" applyFill="1" applyBorder="1" applyAlignment="1">
      <alignment horizontal="center"/>
    </xf>
    <xf numFmtId="197" fontId="20" fillId="0" borderId="0" xfId="0" applyNumberFormat="1" applyFont="1"/>
    <xf numFmtId="197" fontId="4" fillId="4" borderId="0" xfId="0" applyNumberFormat="1" applyFont="1" applyFill="1"/>
    <xf numFmtId="2" fontId="20" fillId="4" borderId="22" xfId="1" applyNumberFormat="1" applyFont="1" applyFill="1" applyBorder="1"/>
    <xf numFmtId="2" fontId="20" fillId="4" borderId="16" xfId="1" applyNumberFormat="1" applyFont="1" applyFill="1" applyBorder="1" applyAlignment="1">
      <alignment horizontal="center"/>
    </xf>
    <xf numFmtId="14" fontId="10" fillId="0" borderId="9" xfId="0" applyNumberFormat="1" applyFont="1" applyBorder="1" applyAlignment="1">
      <alignment horizontal="center" vertical="center" wrapText="1"/>
    </xf>
    <xf numFmtId="0" fontId="20" fillId="32" borderId="9" xfId="0" applyFont="1" applyFill="1" applyBorder="1"/>
    <xf numFmtId="0" fontId="0" fillId="18" borderId="0" xfId="0" applyFill="1"/>
    <xf numFmtId="170" fontId="4" fillId="0" borderId="9" xfId="5" applyNumberFormat="1" applyFont="1" applyBorder="1" applyAlignment="1">
      <alignment horizontal="center"/>
    </xf>
    <xf numFmtId="205" fontId="4" fillId="26" borderId="9" xfId="0" applyNumberFormat="1" applyFont="1" applyFill="1" applyBorder="1"/>
    <xf numFmtId="171" fontId="4" fillId="17" borderId="9" xfId="2" applyNumberFormat="1" applyFont="1" applyFill="1" applyBorder="1" applyAlignment="1">
      <alignment horizontal="center"/>
    </xf>
    <xf numFmtId="171" fontId="4" fillId="4" borderId="9" xfId="5" applyNumberFormat="1" applyFont="1" applyFill="1" applyBorder="1" applyAlignment="1">
      <alignment horizontal="center"/>
    </xf>
    <xf numFmtId="0" fontId="5" fillId="12" borderId="0" xfId="0" applyFont="1" applyFill="1"/>
    <xf numFmtId="167" fontId="5" fillId="12" borderId="0" xfId="0" applyNumberFormat="1" applyFont="1" applyFill="1"/>
    <xf numFmtId="2" fontId="0" fillId="8" borderId="9" xfId="1" applyNumberFormat="1" applyFont="1" applyFill="1" applyBorder="1" applyAlignment="1">
      <alignment horizontal="center"/>
    </xf>
    <xf numFmtId="2" fontId="4" fillId="0" borderId="9" xfId="0" applyNumberFormat="1" applyFont="1" applyBorder="1"/>
    <xf numFmtId="170" fontId="20" fillId="4" borderId="9" xfId="5" applyNumberFormat="1" applyFont="1" applyFill="1" applyBorder="1" applyAlignment="1">
      <alignment horizontal="center"/>
    </xf>
    <xf numFmtId="171" fontId="1" fillId="4" borderId="9" xfId="5" applyNumberFormat="1" applyFont="1" applyFill="1" applyBorder="1" applyAlignment="1">
      <alignment horizontal="center" vertical="center" wrapText="1"/>
    </xf>
    <xf numFmtId="2" fontId="0" fillId="0" borderId="20" xfId="1" applyNumberFormat="1" applyFont="1" applyBorder="1" applyAlignment="1">
      <alignment horizontal="center"/>
    </xf>
    <xf numFmtId="44" fontId="0" fillId="0" borderId="21" xfId="2" applyFont="1" applyFill="1" applyBorder="1"/>
    <xf numFmtId="0" fontId="20" fillId="4" borderId="23" xfId="8" applyFont="1" applyFill="1" applyBorder="1" applyAlignment="1">
      <alignment horizontal="left"/>
    </xf>
    <xf numFmtId="44" fontId="0" fillId="0" borderId="24" xfId="2" applyFont="1" applyFill="1" applyBorder="1"/>
    <xf numFmtId="44" fontId="0" fillId="0" borderId="26" xfId="2" applyFont="1" applyFill="1" applyBorder="1"/>
    <xf numFmtId="165" fontId="4" fillId="0" borderId="9" xfId="0" applyNumberFormat="1" applyFont="1" applyBorder="1" applyAlignment="1">
      <alignment horizontal="center"/>
    </xf>
    <xf numFmtId="2" fontId="0" fillId="8" borderId="9" xfId="1" applyNumberFormat="1" applyFont="1" applyFill="1" applyBorder="1"/>
    <xf numFmtId="2" fontId="0" fillId="0" borderId="16" xfId="1" applyNumberFormat="1" applyFont="1" applyBorder="1" applyAlignment="1">
      <alignment horizontal="center"/>
    </xf>
    <xf numFmtId="44" fontId="0" fillId="0" borderId="17" xfId="2" applyFont="1" applyFill="1" applyBorder="1"/>
    <xf numFmtId="44" fontId="0" fillId="0" borderId="18" xfId="2" applyFont="1" applyFill="1" applyBorder="1"/>
    <xf numFmtId="171" fontId="0" fillId="4" borderId="9" xfId="5" applyNumberFormat="1" applyFont="1" applyFill="1" applyBorder="1" applyAlignment="1">
      <alignment horizontal="center"/>
    </xf>
    <xf numFmtId="0" fontId="4" fillId="0" borderId="9" xfId="0" applyFont="1" applyBorder="1"/>
    <xf numFmtId="0" fontId="4" fillId="4" borderId="9" xfId="0" applyFont="1" applyFill="1" applyBorder="1"/>
    <xf numFmtId="43" fontId="4" fillId="0" borderId="9" xfId="1" applyFont="1" applyBorder="1"/>
    <xf numFmtId="0" fontId="20" fillId="0" borderId="9" xfId="0" applyFont="1" applyBorder="1"/>
    <xf numFmtId="168" fontId="20" fillId="4" borderId="9" xfId="5" applyNumberFormat="1" applyFont="1" applyFill="1" applyBorder="1" applyAlignment="1">
      <alignment horizontal="center" vertical="center"/>
    </xf>
    <xf numFmtId="2" fontId="20" fillId="7" borderId="9" xfId="11" applyNumberFormat="1" applyFont="1" applyFill="1" applyBorder="1" applyAlignment="1">
      <alignment horizontal="center" vertical="center"/>
    </xf>
    <xf numFmtId="205" fontId="0" fillId="0" borderId="0" xfId="0" applyNumberFormat="1"/>
    <xf numFmtId="206" fontId="0" fillId="0" borderId="0" xfId="0" applyNumberFormat="1"/>
    <xf numFmtId="43" fontId="86" fillId="0" borderId="9" xfId="1" applyFont="1" applyBorder="1"/>
    <xf numFmtId="205" fontId="86" fillId="0" borderId="9" xfId="0" applyNumberFormat="1" applyFont="1" applyBorder="1"/>
    <xf numFmtId="0" fontId="4" fillId="0" borderId="9" xfId="0" applyFont="1" applyBorder="1" applyAlignment="1">
      <alignment horizontal="center"/>
    </xf>
    <xf numFmtId="205" fontId="4" fillId="0" borderId="9" xfId="0" applyNumberFormat="1" applyFont="1" applyBorder="1"/>
    <xf numFmtId="2" fontId="89" fillId="7" borderId="9" xfId="11" applyNumberFormat="1" applyFont="1" applyFill="1" applyBorder="1" applyAlignment="1">
      <alignment horizontal="center" vertical="center"/>
    </xf>
    <xf numFmtId="2" fontId="0" fillId="0" borderId="30" xfId="1" applyNumberFormat="1" applyFont="1" applyBorder="1" applyAlignment="1">
      <alignment horizontal="center"/>
    </xf>
    <xf numFmtId="2" fontId="0" fillId="0" borderId="23" xfId="1" applyNumberFormat="1" applyFont="1" applyBorder="1" applyAlignment="1">
      <alignment horizontal="center"/>
    </xf>
    <xf numFmtId="44" fontId="4" fillId="0" borderId="9" xfId="2" applyFont="1" applyBorder="1"/>
    <xf numFmtId="0" fontId="20" fillId="11" borderId="16" xfId="5" applyFont="1" applyFill="1" applyBorder="1" applyAlignment="1">
      <alignment horizontal="center" vertical="center" wrapText="1"/>
    </xf>
    <xf numFmtId="0" fontId="20" fillId="11" borderId="18" xfId="5" applyFont="1" applyFill="1" applyBorder="1" applyAlignment="1">
      <alignment horizontal="center" vertical="center" wrapText="1"/>
    </xf>
    <xf numFmtId="44" fontId="0" fillId="0" borderId="9" xfId="2" applyFont="1" applyFill="1" applyBorder="1"/>
    <xf numFmtId="189" fontId="20" fillId="7" borderId="9" xfId="5" applyNumberFormat="1" applyFont="1" applyFill="1" applyBorder="1" applyAlignment="1">
      <alignment horizontal="center"/>
    </xf>
    <xf numFmtId="171" fontId="20" fillId="4" borderId="9" xfId="5" quotePrefix="1" applyNumberFormat="1" applyFont="1" applyFill="1" applyBorder="1" applyAlignment="1">
      <alignment horizontal="center"/>
    </xf>
    <xf numFmtId="0" fontId="20" fillId="0" borderId="9" xfId="6" applyFont="1" applyBorder="1" applyAlignment="1">
      <alignment horizontal="center" vertical="center" wrapText="1"/>
    </xf>
    <xf numFmtId="0" fontId="20" fillId="0" borderId="9" xfId="5" applyFont="1" applyBorder="1" applyAlignment="1">
      <alignment horizontal="left" vertical="center" wrapText="1"/>
    </xf>
    <xf numFmtId="169" fontId="20" fillId="0" borderId="16" xfId="5" applyNumberFormat="1" applyFont="1" applyBorder="1" applyAlignment="1">
      <alignment horizontal="center"/>
    </xf>
    <xf numFmtId="37" fontId="20" fillId="0" borderId="9" xfId="5" applyNumberFormat="1" applyFont="1" applyBorder="1" applyAlignment="1">
      <alignment horizontal="center"/>
    </xf>
    <xf numFmtId="0" fontId="20" fillId="0" borderId="9" xfId="5" applyFont="1" applyBorder="1"/>
    <xf numFmtId="171" fontId="0" fillId="0" borderId="9" xfId="0" applyNumberFormat="1" applyBorder="1"/>
    <xf numFmtId="168" fontId="20" fillId="4" borderId="9" xfId="0" applyNumberFormat="1" applyFont="1" applyFill="1" applyBorder="1" applyAlignment="1">
      <alignment horizontal="left" vertical="center" wrapText="1"/>
    </xf>
    <xf numFmtId="3" fontId="20" fillId="0" borderId="16" xfId="0" applyNumberFormat="1" applyFont="1" applyBorder="1" applyAlignment="1">
      <alignment horizontal="center" vertical="center" wrapText="1"/>
    </xf>
    <xf numFmtId="0" fontId="4" fillId="0" borderId="0" xfId="0" applyFont="1" applyAlignment="1">
      <alignment horizontal="center"/>
    </xf>
    <xf numFmtId="10" fontId="28" fillId="0" borderId="4" xfId="7" applyNumberFormat="1" applyFont="1" applyBorder="1" applyAlignment="1">
      <alignment horizontal="center" vertical="center" wrapText="1"/>
    </xf>
    <xf numFmtId="9" fontId="28" fillId="0" borderId="23" xfId="7" applyFont="1" applyBorder="1" applyAlignment="1">
      <alignment horizontal="center" vertical="center" wrapText="1"/>
    </xf>
    <xf numFmtId="0" fontId="25" fillId="4" borderId="23" xfId="8" applyFont="1" applyFill="1" applyBorder="1" applyAlignment="1">
      <alignment horizontal="left"/>
    </xf>
    <xf numFmtId="168" fontId="20" fillId="4" borderId="26" xfId="5" applyNumberFormat="1" applyFont="1" applyFill="1" applyBorder="1" applyAlignment="1">
      <alignment horizontal="center" vertical="center" wrapText="1"/>
    </xf>
    <xf numFmtId="9" fontId="28" fillId="4" borderId="23" xfId="7" applyFont="1" applyFill="1" applyBorder="1" applyAlignment="1">
      <alignment horizontal="center" vertical="center" wrapText="1"/>
    </xf>
    <xf numFmtId="9" fontId="28" fillId="0" borderId="4" xfId="7" applyFont="1" applyBorder="1" applyAlignment="1">
      <alignment horizontal="center" vertical="center" wrapText="1"/>
    </xf>
    <xf numFmtId="168" fontId="20" fillId="0" borderId="60" xfId="5" applyNumberFormat="1" applyFont="1" applyBorder="1" applyAlignment="1">
      <alignment horizontal="center" vertical="center"/>
    </xf>
    <xf numFmtId="39" fontId="20" fillId="0" borderId="33" xfId="5" applyNumberFormat="1" applyFont="1" applyBorder="1" applyAlignment="1">
      <alignment horizontal="center"/>
    </xf>
    <xf numFmtId="0" fontId="25" fillId="4" borderId="33" xfId="8" applyFont="1" applyFill="1" applyBorder="1" applyAlignment="1">
      <alignment horizontal="left"/>
    </xf>
    <xf numFmtId="165" fontId="20" fillId="4" borderId="33" xfId="0" applyNumberFormat="1" applyFont="1" applyFill="1" applyBorder="1" applyAlignment="1">
      <alignment horizontal="center" vertical="center" wrapText="1"/>
    </xf>
    <xf numFmtId="10" fontId="23" fillId="0" borderId="23" xfId="7" applyNumberFormat="1" applyFont="1" applyBorder="1" applyAlignment="1">
      <alignment horizontal="center" vertical="center" wrapText="1"/>
    </xf>
    <xf numFmtId="185" fontId="25" fillId="4" borderId="23" xfId="2" applyNumberFormat="1" applyFont="1" applyFill="1" applyBorder="1"/>
    <xf numFmtId="10" fontId="28" fillId="0" borderId="33" xfId="7" applyNumberFormat="1" applyFont="1" applyBorder="1" applyAlignment="1">
      <alignment horizontal="center" vertical="center" wrapText="1"/>
    </xf>
    <xf numFmtId="168" fontId="1" fillId="0" borderId="60" xfId="5" applyNumberFormat="1" applyFont="1" applyBorder="1" applyAlignment="1">
      <alignment horizontal="center" vertical="center"/>
    </xf>
    <xf numFmtId="39" fontId="1" fillId="0" borderId="33" xfId="5" applyNumberFormat="1" applyFont="1" applyBorder="1" applyAlignment="1">
      <alignment horizontal="center"/>
    </xf>
    <xf numFmtId="9" fontId="28" fillId="0" borderId="14" xfId="7" applyFont="1" applyBorder="1" applyAlignment="1">
      <alignment horizontal="center" vertical="center" wrapText="1"/>
    </xf>
    <xf numFmtId="2" fontId="34" fillId="0" borderId="9" xfId="12" applyNumberFormat="1" applyFont="1" applyBorder="1" applyAlignment="1">
      <alignment horizontal="center"/>
    </xf>
    <xf numFmtId="165" fontId="1" fillId="4" borderId="9" xfId="13" applyNumberFormat="1" applyFill="1" applyBorder="1" applyAlignment="1">
      <alignment horizontal="left" vertical="center" wrapText="1"/>
    </xf>
    <xf numFmtId="0" fontId="1" fillId="4" borderId="9" xfId="13" applyFill="1" applyBorder="1" applyAlignment="1">
      <alignment horizontal="center"/>
    </xf>
    <xf numFmtId="0" fontId="4" fillId="0" borderId="9" xfId="13" applyFont="1" applyBorder="1" applyAlignment="1">
      <alignment horizontal="center"/>
    </xf>
    <xf numFmtId="0" fontId="1" fillId="0" borderId="9" xfId="13" applyBorder="1" applyAlignment="1">
      <alignment horizontal="center"/>
    </xf>
    <xf numFmtId="9" fontId="1" fillId="4" borderId="9" xfId="13" applyNumberFormat="1" applyFill="1" applyBorder="1" applyAlignment="1">
      <alignment horizontal="center"/>
    </xf>
    <xf numFmtId="9" fontId="1" fillId="0" borderId="9" xfId="13" applyNumberFormat="1" applyBorder="1" applyAlignment="1">
      <alignment horizontal="center"/>
    </xf>
    <xf numFmtId="2" fontId="1" fillId="4" borderId="9" xfId="13" applyNumberFormat="1" applyFill="1" applyBorder="1" applyAlignment="1">
      <alignment horizontal="center"/>
    </xf>
    <xf numFmtId="2" fontId="1" fillId="0" borderId="9" xfId="13" applyNumberFormat="1" applyBorder="1" applyAlignment="1">
      <alignment horizontal="center"/>
    </xf>
    <xf numFmtId="0" fontId="4" fillId="4" borderId="9" xfId="13" applyFont="1" applyFill="1" applyBorder="1" applyAlignment="1">
      <alignment horizontal="center"/>
    </xf>
    <xf numFmtId="0" fontId="20" fillId="0" borderId="18" xfId="0" applyFont="1" applyBorder="1" applyAlignment="1">
      <alignment wrapText="1"/>
    </xf>
    <xf numFmtId="9" fontId="26" fillId="0" borderId="16" xfId="3" applyFont="1" applyFill="1" applyBorder="1" applyAlignment="1">
      <alignment horizontal="center"/>
    </xf>
    <xf numFmtId="9" fontId="4" fillId="0" borderId="16" xfId="3" applyFont="1" applyFill="1" applyBorder="1" applyAlignment="1">
      <alignment horizontal="center"/>
    </xf>
    <xf numFmtId="9" fontId="4" fillId="0" borderId="16" xfId="0" applyNumberFormat="1" applyFont="1" applyBorder="1" applyAlignment="1">
      <alignment horizontal="center" vertical="center"/>
    </xf>
    <xf numFmtId="190" fontId="20" fillId="4" borderId="9" xfId="0" applyNumberFormat="1" applyFont="1" applyFill="1" applyBorder="1" applyAlignment="1">
      <alignment horizontal="left" vertical="center" wrapText="1"/>
    </xf>
    <xf numFmtId="10" fontId="20" fillId="4" borderId="9" xfId="0" applyNumberFormat="1" applyFont="1" applyFill="1" applyBorder="1" applyAlignment="1">
      <alignment horizontal="left" vertical="center" wrapText="1"/>
    </xf>
    <xf numFmtId="9" fontId="4" fillId="4" borderId="9" xfId="3" applyFont="1" applyFill="1" applyBorder="1" applyAlignment="1">
      <alignment horizontal="center" vertical="center" wrapText="1"/>
    </xf>
    <xf numFmtId="181" fontId="20" fillId="4" borderId="9" xfId="0" applyNumberFormat="1" applyFont="1" applyFill="1" applyBorder="1" applyAlignment="1">
      <alignment horizontal="center" vertical="center"/>
    </xf>
    <xf numFmtId="181" fontId="4" fillId="0" borderId="9" xfId="0" applyNumberFormat="1" applyFont="1" applyBorder="1" applyAlignment="1">
      <alignment horizontal="center" vertical="center" wrapText="1"/>
    </xf>
    <xf numFmtId="180" fontId="20" fillId="0" borderId="9" xfId="0" applyNumberFormat="1" applyFont="1" applyBorder="1" applyAlignment="1">
      <alignment horizontal="left" wrapText="1"/>
    </xf>
    <xf numFmtId="172" fontId="20" fillId="0" borderId="9" xfId="3" applyNumberFormat="1" applyFont="1" applyBorder="1" applyAlignment="1">
      <alignment horizontal="left" wrapText="1"/>
    </xf>
    <xf numFmtId="0" fontId="4" fillId="0" borderId="9" xfId="0" applyFont="1" applyBorder="1" applyAlignment="1">
      <alignment horizontal="center" wrapText="1"/>
    </xf>
    <xf numFmtId="180" fontId="4" fillId="0" borderId="9" xfId="0" applyNumberFormat="1" applyFont="1" applyBorder="1" applyAlignment="1">
      <alignment horizontal="center" wrapText="1"/>
    </xf>
    <xf numFmtId="9" fontId="4" fillId="0" borderId="9" xfId="3" applyFont="1" applyBorder="1" applyAlignment="1">
      <alignment horizontal="center" wrapText="1"/>
    </xf>
    <xf numFmtId="9" fontId="4" fillId="0" borderId="9" xfId="3" applyFont="1" applyBorder="1" applyAlignment="1">
      <alignment horizontal="center" vertical="center" wrapText="1"/>
    </xf>
    <xf numFmtId="0" fontId="89" fillId="0" borderId="0" xfId="0" applyFont="1"/>
    <xf numFmtId="2" fontId="4" fillId="0" borderId="9" xfId="0" applyNumberFormat="1" applyFont="1" applyBorder="1" applyAlignment="1">
      <alignment wrapText="1"/>
    </xf>
    <xf numFmtId="0" fontId="16" fillId="0" borderId="0" xfId="5" applyFont="1"/>
    <xf numFmtId="0" fontId="6" fillId="0" borderId="0" xfId="0" applyFont="1"/>
    <xf numFmtId="0" fontId="6" fillId="4" borderId="0" xfId="0" applyFont="1" applyFill="1" applyAlignment="1">
      <alignment wrapText="1"/>
    </xf>
    <xf numFmtId="6" fontId="6" fillId="4" borderId="0" xfId="0" applyNumberFormat="1" applyFont="1" applyFill="1" applyAlignment="1">
      <alignment wrapText="1"/>
    </xf>
    <xf numFmtId="9" fontId="4" fillId="0" borderId="30" xfId="3" applyFont="1" applyBorder="1" applyAlignment="1">
      <alignment horizontal="center"/>
    </xf>
    <xf numFmtId="0" fontId="24" fillId="0" borderId="23" xfId="8" applyBorder="1"/>
    <xf numFmtId="171" fontId="26" fillId="0" borderId="9" xfId="2" applyNumberFormat="1" applyFont="1" applyFill="1" applyBorder="1" applyAlignment="1">
      <alignment horizontal="center"/>
    </xf>
    <xf numFmtId="171" fontId="4" fillId="0" borderId="9" xfId="4" applyNumberFormat="1" applyFont="1" applyFill="1" applyBorder="1" applyAlignment="1" applyProtection="1">
      <alignment horizontal="center"/>
      <protection locked="0"/>
    </xf>
    <xf numFmtId="2" fontId="4" fillId="4" borderId="14" xfId="0" applyNumberFormat="1" applyFont="1" applyFill="1" applyBorder="1" applyAlignment="1">
      <alignment horizontal="center"/>
    </xf>
    <xf numFmtId="171" fontId="4" fillId="0" borderId="9" xfId="2" applyNumberFormat="1" applyFont="1" applyBorder="1" applyAlignment="1">
      <alignment horizontal="center"/>
    </xf>
    <xf numFmtId="2" fontId="20" fillId="0" borderId="9" xfId="1" applyNumberFormat="1" applyFont="1" applyBorder="1" applyAlignment="1">
      <alignment horizontal="center" wrapText="1"/>
    </xf>
    <xf numFmtId="168" fontId="20" fillId="0" borderId="23" xfId="5" applyNumberFormat="1" applyFont="1" applyBorder="1" applyAlignment="1">
      <alignment horizontal="left" vertical="center"/>
    </xf>
    <xf numFmtId="0" fontId="20" fillId="0" borderId="14" xfId="0" applyFont="1" applyBorder="1" applyAlignment="1">
      <alignment horizontal="left"/>
    </xf>
    <xf numFmtId="2" fontId="20" fillId="0" borderId="14" xfId="0" applyNumberFormat="1" applyFont="1" applyBorder="1" applyAlignment="1">
      <alignment horizontal="center"/>
    </xf>
    <xf numFmtId="10" fontId="20" fillId="4" borderId="23" xfId="7" applyNumberFormat="1" applyFont="1" applyFill="1" applyBorder="1" applyAlignment="1">
      <alignment horizontal="center" vertical="center" wrapText="1"/>
    </xf>
    <xf numFmtId="0" fontId="20" fillId="0" borderId="4" xfId="0" applyFont="1" applyBorder="1" applyAlignment="1">
      <alignment horizontal="left"/>
    </xf>
    <xf numFmtId="2" fontId="20" fillId="0" borderId="4" xfId="0" applyNumberFormat="1" applyFont="1" applyBorder="1" applyAlignment="1">
      <alignment horizontal="center"/>
    </xf>
    <xf numFmtId="0" fontId="20" fillId="0" borderId="14" xfId="0" applyFont="1" applyBorder="1" applyAlignment="1">
      <alignment vertical="center" wrapText="1"/>
    </xf>
    <xf numFmtId="0" fontId="68" fillId="0" borderId="9" xfId="8" applyFont="1" applyBorder="1" applyAlignment="1">
      <alignment horizontal="left" vertical="center"/>
    </xf>
    <xf numFmtId="0" fontId="68" fillId="0" borderId="9" xfId="8" applyFont="1" applyBorder="1" applyAlignment="1">
      <alignment horizontal="left"/>
    </xf>
    <xf numFmtId="165" fontId="68" fillId="0" borderId="9" xfId="8" applyNumberFormat="1" applyFont="1" applyBorder="1" applyAlignment="1">
      <alignment horizontal="left" vertical="center"/>
    </xf>
    <xf numFmtId="0" fontId="4" fillId="0" borderId="9" xfId="6" applyFont="1" applyBorder="1"/>
    <xf numFmtId="39" fontId="20" fillId="0" borderId="9" xfId="1" applyNumberFormat="1" applyFont="1" applyFill="1" applyBorder="1" applyAlignment="1">
      <alignment horizontal="center"/>
    </xf>
    <xf numFmtId="184" fontId="20" fillId="0" borderId="9" xfId="1" applyNumberFormat="1" applyFont="1" applyFill="1" applyBorder="1" applyAlignment="1">
      <alignment horizontal="center"/>
    </xf>
    <xf numFmtId="185" fontId="25" fillId="0" borderId="9" xfId="2" applyNumberFormat="1" applyFont="1" applyFill="1" applyBorder="1"/>
    <xf numFmtId="171" fontId="20" fillId="0" borderId="9" xfId="5" applyNumberFormat="1" applyFont="1" applyBorder="1" applyAlignment="1">
      <alignment horizontal="center" vertical="center" wrapText="1"/>
    </xf>
    <xf numFmtId="165" fontId="20" fillId="0" borderId="9" xfId="6" applyNumberFormat="1" applyFont="1" applyBorder="1" applyAlignment="1">
      <alignment horizontal="left" vertical="center" wrapText="1" indent="3"/>
    </xf>
    <xf numFmtId="0" fontId="20" fillId="15" borderId="9" xfId="5" applyFont="1" applyFill="1" applyBorder="1" applyAlignment="1">
      <alignment horizontal="center" vertical="center" wrapText="1"/>
    </xf>
    <xf numFmtId="0" fontId="12" fillId="0" borderId="0" xfId="6" applyFont="1" applyAlignment="1">
      <alignment horizontal="center"/>
    </xf>
    <xf numFmtId="165" fontId="0" fillId="0" borderId="9" xfId="0" applyNumberFormat="1" applyBorder="1"/>
    <xf numFmtId="171" fontId="1" fillId="0" borderId="9" xfId="5" applyNumberFormat="1" applyFont="1" applyBorder="1" applyAlignment="1">
      <alignment horizontal="center" vertical="center" wrapText="1"/>
    </xf>
    <xf numFmtId="7" fontId="1" fillId="0" borderId="9" xfId="10" applyNumberFormat="1" applyFont="1" applyFill="1" applyBorder="1" applyAlignment="1">
      <alignment horizontal="center"/>
    </xf>
    <xf numFmtId="2" fontId="1" fillId="0" borderId="9" xfId="10" applyNumberFormat="1" applyFont="1" applyFill="1" applyBorder="1" applyAlignment="1">
      <alignment horizontal="center"/>
    </xf>
    <xf numFmtId="171" fontId="0" fillId="0" borderId="9" xfId="5" applyNumberFormat="1" applyFont="1" applyBorder="1" applyAlignment="1">
      <alignment horizontal="center"/>
    </xf>
    <xf numFmtId="187" fontId="0" fillId="0" borderId="0" xfId="3" applyNumberFormat="1" applyFont="1" applyFill="1"/>
    <xf numFmtId="168" fontId="20" fillId="0" borderId="32" xfId="5" applyNumberFormat="1" applyFont="1" applyBorder="1" applyAlignment="1">
      <alignment horizontal="center" vertical="center" wrapText="1"/>
    </xf>
    <xf numFmtId="168" fontId="20" fillId="0" borderId="62" xfId="5" applyNumberFormat="1" applyFont="1" applyBorder="1" applyAlignment="1">
      <alignment horizontal="center" vertical="center" wrapText="1"/>
    </xf>
    <xf numFmtId="168" fontId="20" fillId="0" borderId="18" xfId="5" applyNumberFormat="1" applyFont="1" applyBorder="1" applyAlignment="1">
      <alignment horizontal="center" vertical="center" wrapText="1"/>
    </xf>
    <xf numFmtId="168" fontId="20" fillId="0" borderId="34" xfId="5" applyNumberFormat="1" applyFont="1" applyBorder="1" applyAlignment="1">
      <alignment horizontal="center" vertical="center" wrapText="1"/>
    </xf>
    <xf numFmtId="9" fontId="28" fillId="0" borderId="33" xfId="7" applyFont="1" applyBorder="1" applyAlignment="1">
      <alignment horizontal="center" vertical="center" wrapText="1"/>
    </xf>
    <xf numFmtId="2" fontId="4" fillId="0" borderId="9" xfId="14" applyNumberFormat="1" applyFont="1" applyFill="1" applyBorder="1"/>
    <xf numFmtId="165" fontId="20" fillId="0" borderId="9" xfId="0" applyNumberFormat="1" applyFont="1" applyBorder="1"/>
    <xf numFmtId="0" fontId="20" fillId="0" borderId="9" xfId="13" applyFont="1" applyBorder="1" applyAlignment="1">
      <alignment horizontal="left" vertical="center" wrapText="1"/>
    </xf>
    <xf numFmtId="0" fontId="20" fillId="0" borderId="14" xfId="13" applyFont="1" applyBorder="1" applyAlignment="1">
      <alignment horizontal="left" vertical="center" wrapText="1"/>
    </xf>
    <xf numFmtId="2" fontId="20" fillId="0" borderId="14" xfId="13" applyNumberFormat="1" applyFont="1" applyBorder="1" applyAlignment="1">
      <alignment horizontal="center"/>
    </xf>
    <xf numFmtId="0" fontId="20" fillId="0" borderId="23" xfId="13" applyFont="1" applyBorder="1" applyAlignment="1">
      <alignment horizontal="left"/>
    </xf>
    <xf numFmtId="2" fontId="20" fillId="0" borderId="23" xfId="13" applyNumberFormat="1" applyFont="1" applyBorder="1" applyAlignment="1">
      <alignment horizontal="center"/>
    </xf>
    <xf numFmtId="9" fontId="4" fillId="0" borderId="9" xfId="13" applyNumberFormat="1" applyFont="1" applyBorder="1" applyAlignment="1">
      <alignment horizontal="center"/>
    </xf>
    <xf numFmtId="188" fontId="20" fillId="0" borderId="9" xfId="13" applyNumberFormat="1" applyFont="1" applyBorder="1" applyAlignment="1">
      <alignment horizontal="center" vertical="center" wrapText="1"/>
    </xf>
    <xf numFmtId="9" fontId="20" fillId="0" borderId="9" xfId="13" applyNumberFormat="1" applyFont="1" applyBorder="1" applyAlignment="1">
      <alignment horizontal="center"/>
    </xf>
    <xf numFmtId="7" fontId="24" fillId="0" borderId="9" xfId="2" applyNumberFormat="1" applyFont="1" applyFill="1" applyBorder="1" applyAlignment="1">
      <alignment horizontal="center"/>
    </xf>
    <xf numFmtId="10" fontId="20" fillId="0" borderId="9" xfId="3" applyNumberFormat="1" applyFont="1" applyFill="1" applyBorder="1"/>
    <xf numFmtId="10" fontId="20" fillId="0" borderId="9" xfId="15" applyNumberFormat="1" applyFont="1" applyFill="1" applyBorder="1"/>
    <xf numFmtId="172" fontId="20" fillId="0" borderId="9" xfId="16" applyNumberFormat="1" applyFont="1" applyFill="1" applyBorder="1" applyAlignment="1">
      <alignment horizontal="center"/>
    </xf>
    <xf numFmtId="172" fontId="25" fillId="0" borderId="9" xfId="3" applyNumberFormat="1" applyFont="1" applyFill="1" applyBorder="1" applyAlignment="1">
      <alignment horizontal="center"/>
    </xf>
    <xf numFmtId="190" fontId="20" fillId="0" borderId="9" xfId="3" applyNumberFormat="1" applyFont="1" applyFill="1" applyBorder="1" applyAlignment="1">
      <alignment horizontal="center"/>
    </xf>
    <xf numFmtId="172" fontId="26" fillId="0" borderId="9" xfId="3" applyNumberFormat="1" applyFont="1" applyFill="1" applyBorder="1" applyAlignment="1">
      <alignment horizontal="center"/>
    </xf>
    <xf numFmtId="9" fontId="26" fillId="0" borderId="9" xfId="3" applyFont="1" applyFill="1" applyBorder="1" applyAlignment="1">
      <alignment horizontal="center"/>
    </xf>
    <xf numFmtId="39" fontId="25" fillId="0" borderId="9" xfId="1" applyNumberFormat="1" applyFont="1" applyFill="1" applyBorder="1" applyAlignment="1">
      <alignment horizontal="center"/>
    </xf>
    <xf numFmtId="10" fontId="25" fillId="0" borderId="9" xfId="3" applyNumberFormat="1" applyFont="1" applyFill="1" applyBorder="1" applyAlignment="1">
      <alignment horizontal="center"/>
    </xf>
    <xf numFmtId="37" fontId="25" fillId="0" borderId="9" xfId="1" applyNumberFormat="1" applyFont="1" applyFill="1" applyBorder="1" applyAlignment="1">
      <alignment horizontal="center"/>
    </xf>
    <xf numFmtId="179" fontId="20" fillId="0" borderId="9" xfId="0" applyNumberFormat="1" applyFont="1" applyBorder="1" applyAlignment="1">
      <alignment horizontal="center"/>
    </xf>
    <xf numFmtId="189" fontId="25" fillId="0" borderId="9" xfId="1" applyNumberFormat="1" applyFont="1" applyFill="1" applyBorder="1" applyAlignment="1">
      <alignment horizontal="center"/>
    </xf>
    <xf numFmtId="171" fontId="4" fillId="0" borderId="9" xfId="6" applyNumberFormat="1" applyFont="1" applyBorder="1" applyAlignment="1">
      <alignment horizontal="center"/>
    </xf>
    <xf numFmtId="171" fontId="1" fillId="0" borderId="9" xfId="6" applyNumberFormat="1" applyBorder="1" applyAlignment="1">
      <alignment horizontal="center"/>
    </xf>
    <xf numFmtId="0" fontId="4" fillId="0" borderId="9" xfId="6" applyFont="1" applyBorder="1" applyAlignment="1">
      <alignment horizontal="center"/>
    </xf>
    <xf numFmtId="9" fontId="4" fillId="0" borderId="18" xfId="3" applyFont="1" applyFill="1" applyBorder="1" applyAlignment="1">
      <alignment horizontal="center"/>
    </xf>
    <xf numFmtId="172" fontId="4" fillId="0" borderId="21" xfId="3" applyNumberFormat="1" applyFont="1" applyFill="1" applyBorder="1" applyAlignment="1">
      <alignment horizontal="center"/>
    </xf>
    <xf numFmtId="10" fontId="4" fillId="0" borderId="19" xfId="6" applyNumberFormat="1" applyFont="1" applyBorder="1" applyAlignment="1">
      <alignment horizontal="center"/>
    </xf>
    <xf numFmtId="10" fontId="4" fillId="0" borderId="20" xfId="6" applyNumberFormat="1" applyFont="1" applyBorder="1" applyAlignment="1">
      <alignment horizontal="center"/>
    </xf>
    <xf numFmtId="165" fontId="4" fillId="0" borderId="19" xfId="6" applyNumberFormat="1" applyFont="1" applyBorder="1" applyAlignment="1">
      <alignment horizontal="center"/>
    </xf>
    <xf numFmtId="165" fontId="4" fillId="0" borderId="20" xfId="6" applyNumberFormat="1" applyFont="1" applyBorder="1" applyAlignment="1">
      <alignment horizontal="center"/>
    </xf>
    <xf numFmtId="171" fontId="4" fillId="0" borderId="82" xfId="13" applyNumberFormat="1" applyFont="1" applyBorder="1" applyAlignment="1">
      <alignment horizontal="center"/>
    </xf>
    <xf numFmtId="171" fontId="4" fillId="0" borderId="84" xfId="13" applyNumberFormat="1" applyFont="1" applyBorder="1" applyAlignment="1">
      <alignment horizontal="center"/>
    </xf>
    <xf numFmtId="179" fontId="1" fillId="0" borderId="9" xfId="1" applyNumberFormat="1" applyFill="1" applyBorder="1" applyAlignment="1">
      <alignment horizontal="left"/>
    </xf>
    <xf numFmtId="171" fontId="1" fillId="0" borderId="9" xfId="2" applyNumberFormat="1" applyFill="1" applyBorder="1" applyAlignment="1">
      <alignment horizontal="left"/>
    </xf>
    <xf numFmtId="2" fontId="20" fillId="0" borderId="9" xfId="6" applyNumberFormat="1" applyFont="1" applyBorder="1" applyAlignment="1">
      <alignment horizontal="center"/>
    </xf>
    <xf numFmtId="182" fontId="20" fillId="0" borderId="9" xfId="1" applyNumberFormat="1" applyFont="1" applyFill="1" applyBorder="1" applyAlignment="1">
      <alignment horizontal="center" vertical="center"/>
    </xf>
    <xf numFmtId="169" fontId="25" fillId="0" borderId="9" xfId="2" applyNumberFormat="1" applyFont="1" applyFill="1" applyBorder="1" applyAlignment="1">
      <alignment horizontal="center"/>
    </xf>
    <xf numFmtId="39" fontId="20" fillId="0" borderId="9" xfId="0" applyNumberFormat="1" applyFont="1" applyBorder="1" applyAlignment="1">
      <alignment horizontal="center"/>
    </xf>
    <xf numFmtId="10" fontId="25" fillId="0" borderId="9" xfId="3" applyNumberFormat="1" applyFont="1" applyBorder="1" applyAlignment="1">
      <alignment horizontal="center"/>
    </xf>
    <xf numFmtId="180" fontId="20" fillId="0" borderId="9" xfId="0" applyNumberFormat="1" applyFont="1" applyBorder="1" applyAlignment="1">
      <alignment horizontal="center" vertical="center"/>
    </xf>
    <xf numFmtId="10" fontId="20" fillId="0" borderId="9" xfId="0" applyNumberFormat="1" applyFont="1" applyBorder="1" applyAlignment="1">
      <alignment horizontal="center" vertical="center" wrapText="1"/>
    </xf>
    <xf numFmtId="2" fontId="20" fillId="0" borderId="9" xfId="0" applyNumberFormat="1" applyFont="1" applyBorder="1" applyAlignment="1">
      <alignment horizontal="center" vertical="center"/>
    </xf>
    <xf numFmtId="190" fontId="20" fillId="0" borderId="9" xfId="3" applyNumberFormat="1" applyFont="1" applyBorder="1" applyAlignment="1">
      <alignment horizontal="center" wrapText="1"/>
    </xf>
    <xf numFmtId="0" fontId="25" fillId="0" borderId="14" xfId="8" applyFont="1" applyBorder="1" applyAlignment="1">
      <alignment horizontal="left"/>
    </xf>
    <xf numFmtId="9" fontId="25" fillId="0" borderId="35" xfId="3" applyFont="1" applyFill="1" applyBorder="1" applyAlignment="1">
      <alignment horizontal="center"/>
    </xf>
    <xf numFmtId="9" fontId="26" fillId="0" borderId="37" xfId="3" applyFont="1" applyFill="1" applyBorder="1" applyAlignment="1">
      <alignment horizontal="center"/>
    </xf>
    <xf numFmtId="9" fontId="26" fillId="0" borderId="35" xfId="3" applyFont="1" applyFill="1" applyBorder="1" applyAlignment="1">
      <alignment horizontal="center"/>
    </xf>
    <xf numFmtId="0" fontId="0" fillId="0" borderId="23" xfId="0" applyBorder="1"/>
    <xf numFmtId="9" fontId="25" fillId="0" borderId="23" xfId="3" applyFont="1" applyBorder="1" applyAlignment="1">
      <alignment horizontal="center"/>
    </xf>
    <xf numFmtId="10" fontId="26" fillId="0" borderId="23" xfId="3" applyNumberFormat="1" applyFont="1" applyBorder="1" applyAlignment="1">
      <alignment horizontal="center"/>
    </xf>
    <xf numFmtId="10" fontId="25" fillId="0" borderId="23" xfId="3" applyNumberFormat="1" applyFont="1" applyBorder="1" applyAlignment="1">
      <alignment horizontal="center"/>
    </xf>
    <xf numFmtId="9" fontId="25" fillId="0" borderId="14" xfId="3" applyFont="1" applyBorder="1" applyAlignment="1">
      <alignment horizontal="center"/>
    </xf>
    <xf numFmtId="0" fontId="0" fillId="0" borderId="14" xfId="0" applyBorder="1"/>
    <xf numFmtId="9" fontId="26" fillId="0" borderId="14" xfId="3" applyFont="1" applyBorder="1" applyAlignment="1">
      <alignment horizontal="center"/>
    </xf>
    <xf numFmtId="10" fontId="25" fillId="0" borderId="25" xfId="3" applyNumberFormat="1" applyFont="1" applyFill="1" applyBorder="1" applyAlignment="1">
      <alignment horizontal="center"/>
    </xf>
    <xf numFmtId="0" fontId="89" fillId="12" borderId="9" xfId="0" applyFont="1" applyFill="1" applyBorder="1" applyAlignment="1">
      <alignment horizontal="center" vertical="center" wrapText="1"/>
    </xf>
    <xf numFmtId="0" fontId="20" fillId="0" borderId="4" xfId="0" applyFont="1" applyBorder="1" applyAlignment="1">
      <alignment horizontal="left" vertical="center"/>
    </xf>
    <xf numFmtId="39" fontId="20" fillId="0" borderId="4" xfId="0" applyNumberFormat="1" applyFont="1" applyBorder="1" applyAlignment="1">
      <alignment horizontal="center" vertical="center"/>
    </xf>
    <xf numFmtId="0" fontId="25" fillId="0" borderId="23" xfId="8" applyFont="1" applyBorder="1"/>
    <xf numFmtId="9" fontId="20" fillId="0" borderId="14" xfId="0" applyNumberFormat="1" applyFont="1" applyBorder="1" applyAlignment="1">
      <alignment horizontal="center" vertical="center"/>
    </xf>
    <xf numFmtId="9" fontId="4" fillId="0" borderId="35" xfId="0" applyNumberFormat="1" applyFont="1" applyBorder="1" applyAlignment="1">
      <alignment horizontal="center" vertical="center"/>
    </xf>
    <xf numFmtId="9" fontId="4" fillId="0" borderId="14" xfId="3" applyFont="1" applyFill="1" applyBorder="1" applyAlignment="1">
      <alignment horizontal="center"/>
    </xf>
    <xf numFmtId="9" fontId="20" fillId="0" borderId="33" xfId="0" applyNumberFormat="1" applyFont="1" applyBorder="1" applyAlignment="1">
      <alignment horizontal="center" vertical="center"/>
    </xf>
    <xf numFmtId="39" fontId="20" fillId="4" borderId="4" xfId="0" applyNumberFormat="1" applyFont="1" applyFill="1" applyBorder="1" applyAlignment="1">
      <alignment horizontal="center" vertical="center"/>
    </xf>
    <xf numFmtId="39" fontId="0" fillId="0" borderId="4" xfId="0" applyNumberFormat="1" applyBorder="1" applyAlignment="1">
      <alignment horizontal="center" vertical="center"/>
    </xf>
    <xf numFmtId="9" fontId="0" fillId="0" borderId="14" xfId="0" applyNumberFormat="1" applyBorder="1" applyAlignment="1">
      <alignment horizontal="center" vertical="center"/>
    </xf>
    <xf numFmtId="9" fontId="4" fillId="0" borderId="14" xfId="0" applyNumberFormat="1" applyFont="1" applyBorder="1" applyAlignment="1">
      <alignment horizontal="center" vertical="center"/>
    </xf>
    <xf numFmtId="9" fontId="4" fillId="0" borderId="4" xfId="3" applyFont="1" applyFill="1" applyBorder="1" applyAlignment="1">
      <alignment horizontal="center"/>
    </xf>
    <xf numFmtId="10" fontId="4" fillId="0" borderId="9" xfId="3" applyNumberFormat="1" applyFont="1" applyFill="1" applyBorder="1" applyAlignment="1">
      <alignment horizontal="center" vertical="center" wrapText="1"/>
    </xf>
    <xf numFmtId="10" fontId="4" fillId="4" borderId="9" xfId="3" applyNumberFormat="1" applyFont="1" applyFill="1" applyBorder="1" applyAlignment="1">
      <alignment horizontal="center" vertical="center" wrapText="1"/>
    </xf>
    <xf numFmtId="10" fontId="20" fillId="4" borderId="9" xfId="3" applyNumberFormat="1" applyFont="1" applyFill="1" applyBorder="1" applyAlignment="1">
      <alignment horizontal="center" vertical="center" wrapText="1"/>
    </xf>
    <xf numFmtId="10" fontId="4" fillId="0" borderId="9" xfId="3" applyNumberFormat="1" applyFont="1" applyBorder="1" applyAlignment="1">
      <alignment horizontal="center" vertical="center" wrapText="1"/>
    </xf>
    <xf numFmtId="10" fontId="4" fillId="0" borderId="9" xfId="3" applyNumberFormat="1" applyFont="1" applyBorder="1" applyAlignment="1">
      <alignment horizontal="center" wrapText="1"/>
    </xf>
    <xf numFmtId="0" fontId="92" fillId="0" borderId="0" xfId="0" applyFont="1"/>
    <xf numFmtId="180" fontId="4" fillId="0" borderId="9" xfId="0" applyNumberFormat="1" applyFont="1" applyBorder="1" applyAlignment="1">
      <alignment horizontal="center"/>
    </xf>
    <xf numFmtId="9" fontId="4" fillId="0" borderId="0" xfId="3" applyFont="1"/>
    <xf numFmtId="172" fontId="4" fillId="4" borderId="9" xfId="3" applyNumberFormat="1" applyFont="1" applyFill="1" applyBorder="1" applyAlignment="1">
      <alignment horizontal="center"/>
    </xf>
    <xf numFmtId="165" fontId="4" fillId="4" borderId="9" xfId="6" applyNumberFormat="1" applyFont="1" applyFill="1" applyBorder="1" applyAlignment="1">
      <alignment horizontal="center"/>
    </xf>
    <xf numFmtId="7" fontId="4" fillId="4" borderId="9" xfId="2" applyNumberFormat="1" applyFont="1" applyFill="1" applyBorder="1" applyAlignment="1">
      <alignment horizontal="center" wrapText="1"/>
    </xf>
    <xf numFmtId="9" fontId="20" fillId="4" borderId="14" xfId="3" applyFont="1" applyFill="1" applyBorder="1" applyAlignment="1">
      <alignment horizontal="center"/>
    </xf>
    <xf numFmtId="9" fontId="20" fillId="0" borderId="30" xfId="3" applyFont="1" applyBorder="1" applyAlignment="1">
      <alignment horizontal="center"/>
    </xf>
    <xf numFmtId="2" fontId="20" fillId="4" borderId="4" xfId="0" applyNumberFormat="1" applyFont="1" applyFill="1" applyBorder="1" applyAlignment="1">
      <alignment horizontal="left" vertical="top" wrapText="1"/>
    </xf>
    <xf numFmtId="7" fontId="20" fillId="4" borderId="0" xfId="0" applyNumberFormat="1" applyFont="1" applyFill="1" applyAlignment="1">
      <alignment horizontal="center"/>
    </xf>
    <xf numFmtId="7" fontId="20" fillId="4" borderId="14" xfId="2" applyNumberFormat="1" applyFont="1" applyFill="1" applyBorder="1" applyAlignment="1">
      <alignment horizontal="center"/>
    </xf>
    <xf numFmtId="43" fontId="20" fillId="0" borderId="9" xfId="0" applyNumberFormat="1" applyFont="1" applyBorder="1"/>
    <xf numFmtId="43" fontId="20" fillId="4" borderId="9" xfId="0" applyNumberFormat="1" applyFont="1" applyFill="1" applyBorder="1"/>
    <xf numFmtId="0" fontId="20" fillId="5" borderId="14" xfId="0" applyFont="1" applyFill="1" applyBorder="1" applyAlignment="1">
      <alignment horizontal="left" vertical="top" wrapText="1"/>
    </xf>
    <xf numFmtId="170" fontId="20" fillId="0" borderId="9" xfId="0" applyNumberFormat="1" applyFont="1" applyBorder="1"/>
    <xf numFmtId="165" fontId="20" fillId="4" borderId="9" xfId="0" applyNumberFormat="1" applyFont="1" applyFill="1" applyBorder="1" applyAlignment="1">
      <alignment horizontal="left" vertical="top" wrapText="1"/>
    </xf>
    <xf numFmtId="9" fontId="20" fillId="4" borderId="33" xfId="0" applyNumberFormat="1" applyFont="1" applyFill="1" applyBorder="1" applyAlignment="1">
      <alignment horizontal="left" vertical="top"/>
    </xf>
    <xf numFmtId="9" fontId="4" fillId="4" borderId="33" xfId="0" applyNumberFormat="1" applyFont="1" applyFill="1" applyBorder="1" applyAlignment="1">
      <alignment horizontal="left" vertical="top"/>
    </xf>
    <xf numFmtId="1" fontId="4" fillId="0" borderId="9" xfId="1" applyNumberFormat="1" applyFont="1" applyFill="1" applyBorder="1" applyAlignment="1">
      <alignment horizontal="left" vertical="top" wrapText="1"/>
    </xf>
    <xf numFmtId="1" fontId="4" fillId="0" borderId="9" xfId="0" applyNumberFormat="1" applyFont="1" applyBorder="1" applyAlignment="1">
      <alignment horizontal="left" vertical="top" wrapText="1"/>
    </xf>
    <xf numFmtId="2" fontId="4" fillId="0" borderId="9" xfId="0" applyNumberFormat="1" applyFont="1" applyBorder="1" applyAlignment="1">
      <alignment horizontal="left" vertical="top" wrapText="1"/>
    </xf>
    <xf numFmtId="39" fontId="0" fillId="0" borderId="9" xfId="0" applyNumberFormat="1" applyBorder="1" applyAlignment="1">
      <alignment horizontal="center"/>
    </xf>
    <xf numFmtId="9" fontId="4" fillId="0" borderId="30" xfId="0" applyNumberFormat="1" applyFont="1" applyBorder="1" applyAlignment="1">
      <alignment horizontal="left" vertical="top" wrapText="1"/>
    </xf>
    <xf numFmtId="9" fontId="4" fillId="0" borderId="48" xfId="0" applyNumberFormat="1" applyFont="1" applyBorder="1" applyAlignment="1">
      <alignment horizontal="left" vertical="top" wrapText="1"/>
    </xf>
    <xf numFmtId="0" fontId="4" fillId="0" borderId="0" xfId="0" applyFont="1" applyAlignment="1">
      <alignment horizontal="left" vertical="top" wrapText="1"/>
    </xf>
    <xf numFmtId="193" fontId="4" fillId="0" borderId="0" xfId="0" applyNumberFormat="1" applyFont="1"/>
    <xf numFmtId="9" fontId="4" fillId="0" borderId="53" xfId="0" applyNumberFormat="1" applyFont="1" applyBorder="1" applyAlignment="1">
      <alignment horizontal="left" vertical="top" wrapText="1"/>
    </xf>
    <xf numFmtId="2" fontId="4" fillId="0" borderId="0" xfId="1" applyNumberFormat="1" applyFont="1" applyFill="1"/>
    <xf numFmtId="0" fontId="4" fillId="16" borderId="10" xfId="0" applyFont="1" applyFill="1" applyBorder="1" applyAlignment="1">
      <alignment horizontal="left" vertical="top"/>
    </xf>
    <xf numFmtId="2" fontId="20" fillId="8" borderId="16" xfId="0" applyNumberFormat="1" applyFont="1" applyFill="1" applyBorder="1" applyAlignment="1">
      <alignment horizontal="center"/>
    </xf>
    <xf numFmtId="1" fontId="4" fillId="0" borderId="16" xfId="0" applyNumberFormat="1" applyFont="1" applyBorder="1" applyAlignment="1">
      <alignment horizontal="left" vertical="top" wrapText="1"/>
    </xf>
    <xf numFmtId="0" fontId="20" fillId="0" borderId="16" xfId="0" applyFont="1" applyBorder="1" applyAlignment="1">
      <alignment horizontal="left" vertical="top" wrapText="1"/>
    </xf>
    <xf numFmtId="0" fontId="20" fillId="0" borderId="10" xfId="0" applyFont="1" applyBorder="1" applyAlignment="1">
      <alignment horizontal="left" vertical="top"/>
    </xf>
    <xf numFmtId="0" fontId="20" fillId="0" borderId="37" xfId="0" applyFont="1" applyBorder="1" applyAlignment="1">
      <alignment horizontal="left" vertical="top" wrapText="1"/>
    </xf>
    <xf numFmtId="2" fontId="4" fillId="0" borderId="16" xfId="0" applyNumberFormat="1" applyFont="1" applyBorder="1" applyAlignment="1">
      <alignment horizontal="left" vertical="top" wrapText="1"/>
    </xf>
    <xf numFmtId="165" fontId="20" fillId="0" borderId="16" xfId="0" applyNumberFormat="1" applyFont="1" applyBorder="1" applyAlignment="1">
      <alignment horizontal="left" vertical="top" wrapText="1"/>
    </xf>
    <xf numFmtId="165" fontId="4" fillId="0" borderId="16" xfId="0" applyNumberFormat="1" applyFont="1" applyBorder="1" applyAlignment="1">
      <alignment horizontal="left" vertical="top" wrapText="1"/>
    </xf>
    <xf numFmtId="9" fontId="20" fillId="0" borderId="23" xfId="0" applyNumberFormat="1" applyFont="1" applyBorder="1" applyAlignment="1">
      <alignment horizontal="left" vertical="top" wrapText="1"/>
    </xf>
    <xf numFmtId="2" fontId="20" fillId="0" borderId="37" xfId="0" applyNumberFormat="1" applyFont="1" applyBorder="1" applyAlignment="1">
      <alignment horizontal="left" vertical="top" wrapText="1"/>
    </xf>
    <xf numFmtId="2" fontId="20" fillId="0" borderId="16" xfId="0" applyNumberFormat="1" applyFont="1" applyBorder="1" applyAlignment="1">
      <alignment horizontal="left" vertical="top" wrapText="1"/>
    </xf>
    <xf numFmtId="2" fontId="4" fillId="0" borderId="14" xfId="0" applyNumberFormat="1" applyFont="1" applyBorder="1" applyAlignment="1">
      <alignment horizontal="left" vertical="top" wrapText="1"/>
    </xf>
    <xf numFmtId="2" fontId="4" fillId="0" borderId="0" xfId="0" applyNumberFormat="1" applyFont="1" applyAlignment="1">
      <alignment horizontal="left"/>
    </xf>
    <xf numFmtId="2" fontId="4" fillId="0" borderId="0" xfId="0" applyNumberFormat="1" applyFont="1" applyAlignment="1">
      <alignment horizontal="center"/>
    </xf>
    <xf numFmtId="2" fontId="20" fillId="8" borderId="14" xfId="0" applyNumberFormat="1" applyFont="1" applyFill="1" applyBorder="1" applyAlignment="1">
      <alignment horizontal="left" vertical="top" wrapText="1"/>
    </xf>
    <xf numFmtId="44" fontId="4" fillId="4" borderId="4" xfId="2" applyFont="1" applyFill="1" applyBorder="1" applyAlignment="1">
      <alignment horizontal="left" vertical="top" wrapText="1"/>
    </xf>
    <xf numFmtId="44" fontId="4" fillId="4" borderId="9" xfId="2" applyFont="1" applyFill="1" applyBorder="1" applyAlignment="1">
      <alignment horizontal="left" vertical="top" wrapText="1"/>
    </xf>
    <xf numFmtId="1" fontId="4" fillId="0" borderId="14" xfId="0" applyNumberFormat="1" applyFont="1" applyBorder="1" applyAlignment="1">
      <alignment horizontal="left" vertical="top" wrapText="1"/>
    </xf>
    <xf numFmtId="1" fontId="4" fillId="0" borderId="19" xfId="0" applyNumberFormat="1" applyFont="1" applyBorder="1" applyAlignment="1">
      <alignment horizontal="left" vertical="top" wrapText="1"/>
    </xf>
    <xf numFmtId="165" fontId="4" fillId="0" borderId="14" xfId="0" applyNumberFormat="1" applyFont="1" applyBorder="1" applyAlignment="1">
      <alignment horizontal="left" vertical="top" wrapText="1"/>
    </xf>
    <xf numFmtId="0" fontId="4" fillId="0" borderId="19" xfId="0" applyFont="1" applyBorder="1" applyAlignment="1">
      <alignment horizontal="left" vertical="top" wrapText="1"/>
    </xf>
    <xf numFmtId="165" fontId="4" fillId="0" borderId="4" xfId="0" applyNumberFormat="1" applyFont="1" applyBorder="1" applyAlignment="1">
      <alignment horizontal="left" vertical="top" wrapText="1"/>
    </xf>
    <xf numFmtId="165" fontId="4" fillId="0" borderId="9" xfId="0" applyNumberFormat="1" applyFont="1" applyBorder="1" applyAlignment="1">
      <alignment horizontal="left" vertical="top" wrapText="1"/>
    </xf>
    <xf numFmtId="165" fontId="4" fillId="0" borderId="19" xfId="0" applyNumberFormat="1" applyFont="1" applyBorder="1" applyAlignment="1">
      <alignment horizontal="left" vertical="top" wrapText="1"/>
    </xf>
    <xf numFmtId="0" fontId="4" fillId="0" borderId="23" xfId="0" applyFont="1" applyBorder="1" applyAlignment="1">
      <alignment horizontal="left" vertical="top" wrapText="1"/>
    </xf>
    <xf numFmtId="9" fontId="4" fillId="0" borderId="23" xfId="0" applyNumberFormat="1" applyFont="1" applyBorder="1" applyAlignment="1">
      <alignment horizontal="left" vertical="top" wrapText="1"/>
    </xf>
    <xf numFmtId="165" fontId="4" fillId="0" borderId="23" xfId="0" applyNumberFormat="1" applyFont="1" applyBorder="1" applyAlignment="1">
      <alignment horizontal="left" vertical="top" wrapText="1"/>
    </xf>
    <xf numFmtId="0" fontId="4" fillId="0" borderId="33" xfId="0" applyFont="1" applyBorder="1" applyAlignment="1">
      <alignment horizontal="left" vertical="top" wrapText="1"/>
    </xf>
    <xf numFmtId="165" fontId="4" fillId="4" borderId="14" xfId="0" applyNumberFormat="1" applyFont="1" applyFill="1" applyBorder="1" applyAlignment="1">
      <alignment horizontal="left" vertical="top" wrapText="1"/>
    </xf>
    <xf numFmtId="165" fontId="20" fillId="4" borderId="14" xfId="0" applyNumberFormat="1" applyFont="1" applyFill="1" applyBorder="1" applyAlignment="1">
      <alignment horizontal="left" vertical="top" wrapText="1"/>
    </xf>
    <xf numFmtId="9" fontId="4" fillId="0" borderId="33" xfId="3" applyFont="1" applyFill="1" applyBorder="1" applyAlignment="1">
      <alignment horizontal="left"/>
    </xf>
    <xf numFmtId="1" fontId="4" fillId="0" borderId="23" xfId="0" applyNumberFormat="1" applyFont="1" applyBorder="1" applyAlignment="1">
      <alignment horizontal="left" vertical="top" wrapText="1"/>
    </xf>
    <xf numFmtId="0" fontId="20" fillId="0" borderId="23" xfId="0" applyFont="1" applyBorder="1" applyAlignment="1">
      <alignment horizontal="left" vertical="top" wrapText="1"/>
    </xf>
    <xf numFmtId="1" fontId="20" fillId="0" borderId="10" xfId="0" applyNumberFormat="1" applyFont="1" applyBorder="1" applyAlignment="1">
      <alignment horizontal="left"/>
    </xf>
    <xf numFmtId="2" fontId="20" fillId="0" borderId="9" xfId="0" applyNumberFormat="1" applyFont="1" applyBorder="1" applyAlignment="1">
      <alignment horizontal="left" vertical="top" wrapText="1"/>
    </xf>
    <xf numFmtId="44" fontId="4" fillId="0" borderId="0" xfId="0" applyNumberFormat="1" applyFont="1" applyAlignment="1">
      <alignment horizontal="center"/>
    </xf>
    <xf numFmtId="44" fontId="4" fillId="0" borderId="0" xfId="2" applyFont="1" applyFill="1"/>
    <xf numFmtId="9" fontId="20" fillId="4" borderId="33" xfId="3" applyFont="1" applyFill="1" applyBorder="1" applyAlignment="1">
      <alignment horizontal="left" vertical="top" wrapText="1"/>
    </xf>
    <xf numFmtId="9" fontId="4" fillId="4" borderId="14" xfId="3" applyFont="1" applyFill="1" applyBorder="1" applyAlignment="1">
      <alignment horizontal="left" vertical="top" wrapText="1"/>
    </xf>
    <xf numFmtId="7" fontId="20" fillId="0" borderId="9" xfId="2" applyNumberFormat="1" applyFont="1" applyFill="1" applyBorder="1" applyAlignment="1">
      <alignment horizontal="center"/>
    </xf>
    <xf numFmtId="170" fontId="20" fillId="13" borderId="9" xfId="5" applyNumberFormat="1" applyFont="1" applyFill="1" applyBorder="1" applyAlignment="1">
      <alignment horizontal="center"/>
    </xf>
    <xf numFmtId="39" fontId="20" fillId="4" borderId="9" xfId="8" applyNumberFormat="1" applyFont="1" applyFill="1" applyBorder="1" applyAlignment="1">
      <alignment horizontal="center"/>
    </xf>
    <xf numFmtId="2" fontId="20" fillId="0" borderId="9" xfId="1" applyNumberFormat="1" applyFont="1" applyFill="1" applyBorder="1" applyAlignment="1">
      <alignment horizontal="center"/>
    </xf>
    <xf numFmtId="0" fontId="25" fillId="4" borderId="9" xfId="8" applyFont="1" applyFill="1" applyBorder="1" applyAlignment="1">
      <alignment horizontal="center"/>
    </xf>
    <xf numFmtId="2" fontId="4" fillId="0" borderId="9" xfId="8" applyNumberFormat="1" applyFont="1" applyBorder="1" applyAlignment="1">
      <alignment horizontal="center" wrapText="1"/>
    </xf>
    <xf numFmtId="0" fontId="4" fillId="0" borderId="9" xfId="8" applyFont="1" applyBorder="1" applyAlignment="1">
      <alignment horizontal="center" wrapText="1"/>
    </xf>
    <xf numFmtId="189" fontId="4" fillId="0" borderId="9" xfId="1" applyNumberFormat="1" applyFont="1" applyBorder="1" applyAlignment="1">
      <alignment horizontal="center"/>
    </xf>
    <xf numFmtId="189" fontId="4" fillId="4" borderId="9" xfId="0" applyNumberFormat="1" applyFont="1" applyFill="1" applyBorder="1" applyAlignment="1">
      <alignment horizontal="center" vertical="center" wrapText="1"/>
    </xf>
    <xf numFmtId="0" fontId="48" fillId="4" borderId="9" xfId="8" applyFont="1" applyFill="1" applyBorder="1" applyAlignment="1">
      <alignment horizontal="left" vertical="center" wrapText="1"/>
    </xf>
    <xf numFmtId="0" fontId="25" fillId="4" borderId="9" xfId="8" applyFont="1" applyFill="1" applyBorder="1" applyAlignment="1">
      <alignment wrapText="1"/>
    </xf>
    <xf numFmtId="0" fontId="20" fillId="4" borderId="9" xfId="0" applyFont="1" applyFill="1" applyBorder="1" applyAlignment="1">
      <alignment wrapText="1"/>
    </xf>
    <xf numFmtId="0" fontId="26" fillId="0" borderId="9" xfId="8" applyFont="1" applyBorder="1" applyAlignment="1">
      <alignment horizontal="center"/>
    </xf>
    <xf numFmtId="7" fontId="20" fillId="0" borderId="9" xfId="1" applyNumberFormat="1" applyFont="1" applyBorder="1" applyAlignment="1">
      <alignment horizontal="center" wrapText="1"/>
    </xf>
    <xf numFmtId="7" fontId="4" fillId="0" borderId="9" xfId="1" applyNumberFormat="1" applyFont="1" applyBorder="1" applyAlignment="1">
      <alignment horizontal="center" wrapText="1"/>
    </xf>
    <xf numFmtId="165" fontId="1" fillId="0" borderId="9" xfId="1" applyNumberFormat="1" applyFont="1" applyBorder="1" applyAlignment="1">
      <alignment horizontal="center" wrapText="1"/>
    </xf>
    <xf numFmtId="165" fontId="24" fillId="0" borderId="9" xfId="8" applyNumberFormat="1" applyBorder="1" applyAlignment="1">
      <alignment horizontal="center"/>
    </xf>
    <xf numFmtId="170" fontId="20" fillId="0" borderId="9" xfId="1" applyNumberFormat="1" applyFont="1" applyBorder="1" applyAlignment="1">
      <alignment horizontal="center" wrapText="1"/>
    </xf>
    <xf numFmtId="0" fontId="26" fillId="0" borderId="0" xfId="8" applyFont="1"/>
    <xf numFmtId="170" fontId="4" fillId="0" borderId="9" xfId="1" applyNumberFormat="1" applyFont="1" applyBorder="1" applyAlignment="1">
      <alignment horizontal="center" wrapText="1"/>
    </xf>
    <xf numFmtId="186" fontId="4" fillId="0" borderId="9" xfId="0" applyNumberFormat="1" applyFont="1" applyBorder="1" applyAlignment="1">
      <alignment horizontal="center" vertical="center" wrapText="1"/>
    </xf>
    <xf numFmtId="0" fontId="26" fillId="4" borderId="9" xfId="8" applyFont="1" applyFill="1" applyBorder="1" applyAlignment="1">
      <alignment horizontal="center"/>
    </xf>
    <xf numFmtId="170" fontId="4" fillId="0" borderId="9" xfId="0" applyNumberFormat="1" applyFont="1" applyBorder="1" applyAlignment="1">
      <alignment horizontal="center" vertical="center" wrapText="1"/>
    </xf>
    <xf numFmtId="170" fontId="4" fillId="0" borderId="9" xfId="1" applyNumberFormat="1" applyFont="1" applyFill="1" applyBorder="1" applyAlignment="1">
      <alignment horizontal="center" wrapText="1"/>
    </xf>
    <xf numFmtId="2" fontId="20" fillId="4" borderId="23" xfId="0" applyNumberFormat="1" applyFont="1" applyFill="1" applyBorder="1" applyAlignment="1">
      <alignment horizontal="center"/>
    </xf>
    <xf numFmtId="2" fontId="25" fillId="0" borderId="14" xfId="8" applyNumberFormat="1" applyFont="1" applyBorder="1" applyAlignment="1">
      <alignment horizontal="center"/>
    </xf>
    <xf numFmtId="0" fontId="24" fillId="0" borderId="14" xfId="8" applyBorder="1"/>
    <xf numFmtId="2" fontId="1" fillId="0" borderId="4" xfId="0" applyNumberFormat="1" applyFont="1" applyBorder="1" applyAlignment="1">
      <alignment horizontal="center"/>
    </xf>
    <xf numFmtId="2" fontId="4" fillId="0" borderId="4" xfId="0" applyNumberFormat="1" applyFont="1" applyBorder="1" applyAlignment="1">
      <alignment horizontal="center"/>
    </xf>
    <xf numFmtId="2" fontId="4" fillId="4" borderId="4" xfId="0" applyNumberFormat="1" applyFont="1" applyFill="1" applyBorder="1" applyAlignment="1">
      <alignment horizontal="center"/>
    </xf>
    <xf numFmtId="2" fontId="20" fillId="4" borderId="4" xfId="0" applyNumberFormat="1" applyFont="1" applyFill="1" applyBorder="1" applyAlignment="1">
      <alignment horizontal="center"/>
    </xf>
    <xf numFmtId="0" fontId="24" fillId="0" borderId="4" xfId="8" applyBorder="1"/>
    <xf numFmtId="2" fontId="20" fillId="4" borderId="14" xfId="0" applyNumberFormat="1" applyFont="1" applyFill="1" applyBorder="1" applyAlignment="1">
      <alignment horizontal="center"/>
    </xf>
    <xf numFmtId="10" fontId="20" fillId="0" borderId="4" xfId="7" applyNumberFormat="1" applyFont="1" applyBorder="1" applyAlignment="1">
      <alignment horizontal="center" vertical="center" wrapText="1"/>
    </xf>
    <xf numFmtId="2" fontId="20" fillId="0" borderId="32" xfId="0" applyNumberFormat="1" applyFont="1" applyBorder="1" applyAlignment="1">
      <alignment horizontal="center"/>
    </xf>
    <xf numFmtId="10" fontId="4" fillId="0" borderId="14" xfId="7" applyNumberFormat="1" applyFont="1" applyBorder="1" applyAlignment="1">
      <alignment horizontal="center" vertical="center" wrapText="1"/>
    </xf>
    <xf numFmtId="10" fontId="43" fillId="0" borderId="4" xfId="7" applyNumberFormat="1" applyFont="1" applyBorder="1" applyAlignment="1">
      <alignment horizontal="center" vertical="center" wrapText="1"/>
    </xf>
    <xf numFmtId="10" fontId="4" fillId="0" borderId="4" xfId="7" applyNumberFormat="1" applyFont="1" applyBorder="1" applyAlignment="1">
      <alignment horizontal="center" vertical="center" wrapText="1"/>
    </xf>
    <xf numFmtId="10" fontId="26" fillId="4" borderId="4" xfId="3" applyNumberFormat="1" applyFont="1" applyFill="1" applyBorder="1" applyAlignment="1">
      <alignment horizontal="center"/>
    </xf>
    <xf numFmtId="10" fontId="25" fillId="4" borderId="4" xfId="3" applyNumberFormat="1" applyFont="1" applyFill="1" applyBorder="1" applyAlignment="1">
      <alignment horizontal="center"/>
    </xf>
    <xf numFmtId="10" fontId="43" fillId="0" borderId="14" xfId="7" applyNumberFormat="1" applyFont="1" applyBorder="1" applyAlignment="1">
      <alignment horizontal="center" vertical="center" wrapText="1"/>
    </xf>
    <xf numFmtId="10" fontId="26" fillId="4" borderId="14" xfId="3" applyNumberFormat="1" applyFont="1" applyFill="1" applyBorder="1" applyAlignment="1">
      <alignment horizontal="center"/>
    </xf>
    <xf numFmtId="10" fontId="25" fillId="4" borderId="14" xfId="3" applyNumberFormat="1" applyFont="1" applyFill="1" applyBorder="1" applyAlignment="1">
      <alignment horizontal="center"/>
    </xf>
    <xf numFmtId="7" fontId="20" fillId="0" borderId="82" xfId="2" applyNumberFormat="1" applyFont="1" applyFill="1" applyBorder="1" applyAlignment="1">
      <alignment horizontal="center" wrapText="1"/>
    </xf>
    <xf numFmtId="167" fontId="92" fillId="12" borderId="0" xfId="0" applyNumberFormat="1" applyFont="1" applyFill="1" applyAlignment="1">
      <alignment horizontal="center"/>
    </xf>
    <xf numFmtId="9" fontId="4" fillId="0" borderId="19" xfId="0" applyNumberFormat="1" applyFont="1" applyBorder="1" applyAlignment="1">
      <alignment horizontal="center" vertical="center" wrapText="1"/>
    </xf>
    <xf numFmtId="0" fontId="4" fillId="11" borderId="23" xfId="0" applyFont="1" applyFill="1" applyBorder="1" applyAlignment="1">
      <alignment horizontal="left" vertical="center" wrapText="1"/>
    </xf>
    <xf numFmtId="0" fontId="4" fillId="11" borderId="23" xfId="0" applyFont="1" applyFill="1" applyBorder="1" applyAlignment="1">
      <alignment horizontal="center" vertical="center" wrapText="1"/>
    </xf>
    <xf numFmtId="165" fontId="4" fillId="0" borderId="0" xfId="0" applyNumberFormat="1" applyFont="1" applyAlignment="1">
      <alignment horizontal="left" vertical="center" wrapText="1"/>
    </xf>
    <xf numFmtId="7" fontId="4" fillId="0" borderId="0" xfId="2" applyNumberFormat="1" applyFont="1" applyFill="1" applyBorder="1" applyAlignment="1">
      <alignment horizontal="center" wrapText="1"/>
    </xf>
    <xf numFmtId="7" fontId="4" fillId="0" borderId="0" xfId="2" applyNumberFormat="1" applyFont="1" applyBorder="1" applyAlignment="1">
      <alignment horizontal="center" wrapText="1"/>
    </xf>
    <xf numFmtId="7" fontId="20" fillId="0" borderId="0" xfId="2" applyNumberFormat="1" applyFont="1" applyBorder="1" applyAlignment="1">
      <alignment horizontal="center" wrapText="1"/>
    </xf>
    <xf numFmtId="189" fontId="4" fillId="0" borderId="0" xfId="6" applyNumberFormat="1" applyFont="1"/>
    <xf numFmtId="2" fontId="4" fillId="0" borderId="0" xfId="6" applyNumberFormat="1" applyFont="1" applyAlignment="1">
      <alignment horizontal="center"/>
    </xf>
    <xf numFmtId="0" fontId="26" fillId="0" borderId="0" xfId="8" applyFont="1" applyAlignment="1">
      <alignment horizontal="center"/>
    </xf>
    <xf numFmtId="2" fontId="26" fillId="0" borderId="0" xfId="8" applyNumberFormat="1" applyFont="1" applyAlignment="1">
      <alignment horizontal="center"/>
    </xf>
    <xf numFmtId="0" fontId="4" fillId="0" borderId="16" xfId="8" applyFont="1" applyBorder="1" applyAlignment="1">
      <alignment horizontal="center" vertical="center" wrapText="1"/>
    </xf>
    <xf numFmtId="165" fontId="4" fillId="0" borderId="16" xfId="8" applyNumberFormat="1" applyFont="1" applyBorder="1" applyAlignment="1">
      <alignment horizontal="center" vertical="center" wrapText="1"/>
    </xf>
    <xf numFmtId="165" fontId="4" fillId="0" borderId="16" xfId="13" applyNumberFormat="1" applyFont="1" applyBorder="1" applyAlignment="1">
      <alignment horizontal="center" vertical="center" wrapText="1"/>
    </xf>
    <xf numFmtId="2" fontId="4" fillId="0" borderId="16" xfId="8" applyNumberFormat="1" applyFont="1" applyBorder="1" applyAlignment="1">
      <alignment horizontal="center" vertical="center" wrapText="1"/>
    </xf>
    <xf numFmtId="2" fontId="4" fillId="0" borderId="9" xfId="3" applyNumberFormat="1" applyFont="1" applyFill="1" applyBorder="1" applyAlignment="1">
      <alignment horizontal="center"/>
    </xf>
    <xf numFmtId="180" fontId="4" fillId="0" borderId="16" xfId="8" applyNumberFormat="1" applyFont="1" applyBorder="1" applyAlignment="1">
      <alignment horizontal="center" vertical="center" wrapText="1"/>
    </xf>
    <xf numFmtId="171" fontId="4" fillId="0" borderId="16" xfId="8" applyNumberFormat="1" applyFont="1" applyBorder="1" applyAlignment="1">
      <alignment horizontal="center" vertical="center" wrapText="1"/>
    </xf>
    <xf numFmtId="0" fontId="26" fillId="0" borderId="9" xfId="8" applyFont="1" applyBorder="1"/>
    <xf numFmtId="0" fontId="0" fillId="0" borderId="9" xfId="3" applyNumberFormat="1" applyFont="1" applyBorder="1" applyAlignment="1">
      <alignment horizontal="center"/>
    </xf>
    <xf numFmtId="2" fontId="0" fillId="4" borderId="23" xfId="0" applyNumberFormat="1" applyFill="1" applyBorder="1" applyAlignment="1">
      <alignment horizontal="center"/>
    </xf>
    <xf numFmtId="0" fontId="0" fillId="4" borderId="14" xfId="0" applyFill="1" applyBorder="1" applyAlignment="1">
      <alignment horizontal="center"/>
    </xf>
    <xf numFmtId="10" fontId="43" fillId="4" borderId="23" xfId="7" applyNumberFormat="1" applyFont="1" applyFill="1" applyBorder="1" applyAlignment="1">
      <alignment horizontal="center" vertical="center" wrapText="1"/>
    </xf>
    <xf numFmtId="0" fontId="68" fillId="0" borderId="23" xfId="8" applyFont="1" applyBorder="1" applyAlignment="1">
      <alignment vertical="center" wrapText="1"/>
    </xf>
    <xf numFmtId="200" fontId="20" fillId="0" borderId="23" xfId="8" applyNumberFormat="1" applyFont="1" applyBorder="1" applyAlignment="1">
      <alignment horizontal="center"/>
    </xf>
    <xf numFmtId="200" fontId="64" fillId="0" borderId="23" xfId="8" applyNumberFormat="1" applyFont="1" applyBorder="1" applyAlignment="1">
      <alignment horizontal="center"/>
    </xf>
    <xf numFmtId="7" fontId="4" fillId="0" borderId="9" xfId="0" applyNumberFormat="1" applyFont="1" applyBorder="1" applyAlignment="1">
      <alignment horizontal="center"/>
    </xf>
    <xf numFmtId="2" fontId="89" fillId="0" borderId="0" xfId="0" applyNumberFormat="1" applyFont="1" applyAlignment="1">
      <alignment horizontal="center"/>
    </xf>
    <xf numFmtId="9" fontId="20" fillId="0" borderId="18" xfId="3" applyFont="1" applyFill="1" applyBorder="1" applyAlignment="1">
      <alignment horizontal="center"/>
    </xf>
    <xf numFmtId="172" fontId="20" fillId="0" borderId="21" xfId="3" applyNumberFormat="1" applyFont="1" applyFill="1" applyBorder="1" applyAlignment="1">
      <alignment horizontal="center"/>
    </xf>
    <xf numFmtId="0" fontId="20" fillId="0" borderId="19" xfId="6" applyFont="1" applyBorder="1"/>
    <xf numFmtId="0" fontId="20" fillId="0" borderId="82" xfId="6" applyFont="1" applyBorder="1"/>
    <xf numFmtId="0" fontId="89" fillId="0" borderId="19" xfId="0" applyFont="1" applyBorder="1" applyAlignment="1">
      <alignment horizontal="center" vertical="center" wrapText="1"/>
    </xf>
    <xf numFmtId="180" fontId="0" fillId="0" borderId="9" xfId="0" applyNumberFormat="1" applyBorder="1"/>
    <xf numFmtId="180" fontId="4" fillId="0" borderId="9" xfId="0" applyNumberFormat="1" applyFont="1" applyBorder="1"/>
    <xf numFmtId="1" fontId="0" fillId="0" borderId="9" xfId="0" applyNumberFormat="1" applyBorder="1" applyAlignment="1">
      <alignment horizontal="center"/>
    </xf>
    <xf numFmtId="170" fontId="0" fillId="0" borderId="9" xfId="0" applyNumberFormat="1" applyBorder="1" applyAlignment="1">
      <alignment horizontal="center"/>
    </xf>
    <xf numFmtId="9" fontId="0" fillId="0" borderId="9" xfId="0" applyNumberFormat="1" applyBorder="1"/>
    <xf numFmtId="7" fontId="0" fillId="0" borderId="9" xfId="0" applyNumberFormat="1" applyBorder="1"/>
    <xf numFmtId="171" fontId="4" fillId="0" borderId="9" xfId="0" applyNumberFormat="1" applyFont="1" applyBorder="1"/>
    <xf numFmtId="0" fontId="35" fillId="0" borderId="0" xfId="0" applyFont="1" applyAlignment="1">
      <alignment horizontal="left"/>
    </xf>
    <xf numFmtId="0" fontId="4" fillId="16" borderId="15" xfId="0" applyFont="1" applyFill="1" applyBorder="1" applyAlignment="1">
      <alignment horizontal="left" vertical="top"/>
    </xf>
    <xf numFmtId="0" fontId="20" fillId="8" borderId="35" xfId="0" applyFont="1" applyFill="1" applyBorder="1" applyAlignment="1">
      <alignment horizontal="center"/>
    </xf>
    <xf numFmtId="9" fontId="20" fillId="0" borderId="4" xfId="0" applyNumberFormat="1" applyFont="1" applyBorder="1" applyAlignment="1">
      <alignment horizontal="left" vertical="top" wrapText="1"/>
    </xf>
    <xf numFmtId="1" fontId="20" fillId="0" borderId="16" xfId="3" applyNumberFormat="1" applyFont="1" applyFill="1" applyBorder="1" applyAlignment="1">
      <alignment horizontal="center"/>
    </xf>
    <xf numFmtId="0" fontId="20" fillId="0" borderId="18" xfId="8" applyFont="1" applyBorder="1"/>
    <xf numFmtId="0" fontId="20" fillId="0" borderId="14" xfId="8" applyFont="1" applyBorder="1" applyAlignment="1">
      <alignment horizontal="left"/>
    </xf>
    <xf numFmtId="9" fontId="20" fillId="0" borderId="35" xfId="3" applyFont="1" applyFill="1" applyBorder="1" applyAlignment="1">
      <alignment horizontal="center"/>
    </xf>
    <xf numFmtId="0" fontId="20" fillId="0" borderId="34" xfId="8" applyFont="1" applyBorder="1"/>
    <xf numFmtId="0" fontId="20" fillId="0" borderId="32" xfId="8" applyFont="1" applyBorder="1"/>
    <xf numFmtId="9" fontId="20" fillId="0" borderId="25" xfId="3" applyFont="1" applyFill="1" applyBorder="1" applyAlignment="1">
      <alignment horizontal="center"/>
    </xf>
    <xf numFmtId="0" fontId="20" fillId="0" borderId="26" xfId="8" applyFont="1" applyBorder="1"/>
    <xf numFmtId="0" fontId="20" fillId="25" borderId="9" xfId="0" applyFont="1" applyFill="1" applyBorder="1" applyAlignment="1">
      <alignment horizontal="center" vertical="center" wrapText="1"/>
    </xf>
    <xf numFmtId="0" fontId="16" fillId="9" borderId="0" xfId="5" applyFont="1" applyFill="1" applyAlignment="1">
      <alignment horizontal="center"/>
    </xf>
    <xf numFmtId="167" fontId="40" fillId="12" borderId="0" xfId="0" applyNumberFormat="1" applyFont="1" applyFill="1" applyAlignment="1">
      <alignment horizontal="center"/>
    </xf>
    <xf numFmtId="0" fontId="39" fillId="0" borderId="0" xfId="5" applyFont="1" applyAlignment="1">
      <alignment horizontal="left"/>
    </xf>
    <xf numFmtId="0" fontId="20" fillId="0" borderId="14" xfId="8" applyFont="1" applyBorder="1"/>
    <xf numFmtId="0" fontId="20" fillId="0" borderId="23" xfId="8" applyFont="1" applyBorder="1"/>
    <xf numFmtId="0" fontId="20" fillId="11" borderId="9" xfId="0" applyFont="1" applyFill="1" applyBorder="1" applyAlignment="1">
      <alignment vertical="center"/>
    </xf>
    <xf numFmtId="0" fontId="20" fillId="0" borderId="9" xfId="0" applyFont="1" applyBorder="1" applyAlignment="1">
      <alignment vertical="center"/>
    </xf>
    <xf numFmtId="0" fontId="35" fillId="0" borderId="0" xfId="0" applyFont="1" applyAlignment="1">
      <alignment vertical="center" wrapText="1"/>
    </xf>
    <xf numFmtId="2" fontId="4" fillId="0" borderId="9" xfId="0" applyNumberFormat="1" applyFont="1" applyBorder="1" applyAlignment="1">
      <alignment horizontal="center" wrapText="1"/>
    </xf>
    <xf numFmtId="2" fontId="20" fillId="0" borderId="9" xfId="0" applyNumberFormat="1" applyFont="1" applyBorder="1" applyAlignment="1">
      <alignment horizontal="center" wrapText="1"/>
    </xf>
    <xf numFmtId="43" fontId="20" fillId="0" borderId="16" xfId="1" applyFont="1" applyBorder="1"/>
    <xf numFmtId="44" fontId="20" fillId="0" borderId="18" xfId="2" applyFont="1" applyFill="1" applyBorder="1"/>
    <xf numFmtId="171" fontId="4" fillId="0" borderId="9" xfId="0" applyNumberFormat="1" applyFont="1" applyBorder="1" applyAlignment="1">
      <alignment horizontal="center"/>
    </xf>
    <xf numFmtId="172" fontId="20" fillId="0" borderId="9" xfId="0" applyNumberFormat="1" applyFont="1" applyBorder="1" applyAlignment="1">
      <alignment horizontal="center" vertical="center" wrapText="1"/>
    </xf>
    <xf numFmtId="0" fontId="0" fillId="0" borderId="23" xfId="0" applyBorder="1" applyAlignment="1">
      <alignment horizontal="left" vertical="center" wrapText="1"/>
    </xf>
    <xf numFmtId="170" fontId="4" fillId="0" borderId="9" xfId="0" applyNumberFormat="1" applyFont="1" applyBorder="1" applyAlignment="1">
      <alignment horizontal="center"/>
    </xf>
    <xf numFmtId="43" fontId="4" fillId="0" borderId="9" xfId="0" applyNumberFormat="1" applyFont="1" applyBorder="1" applyAlignment="1">
      <alignment horizontal="center"/>
    </xf>
    <xf numFmtId="171" fontId="4" fillId="29" borderId="9" xfId="2" applyNumberFormat="1" applyFont="1" applyFill="1" applyBorder="1" applyAlignment="1">
      <alignment horizontal="center"/>
    </xf>
    <xf numFmtId="206" fontId="4" fillId="0" borderId="0" xfId="0" applyNumberFormat="1" applyFont="1"/>
    <xf numFmtId="205" fontId="4" fillId="26" borderId="0" xfId="0" applyNumberFormat="1" applyFont="1" applyFill="1"/>
    <xf numFmtId="207" fontId="4" fillId="0" borderId="0" xfId="0" applyNumberFormat="1" applyFont="1"/>
    <xf numFmtId="171" fontId="4" fillId="27" borderId="9" xfId="2" applyNumberFormat="1" applyFont="1" applyFill="1" applyBorder="1" applyAlignment="1">
      <alignment horizontal="center"/>
    </xf>
    <xf numFmtId="205" fontId="4" fillId="0" borderId="0" xfId="0" applyNumberFormat="1" applyFont="1"/>
    <xf numFmtId="43" fontId="40" fillId="0" borderId="9" xfId="1" applyFont="1" applyBorder="1"/>
    <xf numFmtId="205" fontId="40" fillId="0" borderId="9" xfId="0" applyNumberFormat="1" applyFont="1" applyBorder="1"/>
    <xf numFmtId="205" fontId="20" fillId="0" borderId="9" xfId="0" applyNumberFormat="1" applyFont="1" applyBorder="1"/>
    <xf numFmtId="205" fontId="20" fillId="26" borderId="9" xfId="0" applyNumberFormat="1" applyFont="1" applyFill="1" applyBorder="1"/>
    <xf numFmtId="206" fontId="20" fillId="0" borderId="0" xfId="0" applyNumberFormat="1" applyFont="1"/>
    <xf numFmtId="205" fontId="20" fillId="0" borderId="0" xfId="0" applyNumberFormat="1" applyFont="1"/>
    <xf numFmtId="7" fontId="0" fillId="0" borderId="9" xfId="0" applyNumberFormat="1" applyBorder="1" applyAlignment="1">
      <alignment horizontal="center" wrapText="1"/>
    </xf>
    <xf numFmtId="44" fontId="0" fillId="0" borderId="9" xfId="2" applyFont="1" applyFill="1" applyBorder="1" applyAlignment="1">
      <alignment horizontal="center" wrapText="1"/>
    </xf>
    <xf numFmtId="43" fontId="0" fillId="0" borderId="9" xfId="1" applyFont="1" applyBorder="1"/>
    <xf numFmtId="171" fontId="20" fillId="17" borderId="9" xfId="2" applyNumberFormat="1" applyFont="1" applyFill="1" applyBorder="1" applyAlignment="1">
      <alignment horizontal="center"/>
    </xf>
    <xf numFmtId="44" fontId="4" fillId="0" borderId="9" xfId="2" applyFont="1" applyBorder="1" applyAlignment="1">
      <alignment horizontal="center"/>
    </xf>
    <xf numFmtId="179" fontId="93" fillId="0" borderId="9" xfId="8" applyNumberFormat="1" applyFont="1" applyBorder="1" applyAlignment="1">
      <alignment horizontal="center"/>
    </xf>
    <xf numFmtId="4" fontId="93" fillId="0" borderId="9" xfId="8" applyNumberFormat="1" applyFont="1" applyBorder="1" applyAlignment="1">
      <alignment horizontal="center"/>
    </xf>
    <xf numFmtId="4" fontId="37" fillId="0" borderId="9" xfId="8" applyNumberFormat="1" applyFont="1" applyBorder="1" applyAlignment="1">
      <alignment horizontal="center"/>
    </xf>
    <xf numFmtId="179" fontId="93" fillId="0" borderId="9" xfId="6" applyNumberFormat="1" applyFont="1" applyBorder="1" applyAlignment="1">
      <alignment horizontal="center"/>
    </xf>
    <xf numFmtId="4" fontId="93" fillId="0" borderId="9" xfId="6" applyNumberFormat="1" applyFont="1" applyBorder="1" applyAlignment="1">
      <alignment horizontal="center"/>
    </xf>
    <xf numFmtId="0" fontId="40" fillId="0" borderId="0" xfId="5" applyFont="1" applyAlignment="1">
      <alignment horizontal="center"/>
    </xf>
    <xf numFmtId="0" fontId="20" fillId="4" borderId="9" xfId="5" applyFont="1" applyFill="1" applyBorder="1"/>
    <xf numFmtId="165" fontId="0" fillId="0" borderId="9" xfId="6" applyNumberFormat="1" applyFont="1" applyBorder="1" applyAlignment="1">
      <alignment horizontal="center" vertical="center"/>
    </xf>
    <xf numFmtId="171" fontId="0" fillId="4" borderId="9" xfId="13" applyNumberFormat="1" applyFont="1" applyFill="1" applyBorder="1" applyAlignment="1">
      <alignment horizontal="center" vertical="center"/>
    </xf>
    <xf numFmtId="171" fontId="0" fillId="0" borderId="9" xfId="13" applyNumberFormat="1" applyFont="1" applyBorder="1" applyAlignment="1">
      <alignment horizontal="center" vertical="center"/>
    </xf>
    <xf numFmtId="0" fontId="0" fillId="0" borderId="4" xfId="0" applyBorder="1" applyAlignment="1">
      <alignment horizontal="center" vertical="center" wrapText="1"/>
    </xf>
    <xf numFmtId="3" fontId="0" fillId="0" borderId="19" xfId="0" applyNumberFormat="1" applyBorder="1" applyAlignment="1">
      <alignment horizontal="center" vertical="center" wrapText="1"/>
    </xf>
    <xf numFmtId="0" fontId="43" fillId="0" borderId="4" xfId="0" applyFont="1" applyBorder="1" applyAlignment="1">
      <alignment horizontal="center" vertical="center" wrapText="1"/>
    </xf>
    <xf numFmtId="0" fontId="43" fillId="0" borderId="9" xfId="0" applyFont="1" applyBorder="1" applyAlignment="1">
      <alignment horizontal="center" vertical="center" wrapText="1"/>
    </xf>
    <xf numFmtId="3" fontId="43" fillId="0" borderId="9" xfId="0" applyNumberFormat="1" applyFont="1" applyBorder="1" applyAlignment="1">
      <alignment horizontal="center" vertical="center" wrapText="1"/>
    </xf>
    <xf numFmtId="3" fontId="43" fillId="0" borderId="14" xfId="0" applyNumberFormat="1" applyFont="1" applyBorder="1" applyAlignment="1">
      <alignment horizontal="center" vertical="center" wrapText="1"/>
    </xf>
    <xf numFmtId="0" fontId="0" fillId="0" borderId="23" xfId="0" applyBorder="1" applyAlignment="1">
      <alignment horizontal="center" vertical="center" wrapText="1"/>
    </xf>
    <xf numFmtId="208" fontId="20" fillId="0" borderId="23" xfId="2" applyNumberFormat="1" applyFont="1" applyBorder="1" applyAlignment="1">
      <alignment horizontal="center" vertical="center" wrapText="1"/>
    </xf>
    <xf numFmtId="1" fontId="20" fillId="0" borderId="9" xfId="1" applyNumberFormat="1" applyFont="1" applyBorder="1" applyAlignment="1">
      <alignment horizontal="center" vertical="center"/>
    </xf>
    <xf numFmtId="1" fontId="20" fillId="4" borderId="9" xfId="1" applyNumberFormat="1" applyFont="1" applyFill="1" applyBorder="1" applyAlignment="1">
      <alignment horizontal="center" vertical="center"/>
    </xf>
    <xf numFmtId="168" fontId="20" fillId="0" borderId="26" xfId="5" applyNumberFormat="1" applyFont="1" applyBorder="1" applyAlignment="1">
      <alignment horizontal="center" vertical="center" wrapText="1"/>
    </xf>
    <xf numFmtId="10" fontId="20" fillId="0" borderId="9" xfId="0" applyNumberFormat="1" applyFont="1" applyBorder="1" applyAlignment="1">
      <alignment horizontal="center"/>
    </xf>
    <xf numFmtId="168" fontId="20" fillId="0" borderId="0" xfId="1" applyNumberFormat="1" applyFont="1" applyAlignment="1">
      <alignment horizontal="center" vertical="center"/>
    </xf>
    <xf numFmtId="10" fontId="20" fillId="0" borderId="14" xfId="0" applyNumberFormat="1" applyFont="1" applyBorder="1" applyAlignment="1">
      <alignment horizontal="center"/>
    </xf>
    <xf numFmtId="4" fontId="20" fillId="4" borderId="9" xfId="6" applyNumberFormat="1" applyFont="1" applyFill="1" applyBorder="1" applyAlignment="1">
      <alignment horizontal="center"/>
    </xf>
    <xf numFmtId="165" fontId="68" fillId="0" borderId="19" xfId="8" applyNumberFormat="1" applyFont="1" applyBorder="1" applyAlignment="1">
      <alignment horizontal="left" vertical="center"/>
    </xf>
    <xf numFmtId="10" fontId="20" fillId="0" borderId="19" xfId="6" applyNumberFormat="1" applyFont="1" applyBorder="1" applyAlignment="1">
      <alignment horizontal="center"/>
    </xf>
    <xf numFmtId="171" fontId="20" fillId="0" borderId="82" xfId="13" applyNumberFormat="1" applyFont="1" applyBorder="1" applyAlignment="1">
      <alignment horizontal="center"/>
    </xf>
    <xf numFmtId="0" fontId="77" fillId="0" borderId="82" xfId="17" applyFont="1" applyFill="1" applyBorder="1" applyAlignment="1"/>
    <xf numFmtId="171" fontId="20" fillId="0" borderId="82" xfId="13" applyNumberFormat="1" applyFont="1" applyBorder="1" applyAlignment="1">
      <alignment horizontal="left"/>
    </xf>
    <xf numFmtId="0" fontId="20" fillId="0" borderId="4" xfId="8" applyFont="1" applyBorder="1"/>
    <xf numFmtId="0" fontId="20" fillId="0" borderId="14" xfId="0" applyFont="1" applyBorder="1" applyAlignment="1">
      <alignment horizontal="left" vertical="center"/>
    </xf>
    <xf numFmtId="9" fontId="20" fillId="0" borderId="9" xfId="0" applyNumberFormat="1" applyFont="1" applyBorder="1" applyAlignment="1">
      <alignment horizontal="center" vertical="center"/>
    </xf>
    <xf numFmtId="9" fontId="20" fillId="0" borderId="35" xfId="0" applyNumberFormat="1" applyFont="1" applyBorder="1" applyAlignment="1">
      <alignment horizontal="center" vertical="center"/>
    </xf>
    <xf numFmtId="9" fontId="20" fillId="0" borderId="14" xfId="3" applyFont="1" applyFill="1" applyBorder="1" applyAlignment="1">
      <alignment horizontal="center"/>
    </xf>
    <xf numFmtId="181" fontId="20" fillId="0" borderId="9" xfId="0" applyNumberFormat="1" applyFont="1" applyBorder="1" applyAlignment="1">
      <alignment horizontal="center" vertical="center" wrapText="1"/>
    </xf>
    <xf numFmtId="9" fontId="20" fillId="0" borderId="9" xfId="3" applyFont="1" applyBorder="1" applyAlignment="1">
      <alignment horizontal="center" vertical="center" wrapText="1"/>
    </xf>
    <xf numFmtId="180" fontId="20" fillId="0" borderId="9" xfId="0" applyNumberFormat="1" applyFont="1" applyBorder="1" applyAlignment="1">
      <alignment horizontal="center" wrapText="1"/>
    </xf>
    <xf numFmtId="190" fontId="20" fillId="0" borderId="9" xfId="3" applyNumberFormat="1" applyFont="1" applyBorder="1" applyAlignment="1">
      <alignment horizontal="left" wrapText="1"/>
    </xf>
    <xf numFmtId="10" fontId="20" fillId="0" borderId="9" xfId="3" applyNumberFormat="1" applyFont="1" applyBorder="1" applyAlignment="1">
      <alignment horizontal="center" wrapText="1"/>
    </xf>
    <xf numFmtId="172" fontId="20" fillId="4" borderId="9" xfId="3" applyNumberFormat="1" applyFont="1" applyFill="1" applyBorder="1" applyAlignment="1">
      <alignment horizontal="center" vertical="center" wrapText="1"/>
    </xf>
    <xf numFmtId="0" fontId="20" fillId="4" borderId="9" xfId="12" applyFont="1" applyFill="1" applyBorder="1" applyAlignment="1">
      <alignment horizontal="center" vertical="center"/>
    </xf>
    <xf numFmtId="169" fontId="20" fillId="4" borderId="9" xfId="2" applyNumberFormat="1" applyFont="1" applyFill="1" applyBorder="1" applyAlignment="1">
      <alignment horizontal="center" vertical="center"/>
    </xf>
    <xf numFmtId="0" fontId="20" fillId="4" borderId="9" xfId="6" applyFont="1" applyFill="1" applyBorder="1"/>
    <xf numFmtId="9" fontId="20" fillId="4" borderId="18" xfId="3" applyFont="1" applyFill="1" applyBorder="1" applyAlignment="1">
      <alignment horizontal="center"/>
    </xf>
    <xf numFmtId="172" fontId="20" fillId="4" borderId="21" xfId="3" applyNumberFormat="1" applyFont="1" applyFill="1" applyBorder="1" applyAlignment="1">
      <alignment horizontal="center"/>
    </xf>
    <xf numFmtId="0" fontId="20" fillId="4" borderId="19" xfId="6" applyFont="1" applyFill="1" applyBorder="1"/>
    <xf numFmtId="165" fontId="68" fillId="4" borderId="19" xfId="8" applyNumberFormat="1" applyFont="1" applyFill="1" applyBorder="1" applyAlignment="1">
      <alignment vertical="center"/>
    </xf>
    <xf numFmtId="165" fontId="68" fillId="4" borderId="19" xfId="8" applyNumberFormat="1" applyFont="1" applyFill="1" applyBorder="1" applyAlignment="1">
      <alignment horizontal="left" vertical="center"/>
    </xf>
    <xf numFmtId="165" fontId="20" fillId="4" borderId="19" xfId="6" applyNumberFormat="1" applyFont="1" applyFill="1" applyBorder="1" applyAlignment="1">
      <alignment horizontal="center"/>
    </xf>
    <xf numFmtId="0" fontId="20" fillId="4" borderId="82" xfId="6" applyFont="1" applyFill="1" applyBorder="1"/>
    <xf numFmtId="7" fontId="20" fillId="4" borderId="82" xfId="2" applyNumberFormat="1" applyFont="1" applyFill="1" applyBorder="1" applyAlignment="1">
      <alignment horizontal="center" wrapText="1"/>
    </xf>
    <xf numFmtId="0" fontId="77" fillId="4" borderId="82" xfId="17" applyFont="1" applyFill="1" applyBorder="1" applyAlignment="1"/>
    <xf numFmtId="171" fontId="20" fillId="4" borderId="82" xfId="13" applyNumberFormat="1" applyFont="1" applyFill="1" applyBorder="1" applyAlignment="1">
      <alignment horizontal="left"/>
    </xf>
    <xf numFmtId="0" fontId="40" fillId="12" borderId="9" xfId="0" applyFont="1" applyFill="1" applyBorder="1"/>
    <xf numFmtId="165" fontId="68" fillId="4" borderId="9" xfId="8" applyNumberFormat="1" applyFont="1" applyFill="1" applyBorder="1" applyAlignment="1">
      <alignment vertical="center"/>
    </xf>
    <xf numFmtId="167" fontId="40" fillId="12" borderId="9" xfId="0" applyNumberFormat="1" applyFont="1" applyFill="1" applyBorder="1" applyAlignment="1">
      <alignment horizontal="center"/>
    </xf>
    <xf numFmtId="167" fontId="40" fillId="12" borderId="9" xfId="0" applyNumberFormat="1" applyFont="1" applyFill="1" applyBorder="1"/>
    <xf numFmtId="0" fontId="95" fillId="9" borderId="0" xfId="5" applyFont="1" applyFill="1"/>
    <xf numFmtId="0" fontId="20" fillId="12" borderId="0" xfId="0" applyFont="1" applyFill="1"/>
    <xf numFmtId="0" fontId="66" fillId="12" borderId="0" xfId="0" applyFont="1" applyFill="1"/>
    <xf numFmtId="3" fontId="20" fillId="4" borderId="9" xfId="0" applyNumberFormat="1" applyFont="1" applyFill="1" applyBorder="1" applyAlignment="1">
      <alignment horizontal="left" vertical="center"/>
    </xf>
    <xf numFmtId="0" fontId="20" fillId="4" borderId="74" xfId="8" applyFont="1" applyFill="1" applyBorder="1"/>
    <xf numFmtId="1" fontId="20" fillId="4" borderId="4" xfId="0" applyNumberFormat="1" applyFont="1" applyFill="1" applyBorder="1" applyAlignment="1">
      <alignment horizontal="left" vertical="top" wrapText="1"/>
    </xf>
    <xf numFmtId="1" fontId="20" fillId="4" borderId="5" xfId="0" applyNumberFormat="1" applyFont="1" applyFill="1" applyBorder="1" applyAlignment="1">
      <alignment horizontal="left" vertical="top" wrapText="1"/>
    </xf>
    <xf numFmtId="1" fontId="20" fillId="4" borderId="9" xfId="0" applyNumberFormat="1" applyFont="1" applyFill="1" applyBorder="1" applyAlignment="1">
      <alignment horizontal="left" vertical="top" wrapText="1"/>
    </xf>
    <xf numFmtId="1" fontId="20" fillId="4" borderId="45" xfId="0" applyNumberFormat="1" applyFont="1" applyFill="1" applyBorder="1" applyAlignment="1">
      <alignment horizontal="left" vertical="top" wrapText="1"/>
    </xf>
    <xf numFmtId="1" fontId="20" fillId="4" borderId="23" xfId="0" applyNumberFormat="1" applyFont="1" applyFill="1" applyBorder="1" applyAlignment="1">
      <alignment horizontal="left" vertical="top" wrapText="1"/>
    </xf>
    <xf numFmtId="1" fontId="20" fillId="4" borderId="10" xfId="0" applyNumberFormat="1" applyFont="1" applyFill="1" applyBorder="1" applyAlignment="1">
      <alignment horizontal="left" vertical="top" wrapText="1"/>
    </xf>
    <xf numFmtId="1" fontId="20" fillId="0" borderId="9" xfId="0" applyNumberFormat="1" applyFont="1" applyBorder="1" applyAlignment="1">
      <alignment horizontal="left" vertical="top" wrapText="1"/>
    </xf>
    <xf numFmtId="1" fontId="20" fillId="0" borderId="10" xfId="0" applyNumberFormat="1" applyFont="1" applyBorder="1" applyAlignment="1">
      <alignment horizontal="left" vertical="top" wrapText="1"/>
    </xf>
    <xf numFmtId="1" fontId="20" fillId="4" borderId="10" xfId="0" applyNumberFormat="1" applyFont="1" applyFill="1" applyBorder="1"/>
    <xf numFmtId="0" fontId="20" fillId="4" borderId="19" xfId="0" applyFont="1" applyFill="1" applyBorder="1"/>
    <xf numFmtId="0" fontId="20" fillId="4" borderId="23" xfId="0" applyFont="1" applyFill="1" applyBorder="1"/>
    <xf numFmtId="0" fontId="20" fillId="0" borderId="25" xfId="0" applyFont="1" applyBorder="1"/>
    <xf numFmtId="0" fontId="20" fillId="0" borderId="15" xfId="0" applyFont="1" applyBorder="1"/>
    <xf numFmtId="2" fontId="20" fillId="0" borderId="4" xfId="0" applyNumberFormat="1" applyFont="1" applyBorder="1" applyAlignment="1">
      <alignment horizontal="left" vertical="top" wrapText="1"/>
    </xf>
    <xf numFmtId="0" fontId="20" fillId="0" borderId="4" xfId="0" applyFont="1" applyBorder="1"/>
    <xf numFmtId="0" fontId="20" fillId="0" borderId="5" xfId="0" applyFont="1" applyBorder="1" applyAlignment="1">
      <alignment horizontal="left" vertical="top" wrapText="1"/>
    </xf>
    <xf numFmtId="0" fontId="20" fillId="0" borderId="10" xfId="0" applyFont="1" applyBorder="1" applyAlignment="1">
      <alignment horizontal="left" vertical="top" wrapText="1"/>
    </xf>
    <xf numFmtId="2" fontId="20" fillId="0" borderId="19" xfId="0" applyNumberFormat="1" applyFont="1" applyBorder="1" applyAlignment="1">
      <alignment horizontal="left" vertical="top" wrapText="1"/>
    </xf>
    <xf numFmtId="0" fontId="20" fillId="0" borderId="19" xfId="0" applyFont="1" applyBorder="1"/>
    <xf numFmtId="0" fontId="20" fillId="0" borderId="46" xfId="0" applyFont="1" applyBorder="1" applyAlignment="1">
      <alignment horizontal="left" vertical="top" wrapText="1"/>
    </xf>
    <xf numFmtId="0" fontId="20" fillId="0" borderId="30" xfId="0" applyFont="1" applyBorder="1"/>
    <xf numFmtId="0" fontId="20" fillId="0" borderId="15" xfId="0" applyFont="1" applyBorder="1" applyAlignment="1">
      <alignment horizontal="left" vertical="top" wrapText="1"/>
    </xf>
    <xf numFmtId="2" fontId="20" fillId="0" borderId="10" xfId="0" applyNumberFormat="1" applyFont="1" applyBorder="1" applyAlignment="1">
      <alignment vertical="center" wrapText="1"/>
    </xf>
    <xf numFmtId="2" fontId="20" fillId="0" borderId="19" xfId="0" applyNumberFormat="1" applyFont="1" applyBorder="1"/>
    <xf numFmtId="2" fontId="20" fillId="0" borderId="30" xfId="0" applyNumberFormat="1" applyFont="1" applyBorder="1" applyAlignment="1">
      <alignment horizontal="left" vertical="top" wrapText="1"/>
    </xf>
    <xf numFmtId="2" fontId="20" fillId="0" borderId="30" xfId="0" applyNumberFormat="1" applyFont="1" applyBorder="1"/>
    <xf numFmtId="0" fontId="20" fillId="4" borderId="46" xfId="0" applyFont="1" applyFill="1" applyBorder="1"/>
    <xf numFmtId="9" fontId="20" fillId="4" borderId="14" xfId="0" applyNumberFormat="1" applyFont="1" applyFill="1" applyBorder="1" applyAlignment="1">
      <alignment horizontal="left" vertical="top"/>
    </xf>
    <xf numFmtId="0" fontId="20" fillId="4" borderId="15" xfId="0" applyFont="1" applyFill="1" applyBorder="1"/>
    <xf numFmtId="0" fontId="20" fillId="0" borderId="30" xfId="0" applyFont="1" applyBorder="1" applyAlignment="1">
      <alignment horizontal="left" vertical="top"/>
    </xf>
    <xf numFmtId="0" fontId="20" fillId="0" borderId="89" xfId="0" applyFont="1" applyBorder="1" applyAlignment="1">
      <alignment horizontal="left" vertical="center" wrapText="1"/>
    </xf>
    <xf numFmtId="0" fontId="20" fillId="0" borderId="81" xfId="0" applyFont="1" applyBorder="1" applyAlignment="1">
      <alignment horizontal="left" vertical="center" wrapText="1"/>
    </xf>
    <xf numFmtId="9" fontId="20" fillId="0" borderId="48" xfId="0" applyNumberFormat="1" applyFont="1" applyBorder="1" applyAlignment="1">
      <alignment horizontal="left" vertical="center" wrapText="1"/>
    </xf>
    <xf numFmtId="0" fontId="20" fillId="0" borderId="48" xfId="0" applyFont="1" applyBorder="1" applyAlignment="1">
      <alignment horizontal="left" vertical="top" wrapText="1"/>
    </xf>
    <xf numFmtId="2" fontId="77" fillId="0" borderId="0" xfId="0" applyNumberFormat="1" applyFont="1" applyAlignment="1">
      <alignment horizontal="right"/>
    </xf>
    <xf numFmtId="0" fontId="77" fillId="0" borderId="0" xfId="0" applyFont="1" applyAlignment="1">
      <alignment horizontal="center"/>
    </xf>
    <xf numFmtId="171" fontId="20" fillId="0" borderId="9" xfId="2" applyNumberFormat="1" applyFont="1" applyFill="1" applyBorder="1" applyAlignment="1">
      <alignment horizontal="center"/>
    </xf>
    <xf numFmtId="171" fontId="20" fillId="0" borderId="9" xfId="0" applyNumberFormat="1" applyFont="1" applyBorder="1" applyAlignment="1">
      <alignment horizontal="right"/>
    </xf>
    <xf numFmtId="37" fontId="20" fillId="0" borderId="9" xfId="0" applyNumberFormat="1" applyFont="1" applyBorder="1"/>
    <xf numFmtId="0" fontId="20" fillId="0" borderId="19" xfId="0" applyFont="1" applyBorder="1" applyAlignment="1">
      <alignment horizontal="left" vertical="top" wrapText="1"/>
    </xf>
    <xf numFmtId="0" fontId="20" fillId="0" borderId="37" xfId="0" applyFont="1" applyBorder="1"/>
    <xf numFmtId="2" fontId="20" fillId="0" borderId="20" xfId="0" applyNumberFormat="1" applyFont="1" applyBorder="1" applyAlignment="1">
      <alignment wrapText="1"/>
    </xf>
    <xf numFmtId="2" fontId="20" fillId="0" borderId="35" xfId="0" applyNumberFormat="1" applyFont="1" applyBorder="1" applyAlignment="1">
      <alignment wrapText="1"/>
    </xf>
    <xf numFmtId="2" fontId="20" fillId="0" borderId="25" xfId="0" applyNumberFormat="1" applyFont="1" applyBorder="1" applyAlignment="1">
      <alignment wrapText="1"/>
    </xf>
    <xf numFmtId="0" fontId="20" fillId="0" borderId="44" xfId="0" applyFont="1" applyBorder="1" applyAlignment="1">
      <alignment horizontal="left" vertical="center" wrapText="1"/>
    </xf>
    <xf numFmtId="186" fontId="20" fillId="0" borderId="0" xfId="0" applyNumberFormat="1" applyFont="1"/>
    <xf numFmtId="169" fontId="20" fillId="0" borderId="9" xfId="2" applyNumberFormat="1" applyFont="1" applyFill="1" applyBorder="1" applyAlignment="1">
      <alignment horizontal="center"/>
    </xf>
    <xf numFmtId="2" fontId="20" fillId="0" borderId="9" xfId="1" applyNumberFormat="1" applyFont="1" applyFill="1" applyBorder="1" applyAlignment="1">
      <alignment horizontal="center" wrapText="1"/>
    </xf>
    <xf numFmtId="178" fontId="20" fillId="0" borderId="9" xfId="0" applyNumberFormat="1" applyFont="1" applyBorder="1" applyAlignment="1">
      <alignment horizontal="left" vertical="center" wrapText="1"/>
    </xf>
    <xf numFmtId="10" fontId="20" fillId="0" borderId="14" xfId="7" applyNumberFormat="1" applyFont="1" applyBorder="1" applyAlignment="1">
      <alignment horizontal="center" vertical="center" wrapText="1"/>
    </xf>
    <xf numFmtId="2" fontId="20" fillId="0" borderId="34" xfId="0" applyNumberFormat="1" applyFont="1" applyBorder="1" applyAlignment="1">
      <alignment horizontal="center"/>
    </xf>
    <xf numFmtId="171" fontId="20" fillId="0" borderId="9" xfId="2" applyNumberFormat="1" applyFont="1" applyBorder="1" applyAlignment="1">
      <alignment horizontal="center"/>
    </xf>
    <xf numFmtId="9" fontId="20" fillId="0" borderId="0" xfId="3" applyFont="1" applyFill="1" applyAlignment="1">
      <alignment horizontal="center"/>
    </xf>
    <xf numFmtId="9" fontId="20" fillId="0" borderId="19" xfId="0" applyNumberFormat="1" applyFont="1" applyBorder="1" applyAlignment="1">
      <alignment horizontal="center" vertical="center" wrapText="1"/>
    </xf>
    <xf numFmtId="165" fontId="20" fillId="0" borderId="9" xfId="0" applyNumberFormat="1" applyFont="1" applyBorder="1" applyAlignment="1">
      <alignment horizontal="left" vertical="center" wrapText="1"/>
    </xf>
    <xf numFmtId="170" fontId="20" fillId="0" borderId="16" xfId="1" applyNumberFormat="1" applyFont="1" applyFill="1" applyBorder="1" applyAlignment="1">
      <alignment horizontal="left" vertical="center" wrapText="1"/>
    </xf>
    <xf numFmtId="170" fontId="20" fillId="0" borderId="82" xfId="1" applyNumberFormat="1" applyFont="1" applyFill="1" applyBorder="1" applyAlignment="1">
      <alignment horizontal="center" vertical="center" wrapText="1"/>
    </xf>
    <xf numFmtId="7" fontId="20" fillId="0" borderId="16" xfId="2" applyNumberFormat="1" applyFont="1" applyFill="1" applyBorder="1" applyAlignment="1">
      <alignment horizontal="left" wrapText="1"/>
    </xf>
    <xf numFmtId="7" fontId="20" fillId="0" borderId="20" xfId="2" applyNumberFormat="1" applyFont="1" applyFill="1" applyBorder="1" applyAlignment="1">
      <alignment horizontal="left" wrapText="1"/>
    </xf>
    <xf numFmtId="7" fontId="20" fillId="0" borderId="85" xfId="2" applyNumberFormat="1" applyFont="1" applyFill="1" applyBorder="1" applyAlignment="1">
      <alignment horizontal="center" wrapText="1"/>
    </xf>
    <xf numFmtId="0" fontId="20" fillId="0" borderId="9" xfId="6" applyFont="1" applyBorder="1" applyAlignment="1">
      <alignment horizontal="left"/>
    </xf>
    <xf numFmtId="49" fontId="20" fillId="0" borderId="9" xfId="2" applyNumberFormat="1" applyFont="1" applyFill="1" applyBorder="1" applyAlignment="1">
      <alignment horizontal="center" vertical="center"/>
    </xf>
    <xf numFmtId="0" fontId="20" fillId="0" borderId="16" xfId="8" applyFont="1" applyBorder="1" applyAlignment="1">
      <alignment horizontal="center" vertical="center" wrapText="1"/>
    </xf>
    <xf numFmtId="2" fontId="20" fillId="0" borderId="16" xfId="8" applyNumberFormat="1" applyFont="1" applyBorder="1" applyAlignment="1">
      <alignment horizontal="center" vertical="center" wrapText="1"/>
    </xf>
    <xf numFmtId="180" fontId="20" fillId="0" borderId="16" xfId="8" applyNumberFormat="1" applyFont="1" applyBorder="1" applyAlignment="1">
      <alignment horizontal="center" vertical="center" wrapText="1"/>
    </xf>
    <xf numFmtId="171" fontId="20" fillId="0" borderId="16" xfId="8" applyNumberFormat="1" applyFont="1" applyBorder="1" applyAlignment="1">
      <alignment horizontal="center" vertical="center" wrapText="1"/>
    </xf>
    <xf numFmtId="170" fontId="20" fillId="0" borderId="16" xfId="1" applyNumberFormat="1" applyFont="1" applyFill="1" applyBorder="1" applyAlignment="1">
      <alignment vertical="center" wrapText="1"/>
    </xf>
    <xf numFmtId="7" fontId="20" fillId="0" borderId="16" xfId="2" applyNumberFormat="1" applyFont="1" applyFill="1" applyBorder="1" applyAlignment="1">
      <alignment wrapText="1"/>
    </xf>
    <xf numFmtId="7" fontId="20" fillId="0" borderId="9" xfId="0" applyNumberFormat="1" applyFont="1" applyBorder="1" applyAlignment="1">
      <alignment horizontal="center"/>
    </xf>
    <xf numFmtId="0" fontId="20" fillId="0" borderId="19" xfId="6" applyFont="1" applyBorder="1" applyAlignment="1">
      <alignment vertical="center"/>
    </xf>
    <xf numFmtId="165" fontId="68" fillId="0" borderId="19" xfId="8" applyNumberFormat="1" applyFont="1" applyBorder="1" applyAlignment="1">
      <alignment vertical="center"/>
    </xf>
    <xf numFmtId="0" fontId="38" fillId="0" borderId="82" xfId="8" applyFont="1" applyBorder="1" applyAlignment="1">
      <alignment vertical="center"/>
    </xf>
    <xf numFmtId="0" fontId="25" fillId="0" borderId="82" xfId="8" applyFont="1" applyBorder="1" applyAlignment="1">
      <alignment vertical="center"/>
    </xf>
    <xf numFmtId="37" fontId="20" fillId="7" borderId="9" xfId="1" applyNumberFormat="1" applyFont="1" applyFill="1" applyBorder="1" applyAlignment="1">
      <alignment horizontal="center"/>
    </xf>
    <xf numFmtId="2" fontId="35" fillId="0" borderId="0" xfId="5" applyNumberFormat="1" applyFont="1" applyAlignment="1">
      <alignment horizontal="center"/>
    </xf>
    <xf numFmtId="2" fontId="20" fillId="33" borderId="9" xfId="1" applyNumberFormat="1" applyFont="1" applyFill="1" applyBorder="1" applyAlignment="1">
      <alignment horizontal="center"/>
    </xf>
    <xf numFmtId="2" fontId="20" fillId="8" borderId="9" xfId="1" applyNumberFormat="1" applyFont="1" applyFill="1" applyBorder="1"/>
    <xf numFmtId="44" fontId="20" fillId="4" borderId="9" xfId="2" applyFont="1" applyFill="1" applyBorder="1"/>
    <xf numFmtId="2" fontId="20" fillId="8" borderId="23" xfId="1" applyNumberFormat="1" applyFont="1" applyFill="1" applyBorder="1"/>
    <xf numFmtId="44" fontId="20" fillId="4" borderId="17" xfId="2" applyFont="1" applyFill="1" applyBorder="1"/>
    <xf numFmtId="2" fontId="0" fillId="0" borderId="25" xfId="1" applyNumberFormat="1" applyFont="1" applyFill="1" applyBorder="1" applyAlignment="1">
      <alignment horizontal="center"/>
    </xf>
    <xf numFmtId="2" fontId="0" fillId="0" borderId="20" xfId="1" applyNumberFormat="1" applyFont="1" applyFill="1" applyBorder="1" applyAlignment="1">
      <alignment horizontal="center"/>
    </xf>
    <xf numFmtId="2" fontId="0" fillId="0" borderId="22" xfId="1" applyNumberFormat="1" applyFont="1" applyFill="1" applyBorder="1" applyAlignment="1">
      <alignment horizontal="center"/>
    </xf>
    <xf numFmtId="2" fontId="0" fillId="0" borderId="16" xfId="1" applyNumberFormat="1" applyFont="1" applyFill="1" applyBorder="1" applyAlignment="1">
      <alignment horizontal="center"/>
    </xf>
    <xf numFmtId="44" fontId="20" fillId="0" borderId="24" xfId="2" applyFont="1" applyFill="1" applyBorder="1"/>
    <xf numFmtId="44" fontId="20" fillId="0" borderId="26" xfId="2" applyFont="1" applyFill="1" applyBorder="1"/>
    <xf numFmtId="165" fontId="11" fillId="0" borderId="8" xfId="0" applyNumberFormat="1" applyFont="1" applyBorder="1" applyAlignment="1">
      <alignment horizontal="center" vertical="center" wrapText="1"/>
    </xf>
    <xf numFmtId="165" fontId="11" fillId="0" borderId="9" xfId="0" applyNumberFormat="1" applyFont="1" applyBorder="1" applyAlignment="1">
      <alignment horizontal="center" vertical="center" wrapText="1"/>
    </xf>
    <xf numFmtId="0" fontId="11" fillId="0" borderId="10" xfId="0" applyFont="1" applyBorder="1" applyAlignment="1">
      <alignment horizontal="left" vertical="center" wrapText="1"/>
    </xf>
    <xf numFmtId="0" fontId="20" fillId="4" borderId="9" xfId="13" applyFont="1" applyFill="1" applyBorder="1" applyAlignment="1">
      <alignment horizontal="center"/>
    </xf>
    <xf numFmtId="14" fontId="11" fillId="0" borderId="9" xfId="0" applyNumberFormat="1" applyFont="1" applyBorder="1" applyAlignment="1">
      <alignment horizontal="center" vertical="center" wrapText="1"/>
    </xf>
    <xf numFmtId="0" fontId="20" fillId="0" borderId="18" xfId="0" applyFont="1" applyBorder="1"/>
    <xf numFmtId="0" fontId="20" fillId="4" borderId="25" xfId="0" applyFont="1" applyFill="1" applyBorder="1" applyAlignment="1">
      <alignment horizontal="left" vertical="top" wrapText="1"/>
    </xf>
    <xf numFmtId="0" fontId="20" fillId="15" borderId="27" xfId="0" applyFont="1" applyFill="1" applyBorder="1" applyAlignment="1">
      <alignment horizontal="center" vertical="center" wrapText="1"/>
    </xf>
    <xf numFmtId="0" fontId="20" fillId="15" borderId="21" xfId="0" applyFont="1" applyFill="1" applyBorder="1" applyAlignment="1">
      <alignment horizontal="center" vertical="center" wrapText="1"/>
    </xf>
    <xf numFmtId="1" fontId="4" fillId="0" borderId="9" xfId="0" applyNumberFormat="1" applyFont="1" applyBorder="1" applyAlignment="1">
      <alignment horizontal="center"/>
    </xf>
    <xf numFmtId="9" fontId="20" fillId="0" borderId="4" xfId="3" applyFont="1" applyFill="1" applyBorder="1" applyAlignment="1">
      <alignment horizontal="center"/>
    </xf>
    <xf numFmtId="2" fontId="20" fillId="4" borderId="14" xfId="0" applyNumberFormat="1" applyFont="1" applyFill="1" applyBorder="1" applyAlignment="1">
      <alignment horizontal="left" vertical="top" wrapText="1"/>
    </xf>
    <xf numFmtId="4" fontId="26" fillId="0" borderId="9" xfId="8" applyNumberFormat="1" applyFont="1" applyBorder="1" applyAlignment="1">
      <alignment horizontal="center"/>
    </xf>
    <xf numFmtId="189" fontId="26" fillId="0" borderId="9" xfId="1" applyNumberFormat="1" applyFont="1" applyFill="1" applyBorder="1" applyAlignment="1">
      <alignment horizontal="center"/>
    </xf>
    <xf numFmtId="37" fontId="26" fillId="0" borderId="9" xfId="1" applyNumberFormat="1" applyFont="1" applyFill="1" applyBorder="1" applyAlignment="1">
      <alignment horizontal="center"/>
    </xf>
    <xf numFmtId="168" fontId="4" fillId="0" borderId="9" xfId="0" applyNumberFormat="1" applyFont="1" applyBorder="1" applyAlignment="1">
      <alignment horizontal="center"/>
    </xf>
    <xf numFmtId="9" fontId="20" fillId="0" borderId="9" xfId="3" applyFont="1" applyFill="1" applyBorder="1" applyAlignment="1">
      <alignment horizontal="center" wrapText="1"/>
    </xf>
    <xf numFmtId="10" fontId="4" fillId="0" borderId="23" xfId="0" applyNumberFormat="1" applyFont="1" applyBorder="1" applyAlignment="1">
      <alignment horizontal="left" vertical="top"/>
    </xf>
    <xf numFmtId="0" fontId="26" fillId="0" borderId="39" xfId="8" applyFont="1" applyBorder="1"/>
    <xf numFmtId="165" fontId="0" fillId="0" borderId="0" xfId="0" applyNumberFormat="1" applyAlignment="1">
      <alignment horizontal="center" vertical="center" wrapText="1"/>
    </xf>
    <xf numFmtId="165" fontId="4" fillId="0" borderId="0" xfId="0" applyNumberFormat="1" applyFont="1" applyAlignment="1">
      <alignment horizontal="center" vertical="center" wrapText="1"/>
    </xf>
    <xf numFmtId="43" fontId="0" fillId="0" borderId="0" xfId="1" applyFont="1" applyBorder="1"/>
    <xf numFmtId="2" fontId="20" fillId="4" borderId="19" xfId="0" applyNumberFormat="1" applyFont="1" applyFill="1" applyBorder="1"/>
    <xf numFmtId="2" fontId="4" fillId="0" borderId="19" xfId="0" applyNumberFormat="1" applyFont="1" applyBorder="1"/>
    <xf numFmtId="2" fontId="20" fillId="4" borderId="30" xfId="0" applyNumberFormat="1" applyFont="1" applyFill="1" applyBorder="1"/>
    <xf numFmtId="2" fontId="4" fillId="0" borderId="30" xfId="0" applyNumberFormat="1" applyFont="1" applyBorder="1"/>
    <xf numFmtId="2" fontId="20" fillId="0" borderId="33" xfId="0" applyNumberFormat="1" applyFont="1" applyBorder="1"/>
    <xf numFmtId="39" fontId="0" fillId="0" borderId="33" xfId="5" applyNumberFormat="1" applyFont="1" applyBorder="1" applyAlignment="1">
      <alignment horizontal="center"/>
    </xf>
    <xf numFmtId="39" fontId="20" fillId="0" borderId="4" xfId="5" applyNumberFormat="1" applyFont="1" applyBorder="1" applyAlignment="1">
      <alignment horizontal="center"/>
    </xf>
    <xf numFmtId="39" fontId="0" fillId="0" borderId="9" xfId="5" applyNumberFormat="1" applyFont="1" applyBorder="1" applyAlignment="1">
      <alignment horizontal="center"/>
    </xf>
    <xf numFmtId="165" fontId="20" fillId="4" borderId="4" xfId="0" applyNumberFormat="1" applyFont="1" applyFill="1" applyBorder="1" applyAlignment="1">
      <alignment horizontal="center" vertical="center" wrapText="1"/>
    </xf>
    <xf numFmtId="39" fontId="1" fillId="0" borderId="4" xfId="5" applyNumberFormat="1" applyFont="1" applyBorder="1" applyAlignment="1">
      <alignment horizontal="center"/>
    </xf>
    <xf numFmtId="39" fontId="20" fillId="4" borderId="9" xfId="5" applyNumberFormat="1" applyFont="1" applyFill="1" applyBorder="1"/>
    <xf numFmtId="39" fontId="4" fillId="0" borderId="9" xfId="5" applyNumberFormat="1" applyFont="1" applyBorder="1"/>
    <xf numFmtId="39" fontId="20" fillId="0" borderId="9" xfId="5" applyNumberFormat="1" applyFont="1" applyBorder="1"/>
    <xf numFmtId="39" fontId="0" fillId="0" borderId="9" xfId="5" applyNumberFormat="1" applyFont="1" applyBorder="1"/>
    <xf numFmtId="39" fontId="20" fillId="4" borderId="33" xfId="5" applyNumberFormat="1" applyFont="1" applyFill="1" applyBorder="1"/>
    <xf numFmtId="39" fontId="4" fillId="0" borderId="33" xfId="5" applyNumberFormat="1" applyFont="1" applyBorder="1"/>
    <xf numFmtId="39" fontId="20" fillId="0" borderId="33" xfId="5" applyNumberFormat="1" applyFont="1" applyBorder="1"/>
    <xf numFmtId="39" fontId="0" fillId="0" borderId="33" xfId="5" applyNumberFormat="1" applyFont="1" applyBorder="1"/>
    <xf numFmtId="39" fontId="1" fillId="0" borderId="33" xfId="5" applyNumberFormat="1" applyFont="1" applyBorder="1"/>
    <xf numFmtId="39" fontId="20" fillId="4" borderId="4" xfId="5" applyNumberFormat="1" applyFont="1" applyFill="1" applyBorder="1"/>
    <xf numFmtId="39" fontId="4" fillId="0" borderId="4" xfId="5" applyNumberFormat="1" applyFont="1" applyBorder="1"/>
    <xf numFmtId="39" fontId="20" fillId="0" borderId="4" xfId="5" applyNumberFormat="1" applyFont="1" applyBorder="1"/>
    <xf numFmtId="39" fontId="1" fillId="0" borderId="4" xfId="5" applyNumberFormat="1" applyFont="1" applyBorder="1"/>
    <xf numFmtId="185" fontId="25" fillId="4" borderId="23" xfId="2" applyNumberFormat="1" applyFont="1" applyFill="1" applyBorder="1" applyAlignment="1"/>
    <xf numFmtId="185" fontId="25" fillId="0" borderId="23" xfId="2" applyNumberFormat="1" applyFont="1" applyFill="1" applyBorder="1" applyAlignment="1"/>
    <xf numFmtId="2" fontId="20" fillId="4" borderId="33" xfId="0" applyNumberFormat="1" applyFont="1" applyFill="1" applyBorder="1"/>
    <xf numFmtId="2" fontId="4" fillId="0" borderId="33" xfId="0" applyNumberFormat="1" applyFont="1" applyBorder="1"/>
    <xf numFmtId="10" fontId="28" fillId="4" borderId="23" xfId="7" applyNumberFormat="1" applyFont="1" applyFill="1" applyBorder="1" applyAlignment="1">
      <alignment wrapText="1"/>
    </xf>
    <xf numFmtId="10" fontId="37" fillId="0" borderId="23" xfId="7" applyNumberFormat="1" applyFont="1" applyBorder="1" applyAlignment="1">
      <alignment wrapText="1"/>
    </xf>
    <xf numFmtId="10" fontId="28" fillId="0" borderId="23" xfId="7" applyNumberFormat="1" applyFont="1" applyBorder="1" applyAlignment="1">
      <alignment wrapText="1"/>
    </xf>
    <xf numFmtId="10" fontId="28" fillId="4" borderId="33" xfId="7" applyNumberFormat="1" applyFont="1" applyFill="1" applyBorder="1" applyAlignment="1">
      <alignment wrapText="1"/>
    </xf>
    <xf numFmtId="10" fontId="37" fillId="0" borderId="33" xfId="7" applyNumberFormat="1" applyFont="1" applyBorder="1" applyAlignment="1">
      <alignment wrapText="1"/>
    </xf>
    <xf numFmtId="10" fontId="28" fillId="0" borderId="33" xfId="7" applyNumberFormat="1" applyFont="1" applyBorder="1" applyAlignment="1">
      <alignment wrapText="1"/>
    </xf>
    <xf numFmtId="10" fontId="23" fillId="0" borderId="23" xfId="7" applyNumberFormat="1" applyFont="1" applyBorder="1" applyAlignment="1">
      <alignment wrapText="1"/>
    </xf>
    <xf numFmtId="10" fontId="28" fillId="4" borderId="9" xfId="7" applyNumberFormat="1" applyFont="1" applyFill="1" applyBorder="1" applyAlignment="1">
      <alignment wrapText="1"/>
    </xf>
    <xf numFmtId="10" fontId="37" fillId="0" borderId="9" xfId="7" applyNumberFormat="1" applyFont="1" applyBorder="1" applyAlignment="1">
      <alignment wrapText="1"/>
    </xf>
    <xf numFmtId="10" fontId="28" fillId="0" borderId="9" xfId="7" applyNumberFormat="1" applyFont="1" applyBorder="1" applyAlignment="1">
      <alignment wrapText="1"/>
    </xf>
    <xf numFmtId="10" fontId="23" fillId="0" borderId="9" xfId="7" applyNumberFormat="1" applyFont="1" applyBorder="1" applyAlignment="1">
      <alignment wrapText="1"/>
    </xf>
    <xf numFmtId="9" fontId="28" fillId="4" borderId="23" xfId="7" applyFont="1" applyFill="1" applyBorder="1" applyAlignment="1">
      <alignment wrapText="1"/>
    </xf>
    <xf numFmtId="9" fontId="37" fillId="0" borderId="23" xfId="7" applyFont="1" applyBorder="1" applyAlignment="1">
      <alignment wrapText="1"/>
    </xf>
    <xf numFmtId="9" fontId="28" fillId="0" borderId="23" xfId="7" applyFont="1" applyBorder="1" applyAlignment="1">
      <alignment wrapText="1"/>
    </xf>
    <xf numFmtId="9" fontId="28" fillId="4" borderId="9" xfId="7" applyFont="1" applyFill="1" applyBorder="1" applyAlignment="1">
      <alignment wrapText="1"/>
    </xf>
    <xf numFmtId="9" fontId="37" fillId="0" borderId="9" xfId="7" applyFont="1" applyBorder="1" applyAlignment="1">
      <alignment wrapText="1"/>
    </xf>
    <xf numFmtId="9" fontId="28" fillId="0" borderId="9" xfId="7" applyFont="1" applyBorder="1" applyAlignment="1">
      <alignment wrapText="1"/>
    </xf>
    <xf numFmtId="9" fontId="28" fillId="4" borderId="14" xfId="7" applyFont="1" applyFill="1" applyBorder="1" applyAlignment="1">
      <alignment wrapText="1"/>
    </xf>
    <xf numFmtId="9" fontId="37" fillId="0" borderId="14" xfId="7" applyFont="1" applyBorder="1" applyAlignment="1">
      <alignment wrapText="1"/>
    </xf>
    <xf numFmtId="9" fontId="28" fillId="0" borderId="14" xfId="7" applyFont="1" applyBorder="1" applyAlignment="1">
      <alignment wrapText="1"/>
    </xf>
    <xf numFmtId="165" fontId="20" fillId="4" borderId="4" xfId="0" applyNumberFormat="1" applyFont="1" applyFill="1" applyBorder="1" applyAlignment="1">
      <alignment wrapText="1"/>
    </xf>
    <xf numFmtId="165" fontId="20" fillId="0" borderId="4" xfId="0" applyNumberFormat="1" applyFont="1" applyBorder="1" applyAlignment="1">
      <alignment wrapText="1"/>
    </xf>
    <xf numFmtId="165" fontId="20" fillId="4" borderId="33" xfId="0" applyNumberFormat="1" applyFont="1" applyFill="1" applyBorder="1" applyAlignment="1">
      <alignment wrapText="1"/>
    </xf>
    <xf numFmtId="165" fontId="20" fillId="0" borderId="33" xfId="0" applyNumberFormat="1" applyFont="1" applyBorder="1" applyAlignment="1">
      <alignment wrapText="1"/>
    </xf>
    <xf numFmtId="165" fontId="4" fillId="0" borderId="33" xfId="0" applyNumberFormat="1" applyFont="1" applyBorder="1" applyAlignment="1">
      <alignment wrapText="1"/>
    </xf>
    <xf numFmtId="39" fontId="0" fillId="0" borderId="30" xfId="0" applyNumberFormat="1" applyBorder="1" applyAlignment="1">
      <alignment horizontal="center" vertical="center"/>
    </xf>
    <xf numFmtId="39" fontId="4" fillId="0" borderId="30" xfId="0" applyNumberFormat="1" applyFont="1" applyBorder="1" applyAlignment="1">
      <alignment horizontal="center" vertical="center"/>
    </xf>
    <xf numFmtId="0" fontId="4" fillId="0" borderId="30" xfId="0" applyFont="1" applyBorder="1" applyAlignment="1">
      <alignment horizontal="left" vertical="center" wrapText="1"/>
    </xf>
    <xf numFmtId="39" fontId="4" fillId="0" borderId="33" xfId="0" applyNumberFormat="1" applyFont="1" applyBorder="1" applyAlignment="1">
      <alignment horizontal="center" vertical="center"/>
    </xf>
    <xf numFmtId="0" fontId="4" fillId="0" borderId="33" xfId="0" applyFont="1" applyBorder="1" applyAlignment="1">
      <alignment horizontal="left" vertical="center" wrapText="1"/>
    </xf>
    <xf numFmtId="39" fontId="0" fillId="0" borderId="33" xfId="0" applyNumberFormat="1" applyBorder="1" applyAlignment="1">
      <alignment horizontal="center" vertical="center"/>
    </xf>
    <xf numFmtId="2" fontId="20" fillId="4" borderId="4" xfId="0" applyNumberFormat="1" applyFont="1" applyFill="1" applyBorder="1" applyAlignment="1">
      <alignment horizontal="center" vertical="center"/>
    </xf>
    <xf numFmtId="0" fontId="20" fillId="4" borderId="4" xfId="0" applyFont="1" applyFill="1" applyBorder="1" applyAlignment="1">
      <alignment horizontal="left" vertical="center" wrapText="1"/>
    </xf>
    <xf numFmtId="2" fontId="4" fillId="4" borderId="33" xfId="0" applyNumberFormat="1" applyFont="1" applyFill="1" applyBorder="1" applyAlignment="1">
      <alignment horizontal="center" vertical="center"/>
    </xf>
    <xf numFmtId="0" fontId="4" fillId="0" borderId="23" xfId="0" applyFont="1" applyBorder="1" applyAlignment="1">
      <alignment horizontal="center" vertical="center"/>
    </xf>
    <xf numFmtId="178" fontId="0" fillId="0" borderId="4" xfId="0" applyNumberFormat="1" applyBorder="1" applyAlignment="1">
      <alignment horizontal="center" vertical="center"/>
    </xf>
    <xf numFmtId="178" fontId="20" fillId="0" borderId="4" xfId="0" applyNumberFormat="1" applyFont="1" applyBorder="1" applyAlignment="1">
      <alignment horizontal="center" vertical="center"/>
    </xf>
    <xf numFmtId="178" fontId="0" fillId="0" borderId="33" xfId="0" applyNumberFormat="1" applyBorder="1" applyAlignment="1">
      <alignment horizontal="center" vertical="center"/>
    </xf>
    <xf numFmtId="178" fontId="20" fillId="0" borderId="33" xfId="0" applyNumberFormat="1" applyFont="1" applyBorder="1" applyAlignment="1">
      <alignment horizontal="center" vertical="center"/>
    </xf>
    <xf numFmtId="178" fontId="4" fillId="0" borderId="33" xfId="0" applyNumberFormat="1" applyFont="1" applyBorder="1" applyAlignment="1">
      <alignment horizontal="center" vertical="center"/>
    </xf>
    <xf numFmtId="178" fontId="4" fillId="0" borderId="4" xfId="0" applyNumberFormat="1" applyFont="1" applyBorder="1" applyAlignment="1">
      <alignment horizontal="center" vertical="center"/>
    </xf>
    <xf numFmtId="165" fontId="20" fillId="4" borderId="4" xfId="8" applyNumberFormat="1" applyFont="1" applyFill="1" applyBorder="1" applyAlignment="1">
      <alignment horizontal="center"/>
    </xf>
    <xf numFmtId="0" fontId="25" fillId="0" borderId="4" xfId="8" applyFont="1" applyBorder="1"/>
    <xf numFmtId="165" fontId="4" fillId="4" borderId="33" xfId="8" applyNumberFormat="1" applyFont="1" applyFill="1" applyBorder="1" applyAlignment="1">
      <alignment horizontal="center"/>
    </xf>
    <xf numFmtId="0" fontId="25" fillId="0" borderId="33" xfId="8" applyFont="1" applyBorder="1"/>
    <xf numFmtId="44" fontId="20" fillId="4" borderId="23" xfId="2" applyFont="1" applyFill="1" applyBorder="1" applyAlignment="1">
      <alignment horizontal="center"/>
    </xf>
    <xf numFmtId="165" fontId="20" fillId="4" borderId="33" xfId="8" applyNumberFormat="1" applyFont="1" applyFill="1" applyBorder="1" applyAlignment="1">
      <alignment horizontal="center"/>
    </xf>
    <xf numFmtId="0" fontId="20" fillId="0" borderId="9" xfId="0" applyFont="1" applyBorder="1" applyAlignment="1">
      <alignment horizontal="left" vertical="top" wrapText="1"/>
    </xf>
    <xf numFmtId="0" fontId="20" fillId="4" borderId="16" xfId="0" applyFont="1" applyFill="1" applyBorder="1" applyAlignment="1">
      <alignment horizontal="left" vertical="top" wrapText="1"/>
    </xf>
    <xf numFmtId="0" fontId="20" fillId="4" borderId="9" xfId="0" applyFont="1" applyFill="1" applyBorder="1" applyAlignment="1">
      <alignment horizontal="left" vertical="top" wrapText="1"/>
    </xf>
    <xf numFmtId="0" fontId="20" fillId="4" borderId="37" xfId="0" applyFont="1" applyFill="1" applyBorder="1" applyAlignment="1">
      <alignment horizontal="left" vertical="top" wrapText="1"/>
    </xf>
    <xf numFmtId="0" fontId="20" fillId="4" borderId="35" xfId="0" applyFont="1" applyFill="1" applyBorder="1" applyAlignment="1">
      <alignment horizontal="left" vertical="top" wrapText="1"/>
    </xf>
    <xf numFmtId="0" fontId="20" fillId="4" borderId="14" xfId="0" applyFont="1" applyFill="1" applyBorder="1" applyAlignment="1">
      <alignment horizontal="left" vertical="top" wrapText="1"/>
    </xf>
    <xf numFmtId="0" fontId="20" fillId="4" borderId="4" xfId="0" applyFont="1" applyFill="1" applyBorder="1" applyAlignment="1">
      <alignment horizontal="left" vertical="top" wrapText="1"/>
    </xf>
    <xf numFmtId="0" fontId="20" fillId="16" borderId="9" xfId="0" applyFont="1" applyFill="1" applyBorder="1" applyAlignment="1">
      <alignment horizontal="left" vertical="top" wrapText="1"/>
    </xf>
    <xf numFmtId="0" fontId="20" fillId="16" borderId="14" xfId="0" applyFont="1" applyFill="1" applyBorder="1" applyAlignment="1">
      <alignment horizontal="left" vertical="top" wrapText="1"/>
    </xf>
    <xf numFmtId="0" fontId="20" fillId="16" borderId="4" xfId="0" applyFont="1" applyFill="1" applyBorder="1" applyAlignment="1">
      <alignment horizontal="left" vertical="top" wrapText="1"/>
    </xf>
    <xf numFmtId="2" fontId="20" fillId="4" borderId="19" xfId="0" applyNumberFormat="1" applyFont="1" applyFill="1" applyBorder="1" applyAlignment="1">
      <alignment horizontal="center"/>
    </xf>
    <xf numFmtId="0" fontId="1" fillId="4" borderId="30" xfId="0" applyFont="1" applyFill="1" applyBorder="1" applyAlignment="1">
      <alignment horizontal="center"/>
    </xf>
    <xf numFmtId="0" fontId="24" fillId="0" borderId="19" xfId="8" applyBorder="1"/>
    <xf numFmtId="2" fontId="20" fillId="4" borderId="30" xfId="0" applyNumberFormat="1" applyFont="1" applyFill="1" applyBorder="1" applyAlignment="1">
      <alignment horizontal="center"/>
    </xf>
    <xf numFmtId="2" fontId="25" fillId="0" borderId="30" xfId="8" applyNumberFormat="1" applyFont="1" applyBorder="1" applyAlignment="1">
      <alignment horizontal="center"/>
    </xf>
    <xf numFmtId="2" fontId="4" fillId="4" borderId="30" xfId="0" applyNumberFormat="1" applyFont="1" applyFill="1" applyBorder="1" applyAlignment="1">
      <alignment horizontal="center"/>
    </xf>
    <xf numFmtId="0" fontId="24" fillId="0" borderId="30" xfId="8" applyBorder="1"/>
    <xf numFmtId="2" fontId="4" fillId="4" borderId="19" xfId="0" applyNumberFormat="1" applyFont="1" applyFill="1" applyBorder="1" applyAlignment="1">
      <alignment horizontal="center"/>
    </xf>
    <xf numFmtId="2" fontId="4" fillId="4" borderId="33" xfId="0" applyNumberFormat="1" applyFont="1" applyFill="1" applyBorder="1" applyAlignment="1">
      <alignment horizontal="center"/>
    </xf>
    <xf numFmtId="10" fontId="20" fillId="0" borderId="23" xfId="7" applyNumberFormat="1" applyFont="1" applyBorder="1" applyAlignment="1">
      <alignment horizontal="center" vertical="center" wrapText="1"/>
    </xf>
    <xf numFmtId="39" fontId="20" fillId="0" borderId="23" xfId="5" applyNumberFormat="1" applyFont="1" applyBorder="1" applyAlignment="1">
      <alignment horizontal="center"/>
    </xf>
    <xf numFmtId="168" fontId="20" fillId="0" borderId="48" xfId="5" applyNumberFormat="1" applyFont="1" applyBorder="1" applyAlignment="1">
      <alignment horizontal="left" vertical="center"/>
    </xf>
    <xf numFmtId="10" fontId="20" fillId="0" borderId="48" xfId="7" applyNumberFormat="1" applyFont="1" applyBorder="1" applyAlignment="1">
      <alignment horizontal="center" vertical="center" wrapText="1"/>
    </xf>
    <xf numFmtId="2" fontId="20" fillId="0" borderId="81" xfId="0" applyNumberFormat="1" applyFont="1" applyBorder="1" applyAlignment="1">
      <alignment horizontal="center"/>
    </xf>
    <xf numFmtId="39" fontId="20" fillId="0" borderId="14" xfId="5" applyNumberFormat="1" applyFont="1" applyBorder="1" applyAlignment="1">
      <alignment horizontal="center"/>
    </xf>
    <xf numFmtId="39" fontId="4" fillId="0" borderId="14" xfId="5" applyNumberFormat="1" applyFont="1" applyBorder="1" applyAlignment="1">
      <alignment horizontal="center"/>
    </xf>
    <xf numFmtId="39" fontId="1" fillId="0" borderId="23" xfId="5" applyNumberFormat="1" applyFont="1" applyBorder="1" applyAlignment="1">
      <alignment horizontal="center"/>
    </xf>
    <xf numFmtId="39" fontId="4" fillId="0" borderId="23" xfId="5" applyNumberFormat="1" applyFont="1" applyBorder="1" applyAlignment="1">
      <alignment horizontal="center"/>
    </xf>
    <xf numFmtId="2" fontId="26" fillId="0" borderId="23" xfId="8" applyNumberFormat="1" applyFont="1" applyBorder="1" applyAlignment="1">
      <alignment horizontal="center"/>
    </xf>
    <xf numFmtId="2" fontId="25" fillId="0" borderId="23" xfId="8" applyNumberFormat="1" applyFont="1" applyBorder="1" applyAlignment="1">
      <alignment horizontal="center"/>
    </xf>
    <xf numFmtId="10" fontId="43" fillId="0" borderId="48" xfId="7" applyNumberFormat="1" applyFont="1" applyBorder="1" applyAlignment="1">
      <alignment horizontal="center" vertical="center" wrapText="1"/>
    </xf>
    <xf numFmtId="10" fontId="4" fillId="0" borderId="48" xfId="7" applyNumberFormat="1" applyFont="1" applyBorder="1" applyAlignment="1">
      <alignment horizontal="center" vertical="center" wrapText="1"/>
    </xf>
    <xf numFmtId="0" fontId="24" fillId="0" borderId="48" xfId="8" applyBorder="1"/>
    <xf numFmtId="39" fontId="4" fillId="0" borderId="4" xfId="5" applyNumberFormat="1" applyFont="1" applyBorder="1" applyAlignment="1">
      <alignment horizontal="center"/>
    </xf>
    <xf numFmtId="2" fontId="26" fillId="0" borderId="4" xfId="8" applyNumberFormat="1" applyFont="1" applyBorder="1" applyAlignment="1">
      <alignment horizontal="center"/>
    </xf>
    <xf numFmtId="2" fontId="25" fillId="0" borderId="4" xfId="8" applyNumberFormat="1" applyFont="1" applyBorder="1" applyAlignment="1">
      <alignment horizontal="center"/>
    </xf>
    <xf numFmtId="39" fontId="1" fillId="0" borderId="14" xfId="5" applyNumberFormat="1" applyFont="1" applyBorder="1" applyAlignment="1">
      <alignment horizontal="center"/>
    </xf>
    <xf numFmtId="2" fontId="26" fillId="0" borderId="14" xfId="8" applyNumberFormat="1" applyFont="1" applyBorder="1" applyAlignment="1">
      <alignment horizontal="center"/>
    </xf>
    <xf numFmtId="2" fontId="4" fillId="0" borderId="9" xfId="1" applyNumberFormat="1" applyFont="1" applyBorder="1" applyAlignment="1">
      <alignment horizontal="center" wrapText="1"/>
    </xf>
    <xf numFmtId="168" fontId="20" fillId="0" borderId="14" xfId="5" applyNumberFormat="1" applyFont="1" applyBorder="1" applyAlignment="1">
      <alignment horizontal="left" vertical="center"/>
    </xf>
    <xf numFmtId="170" fontId="20" fillId="0" borderId="14" xfId="5" applyNumberFormat="1" applyFont="1" applyBorder="1" applyAlignment="1">
      <alignment horizontal="center"/>
    </xf>
    <xf numFmtId="2" fontId="20" fillId="0" borderId="62" xfId="0" applyNumberFormat="1" applyFont="1" applyBorder="1" applyAlignment="1">
      <alignment horizontal="center"/>
    </xf>
    <xf numFmtId="39" fontId="1" fillId="0" borderId="48" xfId="5" applyNumberFormat="1" applyFont="1" applyBorder="1" applyAlignment="1">
      <alignment horizontal="center"/>
    </xf>
    <xf numFmtId="2" fontId="26" fillId="0" borderId="48" xfId="8" applyNumberFormat="1" applyFont="1" applyBorder="1" applyAlignment="1">
      <alignment horizontal="center"/>
    </xf>
    <xf numFmtId="2" fontId="25" fillId="0" borderId="48" xfId="8" applyNumberFormat="1" applyFont="1" applyBorder="1" applyAlignment="1">
      <alignment horizontal="center"/>
    </xf>
    <xf numFmtId="39" fontId="20" fillId="0" borderId="48" xfId="5" applyNumberFormat="1" applyFont="1" applyBorder="1" applyAlignment="1">
      <alignment horizontal="center"/>
    </xf>
    <xf numFmtId="171" fontId="20" fillId="4" borderId="18" xfId="4" applyNumberFormat="1" applyFont="1" applyFill="1" applyBorder="1" applyAlignment="1" applyProtection="1">
      <alignment horizontal="center"/>
      <protection locked="0"/>
    </xf>
    <xf numFmtId="171" fontId="25" fillId="4" borderId="18" xfId="2" applyNumberFormat="1" applyFont="1" applyFill="1" applyBorder="1" applyAlignment="1">
      <alignment horizontal="center"/>
    </xf>
    <xf numFmtId="170" fontId="4" fillId="0" borderId="9" xfId="1" applyNumberFormat="1" applyFont="1" applyBorder="1" applyAlignment="1">
      <alignment horizontal="center"/>
    </xf>
    <xf numFmtId="2" fontId="20" fillId="4" borderId="19" xfId="14" applyNumberFormat="1" applyFont="1" applyFill="1" applyBorder="1" applyAlignment="1">
      <alignment horizontal="center"/>
    </xf>
    <xf numFmtId="2" fontId="4" fillId="0" borderId="19" xfId="0" applyNumberFormat="1" applyFont="1" applyBorder="1" applyAlignment="1">
      <alignment horizontal="center"/>
    </xf>
    <xf numFmtId="2" fontId="0" fillId="4" borderId="19" xfId="0" applyNumberFormat="1" applyFill="1" applyBorder="1" applyAlignment="1">
      <alignment horizontal="center"/>
    </xf>
    <xf numFmtId="2" fontId="4" fillId="0" borderId="14" xfId="0" applyNumberFormat="1" applyFont="1" applyBorder="1" applyAlignment="1">
      <alignment horizontal="center"/>
    </xf>
    <xf numFmtId="39" fontId="20" fillId="4" borderId="23" xfId="5" applyNumberFormat="1" applyFont="1" applyFill="1" applyBorder="1" applyAlignment="1">
      <alignment horizontal="center"/>
    </xf>
    <xf numFmtId="10" fontId="20" fillId="4" borderId="14" xfId="7" applyNumberFormat="1" applyFont="1" applyFill="1" applyBorder="1" applyAlignment="1">
      <alignment horizontal="center" vertical="center" wrapText="1"/>
    </xf>
    <xf numFmtId="39" fontId="4" fillId="4" borderId="14" xfId="5" applyNumberFormat="1" applyFont="1" applyFill="1" applyBorder="1" applyAlignment="1">
      <alignment horizontal="center"/>
    </xf>
    <xf numFmtId="39" fontId="20" fillId="4" borderId="14" xfId="5" applyNumberFormat="1" applyFont="1" applyFill="1" applyBorder="1" applyAlignment="1">
      <alignment horizontal="center"/>
    </xf>
    <xf numFmtId="39" fontId="0" fillId="4" borderId="23" xfId="5" applyNumberFormat="1" applyFont="1" applyFill="1" applyBorder="1" applyAlignment="1">
      <alignment horizontal="center"/>
    </xf>
    <xf numFmtId="39" fontId="20" fillId="4" borderId="33" xfId="5" applyNumberFormat="1" applyFont="1" applyFill="1" applyBorder="1" applyAlignment="1">
      <alignment horizontal="center"/>
    </xf>
    <xf numFmtId="165" fontId="1" fillId="0" borderId="14" xfId="13" applyNumberFormat="1" applyBorder="1" applyAlignment="1">
      <alignment horizontal="left" vertical="center" wrapText="1"/>
    </xf>
    <xf numFmtId="10" fontId="43" fillId="4" borderId="14" xfId="7" applyNumberFormat="1" applyFont="1" applyFill="1" applyBorder="1" applyAlignment="1">
      <alignment horizontal="center" vertical="center" wrapText="1"/>
    </xf>
    <xf numFmtId="39" fontId="0" fillId="4" borderId="14" xfId="5" applyNumberFormat="1" applyFont="1" applyFill="1" applyBorder="1" applyAlignment="1">
      <alignment horizontal="center"/>
    </xf>
    <xf numFmtId="39" fontId="0" fillId="4" borderId="33" xfId="5" applyNumberFormat="1" applyFont="1" applyFill="1" applyBorder="1" applyAlignment="1">
      <alignment horizontal="center"/>
    </xf>
    <xf numFmtId="0" fontId="64" fillId="0" borderId="33" xfId="0" applyFont="1" applyBorder="1" applyAlignment="1">
      <alignment horizontal="center" vertical="center"/>
    </xf>
    <xf numFmtId="0" fontId="20" fillId="0" borderId="23" xfId="0" applyFont="1" applyBorder="1" applyAlignment="1">
      <alignment horizontal="center" vertical="center"/>
    </xf>
    <xf numFmtId="0" fontId="64" fillId="0" borderId="23" xfId="0" applyFont="1" applyBorder="1" applyAlignment="1">
      <alignment horizontal="center" vertical="center"/>
    </xf>
    <xf numFmtId="9" fontId="20" fillId="4" borderId="14" xfId="7" applyFont="1" applyFill="1" applyBorder="1" applyAlignment="1">
      <alignment horizontal="center" vertical="center" wrapText="1"/>
    </xf>
    <xf numFmtId="0" fontId="4" fillId="0" borderId="33" xfId="0" applyFont="1" applyBorder="1" applyAlignment="1">
      <alignment horizontal="center" vertical="center"/>
    </xf>
    <xf numFmtId="0" fontId="20" fillId="0" borderId="4" xfId="0" applyFont="1" applyBorder="1" applyAlignment="1">
      <alignment horizontal="center" vertical="center"/>
    </xf>
    <xf numFmtId="200" fontId="4" fillId="0" borderId="19" xfId="8" applyNumberFormat="1" applyFont="1" applyBorder="1" applyAlignment="1">
      <alignment horizontal="center"/>
    </xf>
    <xf numFmtId="1" fontId="4" fillId="4" borderId="16" xfId="0" applyNumberFormat="1" applyFont="1" applyFill="1" applyBorder="1" applyAlignment="1">
      <alignment horizontal="left" vertical="top" wrapText="1"/>
    </xf>
    <xf numFmtId="0" fontId="4" fillId="0" borderId="37" xfId="0" applyFont="1" applyBorder="1" applyAlignment="1">
      <alignment horizontal="left" vertical="top" wrapText="1"/>
    </xf>
    <xf numFmtId="165" fontId="4" fillId="0" borderId="37" xfId="0" applyNumberFormat="1" applyFont="1" applyBorder="1" applyAlignment="1">
      <alignment horizontal="left" vertical="top" wrapText="1"/>
    </xf>
    <xf numFmtId="2" fontId="4" fillId="0" borderId="37" xfId="0" applyNumberFormat="1" applyFont="1" applyBorder="1" applyAlignment="1">
      <alignment horizontal="left" vertical="top" wrapText="1"/>
    </xf>
    <xf numFmtId="1" fontId="4" fillId="4" borderId="9" xfId="0" applyNumberFormat="1" applyFont="1" applyFill="1" applyBorder="1" applyAlignment="1">
      <alignment horizontal="left" vertical="top" wrapText="1"/>
    </xf>
    <xf numFmtId="2" fontId="89" fillId="0" borderId="10" xfId="0" applyNumberFormat="1" applyFont="1" applyBorder="1" applyAlignment="1">
      <alignment vertical="center" wrapText="1"/>
    </xf>
    <xf numFmtId="2" fontId="89" fillId="0" borderId="15" xfId="0" applyNumberFormat="1" applyFont="1" applyBorder="1" applyAlignment="1">
      <alignment vertical="center" wrapText="1"/>
    </xf>
    <xf numFmtId="39" fontId="4" fillId="0" borderId="9" xfId="0" applyNumberFormat="1" applyFont="1" applyBorder="1" applyAlignment="1">
      <alignment horizontal="right"/>
    </xf>
    <xf numFmtId="2" fontId="4" fillId="4" borderId="9" xfId="1" applyNumberFormat="1" applyFont="1" applyFill="1" applyBorder="1" applyAlignment="1">
      <alignment horizontal="center"/>
    </xf>
    <xf numFmtId="0" fontId="4" fillId="0" borderId="0" xfId="0" applyFont="1" applyAlignment="1">
      <alignment horizontal="left"/>
    </xf>
    <xf numFmtId="3" fontId="4" fillId="0" borderId="9" xfId="3" applyNumberFormat="1" applyFont="1" applyFill="1" applyBorder="1" applyAlignment="1">
      <alignment horizontal="center" vertical="center" wrapText="1"/>
    </xf>
    <xf numFmtId="4" fontId="4" fillId="0" borderId="9" xfId="3" applyNumberFormat="1" applyFont="1" applyFill="1" applyBorder="1" applyAlignment="1">
      <alignment horizontal="center" vertical="center" wrapText="1"/>
    </xf>
    <xf numFmtId="4" fontId="24" fillId="0" borderId="9" xfId="8" applyNumberFormat="1" applyBorder="1" applyAlignment="1">
      <alignment horizontal="center"/>
    </xf>
    <xf numFmtId="0" fontId="20" fillId="0" borderId="18" xfId="6" applyFont="1" applyBorder="1" applyAlignment="1">
      <alignment horizontal="center"/>
    </xf>
    <xf numFmtId="10" fontId="20" fillId="0" borderId="21" xfId="6" applyNumberFormat="1" applyFont="1" applyBorder="1" applyAlignment="1">
      <alignment horizontal="center"/>
    </xf>
    <xf numFmtId="172" fontId="4" fillId="0" borderId="19" xfId="3" applyNumberFormat="1" applyFont="1" applyFill="1" applyBorder="1" applyAlignment="1">
      <alignment horizontal="center"/>
    </xf>
    <xf numFmtId="10" fontId="4" fillId="0" borderId="9" xfId="6" applyNumberFormat="1" applyFont="1" applyBorder="1" applyAlignment="1">
      <alignment horizontal="center"/>
    </xf>
    <xf numFmtId="9" fontId="26" fillId="0" borderId="25" xfId="3" applyFont="1" applyFill="1" applyBorder="1" applyAlignment="1">
      <alignment horizontal="center"/>
    </xf>
    <xf numFmtId="9" fontId="25" fillId="4" borderId="4" xfId="3" applyFont="1" applyFill="1" applyBorder="1" applyAlignment="1">
      <alignment horizontal="center"/>
    </xf>
    <xf numFmtId="0" fontId="0" fillId="0" borderId="4" xfId="0" applyBorder="1"/>
    <xf numFmtId="9" fontId="25" fillId="4" borderId="14" xfId="3" applyFont="1" applyFill="1" applyBorder="1" applyAlignment="1">
      <alignment horizontal="center"/>
    </xf>
    <xf numFmtId="2" fontId="0" fillId="0" borderId="9" xfId="1" applyNumberFormat="1" applyFont="1" applyBorder="1" applyAlignment="1">
      <alignment horizontal="center"/>
    </xf>
    <xf numFmtId="172" fontId="4" fillId="4" borderId="9" xfId="3" applyNumberFormat="1" applyFont="1" applyFill="1" applyBorder="1" applyAlignment="1">
      <alignment horizontal="center" vertical="center" wrapText="1"/>
    </xf>
    <xf numFmtId="172" fontId="0" fillId="0" borderId="9" xfId="0" applyNumberFormat="1" applyBorder="1" applyAlignment="1">
      <alignment horizontal="center"/>
    </xf>
    <xf numFmtId="9" fontId="0" fillId="4" borderId="9" xfId="3" applyFont="1" applyFill="1" applyBorder="1" applyAlignment="1">
      <alignment horizontal="center" vertical="center" wrapText="1"/>
    </xf>
    <xf numFmtId="9" fontId="0" fillId="0" borderId="9" xfId="0" applyNumberFormat="1" applyBorder="1" applyAlignment="1">
      <alignment horizontal="center"/>
    </xf>
    <xf numFmtId="10" fontId="4" fillId="0" borderId="9" xfId="0" applyNumberFormat="1" applyFont="1" applyBorder="1" applyAlignment="1">
      <alignment horizontal="center"/>
    </xf>
    <xf numFmtId="1" fontId="20" fillId="4" borderId="9" xfId="0" applyNumberFormat="1" applyFont="1" applyFill="1" applyBorder="1" applyAlignment="1">
      <alignment horizontal="center" vertical="center" wrapText="1"/>
    </xf>
    <xf numFmtId="7" fontId="4" fillId="4" borderId="23" xfId="2" applyNumberFormat="1" applyFont="1" applyFill="1" applyBorder="1" applyAlignment="1">
      <alignment horizontal="left"/>
    </xf>
    <xf numFmtId="0" fontId="20" fillId="4" borderId="30" xfId="0" applyFont="1" applyFill="1" applyBorder="1" applyAlignment="1">
      <alignment horizontal="left" vertical="top"/>
    </xf>
    <xf numFmtId="2" fontId="20" fillId="8" borderId="30" xfId="0" applyNumberFormat="1" applyFont="1" applyFill="1" applyBorder="1" applyAlignment="1">
      <alignment wrapText="1"/>
    </xf>
    <xf numFmtId="168" fontId="20" fillId="0" borderId="9" xfId="5" applyNumberFormat="1" applyFont="1" applyBorder="1" applyAlignment="1">
      <alignment horizontal="left" vertical="top" wrapText="1"/>
    </xf>
    <xf numFmtId="168" fontId="20" fillId="0" borderId="9" xfId="5" applyNumberFormat="1" applyFont="1" applyBorder="1" applyAlignment="1">
      <alignment horizontal="left" vertical="center" wrapText="1"/>
    </xf>
    <xf numFmtId="0" fontId="20" fillId="10" borderId="16" xfId="0" applyFont="1" applyFill="1" applyBorder="1" applyAlignment="1">
      <alignment horizontal="left"/>
    </xf>
    <xf numFmtId="0" fontId="20" fillId="10" borderId="17" xfId="0" applyFont="1" applyFill="1" applyBorder="1" applyAlignment="1">
      <alignment horizontal="left"/>
    </xf>
    <xf numFmtId="0" fontId="20" fillId="11" borderId="19" xfId="5" applyFont="1" applyFill="1" applyBorder="1" applyAlignment="1">
      <alignment horizontal="center" vertical="center" wrapText="1"/>
    </xf>
    <xf numFmtId="0" fontId="65" fillId="6" borderId="0" xfId="5" applyFont="1" applyFill="1" applyAlignment="1">
      <alignment vertical="center"/>
    </xf>
    <xf numFmtId="0" fontId="20" fillId="0" borderId="9" xfId="6" applyFont="1" applyBorder="1" applyAlignment="1">
      <alignment wrapText="1"/>
    </xf>
    <xf numFmtId="0" fontId="20" fillId="0" borderId="9" xfId="0" applyFont="1" applyBorder="1" applyAlignment="1">
      <alignment wrapText="1"/>
    </xf>
    <xf numFmtId="0" fontId="20" fillId="11" borderId="9" xfId="0" applyFont="1" applyFill="1" applyBorder="1" applyAlignment="1">
      <alignment horizontal="center" vertical="center" wrapText="1"/>
    </xf>
    <xf numFmtId="0" fontId="20" fillId="0" borderId="4" xfId="0" applyFont="1" applyBorder="1" applyAlignment="1">
      <alignment horizontal="left" vertical="center" wrapText="1"/>
    </xf>
    <xf numFmtId="0" fontId="20" fillId="0" borderId="9" xfId="0" applyFont="1" applyBorder="1" applyAlignment="1">
      <alignment horizontal="left" vertical="center" wrapText="1"/>
    </xf>
    <xf numFmtId="0" fontId="20" fillId="0" borderId="14" xfId="0" applyFont="1" applyBorder="1" applyAlignment="1">
      <alignment horizontal="left" vertical="center" wrapText="1"/>
    </xf>
    <xf numFmtId="165" fontId="20" fillId="0" borderId="9" xfId="6" applyNumberFormat="1" applyFont="1" applyBorder="1" applyAlignment="1">
      <alignment horizontal="left" vertical="center" wrapText="1"/>
    </xf>
    <xf numFmtId="165" fontId="4" fillId="0" borderId="9" xfId="6" applyNumberFormat="1" applyFont="1" applyBorder="1" applyAlignment="1">
      <alignment horizontal="left" vertical="center" wrapText="1"/>
    </xf>
    <xf numFmtId="0" fontId="20" fillId="0" borderId="23" xfId="0" applyFont="1" applyBorder="1" applyAlignment="1">
      <alignment horizontal="left" vertical="center"/>
    </xf>
    <xf numFmtId="0" fontId="38" fillId="0" borderId="23" xfId="8" applyFont="1" applyBorder="1" applyAlignment="1">
      <alignment horizontal="left" vertical="center"/>
    </xf>
    <xf numFmtId="165" fontId="20" fillId="0" borderId="23" xfId="13" applyNumberFormat="1" applyFont="1" applyBorder="1" applyAlignment="1">
      <alignment horizontal="left" vertical="center" wrapText="1"/>
    </xf>
    <xf numFmtId="165" fontId="20" fillId="0" borderId="9" xfId="13" applyNumberFormat="1" applyFont="1" applyBorder="1" applyAlignment="1">
      <alignment horizontal="left" vertical="center" wrapText="1"/>
    </xf>
    <xf numFmtId="165" fontId="20" fillId="0" borderId="14" xfId="13" applyNumberFormat="1" applyFont="1" applyBorder="1" applyAlignment="1">
      <alignment horizontal="left" vertical="center" wrapText="1"/>
    </xf>
    <xf numFmtId="0" fontId="20" fillId="0" borderId="33" xfId="0" applyFont="1" applyBorder="1" applyAlignment="1">
      <alignment horizontal="left" vertical="center"/>
    </xf>
    <xf numFmtId="0" fontId="20" fillId="0" borderId="33" xfId="0" applyFont="1" applyBorder="1" applyAlignment="1">
      <alignment horizontal="center" vertical="center"/>
    </xf>
    <xf numFmtId="3" fontId="20" fillId="0" borderId="9" xfId="0" applyNumberFormat="1" applyFont="1" applyBorder="1" applyAlignment="1">
      <alignment horizontal="left" vertical="center" wrapText="1"/>
    </xf>
    <xf numFmtId="0" fontId="20" fillId="0" borderId="23" xfId="0" applyFont="1" applyBorder="1" applyAlignment="1">
      <alignment horizontal="left" vertical="center" wrapText="1"/>
    </xf>
    <xf numFmtId="0" fontId="20" fillId="0" borderId="30" xfId="0" applyFont="1" applyBorder="1" applyAlignment="1">
      <alignment horizontal="left" vertical="center" wrapText="1"/>
    </xf>
    <xf numFmtId="0" fontId="20" fillId="0" borderId="19" xfId="0" applyFont="1" applyBorder="1" applyAlignment="1">
      <alignment vertical="center" wrapText="1"/>
    </xf>
    <xf numFmtId="0" fontId="20" fillId="4" borderId="19" xfId="0" applyFont="1" applyFill="1" applyBorder="1" applyAlignment="1">
      <alignment horizontal="left" vertical="center" wrapText="1"/>
    </xf>
    <xf numFmtId="0" fontId="20" fillId="4" borderId="23" xfId="0" applyFont="1" applyFill="1" applyBorder="1" applyAlignment="1">
      <alignment horizontal="left" vertical="center" wrapText="1"/>
    </xf>
    <xf numFmtId="0" fontId="38" fillId="4" borderId="23" xfId="8" applyFont="1" applyFill="1" applyBorder="1" applyAlignment="1">
      <alignment horizontal="left" vertical="center"/>
    </xf>
    <xf numFmtId="0" fontId="20" fillId="0" borderId="18" xfId="0" applyFont="1" applyBorder="1" applyAlignment="1">
      <alignment horizontal="center"/>
    </xf>
    <xf numFmtId="0" fontId="20" fillId="4" borderId="9" xfId="0" applyFont="1" applyFill="1" applyBorder="1" applyAlignment="1">
      <alignment horizontal="left" vertical="center" wrapText="1"/>
    </xf>
    <xf numFmtId="0" fontId="20" fillId="0" borderId="9" xfId="0" applyFont="1" applyBorder="1" applyAlignment="1">
      <alignment vertical="center" wrapText="1"/>
    </xf>
    <xf numFmtId="0" fontId="20" fillId="4" borderId="9" xfId="0" applyFont="1" applyFill="1" applyBorder="1" applyAlignment="1">
      <alignment vertical="center" wrapText="1"/>
    </xf>
    <xf numFmtId="0" fontId="20" fillId="0" borderId="18" xfId="0" applyFont="1" applyBorder="1" applyAlignment="1">
      <alignment horizontal="left" vertical="center" wrapText="1"/>
    </xf>
    <xf numFmtId="0" fontId="20" fillId="0" borderId="9" xfId="0" applyFont="1" applyBorder="1" applyAlignment="1">
      <alignment horizontal="left" wrapText="1"/>
    </xf>
    <xf numFmtId="0" fontId="20" fillId="4" borderId="30" xfId="0" applyFont="1" applyFill="1" applyBorder="1" applyAlignment="1">
      <alignment horizontal="left" vertical="center" wrapText="1"/>
    </xf>
    <xf numFmtId="7" fontId="20" fillId="0" borderId="9" xfId="2" applyNumberFormat="1" applyFont="1" applyFill="1" applyBorder="1" applyAlignment="1">
      <alignment horizontal="left"/>
    </xf>
    <xf numFmtId="165" fontId="20" fillId="0" borderId="9" xfId="8" applyNumberFormat="1" applyFont="1" applyBorder="1" applyAlignment="1">
      <alignment horizontal="left"/>
    </xf>
    <xf numFmtId="3" fontId="20" fillId="0" borderId="9" xfId="0" applyNumberFormat="1" applyFont="1" applyBorder="1" applyAlignment="1">
      <alignment vertical="center" wrapText="1"/>
    </xf>
    <xf numFmtId="165" fontId="20" fillId="0" borderId="16" xfId="13" applyNumberFormat="1" applyFont="1" applyBorder="1" applyAlignment="1">
      <alignment horizontal="center" vertical="center" wrapText="1"/>
    </xf>
    <xf numFmtId="0" fontId="20" fillId="11" borderId="16" xfId="0" applyFont="1" applyFill="1" applyBorder="1" applyAlignment="1">
      <alignment horizontal="center" vertical="center" wrapText="1"/>
    </xf>
    <xf numFmtId="0" fontId="20" fillId="11" borderId="18" xfId="0" applyFont="1" applyFill="1" applyBorder="1" applyAlignment="1">
      <alignment horizontal="center" vertical="center" wrapText="1"/>
    </xf>
    <xf numFmtId="0" fontId="20" fillId="0" borderId="33" xfId="0" applyFont="1" applyBorder="1" applyAlignment="1">
      <alignment vertical="center"/>
    </xf>
    <xf numFmtId="0" fontId="48" fillId="0" borderId="9" xfId="8" applyFont="1" applyBorder="1" applyAlignment="1">
      <alignment horizontal="left" vertical="center"/>
    </xf>
    <xf numFmtId="0" fontId="20" fillId="0" borderId="33" xfId="0" applyFont="1" applyBorder="1" applyAlignment="1">
      <alignment horizontal="left" vertical="center" wrapText="1"/>
    </xf>
    <xf numFmtId="0" fontId="20" fillId="4" borderId="19" xfId="0" applyFont="1" applyFill="1" applyBorder="1" applyAlignment="1">
      <alignment vertical="center" wrapText="1"/>
    </xf>
    <xf numFmtId="0" fontId="20" fillId="4" borderId="9" xfId="0" applyFont="1" applyFill="1" applyBorder="1" applyAlignment="1">
      <alignment horizontal="left" vertical="center"/>
    </xf>
    <xf numFmtId="0" fontId="20" fillId="0" borderId="16" xfId="0" applyFont="1" applyBorder="1" applyAlignment="1">
      <alignment horizontal="center" vertical="center" wrapText="1"/>
    </xf>
    <xf numFmtId="0" fontId="25" fillId="0" borderId="0" xfId="8" applyFont="1" applyAlignment="1">
      <alignment horizontal="left" wrapText="1"/>
    </xf>
    <xf numFmtId="0" fontId="4" fillId="0" borderId="16" xfId="0" applyFont="1" applyBorder="1" applyAlignment="1">
      <alignment horizontal="left" vertical="top" wrapText="1"/>
    </xf>
    <xf numFmtId="0" fontId="20" fillId="11" borderId="17" xfId="0" applyFont="1" applyFill="1" applyBorder="1" applyAlignment="1">
      <alignment horizontal="center" vertical="center" wrapText="1"/>
    </xf>
    <xf numFmtId="0" fontId="4" fillId="4" borderId="16" xfId="0" applyFont="1" applyFill="1" applyBorder="1" applyAlignment="1">
      <alignment horizontal="left" vertical="top" wrapText="1"/>
    </xf>
    <xf numFmtId="0" fontId="4" fillId="4" borderId="9" xfId="0" applyFont="1" applyFill="1" applyBorder="1" applyAlignment="1">
      <alignment horizontal="left" vertical="top" wrapText="1"/>
    </xf>
    <xf numFmtId="0" fontId="4" fillId="4" borderId="14" xfId="0" applyFont="1" applyFill="1" applyBorder="1" applyAlignment="1">
      <alignment horizontal="left" vertical="top" wrapText="1"/>
    </xf>
    <xf numFmtId="0" fontId="4" fillId="4" borderId="4" xfId="0" applyFont="1" applyFill="1" applyBorder="1" applyAlignment="1">
      <alignment horizontal="left" vertical="top" wrapText="1"/>
    </xf>
    <xf numFmtId="0" fontId="4" fillId="4" borderId="23" xfId="0" applyFont="1" applyFill="1" applyBorder="1" applyAlignment="1">
      <alignment horizontal="left" vertical="top" wrapText="1"/>
    </xf>
    <xf numFmtId="0" fontId="20" fillId="0" borderId="0" xfId="0" applyFont="1" applyAlignment="1">
      <alignment horizontal="center" vertical="center" wrapText="1"/>
    </xf>
    <xf numFmtId="0" fontId="20" fillId="11" borderId="19" xfId="0" applyFont="1" applyFill="1" applyBorder="1" applyAlignment="1">
      <alignment horizontal="center" vertical="center" wrapText="1"/>
    </xf>
    <xf numFmtId="0" fontId="20" fillId="4" borderId="0" xfId="0" applyFont="1" applyFill="1" applyAlignment="1">
      <alignment wrapText="1"/>
    </xf>
    <xf numFmtId="0" fontId="20" fillId="4" borderId="9" xfId="8" applyFont="1" applyFill="1" applyBorder="1" applyAlignment="1">
      <alignment horizontal="left"/>
    </xf>
    <xf numFmtId="0" fontId="20" fillId="4" borderId="44" xfId="8" applyFont="1" applyFill="1" applyBorder="1" applyAlignment="1">
      <alignment horizontal="left" vertical="center" wrapText="1"/>
    </xf>
    <xf numFmtId="0" fontId="20" fillId="4" borderId="30" xfId="8" applyFont="1" applyFill="1" applyBorder="1" applyAlignment="1">
      <alignment horizontal="left" vertical="center" wrapText="1"/>
    </xf>
    <xf numFmtId="0" fontId="20" fillId="10" borderId="18" xfId="0" applyFont="1" applyFill="1" applyBorder="1" applyAlignment="1">
      <alignment horizontal="left"/>
    </xf>
    <xf numFmtId="8" fontId="20" fillId="0" borderId="18" xfId="0" applyNumberFormat="1" applyFont="1" applyBorder="1" applyAlignment="1">
      <alignment horizontal="left"/>
    </xf>
    <xf numFmtId="0" fontId="20" fillId="4" borderId="8" xfId="8" applyFont="1" applyFill="1" applyBorder="1" applyAlignment="1">
      <alignment horizontal="left" vertical="center" wrapText="1"/>
    </xf>
    <xf numFmtId="0" fontId="20" fillId="4" borderId="9" xfId="8" applyFont="1" applyFill="1" applyBorder="1" applyAlignment="1">
      <alignment horizontal="left" vertical="center" wrapText="1"/>
    </xf>
    <xf numFmtId="0" fontId="20" fillId="4" borderId="9" xfId="8" applyFont="1" applyFill="1" applyBorder="1" applyAlignment="1">
      <alignment horizontal="center"/>
    </xf>
    <xf numFmtId="0" fontId="20" fillId="4" borderId="4" xfId="8" applyFont="1" applyFill="1" applyBorder="1" applyAlignment="1">
      <alignment horizontal="left" vertical="center"/>
    </xf>
    <xf numFmtId="0" fontId="20" fillId="4" borderId="9" xfId="8" applyFont="1" applyFill="1" applyBorder="1" applyAlignment="1">
      <alignment horizontal="left" vertical="center"/>
    </xf>
    <xf numFmtId="0" fontId="20" fillId="4" borderId="14" xfId="8" applyFont="1" applyFill="1" applyBorder="1" applyAlignment="1">
      <alignment horizontal="left" vertical="center"/>
    </xf>
    <xf numFmtId="0" fontId="20" fillId="0" borderId="18" xfId="8" applyFont="1" applyBorder="1" applyAlignment="1">
      <alignment wrapText="1"/>
    </xf>
    <xf numFmtId="0" fontId="20" fillId="0" borderId="9" xfId="8" applyFont="1" applyBorder="1" applyAlignment="1">
      <alignment wrapText="1"/>
    </xf>
    <xf numFmtId="0" fontId="20" fillId="15" borderId="9" xfId="0" applyFont="1" applyFill="1" applyBorder="1" applyAlignment="1">
      <alignment horizontal="center" vertical="center" wrapText="1"/>
    </xf>
    <xf numFmtId="0" fontId="20" fillId="11" borderId="19" xfId="5" applyFont="1" applyFill="1" applyBorder="1" applyAlignment="1">
      <alignment horizontal="left" vertical="center" wrapText="1"/>
    </xf>
    <xf numFmtId="165" fontId="20" fillId="0" borderId="9" xfId="8" applyNumberFormat="1" applyFont="1" applyBorder="1" applyAlignment="1">
      <alignment horizontal="left" vertical="center"/>
    </xf>
    <xf numFmtId="0" fontId="25" fillId="0" borderId="9" xfId="8" applyFont="1" applyBorder="1" applyAlignment="1">
      <alignment horizontal="left" vertical="center" wrapText="1"/>
    </xf>
    <xf numFmtId="0" fontId="20" fillId="0" borderId="9" xfId="0" applyFont="1" applyBorder="1" applyAlignment="1">
      <alignment horizontal="left"/>
    </xf>
    <xf numFmtId="0" fontId="20" fillId="11" borderId="9" xfId="5" applyFont="1" applyFill="1" applyBorder="1" applyAlignment="1">
      <alignment horizontal="center" vertical="center" wrapText="1"/>
    </xf>
    <xf numFmtId="0" fontId="1" fillId="0" borderId="23" xfId="0" applyFont="1" applyBorder="1" applyAlignment="1">
      <alignment horizontal="left" vertical="center" wrapText="1"/>
    </xf>
    <xf numFmtId="0" fontId="20" fillId="4" borderId="9" xfId="8" applyFont="1" applyFill="1" applyBorder="1" applyAlignment="1">
      <alignment wrapText="1"/>
    </xf>
    <xf numFmtId="165" fontId="20" fillId="0" borderId="9" xfId="13" applyNumberFormat="1" applyFont="1" applyBorder="1" applyAlignment="1">
      <alignment vertical="center" wrapText="1"/>
    </xf>
    <xf numFmtId="0" fontId="20" fillId="0" borderId="19" xfId="8" applyFont="1" applyBorder="1" applyAlignment="1">
      <alignment horizontal="left" vertical="center" wrapText="1"/>
    </xf>
    <xf numFmtId="0" fontId="20" fillId="11" borderId="9" xfId="0" applyFont="1" applyFill="1" applyBorder="1" applyAlignment="1">
      <alignment vertical="center" wrapText="1"/>
    </xf>
    <xf numFmtId="0" fontId="20" fillId="0" borderId="19" xfId="8" applyFont="1" applyBorder="1" applyAlignment="1">
      <alignment horizontal="left" vertical="center"/>
    </xf>
    <xf numFmtId="0" fontId="52" fillId="0" borderId="19" xfId="8" applyFont="1" applyBorder="1" applyAlignment="1">
      <alignment horizontal="left" vertical="center"/>
    </xf>
    <xf numFmtId="0" fontId="1" fillId="0" borderId="9" xfId="0" applyFont="1" applyBorder="1" applyAlignment="1">
      <alignment horizontal="left" vertical="center" wrapText="1"/>
    </xf>
    <xf numFmtId="165" fontId="0" fillId="0" borderId="9" xfId="0" applyNumberFormat="1" applyBorder="1" applyAlignment="1">
      <alignment horizontal="left" vertical="center" wrapText="1"/>
    </xf>
    <xf numFmtId="0" fontId="0" fillId="0" borderId="9" xfId="0" applyBorder="1" applyAlignment="1">
      <alignment horizontal="left" vertical="center" wrapText="1"/>
    </xf>
    <xf numFmtId="0" fontId="20" fillId="11" borderId="21" xfId="0" applyFont="1" applyFill="1" applyBorder="1" applyAlignment="1">
      <alignment horizontal="center" vertical="center" wrapText="1"/>
    </xf>
    <xf numFmtId="165" fontId="1" fillId="0" borderId="23" xfId="13" applyNumberFormat="1" applyBorder="1" applyAlignment="1">
      <alignment horizontal="left" vertical="center" wrapText="1"/>
    </xf>
    <xf numFmtId="165" fontId="20" fillId="0" borderId="19" xfId="13" applyNumberFormat="1" applyFont="1" applyBorder="1" applyAlignment="1">
      <alignment horizontal="left" vertical="center" wrapText="1"/>
    </xf>
    <xf numFmtId="165" fontId="20" fillId="0" borderId="9" xfId="13" applyNumberFormat="1" applyFont="1" applyBorder="1" applyAlignment="1">
      <alignment horizontal="center" vertical="center" wrapText="1"/>
    </xf>
    <xf numFmtId="165" fontId="1" fillId="0" borderId="9" xfId="13" applyNumberFormat="1" applyBorder="1" applyAlignment="1">
      <alignment horizontal="left" vertical="center" wrapText="1"/>
    </xf>
    <xf numFmtId="0" fontId="0" fillId="0" borderId="19" xfId="8" applyFont="1" applyBorder="1" applyAlignment="1">
      <alignment horizontal="left" vertical="center" wrapText="1"/>
    </xf>
    <xf numFmtId="0" fontId="48" fillId="4" borderId="19" xfId="8" applyFont="1" applyFill="1" applyBorder="1" applyAlignment="1">
      <alignment horizontal="left" vertical="center"/>
    </xf>
    <xf numFmtId="0" fontId="48" fillId="0" borderId="19" xfId="8" applyFont="1" applyBorder="1" applyAlignment="1">
      <alignment horizontal="left" vertical="center"/>
    </xf>
    <xf numFmtId="0" fontId="20" fillId="0" borderId="0" xfId="8" applyFont="1" applyAlignment="1">
      <alignment horizontal="left" vertical="center" wrapText="1"/>
    </xf>
    <xf numFmtId="0" fontId="20" fillId="4" borderId="9" xfId="0" applyFont="1" applyFill="1" applyBorder="1" applyAlignment="1">
      <alignment horizontal="center" vertical="center" wrapText="1"/>
    </xf>
    <xf numFmtId="168" fontId="20" fillId="0" borderId="33" xfId="5" applyNumberFormat="1" applyFont="1" applyBorder="1" applyAlignment="1">
      <alignment horizontal="left" vertical="center"/>
    </xf>
    <xf numFmtId="165" fontId="1" fillId="0" borderId="33" xfId="13" applyNumberFormat="1" applyBorder="1" applyAlignment="1">
      <alignment horizontal="left" vertical="center" wrapText="1"/>
    </xf>
    <xf numFmtId="165" fontId="20" fillId="0" borderId="9" xfId="6" applyNumberFormat="1" applyFont="1" applyBorder="1" applyAlignment="1">
      <alignment vertical="center" wrapText="1"/>
    </xf>
    <xf numFmtId="0" fontId="20" fillId="11" borderId="9" xfId="0" applyFont="1" applyFill="1" applyBorder="1" applyAlignment="1">
      <alignment horizontal="left" vertical="center" wrapText="1"/>
    </xf>
    <xf numFmtId="168" fontId="20" fillId="0" borderId="9" xfId="5" applyNumberFormat="1" applyFont="1" applyBorder="1" applyAlignment="1">
      <alignment vertical="top" wrapText="1"/>
    </xf>
    <xf numFmtId="0" fontId="25" fillId="4" borderId="9" xfId="8" applyFont="1" applyFill="1" applyBorder="1" applyAlignment="1">
      <alignment horizontal="left" vertical="center"/>
    </xf>
    <xf numFmtId="0" fontId="25" fillId="4" borderId="9" xfId="8" applyFont="1" applyFill="1" applyBorder="1" applyAlignment="1">
      <alignment horizontal="left"/>
    </xf>
    <xf numFmtId="0" fontId="38" fillId="4" borderId="9" xfId="8" applyFont="1" applyFill="1" applyBorder="1" applyAlignment="1">
      <alignment horizontal="left" vertical="center"/>
    </xf>
    <xf numFmtId="0" fontId="38" fillId="0" borderId="19" xfId="8" applyFont="1" applyBorder="1" applyAlignment="1">
      <alignment horizontal="left" vertical="center"/>
    </xf>
    <xf numFmtId="0" fontId="20" fillId="11" borderId="20" xfId="5" applyFont="1" applyFill="1" applyBorder="1" applyAlignment="1">
      <alignment horizontal="center" vertical="center" wrapText="1"/>
    </xf>
    <xf numFmtId="0" fontId="20" fillId="11" borderId="14" xfId="0" applyFont="1" applyFill="1" applyBorder="1" applyAlignment="1">
      <alignment horizontal="center" vertical="center" wrapText="1"/>
    </xf>
    <xf numFmtId="165" fontId="20" fillId="0" borderId="33" xfId="0" applyNumberFormat="1" applyFont="1" applyBorder="1" applyAlignment="1">
      <alignment horizontal="center" vertical="center" wrapText="1"/>
    </xf>
    <xf numFmtId="165" fontId="20" fillId="0" borderId="4" xfId="0" applyNumberFormat="1" applyFont="1" applyBorder="1" applyAlignment="1">
      <alignment horizontal="center" vertical="center" wrapText="1"/>
    </xf>
    <xf numFmtId="0" fontId="89" fillId="0" borderId="9" xfId="0" applyFont="1" applyBorder="1" applyAlignment="1">
      <alignment horizontal="center" vertical="center" wrapText="1"/>
    </xf>
    <xf numFmtId="165" fontId="89" fillId="0" borderId="9" xfId="0" applyNumberFormat="1" applyFont="1" applyBorder="1" applyAlignment="1">
      <alignment horizontal="center" vertical="center" wrapText="1"/>
    </xf>
    <xf numFmtId="3" fontId="89" fillId="0" borderId="9" xfId="0" applyNumberFormat="1" applyFont="1" applyBorder="1" applyAlignment="1">
      <alignment horizontal="center" vertical="center" wrapText="1"/>
    </xf>
    <xf numFmtId="2" fontId="20" fillId="4" borderId="14" xfId="0" applyNumberFormat="1" applyFont="1" applyFill="1" applyBorder="1"/>
    <xf numFmtId="7" fontId="20" fillId="4" borderId="23" xfId="2" applyNumberFormat="1" applyFont="1" applyFill="1" applyBorder="1" applyAlignment="1">
      <alignment horizontal="center" vertical="center" wrapText="1"/>
    </xf>
    <xf numFmtId="7" fontId="4" fillId="4" borderId="23" xfId="2" applyNumberFormat="1" applyFont="1" applyFill="1" applyBorder="1" applyAlignment="1">
      <alignment horizontal="center" vertical="center" wrapText="1"/>
    </xf>
    <xf numFmtId="7" fontId="20" fillId="4" borderId="26" xfId="2" applyNumberFormat="1" applyFont="1" applyFill="1" applyBorder="1" applyAlignment="1">
      <alignment horizontal="center" vertical="center" wrapText="1"/>
    </xf>
    <xf numFmtId="7" fontId="20" fillId="4" borderId="18" xfId="2" applyNumberFormat="1" applyFont="1" applyFill="1" applyBorder="1" applyAlignment="1">
      <alignment horizontal="center" vertical="center" wrapText="1"/>
    </xf>
    <xf numFmtId="7" fontId="20" fillId="4" borderId="21" xfId="2" applyNumberFormat="1" applyFont="1" applyFill="1" applyBorder="1" applyAlignment="1">
      <alignment horizontal="center" vertical="center" wrapText="1"/>
    </xf>
    <xf numFmtId="7" fontId="4" fillId="4" borderId="19" xfId="2" applyNumberFormat="1" applyFont="1" applyFill="1" applyBorder="1" applyAlignment="1">
      <alignment horizontal="center" vertical="center" wrapText="1"/>
    </xf>
    <xf numFmtId="7" fontId="20" fillId="4" borderId="19" xfId="2" applyNumberFormat="1" applyFont="1" applyFill="1" applyBorder="1" applyAlignment="1">
      <alignment horizontal="center" vertical="center" wrapText="1"/>
    </xf>
    <xf numFmtId="0" fontId="35" fillId="0" borderId="93" xfId="6" applyFont="1" applyBorder="1"/>
    <xf numFmtId="0" fontId="4" fillId="0" borderId="0" xfId="5" applyFont="1"/>
    <xf numFmtId="2" fontId="0" fillId="19" borderId="9" xfId="0" applyNumberFormat="1" applyFill="1" applyBorder="1"/>
    <xf numFmtId="2" fontId="20" fillId="19" borderId="9" xfId="0" applyNumberFormat="1" applyFont="1" applyFill="1" applyBorder="1"/>
    <xf numFmtId="170" fontId="20" fillId="19" borderId="9" xfId="5" applyNumberFormat="1" applyFont="1" applyFill="1" applyBorder="1" applyAlignment="1">
      <alignment horizontal="center"/>
    </xf>
    <xf numFmtId="165" fontId="0" fillId="19" borderId="9" xfId="0" applyNumberFormat="1" applyFill="1" applyBorder="1"/>
    <xf numFmtId="171" fontId="1" fillId="19" borderId="9" xfId="5" applyNumberFormat="1" applyFont="1" applyFill="1" applyBorder="1" applyAlignment="1">
      <alignment horizontal="center" vertical="center" wrapText="1"/>
    </xf>
    <xf numFmtId="171" fontId="0" fillId="19" borderId="9" xfId="0" applyNumberFormat="1" applyFill="1" applyBorder="1"/>
    <xf numFmtId="165" fontId="20" fillId="19" borderId="9" xfId="0" applyNumberFormat="1" applyFont="1" applyFill="1" applyBorder="1" applyAlignment="1">
      <alignment horizontal="center"/>
    </xf>
    <xf numFmtId="165" fontId="0" fillId="19" borderId="9" xfId="0" applyNumberFormat="1" applyFill="1" applyBorder="1" applyAlignment="1">
      <alignment horizontal="center"/>
    </xf>
    <xf numFmtId="37" fontId="0" fillId="19" borderId="9" xfId="1" applyNumberFormat="1" applyFont="1" applyFill="1" applyBorder="1" applyAlignment="1">
      <alignment horizontal="center"/>
    </xf>
    <xf numFmtId="37" fontId="20" fillId="19" borderId="9" xfId="1" applyNumberFormat="1" applyFont="1" applyFill="1" applyBorder="1" applyAlignment="1">
      <alignment horizontal="center"/>
    </xf>
    <xf numFmtId="2" fontId="0" fillId="19" borderId="9" xfId="0" applyNumberFormat="1" applyFill="1" applyBorder="1" applyAlignment="1">
      <alignment horizontal="center"/>
    </xf>
    <xf numFmtId="2" fontId="20" fillId="19" borderId="9" xfId="0" applyNumberFormat="1" applyFont="1" applyFill="1" applyBorder="1" applyAlignment="1">
      <alignment horizontal="center"/>
    </xf>
    <xf numFmtId="189" fontId="0" fillId="0" borderId="9" xfId="0" applyNumberFormat="1" applyBorder="1" applyAlignment="1">
      <alignment horizontal="center"/>
    </xf>
    <xf numFmtId="189" fontId="0" fillId="0" borderId="9" xfId="0" applyNumberFormat="1" applyBorder="1" applyAlignment="1">
      <alignment horizontal="right"/>
    </xf>
    <xf numFmtId="37" fontId="0" fillId="0" borderId="9" xfId="0" applyNumberFormat="1" applyBorder="1"/>
    <xf numFmtId="170" fontId="0" fillId="0" borderId="9" xfId="0" applyNumberFormat="1" applyBorder="1"/>
    <xf numFmtId="0" fontId="0" fillId="19" borderId="9" xfId="0" applyFill="1" applyBorder="1"/>
    <xf numFmtId="170" fontId="4" fillId="19" borderId="9" xfId="5" applyNumberFormat="1" applyFont="1" applyFill="1" applyBorder="1" applyAlignment="1">
      <alignment horizontal="center"/>
    </xf>
    <xf numFmtId="170" fontId="0" fillId="19" borderId="9" xfId="0" applyNumberFormat="1" applyFill="1" applyBorder="1" applyAlignment="1">
      <alignment horizontal="center"/>
    </xf>
    <xf numFmtId="0" fontId="20" fillId="0" borderId="48" xfId="0" applyFont="1" applyBorder="1" applyAlignment="1">
      <alignment horizontal="left" vertical="center"/>
    </xf>
    <xf numFmtId="178" fontId="20" fillId="4" borderId="9" xfId="0" applyNumberFormat="1" applyFont="1" applyFill="1" applyBorder="1" applyAlignment="1">
      <alignment horizontal="center" wrapText="1"/>
    </xf>
    <xf numFmtId="7" fontId="20" fillId="4" borderId="4" xfId="2" applyNumberFormat="1" applyFont="1" applyFill="1" applyBorder="1" applyAlignment="1">
      <alignment horizontal="center"/>
    </xf>
    <xf numFmtId="171" fontId="4" fillId="0" borderId="9" xfId="13" applyNumberFormat="1" applyFont="1" applyBorder="1" applyAlignment="1">
      <alignment horizontal="center"/>
    </xf>
    <xf numFmtId="189" fontId="0" fillId="25" borderId="9" xfId="1" applyNumberFormat="1" applyFont="1" applyFill="1" applyBorder="1" applyAlignment="1">
      <alignment horizontal="center"/>
    </xf>
    <xf numFmtId="189" fontId="20" fillId="25" borderId="9" xfId="0" applyNumberFormat="1" applyFont="1" applyFill="1" applyBorder="1" applyAlignment="1">
      <alignment horizontal="center" vertical="center" wrapText="1"/>
    </xf>
    <xf numFmtId="39" fontId="20" fillId="25" borderId="9" xfId="0" applyNumberFormat="1" applyFont="1" applyFill="1" applyBorder="1" applyAlignment="1">
      <alignment horizontal="center" vertical="center" wrapText="1"/>
    </xf>
    <xf numFmtId="165" fontId="0" fillId="25" borderId="9" xfId="13" applyNumberFormat="1" applyFont="1" applyFill="1" applyBorder="1" applyAlignment="1">
      <alignment horizontal="center"/>
    </xf>
    <xf numFmtId="165" fontId="20" fillId="25" borderId="9" xfId="0" applyNumberFormat="1" applyFont="1" applyFill="1" applyBorder="1" applyAlignment="1">
      <alignment horizontal="center" vertical="center" wrapText="1"/>
    </xf>
    <xf numFmtId="2" fontId="4" fillId="25" borderId="9" xfId="0" applyNumberFormat="1" applyFont="1" applyFill="1" applyBorder="1" applyAlignment="1">
      <alignment horizontal="center"/>
    </xf>
    <xf numFmtId="2" fontId="20" fillId="25" borderId="9" xfId="0" applyNumberFormat="1" applyFont="1" applyFill="1" applyBorder="1" applyAlignment="1">
      <alignment horizontal="center"/>
    </xf>
    <xf numFmtId="165" fontId="20" fillId="0" borderId="19" xfId="8" applyNumberFormat="1" applyFont="1" applyBorder="1" applyAlignment="1">
      <alignment horizontal="left" vertical="center"/>
    </xf>
    <xf numFmtId="0" fontId="71" fillId="0" borderId="0" xfId="5" applyFont="1" applyAlignment="1">
      <alignment wrapText="1"/>
    </xf>
    <xf numFmtId="0" fontId="35" fillId="0" borderId="0" xfId="5" applyFont="1" applyAlignment="1">
      <alignment vertical="center" wrapText="1"/>
    </xf>
    <xf numFmtId="0" fontId="5" fillId="12" borderId="9" xfId="0" applyFont="1" applyFill="1" applyBorder="1"/>
    <xf numFmtId="168" fontId="0" fillId="0" borderId="9" xfId="1" applyNumberFormat="1" applyFont="1" applyFill="1" applyBorder="1" applyAlignment="1">
      <alignment horizontal="center"/>
    </xf>
    <xf numFmtId="168" fontId="4" fillId="0" borderId="9" xfId="1" applyNumberFormat="1" applyFont="1" applyFill="1" applyBorder="1" applyAlignment="1">
      <alignment horizontal="center"/>
    </xf>
    <xf numFmtId="168" fontId="20" fillId="0" borderId="9" xfId="1" applyNumberFormat="1" applyFont="1" applyFill="1" applyBorder="1" applyAlignment="1">
      <alignment horizontal="center"/>
    </xf>
    <xf numFmtId="168" fontId="26" fillId="0" borderId="9" xfId="1" applyNumberFormat="1" applyFont="1" applyFill="1" applyBorder="1" applyAlignment="1">
      <alignment horizontal="center" vertical="center" wrapText="1"/>
    </xf>
    <xf numFmtId="168" fontId="0" fillId="19" borderId="9" xfId="1" applyNumberFormat="1" applyFont="1" applyFill="1" applyBorder="1" applyAlignment="1">
      <alignment horizontal="center"/>
    </xf>
    <xf numFmtId="168" fontId="20" fillId="19" borderId="9" xfId="1" applyNumberFormat="1" applyFont="1" applyFill="1" applyBorder="1" applyAlignment="1">
      <alignment horizontal="center"/>
    </xf>
    <xf numFmtId="37" fontId="4" fillId="0" borderId="9" xfId="0" applyNumberFormat="1" applyFont="1" applyBorder="1"/>
    <xf numFmtId="37" fontId="20" fillId="4" borderId="9" xfId="0" applyNumberFormat="1" applyFont="1" applyFill="1" applyBorder="1" applyAlignment="1">
      <alignment horizontal="center" vertical="center" wrapText="1"/>
    </xf>
    <xf numFmtId="171" fontId="20" fillId="0" borderId="16" xfId="13" applyNumberFormat="1" applyFont="1" applyBorder="1" applyAlignment="1">
      <alignment horizontal="center" vertical="center" wrapText="1"/>
    </xf>
    <xf numFmtId="171" fontId="20" fillId="0" borderId="9" xfId="13" applyNumberFormat="1" applyFont="1" applyBorder="1" applyAlignment="1">
      <alignment horizontal="center" vertical="center" wrapText="1"/>
    </xf>
    <xf numFmtId="0" fontId="4" fillId="0" borderId="0" xfId="13" applyFont="1" applyAlignment="1">
      <alignment horizontal="center"/>
    </xf>
    <xf numFmtId="168" fontId="4" fillId="0" borderId="0" xfId="0" applyNumberFormat="1" applyFont="1" applyAlignment="1">
      <alignment horizontal="center"/>
    </xf>
    <xf numFmtId="0" fontId="4" fillId="0" borderId="0" xfId="8" applyFont="1" applyAlignment="1">
      <alignment horizontal="left"/>
    </xf>
    <xf numFmtId="2" fontId="4" fillId="0" borderId="0" xfId="13" applyNumberFormat="1" applyFont="1" applyAlignment="1">
      <alignment horizontal="center"/>
    </xf>
    <xf numFmtId="193" fontId="4" fillId="0" borderId="0" xfId="0" applyNumberFormat="1" applyFont="1" applyAlignment="1">
      <alignment horizontal="center"/>
    </xf>
    <xf numFmtId="165" fontId="4" fillId="0" borderId="0" xfId="13" applyNumberFormat="1" applyFont="1" applyAlignment="1">
      <alignment horizontal="center"/>
    </xf>
    <xf numFmtId="7" fontId="4" fillId="0" borderId="0" xfId="2" applyNumberFormat="1" applyFont="1" applyFill="1" applyBorder="1" applyAlignment="1">
      <alignment horizontal="center"/>
    </xf>
    <xf numFmtId="0" fontId="0" fillId="0" borderId="0" xfId="8" applyFont="1" applyAlignment="1">
      <alignment horizontal="left"/>
    </xf>
    <xf numFmtId="1" fontId="20" fillId="0" borderId="9" xfId="13" applyNumberFormat="1" applyFont="1" applyBorder="1" applyAlignment="1">
      <alignment horizontal="center"/>
    </xf>
    <xf numFmtId="168" fontId="20" fillId="0" borderId="0" xfId="0" applyNumberFormat="1" applyFont="1" applyAlignment="1">
      <alignment horizontal="center"/>
    </xf>
    <xf numFmtId="0" fontId="4" fillId="0" borderId="0" xfId="6" applyFont="1" applyAlignment="1">
      <alignment horizontal="left"/>
    </xf>
    <xf numFmtId="2" fontId="4" fillId="8" borderId="9" xfId="1" applyNumberFormat="1" applyFont="1" applyFill="1" applyBorder="1" applyAlignment="1">
      <alignment horizontal="center"/>
    </xf>
    <xf numFmtId="44" fontId="4" fillId="8" borderId="9" xfId="0" applyNumberFormat="1" applyFont="1" applyFill="1" applyBorder="1" applyAlignment="1">
      <alignment horizontal="center" wrapText="1"/>
    </xf>
    <xf numFmtId="0" fontId="4" fillId="8" borderId="9" xfId="0" applyFont="1" applyFill="1" applyBorder="1" applyAlignment="1">
      <alignment horizontal="center" wrapText="1"/>
    </xf>
    <xf numFmtId="2" fontId="4" fillId="0" borderId="22" xfId="1" applyNumberFormat="1" applyFont="1" applyBorder="1" applyAlignment="1">
      <alignment horizontal="center"/>
    </xf>
    <xf numFmtId="0" fontId="4" fillId="4" borderId="23" xfId="8" applyFont="1" applyFill="1" applyBorder="1" applyAlignment="1">
      <alignment horizontal="left"/>
    </xf>
    <xf numFmtId="7" fontId="4" fillId="0" borderId="0" xfId="0" applyNumberFormat="1" applyFont="1"/>
    <xf numFmtId="44" fontId="4" fillId="0" borderId="24" xfId="2" applyFont="1" applyFill="1" applyBorder="1"/>
    <xf numFmtId="7" fontId="4" fillId="0" borderId="28" xfId="0" applyNumberFormat="1" applyFont="1" applyBorder="1"/>
    <xf numFmtId="44" fontId="4" fillId="0" borderId="26" xfId="2" applyFont="1" applyFill="1" applyBorder="1"/>
    <xf numFmtId="0" fontId="4" fillId="0" borderId="0" xfId="8" applyFont="1" applyAlignment="1">
      <alignment horizontal="center"/>
    </xf>
    <xf numFmtId="2" fontId="4" fillId="0" borderId="0" xfId="1" applyNumberFormat="1" applyFont="1" applyBorder="1" applyAlignment="1">
      <alignment horizontal="center"/>
    </xf>
    <xf numFmtId="180" fontId="86" fillId="0" borderId="0" xfId="6" applyNumberFormat="1" applyFont="1"/>
    <xf numFmtId="0" fontId="21" fillId="0" borderId="0" xfId="6" applyFont="1"/>
    <xf numFmtId="0" fontId="89" fillId="0" borderId="0" xfId="0" applyFont="1" applyAlignment="1">
      <alignment horizontal="center"/>
    </xf>
    <xf numFmtId="0" fontId="89" fillId="0" borderId="0" xfId="0" applyFont="1" applyAlignment="1">
      <alignment horizontal="left"/>
    </xf>
    <xf numFmtId="165" fontId="0" fillId="25" borderId="9" xfId="13" applyNumberFormat="1" applyFont="1" applyFill="1" applyBorder="1" applyAlignment="1">
      <alignment horizontal="center" vertical="center" wrapText="1"/>
    </xf>
    <xf numFmtId="165" fontId="20" fillId="25" borderId="9" xfId="13" applyNumberFormat="1" applyFont="1" applyFill="1" applyBorder="1" applyAlignment="1">
      <alignment horizontal="center" vertical="center" wrapText="1"/>
    </xf>
    <xf numFmtId="2" fontId="0" fillId="25" borderId="9" xfId="13" applyNumberFormat="1" applyFont="1" applyFill="1" applyBorder="1" applyAlignment="1">
      <alignment horizontal="center"/>
    </xf>
    <xf numFmtId="2" fontId="20" fillId="25" borderId="9" xfId="13" applyNumberFormat="1" applyFont="1" applyFill="1" applyBorder="1" applyAlignment="1">
      <alignment horizontal="center"/>
    </xf>
    <xf numFmtId="2" fontId="0" fillId="25" borderId="9" xfId="0" applyNumberFormat="1" applyFill="1" applyBorder="1" applyAlignment="1">
      <alignment horizontal="center"/>
    </xf>
    <xf numFmtId="0" fontId="4" fillId="8" borderId="19" xfId="0" applyFont="1" applyFill="1" applyBorder="1"/>
    <xf numFmtId="0" fontId="4" fillId="4" borderId="19" xfId="8" applyFont="1" applyFill="1" applyBorder="1" applyAlignment="1">
      <alignment horizontal="left"/>
    </xf>
    <xf numFmtId="165" fontId="20" fillId="0" borderId="0" xfId="6" applyNumberFormat="1" applyFont="1"/>
    <xf numFmtId="10" fontId="20" fillId="0" borderId="0" xfId="3" applyNumberFormat="1" applyFont="1" applyFill="1"/>
    <xf numFmtId="170" fontId="0" fillId="25" borderId="9" xfId="1" applyNumberFormat="1" applyFont="1" applyFill="1" applyBorder="1" applyAlignment="1">
      <alignment horizontal="center"/>
    </xf>
    <xf numFmtId="170" fontId="20" fillId="25" borderId="9" xfId="0" applyNumberFormat="1" applyFont="1" applyFill="1" applyBorder="1" applyAlignment="1">
      <alignment horizontal="center" vertical="center" wrapText="1"/>
    </xf>
    <xf numFmtId="2" fontId="4" fillId="0" borderId="16" xfId="1" applyNumberFormat="1" applyFont="1" applyBorder="1" applyAlignment="1">
      <alignment horizontal="center"/>
    </xf>
    <xf numFmtId="0" fontId="4" fillId="4" borderId="9" xfId="8" applyFont="1" applyFill="1" applyBorder="1" applyAlignment="1">
      <alignment horizontal="left"/>
    </xf>
    <xf numFmtId="7" fontId="4" fillId="0" borderId="17" xfId="0" applyNumberFormat="1" applyFont="1" applyBorder="1"/>
    <xf numFmtId="44" fontId="4" fillId="0" borderId="18" xfId="2" applyFont="1" applyFill="1" applyBorder="1"/>
    <xf numFmtId="179" fontId="93" fillId="25" borderId="9" xfId="8" applyNumberFormat="1" applyFont="1" applyFill="1" applyBorder="1" applyAlignment="1">
      <alignment horizontal="center"/>
    </xf>
    <xf numFmtId="179" fontId="93" fillId="25" borderId="9" xfId="6" applyNumberFormat="1" applyFont="1" applyFill="1" applyBorder="1" applyAlignment="1">
      <alignment horizontal="center"/>
    </xf>
    <xf numFmtId="4" fontId="93" fillId="25" borderId="9" xfId="6" applyNumberFormat="1" applyFont="1" applyFill="1" applyBorder="1" applyAlignment="1">
      <alignment horizontal="center"/>
    </xf>
    <xf numFmtId="171" fontId="1" fillId="25" borderId="9" xfId="6" applyNumberFormat="1" applyFill="1" applyBorder="1" applyAlignment="1">
      <alignment horizontal="center"/>
    </xf>
    <xf numFmtId="171" fontId="20" fillId="25" borderId="9" xfId="6" applyNumberFormat="1" applyFont="1" applyFill="1" applyBorder="1" applyAlignment="1">
      <alignment horizontal="center"/>
    </xf>
    <xf numFmtId="9" fontId="1" fillId="25" borderId="9" xfId="3" applyFont="1" applyFill="1" applyBorder="1" applyAlignment="1">
      <alignment horizontal="center" vertical="center" wrapText="1"/>
    </xf>
    <xf numFmtId="9" fontId="20" fillId="25" borderId="9" xfId="3" applyFont="1" applyFill="1" applyBorder="1" applyAlignment="1">
      <alignment horizontal="center" vertical="center" wrapText="1"/>
    </xf>
    <xf numFmtId="2" fontId="4" fillId="0" borderId="25" xfId="1" applyNumberFormat="1" applyFont="1" applyBorder="1" applyAlignment="1">
      <alignment horizontal="center"/>
    </xf>
    <xf numFmtId="0" fontId="20" fillId="0" borderId="30" xfId="0" applyFont="1" applyBorder="1" applyAlignment="1">
      <alignment horizontal="left" vertical="center"/>
    </xf>
    <xf numFmtId="0" fontId="25" fillId="0" borderId="33" xfId="8" applyFont="1" applyBorder="1" applyAlignment="1">
      <alignment horizontal="left" vertical="center"/>
    </xf>
    <xf numFmtId="180" fontId="20" fillId="4" borderId="9" xfId="0" applyNumberFormat="1" applyFont="1" applyFill="1" applyBorder="1" applyAlignment="1">
      <alignment horizontal="left" vertical="center"/>
    </xf>
    <xf numFmtId="9" fontId="20" fillId="4" borderId="9" xfId="0" applyNumberFormat="1" applyFont="1" applyFill="1" applyBorder="1" applyAlignment="1">
      <alignment horizontal="left" vertical="center" wrapText="1"/>
    </xf>
    <xf numFmtId="178" fontId="20" fillId="4" borderId="9" xfId="0" applyNumberFormat="1" applyFont="1" applyFill="1" applyBorder="1" applyAlignment="1">
      <alignment horizontal="left" vertical="center"/>
    </xf>
    <xf numFmtId="0" fontId="20" fillId="11" borderId="20" xfId="0" applyFont="1" applyFill="1" applyBorder="1" applyAlignment="1">
      <alignment horizontal="center" vertical="center" wrapText="1"/>
    </xf>
    <xf numFmtId="165" fontId="20" fillId="0" borderId="23" xfId="0" applyNumberFormat="1" applyFont="1" applyBorder="1" applyAlignment="1">
      <alignment horizontal="left" vertical="center" wrapText="1"/>
    </xf>
    <xf numFmtId="9" fontId="20" fillId="0" borderId="19" xfId="3" applyFont="1" applyFill="1" applyBorder="1" applyAlignment="1">
      <alignment horizontal="left" vertical="center" wrapText="1"/>
    </xf>
    <xf numFmtId="0" fontId="20" fillId="0" borderId="24" xfId="0" applyFont="1" applyBorder="1" applyAlignment="1">
      <alignment wrapText="1"/>
    </xf>
    <xf numFmtId="0" fontId="20" fillId="0" borderId="19" xfId="8" applyFont="1" applyBorder="1"/>
    <xf numFmtId="0" fontId="20" fillId="0" borderId="27" xfId="0" applyFont="1" applyBorder="1" applyAlignment="1">
      <alignment horizontal="center" vertical="center" wrapText="1"/>
    </xf>
    <xf numFmtId="0" fontId="20" fillId="11" borderId="25" xfId="0" applyFont="1" applyFill="1" applyBorder="1" applyAlignment="1">
      <alignment horizontal="center" vertical="center" wrapText="1"/>
    </xf>
    <xf numFmtId="0" fontId="20" fillId="0" borderId="19" xfId="0" applyFont="1" applyBorder="1" applyAlignment="1">
      <alignment horizontal="left"/>
    </xf>
    <xf numFmtId="43" fontId="40" fillId="0" borderId="0" xfId="1" applyFont="1" applyAlignment="1">
      <alignment horizontal="center"/>
    </xf>
    <xf numFmtId="43" fontId="20" fillId="0" borderId="0" xfId="1" applyFont="1" applyAlignment="1">
      <alignment horizontal="center"/>
    </xf>
    <xf numFmtId="43" fontId="65" fillId="30" borderId="30" xfId="1" applyFont="1" applyFill="1" applyBorder="1" applyAlignment="1">
      <alignment horizontal="center" wrapText="1"/>
    </xf>
    <xf numFmtId="43" fontId="74" fillId="22" borderId="30" xfId="1" applyFont="1" applyFill="1" applyBorder="1" applyAlignment="1">
      <alignment horizontal="center" wrapText="1"/>
    </xf>
    <xf numFmtId="0" fontId="65" fillId="27" borderId="30" xfId="0" applyFont="1" applyFill="1" applyBorder="1" applyAlignment="1">
      <alignment horizontal="center" wrapText="1"/>
    </xf>
    <xf numFmtId="0" fontId="74" fillId="23" borderId="30" xfId="0" applyFont="1" applyFill="1" applyBorder="1" applyAlignment="1">
      <alignment horizontal="center" wrapText="1"/>
    </xf>
    <xf numFmtId="0" fontId="20" fillId="19" borderId="9" xfId="0" applyFont="1" applyFill="1" applyBorder="1" applyAlignment="1">
      <alignment horizontal="center" wrapText="1"/>
    </xf>
    <xf numFmtId="43" fontId="65" fillId="30" borderId="9" xfId="1" applyFont="1" applyFill="1" applyBorder="1" applyAlignment="1">
      <alignment horizontal="center" wrapText="1"/>
    </xf>
    <xf numFmtId="43" fontId="74" fillId="22" borderId="9" xfId="1" applyFont="1" applyFill="1" applyBorder="1" applyAlignment="1">
      <alignment horizontal="center" wrapText="1"/>
    </xf>
    <xf numFmtId="0" fontId="65" fillId="27" borderId="9" xfId="0" applyFont="1" applyFill="1" applyBorder="1" applyAlignment="1">
      <alignment horizontal="center" wrapText="1"/>
    </xf>
    <xf numFmtId="0" fontId="74" fillId="23" borderId="9" xfId="0" applyFont="1" applyFill="1" applyBorder="1" applyAlignment="1">
      <alignment horizontal="center" wrapText="1"/>
    </xf>
    <xf numFmtId="43" fontId="20" fillId="25" borderId="9" xfId="1" applyFont="1" applyFill="1" applyBorder="1"/>
    <xf numFmtId="9" fontId="20" fillId="0" borderId="9" xfId="0" applyNumberFormat="1" applyFont="1" applyBorder="1"/>
    <xf numFmtId="43" fontId="20" fillId="5" borderId="9" xfId="1" applyFont="1" applyFill="1" applyBorder="1"/>
    <xf numFmtId="205" fontId="20" fillId="5" borderId="9" xfId="0" applyNumberFormat="1" applyFont="1" applyFill="1" applyBorder="1"/>
    <xf numFmtId="39" fontId="20" fillId="0" borderId="9" xfId="0" applyNumberFormat="1" applyFont="1" applyBorder="1"/>
    <xf numFmtId="43" fontId="40" fillId="0" borderId="0" xfId="1" applyFont="1"/>
    <xf numFmtId="165" fontId="20" fillId="0" borderId="0" xfId="0" applyNumberFormat="1" applyFont="1" applyAlignment="1">
      <alignment horizontal="center"/>
    </xf>
    <xf numFmtId="171" fontId="20" fillId="0" borderId="0" xfId="0" applyNumberFormat="1" applyFont="1" applyAlignment="1">
      <alignment horizontal="center"/>
    </xf>
    <xf numFmtId="171" fontId="20" fillId="0" borderId="0" xfId="2" applyNumberFormat="1" applyFont="1" applyAlignment="1">
      <alignment horizontal="center"/>
    </xf>
    <xf numFmtId="171" fontId="20" fillId="30" borderId="0" xfId="0" applyNumberFormat="1" applyFont="1" applyFill="1" applyAlignment="1">
      <alignment horizontal="center"/>
    </xf>
    <xf numFmtId="171" fontId="20" fillId="30" borderId="0" xfId="2" applyNumberFormat="1" applyFont="1" applyFill="1" applyAlignment="1">
      <alignment horizontal="center"/>
    </xf>
    <xf numFmtId="0" fontId="20" fillId="30" borderId="0" xfId="0" applyFont="1" applyFill="1" applyAlignment="1">
      <alignment horizontal="center"/>
    </xf>
    <xf numFmtId="0" fontId="20" fillId="30" borderId="0" xfId="0" applyFont="1" applyFill="1"/>
    <xf numFmtId="0" fontId="20" fillId="18" borderId="0" xfId="0" applyFont="1" applyFill="1"/>
    <xf numFmtId="165" fontId="74" fillId="13" borderId="30" xfId="0" applyNumberFormat="1" applyFont="1" applyFill="1" applyBorder="1" applyAlignment="1">
      <alignment horizontal="center" wrapText="1"/>
    </xf>
    <xf numFmtId="165" fontId="74" fillId="13" borderId="9" xfId="0" applyNumberFormat="1" applyFont="1" applyFill="1" applyBorder="1" applyAlignment="1">
      <alignment horizontal="center" wrapText="1"/>
    </xf>
    <xf numFmtId="0" fontId="74" fillId="13" borderId="9" xfId="0" applyFont="1" applyFill="1" applyBorder="1" applyAlignment="1">
      <alignment horizontal="center" wrapText="1"/>
    </xf>
    <xf numFmtId="171" fontId="74" fillId="13" borderId="9" xfId="0" applyNumberFormat="1" applyFont="1" applyFill="1" applyBorder="1" applyAlignment="1">
      <alignment horizontal="center" wrapText="1"/>
    </xf>
    <xf numFmtId="43" fontId="20" fillId="0" borderId="9" xfId="0" applyNumberFormat="1" applyFont="1" applyBorder="1" applyAlignment="1">
      <alignment horizontal="center"/>
    </xf>
    <xf numFmtId="171" fontId="20" fillId="29" borderId="9" xfId="2" applyNumberFormat="1" applyFont="1" applyFill="1" applyBorder="1" applyAlignment="1">
      <alignment horizontal="center"/>
    </xf>
    <xf numFmtId="171" fontId="20" fillId="27" borderId="9" xfId="2" applyNumberFormat="1" applyFont="1" applyFill="1" applyBorder="1" applyAlignment="1">
      <alignment horizontal="center"/>
    </xf>
    <xf numFmtId="7" fontId="20" fillId="4" borderId="9" xfId="0" applyNumberFormat="1" applyFont="1" applyFill="1" applyBorder="1"/>
    <xf numFmtId="0" fontId="20" fillId="18" borderId="9" xfId="0" applyFont="1" applyFill="1" applyBorder="1"/>
    <xf numFmtId="7" fontId="20" fillId="18" borderId="9" xfId="0" applyNumberFormat="1" applyFont="1" applyFill="1" applyBorder="1"/>
    <xf numFmtId="43" fontId="20" fillId="25" borderId="9" xfId="0" applyNumberFormat="1" applyFont="1" applyFill="1" applyBorder="1" applyAlignment="1">
      <alignment horizontal="center"/>
    </xf>
    <xf numFmtId="44" fontId="40" fillId="0" borderId="9" xfId="2" applyFont="1" applyBorder="1"/>
    <xf numFmtId="43" fontId="20" fillId="20" borderId="9" xfId="0" applyNumberFormat="1" applyFont="1" applyFill="1" applyBorder="1"/>
    <xf numFmtId="0" fontId="20" fillId="20" borderId="9" xfId="0" applyFont="1" applyFill="1" applyBorder="1"/>
    <xf numFmtId="0" fontId="20" fillId="22" borderId="9" xfId="0" applyFont="1" applyFill="1" applyBorder="1"/>
    <xf numFmtId="44" fontId="20" fillId="33" borderId="9" xfId="0" applyNumberFormat="1" applyFont="1" applyFill="1" applyBorder="1"/>
    <xf numFmtId="0" fontId="20" fillId="33" borderId="9" xfId="0" applyFont="1" applyFill="1" applyBorder="1"/>
    <xf numFmtId="7" fontId="20" fillId="33" borderId="9" xfId="0" applyNumberFormat="1" applyFont="1" applyFill="1" applyBorder="1"/>
    <xf numFmtId="0" fontId="20" fillId="31" borderId="9" xfId="0" applyFont="1" applyFill="1" applyBorder="1"/>
    <xf numFmtId="2" fontId="20" fillId="5" borderId="9" xfId="0" applyNumberFormat="1" applyFont="1" applyFill="1" applyBorder="1" applyAlignment="1">
      <alignment horizontal="center"/>
    </xf>
    <xf numFmtId="44" fontId="20" fillId="5" borderId="9" xfId="2" applyFont="1" applyFill="1" applyBorder="1" applyAlignment="1">
      <alignment horizontal="center"/>
    </xf>
    <xf numFmtId="0" fontId="20" fillId="21" borderId="9" xfId="0" applyFont="1" applyFill="1" applyBorder="1"/>
    <xf numFmtId="171" fontId="20" fillId="20" borderId="9" xfId="0" applyNumberFormat="1" applyFont="1" applyFill="1" applyBorder="1" applyAlignment="1">
      <alignment horizontal="center"/>
    </xf>
    <xf numFmtId="0" fontId="20" fillId="27" borderId="9" xfId="0" applyFont="1" applyFill="1" applyBorder="1"/>
    <xf numFmtId="43" fontId="20" fillId="5" borderId="9" xfId="0" applyNumberFormat="1" applyFont="1" applyFill="1" applyBorder="1" applyAlignment="1">
      <alignment horizontal="center"/>
    </xf>
    <xf numFmtId="1" fontId="20" fillId="4" borderId="9" xfId="0" applyNumberFormat="1" applyFont="1" applyFill="1" applyBorder="1"/>
    <xf numFmtId="1" fontId="20" fillId="22" borderId="9" xfId="0" applyNumberFormat="1" applyFont="1" applyFill="1" applyBorder="1"/>
    <xf numFmtId="2" fontId="20" fillId="8" borderId="9" xfId="0" applyNumberFormat="1" applyFont="1" applyFill="1" applyBorder="1" applyAlignment="1">
      <alignment horizontal="center"/>
    </xf>
    <xf numFmtId="1" fontId="20" fillId="33" borderId="9" xfId="0" applyNumberFormat="1" applyFont="1" applyFill="1" applyBorder="1"/>
    <xf numFmtId="171" fontId="20" fillId="17" borderId="9" xfId="0" applyNumberFormat="1" applyFont="1" applyFill="1" applyBorder="1" applyAlignment="1">
      <alignment horizontal="center"/>
    </xf>
    <xf numFmtId="192" fontId="20" fillId="0" borderId="0" xfId="0" applyNumberFormat="1" applyFont="1" applyAlignment="1">
      <alignment horizontal="center"/>
    </xf>
    <xf numFmtId="203" fontId="4" fillId="0" borderId="9" xfId="0" applyNumberFormat="1" applyFont="1" applyBorder="1"/>
    <xf numFmtId="9" fontId="4" fillId="0" borderId="9" xfId="0" applyNumberFormat="1" applyFont="1" applyBorder="1"/>
    <xf numFmtId="43" fontId="4" fillId="0" borderId="0" xfId="1" applyFont="1"/>
    <xf numFmtId="205" fontId="4" fillId="28" borderId="0" xfId="0" applyNumberFormat="1" applyFont="1" applyFill="1"/>
    <xf numFmtId="7" fontId="4" fillId="0" borderId="9" xfId="2" applyNumberFormat="1" applyFont="1" applyBorder="1"/>
    <xf numFmtId="165" fontId="38" fillId="0" borderId="0" xfId="8" applyNumberFormat="1" applyFont="1" applyAlignment="1">
      <alignment horizontal="left" vertical="center"/>
    </xf>
    <xf numFmtId="171" fontId="4" fillId="0" borderId="0" xfId="6" applyNumberFormat="1" applyFont="1" applyAlignment="1">
      <alignment horizontal="center"/>
    </xf>
    <xf numFmtId="165" fontId="4" fillId="0" borderId="0" xfId="6" applyNumberFormat="1" applyFont="1" applyAlignment="1">
      <alignment horizontal="left" vertical="center" wrapText="1"/>
    </xf>
    <xf numFmtId="170" fontId="20" fillId="0" borderId="4" xfId="1" applyNumberFormat="1" applyFont="1" applyFill="1" applyBorder="1" applyAlignment="1">
      <alignment horizontal="center"/>
    </xf>
    <xf numFmtId="170" fontId="20" fillId="0" borderId="23" xfId="1" applyNumberFormat="1" applyFont="1" applyFill="1" applyBorder="1" applyAlignment="1">
      <alignment horizontal="center"/>
    </xf>
    <xf numFmtId="165" fontId="20" fillId="4" borderId="9" xfId="1" applyNumberFormat="1" applyFont="1" applyFill="1" applyBorder="1" applyAlignment="1">
      <alignment horizontal="center"/>
    </xf>
    <xf numFmtId="170" fontId="4" fillId="0" borderId="9" xfId="1" applyNumberFormat="1" applyFont="1" applyFill="1" applyBorder="1" applyAlignment="1">
      <alignment horizontal="center"/>
    </xf>
    <xf numFmtId="165" fontId="48" fillId="4" borderId="0" xfId="8" applyNumberFormat="1" applyFont="1" applyFill="1" applyAlignment="1">
      <alignment horizontal="left" vertical="center"/>
    </xf>
    <xf numFmtId="7" fontId="20" fillId="4" borderId="0" xfId="2" applyNumberFormat="1" applyFont="1" applyFill="1" applyBorder="1" applyAlignment="1">
      <alignment horizontal="center"/>
    </xf>
    <xf numFmtId="0" fontId="52" fillId="0" borderId="0" xfId="8" applyFont="1" applyAlignment="1">
      <alignment horizontal="left" vertical="center"/>
    </xf>
    <xf numFmtId="7" fontId="1" fillId="4" borderId="0" xfId="2" applyNumberFormat="1" applyFont="1" applyFill="1" applyBorder="1" applyAlignment="1">
      <alignment horizontal="center"/>
    </xf>
    <xf numFmtId="1" fontId="1" fillId="0" borderId="0" xfId="3" applyNumberFormat="1" applyFont="1" applyBorder="1" applyAlignment="1">
      <alignment horizontal="center"/>
    </xf>
    <xf numFmtId="9" fontId="20" fillId="0" borderId="0" xfId="3" applyFont="1" applyFill="1" applyBorder="1" applyAlignment="1">
      <alignment horizontal="left" vertical="top" wrapText="1"/>
    </xf>
    <xf numFmtId="0" fontId="31" fillId="6" borderId="0" xfId="5" applyFont="1" applyFill="1" applyAlignment="1">
      <alignment vertical="center"/>
    </xf>
    <xf numFmtId="44" fontId="4" fillId="0" borderId="22" xfId="0" applyNumberFormat="1" applyFont="1" applyBorder="1" applyAlignment="1">
      <alignment horizontal="center"/>
    </xf>
    <xf numFmtId="44" fontId="4" fillId="0" borderId="25" xfId="0" applyNumberFormat="1" applyFont="1" applyBorder="1" applyAlignment="1">
      <alignment horizontal="center"/>
    </xf>
    <xf numFmtId="0" fontId="20" fillId="0" borderId="21" xfId="0" applyFont="1" applyBorder="1" applyAlignment="1">
      <alignment wrapText="1"/>
    </xf>
    <xf numFmtId="168" fontId="20" fillId="0" borderId="4" xfId="5" applyNumberFormat="1" applyFont="1" applyBorder="1" applyAlignment="1">
      <alignment horizontal="center" vertical="center" wrapText="1"/>
    </xf>
    <xf numFmtId="9" fontId="66" fillId="0" borderId="9" xfId="3" applyFont="1" applyFill="1" applyBorder="1" applyAlignment="1">
      <alignment horizontal="center" vertical="center" wrapText="1"/>
    </xf>
    <xf numFmtId="3" fontId="20" fillId="0" borderId="9" xfId="3" applyNumberFormat="1" applyFont="1" applyFill="1" applyBorder="1" applyAlignment="1">
      <alignment horizontal="center" vertical="center" wrapText="1"/>
    </xf>
    <xf numFmtId="4" fontId="20" fillId="0" borderId="9" xfId="3" applyNumberFormat="1" applyFont="1" applyFill="1" applyBorder="1" applyAlignment="1">
      <alignment horizontal="center" vertical="center" wrapText="1"/>
    </xf>
    <xf numFmtId="0" fontId="40" fillId="0" borderId="0" xfId="13" applyFont="1" applyAlignment="1">
      <alignment vertical="center"/>
    </xf>
    <xf numFmtId="167" fontId="98" fillId="12" borderId="0" xfId="0" applyNumberFormat="1" applyFont="1" applyFill="1"/>
    <xf numFmtId="0" fontId="99" fillId="12" borderId="9" xfId="0" applyFont="1" applyFill="1" applyBorder="1" applyAlignment="1">
      <alignment horizontal="center" vertical="center" wrapText="1"/>
    </xf>
    <xf numFmtId="9" fontId="99" fillId="0" borderId="9" xfId="3" applyFont="1" applyFill="1" applyBorder="1" applyAlignment="1">
      <alignment horizontal="center" vertical="center" wrapText="1"/>
    </xf>
    <xf numFmtId="165" fontId="99" fillId="0" borderId="9" xfId="6" applyNumberFormat="1" applyFont="1" applyBorder="1" applyAlignment="1">
      <alignment horizontal="center" vertical="center" wrapText="1"/>
    </xf>
    <xf numFmtId="165" fontId="99" fillId="0" borderId="9" xfId="13" applyNumberFormat="1" applyFont="1" applyBorder="1" applyAlignment="1">
      <alignment horizontal="center" vertical="center" wrapText="1"/>
    </xf>
    <xf numFmtId="165" fontId="99" fillId="4" borderId="9" xfId="6" applyNumberFormat="1" applyFont="1" applyFill="1" applyBorder="1" applyAlignment="1">
      <alignment horizontal="center"/>
    </xf>
    <xf numFmtId="165" fontId="99" fillId="0" borderId="9" xfId="6" applyNumberFormat="1" applyFont="1" applyBorder="1" applyAlignment="1">
      <alignment horizontal="center"/>
    </xf>
    <xf numFmtId="171" fontId="99" fillId="4" borderId="9" xfId="6" applyNumberFormat="1" applyFont="1" applyFill="1" applyBorder="1" applyAlignment="1">
      <alignment horizontal="center"/>
    </xf>
    <xf numFmtId="171" fontId="99" fillId="0" borderId="9" xfId="6" applyNumberFormat="1" applyFont="1" applyBorder="1" applyAlignment="1">
      <alignment horizontal="center"/>
    </xf>
    <xf numFmtId="171" fontId="99" fillId="25" borderId="9" xfId="6" applyNumberFormat="1" applyFont="1" applyFill="1" applyBorder="1" applyAlignment="1">
      <alignment horizontal="center"/>
    </xf>
    <xf numFmtId="39" fontId="20" fillId="0" borderId="30" xfId="0" applyNumberFormat="1" applyFont="1" applyBorder="1" applyAlignment="1">
      <alignment horizontal="center" vertical="center"/>
    </xf>
    <xf numFmtId="39" fontId="20" fillId="0" borderId="33" xfId="0" applyNumberFormat="1" applyFont="1" applyBorder="1" applyAlignment="1">
      <alignment horizontal="center" vertical="center"/>
    </xf>
    <xf numFmtId="2" fontId="20" fillId="4" borderId="33" xfId="0" applyNumberFormat="1" applyFont="1" applyFill="1" applyBorder="1" applyAlignment="1">
      <alignment horizontal="center" vertical="center"/>
    </xf>
    <xf numFmtId="0" fontId="20" fillId="4" borderId="33" xfId="0" applyFont="1" applyFill="1" applyBorder="1" applyAlignment="1">
      <alignment horizontal="left" vertical="center" wrapText="1"/>
    </xf>
    <xf numFmtId="0" fontId="25" fillId="0" borderId="33" xfId="8" applyFont="1" applyBorder="1" applyAlignment="1">
      <alignment wrapText="1"/>
    </xf>
    <xf numFmtId="4" fontId="20" fillId="4" borderId="9" xfId="8" applyNumberFormat="1" applyFont="1" applyFill="1" applyBorder="1" applyAlignment="1">
      <alignment horizontal="center"/>
    </xf>
    <xf numFmtId="0" fontId="97" fillId="0" borderId="23" xfId="0" applyFont="1" applyBorder="1" applyAlignment="1">
      <alignment horizontal="left" vertical="center"/>
    </xf>
    <xf numFmtId="0" fontId="97" fillId="0" borderId="23" xfId="0" applyFont="1" applyBorder="1" applyAlignment="1">
      <alignment vertical="center"/>
    </xf>
    <xf numFmtId="0" fontId="97" fillId="0" borderId="23" xfId="0" applyFont="1" applyBorder="1" applyAlignment="1">
      <alignment horizontal="center" vertical="center"/>
    </xf>
    <xf numFmtId="0" fontId="97" fillId="0" borderId="23" xfId="0" applyFont="1" applyBorder="1" applyAlignment="1">
      <alignment horizontal="left" vertical="center" wrapText="1"/>
    </xf>
    <xf numFmtId="0" fontId="20" fillId="0" borderId="48" xfId="8" applyFont="1" applyBorder="1" applyAlignment="1">
      <alignment wrapText="1"/>
    </xf>
    <xf numFmtId="0" fontId="20" fillId="4" borderId="4" xfId="0" applyFont="1" applyFill="1" applyBorder="1" applyAlignment="1">
      <alignment horizontal="left" vertical="top"/>
    </xf>
    <xf numFmtId="0" fontId="20" fillId="4" borderId="9" xfId="0" applyFont="1" applyFill="1" applyBorder="1" applyAlignment="1">
      <alignment horizontal="left" vertical="top"/>
    </xf>
    <xf numFmtId="0" fontId="20" fillId="4" borderId="14" xfId="0" applyFont="1" applyFill="1" applyBorder="1" applyAlignment="1">
      <alignment horizontal="left" vertical="top"/>
    </xf>
    <xf numFmtId="10" fontId="20" fillId="0" borderId="23" xfId="0" applyNumberFormat="1" applyFont="1" applyBorder="1" applyAlignment="1">
      <alignment horizontal="left" vertical="top"/>
    </xf>
    <xf numFmtId="39" fontId="20" fillId="4" borderId="4" xfId="1" applyNumberFormat="1" applyFont="1" applyFill="1" applyBorder="1" applyAlignment="1">
      <alignment horizontal="left" vertical="top"/>
    </xf>
    <xf numFmtId="39" fontId="20" fillId="4" borderId="9" xfId="1" applyNumberFormat="1" applyFont="1" applyFill="1" applyBorder="1" applyAlignment="1">
      <alignment horizontal="left" vertical="top"/>
    </xf>
    <xf numFmtId="0" fontId="20" fillId="4" borderId="33" xfId="0" applyFont="1" applyFill="1" applyBorder="1" applyAlignment="1">
      <alignment horizontal="left" vertical="top"/>
    </xf>
    <xf numFmtId="39" fontId="20" fillId="4" borderId="19" xfId="1" applyNumberFormat="1" applyFont="1" applyFill="1" applyBorder="1" applyAlignment="1">
      <alignment horizontal="left" vertical="top"/>
    </xf>
    <xf numFmtId="0" fontId="20" fillId="4" borderId="33" xfId="0" applyFont="1" applyFill="1" applyBorder="1"/>
    <xf numFmtId="1" fontId="20" fillId="0" borderId="10" xfId="0" applyNumberFormat="1" applyFont="1" applyBorder="1" applyAlignment="1">
      <alignment horizontal="left" vertical="top"/>
    </xf>
    <xf numFmtId="1" fontId="20" fillId="4" borderId="53" xfId="0" applyNumberFormat="1" applyFont="1" applyFill="1" applyBorder="1"/>
    <xf numFmtId="2" fontId="66" fillId="0" borderId="10" xfId="0" applyNumberFormat="1" applyFont="1" applyBorder="1" applyAlignment="1">
      <alignment vertical="center" wrapText="1"/>
    </xf>
    <xf numFmtId="0" fontId="20" fillId="0" borderId="53" xfId="0" applyFont="1" applyBorder="1" applyAlignment="1">
      <alignment horizontal="left"/>
    </xf>
    <xf numFmtId="0" fontId="20" fillId="0" borderId="19" xfId="0" applyFont="1" applyBorder="1" applyAlignment="1">
      <alignment horizontal="center"/>
    </xf>
    <xf numFmtId="0" fontId="20" fillId="4" borderId="23" xfId="0" applyFont="1" applyFill="1" applyBorder="1" applyAlignment="1">
      <alignment horizontal="center"/>
    </xf>
    <xf numFmtId="0" fontId="20" fillId="16" borderId="4" xfId="0" applyFont="1" applyFill="1" applyBorder="1" applyAlignment="1">
      <alignment horizontal="left" vertical="top"/>
    </xf>
    <xf numFmtId="0" fontId="20" fillId="16" borderId="9" xfId="0" applyFont="1" applyFill="1" applyBorder="1" applyAlignment="1">
      <alignment horizontal="left" vertical="top"/>
    </xf>
    <xf numFmtId="0" fontId="20" fillId="16" borderId="14" xfId="0" applyFont="1" applyFill="1" applyBorder="1" applyAlignment="1">
      <alignment horizontal="left" vertical="top"/>
    </xf>
    <xf numFmtId="169" fontId="20" fillId="16" borderId="9" xfId="0" applyNumberFormat="1" applyFont="1" applyFill="1" applyBorder="1" applyAlignment="1">
      <alignment horizontal="left" vertical="top"/>
    </xf>
    <xf numFmtId="169" fontId="20" fillId="16" borderId="14" xfId="0" applyNumberFormat="1" applyFont="1" applyFill="1" applyBorder="1" applyAlignment="1">
      <alignment horizontal="left" vertical="top"/>
    </xf>
    <xf numFmtId="0" fontId="20" fillId="16" borderId="23" xfId="0" applyFont="1" applyFill="1" applyBorder="1" applyAlignment="1">
      <alignment horizontal="left" vertical="top"/>
    </xf>
    <xf numFmtId="0" fontId="20" fillId="0" borderId="75" xfId="0" applyFont="1" applyBorder="1" applyAlignment="1">
      <alignment horizontal="left" vertical="top" wrapText="1"/>
    </xf>
    <xf numFmtId="170" fontId="20" fillId="4" borderId="30" xfId="1" applyNumberFormat="1" applyFont="1" applyFill="1" applyBorder="1" applyAlignment="1">
      <alignment horizontal="left" vertical="top" wrapText="1"/>
    </xf>
    <xf numFmtId="2" fontId="20" fillId="0" borderId="25" xfId="0" applyNumberFormat="1" applyFont="1" applyBorder="1"/>
    <xf numFmtId="2" fontId="20" fillId="0" borderId="16" xfId="0" applyNumberFormat="1" applyFont="1" applyBorder="1"/>
    <xf numFmtId="2" fontId="20" fillId="0" borderId="14" xfId="0" applyNumberFormat="1" applyFont="1" applyBorder="1" applyAlignment="1">
      <alignment wrapText="1"/>
    </xf>
    <xf numFmtId="2" fontId="20" fillId="0" borderId="37" xfId="0" applyNumberFormat="1" applyFont="1" applyBorder="1"/>
    <xf numFmtId="166" fontId="20" fillId="0" borderId="9" xfId="0" applyNumberFormat="1" applyFont="1" applyBorder="1" applyAlignment="1">
      <alignment horizontal="center" vertical="center" wrapText="1"/>
    </xf>
    <xf numFmtId="165" fontId="20" fillId="0" borderId="18" xfId="0" applyNumberFormat="1" applyFont="1" applyBorder="1" applyAlignment="1">
      <alignment horizontal="center" vertical="center" wrapText="1"/>
    </xf>
    <xf numFmtId="0" fontId="20" fillId="0" borderId="23" xfId="8" applyFont="1" applyBorder="1" applyAlignment="1">
      <alignment horizontal="left"/>
    </xf>
    <xf numFmtId="2" fontId="20" fillId="0" borderId="19" xfId="0" applyNumberFormat="1" applyFont="1" applyBorder="1" applyAlignment="1">
      <alignment horizontal="center"/>
    </xf>
    <xf numFmtId="0" fontId="20" fillId="4" borderId="14" xfId="0" applyFont="1" applyFill="1" applyBorder="1" applyAlignment="1">
      <alignment horizontal="left" vertical="center" wrapText="1"/>
    </xf>
    <xf numFmtId="168" fontId="20" fillId="0" borderId="4" xfId="5" applyNumberFormat="1" applyFont="1" applyBorder="1" applyAlignment="1">
      <alignment horizontal="left" vertical="center"/>
    </xf>
    <xf numFmtId="2" fontId="20" fillId="0" borderId="23" xfId="1" applyNumberFormat="1" applyFont="1" applyBorder="1" applyAlignment="1">
      <alignment horizontal="center" wrapText="1"/>
    </xf>
    <xf numFmtId="165" fontId="20" fillId="0" borderId="27" xfId="0" applyNumberFormat="1" applyFont="1" applyBorder="1" applyAlignment="1">
      <alignment horizontal="left" vertical="center" wrapText="1"/>
    </xf>
    <xf numFmtId="7" fontId="20" fillId="0" borderId="27" xfId="2" applyNumberFormat="1" applyFont="1" applyFill="1" applyBorder="1" applyAlignment="1">
      <alignment horizontal="center" wrapText="1"/>
    </xf>
    <xf numFmtId="4" fontId="25" fillId="0" borderId="14" xfId="8" applyNumberFormat="1" applyFont="1" applyBorder="1" applyAlignment="1">
      <alignment horizontal="center"/>
    </xf>
    <xf numFmtId="0" fontId="20" fillId="4" borderId="4" xfId="0" applyFont="1" applyFill="1" applyBorder="1" applyAlignment="1">
      <alignment horizontal="center"/>
    </xf>
    <xf numFmtId="4" fontId="25" fillId="0" borderId="4" xfId="8" applyNumberFormat="1" applyFont="1" applyBorder="1" applyAlignment="1">
      <alignment horizontal="center"/>
    </xf>
    <xf numFmtId="43" fontId="20" fillId="0" borderId="0" xfId="1" applyFont="1" applyAlignment="1">
      <alignment horizontal="left"/>
    </xf>
    <xf numFmtId="0" fontId="87" fillId="0" borderId="0" xfId="0" applyFont="1"/>
    <xf numFmtId="0" fontId="87" fillId="0" borderId="0" xfId="0" applyFont="1" applyAlignment="1">
      <alignment horizontal="right"/>
    </xf>
    <xf numFmtId="43" fontId="87" fillId="0" borderId="16" xfId="1" applyFont="1" applyBorder="1"/>
    <xf numFmtId="0" fontId="87" fillId="4" borderId="9" xfId="8" applyFont="1" applyFill="1" applyBorder="1" applyAlignment="1">
      <alignment horizontal="left"/>
    </xf>
    <xf numFmtId="7" fontId="87" fillId="0" borderId="9" xfId="0" applyNumberFormat="1" applyFont="1" applyBorder="1"/>
    <xf numFmtId="44" fontId="87" fillId="0" borderId="18" xfId="2" applyFont="1" applyFill="1" applyBorder="1"/>
    <xf numFmtId="2" fontId="20" fillId="4" borderId="20" xfId="0" applyNumberFormat="1" applyFont="1" applyFill="1" applyBorder="1"/>
    <xf numFmtId="2" fontId="20" fillId="4" borderId="21" xfId="0" applyNumberFormat="1" applyFont="1" applyFill="1" applyBorder="1"/>
    <xf numFmtId="0" fontId="25" fillId="0" borderId="4" xfId="8" applyFont="1" applyBorder="1" applyAlignment="1">
      <alignment horizontal="left"/>
    </xf>
    <xf numFmtId="200" fontId="20" fillId="0" borderId="14" xfId="8" applyNumberFormat="1" applyFont="1" applyBorder="1" applyAlignment="1">
      <alignment horizontal="center"/>
    </xf>
    <xf numFmtId="0" fontId="99" fillId="4" borderId="9" xfId="0" applyFont="1" applyFill="1" applyBorder="1" applyAlignment="1">
      <alignment horizontal="left" vertical="center" wrapText="1"/>
    </xf>
    <xf numFmtId="0" fontId="99" fillId="0" borderId="9" xfId="0" applyFont="1" applyBorder="1" applyAlignment="1">
      <alignment horizontal="left" vertical="center" wrapText="1"/>
    </xf>
    <xf numFmtId="0" fontId="99" fillId="0" borderId="9" xfId="0" applyFont="1" applyBorder="1" applyAlignment="1">
      <alignment horizontal="center" vertical="center" wrapText="1"/>
    </xf>
    <xf numFmtId="3" fontId="99" fillId="0" borderId="9" xfId="0" applyNumberFormat="1" applyFont="1" applyBorder="1" applyAlignment="1">
      <alignment horizontal="left" vertical="center" wrapText="1"/>
    </xf>
    <xf numFmtId="165" fontId="99" fillId="0" borderId="9" xfId="0" applyNumberFormat="1" applyFont="1" applyBorder="1" applyAlignment="1">
      <alignment horizontal="center" vertical="center" wrapText="1"/>
    </xf>
    <xf numFmtId="3" fontId="99" fillId="0" borderId="9" xfId="0" applyNumberFormat="1" applyFont="1" applyBorder="1" applyAlignment="1">
      <alignment horizontal="center" vertical="center" wrapText="1"/>
    </xf>
    <xf numFmtId="9" fontId="99" fillId="0" borderId="9" xfId="0" applyNumberFormat="1" applyFont="1" applyBorder="1" applyAlignment="1">
      <alignment horizontal="left" vertical="center" wrapText="1"/>
    </xf>
    <xf numFmtId="165" fontId="0" fillId="5" borderId="9" xfId="0" applyNumberFormat="1" applyFill="1" applyBorder="1" applyAlignment="1">
      <alignment horizontal="center" vertical="center" wrapText="1"/>
    </xf>
    <xf numFmtId="165" fontId="4" fillId="5" borderId="9" xfId="0" applyNumberFormat="1" applyFont="1" applyFill="1" applyBorder="1" applyAlignment="1">
      <alignment horizontal="center" vertical="center" wrapText="1"/>
    </xf>
    <xf numFmtId="0" fontId="20" fillId="11" borderId="93" xfId="5" applyFont="1" applyFill="1" applyBorder="1" applyAlignment="1">
      <alignment horizontal="center" vertical="center" wrapText="1"/>
    </xf>
    <xf numFmtId="0" fontId="35" fillId="0" borderId="93" xfId="6" applyFont="1" applyBorder="1" applyAlignment="1">
      <alignment horizontal="right"/>
    </xf>
    <xf numFmtId="180" fontId="20" fillId="7" borderId="9" xfId="3" applyNumberFormat="1" applyFont="1" applyFill="1" applyBorder="1" applyAlignment="1">
      <alignment horizontal="center"/>
    </xf>
    <xf numFmtId="37" fontId="20" fillId="7" borderId="9" xfId="5" applyNumberFormat="1" applyFont="1" applyFill="1" applyBorder="1" applyAlignment="1">
      <alignment horizontal="center"/>
    </xf>
    <xf numFmtId="0" fontId="26" fillId="0" borderId="19" xfId="8" applyFont="1" applyBorder="1" applyAlignment="1">
      <alignment horizontal="left"/>
    </xf>
    <xf numFmtId="182" fontId="4" fillId="4" borderId="9" xfId="1" applyNumberFormat="1" applyFont="1" applyFill="1" applyBorder="1" applyAlignment="1">
      <alignment horizontal="center"/>
    </xf>
    <xf numFmtId="0" fontId="26" fillId="0" borderId="23" xfId="8" applyFont="1" applyBorder="1" applyAlignment="1">
      <alignment horizontal="left"/>
    </xf>
    <xf numFmtId="0" fontId="26" fillId="0" borderId="0" xfId="8" applyFont="1" applyAlignment="1">
      <alignment horizontal="left"/>
    </xf>
    <xf numFmtId="39" fontId="26" fillId="0" borderId="0" xfId="1" applyNumberFormat="1" applyFont="1" applyAlignment="1">
      <alignment horizontal="center"/>
    </xf>
    <xf numFmtId="0" fontId="4" fillId="4" borderId="0" xfId="13" applyFont="1" applyFill="1" applyAlignment="1">
      <alignment horizontal="left"/>
    </xf>
    <xf numFmtId="0" fontId="26" fillId="0" borderId="9" xfId="8" applyFont="1" applyBorder="1" applyAlignment="1">
      <alignment horizontal="left"/>
    </xf>
    <xf numFmtId="0" fontId="4" fillId="0" borderId="9" xfId="0" applyFont="1" applyBorder="1" applyAlignment="1">
      <alignment horizontal="left"/>
    </xf>
    <xf numFmtId="39" fontId="26" fillId="0" borderId="9" xfId="1" applyNumberFormat="1" applyFont="1" applyFill="1" applyBorder="1" applyAlignment="1">
      <alignment horizontal="center"/>
    </xf>
    <xf numFmtId="39" fontId="4" fillId="0" borderId="9" xfId="1" applyNumberFormat="1" applyFont="1" applyFill="1" applyBorder="1" applyAlignment="1">
      <alignment horizontal="center"/>
    </xf>
    <xf numFmtId="1" fontId="4" fillId="0" borderId="10" xfId="0" applyNumberFormat="1" applyFont="1" applyBorder="1" applyAlignment="1">
      <alignment horizontal="left"/>
    </xf>
    <xf numFmtId="4" fontId="4" fillId="0" borderId="9" xfId="0" applyNumberFormat="1" applyFont="1" applyBorder="1" applyAlignment="1">
      <alignment horizontal="left" vertical="top" wrapText="1"/>
    </xf>
    <xf numFmtId="172" fontId="4" fillId="4" borderId="9" xfId="0" applyNumberFormat="1" applyFont="1" applyFill="1" applyBorder="1" applyAlignment="1">
      <alignment horizontal="center" vertical="center" wrapText="1"/>
    </xf>
    <xf numFmtId="169" fontId="4" fillId="0" borderId="9" xfId="0" applyNumberFormat="1" applyFont="1" applyBorder="1" applyAlignment="1">
      <alignment horizontal="center" vertical="center" wrapText="1"/>
    </xf>
    <xf numFmtId="169" fontId="4" fillId="0" borderId="9" xfId="8" applyNumberFormat="1" applyFont="1" applyBorder="1" applyAlignment="1">
      <alignment horizontal="center"/>
    </xf>
    <xf numFmtId="0" fontId="4" fillId="0" borderId="9" xfId="8" applyFont="1" applyBorder="1" applyAlignment="1">
      <alignment horizontal="center"/>
    </xf>
    <xf numFmtId="0" fontId="4" fillId="0" borderId="9" xfId="8" applyFont="1" applyBorder="1" applyAlignment="1">
      <alignment horizontal="left"/>
    </xf>
    <xf numFmtId="0" fontId="4" fillId="4" borderId="9" xfId="8" applyFont="1" applyFill="1" applyBorder="1" applyAlignment="1">
      <alignment horizontal="center"/>
    </xf>
    <xf numFmtId="37" fontId="4" fillId="0" borderId="9" xfId="1" applyNumberFormat="1" applyFont="1" applyBorder="1" applyAlignment="1">
      <alignment horizontal="center" wrapText="1"/>
    </xf>
    <xf numFmtId="0" fontId="4" fillId="4" borderId="19" xfId="0" applyFont="1" applyFill="1" applyBorder="1" applyAlignment="1">
      <alignment horizontal="left" vertical="center" wrapText="1"/>
    </xf>
    <xf numFmtId="9" fontId="4" fillId="0" borderId="0" xfId="3" applyFont="1" applyFill="1"/>
    <xf numFmtId="168" fontId="4" fillId="0" borderId="9" xfId="1" applyNumberFormat="1" applyFont="1" applyBorder="1" applyAlignment="1"/>
    <xf numFmtId="2" fontId="4" fillId="0" borderId="22" xfId="1" applyNumberFormat="1" applyFont="1" applyBorder="1"/>
    <xf numFmtId="0" fontId="4" fillId="4" borderId="30" xfId="0" applyFont="1" applyFill="1" applyBorder="1" applyAlignment="1">
      <alignment horizontal="left" vertical="center" wrapText="1"/>
    </xf>
    <xf numFmtId="2" fontId="4" fillId="13" borderId="22" xfId="1" applyNumberFormat="1" applyFont="1" applyFill="1" applyBorder="1"/>
    <xf numFmtId="0" fontId="4" fillId="4" borderId="23" xfId="0" applyFont="1" applyFill="1" applyBorder="1" applyAlignment="1">
      <alignment horizontal="left" vertical="center" wrapText="1"/>
    </xf>
    <xf numFmtId="2" fontId="4" fillId="8" borderId="22" xfId="1" applyNumberFormat="1" applyFont="1" applyFill="1" applyBorder="1"/>
    <xf numFmtId="1" fontId="4" fillId="4" borderId="10" xfId="0" applyNumberFormat="1" applyFont="1" applyFill="1" applyBorder="1" applyAlignment="1">
      <alignment horizontal="left" vertical="top" wrapText="1"/>
    </xf>
    <xf numFmtId="0" fontId="4" fillId="0" borderId="10" xfId="0" applyFont="1" applyBorder="1" applyAlignment="1">
      <alignment horizontal="left" vertical="top" wrapText="1"/>
    </xf>
    <xf numFmtId="2" fontId="4" fillId="0" borderId="10" xfId="0" applyNumberFormat="1" applyFont="1" applyBorder="1" applyAlignment="1">
      <alignment vertical="center" wrapText="1"/>
    </xf>
    <xf numFmtId="2" fontId="4" fillId="0" borderId="0" xfId="0" applyNumberFormat="1" applyFont="1"/>
    <xf numFmtId="2" fontId="4" fillId="0" borderId="0" xfId="3" applyNumberFormat="1" applyFont="1" applyFill="1"/>
    <xf numFmtId="2" fontId="4" fillId="0" borderId="9" xfId="1" applyNumberFormat="1" applyFont="1" applyBorder="1" applyAlignment="1"/>
    <xf numFmtId="2" fontId="4" fillId="0" borderId="0" xfId="3" applyNumberFormat="1" applyFont="1"/>
    <xf numFmtId="0" fontId="4" fillId="4" borderId="9" xfId="0" applyFont="1" applyFill="1" applyBorder="1" applyAlignment="1">
      <alignment horizontal="center"/>
    </xf>
    <xf numFmtId="168" fontId="4" fillId="0" borderId="23" xfId="0" applyNumberFormat="1" applyFont="1" applyBorder="1" applyAlignment="1">
      <alignment horizontal="center"/>
    </xf>
    <xf numFmtId="0" fontId="4" fillId="16" borderId="9" xfId="0" applyFont="1" applyFill="1" applyBorder="1" applyAlignment="1">
      <alignment horizontal="left" vertical="top"/>
    </xf>
    <xf numFmtId="2" fontId="4" fillId="8" borderId="16" xfId="0" applyNumberFormat="1" applyFont="1" applyFill="1" applyBorder="1" applyAlignment="1">
      <alignment horizontal="center"/>
    </xf>
    <xf numFmtId="0" fontId="4" fillId="0" borderId="10" xfId="0" applyFont="1" applyBorder="1" applyAlignment="1">
      <alignment horizontal="left" vertical="top"/>
    </xf>
    <xf numFmtId="0" fontId="20" fillId="4" borderId="46" xfId="0" applyFont="1" applyFill="1" applyBorder="1" applyAlignment="1">
      <alignment horizontal="left" vertical="top" wrapText="1"/>
    </xf>
    <xf numFmtId="0" fontId="4" fillId="5" borderId="19" xfId="0" applyFont="1" applyFill="1" applyBorder="1" applyAlignment="1">
      <alignment horizontal="left" vertical="top" wrapText="1"/>
    </xf>
    <xf numFmtId="0" fontId="20" fillId="5" borderId="19" xfId="0" applyFont="1" applyFill="1" applyBorder="1" applyAlignment="1">
      <alignment horizontal="left" vertical="top" wrapText="1"/>
    </xf>
    <xf numFmtId="2" fontId="20" fillId="0" borderId="46" xfId="0" applyNumberFormat="1" applyFont="1" applyBorder="1"/>
    <xf numFmtId="2" fontId="4" fillId="0" borderId="20" xfId="0" applyNumberFormat="1" applyFont="1" applyBorder="1" applyAlignment="1">
      <alignment horizontal="left" vertical="top" wrapText="1"/>
    </xf>
    <xf numFmtId="169" fontId="4" fillId="16" borderId="9" xfId="0" applyNumberFormat="1" applyFont="1" applyFill="1" applyBorder="1" applyAlignment="1">
      <alignment horizontal="left" vertical="top"/>
    </xf>
    <xf numFmtId="2" fontId="4" fillId="8" borderId="9" xfId="0" applyNumberFormat="1" applyFont="1" applyFill="1" applyBorder="1" applyAlignment="1">
      <alignment horizontal="left" vertical="top" wrapText="1"/>
    </xf>
    <xf numFmtId="9" fontId="4" fillId="4" borderId="10" xfId="0" applyNumberFormat="1" applyFont="1" applyFill="1" applyBorder="1" applyAlignment="1">
      <alignment horizontal="left" vertical="top" wrapText="1"/>
    </xf>
    <xf numFmtId="2" fontId="4" fillId="0" borderId="0" xfId="1" applyNumberFormat="1" applyFont="1"/>
    <xf numFmtId="165" fontId="4" fillId="0" borderId="23" xfId="0" applyNumberFormat="1" applyFont="1" applyBorder="1" applyAlignment="1">
      <alignment horizontal="center" vertical="center" wrapText="1"/>
    </xf>
    <xf numFmtId="7" fontId="4" fillId="0" borderId="23" xfId="2" applyNumberFormat="1" applyFont="1" applyFill="1" applyBorder="1" applyAlignment="1">
      <alignment horizontal="center"/>
    </xf>
    <xf numFmtId="7" fontId="20" fillId="0" borderId="23" xfId="2" applyNumberFormat="1" applyFont="1" applyFill="1" applyBorder="1" applyAlignment="1">
      <alignment horizontal="center"/>
    </xf>
    <xf numFmtId="9" fontId="20" fillId="0" borderId="19" xfId="3" applyFont="1" applyFill="1" applyBorder="1" applyAlignment="1">
      <alignment horizontal="center"/>
    </xf>
    <xf numFmtId="0" fontId="20" fillId="0" borderId="48" xfId="3" applyNumberFormat="1" applyFont="1" applyFill="1" applyBorder="1" applyAlignment="1">
      <alignment horizontal="center"/>
    </xf>
    <xf numFmtId="1" fontId="20" fillId="0" borderId="23" xfId="3" applyNumberFormat="1" applyFont="1" applyFill="1" applyBorder="1" applyAlignment="1">
      <alignment horizontal="center"/>
    </xf>
    <xf numFmtId="2" fontId="20" fillId="0" borderId="19" xfId="3" applyNumberFormat="1" applyFont="1" applyFill="1" applyBorder="1" applyAlignment="1">
      <alignment horizontal="center"/>
    </xf>
    <xf numFmtId="2" fontId="20" fillId="0" borderId="23" xfId="3" applyNumberFormat="1" applyFont="1" applyBorder="1" applyAlignment="1">
      <alignment horizontal="center"/>
    </xf>
    <xf numFmtId="193" fontId="4" fillId="0" borderId="9" xfId="0" applyNumberFormat="1" applyFont="1" applyBorder="1" applyAlignment="1">
      <alignment horizontal="center"/>
    </xf>
    <xf numFmtId="0" fontId="86" fillId="0" borderId="0" xfId="0" applyFont="1"/>
    <xf numFmtId="4" fontId="4" fillId="0" borderId="37" xfId="0" applyNumberFormat="1" applyFont="1" applyBorder="1" applyAlignment="1">
      <alignment horizontal="left" vertical="top" wrapText="1"/>
    </xf>
    <xf numFmtId="0" fontId="4" fillId="16" borderId="5" xfId="0" applyFont="1" applyFill="1" applyBorder="1" applyAlignment="1">
      <alignment horizontal="left" vertical="top"/>
    </xf>
    <xf numFmtId="4" fontId="4" fillId="0" borderId="16" xfId="0" applyNumberFormat="1" applyFont="1" applyBorder="1" applyAlignment="1">
      <alignment horizontal="left" vertical="top" wrapText="1"/>
    </xf>
    <xf numFmtId="0" fontId="4" fillId="0" borderId="5" xfId="0" applyFont="1" applyBorder="1" applyAlignment="1">
      <alignment horizontal="left" vertical="top"/>
    </xf>
    <xf numFmtId="3" fontId="4" fillId="0" borderId="37" xfId="0" applyNumberFormat="1" applyFont="1" applyBorder="1" applyAlignment="1">
      <alignment horizontal="left" vertical="top" wrapText="1"/>
    </xf>
    <xf numFmtId="3" fontId="4" fillId="0" borderId="16" xfId="0" applyNumberFormat="1" applyFont="1" applyBorder="1" applyAlignment="1">
      <alignment horizontal="left" vertical="top" wrapText="1"/>
    </xf>
    <xf numFmtId="4" fontId="4" fillId="0" borderId="4" xfId="0" applyNumberFormat="1" applyFont="1" applyBorder="1" applyAlignment="1">
      <alignment horizontal="left" vertical="top" wrapText="1"/>
    </xf>
    <xf numFmtId="0" fontId="104" fillId="4" borderId="0" xfId="0" applyFont="1" applyFill="1"/>
    <xf numFmtId="0" fontId="20" fillId="11" borderId="14" xfId="0" applyFont="1" applyFill="1" applyBorder="1" applyAlignment="1">
      <alignment horizontal="left" vertical="center" wrapText="1"/>
    </xf>
    <xf numFmtId="0" fontId="20" fillId="16" borderId="46" xfId="0" applyFont="1" applyFill="1" applyBorder="1" applyAlignment="1">
      <alignment horizontal="left" vertical="top"/>
    </xf>
    <xf numFmtId="39" fontId="4" fillId="0" borderId="9" xfId="1" quotePrefix="1" applyNumberFormat="1" applyFont="1" applyFill="1" applyBorder="1" applyAlignment="1">
      <alignment horizontal="center" vertical="center" wrapText="1"/>
    </xf>
    <xf numFmtId="3" fontId="4" fillId="0" borderId="23" xfId="0" applyNumberFormat="1" applyFont="1" applyBorder="1" applyAlignment="1">
      <alignment horizontal="left" vertical="top" wrapText="1"/>
    </xf>
    <xf numFmtId="3" fontId="4" fillId="0" borderId="9" xfId="0" applyNumberFormat="1" applyFont="1" applyBorder="1" applyAlignment="1">
      <alignment horizontal="left" vertical="top" wrapText="1"/>
    </xf>
    <xf numFmtId="4" fontId="4" fillId="0" borderId="19" xfId="0" applyNumberFormat="1" applyFont="1" applyBorder="1" applyAlignment="1">
      <alignment horizontal="left" vertical="top" wrapText="1"/>
    </xf>
    <xf numFmtId="4" fontId="4" fillId="0" borderId="14" xfId="0" applyNumberFormat="1" applyFont="1" applyBorder="1" applyAlignment="1">
      <alignment horizontal="left" vertical="top" wrapText="1"/>
    </xf>
    <xf numFmtId="169" fontId="20" fillId="16" borderId="4" xfId="0" applyNumberFormat="1" applyFont="1" applyFill="1" applyBorder="1" applyAlignment="1">
      <alignment horizontal="left" vertical="top"/>
    </xf>
    <xf numFmtId="169" fontId="4" fillId="0" borderId="19" xfId="0" applyNumberFormat="1" applyFont="1" applyBorder="1" applyAlignment="1">
      <alignment horizontal="center" vertical="center" wrapText="1"/>
    </xf>
    <xf numFmtId="169" fontId="4" fillId="0" borderId="23" xfId="0" applyNumberFormat="1" applyFont="1" applyBorder="1" applyAlignment="1">
      <alignment horizontal="center" vertical="center" wrapText="1"/>
    </xf>
    <xf numFmtId="0" fontId="20" fillId="4" borderId="19" xfId="0" applyFont="1" applyFill="1" applyBorder="1" applyAlignment="1">
      <alignment horizontal="left" vertical="center"/>
    </xf>
    <xf numFmtId="0" fontId="20" fillId="4" borderId="23" xfId="0" applyFont="1" applyFill="1" applyBorder="1" applyAlignment="1">
      <alignment horizontal="left" vertical="center"/>
    </xf>
    <xf numFmtId="0" fontId="20" fillId="4" borderId="9" xfId="0" applyFont="1" applyFill="1" applyBorder="1" applyAlignment="1">
      <alignment horizontal="left" vertical="center"/>
    </xf>
    <xf numFmtId="0" fontId="20" fillId="0" borderId="45" xfId="0" applyFont="1" applyBorder="1" applyAlignment="1">
      <alignment horizontal="left" vertical="top"/>
    </xf>
    <xf numFmtId="0" fontId="20" fillId="4" borderId="4" xfId="0" applyFont="1" applyFill="1" applyBorder="1" applyAlignment="1">
      <alignment horizontal="left" vertical="top" wrapText="1"/>
    </xf>
    <xf numFmtId="0" fontId="20" fillId="4" borderId="23" xfId="0" applyFont="1" applyFill="1" applyBorder="1" applyAlignment="1">
      <alignment horizontal="left" vertical="top" wrapText="1"/>
    </xf>
    <xf numFmtId="0" fontId="20" fillId="4" borderId="9" xfId="0" applyFont="1" applyFill="1" applyBorder="1" applyAlignment="1">
      <alignment horizontal="left" vertical="top" wrapText="1"/>
    </xf>
    <xf numFmtId="0" fontId="20" fillId="11" borderId="19" xfId="0" applyFont="1" applyFill="1" applyBorder="1" applyAlignment="1">
      <alignment horizontal="center" vertical="center" wrapText="1"/>
    </xf>
    <xf numFmtId="0" fontId="20" fillId="4" borderId="14" xfId="0" applyFont="1" applyFill="1" applyBorder="1" applyAlignment="1">
      <alignment horizontal="left" vertical="top" wrapText="1"/>
    </xf>
    <xf numFmtId="0" fontId="20" fillId="0" borderId="0" xfId="0" applyFont="1"/>
    <xf numFmtId="165" fontId="20" fillId="0" borderId="9" xfId="13" applyNumberFormat="1" applyFont="1" applyBorder="1" applyAlignment="1">
      <alignment horizontal="center" vertical="center" wrapText="1"/>
    </xf>
    <xf numFmtId="9" fontId="20" fillId="0" borderId="23" xfId="3" applyFont="1" applyFill="1" applyBorder="1" applyAlignment="1">
      <alignment horizontal="center" vertical="center" wrapText="1"/>
    </xf>
    <xf numFmtId="0" fontId="20" fillId="4" borderId="9" xfId="0" applyFont="1" applyFill="1" applyBorder="1" applyAlignment="1">
      <alignment horizontal="center" vertical="center" wrapText="1"/>
    </xf>
    <xf numFmtId="0" fontId="20" fillId="0" borderId="9" xfId="0" applyFont="1" applyBorder="1" applyAlignment="1">
      <alignment horizontal="center" vertical="center" wrapText="1"/>
    </xf>
    <xf numFmtId="0" fontId="20" fillId="0" borderId="0" xfId="0" applyFont="1" applyAlignment="1">
      <alignment horizontal="left" vertical="top" wrapText="1"/>
    </xf>
    <xf numFmtId="9" fontId="4" fillId="4" borderId="9" xfId="3" applyFont="1" applyFill="1" applyBorder="1" applyAlignment="1">
      <alignment horizontal="center" vertical="center"/>
    </xf>
    <xf numFmtId="3" fontId="20" fillId="0" borderId="0" xfId="0" applyNumberFormat="1" applyFont="1"/>
    <xf numFmtId="0" fontId="20" fillId="0" borderId="0" xfId="0" applyFont="1" applyFill="1"/>
    <xf numFmtId="3" fontId="4" fillId="4" borderId="16" xfId="0" applyNumberFormat="1" applyFont="1" applyFill="1" applyBorder="1" applyAlignment="1">
      <alignment horizontal="left" vertical="top" wrapText="1"/>
    </xf>
    <xf numFmtId="2" fontId="20" fillId="0" borderId="0" xfId="0" applyNumberFormat="1" applyFont="1" applyFill="1" applyAlignment="1">
      <alignment wrapText="1"/>
    </xf>
    <xf numFmtId="4" fontId="20" fillId="0" borderId="0" xfId="0" applyNumberFormat="1" applyFont="1"/>
    <xf numFmtId="4" fontId="20" fillId="0" borderId="16" xfId="0" applyNumberFormat="1" applyFont="1" applyBorder="1" applyAlignment="1">
      <alignment horizontal="left" vertical="top" wrapText="1"/>
    </xf>
    <xf numFmtId="2" fontId="4" fillId="8" borderId="37" xfId="0" applyNumberFormat="1" applyFont="1" applyFill="1" applyBorder="1" applyAlignment="1">
      <alignment horizontal="center"/>
    </xf>
    <xf numFmtId="2" fontId="4" fillId="8" borderId="23" xfId="0" applyNumberFormat="1" applyFont="1" applyFill="1" applyBorder="1" applyAlignment="1">
      <alignment horizontal="left" vertical="top" wrapText="1"/>
    </xf>
    <xf numFmtId="1" fontId="4" fillId="0" borderId="10" xfId="0" applyNumberFormat="1" applyFont="1" applyBorder="1" applyAlignment="1">
      <alignment vertical="center"/>
    </xf>
    <xf numFmtId="0" fontId="20" fillId="34" borderId="37" xfId="0" applyFont="1" applyFill="1" applyBorder="1"/>
    <xf numFmtId="0" fontId="20" fillId="34" borderId="16" xfId="0" applyFont="1" applyFill="1" applyBorder="1"/>
    <xf numFmtId="2" fontId="20" fillId="34" borderId="16" xfId="0" applyNumberFormat="1" applyFont="1" applyFill="1" applyBorder="1" applyAlignment="1">
      <alignment wrapText="1"/>
    </xf>
    <xf numFmtId="2" fontId="4" fillId="34" borderId="9" xfId="0" applyNumberFormat="1" applyFont="1" applyFill="1" applyBorder="1" applyAlignment="1">
      <alignment horizontal="right"/>
    </xf>
    <xf numFmtId="2" fontId="20" fillId="34" borderId="9" xfId="0" applyNumberFormat="1" applyFont="1" applyFill="1" applyBorder="1" applyAlignment="1">
      <alignment horizontal="right"/>
    </xf>
    <xf numFmtId="0" fontId="12" fillId="9" borderId="0" xfId="5" applyFont="1" applyFill="1"/>
    <xf numFmtId="0" fontId="12" fillId="0" borderId="0" xfId="5" applyFont="1"/>
    <xf numFmtId="44" fontId="12" fillId="0" borderId="0" xfId="5" applyNumberFormat="1" applyFont="1" applyAlignment="1">
      <alignment horizontal="center"/>
    </xf>
    <xf numFmtId="2" fontId="1" fillId="0" borderId="0" xfId="1" applyNumberFormat="1" applyFont="1"/>
    <xf numFmtId="44" fontId="1" fillId="0" borderId="0" xfId="0" applyNumberFormat="1" applyFont="1" applyAlignment="1">
      <alignment horizontal="center"/>
    </xf>
    <xf numFmtId="2" fontId="1" fillId="8" borderId="9" xfId="1" applyNumberFormat="1" applyFont="1" applyFill="1" applyBorder="1"/>
    <xf numFmtId="39" fontId="1" fillId="0" borderId="9" xfId="0" applyNumberFormat="1" applyFont="1" applyBorder="1"/>
    <xf numFmtId="2" fontId="1" fillId="0" borderId="20" xfId="1" applyNumberFormat="1" applyFont="1" applyBorder="1"/>
    <xf numFmtId="2" fontId="1" fillId="0" borderId="22" xfId="1" applyNumberFormat="1" applyFont="1" applyBorder="1"/>
    <xf numFmtId="2" fontId="1" fillId="0" borderId="9" xfId="0" applyNumberFormat="1" applyFont="1" applyBorder="1"/>
    <xf numFmtId="2" fontId="1" fillId="8" borderId="22" xfId="1" applyNumberFormat="1" applyFont="1" applyFill="1" applyBorder="1"/>
    <xf numFmtId="2" fontId="1" fillId="8" borderId="25" xfId="1" applyNumberFormat="1" applyFont="1" applyFill="1" applyBorder="1"/>
    <xf numFmtId="44" fontId="1" fillId="0" borderId="0" xfId="2" applyFont="1" applyFill="1"/>
    <xf numFmtId="9" fontId="1" fillId="0" borderId="4" xfId="3" applyFont="1" applyFill="1" applyBorder="1" applyAlignment="1">
      <alignment horizontal="center"/>
    </xf>
    <xf numFmtId="9" fontId="1" fillId="0" borderId="19" xfId="3" applyFont="1" applyFill="1" applyBorder="1" applyAlignment="1">
      <alignment horizontal="center"/>
    </xf>
    <xf numFmtId="0" fontId="1" fillId="0" borderId="48" xfId="3" applyNumberFormat="1" applyFont="1" applyFill="1" applyBorder="1" applyAlignment="1">
      <alignment horizontal="center"/>
    </xf>
    <xf numFmtId="9" fontId="1" fillId="0" borderId="48" xfId="3" applyFont="1" applyFill="1" applyBorder="1" applyAlignment="1">
      <alignment horizontal="center"/>
    </xf>
    <xf numFmtId="1" fontId="1" fillId="0" borderId="23" xfId="3" applyNumberFormat="1" applyFont="1" applyFill="1" applyBorder="1" applyAlignment="1">
      <alignment horizontal="center"/>
    </xf>
    <xf numFmtId="2" fontId="1" fillId="0" borderId="19" xfId="3" applyNumberFormat="1" applyFont="1" applyFill="1" applyBorder="1" applyAlignment="1">
      <alignment horizontal="center"/>
    </xf>
    <xf numFmtId="9" fontId="1" fillId="0" borderId="14" xfId="3" applyFont="1" applyFill="1" applyBorder="1" applyAlignment="1">
      <alignment horizontal="center"/>
    </xf>
    <xf numFmtId="2" fontId="1" fillId="0" borderId="23" xfId="3" applyNumberFormat="1" applyFont="1" applyBorder="1" applyAlignment="1">
      <alignment horizontal="center"/>
    </xf>
    <xf numFmtId="2" fontId="1" fillId="4" borderId="23" xfId="3" applyNumberFormat="1" applyFont="1" applyFill="1" applyBorder="1" applyAlignment="1">
      <alignment horizontal="center"/>
    </xf>
    <xf numFmtId="165" fontId="1" fillId="0" borderId="9" xfId="3" applyNumberFormat="1" applyFont="1" applyBorder="1" applyAlignment="1">
      <alignment horizontal="center"/>
    </xf>
    <xf numFmtId="0" fontId="40" fillId="0" borderId="0" xfId="8" applyFont="1" applyAlignment="1">
      <alignment horizontal="center"/>
    </xf>
    <xf numFmtId="2" fontId="1" fillId="0" borderId="0" xfId="1" applyNumberFormat="1" applyFont="1" applyFill="1"/>
    <xf numFmtId="9" fontId="1" fillId="4" borderId="14" xfId="3" applyFont="1" applyFill="1" applyBorder="1" applyAlignment="1">
      <alignment horizontal="center"/>
    </xf>
    <xf numFmtId="9" fontId="1" fillId="0" borderId="4" xfId="3" applyFont="1" applyBorder="1" applyAlignment="1">
      <alignment horizontal="center"/>
    </xf>
    <xf numFmtId="9" fontId="1" fillId="0" borderId="23" xfId="3" applyFont="1" applyBorder="1" applyAlignment="1">
      <alignment horizontal="center"/>
    </xf>
    <xf numFmtId="9" fontId="1" fillId="0" borderId="19" xfId="3" applyFont="1" applyBorder="1" applyAlignment="1">
      <alignment horizontal="center"/>
    </xf>
    <xf numFmtId="9" fontId="1" fillId="0" borderId="14" xfId="3" applyFont="1" applyBorder="1" applyAlignment="1">
      <alignment horizontal="center"/>
    </xf>
    <xf numFmtId="9" fontId="1" fillId="0" borderId="30" xfId="3" applyFont="1" applyBorder="1" applyAlignment="1">
      <alignment horizontal="center"/>
    </xf>
    <xf numFmtId="170" fontId="1" fillId="0" borderId="4" xfId="1" applyNumberFormat="1" applyFont="1" applyBorder="1" applyAlignment="1">
      <alignment horizontal="center"/>
    </xf>
    <xf numFmtId="170" fontId="1" fillId="0" borderId="23" xfId="1" applyNumberFormat="1" applyFont="1" applyBorder="1" applyAlignment="1">
      <alignment horizontal="center"/>
    </xf>
    <xf numFmtId="170" fontId="1" fillId="0" borderId="19" xfId="1" applyNumberFormat="1" applyFont="1" applyBorder="1" applyAlignment="1">
      <alignment horizontal="center"/>
    </xf>
    <xf numFmtId="170" fontId="1" fillId="0" borderId="14" xfId="1" applyNumberFormat="1" applyFont="1" applyBorder="1" applyAlignment="1">
      <alignment horizontal="center"/>
    </xf>
    <xf numFmtId="171" fontId="1" fillId="0" borderId="4" xfId="3" applyNumberFormat="1" applyFont="1" applyBorder="1" applyAlignment="1">
      <alignment horizontal="center"/>
    </xf>
    <xf numFmtId="171" fontId="1" fillId="0" borderId="23" xfId="3" applyNumberFormat="1" applyFont="1" applyBorder="1" applyAlignment="1">
      <alignment horizontal="center"/>
    </xf>
    <xf numFmtId="171" fontId="1" fillId="0" borderId="9" xfId="3" applyNumberFormat="1" applyFont="1" applyBorder="1" applyAlignment="1">
      <alignment horizontal="center"/>
    </xf>
    <xf numFmtId="8" fontId="20" fillId="0" borderId="0" xfId="8" applyNumberFormat="1" applyFont="1"/>
    <xf numFmtId="171" fontId="1" fillId="0" borderId="19" xfId="3" applyNumberFormat="1" applyFont="1" applyBorder="1" applyAlignment="1">
      <alignment horizontal="center"/>
    </xf>
    <xf numFmtId="171" fontId="1" fillId="0" borderId="14" xfId="3" applyNumberFormat="1" applyFont="1" applyBorder="1" applyAlignment="1">
      <alignment horizontal="center"/>
    </xf>
    <xf numFmtId="44" fontId="1" fillId="8" borderId="9" xfId="1" applyNumberFormat="1" applyFont="1" applyFill="1" applyBorder="1" applyAlignment="1">
      <alignment horizontal="center" wrapText="1"/>
    </xf>
    <xf numFmtId="2" fontId="1" fillId="8" borderId="9" xfId="1" applyNumberFormat="1" applyFont="1" applyFill="1" applyBorder="1" applyAlignment="1">
      <alignment horizontal="center" wrapText="1"/>
    </xf>
    <xf numFmtId="168" fontId="1" fillId="0" borderId="9" xfId="1" applyNumberFormat="1" applyFont="1" applyBorder="1"/>
    <xf numFmtId="44" fontId="1" fillId="0" borderId="27" xfId="0" applyNumberFormat="1" applyFont="1" applyBorder="1" applyAlignment="1">
      <alignment horizontal="center"/>
    </xf>
    <xf numFmtId="2" fontId="1" fillId="0" borderId="25" xfId="1" applyNumberFormat="1" applyFont="1" applyBorder="1"/>
    <xf numFmtId="44" fontId="1" fillId="0" borderId="28" xfId="0" applyNumberFormat="1" applyFont="1" applyBorder="1" applyAlignment="1">
      <alignment horizontal="center"/>
    </xf>
    <xf numFmtId="0" fontId="1" fillId="4" borderId="4" xfId="0" applyFont="1" applyFill="1" applyBorder="1" applyAlignment="1">
      <alignment horizontal="left" vertical="top" wrapText="1"/>
    </xf>
    <xf numFmtId="0" fontId="1" fillId="4" borderId="4" xfId="0" applyFont="1" applyFill="1" applyBorder="1"/>
    <xf numFmtId="0" fontId="1" fillId="4" borderId="9" xfId="0" applyFont="1" applyFill="1" applyBorder="1" applyAlignment="1">
      <alignment horizontal="left" vertical="top" wrapText="1"/>
    </xf>
    <xf numFmtId="0" fontId="1" fillId="4" borderId="9" xfId="0" applyFont="1" applyFill="1" applyBorder="1"/>
    <xf numFmtId="0" fontId="1" fillId="4" borderId="23" xfId="0" applyFont="1" applyFill="1" applyBorder="1" applyAlignment="1">
      <alignment horizontal="left" vertical="top" wrapText="1"/>
    </xf>
    <xf numFmtId="0" fontId="1" fillId="4" borderId="23" xfId="0" applyFont="1" applyFill="1" applyBorder="1"/>
    <xf numFmtId="0" fontId="1" fillId="4" borderId="19" xfId="0" applyFont="1" applyFill="1" applyBorder="1"/>
    <xf numFmtId="0" fontId="1" fillId="4" borderId="19" xfId="0" applyFont="1" applyFill="1" applyBorder="1" applyAlignment="1">
      <alignment horizontal="left" vertical="top" wrapText="1"/>
    </xf>
    <xf numFmtId="0" fontId="1" fillId="4" borderId="14" xfId="0" applyFont="1" applyFill="1" applyBorder="1"/>
    <xf numFmtId="1" fontId="1" fillId="4" borderId="4" xfId="0" applyNumberFormat="1" applyFont="1" applyFill="1" applyBorder="1" applyAlignment="1">
      <alignment horizontal="left" vertical="top" wrapText="1"/>
    </xf>
    <xf numFmtId="1" fontId="1" fillId="4" borderId="9" xfId="0" applyNumberFormat="1" applyFont="1" applyFill="1" applyBorder="1" applyAlignment="1">
      <alignment horizontal="left" vertical="top" wrapText="1"/>
    </xf>
    <xf numFmtId="1" fontId="1" fillId="4" borderId="23" xfId="0" applyNumberFormat="1" applyFont="1" applyFill="1" applyBorder="1" applyAlignment="1">
      <alignment horizontal="left" vertical="top" wrapText="1"/>
    </xf>
    <xf numFmtId="1" fontId="1" fillId="0" borderId="9" xfId="0" applyNumberFormat="1" applyFont="1" applyBorder="1" applyAlignment="1">
      <alignment horizontal="left" vertical="top" wrapText="1"/>
    </xf>
    <xf numFmtId="0" fontId="1" fillId="4" borderId="14" xfId="0" applyFont="1" applyFill="1" applyBorder="1" applyAlignment="1">
      <alignment horizontal="left" vertical="top" wrapText="1"/>
    </xf>
    <xf numFmtId="2" fontId="1" fillId="0" borderId="4" xfId="0" applyNumberFormat="1" applyFont="1" applyBorder="1" applyAlignment="1">
      <alignment horizontal="left" vertical="top" wrapText="1"/>
    </xf>
    <xf numFmtId="2" fontId="1" fillId="0" borderId="9" xfId="0" applyNumberFormat="1" applyFont="1" applyBorder="1" applyAlignment="1">
      <alignment horizontal="left" vertical="top" wrapText="1"/>
    </xf>
    <xf numFmtId="2" fontId="1" fillId="0" borderId="19" xfId="0" applyNumberFormat="1" applyFont="1" applyBorder="1" applyAlignment="1">
      <alignment horizontal="left" vertical="top" wrapText="1"/>
    </xf>
    <xf numFmtId="2" fontId="1" fillId="0" borderId="30" xfId="0" applyNumberFormat="1" applyFont="1" applyBorder="1" applyAlignment="1">
      <alignment horizontal="left" vertical="top" wrapText="1"/>
    </xf>
    <xf numFmtId="2" fontId="1" fillId="0" borderId="0" xfId="1" applyNumberFormat="1" applyFont="1" applyAlignment="1"/>
    <xf numFmtId="0" fontId="1" fillId="4" borderId="5" xfId="0" applyFont="1" applyFill="1" applyBorder="1"/>
    <xf numFmtId="39" fontId="1" fillId="4" borderId="4" xfId="1" applyNumberFormat="1" applyFont="1" applyFill="1" applyBorder="1" applyAlignment="1">
      <alignment horizontal="left" vertical="top"/>
    </xf>
    <xf numFmtId="0" fontId="1" fillId="4" borderId="10" xfId="0" applyFont="1" applyFill="1" applyBorder="1"/>
    <xf numFmtId="39" fontId="1" fillId="4" borderId="9" xfId="1" applyNumberFormat="1" applyFont="1" applyFill="1" applyBorder="1" applyAlignment="1">
      <alignment horizontal="left" vertical="top"/>
    </xf>
    <xf numFmtId="0" fontId="1" fillId="4" borderId="46" xfId="0" applyFont="1" applyFill="1" applyBorder="1"/>
    <xf numFmtId="0" fontId="1" fillId="4" borderId="54" xfId="0" applyFont="1" applyFill="1" applyBorder="1"/>
    <xf numFmtId="39" fontId="1" fillId="4" borderId="19" xfId="1" applyNumberFormat="1" applyFont="1" applyFill="1" applyBorder="1" applyAlignment="1">
      <alignment horizontal="left" vertical="top"/>
    </xf>
    <xf numFmtId="7" fontId="1" fillId="4" borderId="4" xfId="2" applyNumberFormat="1" applyFont="1" applyFill="1" applyBorder="1" applyAlignment="1">
      <alignment horizontal="center"/>
    </xf>
    <xf numFmtId="7" fontId="1" fillId="4" borderId="0" xfId="0" applyNumberFormat="1" applyFont="1" applyFill="1" applyAlignment="1">
      <alignment horizontal="center"/>
    </xf>
    <xf numFmtId="7" fontId="1" fillId="4" borderId="19" xfId="2" applyNumberFormat="1" applyFont="1" applyFill="1" applyBorder="1" applyAlignment="1">
      <alignment horizontal="center"/>
    </xf>
    <xf numFmtId="0" fontId="1" fillId="4" borderId="15" xfId="0" applyFont="1" applyFill="1" applyBorder="1"/>
    <xf numFmtId="7" fontId="1" fillId="4" borderId="14" xfId="2" applyNumberFormat="1" applyFont="1" applyFill="1" applyBorder="1" applyAlignment="1">
      <alignment horizontal="center"/>
    </xf>
    <xf numFmtId="168" fontId="1" fillId="0" borderId="9" xfId="1" applyNumberFormat="1" applyFont="1" applyBorder="1" applyAlignment="1"/>
    <xf numFmtId="43" fontId="1" fillId="0" borderId="9" xfId="0" applyNumberFormat="1" applyFont="1" applyBorder="1"/>
    <xf numFmtId="2" fontId="1" fillId="13" borderId="22" xfId="1" applyNumberFormat="1" applyFont="1" applyFill="1" applyBorder="1"/>
    <xf numFmtId="2" fontId="1" fillId="0" borderId="9" xfId="1" applyNumberFormat="1" applyFont="1" applyBorder="1" applyAlignment="1"/>
    <xf numFmtId="2" fontId="1" fillId="0" borderId="0" xfId="3" applyNumberFormat="1" applyFont="1"/>
    <xf numFmtId="2" fontId="1" fillId="0" borderId="0" xfId="0" applyNumberFormat="1" applyFont="1"/>
    <xf numFmtId="2" fontId="1" fillId="13" borderId="25" xfId="1" applyNumberFormat="1" applyFont="1" applyFill="1" applyBorder="1"/>
    <xf numFmtId="0" fontId="1" fillId="16" borderId="9" xfId="0" applyFont="1" applyFill="1" applyBorder="1" applyAlignment="1">
      <alignment horizontal="left" vertical="top"/>
    </xf>
    <xf numFmtId="4" fontId="1" fillId="0" borderId="9" xfId="0" applyNumberFormat="1" applyFont="1" applyBorder="1"/>
    <xf numFmtId="39" fontId="1" fillId="4" borderId="9" xfId="1" quotePrefix="1" applyNumberFormat="1" applyFont="1" applyFill="1" applyBorder="1" applyAlignment="1">
      <alignment horizontal="center" vertical="center" wrapText="1"/>
    </xf>
    <xf numFmtId="39" fontId="1" fillId="0" borderId="9" xfId="0" applyNumberFormat="1" applyFont="1" applyBorder="1" applyAlignment="1">
      <alignment horizontal="center"/>
    </xf>
    <xf numFmtId="170" fontId="1" fillId="4" borderId="9" xfId="1" quotePrefix="1" applyNumberFormat="1" applyFont="1" applyFill="1" applyBorder="1" applyAlignment="1">
      <alignment horizontal="center" vertical="center" wrapText="1"/>
    </xf>
    <xf numFmtId="37" fontId="1" fillId="0" borderId="0" xfId="0" applyNumberFormat="1" applyFont="1"/>
    <xf numFmtId="37" fontId="1" fillId="4" borderId="9" xfId="1" quotePrefix="1" applyNumberFormat="1" applyFont="1" applyFill="1" applyBorder="1" applyAlignment="1">
      <alignment horizontal="center" vertical="center" wrapText="1"/>
    </xf>
    <xf numFmtId="186" fontId="1" fillId="0" borderId="0" xfId="0" applyNumberFormat="1" applyFont="1"/>
    <xf numFmtId="0" fontId="20" fillId="4" borderId="60" xfId="0" applyFont="1" applyFill="1" applyBorder="1" applyAlignment="1">
      <alignment horizontal="left" vertical="top" wrapText="1"/>
    </xf>
    <xf numFmtId="2" fontId="4" fillId="4" borderId="16" xfId="0" applyNumberFormat="1" applyFont="1" applyFill="1" applyBorder="1" applyAlignment="1">
      <alignment horizontal="left" vertical="top" wrapText="1"/>
    </xf>
    <xf numFmtId="2" fontId="20" fillId="4" borderId="16" xfId="0" applyNumberFormat="1" applyFont="1" applyFill="1" applyBorder="1" applyAlignment="1">
      <alignment horizontal="left" vertical="top" wrapText="1"/>
    </xf>
    <xf numFmtId="2" fontId="20" fillId="4" borderId="60" xfId="0" applyNumberFormat="1" applyFont="1" applyFill="1" applyBorder="1" applyAlignment="1">
      <alignment horizontal="left" vertical="top" wrapText="1"/>
    </xf>
    <xf numFmtId="0" fontId="4" fillId="4" borderId="25" xfId="0" applyFont="1" applyFill="1" applyBorder="1" applyAlignment="1">
      <alignment horizontal="left" vertical="top" wrapText="1"/>
    </xf>
    <xf numFmtId="9" fontId="20" fillId="4" borderId="16" xfId="3" applyFont="1" applyFill="1" applyBorder="1" applyAlignment="1">
      <alignment horizontal="left" vertical="top" wrapText="1"/>
    </xf>
    <xf numFmtId="9" fontId="4" fillId="4" borderId="16" xfId="3" applyFont="1" applyFill="1" applyBorder="1" applyAlignment="1">
      <alignment horizontal="left" vertical="top" wrapText="1"/>
    </xf>
    <xf numFmtId="9" fontId="20" fillId="4" borderId="20" xfId="3" applyFont="1" applyFill="1" applyBorder="1" applyAlignment="1">
      <alignment horizontal="left" vertical="top" wrapText="1"/>
    </xf>
    <xf numFmtId="9" fontId="4" fillId="4" borderId="20" xfId="3" applyFont="1" applyFill="1" applyBorder="1" applyAlignment="1">
      <alignment horizontal="left" vertical="top" wrapText="1"/>
    </xf>
    <xf numFmtId="9" fontId="20" fillId="4" borderId="25" xfId="3" applyFont="1" applyFill="1" applyBorder="1" applyAlignment="1">
      <alignment horizontal="left" vertical="top" wrapText="1"/>
    </xf>
    <xf numFmtId="9" fontId="20" fillId="4" borderId="35" xfId="3" applyFont="1" applyFill="1" applyBorder="1" applyAlignment="1">
      <alignment horizontal="left" vertical="top" wrapText="1"/>
    </xf>
    <xf numFmtId="170" fontId="20" fillId="4" borderId="37" xfId="1" applyNumberFormat="1" applyFont="1" applyFill="1" applyBorder="1" applyAlignment="1">
      <alignment horizontal="left" vertical="top" wrapText="1"/>
    </xf>
    <xf numFmtId="170" fontId="20" fillId="4" borderId="16" xfId="1" applyNumberFormat="1" applyFont="1" applyFill="1" applyBorder="1" applyAlignment="1">
      <alignment horizontal="left" vertical="top" wrapText="1"/>
    </xf>
    <xf numFmtId="170" fontId="4" fillId="4" borderId="25" xfId="1" applyNumberFormat="1" applyFont="1" applyFill="1" applyBorder="1" applyAlignment="1">
      <alignment horizontal="left" vertical="top" wrapText="1"/>
    </xf>
    <xf numFmtId="170" fontId="4" fillId="4" borderId="16" xfId="1" applyNumberFormat="1" applyFont="1" applyFill="1" applyBorder="1" applyAlignment="1">
      <alignment horizontal="left" vertical="top" wrapText="1"/>
    </xf>
    <xf numFmtId="170" fontId="20" fillId="4" borderId="25" xfId="1" applyNumberFormat="1" applyFont="1" applyFill="1" applyBorder="1" applyAlignment="1">
      <alignment horizontal="left" vertical="top" wrapText="1"/>
    </xf>
    <xf numFmtId="170" fontId="4" fillId="4" borderId="35" xfId="1" applyNumberFormat="1" applyFont="1" applyFill="1" applyBorder="1" applyAlignment="1">
      <alignment horizontal="left" vertical="top" wrapText="1"/>
    </xf>
    <xf numFmtId="0" fontId="20" fillId="4" borderId="21" xfId="0" applyFont="1" applyFill="1" applyBorder="1" applyAlignment="1">
      <alignment horizontal="left" vertical="top" wrapText="1"/>
    </xf>
    <xf numFmtId="0" fontId="20" fillId="4" borderId="24" xfId="0" applyFont="1" applyFill="1" applyBorder="1" applyAlignment="1">
      <alignment horizontal="left" vertical="top" wrapText="1"/>
    </xf>
    <xf numFmtId="0" fontId="20" fillId="4" borderId="26" xfId="0" applyFont="1" applyFill="1" applyBorder="1" applyAlignment="1">
      <alignment horizontal="left" vertical="top" wrapText="1"/>
    </xf>
    <xf numFmtId="9" fontId="20" fillId="4" borderId="32" xfId="3" applyFont="1" applyFill="1" applyBorder="1" applyAlignment="1">
      <alignment horizontal="left" vertical="top" wrapText="1"/>
    </xf>
    <xf numFmtId="9" fontId="20" fillId="4" borderId="18" xfId="3" applyFont="1" applyFill="1" applyBorder="1" applyAlignment="1">
      <alignment horizontal="left" vertical="top" wrapText="1"/>
    </xf>
    <xf numFmtId="9" fontId="20" fillId="4" borderId="26" xfId="3" applyFont="1" applyFill="1" applyBorder="1" applyAlignment="1">
      <alignment horizontal="left" vertical="top" wrapText="1"/>
    </xf>
    <xf numFmtId="9" fontId="20" fillId="4" borderId="21" xfId="3" applyFont="1" applyFill="1" applyBorder="1" applyAlignment="1">
      <alignment horizontal="left" vertical="top" wrapText="1"/>
    </xf>
    <xf numFmtId="9" fontId="20" fillId="4" borderId="62" xfId="3" applyFont="1" applyFill="1" applyBorder="1" applyAlignment="1">
      <alignment horizontal="left" vertical="top" wrapText="1"/>
    </xf>
    <xf numFmtId="170" fontId="20" fillId="4" borderId="32" xfId="1" applyNumberFormat="1" applyFont="1" applyFill="1" applyBorder="1" applyAlignment="1">
      <alignment horizontal="left" vertical="top" wrapText="1"/>
    </xf>
    <xf numFmtId="170" fontId="20" fillId="4" borderId="18" xfId="1" applyNumberFormat="1" applyFont="1" applyFill="1" applyBorder="1" applyAlignment="1">
      <alignment horizontal="left" vertical="top" wrapText="1"/>
    </xf>
    <xf numFmtId="170" fontId="20" fillId="4" borderId="26" xfId="1" applyNumberFormat="1" applyFont="1" applyFill="1" applyBorder="1" applyAlignment="1">
      <alignment horizontal="left" vertical="top" wrapText="1"/>
    </xf>
    <xf numFmtId="170" fontId="20" fillId="4" borderId="34" xfId="1" applyNumberFormat="1" applyFont="1" applyFill="1" applyBorder="1" applyAlignment="1">
      <alignment horizontal="left" vertical="top" wrapText="1"/>
    </xf>
    <xf numFmtId="9" fontId="20" fillId="4" borderId="34" xfId="3" applyFont="1" applyFill="1" applyBorder="1" applyAlignment="1">
      <alignment horizontal="left" vertical="top" wrapText="1"/>
    </xf>
    <xf numFmtId="2" fontId="4" fillId="4" borderId="4" xfId="0" applyNumberFormat="1" applyFont="1" applyFill="1" applyBorder="1"/>
    <xf numFmtId="0" fontId="20" fillId="0" borderId="37" xfId="0" applyFont="1" applyFill="1" applyBorder="1" applyAlignment="1">
      <alignment horizontal="left" vertical="top" wrapText="1"/>
    </xf>
    <xf numFmtId="0" fontId="20" fillId="0" borderId="16" xfId="0" applyFont="1" applyFill="1" applyBorder="1" applyAlignment="1">
      <alignment horizontal="left" vertical="top" wrapText="1"/>
    </xf>
    <xf numFmtId="0" fontId="4" fillId="0" borderId="16" xfId="0" applyFont="1" applyFill="1" applyBorder="1" applyAlignment="1">
      <alignment horizontal="left" vertical="top" wrapText="1"/>
    </xf>
    <xf numFmtId="0" fontId="20" fillId="0" borderId="9" xfId="0" applyFont="1" applyFill="1" applyBorder="1" applyAlignment="1">
      <alignment horizontal="left" vertical="top" wrapText="1"/>
    </xf>
    <xf numFmtId="0" fontId="4" fillId="0" borderId="9" xfId="0" applyFont="1" applyFill="1" applyBorder="1" applyAlignment="1">
      <alignment horizontal="left" vertical="top" wrapText="1"/>
    </xf>
    <xf numFmtId="0" fontId="20" fillId="10" borderId="16" xfId="0" applyFont="1" applyFill="1" applyBorder="1" applyAlignment="1">
      <alignment horizontal="left"/>
    </xf>
    <xf numFmtId="0" fontId="20" fillId="10" borderId="17" xfId="0" applyFont="1" applyFill="1" applyBorder="1" applyAlignment="1">
      <alignment horizontal="left"/>
    </xf>
    <xf numFmtId="0" fontId="20" fillId="0" borderId="33" xfId="0" applyFont="1" applyBorder="1" applyAlignment="1">
      <alignment horizontal="center" vertical="center"/>
    </xf>
    <xf numFmtId="0" fontId="20" fillId="11" borderId="9" xfId="0" applyFont="1" applyFill="1" applyBorder="1" applyAlignment="1">
      <alignment horizontal="center" vertical="center" wrapText="1"/>
    </xf>
    <xf numFmtId="165" fontId="20" fillId="0" borderId="14" xfId="13" applyNumberFormat="1" applyFont="1" applyBorder="1" applyAlignment="1">
      <alignment horizontal="left" vertical="center" wrapText="1"/>
    </xf>
    <xf numFmtId="0" fontId="38" fillId="0" borderId="19" xfId="8" applyFont="1" applyBorder="1" applyAlignment="1">
      <alignment horizontal="left" vertical="center"/>
    </xf>
    <xf numFmtId="0" fontId="20" fillId="0" borderId="9" xfId="0" applyFont="1" applyBorder="1"/>
    <xf numFmtId="0" fontId="20" fillId="0" borderId="9" xfId="0" applyFont="1" applyBorder="1" applyAlignment="1">
      <alignment horizontal="left" vertical="center" wrapText="1"/>
    </xf>
    <xf numFmtId="0" fontId="20" fillId="0" borderId="14" xfId="0" applyFont="1" applyBorder="1" applyAlignment="1">
      <alignment horizontal="left" vertical="center" wrapText="1"/>
    </xf>
    <xf numFmtId="0" fontId="20" fillId="0" borderId="23" xfId="0" applyFont="1" applyBorder="1" applyAlignment="1">
      <alignment horizontal="left" vertical="center" wrapText="1"/>
    </xf>
    <xf numFmtId="165" fontId="20" fillId="0" borderId="16" xfId="13" applyNumberFormat="1" applyFont="1" applyBorder="1" applyAlignment="1">
      <alignment horizontal="center" vertical="center" wrapText="1"/>
    </xf>
    <xf numFmtId="0" fontId="20" fillId="0" borderId="16" xfId="0" applyFont="1" applyBorder="1" applyAlignment="1">
      <alignment horizontal="center" vertical="center" wrapText="1"/>
    </xf>
    <xf numFmtId="0" fontId="20" fillId="11" borderId="18" xfId="0" applyFont="1" applyFill="1" applyBorder="1" applyAlignment="1">
      <alignment horizontal="center" vertical="center" wrapText="1"/>
    </xf>
    <xf numFmtId="0" fontId="20" fillId="4" borderId="9" xfId="0" applyFont="1" applyFill="1" applyBorder="1" applyAlignment="1">
      <alignment horizontal="left" vertical="center" wrapText="1"/>
    </xf>
    <xf numFmtId="0" fontId="20" fillId="10" borderId="18" xfId="0" applyFont="1" applyFill="1" applyBorder="1" applyAlignment="1">
      <alignment horizontal="left"/>
    </xf>
    <xf numFmtId="0" fontId="20" fillId="11" borderId="19" xfId="0" applyFont="1" applyFill="1" applyBorder="1" applyAlignment="1">
      <alignment horizontal="center" vertical="center" wrapText="1"/>
    </xf>
    <xf numFmtId="0" fontId="20" fillId="4" borderId="9" xfId="8" applyFont="1" applyFill="1" applyBorder="1" applyAlignment="1">
      <alignment horizontal="left"/>
    </xf>
    <xf numFmtId="0" fontId="20" fillId="4" borderId="9" xfId="8" applyFont="1" applyFill="1" applyBorder="1" applyAlignment="1">
      <alignment horizontal="left" vertical="center" wrapText="1"/>
    </xf>
    <xf numFmtId="0" fontId="20" fillId="4" borderId="9" xfId="8" applyFont="1" applyFill="1" applyBorder="1" applyAlignment="1">
      <alignment horizontal="center"/>
    </xf>
    <xf numFmtId="0" fontId="20" fillId="0" borderId="0" xfId="0" applyFont="1"/>
    <xf numFmtId="0" fontId="20" fillId="0" borderId="9" xfId="0" applyFont="1" applyBorder="1" applyAlignment="1">
      <alignment horizontal="left"/>
    </xf>
    <xf numFmtId="165" fontId="20" fillId="0" borderId="9" xfId="13" applyNumberFormat="1" applyFont="1" applyBorder="1" applyAlignment="1">
      <alignment horizontal="center" vertical="center" wrapText="1"/>
    </xf>
    <xf numFmtId="0" fontId="20" fillId="0" borderId="25" xfId="0" applyFont="1" applyBorder="1" applyAlignment="1">
      <alignment horizontal="center" vertical="center" wrapText="1"/>
    </xf>
    <xf numFmtId="0" fontId="20" fillId="0" borderId="9" xfId="0" applyFont="1" applyBorder="1" applyAlignment="1">
      <alignment horizontal="center" vertical="center" wrapText="1"/>
    </xf>
    <xf numFmtId="0" fontId="20" fillId="4" borderId="9" xfId="0" applyFont="1" applyFill="1" applyBorder="1" applyAlignment="1">
      <alignment horizontal="center" vertical="center" wrapText="1"/>
    </xf>
    <xf numFmtId="0" fontId="20" fillId="0" borderId="9" xfId="8" applyFont="1" applyBorder="1" applyAlignment="1">
      <alignment wrapText="1"/>
    </xf>
    <xf numFmtId="0" fontId="20" fillId="11" borderId="20" xfId="0" applyFont="1" applyFill="1" applyBorder="1" applyAlignment="1">
      <alignment horizontal="center" vertical="center" wrapText="1"/>
    </xf>
    <xf numFmtId="0" fontId="20" fillId="0" borderId="9" xfId="8" applyFont="1" applyBorder="1"/>
    <xf numFmtId="0" fontId="25" fillId="0" borderId="9" xfId="8" applyFont="1" applyBorder="1" applyAlignment="1">
      <alignment wrapText="1"/>
    </xf>
    <xf numFmtId="0" fontId="0" fillId="0" borderId="23" xfId="0" applyBorder="1" applyAlignment="1">
      <alignment horizontal="center" vertical="center" wrapText="1"/>
    </xf>
    <xf numFmtId="0" fontId="68" fillId="4" borderId="9" xfId="8" applyFont="1" applyFill="1" applyBorder="1" applyAlignment="1">
      <alignment horizontal="left" vertical="center"/>
    </xf>
    <xf numFmtId="0" fontId="25" fillId="4" borderId="9" xfId="8" applyFont="1" applyFill="1" applyBorder="1" applyAlignment="1">
      <alignment horizontal="left" vertical="center"/>
    </xf>
    <xf numFmtId="0" fontId="20" fillId="11" borderId="9" xfId="0" applyFont="1" applyFill="1" applyBorder="1" applyAlignment="1">
      <alignment horizontal="left" vertical="center" wrapText="1"/>
    </xf>
    <xf numFmtId="0" fontId="20" fillId="17" borderId="17" xfId="0" applyFont="1" applyFill="1" applyBorder="1"/>
    <xf numFmtId="0" fontId="20" fillId="17" borderId="18" xfId="0" applyFont="1" applyFill="1" applyBorder="1"/>
    <xf numFmtId="1" fontId="4" fillId="4" borderId="23" xfId="0" applyNumberFormat="1" applyFont="1" applyFill="1" applyBorder="1" applyAlignment="1">
      <alignment horizontal="left" vertical="top"/>
    </xf>
    <xf numFmtId="2" fontId="4" fillId="4" borderId="25" xfId="0" applyNumberFormat="1" applyFont="1" applyFill="1" applyBorder="1"/>
    <xf numFmtId="0" fontId="4" fillId="4" borderId="16" xfId="0" applyFont="1" applyFill="1" applyBorder="1"/>
    <xf numFmtId="0" fontId="4" fillId="4" borderId="37" xfId="0" applyFont="1" applyFill="1" applyBorder="1"/>
    <xf numFmtId="0" fontId="4" fillId="4" borderId="35" xfId="0" applyFont="1" applyFill="1" applyBorder="1"/>
    <xf numFmtId="1" fontId="20" fillId="4" borderId="23" xfId="0" applyNumberFormat="1" applyFont="1" applyFill="1" applyBorder="1" applyAlignment="1">
      <alignment horizontal="left" vertical="top"/>
    </xf>
    <xf numFmtId="169" fontId="4" fillId="4" borderId="9" xfId="0" applyNumberFormat="1" applyFont="1" applyFill="1" applyBorder="1" applyAlignment="1">
      <alignment horizontal="center" vertical="center" wrapText="1"/>
    </xf>
    <xf numFmtId="171" fontId="4" fillId="4" borderId="9" xfId="0" applyNumberFormat="1" applyFont="1" applyFill="1" applyBorder="1" applyAlignment="1">
      <alignment horizontal="center" vertical="center" wrapText="1"/>
    </xf>
    <xf numFmtId="2" fontId="4" fillId="4" borderId="9" xfId="0" applyNumberFormat="1" applyFont="1" applyFill="1" applyBorder="1" applyAlignment="1">
      <alignment horizontal="center" wrapText="1"/>
    </xf>
    <xf numFmtId="168" fontId="4" fillId="4" borderId="9" xfId="0" applyNumberFormat="1" applyFont="1" applyFill="1" applyBorder="1" applyAlignment="1">
      <alignment horizontal="center"/>
    </xf>
    <xf numFmtId="168" fontId="4" fillId="4" borderId="14" xfId="0" applyNumberFormat="1" applyFont="1" applyFill="1" applyBorder="1" applyAlignment="1">
      <alignment horizontal="center"/>
    </xf>
    <xf numFmtId="0" fontId="4" fillId="4" borderId="33" xfId="0" applyFont="1" applyFill="1" applyBorder="1" applyAlignment="1">
      <alignment horizontal="left" vertical="center" wrapText="1"/>
    </xf>
    <xf numFmtId="39" fontId="4" fillId="4" borderId="14" xfId="1" quotePrefix="1" applyNumberFormat="1" applyFont="1" applyFill="1" applyBorder="1" applyAlignment="1">
      <alignment horizontal="center" vertical="center" wrapText="1"/>
    </xf>
    <xf numFmtId="9" fontId="4" fillId="4" borderId="14" xfId="3" applyFont="1" applyFill="1" applyBorder="1" applyAlignment="1">
      <alignment horizontal="center" vertical="center" wrapText="1"/>
    </xf>
    <xf numFmtId="169" fontId="4" fillId="4" borderId="14" xfId="0" applyNumberFormat="1" applyFont="1" applyFill="1" applyBorder="1" applyAlignment="1">
      <alignment horizontal="center" vertical="center" wrapText="1"/>
    </xf>
    <xf numFmtId="165" fontId="4" fillId="4" borderId="14" xfId="0" applyNumberFormat="1" applyFont="1" applyFill="1" applyBorder="1" applyAlignment="1">
      <alignment horizontal="center" vertical="center" wrapText="1"/>
    </xf>
    <xf numFmtId="171" fontId="4" fillId="4" borderId="14" xfId="0" applyNumberFormat="1" applyFont="1" applyFill="1" applyBorder="1" applyAlignment="1">
      <alignment horizontal="center" vertical="center" wrapText="1"/>
    </xf>
    <xf numFmtId="2" fontId="4" fillId="4" borderId="14" xfId="0" applyNumberFormat="1" applyFont="1" applyFill="1" applyBorder="1" applyAlignment="1">
      <alignment horizontal="center" wrapText="1"/>
    </xf>
    <xf numFmtId="39" fontId="4" fillId="4" borderId="23" xfId="1" quotePrefix="1" applyNumberFormat="1" applyFont="1" applyFill="1" applyBorder="1" applyAlignment="1">
      <alignment horizontal="center" vertical="center" wrapText="1"/>
    </xf>
    <xf numFmtId="9" fontId="4" fillId="4" borderId="23" xfId="3" applyFont="1" applyFill="1" applyBorder="1" applyAlignment="1">
      <alignment horizontal="center" vertical="center" wrapText="1"/>
    </xf>
    <xf numFmtId="169" fontId="4" fillId="4" borderId="23" xfId="0" applyNumberFormat="1" applyFont="1" applyFill="1" applyBorder="1" applyAlignment="1">
      <alignment horizontal="center" vertical="center" wrapText="1"/>
    </xf>
    <xf numFmtId="165" fontId="4" fillId="4" borderId="23" xfId="0" applyNumberFormat="1" applyFont="1" applyFill="1" applyBorder="1" applyAlignment="1">
      <alignment horizontal="center" vertical="center" wrapText="1"/>
    </xf>
    <xf numFmtId="171" fontId="4" fillId="4" borderId="23" xfId="0" applyNumberFormat="1" applyFont="1" applyFill="1" applyBorder="1" applyAlignment="1">
      <alignment horizontal="center" vertical="center" wrapText="1"/>
    </xf>
    <xf numFmtId="2" fontId="4" fillId="4" borderId="23" xfId="0" applyNumberFormat="1" applyFont="1" applyFill="1" applyBorder="1" applyAlignment="1">
      <alignment horizontal="center" wrapText="1"/>
    </xf>
    <xf numFmtId="7" fontId="4" fillId="4" borderId="4" xfId="2" applyNumberFormat="1" applyFont="1" applyFill="1" applyBorder="1" applyAlignment="1">
      <alignment horizontal="left" vertical="top" wrapText="1"/>
    </xf>
    <xf numFmtId="7" fontId="4" fillId="4" borderId="14" xfId="2" applyNumberFormat="1" applyFont="1" applyFill="1" applyBorder="1" applyAlignment="1">
      <alignment horizontal="left" vertical="top" wrapText="1"/>
    </xf>
    <xf numFmtId="1" fontId="4" fillId="0" borderId="5" xfId="0" applyNumberFormat="1" applyFont="1" applyBorder="1" applyAlignment="1">
      <alignment vertical="center"/>
    </xf>
    <xf numFmtId="2" fontId="4" fillId="34" borderId="4" xfId="0" applyNumberFormat="1" applyFont="1" applyFill="1" applyBorder="1" applyAlignment="1">
      <alignment horizontal="right"/>
    </xf>
    <xf numFmtId="2" fontId="20" fillId="34" borderId="14" xfId="0" applyNumberFormat="1" applyFont="1" applyFill="1" applyBorder="1" applyAlignment="1">
      <alignment horizontal="right"/>
    </xf>
    <xf numFmtId="0" fontId="20" fillId="0" borderId="45" xfId="0" applyFont="1" applyBorder="1" applyAlignment="1"/>
    <xf numFmtId="0" fontId="20" fillId="4" borderId="5" xfId="0" applyFont="1" applyFill="1" applyBorder="1" applyAlignment="1"/>
    <xf numFmtId="0" fontId="20" fillId="4" borderId="10" xfId="0" applyFont="1" applyFill="1" applyBorder="1" applyAlignment="1"/>
    <xf numFmtId="0" fontId="20" fillId="4" borderId="54" xfId="0" applyFont="1" applyFill="1" applyBorder="1" applyAlignment="1"/>
    <xf numFmtId="0" fontId="20" fillId="0" borderId="10" xfId="0" applyFont="1" applyBorder="1" applyAlignment="1"/>
    <xf numFmtId="1" fontId="4" fillId="0" borderId="5" xfId="0" applyNumberFormat="1" applyFont="1" applyBorder="1" applyAlignment="1"/>
    <xf numFmtId="1" fontId="4" fillId="0" borderId="10" xfId="0" applyNumberFormat="1" applyFont="1" applyBorder="1" applyAlignment="1"/>
    <xf numFmtId="1" fontId="20" fillId="0" borderId="10" xfId="0" applyNumberFormat="1" applyFont="1" applyBorder="1" applyAlignment="1"/>
    <xf numFmtId="0" fontId="20" fillId="0" borderId="15" xfId="0" applyFont="1" applyBorder="1" applyAlignment="1"/>
    <xf numFmtId="0" fontId="4" fillId="0" borderId="5" xfId="0" applyFont="1" applyFill="1" applyBorder="1" applyAlignment="1"/>
    <xf numFmtId="0" fontId="20" fillId="0" borderId="15" xfId="0" applyFont="1" applyBorder="1" applyAlignment="1">
      <alignment vertical="top"/>
    </xf>
    <xf numFmtId="0" fontId="20" fillId="0" borderId="5" xfId="0" applyFont="1" applyBorder="1" applyAlignment="1"/>
    <xf numFmtId="9" fontId="20" fillId="4" borderId="5" xfId="3" applyFont="1" applyFill="1" applyBorder="1" applyAlignment="1"/>
    <xf numFmtId="9" fontId="20" fillId="4" borderId="10" xfId="3" applyFont="1" applyFill="1" applyBorder="1" applyAlignment="1"/>
    <xf numFmtId="9" fontId="20" fillId="4" borderId="45" xfId="3" applyFont="1" applyFill="1" applyBorder="1" applyAlignment="1"/>
    <xf numFmtId="9" fontId="20" fillId="4" borderId="46" xfId="3" applyFont="1" applyFill="1" applyBorder="1" applyAlignment="1"/>
    <xf numFmtId="9" fontId="20" fillId="4" borderId="15" xfId="3" applyFont="1" applyFill="1" applyBorder="1" applyAlignment="1"/>
    <xf numFmtId="1" fontId="20" fillId="0" borderId="46" xfId="0" applyNumberFormat="1" applyFont="1" applyBorder="1" applyAlignment="1"/>
    <xf numFmtId="1" fontId="20" fillId="0" borderId="54" xfId="0" applyNumberFormat="1" applyFont="1" applyBorder="1" applyAlignment="1"/>
    <xf numFmtId="0" fontId="20" fillId="4" borderId="5" xfId="0" applyFont="1" applyFill="1" applyBorder="1" applyAlignment="1">
      <alignment vertical="center"/>
    </xf>
    <xf numFmtId="0" fontId="20" fillId="0" borderId="10" xfId="0" applyFont="1" applyBorder="1" applyAlignment="1">
      <alignment vertical="center"/>
    </xf>
    <xf numFmtId="0" fontId="20" fillId="0" borderId="15" xfId="0" applyFont="1" applyBorder="1" applyAlignment="1">
      <alignment vertical="center"/>
    </xf>
    <xf numFmtId="0" fontId="20" fillId="0" borderId="10" xfId="0" applyFont="1" applyBorder="1" applyAlignment="1">
      <alignment vertical="top"/>
    </xf>
    <xf numFmtId="1" fontId="20" fillId="35" borderId="10" xfId="0" applyNumberFormat="1" applyFont="1" applyFill="1" applyBorder="1" applyAlignment="1"/>
    <xf numFmtId="1" fontId="20" fillId="35" borderId="46" xfId="0" applyNumberFormat="1" applyFont="1" applyFill="1" applyBorder="1" applyAlignment="1"/>
    <xf numFmtId="1" fontId="20" fillId="35" borderId="15" xfId="0" applyNumberFormat="1" applyFont="1" applyFill="1" applyBorder="1" applyAlignment="1"/>
    <xf numFmtId="0" fontId="20" fillId="16" borderId="45" xfId="0" applyFont="1" applyFill="1" applyBorder="1" applyAlignment="1">
      <alignment vertical="top"/>
    </xf>
    <xf numFmtId="0" fontId="20" fillId="16" borderId="54" xfId="0" applyFont="1" applyFill="1" applyBorder="1" applyAlignment="1">
      <alignment vertical="top"/>
    </xf>
    <xf numFmtId="3" fontId="4" fillId="4" borderId="4" xfId="0" applyNumberFormat="1" applyFont="1" applyFill="1" applyBorder="1" applyAlignment="1">
      <alignment horizontal="left" vertical="top" wrapText="1"/>
    </xf>
    <xf numFmtId="3" fontId="4" fillId="4" borderId="9" xfId="0" applyNumberFormat="1" applyFont="1" applyFill="1" applyBorder="1" applyAlignment="1">
      <alignment horizontal="left" vertical="top" wrapText="1"/>
    </xf>
    <xf numFmtId="3" fontId="20" fillId="36" borderId="9" xfId="0" applyNumberFormat="1" applyFont="1" applyFill="1" applyBorder="1" applyAlignment="1">
      <alignment horizontal="left" vertical="top" wrapText="1"/>
    </xf>
    <xf numFmtId="3" fontId="20" fillId="36" borderId="14" xfId="0" applyNumberFormat="1" applyFont="1" applyFill="1" applyBorder="1" applyAlignment="1">
      <alignment horizontal="left" vertical="top" wrapText="1"/>
    </xf>
    <xf numFmtId="2" fontId="4" fillId="4" borderId="9" xfId="0" applyNumberFormat="1" applyFont="1" applyFill="1" applyBorder="1" applyAlignment="1">
      <alignment horizontal="left"/>
    </xf>
    <xf numFmtId="2" fontId="20" fillId="4" borderId="9" xfId="0" applyNumberFormat="1" applyFont="1" applyFill="1" applyBorder="1" applyAlignment="1">
      <alignment horizontal="left"/>
    </xf>
    <xf numFmtId="2" fontId="20" fillId="36" borderId="9" xfId="0" applyNumberFormat="1" applyFont="1" applyFill="1" applyBorder="1" applyAlignment="1">
      <alignment horizontal="left" vertical="top" wrapText="1"/>
    </xf>
    <xf numFmtId="2" fontId="20" fillId="36" borderId="33" xfId="0" applyNumberFormat="1" applyFont="1" applyFill="1" applyBorder="1" applyAlignment="1">
      <alignment horizontal="left" vertical="top" wrapText="1"/>
    </xf>
    <xf numFmtId="1" fontId="20" fillId="36" borderId="9" xfId="0" applyNumberFormat="1" applyFont="1" applyFill="1" applyBorder="1" applyAlignment="1">
      <alignment horizontal="left" vertical="top" wrapText="1"/>
    </xf>
    <xf numFmtId="2" fontId="20" fillId="34" borderId="9" xfId="0" applyNumberFormat="1" applyFont="1" applyFill="1" applyBorder="1" applyAlignment="1">
      <alignment wrapText="1"/>
    </xf>
    <xf numFmtId="2" fontId="20" fillId="34" borderId="14" xfId="0" applyNumberFormat="1" applyFont="1" applyFill="1" applyBorder="1" applyAlignment="1">
      <alignment wrapText="1"/>
    </xf>
    <xf numFmtId="0" fontId="1" fillId="0" borderId="54" xfId="0" applyFont="1" applyBorder="1" applyAlignment="1">
      <alignment horizontal="left" vertical="center"/>
    </xf>
    <xf numFmtId="0" fontId="20" fillId="0" borderId="0" xfId="0" applyFont="1" applyAlignment="1"/>
    <xf numFmtId="0" fontId="20" fillId="4" borderId="52" xfId="0" applyFont="1" applyFill="1" applyBorder="1" applyAlignment="1">
      <alignment vertical="center"/>
    </xf>
    <xf numFmtId="0" fontId="20" fillId="0" borderId="53" xfId="0" applyFont="1" applyBorder="1" applyAlignment="1">
      <alignment vertical="center"/>
    </xf>
    <xf numFmtId="0" fontId="20" fillId="0" borderId="54" xfId="0" applyFont="1" applyBorder="1" applyAlignment="1">
      <alignment vertical="center"/>
    </xf>
    <xf numFmtId="0" fontId="4" fillId="0" borderId="0" xfId="0" applyFont="1" applyAlignment="1"/>
    <xf numFmtId="0" fontId="20" fillId="4" borderId="5" xfId="0" applyFont="1" applyFill="1" applyBorder="1" applyAlignment="1">
      <alignment horizontal="left" vertical="top"/>
    </xf>
    <xf numFmtId="0" fontId="20" fillId="4" borderId="10" xfId="0" applyFont="1" applyFill="1" applyBorder="1" applyAlignment="1">
      <alignment horizontal="left" vertical="top"/>
    </xf>
    <xf numFmtId="0" fontId="20" fillId="4" borderId="15" xfId="0" applyFont="1" applyFill="1" applyBorder="1" applyAlignment="1">
      <alignment horizontal="left" vertical="top"/>
    </xf>
    <xf numFmtId="0" fontId="20" fillId="0" borderId="0" xfId="13" applyFont="1" applyFill="1" applyAlignment="1">
      <alignment horizontal="left"/>
    </xf>
    <xf numFmtId="168" fontId="20" fillId="0" borderId="0" xfId="0" applyNumberFormat="1" applyFont="1" applyFill="1" applyAlignment="1">
      <alignment horizontal="left"/>
    </xf>
    <xf numFmtId="182" fontId="20" fillId="0" borderId="0" xfId="1" applyNumberFormat="1" applyFont="1" applyFill="1" applyBorder="1" applyAlignment="1">
      <alignment horizontal="center"/>
    </xf>
    <xf numFmtId="194" fontId="20" fillId="0" borderId="0" xfId="0" applyNumberFormat="1" applyFont="1" applyFill="1" applyAlignment="1">
      <alignment horizontal="center"/>
    </xf>
    <xf numFmtId="43" fontId="20" fillId="0" borderId="0" xfId="0" applyNumberFormat="1" applyFont="1" applyFill="1" applyAlignment="1">
      <alignment horizontal="center"/>
    </xf>
    <xf numFmtId="195" fontId="20" fillId="0" borderId="0" xfId="0" applyNumberFormat="1" applyFont="1" applyFill="1" applyAlignment="1">
      <alignment horizontal="center"/>
    </xf>
    <xf numFmtId="184" fontId="20" fillId="0" borderId="0" xfId="0" applyNumberFormat="1" applyFont="1" applyFill="1" applyAlignment="1">
      <alignment horizontal="center"/>
    </xf>
    <xf numFmtId="196" fontId="20" fillId="0" borderId="0" xfId="0" applyNumberFormat="1" applyFont="1" applyFill="1"/>
    <xf numFmtId="0" fontId="1" fillId="0" borderId="0" xfId="0" applyFont="1" applyFill="1"/>
    <xf numFmtId="7" fontId="20" fillId="0" borderId="0" xfId="0" applyNumberFormat="1" applyFont="1" applyFill="1"/>
    <xf numFmtId="0" fontId="20" fillId="0" borderId="0" xfId="0" applyFont="1" applyFill="1" applyAlignment="1">
      <alignment horizontal="left"/>
    </xf>
    <xf numFmtId="0" fontId="20" fillId="0" borderId="0" xfId="0" applyFont="1" applyFill="1" applyAlignment="1">
      <alignment horizontal="center"/>
    </xf>
    <xf numFmtId="0" fontId="4" fillId="0" borderId="0" xfId="0" applyFont="1" applyFill="1" applyAlignment="1">
      <alignment horizontal="left"/>
    </xf>
    <xf numFmtId="9" fontId="20" fillId="0" borderId="19" xfId="3" applyFont="1" applyFill="1" applyBorder="1" applyAlignment="1">
      <alignment horizontal="center" vertical="center"/>
    </xf>
    <xf numFmtId="182" fontId="20" fillId="4" borderId="19" xfId="1" applyNumberFormat="1" applyFont="1" applyFill="1" applyBorder="1" applyAlignment="1">
      <alignment horizontal="center"/>
    </xf>
    <xf numFmtId="182" fontId="20" fillId="4" borderId="23" xfId="1" applyNumberFormat="1" applyFont="1" applyFill="1" applyBorder="1" applyAlignment="1">
      <alignment horizontal="center"/>
    </xf>
    <xf numFmtId="0" fontId="4" fillId="0" borderId="53" xfId="0" applyFont="1" applyBorder="1" applyAlignment="1">
      <alignment vertical="center"/>
    </xf>
    <xf numFmtId="165" fontId="20" fillId="0" borderId="4" xfId="0" applyNumberFormat="1" applyFont="1" applyFill="1" applyBorder="1" applyAlignment="1">
      <alignment horizontal="left" vertical="top" wrapText="1"/>
    </xf>
    <xf numFmtId="2" fontId="20" fillId="0" borderId="9" xfId="0" applyNumberFormat="1" applyFont="1" applyFill="1" applyBorder="1" applyAlignment="1">
      <alignment horizontal="left" vertical="top" wrapText="1"/>
    </xf>
    <xf numFmtId="0" fontId="20" fillId="0" borderId="19" xfId="0" applyFont="1" applyFill="1" applyBorder="1" applyAlignment="1">
      <alignment horizontal="left" vertical="top" wrapText="1"/>
    </xf>
    <xf numFmtId="2" fontId="4" fillId="0" borderId="9" xfId="0" applyNumberFormat="1" applyFont="1" applyFill="1" applyBorder="1" applyAlignment="1">
      <alignment horizontal="left" vertical="top" wrapText="1"/>
    </xf>
    <xf numFmtId="0" fontId="20" fillId="0" borderId="9" xfId="0" applyFont="1" applyBorder="1"/>
    <xf numFmtId="0" fontId="20" fillId="4" borderId="23" xfId="0" applyFont="1" applyFill="1" applyBorder="1" applyAlignment="1">
      <alignment horizontal="left" vertical="center" wrapText="1"/>
    </xf>
    <xf numFmtId="0" fontId="20" fillId="4" borderId="9" xfId="0" applyFont="1" applyFill="1" applyBorder="1" applyAlignment="1">
      <alignment horizontal="center" vertical="center" wrapText="1"/>
    </xf>
    <xf numFmtId="0" fontId="20" fillId="0" borderId="9" xfId="0" applyFont="1" applyBorder="1" applyAlignment="1">
      <alignment horizontal="center" vertical="center" wrapText="1"/>
    </xf>
    <xf numFmtId="10" fontId="4" fillId="4" borderId="14" xfId="7" applyNumberFormat="1" applyFont="1" applyFill="1" applyBorder="1" applyAlignment="1">
      <alignment horizontal="center" vertical="center" wrapText="1"/>
    </xf>
    <xf numFmtId="0" fontId="20" fillId="0" borderId="0" xfId="8" applyFont="1" applyFill="1" applyAlignment="1">
      <alignment horizontal="center"/>
    </xf>
    <xf numFmtId="168" fontId="20" fillId="0" borderId="0" xfId="0" applyNumberFormat="1" applyFont="1" applyFill="1" applyAlignment="1">
      <alignment horizontal="center"/>
    </xf>
    <xf numFmtId="0" fontId="20" fillId="0" borderId="0" xfId="6" applyFont="1" applyFill="1" applyAlignment="1">
      <alignment horizontal="left"/>
    </xf>
    <xf numFmtId="180" fontId="40" fillId="0" borderId="0" xfId="6" applyNumberFormat="1" applyFont="1" applyFill="1"/>
    <xf numFmtId="0" fontId="20" fillId="0" borderId="0" xfId="6" applyFont="1" applyFill="1"/>
    <xf numFmtId="0" fontId="20" fillId="0" borderId="0" xfId="6" applyFont="1" applyFill="1" applyAlignment="1">
      <alignment horizontal="left" vertical="center" wrapText="1"/>
    </xf>
    <xf numFmtId="0" fontId="49" fillId="0" borderId="0" xfId="0" applyFont="1" applyFill="1" applyAlignment="1">
      <alignment horizontal="left" vertical="center"/>
    </xf>
    <xf numFmtId="0" fontId="20" fillId="4" borderId="19" xfId="13" applyFont="1" applyFill="1" applyBorder="1" applyAlignment="1">
      <alignment horizontal="left"/>
    </xf>
    <xf numFmtId="0" fontId="20" fillId="4" borderId="23" xfId="13" applyFont="1" applyFill="1" applyBorder="1" applyAlignment="1">
      <alignment horizontal="left"/>
    </xf>
    <xf numFmtId="193" fontId="20" fillId="4" borderId="9" xfId="0" applyNumberFormat="1" applyFont="1" applyFill="1" applyBorder="1" applyAlignment="1">
      <alignment horizontal="center"/>
    </xf>
    <xf numFmtId="0" fontId="20" fillId="0" borderId="0" xfId="8" applyFont="1" applyFill="1" applyAlignment="1">
      <alignment horizontal="left"/>
    </xf>
    <xf numFmtId="39" fontId="20" fillId="0" borderId="0" xfId="1" applyNumberFormat="1" applyFont="1" applyFill="1" applyAlignment="1">
      <alignment horizontal="center"/>
    </xf>
    <xf numFmtId="0" fontId="20" fillId="0" borderId="0" xfId="8" applyFont="1" applyFill="1"/>
    <xf numFmtId="0" fontId="20" fillId="0" borderId="41" xfId="8" applyFont="1" applyFill="1" applyBorder="1" applyAlignment="1">
      <alignment horizontal="center"/>
    </xf>
    <xf numFmtId="0" fontId="20" fillId="0" borderId="39" xfId="8" applyFont="1" applyFill="1" applyBorder="1" applyAlignment="1">
      <alignment horizontal="center"/>
    </xf>
    <xf numFmtId="0" fontId="20" fillId="0" borderId="42" xfId="8" applyFont="1" applyFill="1" applyBorder="1" applyAlignment="1">
      <alignment horizontal="center"/>
    </xf>
    <xf numFmtId="0" fontId="20" fillId="0" borderId="0" xfId="8" applyFont="1" applyFill="1" applyAlignment="1">
      <alignment vertical="center" wrapText="1"/>
    </xf>
    <xf numFmtId="0" fontId="25" fillId="0" borderId="9" xfId="8" applyFont="1" applyBorder="1" applyAlignment="1"/>
    <xf numFmtId="0" fontId="25" fillId="0" borderId="0" xfId="8" applyFont="1" applyFill="1" applyAlignment="1">
      <alignment horizontal="left" wrapText="1"/>
    </xf>
    <xf numFmtId="178" fontId="20" fillId="0" borderId="0" xfId="2" applyNumberFormat="1" applyFont="1" applyFill="1" applyBorder="1" applyAlignment="1">
      <alignment horizontal="center"/>
    </xf>
    <xf numFmtId="0" fontId="25" fillId="0" borderId="0" xfId="8" applyFont="1" applyFill="1"/>
    <xf numFmtId="0" fontId="25" fillId="0" borderId="0" xfId="8" applyFont="1" applyFill="1" applyAlignment="1">
      <alignment horizontal="center"/>
    </xf>
    <xf numFmtId="0" fontId="25" fillId="0" borderId="0" xfId="8" applyFont="1" applyFill="1" applyAlignment="1">
      <alignment horizontal="left"/>
    </xf>
    <xf numFmtId="0" fontId="20" fillId="4" borderId="9" xfId="0" applyFont="1" applyFill="1" applyBorder="1" applyAlignment="1">
      <alignment horizontal="left" wrapText="1"/>
    </xf>
    <xf numFmtId="171" fontId="20" fillId="4" borderId="9" xfId="3" applyNumberFormat="1" applyFont="1" applyFill="1" applyBorder="1" applyAlignment="1">
      <alignment horizontal="center"/>
    </xf>
    <xf numFmtId="0" fontId="48" fillId="0" borderId="0" xfId="0" applyFont="1" applyFill="1"/>
    <xf numFmtId="0" fontId="20" fillId="0" borderId="0" xfId="0" applyFont="1" applyFill="1" applyAlignment="1">
      <alignment horizontal="left" wrapText="1"/>
    </xf>
    <xf numFmtId="0" fontId="20" fillId="0" borderId="0" xfId="0" applyFont="1" applyFill="1" applyAlignment="1">
      <alignment wrapText="1"/>
    </xf>
    <xf numFmtId="39" fontId="25" fillId="0" borderId="0" xfId="1" applyNumberFormat="1" applyFont="1" applyFill="1" applyAlignment="1">
      <alignment horizontal="center" wrapText="1"/>
    </xf>
    <xf numFmtId="166" fontId="25" fillId="0" borderId="0" xfId="8" applyNumberFormat="1" applyFont="1" applyFill="1"/>
    <xf numFmtId="178" fontId="25" fillId="0" borderId="0" xfId="8" applyNumberFormat="1" applyFont="1" applyFill="1"/>
    <xf numFmtId="0" fontId="24" fillId="0" borderId="0" xfId="8" applyFill="1"/>
    <xf numFmtId="0" fontId="25" fillId="0" borderId="65" xfId="8" applyFont="1" applyFill="1" applyBorder="1" applyAlignment="1">
      <alignment horizontal="left"/>
    </xf>
    <xf numFmtId="0" fontId="25" fillId="0" borderId="65" xfId="8" applyFont="1" applyFill="1" applyBorder="1"/>
    <xf numFmtId="0" fontId="25" fillId="0" borderId="68" xfId="8" applyFont="1" applyFill="1" applyBorder="1" applyAlignment="1">
      <alignment horizontal="left"/>
    </xf>
    <xf numFmtId="0" fontId="25" fillId="0" borderId="68" xfId="8" applyFont="1" applyFill="1" applyBorder="1"/>
    <xf numFmtId="0" fontId="25" fillId="0" borderId="0" xfId="8" applyFont="1" applyFill="1" applyBorder="1" applyAlignment="1">
      <alignment horizontal="center"/>
    </xf>
    <xf numFmtId="0" fontId="25" fillId="0" borderId="0" xfId="8" applyFont="1" applyFill="1" applyBorder="1" applyAlignment="1">
      <alignment horizontal="left"/>
    </xf>
    <xf numFmtId="1" fontId="25" fillId="0" borderId="0" xfId="8" applyNumberFormat="1" applyFont="1" applyFill="1" applyBorder="1"/>
    <xf numFmtId="166" fontId="25" fillId="0" borderId="0" xfId="8" applyNumberFormat="1" applyFont="1" applyFill="1" applyBorder="1"/>
    <xf numFmtId="178" fontId="25" fillId="0" borderId="0" xfId="8" applyNumberFormat="1" applyFont="1" applyFill="1" applyBorder="1"/>
    <xf numFmtId="0" fontId="25" fillId="0" borderId="0" xfId="8" applyFont="1" applyFill="1" applyBorder="1"/>
    <xf numFmtId="0" fontId="20" fillId="0" borderId="0" xfId="13" applyFont="1" applyFill="1" applyBorder="1" applyAlignment="1">
      <alignment horizontal="left"/>
    </xf>
    <xf numFmtId="0" fontId="24" fillId="0" borderId="0" xfId="8" applyFill="1" applyBorder="1"/>
    <xf numFmtId="171" fontId="4" fillId="0" borderId="9" xfId="13" applyNumberFormat="1" applyFont="1" applyBorder="1" applyAlignment="1">
      <alignment horizontal="center" vertical="center" wrapText="1"/>
    </xf>
    <xf numFmtId="39" fontId="25" fillId="0" borderId="0" xfId="1" applyNumberFormat="1" applyFont="1" applyFill="1" applyAlignment="1">
      <alignment horizontal="center"/>
    </xf>
    <xf numFmtId="0" fontId="20" fillId="0" borderId="0" xfId="8" applyFont="1" applyFill="1" applyBorder="1" applyAlignment="1">
      <alignment horizontal="left" vertical="center" wrapText="1"/>
    </xf>
    <xf numFmtId="0" fontId="20" fillId="0" borderId="0" xfId="8" applyFont="1" applyFill="1" applyBorder="1" applyAlignment="1">
      <alignment vertical="center" wrapText="1"/>
    </xf>
    <xf numFmtId="0" fontId="25" fillId="0" borderId="0" xfId="8" applyFont="1" applyFill="1" applyBorder="1" applyAlignment="1">
      <alignment horizontal="center" vertical="center"/>
    </xf>
    <xf numFmtId="0" fontId="79" fillId="0" borderId="0" xfId="8" applyFont="1" applyFill="1" applyBorder="1"/>
    <xf numFmtId="0" fontId="20" fillId="0" borderId="18" xfId="8" applyFont="1" applyBorder="1" applyAlignment="1">
      <alignment horizontal="center"/>
    </xf>
    <xf numFmtId="0" fontId="25" fillId="0" borderId="0" xfId="8" applyFont="1" applyBorder="1"/>
    <xf numFmtId="172" fontId="20" fillId="0" borderId="9" xfId="3" applyNumberFormat="1" applyFont="1" applyFill="1" applyBorder="1" applyAlignment="1">
      <alignment horizontal="center" wrapText="1"/>
    </xf>
    <xf numFmtId="39" fontId="20" fillId="0" borderId="0" xfId="1" applyNumberFormat="1" applyFont="1" applyFill="1" applyBorder="1" applyAlignment="1">
      <alignment horizontal="center" wrapText="1"/>
    </xf>
    <xf numFmtId="166" fontId="20" fillId="0" borderId="0" xfId="8" applyNumberFormat="1" applyFont="1" applyFill="1"/>
    <xf numFmtId="178" fontId="20" fillId="0" borderId="0" xfId="8" applyNumberFormat="1" applyFont="1" applyFill="1"/>
    <xf numFmtId="39" fontId="20" fillId="0" borderId="0" xfId="1" applyNumberFormat="1" applyFont="1" applyFill="1" applyAlignment="1">
      <alignment horizontal="center" wrapText="1"/>
    </xf>
    <xf numFmtId="0" fontId="20" fillId="0" borderId="64" xfId="8" applyFont="1" applyFill="1" applyBorder="1" applyAlignment="1">
      <alignment horizontal="left"/>
    </xf>
    <xf numFmtId="0" fontId="20" fillId="0" borderId="65" xfId="8" applyFont="1" applyFill="1" applyBorder="1" applyAlignment="1">
      <alignment horizontal="left"/>
    </xf>
    <xf numFmtId="0" fontId="20" fillId="0" borderId="65" xfId="8" applyFont="1" applyFill="1" applyBorder="1"/>
    <xf numFmtId="0" fontId="20" fillId="0" borderId="68" xfId="8" applyFont="1" applyFill="1" applyBorder="1" applyAlignment="1">
      <alignment horizontal="left"/>
    </xf>
    <xf numFmtId="0" fontId="20" fillId="0" borderId="68" xfId="8" applyFont="1" applyFill="1" applyBorder="1"/>
    <xf numFmtId="0" fontId="20" fillId="0" borderId="23" xfId="8" applyFont="1" applyBorder="1" applyAlignment="1">
      <alignment wrapText="1"/>
    </xf>
    <xf numFmtId="0" fontId="20" fillId="0" borderId="4" xfId="8" applyFont="1" applyBorder="1" applyAlignment="1">
      <alignment horizontal="left"/>
    </xf>
    <xf numFmtId="0" fontId="20" fillId="0" borderId="4" xfId="8" applyFont="1" applyBorder="1" applyAlignment="1">
      <alignment wrapText="1"/>
    </xf>
    <xf numFmtId="0" fontId="20" fillId="0" borderId="5" xfId="8" applyFont="1" applyBorder="1"/>
    <xf numFmtId="0" fontId="20" fillId="0" borderId="10" xfId="8" applyFont="1" applyBorder="1"/>
    <xf numFmtId="0" fontId="20" fillId="0" borderId="14" xfId="8" applyFont="1" applyBorder="1" applyAlignment="1">
      <alignment wrapText="1"/>
    </xf>
    <xf numFmtId="0" fontId="20" fillId="0" borderId="15" xfId="8" applyFont="1" applyBorder="1"/>
    <xf numFmtId="1" fontId="20" fillId="0" borderId="4" xfId="3" applyNumberFormat="1" applyFont="1" applyBorder="1" applyAlignment="1">
      <alignment horizontal="center"/>
    </xf>
    <xf numFmtId="1" fontId="20" fillId="0" borderId="14" xfId="3" applyNumberFormat="1" applyFont="1" applyBorder="1" applyAlignment="1">
      <alignment horizontal="center"/>
    </xf>
    <xf numFmtId="165" fontId="48" fillId="0" borderId="89" xfId="8" applyNumberFormat="1" applyFont="1" applyBorder="1" applyAlignment="1">
      <alignment horizontal="left" vertical="center"/>
    </xf>
    <xf numFmtId="0" fontId="20" fillId="0" borderId="48" xfId="8" applyFont="1" applyBorder="1" applyAlignment="1">
      <alignment horizontal="left"/>
    </xf>
    <xf numFmtId="165" fontId="20" fillId="0" borderId="48" xfId="3" applyNumberFormat="1" applyFont="1" applyFill="1" applyBorder="1" applyAlignment="1">
      <alignment horizontal="center"/>
    </xf>
    <xf numFmtId="0" fontId="20" fillId="0" borderId="75" xfId="8" applyFont="1" applyBorder="1"/>
    <xf numFmtId="0" fontId="48" fillId="0" borderId="89" xfId="8" applyFont="1" applyBorder="1" applyAlignment="1">
      <alignment horizontal="left" vertical="center"/>
    </xf>
    <xf numFmtId="9" fontId="20" fillId="0" borderId="48" xfId="3" applyFont="1" applyBorder="1" applyAlignment="1">
      <alignment horizontal="center"/>
    </xf>
    <xf numFmtId="1" fontId="20" fillId="0" borderId="48" xfId="3" applyNumberFormat="1" applyFont="1" applyBorder="1" applyAlignment="1">
      <alignment horizontal="center"/>
    </xf>
    <xf numFmtId="10" fontId="20" fillId="0" borderId="48" xfId="3" applyNumberFormat="1" applyFont="1" applyBorder="1" applyAlignment="1">
      <alignment horizontal="center"/>
    </xf>
    <xf numFmtId="2" fontId="20" fillId="0" borderId="4" xfId="3" applyNumberFormat="1" applyFont="1" applyBorder="1" applyAlignment="1">
      <alignment horizontal="center"/>
    </xf>
    <xf numFmtId="2" fontId="20" fillId="0" borderId="14" xfId="3" applyNumberFormat="1" applyFont="1" applyBorder="1" applyAlignment="1">
      <alignment horizontal="center"/>
    </xf>
    <xf numFmtId="10" fontId="20" fillId="0" borderId="14" xfId="3" applyNumberFormat="1" applyFont="1" applyBorder="1" applyAlignment="1">
      <alignment horizontal="center"/>
    </xf>
    <xf numFmtId="0" fontId="20" fillId="0" borderId="45" xfId="8" applyFont="1" applyBorder="1"/>
    <xf numFmtId="165" fontId="20" fillId="0" borderId="89" xfId="13" applyNumberFormat="1" applyFont="1" applyBorder="1" applyAlignment="1">
      <alignment horizontal="left" vertical="center" wrapText="1"/>
    </xf>
    <xf numFmtId="165" fontId="20" fillId="0" borderId="48" xfId="13" applyNumberFormat="1" applyFont="1" applyBorder="1" applyAlignment="1">
      <alignment horizontal="left" vertical="center" wrapText="1"/>
    </xf>
    <xf numFmtId="180" fontId="20" fillId="0" borderId="48" xfId="8" applyNumberFormat="1" applyFont="1" applyBorder="1" applyAlignment="1">
      <alignment horizontal="center"/>
    </xf>
    <xf numFmtId="180" fontId="20" fillId="0" borderId="4" xfId="8" applyNumberFormat="1" applyFont="1" applyBorder="1" applyAlignment="1">
      <alignment horizontal="center"/>
    </xf>
    <xf numFmtId="180" fontId="20" fillId="0" borderId="14" xfId="8" applyNumberFormat="1" applyFont="1" applyBorder="1" applyAlignment="1">
      <alignment horizontal="center"/>
    </xf>
    <xf numFmtId="0" fontId="20" fillId="0" borderId="89" xfId="0" applyFont="1" applyBorder="1" applyAlignment="1">
      <alignment horizontal="left" vertical="center"/>
    </xf>
    <xf numFmtId="180" fontId="20" fillId="4" borderId="48" xfId="8" applyNumberFormat="1" applyFont="1" applyFill="1" applyBorder="1" applyAlignment="1">
      <alignment horizontal="center"/>
    </xf>
    <xf numFmtId="0" fontId="20" fillId="4" borderId="75" xfId="8" applyFont="1" applyFill="1" applyBorder="1"/>
    <xf numFmtId="10" fontId="20" fillId="4" borderId="48" xfId="3" applyNumberFormat="1" applyFont="1" applyFill="1" applyBorder="1" applyAlignment="1">
      <alignment horizontal="center"/>
    </xf>
    <xf numFmtId="180" fontId="20" fillId="4" borderId="4" xfId="8" applyNumberFormat="1" applyFont="1" applyFill="1" applyBorder="1" applyAlignment="1">
      <alignment horizontal="center"/>
    </xf>
    <xf numFmtId="180" fontId="20" fillId="4" borderId="14" xfId="8" applyNumberFormat="1" applyFont="1" applyFill="1" applyBorder="1" applyAlignment="1">
      <alignment horizontal="center"/>
    </xf>
    <xf numFmtId="1" fontId="20" fillId="0" borderId="4" xfId="3" applyNumberFormat="1" applyFont="1" applyFill="1" applyBorder="1" applyAlignment="1">
      <alignment horizontal="center"/>
    </xf>
    <xf numFmtId="1" fontId="20" fillId="0" borderId="14" xfId="3" applyNumberFormat="1" applyFont="1" applyFill="1" applyBorder="1" applyAlignment="1">
      <alignment horizontal="center"/>
    </xf>
    <xf numFmtId="171" fontId="20" fillId="0" borderId="14" xfId="13" applyNumberFormat="1" applyFont="1" applyBorder="1" applyAlignment="1">
      <alignment horizontal="center"/>
    </xf>
    <xf numFmtId="0" fontId="20" fillId="0" borderId="14" xfId="13" applyFont="1" applyBorder="1" applyAlignment="1">
      <alignment wrapText="1"/>
    </xf>
    <xf numFmtId="165" fontId="20" fillId="0" borderId="35" xfId="13" applyNumberFormat="1" applyFont="1" applyBorder="1" applyAlignment="1">
      <alignment horizontal="center" vertical="center" wrapText="1"/>
    </xf>
    <xf numFmtId="1" fontId="20" fillId="0" borderId="35" xfId="13" applyNumberFormat="1" applyFont="1" applyBorder="1" applyAlignment="1">
      <alignment horizontal="center" vertical="center" wrapText="1"/>
    </xf>
    <xf numFmtId="1" fontId="20" fillId="0" borderId="13" xfId="13" applyNumberFormat="1" applyFont="1" applyBorder="1" applyAlignment="1">
      <alignment horizontal="left" vertical="center" wrapText="1"/>
    </xf>
    <xf numFmtId="0" fontId="20" fillId="0" borderId="14" xfId="8" applyFont="1" applyBorder="1" applyAlignment="1">
      <alignment horizontal="left" wrapText="1"/>
    </xf>
    <xf numFmtId="165" fontId="20" fillId="0" borderId="13" xfId="13" applyNumberFormat="1" applyFont="1" applyBorder="1" applyAlignment="1">
      <alignment horizontal="left" vertical="center" wrapText="1"/>
    </xf>
    <xf numFmtId="165" fontId="20" fillId="0" borderId="14" xfId="6" applyNumberFormat="1" applyFont="1" applyBorder="1"/>
    <xf numFmtId="2" fontId="20" fillId="4" borderId="33" xfId="0" applyNumberFormat="1" applyFont="1" applyFill="1" applyBorder="1" applyAlignment="1">
      <alignment horizontal="left" vertical="top" wrapText="1"/>
    </xf>
    <xf numFmtId="37" fontId="4" fillId="4" borderId="9" xfId="0" applyNumberFormat="1" applyFont="1" applyFill="1" applyBorder="1" applyAlignment="1">
      <alignment horizontal="center" vertical="center" wrapText="1"/>
    </xf>
    <xf numFmtId="1" fontId="4" fillId="4" borderId="9" xfId="0" applyNumberFormat="1" applyFont="1" applyFill="1" applyBorder="1" applyAlignment="1">
      <alignment horizontal="center" vertical="center" wrapText="1"/>
    </xf>
    <xf numFmtId="1" fontId="4" fillId="0" borderId="35" xfId="13" applyNumberFormat="1" applyFont="1" applyBorder="1" applyAlignment="1">
      <alignment horizontal="center" vertical="center" wrapText="1"/>
    </xf>
    <xf numFmtId="0" fontId="20" fillId="17" borderId="17" xfId="0" applyFont="1" applyFill="1" applyBorder="1" applyAlignment="1">
      <alignment horizontal="left"/>
    </xf>
    <xf numFmtId="0" fontId="4" fillId="4" borderId="9" xfId="6" applyFont="1" applyFill="1" applyBorder="1" applyAlignment="1">
      <alignment horizontal="left"/>
    </xf>
    <xf numFmtId="0" fontId="26" fillId="4" borderId="19" xfId="8" applyFont="1" applyFill="1" applyBorder="1" applyAlignment="1">
      <alignment horizontal="left"/>
    </xf>
    <xf numFmtId="4" fontId="26" fillId="4" borderId="9" xfId="8" applyNumberFormat="1" applyFont="1" applyFill="1" applyBorder="1" applyAlignment="1">
      <alignment horizontal="center"/>
    </xf>
    <xf numFmtId="169" fontId="26" fillId="4" borderId="9" xfId="2" applyNumberFormat="1" applyFont="1" applyFill="1" applyBorder="1" applyAlignment="1">
      <alignment horizontal="center"/>
    </xf>
    <xf numFmtId="165" fontId="26" fillId="4" borderId="9" xfId="8" applyNumberFormat="1" applyFont="1" applyFill="1" applyBorder="1" applyAlignment="1">
      <alignment horizontal="center"/>
    </xf>
    <xf numFmtId="171" fontId="4" fillId="4" borderId="9" xfId="6" applyNumberFormat="1" applyFont="1" applyFill="1" applyBorder="1" applyAlignment="1">
      <alignment horizontal="center"/>
    </xf>
    <xf numFmtId="0" fontId="21" fillId="4" borderId="9" xfId="6" applyFont="1" applyFill="1" applyBorder="1" applyAlignment="1">
      <alignment horizontal="center"/>
    </xf>
    <xf numFmtId="0" fontId="26" fillId="4" borderId="23" xfId="8" applyFont="1" applyFill="1" applyBorder="1" applyAlignment="1">
      <alignment horizontal="left"/>
    </xf>
    <xf numFmtId="10" fontId="26" fillId="4" borderId="9" xfId="3" applyNumberFormat="1" applyFont="1" applyFill="1" applyBorder="1" applyAlignment="1">
      <alignment horizontal="center"/>
    </xf>
    <xf numFmtId="37" fontId="26" fillId="4" borderId="9" xfId="1" applyNumberFormat="1" applyFont="1" applyFill="1" applyBorder="1" applyAlignment="1">
      <alignment horizontal="center"/>
    </xf>
    <xf numFmtId="9" fontId="26" fillId="4" borderId="9" xfId="3" applyNumberFormat="1" applyFont="1" applyFill="1" applyBorder="1" applyAlignment="1">
      <alignment horizontal="center"/>
    </xf>
    <xf numFmtId="0" fontId="26" fillId="0" borderId="4" xfId="8" applyFont="1" applyBorder="1" applyAlignment="1">
      <alignment horizontal="left"/>
    </xf>
    <xf numFmtId="1" fontId="26" fillId="4" borderId="4" xfId="3" applyNumberFormat="1" applyFont="1" applyFill="1" applyBorder="1" applyAlignment="1">
      <alignment horizontal="center"/>
    </xf>
    <xf numFmtId="0" fontId="26" fillId="0" borderId="14" xfId="8" applyFont="1" applyBorder="1" applyAlignment="1">
      <alignment horizontal="left"/>
    </xf>
    <xf numFmtId="1" fontId="26" fillId="4" borderId="14" xfId="3" applyNumberFormat="1" applyFont="1" applyFill="1" applyBorder="1" applyAlignment="1">
      <alignment horizontal="center"/>
    </xf>
    <xf numFmtId="9" fontId="26" fillId="4" borderId="4" xfId="3" applyFont="1" applyFill="1" applyBorder="1" applyAlignment="1">
      <alignment horizontal="center"/>
    </xf>
    <xf numFmtId="0" fontId="26" fillId="4" borderId="5" xfId="8" applyFont="1" applyFill="1" applyBorder="1"/>
    <xf numFmtId="0" fontId="26" fillId="4" borderId="10" xfId="8" applyFont="1" applyFill="1" applyBorder="1"/>
    <xf numFmtId="9" fontId="26" fillId="4" borderId="14" xfId="3" applyNumberFormat="1" applyFont="1" applyFill="1" applyBorder="1" applyAlignment="1">
      <alignment horizontal="center"/>
    </xf>
    <xf numFmtId="0" fontId="26" fillId="4" borderId="15" xfId="8" applyFont="1" applyFill="1" applyBorder="1"/>
    <xf numFmtId="172" fontId="26" fillId="4" borderId="4" xfId="3" applyNumberFormat="1" applyFont="1" applyFill="1" applyBorder="1" applyAlignment="1">
      <alignment horizontal="center"/>
    </xf>
    <xf numFmtId="0" fontId="4" fillId="4" borderId="5" xfId="0" applyFont="1" applyFill="1" applyBorder="1" applyAlignment="1">
      <alignment horizontal="center" vertical="center" wrapText="1"/>
    </xf>
    <xf numFmtId="9" fontId="26" fillId="4" borderId="10" xfId="3" applyFont="1" applyFill="1" applyBorder="1" applyAlignment="1">
      <alignment horizontal="center"/>
    </xf>
    <xf numFmtId="172" fontId="26" fillId="4" borderId="14" xfId="3" applyNumberFormat="1" applyFont="1" applyFill="1" applyBorder="1" applyAlignment="1">
      <alignment horizontal="center"/>
    </xf>
    <xf numFmtId="9" fontId="26" fillId="4" borderId="15" xfId="3" applyFont="1" applyFill="1" applyBorder="1" applyAlignment="1">
      <alignment horizontal="center"/>
    </xf>
    <xf numFmtId="0" fontId="26" fillId="0" borderId="5" xfId="8" applyFont="1" applyBorder="1"/>
    <xf numFmtId="0" fontId="26" fillId="0" borderId="10" xfId="8" applyFont="1" applyBorder="1"/>
    <xf numFmtId="0" fontId="4" fillId="0" borderId="14" xfId="0" applyFont="1" applyBorder="1" applyAlignment="1">
      <alignment horizontal="left"/>
    </xf>
    <xf numFmtId="9" fontId="26" fillId="4" borderId="14" xfId="3" applyFont="1" applyFill="1" applyBorder="1" applyAlignment="1">
      <alignment horizontal="center"/>
    </xf>
    <xf numFmtId="0" fontId="96" fillId="0" borderId="89" xfId="8" applyFont="1" applyBorder="1" applyAlignment="1">
      <alignment horizontal="left" vertical="center"/>
    </xf>
    <xf numFmtId="0" fontId="26" fillId="0" borderId="48" xfId="8" applyFont="1" applyBorder="1" applyAlignment="1">
      <alignment horizontal="left"/>
    </xf>
    <xf numFmtId="172" fontId="26" fillId="4" borderId="48" xfId="3" applyNumberFormat="1" applyFont="1" applyFill="1" applyBorder="1" applyAlignment="1">
      <alignment horizontal="center"/>
    </xf>
    <xf numFmtId="0" fontId="26" fillId="4" borderId="75" xfId="8" applyFont="1" applyFill="1" applyBorder="1" applyAlignment="1">
      <alignment wrapText="1"/>
    </xf>
    <xf numFmtId="39" fontId="26" fillId="0" borderId="4" xfId="1" applyNumberFormat="1" applyFont="1" applyFill="1" applyBorder="1" applyAlignment="1">
      <alignment horizontal="center"/>
    </xf>
    <xf numFmtId="9" fontId="26" fillId="0" borderId="23" xfId="3" applyFont="1" applyFill="1" applyBorder="1" applyAlignment="1">
      <alignment horizontal="center"/>
    </xf>
    <xf numFmtId="0" fontId="26" fillId="0" borderId="45" xfId="8" applyFont="1" applyBorder="1"/>
    <xf numFmtId="39" fontId="26" fillId="0" borderId="19" xfId="1" applyNumberFormat="1" applyFont="1" applyFill="1" applyBorder="1" applyAlignment="1">
      <alignment horizontal="center"/>
    </xf>
    <xf numFmtId="0" fontId="26" fillId="0" borderId="46" xfId="8" applyFont="1" applyBorder="1"/>
    <xf numFmtId="0" fontId="26" fillId="0" borderId="48" xfId="8" applyFont="1" applyBorder="1" applyAlignment="1">
      <alignment horizontal="left" wrapText="1"/>
    </xf>
    <xf numFmtId="10" fontId="26" fillId="4" borderId="48" xfId="3" applyNumberFormat="1" applyFont="1" applyFill="1" applyBorder="1" applyAlignment="1">
      <alignment horizontal="center"/>
    </xf>
    <xf numFmtId="0" fontId="26" fillId="4" borderId="75" xfId="8" applyFont="1" applyFill="1" applyBorder="1"/>
    <xf numFmtId="37" fontId="26" fillId="4" borderId="48" xfId="1" applyNumberFormat="1" applyFont="1" applyFill="1" applyBorder="1" applyAlignment="1">
      <alignment horizontal="center"/>
    </xf>
    <xf numFmtId="0" fontId="96" fillId="0" borderId="89" xfId="8" applyFont="1" applyBorder="1" applyAlignment="1">
      <alignment horizontal="left"/>
    </xf>
    <xf numFmtId="165" fontId="96" fillId="0" borderId="89" xfId="8" applyNumberFormat="1" applyFont="1" applyBorder="1" applyAlignment="1">
      <alignment horizontal="left" vertical="center"/>
    </xf>
    <xf numFmtId="165" fontId="96" fillId="0" borderId="48" xfId="8" applyNumberFormat="1" applyFont="1" applyBorder="1" applyAlignment="1">
      <alignment horizontal="left" vertical="center"/>
    </xf>
    <xf numFmtId="0" fontId="26" fillId="4" borderId="75" xfId="8" applyFont="1" applyFill="1" applyBorder="1" applyAlignment="1">
      <alignment vertical="top"/>
    </xf>
    <xf numFmtId="1" fontId="26" fillId="4" borderId="48" xfId="3" applyNumberFormat="1" applyFont="1" applyFill="1" applyBorder="1" applyAlignment="1">
      <alignment horizontal="center"/>
    </xf>
    <xf numFmtId="171" fontId="4" fillId="4" borderId="48" xfId="6" applyNumberFormat="1" applyFont="1" applyFill="1" applyBorder="1" applyAlignment="1">
      <alignment horizontal="center"/>
    </xf>
    <xf numFmtId="0" fontId="25" fillId="4" borderId="19" xfId="8" applyFont="1" applyFill="1" applyBorder="1" applyAlignment="1">
      <alignment horizontal="left"/>
    </xf>
    <xf numFmtId="4" fontId="25" fillId="4" borderId="9" xfId="8" applyNumberFormat="1" applyFont="1" applyFill="1" applyBorder="1" applyAlignment="1">
      <alignment horizontal="center"/>
    </xf>
    <xf numFmtId="169" fontId="25" fillId="4" borderId="9" xfId="2" applyNumberFormat="1" applyFont="1" applyFill="1" applyBorder="1" applyAlignment="1">
      <alignment horizontal="center"/>
    </xf>
    <xf numFmtId="171" fontId="20" fillId="4" borderId="9" xfId="6" applyNumberFormat="1" applyFont="1" applyFill="1" applyBorder="1" applyAlignment="1">
      <alignment horizontal="center"/>
    </xf>
    <xf numFmtId="0" fontId="35" fillId="4" borderId="9" xfId="6" applyFont="1" applyFill="1" applyBorder="1" applyAlignment="1">
      <alignment horizontal="center"/>
    </xf>
    <xf numFmtId="4" fontId="25" fillId="0" borderId="9" xfId="8" applyNumberFormat="1" applyFont="1" applyFill="1" applyBorder="1" applyAlignment="1">
      <alignment horizontal="center"/>
    </xf>
    <xf numFmtId="0" fontId="20" fillId="4" borderId="19" xfId="0" applyFont="1" applyFill="1" applyBorder="1" applyAlignment="1">
      <alignment horizontal="left" vertical="center" wrapText="1"/>
    </xf>
    <xf numFmtId="0" fontId="20" fillId="4" borderId="23" xfId="0" applyFont="1" applyFill="1" applyBorder="1" applyAlignment="1">
      <alignment horizontal="left" vertical="center" wrapText="1"/>
    </xf>
    <xf numFmtId="0" fontId="20" fillId="4" borderId="30" xfId="0" applyFont="1" applyFill="1" applyBorder="1" applyAlignment="1">
      <alignment horizontal="left" vertical="center" wrapText="1"/>
    </xf>
    <xf numFmtId="0" fontId="20" fillId="4" borderId="9" xfId="8" applyFont="1" applyFill="1" applyBorder="1" applyAlignment="1">
      <alignment horizontal="left"/>
    </xf>
    <xf numFmtId="0" fontId="20" fillId="4" borderId="9" xfId="8" applyFont="1" applyFill="1" applyBorder="1" applyAlignment="1">
      <alignment horizontal="center"/>
    </xf>
    <xf numFmtId="0" fontId="20" fillId="0" borderId="0" xfId="0" applyFont="1"/>
    <xf numFmtId="0" fontId="20" fillId="4" borderId="9" xfId="0" applyFont="1" applyFill="1" applyBorder="1" applyAlignment="1">
      <alignment horizontal="center" vertical="center" wrapText="1"/>
    </xf>
    <xf numFmtId="0" fontId="4" fillId="0" borderId="9" xfId="5" applyFont="1" applyBorder="1" applyAlignment="1">
      <alignment horizontal="center"/>
    </xf>
    <xf numFmtId="0" fontId="20" fillId="0" borderId="0" xfId="8" applyFont="1" applyFill="1" applyAlignment="1">
      <alignment horizontal="left" vertical="center" wrapText="1"/>
    </xf>
    <xf numFmtId="10" fontId="20" fillId="0" borderId="9" xfId="0" applyNumberFormat="1" applyFont="1" applyBorder="1"/>
    <xf numFmtId="172" fontId="21" fillId="0" borderId="93" xfId="6" applyNumberFormat="1" applyFont="1" applyFill="1" applyBorder="1"/>
    <xf numFmtId="172" fontId="35" fillId="0" borderId="93" xfId="6" applyNumberFormat="1" applyFont="1" applyFill="1" applyBorder="1"/>
    <xf numFmtId="172" fontId="105" fillId="0" borderId="93" xfId="0" applyNumberFormat="1" applyFont="1" applyFill="1" applyBorder="1"/>
    <xf numFmtId="172" fontId="21" fillId="0" borderId="93" xfId="3" applyNumberFormat="1" applyFont="1" applyBorder="1"/>
    <xf numFmtId="180" fontId="4" fillId="7" borderId="9" xfId="0" applyNumberFormat="1" applyFont="1" applyFill="1" applyBorder="1" applyAlignment="1">
      <alignment horizontal="center"/>
    </xf>
    <xf numFmtId="44" fontId="4" fillId="0" borderId="21" xfId="2" applyFont="1" applyFill="1" applyBorder="1"/>
    <xf numFmtId="169" fontId="4" fillId="0" borderId="9" xfId="5" applyNumberFormat="1" applyFont="1" applyBorder="1" applyAlignment="1">
      <alignment horizontal="center"/>
    </xf>
    <xf numFmtId="0" fontId="66" fillId="0" borderId="9" xfId="0" applyFont="1" applyBorder="1" applyAlignment="1">
      <alignment horizontal="center" vertical="center" wrapText="1"/>
    </xf>
    <xf numFmtId="165" fontId="66" fillId="0" borderId="9" xfId="0" applyNumberFormat="1" applyFont="1" applyBorder="1" applyAlignment="1">
      <alignment horizontal="center" vertical="center" wrapText="1"/>
    </xf>
    <xf numFmtId="3" fontId="66" fillId="0" borderId="9" xfId="0" applyNumberFormat="1" applyFont="1" applyBorder="1" applyAlignment="1">
      <alignment horizontal="center" vertical="center" wrapText="1"/>
    </xf>
    <xf numFmtId="168" fontId="4" fillId="0" borderId="0" xfId="1" applyNumberFormat="1" applyFont="1"/>
    <xf numFmtId="43" fontId="4" fillId="0" borderId="0" xfId="1" applyFont="1" applyAlignment="1">
      <alignment horizontal="left"/>
    </xf>
    <xf numFmtId="199" fontId="4" fillId="0" borderId="9" xfId="0" applyNumberFormat="1" applyFont="1" applyBorder="1" applyAlignment="1">
      <alignment horizontal="center" vertical="center" wrapText="1"/>
    </xf>
    <xf numFmtId="0" fontId="106" fillId="0" borderId="0" xfId="0" applyFont="1" applyAlignment="1">
      <alignment horizontal="left"/>
    </xf>
    <xf numFmtId="0" fontId="20" fillId="4" borderId="19" xfId="8" applyFont="1" applyFill="1" applyBorder="1" applyAlignment="1">
      <alignment horizontal="left" wrapText="1"/>
    </xf>
    <xf numFmtId="0" fontId="20" fillId="4" borderId="23" xfId="8" applyFont="1" applyFill="1" applyBorder="1" applyAlignment="1">
      <alignment horizontal="left" wrapText="1"/>
    </xf>
    <xf numFmtId="0" fontId="26" fillId="0" borderId="4" xfId="8" applyFont="1" applyBorder="1" applyAlignment="1">
      <alignment horizontal="left" wrapText="1"/>
    </xf>
    <xf numFmtId="37" fontId="26" fillId="4" borderId="4" xfId="1" applyNumberFormat="1" applyFont="1" applyFill="1" applyBorder="1" applyAlignment="1">
      <alignment horizontal="center"/>
    </xf>
    <xf numFmtId="0" fontId="26" fillId="0" borderId="14" xfId="8" applyFont="1" applyBorder="1" applyAlignment="1">
      <alignment horizontal="left" wrapText="1"/>
    </xf>
    <xf numFmtId="37" fontId="26" fillId="4" borderId="14" xfId="1" applyNumberFormat="1" applyFont="1" applyFill="1" applyBorder="1" applyAlignment="1">
      <alignment horizontal="center"/>
    </xf>
    <xf numFmtId="7" fontId="4" fillId="0" borderId="9" xfId="0" applyNumberFormat="1" applyFont="1" applyBorder="1"/>
    <xf numFmtId="44" fontId="4" fillId="0" borderId="9" xfId="2" applyFont="1" applyFill="1" applyBorder="1"/>
    <xf numFmtId="2" fontId="4" fillId="8" borderId="9" xfId="1" applyNumberFormat="1" applyFont="1" applyFill="1" applyBorder="1"/>
    <xf numFmtId="44" fontId="4" fillId="8" borderId="9" xfId="1" applyNumberFormat="1" applyFont="1" applyFill="1" applyBorder="1" applyAlignment="1">
      <alignment horizontal="center" wrapText="1"/>
    </xf>
    <xf numFmtId="2" fontId="4" fillId="8" borderId="9" xfId="1" applyNumberFormat="1" applyFont="1" applyFill="1" applyBorder="1" applyAlignment="1">
      <alignment horizontal="center" wrapText="1"/>
    </xf>
    <xf numFmtId="2" fontId="4" fillId="8" borderId="19" xfId="1" applyNumberFormat="1" applyFont="1" applyFill="1" applyBorder="1"/>
    <xf numFmtId="2" fontId="4" fillId="8" borderId="19" xfId="1" applyNumberFormat="1" applyFont="1" applyFill="1" applyBorder="1" applyAlignment="1">
      <alignment horizontal="center" wrapText="1"/>
    </xf>
    <xf numFmtId="2" fontId="4" fillId="0" borderId="20" xfId="1" applyNumberFormat="1" applyFont="1" applyBorder="1"/>
    <xf numFmtId="7" fontId="4" fillId="0" borderId="27" xfId="0" applyNumberFormat="1" applyFont="1" applyBorder="1"/>
    <xf numFmtId="2" fontId="4" fillId="8" borderId="25" xfId="1" applyNumberFormat="1" applyFont="1" applyFill="1" applyBorder="1"/>
    <xf numFmtId="2" fontId="20" fillId="0" borderId="20" xfId="1" applyNumberFormat="1" applyFont="1" applyBorder="1"/>
    <xf numFmtId="44" fontId="20" fillId="0" borderId="20" xfId="0" applyNumberFormat="1" applyFont="1" applyBorder="1" applyAlignment="1">
      <alignment horizontal="center"/>
    </xf>
    <xf numFmtId="44" fontId="20" fillId="0" borderId="21" xfId="2" applyFont="1" applyFill="1" applyBorder="1"/>
    <xf numFmtId="2" fontId="20" fillId="8" borderId="25" xfId="1" applyNumberFormat="1" applyFont="1" applyFill="1" applyBorder="1"/>
    <xf numFmtId="44" fontId="20" fillId="0" borderId="25" xfId="0" applyNumberFormat="1" applyFont="1" applyBorder="1" applyAlignment="1">
      <alignment horizontal="center"/>
    </xf>
    <xf numFmtId="2" fontId="20" fillId="8" borderId="19" xfId="1" applyNumberFormat="1" applyFont="1" applyFill="1" applyBorder="1"/>
    <xf numFmtId="0" fontId="20" fillId="8" borderId="19" xfId="0" applyFont="1" applyFill="1" applyBorder="1"/>
    <xf numFmtId="44" fontId="20" fillId="8" borderId="19" xfId="0" applyNumberFormat="1" applyFont="1" applyFill="1" applyBorder="1" applyAlignment="1">
      <alignment horizontal="center" wrapText="1"/>
    </xf>
    <xf numFmtId="0" fontId="20" fillId="8" borderId="19" xfId="0" applyFont="1" applyFill="1" applyBorder="1" applyAlignment="1">
      <alignment horizontal="center" wrapText="1"/>
    </xf>
    <xf numFmtId="2" fontId="20" fillId="0" borderId="16" xfId="1" applyNumberFormat="1" applyFont="1" applyBorder="1"/>
    <xf numFmtId="44" fontId="20" fillId="0" borderId="16" xfId="0" applyNumberFormat="1" applyFont="1" applyBorder="1" applyAlignment="1">
      <alignment horizontal="center"/>
    </xf>
    <xf numFmtId="2" fontId="1" fillId="8" borderId="19" xfId="1" applyNumberFormat="1" applyFont="1" applyFill="1" applyBorder="1"/>
    <xf numFmtId="44" fontId="1" fillId="8" borderId="19" xfId="1" applyNumberFormat="1" applyFont="1" applyFill="1" applyBorder="1" applyAlignment="1">
      <alignment horizontal="center" wrapText="1"/>
    </xf>
    <xf numFmtId="2" fontId="1" fillId="8" borderId="19" xfId="1" applyNumberFormat="1" applyFont="1" applyFill="1" applyBorder="1" applyAlignment="1">
      <alignment horizontal="center" wrapText="1"/>
    </xf>
    <xf numFmtId="2" fontId="1" fillId="0" borderId="16" xfId="1" applyNumberFormat="1" applyFont="1" applyBorder="1"/>
    <xf numFmtId="44" fontId="1" fillId="0" borderId="17" xfId="0" applyNumberFormat="1" applyFont="1" applyBorder="1" applyAlignment="1">
      <alignment horizontal="center"/>
    </xf>
    <xf numFmtId="44" fontId="4" fillId="8" borderId="19" xfId="1" applyNumberFormat="1" applyFont="1" applyFill="1" applyBorder="1" applyAlignment="1">
      <alignment horizontal="center" wrapText="1"/>
    </xf>
    <xf numFmtId="2" fontId="4" fillId="0" borderId="19" xfId="1" applyNumberFormat="1" applyFont="1" applyBorder="1"/>
    <xf numFmtId="2" fontId="4" fillId="8" borderId="30" xfId="1" applyNumberFormat="1" applyFont="1" applyFill="1" applyBorder="1"/>
    <xf numFmtId="2" fontId="4" fillId="8" borderId="23" xfId="1" applyNumberFormat="1" applyFont="1" applyFill="1" applyBorder="1"/>
    <xf numFmtId="44" fontId="4" fillId="0" borderId="20" xfId="0" applyNumberFormat="1" applyFont="1" applyBorder="1" applyAlignment="1">
      <alignment horizontal="center"/>
    </xf>
    <xf numFmtId="37" fontId="4" fillId="7" borderId="9" xfId="1" applyNumberFormat="1" applyFont="1" applyFill="1" applyBorder="1" applyAlignment="1">
      <alignment horizontal="center"/>
    </xf>
    <xf numFmtId="169" fontId="4" fillId="0" borderId="9" xfId="0" applyNumberFormat="1" applyFont="1" applyBorder="1" applyAlignment="1">
      <alignment horizontal="center"/>
    </xf>
    <xf numFmtId="2" fontId="4" fillId="7" borderId="9" xfId="0" applyNumberFormat="1" applyFont="1" applyFill="1" applyBorder="1" applyAlignment="1">
      <alignment horizontal="center"/>
    </xf>
    <xf numFmtId="37" fontId="4" fillId="4" borderId="9" xfId="1" applyNumberFormat="1" applyFont="1" applyFill="1" applyBorder="1" applyAlignment="1">
      <alignment horizontal="center"/>
    </xf>
    <xf numFmtId="37" fontId="20" fillId="4" borderId="9" xfId="1" applyNumberFormat="1" applyFont="1" applyFill="1" applyBorder="1" applyAlignment="1">
      <alignment horizontal="center"/>
    </xf>
    <xf numFmtId="170" fontId="20" fillId="0" borderId="9" xfId="0" applyNumberFormat="1" applyFont="1" applyBorder="1" applyAlignment="1">
      <alignment horizontal="center"/>
    </xf>
    <xf numFmtId="0" fontId="4" fillId="15" borderId="9" xfId="5" applyFont="1" applyFill="1" applyBorder="1" applyAlignment="1">
      <alignment horizontal="center" vertical="center" wrapText="1"/>
    </xf>
    <xf numFmtId="0" fontId="4" fillId="4" borderId="9" xfId="5" applyFont="1" applyFill="1" applyBorder="1"/>
    <xf numFmtId="168" fontId="4" fillId="0" borderId="9" xfId="5" applyNumberFormat="1" applyFont="1" applyBorder="1" applyAlignment="1">
      <alignment horizontal="center"/>
    </xf>
    <xf numFmtId="168" fontId="4" fillId="0" borderId="9" xfId="5" applyNumberFormat="1" applyFont="1" applyBorder="1"/>
    <xf numFmtId="166" fontId="4" fillId="0" borderId="9" xfId="5" applyNumberFormat="1" applyFont="1" applyBorder="1" applyAlignment="1">
      <alignment horizontal="center"/>
    </xf>
    <xf numFmtId="171" fontId="4" fillId="7" borderId="9" xfId="5" applyNumberFormat="1" applyFont="1" applyFill="1" applyBorder="1" applyAlignment="1">
      <alignment horizontal="center"/>
    </xf>
    <xf numFmtId="165" fontId="4" fillId="4" borderId="9" xfId="6" applyNumberFormat="1" applyFont="1" applyFill="1" applyBorder="1" applyAlignment="1">
      <alignment horizontal="left" vertical="center" wrapText="1" indent="3"/>
    </xf>
    <xf numFmtId="39" fontId="4" fillId="0" borderId="9" xfId="0" applyNumberFormat="1" applyFont="1" applyFill="1" applyBorder="1"/>
    <xf numFmtId="9" fontId="4" fillId="7" borderId="9" xfId="3" applyFont="1" applyFill="1" applyBorder="1" applyAlignment="1">
      <alignment horizontal="center"/>
    </xf>
    <xf numFmtId="167" fontId="86" fillId="12" borderId="0" xfId="0" applyNumberFormat="1" applyFont="1" applyFill="1"/>
    <xf numFmtId="166" fontId="4" fillId="12" borderId="9" xfId="0" applyNumberFormat="1" applyFont="1" applyFill="1" applyBorder="1" applyAlignment="1">
      <alignment horizontal="center" vertical="center" wrapText="1"/>
    </xf>
    <xf numFmtId="2" fontId="4" fillId="0" borderId="20" xfId="1" applyNumberFormat="1" applyFont="1" applyBorder="1" applyAlignment="1">
      <alignment horizontal="center"/>
    </xf>
    <xf numFmtId="39" fontId="4" fillId="0" borderId="9" xfId="5" applyNumberFormat="1" applyFont="1" applyBorder="1" applyAlignment="1">
      <alignment horizontal="right"/>
    </xf>
    <xf numFmtId="0" fontId="4" fillId="0" borderId="9" xfId="0" applyFont="1" applyBorder="1" applyAlignment="1">
      <alignment horizontal="right"/>
    </xf>
    <xf numFmtId="2" fontId="4" fillId="0" borderId="9" xfId="0" applyNumberFormat="1" applyFont="1" applyBorder="1" applyAlignment="1">
      <alignment horizontal="right"/>
    </xf>
    <xf numFmtId="180" fontId="4" fillId="0" borderId="9" xfId="0" applyNumberFormat="1" applyFont="1" applyFill="1" applyBorder="1" applyAlignment="1">
      <alignment horizontal="center"/>
    </xf>
    <xf numFmtId="2" fontId="20" fillId="0" borderId="9" xfId="0" applyNumberFormat="1" applyFont="1" applyFill="1" applyBorder="1" applyAlignment="1">
      <alignment horizontal="center"/>
    </xf>
    <xf numFmtId="2" fontId="4" fillId="0" borderId="9" xfId="0" applyNumberFormat="1" applyFont="1" applyFill="1" applyBorder="1" applyAlignment="1">
      <alignment horizontal="center"/>
    </xf>
    <xf numFmtId="37" fontId="4" fillId="0" borderId="9" xfId="1" applyNumberFormat="1" applyFont="1" applyFill="1" applyBorder="1" applyAlignment="1">
      <alignment horizontal="center"/>
    </xf>
    <xf numFmtId="0" fontId="4" fillId="4" borderId="9" xfId="5" applyFont="1" applyFill="1" applyBorder="1" applyAlignment="1">
      <alignment horizontal="center"/>
    </xf>
    <xf numFmtId="0" fontId="86" fillId="12" borderId="0" xfId="0" applyFont="1" applyFill="1"/>
    <xf numFmtId="0" fontId="20" fillId="0" borderId="9" xfId="0" applyFont="1" applyBorder="1"/>
    <xf numFmtId="0" fontId="20" fillId="0" borderId="0" xfId="0" applyFont="1"/>
    <xf numFmtId="0" fontId="20" fillId="4" borderId="9" xfId="8" applyFont="1" applyFill="1" applyBorder="1" applyAlignment="1">
      <alignment horizontal="left"/>
    </xf>
    <xf numFmtId="0" fontId="20" fillId="4" borderId="9" xfId="0" applyFont="1" applyFill="1" applyBorder="1"/>
    <xf numFmtId="0" fontId="4" fillId="0" borderId="9" xfId="8" applyFont="1" applyBorder="1" applyAlignment="1">
      <alignment wrapText="1"/>
    </xf>
    <xf numFmtId="0" fontId="20" fillId="0" borderId="9" xfId="0" applyFont="1" applyBorder="1"/>
    <xf numFmtId="0" fontId="94" fillId="4" borderId="9" xfId="0" applyFont="1" applyFill="1" applyBorder="1"/>
    <xf numFmtId="0" fontId="94" fillId="0" borderId="9" xfId="0" applyFont="1" applyBorder="1"/>
    <xf numFmtId="43" fontId="107" fillId="0" borderId="9" xfId="1" applyFont="1" applyBorder="1"/>
    <xf numFmtId="205" fontId="107" fillId="0" borderId="9" xfId="0" applyNumberFormat="1" applyFont="1" applyBorder="1"/>
    <xf numFmtId="205" fontId="94" fillId="26" borderId="9" xfId="0" applyNumberFormat="1" applyFont="1" applyFill="1" applyBorder="1"/>
    <xf numFmtId="165" fontId="94" fillId="0" borderId="9" xfId="0" applyNumberFormat="1" applyFont="1" applyBorder="1" applyAlignment="1">
      <alignment horizontal="center"/>
    </xf>
    <xf numFmtId="43" fontId="94" fillId="0" borderId="9" xfId="0" applyNumberFormat="1" applyFont="1" applyBorder="1" applyAlignment="1">
      <alignment horizontal="center"/>
    </xf>
    <xf numFmtId="171" fontId="94" fillId="0" borderId="9" xfId="2" applyNumberFormat="1" applyFont="1" applyBorder="1" applyAlignment="1">
      <alignment horizontal="center"/>
    </xf>
    <xf numFmtId="171" fontId="94" fillId="27" borderId="9" xfId="2" applyNumberFormat="1" applyFont="1" applyFill="1" applyBorder="1" applyAlignment="1">
      <alignment horizontal="center"/>
    </xf>
    <xf numFmtId="44" fontId="94" fillId="0" borderId="9" xfId="2" applyFont="1" applyBorder="1" applyAlignment="1">
      <alignment horizontal="center"/>
    </xf>
    <xf numFmtId="44" fontId="94" fillId="0" borderId="9" xfId="2" applyFont="1" applyBorder="1"/>
    <xf numFmtId="0" fontId="94" fillId="0" borderId="0" xfId="0" applyFont="1" applyAlignment="1">
      <alignment horizontal="center"/>
    </xf>
    <xf numFmtId="7" fontId="4" fillId="4" borderId="9" xfId="0" applyNumberFormat="1" applyFont="1" applyFill="1" applyBorder="1"/>
    <xf numFmtId="0" fontId="20" fillId="26" borderId="9" xfId="0" applyFont="1" applyFill="1" applyBorder="1"/>
    <xf numFmtId="43" fontId="94" fillId="0" borderId="9" xfId="1" applyFont="1" applyBorder="1"/>
    <xf numFmtId="205" fontId="94" fillId="0" borderId="9" xfId="0" applyNumberFormat="1" applyFont="1" applyBorder="1"/>
    <xf numFmtId="7" fontId="20" fillId="0" borderId="9" xfId="2" applyNumberFormat="1" applyFont="1" applyBorder="1"/>
    <xf numFmtId="43" fontId="4" fillId="20" borderId="9" xfId="0" applyNumberFormat="1" applyFont="1" applyFill="1" applyBorder="1"/>
    <xf numFmtId="7" fontId="20" fillId="0" borderId="27" xfId="0" applyNumberFormat="1" applyFont="1" applyBorder="1"/>
    <xf numFmtId="44" fontId="20" fillId="0" borderId="22" xfId="0" applyNumberFormat="1" applyFont="1" applyBorder="1" applyAlignment="1">
      <alignment horizontal="center"/>
    </xf>
    <xf numFmtId="2" fontId="4" fillId="4" borderId="9" xfId="8" applyNumberFormat="1" applyFont="1" applyFill="1" applyBorder="1" applyAlignment="1">
      <alignment horizontal="center"/>
    </xf>
    <xf numFmtId="2" fontId="4" fillId="0" borderId="9" xfId="8" applyNumberFormat="1" applyFont="1" applyBorder="1" applyAlignment="1">
      <alignment horizontal="center"/>
    </xf>
    <xf numFmtId="169" fontId="4" fillId="0" borderId="9" xfId="2" applyNumberFormat="1" applyFont="1" applyBorder="1" applyAlignment="1">
      <alignment horizontal="center"/>
    </xf>
    <xf numFmtId="165" fontId="4" fillId="0" borderId="9" xfId="8" applyNumberFormat="1" applyFont="1" applyBorder="1" applyAlignment="1">
      <alignment horizontal="center"/>
    </xf>
    <xf numFmtId="0" fontId="4" fillId="0" borderId="10" xfId="8" applyFont="1" applyBorder="1"/>
    <xf numFmtId="0" fontId="4" fillId="4" borderId="10" xfId="8" applyFont="1" applyFill="1" applyBorder="1"/>
    <xf numFmtId="180" fontId="1" fillId="19" borderId="9" xfId="8" applyNumberFormat="1" applyFont="1" applyFill="1" applyBorder="1" applyAlignment="1">
      <alignment horizontal="center"/>
    </xf>
    <xf numFmtId="180" fontId="20" fillId="19" borderId="9" xfId="8" applyNumberFormat="1" applyFont="1" applyFill="1" applyBorder="1" applyAlignment="1">
      <alignment horizontal="center"/>
    </xf>
    <xf numFmtId="180" fontId="4" fillId="19" borderId="9" xfId="8" applyNumberFormat="1" applyFont="1" applyFill="1" applyBorder="1" applyAlignment="1">
      <alignment horizontal="center"/>
    </xf>
    <xf numFmtId="1" fontId="1" fillId="19" borderId="9" xfId="3" applyNumberFormat="1" applyFont="1" applyFill="1" applyBorder="1" applyAlignment="1">
      <alignment horizontal="center"/>
    </xf>
    <xf numFmtId="1" fontId="4" fillId="19" borderId="9" xfId="3" applyNumberFormat="1" applyFont="1" applyFill="1" applyBorder="1" applyAlignment="1">
      <alignment horizontal="center"/>
    </xf>
    <xf numFmtId="1" fontId="20" fillId="19" borderId="9" xfId="3" applyNumberFormat="1" applyFont="1" applyFill="1" applyBorder="1" applyAlignment="1">
      <alignment horizontal="center"/>
    </xf>
    <xf numFmtId="189" fontId="0" fillId="19" borderId="9" xfId="1" applyNumberFormat="1" applyFont="1" applyFill="1" applyBorder="1" applyAlignment="1">
      <alignment horizontal="center"/>
    </xf>
    <xf numFmtId="189" fontId="20" fillId="19" borderId="9" xfId="0" applyNumberFormat="1" applyFont="1" applyFill="1" applyBorder="1" applyAlignment="1">
      <alignment horizontal="center" vertical="center" wrapText="1"/>
    </xf>
    <xf numFmtId="39" fontId="4" fillId="19" borderId="9" xfId="0" applyNumberFormat="1" applyFont="1" applyFill="1" applyBorder="1" applyAlignment="1">
      <alignment horizontal="center" vertical="center" wrapText="1"/>
    </xf>
    <xf numFmtId="39" fontId="20" fillId="19" borderId="9" xfId="0" applyNumberFormat="1" applyFont="1" applyFill="1" applyBorder="1" applyAlignment="1">
      <alignment horizontal="center" vertical="center" wrapText="1"/>
    </xf>
    <xf numFmtId="39" fontId="20" fillId="19" borderId="9" xfId="1" applyNumberFormat="1" applyFont="1" applyFill="1" applyBorder="1" applyAlignment="1">
      <alignment horizontal="center"/>
    </xf>
    <xf numFmtId="43" fontId="4" fillId="5" borderId="9" xfId="1" applyFont="1" applyFill="1" applyBorder="1"/>
    <xf numFmtId="205" fontId="4" fillId="5" borderId="9" xfId="0" applyNumberFormat="1" applyFont="1" applyFill="1" applyBorder="1"/>
    <xf numFmtId="0" fontId="4" fillId="20" borderId="9" xfId="0" applyFont="1" applyFill="1" applyBorder="1"/>
    <xf numFmtId="0" fontId="20" fillId="0" borderId="0" xfId="0" applyFont="1" applyAlignment="1">
      <alignment wrapText="1"/>
    </xf>
    <xf numFmtId="0" fontId="20" fillId="0" borderId="0" xfId="0" applyFont="1" applyAlignment="1">
      <alignment horizontal="center" vertical="center" wrapText="1"/>
    </xf>
    <xf numFmtId="0" fontId="20" fillId="0" borderId="0" xfId="0" applyFont="1"/>
    <xf numFmtId="0" fontId="4" fillId="4" borderId="30" xfId="0" applyFont="1" applyFill="1" applyBorder="1" applyAlignment="1">
      <alignment horizontal="left" vertical="top"/>
    </xf>
    <xf numFmtId="0" fontId="4" fillId="4" borderId="23" xfId="0" applyFont="1" applyFill="1" applyBorder="1" applyAlignment="1">
      <alignment horizontal="left" vertical="top"/>
    </xf>
    <xf numFmtId="168" fontId="20" fillId="0" borderId="9" xfId="5" applyNumberFormat="1" applyFont="1" applyBorder="1" applyAlignment="1">
      <alignment horizontal="left" vertical="center" wrapText="1"/>
    </xf>
    <xf numFmtId="0" fontId="20" fillId="0" borderId="0" xfId="0" applyFont="1"/>
    <xf numFmtId="189" fontId="20" fillId="4" borderId="9" xfId="1" applyNumberFormat="1" applyFont="1" applyFill="1" applyBorder="1" applyAlignment="1">
      <alignment horizontal="center"/>
    </xf>
    <xf numFmtId="0" fontId="20" fillId="0" borderId="0" xfId="0" applyFont="1" applyAlignment="1">
      <alignment wrapText="1"/>
    </xf>
    <xf numFmtId="0" fontId="20" fillId="0" borderId="0" xfId="0" applyFont="1"/>
    <xf numFmtId="1" fontId="20" fillId="4" borderId="9" xfId="0" applyNumberFormat="1" applyFont="1" applyFill="1" applyBorder="1" applyAlignment="1">
      <alignment horizontal="left" vertical="top"/>
    </xf>
    <xf numFmtId="1" fontId="20" fillId="4" borderId="14" xfId="0" applyNumberFormat="1" applyFont="1" applyFill="1" applyBorder="1" applyAlignment="1">
      <alignment horizontal="left" vertical="top"/>
    </xf>
    <xf numFmtId="0" fontId="0" fillId="4" borderId="0" xfId="0" applyFill="1" applyAlignment="1">
      <alignment horizontal="left"/>
    </xf>
    <xf numFmtId="0" fontId="1" fillId="24" borderId="0" xfId="6" applyFill="1"/>
    <xf numFmtId="39" fontId="20" fillId="0" borderId="0" xfId="0" applyNumberFormat="1" applyFont="1" applyAlignment="1">
      <alignment horizontal="center"/>
    </xf>
    <xf numFmtId="189" fontId="4" fillId="0" borderId="9" xfId="5" applyNumberFormat="1" applyFont="1" applyBorder="1" applyAlignment="1">
      <alignment horizontal="center"/>
    </xf>
    <xf numFmtId="165" fontId="108" fillId="0" borderId="8" xfId="0" applyNumberFormat="1" applyFont="1" applyBorder="1" applyAlignment="1">
      <alignment horizontal="center" vertical="center" wrapText="1"/>
    </xf>
    <xf numFmtId="14" fontId="108" fillId="0" borderId="9" xfId="0" applyNumberFormat="1" applyFont="1" applyBorder="1" applyAlignment="1">
      <alignment horizontal="center" vertical="center" wrapText="1"/>
    </xf>
    <xf numFmtId="165" fontId="108" fillId="0" borderId="9" xfId="0" applyNumberFormat="1" applyFont="1" applyBorder="1" applyAlignment="1">
      <alignment horizontal="center" vertical="center" wrapText="1"/>
    </xf>
    <xf numFmtId="0" fontId="108" fillId="0" borderId="10" xfId="0" applyFont="1" applyBorder="1" applyAlignment="1">
      <alignment horizontal="left" vertical="center" wrapText="1"/>
    </xf>
    <xf numFmtId="165" fontId="20" fillId="0" borderId="0" xfId="0" applyNumberFormat="1" applyFont="1"/>
    <xf numFmtId="0" fontId="0" fillId="4" borderId="0" xfId="0" applyFill="1"/>
    <xf numFmtId="0" fontId="4" fillId="4" borderId="23" xfId="8" applyFont="1" applyFill="1" applyBorder="1" applyAlignment="1">
      <alignment horizontal="center"/>
    </xf>
    <xf numFmtId="182" fontId="4" fillId="4" borderId="23" xfId="1" applyNumberFormat="1" applyFont="1" applyFill="1" applyBorder="1" applyAlignment="1">
      <alignment horizontal="center"/>
    </xf>
    <xf numFmtId="182" fontId="4" fillId="4" borderId="14" xfId="1" applyNumberFormat="1" applyFont="1" applyFill="1" applyBorder="1" applyAlignment="1">
      <alignment horizontal="center"/>
    </xf>
    <xf numFmtId="0" fontId="4" fillId="4" borderId="9" xfId="0" applyNumberFormat="1" applyFont="1" applyFill="1" applyBorder="1" applyAlignment="1">
      <alignment vertical="center" wrapText="1"/>
    </xf>
    <xf numFmtId="0" fontId="4" fillId="4" borderId="23" xfId="0" applyNumberFormat="1" applyFont="1" applyFill="1" applyBorder="1" applyAlignment="1">
      <alignment vertical="center" wrapText="1"/>
    </xf>
    <xf numFmtId="0" fontId="4" fillId="4" borderId="14" xfId="0" applyNumberFormat="1" applyFont="1" applyFill="1" applyBorder="1" applyAlignment="1">
      <alignment vertical="center" wrapText="1"/>
    </xf>
    <xf numFmtId="0" fontId="20" fillId="11" borderId="9" xfId="0" applyFont="1" applyFill="1" applyBorder="1" applyAlignment="1">
      <alignment horizontal="center" vertical="center" wrapText="1"/>
    </xf>
    <xf numFmtId="0" fontId="20" fillId="4" borderId="19" xfId="0" applyFont="1" applyFill="1" applyBorder="1" applyAlignment="1">
      <alignment horizontal="left" vertical="center" wrapText="1"/>
    </xf>
    <xf numFmtId="0" fontId="20" fillId="4" borderId="23" xfId="0" applyFont="1" applyFill="1" applyBorder="1" applyAlignment="1">
      <alignment horizontal="left" vertical="center" wrapText="1"/>
    </xf>
    <xf numFmtId="0" fontId="20" fillId="4" borderId="30" xfId="0" applyFont="1" applyFill="1" applyBorder="1" applyAlignment="1">
      <alignment horizontal="left" vertical="center" wrapText="1"/>
    </xf>
    <xf numFmtId="0" fontId="20" fillId="4" borderId="9" xfId="0" applyFont="1" applyFill="1" applyBorder="1" applyAlignment="1">
      <alignment horizontal="left" vertical="top" wrapText="1"/>
    </xf>
    <xf numFmtId="0" fontId="20" fillId="4" borderId="14" xfId="0" applyFont="1" applyFill="1" applyBorder="1" applyAlignment="1">
      <alignment horizontal="left" vertical="top" wrapText="1"/>
    </xf>
    <xf numFmtId="0" fontId="20" fillId="0" borderId="0" xfId="0" applyFont="1"/>
    <xf numFmtId="0" fontId="20" fillId="4" borderId="4" xfId="0" applyFont="1" applyFill="1" applyBorder="1" applyAlignment="1">
      <alignment horizontal="left" vertical="top" wrapText="1"/>
    </xf>
    <xf numFmtId="0" fontId="20" fillId="4" borderId="23" xfId="0" applyFont="1" applyFill="1" applyBorder="1" applyAlignment="1">
      <alignment horizontal="left" vertical="top" wrapText="1"/>
    </xf>
    <xf numFmtId="0" fontId="20" fillId="4" borderId="43" xfId="0" applyFont="1" applyFill="1" applyBorder="1" applyAlignment="1">
      <alignment horizontal="left" vertical="center" wrapText="1"/>
    </xf>
    <xf numFmtId="0" fontId="20" fillId="4" borderId="44" xfId="0" applyFont="1" applyFill="1" applyBorder="1" applyAlignment="1">
      <alignment horizontal="left" vertical="center" wrapText="1"/>
    </xf>
    <xf numFmtId="0" fontId="20" fillId="4" borderId="16" xfId="0" applyFont="1" applyFill="1" applyBorder="1" applyAlignment="1">
      <alignment horizontal="left" vertical="top" wrapText="1"/>
    </xf>
    <xf numFmtId="0" fontId="20" fillId="4" borderId="18" xfId="0" applyFont="1" applyFill="1" applyBorder="1" applyAlignment="1">
      <alignment horizontal="left" vertical="top" wrapText="1"/>
    </xf>
    <xf numFmtId="0" fontId="20" fillId="4" borderId="37" xfId="0" applyFont="1" applyFill="1" applyBorder="1" applyAlignment="1">
      <alignment horizontal="left" vertical="top" wrapText="1"/>
    </xf>
    <xf numFmtId="0" fontId="20" fillId="4" borderId="32" xfId="0" applyFont="1" applyFill="1" applyBorder="1" applyAlignment="1">
      <alignment horizontal="left" vertical="top" wrapText="1"/>
    </xf>
    <xf numFmtId="0" fontId="20" fillId="4" borderId="34" xfId="0" applyFont="1" applyFill="1" applyBorder="1" applyAlignment="1">
      <alignment horizontal="left" vertical="top" wrapText="1"/>
    </xf>
    <xf numFmtId="0" fontId="20" fillId="4" borderId="9" xfId="8" applyFont="1" applyFill="1" applyBorder="1" applyAlignment="1">
      <alignment horizontal="center"/>
    </xf>
    <xf numFmtId="0" fontId="20" fillId="4" borderId="9" xfId="0" applyFont="1" applyFill="1" applyBorder="1" applyAlignment="1">
      <alignment horizontal="center" vertical="center" wrapText="1"/>
    </xf>
    <xf numFmtId="0" fontId="20" fillId="4" borderId="9" xfId="0" applyFont="1" applyFill="1" applyBorder="1" applyAlignment="1">
      <alignment horizontal="left" wrapText="1"/>
    </xf>
    <xf numFmtId="0" fontId="20" fillId="4" borderId="9" xfId="0" applyFont="1" applyFill="1" applyBorder="1"/>
    <xf numFmtId="0" fontId="65" fillId="6" borderId="0" xfId="5" applyFont="1" applyFill="1" applyAlignment="1">
      <alignment vertical="center"/>
    </xf>
    <xf numFmtId="0" fontId="20" fillId="11" borderId="9" xfId="0" applyFont="1" applyFill="1" applyBorder="1" applyAlignment="1">
      <alignment horizontal="center" vertical="center" wrapText="1"/>
    </xf>
    <xf numFmtId="0" fontId="25" fillId="0" borderId="9" xfId="8" applyFont="1" applyBorder="1" applyAlignment="1">
      <alignment horizontal="left" wrapText="1"/>
    </xf>
    <xf numFmtId="165" fontId="20" fillId="4" borderId="9" xfId="13" applyNumberFormat="1" applyFont="1" applyFill="1" applyBorder="1" applyAlignment="1">
      <alignment horizontal="left" vertical="center" wrapText="1"/>
    </xf>
    <xf numFmtId="165" fontId="20" fillId="0" borderId="9" xfId="13" applyNumberFormat="1" applyFont="1" applyBorder="1" applyAlignment="1">
      <alignment horizontal="left" vertical="center" wrapText="1"/>
    </xf>
    <xf numFmtId="165" fontId="20" fillId="0" borderId="23" xfId="13" applyNumberFormat="1" applyFont="1" applyBorder="1" applyAlignment="1">
      <alignment horizontal="left" vertical="center" wrapText="1"/>
    </xf>
    <xf numFmtId="165" fontId="20" fillId="0" borderId="9" xfId="6" applyNumberFormat="1" applyFont="1" applyBorder="1" applyAlignment="1">
      <alignment horizontal="left" vertical="center" wrapText="1"/>
    </xf>
    <xf numFmtId="0" fontId="20" fillId="0" borderId="9" xfId="6" applyFont="1" applyBorder="1" applyAlignment="1">
      <alignment wrapText="1"/>
    </xf>
    <xf numFmtId="0" fontId="20" fillId="0" borderId="9" xfId="0" applyFont="1" applyBorder="1" applyAlignment="1">
      <alignment horizontal="left" vertical="center" wrapText="1"/>
    </xf>
    <xf numFmtId="0" fontId="20" fillId="0" borderId="19" xfId="0" applyFont="1" applyBorder="1" applyAlignment="1">
      <alignment horizontal="left" vertical="center" wrapText="1"/>
    </xf>
    <xf numFmtId="0" fontId="20" fillId="0" borderId="23" xfId="0" applyFont="1" applyBorder="1" applyAlignment="1">
      <alignment horizontal="left" vertical="center" wrapText="1"/>
    </xf>
    <xf numFmtId="0" fontId="20" fillId="4" borderId="19" xfId="0" applyFont="1" applyFill="1" applyBorder="1" applyAlignment="1">
      <alignment horizontal="left" vertical="center" wrapText="1"/>
    </xf>
    <xf numFmtId="0" fontId="20" fillId="4" borderId="23" xfId="0" applyFont="1" applyFill="1" applyBorder="1" applyAlignment="1">
      <alignment horizontal="left" vertical="center" wrapText="1"/>
    </xf>
    <xf numFmtId="0" fontId="20" fillId="11" borderId="16" xfId="0" applyFont="1" applyFill="1" applyBorder="1" applyAlignment="1">
      <alignment horizontal="center" vertical="center" wrapText="1"/>
    </xf>
    <xf numFmtId="0" fontId="20" fillId="11" borderId="18" xfId="0" applyFont="1" applyFill="1" applyBorder="1" applyAlignment="1">
      <alignment horizontal="center" vertical="center" wrapText="1"/>
    </xf>
    <xf numFmtId="165" fontId="20" fillId="4" borderId="9" xfId="0" applyNumberFormat="1" applyFont="1" applyFill="1" applyBorder="1" applyAlignment="1">
      <alignment horizontal="left" vertical="center" wrapText="1"/>
    </xf>
    <xf numFmtId="0" fontId="20" fillId="4" borderId="18" xfId="0" applyFont="1" applyFill="1" applyBorder="1" applyAlignment="1">
      <alignment horizontal="left" vertical="center" wrapText="1"/>
    </xf>
    <xf numFmtId="0" fontId="20" fillId="4" borderId="9" xfId="0" applyFont="1" applyFill="1" applyBorder="1" applyAlignment="1">
      <alignment horizontal="left" vertical="center" wrapText="1"/>
    </xf>
    <xf numFmtId="0" fontId="25" fillId="0" borderId="9" xfId="8" applyFont="1" applyBorder="1"/>
    <xf numFmtId="0" fontId="20" fillId="0" borderId="0" xfId="0" applyFont="1" applyAlignment="1">
      <alignment vertical="center"/>
    </xf>
    <xf numFmtId="0" fontId="20" fillId="11" borderId="19" xfId="0" applyFont="1" applyFill="1" applyBorder="1" applyAlignment="1">
      <alignment horizontal="center" vertical="center" wrapText="1"/>
    </xf>
    <xf numFmtId="0" fontId="20" fillId="4" borderId="9" xfId="8" applyFont="1" applyFill="1" applyBorder="1" applyAlignment="1">
      <alignment horizontal="left"/>
    </xf>
    <xf numFmtId="0" fontId="20" fillId="4" borderId="9" xfId="8" applyFont="1" applyFill="1" applyBorder="1" applyAlignment="1">
      <alignment horizontal="left" vertical="center" wrapText="1"/>
    </xf>
    <xf numFmtId="0" fontId="20" fillId="4" borderId="9" xfId="8" applyFont="1" applyFill="1" applyBorder="1" applyAlignment="1">
      <alignment horizontal="center"/>
    </xf>
    <xf numFmtId="0" fontId="20" fillId="0" borderId="0" xfId="0" applyFont="1" applyAlignment="1">
      <alignment horizontal="center" vertical="center" wrapText="1"/>
    </xf>
    <xf numFmtId="0" fontId="20" fillId="0" borderId="0" xfId="0" applyFont="1"/>
    <xf numFmtId="0" fontId="20" fillId="0" borderId="9" xfId="0" applyFont="1" applyBorder="1" applyAlignment="1">
      <alignment horizontal="left"/>
    </xf>
    <xf numFmtId="0" fontId="20" fillId="0" borderId="14" xfId="0" applyFont="1" applyBorder="1" applyAlignment="1">
      <alignment horizontal="center" vertical="center" wrapText="1"/>
    </xf>
    <xf numFmtId="0" fontId="20" fillId="4" borderId="9" xfId="0" applyFont="1" applyFill="1" applyBorder="1" applyAlignment="1">
      <alignment horizontal="center" vertical="center" wrapText="1"/>
    </xf>
    <xf numFmtId="0" fontId="25" fillId="0" borderId="0" xfId="8" applyFont="1" applyAlignment="1">
      <alignment horizontal="left" wrapText="1"/>
    </xf>
    <xf numFmtId="0" fontId="20" fillId="0" borderId="19" xfId="0" applyFont="1" applyBorder="1" applyAlignment="1">
      <alignment horizontal="center" vertical="center" wrapText="1"/>
    </xf>
    <xf numFmtId="0" fontId="20" fillId="0" borderId="23" xfId="0" applyFont="1" applyBorder="1" applyAlignment="1">
      <alignment horizontal="center" vertical="center" wrapText="1"/>
    </xf>
    <xf numFmtId="0" fontId="20" fillId="11" borderId="9" xfId="0" applyFont="1" applyFill="1" applyBorder="1" applyAlignment="1">
      <alignment vertical="center" wrapText="1"/>
    </xf>
    <xf numFmtId="0" fontId="25" fillId="0" borderId="9" xfId="8" applyFont="1" applyBorder="1" applyAlignment="1">
      <alignment wrapText="1"/>
    </xf>
    <xf numFmtId="165" fontId="49" fillId="0" borderId="16" xfId="0" applyNumberFormat="1" applyFont="1" applyBorder="1" applyAlignment="1">
      <alignment horizontal="center" vertical="center" wrapText="1"/>
    </xf>
    <xf numFmtId="171" fontId="49" fillId="0" borderId="16" xfId="0" applyNumberFormat="1" applyFont="1" applyBorder="1" applyAlignment="1">
      <alignment horizontal="center" vertical="center" wrapText="1"/>
    </xf>
    <xf numFmtId="165" fontId="48" fillId="0" borderId="9" xfId="8" applyNumberFormat="1" applyFont="1" applyBorder="1" applyAlignment="1">
      <alignment horizontal="left" vertical="center"/>
    </xf>
    <xf numFmtId="0" fontId="20" fillId="11" borderId="9" xfId="0" applyFont="1" applyFill="1" applyBorder="1" applyAlignment="1">
      <alignment horizontal="left" vertical="center" wrapText="1"/>
    </xf>
    <xf numFmtId="0" fontId="20" fillId="0" borderId="9" xfId="0" applyFont="1" applyBorder="1" applyAlignment="1">
      <alignment horizontal="center" vertical="center" wrapText="1"/>
    </xf>
    <xf numFmtId="0" fontId="20" fillId="0" borderId="0" xfId="0" applyFont="1" applyFill="1" applyAlignment="1">
      <alignment horizontal="center" vertical="center" wrapText="1"/>
    </xf>
    <xf numFmtId="9" fontId="20" fillId="0" borderId="0" xfId="3" applyFont="1" applyFill="1" applyBorder="1" applyAlignment="1">
      <alignment horizontal="center" wrapText="1"/>
    </xf>
    <xf numFmtId="189" fontId="24" fillId="0" borderId="0" xfId="8" applyNumberFormat="1" applyFill="1"/>
    <xf numFmtId="0" fontId="4" fillId="4" borderId="9" xfId="0" applyFont="1" applyFill="1" applyBorder="1" applyAlignment="1">
      <alignment horizontal="left" vertical="center" wrapText="1"/>
    </xf>
    <xf numFmtId="170" fontId="4" fillId="4" borderId="9" xfId="2" applyNumberFormat="1" applyFont="1" applyFill="1" applyBorder="1" applyAlignment="1">
      <alignment horizontal="center" vertical="center" wrapText="1"/>
    </xf>
    <xf numFmtId="37" fontId="4" fillId="4" borderId="9" xfId="1" applyNumberFormat="1" applyFont="1" applyFill="1" applyBorder="1" applyAlignment="1">
      <alignment horizontal="center" wrapText="1"/>
    </xf>
    <xf numFmtId="0" fontId="0" fillId="4" borderId="9" xfId="0" applyFill="1" applyBorder="1"/>
    <xf numFmtId="9" fontId="1" fillId="4" borderId="9" xfId="0" applyNumberFormat="1" applyFont="1" applyFill="1" applyBorder="1" applyAlignment="1">
      <alignment horizontal="center" vertical="center" wrapText="1"/>
    </xf>
    <xf numFmtId="0" fontId="1" fillId="4" borderId="9" xfId="0" applyFont="1" applyFill="1" applyBorder="1" applyAlignment="1">
      <alignment horizontal="center" vertical="center" wrapText="1"/>
    </xf>
    <xf numFmtId="178" fontId="4" fillId="4" borderId="9" xfId="0" applyNumberFormat="1" applyFont="1" applyFill="1" applyBorder="1" applyAlignment="1">
      <alignment horizontal="center" vertical="center" wrapText="1"/>
    </xf>
    <xf numFmtId="178" fontId="20" fillId="4" borderId="9" xfId="0" applyNumberFormat="1" applyFont="1" applyFill="1" applyBorder="1" applyAlignment="1">
      <alignment horizontal="center" vertical="center" wrapText="1"/>
    </xf>
    <xf numFmtId="39" fontId="1" fillId="4" borderId="9" xfId="1" applyNumberFormat="1" applyFont="1" applyFill="1" applyBorder="1" applyAlignment="1">
      <alignment horizontal="center" wrapText="1"/>
    </xf>
    <xf numFmtId="37" fontId="1" fillId="4" borderId="9" xfId="1" applyNumberFormat="1" applyFont="1" applyFill="1" applyBorder="1" applyAlignment="1">
      <alignment horizontal="center" wrapText="1"/>
    </xf>
    <xf numFmtId="37" fontId="20" fillId="4" borderId="9" xfId="1" applyNumberFormat="1" applyFont="1" applyFill="1" applyBorder="1" applyAlignment="1">
      <alignment horizontal="center" wrapText="1"/>
    </xf>
    <xf numFmtId="172" fontId="20" fillId="4" borderId="9" xfId="0" applyNumberFormat="1" applyFont="1" applyFill="1" applyBorder="1" applyAlignment="1">
      <alignment horizontal="center" vertical="center" wrapText="1"/>
    </xf>
    <xf numFmtId="170" fontId="1" fillId="4" borderId="9" xfId="2" applyNumberFormat="1" applyFont="1" applyFill="1" applyBorder="1" applyAlignment="1">
      <alignment horizontal="center" vertical="center" wrapText="1"/>
    </xf>
    <xf numFmtId="170" fontId="20" fillId="4" borderId="9" xfId="2" applyNumberFormat="1" applyFont="1" applyFill="1" applyBorder="1" applyAlignment="1">
      <alignment horizontal="center" vertical="center" wrapText="1"/>
    </xf>
    <xf numFmtId="0" fontId="6" fillId="0" borderId="0" xfId="0" applyFont="1" applyFill="1"/>
    <xf numFmtId="39" fontId="4" fillId="4" borderId="9" xfId="0" applyNumberFormat="1" applyFont="1" applyFill="1" applyBorder="1" applyAlignment="1">
      <alignment horizontal="center"/>
    </xf>
    <xf numFmtId="39" fontId="20" fillId="4" borderId="9" xfId="0" applyNumberFormat="1" applyFont="1" applyFill="1" applyBorder="1" applyAlignment="1">
      <alignment horizontal="center"/>
    </xf>
    <xf numFmtId="170" fontId="4" fillId="4" borderId="9" xfId="1" applyNumberFormat="1" applyFont="1" applyFill="1" applyBorder="1" applyAlignment="1">
      <alignment horizontal="center" vertical="center" wrapText="1"/>
    </xf>
    <xf numFmtId="169" fontId="20" fillId="4" borderId="9" xfId="0" applyNumberFormat="1" applyFont="1" applyFill="1" applyBorder="1" applyAlignment="1">
      <alignment horizontal="center" vertical="center" wrapText="1"/>
    </xf>
    <xf numFmtId="0" fontId="4" fillId="4" borderId="19" xfId="0" applyFont="1" applyFill="1" applyBorder="1" applyAlignment="1">
      <alignment horizontal="left" vertical="top"/>
    </xf>
    <xf numFmtId="0" fontId="4" fillId="0" borderId="0" xfId="0" applyFont="1" applyFill="1"/>
    <xf numFmtId="0" fontId="20" fillId="4" borderId="4" xfId="0" applyFont="1" applyFill="1" applyBorder="1" applyAlignment="1">
      <alignment vertical="top" wrapText="1"/>
    </xf>
    <xf numFmtId="0" fontId="20" fillId="4" borderId="16" xfId="0" applyFont="1" applyFill="1" applyBorder="1" applyAlignment="1">
      <alignment vertical="top" wrapText="1"/>
    </xf>
    <xf numFmtId="0" fontId="4" fillId="4" borderId="16" xfId="0" applyFont="1" applyFill="1" applyBorder="1" applyAlignment="1">
      <alignment vertical="top" wrapText="1"/>
    </xf>
    <xf numFmtId="0" fontId="20" fillId="4" borderId="60" xfId="0" applyFont="1" applyFill="1" applyBorder="1" applyAlignment="1">
      <alignment vertical="top" wrapText="1"/>
    </xf>
    <xf numFmtId="2" fontId="4" fillId="4" borderId="4" xfId="0" applyNumberFormat="1" applyFont="1" applyFill="1" applyBorder="1" applyAlignment="1">
      <alignment horizontal="left"/>
    </xf>
    <xf numFmtId="2" fontId="20" fillId="4" borderId="14" xfId="0" applyNumberFormat="1" applyFont="1" applyFill="1" applyBorder="1" applyAlignment="1">
      <alignment horizontal="left"/>
    </xf>
    <xf numFmtId="2" fontId="4" fillId="4" borderId="37" xfId="0" applyNumberFormat="1" applyFont="1" applyFill="1" applyBorder="1" applyAlignment="1">
      <alignment horizontal="left" vertical="top" wrapText="1"/>
    </xf>
    <xf numFmtId="0" fontId="20" fillId="4" borderId="25" xfId="0" applyFont="1" applyFill="1" applyBorder="1" applyAlignment="1">
      <alignment vertical="top" wrapText="1"/>
    </xf>
    <xf numFmtId="0" fontId="20" fillId="4" borderId="9" xfId="0" applyFont="1" applyFill="1" applyBorder="1" applyAlignment="1">
      <alignment vertical="top" wrapText="1"/>
    </xf>
    <xf numFmtId="0" fontId="4" fillId="4" borderId="9" xfId="0" applyFont="1" applyFill="1" applyBorder="1" applyAlignment="1">
      <alignment vertical="top" wrapText="1"/>
    </xf>
    <xf numFmtId="170" fontId="4" fillId="4" borderId="9" xfId="1" applyNumberFormat="1" applyFont="1" applyFill="1" applyBorder="1" applyAlignment="1">
      <alignment horizontal="left" vertical="top" wrapText="1"/>
    </xf>
    <xf numFmtId="0" fontId="20" fillId="4" borderId="23" xfId="0" applyFont="1" applyFill="1" applyBorder="1" applyAlignment="1">
      <alignment vertical="top" wrapText="1"/>
    </xf>
    <xf numFmtId="7" fontId="4" fillId="4" borderId="4" xfId="2" applyNumberFormat="1" applyFont="1" applyFill="1" applyBorder="1" applyAlignment="1">
      <alignment horizontal="center" vertical="center" wrapText="1"/>
    </xf>
    <xf numFmtId="0" fontId="20" fillId="4" borderId="19" xfId="0" applyFont="1" applyFill="1" applyBorder="1" applyAlignment="1">
      <alignment vertical="top" wrapText="1"/>
    </xf>
    <xf numFmtId="0" fontId="20" fillId="4" borderId="14" xfId="0" applyFont="1" applyFill="1" applyBorder="1" applyAlignment="1">
      <alignment vertical="top" wrapText="1"/>
    </xf>
    <xf numFmtId="2" fontId="4" fillId="4" borderId="4" xfId="0" applyNumberFormat="1" applyFont="1" applyFill="1" applyBorder="1" applyAlignment="1">
      <alignment horizontal="center" vertical="top" wrapText="1"/>
    </xf>
    <xf numFmtId="1" fontId="4" fillId="4" borderId="5" xfId="0" applyNumberFormat="1" applyFont="1" applyFill="1" applyBorder="1" applyAlignment="1"/>
    <xf numFmtId="2" fontId="4" fillId="4" borderId="9" xfId="0" applyNumberFormat="1" applyFont="1" applyFill="1" applyBorder="1" applyAlignment="1">
      <alignment horizontal="center" vertical="top" wrapText="1"/>
    </xf>
    <xf numFmtId="1" fontId="4" fillId="4" borderId="10" xfId="0" applyNumberFormat="1" applyFont="1" applyFill="1" applyBorder="1" applyAlignment="1"/>
    <xf numFmtId="2" fontId="4" fillId="4" borderId="23" xfId="0" applyNumberFormat="1" applyFont="1" applyFill="1" applyBorder="1" applyAlignment="1">
      <alignment horizontal="center" vertical="top" wrapText="1"/>
    </xf>
    <xf numFmtId="1" fontId="20" fillId="4" borderId="10" xfId="0" applyNumberFormat="1" applyFont="1" applyFill="1" applyBorder="1" applyAlignment="1"/>
    <xf numFmtId="2" fontId="20" fillId="4" borderId="9" xfId="0" applyNumberFormat="1" applyFont="1" applyFill="1" applyBorder="1" applyAlignment="1">
      <alignment horizontal="center" vertical="top" wrapText="1"/>
    </xf>
    <xf numFmtId="1" fontId="20" fillId="4" borderId="46" xfId="0" applyNumberFormat="1" applyFont="1" applyFill="1" applyBorder="1" applyAlignment="1"/>
    <xf numFmtId="2" fontId="20" fillId="4" borderId="14" xfId="0" applyNumberFormat="1" applyFont="1" applyFill="1" applyBorder="1" applyAlignment="1">
      <alignment horizontal="center" vertical="top" wrapText="1"/>
    </xf>
    <xf numFmtId="1" fontId="20" fillId="4" borderId="54" xfId="0" applyNumberFormat="1" applyFont="1" applyFill="1" applyBorder="1" applyAlignment="1"/>
    <xf numFmtId="0" fontId="4" fillId="4" borderId="10" xfId="0" applyFont="1" applyFill="1" applyBorder="1" applyAlignment="1"/>
    <xf numFmtId="9" fontId="4" fillId="4" borderId="10" xfId="3" applyFont="1" applyFill="1" applyBorder="1" applyAlignment="1"/>
    <xf numFmtId="0" fontId="4" fillId="4" borderId="14" xfId="0" applyFont="1" applyFill="1" applyBorder="1" applyAlignment="1">
      <alignment horizontal="center"/>
    </xf>
    <xf numFmtId="0" fontId="4" fillId="4" borderId="23" xfId="0" applyFont="1" applyFill="1" applyBorder="1" applyAlignment="1">
      <alignment horizontal="center"/>
    </xf>
    <xf numFmtId="0" fontId="4" fillId="4" borderId="44" xfId="0" applyFont="1" applyFill="1" applyBorder="1" applyAlignment="1">
      <alignment vertical="center" wrapText="1"/>
    </xf>
    <xf numFmtId="0" fontId="4" fillId="4" borderId="53" xfId="0" applyFont="1" applyFill="1" applyBorder="1" applyAlignment="1">
      <alignment horizontal="left" vertical="center" wrapText="1"/>
    </xf>
    <xf numFmtId="0" fontId="4" fillId="4" borderId="45" xfId="0" applyFont="1" applyFill="1" applyBorder="1" applyAlignment="1">
      <alignment horizontal="left" vertical="top"/>
    </xf>
    <xf numFmtId="0" fontId="4" fillId="4" borderId="5" xfId="0" applyFont="1" applyFill="1" applyBorder="1" applyAlignment="1">
      <alignment horizontal="left" vertical="top"/>
    </xf>
    <xf numFmtId="1" fontId="4" fillId="4" borderId="14" xfId="0" applyNumberFormat="1" applyFont="1" applyFill="1" applyBorder="1" applyAlignment="1">
      <alignment horizontal="left" vertical="top" wrapText="1"/>
    </xf>
    <xf numFmtId="0" fontId="4" fillId="4" borderId="15" xfId="0" applyFont="1" applyFill="1" applyBorder="1" applyAlignment="1">
      <alignment horizontal="left" vertical="top"/>
    </xf>
    <xf numFmtId="0" fontId="4" fillId="4" borderId="25" xfId="0" applyFont="1" applyFill="1" applyBorder="1"/>
    <xf numFmtId="0" fontId="4" fillId="4" borderId="10" xfId="0" applyFont="1" applyFill="1" applyBorder="1" applyAlignment="1">
      <alignment horizontal="left" vertical="top"/>
    </xf>
    <xf numFmtId="0" fontId="4" fillId="4" borderId="4" xfId="0" applyFont="1" applyFill="1" applyBorder="1" applyAlignment="1">
      <alignment horizontal="left" vertical="top"/>
    </xf>
    <xf numFmtId="0" fontId="4" fillId="4" borderId="4" xfId="0" applyFont="1" applyFill="1" applyBorder="1"/>
    <xf numFmtId="0" fontId="4" fillId="4" borderId="14" xfId="0" applyFont="1" applyFill="1" applyBorder="1" applyAlignment="1">
      <alignment horizontal="left" vertical="top"/>
    </xf>
    <xf numFmtId="1" fontId="4" fillId="4" borderId="14" xfId="0" applyNumberFormat="1" applyFont="1" applyFill="1" applyBorder="1" applyAlignment="1">
      <alignment horizontal="left" vertical="top"/>
    </xf>
    <xf numFmtId="0" fontId="4" fillId="4" borderId="14" xfId="0" applyFont="1" applyFill="1" applyBorder="1"/>
    <xf numFmtId="0" fontId="4" fillId="4" borderId="89" xfId="0" applyFont="1" applyFill="1" applyBorder="1" applyAlignment="1">
      <alignment vertical="center" wrapText="1"/>
    </xf>
    <xf numFmtId="0" fontId="4" fillId="4" borderId="75" xfId="0" applyFont="1" applyFill="1" applyBorder="1" applyAlignment="1">
      <alignment horizontal="left" vertical="center" wrapText="1"/>
    </xf>
    <xf numFmtId="0" fontId="4" fillId="4" borderId="81" xfId="0" applyFont="1" applyFill="1" applyBorder="1" applyAlignment="1">
      <alignment vertical="top" wrapText="1"/>
    </xf>
    <xf numFmtId="9" fontId="4" fillId="4" borderId="48" xfId="3" applyFont="1" applyFill="1" applyBorder="1" applyAlignment="1">
      <alignment horizontal="left" vertical="top" wrapText="1"/>
    </xf>
    <xf numFmtId="0" fontId="4" fillId="4" borderId="75" xfId="0" applyFont="1" applyFill="1" applyBorder="1" applyAlignment="1"/>
    <xf numFmtId="0" fontId="4" fillId="4" borderId="54" xfId="0" applyFont="1" applyFill="1" applyBorder="1" applyAlignment="1">
      <alignment horizontal="left" vertical="top"/>
    </xf>
    <xf numFmtId="1" fontId="20" fillId="4" borderId="14" xfId="0" applyNumberFormat="1" applyFont="1" applyFill="1" applyBorder="1" applyAlignment="1">
      <alignment horizontal="left" vertical="top" wrapText="1"/>
    </xf>
    <xf numFmtId="0" fontId="20" fillId="4" borderId="89" xfId="0" applyFont="1" applyFill="1" applyBorder="1" applyAlignment="1">
      <alignment horizontal="left" vertical="center" wrapText="1"/>
    </xf>
    <xf numFmtId="9" fontId="20" fillId="4" borderId="48" xfId="3" applyFont="1" applyFill="1" applyBorder="1" applyAlignment="1">
      <alignment horizontal="left" vertical="top" wrapText="1"/>
    </xf>
    <xf numFmtId="2" fontId="4" fillId="4" borderId="23" xfId="0" applyNumberFormat="1" applyFont="1" applyFill="1" applyBorder="1" applyAlignment="1">
      <alignment horizontal="center" vertical="center" wrapText="1"/>
    </xf>
    <xf numFmtId="2" fontId="4" fillId="4" borderId="14" xfId="0" applyNumberFormat="1" applyFont="1" applyFill="1" applyBorder="1" applyAlignment="1">
      <alignment horizontal="center" vertical="center" wrapText="1"/>
    </xf>
    <xf numFmtId="1" fontId="4" fillId="4" borderId="4" xfId="0" applyNumberFormat="1" applyFont="1" applyFill="1" applyBorder="1" applyAlignment="1">
      <alignment horizontal="left" vertical="top" wrapText="1"/>
    </xf>
    <xf numFmtId="1" fontId="4" fillId="4" borderId="37" xfId="0" applyNumberFormat="1" applyFont="1" applyFill="1" applyBorder="1" applyAlignment="1">
      <alignment horizontal="left" vertical="top" wrapText="1"/>
    </xf>
    <xf numFmtId="1" fontId="4" fillId="4" borderId="25" xfId="0" applyNumberFormat="1" applyFont="1" applyFill="1" applyBorder="1" applyAlignment="1">
      <alignment horizontal="left" vertical="top" wrapText="1"/>
    </xf>
    <xf numFmtId="1" fontId="4" fillId="4" borderId="23" xfId="0" applyNumberFormat="1" applyFont="1" applyFill="1" applyBorder="1" applyAlignment="1">
      <alignment horizontal="left" vertical="top" wrapText="1"/>
    </xf>
    <xf numFmtId="1" fontId="20" fillId="4" borderId="16" xfId="0" applyNumberFormat="1" applyFont="1" applyFill="1" applyBorder="1" applyAlignment="1">
      <alignment horizontal="left" vertical="top" wrapText="1"/>
    </xf>
    <xf numFmtId="3" fontId="20" fillId="4" borderId="9" xfId="0" applyNumberFormat="1" applyFont="1" applyFill="1" applyBorder="1" applyAlignment="1">
      <alignment horizontal="left" vertical="top" wrapText="1"/>
    </xf>
    <xf numFmtId="3" fontId="20" fillId="4" borderId="14" xfId="0" applyNumberFormat="1" applyFont="1" applyFill="1" applyBorder="1" applyAlignment="1">
      <alignment horizontal="left" vertical="top" wrapText="1"/>
    </xf>
    <xf numFmtId="2" fontId="4" fillId="4" borderId="23" xfId="0" applyNumberFormat="1" applyFont="1" applyFill="1" applyBorder="1" applyAlignment="1">
      <alignment horizontal="left"/>
    </xf>
    <xf numFmtId="2" fontId="4" fillId="4" borderId="25" xfId="0" applyNumberFormat="1" applyFont="1" applyFill="1" applyBorder="1" applyAlignment="1">
      <alignment horizontal="left" vertical="top" wrapText="1"/>
    </xf>
    <xf numFmtId="9" fontId="20" fillId="4" borderId="37" xfId="3" applyFont="1" applyFill="1" applyBorder="1" applyAlignment="1">
      <alignment horizontal="left" vertical="top" wrapText="1"/>
    </xf>
    <xf numFmtId="9" fontId="4" fillId="4" borderId="25" xfId="3" applyFont="1" applyFill="1" applyBorder="1" applyAlignment="1">
      <alignment horizontal="left" vertical="top" wrapText="1"/>
    </xf>
    <xf numFmtId="9" fontId="4" fillId="4" borderId="30" xfId="3" applyFont="1" applyFill="1" applyBorder="1" applyAlignment="1">
      <alignment horizontal="left" vertical="top" wrapText="1"/>
    </xf>
    <xf numFmtId="9" fontId="4" fillId="4" borderId="23" xfId="3" applyFont="1" applyFill="1" applyBorder="1" applyAlignment="1">
      <alignment horizontal="left" vertical="top" wrapText="1"/>
    </xf>
    <xf numFmtId="9" fontId="4" fillId="4" borderId="24" xfId="3" applyFont="1" applyFill="1" applyBorder="1" applyAlignment="1">
      <alignment horizontal="left" vertical="top" wrapText="1"/>
    </xf>
    <xf numFmtId="7" fontId="4" fillId="4" borderId="37" xfId="2" applyNumberFormat="1" applyFont="1" applyFill="1" applyBorder="1" applyAlignment="1">
      <alignment horizontal="center" vertical="center" wrapText="1"/>
    </xf>
    <xf numFmtId="7" fontId="20" fillId="4" borderId="16" xfId="2" applyNumberFormat="1" applyFont="1" applyFill="1" applyBorder="1" applyAlignment="1">
      <alignment horizontal="center" vertical="center" wrapText="1"/>
    </xf>
    <xf numFmtId="7" fontId="4" fillId="4" borderId="16" xfId="2" applyNumberFormat="1" applyFont="1" applyFill="1" applyBorder="1" applyAlignment="1">
      <alignment horizontal="center" vertical="center" wrapText="1"/>
    </xf>
    <xf numFmtId="7" fontId="20" fillId="4" borderId="20" xfId="2" applyNumberFormat="1" applyFont="1" applyFill="1" applyBorder="1" applyAlignment="1">
      <alignment horizontal="center" vertical="center" wrapText="1"/>
    </xf>
    <xf numFmtId="7" fontId="20" fillId="4" borderId="35" xfId="2" applyNumberFormat="1" applyFont="1" applyFill="1" applyBorder="1" applyAlignment="1">
      <alignment horizontal="center" vertical="center" wrapText="1"/>
    </xf>
    <xf numFmtId="165" fontId="20" fillId="4" borderId="9" xfId="0" applyNumberFormat="1" applyFont="1" applyFill="1" applyBorder="1" applyAlignment="1">
      <alignment horizontal="center" wrapText="1"/>
    </xf>
    <xf numFmtId="171" fontId="20" fillId="4" borderId="9" xfId="0" applyNumberFormat="1" applyFont="1" applyFill="1" applyBorder="1" applyAlignment="1">
      <alignment horizontal="center" wrapText="1"/>
    </xf>
    <xf numFmtId="2" fontId="20" fillId="4" borderId="9" xfId="0" applyNumberFormat="1" applyFont="1" applyFill="1" applyBorder="1" applyAlignment="1">
      <alignment horizontal="center" wrapText="1"/>
    </xf>
    <xf numFmtId="189" fontId="0" fillId="4" borderId="9" xfId="0" applyNumberFormat="1" applyFill="1" applyBorder="1" applyAlignment="1">
      <alignment horizontal="right"/>
    </xf>
    <xf numFmtId="169" fontId="20" fillId="4" borderId="9" xfId="0" applyNumberFormat="1" applyFont="1" applyFill="1" applyBorder="1" applyAlignment="1">
      <alignment horizontal="center"/>
    </xf>
    <xf numFmtId="37" fontId="20" fillId="4" borderId="9" xfId="0" applyNumberFormat="1" applyFont="1" applyFill="1" applyBorder="1"/>
    <xf numFmtId="189" fontId="0" fillId="4" borderId="9" xfId="0" applyNumberFormat="1" applyFill="1" applyBorder="1" applyAlignment="1">
      <alignment horizontal="center"/>
    </xf>
    <xf numFmtId="37" fontId="0" fillId="4" borderId="9" xfId="0" applyNumberFormat="1" applyFill="1" applyBorder="1"/>
    <xf numFmtId="9" fontId="0" fillId="4" borderId="9" xfId="0" applyNumberFormat="1" applyFill="1" applyBorder="1"/>
    <xf numFmtId="0" fontId="21" fillId="4" borderId="0" xfId="6" applyFont="1" applyFill="1"/>
    <xf numFmtId="0" fontId="20" fillId="12" borderId="18" xfId="0" applyFont="1" applyFill="1" applyBorder="1" applyAlignment="1">
      <alignment horizontal="center" vertical="center" wrapText="1"/>
    </xf>
    <xf numFmtId="166" fontId="4" fillId="12" borderId="9" xfId="0" applyNumberFormat="1" applyFont="1" applyFill="1" applyBorder="1" applyAlignment="1">
      <alignment vertical="center" wrapText="1"/>
    </xf>
    <xf numFmtId="170" fontId="20" fillId="19" borderId="9" xfId="5" applyNumberFormat="1" applyFont="1" applyFill="1" applyBorder="1" applyAlignment="1"/>
    <xf numFmtId="170" fontId="4" fillId="19" borderId="9" xfId="5" applyNumberFormat="1" applyFont="1" applyFill="1" applyBorder="1" applyAlignment="1"/>
    <xf numFmtId="166" fontId="20" fillId="12" borderId="9" xfId="0" applyNumberFormat="1" applyFont="1" applyFill="1" applyBorder="1" applyAlignment="1">
      <alignment vertical="center" wrapText="1"/>
    </xf>
    <xf numFmtId="0" fontId="86" fillId="12" borderId="9" xfId="0" applyFont="1" applyFill="1" applyBorder="1"/>
    <xf numFmtId="168" fontId="4" fillId="4" borderId="9" xfId="5" applyNumberFormat="1" applyFont="1" applyFill="1" applyBorder="1" applyAlignment="1">
      <alignment horizontal="center" vertical="center"/>
    </xf>
    <xf numFmtId="43" fontId="86" fillId="4" borderId="9" xfId="1" applyFont="1" applyFill="1" applyBorder="1"/>
    <xf numFmtId="43" fontId="4" fillId="4" borderId="9" xfId="1" applyFont="1" applyFill="1" applyBorder="1"/>
    <xf numFmtId="205" fontId="86" fillId="4" borderId="9" xfId="0" applyNumberFormat="1" applyFont="1" applyFill="1" applyBorder="1"/>
    <xf numFmtId="0" fontId="109" fillId="4" borderId="0" xfId="18" applyFont="1" applyFill="1"/>
    <xf numFmtId="169" fontId="20" fillId="0" borderId="0" xfId="0" applyNumberFormat="1" applyFont="1"/>
    <xf numFmtId="165" fontId="20" fillId="0" borderId="0" xfId="6" applyNumberFormat="1" applyFont="1" applyBorder="1" applyAlignment="1">
      <alignment horizontal="center"/>
    </xf>
    <xf numFmtId="0" fontId="4" fillId="11" borderId="9" xfId="6" applyFont="1" applyFill="1" applyBorder="1" applyAlignment="1">
      <alignment horizontal="center" vertical="center" wrapText="1"/>
    </xf>
    <xf numFmtId="0" fontId="4" fillId="11" borderId="9" xfId="5" applyFont="1" applyFill="1" applyBorder="1" applyAlignment="1">
      <alignment horizontal="center" vertical="center" wrapText="1"/>
    </xf>
    <xf numFmtId="166" fontId="4" fillId="11" borderId="9" xfId="5" applyNumberFormat="1" applyFont="1" applyFill="1" applyBorder="1" applyAlignment="1">
      <alignment horizontal="center" vertical="center" wrapText="1"/>
    </xf>
    <xf numFmtId="1" fontId="4" fillId="0" borderId="9" xfId="6" applyNumberFormat="1" applyFont="1" applyBorder="1" applyAlignment="1">
      <alignment horizontal="center" vertical="center" wrapText="1"/>
    </xf>
    <xf numFmtId="0" fontId="4" fillId="11" borderId="19" xfId="5" applyFont="1" applyFill="1" applyBorder="1" applyAlignment="1">
      <alignment horizontal="center" vertical="center" wrapText="1"/>
    </xf>
    <xf numFmtId="0" fontId="37" fillId="11" borderId="19" xfId="5" applyFont="1" applyFill="1" applyBorder="1" applyAlignment="1">
      <alignment horizontal="center" vertical="center" wrapText="1"/>
    </xf>
    <xf numFmtId="168" fontId="4" fillId="4" borderId="9" xfId="5" applyNumberFormat="1" applyFont="1" applyFill="1" applyBorder="1" applyAlignment="1">
      <alignment horizontal="left" vertical="center"/>
    </xf>
    <xf numFmtId="168" fontId="4" fillId="7" borderId="9" xfId="5" applyNumberFormat="1" applyFont="1" applyFill="1" applyBorder="1" applyAlignment="1">
      <alignment horizontal="center" vertical="center"/>
    </xf>
    <xf numFmtId="2" fontId="4" fillId="0" borderId="9" xfId="11" applyNumberFormat="1" applyFont="1" applyFill="1" applyBorder="1" applyAlignment="1">
      <alignment horizontal="center" vertical="center"/>
    </xf>
    <xf numFmtId="2" fontId="4" fillId="7" borderId="9" xfId="11" applyNumberFormat="1" applyFont="1" applyFill="1" applyBorder="1" applyAlignment="1">
      <alignment horizontal="center" vertical="center"/>
    </xf>
    <xf numFmtId="0" fontId="21" fillId="0" borderId="0" xfId="5" applyFont="1" applyAlignment="1">
      <alignment wrapText="1"/>
    </xf>
    <xf numFmtId="166" fontId="21" fillId="0" borderId="0" xfId="5" applyNumberFormat="1" applyFont="1" applyAlignment="1">
      <alignment horizontal="center"/>
    </xf>
    <xf numFmtId="171" fontId="4" fillId="0" borderId="9" xfId="5" applyNumberFormat="1" applyFont="1" applyBorder="1" applyAlignment="1">
      <alignment horizontal="center" vertical="center" wrapText="1"/>
    </xf>
    <xf numFmtId="44" fontId="4" fillId="0" borderId="17" xfId="2" applyFont="1" applyFill="1" applyBorder="1"/>
    <xf numFmtId="165" fontId="4" fillId="19" borderId="9" xfId="0" applyNumberFormat="1" applyFont="1" applyFill="1" applyBorder="1" applyAlignment="1">
      <alignment horizontal="center"/>
    </xf>
    <xf numFmtId="171" fontId="4" fillId="0" borderId="9" xfId="5" applyNumberFormat="1" applyFont="1" applyFill="1" applyBorder="1" applyAlignment="1">
      <alignment horizontal="center"/>
    </xf>
    <xf numFmtId="2" fontId="4" fillId="0" borderId="9" xfId="10" applyNumberFormat="1" applyFont="1" applyFill="1" applyBorder="1" applyAlignment="1">
      <alignment horizontal="center"/>
    </xf>
    <xf numFmtId="1" fontId="4" fillId="11" borderId="19" xfId="5" applyNumberFormat="1" applyFont="1" applyFill="1" applyBorder="1" applyAlignment="1">
      <alignment horizontal="center" vertical="center" wrapText="1"/>
    </xf>
    <xf numFmtId="3" fontId="4" fillId="7" borderId="9" xfId="1" applyNumberFormat="1" applyFont="1" applyFill="1" applyBorder="1" applyAlignment="1">
      <alignment horizontal="center" vertical="center"/>
    </xf>
    <xf numFmtId="165" fontId="4" fillId="0" borderId="9" xfId="5" applyNumberFormat="1" applyFont="1" applyBorder="1" applyAlignment="1">
      <alignment horizontal="center" vertical="center"/>
    </xf>
    <xf numFmtId="180" fontId="4" fillId="0" borderId="9" xfId="5" applyNumberFormat="1" applyFont="1" applyBorder="1" applyAlignment="1">
      <alignment horizontal="center" vertical="center"/>
    </xf>
    <xf numFmtId="44" fontId="4" fillId="0" borderId="27" xfId="2" applyFont="1" applyFill="1" applyBorder="1"/>
    <xf numFmtId="44" fontId="4" fillId="0" borderId="0" xfId="2" applyFont="1" applyFill="1" applyBorder="1"/>
    <xf numFmtId="44" fontId="4" fillId="0" borderId="28" xfId="2" applyFont="1" applyFill="1" applyBorder="1"/>
    <xf numFmtId="1" fontId="4" fillId="4" borderId="9" xfId="0" applyNumberFormat="1" applyFont="1" applyFill="1" applyBorder="1"/>
    <xf numFmtId="168" fontId="4" fillId="0" borderId="9" xfId="5" applyNumberFormat="1" applyFont="1" applyFill="1" applyBorder="1"/>
    <xf numFmtId="0" fontId="4" fillId="0" borderId="9" xfId="5" applyFont="1" applyFill="1" applyBorder="1"/>
    <xf numFmtId="1" fontId="4" fillId="0" borderId="9" xfId="6" applyNumberFormat="1" applyFont="1" applyFill="1" applyBorder="1" applyAlignment="1">
      <alignment horizontal="center" vertical="center" wrapText="1"/>
    </xf>
    <xf numFmtId="168" fontId="4" fillId="4" borderId="23" xfId="0" applyNumberFormat="1" applyFont="1" applyFill="1" applyBorder="1" applyAlignment="1">
      <alignment horizontal="center"/>
    </xf>
    <xf numFmtId="0" fontId="20" fillId="0" borderId="9" xfId="8" applyFont="1" applyFill="1" applyBorder="1" applyAlignment="1">
      <alignment horizontal="center"/>
    </xf>
    <xf numFmtId="0" fontId="20" fillId="0" borderId="9" xfId="8" applyFont="1" applyFill="1" applyBorder="1" applyAlignment="1">
      <alignment horizontal="left"/>
    </xf>
    <xf numFmtId="180" fontId="20" fillId="0" borderId="9" xfId="0" applyNumberFormat="1" applyFont="1" applyFill="1" applyBorder="1" applyAlignment="1">
      <alignment horizontal="center" vertical="center" wrapText="1"/>
    </xf>
    <xf numFmtId="169" fontId="20" fillId="0" borderId="9" xfId="8" applyNumberFormat="1" applyFont="1" applyFill="1" applyBorder="1" applyAlignment="1">
      <alignment horizontal="center"/>
    </xf>
    <xf numFmtId="165" fontId="20" fillId="0" borderId="9" xfId="0" applyNumberFormat="1" applyFont="1" applyFill="1" applyBorder="1" applyAlignment="1">
      <alignment horizontal="center" vertical="center" wrapText="1"/>
    </xf>
    <xf numFmtId="0" fontId="66" fillId="11" borderId="9" xfId="0" applyFont="1" applyFill="1" applyBorder="1" applyAlignment="1">
      <alignment horizontal="center" vertical="center" wrapText="1"/>
    </xf>
    <xf numFmtId="165" fontId="66" fillId="0" borderId="9" xfId="6" applyNumberFormat="1" applyFont="1" applyBorder="1" applyAlignment="1">
      <alignment horizontal="center" vertical="center" wrapText="1"/>
    </xf>
    <xf numFmtId="165" fontId="66" fillId="0" borderId="9" xfId="6" applyNumberFormat="1" applyFont="1" applyBorder="1" applyAlignment="1">
      <alignment horizontal="left" vertical="center" wrapText="1"/>
    </xf>
    <xf numFmtId="165" fontId="66" fillId="0" borderId="9" xfId="6" applyNumberFormat="1" applyFont="1" applyBorder="1" applyAlignment="1">
      <alignment horizontal="center"/>
    </xf>
    <xf numFmtId="171" fontId="66" fillId="0" borderId="9" xfId="6" applyNumberFormat="1" applyFont="1" applyBorder="1" applyAlignment="1">
      <alignment horizontal="center"/>
    </xf>
    <xf numFmtId="0" fontId="33" fillId="0" borderId="9" xfId="12" applyFont="1" applyBorder="1" applyAlignment="1">
      <alignment horizontal="center"/>
    </xf>
    <xf numFmtId="0" fontId="33" fillId="0" borderId="9" xfId="12" applyFont="1" applyBorder="1" applyAlignment="1">
      <alignment horizontal="center" vertical="center"/>
    </xf>
    <xf numFmtId="2" fontId="4" fillId="0" borderId="9" xfId="0" applyNumberFormat="1" applyFont="1" applyBorder="1" applyAlignment="1">
      <alignment horizontal="left"/>
    </xf>
    <xf numFmtId="169" fontId="4" fillId="0" borderId="9" xfId="0" applyNumberFormat="1" applyFont="1" applyBorder="1"/>
    <xf numFmtId="0" fontId="4" fillId="0" borderId="9" xfId="0" applyFont="1" applyBorder="1" applyAlignment="1">
      <alignment wrapText="1"/>
    </xf>
    <xf numFmtId="0" fontId="4" fillId="0" borderId="9" xfId="0" applyFont="1" applyBorder="1" applyAlignment="1">
      <alignment horizontal="left" wrapText="1"/>
    </xf>
    <xf numFmtId="39" fontId="1" fillId="0" borderId="0" xfId="0" applyNumberFormat="1" applyFont="1"/>
    <xf numFmtId="0" fontId="20" fillId="0" borderId="0" xfId="0" applyFont="1"/>
    <xf numFmtId="39" fontId="4" fillId="4" borderId="9" xfId="1" quotePrefix="1" applyNumberFormat="1" applyFont="1" applyFill="1" applyBorder="1" applyAlignment="1">
      <alignment horizontal="center" vertical="center" wrapText="1"/>
    </xf>
    <xf numFmtId="9" fontId="4" fillId="4" borderId="9" xfId="3" applyFont="1" applyFill="1" applyBorder="1" applyAlignment="1">
      <alignment horizontal="left" vertical="top" wrapText="1"/>
    </xf>
    <xf numFmtId="9" fontId="20" fillId="4" borderId="9" xfId="3" applyFont="1" applyFill="1" applyBorder="1" applyAlignment="1">
      <alignment horizontal="left" vertical="top" wrapText="1"/>
    </xf>
    <xf numFmtId="0" fontId="3" fillId="4" borderId="0" xfId="0" applyFont="1" applyFill="1" applyAlignment="1">
      <alignment horizontal="center"/>
    </xf>
    <xf numFmtId="0" fontId="0" fillId="4" borderId="0" xfId="0" applyFill="1"/>
    <xf numFmtId="0" fontId="7" fillId="0" borderId="0" xfId="0" applyFont="1" applyAlignment="1">
      <alignment horizontal="center" wrapText="1"/>
    </xf>
    <xf numFmtId="164" fontId="8" fillId="0" borderId="0" xfId="0" applyNumberFormat="1" applyFont="1" applyAlignment="1">
      <alignment horizontal="center" wrapText="1"/>
    </xf>
    <xf numFmtId="164" fontId="0" fillId="0" borderId="0" xfId="0" applyNumberFormat="1" applyAlignment="1">
      <alignment horizontal="center" wrapText="1"/>
    </xf>
    <xf numFmtId="0" fontId="9" fillId="5" borderId="2" xfId="0" applyFont="1" applyFill="1" applyBorder="1" applyAlignment="1">
      <alignment horizontal="center" vertical="center" wrapText="1"/>
    </xf>
    <xf numFmtId="0" fontId="0" fillId="5" borderId="6" xfId="0" applyFill="1" applyBorder="1" applyAlignment="1">
      <alignment wrapText="1"/>
    </xf>
    <xf numFmtId="0" fontId="0" fillId="5" borderId="7" xfId="0" applyFill="1" applyBorder="1" applyAlignment="1">
      <alignment horizontal="center" vertical="center" wrapText="1"/>
    </xf>
    <xf numFmtId="0" fontId="0" fillId="5" borderId="12" xfId="0" applyFill="1" applyBorder="1" applyAlignment="1">
      <alignment horizontal="center" vertical="center" wrapText="1"/>
    </xf>
    <xf numFmtId="0" fontId="9" fillId="5" borderId="3" xfId="0" applyFont="1" applyFill="1" applyBorder="1" applyAlignment="1">
      <alignment horizontal="center" vertical="center"/>
    </xf>
    <xf numFmtId="0" fontId="0" fillId="5" borderId="4" xfId="0" applyFill="1" applyBorder="1" applyAlignment="1">
      <alignment horizontal="center" vertical="center"/>
    </xf>
    <xf numFmtId="0" fontId="0" fillId="5" borderId="5" xfId="0" applyFill="1" applyBorder="1" applyAlignment="1">
      <alignment horizontal="center" vertical="center"/>
    </xf>
    <xf numFmtId="0" fontId="31" fillId="6" borderId="0" xfId="5" applyFont="1" applyFill="1" applyAlignment="1">
      <alignment vertical="center"/>
    </xf>
    <xf numFmtId="0" fontId="75" fillId="0" borderId="0" xfId="0" applyFont="1" applyAlignment="1">
      <alignment vertical="center"/>
    </xf>
    <xf numFmtId="0" fontId="65" fillId="6" borderId="0" xfId="5" applyFont="1" applyFill="1" applyAlignment="1">
      <alignment vertical="center"/>
    </xf>
    <xf numFmtId="0" fontId="74" fillId="0" borderId="0" xfId="0" applyFont="1" applyAlignment="1">
      <alignment vertical="center"/>
    </xf>
    <xf numFmtId="0" fontId="17" fillId="0" borderId="0" xfId="5" applyFont="1" applyAlignment="1">
      <alignment vertical="center" wrapText="1"/>
    </xf>
    <xf numFmtId="0" fontId="32" fillId="0" borderId="0" xfId="0" applyFont="1" applyAlignment="1">
      <alignment vertical="center" wrapText="1"/>
    </xf>
    <xf numFmtId="0" fontId="87" fillId="0" borderId="0" xfId="0" applyFont="1" applyAlignment="1">
      <alignment vertical="center" wrapText="1"/>
    </xf>
    <xf numFmtId="0" fontId="20" fillId="10" borderId="16" xfId="0" applyFont="1" applyFill="1" applyBorder="1" applyAlignment="1">
      <alignment horizontal="left"/>
    </xf>
    <xf numFmtId="0" fontId="20" fillId="10" borderId="17" xfId="0" applyFont="1" applyFill="1" applyBorder="1" applyAlignment="1">
      <alignment horizontal="left"/>
    </xf>
    <xf numFmtId="0" fontId="20" fillId="0" borderId="17" xfId="0" applyFont="1" applyBorder="1"/>
    <xf numFmtId="0" fontId="20" fillId="0" borderId="18" xfId="0" applyFont="1" applyBorder="1"/>
    <xf numFmtId="168" fontId="20" fillId="0" borderId="31" xfId="5" applyNumberFormat="1" applyFont="1" applyBorder="1" applyAlignment="1">
      <alignment horizontal="center" vertical="center"/>
    </xf>
    <xf numFmtId="168" fontId="20" fillId="0" borderId="30" xfId="5" applyNumberFormat="1" applyFont="1" applyBorder="1" applyAlignment="1">
      <alignment horizontal="center" vertical="center"/>
    </xf>
    <xf numFmtId="168" fontId="20" fillId="0" borderId="33" xfId="5" applyNumberFormat="1" applyFont="1" applyBorder="1" applyAlignment="1">
      <alignment horizontal="center" vertical="center"/>
    </xf>
    <xf numFmtId="0" fontId="20" fillId="0" borderId="31" xfId="0" applyFont="1" applyBorder="1" applyAlignment="1">
      <alignment horizontal="center" vertical="center"/>
    </xf>
    <xf numFmtId="0" fontId="20" fillId="0" borderId="30" xfId="0" applyFont="1" applyBorder="1" applyAlignment="1">
      <alignment horizontal="center" vertical="center"/>
    </xf>
    <xf numFmtId="0" fontId="20" fillId="0" borderId="33" xfId="0" applyFont="1" applyBorder="1" applyAlignment="1">
      <alignment horizontal="center" vertical="center"/>
    </xf>
    <xf numFmtId="2" fontId="20" fillId="0" borderId="16" xfId="0" applyNumberFormat="1" applyFont="1" applyBorder="1"/>
    <xf numFmtId="2" fontId="20" fillId="0" borderId="35" xfId="0" applyNumberFormat="1" applyFont="1" applyBorder="1" applyAlignment="1">
      <alignment horizontal="left"/>
    </xf>
    <xf numFmtId="2" fontId="20" fillId="0" borderId="36" xfId="0" applyNumberFormat="1" applyFont="1" applyBorder="1" applyAlignment="1">
      <alignment horizontal="left"/>
    </xf>
    <xf numFmtId="2" fontId="20" fillId="0" borderId="34" xfId="0" applyNumberFormat="1" applyFont="1" applyBorder="1" applyAlignment="1">
      <alignment horizontal="left"/>
    </xf>
    <xf numFmtId="168" fontId="20" fillId="0" borderId="9" xfId="5" applyNumberFormat="1" applyFont="1" applyBorder="1" applyAlignment="1">
      <alignment horizontal="left" vertical="top" wrapText="1"/>
    </xf>
    <xf numFmtId="168" fontId="20" fillId="0" borderId="9" xfId="5" applyNumberFormat="1" applyFont="1" applyBorder="1" applyAlignment="1">
      <alignment horizontal="left" vertical="center" wrapText="1"/>
    </xf>
    <xf numFmtId="0" fontId="0" fillId="0" borderId="17" xfId="0" applyBorder="1"/>
    <xf numFmtId="0" fontId="0" fillId="0" borderId="18" xfId="0" applyBorder="1"/>
    <xf numFmtId="0" fontId="20" fillId="11" borderId="19" xfId="5" applyFont="1" applyFill="1" applyBorder="1" applyAlignment="1">
      <alignment horizontal="center" vertical="center" wrapText="1"/>
    </xf>
    <xf numFmtId="168" fontId="20" fillId="0" borderId="4" xfId="5" applyNumberFormat="1" applyFont="1" applyBorder="1" applyAlignment="1">
      <alignment horizontal="left" vertical="center" wrapText="1"/>
    </xf>
    <xf numFmtId="0" fontId="20" fillId="0" borderId="0" xfId="0" applyFont="1" applyAlignment="1">
      <alignment wrapText="1"/>
    </xf>
    <xf numFmtId="168" fontId="0" fillId="0" borderId="31" xfId="5" applyNumberFormat="1" applyFont="1" applyBorder="1" applyAlignment="1">
      <alignment horizontal="center" vertical="center"/>
    </xf>
    <xf numFmtId="168" fontId="0" fillId="0" borderId="30" xfId="5" applyNumberFormat="1" applyFont="1" applyBorder="1" applyAlignment="1">
      <alignment horizontal="center" vertical="center"/>
    </xf>
    <xf numFmtId="168" fontId="0" fillId="0" borderId="33" xfId="5" applyNumberFormat="1" applyFont="1" applyBorder="1" applyAlignment="1">
      <alignment horizontal="center" vertical="center"/>
    </xf>
    <xf numFmtId="168" fontId="20" fillId="0" borderId="16" xfId="5" applyNumberFormat="1" applyFont="1" applyBorder="1" applyAlignment="1">
      <alignment horizontal="left" vertical="top" wrapText="1"/>
    </xf>
    <xf numFmtId="168" fontId="20" fillId="0" borderId="17" xfId="5" applyNumberFormat="1" applyFont="1" applyBorder="1" applyAlignment="1">
      <alignment horizontal="left" vertical="top" wrapText="1"/>
    </xf>
    <xf numFmtId="168" fontId="20" fillId="0" borderId="18" xfId="5" applyNumberFormat="1" applyFont="1" applyBorder="1" applyAlignment="1">
      <alignment horizontal="left" vertical="top" wrapText="1"/>
    </xf>
    <xf numFmtId="168" fontId="20" fillId="0" borderId="16" xfId="5" applyNumberFormat="1" applyFont="1" applyBorder="1" applyAlignment="1">
      <alignment horizontal="left" vertical="center" wrapText="1"/>
    </xf>
    <xf numFmtId="168" fontId="20" fillId="0" borderId="17" xfId="5" applyNumberFormat="1" applyFont="1" applyBorder="1" applyAlignment="1">
      <alignment horizontal="left" vertical="center" wrapText="1"/>
    </xf>
    <xf numFmtId="168" fontId="20" fillId="0" borderId="18" xfId="5" applyNumberFormat="1" applyFont="1" applyBorder="1" applyAlignment="1">
      <alignment horizontal="left" vertical="center" wrapText="1"/>
    </xf>
    <xf numFmtId="168" fontId="20" fillId="0" borderId="4" xfId="5" applyNumberFormat="1" applyFont="1" applyBorder="1" applyAlignment="1">
      <alignment horizontal="left" vertical="top" wrapText="1"/>
    </xf>
    <xf numFmtId="168" fontId="20" fillId="0" borderId="37" xfId="5" applyNumberFormat="1" applyFont="1" applyBorder="1" applyAlignment="1">
      <alignment horizontal="left" vertical="top" wrapText="1"/>
    </xf>
    <xf numFmtId="168" fontId="20" fillId="0" borderId="38" xfId="5" applyNumberFormat="1" applyFont="1" applyBorder="1" applyAlignment="1">
      <alignment horizontal="left" vertical="top" wrapText="1"/>
    </xf>
    <xf numFmtId="168" fontId="20" fillId="0" borderId="32" xfId="5" applyNumberFormat="1" applyFont="1" applyBorder="1" applyAlignment="1">
      <alignment horizontal="left" vertical="top" wrapText="1"/>
    </xf>
    <xf numFmtId="168" fontId="20" fillId="0" borderId="23" xfId="5" applyNumberFormat="1" applyFont="1" applyBorder="1" applyAlignment="1">
      <alignment horizontal="left" vertical="center" wrapText="1"/>
    </xf>
    <xf numFmtId="168" fontId="20" fillId="0" borderId="33" xfId="5" applyNumberFormat="1" applyFont="1" applyBorder="1" applyAlignment="1">
      <alignment horizontal="left" vertical="center" wrapText="1"/>
    </xf>
    <xf numFmtId="0" fontId="20" fillId="0" borderId="4" xfId="5" quotePrefix="1" applyFont="1" applyBorder="1" applyAlignment="1">
      <alignment horizontal="left" vertical="center" wrapText="1"/>
    </xf>
    <xf numFmtId="0" fontId="20" fillId="0" borderId="4" xfId="5" applyFont="1" applyBorder="1" applyAlignment="1">
      <alignment horizontal="left" vertical="center" wrapText="1"/>
    </xf>
    <xf numFmtId="0" fontId="20" fillId="0" borderId="33" xfId="5" applyFont="1" applyBorder="1" applyAlignment="1">
      <alignment horizontal="left" vertical="center" wrapText="1"/>
    </xf>
    <xf numFmtId="168" fontId="20" fillId="0" borderId="57" xfId="5" applyNumberFormat="1" applyFont="1" applyBorder="1" applyAlignment="1">
      <alignment horizontal="left" vertical="center" wrapText="1"/>
    </xf>
    <xf numFmtId="168" fontId="20" fillId="0" borderId="58" xfId="5" applyNumberFormat="1" applyFont="1" applyBorder="1" applyAlignment="1">
      <alignment horizontal="left" vertical="center" wrapText="1"/>
    </xf>
    <xf numFmtId="168" fontId="20" fillId="0" borderId="59" xfId="5" applyNumberFormat="1" applyFont="1" applyBorder="1" applyAlignment="1">
      <alignment horizontal="left" vertical="center" wrapText="1"/>
    </xf>
    <xf numFmtId="168" fontId="20" fillId="0" borderId="22" xfId="5" applyNumberFormat="1" applyFont="1" applyBorder="1" applyAlignment="1">
      <alignment horizontal="left" vertical="center" wrapText="1"/>
    </xf>
    <xf numFmtId="168" fontId="20" fillId="0" borderId="0" xfId="5" applyNumberFormat="1" applyFont="1" applyAlignment="1">
      <alignment horizontal="left" vertical="center" wrapText="1"/>
    </xf>
    <xf numFmtId="168" fontId="20" fillId="0" borderId="24" xfId="5" applyNumberFormat="1" applyFont="1" applyBorder="1" applyAlignment="1">
      <alignment horizontal="left" vertical="center" wrapText="1"/>
    </xf>
    <xf numFmtId="168" fontId="20" fillId="0" borderId="60" xfId="5" applyNumberFormat="1" applyFont="1" applyBorder="1" applyAlignment="1">
      <alignment horizontal="left" vertical="center" wrapText="1"/>
    </xf>
    <xf numFmtId="168" fontId="20" fillId="0" borderId="61" xfId="5" applyNumberFormat="1" applyFont="1" applyBorder="1" applyAlignment="1">
      <alignment horizontal="left" vertical="center" wrapText="1"/>
    </xf>
    <xf numFmtId="168" fontId="20" fillId="0" borderId="62" xfId="5" applyNumberFormat="1" applyFont="1" applyBorder="1" applyAlignment="1">
      <alignment horizontal="left" vertical="center" wrapText="1"/>
    </xf>
    <xf numFmtId="168" fontId="1" fillId="0" borderId="31" xfId="5" applyNumberFormat="1" applyFont="1" applyBorder="1" applyAlignment="1">
      <alignment horizontal="center" vertical="center"/>
    </xf>
    <xf numFmtId="168" fontId="1" fillId="0" borderId="30" xfId="5" applyNumberFormat="1" applyFont="1" applyBorder="1" applyAlignment="1">
      <alignment horizontal="center" vertical="center"/>
    </xf>
    <xf numFmtId="168" fontId="1" fillId="0" borderId="33" xfId="5" applyNumberFormat="1" applyFont="1" applyBorder="1" applyAlignment="1">
      <alignment horizontal="center" vertical="center"/>
    </xf>
    <xf numFmtId="0" fontId="20" fillId="0" borderId="31" xfId="0" applyFont="1" applyBorder="1" applyAlignment="1">
      <alignment horizontal="left" vertical="center"/>
    </xf>
    <xf numFmtId="0" fontId="20" fillId="0" borderId="30" xfId="0" applyFont="1" applyBorder="1" applyAlignment="1">
      <alignment horizontal="left" vertical="center"/>
    </xf>
    <xf numFmtId="0" fontId="20" fillId="0" borderId="33" xfId="0" applyFont="1" applyBorder="1" applyAlignment="1">
      <alignment horizontal="left" vertical="center"/>
    </xf>
    <xf numFmtId="168" fontId="1" fillId="0" borderId="23" xfId="5" applyNumberFormat="1" applyFont="1" applyBorder="1" applyAlignment="1">
      <alignment horizontal="center" vertical="center"/>
    </xf>
    <xf numFmtId="168" fontId="20" fillId="0" borderId="35" xfId="5" applyNumberFormat="1" applyFont="1" applyBorder="1" applyAlignment="1">
      <alignment horizontal="left" vertical="top" wrapText="1"/>
    </xf>
    <xf numFmtId="168" fontId="20" fillId="0" borderId="36" xfId="5" applyNumberFormat="1" applyFont="1" applyBorder="1" applyAlignment="1">
      <alignment horizontal="left" vertical="top" wrapText="1"/>
    </xf>
    <xf numFmtId="168" fontId="20" fillId="0" borderId="34" xfId="5" applyNumberFormat="1" applyFont="1" applyBorder="1" applyAlignment="1">
      <alignment horizontal="left" vertical="top" wrapText="1"/>
    </xf>
    <xf numFmtId="168" fontId="1" fillId="0" borderId="19" xfId="5" applyNumberFormat="1" applyFont="1" applyBorder="1" applyAlignment="1">
      <alignment horizontal="center" vertical="center"/>
    </xf>
    <xf numFmtId="0" fontId="25" fillId="4" borderId="31" xfId="8" applyFont="1" applyFill="1" applyBorder="1" applyAlignment="1">
      <alignment horizontal="center" vertical="center" wrapText="1"/>
    </xf>
    <xf numFmtId="0" fontId="25" fillId="4" borderId="33" xfId="8" applyFont="1" applyFill="1" applyBorder="1" applyAlignment="1">
      <alignment horizontal="center" vertical="center" wrapText="1"/>
    </xf>
    <xf numFmtId="0" fontId="25" fillId="4" borderId="31" xfId="8" applyFont="1" applyFill="1" applyBorder="1" applyAlignment="1">
      <alignment horizontal="center" vertical="center"/>
    </xf>
    <xf numFmtId="0" fontId="25" fillId="4" borderId="33" xfId="8" applyFont="1" applyFill="1" applyBorder="1" applyAlignment="1">
      <alignment horizontal="center" vertical="center"/>
    </xf>
    <xf numFmtId="3" fontId="20" fillId="4" borderId="9" xfId="0" applyNumberFormat="1" applyFont="1" applyFill="1" applyBorder="1" applyAlignment="1">
      <alignment horizontal="left" vertical="center" wrapText="1"/>
    </xf>
    <xf numFmtId="165" fontId="20" fillId="4" borderId="9" xfId="13" applyNumberFormat="1" applyFont="1" applyFill="1" applyBorder="1" applyAlignment="1">
      <alignment horizontal="left" vertical="center" wrapText="1"/>
    </xf>
    <xf numFmtId="165" fontId="20" fillId="4" borderId="16" xfId="13" applyNumberFormat="1" applyFont="1" applyFill="1" applyBorder="1" applyAlignment="1">
      <alignment horizontal="left" vertical="center" wrapText="1"/>
    </xf>
    <xf numFmtId="165" fontId="20" fillId="4" borderId="17" xfId="13" applyNumberFormat="1" applyFont="1" applyFill="1" applyBorder="1" applyAlignment="1">
      <alignment horizontal="left" vertical="center" wrapText="1"/>
    </xf>
    <xf numFmtId="165" fontId="20" fillId="4" borderId="18" xfId="13" applyNumberFormat="1" applyFont="1" applyFill="1" applyBorder="1" applyAlignment="1">
      <alignment horizontal="left" vertical="center" wrapText="1"/>
    </xf>
    <xf numFmtId="0" fontId="20" fillId="4" borderId="9" xfId="8" applyFont="1" applyFill="1" applyBorder="1" applyAlignment="1">
      <alignment wrapText="1"/>
    </xf>
    <xf numFmtId="165" fontId="20" fillId="4" borderId="9" xfId="13" applyNumberFormat="1" applyFont="1" applyFill="1" applyBorder="1" applyAlignment="1">
      <alignment vertical="center" wrapText="1"/>
    </xf>
    <xf numFmtId="0" fontId="20" fillId="4" borderId="9" xfId="0" applyFont="1" applyFill="1" applyBorder="1" applyAlignment="1">
      <alignment horizontal="left" vertical="center" wrapText="1"/>
    </xf>
    <xf numFmtId="0" fontId="20" fillId="4" borderId="19" xfId="0" applyFont="1" applyFill="1" applyBorder="1" applyAlignment="1">
      <alignment horizontal="left" vertical="center" wrapText="1"/>
    </xf>
    <xf numFmtId="0" fontId="20" fillId="4" borderId="23" xfId="0" applyFont="1" applyFill="1" applyBorder="1" applyAlignment="1">
      <alignment horizontal="left" vertical="center" wrapText="1"/>
    </xf>
    <xf numFmtId="0" fontId="20" fillId="4" borderId="19" xfId="8" applyFont="1" applyFill="1" applyBorder="1" applyAlignment="1">
      <alignment horizontal="left" vertical="center" wrapText="1"/>
    </xf>
    <xf numFmtId="0" fontId="20" fillId="4" borderId="23" xfId="8" applyFont="1" applyFill="1" applyBorder="1" applyAlignment="1">
      <alignment horizontal="left" vertical="center" wrapText="1"/>
    </xf>
    <xf numFmtId="0" fontId="4" fillId="4" borderId="19"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20" fillId="11" borderId="9" xfId="0" applyFont="1" applyFill="1" applyBorder="1" applyAlignment="1">
      <alignment horizontal="center" vertical="center" wrapText="1"/>
    </xf>
    <xf numFmtId="165" fontId="20" fillId="4" borderId="16" xfId="13" applyNumberFormat="1" applyFont="1" applyFill="1" applyBorder="1" applyAlignment="1">
      <alignment vertical="center" wrapText="1"/>
    </xf>
    <xf numFmtId="165" fontId="20" fillId="4" borderId="17" xfId="13" applyNumberFormat="1" applyFont="1" applyFill="1" applyBorder="1" applyAlignment="1">
      <alignment vertical="center" wrapText="1"/>
    </xf>
    <xf numFmtId="165" fontId="20" fillId="4" borderId="18" xfId="13" applyNumberFormat="1" applyFont="1" applyFill="1" applyBorder="1" applyAlignment="1">
      <alignment vertical="center" wrapText="1"/>
    </xf>
    <xf numFmtId="0" fontId="25" fillId="0" borderId="20" xfId="8" applyFont="1" applyBorder="1" applyAlignment="1">
      <alignment horizontal="left" vertical="center" wrapText="1"/>
    </xf>
    <xf numFmtId="0" fontId="25" fillId="0" borderId="21" xfId="8" applyFont="1" applyBorder="1" applyAlignment="1">
      <alignment horizontal="left" vertical="center" wrapText="1"/>
    </xf>
    <xf numFmtId="0" fontId="25" fillId="0" borderId="22" xfId="8" applyFont="1" applyBorder="1" applyAlignment="1">
      <alignment horizontal="left" vertical="center" wrapText="1"/>
    </xf>
    <xf numFmtId="0" fontId="25" fillId="0" borderId="24" xfId="8" applyFont="1" applyBorder="1" applyAlignment="1">
      <alignment horizontal="left" vertical="center" wrapText="1"/>
    </xf>
    <xf numFmtId="0" fontId="25" fillId="0" borderId="25" xfId="8" applyFont="1" applyBorder="1" applyAlignment="1">
      <alignment horizontal="left" vertical="center" wrapText="1"/>
    </xf>
    <xf numFmtId="0" fontId="25" fillId="0" borderId="26" xfId="8" applyFont="1" applyBorder="1" applyAlignment="1">
      <alignment horizontal="left" vertical="center" wrapText="1"/>
    </xf>
    <xf numFmtId="0" fontId="25" fillId="0" borderId="20" xfId="8" applyFont="1" applyBorder="1" applyAlignment="1">
      <alignment horizontal="left" wrapText="1"/>
    </xf>
    <xf numFmtId="0" fontId="25" fillId="0" borderId="21" xfId="8" applyFont="1" applyBorder="1" applyAlignment="1">
      <alignment horizontal="left" wrapText="1"/>
    </xf>
    <xf numFmtId="0" fontId="25" fillId="0" borderId="25" xfId="8" applyFont="1" applyBorder="1" applyAlignment="1">
      <alignment horizontal="left" wrapText="1"/>
    </xf>
    <xf numFmtId="0" fontId="25" fillId="0" borderId="26" xfId="8" applyFont="1" applyBorder="1" applyAlignment="1">
      <alignment horizontal="left" wrapText="1"/>
    </xf>
    <xf numFmtId="0" fontId="25" fillId="0" borderId="16" xfId="8" applyFont="1" applyBorder="1" applyAlignment="1">
      <alignment horizontal="left" wrapText="1"/>
    </xf>
    <xf numFmtId="0" fontId="25" fillId="0" borderId="18" xfId="8" applyFont="1" applyBorder="1" applyAlignment="1">
      <alignment horizontal="left" wrapText="1"/>
    </xf>
    <xf numFmtId="0" fontId="25" fillId="0" borderId="16" xfId="8" applyFont="1" applyBorder="1" applyAlignment="1">
      <alignment horizontal="center" wrapText="1"/>
    </xf>
    <xf numFmtId="0" fontId="25" fillId="0" borderId="18" xfId="8" applyFont="1" applyBorder="1" applyAlignment="1">
      <alignment horizontal="center" wrapText="1"/>
    </xf>
    <xf numFmtId="0" fontId="25" fillId="0" borderId="9" xfId="8" applyFont="1" applyBorder="1" applyAlignment="1">
      <alignment horizontal="left" wrapText="1"/>
    </xf>
    <xf numFmtId="0" fontId="1" fillId="4" borderId="19" xfId="13" applyFill="1" applyBorder="1" applyAlignment="1">
      <alignment horizontal="left" vertical="center" wrapText="1"/>
    </xf>
    <xf numFmtId="0" fontId="1" fillId="4" borderId="30" xfId="13" applyFill="1" applyBorder="1" applyAlignment="1">
      <alignment horizontal="left" vertical="center" wrapText="1"/>
    </xf>
    <xf numFmtId="0" fontId="1" fillId="4" borderId="23" xfId="13" applyFill="1" applyBorder="1" applyAlignment="1">
      <alignment horizontal="left" vertical="center" wrapText="1"/>
    </xf>
    <xf numFmtId="165" fontId="20" fillId="0" borderId="9" xfId="13" applyNumberFormat="1" applyFont="1" applyBorder="1" applyAlignment="1">
      <alignment horizontal="left" vertical="center" wrapText="1"/>
    </xf>
    <xf numFmtId="165" fontId="20" fillId="0" borderId="14" xfId="13" applyNumberFormat="1" applyFont="1" applyBorder="1" applyAlignment="1">
      <alignment horizontal="left" vertical="center" wrapText="1"/>
    </xf>
    <xf numFmtId="165" fontId="20" fillId="4" borderId="19" xfId="13" applyNumberFormat="1" applyFont="1" applyFill="1" applyBorder="1" applyAlignment="1">
      <alignment vertical="center" wrapText="1"/>
    </xf>
    <xf numFmtId="0" fontId="20" fillId="0" borderId="30" xfId="0" applyFont="1" applyBorder="1" applyAlignment="1">
      <alignment vertical="center" wrapText="1"/>
    </xf>
    <xf numFmtId="0" fontId="20" fillId="0" borderId="23" xfId="0" applyFont="1" applyBorder="1" applyAlignment="1">
      <alignment vertical="center" wrapText="1"/>
    </xf>
    <xf numFmtId="0" fontId="65" fillId="0" borderId="0" xfId="5" applyFont="1" applyAlignment="1">
      <alignment vertical="center" wrapText="1"/>
    </xf>
    <xf numFmtId="0" fontId="74" fillId="0" borderId="0" xfId="0" applyFont="1" applyAlignment="1">
      <alignment vertical="center" wrapText="1"/>
    </xf>
    <xf numFmtId="0" fontId="20" fillId="0" borderId="0" xfId="0" applyFont="1" applyAlignment="1">
      <alignment vertical="center" wrapText="1"/>
    </xf>
    <xf numFmtId="0" fontId="20" fillId="0" borderId="19" xfId="13" applyFont="1" applyBorder="1" applyAlignment="1">
      <alignment horizontal="left" vertical="center" wrapText="1"/>
    </xf>
    <xf numFmtId="0" fontId="20" fillId="0" borderId="30" xfId="13" applyFont="1" applyBorder="1" applyAlignment="1">
      <alignment horizontal="left" vertical="center" wrapText="1"/>
    </xf>
    <xf numFmtId="0" fontId="20" fillId="0" borderId="33" xfId="13" applyFont="1" applyBorder="1" applyAlignment="1">
      <alignment horizontal="left" vertical="center" wrapText="1"/>
    </xf>
    <xf numFmtId="0" fontId="68" fillId="0" borderId="19" xfId="8" applyFont="1" applyBorder="1" applyAlignment="1">
      <alignment horizontal="left" vertical="center"/>
    </xf>
    <xf numFmtId="0" fontId="68" fillId="0" borderId="30" xfId="8" applyFont="1" applyBorder="1" applyAlignment="1">
      <alignment horizontal="left" vertical="center"/>
    </xf>
    <xf numFmtId="0" fontId="20" fillId="0" borderId="23" xfId="0" applyFont="1" applyBorder="1" applyAlignment="1">
      <alignment horizontal="left" vertical="center"/>
    </xf>
    <xf numFmtId="0" fontId="38" fillId="0" borderId="19" xfId="8" applyFont="1" applyBorder="1" applyAlignment="1">
      <alignment horizontal="left" vertical="center"/>
    </xf>
    <xf numFmtId="0" fontId="38" fillId="0" borderId="30" xfId="8" applyFont="1" applyBorder="1" applyAlignment="1">
      <alignment horizontal="left" vertical="center"/>
    </xf>
    <xf numFmtId="0" fontId="0" fillId="0" borderId="23" xfId="0" applyBorder="1" applyAlignment="1">
      <alignment horizontal="left" vertical="center"/>
    </xf>
    <xf numFmtId="165" fontId="20" fillId="0" borderId="23" xfId="13" applyNumberFormat="1" applyFont="1" applyBorder="1" applyAlignment="1">
      <alignment horizontal="left" vertical="center" wrapText="1"/>
    </xf>
    <xf numFmtId="0" fontId="0" fillId="0" borderId="30" xfId="0" applyBorder="1" applyAlignment="1">
      <alignment horizontal="left" vertical="center"/>
    </xf>
    <xf numFmtId="0" fontId="68" fillId="0" borderId="23" xfId="8" applyFont="1" applyBorder="1" applyAlignment="1">
      <alignment horizontal="left" vertical="center"/>
    </xf>
    <xf numFmtId="0" fontId="38" fillId="0" borderId="23" xfId="8" applyFont="1" applyBorder="1" applyAlignment="1">
      <alignment horizontal="left" vertical="center"/>
    </xf>
    <xf numFmtId="0" fontId="25" fillId="0" borderId="19" xfId="8" applyFont="1" applyBorder="1" applyAlignment="1">
      <alignment vertical="center" wrapText="1"/>
    </xf>
    <xf numFmtId="0" fontId="25" fillId="0" borderId="30" xfId="8" applyFont="1" applyBorder="1" applyAlignment="1">
      <alignment vertical="center" wrapText="1"/>
    </xf>
    <xf numFmtId="165" fontId="20" fillId="0" borderId="9" xfId="6" applyNumberFormat="1" applyFont="1" applyBorder="1" applyAlignment="1">
      <alignment horizontal="left" vertical="center" wrapText="1"/>
    </xf>
    <xf numFmtId="165" fontId="66" fillId="4" borderId="9" xfId="6" applyNumberFormat="1" applyFont="1" applyFill="1" applyBorder="1" applyAlignment="1">
      <alignment horizontal="left" vertical="center" wrapText="1"/>
    </xf>
    <xf numFmtId="165" fontId="66" fillId="0" borderId="9" xfId="6" applyNumberFormat="1" applyFont="1" applyBorder="1" applyAlignment="1">
      <alignment horizontal="left" vertical="center" wrapText="1"/>
    </xf>
    <xf numFmtId="165" fontId="20" fillId="0" borderId="16" xfId="6" applyNumberFormat="1" applyFont="1" applyBorder="1" applyAlignment="1">
      <alignment horizontal="left" vertical="center" wrapText="1"/>
    </xf>
    <xf numFmtId="0" fontId="20" fillId="0" borderId="18" xfId="0" applyFont="1" applyBorder="1" applyAlignment="1">
      <alignment horizontal="left" vertical="center" wrapText="1"/>
    </xf>
    <xf numFmtId="0" fontId="20" fillId="0" borderId="9" xfId="6" applyFont="1" applyBorder="1" applyAlignment="1">
      <alignment horizontal="left" vertical="center"/>
    </xf>
    <xf numFmtId="0" fontId="20" fillId="0" borderId="20" xfId="6" applyFont="1" applyBorder="1" applyAlignment="1">
      <alignment horizontal="left"/>
    </xf>
    <xf numFmtId="0" fontId="20" fillId="0" borderId="25" xfId="6" applyFont="1" applyBorder="1" applyAlignment="1">
      <alignment horizontal="left"/>
    </xf>
    <xf numFmtId="165" fontId="38" fillId="0" borderId="82" xfId="8" applyNumberFormat="1" applyFont="1" applyBorder="1" applyAlignment="1">
      <alignment horizontal="left" vertical="center"/>
    </xf>
    <xf numFmtId="165" fontId="47" fillId="0" borderId="19" xfId="8" applyNumberFormat="1" applyFont="1" applyBorder="1" applyAlignment="1">
      <alignment horizontal="left" vertical="center"/>
    </xf>
    <xf numFmtId="165" fontId="47" fillId="0" borderId="23" xfId="8" applyNumberFormat="1" applyFont="1" applyBorder="1" applyAlignment="1">
      <alignment horizontal="left" vertical="center"/>
    </xf>
    <xf numFmtId="0" fontId="20" fillId="0" borderId="19" xfId="6" applyFont="1" applyBorder="1" applyAlignment="1">
      <alignment horizontal="left" vertical="center"/>
    </xf>
    <xf numFmtId="0" fontId="20" fillId="0" borderId="23" xfId="6" applyFont="1" applyBorder="1" applyAlignment="1">
      <alignment horizontal="left" vertical="center"/>
    </xf>
    <xf numFmtId="165" fontId="38" fillId="0" borderId="19" xfId="8" applyNumberFormat="1" applyFont="1" applyBorder="1" applyAlignment="1">
      <alignment horizontal="left" vertical="center"/>
    </xf>
    <xf numFmtId="165" fontId="38" fillId="0" borderId="23" xfId="8" applyNumberFormat="1" applyFont="1" applyBorder="1" applyAlignment="1">
      <alignment horizontal="left" vertical="center"/>
    </xf>
    <xf numFmtId="0" fontId="20" fillId="0" borderId="9" xfId="6" applyFont="1" applyBorder="1" applyAlignment="1">
      <alignment wrapText="1"/>
    </xf>
    <xf numFmtId="0" fontId="20" fillId="0" borderId="9" xfId="0" applyFont="1" applyBorder="1" applyAlignment="1">
      <alignment wrapText="1"/>
    </xf>
    <xf numFmtId="0" fontId="20" fillId="0" borderId="4" xfId="0" applyFont="1" applyBorder="1" applyAlignment="1">
      <alignment horizontal="left" vertical="center" wrapText="1"/>
    </xf>
    <xf numFmtId="0" fontId="20" fillId="0" borderId="9" xfId="0" applyFont="1" applyBorder="1" applyAlignment="1">
      <alignment horizontal="left" vertical="center" wrapText="1"/>
    </xf>
    <xf numFmtId="0" fontId="20" fillId="0" borderId="14" xfId="0" applyFont="1" applyBorder="1" applyAlignment="1">
      <alignment horizontal="left" vertical="center" wrapText="1"/>
    </xf>
    <xf numFmtId="0" fontId="20" fillId="0" borderId="4" xfId="6" applyFont="1" applyBorder="1" applyAlignment="1">
      <alignment horizontal="left" vertical="center" wrapText="1"/>
    </xf>
    <xf numFmtId="0" fontId="20" fillId="0" borderId="9" xfId="6" applyFont="1" applyBorder="1" applyAlignment="1">
      <alignment horizontal="left" vertical="center" wrapText="1"/>
    </xf>
    <xf numFmtId="0" fontId="20" fillId="0" borderId="19" xfId="6" applyFont="1" applyBorder="1" applyAlignment="1">
      <alignment horizontal="left" vertical="center" wrapText="1"/>
    </xf>
    <xf numFmtId="0" fontId="20" fillId="0" borderId="3" xfId="0" applyFont="1" applyBorder="1" applyAlignment="1">
      <alignment horizontal="left" vertical="center" wrapText="1"/>
    </xf>
    <xf numFmtId="0" fontId="20" fillId="0" borderId="8" xfId="0" applyFont="1" applyBorder="1" applyAlignment="1">
      <alignment horizontal="left" vertical="center" wrapText="1"/>
    </xf>
    <xf numFmtId="0" fontId="20" fillId="0" borderId="13" xfId="0" applyFont="1" applyBorder="1" applyAlignment="1">
      <alignment horizontal="left" vertical="center" wrapText="1"/>
    </xf>
    <xf numFmtId="0" fontId="20" fillId="0" borderId="14" xfId="6" applyFont="1" applyBorder="1" applyAlignment="1">
      <alignment horizontal="left" vertical="center" wrapText="1"/>
    </xf>
    <xf numFmtId="0" fontId="20" fillId="0" borderId="9" xfId="0" applyFont="1" applyBorder="1"/>
    <xf numFmtId="0" fontId="20" fillId="4" borderId="9" xfId="8" applyFont="1" applyFill="1" applyBorder="1" applyAlignment="1">
      <alignment horizontal="left" vertical="center" wrapText="1"/>
    </xf>
    <xf numFmtId="165" fontId="20" fillId="0" borderId="18" xfId="6" applyNumberFormat="1" applyFont="1" applyBorder="1" applyAlignment="1">
      <alignment horizontal="left" vertical="center" wrapText="1"/>
    </xf>
    <xf numFmtId="0" fontId="20" fillId="0" borderId="19" xfId="0" applyFont="1" applyBorder="1" applyAlignment="1">
      <alignment horizontal="left" vertical="center" wrapText="1"/>
    </xf>
    <xf numFmtId="0" fontId="20" fillId="0" borderId="23" xfId="0" applyFont="1" applyBorder="1" applyAlignment="1">
      <alignment horizontal="left" vertical="center" wrapText="1"/>
    </xf>
    <xf numFmtId="165" fontId="20" fillId="0" borderId="16" xfId="13" applyNumberFormat="1" applyFont="1" applyBorder="1" applyAlignment="1">
      <alignment horizontal="center" vertical="center" wrapText="1"/>
    </xf>
    <xf numFmtId="165" fontId="20" fillId="0" borderId="18" xfId="13" applyNumberFormat="1" applyFont="1" applyBorder="1" applyAlignment="1">
      <alignment horizontal="center" vertical="center" wrapText="1"/>
    </xf>
    <xf numFmtId="0" fontId="20" fillId="0" borderId="16" xfId="0" applyFont="1" applyBorder="1" applyAlignment="1">
      <alignment horizontal="left" vertical="center" wrapText="1"/>
    </xf>
    <xf numFmtId="0" fontId="20" fillId="0" borderId="17" xfId="0" applyFont="1" applyBorder="1" applyAlignment="1">
      <alignment horizontal="left" vertical="center" wrapText="1"/>
    </xf>
    <xf numFmtId="0" fontId="20" fillId="0" borderId="16"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8" xfId="0" applyFont="1" applyBorder="1" applyAlignment="1">
      <alignment horizontal="center" vertical="center" wrapText="1"/>
    </xf>
    <xf numFmtId="0" fontId="20" fillId="11" borderId="16" xfId="0" applyFont="1" applyFill="1" applyBorder="1" applyAlignment="1">
      <alignment horizontal="center" vertical="center" wrapText="1"/>
    </xf>
    <xf numFmtId="0" fontId="20" fillId="11" borderId="18" xfId="0" applyFont="1" applyFill="1" applyBorder="1" applyAlignment="1">
      <alignment horizontal="center" vertical="center" wrapText="1"/>
    </xf>
    <xf numFmtId="2" fontId="20" fillId="4" borderId="9" xfId="0" applyNumberFormat="1" applyFont="1" applyFill="1" applyBorder="1" applyAlignment="1">
      <alignment horizontal="left" vertical="center"/>
    </xf>
    <xf numFmtId="0" fontId="20" fillId="0" borderId="9" xfId="0" applyFont="1" applyBorder="1" applyAlignment="1">
      <alignment vertical="center" wrapText="1"/>
    </xf>
    <xf numFmtId="180" fontId="20" fillId="4" borderId="9" xfId="0" applyNumberFormat="1" applyFont="1" applyFill="1" applyBorder="1" applyAlignment="1">
      <alignment horizontal="left"/>
    </xf>
    <xf numFmtId="0" fontId="20" fillId="0" borderId="9" xfId="0" applyFont="1" applyBorder="1" applyAlignment="1">
      <alignment horizontal="left" vertical="center"/>
    </xf>
    <xf numFmtId="0" fontId="20" fillId="4" borderId="9" xfId="0" applyFont="1" applyFill="1" applyBorder="1" applyAlignment="1">
      <alignment vertical="center" wrapText="1"/>
    </xf>
    <xf numFmtId="0" fontId="20" fillId="4" borderId="9" xfId="0" applyFont="1" applyFill="1" applyBorder="1" applyAlignment="1">
      <alignment horizontal="left" vertical="center"/>
    </xf>
    <xf numFmtId="165" fontId="20" fillId="4" borderId="9" xfId="0" applyNumberFormat="1" applyFont="1" applyFill="1" applyBorder="1" applyAlignment="1">
      <alignment horizontal="left" vertical="center" wrapText="1"/>
    </xf>
    <xf numFmtId="3" fontId="20" fillId="0" borderId="9" xfId="0" applyNumberFormat="1" applyFont="1" applyBorder="1" applyAlignment="1">
      <alignment horizontal="left" vertical="center" wrapText="1"/>
    </xf>
    <xf numFmtId="7" fontId="20" fillId="0" borderId="9" xfId="2" applyNumberFormat="1" applyFont="1" applyFill="1" applyBorder="1" applyAlignment="1">
      <alignment horizontal="left"/>
    </xf>
    <xf numFmtId="165" fontId="20" fillId="0" borderId="9" xfId="8" applyNumberFormat="1" applyFont="1" applyBorder="1" applyAlignment="1">
      <alignment horizontal="left"/>
    </xf>
    <xf numFmtId="9" fontId="20" fillId="0" borderId="9" xfId="0" applyNumberFormat="1" applyFont="1" applyBorder="1" applyAlignment="1">
      <alignment horizontal="left" vertical="center" wrapText="1"/>
    </xf>
    <xf numFmtId="0" fontId="20" fillId="0" borderId="19" xfId="0" applyFont="1" applyBorder="1" applyAlignment="1">
      <alignment vertical="center" wrapText="1"/>
    </xf>
    <xf numFmtId="0" fontId="20" fillId="0" borderId="30" xfId="0" applyFont="1" applyBorder="1" applyAlignment="1">
      <alignment horizontal="left" vertical="center" wrapText="1"/>
    </xf>
    <xf numFmtId="0" fontId="20" fillId="4" borderId="19" xfId="0" applyFont="1" applyFill="1" applyBorder="1" applyAlignment="1">
      <alignment vertical="center" wrapText="1"/>
    </xf>
    <xf numFmtId="0" fontId="20" fillId="4" borderId="30" xfId="0" applyFont="1" applyFill="1" applyBorder="1" applyAlignment="1">
      <alignment vertical="center" wrapText="1"/>
    </xf>
    <xf numFmtId="0" fontId="20" fillId="4" borderId="23" xfId="0" applyFont="1" applyFill="1" applyBorder="1" applyAlignment="1">
      <alignment vertical="center" wrapText="1"/>
    </xf>
    <xf numFmtId="0" fontId="48" fillId="0" borderId="19" xfId="8" applyFont="1" applyBorder="1" applyAlignment="1">
      <alignment horizontal="left" vertical="center"/>
    </xf>
    <xf numFmtId="0" fontId="48" fillId="0" borderId="30" xfId="8" applyFont="1" applyBorder="1" applyAlignment="1">
      <alignment horizontal="left" vertical="center"/>
    </xf>
    <xf numFmtId="9" fontId="20" fillId="4" borderId="16" xfId="0" applyNumberFormat="1" applyFont="1" applyFill="1" applyBorder="1" applyAlignment="1">
      <alignment horizontal="left" vertical="center" wrapText="1"/>
    </xf>
    <xf numFmtId="9" fontId="20" fillId="4" borderId="18" xfId="0" applyNumberFormat="1" applyFont="1" applyFill="1" applyBorder="1" applyAlignment="1">
      <alignment horizontal="left" vertical="center" wrapText="1"/>
    </xf>
    <xf numFmtId="3" fontId="20" fillId="0" borderId="16" xfId="0" applyNumberFormat="1" applyFont="1" applyBorder="1" applyAlignment="1">
      <alignment horizontal="left" vertical="center" wrapText="1"/>
    </xf>
    <xf numFmtId="3" fontId="20" fillId="0" borderId="18" xfId="0" applyNumberFormat="1" applyFont="1" applyBorder="1" applyAlignment="1">
      <alignment horizontal="left" vertical="center" wrapText="1"/>
    </xf>
    <xf numFmtId="180" fontId="20" fillId="4" borderId="16" xfId="0" applyNumberFormat="1" applyFont="1" applyFill="1" applyBorder="1" applyAlignment="1">
      <alignment horizontal="left" vertical="center"/>
    </xf>
    <xf numFmtId="180" fontId="20" fillId="4" borderId="18" xfId="0" applyNumberFormat="1" applyFont="1" applyFill="1" applyBorder="1" applyAlignment="1">
      <alignment horizontal="left" vertical="center"/>
    </xf>
    <xf numFmtId="0" fontId="20" fillId="4" borderId="16" xfId="0" applyFont="1" applyFill="1" applyBorder="1" applyAlignment="1">
      <alignment horizontal="left" vertical="center"/>
    </xf>
    <xf numFmtId="0" fontId="20" fillId="4" borderId="18" xfId="0" applyFont="1" applyFill="1" applyBorder="1" applyAlignment="1">
      <alignment horizontal="left" vertical="center"/>
    </xf>
    <xf numFmtId="0" fontId="6" fillId="0" borderId="0" xfId="0" applyFont="1" applyAlignment="1">
      <alignment vertical="center"/>
    </xf>
    <xf numFmtId="0" fontId="20" fillId="0" borderId="19" xfId="0" applyFont="1" applyBorder="1" applyAlignment="1">
      <alignment horizontal="left" vertical="center"/>
    </xf>
    <xf numFmtId="0" fontId="20" fillId="0" borderId="16" xfId="8" applyFont="1" applyBorder="1" applyAlignment="1">
      <alignment horizontal="left"/>
    </xf>
    <xf numFmtId="0" fontId="20" fillId="0" borderId="18" xfId="8" applyFont="1" applyBorder="1" applyAlignment="1">
      <alignment horizontal="left"/>
    </xf>
    <xf numFmtId="0" fontId="20" fillId="0" borderId="35" xfId="0" applyFont="1" applyBorder="1" applyAlignment="1">
      <alignment horizontal="left" vertical="center"/>
    </xf>
    <xf numFmtId="0" fontId="20" fillId="0" borderId="34" xfId="0" applyFont="1" applyBorder="1" applyAlignment="1">
      <alignment horizontal="left" vertical="center"/>
    </xf>
    <xf numFmtId="0" fontId="20" fillId="0" borderId="16" xfId="0" applyFont="1" applyBorder="1" applyAlignment="1">
      <alignment horizontal="left" vertical="center"/>
    </xf>
    <xf numFmtId="0" fontId="20" fillId="0" borderId="18" xfId="0" applyFont="1" applyBorder="1" applyAlignment="1">
      <alignment horizontal="left" vertical="center"/>
    </xf>
    <xf numFmtId="0" fontId="20" fillId="0" borderId="90" xfId="0" applyFont="1" applyBorder="1" applyAlignment="1">
      <alignment horizontal="left" vertical="center"/>
    </xf>
    <xf numFmtId="0" fontId="20" fillId="0" borderId="25" xfId="0" applyFont="1" applyBorder="1" applyAlignment="1">
      <alignment horizontal="left" vertical="center"/>
    </xf>
    <xf numFmtId="0" fontId="20" fillId="0" borderId="26" xfId="0" applyFont="1" applyBorder="1" applyAlignment="1">
      <alignment horizontal="left" vertical="center"/>
    </xf>
    <xf numFmtId="0" fontId="20" fillId="0" borderId="37" xfId="0" applyFont="1" applyBorder="1" applyAlignment="1">
      <alignment horizontal="left" vertical="center"/>
    </xf>
    <xf numFmtId="0" fontId="20" fillId="0" borderId="32" xfId="0" applyFont="1" applyBorder="1" applyAlignment="1">
      <alignment horizontal="left" vertical="center"/>
    </xf>
    <xf numFmtId="165" fontId="20" fillId="0" borderId="16" xfId="13" applyNumberFormat="1" applyFont="1" applyBorder="1" applyAlignment="1">
      <alignment horizontal="left" vertical="center" wrapText="1"/>
    </xf>
    <xf numFmtId="165" fontId="20" fillId="0" borderId="18" xfId="13" applyNumberFormat="1" applyFont="1" applyBorder="1" applyAlignment="1">
      <alignment horizontal="left" vertical="center" wrapText="1"/>
    </xf>
    <xf numFmtId="0" fontId="20" fillId="0" borderId="30" xfId="0" applyFont="1" applyBorder="1" applyAlignment="1">
      <alignment vertical="center"/>
    </xf>
    <xf numFmtId="0" fontId="20" fillId="0" borderId="33" xfId="0" applyFont="1" applyBorder="1" applyAlignment="1">
      <alignment vertical="center"/>
    </xf>
    <xf numFmtId="0" fontId="48" fillId="0" borderId="9" xfId="8" applyFont="1" applyBorder="1" applyAlignment="1">
      <alignment horizontal="left" vertical="center"/>
    </xf>
    <xf numFmtId="0" fontId="38" fillId="0" borderId="9" xfId="8" applyFont="1" applyBorder="1" applyAlignment="1">
      <alignment horizontal="left" vertical="center"/>
    </xf>
    <xf numFmtId="0" fontId="20" fillId="0" borderId="31" xfId="0" applyFont="1" applyBorder="1" applyAlignment="1">
      <alignment horizontal="center" vertical="center" wrapText="1"/>
    </xf>
    <xf numFmtId="0" fontId="20" fillId="0" borderId="30" xfId="0" applyFont="1" applyBorder="1" applyAlignment="1">
      <alignment horizontal="center" vertical="center" wrapText="1"/>
    </xf>
    <xf numFmtId="0" fontId="20" fillId="0" borderId="33" xfId="0" applyFont="1" applyBorder="1" applyAlignment="1">
      <alignment horizontal="center" vertical="center" wrapText="1"/>
    </xf>
    <xf numFmtId="178" fontId="20" fillId="0" borderId="16" xfId="0" applyNumberFormat="1" applyFont="1" applyBorder="1" applyAlignment="1">
      <alignment horizontal="left" vertical="center"/>
    </xf>
    <xf numFmtId="178" fontId="20" fillId="0" borderId="18" xfId="0" applyNumberFormat="1" applyFont="1" applyBorder="1" applyAlignment="1">
      <alignment horizontal="left" vertical="center"/>
    </xf>
    <xf numFmtId="9" fontId="20" fillId="4" borderId="9" xfId="0" applyNumberFormat="1" applyFont="1" applyFill="1" applyBorder="1" applyAlignment="1">
      <alignment horizontal="left" vertical="center" wrapText="1"/>
    </xf>
    <xf numFmtId="190" fontId="20" fillId="0" borderId="16" xfId="0" applyNumberFormat="1" applyFont="1" applyBorder="1" applyAlignment="1">
      <alignment horizontal="left" vertical="center" wrapText="1"/>
    </xf>
    <xf numFmtId="190" fontId="20" fillId="0" borderId="18" xfId="0" applyNumberFormat="1" applyFont="1" applyBorder="1" applyAlignment="1">
      <alignment horizontal="left" vertical="center" wrapText="1"/>
    </xf>
    <xf numFmtId="39" fontId="20" fillId="0" borderId="9" xfId="1" applyNumberFormat="1" applyFont="1" applyFill="1" applyBorder="1" applyAlignment="1">
      <alignment horizontal="left" vertical="center" wrapText="1"/>
    </xf>
    <xf numFmtId="3" fontId="20" fillId="0" borderId="9" xfId="0" applyNumberFormat="1" applyFont="1" applyBorder="1" applyAlignment="1">
      <alignment vertical="center" wrapText="1"/>
    </xf>
    <xf numFmtId="0" fontId="20" fillId="0" borderId="9" xfId="0" applyFont="1" applyBorder="1" applyAlignment="1">
      <alignment horizontal="left" wrapText="1"/>
    </xf>
    <xf numFmtId="0" fontId="20" fillId="4" borderId="30" xfId="0" applyFont="1" applyFill="1" applyBorder="1" applyAlignment="1">
      <alignment horizontal="left" vertical="center" wrapText="1"/>
    </xf>
    <xf numFmtId="180" fontId="20" fillId="4" borderId="9" xfId="0" applyNumberFormat="1" applyFont="1" applyFill="1" applyBorder="1" applyAlignment="1">
      <alignment horizontal="left" vertical="center"/>
    </xf>
    <xf numFmtId="0" fontId="20" fillId="4" borderId="19" xfId="0" applyFont="1" applyFill="1" applyBorder="1" applyAlignment="1">
      <alignment horizontal="left" vertical="center"/>
    </xf>
    <xf numFmtId="0" fontId="20" fillId="4" borderId="23" xfId="0" applyFont="1" applyFill="1" applyBorder="1" applyAlignment="1">
      <alignment horizontal="left" vertical="center"/>
    </xf>
    <xf numFmtId="0" fontId="20" fillId="4" borderId="16" xfId="0" applyFont="1" applyFill="1" applyBorder="1" applyAlignment="1">
      <alignment horizontal="left" vertical="center" wrapText="1"/>
    </xf>
    <xf numFmtId="0" fontId="20" fillId="4" borderId="17" xfId="0" applyFont="1" applyFill="1" applyBorder="1" applyAlignment="1">
      <alignment horizontal="left" vertical="center" wrapText="1"/>
    </xf>
    <xf numFmtId="0" fontId="20" fillId="4" borderId="18" xfId="0" applyFont="1" applyFill="1" applyBorder="1" applyAlignment="1">
      <alignment horizontal="left" vertical="center" wrapText="1"/>
    </xf>
    <xf numFmtId="0" fontId="20" fillId="4" borderId="9" xfId="6" applyFont="1" applyFill="1" applyBorder="1" applyAlignment="1">
      <alignment vertical="center"/>
    </xf>
    <xf numFmtId="0" fontId="38" fillId="4" borderId="9" xfId="8" applyFont="1" applyFill="1" applyBorder="1" applyAlignment="1">
      <alignment vertical="center"/>
    </xf>
    <xf numFmtId="0" fontId="20" fillId="4" borderId="19" xfId="6" applyFont="1" applyFill="1" applyBorder="1" applyAlignment="1">
      <alignment vertical="center"/>
    </xf>
    <xf numFmtId="0" fontId="20" fillId="4" borderId="30" xfId="6" applyFont="1" applyFill="1" applyBorder="1" applyAlignment="1">
      <alignment vertical="center"/>
    </xf>
    <xf numFmtId="0" fontId="20" fillId="4" borderId="23" xfId="6" applyFont="1" applyFill="1" applyBorder="1" applyAlignment="1">
      <alignment vertical="center"/>
    </xf>
    <xf numFmtId="0" fontId="38" fillId="4" borderId="19" xfId="8" applyFont="1" applyFill="1" applyBorder="1" applyAlignment="1">
      <alignment horizontal="left" vertical="center"/>
    </xf>
    <xf numFmtId="0" fontId="38" fillId="4" borderId="23" xfId="8" applyFont="1" applyFill="1" applyBorder="1" applyAlignment="1">
      <alignment horizontal="left" vertical="center"/>
    </xf>
    <xf numFmtId="0" fontId="20" fillId="0" borderId="16" xfId="0" applyFont="1" applyBorder="1" applyAlignment="1">
      <alignment horizontal="center"/>
    </xf>
    <xf numFmtId="0" fontId="20" fillId="0" borderId="18" xfId="0" applyFont="1" applyBorder="1" applyAlignment="1">
      <alignment horizontal="center"/>
    </xf>
    <xf numFmtId="0" fontId="20" fillId="0" borderId="16" xfId="0" applyFont="1" applyBorder="1" applyAlignment="1">
      <alignment horizontal="left"/>
    </xf>
    <xf numFmtId="0" fontId="20" fillId="0" borderId="18" xfId="0" applyFont="1" applyBorder="1" applyAlignment="1">
      <alignment horizontal="left"/>
    </xf>
    <xf numFmtId="0" fontId="38" fillId="4" borderId="82" xfId="8" applyFont="1" applyFill="1" applyBorder="1" applyAlignment="1">
      <alignment vertical="center"/>
    </xf>
    <xf numFmtId="0" fontId="25" fillId="4" borderId="82" xfId="8" applyFont="1" applyFill="1" applyBorder="1" applyAlignment="1">
      <alignment vertical="center"/>
    </xf>
    <xf numFmtId="0" fontId="25" fillId="0" borderId="9" xfId="8" applyFont="1" applyBorder="1"/>
    <xf numFmtId="178" fontId="20" fillId="4" borderId="9" xfId="0" applyNumberFormat="1" applyFont="1" applyFill="1" applyBorder="1" applyAlignment="1">
      <alignment horizontal="left" vertical="center"/>
    </xf>
    <xf numFmtId="0" fontId="20" fillId="0" borderId="31" xfId="0" applyFont="1" applyBorder="1" applyAlignment="1">
      <alignment vertical="center"/>
    </xf>
    <xf numFmtId="0" fontId="20" fillId="0" borderId="31" xfId="0" applyFont="1" applyBorder="1" applyAlignment="1">
      <alignment horizontal="left" vertical="center" wrapText="1"/>
    </xf>
    <xf numFmtId="0" fontId="20" fillId="0" borderId="33" xfId="0" applyFont="1" applyBorder="1" applyAlignment="1">
      <alignment horizontal="left" vertical="center" wrapText="1"/>
    </xf>
    <xf numFmtId="0" fontId="96" fillId="0" borderId="30" xfId="8" applyFont="1" applyBorder="1" applyAlignment="1">
      <alignment horizontal="left" vertical="center"/>
    </xf>
    <xf numFmtId="0" fontId="96" fillId="0" borderId="33" xfId="8" applyFont="1" applyBorder="1" applyAlignment="1">
      <alignment horizontal="left" vertical="center"/>
    </xf>
    <xf numFmtId="0" fontId="20" fillId="0" borderId="30" xfId="8" applyFont="1" applyBorder="1" applyAlignment="1">
      <alignment vertical="center"/>
    </xf>
    <xf numFmtId="0" fontId="20" fillId="0" borderId="33" xfId="8" applyFont="1" applyBorder="1" applyAlignment="1">
      <alignment vertical="center"/>
    </xf>
    <xf numFmtId="0" fontId="20" fillId="0" borderId="31" xfId="8" applyFont="1" applyBorder="1" applyAlignment="1">
      <alignment vertical="center"/>
    </xf>
    <xf numFmtId="0" fontId="25" fillId="0" borderId="31" xfId="8" applyFont="1" applyBorder="1" applyAlignment="1">
      <alignment horizontal="left" vertical="center"/>
    </xf>
    <xf numFmtId="0" fontId="25" fillId="0" borderId="33" xfId="8" applyFont="1" applyBorder="1" applyAlignment="1">
      <alignment horizontal="left" vertical="center"/>
    </xf>
    <xf numFmtId="0" fontId="25" fillId="4" borderId="31" xfId="8" applyFont="1" applyFill="1" applyBorder="1" applyAlignment="1">
      <alignment horizontal="left" vertical="center"/>
    </xf>
    <xf numFmtId="0" fontId="25" fillId="4" borderId="33" xfId="8" applyFont="1" applyFill="1" applyBorder="1" applyAlignment="1">
      <alignment horizontal="left" vertical="center"/>
    </xf>
    <xf numFmtId="0" fontId="20" fillId="0" borderId="19" xfId="0" applyFont="1" applyBorder="1" applyAlignment="1">
      <alignment horizontal="center" vertical="center"/>
    </xf>
    <xf numFmtId="0" fontId="96" fillId="0" borderId="31" xfId="8" applyFont="1" applyBorder="1" applyAlignment="1">
      <alignment horizontal="left" vertical="center"/>
    </xf>
    <xf numFmtId="168" fontId="20" fillId="16" borderId="16" xfId="0" applyNumberFormat="1" applyFont="1" applyFill="1" applyBorder="1" applyAlignment="1">
      <alignment horizontal="left" vertical="top"/>
    </xf>
    <xf numFmtId="168" fontId="20" fillId="16" borderId="17" xfId="0" applyNumberFormat="1" applyFont="1" applyFill="1" applyBorder="1" applyAlignment="1">
      <alignment horizontal="left" vertical="top"/>
    </xf>
    <xf numFmtId="168" fontId="20" fillId="16" borderId="18" xfId="0" applyNumberFormat="1" applyFont="1" applyFill="1" applyBorder="1" applyAlignment="1">
      <alignment horizontal="left" vertical="top"/>
    </xf>
    <xf numFmtId="168" fontId="20" fillId="4" borderId="35" xfId="0" applyNumberFormat="1" applyFont="1" applyFill="1" applyBorder="1" applyAlignment="1">
      <alignment horizontal="left" vertical="top"/>
    </xf>
    <xf numFmtId="168" fontId="20" fillId="4" borderId="36" xfId="0" applyNumberFormat="1" applyFont="1" applyFill="1" applyBorder="1" applyAlignment="1">
      <alignment horizontal="left" vertical="top"/>
    </xf>
    <xf numFmtId="168" fontId="20" fillId="4" borderId="34" xfId="0" applyNumberFormat="1" applyFont="1" applyFill="1" applyBorder="1" applyAlignment="1">
      <alignment horizontal="left" vertical="top"/>
    </xf>
    <xf numFmtId="168" fontId="20" fillId="16" borderId="37" xfId="0" applyNumberFormat="1" applyFont="1" applyFill="1" applyBorder="1" applyAlignment="1">
      <alignment horizontal="left" vertical="top"/>
    </xf>
    <xf numFmtId="168" fontId="20" fillId="16" borderId="38" xfId="0" applyNumberFormat="1" applyFont="1" applyFill="1" applyBorder="1" applyAlignment="1">
      <alignment horizontal="left" vertical="top"/>
    </xf>
    <xf numFmtId="168" fontId="20" fillId="16" borderId="32" xfId="0" applyNumberFormat="1" applyFont="1" applyFill="1" applyBorder="1" applyAlignment="1">
      <alignment horizontal="left" vertical="top"/>
    </xf>
    <xf numFmtId="168" fontId="20" fillId="0" borderId="80" xfId="0" applyNumberFormat="1" applyFont="1" applyBorder="1" applyAlignment="1">
      <alignment horizontal="left" vertical="top"/>
    </xf>
    <xf numFmtId="168" fontId="20" fillId="0" borderId="83" xfId="0" applyNumberFormat="1" applyFont="1" applyBorder="1" applyAlignment="1">
      <alignment horizontal="left" vertical="top"/>
    </xf>
    <xf numFmtId="168" fontId="20" fillId="0" borderId="81" xfId="0" applyNumberFormat="1" applyFont="1" applyBorder="1" applyAlignment="1">
      <alignment horizontal="left" vertical="top"/>
    </xf>
    <xf numFmtId="168" fontId="20" fillId="4" borderId="16" xfId="0" applyNumberFormat="1" applyFont="1" applyFill="1" applyBorder="1" applyAlignment="1">
      <alignment horizontal="left" vertical="top"/>
    </xf>
    <xf numFmtId="168" fontId="20" fillId="4" borderId="17" xfId="0" applyNumberFormat="1" applyFont="1" applyFill="1" applyBorder="1" applyAlignment="1">
      <alignment horizontal="left" vertical="top"/>
    </xf>
    <xf numFmtId="168" fontId="20" fillId="4" borderId="18" xfId="0" applyNumberFormat="1" applyFont="1" applyFill="1" applyBorder="1" applyAlignment="1">
      <alignment horizontal="left" vertical="top"/>
    </xf>
    <xf numFmtId="0" fontId="20" fillId="16" borderId="16" xfId="0" applyFont="1" applyFill="1" applyBorder="1" applyAlignment="1">
      <alignment horizontal="left" vertical="top" wrapText="1"/>
    </xf>
    <xf numFmtId="0" fontId="20" fillId="16" borderId="17" xfId="0" applyFont="1" applyFill="1" applyBorder="1" applyAlignment="1">
      <alignment horizontal="left" vertical="top" wrapText="1"/>
    </xf>
    <xf numFmtId="0" fontId="20" fillId="16" borderId="18" xfId="0" applyFont="1" applyFill="1" applyBorder="1" applyAlignment="1">
      <alignment horizontal="left" vertical="top" wrapText="1"/>
    </xf>
    <xf numFmtId="0" fontId="4" fillId="16" borderId="16" xfId="0" applyFont="1" applyFill="1" applyBorder="1" applyAlignment="1">
      <alignment horizontal="left" vertical="top" wrapText="1"/>
    </xf>
    <xf numFmtId="0" fontId="4" fillId="16" borderId="17" xfId="0" applyFont="1" applyFill="1" applyBorder="1" applyAlignment="1">
      <alignment horizontal="left" vertical="top" wrapText="1"/>
    </xf>
    <xf numFmtId="0" fontId="4" fillId="16" borderId="18" xfId="0" applyFont="1" applyFill="1" applyBorder="1" applyAlignment="1">
      <alignment horizontal="left" vertical="top" wrapText="1"/>
    </xf>
    <xf numFmtId="0" fontId="20" fillId="16" borderId="35" xfId="0" applyFont="1" applyFill="1" applyBorder="1" applyAlignment="1">
      <alignment horizontal="left" vertical="top" wrapText="1"/>
    </xf>
    <xf numFmtId="0" fontId="20" fillId="16" borderId="36" xfId="0" applyFont="1" applyFill="1" applyBorder="1" applyAlignment="1">
      <alignment horizontal="left" vertical="top" wrapText="1"/>
    </xf>
    <xf numFmtId="0" fontId="20" fillId="16" borderId="34" xfId="0" applyFont="1" applyFill="1" applyBorder="1" applyAlignment="1">
      <alignment horizontal="left" vertical="top" wrapText="1"/>
    </xf>
    <xf numFmtId="0" fontId="20" fillId="16" borderId="37" xfId="0" applyFont="1" applyFill="1" applyBorder="1" applyAlignment="1">
      <alignment horizontal="left" vertical="top" wrapText="1"/>
    </xf>
    <xf numFmtId="0" fontId="20" fillId="16" borderId="38" xfId="0" applyFont="1" applyFill="1" applyBorder="1" applyAlignment="1">
      <alignment horizontal="left" vertical="top" wrapText="1"/>
    </xf>
    <xf numFmtId="0" fontId="20" fillId="16" borderId="32" xfId="0" applyFont="1" applyFill="1" applyBorder="1" applyAlignment="1">
      <alignment horizontal="left" vertical="top" wrapText="1"/>
    </xf>
    <xf numFmtId="0" fontId="4" fillId="16" borderId="25" xfId="0" applyFont="1" applyFill="1" applyBorder="1" applyAlignment="1">
      <alignment horizontal="left" vertical="top"/>
    </xf>
    <xf numFmtId="0" fontId="4" fillId="16" borderId="28" xfId="0" applyFont="1" applyFill="1" applyBorder="1" applyAlignment="1">
      <alignment horizontal="left" vertical="top"/>
    </xf>
    <xf numFmtId="0" fontId="4" fillId="16" borderId="26" xfId="0" applyFont="1" applyFill="1" applyBorder="1" applyAlignment="1">
      <alignment horizontal="left" vertical="top"/>
    </xf>
    <xf numFmtId="0" fontId="20" fillId="16" borderId="20" xfId="0" applyFont="1" applyFill="1" applyBorder="1" applyAlignment="1">
      <alignment horizontal="left" vertical="top"/>
    </xf>
    <xf numFmtId="0" fontId="20" fillId="16" borderId="27" xfId="0" applyFont="1" applyFill="1" applyBorder="1" applyAlignment="1">
      <alignment horizontal="left" vertical="top"/>
    </xf>
    <xf numFmtId="0" fontId="20" fillId="16" borderId="21" xfId="0" applyFont="1" applyFill="1" applyBorder="1" applyAlignment="1">
      <alignment horizontal="left" vertical="top"/>
    </xf>
    <xf numFmtId="0" fontId="20" fillId="16" borderId="22" xfId="0" applyFont="1" applyFill="1" applyBorder="1" applyAlignment="1">
      <alignment horizontal="left" vertical="top"/>
    </xf>
    <xf numFmtId="0" fontId="20" fillId="16" borderId="0" xfId="0" applyFont="1" applyFill="1" applyBorder="1" applyAlignment="1">
      <alignment horizontal="left" vertical="top"/>
    </xf>
    <xf numFmtId="0" fontId="20" fillId="16" borderId="24" xfId="0" applyFont="1" applyFill="1" applyBorder="1" applyAlignment="1">
      <alignment horizontal="left" vertical="top"/>
    </xf>
    <xf numFmtId="0" fontId="20" fillId="16" borderId="25" xfId="0" applyFont="1" applyFill="1" applyBorder="1" applyAlignment="1">
      <alignment horizontal="left" vertical="top"/>
    </xf>
    <xf numFmtId="0" fontId="20" fillId="16" borderId="28" xfId="0" applyFont="1" applyFill="1" applyBorder="1" applyAlignment="1">
      <alignment horizontal="left" vertical="top"/>
    </xf>
    <xf numFmtId="0" fontId="20" fillId="16" borderId="26" xfId="0" applyFont="1" applyFill="1" applyBorder="1" applyAlignment="1">
      <alignment horizontal="left" vertical="top"/>
    </xf>
    <xf numFmtId="0" fontId="20" fillId="0" borderId="80" xfId="0" applyFont="1" applyBorder="1" applyAlignment="1">
      <alignment horizontal="left" vertical="center"/>
    </xf>
    <xf numFmtId="0" fontId="20" fillId="0" borderId="83" xfId="0" applyFont="1" applyBorder="1" applyAlignment="1">
      <alignment horizontal="left" vertical="center"/>
    </xf>
    <xf numFmtId="0" fontId="20" fillId="0" borderId="81" xfId="0" applyFont="1" applyBorder="1" applyAlignment="1">
      <alignment horizontal="left" vertical="center"/>
    </xf>
    <xf numFmtId="0" fontId="4" fillId="16" borderId="20" xfId="0" applyFont="1" applyFill="1" applyBorder="1" applyAlignment="1">
      <alignment horizontal="left" vertical="top"/>
    </xf>
    <xf numFmtId="0" fontId="4" fillId="16" borderId="27" xfId="0" applyFont="1" applyFill="1" applyBorder="1" applyAlignment="1">
      <alignment horizontal="left" vertical="top"/>
    </xf>
    <xf numFmtId="0" fontId="4" fillId="16" borderId="21" xfId="0" applyFont="1" applyFill="1" applyBorder="1" applyAlignment="1">
      <alignment horizontal="left" vertical="top"/>
    </xf>
    <xf numFmtId="0" fontId="4" fillId="16" borderId="22" xfId="0" applyFont="1" applyFill="1" applyBorder="1" applyAlignment="1">
      <alignment horizontal="left" vertical="top"/>
    </xf>
    <xf numFmtId="0" fontId="4" fillId="16" borderId="0" xfId="0" applyFont="1" applyFill="1" applyBorder="1" applyAlignment="1">
      <alignment horizontal="left" vertical="top"/>
    </xf>
    <xf numFmtId="0" fontId="4" fillId="16" borderId="24" xfId="0" applyFont="1" applyFill="1" applyBorder="1" applyAlignment="1">
      <alignment horizontal="left" vertical="top"/>
    </xf>
    <xf numFmtId="0" fontId="20" fillId="16" borderId="60" xfId="0" applyFont="1" applyFill="1" applyBorder="1" applyAlignment="1">
      <alignment horizontal="left" vertical="top"/>
    </xf>
    <xf numFmtId="0" fontId="20" fillId="16" borderId="61" xfId="0" applyFont="1" applyFill="1" applyBorder="1" applyAlignment="1">
      <alignment horizontal="left" vertical="top"/>
    </xf>
    <xf numFmtId="0" fontId="20" fillId="16" borderId="62" xfId="0" applyFont="1" applyFill="1" applyBorder="1" applyAlignment="1">
      <alignment horizontal="left" vertical="top"/>
    </xf>
    <xf numFmtId="0" fontId="20" fillId="16" borderId="16" xfId="0" applyFont="1" applyFill="1" applyBorder="1" applyAlignment="1">
      <alignment horizontal="left" vertical="top"/>
    </xf>
    <xf numFmtId="0" fontId="20" fillId="16" borderId="17" xfId="0" applyFont="1" applyFill="1" applyBorder="1" applyAlignment="1">
      <alignment horizontal="left" vertical="top"/>
    </xf>
    <xf numFmtId="0" fontId="20" fillId="16" borderId="18" xfId="0" applyFont="1" applyFill="1" applyBorder="1" applyAlignment="1">
      <alignment horizontal="left" vertical="top"/>
    </xf>
    <xf numFmtId="0" fontId="20" fillId="16" borderId="57" xfId="0" applyFont="1" applyFill="1" applyBorder="1" applyAlignment="1">
      <alignment horizontal="left" vertical="top"/>
    </xf>
    <xf numFmtId="0" fontId="20" fillId="16" borderId="58" xfId="0" applyFont="1" applyFill="1" applyBorder="1" applyAlignment="1">
      <alignment horizontal="left" vertical="top"/>
    </xf>
    <xf numFmtId="0" fontId="20" fillId="16" borderId="59" xfId="0" applyFont="1" applyFill="1" applyBorder="1" applyAlignment="1">
      <alignment horizontal="left" vertical="top"/>
    </xf>
    <xf numFmtId="0" fontId="4" fillId="4" borderId="56" xfId="0" applyFont="1" applyFill="1" applyBorder="1" applyAlignment="1">
      <alignment horizontal="left" vertical="top" wrapText="1"/>
    </xf>
    <xf numFmtId="0" fontId="4" fillId="4" borderId="61" xfId="0" applyFont="1" applyFill="1" applyBorder="1" applyAlignment="1">
      <alignment horizontal="left" vertical="top" wrapText="1"/>
    </xf>
    <xf numFmtId="0" fontId="4" fillId="4" borderId="62" xfId="0" applyFont="1" applyFill="1" applyBorder="1" applyAlignment="1">
      <alignment horizontal="left" vertical="top" wrapText="1"/>
    </xf>
    <xf numFmtId="0" fontId="20" fillId="4" borderId="43" xfId="0" applyFont="1" applyFill="1" applyBorder="1" applyAlignment="1">
      <alignment horizontal="left" vertical="center" wrapText="1"/>
    </xf>
    <xf numFmtId="0" fontId="20" fillId="4" borderId="44" xfId="0" applyFont="1" applyFill="1" applyBorder="1" applyAlignment="1">
      <alignment horizontal="left" vertical="center" wrapText="1"/>
    </xf>
    <xf numFmtId="0" fontId="20" fillId="4" borderId="47" xfId="0" applyFont="1" applyFill="1" applyBorder="1" applyAlignment="1">
      <alignment horizontal="left" vertical="center" wrapText="1"/>
    </xf>
    <xf numFmtId="0" fontId="20" fillId="4" borderId="31" xfId="0" applyFont="1" applyFill="1" applyBorder="1" applyAlignment="1">
      <alignment horizontal="left" vertical="center" wrapText="1"/>
    </xf>
    <xf numFmtId="0" fontId="20" fillId="4" borderId="33" xfId="0" applyFont="1" applyFill="1" applyBorder="1" applyAlignment="1">
      <alignment horizontal="left" vertical="center" wrapText="1"/>
    </xf>
    <xf numFmtId="0" fontId="20" fillId="4" borderId="9" xfId="0" applyFont="1" applyFill="1" applyBorder="1" applyAlignment="1">
      <alignment horizontal="left" vertical="top" wrapText="1"/>
    </xf>
    <xf numFmtId="0" fontId="4" fillId="4" borderId="78" xfId="0" applyFont="1" applyFill="1" applyBorder="1" applyAlignment="1">
      <alignment horizontal="left" vertical="top" wrapText="1"/>
    </xf>
    <xf numFmtId="0" fontId="4" fillId="4" borderId="36" xfId="0" applyFont="1" applyFill="1" applyBorder="1" applyAlignment="1">
      <alignment horizontal="left" vertical="top" wrapText="1"/>
    </xf>
    <xf numFmtId="0" fontId="4" fillId="4" borderId="34" xfId="0" applyFont="1" applyFill="1" applyBorder="1" applyAlignment="1">
      <alignment horizontal="left" vertical="top" wrapText="1"/>
    </xf>
    <xf numFmtId="0" fontId="4" fillId="4" borderId="77" xfId="0" applyFont="1" applyFill="1" applyBorder="1" applyAlignment="1">
      <alignment horizontal="left" vertical="top" wrapText="1"/>
    </xf>
    <xf numFmtId="0" fontId="4" fillId="4" borderId="17" xfId="0" applyFont="1" applyFill="1" applyBorder="1" applyAlignment="1">
      <alignment horizontal="left" vertical="top" wrapText="1"/>
    </xf>
    <xf numFmtId="0" fontId="4" fillId="4" borderId="18" xfId="0" applyFont="1" applyFill="1" applyBorder="1" applyAlignment="1">
      <alignment horizontal="left" vertical="top" wrapText="1"/>
    </xf>
    <xf numFmtId="0" fontId="4" fillId="4" borderId="91" xfId="0" applyFont="1" applyFill="1" applyBorder="1" applyAlignment="1">
      <alignment horizontal="left" vertical="top" wrapText="1"/>
    </xf>
    <xf numFmtId="0" fontId="4" fillId="4" borderId="83" xfId="0" applyFont="1" applyFill="1" applyBorder="1" applyAlignment="1">
      <alignment horizontal="left" vertical="top" wrapText="1"/>
    </xf>
    <xf numFmtId="0" fontId="4" fillId="4" borderId="81" xfId="0" applyFont="1" applyFill="1" applyBorder="1" applyAlignment="1">
      <alignment horizontal="left" vertical="top" wrapText="1"/>
    </xf>
    <xf numFmtId="0" fontId="4" fillId="4" borderId="76" xfId="0" applyFont="1" applyFill="1" applyBorder="1" applyAlignment="1">
      <alignment horizontal="left" vertical="top" wrapText="1"/>
    </xf>
    <xf numFmtId="0" fontId="4" fillId="4" borderId="38" xfId="0" applyFont="1" applyFill="1" applyBorder="1" applyAlignment="1">
      <alignment horizontal="left" vertical="top" wrapText="1"/>
    </xf>
    <xf numFmtId="0" fontId="4" fillId="4" borderId="32" xfId="0" applyFont="1" applyFill="1" applyBorder="1" applyAlignment="1">
      <alignment horizontal="left" vertical="top" wrapText="1"/>
    </xf>
    <xf numFmtId="0" fontId="4" fillId="4" borderId="43" xfId="0" applyFont="1" applyFill="1" applyBorder="1" applyAlignment="1">
      <alignment vertical="center" wrapText="1"/>
    </xf>
    <xf numFmtId="0" fontId="4" fillId="4" borderId="47" xfId="0" applyFont="1" applyFill="1" applyBorder="1" applyAlignment="1">
      <alignment vertical="center" wrapText="1"/>
    </xf>
    <xf numFmtId="0" fontId="4" fillId="4" borderId="52" xfId="0" applyFont="1" applyFill="1" applyBorder="1" applyAlignment="1">
      <alignment horizontal="left" vertical="center" wrapText="1"/>
    </xf>
    <xf numFmtId="0" fontId="4" fillId="4" borderId="54" xfId="0" applyFont="1" applyFill="1" applyBorder="1" applyAlignment="1">
      <alignment horizontal="left" vertical="center" wrapText="1"/>
    </xf>
    <xf numFmtId="0" fontId="20" fillId="4" borderId="3" xfId="0" applyFont="1" applyFill="1" applyBorder="1" applyAlignment="1">
      <alignment horizontal="left" vertical="center"/>
    </xf>
    <xf numFmtId="0" fontId="20" fillId="4" borderId="13" xfId="0" applyFont="1" applyFill="1" applyBorder="1" applyAlignment="1">
      <alignment horizontal="left" vertical="center"/>
    </xf>
    <xf numFmtId="0" fontId="4" fillId="4" borderId="44" xfId="0" applyFont="1" applyFill="1" applyBorder="1" applyAlignment="1">
      <alignment vertical="center" wrapText="1"/>
    </xf>
    <xf numFmtId="0" fontId="4" fillId="4" borderId="53" xfId="0" applyFont="1" applyFill="1" applyBorder="1" applyAlignment="1">
      <alignment horizontal="left" vertical="center" wrapText="1"/>
    </xf>
    <xf numFmtId="0" fontId="4" fillId="4" borderId="79" xfId="0" applyFont="1" applyFill="1" applyBorder="1" applyAlignment="1">
      <alignment horizontal="left" vertical="top" wrapText="1"/>
    </xf>
    <xf numFmtId="0" fontId="4" fillId="4" borderId="28" xfId="0" applyFont="1" applyFill="1" applyBorder="1" applyAlignment="1">
      <alignment horizontal="left" vertical="top" wrapText="1"/>
    </xf>
    <xf numFmtId="0" fontId="4" fillId="4" borderId="26" xfId="0" applyFont="1" applyFill="1" applyBorder="1" applyAlignment="1">
      <alignment horizontal="left" vertical="top" wrapText="1"/>
    </xf>
    <xf numFmtId="0" fontId="4" fillId="4" borderId="43" xfId="0" applyFont="1" applyFill="1" applyBorder="1" applyAlignment="1">
      <alignment vertical="center"/>
    </xf>
    <xf numFmtId="0" fontId="4" fillId="4" borderId="47" xfId="0" applyFont="1" applyFill="1" applyBorder="1" applyAlignment="1">
      <alignment vertical="center"/>
    </xf>
    <xf numFmtId="0" fontId="4" fillId="4" borderId="52" xfId="0" applyFont="1" applyFill="1" applyBorder="1" applyAlignment="1">
      <alignment horizontal="left" vertical="center"/>
    </xf>
    <xf numFmtId="0" fontId="4" fillId="4" borderId="54" xfId="0" applyFont="1" applyFill="1" applyBorder="1" applyAlignment="1">
      <alignment horizontal="left" vertical="center"/>
    </xf>
    <xf numFmtId="0" fontId="4" fillId="4" borderId="76" xfId="0" applyFont="1" applyFill="1" applyBorder="1" applyAlignment="1">
      <alignment horizontal="left" vertical="top"/>
    </xf>
    <xf numFmtId="0" fontId="4" fillId="4" borderId="38" xfId="0" applyFont="1" applyFill="1" applyBorder="1" applyAlignment="1">
      <alignment horizontal="left" vertical="top"/>
    </xf>
    <xf numFmtId="0" fontId="4" fillId="4" borderId="32" xfId="0" applyFont="1" applyFill="1" applyBorder="1" applyAlignment="1">
      <alignment horizontal="left" vertical="top"/>
    </xf>
    <xf numFmtId="0" fontId="4" fillId="4" borderId="78" xfId="0" applyFont="1" applyFill="1" applyBorder="1" applyAlignment="1">
      <alignment horizontal="left" vertical="top"/>
    </xf>
    <xf numFmtId="0" fontId="4" fillId="4" borderId="36" xfId="0" applyFont="1" applyFill="1" applyBorder="1" applyAlignment="1">
      <alignment horizontal="left" vertical="top"/>
    </xf>
    <xf numFmtId="0" fontId="4" fillId="4" borderId="34" xfId="0" applyFont="1" applyFill="1" applyBorder="1" applyAlignment="1">
      <alignment horizontal="left" vertical="top"/>
    </xf>
    <xf numFmtId="0" fontId="1" fillId="0" borderId="17" xfId="0" applyFont="1" applyBorder="1"/>
    <xf numFmtId="0" fontId="1" fillId="0" borderId="18" xfId="0" applyFont="1" applyBorder="1"/>
    <xf numFmtId="0" fontId="20" fillId="11" borderId="14" xfId="0" applyFont="1" applyFill="1" applyBorder="1" applyAlignment="1">
      <alignment horizontal="center" vertical="center" wrapText="1"/>
    </xf>
    <xf numFmtId="0" fontId="20" fillId="16" borderId="43" xfId="0" applyFont="1" applyFill="1" applyBorder="1" applyAlignment="1">
      <alignment horizontal="left" vertical="center" wrapText="1"/>
    </xf>
    <xf numFmtId="0" fontId="20" fillId="16" borderId="44" xfId="0" applyFont="1" applyFill="1" applyBorder="1" applyAlignment="1">
      <alignment horizontal="left" vertical="center" wrapText="1"/>
    </xf>
    <xf numFmtId="0" fontId="20" fillId="0" borderId="44" xfId="0" applyFont="1" applyBorder="1" applyAlignment="1">
      <alignment horizontal="left" vertical="center" wrapText="1"/>
    </xf>
    <xf numFmtId="0" fontId="20" fillId="0" borderId="47" xfId="0" applyFont="1" applyBorder="1" applyAlignment="1">
      <alignment horizontal="left" vertical="center" wrapText="1"/>
    </xf>
    <xf numFmtId="0" fontId="20" fillId="0" borderId="0" xfId="0" applyFont="1" applyAlignment="1">
      <alignment vertical="center"/>
    </xf>
    <xf numFmtId="0" fontId="20" fillId="10" borderId="18" xfId="0" applyFont="1" applyFill="1" applyBorder="1" applyAlignment="1">
      <alignment horizontal="left"/>
    </xf>
    <xf numFmtId="0" fontId="20" fillId="11" borderId="19" xfId="0" applyFont="1" applyFill="1" applyBorder="1" applyAlignment="1">
      <alignment horizontal="center" vertical="center" wrapText="1"/>
    </xf>
    <xf numFmtId="0" fontId="20" fillId="4" borderId="4" xfId="8" applyFont="1" applyFill="1" applyBorder="1" applyAlignment="1">
      <alignment horizontal="center"/>
    </xf>
    <xf numFmtId="0" fontId="20" fillId="4" borderId="14" xfId="8" applyFont="1" applyFill="1" applyBorder="1" applyAlignment="1">
      <alignment horizontal="center"/>
    </xf>
    <xf numFmtId="0" fontId="48" fillId="4" borderId="43" xfId="8" applyFont="1" applyFill="1" applyBorder="1" applyAlignment="1">
      <alignment horizontal="left" vertical="center" wrapText="1"/>
    </xf>
    <xf numFmtId="0" fontId="48" fillId="4" borderId="44" xfId="8" applyFont="1" applyFill="1" applyBorder="1" applyAlignment="1">
      <alignment horizontal="left" vertical="center" wrapText="1"/>
    </xf>
    <xf numFmtId="0" fontId="48" fillId="4" borderId="47" xfId="8" applyFont="1" applyFill="1" applyBorder="1" applyAlignment="1">
      <alignment horizontal="left" vertical="center" wrapText="1"/>
    </xf>
    <xf numFmtId="0" fontId="20" fillId="4" borderId="4" xfId="8" applyFont="1" applyFill="1" applyBorder="1" applyAlignment="1">
      <alignment horizontal="left" vertical="center"/>
    </xf>
    <xf numFmtId="0" fontId="20" fillId="4" borderId="23" xfId="8" applyFont="1" applyFill="1" applyBorder="1" applyAlignment="1">
      <alignment horizontal="left" vertical="center"/>
    </xf>
    <xf numFmtId="0" fontId="20" fillId="4" borderId="9" xfId="8" applyFont="1" applyFill="1" applyBorder="1" applyAlignment="1">
      <alignment horizontal="left" vertical="center"/>
    </xf>
    <xf numFmtId="0" fontId="20" fillId="4" borderId="19" xfId="8" applyFont="1" applyFill="1" applyBorder="1" applyAlignment="1">
      <alignment horizontal="left" vertical="center"/>
    </xf>
    <xf numFmtId="0" fontId="20" fillId="4" borderId="14" xfId="8" applyFont="1" applyFill="1" applyBorder="1" applyAlignment="1">
      <alignment horizontal="left" vertical="center"/>
    </xf>
    <xf numFmtId="0" fontId="20" fillId="4" borderId="4" xfId="8" applyFont="1" applyFill="1" applyBorder="1" applyAlignment="1">
      <alignment horizontal="left"/>
    </xf>
    <xf numFmtId="0" fontId="20" fillId="4" borderId="9" xfId="8" applyFont="1" applyFill="1" applyBorder="1" applyAlignment="1">
      <alignment horizontal="left"/>
    </xf>
    <xf numFmtId="0" fontId="20" fillId="4" borderId="8" xfId="8" applyFont="1" applyFill="1" applyBorder="1" applyAlignment="1">
      <alignment horizontal="left" vertical="center" wrapText="1"/>
    </xf>
    <xf numFmtId="0" fontId="20" fillId="4" borderId="9" xfId="8" applyFont="1" applyFill="1" applyBorder="1" applyAlignment="1">
      <alignment horizontal="center"/>
    </xf>
    <xf numFmtId="0" fontId="20" fillId="4" borderId="14" xfId="8" applyFont="1" applyFill="1" applyBorder="1" applyAlignment="1">
      <alignment horizontal="left"/>
    </xf>
    <xf numFmtId="0" fontId="20" fillId="4" borderId="19" xfId="8" quotePrefix="1" applyFont="1" applyFill="1" applyBorder="1" applyAlignment="1">
      <alignment wrapText="1"/>
    </xf>
    <xf numFmtId="0" fontId="20" fillId="0" borderId="23" xfId="0" applyFont="1" applyBorder="1" applyAlignment="1">
      <alignment wrapText="1"/>
    </xf>
    <xf numFmtId="0" fontId="20" fillId="4" borderId="44" xfId="8" applyFont="1" applyFill="1" applyBorder="1" applyAlignment="1">
      <alignment horizontal="left" vertical="center" wrapText="1"/>
    </xf>
    <xf numFmtId="0" fontId="20" fillId="4" borderId="47" xfId="8" applyFont="1" applyFill="1" applyBorder="1" applyAlignment="1">
      <alignment horizontal="left" vertical="center" wrapText="1"/>
    </xf>
    <xf numFmtId="2" fontId="20" fillId="0" borderId="16" xfId="0" applyNumberFormat="1" applyFont="1" applyBorder="1" applyAlignment="1">
      <alignment wrapText="1"/>
    </xf>
    <xf numFmtId="2" fontId="20" fillId="0" borderId="18" xfId="0" applyNumberFormat="1" applyFont="1" applyBorder="1" applyAlignment="1">
      <alignment wrapText="1"/>
    </xf>
    <xf numFmtId="2" fontId="20" fillId="0" borderId="27" xfId="0" applyNumberFormat="1" applyFont="1" applyBorder="1" applyAlignment="1">
      <alignment wrapText="1"/>
    </xf>
    <xf numFmtId="0" fontId="20" fillId="4" borderId="43" xfId="8" applyFont="1" applyFill="1" applyBorder="1" applyAlignment="1">
      <alignment horizontal="left" vertical="center" wrapText="1"/>
    </xf>
    <xf numFmtId="0" fontId="20" fillId="4" borderId="80" xfId="8" applyFont="1" applyFill="1" applyBorder="1" applyAlignment="1">
      <alignment horizontal="left"/>
    </xf>
    <xf numFmtId="0" fontId="20" fillId="4" borderId="83" xfId="8" applyFont="1" applyFill="1" applyBorder="1" applyAlignment="1">
      <alignment horizontal="left"/>
    </xf>
    <xf numFmtId="0" fontId="20" fillId="4" borderId="81" xfId="8" applyFont="1" applyFill="1" applyBorder="1" applyAlignment="1">
      <alignment horizontal="left"/>
    </xf>
    <xf numFmtId="0" fontId="20" fillId="0" borderId="17" xfId="0" applyFont="1" applyBorder="1" applyAlignment="1">
      <alignment wrapText="1"/>
    </xf>
    <xf numFmtId="0" fontId="20" fillId="0" borderId="18" xfId="0" applyFont="1" applyBorder="1" applyAlignment="1">
      <alignment wrapText="1"/>
    </xf>
    <xf numFmtId="0" fontId="20" fillId="4" borderId="31" xfId="8" applyFont="1" applyFill="1" applyBorder="1" applyAlignment="1">
      <alignment horizontal="left" vertical="center" wrapText="1"/>
    </xf>
    <xf numFmtId="0" fontId="20" fillId="4" borderId="30" xfId="8" applyFont="1" applyFill="1" applyBorder="1" applyAlignment="1">
      <alignment horizontal="left" vertical="center" wrapText="1"/>
    </xf>
    <xf numFmtId="0" fontId="20" fillId="4" borderId="33" xfId="8" applyFont="1" applyFill="1" applyBorder="1" applyAlignment="1">
      <alignment horizontal="left" vertical="center" wrapText="1"/>
    </xf>
    <xf numFmtId="2" fontId="20" fillId="0" borderId="16" xfId="0" applyNumberFormat="1" applyFont="1" applyBorder="1" applyAlignment="1">
      <alignment horizontal="left" wrapText="1"/>
    </xf>
    <xf numFmtId="2" fontId="20" fillId="0" borderId="18" xfId="0" applyNumberFormat="1" applyFont="1" applyBorder="1" applyAlignment="1">
      <alignment horizontal="left" wrapText="1"/>
    </xf>
    <xf numFmtId="8" fontId="20" fillId="0" borderId="16" xfId="0" applyNumberFormat="1" applyFont="1" applyBorder="1" applyAlignment="1">
      <alignment horizontal="left"/>
    </xf>
    <xf numFmtId="8" fontId="20" fillId="0" borderId="18" xfId="0" applyNumberFormat="1" applyFont="1" applyBorder="1" applyAlignment="1">
      <alignment horizontal="left"/>
    </xf>
    <xf numFmtId="0" fontId="20" fillId="4" borderId="0" xfId="0" applyFont="1" applyFill="1" applyAlignment="1">
      <alignment wrapText="1"/>
    </xf>
    <xf numFmtId="0" fontId="20" fillId="16" borderId="2" xfId="0" applyFont="1" applyFill="1" applyBorder="1" applyAlignment="1">
      <alignment horizontal="left" vertical="center" wrapText="1"/>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20" fillId="16" borderId="59" xfId="0" applyFont="1" applyFill="1" applyBorder="1" applyAlignment="1">
      <alignment horizontal="left" vertical="center" wrapText="1"/>
    </xf>
    <xf numFmtId="0" fontId="20" fillId="16" borderId="24" xfId="0" applyFont="1" applyFill="1" applyBorder="1" applyAlignment="1">
      <alignment horizontal="left" vertical="center" wrapText="1"/>
    </xf>
    <xf numFmtId="0" fontId="20" fillId="0" borderId="24" xfId="0" applyFont="1" applyBorder="1" applyAlignment="1">
      <alignment horizontal="left" vertical="center" wrapText="1"/>
    </xf>
    <xf numFmtId="0" fontId="1" fillId="0" borderId="24" xfId="0" applyFont="1" applyBorder="1" applyAlignment="1">
      <alignment horizontal="left" vertical="center" wrapText="1"/>
    </xf>
    <xf numFmtId="0" fontId="1" fillId="0" borderId="62" xfId="0" applyFont="1" applyBorder="1" applyAlignment="1">
      <alignment horizontal="left" vertical="center" wrapText="1"/>
    </xf>
    <xf numFmtId="168" fontId="20" fillId="4" borderId="25" xfId="0" applyNumberFormat="1" applyFont="1" applyFill="1" applyBorder="1" applyAlignment="1">
      <alignment horizontal="left" vertical="top"/>
    </xf>
    <xf numFmtId="168" fontId="20" fillId="4" borderId="28" xfId="0" applyNumberFormat="1" applyFont="1" applyFill="1" applyBorder="1" applyAlignment="1">
      <alignment horizontal="left" vertical="top"/>
    </xf>
    <xf numFmtId="168" fontId="20" fillId="4" borderId="26" xfId="0" applyNumberFormat="1" applyFont="1" applyFill="1" applyBorder="1" applyAlignment="1">
      <alignment horizontal="left" vertical="top"/>
    </xf>
    <xf numFmtId="168" fontId="20" fillId="4" borderId="9" xfId="0" applyNumberFormat="1" applyFont="1" applyFill="1" applyBorder="1" applyAlignment="1">
      <alignment horizontal="left" vertical="top"/>
    </xf>
    <xf numFmtId="0" fontId="20" fillId="16" borderId="7" xfId="0" applyFont="1" applyFill="1" applyBorder="1" applyAlignment="1">
      <alignment horizontal="left" vertical="center" wrapText="1"/>
    </xf>
    <xf numFmtId="0" fontId="20" fillId="16" borderId="12" xfId="0" applyFont="1" applyFill="1" applyBorder="1" applyAlignment="1">
      <alignment horizontal="left" vertical="center" wrapText="1"/>
    </xf>
    <xf numFmtId="0" fontId="20" fillId="16" borderId="52" xfId="0" applyFont="1" applyFill="1" applyBorder="1" applyAlignment="1">
      <alignment horizontal="center" vertical="center" wrapText="1"/>
    </xf>
    <xf numFmtId="0" fontId="20" fillId="0" borderId="53" xfId="0" applyFont="1" applyBorder="1" applyAlignment="1">
      <alignment horizontal="center" vertical="center" wrapText="1"/>
    </xf>
    <xf numFmtId="0" fontId="20" fillId="0" borderId="54" xfId="0" applyFont="1" applyBorder="1" applyAlignment="1">
      <alignment horizontal="center" vertical="center" wrapText="1"/>
    </xf>
    <xf numFmtId="0" fontId="20" fillId="0" borderId="7" xfId="0" applyFont="1" applyBorder="1" applyAlignment="1">
      <alignment horizontal="left" vertical="center" wrapText="1"/>
    </xf>
    <xf numFmtId="0" fontId="20" fillId="0" borderId="12" xfId="0" applyFont="1" applyBorder="1" applyAlignment="1">
      <alignment horizontal="left" vertical="center" wrapText="1"/>
    </xf>
    <xf numFmtId="0" fontId="20" fillId="16" borderId="46" xfId="0" applyFont="1" applyFill="1" applyBorder="1" applyAlignment="1">
      <alignment horizontal="left" vertical="top" wrapText="1"/>
    </xf>
    <xf numFmtId="0" fontId="20" fillId="0" borderId="53" xfId="0" applyFont="1" applyBorder="1" applyAlignment="1">
      <alignment horizontal="left" vertical="top" wrapText="1"/>
    </xf>
    <xf numFmtId="0" fontId="20" fillId="0" borderId="45" xfId="0" applyFont="1" applyBorder="1" applyAlignment="1">
      <alignment horizontal="left" vertical="top" wrapText="1"/>
    </xf>
    <xf numFmtId="0" fontId="20" fillId="16" borderId="53" xfId="0" applyFont="1" applyFill="1" applyBorder="1" applyAlignment="1">
      <alignment horizontal="center" vertical="center" wrapText="1"/>
    </xf>
    <xf numFmtId="0" fontId="20" fillId="16" borderId="54" xfId="0" applyFont="1" applyFill="1" applyBorder="1" applyAlignment="1">
      <alignment horizontal="center" vertical="center" wrapText="1"/>
    </xf>
    <xf numFmtId="0" fontId="20" fillId="11" borderId="17" xfId="0" applyFont="1" applyFill="1" applyBorder="1" applyAlignment="1">
      <alignment horizontal="center" vertical="center" wrapText="1"/>
    </xf>
    <xf numFmtId="0" fontId="20" fillId="16" borderId="27" xfId="0" applyFont="1" applyFill="1" applyBorder="1" applyAlignment="1">
      <alignment horizontal="left" vertical="top" wrapText="1"/>
    </xf>
    <xf numFmtId="0" fontId="20" fillId="16" borderId="21" xfId="0" applyFont="1" applyFill="1" applyBorder="1" applyAlignment="1">
      <alignment horizontal="left" vertical="top" wrapText="1"/>
    </xf>
    <xf numFmtId="0" fontId="20" fillId="16" borderId="76" xfId="0" applyFont="1" applyFill="1" applyBorder="1" applyAlignment="1">
      <alignment horizontal="left" vertical="top" wrapText="1"/>
    </xf>
    <xf numFmtId="0" fontId="20" fillId="16" borderId="77" xfId="0" applyFont="1" applyFill="1" applyBorder="1" applyAlignment="1">
      <alignment horizontal="left" vertical="top" wrapText="1"/>
    </xf>
    <xf numFmtId="0" fontId="20" fillId="16" borderId="78" xfId="0" applyFont="1" applyFill="1" applyBorder="1" applyAlignment="1">
      <alignment horizontal="left" vertical="top" wrapText="1"/>
    </xf>
    <xf numFmtId="0" fontId="20" fillId="16" borderId="79" xfId="0" applyFont="1" applyFill="1" applyBorder="1" applyAlignment="1">
      <alignment horizontal="left" vertical="top" wrapText="1"/>
    </xf>
    <xf numFmtId="0" fontId="20" fillId="16" borderId="28" xfId="0" applyFont="1" applyFill="1" applyBorder="1" applyAlignment="1">
      <alignment horizontal="left" vertical="top" wrapText="1"/>
    </xf>
    <xf numFmtId="0" fontId="20" fillId="16" borderId="26" xfId="0" applyFont="1" applyFill="1" applyBorder="1" applyAlignment="1">
      <alignment horizontal="left" vertical="top" wrapText="1"/>
    </xf>
    <xf numFmtId="0" fontId="20" fillId="4" borderId="52" xfId="0" applyFont="1" applyFill="1" applyBorder="1" applyAlignment="1">
      <alignment horizontal="left" vertical="center"/>
    </xf>
    <xf numFmtId="0" fontId="20" fillId="0" borderId="53" xfId="0" applyFont="1" applyBorder="1" applyAlignment="1">
      <alignment horizontal="left" vertical="center"/>
    </xf>
    <xf numFmtId="0" fontId="20" fillId="0" borderId="54" xfId="0" applyFont="1" applyBorder="1" applyAlignment="1">
      <alignment horizontal="left" vertical="center"/>
    </xf>
    <xf numFmtId="0" fontId="20" fillId="4" borderId="23" xfId="0" applyFont="1" applyFill="1" applyBorder="1" applyAlignment="1">
      <alignment horizontal="left" vertical="top" wrapText="1"/>
    </xf>
    <xf numFmtId="0" fontId="4" fillId="0" borderId="52" xfId="0" applyFont="1" applyBorder="1" applyAlignment="1">
      <alignment horizontal="left" vertical="center"/>
    </xf>
    <xf numFmtId="0" fontId="4" fillId="0" borderId="53" xfId="0" applyFont="1" applyBorder="1" applyAlignment="1">
      <alignment horizontal="left" vertical="center"/>
    </xf>
    <xf numFmtId="0" fontId="4" fillId="0" borderId="54" xfId="0" applyFont="1" applyBorder="1" applyAlignment="1">
      <alignment horizontal="left" vertical="center"/>
    </xf>
    <xf numFmtId="0" fontId="20" fillId="16" borderId="47" xfId="0" applyFont="1" applyFill="1" applyBorder="1" applyAlignment="1">
      <alignment horizontal="left" vertical="center" wrapText="1"/>
    </xf>
    <xf numFmtId="0" fontId="20" fillId="0" borderId="0" xfId="0" applyFont="1" applyAlignment="1">
      <alignment horizontal="center" vertical="center" wrapText="1"/>
    </xf>
    <xf numFmtId="0" fontId="20" fillId="4" borderId="14" xfId="0" applyFont="1" applyFill="1" applyBorder="1" applyAlignment="1">
      <alignment horizontal="left" vertical="top" wrapText="1"/>
    </xf>
    <xf numFmtId="0" fontId="20" fillId="0" borderId="9" xfId="0" applyFont="1" applyBorder="1" applyAlignment="1">
      <alignment horizontal="left" vertical="top" wrapText="1"/>
    </xf>
    <xf numFmtId="0" fontId="20" fillId="0" borderId="45" xfId="0" applyFont="1" applyBorder="1" applyAlignment="1">
      <alignment horizontal="left"/>
    </xf>
    <xf numFmtId="0" fontId="20" fillId="4" borderId="46" xfId="0" applyFont="1" applyFill="1" applyBorder="1" applyAlignment="1">
      <alignment horizontal="left" vertical="center"/>
    </xf>
    <xf numFmtId="0" fontId="20" fillId="0" borderId="0" xfId="0" applyFont="1"/>
    <xf numFmtId="0" fontId="20" fillId="16" borderId="30" xfId="0" applyFont="1" applyFill="1" applyBorder="1" applyAlignment="1">
      <alignment horizontal="left" vertical="center" wrapText="1"/>
    </xf>
    <xf numFmtId="0" fontId="20" fillId="16" borderId="33" xfId="0" applyFont="1" applyFill="1" applyBorder="1" applyAlignment="1">
      <alignment horizontal="left" vertical="center" wrapText="1"/>
    </xf>
    <xf numFmtId="0" fontId="20" fillId="0" borderId="53" xfId="0" applyFont="1" applyBorder="1" applyAlignment="1">
      <alignment horizontal="left"/>
    </xf>
    <xf numFmtId="0" fontId="20" fillId="0" borderId="54" xfId="0" applyFont="1" applyBorder="1" applyAlignment="1">
      <alignment horizontal="left"/>
    </xf>
    <xf numFmtId="0" fontId="20" fillId="16" borderId="31" xfId="0" applyFont="1" applyFill="1" applyBorder="1" applyAlignment="1">
      <alignment horizontal="left" vertical="center" wrapText="1"/>
    </xf>
    <xf numFmtId="0" fontId="20" fillId="4" borderId="4" xfId="0" applyFont="1" applyFill="1" applyBorder="1" applyAlignment="1">
      <alignment horizontal="left" vertical="top" wrapText="1"/>
    </xf>
    <xf numFmtId="0" fontId="20" fillId="4" borderId="37" xfId="0" applyFont="1" applyFill="1" applyBorder="1" applyAlignment="1">
      <alignment horizontal="left" vertical="top" wrapText="1"/>
    </xf>
    <xf numFmtId="0" fontId="20" fillId="4" borderId="38" xfId="0" applyFont="1" applyFill="1" applyBorder="1" applyAlignment="1">
      <alignment horizontal="left" vertical="top" wrapText="1"/>
    </xf>
    <xf numFmtId="0" fontId="20" fillId="4" borderId="32" xfId="0" applyFont="1" applyFill="1" applyBorder="1" applyAlignment="1">
      <alignment horizontal="left" vertical="top" wrapText="1"/>
    </xf>
    <xf numFmtId="0" fontId="20" fillId="4" borderId="16" xfId="0" applyFont="1" applyFill="1" applyBorder="1" applyAlignment="1">
      <alignment horizontal="left" vertical="top" wrapText="1"/>
    </xf>
    <xf numFmtId="0" fontId="20" fillId="4" borderId="17" xfId="0" applyFont="1" applyFill="1" applyBorder="1" applyAlignment="1">
      <alignment horizontal="left" vertical="top" wrapText="1"/>
    </xf>
    <xf numFmtId="0" fontId="20" fillId="4" borderId="18" xfId="0" applyFont="1" applyFill="1" applyBorder="1" applyAlignment="1">
      <alignment horizontal="left" vertical="top" wrapText="1"/>
    </xf>
    <xf numFmtId="0" fontId="20" fillId="4" borderId="53" xfId="0" applyFont="1" applyFill="1" applyBorder="1" applyAlignment="1">
      <alignment horizontal="left" vertical="center"/>
    </xf>
    <xf numFmtId="0" fontId="20" fillId="4" borderId="54" xfId="0" applyFont="1" applyFill="1" applyBorder="1" applyAlignment="1">
      <alignment horizontal="left" vertical="center"/>
    </xf>
    <xf numFmtId="0" fontId="20" fillId="4" borderId="35" xfId="0" applyFont="1" applyFill="1" applyBorder="1" applyAlignment="1">
      <alignment horizontal="left" vertical="top" wrapText="1"/>
    </xf>
    <xf numFmtId="0" fontId="20" fillId="4" borderId="36" xfId="0" applyFont="1" applyFill="1" applyBorder="1" applyAlignment="1">
      <alignment horizontal="left" vertical="top" wrapText="1"/>
    </xf>
    <xf numFmtId="0" fontId="20" fillId="4" borderId="34" xfId="0" applyFont="1" applyFill="1" applyBorder="1" applyAlignment="1">
      <alignment horizontal="left" vertical="top" wrapText="1"/>
    </xf>
    <xf numFmtId="0" fontId="4" fillId="4" borderId="43" xfId="0" applyFont="1" applyFill="1" applyBorder="1" applyAlignment="1">
      <alignment horizontal="left" vertical="center" wrapText="1"/>
    </xf>
    <xf numFmtId="0" fontId="4" fillId="4" borderId="44" xfId="0" applyFont="1" applyFill="1" applyBorder="1" applyAlignment="1">
      <alignment horizontal="left" vertical="center" wrapText="1"/>
    </xf>
    <xf numFmtId="0" fontId="4" fillId="4" borderId="47" xfId="0" applyFont="1" applyFill="1" applyBorder="1" applyAlignment="1">
      <alignment horizontal="left" vertical="center" wrapText="1"/>
    </xf>
    <xf numFmtId="0" fontId="4" fillId="4" borderId="29" xfId="0" applyFont="1" applyFill="1" applyBorder="1" applyAlignment="1">
      <alignment horizontal="left" vertical="center" wrapText="1"/>
    </xf>
    <xf numFmtId="0" fontId="4" fillId="4" borderId="56" xfId="0" applyFont="1" applyFill="1" applyBorder="1" applyAlignment="1">
      <alignment horizontal="left" vertical="center" wrapText="1"/>
    </xf>
    <xf numFmtId="0" fontId="20" fillId="4" borderId="57" xfId="0" applyFont="1" applyFill="1" applyBorder="1" applyAlignment="1">
      <alignment horizontal="left" vertical="top" wrapText="1"/>
    </xf>
    <xf numFmtId="0" fontId="20" fillId="4" borderId="58" xfId="0" applyFont="1" applyFill="1" applyBorder="1" applyAlignment="1">
      <alignment horizontal="left" vertical="top" wrapText="1"/>
    </xf>
    <xf numFmtId="0" fontId="20" fillId="4" borderId="59" xfId="0" applyFont="1" applyFill="1" applyBorder="1" applyAlignment="1">
      <alignment horizontal="left" vertical="top" wrapText="1"/>
    </xf>
    <xf numFmtId="0" fontId="4" fillId="4" borderId="9" xfId="0" applyFont="1" applyFill="1" applyBorder="1" applyAlignment="1">
      <alignment horizontal="left" vertical="top" wrapText="1"/>
    </xf>
    <xf numFmtId="0" fontId="20" fillId="4" borderId="57" xfId="0" applyFont="1" applyFill="1" applyBorder="1" applyAlignment="1">
      <alignment horizontal="left" vertical="center" wrapText="1"/>
    </xf>
    <xf numFmtId="0" fontId="1" fillId="0" borderId="30" xfId="0" applyFont="1" applyBorder="1" applyAlignment="1">
      <alignment horizontal="left" vertical="center" wrapText="1"/>
    </xf>
    <xf numFmtId="0" fontId="1" fillId="0" borderId="33" xfId="0" applyFont="1" applyBorder="1" applyAlignment="1">
      <alignment horizontal="left" vertical="center" wrapText="1"/>
    </xf>
    <xf numFmtId="0" fontId="1" fillId="0" borderId="44" xfId="0" applyFont="1" applyBorder="1" applyAlignment="1">
      <alignment horizontal="left" vertical="center" wrapText="1"/>
    </xf>
    <xf numFmtId="0" fontId="1" fillId="0" borderId="47" xfId="0" applyFont="1" applyBorder="1" applyAlignment="1">
      <alignment horizontal="left" vertical="center" wrapText="1"/>
    </xf>
    <xf numFmtId="0" fontId="20" fillId="16" borderId="4" xfId="0" applyFont="1" applyFill="1" applyBorder="1" applyAlignment="1">
      <alignment horizontal="left" vertical="center" wrapText="1"/>
    </xf>
    <xf numFmtId="0" fontId="20" fillId="16" borderId="9" xfId="0" applyFont="1" applyFill="1" applyBorder="1" applyAlignment="1">
      <alignment horizontal="left" vertical="center" wrapText="1"/>
    </xf>
    <xf numFmtId="0" fontId="20" fillId="16" borderId="55" xfId="0" applyFont="1" applyFill="1" applyBorder="1" applyAlignment="1">
      <alignment horizontal="left" vertical="center" wrapText="1"/>
    </xf>
    <xf numFmtId="0" fontId="20" fillId="16" borderId="29" xfId="0" applyFont="1" applyFill="1" applyBorder="1" applyAlignment="1">
      <alignment horizontal="left" vertical="center" wrapText="1"/>
    </xf>
    <xf numFmtId="0" fontId="20" fillId="16" borderId="56" xfId="0" applyFont="1" applyFill="1" applyBorder="1" applyAlignment="1">
      <alignment horizontal="left" vertical="center" wrapText="1"/>
    </xf>
    <xf numFmtId="0" fontId="20" fillId="16" borderId="52" xfId="0" applyFont="1" applyFill="1" applyBorder="1" applyAlignment="1">
      <alignment horizontal="left" vertical="center" wrapText="1"/>
    </xf>
    <xf numFmtId="0" fontId="20" fillId="16" borderId="53" xfId="0" applyFont="1" applyFill="1" applyBorder="1" applyAlignment="1">
      <alignment horizontal="left" vertical="center" wrapText="1"/>
    </xf>
    <xf numFmtId="0" fontId="20" fillId="16" borderId="54" xfId="0" applyFont="1" applyFill="1" applyBorder="1" applyAlignment="1">
      <alignment horizontal="left" vertical="center" wrapText="1"/>
    </xf>
    <xf numFmtId="0" fontId="20" fillId="16" borderId="63" xfId="0" applyFont="1" applyFill="1" applyBorder="1" applyAlignment="1">
      <alignment horizontal="left" vertical="center" wrapText="1"/>
    </xf>
    <xf numFmtId="0" fontId="1" fillId="4" borderId="52" xfId="0" applyFont="1" applyFill="1" applyBorder="1" applyAlignment="1">
      <alignment horizontal="center" vertical="center" wrapText="1"/>
    </xf>
    <xf numFmtId="0" fontId="1" fillId="0" borderId="53" xfId="0" applyFont="1" applyBorder="1" applyAlignment="1">
      <alignment horizontal="center" vertical="center" wrapText="1"/>
    </xf>
    <xf numFmtId="0" fontId="1" fillId="0" borderId="54" xfId="0" applyFont="1" applyBorder="1" applyAlignment="1">
      <alignment horizontal="center" vertical="center" wrapText="1"/>
    </xf>
    <xf numFmtId="0" fontId="20" fillId="0" borderId="60" xfId="0" applyFont="1" applyBorder="1" applyAlignment="1">
      <alignment horizontal="center" vertical="top" wrapText="1"/>
    </xf>
    <xf numFmtId="0" fontId="20" fillId="0" borderId="61" xfId="0" applyFont="1" applyBorder="1" applyAlignment="1">
      <alignment horizontal="center" vertical="top" wrapText="1"/>
    </xf>
    <xf numFmtId="0" fontId="20" fillId="0" borderId="62" xfId="0" applyFont="1" applyBorder="1" applyAlignment="1">
      <alignment horizontal="center" vertical="top" wrapText="1"/>
    </xf>
    <xf numFmtId="0" fontId="20" fillId="0" borderId="16" xfId="0" applyFont="1" applyBorder="1" applyAlignment="1">
      <alignment horizontal="left" vertical="top" wrapText="1"/>
    </xf>
    <xf numFmtId="0" fontId="20" fillId="0" borderId="17" xfId="0" applyFont="1" applyBorder="1" applyAlignment="1">
      <alignment horizontal="left" vertical="top" wrapText="1"/>
    </xf>
    <xf numFmtId="0" fontId="20" fillId="0" borderId="18" xfId="0" applyFont="1" applyBorder="1" applyAlignment="1">
      <alignment horizontal="left" vertical="top" wrapText="1"/>
    </xf>
    <xf numFmtId="2" fontId="20" fillId="0" borderId="52" xfId="0" applyNumberFormat="1" applyFont="1" applyBorder="1" applyAlignment="1">
      <alignment vertical="center" wrapText="1"/>
    </xf>
    <xf numFmtId="0" fontId="1" fillId="0" borderId="53" xfId="0" applyFont="1" applyBorder="1" applyAlignment="1">
      <alignment vertical="center" wrapText="1"/>
    </xf>
    <xf numFmtId="0" fontId="1" fillId="0" borderId="45" xfId="0" applyFont="1" applyBorder="1" applyAlignment="1">
      <alignment vertical="center" wrapText="1"/>
    </xf>
    <xf numFmtId="2" fontId="20" fillId="0" borderId="46" xfId="0" applyNumberFormat="1" applyFont="1" applyBorder="1" applyAlignment="1">
      <alignment vertical="center" wrapText="1"/>
    </xf>
    <xf numFmtId="1" fontId="4" fillId="0" borderId="46" xfId="0" applyNumberFormat="1" applyFont="1" applyBorder="1" applyAlignment="1">
      <alignment horizontal="left"/>
    </xf>
    <xf numFmtId="0" fontId="4" fillId="0" borderId="45" xfId="0" applyFont="1" applyBorder="1" applyAlignment="1">
      <alignment horizontal="left"/>
    </xf>
    <xf numFmtId="0" fontId="20" fillId="0" borderId="27" xfId="8" applyFont="1" applyBorder="1" applyAlignment="1">
      <alignment horizontal="left" wrapText="1"/>
    </xf>
    <xf numFmtId="0" fontId="20" fillId="0" borderId="0" xfId="8" applyFont="1" applyAlignment="1">
      <alignment horizontal="left" wrapText="1"/>
    </xf>
    <xf numFmtId="1" fontId="20" fillId="0" borderId="46" xfId="0" applyNumberFormat="1" applyFont="1" applyBorder="1" applyAlignment="1">
      <alignment horizontal="left"/>
    </xf>
    <xf numFmtId="0" fontId="1" fillId="0" borderId="45" xfId="0" applyFont="1" applyBorder="1" applyAlignment="1">
      <alignment horizontal="left"/>
    </xf>
    <xf numFmtId="0" fontId="20" fillId="16" borderId="52" xfId="0" applyFont="1" applyFill="1" applyBorder="1" applyAlignment="1">
      <alignment horizontal="left" vertical="top"/>
    </xf>
    <xf numFmtId="0" fontId="20" fillId="0" borderId="53" xfId="0" applyFont="1" applyBorder="1" applyAlignment="1">
      <alignment horizontal="left" vertical="top"/>
    </xf>
    <xf numFmtId="0" fontId="20" fillId="0" borderId="45" xfId="0" applyFont="1" applyBorder="1" applyAlignment="1">
      <alignment horizontal="left" vertical="top"/>
    </xf>
    <xf numFmtId="0" fontId="20" fillId="0" borderId="54" xfId="0" applyFont="1" applyBorder="1" applyAlignment="1">
      <alignment horizontal="left" vertical="top" wrapText="1"/>
    </xf>
    <xf numFmtId="0" fontId="20" fillId="0" borderId="53" xfId="0" applyFont="1" applyBorder="1" applyAlignment="1">
      <alignment vertical="center" wrapText="1"/>
    </xf>
    <xf numFmtId="0" fontId="20" fillId="0" borderId="45" xfId="0" applyFont="1" applyBorder="1" applyAlignment="1">
      <alignment vertical="center" wrapText="1"/>
    </xf>
    <xf numFmtId="0" fontId="20" fillId="11" borderId="20" xfId="0" applyFont="1" applyFill="1" applyBorder="1" applyAlignment="1">
      <alignment horizontal="left" vertical="center" wrapText="1"/>
    </xf>
    <xf numFmtId="0" fontId="20" fillId="11" borderId="27" xfId="0" applyFont="1" applyFill="1" applyBorder="1" applyAlignment="1">
      <alignment horizontal="left" vertical="center" wrapText="1"/>
    </xf>
    <xf numFmtId="0" fontId="20" fillId="11" borderId="21" xfId="0" applyFont="1" applyFill="1" applyBorder="1" applyAlignment="1">
      <alignment horizontal="left" vertical="center" wrapText="1"/>
    </xf>
    <xf numFmtId="0" fontId="20" fillId="4" borderId="80" xfId="0" applyFont="1" applyFill="1" applyBorder="1" applyAlignment="1">
      <alignment horizontal="left" vertical="top" wrapText="1"/>
    </xf>
    <xf numFmtId="0" fontId="20" fillId="4" borderId="83" xfId="0" applyFont="1" applyFill="1" applyBorder="1" applyAlignment="1">
      <alignment horizontal="left" vertical="top" wrapText="1"/>
    </xf>
    <xf numFmtId="0" fontId="20" fillId="4" borderId="81" xfId="0" applyFont="1" applyFill="1" applyBorder="1" applyAlignment="1">
      <alignment horizontal="left" vertical="top" wrapText="1"/>
    </xf>
    <xf numFmtId="0" fontId="4" fillId="4" borderId="16" xfId="0" applyFont="1" applyFill="1" applyBorder="1" applyAlignment="1">
      <alignment horizontal="left" vertical="top" wrapText="1"/>
    </xf>
    <xf numFmtId="0" fontId="20" fillId="4" borderId="43" xfId="0" applyFont="1" applyFill="1" applyBorder="1" applyAlignment="1">
      <alignment horizontal="center" vertical="center" wrapText="1"/>
    </xf>
    <xf numFmtId="0" fontId="20" fillId="4" borderId="44" xfId="0" applyFont="1" applyFill="1" applyBorder="1" applyAlignment="1">
      <alignment horizontal="center" vertical="center" wrapText="1"/>
    </xf>
    <xf numFmtId="0" fontId="20" fillId="4" borderId="47" xfId="0" applyFont="1" applyFill="1" applyBorder="1" applyAlignment="1">
      <alignment horizontal="center" vertical="center" wrapText="1"/>
    </xf>
    <xf numFmtId="0" fontId="26" fillId="4" borderId="80" xfId="8" applyFont="1" applyFill="1" applyBorder="1" applyAlignment="1">
      <alignment horizontal="left" wrapText="1"/>
    </xf>
    <xf numFmtId="0" fontId="26" fillId="4" borderId="81" xfId="8" applyFont="1" applyFill="1" applyBorder="1" applyAlignment="1">
      <alignment horizontal="left" wrapText="1"/>
    </xf>
    <xf numFmtId="0" fontId="26" fillId="4" borderId="37" xfId="8" applyFont="1" applyFill="1" applyBorder="1" applyAlignment="1">
      <alignment horizontal="left" wrapText="1"/>
    </xf>
    <xf numFmtId="0" fontId="26" fillId="4" borderId="32" xfId="8" applyFont="1" applyFill="1" applyBorder="1" applyAlignment="1">
      <alignment horizontal="left" wrapText="1"/>
    </xf>
    <xf numFmtId="0" fontId="26" fillId="4" borderId="35" xfId="8" applyFont="1" applyFill="1" applyBorder="1" applyAlignment="1">
      <alignment horizontal="left" wrapText="1"/>
    </xf>
    <xf numFmtId="0" fontId="26" fillId="4" borderId="34" xfId="8" applyFont="1" applyFill="1" applyBorder="1" applyAlignment="1">
      <alignment horizontal="left" wrapText="1"/>
    </xf>
    <xf numFmtId="0" fontId="96" fillId="0" borderId="43" xfId="8" applyFont="1" applyBorder="1" applyAlignment="1">
      <alignment horizontal="left" vertical="center"/>
    </xf>
    <xf numFmtId="0" fontId="96" fillId="0" borderId="44" xfId="8" applyFont="1" applyBorder="1" applyAlignment="1">
      <alignment horizontal="left" vertical="center"/>
    </xf>
    <xf numFmtId="0" fontId="4" fillId="0" borderId="47" xfId="0" applyFont="1" applyBorder="1" applyAlignment="1">
      <alignment horizontal="left" vertical="center"/>
    </xf>
    <xf numFmtId="0" fontId="96" fillId="0" borderId="47" xfId="8" applyFont="1" applyBorder="1" applyAlignment="1">
      <alignment horizontal="left" vertical="center"/>
    </xf>
    <xf numFmtId="0" fontId="26" fillId="4" borderId="16" xfId="8" applyFont="1" applyFill="1" applyBorder="1" applyAlignment="1">
      <alignment horizontal="center" wrapText="1"/>
    </xf>
    <xf numFmtId="0" fontId="26" fillId="4" borderId="18" xfId="8" applyFont="1" applyFill="1" applyBorder="1" applyAlignment="1">
      <alignment horizontal="center" wrapText="1"/>
    </xf>
    <xf numFmtId="0" fontId="26" fillId="4" borderId="16" xfId="8" applyFont="1" applyFill="1" applyBorder="1" applyAlignment="1">
      <alignment horizontal="left" wrapText="1"/>
    </xf>
    <xf numFmtId="0" fontId="26" fillId="4" borderId="18" xfId="8" applyFont="1" applyFill="1" applyBorder="1" applyAlignment="1">
      <alignment horizontal="left" wrapText="1"/>
    </xf>
    <xf numFmtId="0" fontId="26" fillId="4" borderId="9" xfId="8" applyFont="1" applyFill="1" applyBorder="1" applyAlignment="1">
      <alignment horizontal="left" wrapText="1"/>
    </xf>
    <xf numFmtId="0" fontId="26" fillId="4" borderId="14" xfId="8" applyFont="1" applyFill="1" applyBorder="1" applyAlignment="1">
      <alignment horizontal="left" wrapText="1"/>
    </xf>
    <xf numFmtId="0" fontId="26" fillId="4" borderId="57" xfId="8" applyFont="1" applyFill="1" applyBorder="1" applyAlignment="1">
      <alignment horizontal="left" vertical="center" wrapText="1"/>
    </xf>
    <xf numFmtId="0" fontId="26" fillId="4" borderId="59" xfId="8" applyFont="1" applyFill="1" applyBorder="1" applyAlignment="1">
      <alignment horizontal="left" vertical="center" wrapText="1"/>
    </xf>
    <xf numFmtId="0" fontId="26" fillId="4" borderId="22" xfId="8" applyFont="1" applyFill="1" applyBorder="1" applyAlignment="1">
      <alignment horizontal="left" vertical="center" wrapText="1"/>
    </xf>
    <xf numFmtId="0" fontId="26" fillId="4" borderId="24" xfId="8" applyFont="1" applyFill="1" applyBorder="1" applyAlignment="1">
      <alignment horizontal="left" vertical="center" wrapText="1"/>
    </xf>
    <xf numFmtId="0" fontId="26" fillId="4" borderId="60" xfId="8" applyFont="1" applyFill="1" applyBorder="1" applyAlignment="1">
      <alignment horizontal="left" vertical="center" wrapText="1"/>
    </xf>
    <xf numFmtId="0" fontId="26" fillId="4" borderId="62" xfId="8" applyFont="1" applyFill="1" applyBorder="1" applyAlignment="1">
      <alignment horizontal="left" vertical="center" wrapText="1"/>
    </xf>
    <xf numFmtId="0" fontId="4" fillId="0" borderId="44" xfId="0" applyFont="1" applyBorder="1" applyAlignment="1">
      <alignment horizontal="left" vertical="center"/>
    </xf>
    <xf numFmtId="0" fontId="26" fillId="0" borderId="57" xfId="8" applyFont="1" applyBorder="1" applyAlignment="1">
      <alignment horizontal="left" vertical="center" wrapText="1"/>
    </xf>
    <xf numFmtId="0" fontId="26" fillId="0" borderId="59" xfId="8" applyFont="1" applyBorder="1" applyAlignment="1">
      <alignment horizontal="left" vertical="center" wrapText="1"/>
    </xf>
    <xf numFmtId="0" fontId="26" fillId="0" borderId="22" xfId="8" applyFont="1" applyBorder="1" applyAlignment="1">
      <alignment horizontal="left" vertical="center" wrapText="1"/>
    </xf>
    <xf numFmtId="0" fontId="26" fillId="0" borderId="24" xfId="8" applyFont="1" applyBorder="1" applyAlignment="1">
      <alignment horizontal="left" vertical="center" wrapText="1"/>
    </xf>
    <xf numFmtId="0" fontId="26" fillId="4" borderId="52" xfId="8" applyFont="1" applyFill="1" applyBorder="1" applyAlignment="1">
      <alignment vertical="center" wrapText="1"/>
    </xf>
    <xf numFmtId="0" fontId="26" fillId="4" borderId="53" xfId="8" applyFont="1" applyFill="1" applyBorder="1" applyAlignment="1">
      <alignment vertical="center" wrapText="1"/>
    </xf>
    <xf numFmtId="0" fontId="4" fillId="4" borderId="53" xfId="0" applyFont="1" applyFill="1" applyBorder="1" applyAlignment="1">
      <alignment vertical="center" wrapText="1"/>
    </xf>
    <xf numFmtId="0" fontId="4" fillId="4" borderId="54" xfId="0" applyFont="1" applyFill="1" applyBorder="1" applyAlignment="1">
      <alignment vertical="center" wrapText="1"/>
    </xf>
    <xf numFmtId="0" fontId="26" fillId="0" borderId="25" xfId="8" applyFont="1" applyBorder="1" applyAlignment="1">
      <alignment horizontal="left" wrapText="1"/>
    </xf>
    <xf numFmtId="0" fontId="26" fillId="0" borderId="26" xfId="8" applyFont="1" applyBorder="1" applyAlignment="1">
      <alignment horizontal="left" wrapText="1"/>
    </xf>
    <xf numFmtId="0" fontId="26" fillId="0" borderId="16" xfId="8" applyFont="1" applyBorder="1" applyAlignment="1">
      <alignment horizontal="left" wrapText="1"/>
    </xf>
    <xf numFmtId="0" fontId="26" fillId="0" borderId="18" xfId="8" applyFont="1" applyBorder="1" applyAlignment="1">
      <alignment horizontal="left" wrapText="1"/>
    </xf>
    <xf numFmtId="0" fontId="26" fillId="4" borderId="20" xfId="8" applyFont="1" applyFill="1" applyBorder="1" applyAlignment="1">
      <alignment horizontal="left" wrapText="1"/>
    </xf>
    <xf numFmtId="0" fontId="26" fillId="4" borderId="21" xfId="8" applyFont="1" applyFill="1" applyBorder="1" applyAlignment="1">
      <alignment horizontal="left" wrapText="1"/>
    </xf>
    <xf numFmtId="0" fontId="26" fillId="4" borderId="60" xfId="8" applyFont="1" applyFill="1" applyBorder="1" applyAlignment="1">
      <alignment horizontal="left" wrapText="1"/>
    </xf>
    <xf numFmtId="0" fontId="26" fillId="4" borderId="62" xfId="8" applyFont="1" applyFill="1" applyBorder="1" applyAlignment="1">
      <alignment horizontal="left" wrapText="1"/>
    </xf>
    <xf numFmtId="168" fontId="20" fillId="0" borderId="31" xfId="5" applyNumberFormat="1" applyFont="1" applyBorder="1" applyAlignment="1">
      <alignment horizontal="left" vertical="center"/>
    </xf>
    <xf numFmtId="168" fontId="20" fillId="0" borderId="33" xfId="5" applyNumberFormat="1" applyFont="1" applyBorder="1" applyAlignment="1">
      <alignment horizontal="left" vertical="center"/>
    </xf>
    <xf numFmtId="165" fontId="20" fillId="0" borderId="9" xfId="0" applyNumberFormat="1" applyFont="1" applyBorder="1" applyAlignment="1">
      <alignment horizontal="left" vertical="center" wrapText="1"/>
    </xf>
    <xf numFmtId="165" fontId="20" fillId="0" borderId="16" xfId="0" applyNumberFormat="1" applyFont="1" applyBorder="1" applyAlignment="1">
      <alignment horizontal="left" vertical="center" wrapText="1"/>
    </xf>
    <xf numFmtId="168" fontId="20" fillId="0" borderId="19" xfId="5" applyNumberFormat="1" applyFont="1" applyBorder="1" applyAlignment="1">
      <alignment horizontal="center" vertical="center"/>
    </xf>
    <xf numFmtId="168" fontId="20" fillId="0" borderId="19" xfId="5" applyNumberFormat="1" applyFont="1" applyBorder="1" applyAlignment="1">
      <alignment horizontal="left" vertical="center"/>
    </xf>
    <xf numFmtId="168" fontId="20" fillId="0" borderId="30" xfId="5" applyNumberFormat="1" applyFont="1" applyBorder="1" applyAlignment="1">
      <alignment horizontal="left" vertical="center"/>
    </xf>
    <xf numFmtId="168" fontId="20" fillId="0" borderId="14" xfId="5" applyNumberFormat="1" applyFont="1" applyBorder="1" applyAlignment="1">
      <alignment horizontal="left" vertical="top" wrapText="1"/>
    </xf>
    <xf numFmtId="0" fontId="20" fillId="0" borderId="14" xfId="0" applyFont="1" applyBorder="1"/>
    <xf numFmtId="0" fontId="20" fillId="0" borderId="9" xfId="0" applyFont="1" applyBorder="1" applyAlignment="1">
      <alignment horizontal="left"/>
    </xf>
    <xf numFmtId="0" fontId="20" fillId="10" borderId="9" xfId="0" applyFont="1" applyFill="1" applyBorder="1" applyAlignment="1">
      <alignment horizontal="left"/>
    </xf>
    <xf numFmtId="0" fontId="20" fillId="11" borderId="20" xfId="0" applyFont="1" applyFill="1" applyBorder="1" applyAlignment="1">
      <alignment horizontal="center" vertical="center" wrapText="1"/>
    </xf>
    <xf numFmtId="165" fontId="20" fillId="0" borderId="97" xfId="13" applyNumberFormat="1" applyFont="1" applyBorder="1" applyAlignment="1">
      <alignment horizontal="left" vertical="center" wrapText="1"/>
    </xf>
    <xf numFmtId="165" fontId="20" fillId="0" borderId="47" xfId="13" applyNumberFormat="1" applyFont="1" applyBorder="1" applyAlignment="1">
      <alignment horizontal="left" vertical="center" wrapText="1"/>
    </xf>
    <xf numFmtId="165" fontId="20" fillId="0" borderId="19" xfId="13" applyNumberFormat="1" applyFont="1" applyBorder="1" applyAlignment="1">
      <alignment horizontal="left" vertical="center" wrapText="1"/>
    </xf>
    <xf numFmtId="165" fontId="20" fillId="0" borderId="33" xfId="13" applyNumberFormat="1" applyFont="1" applyBorder="1" applyAlignment="1">
      <alignment horizontal="left" vertical="center" wrapText="1"/>
    </xf>
    <xf numFmtId="165" fontId="4" fillId="0" borderId="16" xfId="13" applyNumberFormat="1" applyFont="1" applyBorder="1" applyAlignment="1">
      <alignment horizontal="left" vertical="center" wrapText="1"/>
    </xf>
    <xf numFmtId="165" fontId="4" fillId="0" borderId="17" xfId="13" applyNumberFormat="1" applyFont="1" applyBorder="1" applyAlignment="1">
      <alignment horizontal="left" vertical="center" wrapText="1"/>
    </xf>
    <xf numFmtId="165" fontId="4" fillId="0" borderId="18" xfId="13" applyNumberFormat="1" applyFont="1" applyBorder="1" applyAlignment="1">
      <alignment horizontal="left" vertical="center" wrapText="1"/>
    </xf>
    <xf numFmtId="165" fontId="4" fillId="0" borderId="9" xfId="13" applyNumberFormat="1" applyFont="1" applyBorder="1" applyAlignment="1">
      <alignment vertical="center" wrapText="1"/>
    </xf>
    <xf numFmtId="165" fontId="4" fillId="0" borderId="10" xfId="13" applyNumberFormat="1" applyFont="1" applyBorder="1" applyAlignment="1">
      <alignment vertical="center" wrapText="1"/>
    </xf>
    <xf numFmtId="165" fontId="1" fillId="0" borderId="19" xfId="13" applyNumberFormat="1" applyBorder="1" applyAlignment="1">
      <alignment horizontal="left" vertical="center" wrapText="1"/>
    </xf>
    <xf numFmtId="165" fontId="1" fillId="0" borderId="23" xfId="13" applyNumberFormat="1" applyBorder="1" applyAlignment="1">
      <alignment horizontal="left" vertical="center" wrapText="1"/>
    </xf>
    <xf numFmtId="165" fontId="20" fillId="0" borderId="35" xfId="13" applyNumberFormat="1" applyFont="1" applyBorder="1" applyAlignment="1">
      <alignment horizontal="left" vertical="center" wrapText="1"/>
    </xf>
    <xf numFmtId="165" fontId="20" fillId="0" borderId="36" xfId="13" applyNumberFormat="1" applyFont="1" applyBorder="1" applyAlignment="1">
      <alignment horizontal="left" vertical="center" wrapText="1"/>
    </xf>
    <xf numFmtId="165" fontId="20" fillId="0" borderId="34" xfId="13" applyNumberFormat="1" applyFont="1" applyBorder="1" applyAlignment="1">
      <alignment horizontal="left" vertical="center" wrapText="1"/>
    </xf>
    <xf numFmtId="165" fontId="20" fillId="0" borderId="14" xfId="13" applyNumberFormat="1" applyFont="1" applyBorder="1" applyAlignment="1">
      <alignment horizontal="center" vertical="center" wrapText="1"/>
    </xf>
    <xf numFmtId="165" fontId="20" fillId="0" borderId="15" xfId="13" applyNumberFormat="1" applyFont="1" applyBorder="1" applyAlignment="1">
      <alignment horizontal="center" vertical="center" wrapText="1"/>
    </xf>
    <xf numFmtId="165" fontId="20" fillId="0" borderId="20" xfId="13" applyNumberFormat="1" applyFont="1" applyBorder="1" applyAlignment="1">
      <alignment horizontal="center" vertical="center" wrapText="1"/>
    </xf>
    <xf numFmtId="0" fontId="20" fillId="0" borderId="27"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60" xfId="0" applyFont="1" applyBorder="1" applyAlignment="1">
      <alignment horizontal="center" vertical="center" wrapText="1"/>
    </xf>
    <xf numFmtId="0" fontId="20" fillId="0" borderId="61" xfId="0" applyFont="1" applyBorder="1" applyAlignment="1">
      <alignment horizontal="center" vertical="center" wrapText="1"/>
    </xf>
    <xf numFmtId="0" fontId="20" fillId="0" borderId="62" xfId="0" applyFont="1" applyBorder="1" applyAlignment="1">
      <alignment horizontal="center" vertical="center" wrapText="1"/>
    </xf>
    <xf numFmtId="165" fontId="20" fillId="0" borderId="9" xfId="13" applyNumberFormat="1" applyFont="1" applyBorder="1" applyAlignment="1">
      <alignment horizontal="center" vertical="center" wrapText="1"/>
    </xf>
    <xf numFmtId="165" fontId="20" fillId="0" borderId="10" xfId="13" applyNumberFormat="1" applyFont="1" applyBorder="1" applyAlignment="1">
      <alignment horizontal="center" vertical="center" wrapText="1"/>
    </xf>
    <xf numFmtId="0" fontId="0" fillId="0" borderId="23" xfId="0" applyBorder="1" applyAlignment="1">
      <alignment horizontal="left" vertical="center" wrapText="1"/>
    </xf>
    <xf numFmtId="165" fontId="20" fillId="0" borderId="10" xfId="13" applyNumberFormat="1" applyFont="1" applyBorder="1" applyAlignment="1">
      <alignment horizontal="left" vertical="center" wrapText="1"/>
    </xf>
    <xf numFmtId="165" fontId="20" fillId="0" borderId="44" xfId="13" applyNumberFormat="1" applyFont="1" applyBorder="1" applyAlignment="1">
      <alignment horizontal="left" vertical="center" wrapText="1"/>
    </xf>
    <xf numFmtId="165" fontId="20" fillId="0" borderId="30" xfId="13" applyNumberFormat="1" applyFont="1" applyBorder="1" applyAlignment="1">
      <alignment horizontal="left" vertical="center" wrapText="1"/>
    </xf>
    <xf numFmtId="165" fontId="20" fillId="0" borderId="35" xfId="13" applyNumberFormat="1" applyFont="1" applyBorder="1" applyAlignment="1">
      <alignment horizontal="center" vertical="center" wrapText="1"/>
    </xf>
    <xf numFmtId="165" fontId="20" fillId="0" borderId="15" xfId="13" applyNumberFormat="1" applyFont="1" applyBorder="1" applyAlignment="1">
      <alignment horizontal="left" vertical="center" wrapText="1"/>
    </xf>
    <xf numFmtId="165" fontId="1" fillId="0" borderId="30" xfId="13" applyNumberFormat="1" applyBorder="1" applyAlignment="1">
      <alignment horizontal="left" vertical="center" wrapText="1"/>
    </xf>
    <xf numFmtId="165" fontId="0" fillId="0" borderId="19" xfId="13" applyNumberFormat="1" applyFont="1" applyBorder="1" applyAlignment="1">
      <alignment horizontal="left" vertical="center" wrapText="1"/>
    </xf>
    <xf numFmtId="165" fontId="0" fillId="0" borderId="30" xfId="13" applyNumberFormat="1" applyFont="1" applyBorder="1" applyAlignment="1">
      <alignment horizontal="left" vertical="center" wrapText="1"/>
    </xf>
    <xf numFmtId="165" fontId="0" fillId="0" borderId="23" xfId="13" applyNumberFormat="1" applyFont="1" applyBorder="1" applyAlignment="1">
      <alignment horizontal="left" vertical="center" wrapText="1"/>
    </xf>
    <xf numFmtId="0" fontId="20" fillId="0" borderId="14" xfId="0" applyFont="1" applyBorder="1" applyAlignment="1">
      <alignment horizontal="center" vertical="center" wrapText="1"/>
    </xf>
    <xf numFmtId="0" fontId="20" fillId="0" borderId="35" xfId="0" applyFont="1" applyBorder="1" applyAlignment="1">
      <alignment horizontal="center" vertical="center" wrapText="1"/>
    </xf>
    <xf numFmtId="0" fontId="20" fillId="4" borderId="9" xfId="0" applyFont="1" applyFill="1" applyBorder="1" applyAlignment="1">
      <alignment horizontal="center" vertical="center" wrapText="1"/>
    </xf>
    <xf numFmtId="0" fontId="48" fillId="0" borderId="43" xfId="8" applyFont="1" applyBorder="1" applyAlignment="1">
      <alignment horizontal="left" vertical="center"/>
    </xf>
    <xf numFmtId="0" fontId="48" fillId="0" borderId="44" xfId="8" applyFont="1" applyBorder="1" applyAlignment="1">
      <alignment horizontal="left" vertical="center"/>
    </xf>
    <xf numFmtId="0" fontId="20" fillId="0" borderId="44" xfId="0" applyFont="1" applyBorder="1" applyAlignment="1">
      <alignment horizontal="left" vertical="center"/>
    </xf>
    <xf numFmtId="0" fontId="20" fillId="0" borderId="47" xfId="0" applyFont="1" applyBorder="1" applyAlignment="1">
      <alignment horizontal="left" vertical="center"/>
    </xf>
    <xf numFmtId="0" fontId="52" fillId="0" borderId="19" xfId="8" applyFont="1" applyBorder="1" applyAlignment="1">
      <alignment horizontal="left" vertical="center"/>
    </xf>
    <xf numFmtId="0" fontId="52" fillId="0" borderId="30" xfId="8" applyFont="1" applyBorder="1" applyAlignment="1">
      <alignment horizontal="left" vertical="center"/>
    </xf>
    <xf numFmtId="0" fontId="20" fillId="0" borderId="71" xfId="8" applyFont="1" applyBorder="1" applyAlignment="1">
      <alignment horizontal="center" vertical="center" wrapText="1"/>
    </xf>
    <xf numFmtId="0" fontId="20" fillId="0" borderId="42" xfId="8" applyFont="1" applyBorder="1" applyAlignment="1">
      <alignment horizontal="center" vertical="center" wrapText="1"/>
    </xf>
    <xf numFmtId="0" fontId="48" fillId="0" borderId="97" xfId="8" applyFont="1" applyBorder="1" applyAlignment="1">
      <alignment horizontal="left" vertical="center"/>
    </xf>
    <xf numFmtId="165" fontId="20" fillId="0" borderId="8" xfId="13" applyNumberFormat="1" applyFont="1" applyBorder="1" applyAlignment="1">
      <alignment horizontal="left" vertical="center" wrapText="1"/>
    </xf>
    <xf numFmtId="165" fontId="20" fillId="0" borderId="13" xfId="13" applyNumberFormat="1" applyFont="1" applyBorder="1" applyAlignment="1">
      <alignment horizontal="left" vertical="center" wrapText="1"/>
    </xf>
    <xf numFmtId="0" fontId="20" fillId="4" borderId="14" xfId="0" applyFont="1" applyFill="1" applyBorder="1" applyAlignment="1">
      <alignment horizontal="left" vertical="center" wrapText="1"/>
    </xf>
    <xf numFmtId="2" fontId="20" fillId="0" borderId="9" xfId="13" applyNumberFormat="1" applyFont="1" applyBorder="1" applyAlignment="1">
      <alignment horizontal="left" vertical="center" wrapText="1"/>
    </xf>
    <xf numFmtId="0" fontId="48" fillId="0" borderId="47" xfId="8" applyFont="1" applyBorder="1" applyAlignment="1">
      <alignment horizontal="left" vertical="center"/>
    </xf>
    <xf numFmtId="0" fontId="52" fillId="0" borderId="23" xfId="8" applyFont="1" applyBorder="1" applyAlignment="1">
      <alignment horizontal="left" vertical="center"/>
    </xf>
    <xf numFmtId="0" fontId="20" fillId="0" borderId="52" xfId="8" applyFont="1" applyBorder="1" applyAlignment="1">
      <alignment vertical="center" wrapText="1"/>
    </xf>
    <xf numFmtId="0" fontId="20" fillId="0" borderId="54" xfId="0" applyFont="1" applyBorder="1" applyAlignment="1">
      <alignment vertical="center" wrapText="1"/>
    </xf>
    <xf numFmtId="0" fontId="20" fillId="0" borderId="0" xfId="8" applyFont="1" applyAlignment="1">
      <alignment horizontal="center" vertical="center" wrapText="1"/>
    </xf>
    <xf numFmtId="0" fontId="48" fillId="0" borderId="29" xfId="8" applyFont="1" applyBorder="1" applyAlignment="1">
      <alignment horizontal="left" vertical="center"/>
    </xf>
    <xf numFmtId="0" fontId="25" fillId="4" borderId="46" xfId="8" applyFont="1" applyFill="1" applyBorder="1" applyAlignment="1">
      <alignment horizontal="left" vertical="center" wrapText="1"/>
    </xf>
    <xf numFmtId="0" fontId="20" fillId="0" borderId="53" xfId="0" applyFont="1" applyBorder="1" applyAlignment="1">
      <alignment horizontal="left" vertical="center" wrapText="1"/>
    </xf>
    <xf numFmtId="0" fontId="20" fillId="0" borderId="54" xfId="0" applyFont="1" applyBorder="1" applyAlignment="1">
      <alignment horizontal="left" vertical="center" wrapText="1"/>
    </xf>
    <xf numFmtId="0" fontId="20" fillId="0" borderId="31" xfId="8" applyFont="1" applyBorder="1" applyAlignment="1">
      <alignment vertical="center" wrapText="1"/>
    </xf>
    <xf numFmtId="0" fontId="20" fillId="0" borderId="30" xfId="0" applyFont="1" applyBorder="1"/>
    <xf numFmtId="0" fontId="20" fillId="0" borderId="33" xfId="0" applyFont="1" applyBorder="1"/>
    <xf numFmtId="0" fontId="52" fillId="4" borderId="19" xfId="8" applyFont="1" applyFill="1" applyBorder="1" applyAlignment="1">
      <alignment horizontal="left" vertical="center"/>
    </xf>
    <xf numFmtId="0" fontId="52" fillId="4" borderId="30" xfId="8" applyFont="1" applyFill="1" applyBorder="1" applyAlignment="1">
      <alignment horizontal="left" vertical="center"/>
    </xf>
    <xf numFmtId="0" fontId="52" fillId="4" borderId="23" xfId="8" applyFont="1" applyFill="1" applyBorder="1" applyAlignment="1">
      <alignment horizontal="left" vertical="center"/>
    </xf>
    <xf numFmtId="0" fontId="25" fillId="4" borderId="52" xfId="8" applyFont="1" applyFill="1" applyBorder="1" applyAlignment="1">
      <alignment horizontal="left" vertical="center" wrapText="1"/>
    </xf>
    <xf numFmtId="0" fontId="20" fillId="0" borderId="54" xfId="0" applyFont="1" applyBorder="1"/>
    <xf numFmtId="0" fontId="20" fillId="0" borderId="43" xfId="8" applyFont="1" applyBorder="1" applyAlignment="1">
      <alignment horizontal="left" vertical="center"/>
    </xf>
    <xf numFmtId="0" fontId="20" fillId="0" borderId="44" xfId="8" applyFont="1" applyBorder="1" applyAlignment="1">
      <alignment horizontal="left" vertical="center"/>
    </xf>
    <xf numFmtId="0" fontId="20" fillId="0" borderId="47" xfId="8" applyFont="1" applyBorder="1" applyAlignment="1">
      <alignment horizontal="left" vertical="center"/>
    </xf>
    <xf numFmtId="0" fontId="48" fillId="0" borderId="23" xfId="8" applyFont="1" applyBorder="1" applyAlignment="1">
      <alignment horizontal="left" vertical="center"/>
    </xf>
    <xf numFmtId="0" fontId="20" fillId="0" borderId="19" xfId="8" applyFont="1" applyBorder="1" applyAlignment="1">
      <alignment wrapText="1"/>
    </xf>
    <xf numFmtId="0" fontId="20" fillId="0" borderId="30" xfId="0" applyFont="1" applyBorder="1" applyAlignment="1">
      <alignment wrapText="1"/>
    </xf>
    <xf numFmtId="0" fontId="20" fillId="0" borderId="19" xfId="8" applyFont="1" applyBorder="1"/>
    <xf numFmtId="0" fontId="20" fillId="0" borderId="23" xfId="0" applyFont="1" applyBorder="1"/>
    <xf numFmtId="0" fontId="20" fillId="4" borderId="0" xfId="8" applyFont="1" applyFill="1" applyAlignment="1">
      <alignment horizontal="left" vertical="center" wrapText="1"/>
    </xf>
    <xf numFmtId="0" fontId="20" fillId="0" borderId="9" xfId="8" applyFont="1" applyBorder="1" applyAlignment="1">
      <alignment wrapText="1"/>
    </xf>
    <xf numFmtId="0" fontId="20" fillId="0" borderId="16" xfId="8" applyFont="1" applyBorder="1" applyAlignment="1">
      <alignment wrapText="1"/>
    </xf>
    <xf numFmtId="0" fontId="48" fillId="4" borderId="19" xfId="8" applyFont="1" applyFill="1" applyBorder="1" applyAlignment="1">
      <alignment horizontal="left" vertical="center"/>
    </xf>
    <xf numFmtId="165" fontId="66" fillId="0" borderId="23" xfId="13" applyNumberFormat="1" applyFont="1" applyBorder="1" applyAlignment="1">
      <alignment horizontal="left" vertical="center" wrapText="1"/>
    </xf>
    <xf numFmtId="165" fontId="20" fillId="0" borderId="25" xfId="13" applyNumberFormat="1" applyFont="1" applyBorder="1" applyAlignment="1">
      <alignment horizontal="left" vertical="center" wrapText="1"/>
    </xf>
    <xf numFmtId="165" fontId="66" fillId="0" borderId="9" xfId="13" applyNumberFormat="1" applyFont="1" applyBorder="1" applyAlignment="1">
      <alignment vertical="center" wrapText="1"/>
    </xf>
    <xf numFmtId="0" fontId="20" fillId="4" borderId="16" xfId="8" applyFont="1" applyFill="1" applyBorder="1" applyAlignment="1">
      <alignment wrapText="1"/>
    </xf>
    <xf numFmtId="165" fontId="20" fillId="0" borderId="9" xfId="13" applyNumberFormat="1" applyFont="1" applyBorder="1" applyAlignment="1">
      <alignment vertical="center" wrapText="1"/>
    </xf>
    <xf numFmtId="0" fontId="20" fillId="0" borderId="19" xfId="8" applyFont="1" applyBorder="1" applyAlignment="1">
      <alignment horizontal="left" vertical="center" wrapText="1"/>
    </xf>
    <xf numFmtId="0" fontId="20" fillId="0" borderId="23" xfId="8" applyFont="1" applyBorder="1" applyAlignment="1">
      <alignment horizontal="left" vertical="center" wrapText="1"/>
    </xf>
    <xf numFmtId="0" fontId="20" fillId="0" borderId="20" xfId="8" applyFont="1" applyBorder="1" applyAlignment="1">
      <alignment wrapText="1"/>
    </xf>
    <xf numFmtId="0" fontId="20" fillId="0" borderId="27" xfId="8" applyFont="1" applyBorder="1" applyAlignment="1">
      <alignment wrapText="1"/>
    </xf>
    <xf numFmtId="0" fontId="20" fillId="0" borderId="18" xfId="8" applyFont="1" applyBorder="1" applyAlignment="1">
      <alignment wrapText="1"/>
    </xf>
    <xf numFmtId="0" fontId="0" fillId="0" borderId="19" xfId="8" applyFont="1" applyBorder="1" applyAlignment="1">
      <alignment horizontal="left" vertical="center" wrapText="1"/>
    </xf>
    <xf numFmtId="0" fontId="0" fillId="0" borderId="30" xfId="8" applyFont="1" applyBorder="1" applyAlignment="1">
      <alignment horizontal="left" vertical="center" wrapText="1"/>
    </xf>
    <xf numFmtId="0" fontId="0" fillId="0" borderId="23" xfId="8" applyFont="1" applyBorder="1" applyAlignment="1">
      <alignment horizontal="left" vertical="center" wrapText="1"/>
    </xf>
    <xf numFmtId="0" fontId="20" fillId="0" borderId="21" xfId="8" applyFont="1" applyBorder="1" applyAlignment="1">
      <alignment wrapText="1"/>
    </xf>
    <xf numFmtId="0" fontId="20" fillId="0" borderId="22" xfId="0" applyFont="1" applyBorder="1" applyAlignment="1">
      <alignment wrapText="1"/>
    </xf>
    <xf numFmtId="0" fontId="20" fillId="0" borderId="24" xfId="0" applyFont="1" applyBorder="1" applyAlignment="1">
      <alignment wrapText="1"/>
    </xf>
    <xf numFmtId="0" fontId="20" fillId="0" borderId="25" xfId="0" applyFont="1" applyBorder="1" applyAlignment="1">
      <alignment wrapText="1"/>
    </xf>
    <xf numFmtId="0" fontId="20" fillId="0" borderId="28" xfId="0" applyFont="1" applyBorder="1" applyAlignment="1">
      <alignment wrapText="1"/>
    </xf>
    <xf numFmtId="0" fontId="20" fillId="0" borderId="26" xfId="0" applyFont="1" applyBorder="1" applyAlignment="1">
      <alignment wrapText="1"/>
    </xf>
    <xf numFmtId="0" fontId="66" fillId="0" borderId="9" xfId="8" applyFont="1" applyBorder="1" applyAlignment="1">
      <alignment wrapText="1"/>
    </xf>
    <xf numFmtId="0" fontId="20" fillId="0" borderId="30" xfId="8" applyFont="1" applyBorder="1" applyAlignment="1">
      <alignment horizontal="left" vertical="center" wrapText="1"/>
    </xf>
    <xf numFmtId="0" fontId="20" fillId="0" borderId="9" xfId="8" applyFont="1" applyBorder="1" applyAlignment="1">
      <alignment horizontal="left" vertical="center"/>
    </xf>
    <xf numFmtId="0" fontId="25" fillId="0" borderId="27" xfId="8" applyFont="1" applyBorder="1" applyAlignment="1">
      <alignment horizontal="left" wrapText="1"/>
    </xf>
    <xf numFmtId="0" fontId="25" fillId="0" borderId="0" xfId="8" applyFont="1" applyAlignment="1">
      <alignment horizontal="left" wrapText="1"/>
    </xf>
    <xf numFmtId="165" fontId="20" fillId="0" borderId="19" xfId="8" applyNumberFormat="1" applyFont="1" applyBorder="1" applyAlignment="1">
      <alignment horizontal="left" vertical="center"/>
    </xf>
    <xf numFmtId="0" fontId="20" fillId="0" borderId="30" xfId="8" applyFont="1" applyBorder="1" applyAlignment="1">
      <alignment horizontal="left" vertical="center"/>
    </xf>
    <xf numFmtId="0" fontId="20" fillId="0" borderId="23" xfId="8" applyFont="1" applyBorder="1" applyAlignment="1">
      <alignment horizontal="left" vertical="center"/>
    </xf>
    <xf numFmtId="165" fontId="20" fillId="0" borderId="9" xfId="8" applyNumberFormat="1" applyFont="1" applyBorder="1" applyAlignment="1">
      <alignment horizontal="left" vertical="center"/>
    </xf>
    <xf numFmtId="165" fontId="20" fillId="0" borderId="17" xfId="13" applyNumberFormat="1" applyFont="1" applyBorder="1" applyAlignment="1">
      <alignment horizontal="center" vertical="center" wrapText="1"/>
    </xf>
    <xf numFmtId="165" fontId="1" fillId="0" borderId="9" xfId="13" applyNumberFormat="1" applyBorder="1" applyAlignment="1">
      <alignment horizontal="left" vertical="center" wrapText="1"/>
    </xf>
    <xf numFmtId="165" fontId="20" fillId="0" borderId="20" xfId="13" applyNumberFormat="1" applyFont="1" applyBorder="1" applyAlignment="1">
      <alignment horizontal="left" vertical="center" wrapText="1"/>
    </xf>
    <xf numFmtId="165" fontId="20" fillId="0" borderId="21" xfId="13" applyNumberFormat="1" applyFont="1" applyBorder="1" applyAlignment="1">
      <alignment horizontal="left" vertical="center" wrapText="1"/>
    </xf>
    <xf numFmtId="0" fontId="20" fillId="0" borderId="25" xfId="0" applyFont="1" applyBorder="1" applyAlignment="1">
      <alignment horizontal="left" vertical="center" wrapText="1"/>
    </xf>
    <xf numFmtId="0" fontId="20" fillId="0" borderId="26" xfId="0" applyFont="1" applyBorder="1" applyAlignment="1">
      <alignment horizontal="left" vertical="center" wrapText="1"/>
    </xf>
    <xf numFmtId="165" fontId="20" fillId="0" borderId="27" xfId="13" applyNumberFormat="1" applyFont="1" applyBorder="1" applyAlignment="1">
      <alignment horizontal="center" vertical="center" wrapText="1"/>
    </xf>
    <xf numFmtId="165" fontId="20" fillId="0" borderId="21" xfId="13" applyNumberFormat="1" applyFont="1" applyBorder="1" applyAlignment="1">
      <alignment horizontal="center" vertical="center" wrapText="1"/>
    </xf>
    <xf numFmtId="165" fontId="20" fillId="0" borderId="25" xfId="13" applyNumberFormat="1" applyFont="1" applyBorder="1" applyAlignment="1">
      <alignment horizontal="center" vertical="center" wrapText="1"/>
    </xf>
    <xf numFmtId="165" fontId="20" fillId="0" borderId="28" xfId="13" applyNumberFormat="1" applyFont="1" applyBorder="1" applyAlignment="1">
      <alignment horizontal="center" vertical="center" wrapText="1"/>
    </xf>
    <xf numFmtId="165" fontId="20" fillId="0" borderId="26" xfId="13" applyNumberFormat="1" applyFont="1" applyBorder="1" applyAlignment="1">
      <alignment horizontal="center" vertical="center" wrapText="1"/>
    </xf>
    <xf numFmtId="165" fontId="20" fillId="0" borderId="17" xfId="13" applyNumberFormat="1" applyFont="1" applyBorder="1" applyAlignment="1">
      <alignment horizontal="left" vertical="center" wrapText="1"/>
    </xf>
    <xf numFmtId="0" fontId="0" fillId="0" borderId="9" xfId="0" applyBorder="1" applyAlignment="1">
      <alignment horizontal="left" vertical="center" wrapText="1"/>
    </xf>
    <xf numFmtId="9" fontId="20" fillId="0" borderId="19" xfId="3" applyFont="1" applyFill="1" applyBorder="1" applyAlignment="1">
      <alignment horizontal="left" vertical="center" wrapText="1"/>
    </xf>
    <xf numFmtId="9" fontId="20" fillId="0" borderId="30" xfId="3" applyFont="1" applyFill="1" applyBorder="1" applyAlignment="1">
      <alignment horizontal="left" vertical="center" wrapText="1"/>
    </xf>
    <xf numFmtId="9" fontId="20" fillId="0" borderId="23" xfId="3" applyFont="1" applyFill="1" applyBorder="1" applyAlignment="1">
      <alignment horizontal="left" vertical="center" wrapText="1"/>
    </xf>
    <xf numFmtId="9" fontId="20" fillId="0" borderId="19" xfId="3" applyFont="1" applyFill="1" applyBorder="1" applyAlignment="1">
      <alignment horizontal="center" vertical="center" wrapText="1"/>
    </xf>
    <xf numFmtId="9" fontId="20" fillId="0" borderId="30" xfId="3" applyFont="1" applyFill="1" applyBorder="1" applyAlignment="1">
      <alignment horizontal="center" vertical="center" wrapText="1"/>
    </xf>
    <xf numFmtId="9" fontId="20" fillId="0" borderId="23" xfId="3" applyFont="1" applyFill="1" applyBorder="1" applyAlignment="1">
      <alignment horizontal="center" vertical="center" wrapText="1"/>
    </xf>
    <xf numFmtId="165" fontId="40" fillId="0" borderId="9" xfId="13" applyNumberFormat="1" applyFont="1" applyBorder="1" applyAlignment="1">
      <alignment horizontal="left" vertical="center" wrapText="1"/>
    </xf>
    <xf numFmtId="0" fontId="20" fillId="11" borderId="27" xfId="0" applyFont="1" applyFill="1" applyBorder="1" applyAlignment="1">
      <alignment horizontal="center" vertical="center" wrapText="1"/>
    </xf>
    <xf numFmtId="0" fontId="20" fillId="11" borderId="21" xfId="0" applyFont="1" applyFill="1" applyBorder="1" applyAlignment="1">
      <alignment horizontal="center" vertical="center" wrapText="1"/>
    </xf>
    <xf numFmtId="165" fontId="20" fillId="0" borderId="25" xfId="6" applyNumberFormat="1" applyFont="1" applyBorder="1" applyAlignment="1">
      <alignment vertical="center" wrapText="1"/>
    </xf>
    <xf numFmtId="165" fontId="20" fillId="0" borderId="28" xfId="6" applyNumberFormat="1" applyFont="1" applyBorder="1" applyAlignment="1">
      <alignment vertical="center" wrapText="1"/>
    </xf>
    <xf numFmtId="0" fontId="25" fillId="0" borderId="16" xfId="8" applyFont="1" applyBorder="1" applyAlignment="1">
      <alignment wrapText="1"/>
    </xf>
    <xf numFmtId="0" fontId="25" fillId="0" borderId="18" xfId="8" applyFont="1" applyBorder="1" applyAlignment="1">
      <alignment wrapText="1"/>
    </xf>
    <xf numFmtId="165" fontId="20" fillId="0" borderId="16" xfId="6" applyNumberFormat="1" applyFont="1" applyBorder="1" applyAlignment="1">
      <alignment vertical="center" wrapText="1"/>
    </xf>
    <xf numFmtId="165" fontId="20" fillId="0" borderId="17" xfId="6" applyNumberFormat="1" applyFont="1" applyBorder="1" applyAlignment="1">
      <alignment vertical="center" wrapText="1"/>
    </xf>
    <xf numFmtId="165" fontId="20" fillId="0" borderId="18" xfId="6" applyNumberFormat="1" applyFont="1" applyBorder="1" applyAlignment="1">
      <alignment vertical="center" wrapText="1"/>
    </xf>
    <xf numFmtId="0" fontId="25" fillId="0" borderId="16" xfId="8" applyFont="1" applyBorder="1" applyAlignment="1">
      <alignment horizontal="left"/>
    </xf>
    <xf numFmtId="0" fontId="25" fillId="0" borderId="17" xfId="8" applyFont="1" applyBorder="1" applyAlignment="1">
      <alignment horizontal="left"/>
    </xf>
    <xf numFmtId="0" fontId="25" fillId="0" borderId="18" xfId="8" applyFont="1" applyBorder="1" applyAlignment="1">
      <alignment horizontal="left"/>
    </xf>
    <xf numFmtId="0" fontId="25" fillId="0" borderId="9" xfId="8" applyFont="1" applyBorder="1" applyAlignment="1">
      <alignment horizontal="left" vertical="center" wrapText="1"/>
    </xf>
    <xf numFmtId="0" fontId="26" fillId="0" borderId="16" xfId="8" applyFont="1" applyBorder="1" applyAlignment="1">
      <alignment wrapText="1"/>
    </xf>
    <xf numFmtId="0" fontId="26" fillId="0" borderId="18" xfId="8" applyFont="1" applyBorder="1" applyAlignment="1">
      <alignment wrapText="1"/>
    </xf>
    <xf numFmtId="165" fontId="4" fillId="0" borderId="16" xfId="6" applyNumberFormat="1" applyFont="1" applyBorder="1" applyAlignment="1">
      <alignment vertical="center" wrapText="1"/>
    </xf>
    <xf numFmtId="165" fontId="4" fillId="0" borderId="17" xfId="6" applyNumberFormat="1" applyFont="1" applyBorder="1" applyAlignment="1">
      <alignment vertical="center" wrapText="1"/>
    </xf>
    <xf numFmtId="165" fontId="4" fillId="0" borderId="18" xfId="6" applyNumberFormat="1" applyFont="1" applyBorder="1" applyAlignment="1">
      <alignment vertical="center" wrapText="1"/>
    </xf>
    <xf numFmtId="165" fontId="20" fillId="0" borderId="17" xfId="6" applyNumberFormat="1" applyFont="1" applyBorder="1" applyAlignment="1">
      <alignment horizontal="left" vertical="center" wrapText="1"/>
    </xf>
    <xf numFmtId="165" fontId="0" fillId="0" borderId="9" xfId="0" applyNumberFormat="1" applyBorder="1" applyAlignment="1">
      <alignment horizontal="left" vertical="center" wrapText="1"/>
    </xf>
    <xf numFmtId="165" fontId="20" fillId="0" borderId="16" xfId="13" applyNumberFormat="1" applyFont="1" applyBorder="1" applyAlignment="1">
      <alignment vertical="center" wrapText="1"/>
    </xf>
    <xf numFmtId="165" fontId="20" fillId="0" borderId="17" xfId="13" applyNumberFormat="1" applyFont="1" applyBorder="1" applyAlignment="1">
      <alignment vertical="center" wrapText="1"/>
    </xf>
    <xf numFmtId="165" fontId="20" fillId="0" borderId="18" xfId="13" applyNumberFormat="1" applyFont="1" applyBorder="1" applyAlignment="1">
      <alignment vertical="center" wrapText="1"/>
    </xf>
    <xf numFmtId="0" fontId="1" fillId="0" borderId="19" xfId="0" applyFont="1" applyBorder="1" applyAlignment="1">
      <alignment horizontal="left" vertical="center" wrapText="1"/>
    </xf>
    <xf numFmtId="0" fontId="1" fillId="0" borderId="23" xfId="0" applyFont="1" applyBorder="1" applyAlignment="1">
      <alignment horizontal="left" vertical="center" wrapText="1"/>
    </xf>
    <xf numFmtId="0" fontId="1" fillId="0" borderId="9" xfId="0" applyFont="1" applyBorder="1" applyAlignment="1">
      <alignment horizontal="left" vertical="center" wrapText="1"/>
    </xf>
    <xf numFmtId="165" fontId="20" fillId="0" borderId="22" xfId="13" applyNumberFormat="1" applyFont="1" applyBorder="1" applyAlignment="1">
      <alignment vertical="center" wrapText="1"/>
    </xf>
    <xf numFmtId="165" fontId="20" fillId="0" borderId="0" xfId="13" applyNumberFormat="1" applyFont="1" applyAlignment="1">
      <alignment vertical="center" wrapText="1"/>
    </xf>
    <xf numFmtId="0" fontId="4" fillId="0" borderId="9" xfId="8" applyFont="1" applyBorder="1" applyAlignment="1">
      <alignment wrapText="1"/>
    </xf>
    <xf numFmtId="0" fontId="20" fillId="0" borderId="19"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16" xfId="8" applyFont="1" applyBorder="1" applyAlignment="1">
      <alignment horizontal="center" wrapText="1"/>
    </xf>
    <xf numFmtId="0" fontId="20" fillId="0" borderId="18" xfId="8" applyFont="1" applyBorder="1" applyAlignment="1">
      <alignment horizontal="center" wrapText="1"/>
    </xf>
    <xf numFmtId="0" fontId="20" fillId="4" borderId="18" xfId="8" applyFont="1" applyFill="1" applyBorder="1" applyAlignment="1">
      <alignment wrapText="1"/>
    </xf>
    <xf numFmtId="0" fontId="20" fillId="4" borderId="16" xfId="0" applyFont="1" applyFill="1" applyBorder="1" applyAlignment="1">
      <alignment vertical="center" wrapText="1"/>
    </xf>
    <xf numFmtId="0" fontId="20" fillId="4" borderId="17" xfId="0" applyFont="1" applyFill="1" applyBorder="1" applyAlignment="1">
      <alignment vertical="center" wrapText="1"/>
    </xf>
    <xf numFmtId="0" fontId="20" fillId="4" borderId="18" xfId="0" applyFont="1" applyFill="1" applyBorder="1" applyAlignment="1">
      <alignment vertical="center" wrapText="1"/>
    </xf>
    <xf numFmtId="0" fontId="20" fillId="4" borderId="16" xfId="8" applyFont="1" applyFill="1" applyBorder="1"/>
    <xf numFmtId="0" fontId="20" fillId="4" borderId="18" xfId="8" applyFont="1" applyFill="1" applyBorder="1"/>
    <xf numFmtId="0" fontId="20" fillId="0" borderId="16" xfId="0" applyFont="1" applyBorder="1" applyAlignment="1">
      <alignment vertical="center" wrapText="1"/>
    </xf>
    <xf numFmtId="0" fontId="20" fillId="0" borderId="17" xfId="0" applyFont="1" applyBorder="1" applyAlignment="1">
      <alignment vertical="center" wrapText="1"/>
    </xf>
    <xf numFmtId="0" fontId="20" fillId="0" borderId="18" xfId="0" applyFont="1" applyBorder="1" applyAlignment="1">
      <alignment vertical="center" wrapText="1"/>
    </xf>
    <xf numFmtId="0" fontId="20" fillId="0" borderId="19" xfId="8" applyFont="1" applyBorder="1" applyAlignment="1">
      <alignment horizontal="left" vertical="center"/>
    </xf>
    <xf numFmtId="165" fontId="1" fillId="0" borderId="19" xfId="0" applyNumberFormat="1" applyFont="1" applyBorder="1" applyAlignment="1">
      <alignment horizontal="left" vertical="center" wrapText="1"/>
    </xf>
    <xf numFmtId="0" fontId="20" fillId="11" borderId="9" xfId="0" applyFont="1" applyFill="1" applyBorder="1" applyAlignment="1">
      <alignment vertical="center" wrapText="1"/>
    </xf>
    <xf numFmtId="0" fontId="20" fillId="0" borderId="19" xfId="8" applyFont="1" applyBorder="1" applyAlignment="1">
      <alignment vertical="center" wrapText="1"/>
    </xf>
    <xf numFmtId="165" fontId="20" fillId="0" borderId="23" xfId="13" applyNumberFormat="1" applyFont="1" applyBorder="1" applyAlignment="1">
      <alignment vertical="center" wrapText="1"/>
    </xf>
    <xf numFmtId="0" fontId="20" fillId="0" borderId="9" xfId="8" applyFont="1" applyBorder="1"/>
    <xf numFmtId="165" fontId="20" fillId="0" borderId="19" xfId="0" applyNumberFormat="1" applyFont="1" applyBorder="1" applyAlignment="1">
      <alignment horizontal="left" vertical="center" wrapText="1"/>
    </xf>
    <xf numFmtId="165" fontId="20" fillId="0" borderId="23" xfId="0" applyNumberFormat="1" applyFont="1" applyBorder="1" applyAlignment="1">
      <alignment horizontal="left" vertical="center" wrapText="1"/>
    </xf>
    <xf numFmtId="0" fontId="20" fillId="11" borderId="9" xfId="5" applyFont="1" applyFill="1" applyBorder="1" applyAlignment="1">
      <alignment horizontal="center" vertical="center" wrapText="1"/>
    </xf>
    <xf numFmtId="168" fontId="20" fillId="0" borderId="23" xfId="5" applyNumberFormat="1" applyFont="1" applyBorder="1" applyAlignment="1">
      <alignment horizontal="left" vertical="top" wrapText="1"/>
    </xf>
    <xf numFmtId="0" fontId="25" fillId="0" borderId="9" xfId="8" applyFont="1" applyBorder="1" applyAlignment="1">
      <alignment wrapText="1"/>
    </xf>
    <xf numFmtId="168" fontId="20" fillId="0" borderId="48" xfId="5" applyNumberFormat="1" applyFont="1" applyBorder="1" applyAlignment="1">
      <alignment horizontal="left" vertical="top" wrapText="1"/>
    </xf>
    <xf numFmtId="0" fontId="20" fillId="0" borderId="48" xfId="0" applyFont="1" applyBorder="1"/>
    <xf numFmtId="168" fontId="20" fillId="0" borderId="33" xfId="5" applyNumberFormat="1" applyFont="1" applyBorder="1" applyAlignment="1">
      <alignment horizontal="left" vertical="top" wrapText="1"/>
    </xf>
    <xf numFmtId="168" fontId="20" fillId="0" borderId="25" xfId="5" applyNumberFormat="1" applyFont="1" applyBorder="1" applyAlignment="1">
      <alignment horizontal="left" vertical="top" wrapText="1"/>
    </xf>
    <xf numFmtId="168" fontId="20" fillId="0" borderId="26" xfId="5" applyNumberFormat="1" applyFont="1" applyBorder="1" applyAlignment="1">
      <alignment horizontal="left" vertical="top" wrapText="1"/>
    </xf>
    <xf numFmtId="165" fontId="20" fillId="0" borderId="30" xfId="0" applyNumberFormat="1" applyFont="1" applyBorder="1" applyAlignment="1">
      <alignment horizontal="left" vertical="center" wrapText="1"/>
    </xf>
    <xf numFmtId="0" fontId="20" fillId="11" borderId="19" xfId="5" applyFont="1" applyFill="1" applyBorder="1" applyAlignment="1">
      <alignment horizontal="left" vertical="center" wrapText="1"/>
    </xf>
    <xf numFmtId="0" fontId="20" fillId="11" borderId="21" xfId="5" applyFont="1" applyFill="1" applyBorder="1" applyAlignment="1">
      <alignment horizontal="left" vertical="center" wrapText="1"/>
    </xf>
    <xf numFmtId="0" fontId="20" fillId="11" borderId="21" xfId="5" applyFont="1" applyFill="1" applyBorder="1" applyAlignment="1">
      <alignment horizontal="center" vertical="center" wrapText="1"/>
    </xf>
    <xf numFmtId="0" fontId="20" fillId="0" borderId="26" xfId="0" applyFont="1" applyBorder="1" applyAlignment="1">
      <alignment horizontal="center" vertical="center" wrapText="1"/>
    </xf>
    <xf numFmtId="0" fontId="20" fillId="11" borderId="20" xfId="5" applyFont="1" applyFill="1" applyBorder="1" applyAlignment="1">
      <alignment horizontal="left" vertical="center" wrapText="1"/>
    </xf>
    <xf numFmtId="0" fontId="20" fillId="0" borderId="21" xfId="0" applyFont="1" applyBorder="1" applyAlignment="1">
      <alignment horizontal="left" vertical="center" wrapText="1"/>
    </xf>
    <xf numFmtId="0" fontId="25" fillId="0" borderId="20" xfId="8" applyFont="1" applyBorder="1" applyAlignment="1">
      <alignment horizontal="left" vertical="top" wrapText="1"/>
    </xf>
    <xf numFmtId="0" fontId="25" fillId="0" borderId="21" xfId="8" applyFont="1" applyBorder="1" applyAlignment="1">
      <alignment horizontal="left" vertical="top" wrapText="1"/>
    </xf>
    <xf numFmtId="0" fontId="20" fillId="0" borderId="19" xfId="8" applyFont="1" applyBorder="1" applyAlignment="1">
      <alignment horizontal="left" wrapText="1"/>
    </xf>
    <xf numFmtId="0" fontId="0" fillId="0" borderId="23" xfId="0" applyBorder="1" applyAlignment="1">
      <alignment horizontal="left" wrapText="1"/>
    </xf>
    <xf numFmtId="0" fontId="20" fillId="15" borderId="9" xfId="0" applyFont="1" applyFill="1" applyBorder="1" applyAlignment="1">
      <alignment horizontal="left" vertical="center" wrapText="1"/>
    </xf>
    <xf numFmtId="0" fontId="20" fillId="15" borderId="9" xfId="0" applyFont="1" applyFill="1" applyBorder="1" applyAlignment="1">
      <alignment horizontal="center" vertical="center" wrapText="1"/>
    </xf>
    <xf numFmtId="0" fontId="20" fillId="15" borderId="16" xfId="0" applyFont="1" applyFill="1" applyBorder="1" applyAlignment="1">
      <alignment horizontal="center" vertical="center" wrapText="1"/>
    </xf>
    <xf numFmtId="0" fontId="20" fillId="15" borderId="17" xfId="0" applyFont="1" applyFill="1" applyBorder="1" applyAlignment="1">
      <alignment horizontal="center" vertical="center" wrapText="1"/>
    </xf>
    <xf numFmtId="0" fontId="20" fillId="15" borderId="17" xfId="0" applyFont="1" applyFill="1" applyBorder="1" applyAlignment="1">
      <alignment vertical="center" wrapText="1"/>
    </xf>
    <xf numFmtId="0" fontId="20" fillId="15" borderId="18" xfId="0" applyFont="1" applyFill="1" applyBorder="1" applyAlignment="1">
      <alignment vertical="center" wrapText="1"/>
    </xf>
    <xf numFmtId="0" fontId="20" fillId="0" borderId="23" xfId="0" applyFont="1" applyBorder="1" applyAlignment="1">
      <alignment horizontal="left" wrapText="1"/>
    </xf>
    <xf numFmtId="0" fontId="20" fillId="15" borderId="20" xfId="0" applyFont="1" applyFill="1" applyBorder="1" applyAlignment="1">
      <alignment horizontal="center" vertical="center" wrapText="1"/>
    </xf>
    <xf numFmtId="0" fontId="20" fillId="15" borderId="27" xfId="0" applyFont="1" applyFill="1" applyBorder="1" applyAlignment="1">
      <alignment horizontal="center" vertical="center" wrapText="1"/>
    </xf>
    <xf numFmtId="0" fontId="20" fillId="15" borderId="21" xfId="0" applyFont="1" applyFill="1" applyBorder="1" applyAlignment="1">
      <alignment horizontal="center" vertical="center" wrapText="1"/>
    </xf>
    <xf numFmtId="0" fontId="20" fillId="15" borderId="25" xfId="0" applyFont="1" applyFill="1" applyBorder="1" applyAlignment="1">
      <alignment horizontal="center" vertical="center" wrapText="1"/>
    </xf>
    <xf numFmtId="0" fontId="20" fillId="15" borderId="28" xfId="0" applyFont="1" applyFill="1" applyBorder="1" applyAlignment="1">
      <alignment horizontal="center" vertical="center" wrapText="1"/>
    </xf>
    <xf numFmtId="0" fontId="20" fillId="15" borderId="26" xfId="0" applyFont="1" applyFill="1" applyBorder="1" applyAlignment="1">
      <alignment horizontal="center" vertical="center" wrapText="1"/>
    </xf>
    <xf numFmtId="0" fontId="20" fillId="0" borderId="82" xfId="8" applyFont="1" applyBorder="1" applyAlignment="1">
      <alignment wrapText="1"/>
    </xf>
    <xf numFmtId="0" fontId="20" fillId="0" borderId="9" xfId="8" applyFont="1" applyBorder="1" applyAlignment="1">
      <alignment horizontal="left" vertical="center" wrapText="1"/>
    </xf>
    <xf numFmtId="0" fontId="20" fillId="0" borderId="84" xfId="8" applyFont="1" applyBorder="1" applyAlignment="1">
      <alignment wrapText="1"/>
    </xf>
    <xf numFmtId="0" fontId="20" fillId="0" borderId="86" xfId="8" applyFont="1" applyBorder="1" applyAlignment="1">
      <alignment wrapText="1"/>
    </xf>
    <xf numFmtId="165" fontId="49" fillId="0" borderId="16" xfId="0" applyNumberFormat="1" applyFont="1" applyBorder="1" applyAlignment="1">
      <alignment horizontal="center" vertical="center" wrapText="1"/>
    </xf>
    <xf numFmtId="165" fontId="49" fillId="0" borderId="17" xfId="0" applyNumberFormat="1" applyFont="1" applyBorder="1" applyAlignment="1">
      <alignment horizontal="center" vertical="center" wrapText="1"/>
    </xf>
    <xf numFmtId="165" fontId="49" fillId="0" borderId="18" xfId="0" applyNumberFormat="1" applyFont="1" applyBorder="1" applyAlignment="1">
      <alignment horizontal="center" vertical="center" wrapText="1"/>
    </xf>
    <xf numFmtId="171" fontId="49" fillId="0" borderId="16" xfId="0" applyNumberFormat="1" applyFont="1" applyBorder="1" applyAlignment="1">
      <alignment horizontal="center" vertical="center" wrapText="1"/>
    </xf>
    <xf numFmtId="171" fontId="49" fillId="0" borderId="17" xfId="0" applyNumberFormat="1" applyFont="1" applyBorder="1" applyAlignment="1">
      <alignment horizontal="center" vertical="center" wrapText="1"/>
    </xf>
    <xf numFmtId="171" fontId="49" fillId="0" borderId="18" xfId="0" applyNumberFormat="1" applyFont="1" applyBorder="1" applyAlignment="1">
      <alignment horizontal="center" vertical="center" wrapText="1"/>
    </xf>
    <xf numFmtId="0" fontId="20" fillId="0" borderId="87" xfId="8" applyFont="1" applyBorder="1" applyAlignment="1">
      <alignment wrapText="1"/>
    </xf>
    <xf numFmtId="0" fontId="20" fillId="0" borderId="88" xfId="8" applyFont="1" applyBorder="1" applyAlignment="1">
      <alignment wrapText="1"/>
    </xf>
    <xf numFmtId="165" fontId="20" fillId="0" borderId="19" xfId="6" applyNumberFormat="1" applyFont="1" applyBorder="1" applyAlignment="1">
      <alignment horizontal="left" vertical="center" wrapText="1"/>
    </xf>
    <xf numFmtId="165" fontId="1" fillId="0" borderId="19" xfId="6" applyNumberFormat="1" applyBorder="1" applyAlignment="1">
      <alignment horizontal="left" vertical="center" wrapText="1"/>
    </xf>
    <xf numFmtId="0" fontId="0" fillId="0" borderId="30" xfId="0" applyBorder="1" applyAlignment="1">
      <alignment horizontal="left" vertical="center" wrapText="1"/>
    </xf>
    <xf numFmtId="165" fontId="20" fillId="0" borderId="82" xfId="13" applyNumberFormat="1" applyFont="1" applyBorder="1" applyAlignment="1">
      <alignment horizontal="left" vertical="center" wrapText="1"/>
    </xf>
    <xf numFmtId="0" fontId="20" fillId="0" borderId="0" xfId="0" applyFont="1" applyAlignment="1">
      <alignment horizontal="left" vertical="top" wrapText="1"/>
    </xf>
    <xf numFmtId="0" fontId="0" fillId="0" borderId="0" xfId="0" applyAlignment="1">
      <alignment vertical="center"/>
    </xf>
    <xf numFmtId="2" fontId="20" fillId="4" borderId="16" xfId="0" applyNumberFormat="1" applyFont="1" applyFill="1" applyBorder="1"/>
    <xf numFmtId="2" fontId="20" fillId="4" borderId="18" xfId="0" applyNumberFormat="1" applyFont="1" applyFill="1" applyBorder="1"/>
    <xf numFmtId="0" fontId="20" fillId="0" borderId="14" xfId="0" applyFont="1" applyBorder="1" applyAlignment="1">
      <alignment wrapText="1"/>
    </xf>
    <xf numFmtId="165" fontId="1" fillId="0" borderId="33" xfId="13" applyNumberFormat="1" applyBorder="1" applyAlignment="1">
      <alignment horizontal="left" vertical="center" wrapText="1"/>
    </xf>
    <xf numFmtId="0" fontId="25" fillId="0" borderId="30" xfId="8" applyFont="1" applyBorder="1" applyAlignment="1">
      <alignment horizontal="left" vertical="center"/>
    </xf>
    <xf numFmtId="168" fontId="20" fillId="0" borderId="14" xfId="5" applyNumberFormat="1" applyFont="1" applyBorder="1" applyAlignment="1">
      <alignment vertical="center" wrapText="1"/>
    </xf>
    <xf numFmtId="168" fontId="20" fillId="0" borderId="23" xfId="5" applyNumberFormat="1" applyFont="1" applyBorder="1" applyAlignment="1">
      <alignment vertical="center" wrapText="1"/>
    </xf>
    <xf numFmtId="168" fontId="4" fillId="0" borderId="14" xfId="5" applyNumberFormat="1" applyFont="1" applyBorder="1" applyAlignment="1">
      <alignment vertical="center" wrapText="1"/>
    </xf>
    <xf numFmtId="168" fontId="20" fillId="0" borderId="37" xfId="5" applyNumberFormat="1" applyFont="1" applyBorder="1" applyAlignment="1">
      <alignment vertical="center" wrapText="1"/>
    </xf>
    <xf numFmtId="168" fontId="20" fillId="0" borderId="32" xfId="5" applyNumberFormat="1" applyFont="1" applyBorder="1" applyAlignment="1">
      <alignment vertical="center" wrapText="1"/>
    </xf>
    <xf numFmtId="168" fontId="20" fillId="0" borderId="9" xfId="5" applyNumberFormat="1" applyFont="1" applyBorder="1" applyAlignment="1">
      <alignment vertical="top" wrapText="1"/>
    </xf>
    <xf numFmtId="168" fontId="20" fillId="0" borderId="4" xfId="5" applyNumberFormat="1" applyFont="1" applyBorder="1" applyAlignment="1">
      <alignment vertical="center" wrapText="1"/>
    </xf>
    <xf numFmtId="168" fontId="20" fillId="0" borderId="9" xfId="5" applyNumberFormat="1" applyFont="1" applyBorder="1" applyAlignment="1">
      <alignment vertical="center" wrapText="1"/>
    </xf>
    <xf numFmtId="0" fontId="20" fillId="0" borderId="0" xfId="8" applyFont="1" applyFill="1" applyAlignment="1">
      <alignment horizontal="center" vertical="center" wrapText="1"/>
    </xf>
    <xf numFmtId="0" fontId="0" fillId="0" borderId="19" xfId="8" applyFont="1" applyBorder="1" applyAlignment="1">
      <alignment horizontal="left" vertical="center"/>
    </xf>
    <xf numFmtId="0" fontId="0" fillId="0" borderId="30" xfId="8" applyFont="1" applyBorder="1" applyAlignment="1">
      <alignment horizontal="left" vertical="center"/>
    </xf>
    <xf numFmtId="0" fontId="20" fillId="0" borderId="19" xfId="8" applyFont="1" applyBorder="1" applyAlignment="1">
      <alignment horizontal="center" vertical="center" wrapText="1"/>
    </xf>
    <xf numFmtId="0" fontId="0" fillId="0" borderId="30" xfId="0" applyBorder="1" applyAlignment="1">
      <alignment horizontal="center" vertical="center" wrapText="1"/>
    </xf>
    <xf numFmtId="0" fontId="0" fillId="0" borderId="23" xfId="0" applyBorder="1" applyAlignment="1">
      <alignment horizontal="center" vertical="center" wrapText="1"/>
    </xf>
    <xf numFmtId="0" fontId="20" fillId="0" borderId="19" xfId="0" applyFont="1" applyBorder="1"/>
    <xf numFmtId="165" fontId="48" fillId="0" borderId="9" xfId="8" applyNumberFormat="1" applyFont="1" applyBorder="1" applyAlignment="1">
      <alignment horizontal="left" vertical="center"/>
    </xf>
    <xf numFmtId="0" fontId="25" fillId="0" borderId="27" xfId="8" applyFont="1" applyFill="1" applyBorder="1" applyAlignment="1">
      <alignment horizontal="left" wrapText="1"/>
    </xf>
    <xf numFmtId="0" fontId="25" fillId="0" borderId="0" xfId="8" applyFont="1" applyFill="1" applyAlignment="1">
      <alignment horizontal="left" wrapText="1"/>
    </xf>
    <xf numFmtId="0" fontId="38" fillId="4" borderId="9" xfId="8" applyFont="1" applyFill="1" applyBorder="1" applyAlignment="1">
      <alignment horizontal="left" vertical="center" wrapText="1"/>
    </xf>
    <xf numFmtId="0" fontId="25" fillId="4" borderId="9" xfId="8" applyFont="1" applyFill="1" applyBorder="1" applyAlignment="1">
      <alignment horizontal="left"/>
    </xf>
    <xf numFmtId="0" fontId="20" fillId="4" borderId="9" xfId="0" applyFont="1" applyFill="1" applyBorder="1"/>
    <xf numFmtId="0" fontId="68" fillId="4" borderId="9" xfId="8" applyFont="1" applyFill="1" applyBorder="1" applyAlignment="1">
      <alignment horizontal="left" vertical="center"/>
    </xf>
    <xf numFmtId="0" fontId="20" fillId="4" borderId="9" xfId="0" applyFont="1" applyFill="1" applyBorder="1" applyAlignment="1">
      <alignment horizontal="left" wrapText="1"/>
    </xf>
    <xf numFmtId="0" fontId="38" fillId="4" borderId="9" xfId="8" applyFont="1" applyFill="1" applyBorder="1" applyAlignment="1">
      <alignment horizontal="left" vertical="center"/>
    </xf>
    <xf numFmtId="0" fontId="25" fillId="4" borderId="16" xfId="8" applyFont="1" applyFill="1" applyBorder="1" applyAlignment="1">
      <alignment horizontal="left" vertical="center"/>
    </xf>
    <xf numFmtId="0" fontId="25" fillId="4" borderId="17" xfId="8" applyFont="1" applyFill="1" applyBorder="1" applyAlignment="1">
      <alignment horizontal="left" vertical="center"/>
    </xf>
    <xf numFmtId="0" fontId="25" fillId="4" borderId="18" xfId="8" applyFont="1" applyFill="1" applyBorder="1" applyAlignment="1">
      <alignment horizontal="left" vertical="center"/>
    </xf>
    <xf numFmtId="0" fontId="25" fillId="4" borderId="16" xfId="8" quotePrefix="1" applyFont="1" applyFill="1" applyBorder="1" applyAlignment="1">
      <alignment vertical="center" wrapText="1"/>
    </xf>
    <xf numFmtId="0" fontId="25" fillId="4" borderId="16" xfId="8" applyFont="1" applyFill="1" applyBorder="1" applyAlignment="1">
      <alignment horizontal="left"/>
    </xf>
    <xf numFmtId="0" fontId="25" fillId="4" borderId="17" xfId="8" applyFont="1" applyFill="1" applyBorder="1" applyAlignment="1">
      <alignment horizontal="left"/>
    </xf>
    <xf numFmtId="0" fontId="25" fillId="4" borderId="18" xfId="8" applyFont="1" applyFill="1" applyBorder="1" applyAlignment="1">
      <alignment horizontal="left"/>
    </xf>
    <xf numFmtId="0" fontId="68" fillId="4" borderId="9" xfId="8" applyFont="1" applyFill="1" applyBorder="1" applyAlignment="1">
      <alignment horizontal="left" vertical="center" wrapText="1"/>
    </xf>
    <xf numFmtId="0" fontId="25" fillId="4" borderId="20" xfId="8" quotePrefix="1" applyFont="1" applyFill="1" applyBorder="1" applyAlignment="1">
      <alignment vertical="center" wrapText="1"/>
    </xf>
    <xf numFmtId="0" fontId="20" fillId="4" borderId="21" xfId="0" applyFont="1" applyFill="1" applyBorder="1" applyAlignment="1">
      <alignment vertical="center" wrapText="1"/>
    </xf>
    <xf numFmtId="0" fontId="20" fillId="4" borderId="25" xfId="0" applyFont="1" applyFill="1" applyBorder="1"/>
    <xf numFmtId="0" fontId="20" fillId="4" borderId="26" xfId="0" applyFont="1" applyFill="1" applyBorder="1"/>
    <xf numFmtId="0" fontId="20" fillId="4" borderId="19" xfId="0" applyFont="1" applyFill="1" applyBorder="1" applyAlignment="1">
      <alignment horizontal="left"/>
    </xf>
    <xf numFmtId="0" fontId="20" fillId="4" borderId="23" xfId="0" applyFont="1" applyFill="1" applyBorder="1" applyAlignment="1">
      <alignment horizontal="left"/>
    </xf>
    <xf numFmtId="0" fontId="25" fillId="4" borderId="23" xfId="8" applyFont="1" applyFill="1" applyBorder="1" applyAlignment="1">
      <alignment horizontal="left" vertical="center"/>
    </xf>
    <xf numFmtId="0" fontId="25" fillId="4" borderId="9" xfId="8" applyFont="1" applyFill="1" applyBorder="1" applyAlignment="1">
      <alignment horizontal="left" vertical="center"/>
    </xf>
    <xf numFmtId="165" fontId="20" fillId="4" borderId="9" xfId="8" applyNumberFormat="1" applyFont="1" applyFill="1" applyBorder="1" applyAlignment="1">
      <alignment horizontal="left" vertical="center" wrapText="1"/>
    </xf>
    <xf numFmtId="165" fontId="20" fillId="4" borderId="19" xfId="8" applyNumberFormat="1" applyFont="1" applyFill="1" applyBorder="1" applyAlignment="1">
      <alignment horizontal="left" vertical="center" wrapText="1"/>
    </xf>
    <xf numFmtId="0" fontId="38" fillId="0" borderId="23" xfId="8" applyFont="1" applyBorder="1" applyAlignment="1">
      <alignment horizontal="left" vertical="center" wrapText="1"/>
    </xf>
    <xf numFmtId="0" fontId="38" fillId="0" borderId="30" xfId="8" applyFont="1" applyBorder="1" applyAlignment="1">
      <alignment horizontal="left" vertical="center" wrapText="1"/>
    </xf>
    <xf numFmtId="165" fontId="4" fillId="0" borderId="9" xfId="6" applyNumberFormat="1" applyFont="1" applyBorder="1" applyAlignment="1">
      <alignment horizontal="left" vertical="center" wrapText="1"/>
    </xf>
    <xf numFmtId="0" fontId="4" fillId="0" borderId="9" xfId="0" applyFont="1" applyBorder="1" applyAlignment="1">
      <alignment horizontal="left" vertical="center" wrapText="1"/>
    </xf>
    <xf numFmtId="165" fontId="20" fillId="0" borderId="9" xfId="6" applyNumberFormat="1" applyFont="1" applyBorder="1" applyAlignment="1">
      <alignment vertical="center" wrapText="1"/>
    </xf>
    <xf numFmtId="165" fontId="4" fillId="0" borderId="16" xfId="13" applyNumberFormat="1" applyFont="1" applyBorder="1" applyAlignment="1">
      <alignment vertical="center" wrapText="1"/>
    </xf>
    <xf numFmtId="165" fontId="4" fillId="0" borderId="17" xfId="13" applyNumberFormat="1" applyFont="1" applyBorder="1" applyAlignment="1">
      <alignment vertical="center" wrapText="1"/>
    </xf>
    <xf numFmtId="165" fontId="4" fillId="0" borderId="18" xfId="13" applyNumberFormat="1" applyFont="1" applyBorder="1" applyAlignment="1">
      <alignment vertical="center" wrapText="1"/>
    </xf>
    <xf numFmtId="0" fontId="20" fillId="11" borderId="18" xfId="0" applyFont="1" applyFill="1" applyBorder="1" applyAlignment="1">
      <alignment horizontal="left" vertical="center" wrapText="1"/>
    </xf>
    <xf numFmtId="0" fontId="20" fillId="11" borderId="9" xfId="0" applyFont="1" applyFill="1" applyBorder="1" applyAlignment="1">
      <alignment horizontal="left" vertical="center" wrapText="1"/>
    </xf>
    <xf numFmtId="0" fontId="99" fillId="0" borderId="9" xfId="0" applyFont="1" applyBorder="1" applyAlignment="1">
      <alignment horizontal="left" vertical="center" wrapText="1"/>
    </xf>
    <xf numFmtId="0" fontId="20" fillId="0" borderId="9" xfId="0" applyFont="1" applyBorder="1" applyAlignment="1">
      <alignment horizontal="center" vertical="center" wrapText="1"/>
    </xf>
    <xf numFmtId="0" fontId="25" fillId="0" borderId="19" xfId="8" applyFont="1" applyBorder="1" applyAlignment="1">
      <alignment horizontal="left" vertical="center"/>
    </xf>
    <xf numFmtId="0" fontId="25" fillId="0" borderId="23" xfId="8" applyFont="1" applyBorder="1" applyAlignment="1">
      <alignment horizontal="left" vertical="center"/>
    </xf>
    <xf numFmtId="0" fontId="68" fillId="4" borderId="19" xfId="8" applyFont="1" applyFill="1" applyBorder="1" applyAlignment="1">
      <alignment horizontal="left" vertical="center"/>
    </xf>
    <xf numFmtId="0" fontId="68" fillId="4" borderId="23" xfId="8" applyFont="1" applyFill="1" applyBorder="1" applyAlignment="1">
      <alignment horizontal="left" vertical="center"/>
    </xf>
    <xf numFmtId="0" fontId="20" fillId="0" borderId="16" xfId="0" applyFont="1" applyBorder="1"/>
    <xf numFmtId="0" fontId="4" fillId="0" borderId="16" xfId="0" applyFont="1" applyBorder="1" applyAlignment="1">
      <alignment horizontal="left" vertical="center" wrapText="1"/>
    </xf>
    <xf numFmtId="0" fontId="4" fillId="0" borderId="18" xfId="0" applyFont="1" applyBorder="1" applyAlignment="1">
      <alignment horizontal="left" vertical="center" wrapText="1"/>
    </xf>
    <xf numFmtId="165" fontId="48" fillId="0" borderId="19" xfId="8" applyNumberFormat="1" applyFont="1" applyBorder="1" applyAlignment="1">
      <alignment horizontal="left" vertical="center"/>
    </xf>
    <xf numFmtId="165" fontId="48" fillId="0" borderId="23" xfId="8" applyNumberFormat="1" applyFont="1" applyBorder="1" applyAlignment="1">
      <alignment horizontal="left" vertical="center"/>
    </xf>
    <xf numFmtId="165" fontId="20" fillId="0" borderId="30" xfId="6" applyNumberFormat="1" applyFont="1" applyBorder="1" applyAlignment="1">
      <alignment horizontal="left" vertical="center" wrapText="1"/>
    </xf>
    <xf numFmtId="165" fontId="20" fillId="0" borderId="23" xfId="6" applyNumberFormat="1" applyFont="1" applyBorder="1" applyAlignment="1">
      <alignment horizontal="left" vertical="center" wrapText="1"/>
    </xf>
    <xf numFmtId="1" fontId="20" fillId="0" borderId="19" xfId="13" applyNumberFormat="1" applyFont="1" applyBorder="1" applyAlignment="1">
      <alignment horizontal="left" vertical="center" wrapText="1"/>
    </xf>
    <xf numFmtId="1" fontId="20" fillId="0" borderId="23" xfId="13" applyNumberFormat="1" applyFont="1" applyBorder="1" applyAlignment="1">
      <alignment horizontal="left" vertical="center" wrapText="1"/>
    </xf>
    <xf numFmtId="165" fontId="1" fillId="0" borderId="31" xfId="13" applyNumberFormat="1" applyBorder="1" applyAlignment="1">
      <alignment horizontal="left" vertical="center" wrapText="1"/>
    </xf>
    <xf numFmtId="0" fontId="20" fillId="0" borderId="9" xfId="6" applyFont="1" applyBorder="1" applyAlignment="1">
      <alignment vertical="center"/>
    </xf>
    <xf numFmtId="0" fontId="20" fillId="11" borderId="25" xfId="0" applyFont="1" applyFill="1" applyBorder="1" applyAlignment="1">
      <alignment horizontal="center" vertical="center" wrapText="1"/>
    </xf>
    <xf numFmtId="0" fontId="20" fillId="11" borderId="28" xfId="0" applyFont="1" applyFill="1" applyBorder="1" applyAlignment="1">
      <alignment horizontal="center" vertical="center" wrapText="1"/>
    </xf>
    <xf numFmtId="0" fontId="20" fillId="0" borderId="0" xfId="0" applyFont="1" applyAlignment="1">
      <alignment horizontal="left" wrapText="1"/>
    </xf>
    <xf numFmtId="0" fontId="31" fillId="6" borderId="94" xfId="5" applyFont="1" applyFill="1" applyBorder="1" applyAlignment="1">
      <alignment vertical="center"/>
    </xf>
    <xf numFmtId="0" fontId="0" fillId="0" borderId="95" xfId="0" applyBorder="1" applyAlignment="1">
      <alignment vertical="center"/>
    </xf>
    <xf numFmtId="0" fontId="0" fillId="0" borderId="96" xfId="0" applyBorder="1" applyAlignment="1">
      <alignment vertical="center"/>
    </xf>
    <xf numFmtId="0" fontId="20" fillId="0" borderId="0" xfId="6" applyFont="1" applyFill="1" applyAlignment="1">
      <alignment horizontal="left" vertical="center" wrapText="1"/>
    </xf>
    <xf numFmtId="0" fontId="20" fillId="0" borderId="0" xfId="6" applyFont="1" applyAlignment="1">
      <alignment horizontal="left" wrapText="1"/>
    </xf>
    <xf numFmtId="0" fontId="35" fillId="0" borderId="91" xfId="5" applyFont="1" applyBorder="1" applyAlignment="1">
      <alignment horizontal="center" wrapText="1"/>
    </xf>
    <xf numFmtId="0" fontId="0" fillId="0" borderId="92" xfId="0" applyBorder="1" applyAlignment="1">
      <alignment horizontal="center" wrapText="1"/>
    </xf>
    <xf numFmtId="0" fontId="20" fillId="17" borderId="16" xfId="5" applyFont="1" applyFill="1" applyBorder="1" applyAlignment="1">
      <alignment horizontal="left"/>
    </xf>
    <xf numFmtId="0" fontId="20" fillId="17" borderId="17" xfId="5" applyFont="1" applyFill="1" applyBorder="1" applyAlignment="1">
      <alignment horizontal="left"/>
    </xf>
    <xf numFmtId="0" fontId="1" fillId="17" borderId="17" xfId="6" applyFill="1" applyBorder="1"/>
    <xf numFmtId="0" fontId="0" fillId="17" borderId="17" xfId="0" applyFill="1" applyBorder="1"/>
    <xf numFmtId="0" fontId="0" fillId="17" borderId="18" xfId="0" applyFill="1" applyBorder="1"/>
    <xf numFmtId="0" fontId="20" fillId="10" borderId="16" xfId="5" applyFont="1" applyFill="1" applyBorder="1" applyAlignment="1">
      <alignment horizontal="left"/>
    </xf>
    <xf numFmtId="0" fontId="20" fillId="10" borderId="17" xfId="5" applyFont="1" applyFill="1" applyBorder="1" applyAlignment="1">
      <alignment horizontal="left"/>
    </xf>
    <xf numFmtId="0" fontId="1" fillId="0" borderId="17" xfId="6" applyBorder="1"/>
    <xf numFmtId="0" fontId="20" fillId="11" borderId="20" xfId="5" applyFont="1" applyFill="1" applyBorder="1" applyAlignment="1">
      <alignment horizontal="center" vertical="center" wrapText="1"/>
    </xf>
    <xf numFmtId="0" fontId="20" fillId="0" borderId="21" xfId="6" applyFont="1" applyBorder="1" applyAlignment="1">
      <alignment horizontal="center" vertical="center" wrapText="1"/>
    </xf>
    <xf numFmtId="0" fontId="20" fillId="11" borderId="25" xfId="5" applyFont="1" applyFill="1" applyBorder="1" applyAlignment="1">
      <alignment horizontal="center" vertical="center" wrapText="1"/>
    </xf>
    <xf numFmtId="0" fontId="20" fillId="0" borderId="26" xfId="6" applyFont="1" applyBorder="1" applyAlignment="1">
      <alignment horizontal="center" vertical="center" wrapText="1"/>
    </xf>
    <xf numFmtId="0" fontId="35" fillId="0" borderId="0" xfId="5" applyFont="1" applyAlignment="1">
      <alignment horizontal="left" vertical="top" wrapText="1"/>
    </xf>
    <xf numFmtId="0" fontId="71" fillId="0" borderId="0" xfId="5" applyFont="1" applyAlignment="1">
      <alignment horizontal="center" wrapText="1"/>
    </xf>
    <xf numFmtId="0" fontId="39" fillId="7" borderId="9" xfId="5" applyFont="1" applyFill="1" applyBorder="1" applyAlignment="1">
      <alignment horizontal="center" vertical="center" wrapText="1"/>
    </xf>
    <xf numFmtId="0" fontId="71" fillId="0" borderId="9" xfId="0" applyFont="1" applyBorder="1" applyAlignment="1">
      <alignment wrapText="1"/>
    </xf>
    <xf numFmtId="166" fontId="39" fillId="8" borderId="9" xfId="5" applyNumberFormat="1" applyFont="1" applyFill="1" applyBorder="1" applyAlignment="1">
      <alignment horizontal="center" vertical="center" wrapText="1"/>
    </xf>
    <xf numFmtId="0" fontId="31" fillId="6" borderId="0" xfId="5" applyFont="1" applyFill="1" applyAlignment="1">
      <alignment horizontal="left"/>
    </xf>
    <xf numFmtId="0" fontId="101" fillId="0" borderId="0" xfId="0" applyFont="1" applyFill="1" applyAlignment="1">
      <alignment horizontal="left" vertical="top" wrapText="1"/>
    </xf>
    <xf numFmtId="0" fontId="20" fillId="17" borderId="17" xfId="6" applyFont="1" applyFill="1" applyBorder="1"/>
    <xf numFmtId="0" fontId="20" fillId="17" borderId="17" xfId="0" applyFont="1" applyFill="1" applyBorder="1"/>
    <xf numFmtId="0" fontId="20" fillId="17" borderId="18" xfId="0" applyFont="1" applyFill="1" applyBorder="1"/>
    <xf numFmtId="0" fontId="35" fillId="0" borderId="0" xfId="5" applyFont="1" applyAlignment="1">
      <alignment horizontal="center" vertical="center" wrapText="1"/>
    </xf>
    <xf numFmtId="0" fontId="35" fillId="0" borderId="0" xfId="5" applyFont="1" applyAlignment="1">
      <alignment horizontal="center"/>
    </xf>
    <xf numFmtId="180" fontId="4" fillId="0" borderId="19" xfId="5" applyNumberFormat="1" applyFont="1" applyBorder="1" applyAlignment="1">
      <alignment horizontal="center" vertical="center" wrapText="1"/>
    </xf>
    <xf numFmtId="180" fontId="4" fillId="0" borderId="30" xfId="5" applyNumberFormat="1" applyFont="1" applyBorder="1" applyAlignment="1">
      <alignment horizontal="center" vertical="center" wrapText="1"/>
    </xf>
    <xf numFmtId="180" fontId="4" fillId="0" borderId="23" xfId="5" applyNumberFormat="1" applyFont="1" applyBorder="1" applyAlignment="1">
      <alignment horizontal="center" vertical="center" wrapText="1"/>
    </xf>
    <xf numFmtId="0" fontId="20" fillId="0" borderId="17" xfId="6" applyFont="1" applyBorder="1"/>
    <xf numFmtId="0" fontId="35" fillId="17" borderId="16" xfId="5" applyFont="1" applyFill="1" applyBorder="1" applyAlignment="1">
      <alignment horizontal="left"/>
    </xf>
    <xf numFmtId="0" fontId="35" fillId="17" borderId="17" xfId="5" applyFont="1" applyFill="1" applyBorder="1" applyAlignment="1">
      <alignment horizontal="left"/>
    </xf>
    <xf numFmtId="0" fontId="35" fillId="17" borderId="18" xfId="5" applyFont="1" applyFill="1" applyBorder="1" applyAlignment="1">
      <alignment horizontal="left"/>
    </xf>
    <xf numFmtId="165" fontId="65" fillId="13" borderId="20" xfId="0" applyNumberFormat="1" applyFont="1" applyFill="1" applyBorder="1" applyAlignment="1">
      <alignment horizontal="center" wrapText="1"/>
    </xf>
    <xf numFmtId="165" fontId="20" fillId="0" borderId="27" xfId="0" applyNumberFormat="1" applyFont="1" applyBorder="1" applyAlignment="1">
      <alignment horizontal="center" wrapText="1"/>
    </xf>
    <xf numFmtId="165" fontId="20" fillId="0" borderId="21" xfId="0" applyNumberFormat="1" applyFont="1" applyBorder="1" applyAlignment="1">
      <alignment horizontal="center" wrapText="1"/>
    </xf>
    <xf numFmtId="0" fontId="39" fillId="19" borderId="19" xfId="0" applyFont="1" applyFill="1" applyBorder="1" applyAlignment="1">
      <alignment horizontal="center" wrapText="1"/>
    </xf>
    <xf numFmtId="0" fontId="20" fillId="0" borderId="30" xfId="0" applyFont="1" applyBorder="1" applyAlignment="1">
      <alignment horizontal="center" wrapText="1"/>
    </xf>
    <xf numFmtId="0" fontId="65" fillId="24" borderId="19" xfId="0" applyFont="1" applyFill="1" applyBorder="1" applyAlignment="1">
      <alignment horizontal="center" wrapText="1"/>
    </xf>
    <xf numFmtId="0" fontId="85" fillId="24" borderId="30" xfId="0" applyFont="1" applyFill="1" applyBorder="1" applyAlignment="1">
      <alignment horizontal="center" wrapText="1"/>
    </xf>
    <xf numFmtId="0" fontId="53" fillId="19" borderId="20" xfId="0" applyFont="1" applyFill="1" applyBorder="1" applyAlignment="1">
      <alignment horizontal="center" wrapText="1"/>
    </xf>
    <xf numFmtId="0" fontId="20" fillId="0" borderId="27" xfId="0" applyFont="1" applyBorder="1" applyAlignment="1">
      <alignment horizontal="center" wrapText="1"/>
    </xf>
    <xf numFmtId="0" fontId="20" fillId="0" borderId="21" xfId="0" applyFont="1" applyBorder="1" applyAlignment="1">
      <alignment horizontal="center" wrapText="1"/>
    </xf>
    <xf numFmtId="43" fontId="74" fillId="22" borderId="20" xfId="1" applyFont="1" applyFill="1" applyBorder="1" applyAlignment="1">
      <alignment horizontal="center" wrapText="1"/>
    </xf>
    <xf numFmtId="0" fontId="20" fillId="22" borderId="27" xfId="0" applyFont="1" applyFill="1" applyBorder="1" applyAlignment="1">
      <alignment horizontal="center" wrapText="1"/>
    </xf>
    <xf numFmtId="0" fontId="20" fillId="22" borderId="21" xfId="0" applyFont="1" applyFill="1" applyBorder="1" applyAlignment="1">
      <alignment horizontal="center" wrapText="1"/>
    </xf>
    <xf numFmtId="43" fontId="74" fillId="23" borderId="20" xfId="1" applyFont="1" applyFill="1" applyBorder="1" applyAlignment="1">
      <alignment horizontal="center" wrapText="1"/>
    </xf>
    <xf numFmtId="0" fontId="20" fillId="23" borderId="27" xfId="0" applyFont="1" applyFill="1" applyBorder="1" applyAlignment="1">
      <alignment horizontal="center" wrapText="1"/>
    </xf>
    <xf numFmtId="0" fontId="20" fillId="23" borderId="21" xfId="0" applyFont="1" applyFill="1" applyBorder="1" applyAlignment="1">
      <alignment horizontal="center" wrapText="1"/>
    </xf>
    <xf numFmtId="0" fontId="88" fillId="0" borderId="0" xfId="0" applyFont="1"/>
    <xf numFmtId="0" fontId="65" fillId="7" borderId="19" xfId="0" applyFont="1" applyFill="1" applyBorder="1" applyAlignment="1">
      <alignment horizontal="center" wrapText="1"/>
    </xf>
    <xf numFmtId="0" fontId="74" fillId="7" borderId="30" xfId="0" applyFont="1" applyFill="1" applyBorder="1" applyAlignment="1">
      <alignment horizontal="center" wrapText="1"/>
    </xf>
    <xf numFmtId="0" fontId="65" fillId="22" borderId="19" xfId="0" applyFont="1" applyFill="1" applyBorder="1" applyAlignment="1">
      <alignment horizontal="center" wrapText="1"/>
    </xf>
    <xf numFmtId="0" fontId="74" fillId="22" borderId="30" xfId="0" applyFont="1" applyFill="1" applyBorder="1" applyAlignment="1">
      <alignment horizontal="center" wrapText="1"/>
    </xf>
    <xf numFmtId="171" fontId="65" fillId="13" borderId="19" xfId="0" applyNumberFormat="1" applyFont="1" applyFill="1" applyBorder="1" applyAlignment="1">
      <alignment horizontal="center" wrapText="1"/>
    </xf>
    <xf numFmtId="171" fontId="74" fillId="13" borderId="30" xfId="0" applyNumberFormat="1" applyFont="1" applyFill="1" applyBorder="1" applyAlignment="1">
      <alignment horizontal="center" wrapText="1"/>
    </xf>
    <xf numFmtId="171" fontId="65" fillId="13" borderId="19" xfId="2" applyNumberFormat="1" applyFont="1" applyFill="1" applyBorder="1" applyAlignment="1">
      <alignment horizontal="center" wrapText="1"/>
    </xf>
    <xf numFmtId="171" fontId="74" fillId="13" borderId="30" xfId="2" applyNumberFormat="1" applyFont="1" applyFill="1" applyBorder="1" applyAlignment="1">
      <alignment horizontal="center" wrapText="1"/>
    </xf>
    <xf numFmtId="0" fontId="53" fillId="19" borderId="21" xfId="0" applyFont="1" applyFill="1" applyBorder="1" applyAlignment="1">
      <alignment horizontal="center" wrapText="1"/>
    </xf>
    <xf numFmtId="0" fontId="20" fillId="0" borderId="26" xfId="0" applyFont="1" applyBorder="1" applyAlignment="1">
      <alignment horizontal="center" wrapText="1"/>
    </xf>
    <xf numFmtId="0" fontId="65" fillId="13" borderId="19" xfId="0" applyFont="1" applyFill="1" applyBorder="1" applyAlignment="1">
      <alignment horizontal="center" wrapText="1"/>
    </xf>
    <xf numFmtId="0" fontId="74" fillId="13" borderId="30" xfId="0" applyFont="1" applyFill="1" applyBorder="1" applyAlignment="1">
      <alignment horizontal="center" wrapText="1"/>
    </xf>
    <xf numFmtId="0" fontId="0" fillId="4" borderId="0" xfId="0" applyFill="1" applyAlignment="1">
      <alignment horizontal="center"/>
    </xf>
  </cellXfs>
  <cellStyles count="22">
    <cellStyle name="Comma" xfId="1" builtinId="3"/>
    <cellStyle name="Comma 2 4" xfId="9" xr:uid="{00000000-0005-0000-0000-000001000000}"/>
    <cellStyle name="Currency" xfId="2" builtinId="4"/>
    <cellStyle name="Currency 2" xfId="19" xr:uid="{00000000-0005-0000-0000-000003000000}"/>
    <cellStyle name="Currency 2 2 2 5" xfId="10" xr:uid="{00000000-0005-0000-0000-000004000000}"/>
    <cellStyle name="Hyperlink" xfId="17" builtinId="8"/>
    <cellStyle name="Input" xfId="4" builtinId="20"/>
    <cellStyle name="Neutral 2" xfId="14" xr:uid="{00000000-0005-0000-0000-000007000000}"/>
    <cellStyle name="Normal" xfId="0" builtinId="0"/>
    <cellStyle name="Normal 2 2 2 2 33" xfId="13" xr:uid="{00000000-0005-0000-0000-000009000000}"/>
    <cellStyle name="Normal 2 4 21" xfId="6" xr:uid="{00000000-0005-0000-0000-00000A000000}"/>
    <cellStyle name="Normal 20 11" xfId="5" xr:uid="{00000000-0005-0000-0000-00000B000000}"/>
    <cellStyle name="Normal 3 40" xfId="12" xr:uid="{00000000-0005-0000-0000-00000C000000}"/>
    <cellStyle name="Normal 3 56" xfId="8" xr:uid="{00000000-0005-0000-0000-00000D000000}"/>
    <cellStyle name="Normal 4" xfId="21" xr:uid="{E956A955-E89A-4C97-AC27-9A7140FBADB4}"/>
    <cellStyle name="Normal_Avoided Cost Benefits" xfId="18" xr:uid="{00000000-0005-0000-0000-00000E000000}"/>
    <cellStyle name="Percent" xfId="3" builtinId="5"/>
    <cellStyle name="Percent 2" xfId="20" xr:uid="{00000000-0005-0000-0000-000010000000}"/>
    <cellStyle name="Percent 2 2" xfId="11" xr:uid="{00000000-0005-0000-0000-000011000000}"/>
    <cellStyle name="Percent 3" xfId="16" xr:uid="{00000000-0005-0000-0000-000012000000}"/>
    <cellStyle name="Percent 7" xfId="15" xr:uid="{00000000-0005-0000-0000-000013000000}"/>
    <cellStyle name="Percent 8 12" xfId="7" xr:uid="{00000000-0005-0000-0000-000014000000}"/>
  </cellStyles>
  <dxfs count="39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border>
        <left style="thin">
          <color rgb="FF9C0006"/>
        </left>
        <right style="thin">
          <color rgb="FF9C0006"/>
        </right>
        <top style="thin">
          <color rgb="FF9C0006"/>
        </top>
        <bottom style="thin">
          <color rgb="FF9C0006"/>
        </bottom>
      </border>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border>
        <left style="thin">
          <color rgb="FF9C0006"/>
        </left>
        <right style="thin">
          <color rgb="FF9C0006"/>
        </right>
        <top style="thin">
          <color rgb="FF9C0006"/>
        </top>
        <bottom style="thin">
          <color rgb="FF9C0006"/>
        </bottom>
      </border>
    </dxf>
    <dxf>
      <font>
        <color rgb="FFFF0000"/>
      </font>
      <border>
        <left style="thin">
          <color rgb="FF9C0006"/>
        </left>
        <right style="thin">
          <color rgb="FF9C0006"/>
        </right>
        <top style="thin">
          <color rgb="FF9C0006"/>
        </top>
        <bottom style="thin">
          <color rgb="FF9C0006"/>
        </bottom>
      </border>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66FF"/>
        </patternFill>
      </fill>
    </dxf>
    <dxf>
      <font>
        <strike val="0"/>
        <color rgb="FFFF0000"/>
      </font>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99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strike val="0"/>
        <color rgb="FFFF0000"/>
      </font>
    </dxf>
    <dxf>
      <font>
        <strike val="0"/>
        <color rgb="FFFF0000"/>
      </font>
    </dxf>
    <dxf>
      <font>
        <strike val="0"/>
        <color rgb="FFFF0000"/>
      </font>
    </dxf>
    <dxf>
      <font>
        <strike val="0"/>
        <color rgb="FFFF0000"/>
      </font>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strike val="0"/>
        <color rgb="FFFF0000"/>
      </font>
    </dxf>
    <dxf>
      <font>
        <strike val="0"/>
        <color rgb="FFFF0000"/>
      </font>
    </dxf>
    <dxf>
      <font>
        <strike val="0"/>
        <color rgb="FFFF0000"/>
      </font>
    </dxf>
    <dxf>
      <font>
        <strike val="0"/>
        <color rgb="FFFF0000"/>
      </font>
    </dxf>
    <dxf>
      <fill>
        <patternFill>
          <bgColor rgb="FFFF66FF"/>
        </patternFill>
      </fill>
    </dxf>
    <dxf>
      <font>
        <color rgb="FFFF0000"/>
      </font>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FEA8FF"/>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FEA8FF"/>
        </patternFill>
      </fill>
    </dxf>
    <dxf>
      <font>
        <color auto="1"/>
      </font>
      <fill>
        <patternFill>
          <bgColor rgb="FFFEA8FF"/>
        </patternFill>
      </fill>
    </dxf>
    <dxf>
      <font>
        <color rgb="FFFF0000"/>
      </font>
      <fill>
        <patternFill patternType="none">
          <bgColor auto="1"/>
        </patternFill>
      </fill>
    </dxf>
    <dxf>
      <font>
        <color rgb="FF9C0006"/>
      </font>
      <fill>
        <patternFill>
          <bgColor rgb="FFFFC7CE"/>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CC"/>
        </patternFill>
      </fill>
    </dxf>
    <dxf>
      <font>
        <color rgb="FF9C0006"/>
      </font>
      <fill>
        <patternFill>
          <bgColor rgb="FFFFC7CE"/>
        </patternFill>
      </fill>
    </dxf>
    <dxf>
      <font>
        <color rgb="FF9C0006"/>
      </font>
      <fill>
        <patternFill>
          <bgColor rgb="FFFFC7CE"/>
        </patternFill>
      </fill>
    </dxf>
    <dxf>
      <fill>
        <patternFill>
          <bgColor rgb="FFFF66CC"/>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image" Target="../media/image10.png"/><Relationship Id="rId5" Type="http://schemas.openxmlformats.org/officeDocument/2006/relationships/image" Target="../media/image9.png"/><Relationship Id="rId4" Type="http://schemas.openxmlformats.org/officeDocument/2006/relationships/image" Target="../media/image8.pn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8</xdr:col>
      <xdr:colOff>585108</xdr:colOff>
      <xdr:row>4</xdr:row>
      <xdr:rowOff>136071</xdr:rowOff>
    </xdr:from>
    <xdr:ext cx="7623133" cy="727619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461908" y="898071"/>
          <a:ext cx="7623133" cy="7276190"/>
        </a:xfrm>
        <a:prstGeom prst="rect">
          <a:avLst/>
        </a:prstGeom>
      </xdr:spPr>
    </xdr:pic>
    <xdr:clientData/>
  </xdr:oneCellAnchor>
  <xdr:twoCellAnchor>
    <xdr:from>
      <xdr:col>8</xdr:col>
      <xdr:colOff>435430</xdr:colOff>
      <xdr:row>4</xdr:row>
      <xdr:rowOff>81643</xdr:rowOff>
    </xdr:from>
    <xdr:to>
      <xdr:col>13</xdr:col>
      <xdr:colOff>421822</xdr:colOff>
      <xdr:row>44</xdr:row>
      <xdr:rowOff>13607</xdr:rowOff>
    </xdr:to>
    <xdr:sp macro="" textlink="">
      <xdr:nvSpPr>
        <xdr:cNvPr id="3" name="Rectangle 2">
          <a:extLst>
            <a:ext uri="{FF2B5EF4-FFF2-40B4-BE49-F238E27FC236}">
              <a16:creationId xmlns:a16="http://schemas.microsoft.com/office/drawing/2014/main" id="{00000000-0008-0000-0000-000003000000}"/>
            </a:ext>
          </a:extLst>
        </xdr:cNvPr>
        <xdr:cNvSpPr/>
      </xdr:nvSpPr>
      <xdr:spPr>
        <a:xfrm>
          <a:off x="5312230" y="843643"/>
          <a:ext cx="3034392" cy="7551964"/>
        </a:xfrm>
        <a:prstGeom prst="rect">
          <a:avLst/>
        </a:prstGeom>
        <a:noFill/>
        <a:ln w="603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40822</xdr:colOff>
      <xdr:row>4</xdr:row>
      <xdr:rowOff>81643</xdr:rowOff>
    </xdr:from>
    <xdr:to>
      <xdr:col>19</xdr:col>
      <xdr:colOff>27215</xdr:colOff>
      <xdr:row>44</xdr:row>
      <xdr:rowOff>13607</xdr:rowOff>
    </xdr:to>
    <xdr:sp macro="" textlink="">
      <xdr:nvSpPr>
        <xdr:cNvPr id="4" name="Rectangle 3">
          <a:extLst>
            <a:ext uri="{FF2B5EF4-FFF2-40B4-BE49-F238E27FC236}">
              <a16:creationId xmlns:a16="http://schemas.microsoft.com/office/drawing/2014/main" id="{00000000-0008-0000-0000-000004000000}"/>
            </a:ext>
          </a:extLst>
        </xdr:cNvPr>
        <xdr:cNvSpPr/>
      </xdr:nvSpPr>
      <xdr:spPr>
        <a:xfrm>
          <a:off x="8575222" y="843643"/>
          <a:ext cx="3034393" cy="7551964"/>
        </a:xfrm>
        <a:prstGeom prst="rect">
          <a:avLst/>
        </a:prstGeom>
        <a:noFill/>
        <a:ln w="603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244928</xdr:colOff>
      <xdr:row>4</xdr:row>
      <xdr:rowOff>81643</xdr:rowOff>
    </xdr:from>
    <xdr:to>
      <xdr:col>22</xdr:col>
      <xdr:colOff>285750</xdr:colOff>
      <xdr:row>44</xdr:row>
      <xdr:rowOff>13607</xdr:rowOff>
    </xdr:to>
    <xdr:sp macro="" textlink="">
      <xdr:nvSpPr>
        <xdr:cNvPr id="5" name="Rectangle 4">
          <a:extLst>
            <a:ext uri="{FF2B5EF4-FFF2-40B4-BE49-F238E27FC236}">
              <a16:creationId xmlns:a16="http://schemas.microsoft.com/office/drawing/2014/main" id="{00000000-0008-0000-0000-000005000000}"/>
            </a:ext>
          </a:extLst>
        </xdr:cNvPr>
        <xdr:cNvSpPr/>
      </xdr:nvSpPr>
      <xdr:spPr>
        <a:xfrm>
          <a:off x="11827328" y="843643"/>
          <a:ext cx="1869622" cy="7551964"/>
        </a:xfrm>
        <a:prstGeom prst="rect">
          <a:avLst/>
        </a:prstGeom>
        <a:noFill/>
        <a:ln w="603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299357</xdr:colOff>
      <xdr:row>7</xdr:row>
      <xdr:rowOff>40822</xdr:rowOff>
    </xdr:from>
    <xdr:to>
      <xdr:col>9</xdr:col>
      <xdr:colOff>40821</xdr:colOff>
      <xdr:row>11</xdr:row>
      <xdr:rowOff>136071</xdr:rowOff>
    </xdr:to>
    <xdr:cxnSp macro="">
      <xdr:nvCxnSpPr>
        <xdr:cNvPr id="6" name="Straight Connector 5">
          <a:extLst>
            <a:ext uri="{FF2B5EF4-FFF2-40B4-BE49-F238E27FC236}">
              <a16:creationId xmlns:a16="http://schemas.microsoft.com/office/drawing/2014/main" id="{00000000-0008-0000-0000-000006000000}"/>
            </a:ext>
          </a:extLst>
        </xdr:cNvPr>
        <xdr:cNvCxnSpPr/>
      </xdr:nvCxnSpPr>
      <xdr:spPr>
        <a:xfrm flipV="1">
          <a:off x="4566557" y="1374322"/>
          <a:ext cx="960664" cy="857249"/>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11</xdr:row>
      <xdr:rowOff>163285</xdr:rowOff>
    </xdr:from>
    <xdr:to>
      <xdr:col>7</xdr:col>
      <xdr:colOff>285750</xdr:colOff>
      <xdr:row>11</xdr:row>
      <xdr:rowOff>163285</xdr:rowOff>
    </xdr:to>
    <xdr:cxnSp macro="">
      <xdr:nvCxnSpPr>
        <xdr:cNvPr id="7" name="Straight Connector 6">
          <a:extLst>
            <a:ext uri="{FF2B5EF4-FFF2-40B4-BE49-F238E27FC236}">
              <a16:creationId xmlns:a16="http://schemas.microsoft.com/office/drawing/2014/main" id="{00000000-0008-0000-0000-000007000000}"/>
            </a:ext>
          </a:extLst>
        </xdr:cNvPr>
        <xdr:cNvCxnSpPr/>
      </xdr:nvCxnSpPr>
      <xdr:spPr>
        <a:xfrm>
          <a:off x="3725636" y="2258785"/>
          <a:ext cx="827314"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6</xdr:row>
      <xdr:rowOff>68035</xdr:rowOff>
    </xdr:from>
    <xdr:to>
      <xdr:col>7</xdr:col>
      <xdr:colOff>285750</xdr:colOff>
      <xdr:row>6</xdr:row>
      <xdr:rowOff>68035</xdr:rowOff>
    </xdr:to>
    <xdr:cxnSp macro="">
      <xdr:nvCxnSpPr>
        <xdr:cNvPr id="8" name="Straight Connector 7">
          <a:extLst>
            <a:ext uri="{FF2B5EF4-FFF2-40B4-BE49-F238E27FC236}">
              <a16:creationId xmlns:a16="http://schemas.microsoft.com/office/drawing/2014/main" id="{00000000-0008-0000-0000-000008000000}"/>
            </a:ext>
          </a:extLst>
        </xdr:cNvPr>
        <xdr:cNvCxnSpPr/>
      </xdr:nvCxnSpPr>
      <xdr:spPr>
        <a:xfrm>
          <a:off x="3725636" y="1211035"/>
          <a:ext cx="827314"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258536</xdr:colOff>
      <xdr:row>6</xdr:row>
      <xdr:rowOff>81642</xdr:rowOff>
    </xdr:from>
    <xdr:to>
      <xdr:col>7</xdr:col>
      <xdr:colOff>272143</xdr:colOff>
      <xdr:row>11</xdr:row>
      <xdr:rowOff>163285</xdr:rowOff>
    </xdr:to>
    <xdr:cxnSp macro="">
      <xdr:nvCxnSpPr>
        <xdr:cNvPr id="9" name="Straight Connector 8">
          <a:extLst>
            <a:ext uri="{FF2B5EF4-FFF2-40B4-BE49-F238E27FC236}">
              <a16:creationId xmlns:a16="http://schemas.microsoft.com/office/drawing/2014/main" id="{00000000-0008-0000-0000-000009000000}"/>
            </a:ext>
          </a:extLst>
        </xdr:cNvPr>
        <xdr:cNvCxnSpPr/>
      </xdr:nvCxnSpPr>
      <xdr:spPr>
        <a:xfrm>
          <a:off x="4525736" y="1224642"/>
          <a:ext cx="13607" cy="103414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272142</xdr:colOff>
      <xdr:row>6</xdr:row>
      <xdr:rowOff>54428</xdr:rowOff>
    </xdr:from>
    <xdr:to>
      <xdr:col>9</xdr:col>
      <xdr:colOff>27214</xdr:colOff>
      <xdr:row>6</xdr:row>
      <xdr:rowOff>163285</xdr:rowOff>
    </xdr:to>
    <xdr:cxnSp macro="">
      <xdr:nvCxnSpPr>
        <xdr:cNvPr id="10" name="Straight Connector 9">
          <a:extLst>
            <a:ext uri="{FF2B5EF4-FFF2-40B4-BE49-F238E27FC236}">
              <a16:creationId xmlns:a16="http://schemas.microsoft.com/office/drawing/2014/main" id="{00000000-0008-0000-0000-00000A000000}"/>
            </a:ext>
          </a:extLst>
        </xdr:cNvPr>
        <xdr:cNvCxnSpPr/>
      </xdr:nvCxnSpPr>
      <xdr:spPr>
        <a:xfrm>
          <a:off x="4539342" y="1197428"/>
          <a:ext cx="974272" cy="108857"/>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6</xdr:row>
      <xdr:rowOff>81642</xdr:rowOff>
    </xdr:from>
    <xdr:to>
      <xdr:col>6</xdr:col>
      <xdr:colOff>81643</xdr:colOff>
      <xdr:row>11</xdr:row>
      <xdr:rowOff>163285</xdr:rowOff>
    </xdr:to>
    <xdr:cxnSp macro="">
      <xdr:nvCxnSpPr>
        <xdr:cNvPr id="11" name="Straight Connector 10">
          <a:extLst>
            <a:ext uri="{FF2B5EF4-FFF2-40B4-BE49-F238E27FC236}">
              <a16:creationId xmlns:a16="http://schemas.microsoft.com/office/drawing/2014/main" id="{00000000-0008-0000-0000-00000B000000}"/>
            </a:ext>
          </a:extLst>
        </xdr:cNvPr>
        <xdr:cNvCxnSpPr/>
      </xdr:nvCxnSpPr>
      <xdr:spPr>
        <a:xfrm>
          <a:off x="3725636" y="1224642"/>
          <a:ext cx="13607" cy="103414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81643</xdr:colOff>
      <xdr:row>6</xdr:row>
      <xdr:rowOff>81644</xdr:rowOff>
    </xdr:from>
    <xdr:ext cx="761999" cy="1183822"/>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2"/>
        <a:srcRect t="9302" r="23367"/>
        <a:stretch/>
      </xdr:blipFill>
      <xdr:spPr>
        <a:xfrm>
          <a:off x="3739243" y="1224644"/>
          <a:ext cx="761999" cy="1183822"/>
        </a:xfrm>
        <a:prstGeom prst="rect">
          <a:avLst/>
        </a:prstGeom>
      </xdr:spPr>
    </xdr:pic>
    <xdr:clientData/>
  </xdr:oneCellAnchor>
  <xdr:twoCellAnchor>
    <xdr:from>
      <xdr:col>7</xdr:col>
      <xdr:colOff>231322</xdr:colOff>
      <xdr:row>15</xdr:row>
      <xdr:rowOff>176894</xdr:rowOff>
    </xdr:from>
    <xdr:to>
      <xdr:col>9</xdr:col>
      <xdr:colOff>136072</xdr:colOff>
      <xdr:row>15</xdr:row>
      <xdr:rowOff>176894</xdr:rowOff>
    </xdr:to>
    <xdr:cxnSp macro="">
      <xdr:nvCxnSpPr>
        <xdr:cNvPr id="13" name="Straight Arrow Connector 12">
          <a:extLst>
            <a:ext uri="{FF2B5EF4-FFF2-40B4-BE49-F238E27FC236}">
              <a16:creationId xmlns:a16="http://schemas.microsoft.com/office/drawing/2014/main" id="{00000000-0008-0000-0000-00000D000000}"/>
            </a:ext>
          </a:extLst>
        </xdr:cNvPr>
        <xdr:cNvCxnSpPr/>
      </xdr:nvCxnSpPr>
      <xdr:spPr>
        <a:xfrm>
          <a:off x="4498522" y="3034394"/>
          <a:ext cx="1123950" cy="0"/>
        </a:xfrm>
        <a:prstGeom prst="straightConnector1">
          <a:avLst/>
        </a:prstGeom>
        <a:ln w="793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530679</xdr:colOff>
      <xdr:row>16</xdr:row>
      <xdr:rowOff>108858</xdr:rowOff>
    </xdr:from>
    <xdr:to>
      <xdr:col>9</xdr:col>
      <xdr:colOff>571500</xdr:colOff>
      <xdr:row>16</xdr:row>
      <xdr:rowOff>122464</xdr:rowOff>
    </xdr:to>
    <xdr:cxnSp macro="">
      <xdr:nvCxnSpPr>
        <xdr:cNvPr id="14" name="Straight Arrow Connector 13">
          <a:extLst>
            <a:ext uri="{FF2B5EF4-FFF2-40B4-BE49-F238E27FC236}">
              <a16:creationId xmlns:a16="http://schemas.microsoft.com/office/drawing/2014/main" id="{00000000-0008-0000-0000-00000E000000}"/>
            </a:ext>
          </a:extLst>
        </xdr:cNvPr>
        <xdr:cNvCxnSpPr/>
      </xdr:nvCxnSpPr>
      <xdr:spPr>
        <a:xfrm flipV="1">
          <a:off x="4797879" y="3156858"/>
          <a:ext cx="1260021" cy="13606"/>
        </a:xfrm>
        <a:prstGeom prst="straightConnector1">
          <a:avLst/>
        </a:prstGeom>
        <a:ln w="793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530679</xdr:colOff>
      <xdr:row>17</xdr:row>
      <xdr:rowOff>163286</xdr:rowOff>
    </xdr:from>
    <xdr:to>
      <xdr:col>9</xdr:col>
      <xdr:colOff>571500</xdr:colOff>
      <xdr:row>17</xdr:row>
      <xdr:rowOff>176892</xdr:rowOff>
    </xdr:to>
    <xdr:cxnSp macro="">
      <xdr:nvCxnSpPr>
        <xdr:cNvPr id="15" name="Straight Arrow Connector 14">
          <a:extLst>
            <a:ext uri="{FF2B5EF4-FFF2-40B4-BE49-F238E27FC236}">
              <a16:creationId xmlns:a16="http://schemas.microsoft.com/office/drawing/2014/main" id="{00000000-0008-0000-0000-00000F000000}"/>
            </a:ext>
          </a:extLst>
        </xdr:cNvPr>
        <xdr:cNvCxnSpPr/>
      </xdr:nvCxnSpPr>
      <xdr:spPr>
        <a:xfrm flipV="1">
          <a:off x="4797879" y="3401786"/>
          <a:ext cx="1260021" cy="13606"/>
        </a:xfrm>
        <a:prstGeom prst="straightConnector1">
          <a:avLst/>
        </a:prstGeom>
        <a:ln w="793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963215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00000000-0008-0000-0B00-000003000000}"/>
            </a:ext>
          </a:extLst>
        </xdr:cNvPr>
        <xdr:cNvSpPr txBox="1"/>
      </xdr:nvSpPr>
      <xdr:spPr>
        <a:xfrm>
          <a:off x="963215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 name="TextBox 3">
          <a:extLst>
            <a:ext uri="{FF2B5EF4-FFF2-40B4-BE49-F238E27FC236}">
              <a16:creationId xmlns:a16="http://schemas.microsoft.com/office/drawing/2014/main" id="{00000000-0008-0000-0B00-000004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5" name="TextBox 4">
          <a:extLst>
            <a:ext uri="{FF2B5EF4-FFF2-40B4-BE49-F238E27FC236}">
              <a16:creationId xmlns:a16="http://schemas.microsoft.com/office/drawing/2014/main" id="{00000000-0008-0000-0B00-000005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 name="TextBox 5">
          <a:extLst>
            <a:ext uri="{FF2B5EF4-FFF2-40B4-BE49-F238E27FC236}">
              <a16:creationId xmlns:a16="http://schemas.microsoft.com/office/drawing/2014/main" id="{00000000-0008-0000-0B00-000006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7" name="TextBox 6">
          <a:extLst>
            <a:ext uri="{FF2B5EF4-FFF2-40B4-BE49-F238E27FC236}">
              <a16:creationId xmlns:a16="http://schemas.microsoft.com/office/drawing/2014/main" id="{00000000-0008-0000-0B00-000007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3</xdr:col>
      <xdr:colOff>1240971</xdr:colOff>
      <xdr:row>202</xdr:row>
      <xdr:rowOff>163285</xdr:rowOff>
    </xdr:from>
    <xdr:to>
      <xdr:col>5</xdr:col>
      <xdr:colOff>685800</xdr:colOff>
      <xdr:row>204</xdr:row>
      <xdr:rowOff>97971</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3287485" y="41050028"/>
              <a:ext cx="6008915" cy="304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𝐷𝑂𝑂𝑅𝑆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𝐶𝑜𝑛𝑡𝑟𝑜𝑙</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𝐵𝐹</m:t>
                    </m:r>
                  </m:oMath>
                </m:oMathPara>
              </a14:m>
              <a:endParaRPr lang="en-US" sz="1400" b="0"/>
            </a:p>
          </xdr:txBody>
        </xdr:sp>
      </mc:Choice>
      <mc:Fallback xmlns="">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3287485" y="41050028"/>
              <a:ext cx="6008915" cy="304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∆𝑘𝑊ℎ=〖𝑘𝑊〗_𝐵𝑎𝑠𝑒∗𝐷𝑂𝑂𝑅𝑆∗(%〖𝑂𝑁〗_𝐵𝑎𝑠𝑒−%〖𝑂𝑁〗_𝐶𝑜𝑛𝑡𝑟𝑜𝑙 )∗𝐻𝑜𝑢𝑟𝑠∗𝐵𝐹</a:t>
              </a:r>
              <a:endParaRPr lang="en-US" sz="1400" b="0"/>
            </a:p>
          </xdr:txBody>
        </xdr:sp>
      </mc:Fallback>
    </mc:AlternateContent>
    <xdr:clientData/>
  </xdr:twoCellAnchor>
  <xdr:twoCellAnchor>
    <xdr:from>
      <xdr:col>3</xdr:col>
      <xdr:colOff>1295402</xdr:colOff>
      <xdr:row>101</xdr:row>
      <xdr:rowOff>135159</xdr:rowOff>
    </xdr:from>
    <xdr:to>
      <xdr:col>6</xdr:col>
      <xdr:colOff>866775</xdr:colOff>
      <xdr:row>103</xdr:row>
      <xdr:rowOff>63410</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00000000-0008-0000-0200-00002E000000}"/>
                </a:ext>
              </a:extLst>
            </xdr:cNvPr>
            <xdr:cNvSpPr txBox="1"/>
          </xdr:nvSpPr>
          <xdr:spPr>
            <a:xfrm>
              <a:off x="3333752" y="21966459"/>
              <a:ext cx="6496048" cy="290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𝑘𝑊h</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sSub>
                      <m:sSubPr>
                        <m:ctrlPr>
                          <a:rPr lang="en-US" sz="1400" b="0" i="1" strike="noStrike" baseline="0">
                            <a:solidFill>
                              <a:sysClr val="windowText" lastClr="000000"/>
                            </a:solidFill>
                            <a:latin typeface="Cambria Math" panose="02040503050406030204" pitchFamily="18" charset="0"/>
                            <a:ea typeface="Cambria Math" panose="02040503050406030204" pitchFamily="18" charset="0"/>
                          </a:rPr>
                        </m:ctrlPr>
                      </m:sSubPr>
                      <m:e>
                        <m:r>
                          <a:rPr lang="en-US" sz="1400" b="0" i="1" strike="noStrike" baseline="0">
                            <a:solidFill>
                              <a:sysClr val="windowText" lastClr="000000"/>
                            </a:solidFill>
                            <a:latin typeface="Cambria Math" panose="02040503050406030204" pitchFamily="18" charset="0"/>
                            <a:ea typeface="Cambria Math" panose="02040503050406030204" pitchFamily="18" charset="0"/>
                          </a:rPr>
                          <m:t>𝑘𝑊</m:t>
                        </m:r>
                      </m:e>
                      <m:sub>
                        <m:r>
                          <a:rPr lang="en-US" sz="1400" b="0" i="1" strike="noStrike" baseline="0">
                            <a:solidFill>
                              <a:sysClr val="windowText" lastClr="000000"/>
                            </a:solidFill>
                            <a:latin typeface="Cambria Math" panose="02040503050406030204" pitchFamily="18" charset="0"/>
                            <a:ea typeface="Cambria Math" panose="02040503050406030204" pitchFamily="18" charset="0"/>
                          </a:rPr>
                          <m:t>𝐶𝑜𝑛𝑡𝑟𝑜𝑙𝑙𝑒𝑑</m:t>
                        </m:r>
                      </m:sub>
                    </m:sSub>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𝐻𝑜𝑢𝑟𝑠</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𝐸𝑆𝐹</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𝑊𝐻𝐹𝑒</m:t>
                    </m:r>
                  </m:oMath>
                </m:oMathPara>
              </a14:m>
              <a:endParaRPr lang="en-US" sz="1100" strike="noStrike" baseline="0">
                <a:solidFill>
                  <a:sysClr val="windowText" lastClr="000000"/>
                </a:solidFill>
              </a:endParaRPr>
            </a:p>
          </xdr:txBody>
        </xdr:sp>
      </mc:Choice>
      <mc:Fallback xmlns="">
        <xdr:sp macro="" textlink="">
          <xdr:nvSpPr>
            <xdr:cNvPr id="46" name="TextBox 45">
              <a:extLst>
                <a:ext uri="{FF2B5EF4-FFF2-40B4-BE49-F238E27FC236}">
                  <a16:creationId xmlns:a16="http://schemas.microsoft.com/office/drawing/2014/main" id="{00000000-0008-0000-0200-00002E000000}"/>
                </a:ext>
              </a:extLst>
            </xdr:cNvPr>
            <xdr:cNvSpPr txBox="1"/>
          </xdr:nvSpPr>
          <xdr:spPr>
            <a:xfrm>
              <a:off x="3333752" y="21966459"/>
              <a:ext cx="6496048" cy="290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strike="noStrike" baseline="0">
                  <a:solidFill>
                    <a:sysClr val="windowText" lastClr="000000"/>
                  </a:solidFill>
                  <a:latin typeface="Cambria Math" panose="02040503050406030204" pitchFamily="18" charset="0"/>
                  <a:ea typeface="Cambria Math" panose="02040503050406030204" pitchFamily="18" charset="0"/>
                </a:rPr>
                <a:t>∆</a:t>
              </a:r>
              <a:r>
                <a:rPr lang="en-US" sz="1400" b="0" i="0" strike="noStrike" baseline="0">
                  <a:solidFill>
                    <a:sysClr val="windowText" lastClr="000000"/>
                  </a:solidFill>
                  <a:latin typeface="Cambria Math" panose="02040503050406030204" pitchFamily="18" charset="0"/>
                  <a:ea typeface="Cambria Math" panose="02040503050406030204" pitchFamily="18" charset="0"/>
                </a:rPr>
                <a:t>𝑘𝑊ℎ=〖𝑘𝑊〗_𝐶𝑜𝑛𝑡𝑟𝑜𝑙𝑙𝑒𝑑∗𝐻𝑜𝑢𝑟𝑠∗𝐸𝑆𝐹∗𝑊𝐻𝐹𝑒</a:t>
              </a:r>
              <a:endParaRPr lang="en-US" sz="1100" strike="noStrike" baseline="0">
                <a:solidFill>
                  <a:sysClr val="windowText" lastClr="000000"/>
                </a:solidFill>
              </a:endParaRPr>
            </a:p>
          </xdr:txBody>
        </xdr:sp>
      </mc:Fallback>
    </mc:AlternateContent>
    <xdr:clientData/>
  </xdr:twoCellAnchor>
  <xdr:twoCellAnchor>
    <xdr:from>
      <xdr:col>3</xdr:col>
      <xdr:colOff>1396911</xdr:colOff>
      <xdr:row>36</xdr:row>
      <xdr:rowOff>167642</xdr:rowOff>
    </xdr:from>
    <xdr:to>
      <xdr:col>9</xdr:col>
      <xdr:colOff>408214</xdr:colOff>
      <xdr:row>39</xdr:row>
      <xdr:rowOff>152401</xdr:rowOff>
    </xdr:to>
    <mc:AlternateContent xmlns:mc="http://schemas.openxmlformats.org/markup-compatibility/2006" xmlns:a14="http://schemas.microsoft.com/office/drawing/2010/main">
      <mc:Choice Requires="a14">
        <xdr:sp macro="" textlink="">
          <xdr:nvSpPr>
            <xdr:cNvPr id="172" name="TextBox 171">
              <a:extLst>
                <a:ext uri="{FF2B5EF4-FFF2-40B4-BE49-F238E27FC236}">
                  <a16:creationId xmlns:a16="http://schemas.microsoft.com/office/drawing/2014/main" id="{6CF37C97-8F32-450F-9926-0957564B2778}"/>
                </a:ext>
              </a:extLst>
            </xdr:cNvPr>
            <xdr:cNvSpPr txBox="1"/>
          </xdr:nvSpPr>
          <xdr:spPr>
            <a:xfrm>
              <a:off x="3437982" y="6699071"/>
              <a:ext cx="9434375" cy="5154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𝐵𝑎𝑠𝑒</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𝐸𝐸</m:t>
                            </m:r>
                          </m:sub>
                        </m:sSub>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𝐻𝑜𝑢𝑟𝑠</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𝐴𝐷𝐽</m:t>
                        </m:r>
                      </m:e>
                      <m: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𝐸𝑀𝑉</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𝑊𝐻𝐹</m:t>
                        </m:r>
                      </m:e>
                      <m:sub>
                        <m:r>
                          <a:rPr lang="en-US" sz="1400" b="0" i="1">
                            <a:solidFill>
                              <a:sysClr val="windowText" lastClr="000000"/>
                            </a:solidFill>
                            <a:effectLst/>
                            <a:latin typeface="Cambria Math" panose="02040503050406030204" pitchFamily="18" charset="0"/>
                            <a:ea typeface="+mn-ea"/>
                            <a:cs typeface="+mn-cs"/>
                          </a:rPr>
                          <m:t>𝑒</m:t>
                        </m:r>
                      </m:sub>
                    </m:sSub>
                  </m:oMath>
                </m:oMathPara>
              </a14:m>
              <a:endParaRPr lang="en-US" sz="1400">
                <a:solidFill>
                  <a:sysClr val="windowText" lastClr="000000"/>
                </a:solidFill>
              </a:endParaRPr>
            </a:p>
          </xdr:txBody>
        </xdr:sp>
      </mc:Choice>
      <mc:Fallback xmlns="">
        <xdr:sp macro="" textlink="">
          <xdr:nvSpPr>
            <xdr:cNvPr id="172" name="TextBox 171">
              <a:extLst>
                <a:ext uri="{FF2B5EF4-FFF2-40B4-BE49-F238E27FC236}">
                  <a16:creationId xmlns:a16="http://schemas.microsoft.com/office/drawing/2014/main" id="{6CF37C97-8F32-450F-9926-0957564B2778}"/>
                </a:ext>
              </a:extLst>
            </xdr:cNvPr>
            <xdr:cNvSpPr txBox="1"/>
          </xdr:nvSpPr>
          <xdr:spPr>
            <a:xfrm>
              <a:off x="3437982" y="6699071"/>
              <a:ext cx="9434375" cy="5154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mn-ea"/>
                  <a:cs typeface="+mn-cs"/>
                </a:rPr>
                <a:t>(〖𝑊𝑎𝑡𝑡𝑠〗_𝐵𝑎𝑠𝑒−〖𝑊𝑎𝑡𝑡𝑠〗_𝐸𝐸)</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×𝐼𝑆𝑅×𝐻𝑜𝑢𝑟𝑠×〖𝐴𝐷𝐽〗_𝐸𝑀𝑉</a:t>
              </a:r>
              <a:r>
                <a:rPr lang="en-US" sz="1400" b="0" i="0">
                  <a:solidFill>
                    <a:sysClr val="windowText" lastClr="000000"/>
                  </a:solidFill>
                  <a:effectLst/>
                  <a:latin typeface="Cambria Math" panose="02040503050406030204" pitchFamily="18" charset="0"/>
                  <a:ea typeface="+mn-ea"/>
                  <a:cs typeface="+mn-cs"/>
                </a:rPr>
                <a:t>×〖𝑊𝐻𝐹〗_𝑒</a:t>
              </a:r>
              <a:endParaRPr lang="en-US" sz="1400">
                <a:solidFill>
                  <a:sysClr val="windowText" lastClr="000000"/>
                </a:solidFill>
              </a:endParaRPr>
            </a:p>
          </xdr:txBody>
        </xdr:sp>
      </mc:Fallback>
    </mc:AlternateContent>
    <xdr:clientData/>
  </xdr:twoCellAnchor>
  <xdr:twoCellAnchor>
    <xdr:from>
      <xdr:col>3</xdr:col>
      <xdr:colOff>1143000</xdr:colOff>
      <xdr:row>173</xdr:row>
      <xdr:rowOff>50069</xdr:rowOff>
    </xdr:from>
    <xdr:to>
      <xdr:col>4</xdr:col>
      <xdr:colOff>2427514</xdr:colOff>
      <xdr:row>175</xdr:row>
      <xdr:rowOff>32657</xdr:rowOff>
    </xdr:to>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3189514" y="35352440"/>
              <a:ext cx="2971800" cy="352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14:m>
                <m:oMath xmlns:m="http://schemas.openxmlformats.org/officeDocument/2006/math">
                  <m:r>
                    <m:rPr>
                      <m:nor/>
                    </m:rPr>
                    <a:rPr lang="en-US" sz="1400" i="1" baseline="0">
                      <a:solidFill>
                        <a:schemeClr val="tx1"/>
                      </a:solidFill>
                      <a:effectLst/>
                      <a:latin typeface="+mn-lt"/>
                      <a:ea typeface="+mn-ea"/>
                      <a:cs typeface="+mn-cs"/>
                    </a:rPr>
                    <m:t>(</m:t>
                  </m:r>
                </m:oMath>
              </a14:m>
              <a:r>
                <a:rPr lang="en-US" sz="1400" i="1">
                  <a:solidFill>
                    <a:schemeClr val="tx1"/>
                  </a:solidFill>
                  <a:effectLst/>
                  <a:latin typeface="+mn-lt"/>
                  <a:ea typeface="+mn-ea"/>
                  <a:cs typeface="+mn-cs"/>
                </a:rPr>
                <a:t>kWh</a:t>
              </a:r>
              <a:r>
                <a:rPr lang="en-US" sz="1400" i="1" baseline="-25000">
                  <a:solidFill>
                    <a:schemeClr val="tx1"/>
                  </a:solidFill>
                  <a:effectLst/>
                  <a:latin typeface="+mn-lt"/>
                  <a:ea typeface="+mn-ea"/>
                  <a:cs typeface="+mn-cs"/>
                </a:rPr>
                <a:t>Base </a:t>
              </a:r>
              <a:r>
                <a:rPr lang="en-US" sz="1400" i="1">
                  <a:solidFill>
                    <a:schemeClr val="tx1"/>
                  </a:solidFill>
                  <a:effectLst/>
                  <a:latin typeface="+mn-lt"/>
                  <a:ea typeface="+mn-ea"/>
                  <a:cs typeface="+mn-cs"/>
                </a:rPr>
                <a:t>- </a:t>
              </a:r>
              <a:r>
                <a:rPr lang="en-US" sz="1100" i="1">
                  <a:solidFill>
                    <a:schemeClr val="tx1"/>
                  </a:solidFill>
                  <a:effectLst/>
                  <a:latin typeface="+mn-lt"/>
                  <a:ea typeface="+mn-ea"/>
                  <a:cs typeface="+mn-cs"/>
                </a:rPr>
                <a:t>kWh</a:t>
              </a:r>
              <a:r>
                <a:rPr lang="en-US" sz="1100" i="1" baseline="-25000">
                  <a:solidFill>
                    <a:schemeClr val="tx1"/>
                  </a:solidFill>
                  <a:effectLst/>
                  <a:latin typeface="+mn-lt"/>
                  <a:ea typeface="+mn-ea"/>
                  <a:cs typeface="+mn-cs"/>
                </a:rPr>
                <a:t>ESTAR</a:t>
              </a:r>
              <a:r>
                <a:rPr lang="en-US" sz="1400" i="1">
                  <a:solidFill>
                    <a:schemeClr val="tx1"/>
                  </a:solidFill>
                  <a:effectLst/>
                  <a:latin typeface="+mn-lt"/>
                  <a:ea typeface="+mn-ea"/>
                  <a:cs typeface="+mn-cs"/>
                </a:rPr>
                <a:t>) * Days</a:t>
              </a:r>
              <a:endParaRPr lang="en-US" sz="1400">
                <a:effectLst/>
              </a:endParaRPr>
            </a:p>
          </xdr:txBody>
        </xdr:sp>
      </mc:Choice>
      <mc:Fallback xmlns="">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3189514" y="35352440"/>
              <a:ext cx="2971800" cy="352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r>
                <a:rPr lang="en-US" sz="1400" i="0" baseline="0">
                  <a:solidFill>
                    <a:schemeClr val="tx1"/>
                  </a:solidFill>
                  <a:effectLst/>
                  <a:latin typeface="Cambria Math" panose="02040503050406030204" pitchFamily="18" charset="0"/>
                  <a:ea typeface="+mn-ea"/>
                  <a:cs typeface="+mn-cs"/>
                </a:rPr>
                <a:t>"(</a:t>
              </a:r>
              <a:r>
                <a:rPr lang="en-US" sz="1400" i="0" baseline="0">
                  <a:solidFill>
                    <a:schemeClr val="tx1"/>
                  </a:solidFill>
                  <a:effectLst/>
                  <a:latin typeface="+mn-lt"/>
                  <a:ea typeface="+mn-ea"/>
                  <a:cs typeface="+mn-cs"/>
                </a:rPr>
                <a:t>"</a:t>
              </a:r>
              <a:r>
                <a:rPr lang="en-US" sz="1400" i="1">
                  <a:solidFill>
                    <a:schemeClr val="tx1"/>
                  </a:solidFill>
                  <a:effectLst/>
                  <a:latin typeface="+mn-lt"/>
                  <a:ea typeface="+mn-ea"/>
                  <a:cs typeface="+mn-cs"/>
                </a:rPr>
                <a:t>kWh</a:t>
              </a:r>
              <a:r>
                <a:rPr lang="en-US" sz="1400" i="1" baseline="-25000">
                  <a:solidFill>
                    <a:schemeClr val="tx1"/>
                  </a:solidFill>
                  <a:effectLst/>
                  <a:latin typeface="+mn-lt"/>
                  <a:ea typeface="+mn-ea"/>
                  <a:cs typeface="+mn-cs"/>
                </a:rPr>
                <a:t>Base </a:t>
              </a:r>
              <a:r>
                <a:rPr lang="en-US" sz="1400" i="1">
                  <a:solidFill>
                    <a:schemeClr val="tx1"/>
                  </a:solidFill>
                  <a:effectLst/>
                  <a:latin typeface="+mn-lt"/>
                  <a:ea typeface="+mn-ea"/>
                  <a:cs typeface="+mn-cs"/>
                </a:rPr>
                <a:t>- </a:t>
              </a:r>
              <a:r>
                <a:rPr lang="en-US" sz="1100" i="1">
                  <a:solidFill>
                    <a:schemeClr val="tx1"/>
                  </a:solidFill>
                  <a:effectLst/>
                  <a:latin typeface="+mn-lt"/>
                  <a:ea typeface="+mn-ea"/>
                  <a:cs typeface="+mn-cs"/>
                </a:rPr>
                <a:t>kWh</a:t>
              </a:r>
              <a:r>
                <a:rPr lang="en-US" sz="1100" i="1" baseline="-25000">
                  <a:solidFill>
                    <a:schemeClr val="tx1"/>
                  </a:solidFill>
                  <a:effectLst/>
                  <a:latin typeface="+mn-lt"/>
                  <a:ea typeface="+mn-ea"/>
                  <a:cs typeface="+mn-cs"/>
                </a:rPr>
                <a:t>ESTAR</a:t>
              </a:r>
              <a:r>
                <a:rPr lang="en-US" sz="1400" i="1">
                  <a:solidFill>
                    <a:schemeClr val="tx1"/>
                  </a:solidFill>
                  <a:effectLst/>
                  <a:latin typeface="+mn-lt"/>
                  <a:ea typeface="+mn-ea"/>
                  <a:cs typeface="+mn-cs"/>
                </a:rPr>
                <a:t>) * Days</a:t>
              </a:r>
              <a:endParaRPr lang="en-US" sz="1400">
                <a:effectLst/>
              </a:endParaRPr>
            </a:p>
          </xdr:txBody>
        </xdr:sp>
      </mc:Fallback>
    </mc:AlternateContent>
    <xdr:clientData/>
  </xdr:twoCellAnchor>
  <xdr:twoCellAnchor>
    <xdr:from>
      <xdr:col>3</xdr:col>
      <xdr:colOff>1142999</xdr:colOff>
      <xdr:row>176</xdr:row>
      <xdr:rowOff>19046</xdr:rowOff>
    </xdr:from>
    <xdr:to>
      <xdr:col>4</xdr:col>
      <xdr:colOff>2046514</xdr:colOff>
      <xdr:row>178</xdr:row>
      <xdr:rowOff>76372</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3189513" y="35876589"/>
              <a:ext cx="2590801" cy="427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3189513" y="35876589"/>
              <a:ext cx="2590801" cy="427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1429840</xdr:colOff>
      <xdr:row>43</xdr:row>
      <xdr:rowOff>168825</xdr:rowOff>
    </xdr:from>
    <xdr:to>
      <xdr:col>4</xdr:col>
      <xdr:colOff>2725240</xdr:colOff>
      <xdr:row>46</xdr:row>
      <xdr:rowOff>57150</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3468190" y="7893600"/>
              <a:ext cx="2981325" cy="431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r>
                      <a:rPr lang="en-US" sz="1400" b="0" i="1">
                        <a:solidFill>
                          <a:srgbClr val="FF0000"/>
                        </a:solidFill>
                        <a:latin typeface="Cambria Math" panose="02040503050406030204" pitchFamily="18" charset="0"/>
                        <a:ea typeface="Cambria Math" panose="02040503050406030204" pitchFamily="18" charset="0"/>
                      </a:rPr>
                      <m:t> </m:t>
                    </m:r>
                    <m:r>
                      <a:rPr lang="en-US" sz="1400" b="0" i="1">
                        <a:solidFill>
                          <a:srgbClr val="FF0000"/>
                        </a:solidFill>
                        <a:latin typeface="Cambria Math" panose="02040503050406030204" pitchFamily="18" charset="0"/>
                        <a:ea typeface="Cambria Math" panose="02040503050406030204" pitchFamily="18" charset="0"/>
                      </a:rPr>
                      <m:t>𝑥</m:t>
                    </m:r>
                    <m:r>
                      <a:rPr lang="en-US" sz="1400" b="0" i="1">
                        <a:solidFill>
                          <a:srgbClr val="FF0000"/>
                        </a:solidFill>
                        <a:latin typeface="Cambria Math" panose="02040503050406030204" pitchFamily="18" charset="0"/>
                        <a:ea typeface="Cambria Math" panose="02040503050406030204" pitchFamily="18" charset="0"/>
                      </a:rPr>
                      <m:t> </m:t>
                    </m:r>
                    <m:r>
                      <a:rPr lang="en-US" sz="1400" b="0" i="1">
                        <a:solidFill>
                          <a:srgbClr val="FF0000"/>
                        </a:solidFill>
                        <a:latin typeface="Cambria Math" panose="02040503050406030204" pitchFamily="18" charset="0"/>
                        <a:ea typeface="Cambria Math" panose="02040503050406030204" pitchFamily="18" charset="0"/>
                      </a:rPr>
                      <m:t>𝐼𝐹𝑘𝑊</m:t>
                    </m:r>
                  </m:oMath>
                </m:oMathPara>
              </a14:m>
              <a:endParaRPr lang="en-US" sz="1400"/>
            </a:p>
          </xdr:txBody>
        </xdr:sp>
      </mc:Choice>
      <mc:Fallback xmlns="">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3468190" y="7893600"/>
              <a:ext cx="2981325" cy="431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r>
                <a:rPr lang="en-US" sz="1400" b="0" i="0">
                  <a:solidFill>
                    <a:srgbClr val="FF0000"/>
                  </a:solidFill>
                  <a:latin typeface="Cambria Math" panose="02040503050406030204" pitchFamily="18" charset="0"/>
                  <a:ea typeface="Cambria Math" panose="02040503050406030204" pitchFamily="18" charset="0"/>
                </a:rPr>
                <a:t> 𝑥 𝐼𝐹𝑘𝑊</a:t>
              </a:r>
              <a:endParaRPr lang="en-US" sz="1400"/>
            </a:p>
          </xdr:txBody>
        </xdr:sp>
      </mc:Fallback>
    </mc:AlternateContent>
    <xdr:clientData/>
  </xdr:twoCellAnchor>
  <xdr:twoCellAnchor>
    <xdr:from>
      <xdr:col>3</xdr:col>
      <xdr:colOff>1273628</xdr:colOff>
      <xdr:row>204</xdr:row>
      <xdr:rowOff>182161</xdr:rowOff>
    </xdr:from>
    <xdr:to>
      <xdr:col>4</xdr:col>
      <xdr:colOff>1480457</xdr:colOff>
      <xdr:row>207</xdr:row>
      <xdr:rowOff>54427</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3320142" y="41439018"/>
              <a:ext cx="1894115" cy="4274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3320142" y="41439018"/>
              <a:ext cx="1894115" cy="4274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941514</xdr:colOff>
      <xdr:row>229</xdr:row>
      <xdr:rowOff>64222</xdr:rowOff>
    </xdr:from>
    <xdr:to>
      <xdr:col>6</xdr:col>
      <xdr:colOff>790405</xdr:colOff>
      <xdr:row>231</xdr:row>
      <xdr:rowOff>131072</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200-000008000000}"/>
                </a:ext>
              </a:extLst>
            </xdr:cNvPr>
            <xdr:cNvSpPr txBox="1"/>
          </xdr:nvSpPr>
          <xdr:spPr>
            <a:xfrm>
              <a:off x="2988028" y="20670879"/>
              <a:ext cx="7751920" cy="436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 name="TextBox 7">
              <a:extLst>
                <a:ext uri="{FF2B5EF4-FFF2-40B4-BE49-F238E27FC236}">
                  <a16:creationId xmlns:a16="http://schemas.microsoft.com/office/drawing/2014/main" id="{00000000-0008-0000-0200-000008000000}"/>
                </a:ext>
              </a:extLst>
            </xdr:cNvPr>
            <xdr:cNvSpPr txBox="1"/>
          </xdr:nvSpPr>
          <xdr:spPr>
            <a:xfrm>
              <a:off x="2988028" y="20670879"/>
              <a:ext cx="7751920" cy="436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739588</xdr:colOff>
      <xdr:row>225</xdr:row>
      <xdr:rowOff>63426</xdr:rowOff>
    </xdr:from>
    <xdr:to>
      <xdr:col>5</xdr:col>
      <xdr:colOff>8692</xdr:colOff>
      <xdr:row>228</xdr:row>
      <xdr:rowOff>55134</xdr:rowOff>
    </xdr:to>
    <xdr:pic>
      <xdr:nvPicPr>
        <xdr:cNvPr id="9" name="Picture 8">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786102" y="19929855"/>
          <a:ext cx="5833190" cy="546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1269275</xdr:colOff>
      <xdr:row>225</xdr:row>
      <xdr:rowOff>21499</xdr:rowOff>
    </xdr:from>
    <xdr:to>
      <xdr:col>12</xdr:col>
      <xdr:colOff>445226</xdr:colOff>
      <xdr:row>230</xdr:row>
      <xdr:rowOff>17689</xdr:rowOff>
    </xdr:to>
    <xdr:pic>
      <xdr:nvPicPr>
        <xdr:cNvPr id="10" name="Picture 9">
          <a:extLst>
            <a:ext uri="{FF2B5EF4-FFF2-40B4-BE49-F238E27FC236}">
              <a16:creationId xmlns:a16="http://schemas.microsoft.com/office/drawing/2014/main" id="{00000000-0008-0000-0200-00000A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216096" y="44135856"/>
          <a:ext cx="7884523" cy="8806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816428</xdr:colOff>
      <xdr:row>224</xdr:row>
      <xdr:rowOff>169274</xdr:rowOff>
    </xdr:from>
    <xdr:to>
      <xdr:col>19</xdr:col>
      <xdr:colOff>20410</xdr:colOff>
      <xdr:row>230</xdr:row>
      <xdr:rowOff>16874</xdr:rowOff>
    </xdr:to>
    <xdr:pic>
      <xdr:nvPicPr>
        <xdr:cNvPr id="11" name="Picture 10">
          <a:extLst>
            <a:ext uri="{FF2B5EF4-FFF2-40B4-BE49-F238E27FC236}">
              <a16:creationId xmlns:a16="http://schemas.microsoft.com/office/drawing/2014/main" id="{00000000-0008-0000-0200-00000B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0312742" y="19850645"/>
          <a:ext cx="4777468" cy="9579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751014</xdr:colOff>
      <xdr:row>249</xdr:row>
      <xdr:rowOff>95247</xdr:rowOff>
    </xdr:from>
    <xdr:to>
      <xdr:col>6</xdr:col>
      <xdr:colOff>599905</xdr:colOff>
      <xdr:row>251</xdr:row>
      <xdr:rowOff>152572</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0000000-0008-0000-0200-00000C000000}"/>
                </a:ext>
              </a:extLst>
            </xdr:cNvPr>
            <xdr:cNvSpPr txBox="1"/>
          </xdr:nvSpPr>
          <xdr:spPr>
            <a:xfrm>
              <a:off x="2792085" y="48645533"/>
              <a:ext cx="7754641"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2" name="TextBox 11"/>
            <xdr:cNvSpPr txBox="1"/>
          </xdr:nvSpPr>
          <xdr:spPr>
            <a:xfrm>
              <a:off x="2926524" y="20431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751014</xdr:colOff>
      <xdr:row>266</xdr:row>
      <xdr:rowOff>95247</xdr:rowOff>
    </xdr:from>
    <xdr:to>
      <xdr:col>6</xdr:col>
      <xdr:colOff>599905</xdr:colOff>
      <xdr:row>268</xdr:row>
      <xdr:rowOff>152572</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00000000-0008-0000-0200-00000E000000}"/>
                </a:ext>
              </a:extLst>
            </xdr:cNvPr>
            <xdr:cNvSpPr txBox="1"/>
          </xdr:nvSpPr>
          <xdr:spPr>
            <a:xfrm>
              <a:off x="2792085" y="51843211"/>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4" name="TextBox 13"/>
            <xdr:cNvSpPr txBox="1"/>
          </xdr:nvSpPr>
          <xdr:spPr>
            <a:xfrm>
              <a:off x="2926524" y="21764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740227</xdr:colOff>
      <xdr:row>263</xdr:row>
      <xdr:rowOff>155121</xdr:rowOff>
    </xdr:from>
    <xdr:to>
      <xdr:col>4</xdr:col>
      <xdr:colOff>926930</xdr:colOff>
      <xdr:row>265</xdr:row>
      <xdr:rowOff>56784</xdr:rowOff>
    </xdr:to>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00000000-0008-0000-0200-00000F000000}"/>
                </a:ext>
              </a:extLst>
            </xdr:cNvPr>
            <xdr:cNvSpPr txBox="1"/>
          </xdr:nvSpPr>
          <xdr:spPr>
            <a:xfrm>
              <a:off x="2781298" y="51372407"/>
              <a:ext cx="1873989" cy="2554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=1747∗</m:t>
                    </m:r>
                    <m:r>
                      <a:rPr lang="en-US" sz="1400" b="0" i="1">
                        <a:latin typeface="Cambria Math" panose="02040503050406030204" pitchFamily="18" charset="0"/>
                        <a:ea typeface="Cambria Math" panose="02040503050406030204" pitchFamily="18" charset="0"/>
                      </a:rPr>
                      <m:t>𝐻𝑃</m:t>
                    </m:r>
                  </m:oMath>
                </m:oMathPara>
              </a14:m>
              <a:endParaRPr lang="en-US" sz="1400"/>
            </a:p>
          </xdr:txBody>
        </xdr:sp>
      </mc:Choice>
      <mc:Fallback xmlns="">
        <xdr:sp macro="" textlink="">
          <xdr:nvSpPr>
            <xdr:cNvPr id="15" name="TextBox 14"/>
            <xdr:cNvSpPr txBox="1"/>
          </xdr:nvSpPr>
          <xdr:spPr>
            <a:xfrm>
              <a:off x="2911927" y="21764625"/>
              <a:ext cx="16592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𝑘𝑊ℎ=1747∗𝐻𝑃</a:t>
              </a:r>
              <a:endParaRPr lang="en-US" sz="1400"/>
            </a:p>
          </xdr:txBody>
        </xdr:sp>
      </mc:Fallback>
    </mc:AlternateContent>
    <xdr:clientData/>
  </xdr:twoCellAnchor>
  <xdr:twoCellAnchor>
    <xdr:from>
      <xdr:col>3</xdr:col>
      <xdr:colOff>751014</xdr:colOff>
      <xdr:row>280</xdr:row>
      <xdr:rowOff>95247</xdr:rowOff>
    </xdr:from>
    <xdr:to>
      <xdr:col>6</xdr:col>
      <xdr:colOff>599905</xdr:colOff>
      <xdr:row>282</xdr:row>
      <xdr:rowOff>152572</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00000000-0008-0000-0200-000010000000}"/>
                </a:ext>
              </a:extLst>
            </xdr:cNvPr>
            <xdr:cNvSpPr txBox="1"/>
          </xdr:nvSpPr>
          <xdr:spPr>
            <a:xfrm>
              <a:off x="2792085" y="54319711"/>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6" name="TextBox 15"/>
            <xdr:cNvSpPr txBox="1"/>
          </xdr:nvSpPr>
          <xdr:spPr>
            <a:xfrm>
              <a:off x="2926524" y="2271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751014</xdr:colOff>
      <xdr:row>299</xdr:row>
      <xdr:rowOff>95247</xdr:rowOff>
    </xdr:from>
    <xdr:to>
      <xdr:col>6</xdr:col>
      <xdr:colOff>599905</xdr:colOff>
      <xdr:row>301</xdr:row>
      <xdr:rowOff>152572</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00000000-0008-0000-0200-000011000000}"/>
                </a:ext>
              </a:extLst>
            </xdr:cNvPr>
            <xdr:cNvSpPr txBox="1"/>
          </xdr:nvSpPr>
          <xdr:spPr>
            <a:xfrm>
              <a:off x="2792085" y="57680676"/>
              <a:ext cx="7754641"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7" name="TextBox 16"/>
            <xdr:cNvSpPr txBox="1"/>
          </xdr:nvSpPr>
          <xdr:spPr>
            <a:xfrm>
              <a:off x="2926524" y="24622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761999</xdr:colOff>
      <xdr:row>296</xdr:row>
      <xdr:rowOff>169002</xdr:rowOff>
    </xdr:from>
    <xdr:to>
      <xdr:col>4</xdr:col>
      <xdr:colOff>3637222</xdr:colOff>
      <xdr:row>298</xdr:row>
      <xdr:rowOff>19867</xdr:rowOff>
    </xdr:to>
    <xdr:pic>
      <xdr:nvPicPr>
        <xdr:cNvPr id="18" name="Picture 17">
          <a:extLst>
            <a:ext uri="{FF2B5EF4-FFF2-40B4-BE49-F238E27FC236}">
              <a16:creationId xmlns:a16="http://schemas.microsoft.com/office/drawing/2014/main" id="{00000000-0008-0000-0200-00001200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803070" y="57223752"/>
          <a:ext cx="4562509" cy="2046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4507774</xdr:colOff>
      <xdr:row>296</xdr:row>
      <xdr:rowOff>9524</xdr:rowOff>
    </xdr:from>
    <xdr:to>
      <xdr:col>15</xdr:col>
      <xdr:colOff>135538</xdr:colOff>
      <xdr:row>298</xdr:row>
      <xdr:rowOff>87969</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200-000013000000}"/>
                </a:ext>
              </a:extLst>
            </xdr:cNvPr>
            <xdr:cNvSpPr txBox="1"/>
          </xdr:nvSpPr>
          <xdr:spPr>
            <a:xfrm>
              <a:off x="8236131" y="57064274"/>
              <a:ext cx="13249014" cy="4322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𝐼𝑑𝑙𝑒𝐸𝑛𝑒𝑟𝑔𝑦</m:t>
                    </m:r>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1−</m:t>
                            </m:r>
                            <m:r>
                              <a:rPr lang="en-US" sz="1100" b="0" i="1">
                                <a:latin typeface="Cambria Math" panose="02040503050406030204" pitchFamily="18" charset="0"/>
                                <a:ea typeface="Cambria Math" panose="02040503050406030204" pitchFamily="18" charset="0"/>
                              </a:rPr>
                              <m:t>𝑆𝑡𝑒𝑎𝑚𝑀𝑜𝑑𝑒</m:t>
                            </m:r>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𝐼𝑑𝑙𝑒𝑅𝑎𝑡𝑒</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𝑆𝑡𝑒𝑎𝑚𝑀𝑜𝑑𝑒</m:t>
                            </m:r>
                            <m:r>
                              <a:rPr lang="en-US" sz="1100" b="0" i="1">
                                <a:latin typeface="Cambria Math" panose="02040503050406030204" pitchFamily="18" charset="0"/>
                                <a:ea typeface="Cambria Math" panose="02040503050406030204" pitchFamily="18" charset="0"/>
                              </a:rPr>
                              <m:t>∗</m:t>
                            </m:r>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𝑃𝑟𝑜𝑑𝑢𝑐𝑡𝑖𝑜𝑛</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𝑃𝑎𝑛𝑠</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𝐸𝐹𝑂𝑂𝐷</m:t>
                                </m:r>
                              </m:num>
                              <m:den>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𝐸𝑓𝑓</m:t>
                                    </m:r>
                                  </m:e>
                                  <m:sub>
                                    <m:r>
                                      <a:rPr lang="en-US" sz="1100" b="0" i="1">
                                        <a:latin typeface="Cambria Math" panose="02040503050406030204" pitchFamily="18" charset="0"/>
                                        <a:ea typeface="Cambria Math" panose="02040503050406030204" pitchFamily="18" charset="0"/>
                                      </a:rPr>
                                      <m:t>𝐵𝑎𝑠𝑒</m:t>
                                    </m:r>
                                  </m:sub>
                                </m:sSub>
                              </m:den>
                            </m:f>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𝐻𝑜𝑢𝑟𝑠</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𝐹𝑜𝑜𝑑𝐶𝑜𝑜𝑘𝑒𝑑</m:t>
                                </m:r>
                              </m:num>
                              <m:den>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𝑃𝑟𝑜𝑑𝑢𝑐𝑡𝑖𝑜𝑛</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𝑃𝑎𝑛𝑠</m:t>
                                </m:r>
                              </m:den>
                            </m:f>
                          </m:e>
                        </m:d>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1−</m:t>
                            </m:r>
                            <m:r>
                              <a:rPr lang="en-US" sz="1100" b="0" i="1">
                                <a:solidFill>
                                  <a:schemeClr val="tx1"/>
                                </a:solidFill>
                                <a:effectLst/>
                                <a:latin typeface="Cambria Math" panose="02040503050406030204" pitchFamily="18" charset="0"/>
                                <a:ea typeface="+mn-ea"/>
                                <a:cs typeface="+mn-cs"/>
                              </a:rPr>
                              <m:t>𝑆𝑡𝑒𝑎𝑚𝑀𝑜𝑑𝑒</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𝐼𝑑𝑙𝑒𝑅𝑎𝑡𝑒</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𝑆𝑡𝑒𝑎𝑚𝑀𝑜𝑑𝑒</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𝑃𝑟𝑜𝑑𝑢𝑐𝑡𝑖𝑜𝑛</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𝑃𝑎𝑛𝑠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𝐸𝑆𝑇𝐴𝑅</m:t>
                                    </m:r>
                                  </m:sub>
                                </m:sSub>
                              </m:den>
                            </m:f>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𝐹𝑜𝑜𝑑𝐶𝑜𝑜𝑘𝑒𝑑</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𝑃𝑟𝑜𝑑𝑢𝑐𝑡𝑖𝑜𝑛</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𝑃𝑎𝑛𝑠</m:t>
                                </m:r>
                              </m:den>
                            </m:f>
                          </m:e>
                        </m:d>
                      </m:e>
                    </m:d>
                  </m:oMath>
                </m:oMathPara>
              </a14:m>
              <a:endParaRPr lang="en-US" sz="1100"/>
            </a:p>
          </xdr:txBody>
        </xdr:sp>
      </mc:Choice>
      <mc:Fallback xmlns="">
        <xdr:sp macro="" textlink="">
          <xdr:nvSpPr>
            <xdr:cNvPr id="19" name="TextBox 18"/>
            <xdr:cNvSpPr txBox="1"/>
          </xdr:nvSpPr>
          <xdr:spPr>
            <a:xfrm>
              <a:off x="8152039" y="24622125"/>
              <a:ext cx="127499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𝐼𝑑𝑙𝑒𝐸𝑛𝑒𝑟𝑔𝑦=((1−𝑆𝑡𝑒𝑎𝑚𝑀𝑜𝑑𝑒)∗(〖𝐼𝑑𝑙𝑒𝑅𝑎𝑡𝑒〗_𝐵𝑎𝑠𝑒+𝑆𝑡𝑒𝑎𝑚𝑀𝑜𝑑𝑒∗〖𝑃𝑟𝑜𝑑𝑢𝑐𝑡𝑖𝑜𝑛〗_𝐵𝑎𝑠𝑒∗𝑃𝑎𝑛𝑠∗𝐸𝐹𝑂𝑂𝐷/〖𝐸𝑓𝑓〗_𝐵𝑎𝑠𝑒 )∗(𝐻𝑜𝑢𝑟𝑠−𝐹𝑜𝑜𝑑𝐶𝑜𝑜𝑘𝑒𝑑/(〖𝑃𝑟𝑜𝑑𝑢𝑐𝑡𝑖𝑜𝑛〗_𝐵𝑎𝑠𝑒∗𝑃𝑎𝑛𝑠)))−(</a:t>
              </a:r>
              <a:r>
                <a:rPr lang="en-US" sz="1100" b="0" i="0">
                  <a:solidFill>
                    <a:schemeClr val="tx1"/>
                  </a:solidFill>
                  <a:effectLst/>
                  <a:latin typeface="Cambria Math" panose="02040503050406030204" pitchFamily="18" charset="0"/>
                  <a:ea typeface="+mn-ea"/>
                  <a:cs typeface="+mn-cs"/>
                </a:rPr>
                <a:t>(1−𝑆𝑡𝑒𝑎𝑚𝑀𝑜𝑑𝑒)∗(〖𝐼𝑑𝑙𝑒𝑅𝑎𝑡𝑒〗_𝐸𝑆𝑇𝐴𝑅+𝑆𝑡𝑒𝑎𝑚𝑀𝑜𝑑𝑒∗〖𝑃𝑟𝑜𝑑𝑢𝑐𝑡𝑖𝑜𝑛〗_𝐸𝑆𝑇𝐴𝑅∗𝑃𝑎𝑛𝑠∗𝐸𝐹𝑂𝑂𝐷/〖𝐸𝑓𝑓〗_𝐸𝑆𝑇𝐴𝑅 )∗(𝐻𝑜𝑢𝑟𝑠−𝐹𝑜𝑜𝑑𝐶𝑜𝑜𝑘𝑒𝑑/(〖𝑃𝑟𝑜𝑑𝑢𝑐𝑡𝑖𝑜𝑛〗_𝐸𝑆𝑇𝐴𝑅∗𝑃𝑎𝑛𝑠)))</a:t>
              </a:r>
              <a:endParaRPr lang="en-US" sz="1100"/>
            </a:p>
          </xdr:txBody>
        </xdr:sp>
      </mc:Fallback>
    </mc:AlternateContent>
    <xdr:clientData/>
  </xdr:twoCellAnchor>
  <xdr:twoCellAnchor>
    <xdr:from>
      <xdr:col>4</xdr:col>
      <xdr:colOff>4505053</xdr:colOff>
      <xdr:row>299</xdr:row>
      <xdr:rowOff>9933</xdr:rowOff>
    </xdr:from>
    <xdr:to>
      <xdr:col>6</xdr:col>
      <xdr:colOff>743951</xdr:colOff>
      <xdr:row>301</xdr:row>
      <xdr:rowOff>21632</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200-000014000000}"/>
                </a:ext>
              </a:extLst>
            </xdr:cNvPr>
            <xdr:cNvSpPr txBox="1"/>
          </xdr:nvSpPr>
          <xdr:spPr>
            <a:xfrm>
              <a:off x="8233410" y="57595362"/>
              <a:ext cx="2457362" cy="3654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𝐶𝑜𝑜𝑘𝑖𝑛𝑔𝐸𝑛𝑒𝑟𝑔𝑦</m:t>
                    </m:r>
                    <m:r>
                      <a:rPr lang="en-US" sz="1100" b="0" i="1">
                        <a:latin typeface="Cambria Math" panose="02040503050406030204" pitchFamily="18" charset="0"/>
                        <a:ea typeface="Cambria Math" panose="02040503050406030204" pitchFamily="18" charset="0"/>
                      </a:rPr>
                      <m:t>=</m:t>
                    </m:r>
                    <m:d>
                      <m:dPr>
                        <m:ctrlPr>
                          <a:rPr lang="en-US" sz="1100" i="1">
                            <a:latin typeface="Cambria Math" panose="02040503050406030204" pitchFamily="18" charset="0"/>
                          </a:rPr>
                        </m:ctrlPr>
                      </m:dPr>
                      <m:e>
                        <m:r>
                          <a:rPr lang="en-US" sz="1100" b="0" i="1">
                            <a:latin typeface="Cambria Math" panose="02040503050406030204" pitchFamily="18" charset="0"/>
                          </a:rPr>
                          <m:t>𝐹𝑜𝑜𝑑𝐶𝑜𝑜𝑘𝑒𝑑</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𝐵𝑎𝑠𝑒</m:t>
                                </m:r>
                              </m:sub>
                            </m:sSub>
                          </m:den>
                        </m:f>
                      </m:e>
                    </m:d>
                    <m:r>
                      <a:rPr lang="en-US" sz="1100" b="0" i="1">
                        <a:latin typeface="Cambria Math" panose="02040503050406030204" pitchFamily="18" charset="0"/>
                      </a:rPr>
                      <m:t>−</m:t>
                    </m:r>
                    <m:d>
                      <m:dPr>
                        <m:ctrlPr>
                          <a:rPr lang="en-US" sz="1100" b="0" i="1">
                            <a:latin typeface="Cambria Math" panose="02040503050406030204" pitchFamily="18" charset="0"/>
                          </a:rPr>
                        </m:ctrlPr>
                      </m:dPr>
                      <m:e>
                        <m:r>
                          <a:rPr lang="en-US" sz="1100" b="0" i="1">
                            <a:latin typeface="Cambria Math" panose="02040503050406030204" pitchFamily="18" charset="0"/>
                          </a:rPr>
                          <m:t>𝐹𝑜𝑜𝑑𝐶𝑜𝑜𝑘𝑒𝑑</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𝐸𝑆𝑇𝐴𝑅</m:t>
                                </m:r>
                              </m:sub>
                            </m:sSub>
                          </m:den>
                        </m:f>
                      </m:e>
                    </m:d>
                  </m:oMath>
                </m:oMathPara>
              </a14:m>
              <a:endParaRPr lang="en-US" sz="1100"/>
            </a:p>
          </xdr:txBody>
        </xdr:sp>
      </mc:Choice>
      <mc:Fallback xmlns="">
        <xdr:sp macro="" textlink="">
          <xdr:nvSpPr>
            <xdr:cNvPr id="20" name="TextBox 19"/>
            <xdr:cNvSpPr txBox="1"/>
          </xdr:nvSpPr>
          <xdr:spPr>
            <a:xfrm>
              <a:off x="8149318" y="24622125"/>
              <a:ext cx="23672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𝐶𝑜𝑜𝑘𝑖𝑛𝑔𝐸𝑛𝑒𝑟𝑔𝑦=</a:t>
              </a:r>
              <a:r>
                <a:rPr lang="en-US" sz="1100" i="0">
                  <a:latin typeface="Cambria Math" panose="02040503050406030204" pitchFamily="18" charset="0"/>
                </a:rPr>
                <a:t>(</a:t>
              </a:r>
              <a:r>
                <a:rPr lang="en-US" sz="1100" b="0" i="0">
                  <a:latin typeface="Cambria Math" panose="02040503050406030204" pitchFamily="18" charset="0"/>
                </a:rPr>
                <a:t>𝐹𝑜𝑜𝑑𝐶𝑜𝑜𝑘𝑒𝑑∗𝐸𝐹𝑂𝑂𝐷/</a:t>
              </a:r>
              <a:r>
                <a:rPr lang="en-US" sz="1100" b="0" i="0">
                  <a:solidFill>
                    <a:schemeClr val="tx1"/>
                  </a:solidFill>
                  <a:effectLst/>
                  <a:latin typeface="Cambria Math" panose="02040503050406030204" pitchFamily="18" charset="0"/>
                  <a:ea typeface="+mn-ea"/>
                  <a:cs typeface="+mn-cs"/>
                </a:rPr>
                <a:t>〖𝐸𝑓𝑓〗_𝐵𝑎𝑠𝑒 )</a:t>
              </a:r>
              <a:r>
                <a:rPr lang="en-US" sz="1100" b="0" i="0">
                  <a:latin typeface="Cambria Math" panose="02040503050406030204" pitchFamily="18" charset="0"/>
                </a:rPr>
                <a:t>−(𝐹𝑜𝑜𝑑𝐶𝑜𝑜𝑘𝑒𝑑∗𝐸𝐹𝑂𝑂𝐷/</a:t>
              </a:r>
              <a:r>
                <a:rPr lang="en-US" sz="1100" b="0" i="0">
                  <a:solidFill>
                    <a:schemeClr val="tx1"/>
                  </a:solidFill>
                  <a:effectLst/>
                  <a:latin typeface="Cambria Math" panose="02040503050406030204" pitchFamily="18" charset="0"/>
                  <a:ea typeface="+mn-ea"/>
                  <a:cs typeface="+mn-cs"/>
                </a:rPr>
                <a:t>〖𝐸𝑓𝑓〗_𝐸𝑆𝑇𝐴𝑅 )</a:t>
              </a:r>
              <a:endParaRPr lang="en-US" sz="1100"/>
            </a:p>
          </xdr:txBody>
        </xdr:sp>
      </mc:Fallback>
    </mc:AlternateContent>
    <xdr:clientData/>
  </xdr:twoCellAnchor>
  <xdr:twoCellAnchor>
    <xdr:from>
      <xdr:col>3</xdr:col>
      <xdr:colOff>751014</xdr:colOff>
      <xdr:row>320</xdr:row>
      <xdr:rowOff>95247</xdr:rowOff>
    </xdr:from>
    <xdr:to>
      <xdr:col>6</xdr:col>
      <xdr:colOff>599905</xdr:colOff>
      <xdr:row>322</xdr:row>
      <xdr:rowOff>152572</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00000000-0008-0000-0200-000015000000}"/>
                </a:ext>
              </a:extLst>
            </xdr:cNvPr>
            <xdr:cNvSpPr txBox="1"/>
          </xdr:nvSpPr>
          <xdr:spPr>
            <a:xfrm>
              <a:off x="2792085" y="61776426"/>
              <a:ext cx="7754641"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1" name="TextBox 20"/>
            <xdr:cNvSpPr txBox="1"/>
          </xdr:nvSpPr>
          <xdr:spPr>
            <a:xfrm>
              <a:off x="2926524" y="26336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762000</xdr:colOff>
      <xdr:row>318</xdr:row>
      <xdr:rowOff>21227</xdr:rowOff>
    </xdr:from>
    <xdr:to>
      <xdr:col>4</xdr:col>
      <xdr:colOff>4439769</xdr:colOff>
      <xdr:row>319</xdr:row>
      <xdr:rowOff>60688</xdr:rowOff>
    </xdr:to>
    <xdr:pic>
      <xdr:nvPicPr>
        <xdr:cNvPr id="22" name="Picture 21">
          <a:extLst>
            <a:ext uri="{FF2B5EF4-FFF2-40B4-BE49-F238E27FC236}">
              <a16:creationId xmlns:a16="http://schemas.microsoft.com/office/drawing/2014/main" id="{00000000-0008-0000-0200-000016000000}"/>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803071" y="61348620"/>
          <a:ext cx="5365055" cy="2163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115289</xdr:colOff>
      <xdr:row>338</xdr:row>
      <xdr:rowOff>126271</xdr:rowOff>
    </xdr:from>
    <xdr:to>
      <xdr:col>5</xdr:col>
      <xdr:colOff>1345577</xdr:colOff>
      <xdr:row>341</xdr:row>
      <xdr:rowOff>16500</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00000000-0008-0000-0200-000017000000}"/>
                </a:ext>
              </a:extLst>
            </xdr:cNvPr>
            <xdr:cNvSpPr txBox="1"/>
          </xdr:nvSpPr>
          <xdr:spPr>
            <a:xfrm>
              <a:off x="2156360" y="65399735"/>
              <a:ext cx="7788931" cy="4209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3" name="TextBox 22"/>
            <xdr:cNvSpPr txBox="1"/>
          </xdr:nvSpPr>
          <xdr:spPr>
            <a:xfrm>
              <a:off x="2286989" y="27670125"/>
              <a:ext cx="748249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751014</xdr:colOff>
      <xdr:row>355</xdr:row>
      <xdr:rowOff>95247</xdr:rowOff>
    </xdr:from>
    <xdr:to>
      <xdr:col>6</xdr:col>
      <xdr:colOff>599905</xdr:colOff>
      <xdr:row>357</xdr:row>
      <xdr:rowOff>152572</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0000000-0008-0000-0200-000018000000}"/>
                </a:ext>
              </a:extLst>
            </xdr:cNvPr>
            <xdr:cNvSpPr txBox="1"/>
          </xdr:nvSpPr>
          <xdr:spPr>
            <a:xfrm>
              <a:off x="2792085" y="68566390"/>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4" name="TextBox 23"/>
            <xdr:cNvSpPr txBox="1"/>
          </xdr:nvSpPr>
          <xdr:spPr>
            <a:xfrm>
              <a:off x="2926524" y="28813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707026</xdr:colOff>
      <xdr:row>352</xdr:row>
      <xdr:rowOff>144507</xdr:rowOff>
    </xdr:from>
    <xdr:to>
      <xdr:col>6</xdr:col>
      <xdr:colOff>783499</xdr:colOff>
      <xdr:row>355</xdr:row>
      <xdr:rowOff>47443</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00000000-0008-0000-0200-000019000000}"/>
                </a:ext>
              </a:extLst>
            </xdr:cNvPr>
            <xdr:cNvSpPr txBox="1"/>
          </xdr:nvSpPr>
          <xdr:spPr>
            <a:xfrm>
              <a:off x="2748097" y="68084971"/>
              <a:ext cx="7982223" cy="4336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𝐵𝐻𝑃</m:t>
                        </m:r>
                      </m:num>
                      <m:den>
                        <m:r>
                          <a:rPr lang="en-US" sz="1400" b="0" i="1">
                            <a:latin typeface="Cambria Math" panose="02040503050406030204" pitchFamily="18" charset="0"/>
                            <a:ea typeface="Cambria Math" panose="02040503050406030204" pitchFamily="18" charset="0"/>
                          </a:rPr>
                          <m:t>𝐸𝐸𝐹𝑖</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𝐸𝑆𝐹</m:t>
                    </m:r>
                  </m:oMath>
                </m:oMathPara>
              </a14:m>
              <a:endParaRPr lang="en-US" sz="1400"/>
            </a:p>
          </xdr:txBody>
        </xdr:sp>
      </mc:Choice>
      <mc:Fallback xmlns="">
        <xdr:sp macro="" textlink="">
          <xdr:nvSpPr>
            <xdr:cNvPr id="25" name="TextBox 24"/>
            <xdr:cNvSpPr txBox="1"/>
          </xdr:nvSpPr>
          <xdr:spPr>
            <a:xfrm>
              <a:off x="2871106" y="28813125"/>
              <a:ext cx="76907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𝑘𝑊ℎ=𝐵𝐻𝑃/𝐸𝐸𝐹𝑖∗𝐻𝑜𝑢𝑟𝑠∗𝐸𝑆𝐹</a:t>
              </a:r>
              <a:endParaRPr lang="en-US" sz="1400"/>
            </a:p>
          </xdr:txBody>
        </xdr:sp>
      </mc:Fallback>
    </mc:AlternateContent>
    <xdr:clientData/>
  </xdr:twoCellAnchor>
  <xdr:twoCellAnchor>
    <xdr:from>
      <xdr:col>3</xdr:col>
      <xdr:colOff>751014</xdr:colOff>
      <xdr:row>372</xdr:row>
      <xdr:rowOff>95248</xdr:rowOff>
    </xdr:from>
    <xdr:to>
      <xdr:col>6</xdr:col>
      <xdr:colOff>599905</xdr:colOff>
      <xdr:row>373</xdr:row>
      <xdr:rowOff>105048</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0000000-0008-0000-0200-00001A000000}"/>
                </a:ext>
              </a:extLst>
            </xdr:cNvPr>
            <xdr:cNvSpPr txBox="1"/>
          </xdr:nvSpPr>
          <xdr:spPr>
            <a:xfrm>
              <a:off x="2792085" y="71764069"/>
              <a:ext cx="7754641" cy="1866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6" name="TextBox 25"/>
            <xdr:cNvSpPr txBox="1"/>
          </xdr:nvSpPr>
          <xdr:spPr>
            <a:xfrm>
              <a:off x="2926524" y="29765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707026</xdr:colOff>
      <xdr:row>368</xdr:row>
      <xdr:rowOff>93890</xdr:rowOff>
    </xdr:from>
    <xdr:to>
      <xdr:col>11</xdr:col>
      <xdr:colOff>973999</xdr:colOff>
      <xdr:row>371</xdr:row>
      <xdr:rowOff>131498</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00000000-0008-0000-0200-00001B000000}"/>
                </a:ext>
              </a:extLst>
            </xdr:cNvPr>
            <xdr:cNvSpPr txBox="1"/>
          </xdr:nvSpPr>
          <xdr:spPr>
            <a:xfrm>
              <a:off x="2748097" y="71055140"/>
              <a:ext cx="15588616" cy="5682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i="1">
                        <a:latin typeface="Cambria Math" panose="02040503050406030204" pitchFamily="18" charset="0"/>
                        <a:ea typeface="Cambria Math" panose="02040503050406030204" pitchFamily="18" charset="0"/>
                      </a:rPr>
                      <m:t>∆</m:t>
                    </m:r>
                    <m:sSub>
                      <m:sSubPr>
                        <m:ctrlPr>
                          <a:rPr lang="en-US" sz="160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𝑡𝑜𝑡𝑎𝑙</m:t>
                        </m:r>
                      </m:sub>
                    </m:sSub>
                    <m:r>
                      <a:rPr lang="en-US" sz="1600" b="0" i="1">
                        <a:latin typeface="Cambria Math" panose="02040503050406030204" pitchFamily="18" charset="0"/>
                        <a:ea typeface="Cambria Math" panose="02040503050406030204" pitchFamily="18" charset="0"/>
                      </a:rPr>
                      <m:t>=</m:t>
                    </m:r>
                    <m:d>
                      <m:dPr>
                        <m:begChr m:val="["/>
                        <m:endChr m:val="]"/>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.746∗</m:t>
                            </m:r>
                            <m:r>
                              <a:rPr lang="en-US" sz="1600" b="0" i="1">
                                <a:latin typeface="Cambria Math" panose="02040503050406030204" pitchFamily="18" charset="0"/>
                                <a:ea typeface="Cambria Math" panose="02040503050406030204" pitchFamily="18" charset="0"/>
                              </a:rPr>
                              <m:t>𝐻𝑃</m:t>
                            </m:r>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r>
                                  <a:rPr lang="en-US" sz="1600" b="0" i="1">
                                    <a:latin typeface="Cambria Math" panose="02040503050406030204" pitchFamily="18" charset="0"/>
                                    <a:ea typeface="Cambria Math" panose="02040503050406030204" pitchFamily="18" charset="0"/>
                                  </a:rPr>
                                  <m:t>𝐿𝐹</m:t>
                                </m:r>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𝜂</m:t>
                                    </m:r>
                                  </m:e>
                                  <m:sub>
                                    <m:r>
                                      <a:rPr lang="en-US" sz="1600" b="0" i="1">
                                        <a:latin typeface="Cambria Math" panose="02040503050406030204" pitchFamily="18" charset="0"/>
                                        <a:ea typeface="Cambria Math" panose="02040503050406030204" pitchFamily="18" charset="0"/>
                                      </a:rPr>
                                      <m:t>𝑚𝑜𝑡𝑜𝑟</m:t>
                                    </m:r>
                                  </m:sub>
                                </m:sSub>
                              </m:den>
                            </m:f>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𝑅𝐻𝑅𝑆</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𝐶𝑜𝑛𝑡𝑟𝑜𝑙𝑇𝑦𝑝𝑒𝐹𝑎𝑐𝑡𝑜𝑟</m:t>
                            </m:r>
                          </m:e>
                          <m:sub>
                            <m:r>
                              <a:rPr lang="en-US" sz="1200" b="0" i="1">
                                <a:solidFill>
                                  <a:schemeClr val="tx1"/>
                                </a:solidFill>
                                <a:effectLst/>
                                <a:latin typeface="Cambria Math" panose="02040503050406030204" pitchFamily="18" charset="0"/>
                                <a:ea typeface="+mn-ea"/>
                                <a:cs typeface="+mn-cs"/>
                              </a:rPr>
                              <m:t>𝐵𝑎𝑠𝑒</m:t>
                            </m:r>
                          </m:sub>
                        </m:sSub>
                        <m:r>
                          <a:rPr lang="en-US" sz="1200" b="0" i="1">
                            <a:solidFill>
                              <a:schemeClr val="tx1"/>
                            </a:solidFill>
                            <a:effectLst/>
                            <a:latin typeface="Cambria Math" panose="02040503050406030204" pitchFamily="18" charset="0"/>
                            <a:ea typeface="+mn-ea"/>
                            <a:cs typeface="+mn-cs"/>
                          </a:rPr>
                          <m:t>)−(</m:t>
                        </m:r>
                        <m:d>
                          <m:dPr>
                            <m:ctrlPr>
                              <a:rPr lang="en-US" sz="1200" b="0" i="1">
                                <a:solidFill>
                                  <a:schemeClr val="tx1"/>
                                </a:solidFill>
                                <a:effectLst/>
                                <a:latin typeface="Cambria Math" panose="02040503050406030204" pitchFamily="18" charset="0"/>
                                <a:ea typeface="+mn-ea"/>
                                <a:cs typeface="+mn-cs"/>
                              </a:rPr>
                            </m:ctrlPr>
                          </m:dPr>
                          <m:e>
                            <m:r>
                              <a:rPr lang="en-US" sz="1200" b="0" i="1">
                                <a:solidFill>
                                  <a:schemeClr val="tx1"/>
                                </a:solidFill>
                                <a:effectLst/>
                                <a:latin typeface="Cambria Math" panose="02040503050406030204" pitchFamily="18" charset="0"/>
                                <a:ea typeface="+mn-ea"/>
                                <a:cs typeface="+mn-cs"/>
                              </a:rPr>
                              <m:t>.746∗</m:t>
                            </m:r>
                            <m:r>
                              <a:rPr lang="en-US" sz="1200" b="0" i="1">
                                <a:solidFill>
                                  <a:schemeClr val="tx1"/>
                                </a:solidFill>
                                <a:effectLst/>
                                <a:latin typeface="Cambria Math" panose="02040503050406030204" pitchFamily="18" charset="0"/>
                                <a:ea typeface="+mn-ea"/>
                                <a:cs typeface="+mn-cs"/>
                              </a:rPr>
                              <m:t>𝐻𝑃</m:t>
                            </m:r>
                            <m:r>
                              <a:rPr lang="en-US" sz="1200" b="0" i="1">
                                <a:solidFill>
                                  <a:schemeClr val="tx1"/>
                                </a:solidFill>
                                <a:effectLst/>
                                <a:latin typeface="Cambria Math" panose="02040503050406030204" pitchFamily="18" charset="0"/>
                                <a:ea typeface="+mn-ea"/>
                                <a:cs typeface="+mn-cs"/>
                              </a:rPr>
                              <m:t>∗</m:t>
                            </m:r>
                            <m:f>
                              <m:fPr>
                                <m:ctrlPr>
                                  <a:rPr lang="en-US" sz="1200" b="0" i="1">
                                    <a:solidFill>
                                      <a:schemeClr val="tx1"/>
                                    </a:solidFill>
                                    <a:effectLst/>
                                    <a:latin typeface="Cambria Math" panose="02040503050406030204" pitchFamily="18" charset="0"/>
                                    <a:ea typeface="+mn-ea"/>
                                    <a:cs typeface="+mn-cs"/>
                                  </a:rPr>
                                </m:ctrlPr>
                              </m:fPr>
                              <m:num>
                                <m:r>
                                  <a:rPr lang="en-US" sz="1200" b="0" i="1">
                                    <a:solidFill>
                                      <a:schemeClr val="tx1"/>
                                    </a:solidFill>
                                    <a:effectLst/>
                                    <a:latin typeface="Cambria Math" panose="02040503050406030204" pitchFamily="18" charset="0"/>
                                    <a:ea typeface="+mn-ea"/>
                                    <a:cs typeface="+mn-cs"/>
                                  </a:rPr>
                                  <m:t>𝐿𝐹</m:t>
                                </m:r>
                              </m:num>
                              <m:den>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𝜂</m:t>
                                    </m:r>
                                  </m:e>
                                  <m:sub>
                                    <m:r>
                                      <a:rPr lang="en-US" sz="1200" b="0" i="1">
                                        <a:solidFill>
                                          <a:schemeClr val="tx1"/>
                                        </a:solidFill>
                                        <a:effectLst/>
                                        <a:latin typeface="Cambria Math" panose="02040503050406030204" pitchFamily="18" charset="0"/>
                                        <a:ea typeface="+mn-ea"/>
                                        <a:cs typeface="+mn-cs"/>
                                      </a:rPr>
                                      <m:t>𝑚𝑜𝑡𝑜𝑟</m:t>
                                    </m:r>
                                  </m:sub>
                                </m:sSub>
                              </m:den>
                            </m:f>
                          </m:e>
                        </m:d>
                        <m:r>
                          <a:rPr lang="en-US" sz="1200" b="0" i="1">
                            <a:solidFill>
                              <a:schemeClr val="tx1"/>
                            </a:solidFill>
                            <a:effectLst/>
                            <a:latin typeface="Cambria Math" panose="02040503050406030204" pitchFamily="18" charset="0"/>
                            <a:ea typeface="+mn-ea"/>
                            <a:cs typeface="+mn-cs"/>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𝑅𝐻𝑅𝑆</m:t>
                            </m:r>
                          </m:e>
                          <m:sub>
                            <m:r>
                              <a:rPr lang="en-US" sz="1200" b="0" i="1">
                                <a:solidFill>
                                  <a:schemeClr val="tx1"/>
                                </a:solidFill>
                                <a:effectLst/>
                                <a:latin typeface="Cambria Math" panose="02040503050406030204" pitchFamily="18" charset="0"/>
                                <a:ea typeface="+mn-ea"/>
                                <a:cs typeface="+mn-cs"/>
                              </a:rPr>
                              <m:t>𝑏𝑎𝑠𝑒</m:t>
                            </m:r>
                          </m:sub>
                        </m:sSub>
                        <m:r>
                          <a:rPr lang="en-US" sz="1200" b="0" i="1">
                            <a:solidFill>
                              <a:schemeClr val="tx1"/>
                            </a:solidFill>
                            <a:effectLst/>
                            <a:latin typeface="Cambria Math" panose="02040503050406030204" pitchFamily="18" charset="0"/>
                            <a:ea typeface="+mn-ea"/>
                            <a:cs typeface="+mn-cs"/>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𝐶𝑜𝑛𝑡𝑟𝑜𝑙𝑇𝑦𝑝𝑒𝐹𝑎𝑐𝑡𝑜𝑟</m:t>
                            </m:r>
                          </m:e>
                          <m:sub>
                            <m:r>
                              <a:rPr lang="en-US" sz="1200" b="0" i="1">
                                <a:solidFill>
                                  <a:schemeClr val="tx1"/>
                                </a:solidFill>
                                <a:effectLst/>
                                <a:latin typeface="Cambria Math" panose="02040503050406030204" pitchFamily="18" charset="0"/>
                                <a:ea typeface="+mn-ea"/>
                                <a:cs typeface="+mn-cs"/>
                              </a:rPr>
                              <m:t>𝐸𝑓𝑓</m:t>
                            </m:r>
                          </m:sub>
                        </m:sSub>
                        <m:r>
                          <a:rPr lang="en-US" sz="1200" b="0" i="1">
                            <a:solidFill>
                              <a:schemeClr val="tx1"/>
                            </a:solidFill>
                            <a:effectLst/>
                            <a:latin typeface="Cambria Math" panose="02040503050406030204" pitchFamily="18" charset="0"/>
                            <a:ea typeface="+mn-ea"/>
                            <a:cs typeface="+mn-cs"/>
                          </a:rPr>
                          <m:t>)</m:t>
                        </m:r>
                      </m:e>
                    </m:d>
                    <m:r>
                      <a:rPr lang="en-US" sz="1600" b="0" i="1">
                        <a:latin typeface="Cambria Math" panose="02040503050406030204" pitchFamily="18" charset="0"/>
                        <a:ea typeface="Cambria Math" panose="02040503050406030204" pitchFamily="18" charset="0"/>
                      </a:rPr>
                      <m:t>∗(1+</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𝐼𝐸</m:t>
                        </m:r>
                      </m:e>
                      <m:sub>
                        <m:r>
                          <a:rPr lang="en-US" sz="1600" b="0" i="1">
                            <a:latin typeface="Cambria Math" panose="02040503050406030204" pitchFamily="18" charset="0"/>
                            <a:ea typeface="Cambria Math" panose="02040503050406030204" pitchFamily="18" charset="0"/>
                          </a:rPr>
                          <m:t>𝑒𝑛𝑒𝑟𝑔𝑦</m:t>
                        </m:r>
                      </m:sub>
                    </m:sSub>
                    <m:r>
                      <a:rPr lang="en-US" sz="1600" b="0" i="1">
                        <a:latin typeface="Cambria Math" panose="02040503050406030204" pitchFamily="18" charset="0"/>
                        <a:ea typeface="Cambria Math" panose="02040503050406030204" pitchFamily="18" charset="0"/>
                      </a:rPr>
                      <m:t>)</m:t>
                    </m:r>
                  </m:oMath>
                </m:oMathPara>
              </a14:m>
              <a:endParaRPr lang="en-US" sz="1050"/>
            </a:p>
          </xdr:txBody>
        </xdr:sp>
      </mc:Choice>
      <mc:Fallback xmlns="">
        <xdr:sp macro="" textlink="">
          <xdr:nvSpPr>
            <xdr:cNvPr id="27" name="TextBox 26"/>
            <xdr:cNvSpPr txBox="1"/>
          </xdr:nvSpPr>
          <xdr:spPr>
            <a:xfrm>
              <a:off x="2871106" y="29765625"/>
              <a:ext cx="147392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𝑘𝑊ℎ〗_𝑡𝑜𝑡𝑎𝑙=[((.746∗𝐻𝑃∗𝐿𝐹/𝜂_𝑚𝑜𝑡𝑜𝑟 )∗〖𝑅𝐻𝑅𝑆〗_𝐵𝑎𝑠𝑒∗</a:t>
              </a:r>
              <a:r>
                <a:rPr lang="en-US" sz="1200" b="0" i="0">
                  <a:solidFill>
                    <a:schemeClr val="tx1"/>
                  </a:solidFill>
                  <a:effectLst/>
                  <a:latin typeface="Cambria Math" panose="02040503050406030204" pitchFamily="18" charset="0"/>
                  <a:ea typeface="+mn-ea"/>
                  <a:cs typeface="+mn-cs"/>
                </a:rPr>
                <a:t>〖𝐶𝑜𝑛𝑡𝑟𝑜𝑙𝑇𝑦𝑝𝑒𝐹𝑎𝑐𝑡𝑜𝑟〗_𝐵𝑎𝑠𝑒)−((.746∗𝐻𝑃∗𝐿𝐹/𝜂_𝑚𝑜𝑡𝑜𝑟 )∗〖𝑅𝐻𝑅𝑆〗_𝑏𝑎𝑠𝑒∗〖𝐶𝑜𝑛𝑡𝑟𝑜𝑙𝑇𝑦𝑝𝑒𝐹𝑎𝑐𝑡𝑜𝑟〗_𝐸𝑓𝑓)]</a:t>
              </a:r>
              <a:r>
                <a:rPr lang="en-US" sz="1600" b="0" i="0">
                  <a:latin typeface="Cambria Math" panose="02040503050406030204" pitchFamily="18" charset="0"/>
                  <a:ea typeface="Cambria Math" panose="02040503050406030204" pitchFamily="18" charset="0"/>
                </a:rPr>
                <a:t>∗(1+〖𝐼𝐸〗_𝑒𝑛𝑒𝑟𝑔𝑦)</a:t>
              </a:r>
              <a:endParaRPr lang="en-US" sz="1050"/>
            </a:p>
          </xdr:txBody>
        </xdr:sp>
      </mc:Fallback>
    </mc:AlternateContent>
    <xdr:clientData/>
  </xdr:twoCellAnchor>
  <xdr:twoCellAnchor>
    <xdr:from>
      <xdr:col>3</xdr:col>
      <xdr:colOff>751014</xdr:colOff>
      <xdr:row>407</xdr:row>
      <xdr:rowOff>21224</xdr:rowOff>
    </xdr:from>
    <xdr:to>
      <xdr:col>6</xdr:col>
      <xdr:colOff>599905</xdr:colOff>
      <xdr:row>408</xdr:row>
      <xdr:rowOff>136071</xdr:rowOff>
    </xdr:to>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00000000-0008-0000-0200-00001C000000}"/>
                </a:ext>
              </a:extLst>
            </xdr:cNvPr>
            <xdr:cNvSpPr txBox="1"/>
          </xdr:nvSpPr>
          <xdr:spPr>
            <a:xfrm>
              <a:off x="2792085" y="78316724"/>
              <a:ext cx="7754641" cy="2917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8" name="TextBox 27"/>
            <xdr:cNvSpPr txBox="1"/>
          </xdr:nvSpPr>
          <xdr:spPr>
            <a:xfrm>
              <a:off x="2926524" y="31489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781049</xdr:colOff>
      <xdr:row>403</xdr:row>
      <xdr:rowOff>167912</xdr:rowOff>
    </xdr:from>
    <xdr:to>
      <xdr:col>4</xdr:col>
      <xdr:colOff>4112559</xdr:colOff>
      <xdr:row>406</xdr:row>
      <xdr:rowOff>123635</xdr:rowOff>
    </xdr:to>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00000000-0008-0000-0200-00001D000000}"/>
                </a:ext>
              </a:extLst>
            </xdr:cNvPr>
            <xdr:cNvSpPr txBox="1"/>
          </xdr:nvSpPr>
          <xdr:spPr>
            <a:xfrm>
              <a:off x="2822120" y="77755841"/>
              <a:ext cx="5018796" cy="4864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29" name="TextBox 28">
              <a:extLst>
                <a:ext uri="{FF2B5EF4-FFF2-40B4-BE49-F238E27FC236}">
                  <a16:creationId xmlns:a16="http://schemas.microsoft.com/office/drawing/2014/main" id="{00000000-0008-0000-0200-00001D000000}"/>
                </a:ext>
              </a:extLst>
            </xdr:cNvPr>
            <xdr:cNvSpPr txBox="1"/>
          </xdr:nvSpPr>
          <xdr:spPr>
            <a:xfrm>
              <a:off x="3257549" y="39855561"/>
              <a:ext cx="4810686"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𝑘𝑊ℎ=(𝑘𝐵𝑡𝑢/ℎ𝑟)∗[(1/〖𝑆𝐸𝐸𝑅〗_𝑏𝑎𝑠𝑒 )−(1/〖𝑆𝐸𝐸𝑅〗_𝑒𝑒 )]∗𝐸𝐹𝐿𝐻</a:t>
              </a:r>
              <a:endParaRPr lang="en-US" sz="1100"/>
            </a:p>
          </xdr:txBody>
        </xdr:sp>
      </mc:Fallback>
    </mc:AlternateContent>
    <xdr:clientData/>
  </xdr:twoCellAnchor>
  <xdr:twoCellAnchor>
    <xdr:from>
      <xdr:col>5</xdr:col>
      <xdr:colOff>105047</xdr:colOff>
      <xdr:row>404</xdr:row>
      <xdr:rowOff>0</xdr:rowOff>
    </xdr:from>
    <xdr:to>
      <xdr:col>8</xdr:col>
      <xdr:colOff>683559</xdr:colOff>
      <xdr:row>406</xdr:row>
      <xdr:rowOff>134793</xdr:rowOff>
    </xdr:to>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00000000-0008-0000-0200-00001E000000}"/>
                </a:ext>
              </a:extLst>
            </xdr:cNvPr>
            <xdr:cNvSpPr txBox="1"/>
          </xdr:nvSpPr>
          <xdr:spPr>
            <a:xfrm>
              <a:off x="8704761" y="77764821"/>
              <a:ext cx="5395441" cy="488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1</m:t>
                                </m:r>
                              </m:num>
                              <m:den>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𝐼𝐸𝐸𝑅</m:t>
                                    </m:r>
                                  </m:e>
                                  <m:sub>
                                    <m:r>
                                      <a:rPr lang="en-US" sz="1400" b="0" i="1">
                                        <a:solidFill>
                                          <a:sysClr val="windowText" lastClr="000000"/>
                                        </a:solidFill>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30" name="TextBox 29">
              <a:extLst>
                <a:ext uri="{FF2B5EF4-FFF2-40B4-BE49-F238E27FC236}">
                  <a16:creationId xmlns:a16="http://schemas.microsoft.com/office/drawing/2014/main" id="{00000000-0008-0000-0200-00001E000000}"/>
                </a:ext>
              </a:extLst>
            </xdr:cNvPr>
            <xdr:cNvSpPr txBox="1"/>
          </xdr:nvSpPr>
          <xdr:spPr>
            <a:xfrm>
              <a:off x="8883063" y="39870529"/>
              <a:ext cx="5236349"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a:t>
              </a:r>
              <a:r>
                <a:rPr lang="en-US" sz="1400" b="0" i="0">
                  <a:solidFill>
                    <a:sysClr val="windowText" lastClr="000000"/>
                  </a:solidFill>
                  <a:latin typeface="Cambria Math" panose="02040503050406030204" pitchFamily="18" charset="0"/>
                  <a:ea typeface="Cambria Math" panose="02040503050406030204" pitchFamily="18" charset="0"/>
                </a:rPr>
                <a:t>𝐼𝐸𝐸𝑅〗_</a:t>
              </a:r>
              <a:r>
                <a:rPr lang="en-US" sz="1400" b="0" i="0">
                  <a:latin typeface="Cambria Math" panose="02040503050406030204" pitchFamily="18" charset="0"/>
                  <a:ea typeface="Cambria Math" panose="02040503050406030204" pitchFamily="18" charset="0"/>
                </a:rPr>
                <a:t>𝑏𝑎𝑠𝑒 )−(</a:t>
              </a:r>
              <a:r>
                <a:rPr lang="en-US" sz="1400" b="0" i="0">
                  <a:solidFill>
                    <a:sysClr val="windowText" lastClr="000000"/>
                  </a:solidFill>
                  <a:latin typeface="Cambria Math" panose="02040503050406030204" pitchFamily="18" charset="0"/>
                  <a:ea typeface="Cambria Math" panose="02040503050406030204" pitchFamily="18" charset="0"/>
                </a:rPr>
                <a:t>1/〖𝐼𝐸𝐸𝑅〗_𝑒𝑒 )]</a:t>
              </a:r>
              <a:r>
                <a:rPr lang="en-US" sz="1400" b="0" i="0">
                  <a:latin typeface="Cambria Math" panose="02040503050406030204" pitchFamily="18" charset="0"/>
                  <a:ea typeface="Cambria Math" panose="02040503050406030204" pitchFamily="18" charset="0"/>
                </a:rPr>
                <a:t>∗𝐸𝐹𝐿𝐻</a:t>
              </a:r>
              <a:endParaRPr lang="en-US" sz="1100"/>
            </a:p>
          </xdr:txBody>
        </xdr:sp>
      </mc:Fallback>
    </mc:AlternateContent>
    <xdr:clientData/>
  </xdr:twoCellAnchor>
  <xdr:twoCellAnchor>
    <xdr:from>
      <xdr:col>3</xdr:col>
      <xdr:colOff>751014</xdr:colOff>
      <xdr:row>429</xdr:row>
      <xdr:rowOff>95247</xdr:rowOff>
    </xdr:from>
    <xdr:to>
      <xdr:col>6</xdr:col>
      <xdr:colOff>599905</xdr:colOff>
      <xdr:row>431</xdr:row>
      <xdr:rowOff>152572</xdr:rowOff>
    </xdr:to>
    <mc:AlternateContent xmlns:mc="http://schemas.openxmlformats.org/markup-compatibility/2006" xmlns:a14="http://schemas.microsoft.com/office/drawing/2010/main">
      <mc:Choice Requires="a14">
        <xdr:sp macro="" textlink="">
          <xdr:nvSpPr>
            <xdr:cNvPr id="31" name="TextBox 30">
              <a:extLst>
                <a:ext uri="{FF2B5EF4-FFF2-40B4-BE49-F238E27FC236}">
                  <a16:creationId xmlns:a16="http://schemas.microsoft.com/office/drawing/2014/main" id="{00000000-0008-0000-0200-00001F000000}"/>
                </a:ext>
              </a:extLst>
            </xdr:cNvPr>
            <xdr:cNvSpPr txBox="1"/>
          </xdr:nvSpPr>
          <xdr:spPr>
            <a:xfrm>
              <a:off x="2792085" y="82690604"/>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1" name="TextBox 30"/>
            <xdr:cNvSpPr txBox="1"/>
          </xdr:nvSpPr>
          <xdr:spPr>
            <a:xfrm>
              <a:off x="2926524" y="33394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4</xdr:col>
      <xdr:colOff>59499</xdr:colOff>
      <xdr:row>449</xdr:row>
      <xdr:rowOff>66673</xdr:rowOff>
    </xdr:from>
    <xdr:to>
      <xdr:col>7</xdr:col>
      <xdr:colOff>479890</xdr:colOff>
      <xdr:row>450</xdr:row>
      <xdr:rowOff>163831</xdr:rowOff>
    </xdr:to>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00000000-0008-0000-0200-000020000000}"/>
                </a:ext>
              </a:extLst>
            </xdr:cNvPr>
            <xdr:cNvSpPr txBox="1"/>
          </xdr:nvSpPr>
          <xdr:spPr>
            <a:xfrm>
              <a:off x="3783774" y="37518973"/>
              <a:ext cx="6773566" cy="2781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2" name="TextBox 31">
              <a:extLst>
                <a:ext uri="{FF2B5EF4-FFF2-40B4-BE49-F238E27FC236}">
                  <a16:creationId xmlns:a16="http://schemas.microsoft.com/office/drawing/2014/main" id="{00000000-0008-0000-0200-000020000000}"/>
                </a:ext>
              </a:extLst>
            </xdr:cNvPr>
            <xdr:cNvSpPr txBox="1"/>
          </xdr:nvSpPr>
          <xdr:spPr>
            <a:xfrm>
              <a:off x="3783774" y="37518973"/>
              <a:ext cx="6773566" cy="2781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5</xdr:col>
      <xdr:colOff>136071</xdr:colOff>
      <xdr:row>426</xdr:row>
      <xdr:rowOff>21499</xdr:rowOff>
    </xdr:from>
    <xdr:to>
      <xdr:col>8</xdr:col>
      <xdr:colOff>859267</xdr:colOff>
      <xdr:row>428</xdr:row>
      <xdr:rowOff>167722</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00000000-0008-0000-0200-000021000000}"/>
                </a:ext>
              </a:extLst>
            </xdr:cNvPr>
            <xdr:cNvSpPr txBox="1"/>
          </xdr:nvSpPr>
          <xdr:spPr>
            <a:xfrm>
              <a:off x="8735785" y="82086178"/>
              <a:ext cx="5540125" cy="5000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3" name="TextBox 32">
              <a:extLst>
                <a:ext uri="{FF2B5EF4-FFF2-40B4-BE49-F238E27FC236}">
                  <a16:creationId xmlns:a16="http://schemas.microsoft.com/office/drawing/2014/main" id="{00000000-0008-0000-0200-000021000000}"/>
                </a:ext>
              </a:extLst>
            </xdr:cNvPr>
            <xdr:cNvSpPr txBox="1"/>
          </xdr:nvSpPr>
          <xdr:spPr>
            <a:xfrm>
              <a:off x="8910277" y="50184743"/>
              <a:ext cx="5377223"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)∗[(1/〖𝑆𝐸𝐸𝑅〗_𝑏𝑎𝑠𝑒 )−(1/〖𝑆𝐸𝐸𝑅〗_𝑒𝑒 )]∗〖𝐸𝐹𝐿𝐻〗_𝑐𝑜𝑜𝑙</a:t>
              </a:r>
              <a:endParaRPr lang="en-US" sz="1100"/>
            </a:p>
          </xdr:txBody>
        </xdr:sp>
      </mc:Fallback>
    </mc:AlternateContent>
    <xdr:clientData/>
  </xdr:twoCellAnchor>
  <xdr:twoCellAnchor>
    <xdr:from>
      <xdr:col>5</xdr:col>
      <xdr:colOff>105046</xdr:colOff>
      <xdr:row>428</xdr:row>
      <xdr:rowOff>169273</xdr:rowOff>
    </xdr:from>
    <xdr:to>
      <xdr:col>8</xdr:col>
      <xdr:colOff>855232</xdr:colOff>
      <xdr:row>431</xdr:row>
      <xdr:rowOff>97056</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00000000-0008-0000-0200-000022000000}"/>
                </a:ext>
              </a:extLst>
            </xdr:cNvPr>
            <xdr:cNvSpPr txBox="1"/>
          </xdr:nvSpPr>
          <xdr:spPr>
            <a:xfrm>
              <a:off x="8704760" y="82587737"/>
              <a:ext cx="5567115" cy="4584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4" name="TextBox 33">
              <a:extLst>
                <a:ext uri="{FF2B5EF4-FFF2-40B4-BE49-F238E27FC236}">
                  <a16:creationId xmlns:a16="http://schemas.microsoft.com/office/drawing/2014/main" id="{00000000-0008-0000-0200-000022000000}"/>
                </a:ext>
              </a:extLst>
            </xdr:cNvPr>
            <xdr:cNvSpPr txBox="1"/>
          </xdr:nvSpPr>
          <xdr:spPr>
            <a:xfrm>
              <a:off x="8883062" y="50715422"/>
              <a:ext cx="5415643"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)∗[(1/〖𝐻𝑆𝑃𝐹〗_𝑏𝑎𝑠𝑒 )−(1/〖𝐻𝑆𝑃𝐹〗_𝑒𝑒 )]∗〖𝐸𝐹𝐿𝐻〗_ℎ𝑒𝑎𝑡</a:t>
              </a:r>
              <a:endParaRPr lang="en-US" sz="1100"/>
            </a:p>
          </xdr:txBody>
        </xdr:sp>
      </mc:Fallback>
    </mc:AlternateContent>
    <xdr:clientData/>
  </xdr:twoCellAnchor>
  <xdr:twoCellAnchor>
    <xdr:from>
      <xdr:col>3</xdr:col>
      <xdr:colOff>726621</xdr:colOff>
      <xdr:row>427</xdr:row>
      <xdr:rowOff>9253</xdr:rowOff>
    </xdr:from>
    <xdr:to>
      <xdr:col>4</xdr:col>
      <xdr:colOff>1847143</xdr:colOff>
      <xdr:row>428</xdr:row>
      <xdr:rowOff>60141</xdr:rowOff>
    </xdr:to>
    <mc:AlternateContent xmlns:mc="http://schemas.openxmlformats.org/markup-compatibility/2006" xmlns:a14="http://schemas.microsoft.com/office/drawing/2010/main">
      <mc:Choice Requires="a14">
        <xdr:sp macro="" textlink="">
          <xdr:nvSpPr>
            <xdr:cNvPr id="35" name="TextBox 34">
              <a:extLst>
                <a:ext uri="{FF2B5EF4-FFF2-40B4-BE49-F238E27FC236}">
                  <a16:creationId xmlns:a16="http://schemas.microsoft.com/office/drawing/2014/main" id="{00000000-0008-0000-0200-000023000000}"/>
                </a:ext>
              </a:extLst>
            </xdr:cNvPr>
            <xdr:cNvSpPr txBox="1"/>
          </xdr:nvSpPr>
          <xdr:spPr>
            <a:xfrm>
              <a:off x="2767692" y="82250824"/>
              <a:ext cx="2807808" cy="2277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5" name="TextBox 34"/>
            <xdr:cNvSpPr txBox="1"/>
          </xdr:nvSpPr>
          <xdr:spPr>
            <a:xfrm>
              <a:off x="2898321" y="33394650"/>
              <a:ext cx="259689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𝑘𝑊ℎ=〖∆𝑘𝑊ℎ〗_𝑐𝑜𝑜𝑙+〖∆𝑘𝑊ℎ〗_ℎ𝑒𝑎𝑡</a:t>
              </a:r>
              <a:endParaRPr lang="en-US" sz="1100"/>
            </a:p>
          </xdr:txBody>
        </xdr:sp>
      </mc:Fallback>
    </mc:AlternateContent>
    <xdr:clientData/>
  </xdr:twoCellAnchor>
  <xdr:twoCellAnchor>
    <xdr:from>
      <xdr:col>9</xdr:col>
      <xdr:colOff>152400</xdr:colOff>
      <xdr:row>426</xdr:row>
      <xdr:rowOff>16328</xdr:rowOff>
    </xdr:from>
    <xdr:to>
      <xdr:col>13</xdr:col>
      <xdr:colOff>664733</xdr:colOff>
      <xdr:row>428</xdr:row>
      <xdr:rowOff>151121</xdr:rowOff>
    </xdr:to>
    <mc:AlternateContent xmlns:mc="http://schemas.openxmlformats.org/markup-compatibility/2006" xmlns:a14="http://schemas.microsoft.com/office/drawing/2010/main">
      <mc:Choice Requires="a14">
        <xdr:sp macro="" textlink="">
          <xdr:nvSpPr>
            <xdr:cNvPr id="36" name="TextBox 35">
              <a:extLst>
                <a:ext uri="{FF2B5EF4-FFF2-40B4-BE49-F238E27FC236}">
                  <a16:creationId xmlns:a16="http://schemas.microsoft.com/office/drawing/2014/main" id="{00000000-0008-0000-0200-000024000000}"/>
                </a:ext>
              </a:extLst>
            </xdr:cNvPr>
            <xdr:cNvSpPr txBox="1"/>
          </xdr:nvSpPr>
          <xdr:spPr>
            <a:xfrm>
              <a:off x="14834507" y="82081007"/>
              <a:ext cx="5342869" cy="4885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6" name="TextBox 35">
              <a:extLst>
                <a:ext uri="{FF2B5EF4-FFF2-40B4-BE49-F238E27FC236}">
                  <a16:creationId xmlns:a16="http://schemas.microsoft.com/office/drawing/2014/main" id="{00000000-0008-0000-0200-000024000000}"/>
                </a:ext>
              </a:extLst>
            </xdr:cNvPr>
            <xdr:cNvSpPr txBox="1"/>
          </xdr:nvSpPr>
          <xdr:spPr>
            <a:xfrm>
              <a:off x="14820900" y="50173857"/>
              <a:ext cx="5226424"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)∗[(1/〖𝐸𝐸𝑅〗_𝑏𝑎𝑠𝑒 )−(1/〖𝐸𝐸𝑅〗_𝑒𝑒 )]∗〖𝐸𝐹𝐿𝐻〗_𝑐𝑜𝑜𝑙</a:t>
              </a:r>
              <a:endParaRPr lang="en-US" sz="1100"/>
            </a:p>
          </xdr:txBody>
        </xdr:sp>
      </mc:Fallback>
    </mc:AlternateContent>
    <xdr:clientData/>
  </xdr:twoCellAnchor>
  <xdr:twoCellAnchor>
    <xdr:from>
      <xdr:col>9</xdr:col>
      <xdr:colOff>136071</xdr:colOff>
      <xdr:row>428</xdr:row>
      <xdr:rowOff>149678</xdr:rowOff>
    </xdr:from>
    <xdr:to>
      <xdr:col>14</xdr:col>
      <xdr:colOff>56029</xdr:colOff>
      <xdr:row>431</xdr:row>
      <xdr:rowOff>54601</xdr:rowOff>
    </xdr:to>
    <mc:AlternateContent xmlns:mc="http://schemas.openxmlformats.org/markup-compatibility/2006" xmlns:a14="http://schemas.microsoft.com/office/drawing/2010/main">
      <mc:Choice Requires="a14">
        <xdr:sp macro="" textlink="">
          <xdr:nvSpPr>
            <xdr:cNvPr id="37" name="TextBox 36">
              <a:extLst>
                <a:ext uri="{FF2B5EF4-FFF2-40B4-BE49-F238E27FC236}">
                  <a16:creationId xmlns:a16="http://schemas.microsoft.com/office/drawing/2014/main" id="{00000000-0008-0000-0200-000025000000}"/>
                </a:ext>
              </a:extLst>
            </xdr:cNvPr>
            <xdr:cNvSpPr txBox="1"/>
          </xdr:nvSpPr>
          <xdr:spPr>
            <a:xfrm>
              <a:off x="14818178" y="82568142"/>
              <a:ext cx="5689387" cy="4356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/3.412∗</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7" name="TextBox 36">
              <a:extLst>
                <a:ext uri="{FF2B5EF4-FFF2-40B4-BE49-F238E27FC236}">
                  <a16:creationId xmlns:a16="http://schemas.microsoft.com/office/drawing/2014/main" id="{00000000-0008-0000-0200-000025000000}"/>
                </a:ext>
              </a:extLst>
            </xdr:cNvPr>
            <xdr:cNvSpPr txBox="1"/>
          </xdr:nvSpPr>
          <xdr:spPr>
            <a:xfrm>
              <a:off x="14804571" y="50688207"/>
              <a:ext cx="5545311"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)/3.412∗[(1/〖𝐶𝑂𝑃〗_𝑏𝑎𝑠𝑒 )−(1/〖𝐶𝑂𝑃〗_𝑒𝑒 )]∗〖𝐸𝐹𝐿𝐻〗_ℎ𝑒𝑎𝑡</a:t>
              </a:r>
              <a:endParaRPr lang="en-US" sz="1100"/>
            </a:p>
          </xdr:txBody>
        </xdr:sp>
      </mc:Fallback>
    </mc:AlternateContent>
    <xdr:clientData/>
  </xdr:twoCellAnchor>
  <xdr:twoCellAnchor>
    <xdr:from>
      <xdr:col>4</xdr:col>
      <xdr:colOff>77287</xdr:colOff>
      <xdr:row>446</xdr:row>
      <xdr:rowOff>127363</xdr:rowOff>
    </xdr:from>
    <xdr:to>
      <xdr:col>5</xdr:col>
      <xdr:colOff>6136</xdr:colOff>
      <xdr:row>447</xdr:row>
      <xdr:rowOff>179884</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00000000-0008-0000-0200-000026000000}"/>
                </a:ext>
              </a:extLst>
            </xdr:cNvPr>
            <xdr:cNvSpPr txBox="1"/>
          </xdr:nvSpPr>
          <xdr:spPr>
            <a:xfrm>
              <a:off x="3801562" y="37036738"/>
              <a:ext cx="3824574" cy="233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𝑇𝑂𝑁𝑆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𝑒𝑒</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400"/>
            </a:p>
          </xdr:txBody>
        </xdr:sp>
      </mc:Choice>
      <mc:Fallback xmlns="">
        <xdr:sp macro="" textlink="">
          <xdr:nvSpPr>
            <xdr:cNvPr id="38" name="TextBox 37">
              <a:extLst>
                <a:ext uri="{FF2B5EF4-FFF2-40B4-BE49-F238E27FC236}">
                  <a16:creationId xmlns:a16="http://schemas.microsoft.com/office/drawing/2014/main" id="{00000000-0008-0000-0200-000026000000}"/>
                </a:ext>
              </a:extLst>
            </xdr:cNvPr>
            <xdr:cNvSpPr txBox="1"/>
          </xdr:nvSpPr>
          <xdr:spPr>
            <a:xfrm>
              <a:off x="3801562" y="37036738"/>
              <a:ext cx="3824574" cy="233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𝑘𝑊ℎ=𝑇𝑂𝑁𝑆∗(〖𝐼𝑃𝐿𝑉〗_𝑏𝑎𝑠𝑒−〖𝐼𝑃𝐿𝑉〗_𝑒𝑒 )∗𝐸𝐹𝐿𝐻</a:t>
              </a:r>
              <a:endParaRPr lang="en-US" sz="1400"/>
            </a:p>
          </xdr:txBody>
        </xdr:sp>
      </mc:Fallback>
    </mc:AlternateContent>
    <xdr:clientData/>
  </xdr:twoCellAnchor>
  <xdr:twoCellAnchor>
    <xdr:from>
      <xdr:col>5</xdr:col>
      <xdr:colOff>9253</xdr:colOff>
      <xdr:row>247</xdr:row>
      <xdr:rowOff>92801</xdr:rowOff>
    </xdr:from>
    <xdr:to>
      <xdr:col>6</xdr:col>
      <xdr:colOff>1314673</xdr:colOff>
      <xdr:row>248</xdr:row>
      <xdr:rowOff>165415</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00000000-0008-0000-0200-000027000000}"/>
                </a:ext>
              </a:extLst>
            </xdr:cNvPr>
            <xdr:cNvSpPr txBox="1"/>
          </xdr:nvSpPr>
          <xdr:spPr>
            <a:xfrm>
              <a:off x="8608967" y="48289301"/>
              <a:ext cx="2652527" cy="2495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𝑄</m:t>
                        </m:r>
                      </m:e>
                      <m:sub>
                        <m:r>
                          <a:rPr lang="en-US" sz="1400" b="0" i="1">
                            <a:latin typeface="Cambria Math" panose="02040503050406030204" pitchFamily="18" charset="0"/>
                          </a:rPr>
                          <m:t>𝑃𝑜𝑜𝑙𝐻𝑒𝑎𝑡𝑖𝑛𝑔</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53.075∗</m:t>
                        </m:r>
                        <m:r>
                          <a:rPr lang="en-US" sz="1400" b="0" i="1">
                            <a:latin typeface="Cambria Math" panose="02040503050406030204" pitchFamily="18" charset="0"/>
                          </a:rPr>
                          <m:t>𝑆𝑄𝐹𝑇</m:t>
                        </m:r>
                      </m:e>
                    </m:d>
                    <m:r>
                      <a:rPr lang="en-US" sz="1400" b="0" i="1">
                        <a:latin typeface="Cambria Math" panose="02040503050406030204" pitchFamily="18" charset="0"/>
                      </a:rPr>
                      <m:t>+1631.1</m:t>
                    </m:r>
                  </m:oMath>
                </m:oMathPara>
              </a14:m>
              <a:endParaRPr lang="en-US" sz="1100"/>
            </a:p>
          </xdr:txBody>
        </xdr:sp>
      </mc:Choice>
      <mc:Fallback xmlns="">
        <xdr:sp macro="" textlink="">
          <xdr:nvSpPr>
            <xdr:cNvPr id="39" name="TextBox 38"/>
            <xdr:cNvSpPr txBox="1"/>
          </xdr:nvSpPr>
          <xdr:spPr>
            <a:xfrm>
              <a:off x="8473168" y="20431125"/>
              <a:ext cx="260653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𝑄_𝑃𝑜𝑜𝑙𝐻𝑒𝑎𝑡𝑖𝑛𝑔=[53.075∗𝑆𝑄𝐹𝑇]+1631.1</a:t>
              </a:r>
              <a:endParaRPr lang="en-US" sz="1100"/>
            </a:p>
          </xdr:txBody>
        </xdr:sp>
      </mc:Fallback>
    </mc:AlternateContent>
    <xdr:clientData/>
  </xdr:twoCellAnchor>
  <xdr:twoCellAnchor>
    <xdr:from>
      <xdr:col>7</xdr:col>
      <xdr:colOff>21227</xdr:colOff>
      <xdr:row>247</xdr:row>
      <xdr:rowOff>40822</xdr:rowOff>
    </xdr:from>
    <xdr:to>
      <xdr:col>9</xdr:col>
      <xdr:colOff>695766</xdr:colOff>
      <xdr:row>248</xdr:row>
      <xdr:rowOff>115341</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00000000-0008-0000-0200-000028000000}"/>
                </a:ext>
              </a:extLst>
            </xdr:cNvPr>
            <xdr:cNvSpPr txBox="1"/>
          </xdr:nvSpPr>
          <xdr:spPr>
            <a:xfrm>
              <a:off x="11968298" y="48237322"/>
              <a:ext cx="3409575" cy="2514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𝑄</m:t>
                        </m:r>
                      </m:e>
                      <m:sub>
                        <m:r>
                          <a:rPr lang="en-US" sz="1400" b="0" i="1">
                            <a:latin typeface="Cambria Math" panose="02040503050406030204" pitchFamily="18" charset="0"/>
                          </a:rPr>
                          <m:t>𝑃𝑜𝑜𝑙𝐻𝑒𝑎𝑡𝑖𝑛𝑔</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8.079∗</m:t>
                        </m:r>
                        <m:r>
                          <a:rPr lang="en-US" sz="1400" b="0" i="1">
                            <a:latin typeface="Cambria Math" panose="02040503050406030204" pitchFamily="18" charset="0"/>
                          </a:rPr>
                          <m:t>𝑆𝑄𝐹𝑇</m:t>
                        </m:r>
                      </m:e>
                    </m:d>
                    <m:r>
                      <a:rPr lang="en-US" sz="1400" b="0" i="1">
                        <a:latin typeface="Cambria Math" panose="02040503050406030204" pitchFamily="18" charset="0"/>
                      </a:rPr>
                      <m:t>+1295.4</m:t>
                    </m:r>
                  </m:oMath>
                </m:oMathPara>
              </a14:m>
              <a:endParaRPr lang="en-US" sz="1100"/>
            </a:p>
          </xdr:txBody>
        </xdr:sp>
      </mc:Choice>
      <mc:Fallback xmlns="">
        <xdr:sp macro="" textlink="">
          <xdr:nvSpPr>
            <xdr:cNvPr id="40" name="TextBox 39"/>
            <xdr:cNvSpPr txBox="1"/>
          </xdr:nvSpPr>
          <xdr:spPr>
            <a:xfrm>
              <a:off x="11729357" y="20431125"/>
              <a:ext cx="332629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𝑄_𝑃𝑜𝑜𝑙𝐻𝑒𝑎𝑡𝑖𝑛𝑔=[8.079∗𝑆𝑄𝐹𝑇]+1295.4</a:t>
              </a:r>
              <a:endParaRPr lang="en-US" sz="1100"/>
            </a:p>
          </xdr:txBody>
        </xdr:sp>
      </mc:Fallback>
    </mc:AlternateContent>
    <xdr:clientData/>
  </xdr:twoCellAnchor>
  <xdr:twoCellAnchor>
    <xdr:from>
      <xdr:col>3</xdr:col>
      <xdr:colOff>726621</xdr:colOff>
      <xdr:row>278</xdr:row>
      <xdr:rowOff>50074</xdr:rowOff>
    </xdr:from>
    <xdr:to>
      <xdr:col>4</xdr:col>
      <xdr:colOff>1316035</xdr:colOff>
      <xdr:row>279</xdr:row>
      <xdr:rowOff>102867</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00000000-0008-0000-0200-000029000000}"/>
                </a:ext>
              </a:extLst>
            </xdr:cNvPr>
            <xdr:cNvSpPr txBox="1"/>
          </xdr:nvSpPr>
          <xdr:spPr>
            <a:xfrm>
              <a:off x="2767692" y="53920753"/>
              <a:ext cx="2276700" cy="229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𝐻𝑃</m:t>
                    </m:r>
                    <m:r>
                      <a:rPr lang="en-US" sz="1400" b="0" i="1">
                        <a:latin typeface="Cambria Math" panose="02040503050406030204" pitchFamily="18" charset="0"/>
                        <a:ea typeface="Cambria Math" panose="02040503050406030204" pitchFamily="18" charset="0"/>
                      </a:rPr>
                      <m:t>∗.746</m:t>
                    </m:r>
                  </m:oMath>
                </m:oMathPara>
              </a14:m>
              <a:endParaRPr lang="en-US" sz="1100"/>
            </a:p>
          </xdr:txBody>
        </xdr:sp>
      </mc:Choice>
      <mc:Fallback xmlns="">
        <xdr:sp macro="" textlink="">
          <xdr:nvSpPr>
            <xdr:cNvPr id="41" name="TextBox 40"/>
            <xdr:cNvSpPr txBox="1"/>
          </xdr:nvSpPr>
          <xdr:spPr>
            <a:xfrm>
              <a:off x="2898321" y="22717125"/>
              <a:ext cx="206578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𝑘𝑊ℎ=𝐻𝑟𝑠∗𝐻𝑃∗.746</a:t>
              </a:r>
              <a:endParaRPr lang="en-US" sz="1100"/>
            </a:p>
          </xdr:txBody>
        </xdr:sp>
      </mc:Fallback>
    </mc:AlternateContent>
    <xdr:clientData/>
  </xdr:twoCellAnchor>
  <xdr:twoCellAnchor>
    <xdr:from>
      <xdr:col>5</xdr:col>
      <xdr:colOff>0</xdr:colOff>
      <xdr:row>376</xdr:row>
      <xdr:rowOff>0</xdr:rowOff>
    </xdr:from>
    <xdr:to>
      <xdr:col>5</xdr:col>
      <xdr:colOff>1343025</xdr:colOff>
      <xdr:row>377</xdr:row>
      <xdr:rowOff>0</xdr:rowOff>
    </xdr:to>
    <xdr:pic>
      <xdr:nvPicPr>
        <xdr:cNvPr id="42" name="Picture 41">
          <a:extLst>
            <a:ext uri="{FF2B5EF4-FFF2-40B4-BE49-F238E27FC236}">
              <a16:creationId xmlns:a16="http://schemas.microsoft.com/office/drawing/2014/main" id="{00000000-0008-0000-0200-00002A000000}"/>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599714" y="72390000"/>
          <a:ext cx="1343025" cy="1768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726621</xdr:colOff>
      <xdr:row>374</xdr:row>
      <xdr:rowOff>19050</xdr:rowOff>
    </xdr:from>
    <xdr:to>
      <xdr:col>9</xdr:col>
      <xdr:colOff>140363</xdr:colOff>
      <xdr:row>377</xdr:row>
      <xdr:rowOff>54610</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00000000-0008-0000-0200-00002B000000}"/>
                </a:ext>
              </a:extLst>
            </xdr:cNvPr>
            <xdr:cNvSpPr txBox="1"/>
          </xdr:nvSpPr>
          <xdr:spPr>
            <a:xfrm>
              <a:off x="10673442" y="72041657"/>
              <a:ext cx="4149028" cy="5798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3" name="TextBox 42"/>
            <xdr:cNvSpPr txBox="1"/>
          </xdr:nvSpPr>
          <xdr:spPr>
            <a:xfrm>
              <a:off x="10499271" y="29765625"/>
              <a:ext cx="40086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𝐶𝑜𝑛𝑡𝑟𝑜𝑙𝑇𝑦𝑝𝑒𝐹𝑎𝑐𝑡𝑜𝑟〗_𝐵𝑎𝑠𝑒=∑_(0%)^(100%)▒〖(%𝐹𝐹∗〖𝑃𝐿𝑅〗_𝐵𝑎𝑠𝑒)〗</a:t>
              </a:r>
              <a:endParaRPr lang="en-US" sz="1100"/>
            </a:p>
          </xdr:txBody>
        </xdr:sp>
      </mc:Fallback>
    </mc:AlternateContent>
    <xdr:clientData/>
  </xdr:twoCellAnchor>
  <xdr:twoCellAnchor>
    <xdr:from>
      <xdr:col>6</xdr:col>
      <xdr:colOff>742950</xdr:colOff>
      <xdr:row>378</xdr:row>
      <xdr:rowOff>97428</xdr:rowOff>
    </xdr:from>
    <xdr:to>
      <xdr:col>9</xdr:col>
      <xdr:colOff>341962</xdr:colOff>
      <xdr:row>381</xdr:row>
      <xdr:rowOff>135528</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00000000-0008-0000-0200-00002C000000}"/>
                </a:ext>
              </a:extLst>
            </xdr:cNvPr>
            <xdr:cNvSpPr txBox="1"/>
          </xdr:nvSpPr>
          <xdr:spPr>
            <a:xfrm>
              <a:off x="10689771" y="72841214"/>
              <a:ext cx="4334298" cy="5687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𝐸𝑓𝑓</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𝑅𝑒𝑡𝑟𝑜𝑓𝑖𝑡</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4" name="TextBox 43"/>
            <xdr:cNvSpPr txBox="1"/>
          </xdr:nvSpPr>
          <xdr:spPr>
            <a:xfrm>
              <a:off x="10515600" y="29765625"/>
              <a:ext cx="419006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𝐶𝑜𝑛𝑡𝑟𝑜𝑙𝑇𝑦𝑝𝑒𝐹𝑎𝑐𝑡𝑜𝑟〗_𝐸𝑓𝑓=∑_(0%)^(100%)▒〖(%𝐹𝐹∗〖𝑃𝐿𝑅〗_𝑅𝑒𝑡𝑟𝑜𝑓𝑖𝑡)〗</a:t>
              </a:r>
              <a:endParaRPr lang="en-US" sz="1100"/>
            </a:p>
          </xdr:txBody>
        </xdr:sp>
      </mc:Fallback>
    </mc:AlternateContent>
    <xdr:clientData/>
  </xdr:twoCellAnchor>
  <xdr:twoCellAnchor>
    <xdr:from>
      <xdr:col>3</xdr:col>
      <xdr:colOff>1346632</xdr:colOff>
      <xdr:row>106</xdr:row>
      <xdr:rowOff>125732</xdr:rowOff>
    </xdr:from>
    <xdr:to>
      <xdr:col>4</xdr:col>
      <xdr:colOff>2220686</xdr:colOff>
      <xdr:row>108</xdr:row>
      <xdr:rowOff>65316</xdr:rowOff>
    </xdr:to>
    <mc:AlternateContent xmlns:mc="http://schemas.openxmlformats.org/markup-compatibility/2006" xmlns:a14="http://schemas.microsoft.com/office/drawing/2010/main">
      <mc:Choice Requires="a14">
        <xdr:sp macro="" textlink="">
          <xdr:nvSpPr>
            <xdr:cNvPr id="45" name="TextBox 44">
              <a:extLst>
                <a:ext uri="{FF2B5EF4-FFF2-40B4-BE49-F238E27FC236}">
                  <a16:creationId xmlns:a16="http://schemas.microsoft.com/office/drawing/2014/main" id="{00000000-0008-0000-0200-00002D000000}"/>
                </a:ext>
              </a:extLst>
            </xdr:cNvPr>
            <xdr:cNvSpPr txBox="1"/>
          </xdr:nvSpPr>
          <xdr:spPr>
            <a:xfrm>
              <a:off x="3393146" y="22582961"/>
              <a:ext cx="2561340" cy="3096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r>
                      <a:rPr lang="en-US" sz="1400" b="0" i="1">
                        <a:solidFill>
                          <a:srgbClr val="FF0000"/>
                        </a:solidFill>
                        <a:latin typeface="Cambria Math" panose="02040503050406030204" pitchFamily="18" charset="0"/>
                        <a:ea typeface="Cambria Math" panose="02040503050406030204" pitchFamily="18" charset="0"/>
                      </a:rPr>
                      <m:t> </m:t>
                    </m:r>
                    <m:r>
                      <a:rPr lang="en-US" sz="1400" b="0" i="1">
                        <a:solidFill>
                          <a:srgbClr val="FF0000"/>
                        </a:solidFill>
                        <a:latin typeface="Cambria Math" panose="02040503050406030204" pitchFamily="18" charset="0"/>
                        <a:ea typeface="Cambria Math" panose="02040503050406030204" pitchFamily="18" charset="0"/>
                      </a:rPr>
                      <m:t>𝑥</m:t>
                    </m:r>
                    <m:r>
                      <a:rPr lang="en-US" sz="1400" b="0" i="1">
                        <a:solidFill>
                          <a:srgbClr val="FF0000"/>
                        </a:solidFill>
                        <a:latin typeface="Cambria Math" panose="02040503050406030204" pitchFamily="18" charset="0"/>
                        <a:ea typeface="Cambria Math" panose="02040503050406030204" pitchFamily="18" charset="0"/>
                      </a:rPr>
                      <m:t> </m:t>
                    </m:r>
                    <m:r>
                      <a:rPr lang="en-US" sz="1400" b="0" i="1">
                        <a:solidFill>
                          <a:srgbClr val="FF0000"/>
                        </a:solidFill>
                        <a:latin typeface="Cambria Math" panose="02040503050406030204" pitchFamily="18" charset="0"/>
                        <a:ea typeface="Cambria Math" panose="02040503050406030204" pitchFamily="18" charset="0"/>
                      </a:rPr>
                      <m:t>𝐼𝐹𝑘𝑊</m:t>
                    </m:r>
                  </m:oMath>
                </m:oMathPara>
              </a14:m>
              <a:endParaRPr lang="en-US" sz="1400"/>
            </a:p>
          </xdr:txBody>
        </xdr:sp>
      </mc:Choice>
      <mc:Fallback xmlns="">
        <xdr:sp macro="" textlink="">
          <xdr:nvSpPr>
            <xdr:cNvPr id="45" name="TextBox 44">
              <a:extLst>
                <a:ext uri="{FF2B5EF4-FFF2-40B4-BE49-F238E27FC236}">
                  <a16:creationId xmlns:a16="http://schemas.microsoft.com/office/drawing/2014/main" id="{00000000-0008-0000-0200-00002D000000}"/>
                </a:ext>
              </a:extLst>
            </xdr:cNvPr>
            <xdr:cNvSpPr txBox="1"/>
          </xdr:nvSpPr>
          <xdr:spPr>
            <a:xfrm>
              <a:off x="3393146" y="22582961"/>
              <a:ext cx="2561340" cy="3096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r>
                <a:rPr lang="en-US" sz="1400" b="0" i="0">
                  <a:solidFill>
                    <a:srgbClr val="FF0000"/>
                  </a:solidFill>
                  <a:latin typeface="Cambria Math" panose="02040503050406030204" pitchFamily="18" charset="0"/>
                  <a:ea typeface="Cambria Math" panose="02040503050406030204" pitchFamily="18" charset="0"/>
                </a:rPr>
                <a:t> 𝑥 𝐼𝐹𝑘𝑊</a:t>
              </a:r>
              <a:endParaRPr lang="en-US" sz="1400"/>
            </a:p>
          </xdr:txBody>
        </xdr:sp>
      </mc:Fallback>
    </mc:AlternateContent>
    <xdr:clientData/>
  </xdr:twoCellAnchor>
  <xdr:twoCellAnchor>
    <xdr:from>
      <xdr:col>3</xdr:col>
      <xdr:colOff>20037</xdr:colOff>
      <xdr:row>487</xdr:row>
      <xdr:rowOff>149675</xdr:rowOff>
    </xdr:from>
    <xdr:to>
      <xdr:col>6</xdr:col>
      <xdr:colOff>92358</xdr:colOff>
      <xdr:row>490</xdr:row>
      <xdr:rowOff>47524</xdr:rowOff>
    </xdr:to>
    <mc:AlternateContent xmlns:mc="http://schemas.openxmlformats.org/markup-compatibility/2006" xmlns:a14="http://schemas.microsoft.com/office/drawing/2010/main">
      <mc:Choice Requires="a14">
        <xdr:sp macro="" textlink="">
          <xdr:nvSpPr>
            <xdr:cNvPr id="47" name="TextBox 46">
              <a:extLst>
                <a:ext uri="{FF2B5EF4-FFF2-40B4-BE49-F238E27FC236}">
                  <a16:creationId xmlns:a16="http://schemas.microsoft.com/office/drawing/2014/main" id="{00000000-0008-0000-0200-00002F000000}"/>
                </a:ext>
              </a:extLst>
            </xdr:cNvPr>
            <xdr:cNvSpPr txBox="1"/>
          </xdr:nvSpPr>
          <xdr:spPr>
            <a:xfrm>
              <a:off x="2061108" y="90732425"/>
              <a:ext cx="7978071" cy="4285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7" name="TextBox 46"/>
            <xdr:cNvSpPr txBox="1"/>
          </xdr:nvSpPr>
          <xdr:spPr>
            <a:xfrm>
              <a:off x="2191737" y="36252150"/>
              <a:ext cx="766755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853621</xdr:colOff>
      <xdr:row>484</xdr:row>
      <xdr:rowOff>63621</xdr:rowOff>
    </xdr:from>
    <xdr:to>
      <xdr:col>10</xdr:col>
      <xdr:colOff>893476</xdr:colOff>
      <xdr:row>487</xdr:row>
      <xdr:rowOff>10030</xdr:rowOff>
    </xdr:to>
    <mc:AlternateContent xmlns:mc="http://schemas.openxmlformats.org/markup-compatibility/2006" xmlns:a14="http://schemas.microsoft.com/office/drawing/2010/main">
      <mc:Choice Requires="a14">
        <xdr:sp macro="" textlink="">
          <xdr:nvSpPr>
            <xdr:cNvPr id="48" name="TextBox 47">
              <a:extLst>
                <a:ext uri="{FF2B5EF4-FFF2-40B4-BE49-F238E27FC236}">
                  <a16:creationId xmlns:a16="http://schemas.microsoft.com/office/drawing/2014/main" id="{00000000-0008-0000-0200-000030000000}"/>
                </a:ext>
              </a:extLst>
            </xdr:cNvPr>
            <xdr:cNvSpPr txBox="1"/>
          </xdr:nvSpPr>
          <xdr:spPr>
            <a:xfrm>
              <a:off x="1479550" y="90115692"/>
              <a:ext cx="15157390" cy="4770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𝐶𝑎𝑝𝑎𝑐𝑖𝑡𝑦</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𝑀𝐸𝐹𝑏𝑎𝑠𝑒</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𝑁𝑐𝑦𝑐𝑙𝑒𝑠</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𝐶𝑊𝑏𝑎𝑠𝑒</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𝐷𝐻𝑊𝑏𝑎𝑠𝑒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e>
                                  <m:sub>
                                    <m:r>
                                      <a:rPr lang="en-US" sz="1400" b="0" i="1">
                                        <a:latin typeface="Cambria Math" panose="02040503050406030204" pitchFamily="18" charset="0"/>
                                        <a:ea typeface="Cambria Math" panose="02040503050406030204" pitchFamily="18" charset="0"/>
                                      </a:rPr>
                                      <m:t>𝐷𝐻𝑊</m:t>
                                    </m:r>
                                  </m:sub>
                                </m:sSub>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𝐷𝑟𝑦𝑒𝑟𝑏𝑎𝑠𝑒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e>
                                  <m:sub>
                                    <m:r>
                                      <a:rPr lang="en-US" sz="1400" b="0" i="1">
                                        <a:latin typeface="Cambria Math" panose="02040503050406030204" pitchFamily="18" charset="0"/>
                                        <a:ea typeface="Cambria Math" panose="02040503050406030204" pitchFamily="18" charset="0"/>
                                      </a:rPr>
                                      <m:t>𝐷𝑟𝑦𝑒𝑟</m:t>
                                    </m:r>
                                  </m:sub>
                                </m:sSub>
                              </m:e>
                            </m:d>
                          </m:e>
                        </m:d>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𝐶𝑎𝑝𝑎𝑐𝑖𝑡𝑦</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1</m:t>
                                </m:r>
                              </m:num>
                              <m:den>
                                <m:r>
                                  <a:rPr lang="en-US" sz="1100" b="0" i="1">
                                    <a:solidFill>
                                      <a:schemeClr val="tx1"/>
                                    </a:solidFill>
                                    <a:effectLst/>
                                    <a:latin typeface="Cambria Math" panose="02040503050406030204" pitchFamily="18" charset="0"/>
                                    <a:ea typeface="+mn-ea"/>
                                    <a:cs typeface="+mn-cs"/>
                                  </a:rPr>
                                  <m:t>𝑀𝐸𝐹𝑒𝑓𝑓</m:t>
                                </m:r>
                              </m:den>
                            </m:f>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𝑁𝑐𝑦𝑐𝑙𝑒𝑠</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𝐶𝑊𝑒𝑓𝑓</m:t>
                            </m:r>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𝐷𝐻𝑊𝑒𝑓𝑓</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𝐸𝑙𝑒𝑐𝑡𝑟𝑖𝑐</m:t>
                                    </m:r>
                                  </m:e>
                                  <m:sub>
                                    <m:r>
                                      <a:rPr lang="en-US" sz="1100" b="0" i="1">
                                        <a:solidFill>
                                          <a:schemeClr val="tx1"/>
                                        </a:solidFill>
                                        <a:effectLst/>
                                        <a:latin typeface="Cambria Math" panose="02040503050406030204" pitchFamily="18" charset="0"/>
                                        <a:ea typeface="+mn-ea"/>
                                        <a:cs typeface="+mn-cs"/>
                                      </a:rPr>
                                      <m:t>𝐷𝐻𝑊</m:t>
                                    </m:r>
                                  </m:sub>
                                </m:sSub>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𝐷𝑟𝑦𝑒𝑟𝑒𝑓𝑓</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𝐸𝑙𝑒𝑐𝑡𝑟𝑖𝑐</m:t>
                                    </m:r>
                                  </m:e>
                                  <m:sub>
                                    <m:r>
                                      <a:rPr lang="en-US" sz="1100" b="0" i="1">
                                        <a:solidFill>
                                          <a:schemeClr val="tx1"/>
                                        </a:solidFill>
                                        <a:effectLst/>
                                        <a:latin typeface="Cambria Math" panose="02040503050406030204" pitchFamily="18" charset="0"/>
                                        <a:ea typeface="+mn-ea"/>
                                        <a:cs typeface="+mn-cs"/>
                                      </a:rPr>
                                      <m:t>𝐷𝑟𝑦𝑒𝑟</m:t>
                                    </m:r>
                                  </m:sub>
                                </m:sSub>
                              </m:e>
                            </m:d>
                          </m:e>
                        </m:d>
                      </m:e>
                    </m:d>
                  </m:oMath>
                </m:oMathPara>
              </a14:m>
              <a:endParaRPr lang="en-US" sz="1100"/>
            </a:p>
          </xdr:txBody>
        </xdr:sp>
      </mc:Choice>
      <mc:Fallback xmlns="">
        <xdr:sp macro="" textlink="">
          <xdr:nvSpPr>
            <xdr:cNvPr id="48" name="TextBox 47"/>
            <xdr:cNvSpPr txBox="1"/>
          </xdr:nvSpPr>
          <xdr:spPr>
            <a:xfrm>
              <a:off x="1882321" y="36252150"/>
              <a:ext cx="144207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𝑘𝑊ℎ=[(𝐶𝑎𝑝𝑎𝑐𝑖𝑡𝑦∗1/𝑀𝐸𝐹𝑏𝑎𝑠𝑒∗𝑁𝑐𝑦𝑐𝑙𝑒𝑠)∗(%𝐶𝑊𝑏𝑎𝑠𝑒+(%𝐷𝐻𝑊𝑏𝑎𝑠𝑒∗〖%𝐸𝑙𝑒𝑐𝑡𝑟𝑖𝑐〗_𝐷𝐻𝑊 )+(%𝐷𝑟𝑦𝑒𝑟𝑏𝑎𝑠𝑒∗〖%𝐸𝑙𝑒𝑐𝑡𝑟𝑖𝑐〗_𝐷𝑟𝑦𝑒𝑟 ))]−[</a:t>
              </a:r>
              <a:r>
                <a:rPr lang="en-US" sz="1100" b="0" i="0">
                  <a:solidFill>
                    <a:schemeClr val="tx1"/>
                  </a:solidFill>
                  <a:effectLst/>
                  <a:latin typeface="Cambria Math" panose="02040503050406030204" pitchFamily="18" charset="0"/>
                  <a:ea typeface="+mn-ea"/>
                  <a:cs typeface="+mn-cs"/>
                </a:rPr>
                <a:t>(𝐶𝑎𝑝𝑎𝑐𝑖𝑡𝑦∗1/𝑀𝐸𝐹𝑒𝑓𝑓∗𝑁𝑐𝑦𝑐𝑙𝑒𝑠)∗(%𝐶𝑊𝑒𝑓𝑓+(%𝐷𝐻𝑊𝑒𝑓𝑓∗〖%𝐸𝑙𝑒𝑐𝑡𝑟𝑖𝑐〗_𝐷𝐻𝑊 )+(%𝐷𝑟𝑦𝑒𝑟𝑒𝑓𝑓∗〖%𝐸𝑙𝑒𝑐𝑡𝑟𝑖𝑐〗_𝐷𝑟𝑦𝑒𝑟 ))]</a:t>
              </a:r>
              <a:endParaRPr lang="en-US" sz="1100"/>
            </a:p>
          </xdr:txBody>
        </xdr:sp>
      </mc:Fallback>
    </mc:AlternateContent>
    <xdr:clientData/>
  </xdr:twoCellAnchor>
  <xdr:twoCellAnchor>
    <xdr:from>
      <xdr:col>3</xdr:col>
      <xdr:colOff>21499</xdr:colOff>
      <xdr:row>509</xdr:row>
      <xdr:rowOff>5984</xdr:rowOff>
    </xdr:from>
    <xdr:to>
      <xdr:col>4</xdr:col>
      <xdr:colOff>2296614</xdr:colOff>
      <xdr:row>511</xdr:row>
      <xdr:rowOff>88346</xdr:rowOff>
    </xdr:to>
    <mc:AlternateContent xmlns:mc="http://schemas.openxmlformats.org/markup-compatibility/2006" xmlns:a14="http://schemas.microsoft.com/office/drawing/2010/main">
      <mc:Choice Requires="a14">
        <xdr:sp macro="" textlink="">
          <xdr:nvSpPr>
            <xdr:cNvPr id="49" name="TextBox 48">
              <a:extLst>
                <a:ext uri="{FF2B5EF4-FFF2-40B4-BE49-F238E27FC236}">
                  <a16:creationId xmlns:a16="http://schemas.microsoft.com/office/drawing/2014/main" id="{00000000-0008-0000-0200-000031000000}"/>
                </a:ext>
              </a:extLst>
            </xdr:cNvPr>
            <xdr:cNvSpPr txBox="1"/>
          </xdr:nvSpPr>
          <xdr:spPr>
            <a:xfrm>
              <a:off x="2062570" y="94480377"/>
              <a:ext cx="3962401" cy="4361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9" name="TextBox 48"/>
            <xdr:cNvSpPr txBox="1"/>
          </xdr:nvSpPr>
          <xdr:spPr>
            <a:xfrm>
              <a:off x="2198914" y="37966650"/>
              <a:ext cx="37419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54429</xdr:colOff>
      <xdr:row>505</xdr:row>
      <xdr:rowOff>104443</xdr:rowOff>
    </xdr:from>
    <xdr:to>
      <xdr:col>4</xdr:col>
      <xdr:colOff>4095750</xdr:colOff>
      <xdr:row>508</xdr:row>
      <xdr:rowOff>50852</xdr:rowOff>
    </xdr:to>
    <mc:AlternateContent xmlns:mc="http://schemas.openxmlformats.org/markup-compatibility/2006" xmlns:a14="http://schemas.microsoft.com/office/drawing/2010/main">
      <mc:Choice Requires="a14">
        <xdr:sp macro="" textlink="">
          <xdr:nvSpPr>
            <xdr:cNvPr id="50" name="TextBox 49">
              <a:extLst>
                <a:ext uri="{FF2B5EF4-FFF2-40B4-BE49-F238E27FC236}">
                  <a16:creationId xmlns:a16="http://schemas.microsoft.com/office/drawing/2014/main" id="{00000000-0008-0000-0200-000032000000}"/>
                </a:ext>
              </a:extLst>
            </xdr:cNvPr>
            <xdr:cNvSpPr txBox="1"/>
          </xdr:nvSpPr>
          <xdr:spPr>
            <a:xfrm>
              <a:off x="2095500" y="93871264"/>
              <a:ext cx="5728607" cy="4770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𝐿𝑜𝑎𝑑</m:t>
                            </m:r>
                          </m:num>
                          <m:den>
                            <m:r>
                              <a:rPr lang="en-US" sz="1400" b="0" i="1">
                                <a:latin typeface="Cambria Math" panose="02040503050406030204" pitchFamily="18" charset="0"/>
                                <a:ea typeface="Cambria Math" panose="02040503050406030204" pitchFamily="18" charset="0"/>
                              </a:rPr>
                              <m:t>𝐶𝐸𝐹𝑏𝑎𝑠𝑒</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𝐿𝑜𝑎𝑑</m:t>
                            </m:r>
                          </m:num>
                          <m:den>
                            <m:r>
                              <a:rPr lang="en-US" sz="1400" b="0" i="1">
                                <a:latin typeface="Cambria Math" panose="02040503050406030204" pitchFamily="18" charset="0"/>
                                <a:ea typeface="Cambria Math" panose="02040503050406030204" pitchFamily="18" charset="0"/>
                              </a:rPr>
                              <m:t>𝐶𝐸𝐹𝑒𝑓𝑓</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𝑁𝑐𝑦𝑐𝑙𝑒𝑠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oMath>
                </m:oMathPara>
              </a14:m>
              <a:endParaRPr lang="en-US" sz="1100"/>
            </a:p>
          </xdr:txBody>
        </xdr:sp>
      </mc:Choice>
      <mc:Fallback xmlns="">
        <xdr:sp macro="" textlink="">
          <xdr:nvSpPr>
            <xdr:cNvPr id="50" name="TextBox 49"/>
            <xdr:cNvSpPr txBox="1"/>
          </xdr:nvSpPr>
          <xdr:spPr>
            <a:xfrm>
              <a:off x="2226129" y="37966650"/>
              <a:ext cx="55176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𝑘𝑊ℎ=(𝐿𝑜𝑎𝑑/𝐶𝐸𝐹𝑏𝑎𝑠𝑒−𝐿𝑜𝑎𝑑/𝐶𝐸𝐹𝑒𝑓𝑓)∗𝑁𝑐𝑦𝑐𝑙𝑒𝑠∗%𝐸𝑙𝑒𝑐𝑡𝑟𝑖𝑐</a:t>
              </a:r>
              <a:endParaRPr lang="en-US" sz="1100"/>
            </a:p>
          </xdr:txBody>
        </xdr:sp>
      </mc:Fallback>
    </mc:AlternateContent>
    <xdr:clientData/>
  </xdr:twoCellAnchor>
  <xdr:twoCellAnchor>
    <xdr:from>
      <xdr:col>3</xdr:col>
      <xdr:colOff>21498</xdr:colOff>
      <xdr:row>534</xdr:row>
      <xdr:rowOff>105045</xdr:rowOff>
    </xdr:from>
    <xdr:to>
      <xdr:col>4</xdr:col>
      <xdr:colOff>2457449</xdr:colOff>
      <xdr:row>537</xdr:row>
      <xdr:rowOff>2894</xdr:rowOff>
    </xdr:to>
    <mc:AlternateContent xmlns:mc="http://schemas.openxmlformats.org/markup-compatibility/2006" xmlns:a14="http://schemas.microsoft.com/office/drawing/2010/main">
      <mc:Choice Requires="a14">
        <xdr:sp macro="" textlink="">
          <xdr:nvSpPr>
            <xdr:cNvPr id="51" name="TextBox 50">
              <a:extLst>
                <a:ext uri="{FF2B5EF4-FFF2-40B4-BE49-F238E27FC236}">
                  <a16:creationId xmlns:a16="http://schemas.microsoft.com/office/drawing/2014/main" id="{00000000-0008-0000-0200-000033000000}"/>
                </a:ext>
              </a:extLst>
            </xdr:cNvPr>
            <xdr:cNvSpPr txBox="1"/>
          </xdr:nvSpPr>
          <xdr:spPr>
            <a:xfrm>
              <a:off x="2062569" y="99001759"/>
              <a:ext cx="4123237" cy="4285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1" name="TextBox 50"/>
            <xdr:cNvSpPr txBox="1"/>
          </xdr:nvSpPr>
          <xdr:spPr>
            <a:xfrm>
              <a:off x="2198913" y="40443150"/>
              <a:ext cx="3906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85451</xdr:colOff>
      <xdr:row>531</xdr:row>
      <xdr:rowOff>89385</xdr:rowOff>
    </xdr:from>
    <xdr:to>
      <xdr:col>4</xdr:col>
      <xdr:colOff>4550499</xdr:colOff>
      <xdr:row>534</xdr:row>
      <xdr:rowOff>16744</xdr:rowOff>
    </xdr:to>
    <mc:AlternateContent xmlns:mc="http://schemas.openxmlformats.org/markup-compatibility/2006" xmlns:a14="http://schemas.microsoft.com/office/drawing/2010/main">
      <mc:Choice Requires="a14">
        <xdr:sp macro="" textlink="">
          <xdr:nvSpPr>
            <xdr:cNvPr id="52" name="TextBox 51">
              <a:extLst>
                <a:ext uri="{FF2B5EF4-FFF2-40B4-BE49-F238E27FC236}">
                  <a16:creationId xmlns:a16="http://schemas.microsoft.com/office/drawing/2014/main" id="{00000000-0008-0000-0200-000034000000}"/>
                </a:ext>
              </a:extLst>
            </xdr:cNvPr>
            <xdr:cNvSpPr txBox="1"/>
          </xdr:nvSpPr>
          <xdr:spPr>
            <a:xfrm flipH="1">
              <a:off x="2126522" y="98455421"/>
              <a:ext cx="6152334" cy="4580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𝐶𝐹𝑀</m:t>
                        </m:r>
                      </m:e>
                      <m:sub>
                        <m:r>
                          <a:rPr lang="en-US" sz="1400" b="0" i="1">
                            <a:latin typeface="Cambria Math" panose="02040503050406030204" pitchFamily="18" charset="0"/>
                            <a:ea typeface="Cambria Math" panose="02040503050406030204" pitchFamily="18" charset="0"/>
                          </a:rPr>
                          <m:t>𝑟𝑒𝑑𝑢𝑐𝑒𝑑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𝐶𝐹𝑀</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52" name="TextBox 51"/>
            <xdr:cNvSpPr txBox="1"/>
          </xdr:nvSpPr>
          <xdr:spPr>
            <a:xfrm flipH="1">
              <a:off x="2253341" y="40443150"/>
              <a:ext cx="59395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𝑘𝑊ℎ=〖𝐶𝐹𝑀〗_𝑟𝑒𝑑𝑢𝑐𝑒𝑑∗〖𝑘𝑊〗_𝐶𝐹𝑀∗𝐻𝑜𝑢𝑟𝑠</a:t>
              </a:r>
              <a:endParaRPr lang="en-US" sz="1100"/>
            </a:p>
          </xdr:txBody>
        </xdr:sp>
      </mc:Fallback>
    </mc:AlternateContent>
    <xdr:clientData/>
  </xdr:twoCellAnchor>
  <xdr:twoCellAnchor>
    <xdr:from>
      <xdr:col>3</xdr:col>
      <xdr:colOff>95249</xdr:colOff>
      <xdr:row>560</xdr:row>
      <xdr:rowOff>126271</xdr:rowOff>
    </xdr:from>
    <xdr:to>
      <xdr:col>4</xdr:col>
      <xdr:colOff>2869474</xdr:colOff>
      <xdr:row>563</xdr:row>
      <xdr:rowOff>988</xdr:rowOff>
    </xdr:to>
    <mc:AlternateContent xmlns:mc="http://schemas.openxmlformats.org/markup-compatibility/2006" xmlns:a14="http://schemas.microsoft.com/office/drawing/2010/main">
      <mc:Choice Requires="a14">
        <xdr:sp macro="" textlink="">
          <xdr:nvSpPr>
            <xdr:cNvPr id="53" name="TextBox 52">
              <a:extLst>
                <a:ext uri="{FF2B5EF4-FFF2-40B4-BE49-F238E27FC236}">
                  <a16:creationId xmlns:a16="http://schemas.microsoft.com/office/drawing/2014/main" id="{00000000-0008-0000-0200-000035000000}"/>
                </a:ext>
              </a:extLst>
            </xdr:cNvPr>
            <xdr:cNvSpPr txBox="1"/>
          </xdr:nvSpPr>
          <xdr:spPr>
            <a:xfrm>
              <a:off x="2136320" y="103622200"/>
              <a:ext cx="4461511" cy="405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3" name="TextBox 52"/>
            <xdr:cNvSpPr txBox="1"/>
          </xdr:nvSpPr>
          <xdr:spPr>
            <a:xfrm>
              <a:off x="2266949" y="42538650"/>
              <a:ext cx="42467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169273</xdr:colOff>
      <xdr:row>557</xdr:row>
      <xdr:rowOff>96157</xdr:rowOff>
    </xdr:from>
    <xdr:to>
      <xdr:col>5</xdr:col>
      <xdr:colOff>973999</xdr:colOff>
      <xdr:row>560</xdr:row>
      <xdr:rowOff>34946</xdr:rowOff>
    </xdr:to>
    <mc:AlternateContent xmlns:mc="http://schemas.openxmlformats.org/markup-compatibility/2006" xmlns:a14="http://schemas.microsoft.com/office/drawing/2010/main">
      <mc:Choice Requires="a14">
        <xdr:sp macro="" textlink="">
          <xdr:nvSpPr>
            <xdr:cNvPr id="54" name="TextBox 53">
              <a:extLst>
                <a:ext uri="{FF2B5EF4-FFF2-40B4-BE49-F238E27FC236}">
                  <a16:creationId xmlns:a16="http://schemas.microsoft.com/office/drawing/2014/main" id="{00000000-0008-0000-0200-000036000000}"/>
                </a:ext>
              </a:extLst>
            </xdr:cNvPr>
            <xdr:cNvSpPr txBox="1"/>
          </xdr:nvSpPr>
          <xdr:spPr>
            <a:xfrm flipH="1">
              <a:off x="2210344" y="103061407"/>
              <a:ext cx="7363369" cy="4694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n-US" sz="1400" b="0" i="0">
                            <a:latin typeface="Cambria Math" panose="02040503050406030204" pitchFamily="18" charset="0"/>
                            <a:ea typeface="Cambria Math" panose="02040503050406030204" pitchFamily="18" charset="0"/>
                          </a:rPr>
                          <m:t>SCFM</m:t>
                        </m:r>
                        <m:r>
                          <a:rPr lang="en-US" sz="1400" b="0" i="0">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𝑆𝐶𝐹𝑀</m:t>
                            </m:r>
                            <m:r>
                              <a:rPr lang="en-US" sz="1400" b="0" i="1">
                                <a:latin typeface="Cambria Math" panose="02040503050406030204" pitchFamily="18" charset="0"/>
                                <a:ea typeface="Cambria Math" panose="02040503050406030204" pitchFamily="18" charset="0"/>
                              </a:rPr>
                              <m:t>%</m:t>
                            </m:r>
                          </m:e>
                          <m:sub>
                            <m:r>
                              <a:rPr lang="en-US" sz="1400" b="0" i="1">
                                <a:latin typeface="Cambria Math" panose="02040503050406030204" pitchFamily="18" charset="0"/>
                                <a:ea typeface="Cambria Math" panose="02040503050406030204" pitchFamily="18" charset="0"/>
                              </a:rPr>
                              <m:t>𝑟𝑒𝑑𝑢𝑐𝑒𝑑</m:t>
                            </m:r>
                          </m:sub>
                        </m:sSub>
                      </m:e>
                    </m:d>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m:t>
                        </m:r>
                      </m:num>
                      <m:den>
                        <m:r>
                          <a:rPr lang="en-US" sz="1400" b="0" i="1">
                            <a:latin typeface="Cambria Math" panose="02040503050406030204" pitchFamily="18" charset="0"/>
                            <a:ea typeface="Cambria Math" panose="02040503050406030204" pitchFamily="18" charset="0"/>
                          </a:rPr>
                          <m:t>𝐶𝐹𝑀</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𝑈𝑠𝑒</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54" name="TextBox 53"/>
            <xdr:cNvSpPr txBox="1"/>
          </xdr:nvSpPr>
          <xdr:spPr>
            <a:xfrm flipH="1">
              <a:off x="2348593" y="42538650"/>
              <a:ext cx="709884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𝑘𝑊ℎ=(SCFM∗〖𝑆𝐶𝐹𝑀%〗_𝑟𝑒𝑑𝑢𝑐𝑒𝑑 )∗𝑘𝑊/𝐶𝐹𝑀∗%𝑈𝑠𝑒∗𝐻𝑜𝑢𝑟𝑠</a:t>
              </a:r>
              <a:endParaRPr lang="en-US" sz="1100"/>
            </a:p>
          </xdr:txBody>
        </xdr:sp>
      </mc:Fallback>
    </mc:AlternateContent>
    <xdr:clientData/>
  </xdr:twoCellAnchor>
  <xdr:twoCellAnchor>
    <xdr:from>
      <xdr:col>2</xdr:col>
      <xdr:colOff>0</xdr:colOff>
      <xdr:row>580</xdr:row>
      <xdr:rowOff>95247</xdr:rowOff>
    </xdr:from>
    <xdr:to>
      <xdr:col>2</xdr:col>
      <xdr:colOff>0</xdr:colOff>
      <xdr:row>582</xdr:row>
      <xdr:rowOff>152572</xdr:rowOff>
    </xdr:to>
    <mc:AlternateContent xmlns:mc="http://schemas.openxmlformats.org/markup-compatibility/2006" xmlns:a14="http://schemas.microsoft.com/office/drawing/2010/main">
      <mc:Choice Requires="a14">
        <xdr:sp macro="" textlink="">
          <xdr:nvSpPr>
            <xdr:cNvPr id="55" name="TextBox 54">
              <a:extLst>
                <a:ext uri="{FF2B5EF4-FFF2-40B4-BE49-F238E27FC236}">
                  <a16:creationId xmlns:a16="http://schemas.microsoft.com/office/drawing/2014/main" id="{00000000-0008-0000-0200-000037000000}"/>
                </a:ext>
              </a:extLst>
            </xdr:cNvPr>
            <xdr:cNvSpPr txBox="1"/>
          </xdr:nvSpPr>
          <xdr:spPr>
            <a:xfrm>
              <a:off x="625929" y="107319533"/>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5" name="TextBox 54"/>
            <xdr:cNvSpPr txBox="1"/>
          </xdr:nvSpPr>
          <xdr:spPr>
            <a:xfrm>
              <a:off x="1028700" y="43491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64225</xdr:colOff>
      <xdr:row>577</xdr:row>
      <xdr:rowOff>132443</xdr:rowOff>
    </xdr:from>
    <xdr:to>
      <xdr:col>6</xdr:col>
      <xdr:colOff>1228452</xdr:colOff>
      <xdr:row>580</xdr:row>
      <xdr:rowOff>67422</xdr:rowOff>
    </xdr:to>
    <mc:AlternateContent xmlns:mc="http://schemas.openxmlformats.org/markup-compatibility/2006" xmlns:a14="http://schemas.microsoft.com/office/drawing/2010/main">
      <mc:Choice Requires="a14">
        <xdr:sp macro="" textlink="">
          <xdr:nvSpPr>
            <xdr:cNvPr id="56" name="TextBox 55">
              <a:extLst>
                <a:ext uri="{FF2B5EF4-FFF2-40B4-BE49-F238E27FC236}">
                  <a16:creationId xmlns:a16="http://schemas.microsoft.com/office/drawing/2014/main" id="{00000000-0008-0000-0200-000038000000}"/>
                </a:ext>
              </a:extLst>
            </xdr:cNvPr>
            <xdr:cNvSpPr txBox="1"/>
          </xdr:nvSpPr>
          <xdr:spPr>
            <a:xfrm flipH="1">
              <a:off x="2105296" y="106826050"/>
              <a:ext cx="9069977" cy="465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=.9∗</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h𝑝</m:t>
                        </m:r>
                      </m:e>
                      <m:sub>
                        <m:r>
                          <a:rPr lang="en-US" sz="1400" b="0" i="1">
                            <a:latin typeface="Cambria Math" panose="02040503050406030204" pitchFamily="18" charset="0"/>
                            <a:ea typeface="Cambria Math" panose="02040503050406030204" pitchFamily="18" charset="0"/>
                          </a:rPr>
                          <m:t>𝑐𝑜𝑚𝑝𝑟𝑒𝑠𝑠𝑜𝑟</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𝐻𝑂𝑈𝑅𝑆</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𝑏</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𝑒</m:t>
                        </m:r>
                      </m:sub>
                    </m:sSub>
                    <m:r>
                      <a:rPr lang="en-US" sz="1400" b="0" i="1">
                        <a:latin typeface="Cambria Math" panose="02040503050406030204" pitchFamily="18" charset="0"/>
                        <a:ea typeface="Cambria Math" panose="02040503050406030204" pitchFamily="18" charset="0"/>
                      </a:rPr>
                      <m:t>)</m:t>
                    </m:r>
                  </m:oMath>
                </m:oMathPara>
              </a14:m>
              <a:endParaRPr lang="en-US" sz="1100"/>
            </a:p>
          </xdr:txBody>
        </xdr:sp>
      </mc:Choice>
      <mc:Fallback xmlns="">
        <xdr:sp macro="" textlink="">
          <xdr:nvSpPr>
            <xdr:cNvPr id="56" name="TextBox 55"/>
            <xdr:cNvSpPr txBox="1"/>
          </xdr:nvSpPr>
          <xdr:spPr>
            <a:xfrm flipH="1">
              <a:off x="2239735" y="43491150"/>
              <a:ext cx="87575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𝑘𝑊ℎ=.9∗〖ℎ𝑝〗_𝑐𝑜𝑚𝑝𝑟𝑒𝑠𝑠𝑜𝑟∗𝐻𝑂𝑈𝑅𝑆∗(〖𝐶𝐹〗_𝑏−〖𝐶𝐹〗_𝑒)</a:t>
              </a:r>
              <a:endParaRPr lang="en-US" sz="1100"/>
            </a:p>
          </xdr:txBody>
        </xdr:sp>
      </mc:Fallback>
    </mc:AlternateContent>
    <xdr:clientData/>
  </xdr:twoCellAnchor>
  <xdr:twoCellAnchor>
    <xdr:from>
      <xdr:col>2</xdr:col>
      <xdr:colOff>0</xdr:colOff>
      <xdr:row>626</xdr:row>
      <xdr:rowOff>155864</xdr:rowOff>
    </xdr:from>
    <xdr:to>
      <xdr:col>2</xdr:col>
      <xdr:colOff>0</xdr:colOff>
      <xdr:row>628</xdr:row>
      <xdr:rowOff>98195</xdr:rowOff>
    </xdr:to>
    <mc:AlternateContent xmlns:mc="http://schemas.openxmlformats.org/markup-compatibility/2006" xmlns:a14="http://schemas.microsoft.com/office/drawing/2010/main">
      <mc:Choice Requires="a14">
        <xdr:sp macro="" textlink="">
          <xdr:nvSpPr>
            <xdr:cNvPr id="57" name="TextBox 56">
              <a:extLst>
                <a:ext uri="{FF2B5EF4-FFF2-40B4-BE49-F238E27FC236}">
                  <a16:creationId xmlns:a16="http://schemas.microsoft.com/office/drawing/2014/main" id="{00000000-0008-0000-0200-000039000000}"/>
                </a:ext>
              </a:extLst>
            </xdr:cNvPr>
            <xdr:cNvSpPr txBox="1"/>
          </xdr:nvSpPr>
          <xdr:spPr>
            <a:xfrm>
              <a:off x="625929" y="110741114"/>
              <a:ext cx="0" cy="2961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7" name="TextBox 56"/>
            <xdr:cNvSpPr txBox="1"/>
          </xdr:nvSpPr>
          <xdr:spPr>
            <a:xfrm>
              <a:off x="1028700" y="45015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95249</xdr:colOff>
      <xdr:row>622</xdr:row>
      <xdr:rowOff>75458</xdr:rowOff>
    </xdr:from>
    <xdr:to>
      <xdr:col>23</xdr:col>
      <xdr:colOff>507274</xdr:colOff>
      <xdr:row>627</xdr:row>
      <xdr:rowOff>95250</xdr:rowOff>
    </xdr:to>
    <mc:AlternateContent xmlns:mc="http://schemas.openxmlformats.org/markup-compatibility/2006" xmlns:a14="http://schemas.microsoft.com/office/drawing/2010/main">
      <mc:Choice Requires="a14">
        <xdr:sp macro="" textlink="">
          <xdr:nvSpPr>
            <xdr:cNvPr id="58" name="TextBox 57">
              <a:extLst>
                <a:ext uri="{FF2B5EF4-FFF2-40B4-BE49-F238E27FC236}">
                  <a16:creationId xmlns:a16="http://schemas.microsoft.com/office/drawing/2014/main" id="{00000000-0008-0000-0200-00003A000000}"/>
                </a:ext>
              </a:extLst>
            </xdr:cNvPr>
            <xdr:cNvSpPr txBox="1"/>
          </xdr:nvSpPr>
          <xdr:spPr>
            <a:xfrm>
              <a:off x="2136320" y="109953137"/>
              <a:ext cx="30973668" cy="9042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𝐹𝑜𝑜𝑑𝐶𝑜𝑜𝑘𝑒𝑑</m:t>
                                </m:r>
                              </m:e>
                              <m:sub>
                                <m:r>
                                  <a:rPr lang="en-US" sz="1400" b="0" i="1">
                                    <a:latin typeface="Cambria Math" panose="02040503050406030204" pitchFamily="18" charset="0"/>
                                  </a:rPr>
                                  <m:t>𝐸𝑙𝑒𝑐</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𝐶𝑜𝑛𝑣𝐸𝑙𝑒𝑐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𝐶𝑜𝑛𝑣𝐵𝑎𝑠𝑒</m:t>
                                        </m:r>
                                      </m:sub>
                                    </m:sSub>
                                  </m:den>
                                </m:f>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𝐶𝑜𝑛𝑣𝐸𝑙𝑒𝑐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𝐶𝑜𝑛𝑣𝐸𝐸</m:t>
                                        </m:r>
                                      </m:sub>
                                    </m:sSub>
                                  </m:den>
                                </m:f>
                              </m:e>
                            </m:d>
                            <m:r>
                              <a:rPr lang="en-US" sz="1400" b="0" i="1">
                                <a:latin typeface="Cambria Math" panose="02040503050406030204" pitchFamily="18" charset="0"/>
                              </a:rPr>
                              <m:t>∗%</m:t>
                            </m:r>
                            <m:r>
                              <a:rPr lang="en-US" sz="1400" b="0" i="1">
                                <a:latin typeface="Cambria Math" panose="02040503050406030204" pitchFamily="18" charset="0"/>
                              </a:rPr>
                              <m:t>𝐶𝑜𝑛𝑣</m:t>
                            </m:r>
                          </m:e>
                        </m:d>
                        <m:r>
                          <a:rPr lang="en-US" sz="1400" b="0" i="1">
                            <a:latin typeface="Cambria Math" panose="02040503050406030204" pitchFamily="18" charset="0"/>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𝑆𝑡𝑒𝑎𝑚𝐸𝑙𝑒𝑐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𝑆𝑡𝑒𝑎𝑚𝐵𝑎𝑠𝑒</m:t>
                                        </m:r>
                                      </m:sub>
                                    </m:sSub>
                                  </m:den>
                                </m:f>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𝑆𝑡𝑒𝑎𝑚𝐸𝑙𝑒𝑐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𝑆𝑡𝑒𝑎𝑚𝐸𝐸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𝐶𝑜𝑛𝑣𝐵𝑎𝑠𝑒</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𝐶𝑜𝑛𝑣𝐵𝑎𝑠𝑒</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𝐶𝑜𝑛𝑣</m:t>
                                    </m:r>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𝐶𝑜𝑛𝑣𝐸𝐸</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𝐶𝑜𝑛𝑣𝐸𝐸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𝐶𝑜𝑛𝑣</m:t>
                                    </m:r>
                                  </m:e>
                                </m:d>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𝑆𝑡𝑒𝑎𝑚𝐵𝑎𝑠𝑒</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𝑆𝑡𝑒𝑎𝑚𝐵𝑎𝑠𝑒</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𝑆𝑡𝑒𝑎𝑚𝐸𝐸</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𝑆𝑡𝑒𝑎𝑚𝐸𝐸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58" name="TextBox 57"/>
            <xdr:cNvSpPr txBox="1"/>
          </xdr:nvSpPr>
          <xdr:spPr>
            <a:xfrm>
              <a:off x="2266949" y="45015150"/>
              <a:ext cx="331646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[(〖𝐹𝑜𝑜𝑑𝐶𝑜𝑜𝑘𝑒𝑑〗_𝐸𝑙𝑒𝑐∗(</a:t>
              </a:r>
              <a:r>
                <a:rPr lang="en-US" sz="1100" b="0" i="0">
                  <a:solidFill>
                    <a:schemeClr val="tx1"/>
                  </a:solidFill>
                  <a:effectLst/>
                  <a:latin typeface="Cambria Math" panose="02040503050406030204" pitchFamily="18" charset="0"/>
                  <a:ea typeface="+mn-ea"/>
                  <a:cs typeface="+mn-cs"/>
                </a:rPr>
                <a:t>〖𝐸𝐹𝑂𝑂𝐷〗_𝐶𝑜𝑛𝑣𝐸𝑙𝑒𝑐/〖𝐸𝑙𝑒𝑐𝐸𝐹𝐹〗_𝐶𝑜𝑛𝑣𝐵𝑎𝑠𝑒 −〖𝐸𝐹𝑂𝑂𝐷〗_𝐶𝑜𝑛𝑣𝐸𝑙𝑒𝑐/〖𝐸𝑙𝑒𝑐𝐸𝐹𝐹〗_𝐶𝑜𝑛𝑣𝐸𝐸 )</a:t>
              </a:r>
              <a:r>
                <a:rPr lang="en-US" sz="1400" b="0" i="0">
                  <a:latin typeface="Cambria Math" panose="02040503050406030204" pitchFamily="18" charset="0"/>
                </a:rPr>
                <a:t>∗%𝐶𝑜𝑛𝑣)+</a:t>
              </a:r>
              <a:r>
                <a:rPr lang="en-US" sz="1100" b="0" i="0">
                  <a:solidFill>
                    <a:schemeClr val="tx1"/>
                  </a:solidFill>
                  <a:effectLst/>
                  <a:latin typeface="Cambria Math" panose="02040503050406030204" pitchFamily="18" charset="0"/>
                  <a:ea typeface="+mn-ea"/>
                  <a:cs typeface="+mn-cs"/>
                </a:rPr>
                <a:t>(〖𝐹𝑜𝑜𝑑𝐶𝑜𝑜𝑘𝑒𝑑〗_𝐸𝑙𝑒𝑐∗(〖𝐸𝐹𝑂𝑂𝐷〗_𝑆𝑡𝑒𝑎𝑚𝐸𝑙𝑒𝑐/〖𝐸𝑙𝑒𝑐𝐸𝐹𝐹〗_𝑆𝑡𝑒𝑎𝑚𝐵𝑎𝑠𝑒 −〖𝐸𝐹𝑂𝑂𝐷〗_𝑆𝑡𝑒𝑎𝑚𝐸𝑙𝑒𝑐/〖𝐸𝑙𝑒𝑐𝐸𝐹𝐹〗_𝑆𝑡𝑒𝑎𝑚𝐸𝐸 )∗%𝑆𝑡𝑒𝑎𝑚)+((〖𝐸𝑙𝑒𝑐𝐼𝐷𝐿𝐸〗_𝐶𝑜𝑛𝑣𝐵𝑎𝑠𝑒∗((𝐻𝑜𝑢𝑟𝑠−〖𝐹𝑜𝑜𝑑𝐶𝑜𝑜𝑘𝑒𝑑〗_𝐸𝑙𝑒𝑐/〖𝐸𝑙𝑒𝑐𝑃𝐶〗_𝐶𝑜𝑛𝑣𝐵𝑎𝑠𝑒 )∗%𝐶𝑜𝑛𝑣))−(〖𝐸𝑙𝑒𝑐𝐼𝐷𝐿𝐸〗_𝐶𝑜𝑛𝑣𝐸𝐸∗((𝐻𝑜𝑢𝑟𝑠−〖𝐹𝑜𝑜𝑑𝐶𝑜𝑜𝑘𝑒𝑑〗_𝐸𝑙𝑒𝑐/〖𝐸𝑙𝑒𝑐𝑃𝐶〗_𝐶𝑜𝑛𝑣𝐸𝐸 )∗%𝐶𝑜𝑛𝑣)))+((〖𝐸𝑙𝑒𝑐𝐼𝐷𝐿𝐸〗_𝑆𝑡𝑒𝑎𝑚𝐵𝑎𝑠𝑒∗((𝐻𝑜𝑢𝑟𝑠−〖𝐹𝑜𝑜𝑑𝐶𝑜𝑜𝑘𝑒𝑑〗_𝐸𝑙𝑒𝑐/〖𝐸𝑙𝑒𝑐𝑃𝐶〗_𝑆𝑡𝑒𝑎𝑚𝐵𝑎𝑠𝑒 )∗%𝑆𝑡𝑒𝑎𝑚))−(〖𝐸𝑙𝑒𝑐𝐼𝐷𝐿𝐸〗_𝑆𝑡𝑒𝑎𝑚𝐸𝐸∗((𝐻𝑜𝑢𝑟𝑠−〖𝐹𝑜𝑜𝑑𝐶𝑜𝑜𝑘𝑒𝑑〗_𝐸𝑙𝑒𝑐/〖𝐸𝑙𝑒𝑐𝑃𝐶〗_𝑆𝑡𝑒𝑎𝑚𝐸𝐸 )∗%𝑆𝑡𝑒𝑎𝑚)))]</a:t>
              </a:r>
              <a:r>
                <a:rPr lang="en-US" sz="1400" b="0" i="0">
                  <a:latin typeface="Cambria Math" panose="02040503050406030204" pitchFamily="18" charset="0"/>
                </a:rPr>
                <a:t>∗𝐷𝑎𝑦𝑠/1000</a:t>
              </a:r>
              <a:endParaRPr lang="en-US" sz="1400"/>
            </a:p>
          </xdr:txBody>
        </xdr:sp>
      </mc:Fallback>
    </mc:AlternateContent>
    <xdr:clientData/>
  </xdr:twoCellAnchor>
  <xdr:twoCellAnchor>
    <xdr:from>
      <xdr:col>2</xdr:col>
      <xdr:colOff>0</xdr:colOff>
      <xdr:row>647</xdr:row>
      <xdr:rowOff>95247</xdr:rowOff>
    </xdr:from>
    <xdr:to>
      <xdr:col>2</xdr:col>
      <xdr:colOff>0</xdr:colOff>
      <xdr:row>649</xdr:row>
      <xdr:rowOff>152572</xdr:rowOff>
    </xdr:to>
    <mc:AlternateContent xmlns:mc="http://schemas.openxmlformats.org/markup-compatibility/2006" xmlns:a14="http://schemas.microsoft.com/office/drawing/2010/main">
      <mc:Choice Requires="a14">
        <xdr:sp macro="" textlink="">
          <xdr:nvSpPr>
            <xdr:cNvPr id="59" name="TextBox 58">
              <a:extLst>
                <a:ext uri="{FF2B5EF4-FFF2-40B4-BE49-F238E27FC236}">
                  <a16:creationId xmlns:a16="http://schemas.microsoft.com/office/drawing/2014/main" id="{00000000-0008-0000-0200-00003B000000}"/>
                </a:ext>
              </a:extLst>
            </xdr:cNvPr>
            <xdr:cNvSpPr txBox="1"/>
          </xdr:nvSpPr>
          <xdr:spPr>
            <a:xfrm>
              <a:off x="625929" y="114776247"/>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9" name="TextBox 58"/>
            <xdr:cNvSpPr txBox="1"/>
          </xdr:nvSpPr>
          <xdr:spPr>
            <a:xfrm>
              <a:off x="1028700" y="46348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1088572</xdr:colOff>
      <xdr:row>645</xdr:row>
      <xdr:rowOff>12882</xdr:rowOff>
    </xdr:from>
    <xdr:to>
      <xdr:col>16</xdr:col>
      <xdr:colOff>476250</xdr:colOff>
      <xdr:row>649</xdr:row>
      <xdr:rowOff>98607</xdr:rowOff>
    </xdr:to>
    <mc:AlternateContent xmlns:mc="http://schemas.openxmlformats.org/markup-compatibility/2006" xmlns:a14="http://schemas.microsoft.com/office/drawing/2010/main">
      <mc:Choice Requires="a14">
        <xdr:sp macro="" textlink="">
          <xdr:nvSpPr>
            <xdr:cNvPr id="60" name="TextBox 59">
              <a:extLst>
                <a:ext uri="{FF2B5EF4-FFF2-40B4-BE49-F238E27FC236}">
                  <a16:creationId xmlns:a16="http://schemas.microsoft.com/office/drawing/2014/main" id="{00000000-0008-0000-0200-00003C000000}"/>
                </a:ext>
              </a:extLst>
            </xdr:cNvPr>
            <xdr:cNvSpPr txBox="1"/>
          </xdr:nvSpPr>
          <xdr:spPr>
            <a:xfrm>
              <a:off x="1714501" y="114340096"/>
              <a:ext cx="21050249" cy="7932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0" name="TextBox 59"/>
            <xdr:cNvSpPr txBox="1"/>
          </xdr:nvSpPr>
          <xdr:spPr>
            <a:xfrm>
              <a:off x="2117272" y="46348650"/>
              <a:ext cx="1978070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[((〖𝐸𝑙𝑒𝑐𝐼𝑑𝑙𝑒〗_𝐵𝑎𝑠𝑒∗(𝐻𝑜𝑢𝑟𝑠−𝐹𝑜𝑜𝑑𝐶𝑜𝑜𝑘𝑒𝑑/〖𝐸𝑙𝑒𝑐𝑃𝐶〗_𝐵𝑎𝑠𝑒 ))−(〖𝐸𝑙𝑒𝑐𝐼𝑑𝑙𝑒〗_𝐸𝑆𝑇𝐴𝑅∗(𝐻𝑜𝑢𝑟𝑠−𝐹𝑜𝑜𝑑𝐶𝑜𝑜𝑘𝑒𝑑/〖𝐸𝑙𝑒𝑐𝑃𝐶〗_𝐸𝑆𝑇𝐴𝑅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)−(𝐹𝑜𝑜𝑑𝐶𝑜𝑜𝑘𝑒𝑑∗〖𝐸𝐹𝑂𝑂𝐷〗_𝐸𝑙𝑒𝑐/〖𝐸𝑙𝑒𝑐𝐸𝑓𝑓〗_𝐸𝑆𝑇𝐴𝑅 ))]∗𝐷𝑎𝑦𝑠/1000</a:t>
              </a:r>
              <a:endParaRPr lang="en-US" sz="1400"/>
            </a:p>
          </xdr:txBody>
        </xdr:sp>
      </mc:Fallback>
    </mc:AlternateContent>
    <xdr:clientData/>
  </xdr:twoCellAnchor>
  <xdr:twoCellAnchor>
    <xdr:from>
      <xdr:col>2</xdr:col>
      <xdr:colOff>0</xdr:colOff>
      <xdr:row>665</xdr:row>
      <xdr:rowOff>95247</xdr:rowOff>
    </xdr:from>
    <xdr:to>
      <xdr:col>2</xdr:col>
      <xdr:colOff>0</xdr:colOff>
      <xdr:row>667</xdr:row>
      <xdr:rowOff>152572</xdr:rowOff>
    </xdr:to>
    <mc:AlternateContent xmlns:mc="http://schemas.openxmlformats.org/markup-compatibility/2006" xmlns:a14="http://schemas.microsoft.com/office/drawing/2010/main">
      <mc:Choice Requires="a14">
        <xdr:sp macro="" textlink="">
          <xdr:nvSpPr>
            <xdr:cNvPr id="61" name="TextBox 60">
              <a:extLst>
                <a:ext uri="{FF2B5EF4-FFF2-40B4-BE49-F238E27FC236}">
                  <a16:creationId xmlns:a16="http://schemas.microsoft.com/office/drawing/2014/main" id="{00000000-0008-0000-0200-00003D000000}"/>
                </a:ext>
              </a:extLst>
            </xdr:cNvPr>
            <xdr:cNvSpPr txBox="1"/>
          </xdr:nvSpPr>
          <xdr:spPr>
            <a:xfrm>
              <a:off x="625929" y="118150818"/>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1" name="TextBox 60"/>
            <xdr:cNvSpPr txBox="1"/>
          </xdr:nvSpPr>
          <xdr:spPr>
            <a:xfrm>
              <a:off x="1028700" y="47872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1121500</xdr:colOff>
      <xdr:row>662</xdr:row>
      <xdr:rowOff>141333</xdr:rowOff>
    </xdr:from>
    <xdr:to>
      <xdr:col>17</xdr:col>
      <xdr:colOff>421821</xdr:colOff>
      <xdr:row>667</xdr:row>
      <xdr:rowOff>57513</xdr:rowOff>
    </xdr:to>
    <mc:AlternateContent xmlns:mc="http://schemas.openxmlformats.org/markup-compatibility/2006" xmlns:a14="http://schemas.microsoft.com/office/drawing/2010/main">
      <mc:Choice Requires="a14">
        <xdr:sp macro="" textlink="">
          <xdr:nvSpPr>
            <xdr:cNvPr id="62" name="TextBox 61">
              <a:extLst>
                <a:ext uri="{FF2B5EF4-FFF2-40B4-BE49-F238E27FC236}">
                  <a16:creationId xmlns:a16="http://schemas.microsoft.com/office/drawing/2014/main" id="{00000000-0008-0000-0200-00003E000000}"/>
                </a:ext>
              </a:extLst>
            </xdr:cNvPr>
            <xdr:cNvSpPr txBox="1"/>
          </xdr:nvSpPr>
          <xdr:spPr>
            <a:xfrm>
              <a:off x="1747429" y="117666226"/>
              <a:ext cx="21942606" cy="8006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2" name="TextBox 61"/>
            <xdr:cNvSpPr txBox="1"/>
          </xdr:nvSpPr>
          <xdr:spPr>
            <a:xfrm>
              <a:off x="2144485" y="47872650"/>
              <a:ext cx="209277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[((〖𝐸𝑙𝑒𝑐𝐼𝑑𝑙𝑒〗_𝐵𝑎𝑠𝑒∗(𝐻𝑜𝑢𝑟𝑠−𝐹𝑜𝑜𝑑𝐶𝑜𝑜𝑘𝑒𝑑/〖𝐸𝑙𝑒𝑐𝑃𝐶〗_𝐵𝑎𝑠𝑒 ))−(〖𝐸𝑙𝑒𝑐𝐼𝑑𝑙𝑒〗_𝐸𝑆𝑇𝐴𝑅∗(𝐻𝑜𝑢𝑟𝑠−𝐹𝑜𝑜𝑑𝐶𝑜𝑜𝑘𝑒𝑑/〖𝐸𝑙𝑒𝑐𝑃𝐶〗_𝐸𝑆𝑇𝐴𝑅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)−(𝐹𝑜𝑜𝑑𝐶𝑜𝑜𝑘𝑒𝑑∗〖𝐸𝐹𝑂𝑂𝐷〗_𝐸𝑙𝑒𝑐/〖𝐸𝑙𝑒𝑐𝐸𝑓𝑓〗_𝐸𝑆𝑇𝐴𝑅 ))]∗𝐷𝑎𝑦𝑠/1000</a:t>
              </a:r>
              <a:endParaRPr lang="en-US" sz="1400"/>
            </a:p>
          </xdr:txBody>
        </xdr:sp>
      </mc:Fallback>
    </mc:AlternateContent>
    <xdr:clientData/>
  </xdr:twoCellAnchor>
  <xdr:twoCellAnchor>
    <xdr:from>
      <xdr:col>2</xdr:col>
      <xdr:colOff>0</xdr:colOff>
      <xdr:row>682</xdr:row>
      <xdr:rowOff>95247</xdr:rowOff>
    </xdr:from>
    <xdr:to>
      <xdr:col>2</xdr:col>
      <xdr:colOff>0</xdr:colOff>
      <xdr:row>684</xdr:row>
      <xdr:rowOff>152572</xdr:rowOff>
    </xdr:to>
    <mc:AlternateContent xmlns:mc="http://schemas.openxmlformats.org/markup-compatibility/2006" xmlns:a14="http://schemas.microsoft.com/office/drawing/2010/main">
      <mc:Choice Requires="a14">
        <xdr:sp macro="" textlink="">
          <xdr:nvSpPr>
            <xdr:cNvPr id="63" name="TextBox 62">
              <a:extLst>
                <a:ext uri="{FF2B5EF4-FFF2-40B4-BE49-F238E27FC236}">
                  <a16:creationId xmlns:a16="http://schemas.microsoft.com/office/drawing/2014/main" id="{00000000-0008-0000-0200-00003F000000}"/>
                </a:ext>
              </a:extLst>
            </xdr:cNvPr>
            <xdr:cNvSpPr txBox="1"/>
          </xdr:nvSpPr>
          <xdr:spPr>
            <a:xfrm>
              <a:off x="625929" y="121348497"/>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3" name="TextBox 62"/>
            <xdr:cNvSpPr txBox="1"/>
          </xdr:nvSpPr>
          <xdr:spPr>
            <a:xfrm>
              <a:off x="1028700" y="4920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92305</xdr:colOff>
      <xdr:row>679</xdr:row>
      <xdr:rowOff>135248</xdr:rowOff>
    </xdr:from>
    <xdr:to>
      <xdr:col>16</xdr:col>
      <xdr:colOff>56581</xdr:colOff>
      <xdr:row>684</xdr:row>
      <xdr:rowOff>112569</xdr:rowOff>
    </xdr:to>
    <mc:AlternateContent xmlns:mc="http://schemas.openxmlformats.org/markup-compatibility/2006" xmlns:a14="http://schemas.microsoft.com/office/drawing/2010/main">
      <mc:Choice Requires="a14">
        <xdr:sp macro="" textlink="">
          <xdr:nvSpPr>
            <xdr:cNvPr id="64" name="TextBox 63">
              <a:extLst>
                <a:ext uri="{FF2B5EF4-FFF2-40B4-BE49-F238E27FC236}">
                  <a16:creationId xmlns:a16="http://schemas.microsoft.com/office/drawing/2014/main" id="{00000000-0008-0000-0200-000040000000}"/>
                </a:ext>
              </a:extLst>
            </xdr:cNvPr>
            <xdr:cNvSpPr txBox="1"/>
          </xdr:nvSpPr>
          <xdr:spPr>
            <a:xfrm>
              <a:off x="2133376" y="120857819"/>
              <a:ext cx="20211705" cy="861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r>
                                      <a:rPr lang="en-US" sz="1400" b="0" i="1">
                                        <a:latin typeface="Cambria Math" panose="02040503050406030204" pitchFamily="18" charset="0"/>
                                      </a:rPr>
                                      <m:t>𝑊𝑖𝑑𝑡h</m:t>
                                    </m:r>
                                    <m:r>
                                      <a:rPr lang="en-US" sz="1400" b="0" i="1">
                                        <a:latin typeface="Cambria Math" panose="02040503050406030204" pitchFamily="18" charset="0"/>
                                      </a:rPr>
                                      <m:t>∗</m:t>
                                    </m:r>
                                    <m:r>
                                      <a:rPr lang="en-US" sz="1400" b="0" i="1">
                                        <a:latin typeface="Cambria Math" panose="02040503050406030204" pitchFamily="18" charset="0"/>
                                      </a:rPr>
                                      <m:t>𝐷𝑒𝑝𝑡h</m:t>
                                    </m:r>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r>
                                      <a:rPr lang="en-US" sz="1400" b="0" i="1">
                                        <a:latin typeface="Cambria Math" panose="02040503050406030204" pitchFamily="18" charset="0"/>
                                      </a:rPr>
                                      <m:t>𝑊𝑖𝑑𝑡h</m:t>
                                    </m:r>
                                    <m:r>
                                      <a:rPr lang="en-US" sz="1400" b="0" i="1">
                                        <a:latin typeface="Cambria Math" panose="02040503050406030204" pitchFamily="18" charset="0"/>
                                      </a:rPr>
                                      <m:t>∗</m:t>
                                    </m:r>
                                    <m:r>
                                      <a:rPr lang="en-US" sz="1400" b="0" i="1">
                                        <a:latin typeface="Cambria Math" panose="02040503050406030204" pitchFamily="18" charset="0"/>
                                      </a:rPr>
                                      <m:t>𝐷𝑒𝑝𝑡h</m:t>
                                    </m:r>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4" name="TextBox 63"/>
            <xdr:cNvSpPr txBox="1"/>
          </xdr:nvSpPr>
          <xdr:spPr>
            <a:xfrm>
              <a:off x="2258290" y="49206150"/>
              <a:ext cx="1922763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[(((〖𝐸𝑙𝑒𝑐𝐼𝑑𝑙𝑒〗_𝐵𝑎𝑠𝑒∗𝑊𝑖𝑑𝑡ℎ∗𝐷𝑒𝑝𝑡ℎ)∗(𝐻𝑜𝑢𝑟𝑠−𝐹𝑜𝑜𝑑𝐶𝑜𝑜𝑘𝑒𝑑/〖𝐸𝑙𝑒𝑐𝑃𝐶〗_𝐵𝑎𝑠𝑒 ))−((〖𝐸𝑙𝑒𝑐𝐼𝑑𝑙𝑒〗_𝐸𝑆𝑇𝐴𝑅∗𝑊𝑖𝑑𝑡ℎ∗𝐷𝑒𝑝𝑡ℎ)∗(𝐻𝑜𝑢𝑟𝑠−𝐹𝑜𝑜𝑑𝐶𝑜𝑜𝑘𝑒𝑑/〖𝐸𝑙𝑒𝑐𝑃𝐶〗_𝐸𝑆𝑇𝐴𝑅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)−(𝐹𝑜𝑜𝑑𝐶𝑜𝑜𝑘𝑒𝑑∗〖𝐸𝐹𝑂𝑂𝐷〗_𝐸𝑙𝑒𝑐/〖𝐸𝑙𝑒𝑐𝐸𝑓𝑓〗_𝐸𝑆𝐴𝑅 ))]∗𝐷𝑎𝑦𝑠/1000</a:t>
              </a:r>
              <a:endParaRPr lang="en-US" sz="1400"/>
            </a:p>
          </xdr:txBody>
        </xdr:sp>
      </mc:Fallback>
    </mc:AlternateContent>
    <xdr:clientData/>
  </xdr:twoCellAnchor>
  <xdr:twoCellAnchor>
    <xdr:from>
      <xdr:col>2</xdr:col>
      <xdr:colOff>0</xdr:colOff>
      <xdr:row>699</xdr:row>
      <xdr:rowOff>95247</xdr:rowOff>
    </xdr:from>
    <xdr:to>
      <xdr:col>2</xdr:col>
      <xdr:colOff>0</xdr:colOff>
      <xdr:row>701</xdr:row>
      <xdr:rowOff>152572</xdr:rowOff>
    </xdr:to>
    <mc:AlternateContent xmlns:mc="http://schemas.openxmlformats.org/markup-compatibility/2006" xmlns:a14="http://schemas.microsoft.com/office/drawing/2010/main">
      <mc:Choice Requires="a14">
        <xdr:sp macro="" textlink="">
          <xdr:nvSpPr>
            <xdr:cNvPr id="65" name="TextBox 64">
              <a:extLst>
                <a:ext uri="{FF2B5EF4-FFF2-40B4-BE49-F238E27FC236}">
                  <a16:creationId xmlns:a16="http://schemas.microsoft.com/office/drawing/2014/main" id="{00000000-0008-0000-0200-000041000000}"/>
                </a:ext>
              </a:extLst>
            </xdr:cNvPr>
            <xdr:cNvSpPr txBox="1"/>
          </xdr:nvSpPr>
          <xdr:spPr>
            <a:xfrm>
              <a:off x="625929" y="124736676"/>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5" name="TextBox 64"/>
            <xdr:cNvSpPr txBox="1"/>
          </xdr:nvSpPr>
          <xdr:spPr>
            <a:xfrm>
              <a:off x="1028700" y="50539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716</xdr:row>
      <xdr:rowOff>95247</xdr:rowOff>
    </xdr:from>
    <xdr:to>
      <xdr:col>2</xdr:col>
      <xdr:colOff>0</xdr:colOff>
      <xdr:row>718</xdr:row>
      <xdr:rowOff>152572</xdr:rowOff>
    </xdr:to>
    <mc:AlternateContent xmlns:mc="http://schemas.openxmlformats.org/markup-compatibility/2006" xmlns:a14="http://schemas.microsoft.com/office/drawing/2010/main">
      <mc:Choice Requires="a14">
        <xdr:sp macro="" textlink="">
          <xdr:nvSpPr>
            <xdr:cNvPr id="67" name="TextBox 66">
              <a:extLst>
                <a:ext uri="{FF2B5EF4-FFF2-40B4-BE49-F238E27FC236}">
                  <a16:creationId xmlns:a16="http://schemas.microsoft.com/office/drawing/2014/main" id="{00000000-0008-0000-0200-000043000000}"/>
                </a:ext>
              </a:extLst>
            </xdr:cNvPr>
            <xdr:cNvSpPr txBox="1"/>
          </xdr:nvSpPr>
          <xdr:spPr>
            <a:xfrm>
              <a:off x="625929" y="127771068"/>
              <a:ext cx="0" cy="4247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7" name="TextBox 66"/>
            <xdr:cNvSpPr txBox="1"/>
          </xdr:nvSpPr>
          <xdr:spPr>
            <a:xfrm>
              <a:off x="1028700" y="51873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7891</xdr:colOff>
      <xdr:row>713</xdr:row>
      <xdr:rowOff>36286</xdr:rowOff>
    </xdr:from>
    <xdr:to>
      <xdr:col>5</xdr:col>
      <xdr:colOff>669470</xdr:colOff>
      <xdr:row>715</xdr:row>
      <xdr:rowOff>136071</xdr:rowOff>
    </xdr:to>
    <mc:AlternateContent xmlns:mc="http://schemas.openxmlformats.org/markup-compatibility/2006" xmlns:a14="http://schemas.microsoft.com/office/drawing/2010/main">
      <mc:Choice Requires="a14">
        <xdr:sp macro="" textlink="">
          <xdr:nvSpPr>
            <xdr:cNvPr id="68" name="TextBox 67">
              <a:extLst>
                <a:ext uri="{FF2B5EF4-FFF2-40B4-BE49-F238E27FC236}">
                  <a16:creationId xmlns:a16="http://schemas.microsoft.com/office/drawing/2014/main" id="{00000000-0008-0000-0200-000044000000}"/>
                </a:ext>
              </a:extLst>
            </xdr:cNvPr>
            <xdr:cNvSpPr txBox="1"/>
          </xdr:nvSpPr>
          <xdr:spPr>
            <a:xfrm flipH="1">
              <a:off x="2048962" y="127154215"/>
              <a:ext cx="7220222" cy="4671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𝐺𝑎𝑙𝑙𝑜𝑛𝑠</m:t>
                    </m:r>
                    <m:r>
                      <a:rPr lang="en-US" sz="1400" b="0" i="1">
                        <a:latin typeface="Cambria Math" panose="02040503050406030204" pitchFamily="18" charset="0"/>
                        <a:ea typeface="Cambria Math" panose="02040503050406030204" pitchFamily="18" charset="0"/>
                      </a:rPr>
                      <m:t> ∗8.33∗1∗</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𝑜𝑢𝑡</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𝑖𝑛</m:t>
                            </m:r>
                          </m:sub>
                        </m:sSub>
                      </m:e>
                    </m:d>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f>
                          <m:fPr>
                            <m:type m:val="lin"/>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𝐸𝐹𝐹</m:t>
                            </m:r>
                            <m:r>
                              <a:rPr lang="en-US" sz="1400" b="0" i="1">
                                <a:latin typeface="Cambria Math" panose="02040503050406030204" pitchFamily="18" charset="0"/>
                                <a:ea typeface="Cambria Math" panose="02040503050406030204" pitchFamily="18" charset="0"/>
                              </a:rPr>
                              <m:t>_</m:t>
                            </m:r>
                            <m:r>
                              <a:rPr lang="en-US" sz="1400" b="0" i="1">
                                <a:latin typeface="Cambria Math" panose="02040503050406030204" pitchFamily="18" charset="0"/>
                                <a:ea typeface="Cambria Math" panose="02040503050406030204" pitchFamily="18" charset="0"/>
                              </a:rPr>
                              <m:t>𝐸𝑙𝑒𝑐</m:t>
                            </m:r>
                          </m:den>
                        </m:f>
                      </m:num>
                      <m:den>
                        <m:r>
                          <a:rPr lang="en-US" sz="1400" b="0" i="1">
                            <a:latin typeface="Cambria Math" panose="02040503050406030204" pitchFamily="18" charset="0"/>
                            <a:ea typeface="Cambria Math" panose="02040503050406030204" pitchFamily="18" charset="0"/>
                          </a:rPr>
                          <m:t>3413</m:t>
                        </m:r>
                      </m:den>
                    </m:f>
                  </m:oMath>
                </m:oMathPara>
              </a14:m>
              <a:endParaRPr lang="en-US" sz="1400"/>
            </a:p>
          </xdr:txBody>
        </xdr:sp>
      </mc:Choice>
      <mc:Fallback xmlns="">
        <xdr:sp macro="" textlink="">
          <xdr:nvSpPr>
            <xdr:cNvPr id="68" name="TextBox 67"/>
            <xdr:cNvSpPr txBox="1"/>
          </xdr:nvSpPr>
          <xdr:spPr>
            <a:xfrm flipH="1">
              <a:off x="2175781" y="51873150"/>
              <a:ext cx="6961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∆𝐺𝑎𝑙𝑙𝑜𝑛𝑠 ∗8.33∗1∗(𝑇_𝑜𝑢𝑡−𝑇_𝑖𝑛 )∗(1∕〖𝐸𝐹𝐹_𝐸𝑙𝑒𝑐〗)/3413</a:t>
              </a:r>
              <a:endParaRPr lang="en-US" sz="1400"/>
            </a:p>
          </xdr:txBody>
        </xdr:sp>
      </mc:Fallback>
    </mc:AlternateContent>
    <xdr:clientData/>
  </xdr:twoCellAnchor>
  <xdr:twoCellAnchor>
    <xdr:from>
      <xdr:col>3</xdr:col>
      <xdr:colOff>17120</xdr:colOff>
      <xdr:row>716</xdr:row>
      <xdr:rowOff>92650</xdr:rowOff>
    </xdr:from>
    <xdr:to>
      <xdr:col>16</xdr:col>
      <xdr:colOff>868391</xdr:colOff>
      <xdr:row>717</xdr:row>
      <xdr:rowOff>150231</xdr:rowOff>
    </xdr:to>
    <mc:AlternateContent xmlns:mc="http://schemas.openxmlformats.org/markup-compatibility/2006" xmlns:a14="http://schemas.microsoft.com/office/drawing/2010/main">
      <mc:Choice Requires="a14">
        <xdr:sp macro="" textlink="">
          <xdr:nvSpPr>
            <xdr:cNvPr id="69" name="TextBox 68">
              <a:extLst>
                <a:ext uri="{FF2B5EF4-FFF2-40B4-BE49-F238E27FC236}">
                  <a16:creationId xmlns:a16="http://schemas.microsoft.com/office/drawing/2014/main" id="{00000000-0008-0000-0200-000045000000}"/>
                </a:ext>
              </a:extLst>
            </xdr:cNvPr>
            <xdr:cNvSpPr txBox="1"/>
          </xdr:nvSpPr>
          <xdr:spPr>
            <a:xfrm>
              <a:off x="2058191" y="127768471"/>
              <a:ext cx="21098700" cy="2480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𝐺𝑎𝑙𝑙𝑜𝑛𝑠</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𝐹𝐿𝑂</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𝐹𝐿𝑂</m:t>
                            </m:r>
                          </m:e>
                          <m:sub>
                            <m:r>
                              <a:rPr lang="en-US" sz="1400" b="0" i="1">
                                <a:latin typeface="Cambria Math" panose="02040503050406030204" pitchFamily="18" charset="0"/>
                                <a:ea typeface="Cambria Math" panose="02040503050406030204" pitchFamily="18" charset="0"/>
                              </a:rPr>
                              <m:t>𝑒𝑓𝑓</m:t>
                            </m:r>
                          </m:sub>
                        </m:sSub>
                      </m:e>
                    </m:d>
                    <m:r>
                      <a:rPr lang="en-US" sz="1400" b="0" i="1">
                        <a:latin typeface="Cambria Math" panose="02040503050406030204" pitchFamily="18" charset="0"/>
                        <a:ea typeface="Cambria Math" panose="02040503050406030204" pitchFamily="18" charset="0"/>
                      </a:rPr>
                      <m:t>∗60∗</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𝐻𝑂𝑈𝑅𝑆</m:t>
                        </m:r>
                      </m:e>
                      <m:sub>
                        <m:r>
                          <a:rPr lang="en-US" sz="1400" b="0" i="1">
                            <a:latin typeface="Cambria Math" panose="02040503050406030204" pitchFamily="18" charset="0"/>
                            <a:ea typeface="Cambria Math" panose="02040503050406030204" pitchFamily="18" charset="0"/>
                          </a:rPr>
                          <m:t>𝑑𝑎𝑦</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𝐷𝐴𝑌𝑆</m:t>
                        </m:r>
                      </m:e>
                      <m:sub>
                        <m:r>
                          <a:rPr lang="en-US" sz="1400" b="0" i="1">
                            <a:latin typeface="Cambria Math" panose="02040503050406030204" pitchFamily="18" charset="0"/>
                            <a:ea typeface="Cambria Math" panose="02040503050406030204" pitchFamily="18" charset="0"/>
                          </a:rPr>
                          <m:t>𝑦𝑒𝑎𝑟</m:t>
                        </m:r>
                      </m:sub>
                    </m:sSub>
                  </m:oMath>
                </m:oMathPara>
              </a14:m>
              <a:endParaRPr lang="en-US" sz="1400"/>
            </a:p>
          </xdr:txBody>
        </xdr:sp>
      </mc:Choice>
      <mc:Fallback xmlns="">
        <xdr:sp macro="" textlink="">
          <xdr:nvSpPr>
            <xdr:cNvPr id="69" name="TextBox 68"/>
            <xdr:cNvSpPr txBox="1"/>
          </xdr:nvSpPr>
          <xdr:spPr>
            <a:xfrm>
              <a:off x="2196440" y="51873150"/>
              <a:ext cx="20097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𝐺𝑎𝑙𝑙𝑜𝑛𝑠=(〖𝐹𝐿𝑂〗_𝑏𝑎𝑠𝑒−〖𝐹𝐿𝑂〗_𝑒𝑓𝑓 )∗60∗〖𝐻𝑂𝑈𝑅𝑆〗_𝑑𝑎𝑦∗〖𝐷𝐴𝑌𝑆〗_𝑦𝑒𝑎𝑟</a:t>
              </a:r>
              <a:endParaRPr lang="en-US" sz="1400"/>
            </a:p>
          </xdr:txBody>
        </xdr:sp>
      </mc:Fallback>
    </mc:AlternateContent>
    <xdr:clientData/>
  </xdr:twoCellAnchor>
  <xdr:twoCellAnchor>
    <xdr:from>
      <xdr:col>2</xdr:col>
      <xdr:colOff>0</xdr:colOff>
      <xdr:row>732</xdr:row>
      <xdr:rowOff>95247</xdr:rowOff>
    </xdr:from>
    <xdr:to>
      <xdr:col>2</xdr:col>
      <xdr:colOff>0</xdr:colOff>
      <xdr:row>734</xdr:row>
      <xdr:rowOff>152572</xdr:rowOff>
    </xdr:to>
    <mc:AlternateContent xmlns:mc="http://schemas.openxmlformats.org/markup-compatibility/2006" xmlns:a14="http://schemas.microsoft.com/office/drawing/2010/main">
      <mc:Choice Requires="a14">
        <xdr:sp macro="" textlink="">
          <xdr:nvSpPr>
            <xdr:cNvPr id="70" name="TextBox 69">
              <a:extLst>
                <a:ext uri="{FF2B5EF4-FFF2-40B4-BE49-F238E27FC236}">
                  <a16:creationId xmlns:a16="http://schemas.microsoft.com/office/drawing/2014/main" id="{00000000-0008-0000-0200-000046000000}"/>
                </a:ext>
              </a:extLst>
            </xdr:cNvPr>
            <xdr:cNvSpPr txBox="1"/>
          </xdr:nvSpPr>
          <xdr:spPr>
            <a:xfrm>
              <a:off x="625929" y="130614961"/>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0" name="TextBox 69"/>
            <xdr:cNvSpPr txBox="1"/>
          </xdr:nvSpPr>
          <xdr:spPr>
            <a:xfrm>
              <a:off x="1028700" y="53206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59574</xdr:colOff>
      <xdr:row>730</xdr:row>
      <xdr:rowOff>140919</xdr:rowOff>
    </xdr:from>
    <xdr:to>
      <xdr:col>5</xdr:col>
      <xdr:colOff>1050694</xdr:colOff>
      <xdr:row>733</xdr:row>
      <xdr:rowOff>88296</xdr:rowOff>
    </xdr:to>
    <mc:AlternateContent xmlns:mc="http://schemas.openxmlformats.org/markup-compatibility/2006" xmlns:a14="http://schemas.microsoft.com/office/drawing/2010/main">
      <mc:Choice Requires="a14">
        <xdr:sp macro="" textlink="">
          <xdr:nvSpPr>
            <xdr:cNvPr id="71" name="TextBox 70">
              <a:extLst>
                <a:ext uri="{FF2B5EF4-FFF2-40B4-BE49-F238E27FC236}">
                  <a16:creationId xmlns:a16="http://schemas.microsoft.com/office/drawing/2014/main" id="{00000000-0008-0000-0200-000047000000}"/>
                </a:ext>
              </a:extLst>
            </xdr:cNvPr>
            <xdr:cNvSpPr txBox="1"/>
          </xdr:nvSpPr>
          <xdr:spPr>
            <a:xfrm>
              <a:off x="2100645" y="130306848"/>
              <a:ext cx="7549763" cy="4780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0">
                        <a:latin typeface="Cambria Math" panose="02040503050406030204" pitchFamily="18" charset="0"/>
                        <a:ea typeface="Cambria Math" panose="02040503050406030204" pitchFamily="18" charset="0"/>
                      </a:rPr>
                      <m:t>%</m:t>
                    </m:r>
                    <m:r>
                      <m:rPr>
                        <m:sty m:val="p"/>
                      </m:rPr>
                      <a:rPr lang="en-US" sz="1400" b="0" i="0">
                        <a:latin typeface="Cambria Math" panose="02040503050406030204" pitchFamily="18" charset="0"/>
                        <a:ea typeface="Cambria Math" panose="02040503050406030204" pitchFamily="18" charset="0"/>
                      </a:rPr>
                      <m:t>ElectricDHW</m:t>
                    </m:r>
                    <m:r>
                      <a:rPr lang="en-US" sz="1400" b="0" i="0">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𝑙𝑜𝑤</m:t>
                                    </m:r>
                                  </m:sub>
                                </m:sSub>
                              </m:e>
                            </m:d>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𝑈𝑠𝑎𝑔𝑒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𝐸𝑃𝐺</m:t>
                        </m:r>
                      </m:e>
                      <m:sub>
                        <m:r>
                          <a:rPr lang="en-US" sz="1400" b="0" i="1">
                            <a:latin typeface="Cambria Math" panose="02040503050406030204" pitchFamily="18" charset="0"/>
                            <a:ea typeface="Cambria Math" panose="02040503050406030204" pitchFamily="18" charset="0"/>
                          </a:rPr>
                          <m:t>𝑒𝑙𝑒𝑐𝑡𝑟𝑖𝑐</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71" name="TextBox 70"/>
            <xdr:cNvSpPr txBox="1"/>
          </xdr:nvSpPr>
          <xdr:spPr>
            <a:xfrm>
              <a:off x="2223654" y="53206650"/>
              <a:ext cx="730048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𝑘𝑊ℎ=%ElectricDHW∗(((〖𝐺𝑃𝑀〗_𝑏𝑎𝑠𝑒−〖𝐺𝑃𝑀〗_𝑙𝑜𝑤 ))/〖𝐺𝑃𝑀〗_𝑏𝑎𝑠𝑒 )∗𝑈𝑠𝑎𝑔𝑒∗〖𝐸𝑃𝐺〗_𝑒𝑙𝑒𝑐𝑡𝑟𝑖𝑐∗𝐼𝑆𝑅</a:t>
              </a:r>
              <a:endParaRPr lang="en-US" sz="1400"/>
            </a:p>
          </xdr:txBody>
        </xdr:sp>
      </mc:Fallback>
    </mc:AlternateContent>
    <xdr:clientData/>
  </xdr:twoCellAnchor>
  <xdr:twoCellAnchor>
    <xdr:from>
      <xdr:col>6</xdr:col>
      <xdr:colOff>19866</xdr:colOff>
      <xdr:row>730</xdr:row>
      <xdr:rowOff>165734</xdr:rowOff>
    </xdr:from>
    <xdr:to>
      <xdr:col>11</xdr:col>
      <xdr:colOff>1248046</xdr:colOff>
      <xdr:row>732</xdr:row>
      <xdr:rowOff>130534</xdr:rowOff>
    </xdr:to>
    <mc:AlternateContent xmlns:mc="http://schemas.openxmlformats.org/markup-compatibility/2006" xmlns:a14="http://schemas.microsoft.com/office/drawing/2010/main">
      <mc:Choice Requires="a14">
        <xdr:sp macro="" textlink="">
          <xdr:nvSpPr>
            <xdr:cNvPr id="72" name="TextBox 71">
              <a:extLst>
                <a:ext uri="{FF2B5EF4-FFF2-40B4-BE49-F238E27FC236}">
                  <a16:creationId xmlns:a16="http://schemas.microsoft.com/office/drawing/2014/main" id="{00000000-0008-0000-0200-000048000000}"/>
                </a:ext>
              </a:extLst>
            </xdr:cNvPr>
            <xdr:cNvSpPr txBox="1"/>
          </xdr:nvSpPr>
          <xdr:spPr>
            <a:xfrm>
              <a:off x="9966687" y="130331663"/>
              <a:ext cx="8644073" cy="3185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𝐸𝑃𝐺</m:t>
                        </m:r>
                      </m:e>
                      <m:sub>
                        <m:r>
                          <a:rPr lang="en-US" sz="1400" b="0" i="1">
                            <a:latin typeface="Cambria Math" panose="02040503050406030204" pitchFamily="18" charset="0"/>
                          </a:rPr>
                          <m:t>𝑒𝑙𝑒𝑐𝑡𝑟𝑖𝑐</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8.33∗1∗</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𝑊𝑎𝑡𝑒𝑟𝑇𝑒𝑚𝑝</m:t>
                                </m:r>
                              </m:e>
                              <m:sub>
                                <m:r>
                                  <a:rPr lang="en-US" sz="1400" b="0" i="1">
                                    <a:latin typeface="Cambria Math" panose="02040503050406030204" pitchFamily="18" charset="0"/>
                                  </a:rPr>
                                  <m:t>𝑚𝑖𝑥𝑒𝑑</m:t>
                                </m:r>
                              </m:sub>
                            </m:sSub>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𝑊𝑎𝑡𝑒𝑟𝑇𝑒𝑚𝑝</m:t>
                                </m:r>
                              </m:e>
                              <m:sub>
                                <m:r>
                                  <a:rPr lang="en-US" sz="1400" b="0" i="1">
                                    <a:latin typeface="Cambria Math" panose="02040503050406030204" pitchFamily="18" charset="0"/>
                                  </a:rPr>
                                  <m:t>𝑠𝑢𝑝𝑝𝑙𝑦</m:t>
                                </m:r>
                              </m:sub>
                            </m:sSub>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𝑅𝐸</m:t>
                            </m:r>
                          </m:e>
                          <m:sub>
                            <m:r>
                              <a:rPr lang="en-US" sz="1400" b="0" i="1">
                                <a:latin typeface="Cambria Math" panose="02040503050406030204" pitchFamily="18" charset="0"/>
                              </a:rPr>
                              <m:t>𝑒𝑙𝑒𝑐𝑡𝑟𝑖𝑐</m:t>
                            </m:r>
                          </m:sub>
                        </m:sSub>
                        <m:r>
                          <a:rPr lang="en-US" sz="1400" b="0" i="1">
                            <a:latin typeface="Cambria Math" panose="02040503050406030204" pitchFamily="18" charset="0"/>
                          </a:rPr>
                          <m:t>∗3412</m:t>
                        </m:r>
                      </m:e>
                    </m:d>
                  </m:oMath>
                </m:oMathPara>
              </a14:m>
              <a:endParaRPr lang="en-US" sz="1100"/>
            </a:p>
          </xdr:txBody>
        </xdr:sp>
      </mc:Choice>
      <mc:Fallback xmlns="">
        <xdr:sp macro="" textlink="">
          <xdr:nvSpPr>
            <xdr:cNvPr id="72" name="TextBox 71"/>
            <xdr:cNvSpPr txBox="1"/>
          </xdr:nvSpPr>
          <xdr:spPr>
            <a:xfrm>
              <a:off x="9784896" y="53206650"/>
              <a:ext cx="80976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𝐸𝑃𝐺〗_𝑒𝑙𝑒𝑐𝑡𝑟𝑖𝑐=(8.33∗1∗(〖𝑊𝑎𝑡𝑒𝑟𝑇𝑒𝑚𝑝〗_𝑚𝑖𝑥𝑒𝑑−〖𝑊𝑎𝑡𝑒𝑟𝑇𝑒𝑚𝑝〗_𝑠𝑢𝑝𝑝𝑙𝑦 ))/(〖𝑅𝐸〗_𝑒𝑙𝑒𝑐𝑡𝑟𝑖𝑐∗3412)</a:t>
              </a:r>
              <a:endParaRPr lang="en-US" sz="1100"/>
            </a:p>
          </xdr:txBody>
        </xdr:sp>
      </mc:Fallback>
    </mc:AlternateContent>
    <xdr:clientData/>
  </xdr:twoCellAnchor>
  <xdr:twoCellAnchor>
    <xdr:from>
      <xdr:col>2</xdr:col>
      <xdr:colOff>0</xdr:colOff>
      <xdr:row>748</xdr:row>
      <xdr:rowOff>95247</xdr:rowOff>
    </xdr:from>
    <xdr:to>
      <xdr:col>2</xdr:col>
      <xdr:colOff>0</xdr:colOff>
      <xdr:row>750</xdr:row>
      <xdr:rowOff>152572</xdr:rowOff>
    </xdr:to>
    <mc:AlternateContent xmlns:mc="http://schemas.openxmlformats.org/markup-compatibility/2006" xmlns:a14="http://schemas.microsoft.com/office/drawing/2010/main">
      <mc:Choice Requires="a14">
        <xdr:sp macro="" textlink="">
          <xdr:nvSpPr>
            <xdr:cNvPr id="73" name="TextBox 72">
              <a:extLst>
                <a:ext uri="{FF2B5EF4-FFF2-40B4-BE49-F238E27FC236}">
                  <a16:creationId xmlns:a16="http://schemas.microsoft.com/office/drawing/2014/main" id="{00000000-0008-0000-0200-000049000000}"/>
                </a:ext>
              </a:extLst>
            </xdr:cNvPr>
            <xdr:cNvSpPr txBox="1"/>
          </xdr:nvSpPr>
          <xdr:spPr>
            <a:xfrm>
              <a:off x="625929" y="133445247"/>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3" name="TextBox 72"/>
            <xdr:cNvSpPr txBox="1"/>
          </xdr:nvSpPr>
          <xdr:spPr>
            <a:xfrm>
              <a:off x="1028700" y="5454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2720</xdr:colOff>
      <xdr:row>746</xdr:row>
      <xdr:rowOff>126274</xdr:rowOff>
    </xdr:from>
    <xdr:to>
      <xdr:col>4</xdr:col>
      <xdr:colOff>1428749</xdr:colOff>
      <xdr:row>748</xdr:row>
      <xdr:rowOff>172353</xdr:rowOff>
    </xdr:to>
    <mc:AlternateContent xmlns:mc="http://schemas.openxmlformats.org/markup-compatibility/2006" xmlns:a14="http://schemas.microsoft.com/office/drawing/2010/main">
      <mc:Choice Requires="a14">
        <xdr:sp macro="" textlink="">
          <xdr:nvSpPr>
            <xdr:cNvPr id="74" name="TextBox 73">
              <a:extLst>
                <a:ext uri="{FF2B5EF4-FFF2-40B4-BE49-F238E27FC236}">
                  <a16:creationId xmlns:a16="http://schemas.microsoft.com/office/drawing/2014/main" id="{00000000-0008-0000-0200-00004A000000}"/>
                </a:ext>
              </a:extLst>
            </xdr:cNvPr>
            <xdr:cNvSpPr txBox="1"/>
          </xdr:nvSpPr>
          <xdr:spPr>
            <a:xfrm flipH="1">
              <a:off x="2043791" y="133122488"/>
              <a:ext cx="3113315" cy="3998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0">
                        <a:latin typeface="Cambria Math" panose="02040503050406030204" pitchFamily="18" charset="0"/>
                        <a:ea typeface="Cambria Math" panose="02040503050406030204" pitchFamily="18" charset="0"/>
                      </a:rPr>
                      <m:t>=651</m:t>
                    </m:r>
                  </m:oMath>
                </m:oMathPara>
              </a14:m>
              <a:endParaRPr lang="en-US" sz="1400"/>
            </a:p>
          </xdr:txBody>
        </xdr:sp>
      </mc:Choice>
      <mc:Fallback xmlns="">
        <xdr:sp macro="" textlink="">
          <xdr:nvSpPr>
            <xdr:cNvPr id="74" name="TextBox 73"/>
            <xdr:cNvSpPr txBox="1"/>
          </xdr:nvSpPr>
          <xdr:spPr>
            <a:xfrm flipH="1">
              <a:off x="2174420" y="54540150"/>
              <a:ext cx="29024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𝑘𝑊ℎ=651</a:t>
              </a:r>
              <a:endParaRPr lang="en-US" sz="1400"/>
            </a:p>
          </xdr:txBody>
        </xdr:sp>
      </mc:Fallback>
    </mc:AlternateContent>
    <xdr:clientData/>
  </xdr:twoCellAnchor>
  <xdr:twoCellAnchor>
    <xdr:from>
      <xdr:col>2</xdr:col>
      <xdr:colOff>0</xdr:colOff>
      <xdr:row>764</xdr:row>
      <xdr:rowOff>95247</xdr:rowOff>
    </xdr:from>
    <xdr:to>
      <xdr:col>2</xdr:col>
      <xdr:colOff>0</xdr:colOff>
      <xdr:row>766</xdr:row>
      <xdr:rowOff>152572</xdr:rowOff>
    </xdr:to>
    <mc:AlternateContent xmlns:mc="http://schemas.openxmlformats.org/markup-compatibility/2006" xmlns:a14="http://schemas.microsoft.com/office/drawing/2010/main">
      <mc:Choice Requires="a14">
        <xdr:sp macro="" textlink="">
          <xdr:nvSpPr>
            <xdr:cNvPr id="75" name="TextBox 74">
              <a:extLst>
                <a:ext uri="{FF2B5EF4-FFF2-40B4-BE49-F238E27FC236}">
                  <a16:creationId xmlns:a16="http://schemas.microsoft.com/office/drawing/2014/main" id="{00000000-0008-0000-0200-00004B000000}"/>
                </a:ext>
              </a:extLst>
            </xdr:cNvPr>
            <xdr:cNvSpPr txBox="1"/>
          </xdr:nvSpPr>
          <xdr:spPr>
            <a:xfrm>
              <a:off x="625929" y="136466033"/>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5" name="TextBox 74"/>
            <xdr:cNvSpPr txBox="1"/>
          </xdr:nvSpPr>
          <xdr:spPr>
            <a:xfrm>
              <a:off x="1028700" y="5587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0</xdr:colOff>
      <xdr:row>762</xdr:row>
      <xdr:rowOff>105046</xdr:rowOff>
    </xdr:from>
    <xdr:to>
      <xdr:col>5</xdr:col>
      <xdr:colOff>466453</xdr:colOff>
      <xdr:row>765</xdr:row>
      <xdr:rowOff>13118</xdr:rowOff>
    </xdr:to>
    <mc:AlternateContent xmlns:mc="http://schemas.openxmlformats.org/markup-compatibility/2006" xmlns:a14="http://schemas.microsoft.com/office/drawing/2010/main">
      <mc:Choice Requires="a14">
        <xdr:sp macro="" textlink="">
          <xdr:nvSpPr>
            <xdr:cNvPr id="76" name="TextBox 75">
              <a:extLst>
                <a:ext uri="{FF2B5EF4-FFF2-40B4-BE49-F238E27FC236}">
                  <a16:creationId xmlns:a16="http://schemas.microsoft.com/office/drawing/2014/main" id="{00000000-0008-0000-0200-00004C000000}"/>
                </a:ext>
              </a:extLst>
            </xdr:cNvPr>
            <xdr:cNvSpPr txBox="1"/>
          </xdr:nvSpPr>
          <xdr:spPr>
            <a:xfrm flipH="1">
              <a:off x="2041071" y="136122046"/>
              <a:ext cx="7025096" cy="4387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𝑆𝑞𝑓𝑡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𝐹𝑎𝑐𝑡𝑜𝑟</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𝑃𝐹</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𝑒𝑥𝑖𝑠𝑡</m:t>
                            </m:r>
                          </m:sub>
                        </m:sSub>
                      </m:den>
                    </m:f>
                  </m:oMath>
                </m:oMathPara>
              </a14:m>
              <a:endParaRPr lang="en-US" sz="1400"/>
            </a:p>
          </xdr:txBody>
        </xdr:sp>
      </mc:Choice>
      <mc:Fallback xmlns="">
        <xdr:sp macro="" textlink="">
          <xdr:nvSpPr>
            <xdr:cNvPr id="76" name="TextBox 75"/>
            <xdr:cNvSpPr txBox="1"/>
          </xdr:nvSpPr>
          <xdr:spPr>
            <a:xfrm flipH="1">
              <a:off x="2171700" y="55873650"/>
              <a:ext cx="6758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𝑘𝑊ℎ=(𝑆𝑞𝑓𝑡∗𝑆𝑎𝑣𝑖𝑛𝑔𝑠 𝐹𝑎𝑐𝑡𝑜𝑟∗𝑃𝐹)/〖𝐸𝐸𝑅〗_𝑒𝑥𝑖𝑠𝑡 </a:t>
              </a:r>
              <a:endParaRPr lang="en-US" sz="1400"/>
            </a:p>
          </xdr:txBody>
        </xdr:sp>
      </mc:Fallback>
    </mc:AlternateContent>
    <xdr:clientData/>
  </xdr:twoCellAnchor>
  <xdr:twoCellAnchor>
    <xdr:from>
      <xdr:col>2</xdr:col>
      <xdr:colOff>0</xdr:colOff>
      <xdr:row>782</xdr:row>
      <xdr:rowOff>95247</xdr:rowOff>
    </xdr:from>
    <xdr:to>
      <xdr:col>2</xdr:col>
      <xdr:colOff>0</xdr:colOff>
      <xdr:row>784</xdr:row>
      <xdr:rowOff>152572</xdr:rowOff>
    </xdr:to>
    <mc:AlternateContent xmlns:mc="http://schemas.openxmlformats.org/markup-compatibility/2006" xmlns:a14="http://schemas.microsoft.com/office/drawing/2010/main">
      <mc:Choice Requires="a14">
        <xdr:sp macro="" textlink="">
          <xdr:nvSpPr>
            <xdr:cNvPr id="77" name="TextBox 76">
              <a:extLst>
                <a:ext uri="{FF2B5EF4-FFF2-40B4-BE49-F238E27FC236}">
                  <a16:creationId xmlns:a16="http://schemas.microsoft.com/office/drawing/2014/main" id="{00000000-0008-0000-0200-00004D000000}"/>
                </a:ext>
              </a:extLst>
            </xdr:cNvPr>
            <xdr:cNvSpPr txBox="1"/>
          </xdr:nvSpPr>
          <xdr:spPr>
            <a:xfrm>
              <a:off x="625929" y="140031104"/>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7" name="TextBox 76"/>
            <xdr:cNvSpPr txBox="1"/>
          </xdr:nvSpPr>
          <xdr:spPr>
            <a:xfrm>
              <a:off x="1028700" y="57588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4</xdr:col>
      <xdr:colOff>427536</xdr:colOff>
      <xdr:row>779</xdr:row>
      <xdr:rowOff>84849</xdr:rowOff>
    </xdr:from>
    <xdr:to>
      <xdr:col>6</xdr:col>
      <xdr:colOff>1895202</xdr:colOff>
      <xdr:row>782</xdr:row>
      <xdr:rowOff>23910</xdr:rowOff>
    </xdr:to>
    <mc:AlternateContent xmlns:mc="http://schemas.openxmlformats.org/markup-compatibility/2006" xmlns:a14="http://schemas.microsoft.com/office/drawing/2010/main">
      <mc:Choice Requires="a14">
        <xdr:sp macro="" textlink="">
          <xdr:nvSpPr>
            <xdr:cNvPr id="78" name="TextBox 77">
              <a:extLst>
                <a:ext uri="{FF2B5EF4-FFF2-40B4-BE49-F238E27FC236}">
                  <a16:creationId xmlns:a16="http://schemas.microsoft.com/office/drawing/2014/main" id="{00000000-0008-0000-0200-00004E000000}"/>
                </a:ext>
              </a:extLst>
            </xdr:cNvPr>
            <xdr:cNvSpPr txBox="1"/>
          </xdr:nvSpPr>
          <xdr:spPr>
            <a:xfrm flipH="1">
              <a:off x="4155893" y="53778635"/>
              <a:ext cx="7686130" cy="469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78" name="TextBox 77">
              <a:extLst>
                <a:ext uri="{FF2B5EF4-FFF2-40B4-BE49-F238E27FC236}">
                  <a16:creationId xmlns:a16="http://schemas.microsoft.com/office/drawing/2014/main" id="{00000000-0008-0000-0200-00004E000000}"/>
                </a:ext>
              </a:extLst>
            </xdr:cNvPr>
            <xdr:cNvSpPr txBox="1"/>
          </xdr:nvSpPr>
          <xdr:spPr>
            <a:xfrm flipH="1">
              <a:off x="4155893" y="53778635"/>
              <a:ext cx="7686130" cy="469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𝑘𝑊ℎ=〖𝑆𝑄𝐹𝑇〗_𝑐𝑜𝑛𝑑/1000∗〖𝑆𝐹〗_𝑐𝑜𝑜𝑙𝑖𝑛𝑔+〖𝑆𝑄𝐹𝑇〗_𝑐𝑜𝑛𝑑/1000∗〖𝑆𝐹〗_ℎ𝑒𝑎𝑡</a:t>
              </a:r>
              <a:endParaRPr lang="en-US" sz="1100"/>
            </a:p>
          </xdr:txBody>
        </xdr:sp>
      </mc:Fallback>
    </mc:AlternateContent>
    <xdr:clientData/>
  </xdr:twoCellAnchor>
  <xdr:twoCellAnchor>
    <xdr:from>
      <xdr:col>2</xdr:col>
      <xdr:colOff>0</xdr:colOff>
      <xdr:row>800</xdr:row>
      <xdr:rowOff>95247</xdr:rowOff>
    </xdr:from>
    <xdr:to>
      <xdr:col>2</xdr:col>
      <xdr:colOff>0</xdr:colOff>
      <xdr:row>802</xdr:row>
      <xdr:rowOff>152572</xdr:rowOff>
    </xdr:to>
    <mc:AlternateContent xmlns:mc="http://schemas.openxmlformats.org/markup-compatibility/2006" xmlns:a14="http://schemas.microsoft.com/office/drawing/2010/main">
      <mc:Choice Requires="a14">
        <xdr:sp macro="" textlink="">
          <xdr:nvSpPr>
            <xdr:cNvPr id="79" name="TextBox 78">
              <a:extLst>
                <a:ext uri="{FF2B5EF4-FFF2-40B4-BE49-F238E27FC236}">
                  <a16:creationId xmlns:a16="http://schemas.microsoft.com/office/drawing/2014/main" id="{00000000-0008-0000-0200-00004F000000}"/>
                </a:ext>
              </a:extLst>
            </xdr:cNvPr>
            <xdr:cNvSpPr txBox="1"/>
          </xdr:nvSpPr>
          <xdr:spPr>
            <a:xfrm>
              <a:off x="625929" y="143460104"/>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9" name="TextBox 78"/>
            <xdr:cNvSpPr txBox="1"/>
          </xdr:nvSpPr>
          <xdr:spPr>
            <a:xfrm>
              <a:off x="1028700" y="58921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105047</xdr:colOff>
      <xdr:row>798</xdr:row>
      <xdr:rowOff>40822</xdr:rowOff>
    </xdr:from>
    <xdr:to>
      <xdr:col>5</xdr:col>
      <xdr:colOff>190500</xdr:colOff>
      <xdr:row>800</xdr:row>
      <xdr:rowOff>96941</xdr:rowOff>
    </xdr:to>
    <mc:AlternateContent xmlns:mc="http://schemas.openxmlformats.org/markup-compatibility/2006" xmlns:a14="http://schemas.microsoft.com/office/drawing/2010/main">
      <mc:Choice Requires="a14">
        <xdr:sp macro="" textlink="">
          <xdr:nvSpPr>
            <xdr:cNvPr id="80" name="TextBox 79">
              <a:extLst>
                <a:ext uri="{FF2B5EF4-FFF2-40B4-BE49-F238E27FC236}">
                  <a16:creationId xmlns:a16="http://schemas.microsoft.com/office/drawing/2014/main" id="{00000000-0008-0000-0200-000050000000}"/>
                </a:ext>
              </a:extLst>
            </xdr:cNvPr>
            <xdr:cNvSpPr txBox="1"/>
          </xdr:nvSpPr>
          <xdr:spPr>
            <a:xfrm flipH="1">
              <a:off x="2146118" y="143051893"/>
              <a:ext cx="6644096" cy="4099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𝑃</m:t>
                        </m:r>
                      </m:e>
                      <m:sub>
                        <m:r>
                          <a:rPr lang="en-US" sz="1400" b="0" i="1">
                            <a:latin typeface="Cambria Math" panose="02040503050406030204" pitchFamily="18" charset="0"/>
                            <a:ea typeface="Cambria Math" panose="02040503050406030204" pitchFamily="18" charset="0"/>
                          </a:rPr>
                          <m:t>𝑠𝑓</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𝑆𝐹</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𝑓𝑎𝑛</m:t>
                        </m:r>
                      </m:sub>
                    </m:sSub>
                  </m:oMath>
                </m:oMathPara>
              </a14:m>
              <a:endParaRPr lang="en-US" sz="1400"/>
            </a:p>
          </xdr:txBody>
        </xdr:sp>
      </mc:Choice>
      <mc:Fallback xmlns="">
        <xdr:sp macro="" textlink="">
          <xdr:nvSpPr>
            <xdr:cNvPr id="80" name="TextBox 79"/>
            <xdr:cNvSpPr txBox="1"/>
          </xdr:nvSpPr>
          <xdr:spPr>
            <a:xfrm flipH="1">
              <a:off x="2280557" y="58921650"/>
              <a:ext cx="6377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𝑘𝑊ℎ=𝑃_𝑠𝑓∗𝑆𝐹∗〖𝐻𝑜𝑢𝑟𝑠〗_𝑓𝑎𝑛</a:t>
              </a:r>
              <a:endParaRPr lang="en-US" sz="1400"/>
            </a:p>
          </xdr:txBody>
        </xdr:sp>
      </mc:Fallback>
    </mc:AlternateContent>
    <xdr:clientData/>
  </xdr:twoCellAnchor>
  <xdr:twoCellAnchor>
    <xdr:from>
      <xdr:col>2</xdr:col>
      <xdr:colOff>0</xdr:colOff>
      <xdr:row>817</xdr:row>
      <xdr:rowOff>95247</xdr:rowOff>
    </xdr:from>
    <xdr:to>
      <xdr:col>2</xdr:col>
      <xdr:colOff>0</xdr:colOff>
      <xdr:row>819</xdr:row>
      <xdr:rowOff>152572</xdr:rowOff>
    </xdr:to>
    <mc:AlternateContent xmlns:mc="http://schemas.openxmlformats.org/markup-compatibility/2006" xmlns:a14="http://schemas.microsoft.com/office/drawing/2010/main">
      <mc:Choice Requires="a14">
        <xdr:sp macro="" textlink="">
          <xdr:nvSpPr>
            <xdr:cNvPr id="81" name="TextBox 80">
              <a:extLst>
                <a:ext uri="{FF2B5EF4-FFF2-40B4-BE49-F238E27FC236}">
                  <a16:creationId xmlns:a16="http://schemas.microsoft.com/office/drawing/2014/main" id="{00000000-0008-0000-0200-000051000000}"/>
                </a:ext>
              </a:extLst>
            </xdr:cNvPr>
            <xdr:cNvSpPr txBox="1"/>
          </xdr:nvSpPr>
          <xdr:spPr>
            <a:xfrm>
              <a:off x="625929" y="146657783"/>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1" name="TextBox 80"/>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813</xdr:row>
      <xdr:rowOff>55880</xdr:rowOff>
    </xdr:from>
    <xdr:to>
      <xdr:col>2</xdr:col>
      <xdr:colOff>0</xdr:colOff>
      <xdr:row>817</xdr:row>
      <xdr:rowOff>162560</xdr:rowOff>
    </xdr:to>
    <mc:AlternateContent xmlns:mc="http://schemas.openxmlformats.org/markup-compatibility/2006" xmlns:a14="http://schemas.microsoft.com/office/drawing/2010/main">
      <mc:Choice Requires="a14">
        <xdr:sp macro="" textlink="">
          <xdr:nvSpPr>
            <xdr:cNvPr id="82" name="TextBox 81">
              <a:extLst>
                <a:ext uri="{FF2B5EF4-FFF2-40B4-BE49-F238E27FC236}">
                  <a16:creationId xmlns:a16="http://schemas.microsoft.com/office/drawing/2014/main" id="{00000000-0008-0000-0200-000052000000}"/>
                </a:ext>
              </a:extLst>
            </xdr:cNvPr>
            <xdr:cNvSpPr txBox="1"/>
          </xdr:nvSpPr>
          <xdr:spPr>
            <a:xfrm>
              <a:off x="625929" y="145910844"/>
              <a:ext cx="0" cy="8142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2000" b="0" i="1">
                        <a:latin typeface="Cambria Math" panose="02040503050406030204" pitchFamily="18" charset="0"/>
                        <a:ea typeface="Cambria Math" panose="02040503050406030204" pitchFamily="18" charset="0"/>
                      </a:rPr>
                      <m:t>∆</m:t>
                    </m:r>
                    <m:sSub>
                      <m:sSubPr>
                        <m:ctrlPr>
                          <a:rPr lang="en-US" sz="2000" b="0" i="1">
                            <a:latin typeface="Cambria Math" panose="02040503050406030204" pitchFamily="18" charset="0"/>
                            <a:ea typeface="Cambria Math" panose="02040503050406030204" pitchFamily="18" charset="0"/>
                          </a:rPr>
                        </m:ctrlPr>
                      </m:sSubPr>
                      <m:e>
                        <m:r>
                          <a:rPr lang="en-US" sz="1200" b="0" i="1">
                            <a:solidFill>
                              <a:schemeClr val="tx1"/>
                            </a:solidFill>
                            <a:effectLst/>
                            <a:latin typeface="Cambria Math" panose="02040503050406030204" pitchFamily="18" charset="0"/>
                            <a:ea typeface="+mn-ea"/>
                            <a:cs typeface="+mn-cs"/>
                          </a:rPr>
                          <m:t>𝑘𝑊h</m:t>
                        </m:r>
                      </m:e>
                      <m:sub>
                        <m:r>
                          <a:rPr lang="en-US" sz="2000" b="0" i="1">
                            <a:latin typeface="Cambria Math" panose="02040503050406030204" pitchFamily="18" charset="0"/>
                            <a:ea typeface="Cambria Math" panose="02040503050406030204" pitchFamily="18" charset="0"/>
                          </a:rPr>
                          <m:t>𝑓𝑖𝑟𝑠𝑡</m:t>
                        </m:r>
                        <m:r>
                          <a:rPr lang="en-US" sz="2000" b="0" i="1">
                            <a:latin typeface="Cambria Math" panose="02040503050406030204" pitchFamily="18" charset="0"/>
                            <a:ea typeface="Cambria Math" panose="02040503050406030204" pitchFamily="18" charset="0"/>
                          </a:rPr>
                          <m:t> 5</m:t>
                        </m:r>
                      </m:sub>
                    </m:sSub>
                    <m:r>
                      <a:rPr lang="en-US" sz="2000" i="1">
                        <a:latin typeface="Cambria Math" panose="02040503050406030204" pitchFamily="18" charset="0"/>
                      </a:rPr>
                      <m:t>=</m:t>
                    </m:r>
                    <m:r>
                      <a:rPr lang="en-US" sz="2000" b="0" i="1">
                        <a:latin typeface="Cambria Math" panose="02040503050406030204" pitchFamily="18" charset="0"/>
                      </a:rPr>
                      <m:t> </m:t>
                    </m:r>
                    <m:d>
                      <m:dPr>
                        <m:ctrlPr>
                          <a:rPr lang="en-US" sz="2000" b="0" i="1">
                            <a:latin typeface="Cambria Math" panose="02040503050406030204" pitchFamily="18" charset="0"/>
                          </a:rPr>
                        </m:ctrlPr>
                      </m:dPr>
                      <m:e>
                        <m:f>
                          <m:fPr>
                            <m:type m:val="lin"/>
                            <m:ctrlPr>
                              <a:rPr lang="en-US" sz="1600" b="0" i="1">
                                <a:solidFill>
                                  <a:schemeClr val="tx1"/>
                                </a:solidFill>
                                <a:effectLst/>
                                <a:latin typeface="Cambria Math" panose="02040503050406030204" pitchFamily="18" charset="0"/>
                                <a:ea typeface="+mn-ea"/>
                                <a:cs typeface="+mn-cs"/>
                              </a:rPr>
                            </m:ctrlPr>
                          </m:fPr>
                          <m:num>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𝑘𝐵𝑡𝑢</m:t>
                                </m:r>
                              </m:e>
                              <m:sub>
                                <m:r>
                                  <a:rPr lang="en-US" sz="1600" b="0" i="1">
                                    <a:solidFill>
                                      <a:schemeClr val="tx1"/>
                                    </a:solidFill>
                                    <a:effectLst/>
                                    <a:latin typeface="Cambria Math" panose="02040503050406030204" pitchFamily="18" charset="0"/>
                                    <a:ea typeface="+mn-ea"/>
                                    <a:cs typeface="+mn-cs"/>
                                  </a:rPr>
                                  <m:t>𝑐𝑜𝑜𝑙</m:t>
                                </m:r>
                              </m:sub>
                            </m:sSub>
                          </m:num>
                          <m:den>
                            <m:r>
                              <a:rPr lang="en-US" sz="1600" b="0" i="1">
                                <a:solidFill>
                                  <a:schemeClr val="tx1"/>
                                </a:solidFill>
                                <a:effectLst/>
                                <a:latin typeface="Cambria Math" panose="02040503050406030204" pitchFamily="18" charset="0"/>
                                <a:ea typeface="+mn-ea"/>
                                <a:cs typeface="+mn-cs"/>
                              </a:rPr>
                              <m:t>h𝑟</m:t>
                            </m:r>
                          </m:den>
                        </m:f>
                        <m:r>
                          <a:rPr lang="en-US" sz="1600" b="0" i="1">
                            <a:solidFill>
                              <a:schemeClr val="tx1"/>
                            </a:solidFill>
                            <a:effectLst/>
                            <a:latin typeface="Cambria Math" panose="02040503050406030204" pitchFamily="18" charset="0"/>
                            <a:ea typeface="+mn-ea"/>
                            <a:cs typeface="+mn-cs"/>
                          </a:rPr>
                          <m:t>∗</m:t>
                        </m:r>
                        <m:d>
                          <m:dPr>
                            <m:ctrlPr>
                              <a:rPr lang="en-US" sz="1600" b="0" i="1">
                                <a:solidFill>
                                  <a:schemeClr val="tx1"/>
                                </a:solidFill>
                                <a:effectLst/>
                                <a:latin typeface="Cambria Math" panose="02040503050406030204" pitchFamily="18" charset="0"/>
                                <a:ea typeface="+mn-ea"/>
                                <a:cs typeface="+mn-cs"/>
                              </a:rPr>
                            </m:ctrlPr>
                          </m:dPr>
                          <m:e>
                            <m:f>
                              <m:fPr>
                                <m:ctrlPr>
                                  <a:rPr lang="en-US" sz="1600" b="0" i="1">
                                    <a:solidFill>
                                      <a:schemeClr val="tx1"/>
                                    </a:solidFill>
                                    <a:effectLst/>
                                    <a:latin typeface="Cambria Math" panose="02040503050406030204" pitchFamily="18" charset="0"/>
                                    <a:ea typeface="+mn-ea"/>
                                    <a:cs typeface="+mn-cs"/>
                                  </a:rPr>
                                </m:ctrlPr>
                              </m:fPr>
                              <m:num>
                                <m:r>
                                  <a:rPr lang="en-US" sz="1600" b="0" i="1">
                                    <a:solidFill>
                                      <a:schemeClr val="tx1"/>
                                    </a:solidFill>
                                    <a:effectLst/>
                                    <a:latin typeface="Cambria Math" panose="02040503050406030204" pitchFamily="18" charset="0"/>
                                    <a:ea typeface="+mn-ea"/>
                                    <a:cs typeface="+mn-cs"/>
                                  </a:rPr>
                                  <m:t>1</m:t>
                                </m:r>
                              </m:num>
                              <m:den>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𝐸𝐸𝑅</m:t>
                                    </m:r>
                                  </m:e>
                                  <m:sub>
                                    <m:r>
                                      <a:rPr lang="en-US" sz="1600" b="0" i="1">
                                        <a:solidFill>
                                          <a:schemeClr val="tx1"/>
                                        </a:solidFill>
                                        <a:effectLst/>
                                        <a:latin typeface="Cambria Math" panose="02040503050406030204" pitchFamily="18" charset="0"/>
                                        <a:ea typeface="+mn-ea"/>
                                        <a:cs typeface="+mn-cs"/>
                                      </a:rPr>
                                      <m:t>𝑒𝑥𝑖𝑠𝑡</m:t>
                                    </m:r>
                                  </m:sub>
                                </m:sSub>
                              </m:den>
                            </m:f>
                            <m:r>
                              <a:rPr lang="en-US" sz="1600" b="0" i="1">
                                <a:solidFill>
                                  <a:schemeClr val="tx1"/>
                                </a:solidFill>
                                <a:effectLst/>
                                <a:latin typeface="Cambria Math" panose="02040503050406030204" pitchFamily="18" charset="0"/>
                                <a:ea typeface="+mn-ea"/>
                                <a:cs typeface="+mn-cs"/>
                              </a:rPr>
                              <m:t>−</m:t>
                            </m:r>
                            <m:f>
                              <m:fPr>
                                <m:ctrlPr>
                                  <a:rPr lang="en-US" sz="1600" b="0" i="1">
                                    <a:solidFill>
                                      <a:schemeClr val="tx1"/>
                                    </a:solidFill>
                                    <a:effectLst/>
                                    <a:latin typeface="Cambria Math" panose="02040503050406030204" pitchFamily="18" charset="0"/>
                                    <a:ea typeface="+mn-ea"/>
                                    <a:cs typeface="+mn-cs"/>
                                  </a:rPr>
                                </m:ctrlPr>
                              </m:fPr>
                              <m:num>
                                <m:r>
                                  <a:rPr lang="en-US" sz="1600" b="0" i="1">
                                    <a:solidFill>
                                      <a:schemeClr val="tx1"/>
                                    </a:solidFill>
                                    <a:effectLst/>
                                    <a:latin typeface="Cambria Math" panose="02040503050406030204" pitchFamily="18" charset="0"/>
                                    <a:ea typeface="+mn-ea"/>
                                    <a:cs typeface="+mn-cs"/>
                                  </a:rPr>
                                  <m:t>1</m:t>
                                </m:r>
                              </m:num>
                              <m:den>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𝐸𝐸𝑅</m:t>
                                    </m:r>
                                  </m:e>
                                  <m:sub>
                                    <m:r>
                                      <a:rPr lang="en-US" sz="1600" b="0" i="1">
                                        <a:solidFill>
                                          <a:schemeClr val="tx1"/>
                                        </a:solidFill>
                                        <a:effectLst/>
                                        <a:latin typeface="Cambria Math" panose="02040503050406030204" pitchFamily="18" charset="0"/>
                                        <a:ea typeface="+mn-ea"/>
                                        <a:cs typeface="+mn-cs"/>
                                      </a:rPr>
                                      <m:t>𝑒𝑒</m:t>
                                    </m:r>
                                  </m:sub>
                                </m:sSub>
                              </m:den>
                            </m:f>
                          </m:e>
                        </m:d>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𝐸𝐹𝐿𝐻</m:t>
                            </m:r>
                          </m:e>
                          <m:sub>
                            <m:r>
                              <a:rPr lang="en-US" sz="1600" b="0" i="1">
                                <a:solidFill>
                                  <a:schemeClr val="tx1"/>
                                </a:solidFill>
                                <a:effectLst/>
                                <a:latin typeface="Cambria Math" panose="02040503050406030204" pitchFamily="18" charset="0"/>
                                <a:ea typeface="+mn-ea"/>
                                <a:cs typeface="+mn-cs"/>
                              </a:rPr>
                              <m:t>𝑐𝑜𝑜𝑙</m:t>
                            </m:r>
                          </m:sub>
                        </m:sSub>
                      </m:e>
                    </m:d>
                    <m:r>
                      <a:rPr lang="en-US" sz="2000" b="0" i="1">
                        <a:latin typeface="Cambria Math" panose="02040503050406030204" pitchFamily="18" charset="0"/>
                      </a:rPr>
                      <m:t>+</m:t>
                    </m:r>
                    <m:d>
                      <m:dPr>
                        <m:ctrlPr>
                          <a:rPr lang="en-US" sz="2000" b="0" i="1">
                            <a:latin typeface="Cambria Math" panose="02040503050406030204" pitchFamily="18" charset="0"/>
                          </a:rPr>
                        </m:ctrlPr>
                      </m:dPr>
                      <m:e>
                        <m:f>
                          <m:fPr>
                            <m:ctrlPr>
                              <a:rPr lang="en-US" sz="2000" b="0" i="1">
                                <a:latin typeface="Cambria Math" panose="02040503050406030204" pitchFamily="18" charset="0"/>
                              </a:rPr>
                            </m:ctrlPr>
                          </m:fPr>
                          <m:num>
                            <m:f>
                              <m:fPr>
                                <m:type m:val="lin"/>
                                <m:ctrlPr>
                                  <a:rPr lang="en-US" sz="1200" b="0" i="1">
                                    <a:solidFill>
                                      <a:schemeClr val="tx1"/>
                                    </a:solidFill>
                                    <a:effectLst/>
                                    <a:latin typeface="Cambria Math" panose="02040503050406030204" pitchFamily="18" charset="0"/>
                                    <a:ea typeface="+mn-ea"/>
                                    <a:cs typeface="+mn-cs"/>
                                  </a:rPr>
                                </m:ctrlPr>
                              </m:fPr>
                              <m:num>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𝑘𝐵𝑡𝑢</m:t>
                                    </m:r>
                                  </m:e>
                                  <m:sub>
                                    <m:r>
                                      <a:rPr lang="en-US" sz="1200" b="0" i="1">
                                        <a:solidFill>
                                          <a:schemeClr val="tx1"/>
                                        </a:solidFill>
                                        <a:effectLst/>
                                        <a:latin typeface="Cambria Math" panose="02040503050406030204" pitchFamily="18" charset="0"/>
                                        <a:ea typeface="+mn-ea"/>
                                        <a:cs typeface="+mn-cs"/>
                                      </a:rPr>
                                      <m:t>h𝑒𝑎𝑡</m:t>
                                    </m:r>
                                  </m:sub>
                                </m:sSub>
                              </m:num>
                              <m:den>
                                <m:r>
                                  <a:rPr lang="en-US" sz="1200" b="0" i="1">
                                    <a:solidFill>
                                      <a:schemeClr val="tx1"/>
                                    </a:solidFill>
                                    <a:effectLst/>
                                    <a:latin typeface="Cambria Math" panose="02040503050406030204" pitchFamily="18" charset="0"/>
                                    <a:ea typeface="+mn-ea"/>
                                    <a:cs typeface="+mn-cs"/>
                                  </a:rPr>
                                  <m:t>h𝑟</m:t>
                                </m:r>
                              </m:den>
                            </m:f>
                          </m:num>
                          <m:den>
                            <m:r>
                              <a:rPr lang="en-US" sz="2000" b="0" i="1">
                                <a:latin typeface="Cambria Math" panose="02040503050406030204" pitchFamily="18" charset="0"/>
                              </a:rPr>
                              <m:t>3.412</m:t>
                            </m:r>
                          </m:den>
                        </m:f>
                        <m:r>
                          <a:rPr lang="en-US" sz="2000" b="0" i="1">
                            <a:latin typeface="Cambria Math" panose="02040503050406030204" pitchFamily="18" charset="0"/>
                          </a:rPr>
                          <m:t>∗</m:t>
                        </m:r>
                        <m:d>
                          <m:dPr>
                            <m:ctrlPr>
                              <a:rPr lang="en-US" sz="2000" b="0" i="1">
                                <a:latin typeface="Cambria Math" panose="02040503050406030204" pitchFamily="18" charset="0"/>
                              </a:rPr>
                            </m:ctrlPr>
                          </m:dPr>
                          <m:e>
                            <m:f>
                              <m:fPr>
                                <m:ctrlPr>
                                  <a:rPr lang="en-US" sz="2000" b="0" i="1">
                                    <a:latin typeface="Cambria Math" panose="02040503050406030204" pitchFamily="18" charset="0"/>
                                  </a:rPr>
                                </m:ctrlPr>
                              </m:fPr>
                              <m:num>
                                <m:r>
                                  <a:rPr lang="en-US" sz="2000" b="0" i="1">
                                    <a:latin typeface="Cambria Math" panose="02040503050406030204" pitchFamily="18" charset="0"/>
                                  </a:rPr>
                                  <m:t>1</m:t>
                                </m:r>
                              </m:num>
                              <m:den>
                                <m:sSub>
                                  <m:sSubPr>
                                    <m:ctrlPr>
                                      <a:rPr lang="en-US" sz="2000" b="0" i="1">
                                        <a:latin typeface="Cambria Math" panose="02040503050406030204" pitchFamily="18" charset="0"/>
                                      </a:rPr>
                                    </m:ctrlPr>
                                  </m:sSubPr>
                                  <m:e>
                                    <m:r>
                                      <a:rPr lang="en-US" sz="2000" b="0" i="1">
                                        <a:latin typeface="Cambria Math" panose="02040503050406030204" pitchFamily="18" charset="0"/>
                                      </a:rPr>
                                      <m:t>𝐶𝑂𝑃</m:t>
                                    </m:r>
                                  </m:e>
                                  <m:sub>
                                    <m:r>
                                      <a:rPr lang="en-US" sz="2000" b="0" i="1">
                                        <a:latin typeface="Cambria Math" panose="02040503050406030204" pitchFamily="18" charset="0"/>
                                      </a:rPr>
                                      <m:t>𝑒𝑥𝑖𝑠𝑡</m:t>
                                    </m:r>
                                  </m:sub>
                                </m:sSub>
                              </m:den>
                            </m:f>
                            <m:r>
                              <a:rPr lang="en-US" sz="2000" b="0" i="1">
                                <a:latin typeface="Cambria Math" panose="02040503050406030204" pitchFamily="18" charset="0"/>
                              </a:rPr>
                              <m:t>−</m:t>
                            </m:r>
                            <m:f>
                              <m:fPr>
                                <m:ctrlPr>
                                  <a:rPr lang="en-US" sz="2000" b="0" i="1">
                                    <a:latin typeface="Cambria Math" panose="02040503050406030204" pitchFamily="18" charset="0"/>
                                  </a:rPr>
                                </m:ctrlPr>
                              </m:fPr>
                              <m:num>
                                <m:r>
                                  <a:rPr lang="en-US" sz="2000" b="0" i="1">
                                    <a:latin typeface="Cambria Math" panose="02040503050406030204" pitchFamily="18" charset="0"/>
                                  </a:rPr>
                                  <m:t>1</m:t>
                                </m:r>
                              </m:num>
                              <m:den>
                                <m:sSub>
                                  <m:sSubPr>
                                    <m:ctrlPr>
                                      <a:rPr lang="en-US" sz="2000" b="0" i="1">
                                        <a:latin typeface="Cambria Math" panose="02040503050406030204" pitchFamily="18" charset="0"/>
                                      </a:rPr>
                                    </m:ctrlPr>
                                  </m:sSubPr>
                                  <m:e>
                                    <m:r>
                                      <a:rPr lang="en-US" sz="2000" b="0" i="1">
                                        <a:latin typeface="Cambria Math" panose="02040503050406030204" pitchFamily="18" charset="0"/>
                                      </a:rPr>
                                      <m:t>𝐶𝑂𝑃</m:t>
                                    </m:r>
                                  </m:e>
                                  <m:sub>
                                    <m:r>
                                      <a:rPr lang="en-US" sz="2000" b="0" i="1">
                                        <a:latin typeface="Cambria Math" panose="02040503050406030204" pitchFamily="18" charset="0"/>
                                      </a:rPr>
                                      <m:t>𝑒𝑒</m:t>
                                    </m:r>
                                  </m:sub>
                                </m:sSub>
                              </m:den>
                            </m:f>
                          </m:e>
                        </m:d>
                        <m:r>
                          <a:rPr lang="en-US" sz="2000" b="0" i="1">
                            <a:latin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𝐸𝐹𝐿𝐻</m:t>
                            </m:r>
                          </m:e>
                          <m:sub>
                            <m:r>
                              <a:rPr lang="en-US" sz="2000" b="0" i="1">
                                <a:latin typeface="Cambria Math" panose="02040503050406030204" pitchFamily="18" charset="0"/>
                              </a:rPr>
                              <m:t>h𝑒𝑎𝑡</m:t>
                            </m:r>
                          </m:sub>
                        </m:sSub>
                      </m:e>
                    </m:d>
                  </m:oMath>
                </m:oMathPara>
              </a14:m>
              <a:endParaRPr lang="en-US" sz="1800"/>
            </a:p>
          </xdr:txBody>
        </xdr:sp>
      </mc:Choice>
      <mc:Fallback xmlns="">
        <xdr:sp macro="" textlink="">
          <xdr:nvSpPr>
            <xdr:cNvPr id="82" name="TextBox 81"/>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2000" b="0" i="0">
                  <a:latin typeface="Cambria Math" panose="02040503050406030204" pitchFamily="18" charset="0"/>
                  <a:ea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𝑘𝑊ℎ</a:t>
              </a:r>
              <a:r>
                <a:rPr lang="en-US" sz="2000" b="0" i="0">
                  <a:solidFill>
                    <a:schemeClr val="tx1"/>
                  </a:solidFill>
                  <a:effectLst/>
                  <a:latin typeface="Cambria Math" panose="02040503050406030204" pitchFamily="18" charset="0"/>
                  <a:ea typeface="Cambria Math" panose="02040503050406030204" pitchFamily="18" charset="0"/>
                  <a:cs typeface="+mn-cs"/>
                </a:rPr>
                <a:t>〗_(</a:t>
              </a:r>
              <a:r>
                <a:rPr lang="en-US" sz="2000" b="0" i="0">
                  <a:latin typeface="Cambria Math" panose="02040503050406030204" pitchFamily="18" charset="0"/>
                  <a:ea typeface="Cambria Math" panose="02040503050406030204" pitchFamily="18" charset="0"/>
                </a:rPr>
                <a:t>𝑓𝑖𝑟𝑠𝑡 5)</a:t>
              </a:r>
              <a:r>
                <a:rPr lang="en-US" sz="2000" i="0">
                  <a:latin typeface="Cambria Math" panose="02040503050406030204" pitchFamily="18" charset="0"/>
                </a:rPr>
                <a:t>=</a:t>
              </a:r>
              <a:r>
                <a:rPr lang="en-US" sz="2000" b="0" i="0">
                  <a:latin typeface="Cambria Math" panose="02040503050406030204" pitchFamily="18" charset="0"/>
                </a:rPr>
                <a:t> (</a:t>
              </a:r>
              <a:r>
                <a:rPr lang="en-US" sz="1600" b="0" i="0">
                  <a:solidFill>
                    <a:schemeClr val="tx1"/>
                  </a:solidFill>
                  <a:effectLst/>
                  <a:latin typeface="Cambria Math" panose="02040503050406030204" pitchFamily="18" charset="0"/>
                  <a:ea typeface="+mn-ea"/>
                  <a:cs typeface="+mn-cs"/>
                </a:rPr>
                <a:t>〖𝑘𝐵𝑡𝑢〗_𝑐𝑜𝑜𝑙∕ℎ𝑟∗(1/〖𝐸𝐸𝑅〗_𝑒𝑥𝑖𝑠𝑡 −1/〖𝐸𝐸𝑅〗_𝑒𝑒 )∗〖𝐸𝐹𝐿𝐻〗_𝑐𝑜𝑜𝑙 )</a:t>
              </a:r>
              <a:r>
                <a:rPr lang="en-US" sz="2000" b="0" i="0">
                  <a:latin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〖𝑘𝐵𝑡𝑢〗_ℎ𝑒𝑎𝑡∕ℎ𝑟</a:t>
              </a:r>
              <a:r>
                <a:rPr lang="en-US" sz="2000" b="0" i="0">
                  <a:solidFill>
                    <a:schemeClr val="tx1"/>
                  </a:solidFill>
                  <a:effectLst/>
                  <a:latin typeface="Cambria Math" panose="02040503050406030204" pitchFamily="18" charset="0"/>
                  <a:ea typeface="+mn-ea"/>
                  <a:cs typeface="+mn-cs"/>
                </a:rPr>
                <a:t>)/</a:t>
              </a:r>
              <a:r>
                <a:rPr lang="en-US" sz="2000" b="0" i="0">
                  <a:latin typeface="Cambria Math" panose="02040503050406030204" pitchFamily="18" charset="0"/>
                </a:rPr>
                <a:t>3.412∗(1/〖𝐶𝑂𝑃〗_𝑒𝑥𝑖𝑠𝑡 −1/〖𝐶𝑂𝑃〗_𝑒𝑒 )∗〖𝐸𝐹𝐿𝐻〗_ℎ𝑒𝑎𝑡 )</a:t>
              </a:r>
              <a:endParaRPr lang="en-US" sz="1800"/>
            </a:p>
          </xdr:txBody>
        </xdr:sp>
      </mc:Fallback>
    </mc:AlternateContent>
    <xdr:clientData/>
  </xdr:twoCellAnchor>
  <xdr:twoCellAnchor>
    <xdr:from>
      <xdr:col>3</xdr:col>
      <xdr:colOff>40822</xdr:colOff>
      <xdr:row>814</xdr:row>
      <xdr:rowOff>85453</xdr:rowOff>
    </xdr:from>
    <xdr:to>
      <xdr:col>14</xdr:col>
      <xdr:colOff>359502</xdr:colOff>
      <xdr:row>818</xdr:row>
      <xdr:rowOff>105047</xdr:rowOff>
    </xdr:to>
    <mc:AlternateContent xmlns:mc="http://schemas.openxmlformats.org/markup-compatibility/2006" xmlns:a14="http://schemas.microsoft.com/office/drawing/2010/main">
      <mc:Choice Requires="a14">
        <xdr:sp macro="" textlink="">
          <xdr:nvSpPr>
            <xdr:cNvPr id="83" name="TextBox 82">
              <a:extLst>
                <a:ext uri="{FF2B5EF4-FFF2-40B4-BE49-F238E27FC236}">
                  <a16:creationId xmlns:a16="http://schemas.microsoft.com/office/drawing/2014/main" id="{00000000-0008-0000-0200-000053000000}"/>
                </a:ext>
              </a:extLst>
            </xdr:cNvPr>
            <xdr:cNvSpPr txBox="1"/>
          </xdr:nvSpPr>
          <xdr:spPr>
            <a:xfrm>
              <a:off x="2081893" y="146117310"/>
              <a:ext cx="18729145" cy="7271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latin typeface="Cambria Math" panose="02040503050406030204" pitchFamily="18" charset="0"/>
                        <a:ea typeface="Cambria Math" panose="02040503050406030204" pitchFamily="18" charset="0"/>
                      </a:rPr>
                      <m:t>∆</m:t>
                    </m:r>
                    <m:sSub>
                      <m:sSubPr>
                        <m:ctrlPr>
                          <a:rPr lang="en-US" sz="1800" b="0" i="1">
                            <a:latin typeface="Cambria Math" panose="02040503050406030204" pitchFamily="18" charset="0"/>
                            <a:ea typeface="Cambria Math" panose="02040503050406030204" pitchFamily="18" charset="0"/>
                          </a:rPr>
                        </m:ctrlPr>
                      </m:sSubPr>
                      <m:e>
                        <m:r>
                          <a:rPr lang="en-US" sz="1100" b="0" i="1">
                            <a:solidFill>
                              <a:schemeClr val="tx1"/>
                            </a:solidFill>
                            <a:effectLst/>
                            <a:latin typeface="Cambria Math" panose="02040503050406030204" pitchFamily="18" charset="0"/>
                            <a:ea typeface="+mn-ea"/>
                            <a:cs typeface="+mn-cs"/>
                          </a:rPr>
                          <m:t>𝑘𝑊h</m:t>
                        </m:r>
                      </m:e>
                      <m:sub>
                        <m:r>
                          <a:rPr lang="en-US" sz="1800" b="0" i="1">
                            <a:latin typeface="Cambria Math" panose="02040503050406030204" pitchFamily="18" charset="0"/>
                            <a:ea typeface="Cambria Math" panose="02040503050406030204" pitchFamily="18" charset="0"/>
                          </a:rPr>
                          <m:t>𝑛𝑒𝑥𝑡</m:t>
                        </m:r>
                        <m:r>
                          <a:rPr lang="en-US" sz="1800" b="0" i="1">
                            <a:latin typeface="Cambria Math" panose="02040503050406030204" pitchFamily="18" charset="0"/>
                            <a:ea typeface="Cambria Math" panose="02040503050406030204" pitchFamily="18" charset="0"/>
                          </a:rPr>
                          <m:t> 10</m:t>
                        </m:r>
                      </m:sub>
                    </m:sSub>
                    <m:r>
                      <a:rPr lang="en-US" sz="1800" i="1">
                        <a:latin typeface="Cambria Math" panose="02040503050406030204" pitchFamily="18" charset="0"/>
                      </a:rPr>
                      <m:t>=</m:t>
                    </m:r>
                    <m:r>
                      <a:rPr lang="en-US" sz="1800" b="0" i="1">
                        <a:latin typeface="Cambria Math" panose="02040503050406030204" pitchFamily="18" charset="0"/>
                      </a:rPr>
                      <m:t> </m:t>
                    </m:r>
                    <m:d>
                      <m:dPr>
                        <m:ctrlPr>
                          <a:rPr lang="en-US" sz="1800" b="0" i="1">
                            <a:latin typeface="Cambria Math" panose="02040503050406030204" pitchFamily="18" charset="0"/>
                          </a:rPr>
                        </m:ctrlPr>
                      </m:dPr>
                      <m:e>
                        <m:f>
                          <m:fPr>
                            <m:type m:val="lin"/>
                            <m:ctrlPr>
                              <a:rPr lang="en-US" sz="1400" b="0" i="1">
                                <a:solidFill>
                                  <a:schemeClr val="tx1"/>
                                </a:solidFill>
                                <a:effectLst/>
                                <a:latin typeface="Cambria Math" panose="02040503050406030204" pitchFamily="18" charset="0"/>
                                <a:ea typeface="+mn-ea"/>
                                <a:cs typeface="+mn-cs"/>
                              </a:rPr>
                            </m:ctrlPr>
                          </m:fPr>
                          <m:num>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𝑘𝐵𝑡𝑢</m:t>
                                </m:r>
                              </m:e>
                              <m:sub>
                                <m:r>
                                  <a:rPr lang="en-US" sz="1400" b="0" i="1">
                                    <a:solidFill>
                                      <a:schemeClr val="tx1"/>
                                    </a:solidFill>
                                    <a:effectLst/>
                                    <a:latin typeface="Cambria Math" panose="02040503050406030204" pitchFamily="18" charset="0"/>
                                    <a:ea typeface="+mn-ea"/>
                                    <a:cs typeface="+mn-cs"/>
                                  </a:rPr>
                                  <m:t>𝑐𝑜𝑜𝑙</m:t>
                                </m:r>
                              </m:sub>
                            </m:sSub>
                          </m:num>
                          <m:den>
                            <m:r>
                              <a:rPr lang="en-US" sz="1400" b="0" i="1">
                                <a:solidFill>
                                  <a:schemeClr val="tx1"/>
                                </a:solidFill>
                                <a:effectLst/>
                                <a:latin typeface="Cambria Math" panose="02040503050406030204" pitchFamily="18" charset="0"/>
                                <a:ea typeface="+mn-ea"/>
                                <a:cs typeface="+mn-cs"/>
                              </a:rPr>
                              <m:t>h𝑟</m:t>
                            </m:r>
                          </m:den>
                        </m:f>
                        <m:r>
                          <a:rPr lang="en-US" sz="1400" b="0" i="1">
                            <a:solidFill>
                              <a:schemeClr val="tx1"/>
                            </a:solidFill>
                            <a:effectLst/>
                            <a:latin typeface="Cambria Math" panose="02040503050406030204" pitchFamily="18" charset="0"/>
                            <a:ea typeface="+mn-ea"/>
                            <a:cs typeface="+mn-cs"/>
                          </a:rPr>
                          <m:t>∗</m:t>
                        </m:r>
                        <m:d>
                          <m:dPr>
                            <m:ctrlPr>
                              <a:rPr lang="en-US" sz="1400" b="0" i="1">
                                <a:solidFill>
                                  <a:schemeClr val="tx1"/>
                                </a:solidFill>
                                <a:effectLst/>
                                <a:latin typeface="Cambria Math" panose="02040503050406030204" pitchFamily="18" charset="0"/>
                                <a:ea typeface="+mn-ea"/>
                                <a:cs typeface="+mn-cs"/>
                              </a:rPr>
                            </m:ctrlPr>
                          </m:dPr>
                          <m:e>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𝐸𝐸𝑅</m:t>
                                    </m:r>
                                  </m:e>
                                  <m:sub>
                                    <m:r>
                                      <a:rPr lang="en-US" sz="1400" b="0" i="1">
                                        <a:solidFill>
                                          <a:schemeClr val="tx1"/>
                                        </a:solidFill>
                                        <a:effectLst/>
                                        <a:latin typeface="Cambria Math" panose="02040503050406030204" pitchFamily="18" charset="0"/>
                                        <a:ea typeface="+mn-ea"/>
                                        <a:cs typeface="+mn-cs"/>
                                      </a:rPr>
                                      <m:t>𝑏𝑎𝑠𝑒</m:t>
                                    </m:r>
                                  </m:sub>
                                </m:sSub>
                              </m:den>
                            </m:f>
                            <m:r>
                              <a:rPr lang="en-US" sz="1400" b="0" i="1">
                                <a:solidFill>
                                  <a:schemeClr val="tx1"/>
                                </a:solidFill>
                                <a:effectLst/>
                                <a:latin typeface="Cambria Math" panose="02040503050406030204" pitchFamily="18" charset="0"/>
                                <a:ea typeface="+mn-ea"/>
                                <a:cs typeface="+mn-cs"/>
                              </a:rPr>
                              <m:t>−</m:t>
                            </m:r>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𝐸𝐸𝑅</m:t>
                                    </m:r>
                                  </m:e>
                                  <m:sub>
                                    <m:r>
                                      <a:rPr lang="en-US" sz="1400" b="0" i="1">
                                        <a:solidFill>
                                          <a:schemeClr val="tx1"/>
                                        </a:solidFill>
                                        <a:effectLst/>
                                        <a:latin typeface="Cambria Math" panose="02040503050406030204" pitchFamily="18" charset="0"/>
                                        <a:ea typeface="+mn-ea"/>
                                        <a:cs typeface="+mn-cs"/>
                                      </a:rPr>
                                      <m:t>𝑒𝑒</m:t>
                                    </m:r>
                                  </m:sub>
                                </m:sSub>
                              </m:den>
                            </m:f>
                          </m:e>
                        </m:d>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𝐸𝐹𝐿𝐻</m:t>
                            </m:r>
                          </m:e>
                          <m:sub>
                            <m:r>
                              <a:rPr lang="en-US" sz="1400" b="0" i="1">
                                <a:solidFill>
                                  <a:schemeClr val="tx1"/>
                                </a:solidFill>
                                <a:effectLst/>
                                <a:latin typeface="Cambria Math" panose="02040503050406030204" pitchFamily="18" charset="0"/>
                                <a:ea typeface="+mn-ea"/>
                                <a:cs typeface="+mn-cs"/>
                              </a:rPr>
                              <m:t>𝑐𝑜𝑜𝑙</m:t>
                            </m:r>
                          </m:sub>
                        </m:sSub>
                      </m:e>
                    </m:d>
                    <m:r>
                      <a:rPr lang="en-US" sz="1800" b="0" i="1">
                        <a:latin typeface="Cambria Math" panose="02040503050406030204" pitchFamily="18" charset="0"/>
                      </a:rPr>
                      <m:t>+</m:t>
                    </m:r>
                    <m:d>
                      <m:dPr>
                        <m:ctrlPr>
                          <a:rPr lang="en-US" sz="1800" b="0" i="1">
                            <a:latin typeface="Cambria Math" panose="02040503050406030204" pitchFamily="18" charset="0"/>
                          </a:rPr>
                        </m:ctrlPr>
                      </m:dPr>
                      <m:e>
                        <m:f>
                          <m:fPr>
                            <m:ctrlPr>
                              <a:rPr lang="en-US" sz="1800" b="0" i="1">
                                <a:latin typeface="Cambria Math" panose="02040503050406030204" pitchFamily="18" charset="0"/>
                              </a:rPr>
                            </m:ctrlPr>
                          </m:fPr>
                          <m:num>
                            <m:f>
                              <m:fPr>
                                <m:type m:val="lin"/>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𝑘𝐵𝑡𝑢</m:t>
                                    </m:r>
                                  </m:e>
                                  <m:sub>
                                    <m:r>
                                      <a:rPr lang="en-US" sz="1100" b="0" i="1">
                                        <a:solidFill>
                                          <a:schemeClr val="tx1"/>
                                        </a:solidFill>
                                        <a:effectLst/>
                                        <a:latin typeface="Cambria Math" panose="02040503050406030204" pitchFamily="18" charset="0"/>
                                        <a:ea typeface="+mn-ea"/>
                                        <a:cs typeface="+mn-cs"/>
                                      </a:rPr>
                                      <m:t>h𝑒𝑎𝑡</m:t>
                                    </m:r>
                                  </m:sub>
                                </m:sSub>
                              </m:num>
                              <m:den>
                                <m:r>
                                  <a:rPr lang="en-US" sz="1100" b="0" i="1">
                                    <a:solidFill>
                                      <a:schemeClr val="tx1"/>
                                    </a:solidFill>
                                    <a:effectLst/>
                                    <a:latin typeface="Cambria Math" panose="02040503050406030204" pitchFamily="18" charset="0"/>
                                    <a:ea typeface="+mn-ea"/>
                                    <a:cs typeface="+mn-cs"/>
                                  </a:rPr>
                                  <m:t>h𝑟</m:t>
                                </m:r>
                              </m:den>
                            </m:f>
                          </m:num>
                          <m:den>
                            <m:r>
                              <a:rPr lang="en-US" sz="1800" b="0" i="1">
                                <a:latin typeface="Cambria Math" panose="02040503050406030204" pitchFamily="18" charset="0"/>
                              </a:rPr>
                              <m:t>3.412</m:t>
                            </m:r>
                          </m:den>
                        </m:f>
                        <m:r>
                          <a:rPr lang="en-US" sz="1800" b="0" i="1">
                            <a:latin typeface="Cambria Math" panose="02040503050406030204" pitchFamily="18" charset="0"/>
                          </a:rPr>
                          <m:t>∗</m:t>
                        </m:r>
                        <m:d>
                          <m:dPr>
                            <m:ctrlPr>
                              <a:rPr lang="en-US" sz="1800" b="0" i="1">
                                <a:latin typeface="Cambria Math" panose="02040503050406030204" pitchFamily="18" charset="0"/>
                              </a:rPr>
                            </m:ctrlPr>
                          </m:dPr>
                          <m:e>
                            <m:f>
                              <m:fPr>
                                <m:ctrlPr>
                                  <a:rPr lang="en-US" sz="1800" b="0" i="1">
                                    <a:latin typeface="Cambria Math" panose="02040503050406030204" pitchFamily="18" charset="0"/>
                                  </a:rPr>
                                </m:ctrlPr>
                              </m:fPr>
                              <m:num>
                                <m:r>
                                  <a:rPr lang="en-US" sz="1800" b="0" i="1">
                                    <a:latin typeface="Cambria Math" panose="02040503050406030204" pitchFamily="18" charset="0"/>
                                  </a:rPr>
                                  <m:t>1</m:t>
                                </m:r>
                              </m:num>
                              <m:den>
                                <m:sSub>
                                  <m:sSubPr>
                                    <m:ctrlPr>
                                      <a:rPr lang="en-US" sz="1800" b="0" i="1">
                                        <a:latin typeface="Cambria Math" panose="02040503050406030204" pitchFamily="18" charset="0"/>
                                      </a:rPr>
                                    </m:ctrlPr>
                                  </m:sSubPr>
                                  <m:e>
                                    <m:r>
                                      <a:rPr lang="en-US" sz="1800" b="0" i="1">
                                        <a:latin typeface="Cambria Math" panose="02040503050406030204" pitchFamily="18" charset="0"/>
                                      </a:rPr>
                                      <m:t>𝐶𝑂𝑃</m:t>
                                    </m:r>
                                  </m:e>
                                  <m:sub>
                                    <m:r>
                                      <a:rPr lang="en-US" sz="1800" b="0" i="1">
                                        <a:latin typeface="Cambria Math" panose="02040503050406030204" pitchFamily="18" charset="0"/>
                                      </a:rPr>
                                      <m:t>𝑏𝑎𝑠𝑒</m:t>
                                    </m:r>
                                  </m:sub>
                                </m:sSub>
                              </m:den>
                            </m:f>
                            <m:r>
                              <a:rPr lang="en-US" sz="1800" b="0" i="1">
                                <a:latin typeface="Cambria Math" panose="02040503050406030204" pitchFamily="18" charset="0"/>
                              </a:rPr>
                              <m:t>−</m:t>
                            </m:r>
                            <m:f>
                              <m:fPr>
                                <m:ctrlPr>
                                  <a:rPr lang="en-US" sz="1800" b="0" i="1">
                                    <a:latin typeface="Cambria Math" panose="02040503050406030204" pitchFamily="18" charset="0"/>
                                  </a:rPr>
                                </m:ctrlPr>
                              </m:fPr>
                              <m:num>
                                <m:r>
                                  <a:rPr lang="en-US" sz="1800" b="0" i="1">
                                    <a:latin typeface="Cambria Math" panose="02040503050406030204" pitchFamily="18" charset="0"/>
                                  </a:rPr>
                                  <m:t>1</m:t>
                                </m:r>
                              </m:num>
                              <m:den>
                                <m:sSub>
                                  <m:sSubPr>
                                    <m:ctrlPr>
                                      <a:rPr lang="en-US" sz="1800" b="0" i="1">
                                        <a:latin typeface="Cambria Math" panose="02040503050406030204" pitchFamily="18" charset="0"/>
                                      </a:rPr>
                                    </m:ctrlPr>
                                  </m:sSubPr>
                                  <m:e>
                                    <m:r>
                                      <a:rPr lang="en-US" sz="1800" b="0" i="1">
                                        <a:latin typeface="Cambria Math" panose="02040503050406030204" pitchFamily="18" charset="0"/>
                                      </a:rPr>
                                      <m:t>𝐶𝑂𝑃</m:t>
                                    </m:r>
                                  </m:e>
                                  <m:sub>
                                    <m:r>
                                      <a:rPr lang="en-US" sz="1800" b="0" i="1">
                                        <a:latin typeface="Cambria Math" panose="02040503050406030204" pitchFamily="18" charset="0"/>
                                      </a:rPr>
                                      <m:t>𝑒𝑒</m:t>
                                    </m:r>
                                  </m:sub>
                                </m:sSub>
                              </m:den>
                            </m:f>
                          </m:e>
                        </m:d>
                        <m:r>
                          <a:rPr lang="en-US" sz="1800" b="0" i="1">
                            <a:latin typeface="Cambria Math" panose="02040503050406030204" pitchFamily="18" charset="0"/>
                          </a:rPr>
                          <m:t>∗</m:t>
                        </m:r>
                        <m:sSub>
                          <m:sSubPr>
                            <m:ctrlPr>
                              <a:rPr lang="en-US" sz="1800" b="0" i="1">
                                <a:latin typeface="Cambria Math" panose="02040503050406030204" pitchFamily="18" charset="0"/>
                              </a:rPr>
                            </m:ctrlPr>
                          </m:sSubPr>
                          <m:e>
                            <m:r>
                              <a:rPr lang="en-US" sz="1800" b="0" i="1">
                                <a:latin typeface="Cambria Math" panose="02040503050406030204" pitchFamily="18" charset="0"/>
                              </a:rPr>
                              <m:t>𝐸𝐹𝐿𝐻</m:t>
                            </m:r>
                          </m:e>
                          <m:sub>
                            <m:r>
                              <a:rPr lang="en-US" sz="1800" b="0" i="1">
                                <a:latin typeface="Cambria Math" panose="02040503050406030204" pitchFamily="18" charset="0"/>
                              </a:rPr>
                              <m:t>h𝑒𝑎𝑡</m:t>
                            </m:r>
                          </m:sub>
                        </m:sSub>
                      </m:e>
                    </m:d>
                  </m:oMath>
                </m:oMathPara>
              </a14:m>
              <a:endParaRPr lang="en-US" sz="1600"/>
            </a:p>
          </xdr:txBody>
        </xdr:sp>
      </mc:Choice>
      <mc:Fallback xmlns="">
        <xdr:sp macro="" textlink="">
          <xdr:nvSpPr>
            <xdr:cNvPr id="83" name="TextBox 82"/>
            <xdr:cNvSpPr txBox="1"/>
          </xdr:nvSpPr>
          <xdr:spPr>
            <a:xfrm>
              <a:off x="2212522" y="60636150"/>
              <a:ext cx="177722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latin typeface="Cambria Math" panose="02040503050406030204" pitchFamily="18" charset="0"/>
                  <a:ea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𝑘𝑊ℎ</a:t>
              </a:r>
              <a:r>
                <a:rPr lang="en-US" sz="1800" b="0" i="0">
                  <a:solidFill>
                    <a:schemeClr val="tx1"/>
                  </a:solidFill>
                  <a:effectLst/>
                  <a:latin typeface="Cambria Math" panose="02040503050406030204" pitchFamily="18" charset="0"/>
                  <a:ea typeface="Cambria Math" panose="02040503050406030204" pitchFamily="18" charset="0"/>
                  <a:cs typeface="+mn-cs"/>
                </a:rPr>
                <a:t>〗_(</a:t>
              </a:r>
              <a:r>
                <a:rPr lang="en-US" sz="1800" b="0" i="0">
                  <a:latin typeface="Cambria Math" panose="02040503050406030204" pitchFamily="18" charset="0"/>
                  <a:ea typeface="Cambria Math" panose="02040503050406030204" pitchFamily="18" charset="0"/>
                </a:rPr>
                <a:t>𝑛𝑒𝑥𝑡 10)</a:t>
              </a:r>
              <a:r>
                <a:rPr lang="en-US" sz="1800" i="0">
                  <a:latin typeface="Cambria Math" panose="02040503050406030204" pitchFamily="18" charset="0"/>
                </a:rPr>
                <a:t>=</a:t>
              </a:r>
              <a:r>
                <a:rPr lang="en-US" sz="1800" b="0" i="0">
                  <a:latin typeface="Cambria Math" panose="02040503050406030204" pitchFamily="18" charset="0"/>
                </a:rPr>
                <a:t> (</a:t>
              </a:r>
              <a:r>
                <a:rPr lang="en-US" sz="1400" b="0" i="0">
                  <a:solidFill>
                    <a:schemeClr val="tx1"/>
                  </a:solidFill>
                  <a:effectLst/>
                  <a:latin typeface="Cambria Math" panose="02040503050406030204" pitchFamily="18" charset="0"/>
                  <a:ea typeface="+mn-ea"/>
                  <a:cs typeface="+mn-cs"/>
                </a:rPr>
                <a:t>〖𝑘𝐵𝑡𝑢〗_𝑐𝑜𝑜𝑙∕ℎ𝑟∗(1/〖𝐸𝐸𝑅〗_𝑏𝑎𝑠𝑒 −1/〖𝐸𝐸𝑅〗_𝑒𝑒 )∗〖𝐸𝐹𝐿𝐻〗_𝑐𝑜𝑜𝑙 )</a:t>
              </a:r>
              <a:r>
                <a:rPr lang="en-US" sz="1800" b="0" i="0">
                  <a:latin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〖𝑘𝐵𝑡𝑢〗_ℎ𝑒𝑎𝑡∕ℎ𝑟</a:t>
              </a:r>
              <a:r>
                <a:rPr lang="en-US" sz="1800" b="0" i="0">
                  <a:solidFill>
                    <a:schemeClr val="tx1"/>
                  </a:solidFill>
                  <a:effectLst/>
                  <a:latin typeface="Cambria Math" panose="02040503050406030204" pitchFamily="18" charset="0"/>
                  <a:ea typeface="+mn-ea"/>
                  <a:cs typeface="+mn-cs"/>
                </a:rPr>
                <a:t>)/</a:t>
              </a:r>
              <a:r>
                <a:rPr lang="en-US" sz="1800" b="0" i="0">
                  <a:latin typeface="Cambria Math" panose="02040503050406030204" pitchFamily="18" charset="0"/>
                </a:rPr>
                <a:t>3.412∗(1/〖𝐶𝑂𝑃〗_𝑏𝑎𝑠𝑒 −1/〖𝐶𝑂𝑃〗_𝑒𝑒 )∗〖𝐸𝐹𝐿𝐻〗_ℎ𝑒𝑎𝑡 )</a:t>
              </a:r>
              <a:endParaRPr lang="en-US" sz="1600"/>
            </a:p>
          </xdr:txBody>
        </xdr:sp>
      </mc:Fallback>
    </mc:AlternateContent>
    <xdr:clientData/>
  </xdr:twoCellAnchor>
  <xdr:twoCellAnchor>
    <xdr:from>
      <xdr:col>4</xdr:col>
      <xdr:colOff>75656</xdr:colOff>
      <xdr:row>835</xdr:row>
      <xdr:rowOff>71844</xdr:rowOff>
    </xdr:from>
    <xdr:to>
      <xdr:col>7</xdr:col>
      <xdr:colOff>639536</xdr:colOff>
      <xdr:row>837</xdr:row>
      <xdr:rowOff>107941</xdr:rowOff>
    </xdr:to>
    <mc:AlternateContent xmlns:mc="http://schemas.openxmlformats.org/markup-compatibility/2006" xmlns:a14="http://schemas.microsoft.com/office/drawing/2010/main">
      <mc:Choice Requires="a14">
        <xdr:sp macro="" textlink="">
          <xdr:nvSpPr>
            <xdr:cNvPr id="84" name="TextBox 83">
              <a:extLst>
                <a:ext uri="{FF2B5EF4-FFF2-40B4-BE49-F238E27FC236}">
                  <a16:creationId xmlns:a16="http://schemas.microsoft.com/office/drawing/2014/main" id="{00000000-0008-0000-0200-000054000000}"/>
                </a:ext>
              </a:extLst>
            </xdr:cNvPr>
            <xdr:cNvSpPr txBox="1"/>
          </xdr:nvSpPr>
          <xdr:spPr>
            <a:xfrm flipH="1">
              <a:off x="3804013" y="58405665"/>
              <a:ext cx="8782594" cy="3898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a14:m>
              <a:r>
                <a:rPr lang="en-US" sz="1400">
                  <a:effectLst/>
                </a:rPr>
                <a:t> </a:t>
              </a:r>
            </a:p>
            <a:p>
              <a:pPr marL="0" marR="0" lvl="0" indent="0" algn="l" defTabSz="914400" eaLnBrk="1" fontAlgn="auto" latinLnBrk="0" hangingPunct="1">
                <a:lnSpc>
                  <a:spcPct val="100000"/>
                </a:lnSpc>
                <a:spcBef>
                  <a:spcPts val="0"/>
                </a:spcBef>
                <a:spcAft>
                  <a:spcPts val="0"/>
                </a:spcAft>
                <a:buClrTx/>
                <a:buSzTx/>
                <a:buFontTx/>
                <a:buNone/>
                <a:tabLst/>
                <a:defRPr/>
              </a:pPr>
              <a:endParaRPr lang="en-US" sz="1400">
                <a:effectLst/>
              </a:endParaRPr>
            </a:p>
            <a:p>
              <a:pPr algn="l"/>
              <a:endParaRPr lang="en-US" sz="1400"/>
            </a:p>
          </xdr:txBody>
        </xdr:sp>
      </mc:Choice>
      <mc:Fallback xmlns="">
        <xdr:sp macro="" textlink="">
          <xdr:nvSpPr>
            <xdr:cNvPr id="84" name="TextBox 83">
              <a:extLst>
                <a:ext uri="{FF2B5EF4-FFF2-40B4-BE49-F238E27FC236}">
                  <a16:creationId xmlns:a16="http://schemas.microsoft.com/office/drawing/2014/main" id="{00000000-0008-0000-0200-000054000000}"/>
                </a:ext>
              </a:extLst>
            </xdr:cNvPr>
            <xdr:cNvSpPr txBox="1"/>
          </xdr:nvSpPr>
          <xdr:spPr>
            <a:xfrm flipH="1">
              <a:off x="3804013" y="58405665"/>
              <a:ext cx="8782594" cy="3898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r>
                <a:rPr lang="en-US" sz="1400">
                  <a:effectLst/>
                </a:rPr>
                <a:t> </a:t>
              </a:r>
            </a:p>
            <a:p>
              <a:pPr marL="0" marR="0" lvl="0" indent="0" algn="l" defTabSz="914400" eaLnBrk="1" fontAlgn="auto" latinLnBrk="0" hangingPunct="1">
                <a:lnSpc>
                  <a:spcPct val="100000"/>
                </a:lnSpc>
                <a:spcBef>
                  <a:spcPts val="0"/>
                </a:spcBef>
                <a:spcAft>
                  <a:spcPts val="0"/>
                </a:spcAft>
                <a:buClrTx/>
                <a:buSzTx/>
                <a:buFontTx/>
                <a:buNone/>
                <a:tabLst/>
                <a:defRPr/>
              </a:pPr>
              <a:endParaRPr lang="en-US" sz="1400">
                <a:effectLst/>
              </a:endParaRPr>
            </a:p>
            <a:p>
              <a:pPr algn="l"/>
              <a:endParaRPr lang="en-US" sz="1400"/>
            </a:p>
          </xdr:txBody>
        </xdr:sp>
      </mc:Fallback>
    </mc:AlternateContent>
    <xdr:clientData/>
  </xdr:twoCellAnchor>
  <xdr:twoCellAnchor>
    <xdr:from>
      <xdr:col>2</xdr:col>
      <xdr:colOff>0</xdr:colOff>
      <xdr:row>832</xdr:row>
      <xdr:rowOff>141333</xdr:rowOff>
    </xdr:from>
    <xdr:to>
      <xdr:col>2</xdr:col>
      <xdr:colOff>0</xdr:colOff>
      <xdr:row>834</xdr:row>
      <xdr:rowOff>126274</xdr:rowOff>
    </xdr:to>
    <mc:AlternateContent xmlns:mc="http://schemas.openxmlformats.org/markup-compatibility/2006" xmlns:a14="http://schemas.microsoft.com/office/drawing/2010/main">
      <mc:Choice Requires="a14">
        <xdr:sp macro="" textlink="">
          <xdr:nvSpPr>
            <xdr:cNvPr id="85" name="TextBox 84">
              <a:extLst>
                <a:ext uri="{FF2B5EF4-FFF2-40B4-BE49-F238E27FC236}">
                  <a16:creationId xmlns:a16="http://schemas.microsoft.com/office/drawing/2014/main" id="{00000000-0008-0000-0200-000055000000}"/>
                </a:ext>
              </a:extLst>
            </xdr:cNvPr>
            <xdr:cNvSpPr txBox="1"/>
          </xdr:nvSpPr>
          <xdr:spPr>
            <a:xfrm>
              <a:off x="625929" y="149547762"/>
              <a:ext cx="0" cy="3387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2000" b="0" i="1">
                        <a:latin typeface="Cambria Math" panose="02040503050406030204" pitchFamily="18" charset="0"/>
                        <a:ea typeface="Cambria Math" panose="02040503050406030204" pitchFamily="18" charset="0"/>
                      </a:rPr>
                      <m:t>∆</m:t>
                    </m:r>
                    <m:r>
                      <a:rPr lang="en-US" sz="2000" b="0" i="1">
                        <a:latin typeface="Cambria Math" panose="02040503050406030204" pitchFamily="18" charset="0"/>
                        <a:ea typeface="Cambria Math" panose="02040503050406030204" pitchFamily="18" charset="0"/>
                      </a:rPr>
                      <m:t>𝑘𝑊h</m:t>
                    </m:r>
                    <m:r>
                      <a:rPr lang="en-US" sz="2000" i="1">
                        <a:latin typeface="Cambria Math" panose="02040503050406030204" pitchFamily="18" charset="0"/>
                      </a:rPr>
                      <m:t>=</m:t>
                    </m:r>
                    <m:r>
                      <a:rPr lang="en-US" sz="2000" b="0" i="1">
                        <a:latin typeface="Cambria Math" panose="02040503050406030204" pitchFamily="18" charset="0"/>
                      </a:rPr>
                      <m:t> </m:t>
                    </m:r>
                    <m:d>
                      <m:dPr>
                        <m:ctrlPr>
                          <a:rPr lang="en-US" sz="2000" b="0" i="1">
                            <a:latin typeface="Cambria Math" panose="02040503050406030204" pitchFamily="18" charset="0"/>
                          </a:rPr>
                        </m:ctrlPr>
                      </m:dPr>
                      <m:e>
                        <m:sSub>
                          <m:sSubPr>
                            <m:ctrlPr>
                              <a:rPr lang="en-US" sz="2000" b="0" i="1">
                                <a:latin typeface="Cambria Math" panose="02040503050406030204" pitchFamily="18" charset="0"/>
                              </a:rPr>
                            </m:ctrlPr>
                          </m:sSubPr>
                          <m:e>
                            <m:r>
                              <a:rPr lang="en-US" sz="2000" b="0" i="1">
                                <a:latin typeface="Cambria Math" panose="02040503050406030204" pitchFamily="18" charset="0"/>
                              </a:rPr>
                              <m:t>𝑘𝑊h</m:t>
                            </m:r>
                          </m:e>
                          <m:sub>
                            <m:r>
                              <a:rPr lang="en-US" sz="2000" b="0" i="1">
                                <a:latin typeface="Cambria Math" panose="02040503050406030204" pitchFamily="18" charset="0"/>
                              </a:rPr>
                              <m:t>𝐵𝑎𝑠𝑒</m:t>
                            </m:r>
                          </m:sub>
                        </m:sSub>
                        <m:r>
                          <a:rPr lang="en-US" sz="2000" b="0" i="1">
                            <a:latin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𝑘𝑊h</m:t>
                            </m:r>
                          </m:e>
                          <m:sub>
                            <m:r>
                              <a:rPr lang="en-US" sz="2000" b="0" i="1">
                                <a:latin typeface="Cambria Math" panose="02040503050406030204" pitchFamily="18" charset="0"/>
                              </a:rPr>
                              <m:t>𝐸𝑆𝑇𝐴𝑅</m:t>
                            </m:r>
                          </m:sub>
                        </m:sSub>
                      </m:e>
                    </m:d>
                    <m:r>
                      <a:rPr lang="en-US" sz="2000" b="0" i="1">
                        <a:latin typeface="Cambria Math" panose="02040503050406030204" pitchFamily="18" charset="0"/>
                      </a:rPr>
                      <m:t>∗</m:t>
                    </m:r>
                    <m:r>
                      <a:rPr lang="en-US" sz="2000" b="0" i="1">
                        <a:latin typeface="Cambria Math" panose="02040503050406030204" pitchFamily="18" charset="0"/>
                      </a:rPr>
                      <m:t>𝐷𝑎𝑦𝑠</m:t>
                    </m:r>
                  </m:oMath>
                </m:oMathPara>
              </a14:m>
              <a:endParaRPr lang="en-US" sz="1800"/>
            </a:p>
          </xdr:txBody>
        </xdr:sp>
      </mc:Choice>
      <mc:Fallback xmlns="">
        <xdr:sp macro="" textlink="">
          <xdr:nvSpPr>
            <xdr:cNvPr id="85" name="TextBox 84"/>
            <xdr:cNvSpPr txBox="1"/>
          </xdr:nvSpPr>
          <xdr:spPr>
            <a:xfrm>
              <a:off x="1028700" y="6216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2000" b="0" i="0">
                  <a:latin typeface="Cambria Math" panose="02040503050406030204" pitchFamily="18" charset="0"/>
                  <a:ea typeface="Cambria Math" panose="02040503050406030204" pitchFamily="18" charset="0"/>
                </a:rPr>
                <a:t>∆𝑘𝑊ℎ</a:t>
              </a:r>
              <a:r>
                <a:rPr lang="en-US" sz="2000" i="0">
                  <a:latin typeface="Cambria Math" panose="02040503050406030204" pitchFamily="18" charset="0"/>
                </a:rPr>
                <a:t>=</a:t>
              </a:r>
              <a:r>
                <a:rPr lang="en-US" sz="2000" b="0" i="0">
                  <a:latin typeface="Cambria Math" panose="02040503050406030204" pitchFamily="18" charset="0"/>
                </a:rPr>
                <a:t> (〖𝑘𝑊ℎ〗_𝐵𝑎𝑠𝑒−〖𝑘𝑊ℎ〗_𝐸𝑆𝑇𝐴𝑅 )∗𝐷𝑎𝑦𝑠</a:t>
              </a:r>
              <a:endParaRPr lang="en-US" sz="1800"/>
            </a:p>
          </xdr:txBody>
        </xdr:sp>
      </mc:Fallback>
    </mc:AlternateContent>
    <xdr:clientData/>
  </xdr:twoCellAnchor>
  <xdr:twoCellAnchor>
    <xdr:from>
      <xdr:col>2</xdr:col>
      <xdr:colOff>0</xdr:colOff>
      <xdr:row>852</xdr:row>
      <xdr:rowOff>95247</xdr:rowOff>
    </xdr:from>
    <xdr:to>
      <xdr:col>2</xdr:col>
      <xdr:colOff>0</xdr:colOff>
      <xdr:row>854</xdr:row>
      <xdr:rowOff>152572</xdr:rowOff>
    </xdr:to>
    <mc:AlternateContent xmlns:mc="http://schemas.openxmlformats.org/markup-compatibility/2006" xmlns:a14="http://schemas.microsoft.com/office/drawing/2010/main">
      <mc:Choice Requires="a14">
        <xdr:sp macro="" textlink="">
          <xdr:nvSpPr>
            <xdr:cNvPr id="86" name="TextBox 85">
              <a:extLst>
                <a:ext uri="{FF2B5EF4-FFF2-40B4-BE49-F238E27FC236}">
                  <a16:creationId xmlns:a16="http://schemas.microsoft.com/office/drawing/2014/main" id="{00000000-0008-0000-0200-000056000000}"/>
                </a:ext>
              </a:extLst>
            </xdr:cNvPr>
            <xdr:cNvSpPr txBox="1"/>
          </xdr:nvSpPr>
          <xdr:spPr>
            <a:xfrm>
              <a:off x="625929" y="153230033"/>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6" name="TextBox 85"/>
            <xdr:cNvSpPr txBox="1"/>
          </xdr:nvSpPr>
          <xdr:spPr>
            <a:xfrm>
              <a:off x="1028700" y="6349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95249</xdr:colOff>
      <xdr:row>850</xdr:row>
      <xdr:rowOff>126274</xdr:rowOff>
    </xdr:from>
    <xdr:to>
      <xdr:col>4</xdr:col>
      <xdr:colOff>4721678</xdr:colOff>
      <xdr:row>852</xdr:row>
      <xdr:rowOff>96699</xdr:rowOff>
    </xdr:to>
    <mc:AlternateContent xmlns:mc="http://schemas.openxmlformats.org/markup-compatibility/2006" xmlns:a14="http://schemas.microsoft.com/office/drawing/2010/main">
      <mc:Choice Requires="a14">
        <xdr:sp macro="" textlink="">
          <xdr:nvSpPr>
            <xdr:cNvPr id="87" name="TextBox 86">
              <a:extLst>
                <a:ext uri="{FF2B5EF4-FFF2-40B4-BE49-F238E27FC236}">
                  <a16:creationId xmlns:a16="http://schemas.microsoft.com/office/drawing/2014/main" id="{00000000-0008-0000-0200-000057000000}"/>
                </a:ext>
              </a:extLst>
            </xdr:cNvPr>
            <xdr:cNvSpPr txBox="1"/>
          </xdr:nvSpPr>
          <xdr:spPr>
            <a:xfrm flipH="1">
              <a:off x="2136320" y="152907274"/>
              <a:ext cx="6313715" cy="3242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𝑝𝑒𝑟</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𝑚𝑜𝑡𝑜𝑟</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𝑚𝑜𝑡𝑜𝑟𝑠</m:t>
                    </m:r>
                  </m:oMath>
                </m:oMathPara>
              </a14:m>
              <a:endParaRPr lang="en-US" sz="1400"/>
            </a:p>
          </xdr:txBody>
        </xdr:sp>
      </mc:Choice>
      <mc:Fallback xmlns="">
        <xdr:sp macro="" textlink="">
          <xdr:nvSpPr>
            <xdr:cNvPr id="87" name="TextBox 86"/>
            <xdr:cNvSpPr txBox="1"/>
          </xdr:nvSpPr>
          <xdr:spPr>
            <a:xfrm flipH="1">
              <a:off x="2266949" y="63493650"/>
              <a:ext cx="61028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𝑘𝑊ℎ=𝑆𝑎𝑣𝑖𝑛𝑔𝑠 𝑝𝑒𝑟 𝑚𝑜𝑡𝑜𝑟∗𝑚𝑜𝑡𝑜𝑟𝑠</a:t>
              </a:r>
              <a:endParaRPr lang="en-US" sz="1400"/>
            </a:p>
          </xdr:txBody>
        </xdr:sp>
      </mc:Fallback>
    </mc:AlternateContent>
    <xdr:clientData/>
  </xdr:twoCellAnchor>
  <xdr:twoCellAnchor>
    <xdr:from>
      <xdr:col>3</xdr:col>
      <xdr:colOff>95250</xdr:colOff>
      <xdr:row>335</xdr:row>
      <xdr:rowOff>21499</xdr:rowOff>
    </xdr:from>
    <xdr:to>
      <xdr:col>6</xdr:col>
      <xdr:colOff>1008290</xdr:colOff>
      <xdr:row>338</xdr:row>
      <xdr:rowOff>106408</xdr:rowOff>
    </xdr:to>
    <mc:AlternateContent xmlns:mc="http://schemas.openxmlformats.org/markup-compatibility/2006" xmlns:a14="http://schemas.microsoft.com/office/drawing/2010/main">
      <mc:Choice Requires="a14">
        <xdr:sp macro="" textlink="">
          <xdr:nvSpPr>
            <xdr:cNvPr id="88" name="TextBox 87">
              <a:extLst>
                <a:ext uri="{FF2B5EF4-FFF2-40B4-BE49-F238E27FC236}">
                  <a16:creationId xmlns:a16="http://schemas.microsoft.com/office/drawing/2014/main" id="{00000000-0008-0000-0200-000058000000}"/>
                </a:ext>
              </a:extLst>
            </xdr:cNvPr>
            <xdr:cNvSpPr txBox="1"/>
          </xdr:nvSpPr>
          <xdr:spPr>
            <a:xfrm>
              <a:off x="2136321" y="64764285"/>
              <a:ext cx="8818790" cy="615587"/>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d>
                      <m:d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dPr>
                      <m:e>
                        <m:f>
                          <m:f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𝐸𝑓𝑓</m:t>
                            </m:r>
                          </m:den>
                        </m:f>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𝐸𝐹𝐿𝐻</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𝐵𝑡𝑢h</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num>
                          <m:den>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𝐸𝑆𝐹</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e>
                    </m:d>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d>
                      <m:d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dPr>
                      <m:e>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𝐸𝐹𝐿𝐻</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f>
                          <m:f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fPr>
                          <m:num>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𝐵𝑡𝑢h</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num>
                          <m:den>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𝜂</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∗3412</m:t>
                            </m:r>
                          </m:den>
                        </m:f>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𝐸𝑆𝐹</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e>
                    </m:d>
                  </m:oMath>
                </m:oMathPara>
              </a14:m>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Choice>
      <mc:Fallback xmlns="">
        <xdr:sp macro="" textlink="">
          <xdr:nvSpPr>
            <xdr:cNvPr id="88" name="TextBox 87"/>
            <xdr:cNvSpPr txBox="1"/>
          </xdr:nvSpPr>
          <xdr:spPr>
            <a:xfrm>
              <a:off x="2266950" y="27670125"/>
              <a:ext cx="8513990" cy="0"/>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∆𝑘𝑊ℎ=(</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1/𝐸𝑓𝑓∗〖𝐸𝐹𝐿𝐻〗_𝐶𝑜𝑜𝑙∗〖𝐵𝑡𝑢ℎ〗_𝐶𝑜𝑜𝑙/1000∗〖𝐸𝑆𝐹〗_𝐶𝑜𝑜𝑙 )</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+(〖𝐸𝐹𝐿𝐻〗_𝐻𝐸𝐴𝑇∗〖𝐵𝑡𝑢ℎ〗_𝐻𝐸𝐴𝑇/(𝜂_𝐻𝐸𝐴𝑇∗3412)∗〖𝐸𝑆𝐹〗_𝐻𝐸𝐴𝑇 )</a:t>
              </a: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Fallback>
    </mc:AlternateContent>
    <xdr:clientData/>
  </xdr:twoCellAnchor>
  <xdr:oneCellAnchor>
    <xdr:from>
      <xdr:col>26</xdr:col>
      <xdr:colOff>2269331</xdr:colOff>
      <xdr:row>5</xdr:row>
      <xdr:rowOff>0</xdr:rowOff>
    </xdr:from>
    <xdr:ext cx="65" cy="172227"/>
    <xdr:sp macro="" textlink="">
      <xdr:nvSpPr>
        <xdr:cNvPr id="89" name="TextBox 88">
          <a:extLst>
            <a:ext uri="{FF2B5EF4-FFF2-40B4-BE49-F238E27FC236}">
              <a16:creationId xmlns:a16="http://schemas.microsoft.com/office/drawing/2014/main" id="{00000000-0008-0000-0200-000059000000}"/>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xdr:row>
      <xdr:rowOff>0</xdr:rowOff>
    </xdr:from>
    <xdr:ext cx="65" cy="172227"/>
    <xdr:sp macro="" textlink="">
      <xdr:nvSpPr>
        <xdr:cNvPr id="90" name="TextBox 89">
          <a:extLst>
            <a:ext uri="{FF2B5EF4-FFF2-40B4-BE49-F238E27FC236}">
              <a16:creationId xmlns:a16="http://schemas.microsoft.com/office/drawing/2014/main" id="{00000000-0008-0000-0200-00005A000000}"/>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150</xdr:row>
      <xdr:rowOff>0</xdr:rowOff>
    </xdr:from>
    <xdr:ext cx="65" cy="172227"/>
    <xdr:sp macro="" textlink="">
      <xdr:nvSpPr>
        <xdr:cNvPr id="91" name="TextBox 90">
          <a:extLst>
            <a:ext uri="{FF2B5EF4-FFF2-40B4-BE49-F238E27FC236}">
              <a16:creationId xmlns:a16="http://schemas.microsoft.com/office/drawing/2014/main" id="{00000000-0008-0000-0200-00005B000000}"/>
            </a:ext>
          </a:extLst>
        </xdr:cNvPr>
        <xdr:cNvSpPr txBox="1"/>
      </xdr:nvSpPr>
      <xdr:spPr>
        <a:xfrm>
          <a:off x="37062795" y="3000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150</xdr:row>
      <xdr:rowOff>0</xdr:rowOff>
    </xdr:from>
    <xdr:ext cx="65" cy="172227"/>
    <xdr:sp macro="" textlink="">
      <xdr:nvSpPr>
        <xdr:cNvPr id="92" name="TextBox 91">
          <a:extLst>
            <a:ext uri="{FF2B5EF4-FFF2-40B4-BE49-F238E27FC236}">
              <a16:creationId xmlns:a16="http://schemas.microsoft.com/office/drawing/2014/main" id="{00000000-0008-0000-0200-00005C000000}"/>
            </a:ext>
          </a:extLst>
        </xdr:cNvPr>
        <xdr:cNvSpPr txBox="1"/>
      </xdr:nvSpPr>
      <xdr:spPr>
        <a:xfrm>
          <a:off x="37062795" y="3000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195</xdr:row>
      <xdr:rowOff>0</xdr:rowOff>
    </xdr:from>
    <xdr:ext cx="65" cy="172227"/>
    <xdr:sp macro="" textlink="">
      <xdr:nvSpPr>
        <xdr:cNvPr id="93" name="TextBox 92">
          <a:extLst>
            <a:ext uri="{FF2B5EF4-FFF2-40B4-BE49-F238E27FC236}">
              <a16:creationId xmlns:a16="http://schemas.microsoft.com/office/drawing/2014/main" id="{00000000-0008-0000-0200-00005D000000}"/>
            </a:ext>
          </a:extLst>
        </xdr:cNvPr>
        <xdr:cNvSpPr txBox="1"/>
      </xdr:nvSpPr>
      <xdr:spPr>
        <a:xfrm>
          <a:off x="37062795" y="38045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195</xdr:row>
      <xdr:rowOff>0</xdr:rowOff>
    </xdr:from>
    <xdr:ext cx="65" cy="172227"/>
    <xdr:sp macro="" textlink="">
      <xdr:nvSpPr>
        <xdr:cNvPr id="94" name="TextBox 93">
          <a:extLst>
            <a:ext uri="{FF2B5EF4-FFF2-40B4-BE49-F238E27FC236}">
              <a16:creationId xmlns:a16="http://schemas.microsoft.com/office/drawing/2014/main" id="{00000000-0008-0000-0200-00005E000000}"/>
            </a:ext>
          </a:extLst>
        </xdr:cNvPr>
        <xdr:cNvSpPr txBox="1"/>
      </xdr:nvSpPr>
      <xdr:spPr>
        <a:xfrm>
          <a:off x="37062795" y="38045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215</xdr:row>
      <xdr:rowOff>0</xdr:rowOff>
    </xdr:from>
    <xdr:ext cx="65" cy="172227"/>
    <xdr:sp macro="" textlink="">
      <xdr:nvSpPr>
        <xdr:cNvPr id="95" name="TextBox 94">
          <a:extLst>
            <a:ext uri="{FF2B5EF4-FFF2-40B4-BE49-F238E27FC236}">
              <a16:creationId xmlns:a16="http://schemas.microsoft.com/office/drawing/2014/main" id="{00000000-0008-0000-0200-00005F000000}"/>
            </a:ext>
          </a:extLst>
        </xdr:cNvPr>
        <xdr:cNvSpPr txBox="1"/>
      </xdr:nvSpPr>
      <xdr:spPr>
        <a:xfrm>
          <a:off x="37062795" y="4234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215</xdr:row>
      <xdr:rowOff>0</xdr:rowOff>
    </xdr:from>
    <xdr:ext cx="65" cy="172227"/>
    <xdr:sp macro="" textlink="">
      <xdr:nvSpPr>
        <xdr:cNvPr id="96" name="TextBox 95">
          <a:extLst>
            <a:ext uri="{FF2B5EF4-FFF2-40B4-BE49-F238E27FC236}">
              <a16:creationId xmlns:a16="http://schemas.microsoft.com/office/drawing/2014/main" id="{00000000-0008-0000-0200-000060000000}"/>
            </a:ext>
          </a:extLst>
        </xdr:cNvPr>
        <xdr:cNvSpPr txBox="1"/>
      </xdr:nvSpPr>
      <xdr:spPr>
        <a:xfrm>
          <a:off x="37062795" y="4234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239</xdr:row>
      <xdr:rowOff>0</xdr:rowOff>
    </xdr:from>
    <xdr:ext cx="65" cy="172227"/>
    <xdr:sp macro="" textlink="">
      <xdr:nvSpPr>
        <xdr:cNvPr id="97" name="TextBox 96">
          <a:extLst>
            <a:ext uri="{FF2B5EF4-FFF2-40B4-BE49-F238E27FC236}">
              <a16:creationId xmlns:a16="http://schemas.microsoft.com/office/drawing/2014/main" id="{00000000-0008-0000-0200-000061000000}"/>
            </a:ext>
          </a:extLst>
        </xdr:cNvPr>
        <xdr:cNvSpPr txBox="1"/>
      </xdr:nvSpPr>
      <xdr:spPr>
        <a:xfrm>
          <a:off x="37062795" y="46781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239</xdr:row>
      <xdr:rowOff>0</xdr:rowOff>
    </xdr:from>
    <xdr:ext cx="65" cy="172227"/>
    <xdr:sp macro="" textlink="">
      <xdr:nvSpPr>
        <xdr:cNvPr id="98" name="TextBox 97">
          <a:extLst>
            <a:ext uri="{FF2B5EF4-FFF2-40B4-BE49-F238E27FC236}">
              <a16:creationId xmlns:a16="http://schemas.microsoft.com/office/drawing/2014/main" id="{00000000-0008-0000-0200-000062000000}"/>
            </a:ext>
          </a:extLst>
        </xdr:cNvPr>
        <xdr:cNvSpPr txBox="1"/>
      </xdr:nvSpPr>
      <xdr:spPr>
        <a:xfrm>
          <a:off x="37062795" y="46781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257</xdr:row>
      <xdr:rowOff>0</xdr:rowOff>
    </xdr:from>
    <xdr:ext cx="65" cy="172227"/>
    <xdr:sp macro="" textlink="">
      <xdr:nvSpPr>
        <xdr:cNvPr id="99" name="TextBox 98">
          <a:extLst>
            <a:ext uri="{FF2B5EF4-FFF2-40B4-BE49-F238E27FC236}">
              <a16:creationId xmlns:a16="http://schemas.microsoft.com/office/drawing/2014/main" id="{00000000-0008-0000-0200-000063000000}"/>
            </a:ext>
          </a:extLst>
        </xdr:cNvPr>
        <xdr:cNvSpPr txBox="1"/>
      </xdr:nvSpPr>
      <xdr:spPr>
        <a:xfrm>
          <a:off x="37062795" y="4996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257</xdr:row>
      <xdr:rowOff>0</xdr:rowOff>
    </xdr:from>
    <xdr:ext cx="65" cy="172227"/>
    <xdr:sp macro="" textlink="">
      <xdr:nvSpPr>
        <xdr:cNvPr id="100" name="TextBox 99">
          <a:extLst>
            <a:ext uri="{FF2B5EF4-FFF2-40B4-BE49-F238E27FC236}">
              <a16:creationId xmlns:a16="http://schemas.microsoft.com/office/drawing/2014/main" id="{00000000-0008-0000-0200-000064000000}"/>
            </a:ext>
          </a:extLst>
        </xdr:cNvPr>
        <xdr:cNvSpPr txBox="1"/>
      </xdr:nvSpPr>
      <xdr:spPr>
        <a:xfrm>
          <a:off x="37062795" y="4996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287</xdr:row>
      <xdr:rowOff>0</xdr:rowOff>
    </xdr:from>
    <xdr:ext cx="65" cy="172227"/>
    <xdr:sp macro="" textlink="">
      <xdr:nvSpPr>
        <xdr:cNvPr id="101" name="TextBox 100">
          <a:extLst>
            <a:ext uri="{FF2B5EF4-FFF2-40B4-BE49-F238E27FC236}">
              <a16:creationId xmlns:a16="http://schemas.microsoft.com/office/drawing/2014/main" id="{00000000-0008-0000-0200-000065000000}"/>
            </a:ext>
          </a:extLst>
        </xdr:cNvPr>
        <xdr:cNvSpPr txBox="1"/>
      </xdr:nvSpPr>
      <xdr:spPr>
        <a:xfrm>
          <a:off x="37062795" y="55462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287</xdr:row>
      <xdr:rowOff>0</xdr:rowOff>
    </xdr:from>
    <xdr:ext cx="65" cy="172227"/>
    <xdr:sp macro="" textlink="">
      <xdr:nvSpPr>
        <xdr:cNvPr id="102" name="TextBox 101">
          <a:extLst>
            <a:ext uri="{FF2B5EF4-FFF2-40B4-BE49-F238E27FC236}">
              <a16:creationId xmlns:a16="http://schemas.microsoft.com/office/drawing/2014/main" id="{00000000-0008-0000-0200-000066000000}"/>
            </a:ext>
          </a:extLst>
        </xdr:cNvPr>
        <xdr:cNvSpPr txBox="1"/>
      </xdr:nvSpPr>
      <xdr:spPr>
        <a:xfrm>
          <a:off x="37062795" y="55462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309</xdr:row>
      <xdr:rowOff>0</xdr:rowOff>
    </xdr:from>
    <xdr:ext cx="65" cy="172227"/>
    <xdr:sp macro="" textlink="">
      <xdr:nvSpPr>
        <xdr:cNvPr id="103" name="TextBox 102">
          <a:extLst>
            <a:ext uri="{FF2B5EF4-FFF2-40B4-BE49-F238E27FC236}">
              <a16:creationId xmlns:a16="http://schemas.microsoft.com/office/drawing/2014/main" id="{00000000-0008-0000-0200-000067000000}"/>
            </a:ext>
          </a:extLst>
        </xdr:cNvPr>
        <xdr:cNvSpPr txBox="1"/>
      </xdr:nvSpPr>
      <xdr:spPr>
        <a:xfrm>
          <a:off x="37062795" y="59735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309</xdr:row>
      <xdr:rowOff>0</xdr:rowOff>
    </xdr:from>
    <xdr:ext cx="65" cy="172227"/>
    <xdr:sp macro="" textlink="">
      <xdr:nvSpPr>
        <xdr:cNvPr id="104" name="TextBox 103">
          <a:extLst>
            <a:ext uri="{FF2B5EF4-FFF2-40B4-BE49-F238E27FC236}">
              <a16:creationId xmlns:a16="http://schemas.microsoft.com/office/drawing/2014/main" id="{00000000-0008-0000-0200-000068000000}"/>
            </a:ext>
          </a:extLst>
        </xdr:cNvPr>
        <xdr:cNvSpPr txBox="1"/>
      </xdr:nvSpPr>
      <xdr:spPr>
        <a:xfrm>
          <a:off x="37062795" y="59735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329</xdr:row>
      <xdr:rowOff>0</xdr:rowOff>
    </xdr:from>
    <xdr:ext cx="65" cy="172227"/>
    <xdr:sp macro="" textlink="">
      <xdr:nvSpPr>
        <xdr:cNvPr id="105" name="TextBox 104">
          <a:extLst>
            <a:ext uri="{FF2B5EF4-FFF2-40B4-BE49-F238E27FC236}">
              <a16:creationId xmlns:a16="http://schemas.microsoft.com/office/drawing/2014/main" id="{00000000-0008-0000-0200-000069000000}"/>
            </a:ext>
          </a:extLst>
        </xdr:cNvPr>
        <xdr:cNvSpPr txBox="1"/>
      </xdr:nvSpPr>
      <xdr:spPr>
        <a:xfrm>
          <a:off x="37062795" y="63300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329</xdr:row>
      <xdr:rowOff>0</xdr:rowOff>
    </xdr:from>
    <xdr:ext cx="65" cy="172227"/>
    <xdr:sp macro="" textlink="">
      <xdr:nvSpPr>
        <xdr:cNvPr id="106" name="TextBox 105">
          <a:extLst>
            <a:ext uri="{FF2B5EF4-FFF2-40B4-BE49-F238E27FC236}">
              <a16:creationId xmlns:a16="http://schemas.microsoft.com/office/drawing/2014/main" id="{00000000-0008-0000-0200-00006A000000}"/>
            </a:ext>
          </a:extLst>
        </xdr:cNvPr>
        <xdr:cNvSpPr txBox="1"/>
      </xdr:nvSpPr>
      <xdr:spPr>
        <a:xfrm>
          <a:off x="37062795" y="63300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475</xdr:row>
      <xdr:rowOff>0</xdr:rowOff>
    </xdr:from>
    <xdr:ext cx="65" cy="172227"/>
    <xdr:sp macro="" textlink="">
      <xdr:nvSpPr>
        <xdr:cNvPr id="107" name="TextBox 106">
          <a:extLst>
            <a:ext uri="{FF2B5EF4-FFF2-40B4-BE49-F238E27FC236}">
              <a16:creationId xmlns:a16="http://schemas.microsoft.com/office/drawing/2014/main" id="{00000000-0008-0000-0200-00006B000000}"/>
            </a:ext>
          </a:extLst>
        </xdr:cNvPr>
        <xdr:cNvSpPr txBox="1"/>
      </xdr:nvSpPr>
      <xdr:spPr>
        <a:xfrm>
          <a:off x="37062795" y="884600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475</xdr:row>
      <xdr:rowOff>0</xdr:rowOff>
    </xdr:from>
    <xdr:ext cx="65" cy="172227"/>
    <xdr:sp macro="" textlink="">
      <xdr:nvSpPr>
        <xdr:cNvPr id="108" name="TextBox 107">
          <a:extLst>
            <a:ext uri="{FF2B5EF4-FFF2-40B4-BE49-F238E27FC236}">
              <a16:creationId xmlns:a16="http://schemas.microsoft.com/office/drawing/2014/main" id="{00000000-0008-0000-0200-00006C000000}"/>
            </a:ext>
          </a:extLst>
        </xdr:cNvPr>
        <xdr:cNvSpPr txBox="1"/>
      </xdr:nvSpPr>
      <xdr:spPr>
        <a:xfrm>
          <a:off x="37062795" y="884600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519</xdr:row>
      <xdr:rowOff>0</xdr:rowOff>
    </xdr:from>
    <xdr:ext cx="65" cy="172227"/>
    <xdr:sp macro="" textlink="">
      <xdr:nvSpPr>
        <xdr:cNvPr id="109" name="TextBox 108">
          <a:extLst>
            <a:ext uri="{FF2B5EF4-FFF2-40B4-BE49-F238E27FC236}">
              <a16:creationId xmlns:a16="http://schemas.microsoft.com/office/drawing/2014/main" id="{00000000-0008-0000-0200-00006D000000}"/>
            </a:ext>
          </a:extLst>
        </xdr:cNvPr>
        <xdr:cNvSpPr txBox="1"/>
      </xdr:nvSpPr>
      <xdr:spPr>
        <a:xfrm>
          <a:off x="37062795" y="96243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519</xdr:row>
      <xdr:rowOff>0</xdr:rowOff>
    </xdr:from>
    <xdr:ext cx="65" cy="172227"/>
    <xdr:sp macro="" textlink="">
      <xdr:nvSpPr>
        <xdr:cNvPr id="110" name="TextBox 109">
          <a:extLst>
            <a:ext uri="{FF2B5EF4-FFF2-40B4-BE49-F238E27FC236}">
              <a16:creationId xmlns:a16="http://schemas.microsoft.com/office/drawing/2014/main" id="{00000000-0008-0000-0200-00006E000000}"/>
            </a:ext>
          </a:extLst>
        </xdr:cNvPr>
        <xdr:cNvSpPr txBox="1"/>
      </xdr:nvSpPr>
      <xdr:spPr>
        <a:xfrm>
          <a:off x="37062795" y="96243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614</xdr:row>
      <xdr:rowOff>0</xdr:rowOff>
    </xdr:from>
    <xdr:ext cx="65" cy="172227"/>
    <xdr:sp macro="" textlink="">
      <xdr:nvSpPr>
        <xdr:cNvPr id="111" name="TextBox 110">
          <a:extLst>
            <a:ext uri="{FF2B5EF4-FFF2-40B4-BE49-F238E27FC236}">
              <a16:creationId xmlns:a16="http://schemas.microsoft.com/office/drawing/2014/main" id="{00000000-0008-0000-0200-00006F000000}"/>
            </a:ext>
          </a:extLst>
        </xdr:cNvPr>
        <xdr:cNvSpPr txBox="1"/>
      </xdr:nvSpPr>
      <xdr:spPr>
        <a:xfrm>
          <a:off x="37062795" y="108462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614</xdr:row>
      <xdr:rowOff>0</xdr:rowOff>
    </xdr:from>
    <xdr:ext cx="65" cy="172227"/>
    <xdr:sp macro="" textlink="">
      <xdr:nvSpPr>
        <xdr:cNvPr id="112" name="TextBox 111">
          <a:extLst>
            <a:ext uri="{FF2B5EF4-FFF2-40B4-BE49-F238E27FC236}">
              <a16:creationId xmlns:a16="http://schemas.microsoft.com/office/drawing/2014/main" id="{00000000-0008-0000-0200-000070000000}"/>
            </a:ext>
          </a:extLst>
        </xdr:cNvPr>
        <xdr:cNvSpPr txBox="1"/>
      </xdr:nvSpPr>
      <xdr:spPr>
        <a:xfrm>
          <a:off x="37062795" y="108462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637</xdr:row>
      <xdr:rowOff>0</xdr:rowOff>
    </xdr:from>
    <xdr:ext cx="65" cy="172227"/>
    <xdr:sp macro="" textlink="">
      <xdr:nvSpPr>
        <xdr:cNvPr id="113" name="TextBox 112">
          <a:extLst>
            <a:ext uri="{FF2B5EF4-FFF2-40B4-BE49-F238E27FC236}">
              <a16:creationId xmlns:a16="http://schemas.microsoft.com/office/drawing/2014/main" id="{00000000-0008-0000-0200-000071000000}"/>
            </a:ext>
          </a:extLst>
        </xdr:cNvPr>
        <xdr:cNvSpPr txBox="1"/>
      </xdr:nvSpPr>
      <xdr:spPr>
        <a:xfrm>
          <a:off x="37062795" y="112912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637</xdr:row>
      <xdr:rowOff>0</xdr:rowOff>
    </xdr:from>
    <xdr:ext cx="65" cy="172227"/>
    <xdr:sp macro="" textlink="">
      <xdr:nvSpPr>
        <xdr:cNvPr id="114" name="TextBox 113">
          <a:extLst>
            <a:ext uri="{FF2B5EF4-FFF2-40B4-BE49-F238E27FC236}">
              <a16:creationId xmlns:a16="http://schemas.microsoft.com/office/drawing/2014/main" id="{00000000-0008-0000-0200-000072000000}"/>
            </a:ext>
          </a:extLst>
        </xdr:cNvPr>
        <xdr:cNvSpPr txBox="1"/>
      </xdr:nvSpPr>
      <xdr:spPr>
        <a:xfrm>
          <a:off x="37062795" y="112912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655</xdr:row>
      <xdr:rowOff>0</xdr:rowOff>
    </xdr:from>
    <xdr:ext cx="65" cy="172227"/>
    <xdr:sp macro="" textlink="">
      <xdr:nvSpPr>
        <xdr:cNvPr id="115" name="TextBox 114">
          <a:extLst>
            <a:ext uri="{FF2B5EF4-FFF2-40B4-BE49-F238E27FC236}">
              <a16:creationId xmlns:a16="http://schemas.microsoft.com/office/drawing/2014/main" id="{00000000-0008-0000-0200-000073000000}"/>
            </a:ext>
          </a:extLst>
        </xdr:cNvPr>
        <xdr:cNvSpPr txBox="1"/>
      </xdr:nvSpPr>
      <xdr:spPr>
        <a:xfrm>
          <a:off x="37062795" y="1162866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655</xdr:row>
      <xdr:rowOff>0</xdr:rowOff>
    </xdr:from>
    <xdr:ext cx="65" cy="172227"/>
    <xdr:sp macro="" textlink="">
      <xdr:nvSpPr>
        <xdr:cNvPr id="116" name="TextBox 115">
          <a:extLst>
            <a:ext uri="{FF2B5EF4-FFF2-40B4-BE49-F238E27FC236}">
              <a16:creationId xmlns:a16="http://schemas.microsoft.com/office/drawing/2014/main" id="{00000000-0008-0000-0200-000074000000}"/>
            </a:ext>
          </a:extLst>
        </xdr:cNvPr>
        <xdr:cNvSpPr txBox="1"/>
      </xdr:nvSpPr>
      <xdr:spPr>
        <a:xfrm>
          <a:off x="37062795" y="1162866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673</xdr:row>
      <xdr:rowOff>0</xdr:rowOff>
    </xdr:from>
    <xdr:ext cx="65" cy="172227"/>
    <xdr:sp macro="" textlink="">
      <xdr:nvSpPr>
        <xdr:cNvPr id="117" name="TextBox 116">
          <a:extLst>
            <a:ext uri="{FF2B5EF4-FFF2-40B4-BE49-F238E27FC236}">
              <a16:creationId xmlns:a16="http://schemas.microsoft.com/office/drawing/2014/main" id="{00000000-0008-0000-0200-000075000000}"/>
            </a:ext>
          </a:extLst>
        </xdr:cNvPr>
        <xdr:cNvSpPr txBox="1"/>
      </xdr:nvSpPr>
      <xdr:spPr>
        <a:xfrm>
          <a:off x="37062795" y="1196612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673</xdr:row>
      <xdr:rowOff>0</xdr:rowOff>
    </xdr:from>
    <xdr:ext cx="65" cy="172227"/>
    <xdr:sp macro="" textlink="">
      <xdr:nvSpPr>
        <xdr:cNvPr id="118" name="TextBox 117">
          <a:extLst>
            <a:ext uri="{FF2B5EF4-FFF2-40B4-BE49-F238E27FC236}">
              <a16:creationId xmlns:a16="http://schemas.microsoft.com/office/drawing/2014/main" id="{00000000-0008-0000-0200-000076000000}"/>
            </a:ext>
          </a:extLst>
        </xdr:cNvPr>
        <xdr:cNvSpPr txBox="1"/>
      </xdr:nvSpPr>
      <xdr:spPr>
        <a:xfrm>
          <a:off x="37062795" y="1196612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689</xdr:row>
      <xdr:rowOff>0</xdr:rowOff>
    </xdr:from>
    <xdr:ext cx="65" cy="172227"/>
    <xdr:sp macro="" textlink="">
      <xdr:nvSpPr>
        <xdr:cNvPr id="119" name="TextBox 118">
          <a:extLst>
            <a:ext uri="{FF2B5EF4-FFF2-40B4-BE49-F238E27FC236}">
              <a16:creationId xmlns:a16="http://schemas.microsoft.com/office/drawing/2014/main" id="{00000000-0008-0000-0200-000077000000}"/>
            </a:ext>
          </a:extLst>
        </xdr:cNvPr>
        <xdr:cNvSpPr txBox="1"/>
      </xdr:nvSpPr>
      <xdr:spPr>
        <a:xfrm>
          <a:off x="37062795" y="12268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689</xdr:row>
      <xdr:rowOff>0</xdr:rowOff>
    </xdr:from>
    <xdr:ext cx="65" cy="172227"/>
    <xdr:sp macro="" textlink="">
      <xdr:nvSpPr>
        <xdr:cNvPr id="120" name="TextBox 119">
          <a:extLst>
            <a:ext uri="{FF2B5EF4-FFF2-40B4-BE49-F238E27FC236}">
              <a16:creationId xmlns:a16="http://schemas.microsoft.com/office/drawing/2014/main" id="{00000000-0008-0000-0200-000078000000}"/>
            </a:ext>
          </a:extLst>
        </xdr:cNvPr>
        <xdr:cNvSpPr txBox="1"/>
      </xdr:nvSpPr>
      <xdr:spPr>
        <a:xfrm>
          <a:off x="37062795" y="12268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707</xdr:row>
      <xdr:rowOff>0</xdr:rowOff>
    </xdr:from>
    <xdr:ext cx="65" cy="172227"/>
    <xdr:sp macro="" textlink="">
      <xdr:nvSpPr>
        <xdr:cNvPr id="121" name="TextBox 120">
          <a:extLst>
            <a:ext uri="{FF2B5EF4-FFF2-40B4-BE49-F238E27FC236}">
              <a16:creationId xmlns:a16="http://schemas.microsoft.com/office/drawing/2014/main" id="{00000000-0008-0000-0200-000079000000}"/>
            </a:ext>
          </a:extLst>
        </xdr:cNvPr>
        <xdr:cNvSpPr txBox="1"/>
      </xdr:nvSpPr>
      <xdr:spPr>
        <a:xfrm>
          <a:off x="37062795" y="126056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707</xdr:row>
      <xdr:rowOff>0</xdr:rowOff>
    </xdr:from>
    <xdr:ext cx="65" cy="172227"/>
    <xdr:sp macro="" textlink="">
      <xdr:nvSpPr>
        <xdr:cNvPr id="122" name="TextBox 121">
          <a:extLst>
            <a:ext uri="{FF2B5EF4-FFF2-40B4-BE49-F238E27FC236}">
              <a16:creationId xmlns:a16="http://schemas.microsoft.com/office/drawing/2014/main" id="{00000000-0008-0000-0200-00007A000000}"/>
            </a:ext>
          </a:extLst>
        </xdr:cNvPr>
        <xdr:cNvSpPr txBox="1"/>
      </xdr:nvSpPr>
      <xdr:spPr>
        <a:xfrm>
          <a:off x="37062795" y="126056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723</xdr:row>
      <xdr:rowOff>0</xdr:rowOff>
    </xdr:from>
    <xdr:ext cx="65" cy="172227"/>
    <xdr:sp macro="" textlink="">
      <xdr:nvSpPr>
        <xdr:cNvPr id="123" name="TextBox 122">
          <a:extLst>
            <a:ext uri="{FF2B5EF4-FFF2-40B4-BE49-F238E27FC236}">
              <a16:creationId xmlns:a16="http://schemas.microsoft.com/office/drawing/2014/main" id="{00000000-0008-0000-0200-00007B000000}"/>
            </a:ext>
          </a:extLst>
        </xdr:cNvPr>
        <xdr:cNvSpPr txBox="1"/>
      </xdr:nvSpPr>
      <xdr:spPr>
        <a:xfrm>
          <a:off x="37062795" y="12892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723</xdr:row>
      <xdr:rowOff>0</xdr:rowOff>
    </xdr:from>
    <xdr:ext cx="65" cy="172227"/>
    <xdr:sp macro="" textlink="">
      <xdr:nvSpPr>
        <xdr:cNvPr id="124" name="TextBox 123">
          <a:extLst>
            <a:ext uri="{FF2B5EF4-FFF2-40B4-BE49-F238E27FC236}">
              <a16:creationId xmlns:a16="http://schemas.microsoft.com/office/drawing/2014/main" id="{00000000-0008-0000-0200-00007C000000}"/>
            </a:ext>
          </a:extLst>
        </xdr:cNvPr>
        <xdr:cNvSpPr txBox="1"/>
      </xdr:nvSpPr>
      <xdr:spPr>
        <a:xfrm>
          <a:off x="37062795" y="12892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739</xdr:row>
      <xdr:rowOff>0</xdr:rowOff>
    </xdr:from>
    <xdr:ext cx="65" cy="172227"/>
    <xdr:sp macro="" textlink="">
      <xdr:nvSpPr>
        <xdr:cNvPr id="125" name="TextBox 124">
          <a:extLst>
            <a:ext uri="{FF2B5EF4-FFF2-40B4-BE49-F238E27FC236}">
              <a16:creationId xmlns:a16="http://schemas.microsoft.com/office/drawing/2014/main" id="{00000000-0008-0000-0200-00007D000000}"/>
            </a:ext>
          </a:extLst>
        </xdr:cNvPr>
        <xdr:cNvSpPr txBox="1"/>
      </xdr:nvSpPr>
      <xdr:spPr>
        <a:xfrm>
          <a:off x="37062795" y="1317579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739</xdr:row>
      <xdr:rowOff>0</xdr:rowOff>
    </xdr:from>
    <xdr:ext cx="65" cy="172227"/>
    <xdr:sp macro="" textlink="">
      <xdr:nvSpPr>
        <xdr:cNvPr id="126" name="TextBox 125">
          <a:extLst>
            <a:ext uri="{FF2B5EF4-FFF2-40B4-BE49-F238E27FC236}">
              <a16:creationId xmlns:a16="http://schemas.microsoft.com/office/drawing/2014/main" id="{00000000-0008-0000-0200-00007E000000}"/>
            </a:ext>
          </a:extLst>
        </xdr:cNvPr>
        <xdr:cNvSpPr txBox="1"/>
      </xdr:nvSpPr>
      <xdr:spPr>
        <a:xfrm>
          <a:off x="37062795" y="1317579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755</xdr:row>
      <xdr:rowOff>0</xdr:rowOff>
    </xdr:from>
    <xdr:ext cx="65" cy="172227"/>
    <xdr:sp macro="" textlink="">
      <xdr:nvSpPr>
        <xdr:cNvPr id="127" name="TextBox 126">
          <a:extLst>
            <a:ext uri="{FF2B5EF4-FFF2-40B4-BE49-F238E27FC236}">
              <a16:creationId xmlns:a16="http://schemas.microsoft.com/office/drawing/2014/main" id="{00000000-0008-0000-0200-00007F000000}"/>
            </a:ext>
          </a:extLst>
        </xdr:cNvPr>
        <xdr:cNvSpPr txBox="1"/>
      </xdr:nvSpPr>
      <xdr:spPr>
        <a:xfrm>
          <a:off x="37062795" y="1345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755</xdr:row>
      <xdr:rowOff>0</xdr:rowOff>
    </xdr:from>
    <xdr:ext cx="65" cy="172227"/>
    <xdr:sp macro="" textlink="">
      <xdr:nvSpPr>
        <xdr:cNvPr id="128" name="TextBox 127">
          <a:extLst>
            <a:ext uri="{FF2B5EF4-FFF2-40B4-BE49-F238E27FC236}">
              <a16:creationId xmlns:a16="http://schemas.microsoft.com/office/drawing/2014/main" id="{00000000-0008-0000-0200-000080000000}"/>
            </a:ext>
          </a:extLst>
        </xdr:cNvPr>
        <xdr:cNvSpPr txBox="1"/>
      </xdr:nvSpPr>
      <xdr:spPr>
        <a:xfrm>
          <a:off x="37062795" y="1345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771</xdr:row>
      <xdr:rowOff>0</xdr:rowOff>
    </xdr:from>
    <xdr:ext cx="65" cy="172227"/>
    <xdr:sp macro="" textlink="">
      <xdr:nvSpPr>
        <xdr:cNvPr id="129" name="TextBox 128">
          <a:extLst>
            <a:ext uri="{FF2B5EF4-FFF2-40B4-BE49-F238E27FC236}">
              <a16:creationId xmlns:a16="http://schemas.microsoft.com/office/drawing/2014/main" id="{00000000-0008-0000-0200-000081000000}"/>
            </a:ext>
          </a:extLst>
        </xdr:cNvPr>
        <xdr:cNvSpPr txBox="1"/>
      </xdr:nvSpPr>
      <xdr:spPr>
        <a:xfrm>
          <a:off x="37062795" y="137799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771</xdr:row>
      <xdr:rowOff>0</xdr:rowOff>
    </xdr:from>
    <xdr:ext cx="65" cy="172227"/>
    <xdr:sp macro="" textlink="">
      <xdr:nvSpPr>
        <xdr:cNvPr id="130" name="TextBox 129">
          <a:extLst>
            <a:ext uri="{FF2B5EF4-FFF2-40B4-BE49-F238E27FC236}">
              <a16:creationId xmlns:a16="http://schemas.microsoft.com/office/drawing/2014/main" id="{00000000-0008-0000-0200-000082000000}"/>
            </a:ext>
          </a:extLst>
        </xdr:cNvPr>
        <xdr:cNvSpPr txBox="1"/>
      </xdr:nvSpPr>
      <xdr:spPr>
        <a:xfrm>
          <a:off x="37062795" y="137799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791</xdr:row>
      <xdr:rowOff>0</xdr:rowOff>
    </xdr:from>
    <xdr:ext cx="65" cy="172227"/>
    <xdr:sp macro="" textlink="">
      <xdr:nvSpPr>
        <xdr:cNvPr id="131" name="TextBox 130">
          <a:extLst>
            <a:ext uri="{FF2B5EF4-FFF2-40B4-BE49-F238E27FC236}">
              <a16:creationId xmlns:a16="http://schemas.microsoft.com/office/drawing/2014/main" id="{00000000-0008-0000-0200-000083000000}"/>
            </a:ext>
          </a:extLst>
        </xdr:cNvPr>
        <xdr:cNvSpPr txBox="1"/>
      </xdr:nvSpPr>
      <xdr:spPr>
        <a:xfrm>
          <a:off x="37062795" y="1415278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791</xdr:row>
      <xdr:rowOff>0</xdr:rowOff>
    </xdr:from>
    <xdr:ext cx="65" cy="172227"/>
    <xdr:sp macro="" textlink="">
      <xdr:nvSpPr>
        <xdr:cNvPr id="132" name="TextBox 131">
          <a:extLst>
            <a:ext uri="{FF2B5EF4-FFF2-40B4-BE49-F238E27FC236}">
              <a16:creationId xmlns:a16="http://schemas.microsoft.com/office/drawing/2014/main" id="{00000000-0008-0000-0200-000084000000}"/>
            </a:ext>
          </a:extLst>
        </xdr:cNvPr>
        <xdr:cNvSpPr txBox="1"/>
      </xdr:nvSpPr>
      <xdr:spPr>
        <a:xfrm>
          <a:off x="37062795" y="1415278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807</xdr:row>
      <xdr:rowOff>0</xdr:rowOff>
    </xdr:from>
    <xdr:ext cx="65" cy="172227"/>
    <xdr:sp macro="" textlink="">
      <xdr:nvSpPr>
        <xdr:cNvPr id="133" name="TextBox 132">
          <a:extLst>
            <a:ext uri="{FF2B5EF4-FFF2-40B4-BE49-F238E27FC236}">
              <a16:creationId xmlns:a16="http://schemas.microsoft.com/office/drawing/2014/main" id="{00000000-0008-0000-0200-000085000000}"/>
            </a:ext>
          </a:extLst>
        </xdr:cNvPr>
        <xdr:cNvSpPr txBox="1"/>
      </xdr:nvSpPr>
      <xdr:spPr>
        <a:xfrm>
          <a:off x="37062795" y="14460310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807</xdr:row>
      <xdr:rowOff>0</xdr:rowOff>
    </xdr:from>
    <xdr:ext cx="65" cy="172227"/>
    <xdr:sp macro="" textlink="">
      <xdr:nvSpPr>
        <xdr:cNvPr id="134" name="TextBox 133">
          <a:extLst>
            <a:ext uri="{FF2B5EF4-FFF2-40B4-BE49-F238E27FC236}">
              <a16:creationId xmlns:a16="http://schemas.microsoft.com/office/drawing/2014/main" id="{00000000-0008-0000-0200-000086000000}"/>
            </a:ext>
          </a:extLst>
        </xdr:cNvPr>
        <xdr:cNvSpPr txBox="1"/>
      </xdr:nvSpPr>
      <xdr:spPr>
        <a:xfrm>
          <a:off x="37062795" y="14460310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825</xdr:row>
      <xdr:rowOff>0</xdr:rowOff>
    </xdr:from>
    <xdr:ext cx="65" cy="172227"/>
    <xdr:sp macro="" textlink="">
      <xdr:nvSpPr>
        <xdr:cNvPr id="135" name="TextBox 134">
          <a:extLst>
            <a:ext uri="{FF2B5EF4-FFF2-40B4-BE49-F238E27FC236}">
              <a16:creationId xmlns:a16="http://schemas.microsoft.com/office/drawing/2014/main" id="{00000000-0008-0000-0200-000087000000}"/>
            </a:ext>
          </a:extLst>
        </xdr:cNvPr>
        <xdr:cNvSpPr txBox="1"/>
      </xdr:nvSpPr>
      <xdr:spPr>
        <a:xfrm>
          <a:off x="37062795" y="14797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825</xdr:row>
      <xdr:rowOff>0</xdr:rowOff>
    </xdr:from>
    <xdr:ext cx="65" cy="172227"/>
    <xdr:sp macro="" textlink="">
      <xdr:nvSpPr>
        <xdr:cNvPr id="136" name="TextBox 135">
          <a:extLst>
            <a:ext uri="{FF2B5EF4-FFF2-40B4-BE49-F238E27FC236}">
              <a16:creationId xmlns:a16="http://schemas.microsoft.com/office/drawing/2014/main" id="{00000000-0008-0000-0200-000088000000}"/>
            </a:ext>
          </a:extLst>
        </xdr:cNvPr>
        <xdr:cNvSpPr txBox="1"/>
      </xdr:nvSpPr>
      <xdr:spPr>
        <a:xfrm>
          <a:off x="37062795" y="14797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843</xdr:row>
      <xdr:rowOff>0</xdr:rowOff>
    </xdr:from>
    <xdr:ext cx="65" cy="172227"/>
    <xdr:sp macro="" textlink="">
      <xdr:nvSpPr>
        <xdr:cNvPr id="137" name="TextBox 136">
          <a:extLst>
            <a:ext uri="{FF2B5EF4-FFF2-40B4-BE49-F238E27FC236}">
              <a16:creationId xmlns:a16="http://schemas.microsoft.com/office/drawing/2014/main" id="{00000000-0008-0000-0200-000089000000}"/>
            </a:ext>
          </a:extLst>
        </xdr:cNvPr>
        <xdr:cNvSpPr txBox="1"/>
      </xdr:nvSpPr>
      <xdr:spPr>
        <a:xfrm>
          <a:off x="37062795" y="15135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843</xdr:row>
      <xdr:rowOff>0</xdr:rowOff>
    </xdr:from>
    <xdr:ext cx="65" cy="172227"/>
    <xdr:sp macro="" textlink="">
      <xdr:nvSpPr>
        <xdr:cNvPr id="138" name="TextBox 137">
          <a:extLst>
            <a:ext uri="{FF2B5EF4-FFF2-40B4-BE49-F238E27FC236}">
              <a16:creationId xmlns:a16="http://schemas.microsoft.com/office/drawing/2014/main" id="{00000000-0008-0000-0200-00008A000000}"/>
            </a:ext>
          </a:extLst>
        </xdr:cNvPr>
        <xdr:cNvSpPr txBox="1"/>
      </xdr:nvSpPr>
      <xdr:spPr>
        <a:xfrm>
          <a:off x="37062795" y="15135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874</xdr:row>
      <xdr:rowOff>0</xdr:rowOff>
    </xdr:from>
    <xdr:ext cx="65" cy="172227"/>
    <xdr:sp macro="" textlink="">
      <xdr:nvSpPr>
        <xdr:cNvPr id="139" name="TextBox 138">
          <a:extLst>
            <a:ext uri="{FF2B5EF4-FFF2-40B4-BE49-F238E27FC236}">
              <a16:creationId xmlns:a16="http://schemas.microsoft.com/office/drawing/2014/main" id="{00000000-0008-0000-0200-00008B000000}"/>
            </a:ext>
          </a:extLst>
        </xdr:cNvPr>
        <xdr:cNvSpPr txBox="1"/>
      </xdr:nvSpPr>
      <xdr:spPr>
        <a:xfrm>
          <a:off x="37062795" y="157407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874</xdr:row>
      <xdr:rowOff>0</xdr:rowOff>
    </xdr:from>
    <xdr:ext cx="65" cy="172227"/>
    <xdr:sp macro="" textlink="">
      <xdr:nvSpPr>
        <xdr:cNvPr id="140" name="TextBox 139">
          <a:extLst>
            <a:ext uri="{FF2B5EF4-FFF2-40B4-BE49-F238E27FC236}">
              <a16:creationId xmlns:a16="http://schemas.microsoft.com/office/drawing/2014/main" id="{00000000-0008-0000-0200-00008C000000}"/>
            </a:ext>
          </a:extLst>
        </xdr:cNvPr>
        <xdr:cNvSpPr txBox="1"/>
      </xdr:nvSpPr>
      <xdr:spPr>
        <a:xfrm>
          <a:off x="37062795" y="157407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2</xdr:col>
      <xdr:colOff>1013114</xdr:colOff>
      <xdr:row>696</xdr:row>
      <xdr:rowOff>72984</xdr:rowOff>
    </xdr:from>
    <xdr:to>
      <xdr:col>4</xdr:col>
      <xdr:colOff>2969735</xdr:colOff>
      <xdr:row>698</xdr:row>
      <xdr:rowOff>153666</xdr:rowOff>
    </xdr:to>
    <mc:AlternateContent xmlns:mc="http://schemas.openxmlformats.org/markup-compatibility/2006" xmlns:a14="http://schemas.microsoft.com/office/drawing/2010/main">
      <mc:Choice Requires="a14">
        <xdr:sp macro="" textlink="">
          <xdr:nvSpPr>
            <xdr:cNvPr id="141" name="TextBox 140">
              <a:extLst>
                <a:ext uri="{FF2B5EF4-FFF2-40B4-BE49-F238E27FC236}">
                  <a16:creationId xmlns:a16="http://schemas.microsoft.com/office/drawing/2014/main" id="{00000000-0008-0000-0200-00008D000000}"/>
                </a:ext>
              </a:extLst>
            </xdr:cNvPr>
            <xdr:cNvSpPr txBox="1"/>
          </xdr:nvSpPr>
          <xdr:spPr>
            <a:xfrm>
              <a:off x="1639043" y="124183734"/>
              <a:ext cx="5059049" cy="434468"/>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kWh</m:t>
                    </m:r>
                    <m:r>
                      <m:rPr>
                        <m:nor/>
                      </m:rPr>
                      <a:rPr kumimoji="0" lang="en-US" sz="1400" b="0" i="1" u="none" strike="noStrike" kern="0" cap="none" spc="0" normalizeH="0" baseline="-2500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savings</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HP</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𝑈𝑛𝑖𝑡𝑠</m:t>
                    </m:r>
                  </m:oMath>
                </m:oMathPara>
              </a14:m>
              <a:endParaRPr kumimoji="0" lang="en-US" sz="1400" b="0" i="1"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Choice>
      <mc:Fallback xmlns="">
        <xdr:sp macro="" textlink="">
          <xdr:nvSpPr>
            <xdr:cNvPr id="141" name="TextBox 140">
              <a:extLst>
                <a:ext uri="{FF2B5EF4-FFF2-40B4-BE49-F238E27FC236}">
                  <a16:creationId xmlns:a16="http://schemas.microsoft.com/office/drawing/2014/main" id="{00000000-0008-0000-0300-000098000000}"/>
                </a:ext>
              </a:extLst>
            </xdr:cNvPr>
            <xdr:cNvSpPr txBox="1"/>
          </xdr:nvSpPr>
          <xdr:spPr>
            <a:xfrm>
              <a:off x="2034887" y="124729257"/>
              <a:ext cx="4571666" cy="461682"/>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∆𝑘𝑊ℎ="kWh</a:t>
              </a:r>
              <a:r>
                <a:rPr kumimoji="0" lang="en-US" sz="1400" b="0" i="0" u="none" strike="noStrike" kern="0" cap="none" spc="0" normalizeH="0" baseline="-2500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savings</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/HP"∗</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𝑈𝑛𝑖𝑡𝑠</a:t>
              </a:r>
              <a:endParaRPr kumimoji="0" lang="en-US" sz="1400" b="0" i="1"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Fallback>
    </mc:AlternateContent>
    <xdr:clientData/>
  </xdr:twoCellAnchor>
  <xdr:twoCellAnchor>
    <xdr:from>
      <xdr:col>4</xdr:col>
      <xdr:colOff>1812694</xdr:colOff>
      <xdr:row>696</xdr:row>
      <xdr:rowOff>98961</xdr:rowOff>
    </xdr:from>
    <xdr:to>
      <xdr:col>5</xdr:col>
      <xdr:colOff>277102</xdr:colOff>
      <xdr:row>698</xdr:row>
      <xdr:rowOff>152749</xdr:rowOff>
    </xdr:to>
    <mc:AlternateContent xmlns:mc="http://schemas.openxmlformats.org/markup-compatibility/2006" xmlns:a14="http://schemas.microsoft.com/office/drawing/2010/main">
      <mc:Choice Requires="a14">
        <xdr:sp macro="" textlink="">
          <xdr:nvSpPr>
            <xdr:cNvPr id="142" name="TextBox 141">
              <a:extLst>
                <a:ext uri="{FF2B5EF4-FFF2-40B4-BE49-F238E27FC236}">
                  <a16:creationId xmlns:a16="http://schemas.microsoft.com/office/drawing/2014/main" id="{00000000-0008-0000-0200-00008E000000}"/>
                </a:ext>
              </a:extLst>
            </xdr:cNvPr>
            <xdr:cNvSpPr txBox="1"/>
          </xdr:nvSpPr>
          <xdr:spPr>
            <a:xfrm>
              <a:off x="5541051" y="124209711"/>
              <a:ext cx="3335765" cy="407574"/>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m:t>
                    </m:r>
                    <m: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𝐹𝑎𝑐𝑡𝑜𝑟</m:t>
                    </m:r>
                  </m:oMath>
                </m:oMathPara>
              </a14:m>
              <a:endPar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endParaRPr>
            </a:p>
          </xdr:txBody>
        </xdr:sp>
      </mc:Choice>
      <mc:Fallback xmlns="">
        <xdr:sp macro="" textlink="">
          <xdr:nvSpPr>
            <xdr:cNvPr id="142" name="TextBox 141">
              <a:extLst>
                <a:ext uri="{FF2B5EF4-FFF2-40B4-BE49-F238E27FC236}">
                  <a16:creationId xmlns:a16="http://schemas.microsoft.com/office/drawing/2014/main" id="{00000000-0008-0000-0300-000099000000}"/>
                </a:ext>
              </a:extLst>
            </xdr:cNvPr>
            <xdr:cNvSpPr txBox="1"/>
          </xdr:nvSpPr>
          <xdr:spPr>
            <a:xfrm>
              <a:off x="5455227" y="124755234"/>
              <a:ext cx="3269338" cy="434788"/>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 ∆𝑘𝑊ℎ ∗𝑘𝑊 𝐹𝑎𝑐𝑡𝑜𝑟</a:t>
              </a:r>
            </a:p>
          </xdr:txBody>
        </xdr:sp>
      </mc:Fallback>
    </mc:AlternateContent>
    <xdr:clientData/>
  </xdr:twoCellAnchor>
  <xdr:oneCellAnchor>
    <xdr:from>
      <xdr:col>4</xdr:col>
      <xdr:colOff>3787140</xdr:colOff>
      <xdr:row>874</xdr:row>
      <xdr:rowOff>0</xdr:rowOff>
    </xdr:from>
    <xdr:ext cx="184731" cy="264560"/>
    <xdr:sp macro="" textlink="">
      <xdr:nvSpPr>
        <xdr:cNvPr id="143" name="TextBox 142">
          <a:extLst>
            <a:ext uri="{FF2B5EF4-FFF2-40B4-BE49-F238E27FC236}">
              <a16:creationId xmlns:a16="http://schemas.microsoft.com/office/drawing/2014/main" id="{00000000-0008-0000-0200-00008F000000}"/>
            </a:ext>
          </a:extLst>
        </xdr:cNvPr>
        <xdr:cNvSpPr txBox="1"/>
      </xdr:nvSpPr>
      <xdr:spPr>
        <a:xfrm>
          <a:off x="7515497" y="1574074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3</xdr:col>
      <xdr:colOff>0</xdr:colOff>
      <xdr:row>866</xdr:row>
      <xdr:rowOff>0</xdr:rowOff>
    </xdr:from>
    <xdr:to>
      <xdr:col>4</xdr:col>
      <xdr:colOff>3103134</xdr:colOff>
      <xdr:row>868</xdr:row>
      <xdr:rowOff>84493</xdr:rowOff>
    </xdr:to>
    <mc:AlternateContent xmlns:mc="http://schemas.openxmlformats.org/markup-compatibility/2006" xmlns:a14="http://schemas.microsoft.com/office/drawing/2010/main">
      <mc:Choice Requires="a14">
        <xdr:sp macro="" textlink="">
          <xdr:nvSpPr>
            <xdr:cNvPr id="144" name="TextBox 143">
              <a:extLst>
                <a:ext uri="{FF2B5EF4-FFF2-40B4-BE49-F238E27FC236}">
                  <a16:creationId xmlns:a16="http://schemas.microsoft.com/office/drawing/2014/main" id="{00000000-0008-0000-0200-000090000000}"/>
                </a:ext>
              </a:extLst>
            </xdr:cNvPr>
            <xdr:cNvSpPr txBox="1"/>
          </xdr:nvSpPr>
          <xdr:spPr>
            <a:xfrm>
              <a:off x="2041071" y="155992286"/>
              <a:ext cx="4790420" cy="4382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savings</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𝑓𝑎𝑛</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𝑢𝑛𝑖𝑡𝑠</m:t>
                    </m:r>
                  </m:oMath>
                </m:oMathPara>
              </a14:m>
              <a:endParaRPr lang="en-US" sz="1400" i="1">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144" name="TextBox 143">
              <a:extLst>
                <a:ext uri="{FF2B5EF4-FFF2-40B4-BE49-F238E27FC236}">
                  <a16:creationId xmlns:a16="http://schemas.microsoft.com/office/drawing/2014/main" id="{00000000-0008-0000-0300-000095000000}"/>
                </a:ext>
              </a:extLst>
            </xdr:cNvPr>
            <xdr:cNvSpPr txBox="1"/>
          </xdr:nvSpPr>
          <xdr:spPr>
            <a:xfrm>
              <a:off x="2171700" y="84077175"/>
              <a:ext cx="4587129" cy="4616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"kWh</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savings</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 𝑓𝑎𝑛∗𝑢𝑛𝑖𝑡𝑠</a:t>
              </a:r>
              <a:endParaRPr lang="en-US" sz="1400" i="1">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5</xdr:col>
      <xdr:colOff>0</xdr:colOff>
      <xdr:row>866</xdr:row>
      <xdr:rowOff>0</xdr:rowOff>
    </xdr:from>
    <xdr:to>
      <xdr:col>7</xdr:col>
      <xdr:colOff>131222</xdr:colOff>
      <xdr:row>868</xdr:row>
      <xdr:rowOff>53789</xdr:rowOff>
    </xdr:to>
    <mc:AlternateContent xmlns:mc="http://schemas.openxmlformats.org/markup-compatibility/2006" xmlns:a14="http://schemas.microsoft.com/office/drawing/2010/main">
      <mc:Choice Requires="a14">
        <xdr:sp macro="" textlink="">
          <xdr:nvSpPr>
            <xdr:cNvPr id="145" name="TextBox 144">
              <a:extLst>
                <a:ext uri="{FF2B5EF4-FFF2-40B4-BE49-F238E27FC236}">
                  <a16:creationId xmlns:a16="http://schemas.microsoft.com/office/drawing/2014/main" id="{00000000-0008-0000-0200-000091000000}"/>
                </a:ext>
              </a:extLst>
            </xdr:cNvPr>
            <xdr:cNvSpPr txBox="1"/>
          </xdr:nvSpPr>
          <xdr:spPr>
            <a:xfrm>
              <a:off x="8599714" y="155992286"/>
              <a:ext cx="3478579" cy="4075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m:t>
                    </m:r>
                    <m:r>
                      <a:rPr lang="en-US" sz="1400" b="0" i="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𝑘𝑊h</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𝐹𝑎𝑐𝑡𝑜𝑟</m:t>
                    </m:r>
                  </m:oMath>
                </m:oMathPara>
              </a14:m>
              <a:endParaRPr lang="en-US" sz="1400">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145" name="TextBox 144">
              <a:extLst>
                <a:ext uri="{FF2B5EF4-FFF2-40B4-BE49-F238E27FC236}">
                  <a16:creationId xmlns:a16="http://schemas.microsoft.com/office/drawing/2014/main" id="{00000000-0008-0000-0300-000097000000}"/>
                </a:ext>
              </a:extLst>
            </xdr:cNvPr>
            <xdr:cNvSpPr txBox="1"/>
          </xdr:nvSpPr>
          <xdr:spPr>
            <a:xfrm>
              <a:off x="8467725" y="84077175"/>
              <a:ext cx="3373532" cy="4347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n-US" sz="140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𝑘𝑊= ∆𝑘𝑊ℎ ∗𝑘𝑊 𝐹𝑎𝑐𝑡𝑜𝑟</a:t>
              </a:r>
              <a:endParaRPr lang="en-US" sz="1400">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oneCellAnchor>
    <xdr:from>
      <xdr:col>26</xdr:col>
      <xdr:colOff>935831</xdr:colOff>
      <xdr:row>859</xdr:row>
      <xdr:rowOff>0</xdr:rowOff>
    </xdr:from>
    <xdr:ext cx="65" cy="172227"/>
    <xdr:sp macro="" textlink="">
      <xdr:nvSpPr>
        <xdr:cNvPr id="147" name="TextBox 146">
          <a:extLst>
            <a:ext uri="{FF2B5EF4-FFF2-40B4-BE49-F238E27FC236}">
              <a16:creationId xmlns:a16="http://schemas.microsoft.com/office/drawing/2014/main" id="{00000000-0008-0000-0200-000093000000}"/>
            </a:ext>
          </a:extLst>
        </xdr:cNvPr>
        <xdr:cNvSpPr txBox="1"/>
      </xdr:nvSpPr>
      <xdr:spPr>
        <a:xfrm>
          <a:off x="37062795" y="154563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859</xdr:row>
      <xdr:rowOff>0</xdr:rowOff>
    </xdr:from>
    <xdr:ext cx="65" cy="172227"/>
    <xdr:sp macro="" textlink="">
      <xdr:nvSpPr>
        <xdr:cNvPr id="148" name="TextBox 147">
          <a:extLst>
            <a:ext uri="{FF2B5EF4-FFF2-40B4-BE49-F238E27FC236}">
              <a16:creationId xmlns:a16="http://schemas.microsoft.com/office/drawing/2014/main" id="{00000000-0008-0000-0200-000094000000}"/>
            </a:ext>
          </a:extLst>
        </xdr:cNvPr>
        <xdr:cNvSpPr txBox="1"/>
      </xdr:nvSpPr>
      <xdr:spPr>
        <a:xfrm>
          <a:off x="37062795" y="154563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1340031</xdr:colOff>
      <xdr:row>104</xdr:row>
      <xdr:rowOff>35956</xdr:rowOff>
    </xdr:from>
    <xdr:to>
      <xdr:col>6</xdr:col>
      <xdr:colOff>628649</xdr:colOff>
      <xdr:row>106</xdr:row>
      <xdr:rowOff>76200</xdr:rowOff>
    </xdr:to>
    <mc:AlternateContent xmlns:mc="http://schemas.openxmlformats.org/markup-compatibility/2006" xmlns:a14="http://schemas.microsoft.com/office/drawing/2010/main">
      <mc:Choice Requires="a14">
        <xdr:sp macro="" textlink="">
          <xdr:nvSpPr>
            <xdr:cNvPr id="153" name="TextBox 152">
              <a:extLst>
                <a:ext uri="{FF2B5EF4-FFF2-40B4-BE49-F238E27FC236}">
                  <a16:creationId xmlns:a16="http://schemas.microsoft.com/office/drawing/2014/main" id="{71CE9587-0380-4FC2-BA00-7DA20445C9B9}"/>
                </a:ext>
              </a:extLst>
            </xdr:cNvPr>
            <xdr:cNvSpPr txBox="1"/>
          </xdr:nvSpPr>
          <xdr:spPr>
            <a:xfrm>
              <a:off x="3378381" y="22410181"/>
              <a:ext cx="6213293" cy="4021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400" i="1">
                            <a:solidFill>
                              <a:sysClr val="windowText" lastClr="000000"/>
                            </a:solidFill>
                            <a:latin typeface="Cambria Math" panose="02040503050406030204" pitchFamily="18" charset="0"/>
                            <a:ea typeface="Cambria Math" panose="02040503050406030204" pitchFamily="18" charset="0"/>
                          </a:rPr>
                        </m:ctrlPr>
                      </m:sSubPr>
                      <m:e>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e>
                      <m:sub>
                        <m:r>
                          <a:rPr lang="en-US" sz="1400" b="0" i="1">
                            <a:solidFill>
                              <a:sysClr val="windowText" lastClr="000000"/>
                            </a:solidFill>
                            <a:latin typeface="Cambria Math" panose="02040503050406030204" pitchFamily="18" charset="0"/>
                            <a:ea typeface="Cambria Math" panose="02040503050406030204" pitchFamily="18" charset="0"/>
                          </a:rPr>
                          <m:t>h𝑒𝑎𝑡𝑝𝑒𝑛𝑎𝑙𝑡𝑦</m:t>
                        </m:r>
                      </m:sub>
                    </m:sSub>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𝑘𝑊</m:t>
                        </m:r>
                      </m:e>
                      <m:sub>
                        <m:r>
                          <a:rPr lang="en-US" sz="1400" b="0" i="1">
                            <a:solidFill>
                              <a:sysClr val="windowText" lastClr="000000"/>
                            </a:solidFill>
                            <a:latin typeface="Cambria Math" panose="02040503050406030204" pitchFamily="18" charset="0"/>
                            <a:ea typeface="Cambria Math" panose="02040503050406030204" pitchFamily="18" charset="0"/>
                          </a:rPr>
                          <m:t>𝐶𝑜𝑛𝑡𝑟𝑜𝑙𝑙𝑒𝑑</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𝐸𝑆𝐹</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𝐼𝐹</m:t>
                        </m:r>
                      </m:e>
                      <m:sub>
                        <m:r>
                          <a:rPr lang="en-US" sz="1400" b="0" i="1">
                            <a:solidFill>
                              <a:sysClr val="windowText" lastClr="000000"/>
                            </a:solidFill>
                            <a:latin typeface="Cambria Math" panose="02040503050406030204" pitchFamily="18" charset="0"/>
                            <a:ea typeface="Cambria Math" panose="02040503050406030204" pitchFamily="18" charset="0"/>
                          </a:rPr>
                          <m:t>𝑘𝑊h</m:t>
                        </m:r>
                      </m:sub>
                    </m:sSub>
                  </m:oMath>
                </m:oMathPara>
              </a14:m>
              <a:endParaRPr lang="en-US" sz="1100">
                <a:solidFill>
                  <a:sysClr val="windowText" lastClr="000000"/>
                </a:solidFill>
              </a:endParaRPr>
            </a:p>
          </xdr:txBody>
        </xdr:sp>
      </mc:Choice>
      <mc:Fallback xmlns="">
        <xdr:sp macro="" textlink="">
          <xdr:nvSpPr>
            <xdr:cNvPr id="153" name="TextBox 152">
              <a:extLst>
                <a:ext uri="{FF2B5EF4-FFF2-40B4-BE49-F238E27FC236}">
                  <a16:creationId xmlns:a16="http://schemas.microsoft.com/office/drawing/2014/main" id="{71CE9587-0380-4FC2-BA00-7DA20445C9B9}"/>
                </a:ext>
              </a:extLst>
            </xdr:cNvPr>
            <xdr:cNvSpPr txBox="1"/>
          </xdr:nvSpPr>
          <xdr:spPr>
            <a:xfrm>
              <a:off x="3378381" y="22410181"/>
              <a:ext cx="6213293" cy="4021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𝑘𝑊ℎ〗_ℎ𝑒𝑎𝑡𝑝𝑒𝑛𝑎𝑙𝑡𝑦=〖𝑘𝑊〗_𝐶𝑜𝑛𝑡𝑟𝑜𝑙𝑙𝑒𝑑∗𝐻𝑜𝑢𝑟𝑠∗𝐸𝑆𝐹∗〖−𝐼𝐹〗_𝑘𝑊ℎ</a:t>
              </a:r>
              <a:endParaRPr lang="en-US" sz="1100">
                <a:solidFill>
                  <a:sysClr val="windowText" lastClr="000000"/>
                </a:solidFill>
              </a:endParaRPr>
            </a:p>
          </xdr:txBody>
        </xdr:sp>
      </mc:Fallback>
    </mc:AlternateContent>
    <xdr:clientData/>
  </xdr:twoCellAnchor>
  <xdr:twoCellAnchor>
    <xdr:from>
      <xdr:col>3</xdr:col>
      <xdr:colOff>1338943</xdr:colOff>
      <xdr:row>129</xdr:row>
      <xdr:rowOff>60686</xdr:rowOff>
    </xdr:from>
    <xdr:to>
      <xdr:col>4</xdr:col>
      <xdr:colOff>3712028</xdr:colOff>
      <xdr:row>132</xdr:row>
      <xdr:rowOff>10886</xdr:rowOff>
    </xdr:to>
    <mc:AlternateContent xmlns:mc="http://schemas.openxmlformats.org/markup-compatibility/2006" xmlns:a14="http://schemas.microsoft.com/office/drawing/2010/main">
      <mc:Choice Requires="a14">
        <xdr:sp macro="" textlink="">
          <xdr:nvSpPr>
            <xdr:cNvPr id="155" name="TextBox 154">
              <a:extLst>
                <a:ext uri="{FF2B5EF4-FFF2-40B4-BE49-F238E27FC236}">
                  <a16:creationId xmlns:a16="http://schemas.microsoft.com/office/drawing/2014/main" id="{057E4897-7E18-4A25-AA02-324660F806C5}"/>
                </a:ext>
              </a:extLst>
            </xdr:cNvPr>
            <xdr:cNvSpPr txBox="1"/>
          </xdr:nvSpPr>
          <xdr:spPr>
            <a:xfrm>
              <a:off x="3385457" y="26959286"/>
              <a:ext cx="4060371" cy="5053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fPr>
                      <m:num>
                        <m:sSub>
                          <m:sSubPr>
                            <m:ctrlPr>
                              <a:rPr lang="en-US" sz="1100" b="0" i="1">
                                <a:solidFill>
                                  <a:sysClr val="windowText" lastClr="000000"/>
                                </a:solidFill>
                                <a:effectLst/>
                                <a:latin typeface="Cambria Math" panose="02040503050406030204" pitchFamily="18" charset="0"/>
                                <a:ea typeface="+mn-ea"/>
                                <a:cs typeface="+mn-cs"/>
                              </a:rPr>
                            </m:ctrlPr>
                          </m:sSubPr>
                          <m:e>
                            <m:r>
                              <a:rPr lang="en-US" sz="1100" b="0" i="1">
                                <a:solidFill>
                                  <a:sysClr val="windowText" lastClr="000000"/>
                                </a:solidFill>
                                <a:effectLst/>
                                <a:latin typeface="Cambria Math" panose="02040503050406030204" pitchFamily="18" charset="0"/>
                                <a:ea typeface="+mn-ea"/>
                                <a:cs typeface="+mn-cs"/>
                              </a:rPr>
                              <m:t>𝑊</m:t>
                            </m:r>
                          </m:e>
                          <m:sub>
                            <m:r>
                              <a:rPr lang="en-US" sz="1100" b="0" i="1">
                                <a:solidFill>
                                  <a:sysClr val="windowText" lastClr="000000"/>
                                </a:solidFill>
                                <a:effectLst/>
                                <a:latin typeface="Cambria Math" panose="02040503050406030204" pitchFamily="18" charset="0"/>
                                <a:ea typeface="+mn-ea"/>
                                <a:cs typeface="+mn-cs"/>
                              </a:rPr>
                              <m:t>𝑏𝑎𝑠𝑒</m:t>
                            </m:r>
                          </m:sub>
                        </m:sSub>
                        <m:r>
                          <a:rPr lang="en-US" sz="1100" b="0" i="1">
                            <a:solidFill>
                              <a:sysClr val="windowText" lastClr="000000"/>
                            </a:solidFill>
                            <a:effectLst/>
                            <a:latin typeface="Cambria Math" panose="02040503050406030204" pitchFamily="18" charset="0"/>
                            <a:ea typeface="+mn-ea"/>
                            <a:cs typeface="+mn-cs"/>
                          </a:rPr>
                          <m:t>−</m:t>
                        </m:r>
                        <m:sSub>
                          <m:sSubPr>
                            <m:ctrlPr>
                              <a:rPr lang="en-US" sz="1100" b="0" i="1">
                                <a:solidFill>
                                  <a:sysClr val="windowText" lastClr="000000"/>
                                </a:solidFill>
                                <a:effectLst/>
                                <a:latin typeface="Cambria Math" panose="02040503050406030204" pitchFamily="18" charset="0"/>
                                <a:ea typeface="+mn-ea"/>
                                <a:cs typeface="+mn-cs"/>
                              </a:rPr>
                            </m:ctrlPr>
                          </m:sSubPr>
                          <m:e>
                            <m:r>
                              <a:rPr lang="en-US" sz="1100" b="0" i="1">
                                <a:solidFill>
                                  <a:sysClr val="windowText" lastClr="000000"/>
                                </a:solidFill>
                                <a:effectLst/>
                                <a:latin typeface="Cambria Math" panose="02040503050406030204" pitchFamily="18" charset="0"/>
                                <a:ea typeface="+mn-ea"/>
                                <a:cs typeface="+mn-cs"/>
                              </a:rPr>
                              <m:t>𝑊</m:t>
                            </m:r>
                          </m:e>
                          <m:sub>
                            <m:r>
                              <a:rPr lang="en-US" sz="1100" b="0" i="1">
                                <a:solidFill>
                                  <a:sysClr val="windowText" lastClr="000000"/>
                                </a:solidFill>
                                <a:effectLst/>
                                <a:latin typeface="Cambria Math" panose="02040503050406030204" pitchFamily="18" charset="0"/>
                                <a:ea typeface="+mn-ea"/>
                                <a:cs typeface="+mn-cs"/>
                              </a:rPr>
                              <m:t>𝐸𝐸</m:t>
                            </m:r>
                          </m:sub>
                        </m:sSub>
                        <m:r>
                          <a:rPr lang="en-US" sz="1100" b="0" i="1">
                            <a:solidFill>
                              <a:sysClr val="windowText" lastClr="000000"/>
                            </a:solidFill>
                            <a:effectLst/>
                            <a:latin typeface="Cambria Math" panose="02040503050406030204" pitchFamily="18" charset="0"/>
                            <a:ea typeface="+mn-ea"/>
                            <a:cs typeface="+mn-cs"/>
                          </a:rPr>
                          <m:t>(1−</m:t>
                        </m:r>
                        <m:r>
                          <a:rPr lang="en-US" sz="1100" b="0" i="1">
                            <a:solidFill>
                              <a:sysClr val="windowText" lastClr="000000"/>
                            </a:solidFill>
                            <a:effectLst/>
                            <a:latin typeface="Cambria Math" panose="02040503050406030204" pitchFamily="18" charset="0"/>
                            <a:ea typeface="+mn-ea"/>
                            <a:cs typeface="+mn-cs"/>
                          </a:rPr>
                          <m:t>𝐸𝑆𝐹</m:t>
                        </m:r>
                        <m:r>
                          <a:rPr lang="en-US" sz="11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h𝑜𝑢𝑟𝑠</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𝑊𝐻𝐹</m:t>
                        </m:r>
                      </m:e>
                      <m:sub>
                        <m:r>
                          <a:rPr lang="en-US" sz="1400" b="0" i="1">
                            <a:solidFill>
                              <a:sysClr val="windowText" lastClr="000000"/>
                            </a:solidFill>
                            <a:latin typeface="Cambria Math" panose="02040503050406030204" pitchFamily="18" charset="0"/>
                            <a:ea typeface="Cambria Math" panose="02040503050406030204" pitchFamily="18" charset="0"/>
                          </a:rPr>
                          <m:t>𝑒</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100">
                <a:solidFill>
                  <a:sysClr val="windowText" lastClr="000000"/>
                </a:solidFill>
              </a:endParaRPr>
            </a:p>
          </xdr:txBody>
        </xdr:sp>
      </mc:Choice>
      <mc:Fallback xmlns="">
        <xdr:sp macro="" textlink="">
          <xdr:nvSpPr>
            <xdr:cNvPr id="155" name="TextBox 154">
              <a:extLst>
                <a:ext uri="{FF2B5EF4-FFF2-40B4-BE49-F238E27FC236}">
                  <a16:creationId xmlns:a16="http://schemas.microsoft.com/office/drawing/2014/main" id="{057E4897-7E18-4A25-AA02-324660F806C5}"/>
                </a:ext>
              </a:extLst>
            </xdr:cNvPr>
            <xdr:cNvSpPr txBox="1"/>
          </xdr:nvSpPr>
          <xdr:spPr>
            <a:xfrm>
              <a:off x="3385457" y="26959286"/>
              <a:ext cx="4060371" cy="5053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100" b="0" i="0">
                  <a:solidFill>
                    <a:sysClr val="windowText" lastClr="000000"/>
                  </a:solidFill>
                  <a:effectLst/>
                  <a:latin typeface="Cambria Math" panose="02040503050406030204" pitchFamily="18" charset="0"/>
                  <a:ea typeface="+mn-ea"/>
                  <a:cs typeface="+mn-cs"/>
                </a:rPr>
                <a:t>𝑊_𝑏𝑎𝑠𝑒−𝑊_𝐸𝐸 (1−𝐸𝑆𝐹)</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1000×ℎ𝑜𝑢𝑟𝑠×〖𝑊𝐻𝐹〗_𝑒×𝐼𝑆𝑅</a:t>
              </a:r>
              <a:endParaRPr lang="en-US" sz="1100">
                <a:solidFill>
                  <a:sysClr val="windowText" lastClr="000000"/>
                </a:solidFill>
              </a:endParaRPr>
            </a:p>
          </xdr:txBody>
        </xdr:sp>
      </mc:Fallback>
    </mc:AlternateContent>
    <xdr:clientData/>
  </xdr:twoCellAnchor>
  <xdr:twoCellAnchor>
    <xdr:from>
      <xdr:col>3</xdr:col>
      <xdr:colOff>1397454</xdr:colOff>
      <xdr:row>133</xdr:row>
      <xdr:rowOff>25580</xdr:rowOff>
    </xdr:from>
    <xdr:to>
      <xdr:col>4</xdr:col>
      <xdr:colOff>2027464</xdr:colOff>
      <xdr:row>135</xdr:row>
      <xdr:rowOff>27214</xdr:rowOff>
    </xdr:to>
    <mc:AlternateContent xmlns:mc="http://schemas.openxmlformats.org/markup-compatibility/2006" xmlns:a14="http://schemas.microsoft.com/office/drawing/2010/main">
      <mc:Choice Requires="a14">
        <xdr:sp macro="" textlink="">
          <xdr:nvSpPr>
            <xdr:cNvPr id="156" name="TextBox 155">
              <a:extLst>
                <a:ext uri="{FF2B5EF4-FFF2-40B4-BE49-F238E27FC236}">
                  <a16:creationId xmlns:a16="http://schemas.microsoft.com/office/drawing/2014/main" id="{7A133759-4911-48D3-8E56-49FF45803249}"/>
                </a:ext>
              </a:extLst>
            </xdr:cNvPr>
            <xdr:cNvSpPr txBox="1"/>
          </xdr:nvSpPr>
          <xdr:spPr>
            <a:xfrm>
              <a:off x="3438525" y="26750009"/>
              <a:ext cx="2317296" cy="355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rgbClr val="FF0000"/>
                        </a:solidFill>
                        <a:latin typeface="Cambria Math" panose="02040503050406030204" pitchFamily="18" charset="0"/>
                        <a:ea typeface="Cambria Math" panose="02040503050406030204" pitchFamily="18" charset="0"/>
                      </a:rPr>
                      <m:t>𝑥</m:t>
                    </m:r>
                    <m:r>
                      <a:rPr lang="en-US" sz="1400" b="0" i="1">
                        <a:solidFill>
                          <a:srgbClr val="FF0000"/>
                        </a:solidFill>
                        <a:latin typeface="Cambria Math" panose="02040503050406030204" pitchFamily="18" charset="0"/>
                        <a:ea typeface="Cambria Math" panose="02040503050406030204" pitchFamily="18" charset="0"/>
                      </a:rPr>
                      <m:t> </m:t>
                    </m:r>
                    <m:r>
                      <a:rPr lang="en-US" sz="1400" b="0" i="1">
                        <a:solidFill>
                          <a:srgbClr val="FF0000"/>
                        </a:solidFill>
                        <a:latin typeface="Cambria Math" panose="02040503050406030204" pitchFamily="18" charset="0"/>
                        <a:ea typeface="Cambria Math" panose="02040503050406030204" pitchFamily="18" charset="0"/>
                      </a:rPr>
                      <m:t>𝐼𝐹𝑘𝑊</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156" name="TextBox 155">
              <a:extLst>
                <a:ext uri="{FF2B5EF4-FFF2-40B4-BE49-F238E27FC236}">
                  <a16:creationId xmlns:a16="http://schemas.microsoft.com/office/drawing/2014/main" id="{7A133759-4911-48D3-8E56-49FF45803249}"/>
                </a:ext>
              </a:extLst>
            </xdr:cNvPr>
            <xdr:cNvSpPr txBox="1"/>
          </xdr:nvSpPr>
          <xdr:spPr>
            <a:xfrm>
              <a:off x="3438525" y="26750009"/>
              <a:ext cx="2317296" cy="355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 </a:t>
              </a:r>
              <a:r>
                <a:rPr lang="en-US" sz="1400" b="0" i="0">
                  <a:solidFill>
                    <a:srgbClr val="FF0000"/>
                  </a:solidFill>
                  <a:latin typeface="Cambria Math" panose="02040503050406030204" pitchFamily="18" charset="0"/>
                  <a:ea typeface="Cambria Math" panose="02040503050406030204" pitchFamily="18" charset="0"/>
                </a:rPr>
                <a:t>𝑥 𝐼𝐹𝑘𝑊</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oneCellAnchor>
    <xdr:from>
      <xdr:col>26</xdr:col>
      <xdr:colOff>2269331</xdr:colOff>
      <xdr:row>115</xdr:row>
      <xdr:rowOff>0</xdr:rowOff>
    </xdr:from>
    <xdr:ext cx="65" cy="172227"/>
    <xdr:sp macro="" textlink="">
      <xdr:nvSpPr>
        <xdr:cNvPr id="161" name="TextBox 160">
          <a:extLst>
            <a:ext uri="{FF2B5EF4-FFF2-40B4-BE49-F238E27FC236}">
              <a16:creationId xmlns:a16="http://schemas.microsoft.com/office/drawing/2014/main" id="{99D4812C-9F18-4A36-AABD-833550DCF70B}"/>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115</xdr:row>
      <xdr:rowOff>0</xdr:rowOff>
    </xdr:from>
    <xdr:ext cx="65" cy="172227"/>
    <xdr:sp macro="" textlink="">
      <xdr:nvSpPr>
        <xdr:cNvPr id="162" name="TextBox 161">
          <a:extLst>
            <a:ext uri="{FF2B5EF4-FFF2-40B4-BE49-F238E27FC236}">
              <a16:creationId xmlns:a16="http://schemas.microsoft.com/office/drawing/2014/main" id="{464F2C4B-C458-4DC0-842A-831B8C36B40D}"/>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94</xdr:row>
      <xdr:rowOff>0</xdr:rowOff>
    </xdr:from>
    <xdr:ext cx="65" cy="172227"/>
    <xdr:sp macro="" textlink="">
      <xdr:nvSpPr>
        <xdr:cNvPr id="163" name="TextBox 162">
          <a:extLst>
            <a:ext uri="{FF2B5EF4-FFF2-40B4-BE49-F238E27FC236}">
              <a16:creationId xmlns:a16="http://schemas.microsoft.com/office/drawing/2014/main" id="{6D28D815-8FC1-4D15-82E4-7EA90256CED7}"/>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94</xdr:row>
      <xdr:rowOff>0</xdr:rowOff>
    </xdr:from>
    <xdr:ext cx="65" cy="172227"/>
    <xdr:sp macro="" textlink="">
      <xdr:nvSpPr>
        <xdr:cNvPr id="164" name="TextBox 163">
          <a:extLst>
            <a:ext uri="{FF2B5EF4-FFF2-40B4-BE49-F238E27FC236}">
              <a16:creationId xmlns:a16="http://schemas.microsoft.com/office/drawing/2014/main" id="{88C2AFFD-7C5A-43C6-8050-DA037FB890F8}"/>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76</xdr:row>
      <xdr:rowOff>0</xdr:rowOff>
    </xdr:from>
    <xdr:ext cx="65" cy="172227"/>
    <xdr:sp macro="" textlink="">
      <xdr:nvSpPr>
        <xdr:cNvPr id="165" name="TextBox 164">
          <a:extLst>
            <a:ext uri="{FF2B5EF4-FFF2-40B4-BE49-F238E27FC236}">
              <a16:creationId xmlns:a16="http://schemas.microsoft.com/office/drawing/2014/main" id="{10212C47-836B-4DAA-B780-4E0222BE3A2C}"/>
            </a:ext>
          </a:extLst>
        </xdr:cNvPr>
        <xdr:cNvSpPr txBox="1"/>
      </xdr:nvSpPr>
      <xdr:spPr>
        <a:xfrm>
          <a:off x="38355634" y="2083173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76</xdr:row>
      <xdr:rowOff>0</xdr:rowOff>
    </xdr:from>
    <xdr:ext cx="65" cy="172227"/>
    <xdr:sp macro="" textlink="">
      <xdr:nvSpPr>
        <xdr:cNvPr id="166" name="TextBox 165">
          <a:extLst>
            <a:ext uri="{FF2B5EF4-FFF2-40B4-BE49-F238E27FC236}">
              <a16:creationId xmlns:a16="http://schemas.microsoft.com/office/drawing/2014/main" id="{C65F0557-1F28-479D-98B6-0E45D75AE495}"/>
            </a:ext>
          </a:extLst>
        </xdr:cNvPr>
        <xdr:cNvSpPr txBox="1"/>
      </xdr:nvSpPr>
      <xdr:spPr>
        <a:xfrm>
          <a:off x="38355634" y="2083173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1429839</xdr:colOff>
      <xdr:row>40</xdr:row>
      <xdr:rowOff>48576</xdr:rowOff>
    </xdr:from>
    <xdr:to>
      <xdr:col>8</xdr:col>
      <xdr:colOff>1183821</xdr:colOff>
      <xdr:row>43</xdr:row>
      <xdr:rowOff>56333</xdr:rowOff>
    </xdr:to>
    <mc:AlternateContent xmlns:mc="http://schemas.openxmlformats.org/markup-compatibility/2006" xmlns:a14="http://schemas.microsoft.com/office/drawing/2010/main">
      <mc:Choice Requires="a14">
        <xdr:sp macro="" textlink="">
          <xdr:nvSpPr>
            <xdr:cNvPr id="173" name="TextBox 172">
              <a:extLst>
                <a:ext uri="{FF2B5EF4-FFF2-40B4-BE49-F238E27FC236}">
                  <a16:creationId xmlns:a16="http://schemas.microsoft.com/office/drawing/2014/main" id="{762EBDF9-73E3-4B39-92DA-1D94149913AF}"/>
                </a:ext>
              </a:extLst>
            </xdr:cNvPr>
            <xdr:cNvSpPr txBox="1"/>
          </xdr:nvSpPr>
          <xdr:spPr>
            <a:xfrm>
              <a:off x="3470910" y="7287576"/>
              <a:ext cx="8911590" cy="5384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𝑘𝑊h</m:t>
                        </m:r>
                      </m:e>
                      <m:sub>
                        <m:r>
                          <a:rPr lang="en-US" sz="1400" b="0" i="1">
                            <a:solidFill>
                              <a:sysClr val="windowText" lastClr="000000"/>
                            </a:solidFill>
                            <a:latin typeface="Cambria Math" panose="02040503050406030204" pitchFamily="18" charset="0"/>
                            <a:ea typeface="Cambria Math" panose="02040503050406030204" pitchFamily="18" charset="0"/>
                          </a:rPr>
                          <m:t>h𝑒𝑎𝑡𝑝𝑒𝑛𝑎𝑙𝑡𝑦</m:t>
                        </m:r>
                      </m:sub>
                    </m:sSub>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𝐵𝑎𝑠𝑒</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𝐸𝐸</m:t>
                            </m:r>
                          </m:sub>
                        </m:sSub>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𝐻𝑜𝑢𝑟𝑠</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𝐴𝐷𝐽</m:t>
                        </m:r>
                      </m:e>
                      <m: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𝐸𝑀𝑉</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𝐼𝐹</m:t>
                        </m:r>
                      </m:e>
                      <m:sub>
                        <m:r>
                          <a:rPr lang="en-US" sz="1400" b="0" i="1">
                            <a:solidFill>
                              <a:sysClr val="windowText" lastClr="000000"/>
                            </a:solidFill>
                            <a:effectLst/>
                            <a:latin typeface="Cambria Math" panose="02040503050406030204" pitchFamily="18" charset="0"/>
                            <a:ea typeface="+mn-ea"/>
                            <a:cs typeface="+mn-cs"/>
                          </a:rPr>
                          <m:t>𝑘𝑊h</m:t>
                        </m:r>
                      </m:sub>
                    </m:sSub>
                  </m:oMath>
                </m:oMathPara>
              </a14:m>
              <a:endParaRPr lang="en-US" sz="1400">
                <a:solidFill>
                  <a:sysClr val="windowText" lastClr="000000"/>
                </a:solidFill>
              </a:endParaRPr>
            </a:p>
          </xdr:txBody>
        </xdr:sp>
      </mc:Choice>
      <mc:Fallback xmlns="">
        <xdr:sp macro="" textlink="">
          <xdr:nvSpPr>
            <xdr:cNvPr id="173" name="TextBox 172">
              <a:extLst>
                <a:ext uri="{FF2B5EF4-FFF2-40B4-BE49-F238E27FC236}">
                  <a16:creationId xmlns:a16="http://schemas.microsoft.com/office/drawing/2014/main" id="{762EBDF9-73E3-4B39-92DA-1D94149913AF}"/>
                </a:ext>
              </a:extLst>
            </xdr:cNvPr>
            <xdr:cNvSpPr txBox="1"/>
          </xdr:nvSpPr>
          <xdr:spPr>
            <a:xfrm>
              <a:off x="3470910" y="7287576"/>
              <a:ext cx="8911590" cy="5384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〗_</a:t>
              </a:r>
              <a:r>
                <a:rPr lang="en-US" sz="1400" b="0" i="0">
                  <a:solidFill>
                    <a:sysClr val="windowText" lastClr="000000"/>
                  </a:solidFill>
                  <a:latin typeface="Cambria Math" panose="02040503050406030204" pitchFamily="18" charset="0"/>
                  <a:ea typeface="Cambria Math" panose="02040503050406030204" pitchFamily="18" charset="0"/>
                </a:rPr>
                <a:t>ℎ𝑒𝑎𝑡𝑝𝑒𝑛𝑎𝑙𝑡𝑦=(</a:t>
              </a:r>
              <a:r>
                <a:rPr lang="en-US" sz="1400" b="0" i="0">
                  <a:solidFill>
                    <a:sysClr val="windowText" lastClr="000000"/>
                  </a:solidFill>
                  <a:effectLst/>
                  <a:latin typeface="Cambria Math" panose="02040503050406030204" pitchFamily="18" charset="0"/>
                  <a:ea typeface="+mn-ea"/>
                  <a:cs typeface="+mn-cs"/>
                </a:rPr>
                <a:t>(〖𝑊𝑎𝑡𝑡𝑠〗_𝐵𝑎𝑠𝑒−〖𝑊𝑎𝑡𝑡𝑠〗_𝐸𝐸)</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×𝐼𝑆𝑅×𝐻𝑜𝑢𝑟𝑠×〖𝐴𝐷𝐽〗_𝐸𝑀𝑉</a:t>
              </a:r>
              <a:r>
                <a:rPr lang="en-US" sz="1400" b="0" i="0">
                  <a:solidFill>
                    <a:sysClr val="windowText" lastClr="000000"/>
                  </a:solidFill>
                  <a:effectLst/>
                  <a:latin typeface="Cambria Math" panose="02040503050406030204" pitchFamily="18" charset="0"/>
                  <a:ea typeface="+mn-ea"/>
                  <a:cs typeface="+mn-cs"/>
                </a:rPr>
                <a:t>×〖−𝐼𝐹〗_𝑘𝑊ℎ</a:t>
              </a:r>
              <a:endParaRPr lang="en-US" sz="1400">
                <a:solidFill>
                  <a:sysClr val="windowText" lastClr="000000"/>
                </a:solidFill>
              </a:endParaRPr>
            </a:p>
          </xdr:txBody>
        </xdr:sp>
      </mc:Fallback>
    </mc:AlternateContent>
    <xdr:clientData/>
  </xdr:twoCellAnchor>
  <xdr:twoCellAnchor>
    <xdr:from>
      <xdr:col>3</xdr:col>
      <xdr:colOff>1427933</xdr:colOff>
      <xdr:row>81</xdr:row>
      <xdr:rowOff>57150</xdr:rowOff>
    </xdr:from>
    <xdr:to>
      <xdr:col>6</xdr:col>
      <xdr:colOff>523875</xdr:colOff>
      <xdr:row>83</xdr:row>
      <xdr:rowOff>152400</xdr:rowOff>
    </xdr:to>
    <mc:AlternateContent xmlns:mc="http://schemas.openxmlformats.org/markup-compatibility/2006" xmlns:a14="http://schemas.microsoft.com/office/drawing/2010/main">
      <mc:Choice Requires="a14">
        <xdr:sp macro="" textlink="">
          <xdr:nvSpPr>
            <xdr:cNvPr id="174" name="TextBox 173">
              <a:extLst>
                <a:ext uri="{FF2B5EF4-FFF2-40B4-BE49-F238E27FC236}">
                  <a16:creationId xmlns:a16="http://schemas.microsoft.com/office/drawing/2014/main" id="{67A6DD18-F78D-4860-8373-39A38FBC2043}"/>
                </a:ext>
              </a:extLst>
            </xdr:cNvPr>
            <xdr:cNvSpPr txBox="1"/>
          </xdr:nvSpPr>
          <xdr:spPr>
            <a:xfrm>
              <a:off x="3466283" y="18030825"/>
              <a:ext cx="6020617"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𝑊𝑆𝐹𝑏𝑎𝑠𝑒</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𝑊𝑆𝐹𝑒𝑒</m:t>
                        </m:r>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𝑊𝐻𝐹𝑒</m:t>
                    </m:r>
                  </m:oMath>
                </m:oMathPara>
              </a14:m>
              <a:endParaRPr lang="en-US" sz="1400">
                <a:solidFill>
                  <a:sysClr val="windowText" lastClr="000000"/>
                </a:solidFill>
              </a:endParaRPr>
            </a:p>
          </xdr:txBody>
        </xdr:sp>
      </mc:Choice>
      <mc:Fallback xmlns="">
        <xdr:sp macro="" textlink="">
          <xdr:nvSpPr>
            <xdr:cNvPr id="174" name="TextBox 173">
              <a:extLst>
                <a:ext uri="{FF2B5EF4-FFF2-40B4-BE49-F238E27FC236}">
                  <a16:creationId xmlns:a16="http://schemas.microsoft.com/office/drawing/2014/main" id="{67A6DD18-F78D-4860-8373-39A38FBC2043}"/>
                </a:ext>
              </a:extLst>
            </xdr:cNvPr>
            <xdr:cNvSpPr txBox="1"/>
          </xdr:nvSpPr>
          <xdr:spPr>
            <a:xfrm>
              <a:off x="3466283" y="18030825"/>
              <a:ext cx="6020617"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mn-ea"/>
                  <a:cs typeface="+mn-cs"/>
                </a:rPr>
                <a:t>(𝑊𝑆𝐹𝑏𝑎𝑠𝑒 −𝑊𝑆𝐹𝑒𝑒)</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1000×𝑆𝐹×𝐻𝑜𝑢𝑟𝑠×𝑊𝐻𝐹𝑒</a:t>
              </a:r>
              <a:endParaRPr lang="en-US" sz="1400">
                <a:solidFill>
                  <a:sysClr val="windowText" lastClr="000000"/>
                </a:solidFill>
              </a:endParaRPr>
            </a:p>
          </xdr:txBody>
        </xdr:sp>
      </mc:Fallback>
    </mc:AlternateContent>
    <xdr:clientData/>
  </xdr:twoCellAnchor>
  <xdr:twoCellAnchor>
    <xdr:from>
      <xdr:col>3</xdr:col>
      <xdr:colOff>1507671</xdr:colOff>
      <xdr:row>84</xdr:row>
      <xdr:rowOff>74145</xdr:rowOff>
    </xdr:from>
    <xdr:to>
      <xdr:col>7</xdr:col>
      <xdr:colOff>19050</xdr:colOff>
      <xdr:row>87</xdr:row>
      <xdr:rowOff>22043</xdr:rowOff>
    </xdr:to>
    <mc:AlternateContent xmlns:mc="http://schemas.openxmlformats.org/markup-compatibility/2006" xmlns:a14="http://schemas.microsoft.com/office/drawing/2010/main">
      <mc:Choice Requires="a14">
        <xdr:sp macro="" textlink="">
          <xdr:nvSpPr>
            <xdr:cNvPr id="175" name="TextBox 174">
              <a:extLst>
                <a:ext uri="{FF2B5EF4-FFF2-40B4-BE49-F238E27FC236}">
                  <a16:creationId xmlns:a16="http://schemas.microsoft.com/office/drawing/2014/main" id="{2AE51888-E878-4973-AF39-468DCA962DE5}"/>
                </a:ext>
              </a:extLst>
            </xdr:cNvPr>
            <xdr:cNvSpPr txBox="1"/>
          </xdr:nvSpPr>
          <xdr:spPr>
            <a:xfrm>
              <a:off x="3546021" y="18590745"/>
              <a:ext cx="6550479" cy="4908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400" i="1">
                            <a:solidFill>
                              <a:sysClr val="windowText" lastClr="000000"/>
                            </a:solidFill>
                            <a:latin typeface="Cambria Math" panose="02040503050406030204" pitchFamily="18" charset="0"/>
                            <a:ea typeface="Cambria Math" panose="02040503050406030204" pitchFamily="18" charset="0"/>
                          </a:rPr>
                        </m:ctrlPr>
                      </m:sSubPr>
                      <m:e>
                        <m:r>
                          <a:rPr lang="en-US" sz="140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𝑘𝑊h</m:t>
                        </m:r>
                      </m:e>
                      <m:sub>
                        <m:r>
                          <a:rPr lang="en-US" sz="1400" b="0" i="1">
                            <a:solidFill>
                              <a:sysClr val="windowText" lastClr="000000"/>
                            </a:solidFill>
                            <a:latin typeface="Cambria Math" panose="02040503050406030204" pitchFamily="18" charset="0"/>
                            <a:ea typeface="Cambria Math" panose="02040503050406030204" pitchFamily="18" charset="0"/>
                          </a:rPr>
                          <m:t>h𝑒𝑎𝑡𝑝𝑒𝑛𝑎𝑙𝑡𝑦</m:t>
                        </m:r>
                      </m:sub>
                    </m:sSub>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𝑊𝑆𝐹𝑏𝑎𝑠𝑒</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𝑊𝑆𝐹𝑒𝑒</m:t>
                        </m:r>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𝐼𝐹</m:t>
                        </m:r>
                      </m:e>
                      <m:sub>
                        <m:r>
                          <a:rPr lang="en-US" sz="1400" b="0" i="1">
                            <a:solidFill>
                              <a:sysClr val="windowText" lastClr="000000"/>
                            </a:solidFill>
                            <a:latin typeface="Cambria Math" panose="02040503050406030204" pitchFamily="18" charset="0"/>
                            <a:ea typeface="Cambria Math" panose="02040503050406030204" pitchFamily="18" charset="0"/>
                          </a:rPr>
                          <m:t>𝑘𝑊h</m:t>
                        </m:r>
                      </m:sub>
                    </m:sSub>
                  </m:oMath>
                </m:oMathPara>
              </a14:m>
              <a:endParaRPr lang="en-US" sz="1400">
                <a:solidFill>
                  <a:sysClr val="windowText" lastClr="000000"/>
                </a:solidFill>
              </a:endParaRPr>
            </a:p>
          </xdr:txBody>
        </xdr:sp>
      </mc:Choice>
      <mc:Fallback xmlns="">
        <xdr:sp macro="" textlink="">
          <xdr:nvSpPr>
            <xdr:cNvPr id="175" name="TextBox 174">
              <a:extLst>
                <a:ext uri="{FF2B5EF4-FFF2-40B4-BE49-F238E27FC236}">
                  <a16:creationId xmlns:a16="http://schemas.microsoft.com/office/drawing/2014/main" id="{2AE51888-E878-4973-AF39-468DCA962DE5}"/>
                </a:ext>
              </a:extLst>
            </xdr:cNvPr>
            <xdr:cNvSpPr txBox="1"/>
          </xdr:nvSpPr>
          <xdr:spPr>
            <a:xfrm>
              <a:off x="3546021" y="18590745"/>
              <a:ext cx="6550479" cy="4908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〗_</a:t>
              </a:r>
              <a:r>
                <a:rPr lang="en-US" sz="1400" b="0" i="0">
                  <a:solidFill>
                    <a:sysClr val="windowText" lastClr="000000"/>
                  </a:solidFill>
                  <a:latin typeface="Cambria Math" panose="02040503050406030204" pitchFamily="18" charset="0"/>
                  <a:ea typeface="Cambria Math" panose="02040503050406030204" pitchFamily="18" charset="0"/>
                </a:rPr>
                <a:t>ℎ𝑒𝑎𝑡𝑝𝑒𝑛𝑎𝑙𝑡𝑦=(</a:t>
              </a:r>
              <a:r>
                <a:rPr lang="en-US" sz="1400" b="0" i="0">
                  <a:solidFill>
                    <a:sysClr val="windowText" lastClr="000000"/>
                  </a:solidFill>
                  <a:effectLst/>
                  <a:latin typeface="Cambria Math" panose="02040503050406030204" pitchFamily="18" charset="0"/>
                  <a:ea typeface="+mn-ea"/>
                  <a:cs typeface="+mn-cs"/>
                </a:rPr>
                <a:t>(𝑊𝑆𝐹𝑏𝑎𝑠𝑒 −𝑊𝑆𝐹𝑒𝑒)</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1000×𝑆𝐹×𝐻𝑜𝑢𝑟𝑠×〖</a:t>
              </a:r>
              <a:r>
                <a:rPr lang="en-US" sz="1400" b="0" i="0">
                  <a:solidFill>
                    <a:sysClr val="windowText" lastClr="000000"/>
                  </a:solidFill>
                  <a:effectLst/>
                  <a:latin typeface="Cambria Math" panose="02040503050406030204" pitchFamily="18" charset="0"/>
                  <a:ea typeface="+mn-ea"/>
                  <a:cs typeface="+mn-cs"/>
                </a:rPr>
                <a:t>−𝐼𝐹</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〗_</a:t>
              </a:r>
              <a:r>
                <a:rPr lang="en-US" sz="1400" b="0" i="0">
                  <a:solidFill>
                    <a:sysClr val="windowText" lastClr="000000"/>
                  </a:solidFill>
                  <a:latin typeface="Cambria Math" panose="02040503050406030204" pitchFamily="18" charset="0"/>
                  <a:ea typeface="Cambria Math" panose="02040503050406030204" pitchFamily="18" charset="0"/>
                </a:rPr>
                <a:t>𝑘𝑊ℎ</a:t>
              </a:r>
              <a:endParaRPr lang="en-US" sz="1400">
                <a:solidFill>
                  <a:sysClr val="windowText" lastClr="000000"/>
                </a:solidFill>
              </a:endParaRPr>
            </a:p>
          </xdr:txBody>
        </xdr:sp>
      </mc:Fallback>
    </mc:AlternateContent>
    <xdr:clientData/>
  </xdr:twoCellAnchor>
  <xdr:twoCellAnchor>
    <xdr:from>
      <xdr:col>3</xdr:col>
      <xdr:colOff>1509578</xdr:colOff>
      <xdr:row>87</xdr:row>
      <xdr:rowOff>99605</xdr:rowOff>
    </xdr:from>
    <xdr:to>
      <xdr:col>4</xdr:col>
      <xdr:colOff>4071258</xdr:colOff>
      <xdr:row>89</xdr:row>
      <xdr:rowOff>97971</xdr:rowOff>
    </xdr:to>
    <mc:AlternateContent xmlns:mc="http://schemas.openxmlformats.org/markup-compatibility/2006" xmlns:a14="http://schemas.microsoft.com/office/drawing/2010/main">
      <mc:Choice Requires="a14">
        <xdr:sp macro="" textlink="">
          <xdr:nvSpPr>
            <xdr:cNvPr id="176" name="TextBox 175">
              <a:extLst>
                <a:ext uri="{FF2B5EF4-FFF2-40B4-BE49-F238E27FC236}">
                  <a16:creationId xmlns:a16="http://schemas.microsoft.com/office/drawing/2014/main" id="{13CB98A1-4702-46B9-ADD9-DC70EF911BE9}"/>
                </a:ext>
              </a:extLst>
            </xdr:cNvPr>
            <xdr:cNvSpPr txBox="1"/>
          </xdr:nvSpPr>
          <xdr:spPr>
            <a:xfrm>
              <a:off x="3556092" y="18790376"/>
              <a:ext cx="4248966" cy="3684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effectLst/>
                      <a:latin typeface="Cambria Math" panose="02040503050406030204" pitchFamily="18" charset="0"/>
                      <a:ea typeface="+mn-ea"/>
                      <a:cs typeface="+mn-cs"/>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𝐶𝐹</m:t>
                  </m:r>
                  <m:r>
                    <a:rPr lang="en-US" sz="1400" b="0" i="1">
                      <a:solidFill>
                        <a:srgbClr val="FF0000"/>
                      </a:solidFill>
                      <a:latin typeface="Cambria Math" panose="02040503050406030204" pitchFamily="18" charset="0"/>
                      <a:ea typeface="Cambria Math" panose="02040503050406030204" pitchFamily="18" charset="0"/>
                    </a:rPr>
                    <m:t> </m:t>
                  </m:r>
                  <m:r>
                    <a:rPr lang="en-US" sz="1100" b="0" i="1">
                      <a:solidFill>
                        <a:srgbClr val="FF0000"/>
                      </a:solidFill>
                      <a:effectLst/>
                      <a:latin typeface="Cambria Math" panose="02040503050406030204" pitchFamily="18" charset="0"/>
                      <a:ea typeface="+mn-ea"/>
                      <a:cs typeface="+mn-cs"/>
                    </a:rPr>
                    <m:t>×</m:t>
                  </m:r>
                  <m:r>
                    <a:rPr lang="en-US" sz="1400" b="0" i="1">
                      <a:solidFill>
                        <a:srgbClr val="FF0000"/>
                      </a:solidFill>
                      <a:latin typeface="Cambria Math" panose="02040503050406030204" pitchFamily="18" charset="0"/>
                      <a:ea typeface="Cambria Math" panose="02040503050406030204" pitchFamily="18" charset="0"/>
                    </a:rPr>
                    <m:t> </m:t>
                  </m:r>
                  <m:r>
                    <a:rPr lang="en-US" sz="1400" b="0" i="1">
                      <a:solidFill>
                        <a:srgbClr val="FF0000"/>
                      </a:solidFill>
                      <a:latin typeface="Cambria Math" panose="02040503050406030204" pitchFamily="18" charset="0"/>
                      <a:ea typeface="Cambria Math" panose="02040503050406030204" pitchFamily="18" charset="0"/>
                    </a:rPr>
                    <m:t>𝐼𝐹𝑘𝑊</m:t>
                  </m:r>
                </m:oMath>
              </a14:m>
              <a:r>
                <a:rPr lang="en-US" sz="1400">
                  <a:solidFill>
                    <a:srgbClr val="FF0000"/>
                  </a:solidFill>
                </a:rPr>
                <a:t> </a:t>
              </a:r>
              <a:endParaRPr lang="en-US" sz="1400">
                <a:solidFill>
                  <a:sysClr val="windowText" lastClr="000000"/>
                </a:solidFill>
              </a:endParaRPr>
            </a:p>
          </xdr:txBody>
        </xdr:sp>
      </mc:Choice>
      <mc:Fallback xmlns="">
        <xdr:sp macro="" textlink="">
          <xdr:nvSpPr>
            <xdr:cNvPr id="176" name="TextBox 175">
              <a:extLst>
                <a:ext uri="{FF2B5EF4-FFF2-40B4-BE49-F238E27FC236}">
                  <a16:creationId xmlns:a16="http://schemas.microsoft.com/office/drawing/2014/main" id="{13CB98A1-4702-46B9-ADD9-DC70EF911BE9}"/>
                </a:ext>
              </a:extLst>
            </xdr:cNvPr>
            <xdr:cNvSpPr txBox="1"/>
          </xdr:nvSpPr>
          <xdr:spPr>
            <a:xfrm>
              <a:off x="3556092" y="18790376"/>
              <a:ext cx="4248966" cy="3684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a:t>
              </a:r>
              <a:r>
                <a:rPr lang="en-US" sz="1400" b="0" i="0">
                  <a:solidFill>
                    <a:sysClr val="windowText" lastClr="000000"/>
                  </a:solidFill>
                  <a:effectLst/>
                  <a:latin typeface="Cambria Math" panose="02040503050406030204" pitchFamily="18" charset="0"/>
                  <a:ea typeface="+mn-ea"/>
                  <a:cs typeface="+mn-cs"/>
                </a:rPr>
                <a:t>𝑘𝑊ℎ</a:t>
              </a:r>
              <a:r>
                <a:rPr lang="en-US" sz="1400" b="0" i="0">
                  <a:solidFill>
                    <a:sysClr val="windowText" lastClr="000000"/>
                  </a:solidFill>
                  <a:latin typeface="Cambria Math" panose="02040503050406030204" pitchFamily="18" charset="0"/>
                  <a:ea typeface="Cambria Math" panose="02040503050406030204" pitchFamily="18" charset="0"/>
                </a:rPr>
                <a:t>×𝐶𝐹</a:t>
              </a:r>
              <a:r>
                <a:rPr lang="en-US" sz="1400" b="0" i="0">
                  <a:solidFill>
                    <a:srgbClr val="FF0000"/>
                  </a:solidFill>
                  <a:latin typeface="Cambria Math" panose="02040503050406030204" pitchFamily="18" charset="0"/>
                  <a:ea typeface="Cambria Math" panose="02040503050406030204" pitchFamily="18" charset="0"/>
                </a:rPr>
                <a:t> </a:t>
              </a:r>
              <a:r>
                <a:rPr lang="en-US" sz="1100" b="0" i="0">
                  <a:solidFill>
                    <a:srgbClr val="FF0000"/>
                  </a:solidFill>
                  <a:effectLst/>
                  <a:latin typeface="Cambria Math" panose="02040503050406030204" pitchFamily="18" charset="0"/>
                  <a:ea typeface="+mn-ea"/>
                  <a:cs typeface="+mn-cs"/>
                </a:rPr>
                <a:t>×</a:t>
              </a:r>
              <a:r>
                <a:rPr lang="en-US" sz="1400" b="0" i="0">
                  <a:solidFill>
                    <a:srgbClr val="FF0000"/>
                  </a:solidFill>
                  <a:latin typeface="Cambria Math" panose="02040503050406030204" pitchFamily="18" charset="0"/>
                  <a:ea typeface="Cambria Math" panose="02040503050406030204" pitchFamily="18" charset="0"/>
                </a:rPr>
                <a:t> 𝐼𝐹𝑘𝑊</a:t>
              </a:r>
              <a:r>
                <a:rPr lang="en-US" sz="1400">
                  <a:solidFill>
                    <a:srgbClr val="FF0000"/>
                  </a:solidFill>
                </a:rPr>
                <a:t> </a:t>
              </a:r>
              <a:endParaRPr lang="en-US" sz="1400">
                <a:solidFill>
                  <a:sysClr val="windowText" lastClr="000000"/>
                </a:solidFill>
              </a:endParaRPr>
            </a:p>
          </xdr:txBody>
        </xdr:sp>
      </mc:Fallback>
    </mc:AlternateContent>
    <xdr:clientData/>
  </xdr:twoCellAnchor>
  <xdr:twoCellAnchor>
    <xdr:from>
      <xdr:col>3</xdr:col>
      <xdr:colOff>805542</xdr:colOff>
      <xdr:row>246</xdr:row>
      <xdr:rowOff>65313</xdr:rowOff>
    </xdr:from>
    <xdr:to>
      <xdr:col>4</xdr:col>
      <xdr:colOff>3889048</xdr:colOff>
      <xdr:row>250</xdr:row>
      <xdr:rowOff>167152</xdr:rowOff>
    </xdr:to>
    <mc:AlternateContent xmlns:mc="http://schemas.openxmlformats.org/markup-compatibility/2006" xmlns:a14="http://schemas.microsoft.com/office/drawing/2010/main">
      <mc:Choice Requires="a14">
        <xdr:sp macro="" textlink="">
          <xdr:nvSpPr>
            <xdr:cNvPr id="146" name="TextBox 145">
              <a:extLst>
                <a:ext uri="{FF2B5EF4-FFF2-40B4-BE49-F238E27FC236}">
                  <a16:creationId xmlns:a16="http://schemas.microsoft.com/office/drawing/2014/main" id="{C9F76C09-55B2-4ADA-81A9-44B1BC0BB437}"/>
                </a:ext>
              </a:extLst>
            </xdr:cNvPr>
            <xdr:cNvSpPr txBox="1"/>
          </xdr:nvSpPr>
          <xdr:spPr>
            <a:xfrm>
              <a:off x="2852056" y="21227142"/>
              <a:ext cx="4770792" cy="8420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𝑘𝑊h</m:t>
                    </m:r>
                    <m:r>
                      <a:rPr lang="en-US" sz="1800" b="0" i="1">
                        <a:latin typeface="Cambria Math" panose="02040503050406030204" pitchFamily="18" charset="0"/>
                        <a:ea typeface="Cambria Math" panose="02040503050406030204" pitchFamily="18" charset="0"/>
                      </a:rPr>
                      <m:t>=</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𝑄</m:t>
                        </m:r>
                      </m:e>
                      <m:sub>
                        <m:r>
                          <a:rPr lang="en-US" sz="1800" b="0" i="1">
                            <a:latin typeface="Cambria Math" panose="02040503050406030204" pitchFamily="18" charset="0"/>
                            <a:ea typeface="Cambria Math" panose="02040503050406030204" pitchFamily="18" charset="0"/>
                          </a:rPr>
                          <m:t>𝑃𝑜𝑜𝑙𝐻𝑒𝑎𝑡𝑖𝑛𝑔</m:t>
                        </m:r>
                      </m:sub>
                    </m:sSub>
                    <m:r>
                      <a:rPr lang="en-US" sz="1800" b="0" i="1">
                        <a:latin typeface="Cambria Math" panose="02040503050406030204" pitchFamily="18" charset="0"/>
                        <a:ea typeface="Cambria Math" panose="02040503050406030204" pitchFamily="18" charset="0"/>
                      </a:rPr>
                      <m:t>∗</m:t>
                    </m:r>
                    <m:d>
                      <m:dPr>
                        <m:ctrlPr>
                          <a:rPr lang="en-US" sz="1200" b="0" i="1">
                            <a:solidFill>
                              <a:schemeClr val="tx1"/>
                            </a:solidFill>
                            <a:effectLst/>
                            <a:latin typeface="Cambria Math" panose="02040503050406030204" pitchFamily="18" charset="0"/>
                            <a:ea typeface="+mn-ea"/>
                            <a:cs typeface="+mn-cs"/>
                          </a:rPr>
                        </m:ctrlPr>
                      </m:dPr>
                      <m:e>
                        <m:f>
                          <m:fPr>
                            <m:ctrlPr>
                              <a:rPr lang="en-US" sz="1200" b="0" i="1">
                                <a:solidFill>
                                  <a:schemeClr val="tx1"/>
                                </a:solidFill>
                                <a:effectLst/>
                                <a:latin typeface="Cambria Math" panose="02040503050406030204" pitchFamily="18" charset="0"/>
                                <a:ea typeface="+mn-ea"/>
                                <a:cs typeface="+mn-cs"/>
                              </a:rPr>
                            </m:ctrlPr>
                          </m:fPr>
                          <m:num>
                            <m:r>
                              <a:rPr lang="en-US" sz="1200" b="0" i="1">
                                <a:solidFill>
                                  <a:schemeClr val="tx1"/>
                                </a:solidFill>
                                <a:effectLst/>
                                <a:latin typeface="Cambria Math" panose="02040503050406030204" pitchFamily="18" charset="0"/>
                                <a:ea typeface="+mn-ea"/>
                                <a:cs typeface="+mn-cs"/>
                              </a:rPr>
                              <m:t>1</m:t>
                            </m:r>
                          </m:num>
                          <m:den>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𝐸𝑓𝑓</m:t>
                                </m:r>
                              </m:e>
                              <m:sub>
                                <m:r>
                                  <a:rPr lang="en-US" sz="1200" b="0" i="1">
                                    <a:solidFill>
                                      <a:schemeClr val="tx1"/>
                                    </a:solidFill>
                                    <a:effectLst/>
                                    <a:latin typeface="Cambria Math" panose="02040503050406030204" pitchFamily="18" charset="0"/>
                                    <a:ea typeface="+mn-ea"/>
                                    <a:cs typeface="+mn-cs"/>
                                  </a:rPr>
                                  <m:t>𝐵𝑎𝑠𝑒</m:t>
                                </m:r>
                              </m:sub>
                            </m:sSub>
                          </m:den>
                        </m:f>
                        <m:r>
                          <a:rPr lang="en-US" sz="1200" b="0" i="1">
                            <a:solidFill>
                              <a:schemeClr val="tx1"/>
                            </a:solidFill>
                            <a:effectLst/>
                            <a:latin typeface="Cambria Math" panose="02040503050406030204" pitchFamily="18" charset="0"/>
                            <a:ea typeface="+mn-ea"/>
                            <a:cs typeface="+mn-cs"/>
                          </a:rPr>
                          <m:t>−</m:t>
                        </m:r>
                        <m:f>
                          <m:fPr>
                            <m:ctrlPr>
                              <a:rPr lang="en-US" sz="1200" b="0" i="1">
                                <a:solidFill>
                                  <a:schemeClr val="tx1"/>
                                </a:solidFill>
                                <a:effectLst/>
                                <a:latin typeface="Cambria Math" panose="02040503050406030204" pitchFamily="18" charset="0"/>
                                <a:ea typeface="+mn-ea"/>
                                <a:cs typeface="+mn-cs"/>
                              </a:rPr>
                            </m:ctrlPr>
                          </m:fPr>
                          <m:num>
                            <m:r>
                              <a:rPr lang="en-US" sz="1200" b="0" i="1">
                                <a:solidFill>
                                  <a:schemeClr val="tx1"/>
                                </a:solidFill>
                                <a:effectLst/>
                                <a:latin typeface="Cambria Math" panose="02040503050406030204" pitchFamily="18" charset="0"/>
                                <a:ea typeface="+mn-ea"/>
                                <a:cs typeface="+mn-cs"/>
                              </a:rPr>
                              <m:t>1</m:t>
                            </m:r>
                          </m:num>
                          <m:den>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𝐸𝑓𝑓</m:t>
                                </m:r>
                              </m:e>
                              <m:sub>
                                <m:r>
                                  <a:rPr lang="en-US" sz="1200" b="0" i="1">
                                    <a:solidFill>
                                      <a:schemeClr val="tx1"/>
                                    </a:solidFill>
                                    <a:effectLst/>
                                    <a:latin typeface="Cambria Math" panose="02040503050406030204" pitchFamily="18" charset="0"/>
                                    <a:ea typeface="+mn-ea"/>
                                    <a:cs typeface="+mn-cs"/>
                                  </a:rPr>
                                  <m:t>𝐸𝐸</m:t>
                                </m:r>
                              </m:sub>
                            </m:sSub>
                          </m:den>
                        </m:f>
                      </m:e>
                    </m:d>
                  </m:oMath>
                </m:oMathPara>
              </a14:m>
              <a:endParaRPr lang="en-US" sz="1600" b="0"/>
            </a:p>
          </xdr:txBody>
        </xdr:sp>
      </mc:Choice>
      <mc:Fallback xmlns="">
        <xdr:sp macro="" textlink="">
          <xdr:nvSpPr>
            <xdr:cNvPr id="146" name="TextBox 145">
              <a:extLst>
                <a:ext uri="{FF2B5EF4-FFF2-40B4-BE49-F238E27FC236}">
                  <a16:creationId xmlns:a16="http://schemas.microsoft.com/office/drawing/2014/main" id="{C9F76C09-55B2-4ADA-81A9-44B1BC0BB437}"/>
                </a:ext>
              </a:extLst>
            </xdr:cNvPr>
            <xdr:cNvSpPr txBox="1"/>
          </xdr:nvSpPr>
          <xdr:spPr>
            <a:xfrm>
              <a:off x="2852056" y="21227142"/>
              <a:ext cx="4770792" cy="8420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800" b="0" i="0">
                  <a:latin typeface="Cambria Math" panose="02040503050406030204" pitchFamily="18" charset="0"/>
                  <a:ea typeface="Cambria Math" panose="02040503050406030204" pitchFamily="18" charset="0"/>
                </a:rPr>
                <a:t>∆𝑘𝑊ℎ=𝑄_𝑃𝑜𝑜𝑙𝐻𝑒𝑎𝑡𝑖𝑛𝑔∗</a:t>
              </a:r>
              <a:r>
                <a:rPr lang="en-US" sz="1200" b="0" i="0">
                  <a:solidFill>
                    <a:schemeClr val="tx1"/>
                  </a:solidFill>
                  <a:effectLst/>
                  <a:latin typeface="+mn-lt"/>
                  <a:ea typeface="+mn-ea"/>
                  <a:cs typeface="+mn-cs"/>
                </a:rPr>
                <a:t>(1/〖𝐸𝑓𝑓〗_𝐵𝑎𝑠𝑒 −1/〖𝐸𝑓𝑓〗_𝐸𝐸 )</a:t>
              </a:r>
              <a:endParaRPr lang="en-US" sz="1600" b="0"/>
            </a:p>
          </xdr:txBody>
        </xdr:sp>
      </mc:Fallback>
    </mc:AlternateContent>
    <xdr:clientData/>
  </xdr:twoCellAnchor>
  <xdr:twoCellAnchor>
    <xdr:from>
      <xdr:col>4</xdr:col>
      <xdr:colOff>85451</xdr:colOff>
      <xdr:row>832</xdr:row>
      <xdr:rowOff>54428</xdr:rowOff>
    </xdr:from>
    <xdr:to>
      <xdr:col>7</xdr:col>
      <xdr:colOff>632186</xdr:colOff>
      <xdr:row>834</xdr:row>
      <xdr:rowOff>130085</xdr:rowOff>
    </xdr:to>
    <xdr:sp macro="" textlink="">
      <xdr:nvSpPr>
        <xdr:cNvPr id="2" name="TextBox 1">
          <a:extLst>
            <a:ext uri="{FF2B5EF4-FFF2-40B4-BE49-F238E27FC236}">
              <a16:creationId xmlns:a16="http://schemas.microsoft.com/office/drawing/2014/main" id="{CE155CAD-1275-44A9-8B97-C6FD06E1E8A8}"/>
            </a:ext>
          </a:extLst>
        </xdr:cNvPr>
        <xdr:cNvSpPr txBox="1"/>
      </xdr:nvSpPr>
      <xdr:spPr>
        <a:xfrm flipH="1">
          <a:off x="3813808" y="57857571"/>
          <a:ext cx="8765449" cy="4294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chemeClr val="tx1"/>
              </a:solidFill>
              <a:latin typeface="Cambria Math" panose="02040503050406030204" pitchFamily="18" charset="0"/>
              <a:ea typeface="+mn-ea"/>
              <a:cs typeface="+mn-cs"/>
            </a:rPr>
            <a:t>∆𝑘𝑊ℎ = (𝑘𝑊ℎ</a:t>
          </a:r>
          <a:r>
            <a:rPr lang="en-US" sz="1400" b="0" i="0" baseline="-25000">
              <a:solidFill>
                <a:schemeClr val="tx1"/>
              </a:solidFill>
              <a:latin typeface="Cambria Math" panose="02040503050406030204" pitchFamily="18" charset="0"/>
              <a:ea typeface="+mn-ea"/>
              <a:cs typeface="+mn-cs"/>
            </a:rPr>
            <a:t>𝐵𝑎𝑠𝑒</a:t>
          </a:r>
          <a:r>
            <a:rPr lang="en-US" sz="1400" b="0" i="0">
              <a:solidFill>
                <a:schemeClr val="tx1"/>
              </a:solidFill>
              <a:latin typeface="Cambria Math" panose="02040503050406030204" pitchFamily="18" charset="0"/>
              <a:ea typeface="+mn-ea"/>
              <a:cs typeface="+mn-cs"/>
            </a:rPr>
            <a:t> − 𝑘𝑊ℎ</a:t>
          </a:r>
          <a:r>
            <a:rPr lang="en-US" sz="1400" b="0" i="0" baseline="-25000">
              <a:solidFill>
                <a:schemeClr val="tx1"/>
              </a:solidFill>
              <a:latin typeface="Cambria Math" panose="02040503050406030204" pitchFamily="18" charset="0"/>
              <a:ea typeface="+mn-ea"/>
              <a:cs typeface="+mn-cs"/>
            </a:rPr>
            <a:t>𝐸𝑆𝑇𝐴𝑅</a:t>
          </a:r>
          <a:r>
            <a:rPr lang="en-US" sz="1400" b="0" i="0">
              <a:solidFill>
                <a:schemeClr val="tx1"/>
              </a:solidFill>
              <a:latin typeface="Cambria Math" panose="02040503050406030204" pitchFamily="18" charset="0"/>
              <a:ea typeface="+mn-ea"/>
              <a:cs typeface="+mn-cs"/>
            </a:rPr>
            <a:t>) ∗ 𝐷𝑎𝑦𝑠 </a:t>
          </a:r>
        </a:p>
        <a:p>
          <a:pPr algn="l"/>
          <a:endParaRPr lang="en-US" sz="1400"/>
        </a:p>
      </xdr:txBody>
    </xdr:sp>
    <xdr:clientData/>
  </xdr:twoCellAnchor>
  <xdr:twoCellAnchor>
    <xdr:from>
      <xdr:col>4</xdr:col>
      <xdr:colOff>12692</xdr:colOff>
      <xdr:row>467</xdr:row>
      <xdr:rowOff>68280</xdr:rowOff>
    </xdr:from>
    <xdr:to>
      <xdr:col>7</xdr:col>
      <xdr:colOff>1409532</xdr:colOff>
      <xdr:row>468</xdr:row>
      <xdr:rowOff>161925</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B04F5D53-3286-4622-AE96-362E865ED2DF}"/>
                </a:ext>
              </a:extLst>
            </xdr:cNvPr>
            <xdr:cNvSpPr txBox="1"/>
          </xdr:nvSpPr>
          <xdr:spPr>
            <a:xfrm>
              <a:off x="3736967" y="40959105"/>
              <a:ext cx="7750015" cy="274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rPr>
                      <m:t>𝑘𝑊</m:t>
                    </m:r>
                    <m:r>
                      <a:rPr lang="en-US" sz="1400" i="1">
                        <a:solidFill>
                          <a:srgbClr val="FF0000"/>
                        </a:solidFill>
                        <a:latin typeface="Cambria Math" panose="02040503050406030204" pitchFamily="18" charset="0"/>
                      </a:rPr>
                      <m:t>=</m:t>
                    </m:r>
                    <m:r>
                      <a:rPr lang="en-US" sz="1400" b="0" i="1">
                        <a:solidFill>
                          <a:srgbClr val="FF0000"/>
                        </a:solidFill>
                        <a:latin typeface="Cambria Math" panose="02040503050406030204" pitchFamily="18" charset="0"/>
                      </a:rPr>
                      <m:t> </m:t>
                    </m:r>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𝑘𝑊h</m:t>
                    </m:r>
                    <m:r>
                      <a:rPr lang="en-US" sz="1400" b="0" i="1">
                        <a:solidFill>
                          <a:srgbClr val="FF0000"/>
                        </a:solidFill>
                        <a:latin typeface="Cambria Math" panose="02040503050406030204" pitchFamily="18" charset="0"/>
                        <a:ea typeface="Cambria Math" panose="02040503050406030204" pitchFamily="18" charset="0"/>
                      </a:rPr>
                      <m:t> </m:t>
                    </m:r>
                    <m:r>
                      <a:rPr lang="en-US" sz="1400" b="0" i="1">
                        <a:solidFill>
                          <a:srgbClr val="FF0000"/>
                        </a:solidFill>
                        <a:latin typeface="Cambria Math" panose="02040503050406030204" pitchFamily="18" charset="0"/>
                        <a:ea typeface="Cambria Math" panose="02040503050406030204" pitchFamily="18" charset="0"/>
                      </a:rPr>
                      <m:t>𝑥</m:t>
                    </m:r>
                    <m:r>
                      <a:rPr lang="en-US" sz="1400" b="0" i="1">
                        <a:solidFill>
                          <a:srgbClr val="FF0000"/>
                        </a:solidFill>
                        <a:latin typeface="Cambria Math" panose="02040503050406030204" pitchFamily="18" charset="0"/>
                        <a:ea typeface="Cambria Math" panose="02040503050406030204" pitchFamily="18" charset="0"/>
                      </a:rPr>
                      <m:t> </m:t>
                    </m:r>
                    <m:r>
                      <a:rPr lang="en-US" sz="1400" b="0" i="1">
                        <a:solidFill>
                          <a:srgbClr val="FF0000"/>
                        </a:solidFill>
                        <a:latin typeface="Cambria Math" panose="02040503050406030204" pitchFamily="18" charset="0"/>
                        <a:ea typeface="Cambria Math" panose="02040503050406030204" pitchFamily="18" charset="0"/>
                      </a:rPr>
                      <m:t>𝐶𝐹</m:t>
                    </m:r>
                  </m:oMath>
                </m:oMathPara>
              </a14:m>
              <a:endParaRPr lang="en-US" sz="1400">
                <a:solidFill>
                  <a:srgbClr val="FF0000"/>
                </a:solidFill>
                <a:effectLst/>
              </a:endParaRPr>
            </a:p>
            <a:p>
              <a:pPr algn="l"/>
              <a:endParaRPr lang="en-US" sz="1400">
                <a:solidFill>
                  <a:srgbClr val="FF0000"/>
                </a:solidFill>
              </a:endParaRPr>
            </a:p>
          </xdr:txBody>
        </xdr:sp>
      </mc:Choice>
      <mc:Fallback xmlns="">
        <xdr:sp macro="" textlink="">
          <xdr:nvSpPr>
            <xdr:cNvPr id="13" name="TextBox 12">
              <a:extLst>
                <a:ext uri="{FF2B5EF4-FFF2-40B4-BE49-F238E27FC236}">
                  <a16:creationId xmlns:a16="http://schemas.microsoft.com/office/drawing/2014/main" id="{B04F5D53-3286-4622-AE96-362E865ED2DF}"/>
                </a:ext>
              </a:extLst>
            </xdr:cNvPr>
            <xdr:cNvSpPr txBox="1"/>
          </xdr:nvSpPr>
          <xdr:spPr>
            <a:xfrm>
              <a:off x="3736967" y="40959105"/>
              <a:ext cx="7750015" cy="274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rgbClr val="FF0000"/>
                  </a:solidFill>
                  <a:latin typeface="Cambria Math" panose="02040503050406030204" pitchFamily="18" charset="0"/>
                  <a:ea typeface="Cambria Math" panose="02040503050406030204" pitchFamily="18" charset="0"/>
                </a:rPr>
                <a:t>∆</a:t>
              </a:r>
              <a:r>
                <a:rPr lang="en-US" sz="1400" b="0" i="0">
                  <a:solidFill>
                    <a:srgbClr val="FF0000"/>
                  </a:solidFill>
                  <a:latin typeface="Cambria Math" panose="02040503050406030204" pitchFamily="18" charset="0"/>
                </a:rPr>
                <a:t>𝑘𝑊</a:t>
              </a:r>
              <a:r>
                <a:rPr lang="en-US" sz="1400" i="0">
                  <a:solidFill>
                    <a:srgbClr val="FF0000"/>
                  </a:solidFill>
                  <a:latin typeface="Cambria Math" panose="02040503050406030204" pitchFamily="18" charset="0"/>
                </a:rPr>
                <a:t>=</a:t>
              </a:r>
              <a:r>
                <a:rPr lang="en-US" sz="1400" b="0" i="0">
                  <a:solidFill>
                    <a:srgbClr val="FF0000"/>
                  </a:solidFill>
                  <a:latin typeface="Cambria Math" panose="02040503050406030204" pitchFamily="18" charset="0"/>
                </a:rPr>
                <a:t> </a:t>
              </a:r>
              <a:r>
                <a:rPr lang="en-US" sz="1400" b="0" i="0">
                  <a:solidFill>
                    <a:srgbClr val="FF0000"/>
                  </a:solidFill>
                  <a:latin typeface="Cambria Math" panose="02040503050406030204" pitchFamily="18" charset="0"/>
                  <a:ea typeface="Cambria Math" panose="02040503050406030204" pitchFamily="18" charset="0"/>
                </a:rPr>
                <a:t>∆𝑘𝑊ℎ 𝑥 𝐶𝐹</a:t>
              </a:r>
              <a:endParaRPr lang="en-US" sz="1400">
                <a:solidFill>
                  <a:srgbClr val="FF0000"/>
                </a:solidFill>
                <a:effectLst/>
              </a:endParaRPr>
            </a:p>
            <a:p>
              <a:pPr algn="l"/>
              <a:endParaRPr lang="en-US" sz="1400">
                <a:solidFill>
                  <a:srgbClr val="FF0000"/>
                </a:solidFill>
              </a:endParaRPr>
            </a:p>
          </xdr:txBody>
        </xdr:sp>
      </mc:Fallback>
    </mc:AlternateContent>
    <xdr:clientData/>
  </xdr:twoCellAnchor>
  <xdr:twoCellAnchor>
    <xdr:from>
      <xdr:col>4</xdr:col>
      <xdr:colOff>0</xdr:colOff>
      <xdr:row>465</xdr:row>
      <xdr:rowOff>83819</xdr:rowOff>
    </xdr:from>
    <xdr:to>
      <xdr:col>4</xdr:col>
      <xdr:colOff>3829745</xdr:colOff>
      <xdr:row>467</xdr:row>
      <xdr:rowOff>57149</xdr:rowOff>
    </xdr:to>
    <mc:AlternateContent xmlns:mc="http://schemas.openxmlformats.org/markup-compatibility/2006" xmlns:a14="http://schemas.microsoft.com/office/drawing/2010/main">
      <mc:Choice Requires="a14">
        <xdr:sp macro="" textlink="">
          <xdr:nvSpPr>
            <xdr:cNvPr id="66" name="TextBox 65">
              <a:extLst>
                <a:ext uri="{FF2B5EF4-FFF2-40B4-BE49-F238E27FC236}">
                  <a16:creationId xmlns:a16="http://schemas.microsoft.com/office/drawing/2014/main" id="{BC8A6992-481A-405F-8576-189527061187}"/>
                </a:ext>
              </a:extLst>
            </xdr:cNvPr>
            <xdr:cNvSpPr txBox="1"/>
          </xdr:nvSpPr>
          <xdr:spPr>
            <a:xfrm>
              <a:off x="3724275" y="40612694"/>
              <a:ext cx="3829745" cy="3352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a:rPr lang="en-US" sz="140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𝑘𝑊h</m:t>
                  </m:r>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𝑇𝑂𝑁𝑆</m:t>
                  </m:r>
                  <m:r>
                    <a:rPr lang="en-US" sz="1400" b="0" i="1">
                      <a:solidFill>
                        <a:srgbClr val="FF0000"/>
                      </a:solidFill>
                      <a:latin typeface="Cambria Math" panose="02040503050406030204" pitchFamily="18" charset="0"/>
                      <a:ea typeface="Cambria Math" panose="02040503050406030204" pitchFamily="18" charset="0"/>
                    </a:rPr>
                    <m:t>∗</m:t>
                  </m:r>
                  <m:d>
                    <m:dPr>
                      <m:ctrlPr>
                        <a:rPr lang="en-US" sz="1400" b="0" i="1">
                          <a:solidFill>
                            <a:srgbClr val="FF0000"/>
                          </a:solidFill>
                          <a:latin typeface="Cambria Math" panose="02040503050406030204" pitchFamily="18" charset="0"/>
                          <a:ea typeface="Cambria Math" panose="02040503050406030204" pitchFamily="18" charset="0"/>
                        </a:rPr>
                      </m:ctrlPr>
                    </m:dPr>
                    <m:e>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𝐼𝑃𝐿𝑉</m:t>
                          </m:r>
                        </m:e>
                        <m:sub>
                          <m:r>
                            <a:rPr lang="en-US" sz="1400" b="0" i="1">
                              <a:solidFill>
                                <a:srgbClr val="FF0000"/>
                              </a:solidFill>
                              <a:latin typeface="Cambria Math" panose="02040503050406030204" pitchFamily="18" charset="0"/>
                              <a:ea typeface="Cambria Math" panose="02040503050406030204" pitchFamily="18" charset="0"/>
                            </a:rPr>
                            <m:t>𝑏𝑎𝑠𝑒</m:t>
                          </m:r>
                        </m:sub>
                      </m:sSub>
                    </m:e>
                  </m:d>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𝐸𝐹𝐿𝐻</m:t>
                  </m:r>
                </m:oMath>
              </a14:m>
              <a:r>
                <a:rPr lang="en-US" sz="1400">
                  <a:solidFill>
                    <a:srgbClr val="FF0000"/>
                  </a:solidFill>
                </a:rPr>
                <a:t> * ESF</a:t>
              </a:r>
            </a:p>
          </xdr:txBody>
        </xdr:sp>
      </mc:Choice>
      <mc:Fallback xmlns="">
        <xdr:sp macro="" textlink="">
          <xdr:nvSpPr>
            <xdr:cNvPr id="66" name="TextBox 65">
              <a:extLst>
                <a:ext uri="{FF2B5EF4-FFF2-40B4-BE49-F238E27FC236}">
                  <a16:creationId xmlns:a16="http://schemas.microsoft.com/office/drawing/2014/main" id="{BC8A6992-481A-405F-8576-189527061187}"/>
                </a:ext>
              </a:extLst>
            </xdr:cNvPr>
            <xdr:cNvSpPr txBox="1"/>
          </xdr:nvSpPr>
          <xdr:spPr>
            <a:xfrm>
              <a:off x="3724275" y="40612694"/>
              <a:ext cx="3829745" cy="3352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i="0">
                  <a:solidFill>
                    <a:srgbClr val="FF0000"/>
                  </a:solidFill>
                  <a:latin typeface="Cambria Math" panose="02040503050406030204" pitchFamily="18" charset="0"/>
                  <a:ea typeface="Cambria Math" panose="02040503050406030204" pitchFamily="18" charset="0"/>
                </a:rPr>
                <a:t>∆</a:t>
              </a:r>
              <a:r>
                <a:rPr lang="en-US" sz="1400" b="0" i="0">
                  <a:solidFill>
                    <a:srgbClr val="FF0000"/>
                  </a:solidFill>
                  <a:latin typeface="Cambria Math" panose="02040503050406030204" pitchFamily="18" charset="0"/>
                  <a:ea typeface="Cambria Math" panose="02040503050406030204" pitchFamily="18" charset="0"/>
                </a:rPr>
                <a:t>𝑘𝑊ℎ=𝑇𝑂𝑁𝑆∗(〖𝐼𝑃𝐿𝑉〗_𝑏𝑎𝑠𝑒 )∗𝐸𝐹𝐿𝐻</a:t>
              </a:r>
              <a:r>
                <a:rPr lang="en-US" sz="1400">
                  <a:solidFill>
                    <a:srgbClr val="FF0000"/>
                  </a:solidFill>
                </a:rPr>
                <a:t> * ESF</a:t>
              </a:r>
            </a:p>
          </xdr:txBody>
        </xdr:sp>
      </mc:Fallback>
    </mc:AlternateContent>
    <xdr:clientData/>
  </xdr:twoCellAnchor>
  <xdr:twoCellAnchor>
    <xdr:from>
      <xdr:col>4</xdr:col>
      <xdr:colOff>0</xdr:colOff>
      <xdr:row>599</xdr:row>
      <xdr:rowOff>0</xdr:rowOff>
    </xdr:from>
    <xdr:to>
      <xdr:col>5</xdr:col>
      <xdr:colOff>564425</xdr:colOff>
      <xdr:row>601</xdr:row>
      <xdr:rowOff>51882</xdr:rowOff>
    </xdr:to>
    <mc:AlternateContent xmlns:mc="http://schemas.openxmlformats.org/markup-compatibility/2006" xmlns:a14="http://schemas.microsoft.com/office/drawing/2010/main">
      <mc:Choice Requires="a14">
        <xdr:sp macro="" textlink="">
          <xdr:nvSpPr>
            <xdr:cNvPr id="149" name="TextBox 148">
              <a:extLst>
                <a:ext uri="{FF2B5EF4-FFF2-40B4-BE49-F238E27FC236}">
                  <a16:creationId xmlns:a16="http://schemas.microsoft.com/office/drawing/2014/main" id="{76817FA5-82BA-4CDE-9404-69183092449A}"/>
                </a:ext>
              </a:extLst>
            </xdr:cNvPr>
            <xdr:cNvSpPr txBox="1"/>
          </xdr:nvSpPr>
          <xdr:spPr>
            <a:xfrm>
              <a:off x="3724275" y="59712225"/>
              <a:ext cx="4460150" cy="4138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rPr>
                      <m:t>𝑘𝑊</m:t>
                    </m:r>
                    <m:r>
                      <a:rPr lang="en-US" sz="1400" i="1">
                        <a:solidFill>
                          <a:srgbClr val="FF0000"/>
                        </a:solidFill>
                        <a:latin typeface="Cambria Math" panose="02040503050406030204" pitchFamily="18" charset="0"/>
                      </a:rPr>
                      <m:t>=</m:t>
                    </m:r>
                    <m:r>
                      <a:rPr lang="en-US" sz="1400" b="0" i="1">
                        <a:solidFill>
                          <a:srgbClr val="FF0000"/>
                        </a:solidFill>
                        <a:latin typeface="Cambria Math" panose="02040503050406030204" pitchFamily="18" charset="0"/>
                      </a:rPr>
                      <m:t> </m:t>
                    </m:r>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𝑘𝑊h</m:t>
                    </m:r>
                    <m:r>
                      <a:rPr lang="en-US" sz="1400" b="0" i="1">
                        <a:solidFill>
                          <a:srgbClr val="FF0000"/>
                        </a:solidFill>
                        <a:latin typeface="Cambria Math" panose="02040503050406030204" pitchFamily="18" charset="0"/>
                        <a:ea typeface="Cambria Math" panose="02040503050406030204" pitchFamily="18" charset="0"/>
                      </a:rPr>
                      <m:t> </m:t>
                    </m:r>
                    <m:r>
                      <a:rPr lang="en-US" sz="1400" b="0" i="1">
                        <a:solidFill>
                          <a:srgbClr val="FF0000"/>
                        </a:solidFill>
                        <a:latin typeface="Cambria Math" panose="02040503050406030204" pitchFamily="18" charset="0"/>
                        <a:ea typeface="Cambria Math" panose="02040503050406030204" pitchFamily="18" charset="0"/>
                      </a:rPr>
                      <m:t>𝑥</m:t>
                    </m:r>
                    <m:r>
                      <a:rPr lang="en-US" sz="1400" b="0" i="1">
                        <a:solidFill>
                          <a:srgbClr val="FF0000"/>
                        </a:solidFill>
                        <a:latin typeface="Cambria Math" panose="02040503050406030204" pitchFamily="18" charset="0"/>
                        <a:ea typeface="Cambria Math" panose="02040503050406030204" pitchFamily="18" charset="0"/>
                      </a:rPr>
                      <m:t> </m:t>
                    </m:r>
                    <m:r>
                      <a:rPr lang="en-US" sz="1400" b="0" i="1">
                        <a:solidFill>
                          <a:srgbClr val="FF0000"/>
                        </a:solidFill>
                        <a:latin typeface="Cambria Math" panose="02040503050406030204" pitchFamily="18" charset="0"/>
                        <a:ea typeface="Cambria Math" panose="02040503050406030204" pitchFamily="18" charset="0"/>
                      </a:rPr>
                      <m:t>𝐶𝐹</m:t>
                    </m:r>
                  </m:oMath>
                </m:oMathPara>
              </a14:m>
              <a:endParaRPr lang="en-US" sz="1400">
                <a:solidFill>
                  <a:srgbClr val="FF0000"/>
                </a:solidFill>
                <a:effectLst/>
              </a:endParaRPr>
            </a:p>
            <a:p>
              <a:pPr algn="l"/>
              <a:endParaRPr lang="en-US" sz="1400">
                <a:solidFill>
                  <a:srgbClr val="FF0000"/>
                </a:solidFill>
              </a:endParaRPr>
            </a:p>
          </xdr:txBody>
        </xdr:sp>
      </mc:Choice>
      <mc:Fallback xmlns="">
        <xdr:sp macro="" textlink="">
          <xdr:nvSpPr>
            <xdr:cNvPr id="149" name="TextBox 148">
              <a:extLst>
                <a:ext uri="{FF2B5EF4-FFF2-40B4-BE49-F238E27FC236}">
                  <a16:creationId xmlns:a16="http://schemas.microsoft.com/office/drawing/2014/main" id="{76817FA5-82BA-4CDE-9404-69183092449A}"/>
                </a:ext>
              </a:extLst>
            </xdr:cNvPr>
            <xdr:cNvSpPr txBox="1"/>
          </xdr:nvSpPr>
          <xdr:spPr>
            <a:xfrm>
              <a:off x="3724275" y="59712225"/>
              <a:ext cx="4460150" cy="4138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rgbClr val="FF0000"/>
                  </a:solidFill>
                  <a:latin typeface="Cambria Math" panose="02040503050406030204" pitchFamily="18" charset="0"/>
                  <a:ea typeface="Cambria Math" panose="02040503050406030204" pitchFamily="18" charset="0"/>
                </a:rPr>
                <a:t>∆</a:t>
              </a:r>
              <a:r>
                <a:rPr lang="en-US" sz="1400" b="0" i="0">
                  <a:solidFill>
                    <a:srgbClr val="FF0000"/>
                  </a:solidFill>
                  <a:latin typeface="Cambria Math" panose="02040503050406030204" pitchFamily="18" charset="0"/>
                </a:rPr>
                <a:t>𝑘𝑊</a:t>
              </a:r>
              <a:r>
                <a:rPr lang="en-US" sz="1400" i="0">
                  <a:solidFill>
                    <a:srgbClr val="FF0000"/>
                  </a:solidFill>
                  <a:latin typeface="Cambria Math" panose="02040503050406030204" pitchFamily="18" charset="0"/>
                </a:rPr>
                <a:t>=</a:t>
              </a:r>
              <a:r>
                <a:rPr lang="en-US" sz="1400" b="0" i="0">
                  <a:solidFill>
                    <a:srgbClr val="FF0000"/>
                  </a:solidFill>
                  <a:latin typeface="Cambria Math" panose="02040503050406030204" pitchFamily="18" charset="0"/>
                </a:rPr>
                <a:t> </a:t>
              </a:r>
              <a:r>
                <a:rPr lang="en-US" sz="1400" b="0" i="0">
                  <a:solidFill>
                    <a:srgbClr val="FF0000"/>
                  </a:solidFill>
                  <a:latin typeface="Cambria Math" panose="02040503050406030204" pitchFamily="18" charset="0"/>
                  <a:ea typeface="Cambria Math" panose="02040503050406030204" pitchFamily="18" charset="0"/>
                </a:rPr>
                <a:t>∆𝑘𝑊ℎ 𝑥 𝐶𝐹</a:t>
              </a:r>
              <a:endParaRPr lang="en-US" sz="1400">
                <a:solidFill>
                  <a:srgbClr val="FF0000"/>
                </a:solidFill>
                <a:effectLst/>
              </a:endParaRPr>
            </a:p>
            <a:p>
              <a:pPr algn="l"/>
              <a:endParaRPr lang="en-US" sz="1400">
                <a:solidFill>
                  <a:srgbClr val="FF0000"/>
                </a:solidFill>
              </a:endParaRPr>
            </a:p>
          </xdr:txBody>
        </xdr:sp>
      </mc:Fallback>
    </mc:AlternateContent>
    <xdr:clientData/>
  </xdr:twoCellAnchor>
  <xdr:twoCellAnchor>
    <xdr:from>
      <xdr:col>3</xdr:col>
      <xdr:colOff>1685924</xdr:colOff>
      <xdr:row>596</xdr:row>
      <xdr:rowOff>142874</xdr:rowOff>
    </xdr:from>
    <xdr:to>
      <xdr:col>6</xdr:col>
      <xdr:colOff>911678</xdr:colOff>
      <xdr:row>598</xdr:row>
      <xdr:rowOff>135819</xdr:rowOff>
    </xdr:to>
    <mc:AlternateContent xmlns:mc="http://schemas.openxmlformats.org/markup-compatibility/2006" xmlns:a14="http://schemas.microsoft.com/office/drawing/2010/main">
      <mc:Choice Requires="a14">
        <xdr:sp macro="" textlink="">
          <xdr:nvSpPr>
            <xdr:cNvPr id="151" name="TextBox 150">
              <a:extLst>
                <a:ext uri="{FF2B5EF4-FFF2-40B4-BE49-F238E27FC236}">
                  <a16:creationId xmlns:a16="http://schemas.microsoft.com/office/drawing/2014/main" id="{B2477628-5BB5-4189-B5F9-C8F9E10479AE}"/>
                </a:ext>
              </a:extLst>
            </xdr:cNvPr>
            <xdr:cNvSpPr txBox="1"/>
          </xdr:nvSpPr>
          <xdr:spPr>
            <a:xfrm flipH="1">
              <a:off x="3724274" y="52254149"/>
              <a:ext cx="6150429" cy="3548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𝑘𝑊h</m:t>
                    </m:r>
                    <m:r>
                      <a:rPr lang="en-US" sz="1400" b="0" i="1">
                        <a:solidFill>
                          <a:srgbClr val="FF0000"/>
                        </a:solidFill>
                        <a:latin typeface="Cambria Math" panose="02040503050406030204" pitchFamily="18" charset="0"/>
                        <a:ea typeface="Cambria Math" panose="02040503050406030204" pitchFamily="18" charset="0"/>
                      </a:rPr>
                      <m:t>=</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𝐶𝐹𝑀</m:t>
                        </m:r>
                      </m:e>
                      <m:sub>
                        <m:r>
                          <a:rPr lang="en-US" sz="1400" b="0" i="1">
                            <a:solidFill>
                              <a:srgbClr val="FF0000"/>
                            </a:solidFill>
                            <a:latin typeface="Cambria Math" panose="02040503050406030204" pitchFamily="18" charset="0"/>
                            <a:ea typeface="Cambria Math" panose="02040503050406030204" pitchFamily="18" charset="0"/>
                          </a:rPr>
                          <m:t>𝑟𝑒𝑑𝑢𝑐𝑒𝑑</m:t>
                        </m:r>
                      </m:sub>
                    </m:sSub>
                    <m:r>
                      <a:rPr lang="en-US" sz="1400" b="0" i="1">
                        <a:solidFill>
                          <a:srgbClr val="FF0000"/>
                        </a:solidFill>
                        <a:latin typeface="Cambria Math" panose="02040503050406030204" pitchFamily="18" charset="0"/>
                        <a:ea typeface="Cambria Math" panose="02040503050406030204" pitchFamily="18" charset="0"/>
                      </a:rPr>
                      <m:t>∗</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𝑘𝑊</m:t>
                        </m:r>
                      </m:e>
                      <m:sub>
                        <m:r>
                          <a:rPr lang="en-US" sz="1400" b="0" i="1">
                            <a:solidFill>
                              <a:srgbClr val="FF0000"/>
                            </a:solidFill>
                            <a:latin typeface="Cambria Math" panose="02040503050406030204" pitchFamily="18" charset="0"/>
                            <a:ea typeface="Cambria Math" panose="02040503050406030204" pitchFamily="18" charset="0"/>
                          </a:rPr>
                          <m:t>𝐶𝐹𝑀</m:t>
                        </m:r>
                      </m:sub>
                    </m:sSub>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𝐻𝑜𝑢𝑟𝑠</m:t>
                    </m:r>
                  </m:oMath>
                </m:oMathPara>
              </a14:m>
              <a:endParaRPr lang="en-US" sz="1100">
                <a:solidFill>
                  <a:srgbClr val="FF0000"/>
                </a:solidFill>
              </a:endParaRPr>
            </a:p>
          </xdr:txBody>
        </xdr:sp>
      </mc:Choice>
      <mc:Fallback xmlns="">
        <xdr:sp macro="" textlink="">
          <xdr:nvSpPr>
            <xdr:cNvPr id="151" name="TextBox 150">
              <a:extLst>
                <a:ext uri="{FF2B5EF4-FFF2-40B4-BE49-F238E27FC236}">
                  <a16:creationId xmlns:a16="http://schemas.microsoft.com/office/drawing/2014/main" id="{B2477628-5BB5-4189-B5F9-C8F9E10479AE}"/>
                </a:ext>
              </a:extLst>
            </xdr:cNvPr>
            <xdr:cNvSpPr txBox="1"/>
          </xdr:nvSpPr>
          <xdr:spPr>
            <a:xfrm flipH="1">
              <a:off x="3724274" y="52254149"/>
              <a:ext cx="6150429" cy="3548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rgbClr val="FF0000"/>
                  </a:solidFill>
                  <a:latin typeface="Cambria Math" panose="02040503050406030204" pitchFamily="18" charset="0"/>
                  <a:ea typeface="Cambria Math" panose="02040503050406030204" pitchFamily="18" charset="0"/>
                </a:rPr>
                <a:t>∆</a:t>
              </a:r>
              <a:r>
                <a:rPr lang="en-US" sz="1400" b="0" i="0">
                  <a:solidFill>
                    <a:srgbClr val="FF0000"/>
                  </a:solidFill>
                  <a:latin typeface="Cambria Math" panose="02040503050406030204" pitchFamily="18" charset="0"/>
                  <a:ea typeface="Cambria Math" panose="02040503050406030204" pitchFamily="18" charset="0"/>
                </a:rPr>
                <a:t>𝑘𝑊ℎ=〖𝐶𝐹𝑀〗_𝑟𝑒𝑑𝑢𝑐𝑒𝑑∗〖𝑘𝑊〗_𝐶𝐹𝑀∗𝐻𝑜𝑢𝑟𝑠</a:t>
              </a:r>
              <a:endParaRPr lang="en-US" sz="1100">
                <a:solidFill>
                  <a:srgbClr val="FF0000"/>
                </a:solidFill>
              </a:endParaRP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4</xdr:col>
      <xdr:colOff>517071</xdr:colOff>
      <xdr:row>38</xdr:row>
      <xdr:rowOff>1362</xdr:rowOff>
    </xdr:from>
    <xdr:to>
      <xdr:col>5</xdr:col>
      <xdr:colOff>4792436</xdr:colOff>
      <xdr:row>39</xdr:row>
      <xdr:rowOff>149679</xdr:rowOff>
    </xdr:to>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3823607" y="7743826"/>
              <a:ext cx="9282793" cy="33881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3823607" y="7743826"/>
              <a:ext cx="9282793" cy="33881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∆〖𝑘𝑊ℎ〗_𝑁𝑅𝐸𝑆</a:t>
              </a:r>
              <a:r>
                <a:rPr lang="en-US" sz="16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4</xdr:col>
      <xdr:colOff>536121</xdr:colOff>
      <xdr:row>40</xdr:row>
      <xdr:rowOff>39461</xdr:rowOff>
    </xdr:from>
    <xdr:to>
      <xdr:col>4</xdr:col>
      <xdr:colOff>2281792</xdr:colOff>
      <xdr:row>41</xdr:row>
      <xdr:rowOff>99414</xdr:rowOff>
    </xdr:to>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3842657" y="8162925"/>
              <a:ext cx="174567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3842657" y="8162925"/>
              <a:ext cx="174567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798511</xdr:colOff>
      <xdr:row>34</xdr:row>
      <xdr:rowOff>19050</xdr:rowOff>
    </xdr:from>
    <xdr:to>
      <xdr:col>4</xdr:col>
      <xdr:colOff>4413251</xdr:colOff>
      <xdr:row>35</xdr:row>
      <xdr:rowOff>79003</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4094161" y="6610350"/>
              <a:ext cx="3614740"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 ∆</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4" name="TextBox 3">
              <a:extLst>
                <a:ext uri="{FF2B5EF4-FFF2-40B4-BE49-F238E27FC236}">
                  <a16:creationId xmlns:a16="http://schemas.microsoft.com/office/drawing/2014/main" id="{3C3526A8-0A98-4B4C-9A87-B6CAFC271A86}"/>
                </a:ext>
              </a:extLst>
            </xdr:cNvPr>
            <xdr:cNvSpPr txBox="1"/>
          </xdr:nvSpPr>
          <xdr:spPr>
            <a:xfrm>
              <a:off x="4094161" y="6610350"/>
              <a:ext cx="3614740"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4</xdr:col>
      <xdr:colOff>381000</xdr:colOff>
      <xdr:row>36</xdr:row>
      <xdr:rowOff>15876</xdr:rowOff>
    </xdr:from>
    <xdr:to>
      <xdr:col>5</xdr:col>
      <xdr:colOff>4082144</xdr:colOff>
      <xdr:row>37</xdr:row>
      <xdr:rowOff>149680</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00000000-0008-0000-0300-000005000000}"/>
                </a:ext>
              </a:extLst>
            </xdr:cNvPr>
            <xdr:cNvSpPr txBox="1"/>
          </xdr:nvSpPr>
          <xdr:spPr>
            <a:xfrm>
              <a:off x="3687536" y="7377340"/>
              <a:ext cx="8708572" cy="32430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 name="TextBox 4">
              <a:extLst>
                <a:ext uri="{FF2B5EF4-FFF2-40B4-BE49-F238E27FC236}">
                  <a16:creationId xmlns:a16="http://schemas.microsoft.com/office/drawing/2014/main" id="{00000000-0008-0000-0300-000005000000}"/>
                </a:ext>
              </a:extLst>
            </xdr:cNvPr>
            <xdr:cNvSpPr txBox="1"/>
          </xdr:nvSpPr>
          <xdr:spPr>
            <a:xfrm>
              <a:off x="3687536" y="7377340"/>
              <a:ext cx="8708572" cy="32430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∆〖𝑘𝑊ℎ〗_𝑅𝐸𝑆</a:t>
              </a:r>
              <a:r>
                <a:rPr lang="en-US" sz="16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oneCellAnchor>
    <xdr:from>
      <xdr:col>26</xdr:col>
      <xdr:colOff>2269331</xdr:colOff>
      <xdr:row>3</xdr:row>
      <xdr:rowOff>0</xdr:rowOff>
    </xdr:from>
    <xdr:ext cx="65" cy="172227"/>
    <xdr:sp macro="" textlink="">
      <xdr:nvSpPr>
        <xdr:cNvPr id="8" name="TextBox 7">
          <a:extLst>
            <a:ext uri="{FF2B5EF4-FFF2-40B4-BE49-F238E27FC236}">
              <a16:creationId xmlns:a16="http://schemas.microsoft.com/office/drawing/2014/main" id="{00000000-0008-0000-0300-000008000000}"/>
            </a:ext>
          </a:extLst>
        </xdr:cNvPr>
        <xdr:cNvSpPr txBox="1"/>
      </xdr:nvSpPr>
      <xdr:spPr>
        <a:xfrm>
          <a:off x="3202543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9" name="TextBox 8">
          <a:extLst>
            <a:ext uri="{FF2B5EF4-FFF2-40B4-BE49-F238E27FC236}">
              <a16:creationId xmlns:a16="http://schemas.microsoft.com/office/drawing/2014/main" id="{00000000-0008-0000-0300-000009000000}"/>
            </a:ext>
          </a:extLst>
        </xdr:cNvPr>
        <xdr:cNvSpPr txBox="1"/>
      </xdr:nvSpPr>
      <xdr:spPr>
        <a:xfrm>
          <a:off x="3202543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3</xdr:col>
      <xdr:colOff>816654</xdr:colOff>
      <xdr:row>82</xdr:row>
      <xdr:rowOff>101572</xdr:rowOff>
    </xdr:from>
    <xdr:to>
      <xdr:col>12</xdr:col>
      <xdr:colOff>0</xdr:colOff>
      <xdr:row>96</xdr:row>
      <xdr:rowOff>20731</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D4101389-98FE-4AF9-AE45-9164BC188F3E}"/>
                </a:ext>
              </a:extLst>
            </xdr:cNvPr>
            <xdr:cNvSpPr txBox="1"/>
          </xdr:nvSpPr>
          <xdr:spPr>
            <a:xfrm>
              <a:off x="3416419" y="7665543"/>
              <a:ext cx="14625052" cy="32361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n-US" sz="160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𝑘𝑊h</m:t>
                    </m:r>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h𝑒𝑎𝑡𝑖𝑛𝑔</m:t>
                        </m:r>
                      </m:sub>
                    </m:sSub>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sSub>
                      <m:sSubPr>
                        <m:ctrlPr>
                          <a:rPr lang="en-US" sz="1600" b="0" i="1">
                            <a:solidFill>
                              <a:sysClr val="windowText" lastClr="000000"/>
                            </a:solidFill>
                            <a:latin typeface="Cambria Math" panose="02040503050406030204" pitchFamily="18" charset="0"/>
                          </a:rPr>
                        </m:ctrlPr>
                      </m:sSubPr>
                      <m:e>
                        <m:r>
                          <m:rPr>
                            <m:sty m:val="p"/>
                          </m:rPr>
                          <a:rPr lang="en-US" sz="1600" b="0" i="0">
                            <a:solidFill>
                              <a:sysClr val="windowText" lastClr="000000"/>
                            </a:solidFill>
                            <a:latin typeface="Cambria Math" panose="02040503050406030204" pitchFamily="18" charset="0"/>
                          </a:rPr>
                          <m:t>kWh</m:t>
                        </m:r>
                      </m:e>
                      <m:sub>
                        <m:r>
                          <m:rPr>
                            <m:sty m:val="p"/>
                          </m:rPr>
                          <a:rPr lang="en-US" sz="1600" b="0" i="0">
                            <a:solidFill>
                              <a:sysClr val="windowText" lastClr="000000"/>
                            </a:solidFill>
                            <a:latin typeface="Cambria Math" panose="02040503050406030204" pitchFamily="18" charset="0"/>
                          </a:rPr>
                          <m:t>cooling</m:t>
                        </m:r>
                      </m:sub>
                    </m:sSub>
                  </m:oMath>
                </m:oMathPara>
              </a14:m>
              <a:endParaRPr lang="en-US" sz="1600" b="0">
                <a:solidFill>
                  <a:sysClr val="windowText" lastClr="000000"/>
                </a:solidFill>
              </a:endParaRPr>
            </a:p>
          </xdr:txBody>
        </xdr:sp>
      </mc:Choice>
      <mc:Fallback xmlns="">
        <xdr:sp macro="" textlink="">
          <xdr:nvSpPr>
            <xdr:cNvPr id="46" name="TextBox 45">
              <a:extLst>
                <a:ext uri="{FF2B5EF4-FFF2-40B4-BE49-F238E27FC236}">
                  <a16:creationId xmlns:a16="http://schemas.microsoft.com/office/drawing/2014/main" id="{D4101389-98FE-4AF9-AE45-9164BC188F3E}"/>
                </a:ext>
              </a:extLst>
            </xdr:cNvPr>
            <xdr:cNvSpPr txBox="1"/>
          </xdr:nvSpPr>
          <xdr:spPr>
            <a:xfrm>
              <a:off x="3416419" y="7665543"/>
              <a:ext cx="14625052" cy="32361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ysClr val="windowText" lastClr="000000"/>
                  </a:solidFill>
                  <a:latin typeface="Cambria Math" panose="02040503050406030204" pitchFamily="18" charset="0"/>
                </a:rPr>
                <a:t>Δ</a:t>
              </a:r>
              <a:r>
                <a:rPr lang="en-US" sz="1600" b="0" i="0">
                  <a:solidFill>
                    <a:sysClr val="windowText" lastClr="000000"/>
                  </a:solidFill>
                  <a:latin typeface="Cambria Math" panose="02040503050406030204" pitchFamily="18" charset="0"/>
                </a:rPr>
                <a:t>𝑘𝑊ℎ=Δ𝑘𝑊ℎ_ℎ𝑒𝑎𝑡𝑖𝑛𝑔+ΔkWh_cooling</a:t>
              </a:r>
              <a:endParaRPr lang="en-US" sz="1600" b="0">
                <a:solidFill>
                  <a:sysClr val="windowText" lastClr="000000"/>
                </a:solidFill>
              </a:endParaRPr>
            </a:p>
          </xdr:txBody>
        </xdr:sp>
      </mc:Fallback>
    </mc:AlternateContent>
    <xdr:clientData/>
  </xdr:twoCellAnchor>
  <xdr:twoCellAnchor>
    <xdr:from>
      <xdr:col>3</xdr:col>
      <xdr:colOff>1571783</xdr:colOff>
      <xdr:row>7</xdr:row>
      <xdr:rowOff>168999</xdr:rowOff>
    </xdr:from>
    <xdr:to>
      <xdr:col>15</xdr:col>
      <xdr:colOff>0</xdr:colOff>
      <xdr:row>24</xdr:row>
      <xdr:rowOff>59838</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4C9F6068-49B5-451B-8DF1-9E792B376A43}"/>
                </a:ext>
                <a:ext uri="{147F2762-F138-4A5C-976F-8EAC2B608ADB}">
                  <a16:predDERef xmlns:a16="http://schemas.microsoft.com/office/drawing/2014/main" pred="{81B71F05-C5D3-4C35-B4EE-96DE281A87C5}"/>
                </a:ext>
              </a:extLst>
            </xdr:cNvPr>
            <xdr:cNvSpPr txBox="1"/>
          </xdr:nvSpPr>
          <xdr:spPr>
            <a:xfrm>
              <a:off x="4171548" y="2376558"/>
              <a:ext cx="16380040" cy="293883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begChr m:val="["/>
                        <m:endChr m:val="]"/>
                        <m:ctrlPr>
                          <a:rPr lang="en-US" sz="1800" b="0" i="1">
                            <a:solidFill>
                              <a:sysClr val="windowText" lastClr="000000"/>
                            </a:solidFill>
                            <a:latin typeface="Cambria Math" panose="02040503050406030204" pitchFamily="18" charset="0"/>
                          </a:rPr>
                        </m:ctrlPr>
                      </m:dPr>
                      <m:e>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i="1" baseline="0">
                                        <a:solidFill>
                                          <a:sysClr val="windowText" lastClr="000000"/>
                                        </a:solidFill>
                                        <a:effectLst/>
                                        <a:latin typeface="Cambria Math" panose="02040503050406030204" pitchFamily="18" charset="0"/>
                                        <a:ea typeface="+mn-ea"/>
                                        <a:cs typeface="+mn-cs"/>
                                      </a:rPr>
                                    </m:ctrlPr>
                                  </m:dPr>
                                  <m:e>
                                    <m:f>
                                      <m:fPr>
                                        <m:ctrlPr>
                                          <a:rPr lang="en-US" sz="1100" i="1" baseline="0">
                                            <a:solidFill>
                                              <a:sysClr val="windowText" lastClr="000000"/>
                                            </a:solidFill>
                                            <a:effectLst/>
                                            <a:latin typeface="Cambria Math" panose="02040503050406030204" pitchFamily="18" charset="0"/>
                                            <a:ea typeface="+mn-ea"/>
                                            <a:cs typeface="+mn-cs"/>
                                          </a:rPr>
                                        </m:ctrlPr>
                                      </m:fPr>
                                      <m:num>
                                        <m:r>
                                          <a:rPr lang="en-US" sz="1100" b="0" i="1" baseline="0">
                                            <a:solidFill>
                                              <a:sysClr val="windowText" lastClr="000000"/>
                                            </a:solidFill>
                                            <a:effectLst/>
                                            <a:latin typeface="Cambria Math" panose="02040503050406030204" pitchFamily="18" charset="0"/>
                                            <a:ea typeface="+mn-ea"/>
                                            <a:cs typeface="+mn-cs"/>
                                          </a:rPr>
                                          <m:t>1</m:t>
                                        </m:r>
                                      </m:num>
                                      <m:den>
                                        <m:sSub>
                                          <m:sSubPr>
                                            <m:ctrlPr>
                                              <a:rPr lang="en-US" sz="110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𝐸𝐹</m:t>
                                            </m:r>
                                          </m:e>
                                          <m:sub>
                                            <m:r>
                                              <a:rPr lang="en-US" sz="1100" b="0" i="1" baseline="0">
                                                <a:solidFill>
                                                  <a:sysClr val="windowText" lastClr="000000"/>
                                                </a:solidFill>
                                                <a:effectLst/>
                                                <a:latin typeface="Cambria Math" panose="02040503050406030204" pitchFamily="18" charset="0"/>
                                                <a:ea typeface="+mn-ea"/>
                                                <a:cs typeface="+mn-cs"/>
                                              </a:rPr>
                                              <m:t>𝐵𝐴𝑆𝐸</m:t>
                                            </m:r>
                                          </m:sub>
                                        </m:sSub>
                                      </m:den>
                                    </m:f>
                                    <m:r>
                                      <a:rPr lang="en-US" sz="1100" b="0" i="1" baseline="0">
                                        <a:solidFill>
                                          <a:sysClr val="windowText" lastClr="000000"/>
                                        </a:solidFill>
                                        <a:effectLst/>
                                        <a:latin typeface="Cambria Math" panose="02040503050406030204" pitchFamily="18" charset="0"/>
                                        <a:ea typeface="+mn-ea"/>
                                        <a:cs typeface="+mn-cs"/>
                                      </a:rPr>
                                      <m:t>−</m:t>
                                    </m:r>
                                    <m:f>
                                      <m:fPr>
                                        <m:ctrlPr>
                                          <a:rPr lang="en-US" sz="1100" b="0" i="1" baseline="0">
                                            <a:solidFill>
                                              <a:sysClr val="windowText" lastClr="000000"/>
                                            </a:solidFill>
                                            <a:effectLst/>
                                            <a:latin typeface="Cambria Math" panose="02040503050406030204" pitchFamily="18" charset="0"/>
                                            <a:ea typeface="+mn-ea"/>
                                            <a:cs typeface="+mn-cs"/>
                                          </a:rPr>
                                        </m:ctrlPr>
                                      </m:fPr>
                                      <m:num>
                                        <m:r>
                                          <a:rPr lang="en-US" sz="1100" b="0" i="1" baseline="0">
                                            <a:solidFill>
                                              <a:sysClr val="windowText" lastClr="000000"/>
                                            </a:solidFill>
                                            <a:effectLst/>
                                            <a:latin typeface="Cambria Math" panose="02040503050406030204" pitchFamily="18" charset="0"/>
                                            <a:ea typeface="+mn-ea"/>
                                            <a:cs typeface="+mn-cs"/>
                                          </a:rPr>
                                          <m:t>1</m:t>
                                        </m:r>
                                      </m:num>
                                      <m:den>
                                        <m:sSub>
                                          <m:sSubPr>
                                            <m:ctrlPr>
                                              <a:rPr lang="en-US" sz="1100" b="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𝐸𝐹</m:t>
                                            </m:r>
                                          </m:e>
                                          <m:sub>
                                            <m:r>
                                              <a:rPr lang="en-US" sz="1100" b="0" i="1" baseline="0">
                                                <a:solidFill>
                                                  <a:sysClr val="windowText" lastClr="000000"/>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𝑇</m:t>
                                        </m:r>
                                      </m:e>
                                      <m:sub>
                                        <m:r>
                                          <a:rPr lang="en-US" sz="1100" b="0" i="1" baseline="0">
                                            <a:solidFill>
                                              <a:sysClr val="windowText" lastClr="000000"/>
                                            </a:solidFill>
                                            <a:effectLst/>
                                            <a:latin typeface="Cambria Math" panose="02040503050406030204" pitchFamily="18" charset="0"/>
                                            <a:ea typeface="+mn-ea"/>
                                            <a:cs typeface="+mn-cs"/>
                                          </a:rPr>
                                          <m:t>𝑖𝑛</m:t>
                                        </m:r>
                                      </m:sub>
                                    </m:sSub>
                                  </m:e>
                                </m:d>
                                <m:r>
                                  <a:rPr lang="en-US" sz="1400" b="0" i="1" baseline="0">
                                    <a:solidFill>
                                      <a:sysClr val="windowText" lastClr="000000"/>
                                    </a:solidFill>
                                    <a:effectLst/>
                                    <a:latin typeface="Cambria Math" panose="02040503050406030204" pitchFamily="18" charset="0"/>
                                    <a:ea typeface="+mn-ea"/>
                                    <a:cs typeface="+mn-cs"/>
                                  </a:rPr>
                                  <m:t>∗1.0</m:t>
                                </m:r>
                              </m:num>
                              <m:den>
                                <m:r>
                                  <a:rPr lang="en-US" sz="1400" b="0" i="1">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𝑘𝑊</m:t>
                        </m:r>
                        <m:sSub>
                          <m:sSubPr>
                            <m:ctrlPr>
                              <a:rPr lang="en-US" sz="1800" b="0" i="1">
                                <a:solidFill>
                                  <a:sysClr val="windowText" lastClr="000000"/>
                                </a:solidFill>
                                <a:latin typeface="Cambria Math" panose="02040503050406030204" pitchFamily="18" charset="0"/>
                              </a:rPr>
                            </m:ctrlPr>
                          </m:sSubPr>
                          <m:e>
                            <m:r>
                              <a:rPr lang="en-US" sz="1800" b="0" i="1">
                                <a:solidFill>
                                  <a:sysClr val="windowText" lastClr="000000"/>
                                </a:solidFill>
                                <a:latin typeface="Cambria Math" panose="02040503050406030204" pitchFamily="18" charset="0"/>
                              </a:rPr>
                              <m:t>h</m:t>
                            </m:r>
                          </m:e>
                          <m:sub>
                            <m:r>
                              <a:rPr lang="en-US" sz="1800" b="0" i="1">
                                <a:solidFill>
                                  <a:sysClr val="windowText" lastClr="000000"/>
                                </a:solidFill>
                                <a:latin typeface="Cambria Math" panose="02040503050406030204" pitchFamily="18" charset="0"/>
                              </a:rPr>
                              <m:t>𝑐𝑜𝑜𝑙</m:t>
                            </m:r>
                          </m:sub>
                        </m:sSub>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𝑘𝑊</m:t>
                        </m:r>
                        <m:sSub>
                          <m:sSubPr>
                            <m:ctrlPr>
                              <a:rPr lang="en-US" sz="1800" b="0" i="1">
                                <a:solidFill>
                                  <a:sysClr val="windowText" lastClr="000000"/>
                                </a:solidFill>
                                <a:latin typeface="Cambria Math" panose="02040503050406030204" pitchFamily="18" charset="0"/>
                              </a:rPr>
                            </m:ctrlPr>
                          </m:sSubPr>
                          <m:e>
                            <m:r>
                              <a:rPr lang="en-US" sz="1800" b="0" i="1">
                                <a:solidFill>
                                  <a:sysClr val="windowText" lastClr="000000"/>
                                </a:solidFill>
                                <a:latin typeface="Cambria Math" panose="02040503050406030204" pitchFamily="18" charset="0"/>
                              </a:rPr>
                              <m:t>h</m:t>
                            </m:r>
                          </m:e>
                          <m:sub>
                            <m:r>
                              <a:rPr lang="en-US" sz="1800" b="0" i="1">
                                <a:solidFill>
                                  <a:sysClr val="windowText" lastClr="000000"/>
                                </a:solidFill>
                                <a:latin typeface="Cambria Math" panose="02040503050406030204" pitchFamily="18" charset="0"/>
                              </a:rPr>
                              <m:t>h𝑒𝑎𝑡</m:t>
                            </m:r>
                          </m:sub>
                        </m:sSub>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𝐼𝑆𝑅</m:t>
                    </m:r>
                  </m:oMath>
                </m:oMathPara>
              </a14:m>
              <a:endParaRPr lang="en-US" sz="1100" i="0">
                <a:solidFill>
                  <a:sysClr val="windowText" lastClr="000000"/>
                </a:solidFill>
              </a:endParaRPr>
            </a:p>
          </xdr:txBody>
        </xdr:sp>
      </mc:Choice>
      <mc:Fallback xmlns="">
        <xdr:sp macro="" textlink="">
          <xdr:nvSpPr>
            <xdr:cNvPr id="41" name="TextBox 40">
              <a:extLst>
                <a:ext uri="{FF2B5EF4-FFF2-40B4-BE49-F238E27FC236}">
                  <a16:creationId xmlns:a16="http://schemas.microsoft.com/office/drawing/2014/main" id="{4C9F6068-49B5-451B-8DF1-9E792B376A43}"/>
                </a:ext>
                <a:ext uri="{147F2762-F138-4A5C-976F-8EAC2B608ADB}">
                  <a16:predDERef xmlns:a16="http://schemas.microsoft.com/office/drawing/2014/main" pred="{81B71F05-C5D3-4C35-B4EE-96DE281A87C5}"/>
                </a:ext>
              </a:extLst>
            </xdr:cNvPr>
            <xdr:cNvSpPr txBox="1"/>
          </xdr:nvSpPr>
          <xdr:spPr>
            <a:xfrm>
              <a:off x="4171548" y="2376558"/>
              <a:ext cx="16380040" cy="293883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800" b="0" i="0">
                  <a:solidFill>
                    <a:sysClr val="windowText" lastClr="000000"/>
                  </a:solidFill>
                  <a:latin typeface="Cambria Math" panose="02040503050406030204" pitchFamily="18" charset="0"/>
                </a:rPr>
                <a:t>[(</a:t>
              </a:r>
              <a:r>
                <a:rPr lang="en-US" sz="1400" b="0" i="0" baseline="0">
                  <a:solidFill>
                    <a:sysClr val="windowText" lastClr="000000"/>
                  </a:solidFill>
                  <a:effectLst/>
                  <a:latin typeface="Cambria Math" panose="02040503050406030204" pitchFamily="18" charset="0"/>
                  <a:ea typeface="+mn-ea"/>
                  <a:cs typeface="+mn-cs"/>
                </a:rPr>
                <a:t>((</a:t>
              </a:r>
              <a:r>
                <a:rPr lang="en-US" sz="1100" b="0" i="0" baseline="0">
                  <a:solidFill>
                    <a:sysClr val="windowText" lastClr="000000"/>
                  </a:solidFill>
                  <a:effectLst/>
                  <a:latin typeface="Cambria Math" panose="02040503050406030204" pitchFamily="18" charset="0"/>
                  <a:ea typeface="+mn-ea"/>
                  <a:cs typeface="+mn-cs"/>
                </a:rPr>
                <a:t>1/〖𝐸𝐹〗_𝐵𝐴𝑆𝐸 −1/〖𝐸𝐹〗_𝐸𝐸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ysClr val="windowText" lastClr="000000"/>
                  </a:solidFill>
                  <a:effectLst/>
                  <a:latin typeface="Cambria Math" panose="02040503050406030204" pitchFamily="18" charset="0"/>
                  <a:ea typeface="+mn-ea"/>
                  <a:cs typeface="+mn-cs"/>
                </a:rPr>
                <a:t>𝑇_𝑖𝑛 )</a:t>
              </a:r>
              <a:r>
                <a:rPr lang="en-US" sz="1400" b="0" i="0" baseline="0">
                  <a:solidFill>
                    <a:sysClr val="windowText" lastClr="000000"/>
                  </a:solidFill>
                  <a:effectLst/>
                  <a:latin typeface="Cambria Math" panose="02040503050406030204" pitchFamily="18" charset="0"/>
                  <a:ea typeface="+mn-ea"/>
                  <a:cs typeface="+mn-cs"/>
                </a:rPr>
                <a:t>∗1.0)/</a:t>
              </a:r>
              <a:r>
                <a:rPr lang="en-US" sz="1400" b="0" i="0">
                  <a:solidFill>
                    <a:sysClr val="windowText" lastClr="000000"/>
                  </a:solidFill>
                  <a:effectLst/>
                  <a:latin typeface="Cambria Math" panose="02040503050406030204" pitchFamily="18" charset="0"/>
                  <a:ea typeface="+mn-ea"/>
                  <a:cs typeface="+mn-cs"/>
                </a:rPr>
                <a:t>3412)</a:t>
              </a:r>
              <a:r>
                <a:rPr lang="en-US" sz="1800" b="0" i="0">
                  <a:solidFill>
                    <a:sysClr val="windowText" lastClr="000000"/>
                  </a:solidFill>
                  <a:latin typeface="Cambria Math" panose="02040503050406030204" pitchFamily="18" charset="0"/>
                </a:rPr>
                <a:t>+𝑘𝑊ℎ_𝑐𝑜𝑜𝑙−𝑘𝑊ℎ_ℎ𝑒𝑎𝑡 ]∗𝐼𝑆𝑅</a:t>
              </a:r>
              <a:endParaRPr lang="en-US" sz="1100" i="0">
                <a:solidFill>
                  <a:sysClr val="windowText" lastClr="000000"/>
                </a:solidFill>
              </a:endParaRPr>
            </a:p>
          </xdr:txBody>
        </xdr:sp>
      </mc:Fallback>
    </mc:AlternateContent>
    <xdr:clientData/>
  </xdr:twoCellAnchor>
  <xdr:oneCellAnchor>
    <xdr:from>
      <xdr:col>6</xdr:col>
      <xdr:colOff>2269331</xdr:colOff>
      <xdr:row>53</xdr:row>
      <xdr:rowOff>0</xdr:rowOff>
    </xdr:from>
    <xdr:ext cx="65" cy="172227"/>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4269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53</xdr:row>
      <xdr:rowOff>0</xdr:rowOff>
    </xdr:from>
    <xdr:ext cx="65" cy="172227"/>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4269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216</xdr:row>
      <xdr:rowOff>0</xdr:rowOff>
    </xdr:from>
    <xdr:ext cx="65" cy="172227"/>
    <xdr:sp macro="" textlink="">
      <xdr:nvSpPr>
        <xdr:cNvPr id="4" name="TextBox 3">
          <a:extLst>
            <a:ext uri="{FF2B5EF4-FFF2-40B4-BE49-F238E27FC236}">
              <a16:creationId xmlns:a16="http://schemas.microsoft.com/office/drawing/2014/main" id="{00000000-0008-0000-0400-000004000000}"/>
            </a:ext>
          </a:extLst>
        </xdr:cNvPr>
        <xdr:cNvSpPr txBox="1"/>
      </xdr:nvSpPr>
      <xdr:spPr>
        <a:xfrm>
          <a:off x="4269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216</xdr:row>
      <xdr:rowOff>0</xdr:rowOff>
    </xdr:from>
    <xdr:ext cx="65" cy="172227"/>
    <xdr:sp macro="" textlink="">
      <xdr:nvSpPr>
        <xdr:cNvPr id="5" name="TextBox 4">
          <a:extLst>
            <a:ext uri="{FF2B5EF4-FFF2-40B4-BE49-F238E27FC236}">
              <a16:creationId xmlns:a16="http://schemas.microsoft.com/office/drawing/2014/main" id="{00000000-0008-0000-0400-000005000000}"/>
            </a:ext>
          </a:extLst>
        </xdr:cNvPr>
        <xdr:cNvSpPr txBox="1"/>
      </xdr:nvSpPr>
      <xdr:spPr>
        <a:xfrm>
          <a:off x="4269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2070476</xdr:colOff>
      <xdr:row>12</xdr:row>
      <xdr:rowOff>39309</xdr:rowOff>
    </xdr:from>
    <xdr:to>
      <xdr:col>11</xdr:col>
      <xdr:colOff>230103</xdr:colOff>
      <xdr:row>17</xdr:row>
      <xdr:rowOff>127362</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00000000-0008-0000-0400-000007000000}"/>
                </a:ext>
                <a:ext uri="{147F2762-F138-4A5C-976F-8EAC2B608ADB}">
                  <a16:predDERef xmlns:a16="http://schemas.microsoft.com/office/drawing/2014/main" pred="{7DCDC9E7-3AB5-4B92-9738-24C80EBBA30D}"/>
                </a:ext>
              </a:extLst>
            </xdr:cNvPr>
            <xdr:cNvSpPr txBox="1"/>
          </xdr:nvSpPr>
          <xdr:spPr>
            <a:xfrm>
              <a:off x="4670241" y="3143338"/>
              <a:ext cx="12604009" cy="98452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𝑘𝑊h</m:t>
                    </m:r>
                    <m:r>
                      <a:rPr lang="en-US" sz="1800" b="0" i="1">
                        <a:solidFill>
                          <a:sysClr val="windowText" lastClr="000000"/>
                        </a:solidFill>
                        <a:effectLst/>
                        <a:latin typeface="Cambria Math" panose="02040503050406030204" pitchFamily="18" charset="0"/>
                        <a:ea typeface="+mn-ea"/>
                        <a:cs typeface="+mn-cs"/>
                      </a:rPr>
                      <m:t>_</m:t>
                    </m:r>
                    <m:r>
                      <a:rPr lang="en-US" sz="1800" b="0" i="1">
                        <a:solidFill>
                          <a:sysClr val="windowText" lastClr="000000"/>
                        </a:solidFill>
                        <a:effectLst/>
                        <a:latin typeface="Cambria Math" panose="02040503050406030204" pitchFamily="18" charset="0"/>
                        <a:ea typeface="+mn-ea"/>
                        <a:cs typeface="+mn-cs"/>
                      </a:rPr>
                      <m:t>𝑐𝑜𝑜𝑙</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b="0" i="1" baseline="0">
                                    <a:solidFill>
                                      <a:sysClr val="windowText" lastClr="000000"/>
                                    </a:solidFill>
                                    <a:effectLst/>
                                    <a:latin typeface="Cambria Math" panose="02040503050406030204" pitchFamily="18" charset="0"/>
                                    <a:ea typeface="+mn-ea"/>
                                    <a:cs typeface="+mn-cs"/>
                                  </a:rPr>
                                </m:ctrlPr>
                              </m:dPr>
                              <m:e>
                                <m:d>
                                  <m:dPr>
                                    <m:ctrlPr>
                                      <a:rPr lang="en-US" sz="1400" i="1" baseline="0">
                                        <a:solidFill>
                                          <a:sysClr val="windowText" lastClr="000000"/>
                                        </a:solidFill>
                                        <a:effectLst/>
                                        <a:latin typeface="Cambria Math" panose="02040503050406030204" pitchFamily="18" charset="0"/>
                                        <a:ea typeface="+mn-ea"/>
                                        <a:cs typeface="+mn-cs"/>
                                      </a:rPr>
                                    </m:ctrlPr>
                                  </m:dPr>
                                  <m:e>
                                    <m:r>
                                      <a:rPr lang="en-US" sz="1100" i="1" baseline="0">
                                        <a:solidFill>
                                          <a:sysClr val="windowText" lastClr="000000"/>
                                        </a:solidFill>
                                        <a:effectLst/>
                                        <a:latin typeface="Cambria Math" panose="02040503050406030204" pitchFamily="18" charset="0"/>
                                        <a:ea typeface="+mn-ea"/>
                                        <a:cs typeface="+mn-cs"/>
                                      </a:rPr>
                                      <m:t>1</m:t>
                                    </m:r>
                                    <m:r>
                                      <a:rPr lang="en-US" sz="1100" b="0" i="1" baseline="0">
                                        <a:solidFill>
                                          <a:sysClr val="windowText" lastClr="000000"/>
                                        </a:solidFill>
                                        <a:effectLst/>
                                        <a:latin typeface="Cambria Math" panose="02040503050406030204" pitchFamily="18" charset="0"/>
                                        <a:ea typeface="+mn-ea"/>
                                        <a:cs typeface="+mn-cs"/>
                                      </a:rPr>
                                      <m:t>−</m:t>
                                    </m:r>
                                    <m:f>
                                      <m:fPr>
                                        <m:ctrlPr>
                                          <a:rPr lang="en-US" sz="1100" b="0" i="1" baseline="0">
                                            <a:solidFill>
                                              <a:sysClr val="windowText" lastClr="000000"/>
                                            </a:solidFill>
                                            <a:effectLst/>
                                            <a:latin typeface="Cambria Math" panose="02040503050406030204" pitchFamily="18" charset="0"/>
                                            <a:ea typeface="+mn-ea"/>
                                            <a:cs typeface="+mn-cs"/>
                                          </a:rPr>
                                        </m:ctrlPr>
                                      </m:fPr>
                                      <m:num>
                                        <m:r>
                                          <a:rPr lang="en-US" sz="1100" b="0" i="1" baseline="0">
                                            <a:solidFill>
                                              <a:sysClr val="windowText" lastClr="000000"/>
                                            </a:solidFill>
                                            <a:effectLst/>
                                            <a:latin typeface="Cambria Math" panose="02040503050406030204" pitchFamily="18" charset="0"/>
                                            <a:ea typeface="+mn-ea"/>
                                            <a:cs typeface="+mn-cs"/>
                                          </a:rPr>
                                          <m:t>1</m:t>
                                        </m:r>
                                      </m:num>
                                      <m:den>
                                        <m:sSub>
                                          <m:sSubPr>
                                            <m:ctrlPr>
                                              <a:rPr lang="en-US" sz="1100" b="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𝐸𝐹</m:t>
                                            </m:r>
                                          </m:e>
                                          <m:sub>
                                            <m:r>
                                              <a:rPr lang="en-US" sz="1100" b="0" i="1" baseline="0">
                                                <a:solidFill>
                                                  <a:sysClr val="windowText" lastClr="000000"/>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𝑇</m:t>
                                        </m:r>
                                      </m:e>
                                      <m:sub>
                                        <m:r>
                                          <a:rPr lang="en-US" sz="1100" b="0" i="1" baseline="0">
                                            <a:solidFill>
                                              <a:sysClr val="windowText" lastClr="000000"/>
                                            </a:solidFill>
                                            <a:effectLst/>
                                            <a:latin typeface="Cambria Math" panose="02040503050406030204" pitchFamily="18" charset="0"/>
                                            <a:ea typeface="+mn-ea"/>
                                            <a:cs typeface="+mn-cs"/>
                                          </a:rPr>
                                          <m:t>𝑖𝑛</m:t>
                                        </m:r>
                                      </m:sub>
                                    </m:sSub>
                                  </m:e>
                                </m:d>
                                <m:r>
                                  <a:rPr lang="en-US" sz="1100" b="0" i="1" baseline="0">
                                    <a:solidFill>
                                      <a:sysClr val="windowText" lastClr="000000"/>
                                    </a:solidFill>
                                    <a:effectLst/>
                                    <a:latin typeface="Cambria Math" panose="02040503050406030204" pitchFamily="18" charset="0"/>
                                    <a:ea typeface="+mn-ea"/>
                                    <a:cs typeface="+mn-cs"/>
                                  </a:rPr>
                                  <m:t>∗1.0</m:t>
                                </m:r>
                              </m:e>
                            </m:d>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𝐿𝐹</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𝑊𝐻</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𝐹</m:t>
                                </m:r>
                              </m:e>
                              <m:sub>
                                <m:r>
                                  <a:rPr lang="en-US" sz="1400" b="0" i="1" baseline="0">
                                    <a:solidFill>
                                      <a:sysClr val="windowText" lastClr="000000"/>
                                    </a:solidFill>
                                    <a:effectLst/>
                                    <a:latin typeface="Cambria Math" panose="02040503050406030204" pitchFamily="18" charset="0"/>
                                    <a:ea typeface="+mn-ea"/>
                                    <a:cs typeface="+mn-cs"/>
                                  </a:rPr>
                                  <m:t>𝐶</m:t>
                                </m:r>
                              </m:sub>
                            </m:sSub>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𝐿𝑀</m:t>
                            </m:r>
                          </m:num>
                          <m:den>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𝐶𝑂𝑃</m:t>
                                </m:r>
                              </m:e>
                              <m:sub>
                                <m:r>
                                  <a:rPr lang="en-US" sz="1400" b="0" i="1" baseline="0">
                                    <a:solidFill>
                                      <a:sysClr val="windowText" lastClr="000000"/>
                                    </a:solidFill>
                                    <a:effectLst/>
                                    <a:latin typeface="Cambria Math" panose="02040503050406030204" pitchFamily="18" charset="0"/>
                                    <a:ea typeface="+mn-ea"/>
                                    <a:cs typeface="+mn-cs"/>
                                  </a:rPr>
                                  <m:t>𝐶𝑂𝑂𝐿</m:t>
                                </m:r>
                              </m:sub>
                            </m:sSub>
                            <m:r>
                              <a:rPr lang="en-US" sz="1400" b="0" i="1" baseline="0">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𝐶𝑜𝑜𝑙</m:t>
                    </m:r>
                  </m:oMath>
                </m:oMathPara>
              </a14:m>
              <a:endParaRPr lang="en-US" sz="1100" i="0">
                <a:solidFill>
                  <a:sysClr val="windowText" lastClr="000000"/>
                </a:solidFill>
              </a:endParaRPr>
            </a:p>
          </xdr:txBody>
        </xdr:sp>
      </mc:Choice>
      <mc:Fallback xmlns="">
        <xdr:sp macro="" textlink="">
          <xdr:nvSpPr>
            <xdr:cNvPr id="7" name="TextBox 6">
              <a:extLst>
                <a:ext uri="{FF2B5EF4-FFF2-40B4-BE49-F238E27FC236}">
                  <a16:creationId xmlns:a16="http://schemas.microsoft.com/office/drawing/2014/main" id="{00000000-0008-0000-0400-000007000000}"/>
                </a:ext>
                <a:ext uri="{147F2762-F138-4A5C-976F-8EAC2B608ADB}">
                  <a16:predDERef xmlns:a16="http://schemas.microsoft.com/office/drawing/2014/main" pred="{7DCDC9E7-3AB5-4B92-9738-24C80EBBA30D}"/>
                </a:ext>
              </a:extLst>
            </xdr:cNvPr>
            <xdr:cNvSpPr txBox="1"/>
          </xdr:nvSpPr>
          <xdr:spPr>
            <a:xfrm>
              <a:off x="4670241" y="3143338"/>
              <a:ext cx="12604009" cy="98452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𝑘𝑊ℎ_𝑐𝑜𝑜𝑙</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400" b="0" i="0" baseline="0">
                  <a:solidFill>
                    <a:sysClr val="windowText" lastClr="000000"/>
                  </a:solidFill>
                  <a:effectLst/>
                  <a:latin typeface="Cambria Math" panose="02040503050406030204" pitchFamily="18" charset="0"/>
                  <a:ea typeface="+mn-ea"/>
                  <a:cs typeface="+mn-cs"/>
                </a:rPr>
                <a:t>((</a:t>
              </a:r>
              <a:r>
                <a:rPr lang="en-US" sz="1100" i="0" baseline="0">
                  <a:solidFill>
                    <a:sysClr val="windowText" lastClr="000000"/>
                  </a:solidFill>
                  <a:effectLst/>
                  <a:latin typeface="Cambria Math" panose="02040503050406030204" pitchFamily="18" charset="0"/>
                  <a:ea typeface="+mn-ea"/>
                  <a:cs typeface="+mn-cs"/>
                </a:rPr>
                <a:t>1</a:t>
              </a:r>
              <a:r>
                <a:rPr lang="en-US" sz="1100" b="0" i="0" baseline="0">
                  <a:solidFill>
                    <a:sysClr val="windowText" lastClr="000000"/>
                  </a:solidFill>
                  <a:effectLst/>
                  <a:latin typeface="Cambria Math" panose="02040503050406030204" pitchFamily="18" charset="0"/>
                  <a:ea typeface="+mn-ea"/>
                  <a:cs typeface="+mn-cs"/>
                </a:rPr>
                <a:t>−1/〖𝐸𝐹〗_𝐸𝐸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ysClr val="windowText" lastClr="000000"/>
                  </a:solidFill>
                  <a:effectLst/>
                  <a:latin typeface="Cambria Math" panose="02040503050406030204" pitchFamily="18" charset="0"/>
                  <a:ea typeface="+mn-ea"/>
                  <a:cs typeface="+mn-cs"/>
                </a:rPr>
                <a:t>𝑇_𝑖𝑛 )∗1.0)</a:t>
              </a:r>
              <a:r>
                <a:rPr lang="en-US" sz="1400" b="0" i="0" baseline="0">
                  <a:solidFill>
                    <a:sysClr val="windowText" lastClr="000000"/>
                  </a:solidFill>
                  <a:effectLst/>
                  <a:latin typeface="Cambria Math" panose="02040503050406030204" pitchFamily="18" charset="0"/>
                  <a:ea typeface="+mn-ea"/>
                  <a:cs typeface="+mn-cs"/>
                </a:rPr>
                <a:t>∗𝐿𝐹∗𝑊𝐻𝐹_𝐶∗𝐿𝑀)/(〖𝐶𝑂𝑃〗_𝐶𝑂𝑂𝐿∗3412))</a:t>
              </a:r>
              <a:r>
                <a:rPr lang="en-US" sz="1800" b="0" i="0">
                  <a:solidFill>
                    <a:sysClr val="windowText" lastClr="000000"/>
                  </a:solidFill>
                  <a:latin typeface="Cambria Math" panose="02040503050406030204" pitchFamily="18" charset="0"/>
                </a:rPr>
                <a:t>∗%𝐶𝑜𝑜𝑙</a:t>
              </a:r>
              <a:endParaRPr lang="en-US" sz="1100" i="0">
                <a:solidFill>
                  <a:sysClr val="windowText" lastClr="000000"/>
                </a:solidFill>
              </a:endParaRPr>
            </a:p>
          </xdr:txBody>
        </xdr:sp>
      </mc:Fallback>
    </mc:AlternateContent>
    <xdr:clientData/>
  </xdr:twoCellAnchor>
  <xdr:twoCellAnchor>
    <xdr:from>
      <xdr:col>3</xdr:col>
      <xdr:colOff>2033981</xdr:colOff>
      <xdr:row>17</xdr:row>
      <xdr:rowOff>98634</xdr:rowOff>
    </xdr:from>
    <xdr:to>
      <xdr:col>11</xdr:col>
      <xdr:colOff>230458</xdr:colOff>
      <xdr:row>22</xdr:row>
      <xdr:rowOff>135799</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400-000008000000}"/>
                </a:ext>
                <a:ext uri="{147F2762-F138-4A5C-976F-8EAC2B608ADB}">
                  <a16:predDERef xmlns:a16="http://schemas.microsoft.com/office/drawing/2014/main" pred="{86A5BA99-6F06-405B-BF67-12FBAA95758F}"/>
                </a:ext>
              </a:extLst>
            </xdr:cNvPr>
            <xdr:cNvSpPr txBox="1"/>
          </xdr:nvSpPr>
          <xdr:spPr>
            <a:xfrm>
              <a:off x="4633746" y="4099134"/>
              <a:ext cx="12640859" cy="93363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𝑘𝑊h</m:t>
                    </m:r>
                    <m:r>
                      <a:rPr lang="en-US" sz="1800" b="0" i="1">
                        <a:solidFill>
                          <a:sysClr val="windowText" lastClr="000000"/>
                        </a:solidFill>
                        <a:effectLst/>
                        <a:latin typeface="Cambria Math" panose="02040503050406030204" pitchFamily="18" charset="0"/>
                        <a:ea typeface="+mn-ea"/>
                        <a:cs typeface="+mn-cs"/>
                      </a:rPr>
                      <m:t>_</m:t>
                    </m:r>
                    <m:r>
                      <a:rPr lang="en-US" sz="1800" b="0" i="1">
                        <a:solidFill>
                          <a:sysClr val="windowText" lastClr="000000"/>
                        </a:solidFill>
                        <a:effectLst/>
                        <a:latin typeface="Cambria Math" panose="02040503050406030204" pitchFamily="18" charset="0"/>
                        <a:ea typeface="+mn-ea"/>
                        <a:cs typeface="+mn-cs"/>
                      </a:rPr>
                      <m:t>h𝑒𝑎𝑡</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b="0" i="1" baseline="0">
                                    <a:solidFill>
                                      <a:sysClr val="windowText" lastClr="000000"/>
                                    </a:solidFill>
                                    <a:effectLst/>
                                    <a:latin typeface="Cambria Math" panose="02040503050406030204" pitchFamily="18" charset="0"/>
                                    <a:ea typeface="+mn-ea"/>
                                    <a:cs typeface="+mn-cs"/>
                                  </a:rPr>
                                </m:ctrlPr>
                              </m:dPr>
                              <m:e>
                                <m:d>
                                  <m:dPr>
                                    <m:ctrlPr>
                                      <a:rPr lang="en-US" sz="1400" i="1" baseline="0">
                                        <a:solidFill>
                                          <a:sysClr val="windowText" lastClr="000000"/>
                                        </a:solidFill>
                                        <a:effectLst/>
                                        <a:latin typeface="Cambria Math" panose="02040503050406030204" pitchFamily="18" charset="0"/>
                                        <a:ea typeface="+mn-ea"/>
                                        <a:cs typeface="+mn-cs"/>
                                      </a:rPr>
                                    </m:ctrlPr>
                                  </m:dPr>
                                  <m:e>
                                    <m:r>
                                      <a:rPr lang="en-US" sz="1100" i="1" baseline="0">
                                        <a:solidFill>
                                          <a:sysClr val="windowText" lastClr="000000"/>
                                        </a:solidFill>
                                        <a:effectLst/>
                                        <a:latin typeface="Cambria Math" panose="02040503050406030204" pitchFamily="18" charset="0"/>
                                        <a:ea typeface="+mn-ea"/>
                                        <a:cs typeface="+mn-cs"/>
                                      </a:rPr>
                                      <m:t>1</m:t>
                                    </m:r>
                                    <m:r>
                                      <a:rPr lang="en-US" sz="1100" b="0" i="1" baseline="0">
                                        <a:solidFill>
                                          <a:sysClr val="windowText" lastClr="000000"/>
                                        </a:solidFill>
                                        <a:effectLst/>
                                        <a:latin typeface="Cambria Math" panose="02040503050406030204" pitchFamily="18" charset="0"/>
                                        <a:ea typeface="+mn-ea"/>
                                        <a:cs typeface="+mn-cs"/>
                                      </a:rPr>
                                      <m:t>−</m:t>
                                    </m:r>
                                    <m:f>
                                      <m:fPr>
                                        <m:ctrlPr>
                                          <a:rPr lang="en-US" sz="1100" b="0" i="1" baseline="0">
                                            <a:solidFill>
                                              <a:sysClr val="windowText" lastClr="000000"/>
                                            </a:solidFill>
                                            <a:effectLst/>
                                            <a:latin typeface="Cambria Math" panose="02040503050406030204" pitchFamily="18" charset="0"/>
                                            <a:ea typeface="+mn-ea"/>
                                            <a:cs typeface="+mn-cs"/>
                                          </a:rPr>
                                        </m:ctrlPr>
                                      </m:fPr>
                                      <m:num>
                                        <m:r>
                                          <a:rPr lang="en-US" sz="1100" b="0" i="1" baseline="0">
                                            <a:solidFill>
                                              <a:sysClr val="windowText" lastClr="000000"/>
                                            </a:solidFill>
                                            <a:effectLst/>
                                            <a:latin typeface="Cambria Math" panose="02040503050406030204" pitchFamily="18" charset="0"/>
                                            <a:ea typeface="+mn-ea"/>
                                            <a:cs typeface="+mn-cs"/>
                                          </a:rPr>
                                          <m:t>1</m:t>
                                        </m:r>
                                      </m:num>
                                      <m:den>
                                        <m:sSub>
                                          <m:sSubPr>
                                            <m:ctrlPr>
                                              <a:rPr lang="en-US" sz="1100" b="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𝐸𝐹</m:t>
                                            </m:r>
                                          </m:e>
                                          <m:sub>
                                            <m:r>
                                              <a:rPr lang="en-US" sz="1100" b="0" i="1" baseline="0">
                                                <a:solidFill>
                                                  <a:sysClr val="windowText" lastClr="000000"/>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𝑇</m:t>
                                        </m:r>
                                      </m:e>
                                      <m:sub>
                                        <m:r>
                                          <a:rPr lang="en-US" sz="1100" b="0" i="1" baseline="0">
                                            <a:solidFill>
                                              <a:sysClr val="windowText" lastClr="000000"/>
                                            </a:solidFill>
                                            <a:effectLst/>
                                            <a:latin typeface="Cambria Math" panose="02040503050406030204" pitchFamily="18" charset="0"/>
                                            <a:ea typeface="+mn-ea"/>
                                            <a:cs typeface="+mn-cs"/>
                                          </a:rPr>
                                          <m:t>𝑖𝑛</m:t>
                                        </m:r>
                                      </m:sub>
                                    </m:sSub>
                                  </m:e>
                                </m:d>
                                <m:r>
                                  <a:rPr lang="en-US" sz="1100" b="0" i="1" baseline="0">
                                    <a:solidFill>
                                      <a:sysClr val="windowText" lastClr="000000"/>
                                    </a:solidFill>
                                    <a:effectLst/>
                                    <a:latin typeface="Cambria Math" panose="02040503050406030204" pitchFamily="18" charset="0"/>
                                    <a:ea typeface="+mn-ea"/>
                                    <a:cs typeface="+mn-cs"/>
                                  </a:rPr>
                                  <m:t>∗1.0</m:t>
                                </m:r>
                              </m:e>
                            </m:d>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𝐿𝐹</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𝑊𝐻</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𝐹</m:t>
                                </m:r>
                              </m:e>
                              <m:sub>
                                <m:r>
                                  <a:rPr lang="en-US" sz="1400" b="0" i="1" baseline="0">
                                    <a:solidFill>
                                      <a:sysClr val="windowText" lastClr="000000"/>
                                    </a:solidFill>
                                    <a:effectLst/>
                                    <a:latin typeface="Cambria Math" panose="02040503050406030204" pitchFamily="18" charset="0"/>
                                    <a:ea typeface="+mn-ea"/>
                                    <a:cs typeface="+mn-cs"/>
                                  </a:rPr>
                                  <m:t>𝐻</m:t>
                                </m:r>
                              </m:sub>
                            </m:sSub>
                          </m:num>
                          <m:den>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𝐶𝑂𝑃</m:t>
                                </m:r>
                              </m:e>
                              <m:sub>
                                <m:r>
                                  <a:rPr lang="en-US" sz="1400" b="0" i="1" baseline="0">
                                    <a:solidFill>
                                      <a:sysClr val="windowText" lastClr="000000"/>
                                    </a:solidFill>
                                    <a:effectLst/>
                                    <a:latin typeface="Cambria Math" panose="02040503050406030204" pitchFamily="18" charset="0"/>
                                    <a:ea typeface="+mn-ea"/>
                                    <a:cs typeface="+mn-cs"/>
                                  </a:rPr>
                                  <m:t>𝐻𝐸𝐴𝑇</m:t>
                                </m:r>
                              </m:sub>
                            </m:sSub>
                            <m:r>
                              <a:rPr lang="en-US" sz="1400" b="0" i="1" baseline="0">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𝐸𝑙𝑒𝑐𝑡𝑟𝑖𝑐𝐻𝑒𝑎𝑡</m:t>
                    </m:r>
                  </m:oMath>
                </m:oMathPara>
              </a14:m>
              <a:endParaRPr lang="en-US" sz="1100" i="0">
                <a:solidFill>
                  <a:sysClr val="windowText" lastClr="000000"/>
                </a:solidFill>
              </a:endParaRPr>
            </a:p>
          </xdr:txBody>
        </xdr:sp>
      </mc:Choice>
      <mc:Fallback xmlns="">
        <xdr:sp macro="" textlink="">
          <xdr:nvSpPr>
            <xdr:cNvPr id="8" name="TextBox 7">
              <a:extLst>
                <a:ext uri="{FF2B5EF4-FFF2-40B4-BE49-F238E27FC236}">
                  <a16:creationId xmlns:a16="http://schemas.microsoft.com/office/drawing/2014/main" id="{00000000-0008-0000-0400-000008000000}"/>
                </a:ext>
                <a:ext uri="{147F2762-F138-4A5C-976F-8EAC2B608ADB}">
                  <a16:predDERef xmlns:a16="http://schemas.microsoft.com/office/drawing/2014/main" pred="{86A5BA99-6F06-405B-BF67-12FBAA95758F}"/>
                </a:ext>
              </a:extLst>
            </xdr:cNvPr>
            <xdr:cNvSpPr txBox="1"/>
          </xdr:nvSpPr>
          <xdr:spPr>
            <a:xfrm>
              <a:off x="4633746" y="4099134"/>
              <a:ext cx="12640859" cy="93363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𝑘𝑊ℎ_ℎ𝑒𝑎𝑡"</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400" b="0" i="0" baseline="0">
                  <a:solidFill>
                    <a:sysClr val="windowText" lastClr="000000"/>
                  </a:solidFill>
                  <a:effectLst/>
                  <a:latin typeface="Cambria Math" panose="02040503050406030204" pitchFamily="18" charset="0"/>
                  <a:ea typeface="+mn-ea"/>
                  <a:cs typeface="+mn-cs"/>
                </a:rPr>
                <a:t>((</a:t>
              </a:r>
              <a:r>
                <a:rPr lang="en-US" sz="1100" i="0" baseline="0">
                  <a:solidFill>
                    <a:sysClr val="windowText" lastClr="000000"/>
                  </a:solidFill>
                  <a:effectLst/>
                  <a:latin typeface="Cambria Math" panose="02040503050406030204" pitchFamily="18" charset="0"/>
                  <a:ea typeface="+mn-ea"/>
                  <a:cs typeface="+mn-cs"/>
                </a:rPr>
                <a:t>1</a:t>
              </a:r>
              <a:r>
                <a:rPr lang="en-US" sz="1100" b="0" i="0" baseline="0">
                  <a:solidFill>
                    <a:sysClr val="windowText" lastClr="000000"/>
                  </a:solidFill>
                  <a:effectLst/>
                  <a:latin typeface="Cambria Math" panose="02040503050406030204" pitchFamily="18" charset="0"/>
                  <a:ea typeface="+mn-ea"/>
                  <a:cs typeface="+mn-cs"/>
                </a:rPr>
                <a:t>−1/〖𝐸𝐹〗_𝐸𝐸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ysClr val="windowText" lastClr="000000"/>
                  </a:solidFill>
                  <a:effectLst/>
                  <a:latin typeface="Cambria Math" panose="02040503050406030204" pitchFamily="18" charset="0"/>
                  <a:ea typeface="+mn-ea"/>
                  <a:cs typeface="+mn-cs"/>
                </a:rPr>
                <a:t>𝑇_𝑖𝑛 )∗1.0)</a:t>
              </a:r>
              <a:r>
                <a:rPr lang="en-US" sz="1400" b="0" i="0" baseline="0">
                  <a:solidFill>
                    <a:sysClr val="windowText" lastClr="000000"/>
                  </a:solidFill>
                  <a:effectLst/>
                  <a:latin typeface="Cambria Math" panose="02040503050406030204" pitchFamily="18" charset="0"/>
                  <a:ea typeface="+mn-ea"/>
                  <a:cs typeface="+mn-cs"/>
                </a:rPr>
                <a:t>∗𝐿𝐹∗𝑊𝐻𝐹_𝐻)/(〖𝐶𝑂𝑃〗_𝐻𝐸𝐴𝑇∗3412))</a:t>
              </a:r>
              <a:r>
                <a:rPr lang="en-US" sz="1800" b="0" i="0">
                  <a:solidFill>
                    <a:sysClr val="windowText" lastClr="000000"/>
                  </a:solidFill>
                  <a:latin typeface="Cambria Math" panose="02040503050406030204" pitchFamily="18" charset="0"/>
                </a:rPr>
                <a:t>∗%𝐸𝑙𝑒𝑐𝑡𝑟𝑖𝑐𝐻𝑒𝑎𝑡</a:t>
              </a:r>
              <a:endParaRPr lang="en-US" sz="1100" i="0">
                <a:solidFill>
                  <a:sysClr val="windowText" lastClr="000000"/>
                </a:solidFill>
              </a:endParaRPr>
            </a:p>
          </xdr:txBody>
        </xdr:sp>
      </mc:Fallback>
    </mc:AlternateContent>
    <xdr:clientData/>
  </xdr:twoCellAnchor>
  <xdr:twoCellAnchor>
    <xdr:from>
      <xdr:col>3</xdr:col>
      <xdr:colOff>1676190</xdr:colOff>
      <xdr:row>22</xdr:row>
      <xdr:rowOff>134470</xdr:rowOff>
    </xdr:from>
    <xdr:to>
      <xdr:col>4</xdr:col>
      <xdr:colOff>717434</xdr:colOff>
      <xdr:row>24</xdr:row>
      <xdr:rowOff>7733</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00000000-0008-0000-0400-000009000000}"/>
                </a:ext>
              </a:extLst>
            </xdr:cNvPr>
            <xdr:cNvSpPr txBox="1"/>
          </xdr:nvSpPr>
          <xdr:spPr>
            <a:xfrm>
              <a:off x="4275955" y="5031441"/>
              <a:ext cx="1741861" cy="23185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9" name="TextBox 8">
              <a:extLst>
                <a:ext uri="{FF2B5EF4-FFF2-40B4-BE49-F238E27FC236}">
                  <a16:creationId xmlns:a16="http://schemas.microsoft.com/office/drawing/2014/main" id="{00000000-0008-0000-0400-000009000000}"/>
                </a:ext>
              </a:extLst>
            </xdr:cNvPr>
            <xdr:cNvSpPr txBox="1"/>
          </xdr:nvSpPr>
          <xdr:spPr>
            <a:xfrm>
              <a:off x="4275955" y="5031441"/>
              <a:ext cx="1741861" cy="23185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3</xdr:col>
      <xdr:colOff>1240267</xdr:colOff>
      <xdr:row>84</xdr:row>
      <xdr:rowOff>68484</xdr:rowOff>
    </xdr:from>
    <xdr:to>
      <xdr:col>10</xdr:col>
      <xdr:colOff>526676</xdr:colOff>
      <xdr:row>86</xdr:row>
      <xdr:rowOff>41813</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400-00000A000000}"/>
                </a:ext>
              </a:extLst>
            </xdr:cNvPr>
            <xdr:cNvSpPr txBox="1"/>
          </xdr:nvSpPr>
          <xdr:spPr>
            <a:xfrm>
              <a:off x="3840032" y="8080690"/>
              <a:ext cx="12733468" cy="42156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h𝑒𝑎𝑡𝑖𝑛𝑔</m:t>
                        </m:r>
                      </m:sub>
                    </m:sSub>
                    <m:r>
                      <a:rPr lang="en-US" sz="1600" i="1">
                        <a:latin typeface="Cambria Math" panose="02040503050406030204" pitchFamily="18" charset="0"/>
                      </a:rPr>
                      <m:t>=%</m:t>
                    </m:r>
                    <m:r>
                      <a:rPr lang="en-US" sz="1600" i="1">
                        <a:latin typeface="Cambria Math" panose="02040503050406030204" pitchFamily="18" charset="0"/>
                      </a:rPr>
                      <m:t>𝐸𝑙𝑒𝑐𝑡𝑟𝑖𝑐𝐻𝑒𝑎𝑡</m:t>
                    </m:r>
                    <m:r>
                      <a:rPr lang="en-US" sz="1600" i="1">
                        <a:latin typeface="Cambria Math" panose="02040503050406030204" pitchFamily="18" charset="0"/>
                      </a:rPr>
                      <m:t>∗</m:t>
                    </m:r>
                    <m:r>
                      <a:rPr lang="en-US" sz="1600" i="1">
                        <a:latin typeface="Cambria Math" panose="02040503050406030204" pitchFamily="18" charset="0"/>
                      </a:rPr>
                      <m:t>𝐻𝑒𝑎𝑡𝑖𝑛𝑔𝐶𝑜𝑛𝑠𝑢𝑚𝑝𝑡𝑖𝑜</m:t>
                    </m:r>
                    <m:sSub>
                      <m:sSubPr>
                        <m:ctrlPr>
                          <a:rPr lang="en-US" sz="1600" i="1">
                            <a:latin typeface="Cambria Math" panose="02040503050406030204" pitchFamily="18" charset="0"/>
                          </a:rPr>
                        </m:ctrlPr>
                      </m:sSubPr>
                      <m:e>
                        <m:r>
                          <a:rPr lang="en-US" sz="1600" i="1">
                            <a:latin typeface="Cambria Math" panose="02040503050406030204" pitchFamily="18" charset="0"/>
                          </a:rPr>
                          <m:t>𝑛</m:t>
                        </m:r>
                      </m:e>
                      <m:sub>
                        <m:r>
                          <a:rPr lang="en-US" sz="1600" i="1">
                            <a:latin typeface="Cambria Math" panose="02040503050406030204" pitchFamily="18" charset="0"/>
                          </a:rPr>
                          <m:t>𝐸𝑙𝑒𝑐𝑡𝑟𝑖𝑐</m:t>
                        </m:r>
                      </m:sub>
                    </m:sSub>
                    <m:r>
                      <a:rPr lang="en-US" sz="1600" i="1">
                        <a:latin typeface="Cambria Math" panose="02040503050406030204" pitchFamily="18" charset="0"/>
                      </a:rPr>
                      <m:t>∗</m:t>
                    </m:r>
                    <m:r>
                      <a:rPr lang="en-US" sz="1600" i="1">
                        <a:latin typeface="Cambria Math" panose="02040503050406030204" pitchFamily="18" charset="0"/>
                      </a:rPr>
                      <m:t>𝐻𝐹</m:t>
                    </m:r>
                    <m:r>
                      <a:rPr lang="en-US" sz="1600" i="1">
                        <a:latin typeface="Cambria Math" panose="02040503050406030204" pitchFamily="18" charset="0"/>
                      </a:rPr>
                      <m:t>∗</m:t>
                    </m:r>
                    <m:r>
                      <a:rPr lang="en-US" sz="1600" i="1">
                        <a:latin typeface="Cambria Math" panose="02040503050406030204" pitchFamily="18" charset="0"/>
                      </a:rPr>
                      <m:t>𝐻𝑒𝑎𝑡𝑖𝑛𝑔𝑅𝑒𝑑𝑢𝑐𝑡𝑖𝑜𝑛</m:t>
                    </m:r>
                    <m:r>
                      <a:rPr lang="en-US" sz="1600" i="1">
                        <a:latin typeface="Cambria Math" panose="02040503050406030204" pitchFamily="18" charset="0"/>
                      </a:rPr>
                      <m:t>∗ </m:t>
                    </m:r>
                    <m:r>
                      <a:rPr lang="en-US" sz="1600" i="1">
                        <a:latin typeface="Cambria Math" panose="02040503050406030204" pitchFamily="18" charset="0"/>
                      </a:rPr>
                      <m:t>𝐸𝑓𝑓</m:t>
                    </m:r>
                    <m:r>
                      <a:rPr lang="en-US" sz="1600" b="0" i="1">
                        <a:latin typeface="Cambria Math" panose="02040503050406030204" pitchFamily="18" charset="0"/>
                      </a:rPr>
                      <m:t>_</m:t>
                    </m:r>
                    <m:r>
                      <a:rPr lang="en-US" sz="1600" b="0" i="1">
                        <a:latin typeface="Cambria Math" panose="02040503050406030204" pitchFamily="18" charset="0"/>
                      </a:rPr>
                      <m:t>𝐼𝑆𝑅</m:t>
                    </m:r>
                    <m:r>
                      <a:rPr lang="en-US" sz="1600" i="1">
                        <a:latin typeface="Cambria Math" panose="02040503050406030204" pitchFamily="18" charset="0"/>
                      </a:rPr>
                      <m:t>+(∆</m:t>
                    </m:r>
                    <m:r>
                      <a:rPr lang="en-US" sz="1600" i="1">
                        <a:latin typeface="Cambria Math" panose="02040503050406030204" pitchFamily="18" charset="0"/>
                      </a:rPr>
                      <m:t>𝑇h𝑒𝑟𝑚𝑠</m:t>
                    </m:r>
                    <m:r>
                      <a:rPr lang="en-US" sz="1600" i="1">
                        <a:latin typeface="Cambria Math" panose="02040503050406030204" pitchFamily="18" charset="0"/>
                      </a:rPr>
                      <m:t> ∗ </m:t>
                    </m:r>
                    <m:sSub>
                      <m:sSubPr>
                        <m:ctrlPr>
                          <a:rPr lang="en-US" sz="1600" b="0" i="1">
                            <a:latin typeface="Cambria Math" panose="02040503050406030204" pitchFamily="18" charset="0"/>
                          </a:rPr>
                        </m:ctrlPr>
                      </m:sSubPr>
                      <m:e>
                        <m:r>
                          <a:rPr lang="en-US" sz="1600" i="1">
                            <a:latin typeface="Cambria Math" panose="02040503050406030204" pitchFamily="18" charset="0"/>
                          </a:rPr>
                          <m:t>𝐹</m:t>
                        </m:r>
                      </m:e>
                      <m:sub>
                        <m:r>
                          <a:rPr lang="en-US" sz="1600" i="1">
                            <a:latin typeface="Cambria Math" panose="02040503050406030204" pitchFamily="18" charset="0"/>
                          </a:rPr>
                          <m:t>𝑒</m:t>
                        </m:r>
                      </m:sub>
                    </m:sSub>
                    <m:r>
                      <a:rPr lang="en-US" sz="1600" i="1">
                        <a:latin typeface="Cambria Math" panose="02040503050406030204" pitchFamily="18" charset="0"/>
                      </a:rPr>
                      <m:t> ∗ 29.3)</m:t>
                    </m:r>
                  </m:oMath>
                </m:oMathPara>
              </a14:m>
              <a:endParaRPr lang="en-US" sz="1600"/>
            </a:p>
          </xdr:txBody>
        </xdr:sp>
      </mc:Choice>
      <mc:Fallback xmlns="">
        <xdr:sp macro="" textlink="">
          <xdr:nvSpPr>
            <xdr:cNvPr id="10" name="TextBox 9">
              <a:extLst>
                <a:ext uri="{FF2B5EF4-FFF2-40B4-BE49-F238E27FC236}">
                  <a16:creationId xmlns:a16="http://schemas.microsoft.com/office/drawing/2014/main" id="{00000000-0008-0000-0400-00000A000000}"/>
                </a:ext>
              </a:extLst>
            </xdr:cNvPr>
            <xdr:cNvSpPr txBox="1"/>
          </xdr:nvSpPr>
          <xdr:spPr>
            <a:xfrm>
              <a:off x="3840032" y="8080690"/>
              <a:ext cx="12733468" cy="42156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ℎ𝑒𝑎𝑡𝑖𝑛𝑔=%𝐸𝑙𝑒𝑐𝑡𝑟𝑖𝑐𝐻𝑒𝑎𝑡∗𝐻𝑒𝑎𝑡𝑖𝑛𝑔𝐶𝑜𝑛𝑠𝑢𝑚𝑝𝑡𝑖𝑜𝑛_𝐸𝑙𝑒𝑐𝑡𝑟𝑖𝑐∗𝐻𝐹∗𝐻𝑒𝑎𝑡𝑖𝑛𝑔𝑅𝑒𝑑𝑢𝑐𝑡𝑖𝑜𝑛∗ 𝐸𝑓𝑓</a:t>
              </a:r>
              <a:r>
                <a:rPr lang="en-US" sz="1600" b="0" i="0">
                  <a:latin typeface="Cambria Math" panose="02040503050406030204" pitchFamily="18" charset="0"/>
                </a:rPr>
                <a:t>_𝐼𝑆𝑅</a:t>
              </a:r>
              <a:r>
                <a:rPr lang="en-US" sz="1600" i="0">
                  <a:latin typeface="Cambria Math" panose="02040503050406030204" pitchFamily="18" charset="0"/>
                </a:rPr>
                <a:t>+(∆𝑇ℎ𝑒𝑟𝑚𝑠 ∗ 𝐹</a:t>
              </a:r>
              <a:r>
                <a:rPr lang="en-US" sz="1600" b="0" i="0">
                  <a:latin typeface="Cambria Math" panose="02040503050406030204" pitchFamily="18" charset="0"/>
                </a:rPr>
                <a:t>_</a:t>
              </a:r>
              <a:r>
                <a:rPr lang="en-US" sz="1600" i="0">
                  <a:latin typeface="Cambria Math" panose="02040503050406030204" pitchFamily="18" charset="0"/>
                </a:rPr>
                <a:t>𝑒  ∗ 29.3)</a:t>
              </a:r>
              <a:endParaRPr lang="en-US" sz="1600"/>
            </a:p>
          </xdr:txBody>
        </xdr:sp>
      </mc:Fallback>
    </mc:AlternateContent>
    <xdr:clientData/>
  </xdr:twoCellAnchor>
  <xdr:twoCellAnchor>
    <xdr:from>
      <xdr:col>3</xdr:col>
      <xdr:colOff>1225937</xdr:colOff>
      <xdr:row>85</xdr:row>
      <xdr:rowOff>213250</xdr:rowOff>
    </xdr:from>
    <xdr:to>
      <xdr:col>10</xdr:col>
      <xdr:colOff>156881</xdr:colOff>
      <xdr:row>89</xdr:row>
      <xdr:rowOff>20533</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00000000-0008-0000-0400-00000B000000}"/>
                </a:ext>
              </a:extLst>
            </xdr:cNvPr>
            <xdr:cNvSpPr txBox="1"/>
          </xdr:nvSpPr>
          <xdr:spPr>
            <a:xfrm>
              <a:off x="3825702" y="8449574"/>
              <a:ext cx="12378003" cy="7037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m:t>
                    </m:r>
                    <m:r>
                      <a:rPr lang="en-US" sz="1600" i="1">
                        <a:latin typeface="Cambria Math" panose="02040503050406030204" pitchFamily="18" charset="0"/>
                      </a:rPr>
                      <m:t>𝐴𝐶</m:t>
                    </m:r>
                    <m:r>
                      <a:rPr lang="en-US" sz="1600" i="1">
                        <a:latin typeface="Cambria Math" panose="02040503050406030204" pitchFamily="18" charset="0"/>
                      </a:rPr>
                      <m:t>∗</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d>
                              <m:dPr>
                                <m:ctrlPr>
                                  <a:rPr lang="en-US" sz="1600" i="1">
                                    <a:latin typeface="Cambria Math" panose="02040503050406030204" pitchFamily="18" charset="0"/>
                                  </a:rPr>
                                </m:ctrlPr>
                              </m:dPr>
                              <m:e>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𝑐𝑜𝑜𝑙</m:t>
                                    </m:r>
                                  </m:sub>
                                </m:sSub>
                                <m:r>
                                  <a:rPr lang="en-US" sz="1600" i="1">
                                    <a:latin typeface="Cambria Math" panose="02040503050406030204" pitchFamily="18" charset="0"/>
                                  </a:rPr>
                                  <m:t>∗</m:t>
                                </m:r>
                                <m:r>
                                  <a:rPr lang="en-US" sz="1600" i="1">
                                    <a:latin typeface="Cambria Math" panose="02040503050406030204" pitchFamily="18" charset="0"/>
                                  </a:rPr>
                                  <m:t>𝐶𝑎𝑝𝑎𝑐𝑖𝑡𝑦𝐶𝑜𝑜𝑙</m:t>
                                </m:r>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𝑆𝐸𝐸𝑅</m:t>
                                    </m:r>
                                  </m:den>
                                </m:f>
                              </m:e>
                            </m:d>
                          </m:num>
                          <m:den>
                            <m:r>
                              <a:rPr lang="en-US" sz="1600" i="1">
                                <a:latin typeface="Cambria Math" panose="02040503050406030204" pitchFamily="18" charset="0"/>
                              </a:rPr>
                              <m:t>1000</m:t>
                            </m:r>
                          </m:den>
                        </m:f>
                      </m:e>
                    </m:d>
                    <m:r>
                      <a:rPr lang="en-US" sz="1600" i="1">
                        <a:latin typeface="Cambria Math" panose="02040503050406030204" pitchFamily="18" charset="0"/>
                      </a:rPr>
                      <m:t> ∗ </m:t>
                    </m:r>
                    <m:r>
                      <a:rPr lang="en-US" sz="1600" i="1">
                        <a:latin typeface="Cambria Math" panose="02040503050406030204" pitchFamily="18" charset="0"/>
                      </a:rPr>
                      <m:t>𝐶𝑜𝑜𝑙𝑖𝑛𝑔𝑅𝑒𝑑𝑢𝑐𝑡𝑖𝑜𝑛</m:t>
                    </m:r>
                    <m:r>
                      <a:rPr lang="en-US" sz="1600" i="1">
                        <a:latin typeface="Cambria Math" panose="02040503050406030204" pitchFamily="18" charset="0"/>
                      </a:rPr>
                      <m:t> ∗ </m:t>
                    </m:r>
                    <m:r>
                      <a:rPr lang="en-US" sz="1600" i="1">
                        <a:latin typeface="Cambria Math" panose="02040503050406030204" pitchFamily="18" charset="0"/>
                      </a:rPr>
                      <m:t>𝐸𝑓𝑓</m:t>
                    </m:r>
                    <m:r>
                      <a:rPr lang="en-US" sz="1600" i="1">
                        <a:latin typeface="Cambria Math" panose="02040503050406030204" pitchFamily="18" charset="0"/>
                      </a:rPr>
                      <m:t>_</m:t>
                    </m:r>
                    <m:r>
                      <a:rPr lang="en-US" sz="1600" i="1">
                        <a:latin typeface="Cambria Math" panose="02040503050406030204" pitchFamily="18" charset="0"/>
                      </a:rPr>
                      <m:t>𝐼𝑆𝑅</m:t>
                    </m:r>
                  </m:oMath>
                </m:oMathPara>
              </a14:m>
              <a:endParaRPr lang="en-US" sz="1600"/>
            </a:p>
          </xdr:txBody>
        </xdr:sp>
      </mc:Choice>
      <mc:Fallback xmlns="">
        <xdr:sp macro="" textlink="">
          <xdr:nvSpPr>
            <xdr:cNvPr id="11" name="TextBox 10">
              <a:extLst>
                <a:ext uri="{FF2B5EF4-FFF2-40B4-BE49-F238E27FC236}">
                  <a16:creationId xmlns:a16="http://schemas.microsoft.com/office/drawing/2014/main" id="{00000000-0008-0000-0400-00000B000000}"/>
                </a:ext>
              </a:extLst>
            </xdr:cNvPr>
            <xdr:cNvSpPr txBox="1"/>
          </xdr:nvSpPr>
          <xdr:spPr>
            <a:xfrm>
              <a:off x="3825702" y="8449574"/>
              <a:ext cx="12378003" cy="7037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𝑐𝑜𝑜𝑙𝑖𝑛𝑔=%𝐴𝐶∗(((𝐸𝐹𝐿𝐻</a:t>
              </a:r>
              <a:r>
                <a:rPr lang="en-US" sz="1600" b="0" i="0">
                  <a:latin typeface="Cambria Math" panose="02040503050406030204" pitchFamily="18" charset="0"/>
                </a:rPr>
                <a:t>_</a:t>
              </a:r>
              <a:r>
                <a:rPr lang="en-US" sz="1600" i="0">
                  <a:latin typeface="Cambria Math" panose="02040503050406030204" pitchFamily="18" charset="0"/>
                </a:rPr>
                <a:t>𝑐𝑜𝑜𝑙∗𝐶𝑎𝑝𝑎𝑐𝑖𝑡𝑦𝐶𝑜𝑜𝑙∗1/𝑆𝐸𝐸𝑅))/1000)  ∗ 𝐶𝑜𝑜𝑙𝑖𝑛𝑔𝑅𝑒𝑑𝑢𝑐𝑡𝑖𝑜𝑛 ∗ 𝐸𝑓𝑓_𝐼𝑆𝑅</a:t>
              </a:r>
              <a:endParaRPr lang="en-US" sz="1600"/>
            </a:p>
          </xdr:txBody>
        </xdr:sp>
      </mc:Fallback>
    </mc:AlternateContent>
    <xdr:clientData/>
  </xdr:twoCellAnchor>
  <xdr:twoCellAnchor>
    <xdr:from>
      <xdr:col>3</xdr:col>
      <xdr:colOff>1246669</xdr:colOff>
      <xdr:row>89</xdr:row>
      <xdr:rowOff>247802</xdr:rowOff>
    </xdr:from>
    <xdr:to>
      <xdr:col>9</xdr:col>
      <xdr:colOff>440615</xdr:colOff>
      <xdr:row>90</xdr:row>
      <xdr:rowOff>169531</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0000000-0008-0000-0400-00000C000000}"/>
                </a:ext>
              </a:extLst>
            </xdr:cNvPr>
            <xdr:cNvSpPr txBox="1"/>
          </xdr:nvSpPr>
          <xdr:spPr>
            <a:xfrm>
              <a:off x="3846434" y="9380596"/>
              <a:ext cx="11991063" cy="4372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i="1">
                        <a:latin typeface="Cambria Math" panose="02040503050406030204" pitchFamily="18" charset="0"/>
                      </a:rPr>
                      <m:t>∆</m:t>
                    </m:r>
                    <m:r>
                      <a:rPr lang="en-US" sz="1600" i="1">
                        <a:latin typeface="Cambria Math" panose="02040503050406030204" pitchFamily="18" charset="0"/>
                      </a:rPr>
                      <m:t>𝑇h𝑒𝑟𝑚𝑠</m:t>
                    </m:r>
                    <m:r>
                      <a:rPr lang="en-US" sz="1600" b="0" i="1">
                        <a:latin typeface="Cambria Math" panose="02040503050406030204" pitchFamily="18" charset="0"/>
                      </a:rPr>
                      <m:t>=</m:t>
                    </m:r>
                    <m:r>
                      <a:rPr lang="en-US" sz="1600" i="1">
                        <a:latin typeface="Cambria Math" panose="02040503050406030204" pitchFamily="18" charset="0"/>
                      </a:rPr>
                      <m:t>%</m:t>
                    </m:r>
                    <m:r>
                      <a:rPr lang="en-US" sz="1600" i="1">
                        <a:latin typeface="Cambria Math" panose="02040503050406030204" pitchFamily="18" charset="0"/>
                      </a:rPr>
                      <m:t>𝐹𝑜𝑠𝑠𝑖𝑙𝐻𝑒𝑎𝑡</m:t>
                    </m:r>
                    <m:r>
                      <a:rPr lang="en-US" sz="1600" i="1">
                        <a:latin typeface="Cambria Math" panose="02040503050406030204" pitchFamily="18" charset="0"/>
                      </a:rPr>
                      <m:t> ∗ </m:t>
                    </m:r>
                    <m:r>
                      <a:rPr lang="en-US" sz="1600" i="1">
                        <a:latin typeface="Cambria Math" panose="02040503050406030204" pitchFamily="18" charset="0"/>
                      </a:rPr>
                      <m:t>𝐻𝑒𝑎𝑡𝑖𝑛𝑔𝐶𝑜𝑛𝑠𝑢𝑚𝑝𝑡𝑖𝑜</m:t>
                    </m:r>
                    <m:sSub>
                      <m:sSubPr>
                        <m:ctrlPr>
                          <a:rPr lang="en-US" sz="1600" i="1">
                            <a:latin typeface="Cambria Math" panose="02040503050406030204" pitchFamily="18" charset="0"/>
                          </a:rPr>
                        </m:ctrlPr>
                      </m:sSubPr>
                      <m:e>
                        <m:r>
                          <a:rPr lang="en-US" sz="1600" i="1">
                            <a:latin typeface="Cambria Math" panose="02040503050406030204" pitchFamily="18" charset="0"/>
                          </a:rPr>
                          <m:t>𝑛</m:t>
                        </m:r>
                      </m:e>
                      <m:sub>
                        <m:r>
                          <a:rPr lang="en-US" sz="1600" i="1">
                            <a:latin typeface="Cambria Math" panose="02040503050406030204" pitchFamily="18" charset="0"/>
                          </a:rPr>
                          <m:t>𝐺𝑎𝑠</m:t>
                        </m:r>
                      </m:sub>
                    </m:sSub>
                    <m:r>
                      <a:rPr lang="en-US" sz="1600" i="1">
                        <a:latin typeface="Cambria Math" panose="02040503050406030204" pitchFamily="18" charset="0"/>
                      </a:rPr>
                      <m:t>∗</m:t>
                    </m:r>
                    <m:r>
                      <a:rPr lang="en-US" sz="1600" i="1">
                        <a:latin typeface="Cambria Math" panose="02040503050406030204" pitchFamily="18" charset="0"/>
                      </a:rPr>
                      <m:t>𝐻𝐹</m:t>
                    </m:r>
                    <m:r>
                      <a:rPr lang="en-US" sz="1600" i="1">
                        <a:latin typeface="Cambria Math" panose="02040503050406030204" pitchFamily="18" charset="0"/>
                      </a:rPr>
                      <m:t>∗</m:t>
                    </m:r>
                    <m:r>
                      <a:rPr lang="en-US" sz="1600" i="1">
                        <a:latin typeface="Cambria Math" panose="02040503050406030204" pitchFamily="18" charset="0"/>
                      </a:rPr>
                      <m:t>𝐻𝑒𝑎𝑡𝑖𝑛𝑔𝑅𝑒𝑑𝑢𝑐𝑡𝑖𝑜𝑛</m:t>
                    </m:r>
                    <m:r>
                      <a:rPr lang="en-US" sz="1600" i="1">
                        <a:latin typeface="Cambria Math" panose="02040503050406030204" pitchFamily="18" charset="0"/>
                      </a:rPr>
                      <m:t>∗</m:t>
                    </m:r>
                    <m:r>
                      <a:rPr lang="en-US" sz="1600" i="1">
                        <a:latin typeface="Cambria Math" panose="02040503050406030204" pitchFamily="18" charset="0"/>
                      </a:rPr>
                      <m:t>𝐸𝑓𝑓</m:t>
                    </m:r>
                    <m:r>
                      <a:rPr lang="en-US" sz="1600" b="0" i="1">
                        <a:latin typeface="Cambria Math" panose="02040503050406030204" pitchFamily="18" charset="0"/>
                      </a:rPr>
                      <m:t>_</m:t>
                    </m:r>
                    <m:r>
                      <a:rPr lang="en-US" sz="1600" b="0" i="1">
                        <a:latin typeface="Cambria Math" panose="02040503050406030204" pitchFamily="18" charset="0"/>
                      </a:rPr>
                      <m:t>𝐼𝑆𝑅</m:t>
                    </m:r>
                  </m:oMath>
                </m:oMathPara>
              </a14:m>
              <a:endParaRPr lang="en-US" sz="1600"/>
            </a:p>
          </xdr:txBody>
        </xdr:sp>
      </mc:Choice>
      <mc:Fallback xmlns="">
        <xdr:sp macro="" textlink="">
          <xdr:nvSpPr>
            <xdr:cNvPr id="12" name="TextBox 11">
              <a:extLst>
                <a:ext uri="{FF2B5EF4-FFF2-40B4-BE49-F238E27FC236}">
                  <a16:creationId xmlns:a16="http://schemas.microsoft.com/office/drawing/2014/main" id="{00000000-0008-0000-0400-00000C000000}"/>
                </a:ext>
              </a:extLst>
            </xdr:cNvPr>
            <xdr:cNvSpPr txBox="1"/>
          </xdr:nvSpPr>
          <xdr:spPr>
            <a:xfrm>
              <a:off x="3846434" y="9380596"/>
              <a:ext cx="11991063" cy="4372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rPr>
                <a:t>∆𝑇ℎ𝑒𝑟𝑚𝑠</a:t>
              </a:r>
              <a:r>
                <a:rPr lang="en-US" sz="1600" b="0" i="0">
                  <a:latin typeface="Cambria Math" panose="02040503050406030204" pitchFamily="18" charset="0"/>
                </a:rPr>
                <a:t>=</a:t>
              </a:r>
              <a:r>
                <a:rPr lang="en-US" sz="1600" i="0">
                  <a:latin typeface="Cambria Math" panose="02040503050406030204" pitchFamily="18" charset="0"/>
                </a:rPr>
                <a:t>%𝐹𝑜𝑠𝑠𝑖𝑙𝐻𝑒𝑎𝑡 ∗ 𝐻𝑒𝑎𝑡𝑖𝑛𝑔𝐶𝑜𝑛𝑠𝑢𝑚𝑝𝑡𝑖𝑜𝑛_𝐺𝑎𝑠∗𝐻𝐹∗𝐻𝑒𝑎𝑡𝑖𝑛𝑔𝑅𝑒𝑑𝑢𝑐𝑡𝑖𝑜𝑛∗𝐸𝑓𝑓</a:t>
              </a:r>
              <a:r>
                <a:rPr lang="en-US" sz="1600" b="0" i="0">
                  <a:latin typeface="Cambria Math" panose="02040503050406030204" pitchFamily="18" charset="0"/>
                </a:rPr>
                <a:t>_𝐼𝑆𝑅</a:t>
              </a:r>
              <a:endParaRPr lang="en-US" sz="1600"/>
            </a:p>
          </xdr:txBody>
        </xdr:sp>
      </mc:Fallback>
    </mc:AlternateContent>
    <xdr:clientData/>
  </xdr:twoCellAnchor>
  <xdr:twoCellAnchor>
    <xdr:from>
      <xdr:col>3</xdr:col>
      <xdr:colOff>919138</xdr:colOff>
      <xdr:row>92</xdr:row>
      <xdr:rowOff>59872</xdr:rowOff>
    </xdr:from>
    <xdr:to>
      <xdr:col>5</xdr:col>
      <xdr:colOff>1086970</xdr:colOff>
      <xdr:row>94</xdr:row>
      <xdr:rowOff>18602</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00000000-0008-0000-0400-00000D000000}"/>
                </a:ext>
              </a:extLst>
            </xdr:cNvPr>
            <xdr:cNvSpPr txBox="1"/>
          </xdr:nvSpPr>
          <xdr:spPr>
            <a:xfrm>
              <a:off x="3518903" y="10156372"/>
              <a:ext cx="7496479" cy="36214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 = </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m:t>
                    </m:r>
                    <m:r>
                      <a:rPr lang="en-US" sz="1600" i="1">
                        <a:latin typeface="Cambria Math" panose="02040503050406030204" pitchFamily="18" charset="0"/>
                      </a:rPr>
                      <m:t>𝐶𝐹</m:t>
                    </m:r>
                  </m:oMath>
                </m:oMathPara>
              </a14:m>
              <a:endParaRPr lang="en-US" sz="1600"/>
            </a:p>
          </xdr:txBody>
        </xdr:sp>
      </mc:Choice>
      <mc:Fallback xmlns="">
        <xdr:sp macro="" textlink="">
          <xdr:nvSpPr>
            <xdr:cNvPr id="13" name="TextBox 12">
              <a:extLst>
                <a:ext uri="{FF2B5EF4-FFF2-40B4-BE49-F238E27FC236}">
                  <a16:creationId xmlns:a16="http://schemas.microsoft.com/office/drawing/2014/main" id="{00000000-0008-0000-0400-00000D000000}"/>
                </a:ext>
              </a:extLst>
            </xdr:cNvPr>
            <xdr:cNvSpPr txBox="1"/>
          </xdr:nvSpPr>
          <xdr:spPr>
            <a:xfrm>
              <a:off x="3518903" y="10156372"/>
              <a:ext cx="7496479" cy="36214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 = </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𝑐𝑜𝑜𝑙𝑖𝑛𝑔∗𝐶𝐹</a:t>
              </a:r>
              <a:endParaRPr lang="en-US" sz="1600"/>
            </a:p>
          </xdr:txBody>
        </xdr:sp>
      </mc:Fallback>
    </mc:AlternateContent>
    <xdr:clientData/>
  </xdr:twoCellAnchor>
  <xdr:twoCellAnchor>
    <xdr:from>
      <xdr:col>2</xdr:col>
      <xdr:colOff>796365</xdr:colOff>
      <xdr:row>177</xdr:row>
      <xdr:rowOff>83419</xdr:rowOff>
    </xdr:from>
    <xdr:to>
      <xdr:col>4</xdr:col>
      <xdr:colOff>3571067</xdr:colOff>
      <xdr:row>179</xdr:row>
      <xdr:rowOff>186462</xdr:rowOff>
    </xdr:to>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00000000-0008-0000-0400-00000F000000}"/>
                </a:ext>
              </a:extLst>
            </xdr:cNvPr>
            <xdr:cNvSpPr txBox="1"/>
          </xdr:nvSpPr>
          <xdr:spPr>
            <a:xfrm>
              <a:off x="1825065" y="32468419"/>
              <a:ext cx="1222127"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strike="sngStrike" baseline="0">
                        <a:solidFill>
                          <a:schemeClr val="bg2">
                            <a:lumMod val="90000"/>
                          </a:schemeClr>
                        </a:solidFill>
                        <a:latin typeface="Cambria Math" panose="02040503050406030204" pitchFamily="18" charset="0"/>
                      </a:rPr>
                      <m:t>𝐸𝑛𝑒𝑟𝑔𝑦</m:t>
                    </m:r>
                    <m:r>
                      <a:rPr lang="en-US" sz="1400" b="0" i="1" strike="sngStrike" baseline="0">
                        <a:solidFill>
                          <a:schemeClr val="bg2">
                            <a:lumMod val="90000"/>
                          </a:schemeClr>
                        </a:solidFill>
                        <a:latin typeface="Cambria Math" panose="02040503050406030204" pitchFamily="18" charset="0"/>
                      </a:rPr>
                      <m:t> </m:t>
                    </m:r>
                    <m:r>
                      <a:rPr lang="en-US" sz="1400" b="0" i="1" strike="sngStrike" baseline="0">
                        <a:solidFill>
                          <a:schemeClr val="bg2">
                            <a:lumMod val="90000"/>
                          </a:schemeClr>
                        </a:solidFill>
                        <a:latin typeface="Cambria Math" panose="02040503050406030204" pitchFamily="18" charset="0"/>
                      </a:rPr>
                      <m:t>𝑆𝑎𝑣𝑖𝑛𝑔𝑠</m:t>
                    </m:r>
                    <m:r>
                      <a:rPr lang="en-US" sz="1400" b="0" i="1" strike="sngStrike" baseline="0">
                        <a:solidFill>
                          <a:schemeClr val="bg2">
                            <a:lumMod val="90000"/>
                          </a:schemeClr>
                        </a:solidFill>
                        <a:latin typeface="Cambria Math" panose="02040503050406030204" pitchFamily="18" charset="0"/>
                      </a:rPr>
                      <m:t> </m:t>
                    </m:r>
                    <m:d>
                      <m:dPr>
                        <m:ctrlPr>
                          <a:rPr lang="en-US" sz="1400" b="0" i="1" strike="sngStrike" baseline="0">
                            <a:solidFill>
                              <a:schemeClr val="bg2">
                                <a:lumMod val="90000"/>
                              </a:schemeClr>
                            </a:solidFill>
                            <a:latin typeface="Cambria Math" panose="02040503050406030204" pitchFamily="18" charset="0"/>
                          </a:rPr>
                        </m:ctrlPr>
                      </m:dPr>
                      <m:e>
                        <m:f>
                          <m:fPr>
                            <m:ctrlPr>
                              <a:rPr lang="en-US" sz="1400" b="0" i="1" strike="sngStrike" baseline="0">
                                <a:solidFill>
                                  <a:schemeClr val="bg2">
                                    <a:lumMod val="90000"/>
                                  </a:schemeClr>
                                </a:solidFill>
                                <a:latin typeface="Cambria Math" panose="02040503050406030204" pitchFamily="18" charset="0"/>
                              </a:rPr>
                            </m:ctrlPr>
                          </m:fPr>
                          <m:num>
                            <m:r>
                              <a:rPr lang="en-US" sz="1400" b="0" i="1" strike="sngStrike" baseline="0">
                                <a:solidFill>
                                  <a:schemeClr val="bg2">
                                    <a:lumMod val="90000"/>
                                  </a:schemeClr>
                                </a:solidFill>
                                <a:latin typeface="Cambria Math" panose="02040503050406030204" pitchFamily="18" charset="0"/>
                              </a:rPr>
                              <m:t>𝑘𝑊h</m:t>
                            </m:r>
                          </m:num>
                          <m:den>
                            <m:r>
                              <a:rPr lang="en-US" sz="1400" b="0" i="1" strike="sngStrike" baseline="0">
                                <a:solidFill>
                                  <a:schemeClr val="bg2">
                                    <a:lumMod val="90000"/>
                                  </a:schemeClr>
                                </a:solidFill>
                                <a:latin typeface="Cambria Math" panose="02040503050406030204" pitchFamily="18" charset="0"/>
                              </a:rPr>
                              <m:t>𝑌𝑒𝑎𝑟</m:t>
                            </m:r>
                          </m:den>
                        </m:f>
                      </m:e>
                    </m:d>
                    <m:r>
                      <a:rPr lang="en-US" sz="1400" b="0" i="1" strike="sngStrike" baseline="0">
                        <a:solidFill>
                          <a:schemeClr val="bg2">
                            <a:lumMod val="90000"/>
                          </a:schemeClr>
                        </a:solidFill>
                        <a:latin typeface="Cambria Math" panose="02040503050406030204" pitchFamily="18" charset="0"/>
                      </a:rPr>
                      <m:t>=</m:t>
                    </m:r>
                    <m:r>
                      <a:rPr lang="en-US" sz="1400" b="0" i="1" strike="sngStrike" baseline="0">
                        <a:solidFill>
                          <a:schemeClr val="bg2">
                            <a:lumMod val="90000"/>
                          </a:schemeClr>
                        </a:solidFill>
                        <a:latin typeface="Cambria Math" panose="02040503050406030204" pitchFamily="18" charset="0"/>
                      </a:rPr>
                      <m:t>𝐷𝑎𝑦</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𝑠</m:t>
                        </m:r>
                      </m:e>
                      <m:sub>
                        <m:r>
                          <a:rPr lang="en-US" sz="1400" b="0" i="1" strike="sngStrike" baseline="0">
                            <a:solidFill>
                              <a:schemeClr val="bg2">
                                <a:lumMod val="90000"/>
                              </a:schemeClr>
                            </a:solidFill>
                            <a:latin typeface="Cambria Math" panose="02040503050406030204" pitchFamily="18" charset="0"/>
                          </a:rPr>
                          <m:t>𝑜𝑝𝑒𝑟</m:t>
                        </m:r>
                      </m:sub>
                    </m:sSub>
                    <m:r>
                      <a:rPr lang="en-US" sz="1400" b="0" i="1" strike="sngStrike" baseline="0">
                        <a:solidFill>
                          <a:schemeClr val="bg2">
                            <a:lumMod val="90000"/>
                          </a:schemeClr>
                        </a:solidFill>
                        <a:latin typeface="Cambria Math" panose="02040503050406030204" pitchFamily="18" charset="0"/>
                      </a:rPr>
                      <m:t>∗</m:t>
                    </m:r>
                    <m:d>
                      <m:dPr>
                        <m:begChr m:val="{"/>
                        <m:endChr m:val="}"/>
                        <m:ctrlPr>
                          <a:rPr lang="en-US" sz="1400" b="0" i="1" strike="sngStrike" baseline="0">
                            <a:solidFill>
                              <a:schemeClr val="bg2">
                                <a:lumMod val="90000"/>
                              </a:schemeClr>
                            </a:solidFill>
                            <a:latin typeface="Cambria Math" panose="02040503050406030204" pitchFamily="18" charset="0"/>
                          </a:rPr>
                        </m:ctrlPr>
                      </m:dPr>
                      <m:e>
                        <m:d>
                          <m:dPr>
                            <m:ctrlPr>
                              <a:rPr lang="en-US" sz="1400" b="0" i="1" strike="sngStrike" baseline="0">
                                <a:solidFill>
                                  <a:schemeClr val="bg2">
                                    <a:lumMod val="90000"/>
                                  </a:schemeClr>
                                </a:solidFill>
                                <a:latin typeface="Cambria Math" panose="02040503050406030204" pitchFamily="18" charset="0"/>
                              </a:rPr>
                            </m:ctrlPr>
                          </m:dPr>
                          <m:e>
                            <m:f>
                              <m:fPr>
                                <m:ctrlPr>
                                  <a:rPr lang="en-US" sz="1400" b="0" i="1" strike="sngStrike" baseline="0">
                                    <a:solidFill>
                                      <a:schemeClr val="bg2">
                                        <a:lumMod val="90000"/>
                                      </a:schemeClr>
                                    </a:solidFill>
                                    <a:latin typeface="Cambria Math" panose="02040503050406030204" pitchFamily="18" charset="0"/>
                                  </a:rPr>
                                </m:ctrlPr>
                              </m:fPr>
                              <m:num>
                                <m:r>
                                  <a:rPr lang="en-US" sz="1400" b="0" i="1" strike="sngStrike" baseline="0">
                                    <a:solidFill>
                                      <a:schemeClr val="bg2">
                                        <a:lumMod val="90000"/>
                                      </a:schemeClr>
                                    </a:solidFill>
                                    <a:latin typeface="Cambria Math" panose="02040503050406030204" pitchFamily="18" charset="0"/>
                                  </a:rPr>
                                  <m:t>𝑘𝑊</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h</m:t>
                                    </m:r>
                                  </m:e>
                                  <m:sub>
                                    <m:r>
                                      <a:rPr lang="en-US" sz="1400" b="0" i="1" strike="sngStrike" baseline="0">
                                        <a:solidFill>
                                          <a:schemeClr val="bg2">
                                            <a:lumMod val="90000"/>
                                          </a:schemeClr>
                                        </a:solidFill>
                                        <a:latin typeface="Cambria Math" panose="02040503050406030204" pitchFamily="18" charset="0"/>
                                      </a:rPr>
                                      <m:t>𝑠𝑠</m:t>
                                    </m:r>
                                  </m:sub>
                                </m:sSub>
                              </m:num>
                              <m:den>
                                <m:r>
                                  <a:rPr lang="en-US" sz="1400" b="0" i="1" strike="sngStrike" baseline="0">
                                    <a:solidFill>
                                      <a:schemeClr val="bg2">
                                        <a:lumMod val="90000"/>
                                      </a:schemeClr>
                                    </a:solidFill>
                                    <a:latin typeface="Cambria Math" panose="02040503050406030204" pitchFamily="18" charset="0"/>
                                  </a:rPr>
                                  <m:t>𝐷𝑎𝑦</m:t>
                                </m:r>
                              </m:den>
                            </m:f>
                          </m:e>
                        </m:d>
                        <m:r>
                          <a:rPr lang="en-US" sz="1400" b="0" i="1" strike="sngStrike" baseline="0">
                            <a:solidFill>
                              <a:schemeClr val="bg2">
                                <a:lumMod val="90000"/>
                              </a:schemeClr>
                            </a:solidFill>
                            <a:latin typeface="Cambria Math" panose="02040503050406030204" pitchFamily="18" charset="0"/>
                          </a:rPr>
                          <m:t>−</m:t>
                        </m:r>
                        <m:d>
                          <m:dPr>
                            <m:ctrlPr>
                              <a:rPr lang="en-US" sz="1400" b="0" i="1" strike="sngStrike" baseline="0">
                                <a:solidFill>
                                  <a:schemeClr val="bg2">
                                    <a:lumMod val="90000"/>
                                  </a:schemeClr>
                                </a:solidFill>
                                <a:latin typeface="Cambria Math" panose="02040503050406030204" pitchFamily="18" charset="0"/>
                              </a:rPr>
                            </m:ctrlPr>
                          </m:dPr>
                          <m:e>
                            <m:f>
                              <m:fPr>
                                <m:ctrlPr>
                                  <a:rPr lang="en-US" sz="1400" b="0" i="1" strike="sngStrike" baseline="0">
                                    <a:solidFill>
                                      <a:schemeClr val="bg2">
                                        <a:lumMod val="90000"/>
                                      </a:schemeClr>
                                    </a:solidFill>
                                    <a:latin typeface="Cambria Math" panose="02040503050406030204" pitchFamily="18" charset="0"/>
                                  </a:rPr>
                                </m:ctrlPr>
                              </m:fPr>
                              <m:num>
                                <m:r>
                                  <a:rPr lang="en-US" sz="1400" b="0" i="1" strike="sngStrike" baseline="0">
                                    <a:solidFill>
                                      <a:schemeClr val="bg2">
                                        <a:lumMod val="90000"/>
                                      </a:schemeClr>
                                    </a:solidFill>
                                    <a:latin typeface="Cambria Math" panose="02040503050406030204" pitchFamily="18" charset="0"/>
                                  </a:rPr>
                                  <m:t>𝑘𝑊</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h</m:t>
                                    </m:r>
                                  </m:e>
                                  <m:sub>
                                    <m:r>
                                      <a:rPr lang="en-US" sz="1400" b="0" i="1" strike="sngStrike" baseline="0">
                                        <a:solidFill>
                                          <a:schemeClr val="bg2">
                                            <a:lumMod val="90000"/>
                                          </a:schemeClr>
                                        </a:solidFill>
                                        <a:latin typeface="Cambria Math" panose="02040503050406030204" pitchFamily="18" charset="0"/>
                                      </a:rPr>
                                      <m:t>𝑑𝑠</m:t>
                                    </m:r>
                                  </m:sub>
                                </m:sSub>
                              </m:num>
                              <m:den>
                                <m:r>
                                  <a:rPr lang="en-US" sz="1400" b="0" i="1" strike="sngStrike" baseline="0">
                                    <a:solidFill>
                                      <a:schemeClr val="bg2">
                                        <a:lumMod val="90000"/>
                                      </a:schemeClr>
                                    </a:solidFill>
                                    <a:latin typeface="Cambria Math" panose="02040503050406030204" pitchFamily="18" charset="0"/>
                                  </a:rPr>
                                  <m:t>𝐷𝑎𝑦</m:t>
                                </m:r>
                              </m:den>
                            </m:f>
                          </m:e>
                        </m:d>
                      </m:e>
                    </m:d>
                    <m:r>
                      <a:rPr lang="en-US" sz="1400" b="0" i="1" strike="sngStrike" baseline="0">
                        <a:solidFill>
                          <a:schemeClr val="bg2">
                            <a:lumMod val="90000"/>
                          </a:schemeClr>
                        </a:solidFill>
                        <a:latin typeface="Cambria Math" panose="02040503050406030204" pitchFamily="18" charset="0"/>
                      </a:rPr>
                      <m:t>∗</m:t>
                    </m:r>
                    <m:r>
                      <a:rPr lang="en-US" sz="1400" b="0" i="1" strike="sngStrike" baseline="0">
                        <a:solidFill>
                          <a:schemeClr val="bg2">
                            <a:lumMod val="90000"/>
                          </a:schemeClr>
                        </a:solidFill>
                        <a:latin typeface="Cambria Math" panose="02040503050406030204" pitchFamily="18" charset="0"/>
                      </a:rPr>
                      <m:t>𝐼𝑆𝑅</m:t>
                    </m:r>
                  </m:oMath>
                </m:oMathPara>
              </a14:m>
              <a:endParaRPr lang="en-US" sz="1400" strike="sngStrike" baseline="0">
                <a:solidFill>
                  <a:schemeClr val="bg2">
                    <a:lumMod val="90000"/>
                  </a:schemeClr>
                </a:solidFill>
              </a:endParaRPr>
            </a:p>
          </xdr:txBody>
        </xdr:sp>
      </mc:Choice>
      <mc:Fallback xmlns="">
        <xdr:sp macro="" textlink="">
          <xdr:nvSpPr>
            <xdr:cNvPr id="15" name="TextBox 14">
              <a:extLst>
                <a:ext uri="{FF2B5EF4-FFF2-40B4-BE49-F238E27FC236}">
                  <a16:creationId xmlns:a16="http://schemas.microsoft.com/office/drawing/2014/main" id="{00000000-0008-0000-0400-00000F000000}"/>
                </a:ext>
              </a:extLst>
            </xdr:cNvPr>
            <xdr:cNvSpPr txBox="1"/>
          </xdr:nvSpPr>
          <xdr:spPr>
            <a:xfrm>
              <a:off x="1825065" y="32468419"/>
              <a:ext cx="1222127"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strike="sngStrike" baseline="0">
                  <a:solidFill>
                    <a:schemeClr val="bg2">
                      <a:lumMod val="90000"/>
                    </a:schemeClr>
                  </a:solidFill>
                  <a:latin typeface="Cambria Math" panose="02040503050406030204" pitchFamily="18" charset="0"/>
                </a:rPr>
                <a:t>𝐸𝑛𝑒𝑟𝑔𝑦 𝑆𝑎𝑣𝑖𝑛𝑔𝑠 (𝑘𝑊ℎ/𝑌𝑒𝑎𝑟)=𝐷𝑎𝑦𝑠_𝑜𝑝𝑒𝑟∗{((𝑘𝑊ℎ_𝑠𝑠)/𝐷𝑎𝑦)−((𝑘𝑊ℎ_𝑑𝑠)/𝐷𝑎𝑦)}∗𝐼𝑆𝑅</a:t>
              </a:r>
              <a:endParaRPr lang="en-US" sz="1400" strike="sngStrike" baseline="0">
                <a:solidFill>
                  <a:schemeClr val="bg2">
                    <a:lumMod val="90000"/>
                  </a:schemeClr>
                </a:solidFill>
              </a:endParaRPr>
            </a:p>
          </xdr:txBody>
        </xdr:sp>
      </mc:Fallback>
    </mc:AlternateContent>
    <xdr:clientData/>
  </xdr:twoCellAnchor>
  <xdr:twoCellAnchor>
    <xdr:from>
      <xdr:col>7</xdr:col>
      <xdr:colOff>535079</xdr:colOff>
      <xdr:row>176</xdr:row>
      <xdr:rowOff>122464</xdr:rowOff>
    </xdr:from>
    <xdr:to>
      <xdr:col>11</xdr:col>
      <xdr:colOff>625928</xdr:colOff>
      <xdr:row>182</xdr:row>
      <xdr:rowOff>122464</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00000000-0008-0000-0400-000010000000}"/>
                </a:ext>
              </a:extLst>
            </xdr:cNvPr>
            <xdr:cNvSpPr txBox="1"/>
          </xdr:nvSpPr>
          <xdr:spPr>
            <a:xfrm>
              <a:off x="13135293" y="55421893"/>
              <a:ext cx="4036921" cy="11430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strike="sngStrike" baseline="0">
                            <a:solidFill>
                              <a:schemeClr val="bg2">
                                <a:lumMod val="90000"/>
                              </a:schemeClr>
                            </a:solidFill>
                            <a:latin typeface="Cambria Math" panose="02040503050406030204" pitchFamily="18" charset="0"/>
                          </a:rPr>
                        </m:ctrlPr>
                      </m:dPr>
                      <m:e>
                        <m:f>
                          <m:fPr>
                            <m:ctrlPr>
                              <a:rPr lang="en-US" sz="1400" b="0" i="1" strike="sngStrike" baseline="0">
                                <a:solidFill>
                                  <a:schemeClr val="bg2">
                                    <a:lumMod val="90000"/>
                                  </a:schemeClr>
                                </a:solidFill>
                                <a:latin typeface="Cambria Math" panose="02040503050406030204" pitchFamily="18" charset="0"/>
                              </a:rPr>
                            </m:ctrlPr>
                          </m:fPr>
                          <m:num>
                            <m:r>
                              <a:rPr lang="en-US" sz="1400" b="0" i="1" strike="sngStrike" baseline="0">
                                <a:solidFill>
                                  <a:schemeClr val="bg2">
                                    <a:lumMod val="90000"/>
                                  </a:schemeClr>
                                </a:solidFill>
                                <a:latin typeface="Cambria Math" panose="02040503050406030204" pitchFamily="18" charset="0"/>
                              </a:rPr>
                              <m:t>𝑘𝑊</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h</m:t>
                                </m:r>
                              </m:e>
                              <m:sub>
                                <m:r>
                                  <a:rPr lang="en-US" sz="1400" b="0" i="1" strike="sngStrike" baseline="0">
                                    <a:solidFill>
                                      <a:schemeClr val="bg2">
                                        <a:lumMod val="90000"/>
                                      </a:schemeClr>
                                    </a:solidFill>
                                    <a:latin typeface="Cambria Math" panose="02040503050406030204" pitchFamily="18" charset="0"/>
                                  </a:rPr>
                                  <m:t>𝑑𝑠</m:t>
                                </m:r>
                              </m:sub>
                            </m:sSub>
                          </m:num>
                          <m:den>
                            <m:r>
                              <a:rPr lang="en-US" sz="1400" b="0" i="1" strike="sngStrike" baseline="0">
                                <a:solidFill>
                                  <a:schemeClr val="bg2">
                                    <a:lumMod val="90000"/>
                                  </a:schemeClr>
                                </a:solidFill>
                                <a:latin typeface="Cambria Math" panose="02040503050406030204" pitchFamily="18" charset="0"/>
                              </a:rPr>
                              <m:t>𝐷𝑎𝑦</m:t>
                            </m:r>
                          </m:den>
                        </m:f>
                      </m:e>
                    </m:d>
                    <m:r>
                      <a:rPr lang="en-US" sz="1400" b="0" i="1" strike="sngStrike" baseline="0">
                        <a:solidFill>
                          <a:schemeClr val="bg2">
                            <a:lumMod val="90000"/>
                          </a:schemeClr>
                        </a:solidFill>
                        <a:latin typeface="Cambria Math" panose="02040503050406030204" pitchFamily="18" charset="0"/>
                      </a:rPr>
                      <m:t>=</m:t>
                    </m:r>
                    <m:d>
                      <m:dPr>
                        <m:ctrlPr>
                          <a:rPr lang="en-US" sz="1400" b="0" i="1" strike="sngStrike" baseline="0">
                            <a:solidFill>
                              <a:schemeClr val="bg2">
                                <a:lumMod val="90000"/>
                              </a:schemeClr>
                            </a:solidFill>
                            <a:latin typeface="Cambria Math" panose="02040503050406030204" pitchFamily="18" charset="0"/>
                          </a:rPr>
                        </m:ctrlPr>
                      </m:dPr>
                      <m:e>
                        <m:f>
                          <m:fPr>
                            <m:ctrlPr>
                              <a:rPr lang="en-US" sz="1400" b="0" i="1" strike="sngStrike" baseline="0">
                                <a:solidFill>
                                  <a:schemeClr val="bg2">
                                    <a:lumMod val="90000"/>
                                  </a:schemeClr>
                                </a:solidFill>
                                <a:latin typeface="Cambria Math" panose="02040503050406030204" pitchFamily="18" charset="0"/>
                              </a:rPr>
                            </m:ctrlPr>
                          </m:fPr>
                          <m:num>
                            <m:r>
                              <a:rPr lang="en-US" sz="1400" b="0" i="1" strike="sngStrike" baseline="0">
                                <a:solidFill>
                                  <a:schemeClr val="bg2">
                                    <a:lumMod val="90000"/>
                                  </a:schemeClr>
                                </a:solidFill>
                                <a:latin typeface="Cambria Math" panose="02040503050406030204" pitchFamily="18" charset="0"/>
                              </a:rPr>
                              <m:t>𝑘𝑊</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h</m:t>
                                </m:r>
                              </m:e>
                              <m:sub>
                                <m:r>
                                  <a:rPr lang="en-US" sz="1400" b="0" i="1" strike="sngStrike" baseline="0">
                                    <a:solidFill>
                                      <a:schemeClr val="bg2">
                                        <a:lumMod val="90000"/>
                                      </a:schemeClr>
                                    </a:solidFill>
                                    <a:latin typeface="Cambria Math" panose="02040503050406030204" pitchFamily="18" charset="0"/>
                                  </a:rPr>
                                  <m:t>h𝑠</m:t>
                                </m:r>
                              </m:sub>
                            </m:sSub>
                          </m:num>
                          <m:den>
                            <m:r>
                              <a:rPr lang="en-US" sz="1400" b="0" i="1" strike="sngStrike" baseline="0">
                                <a:solidFill>
                                  <a:schemeClr val="bg2">
                                    <a:lumMod val="90000"/>
                                  </a:schemeClr>
                                </a:solidFill>
                                <a:latin typeface="Cambria Math" panose="02040503050406030204" pitchFamily="18" charset="0"/>
                              </a:rPr>
                              <m:t>𝐷𝑎𝑦</m:t>
                            </m:r>
                          </m:den>
                        </m:f>
                      </m:e>
                    </m:d>
                    <m:r>
                      <a:rPr lang="en-US" sz="1400" b="0" i="1" strike="sngStrike" baseline="0">
                        <a:solidFill>
                          <a:schemeClr val="bg2">
                            <a:lumMod val="90000"/>
                          </a:schemeClr>
                        </a:solidFill>
                        <a:latin typeface="Cambria Math" panose="02040503050406030204" pitchFamily="18" charset="0"/>
                      </a:rPr>
                      <m:t>+</m:t>
                    </m:r>
                    <m:d>
                      <m:dPr>
                        <m:ctrlPr>
                          <a:rPr lang="en-US" sz="1400" b="0" i="1" strike="sngStrike" baseline="0">
                            <a:solidFill>
                              <a:schemeClr val="bg2">
                                <a:lumMod val="90000"/>
                              </a:schemeClr>
                            </a:solidFill>
                            <a:latin typeface="Cambria Math" panose="02040503050406030204" pitchFamily="18" charset="0"/>
                          </a:rPr>
                        </m:ctrlPr>
                      </m:dPr>
                      <m:e>
                        <m:f>
                          <m:fPr>
                            <m:ctrlPr>
                              <a:rPr lang="en-US" sz="1400" b="0" i="1" strike="sngStrike" baseline="0">
                                <a:solidFill>
                                  <a:schemeClr val="bg2">
                                    <a:lumMod val="90000"/>
                                  </a:schemeClr>
                                </a:solidFill>
                                <a:latin typeface="Cambria Math" panose="02040503050406030204" pitchFamily="18" charset="0"/>
                              </a:rPr>
                            </m:ctrlPr>
                          </m:fPr>
                          <m:num>
                            <m:r>
                              <a:rPr lang="en-US" sz="1400" b="0" i="1" strike="sngStrike" baseline="0">
                                <a:solidFill>
                                  <a:schemeClr val="bg2">
                                    <a:lumMod val="90000"/>
                                  </a:schemeClr>
                                </a:solidFill>
                                <a:latin typeface="Cambria Math" panose="02040503050406030204" pitchFamily="18" charset="0"/>
                              </a:rPr>
                              <m:t>𝑘𝑊</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h</m:t>
                                </m:r>
                              </m:e>
                              <m:sub>
                                <m:r>
                                  <a:rPr lang="en-US" sz="1400" b="0" i="1" strike="sngStrike" baseline="0">
                                    <a:solidFill>
                                      <a:schemeClr val="bg2">
                                        <a:lumMod val="90000"/>
                                      </a:schemeClr>
                                    </a:solidFill>
                                    <a:latin typeface="Cambria Math" panose="02040503050406030204" pitchFamily="18" charset="0"/>
                                  </a:rPr>
                                  <m:t>𝑙𝑠</m:t>
                                </m:r>
                              </m:sub>
                            </m:sSub>
                          </m:num>
                          <m:den>
                            <m:r>
                              <a:rPr lang="en-US" sz="1400" b="0" i="1" strike="sngStrike" baseline="0">
                                <a:solidFill>
                                  <a:schemeClr val="bg2">
                                    <a:lumMod val="90000"/>
                                  </a:schemeClr>
                                </a:solidFill>
                                <a:latin typeface="Cambria Math" panose="02040503050406030204" pitchFamily="18" charset="0"/>
                              </a:rPr>
                              <m:t>𝐷𝑎𝑦</m:t>
                            </m:r>
                          </m:den>
                        </m:f>
                      </m:e>
                    </m:d>
                  </m:oMath>
                </m:oMathPara>
              </a14:m>
              <a:endParaRPr lang="en-US" sz="1400" strike="sngStrike" baseline="0">
                <a:solidFill>
                  <a:schemeClr val="bg2">
                    <a:lumMod val="90000"/>
                  </a:schemeClr>
                </a:solidFill>
              </a:endParaRPr>
            </a:p>
          </xdr:txBody>
        </xdr:sp>
      </mc:Choice>
      <mc:Fallback xmlns="">
        <xdr:sp macro="" textlink="">
          <xdr:nvSpPr>
            <xdr:cNvPr id="16" name="TextBox 15">
              <a:extLst>
                <a:ext uri="{FF2B5EF4-FFF2-40B4-BE49-F238E27FC236}">
                  <a16:creationId xmlns:a16="http://schemas.microsoft.com/office/drawing/2014/main" id="{00000000-0008-0000-0400-000010000000}"/>
                </a:ext>
              </a:extLst>
            </xdr:cNvPr>
            <xdr:cNvSpPr txBox="1"/>
          </xdr:nvSpPr>
          <xdr:spPr>
            <a:xfrm>
              <a:off x="13135293" y="55421893"/>
              <a:ext cx="4036921" cy="11430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strike="sngStrike" baseline="0">
                  <a:solidFill>
                    <a:schemeClr val="bg2">
                      <a:lumMod val="90000"/>
                    </a:schemeClr>
                  </a:solidFill>
                  <a:latin typeface="Cambria Math" panose="02040503050406030204" pitchFamily="18" charset="0"/>
                </a:rPr>
                <a:t>((𝑘𝑊ℎ_𝑑𝑠)/𝐷𝑎𝑦)=((𝑘𝑊ℎ_ℎ𝑠)/𝐷𝑎𝑦)+((𝑘𝑊ℎ_𝑙𝑠)/𝐷𝑎𝑦)</a:t>
              </a:r>
              <a:endParaRPr lang="en-US" sz="1400" strike="sngStrike" baseline="0">
                <a:solidFill>
                  <a:schemeClr val="bg2">
                    <a:lumMod val="90000"/>
                  </a:schemeClr>
                </a:solidFill>
              </a:endParaRPr>
            </a:p>
          </xdr:txBody>
        </xdr:sp>
      </mc:Fallback>
    </mc:AlternateContent>
    <xdr:clientData/>
  </xdr:twoCellAnchor>
  <xdr:twoCellAnchor>
    <xdr:from>
      <xdr:col>4</xdr:col>
      <xdr:colOff>3591486</xdr:colOff>
      <xdr:row>176</xdr:row>
      <xdr:rowOff>163286</xdr:rowOff>
    </xdr:from>
    <xdr:to>
      <xdr:col>7</xdr:col>
      <xdr:colOff>571500</xdr:colOff>
      <xdr:row>180</xdr:row>
      <xdr:rowOff>124458</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00000000-0008-0000-0400-000011000000}"/>
                </a:ext>
              </a:extLst>
            </xdr:cNvPr>
            <xdr:cNvSpPr txBox="1"/>
          </xdr:nvSpPr>
          <xdr:spPr>
            <a:xfrm>
              <a:off x="8748593" y="55462715"/>
              <a:ext cx="4423121" cy="7231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strike="sngStrike" baseline="0">
                            <a:solidFill>
                              <a:schemeClr val="bg2">
                                <a:lumMod val="90000"/>
                              </a:schemeClr>
                            </a:solidFill>
                            <a:latin typeface="Cambria Math" panose="02040503050406030204" pitchFamily="18" charset="0"/>
                          </a:rPr>
                        </m:ctrlPr>
                      </m:dPr>
                      <m:e>
                        <m:f>
                          <m:fPr>
                            <m:ctrlPr>
                              <a:rPr lang="en-US" sz="1400" b="0" i="1" strike="sngStrike" baseline="0">
                                <a:solidFill>
                                  <a:schemeClr val="bg2">
                                    <a:lumMod val="90000"/>
                                  </a:schemeClr>
                                </a:solidFill>
                                <a:latin typeface="Cambria Math" panose="02040503050406030204" pitchFamily="18" charset="0"/>
                              </a:rPr>
                            </m:ctrlPr>
                          </m:fPr>
                          <m:num>
                            <m:r>
                              <a:rPr lang="en-US" sz="1400" b="0" i="1" strike="sngStrike" baseline="0">
                                <a:solidFill>
                                  <a:schemeClr val="bg2">
                                    <a:lumMod val="90000"/>
                                  </a:schemeClr>
                                </a:solidFill>
                                <a:latin typeface="Cambria Math" panose="02040503050406030204" pitchFamily="18" charset="0"/>
                              </a:rPr>
                              <m:t>𝑘𝑊</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h</m:t>
                                </m:r>
                              </m:e>
                              <m:sub>
                                <m:r>
                                  <a:rPr lang="en-US" sz="1400" b="0" i="1" strike="sngStrike" baseline="0">
                                    <a:solidFill>
                                      <a:schemeClr val="bg2">
                                        <a:lumMod val="90000"/>
                                      </a:schemeClr>
                                    </a:solidFill>
                                    <a:latin typeface="Cambria Math" panose="02040503050406030204" pitchFamily="18" charset="0"/>
                                  </a:rPr>
                                  <m:t>𝑠𝑠</m:t>
                                </m:r>
                              </m:sub>
                            </m:sSub>
                          </m:num>
                          <m:den>
                            <m:r>
                              <a:rPr lang="en-US" sz="1400" b="0" i="1" strike="sngStrike" baseline="0">
                                <a:solidFill>
                                  <a:schemeClr val="bg2">
                                    <a:lumMod val="90000"/>
                                  </a:schemeClr>
                                </a:solidFill>
                                <a:latin typeface="Cambria Math" panose="02040503050406030204" pitchFamily="18" charset="0"/>
                              </a:rPr>
                              <m:t>𝐷𝑎𝑦</m:t>
                            </m:r>
                          </m:den>
                        </m:f>
                      </m:e>
                    </m:d>
                    <m:r>
                      <a:rPr lang="en-US" sz="1400" b="0" i="1" strike="sngStrike" baseline="0">
                        <a:solidFill>
                          <a:schemeClr val="bg2">
                            <a:lumMod val="90000"/>
                          </a:schemeClr>
                        </a:solidFill>
                        <a:latin typeface="Cambria Math" panose="02040503050406030204" pitchFamily="18" charset="0"/>
                      </a:rPr>
                      <m:t>=</m:t>
                    </m:r>
                    <m:f>
                      <m:fPr>
                        <m:ctrlPr>
                          <a:rPr lang="en-US" sz="1400" b="0" i="1" strike="sngStrike" baseline="0">
                            <a:solidFill>
                              <a:schemeClr val="bg2">
                                <a:lumMod val="90000"/>
                              </a:schemeClr>
                            </a:solidFill>
                            <a:latin typeface="Cambria Math" panose="02040503050406030204" pitchFamily="18" charset="0"/>
                          </a:rPr>
                        </m:ctrlPr>
                      </m:fPr>
                      <m:num>
                        <m:r>
                          <a:rPr lang="en-US" sz="1400" b="0" i="1" strike="sngStrike" baseline="0">
                            <a:solidFill>
                              <a:schemeClr val="bg2">
                                <a:lumMod val="90000"/>
                              </a:schemeClr>
                            </a:solidFill>
                            <a:latin typeface="Cambria Math" panose="02040503050406030204" pitchFamily="18" charset="0"/>
                          </a:rPr>
                          <m:t>𝑅</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𝑇</m:t>
                            </m:r>
                          </m:e>
                          <m:sub>
                            <m:r>
                              <a:rPr lang="en-US" sz="1400" b="0" i="1" strike="sngStrike" baseline="0">
                                <a:solidFill>
                                  <a:schemeClr val="bg2">
                                    <a:lumMod val="90000"/>
                                  </a:schemeClr>
                                </a:solidFill>
                                <a:latin typeface="Cambria Math" panose="02040503050406030204" pitchFamily="18" charset="0"/>
                              </a:rPr>
                              <m:t>𝑠𝑠</m:t>
                            </m:r>
                          </m:sub>
                        </m:sSub>
                        <m:r>
                          <a:rPr lang="en-US" sz="1400" b="0" i="1" strike="sngStrike" baseline="0">
                            <a:solidFill>
                              <a:schemeClr val="bg2">
                                <a:lumMod val="90000"/>
                              </a:schemeClr>
                            </a:solidFill>
                            <a:latin typeface="Cambria Math" panose="02040503050406030204" pitchFamily="18" charset="0"/>
                          </a:rPr>
                          <m:t>∗</m:t>
                        </m:r>
                        <m:r>
                          <a:rPr lang="en-US" sz="1400" b="0" i="1" strike="sngStrike" baseline="0">
                            <a:solidFill>
                              <a:schemeClr val="bg2">
                                <a:lumMod val="90000"/>
                              </a:schemeClr>
                            </a:solidFill>
                            <a:latin typeface="Cambria Math" panose="02040503050406030204" pitchFamily="18" charset="0"/>
                          </a:rPr>
                          <m:t>𝐺𝑃</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𝑀</m:t>
                            </m:r>
                          </m:e>
                          <m:sub>
                            <m:r>
                              <a:rPr lang="en-US" sz="1400" b="0" i="1" strike="sngStrike" baseline="0">
                                <a:solidFill>
                                  <a:schemeClr val="bg2">
                                    <a:lumMod val="90000"/>
                                  </a:schemeClr>
                                </a:solidFill>
                                <a:latin typeface="Cambria Math" panose="02040503050406030204" pitchFamily="18" charset="0"/>
                              </a:rPr>
                              <m:t>𝑠𝑠</m:t>
                            </m:r>
                          </m:sub>
                        </m:sSub>
                        <m:r>
                          <a:rPr lang="en-US" sz="1400" b="0" i="1" strike="sngStrike" baseline="0">
                            <a:solidFill>
                              <a:schemeClr val="bg2">
                                <a:lumMod val="90000"/>
                              </a:schemeClr>
                            </a:solidFill>
                            <a:latin typeface="Cambria Math" panose="02040503050406030204" pitchFamily="18" charset="0"/>
                          </a:rPr>
                          <m:t>∗60</m:t>
                        </m:r>
                      </m:num>
                      <m:den>
                        <m:r>
                          <a:rPr lang="en-US" sz="1400" b="0" i="1" strike="sngStrike" baseline="0">
                            <a:solidFill>
                              <a:schemeClr val="bg2">
                                <a:lumMod val="90000"/>
                              </a:schemeClr>
                            </a:solidFill>
                            <a:latin typeface="Cambria Math" panose="02040503050406030204" pitchFamily="18" charset="0"/>
                          </a:rPr>
                          <m:t>𝐸</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𝐹</m:t>
                            </m:r>
                          </m:e>
                          <m:sub>
                            <m:r>
                              <a:rPr lang="en-US" sz="1400" b="0" i="1" strike="sngStrike" baseline="0">
                                <a:solidFill>
                                  <a:schemeClr val="bg2">
                                    <a:lumMod val="90000"/>
                                  </a:schemeClr>
                                </a:solidFill>
                                <a:latin typeface="Cambria Math" panose="02040503050406030204" pitchFamily="18" charset="0"/>
                              </a:rPr>
                              <m:t>𝑠𝑠</m:t>
                            </m:r>
                          </m:sub>
                        </m:sSub>
                        <m:r>
                          <a:rPr lang="en-US" sz="1400" b="0" i="1" strike="sngStrike" baseline="0">
                            <a:solidFill>
                              <a:schemeClr val="bg2">
                                <a:lumMod val="90000"/>
                              </a:schemeClr>
                            </a:solidFill>
                            <a:latin typeface="Cambria Math" panose="02040503050406030204" pitchFamily="18" charset="0"/>
                          </a:rPr>
                          <m:t>∗1000</m:t>
                        </m:r>
                      </m:den>
                    </m:f>
                  </m:oMath>
                </m:oMathPara>
              </a14:m>
              <a:endParaRPr lang="en-US" sz="1400" strike="sngStrike" baseline="0">
                <a:solidFill>
                  <a:schemeClr val="bg2">
                    <a:lumMod val="90000"/>
                  </a:schemeClr>
                </a:solidFill>
              </a:endParaRPr>
            </a:p>
          </xdr:txBody>
        </xdr:sp>
      </mc:Choice>
      <mc:Fallback xmlns="">
        <xdr:sp macro="" textlink="">
          <xdr:nvSpPr>
            <xdr:cNvPr id="17" name="TextBox 16">
              <a:extLst>
                <a:ext uri="{FF2B5EF4-FFF2-40B4-BE49-F238E27FC236}">
                  <a16:creationId xmlns:a16="http://schemas.microsoft.com/office/drawing/2014/main" id="{00000000-0008-0000-0400-000011000000}"/>
                </a:ext>
              </a:extLst>
            </xdr:cNvPr>
            <xdr:cNvSpPr txBox="1"/>
          </xdr:nvSpPr>
          <xdr:spPr>
            <a:xfrm>
              <a:off x="8748593" y="55462715"/>
              <a:ext cx="4423121" cy="7231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strike="sngStrike" baseline="0">
                  <a:solidFill>
                    <a:schemeClr val="bg2">
                      <a:lumMod val="90000"/>
                    </a:schemeClr>
                  </a:solidFill>
                  <a:latin typeface="Cambria Math" panose="02040503050406030204" pitchFamily="18" charset="0"/>
                </a:rPr>
                <a:t>((𝑘𝑊ℎ_𝑠𝑠)/𝐷𝑎𝑦)=(𝑅𝑇_𝑠𝑠∗𝐺𝑃𝑀_𝑠𝑠∗60)/(𝐸𝐹_𝑠𝑠∗1000)</a:t>
              </a:r>
              <a:endParaRPr lang="en-US" sz="1400" strike="sngStrike" baseline="0">
                <a:solidFill>
                  <a:schemeClr val="bg2">
                    <a:lumMod val="90000"/>
                  </a:schemeClr>
                </a:solidFill>
              </a:endParaRPr>
            </a:p>
          </xdr:txBody>
        </xdr:sp>
      </mc:Fallback>
    </mc:AlternateContent>
    <xdr:clientData/>
  </xdr:twoCellAnchor>
  <xdr:twoCellAnchor>
    <xdr:from>
      <xdr:col>7</xdr:col>
      <xdr:colOff>746184</xdr:colOff>
      <xdr:row>182</xdr:row>
      <xdr:rowOff>115410</xdr:rowOff>
    </xdr:from>
    <xdr:to>
      <xdr:col>10</xdr:col>
      <xdr:colOff>898070</xdr:colOff>
      <xdr:row>187</xdr:row>
      <xdr:rowOff>27213</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00000000-0008-0000-0400-000012000000}"/>
                </a:ext>
              </a:extLst>
            </xdr:cNvPr>
            <xdr:cNvSpPr txBox="1"/>
          </xdr:nvSpPr>
          <xdr:spPr>
            <a:xfrm>
              <a:off x="13346398" y="56557839"/>
              <a:ext cx="3131851" cy="86430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strike="sngStrike" baseline="0">
                            <a:solidFill>
                              <a:schemeClr val="bg2">
                                <a:lumMod val="90000"/>
                              </a:schemeClr>
                            </a:solidFill>
                            <a:latin typeface="Cambria Math" panose="02040503050406030204" pitchFamily="18" charset="0"/>
                          </a:rPr>
                        </m:ctrlPr>
                      </m:dPr>
                      <m:e>
                        <m:f>
                          <m:fPr>
                            <m:ctrlPr>
                              <a:rPr lang="en-US" sz="1400" b="0" i="1" strike="sngStrike" baseline="0">
                                <a:solidFill>
                                  <a:schemeClr val="bg2">
                                    <a:lumMod val="90000"/>
                                  </a:schemeClr>
                                </a:solidFill>
                                <a:latin typeface="Cambria Math" panose="02040503050406030204" pitchFamily="18" charset="0"/>
                              </a:rPr>
                            </m:ctrlPr>
                          </m:fPr>
                          <m:num>
                            <m:r>
                              <a:rPr lang="en-US" sz="1400" b="0" i="1" strike="sngStrike" baseline="0">
                                <a:solidFill>
                                  <a:schemeClr val="bg2">
                                    <a:lumMod val="90000"/>
                                  </a:schemeClr>
                                </a:solidFill>
                                <a:latin typeface="Cambria Math" panose="02040503050406030204" pitchFamily="18" charset="0"/>
                              </a:rPr>
                              <m:t>𝑘𝑊</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h</m:t>
                                </m:r>
                              </m:e>
                              <m:sub>
                                <m:r>
                                  <a:rPr lang="en-US" sz="1400" b="0" i="1" strike="sngStrike" baseline="0">
                                    <a:solidFill>
                                      <a:schemeClr val="bg2">
                                        <a:lumMod val="90000"/>
                                      </a:schemeClr>
                                    </a:solidFill>
                                    <a:latin typeface="Cambria Math" panose="02040503050406030204" pitchFamily="18" charset="0"/>
                                  </a:rPr>
                                  <m:t>𝑙𝑠</m:t>
                                </m:r>
                              </m:sub>
                            </m:sSub>
                          </m:num>
                          <m:den>
                            <m:r>
                              <a:rPr lang="en-US" sz="1400" b="0" i="1" strike="sngStrike" baseline="0">
                                <a:solidFill>
                                  <a:schemeClr val="bg2">
                                    <a:lumMod val="90000"/>
                                  </a:schemeClr>
                                </a:solidFill>
                                <a:latin typeface="Cambria Math" panose="02040503050406030204" pitchFamily="18" charset="0"/>
                              </a:rPr>
                              <m:t>𝐷𝑎𝑦</m:t>
                            </m:r>
                          </m:den>
                        </m:f>
                      </m:e>
                    </m:d>
                    <m:r>
                      <a:rPr lang="en-US" sz="1400" b="0" i="1" strike="sngStrike" baseline="0">
                        <a:solidFill>
                          <a:schemeClr val="bg2">
                            <a:lumMod val="90000"/>
                          </a:schemeClr>
                        </a:solidFill>
                        <a:latin typeface="Cambria Math" panose="02040503050406030204" pitchFamily="18" charset="0"/>
                      </a:rPr>
                      <m:t>=</m:t>
                    </m:r>
                    <m:f>
                      <m:fPr>
                        <m:ctrlPr>
                          <a:rPr lang="en-US" sz="1400" b="0" i="1" strike="sngStrike" baseline="0">
                            <a:solidFill>
                              <a:schemeClr val="bg2">
                                <a:lumMod val="90000"/>
                              </a:schemeClr>
                            </a:solidFill>
                            <a:latin typeface="Cambria Math" panose="02040503050406030204" pitchFamily="18" charset="0"/>
                          </a:rPr>
                        </m:ctrlPr>
                      </m:fPr>
                      <m:num>
                        <m:r>
                          <a:rPr lang="en-US" sz="1400" b="0" i="1" strike="sngStrike" baseline="0">
                            <a:solidFill>
                              <a:schemeClr val="bg2">
                                <a:lumMod val="90000"/>
                              </a:schemeClr>
                            </a:solidFill>
                            <a:latin typeface="Cambria Math" panose="02040503050406030204" pitchFamily="18" charset="0"/>
                          </a:rPr>
                          <m:t>𝑅</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𝑇</m:t>
                            </m:r>
                          </m:e>
                          <m:sub>
                            <m:r>
                              <a:rPr lang="en-US" sz="1400" b="0" i="1" strike="sngStrike" baseline="0">
                                <a:solidFill>
                                  <a:schemeClr val="bg2">
                                    <a:lumMod val="90000"/>
                                  </a:schemeClr>
                                </a:solidFill>
                                <a:latin typeface="Cambria Math" panose="02040503050406030204" pitchFamily="18" charset="0"/>
                              </a:rPr>
                              <m:t>𝑙𝑠</m:t>
                            </m:r>
                          </m:sub>
                        </m:sSub>
                        <m:r>
                          <a:rPr lang="en-US" sz="1400" b="0" i="1" strike="sngStrike" baseline="0">
                            <a:solidFill>
                              <a:schemeClr val="bg2">
                                <a:lumMod val="90000"/>
                              </a:schemeClr>
                            </a:solidFill>
                            <a:latin typeface="Cambria Math" panose="02040503050406030204" pitchFamily="18" charset="0"/>
                          </a:rPr>
                          <m:t>∗</m:t>
                        </m:r>
                        <m:r>
                          <a:rPr lang="en-US" sz="1400" b="0" i="1" strike="sngStrike" baseline="0">
                            <a:solidFill>
                              <a:schemeClr val="bg2">
                                <a:lumMod val="90000"/>
                              </a:schemeClr>
                            </a:solidFill>
                            <a:latin typeface="Cambria Math" panose="02040503050406030204" pitchFamily="18" charset="0"/>
                          </a:rPr>
                          <m:t>𝐺𝑃</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𝑀</m:t>
                            </m:r>
                          </m:e>
                          <m:sub>
                            <m:r>
                              <a:rPr lang="en-US" sz="1400" b="0" i="1" strike="sngStrike" baseline="0">
                                <a:solidFill>
                                  <a:schemeClr val="bg2">
                                    <a:lumMod val="90000"/>
                                  </a:schemeClr>
                                </a:solidFill>
                                <a:latin typeface="Cambria Math" panose="02040503050406030204" pitchFamily="18" charset="0"/>
                              </a:rPr>
                              <m:t>𝑙𝑠</m:t>
                            </m:r>
                          </m:sub>
                        </m:sSub>
                        <m:r>
                          <a:rPr lang="en-US" sz="1400" b="0" i="1" strike="sngStrike" baseline="0">
                            <a:solidFill>
                              <a:schemeClr val="bg2">
                                <a:lumMod val="90000"/>
                              </a:schemeClr>
                            </a:solidFill>
                            <a:latin typeface="Cambria Math" panose="02040503050406030204" pitchFamily="18" charset="0"/>
                          </a:rPr>
                          <m:t>∗60</m:t>
                        </m:r>
                      </m:num>
                      <m:den>
                        <m:r>
                          <a:rPr lang="en-US" sz="1400" b="0" i="1" strike="sngStrike" baseline="0">
                            <a:solidFill>
                              <a:schemeClr val="bg2">
                                <a:lumMod val="90000"/>
                              </a:schemeClr>
                            </a:solidFill>
                            <a:latin typeface="Cambria Math" panose="02040503050406030204" pitchFamily="18" charset="0"/>
                          </a:rPr>
                          <m:t>𝐸</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𝐹</m:t>
                            </m:r>
                          </m:e>
                          <m:sub>
                            <m:r>
                              <a:rPr lang="en-US" sz="1400" b="0" i="1" strike="sngStrike" baseline="0">
                                <a:solidFill>
                                  <a:schemeClr val="bg2">
                                    <a:lumMod val="90000"/>
                                  </a:schemeClr>
                                </a:solidFill>
                                <a:latin typeface="Cambria Math" panose="02040503050406030204" pitchFamily="18" charset="0"/>
                              </a:rPr>
                              <m:t>𝑙𝑠</m:t>
                            </m:r>
                          </m:sub>
                        </m:sSub>
                        <m:r>
                          <a:rPr lang="en-US" sz="1400" b="0" i="1" strike="sngStrike" baseline="0">
                            <a:solidFill>
                              <a:schemeClr val="bg2">
                                <a:lumMod val="90000"/>
                              </a:schemeClr>
                            </a:solidFill>
                            <a:latin typeface="Cambria Math" panose="02040503050406030204" pitchFamily="18" charset="0"/>
                          </a:rPr>
                          <m:t>∗1000</m:t>
                        </m:r>
                      </m:den>
                    </m:f>
                  </m:oMath>
                </m:oMathPara>
              </a14:m>
              <a:endParaRPr lang="en-US" sz="1400" strike="sngStrike" baseline="0">
                <a:solidFill>
                  <a:schemeClr val="bg2">
                    <a:lumMod val="90000"/>
                  </a:schemeClr>
                </a:solidFill>
              </a:endParaRPr>
            </a:p>
          </xdr:txBody>
        </xdr:sp>
      </mc:Choice>
      <mc:Fallback xmlns="">
        <xdr:sp macro="" textlink="">
          <xdr:nvSpPr>
            <xdr:cNvPr id="18" name="TextBox 17">
              <a:extLst>
                <a:ext uri="{FF2B5EF4-FFF2-40B4-BE49-F238E27FC236}">
                  <a16:creationId xmlns:a16="http://schemas.microsoft.com/office/drawing/2014/main" id="{00000000-0008-0000-0400-000012000000}"/>
                </a:ext>
              </a:extLst>
            </xdr:cNvPr>
            <xdr:cNvSpPr txBox="1"/>
          </xdr:nvSpPr>
          <xdr:spPr>
            <a:xfrm>
              <a:off x="13346398" y="56557839"/>
              <a:ext cx="3131851" cy="86430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strike="sngStrike" baseline="0">
                  <a:solidFill>
                    <a:schemeClr val="bg2">
                      <a:lumMod val="90000"/>
                    </a:schemeClr>
                  </a:solidFill>
                  <a:latin typeface="Cambria Math" panose="02040503050406030204" pitchFamily="18" charset="0"/>
                </a:rPr>
                <a:t>((𝑘𝑊ℎ_𝑙𝑠)/𝐷𝑎𝑦)=(𝑅𝑇_𝑙𝑠∗𝐺𝑃𝑀_𝑙𝑠∗60)/(𝐸𝐹_𝑙𝑠∗1000)</a:t>
              </a:r>
              <a:endParaRPr lang="en-US" sz="1400" strike="sngStrike" baseline="0">
                <a:solidFill>
                  <a:schemeClr val="bg2">
                    <a:lumMod val="90000"/>
                  </a:schemeClr>
                </a:solidFill>
              </a:endParaRPr>
            </a:p>
          </xdr:txBody>
        </xdr:sp>
      </mc:Fallback>
    </mc:AlternateContent>
    <xdr:clientData/>
  </xdr:twoCellAnchor>
  <xdr:twoCellAnchor>
    <xdr:from>
      <xdr:col>4</xdr:col>
      <xdr:colOff>4086448</xdr:colOff>
      <xdr:row>182</xdr:row>
      <xdr:rowOff>115464</xdr:rowOff>
    </xdr:from>
    <xdr:to>
      <xdr:col>7</xdr:col>
      <xdr:colOff>132681</xdr:colOff>
      <xdr:row>185</xdr:row>
      <xdr:rowOff>95251</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400-000013000000}"/>
                </a:ext>
              </a:extLst>
            </xdr:cNvPr>
            <xdr:cNvSpPr txBox="1"/>
          </xdr:nvSpPr>
          <xdr:spPr>
            <a:xfrm>
              <a:off x="9379627" y="40800821"/>
              <a:ext cx="4564304" cy="51046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strike="sngStrike" baseline="0">
                            <a:solidFill>
                              <a:schemeClr val="bg2">
                                <a:lumMod val="90000"/>
                              </a:schemeClr>
                            </a:solidFill>
                            <a:latin typeface="Cambria Math" panose="02040503050406030204" pitchFamily="18" charset="0"/>
                          </a:rPr>
                        </m:ctrlPr>
                      </m:dPr>
                      <m:e>
                        <m:f>
                          <m:fPr>
                            <m:ctrlPr>
                              <a:rPr lang="en-US" sz="1400" b="0" i="1" strike="sngStrike" baseline="0">
                                <a:solidFill>
                                  <a:schemeClr val="bg2">
                                    <a:lumMod val="90000"/>
                                  </a:schemeClr>
                                </a:solidFill>
                                <a:latin typeface="Cambria Math" panose="02040503050406030204" pitchFamily="18" charset="0"/>
                              </a:rPr>
                            </m:ctrlPr>
                          </m:fPr>
                          <m:num>
                            <m:r>
                              <a:rPr lang="en-US" sz="1400" b="0" i="1" strike="sngStrike" baseline="0">
                                <a:solidFill>
                                  <a:schemeClr val="bg2">
                                    <a:lumMod val="90000"/>
                                  </a:schemeClr>
                                </a:solidFill>
                                <a:latin typeface="Cambria Math" panose="02040503050406030204" pitchFamily="18" charset="0"/>
                              </a:rPr>
                              <m:t>𝑘𝑊</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h</m:t>
                                </m:r>
                              </m:e>
                              <m:sub>
                                <m:r>
                                  <a:rPr lang="en-US" sz="1400" b="0" i="1" strike="sngStrike" baseline="0">
                                    <a:solidFill>
                                      <a:schemeClr val="bg2">
                                        <a:lumMod val="90000"/>
                                      </a:schemeClr>
                                    </a:solidFill>
                                    <a:latin typeface="Cambria Math" panose="02040503050406030204" pitchFamily="18" charset="0"/>
                                  </a:rPr>
                                  <m:t>h𝑠</m:t>
                                </m:r>
                              </m:sub>
                            </m:sSub>
                          </m:num>
                          <m:den>
                            <m:r>
                              <a:rPr lang="en-US" sz="1400" b="0" i="1" strike="sngStrike" baseline="0">
                                <a:solidFill>
                                  <a:schemeClr val="bg2">
                                    <a:lumMod val="90000"/>
                                  </a:schemeClr>
                                </a:solidFill>
                                <a:latin typeface="Cambria Math" panose="02040503050406030204" pitchFamily="18" charset="0"/>
                              </a:rPr>
                              <m:t>𝐷𝑎𝑦</m:t>
                            </m:r>
                          </m:den>
                        </m:f>
                      </m:e>
                    </m:d>
                    <m:r>
                      <a:rPr lang="en-US" sz="1400" b="0" i="1" strike="sngStrike" baseline="0">
                        <a:solidFill>
                          <a:schemeClr val="bg2">
                            <a:lumMod val="90000"/>
                          </a:schemeClr>
                        </a:solidFill>
                        <a:latin typeface="Cambria Math" panose="02040503050406030204" pitchFamily="18" charset="0"/>
                      </a:rPr>
                      <m:t>=</m:t>
                    </m:r>
                    <m:f>
                      <m:fPr>
                        <m:ctrlPr>
                          <a:rPr lang="en-US" sz="1400" b="0" i="1" strike="sngStrike" baseline="0">
                            <a:solidFill>
                              <a:schemeClr val="bg2">
                                <a:lumMod val="90000"/>
                              </a:schemeClr>
                            </a:solidFill>
                            <a:latin typeface="Cambria Math" panose="02040503050406030204" pitchFamily="18" charset="0"/>
                          </a:rPr>
                        </m:ctrlPr>
                      </m:fPr>
                      <m:num>
                        <m:r>
                          <a:rPr lang="en-US" sz="1400" b="0" i="1" strike="sngStrike" baseline="0">
                            <a:solidFill>
                              <a:schemeClr val="bg2">
                                <a:lumMod val="90000"/>
                              </a:schemeClr>
                            </a:solidFill>
                            <a:latin typeface="Cambria Math" panose="02040503050406030204" pitchFamily="18" charset="0"/>
                          </a:rPr>
                          <m:t>𝑅</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𝑇</m:t>
                            </m:r>
                          </m:e>
                          <m:sub>
                            <m:r>
                              <a:rPr lang="en-US" sz="1400" b="0" i="1" strike="sngStrike" baseline="0">
                                <a:solidFill>
                                  <a:schemeClr val="bg2">
                                    <a:lumMod val="90000"/>
                                  </a:schemeClr>
                                </a:solidFill>
                                <a:latin typeface="Cambria Math" panose="02040503050406030204" pitchFamily="18" charset="0"/>
                              </a:rPr>
                              <m:t>h𝑠</m:t>
                            </m:r>
                          </m:sub>
                        </m:sSub>
                        <m:r>
                          <a:rPr lang="en-US" sz="1400" b="0" i="1" strike="sngStrike" baseline="0">
                            <a:solidFill>
                              <a:schemeClr val="bg2">
                                <a:lumMod val="90000"/>
                              </a:schemeClr>
                            </a:solidFill>
                            <a:latin typeface="Cambria Math" panose="02040503050406030204" pitchFamily="18" charset="0"/>
                          </a:rPr>
                          <m:t>∗</m:t>
                        </m:r>
                        <m:r>
                          <a:rPr lang="en-US" sz="1400" b="0" i="1" strike="sngStrike" baseline="0">
                            <a:solidFill>
                              <a:schemeClr val="bg2">
                                <a:lumMod val="90000"/>
                              </a:schemeClr>
                            </a:solidFill>
                            <a:latin typeface="Cambria Math" panose="02040503050406030204" pitchFamily="18" charset="0"/>
                          </a:rPr>
                          <m:t>𝐺𝑃</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𝑀</m:t>
                            </m:r>
                          </m:e>
                          <m:sub>
                            <m:r>
                              <a:rPr lang="en-US" sz="1400" b="0" i="1" strike="sngStrike" baseline="0">
                                <a:solidFill>
                                  <a:schemeClr val="bg2">
                                    <a:lumMod val="90000"/>
                                  </a:schemeClr>
                                </a:solidFill>
                                <a:latin typeface="Cambria Math" panose="02040503050406030204" pitchFamily="18" charset="0"/>
                              </a:rPr>
                              <m:t>h𝑠</m:t>
                            </m:r>
                          </m:sub>
                        </m:sSub>
                        <m:r>
                          <a:rPr lang="en-US" sz="1400" b="0" i="1" strike="sngStrike" baseline="0">
                            <a:solidFill>
                              <a:schemeClr val="bg2">
                                <a:lumMod val="90000"/>
                              </a:schemeClr>
                            </a:solidFill>
                            <a:latin typeface="Cambria Math" panose="02040503050406030204" pitchFamily="18" charset="0"/>
                          </a:rPr>
                          <m:t>∗60</m:t>
                        </m:r>
                      </m:num>
                      <m:den>
                        <m:r>
                          <a:rPr lang="en-US" sz="1400" b="0" i="1" strike="sngStrike" baseline="0">
                            <a:solidFill>
                              <a:schemeClr val="bg2">
                                <a:lumMod val="90000"/>
                              </a:schemeClr>
                            </a:solidFill>
                            <a:latin typeface="Cambria Math" panose="02040503050406030204" pitchFamily="18" charset="0"/>
                          </a:rPr>
                          <m:t>𝐸</m:t>
                        </m:r>
                        <m:sSub>
                          <m:sSubPr>
                            <m:ctrlPr>
                              <a:rPr lang="en-US" sz="1400" b="0" i="1" strike="sngStrike" baseline="0">
                                <a:solidFill>
                                  <a:schemeClr val="bg2">
                                    <a:lumMod val="90000"/>
                                  </a:schemeClr>
                                </a:solidFill>
                                <a:latin typeface="Cambria Math" panose="02040503050406030204" pitchFamily="18" charset="0"/>
                              </a:rPr>
                            </m:ctrlPr>
                          </m:sSubPr>
                          <m:e>
                            <m:r>
                              <a:rPr lang="en-US" sz="1400" b="0" i="1" strike="sngStrike" baseline="0">
                                <a:solidFill>
                                  <a:schemeClr val="bg2">
                                    <a:lumMod val="90000"/>
                                  </a:schemeClr>
                                </a:solidFill>
                                <a:latin typeface="Cambria Math" panose="02040503050406030204" pitchFamily="18" charset="0"/>
                              </a:rPr>
                              <m:t>𝐹</m:t>
                            </m:r>
                          </m:e>
                          <m:sub>
                            <m:r>
                              <a:rPr lang="en-US" sz="1400" b="0" i="1" strike="sngStrike" baseline="0">
                                <a:solidFill>
                                  <a:schemeClr val="bg2">
                                    <a:lumMod val="90000"/>
                                  </a:schemeClr>
                                </a:solidFill>
                                <a:latin typeface="Cambria Math" panose="02040503050406030204" pitchFamily="18" charset="0"/>
                              </a:rPr>
                              <m:t>h𝑠</m:t>
                            </m:r>
                          </m:sub>
                        </m:sSub>
                        <m:r>
                          <a:rPr lang="en-US" sz="1400" b="0" i="1" strike="sngStrike" baseline="0">
                            <a:solidFill>
                              <a:schemeClr val="bg2">
                                <a:lumMod val="90000"/>
                              </a:schemeClr>
                            </a:solidFill>
                            <a:latin typeface="Cambria Math" panose="02040503050406030204" pitchFamily="18" charset="0"/>
                          </a:rPr>
                          <m:t>∗1000</m:t>
                        </m:r>
                      </m:den>
                    </m:f>
                  </m:oMath>
                </m:oMathPara>
              </a14:m>
              <a:endParaRPr lang="en-US" sz="1400" strike="sngStrike" baseline="0">
                <a:solidFill>
                  <a:schemeClr val="bg2">
                    <a:lumMod val="90000"/>
                  </a:schemeClr>
                </a:solidFill>
              </a:endParaRPr>
            </a:p>
          </xdr:txBody>
        </xdr:sp>
      </mc:Choice>
      <mc:Fallback xmlns="">
        <xdr:sp macro="" textlink="">
          <xdr:nvSpPr>
            <xdr:cNvPr id="19" name="TextBox 18">
              <a:extLst>
                <a:ext uri="{FF2B5EF4-FFF2-40B4-BE49-F238E27FC236}">
                  <a16:creationId xmlns:a16="http://schemas.microsoft.com/office/drawing/2014/main" id="{00000000-0008-0000-0400-000013000000}"/>
                </a:ext>
              </a:extLst>
            </xdr:cNvPr>
            <xdr:cNvSpPr txBox="1"/>
          </xdr:nvSpPr>
          <xdr:spPr>
            <a:xfrm>
              <a:off x="9379627" y="40800821"/>
              <a:ext cx="4564304" cy="51046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strike="sngStrike" baseline="0">
                  <a:solidFill>
                    <a:schemeClr val="bg2">
                      <a:lumMod val="90000"/>
                    </a:schemeClr>
                  </a:solidFill>
                  <a:latin typeface="Cambria Math" panose="02040503050406030204" pitchFamily="18" charset="0"/>
                </a:rPr>
                <a:t>((𝑘𝑊ℎ_ℎ𝑠)/𝐷𝑎𝑦)=(𝑅𝑇_ℎ𝑠∗𝐺𝑃𝑀_ℎ𝑠∗60)/(𝐸𝐹_ℎ𝑠∗1000)</a:t>
              </a:r>
              <a:endParaRPr lang="en-US" sz="1400" strike="sngStrike" baseline="0">
                <a:solidFill>
                  <a:schemeClr val="bg2">
                    <a:lumMod val="90000"/>
                  </a:schemeClr>
                </a:solidFill>
              </a:endParaRPr>
            </a:p>
          </xdr:txBody>
        </xdr:sp>
      </mc:Fallback>
    </mc:AlternateContent>
    <xdr:clientData/>
  </xdr:twoCellAnchor>
  <xdr:twoCellAnchor>
    <xdr:from>
      <xdr:col>3</xdr:col>
      <xdr:colOff>110152</xdr:colOff>
      <xdr:row>191</xdr:row>
      <xdr:rowOff>167193</xdr:rowOff>
    </xdr:from>
    <xdr:to>
      <xdr:col>4</xdr:col>
      <xdr:colOff>220698</xdr:colOff>
      <xdr:row>193</xdr:row>
      <xdr:rowOff>44042</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400-000014000000}"/>
                </a:ext>
              </a:extLst>
            </xdr:cNvPr>
            <xdr:cNvSpPr txBox="1"/>
          </xdr:nvSpPr>
          <xdr:spPr>
            <a:xfrm>
              <a:off x="2709917" y="42626281"/>
              <a:ext cx="2811163" cy="23543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0" name="TextBox 19">
              <a:extLst>
                <a:ext uri="{FF2B5EF4-FFF2-40B4-BE49-F238E27FC236}">
                  <a16:creationId xmlns:a16="http://schemas.microsoft.com/office/drawing/2014/main" id="{00000000-0008-0000-0400-000014000000}"/>
                </a:ext>
              </a:extLst>
            </xdr:cNvPr>
            <xdr:cNvSpPr txBox="1"/>
          </xdr:nvSpPr>
          <xdr:spPr>
            <a:xfrm>
              <a:off x="2709917" y="42626281"/>
              <a:ext cx="2811163" cy="23543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twoCellAnchor>
    <xdr:from>
      <xdr:col>3</xdr:col>
      <xdr:colOff>1350420</xdr:colOff>
      <xdr:row>256</xdr:row>
      <xdr:rowOff>134471</xdr:rowOff>
    </xdr:from>
    <xdr:to>
      <xdr:col>12</xdr:col>
      <xdr:colOff>0</xdr:colOff>
      <xdr:row>262</xdr:row>
      <xdr:rowOff>97043</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00000000-0008-0000-0400-000016000000}"/>
                </a:ext>
              </a:extLst>
            </xdr:cNvPr>
            <xdr:cNvSpPr txBox="1"/>
          </xdr:nvSpPr>
          <xdr:spPr>
            <a:xfrm>
              <a:off x="3950185" y="13335000"/>
              <a:ext cx="14091286" cy="103833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a:rPr lang="en-US" sz="1400" b="0" i="1">
                      <a:solidFill>
                        <a:sysClr val="windowText" lastClr="000000"/>
                      </a:solidFill>
                      <a:latin typeface="Cambria Math" panose="02040503050406030204" pitchFamily="18" charset="0"/>
                    </a:rPr>
                    <m:t>𝐸𝑛𝑒𝑟𝑔𝑦</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rPr>
                    <m:t>𝑆𝑎𝑣𝑖𝑛𝑔𝑠</m:t>
                  </m:r>
                  <m:r>
                    <a:rPr lang="en-US" sz="1400" b="0" i="1">
                      <a:solidFill>
                        <a:sysClr val="windowText" lastClr="000000"/>
                      </a:solidFill>
                      <a:latin typeface="Cambria Math" panose="02040503050406030204" pitchFamily="18" charset="0"/>
                    </a:rPr>
                    <m:t> </m:t>
                  </m:r>
                  <m:d>
                    <m:dPr>
                      <m:ctrlPr>
                        <a:rPr lang="en-US" sz="1400" b="0" i="1">
                          <a:solidFill>
                            <a:sysClr val="windowText" lastClr="000000"/>
                          </a:solidFill>
                          <a:latin typeface="Cambria Math" panose="02040503050406030204" pitchFamily="18" charset="0"/>
                        </a:rPr>
                      </m:ctrlPr>
                    </m:dPr>
                    <m:e>
                      <m:r>
                        <a:rPr lang="en-US" sz="1400" b="0" i="1">
                          <a:solidFill>
                            <a:sysClr val="windowText" lastClr="000000"/>
                          </a:solidFill>
                          <a:latin typeface="Cambria Math" panose="02040503050406030204" pitchFamily="18" charset="0"/>
                        </a:rPr>
                        <m:t>𝑘𝑊</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h</m:t>
                          </m:r>
                        </m:e>
                        <m:sub>
                          <m:r>
                            <a:rPr lang="en-US" sz="1400" b="0" i="1">
                              <a:solidFill>
                                <a:sysClr val="windowText" lastClr="000000"/>
                              </a:solidFill>
                              <a:latin typeface="Cambria Math" panose="02040503050406030204" pitchFamily="18" charset="0"/>
                            </a:rPr>
                            <m:t>𝑌𝑒𝑎𝑟</m:t>
                          </m:r>
                        </m:sub>
                      </m:sSub>
                    </m:e>
                  </m:d>
                  <m:r>
                    <a:rPr lang="en-US" sz="1400" b="0" i="1">
                      <a:solidFill>
                        <a:sysClr val="windowText" lastClr="000000"/>
                      </a:solidFill>
                      <a:latin typeface="Cambria Math" panose="02040503050406030204" pitchFamily="18" charset="0"/>
                    </a:rPr>
                    <m:t>=</m:t>
                  </m:r>
                  <m:d>
                    <m:dPr>
                      <m:begChr m:val="{"/>
                      <m:endChr m:val="}"/>
                      <m:ctrlPr>
                        <a:rPr lang="en-US" sz="1400" b="0" i="1">
                          <a:solidFill>
                            <a:sysClr val="windowText" lastClr="000000"/>
                          </a:solidFill>
                          <a:latin typeface="Cambria Math" panose="02040503050406030204" pitchFamily="18" charset="0"/>
                        </a:rPr>
                      </m:ctrlPr>
                    </m:dPr>
                    <m:e>
                      <m:r>
                        <a:rPr lang="en-US" sz="1400" b="0" i="1">
                          <a:solidFill>
                            <a:sysClr val="windowText" lastClr="000000"/>
                          </a:solidFill>
                          <a:latin typeface="Cambria Math" panose="02040503050406030204" pitchFamily="18" charset="0"/>
                        </a:rPr>
                        <m:t>𝐶𝐴𝐷𝑅</m:t>
                      </m:r>
                      <m:r>
                        <a:rPr lang="en-US" sz="1400" b="0" i="1">
                          <a:solidFill>
                            <a:sysClr val="windowText" lastClr="000000"/>
                          </a:solidFill>
                          <a:latin typeface="Cambria Math" panose="02040503050406030204" pitchFamily="18" charset="0"/>
                        </a:rPr>
                        <m:t>∗</m:t>
                      </m:r>
                      <m:d>
                        <m:dPr>
                          <m:ctrlPr>
                            <a:rPr lang="en-US" sz="1400" b="0" i="1">
                              <a:solidFill>
                                <a:sysClr val="windowText" lastClr="000000"/>
                              </a:solidFill>
                              <a:latin typeface="Cambria Math" panose="02040503050406030204" pitchFamily="18" charset="0"/>
                            </a:rPr>
                          </m:ctrlPr>
                        </m:dPr>
                        <m:e>
                          <m:r>
                            <a:rPr lang="en-US" sz="1400" b="0" i="1">
                              <a:solidFill>
                                <a:sysClr val="windowText" lastClr="000000"/>
                              </a:solidFill>
                              <a:latin typeface="Cambria Math" panose="02040503050406030204" pitchFamily="18" charset="0"/>
                            </a:rPr>
                            <m:t>1/</m:t>
                          </m:r>
                          <m:r>
                            <a:rPr lang="en-US" sz="1400" b="0" i="1">
                              <a:solidFill>
                                <a:sysClr val="windowText" lastClr="000000"/>
                              </a:solidFill>
                              <a:latin typeface="Cambria Math" panose="02040503050406030204" pitchFamily="18" charset="0"/>
                            </a:rPr>
                            <m:t>𝐸𝑓</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𝑓</m:t>
                              </m:r>
                            </m:e>
                            <m:sub>
                              <m:r>
                                <a:rPr lang="en-US" sz="1400" b="0" i="1">
                                  <a:solidFill>
                                    <a:sysClr val="windowText" lastClr="000000"/>
                                  </a:solidFill>
                                  <a:latin typeface="Cambria Math" panose="02040503050406030204" pitchFamily="18" charset="0"/>
                                </a:rPr>
                                <m:t>𝐵𝐿</m:t>
                              </m:r>
                            </m:sub>
                          </m:sSub>
                          <m:r>
                            <a:rPr lang="en-US" sz="1400" b="0" i="1">
                              <a:solidFill>
                                <a:sysClr val="windowText" lastClr="000000"/>
                              </a:solidFill>
                              <a:latin typeface="Cambria Math" panose="02040503050406030204" pitchFamily="18" charset="0"/>
                            </a:rPr>
                            <m:t>−1/</m:t>
                          </m:r>
                          <m:r>
                            <a:rPr lang="en-US" sz="1400" b="0" i="1">
                              <a:solidFill>
                                <a:sysClr val="windowText" lastClr="000000"/>
                              </a:solidFill>
                              <a:latin typeface="Cambria Math" panose="02040503050406030204" pitchFamily="18" charset="0"/>
                            </a:rPr>
                            <m:t>𝐸𝑓</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𝑓</m:t>
                              </m:r>
                            </m:e>
                            <m:sub>
                              <m:r>
                                <a:rPr lang="en-US" sz="1400" b="0" i="1">
                                  <a:solidFill>
                                    <a:sysClr val="windowText" lastClr="000000"/>
                                  </a:solidFill>
                                  <a:latin typeface="Cambria Math" panose="02040503050406030204" pitchFamily="18" charset="0"/>
                                </a:rPr>
                                <m:t>𝐸𝑆</m:t>
                              </m:r>
                            </m:sub>
                          </m:sSub>
                        </m:e>
                      </m:d>
                      <m:r>
                        <a:rPr lang="en-US" sz="1400" b="0" i="1">
                          <a:solidFill>
                            <a:sysClr val="windowText" lastClr="000000"/>
                          </a:solidFill>
                          <a:latin typeface="Cambria Math" panose="02040503050406030204" pitchFamily="18" charset="0"/>
                        </a:rPr>
                        <m:t>∗</m:t>
                      </m:r>
                      <m:d>
                        <m:dPr>
                          <m:ctrlPr>
                            <a:rPr lang="en-US" sz="1400" b="0" i="1">
                              <a:solidFill>
                                <a:sysClr val="windowText" lastClr="000000"/>
                              </a:solidFill>
                              <a:latin typeface="Cambria Math" panose="02040503050406030204" pitchFamily="18" charset="0"/>
                            </a:rPr>
                          </m:ctrlPr>
                        </m:dPr>
                        <m:e>
                          <m:r>
                            <a:rPr lang="en-US" sz="1400" b="0" i="1">
                              <a:solidFill>
                                <a:sysClr val="windowText" lastClr="000000"/>
                              </a:solidFill>
                              <a:latin typeface="Cambria Math" panose="02040503050406030204" pitchFamily="18" charset="0"/>
                            </a:rPr>
                            <m:t>𝐻</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𝑟</m:t>
                              </m:r>
                            </m:e>
                            <m:sub>
                              <m:r>
                                <a:rPr lang="en-US" sz="1400" b="0" i="1">
                                  <a:solidFill>
                                    <a:sysClr val="windowText" lastClr="000000"/>
                                  </a:solidFill>
                                  <a:latin typeface="Cambria Math" panose="02040503050406030204" pitchFamily="18" charset="0"/>
                                </a:rPr>
                                <m:t>𝑜𝑝𝑒𝑟</m:t>
                              </m:r>
                            </m:sub>
                          </m:sSub>
                        </m:e>
                      </m:d>
                      <m:r>
                        <a:rPr lang="en-US" sz="1400" b="0" i="1">
                          <a:solidFill>
                            <a:sysClr val="windowText" lastClr="000000"/>
                          </a:solidFill>
                          <a:latin typeface="Cambria Math" panose="02040503050406030204" pitchFamily="18" charset="0"/>
                        </a:rPr>
                        <m:t>+</m:t>
                      </m:r>
                      <m:d>
                        <m:dPr>
                          <m:ctrlPr>
                            <a:rPr lang="en-US" sz="1400" b="0" i="1">
                              <a:solidFill>
                                <a:sysClr val="windowText" lastClr="000000"/>
                              </a:solidFill>
                              <a:latin typeface="Cambria Math" panose="02040503050406030204" pitchFamily="18" charset="0"/>
                            </a:rPr>
                          </m:ctrlPr>
                        </m:dPr>
                        <m:e>
                          <m:r>
                            <a:rPr lang="en-US" sz="1400" b="0" i="1">
                              <a:solidFill>
                                <a:sysClr val="windowText" lastClr="000000"/>
                              </a:solidFill>
                              <a:latin typeface="Cambria Math" panose="02040503050406030204" pitchFamily="18" charset="0"/>
                            </a:rPr>
                            <m:t>𝑆</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𝐵</m:t>
                              </m:r>
                            </m:e>
                            <m:sub>
                              <m:r>
                                <a:rPr lang="en-US" sz="1400" b="0" i="1">
                                  <a:solidFill>
                                    <a:sysClr val="windowText" lastClr="000000"/>
                                  </a:solidFill>
                                  <a:latin typeface="Cambria Math" panose="02040503050406030204" pitchFamily="18" charset="0"/>
                                </a:rPr>
                                <m:t>𝐵𝐿</m:t>
                              </m:r>
                            </m:sub>
                          </m:sSub>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𝑆</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𝐵</m:t>
                              </m:r>
                            </m:e>
                            <m:sub>
                              <m:r>
                                <a:rPr lang="en-US" sz="1400" b="0" i="1">
                                  <a:solidFill>
                                    <a:sysClr val="windowText" lastClr="000000"/>
                                  </a:solidFill>
                                  <a:latin typeface="Cambria Math" panose="02040503050406030204" pitchFamily="18" charset="0"/>
                                </a:rPr>
                                <m:t>𝐸𝑆</m:t>
                              </m:r>
                            </m:sub>
                          </m:sSub>
                        </m:e>
                      </m:d>
                      <m:r>
                        <a:rPr lang="en-US" sz="1400" b="0" i="1">
                          <a:solidFill>
                            <a:sysClr val="windowText" lastClr="000000"/>
                          </a:solidFill>
                          <a:latin typeface="Cambria Math" panose="02040503050406030204" pitchFamily="18" charset="0"/>
                        </a:rPr>
                        <m:t>∗(24−</m:t>
                      </m:r>
                      <m:r>
                        <a:rPr lang="en-US" sz="1400" b="0" i="1">
                          <a:solidFill>
                            <a:sysClr val="windowText" lastClr="000000"/>
                          </a:solidFill>
                          <a:latin typeface="Cambria Math" panose="02040503050406030204" pitchFamily="18" charset="0"/>
                        </a:rPr>
                        <m:t>𝐻</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𝑟</m:t>
                          </m:r>
                        </m:e>
                        <m:sub>
                          <m:r>
                            <a:rPr lang="en-US" sz="1400" b="0" i="1">
                              <a:solidFill>
                                <a:sysClr val="windowText" lastClr="000000"/>
                              </a:solidFill>
                              <a:latin typeface="Cambria Math" panose="02040503050406030204" pitchFamily="18" charset="0"/>
                            </a:rPr>
                            <m:t>𝑜𝑝𝑒𝑟</m:t>
                          </m:r>
                        </m:sub>
                      </m:sSub>
                      <m:r>
                        <a:rPr lang="en-US" sz="1400" b="0" i="1">
                          <a:solidFill>
                            <a:sysClr val="windowText" lastClr="000000"/>
                          </a:solidFill>
                          <a:latin typeface="Cambria Math" panose="02040503050406030204" pitchFamily="18" charset="0"/>
                        </a:rPr>
                        <m:t>)</m:t>
                      </m:r>
                    </m:e>
                  </m:d>
                  <m:r>
                    <a:rPr lang="en-US" sz="1400" b="0" i="1">
                      <a:solidFill>
                        <a:sysClr val="windowText" lastClr="000000"/>
                      </a:solidFill>
                      <a:latin typeface="Cambria Math" panose="02040503050406030204" pitchFamily="18" charset="0"/>
                    </a:rPr>
                    <m:t>∗</m:t>
                  </m:r>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365</m:t>
                      </m:r>
                    </m:num>
                    <m:den>
                      <m:r>
                        <a:rPr lang="en-US" sz="1400" b="0" i="1">
                          <a:solidFill>
                            <a:sysClr val="windowText" lastClr="000000"/>
                          </a:solidFill>
                          <a:latin typeface="Cambria Math" panose="02040503050406030204" pitchFamily="18" charset="0"/>
                        </a:rPr>
                        <m:t>1000</m:t>
                      </m:r>
                    </m:den>
                  </m:f>
                </m:oMath>
              </a14:m>
              <a:r>
                <a:rPr lang="en-US" sz="1400">
                  <a:solidFill>
                    <a:sysClr val="windowText" lastClr="000000"/>
                  </a:solidFill>
                </a:rPr>
                <a:t>*ISR</a:t>
              </a:r>
            </a:p>
          </xdr:txBody>
        </xdr:sp>
      </mc:Choice>
      <mc:Fallback xmlns="">
        <xdr:sp macro="" textlink="">
          <xdr:nvSpPr>
            <xdr:cNvPr id="22" name="TextBox 21">
              <a:extLst>
                <a:ext uri="{FF2B5EF4-FFF2-40B4-BE49-F238E27FC236}">
                  <a16:creationId xmlns:a16="http://schemas.microsoft.com/office/drawing/2014/main" id="{00000000-0008-0000-0400-000016000000}"/>
                </a:ext>
              </a:extLst>
            </xdr:cNvPr>
            <xdr:cNvSpPr txBox="1"/>
          </xdr:nvSpPr>
          <xdr:spPr>
            <a:xfrm>
              <a:off x="3950185" y="13335000"/>
              <a:ext cx="14091286" cy="103833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b="0" i="0">
                  <a:solidFill>
                    <a:sysClr val="windowText" lastClr="000000"/>
                  </a:solidFill>
                  <a:latin typeface="Cambria Math" panose="02040503050406030204" pitchFamily="18" charset="0"/>
                </a:rPr>
                <a:t>𝐸𝑛𝑒𝑟𝑔𝑦 𝑆𝑎𝑣𝑖𝑛𝑔𝑠 (𝑘𝑊ℎ_𝑌𝑒𝑎𝑟 )={𝐶𝐴𝐷𝑅∗(1/𝐸𝑓𝑓_𝐵𝐿−1/𝐸𝑓𝑓_𝐸𝑆 )∗(𝐻𝑟_𝑜𝑝𝑒𝑟 )+(𝑆𝐵_𝐵𝐿−𝑆𝐵_𝐸𝑆 )∗(24−𝐻𝑟_𝑜𝑝𝑒𝑟)}∗365/1000</a:t>
              </a:r>
              <a:r>
                <a:rPr lang="en-US" sz="1400">
                  <a:solidFill>
                    <a:sysClr val="windowText" lastClr="000000"/>
                  </a:solidFill>
                </a:rPr>
                <a:t>*ISR</a:t>
              </a:r>
            </a:p>
          </xdr:txBody>
        </xdr:sp>
      </mc:Fallback>
    </mc:AlternateContent>
    <xdr:clientData/>
  </xdr:twoCellAnchor>
  <xdr:twoCellAnchor>
    <xdr:from>
      <xdr:col>3</xdr:col>
      <xdr:colOff>1370703</xdr:colOff>
      <xdr:row>259</xdr:row>
      <xdr:rowOff>177389</xdr:rowOff>
    </xdr:from>
    <xdr:to>
      <xdr:col>9</xdr:col>
      <xdr:colOff>3586</xdr:colOff>
      <xdr:row>261</xdr:row>
      <xdr:rowOff>157642</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00000000-0008-0000-0400-000017000000}"/>
                </a:ext>
              </a:extLst>
            </xdr:cNvPr>
            <xdr:cNvSpPr txBox="1"/>
          </xdr:nvSpPr>
          <xdr:spPr>
            <a:xfrm>
              <a:off x="3970468" y="13915801"/>
              <a:ext cx="11430000" cy="33884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3" name="TextBox 22">
              <a:extLst>
                <a:ext uri="{FF2B5EF4-FFF2-40B4-BE49-F238E27FC236}">
                  <a16:creationId xmlns:a16="http://schemas.microsoft.com/office/drawing/2014/main" id="{00000000-0008-0000-0400-000017000000}"/>
                </a:ext>
              </a:extLst>
            </xdr:cNvPr>
            <xdr:cNvSpPr txBox="1"/>
          </xdr:nvSpPr>
          <xdr:spPr>
            <a:xfrm>
              <a:off x="3970468" y="13915801"/>
              <a:ext cx="11430000" cy="33884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twoCellAnchor>
    <xdr:from>
      <xdr:col>3</xdr:col>
      <xdr:colOff>1468530</xdr:colOff>
      <xdr:row>280</xdr:row>
      <xdr:rowOff>171674</xdr:rowOff>
    </xdr:from>
    <xdr:to>
      <xdr:col>12</xdr:col>
      <xdr:colOff>0</xdr:colOff>
      <xdr:row>284</xdr:row>
      <xdr:rowOff>44823</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0000000-0008-0000-0400-000018000000}"/>
                </a:ext>
              </a:extLst>
            </xdr:cNvPr>
            <xdr:cNvSpPr txBox="1"/>
          </xdr:nvSpPr>
          <xdr:spPr>
            <a:xfrm>
              <a:off x="4068295" y="14627262"/>
              <a:ext cx="13973176" cy="59032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rPr>
                      <m:t>𝐷𝑒𝑒𝑚𝑒𝑑</m:t>
                    </m:r>
                    <m:r>
                      <a:rPr lang="en-US" sz="1400" b="0" i="1">
                        <a:latin typeface="Cambria Math" panose="02040503050406030204" pitchFamily="18" charset="0"/>
                      </a:rPr>
                      <m:t> </m:t>
                    </m:r>
                    <m:r>
                      <a:rPr lang="en-US" sz="1400" b="0" i="1">
                        <a:latin typeface="Cambria Math" panose="02040503050406030204" pitchFamily="18" charset="0"/>
                      </a:rPr>
                      <m:t>𝑣𝑎𝑙𝑢𝑒</m:t>
                    </m:r>
                    <m:r>
                      <a:rPr lang="en-US" sz="1400" b="0" i="1">
                        <a:latin typeface="Cambria Math" panose="02040503050406030204" pitchFamily="18" charset="0"/>
                      </a:rPr>
                      <m:t> </m:t>
                    </m:r>
                    <m:r>
                      <a:rPr lang="en-US" sz="1400" b="0" i="1">
                        <a:latin typeface="Cambria Math" panose="02040503050406030204" pitchFamily="18" charset="0"/>
                      </a:rPr>
                      <m:t>𝑓𝑟𝑜𝑚</m:t>
                    </m:r>
                    <m:r>
                      <a:rPr lang="en-US" sz="1400" b="0" i="1">
                        <a:latin typeface="Cambria Math" panose="02040503050406030204" pitchFamily="18" charset="0"/>
                      </a:rPr>
                      <m:t> </m:t>
                    </m:r>
                    <m:r>
                      <a:rPr lang="en-US" sz="1400" b="0" i="1">
                        <a:latin typeface="Cambria Math" panose="02040503050406030204" pitchFamily="18" charset="0"/>
                      </a:rPr>
                      <m:t>𝑠𝑒𝑐𝑡𝑖𝑜𝑛</m:t>
                    </m:r>
                    <m:r>
                      <a:rPr lang="en-US" sz="1400" b="0" i="1">
                        <a:latin typeface="Cambria Math" panose="02040503050406030204" pitchFamily="18" charset="0"/>
                      </a:rPr>
                      <m:t> 3.1.5 </m:t>
                    </m:r>
                    <m:r>
                      <a:rPr lang="en-US" sz="1400" b="0" i="1">
                        <a:latin typeface="Cambria Math" panose="02040503050406030204" pitchFamily="18" charset="0"/>
                      </a:rPr>
                      <m:t>𝑜𝑓</m:t>
                    </m:r>
                    <m:r>
                      <a:rPr lang="en-US" sz="1400" b="0" i="1">
                        <a:latin typeface="Cambria Math" panose="02040503050406030204" pitchFamily="18" charset="0"/>
                      </a:rPr>
                      <m:t> </m:t>
                    </m:r>
                    <m:r>
                      <a:rPr lang="en-US" sz="1400" b="0" i="1">
                        <a:latin typeface="Cambria Math" panose="02040503050406030204" pitchFamily="18" charset="0"/>
                      </a:rPr>
                      <m:t>𝑀𝑂</m:t>
                    </m:r>
                    <m:r>
                      <a:rPr lang="en-US" sz="1400" b="0" i="1">
                        <a:latin typeface="Cambria Math" panose="02040503050406030204" pitchFamily="18" charset="0"/>
                      </a:rPr>
                      <m:t> </m:t>
                    </m:r>
                    <m:r>
                      <a:rPr lang="en-US" sz="1400" b="0" i="1">
                        <a:latin typeface="Cambria Math" panose="02040503050406030204" pitchFamily="18" charset="0"/>
                      </a:rPr>
                      <m:t>𝑇𝑅𝑀</m:t>
                    </m:r>
                    <m:r>
                      <a:rPr lang="en-US" sz="1400" b="0" i="1">
                        <a:latin typeface="Cambria Math" panose="02040503050406030204" pitchFamily="18" charset="0"/>
                      </a:rPr>
                      <m:t>.  </m:t>
                    </m:r>
                    <m:r>
                      <a:rPr lang="en-US" sz="1400" b="0" i="1">
                        <a:latin typeface="Cambria Math" panose="02040503050406030204" pitchFamily="18" charset="0"/>
                      </a:rPr>
                      <m:t>𝐸𝑞𝑢𝑎𝑡𝑖𝑜𝑛</m:t>
                    </m:r>
                    <m:r>
                      <a:rPr lang="en-US" sz="1400" b="0" i="1">
                        <a:latin typeface="Cambria Math" panose="02040503050406030204" pitchFamily="18" charset="0"/>
                      </a:rPr>
                      <m:t> </m:t>
                    </m:r>
                    <m:r>
                      <a:rPr lang="en-US" sz="1400" b="0" i="1">
                        <a:latin typeface="Cambria Math" panose="02040503050406030204" pitchFamily="18" charset="0"/>
                      </a:rPr>
                      <m:t>𝑖𝑠</m:t>
                    </m:r>
                    <m:r>
                      <a:rPr lang="en-US" sz="1400" b="0" i="1">
                        <a:latin typeface="Cambria Math" panose="02040503050406030204" pitchFamily="18" charset="0"/>
                      </a:rPr>
                      <m:t> </m:t>
                    </m:r>
                    <m:r>
                      <a:rPr lang="en-US" sz="1400" b="0" i="1">
                        <a:latin typeface="Cambria Math" panose="02040503050406030204" pitchFamily="18" charset="0"/>
                      </a:rPr>
                      <m:t>𝑛𝑜𝑡</m:t>
                    </m:r>
                    <m:r>
                      <a:rPr lang="en-US" sz="1400" b="0" i="1">
                        <a:latin typeface="Cambria Math" panose="02040503050406030204" pitchFamily="18" charset="0"/>
                      </a:rPr>
                      <m:t> </m:t>
                    </m:r>
                    <m:r>
                      <a:rPr lang="en-US" sz="1400" b="0" i="1">
                        <a:latin typeface="Cambria Math" panose="02040503050406030204" pitchFamily="18" charset="0"/>
                      </a:rPr>
                      <m:t>𝑢𝑠𝑒𝑑</m:t>
                    </m:r>
                    <m:r>
                      <a:rPr lang="en-US" sz="1400" b="0" i="1">
                        <a:latin typeface="Cambria Math" panose="02040503050406030204" pitchFamily="18" charset="0"/>
                      </a:rPr>
                      <m:t> </m:t>
                    </m:r>
                    <m:r>
                      <a:rPr lang="en-US" sz="1400" b="0" i="1">
                        <a:latin typeface="Cambria Math" panose="02040503050406030204" pitchFamily="18" charset="0"/>
                      </a:rPr>
                      <m:t>𝑖𝑛</m:t>
                    </m:r>
                    <m:r>
                      <a:rPr lang="en-US" sz="1400" b="0" i="1">
                        <a:latin typeface="Cambria Math" panose="02040503050406030204" pitchFamily="18" charset="0"/>
                      </a:rPr>
                      <m:t> </m:t>
                    </m:r>
                    <m:r>
                      <a:rPr lang="en-US" sz="1400" b="0" i="1">
                        <a:latin typeface="Cambria Math" panose="02040503050406030204" pitchFamily="18" charset="0"/>
                      </a:rPr>
                      <m:t>𝑡h𝑒𝑠𝑒</m:t>
                    </m:r>
                    <m:r>
                      <a:rPr lang="en-US" sz="1400" b="0" i="1">
                        <a:latin typeface="Cambria Math" panose="02040503050406030204" pitchFamily="18" charset="0"/>
                      </a:rPr>
                      <m:t> </m:t>
                    </m:r>
                    <m:r>
                      <a:rPr lang="en-US" sz="1400" b="0" i="1">
                        <a:latin typeface="Cambria Math" panose="02040503050406030204" pitchFamily="18" charset="0"/>
                      </a:rPr>
                      <m:t>𝑐𝑎𝑙𝑐𝑢𝑙𝑎𝑡𝑖𝑜𝑛𝑠</m:t>
                    </m:r>
                    <m:r>
                      <a:rPr lang="en-US" sz="1400" b="0" i="1">
                        <a:latin typeface="Cambria Math" panose="02040503050406030204" pitchFamily="18" charset="0"/>
                      </a:rPr>
                      <m:t>. </m:t>
                    </m:r>
                  </m:oMath>
                </m:oMathPara>
              </a14:m>
              <a:endParaRPr lang="en-US" sz="1400"/>
            </a:p>
          </xdr:txBody>
        </xdr:sp>
      </mc:Choice>
      <mc:Fallback xmlns="">
        <xdr:sp macro="" textlink="">
          <xdr:nvSpPr>
            <xdr:cNvPr id="24" name="TextBox 23">
              <a:extLst>
                <a:ext uri="{FF2B5EF4-FFF2-40B4-BE49-F238E27FC236}">
                  <a16:creationId xmlns:a16="http://schemas.microsoft.com/office/drawing/2014/main" id="{00000000-0008-0000-0400-000018000000}"/>
                </a:ext>
              </a:extLst>
            </xdr:cNvPr>
            <xdr:cNvSpPr txBox="1"/>
          </xdr:nvSpPr>
          <xdr:spPr>
            <a:xfrm>
              <a:off x="4068295" y="14627262"/>
              <a:ext cx="13973176" cy="59032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𝐷𝑒𝑒𝑚𝑒𝑑 𝑣𝑎𝑙𝑢𝑒 𝑓𝑟𝑜𝑚 𝑠𝑒𝑐𝑡𝑖𝑜𝑛 3.1.5 𝑜𝑓 𝑀𝑂 𝑇𝑅𝑀.  𝐸𝑞𝑢𝑎𝑡𝑖𝑜𝑛 𝑖𝑠 𝑛𝑜𝑡 𝑢𝑠𝑒𝑑 𝑖𝑛 𝑡ℎ𝑒𝑠𝑒 𝑐𝑎𝑙𝑐𝑢𝑙𝑎𝑡𝑖𝑜𝑛𝑠. </a:t>
              </a:r>
              <a:endParaRPr lang="en-US" sz="1400"/>
            </a:p>
          </xdr:txBody>
        </xdr:sp>
      </mc:Fallback>
    </mc:AlternateContent>
    <xdr:clientData/>
  </xdr:twoCellAnchor>
  <xdr:twoCellAnchor>
    <xdr:from>
      <xdr:col>3</xdr:col>
      <xdr:colOff>1580030</xdr:colOff>
      <xdr:row>308</xdr:row>
      <xdr:rowOff>130662</xdr:rowOff>
    </xdr:from>
    <xdr:to>
      <xdr:col>12</xdr:col>
      <xdr:colOff>0</xdr:colOff>
      <xdr:row>315</xdr:row>
      <xdr:rowOff>97043</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00000000-0008-0000-0400-000019000000}"/>
                </a:ext>
              </a:extLst>
            </xdr:cNvPr>
            <xdr:cNvSpPr txBox="1"/>
          </xdr:nvSpPr>
          <xdr:spPr>
            <a:xfrm>
              <a:off x="4179795" y="16020603"/>
              <a:ext cx="13861676" cy="122144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rPr>
                      <m:t>=</m:t>
                    </m:r>
                    <m:f>
                      <m:fPr>
                        <m:ctrlPr>
                          <a:rPr lang="en-US" sz="1400" b="0" i="1">
                            <a:latin typeface="Cambria Math" panose="02040503050406030204" pitchFamily="18" charset="0"/>
                          </a:rPr>
                        </m:ctrlPr>
                      </m:fPr>
                      <m:num>
                        <m:d>
                          <m:dPr>
                            <m:ctrlPr>
                              <a:rPr lang="en-US" sz="1400" b="0" i="1">
                                <a:latin typeface="Cambria Math" panose="02040503050406030204" pitchFamily="18" charset="0"/>
                              </a:rPr>
                            </m:ctrlPr>
                          </m:dPr>
                          <m:e>
                            <m:r>
                              <a:rPr lang="en-US" sz="1400" b="0" i="1">
                                <a:latin typeface="Cambria Math" panose="02040503050406030204" pitchFamily="18" charset="0"/>
                              </a:rPr>
                              <m:t>𝐹𝐿</m:t>
                            </m:r>
                            <m:sSub>
                              <m:sSubPr>
                                <m:ctrlPr>
                                  <a:rPr lang="en-US" sz="1400" b="0" i="1">
                                    <a:latin typeface="Cambria Math" panose="02040503050406030204" pitchFamily="18" charset="0"/>
                                  </a:rPr>
                                </m:ctrlPr>
                              </m:sSubPr>
                              <m:e>
                                <m:r>
                                  <a:rPr lang="en-US" sz="1400" b="0" i="1">
                                    <a:latin typeface="Cambria Math" panose="02040503050406030204" pitchFamily="18" charset="0"/>
                                  </a:rPr>
                                  <m:t>𝐻</m:t>
                                </m:r>
                              </m:e>
                              <m:sub>
                                <m:r>
                                  <a:rPr lang="en-US" sz="1400" b="0" i="1">
                                    <a:latin typeface="Cambria Math" panose="02040503050406030204" pitchFamily="18" charset="0"/>
                                  </a:rPr>
                                  <m:t>𝑅𝑜𝑜𝑚𝐴𝐶</m:t>
                                </m:r>
                              </m:sub>
                            </m:sSub>
                            <m:r>
                              <a:rPr lang="en-US" sz="1400" b="0" i="1">
                                <a:latin typeface="Cambria Math" panose="02040503050406030204" pitchFamily="18" charset="0"/>
                              </a:rPr>
                              <m:t>∗</m:t>
                            </m:r>
                            <m:r>
                              <a:rPr lang="en-US" sz="1400" b="0" i="1">
                                <a:latin typeface="Cambria Math" panose="02040503050406030204" pitchFamily="18" charset="0"/>
                              </a:rPr>
                              <m:t>𝐵𝑡𝑢</m:t>
                            </m:r>
                            <m:r>
                              <a:rPr lang="en-US" sz="1400" b="0" i="1">
                                <a:latin typeface="Cambria Math" panose="02040503050406030204" pitchFamily="18" charset="0"/>
                              </a:rPr>
                              <m:t>/</m:t>
                            </m:r>
                            <m:r>
                              <a:rPr lang="en-US" sz="1400" b="0" i="1">
                                <a:latin typeface="Cambria Math" panose="02040503050406030204" pitchFamily="18" charset="0"/>
                              </a:rPr>
                              <m:t>𝐻</m:t>
                            </m:r>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𝑏𝑎𝑠𝑒</m:t>
                                        </m:r>
                                      </m:sub>
                                    </m:sSub>
                                  </m:den>
                                </m:f>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𝑒𝑒</m:t>
                                        </m:r>
                                      </m:sub>
                                    </m:sSub>
                                  </m:den>
                                </m:f>
                              </m:e>
                            </m:d>
                          </m:e>
                        </m:d>
                      </m:num>
                      <m:den>
                        <m:r>
                          <a:rPr lang="en-US" sz="1400" b="0" i="1">
                            <a:latin typeface="Cambria Math" panose="02040503050406030204" pitchFamily="18" charset="0"/>
                          </a:rPr>
                          <m:t>1000</m:t>
                        </m:r>
                      </m:den>
                    </m:f>
                  </m:oMath>
                </m:oMathPara>
              </a14:m>
              <a:endParaRPr lang="en-US" sz="1400"/>
            </a:p>
          </xdr:txBody>
        </xdr:sp>
      </mc:Choice>
      <mc:Fallback xmlns="">
        <xdr:sp macro="" textlink="">
          <xdr:nvSpPr>
            <xdr:cNvPr id="25" name="TextBox 24">
              <a:extLst>
                <a:ext uri="{FF2B5EF4-FFF2-40B4-BE49-F238E27FC236}">
                  <a16:creationId xmlns:a16="http://schemas.microsoft.com/office/drawing/2014/main" id="{00000000-0008-0000-0400-000019000000}"/>
                </a:ext>
              </a:extLst>
            </xdr:cNvPr>
            <xdr:cNvSpPr txBox="1"/>
          </xdr:nvSpPr>
          <xdr:spPr>
            <a:xfrm>
              <a:off x="4179795" y="16020603"/>
              <a:ext cx="13861676" cy="122144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a:t>
              </a:r>
              <a:r>
                <a:rPr lang="en-US" sz="1400" b="0" i="0">
                  <a:latin typeface="Cambria Math" panose="02040503050406030204" pitchFamily="18" charset="0"/>
                </a:rPr>
                <a:t>=((𝐹𝐿𝐻_𝑅𝑜𝑜𝑚𝐴𝐶∗𝐵𝑡𝑢/𝐻∗(1/(𝐶𝐸𝐸𝑅_𝑏𝑎𝑠𝑒 )−1/(𝐶𝐸𝐸𝑅_𝑒𝑒 ))))/1000</a:t>
              </a:r>
              <a:endParaRPr lang="en-US" sz="1400"/>
            </a:p>
          </xdr:txBody>
        </xdr:sp>
      </mc:Fallback>
    </mc:AlternateContent>
    <xdr:clientData/>
  </xdr:twoCellAnchor>
  <xdr:twoCellAnchor>
    <xdr:from>
      <xdr:col>3</xdr:col>
      <xdr:colOff>1581932</xdr:colOff>
      <xdr:row>313</xdr:row>
      <xdr:rowOff>56028</xdr:rowOff>
    </xdr:from>
    <xdr:to>
      <xdr:col>12</xdr:col>
      <xdr:colOff>-1</xdr:colOff>
      <xdr:row>315</xdr:row>
      <xdr:rowOff>46728</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0000000-0008-0000-0400-00001A000000}"/>
                </a:ext>
              </a:extLst>
            </xdr:cNvPr>
            <xdr:cNvSpPr txBox="1"/>
          </xdr:nvSpPr>
          <xdr:spPr>
            <a:xfrm>
              <a:off x="4181697" y="16842440"/>
              <a:ext cx="13859773" cy="34928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6" name="TextBox 25">
              <a:extLst>
                <a:ext uri="{FF2B5EF4-FFF2-40B4-BE49-F238E27FC236}">
                  <a16:creationId xmlns:a16="http://schemas.microsoft.com/office/drawing/2014/main" id="{00000000-0008-0000-0400-00001A000000}"/>
                </a:ext>
              </a:extLst>
            </xdr:cNvPr>
            <xdr:cNvSpPr txBox="1"/>
          </xdr:nvSpPr>
          <xdr:spPr>
            <a:xfrm>
              <a:off x="4181697" y="16842440"/>
              <a:ext cx="13859773" cy="34928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oneCellAnchor>
    <xdr:from>
      <xdr:col>26</xdr:col>
      <xdr:colOff>2269331</xdr:colOff>
      <xdr:row>216</xdr:row>
      <xdr:rowOff>0</xdr:rowOff>
    </xdr:from>
    <xdr:ext cx="65" cy="172227"/>
    <xdr:sp macro="" textlink="">
      <xdr:nvSpPr>
        <xdr:cNvPr id="27" name="TextBox 26">
          <a:extLst>
            <a:ext uri="{FF2B5EF4-FFF2-40B4-BE49-F238E27FC236}">
              <a16:creationId xmlns:a16="http://schemas.microsoft.com/office/drawing/2014/main" id="{00000000-0008-0000-0400-00001B000000}"/>
            </a:ext>
          </a:extLst>
        </xdr:cNvPr>
        <xdr:cNvSpPr txBox="1"/>
      </xdr:nvSpPr>
      <xdr:spPr>
        <a:xfrm>
          <a:off x="16461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216</xdr:row>
      <xdr:rowOff>0</xdr:rowOff>
    </xdr:from>
    <xdr:ext cx="65" cy="172227"/>
    <xdr:sp macro="" textlink="">
      <xdr:nvSpPr>
        <xdr:cNvPr id="28" name="TextBox 27">
          <a:extLst>
            <a:ext uri="{FF2B5EF4-FFF2-40B4-BE49-F238E27FC236}">
              <a16:creationId xmlns:a16="http://schemas.microsoft.com/office/drawing/2014/main" id="{00000000-0008-0000-0400-00001C000000}"/>
            </a:ext>
          </a:extLst>
        </xdr:cNvPr>
        <xdr:cNvSpPr txBox="1"/>
      </xdr:nvSpPr>
      <xdr:spPr>
        <a:xfrm>
          <a:off x="16461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252</xdr:row>
      <xdr:rowOff>0</xdr:rowOff>
    </xdr:from>
    <xdr:ext cx="65" cy="172227"/>
    <xdr:sp macro="" textlink="">
      <xdr:nvSpPr>
        <xdr:cNvPr id="29" name="TextBox 28">
          <a:extLst>
            <a:ext uri="{FF2B5EF4-FFF2-40B4-BE49-F238E27FC236}">
              <a16:creationId xmlns:a16="http://schemas.microsoft.com/office/drawing/2014/main" id="{00000000-0008-0000-0400-00001D000000}"/>
            </a:ext>
          </a:extLst>
        </xdr:cNvPr>
        <xdr:cNvSpPr txBox="1"/>
      </xdr:nvSpPr>
      <xdr:spPr>
        <a:xfrm>
          <a:off x="16461581" y="438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252</xdr:row>
      <xdr:rowOff>0</xdr:rowOff>
    </xdr:from>
    <xdr:ext cx="65" cy="172227"/>
    <xdr:sp macro="" textlink="">
      <xdr:nvSpPr>
        <xdr:cNvPr id="30" name="TextBox 29">
          <a:extLst>
            <a:ext uri="{FF2B5EF4-FFF2-40B4-BE49-F238E27FC236}">
              <a16:creationId xmlns:a16="http://schemas.microsoft.com/office/drawing/2014/main" id="{00000000-0008-0000-0400-00001E000000}"/>
            </a:ext>
          </a:extLst>
        </xdr:cNvPr>
        <xdr:cNvSpPr txBox="1"/>
      </xdr:nvSpPr>
      <xdr:spPr>
        <a:xfrm>
          <a:off x="16461581" y="438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276</xdr:row>
      <xdr:rowOff>0</xdr:rowOff>
    </xdr:from>
    <xdr:ext cx="65" cy="172227"/>
    <xdr:sp macro="" textlink="">
      <xdr:nvSpPr>
        <xdr:cNvPr id="31" name="TextBox 30">
          <a:extLst>
            <a:ext uri="{FF2B5EF4-FFF2-40B4-BE49-F238E27FC236}">
              <a16:creationId xmlns:a16="http://schemas.microsoft.com/office/drawing/2014/main" id="{00000000-0008-0000-0400-00001F000000}"/>
            </a:ext>
          </a:extLst>
        </xdr:cNvPr>
        <xdr:cNvSpPr txBox="1"/>
      </xdr:nvSpPr>
      <xdr:spPr>
        <a:xfrm>
          <a:off x="16461581" y="483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276</xdr:row>
      <xdr:rowOff>0</xdr:rowOff>
    </xdr:from>
    <xdr:ext cx="65" cy="172227"/>
    <xdr:sp macro="" textlink="">
      <xdr:nvSpPr>
        <xdr:cNvPr id="32" name="TextBox 31">
          <a:extLst>
            <a:ext uri="{FF2B5EF4-FFF2-40B4-BE49-F238E27FC236}">
              <a16:creationId xmlns:a16="http://schemas.microsoft.com/office/drawing/2014/main" id="{00000000-0008-0000-0400-000020000000}"/>
            </a:ext>
          </a:extLst>
        </xdr:cNvPr>
        <xdr:cNvSpPr txBox="1"/>
      </xdr:nvSpPr>
      <xdr:spPr>
        <a:xfrm>
          <a:off x="16461581" y="483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303</xdr:row>
      <xdr:rowOff>0</xdr:rowOff>
    </xdr:from>
    <xdr:ext cx="65" cy="172227"/>
    <xdr:sp macro="" textlink="">
      <xdr:nvSpPr>
        <xdr:cNvPr id="33" name="TextBox 32">
          <a:extLst>
            <a:ext uri="{FF2B5EF4-FFF2-40B4-BE49-F238E27FC236}">
              <a16:creationId xmlns:a16="http://schemas.microsoft.com/office/drawing/2014/main" id="{00000000-0008-0000-0400-000021000000}"/>
            </a:ext>
          </a:extLst>
        </xdr:cNvPr>
        <xdr:cNvSpPr txBox="1"/>
      </xdr:nvSpPr>
      <xdr:spPr>
        <a:xfrm>
          <a:off x="16461581" y="5353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303</xdr:row>
      <xdr:rowOff>0</xdr:rowOff>
    </xdr:from>
    <xdr:ext cx="65" cy="172227"/>
    <xdr:sp macro="" textlink="">
      <xdr:nvSpPr>
        <xdr:cNvPr id="34" name="TextBox 33">
          <a:extLst>
            <a:ext uri="{FF2B5EF4-FFF2-40B4-BE49-F238E27FC236}">
              <a16:creationId xmlns:a16="http://schemas.microsoft.com/office/drawing/2014/main" id="{00000000-0008-0000-0400-000022000000}"/>
            </a:ext>
          </a:extLst>
        </xdr:cNvPr>
        <xdr:cNvSpPr txBox="1"/>
      </xdr:nvSpPr>
      <xdr:spPr>
        <a:xfrm>
          <a:off x="16461581" y="5353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168</xdr:row>
      <xdr:rowOff>0</xdr:rowOff>
    </xdr:from>
    <xdr:ext cx="65" cy="172227"/>
    <xdr:sp macro="" textlink="">
      <xdr:nvSpPr>
        <xdr:cNvPr id="35" name="TextBox 34">
          <a:extLst>
            <a:ext uri="{FF2B5EF4-FFF2-40B4-BE49-F238E27FC236}">
              <a16:creationId xmlns:a16="http://schemas.microsoft.com/office/drawing/2014/main" id="{00000000-0008-0000-0400-000023000000}"/>
            </a:ext>
          </a:extLst>
        </xdr:cNvPr>
        <xdr:cNvSpPr txBox="1"/>
      </xdr:nvSpPr>
      <xdr:spPr>
        <a:xfrm>
          <a:off x="16461581" y="3086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168</xdr:row>
      <xdr:rowOff>0</xdr:rowOff>
    </xdr:from>
    <xdr:ext cx="65" cy="172227"/>
    <xdr:sp macro="" textlink="">
      <xdr:nvSpPr>
        <xdr:cNvPr id="36" name="TextBox 35">
          <a:extLst>
            <a:ext uri="{FF2B5EF4-FFF2-40B4-BE49-F238E27FC236}">
              <a16:creationId xmlns:a16="http://schemas.microsoft.com/office/drawing/2014/main" id="{00000000-0008-0000-0400-000024000000}"/>
            </a:ext>
          </a:extLst>
        </xdr:cNvPr>
        <xdr:cNvSpPr txBox="1"/>
      </xdr:nvSpPr>
      <xdr:spPr>
        <a:xfrm>
          <a:off x="16461581" y="3086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xdr:row>
      <xdr:rowOff>0</xdr:rowOff>
    </xdr:from>
    <xdr:ext cx="65" cy="172227"/>
    <xdr:sp macro="" textlink="">
      <xdr:nvSpPr>
        <xdr:cNvPr id="37" name="TextBox 36">
          <a:extLst>
            <a:ext uri="{FF2B5EF4-FFF2-40B4-BE49-F238E27FC236}">
              <a16:creationId xmlns:a16="http://schemas.microsoft.com/office/drawing/2014/main" id="{00000000-0008-0000-0400-000025000000}"/>
            </a:ext>
          </a:extLst>
        </xdr:cNvPr>
        <xdr:cNvSpPr txBox="1"/>
      </xdr:nvSpPr>
      <xdr:spPr>
        <a:xfrm>
          <a:off x="16461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xdr:row>
      <xdr:rowOff>0</xdr:rowOff>
    </xdr:from>
    <xdr:ext cx="65" cy="172227"/>
    <xdr:sp macro="" textlink="">
      <xdr:nvSpPr>
        <xdr:cNvPr id="38" name="TextBox 37">
          <a:extLst>
            <a:ext uri="{FF2B5EF4-FFF2-40B4-BE49-F238E27FC236}">
              <a16:creationId xmlns:a16="http://schemas.microsoft.com/office/drawing/2014/main" id="{00000000-0008-0000-0400-000026000000}"/>
            </a:ext>
          </a:extLst>
        </xdr:cNvPr>
        <xdr:cNvSpPr txBox="1"/>
      </xdr:nvSpPr>
      <xdr:spPr>
        <a:xfrm>
          <a:off x="16461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39" name="TextBox 38">
          <a:extLst>
            <a:ext uri="{FF2B5EF4-FFF2-40B4-BE49-F238E27FC236}">
              <a16:creationId xmlns:a16="http://schemas.microsoft.com/office/drawing/2014/main" id="{00000000-0008-0000-0400-000027000000}"/>
            </a:ext>
          </a:extLst>
        </xdr:cNvPr>
        <xdr:cNvSpPr txBox="1"/>
      </xdr:nvSpPr>
      <xdr:spPr>
        <a:xfrm>
          <a:off x="16461581" y="5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0" name="TextBox 39">
          <a:extLst>
            <a:ext uri="{FF2B5EF4-FFF2-40B4-BE49-F238E27FC236}">
              <a16:creationId xmlns:a16="http://schemas.microsoft.com/office/drawing/2014/main" id="{00000000-0008-0000-0400-000028000000}"/>
            </a:ext>
          </a:extLst>
        </xdr:cNvPr>
        <xdr:cNvSpPr txBox="1"/>
      </xdr:nvSpPr>
      <xdr:spPr>
        <a:xfrm>
          <a:off x="16461581" y="5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0</xdr:colOff>
      <xdr:row>231</xdr:row>
      <xdr:rowOff>0</xdr:rowOff>
    </xdr:from>
    <xdr:to>
      <xdr:col>4</xdr:col>
      <xdr:colOff>1615541</xdr:colOff>
      <xdr:row>232</xdr:row>
      <xdr:rowOff>62675</xdr:rowOff>
    </xdr:to>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42096616-3BF0-468E-9F07-81412B4E4C57}"/>
                </a:ext>
              </a:extLst>
            </xdr:cNvPr>
            <xdr:cNvSpPr txBox="1"/>
          </xdr:nvSpPr>
          <xdr:spPr>
            <a:xfrm>
              <a:off x="2598964" y="52224214"/>
              <a:ext cx="4309756" cy="23956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𝑘𝑊h</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𝐸𝑅𝑃</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𝐵𝑎𝑠𝑒𝑙𝑖𝑛𝑒𝐸𝑛𝑒𝑟𝑔𝑦𝐴𝑉</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600">
                <a:solidFill>
                  <a:sysClr val="windowText" lastClr="000000"/>
                </a:solidFill>
              </a:endParaRPr>
            </a:p>
          </xdr:txBody>
        </xdr:sp>
      </mc:Choice>
      <mc:Fallback xmlns="">
        <xdr:sp macro="" textlink="">
          <xdr:nvSpPr>
            <xdr:cNvPr id="42" name="TextBox 41">
              <a:extLst>
                <a:ext uri="{FF2B5EF4-FFF2-40B4-BE49-F238E27FC236}">
                  <a16:creationId xmlns:a16="http://schemas.microsoft.com/office/drawing/2014/main" id="{42096616-3BF0-468E-9F07-81412B4E4C57}"/>
                </a:ext>
              </a:extLst>
            </xdr:cNvPr>
            <xdr:cNvSpPr txBox="1"/>
          </xdr:nvSpPr>
          <xdr:spPr>
            <a:xfrm>
              <a:off x="2598964" y="52224214"/>
              <a:ext cx="4309756" cy="23956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𝑘𝑊ℎ=𝐸𝑅𝑃∗𝐵𝑎𝑠𝑒𝑙𝑖𝑛𝑒𝐸𝑛𝑒𝑟𝑔𝑦𝐴𝑉∗𝐼𝑆𝑅</a:t>
              </a:r>
              <a:endParaRPr lang="en-US" sz="1600">
                <a:solidFill>
                  <a:sysClr val="windowText" lastClr="000000"/>
                </a:solidFill>
              </a:endParaRPr>
            </a:p>
          </xdr:txBody>
        </xdr:sp>
      </mc:Fallback>
    </mc:AlternateContent>
    <xdr:clientData/>
  </xdr:twoCellAnchor>
  <xdr:twoCellAnchor>
    <xdr:from>
      <xdr:col>3</xdr:col>
      <xdr:colOff>0</xdr:colOff>
      <xdr:row>188</xdr:row>
      <xdr:rowOff>0</xdr:rowOff>
    </xdr:from>
    <xdr:to>
      <xdr:col>4</xdr:col>
      <xdr:colOff>2028265</xdr:colOff>
      <xdr:row>191</xdr:row>
      <xdr:rowOff>100853</xdr:rowOff>
    </xdr:to>
    <mc:AlternateContent xmlns:mc="http://schemas.openxmlformats.org/markup-compatibility/2006" xmlns:a14="http://schemas.microsoft.com/office/drawing/2010/main">
      <mc:Choice Requires="a14">
        <xdr:sp macro="" textlink="">
          <xdr:nvSpPr>
            <xdr:cNvPr id="47" name="TextBox 46">
              <a:extLst>
                <a:ext uri="{FF2B5EF4-FFF2-40B4-BE49-F238E27FC236}">
                  <a16:creationId xmlns:a16="http://schemas.microsoft.com/office/drawing/2014/main" id="{2C51CB55-0AA1-4BAB-AB6F-B0545558CA62}"/>
                </a:ext>
              </a:extLst>
            </xdr:cNvPr>
            <xdr:cNvSpPr txBox="1"/>
          </xdr:nvSpPr>
          <xdr:spPr>
            <a:xfrm>
              <a:off x="2599765" y="41921206"/>
              <a:ext cx="4728882" cy="63873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200" i="1">
                        <a:solidFill>
                          <a:sysClr val="windowText" lastClr="000000"/>
                        </a:solidFill>
                        <a:latin typeface="Cambria Math" panose="02040503050406030204" pitchFamily="18" charset="0"/>
                        <a:ea typeface="Cambria Math" panose="02040503050406030204" pitchFamily="18" charset="0"/>
                      </a:rPr>
                      <m:t>∆</m:t>
                    </m:r>
                    <m:r>
                      <a:rPr lang="en-US" sz="1200" b="0" i="1">
                        <a:solidFill>
                          <a:sysClr val="windowText" lastClr="000000"/>
                        </a:solidFill>
                        <a:latin typeface="Cambria Math" panose="02040503050406030204" pitchFamily="18" charset="0"/>
                        <a:ea typeface="Cambria Math" panose="02040503050406030204" pitchFamily="18" charset="0"/>
                      </a:rPr>
                      <m:t>𝑘𝑊h</m:t>
                    </m:r>
                    <m:r>
                      <a:rPr lang="en-US" sz="1200" b="0" i="1">
                        <a:solidFill>
                          <a:sysClr val="windowText" lastClr="000000"/>
                        </a:solidFill>
                        <a:latin typeface="Cambria Math" panose="02040503050406030204" pitchFamily="18" charset="0"/>
                        <a:ea typeface="Cambria Math" panose="02040503050406030204" pitchFamily="18" charset="0"/>
                      </a:rPr>
                      <m:t>=</m:t>
                    </m:r>
                    <m:f>
                      <m:fPr>
                        <m:ctrlPr>
                          <a:rPr lang="en-US" sz="1200" i="1">
                            <a:solidFill>
                              <a:sysClr val="windowText" lastClr="000000"/>
                            </a:solidFill>
                            <a:effectLst/>
                            <a:latin typeface="Cambria Math" panose="02040503050406030204" pitchFamily="18" charset="0"/>
                            <a:ea typeface="+mn-ea"/>
                            <a:cs typeface="+mn-cs"/>
                          </a:rPr>
                        </m:ctrlPr>
                      </m:fPr>
                      <m:num>
                        <m:d>
                          <m:dPr>
                            <m:ctrlPr>
                              <a:rPr lang="en-US" sz="1200" i="1">
                                <a:solidFill>
                                  <a:sysClr val="windowText" lastClr="000000"/>
                                </a:solidFill>
                                <a:effectLst/>
                                <a:latin typeface="Cambria Math" panose="02040503050406030204" pitchFamily="18" charset="0"/>
                                <a:ea typeface="+mn-ea"/>
                                <a:cs typeface="+mn-cs"/>
                              </a:rPr>
                            </m:ctrlPr>
                          </m:dPr>
                          <m:e>
                            <m:r>
                              <a:rPr lang="en-US" sz="1200" i="1">
                                <a:solidFill>
                                  <a:sysClr val="windowText" lastClr="000000"/>
                                </a:solidFill>
                                <a:effectLst/>
                                <a:latin typeface="Cambria Math" panose="02040503050406030204" pitchFamily="18" charset="0"/>
                                <a:ea typeface="+mn-ea"/>
                                <a:cs typeface="+mn-cs"/>
                              </a:rPr>
                              <m:t>𝐺𝑎𝑙𝑙𝑜𝑛𝑠</m:t>
                            </m:r>
                            <m:r>
                              <a:rPr lang="en-US" sz="1200" i="1">
                                <a:solidFill>
                                  <a:sysClr val="windowText" lastClr="000000"/>
                                </a:solidFill>
                                <a:effectLst/>
                                <a:latin typeface="Cambria Math" panose="02040503050406030204" pitchFamily="18" charset="0"/>
                                <a:ea typeface="+mn-ea"/>
                                <a:cs typeface="+mn-cs"/>
                              </a:rPr>
                              <m:t>∗</m:t>
                            </m:r>
                            <m:r>
                              <a:rPr lang="en-US" sz="1200" i="1">
                                <a:solidFill>
                                  <a:sysClr val="windowText" lastClr="000000"/>
                                </a:solidFill>
                                <a:effectLst/>
                                <a:latin typeface="Cambria Math" panose="02040503050406030204" pitchFamily="18" charset="0"/>
                                <a:ea typeface="+mn-ea"/>
                                <a:cs typeface="+mn-cs"/>
                              </a:rPr>
                              <m:t>𝑇𝑢𝑟𝑛𝑜𝑣𝑒𝑟𝑠</m:t>
                            </m:r>
                            <m:r>
                              <a:rPr lang="en-US" sz="1200" i="1">
                                <a:solidFill>
                                  <a:sysClr val="windowText" lastClr="000000"/>
                                </a:solidFill>
                                <a:effectLst/>
                                <a:latin typeface="Cambria Math" panose="02040503050406030204" pitchFamily="18" charset="0"/>
                                <a:ea typeface="+mn-ea"/>
                                <a:cs typeface="+mn-cs"/>
                              </a:rPr>
                              <m:t>∗</m:t>
                            </m:r>
                            <m:d>
                              <m:dPr>
                                <m:ctrlPr>
                                  <a:rPr lang="en-US" sz="1200" i="1">
                                    <a:solidFill>
                                      <a:sysClr val="windowText" lastClr="000000"/>
                                    </a:solidFill>
                                    <a:effectLst/>
                                    <a:latin typeface="Cambria Math" panose="02040503050406030204" pitchFamily="18" charset="0"/>
                                    <a:ea typeface="+mn-ea"/>
                                    <a:cs typeface="+mn-cs"/>
                                  </a:rPr>
                                </m:ctrlPr>
                              </m:dPr>
                              <m:e>
                                <m:f>
                                  <m:fPr>
                                    <m:ctrlPr>
                                      <a:rPr lang="en-US" sz="1200" i="1">
                                        <a:solidFill>
                                          <a:sysClr val="windowText" lastClr="000000"/>
                                        </a:solidFill>
                                        <a:effectLst/>
                                        <a:latin typeface="Cambria Math" panose="02040503050406030204" pitchFamily="18" charset="0"/>
                                        <a:ea typeface="+mn-ea"/>
                                        <a:cs typeface="+mn-cs"/>
                                      </a:rPr>
                                    </m:ctrlPr>
                                  </m:fPr>
                                  <m:num>
                                    <m:r>
                                      <a:rPr lang="en-US" sz="1200" i="1">
                                        <a:solidFill>
                                          <a:sysClr val="windowText" lastClr="000000"/>
                                        </a:solidFill>
                                        <a:effectLst/>
                                        <a:latin typeface="Cambria Math" panose="02040503050406030204" pitchFamily="18" charset="0"/>
                                        <a:ea typeface="+mn-ea"/>
                                        <a:cs typeface="+mn-cs"/>
                                      </a:rPr>
                                      <m:t>1</m:t>
                                    </m:r>
                                  </m:num>
                                  <m:den>
                                    <m:r>
                                      <a:rPr lang="en-US" sz="1200" i="1">
                                        <a:solidFill>
                                          <a:sysClr val="windowText" lastClr="000000"/>
                                        </a:solidFill>
                                        <a:effectLst/>
                                        <a:latin typeface="Cambria Math" panose="02040503050406030204" pitchFamily="18" charset="0"/>
                                        <a:ea typeface="+mn-ea"/>
                                        <a:cs typeface="+mn-cs"/>
                                      </a:rPr>
                                      <m:t>𝑊𝐸</m:t>
                                    </m:r>
                                    <m:sSub>
                                      <m:sSubPr>
                                        <m:ctrlPr>
                                          <a:rPr lang="en-US" sz="1200" i="1">
                                            <a:solidFill>
                                              <a:sysClr val="windowText" lastClr="000000"/>
                                            </a:solidFill>
                                            <a:effectLst/>
                                            <a:latin typeface="Cambria Math" panose="02040503050406030204" pitchFamily="18" charset="0"/>
                                            <a:ea typeface="+mn-ea"/>
                                            <a:cs typeface="+mn-cs"/>
                                          </a:rPr>
                                        </m:ctrlPr>
                                      </m:sSubPr>
                                      <m:e>
                                        <m:r>
                                          <a:rPr lang="en-US" sz="1200" i="1">
                                            <a:solidFill>
                                              <a:sysClr val="windowText" lastClr="000000"/>
                                            </a:solidFill>
                                            <a:effectLst/>
                                            <a:latin typeface="Cambria Math" panose="02040503050406030204" pitchFamily="18" charset="0"/>
                                            <a:ea typeface="+mn-ea"/>
                                            <a:cs typeface="+mn-cs"/>
                                          </a:rPr>
                                          <m:t>𝐹</m:t>
                                        </m:r>
                                      </m:e>
                                      <m:sub>
                                        <m:r>
                                          <a:rPr lang="en-US" sz="1200" i="1">
                                            <a:solidFill>
                                              <a:sysClr val="windowText" lastClr="000000"/>
                                            </a:solidFill>
                                            <a:effectLst/>
                                            <a:latin typeface="Cambria Math" panose="02040503050406030204" pitchFamily="18" charset="0"/>
                                            <a:ea typeface="+mn-ea"/>
                                            <a:cs typeface="+mn-cs"/>
                                          </a:rPr>
                                          <m:t>𝑏𝑎𝑠𝑒</m:t>
                                        </m:r>
                                      </m:sub>
                                    </m:sSub>
                                  </m:den>
                                </m:f>
                                <m:r>
                                  <a:rPr lang="en-US" sz="1200" i="1">
                                    <a:solidFill>
                                      <a:sysClr val="windowText" lastClr="000000"/>
                                    </a:solidFill>
                                    <a:effectLst/>
                                    <a:latin typeface="Cambria Math" panose="02040503050406030204" pitchFamily="18" charset="0"/>
                                    <a:ea typeface="+mn-ea"/>
                                    <a:cs typeface="+mn-cs"/>
                                  </a:rPr>
                                  <m:t>−</m:t>
                                </m:r>
                                <m:f>
                                  <m:fPr>
                                    <m:ctrlPr>
                                      <a:rPr lang="en-US" sz="1200" i="1">
                                        <a:solidFill>
                                          <a:sysClr val="windowText" lastClr="000000"/>
                                        </a:solidFill>
                                        <a:effectLst/>
                                        <a:latin typeface="Cambria Math" panose="02040503050406030204" pitchFamily="18" charset="0"/>
                                        <a:ea typeface="+mn-ea"/>
                                        <a:cs typeface="+mn-cs"/>
                                      </a:rPr>
                                    </m:ctrlPr>
                                  </m:fPr>
                                  <m:num>
                                    <m:r>
                                      <a:rPr lang="en-US" sz="1200" i="1">
                                        <a:solidFill>
                                          <a:sysClr val="windowText" lastClr="000000"/>
                                        </a:solidFill>
                                        <a:effectLst/>
                                        <a:latin typeface="Cambria Math" panose="02040503050406030204" pitchFamily="18" charset="0"/>
                                        <a:ea typeface="+mn-ea"/>
                                        <a:cs typeface="+mn-cs"/>
                                      </a:rPr>
                                      <m:t>1</m:t>
                                    </m:r>
                                  </m:num>
                                  <m:den>
                                    <m:r>
                                      <a:rPr lang="en-US" sz="1200" i="1">
                                        <a:solidFill>
                                          <a:sysClr val="windowText" lastClr="000000"/>
                                        </a:solidFill>
                                        <a:effectLst/>
                                        <a:latin typeface="Cambria Math" panose="02040503050406030204" pitchFamily="18" charset="0"/>
                                        <a:ea typeface="+mn-ea"/>
                                        <a:cs typeface="+mn-cs"/>
                                      </a:rPr>
                                      <m:t>𝑊𝐸</m:t>
                                    </m:r>
                                    <m:sSub>
                                      <m:sSubPr>
                                        <m:ctrlPr>
                                          <a:rPr lang="en-US" sz="1200" i="1">
                                            <a:solidFill>
                                              <a:sysClr val="windowText" lastClr="000000"/>
                                            </a:solidFill>
                                            <a:effectLst/>
                                            <a:latin typeface="Cambria Math" panose="02040503050406030204" pitchFamily="18" charset="0"/>
                                            <a:ea typeface="+mn-ea"/>
                                            <a:cs typeface="+mn-cs"/>
                                          </a:rPr>
                                        </m:ctrlPr>
                                      </m:sSubPr>
                                      <m:e>
                                        <m:r>
                                          <a:rPr lang="en-US" sz="1200" i="1">
                                            <a:solidFill>
                                              <a:sysClr val="windowText" lastClr="000000"/>
                                            </a:solidFill>
                                            <a:effectLst/>
                                            <a:latin typeface="Cambria Math" panose="02040503050406030204" pitchFamily="18" charset="0"/>
                                            <a:ea typeface="+mn-ea"/>
                                            <a:cs typeface="+mn-cs"/>
                                          </a:rPr>
                                          <m:t>𝐹</m:t>
                                        </m:r>
                                      </m:e>
                                      <m:sub>
                                        <m:r>
                                          <a:rPr lang="en-US" sz="1200" b="0" i="1">
                                            <a:solidFill>
                                              <a:sysClr val="windowText" lastClr="000000"/>
                                            </a:solidFill>
                                            <a:effectLst/>
                                            <a:latin typeface="Cambria Math" panose="02040503050406030204" pitchFamily="18" charset="0"/>
                                            <a:ea typeface="+mn-ea"/>
                                            <a:cs typeface="+mn-cs"/>
                                          </a:rPr>
                                          <m:t>𝑒𝑒</m:t>
                                        </m:r>
                                      </m:sub>
                                    </m:sSub>
                                  </m:den>
                                </m:f>
                              </m:e>
                            </m:d>
                            <m:r>
                              <a:rPr lang="en-US" sz="1200" i="1">
                                <a:solidFill>
                                  <a:sysClr val="windowText" lastClr="000000"/>
                                </a:solidFill>
                                <a:effectLst/>
                                <a:latin typeface="Cambria Math" panose="02040503050406030204" pitchFamily="18" charset="0"/>
                                <a:ea typeface="+mn-ea"/>
                                <a:cs typeface="+mn-cs"/>
                              </a:rPr>
                              <m:t>∗</m:t>
                            </m:r>
                            <m:r>
                              <a:rPr lang="en-US" sz="1200" i="1">
                                <a:solidFill>
                                  <a:sysClr val="windowText" lastClr="000000"/>
                                </a:solidFill>
                                <a:effectLst/>
                                <a:latin typeface="Cambria Math" panose="02040503050406030204" pitchFamily="18" charset="0"/>
                                <a:ea typeface="+mn-ea"/>
                                <a:cs typeface="+mn-cs"/>
                              </a:rPr>
                              <m:t>𝐷𝑎𝑦𝑠</m:t>
                            </m:r>
                          </m:e>
                        </m:d>
                      </m:num>
                      <m:den>
                        <m:r>
                          <a:rPr lang="en-US" sz="1200" i="1">
                            <a:solidFill>
                              <a:sysClr val="windowText" lastClr="000000"/>
                            </a:solidFill>
                            <a:effectLst/>
                            <a:latin typeface="Cambria Math" panose="02040503050406030204" pitchFamily="18" charset="0"/>
                            <a:ea typeface="+mn-ea"/>
                            <a:cs typeface="+mn-cs"/>
                          </a:rPr>
                          <m:t>1,000</m:t>
                        </m:r>
                      </m:den>
                    </m:f>
                    <m:r>
                      <a:rPr lang="en-US" sz="1200" b="0" i="1">
                        <a:solidFill>
                          <a:sysClr val="windowText" lastClr="000000"/>
                        </a:solidFill>
                        <a:effectLst/>
                        <a:latin typeface="Cambria Math" panose="02040503050406030204" pitchFamily="18" charset="0"/>
                        <a:ea typeface="+mn-ea"/>
                        <a:cs typeface="+mn-cs"/>
                      </a:rPr>
                      <m:t>∗</m:t>
                    </m:r>
                    <m:r>
                      <a:rPr lang="en-US" sz="1200" b="0" i="1">
                        <a:solidFill>
                          <a:sysClr val="windowText" lastClr="000000"/>
                        </a:solidFill>
                        <a:effectLst/>
                        <a:latin typeface="Cambria Math" panose="02040503050406030204" pitchFamily="18" charset="0"/>
                        <a:ea typeface="+mn-ea"/>
                        <a:cs typeface="+mn-cs"/>
                      </a:rPr>
                      <m:t>𝐼𝑆𝑅</m:t>
                    </m:r>
                  </m:oMath>
                </m:oMathPara>
              </a14:m>
              <a:endParaRPr lang="en-US" sz="1200">
                <a:solidFill>
                  <a:sysClr val="windowText" lastClr="000000"/>
                </a:solidFill>
                <a:effectLst/>
                <a:latin typeface="+mn-lt"/>
                <a:ea typeface="+mn-ea"/>
                <a:cs typeface="+mn-cs"/>
              </a:endParaRPr>
            </a:p>
            <a:p>
              <a:endParaRPr lang="en-US" sz="1200">
                <a:solidFill>
                  <a:sysClr val="windowText" lastClr="000000"/>
                </a:solidFill>
              </a:endParaRPr>
            </a:p>
          </xdr:txBody>
        </xdr:sp>
      </mc:Choice>
      <mc:Fallback xmlns="">
        <xdr:sp macro="" textlink="">
          <xdr:nvSpPr>
            <xdr:cNvPr id="47" name="TextBox 46">
              <a:extLst>
                <a:ext uri="{FF2B5EF4-FFF2-40B4-BE49-F238E27FC236}">
                  <a16:creationId xmlns:a16="http://schemas.microsoft.com/office/drawing/2014/main" id="{2C51CB55-0AA1-4BAB-AB6F-B0545558CA62}"/>
                </a:ext>
              </a:extLst>
            </xdr:cNvPr>
            <xdr:cNvSpPr txBox="1"/>
          </xdr:nvSpPr>
          <xdr:spPr>
            <a:xfrm>
              <a:off x="2599765" y="41921206"/>
              <a:ext cx="4728882" cy="63873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200" i="0">
                  <a:solidFill>
                    <a:sysClr val="windowText" lastClr="000000"/>
                  </a:solidFill>
                  <a:latin typeface="Cambria Math" panose="02040503050406030204" pitchFamily="18" charset="0"/>
                  <a:ea typeface="Cambria Math" panose="02040503050406030204" pitchFamily="18" charset="0"/>
                </a:rPr>
                <a:t>∆</a:t>
              </a:r>
              <a:r>
                <a:rPr lang="en-US" sz="1200" b="0" i="0">
                  <a:solidFill>
                    <a:sysClr val="windowText" lastClr="000000"/>
                  </a:solidFill>
                  <a:latin typeface="Cambria Math" panose="02040503050406030204" pitchFamily="18" charset="0"/>
                  <a:ea typeface="Cambria Math" panose="02040503050406030204" pitchFamily="18" charset="0"/>
                </a:rPr>
                <a:t>𝑘𝑊ℎ=</a:t>
              </a:r>
              <a:r>
                <a:rPr lang="en-US" sz="1200" i="0">
                  <a:solidFill>
                    <a:sysClr val="windowText" lastClr="000000"/>
                  </a:solidFill>
                  <a:effectLst/>
                  <a:latin typeface="Cambria Math" panose="02040503050406030204" pitchFamily="18" charset="0"/>
                  <a:ea typeface="+mn-ea"/>
                  <a:cs typeface="+mn-cs"/>
                </a:rPr>
                <a:t>((𝐺𝑎𝑙𝑙𝑜𝑛𝑠∗𝑇𝑢𝑟𝑛𝑜𝑣𝑒𝑟𝑠∗(1/(𝑊𝐸𝐹_𝑏𝑎𝑠𝑒 )−1/(𝑊𝐸𝐹_</a:t>
              </a:r>
              <a:r>
                <a:rPr lang="en-US" sz="1200" b="0" i="0">
                  <a:solidFill>
                    <a:sysClr val="windowText" lastClr="000000"/>
                  </a:solidFill>
                  <a:effectLst/>
                  <a:latin typeface="Cambria Math" panose="02040503050406030204" pitchFamily="18" charset="0"/>
                  <a:ea typeface="+mn-ea"/>
                  <a:cs typeface="+mn-cs"/>
                </a:rPr>
                <a:t>𝑒𝑒 ))</a:t>
              </a:r>
              <a:r>
                <a:rPr lang="en-US" sz="1200" i="0">
                  <a:solidFill>
                    <a:sysClr val="windowText" lastClr="000000"/>
                  </a:solidFill>
                  <a:effectLst/>
                  <a:latin typeface="Cambria Math" panose="02040503050406030204" pitchFamily="18" charset="0"/>
                  <a:ea typeface="+mn-ea"/>
                  <a:cs typeface="+mn-cs"/>
                </a:rPr>
                <a:t>∗𝐷𝑎𝑦𝑠))/1,000</a:t>
              </a:r>
              <a:r>
                <a:rPr lang="en-US" sz="1200" b="0" i="0">
                  <a:solidFill>
                    <a:sysClr val="windowText" lastClr="000000"/>
                  </a:solidFill>
                  <a:effectLst/>
                  <a:latin typeface="Cambria Math" panose="02040503050406030204" pitchFamily="18" charset="0"/>
                  <a:ea typeface="+mn-ea"/>
                  <a:cs typeface="+mn-cs"/>
                </a:rPr>
                <a:t>∗𝐼𝑆𝑅</a:t>
              </a:r>
              <a:endParaRPr lang="en-US" sz="1200">
                <a:solidFill>
                  <a:sysClr val="windowText" lastClr="000000"/>
                </a:solidFill>
                <a:effectLst/>
                <a:latin typeface="+mn-lt"/>
                <a:ea typeface="+mn-ea"/>
                <a:cs typeface="+mn-cs"/>
              </a:endParaRPr>
            </a:p>
            <a:p>
              <a:endParaRPr lang="en-US" sz="1200">
                <a:solidFill>
                  <a:sysClr val="windowText" lastClr="000000"/>
                </a:solidFill>
              </a:endParaRPr>
            </a:p>
          </xdr:txBody>
        </xdr:sp>
      </mc:Fallback>
    </mc:AlternateContent>
    <xdr:clientData/>
  </xdr:twoCellAnchor>
  <xdr:twoCellAnchor>
    <xdr:from>
      <xdr:col>5</xdr:col>
      <xdr:colOff>6722</xdr:colOff>
      <xdr:row>188</xdr:row>
      <xdr:rowOff>43926</xdr:rowOff>
    </xdr:from>
    <xdr:to>
      <xdr:col>9</xdr:col>
      <xdr:colOff>16565</xdr:colOff>
      <xdr:row>191</xdr:row>
      <xdr:rowOff>146684</xdr:rowOff>
    </xdr:to>
    <mc:AlternateContent xmlns:mc="http://schemas.openxmlformats.org/markup-compatibility/2006" xmlns:a14="http://schemas.microsoft.com/office/drawing/2010/main">
      <mc:Choice Requires="a14">
        <xdr:sp macro="" textlink="">
          <xdr:nvSpPr>
            <xdr:cNvPr id="48" name="TextBox 47">
              <a:extLst>
                <a:ext uri="{FF2B5EF4-FFF2-40B4-BE49-F238E27FC236}">
                  <a16:creationId xmlns:a16="http://schemas.microsoft.com/office/drawing/2014/main" id="{686EE27C-A788-4F07-AB09-BE9FDB20C539}"/>
                </a:ext>
              </a:extLst>
            </xdr:cNvPr>
            <xdr:cNvSpPr txBox="1"/>
          </xdr:nvSpPr>
          <xdr:spPr>
            <a:xfrm>
              <a:off x="9655961" y="57616339"/>
              <a:ext cx="5310713" cy="67425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200" i="1">
                        <a:solidFill>
                          <a:sysClr val="windowText" lastClr="000000"/>
                        </a:solidFill>
                        <a:latin typeface="Cambria Math" panose="02040503050406030204" pitchFamily="18" charset="0"/>
                        <a:ea typeface="Cambria Math" panose="02040503050406030204" pitchFamily="18" charset="0"/>
                      </a:rPr>
                      <m:t>∆</m:t>
                    </m:r>
                    <m:r>
                      <a:rPr lang="en-US" sz="1200" b="0" i="1">
                        <a:solidFill>
                          <a:sysClr val="windowText" lastClr="000000"/>
                        </a:solidFill>
                        <a:latin typeface="Cambria Math" panose="02040503050406030204" pitchFamily="18" charset="0"/>
                        <a:ea typeface="Cambria Math" panose="02040503050406030204" pitchFamily="18" charset="0"/>
                      </a:rPr>
                      <m:t>𝑘𝑊h</m:t>
                    </m:r>
                    <m:r>
                      <a:rPr lang="en-US" sz="1200" b="0" i="1">
                        <a:solidFill>
                          <a:sysClr val="windowText" lastClr="000000"/>
                        </a:solidFill>
                        <a:latin typeface="Cambria Math" panose="02040503050406030204" pitchFamily="18" charset="0"/>
                        <a:ea typeface="Cambria Math" panose="02040503050406030204" pitchFamily="18" charset="0"/>
                      </a:rPr>
                      <m:t>=</m:t>
                    </m:r>
                    <m:f>
                      <m:fPr>
                        <m:ctrlPr>
                          <a:rPr lang="en-US" sz="1200" i="1">
                            <a:solidFill>
                              <a:sysClr val="windowText" lastClr="000000"/>
                            </a:solidFill>
                            <a:effectLst/>
                            <a:latin typeface="Cambria Math" panose="02040503050406030204" pitchFamily="18" charset="0"/>
                            <a:ea typeface="+mn-ea"/>
                            <a:cs typeface="+mn-cs"/>
                          </a:rPr>
                        </m:ctrlPr>
                      </m:fPr>
                      <m:num>
                        <m:d>
                          <m:dPr>
                            <m:ctrlPr>
                              <a:rPr lang="en-US" sz="1200" i="1">
                                <a:solidFill>
                                  <a:sysClr val="windowText" lastClr="000000"/>
                                </a:solidFill>
                                <a:effectLst/>
                                <a:latin typeface="Cambria Math" panose="02040503050406030204" pitchFamily="18" charset="0"/>
                                <a:ea typeface="+mn-ea"/>
                                <a:cs typeface="+mn-cs"/>
                              </a:rPr>
                            </m:ctrlPr>
                          </m:dPr>
                          <m:e>
                            <m:r>
                              <a:rPr lang="en-US" sz="1200" i="1">
                                <a:solidFill>
                                  <a:sysClr val="windowText" lastClr="000000"/>
                                </a:solidFill>
                                <a:effectLst/>
                                <a:latin typeface="Cambria Math" panose="02040503050406030204" pitchFamily="18" charset="0"/>
                                <a:ea typeface="+mn-ea"/>
                                <a:cs typeface="+mn-cs"/>
                              </a:rPr>
                              <m:t>𝐺𝑎𝑙𝑙𝑜𝑛𝑠</m:t>
                            </m:r>
                            <m:r>
                              <a:rPr lang="en-US" sz="1200" i="1">
                                <a:solidFill>
                                  <a:sysClr val="windowText" lastClr="000000"/>
                                </a:solidFill>
                                <a:effectLst/>
                                <a:latin typeface="Cambria Math" panose="02040503050406030204" pitchFamily="18" charset="0"/>
                                <a:ea typeface="+mn-ea"/>
                                <a:cs typeface="+mn-cs"/>
                              </a:rPr>
                              <m:t>∗</m:t>
                            </m:r>
                            <m:r>
                              <a:rPr lang="en-US" sz="1200" i="1">
                                <a:solidFill>
                                  <a:sysClr val="windowText" lastClr="000000"/>
                                </a:solidFill>
                                <a:effectLst/>
                                <a:latin typeface="Cambria Math" panose="02040503050406030204" pitchFamily="18" charset="0"/>
                                <a:ea typeface="+mn-ea"/>
                                <a:cs typeface="+mn-cs"/>
                              </a:rPr>
                              <m:t>𝑇𝑢𝑟𝑛𝑜𝑣𝑒𝑟𝑠</m:t>
                            </m:r>
                            <m:r>
                              <a:rPr lang="en-US" sz="1200" i="1">
                                <a:solidFill>
                                  <a:sysClr val="windowText" lastClr="000000"/>
                                </a:solidFill>
                                <a:effectLst/>
                                <a:latin typeface="Cambria Math" panose="02040503050406030204" pitchFamily="18" charset="0"/>
                                <a:ea typeface="+mn-ea"/>
                                <a:cs typeface="+mn-cs"/>
                              </a:rPr>
                              <m:t>∗</m:t>
                            </m:r>
                            <m:d>
                              <m:dPr>
                                <m:ctrlPr>
                                  <a:rPr lang="en-US" sz="1200" i="1">
                                    <a:solidFill>
                                      <a:sysClr val="windowText" lastClr="000000"/>
                                    </a:solidFill>
                                    <a:effectLst/>
                                    <a:latin typeface="Cambria Math" panose="02040503050406030204" pitchFamily="18" charset="0"/>
                                    <a:ea typeface="+mn-ea"/>
                                    <a:cs typeface="+mn-cs"/>
                                  </a:rPr>
                                </m:ctrlPr>
                              </m:dPr>
                              <m:e>
                                <m:f>
                                  <m:fPr>
                                    <m:ctrlPr>
                                      <a:rPr lang="en-US" sz="1200" i="1">
                                        <a:solidFill>
                                          <a:sysClr val="windowText" lastClr="000000"/>
                                        </a:solidFill>
                                        <a:effectLst/>
                                        <a:latin typeface="Cambria Math" panose="02040503050406030204" pitchFamily="18" charset="0"/>
                                        <a:ea typeface="+mn-ea"/>
                                        <a:cs typeface="+mn-cs"/>
                                      </a:rPr>
                                    </m:ctrlPr>
                                  </m:fPr>
                                  <m:num>
                                    <m:r>
                                      <a:rPr lang="en-US" sz="1200" i="1">
                                        <a:solidFill>
                                          <a:sysClr val="windowText" lastClr="000000"/>
                                        </a:solidFill>
                                        <a:effectLst/>
                                        <a:latin typeface="Cambria Math" panose="02040503050406030204" pitchFamily="18" charset="0"/>
                                        <a:ea typeface="+mn-ea"/>
                                        <a:cs typeface="+mn-cs"/>
                                      </a:rPr>
                                      <m:t>1</m:t>
                                    </m:r>
                                  </m:num>
                                  <m:den>
                                    <m:r>
                                      <a:rPr lang="en-US" sz="1200" i="1">
                                        <a:solidFill>
                                          <a:sysClr val="windowText" lastClr="000000"/>
                                        </a:solidFill>
                                        <a:effectLst/>
                                        <a:latin typeface="Cambria Math" panose="02040503050406030204" pitchFamily="18" charset="0"/>
                                        <a:ea typeface="+mn-ea"/>
                                        <a:cs typeface="+mn-cs"/>
                                      </a:rPr>
                                      <m:t>𝐸</m:t>
                                    </m:r>
                                    <m:sSub>
                                      <m:sSubPr>
                                        <m:ctrlPr>
                                          <a:rPr lang="en-US" sz="1200" i="1">
                                            <a:solidFill>
                                              <a:sysClr val="windowText" lastClr="000000"/>
                                            </a:solidFill>
                                            <a:effectLst/>
                                            <a:latin typeface="Cambria Math" panose="02040503050406030204" pitchFamily="18" charset="0"/>
                                            <a:ea typeface="+mn-ea"/>
                                            <a:cs typeface="+mn-cs"/>
                                          </a:rPr>
                                        </m:ctrlPr>
                                      </m:sSubPr>
                                      <m:e>
                                        <m:r>
                                          <a:rPr lang="en-US" sz="1200" i="1">
                                            <a:solidFill>
                                              <a:sysClr val="windowText" lastClr="000000"/>
                                            </a:solidFill>
                                            <a:effectLst/>
                                            <a:latin typeface="Cambria Math" panose="02040503050406030204" pitchFamily="18" charset="0"/>
                                            <a:ea typeface="+mn-ea"/>
                                            <a:cs typeface="+mn-cs"/>
                                          </a:rPr>
                                          <m:t>𝐹</m:t>
                                        </m:r>
                                      </m:e>
                                      <m:sub>
                                        <m:r>
                                          <a:rPr lang="en-US" sz="1200" i="1">
                                            <a:solidFill>
                                              <a:sysClr val="windowText" lastClr="000000"/>
                                            </a:solidFill>
                                            <a:effectLst/>
                                            <a:latin typeface="Cambria Math" panose="02040503050406030204" pitchFamily="18" charset="0"/>
                                            <a:ea typeface="+mn-ea"/>
                                            <a:cs typeface="+mn-cs"/>
                                          </a:rPr>
                                          <m:t>𝑒𝑥𝑖𝑠𝑡</m:t>
                                        </m:r>
                                      </m:sub>
                                    </m:sSub>
                                  </m:den>
                                </m:f>
                                <m:r>
                                  <a:rPr lang="en-US" sz="1200" i="1">
                                    <a:solidFill>
                                      <a:sysClr val="windowText" lastClr="000000"/>
                                    </a:solidFill>
                                    <a:effectLst/>
                                    <a:latin typeface="Cambria Math" panose="02040503050406030204" pitchFamily="18" charset="0"/>
                                    <a:ea typeface="+mn-ea"/>
                                    <a:cs typeface="+mn-cs"/>
                                  </a:rPr>
                                  <m:t>−</m:t>
                                </m:r>
                                <m:f>
                                  <m:fPr>
                                    <m:ctrlPr>
                                      <a:rPr lang="en-US" sz="1200" i="1">
                                        <a:solidFill>
                                          <a:sysClr val="windowText" lastClr="000000"/>
                                        </a:solidFill>
                                        <a:effectLst/>
                                        <a:latin typeface="Cambria Math" panose="02040503050406030204" pitchFamily="18" charset="0"/>
                                        <a:ea typeface="+mn-ea"/>
                                        <a:cs typeface="+mn-cs"/>
                                      </a:rPr>
                                    </m:ctrlPr>
                                  </m:fPr>
                                  <m:num>
                                    <m:r>
                                      <a:rPr lang="en-US" sz="1200" i="1">
                                        <a:solidFill>
                                          <a:sysClr val="windowText" lastClr="000000"/>
                                        </a:solidFill>
                                        <a:effectLst/>
                                        <a:latin typeface="Cambria Math" panose="02040503050406030204" pitchFamily="18" charset="0"/>
                                        <a:ea typeface="+mn-ea"/>
                                        <a:cs typeface="+mn-cs"/>
                                      </a:rPr>
                                      <m:t>1</m:t>
                                    </m:r>
                                  </m:num>
                                  <m:den>
                                    <m:r>
                                      <a:rPr lang="en-US" sz="1200" i="1">
                                        <a:solidFill>
                                          <a:sysClr val="windowText" lastClr="000000"/>
                                        </a:solidFill>
                                        <a:effectLst/>
                                        <a:latin typeface="Cambria Math" panose="02040503050406030204" pitchFamily="18" charset="0"/>
                                        <a:ea typeface="+mn-ea"/>
                                        <a:cs typeface="+mn-cs"/>
                                      </a:rPr>
                                      <m:t>𝑊𝐸</m:t>
                                    </m:r>
                                    <m:sSub>
                                      <m:sSubPr>
                                        <m:ctrlPr>
                                          <a:rPr lang="en-US" sz="1200" i="1">
                                            <a:solidFill>
                                              <a:sysClr val="windowText" lastClr="000000"/>
                                            </a:solidFill>
                                            <a:effectLst/>
                                            <a:latin typeface="Cambria Math" panose="02040503050406030204" pitchFamily="18" charset="0"/>
                                            <a:ea typeface="+mn-ea"/>
                                            <a:cs typeface="+mn-cs"/>
                                          </a:rPr>
                                        </m:ctrlPr>
                                      </m:sSubPr>
                                      <m:e>
                                        <m:r>
                                          <a:rPr lang="en-US" sz="1200" i="1">
                                            <a:solidFill>
                                              <a:sysClr val="windowText" lastClr="000000"/>
                                            </a:solidFill>
                                            <a:effectLst/>
                                            <a:latin typeface="Cambria Math" panose="02040503050406030204" pitchFamily="18" charset="0"/>
                                            <a:ea typeface="+mn-ea"/>
                                            <a:cs typeface="+mn-cs"/>
                                          </a:rPr>
                                          <m:t>𝐹</m:t>
                                        </m:r>
                                      </m:e>
                                      <m:sub>
                                        <m:r>
                                          <a:rPr lang="en-US" sz="1200" b="0" i="1">
                                            <a:solidFill>
                                              <a:sysClr val="windowText" lastClr="000000"/>
                                            </a:solidFill>
                                            <a:effectLst/>
                                            <a:latin typeface="Cambria Math" panose="02040503050406030204" pitchFamily="18" charset="0"/>
                                            <a:ea typeface="+mn-ea"/>
                                            <a:cs typeface="+mn-cs"/>
                                          </a:rPr>
                                          <m:t>𝑒𝑒</m:t>
                                        </m:r>
                                      </m:sub>
                                    </m:sSub>
                                  </m:den>
                                </m:f>
                              </m:e>
                            </m:d>
                            <m:r>
                              <a:rPr lang="en-US" sz="1200" i="1">
                                <a:solidFill>
                                  <a:sysClr val="windowText" lastClr="000000"/>
                                </a:solidFill>
                                <a:effectLst/>
                                <a:latin typeface="Cambria Math" panose="02040503050406030204" pitchFamily="18" charset="0"/>
                                <a:ea typeface="+mn-ea"/>
                                <a:cs typeface="+mn-cs"/>
                              </a:rPr>
                              <m:t>∗</m:t>
                            </m:r>
                            <m:r>
                              <a:rPr lang="en-US" sz="1200" i="1">
                                <a:solidFill>
                                  <a:sysClr val="windowText" lastClr="000000"/>
                                </a:solidFill>
                                <a:effectLst/>
                                <a:latin typeface="Cambria Math" panose="02040503050406030204" pitchFamily="18" charset="0"/>
                                <a:ea typeface="+mn-ea"/>
                                <a:cs typeface="+mn-cs"/>
                              </a:rPr>
                              <m:t>𝐷𝑎𝑦𝑠</m:t>
                            </m:r>
                          </m:e>
                        </m:d>
                      </m:num>
                      <m:den>
                        <m:r>
                          <a:rPr lang="en-US" sz="1200" i="1">
                            <a:solidFill>
                              <a:sysClr val="windowText" lastClr="000000"/>
                            </a:solidFill>
                            <a:effectLst/>
                            <a:latin typeface="Cambria Math" panose="02040503050406030204" pitchFamily="18" charset="0"/>
                            <a:ea typeface="+mn-ea"/>
                            <a:cs typeface="+mn-cs"/>
                          </a:rPr>
                          <m:t>1,000</m:t>
                        </m:r>
                      </m:den>
                    </m:f>
                    <m:r>
                      <a:rPr lang="en-US" sz="1200" b="0" i="1">
                        <a:solidFill>
                          <a:sysClr val="windowText" lastClr="000000"/>
                        </a:solidFill>
                        <a:effectLst/>
                        <a:latin typeface="Cambria Math" panose="02040503050406030204" pitchFamily="18" charset="0"/>
                        <a:ea typeface="+mn-ea"/>
                        <a:cs typeface="+mn-cs"/>
                      </a:rPr>
                      <m:t>∗</m:t>
                    </m:r>
                    <m:r>
                      <a:rPr lang="en-US" sz="1200" b="0" i="1">
                        <a:solidFill>
                          <a:sysClr val="windowText" lastClr="000000"/>
                        </a:solidFill>
                        <a:effectLst/>
                        <a:latin typeface="Cambria Math" panose="02040503050406030204" pitchFamily="18" charset="0"/>
                        <a:ea typeface="+mn-ea"/>
                        <a:cs typeface="+mn-cs"/>
                      </a:rPr>
                      <m:t>𝐼𝑆𝑅</m:t>
                    </m:r>
                  </m:oMath>
                </m:oMathPara>
              </a14:m>
              <a:endParaRPr lang="en-US" sz="1200">
                <a:solidFill>
                  <a:sysClr val="windowText" lastClr="000000"/>
                </a:solidFill>
                <a:effectLst/>
                <a:latin typeface="+mn-lt"/>
                <a:ea typeface="+mn-ea"/>
                <a:cs typeface="+mn-cs"/>
              </a:endParaRPr>
            </a:p>
            <a:p>
              <a:endParaRPr lang="en-US" sz="1200">
                <a:solidFill>
                  <a:sysClr val="windowText" lastClr="000000"/>
                </a:solidFill>
              </a:endParaRPr>
            </a:p>
          </xdr:txBody>
        </xdr:sp>
      </mc:Choice>
      <mc:Fallback xmlns="">
        <xdr:sp macro="" textlink="">
          <xdr:nvSpPr>
            <xdr:cNvPr id="48" name="TextBox 47">
              <a:extLst>
                <a:ext uri="{FF2B5EF4-FFF2-40B4-BE49-F238E27FC236}">
                  <a16:creationId xmlns:a16="http://schemas.microsoft.com/office/drawing/2014/main" id="{686EE27C-A788-4F07-AB09-BE9FDB20C539}"/>
                </a:ext>
              </a:extLst>
            </xdr:cNvPr>
            <xdr:cNvSpPr txBox="1"/>
          </xdr:nvSpPr>
          <xdr:spPr>
            <a:xfrm>
              <a:off x="9655961" y="57616339"/>
              <a:ext cx="5310713" cy="67425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200" i="0">
                  <a:solidFill>
                    <a:sysClr val="windowText" lastClr="000000"/>
                  </a:solidFill>
                  <a:latin typeface="Cambria Math" panose="02040503050406030204" pitchFamily="18" charset="0"/>
                  <a:ea typeface="Cambria Math" panose="02040503050406030204" pitchFamily="18" charset="0"/>
                </a:rPr>
                <a:t>∆</a:t>
              </a:r>
              <a:r>
                <a:rPr lang="en-US" sz="1200" b="0" i="0">
                  <a:solidFill>
                    <a:sysClr val="windowText" lastClr="000000"/>
                  </a:solidFill>
                  <a:latin typeface="Cambria Math" panose="02040503050406030204" pitchFamily="18" charset="0"/>
                  <a:ea typeface="Cambria Math" panose="02040503050406030204" pitchFamily="18" charset="0"/>
                </a:rPr>
                <a:t>𝑘𝑊ℎ=</a:t>
              </a:r>
              <a:r>
                <a:rPr lang="en-US" sz="1200" i="0">
                  <a:solidFill>
                    <a:sysClr val="windowText" lastClr="000000"/>
                  </a:solidFill>
                  <a:effectLst/>
                  <a:latin typeface="Cambria Math" panose="02040503050406030204" pitchFamily="18" charset="0"/>
                  <a:ea typeface="+mn-ea"/>
                  <a:cs typeface="+mn-cs"/>
                </a:rPr>
                <a:t>((𝐺𝑎𝑙𝑙𝑜𝑛𝑠∗𝑇𝑢𝑟𝑛𝑜𝑣𝑒𝑟𝑠∗(1/(𝐸𝐹_𝑒𝑥𝑖𝑠𝑡 )−1/(𝑊𝐸𝐹_</a:t>
              </a:r>
              <a:r>
                <a:rPr lang="en-US" sz="1200" b="0" i="0">
                  <a:solidFill>
                    <a:sysClr val="windowText" lastClr="000000"/>
                  </a:solidFill>
                  <a:effectLst/>
                  <a:latin typeface="Cambria Math" panose="02040503050406030204" pitchFamily="18" charset="0"/>
                  <a:ea typeface="+mn-ea"/>
                  <a:cs typeface="+mn-cs"/>
                </a:rPr>
                <a:t>𝑒𝑒 ))</a:t>
              </a:r>
              <a:r>
                <a:rPr lang="en-US" sz="1200" i="0">
                  <a:solidFill>
                    <a:sysClr val="windowText" lastClr="000000"/>
                  </a:solidFill>
                  <a:effectLst/>
                  <a:latin typeface="Cambria Math" panose="02040503050406030204" pitchFamily="18" charset="0"/>
                  <a:ea typeface="+mn-ea"/>
                  <a:cs typeface="+mn-cs"/>
                </a:rPr>
                <a:t>∗𝐷𝑎𝑦𝑠))/1,000</a:t>
              </a:r>
              <a:r>
                <a:rPr lang="en-US" sz="1200" b="0" i="0">
                  <a:solidFill>
                    <a:sysClr val="windowText" lastClr="000000"/>
                  </a:solidFill>
                  <a:effectLst/>
                  <a:latin typeface="Cambria Math" panose="02040503050406030204" pitchFamily="18" charset="0"/>
                  <a:ea typeface="+mn-ea"/>
                  <a:cs typeface="+mn-cs"/>
                </a:rPr>
                <a:t>∗𝐼𝑆𝑅</a:t>
              </a:r>
              <a:endParaRPr lang="en-US" sz="1200">
                <a:solidFill>
                  <a:sysClr val="windowText" lastClr="000000"/>
                </a:solidFill>
                <a:effectLst/>
                <a:latin typeface="+mn-lt"/>
                <a:ea typeface="+mn-ea"/>
                <a:cs typeface="+mn-cs"/>
              </a:endParaRPr>
            </a:p>
            <a:p>
              <a:endParaRPr lang="en-US" sz="1200">
                <a:solidFill>
                  <a:sysClr val="windowText" lastClr="000000"/>
                </a:solidFill>
              </a:endParaRPr>
            </a:p>
          </xdr:txBody>
        </xdr:sp>
      </mc:Fallback>
    </mc:AlternateContent>
    <xdr:clientData/>
  </xdr:twoCellAnchor>
  <xdr:twoCellAnchor>
    <xdr:from>
      <xdr:col>3</xdr:col>
      <xdr:colOff>1387928</xdr:colOff>
      <xdr:row>334</xdr:row>
      <xdr:rowOff>169273</xdr:rowOff>
    </xdr:from>
    <xdr:to>
      <xdr:col>13</xdr:col>
      <xdr:colOff>0</xdr:colOff>
      <xdr:row>341</xdr:row>
      <xdr:rowOff>130661</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2ADB8E97-E665-4181-9466-F10442A78A77}"/>
                </a:ext>
              </a:extLst>
            </xdr:cNvPr>
            <xdr:cNvSpPr txBox="1"/>
          </xdr:nvSpPr>
          <xdr:spPr>
            <a:xfrm>
              <a:off x="3987693" y="23051685"/>
              <a:ext cx="14905425" cy="122765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2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200" i="1">
                        <a:solidFill>
                          <a:sysClr val="windowText" lastClr="000000"/>
                        </a:solidFill>
                        <a:effectLst/>
                        <a:latin typeface="Cambria Math" panose="02040503050406030204" pitchFamily="18" charset="0"/>
                        <a:ea typeface="Cambria Math" panose="02040503050406030204" pitchFamily="18" charset="0"/>
                        <a:cs typeface="+mn-cs"/>
                      </a:rPr>
                      <m:t> </m:t>
                    </m:r>
                    <m:r>
                      <a:rPr lang="en-US" sz="1200" i="1">
                        <a:solidFill>
                          <a:sysClr val="windowText" lastClr="000000"/>
                        </a:solidFill>
                        <a:latin typeface="Cambria Math" panose="02040503050406030204" pitchFamily="18" charset="0"/>
                        <a:ea typeface="Cambria Math" panose="02040503050406030204" pitchFamily="18" charset="0"/>
                      </a:rPr>
                      <m:t>=</m:t>
                    </m:r>
                    <m:d>
                      <m:dPr>
                        <m:ctrlPr>
                          <a:rPr lang="en-US" sz="1200" i="1">
                            <a:solidFill>
                              <a:sysClr val="windowText" lastClr="000000"/>
                            </a:solidFill>
                            <a:latin typeface="Cambria Math" panose="02040503050406030204" pitchFamily="18" charset="0"/>
                            <a:ea typeface="Cambria Math" panose="02040503050406030204" pitchFamily="18" charset="0"/>
                          </a:rPr>
                        </m:ctrlPr>
                      </m:dPr>
                      <m:e>
                        <m:f>
                          <m:fPr>
                            <m:ctrl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ElectricDHW</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𝐺𝑃𝑀</m:t>
                                </m:r>
                              </m:e>
                              <m:sub>
                                <m: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𝐵𝐴𝑆𝐸</m:t>
                                </m:r>
                              </m:sub>
                            </m:sSub>
                            <m: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100" b="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𝐿</m:t>
                                </m:r>
                              </m:e>
                              <m:sub>
                                <m:r>
                                  <a:rPr lang="en-US" sz="1100" b="0" i="1" baseline="0">
                                    <a:solidFill>
                                      <a:sysClr val="windowText" lastClr="000000"/>
                                    </a:solidFill>
                                    <a:effectLst/>
                                    <a:latin typeface="Cambria Math" panose="02040503050406030204" pitchFamily="18" charset="0"/>
                                    <a:ea typeface="+mn-ea"/>
                                    <a:cs typeface="+mn-cs"/>
                                  </a:rPr>
                                  <m:t>𝐵𝐴𝑆𝐸</m:t>
                                </m:r>
                              </m:sub>
                            </m:sSub>
                            <m:sSub>
                              <m:sSubPr>
                                <m:ctrlPr>
                                  <a:rPr lang="en-US" sz="1100" b="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 − </m:t>
                                </m:r>
                                <m:r>
                                  <a:rPr lang="en-US" sz="1100" b="0" i="1" baseline="0">
                                    <a:solidFill>
                                      <a:sysClr val="windowText" lastClr="000000"/>
                                    </a:solidFill>
                                    <a:effectLst/>
                                    <a:latin typeface="Cambria Math" panose="02040503050406030204" pitchFamily="18" charset="0"/>
                                    <a:ea typeface="+mn-ea"/>
                                    <a:cs typeface="+mn-cs"/>
                                  </a:rPr>
                                  <m:t>𝐺𝑃𝑀</m:t>
                                </m:r>
                              </m:e>
                              <m:sub>
                                <m:r>
                                  <a:rPr lang="en-US" sz="1100" b="0" i="1" baseline="0">
                                    <a:solidFill>
                                      <a:sysClr val="windowText" lastClr="000000"/>
                                    </a:solidFill>
                                    <a:effectLst/>
                                    <a:latin typeface="Cambria Math" panose="02040503050406030204" pitchFamily="18" charset="0"/>
                                    <a:ea typeface="+mn-ea"/>
                                    <a:cs typeface="+mn-cs"/>
                                  </a:rPr>
                                  <m:t>𝐿𝑂𝑊</m:t>
                                </m:r>
                              </m:sub>
                            </m:sSub>
                            <m:r>
                              <m:rPr>
                                <m:nor/>
                              </m:rPr>
                              <a:rPr lang="en-US" sz="1200" b="0" i="1" baseline="-25000">
                                <a:solidFill>
                                  <a:sysClr val="windowText" lastClr="000000"/>
                                </a:solidFill>
                                <a:effectLst/>
                                <a:latin typeface="Cambria Math" panose="02040503050406030204" pitchFamily="18" charset="0"/>
                                <a:ea typeface="Cambria Math" panose="02040503050406030204" pitchFamily="18" charset="0"/>
                                <a:cs typeface="+mn-cs"/>
                              </a:rPr>
                              <m:t>  </m:t>
                            </m:r>
                            <m: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100" b="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𝐿</m:t>
                                </m:r>
                              </m:e>
                              <m:sub>
                                <m:r>
                                  <a:rPr lang="en-US" sz="1100" b="0" i="1" baseline="0">
                                    <a:solidFill>
                                      <a:sysClr val="windowText" lastClr="000000"/>
                                    </a:solidFill>
                                    <a:effectLst/>
                                    <a:latin typeface="Cambria Math" panose="02040503050406030204" pitchFamily="18" charset="0"/>
                                    <a:ea typeface="+mn-ea"/>
                                    <a:cs typeface="+mn-cs"/>
                                  </a:rPr>
                                  <m:t>𝐿𝑂𝑊</m:t>
                                </m:r>
                              </m:sub>
                            </m:sSub>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Household</m:t>
                            </m:r>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SPCD</m:t>
                            </m:r>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365.25 </m:t>
                            </m:r>
                          </m:num>
                          <m:den>
                            <m:r>
                              <a:rPr lang="en-US" sz="1200" b="0" i="1">
                                <a:solidFill>
                                  <a:sysClr val="windowText" lastClr="000000"/>
                                </a:solidFill>
                                <a:effectLst/>
                                <a:latin typeface="Cambria Math" panose="02040503050406030204" pitchFamily="18" charset="0"/>
                                <a:ea typeface="Cambria Math" panose="02040503050406030204" pitchFamily="18" charset="0"/>
                                <a:cs typeface="+mn-cs"/>
                              </a:rPr>
                              <m:t>𝑆𝑃𝐻</m:t>
                            </m:r>
                          </m:den>
                        </m:f>
                      </m:e>
                    </m:d>
                    <m:r>
                      <a:rPr lang="en-US" sz="1200" b="0" i="1">
                        <a:solidFill>
                          <a:sysClr val="windowText" lastClr="000000"/>
                        </a:solidFill>
                        <a:latin typeface="Cambria Math" panose="02040503050406030204" pitchFamily="18" charset="0"/>
                        <a:ea typeface="Cambria Math" panose="02040503050406030204" pitchFamily="18" charset="0"/>
                      </a:rPr>
                      <m:t>×</m:t>
                    </m:r>
                    <m:r>
                      <a:rPr lang="en-US" sz="1200" b="0" i="1">
                        <a:solidFill>
                          <a:sysClr val="windowText" lastClr="000000"/>
                        </a:solidFill>
                        <a:latin typeface="Cambria Math" panose="02040503050406030204" pitchFamily="18" charset="0"/>
                        <a:ea typeface="Cambria Math" panose="02040503050406030204" pitchFamily="18" charset="0"/>
                      </a:rPr>
                      <m:t>𝐸𝑃𝐺</m:t>
                    </m:r>
                    <m:r>
                      <a:rPr lang="en-US" sz="1200" b="0" i="1">
                        <a:solidFill>
                          <a:sysClr val="windowText" lastClr="000000"/>
                        </a:solidFill>
                        <a:latin typeface="Cambria Math" panose="02040503050406030204" pitchFamily="18" charset="0"/>
                        <a:ea typeface="Cambria Math" panose="02040503050406030204" pitchFamily="18" charset="0"/>
                      </a:rPr>
                      <m:t>_</m:t>
                    </m:r>
                    <m:r>
                      <a:rPr lang="en-US" sz="1200" b="0" i="1" baseline="0">
                        <a:solidFill>
                          <a:sysClr val="windowText" lastClr="000000"/>
                        </a:solidFill>
                        <a:latin typeface="Cambria Math" panose="02040503050406030204" pitchFamily="18" charset="0"/>
                        <a:ea typeface="Cambria Math" panose="02040503050406030204" pitchFamily="18" charset="0"/>
                      </a:rPr>
                      <m:t>𝑒𝑙𝑒𝑐𝑡𝑟𝑖𝑐</m:t>
                    </m:r>
                    <m:r>
                      <a:rPr lang="en-US" sz="1200" b="0" i="1" baseline="-25000">
                        <a:solidFill>
                          <a:sysClr val="windowText" lastClr="000000"/>
                        </a:solidFill>
                        <a:latin typeface="Cambria Math" panose="02040503050406030204" pitchFamily="18" charset="0"/>
                        <a:ea typeface="Cambria Math" panose="02040503050406030204" pitchFamily="18" charset="0"/>
                      </a:rPr>
                      <m:t> </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 × </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sz="1200" i="1" baseline="-25000">
                <a:solidFill>
                  <a:sysClr val="windowText" lastClr="000000"/>
                </a:solidFill>
                <a:effectLst/>
                <a:latin typeface="Cambria Math" panose="02040503050406030204" pitchFamily="18" charset="0"/>
                <a:ea typeface="Cambria Math" panose="02040503050406030204" pitchFamily="18" charset="0"/>
              </a:endParaRPr>
            </a:p>
          </xdr:txBody>
        </xdr:sp>
      </mc:Choice>
      <mc:Fallback xmlns="">
        <xdr:sp macro="" textlink="">
          <xdr:nvSpPr>
            <xdr:cNvPr id="43" name="TextBox 42">
              <a:extLst>
                <a:ext uri="{FF2B5EF4-FFF2-40B4-BE49-F238E27FC236}">
                  <a16:creationId xmlns:a16="http://schemas.microsoft.com/office/drawing/2014/main" id="{2ADB8E97-E665-4181-9466-F10442A78A77}"/>
                </a:ext>
              </a:extLst>
            </xdr:cNvPr>
            <xdr:cNvSpPr txBox="1"/>
          </xdr:nvSpPr>
          <xdr:spPr>
            <a:xfrm>
              <a:off x="3987693" y="23051685"/>
              <a:ext cx="14905425" cy="122765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200" i="0">
                  <a:solidFill>
                    <a:sysClr val="windowText" lastClr="000000"/>
                  </a:solidFill>
                  <a:latin typeface="Cambria Math" panose="02040503050406030204" pitchFamily="18" charset="0"/>
                  <a:ea typeface="Cambria Math" panose="02040503050406030204" pitchFamily="18" charset="0"/>
                </a:rPr>
                <a:t>=(</a:t>
              </a:r>
              <a:r>
                <a:rPr lang="en-US" sz="1200" i="0" baseline="0">
                  <a:solidFill>
                    <a:sysClr val="windowText" lastClr="000000"/>
                  </a:solidFill>
                  <a:effectLst/>
                  <a:latin typeface="Cambria Math" panose="02040503050406030204" pitchFamily="18" charset="0"/>
                  <a:ea typeface="Cambria Math" panose="02040503050406030204" pitchFamily="18" charset="0"/>
                  <a:cs typeface="+mn-cs"/>
                </a:rPr>
                <a:t>(</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"%ElectricDHW " ×" (" 〖𝐺𝑃𝑀〗_𝐵𝐴𝑆𝐸×</a:t>
              </a:r>
              <a:r>
                <a:rPr lang="en-US" sz="1100" b="0" i="0" baseline="0">
                  <a:solidFill>
                    <a:sysClr val="windowText" lastClr="000000"/>
                  </a:solidFill>
                  <a:effectLst/>
                  <a:latin typeface="Cambria Math" panose="02040503050406030204" pitchFamily="18" charset="0"/>
                  <a:ea typeface="+mn-ea"/>
                  <a:cs typeface="+mn-cs"/>
                </a:rPr>
                <a:t>𝐿_𝐵𝐴𝑆𝐸 〖 − 𝐺𝑃𝑀〗_𝐿𝑂𝑊</a:t>
              </a:r>
              <a:r>
                <a:rPr lang="en-US" sz="1200" b="0" i="0" baseline="-25000">
                  <a:solidFill>
                    <a:sysClr val="windowText" lastClr="000000"/>
                  </a:solidFill>
                  <a:effectLst/>
                  <a:latin typeface="Cambria Math" panose="02040503050406030204" pitchFamily="18" charset="0"/>
                  <a:ea typeface="Cambria Math" panose="02040503050406030204" pitchFamily="18" charset="0"/>
                  <a:cs typeface="+mn-cs"/>
                </a:rPr>
                <a:t> "  </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100" b="0" i="0" baseline="0">
                  <a:solidFill>
                    <a:sysClr val="windowText" lastClr="000000"/>
                  </a:solidFill>
                  <a:effectLst/>
                  <a:latin typeface="Cambria Math" panose="02040503050406030204" pitchFamily="18" charset="0"/>
                  <a:ea typeface="+mn-ea"/>
                  <a:cs typeface="+mn-cs"/>
                </a:rPr>
                <a:t>" 𝐿_𝐿𝑂𝑊</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 "</a:t>
              </a:r>
              <a:r>
                <a:rPr lang="en-US" sz="1200" i="0" baseline="0">
                  <a:solidFill>
                    <a:sysClr val="windowText" lastClr="000000"/>
                  </a:solidFill>
                  <a:effectLst/>
                  <a:latin typeface="Cambria Math" panose="02040503050406030204" pitchFamily="18" charset="0"/>
                  <a:ea typeface="Cambria Math" panose="02040503050406030204" pitchFamily="18" charset="0"/>
                  <a:cs typeface="+mn-cs"/>
                </a:rPr>
                <a:t>) " ×" </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Household</a:t>
              </a:r>
              <a:r>
                <a:rPr lang="en-US" sz="12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"SPCD</a:t>
              </a:r>
              <a:r>
                <a:rPr lang="en-US" sz="1200" i="0" baseline="0">
                  <a:solidFill>
                    <a:sysClr val="windowText" lastClr="000000"/>
                  </a:solidFill>
                  <a:effectLst/>
                  <a:latin typeface="Cambria Math" panose="02040503050406030204" pitchFamily="18" charset="0"/>
                  <a:ea typeface="Cambria Math" panose="02040503050406030204" pitchFamily="18" charset="0"/>
                  <a:cs typeface="+mn-cs"/>
                </a:rPr>
                <a:t> " ×" </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365.25 " )/</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𝑆𝑃𝐻)</a:t>
              </a:r>
              <a:r>
                <a:rPr lang="en-US" sz="1200" b="0" i="0">
                  <a:solidFill>
                    <a:sysClr val="windowText" lastClr="000000"/>
                  </a:solidFill>
                  <a:latin typeface="Cambria Math" panose="02040503050406030204" pitchFamily="18" charset="0"/>
                  <a:ea typeface="Cambria Math" panose="02040503050406030204" pitchFamily="18" charset="0"/>
                </a:rPr>
                <a:t>×𝐸𝑃𝐺_</a:t>
              </a:r>
              <a:r>
                <a:rPr lang="en-US" sz="1200" b="0" i="0" baseline="0">
                  <a:solidFill>
                    <a:sysClr val="windowText" lastClr="000000"/>
                  </a:solidFill>
                  <a:latin typeface="Cambria Math" panose="02040503050406030204" pitchFamily="18" charset="0"/>
                  <a:ea typeface="Cambria Math" panose="02040503050406030204" pitchFamily="18" charset="0"/>
                </a:rPr>
                <a:t>𝑒𝑙𝑒𝑐𝑡𝑟𝑖𝑐</a:t>
              </a:r>
              <a:r>
                <a:rPr lang="en-US" sz="1200" b="0" i="0" baseline="-25000">
                  <a:solidFill>
                    <a:sysClr val="windowText" lastClr="000000"/>
                  </a:solidFill>
                  <a:latin typeface="Cambria Math" panose="02040503050406030204" pitchFamily="18" charset="0"/>
                  <a:ea typeface="Cambria Math" panose="02040503050406030204" pitchFamily="18" charset="0"/>
                </a:rPr>
                <a:t> </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 × 𝐼𝑆𝑅</a:t>
              </a:r>
              <a:endParaRPr lang="en-US" sz="1200" i="1" baseline="-25000">
                <a:solidFill>
                  <a:sysClr val="windowText" lastClr="000000"/>
                </a:solidFill>
                <a:effectLst/>
                <a:latin typeface="Cambria Math" panose="02040503050406030204" pitchFamily="18" charset="0"/>
                <a:ea typeface="Cambria Math" panose="02040503050406030204" pitchFamily="18" charset="0"/>
              </a:endParaRPr>
            </a:p>
          </xdr:txBody>
        </xdr:sp>
      </mc:Fallback>
    </mc:AlternateContent>
    <xdr:clientData/>
  </xdr:twoCellAnchor>
  <xdr:twoCellAnchor>
    <xdr:from>
      <xdr:col>3</xdr:col>
      <xdr:colOff>1653700</xdr:colOff>
      <xdr:row>337</xdr:row>
      <xdr:rowOff>132699</xdr:rowOff>
    </xdr:from>
    <xdr:to>
      <xdr:col>4</xdr:col>
      <xdr:colOff>4320972</xdr:colOff>
      <xdr:row>340</xdr:row>
      <xdr:rowOff>73945</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27D84647-3022-491F-B477-D8AC894F515C}"/>
                </a:ext>
              </a:extLst>
            </xdr:cNvPr>
            <xdr:cNvSpPr txBox="1"/>
          </xdr:nvSpPr>
          <xdr:spPr>
            <a:xfrm>
              <a:off x="4253465" y="23552993"/>
              <a:ext cx="5367889" cy="4791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200" b="0" i="1">
                        <a:solidFill>
                          <a:sysClr val="windowText" lastClr="000000"/>
                        </a:solidFill>
                        <a:effectLst/>
                        <a:latin typeface="Cambria Math" panose="02040503050406030204" pitchFamily="18" charset="0"/>
                        <a:ea typeface="Cambria Math" panose="02040503050406030204" pitchFamily="18" charset="0"/>
                        <a:cs typeface="+mn-cs"/>
                      </a:rPr>
                      <m:t>EPG</m:t>
                    </m:r>
                    <m:r>
                      <m:rPr>
                        <m:nor/>
                      </m:rPr>
                      <a:rPr lang="en-US" sz="1200" b="0" i="1">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200" b="0" i="1">
                        <a:solidFill>
                          <a:sysClr val="windowText" lastClr="000000"/>
                        </a:solidFill>
                        <a:effectLst/>
                        <a:latin typeface="Cambria Math" panose="02040503050406030204" pitchFamily="18" charset="0"/>
                        <a:ea typeface="Cambria Math" panose="02040503050406030204" pitchFamily="18" charset="0"/>
                        <a:cs typeface="+mn-cs"/>
                      </a:rPr>
                      <m:t>electric</m:t>
                    </m:r>
                    <m:r>
                      <m:rPr>
                        <m:nor/>
                      </m:rPr>
                      <a:rPr lang="en-US" sz="1200" i="1">
                        <a:solidFill>
                          <a:sysClr val="windowText" lastClr="000000"/>
                        </a:solidFill>
                        <a:effectLst/>
                        <a:latin typeface="Cambria Math" panose="02040503050406030204" pitchFamily="18" charset="0"/>
                        <a:ea typeface="Cambria Math" panose="02040503050406030204" pitchFamily="18" charset="0"/>
                        <a:cs typeface="+mn-cs"/>
                      </a:rPr>
                      <m:t> </m:t>
                    </m:r>
                    <m:r>
                      <a:rPr lang="en-US" sz="1200" i="1">
                        <a:solidFill>
                          <a:sysClr val="windowText" lastClr="000000"/>
                        </a:solidFill>
                        <a:latin typeface="Cambria Math" panose="02040503050406030204" pitchFamily="18" charset="0"/>
                        <a:ea typeface="Cambria Math" panose="02040503050406030204" pitchFamily="18" charset="0"/>
                      </a:rPr>
                      <m:t>=</m:t>
                    </m:r>
                    <m:f>
                      <m:fPr>
                        <m:ctrlPr>
                          <a:rPr lang="en-US" sz="1200" i="1">
                            <a:solidFill>
                              <a:sysClr val="windowText" lastClr="000000"/>
                            </a:solidFill>
                            <a:latin typeface="Cambria Math" panose="02040503050406030204" pitchFamily="18" charset="0"/>
                            <a:ea typeface="Cambria Math" panose="02040503050406030204" pitchFamily="18" charset="0"/>
                          </a:rPr>
                        </m:ctrlPr>
                      </m:fPr>
                      <m:num>
                        <m:r>
                          <a:rPr lang="en-US" sz="1200" b="0" i="1">
                            <a:solidFill>
                              <a:sysClr val="windowText" lastClr="000000"/>
                            </a:solidFill>
                            <a:effectLst/>
                            <a:latin typeface="Cambria Math" panose="02040503050406030204" pitchFamily="18" charset="0"/>
                            <a:ea typeface="Cambria Math" panose="02040503050406030204" pitchFamily="18" charset="0"/>
                            <a:cs typeface="+mn-cs"/>
                          </a:rPr>
                          <m:t>8.33×1.0×(</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𝑆h𝑜𝑤𝑒𝑟𝑇𝑒𝑚𝑝</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𝑆𝑢𝑝𝑝𝑙𝑦𝑇𝑒𝑚𝑝</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m:t>
                        </m:r>
                      </m:num>
                      <m:den>
                        <m:r>
                          <a:rPr lang="en-US" sz="1200" b="0" i="1">
                            <a:solidFill>
                              <a:sysClr val="windowText" lastClr="000000"/>
                            </a:solidFill>
                            <a:effectLst/>
                            <a:latin typeface="Cambria Math" panose="02040503050406030204" pitchFamily="18" charset="0"/>
                            <a:ea typeface="Cambria Math" panose="02040503050406030204" pitchFamily="18" charset="0"/>
                            <a:cs typeface="+mn-cs"/>
                          </a:rPr>
                          <m:t>𝑅𝐸</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_</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𝑒𝑙𝑒𝑐𝑡𝑟𝑖𝑐</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×3412</m:t>
                        </m:r>
                      </m:den>
                    </m:f>
                  </m:oMath>
                </m:oMathPara>
              </a14:m>
              <a:endParaRPr lang="en-US" sz="12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ysClr val="windowText" lastClr="000000"/>
                </a:solidFill>
              </a:endParaRPr>
            </a:p>
          </xdr:txBody>
        </xdr:sp>
      </mc:Choice>
      <mc:Fallback xmlns="">
        <xdr:sp macro="" textlink="">
          <xdr:nvSpPr>
            <xdr:cNvPr id="44" name="TextBox 43">
              <a:extLst>
                <a:ext uri="{FF2B5EF4-FFF2-40B4-BE49-F238E27FC236}">
                  <a16:creationId xmlns:a16="http://schemas.microsoft.com/office/drawing/2014/main" id="{27D84647-3022-491F-B477-D8AC894F515C}"/>
                </a:ext>
              </a:extLst>
            </xdr:cNvPr>
            <xdr:cNvSpPr txBox="1"/>
          </xdr:nvSpPr>
          <xdr:spPr>
            <a:xfrm>
              <a:off x="4253465" y="23552993"/>
              <a:ext cx="5367889" cy="4791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0" i="0">
                  <a:solidFill>
                    <a:sysClr val="windowText" lastClr="000000"/>
                  </a:solidFill>
                  <a:effectLst/>
                  <a:latin typeface="Cambria Math" panose="02040503050406030204" pitchFamily="18" charset="0"/>
                  <a:ea typeface="Cambria Math" panose="02040503050406030204" pitchFamily="18" charset="0"/>
                  <a:cs typeface="+mn-cs"/>
                </a:rPr>
                <a:t>"EPG_electric</a:t>
              </a:r>
              <a:r>
                <a:rPr lang="en-US" sz="1200" i="0">
                  <a:solidFill>
                    <a:sysClr val="windowText" lastClr="000000"/>
                  </a:solidFill>
                  <a:effectLst/>
                  <a:latin typeface="Cambria Math" panose="02040503050406030204" pitchFamily="18" charset="0"/>
                  <a:ea typeface="Cambria Math" panose="02040503050406030204" pitchFamily="18" charset="0"/>
                  <a:cs typeface="+mn-cs"/>
                </a:rPr>
                <a:t> "</a:t>
              </a:r>
              <a:r>
                <a:rPr lang="en-US" sz="1200" i="0">
                  <a:solidFill>
                    <a:sysClr val="windowText" lastClr="000000"/>
                  </a:solidFill>
                  <a:latin typeface="Cambria Math" panose="02040503050406030204" pitchFamily="18" charset="0"/>
                  <a:ea typeface="Cambria Math" panose="02040503050406030204" pitchFamily="18" charset="0"/>
                </a:rPr>
                <a:t>=(</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8.33×1.0×(𝑆ℎ𝑜𝑤𝑒𝑟𝑇𝑒𝑚𝑝 −𝑆𝑢𝑝𝑝𝑙𝑦𝑇𝑒𝑚𝑝))/(𝑅𝐸_𝑒𝑙𝑒𝑐𝑡𝑟𝑖𝑐×3412)</a:t>
              </a:r>
              <a:endParaRPr lang="en-US" sz="12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ysClr val="windowText" lastClr="000000"/>
                </a:solidFill>
              </a:endParaRPr>
            </a:p>
          </xdr:txBody>
        </xdr:sp>
      </mc:Fallback>
    </mc:AlternateContent>
    <xdr:clientData/>
  </xdr:twoCellAnchor>
  <xdr:oneCellAnchor>
    <xdr:from>
      <xdr:col>26</xdr:col>
      <xdr:colOff>2269331</xdr:colOff>
      <xdr:row>329</xdr:row>
      <xdr:rowOff>0</xdr:rowOff>
    </xdr:from>
    <xdr:ext cx="65" cy="172227"/>
    <xdr:sp macro="" textlink="">
      <xdr:nvSpPr>
        <xdr:cNvPr id="45" name="TextBox 44">
          <a:extLst>
            <a:ext uri="{FF2B5EF4-FFF2-40B4-BE49-F238E27FC236}">
              <a16:creationId xmlns:a16="http://schemas.microsoft.com/office/drawing/2014/main" id="{9C0792B5-585A-4556-995E-7ADD863E48B0}"/>
            </a:ext>
          </a:extLst>
        </xdr:cNvPr>
        <xdr:cNvSpPr txBox="1"/>
      </xdr:nvSpPr>
      <xdr:spPr>
        <a:xfrm>
          <a:off x="32901731" y="540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329</xdr:row>
      <xdr:rowOff>0</xdr:rowOff>
    </xdr:from>
    <xdr:ext cx="65" cy="172227"/>
    <xdr:sp macro="" textlink="">
      <xdr:nvSpPr>
        <xdr:cNvPr id="49" name="TextBox 48">
          <a:extLst>
            <a:ext uri="{FF2B5EF4-FFF2-40B4-BE49-F238E27FC236}">
              <a16:creationId xmlns:a16="http://schemas.microsoft.com/office/drawing/2014/main" id="{8B67927B-91A1-48F7-B32C-634A32A042EE}"/>
            </a:ext>
          </a:extLst>
        </xdr:cNvPr>
        <xdr:cNvSpPr txBox="1"/>
      </xdr:nvSpPr>
      <xdr:spPr>
        <a:xfrm>
          <a:off x="32901731" y="540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1365211</xdr:colOff>
      <xdr:row>340</xdr:row>
      <xdr:rowOff>74855</xdr:rowOff>
    </xdr:from>
    <xdr:to>
      <xdr:col>12</xdr:col>
      <xdr:colOff>851646</xdr:colOff>
      <xdr:row>341</xdr:row>
      <xdr:rowOff>164278</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45DF2F9A-7EE0-4F22-B913-46BF0CB5C0F0}"/>
                </a:ext>
              </a:extLst>
            </xdr:cNvPr>
            <xdr:cNvSpPr txBox="1"/>
          </xdr:nvSpPr>
          <xdr:spPr>
            <a:xfrm>
              <a:off x="3964976" y="24033031"/>
              <a:ext cx="14928141" cy="2799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ndParaRPr>
            </a:p>
          </xdr:txBody>
        </xdr:sp>
      </mc:Choice>
      <mc:Fallback xmlns="">
        <xdr:sp macro="" textlink="">
          <xdr:nvSpPr>
            <xdr:cNvPr id="14" name="TextBox 13">
              <a:extLst>
                <a:ext uri="{FF2B5EF4-FFF2-40B4-BE49-F238E27FC236}">
                  <a16:creationId xmlns:a16="http://schemas.microsoft.com/office/drawing/2014/main" id="{45DF2F9A-7EE0-4F22-B913-46BF0CB5C0F0}"/>
                </a:ext>
              </a:extLst>
            </xdr:cNvPr>
            <xdr:cNvSpPr txBox="1"/>
          </xdr:nvSpPr>
          <xdr:spPr>
            <a:xfrm>
              <a:off x="3964976" y="24033031"/>
              <a:ext cx="14928141" cy="2799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𝑘𝑊=∆𝑘𝑊ℎ∗𝐶𝐹</a:t>
              </a:r>
              <a:endParaRPr lang="en-US" sz="1400">
                <a:solidFill>
                  <a:sysClr val="windowText" lastClr="000000"/>
                </a:solidFill>
              </a:endParaRP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57</xdr:row>
      <xdr:rowOff>173578</xdr:rowOff>
    </xdr:from>
    <xdr:to>
      <xdr:col>12</xdr:col>
      <xdr:colOff>0</xdr:colOff>
      <xdr:row>67</xdr:row>
      <xdr:rowOff>93457</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EFA7C17E-89DF-4E28-BF44-F67704C1ED65}"/>
                </a:ext>
              </a:extLst>
            </xdr:cNvPr>
            <xdr:cNvSpPr txBox="1"/>
          </xdr:nvSpPr>
          <xdr:spPr>
            <a:xfrm>
              <a:off x="4392706" y="11827696"/>
              <a:ext cx="12573000" cy="17128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𝑘𝑊h</m:t>
                  </m:r>
                  <m:r>
                    <a:rPr lang="en-US" sz="1600" b="0" i="1">
                      <a:solidFill>
                        <a:sysClr val="windowText" lastClr="000000"/>
                      </a:solidFill>
                      <a:latin typeface="Cambria Math" panose="02040503050406030204" pitchFamily="18" charset="0"/>
                      <a:ea typeface="Cambria Math" panose="02040503050406030204" pitchFamily="18" charset="0"/>
                    </a:rPr>
                    <m:t>= ∆</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𝑘𝑊h</m:t>
                      </m:r>
                    </m:e>
                    <m:sub>
                      <m:r>
                        <a:rPr lang="en-US" sz="1600" b="0" i="1">
                          <a:solidFill>
                            <a:sysClr val="windowText" lastClr="000000"/>
                          </a:solidFill>
                          <a:latin typeface="Cambria Math" panose="02040503050406030204" pitchFamily="18" charset="0"/>
                          <a:ea typeface="Cambria Math" panose="02040503050406030204" pitchFamily="18" charset="0"/>
                        </a:rPr>
                        <m:t>𝑅𝐸𝑆</m:t>
                      </m:r>
                    </m:sub>
                  </m:sSub>
                </m:oMath>
              </a14:m>
              <a:r>
                <a:rPr lang="en-US" sz="1600">
                  <a:solidFill>
                    <a:sysClr val="windowText" lastClr="000000"/>
                  </a:solidFill>
                </a:rPr>
                <a:t>+</a:t>
              </a:r>
              <a14:m>
                <m:oMath xmlns:m="http://schemas.openxmlformats.org/officeDocument/2006/math">
                  <m:r>
                    <a:rPr lang="en-US" sz="1600" b="0" i="1">
                      <a:solidFill>
                        <a:sysClr val="windowText" lastClr="000000"/>
                      </a:solidFill>
                      <a:effectLst/>
                      <a:latin typeface="Cambria Math" panose="02040503050406030204" pitchFamily="18" charset="0"/>
                      <a:ea typeface="+mn-ea"/>
                      <a:cs typeface="+mn-cs"/>
                    </a:rPr>
                    <m:t>∆</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b="0" i="1">
                          <a:solidFill>
                            <a:sysClr val="windowText" lastClr="000000"/>
                          </a:solidFill>
                          <a:effectLst/>
                          <a:latin typeface="Cambria Math" panose="02040503050406030204" pitchFamily="18" charset="0"/>
                          <a:ea typeface="+mn-ea"/>
                          <a:cs typeface="+mn-cs"/>
                        </a:rPr>
                        <m:t>𝑘𝑊h</m:t>
                      </m:r>
                    </m:e>
                    <m:sub>
                      <m:r>
                        <a:rPr lang="en-US" sz="1600" b="0" i="1">
                          <a:solidFill>
                            <a:sysClr val="windowText" lastClr="000000"/>
                          </a:solidFill>
                          <a:effectLst/>
                          <a:latin typeface="Cambria Math" panose="02040503050406030204" pitchFamily="18" charset="0"/>
                          <a:ea typeface="+mn-ea"/>
                          <a:cs typeface="+mn-cs"/>
                        </a:rPr>
                        <m:t>𝑁𝑅𝐸𝑆</m:t>
                      </m:r>
                    </m:sub>
                  </m:sSub>
                </m:oMath>
              </a14:m>
              <a:endParaRPr lang="en-US" sz="1200">
                <a:solidFill>
                  <a:sysClr val="windowText" lastClr="000000"/>
                </a:solidFill>
              </a:endParaRPr>
            </a:p>
          </xdr:txBody>
        </xdr:sp>
      </mc:Choice>
      <mc:Fallback xmlns="">
        <xdr:sp macro="" textlink="">
          <xdr:nvSpPr>
            <xdr:cNvPr id="40" name="TextBox 39">
              <a:extLst>
                <a:ext uri="{FF2B5EF4-FFF2-40B4-BE49-F238E27FC236}">
                  <a16:creationId xmlns:a16="http://schemas.microsoft.com/office/drawing/2014/main" id="{EFA7C17E-89DF-4E28-BF44-F67704C1ED65}"/>
                </a:ext>
              </a:extLst>
            </xdr:cNvPr>
            <xdr:cNvSpPr txBox="1"/>
          </xdr:nvSpPr>
          <xdr:spPr>
            <a:xfrm>
              <a:off x="4392706" y="11827696"/>
              <a:ext cx="12573000" cy="17128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𝑘𝑊ℎ= ∆〖𝑘𝑊ℎ〗_𝑅𝐸𝑆</a:t>
              </a:r>
              <a:r>
                <a:rPr lang="en-US" sz="1600">
                  <a:solidFill>
                    <a:sysClr val="windowText" lastClr="000000"/>
                  </a:solidFill>
                </a:rPr>
                <a:t>+</a:t>
              </a:r>
              <a:r>
                <a:rPr lang="en-US" sz="1600" b="0" i="0">
                  <a:solidFill>
                    <a:sysClr val="windowText" lastClr="000000"/>
                  </a:solidFill>
                  <a:effectLst/>
                  <a:latin typeface="Cambria Math" panose="02040503050406030204" pitchFamily="18" charset="0"/>
                  <a:ea typeface="+mn-ea"/>
                  <a:cs typeface="+mn-cs"/>
                </a:rPr>
                <a:t>∆〖𝑘𝑊ℎ〗_𝑁𝑅𝐸𝑆</a:t>
              </a:r>
              <a:endParaRPr lang="en-US" sz="1200">
                <a:solidFill>
                  <a:sysClr val="windowText" lastClr="000000"/>
                </a:solidFill>
              </a:endParaRPr>
            </a:p>
          </xdr:txBody>
        </xdr:sp>
      </mc:Fallback>
    </mc:AlternateContent>
    <xdr:clientData/>
  </xdr:twoCellAnchor>
  <xdr:twoCellAnchor>
    <xdr:from>
      <xdr:col>4</xdr:col>
      <xdr:colOff>0</xdr:colOff>
      <xdr:row>11</xdr:row>
      <xdr:rowOff>134982</xdr:rowOff>
    </xdr:from>
    <xdr:to>
      <xdr:col>14</xdr:col>
      <xdr:colOff>0</xdr:colOff>
      <xdr:row>19</xdr:row>
      <xdr:rowOff>97267</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D5D520D6-2A09-4C77-81F8-97AB2221D70D}"/>
                </a:ext>
              </a:extLst>
            </xdr:cNvPr>
            <xdr:cNvSpPr txBox="1"/>
          </xdr:nvSpPr>
          <xdr:spPr>
            <a:xfrm>
              <a:off x="4392706" y="2779570"/>
              <a:ext cx="14814176" cy="139663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oMath>
                </m:oMathPara>
              </a14:m>
              <a:endParaRPr lang="en-US" sz="1400">
                <a:solidFill>
                  <a:sysClr val="windowText" lastClr="000000"/>
                </a:solidFill>
              </a:endParaRPr>
            </a:p>
          </xdr:txBody>
        </xdr:sp>
      </mc:Choice>
      <mc:Fallback xmlns="">
        <xdr:sp macro="" textlink="">
          <xdr:nvSpPr>
            <xdr:cNvPr id="33" name="TextBox 32">
              <a:extLst>
                <a:ext uri="{FF2B5EF4-FFF2-40B4-BE49-F238E27FC236}">
                  <a16:creationId xmlns:a16="http://schemas.microsoft.com/office/drawing/2014/main" id="{D5D520D6-2A09-4C77-81F8-97AB2221D70D}"/>
                </a:ext>
              </a:extLst>
            </xdr:cNvPr>
            <xdr:cNvSpPr txBox="1"/>
          </xdr:nvSpPr>
          <xdr:spPr>
            <a:xfrm>
              <a:off x="4392706" y="2779570"/>
              <a:ext cx="14814176" cy="139663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Δ𝑘𝑊ℎ=∆𝑘𝑊ℎ_ℎ𝑒𝑎𝑡𝑖𝑛𝑔+Δ𝑘𝑊ℎ_𝑐𝑜𝑜𝑙𝑖𝑛𝑔</a:t>
              </a:r>
              <a:endParaRPr lang="en-US" sz="1400">
                <a:solidFill>
                  <a:sysClr val="windowText" lastClr="000000"/>
                </a:solidFill>
              </a:endParaRPr>
            </a:p>
          </xdr:txBody>
        </xdr:sp>
      </mc:Fallback>
    </mc:AlternateContent>
    <xdr:clientData/>
  </xdr:twoCellAnchor>
  <xdr:oneCellAnchor>
    <xdr:from>
      <xdr:col>6</xdr:col>
      <xdr:colOff>2269331</xdr:colOff>
      <xdr:row>43</xdr:row>
      <xdr:rowOff>0</xdr:rowOff>
    </xdr:from>
    <xdr:ext cx="65" cy="17222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1861006" y="8172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43</xdr:row>
      <xdr:rowOff>0</xdr:rowOff>
    </xdr:from>
    <xdr:ext cx="65" cy="172227"/>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1861006" y="8172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0</xdr:colOff>
      <xdr:row>212</xdr:row>
      <xdr:rowOff>125169</xdr:rowOff>
    </xdr:from>
    <xdr:to>
      <xdr:col>13</xdr:col>
      <xdr:colOff>0</xdr:colOff>
      <xdr:row>219</xdr:row>
      <xdr:rowOff>29807</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4392706" y="48825934"/>
              <a:ext cx="13693588" cy="12829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m:t>
                    </m:r>
                    <m:d>
                      <m:dPr>
                        <m:ctrlPr>
                          <a:rPr lang="en-US" sz="1400" i="1">
                            <a:solidFill>
                              <a:sysClr val="windowText" lastClr="000000"/>
                            </a:solidFill>
                            <a:latin typeface="Cambria Math" panose="02040503050406030204" pitchFamily="18" charset="0"/>
                            <a:ea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ElectricDHW</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GPM</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base</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base</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GPM</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low</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low</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Household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SPCD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365.25 </m:t>
                            </m:r>
                          </m:num>
                          <m:den>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𝑆𝑃𝐻</m:t>
                            </m:r>
                          </m:den>
                        </m:f>
                      </m:e>
                    </m:d>
                    <m:r>
                      <a:rPr lang="en-US" sz="1400" b="0" i="1">
                        <a:solidFill>
                          <a:sysClr val="windowText" lastClr="000000"/>
                        </a:solidFill>
                        <a:latin typeface="Cambria Math" panose="02040503050406030204" pitchFamily="18" charset="0"/>
                        <a:ea typeface="Cambria Math" panose="02040503050406030204" pitchFamily="18" charset="0"/>
                      </a:rPr>
                      <m:t>𝑥𝐸𝑃𝐺</m:t>
                    </m:r>
                    <m:r>
                      <a:rPr lang="en-US" sz="1400" b="0" i="1">
                        <a:solidFill>
                          <a:sysClr val="windowText" lastClr="000000"/>
                        </a:solidFill>
                        <a:latin typeface="Cambria Math" panose="02040503050406030204" pitchFamily="18" charset="0"/>
                        <a:ea typeface="Cambria Math" panose="02040503050406030204" pitchFamily="18" charset="0"/>
                      </a:rPr>
                      <m:t>_</m:t>
                    </m:r>
                    <m:r>
                      <a:rPr lang="en-US" sz="1400" b="0" i="1" baseline="0">
                        <a:solidFill>
                          <a:sysClr val="windowText" lastClr="000000"/>
                        </a:solidFill>
                        <a:latin typeface="Cambria Math" panose="02040503050406030204" pitchFamily="18" charset="0"/>
                        <a:ea typeface="Cambria Math" panose="02040503050406030204" pitchFamily="18" charset="0"/>
                      </a:rPr>
                      <m:t>𝑒𝑙𝑒𝑐𝑡𝑟𝑖𝑐</m:t>
                    </m:r>
                    <m:r>
                      <a:rPr lang="en-US" sz="1400" b="0" i="1" baseline="-25000">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𝑥</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4392706" y="48825934"/>
              <a:ext cx="13693588" cy="12829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"%ElectricDHW x ((GPM_base</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x L_base</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GPM_low</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x L_low</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Household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SPCD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365.25 "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𝑆𝑃𝐻)</a:t>
              </a:r>
              <a:r>
                <a:rPr lang="en-US" sz="1400" b="0" i="0">
                  <a:solidFill>
                    <a:sysClr val="windowText" lastClr="000000"/>
                  </a:solidFill>
                  <a:latin typeface="Cambria Math" panose="02040503050406030204" pitchFamily="18" charset="0"/>
                  <a:ea typeface="Cambria Math" panose="02040503050406030204" pitchFamily="18" charset="0"/>
                </a:rPr>
                <a:t>𝑥𝐸𝑃𝐺_</a:t>
              </a:r>
              <a:r>
                <a:rPr lang="en-US" sz="1400" b="0" i="0" baseline="0">
                  <a:solidFill>
                    <a:sysClr val="windowText" lastClr="000000"/>
                  </a:solidFill>
                  <a:latin typeface="Cambria Math" panose="02040503050406030204" pitchFamily="18" charset="0"/>
                  <a:ea typeface="Cambria Math" panose="02040503050406030204" pitchFamily="18" charset="0"/>
                </a:rPr>
                <a:t>𝑒𝑙𝑒𝑐𝑡𝑟𝑖𝑐</a:t>
              </a:r>
              <a:r>
                <a:rPr lang="en-US" sz="1400" b="0" i="0" baseline="-25000">
                  <a:solidFill>
                    <a:sysClr val="windowText" lastClr="000000"/>
                  </a:solidFill>
                  <a:latin typeface="Cambria Math" panose="02040503050406030204" pitchFamily="18" charset="0"/>
                  <a:ea typeface="Cambria Math" panose="02040503050406030204" pitchFamily="18" charset="0"/>
                </a:rPr>
                <a:t>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 𝑥 𝐼𝑆𝑅</a:t>
              </a:r>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4</xdr:col>
      <xdr:colOff>334272</xdr:colOff>
      <xdr:row>216</xdr:row>
      <xdr:rowOff>105675</xdr:rowOff>
    </xdr:from>
    <xdr:to>
      <xdr:col>6</xdr:col>
      <xdr:colOff>833008</xdr:colOff>
      <xdr:row>218</xdr:row>
      <xdr:rowOff>173083</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00000000-0008-0000-0500-000009000000}"/>
                </a:ext>
              </a:extLst>
            </xdr:cNvPr>
            <xdr:cNvSpPr txBox="1"/>
          </xdr:nvSpPr>
          <xdr:spPr>
            <a:xfrm>
              <a:off x="4726978" y="49523616"/>
              <a:ext cx="5709471" cy="5492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EPG</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electric</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m:t>
                    </m:r>
                    <m:f>
                      <m:fPr>
                        <m:ctrlPr>
                          <a:rPr lang="en-US" sz="140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Cambria Math" panose="02040503050406030204" pitchFamily="18" charset="0"/>
                            <a:cs typeface="+mn-cs"/>
                          </a:rPr>
                          <m:t>8.33∗1.0∗(</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𝑆h𝑜𝑤𝑒𝑟𝑇𝑒𝑚𝑝</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𝑆𝑢𝑝𝑝𝑙𝑦𝑇𝑒𝑚𝑝</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num>
                      <m:den>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𝑅𝐸</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_</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𝑒𝑙𝑒𝑐𝑡𝑟𝑖𝑐</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∗3,412</m:t>
                        </m:r>
                      </m:den>
                    </m:f>
                  </m:oMath>
                </m:oMathPara>
              </a14:m>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9" name="TextBox 8">
              <a:extLst>
                <a:ext uri="{FF2B5EF4-FFF2-40B4-BE49-F238E27FC236}">
                  <a16:creationId xmlns:a16="http://schemas.microsoft.com/office/drawing/2014/main" id="{00000000-0008-0000-0500-000009000000}"/>
                </a:ext>
              </a:extLst>
            </xdr:cNvPr>
            <xdr:cNvSpPr txBox="1"/>
          </xdr:nvSpPr>
          <xdr:spPr>
            <a:xfrm>
              <a:off x="4726978" y="49523616"/>
              <a:ext cx="5709471" cy="5492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effectLst/>
                  <a:latin typeface="Cambria Math" panose="02040503050406030204" pitchFamily="18" charset="0"/>
                  <a:ea typeface="Cambria Math" panose="02040503050406030204" pitchFamily="18" charset="0"/>
                  <a:cs typeface="+mn-cs"/>
                </a:rPr>
                <a:t>"EPG_electric</a:t>
              </a:r>
              <a:r>
                <a:rPr lang="en-US" sz="1400" i="0">
                  <a:solidFill>
                    <a:sysClr val="windowText" lastClr="000000"/>
                  </a:solidFill>
                  <a:effectLst/>
                  <a:latin typeface="Cambria Math" panose="02040503050406030204" pitchFamily="18" charset="0"/>
                  <a:ea typeface="Cambria Math" panose="02040503050406030204" pitchFamily="18" charset="0"/>
                  <a:cs typeface="+mn-cs"/>
                </a:rPr>
                <a:t> "</a:t>
              </a: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8.33∗1.0∗(𝑆ℎ𝑜𝑤𝑒𝑟𝑇𝑒𝑚𝑝 −𝑆𝑢𝑝𝑝𝑙𝑦𝑇𝑒𝑚𝑝))/(𝑅𝐸_𝑒𝑙𝑒𝑐𝑡𝑟𝑖𝑐∗3,412)</a:t>
              </a:r>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3</xdr:col>
      <xdr:colOff>1507078</xdr:colOff>
      <xdr:row>108</xdr:row>
      <xdr:rowOff>96337</xdr:rowOff>
    </xdr:from>
    <xdr:to>
      <xdr:col>13</xdr:col>
      <xdr:colOff>0</xdr:colOff>
      <xdr:row>116</xdr:row>
      <xdr:rowOff>-1</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500-00000A000000}"/>
                </a:ext>
              </a:extLst>
            </xdr:cNvPr>
            <xdr:cNvSpPr txBox="1"/>
          </xdr:nvSpPr>
          <xdr:spPr>
            <a:xfrm>
              <a:off x="4386990" y="29085955"/>
              <a:ext cx="13699304" cy="133801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Book Antiqua" panose="02040602050305030304" pitchFamily="18" charset="0"/>
                                <a:ea typeface="+mn-ea"/>
                                <a:cs typeface="+mn-cs"/>
                              </a:rPr>
                              <m:t>%</m:t>
                            </m:r>
                            <m:r>
                              <m:rPr>
                                <m:nor/>
                              </m:rPr>
                              <a:rPr lang="en-US" sz="1400" b="0" i="1" baseline="0">
                                <a:solidFill>
                                  <a:sysClr val="windowText" lastClr="000000"/>
                                </a:solidFill>
                                <a:effectLst/>
                                <a:latin typeface="Book Antiqua" panose="02040602050305030304" pitchFamily="18" charset="0"/>
                                <a:ea typeface="+mn-ea"/>
                                <a:cs typeface="+mn-cs"/>
                              </a:rPr>
                              <m:t>ElectricDHW</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x</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GPM</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base</m:t>
                            </m:r>
                            <m:r>
                              <m:rPr>
                                <m:nor/>
                              </m:rPr>
                              <a:rPr lang="en-US" sz="140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x</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L</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base</m:t>
                            </m:r>
                            <m:r>
                              <m:rPr>
                                <m:nor/>
                              </m:rPr>
                              <a:rPr lang="en-US" sz="1400" b="0" i="1" baseline="-25000">
                                <a:solidFill>
                                  <a:sysClr val="windowText" lastClr="000000"/>
                                </a:solidFill>
                                <a:effectLst/>
                                <a:latin typeface="Book Antiqua" panose="02040602050305030304" pitchFamily="18" charset="0"/>
                                <a:ea typeface="+mn-ea"/>
                                <a:cs typeface="+mn-cs"/>
                              </a:rPr>
                              <m:t>  − </m:t>
                            </m:r>
                            <m:r>
                              <m:rPr>
                                <m:nor/>
                              </m:rPr>
                              <a:rPr lang="en-US" sz="1400" b="0" i="1" baseline="0">
                                <a:solidFill>
                                  <a:sysClr val="windowText" lastClr="000000"/>
                                </a:solidFill>
                                <a:effectLst/>
                                <a:latin typeface="Book Antiqua" panose="02040602050305030304" pitchFamily="18" charset="0"/>
                                <a:ea typeface="+mn-ea"/>
                                <a:cs typeface="+mn-cs"/>
                              </a:rPr>
                              <m:t>GPM</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low</m:t>
                            </m:r>
                            <m:r>
                              <m:rPr>
                                <m:nor/>
                              </m:rPr>
                              <a:rPr lang="en-US" sz="1400" b="0" i="1" baseline="-2500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x</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L</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low</m:t>
                            </m:r>
                            <m:r>
                              <m:rPr>
                                <m:nor/>
                              </m:rPr>
                              <a:rPr lang="en-US" sz="1400" i="1" baseline="0">
                                <a:solidFill>
                                  <a:sysClr val="windowText" lastClr="000000"/>
                                </a:solidFill>
                                <a:effectLst/>
                                <a:latin typeface="Book Antiqua" panose="02040602050305030304" pitchFamily="18" charset="0"/>
                                <a:ea typeface="+mn-ea"/>
                                <a:cs typeface="+mn-cs"/>
                              </a:rPr>
                              <m:t>) ∗  </m:t>
                            </m:r>
                            <m:r>
                              <m:rPr>
                                <m:nor/>
                              </m:rPr>
                              <a:rPr lang="en-US" sz="1400" b="0" i="1" baseline="0">
                                <a:solidFill>
                                  <a:sysClr val="windowText" lastClr="000000"/>
                                </a:solidFill>
                                <a:effectLst/>
                                <a:latin typeface="Book Antiqua" panose="02040602050305030304" pitchFamily="18" charset="0"/>
                                <a:ea typeface="+mn-ea"/>
                                <a:cs typeface="+mn-cs"/>
                              </a:rPr>
                              <m:t>Household</m:t>
                            </m:r>
                            <m:r>
                              <m:rPr>
                                <m:nor/>
                              </m:rPr>
                              <a:rPr lang="en-US" sz="1400" i="1" baseline="0">
                                <a:solidFill>
                                  <a:sysClr val="windowText" lastClr="000000"/>
                                </a:solidFill>
                                <a:effectLst/>
                                <a:latin typeface="Book Antiqua" panose="02040602050305030304" pitchFamily="18" charset="0"/>
                                <a:ea typeface="+mn-ea"/>
                                <a:cs typeface="+mn-cs"/>
                              </a:rPr>
                              <m:t> ∗ </m:t>
                            </m:r>
                            <m:r>
                              <m:rPr>
                                <m:nor/>
                              </m:rPr>
                              <a:rPr lang="en-US" sz="1400" b="0" i="1" baseline="0">
                                <a:solidFill>
                                  <a:sysClr val="windowText" lastClr="000000"/>
                                </a:solidFill>
                                <a:effectLst/>
                                <a:latin typeface="Book Antiqua" panose="02040602050305030304" pitchFamily="18" charset="0"/>
                                <a:ea typeface="+mn-ea"/>
                                <a:cs typeface="+mn-cs"/>
                              </a:rPr>
                              <m:t>365.25 ∗ </m:t>
                            </m:r>
                            <m:r>
                              <m:rPr>
                                <m:nor/>
                              </m:rPr>
                              <a:rPr lang="en-US" sz="1400" b="0" i="1" baseline="0">
                                <a:solidFill>
                                  <a:sysClr val="windowText" lastClr="000000"/>
                                </a:solidFill>
                                <a:effectLst/>
                                <a:latin typeface="Book Antiqua" panose="02040602050305030304" pitchFamily="18" charset="0"/>
                                <a:ea typeface="+mn-ea"/>
                                <a:cs typeface="+mn-cs"/>
                              </a:rPr>
                              <m:t>DF</m:t>
                            </m:r>
                            <m:r>
                              <m:rPr>
                                <m:nor/>
                              </m:rPr>
                              <a:rPr lang="en-US" sz="1400" b="0" i="1" baseline="0">
                                <a:solidFill>
                                  <a:sysClr val="windowText" lastClr="000000"/>
                                </a:solidFill>
                                <a:effectLst/>
                                <a:latin typeface="Book Antiqua" panose="02040602050305030304" pitchFamily="18" charset="0"/>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latin typeface="Book Antiqua" panose="02040602050305030304" pitchFamily="18" charset="0"/>
              </a:endParaRPr>
            </a:p>
          </xdr:txBody>
        </xdr:sp>
      </mc:Choice>
      <mc:Fallback xmlns="">
        <xdr:sp macro="" textlink="">
          <xdr:nvSpPr>
            <xdr:cNvPr id="10" name="TextBox 9">
              <a:extLst>
                <a:ext uri="{FF2B5EF4-FFF2-40B4-BE49-F238E27FC236}">
                  <a16:creationId xmlns:a16="http://schemas.microsoft.com/office/drawing/2014/main" id="{00000000-0008-0000-0500-00000A000000}"/>
                </a:ext>
              </a:extLst>
            </xdr:cNvPr>
            <xdr:cNvSpPr txBox="1"/>
          </xdr:nvSpPr>
          <xdr:spPr>
            <a:xfrm>
              <a:off x="4386990" y="29085955"/>
              <a:ext cx="13699304" cy="133801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Cambria Math" panose="02040503050406030204" pitchFamily="18" charset="0"/>
                  <a:ea typeface="+mn-ea"/>
                  <a:cs typeface="+mn-cs"/>
                </a:rPr>
                <a:t>"</a:t>
              </a:r>
              <a:r>
                <a:rPr lang="en-US" sz="1400" b="0" i="0" baseline="0">
                  <a:solidFill>
                    <a:sysClr val="windowText" lastClr="000000"/>
                  </a:solidFill>
                  <a:effectLst/>
                  <a:latin typeface="Book Antiqua" panose="02040602050305030304" pitchFamily="18" charset="0"/>
                  <a:ea typeface="+mn-ea"/>
                  <a:cs typeface="+mn-cs"/>
                </a:rPr>
                <a:t>%ElectricDHW x ((GPM_base</a:t>
              </a:r>
              <a:r>
                <a:rPr lang="en-US" sz="1400" i="0" baseline="0">
                  <a:solidFill>
                    <a:sysClr val="windowText" lastClr="000000"/>
                  </a:solidFill>
                  <a:effectLst/>
                  <a:latin typeface="Book Antiqua" panose="02040602050305030304" pitchFamily="18" charset="0"/>
                  <a:ea typeface="+mn-ea"/>
                  <a:cs typeface="+mn-cs"/>
                </a:rPr>
                <a:t> </a:t>
              </a:r>
              <a:r>
                <a:rPr lang="en-US" sz="1400" b="0" i="0" baseline="0">
                  <a:solidFill>
                    <a:sysClr val="windowText" lastClr="000000"/>
                  </a:solidFill>
                  <a:effectLst/>
                  <a:latin typeface="Book Antiqua" panose="02040602050305030304" pitchFamily="18" charset="0"/>
                  <a:ea typeface="+mn-ea"/>
                  <a:cs typeface="+mn-cs"/>
                </a:rPr>
                <a:t>x L_base</a:t>
              </a:r>
              <a:r>
                <a:rPr lang="en-US" sz="1400" b="0" i="0" baseline="-25000">
                  <a:solidFill>
                    <a:sysClr val="windowText" lastClr="000000"/>
                  </a:solidFill>
                  <a:effectLst/>
                  <a:latin typeface="Book Antiqua" panose="02040602050305030304" pitchFamily="18" charset="0"/>
                  <a:ea typeface="+mn-ea"/>
                  <a:cs typeface="+mn-cs"/>
                </a:rPr>
                <a:t>  − </a:t>
              </a:r>
              <a:r>
                <a:rPr lang="en-US" sz="1400" b="0" i="0" baseline="0">
                  <a:solidFill>
                    <a:sysClr val="windowText" lastClr="000000"/>
                  </a:solidFill>
                  <a:effectLst/>
                  <a:latin typeface="Book Antiqua" panose="02040602050305030304" pitchFamily="18" charset="0"/>
                  <a:ea typeface="+mn-ea"/>
                  <a:cs typeface="+mn-cs"/>
                </a:rPr>
                <a:t>GPM_low</a:t>
              </a:r>
              <a:r>
                <a:rPr lang="en-US" sz="1400" b="0" i="0" baseline="-25000">
                  <a:solidFill>
                    <a:sysClr val="windowText" lastClr="000000"/>
                  </a:solidFill>
                  <a:effectLst/>
                  <a:latin typeface="Book Antiqua" panose="02040602050305030304" pitchFamily="18" charset="0"/>
                  <a:ea typeface="+mn-ea"/>
                  <a:cs typeface="+mn-cs"/>
                </a:rPr>
                <a:t>  </a:t>
              </a:r>
              <a:r>
                <a:rPr lang="en-US" sz="1400" b="0" i="0" baseline="0">
                  <a:solidFill>
                    <a:sysClr val="windowText" lastClr="000000"/>
                  </a:solidFill>
                  <a:effectLst/>
                  <a:latin typeface="Book Antiqua" panose="02040602050305030304" pitchFamily="18" charset="0"/>
                  <a:ea typeface="+mn-ea"/>
                  <a:cs typeface="+mn-cs"/>
                </a:rPr>
                <a:t>x L_low</a:t>
              </a:r>
              <a:r>
                <a:rPr lang="en-US" sz="1400" i="0" baseline="0">
                  <a:solidFill>
                    <a:sysClr val="windowText" lastClr="000000"/>
                  </a:solidFill>
                  <a:effectLst/>
                  <a:latin typeface="Book Antiqua" panose="02040602050305030304" pitchFamily="18" charset="0"/>
                  <a:ea typeface="+mn-ea"/>
                  <a:cs typeface="+mn-cs"/>
                </a:rPr>
                <a:t>) ∗  </a:t>
              </a:r>
              <a:r>
                <a:rPr lang="en-US" sz="1400" b="0" i="0" baseline="0">
                  <a:solidFill>
                    <a:sysClr val="windowText" lastClr="000000"/>
                  </a:solidFill>
                  <a:effectLst/>
                  <a:latin typeface="Book Antiqua" panose="02040602050305030304" pitchFamily="18" charset="0"/>
                  <a:ea typeface="+mn-ea"/>
                  <a:cs typeface="+mn-cs"/>
                </a:rPr>
                <a:t>Household</a:t>
              </a:r>
              <a:r>
                <a:rPr lang="en-US" sz="1400" i="0" baseline="0">
                  <a:solidFill>
                    <a:sysClr val="windowText" lastClr="000000"/>
                  </a:solidFill>
                  <a:effectLst/>
                  <a:latin typeface="Book Antiqua" panose="02040602050305030304" pitchFamily="18" charset="0"/>
                  <a:ea typeface="+mn-ea"/>
                  <a:cs typeface="+mn-cs"/>
                </a:rPr>
                <a:t> ∗ </a:t>
              </a:r>
              <a:r>
                <a:rPr lang="en-US" sz="1400" b="0" i="0" baseline="0">
                  <a:solidFill>
                    <a:sysClr val="windowText" lastClr="000000"/>
                  </a:solidFill>
                  <a:effectLst/>
                  <a:latin typeface="Book Antiqua" panose="02040602050305030304" pitchFamily="18" charset="0"/>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latin typeface="Book Antiqua" panose="02040602050305030304" pitchFamily="18" charset="0"/>
              </a:endParaRPr>
            </a:p>
          </xdr:txBody>
        </xdr:sp>
      </mc:Fallback>
    </mc:AlternateContent>
    <xdr:clientData/>
  </xdr:twoCellAnchor>
  <xdr:twoCellAnchor>
    <xdr:from>
      <xdr:col>4</xdr:col>
      <xdr:colOff>435124</xdr:colOff>
      <xdr:row>112</xdr:row>
      <xdr:rowOff>19704</xdr:rowOff>
    </xdr:from>
    <xdr:to>
      <xdr:col>8</xdr:col>
      <xdr:colOff>1032024</xdr:colOff>
      <xdr:row>115</xdr:row>
      <xdr:rowOff>56030</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00000000-0008-0000-0500-00000B000000}"/>
                </a:ext>
              </a:extLst>
            </xdr:cNvPr>
            <xdr:cNvSpPr txBox="1"/>
          </xdr:nvSpPr>
          <xdr:spPr>
            <a:xfrm>
              <a:off x="4827830" y="29726498"/>
              <a:ext cx="9079753" cy="57420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8.33∗1.0∗(</m:t>
                        </m:r>
                        <m:r>
                          <a:rPr lang="en-US" sz="1400" b="0" i="1">
                            <a:solidFill>
                              <a:sysClr val="windowText" lastClr="000000"/>
                            </a:solidFill>
                            <a:effectLst/>
                            <a:latin typeface="Cambria Math" panose="02040503050406030204" pitchFamily="18" charset="0"/>
                            <a:ea typeface="+mn-ea"/>
                            <a:cs typeface="+mn-cs"/>
                          </a:rPr>
                          <m:t>𝑊𝑎𝑡𝑒𝑟𝑇𝑒𝑚𝑝</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𝑆𝑢𝑝𝑝𝑙𝑦𝑇𝑒𝑚𝑝</m:t>
                        </m:r>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effectLst/>
                            <a:latin typeface="Cambria Math" panose="02040503050406030204" pitchFamily="18" charset="0"/>
                            <a:ea typeface="+mn-ea"/>
                            <a:cs typeface="+mn-cs"/>
                          </a:rPr>
                          <m:t>𝑅𝐸</m:t>
                        </m:r>
                        <m:r>
                          <a:rPr lang="en-US" sz="1400" b="0" i="1">
                            <a:solidFill>
                              <a:sysClr val="windowText" lastClr="000000"/>
                            </a:solidFill>
                            <a:effectLst/>
                            <a:latin typeface="Cambria Math" panose="02040503050406030204" pitchFamily="18" charset="0"/>
                            <a:ea typeface="+mn-ea"/>
                            <a:cs typeface="+mn-cs"/>
                          </a:rPr>
                          <m:t>_</m:t>
                        </m:r>
                        <m:r>
                          <a:rPr lang="en-US" sz="1400" b="0" i="1">
                            <a:solidFill>
                              <a:sysClr val="windowText" lastClr="000000"/>
                            </a:solidFill>
                            <a:effectLst/>
                            <a:latin typeface="Cambria Math" panose="02040503050406030204" pitchFamily="18" charset="0"/>
                            <a:ea typeface="+mn-ea"/>
                            <a:cs typeface="+mn-cs"/>
                          </a:rPr>
                          <m:t>𝑒𝑙𝑒𝑐𝑡𝑟𝑖𝑐</m:t>
                        </m:r>
                        <m:r>
                          <a:rPr lang="en-US" sz="1400" b="0" i="1">
                            <a:solidFill>
                              <a:sysClr val="windowText" lastClr="000000"/>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ysClr val="windowText" lastClr="000000"/>
                </a:solidFill>
                <a:latin typeface="Book Antiqua" panose="02040602050305030304" pitchFamily="18" charset="0"/>
              </a:endParaRPr>
            </a:p>
          </xdr:txBody>
        </xdr:sp>
      </mc:Choice>
      <mc:Fallback xmlns="">
        <xdr:sp macro="" textlink="">
          <xdr:nvSpPr>
            <xdr:cNvPr id="11" name="TextBox 10">
              <a:extLst>
                <a:ext uri="{FF2B5EF4-FFF2-40B4-BE49-F238E27FC236}">
                  <a16:creationId xmlns:a16="http://schemas.microsoft.com/office/drawing/2014/main" id="{00000000-0008-0000-0500-00000B000000}"/>
                </a:ext>
              </a:extLst>
            </xdr:cNvPr>
            <xdr:cNvSpPr txBox="1"/>
          </xdr:nvSpPr>
          <xdr:spPr>
            <a:xfrm>
              <a:off x="4827830" y="29726498"/>
              <a:ext cx="9079753" cy="57420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ysClr val="windowText" lastClr="000000"/>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ysClr val="windowText" lastClr="000000"/>
                </a:solidFill>
                <a:latin typeface="Book Antiqua" panose="02040602050305030304" pitchFamily="18" charset="0"/>
              </a:endParaRPr>
            </a:p>
          </xdr:txBody>
        </xdr:sp>
      </mc:Fallback>
    </mc:AlternateContent>
    <xdr:clientData/>
  </xdr:twoCellAnchor>
  <xdr:twoCellAnchor>
    <xdr:from>
      <xdr:col>4</xdr:col>
      <xdr:colOff>0</xdr:colOff>
      <xdr:row>160</xdr:row>
      <xdr:rowOff>134998</xdr:rowOff>
    </xdr:from>
    <xdr:to>
      <xdr:col>13</xdr:col>
      <xdr:colOff>0</xdr:colOff>
      <xdr:row>167</xdr:row>
      <xdr:rowOff>112058</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0000000-0008-0000-0500-00000C000000}"/>
                </a:ext>
              </a:extLst>
            </xdr:cNvPr>
            <xdr:cNvSpPr txBox="1"/>
          </xdr:nvSpPr>
          <xdr:spPr>
            <a:xfrm>
              <a:off x="4392706" y="38694439"/>
              <a:ext cx="13693588" cy="123211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 </m:t>
                            </m:r>
                            <m:r>
                              <m:rPr>
                                <m:nor/>
                              </m:rPr>
                              <a:rPr lang="en-US" sz="1400" b="0" i="1" baseline="0">
                                <a:solidFill>
                                  <a:sysClr val="windowText" lastClr="000000"/>
                                </a:solidFill>
                                <a:effectLst/>
                                <a:latin typeface="+mn-lt"/>
                                <a:ea typeface="+mn-ea"/>
                                <a:cs typeface="+mn-cs"/>
                              </a:rPr>
                              <m:t>DF</m:t>
                            </m:r>
                            <m:r>
                              <m:rPr>
                                <m:nor/>
                              </m:rPr>
                              <a:rPr lang="en-US" sz="1400" b="0" i="1" baseline="0">
                                <a:solidFill>
                                  <a:sysClr val="windowText" lastClr="000000"/>
                                </a:solidFill>
                                <a:effectLst/>
                                <a:latin typeface="+mn-lt"/>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2" name="TextBox 11">
              <a:extLst>
                <a:ext uri="{FF2B5EF4-FFF2-40B4-BE49-F238E27FC236}">
                  <a16:creationId xmlns:a16="http://schemas.microsoft.com/office/drawing/2014/main" id="{00000000-0008-0000-0500-00000C000000}"/>
                </a:ext>
              </a:extLst>
            </xdr:cNvPr>
            <xdr:cNvSpPr txBox="1"/>
          </xdr:nvSpPr>
          <xdr:spPr>
            <a:xfrm>
              <a:off x="4392706" y="38694439"/>
              <a:ext cx="13693588" cy="123211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4</xdr:col>
      <xdr:colOff>435123</xdr:colOff>
      <xdr:row>164</xdr:row>
      <xdr:rowOff>52350</xdr:rowOff>
    </xdr:from>
    <xdr:to>
      <xdr:col>6</xdr:col>
      <xdr:colOff>989268</xdr:colOff>
      <xdr:row>167</xdr:row>
      <xdr:rowOff>157194</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00000000-0008-0000-0500-00000D000000}"/>
                </a:ext>
              </a:extLst>
            </xdr:cNvPr>
            <xdr:cNvSpPr txBox="1"/>
          </xdr:nvSpPr>
          <xdr:spPr>
            <a:xfrm>
              <a:off x="4827829" y="39328968"/>
              <a:ext cx="5764880" cy="6427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8.33∗1.0∗(</m:t>
                        </m:r>
                        <m:r>
                          <a:rPr lang="en-US" sz="1400" b="0" i="1">
                            <a:solidFill>
                              <a:sysClr val="windowText" lastClr="000000"/>
                            </a:solidFill>
                            <a:effectLst/>
                            <a:latin typeface="Cambria Math" panose="02040503050406030204" pitchFamily="18" charset="0"/>
                            <a:ea typeface="+mn-ea"/>
                            <a:cs typeface="+mn-cs"/>
                          </a:rPr>
                          <m:t>𝑊𝑎𝑡𝑒𝑟𝑇𝑒𝑚𝑝</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𝑆𝑢𝑝𝑝𝑙𝑦𝑇𝑒𝑚𝑝</m:t>
                        </m:r>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effectLst/>
                            <a:latin typeface="Cambria Math" panose="02040503050406030204" pitchFamily="18" charset="0"/>
                            <a:ea typeface="+mn-ea"/>
                            <a:cs typeface="+mn-cs"/>
                          </a:rPr>
                          <m:t>𝑅𝐸</m:t>
                        </m:r>
                        <m:r>
                          <a:rPr lang="en-US" sz="1400" b="0" i="1">
                            <a:solidFill>
                              <a:sysClr val="windowText" lastClr="000000"/>
                            </a:solidFill>
                            <a:effectLst/>
                            <a:latin typeface="Cambria Math" panose="02040503050406030204" pitchFamily="18" charset="0"/>
                            <a:ea typeface="+mn-ea"/>
                            <a:cs typeface="+mn-cs"/>
                          </a:rPr>
                          <m:t>_</m:t>
                        </m:r>
                        <m:r>
                          <a:rPr lang="en-US" sz="1400" b="0" i="1">
                            <a:solidFill>
                              <a:sysClr val="windowText" lastClr="000000"/>
                            </a:solidFill>
                            <a:effectLst/>
                            <a:latin typeface="Cambria Math" panose="02040503050406030204" pitchFamily="18" charset="0"/>
                            <a:ea typeface="+mn-ea"/>
                            <a:cs typeface="+mn-cs"/>
                          </a:rPr>
                          <m:t>𝑒𝑙𝑒𝑐𝑡𝑟𝑖𝑐</m:t>
                        </m:r>
                        <m:r>
                          <a:rPr lang="en-US" sz="1400" b="0" i="1">
                            <a:solidFill>
                              <a:sysClr val="windowText" lastClr="000000"/>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ysClr val="windowText" lastClr="000000"/>
                </a:solidFill>
              </a:endParaRPr>
            </a:p>
          </xdr:txBody>
        </xdr:sp>
      </mc:Choice>
      <mc:Fallback xmlns="">
        <xdr:sp macro="" textlink="">
          <xdr:nvSpPr>
            <xdr:cNvPr id="13" name="TextBox 12">
              <a:extLst>
                <a:ext uri="{FF2B5EF4-FFF2-40B4-BE49-F238E27FC236}">
                  <a16:creationId xmlns:a16="http://schemas.microsoft.com/office/drawing/2014/main" id="{00000000-0008-0000-0500-00000D000000}"/>
                </a:ext>
              </a:extLst>
            </xdr:cNvPr>
            <xdr:cNvSpPr txBox="1"/>
          </xdr:nvSpPr>
          <xdr:spPr>
            <a:xfrm>
              <a:off x="4827829" y="39328968"/>
              <a:ext cx="5764880" cy="6427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ysClr val="windowText" lastClr="000000"/>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ysClr val="windowText" lastClr="000000"/>
                </a:solidFill>
              </a:endParaRPr>
            </a:p>
          </xdr:txBody>
        </xdr:sp>
      </mc:Fallback>
    </mc:AlternateContent>
    <xdr:clientData/>
  </xdr:twoCellAnchor>
  <xdr:oneCellAnchor>
    <xdr:from>
      <xdr:col>7</xdr:col>
      <xdr:colOff>2269331</xdr:colOff>
      <xdr:row>271</xdr:row>
      <xdr:rowOff>453627</xdr:rowOff>
    </xdr:from>
    <xdr:ext cx="65" cy="172227"/>
    <xdr:sp macro="" textlink="">
      <xdr:nvSpPr>
        <xdr:cNvPr id="14" name="TextBox 13">
          <a:extLst>
            <a:ext uri="{FF2B5EF4-FFF2-40B4-BE49-F238E27FC236}">
              <a16:creationId xmlns:a16="http://schemas.microsoft.com/office/drawing/2014/main" id="{00000000-0008-0000-0500-00000E000000}"/>
            </a:ext>
          </a:extLst>
        </xdr:cNvPr>
        <xdr:cNvSpPr txBox="1"/>
      </xdr:nvSpPr>
      <xdr:spPr>
        <a:xfrm>
          <a:off x="11861006" y="595086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271</xdr:row>
      <xdr:rowOff>453627</xdr:rowOff>
    </xdr:from>
    <xdr:ext cx="65" cy="172227"/>
    <xdr:sp macro="" textlink="">
      <xdr:nvSpPr>
        <xdr:cNvPr id="15" name="TextBox 14">
          <a:extLst>
            <a:ext uri="{FF2B5EF4-FFF2-40B4-BE49-F238E27FC236}">
              <a16:creationId xmlns:a16="http://schemas.microsoft.com/office/drawing/2014/main" id="{00000000-0008-0000-0500-00000F000000}"/>
            </a:ext>
          </a:extLst>
        </xdr:cNvPr>
        <xdr:cNvSpPr txBox="1"/>
      </xdr:nvSpPr>
      <xdr:spPr>
        <a:xfrm>
          <a:off x="11861006" y="595086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419966</xdr:colOff>
      <xdr:row>13</xdr:row>
      <xdr:rowOff>161398</xdr:rowOff>
    </xdr:from>
    <xdr:to>
      <xdr:col>10</xdr:col>
      <xdr:colOff>0</xdr:colOff>
      <xdr:row>15</xdr:row>
      <xdr:rowOff>126851</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00000000-0008-0000-0500-000010000000}"/>
                </a:ext>
              </a:extLst>
            </xdr:cNvPr>
            <xdr:cNvSpPr txBox="1"/>
          </xdr:nvSpPr>
          <xdr:spPr>
            <a:xfrm>
              <a:off x="4812672" y="3164574"/>
              <a:ext cx="9911857" cy="32404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6" name="TextBox 15">
              <a:extLst>
                <a:ext uri="{FF2B5EF4-FFF2-40B4-BE49-F238E27FC236}">
                  <a16:creationId xmlns:a16="http://schemas.microsoft.com/office/drawing/2014/main" id="{00000000-0008-0000-0500-000010000000}"/>
                </a:ext>
              </a:extLst>
            </xdr:cNvPr>
            <xdr:cNvSpPr txBox="1"/>
          </xdr:nvSpPr>
          <xdr:spPr>
            <a:xfrm>
              <a:off x="4812672" y="3164574"/>
              <a:ext cx="9911857" cy="32404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400"/>
            </a:p>
          </xdr:txBody>
        </xdr:sp>
      </mc:Fallback>
    </mc:AlternateContent>
    <xdr:clientData/>
  </xdr:twoCellAnchor>
  <xdr:twoCellAnchor>
    <xdr:from>
      <xdr:col>4</xdr:col>
      <xdr:colOff>0</xdr:colOff>
      <xdr:row>18</xdr:row>
      <xdr:rowOff>19641</xdr:rowOff>
    </xdr:from>
    <xdr:to>
      <xdr:col>14</xdr:col>
      <xdr:colOff>0</xdr:colOff>
      <xdr:row>19</xdr:row>
      <xdr:rowOff>134695</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00000000-0008-0000-0500-000011000000}"/>
                </a:ext>
              </a:extLst>
            </xdr:cNvPr>
            <xdr:cNvSpPr txBox="1"/>
          </xdr:nvSpPr>
          <xdr:spPr>
            <a:xfrm>
              <a:off x="4392706" y="3919288"/>
              <a:ext cx="14814176" cy="29434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 </m:t>
                    </m:r>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17" name="TextBox 16">
              <a:extLst>
                <a:ext uri="{FF2B5EF4-FFF2-40B4-BE49-F238E27FC236}">
                  <a16:creationId xmlns:a16="http://schemas.microsoft.com/office/drawing/2014/main" id="{00000000-0008-0000-0500-000011000000}"/>
                </a:ext>
              </a:extLst>
            </xdr:cNvPr>
            <xdr:cNvSpPr txBox="1"/>
          </xdr:nvSpPr>
          <xdr:spPr>
            <a:xfrm>
              <a:off x="4392706" y="3919288"/>
              <a:ext cx="14814176" cy="29434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 </a:t>
              </a: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twoCellAnchor>
    <xdr:from>
      <xdr:col>4</xdr:col>
      <xdr:colOff>363360</xdr:colOff>
      <xdr:row>15</xdr:row>
      <xdr:rowOff>153887</xdr:rowOff>
    </xdr:from>
    <xdr:to>
      <xdr:col>10</xdr:col>
      <xdr:colOff>0</xdr:colOff>
      <xdr:row>17</xdr:row>
      <xdr:rowOff>96465</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00000000-0008-0000-0500-000012000000}"/>
                </a:ext>
              </a:extLst>
            </xdr:cNvPr>
            <xdr:cNvSpPr txBox="1"/>
          </xdr:nvSpPr>
          <xdr:spPr>
            <a:xfrm>
              <a:off x="4756066" y="3515652"/>
              <a:ext cx="9968463" cy="30116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8" name="TextBox 17">
              <a:extLst>
                <a:ext uri="{FF2B5EF4-FFF2-40B4-BE49-F238E27FC236}">
                  <a16:creationId xmlns:a16="http://schemas.microsoft.com/office/drawing/2014/main" id="{00000000-0008-0000-0500-000012000000}"/>
                </a:ext>
              </a:extLst>
            </xdr:cNvPr>
            <xdr:cNvSpPr txBox="1"/>
          </xdr:nvSpPr>
          <xdr:spPr>
            <a:xfrm>
              <a:off x="4756066" y="3515652"/>
              <a:ext cx="9968463" cy="30116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4</xdr:col>
      <xdr:colOff>1</xdr:colOff>
      <xdr:row>309</xdr:row>
      <xdr:rowOff>132965</xdr:rowOff>
    </xdr:from>
    <xdr:to>
      <xdr:col>12</xdr:col>
      <xdr:colOff>1</xdr:colOff>
      <xdr:row>314</xdr:row>
      <xdr:rowOff>18602</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500-000013000000}"/>
                </a:ext>
              </a:extLst>
            </xdr:cNvPr>
            <xdr:cNvSpPr txBox="1"/>
          </xdr:nvSpPr>
          <xdr:spPr>
            <a:xfrm>
              <a:off x="4392707" y="68600906"/>
              <a:ext cx="12573000" cy="78210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𝑂𝑓𝑓𝑖𝑐𝑒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𝐸𝑛𝑡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𝐸𝑛𝑡</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9" name="TextBox 18">
              <a:extLst>
                <a:ext uri="{FF2B5EF4-FFF2-40B4-BE49-F238E27FC236}">
                  <a16:creationId xmlns:a16="http://schemas.microsoft.com/office/drawing/2014/main" id="{00000000-0008-0000-0500-000013000000}"/>
                </a:ext>
              </a:extLst>
            </xdr:cNvPr>
            <xdr:cNvSpPr txBox="1"/>
          </xdr:nvSpPr>
          <xdr:spPr>
            <a:xfrm>
              <a:off x="4392707" y="68600906"/>
              <a:ext cx="12573000" cy="78210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𝑘𝑊ℎ=(𝑘𝑊ℎ_𝑜𝑓𝑓𝑖𝑐𝑒∗𝑊𝑒𝑖𝑔ℎ𝑡𝑖𝑛𝑔_𝑂𝑓𝑓𝑖𝑐𝑒+𝑘𝑊ℎ_𝐸𝑛𝑡∗𝑊𝑒𝑖𝑔ℎ𝑡𝑖𝑛𝑔_𝐸𝑛𝑡 )∗𝐼𝑆𝑅</a:t>
              </a:r>
              <a:endParaRPr lang="en-US" sz="1400"/>
            </a:p>
          </xdr:txBody>
        </xdr:sp>
      </mc:Fallback>
    </mc:AlternateContent>
    <xdr:clientData/>
  </xdr:twoCellAnchor>
  <xdr:twoCellAnchor>
    <xdr:from>
      <xdr:col>4</xdr:col>
      <xdr:colOff>0</xdr:colOff>
      <xdr:row>263</xdr:row>
      <xdr:rowOff>98243</xdr:rowOff>
    </xdr:from>
    <xdr:to>
      <xdr:col>12</xdr:col>
      <xdr:colOff>0</xdr:colOff>
      <xdr:row>267</xdr:row>
      <xdr:rowOff>112059</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500-000014000000}"/>
                </a:ext>
              </a:extLst>
            </xdr:cNvPr>
            <xdr:cNvSpPr txBox="1"/>
          </xdr:nvSpPr>
          <xdr:spPr>
            <a:xfrm>
              <a:off x="4392706" y="59377361"/>
              <a:ext cx="12573000" cy="73099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d>
                          <m:dPr>
                            <m:ctrlPr>
                              <a:rPr lang="en-US" sz="1400" b="0" i="1">
                                <a:solidFill>
                                  <a:sysClr val="windowText" lastClr="000000"/>
                                </a:solidFill>
                                <a:latin typeface="Cambria Math" panose="02040503050406030204" pitchFamily="18" charset="0"/>
                                <a:ea typeface="Cambria Math" panose="02040503050406030204" pitchFamily="18" charset="0"/>
                              </a:rPr>
                            </m:ctrlPr>
                          </m:dPr>
                          <m:e>
                            <m:d>
                              <m:dPr>
                                <m:ctrlPr>
                                  <a:rPr lang="en-US" sz="1400" b="0" i="1">
                                    <a:solidFill>
                                      <a:sysClr val="windowText" lastClr="000000"/>
                                    </a:solidFill>
                                    <a:latin typeface="Cambria Math" panose="02040503050406030204" pitchFamily="18" charset="0"/>
                                    <a:ea typeface="Cambria Math" panose="02040503050406030204" pitchFamily="18" charset="0"/>
                                  </a:rPr>
                                </m:ctrlPr>
                              </m:dPr>
                              <m:e>
                                <m:f>
                                  <m:fPr>
                                    <m:ctrlPr>
                                      <a:rPr lang="en-US" sz="1400" b="0" i="1">
                                        <a:solidFill>
                                          <a:sysClr val="windowText" lastClr="000000"/>
                                        </a:solidFill>
                                        <a:latin typeface="Cambria Math" panose="02040503050406030204" pitchFamily="18" charset="0"/>
                                        <a:ea typeface="Cambria Math" panose="02040503050406030204" pitchFamily="18" charset="0"/>
                                      </a:rPr>
                                    </m:ctrlPr>
                                  </m:fPr>
                                  <m:num>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𝐶</m:t>
                                        </m:r>
                                      </m:e>
                                      <m:sub>
                                        <m:r>
                                          <a:rPr lang="en-US" sz="1400" b="0" i="1">
                                            <a:solidFill>
                                              <a:sysClr val="windowText" lastClr="000000"/>
                                            </a:solidFill>
                                            <a:latin typeface="Cambria Math" panose="02040503050406030204" pitchFamily="18" charset="0"/>
                                            <a:ea typeface="Cambria Math" panose="02040503050406030204" pitchFamily="18" charset="0"/>
                                          </a:rPr>
                                          <m:t>𝐵𝑎𝑠𝑒</m:t>
                                        </m:r>
                                      </m:sub>
                                    </m:sSub>
                                  </m:num>
                                  <m:den>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𝑅</m:t>
                                        </m:r>
                                      </m:e>
                                      <m:sub>
                                        <m:r>
                                          <a:rPr lang="en-US" sz="1400" b="0" i="1">
                                            <a:solidFill>
                                              <a:sysClr val="windowText" lastClr="000000"/>
                                            </a:solidFill>
                                            <a:latin typeface="Cambria Math" panose="02040503050406030204" pitchFamily="18" charset="0"/>
                                            <a:ea typeface="Cambria Math" panose="02040503050406030204" pitchFamily="18" charset="0"/>
                                          </a:rPr>
                                          <m:t>𝐵𝑎𝑠𝑒</m:t>
                                        </m:r>
                                      </m:sub>
                                    </m:sSub>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𝐶</m:t>
                                        </m:r>
                                      </m:e>
                                      <m:sub>
                                        <m:r>
                                          <a:rPr lang="en-US" sz="1400" b="0" i="1">
                                            <a:solidFill>
                                              <a:sysClr val="windowText" lastClr="000000"/>
                                            </a:solidFill>
                                            <a:latin typeface="Cambria Math" panose="02040503050406030204" pitchFamily="18" charset="0"/>
                                            <a:ea typeface="Cambria Math" panose="02040503050406030204" pitchFamily="18" charset="0"/>
                                          </a:rPr>
                                          <m:t>𝐸𝐸</m:t>
                                        </m:r>
                                      </m:sub>
                                    </m:sSub>
                                  </m:num>
                                  <m:den>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𝑅</m:t>
                                        </m:r>
                                      </m:e>
                                      <m:sub>
                                        <m:r>
                                          <a:rPr lang="en-US" sz="1400" b="0" i="1">
                                            <a:solidFill>
                                              <a:sysClr val="windowText" lastClr="000000"/>
                                            </a:solidFill>
                                            <a:latin typeface="Cambria Math" panose="02040503050406030204" pitchFamily="18" charset="0"/>
                                            <a:ea typeface="Cambria Math" panose="02040503050406030204" pitchFamily="18" charset="0"/>
                                          </a:rPr>
                                          <m:t>𝐸𝐸</m:t>
                                        </m:r>
                                      </m:sub>
                                    </m:sSub>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𝐿</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𝑇</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e>
                        </m:d>
                      </m:num>
                      <m:den>
                        <m:r>
                          <a:rPr lang="en-US" sz="1400" b="0" i="1">
                            <a:solidFill>
                              <a:sysClr val="windowText" lastClr="000000"/>
                            </a:solidFill>
                            <a:latin typeface="Cambria Math" panose="02040503050406030204" pitchFamily="18" charset="0"/>
                            <a:ea typeface="Cambria Math" panose="02040503050406030204" pitchFamily="18" charset="0"/>
                          </a:rPr>
                          <m:t>𝜂</m:t>
                        </m:r>
                        <m:r>
                          <a:rPr lang="en-US" sz="1400" b="0" i="1">
                            <a:solidFill>
                              <a:sysClr val="windowText" lastClr="000000"/>
                            </a:solidFill>
                            <a:latin typeface="Cambria Math" panose="02040503050406030204" pitchFamily="18" charset="0"/>
                            <a:ea typeface="Cambria Math" panose="02040503050406030204" pitchFamily="18" charset="0"/>
                          </a:rPr>
                          <m:t>𝐷𝐻</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𝑊</m:t>
                            </m:r>
                          </m:e>
                          <m:sub>
                            <m:r>
                              <a:rPr lang="en-US" sz="1400" b="0" i="1">
                                <a:solidFill>
                                  <a:sysClr val="windowText" lastClr="000000"/>
                                </a:solidFill>
                                <a:latin typeface="Cambria Math" panose="02040503050406030204" pitchFamily="18" charset="0"/>
                                <a:ea typeface="Cambria Math" panose="02040503050406030204" pitchFamily="18" charset="0"/>
                              </a:rPr>
                              <m:t>𝐸𝑙𝑒𝑐</m:t>
                            </m:r>
                          </m:sub>
                        </m:sSub>
                        <m:r>
                          <a:rPr lang="en-US" sz="1400" b="0" i="1">
                            <a:solidFill>
                              <a:sysClr val="windowText" lastClr="000000"/>
                            </a:solidFill>
                            <a:latin typeface="Cambria Math" panose="02040503050406030204" pitchFamily="18" charset="0"/>
                            <a:ea typeface="Cambria Math" panose="02040503050406030204" pitchFamily="18" charset="0"/>
                          </a:rPr>
                          <m:t>∗3,412</m:t>
                        </m:r>
                      </m:den>
                    </m:f>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0" name="TextBox 19">
              <a:extLst>
                <a:ext uri="{FF2B5EF4-FFF2-40B4-BE49-F238E27FC236}">
                  <a16:creationId xmlns:a16="http://schemas.microsoft.com/office/drawing/2014/main" id="{00000000-0008-0000-0500-000014000000}"/>
                </a:ext>
              </a:extLst>
            </xdr:cNvPr>
            <xdr:cNvSpPr txBox="1"/>
          </xdr:nvSpPr>
          <xdr:spPr>
            <a:xfrm>
              <a:off x="4392706" y="59377361"/>
              <a:ext cx="12573000" cy="73099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𝑘𝑊ℎ=(((𝐶_𝐵𝑎𝑠𝑒/𝑅_𝐵𝑎𝑠𝑒 −𝐶_𝐸𝐸/𝑅_𝐸𝐸 )∗𝐿∗∆𝑇∗𝐻𝑜𝑢𝑟𝑠))/(𝜂𝐷𝐻𝑊_𝐸𝑙𝑒𝑐∗3,412)∗𝐼𝑆𝑅</a:t>
              </a:r>
              <a:endParaRPr lang="en-US" sz="1400">
                <a:solidFill>
                  <a:sysClr val="windowText" lastClr="000000"/>
                </a:solidFill>
              </a:endParaRPr>
            </a:p>
          </xdr:txBody>
        </xdr:sp>
      </mc:Fallback>
    </mc:AlternateContent>
    <xdr:clientData/>
  </xdr:twoCellAnchor>
  <xdr:twoCellAnchor>
    <xdr:from>
      <xdr:col>12</xdr:col>
      <xdr:colOff>638735</xdr:colOff>
      <xdr:row>282</xdr:row>
      <xdr:rowOff>0</xdr:rowOff>
    </xdr:from>
    <xdr:to>
      <xdr:col>13</xdr:col>
      <xdr:colOff>720379</xdr:colOff>
      <xdr:row>291</xdr:row>
      <xdr:rowOff>149679</xdr:rowOff>
    </xdr:to>
    <xdr:sp macro="" textlink="">
      <xdr:nvSpPr>
        <xdr:cNvPr id="21" name="Oval 20">
          <a:extLst>
            <a:ext uri="{FF2B5EF4-FFF2-40B4-BE49-F238E27FC236}">
              <a16:creationId xmlns:a16="http://schemas.microsoft.com/office/drawing/2014/main" id="{00000000-0008-0000-0500-000015000000}"/>
            </a:ext>
          </a:extLst>
        </xdr:cNvPr>
        <xdr:cNvSpPr/>
      </xdr:nvSpPr>
      <xdr:spPr>
        <a:xfrm>
          <a:off x="25421053" y="57427091"/>
          <a:ext cx="1172690" cy="2175906"/>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600" b="0"/>
            <a:t>Pipe</a:t>
          </a:r>
          <a:endParaRPr lang="en-US" sz="1100" b="0"/>
        </a:p>
      </xdr:txBody>
    </xdr:sp>
    <xdr:clientData/>
  </xdr:twoCellAnchor>
  <xdr:twoCellAnchor>
    <xdr:from>
      <xdr:col>12</xdr:col>
      <xdr:colOff>231322</xdr:colOff>
      <xdr:row>281</xdr:row>
      <xdr:rowOff>81643</xdr:rowOff>
    </xdr:from>
    <xdr:to>
      <xdr:col>14</xdr:col>
      <xdr:colOff>22412</xdr:colOff>
      <xdr:row>293</xdr:row>
      <xdr:rowOff>136072</xdr:rowOff>
    </xdr:to>
    <xdr:sp macro="" textlink="">
      <xdr:nvSpPr>
        <xdr:cNvPr id="22" name="Oval 21">
          <a:extLst>
            <a:ext uri="{FF2B5EF4-FFF2-40B4-BE49-F238E27FC236}">
              <a16:creationId xmlns:a16="http://schemas.microsoft.com/office/drawing/2014/main" id="{00000000-0008-0000-0500-000016000000}"/>
            </a:ext>
          </a:extLst>
        </xdr:cNvPr>
        <xdr:cNvSpPr/>
      </xdr:nvSpPr>
      <xdr:spPr>
        <a:xfrm>
          <a:off x="16791215" y="67001572"/>
          <a:ext cx="1995447" cy="2340429"/>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638735</xdr:colOff>
      <xdr:row>286</xdr:row>
      <xdr:rowOff>0</xdr:rowOff>
    </xdr:from>
    <xdr:to>
      <xdr:col>13</xdr:col>
      <xdr:colOff>720379</xdr:colOff>
      <xdr:row>286</xdr:row>
      <xdr:rowOff>0</xdr:rowOff>
    </xdr:to>
    <xdr:cxnSp macro="">
      <xdr:nvCxnSpPr>
        <xdr:cNvPr id="23" name="Straight Arrow Connector 22">
          <a:extLst>
            <a:ext uri="{FF2B5EF4-FFF2-40B4-BE49-F238E27FC236}">
              <a16:creationId xmlns:a16="http://schemas.microsoft.com/office/drawing/2014/main" id="{00000000-0008-0000-0500-000017000000}"/>
            </a:ext>
          </a:extLst>
        </xdr:cNvPr>
        <xdr:cNvCxnSpPr>
          <a:stCxn id="21" idx="2"/>
          <a:endCxn id="21" idx="6"/>
        </xdr:cNvCxnSpPr>
      </xdr:nvCxnSpPr>
      <xdr:spPr>
        <a:xfrm>
          <a:off x="21422285" y="63436500"/>
          <a:ext cx="1177019"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666750</xdr:colOff>
      <xdr:row>285</xdr:row>
      <xdr:rowOff>217713</xdr:rowOff>
    </xdr:from>
    <xdr:to>
      <xdr:col>13</xdr:col>
      <xdr:colOff>612322</xdr:colOff>
      <xdr:row>287</xdr:row>
      <xdr:rowOff>0</xdr:rowOff>
    </xdr:to>
    <xdr:sp macro="" textlink="">
      <xdr:nvSpPr>
        <xdr:cNvPr id="24" name="TextBox 23">
          <a:extLst>
            <a:ext uri="{FF2B5EF4-FFF2-40B4-BE49-F238E27FC236}">
              <a16:creationId xmlns:a16="http://schemas.microsoft.com/office/drawing/2014/main" id="{00000000-0008-0000-0500-000018000000}"/>
            </a:ext>
          </a:extLst>
        </xdr:cNvPr>
        <xdr:cNvSpPr txBox="1"/>
      </xdr:nvSpPr>
      <xdr:spPr>
        <a:xfrm>
          <a:off x="21450300" y="63463713"/>
          <a:ext cx="1040947" cy="204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.75"</a:t>
          </a:r>
        </a:p>
      </xdr:txBody>
    </xdr:sp>
    <xdr:clientData/>
  </xdr:twoCellAnchor>
  <xdr:twoCellAnchor>
    <xdr:from>
      <xdr:col>13</xdr:col>
      <xdr:colOff>721180</xdr:colOff>
      <xdr:row>285</xdr:row>
      <xdr:rowOff>190500</xdr:rowOff>
    </xdr:from>
    <xdr:to>
      <xdr:col>14</xdr:col>
      <xdr:colOff>27215</xdr:colOff>
      <xdr:row>285</xdr:row>
      <xdr:rowOff>190500</xdr:rowOff>
    </xdr:to>
    <xdr:cxnSp macro="">
      <xdr:nvCxnSpPr>
        <xdr:cNvPr id="25" name="Straight Arrow Connector 24">
          <a:extLst>
            <a:ext uri="{FF2B5EF4-FFF2-40B4-BE49-F238E27FC236}">
              <a16:creationId xmlns:a16="http://schemas.microsoft.com/office/drawing/2014/main" id="{00000000-0008-0000-0500-000019000000}"/>
            </a:ext>
          </a:extLst>
        </xdr:cNvPr>
        <xdr:cNvCxnSpPr/>
      </xdr:nvCxnSpPr>
      <xdr:spPr>
        <a:xfrm>
          <a:off x="22600105" y="63436500"/>
          <a:ext cx="401410"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367393</xdr:colOff>
      <xdr:row>282</xdr:row>
      <xdr:rowOff>0</xdr:rowOff>
    </xdr:from>
    <xdr:to>
      <xdr:col>14</xdr:col>
      <xdr:colOff>381000</xdr:colOff>
      <xdr:row>285</xdr:row>
      <xdr:rowOff>136070</xdr:rowOff>
    </xdr:to>
    <xdr:sp macro="" textlink="">
      <xdr:nvSpPr>
        <xdr:cNvPr id="26" name="TextBox 25">
          <a:extLst>
            <a:ext uri="{FF2B5EF4-FFF2-40B4-BE49-F238E27FC236}">
              <a16:creationId xmlns:a16="http://schemas.microsoft.com/office/drawing/2014/main" id="{00000000-0008-0000-0500-00001A000000}"/>
            </a:ext>
          </a:extLst>
        </xdr:cNvPr>
        <xdr:cNvSpPr txBox="1"/>
      </xdr:nvSpPr>
      <xdr:spPr>
        <a:xfrm>
          <a:off x="22246318" y="63177963"/>
          <a:ext cx="1108982" cy="204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0.5"</a:t>
          </a:r>
        </a:p>
      </xdr:txBody>
    </xdr:sp>
    <xdr:clientData/>
  </xdr:twoCellAnchor>
  <xdr:twoCellAnchor>
    <xdr:from>
      <xdr:col>14</xdr:col>
      <xdr:colOff>54427</xdr:colOff>
      <xdr:row>282</xdr:row>
      <xdr:rowOff>0</xdr:rowOff>
    </xdr:from>
    <xdr:to>
      <xdr:col>15</xdr:col>
      <xdr:colOff>95249</xdr:colOff>
      <xdr:row>285</xdr:row>
      <xdr:rowOff>163286</xdr:rowOff>
    </xdr:to>
    <xdr:sp macro="" textlink="">
      <xdr:nvSpPr>
        <xdr:cNvPr id="27" name="TextBox 26">
          <a:extLst>
            <a:ext uri="{FF2B5EF4-FFF2-40B4-BE49-F238E27FC236}">
              <a16:creationId xmlns:a16="http://schemas.microsoft.com/office/drawing/2014/main" id="{00000000-0008-0000-0500-00001B000000}"/>
            </a:ext>
          </a:extLst>
        </xdr:cNvPr>
        <xdr:cNvSpPr txBox="1"/>
      </xdr:nvSpPr>
      <xdr:spPr>
        <a:xfrm>
          <a:off x="23028727" y="63177963"/>
          <a:ext cx="1136197" cy="2313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Pipe</a:t>
          </a:r>
          <a:r>
            <a:rPr lang="en-US" sz="1100" baseline="0"/>
            <a:t> wrap width</a:t>
          </a:r>
          <a:endParaRPr lang="en-US" sz="1100"/>
        </a:p>
      </xdr:txBody>
    </xdr:sp>
    <xdr:clientData/>
  </xdr:twoCellAnchor>
  <xdr:oneCellAnchor>
    <xdr:from>
      <xdr:col>6</xdr:col>
      <xdr:colOff>2269331</xdr:colOff>
      <xdr:row>333</xdr:row>
      <xdr:rowOff>0</xdr:rowOff>
    </xdr:from>
    <xdr:ext cx="65" cy="172227"/>
    <xdr:sp macro="" textlink="">
      <xdr:nvSpPr>
        <xdr:cNvPr id="28" name="TextBox 27">
          <a:extLst>
            <a:ext uri="{FF2B5EF4-FFF2-40B4-BE49-F238E27FC236}">
              <a16:creationId xmlns:a16="http://schemas.microsoft.com/office/drawing/2014/main" id="{FF9F8A2B-255F-4C9D-BE75-109BA1992138}"/>
            </a:ext>
          </a:extLst>
        </xdr:cNvPr>
        <xdr:cNvSpPr txBox="1"/>
      </xdr:nvSpPr>
      <xdr:spPr>
        <a:xfrm>
          <a:off x="12642056" y="7019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333</xdr:row>
      <xdr:rowOff>0</xdr:rowOff>
    </xdr:from>
    <xdr:ext cx="65" cy="172227"/>
    <xdr:sp macro="" textlink="">
      <xdr:nvSpPr>
        <xdr:cNvPr id="29" name="TextBox 28">
          <a:extLst>
            <a:ext uri="{FF2B5EF4-FFF2-40B4-BE49-F238E27FC236}">
              <a16:creationId xmlns:a16="http://schemas.microsoft.com/office/drawing/2014/main" id="{5FE9FAD4-4320-4B32-8DD3-8ED546C089F9}"/>
            </a:ext>
          </a:extLst>
        </xdr:cNvPr>
        <xdr:cNvSpPr txBox="1"/>
      </xdr:nvSpPr>
      <xdr:spPr>
        <a:xfrm>
          <a:off x="12642056" y="7019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0</xdr:colOff>
      <xdr:row>338</xdr:row>
      <xdr:rowOff>179293</xdr:rowOff>
    </xdr:from>
    <xdr:to>
      <xdr:col>12</xdr:col>
      <xdr:colOff>0</xdr:colOff>
      <xdr:row>344</xdr:row>
      <xdr:rowOff>179293</xdr:rowOff>
    </xdr:to>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C6276D6E-9CBF-4856-9E23-2445539AEDB3}"/>
                </a:ext>
              </a:extLst>
            </xdr:cNvPr>
            <xdr:cNvSpPr txBox="1"/>
          </xdr:nvSpPr>
          <xdr:spPr>
            <a:xfrm>
              <a:off x="4392706" y="74743234"/>
              <a:ext cx="12573000" cy="107576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𝑘𝑊h</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𝐸𝑅𝑃</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𝐵𝑎𝑠𝑒𝑙𝑖𝑛𝑒𝐸𝑛𝑒𝑟𝑔𝑦𝐴𝑉</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600">
                <a:solidFill>
                  <a:sysClr val="windowText" lastClr="000000"/>
                </a:solidFill>
              </a:endParaRPr>
            </a:p>
          </xdr:txBody>
        </xdr:sp>
      </mc:Choice>
      <mc:Fallback xmlns="">
        <xdr:sp macro="" textlink="">
          <xdr:nvSpPr>
            <xdr:cNvPr id="30" name="TextBox 29">
              <a:extLst>
                <a:ext uri="{FF2B5EF4-FFF2-40B4-BE49-F238E27FC236}">
                  <a16:creationId xmlns:a16="http://schemas.microsoft.com/office/drawing/2014/main" id="{C6276D6E-9CBF-4856-9E23-2445539AEDB3}"/>
                </a:ext>
              </a:extLst>
            </xdr:cNvPr>
            <xdr:cNvSpPr txBox="1"/>
          </xdr:nvSpPr>
          <xdr:spPr>
            <a:xfrm>
              <a:off x="4392706" y="74743234"/>
              <a:ext cx="12573000" cy="107576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𝑘𝑊ℎ=𝐸𝑅𝑃∗𝐵𝑎𝑠𝑒𝑙𝑖𝑛𝑒𝐸𝑛𝑒𝑟𝑔𝑦𝐴𝑉∗𝐼𝑆𝑅</a:t>
              </a:r>
              <a:endParaRPr lang="en-US" sz="1600">
                <a:solidFill>
                  <a:sysClr val="windowText" lastClr="000000"/>
                </a:solidFill>
              </a:endParaRPr>
            </a:p>
          </xdr:txBody>
        </xdr:sp>
      </mc:Fallback>
    </mc:AlternateContent>
    <xdr:clientData/>
  </xdr:twoCellAnchor>
  <xdr:twoCellAnchor>
    <xdr:from>
      <xdr:col>3</xdr:col>
      <xdr:colOff>1413904</xdr:colOff>
      <xdr:row>62</xdr:row>
      <xdr:rowOff>144316</xdr:rowOff>
    </xdr:from>
    <xdr:to>
      <xdr:col>9</xdr:col>
      <xdr:colOff>136071</xdr:colOff>
      <xdr:row>64</xdr:row>
      <xdr:rowOff>101813</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4287643C-47FA-4B98-BC88-8A79208289B1}"/>
                </a:ext>
              </a:extLst>
            </xdr:cNvPr>
            <xdr:cNvSpPr txBox="1"/>
          </xdr:nvSpPr>
          <xdr:spPr>
            <a:xfrm>
              <a:off x="4230583" y="13438495"/>
              <a:ext cx="9512631" cy="33849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ysClr val="windowText" lastClr="000000"/>
                        </a:solidFill>
                        <a:effectLst/>
                        <a:latin typeface="Cambria Math" panose="02040503050406030204" pitchFamily="18" charset="0"/>
                        <a:ea typeface="+mn-ea"/>
                        <a:cs typeface="+mn-cs"/>
                      </a:rPr>
                      <m:t>∆</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b="0" i="1">
                            <a:solidFill>
                              <a:sysClr val="windowText" lastClr="000000"/>
                            </a:solidFill>
                            <a:effectLst/>
                            <a:latin typeface="Cambria Math" panose="02040503050406030204" pitchFamily="18" charset="0"/>
                            <a:ea typeface="+mn-ea"/>
                            <a:cs typeface="+mn-cs"/>
                          </a:rPr>
                          <m:t>𝑘𝑊h</m:t>
                        </m:r>
                      </m:e>
                      <m:sub>
                        <m:r>
                          <a:rPr lang="en-US" sz="1600" b="0" i="1">
                            <a:solidFill>
                              <a:sysClr val="windowText" lastClr="000000"/>
                            </a:solidFill>
                            <a:effectLst/>
                            <a:latin typeface="Cambria Math" panose="02040503050406030204" pitchFamily="18" charset="0"/>
                            <a:ea typeface="+mn-ea"/>
                            <a:cs typeface="+mn-cs"/>
                          </a:rPr>
                          <m:t>𝑁𝑅𝐸𝑆</m:t>
                        </m:r>
                      </m:sub>
                    </m:sSub>
                    <m:r>
                      <a:rPr lang="en-US" sz="1600" b="0" i="1">
                        <a:solidFill>
                          <a:sysClr val="windowText" lastClr="000000"/>
                        </a:solidFill>
                        <a:latin typeface="Cambria Math" panose="02040503050406030204" pitchFamily="18" charset="0"/>
                        <a:ea typeface="Cambria Math" panose="02040503050406030204" pitchFamily="18" charset="0"/>
                      </a:rPr>
                      <m:t>=</m:t>
                    </m:r>
                    <m:d>
                      <m:dPr>
                        <m:ctrlPr>
                          <a:rPr lang="en-US" sz="1600" b="0" i="1">
                            <a:solidFill>
                              <a:sysClr val="windowText" lastClr="000000"/>
                            </a:solidFill>
                            <a:latin typeface="Cambria Math" panose="02040503050406030204" pitchFamily="18" charset="0"/>
                            <a:ea typeface="Cambria Math" panose="02040503050406030204" pitchFamily="18" charset="0"/>
                          </a:rPr>
                        </m:ctrlPr>
                      </m:dPr>
                      <m:e>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𝑊𝑎𝑡𝑡</m:t>
                            </m:r>
                          </m:e>
                          <m:sub>
                            <m:r>
                              <a:rPr lang="en-US" sz="1600" b="0" i="1">
                                <a:solidFill>
                                  <a:sysClr val="windowText" lastClr="000000"/>
                                </a:solidFill>
                                <a:latin typeface="Cambria Math" panose="02040503050406030204" pitchFamily="18" charset="0"/>
                                <a:ea typeface="Cambria Math" panose="02040503050406030204" pitchFamily="18" charset="0"/>
                              </a:rPr>
                              <m:t>𝐵𝑎𝑠𝑒</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𝑊𝑎𝑡𝑡</m:t>
                            </m:r>
                          </m:e>
                          <m:sub>
                            <m:r>
                              <a:rPr lang="en-US" sz="1600" b="0" i="1">
                                <a:solidFill>
                                  <a:sysClr val="windowText" lastClr="000000"/>
                                </a:solidFill>
                                <a:latin typeface="Cambria Math" panose="02040503050406030204" pitchFamily="18" charset="0"/>
                                <a:ea typeface="Cambria Math" panose="02040503050406030204" pitchFamily="18" charset="0"/>
                              </a:rPr>
                              <m:t>𝐸𝐸</m:t>
                            </m:r>
                          </m:sub>
                        </m:sSub>
                      </m:e>
                    </m:d>
                    <m:r>
                      <a:rPr lang="en-US" sz="1600" b="0" i="1">
                        <a:solidFill>
                          <a:sysClr val="windowText" lastClr="000000"/>
                        </a:solidFill>
                        <a:latin typeface="Cambria Math" panose="02040503050406030204" pitchFamily="18" charset="0"/>
                        <a:ea typeface="Cambria Math" panose="02040503050406030204" pitchFamily="18" charset="0"/>
                      </a:rPr>
                      <m:t>∗(1−%</m:t>
                    </m:r>
                    <m:r>
                      <a:rPr lang="en-US" sz="1600" b="0" i="1">
                        <a:solidFill>
                          <a:sysClr val="windowText" lastClr="000000"/>
                        </a:solidFill>
                        <a:latin typeface="Cambria Math" panose="02040503050406030204" pitchFamily="18" charset="0"/>
                        <a:ea typeface="Cambria Math" panose="02040503050406030204" pitchFamily="18" charset="0"/>
                      </a:rPr>
                      <m:t>𝑅𝐸𝑆</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𝐼𝑆𝑅</m:t>
                    </m:r>
                    <m:r>
                      <a:rPr lang="en-US" sz="1600" b="0" i="1">
                        <a:solidFill>
                          <a:sysClr val="windowText" lastClr="000000"/>
                        </a:solidFill>
                        <a:latin typeface="Cambria Math" panose="02040503050406030204" pitchFamily="18" charset="0"/>
                        <a:ea typeface="Cambria Math" panose="02040503050406030204" pitchFamily="18" charset="0"/>
                      </a:rPr>
                      <m:t>∗</m:t>
                    </m:r>
                    <m:d>
                      <m:dPr>
                        <m:ctrlPr>
                          <a:rPr lang="en-US" sz="1600" b="0" i="1">
                            <a:solidFill>
                              <a:sysClr val="windowText" lastClr="000000"/>
                            </a:solidFill>
                            <a:latin typeface="Cambria Math" panose="02040503050406030204" pitchFamily="18" charset="0"/>
                            <a:ea typeface="Cambria Math" panose="02040503050406030204" pitchFamily="18" charset="0"/>
                          </a:rPr>
                        </m:ctrlPr>
                      </m:dPr>
                      <m:e>
                        <m:r>
                          <a:rPr lang="en-US" sz="1600" b="0" i="1">
                            <a:solidFill>
                              <a:sysClr val="windowText" lastClr="000000"/>
                            </a:solidFill>
                            <a:latin typeface="Cambria Math" panose="02040503050406030204" pitchFamily="18" charset="0"/>
                            <a:ea typeface="Cambria Math" panose="02040503050406030204" pitchFamily="18" charset="0"/>
                          </a:rPr>
                          <m:t>1−</m:t>
                        </m:r>
                        <m:r>
                          <a:rPr lang="en-US" sz="1600" b="0" i="1">
                            <a:solidFill>
                              <a:sysClr val="windowText" lastClr="000000"/>
                            </a:solidFill>
                            <a:latin typeface="Cambria Math" panose="02040503050406030204" pitchFamily="18" charset="0"/>
                            <a:ea typeface="Cambria Math" panose="02040503050406030204" pitchFamily="18" charset="0"/>
                          </a:rPr>
                          <m:t>𝐿𝐾𝐺</m:t>
                        </m:r>
                      </m:e>
                    </m:d>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𝐻𝑜𝑢𝑟𝑠</m:t>
                        </m:r>
                      </m:e>
                      <m:sub>
                        <m:r>
                          <a:rPr lang="en-US" sz="1600" b="0" i="1">
                            <a:solidFill>
                              <a:sysClr val="windowText" lastClr="000000"/>
                            </a:solidFill>
                            <a:latin typeface="Cambria Math" panose="02040503050406030204" pitchFamily="18" charset="0"/>
                            <a:ea typeface="Cambria Math" panose="02040503050406030204" pitchFamily="18" charset="0"/>
                          </a:rPr>
                          <m:t>𝑁𝑅𝐸𝑆</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𝑊𝐻𝐹</m:t>
                        </m:r>
                      </m:e>
                      <m:sub>
                        <m:r>
                          <a:rPr lang="en-US" sz="1600" b="0" i="1">
                            <a:solidFill>
                              <a:sysClr val="windowText" lastClr="000000"/>
                            </a:solidFill>
                            <a:latin typeface="Cambria Math" panose="02040503050406030204" pitchFamily="18" charset="0"/>
                            <a:ea typeface="Cambria Math" panose="02040503050406030204" pitchFamily="18" charset="0"/>
                          </a:rPr>
                          <m:t>𝑁𝑅𝐸𝑆</m:t>
                        </m:r>
                      </m:sub>
                    </m:sSub>
                    <m:r>
                      <a:rPr lang="en-US" sz="1600" b="0" i="1">
                        <a:solidFill>
                          <a:sysClr val="windowText" lastClr="000000"/>
                        </a:solidFill>
                        <a:latin typeface="Cambria Math" panose="02040503050406030204" pitchFamily="18" charset="0"/>
                        <a:ea typeface="Cambria Math" panose="02040503050406030204" pitchFamily="18" charset="0"/>
                      </a:rPr>
                      <m:t>)/1000 </m:t>
                    </m:r>
                  </m:oMath>
                </m:oMathPara>
              </a14:m>
              <a:endParaRPr lang="en-US" sz="1600">
                <a:solidFill>
                  <a:sysClr val="windowText" lastClr="000000"/>
                </a:solidFill>
              </a:endParaRPr>
            </a:p>
          </xdr:txBody>
        </xdr:sp>
      </mc:Choice>
      <mc:Fallback xmlns="">
        <xdr:sp macro="" textlink="">
          <xdr:nvSpPr>
            <xdr:cNvPr id="38" name="TextBox 37">
              <a:extLst>
                <a:ext uri="{FF2B5EF4-FFF2-40B4-BE49-F238E27FC236}">
                  <a16:creationId xmlns:a16="http://schemas.microsoft.com/office/drawing/2014/main" id="{4287643C-47FA-4B98-BC88-8A79208289B1}"/>
                </a:ext>
              </a:extLst>
            </xdr:cNvPr>
            <xdr:cNvSpPr txBox="1"/>
          </xdr:nvSpPr>
          <xdr:spPr>
            <a:xfrm>
              <a:off x="4230583" y="13438495"/>
              <a:ext cx="9512631" cy="33849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ysClr val="windowText" lastClr="000000"/>
                  </a:solidFill>
                  <a:effectLst/>
                  <a:latin typeface="Cambria Math" panose="02040503050406030204" pitchFamily="18" charset="0"/>
                  <a:ea typeface="+mn-ea"/>
                  <a:cs typeface="+mn-cs"/>
                </a:rPr>
                <a:t>∆〖𝑘𝑊ℎ〗_𝑁𝑅𝐸𝑆</a:t>
              </a:r>
              <a:r>
                <a:rPr lang="en-US" sz="1600" b="0" i="0">
                  <a:solidFill>
                    <a:sysClr val="windowText" lastClr="000000"/>
                  </a:solidFill>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solidFill>
                  <a:sysClr val="windowText" lastClr="000000"/>
                </a:solidFill>
              </a:endParaRPr>
            </a:p>
          </xdr:txBody>
        </xdr:sp>
      </mc:Fallback>
    </mc:AlternateContent>
    <xdr:clientData/>
  </xdr:twoCellAnchor>
  <xdr:twoCellAnchor>
    <xdr:from>
      <xdr:col>4</xdr:col>
      <xdr:colOff>140277</xdr:colOff>
      <xdr:row>65</xdr:row>
      <xdr:rowOff>89247</xdr:rowOff>
    </xdr:from>
    <xdr:to>
      <xdr:col>4</xdr:col>
      <xdr:colOff>1885948</xdr:colOff>
      <xdr:row>66</xdr:row>
      <xdr:rowOff>148880</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D565D86A-40D6-45DF-A2FF-8AED7E65EA3F}"/>
                </a:ext>
              </a:extLst>
            </xdr:cNvPr>
            <xdr:cNvSpPr txBox="1"/>
          </xdr:nvSpPr>
          <xdr:spPr>
            <a:xfrm>
              <a:off x="4440134" y="13954926"/>
              <a:ext cx="1745671" cy="25013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𝑘𝑊</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𝑘𝑊h</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600">
                <a:solidFill>
                  <a:sysClr val="windowText" lastClr="000000"/>
                </a:solidFill>
              </a:endParaRPr>
            </a:p>
          </xdr:txBody>
        </xdr:sp>
      </mc:Choice>
      <mc:Fallback xmlns="">
        <xdr:sp macro="" textlink="">
          <xdr:nvSpPr>
            <xdr:cNvPr id="39" name="TextBox 38">
              <a:extLst>
                <a:ext uri="{FF2B5EF4-FFF2-40B4-BE49-F238E27FC236}">
                  <a16:creationId xmlns:a16="http://schemas.microsoft.com/office/drawing/2014/main" id="{D565D86A-40D6-45DF-A2FF-8AED7E65EA3F}"/>
                </a:ext>
              </a:extLst>
            </xdr:cNvPr>
            <xdr:cNvSpPr txBox="1"/>
          </xdr:nvSpPr>
          <xdr:spPr>
            <a:xfrm>
              <a:off x="4440134" y="13954926"/>
              <a:ext cx="1745671" cy="25013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𝑘𝑊=∆𝑘𝑊ℎ∗𝐶𝐹</a:t>
              </a:r>
              <a:endParaRPr lang="en-US" sz="1600">
                <a:solidFill>
                  <a:sysClr val="windowText" lastClr="000000"/>
                </a:solidFill>
              </a:endParaRPr>
            </a:p>
          </xdr:txBody>
        </xdr:sp>
      </mc:Fallback>
    </mc:AlternateContent>
    <xdr:clientData/>
  </xdr:twoCellAnchor>
  <xdr:twoCellAnchor>
    <xdr:from>
      <xdr:col>3</xdr:col>
      <xdr:colOff>980951</xdr:colOff>
      <xdr:row>60</xdr:row>
      <xdr:rowOff>68035</xdr:rowOff>
    </xdr:from>
    <xdr:to>
      <xdr:col>8</xdr:col>
      <xdr:colOff>789213</xdr:colOff>
      <xdr:row>61</xdr:row>
      <xdr:rowOff>140554</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596B90AB-3DE0-4ECC-9BCF-18706358A6C5}"/>
                </a:ext>
              </a:extLst>
            </xdr:cNvPr>
            <xdr:cNvSpPr txBox="1"/>
          </xdr:nvSpPr>
          <xdr:spPr>
            <a:xfrm>
              <a:off x="3797630" y="12981214"/>
              <a:ext cx="9537369" cy="26301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ysClr val="windowText" lastClr="000000"/>
                        </a:solidFill>
                        <a:effectLst/>
                        <a:latin typeface="Cambria Math" panose="02040503050406030204" pitchFamily="18" charset="0"/>
                        <a:ea typeface="+mn-ea"/>
                        <a:cs typeface="+mn-cs"/>
                      </a:rPr>
                      <m:t>∆</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b="0" i="1">
                            <a:solidFill>
                              <a:sysClr val="windowText" lastClr="000000"/>
                            </a:solidFill>
                            <a:effectLst/>
                            <a:latin typeface="Cambria Math" panose="02040503050406030204" pitchFamily="18" charset="0"/>
                            <a:ea typeface="+mn-ea"/>
                            <a:cs typeface="+mn-cs"/>
                          </a:rPr>
                          <m:t>𝑘𝑊h</m:t>
                        </m:r>
                      </m:e>
                      <m:sub>
                        <m:r>
                          <a:rPr lang="en-US" sz="1600" b="0" i="1">
                            <a:solidFill>
                              <a:sysClr val="windowText" lastClr="000000"/>
                            </a:solidFill>
                            <a:effectLst/>
                            <a:latin typeface="Cambria Math" panose="02040503050406030204" pitchFamily="18" charset="0"/>
                            <a:ea typeface="+mn-ea"/>
                            <a:cs typeface="+mn-cs"/>
                          </a:rPr>
                          <m:t>𝑅𝐸𝑆</m:t>
                        </m:r>
                      </m:sub>
                    </m:sSub>
                    <m:r>
                      <a:rPr lang="en-US" sz="1600" b="0" i="1">
                        <a:solidFill>
                          <a:sysClr val="windowText" lastClr="000000"/>
                        </a:solidFill>
                        <a:latin typeface="Cambria Math" panose="02040503050406030204" pitchFamily="18" charset="0"/>
                        <a:ea typeface="Cambria Math" panose="02040503050406030204" pitchFamily="18" charset="0"/>
                      </a:rPr>
                      <m:t>=</m:t>
                    </m:r>
                    <m:d>
                      <m:dPr>
                        <m:ctrlPr>
                          <a:rPr lang="en-US" sz="1600" b="0" i="1">
                            <a:solidFill>
                              <a:sysClr val="windowText" lastClr="000000"/>
                            </a:solidFill>
                            <a:latin typeface="Cambria Math" panose="02040503050406030204" pitchFamily="18" charset="0"/>
                            <a:ea typeface="Cambria Math" panose="02040503050406030204" pitchFamily="18" charset="0"/>
                          </a:rPr>
                        </m:ctrlPr>
                      </m:dPr>
                      <m:e>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𝑊𝑎𝑡𝑡</m:t>
                            </m:r>
                          </m:e>
                          <m:sub>
                            <m:r>
                              <a:rPr lang="en-US" sz="1600" b="0" i="1">
                                <a:solidFill>
                                  <a:sysClr val="windowText" lastClr="000000"/>
                                </a:solidFill>
                                <a:latin typeface="Cambria Math" panose="02040503050406030204" pitchFamily="18" charset="0"/>
                                <a:ea typeface="Cambria Math" panose="02040503050406030204" pitchFamily="18" charset="0"/>
                              </a:rPr>
                              <m:t>𝐵𝑎𝑠𝑒</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𝑊𝑎𝑡𝑡</m:t>
                            </m:r>
                          </m:e>
                          <m:sub>
                            <m:r>
                              <a:rPr lang="en-US" sz="1600" b="0" i="1">
                                <a:solidFill>
                                  <a:sysClr val="windowText" lastClr="000000"/>
                                </a:solidFill>
                                <a:latin typeface="Cambria Math" panose="02040503050406030204" pitchFamily="18" charset="0"/>
                                <a:ea typeface="Cambria Math" panose="02040503050406030204" pitchFamily="18" charset="0"/>
                              </a:rPr>
                              <m:t>𝐸𝐸</m:t>
                            </m:r>
                          </m:sub>
                        </m:sSub>
                      </m:e>
                    </m:d>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𝑅𝐸𝑆</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𝐼𝑆𝑅</m:t>
                    </m:r>
                    <m:r>
                      <a:rPr lang="en-US" sz="1600" b="0" i="1">
                        <a:solidFill>
                          <a:sysClr val="windowText" lastClr="000000"/>
                        </a:solidFill>
                        <a:latin typeface="Cambria Math" panose="02040503050406030204" pitchFamily="18" charset="0"/>
                        <a:ea typeface="Cambria Math" panose="02040503050406030204" pitchFamily="18" charset="0"/>
                      </a:rPr>
                      <m:t>∗</m:t>
                    </m:r>
                    <m:d>
                      <m:dPr>
                        <m:ctrlPr>
                          <a:rPr lang="en-US" sz="1600" b="0" i="1">
                            <a:solidFill>
                              <a:sysClr val="windowText" lastClr="000000"/>
                            </a:solidFill>
                            <a:latin typeface="Cambria Math" panose="02040503050406030204" pitchFamily="18" charset="0"/>
                            <a:ea typeface="Cambria Math" panose="02040503050406030204" pitchFamily="18" charset="0"/>
                          </a:rPr>
                        </m:ctrlPr>
                      </m:dPr>
                      <m:e>
                        <m:r>
                          <a:rPr lang="en-US" sz="1600" b="0" i="1">
                            <a:solidFill>
                              <a:sysClr val="windowText" lastClr="000000"/>
                            </a:solidFill>
                            <a:latin typeface="Cambria Math" panose="02040503050406030204" pitchFamily="18" charset="0"/>
                            <a:ea typeface="Cambria Math" panose="02040503050406030204" pitchFamily="18" charset="0"/>
                          </a:rPr>
                          <m:t>1−</m:t>
                        </m:r>
                        <m:r>
                          <a:rPr lang="en-US" sz="1600" b="0" i="1">
                            <a:solidFill>
                              <a:sysClr val="windowText" lastClr="000000"/>
                            </a:solidFill>
                            <a:latin typeface="Cambria Math" panose="02040503050406030204" pitchFamily="18" charset="0"/>
                            <a:ea typeface="Cambria Math" panose="02040503050406030204" pitchFamily="18" charset="0"/>
                          </a:rPr>
                          <m:t>𝐿𝐾𝐺</m:t>
                        </m:r>
                      </m:e>
                    </m:d>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𝐻𝑜𝑢𝑟𝑠</m:t>
                        </m:r>
                      </m:e>
                      <m:sub>
                        <m:r>
                          <a:rPr lang="en-US" sz="1600" b="0" i="1">
                            <a:solidFill>
                              <a:sysClr val="windowText" lastClr="000000"/>
                            </a:solidFill>
                            <a:latin typeface="Cambria Math" panose="02040503050406030204" pitchFamily="18" charset="0"/>
                            <a:ea typeface="Cambria Math" panose="02040503050406030204" pitchFamily="18" charset="0"/>
                          </a:rPr>
                          <m:t>𝑅𝐸𝑆</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𝑊𝐻𝐹</m:t>
                        </m:r>
                      </m:e>
                      <m:sub>
                        <m:r>
                          <a:rPr lang="en-US" sz="1600" b="0" i="1">
                            <a:solidFill>
                              <a:sysClr val="windowText" lastClr="000000"/>
                            </a:solidFill>
                            <a:latin typeface="Cambria Math" panose="02040503050406030204" pitchFamily="18" charset="0"/>
                            <a:ea typeface="Cambria Math" panose="02040503050406030204" pitchFamily="18" charset="0"/>
                          </a:rPr>
                          <m:t>𝑅𝐸𝑆</m:t>
                        </m:r>
                      </m:sub>
                    </m:sSub>
                    <m:r>
                      <a:rPr lang="en-US" sz="1600" b="0" i="1">
                        <a:solidFill>
                          <a:sysClr val="windowText" lastClr="000000"/>
                        </a:solidFill>
                        <a:latin typeface="Cambria Math" panose="02040503050406030204" pitchFamily="18" charset="0"/>
                        <a:ea typeface="Cambria Math" panose="02040503050406030204" pitchFamily="18" charset="0"/>
                      </a:rPr>
                      <m:t>)/1000 </m:t>
                    </m:r>
                  </m:oMath>
                </m:oMathPara>
              </a14:m>
              <a:endParaRPr lang="en-US" sz="1600">
                <a:solidFill>
                  <a:sysClr val="windowText" lastClr="000000"/>
                </a:solidFill>
              </a:endParaRPr>
            </a:p>
          </xdr:txBody>
        </xdr:sp>
      </mc:Choice>
      <mc:Fallback xmlns="">
        <xdr:sp macro="" textlink="">
          <xdr:nvSpPr>
            <xdr:cNvPr id="41" name="TextBox 40">
              <a:extLst>
                <a:ext uri="{FF2B5EF4-FFF2-40B4-BE49-F238E27FC236}">
                  <a16:creationId xmlns:a16="http://schemas.microsoft.com/office/drawing/2014/main" id="{596B90AB-3DE0-4ECC-9BCF-18706358A6C5}"/>
                </a:ext>
              </a:extLst>
            </xdr:cNvPr>
            <xdr:cNvSpPr txBox="1"/>
          </xdr:nvSpPr>
          <xdr:spPr>
            <a:xfrm>
              <a:off x="3797630" y="12981214"/>
              <a:ext cx="9537369" cy="26301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ysClr val="windowText" lastClr="000000"/>
                  </a:solidFill>
                  <a:effectLst/>
                  <a:latin typeface="Cambria Math" panose="02040503050406030204" pitchFamily="18" charset="0"/>
                  <a:ea typeface="+mn-ea"/>
                  <a:cs typeface="+mn-cs"/>
                </a:rPr>
                <a:t>∆〖𝑘𝑊ℎ〗_𝑅𝐸𝑆</a:t>
              </a:r>
              <a:r>
                <a:rPr lang="en-US" sz="1600" b="0" i="0">
                  <a:solidFill>
                    <a:sysClr val="windowText" lastClr="000000"/>
                  </a:solidFill>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solidFill>
                  <a:sysClr val="windowText" lastClr="000000"/>
                </a:solidFill>
              </a:endParaRP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oneCellAnchor>
    <xdr:from>
      <xdr:col>7</xdr:col>
      <xdr:colOff>0</xdr:colOff>
      <xdr:row>4451</xdr:row>
      <xdr:rowOff>0</xdr:rowOff>
    </xdr:from>
    <xdr:ext cx="65" cy="172227"/>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4451</xdr:row>
      <xdr:rowOff>0</xdr:rowOff>
    </xdr:from>
    <xdr:ext cx="65" cy="172227"/>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4451</xdr:row>
      <xdr:rowOff>0</xdr:rowOff>
    </xdr:from>
    <xdr:ext cx="65" cy="172227"/>
    <xdr:sp macro="" textlink="">
      <xdr:nvSpPr>
        <xdr:cNvPr id="4" name="TextBox 3">
          <a:extLst>
            <a:ext uri="{FF2B5EF4-FFF2-40B4-BE49-F238E27FC236}">
              <a16:creationId xmlns:a16="http://schemas.microsoft.com/office/drawing/2014/main" id="{00000000-0008-0000-0600-000004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4451</xdr:row>
      <xdr:rowOff>0</xdr:rowOff>
    </xdr:from>
    <xdr:ext cx="65" cy="172227"/>
    <xdr:sp macro="" textlink="">
      <xdr:nvSpPr>
        <xdr:cNvPr id="5" name="TextBox 4">
          <a:extLst>
            <a:ext uri="{FF2B5EF4-FFF2-40B4-BE49-F238E27FC236}">
              <a16:creationId xmlns:a16="http://schemas.microsoft.com/office/drawing/2014/main" id="{00000000-0008-0000-0600-000005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4451</xdr:row>
      <xdr:rowOff>0</xdr:rowOff>
    </xdr:from>
    <xdr:ext cx="65" cy="172227"/>
    <xdr:sp macro="" textlink="">
      <xdr:nvSpPr>
        <xdr:cNvPr id="6" name="TextBox 5">
          <a:extLst>
            <a:ext uri="{FF2B5EF4-FFF2-40B4-BE49-F238E27FC236}">
              <a16:creationId xmlns:a16="http://schemas.microsoft.com/office/drawing/2014/main" id="{00000000-0008-0000-0600-000006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4451</xdr:row>
      <xdr:rowOff>0</xdr:rowOff>
    </xdr:from>
    <xdr:ext cx="65" cy="172227"/>
    <xdr:sp macro="" textlink="">
      <xdr:nvSpPr>
        <xdr:cNvPr id="7" name="TextBox 6">
          <a:extLst>
            <a:ext uri="{FF2B5EF4-FFF2-40B4-BE49-F238E27FC236}">
              <a16:creationId xmlns:a16="http://schemas.microsoft.com/office/drawing/2014/main" id="{00000000-0008-0000-0600-000007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656952</xdr:colOff>
      <xdr:row>34</xdr:row>
      <xdr:rowOff>132263</xdr:rowOff>
    </xdr:from>
    <xdr:to>
      <xdr:col>11</xdr:col>
      <xdr:colOff>628650</xdr:colOff>
      <xdr:row>37</xdr:row>
      <xdr:rowOff>98490</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600-000008000000}"/>
                </a:ext>
              </a:extLst>
            </xdr:cNvPr>
            <xdr:cNvSpPr txBox="1"/>
          </xdr:nvSpPr>
          <xdr:spPr>
            <a:xfrm>
              <a:off x="5467077" y="7961813"/>
              <a:ext cx="13335273" cy="70917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𝐶𝑜𝑛𝑡𝑖𝑛𝑢𝑜𝑢𝑠</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𝐶𝑖𝑟𝑐𝑢𝑙𝑎𝑡𝑖𝑜𝑛</m:t>
                        </m:r>
                      </m:sub>
                    </m:sSub>
                    <m:r>
                      <a:rPr lang="en-US" sz="1600" i="1">
                        <a:solidFill>
                          <a:sysClr val="windowText" lastClr="000000"/>
                        </a:solidFill>
                        <a:latin typeface="Cambria Math" panose="02040503050406030204" pitchFamily="18" charset="0"/>
                      </a:rPr>
                      <m:t> = </m:t>
                    </m:r>
                    <m:d>
                      <m:dPr>
                        <m:ctrlPr>
                          <a:rPr lang="en-US" sz="1600" i="1">
                            <a:solidFill>
                              <a:sysClr val="windowText" lastClr="000000"/>
                            </a:solidFill>
                            <a:latin typeface="Cambria Math" panose="02040503050406030204" pitchFamily="18" charset="0"/>
                          </a:rPr>
                        </m:ctrlPr>
                      </m:dPr>
                      <m:e>
                        <m:r>
                          <a:rPr lang="en-US" sz="1600" i="1">
                            <a:solidFill>
                              <a:sysClr val="windowText" lastClr="000000"/>
                            </a:solidFill>
                            <a:latin typeface="Cambria Math" panose="02040503050406030204" pitchFamily="18" charset="0"/>
                          </a:rPr>
                          <m:t> </m:t>
                        </m:r>
                        <m:d>
                          <m:dPr>
                            <m:ctrlPr>
                              <a:rPr lang="en-US" sz="1600" i="1">
                                <a:solidFill>
                                  <a:sysClr val="windowText" lastClr="000000"/>
                                </a:solidFill>
                                <a:latin typeface="Cambria Math" panose="02040503050406030204" pitchFamily="18" charset="0"/>
                              </a:rPr>
                            </m:ctrlPr>
                          </m:dPr>
                          <m:e>
                            <m:r>
                              <a:rPr lang="en-US" sz="1600" i="1">
                                <a:solidFill>
                                  <a:sysClr val="windowText" lastClr="000000"/>
                                </a:solidFill>
                                <a:latin typeface="Cambria Math" panose="02040503050406030204" pitchFamily="18" charset="0"/>
                              </a:rPr>
                              <m:t> 25</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r>
                              <a:rPr lang="en-US" sz="1600" i="1">
                                <a:solidFill>
                                  <a:sysClr val="windowText" lastClr="000000"/>
                                </a:solidFill>
                                <a:latin typeface="Cambria Math" panose="02040503050406030204" pitchFamily="18" charset="0"/>
                              </a:rPr>
                              <m:t> ∗ </m:t>
                            </m:r>
                            <m:f>
                              <m:fPr>
                                <m:ctrlPr>
                                  <a:rPr lang="en-US" sz="1600" b="0" i="1">
                                    <a:solidFill>
                                      <a:sysClr val="windowText" lastClr="000000"/>
                                    </a:solidFill>
                                    <a:latin typeface="Cambria Math" panose="02040503050406030204" pitchFamily="18" charset="0"/>
                                  </a:rPr>
                                </m:ctrlPr>
                              </m:fPr>
                              <m:num>
                                <m:r>
                                  <a:rPr lang="en-US" sz="1600" b="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𝑐𝑜𝑜𝑙𝑖𝑛𝑔</m:t>
                                    </m:r>
                                  </m:sub>
                                </m:sSub>
                              </m:num>
                              <m:den>
                                <m:r>
                                  <a:rPr lang="en-US" sz="1600" i="1">
                                    <a:solidFill>
                                      <a:sysClr val="windowText" lastClr="000000"/>
                                    </a:solidFill>
                                    <a:latin typeface="Cambria Math" panose="02040503050406030204" pitchFamily="18" charset="0"/>
                                  </a:rPr>
                                  <m:t>𝑊𝐼</m:t>
                                </m:r>
                                <m:r>
                                  <a:rPr lang="en-US" sz="1600" b="0" i="1">
                                    <a:solidFill>
                                      <a:sysClr val="windowText" lastClr="000000"/>
                                    </a:solidFill>
                                    <a:latin typeface="Cambria Math" panose="02040503050406030204" pitchFamily="18" charset="0"/>
                                  </a:rPr>
                                  <m:t> </m:t>
                                </m:r>
                                <m:r>
                                  <a:rPr lang="en-US" sz="160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i="1">
                                        <a:solidFill>
                                          <a:sysClr val="windowText" lastClr="000000"/>
                                        </a:solidFill>
                                        <a:latin typeface="Cambria Math" panose="02040503050406030204" pitchFamily="18" charset="0"/>
                                      </a:rPr>
                                      <m:t>𝑐𝑜𝑜𝑙𝑖𝑛𝑔</m:t>
                                    </m:r>
                                  </m:sub>
                                </m:sSub>
                              </m:den>
                            </m:f>
                          </m:e>
                        </m:d>
                        <m:r>
                          <a:rPr lang="en-US" sz="1600" i="1">
                            <a:solidFill>
                              <a:sysClr val="windowText" lastClr="000000"/>
                            </a:solidFill>
                            <a:latin typeface="Cambria Math" panose="02040503050406030204" pitchFamily="18" charset="0"/>
                          </a:rPr>
                          <m:t>+ 2960</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r>
                          <a:rPr lang="en-US" sz="1600" b="0" i="1">
                            <a:solidFill>
                              <a:sysClr val="windowText" lastClr="000000"/>
                            </a:solidFill>
                            <a:latin typeface="Cambria Math" panose="02040503050406030204" pitchFamily="18" charset="0"/>
                          </a:rPr>
                          <m:t>∗</m:t>
                        </m:r>
                        <m:r>
                          <a:rPr lang="en-US" sz="1600" b="0" i="1">
                            <a:solidFill>
                              <a:sysClr val="windowText" lastClr="000000"/>
                            </a:solidFill>
                            <a:latin typeface="Cambria Math" panose="02040503050406030204" pitchFamily="18" charset="0"/>
                          </a:rPr>
                          <m:t>𝑅𝑇</m:t>
                        </m:r>
                        <m:r>
                          <a:rPr lang="en-US" sz="1600" i="1">
                            <a:solidFill>
                              <a:sysClr val="windowText" lastClr="000000"/>
                            </a:solidFill>
                            <a:latin typeface="Cambria Math" panose="02040503050406030204" pitchFamily="18" charset="0"/>
                          </a:rPr>
                          <m:t>−30</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e>
                    </m:d>
                    <m:r>
                      <a:rPr lang="en-US" sz="1600" i="1">
                        <a:solidFill>
                          <a:sysClr val="windowText" lastClr="000000"/>
                        </a:solidFill>
                        <a:latin typeface="Cambria Math" panose="02040503050406030204" pitchFamily="18" charset="0"/>
                      </a:rPr>
                      <m:t> ∗ </m:t>
                    </m:r>
                    <m:r>
                      <a:rPr lang="en-US" sz="1600" i="1">
                        <a:solidFill>
                          <a:sysClr val="windowText" lastClr="000000"/>
                        </a:solidFill>
                        <a:latin typeface="Cambria Math" panose="02040503050406030204" pitchFamily="18" charset="0"/>
                      </a:rPr>
                      <m:t>𝐻𝐹</m:t>
                    </m:r>
                    <m:r>
                      <a:rPr lang="en-US" sz="1600" b="0" i="1">
                        <a:solidFill>
                          <a:sysClr val="windowText" lastClr="000000"/>
                        </a:solidFill>
                        <a:effectLst/>
                        <a:latin typeface="Cambria Math" panose="02040503050406030204" pitchFamily="18" charset="0"/>
                        <a:ea typeface="+mn-ea"/>
                        <a:cs typeface="+mn-cs"/>
                      </a:rPr>
                      <m:t>∗</m:t>
                    </m:r>
                    <m:r>
                      <a:rPr lang="en-US" sz="1600" b="0" i="1">
                        <a:solidFill>
                          <a:sysClr val="windowText" lastClr="000000"/>
                        </a:solidFill>
                        <a:effectLst/>
                        <a:latin typeface="Cambria Math" panose="02040503050406030204" pitchFamily="18" charset="0"/>
                        <a:ea typeface="+mn-ea"/>
                        <a:cs typeface="+mn-cs"/>
                      </a:rPr>
                      <m:t>𝐼𝑆𝑅</m:t>
                    </m:r>
                  </m:oMath>
                </m:oMathPara>
              </a14:m>
              <a:endParaRPr lang="en-US" sz="1600">
                <a:solidFill>
                  <a:sysClr val="windowText" lastClr="000000"/>
                </a:solidFill>
              </a:endParaRPr>
            </a:p>
          </xdr:txBody>
        </xdr:sp>
      </mc:Choice>
      <mc:Fallback xmlns="">
        <xdr:sp macro="" textlink="">
          <xdr:nvSpPr>
            <xdr:cNvPr id="8" name="TextBox 7">
              <a:extLst>
                <a:ext uri="{FF2B5EF4-FFF2-40B4-BE49-F238E27FC236}">
                  <a16:creationId xmlns:a16="http://schemas.microsoft.com/office/drawing/2014/main" id="{00000000-0008-0000-0600-000008000000}"/>
                </a:ext>
              </a:extLst>
            </xdr:cNvPr>
            <xdr:cNvSpPr txBox="1"/>
          </xdr:nvSpPr>
          <xdr:spPr>
            <a:xfrm>
              <a:off x="5467077" y="7961813"/>
              <a:ext cx="13335273" cy="70917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𝑘𝑊ℎ</a:t>
              </a:r>
              <a:r>
                <a:rPr lang="en-US" sz="1600" b="0" i="0">
                  <a:solidFill>
                    <a:sysClr val="windowText" lastClr="000000"/>
                  </a:solidFill>
                  <a:latin typeface="Cambria Math" panose="02040503050406030204" pitchFamily="18" charset="0"/>
                </a:rPr>
                <a:t>_(𝐶𝑜𝑛𝑡𝑖𝑛𝑢𝑜𝑢𝑠 𝐶𝑖𝑟𝑐𝑢𝑙𝑎𝑡𝑖𝑜𝑛) </a:t>
              </a:r>
              <a:r>
                <a:rPr lang="en-US" sz="1600" i="0">
                  <a:solidFill>
                    <a:sysClr val="windowText" lastClr="000000"/>
                  </a:solidFill>
                  <a:latin typeface="Cambria Math" panose="02040503050406030204" pitchFamily="18" charset="0"/>
                </a:rPr>
                <a:t> = ( ( 25 𝑘𝑊ℎ/𝑦𝑟  ∗ </a:t>
              </a:r>
              <a:r>
                <a:rPr lang="en-US" sz="1600" b="0" i="0">
                  <a:solidFill>
                    <a:sysClr val="windowText" lastClr="000000"/>
                  </a:solidFill>
                  <a:latin typeface="Cambria Math" panose="02040503050406030204" pitchFamily="18" charset="0"/>
                </a:rPr>
                <a:t>(𝐸𝐹𝐿𝐻_𝑐𝑜𝑜𝑙𝑖𝑛𝑔)/(</a:t>
              </a:r>
              <a:r>
                <a:rPr lang="en-US" sz="1600" i="0">
                  <a:solidFill>
                    <a:sysClr val="windowText" lastClr="000000"/>
                  </a:solidFill>
                  <a:latin typeface="Cambria Math" panose="02040503050406030204" pitchFamily="18" charset="0"/>
                </a:rPr>
                <a:t>𝑊𝐼</a:t>
              </a:r>
              <a:r>
                <a:rPr lang="en-US" sz="1600" b="0" i="0">
                  <a:solidFill>
                    <a:sysClr val="windowText" lastClr="000000"/>
                  </a:solidFill>
                  <a:latin typeface="Cambria Math" panose="02040503050406030204" pitchFamily="18" charset="0"/>
                </a:rPr>
                <a:t> </a:t>
              </a:r>
              <a:r>
                <a:rPr lang="en-US" sz="1600" i="0">
                  <a:solidFill>
                    <a:sysClr val="windowText" lastClr="000000"/>
                  </a:solidFill>
                  <a:latin typeface="Cambria Math" panose="02040503050406030204" pitchFamily="18" charset="0"/>
                </a:rPr>
                <a:t>𝐸𝐹𝐿𝐻</a:t>
              </a:r>
              <a:r>
                <a:rPr lang="en-US" sz="1600" b="0" i="0">
                  <a:solidFill>
                    <a:sysClr val="windowText" lastClr="000000"/>
                  </a:solidFill>
                  <a:latin typeface="Cambria Math" panose="02040503050406030204" pitchFamily="18" charset="0"/>
                </a:rPr>
                <a:t>_</a:t>
              </a:r>
              <a:r>
                <a:rPr lang="en-US" sz="1600" i="0">
                  <a:solidFill>
                    <a:sysClr val="windowText" lastClr="000000"/>
                  </a:solidFill>
                  <a:latin typeface="Cambria Math" panose="02040503050406030204" pitchFamily="18" charset="0"/>
                </a:rPr>
                <a:t>𝑐𝑜𝑜𝑙𝑖𝑛𝑔 </a:t>
              </a:r>
              <a:r>
                <a:rPr lang="en-US" sz="1600" b="0" i="0">
                  <a:solidFill>
                    <a:sysClr val="windowText" lastClr="000000"/>
                  </a:solidFill>
                  <a:latin typeface="Cambria Math" panose="02040503050406030204" pitchFamily="18" charset="0"/>
                </a:rPr>
                <a:t>))</a:t>
              </a:r>
              <a:r>
                <a:rPr lang="en-US" sz="1600" i="0">
                  <a:solidFill>
                    <a:sysClr val="windowText" lastClr="000000"/>
                  </a:solidFill>
                  <a:latin typeface="Cambria Math" panose="02040503050406030204" pitchFamily="18" charset="0"/>
                </a:rPr>
                <a:t>+ 2960 𝑘𝑊ℎ/𝑦𝑟</a:t>
              </a:r>
              <a:r>
                <a:rPr lang="en-US" sz="1600" b="0" i="0">
                  <a:solidFill>
                    <a:sysClr val="windowText" lastClr="000000"/>
                  </a:solidFill>
                  <a:latin typeface="Cambria Math" panose="02040503050406030204" pitchFamily="18" charset="0"/>
                </a:rPr>
                <a:t>∗𝑅𝑇</a:t>
              </a:r>
              <a:r>
                <a:rPr lang="en-US" sz="1600" i="0">
                  <a:solidFill>
                    <a:sysClr val="windowText" lastClr="000000"/>
                  </a:solidFill>
                  <a:latin typeface="Cambria Math" panose="02040503050406030204" pitchFamily="18" charset="0"/>
                </a:rPr>
                <a:t>−30 𝑘𝑊ℎ/𝑦𝑟)  ∗ 𝐻𝐹</a:t>
              </a:r>
              <a:r>
                <a:rPr lang="en-US" sz="1600" b="0" i="0">
                  <a:solidFill>
                    <a:sysClr val="windowText" lastClr="000000"/>
                  </a:solidFill>
                  <a:effectLst/>
                  <a:latin typeface="Cambria Math" panose="02040503050406030204" pitchFamily="18" charset="0"/>
                  <a:ea typeface="+mn-ea"/>
                  <a:cs typeface="+mn-cs"/>
                </a:rPr>
                <a:t>∗𝐼𝑆𝑅</a:t>
              </a:r>
              <a:endParaRPr lang="en-US" sz="1600">
                <a:solidFill>
                  <a:sysClr val="windowText" lastClr="000000"/>
                </a:solidFill>
              </a:endParaRPr>
            </a:p>
          </xdr:txBody>
        </xdr:sp>
      </mc:Fallback>
    </mc:AlternateContent>
    <xdr:clientData/>
  </xdr:twoCellAnchor>
  <xdr:twoCellAnchor>
    <xdr:from>
      <xdr:col>9</xdr:col>
      <xdr:colOff>460737</xdr:colOff>
      <xdr:row>21</xdr:row>
      <xdr:rowOff>117990</xdr:rowOff>
    </xdr:from>
    <xdr:to>
      <xdr:col>11</xdr:col>
      <xdr:colOff>484142</xdr:colOff>
      <xdr:row>23</xdr:row>
      <xdr:rowOff>25309</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00000000-0008-0000-0600-000009000000}"/>
                </a:ext>
              </a:extLst>
            </xdr:cNvPr>
            <xdr:cNvSpPr txBox="1"/>
          </xdr:nvSpPr>
          <xdr:spPr>
            <a:xfrm>
              <a:off x="16100787" y="4728090"/>
              <a:ext cx="2557055" cy="40261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b="0" i="1">
                            <a:latin typeface="Cambria Math" panose="02040503050406030204" pitchFamily="18" charset="0"/>
                          </a:rPr>
                          <m:t>𝑐𝑜𝑜𝑙𝑖𝑛𝑔</m:t>
                        </m:r>
                      </m:sub>
                    </m:sSub>
                    <m:r>
                      <a:rPr lang="en-US" sz="1600" b="0" i="1">
                        <a:latin typeface="Cambria Math" panose="02040503050406030204" pitchFamily="18" charset="0"/>
                      </a:rPr>
                      <m:t>∗</m:t>
                    </m:r>
                    <m:r>
                      <a:rPr lang="en-US" sz="1600" b="0" i="1">
                        <a:latin typeface="Cambria Math" panose="02040503050406030204" pitchFamily="18" charset="0"/>
                      </a:rPr>
                      <m:t>𝐶𝐹</m:t>
                    </m:r>
                  </m:oMath>
                </m:oMathPara>
              </a14:m>
              <a:endParaRPr lang="en-US" sz="1600"/>
            </a:p>
          </xdr:txBody>
        </xdr:sp>
      </mc:Choice>
      <mc:Fallback xmlns="">
        <xdr:sp macro="" textlink="">
          <xdr:nvSpPr>
            <xdr:cNvPr id="9" name="TextBox 8">
              <a:extLst>
                <a:ext uri="{FF2B5EF4-FFF2-40B4-BE49-F238E27FC236}">
                  <a16:creationId xmlns:a16="http://schemas.microsoft.com/office/drawing/2014/main" id="{00000000-0008-0000-0600-000009000000}"/>
                </a:ext>
              </a:extLst>
            </xdr:cNvPr>
            <xdr:cNvSpPr txBox="1"/>
          </xdr:nvSpPr>
          <xdr:spPr>
            <a:xfrm>
              <a:off x="16100787" y="4728090"/>
              <a:ext cx="2557055" cy="40261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_𝑐𝑜𝑜𝑙𝑖𝑛𝑔∗𝐶𝐹</a:t>
              </a:r>
              <a:endParaRPr lang="en-US" sz="1600"/>
            </a:p>
          </xdr:txBody>
        </xdr:sp>
      </mc:Fallback>
    </mc:AlternateContent>
    <xdr:clientData/>
  </xdr:twoCellAnchor>
  <xdr:twoCellAnchor>
    <xdr:from>
      <xdr:col>4</xdr:col>
      <xdr:colOff>658857</xdr:colOff>
      <xdr:row>23</xdr:row>
      <xdr:rowOff>60959</xdr:rowOff>
    </xdr:from>
    <xdr:to>
      <xdr:col>9</xdr:col>
      <xdr:colOff>1171575</xdr:colOff>
      <xdr:row>26</xdr:row>
      <xdr:rowOff>58238</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600-00000A000000}"/>
                </a:ext>
              </a:extLst>
            </xdr:cNvPr>
            <xdr:cNvSpPr txBox="1"/>
          </xdr:nvSpPr>
          <xdr:spPr>
            <a:xfrm>
              <a:off x="5468982" y="5166359"/>
              <a:ext cx="11342643" cy="7402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𝐻</m:t>
                        </m:r>
                        <m:r>
                          <a:rPr lang="en-US" sz="1600" i="1">
                            <a:solidFill>
                              <a:sysClr val="windowText" lastClr="000000"/>
                            </a:solidFill>
                            <a:latin typeface="Cambria Math" panose="02040503050406030204" pitchFamily="18" charset="0"/>
                          </a:rPr>
                          <m:t>𝑒𝑎𝑡𝑖𝑛𝑔</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𝑀𝑜𝑑𝑒</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r>
                          <a:rPr lang="en-US" sz="1600" i="1">
                            <a:solidFill>
                              <a:sysClr val="windowText" lastClr="000000"/>
                            </a:solidFill>
                            <a:latin typeface="Cambria Math" panose="02040503050406030204" pitchFamily="18" charset="0"/>
                          </a:rPr>
                          <m:t> 1 − % </m:t>
                        </m:r>
                        <m:r>
                          <a:rPr lang="en-US" sz="1600" i="1">
                            <a:solidFill>
                              <a:sysClr val="windowText" lastClr="000000"/>
                            </a:solidFill>
                            <a:latin typeface="Cambria Math" panose="02040503050406030204" pitchFamily="18" charset="0"/>
                          </a:rPr>
                          <m:t>𝑤𝑖𝑡h</m:t>
                        </m:r>
                        <m:r>
                          <a:rPr lang="en-US" sz="1600" i="1">
                            <a:solidFill>
                              <a:sysClr val="windowText" lastClr="000000"/>
                            </a:solidFill>
                            <a:latin typeface="Cambria Math" panose="02040503050406030204" pitchFamily="18" charset="0"/>
                          </a:rPr>
                          <m:t> </m:t>
                        </m:r>
                        <m:r>
                          <a:rPr lang="en-US" sz="1600" i="1">
                            <a:solidFill>
                              <a:sysClr val="windowText" lastClr="000000"/>
                            </a:solidFill>
                            <a:latin typeface="Cambria Math" panose="02040503050406030204" pitchFamily="18" charset="0"/>
                          </a:rPr>
                          <m:t>𝑁𝑒𝑤</m:t>
                        </m:r>
                        <m:r>
                          <a:rPr lang="en-US" sz="1600" i="1">
                            <a:solidFill>
                              <a:sysClr val="windowText" lastClr="000000"/>
                            </a:solidFill>
                            <a:latin typeface="Cambria Math" panose="02040503050406030204" pitchFamily="18" charset="0"/>
                          </a:rPr>
                          <m:t> </m:t>
                        </m:r>
                        <m:r>
                          <a:rPr lang="en-US" sz="1600" i="1">
                            <a:solidFill>
                              <a:sysClr val="windowText" lastClr="000000"/>
                            </a:solidFill>
                            <a:latin typeface="Cambria Math" panose="02040503050406030204" pitchFamily="18" charset="0"/>
                          </a:rPr>
                          <m:t>𝐴𝑆𝐻𝑃</m:t>
                        </m:r>
                        <m:r>
                          <a:rPr lang="en-US" sz="1600" i="1">
                            <a:solidFill>
                              <a:sysClr val="windowText" lastClr="000000"/>
                            </a:solidFill>
                            <a:latin typeface="Cambria Math" panose="02040503050406030204" pitchFamily="18" charset="0"/>
                          </a:rPr>
                          <m:t> </m:t>
                        </m:r>
                      </m:e>
                    </m:d>
                    <m:r>
                      <a:rPr lang="en-US" sz="1600" i="1">
                        <a:solidFill>
                          <a:sysClr val="windowText" lastClr="000000"/>
                        </a:solidFill>
                        <a:latin typeface="Cambria Math" panose="02040503050406030204" pitchFamily="18" charset="0"/>
                      </a:rPr>
                      <m:t>∗ </m:t>
                    </m:r>
                    <m:d>
                      <m:dPr>
                        <m:ctrlPr>
                          <a:rPr lang="en-US" sz="1600" i="1">
                            <a:solidFill>
                              <a:sysClr val="windowText" lastClr="000000"/>
                            </a:solidFill>
                            <a:latin typeface="Cambria Math" panose="02040503050406030204" pitchFamily="18" charset="0"/>
                          </a:rPr>
                        </m:ctrlPr>
                      </m:dPr>
                      <m:e>
                        <m:r>
                          <a:rPr lang="en-US" sz="1600" i="1">
                            <a:solidFill>
                              <a:sysClr val="windowText" lastClr="000000"/>
                            </a:solidFill>
                            <a:latin typeface="Cambria Math" panose="02040503050406030204" pitchFamily="18" charset="0"/>
                          </a:rPr>
                          <m:t> 400</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i="1">
                                    <a:solidFill>
                                      <a:sysClr val="windowText" lastClr="000000"/>
                                    </a:solidFill>
                                    <a:latin typeface="Cambria Math" panose="02040503050406030204" pitchFamily="18" charset="0"/>
                                  </a:rPr>
                                  <m:t>h𝑒𝑎𝑡𝑖𝑛𝑔</m:t>
                                </m:r>
                              </m:sub>
                            </m:sSub>
                          </m:num>
                          <m:den>
                            <m:r>
                              <a:rPr lang="en-US" sz="1600" i="1">
                                <a:solidFill>
                                  <a:sysClr val="windowText" lastClr="000000"/>
                                </a:solidFill>
                                <a:latin typeface="Cambria Math" panose="02040503050406030204" pitchFamily="18" charset="0"/>
                              </a:rPr>
                              <m:t>𝑊𝐼</m:t>
                            </m:r>
                            <m:r>
                              <a:rPr lang="en-US" sz="1600" b="0" i="1">
                                <a:solidFill>
                                  <a:sysClr val="windowText" lastClr="000000"/>
                                </a:solidFill>
                                <a:latin typeface="Cambria Math" panose="02040503050406030204" pitchFamily="18" charset="0"/>
                              </a:rPr>
                              <m:t> </m:t>
                            </m:r>
                            <m:r>
                              <a:rPr lang="en-US" sz="160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i="1">
                                    <a:solidFill>
                                      <a:sysClr val="windowText" lastClr="000000"/>
                                    </a:solidFill>
                                    <a:latin typeface="Cambria Math" panose="02040503050406030204" pitchFamily="18" charset="0"/>
                                  </a:rPr>
                                  <m:t>h𝑒𝑎𝑡𝑖𝑛𝑔</m:t>
                                </m:r>
                              </m:sub>
                            </m:sSub>
                          </m:den>
                        </m:f>
                      </m:e>
                    </m:d>
                    <m:r>
                      <a:rPr lang="en-US" sz="1600" i="1">
                        <a:solidFill>
                          <a:sysClr val="windowText" lastClr="000000"/>
                        </a:solidFill>
                        <a:latin typeface="Cambria Math" panose="02040503050406030204" pitchFamily="18" charset="0"/>
                      </a:rPr>
                      <m:t>∗</m:t>
                    </m:r>
                    <m:r>
                      <a:rPr lang="en-US" sz="1600" i="1">
                        <a:solidFill>
                          <a:sysClr val="windowText" lastClr="000000"/>
                        </a:solidFill>
                        <a:latin typeface="Cambria Math" panose="02040503050406030204" pitchFamily="18" charset="0"/>
                      </a:rPr>
                      <m:t>𝐻𝐹</m:t>
                    </m:r>
                    <m:r>
                      <a:rPr lang="en-US" sz="1600" b="0" i="1">
                        <a:solidFill>
                          <a:sysClr val="windowText" lastClr="000000"/>
                        </a:solidFill>
                        <a:effectLst/>
                        <a:latin typeface="Cambria Math" panose="02040503050406030204" pitchFamily="18" charset="0"/>
                        <a:ea typeface="+mn-ea"/>
                        <a:cs typeface="+mn-cs"/>
                      </a:rPr>
                      <m:t>∗</m:t>
                    </m:r>
                    <m:r>
                      <a:rPr lang="en-US" sz="1600" b="0" i="1">
                        <a:solidFill>
                          <a:sysClr val="windowText" lastClr="000000"/>
                        </a:solidFill>
                        <a:effectLst/>
                        <a:latin typeface="Cambria Math" panose="02040503050406030204" pitchFamily="18" charset="0"/>
                        <a:ea typeface="+mn-ea"/>
                        <a:cs typeface="+mn-cs"/>
                      </a:rPr>
                      <m:t>𝐼𝑆𝑅</m:t>
                    </m:r>
                  </m:oMath>
                </m:oMathPara>
              </a14:m>
              <a:endParaRPr lang="en-US" sz="1600">
                <a:solidFill>
                  <a:sysClr val="windowText" lastClr="000000"/>
                </a:solidFill>
              </a:endParaRPr>
            </a:p>
          </xdr:txBody>
        </xdr:sp>
      </mc:Choice>
      <mc:Fallback xmlns="">
        <xdr:sp macro="" textlink="">
          <xdr:nvSpPr>
            <xdr:cNvPr id="10" name="TextBox 9">
              <a:extLst>
                <a:ext uri="{FF2B5EF4-FFF2-40B4-BE49-F238E27FC236}">
                  <a16:creationId xmlns:a16="http://schemas.microsoft.com/office/drawing/2014/main" id="{00000000-0008-0000-0600-00000A000000}"/>
                </a:ext>
              </a:extLst>
            </xdr:cNvPr>
            <xdr:cNvSpPr txBox="1"/>
          </xdr:nvSpPr>
          <xdr:spPr>
            <a:xfrm>
              <a:off x="5468982" y="5166359"/>
              <a:ext cx="11342643" cy="7402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𝑘𝑊ℎ</a:t>
              </a:r>
              <a:r>
                <a:rPr lang="en-US" sz="1600" b="0" i="0">
                  <a:solidFill>
                    <a:sysClr val="windowText" lastClr="000000"/>
                  </a:solidFill>
                  <a:latin typeface="Cambria Math" panose="02040503050406030204" pitchFamily="18" charset="0"/>
                </a:rPr>
                <a:t>_(𝐻</a:t>
              </a:r>
              <a:r>
                <a:rPr lang="en-US" sz="1600" i="0">
                  <a:solidFill>
                    <a:sysClr val="windowText" lastClr="000000"/>
                  </a:solidFill>
                  <a:latin typeface="Cambria Math" panose="02040503050406030204" pitchFamily="18" charset="0"/>
                </a:rPr>
                <a:t>𝑒𝑎𝑡𝑖𝑛𝑔</a:t>
              </a:r>
              <a:r>
                <a:rPr lang="en-US" sz="1600" b="0" i="0">
                  <a:solidFill>
                    <a:sysClr val="windowText" lastClr="000000"/>
                  </a:solidFill>
                  <a:latin typeface="Cambria Math" panose="02040503050406030204" pitchFamily="18" charset="0"/>
                </a:rPr>
                <a:t> 𝑀𝑜𝑑𝑒)</a:t>
              </a:r>
              <a:r>
                <a:rPr lang="en-US" sz="1600" i="0">
                  <a:solidFill>
                    <a:sysClr val="windowText" lastClr="000000"/>
                  </a:solidFill>
                  <a:latin typeface="Cambria Math" panose="02040503050406030204" pitchFamily="18" charset="0"/>
                </a:rPr>
                <a:t>=( 1 − % 𝑤𝑖𝑡ℎ 𝑁𝑒𝑤 𝐴𝑆𝐻𝑃 )∗ ( 400 𝑘𝑊ℎ/𝑦𝑟∗(𝐸𝐹𝐿𝐻</a:t>
              </a:r>
              <a:r>
                <a:rPr lang="en-US" sz="1600" b="0" i="0">
                  <a:solidFill>
                    <a:sysClr val="windowText" lastClr="000000"/>
                  </a:solidFill>
                  <a:latin typeface="Cambria Math" panose="02040503050406030204" pitchFamily="18" charset="0"/>
                </a:rPr>
                <a:t>_</a:t>
              </a:r>
              <a:r>
                <a:rPr lang="en-US" sz="1600" i="0">
                  <a:solidFill>
                    <a:sysClr val="windowText" lastClr="000000"/>
                  </a:solidFill>
                  <a:latin typeface="Cambria Math" panose="02040503050406030204" pitchFamily="18" charset="0"/>
                </a:rPr>
                <a:t>ℎ𝑒𝑎𝑡𝑖𝑛𝑔)/(𝑊𝐼</a:t>
              </a:r>
              <a:r>
                <a:rPr lang="en-US" sz="1600" b="0" i="0">
                  <a:solidFill>
                    <a:sysClr val="windowText" lastClr="000000"/>
                  </a:solidFill>
                  <a:latin typeface="Cambria Math" panose="02040503050406030204" pitchFamily="18" charset="0"/>
                </a:rPr>
                <a:t> </a:t>
              </a:r>
              <a:r>
                <a:rPr lang="en-US" sz="1600" i="0">
                  <a:solidFill>
                    <a:sysClr val="windowText" lastClr="000000"/>
                  </a:solidFill>
                  <a:latin typeface="Cambria Math" panose="02040503050406030204" pitchFamily="18" charset="0"/>
                </a:rPr>
                <a:t>𝐸𝐹𝐿𝐻</a:t>
              </a:r>
              <a:r>
                <a:rPr lang="en-US" sz="1600" b="0" i="0">
                  <a:solidFill>
                    <a:sysClr val="windowText" lastClr="000000"/>
                  </a:solidFill>
                  <a:latin typeface="Cambria Math" panose="02040503050406030204" pitchFamily="18" charset="0"/>
                </a:rPr>
                <a:t>_</a:t>
              </a:r>
              <a:r>
                <a:rPr lang="en-US" sz="1600" i="0">
                  <a:solidFill>
                    <a:sysClr val="windowText" lastClr="000000"/>
                  </a:solidFill>
                  <a:latin typeface="Cambria Math" panose="02040503050406030204" pitchFamily="18" charset="0"/>
                </a:rPr>
                <a:t>ℎ𝑒𝑎𝑡𝑖𝑛𝑔 ))∗𝐻𝐹</a:t>
              </a:r>
              <a:r>
                <a:rPr lang="en-US" sz="1600" b="0" i="0">
                  <a:solidFill>
                    <a:sysClr val="windowText" lastClr="000000"/>
                  </a:solidFill>
                  <a:effectLst/>
                  <a:latin typeface="Cambria Math" panose="02040503050406030204" pitchFamily="18" charset="0"/>
                  <a:ea typeface="+mn-ea"/>
                  <a:cs typeface="+mn-cs"/>
                </a:rPr>
                <a:t>∗𝐼𝑆𝑅</a:t>
              </a:r>
              <a:endParaRPr lang="en-US" sz="1600">
                <a:solidFill>
                  <a:sysClr val="windowText" lastClr="000000"/>
                </a:solidFill>
              </a:endParaRPr>
            </a:p>
          </xdr:txBody>
        </xdr:sp>
      </mc:Fallback>
    </mc:AlternateContent>
    <xdr:clientData/>
  </xdr:twoCellAnchor>
  <xdr:twoCellAnchor>
    <xdr:from>
      <xdr:col>4</xdr:col>
      <xdr:colOff>656952</xdr:colOff>
      <xdr:row>26</xdr:row>
      <xdr:rowOff>173084</xdr:rowOff>
    </xdr:from>
    <xdr:to>
      <xdr:col>10</xdr:col>
      <xdr:colOff>745173</xdr:colOff>
      <xdr:row>29</xdr:row>
      <xdr:rowOff>72242</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00000000-0008-0000-0600-00000B000000}"/>
                </a:ext>
              </a:extLst>
            </xdr:cNvPr>
            <xdr:cNvSpPr txBox="1"/>
          </xdr:nvSpPr>
          <xdr:spPr>
            <a:xfrm>
              <a:off x="5473881" y="5575120"/>
              <a:ext cx="15096899" cy="6339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𝐶𝑜𝑜𝑙𝑖𝑛𝑔</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𝑀𝑜𝑑𝑒</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r>
                          <a:rPr lang="en-US" sz="1600" i="1">
                            <a:solidFill>
                              <a:sysClr val="windowText" lastClr="000000"/>
                            </a:solidFill>
                            <a:latin typeface="Cambria Math" panose="02040503050406030204" pitchFamily="18" charset="0"/>
                          </a:rPr>
                          <m:t> 1 − % </m:t>
                        </m:r>
                        <m:r>
                          <a:rPr lang="en-US" sz="1600" i="1">
                            <a:solidFill>
                              <a:sysClr val="windowText" lastClr="000000"/>
                            </a:solidFill>
                            <a:latin typeface="Cambria Math" panose="02040503050406030204" pitchFamily="18" charset="0"/>
                          </a:rPr>
                          <m:t>𝑤𝑖𝑡h</m:t>
                        </m:r>
                        <m:r>
                          <a:rPr lang="en-US" sz="1600" i="1">
                            <a:solidFill>
                              <a:sysClr val="windowText" lastClr="000000"/>
                            </a:solidFill>
                            <a:latin typeface="Cambria Math" panose="02040503050406030204" pitchFamily="18" charset="0"/>
                          </a:rPr>
                          <m:t> </m:t>
                        </m:r>
                        <m:r>
                          <a:rPr lang="en-US" sz="1600" i="1">
                            <a:solidFill>
                              <a:sysClr val="windowText" lastClr="000000"/>
                            </a:solidFill>
                            <a:latin typeface="Cambria Math" panose="02040503050406030204" pitchFamily="18" charset="0"/>
                          </a:rPr>
                          <m:t>𝑁𝑒𝑤</m:t>
                        </m:r>
                        <m:r>
                          <a:rPr lang="en-US" sz="160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𝐶𝑒𝑛𝑡𝑟𝑎𝑙</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𝐶𝑜𝑜𝑙𝑖𝑛𝑔</m:t>
                        </m:r>
                        <m:r>
                          <a:rPr lang="en-US" sz="1600" i="1">
                            <a:solidFill>
                              <a:sysClr val="windowText" lastClr="000000"/>
                            </a:solidFill>
                            <a:latin typeface="Cambria Math" panose="02040503050406030204" pitchFamily="18" charset="0"/>
                          </a:rPr>
                          <m:t> </m:t>
                        </m:r>
                      </m:e>
                    </m:d>
                    <m:r>
                      <a:rPr lang="en-US" sz="1600" i="1">
                        <a:solidFill>
                          <a:sysClr val="windowText" lastClr="000000"/>
                        </a:solidFill>
                        <a:latin typeface="Cambria Math" panose="02040503050406030204" pitchFamily="18" charset="0"/>
                      </a:rPr>
                      <m:t>∗ </m:t>
                    </m:r>
                    <m:d>
                      <m:dPr>
                        <m:ctrlPr>
                          <a:rPr lang="en-US" sz="1600" b="0" i="1">
                            <a:solidFill>
                              <a:sysClr val="windowText" lastClr="000000"/>
                            </a:solidFill>
                            <a:latin typeface="Cambria Math" panose="02040503050406030204" pitchFamily="18" charset="0"/>
                          </a:rPr>
                        </m:ctrlPr>
                      </m:dPr>
                      <m:e>
                        <m:r>
                          <a:rPr lang="en-US" sz="1600" b="0" i="1">
                            <a:solidFill>
                              <a:sysClr val="windowText" lastClr="000000"/>
                            </a:solidFill>
                            <a:latin typeface="Cambria Math" panose="02040503050406030204" pitchFamily="18" charset="0"/>
                          </a:rPr>
                          <m:t>7</m:t>
                        </m:r>
                        <m:r>
                          <a:rPr lang="en-US" sz="1600" i="1">
                            <a:solidFill>
                              <a:sysClr val="windowText" lastClr="000000"/>
                            </a:solidFill>
                            <a:latin typeface="Cambria Math" panose="02040503050406030204" pitchFamily="18" charset="0"/>
                          </a:rPr>
                          <m:t>0</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𝑐𝑜𝑜𝑙𝑖𝑛𝑔</m:t>
                                </m:r>
                              </m:sub>
                            </m:sSub>
                          </m:num>
                          <m:den>
                            <m:r>
                              <a:rPr lang="en-US" sz="1600" i="1">
                                <a:solidFill>
                                  <a:sysClr val="windowText" lastClr="000000"/>
                                </a:solidFill>
                                <a:latin typeface="Cambria Math" panose="02040503050406030204" pitchFamily="18" charset="0"/>
                              </a:rPr>
                              <m:t>𝑊𝐼</m:t>
                            </m:r>
                            <m:r>
                              <a:rPr lang="en-US" sz="1600" b="0" i="1">
                                <a:solidFill>
                                  <a:sysClr val="windowText" lastClr="000000"/>
                                </a:solidFill>
                                <a:latin typeface="Cambria Math" panose="02040503050406030204" pitchFamily="18" charset="0"/>
                              </a:rPr>
                              <m:t> </m:t>
                            </m:r>
                            <m:r>
                              <a:rPr lang="en-US" sz="160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𝑐𝑜𝑜𝑙𝑖𝑛𝑔</m:t>
                                </m:r>
                              </m:sub>
                            </m:sSub>
                          </m:den>
                        </m:f>
                      </m:e>
                    </m:d>
                    <m:r>
                      <a:rPr lang="en-US" sz="1600" i="1">
                        <a:solidFill>
                          <a:sysClr val="windowText" lastClr="000000"/>
                        </a:solidFill>
                        <a:latin typeface="Cambria Math" panose="02040503050406030204" pitchFamily="18" charset="0"/>
                      </a:rPr>
                      <m:t>∗</m:t>
                    </m:r>
                    <m:r>
                      <a:rPr lang="en-US" sz="1600" i="1">
                        <a:solidFill>
                          <a:sysClr val="windowText" lastClr="000000"/>
                        </a:solidFill>
                        <a:latin typeface="Cambria Math" panose="02040503050406030204" pitchFamily="18" charset="0"/>
                      </a:rPr>
                      <m:t>𝐻𝐹</m:t>
                    </m:r>
                    <m:r>
                      <a:rPr lang="en-US" sz="1600" b="0" i="1">
                        <a:solidFill>
                          <a:sysClr val="windowText" lastClr="000000"/>
                        </a:solidFill>
                        <a:effectLst/>
                        <a:latin typeface="Cambria Math" panose="02040503050406030204" pitchFamily="18" charset="0"/>
                        <a:ea typeface="+mn-ea"/>
                        <a:cs typeface="+mn-cs"/>
                      </a:rPr>
                      <m:t>∗</m:t>
                    </m:r>
                    <m:r>
                      <a:rPr lang="en-US" sz="1600" b="0" i="1">
                        <a:solidFill>
                          <a:sysClr val="windowText" lastClr="000000"/>
                        </a:solidFill>
                        <a:effectLst/>
                        <a:latin typeface="Cambria Math" panose="02040503050406030204" pitchFamily="18" charset="0"/>
                        <a:ea typeface="+mn-ea"/>
                        <a:cs typeface="+mn-cs"/>
                      </a:rPr>
                      <m:t>𝐼𝑆𝑅</m:t>
                    </m:r>
                  </m:oMath>
                </m:oMathPara>
              </a14:m>
              <a:endParaRPr lang="en-US" sz="1600">
                <a:solidFill>
                  <a:sysClr val="windowText" lastClr="000000"/>
                </a:solidFill>
              </a:endParaRPr>
            </a:p>
          </xdr:txBody>
        </xdr:sp>
      </mc:Choice>
      <mc:Fallback xmlns="">
        <xdr:sp macro="" textlink="">
          <xdr:nvSpPr>
            <xdr:cNvPr id="11" name="TextBox 10">
              <a:extLst>
                <a:ext uri="{FF2B5EF4-FFF2-40B4-BE49-F238E27FC236}">
                  <a16:creationId xmlns:a16="http://schemas.microsoft.com/office/drawing/2014/main" id="{00000000-0008-0000-0600-00000B000000}"/>
                </a:ext>
              </a:extLst>
            </xdr:cNvPr>
            <xdr:cNvSpPr txBox="1"/>
          </xdr:nvSpPr>
          <xdr:spPr>
            <a:xfrm>
              <a:off x="5473881" y="5575120"/>
              <a:ext cx="15096899" cy="6339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𝑘𝑊ℎ</a:t>
              </a:r>
              <a:r>
                <a:rPr lang="en-US" sz="1600" b="0" i="0">
                  <a:solidFill>
                    <a:sysClr val="windowText" lastClr="000000"/>
                  </a:solidFill>
                  <a:latin typeface="Cambria Math" panose="02040503050406030204" pitchFamily="18" charset="0"/>
                </a:rPr>
                <a:t>_(𝐶𝑜𝑜𝑙𝑖𝑛𝑔 𝑀𝑜𝑑𝑒)</a:t>
              </a:r>
              <a:r>
                <a:rPr lang="en-US" sz="1600" i="0">
                  <a:solidFill>
                    <a:sysClr val="windowText" lastClr="000000"/>
                  </a:solidFill>
                  <a:latin typeface="Cambria Math" panose="02040503050406030204" pitchFamily="18" charset="0"/>
                </a:rPr>
                <a:t>=( 1 − % 𝑤𝑖𝑡ℎ 𝑁𝑒𝑤 </a:t>
              </a:r>
              <a:r>
                <a:rPr lang="en-US" sz="1600" b="0" i="0">
                  <a:solidFill>
                    <a:sysClr val="windowText" lastClr="000000"/>
                  </a:solidFill>
                  <a:latin typeface="Cambria Math" panose="02040503050406030204" pitchFamily="18" charset="0"/>
                </a:rPr>
                <a:t>𝐶𝑒𝑛𝑡𝑟𝑎𝑙 𝐶𝑜𝑜𝑙𝑖𝑛𝑔</a:t>
              </a:r>
              <a:r>
                <a:rPr lang="en-US" sz="1600" i="0">
                  <a:solidFill>
                    <a:sysClr val="windowText" lastClr="000000"/>
                  </a:solidFill>
                  <a:latin typeface="Cambria Math" panose="02040503050406030204" pitchFamily="18" charset="0"/>
                </a:rPr>
                <a:t> )∗ </a:t>
              </a:r>
              <a:r>
                <a:rPr lang="en-US" sz="1600" b="0" i="0">
                  <a:solidFill>
                    <a:sysClr val="windowText" lastClr="000000"/>
                  </a:solidFill>
                  <a:latin typeface="Cambria Math" panose="02040503050406030204" pitchFamily="18" charset="0"/>
                </a:rPr>
                <a:t>(7</a:t>
              </a:r>
              <a:r>
                <a:rPr lang="en-US" sz="1600" i="0">
                  <a:solidFill>
                    <a:sysClr val="windowText" lastClr="000000"/>
                  </a:solidFill>
                  <a:latin typeface="Cambria Math" panose="02040503050406030204" pitchFamily="18" charset="0"/>
                </a:rPr>
                <a:t>0 𝑘𝑊ℎ/𝑦𝑟∗(𝐸𝐹𝐿𝐻</a:t>
              </a:r>
              <a:r>
                <a:rPr lang="en-US" sz="1600" b="0" i="0">
                  <a:solidFill>
                    <a:sysClr val="windowText" lastClr="000000"/>
                  </a:solidFill>
                  <a:latin typeface="Cambria Math" panose="02040503050406030204" pitchFamily="18" charset="0"/>
                </a:rPr>
                <a:t>_𝑐𝑜𝑜𝑙𝑖𝑛𝑔)/(</a:t>
              </a:r>
              <a:r>
                <a:rPr lang="en-US" sz="1600" i="0">
                  <a:solidFill>
                    <a:sysClr val="windowText" lastClr="000000"/>
                  </a:solidFill>
                  <a:latin typeface="Cambria Math" panose="02040503050406030204" pitchFamily="18" charset="0"/>
                </a:rPr>
                <a:t>𝑊𝐼</a:t>
              </a:r>
              <a:r>
                <a:rPr lang="en-US" sz="1600" b="0" i="0">
                  <a:solidFill>
                    <a:sysClr val="windowText" lastClr="000000"/>
                  </a:solidFill>
                  <a:latin typeface="Cambria Math" panose="02040503050406030204" pitchFamily="18" charset="0"/>
                </a:rPr>
                <a:t> </a:t>
              </a:r>
              <a:r>
                <a:rPr lang="en-US" sz="1600" i="0">
                  <a:solidFill>
                    <a:sysClr val="windowText" lastClr="000000"/>
                  </a:solidFill>
                  <a:latin typeface="Cambria Math" panose="02040503050406030204" pitchFamily="18" charset="0"/>
                </a:rPr>
                <a:t>𝐸𝐹𝐿𝐻</a:t>
              </a:r>
              <a:r>
                <a:rPr lang="en-US" sz="1600" b="0" i="0">
                  <a:solidFill>
                    <a:sysClr val="windowText" lastClr="000000"/>
                  </a:solidFill>
                  <a:latin typeface="Cambria Math" panose="02040503050406030204" pitchFamily="18" charset="0"/>
                </a:rPr>
                <a:t>_𝑐𝑜𝑜𝑙𝑖𝑛𝑔 ))</a:t>
              </a:r>
              <a:r>
                <a:rPr lang="en-US" sz="1600" i="0">
                  <a:solidFill>
                    <a:sysClr val="windowText" lastClr="000000"/>
                  </a:solidFill>
                  <a:latin typeface="Cambria Math" panose="02040503050406030204" pitchFamily="18" charset="0"/>
                </a:rPr>
                <a:t>∗𝐻𝐹</a:t>
              </a:r>
              <a:r>
                <a:rPr lang="en-US" sz="1600" b="0" i="0">
                  <a:solidFill>
                    <a:sysClr val="windowText" lastClr="000000"/>
                  </a:solidFill>
                  <a:effectLst/>
                  <a:latin typeface="Cambria Math" panose="02040503050406030204" pitchFamily="18" charset="0"/>
                  <a:ea typeface="+mn-ea"/>
                  <a:cs typeface="+mn-cs"/>
                </a:rPr>
                <a:t>∗𝐼𝑆𝑅</a:t>
              </a:r>
              <a:endParaRPr lang="en-US" sz="1600">
                <a:solidFill>
                  <a:sysClr val="windowText" lastClr="000000"/>
                </a:solidFill>
              </a:endParaRPr>
            </a:p>
          </xdr:txBody>
        </xdr:sp>
      </mc:Fallback>
    </mc:AlternateContent>
    <xdr:clientData/>
  </xdr:twoCellAnchor>
  <xdr:twoCellAnchor>
    <xdr:from>
      <xdr:col>4</xdr:col>
      <xdr:colOff>656951</xdr:colOff>
      <xdr:row>30</xdr:row>
      <xdr:rowOff>132262</xdr:rowOff>
    </xdr:from>
    <xdr:to>
      <xdr:col>11</xdr:col>
      <xdr:colOff>495299</xdr:colOff>
      <xdr:row>33</xdr:row>
      <xdr:rowOff>85726</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0000000-0008-0000-0600-00000C000000}"/>
                </a:ext>
              </a:extLst>
            </xdr:cNvPr>
            <xdr:cNvSpPr txBox="1"/>
          </xdr:nvSpPr>
          <xdr:spPr>
            <a:xfrm>
              <a:off x="5467076" y="6971212"/>
              <a:ext cx="13201923" cy="69641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𝐴</m:t>
                        </m:r>
                        <m:r>
                          <a:rPr lang="en-US" sz="1600" i="1">
                            <a:solidFill>
                              <a:sysClr val="windowText" lastClr="000000"/>
                            </a:solidFill>
                            <a:latin typeface="Cambria Math" panose="02040503050406030204" pitchFamily="18" charset="0"/>
                          </a:rPr>
                          <m:t>𝑢𝑡𝑜</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𝐶𝑖𝑟𝑐𝑢𝑙𝑎𝑡𝑖𝑜𝑛</m:t>
                        </m:r>
                      </m:sub>
                    </m:sSub>
                    <m:r>
                      <a:rPr lang="en-US" sz="1600" i="1">
                        <a:solidFill>
                          <a:sysClr val="windowText" lastClr="000000"/>
                        </a:solidFill>
                        <a:latin typeface="Cambria Math" panose="02040503050406030204" pitchFamily="18" charset="0"/>
                      </a:rPr>
                      <m:t> = </m:t>
                    </m:r>
                    <m:d>
                      <m:dPr>
                        <m:ctrlPr>
                          <a:rPr lang="en-US" sz="1600" i="1">
                            <a:solidFill>
                              <a:sysClr val="windowText" lastClr="000000"/>
                            </a:solidFill>
                            <a:latin typeface="Cambria Math" panose="02040503050406030204" pitchFamily="18" charset="0"/>
                          </a:rPr>
                        </m:ctrlPr>
                      </m:dPr>
                      <m:e>
                        <m:r>
                          <a:rPr lang="en-US" sz="1600" i="1">
                            <a:solidFill>
                              <a:sysClr val="windowText" lastClr="000000"/>
                            </a:solidFill>
                            <a:latin typeface="Cambria Math" panose="02040503050406030204" pitchFamily="18" charset="0"/>
                          </a:rPr>
                          <m:t> </m:t>
                        </m:r>
                        <m:d>
                          <m:dPr>
                            <m:ctrlPr>
                              <a:rPr lang="en-US" sz="1600" i="1">
                                <a:solidFill>
                                  <a:sysClr val="windowText" lastClr="000000"/>
                                </a:solidFill>
                                <a:latin typeface="Cambria Math" panose="02040503050406030204" pitchFamily="18" charset="0"/>
                              </a:rPr>
                            </m:ctrlPr>
                          </m:dPr>
                          <m:e>
                            <m:r>
                              <a:rPr lang="en-US" sz="1600" i="1">
                                <a:solidFill>
                                  <a:sysClr val="windowText" lastClr="000000"/>
                                </a:solidFill>
                                <a:latin typeface="Cambria Math" panose="02040503050406030204" pitchFamily="18" charset="0"/>
                              </a:rPr>
                              <m:t> 25</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r>
                              <a:rPr lang="en-US" sz="1600" i="1">
                                <a:solidFill>
                                  <a:sysClr val="windowText" lastClr="000000"/>
                                </a:solidFill>
                                <a:latin typeface="Cambria Math" panose="02040503050406030204" pitchFamily="18" charset="0"/>
                              </a:rPr>
                              <m:t> ∗ </m:t>
                            </m:r>
                            <m:f>
                              <m:fPr>
                                <m:ctrlPr>
                                  <a:rPr lang="en-US" sz="1600" b="0" i="1">
                                    <a:solidFill>
                                      <a:sysClr val="windowText" lastClr="000000"/>
                                    </a:solidFill>
                                    <a:latin typeface="Cambria Math" panose="02040503050406030204" pitchFamily="18" charset="0"/>
                                  </a:rPr>
                                </m:ctrlPr>
                              </m:fPr>
                              <m:num>
                                <m:r>
                                  <a:rPr lang="en-US" sz="1600" b="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𝑐𝑜𝑜𝑙𝑖𝑛𝑔</m:t>
                                    </m:r>
                                  </m:sub>
                                </m:sSub>
                              </m:num>
                              <m:den>
                                <m:r>
                                  <a:rPr lang="en-US" sz="1600" i="1">
                                    <a:solidFill>
                                      <a:sysClr val="windowText" lastClr="000000"/>
                                    </a:solidFill>
                                    <a:latin typeface="Cambria Math" panose="02040503050406030204" pitchFamily="18" charset="0"/>
                                  </a:rPr>
                                  <m:t>𝑊𝐼</m:t>
                                </m:r>
                                <m:r>
                                  <a:rPr lang="en-US" sz="1600" b="0" i="1">
                                    <a:solidFill>
                                      <a:sysClr val="windowText" lastClr="000000"/>
                                    </a:solidFill>
                                    <a:latin typeface="Cambria Math" panose="02040503050406030204" pitchFamily="18" charset="0"/>
                                  </a:rPr>
                                  <m:t> </m:t>
                                </m:r>
                                <m:r>
                                  <a:rPr lang="en-US" sz="160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i="1">
                                        <a:solidFill>
                                          <a:sysClr val="windowText" lastClr="000000"/>
                                        </a:solidFill>
                                        <a:latin typeface="Cambria Math" panose="02040503050406030204" pitchFamily="18" charset="0"/>
                                      </a:rPr>
                                      <m:t>𝑐𝑜𝑜𝑙𝑖𝑛𝑔</m:t>
                                    </m:r>
                                  </m:sub>
                                </m:sSub>
                              </m:den>
                            </m:f>
                          </m:e>
                        </m:d>
                        <m:r>
                          <a:rPr lang="en-US" sz="1600" i="1">
                            <a:solidFill>
                              <a:sysClr val="windowText" lastClr="000000"/>
                            </a:solidFill>
                            <a:latin typeface="Cambria Math" panose="02040503050406030204" pitchFamily="18" charset="0"/>
                          </a:rPr>
                          <m:t>+ 2960</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r>
                          <a:rPr lang="en-US" sz="1600" i="1">
                            <a:solidFill>
                              <a:sysClr val="windowText" lastClr="000000"/>
                            </a:solidFill>
                            <a:latin typeface="Cambria Math" panose="02040503050406030204" pitchFamily="18" charset="0"/>
                          </a:rPr>
                          <m:t>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𝑅𝑇</m:t>
                        </m:r>
                        <m:r>
                          <a:rPr lang="en-US" sz="1600" i="1">
                            <a:solidFill>
                              <a:sysClr val="windowText" lastClr="000000"/>
                            </a:solidFill>
                            <a:latin typeface="Cambria Math" panose="02040503050406030204" pitchFamily="18" charset="0"/>
                          </a:rPr>
                          <m:t>−30</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e>
                    </m:d>
                    <m:r>
                      <a:rPr lang="en-US" sz="1600" i="1">
                        <a:solidFill>
                          <a:sysClr val="windowText" lastClr="000000"/>
                        </a:solidFill>
                        <a:latin typeface="Cambria Math" panose="02040503050406030204" pitchFamily="18" charset="0"/>
                      </a:rPr>
                      <m:t> ∗ </m:t>
                    </m:r>
                    <m:r>
                      <a:rPr lang="en-US" sz="1600" i="1">
                        <a:solidFill>
                          <a:sysClr val="windowText" lastClr="000000"/>
                        </a:solidFill>
                        <a:latin typeface="Cambria Math" panose="02040503050406030204" pitchFamily="18" charset="0"/>
                      </a:rPr>
                      <m:t>𝐻𝐹</m:t>
                    </m:r>
                    <m:r>
                      <a:rPr lang="en-US" sz="1600" b="0" i="1">
                        <a:solidFill>
                          <a:sysClr val="windowText" lastClr="000000"/>
                        </a:solidFill>
                        <a:effectLst/>
                        <a:latin typeface="Cambria Math" panose="02040503050406030204" pitchFamily="18" charset="0"/>
                        <a:ea typeface="+mn-ea"/>
                        <a:cs typeface="+mn-cs"/>
                      </a:rPr>
                      <m:t>∗</m:t>
                    </m:r>
                    <m:r>
                      <a:rPr lang="en-US" sz="1600" b="0" i="1">
                        <a:solidFill>
                          <a:sysClr val="windowText" lastClr="000000"/>
                        </a:solidFill>
                        <a:effectLst/>
                        <a:latin typeface="Cambria Math" panose="02040503050406030204" pitchFamily="18" charset="0"/>
                        <a:ea typeface="+mn-ea"/>
                        <a:cs typeface="+mn-cs"/>
                      </a:rPr>
                      <m:t>𝐼𝑆𝑅</m:t>
                    </m:r>
                  </m:oMath>
                </m:oMathPara>
              </a14:m>
              <a:endParaRPr lang="en-US" sz="1600">
                <a:solidFill>
                  <a:sysClr val="windowText" lastClr="000000"/>
                </a:solidFill>
              </a:endParaRPr>
            </a:p>
          </xdr:txBody>
        </xdr:sp>
      </mc:Choice>
      <mc:Fallback xmlns="">
        <xdr:sp macro="" textlink="">
          <xdr:nvSpPr>
            <xdr:cNvPr id="12" name="TextBox 11">
              <a:extLst>
                <a:ext uri="{FF2B5EF4-FFF2-40B4-BE49-F238E27FC236}">
                  <a16:creationId xmlns:a16="http://schemas.microsoft.com/office/drawing/2014/main" id="{00000000-0008-0000-0600-00000C000000}"/>
                </a:ext>
              </a:extLst>
            </xdr:cNvPr>
            <xdr:cNvSpPr txBox="1"/>
          </xdr:nvSpPr>
          <xdr:spPr>
            <a:xfrm>
              <a:off x="5467076" y="6971212"/>
              <a:ext cx="13201923" cy="69641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𝑘𝑊ℎ</a:t>
              </a:r>
              <a:r>
                <a:rPr lang="en-US" sz="1600" b="0" i="0">
                  <a:solidFill>
                    <a:sysClr val="windowText" lastClr="000000"/>
                  </a:solidFill>
                  <a:latin typeface="Cambria Math" panose="02040503050406030204" pitchFamily="18" charset="0"/>
                </a:rPr>
                <a:t>_(𝐴</a:t>
              </a:r>
              <a:r>
                <a:rPr lang="en-US" sz="1600" i="0">
                  <a:solidFill>
                    <a:sysClr val="windowText" lastClr="000000"/>
                  </a:solidFill>
                  <a:latin typeface="Cambria Math" panose="02040503050406030204" pitchFamily="18" charset="0"/>
                </a:rPr>
                <a:t>𝑢𝑡𝑜</a:t>
              </a:r>
              <a:r>
                <a:rPr lang="en-US" sz="1600" b="0" i="0">
                  <a:solidFill>
                    <a:sysClr val="windowText" lastClr="000000"/>
                  </a:solidFill>
                  <a:latin typeface="Cambria Math" panose="02040503050406030204" pitchFamily="18" charset="0"/>
                </a:rPr>
                <a:t> 𝐶𝑖𝑟𝑐𝑢𝑙𝑎𝑡𝑖𝑜𝑛) </a:t>
              </a:r>
              <a:r>
                <a:rPr lang="en-US" sz="1600" i="0">
                  <a:solidFill>
                    <a:sysClr val="windowText" lastClr="000000"/>
                  </a:solidFill>
                  <a:latin typeface="Cambria Math" panose="02040503050406030204" pitchFamily="18" charset="0"/>
                </a:rPr>
                <a:t> = ( ( 25 𝑘𝑊ℎ/𝑦𝑟  ∗ </a:t>
              </a:r>
              <a:r>
                <a:rPr lang="en-US" sz="1600" b="0" i="0">
                  <a:solidFill>
                    <a:sysClr val="windowText" lastClr="000000"/>
                  </a:solidFill>
                  <a:latin typeface="Cambria Math" panose="02040503050406030204" pitchFamily="18" charset="0"/>
                </a:rPr>
                <a:t>(𝐸𝐹𝐿𝐻_𝑐𝑜𝑜𝑙𝑖𝑛𝑔)/(</a:t>
              </a:r>
              <a:r>
                <a:rPr lang="en-US" sz="1600" i="0">
                  <a:solidFill>
                    <a:sysClr val="windowText" lastClr="000000"/>
                  </a:solidFill>
                  <a:latin typeface="Cambria Math" panose="02040503050406030204" pitchFamily="18" charset="0"/>
                </a:rPr>
                <a:t>𝑊𝐼</a:t>
              </a:r>
              <a:r>
                <a:rPr lang="en-US" sz="1600" b="0" i="0">
                  <a:solidFill>
                    <a:sysClr val="windowText" lastClr="000000"/>
                  </a:solidFill>
                  <a:latin typeface="Cambria Math" panose="02040503050406030204" pitchFamily="18" charset="0"/>
                </a:rPr>
                <a:t> </a:t>
              </a:r>
              <a:r>
                <a:rPr lang="en-US" sz="1600" i="0">
                  <a:solidFill>
                    <a:sysClr val="windowText" lastClr="000000"/>
                  </a:solidFill>
                  <a:latin typeface="Cambria Math" panose="02040503050406030204" pitchFamily="18" charset="0"/>
                </a:rPr>
                <a:t>𝐸𝐹𝐿𝐻</a:t>
              </a:r>
              <a:r>
                <a:rPr lang="en-US" sz="1600" b="0" i="0">
                  <a:solidFill>
                    <a:sysClr val="windowText" lastClr="000000"/>
                  </a:solidFill>
                  <a:latin typeface="Cambria Math" panose="02040503050406030204" pitchFamily="18" charset="0"/>
                </a:rPr>
                <a:t>_</a:t>
              </a:r>
              <a:r>
                <a:rPr lang="en-US" sz="1600" i="0">
                  <a:solidFill>
                    <a:sysClr val="windowText" lastClr="000000"/>
                  </a:solidFill>
                  <a:latin typeface="Cambria Math" panose="02040503050406030204" pitchFamily="18" charset="0"/>
                </a:rPr>
                <a:t>𝑐𝑜𝑜𝑙𝑖𝑛𝑔 </a:t>
              </a:r>
              <a:r>
                <a:rPr lang="en-US" sz="1600" b="0" i="0">
                  <a:solidFill>
                    <a:sysClr val="windowText" lastClr="000000"/>
                  </a:solidFill>
                  <a:latin typeface="Cambria Math" panose="02040503050406030204" pitchFamily="18" charset="0"/>
                </a:rPr>
                <a:t>))</a:t>
              </a:r>
              <a:r>
                <a:rPr lang="en-US" sz="1600" i="0">
                  <a:solidFill>
                    <a:sysClr val="windowText" lastClr="000000"/>
                  </a:solidFill>
                  <a:latin typeface="Cambria Math" panose="02040503050406030204" pitchFamily="18" charset="0"/>
                </a:rPr>
                <a:t>+ 2960 𝑘𝑊ℎ/𝑦𝑟  ∗</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𝑅𝑇</a:t>
              </a:r>
              <a:r>
                <a:rPr lang="en-US" sz="1600" i="0">
                  <a:solidFill>
                    <a:sysClr val="windowText" lastClr="000000"/>
                  </a:solidFill>
                  <a:latin typeface="Cambria Math" panose="02040503050406030204" pitchFamily="18" charset="0"/>
                </a:rPr>
                <a:t>−30 𝑘𝑊ℎ/𝑦𝑟)  ∗ 𝐻𝐹</a:t>
              </a:r>
              <a:r>
                <a:rPr lang="en-US" sz="1600" b="0" i="0">
                  <a:solidFill>
                    <a:sysClr val="windowText" lastClr="000000"/>
                  </a:solidFill>
                  <a:effectLst/>
                  <a:latin typeface="Cambria Math" panose="02040503050406030204" pitchFamily="18" charset="0"/>
                  <a:ea typeface="+mn-ea"/>
                  <a:cs typeface="+mn-cs"/>
                </a:rPr>
                <a:t>∗𝐼𝑆𝑅</a:t>
              </a:r>
              <a:endParaRPr lang="en-US" sz="1600">
                <a:solidFill>
                  <a:sysClr val="windowText" lastClr="000000"/>
                </a:solidFill>
              </a:endParaRPr>
            </a:p>
          </xdr:txBody>
        </xdr:sp>
      </mc:Fallback>
    </mc:AlternateContent>
    <xdr:clientData/>
  </xdr:twoCellAnchor>
  <xdr:twoCellAnchor>
    <xdr:from>
      <xdr:col>4</xdr:col>
      <xdr:colOff>38522</xdr:colOff>
      <xdr:row>191</xdr:row>
      <xdr:rowOff>114420</xdr:rowOff>
    </xdr:from>
    <xdr:to>
      <xdr:col>12</xdr:col>
      <xdr:colOff>0</xdr:colOff>
      <xdr:row>195</xdr:row>
      <xdr:rowOff>108857</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00000000-0008-0000-0600-00000D000000}"/>
                </a:ext>
              </a:extLst>
            </xdr:cNvPr>
            <xdr:cNvSpPr txBox="1"/>
          </xdr:nvSpPr>
          <xdr:spPr>
            <a:xfrm>
              <a:off x="4855451" y="38051134"/>
              <a:ext cx="17147299" cy="70200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800" i="1">
                      <a:solidFill>
                        <a:sysClr val="windowText" lastClr="000000"/>
                      </a:solidFill>
                      <a:latin typeface="Cambria Math" panose="02040503050406030204" pitchFamily="18" charset="0"/>
                    </a:rPr>
                    <m:t>𝛥</m:t>
                  </m:r>
                  <m:r>
                    <a:rPr lang="en-US" sz="1800" i="1">
                      <a:solidFill>
                        <a:sysClr val="windowText" lastClr="000000"/>
                      </a:solidFill>
                      <a:latin typeface="Cambria Math" panose="02040503050406030204" pitchFamily="18" charset="0"/>
                    </a:rPr>
                    <m:t>𝑘𝑊</m:t>
                  </m:r>
                  <m:sSub>
                    <m:sSubPr>
                      <m:ctrlPr>
                        <a:rPr lang="en-US" sz="1800" b="0" i="1">
                          <a:solidFill>
                            <a:sysClr val="windowText" lastClr="000000"/>
                          </a:solidFill>
                          <a:latin typeface="Cambria Math" panose="02040503050406030204" pitchFamily="18" charset="0"/>
                        </a:rPr>
                      </m:ctrlPr>
                    </m:sSubPr>
                    <m:e>
                      <m:r>
                        <a:rPr lang="en-US" sz="1800" i="1">
                          <a:solidFill>
                            <a:sysClr val="windowText" lastClr="000000"/>
                          </a:solidFill>
                          <a:latin typeface="Cambria Math" panose="02040503050406030204" pitchFamily="18" charset="0"/>
                        </a:rPr>
                        <m:t>𝐻</m:t>
                      </m:r>
                    </m:e>
                    <m:sub>
                      <m:r>
                        <a:rPr lang="en-US" sz="1800" b="0" i="1">
                          <a:solidFill>
                            <a:sysClr val="windowText" lastClr="000000"/>
                          </a:solidFill>
                          <a:latin typeface="Cambria Math" panose="02040503050406030204" pitchFamily="18" charset="0"/>
                        </a:rPr>
                        <m:t>𝐸𝑅</m:t>
                      </m:r>
                      <m:r>
                        <a:rPr lang="en-US" sz="1800" b="0" i="1">
                          <a:solidFill>
                            <a:sysClr val="windowText" lastClr="000000"/>
                          </a:solidFill>
                          <a:latin typeface="Cambria Math" panose="02040503050406030204" pitchFamily="18" charset="0"/>
                        </a:rPr>
                        <m:t>1</m:t>
                      </m:r>
                    </m:sub>
                  </m:sSub>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800" i="1">
                              <a:solidFill>
                                <a:sysClr val="windowText" lastClr="000000"/>
                              </a:solidFill>
                              <a:latin typeface="Cambria Math" panose="02040503050406030204" pitchFamily="18" charset="0"/>
                            </a:rPr>
                          </m:ctrlPr>
                        </m:fPr>
                        <m:num>
                          <m:r>
                            <a:rPr lang="en-US" sz="1800" i="1">
                              <a:solidFill>
                                <a:sysClr val="windowText" lastClr="000000"/>
                              </a:solidFill>
                              <a:latin typeface="Cambria Math" panose="02040503050406030204" pitchFamily="18" charset="0"/>
                            </a:rPr>
                            <m:t>𝐹𝐿𝐻𝑐𝑜𝑜𝑙</m:t>
                          </m:r>
                          <m:r>
                            <a:rPr lang="en-US" sz="1800" i="1">
                              <a:solidFill>
                                <a:sysClr val="windowText" lastClr="000000"/>
                              </a:solidFill>
                              <a:latin typeface="Cambria Math" panose="02040503050406030204" pitchFamily="18" charset="0"/>
                            </a:rPr>
                            <m:t> ∗ </m:t>
                          </m:r>
                          <m:r>
                            <a:rPr lang="en-US" sz="1800" i="1">
                              <a:solidFill>
                                <a:sysClr val="windowText" lastClr="000000"/>
                              </a:solidFill>
                              <a:latin typeface="Cambria Math" panose="02040503050406030204" pitchFamily="18" charset="0"/>
                            </a:rPr>
                            <m:t>𝐶𝑎𝑝𝑎𝑐𝑖𝑡𝑦</m:t>
                          </m:r>
                          <m:r>
                            <a:rPr lang="en-US" sz="1800" i="1">
                              <a:solidFill>
                                <a:sysClr val="windowText" lastClr="000000"/>
                              </a:solidFill>
                              <a:latin typeface="Cambria Math" panose="02040503050406030204" pitchFamily="18" charset="0"/>
                            </a:rPr>
                            <m:t> ∗ </m:t>
                          </m:r>
                          <m:d>
                            <m:dPr>
                              <m:ctrlPr>
                                <a:rPr lang="en-US" sz="1800" i="1">
                                  <a:solidFill>
                                    <a:sysClr val="windowText" lastClr="000000"/>
                                  </a:solidFill>
                                  <a:latin typeface="Cambria Math" panose="02040503050406030204" pitchFamily="18" charset="0"/>
                                </a:rPr>
                              </m:ctrlPr>
                            </m:dPr>
                            <m:e>
                              <m:f>
                                <m:fPr>
                                  <m:ctrlPr>
                                    <a:rPr lang="en-US" sz="1800" i="1">
                                      <a:solidFill>
                                        <a:sysClr val="windowText" lastClr="000000"/>
                                      </a:solidFill>
                                      <a:latin typeface="Cambria Math" panose="02040503050406030204" pitchFamily="18" charset="0"/>
                                    </a:rPr>
                                  </m:ctrlPr>
                                </m:fPr>
                                <m:num>
                                  <m:r>
                                    <a:rPr lang="en-US" sz="1800" i="1">
                                      <a:solidFill>
                                        <a:sysClr val="windowText" lastClr="000000"/>
                                      </a:solidFill>
                                      <a:latin typeface="Cambria Math" panose="02040503050406030204" pitchFamily="18" charset="0"/>
                                    </a:rPr>
                                    <m:t>1</m:t>
                                  </m:r>
                                </m:num>
                                <m:den>
                                  <m:r>
                                    <a:rPr lang="en-US" sz="1800" i="1">
                                      <a:solidFill>
                                        <a:sysClr val="windowText" lastClr="000000"/>
                                      </a:solidFill>
                                      <a:latin typeface="Cambria Math" panose="02040503050406030204" pitchFamily="18" charset="0"/>
                                    </a:rPr>
                                    <m:t>𝑆𝐸𝐸</m:t>
                                  </m:r>
                                  <m:sSub>
                                    <m:sSubPr>
                                      <m:ctrlPr>
                                        <a:rPr lang="en-US" sz="1800" b="0" i="1">
                                          <a:solidFill>
                                            <a:sysClr val="windowText" lastClr="000000"/>
                                          </a:solidFill>
                                          <a:latin typeface="Cambria Math" panose="02040503050406030204" pitchFamily="18" charset="0"/>
                                        </a:rPr>
                                      </m:ctrlPr>
                                    </m:sSubPr>
                                    <m:e>
                                      <m:r>
                                        <a:rPr lang="en-US" sz="1800" i="1">
                                          <a:solidFill>
                                            <a:sysClr val="windowText" lastClr="000000"/>
                                          </a:solidFill>
                                          <a:latin typeface="Cambria Math" panose="02040503050406030204" pitchFamily="18" charset="0"/>
                                        </a:rPr>
                                        <m:t>𝑅</m:t>
                                      </m:r>
                                    </m:e>
                                    <m:sub>
                                      <m:r>
                                        <a:rPr lang="en-US" sz="1800" i="1">
                                          <a:solidFill>
                                            <a:sysClr val="windowText" lastClr="000000"/>
                                          </a:solidFill>
                                          <a:latin typeface="Cambria Math" panose="02040503050406030204" pitchFamily="18" charset="0"/>
                                        </a:rPr>
                                        <m:t>𝑒𝑥𝑖𝑠𝑡</m:t>
                                      </m:r>
                                    </m:sub>
                                  </m:sSub>
                                </m:den>
                              </m:f>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800" i="1">
                                      <a:solidFill>
                                        <a:sysClr val="windowText" lastClr="000000"/>
                                      </a:solidFill>
                                      <a:latin typeface="Cambria Math" panose="02040503050406030204" pitchFamily="18" charset="0"/>
                                    </a:rPr>
                                    <m:t>1</m:t>
                                  </m:r>
                                </m:num>
                                <m:den>
                                  <m:r>
                                    <a:rPr lang="en-US" sz="1800" i="1">
                                      <a:solidFill>
                                        <a:sysClr val="windowText" lastClr="000000"/>
                                      </a:solidFill>
                                      <a:latin typeface="Cambria Math" panose="02040503050406030204" pitchFamily="18" charset="0"/>
                                    </a:rPr>
                                    <m:t>𝑆𝐸𝐸</m:t>
                                  </m:r>
                                  <m:sSub>
                                    <m:sSubPr>
                                      <m:ctrlPr>
                                        <a:rPr lang="en-US" sz="1800" b="0" i="1">
                                          <a:solidFill>
                                            <a:sysClr val="windowText" lastClr="000000"/>
                                          </a:solidFill>
                                          <a:latin typeface="Cambria Math" panose="02040503050406030204" pitchFamily="18" charset="0"/>
                                        </a:rPr>
                                      </m:ctrlPr>
                                    </m:sSubPr>
                                    <m:e>
                                      <m:r>
                                        <a:rPr lang="en-US" sz="1800" i="1">
                                          <a:solidFill>
                                            <a:sysClr val="windowText" lastClr="000000"/>
                                          </a:solidFill>
                                          <a:latin typeface="Cambria Math" panose="02040503050406030204" pitchFamily="18" charset="0"/>
                                        </a:rPr>
                                        <m:t>𝑅</m:t>
                                      </m:r>
                                    </m:e>
                                    <m:sub>
                                      <m:r>
                                        <a:rPr lang="en-US" sz="1800" i="1">
                                          <a:solidFill>
                                            <a:sysClr val="windowText" lastClr="000000"/>
                                          </a:solidFill>
                                          <a:latin typeface="Cambria Math" panose="02040503050406030204" pitchFamily="18" charset="0"/>
                                        </a:rPr>
                                        <m:t>𝑒𝑒</m:t>
                                      </m:r>
                                    </m:sub>
                                  </m:sSub>
                                </m:den>
                              </m:f>
                            </m:e>
                          </m:d>
                        </m:num>
                        <m:den>
                          <m:r>
                            <a:rPr lang="en-US" sz="1800" i="1">
                              <a:solidFill>
                                <a:sysClr val="windowText" lastClr="000000"/>
                              </a:solidFill>
                              <a:latin typeface="Cambria Math" panose="02040503050406030204" pitchFamily="18" charset="0"/>
                            </a:rPr>
                            <m:t>1000</m:t>
                          </m:r>
                        </m:den>
                      </m:f>
                    </m:e>
                  </m:d>
                </m:oMath>
              </a14:m>
              <a:r>
                <a:rPr lang="en-US" sz="1800" i="1">
                  <a:solidFill>
                    <a:sysClr val="windowText" lastClr="000000"/>
                  </a:solidFill>
                  <a:latin typeface="Cambria Math" panose="02040503050406030204" pitchFamily="18" charset="0"/>
                </a:rPr>
                <a:t>*HF * ISR</a:t>
              </a:r>
            </a:p>
          </xdr:txBody>
        </xdr:sp>
      </mc:Choice>
      <mc:Fallback xmlns="">
        <xdr:sp macro="" textlink="">
          <xdr:nvSpPr>
            <xdr:cNvPr id="13" name="TextBox 12">
              <a:extLst>
                <a:ext uri="{FF2B5EF4-FFF2-40B4-BE49-F238E27FC236}">
                  <a16:creationId xmlns:a16="http://schemas.microsoft.com/office/drawing/2014/main" id="{00000000-0008-0000-0600-00000D000000}"/>
                </a:ext>
              </a:extLst>
            </xdr:cNvPr>
            <xdr:cNvSpPr txBox="1"/>
          </xdr:nvSpPr>
          <xdr:spPr>
            <a:xfrm>
              <a:off x="4855451" y="38051134"/>
              <a:ext cx="17147299" cy="70200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800" i="0">
                  <a:solidFill>
                    <a:sysClr val="windowText" lastClr="000000"/>
                  </a:solidFill>
                  <a:latin typeface="Cambria Math" panose="02040503050406030204" pitchFamily="18" charset="0"/>
                </a:rPr>
                <a:t>𝛥</a:t>
              </a:r>
              <a:r>
                <a:rPr lang="en-US" sz="1800" i="0">
                  <a:solidFill>
                    <a:sysClr val="windowText" lastClr="000000"/>
                  </a:solidFill>
                  <a:latin typeface="Cambria Math" panose="02040503050406030204" pitchFamily="18" charset="0"/>
                </a:rPr>
                <a:t>𝑘𝑊𝐻</a:t>
              </a:r>
              <a:r>
                <a:rPr lang="en-US" sz="1800" b="0" i="0">
                  <a:solidFill>
                    <a:sysClr val="windowText" lastClr="000000"/>
                  </a:solidFill>
                  <a:latin typeface="Cambria Math" panose="02040503050406030204" pitchFamily="18" charset="0"/>
                </a:rPr>
                <a:t>_𝐸𝑅1</a:t>
              </a:r>
              <a:r>
                <a:rPr lang="en-US" sz="1800" i="0">
                  <a:solidFill>
                    <a:sysClr val="windowText" lastClr="000000"/>
                  </a:solidFill>
                  <a:latin typeface="Cambria Math" panose="02040503050406030204" pitchFamily="18" charset="0"/>
                </a:rPr>
                <a:t>=((𝐹𝐿𝐻𝑐𝑜𝑜𝑙 ∗ 𝐶𝑎𝑝𝑎𝑐𝑖𝑡𝑦 ∗ (1/(𝑆𝐸𝐸𝑅</a:t>
              </a:r>
              <a:r>
                <a:rPr lang="en-US" sz="1800" b="0" i="0">
                  <a:solidFill>
                    <a:sysClr val="windowText" lastClr="000000"/>
                  </a:solidFill>
                  <a:latin typeface="Cambria Math" panose="02040503050406030204" pitchFamily="18" charset="0"/>
                </a:rPr>
                <a:t>_</a:t>
              </a:r>
              <a:r>
                <a:rPr lang="en-US" sz="1800" i="0">
                  <a:solidFill>
                    <a:sysClr val="windowText" lastClr="000000"/>
                  </a:solidFill>
                  <a:latin typeface="Cambria Math" panose="02040503050406030204" pitchFamily="18" charset="0"/>
                </a:rPr>
                <a:t>𝑒𝑥𝑖𝑠𝑡 )−1/(𝑆𝐸𝐸𝑅</a:t>
              </a:r>
              <a:r>
                <a:rPr lang="en-US" sz="1800" b="0" i="0">
                  <a:solidFill>
                    <a:sysClr val="windowText" lastClr="000000"/>
                  </a:solidFill>
                  <a:latin typeface="Cambria Math" panose="02040503050406030204" pitchFamily="18" charset="0"/>
                </a:rPr>
                <a:t>_</a:t>
              </a:r>
              <a:r>
                <a:rPr lang="en-US" sz="1800" i="0">
                  <a:solidFill>
                    <a:sysClr val="windowText" lastClr="000000"/>
                  </a:solidFill>
                  <a:latin typeface="Cambria Math" panose="02040503050406030204" pitchFamily="18" charset="0"/>
                </a:rPr>
                <a:t>𝑒𝑒 )))/1000)</a:t>
              </a:r>
              <a:r>
                <a:rPr lang="en-US" sz="1800" i="1">
                  <a:solidFill>
                    <a:sysClr val="windowText" lastClr="000000"/>
                  </a:solidFill>
                  <a:latin typeface="Cambria Math" panose="02040503050406030204" pitchFamily="18" charset="0"/>
                </a:rPr>
                <a:t>*HF * ISR</a:t>
              </a:r>
            </a:p>
          </xdr:txBody>
        </xdr:sp>
      </mc:Fallback>
    </mc:AlternateContent>
    <xdr:clientData/>
  </xdr:twoCellAnchor>
  <xdr:twoCellAnchor>
    <xdr:from>
      <xdr:col>4</xdr:col>
      <xdr:colOff>17357</xdr:colOff>
      <xdr:row>197</xdr:row>
      <xdr:rowOff>10274</xdr:rowOff>
    </xdr:from>
    <xdr:to>
      <xdr:col>12</xdr:col>
      <xdr:colOff>0</xdr:colOff>
      <xdr:row>201</xdr:row>
      <xdr:rowOff>95249</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00000000-0008-0000-0600-00000E000000}"/>
                </a:ext>
              </a:extLst>
            </xdr:cNvPr>
            <xdr:cNvSpPr txBox="1"/>
          </xdr:nvSpPr>
          <xdr:spPr>
            <a:xfrm>
              <a:off x="4834286" y="39008345"/>
              <a:ext cx="17168464" cy="7925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800" i="1">
                      <a:solidFill>
                        <a:sysClr val="windowText" lastClr="000000"/>
                      </a:solidFill>
                      <a:latin typeface="Cambria Math" panose="02040503050406030204" pitchFamily="18" charset="0"/>
                    </a:rPr>
                    <m:t>𝛥</m:t>
                  </m:r>
                  <m:r>
                    <a:rPr lang="en-US" sz="1800" i="1">
                      <a:solidFill>
                        <a:sysClr val="windowText" lastClr="000000"/>
                      </a:solidFill>
                      <a:latin typeface="Cambria Math" panose="02040503050406030204" pitchFamily="18" charset="0"/>
                    </a:rPr>
                    <m:t>𝑘𝑊</m:t>
                  </m:r>
                  <m:sSub>
                    <m:sSubPr>
                      <m:ctrlPr>
                        <a:rPr lang="en-US" sz="1800" b="0" i="1">
                          <a:solidFill>
                            <a:sysClr val="windowText" lastClr="000000"/>
                          </a:solidFill>
                          <a:latin typeface="Cambria Math" panose="02040503050406030204" pitchFamily="18" charset="0"/>
                        </a:rPr>
                      </m:ctrlPr>
                    </m:sSubPr>
                    <m:e>
                      <m:r>
                        <a:rPr lang="en-US" sz="1800" i="1">
                          <a:solidFill>
                            <a:sysClr val="windowText" lastClr="000000"/>
                          </a:solidFill>
                          <a:latin typeface="Cambria Math" panose="02040503050406030204" pitchFamily="18" charset="0"/>
                        </a:rPr>
                        <m:t>𝐻</m:t>
                      </m:r>
                    </m:e>
                    <m:sub>
                      <m:r>
                        <a:rPr lang="en-US" sz="1800" b="0" i="1">
                          <a:solidFill>
                            <a:sysClr val="windowText" lastClr="000000"/>
                          </a:solidFill>
                          <a:latin typeface="Cambria Math" panose="02040503050406030204" pitchFamily="18" charset="0"/>
                        </a:rPr>
                        <m:t>𝐸𝑅</m:t>
                      </m:r>
                      <m:r>
                        <a:rPr lang="en-US" sz="1800" b="0" i="1">
                          <a:solidFill>
                            <a:sysClr val="windowText" lastClr="000000"/>
                          </a:solidFill>
                          <a:latin typeface="Cambria Math" panose="02040503050406030204" pitchFamily="18" charset="0"/>
                        </a:rPr>
                        <m:t>2</m:t>
                      </m:r>
                    </m:sub>
                  </m:sSub>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800" i="1">
                              <a:solidFill>
                                <a:sysClr val="windowText" lastClr="000000"/>
                              </a:solidFill>
                              <a:latin typeface="Cambria Math" panose="02040503050406030204" pitchFamily="18" charset="0"/>
                            </a:rPr>
                          </m:ctrlPr>
                        </m:fPr>
                        <m:num>
                          <m:r>
                            <a:rPr lang="en-US" sz="1800" i="1">
                              <a:solidFill>
                                <a:sysClr val="windowText" lastClr="000000"/>
                              </a:solidFill>
                              <a:latin typeface="Cambria Math" panose="02040503050406030204" pitchFamily="18" charset="0"/>
                            </a:rPr>
                            <m:t>𝐹𝐿𝐻𝑐𝑜𝑜𝑙</m:t>
                          </m:r>
                          <m:r>
                            <a:rPr lang="en-US" sz="1800" i="1">
                              <a:solidFill>
                                <a:sysClr val="windowText" lastClr="000000"/>
                              </a:solidFill>
                              <a:latin typeface="Cambria Math" panose="02040503050406030204" pitchFamily="18" charset="0"/>
                            </a:rPr>
                            <m:t> ∗ </m:t>
                          </m:r>
                          <m:r>
                            <a:rPr lang="en-US" sz="1800" i="1">
                              <a:solidFill>
                                <a:sysClr val="windowText" lastClr="000000"/>
                              </a:solidFill>
                              <a:latin typeface="Cambria Math" panose="02040503050406030204" pitchFamily="18" charset="0"/>
                            </a:rPr>
                            <m:t>𝐶𝑎𝑝𝑎𝑐𝑖𝑡𝑦</m:t>
                          </m:r>
                          <m:r>
                            <a:rPr lang="en-US" sz="1800" i="1">
                              <a:solidFill>
                                <a:sysClr val="windowText" lastClr="000000"/>
                              </a:solidFill>
                              <a:latin typeface="Cambria Math" panose="02040503050406030204" pitchFamily="18" charset="0"/>
                            </a:rPr>
                            <m:t> ∗ </m:t>
                          </m:r>
                          <m:d>
                            <m:dPr>
                              <m:ctrlPr>
                                <a:rPr lang="en-US" sz="1800" i="1">
                                  <a:solidFill>
                                    <a:sysClr val="windowText" lastClr="000000"/>
                                  </a:solidFill>
                                  <a:latin typeface="Cambria Math" panose="02040503050406030204" pitchFamily="18" charset="0"/>
                                </a:rPr>
                              </m:ctrlPr>
                            </m:dPr>
                            <m:e>
                              <m:f>
                                <m:fPr>
                                  <m:ctrlPr>
                                    <a:rPr lang="en-US" sz="1800" i="1">
                                      <a:solidFill>
                                        <a:sysClr val="windowText" lastClr="000000"/>
                                      </a:solidFill>
                                      <a:latin typeface="Cambria Math" panose="02040503050406030204" pitchFamily="18" charset="0"/>
                                    </a:rPr>
                                  </m:ctrlPr>
                                </m:fPr>
                                <m:num>
                                  <m:r>
                                    <a:rPr lang="en-US" sz="1800" i="1">
                                      <a:solidFill>
                                        <a:sysClr val="windowText" lastClr="000000"/>
                                      </a:solidFill>
                                      <a:latin typeface="Cambria Math" panose="02040503050406030204" pitchFamily="18" charset="0"/>
                                    </a:rPr>
                                    <m:t>1</m:t>
                                  </m:r>
                                </m:num>
                                <m:den>
                                  <m:r>
                                    <a:rPr lang="en-US" sz="1800" i="1">
                                      <a:solidFill>
                                        <a:sysClr val="windowText" lastClr="000000"/>
                                      </a:solidFill>
                                      <a:latin typeface="Cambria Math" panose="02040503050406030204" pitchFamily="18" charset="0"/>
                                    </a:rPr>
                                    <m:t>𝑆𝐸𝐸</m:t>
                                  </m:r>
                                  <m:sSub>
                                    <m:sSubPr>
                                      <m:ctrlPr>
                                        <a:rPr lang="en-US" sz="1800" b="0" i="1">
                                          <a:solidFill>
                                            <a:sysClr val="windowText" lastClr="000000"/>
                                          </a:solidFill>
                                          <a:latin typeface="Cambria Math" panose="02040503050406030204" pitchFamily="18" charset="0"/>
                                        </a:rPr>
                                      </m:ctrlPr>
                                    </m:sSubPr>
                                    <m:e>
                                      <m:r>
                                        <a:rPr lang="en-US" sz="1800" i="1">
                                          <a:solidFill>
                                            <a:sysClr val="windowText" lastClr="000000"/>
                                          </a:solidFill>
                                          <a:latin typeface="Cambria Math" panose="02040503050406030204" pitchFamily="18" charset="0"/>
                                        </a:rPr>
                                        <m:t>𝑅</m:t>
                                      </m:r>
                                    </m:e>
                                    <m:sub>
                                      <m:r>
                                        <a:rPr lang="en-US" sz="1800" b="0" i="1">
                                          <a:solidFill>
                                            <a:sysClr val="windowText" lastClr="000000"/>
                                          </a:solidFill>
                                          <a:latin typeface="Cambria Math" panose="02040503050406030204" pitchFamily="18" charset="0"/>
                                        </a:rPr>
                                        <m:t>𝑏𝑎𝑠𝑒</m:t>
                                      </m:r>
                                    </m:sub>
                                  </m:sSub>
                                </m:den>
                              </m:f>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800" i="1">
                                      <a:solidFill>
                                        <a:sysClr val="windowText" lastClr="000000"/>
                                      </a:solidFill>
                                      <a:latin typeface="Cambria Math" panose="02040503050406030204" pitchFamily="18" charset="0"/>
                                    </a:rPr>
                                    <m:t>1</m:t>
                                  </m:r>
                                </m:num>
                                <m:den>
                                  <m:r>
                                    <a:rPr lang="en-US" sz="1800" i="1">
                                      <a:solidFill>
                                        <a:sysClr val="windowText" lastClr="000000"/>
                                      </a:solidFill>
                                      <a:latin typeface="Cambria Math" panose="02040503050406030204" pitchFamily="18" charset="0"/>
                                    </a:rPr>
                                    <m:t>𝑆𝐸𝐸</m:t>
                                  </m:r>
                                  <m:sSub>
                                    <m:sSubPr>
                                      <m:ctrlPr>
                                        <a:rPr lang="en-US" sz="1800" b="0" i="1">
                                          <a:solidFill>
                                            <a:sysClr val="windowText" lastClr="000000"/>
                                          </a:solidFill>
                                          <a:latin typeface="Cambria Math" panose="02040503050406030204" pitchFamily="18" charset="0"/>
                                        </a:rPr>
                                      </m:ctrlPr>
                                    </m:sSubPr>
                                    <m:e>
                                      <m:r>
                                        <a:rPr lang="en-US" sz="1800" i="1">
                                          <a:solidFill>
                                            <a:sysClr val="windowText" lastClr="000000"/>
                                          </a:solidFill>
                                          <a:latin typeface="Cambria Math" panose="02040503050406030204" pitchFamily="18" charset="0"/>
                                        </a:rPr>
                                        <m:t>𝑅</m:t>
                                      </m:r>
                                    </m:e>
                                    <m:sub>
                                      <m:r>
                                        <a:rPr lang="en-US" sz="1800" i="1">
                                          <a:solidFill>
                                            <a:sysClr val="windowText" lastClr="000000"/>
                                          </a:solidFill>
                                          <a:latin typeface="Cambria Math" panose="02040503050406030204" pitchFamily="18" charset="0"/>
                                        </a:rPr>
                                        <m:t>𝑒𝑒</m:t>
                                      </m:r>
                                    </m:sub>
                                  </m:sSub>
                                </m:den>
                              </m:f>
                            </m:e>
                          </m:d>
                        </m:num>
                        <m:den>
                          <m:r>
                            <a:rPr lang="en-US" sz="1800" i="1">
                              <a:solidFill>
                                <a:sysClr val="windowText" lastClr="000000"/>
                              </a:solidFill>
                              <a:latin typeface="Cambria Math" panose="02040503050406030204" pitchFamily="18" charset="0"/>
                            </a:rPr>
                            <m:t>1000</m:t>
                          </m:r>
                        </m:den>
                      </m:f>
                    </m:e>
                  </m:d>
                </m:oMath>
              </a14:m>
              <a:r>
                <a:rPr lang="en-US" sz="1800" i="1">
                  <a:solidFill>
                    <a:sysClr val="windowText" lastClr="000000"/>
                  </a:solidFill>
                  <a:latin typeface="Cambria Math" panose="02040503050406030204" pitchFamily="18" charset="0"/>
                </a:rPr>
                <a:t>*HF * ISR</a:t>
              </a:r>
            </a:p>
          </xdr:txBody>
        </xdr:sp>
      </mc:Choice>
      <mc:Fallback xmlns="">
        <xdr:sp macro="" textlink="">
          <xdr:nvSpPr>
            <xdr:cNvPr id="14" name="TextBox 13">
              <a:extLst>
                <a:ext uri="{FF2B5EF4-FFF2-40B4-BE49-F238E27FC236}">
                  <a16:creationId xmlns:a16="http://schemas.microsoft.com/office/drawing/2014/main" id="{00000000-0008-0000-0600-00000E000000}"/>
                </a:ext>
              </a:extLst>
            </xdr:cNvPr>
            <xdr:cNvSpPr txBox="1"/>
          </xdr:nvSpPr>
          <xdr:spPr>
            <a:xfrm>
              <a:off x="4834286" y="39008345"/>
              <a:ext cx="17168464" cy="7925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800" i="0">
                  <a:solidFill>
                    <a:sysClr val="windowText" lastClr="000000"/>
                  </a:solidFill>
                  <a:latin typeface="Cambria Math" panose="02040503050406030204" pitchFamily="18" charset="0"/>
                </a:rPr>
                <a:t>𝛥</a:t>
              </a:r>
              <a:r>
                <a:rPr lang="en-US" sz="1800" i="0">
                  <a:solidFill>
                    <a:sysClr val="windowText" lastClr="000000"/>
                  </a:solidFill>
                  <a:latin typeface="Cambria Math" panose="02040503050406030204" pitchFamily="18" charset="0"/>
                </a:rPr>
                <a:t>𝑘𝑊𝐻</a:t>
              </a:r>
              <a:r>
                <a:rPr lang="en-US" sz="1800" b="0" i="0">
                  <a:solidFill>
                    <a:sysClr val="windowText" lastClr="000000"/>
                  </a:solidFill>
                  <a:latin typeface="Cambria Math" panose="02040503050406030204" pitchFamily="18" charset="0"/>
                </a:rPr>
                <a:t>_𝐸𝑅2</a:t>
              </a:r>
              <a:r>
                <a:rPr lang="en-US" sz="1800" i="0">
                  <a:solidFill>
                    <a:sysClr val="windowText" lastClr="000000"/>
                  </a:solidFill>
                  <a:latin typeface="Cambria Math" panose="02040503050406030204" pitchFamily="18" charset="0"/>
                </a:rPr>
                <a:t>=((𝐹𝐿𝐻𝑐𝑜𝑜𝑙 ∗ 𝐶𝑎𝑝𝑎𝑐𝑖𝑡𝑦 ∗ (1/(𝑆𝐸𝐸𝑅</a:t>
              </a:r>
              <a:r>
                <a:rPr lang="en-US" sz="1800" b="0" i="0">
                  <a:solidFill>
                    <a:sysClr val="windowText" lastClr="000000"/>
                  </a:solidFill>
                  <a:latin typeface="Cambria Math" panose="02040503050406030204" pitchFamily="18" charset="0"/>
                </a:rPr>
                <a:t>_𝑏𝑎𝑠𝑒 )</a:t>
              </a:r>
              <a:r>
                <a:rPr lang="en-US" sz="1800" i="0">
                  <a:solidFill>
                    <a:sysClr val="windowText" lastClr="000000"/>
                  </a:solidFill>
                  <a:latin typeface="Cambria Math" panose="02040503050406030204" pitchFamily="18" charset="0"/>
                </a:rPr>
                <a:t>−1/(𝑆𝐸𝐸𝑅</a:t>
              </a:r>
              <a:r>
                <a:rPr lang="en-US" sz="1800" b="0" i="0">
                  <a:solidFill>
                    <a:sysClr val="windowText" lastClr="000000"/>
                  </a:solidFill>
                  <a:latin typeface="Cambria Math" panose="02040503050406030204" pitchFamily="18" charset="0"/>
                </a:rPr>
                <a:t>_</a:t>
              </a:r>
              <a:r>
                <a:rPr lang="en-US" sz="1800" i="0">
                  <a:solidFill>
                    <a:sysClr val="windowText" lastClr="000000"/>
                  </a:solidFill>
                  <a:latin typeface="Cambria Math" panose="02040503050406030204" pitchFamily="18" charset="0"/>
                </a:rPr>
                <a:t>𝑒𝑒 )))/1000)</a:t>
              </a:r>
              <a:r>
                <a:rPr lang="en-US" sz="1800" i="1">
                  <a:solidFill>
                    <a:sysClr val="windowText" lastClr="000000"/>
                  </a:solidFill>
                  <a:latin typeface="Cambria Math" panose="02040503050406030204" pitchFamily="18" charset="0"/>
                </a:rPr>
                <a:t>*HF * ISR</a:t>
              </a:r>
            </a:p>
          </xdr:txBody>
        </xdr:sp>
      </mc:Fallback>
    </mc:AlternateContent>
    <xdr:clientData/>
  </xdr:twoCellAnchor>
  <xdr:twoCellAnchor>
    <xdr:from>
      <xdr:col>4</xdr:col>
      <xdr:colOff>19323</xdr:colOff>
      <xdr:row>204</xdr:row>
      <xdr:rowOff>19412</xdr:rowOff>
    </xdr:from>
    <xdr:to>
      <xdr:col>4</xdr:col>
      <xdr:colOff>3303952</xdr:colOff>
      <xdr:row>206</xdr:row>
      <xdr:rowOff>3810</xdr:rowOff>
    </xdr:to>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00000000-0008-0000-0600-00000F000000}"/>
                </a:ext>
              </a:extLst>
            </xdr:cNvPr>
            <xdr:cNvSpPr txBox="1"/>
          </xdr:nvSpPr>
          <xdr:spPr>
            <a:xfrm>
              <a:off x="4836252" y="40255733"/>
              <a:ext cx="3284629" cy="33818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800" i="1">
                        <a:latin typeface="Cambria Math" panose="02040503050406030204" pitchFamily="18" charset="0"/>
                      </a:rPr>
                      <m:t>𝛥</m:t>
                    </m:r>
                    <m:r>
                      <a:rPr lang="en-US" sz="1800" i="1">
                        <a:latin typeface="Cambria Math" panose="02040503050406030204" pitchFamily="18" charset="0"/>
                      </a:rPr>
                      <m:t>𝑘𝑊</m:t>
                    </m:r>
                    <m:r>
                      <a:rPr lang="en-US" sz="1800" i="1">
                        <a:latin typeface="Cambria Math" panose="02040503050406030204" pitchFamily="18" charset="0"/>
                      </a:rPr>
                      <m:t>=</m:t>
                    </m:r>
                    <m:r>
                      <a:rPr lang="el-GR" sz="1800" i="1">
                        <a:latin typeface="Cambria Math" panose="02040503050406030204" pitchFamily="18" charset="0"/>
                      </a:rPr>
                      <m:t>𝛥</m:t>
                    </m:r>
                    <m:r>
                      <a:rPr lang="en-US" sz="1800" i="1">
                        <a:latin typeface="Cambria Math" panose="02040503050406030204" pitchFamily="18" charset="0"/>
                      </a:rPr>
                      <m:t>𝑘𝑊</m:t>
                    </m:r>
                    <m:sSub>
                      <m:sSubPr>
                        <m:ctrlPr>
                          <a:rPr lang="en-US" sz="1800" b="0" i="1">
                            <a:latin typeface="Cambria Math" panose="02040503050406030204" pitchFamily="18" charset="0"/>
                          </a:rPr>
                        </m:ctrlPr>
                      </m:sSubPr>
                      <m:e>
                        <m:r>
                          <a:rPr lang="en-US" sz="1800" i="1">
                            <a:latin typeface="Cambria Math" panose="02040503050406030204" pitchFamily="18" charset="0"/>
                          </a:rPr>
                          <m:t>h</m:t>
                        </m:r>
                      </m:e>
                      <m:sub>
                        <m:r>
                          <a:rPr lang="en-US" sz="1800" i="1">
                            <a:latin typeface="Cambria Math" panose="02040503050406030204" pitchFamily="18" charset="0"/>
                          </a:rPr>
                          <m:t>𝑐𝑜𝑜𝑙𝑖𝑛𝑔</m:t>
                        </m:r>
                      </m:sub>
                    </m:sSub>
                    <m:r>
                      <a:rPr lang="en-US" sz="1800" i="1">
                        <a:latin typeface="Cambria Math" panose="02040503050406030204" pitchFamily="18" charset="0"/>
                      </a:rPr>
                      <m:t>∗ </m:t>
                    </m:r>
                    <m:r>
                      <a:rPr lang="en-US" sz="1800" i="1">
                        <a:latin typeface="Cambria Math" panose="02040503050406030204" pitchFamily="18" charset="0"/>
                      </a:rPr>
                      <m:t>𝐶𝐹</m:t>
                    </m:r>
                  </m:oMath>
                </m:oMathPara>
              </a14:m>
              <a:endParaRPr lang="en-US" sz="1800"/>
            </a:p>
          </xdr:txBody>
        </xdr:sp>
      </mc:Choice>
      <mc:Fallback xmlns="">
        <xdr:sp macro="" textlink="">
          <xdr:nvSpPr>
            <xdr:cNvPr id="15" name="TextBox 14">
              <a:extLst>
                <a:ext uri="{FF2B5EF4-FFF2-40B4-BE49-F238E27FC236}">
                  <a16:creationId xmlns:a16="http://schemas.microsoft.com/office/drawing/2014/main" id="{00000000-0008-0000-0600-00000F000000}"/>
                </a:ext>
              </a:extLst>
            </xdr:cNvPr>
            <xdr:cNvSpPr txBox="1"/>
          </xdr:nvSpPr>
          <xdr:spPr>
            <a:xfrm>
              <a:off x="4836252" y="40255733"/>
              <a:ext cx="3284629" cy="33818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rPr>
                <a:t>𝛥</a:t>
              </a:r>
              <a:r>
                <a:rPr lang="en-US" sz="1800" i="0">
                  <a:latin typeface="Cambria Math" panose="02040503050406030204" pitchFamily="18" charset="0"/>
                </a:rPr>
                <a:t>𝑘𝑊=</a:t>
              </a:r>
              <a:r>
                <a:rPr lang="el-GR" sz="1800" i="0">
                  <a:latin typeface="Cambria Math" panose="02040503050406030204" pitchFamily="18" charset="0"/>
                </a:rPr>
                <a:t>𝛥</a:t>
              </a:r>
              <a:r>
                <a:rPr lang="en-US" sz="1800" i="0">
                  <a:latin typeface="Cambria Math" panose="02040503050406030204" pitchFamily="18" charset="0"/>
                </a:rPr>
                <a:t>𝑘𝑊ℎ</a:t>
              </a:r>
              <a:r>
                <a:rPr lang="en-US" sz="1800" b="0" i="0">
                  <a:latin typeface="Cambria Math" panose="02040503050406030204" pitchFamily="18" charset="0"/>
                </a:rPr>
                <a:t>_</a:t>
              </a:r>
              <a:r>
                <a:rPr lang="en-US" sz="1800" i="0">
                  <a:latin typeface="Cambria Math" panose="02040503050406030204" pitchFamily="18" charset="0"/>
                </a:rPr>
                <a:t>𝑐𝑜𝑜𝑙𝑖𝑛𝑔∗ 𝐶𝐹</a:t>
              </a:r>
              <a:endParaRPr lang="en-US" sz="1800"/>
            </a:p>
          </xdr:txBody>
        </xdr:sp>
      </mc:Fallback>
    </mc:AlternateContent>
    <xdr:clientData/>
  </xdr:twoCellAnchor>
  <xdr:twoCellAnchor>
    <xdr:from>
      <xdr:col>4</xdr:col>
      <xdr:colOff>-1</xdr:colOff>
      <xdr:row>864</xdr:row>
      <xdr:rowOff>89323</xdr:rowOff>
    </xdr:from>
    <xdr:to>
      <xdr:col>11</xdr:col>
      <xdr:colOff>1275260</xdr:colOff>
      <xdr:row>868</xdr:row>
      <xdr:rowOff>0</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00000000-0008-0000-0600-000010000000}"/>
                </a:ext>
              </a:extLst>
            </xdr:cNvPr>
            <xdr:cNvSpPr txBox="1"/>
          </xdr:nvSpPr>
          <xdr:spPr>
            <a:xfrm>
              <a:off x="4816928" y="159837180"/>
              <a:ext cx="17182011" cy="6182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𝐸𝑅</m:t>
                      </m:r>
                      <m:r>
                        <a:rPr lang="en-US" sz="1600" b="0" i="1">
                          <a:solidFill>
                            <a:sysClr val="windowText" lastClr="000000"/>
                          </a:solidFill>
                          <a:latin typeface="Cambria Math" panose="02040503050406030204" pitchFamily="18" charset="0"/>
                        </a:rPr>
                        <m:t>1</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a:t>
              </a:r>
              <a:r>
                <a:rPr lang="en-US" sz="1600" i="1" baseline="0">
                  <a:solidFill>
                    <a:sysClr val="windowText" lastClr="000000"/>
                  </a:solidFill>
                  <a:latin typeface="Cambria Math" panose="02040503050406030204" pitchFamily="18" charset="0"/>
                </a:rPr>
                <a:t> * HF * ISR</a:t>
              </a:r>
              <a:endParaRPr lang="en-US" sz="1600" i="1">
                <a:solidFill>
                  <a:sysClr val="windowText" lastClr="000000"/>
                </a:solidFill>
                <a:latin typeface="Cambria Math" panose="02040503050406030204" pitchFamily="18" charset="0"/>
              </a:endParaRPr>
            </a:p>
          </xdr:txBody>
        </xdr:sp>
      </mc:Choice>
      <mc:Fallback xmlns="">
        <xdr:sp macro="" textlink="">
          <xdr:nvSpPr>
            <xdr:cNvPr id="16" name="TextBox 15">
              <a:extLst>
                <a:ext uri="{FF2B5EF4-FFF2-40B4-BE49-F238E27FC236}">
                  <a16:creationId xmlns:a16="http://schemas.microsoft.com/office/drawing/2014/main" id="{00000000-0008-0000-0600-000010000000}"/>
                </a:ext>
              </a:extLst>
            </xdr:cNvPr>
            <xdr:cNvSpPr txBox="1"/>
          </xdr:nvSpPr>
          <xdr:spPr>
            <a:xfrm>
              <a:off x="4816928" y="159837180"/>
              <a:ext cx="17182011" cy="6182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𝑘𝑊𝐻</a:t>
              </a:r>
              <a:r>
                <a:rPr lang="en-US" sz="1600" b="0" i="0">
                  <a:solidFill>
                    <a:sysClr val="windowText" lastClr="000000"/>
                  </a:solidFill>
                  <a:latin typeface="Cambria Math" panose="02040503050406030204" pitchFamily="18" charset="0"/>
                </a:rPr>
                <a:t>_𝐸𝑅1</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a:t>
              </a:r>
              <a:r>
                <a:rPr lang="en-US" sz="1600" i="1" baseline="0">
                  <a:solidFill>
                    <a:sysClr val="windowText" lastClr="000000"/>
                  </a:solidFill>
                  <a:latin typeface="Cambria Math" panose="02040503050406030204" pitchFamily="18" charset="0"/>
                </a:rPr>
                <a:t> * HF * ISR</a:t>
              </a:r>
              <a:endParaRPr lang="en-US" sz="1600" i="1">
                <a:solidFill>
                  <a:sysClr val="windowText" lastClr="000000"/>
                </a:solidFill>
                <a:latin typeface="Cambria Math" panose="02040503050406030204" pitchFamily="18" charset="0"/>
              </a:endParaRPr>
            </a:p>
          </xdr:txBody>
        </xdr:sp>
      </mc:Fallback>
    </mc:AlternateContent>
    <xdr:clientData/>
  </xdr:twoCellAnchor>
  <xdr:twoCellAnchor>
    <xdr:from>
      <xdr:col>3</xdr:col>
      <xdr:colOff>18096</xdr:colOff>
      <xdr:row>861</xdr:row>
      <xdr:rowOff>0</xdr:rowOff>
    </xdr:from>
    <xdr:to>
      <xdr:col>4</xdr:col>
      <xdr:colOff>1333500</xdr:colOff>
      <xdr:row>861</xdr:row>
      <xdr:rowOff>0</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00000000-0008-0000-0600-000011000000}"/>
                </a:ext>
              </a:extLst>
            </xdr:cNvPr>
            <xdr:cNvSpPr txBox="1"/>
          </xdr:nvSpPr>
          <xdr:spPr>
            <a:xfrm>
              <a:off x="3610382" y="159217179"/>
              <a:ext cx="254004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17" name="TextBox 16">
              <a:extLst>
                <a:ext uri="{FF2B5EF4-FFF2-40B4-BE49-F238E27FC236}">
                  <a16:creationId xmlns:a16="http://schemas.microsoft.com/office/drawing/2014/main" id="{2C4B6C36-3000-4C90-BCC0-D06B8827C3A7}"/>
                </a:ext>
              </a:extLst>
            </xdr:cNvPr>
            <xdr:cNvSpPr txBox="1"/>
          </xdr:nvSpPr>
          <xdr:spPr>
            <a:xfrm>
              <a:off x="2119311" y="25852581"/>
              <a:ext cx="2528889" cy="31250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4</xdr:col>
      <xdr:colOff>0</xdr:colOff>
      <xdr:row>869</xdr:row>
      <xdr:rowOff>20560</xdr:rowOff>
    </xdr:from>
    <xdr:to>
      <xdr:col>12</xdr:col>
      <xdr:colOff>0</xdr:colOff>
      <xdr:row>873</xdr:row>
      <xdr:rowOff>132261</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00000000-0008-0000-0600-000012000000}"/>
                </a:ext>
              </a:extLst>
            </xdr:cNvPr>
            <xdr:cNvSpPr txBox="1"/>
          </xdr:nvSpPr>
          <xdr:spPr>
            <a:xfrm>
              <a:off x="4816929" y="160652881"/>
              <a:ext cx="17185821" cy="81927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𝐸𝑅</m:t>
                        </m:r>
                        <m:r>
                          <a:rPr lang="en-US" sz="1600" b="0" i="1">
                            <a:solidFill>
                              <a:sysClr val="windowText" lastClr="000000"/>
                            </a:solidFill>
                            <a:latin typeface="Cambria Math" panose="02040503050406030204" pitchFamily="18" charset="0"/>
                          </a:rPr>
                          <m:t>2</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𝐻𝐹</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𝐼𝑆𝑅</m:t>
                    </m:r>
                  </m:oMath>
                </m:oMathPara>
              </a14:m>
              <a:endParaRPr lang="en-US" sz="1600" i="1">
                <a:solidFill>
                  <a:sysClr val="windowText" lastClr="000000"/>
                </a:solidFill>
                <a:latin typeface="Cambria Math" panose="02040503050406030204" pitchFamily="18" charset="0"/>
              </a:endParaRPr>
            </a:p>
          </xdr:txBody>
        </xdr:sp>
      </mc:Choice>
      <mc:Fallback xmlns="">
        <xdr:sp macro="" textlink="">
          <xdr:nvSpPr>
            <xdr:cNvPr id="18" name="TextBox 17">
              <a:extLst>
                <a:ext uri="{FF2B5EF4-FFF2-40B4-BE49-F238E27FC236}">
                  <a16:creationId xmlns:a16="http://schemas.microsoft.com/office/drawing/2014/main" id="{00000000-0008-0000-0600-000012000000}"/>
                </a:ext>
              </a:extLst>
            </xdr:cNvPr>
            <xdr:cNvSpPr txBox="1"/>
          </xdr:nvSpPr>
          <xdr:spPr>
            <a:xfrm>
              <a:off x="4816929" y="160652881"/>
              <a:ext cx="17185821" cy="81927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𝑘𝑊𝐻</a:t>
              </a:r>
              <a:r>
                <a:rPr lang="en-US" sz="1600" b="0" i="0">
                  <a:solidFill>
                    <a:sysClr val="windowText" lastClr="000000"/>
                  </a:solidFill>
                  <a:latin typeface="Cambria Math" panose="02040503050406030204" pitchFamily="18" charset="0"/>
                </a:rPr>
                <a:t>_𝐸𝑅2</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𝐶𝑎𝑝𝑎𝑐𝑖𝑡𝑦_ℎ𝑒𝑎𝑡∗(1/(𝐻𝑆𝑃𝐹_𝑏𝑎𝑠𝑒 )−1/(𝐻𝑆𝑃𝐹_𝑒𝑒 ))))/1000+((𝐸𝐹𝐿𝐻_𝑐𝑜𝑜𝑙∗𝐶𝑎𝑝𝑎𝑐𝑖𝑡𝑦_𝑐𝑜𝑜𝑙∗(1/(𝑆𝐸𝐸𝑅_𝑏𝑎𝑠𝑒 )−1/(𝑆𝐸𝐸𝑅_𝑒𝑒 ))))/1000) </a:t>
              </a:r>
              <a:r>
                <a:rPr lang="en-US" sz="1600" b="0" i="0">
                  <a:solidFill>
                    <a:sysClr val="windowText" lastClr="000000"/>
                  </a:solidFill>
                  <a:latin typeface="Cambria Math" panose="02040503050406030204" pitchFamily="18" charset="0"/>
                </a:rPr>
                <a:t> ∗𝐻𝐹 ∗𝐼𝑆𝑅</a:t>
              </a:r>
              <a:endParaRPr lang="en-US" sz="1600" i="1">
                <a:solidFill>
                  <a:sysClr val="windowText" lastClr="000000"/>
                </a:solidFill>
                <a:latin typeface="Cambria Math" panose="02040503050406030204" pitchFamily="18" charset="0"/>
              </a:endParaRPr>
            </a:p>
          </xdr:txBody>
        </xdr:sp>
      </mc:Fallback>
    </mc:AlternateContent>
    <xdr:clientData/>
  </xdr:twoCellAnchor>
  <xdr:twoCellAnchor>
    <xdr:from>
      <xdr:col>4</xdr:col>
      <xdr:colOff>53599</xdr:colOff>
      <xdr:row>1333</xdr:row>
      <xdr:rowOff>1119</xdr:rowOff>
    </xdr:from>
    <xdr:to>
      <xdr:col>11</xdr:col>
      <xdr:colOff>1279070</xdr:colOff>
      <xdr:row>1336</xdr:row>
      <xdr:rowOff>134621</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600-000013000000}"/>
                </a:ext>
              </a:extLst>
            </xdr:cNvPr>
            <xdr:cNvSpPr txBox="1"/>
          </xdr:nvSpPr>
          <xdr:spPr>
            <a:xfrm>
              <a:off x="4870528" y="244426226"/>
              <a:ext cx="17132221" cy="6641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19" name="TextBox 18">
              <a:extLst>
                <a:ext uri="{FF2B5EF4-FFF2-40B4-BE49-F238E27FC236}">
                  <a16:creationId xmlns:a16="http://schemas.microsoft.com/office/drawing/2014/main" id="{00000000-0008-0000-0600-000013000000}"/>
                </a:ext>
              </a:extLst>
            </xdr:cNvPr>
            <xdr:cNvSpPr txBox="1"/>
          </xdr:nvSpPr>
          <xdr:spPr>
            <a:xfrm>
              <a:off x="4870528" y="244426226"/>
              <a:ext cx="17132221" cy="6641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4</xdr:col>
      <xdr:colOff>25595</xdr:colOff>
      <xdr:row>1345</xdr:row>
      <xdr:rowOff>129690</xdr:rowOff>
    </xdr:from>
    <xdr:to>
      <xdr:col>5</xdr:col>
      <xdr:colOff>0</xdr:colOff>
      <xdr:row>1347</xdr:row>
      <xdr:rowOff>172025</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600-000014000000}"/>
                </a:ext>
              </a:extLst>
            </xdr:cNvPr>
            <xdr:cNvSpPr txBox="1"/>
          </xdr:nvSpPr>
          <xdr:spPr>
            <a:xfrm>
              <a:off x="4842524" y="246677511"/>
              <a:ext cx="4369512" cy="39612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0" name="TextBox 19">
              <a:extLst>
                <a:ext uri="{FF2B5EF4-FFF2-40B4-BE49-F238E27FC236}">
                  <a16:creationId xmlns:a16="http://schemas.microsoft.com/office/drawing/2014/main" id="{00000000-0008-0000-0600-000014000000}"/>
                </a:ext>
              </a:extLst>
            </xdr:cNvPr>
            <xdr:cNvSpPr txBox="1"/>
          </xdr:nvSpPr>
          <xdr:spPr>
            <a:xfrm>
              <a:off x="4842524" y="246677511"/>
              <a:ext cx="4369512" cy="39612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4</xdr:col>
      <xdr:colOff>56243</xdr:colOff>
      <xdr:row>1338</xdr:row>
      <xdr:rowOff>130145</xdr:rowOff>
    </xdr:from>
    <xdr:to>
      <xdr:col>12</xdr:col>
      <xdr:colOff>0</xdr:colOff>
      <xdr:row>1342</xdr:row>
      <xdr:rowOff>79345</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00000000-0008-0000-0600-000015000000}"/>
                </a:ext>
              </a:extLst>
            </xdr:cNvPr>
            <xdr:cNvSpPr txBox="1"/>
          </xdr:nvSpPr>
          <xdr:spPr>
            <a:xfrm>
              <a:off x="4873172" y="245439716"/>
              <a:ext cx="17129578" cy="6567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21" name="TextBox 20">
              <a:extLst>
                <a:ext uri="{FF2B5EF4-FFF2-40B4-BE49-F238E27FC236}">
                  <a16:creationId xmlns:a16="http://schemas.microsoft.com/office/drawing/2014/main" id="{00000000-0008-0000-0600-000015000000}"/>
                </a:ext>
              </a:extLst>
            </xdr:cNvPr>
            <xdr:cNvSpPr txBox="1"/>
          </xdr:nvSpPr>
          <xdr:spPr>
            <a:xfrm>
              <a:off x="4873172" y="245439716"/>
              <a:ext cx="17129578" cy="6567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𝐶𝑎𝑝𝑎𝑐𝑖𝑡𝑦_ℎ𝑒𝑎𝑡∗(1/(𝐻𝑆𝑃𝐹_𝑏𝑎𝑠𝑒 )−1/(𝐻𝑆𝑃𝐹_𝑒𝑒 ))))/1000+((𝐸𝐹𝐿𝐻_𝑐𝑜𝑜𝑙∗𝐶𝑎𝑝𝑎𝑐𝑖𝑡𝑦_𝑐𝑜𝑜𝑙∗(1/(𝑆𝐸𝐸𝑅_𝑏𝑎𝑠𝑒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4</xdr:col>
      <xdr:colOff>95370</xdr:colOff>
      <xdr:row>1449</xdr:row>
      <xdr:rowOff>97880</xdr:rowOff>
    </xdr:from>
    <xdr:to>
      <xdr:col>4</xdr:col>
      <xdr:colOff>3022465</xdr:colOff>
      <xdr:row>1451</xdr:row>
      <xdr:rowOff>99059</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00000000-0008-0000-0600-000017000000}"/>
                </a:ext>
              </a:extLst>
            </xdr:cNvPr>
            <xdr:cNvSpPr txBox="1"/>
          </xdr:nvSpPr>
          <xdr:spPr>
            <a:xfrm>
              <a:off x="4912299" y="265396344"/>
              <a:ext cx="2927095" cy="35496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l"/>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3" name="TextBox 22">
              <a:extLst>
                <a:ext uri="{FF2B5EF4-FFF2-40B4-BE49-F238E27FC236}">
                  <a16:creationId xmlns:a16="http://schemas.microsoft.com/office/drawing/2014/main" id="{00000000-0008-0000-0600-000017000000}"/>
                </a:ext>
              </a:extLst>
            </xdr:cNvPr>
            <xdr:cNvSpPr txBox="1"/>
          </xdr:nvSpPr>
          <xdr:spPr>
            <a:xfrm>
              <a:off x="4912299" y="265396344"/>
              <a:ext cx="2927095" cy="35496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l"/>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4</xdr:col>
      <xdr:colOff>56997</xdr:colOff>
      <xdr:row>1442</xdr:row>
      <xdr:rowOff>92105</xdr:rowOff>
    </xdr:from>
    <xdr:to>
      <xdr:col>11</xdr:col>
      <xdr:colOff>1197427</xdr:colOff>
      <xdr:row>1447</xdr:row>
      <xdr:rowOff>60416</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0000000-0008-0000-0600-000018000000}"/>
                </a:ext>
              </a:extLst>
            </xdr:cNvPr>
            <xdr:cNvSpPr txBox="1"/>
          </xdr:nvSpPr>
          <xdr:spPr>
            <a:xfrm>
              <a:off x="4873926" y="264152319"/>
              <a:ext cx="17047180" cy="85277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l"/>
              <a14:m>
                <m:oMathPara xmlns:m="http://schemas.openxmlformats.org/officeDocument/2006/math">
                  <m:oMathParaPr>
                    <m:jc m:val="left"/>
                  </m:oMathParaPr>
                  <m:oMath xmlns:m="http://schemas.openxmlformats.org/officeDocument/2006/math">
                    <m:r>
                      <a:rPr lang="el-GR" sz="1400" i="1">
                        <a:solidFill>
                          <a:sysClr val="windowText" lastClr="000000"/>
                        </a:solidFill>
                        <a:latin typeface="Cambria Math" panose="02040503050406030204" pitchFamily="18" charset="0"/>
                      </a:rPr>
                      <m:t>𝛥</m:t>
                    </m:r>
                    <m:r>
                      <a:rPr lang="en-US" sz="1400" i="1">
                        <a:solidFill>
                          <a:sysClr val="windowText" lastClr="000000"/>
                        </a:solidFill>
                        <a:latin typeface="Cambria Math" panose="02040503050406030204" pitchFamily="18" charset="0"/>
                      </a:rPr>
                      <m:t>𝑘𝑊</m:t>
                    </m:r>
                    <m:sSub>
                      <m:sSubPr>
                        <m:ctrlPr>
                          <a:rPr lang="en-US" sz="1400" b="0" i="1">
                            <a:solidFill>
                              <a:sysClr val="windowText" lastClr="000000"/>
                            </a:solidFill>
                            <a:latin typeface="Cambria Math" panose="02040503050406030204" pitchFamily="18" charset="0"/>
                          </a:rPr>
                        </m:ctrlPr>
                      </m:sSubPr>
                      <m:e>
                        <m:r>
                          <a:rPr lang="en-US" sz="1400" i="1">
                            <a:solidFill>
                              <a:sysClr val="windowText" lastClr="000000"/>
                            </a:solidFill>
                            <a:latin typeface="Cambria Math" panose="02040503050406030204" pitchFamily="18" charset="0"/>
                          </a:rPr>
                          <m:t>𝐻</m:t>
                        </m:r>
                      </m:e>
                      <m:sub>
                        <m:r>
                          <a:rPr lang="en-US" sz="1400" b="0" i="1">
                            <a:solidFill>
                              <a:sysClr val="windowText" lastClr="000000"/>
                            </a:solidFill>
                            <a:latin typeface="Cambria Math" panose="02040503050406030204" pitchFamily="18" charset="0"/>
                          </a:rPr>
                          <m:t>𝐸𝑅</m:t>
                        </m:r>
                        <m:r>
                          <a:rPr lang="en-US" sz="1400" b="0" i="1">
                            <a:solidFill>
                              <a:sysClr val="windowText" lastClr="000000"/>
                            </a:solidFill>
                            <a:latin typeface="Cambria Math" panose="02040503050406030204" pitchFamily="18" charset="0"/>
                          </a:rPr>
                          <m:t>2</m:t>
                        </m:r>
                      </m:sub>
                    </m:sSub>
                    <m:r>
                      <a:rPr lang="en-US" sz="1400" i="1">
                        <a:solidFill>
                          <a:sysClr val="windowText" lastClr="000000"/>
                        </a:solidFill>
                        <a:latin typeface="Cambria Math" panose="02040503050406030204" pitchFamily="18" charset="0"/>
                      </a:rPr>
                      <m:t>=</m:t>
                    </m:r>
                    <m:d>
                      <m:dPr>
                        <m:begChr m:val="["/>
                        <m:endChr m:val="]"/>
                        <m:ctrlPr>
                          <a:rPr lang="en-US" sz="1400" b="0" i="1">
                            <a:solidFill>
                              <a:sysClr val="windowText" lastClr="000000"/>
                            </a:solidFill>
                            <a:effectLst/>
                            <a:latin typeface="Cambria Math" panose="02040503050406030204" pitchFamily="18" charset="0"/>
                            <a:ea typeface="+mn-ea"/>
                            <a:cs typeface="+mn-cs"/>
                          </a:rPr>
                        </m:ctrlPr>
                      </m:dPr>
                      <m:e>
                        <m:f>
                          <m:fPr>
                            <m:ctrlPr>
                              <a:rPr lang="en-US" sz="1400" i="1">
                                <a:solidFill>
                                  <a:sysClr val="windowText" lastClr="000000"/>
                                </a:solidFill>
                                <a:effectLst/>
                                <a:latin typeface="Cambria Math" panose="02040503050406030204" pitchFamily="18" charset="0"/>
                                <a:ea typeface="+mn-ea"/>
                                <a:cs typeface="+mn-cs"/>
                              </a:rPr>
                            </m:ctrlPr>
                          </m:fPr>
                          <m:num>
                            <m:d>
                              <m:dPr>
                                <m:ctrlPr>
                                  <a:rPr lang="en-US" sz="1400" b="0" i="1">
                                    <a:solidFill>
                                      <a:sysClr val="windowText" lastClr="000000"/>
                                    </a:solidFill>
                                    <a:effectLst/>
                                    <a:latin typeface="Cambria Math" panose="02040503050406030204" pitchFamily="18" charset="0"/>
                                    <a:ea typeface="+mn-ea"/>
                                    <a:cs typeface="+mn-cs"/>
                                  </a:rPr>
                                </m:ctrlPr>
                              </m:dPr>
                              <m:e>
                                <m:r>
                                  <a:rPr lang="en-US" sz="1400" b="0" i="1">
                                    <a:solidFill>
                                      <a:sysClr val="windowText" lastClr="000000"/>
                                    </a:solidFill>
                                    <a:effectLst/>
                                    <a:latin typeface="Cambria Math" panose="02040503050406030204" pitchFamily="18" charset="0"/>
                                    <a:ea typeface="+mn-ea"/>
                                    <a:cs typeface="+mn-cs"/>
                                  </a:rPr>
                                  <m:t>𝐸</m:t>
                                </m:r>
                                <m:r>
                                  <a:rPr lang="en-US" sz="1400" i="1">
                                    <a:solidFill>
                                      <a:sysClr val="windowText" lastClr="000000"/>
                                    </a:solidFill>
                                    <a:effectLst/>
                                    <a:latin typeface="Cambria Math" panose="02040503050406030204" pitchFamily="18" charset="0"/>
                                    <a:ea typeface="+mn-ea"/>
                                    <a:cs typeface="+mn-cs"/>
                                  </a:rPr>
                                  <m:t>𝐹𝐿</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𝐻</m:t>
                                    </m:r>
                                  </m:e>
                                  <m:sub>
                                    <m:r>
                                      <a:rPr lang="en-US" sz="1400" b="0" i="1">
                                        <a:solidFill>
                                          <a:sysClr val="windowText" lastClr="000000"/>
                                        </a:solidFill>
                                        <a:effectLst/>
                                        <a:latin typeface="Cambria Math" panose="02040503050406030204" pitchFamily="18" charset="0"/>
                                        <a:ea typeface="+mn-ea"/>
                                        <a:cs typeface="+mn-cs"/>
                                      </a:rPr>
                                      <m:t>h𝑒𝑎𝑡</m:t>
                                    </m:r>
                                  </m:sub>
                                </m:sSub>
                                <m:r>
                                  <a:rPr lang="en-US" sz="1400" i="1">
                                    <a:solidFill>
                                      <a:sysClr val="windowText" lastClr="000000"/>
                                    </a:solidFill>
                                    <a:effectLst/>
                                    <a:latin typeface="Cambria Math" panose="02040503050406030204" pitchFamily="18" charset="0"/>
                                    <a:ea typeface="+mn-ea"/>
                                    <a:cs typeface="+mn-cs"/>
                                  </a:rPr>
                                  <m:t> ∗ </m:t>
                                </m:r>
                                <m:r>
                                  <a:rPr lang="en-US" sz="1400" i="1">
                                    <a:solidFill>
                                      <a:sysClr val="windowText" lastClr="000000"/>
                                    </a:solidFill>
                                    <a:effectLst/>
                                    <a:latin typeface="Cambria Math" panose="02040503050406030204" pitchFamily="18" charset="0"/>
                                    <a:ea typeface="+mn-ea"/>
                                    <a:cs typeface="+mn-cs"/>
                                  </a:rPr>
                                  <m:t>𝐶𝑎𝑝𝑎𝑐𝑖𝑡</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𝑦</m:t>
                                    </m:r>
                                  </m:e>
                                  <m:sub>
                                    <m:r>
                                      <a:rPr lang="en-US" sz="1400" b="0" i="1">
                                        <a:solidFill>
                                          <a:sysClr val="windowText" lastClr="000000"/>
                                        </a:solidFill>
                                        <a:effectLst/>
                                        <a:latin typeface="Cambria Math" panose="02040503050406030204" pitchFamily="18" charset="0"/>
                                        <a:ea typeface="+mn-ea"/>
                                        <a:cs typeface="+mn-cs"/>
                                      </a:rPr>
                                      <m:t>h𝑒𝑎𝑡</m:t>
                                    </m:r>
                                  </m:sub>
                                </m:sSub>
                                <m:r>
                                  <a:rPr lang="en-US" sz="1400" i="1">
                                    <a:solidFill>
                                      <a:sysClr val="windowText" lastClr="000000"/>
                                    </a:solidFill>
                                    <a:effectLst/>
                                    <a:latin typeface="Cambria Math" panose="02040503050406030204" pitchFamily="18" charset="0"/>
                                    <a:ea typeface="+mn-ea"/>
                                    <a:cs typeface="+mn-cs"/>
                                  </a:rPr>
                                  <m:t>∗</m:t>
                                </m:r>
                                <m:d>
                                  <m:dPr>
                                    <m:ctrlPr>
                                      <a:rPr lang="en-US" sz="1400" i="1">
                                        <a:solidFill>
                                          <a:sysClr val="windowText" lastClr="000000"/>
                                        </a:solidFill>
                                        <a:effectLst/>
                                        <a:latin typeface="Cambria Math" panose="02040503050406030204" pitchFamily="18" charset="0"/>
                                        <a:ea typeface="+mn-ea"/>
                                        <a:cs typeface="+mn-cs"/>
                                      </a:rPr>
                                    </m:ctrlPr>
                                  </m:dPr>
                                  <m:e>
                                    <m:f>
                                      <m:fPr>
                                        <m:ctrlPr>
                                          <a:rPr lang="en-US" sz="1400" i="1">
                                            <a:solidFill>
                                              <a:sysClr val="windowText" lastClr="000000"/>
                                            </a:solidFill>
                                            <a:effectLst/>
                                            <a:latin typeface="Cambria Math" panose="02040503050406030204" pitchFamily="18" charset="0"/>
                                            <a:ea typeface="+mn-ea"/>
                                            <a:cs typeface="+mn-cs"/>
                                          </a:rPr>
                                        </m:ctrlPr>
                                      </m:fPr>
                                      <m:num>
                                        <m:r>
                                          <a:rPr lang="en-US" sz="1400" i="1">
                                            <a:solidFill>
                                              <a:sysClr val="windowText" lastClr="000000"/>
                                            </a:solidFill>
                                            <a:effectLst/>
                                            <a:latin typeface="Cambria Math" panose="02040503050406030204" pitchFamily="18" charset="0"/>
                                            <a:ea typeface="+mn-ea"/>
                                            <a:cs typeface="+mn-cs"/>
                                          </a:rPr>
                                          <m:t>1</m:t>
                                        </m:r>
                                      </m:num>
                                      <m:den>
                                        <m:r>
                                          <a:rPr lang="en-US" sz="1400" b="0" i="1">
                                            <a:solidFill>
                                              <a:sysClr val="windowText" lastClr="000000"/>
                                            </a:solidFill>
                                            <a:effectLst/>
                                            <a:latin typeface="Cambria Math" panose="02040503050406030204" pitchFamily="18" charset="0"/>
                                            <a:ea typeface="+mn-ea"/>
                                            <a:cs typeface="+mn-cs"/>
                                          </a:rPr>
                                          <m:t>𝐻𝑆𝑃</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𝐹</m:t>
                                            </m:r>
                                          </m:e>
                                          <m:sub>
                                            <m:r>
                                              <a:rPr lang="en-US" sz="1400" b="0" i="1">
                                                <a:solidFill>
                                                  <a:sysClr val="windowText" lastClr="000000"/>
                                                </a:solidFill>
                                                <a:effectLst/>
                                                <a:latin typeface="Cambria Math" panose="02040503050406030204" pitchFamily="18" charset="0"/>
                                                <a:ea typeface="+mn-ea"/>
                                                <a:cs typeface="+mn-cs"/>
                                              </a:rPr>
                                              <m:t>𝑏𝑎𝑠𝑒</m:t>
                                            </m:r>
                                          </m:sub>
                                        </m:sSub>
                                      </m:den>
                                    </m:f>
                                    <m:r>
                                      <a:rPr lang="en-US" sz="1400" i="1">
                                        <a:solidFill>
                                          <a:sysClr val="windowText" lastClr="000000"/>
                                        </a:solidFill>
                                        <a:effectLst/>
                                        <a:latin typeface="Cambria Math" panose="02040503050406030204" pitchFamily="18" charset="0"/>
                                        <a:ea typeface="+mn-ea"/>
                                        <a:cs typeface="+mn-cs"/>
                                      </a:rPr>
                                      <m:t>−</m:t>
                                    </m:r>
                                    <m:f>
                                      <m:fPr>
                                        <m:ctrlPr>
                                          <a:rPr lang="en-US" sz="1400" i="1">
                                            <a:solidFill>
                                              <a:sysClr val="windowText" lastClr="000000"/>
                                            </a:solidFill>
                                            <a:effectLst/>
                                            <a:latin typeface="Cambria Math" panose="02040503050406030204" pitchFamily="18" charset="0"/>
                                            <a:ea typeface="+mn-ea"/>
                                            <a:cs typeface="+mn-cs"/>
                                          </a:rPr>
                                        </m:ctrlPr>
                                      </m:fPr>
                                      <m:num>
                                        <m:r>
                                          <a:rPr lang="en-US" sz="1400" i="1">
                                            <a:solidFill>
                                              <a:sysClr val="windowText" lastClr="000000"/>
                                            </a:solidFill>
                                            <a:effectLst/>
                                            <a:latin typeface="Cambria Math" panose="02040503050406030204" pitchFamily="18" charset="0"/>
                                            <a:ea typeface="+mn-ea"/>
                                            <a:cs typeface="+mn-cs"/>
                                          </a:rPr>
                                          <m:t>1</m:t>
                                        </m:r>
                                      </m:num>
                                      <m:den>
                                        <m:r>
                                          <a:rPr lang="en-US" sz="1400" b="0" i="1">
                                            <a:solidFill>
                                              <a:sysClr val="windowText" lastClr="000000"/>
                                            </a:solidFill>
                                            <a:effectLst/>
                                            <a:latin typeface="Cambria Math" panose="02040503050406030204" pitchFamily="18" charset="0"/>
                                            <a:ea typeface="+mn-ea"/>
                                            <a:cs typeface="+mn-cs"/>
                                          </a:rPr>
                                          <m:t>𝐻𝑆𝑃</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𝐹</m:t>
                                            </m:r>
                                          </m:e>
                                          <m:sub>
                                            <m:r>
                                              <a:rPr lang="en-US" sz="1400" i="1">
                                                <a:solidFill>
                                                  <a:sysClr val="windowText" lastClr="000000"/>
                                                </a:solidFill>
                                                <a:effectLst/>
                                                <a:latin typeface="Cambria Math" panose="02040503050406030204" pitchFamily="18" charset="0"/>
                                                <a:ea typeface="+mn-ea"/>
                                                <a:cs typeface="+mn-cs"/>
                                              </a:rPr>
                                              <m:t>𝑒𝑒</m:t>
                                            </m:r>
                                          </m:sub>
                                        </m:sSub>
                                      </m:den>
                                    </m:f>
                                  </m:e>
                                </m:d>
                              </m:e>
                            </m:d>
                          </m:num>
                          <m:den>
                            <m:r>
                              <a:rPr lang="en-US" sz="1400" i="1">
                                <a:solidFill>
                                  <a:sysClr val="windowText" lastClr="000000"/>
                                </a:solidFill>
                                <a:effectLst/>
                                <a:latin typeface="Cambria Math" panose="02040503050406030204" pitchFamily="18" charset="0"/>
                                <a:ea typeface="+mn-ea"/>
                                <a:cs typeface="+mn-cs"/>
                              </a:rPr>
                              <m:t>1000</m:t>
                            </m:r>
                          </m:den>
                        </m:f>
                        <m:r>
                          <a:rPr lang="en-US" sz="1400" b="0" i="1">
                            <a:solidFill>
                              <a:sysClr val="windowText" lastClr="000000"/>
                            </a:solidFill>
                            <a:latin typeface="Cambria Math" panose="02040503050406030204" pitchFamily="18" charset="0"/>
                          </a:rPr>
                          <m:t>+</m:t>
                        </m:r>
                        <m:f>
                          <m:fPr>
                            <m:ctrlPr>
                              <a:rPr lang="en-US" sz="1400" b="0" i="1">
                                <a:solidFill>
                                  <a:sysClr val="windowText" lastClr="000000"/>
                                </a:solidFill>
                                <a:latin typeface="Cambria Math" panose="02040503050406030204" pitchFamily="18" charset="0"/>
                              </a:rPr>
                            </m:ctrlPr>
                          </m:fPr>
                          <m:num>
                            <m:d>
                              <m:dPr>
                                <m:ctrlPr>
                                  <a:rPr lang="en-US" sz="1400" b="0" i="1">
                                    <a:solidFill>
                                      <a:sysClr val="windowText" lastClr="000000"/>
                                    </a:solidFill>
                                    <a:latin typeface="Cambria Math" panose="02040503050406030204" pitchFamily="18" charset="0"/>
                                  </a:rPr>
                                </m:ctrlPr>
                              </m:dPr>
                              <m:e>
                                <m:r>
                                  <a:rPr lang="en-US" sz="1400" b="0" i="1">
                                    <a:solidFill>
                                      <a:sysClr val="windowText" lastClr="000000"/>
                                    </a:solidFill>
                                    <a:latin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𝐻</m:t>
                                    </m:r>
                                  </m:e>
                                  <m:sub>
                                    <m:r>
                                      <a:rPr lang="en-US" sz="1400" b="0" i="1">
                                        <a:solidFill>
                                          <a:sysClr val="windowText" lastClr="000000"/>
                                        </a:solidFill>
                                        <a:latin typeface="Cambria Math" panose="02040503050406030204" pitchFamily="18" charset="0"/>
                                      </a:rPr>
                                      <m:t>𝑐𝑜𝑜𝑙</m:t>
                                    </m:r>
                                  </m:sub>
                                </m:sSub>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𝐶𝑎𝑝𝑎𝑐𝑖𝑡</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𝑦</m:t>
                                    </m:r>
                                  </m:e>
                                  <m:sub>
                                    <m:r>
                                      <a:rPr lang="en-US" sz="1400" b="0" i="1">
                                        <a:solidFill>
                                          <a:sysClr val="windowText" lastClr="000000"/>
                                        </a:solidFill>
                                        <a:latin typeface="Cambria Math" panose="02040503050406030204" pitchFamily="18" charset="0"/>
                                      </a:rPr>
                                      <m:t>𝑐𝑜𝑜𝑙</m:t>
                                    </m:r>
                                  </m:sub>
                                </m:sSub>
                                <m:r>
                                  <a:rPr lang="en-US" sz="1400" b="0" i="1">
                                    <a:solidFill>
                                      <a:sysClr val="windowText" lastClr="000000"/>
                                    </a:solidFill>
                                    <a:latin typeface="Cambria Math" panose="02040503050406030204" pitchFamily="18" charset="0"/>
                                  </a:rPr>
                                  <m:t>∗</m:t>
                                </m:r>
                                <m:d>
                                  <m:dPr>
                                    <m:ctrlPr>
                                      <a:rPr lang="en-US" sz="1400" b="0" i="1">
                                        <a:solidFill>
                                          <a:sysClr val="windowText" lastClr="000000"/>
                                        </a:solidFill>
                                        <a:latin typeface="Cambria Math" panose="02040503050406030204" pitchFamily="18" charset="0"/>
                                      </a:rPr>
                                    </m:ctrlPr>
                                  </m:dPr>
                                  <m:e>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1</m:t>
                                        </m:r>
                                      </m:num>
                                      <m:den>
                                        <m:r>
                                          <a:rPr lang="en-US" sz="1400" b="0" i="1">
                                            <a:solidFill>
                                              <a:sysClr val="windowText" lastClr="000000"/>
                                            </a:solidFill>
                                            <a:latin typeface="Cambria Math" panose="02040503050406030204" pitchFamily="18" charset="0"/>
                                          </a:rPr>
                                          <m:t>𝑆𝐸𝐸</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𝑅</m:t>
                                            </m:r>
                                          </m:e>
                                          <m:sub>
                                            <m:r>
                                              <a:rPr lang="en-US" sz="1400" b="0" i="1">
                                                <a:solidFill>
                                                  <a:sysClr val="windowText" lastClr="000000"/>
                                                </a:solidFill>
                                                <a:latin typeface="Cambria Math" panose="02040503050406030204" pitchFamily="18" charset="0"/>
                                              </a:rPr>
                                              <m:t>𝑏𝑎𝑠𝑒</m:t>
                                            </m:r>
                                          </m:sub>
                                        </m:sSub>
                                      </m:den>
                                    </m:f>
                                    <m:r>
                                      <a:rPr lang="en-US" sz="1400" b="0" i="1">
                                        <a:solidFill>
                                          <a:sysClr val="windowText" lastClr="000000"/>
                                        </a:solidFill>
                                        <a:latin typeface="Cambria Math" panose="02040503050406030204" pitchFamily="18" charset="0"/>
                                      </a:rPr>
                                      <m:t>−</m:t>
                                    </m:r>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1</m:t>
                                        </m:r>
                                      </m:num>
                                      <m:den>
                                        <m:r>
                                          <a:rPr lang="en-US" sz="1400" b="0" i="1">
                                            <a:solidFill>
                                              <a:sysClr val="windowText" lastClr="000000"/>
                                            </a:solidFill>
                                            <a:latin typeface="Cambria Math" panose="02040503050406030204" pitchFamily="18" charset="0"/>
                                          </a:rPr>
                                          <m:t>𝑆𝐸𝐸</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𝑅</m:t>
                                            </m:r>
                                          </m:e>
                                          <m:sub>
                                            <m:r>
                                              <a:rPr lang="en-US" sz="1400" b="0" i="1">
                                                <a:solidFill>
                                                  <a:sysClr val="windowText" lastClr="000000"/>
                                                </a:solidFill>
                                                <a:latin typeface="Cambria Math" panose="02040503050406030204" pitchFamily="18" charset="0"/>
                                              </a:rPr>
                                              <m:t>𝑒𝑒</m:t>
                                            </m:r>
                                          </m:sub>
                                        </m:sSub>
                                      </m:den>
                                    </m:f>
                                  </m:e>
                                </m:d>
                              </m:e>
                            </m:d>
                          </m:num>
                          <m:den>
                            <m:r>
                              <a:rPr lang="en-US" sz="1400" b="0" i="1">
                                <a:solidFill>
                                  <a:sysClr val="windowText" lastClr="000000"/>
                                </a:solidFill>
                                <a:latin typeface="Cambria Math" panose="02040503050406030204" pitchFamily="18" charset="0"/>
                              </a:rPr>
                              <m:t>1000</m:t>
                            </m:r>
                          </m:den>
                        </m:f>
                      </m:e>
                    </m:d>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𝐼𝑆𝑅</m:t>
                    </m:r>
                  </m:oMath>
                </m:oMathPara>
              </a14:m>
              <a:endParaRPr lang="en-US" sz="1400" i="1">
                <a:solidFill>
                  <a:sysClr val="windowText" lastClr="000000"/>
                </a:solidFill>
                <a:latin typeface="Cambria Math" panose="02040503050406030204" pitchFamily="18" charset="0"/>
              </a:endParaRPr>
            </a:p>
          </xdr:txBody>
        </xdr:sp>
      </mc:Choice>
      <mc:Fallback xmlns="">
        <xdr:sp macro="" textlink="">
          <xdr:nvSpPr>
            <xdr:cNvPr id="24" name="TextBox 23">
              <a:extLst>
                <a:ext uri="{FF2B5EF4-FFF2-40B4-BE49-F238E27FC236}">
                  <a16:creationId xmlns:a16="http://schemas.microsoft.com/office/drawing/2014/main" id="{00000000-0008-0000-0600-000018000000}"/>
                </a:ext>
              </a:extLst>
            </xdr:cNvPr>
            <xdr:cNvSpPr txBox="1"/>
          </xdr:nvSpPr>
          <xdr:spPr>
            <a:xfrm>
              <a:off x="4873926" y="264152319"/>
              <a:ext cx="17047180" cy="85277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l"/>
              <a:r>
                <a:rPr lang="el-GR" sz="1400" i="0">
                  <a:solidFill>
                    <a:sysClr val="windowText" lastClr="000000"/>
                  </a:solidFill>
                  <a:latin typeface="Cambria Math" panose="02040503050406030204" pitchFamily="18" charset="0"/>
                </a:rPr>
                <a:t>𝛥</a:t>
              </a:r>
              <a:r>
                <a:rPr lang="en-US" sz="1400" i="0">
                  <a:solidFill>
                    <a:sysClr val="windowText" lastClr="000000"/>
                  </a:solidFill>
                  <a:latin typeface="Cambria Math" panose="02040503050406030204" pitchFamily="18" charset="0"/>
                </a:rPr>
                <a:t>𝑘𝑊𝐻</a:t>
              </a:r>
              <a:r>
                <a:rPr lang="en-US" sz="1400" b="0" i="0">
                  <a:solidFill>
                    <a:sysClr val="windowText" lastClr="000000"/>
                  </a:solidFill>
                  <a:latin typeface="Cambria Math" panose="02040503050406030204" pitchFamily="18" charset="0"/>
                </a:rPr>
                <a:t>_𝐸𝑅2</a:t>
              </a:r>
              <a:r>
                <a:rPr lang="en-US" sz="1400" i="0">
                  <a:solidFill>
                    <a:sysClr val="windowText" lastClr="000000"/>
                  </a:solidFill>
                  <a:latin typeface="Cambria Math" panose="02040503050406030204" pitchFamily="18" charset="0"/>
                </a:rPr>
                <a:t>=</a:t>
              </a:r>
              <a:r>
                <a:rPr lang="en-US" sz="1400" b="0" i="0">
                  <a:solidFill>
                    <a:sysClr val="windowText" lastClr="000000"/>
                  </a:solidFill>
                  <a:effectLst/>
                  <a:latin typeface="Cambria Math" panose="02040503050406030204" pitchFamily="18" charset="0"/>
                  <a:ea typeface="+mn-ea"/>
                  <a:cs typeface="+mn-cs"/>
                </a:rPr>
                <a:t>[((𝐸</a:t>
              </a:r>
              <a:r>
                <a:rPr lang="en-US" sz="1400" i="0">
                  <a:solidFill>
                    <a:sysClr val="windowText" lastClr="000000"/>
                  </a:solidFill>
                  <a:effectLst/>
                  <a:latin typeface="Cambria Math" panose="02040503050406030204" pitchFamily="18" charset="0"/>
                  <a:ea typeface="+mn-ea"/>
                  <a:cs typeface="+mn-cs"/>
                </a:rPr>
                <a:t>𝐹𝐿𝐻</a:t>
              </a:r>
              <a:r>
                <a:rPr lang="en-US" sz="1400" b="0" i="0">
                  <a:solidFill>
                    <a:sysClr val="windowText" lastClr="000000"/>
                  </a:solidFill>
                  <a:effectLst/>
                  <a:latin typeface="Cambria Math" panose="02040503050406030204" pitchFamily="18" charset="0"/>
                  <a:ea typeface="+mn-ea"/>
                  <a:cs typeface="+mn-cs"/>
                </a:rPr>
                <a:t>_ℎ𝑒𝑎𝑡 </a:t>
              </a:r>
              <a:r>
                <a:rPr lang="en-US" sz="1400" i="0">
                  <a:solidFill>
                    <a:sysClr val="windowText" lastClr="000000"/>
                  </a:solidFill>
                  <a:effectLst/>
                  <a:latin typeface="Cambria Math" panose="02040503050406030204" pitchFamily="18" charset="0"/>
                  <a:ea typeface="+mn-ea"/>
                  <a:cs typeface="+mn-cs"/>
                </a:rPr>
                <a:t> ∗ 𝐶𝑎𝑝𝑎𝑐𝑖𝑡𝑦</a:t>
              </a:r>
              <a:r>
                <a:rPr lang="en-US" sz="1400" b="0" i="0">
                  <a:solidFill>
                    <a:sysClr val="windowText" lastClr="000000"/>
                  </a:solidFill>
                  <a:effectLst/>
                  <a:latin typeface="Cambria Math" panose="02040503050406030204" pitchFamily="18" charset="0"/>
                  <a:ea typeface="+mn-ea"/>
                  <a:cs typeface="+mn-cs"/>
                </a:rPr>
                <a:t>_ℎ𝑒𝑎𝑡</a:t>
              </a:r>
              <a:r>
                <a:rPr lang="en-US" sz="1400" i="0">
                  <a:solidFill>
                    <a:sysClr val="windowText" lastClr="000000"/>
                  </a:solidFill>
                  <a:effectLst/>
                  <a:latin typeface="Cambria Math" panose="02040503050406030204" pitchFamily="18" charset="0"/>
                  <a:ea typeface="+mn-ea"/>
                  <a:cs typeface="+mn-cs"/>
                </a:rPr>
                <a:t>∗(1/(</a:t>
              </a:r>
              <a:r>
                <a:rPr lang="en-US" sz="1400" b="0" i="0">
                  <a:solidFill>
                    <a:sysClr val="windowText" lastClr="000000"/>
                  </a:solidFill>
                  <a:effectLst/>
                  <a:latin typeface="Cambria Math" panose="02040503050406030204" pitchFamily="18" charset="0"/>
                  <a:ea typeface="+mn-ea"/>
                  <a:cs typeface="+mn-cs"/>
                </a:rPr>
                <a:t>𝐻𝑆𝑃𝐹_𝑏𝑎𝑠𝑒 )</a:t>
              </a:r>
              <a:r>
                <a:rPr lang="en-US" sz="1400" i="0">
                  <a:solidFill>
                    <a:sysClr val="windowText" lastClr="000000"/>
                  </a:solidFill>
                  <a:effectLst/>
                  <a:latin typeface="Cambria Math" panose="02040503050406030204" pitchFamily="18" charset="0"/>
                  <a:ea typeface="+mn-ea"/>
                  <a:cs typeface="+mn-cs"/>
                </a:rPr>
                <a:t>−1/(</a:t>
              </a:r>
              <a:r>
                <a:rPr lang="en-US" sz="1400" b="0" i="0">
                  <a:solidFill>
                    <a:sysClr val="windowText" lastClr="000000"/>
                  </a:solidFill>
                  <a:effectLst/>
                  <a:latin typeface="Cambria Math" panose="02040503050406030204" pitchFamily="18" charset="0"/>
                  <a:ea typeface="+mn-ea"/>
                  <a:cs typeface="+mn-cs"/>
                </a:rPr>
                <a:t>𝐻𝑆𝑃𝐹_</a:t>
              </a:r>
              <a:r>
                <a:rPr lang="en-US" sz="1400" i="0">
                  <a:solidFill>
                    <a:sysClr val="windowText" lastClr="000000"/>
                  </a:solidFill>
                  <a:effectLst/>
                  <a:latin typeface="Cambria Math" panose="02040503050406030204" pitchFamily="18" charset="0"/>
                  <a:ea typeface="+mn-ea"/>
                  <a:cs typeface="+mn-cs"/>
                </a:rPr>
                <a:t>𝑒𝑒 ))))/1000</a:t>
              </a:r>
              <a:r>
                <a:rPr lang="en-US" sz="1400" b="0" i="0">
                  <a:solidFill>
                    <a:sysClr val="windowText" lastClr="000000"/>
                  </a:solidFill>
                  <a:latin typeface="Cambria Math" panose="02040503050406030204" pitchFamily="18" charset="0"/>
                </a:rPr>
                <a:t>+((𝐸𝐹𝐿𝐻_𝑐𝑜𝑜𝑙∗𝐶𝑎𝑝𝑎𝑐𝑖𝑡𝑦_𝑐𝑜𝑜𝑙∗(1/(𝑆𝐸𝐸𝑅_𝑏𝑎𝑠𝑒 )−1/(𝑆𝐸𝐸𝑅_𝑒𝑒 ))))/1000]∗𝐼𝑆𝑅</a:t>
              </a:r>
              <a:endParaRPr lang="en-US" sz="1400" i="1">
                <a:solidFill>
                  <a:sysClr val="windowText" lastClr="000000"/>
                </a:solidFill>
                <a:latin typeface="Cambria Math" panose="02040503050406030204" pitchFamily="18" charset="0"/>
              </a:endParaRPr>
            </a:p>
          </xdr:txBody>
        </xdr:sp>
      </mc:Fallback>
    </mc:AlternateContent>
    <xdr:clientData/>
  </xdr:twoCellAnchor>
  <xdr:twoCellAnchor>
    <xdr:from>
      <xdr:col>4</xdr:col>
      <xdr:colOff>0</xdr:colOff>
      <xdr:row>1921</xdr:row>
      <xdr:rowOff>172751</xdr:rowOff>
    </xdr:from>
    <xdr:to>
      <xdr:col>9</xdr:col>
      <xdr:colOff>1392192</xdr:colOff>
      <xdr:row>1926</xdr:row>
      <xdr:rowOff>60416</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00000000-0008-0000-0600-000019000000}"/>
                </a:ext>
              </a:extLst>
            </xdr:cNvPr>
            <xdr:cNvSpPr txBox="1"/>
          </xdr:nvSpPr>
          <xdr:spPr>
            <a:xfrm>
              <a:off x="4816929" y="347331787"/>
              <a:ext cx="14768013" cy="7721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𝐸𝑅</m:t>
                      </m:r>
                      <m:r>
                        <a:rPr lang="en-US" sz="1600" b="0" i="1">
                          <a:solidFill>
                            <a:sysClr val="windowText" lastClr="000000"/>
                          </a:solidFill>
                          <a:latin typeface="Cambria Math" panose="02040503050406030204" pitchFamily="18" charset="0"/>
                        </a:rPr>
                        <m:t>1</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 * ISR</a:t>
              </a:r>
            </a:p>
          </xdr:txBody>
        </xdr:sp>
      </mc:Choice>
      <mc:Fallback xmlns="">
        <xdr:sp macro="" textlink="">
          <xdr:nvSpPr>
            <xdr:cNvPr id="25" name="TextBox 24">
              <a:extLst>
                <a:ext uri="{FF2B5EF4-FFF2-40B4-BE49-F238E27FC236}">
                  <a16:creationId xmlns:a16="http://schemas.microsoft.com/office/drawing/2014/main" id="{00000000-0008-0000-0600-000019000000}"/>
                </a:ext>
              </a:extLst>
            </xdr:cNvPr>
            <xdr:cNvSpPr txBox="1"/>
          </xdr:nvSpPr>
          <xdr:spPr>
            <a:xfrm>
              <a:off x="4816929" y="347331787"/>
              <a:ext cx="14768013" cy="7721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𝑘𝑊𝐻</a:t>
              </a:r>
              <a:r>
                <a:rPr lang="en-US" sz="1600" b="0" i="0">
                  <a:solidFill>
                    <a:sysClr val="windowText" lastClr="000000"/>
                  </a:solidFill>
                  <a:latin typeface="Cambria Math" panose="02040503050406030204" pitchFamily="18" charset="0"/>
                </a:rPr>
                <a:t>_𝐸𝑅1</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 * ISR</a:t>
              </a:r>
            </a:p>
          </xdr:txBody>
        </xdr:sp>
      </mc:Fallback>
    </mc:AlternateContent>
    <xdr:clientData/>
  </xdr:twoCellAnchor>
  <xdr:twoCellAnchor>
    <xdr:from>
      <xdr:col>4</xdr:col>
      <xdr:colOff>0</xdr:colOff>
      <xdr:row>1934</xdr:row>
      <xdr:rowOff>58240</xdr:rowOff>
    </xdr:from>
    <xdr:to>
      <xdr:col>4</xdr:col>
      <xdr:colOff>3601798</xdr:colOff>
      <xdr:row>1936</xdr:row>
      <xdr:rowOff>54431</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0000000-0008-0000-0600-00001A000000}"/>
                </a:ext>
              </a:extLst>
            </xdr:cNvPr>
            <xdr:cNvSpPr txBox="1"/>
          </xdr:nvSpPr>
          <xdr:spPr>
            <a:xfrm>
              <a:off x="4816929" y="349516883"/>
              <a:ext cx="3601798" cy="34997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6" name="TextBox 25">
              <a:extLst>
                <a:ext uri="{FF2B5EF4-FFF2-40B4-BE49-F238E27FC236}">
                  <a16:creationId xmlns:a16="http://schemas.microsoft.com/office/drawing/2014/main" id="{00000000-0008-0000-0600-00001A000000}"/>
                </a:ext>
              </a:extLst>
            </xdr:cNvPr>
            <xdr:cNvSpPr txBox="1"/>
          </xdr:nvSpPr>
          <xdr:spPr>
            <a:xfrm>
              <a:off x="4816929" y="349516883"/>
              <a:ext cx="3601798" cy="34997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4</xdr:col>
      <xdr:colOff>0</xdr:colOff>
      <xdr:row>1927</xdr:row>
      <xdr:rowOff>172085</xdr:rowOff>
    </xdr:from>
    <xdr:to>
      <xdr:col>10</xdr:col>
      <xdr:colOff>227907</xdr:colOff>
      <xdr:row>1931</xdr:row>
      <xdr:rowOff>153489</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00000000-0008-0000-0600-00001B000000}"/>
                </a:ext>
              </a:extLst>
            </xdr:cNvPr>
            <xdr:cNvSpPr txBox="1"/>
          </xdr:nvSpPr>
          <xdr:spPr>
            <a:xfrm>
              <a:off x="4816929" y="348392478"/>
              <a:ext cx="15236585" cy="68897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𝐸𝑅</m:t>
                      </m:r>
                      <m:r>
                        <a:rPr lang="en-US" sz="1600" b="0" i="1">
                          <a:solidFill>
                            <a:sysClr val="windowText" lastClr="000000"/>
                          </a:solidFill>
                          <a:latin typeface="Cambria Math" panose="02040503050406030204" pitchFamily="18" charset="0"/>
                        </a:rPr>
                        <m:t>2</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rgbClr val="FF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rgbClr val="FF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 * ISR</a:t>
              </a:r>
            </a:p>
          </xdr:txBody>
        </xdr:sp>
      </mc:Choice>
      <mc:Fallback xmlns="">
        <xdr:sp macro="" textlink="">
          <xdr:nvSpPr>
            <xdr:cNvPr id="27" name="TextBox 26">
              <a:extLst>
                <a:ext uri="{FF2B5EF4-FFF2-40B4-BE49-F238E27FC236}">
                  <a16:creationId xmlns:a16="http://schemas.microsoft.com/office/drawing/2014/main" id="{00000000-0008-0000-0600-00001B000000}"/>
                </a:ext>
              </a:extLst>
            </xdr:cNvPr>
            <xdr:cNvSpPr txBox="1"/>
          </xdr:nvSpPr>
          <xdr:spPr>
            <a:xfrm>
              <a:off x="4816929" y="348392478"/>
              <a:ext cx="15236585" cy="68897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𝑘𝑊𝐻</a:t>
              </a:r>
              <a:r>
                <a:rPr lang="en-US" sz="1600" b="0" i="0">
                  <a:solidFill>
                    <a:sysClr val="windowText" lastClr="000000"/>
                  </a:solidFill>
                  <a:latin typeface="Cambria Math" panose="02040503050406030204" pitchFamily="18" charset="0"/>
                </a:rPr>
                <a:t>_𝐸𝑅2</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a:t>
              </a:r>
              <a:r>
                <a:rPr kumimoji="0" lang="en-US" sz="1600" b="0" i="0" u="none" strike="noStrike" kern="0" cap="none" spc="0" normalizeH="0" baseline="0" noProof="0">
                  <a:ln>
                    <a:noFill/>
                  </a:ln>
                  <a:solidFill>
                    <a:srgbClr val="FF0000"/>
                  </a:solidFill>
                  <a:effectLst/>
                  <a:uLnTx/>
                  <a:uFillTx/>
                  <a:latin typeface="Cambria Math" panose="02040503050406030204" pitchFamily="18" charset="0"/>
                  <a:ea typeface="+mn-ea"/>
                  <a:cs typeface="+mn-cs"/>
                </a:rPr>
                <a:t>𝑏𝑎𝑠𝑒</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 )−1/(𝐻𝑆𝑃𝐹_𝑒𝑒 ))))/1000+((𝐸𝐹𝐿𝐻_𝑐𝑜𝑜𝑙∗𝐶𝑎𝑝𝑎𝑐𝑖𝑡𝑦_𝑐𝑜𝑜𝑙∗(1/(𝑆𝐸𝐸𝑅_</a:t>
              </a:r>
              <a:r>
                <a:rPr kumimoji="0" lang="en-US" sz="1600" b="0" i="0" u="none" strike="noStrike" kern="0" cap="none" spc="0" normalizeH="0" baseline="0" noProof="0">
                  <a:ln>
                    <a:noFill/>
                  </a:ln>
                  <a:solidFill>
                    <a:srgbClr val="FF0000"/>
                  </a:solidFill>
                  <a:effectLst/>
                  <a:uLnTx/>
                  <a:uFillTx/>
                  <a:latin typeface="Cambria Math" panose="02040503050406030204" pitchFamily="18" charset="0"/>
                  <a:ea typeface="+mn-ea"/>
                  <a:cs typeface="+mn-cs"/>
                </a:rPr>
                <a:t>𝑏𝑎𝑠𝑒</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 )−1/(𝑆𝐸𝐸𝑅_𝑒𝑒 ))))/1000)</a:t>
              </a:r>
              <a:r>
                <a:rPr lang="en-US" sz="1600" i="1">
                  <a:solidFill>
                    <a:sysClr val="windowText" lastClr="000000"/>
                  </a:solidFill>
                  <a:latin typeface="Cambria Math" panose="02040503050406030204" pitchFamily="18" charset="0"/>
                </a:rPr>
                <a:t>* HF * ISR</a:t>
              </a:r>
            </a:p>
          </xdr:txBody>
        </xdr:sp>
      </mc:Fallback>
    </mc:AlternateContent>
    <xdr:clientData/>
  </xdr:twoCellAnchor>
  <xdr:twoCellAnchor>
    <xdr:from>
      <xdr:col>18</xdr:col>
      <xdr:colOff>475161</xdr:colOff>
      <xdr:row>1919</xdr:row>
      <xdr:rowOff>0</xdr:rowOff>
    </xdr:from>
    <xdr:to>
      <xdr:col>18</xdr:col>
      <xdr:colOff>712741</xdr:colOff>
      <xdr:row>1919</xdr:row>
      <xdr:rowOff>0</xdr:rowOff>
    </xdr:to>
    <xdr:sp macro="" textlink="">
      <xdr:nvSpPr>
        <xdr:cNvPr id="28" name="Right Brace 27">
          <a:extLst>
            <a:ext uri="{FF2B5EF4-FFF2-40B4-BE49-F238E27FC236}">
              <a16:creationId xmlns:a16="http://schemas.microsoft.com/office/drawing/2014/main" id="{00000000-0008-0000-0600-00001C000000}"/>
            </a:ext>
          </a:extLst>
        </xdr:cNvPr>
        <xdr:cNvSpPr/>
      </xdr:nvSpPr>
      <xdr:spPr>
        <a:xfrm>
          <a:off x="28846054" y="346805250"/>
          <a:ext cx="237580" cy="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US" sz="1100"/>
        </a:p>
      </xdr:txBody>
    </xdr:sp>
    <xdr:clientData/>
  </xdr:twoCellAnchor>
  <xdr:twoCellAnchor>
    <xdr:from>
      <xdr:col>18</xdr:col>
      <xdr:colOff>400050</xdr:colOff>
      <xdr:row>213</xdr:row>
      <xdr:rowOff>19050</xdr:rowOff>
    </xdr:from>
    <xdr:to>
      <xdr:col>18</xdr:col>
      <xdr:colOff>628650</xdr:colOff>
      <xdr:row>217</xdr:row>
      <xdr:rowOff>76200</xdr:rowOff>
    </xdr:to>
    <xdr:sp macro="" textlink="">
      <xdr:nvSpPr>
        <xdr:cNvPr id="32" name="Right Brace 31">
          <a:extLst>
            <a:ext uri="{FF2B5EF4-FFF2-40B4-BE49-F238E27FC236}">
              <a16:creationId xmlns:a16="http://schemas.microsoft.com/office/drawing/2014/main" id="{00000000-0008-0000-0600-000020000000}"/>
            </a:ext>
          </a:extLst>
        </xdr:cNvPr>
        <xdr:cNvSpPr/>
      </xdr:nvSpPr>
      <xdr:spPr>
        <a:xfrm>
          <a:off x="28770943" y="42242014"/>
          <a:ext cx="228600" cy="76472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US" sz="1100"/>
        </a:p>
      </xdr:txBody>
    </xdr:sp>
    <xdr:clientData/>
  </xdr:twoCellAnchor>
  <xdr:twoCellAnchor>
    <xdr:from>
      <xdr:col>4</xdr:col>
      <xdr:colOff>381000</xdr:colOff>
      <xdr:row>21</xdr:row>
      <xdr:rowOff>38919</xdr:rowOff>
    </xdr:from>
    <xdr:to>
      <xdr:col>8</xdr:col>
      <xdr:colOff>1552575</xdr:colOff>
      <xdr:row>23</xdr:row>
      <xdr:rowOff>0</xdr:rowOff>
    </xdr:to>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D41D1BA6-3ABF-46B2-9128-B76B43812DCF}"/>
                </a:ext>
              </a:extLst>
            </xdr:cNvPr>
            <xdr:cNvSpPr txBox="1"/>
          </xdr:nvSpPr>
          <xdr:spPr>
            <a:xfrm>
              <a:off x="5191125" y="4649019"/>
              <a:ext cx="10239375" cy="4563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n-US" sz="160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𝑘𝑊h</m:t>
                    </m:r>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𝐻𝑒𝑎𝑡𝑖𝑛𝑔</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𝑀𝑜𝑑𝑒</m:t>
                        </m:r>
                      </m:sub>
                    </m:sSub>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𝐶𝑜𝑜𝑙𝑖𝑛𝑔</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𝑀𝑜𝑑𝑒</m:t>
                        </m:r>
                      </m:sub>
                    </m:sSub>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𝐴𝑢𝑡𝑜</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𝐶𝑖𝑟𝑐𝑢𝑙𝑎𝑡𝑖𝑜𝑛</m:t>
                        </m:r>
                      </m:sub>
                    </m:sSub>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sSub>
                      <m:sSubPr>
                        <m:ctrlPr>
                          <a:rPr lang="en-US" sz="1600" b="0" i="1">
                            <a:solidFill>
                              <a:sysClr val="windowText" lastClr="000000"/>
                            </a:solidFill>
                            <a:latin typeface="Cambria Math" panose="02040503050406030204" pitchFamily="18" charset="0"/>
                          </a:rPr>
                        </m:ctrlPr>
                      </m:sSubPr>
                      <m:e>
                        <m:r>
                          <m:rPr>
                            <m:sty m:val="p"/>
                          </m:rPr>
                          <a:rPr lang="en-US" sz="1600" b="0" i="0">
                            <a:solidFill>
                              <a:sysClr val="windowText" lastClr="000000"/>
                            </a:solidFill>
                            <a:latin typeface="Cambria Math" panose="02040503050406030204" pitchFamily="18" charset="0"/>
                          </a:rPr>
                          <m:t>kWh</m:t>
                        </m:r>
                      </m:e>
                      <m:sub>
                        <m:r>
                          <m:rPr>
                            <m:sty m:val="p"/>
                          </m:rPr>
                          <a:rPr lang="en-US" sz="1600" b="0" i="0">
                            <a:solidFill>
                              <a:sysClr val="windowText" lastClr="000000"/>
                            </a:solidFill>
                            <a:latin typeface="Cambria Math" panose="02040503050406030204" pitchFamily="18" charset="0"/>
                          </a:rPr>
                          <m:t>Continuous</m:t>
                        </m:r>
                        <m:r>
                          <a:rPr lang="en-US" sz="1600" b="0" i="0">
                            <a:solidFill>
                              <a:sysClr val="windowText" lastClr="000000"/>
                            </a:solidFill>
                            <a:latin typeface="Cambria Math" panose="02040503050406030204" pitchFamily="18" charset="0"/>
                          </a:rPr>
                          <m:t> </m:t>
                        </m:r>
                        <m:r>
                          <m:rPr>
                            <m:sty m:val="p"/>
                          </m:rPr>
                          <a:rPr lang="en-US" sz="1600" b="0" i="0">
                            <a:solidFill>
                              <a:sysClr val="windowText" lastClr="000000"/>
                            </a:solidFill>
                            <a:latin typeface="Cambria Math" panose="02040503050406030204" pitchFamily="18" charset="0"/>
                          </a:rPr>
                          <m:t>Circulation</m:t>
                        </m:r>
                      </m:sub>
                    </m:sSub>
                  </m:oMath>
                </m:oMathPara>
              </a14:m>
              <a:endParaRPr lang="en-US" sz="1600">
                <a:solidFill>
                  <a:sysClr val="windowText" lastClr="000000"/>
                </a:solidFill>
              </a:endParaRPr>
            </a:p>
          </xdr:txBody>
        </xdr:sp>
      </mc:Choice>
      <mc:Fallback xmlns="">
        <xdr:sp macro="" textlink="">
          <xdr:nvSpPr>
            <xdr:cNvPr id="30" name="TextBox 29">
              <a:extLst>
                <a:ext uri="{FF2B5EF4-FFF2-40B4-BE49-F238E27FC236}">
                  <a16:creationId xmlns:a16="http://schemas.microsoft.com/office/drawing/2014/main" id="{D41D1BA6-3ABF-46B2-9128-B76B43812DCF}"/>
                </a:ext>
              </a:extLst>
            </xdr:cNvPr>
            <xdr:cNvSpPr txBox="1"/>
          </xdr:nvSpPr>
          <xdr:spPr>
            <a:xfrm>
              <a:off x="5191125" y="4649019"/>
              <a:ext cx="10239375" cy="4563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ysClr val="windowText" lastClr="000000"/>
                  </a:solidFill>
                  <a:latin typeface="Cambria Math" panose="02040503050406030204" pitchFamily="18" charset="0"/>
                </a:rPr>
                <a:t>Δ</a:t>
              </a:r>
              <a:r>
                <a:rPr lang="en-US" sz="1600" b="0" i="0">
                  <a:solidFill>
                    <a:sysClr val="windowText" lastClr="000000"/>
                  </a:solidFill>
                  <a:latin typeface="Cambria Math" panose="02040503050406030204" pitchFamily="18" charset="0"/>
                </a:rPr>
                <a:t>𝑘𝑊ℎ=Δ𝑘𝑊ℎ_(𝐻𝑒𝑎𝑡𝑖𝑛𝑔 𝑀𝑜𝑑𝑒)+Δ𝑘𝑊ℎ_(𝐶𝑜𝑜𝑙𝑖𝑛𝑔 𝑀𝑜𝑑𝑒)+Δ𝑘𝑊ℎ_(𝐴𝑢𝑡𝑜 𝐶𝑖𝑟𝑐𝑢𝑙𝑎𝑡𝑖𝑜𝑛)+ΔkWh_(Continuous Circulation)</a:t>
              </a:r>
              <a:endParaRPr lang="en-US" sz="1600">
                <a:solidFill>
                  <a:sysClr val="windowText" lastClr="000000"/>
                </a:solidFill>
              </a:endParaRPr>
            </a:p>
          </xdr:txBody>
        </xdr:sp>
      </mc:Fallback>
    </mc:AlternateContent>
    <xdr:clientData/>
  </xdr:twoCellAnchor>
  <xdr:twoCellAnchor>
    <xdr:from>
      <xdr:col>7</xdr:col>
      <xdr:colOff>0</xdr:colOff>
      <xdr:row>193</xdr:row>
      <xdr:rowOff>135407</xdr:rowOff>
    </xdr:from>
    <xdr:to>
      <xdr:col>9</xdr:col>
      <xdr:colOff>897333</xdr:colOff>
      <xdr:row>195</xdr:row>
      <xdr:rowOff>64226</xdr:rowOff>
    </xdr:to>
    <mc:AlternateContent xmlns:mc="http://schemas.openxmlformats.org/markup-compatibility/2006" xmlns:a14="http://schemas.microsoft.com/office/drawing/2010/main">
      <mc:Choice Requires="a14">
        <xdr:sp macro="" textlink="">
          <xdr:nvSpPr>
            <xdr:cNvPr id="31" name="TextBox 30">
              <a:extLst>
                <a:ext uri="{FF2B5EF4-FFF2-40B4-BE49-F238E27FC236}">
                  <a16:creationId xmlns:a16="http://schemas.microsoft.com/office/drawing/2014/main" id="{1719756D-C544-4D04-B203-DC8876225927}"/>
                </a:ext>
              </a:extLst>
            </xdr:cNvPr>
            <xdr:cNvSpPr txBox="1"/>
          </xdr:nvSpPr>
          <xdr:spPr>
            <a:xfrm>
              <a:off x="12401550" y="39302207"/>
              <a:ext cx="4135833" cy="29076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nor/>
                      </m:rPr>
                      <a:rPr lang="en-US" sz="1600" i="1">
                        <a:solidFill>
                          <a:srgbClr val="FF0000"/>
                        </a:solidFill>
                        <a:effectLst/>
                        <a:latin typeface="Cambria Math" panose="02040503050406030204" pitchFamily="18" charset="0"/>
                        <a:ea typeface="Cambria Math" panose="02040503050406030204" pitchFamily="18" charset="0"/>
                        <a:cs typeface="+mn-cs"/>
                      </a:rPr>
                      <m:t>SEER</m:t>
                    </m:r>
                    <m:r>
                      <m:rPr>
                        <m:nor/>
                      </m:rPr>
                      <a:rPr lang="en-US" sz="1600" i="1" baseline="-25000">
                        <a:solidFill>
                          <a:srgbClr val="FF0000"/>
                        </a:solidFill>
                        <a:effectLst/>
                        <a:latin typeface="Cambria Math" panose="02040503050406030204" pitchFamily="18" charset="0"/>
                        <a:ea typeface="Cambria Math" panose="02040503050406030204" pitchFamily="18" charset="0"/>
                        <a:cs typeface="+mn-cs"/>
                      </a:rPr>
                      <m:t>exist</m:t>
                    </m:r>
                    <m:r>
                      <a:rPr lang="en-US" sz="1600" i="1">
                        <a:solidFill>
                          <a:srgbClr val="FF0000"/>
                        </a:solidFill>
                        <a:latin typeface="Cambria Math" panose="02040503050406030204" pitchFamily="18" charset="0"/>
                        <a:ea typeface="Cambria Math" panose="02040503050406030204" pitchFamily="18" charset="0"/>
                      </a:rPr>
                      <m:t>=</m:t>
                    </m:r>
                    <m:r>
                      <m:rPr>
                        <m:nor/>
                      </m:rPr>
                      <a:rPr lang="en-US" sz="1600" i="1">
                        <a:solidFill>
                          <a:srgbClr val="FF0000"/>
                        </a:solidFill>
                        <a:effectLst/>
                        <a:latin typeface="Cambria Math" panose="02040503050406030204" pitchFamily="18" charset="0"/>
                        <a:ea typeface="Cambria Math" panose="02040503050406030204" pitchFamily="18" charset="0"/>
                        <a:cs typeface="+mn-cs"/>
                      </a:rPr>
                      <m:t>SEER</m:t>
                    </m:r>
                    <m:r>
                      <m:rPr>
                        <m:nor/>
                      </m:rPr>
                      <a:rPr lang="en-US" sz="1600" i="1">
                        <a:solidFill>
                          <a:srgbClr val="FF0000"/>
                        </a:solidFill>
                        <a:effectLst/>
                        <a:latin typeface="Cambria Math" panose="02040503050406030204" pitchFamily="18" charset="0"/>
                        <a:ea typeface="Cambria Math" panose="02040503050406030204" pitchFamily="18" charset="0"/>
                        <a:cs typeface="+mn-cs"/>
                      </a:rPr>
                      <m:t> ∗ (1−1.44%)</m:t>
                    </m:r>
                    <m:r>
                      <m:rPr>
                        <m:nor/>
                      </m:rPr>
                      <a:rPr lang="en-US" sz="1600" i="1" baseline="30000">
                        <a:solidFill>
                          <a:srgbClr val="FF0000"/>
                        </a:solidFill>
                        <a:effectLst/>
                        <a:latin typeface="Cambria Math" panose="02040503050406030204" pitchFamily="18" charset="0"/>
                        <a:ea typeface="Cambria Math" panose="02040503050406030204" pitchFamily="18" charset="0"/>
                        <a:cs typeface="+mn-cs"/>
                      </a:rPr>
                      <m:t>Age</m:t>
                    </m:r>
                  </m:oMath>
                </m:oMathPara>
              </a14:m>
              <a:endParaRPr lang="en-US" sz="1600" i="1">
                <a:solidFill>
                  <a:srgbClr val="FF0000"/>
                </a:solidFill>
                <a:latin typeface="Cambria Math" panose="02040503050406030204" pitchFamily="18" charset="0"/>
                <a:ea typeface="Cambria Math" panose="02040503050406030204" pitchFamily="18" charset="0"/>
              </a:endParaRPr>
            </a:p>
          </xdr:txBody>
        </xdr:sp>
      </mc:Choice>
      <mc:Fallback xmlns="">
        <xdr:sp macro="" textlink="">
          <xdr:nvSpPr>
            <xdr:cNvPr id="31" name="TextBox 30">
              <a:extLst>
                <a:ext uri="{FF2B5EF4-FFF2-40B4-BE49-F238E27FC236}">
                  <a16:creationId xmlns:a16="http://schemas.microsoft.com/office/drawing/2014/main" id="{1719756D-C544-4D04-B203-DC8876225927}"/>
                </a:ext>
              </a:extLst>
            </xdr:cNvPr>
            <xdr:cNvSpPr txBox="1"/>
          </xdr:nvSpPr>
          <xdr:spPr>
            <a:xfrm>
              <a:off x="12401550" y="39302207"/>
              <a:ext cx="4135833" cy="29076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solidFill>
                    <a:srgbClr val="FF0000"/>
                  </a:solidFill>
                  <a:effectLst/>
                  <a:latin typeface="Cambria Math" panose="02040503050406030204" pitchFamily="18" charset="0"/>
                  <a:ea typeface="Cambria Math" panose="02040503050406030204" pitchFamily="18" charset="0"/>
                  <a:cs typeface="+mn-cs"/>
                </a:rPr>
                <a:t>"SEER</a:t>
              </a:r>
              <a:r>
                <a:rPr lang="en-US" sz="1600" i="0" baseline="-25000">
                  <a:solidFill>
                    <a:srgbClr val="FF0000"/>
                  </a:solidFill>
                  <a:effectLst/>
                  <a:latin typeface="Cambria Math" panose="02040503050406030204" pitchFamily="18" charset="0"/>
                  <a:ea typeface="Cambria Math" panose="02040503050406030204" pitchFamily="18" charset="0"/>
                  <a:cs typeface="+mn-cs"/>
                </a:rPr>
                <a:t>exist"</a:t>
              </a:r>
              <a:r>
                <a:rPr lang="en-US" sz="1600" i="0">
                  <a:solidFill>
                    <a:srgbClr val="FF0000"/>
                  </a:solidFill>
                  <a:latin typeface="Cambria Math" panose="02040503050406030204" pitchFamily="18" charset="0"/>
                  <a:ea typeface="Cambria Math" panose="02040503050406030204" pitchFamily="18" charset="0"/>
                </a:rPr>
                <a:t>=</a:t>
              </a:r>
              <a:r>
                <a:rPr lang="en-US" sz="1600" i="0">
                  <a:solidFill>
                    <a:srgbClr val="FF0000"/>
                  </a:solidFill>
                  <a:effectLst/>
                  <a:latin typeface="Cambria Math" panose="02040503050406030204" pitchFamily="18" charset="0"/>
                  <a:ea typeface="Cambria Math" panose="02040503050406030204" pitchFamily="18" charset="0"/>
                  <a:cs typeface="+mn-cs"/>
                </a:rPr>
                <a:t>"SEER ∗ (1−1.44%)</a:t>
              </a:r>
              <a:r>
                <a:rPr lang="en-US" sz="1600" i="0" baseline="30000">
                  <a:solidFill>
                    <a:srgbClr val="FF0000"/>
                  </a:solidFill>
                  <a:effectLst/>
                  <a:latin typeface="Cambria Math" panose="02040503050406030204" pitchFamily="18" charset="0"/>
                  <a:ea typeface="Cambria Math" panose="02040503050406030204" pitchFamily="18" charset="0"/>
                  <a:cs typeface="+mn-cs"/>
                </a:rPr>
                <a:t>Age"</a:t>
              </a:r>
              <a:endParaRPr lang="en-US" sz="1600" i="1">
                <a:solidFill>
                  <a:srgbClr val="FF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9</xdr:col>
      <xdr:colOff>0</xdr:colOff>
      <xdr:row>1334</xdr:row>
      <xdr:rowOff>67519</xdr:rowOff>
    </xdr:from>
    <xdr:to>
      <xdr:col>11</xdr:col>
      <xdr:colOff>790575</xdr:colOff>
      <xdr:row>1336</xdr:row>
      <xdr:rowOff>87630</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AEC1F549-D9C6-49D5-B363-76B0D048FF19}"/>
                </a:ext>
              </a:extLst>
            </xdr:cNvPr>
            <xdr:cNvSpPr txBox="1"/>
          </xdr:nvSpPr>
          <xdr:spPr>
            <a:xfrm>
              <a:off x="15640050" y="249851119"/>
              <a:ext cx="3324225" cy="3820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nor/>
                      </m:rPr>
                      <a:rPr lang="en-US" sz="1600" i="1">
                        <a:solidFill>
                          <a:srgbClr val="FF0000"/>
                        </a:solidFill>
                        <a:effectLst/>
                        <a:latin typeface="Cambria Math" panose="02040503050406030204" pitchFamily="18" charset="0"/>
                        <a:ea typeface="Cambria Math" panose="02040503050406030204" pitchFamily="18" charset="0"/>
                        <a:cs typeface="+mn-cs"/>
                      </a:rPr>
                      <m:t>SEER</m:t>
                    </m:r>
                    <m:r>
                      <m:rPr>
                        <m:nor/>
                      </m:rPr>
                      <a:rPr lang="en-US" sz="1600" i="1" baseline="-25000">
                        <a:solidFill>
                          <a:srgbClr val="FF0000"/>
                        </a:solidFill>
                        <a:effectLst/>
                        <a:latin typeface="Cambria Math" panose="02040503050406030204" pitchFamily="18" charset="0"/>
                        <a:ea typeface="Cambria Math" panose="02040503050406030204" pitchFamily="18" charset="0"/>
                        <a:cs typeface="+mn-cs"/>
                      </a:rPr>
                      <m:t>exist</m:t>
                    </m:r>
                    <m:r>
                      <a:rPr lang="en-US" sz="1600" i="1">
                        <a:solidFill>
                          <a:srgbClr val="FF0000"/>
                        </a:solidFill>
                        <a:latin typeface="Cambria Math" panose="02040503050406030204" pitchFamily="18" charset="0"/>
                        <a:ea typeface="Cambria Math" panose="02040503050406030204" pitchFamily="18" charset="0"/>
                      </a:rPr>
                      <m:t>=</m:t>
                    </m:r>
                    <m:r>
                      <m:rPr>
                        <m:nor/>
                      </m:rPr>
                      <a:rPr lang="en-US" sz="1600" i="1">
                        <a:solidFill>
                          <a:srgbClr val="FF0000"/>
                        </a:solidFill>
                        <a:effectLst/>
                        <a:latin typeface="Cambria Math" panose="02040503050406030204" pitchFamily="18" charset="0"/>
                        <a:ea typeface="Cambria Math" panose="02040503050406030204" pitchFamily="18" charset="0"/>
                        <a:cs typeface="+mn-cs"/>
                      </a:rPr>
                      <m:t>SEER</m:t>
                    </m:r>
                    <m:r>
                      <m:rPr>
                        <m:nor/>
                      </m:rPr>
                      <a:rPr lang="en-US" sz="1600" i="1">
                        <a:solidFill>
                          <a:srgbClr val="FF0000"/>
                        </a:solidFill>
                        <a:effectLst/>
                        <a:latin typeface="Cambria Math" panose="02040503050406030204" pitchFamily="18" charset="0"/>
                        <a:ea typeface="Cambria Math" panose="02040503050406030204" pitchFamily="18" charset="0"/>
                        <a:cs typeface="+mn-cs"/>
                      </a:rPr>
                      <m:t> ∗ (1−1.44%)</m:t>
                    </m:r>
                    <m:r>
                      <m:rPr>
                        <m:nor/>
                      </m:rPr>
                      <a:rPr lang="en-US" sz="1600" i="1" baseline="30000">
                        <a:solidFill>
                          <a:srgbClr val="FF0000"/>
                        </a:solidFill>
                        <a:effectLst/>
                        <a:latin typeface="Cambria Math" panose="02040503050406030204" pitchFamily="18" charset="0"/>
                        <a:ea typeface="Cambria Math" panose="02040503050406030204" pitchFamily="18" charset="0"/>
                        <a:cs typeface="+mn-cs"/>
                      </a:rPr>
                      <m:t>Age</m:t>
                    </m:r>
                  </m:oMath>
                </m:oMathPara>
              </a14:m>
              <a:endParaRPr lang="en-US" sz="1600" i="1">
                <a:solidFill>
                  <a:srgbClr val="FF0000"/>
                </a:solidFill>
                <a:latin typeface="Cambria Math" panose="02040503050406030204" pitchFamily="18" charset="0"/>
                <a:ea typeface="Cambria Math" panose="02040503050406030204" pitchFamily="18" charset="0"/>
              </a:endParaRPr>
            </a:p>
          </xdr:txBody>
        </xdr:sp>
      </mc:Choice>
      <mc:Fallback xmlns="">
        <xdr:sp macro="" textlink="">
          <xdr:nvSpPr>
            <xdr:cNvPr id="33" name="TextBox 32">
              <a:extLst>
                <a:ext uri="{FF2B5EF4-FFF2-40B4-BE49-F238E27FC236}">
                  <a16:creationId xmlns:a16="http://schemas.microsoft.com/office/drawing/2014/main" id="{AEC1F549-D9C6-49D5-B363-76B0D048FF19}"/>
                </a:ext>
              </a:extLst>
            </xdr:cNvPr>
            <xdr:cNvSpPr txBox="1"/>
          </xdr:nvSpPr>
          <xdr:spPr>
            <a:xfrm>
              <a:off x="15640050" y="249851119"/>
              <a:ext cx="3324225" cy="3820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solidFill>
                    <a:srgbClr val="FF0000"/>
                  </a:solidFill>
                  <a:effectLst/>
                  <a:latin typeface="Cambria Math" panose="02040503050406030204" pitchFamily="18" charset="0"/>
                  <a:ea typeface="Cambria Math" panose="02040503050406030204" pitchFamily="18" charset="0"/>
                  <a:cs typeface="+mn-cs"/>
                </a:rPr>
                <a:t>"SEER</a:t>
              </a:r>
              <a:r>
                <a:rPr lang="en-US" sz="1600" i="0" baseline="-25000">
                  <a:solidFill>
                    <a:srgbClr val="FF0000"/>
                  </a:solidFill>
                  <a:effectLst/>
                  <a:latin typeface="Cambria Math" panose="02040503050406030204" pitchFamily="18" charset="0"/>
                  <a:ea typeface="Cambria Math" panose="02040503050406030204" pitchFamily="18" charset="0"/>
                  <a:cs typeface="+mn-cs"/>
                </a:rPr>
                <a:t>exist"</a:t>
              </a:r>
              <a:r>
                <a:rPr lang="en-US" sz="1600" i="0">
                  <a:solidFill>
                    <a:srgbClr val="FF0000"/>
                  </a:solidFill>
                  <a:latin typeface="Cambria Math" panose="02040503050406030204" pitchFamily="18" charset="0"/>
                  <a:ea typeface="Cambria Math" panose="02040503050406030204" pitchFamily="18" charset="0"/>
                </a:rPr>
                <a:t>=</a:t>
              </a:r>
              <a:r>
                <a:rPr lang="en-US" sz="1600" i="0">
                  <a:solidFill>
                    <a:srgbClr val="FF0000"/>
                  </a:solidFill>
                  <a:effectLst/>
                  <a:latin typeface="Cambria Math" panose="02040503050406030204" pitchFamily="18" charset="0"/>
                  <a:ea typeface="Cambria Math" panose="02040503050406030204" pitchFamily="18" charset="0"/>
                  <a:cs typeface="+mn-cs"/>
                </a:rPr>
                <a:t>"SEER ∗ (1−1.44%)</a:t>
              </a:r>
              <a:r>
                <a:rPr lang="en-US" sz="1600" i="0" baseline="30000">
                  <a:solidFill>
                    <a:srgbClr val="FF0000"/>
                  </a:solidFill>
                  <a:effectLst/>
                  <a:latin typeface="Cambria Math" panose="02040503050406030204" pitchFamily="18" charset="0"/>
                  <a:ea typeface="Cambria Math" panose="02040503050406030204" pitchFamily="18" charset="0"/>
                  <a:cs typeface="+mn-cs"/>
                </a:rPr>
                <a:t>Age"</a:t>
              </a:r>
              <a:endParaRPr lang="en-US" sz="1600" i="1">
                <a:solidFill>
                  <a:srgbClr val="FF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9</xdr:col>
      <xdr:colOff>81642</xdr:colOff>
      <xdr:row>1928</xdr:row>
      <xdr:rowOff>157633</xdr:rowOff>
    </xdr:from>
    <xdr:to>
      <xdr:col>11</xdr:col>
      <xdr:colOff>1052998</xdr:colOff>
      <xdr:row>1930</xdr:row>
      <xdr:rowOff>89264</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4F7B02CC-488A-4368-B1EB-8ECA27871BE9}"/>
                </a:ext>
              </a:extLst>
            </xdr:cNvPr>
            <xdr:cNvSpPr txBox="1"/>
          </xdr:nvSpPr>
          <xdr:spPr>
            <a:xfrm>
              <a:off x="15757071" y="107531597"/>
              <a:ext cx="3502284" cy="28541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nor/>
                      </m:rPr>
                      <a:rPr lang="en-US" sz="1600" i="1">
                        <a:solidFill>
                          <a:srgbClr val="FF0000"/>
                        </a:solidFill>
                        <a:effectLst/>
                        <a:latin typeface="Cambria Math" panose="02040503050406030204" pitchFamily="18" charset="0"/>
                        <a:ea typeface="Cambria Math" panose="02040503050406030204" pitchFamily="18" charset="0"/>
                        <a:cs typeface="+mn-cs"/>
                      </a:rPr>
                      <m:t>SEER</m:t>
                    </m:r>
                    <m:r>
                      <m:rPr>
                        <m:nor/>
                      </m:rPr>
                      <a:rPr lang="en-US" sz="1600" i="1" baseline="-25000">
                        <a:solidFill>
                          <a:srgbClr val="FF0000"/>
                        </a:solidFill>
                        <a:effectLst/>
                        <a:latin typeface="Cambria Math" panose="02040503050406030204" pitchFamily="18" charset="0"/>
                        <a:ea typeface="Cambria Math" panose="02040503050406030204" pitchFamily="18" charset="0"/>
                        <a:cs typeface="+mn-cs"/>
                      </a:rPr>
                      <m:t>exist</m:t>
                    </m:r>
                    <m:r>
                      <a:rPr lang="en-US" sz="1600" i="1">
                        <a:solidFill>
                          <a:srgbClr val="FF0000"/>
                        </a:solidFill>
                        <a:latin typeface="Cambria Math" panose="02040503050406030204" pitchFamily="18" charset="0"/>
                        <a:ea typeface="Cambria Math" panose="02040503050406030204" pitchFamily="18" charset="0"/>
                      </a:rPr>
                      <m:t>=</m:t>
                    </m:r>
                    <m:r>
                      <m:rPr>
                        <m:nor/>
                      </m:rPr>
                      <a:rPr lang="en-US" sz="1600" i="1">
                        <a:solidFill>
                          <a:srgbClr val="FF0000"/>
                        </a:solidFill>
                        <a:effectLst/>
                        <a:latin typeface="Cambria Math" panose="02040503050406030204" pitchFamily="18" charset="0"/>
                        <a:ea typeface="Cambria Math" panose="02040503050406030204" pitchFamily="18" charset="0"/>
                        <a:cs typeface="+mn-cs"/>
                      </a:rPr>
                      <m:t>SEER</m:t>
                    </m:r>
                    <m:r>
                      <m:rPr>
                        <m:nor/>
                      </m:rPr>
                      <a:rPr lang="en-US" sz="1600" i="1">
                        <a:solidFill>
                          <a:srgbClr val="FF0000"/>
                        </a:solidFill>
                        <a:effectLst/>
                        <a:latin typeface="Cambria Math" panose="02040503050406030204" pitchFamily="18" charset="0"/>
                        <a:ea typeface="Cambria Math" panose="02040503050406030204" pitchFamily="18" charset="0"/>
                        <a:cs typeface="+mn-cs"/>
                      </a:rPr>
                      <m:t> ∗ (1−1.44%)</m:t>
                    </m:r>
                    <m:r>
                      <m:rPr>
                        <m:nor/>
                      </m:rPr>
                      <a:rPr lang="en-US" sz="1600" i="1" baseline="30000">
                        <a:solidFill>
                          <a:srgbClr val="FF0000"/>
                        </a:solidFill>
                        <a:effectLst/>
                        <a:latin typeface="Cambria Math" panose="02040503050406030204" pitchFamily="18" charset="0"/>
                        <a:ea typeface="Cambria Math" panose="02040503050406030204" pitchFamily="18" charset="0"/>
                        <a:cs typeface="+mn-cs"/>
                      </a:rPr>
                      <m:t>Age</m:t>
                    </m:r>
                  </m:oMath>
                </m:oMathPara>
              </a14:m>
              <a:endParaRPr lang="en-US" sz="1600" i="1">
                <a:solidFill>
                  <a:srgbClr val="FF0000"/>
                </a:solidFill>
                <a:latin typeface="Cambria Math" panose="02040503050406030204" pitchFamily="18" charset="0"/>
                <a:ea typeface="Cambria Math" panose="02040503050406030204" pitchFamily="18" charset="0"/>
              </a:endParaRPr>
            </a:p>
          </xdr:txBody>
        </xdr:sp>
      </mc:Choice>
      <mc:Fallback xmlns="">
        <xdr:sp macro="" textlink="">
          <xdr:nvSpPr>
            <xdr:cNvPr id="34" name="TextBox 33">
              <a:extLst>
                <a:ext uri="{FF2B5EF4-FFF2-40B4-BE49-F238E27FC236}">
                  <a16:creationId xmlns:a16="http://schemas.microsoft.com/office/drawing/2014/main" id="{4F7B02CC-488A-4368-B1EB-8ECA27871BE9}"/>
                </a:ext>
              </a:extLst>
            </xdr:cNvPr>
            <xdr:cNvSpPr txBox="1"/>
          </xdr:nvSpPr>
          <xdr:spPr>
            <a:xfrm>
              <a:off x="15757071" y="107531597"/>
              <a:ext cx="3502284" cy="28541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solidFill>
                    <a:srgbClr val="FF0000"/>
                  </a:solidFill>
                  <a:effectLst/>
                  <a:latin typeface="Cambria Math" panose="02040503050406030204" pitchFamily="18" charset="0"/>
                  <a:ea typeface="Cambria Math" panose="02040503050406030204" pitchFamily="18" charset="0"/>
                  <a:cs typeface="+mn-cs"/>
                </a:rPr>
                <a:t>"SEER</a:t>
              </a:r>
              <a:r>
                <a:rPr lang="en-US" sz="1600" i="0" baseline="-25000">
                  <a:solidFill>
                    <a:srgbClr val="FF0000"/>
                  </a:solidFill>
                  <a:effectLst/>
                  <a:latin typeface="Cambria Math" panose="02040503050406030204" pitchFamily="18" charset="0"/>
                  <a:ea typeface="Cambria Math" panose="02040503050406030204" pitchFamily="18" charset="0"/>
                  <a:cs typeface="+mn-cs"/>
                </a:rPr>
                <a:t>exist"</a:t>
              </a:r>
              <a:r>
                <a:rPr lang="en-US" sz="1600" i="0">
                  <a:solidFill>
                    <a:srgbClr val="FF0000"/>
                  </a:solidFill>
                  <a:latin typeface="Cambria Math" panose="02040503050406030204" pitchFamily="18" charset="0"/>
                  <a:ea typeface="Cambria Math" panose="02040503050406030204" pitchFamily="18" charset="0"/>
                </a:rPr>
                <a:t>=</a:t>
              </a:r>
              <a:r>
                <a:rPr lang="en-US" sz="1600" i="0">
                  <a:solidFill>
                    <a:srgbClr val="FF0000"/>
                  </a:solidFill>
                  <a:effectLst/>
                  <a:latin typeface="Cambria Math" panose="02040503050406030204" pitchFamily="18" charset="0"/>
                  <a:ea typeface="Cambria Math" panose="02040503050406030204" pitchFamily="18" charset="0"/>
                  <a:cs typeface="+mn-cs"/>
                </a:rPr>
                <a:t>"SEER ∗ (1−1.44%)</a:t>
              </a:r>
              <a:r>
                <a:rPr lang="en-US" sz="1600" i="0" baseline="30000">
                  <a:solidFill>
                    <a:srgbClr val="FF0000"/>
                  </a:solidFill>
                  <a:effectLst/>
                  <a:latin typeface="Cambria Math" panose="02040503050406030204" pitchFamily="18" charset="0"/>
                  <a:ea typeface="Cambria Math" panose="02040503050406030204" pitchFamily="18" charset="0"/>
                  <a:cs typeface="+mn-cs"/>
                </a:rPr>
                <a:t>Age"</a:t>
              </a:r>
              <a:endParaRPr lang="en-US" sz="1600" i="1">
                <a:solidFill>
                  <a:srgbClr val="FF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8</xdr:col>
      <xdr:colOff>1743075</xdr:colOff>
      <xdr:row>865</xdr:row>
      <xdr:rowOff>171632</xdr:rowOff>
    </xdr:from>
    <xdr:to>
      <xdr:col>11</xdr:col>
      <xdr:colOff>483948</xdr:colOff>
      <xdr:row>867</xdr:row>
      <xdr:rowOff>60415</xdr:rowOff>
    </xdr:to>
    <mc:AlternateContent xmlns:mc="http://schemas.openxmlformats.org/markup-compatibility/2006" xmlns:a14="http://schemas.microsoft.com/office/drawing/2010/main">
      <mc:Choice Requires="a14">
        <xdr:sp macro="" textlink="">
          <xdr:nvSpPr>
            <xdr:cNvPr id="35" name="TextBox 34">
              <a:extLst>
                <a:ext uri="{FF2B5EF4-FFF2-40B4-BE49-F238E27FC236}">
                  <a16:creationId xmlns:a16="http://schemas.microsoft.com/office/drawing/2014/main" id="{F9DAC47B-8BA2-4ECF-B6ED-9328B3B38A0B}"/>
                </a:ext>
              </a:extLst>
            </xdr:cNvPr>
            <xdr:cNvSpPr txBox="1"/>
          </xdr:nvSpPr>
          <xdr:spPr>
            <a:xfrm>
              <a:off x="15621000" y="163477757"/>
              <a:ext cx="3036648" cy="25073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nor/>
                      </m:rPr>
                      <a:rPr lang="en-US" sz="1600" i="1">
                        <a:solidFill>
                          <a:srgbClr val="FF0000"/>
                        </a:solidFill>
                        <a:effectLst/>
                        <a:latin typeface="Cambria Math" panose="02040503050406030204" pitchFamily="18" charset="0"/>
                        <a:ea typeface="Cambria Math" panose="02040503050406030204" pitchFamily="18" charset="0"/>
                        <a:cs typeface="+mn-cs"/>
                      </a:rPr>
                      <m:t>SEER</m:t>
                    </m:r>
                    <m:r>
                      <m:rPr>
                        <m:nor/>
                      </m:rPr>
                      <a:rPr lang="en-US" sz="1600" i="1" baseline="-25000">
                        <a:solidFill>
                          <a:srgbClr val="FF0000"/>
                        </a:solidFill>
                        <a:effectLst/>
                        <a:latin typeface="Cambria Math" panose="02040503050406030204" pitchFamily="18" charset="0"/>
                        <a:ea typeface="Cambria Math" panose="02040503050406030204" pitchFamily="18" charset="0"/>
                        <a:cs typeface="+mn-cs"/>
                      </a:rPr>
                      <m:t>exist</m:t>
                    </m:r>
                    <m:r>
                      <a:rPr lang="en-US" sz="1600" i="1">
                        <a:solidFill>
                          <a:srgbClr val="FF0000"/>
                        </a:solidFill>
                        <a:latin typeface="Cambria Math" panose="02040503050406030204" pitchFamily="18" charset="0"/>
                        <a:ea typeface="Cambria Math" panose="02040503050406030204" pitchFamily="18" charset="0"/>
                      </a:rPr>
                      <m:t>=</m:t>
                    </m:r>
                    <m:r>
                      <m:rPr>
                        <m:nor/>
                      </m:rPr>
                      <a:rPr lang="en-US" sz="1600" i="1">
                        <a:solidFill>
                          <a:srgbClr val="FF0000"/>
                        </a:solidFill>
                        <a:effectLst/>
                        <a:latin typeface="Cambria Math" panose="02040503050406030204" pitchFamily="18" charset="0"/>
                        <a:ea typeface="Cambria Math" panose="02040503050406030204" pitchFamily="18" charset="0"/>
                        <a:cs typeface="+mn-cs"/>
                      </a:rPr>
                      <m:t>SEER</m:t>
                    </m:r>
                    <m:r>
                      <m:rPr>
                        <m:nor/>
                      </m:rPr>
                      <a:rPr lang="en-US" sz="1600" i="1">
                        <a:solidFill>
                          <a:srgbClr val="FF0000"/>
                        </a:solidFill>
                        <a:effectLst/>
                        <a:latin typeface="Cambria Math" panose="02040503050406030204" pitchFamily="18" charset="0"/>
                        <a:ea typeface="Cambria Math" panose="02040503050406030204" pitchFamily="18" charset="0"/>
                        <a:cs typeface="+mn-cs"/>
                      </a:rPr>
                      <m:t> ∗ (1−1.44%)</m:t>
                    </m:r>
                    <m:r>
                      <m:rPr>
                        <m:nor/>
                      </m:rPr>
                      <a:rPr lang="en-US" sz="1600" i="1" baseline="30000">
                        <a:solidFill>
                          <a:srgbClr val="FF0000"/>
                        </a:solidFill>
                        <a:effectLst/>
                        <a:latin typeface="Cambria Math" panose="02040503050406030204" pitchFamily="18" charset="0"/>
                        <a:ea typeface="Cambria Math" panose="02040503050406030204" pitchFamily="18" charset="0"/>
                        <a:cs typeface="+mn-cs"/>
                      </a:rPr>
                      <m:t>Age</m:t>
                    </m:r>
                  </m:oMath>
                </m:oMathPara>
              </a14:m>
              <a:endParaRPr lang="en-US" sz="1600" i="1">
                <a:solidFill>
                  <a:srgbClr val="FF0000"/>
                </a:solidFill>
                <a:latin typeface="Cambria Math" panose="02040503050406030204" pitchFamily="18" charset="0"/>
                <a:ea typeface="Cambria Math" panose="02040503050406030204" pitchFamily="18" charset="0"/>
              </a:endParaRPr>
            </a:p>
          </xdr:txBody>
        </xdr:sp>
      </mc:Choice>
      <mc:Fallback xmlns="">
        <xdr:sp macro="" textlink="">
          <xdr:nvSpPr>
            <xdr:cNvPr id="35" name="TextBox 34">
              <a:extLst>
                <a:ext uri="{FF2B5EF4-FFF2-40B4-BE49-F238E27FC236}">
                  <a16:creationId xmlns:a16="http://schemas.microsoft.com/office/drawing/2014/main" id="{F9DAC47B-8BA2-4ECF-B6ED-9328B3B38A0B}"/>
                </a:ext>
              </a:extLst>
            </xdr:cNvPr>
            <xdr:cNvSpPr txBox="1"/>
          </xdr:nvSpPr>
          <xdr:spPr>
            <a:xfrm>
              <a:off x="15621000" y="163477757"/>
              <a:ext cx="3036648" cy="25073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solidFill>
                    <a:srgbClr val="FF0000"/>
                  </a:solidFill>
                  <a:effectLst/>
                  <a:latin typeface="Cambria Math" panose="02040503050406030204" pitchFamily="18" charset="0"/>
                  <a:ea typeface="Cambria Math" panose="02040503050406030204" pitchFamily="18" charset="0"/>
                  <a:cs typeface="+mn-cs"/>
                </a:rPr>
                <a:t>"SEER</a:t>
              </a:r>
              <a:r>
                <a:rPr lang="en-US" sz="1600" i="0" baseline="-25000">
                  <a:solidFill>
                    <a:srgbClr val="FF0000"/>
                  </a:solidFill>
                  <a:effectLst/>
                  <a:latin typeface="Cambria Math" panose="02040503050406030204" pitchFamily="18" charset="0"/>
                  <a:ea typeface="Cambria Math" panose="02040503050406030204" pitchFamily="18" charset="0"/>
                  <a:cs typeface="+mn-cs"/>
                </a:rPr>
                <a:t>exist"</a:t>
              </a:r>
              <a:r>
                <a:rPr lang="en-US" sz="1600" i="0">
                  <a:solidFill>
                    <a:srgbClr val="FF0000"/>
                  </a:solidFill>
                  <a:latin typeface="Cambria Math" panose="02040503050406030204" pitchFamily="18" charset="0"/>
                  <a:ea typeface="Cambria Math" panose="02040503050406030204" pitchFamily="18" charset="0"/>
                </a:rPr>
                <a:t>=</a:t>
              </a:r>
              <a:r>
                <a:rPr lang="en-US" sz="1600" i="0">
                  <a:solidFill>
                    <a:srgbClr val="FF0000"/>
                  </a:solidFill>
                  <a:effectLst/>
                  <a:latin typeface="Cambria Math" panose="02040503050406030204" pitchFamily="18" charset="0"/>
                  <a:ea typeface="Cambria Math" panose="02040503050406030204" pitchFamily="18" charset="0"/>
                  <a:cs typeface="+mn-cs"/>
                </a:rPr>
                <a:t>"SEER ∗ (1−1.44%)</a:t>
              </a:r>
              <a:r>
                <a:rPr lang="en-US" sz="1600" i="0" baseline="30000">
                  <a:solidFill>
                    <a:srgbClr val="FF0000"/>
                  </a:solidFill>
                  <a:effectLst/>
                  <a:latin typeface="Cambria Math" panose="02040503050406030204" pitchFamily="18" charset="0"/>
                  <a:ea typeface="Cambria Math" panose="02040503050406030204" pitchFamily="18" charset="0"/>
                  <a:cs typeface="+mn-cs"/>
                </a:rPr>
                <a:t>Age"</a:t>
              </a:r>
              <a:endParaRPr lang="en-US" sz="1600" i="1">
                <a:solidFill>
                  <a:srgbClr val="FF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4</xdr:col>
      <xdr:colOff>64618</xdr:colOff>
      <xdr:row>1436</xdr:row>
      <xdr:rowOff>20108</xdr:rowOff>
    </xdr:from>
    <xdr:to>
      <xdr:col>11</xdr:col>
      <xdr:colOff>1201238</xdr:colOff>
      <xdr:row>1441</xdr:row>
      <xdr:rowOff>0</xdr:rowOff>
    </xdr:to>
    <mc:AlternateContent xmlns:mc="http://schemas.openxmlformats.org/markup-compatibility/2006" xmlns:a14="http://schemas.microsoft.com/office/drawing/2010/main">
      <mc:Choice Requires="a14">
        <xdr:sp macro="" textlink="">
          <xdr:nvSpPr>
            <xdr:cNvPr id="37" name="TextBox 36">
              <a:extLst>
                <a:ext uri="{FF2B5EF4-FFF2-40B4-BE49-F238E27FC236}">
                  <a16:creationId xmlns:a16="http://schemas.microsoft.com/office/drawing/2014/main" id="{DADC46A1-2F34-4217-A129-950ABE237408}"/>
                </a:ext>
              </a:extLst>
            </xdr:cNvPr>
            <xdr:cNvSpPr txBox="1"/>
          </xdr:nvSpPr>
          <xdr:spPr>
            <a:xfrm>
              <a:off x="4881547" y="263018965"/>
              <a:ext cx="17043370" cy="86435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l"/>
              <a14:m>
                <m:oMathPara xmlns:m="http://schemas.openxmlformats.org/officeDocument/2006/math">
                  <m:oMathParaPr>
                    <m:jc m:val="left"/>
                  </m:oMathParaPr>
                  <m:oMath xmlns:m="http://schemas.openxmlformats.org/officeDocument/2006/math">
                    <m:r>
                      <a:rPr lang="el-GR" sz="1400" i="1">
                        <a:solidFill>
                          <a:sysClr val="windowText" lastClr="000000"/>
                        </a:solidFill>
                        <a:latin typeface="Cambria Math" panose="02040503050406030204" pitchFamily="18" charset="0"/>
                      </a:rPr>
                      <m:t>𝛥</m:t>
                    </m:r>
                    <m:r>
                      <a:rPr lang="en-US" sz="1400" i="1">
                        <a:solidFill>
                          <a:sysClr val="windowText" lastClr="000000"/>
                        </a:solidFill>
                        <a:latin typeface="Cambria Math" panose="02040503050406030204" pitchFamily="18" charset="0"/>
                      </a:rPr>
                      <m:t>𝑘𝑊</m:t>
                    </m:r>
                    <m:sSub>
                      <m:sSubPr>
                        <m:ctrlPr>
                          <a:rPr lang="en-US" sz="1400" b="0" i="1">
                            <a:solidFill>
                              <a:sysClr val="windowText" lastClr="000000"/>
                            </a:solidFill>
                            <a:latin typeface="Cambria Math" panose="02040503050406030204" pitchFamily="18" charset="0"/>
                          </a:rPr>
                        </m:ctrlPr>
                      </m:sSubPr>
                      <m:e>
                        <m:r>
                          <a:rPr lang="en-US" sz="1400" i="1">
                            <a:solidFill>
                              <a:sysClr val="windowText" lastClr="000000"/>
                            </a:solidFill>
                            <a:latin typeface="Cambria Math" panose="02040503050406030204" pitchFamily="18" charset="0"/>
                          </a:rPr>
                          <m:t>𝐻</m:t>
                        </m:r>
                      </m:e>
                      <m:sub>
                        <m:r>
                          <a:rPr lang="en-US" sz="1400" b="0" i="1">
                            <a:solidFill>
                              <a:sysClr val="windowText" lastClr="000000"/>
                            </a:solidFill>
                            <a:latin typeface="Cambria Math" panose="02040503050406030204" pitchFamily="18" charset="0"/>
                          </a:rPr>
                          <m:t>𝐸𝑅</m:t>
                        </m:r>
                        <m:r>
                          <a:rPr lang="en-US" sz="1400" b="0" i="1">
                            <a:solidFill>
                              <a:sysClr val="windowText" lastClr="000000"/>
                            </a:solidFill>
                            <a:latin typeface="Cambria Math" panose="02040503050406030204" pitchFamily="18" charset="0"/>
                          </a:rPr>
                          <m:t>1</m:t>
                        </m:r>
                      </m:sub>
                    </m:sSub>
                    <m:r>
                      <a:rPr lang="en-US" sz="1400" i="1">
                        <a:solidFill>
                          <a:sysClr val="windowText" lastClr="000000"/>
                        </a:solidFill>
                        <a:latin typeface="Cambria Math" panose="02040503050406030204" pitchFamily="18" charset="0"/>
                      </a:rPr>
                      <m:t>=</m:t>
                    </m:r>
                    <m:d>
                      <m:dPr>
                        <m:begChr m:val="["/>
                        <m:endChr m:val="]"/>
                        <m:ctrlPr>
                          <a:rPr lang="en-US" sz="1400" b="0" i="1">
                            <a:solidFill>
                              <a:sysClr val="windowText" lastClr="000000"/>
                            </a:solidFill>
                            <a:effectLst/>
                            <a:latin typeface="Cambria Math" panose="02040503050406030204" pitchFamily="18" charset="0"/>
                            <a:ea typeface="+mn-ea"/>
                            <a:cs typeface="+mn-cs"/>
                          </a:rPr>
                        </m:ctrlPr>
                      </m:dPr>
                      <m:e>
                        <m:f>
                          <m:fPr>
                            <m:ctrlPr>
                              <a:rPr lang="en-US" sz="1400" i="1">
                                <a:solidFill>
                                  <a:sysClr val="windowText" lastClr="000000"/>
                                </a:solidFill>
                                <a:effectLst/>
                                <a:latin typeface="Cambria Math" panose="02040503050406030204" pitchFamily="18" charset="0"/>
                                <a:ea typeface="+mn-ea"/>
                                <a:cs typeface="+mn-cs"/>
                              </a:rPr>
                            </m:ctrlPr>
                          </m:fPr>
                          <m:num>
                            <m:d>
                              <m:dPr>
                                <m:ctrlPr>
                                  <a:rPr lang="en-US" sz="1400" b="0" i="1">
                                    <a:solidFill>
                                      <a:sysClr val="windowText" lastClr="000000"/>
                                    </a:solidFill>
                                    <a:effectLst/>
                                    <a:latin typeface="Cambria Math" panose="02040503050406030204" pitchFamily="18" charset="0"/>
                                    <a:ea typeface="+mn-ea"/>
                                    <a:cs typeface="+mn-cs"/>
                                  </a:rPr>
                                </m:ctrlPr>
                              </m:dPr>
                              <m:e>
                                <m:r>
                                  <a:rPr lang="en-US" sz="1400" b="0" i="1">
                                    <a:solidFill>
                                      <a:sysClr val="windowText" lastClr="000000"/>
                                    </a:solidFill>
                                    <a:effectLst/>
                                    <a:latin typeface="Cambria Math" panose="02040503050406030204" pitchFamily="18" charset="0"/>
                                    <a:ea typeface="+mn-ea"/>
                                    <a:cs typeface="+mn-cs"/>
                                  </a:rPr>
                                  <m:t>𝐸</m:t>
                                </m:r>
                                <m:r>
                                  <a:rPr lang="en-US" sz="1400" i="1">
                                    <a:solidFill>
                                      <a:sysClr val="windowText" lastClr="000000"/>
                                    </a:solidFill>
                                    <a:effectLst/>
                                    <a:latin typeface="Cambria Math" panose="02040503050406030204" pitchFamily="18" charset="0"/>
                                    <a:ea typeface="+mn-ea"/>
                                    <a:cs typeface="+mn-cs"/>
                                  </a:rPr>
                                  <m:t>𝐹𝐿</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𝐻</m:t>
                                    </m:r>
                                  </m:e>
                                  <m:sub>
                                    <m:r>
                                      <a:rPr lang="en-US" sz="1400" b="0" i="1">
                                        <a:solidFill>
                                          <a:sysClr val="windowText" lastClr="000000"/>
                                        </a:solidFill>
                                        <a:effectLst/>
                                        <a:latin typeface="Cambria Math" panose="02040503050406030204" pitchFamily="18" charset="0"/>
                                        <a:ea typeface="+mn-ea"/>
                                        <a:cs typeface="+mn-cs"/>
                                      </a:rPr>
                                      <m:t>h𝑒𝑎𝑡</m:t>
                                    </m:r>
                                  </m:sub>
                                </m:sSub>
                                <m:r>
                                  <a:rPr lang="en-US" sz="1400" i="1">
                                    <a:solidFill>
                                      <a:sysClr val="windowText" lastClr="000000"/>
                                    </a:solidFill>
                                    <a:effectLst/>
                                    <a:latin typeface="Cambria Math" panose="02040503050406030204" pitchFamily="18" charset="0"/>
                                    <a:ea typeface="+mn-ea"/>
                                    <a:cs typeface="+mn-cs"/>
                                  </a:rPr>
                                  <m:t> ∗ </m:t>
                                </m:r>
                                <m:r>
                                  <a:rPr lang="en-US" sz="1400" i="1">
                                    <a:solidFill>
                                      <a:sysClr val="windowText" lastClr="000000"/>
                                    </a:solidFill>
                                    <a:effectLst/>
                                    <a:latin typeface="Cambria Math" panose="02040503050406030204" pitchFamily="18" charset="0"/>
                                    <a:ea typeface="+mn-ea"/>
                                    <a:cs typeface="+mn-cs"/>
                                  </a:rPr>
                                  <m:t>𝐶𝑎𝑝𝑎𝑐𝑖𝑡</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𝑦</m:t>
                                    </m:r>
                                  </m:e>
                                  <m:sub>
                                    <m:r>
                                      <a:rPr lang="en-US" sz="1400" b="0" i="1">
                                        <a:solidFill>
                                          <a:sysClr val="windowText" lastClr="000000"/>
                                        </a:solidFill>
                                        <a:effectLst/>
                                        <a:latin typeface="Cambria Math" panose="02040503050406030204" pitchFamily="18" charset="0"/>
                                        <a:ea typeface="+mn-ea"/>
                                        <a:cs typeface="+mn-cs"/>
                                      </a:rPr>
                                      <m:t>h𝑒𝑎𝑡</m:t>
                                    </m:r>
                                  </m:sub>
                                </m:sSub>
                                <m:r>
                                  <a:rPr lang="en-US" sz="1400" i="1">
                                    <a:solidFill>
                                      <a:sysClr val="windowText" lastClr="000000"/>
                                    </a:solidFill>
                                    <a:effectLst/>
                                    <a:latin typeface="Cambria Math" panose="02040503050406030204" pitchFamily="18" charset="0"/>
                                    <a:ea typeface="+mn-ea"/>
                                    <a:cs typeface="+mn-cs"/>
                                  </a:rPr>
                                  <m:t>∗</m:t>
                                </m:r>
                                <m:d>
                                  <m:dPr>
                                    <m:ctrlPr>
                                      <a:rPr lang="en-US" sz="1400" i="1">
                                        <a:solidFill>
                                          <a:sysClr val="windowText" lastClr="000000"/>
                                        </a:solidFill>
                                        <a:effectLst/>
                                        <a:latin typeface="Cambria Math" panose="02040503050406030204" pitchFamily="18" charset="0"/>
                                        <a:ea typeface="+mn-ea"/>
                                        <a:cs typeface="+mn-cs"/>
                                      </a:rPr>
                                    </m:ctrlPr>
                                  </m:dPr>
                                  <m:e>
                                    <m:f>
                                      <m:fPr>
                                        <m:ctrlPr>
                                          <a:rPr lang="en-US" sz="1400" i="1">
                                            <a:solidFill>
                                              <a:sysClr val="windowText" lastClr="000000"/>
                                            </a:solidFill>
                                            <a:effectLst/>
                                            <a:latin typeface="Cambria Math" panose="02040503050406030204" pitchFamily="18" charset="0"/>
                                            <a:ea typeface="+mn-ea"/>
                                            <a:cs typeface="+mn-cs"/>
                                          </a:rPr>
                                        </m:ctrlPr>
                                      </m:fPr>
                                      <m:num>
                                        <m:r>
                                          <a:rPr lang="en-US" sz="1400" i="1">
                                            <a:solidFill>
                                              <a:sysClr val="windowText" lastClr="000000"/>
                                            </a:solidFill>
                                            <a:effectLst/>
                                            <a:latin typeface="Cambria Math" panose="02040503050406030204" pitchFamily="18" charset="0"/>
                                            <a:ea typeface="+mn-ea"/>
                                            <a:cs typeface="+mn-cs"/>
                                          </a:rPr>
                                          <m:t>1</m:t>
                                        </m:r>
                                      </m:num>
                                      <m:den>
                                        <m:r>
                                          <a:rPr lang="en-US" sz="1400" b="0" i="1">
                                            <a:solidFill>
                                              <a:sysClr val="windowText" lastClr="000000"/>
                                            </a:solidFill>
                                            <a:effectLst/>
                                            <a:latin typeface="Cambria Math" panose="02040503050406030204" pitchFamily="18" charset="0"/>
                                            <a:ea typeface="+mn-ea"/>
                                            <a:cs typeface="+mn-cs"/>
                                          </a:rPr>
                                          <m:t>𝐻𝑆𝑃</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𝐹</m:t>
                                            </m:r>
                                          </m:e>
                                          <m:sub>
                                            <m:r>
                                              <a:rPr lang="en-US" sz="1400" i="1">
                                                <a:solidFill>
                                                  <a:sysClr val="windowText" lastClr="000000"/>
                                                </a:solidFill>
                                                <a:effectLst/>
                                                <a:latin typeface="Cambria Math" panose="02040503050406030204" pitchFamily="18" charset="0"/>
                                                <a:ea typeface="+mn-ea"/>
                                                <a:cs typeface="+mn-cs"/>
                                              </a:rPr>
                                              <m:t>𝑒𝑥𝑖𝑠𝑡</m:t>
                                            </m:r>
                                          </m:sub>
                                        </m:sSub>
                                      </m:den>
                                    </m:f>
                                    <m:r>
                                      <a:rPr lang="en-US" sz="1400" i="1">
                                        <a:solidFill>
                                          <a:sysClr val="windowText" lastClr="000000"/>
                                        </a:solidFill>
                                        <a:effectLst/>
                                        <a:latin typeface="Cambria Math" panose="02040503050406030204" pitchFamily="18" charset="0"/>
                                        <a:ea typeface="+mn-ea"/>
                                        <a:cs typeface="+mn-cs"/>
                                      </a:rPr>
                                      <m:t>−</m:t>
                                    </m:r>
                                    <m:f>
                                      <m:fPr>
                                        <m:ctrlPr>
                                          <a:rPr lang="en-US" sz="1400" i="1">
                                            <a:solidFill>
                                              <a:sysClr val="windowText" lastClr="000000"/>
                                            </a:solidFill>
                                            <a:effectLst/>
                                            <a:latin typeface="Cambria Math" panose="02040503050406030204" pitchFamily="18" charset="0"/>
                                            <a:ea typeface="+mn-ea"/>
                                            <a:cs typeface="+mn-cs"/>
                                          </a:rPr>
                                        </m:ctrlPr>
                                      </m:fPr>
                                      <m:num>
                                        <m:r>
                                          <a:rPr lang="en-US" sz="1400" i="1">
                                            <a:solidFill>
                                              <a:sysClr val="windowText" lastClr="000000"/>
                                            </a:solidFill>
                                            <a:effectLst/>
                                            <a:latin typeface="Cambria Math" panose="02040503050406030204" pitchFamily="18" charset="0"/>
                                            <a:ea typeface="+mn-ea"/>
                                            <a:cs typeface="+mn-cs"/>
                                          </a:rPr>
                                          <m:t>1</m:t>
                                        </m:r>
                                      </m:num>
                                      <m:den>
                                        <m:r>
                                          <a:rPr lang="en-US" sz="1400" b="0" i="1">
                                            <a:solidFill>
                                              <a:sysClr val="windowText" lastClr="000000"/>
                                            </a:solidFill>
                                            <a:effectLst/>
                                            <a:latin typeface="Cambria Math" panose="02040503050406030204" pitchFamily="18" charset="0"/>
                                            <a:ea typeface="+mn-ea"/>
                                            <a:cs typeface="+mn-cs"/>
                                          </a:rPr>
                                          <m:t>𝐻𝑆𝑃</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𝐹</m:t>
                                            </m:r>
                                          </m:e>
                                          <m:sub>
                                            <m:r>
                                              <a:rPr lang="en-US" sz="1400" i="1">
                                                <a:solidFill>
                                                  <a:sysClr val="windowText" lastClr="000000"/>
                                                </a:solidFill>
                                                <a:effectLst/>
                                                <a:latin typeface="Cambria Math" panose="02040503050406030204" pitchFamily="18" charset="0"/>
                                                <a:ea typeface="+mn-ea"/>
                                                <a:cs typeface="+mn-cs"/>
                                              </a:rPr>
                                              <m:t>𝑒𝑒</m:t>
                                            </m:r>
                                          </m:sub>
                                        </m:sSub>
                                      </m:den>
                                    </m:f>
                                  </m:e>
                                </m:d>
                              </m:e>
                            </m:d>
                          </m:num>
                          <m:den>
                            <m:r>
                              <a:rPr lang="en-US" sz="1400" i="1">
                                <a:solidFill>
                                  <a:sysClr val="windowText" lastClr="000000"/>
                                </a:solidFill>
                                <a:effectLst/>
                                <a:latin typeface="Cambria Math" panose="02040503050406030204" pitchFamily="18" charset="0"/>
                                <a:ea typeface="+mn-ea"/>
                                <a:cs typeface="+mn-cs"/>
                              </a:rPr>
                              <m:t>1000</m:t>
                            </m:r>
                          </m:den>
                        </m:f>
                        <m:r>
                          <a:rPr lang="en-US" sz="1400" b="0" i="1">
                            <a:solidFill>
                              <a:sysClr val="windowText" lastClr="000000"/>
                            </a:solidFill>
                            <a:latin typeface="Cambria Math" panose="02040503050406030204" pitchFamily="18" charset="0"/>
                          </a:rPr>
                          <m:t>+</m:t>
                        </m:r>
                        <m:f>
                          <m:fPr>
                            <m:ctrlPr>
                              <a:rPr lang="en-US" sz="1400" b="0" i="1">
                                <a:solidFill>
                                  <a:sysClr val="windowText" lastClr="000000"/>
                                </a:solidFill>
                                <a:latin typeface="Cambria Math" panose="02040503050406030204" pitchFamily="18" charset="0"/>
                              </a:rPr>
                            </m:ctrlPr>
                          </m:fPr>
                          <m:num>
                            <m:d>
                              <m:dPr>
                                <m:ctrlPr>
                                  <a:rPr lang="en-US" sz="1400" b="0" i="1">
                                    <a:solidFill>
                                      <a:sysClr val="windowText" lastClr="000000"/>
                                    </a:solidFill>
                                    <a:latin typeface="Cambria Math" panose="02040503050406030204" pitchFamily="18" charset="0"/>
                                  </a:rPr>
                                </m:ctrlPr>
                              </m:dPr>
                              <m:e>
                                <m:r>
                                  <a:rPr lang="en-US" sz="1400" b="0" i="1">
                                    <a:solidFill>
                                      <a:sysClr val="windowText" lastClr="000000"/>
                                    </a:solidFill>
                                    <a:latin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𝐻</m:t>
                                    </m:r>
                                  </m:e>
                                  <m:sub>
                                    <m:r>
                                      <a:rPr lang="en-US" sz="1400" b="0" i="1">
                                        <a:solidFill>
                                          <a:sysClr val="windowText" lastClr="000000"/>
                                        </a:solidFill>
                                        <a:latin typeface="Cambria Math" panose="02040503050406030204" pitchFamily="18" charset="0"/>
                                      </a:rPr>
                                      <m:t>𝑐𝑜𝑜𝑙</m:t>
                                    </m:r>
                                  </m:sub>
                                </m:sSub>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𝐶𝑎𝑝𝑎𝑐𝑖𝑡</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𝑦</m:t>
                                    </m:r>
                                  </m:e>
                                  <m:sub>
                                    <m:r>
                                      <a:rPr lang="en-US" sz="1400" b="0" i="1">
                                        <a:solidFill>
                                          <a:sysClr val="windowText" lastClr="000000"/>
                                        </a:solidFill>
                                        <a:latin typeface="Cambria Math" panose="02040503050406030204" pitchFamily="18" charset="0"/>
                                      </a:rPr>
                                      <m:t>𝑐𝑜𝑜𝑙</m:t>
                                    </m:r>
                                  </m:sub>
                                </m:sSub>
                                <m:r>
                                  <a:rPr lang="en-US" sz="1400" b="0" i="1">
                                    <a:solidFill>
                                      <a:sysClr val="windowText" lastClr="000000"/>
                                    </a:solidFill>
                                    <a:latin typeface="Cambria Math" panose="02040503050406030204" pitchFamily="18" charset="0"/>
                                  </a:rPr>
                                  <m:t>∗</m:t>
                                </m:r>
                                <m:d>
                                  <m:dPr>
                                    <m:ctrlPr>
                                      <a:rPr lang="en-US" sz="1400" b="0" i="1">
                                        <a:solidFill>
                                          <a:sysClr val="windowText" lastClr="000000"/>
                                        </a:solidFill>
                                        <a:latin typeface="Cambria Math" panose="02040503050406030204" pitchFamily="18" charset="0"/>
                                      </a:rPr>
                                    </m:ctrlPr>
                                  </m:dPr>
                                  <m:e>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1</m:t>
                                        </m:r>
                                      </m:num>
                                      <m:den>
                                        <m:r>
                                          <a:rPr lang="en-US" sz="1400" b="0" i="1">
                                            <a:solidFill>
                                              <a:sysClr val="windowText" lastClr="000000"/>
                                            </a:solidFill>
                                            <a:latin typeface="Cambria Math" panose="02040503050406030204" pitchFamily="18" charset="0"/>
                                          </a:rPr>
                                          <m:t>𝑆𝐸𝐸</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𝑅</m:t>
                                            </m:r>
                                          </m:e>
                                          <m:sub>
                                            <m:r>
                                              <a:rPr lang="en-US" sz="1400" b="0" i="1">
                                                <a:solidFill>
                                                  <a:sysClr val="windowText" lastClr="000000"/>
                                                </a:solidFill>
                                                <a:latin typeface="Cambria Math" panose="02040503050406030204" pitchFamily="18" charset="0"/>
                                              </a:rPr>
                                              <m:t>𝑒𝑥𝑖𝑠𝑡</m:t>
                                            </m:r>
                                          </m:sub>
                                        </m:sSub>
                                      </m:den>
                                    </m:f>
                                    <m:r>
                                      <a:rPr lang="en-US" sz="1400" b="0" i="1">
                                        <a:solidFill>
                                          <a:sysClr val="windowText" lastClr="000000"/>
                                        </a:solidFill>
                                        <a:latin typeface="Cambria Math" panose="02040503050406030204" pitchFamily="18" charset="0"/>
                                      </a:rPr>
                                      <m:t>−</m:t>
                                    </m:r>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1</m:t>
                                        </m:r>
                                      </m:num>
                                      <m:den>
                                        <m:r>
                                          <a:rPr lang="en-US" sz="1400" b="0" i="1">
                                            <a:solidFill>
                                              <a:sysClr val="windowText" lastClr="000000"/>
                                            </a:solidFill>
                                            <a:latin typeface="Cambria Math" panose="02040503050406030204" pitchFamily="18" charset="0"/>
                                          </a:rPr>
                                          <m:t>𝑆𝐸𝐸</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𝑅</m:t>
                                            </m:r>
                                          </m:e>
                                          <m:sub>
                                            <m:r>
                                              <a:rPr lang="en-US" sz="1400" b="0" i="1">
                                                <a:solidFill>
                                                  <a:sysClr val="windowText" lastClr="000000"/>
                                                </a:solidFill>
                                                <a:latin typeface="Cambria Math" panose="02040503050406030204" pitchFamily="18" charset="0"/>
                                              </a:rPr>
                                              <m:t>𝑒𝑒</m:t>
                                            </m:r>
                                          </m:sub>
                                        </m:sSub>
                                      </m:den>
                                    </m:f>
                                  </m:e>
                                </m:d>
                              </m:e>
                            </m:d>
                          </m:num>
                          <m:den>
                            <m:r>
                              <a:rPr lang="en-US" sz="1400" b="0" i="1">
                                <a:solidFill>
                                  <a:sysClr val="windowText" lastClr="000000"/>
                                </a:solidFill>
                                <a:latin typeface="Cambria Math" panose="02040503050406030204" pitchFamily="18" charset="0"/>
                              </a:rPr>
                              <m:t>1000</m:t>
                            </m:r>
                          </m:den>
                        </m:f>
                      </m:e>
                    </m:d>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𝐼𝑆𝑅</m:t>
                    </m:r>
                  </m:oMath>
                </m:oMathPara>
              </a14:m>
              <a:endParaRPr lang="en-US" sz="1400" i="1">
                <a:solidFill>
                  <a:sysClr val="windowText" lastClr="000000"/>
                </a:solidFill>
                <a:latin typeface="Cambria Math" panose="02040503050406030204" pitchFamily="18" charset="0"/>
              </a:endParaRPr>
            </a:p>
          </xdr:txBody>
        </xdr:sp>
      </mc:Choice>
      <mc:Fallback xmlns="">
        <xdr:sp macro="" textlink="">
          <xdr:nvSpPr>
            <xdr:cNvPr id="37" name="TextBox 36">
              <a:extLst>
                <a:ext uri="{FF2B5EF4-FFF2-40B4-BE49-F238E27FC236}">
                  <a16:creationId xmlns:a16="http://schemas.microsoft.com/office/drawing/2014/main" id="{DADC46A1-2F34-4217-A129-950ABE237408}"/>
                </a:ext>
              </a:extLst>
            </xdr:cNvPr>
            <xdr:cNvSpPr txBox="1"/>
          </xdr:nvSpPr>
          <xdr:spPr>
            <a:xfrm>
              <a:off x="4881547" y="263018965"/>
              <a:ext cx="17043370" cy="86435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l"/>
              <a:r>
                <a:rPr lang="el-GR" sz="1400" i="0">
                  <a:solidFill>
                    <a:sysClr val="windowText" lastClr="000000"/>
                  </a:solidFill>
                  <a:latin typeface="Cambria Math" panose="02040503050406030204" pitchFamily="18" charset="0"/>
                </a:rPr>
                <a:t>𝛥</a:t>
              </a:r>
              <a:r>
                <a:rPr lang="en-US" sz="1400" i="0">
                  <a:solidFill>
                    <a:sysClr val="windowText" lastClr="000000"/>
                  </a:solidFill>
                  <a:latin typeface="Cambria Math" panose="02040503050406030204" pitchFamily="18" charset="0"/>
                </a:rPr>
                <a:t>𝑘𝑊𝐻</a:t>
              </a:r>
              <a:r>
                <a:rPr lang="en-US" sz="1400" b="0" i="0">
                  <a:solidFill>
                    <a:sysClr val="windowText" lastClr="000000"/>
                  </a:solidFill>
                  <a:latin typeface="Cambria Math" panose="02040503050406030204" pitchFamily="18" charset="0"/>
                </a:rPr>
                <a:t>_𝐸𝑅1</a:t>
              </a:r>
              <a:r>
                <a:rPr lang="en-US" sz="1400" i="0">
                  <a:solidFill>
                    <a:sysClr val="windowText" lastClr="000000"/>
                  </a:solidFill>
                  <a:latin typeface="Cambria Math" panose="02040503050406030204" pitchFamily="18" charset="0"/>
                </a:rPr>
                <a:t>=</a:t>
              </a:r>
              <a:r>
                <a:rPr lang="en-US" sz="1400" b="0" i="0">
                  <a:solidFill>
                    <a:sysClr val="windowText" lastClr="000000"/>
                  </a:solidFill>
                  <a:effectLst/>
                  <a:latin typeface="Cambria Math" panose="02040503050406030204" pitchFamily="18" charset="0"/>
                  <a:ea typeface="+mn-ea"/>
                  <a:cs typeface="+mn-cs"/>
                </a:rPr>
                <a:t>[((𝐸</a:t>
              </a:r>
              <a:r>
                <a:rPr lang="en-US" sz="1400" i="0">
                  <a:solidFill>
                    <a:sysClr val="windowText" lastClr="000000"/>
                  </a:solidFill>
                  <a:effectLst/>
                  <a:latin typeface="Cambria Math" panose="02040503050406030204" pitchFamily="18" charset="0"/>
                  <a:ea typeface="+mn-ea"/>
                  <a:cs typeface="+mn-cs"/>
                </a:rPr>
                <a:t>𝐹𝐿𝐻</a:t>
              </a:r>
              <a:r>
                <a:rPr lang="en-US" sz="1400" b="0" i="0">
                  <a:solidFill>
                    <a:sysClr val="windowText" lastClr="000000"/>
                  </a:solidFill>
                  <a:effectLst/>
                  <a:latin typeface="Cambria Math" panose="02040503050406030204" pitchFamily="18" charset="0"/>
                  <a:ea typeface="+mn-ea"/>
                  <a:cs typeface="+mn-cs"/>
                </a:rPr>
                <a:t>_ℎ𝑒𝑎𝑡 </a:t>
              </a:r>
              <a:r>
                <a:rPr lang="en-US" sz="1400" i="0">
                  <a:solidFill>
                    <a:sysClr val="windowText" lastClr="000000"/>
                  </a:solidFill>
                  <a:effectLst/>
                  <a:latin typeface="Cambria Math" panose="02040503050406030204" pitchFamily="18" charset="0"/>
                  <a:ea typeface="+mn-ea"/>
                  <a:cs typeface="+mn-cs"/>
                </a:rPr>
                <a:t> ∗ 𝐶𝑎𝑝𝑎𝑐𝑖𝑡𝑦</a:t>
              </a:r>
              <a:r>
                <a:rPr lang="en-US" sz="1400" b="0" i="0">
                  <a:solidFill>
                    <a:sysClr val="windowText" lastClr="000000"/>
                  </a:solidFill>
                  <a:effectLst/>
                  <a:latin typeface="Cambria Math" panose="02040503050406030204" pitchFamily="18" charset="0"/>
                  <a:ea typeface="+mn-ea"/>
                  <a:cs typeface="+mn-cs"/>
                </a:rPr>
                <a:t>_ℎ𝑒𝑎𝑡</a:t>
              </a:r>
              <a:r>
                <a:rPr lang="en-US" sz="1400" i="0">
                  <a:solidFill>
                    <a:sysClr val="windowText" lastClr="000000"/>
                  </a:solidFill>
                  <a:effectLst/>
                  <a:latin typeface="Cambria Math" panose="02040503050406030204" pitchFamily="18" charset="0"/>
                  <a:ea typeface="+mn-ea"/>
                  <a:cs typeface="+mn-cs"/>
                </a:rPr>
                <a:t>∗(1/(</a:t>
              </a:r>
              <a:r>
                <a:rPr lang="en-US" sz="1400" b="0" i="0">
                  <a:solidFill>
                    <a:sysClr val="windowText" lastClr="000000"/>
                  </a:solidFill>
                  <a:effectLst/>
                  <a:latin typeface="Cambria Math" panose="02040503050406030204" pitchFamily="18" charset="0"/>
                  <a:ea typeface="+mn-ea"/>
                  <a:cs typeface="+mn-cs"/>
                </a:rPr>
                <a:t>𝐻𝑆𝑃𝐹_</a:t>
              </a:r>
              <a:r>
                <a:rPr lang="en-US" sz="1400" i="0">
                  <a:solidFill>
                    <a:sysClr val="windowText" lastClr="000000"/>
                  </a:solidFill>
                  <a:effectLst/>
                  <a:latin typeface="Cambria Math" panose="02040503050406030204" pitchFamily="18" charset="0"/>
                  <a:ea typeface="+mn-ea"/>
                  <a:cs typeface="+mn-cs"/>
                </a:rPr>
                <a:t>𝑒𝑥𝑖𝑠𝑡 )−1/(</a:t>
              </a:r>
              <a:r>
                <a:rPr lang="en-US" sz="1400" b="0" i="0">
                  <a:solidFill>
                    <a:sysClr val="windowText" lastClr="000000"/>
                  </a:solidFill>
                  <a:effectLst/>
                  <a:latin typeface="Cambria Math" panose="02040503050406030204" pitchFamily="18" charset="0"/>
                  <a:ea typeface="+mn-ea"/>
                  <a:cs typeface="+mn-cs"/>
                </a:rPr>
                <a:t>𝐻𝑆𝑃𝐹_</a:t>
              </a:r>
              <a:r>
                <a:rPr lang="en-US" sz="1400" i="0">
                  <a:solidFill>
                    <a:sysClr val="windowText" lastClr="000000"/>
                  </a:solidFill>
                  <a:effectLst/>
                  <a:latin typeface="Cambria Math" panose="02040503050406030204" pitchFamily="18" charset="0"/>
                  <a:ea typeface="+mn-ea"/>
                  <a:cs typeface="+mn-cs"/>
                </a:rPr>
                <a:t>𝑒𝑒 ))))/1000</a:t>
              </a:r>
              <a:r>
                <a:rPr lang="en-US" sz="1400" b="0" i="0">
                  <a:solidFill>
                    <a:sysClr val="windowText" lastClr="000000"/>
                  </a:solidFill>
                  <a:latin typeface="Cambria Math" panose="02040503050406030204" pitchFamily="18" charset="0"/>
                </a:rPr>
                <a:t>+((𝐸𝐹𝐿𝐻_𝑐𝑜𝑜𝑙∗𝐶𝑎𝑝𝑎𝑐𝑖𝑡𝑦_𝑐𝑜𝑜𝑙∗(1/(𝑆𝐸𝐸𝑅_𝑒𝑥𝑖𝑠𝑡 )−1/(𝑆𝐸𝐸𝑅_𝑒𝑒 ))))/1000]∗𝐼𝑆𝑅</a:t>
              </a:r>
              <a:endParaRPr lang="en-US" sz="1400" i="1">
                <a:solidFill>
                  <a:sysClr val="windowText" lastClr="000000"/>
                </a:solidFill>
                <a:latin typeface="Cambria Math" panose="02040503050406030204" pitchFamily="18" charset="0"/>
              </a:endParaRPr>
            </a:p>
          </xdr:txBody>
        </xdr:sp>
      </mc:Fallback>
    </mc:AlternateContent>
    <xdr:clientData/>
  </xdr:twoCellAnchor>
  <xdr:twoCellAnchor>
    <xdr:from>
      <xdr:col>3</xdr:col>
      <xdr:colOff>1232646</xdr:colOff>
      <xdr:row>4555</xdr:row>
      <xdr:rowOff>30575</xdr:rowOff>
    </xdr:from>
    <xdr:to>
      <xdr:col>11</xdr:col>
      <xdr:colOff>1243852</xdr:colOff>
      <xdr:row>4559</xdr:row>
      <xdr:rowOff>65330</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98B0776D-66CC-4035-BF4B-62683D5BFE75}"/>
                </a:ext>
              </a:extLst>
            </xdr:cNvPr>
            <xdr:cNvSpPr txBox="1"/>
          </xdr:nvSpPr>
          <xdr:spPr>
            <a:xfrm>
              <a:off x="4818528" y="141112634"/>
              <a:ext cx="14612471" cy="75193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𝐸𝑅</m:t>
                      </m:r>
                      <m:r>
                        <a:rPr lang="en-US" sz="1600" b="0" i="1">
                          <a:solidFill>
                            <a:sysClr val="windowText" lastClr="000000"/>
                          </a:solidFill>
                          <a:latin typeface="Cambria Math" panose="02040503050406030204" pitchFamily="18" charset="0"/>
                        </a:rPr>
                        <m:t>1</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ISR</a:t>
              </a:r>
            </a:p>
          </xdr:txBody>
        </xdr:sp>
      </mc:Choice>
      <mc:Fallback xmlns="">
        <xdr:sp macro="" textlink="">
          <xdr:nvSpPr>
            <xdr:cNvPr id="38" name="TextBox 37">
              <a:extLst>
                <a:ext uri="{FF2B5EF4-FFF2-40B4-BE49-F238E27FC236}">
                  <a16:creationId xmlns:a16="http://schemas.microsoft.com/office/drawing/2014/main" id="{98B0776D-66CC-4035-BF4B-62683D5BFE75}"/>
                </a:ext>
              </a:extLst>
            </xdr:cNvPr>
            <xdr:cNvSpPr txBox="1"/>
          </xdr:nvSpPr>
          <xdr:spPr>
            <a:xfrm>
              <a:off x="4818528" y="141112634"/>
              <a:ext cx="14612471" cy="75193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𝑘𝑊𝐻</a:t>
              </a:r>
              <a:r>
                <a:rPr lang="en-US" sz="1600" b="0" i="0">
                  <a:solidFill>
                    <a:sysClr val="windowText" lastClr="000000"/>
                  </a:solidFill>
                  <a:latin typeface="Cambria Math" panose="02040503050406030204" pitchFamily="18" charset="0"/>
                </a:rPr>
                <a:t>_𝐸𝑅1</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ISR</a:t>
              </a:r>
            </a:p>
          </xdr:txBody>
        </xdr:sp>
      </mc:Fallback>
    </mc:AlternateContent>
    <xdr:clientData/>
  </xdr:twoCellAnchor>
  <xdr:twoCellAnchor>
    <xdr:from>
      <xdr:col>3</xdr:col>
      <xdr:colOff>1232646</xdr:colOff>
      <xdr:row>4568</xdr:row>
      <xdr:rowOff>0</xdr:rowOff>
    </xdr:from>
    <xdr:to>
      <xdr:col>11</xdr:col>
      <xdr:colOff>1243852</xdr:colOff>
      <xdr:row>4569</xdr:row>
      <xdr:rowOff>135973</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3DB94243-888E-46CF-875B-3ADB4438F299}"/>
                </a:ext>
              </a:extLst>
            </xdr:cNvPr>
            <xdr:cNvSpPr txBox="1"/>
          </xdr:nvSpPr>
          <xdr:spPr>
            <a:xfrm>
              <a:off x="4818528" y="143412882"/>
              <a:ext cx="14612471" cy="31526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39" name="TextBox 38">
              <a:extLst>
                <a:ext uri="{FF2B5EF4-FFF2-40B4-BE49-F238E27FC236}">
                  <a16:creationId xmlns:a16="http://schemas.microsoft.com/office/drawing/2014/main" id="{3DB94243-888E-46CF-875B-3ADB4438F299}"/>
                </a:ext>
              </a:extLst>
            </xdr:cNvPr>
            <xdr:cNvSpPr txBox="1"/>
          </xdr:nvSpPr>
          <xdr:spPr>
            <a:xfrm>
              <a:off x="4818528" y="143412882"/>
              <a:ext cx="14612471" cy="31526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1232646</xdr:colOff>
      <xdr:row>4561</xdr:row>
      <xdr:rowOff>26764</xdr:rowOff>
    </xdr:from>
    <xdr:to>
      <xdr:col>11</xdr:col>
      <xdr:colOff>1243852</xdr:colOff>
      <xdr:row>4565</xdr:row>
      <xdr:rowOff>65330</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D81430F9-AC99-45CA-85A1-80A87FE57669}"/>
                </a:ext>
              </a:extLst>
            </xdr:cNvPr>
            <xdr:cNvSpPr txBox="1"/>
          </xdr:nvSpPr>
          <xdr:spPr>
            <a:xfrm>
              <a:off x="4818528" y="142184588"/>
              <a:ext cx="14612471" cy="75574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𝐸𝑅</m:t>
                      </m:r>
                      <m:r>
                        <a:rPr lang="en-US" sz="1600" b="0" i="1">
                          <a:solidFill>
                            <a:sysClr val="windowText" lastClr="000000"/>
                          </a:solidFill>
                          <a:latin typeface="Cambria Math" panose="02040503050406030204" pitchFamily="18" charset="0"/>
                        </a:rPr>
                        <m:t>2</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rgbClr val="FF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rgbClr val="FF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ISR</a:t>
              </a:r>
            </a:p>
          </xdr:txBody>
        </xdr:sp>
      </mc:Choice>
      <mc:Fallback xmlns="">
        <xdr:sp macro="" textlink="">
          <xdr:nvSpPr>
            <xdr:cNvPr id="41" name="TextBox 40">
              <a:extLst>
                <a:ext uri="{FF2B5EF4-FFF2-40B4-BE49-F238E27FC236}">
                  <a16:creationId xmlns:a16="http://schemas.microsoft.com/office/drawing/2014/main" id="{D81430F9-AC99-45CA-85A1-80A87FE57669}"/>
                </a:ext>
              </a:extLst>
            </xdr:cNvPr>
            <xdr:cNvSpPr txBox="1"/>
          </xdr:nvSpPr>
          <xdr:spPr>
            <a:xfrm>
              <a:off x="4818528" y="142184588"/>
              <a:ext cx="14612471" cy="75574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𝑘𝑊𝐻</a:t>
              </a:r>
              <a:r>
                <a:rPr lang="en-US" sz="1600" b="0" i="0">
                  <a:solidFill>
                    <a:sysClr val="windowText" lastClr="000000"/>
                  </a:solidFill>
                  <a:latin typeface="Cambria Math" panose="02040503050406030204" pitchFamily="18" charset="0"/>
                </a:rPr>
                <a:t>_𝐸𝑅2</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a:t>
              </a:r>
              <a:r>
                <a:rPr kumimoji="0" lang="en-US" sz="1600" b="0" i="0" u="none" strike="noStrike" kern="0" cap="none" spc="0" normalizeH="0" baseline="0" noProof="0">
                  <a:ln>
                    <a:noFill/>
                  </a:ln>
                  <a:solidFill>
                    <a:srgbClr val="FF0000"/>
                  </a:solidFill>
                  <a:effectLst/>
                  <a:uLnTx/>
                  <a:uFillTx/>
                  <a:latin typeface="Cambria Math" panose="02040503050406030204" pitchFamily="18" charset="0"/>
                  <a:ea typeface="+mn-ea"/>
                  <a:cs typeface="+mn-cs"/>
                </a:rPr>
                <a:t>𝑏𝑎𝑠𝑒 </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)−1/(𝐻𝑆𝑃𝐹_𝑒𝑒 ))))/1000+((𝐸𝐹𝐿𝐻_𝑐𝑜𝑜𝑙∗𝐶𝑎𝑝𝑎𝑐𝑖𝑡𝑦_𝑐𝑜𝑜𝑙∗(1/(𝑆𝐸𝐸𝑅_</a:t>
              </a:r>
              <a:r>
                <a:rPr kumimoji="0" lang="en-US" sz="1600" b="0" i="0" u="none" strike="noStrike" kern="0" cap="none" spc="0" normalizeH="0" baseline="0" noProof="0">
                  <a:ln>
                    <a:noFill/>
                  </a:ln>
                  <a:solidFill>
                    <a:srgbClr val="FF0000"/>
                  </a:solidFill>
                  <a:effectLst/>
                  <a:uLnTx/>
                  <a:uFillTx/>
                  <a:latin typeface="Cambria Math" panose="02040503050406030204" pitchFamily="18" charset="0"/>
                  <a:ea typeface="+mn-ea"/>
                  <a:cs typeface="+mn-cs"/>
                </a:rPr>
                <a:t>𝑏𝑎𝑠𝑒 </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)−1/(𝑆𝐸𝐸𝑅_𝑒𝑒 ))))/1000)</a:t>
              </a:r>
              <a:r>
                <a:rPr lang="en-US" sz="1600" i="1">
                  <a:solidFill>
                    <a:sysClr val="windowText" lastClr="000000"/>
                  </a:solidFill>
                  <a:latin typeface="Cambria Math" panose="02040503050406030204" pitchFamily="18" charset="0"/>
                </a:rPr>
                <a:t>* ISR</a:t>
              </a:r>
            </a:p>
          </xdr:txBody>
        </xdr:sp>
      </mc:Fallback>
    </mc:AlternateContent>
    <xdr:clientData/>
  </xdr:twoCellAnchor>
  <xdr:twoCellAnchor>
    <xdr:from>
      <xdr:col>9</xdr:col>
      <xdr:colOff>15634</xdr:colOff>
      <xdr:row>1438</xdr:row>
      <xdr:rowOff>112668</xdr:rowOff>
    </xdr:from>
    <xdr:to>
      <xdr:col>12</xdr:col>
      <xdr:colOff>0</xdr:colOff>
      <xdr:row>1440</xdr:row>
      <xdr:rowOff>0</xdr:rowOff>
    </xdr:to>
    <mc:AlternateContent xmlns:mc="http://schemas.openxmlformats.org/markup-compatibility/2006" xmlns:a14="http://schemas.microsoft.com/office/drawing/2010/main">
      <mc:Choice Requires="a14">
        <xdr:sp macro="" textlink="">
          <xdr:nvSpPr>
            <xdr:cNvPr id="36" name="TextBox 35">
              <a:extLst>
                <a:ext uri="{FF2B5EF4-FFF2-40B4-BE49-F238E27FC236}">
                  <a16:creationId xmlns:a16="http://schemas.microsoft.com/office/drawing/2014/main" id="{3DCE78DC-4031-4BE0-8568-7865BFFFB271}"/>
                </a:ext>
              </a:extLst>
            </xdr:cNvPr>
            <xdr:cNvSpPr txBox="1"/>
          </xdr:nvSpPr>
          <xdr:spPr>
            <a:xfrm>
              <a:off x="18208384" y="263465311"/>
              <a:ext cx="3794366" cy="24111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l"/>
              <a14:m>
                <m:oMathPara xmlns:m="http://schemas.openxmlformats.org/officeDocument/2006/math">
                  <m:oMathParaPr>
                    <m:jc m:val="left"/>
                  </m:oMathParaPr>
                  <m:oMath xmlns:m="http://schemas.openxmlformats.org/officeDocument/2006/math">
                    <m:r>
                      <m:rPr>
                        <m:nor/>
                      </m:rPr>
                      <a:rPr lang="en-US" sz="1600" i="1">
                        <a:solidFill>
                          <a:srgbClr val="FF0000"/>
                        </a:solidFill>
                        <a:effectLst/>
                        <a:latin typeface="Cambria Math" panose="02040503050406030204" pitchFamily="18" charset="0"/>
                        <a:ea typeface="Cambria Math" panose="02040503050406030204" pitchFamily="18" charset="0"/>
                        <a:cs typeface="+mn-cs"/>
                      </a:rPr>
                      <m:t>SEER</m:t>
                    </m:r>
                    <m:r>
                      <m:rPr>
                        <m:nor/>
                      </m:rPr>
                      <a:rPr lang="en-US" sz="1600" i="1" baseline="-25000">
                        <a:solidFill>
                          <a:srgbClr val="FF0000"/>
                        </a:solidFill>
                        <a:effectLst/>
                        <a:latin typeface="Cambria Math" panose="02040503050406030204" pitchFamily="18" charset="0"/>
                        <a:ea typeface="Cambria Math" panose="02040503050406030204" pitchFamily="18" charset="0"/>
                        <a:cs typeface="+mn-cs"/>
                      </a:rPr>
                      <m:t>exist</m:t>
                    </m:r>
                    <m:r>
                      <a:rPr lang="en-US" sz="1600" i="1">
                        <a:solidFill>
                          <a:srgbClr val="FF0000"/>
                        </a:solidFill>
                        <a:latin typeface="Cambria Math" panose="02040503050406030204" pitchFamily="18" charset="0"/>
                        <a:ea typeface="Cambria Math" panose="02040503050406030204" pitchFamily="18" charset="0"/>
                      </a:rPr>
                      <m:t>=</m:t>
                    </m:r>
                    <m:r>
                      <m:rPr>
                        <m:nor/>
                      </m:rPr>
                      <a:rPr lang="en-US" sz="1600" i="1">
                        <a:solidFill>
                          <a:srgbClr val="FF0000"/>
                        </a:solidFill>
                        <a:effectLst/>
                        <a:latin typeface="Cambria Math" panose="02040503050406030204" pitchFamily="18" charset="0"/>
                        <a:ea typeface="Cambria Math" panose="02040503050406030204" pitchFamily="18" charset="0"/>
                        <a:cs typeface="+mn-cs"/>
                      </a:rPr>
                      <m:t>SEER</m:t>
                    </m:r>
                    <m:r>
                      <m:rPr>
                        <m:nor/>
                      </m:rPr>
                      <a:rPr lang="en-US" sz="1600" i="1">
                        <a:solidFill>
                          <a:srgbClr val="FF0000"/>
                        </a:solidFill>
                        <a:effectLst/>
                        <a:latin typeface="Cambria Math" panose="02040503050406030204" pitchFamily="18" charset="0"/>
                        <a:ea typeface="Cambria Math" panose="02040503050406030204" pitchFamily="18" charset="0"/>
                        <a:cs typeface="+mn-cs"/>
                      </a:rPr>
                      <m:t> ∗ (1−1.44%)</m:t>
                    </m:r>
                    <m:r>
                      <m:rPr>
                        <m:nor/>
                      </m:rPr>
                      <a:rPr lang="en-US" sz="1600" i="1" baseline="30000">
                        <a:solidFill>
                          <a:srgbClr val="FF0000"/>
                        </a:solidFill>
                        <a:effectLst/>
                        <a:latin typeface="Cambria Math" panose="02040503050406030204" pitchFamily="18" charset="0"/>
                        <a:ea typeface="Cambria Math" panose="02040503050406030204" pitchFamily="18" charset="0"/>
                        <a:cs typeface="+mn-cs"/>
                      </a:rPr>
                      <m:t>Age</m:t>
                    </m:r>
                  </m:oMath>
                </m:oMathPara>
              </a14:m>
              <a:endParaRPr lang="en-US" sz="1600" i="1">
                <a:solidFill>
                  <a:srgbClr val="FF0000"/>
                </a:solidFill>
                <a:latin typeface="Cambria Math" panose="02040503050406030204" pitchFamily="18" charset="0"/>
                <a:ea typeface="Cambria Math" panose="02040503050406030204" pitchFamily="18" charset="0"/>
              </a:endParaRPr>
            </a:p>
          </xdr:txBody>
        </xdr:sp>
      </mc:Choice>
      <mc:Fallback xmlns="">
        <xdr:sp macro="" textlink="">
          <xdr:nvSpPr>
            <xdr:cNvPr id="36" name="TextBox 35">
              <a:extLst>
                <a:ext uri="{FF2B5EF4-FFF2-40B4-BE49-F238E27FC236}">
                  <a16:creationId xmlns:a16="http://schemas.microsoft.com/office/drawing/2014/main" id="{3DCE78DC-4031-4BE0-8568-7865BFFFB271}"/>
                </a:ext>
              </a:extLst>
            </xdr:cNvPr>
            <xdr:cNvSpPr txBox="1"/>
          </xdr:nvSpPr>
          <xdr:spPr>
            <a:xfrm>
              <a:off x="18208384" y="263465311"/>
              <a:ext cx="3794366" cy="24111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l"/>
              <a:r>
                <a:rPr lang="en-US" sz="1600" i="0">
                  <a:solidFill>
                    <a:srgbClr val="FF0000"/>
                  </a:solidFill>
                  <a:effectLst/>
                  <a:latin typeface="Cambria Math" panose="02040503050406030204" pitchFamily="18" charset="0"/>
                  <a:ea typeface="Cambria Math" panose="02040503050406030204" pitchFamily="18" charset="0"/>
                  <a:cs typeface="+mn-cs"/>
                </a:rPr>
                <a:t>"SEER</a:t>
              </a:r>
              <a:r>
                <a:rPr lang="en-US" sz="1600" i="0" baseline="-25000">
                  <a:solidFill>
                    <a:srgbClr val="FF0000"/>
                  </a:solidFill>
                  <a:effectLst/>
                  <a:latin typeface="Cambria Math" panose="02040503050406030204" pitchFamily="18" charset="0"/>
                  <a:ea typeface="Cambria Math" panose="02040503050406030204" pitchFamily="18" charset="0"/>
                  <a:cs typeface="+mn-cs"/>
                </a:rPr>
                <a:t>exist"</a:t>
              </a:r>
              <a:r>
                <a:rPr lang="en-US" sz="1600" i="0">
                  <a:solidFill>
                    <a:srgbClr val="FF0000"/>
                  </a:solidFill>
                  <a:latin typeface="Cambria Math" panose="02040503050406030204" pitchFamily="18" charset="0"/>
                  <a:ea typeface="Cambria Math" panose="02040503050406030204" pitchFamily="18" charset="0"/>
                </a:rPr>
                <a:t>=</a:t>
              </a:r>
              <a:r>
                <a:rPr lang="en-US" sz="1600" i="0">
                  <a:solidFill>
                    <a:srgbClr val="FF0000"/>
                  </a:solidFill>
                  <a:effectLst/>
                  <a:latin typeface="Cambria Math" panose="02040503050406030204" pitchFamily="18" charset="0"/>
                  <a:ea typeface="Cambria Math" panose="02040503050406030204" pitchFamily="18" charset="0"/>
                  <a:cs typeface="+mn-cs"/>
                </a:rPr>
                <a:t>"SEER ∗ (1−1.44%)</a:t>
              </a:r>
              <a:r>
                <a:rPr lang="en-US" sz="1600" i="0" baseline="30000">
                  <a:solidFill>
                    <a:srgbClr val="FF0000"/>
                  </a:solidFill>
                  <a:effectLst/>
                  <a:latin typeface="Cambria Math" panose="02040503050406030204" pitchFamily="18" charset="0"/>
                  <a:ea typeface="Cambria Math" panose="02040503050406030204" pitchFamily="18" charset="0"/>
                  <a:cs typeface="+mn-cs"/>
                </a:rPr>
                <a:t>Age"</a:t>
              </a:r>
              <a:endParaRPr lang="en-US" sz="1600" i="1">
                <a:solidFill>
                  <a:srgbClr val="FF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4</xdr:col>
      <xdr:colOff>0</xdr:colOff>
      <xdr:row>875</xdr:row>
      <xdr:rowOff>86116</xdr:rowOff>
    </xdr:from>
    <xdr:to>
      <xdr:col>4</xdr:col>
      <xdr:colOff>4363797</xdr:colOff>
      <xdr:row>877</xdr:row>
      <xdr:rowOff>132262</xdr:rowOff>
    </xdr:to>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5B024ACD-87AE-47C9-9DCC-8E3C06A58F1F}"/>
                </a:ext>
              </a:extLst>
            </xdr:cNvPr>
            <xdr:cNvSpPr txBox="1"/>
          </xdr:nvSpPr>
          <xdr:spPr>
            <a:xfrm>
              <a:off x="4816929" y="161779795"/>
              <a:ext cx="4363797" cy="39993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42" name="TextBox 41">
              <a:extLst>
                <a:ext uri="{FF2B5EF4-FFF2-40B4-BE49-F238E27FC236}">
                  <a16:creationId xmlns:a16="http://schemas.microsoft.com/office/drawing/2014/main" id="{5B024ACD-87AE-47C9-9DCC-8E3C06A58F1F}"/>
                </a:ext>
              </a:extLst>
            </xdr:cNvPr>
            <xdr:cNvSpPr txBox="1"/>
          </xdr:nvSpPr>
          <xdr:spPr>
            <a:xfrm>
              <a:off x="4816929" y="161779795"/>
              <a:ext cx="4363797" cy="39993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twoCellAnchor>
    <xdr:from>
      <xdr:col>3</xdr:col>
      <xdr:colOff>1238249</xdr:colOff>
      <xdr:row>1454</xdr:row>
      <xdr:rowOff>0</xdr:rowOff>
    </xdr:from>
    <xdr:to>
      <xdr:col>11</xdr:col>
      <xdr:colOff>1057274</xdr:colOff>
      <xdr:row>1469</xdr:row>
      <xdr:rowOff>53340</xdr:rowOff>
    </xdr:to>
    <mc:AlternateContent xmlns:mc="http://schemas.openxmlformats.org/markup-compatibility/2006" xmlns:a14="http://schemas.microsoft.com/office/drawing/2010/main">
      <mc:Choice Requires="a14">
        <xdr:sp macro="" textlink="">
          <xdr:nvSpPr>
            <xdr:cNvPr id="281" name="TextBox 280">
              <a:extLst>
                <a:ext uri="{FF2B5EF4-FFF2-40B4-BE49-F238E27FC236}">
                  <a16:creationId xmlns:a16="http://schemas.microsoft.com/office/drawing/2014/main" id="{335091AF-0974-47B7-8DB3-79112414A435}"/>
                </a:ext>
              </a:extLst>
            </xdr:cNvPr>
            <xdr:cNvSpPr txBox="1"/>
          </xdr:nvSpPr>
          <xdr:spPr>
            <a:xfrm>
              <a:off x="3571874" y="74390250"/>
              <a:ext cx="14658975" cy="326326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n-US" sz="1600" i="0">
                        <a:solidFill>
                          <a:srgbClr val="FF0000"/>
                        </a:solidFill>
                        <a:latin typeface="Cambria Math" panose="02040503050406030204" pitchFamily="18" charset="0"/>
                      </a:rPr>
                      <m:t>Δ</m:t>
                    </m:r>
                    <m:r>
                      <a:rPr lang="en-US" sz="1600" b="0" i="1">
                        <a:solidFill>
                          <a:srgbClr val="FF0000"/>
                        </a:solidFill>
                        <a:latin typeface="Cambria Math" panose="02040503050406030204" pitchFamily="18" charset="0"/>
                      </a:rPr>
                      <m:t>𝑘𝑊h</m:t>
                    </m:r>
                    <m:r>
                      <a:rPr lang="en-US" sz="1600" b="0" i="1">
                        <a:solidFill>
                          <a:srgbClr val="FF0000"/>
                        </a:solidFill>
                        <a:latin typeface="Cambria Math" panose="02040503050406030204" pitchFamily="18" charset="0"/>
                      </a:rPr>
                      <m:t>=</m:t>
                    </m:r>
                    <m:r>
                      <m:rPr>
                        <m:sty m:val="p"/>
                      </m:rPr>
                      <a:rPr lang="en-US" sz="1600" b="0" i="0">
                        <a:solidFill>
                          <a:srgbClr val="FF0000"/>
                        </a:solidFill>
                        <a:latin typeface="Cambria Math" panose="02040503050406030204" pitchFamily="18" charset="0"/>
                      </a:rPr>
                      <m:t>Δ</m:t>
                    </m:r>
                    <m:r>
                      <a:rPr lang="en-US" sz="1600" b="0" i="1">
                        <a:solidFill>
                          <a:srgbClr val="FF0000"/>
                        </a:solidFill>
                        <a:latin typeface="Cambria Math" panose="02040503050406030204" pitchFamily="18" charset="0"/>
                      </a:rPr>
                      <m:t>𝑘𝑊</m:t>
                    </m:r>
                    <m:sSub>
                      <m:sSubPr>
                        <m:ctrlPr>
                          <a:rPr lang="en-US" sz="1600" b="0" i="1">
                            <a:solidFill>
                              <a:srgbClr val="FF0000"/>
                            </a:solidFill>
                            <a:latin typeface="Cambria Math" panose="02040503050406030204" pitchFamily="18" charset="0"/>
                          </a:rPr>
                        </m:ctrlPr>
                      </m:sSubPr>
                      <m:e>
                        <m:r>
                          <a:rPr lang="en-US" sz="1600" b="0" i="1">
                            <a:solidFill>
                              <a:srgbClr val="FF0000"/>
                            </a:solidFill>
                            <a:latin typeface="Cambria Math" panose="02040503050406030204" pitchFamily="18" charset="0"/>
                          </a:rPr>
                          <m:t>h</m:t>
                        </m:r>
                      </m:e>
                      <m:sub>
                        <m:r>
                          <a:rPr lang="en-US" sz="1600" b="0" i="1">
                            <a:solidFill>
                              <a:srgbClr val="FF0000"/>
                            </a:solidFill>
                            <a:latin typeface="Cambria Math" panose="02040503050406030204" pitchFamily="18" charset="0"/>
                          </a:rPr>
                          <m:t>h𝑒𝑎𝑡𝑖𝑛𝑔</m:t>
                        </m:r>
                      </m:sub>
                    </m:sSub>
                    <m:r>
                      <a:rPr lang="en-US" sz="1600" b="0" i="1">
                        <a:solidFill>
                          <a:srgbClr val="FF0000"/>
                        </a:solidFill>
                        <a:latin typeface="Cambria Math" panose="02040503050406030204" pitchFamily="18" charset="0"/>
                      </a:rPr>
                      <m:t>+</m:t>
                    </m:r>
                    <m:r>
                      <m:rPr>
                        <m:sty m:val="p"/>
                      </m:rPr>
                      <a:rPr lang="en-US" sz="1600" b="0" i="0">
                        <a:solidFill>
                          <a:srgbClr val="FF0000"/>
                        </a:solidFill>
                        <a:latin typeface="Cambria Math" panose="02040503050406030204" pitchFamily="18" charset="0"/>
                      </a:rPr>
                      <m:t>Δ</m:t>
                    </m:r>
                    <m:sSub>
                      <m:sSubPr>
                        <m:ctrlPr>
                          <a:rPr lang="en-US" sz="1600" b="0" i="1">
                            <a:solidFill>
                              <a:srgbClr val="FF0000"/>
                            </a:solidFill>
                            <a:latin typeface="Cambria Math" panose="02040503050406030204" pitchFamily="18" charset="0"/>
                          </a:rPr>
                        </m:ctrlPr>
                      </m:sSubPr>
                      <m:e>
                        <m:r>
                          <m:rPr>
                            <m:sty m:val="p"/>
                          </m:rPr>
                          <a:rPr lang="en-US" sz="1600" b="0" i="0">
                            <a:solidFill>
                              <a:srgbClr val="FF0000"/>
                            </a:solidFill>
                            <a:latin typeface="Cambria Math" panose="02040503050406030204" pitchFamily="18" charset="0"/>
                          </a:rPr>
                          <m:t>kWh</m:t>
                        </m:r>
                      </m:e>
                      <m:sub>
                        <m:r>
                          <m:rPr>
                            <m:sty m:val="p"/>
                          </m:rPr>
                          <a:rPr lang="en-US" sz="1600" b="0" i="0">
                            <a:solidFill>
                              <a:srgbClr val="FF0000"/>
                            </a:solidFill>
                            <a:latin typeface="Cambria Math" panose="02040503050406030204" pitchFamily="18" charset="0"/>
                          </a:rPr>
                          <m:t>cooling</m:t>
                        </m:r>
                      </m:sub>
                    </m:sSub>
                  </m:oMath>
                </m:oMathPara>
              </a14:m>
              <a:endParaRPr lang="en-US" sz="1600" b="0">
                <a:solidFill>
                  <a:srgbClr val="FF0000"/>
                </a:solidFill>
              </a:endParaRPr>
            </a:p>
            <a:p>
              <a:endParaRPr lang="en-US" sz="1600" b="0">
                <a:solidFill>
                  <a:srgbClr val="FF0000"/>
                </a:solidFill>
              </a:endParaRPr>
            </a:p>
          </xdr:txBody>
        </xdr:sp>
      </mc:Choice>
      <mc:Fallback xmlns="">
        <xdr:sp macro="" textlink="">
          <xdr:nvSpPr>
            <xdr:cNvPr id="281" name="TextBox 280">
              <a:extLst>
                <a:ext uri="{FF2B5EF4-FFF2-40B4-BE49-F238E27FC236}">
                  <a16:creationId xmlns:a16="http://schemas.microsoft.com/office/drawing/2014/main" id="{335091AF-0974-47B7-8DB3-79112414A435}"/>
                </a:ext>
              </a:extLst>
            </xdr:cNvPr>
            <xdr:cNvSpPr txBox="1"/>
          </xdr:nvSpPr>
          <xdr:spPr>
            <a:xfrm>
              <a:off x="3571874" y="74390250"/>
              <a:ext cx="14658975" cy="326326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rgbClr val="FF0000"/>
                  </a:solidFill>
                  <a:latin typeface="Cambria Math" panose="02040503050406030204" pitchFamily="18" charset="0"/>
                </a:rPr>
                <a:t>Δ</a:t>
              </a:r>
              <a:r>
                <a:rPr lang="en-US" sz="1600" b="0" i="0">
                  <a:solidFill>
                    <a:srgbClr val="FF0000"/>
                  </a:solidFill>
                  <a:latin typeface="Cambria Math" panose="02040503050406030204" pitchFamily="18" charset="0"/>
                </a:rPr>
                <a:t>𝑘𝑊ℎ=Δ𝑘𝑊ℎ_ℎ𝑒𝑎𝑡𝑖𝑛𝑔+ΔkWh_cooling</a:t>
              </a:r>
              <a:endParaRPr lang="en-US" sz="1600" b="0">
                <a:solidFill>
                  <a:srgbClr val="FF0000"/>
                </a:solidFill>
              </a:endParaRPr>
            </a:p>
            <a:p>
              <a:endParaRPr lang="en-US" sz="1600" b="0">
                <a:solidFill>
                  <a:srgbClr val="FF0000"/>
                </a:solidFill>
              </a:endParaRPr>
            </a:p>
          </xdr:txBody>
        </xdr:sp>
      </mc:Fallback>
    </mc:AlternateContent>
    <xdr:clientData/>
  </xdr:twoCellAnchor>
  <xdr:twoCellAnchor>
    <xdr:from>
      <xdr:col>4</xdr:col>
      <xdr:colOff>3809</xdr:colOff>
      <xdr:row>457</xdr:row>
      <xdr:rowOff>0</xdr:rowOff>
    </xdr:from>
    <xdr:to>
      <xdr:col>14</xdr:col>
      <xdr:colOff>740772</xdr:colOff>
      <xdr:row>457</xdr:row>
      <xdr:rowOff>0</xdr:rowOff>
    </xdr:to>
    <mc:AlternateContent xmlns:mc="http://schemas.openxmlformats.org/markup-compatibility/2006" xmlns:a14="http://schemas.microsoft.com/office/drawing/2010/main">
      <mc:Choice Requires="a14">
        <xdr:sp macro="" textlink="">
          <xdr:nvSpPr>
            <xdr:cNvPr id="162" name="TextBox 161">
              <a:extLst>
                <a:ext uri="{FF2B5EF4-FFF2-40B4-BE49-F238E27FC236}">
                  <a16:creationId xmlns:a16="http://schemas.microsoft.com/office/drawing/2014/main" id="{89CE3669-FB14-45A1-AF46-30684E8BF7AC}"/>
                </a:ext>
              </a:extLst>
            </xdr:cNvPr>
            <xdr:cNvSpPr txBox="1"/>
          </xdr:nvSpPr>
          <xdr:spPr>
            <a:xfrm>
              <a:off x="3575684" y="29165550"/>
              <a:ext cx="1731998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𝐻𝑒𝑎𝑡𝑖𝑛𝑔𝐸𝑙𝑒𝑐𝑡𝑟𝑖𝑐</m:t>
                        </m:r>
                      </m:sub>
                    </m:sSub>
                  </m:oMath>
                </m:oMathPara>
              </a14:m>
              <a:endParaRPr lang="en-US" sz="1100">
                <a:solidFill>
                  <a:sysClr val="windowText" lastClr="000000"/>
                </a:solidFill>
              </a:endParaRPr>
            </a:p>
          </xdr:txBody>
        </xdr:sp>
      </mc:Choice>
      <mc:Fallback xmlns="">
        <xdr:sp macro="" textlink="">
          <xdr:nvSpPr>
            <xdr:cNvPr id="162" name="TextBox 161">
              <a:extLst>
                <a:ext uri="{FF2B5EF4-FFF2-40B4-BE49-F238E27FC236}">
                  <a16:creationId xmlns:a16="http://schemas.microsoft.com/office/drawing/2014/main" id="{89CE3669-FB14-45A1-AF46-30684E8BF7AC}"/>
                </a:ext>
              </a:extLst>
            </xdr:cNvPr>
            <xdr:cNvSpPr txBox="1"/>
          </xdr:nvSpPr>
          <xdr:spPr>
            <a:xfrm>
              <a:off x="3578678" y="90269786"/>
              <a:ext cx="17022535" cy="157053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𝑘𝑊ℎ=Δ𝑘𝑊ℎ_𝑐𝑜𝑜𝑙𝑖𝑛𝑔+Δ𝑘𝑊ℎ_𝐻𝑒𝑎𝑡𝑖𝑛𝑔𝐸𝑙𝑒𝑐𝑡𝑟𝑖𝑐</a:t>
              </a:r>
              <a:endParaRPr lang="en-US" sz="1100">
                <a:solidFill>
                  <a:sysClr val="windowText" lastClr="000000"/>
                </a:solidFill>
              </a:endParaRPr>
            </a:p>
          </xdr:txBody>
        </xdr:sp>
      </mc:Fallback>
    </mc:AlternateContent>
    <xdr:clientData/>
  </xdr:twoCellAnchor>
  <xdr:twoCellAnchor>
    <xdr:from>
      <xdr:col>4</xdr:col>
      <xdr:colOff>95250</xdr:colOff>
      <xdr:row>495</xdr:row>
      <xdr:rowOff>0</xdr:rowOff>
    </xdr:from>
    <xdr:to>
      <xdr:col>14</xdr:col>
      <xdr:colOff>0</xdr:colOff>
      <xdr:row>495</xdr:row>
      <xdr:rowOff>0</xdr:rowOff>
    </xdr:to>
    <mc:AlternateContent xmlns:mc="http://schemas.openxmlformats.org/markup-compatibility/2006" xmlns:a14="http://schemas.microsoft.com/office/drawing/2010/main">
      <mc:Choice Requires="a14">
        <xdr:sp macro="" textlink="">
          <xdr:nvSpPr>
            <xdr:cNvPr id="163" name="TextBox 162">
              <a:extLst>
                <a:ext uri="{FF2B5EF4-FFF2-40B4-BE49-F238E27FC236}">
                  <a16:creationId xmlns:a16="http://schemas.microsoft.com/office/drawing/2014/main" id="{2374DAC8-C421-44C2-9958-419A34A9ABCD}"/>
                </a:ext>
              </a:extLst>
            </xdr:cNvPr>
            <xdr:cNvSpPr txBox="1"/>
          </xdr:nvSpPr>
          <xdr:spPr>
            <a:xfrm>
              <a:off x="3667125" y="30794325"/>
              <a:ext cx="1648777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oMath>
                </m:oMathPara>
              </a14:m>
              <a:endParaRPr lang="en-US" sz="1400">
                <a:solidFill>
                  <a:sysClr val="windowText" lastClr="000000"/>
                </a:solidFill>
              </a:endParaRPr>
            </a:p>
          </xdr:txBody>
        </xdr:sp>
      </mc:Choice>
      <mc:Fallback xmlns="">
        <xdr:sp macro="" textlink="">
          <xdr:nvSpPr>
            <xdr:cNvPr id="163" name="TextBox 162">
              <a:extLst>
                <a:ext uri="{FF2B5EF4-FFF2-40B4-BE49-F238E27FC236}">
                  <a16:creationId xmlns:a16="http://schemas.microsoft.com/office/drawing/2014/main" id="{2374DAC8-C421-44C2-9958-419A34A9ABCD}"/>
                </a:ext>
              </a:extLst>
            </xdr:cNvPr>
            <xdr:cNvSpPr txBox="1"/>
          </xdr:nvSpPr>
          <xdr:spPr>
            <a:xfrm>
              <a:off x="3673929" y="99032785"/>
              <a:ext cx="16178892" cy="126546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Δ𝑘𝑊ℎ=∆𝑘𝑊ℎ_ℎ𝑒𝑎𝑡𝑖𝑛𝑔+Δ𝑘𝑊ℎ_𝑐𝑜𝑜𝑙𝑖𝑛𝑔</a:t>
              </a:r>
              <a:endParaRPr lang="en-US" sz="1400">
                <a:solidFill>
                  <a:sysClr val="windowText" lastClr="000000"/>
                </a:solidFill>
              </a:endParaRPr>
            </a:p>
          </xdr:txBody>
        </xdr:sp>
      </mc:Fallback>
    </mc:AlternateContent>
    <xdr:clientData/>
  </xdr:twoCellAnchor>
  <xdr:twoCellAnchor>
    <xdr:from>
      <xdr:col>4</xdr:col>
      <xdr:colOff>54430</xdr:colOff>
      <xdr:row>569</xdr:row>
      <xdr:rowOff>0</xdr:rowOff>
    </xdr:from>
    <xdr:to>
      <xdr:col>6</xdr:col>
      <xdr:colOff>60418</xdr:colOff>
      <xdr:row>569</xdr:row>
      <xdr:rowOff>0</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00000000-0008-0000-0700-000016000000}"/>
                </a:ext>
              </a:extLst>
            </xdr:cNvPr>
            <xdr:cNvSpPr txBox="1"/>
          </xdr:nvSpPr>
          <xdr:spPr>
            <a:xfrm>
              <a:off x="3626305" y="34890075"/>
              <a:ext cx="742596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𝑘𝑊h</m:t>
                    </m:r>
                    <m:r>
                      <a:rPr lang="en-US" sz="1800" b="0" i="1">
                        <a:latin typeface="Cambria Math" panose="02040503050406030204" pitchFamily="18" charset="0"/>
                        <a:ea typeface="Cambria Math" panose="02040503050406030204" pitchFamily="18" charset="0"/>
                      </a:rPr>
                      <m:t>=</m:t>
                    </m:r>
                    <m:r>
                      <m:rPr>
                        <m:sty m:val="p"/>
                      </m:rPr>
                      <a:rPr lang="el-GR" sz="1400" b="0" i="1">
                        <a:solidFill>
                          <a:schemeClr val="tx1"/>
                        </a:solidFill>
                        <a:effectLst/>
                        <a:latin typeface="Cambria Math" panose="02040503050406030204" pitchFamily="18" charset="0"/>
                        <a:ea typeface="+mn-ea"/>
                        <a:cs typeface="+mn-cs"/>
                      </a:rPr>
                      <m:t>Δ</m:t>
                    </m:r>
                    <m:r>
                      <a:rPr lang="en-US" sz="1400" b="0" i="1">
                        <a:solidFill>
                          <a:schemeClr val="tx1"/>
                        </a:solidFill>
                        <a:effectLst/>
                        <a:latin typeface="Cambria Math" panose="02040503050406030204" pitchFamily="18" charset="0"/>
                        <a:ea typeface="+mn-ea"/>
                        <a:cs typeface="+mn-cs"/>
                      </a:rPr>
                      <m:t>𝑘𝑊</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h</m:t>
                        </m:r>
                      </m:e>
                      <m:sub>
                        <m:r>
                          <a:rPr lang="en-US" sz="1400" b="0" i="1">
                            <a:solidFill>
                              <a:schemeClr val="tx1"/>
                            </a:solidFill>
                            <a:effectLst/>
                            <a:latin typeface="Cambria Math" panose="02040503050406030204" pitchFamily="18" charset="0"/>
                            <a:ea typeface="+mn-ea"/>
                            <a:cs typeface="+mn-cs"/>
                          </a:rPr>
                          <m:t>𝐶𝑜𝑜𝑙𝑖𝑛𝑔</m:t>
                        </m:r>
                      </m:sub>
                    </m:sSub>
                    <m:r>
                      <a:rPr lang="en-US" sz="1400" b="0" i="1">
                        <a:solidFill>
                          <a:schemeClr val="tx1"/>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𝑘𝑊</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h</m:t>
                        </m:r>
                      </m:e>
                      <m:sub>
                        <m:r>
                          <a:rPr lang="en-US" sz="1400" b="0" i="1">
                            <a:solidFill>
                              <a:schemeClr val="tx1"/>
                            </a:solidFill>
                            <a:effectLst/>
                            <a:latin typeface="Cambria Math" panose="02040503050406030204" pitchFamily="18" charset="0"/>
                            <a:ea typeface="+mn-ea"/>
                            <a:cs typeface="+mn-cs"/>
                          </a:rPr>
                          <m:t>𝐻𝑒𝑎𝑡𝑖𝑛𝑔</m:t>
                        </m:r>
                      </m:sub>
                    </m:sSub>
                  </m:oMath>
                </m:oMathPara>
              </a14:m>
              <a:endParaRPr lang="en-US" sz="1800"/>
            </a:p>
          </xdr:txBody>
        </xdr:sp>
      </mc:Choice>
      <mc:Fallback xmlns="">
        <xdr:sp macro="" textlink="">
          <xdr:nvSpPr>
            <xdr:cNvPr id="22" name="TextBox 21">
              <a:extLst>
                <a:ext uri="{FF2B5EF4-FFF2-40B4-BE49-F238E27FC236}">
                  <a16:creationId xmlns:a16="http://schemas.microsoft.com/office/drawing/2014/main" id="{00000000-0008-0000-0700-000016000000}"/>
                </a:ext>
              </a:extLst>
            </xdr:cNvPr>
            <xdr:cNvSpPr txBox="1"/>
          </xdr:nvSpPr>
          <xdr:spPr>
            <a:xfrm>
              <a:off x="3640729" y="117412225"/>
              <a:ext cx="7419975" cy="16600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a:t>
              </a:r>
              <a:r>
                <a:rPr lang="el-GR" sz="1400" b="0" i="0">
                  <a:solidFill>
                    <a:schemeClr val="tx1"/>
                  </a:solidFill>
                  <a:effectLst/>
                  <a:latin typeface="Cambria Math" panose="02040503050406030204" pitchFamily="18" charset="0"/>
                  <a:ea typeface="+mn-ea"/>
                  <a:cs typeface="+mn-cs"/>
                </a:rPr>
                <a:t>Δ</a:t>
              </a:r>
              <a:r>
                <a:rPr lang="en-US" sz="1400" b="0" i="0">
                  <a:solidFill>
                    <a:schemeClr val="tx1"/>
                  </a:solidFill>
                  <a:effectLst/>
                  <a:latin typeface="Cambria Math" panose="02040503050406030204" pitchFamily="18" charset="0"/>
                  <a:ea typeface="+mn-ea"/>
                  <a:cs typeface="+mn-cs"/>
                </a:rPr>
                <a:t>𝑘𝑊ℎ_𝐶𝑜𝑜𝑙𝑖𝑛𝑔+𝑘𝑊ℎ_𝐻𝑒𝑎𝑡𝑖𝑛𝑔</a:t>
              </a:r>
              <a:endParaRPr lang="en-US" sz="1800"/>
            </a:p>
          </xdr:txBody>
        </xdr:sp>
      </mc:Fallback>
    </mc:AlternateContent>
    <xdr:clientData/>
  </xdr:twoCellAnchor>
  <xdr:twoCellAnchor>
    <xdr:from>
      <xdr:col>4</xdr:col>
      <xdr:colOff>56604</xdr:colOff>
      <xdr:row>616</xdr:row>
      <xdr:rowOff>136072</xdr:rowOff>
    </xdr:from>
    <xdr:to>
      <xdr:col>16</xdr:col>
      <xdr:colOff>1632</xdr:colOff>
      <xdr:row>617</xdr:row>
      <xdr:rowOff>0</xdr:rowOff>
    </xdr:to>
    <mc:AlternateContent xmlns:mc="http://schemas.openxmlformats.org/markup-compatibility/2006" xmlns:a14="http://schemas.microsoft.com/office/drawing/2010/main">
      <mc:Choice Requires="a14">
        <xdr:sp macro="" textlink="">
          <xdr:nvSpPr>
            <xdr:cNvPr id="164" name="TextBox 163">
              <a:extLst>
                <a:ext uri="{FF2B5EF4-FFF2-40B4-BE49-F238E27FC236}">
                  <a16:creationId xmlns:a16="http://schemas.microsoft.com/office/drawing/2014/main" id="{085A6C89-B20B-44BD-AA35-E7868AA44AD0}"/>
                </a:ext>
              </a:extLst>
            </xdr:cNvPr>
            <xdr:cNvSpPr txBox="1"/>
          </xdr:nvSpPr>
          <xdr:spPr>
            <a:xfrm>
              <a:off x="3628479" y="38645647"/>
              <a:ext cx="18213978" cy="4490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n-US" sz="160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𝑘𝑊h</m:t>
                    </m:r>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𝐻𝑒𝑎𝑡𝑖𝑛𝑔</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𝑀𝑜𝑑𝑒</m:t>
                        </m:r>
                      </m:sub>
                    </m:sSub>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𝐶𝑜𝑜𝑙𝑖𝑛𝑔</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𝑀𝑜𝑑𝑒</m:t>
                        </m:r>
                      </m:sub>
                    </m:sSub>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𝐴𝑢𝑡𝑜</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𝐶𝑖𝑟𝑐𝑢𝑙𝑎𝑡𝑖𝑜𝑛</m:t>
                        </m:r>
                      </m:sub>
                    </m:sSub>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sSub>
                      <m:sSubPr>
                        <m:ctrlPr>
                          <a:rPr lang="en-US" sz="1600" b="0" i="1">
                            <a:solidFill>
                              <a:sysClr val="windowText" lastClr="000000"/>
                            </a:solidFill>
                            <a:latin typeface="Cambria Math" panose="02040503050406030204" pitchFamily="18" charset="0"/>
                          </a:rPr>
                        </m:ctrlPr>
                      </m:sSubPr>
                      <m:e>
                        <m:r>
                          <m:rPr>
                            <m:sty m:val="p"/>
                          </m:rPr>
                          <a:rPr lang="en-US" sz="1600" b="0" i="0">
                            <a:solidFill>
                              <a:sysClr val="windowText" lastClr="000000"/>
                            </a:solidFill>
                            <a:latin typeface="Cambria Math" panose="02040503050406030204" pitchFamily="18" charset="0"/>
                          </a:rPr>
                          <m:t>kWh</m:t>
                        </m:r>
                      </m:e>
                      <m:sub>
                        <m:r>
                          <m:rPr>
                            <m:sty m:val="p"/>
                          </m:rPr>
                          <a:rPr lang="en-US" sz="1600" b="0" i="0">
                            <a:solidFill>
                              <a:sysClr val="windowText" lastClr="000000"/>
                            </a:solidFill>
                            <a:latin typeface="Cambria Math" panose="02040503050406030204" pitchFamily="18" charset="0"/>
                          </a:rPr>
                          <m:t>Continuous</m:t>
                        </m:r>
                        <m:r>
                          <a:rPr lang="en-US" sz="1600" b="0" i="0">
                            <a:solidFill>
                              <a:sysClr val="windowText" lastClr="000000"/>
                            </a:solidFill>
                            <a:latin typeface="Cambria Math" panose="02040503050406030204" pitchFamily="18" charset="0"/>
                          </a:rPr>
                          <m:t> </m:t>
                        </m:r>
                        <m:r>
                          <m:rPr>
                            <m:sty m:val="p"/>
                          </m:rPr>
                          <a:rPr lang="en-US" sz="1600" b="0" i="0">
                            <a:solidFill>
                              <a:sysClr val="windowText" lastClr="000000"/>
                            </a:solidFill>
                            <a:latin typeface="Cambria Math" panose="02040503050406030204" pitchFamily="18" charset="0"/>
                          </a:rPr>
                          <m:t>Circulation</m:t>
                        </m:r>
                      </m:sub>
                    </m:sSub>
                  </m:oMath>
                </m:oMathPara>
              </a14:m>
              <a:endParaRPr lang="en-US" sz="1600">
                <a:solidFill>
                  <a:sysClr val="windowText" lastClr="000000"/>
                </a:solidFill>
              </a:endParaRPr>
            </a:p>
          </xdr:txBody>
        </xdr:sp>
      </mc:Choice>
      <mc:Fallback xmlns="">
        <xdr:sp macro="" textlink="">
          <xdr:nvSpPr>
            <xdr:cNvPr id="164" name="TextBox 163">
              <a:extLst>
                <a:ext uri="{FF2B5EF4-FFF2-40B4-BE49-F238E27FC236}">
                  <a16:creationId xmlns:a16="http://schemas.microsoft.com/office/drawing/2014/main" id="{085A6C89-B20B-44BD-AA35-E7868AA44AD0}"/>
                </a:ext>
              </a:extLst>
            </xdr:cNvPr>
            <xdr:cNvSpPr txBox="1"/>
          </xdr:nvSpPr>
          <xdr:spPr>
            <a:xfrm>
              <a:off x="3646713" y="120926679"/>
              <a:ext cx="17893393" cy="332994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ysClr val="windowText" lastClr="000000"/>
                  </a:solidFill>
                  <a:latin typeface="Cambria Math" panose="02040503050406030204" pitchFamily="18" charset="0"/>
                </a:rPr>
                <a:t>Δ</a:t>
              </a:r>
              <a:r>
                <a:rPr lang="en-US" sz="1600" b="0" i="0">
                  <a:solidFill>
                    <a:sysClr val="windowText" lastClr="000000"/>
                  </a:solidFill>
                  <a:latin typeface="Cambria Math" panose="02040503050406030204" pitchFamily="18" charset="0"/>
                </a:rPr>
                <a:t>𝑘𝑊ℎ=Δ𝑘𝑊ℎ_(𝐻𝑒𝑎𝑡𝑖𝑛𝑔 𝑀𝑜𝑑𝑒)+Δ𝑘𝑊ℎ_(𝐶𝑜𝑜𝑙𝑖𝑛𝑔 𝑀𝑜𝑑𝑒)+Δ𝑘𝑊ℎ_(𝐴𝑢𝑡𝑜 𝐶𝑖𝑟𝑐𝑢𝑙𝑎𝑡𝑖𝑜𝑛)+ΔkWh_(Continuous Circulation)</a:t>
              </a:r>
              <a:endParaRPr lang="en-US" sz="1600">
                <a:solidFill>
                  <a:sysClr val="windowText" lastClr="000000"/>
                </a:solidFill>
              </a:endParaRPr>
            </a:p>
          </xdr:txBody>
        </xdr:sp>
      </mc:Fallback>
    </mc:AlternateContent>
    <xdr:clientData/>
  </xdr:twoCellAnchor>
  <xdr:oneCellAnchor>
    <xdr:from>
      <xdr:col>7</xdr:col>
      <xdr:colOff>2269331</xdr:colOff>
      <xdr:row>5</xdr:row>
      <xdr:rowOff>0</xdr:rowOff>
    </xdr:from>
    <xdr:ext cx="65" cy="172227"/>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18452306"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14</xdr:col>
      <xdr:colOff>2381</xdr:colOff>
      <xdr:row>680</xdr:row>
      <xdr:rowOff>0</xdr:rowOff>
    </xdr:from>
    <xdr:ext cx="65" cy="172227"/>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20157281" y="39233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14</xdr:col>
      <xdr:colOff>2381</xdr:colOff>
      <xdr:row>680</xdr:row>
      <xdr:rowOff>0</xdr:rowOff>
    </xdr:from>
    <xdr:ext cx="65" cy="172227"/>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20157281" y="39233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0</xdr:colOff>
      <xdr:row>769</xdr:row>
      <xdr:rowOff>0</xdr:rowOff>
    </xdr:from>
    <xdr:to>
      <xdr:col>13</xdr:col>
      <xdr:colOff>0</xdr:colOff>
      <xdr:row>769</xdr:row>
      <xdr:rowOff>0</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3571875" y="46748700"/>
              <a:ext cx="1564957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Book Antiqua" panose="02040602050305030304" pitchFamily="18" charset="0"/>
                        <a:ea typeface="+mn-ea"/>
                        <a:cs typeface="+mn-cs"/>
                      </a:rPr>
                      <m:t>∆</m:t>
                    </m:r>
                    <m:r>
                      <m:rPr>
                        <m:nor/>
                      </m:rPr>
                      <a:rPr lang="en-US" sz="1400" i="1">
                        <a:solidFill>
                          <a:sysClr val="windowText" lastClr="000000"/>
                        </a:solidFill>
                        <a:effectLst/>
                        <a:latin typeface="Book Antiqua" panose="02040602050305030304" pitchFamily="18" charset="0"/>
                        <a:ea typeface="+mn-ea"/>
                        <a:cs typeface="+mn-cs"/>
                      </a:rPr>
                      <m:t>kWh</m:t>
                    </m:r>
                    <m:r>
                      <m:rPr>
                        <m:nor/>
                      </m:rPr>
                      <a:rPr lang="en-US" sz="1400" i="1">
                        <a:solidFill>
                          <a:sysClr val="windowText" lastClr="000000"/>
                        </a:solidFill>
                        <a:effectLst/>
                        <a:latin typeface="Book Antiqua" panose="02040602050305030304" pitchFamily="18" charset="0"/>
                        <a:ea typeface="+mn-ea"/>
                        <a:cs typeface="+mn-cs"/>
                      </a:rPr>
                      <m:t> </m:t>
                    </m:r>
                    <m:r>
                      <a:rPr lang="en-US" sz="1400" i="1">
                        <a:solidFill>
                          <a:sysClr val="windowText" lastClr="000000"/>
                        </a:solidFill>
                        <a:latin typeface="Cambria Math" panose="02040503050406030204" pitchFamily="18" charset="0"/>
                      </a:rPr>
                      <m:t>=</m:t>
                    </m:r>
                    <m:d>
                      <m:dPr>
                        <m:ctrlPr>
                          <a:rPr lang="en-US" sz="1400" i="1">
                            <a:solidFill>
                              <a:sysClr val="windowText" lastClr="000000"/>
                            </a:solidFill>
                            <a:latin typeface="Cambria Math" panose="02040503050406030204" pitchFamily="18" charset="0"/>
                          </a:rPr>
                        </m:ctrlPr>
                      </m:dPr>
                      <m:e>
                        <m:f>
                          <m:fPr>
                            <m:ctrlPr>
                              <a:rPr lang="en-US" sz="1100" i="1" baseline="0">
                                <a:solidFill>
                                  <a:sysClr val="windowText" lastClr="000000"/>
                                </a:solidFill>
                                <a:effectLst/>
                                <a:latin typeface="Cambria Math" panose="02040503050406030204" pitchFamily="18" charset="0"/>
                                <a:ea typeface="+mn-ea"/>
                                <a:cs typeface="+mn-cs"/>
                              </a:rPr>
                            </m:ctrlPr>
                          </m:fPr>
                          <m:num>
                            <m:r>
                              <m:rPr>
                                <m:nor/>
                              </m:rPr>
                              <a:rPr lang="en-US" sz="1100" b="0" i="1" baseline="0">
                                <a:solidFill>
                                  <a:sysClr val="windowText" lastClr="000000"/>
                                </a:solidFill>
                                <a:effectLst/>
                                <a:latin typeface="Book Antiqua" panose="02040602050305030304" pitchFamily="18" charset="0"/>
                                <a:ea typeface="+mn-ea"/>
                                <a:cs typeface="+mn-cs"/>
                              </a:rPr>
                              <m:t>%</m:t>
                            </m:r>
                            <m:r>
                              <m:rPr>
                                <m:nor/>
                              </m:rPr>
                              <a:rPr lang="en-US" sz="1100" b="0" i="1" baseline="0">
                                <a:solidFill>
                                  <a:sysClr val="windowText" lastClr="000000"/>
                                </a:solidFill>
                                <a:effectLst/>
                                <a:latin typeface="Book Antiqua" panose="02040602050305030304" pitchFamily="18" charset="0"/>
                                <a:ea typeface="+mn-ea"/>
                                <a:cs typeface="+mn-cs"/>
                              </a:rPr>
                              <m:t>ElectricDHW</m:t>
                            </m:r>
                            <m:r>
                              <m:rPr>
                                <m:nor/>
                              </m:rPr>
                              <a:rPr lang="en-US" sz="1100" b="0" i="1" baseline="0">
                                <a:solidFill>
                                  <a:sysClr val="windowText" lastClr="000000"/>
                                </a:solidFill>
                                <a:effectLst/>
                                <a:latin typeface="Book Antiqua" panose="02040602050305030304" pitchFamily="18" charset="0"/>
                                <a:ea typeface="+mn-ea"/>
                                <a:cs typeface="+mn-cs"/>
                              </a:rPr>
                              <m:t> </m:t>
                            </m:r>
                            <m:r>
                              <m:rPr>
                                <m:nor/>
                              </m:rPr>
                              <a:rPr lang="en-US" sz="1100" b="0" i="1" baseline="0">
                                <a:solidFill>
                                  <a:sysClr val="windowText" lastClr="000000"/>
                                </a:solidFill>
                                <a:effectLst/>
                                <a:latin typeface="Book Antiqua" panose="02040602050305030304" pitchFamily="18" charset="0"/>
                                <a:ea typeface="+mn-ea"/>
                                <a:cs typeface="+mn-cs"/>
                              </a:rPr>
                              <m:t>x</m:t>
                            </m:r>
                            <m:r>
                              <m:rPr>
                                <m:nor/>
                              </m:rPr>
                              <a:rPr lang="en-US" sz="1100" b="0" i="1" baseline="0">
                                <a:solidFill>
                                  <a:sysClr val="windowText" lastClr="000000"/>
                                </a:solidFill>
                                <a:effectLst/>
                                <a:latin typeface="Book Antiqua" panose="02040602050305030304" pitchFamily="18" charset="0"/>
                                <a:ea typeface="+mn-ea"/>
                                <a:cs typeface="+mn-cs"/>
                              </a:rPr>
                              <m:t> ((</m:t>
                            </m:r>
                            <m:r>
                              <m:rPr>
                                <m:nor/>
                              </m:rPr>
                              <a:rPr lang="en-US" sz="1100" b="0" i="1" baseline="0">
                                <a:solidFill>
                                  <a:sysClr val="windowText" lastClr="000000"/>
                                </a:solidFill>
                                <a:effectLst/>
                                <a:latin typeface="Book Antiqua" panose="02040602050305030304" pitchFamily="18" charset="0"/>
                                <a:ea typeface="+mn-ea"/>
                                <a:cs typeface="+mn-cs"/>
                              </a:rPr>
                              <m:t>GPM</m:t>
                            </m:r>
                            <m:r>
                              <m:rPr>
                                <m:nor/>
                              </m:rPr>
                              <a:rPr lang="en-US" sz="1100" b="0" i="1" baseline="0">
                                <a:solidFill>
                                  <a:sysClr val="windowText" lastClr="000000"/>
                                </a:solidFill>
                                <a:effectLst/>
                                <a:latin typeface="Book Antiqua" panose="02040602050305030304" pitchFamily="18" charset="0"/>
                                <a:ea typeface="+mn-ea"/>
                                <a:cs typeface="+mn-cs"/>
                              </a:rPr>
                              <m:t>_</m:t>
                            </m:r>
                            <m:r>
                              <m:rPr>
                                <m:nor/>
                              </m:rPr>
                              <a:rPr lang="en-US" sz="1100" b="0" i="1" baseline="0">
                                <a:solidFill>
                                  <a:sysClr val="windowText" lastClr="000000"/>
                                </a:solidFill>
                                <a:effectLst/>
                                <a:latin typeface="Book Antiqua" panose="02040602050305030304" pitchFamily="18" charset="0"/>
                                <a:ea typeface="+mn-ea"/>
                                <a:cs typeface="+mn-cs"/>
                              </a:rPr>
                              <m:t>base</m:t>
                            </m:r>
                            <m:r>
                              <m:rPr>
                                <m:nor/>
                              </m:rPr>
                              <a:rPr lang="en-US" sz="1100" i="1" baseline="0">
                                <a:solidFill>
                                  <a:sysClr val="windowText" lastClr="000000"/>
                                </a:solidFill>
                                <a:effectLst/>
                                <a:latin typeface="Book Antiqua" panose="02040602050305030304" pitchFamily="18" charset="0"/>
                                <a:ea typeface="+mn-ea"/>
                                <a:cs typeface="+mn-cs"/>
                              </a:rPr>
                              <m:t> </m:t>
                            </m:r>
                            <m:r>
                              <m:rPr>
                                <m:nor/>
                              </m:rPr>
                              <a:rPr lang="en-US" sz="1100" b="0" i="1" baseline="0">
                                <a:solidFill>
                                  <a:sysClr val="windowText" lastClr="000000"/>
                                </a:solidFill>
                                <a:effectLst/>
                                <a:latin typeface="Book Antiqua" panose="02040602050305030304" pitchFamily="18" charset="0"/>
                                <a:ea typeface="+mn-ea"/>
                                <a:cs typeface="+mn-cs"/>
                              </a:rPr>
                              <m:t>x</m:t>
                            </m:r>
                            <m:r>
                              <m:rPr>
                                <m:nor/>
                              </m:rPr>
                              <a:rPr lang="en-US" sz="1100" b="0" i="1" baseline="0">
                                <a:solidFill>
                                  <a:sysClr val="windowText" lastClr="000000"/>
                                </a:solidFill>
                                <a:effectLst/>
                                <a:latin typeface="Book Antiqua" panose="02040602050305030304" pitchFamily="18" charset="0"/>
                                <a:ea typeface="+mn-ea"/>
                                <a:cs typeface="+mn-cs"/>
                              </a:rPr>
                              <m:t> </m:t>
                            </m:r>
                            <m:r>
                              <m:rPr>
                                <m:nor/>
                              </m:rPr>
                              <a:rPr lang="en-US" sz="1100" b="0" i="1" baseline="0">
                                <a:solidFill>
                                  <a:sysClr val="windowText" lastClr="000000"/>
                                </a:solidFill>
                                <a:effectLst/>
                                <a:latin typeface="Book Antiqua" panose="02040602050305030304" pitchFamily="18" charset="0"/>
                                <a:ea typeface="+mn-ea"/>
                                <a:cs typeface="+mn-cs"/>
                              </a:rPr>
                              <m:t>L</m:t>
                            </m:r>
                            <m:r>
                              <m:rPr>
                                <m:nor/>
                              </m:rPr>
                              <a:rPr lang="en-US" sz="1100" b="0" i="1" baseline="0">
                                <a:solidFill>
                                  <a:sysClr val="windowText" lastClr="000000"/>
                                </a:solidFill>
                                <a:effectLst/>
                                <a:latin typeface="Book Antiqua" panose="02040602050305030304" pitchFamily="18" charset="0"/>
                                <a:ea typeface="+mn-ea"/>
                                <a:cs typeface="+mn-cs"/>
                              </a:rPr>
                              <m:t>_</m:t>
                            </m:r>
                            <m:r>
                              <m:rPr>
                                <m:nor/>
                              </m:rPr>
                              <a:rPr lang="en-US" sz="1100" b="0" i="1" baseline="0">
                                <a:solidFill>
                                  <a:sysClr val="windowText" lastClr="000000"/>
                                </a:solidFill>
                                <a:effectLst/>
                                <a:latin typeface="Book Antiqua" panose="02040602050305030304" pitchFamily="18" charset="0"/>
                                <a:ea typeface="+mn-ea"/>
                                <a:cs typeface="+mn-cs"/>
                              </a:rPr>
                              <m:t>base</m:t>
                            </m:r>
                            <m:r>
                              <m:rPr>
                                <m:nor/>
                              </m:rPr>
                              <a:rPr lang="en-US" sz="1100" b="0" i="1" baseline="-25000">
                                <a:solidFill>
                                  <a:sysClr val="windowText" lastClr="000000"/>
                                </a:solidFill>
                                <a:effectLst/>
                                <a:latin typeface="Book Antiqua" panose="02040602050305030304" pitchFamily="18" charset="0"/>
                                <a:ea typeface="+mn-ea"/>
                                <a:cs typeface="+mn-cs"/>
                              </a:rPr>
                              <m:t>  − </m:t>
                            </m:r>
                            <m:r>
                              <m:rPr>
                                <m:nor/>
                              </m:rPr>
                              <a:rPr lang="en-US" sz="1100" b="0" i="1" baseline="0">
                                <a:solidFill>
                                  <a:sysClr val="windowText" lastClr="000000"/>
                                </a:solidFill>
                                <a:effectLst/>
                                <a:latin typeface="Book Antiqua" panose="02040602050305030304" pitchFamily="18" charset="0"/>
                                <a:ea typeface="+mn-ea"/>
                                <a:cs typeface="+mn-cs"/>
                              </a:rPr>
                              <m:t>GPM</m:t>
                            </m:r>
                            <m:r>
                              <m:rPr>
                                <m:nor/>
                              </m:rPr>
                              <a:rPr lang="en-US" sz="1100" b="0" i="1" baseline="0">
                                <a:solidFill>
                                  <a:sysClr val="windowText" lastClr="000000"/>
                                </a:solidFill>
                                <a:effectLst/>
                                <a:latin typeface="Book Antiqua" panose="02040602050305030304" pitchFamily="18" charset="0"/>
                                <a:ea typeface="+mn-ea"/>
                                <a:cs typeface="+mn-cs"/>
                              </a:rPr>
                              <m:t>_</m:t>
                            </m:r>
                            <m:r>
                              <m:rPr>
                                <m:nor/>
                              </m:rPr>
                              <a:rPr lang="en-US" sz="1100" b="0" i="1" baseline="0">
                                <a:solidFill>
                                  <a:sysClr val="windowText" lastClr="000000"/>
                                </a:solidFill>
                                <a:effectLst/>
                                <a:latin typeface="Book Antiqua" panose="02040602050305030304" pitchFamily="18" charset="0"/>
                                <a:ea typeface="+mn-ea"/>
                                <a:cs typeface="+mn-cs"/>
                              </a:rPr>
                              <m:t>low</m:t>
                            </m:r>
                            <m:r>
                              <m:rPr>
                                <m:nor/>
                              </m:rPr>
                              <a:rPr lang="en-US" sz="1100" b="0" i="1" baseline="-25000">
                                <a:solidFill>
                                  <a:sysClr val="windowText" lastClr="000000"/>
                                </a:solidFill>
                                <a:effectLst/>
                                <a:latin typeface="Book Antiqua" panose="02040602050305030304" pitchFamily="18" charset="0"/>
                                <a:ea typeface="+mn-ea"/>
                                <a:cs typeface="+mn-cs"/>
                              </a:rPr>
                              <m:t>  </m:t>
                            </m:r>
                            <m:r>
                              <m:rPr>
                                <m:nor/>
                              </m:rPr>
                              <a:rPr lang="en-US" sz="1100" b="0" i="1" baseline="0">
                                <a:solidFill>
                                  <a:sysClr val="windowText" lastClr="000000"/>
                                </a:solidFill>
                                <a:effectLst/>
                                <a:latin typeface="Book Antiqua" panose="02040602050305030304" pitchFamily="18" charset="0"/>
                                <a:ea typeface="+mn-ea"/>
                                <a:cs typeface="+mn-cs"/>
                              </a:rPr>
                              <m:t>x</m:t>
                            </m:r>
                            <m:r>
                              <m:rPr>
                                <m:nor/>
                              </m:rPr>
                              <a:rPr lang="en-US" sz="1100" b="0" i="1" baseline="0">
                                <a:solidFill>
                                  <a:sysClr val="windowText" lastClr="000000"/>
                                </a:solidFill>
                                <a:effectLst/>
                                <a:latin typeface="Book Antiqua" panose="02040602050305030304" pitchFamily="18" charset="0"/>
                                <a:ea typeface="+mn-ea"/>
                                <a:cs typeface="+mn-cs"/>
                              </a:rPr>
                              <m:t> </m:t>
                            </m:r>
                            <m:r>
                              <m:rPr>
                                <m:nor/>
                              </m:rPr>
                              <a:rPr lang="en-US" sz="1100" b="0" i="1" baseline="0">
                                <a:solidFill>
                                  <a:sysClr val="windowText" lastClr="000000"/>
                                </a:solidFill>
                                <a:effectLst/>
                                <a:latin typeface="Book Antiqua" panose="02040602050305030304" pitchFamily="18" charset="0"/>
                                <a:ea typeface="+mn-ea"/>
                                <a:cs typeface="+mn-cs"/>
                              </a:rPr>
                              <m:t>L</m:t>
                            </m:r>
                            <m:r>
                              <m:rPr>
                                <m:nor/>
                              </m:rPr>
                              <a:rPr lang="en-US" sz="1100" b="0" i="1" baseline="0">
                                <a:solidFill>
                                  <a:sysClr val="windowText" lastClr="000000"/>
                                </a:solidFill>
                                <a:effectLst/>
                                <a:latin typeface="Book Antiqua" panose="02040602050305030304" pitchFamily="18" charset="0"/>
                                <a:ea typeface="+mn-ea"/>
                                <a:cs typeface="+mn-cs"/>
                              </a:rPr>
                              <m:t>_</m:t>
                            </m:r>
                            <m:r>
                              <m:rPr>
                                <m:nor/>
                              </m:rPr>
                              <a:rPr lang="en-US" sz="1100" b="0" i="1" baseline="0">
                                <a:solidFill>
                                  <a:sysClr val="windowText" lastClr="000000"/>
                                </a:solidFill>
                                <a:effectLst/>
                                <a:latin typeface="Book Antiqua" panose="02040602050305030304" pitchFamily="18" charset="0"/>
                                <a:ea typeface="+mn-ea"/>
                                <a:cs typeface="+mn-cs"/>
                              </a:rPr>
                              <m:t>low</m:t>
                            </m:r>
                            <m:r>
                              <m:rPr>
                                <m:nor/>
                              </m:rPr>
                              <a:rPr lang="en-US" sz="1100" i="1" baseline="0">
                                <a:solidFill>
                                  <a:sysClr val="windowText" lastClr="000000"/>
                                </a:solidFill>
                                <a:effectLst/>
                                <a:latin typeface="Book Antiqua" panose="02040602050305030304" pitchFamily="18" charset="0"/>
                                <a:ea typeface="+mn-ea"/>
                                <a:cs typeface="+mn-cs"/>
                              </a:rPr>
                              <m:t>) ∗  </m:t>
                            </m:r>
                            <m:r>
                              <m:rPr>
                                <m:nor/>
                              </m:rPr>
                              <a:rPr lang="en-US" sz="1100" b="0" i="1" baseline="0">
                                <a:solidFill>
                                  <a:sysClr val="windowText" lastClr="000000"/>
                                </a:solidFill>
                                <a:effectLst/>
                                <a:latin typeface="Book Antiqua" panose="02040602050305030304" pitchFamily="18" charset="0"/>
                                <a:ea typeface="+mn-ea"/>
                                <a:cs typeface="+mn-cs"/>
                              </a:rPr>
                              <m:t>Household</m:t>
                            </m:r>
                            <m:r>
                              <m:rPr>
                                <m:nor/>
                              </m:rPr>
                              <a:rPr lang="en-US" sz="1100" i="1" baseline="0">
                                <a:solidFill>
                                  <a:sysClr val="windowText" lastClr="000000"/>
                                </a:solidFill>
                                <a:effectLst/>
                                <a:latin typeface="Book Antiqua" panose="02040602050305030304" pitchFamily="18" charset="0"/>
                                <a:ea typeface="+mn-ea"/>
                                <a:cs typeface="+mn-cs"/>
                              </a:rPr>
                              <m:t> ∗ </m:t>
                            </m:r>
                            <m:r>
                              <m:rPr>
                                <m:nor/>
                              </m:rPr>
                              <a:rPr lang="en-US" sz="1100" b="0" i="1" baseline="0">
                                <a:solidFill>
                                  <a:sysClr val="windowText" lastClr="000000"/>
                                </a:solidFill>
                                <a:effectLst/>
                                <a:latin typeface="Book Antiqua" panose="02040602050305030304" pitchFamily="18" charset="0"/>
                                <a:ea typeface="+mn-ea"/>
                                <a:cs typeface="+mn-cs"/>
                              </a:rPr>
                              <m:t>365.25 ∗ </m:t>
                            </m:r>
                            <m:r>
                              <m:rPr>
                                <m:nor/>
                              </m:rPr>
                              <a:rPr lang="en-US" sz="1100" b="0" i="1" baseline="0">
                                <a:solidFill>
                                  <a:sysClr val="windowText" lastClr="000000"/>
                                </a:solidFill>
                                <a:effectLst/>
                                <a:latin typeface="Book Antiqua" panose="02040602050305030304" pitchFamily="18" charset="0"/>
                                <a:ea typeface="+mn-ea"/>
                                <a:cs typeface="+mn-cs"/>
                              </a:rPr>
                              <m:t>DF</m:t>
                            </m:r>
                            <m:r>
                              <m:rPr>
                                <m:nor/>
                              </m:rPr>
                              <a:rPr lang="en-US" sz="1100" b="0" i="1" baseline="0">
                                <a:solidFill>
                                  <a:sysClr val="windowText" lastClr="000000"/>
                                </a:solidFill>
                                <a:effectLst/>
                                <a:latin typeface="Book Antiqua" panose="02040602050305030304" pitchFamily="18" charset="0"/>
                                <a:ea typeface="+mn-ea"/>
                                <a:cs typeface="+mn-cs"/>
                              </a:rPr>
                              <m:t> </m:t>
                            </m:r>
                          </m:num>
                          <m:den>
                            <m:r>
                              <a:rPr lang="en-US" sz="1100" b="0" i="1">
                                <a:solidFill>
                                  <a:sysClr val="windowText" lastClr="000000"/>
                                </a:solidFill>
                                <a:effectLst/>
                                <a:latin typeface="Cambria Math" panose="02040503050406030204" pitchFamily="18" charset="0"/>
                                <a:ea typeface="+mn-ea"/>
                                <a:cs typeface="+mn-cs"/>
                              </a:rPr>
                              <m:t>𝐹𝑃𝐻</m:t>
                            </m:r>
                          </m:den>
                        </m:f>
                      </m:e>
                    </m:d>
                    <m:r>
                      <a:rPr lang="en-US" sz="1400" b="0" i="1">
                        <a:solidFill>
                          <a:sysClr val="windowText" lastClr="000000"/>
                        </a:solidFill>
                        <a:latin typeface="Cambria Math" panose="02040503050406030204" pitchFamily="18" charset="0"/>
                      </a:rPr>
                      <m:t>𝑥𝐸𝑃𝐺</m:t>
                    </m:r>
                    <m:r>
                      <a:rPr lang="en-US" sz="1400" b="0" i="1">
                        <a:solidFill>
                          <a:sysClr val="windowText" lastClr="000000"/>
                        </a:solidFill>
                        <a:latin typeface="Cambria Math" panose="02040503050406030204" pitchFamily="18" charset="0"/>
                      </a:rPr>
                      <m:t>_</m:t>
                    </m:r>
                    <m:r>
                      <a:rPr lang="en-US" sz="1400" b="0" i="1" baseline="0">
                        <a:solidFill>
                          <a:sysClr val="windowText" lastClr="000000"/>
                        </a:solidFill>
                        <a:latin typeface="Cambria Math" panose="02040503050406030204" pitchFamily="18" charset="0"/>
                      </a:rPr>
                      <m:t>𝑒𝑙𝑒𝑐𝑡𝑟𝑖𝑐</m:t>
                    </m:r>
                    <m:r>
                      <a:rPr lang="en-US" sz="1400" b="0" i="1" baseline="-25000">
                        <a:solidFill>
                          <a:sysClr val="windowText" lastClr="000000"/>
                        </a:solidFill>
                        <a:latin typeface="Cambria Math" panose="02040503050406030204" pitchFamily="18" charset="0"/>
                      </a:rPr>
                      <m:t> </m:t>
                    </m:r>
                    <m:r>
                      <a:rPr lang="en-US" sz="1100" b="0" i="1">
                        <a:solidFill>
                          <a:sysClr val="windowText" lastClr="000000"/>
                        </a:solidFill>
                        <a:effectLst/>
                        <a:latin typeface="Cambria Math" panose="02040503050406030204" pitchFamily="18" charset="0"/>
                        <a:ea typeface="+mn-ea"/>
                        <a:cs typeface="+mn-cs"/>
                      </a:rPr>
                      <m:t> </m:t>
                    </m:r>
                    <m:r>
                      <a:rPr lang="en-US" sz="1100" b="0" i="1">
                        <a:solidFill>
                          <a:sysClr val="windowText" lastClr="000000"/>
                        </a:solidFill>
                        <a:effectLst/>
                        <a:latin typeface="Cambria Math" panose="02040503050406030204" pitchFamily="18" charset="0"/>
                        <a:ea typeface="+mn-ea"/>
                        <a:cs typeface="+mn-cs"/>
                      </a:rPr>
                      <m:t>𝑥</m:t>
                    </m:r>
                    <m:r>
                      <a:rPr lang="en-US" sz="1100" b="0" i="1">
                        <a:solidFill>
                          <a:sysClr val="windowText" lastClr="000000"/>
                        </a:solidFill>
                        <a:effectLst/>
                        <a:latin typeface="Cambria Math" panose="02040503050406030204" pitchFamily="18" charset="0"/>
                        <a:ea typeface="+mn-ea"/>
                        <a:cs typeface="+mn-cs"/>
                      </a:rPr>
                      <m:t> </m:t>
                    </m:r>
                    <m:r>
                      <a:rPr lang="en-US" sz="1100" b="0" i="1">
                        <a:solidFill>
                          <a:sysClr val="windowText" lastClr="000000"/>
                        </a:solidFill>
                        <a:effectLst/>
                        <a:latin typeface="Cambria Math" panose="02040503050406030204" pitchFamily="18" charset="0"/>
                        <a:ea typeface="+mn-ea"/>
                        <a:cs typeface="+mn-cs"/>
                      </a:rPr>
                      <m:t>𝐼𝑆𝑅</m:t>
                    </m:r>
                  </m:oMath>
                </m:oMathPara>
              </a14:m>
              <a:endParaRPr lang="en-US" sz="1100" i="1" baseline="-25000">
                <a:solidFill>
                  <a:sysClr val="windowText" lastClr="000000"/>
                </a:solidFill>
                <a:effectLst/>
                <a:latin typeface="Book Antiqua" panose="02040602050305030304" pitchFamily="18" charset="0"/>
              </a:endParaRPr>
            </a:p>
            <a:p>
              <a:pPr algn="l"/>
              <a:endParaRPr lang="en-US" sz="1100" i="0">
                <a:solidFill>
                  <a:srgbClr val="00B050"/>
                </a:solidFill>
                <a:latin typeface="Book Antiqua" panose="02040602050305030304" pitchFamily="18" charset="0"/>
              </a:endParaRPr>
            </a:p>
          </xdr:txBody>
        </xdr:sp>
      </mc:Choice>
      <mc:Fallback xmlns="">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3574676" y="155716940"/>
              <a:ext cx="15307236" cy="129607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mn-ea"/>
                  <a:cs typeface="+mn-cs"/>
                </a:rPr>
                <a:t>"∆kWh "</a:t>
              </a:r>
              <a:r>
                <a:rPr lang="en-US" sz="1400" i="0">
                  <a:solidFill>
                    <a:sysClr val="windowText" lastClr="000000"/>
                  </a:solidFill>
                  <a:latin typeface="Cambria Math" panose="02040503050406030204" pitchFamily="18" charset="0"/>
                </a:rPr>
                <a:t>=(</a:t>
              </a:r>
              <a:r>
                <a:rPr lang="en-US" sz="1100" b="0" i="0" baseline="0">
                  <a:solidFill>
                    <a:sysClr val="windowText" lastClr="000000"/>
                  </a:solidFill>
                  <a:effectLst/>
                  <a:latin typeface="Cambria Math" panose="02040503050406030204" pitchFamily="18" charset="0"/>
                  <a:ea typeface="+mn-ea"/>
                  <a:cs typeface="+mn-cs"/>
                </a:rPr>
                <a:t>"</a:t>
              </a:r>
              <a:r>
                <a:rPr lang="en-US" sz="1100" b="0" i="0" baseline="0">
                  <a:solidFill>
                    <a:sysClr val="windowText" lastClr="000000"/>
                  </a:solidFill>
                  <a:effectLst/>
                  <a:latin typeface="Book Antiqua" panose="02040602050305030304" pitchFamily="18" charset="0"/>
                  <a:ea typeface="+mn-ea"/>
                  <a:cs typeface="+mn-cs"/>
                </a:rPr>
                <a:t>%ElectricDHW x ((GPM_base</a:t>
              </a:r>
              <a:r>
                <a:rPr lang="en-US" sz="1100" i="0" baseline="0">
                  <a:solidFill>
                    <a:sysClr val="windowText" lastClr="000000"/>
                  </a:solidFill>
                  <a:effectLst/>
                  <a:latin typeface="Book Antiqua" panose="02040602050305030304" pitchFamily="18" charset="0"/>
                  <a:ea typeface="+mn-ea"/>
                  <a:cs typeface="+mn-cs"/>
                </a:rPr>
                <a:t> </a:t>
              </a:r>
              <a:r>
                <a:rPr lang="en-US" sz="1100" b="0" i="0" baseline="0">
                  <a:solidFill>
                    <a:sysClr val="windowText" lastClr="000000"/>
                  </a:solidFill>
                  <a:effectLst/>
                  <a:latin typeface="Book Antiqua" panose="02040602050305030304" pitchFamily="18" charset="0"/>
                  <a:ea typeface="+mn-ea"/>
                  <a:cs typeface="+mn-cs"/>
                </a:rPr>
                <a:t>x L_base</a:t>
              </a:r>
              <a:r>
                <a:rPr lang="en-US" sz="1100" b="0" i="0" baseline="-25000">
                  <a:solidFill>
                    <a:sysClr val="windowText" lastClr="000000"/>
                  </a:solidFill>
                  <a:effectLst/>
                  <a:latin typeface="Book Antiqua" panose="02040602050305030304" pitchFamily="18" charset="0"/>
                  <a:ea typeface="+mn-ea"/>
                  <a:cs typeface="+mn-cs"/>
                </a:rPr>
                <a:t>  − </a:t>
              </a:r>
              <a:r>
                <a:rPr lang="en-US" sz="1100" b="0" i="0" baseline="0">
                  <a:solidFill>
                    <a:sysClr val="windowText" lastClr="000000"/>
                  </a:solidFill>
                  <a:effectLst/>
                  <a:latin typeface="Book Antiqua" panose="02040602050305030304" pitchFamily="18" charset="0"/>
                  <a:ea typeface="+mn-ea"/>
                  <a:cs typeface="+mn-cs"/>
                </a:rPr>
                <a:t>GPM_low</a:t>
              </a:r>
              <a:r>
                <a:rPr lang="en-US" sz="1100" b="0" i="0" baseline="-25000">
                  <a:solidFill>
                    <a:sysClr val="windowText" lastClr="000000"/>
                  </a:solidFill>
                  <a:effectLst/>
                  <a:latin typeface="Book Antiqua" panose="02040602050305030304" pitchFamily="18" charset="0"/>
                  <a:ea typeface="+mn-ea"/>
                  <a:cs typeface="+mn-cs"/>
                </a:rPr>
                <a:t>  </a:t>
              </a:r>
              <a:r>
                <a:rPr lang="en-US" sz="1100" b="0" i="0" baseline="0">
                  <a:solidFill>
                    <a:sysClr val="windowText" lastClr="000000"/>
                  </a:solidFill>
                  <a:effectLst/>
                  <a:latin typeface="Book Antiqua" panose="02040602050305030304" pitchFamily="18" charset="0"/>
                  <a:ea typeface="+mn-ea"/>
                  <a:cs typeface="+mn-cs"/>
                </a:rPr>
                <a:t>x L_low</a:t>
              </a:r>
              <a:r>
                <a:rPr lang="en-US" sz="1100" i="0" baseline="0">
                  <a:solidFill>
                    <a:sysClr val="windowText" lastClr="000000"/>
                  </a:solidFill>
                  <a:effectLst/>
                  <a:latin typeface="Book Antiqua" panose="02040602050305030304" pitchFamily="18" charset="0"/>
                  <a:ea typeface="+mn-ea"/>
                  <a:cs typeface="+mn-cs"/>
                </a:rPr>
                <a:t>) ∗  </a:t>
              </a:r>
              <a:r>
                <a:rPr lang="en-US" sz="1100" b="0" i="0" baseline="0">
                  <a:solidFill>
                    <a:sysClr val="windowText" lastClr="000000"/>
                  </a:solidFill>
                  <a:effectLst/>
                  <a:latin typeface="Book Antiqua" panose="02040602050305030304" pitchFamily="18" charset="0"/>
                  <a:ea typeface="+mn-ea"/>
                  <a:cs typeface="+mn-cs"/>
                </a:rPr>
                <a:t>Household</a:t>
              </a:r>
              <a:r>
                <a:rPr lang="en-US" sz="1100" i="0" baseline="0">
                  <a:solidFill>
                    <a:sysClr val="windowText" lastClr="000000"/>
                  </a:solidFill>
                  <a:effectLst/>
                  <a:latin typeface="Book Antiqua" panose="02040602050305030304" pitchFamily="18" charset="0"/>
                  <a:ea typeface="+mn-ea"/>
                  <a:cs typeface="+mn-cs"/>
                </a:rPr>
                <a:t> ∗ </a:t>
              </a:r>
              <a:r>
                <a:rPr lang="en-US" sz="1100" b="0" i="0" baseline="0">
                  <a:solidFill>
                    <a:sysClr val="windowText" lastClr="000000"/>
                  </a:solidFill>
                  <a:effectLst/>
                  <a:latin typeface="Book Antiqua" panose="02040602050305030304" pitchFamily="18" charset="0"/>
                  <a:ea typeface="+mn-ea"/>
                  <a:cs typeface="+mn-cs"/>
                </a:rPr>
                <a:t>365.25 ∗ DF </a:t>
              </a:r>
              <a:r>
                <a:rPr lang="en-US" sz="1100" b="0" i="0" baseline="0">
                  <a:solidFill>
                    <a:sysClr val="windowText" lastClr="000000"/>
                  </a:solidFill>
                  <a:effectLst/>
                  <a:latin typeface="Cambria Math" panose="02040503050406030204" pitchFamily="18" charset="0"/>
                  <a:ea typeface="+mn-ea"/>
                  <a:cs typeface="+mn-cs"/>
                </a:rPr>
                <a:t>" /</a:t>
              </a:r>
              <a:r>
                <a:rPr lang="en-US" sz="1100" b="0" i="0">
                  <a:solidFill>
                    <a:sysClr val="windowText" lastClr="000000"/>
                  </a:solidFill>
                  <a:effectLst/>
                  <a:latin typeface="Cambria Math" panose="02040503050406030204" pitchFamily="18" charset="0"/>
                  <a:ea typeface="+mn-ea"/>
                  <a:cs typeface="+mn-cs"/>
                </a:rPr>
                <a:t>𝐹𝑃𝐻)</a:t>
              </a:r>
              <a:r>
                <a:rPr lang="en-US" sz="1400" b="0" i="0">
                  <a:solidFill>
                    <a:sysClr val="windowText" lastClr="000000"/>
                  </a:solidFill>
                  <a:latin typeface="Cambria Math" panose="02040503050406030204" pitchFamily="18" charset="0"/>
                </a:rPr>
                <a:t>𝑥𝐸𝑃𝐺_</a:t>
              </a:r>
              <a:r>
                <a:rPr lang="en-US" sz="1400" b="0" i="0" baseline="0">
                  <a:solidFill>
                    <a:sysClr val="windowText" lastClr="000000"/>
                  </a:solidFill>
                  <a:latin typeface="Cambria Math" panose="02040503050406030204" pitchFamily="18" charset="0"/>
                </a:rPr>
                <a:t>𝑒𝑙𝑒𝑐𝑡𝑟𝑖𝑐</a:t>
              </a:r>
              <a:r>
                <a:rPr lang="en-US" sz="1400" b="0" i="0" baseline="-25000">
                  <a:solidFill>
                    <a:sysClr val="windowText" lastClr="000000"/>
                  </a:solidFill>
                  <a:latin typeface="Cambria Math" panose="02040503050406030204" pitchFamily="18" charset="0"/>
                </a:rPr>
                <a:t> </a:t>
              </a:r>
              <a:r>
                <a:rPr lang="en-US" sz="1100" b="0" i="0">
                  <a:solidFill>
                    <a:sysClr val="windowText" lastClr="000000"/>
                  </a:solidFill>
                  <a:effectLst/>
                  <a:latin typeface="Cambria Math" panose="02040503050406030204" pitchFamily="18" charset="0"/>
                  <a:ea typeface="+mn-ea"/>
                  <a:cs typeface="+mn-cs"/>
                </a:rPr>
                <a:t> 𝑥 𝐼𝑆𝑅</a:t>
              </a:r>
              <a:endParaRPr lang="en-US" sz="1100" i="1" baseline="-25000">
                <a:solidFill>
                  <a:sysClr val="windowText" lastClr="000000"/>
                </a:solidFill>
                <a:effectLst/>
                <a:latin typeface="Book Antiqua" panose="02040602050305030304" pitchFamily="18" charset="0"/>
              </a:endParaRPr>
            </a:p>
            <a:p>
              <a:pPr algn="l"/>
              <a:endParaRPr lang="en-US" sz="1100" i="0">
                <a:solidFill>
                  <a:srgbClr val="00B050"/>
                </a:solidFill>
                <a:latin typeface="Book Antiqua" panose="02040602050305030304" pitchFamily="18" charset="0"/>
              </a:endParaRPr>
            </a:p>
          </xdr:txBody>
        </xdr:sp>
      </mc:Fallback>
    </mc:AlternateContent>
    <xdr:clientData/>
  </xdr:twoCellAnchor>
  <xdr:twoCellAnchor>
    <xdr:from>
      <xdr:col>4</xdr:col>
      <xdr:colOff>478267</xdr:colOff>
      <xdr:row>769</xdr:row>
      <xdr:rowOff>0</xdr:rowOff>
    </xdr:from>
    <xdr:to>
      <xdr:col>6</xdr:col>
      <xdr:colOff>114459</xdr:colOff>
      <xdr:row>769</xdr:row>
      <xdr:rowOff>0</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4050142" y="46748700"/>
              <a:ext cx="705616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b="0" i="1">
                        <a:solidFill>
                          <a:sysClr val="windowText" lastClr="000000"/>
                        </a:solidFill>
                        <a:effectLst/>
                        <a:latin typeface="Book Antiqua" panose="02040602050305030304" pitchFamily="18" charset="0"/>
                        <a:ea typeface="+mn-ea"/>
                        <a:cs typeface="+mn-cs"/>
                      </a:rPr>
                      <m:t>EPG</m:t>
                    </m:r>
                    <m:r>
                      <m:rPr>
                        <m:nor/>
                      </m:rPr>
                      <a:rPr lang="en-US" sz="1400" b="0" i="1">
                        <a:solidFill>
                          <a:sysClr val="windowText" lastClr="000000"/>
                        </a:solidFill>
                        <a:effectLst/>
                        <a:latin typeface="Book Antiqua" panose="02040602050305030304" pitchFamily="18" charset="0"/>
                        <a:ea typeface="+mn-ea"/>
                        <a:cs typeface="+mn-cs"/>
                      </a:rPr>
                      <m:t>_</m:t>
                    </m:r>
                    <m:r>
                      <m:rPr>
                        <m:nor/>
                      </m:rPr>
                      <a:rPr lang="en-US" sz="1400" b="0" i="1">
                        <a:solidFill>
                          <a:sysClr val="windowText" lastClr="000000"/>
                        </a:solidFill>
                        <a:effectLst/>
                        <a:latin typeface="Book Antiqua" panose="02040602050305030304" pitchFamily="18" charset="0"/>
                        <a:ea typeface="+mn-ea"/>
                        <a:cs typeface="+mn-cs"/>
                      </a:rPr>
                      <m:t>electric</m:t>
                    </m:r>
                    <m:r>
                      <m:rPr>
                        <m:nor/>
                      </m:rPr>
                      <a:rPr lang="en-US" sz="1400" i="1">
                        <a:solidFill>
                          <a:sysClr val="windowText" lastClr="000000"/>
                        </a:solidFill>
                        <a:effectLst/>
                        <a:latin typeface="Book Antiqua" panose="02040602050305030304" pitchFamily="18" charset="0"/>
                        <a:ea typeface="+mn-ea"/>
                        <a:cs typeface="+mn-cs"/>
                      </a:rPr>
                      <m:t> </m:t>
                    </m:r>
                    <m:r>
                      <a:rPr lang="en-US" sz="1400" i="1">
                        <a:solidFill>
                          <a:sysClr val="windowText" lastClr="000000"/>
                        </a:solidFill>
                        <a:latin typeface="Cambria Math" panose="02040503050406030204" pitchFamily="18" charset="0"/>
                      </a:rPr>
                      <m:t>=</m:t>
                    </m:r>
                    <m:f>
                      <m:fPr>
                        <m:ctrlPr>
                          <a:rPr lang="en-US" sz="1400" i="1">
                            <a:solidFill>
                              <a:sysClr val="windowText" lastClr="000000"/>
                            </a:solidFill>
                            <a:latin typeface="Cambria Math" panose="02040503050406030204" pitchFamily="18" charset="0"/>
                          </a:rPr>
                        </m:ctrlPr>
                      </m:fPr>
                      <m:num>
                        <m:r>
                          <a:rPr lang="en-US" sz="1100" b="0" i="1">
                            <a:solidFill>
                              <a:sysClr val="windowText" lastClr="000000"/>
                            </a:solidFill>
                            <a:effectLst/>
                            <a:latin typeface="Cambria Math" panose="02040503050406030204" pitchFamily="18" charset="0"/>
                            <a:ea typeface="+mn-ea"/>
                            <a:cs typeface="+mn-cs"/>
                          </a:rPr>
                          <m:t>8.33∗1.0∗(</m:t>
                        </m:r>
                        <m:r>
                          <a:rPr lang="en-US" sz="1100" b="0" i="1">
                            <a:solidFill>
                              <a:sysClr val="windowText" lastClr="000000"/>
                            </a:solidFill>
                            <a:effectLst/>
                            <a:latin typeface="Cambria Math" panose="02040503050406030204" pitchFamily="18" charset="0"/>
                            <a:ea typeface="+mn-ea"/>
                            <a:cs typeface="+mn-cs"/>
                          </a:rPr>
                          <m:t>𝑆h𝑜𝑤𝑒𝑟𝑇𝑒𝑚𝑝</m:t>
                        </m:r>
                        <m:r>
                          <a:rPr lang="en-US" sz="1100" b="0" i="1">
                            <a:solidFill>
                              <a:sysClr val="windowText" lastClr="000000"/>
                            </a:solidFill>
                            <a:effectLst/>
                            <a:latin typeface="Cambria Math" panose="02040503050406030204" pitchFamily="18" charset="0"/>
                            <a:ea typeface="+mn-ea"/>
                            <a:cs typeface="+mn-cs"/>
                          </a:rPr>
                          <m:t> −</m:t>
                        </m:r>
                        <m:r>
                          <a:rPr lang="en-US" sz="1100" b="0" i="1">
                            <a:solidFill>
                              <a:sysClr val="windowText" lastClr="000000"/>
                            </a:solidFill>
                            <a:effectLst/>
                            <a:latin typeface="Cambria Math" panose="02040503050406030204" pitchFamily="18" charset="0"/>
                            <a:ea typeface="+mn-ea"/>
                            <a:cs typeface="+mn-cs"/>
                          </a:rPr>
                          <m:t>𝑆𝑢𝑝𝑝𝑙𝑦𝑇𝑒𝑚𝑝</m:t>
                        </m:r>
                        <m:r>
                          <a:rPr lang="en-US" sz="1100" b="0" i="1">
                            <a:solidFill>
                              <a:sysClr val="windowText" lastClr="000000"/>
                            </a:solidFill>
                            <a:effectLst/>
                            <a:latin typeface="Cambria Math" panose="02040503050406030204" pitchFamily="18" charset="0"/>
                            <a:ea typeface="+mn-ea"/>
                            <a:cs typeface="+mn-cs"/>
                          </a:rPr>
                          <m:t>)</m:t>
                        </m:r>
                      </m:num>
                      <m:den>
                        <m:r>
                          <a:rPr lang="en-US" sz="1100" b="0" i="1">
                            <a:solidFill>
                              <a:sysClr val="windowText" lastClr="000000"/>
                            </a:solidFill>
                            <a:effectLst/>
                            <a:latin typeface="Cambria Math" panose="02040503050406030204" pitchFamily="18" charset="0"/>
                            <a:ea typeface="+mn-ea"/>
                            <a:cs typeface="+mn-cs"/>
                          </a:rPr>
                          <m:t>𝑅𝐸</m:t>
                        </m:r>
                        <m:r>
                          <a:rPr lang="en-US" sz="1100" b="0" i="1">
                            <a:solidFill>
                              <a:sysClr val="windowText" lastClr="000000"/>
                            </a:solidFill>
                            <a:effectLst/>
                            <a:latin typeface="Cambria Math" panose="02040503050406030204" pitchFamily="18" charset="0"/>
                            <a:ea typeface="+mn-ea"/>
                            <a:cs typeface="+mn-cs"/>
                          </a:rPr>
                          <m:t>_</m:t>
                        </m:r>
                        <m:r>
                          <a:rPr lang="en-US" sz="1100" b="0" i="1">
                            <a:solidFill>
                              <a:sysClr val="windowText" lastClr="000000"/>
                            </a:solidFill>
                            <a:effectLst/>
                            <a:latin typeface="Cambria Math" panose="02040503050406030204" pitchFamily="18" charset="0"/>
                            <a:ea typeface="+mn-ea"/>
                            <a:cs typeface="+mn-cs"/>
                          </a:rPr>
                          <m:t>𝑒𝑙𝑒𝑐𝑡𝑟𝑖𝑐</m:t>
                        </m:r>
                        <m:r>
                          <a:rPr lang="en-US" sz="1100" b="0" i="1">
                            <a:solidFill>
                              <a:sysClr val="windowText" lastClr="000000"/>
                            </a:solidFill>
                            <a:effectLst/>
                            <a:latin typeface="Cambria Math" panose="02040503050406030204" pitchFamily="18" charset="0"/>
                            <a:ea typeface="+mn-ea"/>
                            <a:cs typeface="+mn-cs"/>
                          </a:rPr>
                          <m:t>∗3,412</m:t>
                        </m:r>
                      </m:den>
                    </m:f>
                  </m:oMath>
                </m:oMathPara>
              </a14:m>
              <a:endParaRPr lang="en-US" sz="1100"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4052943" y="156269839"/>
              <a:ext cx="7054487" cy="5395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effectLst/>
                  <a:latin typeface="Cambria Math" panose="02040503050406030204" pitchFamily="18" charset="0"/>
                  <a:ea typeface="+mn-ea"/>
                  <a:cs typeface="+mn-cs"/>
                </a:rPr>
                <a:t>"EPG_electric</a:t>
              </a:r>
              <a:r>
                <a:rPr lang="en-US" sz="1400" i="0">
                  <a:solidFill>
                    <a:sysClr val="windowText" lastClr="000000"/>
                  </a:solidFill>
                  <a:effectLst/>
                  <a:latin typeface="Cambria Math" panose="02040503050406030204" pitchFamily="18" charset="0"/>
                  <a:ea typeface="+mn-ea"/>
                  <a:cs typeface="+mn-cs"/>
                </a:rPr>
                <a:t> "</a:t>
              </a:r>
              <a:r>
                <a:rPr lang="en-US" sz="1400" i="0">
                  <a:solidFill>
                    <a:sysClr val="windowText" lastClr="000000"/>
                  </a:solidFill>
                  <a:latin typeface="Cambria Math" panose="02040503050406030204" pitchFamily="18" charset="0"/>
                </a:rPr>
                <a:t>=(</a:t>
              </a:r>
              <a:r>
                <a:rPr lang="en-US" sz="1100" b="0" i="0">
                  <a:solidFill>
                    <a:sysClr val="windowText" lastClr="000000"/>
                  </a:solidFill>
                  <a:effectLst/>
                  <a:latin typeface="Cambria Math" panose="02040503050406030204" pitchFamily="18" charset="0"/>
                  <a:ea typeface="+mn-ea"/>
                  <a:cs typeface="+mn-cs"/>
                </a:rPr>
                <a:t>8.33∗1.0∗(𝑆ℎ𝑜𝑤𝑒𝑟𝑇𝑒𝑚𝑝 −𝑆𝑢𝑝𝑝𝑙𝑦𝑇𝑒𝑚𝑝)</a:t>
              </a:r>
              <a:r>
                <a:rPr lang="en-US" sz="1400" b="0" i="0">
                  <a:solidFill>
                    <a:sysClr val="windowText" lastClr="000000"/>
                  </a:solidFill>
                  <a:effectLst/>
                  <a:latin typeface="Cambria Math" panose="02040503050406030204" pitchFamily="18" charset="0"/>
                  <a:ea typeface="+mn-ea"/>
                  <a:cs typeface="+mn-cs"/>
                </a:rPr>
                <a:t>)/(</a:t>
              </a:r>
              <a:r>
                <a:rPr lang="en-US" sz="1100" b="0" i="0">
                  <a:solidFill>
                    <a:sysClr val="windowText" lastClr="000000"/>
                  </a:solidFill>
                  <a:effectLst/>
                  <a:latin typeface="Cambria Math" panose="02040503050406030204" pitchFamily="18" charset="0"/>
                  <a:ea typeface="+mn-ea"/>
                  <a:cs typeface="+mn-cs"/>
                </a:rPr>
                <a:t>𝑅𝐸_𝑒𝑙𝑒𝑐𝑡𝑟𝑖𝑐∗3,412</a:t>
              </a:r>
              <a:r>
                <a:rPr lang="en-US" sz="1400" b="0" i="0">
                  <a:solidFill>
                    <a:sysClr val="windowText" lastClr="000000"/>
                  </a:solidFill>
                  <a:effectLst/>
                  <a:latin typeface="Cambria Math" panose="02040503050406030204" pitchFamily="18" charset="0"/>
                  <a:ea typeface="+mn-ea"/>
                  <a:cs typeface="+mn-cs"/>
                </a:rPr>
                <a:t>)</a:t>
              </a:r>
              <a:endParaRPr lang="en-US" sz="1100"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4</xdr:col>
      <xdr:colOff>1089</xdr:colOff>
      <xdr:row>849</xdr:row>
      <xdr:rowOff>0</xdr:rowOff>
    </xdr:from>
    <xdr:to>
      <xdr:col>13</xdr:col>
      <xdr:colOff>0</xdr:colOff>
      <xdr:row>849</xdr:row>
      <xdr:rowOff>0</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00000000-0008-0000-0700-000007000000}"/>
                </a:ext>
              </a:extLst>
            </xdr:cNvPr>
            <xdr:cNvSpPr txBox="1"/>
          </xdr:nvSpPr>
          <xdr:spPr>
            <a:xfrm>
              <a:off x="3572964" y="50873025"/>
              <a:ext cx="1564848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m:t>
                    </m:r>
                    <m:d>
                      <m:dPr>
                        <m:ctrlPr>
                          <a:rPr lang="en-US" sz="1400" i="1">
                            <a:solidFill>
                              <a:sysClr val="windowText" lastClr="000000"/>
                            </a:solidFill>
                            <a:latin typeface="Cambria Math" panose="02040503050406030204" pitchFamily="18" charset="0"/>
                            <a:ea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ElectricDHW</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𝐺𝑃𝑀</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𝐵𝐴𝑆𝐸</m:t>
                                </m:r>
                              </m:sub>
                            </m:s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200" b="0" i="1" baseline="0">
                                    <a:solidFill>
                                      <a:schemeClr val="tx1"/>
                                    </a:solidFill>
                                    <a:effectLst/>
                                    <a:latin typeface="Cambria Math" panose="02040503050406030204" pitchFamily="18" charset="0"/>
                                    <a:ea typeface="+mn-ea"/>
                                    <a:cs typeface="+mn-cs"/>
                                  </a:rPr>
                                </m:ctrlPr>
                              </m:sSubPr>
                              <m:e>
                                <m:r>
                                  <a:rPr lang="en-US" sz="1200" b="0" i="1" baseline="0">
                                    <a:solidFill>
                                      <a:schemeClr val="tx1"/>
                                    </a:solidFill>
                                    <a:effectLst/>
                                    <a:latin typeface="Cambria Math" panose="02040503050406030204" pitchFamily="18" charset="0"/>
                                    <a:ea typeface="+mn-ea"/>
                                    <a:cs typeface="+mn-cs"/>
                                  </a:rPr>
                                  <m:t>𝐿</m:t>
                                </m:r>
                              </m:e>
                              <m:sub>
                                <m:r>
                                  <a:rPr lang="en-US" sz="1200" b="0" i="1" baseline="0">
                                    <a:solidFill>
                                      <a:schemeClr val="tx1"/>
                                    </a:solidFill>
                                    <a:effectLst/>
                                    <a:latin typeface="Cambria Math" panose="02040503050406030204" pitchFamily="18" charset="0"/>
                                    <a:ea typeface="+mn-ea"/>
                                    <a:cs typeface="+mn-cs"/>
                                  </a:rPr>
                                  <m:t>𝐵𝐴𝑆𝐸</m:t>
                                </m:r>
                              </m:sub>
                            </m:sSub>
                            <m:sSub>
                              <m:sSubPr>
                                <m:ctrlPr>
                                  <a:rPr lang="en-US" sz="1200" b="0" i="1" baseline="0">
                                    <a:solidFill>
                                      <a:schemeClr val="tx1"/>
                                    </a:solidFill>
                                    <a:effectLst/>
                                    <a:latin typeface="Cambria Math" panose="02040503050406030204" pitchFamily="18" charset="0"/>
                                    <a:ea typeface="+mn-ea"/>
                                    <a:cs typeface="+mn-cs"/>
                                  </a:rPr>
                                </m:ctrlPr>
                              </m:sSubPr>
                              <m:e>
                                <m:r>
                                  <a:rPr lang="en-US" sz="1200" b="0" i="1" baseline="0">
                                    <a:solidFill>
                                      <a:schemeClr val="tx1"/>
                                    </a:solidFill>
                                    <a:effectLst/>
                                    <a:latin typeface="Cambria Math" panose="02040503050406030204" pitchFamily="18" charset="0"/>
                                    <a:ea typeface="+mn-ea"/>
                                    <a:cs typeface="+mn-cs"/>
                                  </a:rPr>
                                  <m:t> − </m:t>
                                </m:r>
                                <m:r>
                                  <a:rPr lang="en-US" sz="1200" b="0" i="1" baseline="0">
                                    <a:solidFill>
                                      <a:schemeClr val="tx1"/>
                                    </a:solidFill>
                                    <a:effectLst/>
                                    <a:latin typeface="Cambria Math" panose="02040503050406030204" pitchFamily="18" charset="0"/>
                                    <a:ea typeface="+mn-ea"/>
                                    <a:cs typeface="+mn-cs"/>
                                  </a:rPr>
                                  <m:t>𝐺𝑃𝑀</m:t>
                                </m:r>
                              </m:e>
                              <m:sub>
                                <m:r>
                                  <a:rPr lang="en-US" sz="1200" b="0" i="1" baseline="0">
                                    <a:solidFill>
                                      <a:schemeClr val="tx1"/>
                                    </a:solidFill>
                                    <a:effectLst/>
                                    <a:latin typeface="Cambria Math" panose="02040503050406030204" pitchFamily="18" charset="0"/>
                                    <a:ea typeface="+mn-ea"/>
                                    <a:cs typeface="+mn-cs"/>
                                  </a:rPr>
                                  <m:t>𝐿𝑂𝑊</m:t>
                                </m:r>
                              </m:sub>
                            </m:sSub>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200" b="0" i="1" baseline="0">
                                    <a:solidFill>
                                      <a:schemeClr val="tx1"/>
                                    </a:solidFill>
                                    <a:effectLst/>
                                    <a:latin typeface="Cambria Math" panose="02040503050406030204" pitchFamily="18" charset="0"/>
                                    <a:ea typeface="+mn-ea"/>
                                    <a:cs typeface="+mn-cs"/>
                                  </a:rPr>
                                </m:ctrlPr>
                              </m:sSubPr>
                              <m:e>
                                <m:r>
                                  <a:rPr lang="en-US" sz="1200" b="0" i="1" baseline="0">
                                    <a:solidFill>
                                      <a:schemeClr val="tx1"/>
                                    </a:solidFill>
                                    <a:effectLst/>
                                    <a:latin typeface="Cambria Math" panose="02040503050406030204" pitchFamily="18" charset="0"/>
                                    <a:ea typeface="+mn-ea"/>
                                    <a:cs typeface="+mn-cs"/>
                                  </a:rPr>
                                  <m:t>𝐿</m:t>
                                </m:r>
                              </m:e>
                              <m:sub>
                                <m:r>
                                  <a:rPr lang="en-US" sz="1200" b="0" i="1" baseline="0">
                                    <a:solidFill>
                                      <a:schemeClr val="tx1"/>
                                    </a:solidFill>
                                    <a:effectLst/>
                                    <a:latin typeface="Cambria Math" panose="02040503050406030204" pitchFamily="18" charset="0"/>
                                    <a:ea typeface="+mn-ea"/>
                                    <a:cs typeface="+mn-cs"/>
                                  </a:rPr>
                                  <m:t>𝐿𝑂𝑊</m:t>
                                </m:r>
                              </m:sub>
                            </m:sSub>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Household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SPCD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365.25 </m:t>
                            </m:r>
                          </m:num>
                          <m:den>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𝑆𝑃𝐻</m:t>
                            </m:r>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𝐸𝑃𝐺</m:t>
                    </m:r>
                    <m:r>
                      <a:rPr lang="en-US" sz="1400" b="0" i="1">
                        <a:solidFill>
                          <a:sysClr val="windowText" lastClr="000000"/>
                        </a:solidFill>
                        <a:latin typeface="Cambria Math" panose="02040503050406030204" pitchFamily="18" charset="0"/>
                        <a:ea typeface="Cambria Math" panose="02040503050406030204" pitchFamily="18" charset="0"/>
                      </a:rPr>
                      <m:t>_</m:t>
                    </m:r>
                    <m:r>
                      <a:rPr lang="en-US" sz="1400" b="0" i="1" baseline="0">
                        <a:solidFill>
                          <a:sysClr val="windowText" lastClr="000000"/>
                        </a:solidFill>
                        <a:latin typeface="Cambria Math" panose="02040503050406030204" pitchFamily="18" charset="0"/>
                        <a:ea typeface="Cambria Math" panose="02040503050406030204" pitchFamily="18" charset="0"/>
                      </a:rPr>
                      <m:t>𝑒𝑙𝑒𝑐𝑡𝑟𝑖𝑐</m:t>
                    </m:r>
                    <m:r>
                      <a:rPr lang="en-US" sz="1400" b="0" i="1" baseline="-25000">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200" i="0">
                <a:solidFill>
                  <a:srgbClr val="00B050"/>
                </a:solidFill>
              </a:endParaRPr>
            </a:p>
          </xdr:txBody>
        </xdr:sp>
      </mc:Choice>
      <mc:Fallback xmlns="">
        <xdr:sp macro="" textlink="">
          <xdr:nvSpPr>
            <xdr:cNvPr id="7" name="TextBox 6">
              <a:extLst>
                <a:ext uri="{FF2B5EF4-FFF2-40B4-BE49-F238E27FC236}">
                  <a16:creationId xmlns:a16="http://schemas.microsoft.com/office/drawing/2014/main" id="{00000000-0008-0000-0700-000007000000}"/>
                </a:ext>
              </a:extLst>
            </xdr:cNvPr>
            <xdr:cNvSpPr txBox="1"/>
          </xdr:nvSpPr>
          <xdr:spPr>
            <a:xfrm>
              <a:off x="3579768" y="176140654"/>
              <a:ext cx="15334161" cy="128288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400" i="0">
                  <a:solidFill>
                    <a:sysClr val="windowText" lastClr="000000"/>
                  </a:solidFill>
                  <a:latin typeface="Cambria Math" panose="02040503050406030204" pitchFamily="18" charset="0"/>
                  <a:ea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"%ElectricDHW " ×" (" 〖𝐺𝑃𝑀〗_𝐵𝐴𝑆𝐸×</a:t>
              </a:r>
              <a:r>
                <a:rPr lang="en-US" sz="1200" b="0" i="0" baseline="0">
                  <a:solidFill>
                    <a:schemeClr val="tx1"/>
                  </a:solidFill>
                  <a:effectLst/>
                  <a:latin typeface="Cambria Math" panose="02040503050406030204" pitchFamily="18" charset="0"/>
                  <a:ea typeface="+mn-ea"/>
                  <a:cs typeface="+mn-cs"/>
                </a:rPr>
                <a:t>𝐿_𝐵𝐴𝑆𝐸 〖 − 𝐺𝑃𝑀〗_𝐿𝑂𝑊</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200" b="0" i="0" baseline="0">
                  <a:solidFill>
                    <a:schemeClr val="tx1"/>
                  </a:solidFill>
                  <a:effectLst/>
                  <a:latin typeface="Cambria Math" panose="02040503050406030204" pitchFamily="18" charset="0"/>
                  <a:ea typeface="+mn-ea"/>
                  <a:cs typeface="+mn-cs"/>
                </a:rPr>
                <a:t>" 𝐿_𝐿𝑂𝑊</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 "</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Household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"SPCD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365.25 "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𝑆𝑃𝐻)</a:t>
              </a:r>
              <a:r>
                <a:rPr lang="en-US" sz="1400" b="0" i="0">
                  <a:solidFill>
                    <a:sysClr val="windowText" lastClr="000000"/>
                  </a:solidFill>
                  <a:latin typeface="Cambria Math" panose="02040503050406030204" pitchFamily="18" charset="0"/>
                  <a:ea typeface="Cambria Math" panose="02040503050406030204" pitchFamily="18" charset="0"/>
                </a:rPr>
                <a:t>×𝐸𝑃𝐺_</a:t>
              </a:r>
              <a:r>
                <a:rPr lang="en-US" sz="1400" b="0" i="0" baseline="0">
                  <a:solidFill>
                    <a:sysClr val="windowText" lastClr="000000"/>
                  </a:solidFill>
                  <a:latin typeface="Cambria Math" panose="02040503050406030204" pitchFamily="18" charset="0"/>
                  <a:ea typeface="Cambria Math" panose="02040503050406030204" pitchFamily="18" charset="0"/>
                </a:rPr>
                <a:t>𝑒𝑙𝑒𝑐𝑡𝑟𝑖𝑐</a:t>
              </a:r>
              <a:r>
                <a:rPr lang="en-US" sz="1400" b="0" i="0" baseline="-25000">
                  <a:solidFill>
                    <a:sysClr val="windowText" lastClr="000000"/>
                  </a:solidFill>
                  <a:latin typeface="Cambria Math" panose="02040503050406030204" pitchFamily="18" charset="0"/>
                  <a:ea typeface="Cambria Math" panose="02040503050406030204" pitchFamily="18" charset="0"/>
                </a:rPr>
                <a:t>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 × 𝐼𝑆𝑅</a:t>
              </a:r>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200" i="0">
                <a:solidFill>
                  <a:srgbClr val="00B050"/>
                </a:solidFill>
              </a:endParaRPr>
            </a:p>
          </xdr:txBody>
        </xdr:sp>
      </mc:Fallback>
    </mc:AlternateContent>
    <xdr:clientData/>
  </xdr:twoCellAnchor>
  <xdr:twoCellAnchor>
    <xdr:from>
      <xdr:col>4</xdr:col>
      <xdr:colOff>381000</xdr:colOff>
      <xdr:row>849</xdr:row>
      <xdr:rowOff>0</xdr:rowOff>
    </xdr:from>
    <xdr:to>
      <xdr:col>12</xdr:col>
      <xdr:colOff>990599</xdr:colOff>
      <xdr:row>849</xdr:row>
      <xdr:rowOff>0</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3952875" y="50873025"/>
              <a:ext cx="1526857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EPG</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electric</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m:t>
                    </m:r>
                    <m:f>
                      <m:fPr>
                        <m:ctrlPr>
                          <a:rPr lang="en-US" sz="140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chemeClr val="tx1"/>
                            </a:solidFill>
                            <a:effectLst/>
                            <a:latin typeface="Cambria Math" panose="02040503050406030204" pitchFamily="18" charset="0"/>
                            <a:ea typeface="Cambria Math" panose="02040503050406030204" pitchFamily="18" charset="0"/>
                            <a:cs typeface="+mn-cs"/>
                          </a:rPr>
                          <m:t>8.33×1.0×(</m:t>
                        </m:r>
                        <m:r>
                          <a:rPr lang="en-US" sz="1400" b="0" i="1">
                            <a:solidFill>
                              <a:schemeClr val="tx1"/>
                            </a:solidFill>
                            <a:effectLst/>
                            <a:latin typeface="Cambria Math" panose="02040503050406030204" pitchFamily="18" charset="0"/>
                            <a:ea typeface="Cambria Math" panose="02040503050406030204" pitchFamily="18" charset="0"/>
                            <a:cs typeface="+mn-cs"/>
                          </a:rPr>
                          <m:t>𝑆h𝑜𝑤𝑒𝑟𝑇𝑒𝑚𝑝</m:t>
                        </m:r>
                        <m:r>
                          <a:rPr lang="en-US" sz="1400" b="0" i="1">
                            <a:solidFill>
                              <a:schemeClr val="tx1"/>
                            </a:solidFill>
                            <a:effectLst/>
                            <a:latin typeface="Cambria Math" panose="02040503050406030204" pitchFamily="18" charset="0"/>
                            <a:ea typeface="Cambria Math" panose="02040503050406030204" pitchFamily="18" charset="0"/>
                            <a:cs typeface="+mn-cs"/>
                          </a:rPr>
                          <m:t> −</m:t>
                        </m:r>
                        <m:r>
                          <a:rPr lang="en-US" sz="1400" b="0" i="1">
                            <a:solidFill>
                              <a:schemeClr val="tx1"/>
                            </a:solidFill>
                            <a:effectLst/>
                            <a:latin typeface="Cambria Math" panose="02040503050406030204" pitchFamily="18" charset="0"/>
                            <a:ea typeface="Cambria Math" panose="02040503050406030204" pitchFamily="18" charset="0"/>
                            <a:cs typeface="+mn-cs"/>
                          </a:rPr>
                          <m:t>𝑆𝑢𝑝𝑝𝑙𝑦𝑇𝑒𝑚𝑝</m:t>
                        </m:r>
                        <m:r>
                          <a:rPr lang="en-US" sz="1400" b="0" i="1">
                            <a:solidFill>
                              <a:schemeClr val="tx1"/>
                            </a:solidFill>
                            <a:effectLst/>
                            <a:latin typeface="Cambria Math" panose="02040503050406030204" pitchFamily="18" charset="0"/>
                            <a:ea typeface="Cambria Math" panose="02040503050406030204" pitchFamily="18" charset="0"/>
                            <a:cs typeface="+mn-cs"/>
                          </a:rPr>
                          <m:t>)</m:t>
                        </m:r>
                      </m:num>
                      <m:den>
                        <m:r>
                          <a:rPr lang="en-US" sz="1400" b="0" i="1">
                            <a:solidFill>
                              <a:schemeClr val="tx1"/>
                            </a:solidFill>
                            <a:effectLst/>
                            <a:latin typeface="Cambria Math" panose="02040503050406030204" pitchFamily="18" charset="0"/>
                            <a:ea typeface="Cambria Math" panose="02040503050406030204" pitchFamily="18" charset="0"/>
                            <a:cs typeface="+mn-cs"/>
                          </a:rPr>
                          <m:t>𝑅𝐸</m:t>
                        </m:r>
                        <m:r>
                          <a:rPr lang="en-US" sz="1400" b="0" i="1">
                            <a:solidFill>
                              <a:schemeClr val="tx1"/>
                            </a:solidFill>
                            <a:effectLst/>
                            <a:latin typeface="Cambria Math" panose="02040503050406030204" pitchFamily="18" charset="0"/>
                            <a:ea typeface="Cambria Math" panose="02040503050406030204" pitchFamily="18" charset="0"/>
                            <a:cs typeface="+mn-cs"/>
                          </a:rPr>
                          <m:t>_</m:t>
                        </m:r>
                        <m:r>
                          <a:rPr lang="en-US" sz="1400" b="0" i="1">
                            <a:solidFill>
                              <a:schemeClr val="tx1"/>
                            </a:solidFill>
                            <a:effectLst/>
                            <a:latin typeface="Cambria Math" panose="02040503050406030204" pitchFamily="18" charset="0"/>
                            <a:ea typeface="Cambria Math" panose="02040503050406030204" pitchFamily="18" charset="0"/>
                            <a:cs typeface="+mn-cs"/>
                          </a:rPr>
                          <m:t>𝑒𝑙𝑒𝑐𝑡𝑟𝑖𝑐</m:t>
                        </m:r>
                        <m:r>
                          <a:rPr lang="en-US" sz="1400" b="0" i="1">
                            <a:solidFill>
                              <a:schemeClr val="tx1"/>
                            </a:solidFill>
                            <a:effectLst/>
                            <a:latin typeface="Cambria Math" panose="02040503050406030204" pitchFamily="18" charset="0"/>
                            <a:ea typeface="Cambria Math" panose="02040503050406030204" pitchFamily="18" charset="0"/>
                            <a:cs typeface="+mn-cs"/>
                          </a:rPr>
                          <m:t>×3412</m:t>
                        </m:r>
                      </m:den>
                    </m:f>
                  </m:oMath>
                </m:oMathPara>
              </a14:m>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200" i="0">
                <a:solidFill>
                  <a:srgbClr val="00B050"/>
                </a:solidFill>
              </a:endParaRPr>
            </a:p>
          </xdr:txBody>
        </xdr:sp>
      </mc:Choice>
      <mc:Fallback xmlns="">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3959679" y="176663461"/>
              <a:ext cx="14954249" cy="4628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effectLst/>
                  <a:latin typeface="Cambria Math" panose="02040503050406030204" pitchFamily="18" charset="0"/>
                  <a:ea typeface="Cambria Math" panose="02040503050406030204" pitchFamily="18" charset="0"/>
                  <a:cs typeface="+mn-cs"/>
                </a:rPr>
                <a:t>"EPG_electric</a:t>
              </a:r>
              <a:r>
                <a:rPr lang="en-US" sz="1400" i="0">
                  <a:solidFill>
                    <a:sysClr val="windowText" lastClr="000000"/>
                  </a:solidFill>
                  <a:effectLst/>
                  <a:latin typeface="Cambria Math" panose="02040503050406030204" pitchFamily="18" charset="0"/>
                  <a:ea typeface="Cambria Math" panose="02040503050406030204" pitchFamily="18" charset="0"/>
                  <a:cs typeface="+mn-cs"/>
                </a:rPr>
                <a:t> "</a:t>
              </a: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chemeClr val="tx1"/>
                  </a:solidFill>
                  <a:effectLst/>
                  <a:latin typeface="Cambria Math" panose="02040503050406030204" pitchFamily="18" charset="0"/>
                  <a:ea typeface="Cambria Math" panose="02040503050406030204" pitchFamily="18" charset="0"/>
                  <a:cs typeface="+mn-cs"/>
                </a:rPr>
                <a:t>8.33×1.0×(𝑆ℎ𝑜𝑤𝑒𝑟𝑇𝑒𝑚𝑝 −𝑆𝑢𝑝𝑝𝑙𝑦𝑇𝑒𝑚𝑝)</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chemeClr val="tx1"/>
                  </a:solidFill>
                  <a:effectLst/>
                  <a:latin typeface="Cambria Math" panose="02040503050406030204" pitchFamily="18" charset="0"/>
                  <a:ea typeface="Cambria Math" panose="02040503050406030204" pitchFamily="18" charset="0"/>
                  <a:cs typeface="+mn-cs"/>
                </a:rPr>
                <a:t>𝑅𝐸_𝑒𝑙𝑒𝑐𝑡𝑟𝑖𝑐×3412</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200" i="0">
                <a:solidFill>
                  <a:srgbClr val="00B050"/>
                </a:solidFill>
              </a:endParaRPr>
            </a:p>
          </xdr:txBody>
        </xdr:sp>
      </mc:Fallback>
    </mc:AlternateContent>
    <xdr:clientData/>
  </xdr:twoCellAnchor>
  <xdr:twoCellAnchor>
    <xdr:from>
      <xdr:col>4</xdr:col>
      <xdr:colOff>34793</xdr:colOff>
      <xdr:row>1006</xdr:row>
      <xdr:rowOff>0</xdr:rowOff>
    </xdr:from>
    <xdr:to>
      <xdr:col>13</xdr:col>
      <xdr:colOff>1</xdr:colOff>
      <xdr:row>1006</xdr:row>
      <xdr:rowOff>0</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00000000-0008-0000-0700-000009000000}"/>
                </a:ext>
                <a:ext uri="{147F2762-F138-4A5C-976F-8EAC2B608ADB}">
                  <a16:predDERef xmlns:a16="http://schemas.microsoft.com/office/drawing/2014/main" pred="{6BA7230A-3E3A-4401-8B4E-1900DA1715E1}"/>
                </a:ext>
              </a:extLst>
            </xdr:cNvPr>
            <xdr:cNvSpPr txBox="1"/>
          </xdr:nvSpPr>
          <xdr:spPr>
            <a:xfrm>
              <a:off x="3606668" y="59731275"/>
              <a:ext cx="1561478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 </m:t>
                    </m:r>
                    <m:r>
                      <a:rPr lang="en-US" sz="1600" i="1">
                        <a:solidFill>
                          <a:sysClr val="windowText" lastClr="000000"/>
                        </a:solidFill>
                        <a:latin typeface="Cambria Math" panose="02040503050406030204" pitchFamily="18" charset="0"/>
                        <a:ea typeface="Cambria Math" panose="02040503050406030204" pitchFamily="18" charset="0"/>
                      </a:rPr>
                      <m:t>=</m:t>
                    </m:r>
                    <m:d>
                      <m:dPr>
                        <m:ctrlPr>
                          <a:rPr lang="en-US" sz="1600" i="1">
                            <a:solidFill>
                              <a:sysClr val="windowText" lastClr="000000"/>
                            </a:solidFill>
                            <a:latin typeface="Cambria Math" panose="02040503050406030204" pitchFamily="18" charset="0"/>
                            <a:ea typeface="Cambria Math" panose="02040503050406030204" pitchFamily="18" charset="0"/>
                          </a:rPr>
                        </m:ctrlPr>
                      </m:dPr>
                      <m:e>
                        <m:f>
                          <m:fPr>
                            <m:ctrl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ElectricDHW</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GPM</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base</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S</m:t>
                            </m:r>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L</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showerdevice</m:t>
                            </m:r>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Household</m:t>
                            </m:r>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SPCD</m:t>
                            </m:r>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365.25 </m:t>
                            </m:r>
                          </m:num>
                          <m:den>
                            <m:r>
                              <a:rPr lang="en-US" sz="1200" b="0" i="1">
                                <a:solidFill>
                                  <a:sysClr val="windowText" lastClr="000000"/>
                                </a:solidFill>
                                <a:effectLst/>
                                <a:latin typeface="Cambria Math" panose="02040503050406030204" pitchFamily="18" charset="0"/>
                                <a:ea typeface="Cambria Math" panose="02040503050406030204" pitchFamily="18" charset="0"/>
                                <a:cs typeface="+mn-cs"/>
                              </a:rPr>
                              <m:t>𝑆𝑃𝐻</m:t>
                            </m:r>
                          </m:den>
                        </m:f>
                      </m:e>
                    </m:d>
                    <m:r>
                      <a:rPr lang="en-US" sz="1600" b="0" i="1">
                        <a:solidFill>
                          <a:sysClr val="windowText" lastClr="000000"/>
                        </a:solidFill>
                        <a:latin typeface="Cambria Math" panose="02040503050406030204" pitchFamily="18" charset="0"/>
                        <a:ea typeface="Cambria Math" panose="02040503050406030204" pitchFamily="18" charset="0"/>
                      </a:rPr>
                      <m:t>𝑥𝐸𝑃𝐺</m:t>
                    </m:r>
                    <m:r>
                      <a:rPr lang="en-US" sz="1600" b="0" i="1">
                        <a:solidFill>
                          <a:sysClr val="windowText" lastClr="000000"/>
                        </a:solidFill>
                        <a:latin typeface="Cambria Math" panose="02040503050406030204" pitchFamily="18" charset="0"/>
                        <a:ea typeface="Cambria Math" panose="02040503050406030204" pitchFamily="18" charset="0"/>
                      </a:rPr>
                      <m:t>_</m:t>
                    </m:r>
                    <m:r>
                      <a:rPr lang="en-US" sz="1600" b="0" i="1" baseline="0">
                        <a:solidFill>
                          <a:sysClr val="windowText" lastClr="000000"/>
                        </a:solidFill>
                        <a:latin typeface="Cambria Math" panose="02040503050406030204" pitchFamily="18" charset="0"/>
                        <a:ea typeface="Cambria Math" panose="02040503050406030204" pitchFamily="18" charset="0"/>
                      </a:rPr>
                      <m:t>𝑒𝑙𝑒𝑐𝑡𝑟𝑖𝑐</m:t>
                    </m:r>
                    <m:r>
                      <a:rPr lang="en-US" sz="1600" b="0" i="1" baseline="-25000">
                        <a:solidFill>
                          <a:sysClr val="windowText" lastClr="000000"/>
                        </a:solidFill>
                        <a:latin typeface="Cambria Math" panose="02040503050406030204" pitchFamily="18" charset="0"/>
                        <a:ea typeface="Cambria Math" panose="02040503050406030204" pitchFamily="18" charset="0"/>
                      </a:rPr>
                      <m:t> </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𝑥</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sz="105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05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9" name="TextBox 8">
              <a:extLst>
                <a:ext uri="{FF2B5EF4-FFF2-40B4-BE49-F238E27FC236}">
                  <a16:creationId xmlns:a16="http://schemas.microsoft.com/office/drawing/2014/main" id="{00000000-0008-0000-0700-000009000000}"/>
                </a:ext>
                <a:ext uri="{147F2762-F138-4A5C-976F-8EAC2B608ADB}">
                  <a16:predDERef xmlns:a16="http://schemas.microsoft.com/office/drawing/2014/main" pred="{6BA7230A-3E3A-4401-8B4E-1900DA1715E1}"/>
                </a:ext>
              </a:extLst>
            </xdr:cNvPr>
            <xdr:cNvSpPr txBox="1"/>
          </xdr:nvSpPr>
          <xdr:spPr>
            <a:xfrm>
              <a:off x="3613472" y="158430341"/>
              <a:ext cx="15300458" cy="10589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600" i="0">
                  <a:solidFill>
                    <a:sysClr val="windowText" lastClr="000000"/>
                  </a:solidFill>
                  <a:latin typeface="Cambria Math" panose="02040503050406030204" pitchFamily="18" charset="0"/>
                  <a:ea typeface="Cambria Math" panose="02040503050406030204" pitchFamily="18" charset="0"/>
                </a:rPr>
                <a:t>=(</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"%ElectricDHW x ((GPM_base_S</a:t>
              </a:r>
              <a:r>
                <a:rPr lang="en-US" sz="1200" i="0" baseline="0">
                  <a:solidFill>
                    <a:sysClr val="windowText" lastClr="000000"/>
                  </a:solidFill>
                  <a:effectLst/>
                  <a:latin typeface="Cambria Math" panose="02040503050406030204" pitchFamily="18" charset="0"/>
                  <a:ea typeface="Cambria Math" panose="02040503050406030204" pitchFamily="18" charset="0"/>
                  <a:cs typeface="+mn-cs"/>
                </a:rPr>
                <a:t> </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x L_showerdevice</a:t>
              </a:r>
              <a:r>
                <a:rPr lang="en-US" sz="12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Household</a:t>
              </a:r>
              <a:r>
                <a:rPr lang="en-US" sz="12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SPCD</a:t>
              </a:r>
              <a:r>
                <a:rPr lang="en-US" sz="12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365.25 " /</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𝑆𝑃𝐻)</a:t>
              </a:r>
              <a:r>
                <a:rPr lang="en-US" sz="1600" b="0" i="0">
                  <a:solidFill>
                    <a:sysClr val="windowText" lastClr="000000"/>
                  </a:solidFill>
                  <a:latin typeface="Cambria Math" panose="02040503050406030204" pitchFamily="18" charset="0"/>
                  <a:ea typeface="Cambria Math" panose="02040503050406030204" pitchFamily="18" charset="0"/>
                </a:rPr>
                <a:t>𝑥𝐸𝑃𝐺_</a:t>
              </a:r>
              <a:r>
                <a:rPr lang="en-US" sz="1600" b="0" i="0" baseline="0">
                  <a:solidFill>
                    <a:sysClr val="windowText" lastClr="000000"/>
                  </a:solidFill>
                  <a:latin typeface="Cambria Math" panose="02040503050406030204" pitchFamily="18" charset="0"/>
                  <a:ea typeface="Cambria Math" panose="02040503050406030204" pitchFamily="18" charset="0"/>
                </a:rPr>
                <a:t>𝑒𝑙𝑒𝑐𝑡𝑟𝑖𝑐</a:t>
              </a:r>
              <a:r>
                <a:rPr lang="en-US" sz="1600" b="0" i="0" baseline="-25000">
                  <a:solidFill>
                    <a:sysClr val="windowText" lastClr="000000"/>
                  </a:solidFill>
                  <a:latin typeface="Cambria Math" panose="02040503050406030204" pitchFamily="18" charset="0"/>
                  <a:ea typeface="Cambria Math" panose="02040503050406030204" pitchFamily="18" charset="0"/>
                </a:rPr>
                <a:t> </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 𝑥 𝐼𝑆𝑅</a:t>
              </a:r>
              <a:endParaRPr lang="en-US" sz="105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05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4</xdr:col>
      <xdr:colOff>402499</xdr:colOff>
      <xdr:row>1006</xdr:row>
      <xdr:rowOff>0</xdr:rowOff>
    </xdr:from>
    <xdr:to>
      <xdr:col>13</xdr:col>
      <xdr:colOff>0</xdr:colOff>
      <xdr:row>1006</xdr:row>
      <xdr:rowOff>0</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700-00000A000000}"/>
                </a:ext>
              </a:extLst>
            </xdr:cNvPr>
            <xdr:cNvSpPr txBox="1"/>
          </xdr:nvSpPr>
          <xdr:spPr>
            <a:xfrm>
              <a:off x="3974374" y="59731275"/>
              <a:ext cx="1524707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600" b="0" i="1">
                        <a:solidFill>
                          <a:sysClr val="windowText" lastClr="000000"/>
                        </a:solidFill>
                        <a:effectLst/>
                        <a:latin typeface="Book Antiqua" panose="02040602050305030304" pitchFamily="18" charset="0"/>
                        <a:ea typeface="+mn-ea"/>
                        <a:cs typeface="+mn-cs"/>
                      </a:rPr>
                      <m:t>EPG</m:t>
                    </m:r>
                    <m:r>
                      <m:rPr>
                        <m:nor/>
                      </m:rPr>
                      <a:rPr lang="en-US" sz="1600" b="0" i="1">
                        <a:solidFill>
                          <a:sysClr val="windowText" lastClr="000000"/>
                        </a:solidFill>
                        <a:effectLst/>
                        <a:latin typeface="Book Antiqua" panose="02040602050305030304" pitchFamily="18" charset="0"/>
                        <a:ea typeface="+mn-ea"/>
                        <a:cs typeface="+mn-cs"/>
                      </a:rPr>
                      <m:t>_</m:t>
                    </m:r>
                    <m:r>
                      <m:rPr>
                        <m:nor/>
                      </m:rPr>
                      <a:rPr lang="en-US" sz="1600" b="0" i="1">
                        <a:solidFill>
                          <a:sysClr val="windowText" lastClr="000000"/>
                        </a:solidFill>
                        <a:effectLst/>
                        <a:latin typeface="Book Antiqua" panose="02040602050305030304" pitchFamily="18" charset="0"/>
                        <a:ea typeface="+mn-ea"/>
                        <a:cs typeface="+mn-cs"/>
                      </a:rPr>
                      <m:t>electric</m:t>
                    </m:r>
                    <m:r>
                      <m:rPr>
                        <m:nor/>
                      </m:rPr>
                      <a:rPr lang="en-US" sz="1600" i="1">
                        <a:solidFill>
                          <a:sysClr val="windowText" lastClr="000000"/>
                        </a:solidFill>
                        <a:effectLst/>
                        <a:latin typeface="Book Antiqua" panose="02040602050305030304" pitchFamily="18" charset="0"/>
                        <a:ea typeface="+mn-ea"/>
                        <a:cs typeface="+mn-cs"/>
                      </a:rPr>
                      <m:t> </m:t>
                    </m:r>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200" b="0" i="1">
                            <a:solidFill>
                              <a:sysClr val="windowText" lastClr="000000"/>
                            </a:solidFill>
                            <a:effectLst/>
                            <a:latin typeface="Cambria Math" panose="02040503050406030204" pitchFamily="18" charset="0"/>
                            <a:ea typeface="+mn-ea"/>
                            <a:cs typeface="+mn-cs"/>
                          </a:rPr>
                          <m:t>8.33∗1.0∗(</m:t>
                        </m:r>
                        <m:r>
                          <a:rPr lang="en-US" sz="1200" b="0" i="1">
                            <a:solidFill>
                              <a:sysClr val="windowText" lastClr="000000"/>
                            </a:solidFill>
                            <a:effectLst/>
                            <a:latin typeface="Cambria Math" panose="02040503050406030204" pitchFamily="18" charset="0"/>
                            <a:ea typeface="+mn-ea"/>
                            <a:cs typeface="+mn-cs"/>
                          </a:rPr>
                          <m:t>𝑆h𝑜𝑤𝑒𝑟𝑇𝑒𝑚𝑝</m:t>
                        </m:r>
                        <m:r>
                          <a:rPr lang="en-US" sz="1200" b="0" i="1">
                            <a:solidFill>
                              <a:sysClr val="windowText" lastClr="000000"/>
                            </a:solidFill>
                            <a:effectLst/>
                            <a:latin typeface="Cambria Math" panose="02040503050406030204" pitchFamily="18" charset="0"/>
                            <a:ea typeface="+mn-ea"/>
                            <a:cs typeface="+mn-cs"/>
                          </a:rPr>
                          <m:t> −</m:t>
                        </m:r>
                        <m:r>
                          <a:rPr lang="en-US" sz="1200" b="0" i="1">
                            <a:solidFill>
                              <a:sysClr val="windowText" lastClr="000000"/>
                            </a:solidFill>
                            <a:effectLst/>
                            <a:latin typeface="Cambria Math" panose="02040503050406030204" pitchFamily="18" charset="0"/>
                            <a:ea typeface="+mn-ea"/>
                            <a:cs typeface="+mn-cs"/>
                          </a:rPr>
                          <m:t>𝑆𝑢𝑝𝑝𝑙𝑦𝑇𝑒𝑚𝑝</m:t>
                        </m:r>
                        <m:r>
                          <a:rPr lang="en-US" sz="1200" b="0" i="1">
                            <a:solidFill>
                              <a:sysClr val="windowText" lastClr="000000"/>
                            </a:solidFill>
                            <a:effectLst/>
                            <a:latin typeface="Cambria Math" panose="02040503050406030204" pitchFamily="18" charset="0"/>
                            <a:ea typeface="+mn-ea"/>
                            <a:cs typeface="+mn-cs"/>
                          </a:rPr>
                          <m:t>)</m:t>
                        </m:r>
                      </m:num>
                      <m:den>
                        <m:r>
                          <a:rPr lang="en-US" sz="1200" b="0" i="1">
                            <a:solidFill>
                              <a:sysClr val="windowText" lastClr="000000"/>
                            </a:solidFill>
                            <a:effectLst/>
                            <a:latin typeface="Cambria Math" panose="02040503050406030204" pitchFamily="18" charset="0"/>
                            <a:ea typeface="+mn-ea"/>
                            <a:cs typeface="+mn-cs"/>
                          </a:rPr>
                          <m:t>𝑅𝐸</m:t>
                        </m:r>
                        <m:r>
                          <a:rPr lang="en-US" sz="1200" b="0" i="1">
                            <a:solidFill>
                              <a:sysClr val="windowText" lastClr="000000"/>
                            </a:solidFill>
                            <a:effectLst/>
                            <a:latin typeface="Cambria Math" panose="02040503050406030204" pitchFamily="18" charset="0"/>
                            <a:ea typeface="+mn-ea"/>
                            <a:cs typeface="+mn-cs"/>
                          </a:rPr>
                          <m:t>_</m:t>
                        </m:r>
                        <m:r>
                          <a:rPr lang="en-US" sz="1200" b="0" i="1">
                            <a:solidFill>
                              <a:sysClr val="windowText" lastClr="000000"/>
                            </a:solidFill>
                            <a:effectLst/>
                            <a:latin typeface="Cambria Math" panose="02040503050406030204" pitchFamily="18" charset="0"/>
                            <a:ea typeface="+mn-ea"/>
                            <a:cs typeface="+mn-cs"/>
                          </a:rPr>
                          <m:t>𝑒𝑙𝑒𝑐𝑡𝑟𝑖𝑐</m:t>
                        </m:r>
                        <m:r>
                          <a:rPr lang="en-US" sz="1200" b="0" i="1">
                            <a:solidFill>
                              <a:sysClr val="windowText" lastClr="000000"/>
                            </a:solidFill>
                            <a:effectLst/>
                            <a:latin typeface="Cambria Math" panose="02040503050406030204" pitchFamily="18" charset="0"/>
                            <a:ea typeface="+mn-ea"/>
                            <a:cs typeface="+mn-cs"/>
                          </a:rPr>
                          <m:t>∗3,412</m:t>
                        </m:r>
                      </m:den>
                    </m:f>
                  </m:oMath>
                </m:oMathPara>
              </a14:m>
              <a:endParaRPr lang="en-US" sz="1050" i="1" baseline="-25000">
                <a:solidFill>
                  <a:sysClr val="windowText" lastClr="000000"/>
                </a:solidFill>
                <a:effectLst/>
                <a:latin typeface="Book Antiqua" panose="02040602050305030304" pitchFamily="18" charset="0"/>
              </a:endParaRPr>
            </a:p>
            <a:p>
              <a:pPr algn="l"/>
              <a:endParaRPr lang="en-US" sz="1050" i="0">
                <a:solidFill>
                  <a:sysClr val="windowText" lastClr="000000"/>
                </a:solidFill>
              </a:endParaRPr>
            </a:p>
          </xdr:txBody>
        </xdr:sp>
      </mc:Choice>
      <mc:Fallback xmlns="">
        <xdr:sp macro="" textlink="">
          <xdr:nvSpPr>
            <xdr:cNvPr id="10" name="TextBox 9">
              <a:extLst>
                <a:ext uri="{FF2B5EF4-FFF2-40B4-BE49-F238E27FC236}">
                  <a16:creationId xmlns:a16="http://schemas.microsoft.com/office/drawing/2014/main" id="{00000000-0008-0000-0700-00000A000000}"/>
                </a:ext>
              </a:extLst>
            </xdr:cNvPr>
            <xdr:cNvSpPr txBox="1"/>
          </xdr:nvSpPr>
          <xdr:spPr>
            <a:xfrm>
              <a:off x="3981178" y="167200489"/>
              <a:ext cx="14932751" cy="47625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b="0" i="0">
                  <a:solidFill>
                    <a:sysClr val="windowText" lastClr="000000"/>
                  </a:solidFill>
                  <a:effectLst/>
                  <a:latin typeface="Cambria Math" panose="02040503050406030204" pitchFamily="18" charset="0"/>
                  <a:ea typeface="+mn-ea"/>
                  <a:cs typeface="+mn-cs"/>
                </a:rPr>
                <a:t>"EPG_electric</a:t>
              </a:r>
              <a:r>
                <a:rPr lang="en-US" sz="1600" i="0">
                  <a:solidFill>
                    <a:sysClr val="windowText" lastClr="000000"/>
                  </a:solidFill>
                  <a:effectLst/>
                  <a:latin typeface="Cambria Math" panose="02040503050406030204" pitchFamily="18" charset="0"/>
                  <a:ea typeface="+mn-ea"/>
                  <a:cs typeface="+mn-cs"/>
                </a:rPr>
                <a:t> "</a:t>
              </a:r>
              <a:r>
                <a:rPr lang="en-US" sz="1600" i="0">
                  <a:solidFill>
                    <a:sysClr val="windowText" lastClr="000000"/>
                  </a:solidFill>
                  <a:latin typeface="Cambria Math" panose="02040503050406030204" pitchFamily="18" charset="0"/>
                </a:rPr>
                <a:t>=(</a:t>
              </a:r>
              <a:r>
                <a:rPr lang="en-US" sz="1200" b="0" i="0">
                  <a:solidFill>
                    <a:sysClr val="windowText" lastClr="000000"/>
                  </a:solidFill>
                  <a:effectLst/>
                  <a:latin typeface="Cambria Math" panose="02040503050406030204" pitchFamily="18" charset="0"/>
                  <a:ea typeface="+mn-ea"/>
                  <a:cs typeface="+mn-cs"/>
                </a:rPr>
                <a:t>8.33∗1.0∗(𝑆ℎ𝑜𝑤𝑒𝑟𝑇𝑒𝑚𝑝 −𝑆𝑢𝑝𝑝𝑙𝑦𝑇𝑒𝑚𝑝)</a:t>
              </a:r>
              <a:r>
                <a:rPr lang="en-US" sz="1600" b="0" i="0">
                  <a:solidFill>
                    <a:sysClr val="windowText" lastClr="000000"/>
                  </a:solidFill>
                  <a:effectLst/>
                  <a:latin typeface="Cambria Math" panose="02040503050406030204" pitchFamily="18" charset="0"/>
                  <a:ea typeface="+mn-ea"/>
                  <a:cs typeface="+mn-cs"/>
                </a:rPr>
                <a:t>)/(</a:t>
              </a:r>
              <a:r>
                <a:rPr lang="en-US" sz="1200" b="0" i="0">
                  <a:solidFill>
                    <a:sysClr val="windowText" lastClr="000000"/>
                  </a:solidFill>
                  <a:effectLst/>
                  <a:latin typeface="Cambria Math" panose="02040503050406030204" pitchFamily="18" charset="0"/>
                  <a:ea typeface="+mn-ea"/>
                  <a:cs typeface="+mn-cs"/>
                </a:rPr>
                <a:t>𝑅𝐸_𝑒𝑙𝑒𝑐𝑡𝑟𝑖𝑐∗3,412</a:t>
              </a:r>
              <a:r>
                <a:rPr lang="en-US" sz="1600" b="0" i="0">
                  <a:solidFill>
                    <a:sysClr val="windowText" lastClr="000000"/>
                  </a:solidFill>
                  <a:effectLst/>
                  <a:latin typeface="Cambria Math" panose="02040503050406030204" pitchFamily="18" charset="0"/>
                  <a:ea typeface="+mn-ea"/>
                  <a:cs typeface="+mn-cs"/>
                </a:rPr>
                <a:t>)</a:t>
              </a:r>
              <a:endParaRPr lang="en-US" sz="1050" i="1" baseline="-25000">
                <a:solidFill>
                  <a:sysClr val="windowText" lastClr="000000"/>
                </a:solidFill>
                <a:effectLst/>
                <a:latin typeface="Book Antiqua" panose="02040602050305030304" pitchFamily="18" charset="0"/>
              </a:endParaRPr>
            </a:p>
            <a:p>
              <a:pPr algn="l"/>
              <a:endParaRPr lang="en-US" sz="1050" i="0">
                <a:solidFill>
                  <a:sysClr val="windowText" lastClr="000000"/>
                </a:solidFill>
              </a:endParaRPr>
            </a:p>
          </xdr:txBody>
        </xdr:sp>
      </mc:Fallback>
    </mc:AlternateContent>
    <xdr:clientData/>
  </xdr:twoCellAnchor>
  <xdr:twoCellAnchor>
    <xdr:from>
      <xdr:col>4</xdr:col>
      <xdr:colOff>56605</xdr:colOff>
      <xdr:row>1066</xdr:row>
      <xdr:rowOff>0</xdr:rowOff>
    </xdr:from>
    <xdr:to>
      <xdr:col>13</xdr:col>
      <xdr:colOff>0</xdr:colOff>
      <xdr:row>1066</xdr:row>
      <xdr:rowOff>0</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00000000-0008-0000-0700-00000B000000}"/>
                </a:ext>
              </a:extLst>
            </xdr:cNvPr>
            <xdr:cNvSpPr txBox="1"/>
          </xdr:nvSpPr>
          <xdr:spPr>
            <a:xfrm>
              <a:off x="3628480" y="62350650"/>
              <a:ext cx="1559297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𝐸𝑙𝑒𝑐𝑡𝑟𝑖𝑐𝐷𝐻𝑊</m:t>
                    </m:r>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i="1">
                            <a:solidFill>
                              <a:sysClr val="windowText" lastClr="000000"/>
                            </a:solidFill>
                            <a:latin typeface="Cambria Math" panose="02040503050406030204" pitchFamily="18" charset="0"/>
                            <a:ea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a:rPr lang="en-US" sz="1400" b="0" i="1">
                                <a:solidFill>
                                  <a:schemeClr val="tx1"/>
                                </a:solidFill>
                                <a:effectLst/>
                                <a:latin typeface="Cambria Math" panose="02040503050406030204" pitchFamily="18" charset="0"/>
                                <a:ea typeface="+mn-ea"/>
                                <a:cs typeface="+mn-cs"/>
                              </a:rPr>
                              <m:t>𝐺𝑃</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𝑀</m:t>
                                </m:r>
                              </m:e>
                              <m:sub>
                                <m:r>
                                  <a:rPr lang="en-US" sz="1400" b="0" i="1">
                                    <a:solidFill>
                                      <a:schemeClr val="tx1"/>
                                    </a:solidFill>
                                    <a:effectLst/>
                                    <a:latin typeface="Cambria Math" panose="02040503050406030204" pitchFamily="18" charset="0"/>
                                    <a:ea typeface="+mn-ea"/>
                                    <a:cs typeface="+mn-cs"/>
                                  </a:rPr>
                                  <m:t>𝑏𝑎𝑠𝑒</m:t>
                                </m:r>
                              </m:sub>
                            </m:sSub>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chemeClr val="tx1"/>
                                </a:solidFill>
                                <a:effectLst/>
                                <a:latin typeface="Cambria Math" panose="02040503050406030204" pitchFamily="18" charset="0"/>
                                <a:ea typeface="+mn-ea"/>
                                <a:cs typeface="+mn-cs"/>
                              </a:rPr>
                              <m:t>𝐺𝑃</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𝑀</m:t>
                                </m:r>
                              </m:e>
                              <m:sub>
                                <m:r>
                                  <a:rPr lang="en-US" sz="1400" b="0" i="1">
                                    <a:solidFill>
                                      <a:schemeClr val="tx1"/>
                                    </a:solidFill>
                                    <a:effectLst/>
                                    <a:latin typeface="Cambria Math" panose="02040503050406030204" pitchFamily="18" charset="0"/>
                                    <a:ea typeface="+mn-ea"/>
                                    <a:cs typeface="+mn-cs"/>
                                  </a:rPr>
                                  <m:t>𝑙𝑜𝑤</m:t>
                                </m:r>
                              </m:sub>
                            </m:sSub>
                          </m:num>
                          <m:den>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𝐺𝑃</m:t>
                            </m:r>
                            <m:sSub>
                              <m:sSub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𝑀</m:t>
                                </m:r>
                              </m:e>
                              <m: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𝑏𝑎𝑠𝑒</m:t>
                                </m:r>
                              </m:sub>
                            </m:sSub>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𝑈𝑠𝑎𝑔𝑒</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𝐸𝑃</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𝐺</m:t>
                        </m:r>
                      </m:e>
                      <m:sub>
                        <m:r>
                          <a:rPr lang="en-US" sz="1400" b="0" i="1">
                            <a:solidFill>
                              <a:sysClr val="windowText" lastClr="000000"/>
                            </a:solidFill>
                            <a:latin typeface="Cambria Math" panose="02040503050406030204" pitchFamily="18" charset="0"/>
                            <a:ea typeface="Cambria Math" panose="02040503050406030204" pitchFamily="18" charset="0"/>
                          </a:rPr>
                          <m:t>𝑒𝑙𝑒𝑐𝑡𝑟𝑖𝑐</m:t>
                        </m:r>
                      </m:sub>
                    </m:sSub>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11" name="TextBox 10">
              <a:extLst>
                <a:ext uri="{FF2B5EF4-FFF2-40B4-BE49-F238E27FC236}">
                  <a16:creationId xmlns:a16="http://schemas.microsoft.com/office/drawing/2014/main" id="{00000000-0008-0000-0700-00000B000000}"/>
                </a:ext>
              </a:extLst>
            </xdr:cNvPr>
            <xdr:cNvSpPr txBox="1"/>
          </xdr:nvSpPr>
          <xdr:spPr>
            <a:xfrm>
              <a:off x="3646714" y="177529130"/>
              <a:ext cx="15267215" cy="146902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%𝐸𝑙𝑒𝑐𝑡𝑟𝑖𝑐𝐷𝐻𝑊∗</a:t>
              </a:r>
              <a:r>
                <a:rPr lang="en-US" sz="1400" i="0">
                  <a:solidFill>
                    <a:sysClr val="windowText" lastClr="000000"/>
                  </a:solidFill>
                  <a:latin typeface="Cambria Math" panose="02040503050406030204" pitchFamily="18" charset="0"/>
                  <a:ea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chemeClr val="tx1"/>
                  </a:solidFill>
                  <a:effectLst/>
                  <a:latin typeface="Cambria Math" panose="02040503050406030204" pitchFamily="18" charset="0"/>
                  <a:ea typeface="+mn-ea"/>
                  <a:cs typeface="+mn-cs"/>
                </a:rPr>
                <a:t>𝐺𝑃𝑀_𝑏𝑎𝑠𝑒</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chemeClr val="tx1"/>
                  </a:solidFill>
                  <a:effectLst/>
                  <a:latin typeface="Cambria Math" panose="02040503050406030204" pitchFamily="18" charset="0"/>
                  <a:ea typeface="+mn-ea"/>
                  <a:cs typeface="+mn-cs"/>
                </a:rPr>
                <a:t>" </a:t>
              </a:r>
              <a:r>
                <a:rPr lang="en-US" sz="1400" b="0" i="0">
                  <a:solidFill>
                    <a:schemeClr val="tx1"/>
                  </a:solidFill>
                  <a:effectLst/>
                  <a:latin typeface="Cambria Math" panose="02040503050406030204" pitchFamily="18" charset="0"/>
                  <a:ea typeface="+mn-ea"/>
                  <a:cs typeface="+mn-cs"/>
                </a:rPr>
                <a:t>𝐺𝑃𝑀_𝑙𝑜𝑤</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𝐺𝑃𝑀_𝑏𝑎𝑠𝑒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∗𝑈𝑠𝑎𝑔𝑒 ∗𝐸𝑃𝐺_𝑒𝑙𝑒𝑐𝑡𝑟𝑖𝑐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𝐼𝑆𝑅</a:t>
              </a:r>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4</xdr:col>
      <xdr:colOff>474344</xdr:colOff>
      <xdr:row>1066</xdr:row>
      <xdr:rowOff>0</xdr:rowOff>
    </xdr:from>
    <xdr:to>
      <xdr:col>13</xdr:col>
      <xdr:colOff>0</xdr:colOff>
      <xdr:row>1066</xdr:row>
      <xdr:rowOff>0</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0000000-0008-0000-0700-00000C000000}"/>
                </a:ext>
                <a:ext uri="{147F2762-F138-4A5C-976F-8EAC2B608ADB}">
                  <a16:predDERef xmlns:a16="http://schemas.microsoft.com/office/drawing/2014/main" pred="{15284C9A-23CF-4B53-88D3-190F178E7DA2}"/>
                </a:ext>
              </a:extLst>
            </xdr:cNvPr>
            <xdr:cNvSpPr txBox="1"/>
          </xdr:nvSpPr>
          <xdr:spPr>
            <a:xfrm>
              <a:off x="4046219" y="62350650"/>
              <a:ext cx="1517523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600" b="0" i="1">
                        <a:solidFill>
                          <a:sysClr val="windowText" lastClr="000000"/>
                        </a:solidFill>
                        <a:effectLst/>
                        <a:latin typeface="Cambria Math" panose="02040503050406030204" pitchFamily="18" charset="0"/>
                        <a:ea typeface="Cambria Math" panose="02040503050406030204" pitchFamily="18" charset="0"/>
                        <a:cs typeface="+mn-cs"/>
                      </a:rPr>
                      <m:t>EPG</m:t>
                    </m:r>
                    <m:r>
                      <m:rPr>
                        <m:nor/>
                      </m:rPr>
                      <a:rPr lang="en-US" sz="1600" b="0" i="1">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600" b="0" i="1">
                        <a:solidFill>
                          <a:sysClr val="windowText" lastClr="000000"/>
                        </a:solidFill>
                        <a:effectLst/>
                        <a:latin typeface="Cambria Math" panose="02040503050406030204" pitchFamily="18" charset="0"/>
                        <a:ea typeface="Cambria Math" panose="02040503050406030204" pitchFamily="18" charset="0"/>
                        <a:cs typeface="+mn-cs"/>
                      </a:rPr>
                      <m:t>electric</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 </m:t>
                    </m:r>
                    <m:r>
                      <a:rPr lang="en-US" sz="1600" i="1">
                        <a:solidFill>
                          <a:sysClr val="windowText" lastClr="000000"/>
                        </a:solidFill>
                        <a:latin typeface="Cambria Math" panose="02040503050406030204" pitchFamily="18" charset="0"/>
                        <a:ea typeface="Cambria Math" panose="02040503050406030204" pitchFamily="18" charset="0"/>
                      </a:rPr>
                      <m:t>=</m:t>
                    </m:r>
                    <m:f>
                      <m:fPr>
                        <m:ctrlPr>
                          <a:rPr lang="en-US" sz="1600" i="1">
                            <a:solidFill>
                              <a:sysClr val="windowText" lastClr="000000"/>
                            </a:solidFill>
                            <a:latin typeface="Cambria Math" panose="02040503050406030204" pitchFamily="18" charset="0"/>
                            <a:ea typeface="Cambria Math" panose="02040503050406030204" pitchFamily="18" charset="0"/>
                          </a:rPr>
                        </m:ctrlPr>
                      </m:fPr>
                      <m:num>
                        <m:r>
                          <a:rPr lang="en-US" sz="1200" b="0" i="1">
                            <a:solidFill>
                              <a:sysClr val="windowText" lastClr="000000"/>
                            </a:solidFill>
                            <a:effectLst/>
                            <a:latin typeface="Cambria Math" panose="02040503050406030204" pitchFamily="18" charset="0"/>
                            <a:ea typeface="Cambria Math" panose="02040503050406030204" pitchFamily="18" charset="0"/>
                            <a:cs typeface="+mn-cs"/>
                          </a:rPr>
                          <m:t>8.33∗1.0∗(</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𝑆h𝑜𝑤𝑒𝑟𝑇𝑒𝑚𝑝</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𝑆𝑢𝑝𝑝𝑙𝑦𝑇𝑒𝑚𝑝</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m:t>
                        </m:r>
                      </m:num>
                      <m:den>
                        <m:r>
                          <a:rPr lang="en-US" sz="1200" b="0" i="1">
                            <a:solidFill>
                              <a:sysClr val="windowText" lastClr="000000"/>
                            </a:solidFill>
                            <a:effectLst/>
                            <a:latin typeface="Cambria Math" panose="02040503050406030204" pitchFamily="18" charset="0"/>
                            <a:ea typeface="Cambria Math" panose="02040503050406030204" pitchFamily="18" charset="0"/>
                            <a:cs typeface="+mn-cs"/>
                          </a:rPr>
                          <m:t>𝑅𝐸</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_</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𝑒𝑙𝑒𝑐𝑡𝑟𝑖𝑐</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∗3412</m:t>
                        </m:r>
                      </m:den>
                    </m:f>
                  </m:oMath>
                </m:oMathPara>
              </a14:m>
              <a:endParaRPr lang="en-US" sz="105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05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12" name="TextBox 11">
              <a:extLst>
                <a:ext uri="{FF2B5EF4-FFF2-40B4-BE49-F238E27FC236}">
                  <a16:creationId xmlns:a16="http://schemas.microsoft.com/office/drawing/2014/main" id="{00000000-0008-0000-0700-00000C000000}"/>
                </a:ext>
                <a:ext uri="{147F2762-F138-4A5C-976F-8EAC2B608ADB}">
                  <a16:predDERef xmlns:a16="http://schemas.microsoft.com/office/drawing/2014/main" pred="{15284C9A-23CF-4B53-88D3-190F178E7DA2}"/>
                </a:ext>
              </a:extLst>
            </xdr:cNvPr>
            <xdr:cNvSpPr txBox="1"/>
          </xdr:nvSpPr>
          <xdr:spPr>
            <a:xfrm>
              <a:off x="4053023" y="178113690"/>
              <a:ext cx="14860906" cy="6331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b="0" i="0">
                  <a:solidFill>
                    <a:sysClr val="windowText" lastClr="000000"/>
                  </a:solidFill>
                  <a:effectLst/>
                  <a:latin typeface="Cambria Math" panose="02040503050406030204" pitchFamily="18" charset="0"/>
                  <a:ea typeface="Cambria Math" panose="02040503050406030204" pitchFamily="18" charset="0"/>
                  <a:cs typeface="+mn-cs"/>
                </a:rPr>
                <a:t>"EPG_electric</a:t>
              </a:r>
              <a:r>
                <a:rPr lang="en-US" sz="1600" i="0">
                  <a:solidFill>
                    <a:sysClr val="windowText" lastClr="000000"/>
                  </a:solidFill>
                  <a:effectLst/>
                  <a:latin typeface="Cambria Math" panose="02040503050406030204" pitchFamily="18" charset="0"/>
                  <a:ea typeface="Cambria Math" panose="02040503050406030204" pitchFamily="18" charset="0"/>
                  <a:cs typeface="+mn-cs"/>
                </a:rPr>
                <a:t> "</a:t>
              </a:r>
              <a:r>
                <a:rPr lang="en-US" sz="1600" i="0">
                  <a:solidFill>
                    <a:sysClr val="windowText" lastClr="000000"/>
                  </a:solidFill>
                  <a:latin typeface="Cambria Math" panose="02040503050406030204" pitchFamily="18" charset="0"/>
                  <a:ea typeface="Cambria Math" panose="02040503050406030204" pitchFamily="18" charset="0"/>
                </a:rPr>
                <a:t>=(</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8.33∗1.0∗(𝑆ℎ𝑜𝑤𝑒𝑟𝑇𝑒𝑚𝑝 −𝑆𝑢𝑝𝑝𝑙𝑦𝑇𝑒𝑚𝑝)</a:t>
              </a:r>
              <a:r>
                <a:rPr lang="en-US" sz="16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𝑅𝐸_𝑒𝑙𝑒𝑐𝑡𝑟𝑖𝑐∗3412</a:t>
              </a:r>
              <a:r>
                <a:rPr lang="en-US" sz="1600" b="0" i="0">
                  <a:solidFill>
                    <a:sysClr val="windowText" lastClr="000000"/>
                  </a:solidFill>
                  <a:effectLst/>
                  <a:latin typeface="Cambria Math" panose="02040503050406030204" pitchFamily="18" charset="0"/>
                  <a:ea typeface="Cambria Math" panose="02040503050406030204" pitchFamily="18" charset="0"/>
                  <a:cs typeface="+mn-cs"/>
                </a:rPr>
                <a:t>)</a:t>
              </a:r>
              <a:endParaRPr lang="en-US" sz="105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05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4</xdr:col>
      <xdr:colOff>21227</xdr:colOff>
      <xdr:row>1097</xdr:row>
      <xdr:rowOff>0</xdr:rowOff>
    </xdr:from>
    <xdr:to>
      <xdr:col>13</xdr:col>
      <xdr:colOff>2719</xdr:colOff>
      <xdr:row>1097</xdr:row>
      <xdr:rowOff>0</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00000000-0008-0000-0700-00000D000000}"/>
                </a:ext>
                <a:ext uri="{147F2762-F138-4A5C-976F-8EAC2B608ADB}">
                  <a16:predDERef xmlns:a16="http://schemas.microsoft.com/office/drawing/2014/main" pred="{C125002D-56F9-4A0F-95DC-27B4327F8B3A}"/>
                </a:ext>
              </a:extLst>
            </xdr:cNvPr>
            <xdr:cNvSpPr txBox="1"/>
          </xdr:nvSpPr>
          <xdr:spPr>
            <a:xfrm>
              <a:off x="3593102" y="63903225"/>
              <a:ext cx="1563106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 </m:t>
                    </m:r>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𝐸𝑙𝑒𝑐𝑡𝑟𝑖𝑐𝐷𝐻𝑊</m:t>
                    </m:r>
                    <m:r>
                      <a:rPr lang="en-US" sz="1600" b="0" i="1">
                        <a:solidFill>
                          <a:sysClr val="windowText" lastClr="000000"/>
                        </a:solidFill>
                        <a:latin typeface="Cambria Math" panose="02040503050406030204" pitchFamily="18" charset="0"/>
                        <a:ea typeface="Cambria Math" panose="02040503050406030204" pitchFamily="18" charset="0"/>
                      </a:rPr>
                      <m:t>∗</m:t>
                    </m:r>
                    <m:d>
                      <m:dPr>
                        <m:ctrlPr>
                          <a:rPr lang="en-US" sz="1600" b="0" i="1">
                            <a:solidFill>
                              <a:sysClr val="windowText" lastClr="000000"/>
                            </a:solidFill>
                            <a:latin typeface="Cambria Math" panose="02040503050406030204" pitchFamily="18" charset="0"/>
                            <a:ea typeface="Cambria Math" panose="02040503050406030204" pitchFamily="18" charset="0"/>
                          </a:rPr>
                        </m:ctrlPr>
                      </m:dPr>
                      <m:e>
                        <m:d>
                          <m:dPr>
                            <m:ctrlPr>
                              <a:rPr lang="en-US" sz="1600" b="0" i="1">
                                <a:solidFill>
                                  <a:sysClr val="windowText" lastClr="000000"/>
                                </a:solidFill>
                                <a:latin typeface="Cambria Math" panose="02040503050406030204" pitchFamily="18" charset="0"/>
                                <a:ea typeface="Cambria Math" panose="02040503050406030204" pitchFamily="18" charset="0"/>
                              </a:rPr>
                            </m:ctrlPr>
                          </m:dPr>
                          <m:e>
                            <m:r>
                              <a:rPr lang="en-US" sz="1600" b="0" i="1">
                                <a:solidFill>
                                  <a:sysClr val="windowText" lastClr="000000"/>
                                </a:solidFill>
                                <a:latin typeface="Cambria Math" panose="02040503050406030204" pitchFamily="18" charset="0"/>
                                <a:ea typeface="Cambria Math" panose="02040503050406030204" pitchFamily="18" charset="0"/>
                              </a:rPr>
                              <m:t>𝐺𝑃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𝑀</m:t>
                                </m:r>
                              </m:e>
                              <m:sub>
                                <m:r>
                                  <a:rPr lang="en-US" sz="1600" b="0" i="1">
                                    <a:solidFill>
                                      <a:sysClr val="windowText" lastClr="000000"/>
                                    </a:solidFill>
                                    <a:latin typeface="Cambria Math" panose="02040503050406030204" pitchFamily="18" charset="0"/>
                                    <a:ea typeface="Cambria Math" panose="02040503050406030204" pitchFamily="18" charset="0"/>
                                  </a:rPr>
                                  <m:t>𝑏𝑎𝑠𝑒</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𝐿</m:t>
                                </m:r>
                              </m:e>
                              <m:sub>
                                <m:r>
                                  <a:rPr lang="en-US" sz="1600" b="0" i="1">
                                    <a:solidFill>
                                      <a:sysClr val="windowText" lastClr="000000"/>
                                    </a:solidFill>
                                    <a:latin typeface="Cambria Math" panose="02040503050406030204" pitchFamily="18" charset="0"/>
                                    <a:ea typeface="Cambria Math" panose="02040503050406030204" pitchFamily="18" charset="0"/>
                                  </a:rPr>
                                  <m:t>𝑏𝑎𝑠𝑒</m:t>
                                </m:r>
                              </m:sub>
                            </m:sSub>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𝐺𝑃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𝑀</m:t>
                                </m:r>
                              </m:e>
                              <m:sub>
                                <m:r>
                                  <a:rPr lang="en-US" sz="1600" b="0" i="1">
                                    <a:solidFill>
                                      <a:sysClr val="windowText" lastClr="000000"/>
                                    </a:solidFill>
                                    <a:latin typeface="Cambria Math" panose="02040503050406030204" pitchFamily="18" charset="0"/>
                                    <a:ea typeface="Cambria Math" panose="02040503050406030204" pitchFamily="18" charset="0"/>
                                  </a:rPr>
                                  <m:t>𝑙𝑜𝑤</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𝐿</m:t>
                                </m:r>
                              </m:e>
                              <m:sub>
                                <m:r>
                                  <a:rPr lang="en-US" sz="1600" b="0" i="1">
                                    <a:solidFill>
                                      <a:sysClr val="windowText" lastClr="000000"/>
                                    </a:solidFill>
                                    <a:latin typeface="Cambria Math" panose="02040503050406030204" pitchFamily="18" charset="0"/>
                                    <a:ea typeface="Cambria Math" panose="02040503050406030204" pitchFamily="18" charset="0"/>
                                  </a:rPr>
                                  <m:t>𝑙𝑜𝑤</m:t>
                                </m:r>
                              </m:sub>
                            </m:sSub>
                          </m:e>
                        </m:d>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𝑁𝑆𝑃𝐷</m:t>
                        </m:r>
                        <m:r>
                          <a:rPr lang="en-US" sz="1600" b="0" i="1">
                            <a:solidFill>
                              <a:sysClr val="windowText" lastClr="000000"/>
                            </a:solidFill>
                            <a:latin typeface="Cambria Math" panose="02040503050406030204" pitchFamily="18" charset="0"/>
                            <a:ea typeface="Cambria Math" panose="02040503050406030204" pitchFamily="18" charset="0"/>
                          </a:rPr>
                          <m:t>∗365.25</m:t>
                        </m:r>
                      </m:e>
                    </m:d>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𝐺</m:t>
                        </m:r>
                      </m:e>
                      <m:sub>
                        <m:r>
                          <a:rPr lang="en-US" sz="1600" b="0" i="1" baseline="0">
                            <a:solidFill>
                              <a:sysClr val="windowText" lastClr="000000"/>
                            </a:solidFill>
                            <a:latin typeface="Cambria Math" panose="02040503050406030204" pitchFamily="18" charset="0"/>
                            <a:ea typeface="Cambria Math" panose="02040503050406030204" pitchFamily="18" charset="0"/>
                          </a:rPr>
                          <m:t>𝑒𝑙𝑒𝑐𝑡𝑟𝑖𝑐</m:t>
                        </m:r>
                      </m:sub>
                    </m:sSub>
                    <m:r>
                      <a:rPr lang="en-US" sz="1600" b="0" i="1" baseline="0">
                        <a:solidFill>
                          <a:sysClr val="windowText" lastClr="000000"/>
                        </a:solidFill>
                        <a:latin typeface="Cambria Math" panose="02040503050406030204" pitchFamily="18" charset="0"/>
                        <a:ea typeface="Cambria Math" panose="02040503050406030204" pitchFamily="18" charset="0"/>
                      </a:rPr>
                      <m:t>∗</m:t>
                    </m:r>
                    <m:r>
                      <a:rPr lang="en-US" sz="1600" b="0" i="1" baseline="0">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0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13" name="TextBox 12">
              <a:extLst>
                <a:ext uri="{FF2B5EF4-FFF2-40B4-BE49-F238E27FC236}">
                  <a16:creationId xmlns:a16="http://schemas.microsoft.com/office/drawing/2014/main" id="{00000000-0008-0000-0700-00000D000000}"/>
                </a:ext>
                <a:ext uri="{147F2762-F138-4A5C-976F-8EAC2B608ADB}">
                  <a16:predDERef xmlns:a16="http://schemas.microsoft.com/office/drawing/2014/main" pred="{C125002D-56F9-4A0F-95DC-27B4327F8B3A}"/>
                </a:ext>
              </a:extLst>
            </xdr:cNvPr>
            <xdr:cNvSpPr txBox="1"/>
          </xdr:nvSpPr>
          <xdr:spPr>
            <a:xfrm>
              <a:off x="3592286" y="49726216"/>
              <a:ext cx="15498533" cy="125566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%𝐸𝑙𝑒𝑐𝑡𝑟𝑖𝑐𝐷𝐻𝑊∗((𝐺𝑃𝑀_𝑏𝑎𝑠𝑒∗𝐿_𝑏𝑎𝑠𝑒−𝐺𝑃𝑀_𝑙𝑜𝑤∗𝐿_𝑙𝑜𝑤 )∗𝑁𝑆𝑃𝐷∗365.25)∗𝐸𝑃𝐺_</a:t>
              </a:r>
              <a:r>
                <a:rPr lang="en-US" sz="1600" b="0" i="0" baseline="0">
                  <a:solidFill>
                    <a:sysClr val="windowText" lastClr="000000"/>
                  </a:solidFill>
                  <a:latin typeface="Cambria Math" panose="02040503050406030204" pitchFamily="18" charset="0"/>
                  <a:ea typeface="Cambria Math" panose="02040503050406030204" pitchFamily="18" charset="0"/>
                </a:rPr>
                <a:t>𝑒𝑙𝑒𝑐𝑡𝑟𝑖𝑐∗𝐼𝑆𝑅</a:t>
              </a:r>
              <a:endParaRPr lang="en-US" sz="10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4</xdr:col>
      <xdr:colOff>401963</xdr:colOff>
      <xdr:row>1097</xdr:row>
      <xdr:rowOff>0</xdr:rowOff>
    </xdr:from>
    <xdr:to>
      <xdr:col>5</xdr:col>
      <xdr:colOff>473065</xdr:colOff>
      <xdr:row>1097</xdr:row>
      <xdr:rowOff>0</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00000000-0008-0000-0700-00000E000000}"/>
                </a:ext>
                <a:ext uri="{147F2762-F138-4A5C-976F-8EAC2B608ADB}">
                  <a16:predDERef xmlns:a16="http://schemas.microsoft.com/office/drawing/2014/main" pred="{4C5C7907-F304-489A-96C2-DBBF8FAFF97F}"/>
                </a:ext>
              </a:extLst>
            </xdr:cNvPr>
            <xdr:cNvSpPr txBox="1"/>
          </xdr:nvSpPr>
          <xdr:spPr>
            <a:xfrm>
              <a:off x="3973838" y="63903225"/>
              <a:ext cx="566227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600" b="0" i="1">
                        <a:solidFill>
                          <a:sysClr val="windowText" lastClr="000000"/>
                        </a:solidFill>
                        <a:effectLst/>
                        <a:latin typeface="Book Antiqua" panose="02040602050305030304" pitchFamily="18" charset="0"/>
                        <a:ea typeface="+mn-ea"/>
                        <a:cs typeface="+mn-cs"/>
                      </a:rPr>
                      <m:t>EPG</m:t>
                    </m:r>
                    <m:r>
                      <m:rPr>
                        <m:nor/>
                      </m:rPr>
                      <a:rPr lang="en-US" sz="1600" b="0" i="1">
                        <a:solidFill>
                          <a:sysClr val="windowText" lastClr="000000"/>
                        </a:solidFill>
                        <a:effectLst/>
                        <a:latin typeface="Book Antiqua" panose="02040602050305030304" pitchFamily="18" charset="0"/>
                        <a:ea typeface="+mn-ea"/>
                        <a:cs typeface="+mn-cs"/>
                      </a:rPr>
                      <m:t>_</m:t>
                    </m:r>
                    <m:r>
                      <m:rPr>
                        <m:nor/>
                      </m:rPr>
                      <a:rPr lang="en-US" sz="1600" b="0" i="1">
                        <a:solidFill>
                          <a:sysClr val="windowText" lastClr="000000"/>
                        </a:solidFill>
                        <a:effectLst/>
                        <a:latin typeface="Book Antiqua" panose="02040602050305030304" pitchFamily="18" charset="0"/>
                        <a:ea typeface="+mn-ea"/>
                        <a:cs typeface="+mn-cs"/>
                      </a:rPr>
                      <m:t>electric</m:t>
                    </m:r>
                    <m:r>
                      <m:rPr>
                        <m:nor/>
                      </m:rPr>
                      <a:rPr lang="en-US" sz="1600" i="1">
                        <a:solidFill>
                          <a:sysClr val="windowText" lastClr="000000"/>
                        </a:solidFill>
                        <a:effectLst/>
                        <a:latin typeface="Book Antiqua" panose="02040602050305030304" pitchFamily="18" charset="0"/>
                        <a:ea typeface="+mn-ea"/>
                        <a:cs typeface="+mn-cs"/>
                      </a:rPr>
                      <m:t> </m:t>
                    </m:r>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200" b="0" i="1">
                            <a:solidFill>
                              <a:schemeClr val="tx1"/>
                            </a:solidFill>
                            <a:effectLst/>
                            <a:latin typeface="Cambria Math" panose="02040503050406030204" pitchFamily="18" charset="0"/>
                            <a:ea typeface="+mn-ea"/>
                            <a:cs typeface="+mn-cs"/>
                          </a:rPr>
                          <m:t>8.33∗1.0∗(</m:t>
                        </m:r>
                        <m:r>
                          <a:rPr lang="en-US" sz="1200" b="0" i="1">
                            <a:solidFill>
                              <a:schemeClr val="tx1"/>
                            </a:solidFill>
                            <a:effectLst/>
                            <a:latin typeface="Cambria Math" panose="02040503050406030204" pitchFamily="18" charset="0"/>
                            <a:ea typeface="+mn-ea"/>
                            <a:cs typeface="+mn-cs"/>
                          </a:rPr>
                          <m:t>𝑆h𝑜𝑤𝑒𝑟𝑇𝑒𝑚𝑝</m:t>
                        </m:r>
                        <m:r>
                          <a:rPr lang="en-US" sz="1200" b="0" i="1">
                            <a:solidFill>
                              <a:schemeClr val="tx1"/>
                            </a:solidFill>
                            <a:effectLst/>
                            <a:latin typeface="Cambria Math" panose="02040503050406030204" pitchFamily="18" charset="0"/>
                            <a:ea typeface="+mn-ea"/>
                            <a:cs typeface="+mn-cs"/>
                          </a:rPr>
                          <m:t> −</m:t>
                        </m:r>
                        <m:r>
                          <a:rPr lang="en-US" sz="1200" b="0" i="1">
                            <a:solidFill>
                              <a:schemeClr val="tx1"/>
                            </a:solidFill>
                            <a:effectLst/>
                            <a:latin typeface="Cambria Math" panose="02040503050406030204" pitchFamily="18" charset="0"/>
                            <a:ea typeface="+mn-ea"/>
                            <a:cs typeface="+mn-cs"/>
                          </a:rPr>
                          <m:t>𝑆𝑢𝑝𝑝𝑙𝑦𝑇𝑒𝑚𝑝</m:t>
                        </m:r>
                        <m:r>
                          <a:rPr lang="en-US" sz="1200" b="0" i="1">
                            <a:solidFill>
                              <a:srgbClr val="FF0000"/>
                            </a:solidFill>
                            <a:effectLst/>
                            <a:latin typeface="Cambria Math" panose="02040503050406030204" pitchFamily="18" charset="0"/>
                            <a:ea typeface="+mn-ea"/>
                            <a:cs typeface="+mn-cs"/>
                          </a:rPr>
                          <m:t>)</m:t>
                        </m:r>
                      </m:num>
                      <m:den>
                        <m:r>
                          <a:rPr lang="en-US" sz="1200" b="0" i="1">
                            <a:solidFill>
                              <a:schemeClr val="tx1"/>
                            </a:solidFill>
                            <a:effectLst/>
                            <a:latin typeface="Cambria Math" panose="02040503050406030204" pitchFamily="18" charset="0"/>
                            <a:ea typeface="+mn-ea"/>
                            <a:cs typeface="+mn-cs"/>
                          </a:rPr>
                          <m:t>𝑅𝐸</m:t>
                        </m:r>
                        <m:r>
                          <a:rPr lang="en-US" sz="1200" b="0" i="1">
                            <a:solidFill>
                              <a:schemeClr val="tx1"/>
                            </a:solidFill>
                            <a:effectLst/>
                            <a:latin typeface="Cambria Math" panose="02040503050406030204" pitchFamily="18" charset="0"/>
                            <a:ea typeface="+mn-ea"/>
                            <a:cs typeface="+mn-cs"/>
                          </a:rPr>
                          <m:t>_</m:t>
                        </m:r>
                        <m:r>
                          <a:rPr lang="en-US" sz="1200" b="0" i="1">
                            <a:solidFill>
                              <a:schemeClr val="tx1"/>
                            </a:solidFill>
                            <a:effectLst/>
                            <a:latin typeface="Cambria Math" panose="02040503050406030204" pitchFamily="18" charset="0"/>
                            <a:ea typeface="+mn-ea"/>
                            <a:cs typeface="+mn-cs"/>
                          </a:rPr>
                          <m:t>𝑒𝑙𝑒𝑐𝑡𝑟𝑖𝑐</m:t>
                        </m:r>
                        <m:r>
                          <a:rPr lang="en-US" sz="1200" b="0" i="1">
                            <a:solidFill>
                              <a:schemeClr val="tx1"/>
                            </a:solidFill>
                            <a:effectLst/>
                            <a:latin typeface="Cambria Math" panose="02040503050406030204" pitchFamily="18" charset="0"/>
                            <a:ea typeface="+mn-ea"/>
                            <a:cs typeface="+mn-cs"/>
                          </a:rPr>
                          <m:t>∗3412</m:t>
                        </m:r>
                      </m:den>
                    </m:f>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Choice>
      <mc:Fallback xmlns="">
        <xdr:sp macro="" textlink="">
          <xdr:nvSpPr>
            <xdr:cNvPr id="14" name="TextBox 13">
              <a:extLst>
                <a:ext uri="{FF2B5EF4-FFF2-40B4-BE49-F238E27FC236}">
                  <a16:creationId xmlns:a16="http://schemas.microsoft.com/office/drawing/2014/main" id="{00000000-0008-0000-0700-00000E000000}"/>
                </a:ext>
                <a:ext uri="{147F2762-F138-4A5C-976F-8EAC2B608ADB}">
                  <a16:predDERef xmlns:a16="http://schemas.microsoft.com/office/drawing/2014/main" pred="{4C5C7907-F304-489A-96C2-DBBF8FAFF97F}"/>
                </a:ext>
              </a:extLst>
            </xdr:cNvPr>
            <xdr:cNvSpPr txBox="1"/>
          </xdr:nvSpPr>
          <xdr:spPr>
            <a:xfrm>
              <a:off x="3980642" y="50185067"/>
              <a:ext cx="5657922" cy="6812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b="0" i="0">
                  <a:solidFill>
                    <a:sysClr val="windowText" lastClr="000000"/>
                  </a:solidFill>
                  <a:effectLst/>
                  <a:latin typeface="Cambria Math" panose="02040503050406030204" pitchFamily="18" charset="0"/>
                  <a:ea typeface="+mn-ea"/>
                  <a:cs typeface="+mn-cs"/>
                </a:rPr>
                <a:t>"EPG_electric</a:t>
              </a:r>
              <a:r>
                <a:rPr lang="en-US" sz="1600" i="0">
                  <a:solidFill>
                    <a:sysClr val="windowText" lastClr="000000"/>
                  </a:solidFill>
                  <a:effectLst/>
                  <a:latin typeface="Cambria Math" panose="02040503050406030204" pitchFamily="18" charset="0"/>
                  <a:ea typeface="+mn-ea"/>
                  <a:cs typeface="+mn-cs"/>
                </a:rPr>
                <a:t> "</a:t>
              </a:r>
              <a:r>
                <a:rPr lang="en-US" sz="1600" i="0">
                  <a:solidFill>
                    <a:sysClr val="windowText" lastClr="000000"/>
                  </a:solidFill>
                  <a:latin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200" b="0" i="0">
                  <a:solidFill>
                    <a:srgbClr val="FF0000"/>
                  </a:solidFill>
                  <a:effectLst/>
                  <a:latin typeface="Cambria Math" panose="02040503050406030204" pitchFamily="18" charset="0"/>
                  <a:ea typeface="+mn-ea"/>
                  <a:cs typeface="+mn-cs"/>
                </a:rPr>
                <a:t>)</a:t>
              </a:r>
              <a:r>
                <a:rPr lang="en-US" sz="1600" b="0" i="0">
                  <a:solidFill>
                    <a:sysClr val="windowText" lastClr="000000"/>
                  </a:solidFill>
                  <a:effectLst/>
                  <a:latin typeface="Cambria Math" panose="02040503050406030204" pitchFamily="18" charset="0"/>
                  <a:ea typeface="+mn-ea"/>
                  <a:cs typeface="+mn-cs"/>
                </a:rPr>
                <a:t>)/(</a:t>
              </a:r>
              <a:r>
                <a:rPr lang="en-US" sz="1200" b="0" i="0">
                  <a:solidFill>
                    <a:schemeClr val="tx1"/>
                  </a:solidFill>
                  <a:effectLst/>
                  <a:latin typeface="Cambria Math" panose="02040503050406030204" pitchFamily="18" charset="0"/>
                  <a:ea typeface="+mn-ea"/>
                  <a:cs typeface="+mn-cs"/>
                </a:rPr>
                <a:t>𝑅𝐸_𝑒𝑙𝑒𝑐𝑡𝑟𝑖𝑐∗3412</a:t>
              </a:r>
              <a:r>
                <a:rPr lang="en-US" sz="1600" b="0" i="0">
                  <a:solidFill>
                    <a:sysClr val="windowText" lastClr="000000"/>
                  </a:solidFill>
                  <a:effectLst/>
                  <a:latin typeface="Cambria Math" panose="02040503050406030204" pitchFamily="18" charset="0"/>
                  <a:ea typeface="+mn-ea"/>
                  <a:cs typeface="+mn-cs"/>
                </a:rPr>
                <a:t>)</a:t>
              </a:r>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Fallback>
    </mc:AlternateContent>
    <xdr:clientData/>
  </xdr:twoCellAnchor>
  <xdr:oneCellAnchor>
    <xdr:from>
      <xdr:col>8</xdr:col>
      <xdr:colOff>7576</xdr:colOff>
      <xdr:row>5</xdr:row>
      <xdr:rowOff>0</xdr:rowOff>
    </xdr:from>
    <xdr:ext cx="65" cy="172227"/>
    <xdr:sp macro="" textlink="">
      <xdr:nvSpPr>
        <xdr:cNvPr id="15" name="TextBox 14">
          <a:extLst>
            <a:ext uri="{FF2B5EF4-FFF2-40B4-BE49-F238E27FC236}">
              <a16:creationId xmlns:a16="http://schemas.microsoft.com/office/drawing/2014/main" id="{00000000-0008-0000-0700-00000F000000}"/>
            </a:ext>
          </a:extLst>
        </xdr:cNvPr>
        <xdr:cNvSpPr txBox="1"/>
      </xdr:nvSpPr>
      <xdr:spPr>
        <a:xfrm>
          <a:off x="1845750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8</xdr:col>
      <xdr:colOff>2381</xdr:colOff>
      <xdr:row>680</xdr:row>
      <xdr:rowOff>0</xdr:rowOff>
    </xdr:from>
    <xdr:ext cx="65" cy="172227"/>
    <xdr:sp macro="" textlink="">
      <xdr:nvSpPr>
        <xdr:cNvPr id="16" name="TextBox 15">
          <a:extLst>
            <a:ext uri="{FF2B5EF4-FFF2-40B4-BE49-F238E27FC236}">
              <a16:creationId xmlns:a16="http://schemas.microsoft.com/office/drawing/2014/main" id="{00000000-0008-0000-0700-000010000000}"/>
            </a:ext>
          </a:extLst>
        </xdr:cNvPr>
        <xdr:cNvSpPr txBox="1"/>
      </xdr:nvSpPr>
      <xdr:spPr>
        <a:xfrm>
          <a:off x="14013656" y="39233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8</xdr:col>
      <xdr:colOff>2381</xdr:colOff>
      <xdr:row>680</xdr:row>
      <xdr:rowOff>0</xdr:rowOff>
    </xdr:from>
    <xdr:ext cx="65" cy="172227"/>
    <xdr:sp macro="" textlink="">
      <xdr:nvSpPr>
        <xdr:cNvPr id="17" name="TextBox 16">
          <a:extLst>
            <a:ext uri="{FF2B5EF4-FFF2-40B4-BE49-F238E27FC236}">
              <a16:creationId xmlns:a16="http://schemas.microsoft.com/office/drawing/2014/main" id="{00000000-0008-0000-0700-000011000000}"/>
            </a:ext>
          </a:extLst>
        </xdr:cNvPr>
        <xdr:cNvSpPr txBox="1"/>
      </xdr:nvSpPr>
      <xdr:spPr>
        <a:xfrm>
          <a:off x="14013656" y="39233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7</xdr:col>
      <xdr:colOff>485</xdr:colOff>
      <xdr:row>569</xdr:row>
      <xdr:rowOff>0</xdr:rowOff>
    </xdr:from>
    <xdr:to>
      <xdr:col>14</xdr:col>
      <xdr:colOff>0</xdr:colOff>
      <xdr:row>569</xdr:row>
      <xdr:rowOff>0</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00000000-0008-0000-0700-000012000000}"/>
                </a:ext>
              </a:extLst>
            </xdr:cNvPr>
            <xdr:cNvSpPr txBox="1"/>
          </xdr:nvSpPr>
          <xdr:spPr>
            <a:xfrm>
              <a:off x="12468710" y="34890075"/>
              <a:ext cx="76861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𝐻𝑒𝑎𝑡𝑖𝑛𝑔𝐺𝑎𝑠</m:t>
                        </m:r>
                      </m:sub>
                    </m:sSub>
                    <m:r>
                      <a:rPr lang="en-US" sz="1800" b="0" i="1">
                        <a:latin typeface="Cambria Math" panose="02040503050406030204" pitchFamily="18" charset="0"/>
                        <a:ea typeface="Cambria Math" panose="02040503050406030204" pitchFamily="18" charset="0"/>
                      </a:rPr>
                      <m:t>=</m:t>
                    </m:r>
                    <m:r>
                      <m:rPr>
                        <m:sty m:val="p"/>
                      </m:rPr>
                      <a:rPr lang="el-GR" sz="1800" b="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𝑇h𝑒𝑟𝑚𝑠</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𝐹𝑒</m:t>
                    </m:r>
                    <m:r>
                      <a:rPr lang="en-US" sz="1800" b="0" i="1">
                        <a:latin typeface="Cambria Math" panose="02040503050406030204" pitchFamily="18" charset="0"/>
                        <a:ea typeface="Cambria Math" panose="02040503050406030204" pitchFamily="18" charset="0"/>
                      </a:rPr>
                      <m:t>∗29.3</m:t>
                    </m:r>
                  </m:oMath>
                </m:oMathPara>
              </a14:m>
              <a:endParaRPr lang="en-US" sz="1800"/>
            </a:p>
          </xdr:txBody>
        </xdr:sp>
      </mc:Choice>
      <mc:Fallback xmlns="">
        <xdr:sp macro="" textlink="">
          <xdr:nvSpPr>
            <xdr:cNvPr id="18" name="TextBox 17">
              <a:extLst>
                <a:ext uri="{FF2B5EF4-FFF2-40B4-BE49-F238E27FC236}">
                  <a16:creationId xmlns:a16="http://schemas.microsoft.com/office/drawing/2014/main" id="{00000000-0008-0000-0700-000012000000}"/>
                </a:ext>
              </a:extLst>
            </xdr:cNvPr>
            <xdr:cNvSpPr txBox="1"/>
          </xdr:nvSpPr>
          <xdr:spPr>
            <a:xfrm>
              <a:off x="12382985" y="117987536"/>
              <a:ext cx="7469836" cy="3786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𝑘𝑊ℎ_𝐻𝑒𝑎𝑡𝑖𝑛𝑔𝐺𝑎𝑠=</a:t>
              </a:r>
              <a:r>
                <a:rPr lang="el-GR" sz="1800" b="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𝑇ℎ𝑒𝑟𝑚𝑠∗𝐹𝑒∗29.3</a:t>
              </a:r>
              <a:endParaRPr lang="en-US" sz="1800"/>
            </a:p>
          </xdr:txBody>
        </xdr:sp>
      </mc:Fallback>
    </mc:AlternateContent>
    <xdr:clientData/>
  </xdr:twoCellAnchor>
  <xdr:twoCellAnchor>
    <xdr:from>
      <xdr:col>7</xdr:col>
      <xdr:colOff>2542</xdr:colOff>
      <xdr:row>569</xdr:row>
      <xdr:rowOff>0</xdr:rowOff>
    </xdr:from>
    <xdr:to>
      <xdr:col>14</xdr:col>
      <xdr:colOff>0</xdr:colOff>
      <xdr:row>569</xdr:row>
      <xdr:rowOff>0</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700-000013000000}"/>
                </a:ext>
              </a:extLst>
            </xdr:cNvPr>
            <xdr:cNvSpPr txBox="1"/>
          </xdr:nvSpPr>
          <xdr:spPr>
            <a:xfrm>
              <a:off x="12470767" y="34890075"/>
              <a:ext cx="768413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𝑇h𝑒𝑟𝑚𝑠</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𝐻𝑒𝑎𝑡𝑆𝑎𝑣𝑖𝑛𝑔𝑠𝑃𝑒𝑟𝑈𝑛𝑖𝑡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19" name="TextBox 18">
              <a:extLst>
                <a:ext uri="{FF2B5EF4-FFF2-40B4-BE49-F238E27FC236}">
                  <a16:creationId xmlns:a16="http://schemas.microsoft.com/office/drawing/2014/main" id="{00000000-0008-0000-0700-000013000000}"/>
                </a:ext>
              </a:extLst>
            </xdr:cNvPr>
            <xdr:cNvSpPr txBox="1"/>
          </xdr:nvSpPr>
          <xdr:spPr>
            <a:xfrm>
              <a:off x="12385042" y="118513589"/>
              <a:ext cx="7467779" cy="4264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𝑇ℎ𝑒𝑟𝑚𝑠=𝐻𝑒𝑎𝑡𝑆𝑎𝑣𝑖𝑛𝑔𝑠𝑃𝑒𝑟𝑈𝑛𝑖𝑡∗𝐷𝑢𝑐𝑡_𝑙𝑒𝑛𝑔𝑡ℎ</a:t>
              </a:r>
              <a:endParaRPr lang="en-US" sz="1800"/>
            </a:p>
          </xdr:txBody>
        </xdr:sp>
      </mc:Fallback>
    </mc:AlternateContent>
    <xdr:clientData/>
  </xdr:twoCellAnchor>
  <xdr:twoCellAnchor>
    <xdr:from>
      <xdr:col>4</xdr:col>
      <xdr:colOff>247863</xdr:colOff>
      <xdr:row>569</xdr:row>
      <xdr:rowOff>0</xdr:rowOff>
    </xdr:from>
    <xdr:to>
      <xdr:col>5</xdr:col>
      <xdr:colOff>1279537</xdr:colOff>
      <xdr:row>569</xdr:row>
      <xdr:rowOff>0</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700-000014000000}"/>
                </a:ext>
              </a:extLst>
            </xdr:cNvPr>
            <xdr:cNvSpPr txBox="1"/>
          </xdr:nvSpPr>
          <xdr:spPr>
            <a:xfrm>
              <a:off x="3819738" y="34890075"/>
              <a:ext cx="662284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800" b="0" i="1">
                        <a:latin typeface="Cambria Math" panose="02040503050406030204" pitchFamily="18" charset="0"/>
                        <a:ea typeface="Cambria Math" panose="02040503050406030204" pitchFamily="18" charset="0"/>
                      </a:rPr>
                      <m:t> </m:t>
                    </m:r>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𝐻𝑒𝑎𝑡𝑖𝑛𝑔𝐸𝑙𝑒𝑐𝑡𝑟𝑖𝑐</m:t>
                        </m:r>
                      </m:sub>
                    </m:sSub>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𝐻𝑒𝑎𝑡𝑆𝑎𝑣𝑖𝑛𝑔𝑠𝑃𝑒𝑟𝑈𝑛𝑖𝑡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20" name="TextBox 19">
              <a:extLst>
                <a:ext uri="{FF2B5EF4-FFF2-40B4-BE49-F238E27FC236}">
                  <a16:creationId xmlns:a16="http://schemas.microsoft.com/office/drawing/2014/main" id="{00000000-0008-0000-0700-000014000000}"/>
                </a:ext>
              </a:extLst>
            </xdr:cNvPr>
            <xdr:cNvSpPr txBox="1"/>
          </xdr:nvSpPr>
          <xdr:spPr>
            <a:xfrm>
              <a:off x="3815112" y="118364757"/>
              <a:ext cx="6641354" cy="3983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800" b="0" i="0">
                  <a:latin typeface="Cambria Math" panose="02040503050406030204" pitchFamily="18" charset="0"/>
                  <a:ea typeface="Cambria Math" panose="02040503050406030204" pitchFamily="18" charset="0"/>
                </a:rPr>
                <a:t> </a:t>
              </a: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𝑘𝑊ℎ_𝐻𝑒𝑎𝑡𝑖𝑛𝑔𝐸𝑙𝑒𝑐𝑡𝑟𝑖𝑐=𝐻𝑒𝑎𝑡𝑆𝑎𝑣𝑖𝑛𝑔𝑠𝑃𝑒𝑟𝑈𝑛𝑖𝑡∗𝐷𝑢𝑐𝑡_𝑙𝑒𝑛𝑔𝑡ℎ</a:t>
              </a:r>
              <a:endParaRPr lang="en-US" sz="1800"/>
            </a:p>
          </xdr:txBody>
        </xdr:sp>
      </mc:Fallback>
    </mc:AlternateContent>
    <xdr:clientData/>
  </xdr:twoCellAnchor>
  <xdr:twoCellAnchor>
    <xdr:from>
      <xdr:col>4</xdr:col>
      <xdr:colOff>285751</xdr:colOff>
      <xdr:row>569</xdr:row>
      <xdr:rowOff>0</xdr:rowOff>
    </xdr:from>
    <xdr:to>
      <xdr:col>5</xdr:col>
      <xdr:colOff>588512</xdr:colOff>
      <xdr:row>569</xdr:row>
      <xdr:rowOff>0</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00000000-0008-0000-0700-000015000000}"/>
                </a:ext>
              </a:extLst>
            </xdr:cNvPr>
            <xdr:cNvSpPr txBox="1"/>
          </xdr:nvSpPr>
          <xdr:spPr>
            <a:xfrm>
              <a:off x="3857626" y="34890075"/>
              <a:ext cx="589393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𝐶𝑜𝑜𝑙𝑖𝑛𝑔</m:t>
                        </m:r>
                      </m:sub>
                    </m:sSub>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𝐶𝑜𝑜𝑙𝑆𝑎𝑣𝑖𝑛𝑔𝑠𝑃𝑒𝑟𝑈𝑛𝑖𝑡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21" name="TextBox 20">
              <a:extLst>
                <a:ext uri="{FF2B5EF4-FFF2-40B4-BE49-F238E27FC236}">
                  <a16:creationId xmlns:a16="http://schemas.microsoft.com/office/drawing/2014/main" id="{00000000-0008-0000-0700-000015000000}"/>
                </a:ext>
              </a:extLst>
            </xdr:cNvPr>
            <xdr:cNvSpPr txBox="1"/>
          </xdr:nvSpPr>
          <xdr:spPr>
            <a:xfrm>
              <a:off x="3856810" y="117860505"/>
              <a:ext cx="5893391" cy="3757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𝑘𝑊ℎ_𝐶𝑜𝑜𝑙𝑖𝑛𝑔=𝐶𝑜𝑜𝑙𝑆𝑎𝑣𝑖𝑛𝑔𝑠𝑃𝑒𝑟𝑈𝑛𝑖𝑡∗𝐷𝑢𝑐𝑡_𝑙𝑒𝑛𝑔𝑡ℎ</a:t>
              </a:r>
              <a:endParaRPr lang="en-US" sz="1800"/>
            </a:p>
          </xdr:txBody>
        </xdr:sp>
      </mc:Fallback>
    </mc:AlternateContent>
    <xdr:clientData/>
  </xdr:twoCellAnchor>
  <xdr:twoCellAnchor>
    <xdr:from>
      <xdr:col>4</xdr:col>
      <xdr:colOff>511084</xdr:colOff>
      <xdr:row>617</xdr:row>
      <xdr:rowOff>0</xdr:rowOff>
    </xdr:from>
    <xdr:to>
      <xdr:col>16</xdr:col>
      <xdr:colOff>0</xdr:colOff>
      <xdr:row>617</xdr:row>
      <xdr:rowOff>0</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00000000-0008-0000-0700-000017000000}"/>
                </a:ext>
              </a:extLst>
            </xdr:cNvPr>
            <xdr:cNvSpPr txBox="1"/>
          </xdr:nvSpPr>
          <xdr:spPr>
            <a:xfrm>
              <a:off x="4082959" y="38690550"/>
              <a:ext cx="177578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𝑀𝑜𝑑𝑒</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1−% </m:t>
                        </m:r>
                        <m:r>
                          <a:rPr lang="en-US" sz="1400" b="0" i="1">
                            <a:solidFill>
                              <a:sysClr val="windowText" lastClr="000000"/>
                            </a:solidFill>
                            <a:latin typeface="Cambria Math" panose="02040503050406030204" pitchFamily="18" charset="0"/>
                            <a:ea typeface="Cambria Math" panose="02040503050406030204" pitchFamily="18" charset="0"/>
                          </a:rPr>
                          <m:t>𝑤𝑖𝑡h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𝑛𝑒𝑤</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𝐴𝑆𝐻𝑃</m:t>
                        </m:r>
                      </m:e>
                    </m:d>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400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𝑦𝑟</m:t>
                            </m:r>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m:t>
                                </m:r>
                              </m:sub>
                            </m:sSub>
                          </m:num>
                          <m:den>
                            <m:r>
                              <a:rPr lang="en-US" sz="1400" b="0" i="1">
                                <a:solidFill>
                                  <a:sysClr val="windowText" lastClr="000000"/>
                                </a:solidFill>
                                <a:latin typeface="Cambria Math" panose="02040503050406030204" pitchFamily="18" charset="0"/>
                                <a:ea typeface="Cambria Math" panose="02040503050406030204" pitchFamily="18" charset="0"/>
                              </a:rPr>
                              <m:t>𝑊𝐼</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m:t>
                                </m:r>
                              </m:sub>
                            </m:sSub>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3" name="TextBox 22">
              <a:extLst>
                <a:ext uri="{FF2B5EF4-FFF2-40B4-BE49-F238E27FC236}">
                  <a16:creationId xmlns:a16="http://schemas.microsoft.com/office/drawing/2014/main" id="{00000000-0008-0000-0700-000017000000}"/>
                </a:ext>
              </a:extLst>
            </xdr:cNvPr>
            <xdr:cNvSpPr txBox="1"/>
          </xdr:nvSpPr>
          <xdr:spPr>
            <a:xfrm>
              <a:off x="4084048" y="121329450"/>
              <a:ext cx="17456059" cy="5230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𝑘𝑊ℎ_(𝐻𝑒𝑎𝑡𝑖𝑛𝑔 𝑀𝑜𝑑𝑒)=(1−% 𝑤𝑖𝑡ℎ 𝑛𝑒𝑤 𝐴𝑆𝐻𝑃)∗(400 𝑘𝑊ℎ/𝑦𝑟∗(𝐸𝐹𝐿𝐻_𝐻𝑒𝑎𝑡𝑖𝑛𝑔)/(𝑊𝐼 𝐸𝐹𝐿𝐻_𝐻𝑒𝑎𝑡𝑖𝑛𝑔 ))∗𝐻𝐹∗𝐼𝑆𝑅</a:t>
              </a:r>
              <a:endParaRPr lang="en-US" sz="1400">
                <a:solidFill>
                  <a:sysClr val="windowText" lastClr="000000"/>
                </a:solidFill>
              </a:endParaRPr>
            </a:p>
          </xdr:txBody>
        </xdr:sp>
      </mc:Fallback>
    </mc:AlternateContent>
    <xdr:clientData/>
  </xdr:twoCellAnchor>
  <xdr:twoCellAnchor>
    <xdr:from>
      <xdr:col>4</xdr:col>
      <xdr:colOff>499100</xdr:colOff>
      <xdr:row>617</xdr:row>
      <xdr:rowOff>0</xdr:rowOff>
    </xdr:from>
    <xdr:to>
      <xdr:col>15</xdr:col>
      <xdr:colOff>779415</xdr:colOff>
      <xdr:row>617</xdr:row>
      <xdr:rowOff>0</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0000000-0008-0000-0700-000018000000}"/>
                </a:ext>
              </a:extLst>
            </xdr:cNvPr>
            <xdr:cNvSpPr txBox="1"/>
          </xdr:nvSpPr>
          <xdr:spPr>
            <a:xfrm>
              <a:off x="4070975" y="38690550"/>
              <a:ext cx="1761581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𝐶𝑜𝑜𝑙𝑖𝑛𝑔</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𝑀𝑜𝑑𝑒</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1−% </m:t>
                        </m:r>
                        <m:r>
                          <a:rPr lang="en-US" sz="1400" b="0" i="1">
                            <a:solidFill>
                              <a:sysClr val="windowText" lastClr="000000"/>
                            </a:solidFill>
                            <a:latin typeface="Cambria Math" panose="02040503050406030204" pitchFamily="18" charset="0"/>
                            <a:ea typeface="Cambria Math" panose="02040503050406030204" pitchFamily="18" charset="0"/>
                          </a:rPr>
                          <m:t>𝑤𝑖𝑡h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𝑁𝑒𝑤</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𝐶𝑒𝑛𝑡𝑟𝑎𝑙</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𝐶𝑜𝑜𝑙𝑖𝑛𝑔</m:t>
                        </m:r>
                      </m:e>
                    </m:d>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70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𝑦𝑟</m:t>
                            </m:r>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num>
                          <m:den>
                            <m:r>
                              <a:rPr lang="en-US" sz="1400" b="0" i="1">
                                <a:solidFill>
                                  <a:sysClr val="windowText" lastClr="000000"/>
                                </a:solidFill>
                                <a:latin typeface="Cambria Math" panose="02040503050406030204" pitchFamily="18" charset="0"/>
                                <a:ea typeface="Cambria Math" panose="02040503050406030204" pitchFamily="18" charset="0"/>
                              </a:rPr>
                              <m:t>𝑊𝐼</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4" name="TextBox 23">
              <a:extLst>
                <a:ext uri="{FF2B5EF4-FFF2-40B4-BE49-F238E27FC236}">
                  <a16:creationId xmlns:a16="http://schemas.microsoft.com/office/drawing/2014/main" id="{00000000-0008-0000-0700-000018000000}"/>
                </a:ext>
              </a:extLst>
            </xdr:cNvPr>
            <xdr:cNvSpPr txBox="1"/>
          </xdr:nvSpPr>
          <xdr:spPr>
            <a:xfrm>
              <a:off x="4077779" y="121916552"/>
              <a:ext cx="17302850" cy="5588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𝑘𝑊ℎ_(𝐶𝑜𝑜𝑙𝑖𝑛𝑔 𝑀𝑜𝑑𝑒)=(1−% 𝑤𝑖𝑡ℎ 𝑁𝑒𝑤 𝐶𝑒𝑛𝑡𝑟𝑎𝑙 𝐶𝑜𝑜𝑙𝑖𝑛𝑔)∗(70 𝑘𝑊ℎ/𝑦𝑟∗(𝐸𝐹𝐿𝐻_𝑐𝑜𝑜𝑙𝑖𝑛𝑔)/(𝑊𝐼 𝐸𝐹𝐿𝐻_𝑐𝑜𝑜𝑙𝑖𝑛𝑔 ))∗𝐻𝐹∗𝐼𝑆𝑅</a:t>
              </a:r>
              <a:endParaRPr lang="en-US" sz="1400">
                <a:solidFill>
                  <a:sysClr val="windowText" lastClr="000000"/>
                </a:solidFill>
              </a:endParaRPr>
            </a:p>
          </xdr:txBody>
        </xdr:sp>
      </mc:Fallback>
    </mc:AlternateContent>
    <xdr:clientData/>
  </xdr:twoCellAnchor>
  <xdr:twoCellAnchor>
    <xdr:from>
      <xdr:col>4</xdr:col>
      <xdr:colOff>511085</xdr:colOff>
      <xdr:row>617</xdr:row>
      <xdr:rowOff>0</xdr:rowOff>
    </xdr:from>
    <xdr:to>
      <xdr:col>16</xdr:col>
      <xdr:colOff>1</xdr:colOff>
      <xdr:row>617</xdr:row>
      <xdr:rowOff>0</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00000000-0008-0000-0700-000019000000}"/>
                </a:ext>
              </a:extLst>
            </xdr:cNvPr>
            <xdr:cNvSpPr txBox="1"/>
          </xdr:nvSpPr>
          <xdr:spPr>
            <a:xfrm>
              <a:off x="4082960" y="38690550"/>
              <a:ext cx="177578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𝐴𝑢𝑡𝑜</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𝐶𝑖𝑟𝑐𝑢𝑙𝑎𝑡𝑖𝑜𝑛</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25</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𝑦𝑟</m:t>
                                </m:r>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num>
                              <m:den>
                                <m:r>
                                  <a:rPr lang="en-US" sz="1400" b="0" i="1">
                                    <a:solidFill>
                                      <a:sysClr val="windowText" lastClr="000000"/>
                                    </a:solidFill>
                                    <a:latin typeface="Cambria Math" panose="02040503050406030204" pitchFamily="18" charset="0"/>
                                    <a:ea typeface="Cambria Math" panose="02040503050406030204" pitchFamily="18" charset="0"/>
                                  </a:rPr>
                                  <m:t>𝑊𝐼</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den>
                            </m:f>
                          </m:e>
                        </m:d>
                        <m:r>
                          <a:rPr lang="en-US" sz="1400" b="0" i="1">
                            <a:solidFill>
                              <a:sysClr val="windowText" lastClr="000000"/>
                            </a:solidFill>
                            <a:latin typeface="Cambria Math" panose="02040503050406030204" pitchFamily="18" charset="0"/>
                            <a:ea typeface="Cambria Math" panose="02040503050406030204" pitchFamily="18" charset="0"/>
                          </a:rPr>
                          <m:t>+2960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𝑦𝑒𝑎𝑟</m:t>
                            </m:r>
                          </m:den>
                        </m:f>
                        <m:r>
                          <a:rPr lang="en-US" sz="1400" b="0" i="1">
                            <a:solidFill>
                              <a:sysClr val="windowText" lastClr="000000"/>
                            </a:solidFill>
                            <a:latin typeface="Cambria Math" panose="02040503050406030204" pitchFamily="18" charset="0"/>
                            <a:ea typeface="Cambria Math" panose="02040503050406030204" pitchFamily="18" charset="0"/>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𝑅𝑇</m:t>
                        </m:r>
                        <m:r>
                          <a:rPr lang="en-US" sz="1400" b="0" i="1">
                            <a:solidFill>
                              <a:sysClr val="windowText" lastClr="000000"/>
                            </a:solidFill>
                            <a:latin typeface="Cambria Math" panose="02040503050406030204" pitchFamily="18" charset="0"/>
                            <a:ea typeface="Cambria Math" panose="02040503050406030204" pitchFamily="18" charset="0"/>
                          </a:rPr>
                          <m:t>−30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𝑦𝑒𝑎𝑟</m:t>
                            </m:r>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5" name="TextBox 24">
              <a:extLst>
                <a:ext uri="{FF2B5EF4-FFF2-40B4-BE49-F238E27FC236}">
                  <a16:creationId xmlns:a16="http://schemas.microsoft.com/office/drawing/2014/main" id="{00000000-0008-0000-0700-000019000000}"/>
                </a:ext>
              </a:extLst>
            </xdr:cNvPr>
            <xdr:cNvSpPr txBox="1"/>
          </xdr:nvSpPr>
          <xdr:spPr>
            <a:xfrm>
              <a:off x="4084049" y="123162784"/>
              <a:ext cx="17456059" cy="6399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𝑘𝑊ℎ_(𝐴𝑢𝑡𝑜 𝐶𝑖𝑟𝑐𝑢𝑙𝑎𝑡𝑖𝑜𝑛)=((25 𝑘𝑊ℎ/𝑦𝑟∗(𝐸𝐹𝐿𝐻_𝑐𝑜𝑜𝑙𝑖𝑛𝑔)/(𝑊𝐼 𝐸𝐹𝐿𝐻_𝑐𝑜𝑜𝑙𝑖𝑛𝑔 ))+2960 𝑘𝑊ℎ/𝑦𝑒𝑎𝑟∗</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𝑅𝑇</a:t>
              </a:r>
              <a:r>
                <a:rPr lang="en-US" sz="1400" b="0" i="0">
                  <a:solidFill>
                    <a:sysClr val="windowText" lastClr="000000"/>
                  </a:solidFill>
                  <a:latin typeface="Cambria Math" panose="02040503050406030204" pitchFamily="18" charset="0"/>
                  <a:ea typeface="Cambria Math" panose="02040503050406030204" pitchFamily="18" charset="0"/>
                </a:rPr>
                <a:t>−30 𝑘𝑊ℎ/𝑦𝑒𝑎𝑟)∗𝐻𝐹∗𝐼𝑆𝑅</a:t>
              </a:r>
              <a:endParaRPr lang="en-US" sz="1400">
                <a:solidFill>
                  <a:sysClr val="windowText" lastClr="000000"/>
                </a:solidFill>
              </a:endParaRPr>
            </a:p>
          </xdr:txBody>
        </xdr:sp>
      </mc:Fallback>
    </mc:AlternateContent>
    <xdr:clientData/>
  </xdr:twoCellAnchor>
  <xdr:twoCellAnchor>
    <xdr:from>
      <xdr:col>4</xdr:col>
      <xdr:colOff>510870</xdr:colOff>
      <xdr:row>617</xdr:row>
      <xdr:rowOff>0</xdr:rowOff>
    </xdr:from>
    <xdr:to>
      <xdr:col>16</xdr:col>
      <xdr:colOff>1632</xdr:colOff>
      <xdr:row>617</xdr:row>
      <xdr:rowOff>0</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0000000-0008-0000-0700-00001A000000}"/>
                </a:ext>
              </a:extLst>
            </xdr:cNvPr>
            <xdr:cNvSpPr txBox="1"/>
          </xdr:nvSpPr>
          <xdr:spPr>
            <a:xfrm>
              <a:off x="4082745" y="38690550"/>
              <a:ext cx="1775971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𝐶𝑜𝑛𝑡𝑖𝑛𝑢𝑜𝑢𝑠</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𝐶𝑖𝑟𝑐𝑢𝑙𝑎𝑡𝑖𝑜𝑛</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25</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𝑦𝑟</m:t>
                                </m:r>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num>
                              <m:den>
                                <m:r>
                                  <a:rPr lang="en-US" sz="1400" b="0" i="1">
                                    <a:solidFill>
                                      <a:sysClr val="windowText" lastClr="000000"/>
                                    </a:solidFill>
                                    <a:latin typeface="Cambria Math" panose="02040503050406030204" pitchFamily="18" charset="0"/>
                                    <a:ea typeface="Cambria Math" panose="02040503050406030204" pitchFamily="18" charset="0"/>
                                  </a:rPr>
                                  <m:t>𝑊𝐼</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den>
                            </m:f>
                          </m:e>
                        </m:d>
                        <m:r>
                          <a:rPr lang="en-US" sz="1400" b="0" i="1">
                            <a:solidFill>
                              <a:sysClr val="windowText" lastClr="000000"/>
                            </a:solidFill>
                            <a:latin typeface="Cambria Math" panose="02040503050406030204" pitchFamily="18" charset="0"/>
                            <a:ea typeface="Cambria Math" panose="02040503050406030204" pitchFamily="18" charset="0"/>
                          </a:rPr>
                          <m:t>+2960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𝑦𝑒𝑎𝑟</m:t>
                            </m:r>
                          </m:den>
                        </m:f>
                        <m:r>
                          <a:rPr lang="en-US" sz="1100" b="0" i="1">
                            <a:solidFill>
                              <a:sysClr val="windowText" lastClr="000000"/>
                            </a:solidFill>
                            <a:effectLst/>
                            <a:latin typeface="Cambria Math" panose="02040503050406030204" pitchFamily="18" charset="0"/>
                            <a:ea typeface="+mn-ea"/>
                            <a:cs typeface="+mn-cs"/>
                          </a:rPr>
                          <m:t>∗</m:t>
                        </m:r>
                        <m:r>
                          <a:rPr lang="en-US" sz="1100" b="0" i="1" baseline="0">
                            <a:solidFill>
                              <a:sysClr val="windowText" lastClr="000000"/>
                            </a:solidFill>
                            <a:effectLst/>
                            <a:latin typeface="Cambria Math" panose="02040503050406030204" pitchFamily="18" charset="0"/>
                            <a:ea typeface="+mn-ea"/>
                            <a:cs typeface="+mn-cs"/>
                          </a:rPr>
                          <m:t>𝑅𝑇</m:t>
                        </m:r>
                        <m:r>
                          <a:rPr lang="en-US" sz="1400" b="0" i="1">
                            <a:solidFill>
                              <a:sysClr val="windowText" lastClr="000000"/>
                            </a:solidFill>
                            <a:latin typeface="Cambria Math" panose="02040503050406030204" pitchFamily="18" charset="0"/>
                            <a:ea typeface="Cambria Math" panose="02040503050406030204" pitchFamily="18" charset="0"/>
                          </a:rPr>
                          <m:t>−30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𝑦𝑒𝑎𝑟</m:t>
                            </m:r>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6" name="TextBox 25">
              <a:extLst>
                <a:ext uri="{FF2B5EF4-FFF2-40B4-BE49-F238E27FC236}">
                  <a16:creationId xmlns:a16="http://schemas.microsoft.com/office/drawing/2014/main" id="{00000000-0008-0000-0700-00001A000000}"/>
                </a:ext>
              </a:extLst>
            </xdr:cNvPr>
            <xdr:cNvSpPr txBox="1"/>
          </xdr:nvSpPr>
          <xdr:spPr>
            <a:xfrm>
              <a:off x="4083834" y="122483881"/>
              <a:ext cx="17452462" cy="5600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𝑘𝑊ℎ_(𝐶𝑜𝑛𝑡𝑖𝑛𝑢𝑜𝑢𝑠 𝐶𝑖𝑟𝑐𝑢𝑙𝑎𝑡𝑖𝑜𝑛)=((25 𝑘𝑊ℎ/𝑦𝑟∗(𝐸𝐹𝐿𝐻_𝑐𝑜𝑜𝑙𝑖𝑛𝑔)/(𝑊𝐼 𝐸𝐹𝐿𝐻_𝑐𝑜𝑜𝑙𝑖𝑛𝑔 ))+2960 𝑘𝑊ℎ/𝑦𝑒𝑎𝑟</a:t>
              </a:r>
              <a:r>
                <a:rPr lang="en-US" sz="1100" b="0" i="0">
                  <a:solidFill>
                    <a:sysClr val="windowText" lastClr="000000"/>
                  </a:solidFill>
                  <a:effectLst/>
                  <a:latin typeface="Cambria Math" panose="02040503050406030204" pitchFamily="18" charset="0"/>
                  <a:ea typeface="+mn-ea"/>
                  <a:cs typeface="+mn-cs"/>
                </a:rPr>
                <a:t>∗</a:t>
              </a:r>
              <a:r>
                <a:rPr lang="en-US" sz="1100" b="0" i="0" baseline="0">
                  <a:solidFill>
                    <a:sysClr val="windowText" lastClr="000000"/>
                  </a:solidFill>
                  <a:effectLst/>
                  <a:latin typeface="Cambria Math" panose="02040503050406030204" pitchFamily="18" charset="0"/>
                  <a:ea typeface="+mn-ea"/>
                  <a:cs typeface="+mn-cs"/>
                </a:rPr>
                <a:t>𝑅𝑇</a:t>
              </a:r>
              <a:r>
                <a:rPr lang="en-US" sz="1400" b="0" i="0">
                  <a:solidFill>
                    <a:sysClr val="windowText" lastClr="000000"/>
                  </a:solidFill>
                  <a:latin typeface="Cambria Math" panose="02040503050406030204" pitchFamily="18" charset="0"/>
                  <a:ea typeface="Cambria Math" panose="02040503050406030204" pitchFamily="18" charset="0"/>
                </a:rPr>
                <a:t>−30 𝑘𝑊ℎ/𝑦𝑒𝑎𝑟)∗𝐻𝐹∗𝐼𝑆𝑅</a:t>
              </a:r>
              <a:endParaRPr lang="en-US" sz="1400">
                <a:solidFill>
                  <a:sysClr val="windowText" lastClr="000000"/>
                </a:solidFill>
              </a:endParaRPr>
            </a:p>
          </xdr:txBody>
        </xdr:sp>
      </mc:Fallback>
    </mc:AlternateContent>
    <xdr:clientData/>
  </xdr:twoCellAnchor>
  <xdr:twoCellAnchor>
    <xdr:from>
      <xdr:col>4</xdr:col>
      <xdr:colOff>136070</xdr:colOff>
      <xdr:row>617</xdr:row>
      <xdr:rowOff>0</xdr:rowOff>
    </xdr:from>
    <xdr:to>
      <xdr:col>16</xdr:col>
      <xdr:colOff>1632</xdr:colOff>
      <xdr:row>617</xdr:row>
      <xdr:rowOff>0</xdr:rowOff>
    </xdr:to>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00000000-0008-0000-0700-00001C000000}"/>
                </a:ext>
              </a:extLst>
            </xdr:cNvPr>
            <xdr:cNvSpPr txBox="1"/>
          </xdr:nvSpPr>
          <xdr:spPr>
            <a:xfrm>
              <a:off x="3707945" y="38690550"/>
              <a:ext cx="1813451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8" name="TextBox 27">
              <a:extLst>
                <a:ext uri="{FF2B5EF4-FFF2-40B4-BE49-F238E27FC236}">
                  <a16:creationId xmlns:a16="http://schemas.microsoft.com/office/drawing/2014/main" id="{00000000-0008-0000-0700-00001C000000}"/>
                </a:ext>
              </a:extLst>
            </xdr:cNvPr>
            <xdr:cNvSpPr txBox="1"/>
          </xdr:nvSpPr>
          <xdr:spPr>
            <a:xfrm>
              <a:off x="3714749" y="123836702"/>
              <a:ext cx="17817737" cy="2740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4</xdr:col>
      <xdr:colOff>-1</xdr:colOff>
      <xdr:row>21</xdr:row>
      <xdr:rowOff>97844</xdr:rowOff>
    </xdr:from>
    <xdr:to>
      <xdr:col>11</xdr:col>
      <xdr:colOff>1057545</xdr:colOff>
      <xdr:row>25</xdr:row>
      <xdr:rowOff>95251</xdr:rowOff>
    </xdr:to>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00000000-0008-0000-0700-00001D000000}"/>
                </a:ext>
              </a:extLst>
            </xdr:cNvPr>
            <xdr:cNvSpPr txBox="1"/>
          </xdr:nvSpPr>
          <xdr:spPr>
            <a:xfrm>
              <a:off x="3578678" y="4139165"/>
              <a:ext cx="14515010" cy="7185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n-US" sz="1400" i="1">
                        <a:solidFill>
                          <a:sysClr val="windowText" lastClr="000000"/>
                        </a:solidFill>
                        <a:effectLst/>
                        <a:latin typeface="Cambria Math" panose="02040503050406030204" pitchFamily="18" charset="0"/>
                        <a:ea typeface="+mn-ea"/>
                        <a:cs typeface="+mn-cs"/>
                      </a:rPr>
                      <m:t>Δ</m:t>
                    </m:r>
                    <m:r>
                      <a:rPr lang="en-US" sz="1400" i="1">
                        <a:solidFill>
                          <a:sysClr val="windowText" lastClr="000000"/>
                        </a:solidFill>
                        <a:effectLst/>
                        <a:latin typeface="Cambria Math" panose="02040503050406030204" pitchFamily="18" charset="0"/>
                        <a:ea typeface="+mn-ea"/>
                        <a:cs typeface="+mn-cs"/>
                      </a:rPr>
                      <m:t>𝑘𝑊</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h</m:t>
                        </m:r>
                      </m:e>
                      <m:sub>
                        <m:r>
                          <a:rPr lang="en-US" sz="1400" b="0" i="1">
                            <a:solidFill>
                              <a:sysClr val="windowText" lastClr="000000"/>
                            </a:solidFill>
                            <a:effectLst/>
                            <a:latin typeface="Cambria Math" panose="02040503050406030204" pitchFamily="18" charset="0"/>
                            <a:ea typeface="+mn-ea"/>
                            <a:cs typeface="+mn-cs"/>
                          </a:rPr>
                          <m:t>𝐶𝑒𝑛𝑡𝑟𝑎𝑙</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𝐴𝐶</m:t>
                        </m:r>
                      </m:sub>
                    </m:sSub>
                    <m:r>
                      <a:rPr lang="en-US" sz="1400" i="1">
                        <a:solidFill>
                          <a:sysClr val="windowText" lastClr="000000"/>
                        </a:solidFill>
                        <a:effectLst/>
                        <a:latin typeface="Cambria Math" panose="02040503050406030204" pitchFamily="18" charset="0"/>
                        <a:ea typeface="+mn-ea"/>
                        <a:cs typeface="+mn-cs"/>
                      </a:rPr>
                      <m:t> =</m:t>
                    </m:r>
                    <m:f>
                      <m:fPr>
                        <m:ctrlPr>
                          <a:rPr lang="en-US" sz="1400" i="1">
                            <a:solidFill>
                              <a:sysClr val="windowText" lastClr="000000"/>
                            </a:solidFill>
                            <a:effectLst/>
                            <a:latin typeface="Cambria Math" panose="02040503050406030204" pitchFamily="18" charset="0"/>
                            <a:ea typeface="+mn-ea"/>
                            <a:cs typeface="+mn-cs"/>
                          </a:rPr>
                        </m:ctrlPr>
                      </m:fPr>
                      <m:num>
                        <m:d>
                          <m:dPr>
                            <m:ctrlPr>
                              <a:rPr lang="en-US" sz="1400" i="1">
                                <a:solidFill>
                                  <a:sysClr val="windowText" lastClr="000000"/>
                                </a:solidFill>
                                <a:effectLst/>
                                <a:latin typeface="Cambria Math" panose="02040503050406030204" pitchFamily="18" charset="0"/>
                                <a:ea typeface="+mn-ea"/>
                                <a:cs typeface="+mn-cs"/>
                              </a:rPr>
                            </m:ctrlPr>
                          </m:dPr>
                          <m:e>
                            <m:r>
                              <a:rPr lang="en-US" sz="1400" i="1">
                                <a:solidFill>
                                  <a:sysClr val="windowText" lastClr="000000"/>
                                </a:solidFill>
                                <a:effectLst/>
                                <a:latin typeface="Cambria Math" panose="02040503050406030204" pitchFamily="18" charset="0"/>
                                <a:ea typeface="+mn-ea"/>
                                <a:cs typeface="+mn-cs"/>
                              </a:rPr>
                              <m:t>𝐸𝐹𝐿</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𝐻</m:t>
                                </m:r>
                              </m:e>
                              <m:sub>
                                <m:r>
                                  <a:rPr lang="en-US" sz="1400" i="1">
                                    <a:solidFill>
                                      <a:sysClr val="windowText" lastClr="000000"/>
                                    </a:solidFill>
                                    <a:effectLst/>
                                    <a:latin typeface="Cambria Math" panose="02040503050406030204" pitchFamily="18" charset="0"/>
                                    <a:ea typeface="+mn-ea"/>
                                    <a:cs typeface="+mn-cs"/>
                                  </a:rPr>
                                  <m:t>𝑐𝑜𝑜𝑙</m:t>
                                </m:r>
                              </m:sub>
                            </m:sSub>
                            <m:r>
                              <a:rPr lang="en-US" sz="1400" i="1">
                                <a:solidFill>
                                  <a:sysClr val="windowText" lastClr="000000"/>
                                </a:solidFill>
                                <a:effectLst/>
                                <a:latin typeface="Cambria Math" panose="02040503050406030204" pitchFamily="18" charset="0"/>
                                <a:ea typeface="+mn-ea"/>
                                <a:cs typeface="+mn-cs"/>
                              </a:rPr>
                              <m:t> ∗ </m:t>
                            </m:r>
                            <m:r>
                              <a:rPr lang="en-US" sz="1400" i="1">
                                <a:solidFill>
                                  <a:sysClr val="windowText" lastClr="000000"/>
                                </a:solidFill>
                                <a:effectLst/>
                                <a:latin typeface="Cambria Math" panose="02040503050406030204" pitchFamily="18" charset="0"/>
                                <a:ea typeface="+mn-ea"/>
                                <a:cs typeface="+mn-cs"/>
                              </a:rPr>
                              <m:t>𝐶𝑎𝑝𝑎𝑐𝑖𝑡</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𝑦</m:t>
                                </m:r>
                              </m:e>
                              <m:sub>
                                <m:r>
                                  <a:rPr lang="en-US" sz="1400" i="1">
                                    <a:solidFill>
                                      <a:sysClr val="windowText" lastClr="000000"/>
                                    </a:solidFill>
                                    <a:effectLst/>
                                    <a:latin typeface="Cambria Math" panose="02040503050406030204" pitchFamily="18" charset="0"/>
                                    <a:ea typeface="+mn-ea"/>
                                    <a:cs typeface="+mn-cs"/>
                                  </a:rPr>
                                  <m:t>𝑐𝑜𝑜𝑙</m:t>
                                </m:r>
                              </m:sub>
                            </m:sSub>
                            <m:r>
                              <a:rPr lang="en-US" sz="1400" i="1">
                                <a:solidFill>
                                  <a:sysClr val="windowText" lastClr="000000"/>
                                </a:solidFill>
                                <a:effectLst/>
                                <a:latin typeface="Cambria Math" panose="02040503050406030204" pitchFamily="18" charset="0"/>
                                <a:ea typeface="+mn-ea"/>
                                <a:cs typeface="+mn-cs"/>
                              </a:rPr>
                              <m:t> ∗ </m:t>
                            </m:r>
                            <m:d>
                              <m:dPr>
                                <m:ctrlPr>
                                  <a:rPr lang="en-US" sz="1400" i="1">
                                    <a:solidFill>
                                      <a:sysClr val="windowText" lastClr="000000"/>
                                    </a:solidFill>
                                    <a:effectLst/>
                                    <a:latin typeface="Cambria Math" panose="02040503050406030204" pitchFamily="18" charset="0"/>
                                    <a:ea typeface="+mn-ea"/>
                                    <a:cs typeface="+mn-cs"/>
                                  </a:rPr>
                                </m:ctrlPr>
                              </m:dPr>
                              <m:e>
                                <m:f>
                                  <m:fPr>
                                    <m:ctrlPr>
                                      <a:rPr lang="en-US" sz="1400" i="1">
                                        <a:solidFill>
                                          <a:sysClr val="windowText" lastClr="000000"/>
                                        </a:solidFill>
                                        <a:effectLst/>
                                        <a:latin typeface="Cambria Math" panose="02040503050406030204" pitchFamily="18" charset="0"/>
                                        <a:ea typeface="+mn-ea"/>
                                        <a:cs typeface="+mn-cs"/>
                                      </a:rPr>
                                    </m:ctrlPr>
                                  </m:fPr>
                                  <m:num>
                                    <m:r>
                                      <a:rPr lang="en-US" sz="1400" i="1">
                                        <a:solidFill>
                                          <a:sysClr val="windowText" lastClr="000000"/>
                                        </a:solidFill>
                                        <a:effectLst/>
                                        <a:latin typeface="Cambria Math" panose="02040503050406030204" pitchFamily="18" charset="0"/>
                                        <a:ea typeface="+mn-ea"/>
                                        <a:cs typeface="+mn-cs"/>
                                      </a:rPr>
                                      <m:t>1</m:t>
                                    </m:r>
                                  </m:num>
                                  <m:den>
                                    <m:r>
                                      <a:rPr lang="en-US" sz="1400" i="1">
                                        <a:solidFill>
                                          <a:sysClr val="windowText" lastClr="000000"/>
                                        </a:solidFill>
                                        <a:effectLst/>
                                        <a:latin typeface="Cambria Math" panose="02040503050406030204" pitchFamily="18" charset="0"/>
                                        <a:ea typeface="+mn-ea"/>
                                        <a:cs typeface="+mn-cs"/>
                                      </a:rPr>
                                      <m:t>𝑆𝐸𝐸</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𝑅</m:t>
                                        </m:r>
                                      </m:e>
                                      <m:sub>
                                        <m:r>
                                          <a:rPr lang="en-US" sz="1400" b="0" i="1">
                                            <a:solidFill>
                                              <a:sysClr val="windowText" lastClr="000000"/>
                                            </a:solidFill>
                                            <a:effectLst/>
                                            <a:latin typeface="Cambria Math" panose="02040503050406030204" pitchFamily="18" charset="0"/>
                                            <a:ea typeface="+mn-ea"/>
                                            <a:cs typeface="+mn-cs"/>
                                          </a:rPr>
                                          <m:t>𝑡</m:t>
                                        </m:r>
                                        <m:r>
                                          <a:rPr lang="en-US" sz="1400" i="1">
                                            <a:solidFill>
                                              <a:sysClr val="windowText" lastClr="000000"/>
                                            </a:solidFill>
                                            <a:effectLst/>
                                            <a:latin typeface="Cambria Math" panose="02040503050406030204" pitchFamily="18" charset="0"/>
                                            <a:ea typeface="+mn-ea"/>
                                            <a:cs typeface="+mn-cs"/>
                                          </a:rPr>
                                          <m:t>𝑒𝑠𝑡</m:t>
                                        </m:r>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𝑖𝑛</m:t>
                                        </m:r>
                                      </m:sub>
                                    </m:sSub>
                                  </m:den>
                                </m:f>
                                <m:r>
                                  <a:rPr lang="en-US" sz="1400" i="1">
                                    <a:solidFill>
                                      <a:sysClr val="windowText" lastClr="000000"/>
                                    </a:solidFill>
                                    <a:effectLst/>
                                    <a:latin typeface="Cambria Math" panose="02040503050406030204" pitchFamily="18" charset="0"/>
                                    <a:ea typeface="+mn-ea"/>
                                    <a:cs typeface="+mn-cs"/>
                                  </a:rPr>
                                  <m:t>−</m:t>
                                </m:r>
                                <m:f>
                                  <m:fPr>
                                    <m:ctrlPr>
                                      <a:rPr lang="en-US" sz="1400" i="1">
                                        <a:solidFill>
                                          <a:sysClr val="windowText" lastClr="000000"/>
                                        </a:solidFill>
                                        <a:effectLst/>
                                        <a:latin typeface="Cambria Math" panose="02040503050406030204" pitchFamily="18" charset="0"/>
                                        <a:ea typeface="+mn-ea"/>
                                        <a:cs typeface="+mn-cs"/>
                                      </a:rPr>
                                    </m:ctrlPr>
                                  </m:fPr>
                                  <m:num>
                                    <m:r>
                                      <a:rPr lang="en-US" sz="1400" i="1">
                                        <a:solidFill>
                                          <a:sysClr val="windowText" lastClr="000000"/>
                                        </a:solidFill>
                                        <a:effectLst/>
                                        <a:latin typeface="Cambria Math" panose="02040503050406030204" pitchFamily="18" charset="0"/>
                                        <a:ea typeface="+mn-ea"/>
                                        <a:cs typeface="+mn-cs"/>
                                      </a:rPr>
                                      <m:t>1</m:t>
                                    </m:r>
                                  </m:num>
                                  <m:den>
                                    <m:r>
                                      <a:rPr lang="en-US" sz="1400" i="1">
                                        <a:solidFill>
                                          <a:sysClr val="windowText" lastClr="000000"/>
                                        </a:solidFill>
                                        <a:effectLst/>
                                        <a:latin typeface="Cambria Math" panose="02040503050406030204" pitchFamily="18" charset="0"/>
                                        <a:ea typeface="+mn-ea"/>
                                        <a:cs typeface="+mn-cs"/>
                                      </a:rPr>
                                      <m:t>𝑆𝐸𝐸</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𝑅</m:t>
                                        </m:r>
                                      </m:e>
                                      <m:sub>
                                        <m:r>
                                          <a:rPr lang="en-US" sz="1400" b="0" i="1">
                                            <a:solidFill>
                                              <a:sysClr val="windowText" lastClr="000000"/>
                                            </a:solidFill>
                                            <a:effectLst/>
                                            <a:latin typeface="Cambria Math" panose="02040503050406030204" pitchFamily="18" charset="0"/>
                                            <a:ea typeface="+mn-ea"/>
                                            <a:cs typeface="+mn-cs"/>
                                          </a:rPr>
                                          <m:t>𝑡𝑒𝑠𝑡</m:t>
                                        </m:r>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𝑜𝑢𝑡</m:t>
                                        </m:r>
                                      </m:sub>
                                    </m:sSub>
                                  </m:den>
                                </m:f>
                              </m:e>
                            </m:d>
                          </m:e>
                        </m:d>
                      </m:num>
                      <m:den>
                        <m:r>
                          <a:rPr lang="en-US" sz="1400" i="1">
                            <a:solidFill>
                              <a:sysClr val="windowText" lastClr="000000"/>
                            </a:solidFill>
                            <a:effectLst/>
                            <a:latin typeface="Cambria Math" panose="02040503050406030204" pitchFamily="18" charset="0"/>
                            <a:ea typeface="+mn-ea"/>
                            <a:cs typeface="+mn-cs"/>
                          </a:rPr>
                          <m:t>1</m:t>
                        </m:r>
                        <m:r>
                          <a:rPr lang="en-US" sz="1400" b="0" i="1">
                            <a:solidFill>
                              <a:sysClr val="windowText" lastClr="000000"/>
                            </a:solidFill>
                            <a:effectLst/>
                            <a:latin typeface="Cambria Math" panose="02040503050406030204" pitchFamily="18" charset="0"/>
                            <a:ea typeface="+mn-ea"/>
                            <a:cs typeface="+mn-cs"/>
                          </a:rPr>
                          <m:t>,</m:t>
                        </m:r>
                        <m:r>
                          <a:rPr lang="en-US" sz="1400" i="1">
                            <a:solidFill>
                              <a:sysClr val="windowText" lastClr="000000"/>
                            </a:solidFill>
                            <a:effectLst/>
                            <a:latin typeface="Cambria Math" panose="02040503050406030204" pitchFamily="18" charset="0"/>
                            <a:ea typeface="+mn-ea"/>
                            <a:cs typeface="+mn-cs"/>
                          </a:rPr>
                          <m:t>000</m:t>
                        </m:r>
                      </m:den>
                    </m:f>
                  </m:oMath>
                </m:oMathPara>
              </a14:m>
              <a:endParaRPr lang="en-US" sz="1400">
                <a:solidFill>
                  <a:sysClr val="windowText" lastClr="000000"/>
                </a:solidFill>
                <a:effectLst/>
                <a:latin typeface="+mn-lt"/>
                <a:ea typeface="+mn-ea"/>
                <a:cs typeface="+mn-cs"/>
              </a:endParaRPr>
            </a:p>
          </xdr:txBody>
        </xdr:sp>
      </mc:Choice>
      <mc:Fallback xmlns="">
        <xdr:sp macro="" textlink="">
          <xdr:nvSpPr>
            <xdr:cNvPr id="29" name="TextBox 28">
              <a:extLst>
                <a:ext uri="{FF2B5EF4-FFF2-40B4-BE49-F238E27FC236}">
                  <a16:creationId xmlns:a16="http://schemas.microsoft.com/office/drawing/2014/main" id="{00000000-0008-0000-0700-00001D000000}"/>
                </a:ext>
              </a:extLst>
            </xdr:cNvPr>
            <xdr:cNvSpPr txBox="1"/>
          </xdr:nvSpPr>
          <xdr:spPr>
            <a:xfrm>
              <a:off x="3578678" y="4139165"/>
              <a:ext cx="14515010" cy="7185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ysClr val="windowText" lastClr="000000"/>
                  </a:solidFill>
                  <a:effectLst/>
                  <a:latin typeface="Cambria Math" panose="02040503050406030204" pitchFamily="18" charset="0"/>
                  <a:ea typeface="+mn-ea"/>
                  <a:cs typeface="+mn-cs"/>
                </a:rPr>
                <a:t>Δ𝑘𝑊ℎ</a:t>
              </a:r>
              <a:r>
                <a:rPr lang="en-US" sz="1400" b="0" i="0">
                  <a:solidFill>
                    <a:sysClr val="windowText" lastClr="000000"/>
                  </a:solidFill>
                  <a:effectLst/>
                  <a:latin typeface="Cambria Math" panose="02040503050406030204" pitchFamily="18" charset="0"/>
                  <a:ea typeface="+mn-ea"/>
                  <a:cs typeface="+mn-cs"/>
                </a:rPr>
                <a:t>_(𝐶𝑒𝑛𝑡𝑟𝑎𝑙 𝐴𝐶) </a:t>
              </a:r>
              <a:r>
                <a:rPr lang="en-US" sz="1400" i="0">
                  <a:solidFill>
                    <a:sysClr val="windowText" lastClr="000000"/>
                  </a:solidFill>
                  <a:effectLst/>
                  <a:latin typeface="Cambria Math" panose="02040503050406030204" pitchFamily="18" charset="0"/>
                  <a:ea typeface="+mn-ea"/>
                  <a:cs typeface="+mn-cs"/>
                </a:rPr>
                <a:t> =((𝐸𝐹𝐿𝐻</a:t>
              </a:r>
              <a:r>
                <a:rPr lang="en-US" sz="1400" b="0" i="0">
                  <a:solidFill>
                    <a:sysClr val="windowText" lastClr="000000"/>
                  </a:solidFill>
                  <a:effectLst/>
                  <a:latin typeface="Cambria Math" panose="02040503050406030204" pitchFamily="18" charset="0"/>
                  <a:ea typeface="+mn-ea"/>
                  <a:cs typeface="+mn-cs"/>
                </a:rPr>
                <a:t>_</a:t>
              </a:r>
              <a:r>
                <a:rPr lang="en-US" sz="1400" i="0">
                  <a:solidFill>
                    <a:sysClr val="windowText" lastClr="000000"/>
                  </a:solidFill>
                  <a:effectLst/>
                  <a:latin typeface="Cambria Math" panose="02040503050406030204" pitchFamily="18" charset="0"/>
                  <a:ea typeface="+mn-ea"/>
                  <a:cs typeface="+mn-cs"/>
                </a:rPr>
                <a:t>𝑐𝑜𝑜𝑙  ∗ 𝐶𝑎𝑝𝑎𝑐𝑖𝑡𝑦</a:t>
              </a:r>
              <a:r>
                <a:rPr lang="en-US" sz="1400" b="0" i="0">
                  <a:solidFill>
                    <a:sysClr val="windowText" lastClr="000000"/>
                  </a:solidFill>
                  <a:effectLst/>
                  <a:latin typeface="Cambria Math" panose="02040503050406030204" pitchFamily="18" charset="0"/>
                  <a:ea typeface="+mn-ea"/>
                  <a:cs typeface="+mn-cs"/>
                </a:rPr>
                <a:t>_</a:t>
              </a:r>
              <a:r>
                <a:rPr lang="en-US" sz="1400" i="0">
                  <a:solidFill>
                    <a:sysClr val="windowText" lastClr="000000"/>
                  </a:solidFill>
                  <a:effectLst/>
                  <a:latin typeface="Cambria Math" panose="02040503050406030204" pitchFamily="18" charset="0"/>
                  <a:ea typeface="+mn-ea"/>
                  <a:cs typeface="+mn-cs"/>
                </a:rPr>
                <a:t>𝑐𝑜𝑜𝑙  ∗ (1/(𝑆𝐸𝐸𝑅</a:t>
              </a:r>
              <a:r>
                <a:rPr lang="en-US" sz="1400" b="0" i="0">
                  <a:solidFill>
                    <a:sysClr val="windowText" lastClr="000000"/>
                  </a:solidFill>
                  <a:effectLst/>
                  <a:latin typeface="Cambria Math" panose="02040503050406030204" pitchFamily="18" charset="0"/>
                  <a:ea typeface="+mn-ea"/>
                  <a:cs typeface="+mn-cs"/>
                </a:rPr>
                <a:t>_(𝑡</a:t>
              </a:r>
              <a:r>
                <a:rPr lang="en-US" sz="1400" i="0">
                  <a:solidFill>
                    <a:sysClr val="windowText" lastClr="000000"/>
                  </a:solidFill>
                  <a:effectLst/>
                  <a:latin typeface="Cambria Math" panose="02040503050406030204" pitchFamily="18" charset="0"/>
                  <a:ea typeface="+mn-ea"/>
                  <a:cs typeface="+mn-cs"/>
                </a:rPr>
                <a:t>𝑒𝑠𝑡</a:t>
              </a:r>
              <a:r>
                <a:rPr lang="en-US" sz="1400" b="0" i="0">
                  <a:solidFill>
                    <a:sysClr val="windowText" lastClr="000000"/>
                  </a:solidFill>
                  <a:effectLst/>
                  <a:latin typeface="Cambria Math" panose="02040503050406030204" pitchFamily="18" charset="0"/>
                  <a:ea typeface="+mn-ea"/>
                  <a:cs typeface="+mn-cs"/>
                </a:rPr>
                <a:t>−𝑖𝑛) )</a:t>
              </a:r>
              <a:r>
                <a:rPr lang="en-US" sz="1400" i="0">
                  <a:solidFill>
                    <a:sysClr val="windowText" lastClr="000000"/>
                  </a:solidFill>
                  <a:effectLst/>
                  <a:latin typeface="Cambria Math" panose="02040503050406030204" pitchFamily="18" charset="0"/>
                  <a:ea typeface="+mn-ea"/>
                  <a:cs typeface="+mn-cs"/>
                </a:rPr>
                <a:t>−1/(𝑆𝐸𝐸𝑅</a:t>
              </a:r>
              <a:r>
                <a:rPr lang="en-US" sz="1400" b="0" i="0">
                  <a:solidFill>
                    <a:sysClr val="windowText" lastClr="000000"/>
                  </a:solidFill>
                  <a:effectLst/>
                  <a:latin typeface="Cambria Math" panose="02040503050406030204" pitchFamily="18" charset="0"/>
                  <a:ea typeface="+mn-ea"/>
                  <a:cs typeface="+mn-cs"/>
                </a:rPr>
                <a:t>_(𝑡𝑒𝑠𝑡−𝑜𝑢𝑡) ))))/</a:t>
              </a:r>
              <a:r>
                <a:rPr lang="en-US" sz="1400" i="0">
                  <a:solidFill>
                    <a:sysClr val="windowText" lastClr="000000"/>
                  </a:solidFill>
                  <a:effectLst/>
                  <a:latin typeface="Cambria Math" panose="02040503050406030204" pitchFamily="18" charset="0"/>
                  <a:ea typeface="+mn-ea"/>
                  <a:cs typeface="+mn-cs"/>
                </a:rPr>
                <a:t>1</a:t>
              </a:r>
              <a:r>
                <a:rPr lang="en-US" sz="1400" b="0" i="0">
                  <a:solidFill>
                    <a:sysClr val="windowText" lastClr="000000"/>
                  </a:solidFill>
                  <a:effectLst/>
                  <a:latin typeface="Cambria Math" panose="02040503050406030204" pitchFamily="18" charset="0"/>
                  <a:ea typeface="+mn-ea"/>
                  <a:cs typeface="+mn-cs"/>
                </a:rPr>
                <a:t>,</a:t>
              </a:r>
              <a:r>
                <a:rPr lang="en-US" sz="1400" i="0">
                  <a:solidFill>
                    <a:sysClr val="windowText" lastClr="000000"/>
                  </a:solidFill>
                  <a:effectLst/>
                  <a:latin typeface="Cambria Math" panose="02040503050406030204" pitchFamily="18" charset="0"/>
                  <a:ea typeface="+mn-ea"/>
                  <a:cs typeface="+mn-cs"/>
                </a:rPr>
                <a:t>000</a:t>
              </a:r>
              <a:endParaRPr lang="en-US" sz="1400">
                <a:solidFill>
                  <a:sysClr val="windowText" lastClr="000000"/>
                </a:solidFill>
                <a:effectLst/>
                <a:latin typeface="+mn-lt"/>
                <a:ea typeface="+mn-ea"/>
                <a:cs typeface="+mn-cs"/>
              </a:endParaRPr>
            </a:p>
          </xdr:txBody>
        </xdr:sp>
      </mc:Fallback>
    </mc:AlternateContent>
    <xdr:clientData/>
  </xdr:twoCellAnchor>
  <xdr:twoCellAnchor>
    <xdr:from>
      <xdr:col>7</xdr:col>
      <xdr:colOff>2269331</xdr:colOff>
      <xdr:row>5</xdr:row>
      <xdr:rowOff>0</xdr:rowOff>
    </xdr:from>
    <xdr:to>
      <xdr:col>8</xdr:col>
      <xdr:colOff>3567</xdr:colOff>
      <xdr:row>5</xdr:row>
      <xdr:rowOff>172227</xdr:rowOff>
    </xdr:to>
    <xdr:sp macro="" textlink="">
      <xdr:nvSpPr>
        <xdr:cNvPr id="30" name="TextBox 29">
          <a:extLst>
            <a:ext uri="{FF2B5EF4-FFF2-40B4-BE49-F238E27FC236}">
              <a16:creationId xmlns:a16="http://schemas.microsoft.com/office/drawing/2014/main" id="{00000000-0008-0000-0700-00001E000000}"/>
            </a:ext>
          </a:extLst>
        </xdr:cNvPr>
        <xdr:cNvSpPr txBox="1"/>
      </xdr:nvSpPr>
      <xdr:spPr>
        <a:xfrm>
          <a:off x="18452306" y="10477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21590</xdr:colOff>
      <xdr:row>67</xdr:row>
      <xdr:rowOff>0</xdr:rowOff>
    </xdr:from>
    <xdr:to>
      <xdr:col>4</xdr:col>
      <xdr:colOff>2873076</xdr:colOff>
      <xdr:row>67</xdr:row>
      <xdr:rowOff>0</xdr:rowOff>
    </xdr:to>
    <mc:AlternateContent xmlns:mc="http://schemas.openxmlformats.org/markup-compatibility/2006" xmlns:a14="http://schemas.microsoft.com/office/drawing/2010/main">
      <mc:Choice Requires="a14">
        <xdr:sp macro="" textlink="">
          <xdr:nvSpPr>
            <xdr:cNvPr id="31" name="TextBox 30">
              <a:extLst>
                <a:ext uri="{FF2B5EF4-FFF2-40B4-BE49-F238E27FC236}">
                  <a16:creationId xmlns:a16="http://schemas.microsoft.com/office/drawing/2014/main" id="{00000000-0008-0000-0700-00001F000000}"/>
                </a:ext>
              </a:extLst>
            </xdr:cNvPr>
            <xdr:cNvSpPr txBox="1"/>
          </xdr:nvSpPr>
          <xdr:spPr>
            <a:xfrm>
              <a:off x="3593465" y="6810375"/>
              <a:ext cx="2851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𝐷𝑒𝑓𝑎𝑢𝑙</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𝑡</m:t>
                        </m:r>
                      </m:e>
                      <m:sub>
                        <m:r>
                          <a:rPr lang="en-US" sz="1400" b="0" i="1">
                            <a:solidFill>
                              <a:sysClr val="windowText" lastClr="000000"/>
                            </a:solidFill>
                            <a:latin typeface="Cambria Math" panose="02040503050406030204" pitchFamily="18" charset="0"/>
                            <a:ea typeface="Cambria Math" panose="02040503050406030204" pitchFamily="18" charset="0"/>
                          </a:rPr>
                          <m:t>h𝑒𝑎𝑡</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𝑆𝑞𝐹𝑡</m:t>
                    </m:r>
                  </m:oMath>
                </m:oMathPara>
              </a14:m>
              <a:endParaRPr lang="en-US" sz="1400">
                <a:solidFill>
                  <a:sysClr val="windowText" lastClr="000000"/>
                </a:solidFill>
              </a:endParaRPr>
            </a:p>
          </xdr:txBody>
        </xdr:sp>
      </mc:Choice>
      <mc:Fallback xmlns="">
        <xdr:sp macro="" textlink="">
          <xdr:nvSpPr>
            <xdr:cNvPr id="31" name="TextBox 30">
              <a:extLst>
                <a:ext uri="{FF2B5EF4-FFF2-40B4-BE49-F238E27FC236}">
                  <a16:creationId xmlns:a16="http://schemas.microsoft.com/office/drawing/2014/main" id="{00000000-0008-0000-0700-00001F000000}"/>
                </a:ext>
              </a:extLst>
            </xdr:cNvPr>
            <xdr:cNvSpPr txBox="1"/>
          </xdr:nvSpPr>
          <xdr:spPr>
            <a:xfrm>
              <a:off x="4121150" y="6381750"/>
              <a:ext cx="2851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𝑘𝑊ℎ_ℎ𝑒𝑎𝑡𝑖𝑛𝑔=𝐷𝑒𝑓𝑎𝑢𝑙𝑡_ℎ𝑒𝑎𝑡∗𝑆𝑞𝐹𝑡</a:t>
              </a:r>
              <a:endParaRPr lang="en-US" sz="1400">
                <a:solidFill>
                  <a:sysClr val="windowText" lastClr="000000"/>
                </a:solidFill>
              </a:endParaRPr>
            </a:p>
          </xdr:txBody>
        </xdr:sp>
      </mc:Fallback>
    </mc:AlternateContent>
    <xdr:clientData/>
  </xdr:twoCellAnchor>
  <xdr:twoCellAnchor>
    <xdr:from>
      <xdr:col>4</xdr:col>
      <xdr:colOff>17417</xdr:colOff>
      <xdr:row>67</xdr:row>
      <xdr:rowOff>0</xdr:rowOff>
    </xdr:from>
    <xdr:to>
      <xdr:col>4</xdr:col>
      <xdr:colOff>2832693</xdr:colOff>
      <xdr:row>67</xdr:row>
      <xdr:rowOff>0</xdr:rowOff>
    </xdr:to>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00000000-0008-0000-0700-000020000000}"/>
                </a:ext>
              </a:extLst>
            </xdr:cNvPr>
            <xdr:cNvSpPr txBox="1"/>
          </xdr:nvSpPr>
          <xdr:spPr>
            <a:xfrm>
              <a:off x="3589292" y="6810375"/>
              <a:ext cx="281527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𝐷𝑒𝑓𝑎𝑢𝑙</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𝑡</m:t>
                        </m:r>
                      </m:e>
                      <m:sub>
                        <m:r>
                          <a:rPr lang="en-US" sz="1400" b="0" i="1">
                            <a:solidFill>
                              <a:sysClr val="windowText" lastClr="000000"/>
                            </a:solidFill>
                            <a:latin typeface="Cambria Math" panose="02040503050406030204" pitchFamily="18" charset="0"/>
                            <a:ea typeface="Cambria Math" panose="02040503050406030204" pitchFamily="18" charset="0"/>
                          </a:rPr>
                          <m:t>𝑐𝑜𝑜𝑙</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𝑆𝑞𝐹𝑡</m:t>
                    </m:r>
                  </m:oMath>
                </m:oMathPara>
              </a14:m>
              <a:endParaRPr lang="en-US" sz="1400">
                <a:solidFill>
                  <a:sysClr val="windowText" lastClr="000000"/>
                </a:solidFill>
              </a:endParaRPr>
            </a:p>
          </xdr:txBody>
        </xdr:sp>
      </mc:Choice>
      <mc:Fallback xmlns="">
        <xdr:sp macro="" textlink="">
          <xdr:nvSpPr>
            <xdr:cNvPr id="32" name="TextBox 31">
              <a:extLst>
                <a:ext uri="{FF2B5EF4-FFF2-40B4-BE49-F238E27FC236}">
                  <a16:creationId xmlns:a16="http://schemas.microsoft.com/office/drawing/2014/main" id="{00000000-0008-0000-0700-000020000000}"/>
                </a:ext>
              </a:extLst>
            </xdr:cNvPr>
            <xdr:cNvSpPr txBox="1"/>
          </xdr:nvSpPr>
          <xdr:spPr>
            <a:xfrm>
              <a:off x="4109357" y="6381750"/>
              <a:ext cx="281718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𝑘𝑊ℎ_𝑐𝑜𝑜𝑙𝑖𝑛𝑔=𝐷𝑒𝑓𝑎𝑢𝑙𝑡_𝑐𝑜𝑜𝑙∗𝑆𝑞𝐹𝑡</a:t>
              </a:r>
              <a:endParaRPr lang="en-US" sz="1400">
                <a:solidFill>
                  <a:sysClr val="windowText" lastClr="000000"/>
                </a:solidFill>
              </a:endParaRPr>
            </a:p>
          </xdr:txBody>
        </xdr:sp>
      </mc:Fallback>
    </mc:AlternateContent>
    <xdr:clientData/>
  </xdr:twoCellAnchor>
  <xdr:twoCellAnchor>
    <xdr:from>
      <xdr:col>4</xdr:col>
      <xdr:colOff>4521269</xdr:colOff>
      <xdr:row>67</xdr:row>
      <xdr:rowOff>0</xdr:rowOff>
    </xdr:from>
    <xdr:to>
      <xdr:col>6</xdr:col>
      <xdr:colOff>135763</xdr:colOff>
      <xdr:row>67</xdr:row>
      <xdr:rowOff>0</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00000000-0008-0000-0700-000021000000}"/>
                </a:ext>
              </a:extLst>
            </xdr:cNvPr>
            <xdr:cNvSpPr txBox="1"/>
          </xdr:nvSpPr>
          <xdr:spPr>
            <a:xfrm>
              <a:off x="8093144" y="6810375"/>
              <a:ext cx="303446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33" name="TextBox 32">
              <a:extLst>
                <a:ext uri="{FF2B5EF4-FFF2-40B4-BE49-F238E27FC236}">
                  <a16:creationId xmlns:a16="http://schemas.microsoft.com/office/drawing/2014/main" id="{388E0D65-B0BE-4CFE-8B48-ECD4456A346E}"/>
                </a:ext>
              </a:extLst>
            </xdr:cNvPr>
            <xdr:cNvSpPr txBox="1"/>
          </xdr:nvSpPr>
          <xdr:spPr>
            <a:xfrm>
              <a:off x="8618924" y="6381750"/>
              <a:ext cx="537952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𝑘𝑊∗𝐶𝐹</a:t>
              </a:r>
              <a:endParaRPr lang="en-US" sz="1400"/>
            </a:p>
          </xdr:txBody>
        </xdr:sp>
      </mc:Fallback>
    </mc:AlternateContent>
    <xdr:clientData/>
  </xdr:twoCellAnchor>
  <xdr:twoCellAnchor>
    <xdr:from>
      <xdr:col>4</xdr:col>
      <xdr:colOff>4448094</xdr:colOff>
      <xdr:row>67</xdr:row>
      <xdr:rowOff>0</xdr:rowOff>
    </xdr:from>
    <xdr:to>
      <xdr:col>6</xdr:col>
      <xdr:colOff>324774</xdr:colOff>
      <xdr:row>67</xdr:row>
      <xdr:rowOff>0</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00000000-0008-0000-0700-000022000000}"/>
                </a:ext>
              </a:extLst>
            </xdr:cNvPr>
            <xdr:cNvSpPr txBox="1"/>
          </xdr:nvSpPr>
          <xdr:spPr>
            <a:xfrm>
              <a:off x="8019969" y="6810375"/>
              <a:ext cx="329665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𝑇h𝑒𝑟𝑚𝑠</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𝐷𝑒𝑓𝑎𝑢𝑙𝑡</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𝑆𝑞𝐹𝑡</m:t>
                    </m:r>
                  </m:oMath>
                </m:oMathPara>
              </a14:m>
              <a:endParaRPr lang="en-US" sz="1400">
                <a:solidFill>
                  <a:sysClr val="windowText" lastClr="000000"/>
                </a:solidFill>
              </a:endParaRPr>
            </a:p>
          </xdr:txBody>
        </xdr:sp>
      </mc:Choice>
      <mc:Fallback xmlns="">
        <xdr:sp macro="" textlink="">
          <xdr:nvSpPr>
            <xdr:cNvPr id="34" name="TextBox 33">
              <a:extLst>
                <a:ext uri="{FF2B5EF4-FFF2-40B4-BE49-F238E27FC236}">
                  <a16:creationId xmlns:a16="http://schemas.microsoft.com/office/drawing/2014/main" id="{00000000-0008-0000-0700-000022000000}"/>
                </a:ext>
              </a:extLst>
            </xdr:cNvPr>
            <xdr:cNvSpPr txBox="1"/>
          </xdr:nvSpPr>
          <xdr:spPr>
            <a:xfrm>
              <a:off x="8545749" y="6381750"/>
              <a:ext cx="56417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𝑇ℎ𝑒𝑟𝑚𝑠=𝐷𝑒𝑓𝑎𝑢𝑙𝑡∗𝑆𝑞𝐹𝑡</a:t>
              </a:r>
              <a:endParaRPr lang="en-US" sz="1400">
                <a:solidFill>
                  <a:sysClr val="windowText" lastClr="000000"/>
                </a:solidFill>
              </a:endParaRPr>
            </a:p>
          </xdr:txBody>
        </xdr:sp>
      </mc:Fallback>
    </mc:AlternateContent>
    <xdr:clientData/>
  </xdr:twoCellAnchor>
  <xdr:twoCellAnchor>
    <xdr:from>
      <xdr:col>3</xdr:col>
      <xdr:colOff>915757</xdr:colOff>
      <xdr:row>159</xdr:row>
      <xdr:rowOff>0</xdr:rowOff>
    </xdr:from>
    <xdr:to>
      <xdr:col>14</xdr:col>
      <xdr:colOff>287382</xdr:colOff>
      <xdr:row>159</xdr:row>
      <xdr:rowOff>0</xdr:rowOff>
    </xdr:to>
    <mc:AlternateContent xmlns:mc="http://schemas.openxmlformats.org/markup-compatibility/2006" xmlns:a14="http://schemas.microsoft.com/office/drawing/2010/main">
      <mc:Choice Requires="a14">
        <xdr:sp macro="" textlink="">
          <xdr:nvSpPr>
            <xdr:cNvPr id="35" name="TextBox 34">
              <a:extLst>
                <a:ext uri="{FF2B5EF4-FFF2-40B4-BE49-F238E27FC236}">
                  <a16:creationId xmlns:a16="http://schemas.microsoft.com/office/drawing/2014/main" id="{00000000-0008-0000-0700-000023000000}"/>
                </a:ext>
              </a:extLst>
            </xdr:cNvPr>
            <xdr:cNvSpPr txBox="1"/>
          </xdr:nvSpPr>
          <xdr:spPr>
            <a:xfrm>
              <a:off x="3249382" y="27174825"/>
              <a:ext cx="171929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strike="sngStrike" baseline="0">
                            <a:solidFill>
                              <a:sysClr val="windowText" lastClr="000000"/>
                            </a:solidFill>
                            <a:latin typeface="Cambria Math" panose="02040503050406030204" pitchFamily="18" charset="0"/>
                            <a:ea typeface="Cambria Math" panose="02040503050406030204" pitchFamily="18" charset="0"/>
                          </a:rPr>
                          <m:t>𝐻𝑒𝑎𝑡𝑖𝑛𝑔</m:t>
                        </m:r>
                        <m:r>
                          <a:rPr lang="en-US" sz="1400" b="0" i="1">
                            <a:solidFill>
                              <a:sysClr val="windowText" lastClr="000000"/>
                            </a:solidFill>
                            <a:latin typeface="Cambria Math" panose="02040503050406030204" pitchFamily="18" charset="0"/>
                            <a:ea typeface="Cambria Math" panose="02040503050406030204" pitchFamily="18" charset="0"/>
                          </a:rPr>
                          <m:t>𝐸𝑙𝑒𝑐𝑡𝑟𝑖𝑐</m:t>
                        </m:r>
                      </m:sub>
                    </m:sSub>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𝐸𝑙𝑒𝑐𝑡𝑟𝑖𝑐𝐻𝑒𝑎𝑡</m:t>
                            </m:r>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1</m:t>
                                    </m:r>
                                  </m:num>
                                  <m:den>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𝑅</m:t>
                                        </m:r>
                                      </m:e>
                                      <m:sub>
                                        <m:r>
                                          <a:rPr lang="en-US" sz="1400" b="0" i="1">
                                            <a:solidFill>
                                              <a:sysClr val="windowText" lastClr="000000"/>
                                            </a:solidFill>
                                            <a:latin typeface="Cambria Math" panose="02040503050406030204" pitchFamily="18" charset="0"/>
                                            <a:ea typeface="Cambria Math" panose="02040503050406030204" pitchFamily="18" charset="0"/>
                                          </a:rPr>
                                          <m:t>𝑜𝑙𝑑</m:t>
                                        </m:r>
                                      </m:sub>
                                    </m:sSub>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1</m:t>
                                    </m:r>
                                  </m:num>
                                  <m:den>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𝑅</m:t>
                                        </m:r>
                                      </m:e>
                                      <m:sub>
                                        <m:r>
                                          <a:rPr lang="en-US" sz="1400" b="0" i="1">
                                            <a:solidFill>
                                              <a:sysClr val="windowText" lastClr="000000"/>
                                            </a:solidFill>
                                            <a:latin typeface="Cambria Math" panose="02040503050406030204" pitchFamily="18" charset="0"/>
                                            <a:ea typeface="Cambria Math" panose="02040503050406030204" pitchFamily="18" charset="0"/>
                                          </a:rPr>
                                          <m:t>𝐴𝑡𝑡𝑖𝑐</m:t>
                                        </m:r>
                                      </m:sub>
                                    </m:sSub>
                                  </m:den>
                                </m:f>
                              </m:e>
                            </m:d>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𝐴</m:t>
                                </m:r>
                              </m:e>
                              <m:sub>
                                <m:r>
                                  <a:rPr lang="en-US" sz="1400" b="0" i="1">
                                    <a:solidFill>
                                      <a:sysClr val="windowText" lastClr="000000"/>
                                    </a:solidFill>
                                    <a:latin typeface="Cambria Math" panose="02040503050406030204" pitchFamily="18" charset="0"/>
                                    <a:ea typeface="Cambria Math" panose="02040503050406030204" pitchFamily="18" charset="0"/>
                                  </a:rPr>
                                  <m:t>𝐴𝑡𝑡𝑖𝑐</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1−</m:t>
                                </m:r>
                                <m:r>
                                  <a:rPr lang="en-US" sz="1400" b="0" i="1">
                                    <a:solidFill>
                                      <a:sysClr val="windowText" lastClr="000000"/>
                                    </a:solidFill>
                                    <a:latin typeface="Cambria Math" panose="02040503050406030204" pitchFamily="18" charset="0"/>
                                    <a:ea typeface="Cambria Math" panose="02040503050406030204" pitchFamily="18" charset="0"/>
                                  </a:rPr>
                                  <m:t>𝐹𝑟𝑎𝑚𝑖𝑛𝑔𝐹𝑎𝑐𝑡𝑜</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𝑟</m:t>
                                    </m:r>
                                  </m:e>
                                  <m:sub>
                                    <m:r>
                                      <a:rPr lang="en-US" sz="1400" b="0" i="1">
                                        <a:solidFill>
                                          <a:sysClr val="windowText" lastClr="000000"/>
                                        </a:solidFill>
                                        <a:latin typeface="Cambria Math" panose="02040503050406030204" pitchFamily="18" charset="0"/>
                                        <a:ea typeface="Cambria Math" panose="02040503050406030204" pitchFamily="18" charset="0"/>
                                      </a:rPr>
                                      <m:t>𝐴𝑡𝑡𝑖𝑐</m:t>
                                    </m:r>
                                  </m:sub>
                                </m:sSub>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𝐻𝐷𝐷</m:t>
                            </m:r>
                            <m:r>
                              <a:rPr lang="en-US" sz="1400" b="0" i="1">
                                <a:solidFill>
                                  <a:sysClr val="windowText" lastClr="000000"/>
                                </a:solidFill>
                                <a:latin typeface="Cambria Math" panose="02040503050406030204" pitchFamily="18" charset="0"/>
                                <a:ea typeface="Cambria Math" panose="02040503050406030204" pitchFamily="18" charset="0"/>
                              </a:rPr>
                              <m:t>∗24∗</m:t>
                            </m:r>
                            <m:r>
                              <a:rPr lang="en-US" sz="1400" b="0" i="1">
                                <a:solidFill>
                                  <a:sysClr val="windowText" lastClr="000000"/>
                                </a:solidFill>
                                <a:latin typeface="Cambria Math" panose="02040503050406030204" pitchFamily="18" charset="0"/>
                                <a:ea typeface="Cambria Math" panose="02040503050406030204" pitchFamily="18" charset="0"/>
                              </a:rPr>
                              <m:t>𝐴𝑑</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𝑗</m:t>
                                </m:r>
                              </m:e>
                              <m:sub>
                                <m:r>
                                  <a:rPr lang="en-US" sz="1400" b="0" i="1">
                                    <a:solidFill>
                                      <a:sysClr val="windowText" lastClr="000000"/>
                                    </a:solidFill>
                                    <a:latin typeface="Cambria Math" panose="02040503050406030204" pitchFamily="18" charset="0"/>
                                    <a:ea typeface="Cambria Math" panose="02040503050406030204" pitchFamily="18" charset="0"/>
                                  </a:rPr>
                                  <m:t>𝐴𝑡𝑡𝑖𝑐</m:t>
                                </m:r>
                              </m:sub>
                            </m:sSub>
                          </m:e>
                        </m:d>
                      </m:num>
                      <m:den>
                        <m:r>
                          <a:rPr lang="en-US" sz="1400" b="0" i="1">
                            <a:solidFill>
                              <a:sysClr val="windowText" lastClr="000000"/>
                            </a:solidFill>
                            <a:latin typeface="Cambria Math" panose="02040503050406030204" pitchFamily="18" charset="0"/>
                            <a:ea typeface="Cambria Math" panose="02040503050406030204" pitchFamily="18" charset="0"/>
                          </a:rPr>
                          <m:t>𝜂</m:t>
                        </m:r>
                        <m:r>
                          <a:rPr lang="en-US" sz="1400" b="0" i="1">
                            <a:solidFill>
                              <a:sysClr val="windowText" lastClr="000000"/>
                            </a:solidFill>
                            <a:latin typeface="Cambria Math" panose="02040503050406030204" pitchFamily="18" charset="0"/>
                            <a:ea typeface="Cambria Math" panose="02040503050406030204" pitchFamily="18" charset="0"/>
                          </a:rPr>
                          <m:t>h𝑒𝑎𝑡</m:t>
                        </m:r>
                        <m:r>
                          <a:rPr lang="en-US" sz="1400" b="0" i="1">
                            <a:solidFill>
                              <a:sysClr val="windowText" lastClr="000000"/>
                            </a:solidFill>
                            <a:latin typeface="Cambria Math" panose="02040503050406030204" pitchFamily="18" charset="0"/>
                            <a:ea typeface="Cambria Math" panose="02040503050406030204" pitchFamily="18" charset="0"/>
                          </a:rPr>
                          <m:t>∗3,412</m:t>
                        </m:r>
                      </m:den>
                    </m:f>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1−%</m:t>
                        </m:r>
                        <m:r>
                          <a:rPr lang="en-US" sz="1400" b="0" i="1">
                            <a:solidFill>
                              <a:sysClr val="windowText" lastClr="000000"/>
                            </a:solidFill>
                            <a:latin typeface="Cambria Math" panose="02040503050406030204" pitchFamily="18" charset="0"/>
                            <a:ea typeface="Cambria Math" panose="02040503050406030204" pitchFamily="18" charset="0"/>
                          </a:rPr>
                          <m:t>𝐸𝑙𝑒𝑐𝑡𝑟𝑖𝑐𝐻𝑒𝑎𝑡</m:t>
                        </m:r>
                      </m:e>
                    </m:d>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m:rPr>
                            <m:sty m:val="p"/>
                          </m:rPr>
                          <a:rPr lang="el-GR" sz="1400" b="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𝑇h𝑒𝑟𝑚𝑠</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𝐹𝑒</m:t>
                        </m:r>
                        <m:r>
                          <a:rPr lang="en-US" sz="1400" b="0" i="1">
                            <a:solidFill>
                              <a:sysClr val="windowText" lastClr="000000"/>
                            </a:solidFill>
                            <a:latin typeface="Cambria Math" panose="02040503050406030204" pitchFamily="18" charset="0"/>
                            <a:ea typeface="Cambria Math" panose="02040503050406030204" pitchFamily="18" charset="0"/>
                          </a:rPr>
                          <m:t>∗29.3</m:t>
                        </m:r>
                      </m:e>
                    </m:d>
                  </m:oMath>
                </m:oMathPara>
              </a14:m>
              <a:endParaRPr lang="en-US" sz="1100">
                <a:solidFill>
                  <a:sysClr val="windowText" lastClr="000000"/>
                </a:solidFill>
              </a:endParaRPr>
            </a:p>
          </xdr:txBody>
        </xdr:sp>
      </mc:Choice>
      <mc:Fallback xmlns="">
        <xdr:sp macro="" textlink="">
          <xdr:nvSpPr>
            <xdr:cNvPr id="35" name="TextBox 34">
              <a:extLst>
                <a:ext uri="{FF2B5EF4-FFF2-40B4-BE49-F238E27FC236}">
                  <a16:creationId xmlns:a16="http://schemas.microsoft.com/office/drawing/2014/main" id="{00000000-0008-0000-0700-000023000000}"/>
                </a:ext>
              </a:extLst>
            </xdr:cNvPr>
            <xdr:cNvSpPr txBox="1"/>
          </xdr:nvSpPr>
          <xdr:spPr>
            <a:xfrm>
              <a:off x="3188150" y="38135376"/>
              <a:ext cx="15698563" cy="6721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𝑘𝑊ℎ_</a:t>
              </a:r>
              <a:r>
                <a:rPr lang="en-US" sz="1400" b="0" i="0" strike="sngStrike" baseline="0">
                  <a:solidFill>
                    <a:sysClr val="windowText" lastClr="000000"/>
                  </a:solidFill>
                  <a:latin typeface="Cambria Math" panose="02040503050406030204" pitchFamily="18" charset="0"/>
                  <a:ea typeface="Cambria Math" panose="02040503050406030204" pitchFamily="18" charset="0"/>
                </a:rPr>
                <a:t>𝐻𝑒𝑎𝑡𝑖𝑛𝑔</a:t>
              </a:r>
              <a:r>
                <a:rPr lang="en-US" sz="1400" b="0" i="0">
                  <a:solidFill>
                    <a:sysClr val="windowText" lastClr="000000"/>
                  </a:solidFill>
                  <a:latin typeface="Cambria Math" panose="02040503050406030204" pitchFamily="18" charset="0"/>
                  <a:ea typeface="Cambria Math" panose="02040503050406030204" pitchFamily="18" charset="0"/>
                </a:rPr>
                <a:t>𝐸𝑙𝑒𝑐𝑡𝑟𝑖𝑐=((%𝐸𝑙𝑒𝑐𝑡𝑟𝑖𝑐𝐻𝑒𝑎𝑡∗(1/𝑅_𝑜𝑙𝑑 −1/𝑅_𝐴𝑡𝑡𝑖𝑐 )∗𝐴_𝐴𝑡𝑡𝑖𝑐∗(1−𝐹𝑟𝑎𝑚𝑖𝑛𝑔𝐹𝑎𝑐𝑡𝑜𝑟_𝐴𝑡𝑡𝑖𝑐 )∗𝐻𝐷𝐷∗24∗𝐴𝑑𝑗_𝐴𝑡𝑡𝑖𝑐 ))/(𝜂ℎ𝑒𝑎𝑡∗3,412)+(1−%𝐸𝑙𝑒𝑐𝑡𝑟𝑖𝑐𝐻𝑒𝑎𝑡)∗(</a:t>
              </a:r>
              <a:r>
                <a:rPr lang="el-GR" sz="1400" b="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𝑇ℎ𝑒𝑟𝑚𝑠∗𝐹𝑒∗29.3)</a:t>
              </a:r>
              <a:endParaRPr lang="en-US" sz="1100">
                <a:solidFill>
                  <a:sysClr val="windowText" lastClr="000000"/>
                </a:solidFill>
              </a:endParaRPr>
            </a:p>
          </xdr:txBody>
        </xdr:sp>
      </mc:Fallback>
    </mc:AlternateContent>
    <xdr:clientData/>
  </xdr:twoCellAnchor>
  <xdr:twoCellAnchor>
    <xdr:from>
      <xdr:col>3</xdr:col>
      <xdr:colOff>1008898</xdr:colOff>
      <xdr:row>159</xdr:row>
      <xdr:rowOff>0</xdr:rowOff>
    </xdr:from>
    <xdr:to>
      <xdr:col>7</xdr:col>
      <xdr:colOff>1006930</xdr:colOff>
      <xdr:row>159</xdr:row>
      <xdr:rowOff>0</xdr:rowOff>
    </xdr:to>
    <mc:AlternateContent xmlns:mc="http://schemas.openxmlformats.org/markup-compatibility/2006" xmlns:a14="http://schemas.microsoft.com/office/drawing/2010/main">
      <mc:Choice Requires="a14">
        <xdr:sp macro="" textlink="">
          <xdr:nvSpPr>
            <xdr:cNvPr id="36" name="TextBox 35">
              <a:extLst>
                <a:ext uri="{FF2B5EF4-FFF2-40B4-BE49-F238E27FC236}">
                  <a16:creationId xmlns:a16="http://schemas.microsoft.com/office/drawing/2014/main" id="{00000000-0008-0000-0700-000024000000}"/>
                </a:ext>
              </a:extLst>
            </xdr:cNvPr>
            <xdr:cNvSpPr txBox="1"/>
          </xdr:nvSpPr>
          <xdr:spPr>
            <a:xfrm>
              <a:off x="3342523" y="27174825"/>
              <a:ext cx="1013263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∗3412</m:t>
                        </m:r>
                      </m:den>
                    </m:f>
                  </m:oMath>
                </m:oMathPara>
              </a14:m>
              <a:endParaRPr lang="en-US" sz="1100"/>
            </a:p>
          </xdr:txBody>
        </xdr:sp>
      </mc:Choice>
      <mc:Fallback xmlns="">
        <xdr:sp macro="" textlink="">
          <xdr:nvSpPr>
            <xdr:cNvPr id="36" name="TextBox 35">
              <a:extLst>
                <a:ext uri="{FF2B5EF4-FFF2-40B4-BE49-F238E27FC236}">
                  <a16:creationId xmlns:a16="http://schemas.microsoft.com/office/drawing/2014/main" id="{00000000-0008-0000-0700-000024000000}"/>
                </a:ext>
              </a:extLst>
            </xdr:cNvPr>
            <xdr:cNvSpPr txBox="1"/>
          </xdr:nvSpPr>
          <xdr:spPr>
            <a:xfrm>
              <a:off x="3296531" y="39069762"/>
              <a:ext cx="9085970" cy="7871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−1/𝑅_𝐴𝑡𝑡𝑖𝑐 )∗𝐴_𝐴𝑡𝑡𝑖𝑐∗(1−𝐹𝑟𝑎𝑚𝑖𝑛𝑔𝐹𝑎𝑐𝑡𝑜𝑟_𝐴𝑡𝑡𝑖𝑐 )∗𝐶𝐷𝐷∗24∗𝐷𝑈𝐴))/(𝜂𝑐𝑜𝑜𝑙∗</a:t>
              </a:r>
              <a:r>
                <a:rPr lang="en-US" sz="1400" b="0" i="0">
                  <a:solidFill>
                    <a:srgbClr val="FF0000"/>
                  </a:solidFill>
                  <a:latin typeface="Cambria Math" panose="02040503050406030204" pitchFamily="18" charset="0"/>
                  <a:ea typeface="Cambria Math" panose="02040503050406030204" pitchFamily="18" charset="0"/>
                </a:rPr>
                <a:t>3412)</a:t>
              </a:r>
              <a:endParaRPr lang="en-US" sz="1100"/>
            </a:p>
          </xdr:txBody>
        </xdr:sp>
      </mc:Fallback>
    </mc:AlternateContent>
    <xdr:clientData/>
  </xdr:twoCellAnchor>
  <xdr:twoCellAnchor>
    <xdr:from>
      <xdr:col>3</xdr:col>
      <xdr:colOff>800099</xdr:colOff>
      <xdr:row>159</xdr:row>
      <xdr:rowOff>0</xdr:rowOff>
    </xdr:from>
    <xdr:to>
      <xdr:col>6</xdr:col>
      <xdr:colOff>668382</xdr:colOff>
      <xdr:row>159</xdr:row>
      <xdr:rowOff>0</xdr:rowOff>
    </xdr:to>
    <mc:AlternateContent xmlns:mc="http://schemas.openxmlformats.org/markup-compatibility/2006" xmlns:a14="http://schemas.microsoft.com/office/drawing/2010/main">
      <mc:Choice Requires="a14">
        <xdr:sp macro="" textlink="">
          <xdr:nvSpPr>
            <xdr:cNvPr id="37" name="TextBox 36">
              <a:extLst>
                <a:ext uri="{FF2B5EF4-FFF2-40B4-BE49-F238E27FC236}">
                  <a16:creationId xmlns:a16="http://schemas.microsoft.com/office/drawing/2014/main" id="{00000000-0008-0000-0700-000025000000}"/>
                </a:ext>
              </a:extLst>
            </xdr:cNvPr>
            <xdr:cNvSpPr txBox="1"/>
          </xdr:nvSpPr>
          <xdr:spPr>
            <a:xfrm>
              <a:off x="3133724" y="27174825"/>
              <a:ext cx="852650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∗100,000</m:t>
                        </m:r>
                      </m:den>
                    </m:f>
                  </m:oMath>
                </m:oMathPara>
              </a14:m>
              <a:endParaRPr lang="en-US" sz="1100"/>
            </a:p>
          </xdr:txBody>
        </xdr:sp>
      </mc:Choice>
      <mc:Fallback xmlns="">
        <xdr:sp macro="" textlink="">
          <xdr:nvSpPr>
            <xdr:cNvPr id="37" name="TextBox 36">
              <a:extLst>
                <a:ext uri="{FF2B5EF4-FFF2-40B4-BE49-F238E27FC236}">
                  <a16:creationId xmlns:a16="http://schemas.microsoft.com/office/drawing/2014/main" id="{00000000-0008-0000-0700-000025000000}"/>
                </a:ext>
              </a:extLst>
            </xdr:cNvPr>
            <xdr:cNvSpPr txBox="1"/>
          </xdr:nvSpPr>
          <xdr:spPr>
            <a:xfrm>
              <a:off x="3072492" y="39828106"/>
              <a:ext cx="7609114" cy="9880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𝑇ℎ𝑒𝑟𝑚𝑠=(((1/𝑅_𝑜𝑙𝑑 −1/𝑅_𝐴𝑡𝑡𝑖𝑐 )∗𝐴_𝐴𝑡𝑡𝑖𝑐∗(1−𝐹𝑟𝑎𝑚𝑖𝑛𝑔𝐹𝑎𝑐𝑡𝑜𝑟_𝐴𝑡𝑡𝑖𝑐 )∗𝐻𝐷𝐷∗24∗𝐴𝑑𝑗_𝐴𝑡𝑡𝑖𝑐 ))/(𝜂ℎ𝑒𝑎𝑡∗100,000)</a:t>
              </a:r>
              <a:endParaRPr lang="en-US" sz="1100"/>
            </a:p>
          </xdr:txBody>
        </xdr:sp>
      </mc:Fallback>
    </mc:AlternateContent>
    <xdr:clientData/>
  </xdr:twoCellAnchor>
  <xdr:twoCellAnchor>
    <xdr:from>
      <xdr:col>3</xdr:col>
      <xdr:colOff>247105</xdr:colOff>
      <xdr:row>457</xdr:row>
      <xdr:rowOff>0</xdr:rowOff>
    </xdr:from>
    <xdr:to>
      <xdr:col>6</xdr:col>
      <xdr:colOff>933625</xdr:colOff>
      <xdr:row>457</xdr:row>
      <xdr:rowOff>0</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00000000-0008-0000-0700-000026000000}"/>
                </a:ext>
              </a:extLst>
            </xdr:cNvPr>
            <xdr:cNvSpPr txBox="1"/>
          </xdr:nvSpPr>
          <xdr:spPr>
            <a:xfrm>
              <a:off x="2580730" y="29165550"/>
              <a:ext cx="934474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𝑂𝑙𝑑</m:t>
                                        </m:r>
                                        <m:r>
                                          <a:rPr lang="en-US" sz="1400" b="0" i="1">
                                            <a:latin typeface="Cambria Math" panose="02040503050406030204" pitchFamily="18" charset="0"/>
                                            <a:ea typeface="Cambria Math" panose="02040503050406030204" pitchFamily="18" charset="0"/>
                                          </a:rPr>
                                          <m:t> </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𝑎𝑑𝑑𝑒𝑑</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𝐹𝑙𝑜𝑜𝑟</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𝐹𝑙𝑜𝑜𝑟</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𝑓𝑙𝑜𝑜𝑟</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38" name="TextBox 37">
              <a:extLst>
                <a:ext uri="{FF2B5EF4-FFF2-40B4-BE49-F238E27FC236}">
                  <a16:creationId xmlns:a16="http://schemas.microsoft.com/office/drawing/2014/main" id="{00000000-0008-0000-0700-000026000000}"/>
                </a:ext>
              </a:extLst>
            </xdr:cNvPr>
            <xdr:cNvSpPr txBox="1"/>
          </xdr:nvSpPr>
          <xdr:spPr>
            <a:xfrm>
              <a:off x="2598964" y="90623571"/>
              <a:ext cx="9321612" cy="7899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𝑘𝑊ℎ_𝐻𝑒𝑎𝑡𝑖𝑛𝑔𝐸𝑙𝑒𝑐𝑡𝑟𝑖𝑐=(((1/𝑅_𝑜𝑙𝑑 −1/(𝑅_(𝑂𝑙𝑑 )+𝑅_𝑎𝑑𝑑𝑒𝑑 ))∗𝐴_𝐹𝑙𝑜𝑜𝑟∗(1−𝐹𝑟𝑎𝑚𝑖𝑛𝑔𝐹𝑎𝑐𝑡𝑜𝑟_𝐹𝑙𝑜𝑜𝑟 )∗𝐻𝐷𝐷∗24∗𝐴𝑑𝑗_𝑓𝑙𝑜𝑜𝑟 ))/(𝜂ℎ𝑒𝑎𝑡∗3,412)</a:t>
              </a:r>
              <a:endParaRPr lang="en-US" sz="1400"/>
            </a:p>
          </xdr:txBody>
        </xdr:sp>
      </mc:Fallback>
    </mc:AlternateContent>
    <xdr:clientData/>
  </xdr:twoCellAnchor>
  <xdr:twoCellAnchor>
    <xdr:from>
      <xdr:col>6</xdr:col>
      <xdr:colOff>398771</xdr:colOff>
      <xdr:row>457</xdr:row>
      <xdr:rowOff>0</xdr:rowOff>
    </xdr:from>
    <xdr:to>
      <xdr:col>15</xdr:col>
      <xdr:colOff>0</xdr:colOff>
      <xdr:row>457</xdr:row>
      <xdr:rowOff>0</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00000000-0008-0000-0700-000027000000}"/>
                </a:ext>
              </a:extLst>
            </xdr:cNvPr>
            <xdr:cNvSpPr txBox="1"/>
          </xdr:nvSpPr>
          <xdr:spPr>
            <a:xfrm>
              <a:off x="11390621" y="29165550"/>
              <a:ext cx="951675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𝑎𝑑𝑑𝑒𝑑</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𝑓𝑙𝑜𝑜𝑟</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𝑓𝑙𝑜𝑜𝑟</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∗1000</m:t>
                        </m:r>
                      </m:den>
                    </m:f>
                  </m:oMath>
                </m:oMathPara>
              </a14:m>
              <a:endParaRPr lang="en-US" sz="1400"/>
            </a:p>
          </xdr:txBody>
        </xdr:sp>
      </mc:Choice>
      <mc:Fallback xmlns="">
        <xdr:sp macro="" textlink="">
          <xdr:nvSpPr>
            <xdr:cNvPr id="39" name="TextBox 38">
              <a:extLst>
                <a:ext uri="{FF2B5EF4-FFF2-40B4-BE49-F238E27FC236}">
                  <a16:creationId xmlns:a16="http://schemas.microsoft.com/office/drawing/2014/main" id="{00000000-0008-0000-0700-000027000000}"/>
                </a:ext>
              </a:extLst>
            </xdr:cNvPr>
            <xdr:cNvSpPr txBox="1"/>
          </xdr:nvSpPr>
          <xdr:spPr>
            <a:xfrm>
              <a:off x="11400962" y="90623571"/>
              <a:ext cx="9200252" cy="10240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−1/(𝑅_𝑜𝑙𝑑+𝑅_𝑎𝑑𝑑𝑒𝑑 ))∗𝐴_𝑓𝑙𝑜𝑜𝑟∗(1−𝐹𝑟𝑎𝑚𝑖𝑛𝑔𝐹𝑎𝑐𝑡𝑜𝑟_𝑓𝑙𝑜𝑜𝑟 )∗𝐶𝐷𝐷∗24∗𝐷𝑈𝐴))/(𝜂𝑐𝑜𝑜𝑙∗1000)</a:t>
              </a:r>
              <a:endParaRPr lang="en-US" sz="1400"/>
            </a:p>
          </xdr:txBody>
        </xdr:sp>
      </mc:Fallback>
    </mc:AlternateContent>
    <xdr:clientData/>
  </xdr:twoCellAnchor>
  <xdr:twoCellAnchor>
    <xdr:from>
      <xdr:col>4</xdr:col>
      <xdr:colOff>3254</xdr:colOff>
      <xdr:row>457</xdr:row>
      <xdr:rowOff>0</xdr:rowOff>
    </xdr:from>
    <xdr:to>
      <xdr:col>4</xdr:col>
      <xdr:colOff>2739839</xdr:colOff>
      <xdr:row>457</xdr:row>
      <xdr:rowOff>0</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00000000-0008-0000-0700-000028000000}"/>
                </a:ext>
              </a:extLst>
            </xdr:cNvPr>
            <xdr:cNvSpPr txBox="1"/>
          </xdr:nvSpPr>
          <xdr:spPr>
            <a:xfrm>
              <a:off x="3575129" y="29165550"/>
              <a:ext cx="273658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40" name="TextBox 39">
              <a:extLst>
                <a:ext uri="{FF2B5EF4-FFF2-40B4-BE49-F238E27FC236}">
                  <a16:creationId xmlns:a16="http://schemas.microsoft.com/office/drawing/2014/main" id="{00000000-0008-0000-0700-000028000000}"/>
                </a:ext>
              </a:extLst>
            </xdr:cNvPr>
            <xdr:cNvSpPr txBox="1"/>
          </xdr:nvSpPr>
          <xdr:spPr>
            <a:xfrm>
              <a:off x="3578123" y="91563327"/>
              <a:ext cx="2740395" cy="2906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4</xdr:col>
      <xdr:colOff>784315</xdr:colOff>
      <xdr:row>495</xdr:row>
      <xdr:rowOff>0</xdr:rowOff>
    </xdr:from>
    <xdr:to>
      <xdr:col>14</xdr:col>
      <xdr:colOff>1631</xdr:colOff>
      <xdr:row>495</xdr:row>
      <xdr:rowOff>0</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00000000-0008-0000-0700-000029000000}"/>
                </a:ext>
              </a:extLst>
            </xdr:cNvPr>
            <xdr:cNvSpPr txBox="1"/>
          </xdr:nvSpPr>
          <xdr:spPr>
            <a:xfrm>
              <a:off x="4356190" y="30794325"/>
              <a:ext cx="158003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100"/>
            </a:p>
          </xdr:txBody>
        </xdr:sp>
      </mc:Choice>
      <mc:Fallback xmlns="">
        <xdr:sp macro="" textlink="">
          <xdr:nvSpPr>
            <xdr:cNvPr id="41" name="TextBox 40">
              <a:extLst>
                <a:ext uri="{FF2B5EF4-FFF2-40B4-BE49-F238E27FC236}">
                  <a16:creationId xmlns:a16="http://schemas.microsoft.com/office/drawing/2014/main" id="{00000000-0008-0000-0700-000029000000}"/>
                </a:ext>
              </a:extLst>
            </xdr:cNvPr>
            <xdr:cNvSpPr txBox="1"/>
          </xdr:nvSpPr>
          <xdr:spPr>
            <a:xfrm>
              <a:off x="4368709" y="99733826"/>
              <a:ext cx="15484111" cy="3281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100"/>
            </a:p>
          </xdr:txBody>
        </xdr:sp>
      </mc:Fallback>
    </mc:AlternateContent>
    <xdr:clientData/>
  </xdr:twoCellAnchor>
  <xdr:twoCellAnchor>
    <xdr:from>
      <xdr:col>4</xdr:col>
      <xdr:colOff>777901</xdr:colOff>
      <xdr:row>495</xdr:row>
      <xdr:rowOff>0</xdr:rowOff>
    </xdr:from>
    <xdr:to>
      <xdr:col>14</xdr:col>
      <xdr:colOff>0</xdr:colOff>
      <xdr:row>495</xdr:row>
      <xdr:rowOff>0</xdr:rowOff>
    </xdr:to>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00000000-0008-0000-0700-00002A000000}"/>
                </a:ext>
              </a:extLst>
            </xdr:cNvPr>
            <xdr:cNvSpPr txBox="1"/>
          </xdr:nvSpPr>
          <xdr:spPr>
            <a:xfrm>
              <a:off x="4349776" y="30794325"/>
              <a:ext cx="1580512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42" name="TextBox 41">
              <a:extLst>
                <a:ext uri="{FF2B5EF4-FFF2-40B4-BE49-F238E27FC236}">
                  <a16:creationId xmlns:a16="http://schemas.microsoft.com/office/drawing/2014/main" id="{00000000-0008-0000-0700-00002A000000}"/>
                </a:ext>
              </a:extLst>
            </xdr:cNvPr>
            <xdr:cNvSpPr txBox="1"/>
          </xdr:nvSpPr>
          <xdr:spPr>
            <a:xfrm>
              <a:off x="4350865" y="99379299"/>
              <a:ext cx="15501956" cy="3474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4</xdr:col>
      <xdr:colOff>96226</xdr:colOff>
      <xdr:row>495</xdr:row>
      <xdr:rowOff>0</xdr:rowOff>
    </xdr:from>
    <xdr:to>
      <xdr:col>14</xdr:col>
      <xdr:colOff>1631</xdr:colOff>
      <xdr:row>495</xdr:row>
      <xdr:rowOff>0</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00000000-0008-0000-0700-00002B000000}"/>
                </a:ext>
              </a:extLst>
            </xdr:cNvPr>
            <xdr:cNvSpPr txBox="1"/>
          </xdr:nvSpPr>
          <xdr:spPr>
            <a:xfrm>
              <a:off x="3668101" y="30794325"/>
              <a:ext cx="1648843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43" name="TextBox 42">
              <a:extLst>
                <a:ext uri="{FF2B5EF4-FFF2-40B4-BE49-F238E27FC236}">
                  <a16:creationId xmlns:a16="http://schemas.microsoft.com/office/drawing/2014/main" id="{00000000-0008-0000-0700-00002B000000}"/>
                </a:ext>
              </a:extLst>
            </xdr:cNvPr>
            <xdr:cNvSpPr txBox="1"/>
          </xdr:nvSpPr>
          <xdr:spPr>
            <a:xfrm>
              <a:off x="3667285" y="100090072"/>
              <a:ext cx="16177915" cy="2626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7</xdr:col>
      <xdr:colOff>401494</xdr:colOff>
      <xdr:row>525</xdr:row>
      <xdr:rowOff>0</xdr:rowOff>
    </xdr:from>
    <xdr:to>
      <xdr:col>12</xdr:col>
      <xdr:colOff>0</xdr:colOff>
      <xdr:row>525</xdr:row>
      <xdr:rowOff>0</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00000000-0008-0000-0700-00002C000000}"/>
                </a:ext>
              </a:extLst>
            </xdr:cNvPr>
            <xdr:cNvSpPr txBox="1"/>
          </xdr:nvSpPr>
          <xdr:spPr>
            <a:xfrm>
              <a:off x="12869719" y="32461200"/>
              <a:ext cx="536113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𝑡h𝑒𝑟𝑚𝑠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𝑛𝑒𝑤</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𝐸𝐹𝐿𝐻h𝑒𝑎𝑡</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𝐴𝑣𝑔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h𝑒𝑎𝑡𝑖𝑛𝑔</m:t>
                            </m:r>
                          </m:sub>
                        </m:sSub>
                      </m:num>
                      <m:den>
                        <m:r>
                          <a:rPr lang="en-US" sz="1400" b="0" i="1">
                            <a:latin typeface="Cambria Math" panose="02040503050406030204" pitchFamily="18" charset="0"/>
                            <a:ea typeface="Cambria Math" panose="02040503050406030204" pitchFamily="18" charset="0"/>
                          </a:rPr>
                          <m:t>(100,000∗</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𝐸𝑓𝑓</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en>
                    </m:f>
                    <m:r>
                      <a:rPr lang="en-US" sz="1400" b="0" i="1">
                        <a:latin typeface="Cambria Math" panose="02040503050406030204" pitchFamily="18" charset="0"/>
                        <a:ea typeface="Cambria Math" panose="02040503050406030204" pitchFamily="18" charset="0"/>
                      </a:rPr>
                      <m:t> </m:t>
                    </m:r>
                  </m:oMath>
                </m:oMathPara>
              </a14:m>
              <a:endParaRPr lang="en-US" sz="1400"/>
            </a:p>
          </xdr:txBody>
        </xdr:sp>
      </mc:Choice>
      <mc:Fallback xmlns="">
        <xdr:sp macro="" textlink="">
          <xdr:nvSpPr>
            <xdr:cNvPr id="44" name="TextBox 43">
              <a:extLst>
                <a:ext uri="{FF2B5EF4-FFF2-40B4-BE49-F238E27FC236}">
                  <a16:creationId xmlns:a16="http://schemas.microsoft.com/office/drawing/2014/main" id="{00000000-0008-0000-0700-00002C000000}"/>
                </a:ext>
              </a:extLst>
            </xdr:cNvPr>
            <xdr:cNvSpPr txBox="1"/>
          </xdr:nvSpPr>
          <xdr:spPr>
            <a:xfrm>
              <a:off x="12772564" y="109545119"/>
              <a:ext cx="5148043" cy="84825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𝑡ℎ𝑒𝑟𝑚𝑠=((1/𝑅_𝑒𝑥𝑖𝑠𝑡𝑖𝑛𝑔 −</a:t>
              </a:r>
              <a:r>
                <a:rPr lang="en-US" sz="1400" b="0" i="0">
                  <a:solidFill>
                    <a:schemeClr val="tx1"/>
                  </a:solidFill>
                  <a:effectLst/>
                  <a:latin typeface="Cambria Math" panose="02040503050406030204" pitchFamily="18" charset="0"/>
                  <a:ea typeface="+mn-ea"/>
                  <a:cs typeface="+mn-cs"/>
                </a:rPr>
                <a:t>1/𝑅_𝑛𝑒𝑤 )</a:t>
              </a:r>
              <a:r>
                <a:rPr lang="en-US" sz="1400" b="0" i="0">
                  <a:latin typeface="Cambria Math" panose="02040503050406030204" pitchFamily="18" charset="0"/>
                  <a:ea typeface="Cambria Math" panose="02040503050406030204" pitchFamily="18" charset="0"/>
                </a:rPr>
                <a:t>∗𝐴𝑟𝑒𝑎∗𝐸𝐹𝐿𝐻ℎ𝑒𝑎𝑡∗∆𝑇_(𝐴𝑣𝑔,ℎ𝑒𝑎𝑡𝑖𝑛𝑔))/((100,000∗〖𝐸𝑓𝑓〗_ℎ𝑒𝑎𝑡))  </a:t>
              </a:r>
              <a:endParaRPr lang="en-US" sz="1400"/>
            </a:p>
          </xdr:txBody>
        </xdr:sp>
      </mc:Fallback>
    </mc:AlternateContent>
    <xdr:clientData/>
  </xdr:twoCellAnchor>
  <xdr:twoCellAnchor>
    <xdr:from>
      <xdr:col>4</xdr:col>
      <xdr:colOff>705394</xdr:colOff>
      <xdr:row>525</xdr:row>
      <xdr:rowOff>0</xdr:rowOff>
    </xdr:from>
    <xdr:to>
      <xdr:col>6</xdr:col>
      <xdr:colOff>0</xdr:colOff>
      <xdr:row>525</xdr:row>
      <xdr:rowOff>0</xdr:rowOff>
    </xdr:to>
    <mc:AlternateContent xmlns:mc="http://schemas.openxmlformats.org/markup-compatibility/2006" xmlns:a14="http://schemas.microsoft.com/office/drawing/2010/main">
      <mc:Choice Requires="a14">
        <xdr:sp macro="" textlink="">
          <xdr:nvSpPr>
            <xdr:cNvPr id="45" name="TextBox 44">
              <a:extLst>
                <a:ext uri="{FF2B5EF4-FFF2-40B4-BE49-F238E27FC236}">
                  <a16:creationId xmlns:a16="http://schemas.microsoft.com/office/drawing/2014/main" id="{00000000-0008-0000-0700-00002D000000}"/>
                </a:ext>
              </a:extLst>
            </xdr:cNvPr>
            <xdr:cNvSpPr txBox="1"/>
          </xdr:nvSpPr>
          <xdr:spPr>
            <a:xfrm>
              <a:off x="4277269" y="32461200"/>
              <a:ext cx="671458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𝐴𝑉𝐺</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𝑐𝑜𝑜𝑙𝑖𝑛𝑔</m:t>
                                </m:r>
                              </m:sub>
                            </m:sSub>
                          </m:e>
                        </m:d>
                      </m:num>
                      <m:den>
                        <m:r>
                          <a:rPr lang="en-US" sz="1400" b="0" i="1">
                            <a:latin typeface="Cambria Math" panose="02040503050406030204" pitchFamily="18" charset="0"/>
                            <a:ea typeface="Cambria Math" panose="02040503050406030204" pitchFamily="18" charset="0"/>
                          </a:rPr>
                          <m:t>1000∗</m:t>
                        </m:r>
                        <m:r>
                          <a:rPr lang="en-US" sz="1400" b="0" i="1">
                            <a:latin typeface="Cambria Math" panose="02040503050406030204" pitchFamily="18" charset="0"/>
                            <a:ea typeface="Cambria Math" panose="02040503050406030204" pitchFamily="18" charset="0"/>
                          </a:rPr>
                          <m:t>𝑆𝐸𝐸𝑅</m:t>
                        </m:r>
                      </m:den>
                    </m:f>
                  </m:oMath>
                </m:oMathPara>
              </a14:m>
              <a:endParaRPr lang="en-US" sz="1400"/>
            </a:p>
          </xdr:txBody>
        </xdr:sp>
      </mc:Choice>
      <mc:Fallback xmlns="">
        <xdr:sp macro="" textlink="">
          <xdr:nvSpPr>
            <xdr:cNvPr id="45" name="TextBox 44">
              <a:extLst>
                <a:ext uri="{FF2B5EF4-FFF2-40B4-BE49-F238E27FC236}">
                  <a16:creationId xmlns:a16="http://schemas.microsoft.com/office/drawing/2014/main" id="{00000000-0008-0000-0700-00002D000000}"/>
                </a:ext>
              </a:extLst>
            </xdr:cNvPr>
            <xdr:cNvSpPr txBox="1"/>
          </xdr:nvSpPr>
          <xdr:spPr>
            <a:xfrm>
              <a:off x="4272643" y="108668436"/>
              <a:ext cx="6721928" cy="916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𝑘𝑊ℎ_𝑐𝑜𝑜𝑙𝑖𝑛𝑔=(((1/𝑅_𝑒𝑥𝑖𝑠𝑡𝑖𝑛𝑔 −1/𝑅_(𝑛𝑒𝑤 ) )∗𝐴𝑟𝑒𝑎∗𝐸𝐹𝐿𝐻_𝑐𝑜𝑜𝑙∗</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𝑇_(𝐴𝑉𝐺,𝑐𝑜𝑜𝑙𝑖𝑛𝑔) ))/(1000∗𝑆𝐸𝐸𝑅)</a:t>
              </a:r>
              <a:endParaRPr lang="en-US" sz="1400"/>
            </a:p>
          </xdr:txBody>
        </xdr:sp>
      </mc:Fallback>
    </mc:AlternateContent>
    <xdr:clientData/>
  </xdr:twoCellAnchor>
  <xdr:twoCellAnchor>
    <xdr:from>
      <xdr:col>4</xdr:col>
      <xdr:colOff>95251</xdr:colOff>
      <xdr:row>525</xdr:row>
      <xdr:rowOff>0</xdr:rowOff>
    </xdr:from>
    <xdr:to>
      <xdr:col>12</xdr:col>
      <xdr:colOff>272</xdr:colOff>
      <xdr:row>525</xdr:row>
      <xdr:rowOff>0</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00000000-0008-0000-0700-00002E000000}"/>
                </a:ext>
              </a:extLst>
            </xdr:cNvPr>
            <xdr:cNvSpPr txBox="1"/>
          </xdr:nvSpPr>
          <xdr:spPr>
            <a:xfrm>
              <a:off x="3667126" y="32461200"/>
              <a:ext cx="145639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l-GR" sz="1400" b="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𝐶𝑜𝑜𝑙𝑖𝑛𝑔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l-GR" sz="1400" b="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𝐻𝑒𝑎𝑡𝑖𝑛𝑔𝐸𝑙𝑒𝑐𝑡𝑟𝑖𝑐</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𝐻𝑒𝑎𝑡𝑖𝑛𝑔𝐺𝑎𝑠</m:t>
                        </m:r>
                      </m:sub>
                    </m:sSub>
                  </m:oMath>
                </m:oMathPara>
              </a14:m>
              <a:endParaRPr lang="en-US" sz="1400">
                <a:solidFill>
                  <a:sysClr val="windowText" lastClr="000000"/>
                </a:solidFill>
              </a:endParaRPr>
            </a:p>
          </xdr:txBody>
        </xdr:sp>
      </mc:Choice>
      <mc:Fallback xmlns="">
        <xdr:sp macro="" textlink="">
          <xdr:nvSpPr>
            <xdr:cNvPr id="46" name="TextBox 45">
              <a:extLst>
                <a:ext uri="{FF2B5EF4-FFF2-40B4-BE49-F238E27FC236}">
                  <a16:creationId xmlns:a16="http://schemas.microsoft.com/office/drawing/2014/main" id="{00000000-0008-0000-0700-00002E000000}"/>
                </a:ext>
              </a:extLst>
            </xdr:cNvPr>
            <xdr:cNvSpPr txBox="1"/>
          </xdr:nvSpPr>
          <xdr:spPr>
            <a:xfrm>
              <a:off x="3673930" y="108380893"/>
              <a:ext cx="14244772" cy="3463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l-GR" sz="1400" b="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𝑘𝑊ℎ_𝐶𝑜𝑜𝑙𝑖𝑛𝑔+</a:t>
              </a:r>
              <a:r>
                <a:rPr lang="el-GR" sz="1400" b="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𝑘𝑊ℎ_𝐻𝑒𝑎𝑡𝑖𝑛𝑔𝐸𝑙𝑒𝑐𝑡𝑟𝑖𝑐+Δ𝑘𝑊ℎ_𝐻𝑒𝑎𝑡𝑖𝑛𝑔𝐺𝑎𝑠</a:t>
              </a:r>
              <a:endParaRPr lang="en-US" sz="1400">
                <a:solidFill>
                  <a:sysClr val="windowText" lastClr="000000"/>
                </a:solidFill>
              </a:endParaRPr>
            </a:p>
          </xdr:txBody>
        </xdr:sp>
      </mc:Fallback>
    </mc:AlternateContent>
    <xdr:clientData/>
  </xdr:twoCellAnchor>
  <xdr:twoCellAnchor>
    <xdr:from>
      <xdr:col>4</xdr:col>
      <xdr:colOff>705394</xdr:colOff>
      <xdr:row>525</xdr:row>
      <xdr:rowOff>0</xdr:rowOff>
    </xdr:from>
    <xdr:to>
      <xdr:col>6</xdr:col>
      <xdr:colOff>0</xdr:colOff>
      <xdr:row>525</xdr:row>
      <xdr:rowOff>0</xdr:rowOff>
    </xdr:to>
    <mc:AlternateContent xmlns:mc="http://schemas.openxmlformats.org/markup-compatibility/2006" xmlns:a14="http://schemas.microsoft.com/office/drawing/2010/main">
      <mc:Choice Requires="a14">
        <xdr:sp macro="" textlink="">
          <xdr:nvSpPr>
            <xdr:cNvPr id="47" name="TextBox 46">
              <a:extLst>
                <a:ext uri="{FF2B5EF4-FFF2-40B4-BE49-F238E27FC236}">
                  <a16:creationId xmlns:a16="http://schemas.microsoft.com/office/drawing/2014/main" id="{00000000-0008-0000-0700-00002F000000}"/>
                </a:ext>
              </a:extLst>
            </xdr:cNvPr>
            <xdr:cNvSpPr txBox="1"/>
          </xdr:nvSpPr>
          <xdr:spPr>
            <a:xfrm>
              <a:off x="4277269" y="32461200"/>
              <a:ext cx="671458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𝐴𝑉𝐺</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h𝑒𝑎𝑡𝑖𝑛𝑔</m:t>
                                </m:r>
                              </m:sub>
                            </m:sSub>
                          </m:e>
                        </m:d>
                      </m:num>
                      <m:den>
                        <m:r>
                          <a:rPr lang="en-US" sz="1400" b="0" i="1">
                            <a:latin typeface="Cambria Math" panose="02040503050406030204" pitchFamily="18" charset="0"/>
                            <a:ea typeface="Cambria Math" panose="02040503050406030204" pitchFamily="18" charset="0"/>
                          </a:rPr>
                          <m:t>3412∗</m:t>
                        </m:r>
                        <m:r>
                          <a:rPr lang="en-US" sz="1400" b="0" i="1">
                            <a:latin typeface="Cambria Math" panose="02040503050406030204" pitchFamily="18" charset="0"/>
                            <a:ea typeface="Cambria Math" panose="02040503050406030204" pitchFamily="18" charset="0"/>
                          </a:rPr>
                          <m:t>𝐶𝑂𝑃</m:t>
                        </m:r>
                      </m:den>
                    </m:f>
                  </m:oMath>
                </m:oMathPara>
              </a14:m>
              <a:endParaRPr lang="en-US" sz="1400"/>
            </a:p>
          </xdr:txBody>
        </xdr:sp>
      </mc:Choice>
      <mc:Fallback xmlns="">
        <xdr:sp macro="" textlink="">
          <xdr:nvSpPr>
            <xdr:cNvPr id="47" name="TextBox 46">
              <a:extLst>
                <a:ext uri="{FF2B5EF4-FFF2-40B4-BE49-F238E27FC236}">
                  <a16:creationId xmlns:a16="http://schemas.microsoft.com/office/drawing/2014/main" id="{00000000-0008-0000-0700-00002F000000}"/>
                </a:ext>
              </a:extLst>
            </xdr:cNvPr>
            <xdr:cNvSpPr txBox="1"/>
          </xdr:nvSpPr>
          <xdr:spPr>
            <a:xfrm>
              <a:off x="4272643" y="109524581"/>
              <a:ext cx="6721928" cy="828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𝑘𝑊ℎ_𝐻𝑒𝑎𝑡𝑖𝑛𝑔𝐸𝑙𝑒𝑐𝑡𝑟𝑖𝑐=(((1/𝑅_𝑒𝑥𝑖𝑠𝑡𝑖𝑛𝑔 −1/𝑅_(𝑛𝑒𝑤 ) )∗𝐴𝑟𝑒𝑎∗𝐸𝐹𝐿𝐻_ℎ𝑒𝑎𝑡∗</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𝑇_(𝐴𝑉𝐺,ℎ𝑒𝑎𝑡𝑖𝑛𝑔) ))/(3412∗𝐶𝑂𝑃)</a:t>
              </a:r>
              <a:endParaRPr lang="en-US" sz="1400"/>
            </a:p>
          </xdr:txBody>
        </xdr:sp>
      </mc:Fallback>
    </mc:AlternateContent>
    <xdr:clientData/>
  </xdr:twoCellAnchor>
  <xdr:twoCellAnchor>
    <xdr:from>
      <xdr:col>7</xdr:col>
      <xdr:colOff>363310</xdr:colOff>
      <xdr:row>525</xdr:row>
      <xdr:rowOff>0</xdr:rowOff>
    </xdr:from>
    <xdr:to>
      <xdr:col>12</xdr:col>
      <xdr:colOff>271</xdr:colOff>
      <xdr:row>525</xdr:row>
      <xdr:rowOff>0</xdr:rowOff>
    </xdr:to>
    <mc:AlternateContent xmlns:mc="http://schemas.openxmlformats.org/markup-compatibility/2006" xmlns:a14="http://schemas.microsoft.com/office/drawing/2010/main">
      <mc:Choice Requires="a14">
        <xdr:sp macro="" textlink="">
          <xdr:nvSpPr>
            <xdr:cNvPr id="48" name="TextBox 47">
              <a:extLst>
                <a:ext uri="{FF2B5EF4-FFF2-40B4-BE49-F238E27FC236}">
                  <a16:creationId xmlns:a16="http://schemas.microsoft.com/office/drawing/2014/main" id="{00000000-0008-0000-0700-000030000000}"/>
                </a:ext>
              </a:extLst>
            </xdr:cNvPr>
            <xdr:cNvSpPr txBox="1"/>
          </xdr:nvSpPr>
          <xdr:spPr>
            <a:xfrm>
              <a:off x="12831535" y="32461200"/>
              <a:ext cx="53995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𝐻𝑒𝑎𝑡𝑖𝑛𝑔𝐺𝑎𝑠</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𝐹𝑒</m:t>
                    </m:r>
                    <m:r>
                      <a:rPr lang="en-US" sz="1400" b="0" i="1">
                        <a:latin typeface="Cambria Math" panose="02040503050406030204" pitchFamily="18" charset="0"/>
                        <a:ea typeface="Cambria Math" panose="02040503050406030204" pitchFamily="18" charset="0"/>
                      </a:rPr>
                      <m:t>∗29.3</m:t>
                    </m:r>
                  </m:oMath>
                </m:oMathPara>
              </a14:m>
              <a:endParaRPr lang="en-US" sz="1400"/>
            </a:p>
          </xdr:txBody>
        </xdr:sp>
      </mc:Choice>
      <mc:Fallback xmlns="">
        <xdr:sp macro="" textlink="">
          <xdr:nvSpPr>
            <xdr:cNvPr id="48" name="TextBox 47">
              <a:extLst>
                <a:ext uri="{FF2B5EF4-FFF2-40B4-BE49-F238E27FC236}">
                  <a16:creationId xmlns:a16="http://schemas.microsoft.com/office/drawing/2014/main" id="{00000000-0008-0000-0700-000030000000}"/>
                </a:ext>
              </a:extLst>
            </xdr:cNvPr>
            <xdr:cNvSpPr txBox="1"/>
          </xdr:nvSpPr>
          <xdr:spPr>
            <a:xfrm>
              <a:off x="12738190" y="108958358"/>
              <a:ext cx="5180511" cy="401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𝑘𝑊ℎ_𝐻𝑒𝑎𝑡𝑖𝑛𝑔𝐺𝑎𝑠=</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𝑇ℎ𝑒𝑟𝑚𝑠∗𝐹𝑒∗29.3</a:t>
              </a:r>
              <a:endParaRPr lang="en-US" sz="1400"/>
            </a:p>
          </xdr:txBody>
        </xdr:sp>
      </mc:Fallback>
    </mc:AlternateContent>
    <xdr:clientData/>
  </xdr:twoCellAnchor>
  <xdr:twoCellAnchor>
    <xdr:from>
      <xdr:col>8</xdr:col>
      <xdr:colOff>2381</xdr:colOff>
      <xdr:row>680</xdr:row>
      <xdr:rowOff>0</xdr:rowOff>
    </xdr:from>
    <xdr:to>
      <xdr:col>8</xdr:col>
      <xdr:colOff>3567</xdr:colOff>
      <xdr:row>680</xdr:row>
      <xdr:rowOff>172227</xdr:rowOff>
    </xdr:to>
    <xdr:sp macro="" textlink="">
      <xdr:nvSpPr>
        <xdr:cNvPr id="49" name="TextBox 48">
          <a:extLst>
            <a:ext uri="{FF2B5EF4-FFF2-40B4-BE49-F238E27FC236}">
              <a16:creationId xmlns:a16="http://schemas.microsoft.com/office/drawing/2014/main" id="{00000000-0008-0000-0700-000031000000}"/>
            </a:ext>
          </a:extLst>
        </xdr:cNvPr>
        <xdr:cNvSpPr txBox="1"/>
      </xdr:nvSpPr>
      <xdr:spPr>
        <a:xfrm>
          <a:off x="14013656" y="39233475"/>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8</xdr:col>
      <xdr:colOff>2381</xdr:colOff>
      <xdr:row>680</xdr:row>
      <xdr:rowOff>0</xdr:rowOff>
    </xdr:from>
    <xdr:to>
      <xdr:col>8</xdr:col>
      <xdr:colOff>3567</xdr:colOff>
      <xdr:row>680</xdr:row>
      <xdr:rowOff>172227</xdr:rowOff>
    </xdr:to>
    <xdr:sp macro="" textlink="">
      <xdr:nvSpPr>
        <xdr:cNvPr id="50" name="TextBox 49">
          <a:extLst>
            <a:ext uri="{FF2B5EF4-FFF2-40B4-BE49-F238E27FC236}">
              <a16:creationId xmlns:a16="http://schemas.microsoft.com/office/drawing/2014/main" id="{00000000-0008-0000-0700-000032000000}"/>
            </a:ext>
          </a:extLst>
        </xdr:cNvPr>
        <xdr:cNvSpPr txBox="1"/>
      </xdr:nvSpPr>
      <xdr:spPr>
        <a:xfrm>
          <a:off x="14013656" y="39233475"/>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15783</xdr:colOff>
      <xdr:row>710</xdr:row>
      <xdr:rowOff>0</xdr:rowOff>
    </xdr:from>
    <xdr:to>
      <xdr:col>12</xdr:col>
      <xdr:colOff>0</xdr:colOff>
      <xdr:row>710</xdr:row>
      <xdr:rowOff>0</xdr:rowOff>
    </xdr:to>
    <mc:AlternateContent xmlns:mc="http://schemas.openxmlformats.org/markup-compatibility/2006" xmlns:a14="http://schemas.microsoft.com/office/drawing/2010/main">
      <mc:Choice Requires="a14">
        <xdr:sp macro="" textlink="">
          <xdr:nvSpPr>
            <xdr:cNvPr id="51" name="TextBox 50">
              <a:extLst>
                <a:ext uri="{FF2B5EF4-FFF2-40B4-BE49-F238E27FC236}">
                  <a16:creationId xmlns:a16="http://schemas.microsoft.com/office/drawing/2014/main" id="{00000000-0008-0000-0700-000033000000}"/>
                </a:ext>
                <a:ext uri="{147F2762-F138-4A5C-976F-8EAC2B608ADB}">
                  <a16:predDERef xmlns:a16="http://schemas.microsoft.com/office/drawing/2014/main" pred="{C5BB5102-D9F1-463D-BAA9-08D2DB821553}"/>
                </a:ext>
              </a:extLst>
            </xdr:cNvPr>
            <xdr:cNvSpPr txBox="1"/>
          </xdr:nvSpPr>
          <xdr:spPr>
            <a:xfrm>
              <a:off x="3587658" y="45100875"/>
              <a:ext cx="1464319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m:rPr>
                      <m:sty m:val="p"/>
                    </m:rPr>
                    <a:rPr lang="en-US" sz="1400" i="1">
                      <a:solidFill>
                        <a:schemeClr val="tx1"/>
                      </a:solidFill>
                      <a:effectLst/>
                      <a:latin typeface="Cambria Math" panose="02040503050406030204" pitchFamily="18" charset="0"/>
                      <a:ea typeface="+mn-ea"/>
                      <a:cs typeface="+mn-cs"/>
                    </a:rPr>
                    <m:t>Δ</m:t>
                  </m:r>
                  <m:r>
                    <a:rPr lang="en-US" sz="1400" i="1">
                      <a:solidFill>
                        <a:schemeClr val="tx1"/>
                      </a:solidFill>
                      <a:effectLst/>
                      <a:latin typeface="Cambria Math" panose="02040503050406030204" pitchFamily="18" charset="0"/>
                      <a:ea typeface="+mn-ea"/>
                      <a:cs typeface="+mn-cs"/>
                    </a:rPr>
                    <m:t>𝑘𝑊h𝐴𝑆𝐻𝑃</m:t>
                  </m:r>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d>
                        <m:dPr>
                          <m:ctrlPr>
                            <a:rPr lang="en-US" sz="1400" i="1">
                              <a:solidFill>
                                <a:schemeClr val="tx1"/>
                              </a:solidFill>
                              <a:effectLst/>
                              <a:latin typeface="Cambria Math" panose="02040503050406030204" pitchFamily="18" charset="0"/>
                              <a:ea typeface="+mn-ea"/>
                              <a:cs typeface="+mn-cs"/>
                            </a:rPr>
                          </m:ctrlPr>
                        </m:dPr>
                        <m:e>
                          <m:r>
                            <a:rPr lang="en-US" sz="1400" i="1">
                              <a:solidFill>
                                <a:schemeClr val="tx1"/>
                              </a:solidFill>
                              <a:effectLst/>
                              <a:latin typeface="Cambria Math" panose="02040503050406030204" pitchFamily="18" charset="0"/>
                              <a:ea typeface="+mn-ea"/>
                              <a:cs typeface="+mn-cs"/>
                            </a:rPr>
                            <m:t>𝐸𝐹𝐿</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𝐻</m:t>
                              </m:r>
                            </m:e>
                            <m:sub>
                              <m:r>
                                <a:rPr lang="en-US" sz="1400" i="1">
                                  <a:solidFill>
                                    <a:schemeClr val="tx1"/>
                                  </a:solidFill>
                                  <a:effectLst/>
                                  <a:latin typeface="Cambria Math" panose="02040503050406030204" pitchFamily="18" charset="0"/>
                                  <a:ea typeface="+mn-ea"/>
                                  <a:cs typeface="+mn-cs"/>
                                </a:rPr>
                                <m:t>𝑐𝑜𝑜𝑙</m:t>
                              </m:r>
                            </m:sub>
                          </m:sSub>
                          <m:r>
                            <a:rPr lang="en-US" sz="1400" i="1">
                              <a:solidFill>
                                <a:schemeClr val="tx1"/>
                              </a:solidFill>
                              <a:effectLst/>
                              <a:latin typeface="Cambria Math" panose="02040503050406030204" pitchFamily="18" charset="0"/>
                              <a:ea typeface="+mn-ea"/>
                              <a:cs typeface="+mn-cs"/>
                            </a:rPr>
                            <m:t> ∗ </m:t>
                          </m:r>
                          <m:r>
                            <a:rPr lang="en-US" sz="1400" i="1">
                              <a:solidFill>
                                <a:schemeClr val="tx1"/>
                              </a:solidFill>
                              <a:effectLst/>
                              <a:latin typeface="Cambria Math" panose="02040503050406030204" pitchFamily="18" charset="0"/>
                              <a:ea typeface="+mn-ea"/>
                              <a:cs typeface="+mn-cs"/>
                            </a:rPr>
                            <m:t>𝐶𝑎𝑝𝑎𝑐𝑖𝑡</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𝑦</m:t>
                              </m:r>
                            </m:e>
                            <m:sub>
                              <m:r>
                                <a:rPr lang="en-US" sz="1400" i="1">
                                  <a:solidFill>
                                    <a:schemeClr val="tx1"/>
                                  </a:solidFill>
                                  <a:effectLst/>
                                  <a:latin typeface="Cambria Math" panose="02040503050406030204" pitchFamily="18" charset="0"/>
                                  <a:ea typeface="+mn-ea"/>
                                  <a:cs typeface="+mn-cs"/>
                                </a:rPr>
                                <m:t>𝑐𝑜𝑜𝑙</m:t>
                              </m:r>
                            </m:sub>
                          </m:sSub>
                          <m:r>
                            <a:rPr lang="en-US" sz="1400" i="1">
                              <a:solidFill>
                                <a:schemeClr val="tx1"/>
                              </a:solidFill>
                              <a:effectLst/>
                              <a:latin typeface="Cambria Math" panose="02040503050406030204" pitchFamily="18" charset="0"/>
                              <a:ea typeface="+mn-ea"/>
                              <a:cs typeface="+mn-cs"/>
                            </a:rPr>
                            <m:t> ∗ </m:t>
                          </m:r>
                          <m:d>
                            <m:dPr>
                              <m:ctrlPr>
                                <a:rPr lang="en-US" sz="140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ysClr val="windowText" lastClr="000000"/>
                                          </a:solidFill>
                                          <a:effectLst/>
                                          <a:latin typeface="Cambria Math" panose="02040503050406030204" pitchFamily="18" charset="0"/>
                                          <a:ea typeface="+mn-ea"/>
                                          <a:cs typeface="+mn-cs"/>
                                        </a:rPr>
                                        <m:t>𝑇𝑒𝑠𝑡</m:t>
                                      </m:r>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𝐼𝑛</m:t>
                                      </m:r>
                                    </m:sub>
                                  </m:sSub>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𝑇𝑒𝑠𝑡𝑂𝑢𝑡</m:t>
                                      </m:r>
                                    </m:sub>
                                  </m:sSub>
                                </m:den>
                              </m:f>
                            </m:e>
                          </m:d>
                        </m:e>
                      </m:d>
                    </m:num>
                    <m:den>
                      <m:r>
                        <a:rPr lang="en-US" sz="1400" i="1">
                          <a:solidFill>
                            <a:schemeClr val="tx1"/>
                          </a:solidFill>
                          <a:effectLst/>
                          <a:latin typeface="Cambria Math" panose="02040503050406030204" pitchFamily="18" charset="0"/>
                          <a:ea typeface="+mn-ea"/>
                          <a:cs typeface="+mn-cs"/>
                        </a:rPr>
                        <m:t>1</m:t>
                      </m:r>
                      <m:r>
                        <a:rPr lang="en-US" sz="1400" b="0" i="1">
                          <a:solidFill>
                            <a:srgbClr val="FF0000"/>
                          </a:solidFill>
                          <a:effectLst/>
                          <a:latin typeface="Cambria Math" panose="02040503050406030204" pitchFamily="18" charset="0"/>
                          <a:ea typeface="+mn-ea"/>
                          <a:cs typeface="+mn-cs"/>
                        </a:rPr>
                        <m:t>,</m:t>
                      </m:r>
                      <m:r>
                        <a:rPr lang="en-US" sz="1400" i="1">
                          <a:solidFill>
                            <a:schemeClr val="tx1"/>
                          </a:solidFill>
                          <a:effectLst/>
                          <a:latin typeface="Cambria Math" panose="02040503050406030204" pitchFamily="18" charset="0"/>
                          <a:ea typeface="+mn-ea"/>
                          <a:cs typeface="+mn-cs"/>
                        </a:rPr>
                        <m:t>000</m:t>
                      </m:r>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d>
                        <m:dPr>
                          <m:ctrlPr>
                            <a:rPr lang="en-US" sz="1400" i="1">
                              <a:solidFill>
                                <a:schemeClr val="tx1"/>
                              </a:solidFill>
                              <a:effectLst/>
                              <a:latin typeface="Cambria Math" panose="02040503050406030204" pitchFamily="18" charset="0"/>
                              <a:ea typeface="+mn-ea"/>
                              <a:cs typeface="+mn-cs"/>
                            </a:rPr>
                          </m:ctrlPr>
                        </m:dPr>
                        <m:e>
                          <m:r>
                            <a:rPr lang="en-US" sz="1400" i="1">
                              <a:solidFill>
                                <a:schemeClr val="tx1"/>
                              </a:solidFill>
                              <a:effectLst/>
                              <a:latin typeface="Cambria Math" panose="02040503050406030204" pitchFamily="18" charset="0"/>
                              <a:ea typeface="+mn-ea"/>
                              <a:cs typeface="+mn-cs"/>
                            </a:rPr>
                            <m:t>𝐸𝐹𝐿</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𝐻</m:t>
                              </m:r>
                            </m:e>
                            <m:sub>
                              <m:r>
                                <a:rPr lang="en-US" sz="1400" i="1">
                                  <a:solidFill>
                                    <a:schemeClr val="tx1"/>
                                  </a:solidFill>
                                  <a:effectLst/>
                                  <a:latin typeface="Cambria Math" panose="02040503050406030204" pitchFamily="18" charset="0"/>
                                  <a:ea typeface="+mn-ea"/>
                                  <a:cs typeface="+mn-cs"/>
                                </a:rPr>
                                <m:t>h𝑒𝑎𝑡</m:t>
                              </m:r>
                            </m:sub>
                          </m:sSub>
                          <m:r>
                            <a:rPr lang="en-US" sz="1400" i="1">
                              <a:solidFill>
                                <a:schemeClr val="tx1"/>
                              </a:solidFill>
                              <a:effectLst/>
                              <a:latin typeface="Cambria Math" panose="02040503050406030204" pitchFamily="18" charset="0"/>
                              <a:ea typeface="+mn-ea"/>
                              <a:cs typeface="+mn-cs"/>
                            </a:rPr>
                            <m:t> ∗ </m:t>
                          </m:r>
                          <m:r>
                            <a:rPr lang="en-US" sz="1400" i="1">
                              <a:solidFill>
                                <a:schemeClr val="tx1"/>
                              </a:solidFill>
                              <a:effectLst/>
                              <a:latin typeface="Cambria Math" panose="02040503050406030204" pitchFamily="18" charset="0"/>
                              <a:ea typeface="+mn-ea"/>
                              <a:cs typeface="+mn-cs"/>
                            </a:rPr>
                            <m:t>𝐶𝑎𝑝𝑎𝑐𝑖𝑡</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𝑦</m:t>
                              </m:r>
                            </m:e>
                            <m:sub>
                              <m:r>
                                <a:rPr lang="en-US" sz="1400" i="1">
                                  <a:solidFill>
                                    <a:schemeClr val="tx1"/>
                                  </a:solidFill>
                                  <a:effectLst/>
                                  <a:latin typeface="Cambria Math" panose="02040503050406030204" pitchFamily="18" charset="0"/>
                                  <a:ea typeface="+mn-ea"/>
                                  <a:cs typeface="+mn-cs"/>
                                </a:rPr>
                                <m:t>h𝑒𝑎𝑡</m:t>
                              </m:r>
                            </m:sub>
                          </m:sSub>
                          <m:r>
                            <a:rPr lang="en-US" sz="1400" i="1">
                              <a:solidFill>
                                <a:schemeClr val="tx1"/>
                              </a:solidFill>
                              <a:effectLst/>
                              <a:latin typeface="Cambria Math" panose="02040503050406030204" pitchFamily="18" charset="0"/>
                              <a:ea typeface="+mn-ea"/>
                              <a:cs typeface="+mn-cs"/>
                            </a:rPr>
                            <m:t> ∗ </m:t>
                          </m:r>
                          <m:d>
                            <m:dPr>
                              <m:ctrlPr>
                                <a:rPr lang="en-US" sz="140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𝐻𝑆𝑃</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𝐹</m:t>
                                      </m:r>
                                    </m:e>
                                    <m:sub>
                                      <m:r>
                                        <a:rPr lang="en-US" sz="1400" b="0" i="1">
                                          <a:solidFill>
                                            <a:sysClr val="windowText" lastClr="000000"/>
                                          </a:solidFill>
                                          <a:effectLst/>
                                          <a:latin typeface="Cambria Math" panose="02040503050406030204" pitchFamily="18" charset="0"/>
                                          <a:ea typeface="+mn-ea"/>
                                          <a:cs typeface="+mn-cs"/>
                                        </a:rPr>
                                        <m:t>𝑇𝑒𝑠𝑡</m:t>
                                      </m:r>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𝐼𝑛</m:t>
                                      </m:r>
                                    </m:sub>
                                  </m:sSub>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𝐻𝑆𝐹</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𝑃</m:t>
                                      </m:r>
                                    </m:e>
                                    <m:sub>
                                      <m:r>
                                        <a:rPr lang="en-US" sz="1400" b="0" i="1">
                                          <a:solidFill>
                                            <a:sysClr val="windowText" lastClr="000000"/>
                                          </a:solidFill>
                                          <a:effectLst/>
                                          <a:latin typeface="Cambria Math" panose="02040503050406030204" pitchFamily="18" charset="0"/>
                                          <a:ea typeface="+mn-ea"/>
                                          <a:cs typeface="+mn-cs"/>
                                        </a:rPr>
                                        <m:t>𝑇𝑒𝑠𝑡</m:t>
                                      </m:r>
                                      <m:r>
                                        <a:rPr lang="en-US" sz="1400" b="0" i="1">
                                          <a:solidFill>
                                            <a:sysClr val="windowText" lastClr="000000"/>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𝑂𝑢𝑡</m:t>
                                      </m:r>
                                    </m:sub>
                                  </m:sSub>
                                </m:den>
                              </m:f>
                            </m:e>
                          </m:d>
                        </m:e>
                      </m:d>
                    </m:num>
                    <m:den>
                      <m:r>
                        <a:rPr lang="en-US" sz="1400" i="1">
                          <a:solidFill>
                            <a:schemeClr val="tx1"/>
                          </a:solidFill>
                          <a:effectLst/>
                          <a:latin typeface="Cambria Math" panose="02040503050406030204" pitchFamily="18" charset="0"/>
                          <a:ea typeface="+mn-ea"/>
                          <a:cs typeface="+mn-cs"/>
                        </a:rPr>
                        <m:t>1000</m:t>
                      </m:r>
                    </m:den>
                  </m:f>
                </m:oMath>
              </a14:m>
              <a:r>
                <a:rPr lang="en-US" sz="1200">
                  <a:solidFill>
                    <a:schemeClr val="tx1"/>
                  </a:solidFill>
                  <a:effectLst/>
                  <a:latin typeface="+mn-lt"/>
                  <a:ea typeface="+mn-ea"/>
                  <a:cs typeface="+mn-cs"/>
                </a:rPr>
                <a:t>  </a:t>
              </a:r>
            </a:p>
          </xdr:txBody>
        </xdr:sp>
      </mc:Choice>
      <mc:Fallback xmlns="">
        <xdr:sp macro="" textlink="">
          <xdr:nvSpPr>
            <xdr:cNvPr id="51" name="TextBox 50">
              <a:extLst>
                <a:ext uri="{FF2B5EF4-FFF2-40B4-BE49-F238E27FC236}">
                  <a16:creationId xmlns:a16="http://schemas.microsoft.com/office/drawing/2014/main" id="{00000000-0008-0000-0700-000033000000}"/>
                </a:ext>
                <a:ext uri="{147F2762-F138-4A5C-976F-8EAC2B608ADB}">
                  <a16:predDERef xmlns:a16="http://schemas.microsoft.com/office/drawing/2014/main" pred="{C5BB5102-D9F1-463D-BAA9-08D2DB821553}"/>
                </a:ext>
              </a:extLst>
            </xdr:cNvPr>
            <xdr:cNvSpPr txBox="1"/>
          </xdr:nvSpPr>
          <xdr:spPr>
            <a:xfrm>
              <a:off x="3594462" y="144161082"/>
              <a:ext cx="14326145" cy="6733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chemeClr val="tx1"/>
                  </a:solidFill>
                  <a:effectLst/>
                  <a:latin typeface="Cambria Math" panose="02040503050406030204" pitchFamily="18" charset="0"/>
                  <a:ea typeface="+mn-ea"/>
                  <a:cs typeface="+mn-cs"/>
                </a:rPr>
                <a:t>Δ𝑘𝑊ℎ𝐴𝑆𝐻𝑃 =((𝐸𝐹𝐿𝐻</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𝑐𝑜𝑜𝑙  ∗ 𝐶𝑎𝑝𝑎𝑐𝑖𝑡𝑦</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𝑐𝑜𝑜𝑙  ∗ (1/(𝑆𝐸𝐸𝑅</a:t>
              </a:r>
              <a:r>
                <a:rPr lang="en-US" sz="1400" b="0" i="0">
                  <a:solidFill>
                    <a:schemeClr val="tx1"/>
                  </a:solidFill>
                  <a:effectLst/>
                  <a:latin typeface="Cambria Math" panose="02040503050406030204" pitchFamily="18" charset="0"/>
                  <a:ea typeface="+mn-ea"/>
                  <a:cs typeface="+mn-cs"/>
                </a:rPr>
                <a:t>_(</a:t>
              </a:r>
              <a:r>
                <a:rPr lang="en-US" sz="1400" b="0" i="0">
                  <a:solidFill>
                    <a:sysClr val="windowText" lastClr="000000"/>
                  </a:solidFill>
                  <a:effectLst/>
                  <a:latin typeface="Cambria Math" panose="02040503050406030204" pitchFamily="18" charset="0"/>
                  <a:ea typeface="+mn-ea"/>
                  <a:cs typeface="+mn-cs"/>
                </a:rPr>
                <a:t>𝑇𝑒𝑠𝑡−𝐼𝑛</a:t>
              </a:r>
              <a:r>
                <a:rPr lang="en-US" sz="1400" b="0" i="0">
                  <a:solidFill>
                    <a:schemeClr val="tx1"/>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 </a:t>
              </a:r>
              <a:r>
                <a:rPr lang="en-US" sz="1400" b="0" i="0">
                  <a:solidFill>
                    <a:schemeClr val="tx1"/>
                  </a:solidFill>
                  <a:effectLst/>
                  <a:latin typeface="Cambria Math" panose="02040503050406030204" pitchFamily="18" charset="0"/>
                  <a:ea typeface="+mn-ea"/>
                  <a:cs typeface="+mn-cs"/>
                </a:rPr>
                <a:t>) </a:t>
              </a:r>
              <a:r>
                <a:rPr lang="en-US" sz="1400" i="0">
                  <a:solidFill>
                    <a:schemeClr val="tx1"/>
                  </a:solidFill>
                  <a:effectLst/>
                  <a:latin typeface="Cambria Math" panose="02040503050406030204" pitchFamily="18" charset="0"/>
                  <a:ea typeface="+mn-ea"/>
                  <a:cs typeface="+mn-cs"/>
                </a:rPr>
                <a:t> −1/(𝑆𝐸𝐸𝑅</a:t>
              </a:r>
              <a:r>
                <a:rPr lang="en-US" sz="1400" b="0" i="0">
                  <a:solidFill>
                    <a:schemeClr val="tx1"/>
                  </a:solidFill>
                  <a:effectLst/>
                  <a:latin typeface="Cambria Math" panose="02040503050406030204" pitchFamily="18" charset="0"/>
                  <a:ea typeface="+mn-ea"/>
                  <a:cs typeface="+mn-cs"/>
                </a:rPr>
                <a:t>_𝑇𝑒𝑠𝑡𝑂𝑢𝑡 ))))/</a:t>
              </a:r>
              <a:r>
                <a:rPr lang="en-US" sz="1400" i="0">
                  <a:solidFill>
                    <a:schemeClr val="tx1"/>
                  </a:solidFill>
                  <a:effectLst/>
                  <a:latin typeface="Cambria Math" panose="02040503050406030204" pitchFamily="18" charset="0"/>
                  <a:ea typeface="+mn-ea"/>
                  <a:cs typeface="+mn-cs"/>
                </a:rPr>
                <a:t>1</a:t>
              </a:r>
              <a:r>
                <a:rPr lang="en-US" sz="1400" b="0" i="0">
                  <a:solidFill>
                    <a:srgbClr val="FF0000"/>
                  </a:solidFill>
                  <a:effectLst/>
                  <a:latin typeface="Cambria Math" panose="02040503050406030204" pitchFamily="18" charset="0"/>
                  <a:ea typeface="+mn-ea"/>
                  <a:cs typeface="+mn-cs"/>
                </a:rPr>
                <a:t>,</a:t>
              </a:r>
              <a:r>
                <a:rPr lang="en-US" sz="1400" i="0">
                  <a:solidFill>
                    <a:schemeClr val="tx1"/>
                  </a:solidFill>
                  <a:effectLst/>
                  <a:latin typeface="Cambria Math" panose="02040503050406030204" pitchFamily="18" charset="0"/>
                  <a:ea typeface="+mn-ea"/>
                  <a:cs typeface="+mn-cs"/>
                </a:rPr>
                <a:t>000  +((𝐸𝐹𝐿𝐻</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ℎ𝑒𝑎𝑡  ∗ 𝐶𝑎𝑝𝑎𝑐𝑖𝑡𝑦</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ℎ𝑒𝑎𝑡  ∗ (1/(𝐻𝑆𝑃𝐹</a:t>
              </a:r>
              <a:r>
                <a:rPr lang="en-US" sz="1400" b="0" i="0">
                  <a:solidFill>
                    <a:schemeClr val="tx1"/>
                  </a:solidFill>
                  <a:effectLst/>
                  <a:latin typeface="Cambria Math" panose="02040503050406030204" pitchFamily="18" charset="0"/>
                  <a:ea typeface="+mn-ea"/>
                  <a:cs typeface="+mn-cs"/>
                </a:rPr>
                <a:t>_(</a:t>
              </a:r>
              <a:r>
                <a:rPr lang="en-US" sz="1400" b="0" i="0">
                  <a:solidFill>
                    <a:sysClr val="windowText" lastClr="000000"/>
                  </a:solidFill>
                  <a:effectLst/>
                  <a:latin typeface="Cambria Math" panose="02040503050406030204" pitchFamily="18" charset="0"/>
                  <a:ea typeface="+mn-ea"/>
                  <a:cs typeface="+mn-cs"/>
                </a:rPr>
                <a:t>𝑇𝑒𝑠𝑡−𝐼𝑛</a:t>
              </a:r>
              <a:r>
                <a:rPr lang="en-US" sz="1400" b="0" i="0">
                  <a:solidFill>
                    <a:schemeClr val="tx1"/>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 </a:t>
              </a:r>
              <a:r>
                <a:rPr lang="en-US" sz="1400" b="0" i="0">
                  <a:solidFill>
                    <a:schemeClr val="tx1"/>
                  </a:solidFill>
                  <a:effectLst/>
                  <a:latin typeface="Cambria Math" panose="02040503050406030204" pitchFamily="18" charset="0"/>
                  <a:ea typeface="+mn-ea"/>
                  <a:cs typeface="+mn-cs"/>
                </a:rPr>
                <a:t>) </a:t>
              </a:r>
              <a:r>
                <a:rPr lang="en-US" sz="1400" i="0">
                  <a:solidFill>
                    <a:schemeClr val="tx1"/>
                  </a:solidFill>
                  <a:effectLst/>
                  <a:latin typeface="Cambria Math" panose="02040503050406030204" pitchFamily="18" charset="0"/>
                  <a:ea typeface="+mn-ea"/>
                  <a:cs typeface="+mn-cs"/>
                </a:rPr>
                <a:t> −1/(𝐻𝑆𝐹𝑃</a:t>
              </a:r>
              <a:r>
                <a:rPr lang="en-US" sz="1400" b="0" i="0">
                  <a:solidFill>
                    <a:schemeClr val="tx1"/>
                  </a:solidFill>
                  <a:effectLst/>
                  <a:latin typeface="Cambria Math" panose="02040503050406030204" pitchFamily="18" charset="0"/>
                  <a:ea typeface="+mn-ea"/>
                  <a:cs typeface="+mn-cs"/>
                </a:rPr>
                <a:t>_(</a:t>
              </a:r>
              <a:r>
                <a:rPr lang="en-US" sz="1400" b="0" i="0">
                  <a:solidFill>
                    <a:sysClr val="windowText" lastClr="000000"/>
                  </a:solidFill>
                  <a:effectLst/>
                  <a:latin typeface="Cambria Math" panose="02040503050406030204" pitchFamily="18" charset="0"/>
                  <a:ea typeface="+mn-ea"/>
                  <a:cs typeface="+mn-cs"/>
                </a:rPr>
                <a:t>𝑇𝑒𝑠𝑡−</a:t>
              </a:r>
              <a:r>
                <a:rPr lang="en-US" sz="1400" b="0" i="0">
                  <a:solidFill>
                    <a:schemeClr val="tx1"/>
                  </a:solidFill>
                  <a:effectLst/>
                  <a:latin typeface="Cambria Math" panose="02040503050406030204" pitchFamily="18" charset="0"/>
                  <a:ea typeface="+mn-ea"/>
                  <a:cs typeface="+mn-cs"/>
                </a:rPr>
                <a:t>𝑂𝑢𝑡) ))))/</a:t>
              </a:r>
              <a:r>
                <a:rPr lang="en-US" sz="1400" i="0">
                  <a:solidFill>
                    <a:schemeClr val="tx1"/>
                  </a:solidFill>
                  <a:effectLst/>
                  <a:latin typeface="Cambria Math" panose="02040503050406030204" pitchFamily="18" charset="0"/>
                  <a:ea typeface="+mn-ea"/>
                  <a:cs typeface="+mn-cs"/>
                </a:rPr>
                <a:t>1000</a:t>
              </a:r>
              <a:r>
                <a:rPr lang="en-US" sz="1200">
                  <a:solidFill>
                    <a:schemeClr val="tx1"/>
                  </a:solidFill>
                  <a:effectLst/>
                  <a:latin typeface="+mn-lt"/>
                  <a:ea typeface="+mn-ea"/>
                  <a:cs typeface="+mn-cs"/>
                </a:rPr>
                <a:t>  </a:t>
              </a:r>
            </a:p>
          </xdr:txBody>
        </xdr:sp>
      </mc:Fallback>
    </mc:AlternateContent>
    <xdr:clientData/>
  </xdr:twoCellAnchor>
  <xdr:twoCellAnchor>
    <xdr:from>
      <xdr:col>4</xdr:col>
      <xdr:colOff>59446</xdr:colOff>
      <xdr:row>943</xdr:row>
      <xdr:rowOff>0</xdr:rowOff>
    </xdr:from>
    <xdr:to>
      <xdr:col>12</xdr:col>
      <xdr:colOff>271</xdr:colOff>
      <xdr:row>943</xdr:row>
      <xdr:rowOff>0</xdr:rowOff>
    </xdr:to>
    <mc:AlternateContent xmlns:mc="http://schemas.openxmlformats.org/markup-compatibility/2006" xmlns:a14="http://schemas.microsoft.com/office/drawing/2010/main">
      <mc:Choice Requires="a14">
        <xdr:sp macro="" textlink="">
          <xdr:nvSpPr>
            <xdr:cNvPr id="52" name="TextBox 51">
              <a:extLst>
                <a:ext uri="{FF2B5EF4-FFF2-40B4-BE49-F238E27FC236}">
                  <a16:creationId xmlns:a16="http://schemas.microsoft.com/office/drawing/2014/main" id="{00000000-0008-0000-0700-000034000000}"/>
                </a:ext>
              </a:extLst>
            </xdr:cNvPr>
            <xdr:cNvSpPr txBox="1"/>
          </xdr:nvSpPr>
          <xdr:spPr>
            <a:xfrm>
              <a:off x="3631321" y="58016775"/>
              <a:ext cx="1459980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𝐶𝑎𝑝𝑎𝑐𝑖𝑡</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𝑦</m:t>
                      </m:r>
                    </m:e>
                    <m:sub>
                      <m:r>
                        <a:rPr lang="en-US" sz="1400" b="0" i="1">
                          <a:solidFill>
                            <a:sysClr val="windowText" lastClr="000000"/>
                          </a:solidFill>
                          <a:latin typeface="Cambria Math" panose="02040503050406030204" pitchFamily="18" charset="0"/>
                          <a:ea typeface="Cambria Math" panose="02040503050406030204" pitchFamily="18" charset="0"/>
                        </a:rPr>
                        <m:t>𝐶𝑜𝑜𝑙𝑖𝑛𝑔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1</m:t>
                          </m:r>
                        </m:num>
                        <m:den>
                          <m:r>
                            <a:rPr lang="en-US" sz="1400" b="0" i="1">
                              <a:solidFill>
                                <a:sysClr val="windowText" lastClr="000000"/>
                              </a:solidFill>
                              <a:latin typeface="Cambria Math" panose="02040503050406030204" pitchFamily="18" charset="0"/>
                              <a:ea typeface="Cambria Math" panose="02040503050406030204" pitchFamily="18" charset="0"/>
                            </a:rPr>
                            <m:t>𝑆𝐸𝐸𝑅</m:t>
                          </m:r>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𝑆𝐵𝑑𝑒𝑔𝑟𝑒𝑒</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𝑠</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𝐹</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𝐹</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oMath>
              </a14:m>
              <a:r>
                <a:rPr lang="en-US" sz="1400">
                  <a:solidFill>
                    <a:sysClr val="windowText" lastClr="000000"/>
                  </a:solidFill>
                </a:rPr>
                <a:t>/1000</a:t>
              </a:r>
            </a:p>
          </xdr:txBody>
        </xdr:sp>
      </mc:Choice>
      <mc:Fallback xmlns="">
        <xdr:sp macro="" textlink="">
          <xdr:nvSpPr>
            <xdr:cNvPr id="52" name="TextBox 51">
              <a:extLst>
                <a:ext uri="{FF2B5EF4-FFF2-40B4-BE49-F238E27FC236}">
                  <a16:creationId xmlns:a16="http://schemas.microsoft.com/office/drawing/2014/main" id="{00000000-0008-0000-0700-000034000000}"/>
                </a:ext>
              </a:extLst>
            </xdr:cNvPr>
            <xdr:cNvSpPr txBox="1"/>
          </xdr:nvSpPr>
          <xdr:spPr>
            <a:xfrm>
              <a:off x="3638125" y="156852737"/>
              <a:ext cx="14280576" cy="138472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𝑐𝑜𝑜𝑙𝑖𝑛𝑔=𝐸𝐹𝐿𝐻_𝑐𝑜𝑜𝑙∗𝐶𝑎𝑝𝑎𝑐𝑖𝑡𝑦_𝐶𝑜𝑜𝑙𝑖𝑛𝑔∗(1/𝑆𝐸𝐸𝑅)∗𝑆𝐵𝑑𝑒𝑔𝑟𝑒𝑒𝑠_𝑐𝑜𝑜𝑙𝑖𝑛𝑔∗𝑆𝐹_𝑐𝑜𝑜𝑙𝑖𝑛𝑔∗𝐸𝐹_𝑐𝑜𝑜𝑙𝑖𝑛𝑔</a:t>
              </a:r>
              <a:r>
                <a:rPr lang="en-US" sz="1400">
                  <a:solidFill>
                    <a:sysClr val="windowText" lastClr="000000"/>
                  </a:solidFill>
                </a:rPr>
                <a:t>/1000</a:t>
              </a:r>
            </a:p>
          </xdr:txBody>
        </xdr:sp>
      </mc:Fallback>
    </mc:AlternateContent>
    <xdr:clientData/>
  </xdr:twoCellAnchor>
  <xdr:twoCellAnchor>
    <xdr:from>
      <xdr:col>4</xdr:col>
      <xdr:colOff>91561</xdr:colOff>
      <xdr:row>943</xdr:row>
      <xdr:rowOff>0</xdr:rowOff>
    </xdr:from>
    <xdr:to>
      <xdr:col>7</xdr:col>
      <xdr:colOff>839833</xdr:colOff>
      <xdr:row>943</xdr:row>
      <xdr:rowOff>0</xdr:rowOff>
    </xdr:to>
    <mc:AlternateContent xmlns:mc="http://schemas.openxmlformats.org/markup-compatibility/2006" xmlns:a14="http://schemas.microsoft.com/office/drawing/2010/main">
      <mc:Choice Requires="a14">
        <xdr:sp macro="" textlink="">
          <xdr:nvSpPr>
            <xdr:cNvPr id="53" name="TextBox 52">
              <a:extLst>
                <a:ext uri="{FF2B5EF4-FFF2-40B4-BE49-F238E27FC236}">
                  <a16:creationId xmlns:a16="http://schemas.microsoft.com/office/drawing/2014/main" id="{00000000-0008-0000-0700-000035000000}"/>
                </a:ext>
              </a:extLst>
            </xdr:cNvPr>
            <xdr:cNvSpPr txBox="1"/>
          </xdr:nvSpPr>
          <xdr:spPr>
            <a:xfrm>
              <a:off x="3663436" y="58016775"/>
              <a:ext cx="964462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𝐸𝑙𝑒𝑐𝑡𝑟𝑖𝑐𝑅𝑒𝑠𝑖𝑠𝑡𝑎𝑛𝑐𝑒𝐻𝑒𝑎𝑡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𝐶𝑎𝑝𝑎𝑐𝑖𝑡</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𝑦</m:t>
                      </m:r>
                    </m:e>
                    <m:sub>
                      <m:r>
                        <a:rPr lang="en-US" sz="1400" b="0" i="1">
                          <a:latin typeface="Cambria Math" panose="02040503050406030204" pitchFamily="18" charset="0"/>
                          <a:ea typeface="Cambria Math" panose="02040503050406030204" pitchFamily="18" charset="0"/>
                        </a:rPr>
                        <m:t>𝐻𝑒𝑎𝑡𝑖𝑛𝑔</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𝐻𝑆𝑃𝐹</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𝑆𝐵𝑑𝑒𝑔𝑟𝑒𝑒</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𝑠</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𝐻𝑒𝑎𝑡𝑖𝑛𝑔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𝐻𝑒𝑎𝑡𝑖𝑛𝑔</m:t>
                      </m:r>
                    </m:sub>
                  </m:sSub>
                </m:oMath>
              </a14:m>
              <a:r>
                <a:rPr lang="en-US" sz="1400"/>
                <a:t>/1000</a:t>
              </a:r>
            </a:p>
          </xdr:txBody>
        </xdr:sp>
      </mc:Choice>
      <mc:Fallback xmlns="">
        <xdr:sp macro="" textlink="">
          <xdr:nvSpPr>
            <xdr:cNvPr id="53" name="TextBox 52">
              <a:extLst>
                <a:ext uri="{FF2B5EF4-FFF2-40B4-BE49-F238E27FC236}">
                  <a16:creationId xmlns:a16="http://schemas.microsoft.com/office/drawing/2014/main" id="{00000000-0008-0000-0700-000035000000}"/>
                </a:ext>
              </a:extLst>
            </xdr:cNvPr>
            <xdr:cNvSpPr txBox="1"/>
          </xdr:nvSpPr>
          <xdr:spPr>
            <a:xfrm>
              <a:off x="3670240" y="157421111"/>
              <a:ext cx="9552093" cy="39289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ℎ𝑒𝑎𝑡𝑖𝑛𝑔=%𝐸𝑙𝑒𝑐𝑡𝑟𝑖𝑐𝑅𝑒𝑠𝑖𝑠𝑡𝑎𝑛𝑐𝑒𝐻𝑒𝑎𝑡∗𝐸𝐹𝐿𝐻_𝐻𝑒𝑎𝑡∗𝐶𝑎𝑝𝑎𝑐𝑖𝑡𝑦_𝐻𝑒𝑎𝑡𝑖𝑛𝑔∗(1/𝐻𝑆𝑃𝐹)∗𝑆𝐵𝑑𝑒𝑔𝑟𝑒𝑒𝑠_ℎ𝑒𝑎𝑡𝑖𝑛𝑔∗𝑆𝐹_𝐻𝑒𝑎𝑡𝑖𝑛𝑔∗𝐸𝐹_𝐻𝑒𝑎𝑡𝑖𝑛𝑔</a:t>
              </a:r>
              <a:r>
                <a:rPr lang="en-US" sz="1400"/>
                <a:t>/1000</a:t>
              </a:r>
            </a:p>
          </xdr:txBody>
        </xdr:sp>
      </mc:Fallback>
    </mc:AlternateContent>
    <xdr:clientData/>
  </xdr:twoCellAnchor>
  <xdr:twoCellAnchor>
    <xdr:from>
      <xdr:col>4</xdr:col>
      <xdr:colOff>93377</xdr:colOff>
      <xdr:row>943</xdr:row>
      <xdr:rowOff>0</xdr:rowOff>
    </xdr:from>
    <xdr:to>
      <xdr:col>4</xdr:col>
      <xdr:colOff>1617086</xdr:colOff>
      <xdr:row>943</xdr:row>
      <xdr:rowOff>0</xdr:rowOff>
    </xdr:to>
    <mc:AlternateContent xmlns:mc="http://schemas.openxmlformats.org/markup-compatibility/2006" xmlns:a14="http://schemas.microsoft.com/office/drawing/2010/main">
      <mc:Choice Requires="a14">
        <xdr:sp macro="" textlink="">
          <xdr:nvSpPr>
            <xdr:cNvPr id="54" name="TextBox 53">
              <a:extLst>
                <a:ext uri="{FF2B5EF4-FFF2-40B4-BE49-F238E27FC236}">
                  <a16:creationId xmlns:a16="http://schemas.microsoft.com/office/drawing/2014/main" id="{00000000-0008-0000-0700-000036000000}"/>
                </a:ext>
              </a:extLst>
            </xdr:cNvPr>
            <xdr:cNvSpPr txBox="1"/>
          </xdr:nvSpPr>
          <xdr:spPr>
            <a:xfrm>
              <a:off x="3665252" y="58016775"/>
              <a:ext cx="152370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54" name="TextBox 53">
              <a:extLst>
                <a:ext uri="{FF2B5EF4-FFF2-40B4-BE49-F238E27FC236}">
                  <a16:creationId xmlns:a16="http://schemas.microsoft.com/office/drawing/2014/main" id="{00000000-0008-0000-0700-000036000000}"/>
                </a:ext>
              </a:extLst>
            </xdr:cNvPr>
            <xdr:cNvSpPr txBox="1"/>
          </xdr:nvSpPr>
          <xdr:spPr>
            <a:xfrm>
              <a:off x="3679676" y="157957335"/>
              <a:ext cx="1516089" cy="31123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a:t>
              </a: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𝑘𝑊ℎ_𝑐𝑜𝑜𝑙𝑖𝑛𝑔∗𝐶𝐹</a:t>
              </a:r>
              <a:endParaRPr lang="en-US" sz="1400"/>
            </a:p>
          </xdr:txBody>
        </xdr:sp>
      </mc:Fallback>
    </mc:AlternateContent>
    <xdr:clientData/>
  </xdr:twoCellAnchor>
  <xdr:twoCellAnchor>
    <xdr:from>
      <xdr:col>4</xdr:col>
      <xdr:colOff>155864</xdr:colOff>
      <xdr:row>1040</xdr:row>
      <xdr:rowOff>0</xdr:rowOff>
    </xdr:from>
    <xdr:to>
      <xdr:col>12</xdr:col>
      <xdr:colOff>0</xdr:colOff>
      <xdr:row>1040</xdr:row>
      <xdr:rowOff>0</xdr:rowOff>
    </xdr:to>
    <mc:AlternateContent xmlns:mc="http://schemas.openxmlformats.org/markup-compatibility/2006" xmlns:a14="http://schemas.microsoft.com/office/drawing/2010/main">
      <mc:Choice Requires="a14">
        <xdr:sp macro="" textlink="">
          <xdr:nvSpPr>
            <xdr:cNvPr id="55" name="TextBox 54">
              <a:extLst>
                <a:ext uri="{FF2B5EF4-FFF2-40B4-BE49-F238E27FC236}">
                  <a16:creationId xmlns:a16="http://schemas.microsoft.com/office/drawing/2014/main" id="{00000000-0008-0000-0700-000037000000}"/>
                </a:ext>
              </a:extLst>
            </xdr:cNvPr>
            <xdr:cNvSpPr txBox="1"/>
          </xdr:nvSpPr>
          <xdr:spPr>
            <a:xfrm>
              <a:off x="3727739" y="61045725"/>
              <a:ext cx="1450311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d>
                          <m:dPr>
                            <m:ctrlPr>
                              <a:rPr lang="en-US" sz="1600" b="0" i="1">
                                <a:latin typeface="Cambria Math" panose="02040503050406030204" pitchFamily="18" charset="0"/>
                                <a:ea typeface="Cambria Math" panose="02040503050406030204" pitchFamily="18" charset="0"/>
                              </a:rPr>
                            </m:ctrlPr>
                          </m:dPr>
                          <m:e>
                            <m:d>
                              <m:dPr>
                                <m:ctrlPr>
                                  <a:rPr lang="en-US" sz="1600" b="0" i="1">
                                    <a:latin typeface="Cambria Math" panose="02040503050406030204" pitchFamily="18" charset="0"/>
                                    <a:ea typeface="Cambria Math" panose="02040503050406030204" pitchFamily="18" charset="0"/>
                                  </a:rPr>
                                </m:ctrlPr>
                              </m:dPr>
                              <m:e>
                                <m:f>
                                  <m:fPr>
                                    <m:ctrlPr>
                                      <a:rPr lang="en-US" sz="1600" b="0" i="1">
                                        <a:latin typeface="Cambria Math" panose="02040503050406030204" pitchFamily="18" charset="0"/>
                                        <a:ea typeface="Cambria Math" panose="02040503050406030204" pitchFamily="18" charset="0"/>
                                      </a:rPr>
                                    </m:ctrlPr>
                                  </m:fPr>
                                  <m:num>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𝐴</m:t>
                                        </m:r>
                                      </m:e>
                                      <m:sub>
                                        <m:r>
                                          <a:rPr lang="en-US" sz="1600" b="0" i="1">
                                            <a:latin typeface="Cambria Math" panose="02040503050406030204" pitchFamily="18" charset="0"/>
                                            <a:ea typeface="Cambria Math" panose="02040503050406030204" pitchFamily="18" charset="0"/>
                                          </a:rPr>
                                          <m:t>𝐵𝑎𝑠𝑒</m:t>
                                        </m:r>
                                      </m:sub>
                                    </m:sSub>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m:t>
                                        </m:r>
                                      </m:e>
                                      <m:sub>
                                        <m:r>
                                          <a:rPr lang="en-US" sz="1600" b="0" i="1">
                                            <a:latin typeface="Cambria Math" panose="02040503050406030204" pitchFamily="18" charset="0"/>
                                            <a:ea typeface="Cambria Math" panose="02040503050406030204" pitchFamily="18" charset="0"/>
                                          </a:rPr>
                                          <m:t>𝐵𝑎𝑠𝑒</m:t>
                                        </m:r>
                                      </m:sub>
                                    </m:sSub>
                                  </m:den>
                                </m:f>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𝐴</m:t>
                                        </m:r>
                                      </m:e>
                                      <m:sub>
                                        <m:r>
                                          <a:rPr lang="en-US" sz="1600" b="0" i="1">
                                            <a:latin typeface="Cambria Math" panose="02040503050406030204" pitchFamily="18" charset="0"/>
                                            <a:ea typeface="Cambria Math" panose="02040503050406030204" pitchFamily="18" charset="0"/>
                                          </a:rPr>
                                          <m:t>𝐸𝐸</m:t>
                                        </m:r>
                                      </m:sub>
                                    </m:sSub>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m:t>
                                        </m:r>
                                      </m:e>
                                      <m:sub>
                                        <m:r>
                                          <a:rPr lang="en-US" sz="1600" b="0" i="1">
                                            <a:latin typeface="Cambria Math" panose="02040503050406030204" pitchFamily="18" charset="0"/>
                                            <a:ea typeface="Cambria Math" panose="02040503050406030204" pitchFamily="18" charset="0"/>
                                          </a:rPr>
                                          <m:t>𝐸𝐸</m:t>
                                        </m:r>
                                      </m:sub>
                                    </m:sSub>
                                  </m:den>
                                </m:f>
                              </m:e>
                            </m:d>
                            <m:r>
                              <a:rPr lang="en-US" sz="1600" b="0" i="1">
                                <a:latin typeface="Cambria Math" panose="02040503050406030204" pitchFamily="18" charset="0"/>
                                <a:ea typeface="Cambria Math" panose="02040503050406030204" pitchFamily="18" charset="0"/>
                              </a:rPr>
                              <m:t>∗</m:t>
                            </m:r>
                            <m:r>
                              <m:rPr>
                                <m:sty m:val="p"/>
                              </m:rPr>
                              <a:rPr lang="el-GR" sz="1600" b="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𝑇</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𝐻𝑜𝑢𝑟𝑠</m:t>
                            </m:r>
                          </m:e>
                        </m:d>
                      </m:num>
                      <m:den>
                        <m:r>
                          <a:rPr lang="en-US" sz="1600" b="0" i="1">
                            <a:latin typeface="Cambria Math" panose="02040503050406030204" pitchFamily="18" charset="0"/>
                            <a:ea typeface="Cambria Math" panose="02040503050406030204" pitchFamily="18" charset="0"/>
                          </a:rPr>
                          <m:t>𝜂</m:t>
                        </m:r>
                        <m:r>
                          <a:rPr lang="en-US" sz="1600" b="0" i="1">
                            <a:latin typeface="Cambria Math" panose="02040503050406030204" pitchFamily="18" charset="0"/>
                            <a:ea typeface="Cambria Math" panose="02040503050406030204" pitchFamily="18" charset="0"/>
                          </a:rPr>
                          <m:t>𝐷𝐻</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m:t>
                            </m:r>
                          </m:e>
                          <m:sub>
                            <m:r>
                              <a:rPr lang="en-US" sz="1600" b="0" i="1">
                                <a:latin typeface="Cambria Math" panose="02040503050406030204" pitchFamily="18" charset="0"/>
                                <a:ea typeface="Cambria Math" panose="02040503050406030204" pitchFamily="18" charset="0"/>
                              </a:rPr>
                              <m:t>𝐸𝑙𝑒𝑐</m:t>
                            </m:r>
                          </m:sub>
                        </m:sSub>
                        <m:r>
                          <a:rPr lang="en-US" sz="1600" b="0" i="1">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3,41</m:t>
                        </m:r>
                        <m:r>
                          <a:rPr lang="en-US" sz="1600" b="0" i="1">
                            <a:latin typeface="Cambria Math" panose="02040503050406030204" pitchFamily="18" charset="0"/>
                            <a:ea typeface="Cambria Math" panose="02040503050406030204" pitchFamily="18" charset="0"/>
                          </a:rPr>
                          <m:t>2</m:t>
                        </m:r>
                      </m:den>
                    </m:f>
                  </m:oMath>
                </m:oMathPara>
              </a14:m>
              <a:endParaRPr lang="en-US" sz="1400"/>
            </a:p>
          </xdr:txBody>
        </xdr:sp>
      </mc:Choice>
      <mc:Fallback xmlns="">
        <xdr:sp macro="" textlink="">
          <xdr:nvSpPr>
            <xdr:cNvPr id="55" name="TextBox 54">
              <a:extLst>
                <a:ext uri="{FF2B5EF4-FFF2-40B4-BE49-F238E27FC236}">
                  <a16:creationId xmlns:a16="http://schemas.microsoft.com/office/drawing/2014/main" id="{00000000-0008-0000-0700-000037000000}"/>
                </a:ext>
              </a:extLst>
            </xdr:cNvPr>
            <xdr:cNvSpPr txBox="1"/>
          </xdr:nvSpPr>
          <xdr:spPr>
            <a:xfrm>
              <a:off x="3734543" y="176179100"/>
              <a:ext cx="14186064" cy="854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𝑘𝑊ℎ=(((𝐴_𝐵𝑎𝑠𝑒/𝑅_𝐵𝑎𝑠𝑒 −𝐴_𝐸𝐸/𝑅_𝐸𝐸 )∗</a:t>
              </a:r>
              <a:r>
                <a:rPr lang="el-GR" sz="1600" b="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𝑇∗𝐻𝑜𝑢𝑟𝑠))/(𝜂𝐷𝐻𝑊_𝐸𝑙𝑒𝑐∗</a:t>
              </a:r>
              <a:r>
                <a:rPr lang="en-US" sz="1600" b="0" i="0">
                  <a:solidFill>
                    <a:sysClr val="windowText" lastClr="000000"/>
                  </a:solidFill>
                  <a:latin typeface="Cambria Math" panose="02040503050406030204" pitchFamily="18" charset="0"/>
                  <a:ea typeface="Cambria Math" panose="02040503050406030204" pitchFamily="18" charset="0"/>
                </a:rPr>
                <a:t>3,41</a:t>
              </a:r>
              <a:r>
                <a:rPr lang="en-US" sz="1600" b="0" i="0">
                  <a:latin typeface="Cambria Math" panose="02040503050406030204" pitchFamily="18" charset="0"/>
                  <a:ea typeface="Cambria Math" panose="02040503050406030204" pitchFamily="18" charset="0"/>
                </a:rPr>
                <a:t>2)</a:t>
              </a:r>
              <a:endParaRPr lang="en-US" sz="1400"/>
            </a:p>
          </xdr:txBody>
        </xdr:sp>
      </mc:Fallback>
    </mc:AlternateContent>
    <xdr:clientData/>
  </xdr:twoCellAnchor>
  <xdr:twoCellAnchor>
    <xdr:from>
      <xdr:col>4</xdr:col>
      <xdr:colOff>54428</xdr:colOff>
      <xdr:row>1156</xdr:row>
      <xdr:rowOff>0</xdr:rowOff>
    </xdr:from>
    <xdr:to>
      <xdr:col>18</xdr:col>
      <xdr:colOff>0</xdr:colOff>
      <xdr:row>1156</xdr:row>
      <xdr:rowOff>0</xdr:rowOff>
    </xdr:to>
    <mc:AlternateContent xmlns:mc="http://schemas.openxmlformats.org/markup-compatibility/2006" xmlns:a14="http://schemas.microsoft.com/office/drawing/2010/main">
      <mc:Choice Requires="a14">
        <xdr:sp macro="" textlink="">
          <xdr:nvSpPr>
            <xdr:cNvPr id="56" name="TextBox 55">
              <a:extLst>
                <a:ext uri="{FF2B5EF4-FFF2-40B4-BE49-F238E27FC236}">
                  <a16:creationId xmlns:a16="http://schemas.microsoft.com/office/drawing/2014/main" id="{00000000-0008-0000-0700-000038000000}"/>
                </a:ext>
              </a:extLst>
            </xdr:cNvPr>
            <xdr:cNvSpPr txBox="1"/>
          </xdr:nvSpPr>
          <xdr:spPr>
            <a:xfrm>
              <a:off x="3626303" y="69894450"/>
              <a:ext cx="2006237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56" name="TextBox 55">
              <a:extLst>
                <a:ext uri="{FF2B5EF4-FFF2-40B4-BE49-F238E27FC236}">
                  <a16:creationId xmlns:a16="http://schemas.microsoft.com/office/drawing/2014/main" id="{00000000-0008-0000-0700-000038000000}"/>
                </a:ext>
              </a:extLst>
            </xdr:cNvPr>
            <xdr:cNvSpPr txBox="1"/>
          </xdr:nvSpPr>
          <xdr:spPr>
            <a:xfrm>
              <a:off x="3633107" y="55435500"/>
              <a:ext cx="19934464" cy="152209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4</xdr:col>
      <xdr:colOff>321426</xdr:colOff>
      <xdr:row>1156</xdr:row>
      <xdr:rowOff>0</xdr:rowOff>
    </xdr:from>
    <xdr:to>
      <xdr:col>18</xdr:col>
      <xdr:colOff>0</xdr:colOff>
      <xdr:row>1156</xdr:row>
      <xdr:rowOff>0</xdr:rowOff>
    </xdr:to>
    <mc:AlternateContent xmlns:mc="http://schemas.openxmlformats.org/markup-compatibility/2006" xmlns:a14="http://schemas.microsoft.com/office/drawing/2010/main">
      <mc:Choice Requires="a14">
        <xdr:sp macro="" textlink="">
          <xdr:nvSpPr>
            <xdr:cNvPr id="57" name="TextBox 56">
              <a:extLst>
                <a:ext uri="{FF2B5EF4-FFF2-40B4-BE49-F238E27FC236}">
                  <a16:creationId xmlns:a16="http://schemas.microsoft.com/office/drawing/2014/main" id="{00000000-0008-0000-0700-000039000000}"/>
                </a:ext>
              </a:extLst>
            </xdr:cNvPr>
            <xdr:cNvSpPr txBox="1"/>
          </xdr:nvSpPr>
          <xdr:spPr>
            <a:xfrm>
              <a:off x="3893301" y="69894450"/>
              <a:ext cx="1979537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𝑘𝑊h</m:t>
                        </m:r>
                      </m:e>
                      <m:sub>
                        <m:r>
                          <a:rPr lang="en-US" sz="1400" b="0" i="1">
                            <a:solidFill>
                              <a:schemeClr val="tx1"/>
                            </a:solidFill>
                            <a:effectLst/>
                            <a:latin typeface="Cambria Math" panose="02040503050406030204" pitchFamily="18" charset="0"/>
                            <a:ea typeface="+mn-ea"/>
                            <a:cs typeface="+mn-cs"/>
                          </a:rPr>
                          <m:t>𝑅𝐸𝑆</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𝐸𝐸</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𝑅𝐸𝑆</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𝐿𝐾𝐺</m:t>
                        </m:r>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𝑅𝐸𝑆</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𝑊𝐻𝐹</m:t>
                        </m:r>
                      </m:e>
                      <m:sub>
                        <m:r>
                          <a:rPr lang="en-US" sz="1400" b="0" i="1">
                            <a:latin typeface="Cambria Math" panose="02040503050406030204" pitchFamily="18" charset="0"/>
                            <a:ea typeface="Cambria Math" panose="02040503050406030204" pitchFamily="18" charset="0"/>
                          </a:rPr>
                          <m:t>𝑅𝐸𝑆</m:t>
                        </m:r>
                      </m:sub>
                    </m:sSub>
                    <m:r>
                      <a:rPr lang="en-US" sz="14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7" name="TextBox 56">
              <a:extLst>
                <a:ext uri="{FF2B5EF4-FFF2-40B4-BE49-F238E27FC236}">
                  <a16:creationId xmlns:a16="http://schemas.microsoft.com/office/drawing/2014/main" id="{00000000-0008-0000-0700-000039000000}"/>
                </a:ext>
              </a:extLst>
            </xdr:cNvPr>
            <xdr:cNvSpPr txBox="1"/>
          </xdr:nvSpPr>
          <xdr:spPr>
            <a:xfrm>
              <a:off x="3900105" y="55813926"/>
              <a:ext cx="19667466" cy="4354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chemeClr val="tx1"/>
                  </a:solidFill>
                  <a:effectLst/>
                  <a:latin typeface="Cambria Math" panose="02040503050406030204" pitchFamily="18" charset="0"/>
                  <a:ea typeface="+mn-ea"/>
                  <a:cs typeface="+mn-cs"/>
                </a:rPr>
                <a:t>∆〖𝑘𝑊ℎ〗_𝑅𝐸𝑆</a:t>
              </a:r>
              <a:r>
                <a:rPr lang="en-US" sz="14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twoCellAnchor>
    <xdr:from>
      <xdr:col>4</xdr:col>
      <xdr:colOff>321426</xdr:colOff>
      <xdr:row>1156</xdr:row>
      <xdr:rowOff>0</xdr:rowOff>
    </xdr:from>
    <xdr:to>
      <xdr:col>18</xdr:col>
      <xdr:colOff>0</xdr:colOff>
      <xdr:row>1156</xdr:row>
      <xdr:rowOff>0</xdr:rowOff>
    </xdr:to>
    <mc:AlternateContent xmlns:mc="http://schemas.openxmlformats.org/markup-compatibility/2006" xmlns:a14="http://schemas.microsoft.com/office/drawing/2010/main">
      <mc:Choice Requires="a14">
        <xdr:sp macro="" textlink="">
          <xdr:nvSpPr>
            <xdr:cNvPr id="58" name="TextBox 57">
              <a:extLst>
                <a:ext uri="{FF2B5EF4-FFF2-40B4-BE49-F238E27FC236}">
                  <a16:creationId xmlns:a16="http://schemas.microsoft.com/office/drawing/2014/main" id="{00000000-0008-0000-0700-00003A000000}"/>
                </a:ext>
              </a:extLst>
            </xdr:cNvPr>
            <xdr:cNvSpPr txBox="1"/>
          </xdr:nvSpPr>
          <xdr:spPr>
            <a:xfrm>
              <a:off x="3893301" y="69894450"/>
              <a:ext cx="1979537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𝑘𝑊h</m:t>
                        </m:r>
                      </m:e>
                      <m:sub>
                        <m:r>
                          <a:rPr lang="en-US" sz="1400" b="0" i="1">
                            <a:solidFill>
                              <a:schemeClr val="tx1"/>
                            </a:solidFill>
                            <a:effectLst/>
                            <a:latin typeface="Cambria Math" panose="02040503050406030204" pitchFamily="18" charset="0"/>
                            <a:ea typeface="+mn-ea"/>
                            <a:cs typeface="+mn-cs"/>
                          </a:rPr>
                          <m:t>𝑁𝑅𝐸𝑆</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𝐸𝐸</m:t>
                            </m:r>
                          </m:sub>
                        </m:sSub>
                      </m:e>
                    </m:d>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𝑅𝐸𝑆</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𝐿𝐾𝐺</m:t>
                        </m:r>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𝑁𝑅𝐸𝑆</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𝑊𝐻𝐹</m:t>
                        </m:r>
                      </m:e>
                      <m:sub>
                        <m:r>
                          <a:rPr lang="en-US" sz="1400" b="0" i="1">
                            <a:latin typeface="Cambria Math" panose="02040503050406030204" pitchFamily="18" charset="0"/>
                            <a:ea typeface="Cambria Math" panose="02040503050406030204" pitchFamily="18" charset="0"/>
                          </a:rPr>
                          <m:t>𝑁𝑅𝐸𝑆</m:t>
                        </m:r>
                      </m:sub>
                    </m:sSub>
                    <m:r>
                      <a:rPr lang="en-US" sz="14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8" name="TextBox 57">
              <a:extLst>
                <a:ext uri="{FF2B5EF4-FFF2-40B4-BE49-F238E27FC236}">
                  <a16:creationId xmlns:a16="http://schemas.microsoft.com/office/drawing/2014/main" id="{00000000-0008-0000-0700-00003A000000}"/>
                </a:ext>
              </a:extLst>
            </xdr:cNvPr>
            <xdr:cNvSpPr txBox="1"/>
          </xdr:nvSpPr>
          <xdr:spPr>
            <a:xfrm>
              <a:off x="3900105" y="56207889"/>
              <a:ext cx="19667466" cy="395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chemeClr val="tx1"/>
                  </a:solidFill>
                  <a:effectLst/>
                  <a:latin typeface="Cambria Math" panose="02040503050406030204" pitchFamily="18" charset="0"/>
                  <a:ea typeface="+mn-ea"/>
                  <a:cs typeface="+mn-cs"/>
                </a:rPr>
                <a:t>∆〖𝑘𝑊ℎ〗_𝑁𝑅𝐸𝑆</a:t>
              </a:r>
              <a:r>
                <a:rPr lang="en-US" sz="14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4</xdr:col>
      <xdr:colOff>54428</xdr:colOff>
      <xdr:row>1156</xdr:row>
      <xdr:rowOff>0</xdr:rowOff>
    </xdr:from>
    <xdr:to>
      <xdr:col>18</xdr:col>
      <xdr:colOff>0</xdr:colOff>
      <xdr:row>1156</xdr:row>
      <xdr:rowOff>0</xdr:rowOff>
    </xdr:to>
    <mc:AlternateContent xmlns:mc="http://schemas.openxmlformats.org/markup-compatibility/2006" xmlns:a14="http://schemas.microsoft.com/office/drawing/2010/main">
      <mc:Choice Requires="a14">
        <xdr:sp macro="" textlink="">
          <xdr:nvSpPr>
            <xdr:cNvPr id="59" name="TextBox 58">
              <a:extLst>
                <a:ext uri="{FF2B5EF4-FFF2-40B4-BE49-F238E27FC236}">
                  <a16:creationId xmlns:a16="http://schemas.microsoft.com/office/drawing/2014/main" id="{00000000-0008-0000-0700-00003B000000}"/>
                </a:ext>
              </a:extLst>
            </xdr:cNvPr>
            <xdr:cNvSpPr txBox="1"/>
          </xdr:nvSpPr>
          <xdr:spPr>
            <a:xfrm>
              <a:off x="3626303" y="69894450"/>
              <a:ext cx="2006237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59" name="TextBox 58">
              <a:extLst>
                <a:ext uri="{FF2B5EF4-FFF2-40B4-BE49-F238E27FC236}">
                  <a16:creationId xmlns:a16="http://schemas.microsoft.com/office/drawing/2014/main" id="{00000000-0008-0000-0700-00003B000000}"/>
                </a:ext>
              </a:extLst>
            </xdr:cNvPr>
            <xdr:cNvSpPr txBox="1"/>
          </xdr:nvSpPr>
          <xdr:spPr>
            <a:xfrm>
              <a:off x="3633107" y="56646536"/>
              <a:ext cx="19934464" cy="3061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321252</xdr:colOff>
      <xdr:row>1277</xdr:row>
      <xdr:rowOff>0</xdr:rowOff>
    </xdr:from>
    <xdr:to>
      <xdr:col>5</xdr:col>
      <xdr:colOff>1317601</xdr:colOff>
      <xdr:row>1277</xdr:row>
      <xdr:rowOff>0</xdr:rowOff>
    </xdr:to>
    <mc:AlternateContent xmlns:mc="http://schemas.openxmlformats.org/markup-compatibility/2006" xmlns:a14="http://schemas.microsoft.com/office/drawing/2010/main">
      <mc:Choice Requires="a14">
        <xdr:sp macro="" textlink="">
          <xdr:nvSpPr>
            <xdr:cNvPr id="60" name="TextBox 59">
              <a:extLst>
                <a:ext uri="{FF2B5EF4-FFF2-40B4-BE49-F238E27FC236}">
                  <a16:creationId xmlns:a16="http://schemas.microsoft.com/office/drawing/2014/main" id="{00000000-0008-0000-0700-00003C000000}"/>
                </a:ext>
              </a:extLst>
            </xdr:cNvPr>
            <xdr:cNvSpPr txBox="1"/>
          </xdr:nvSpPr>
          <xdr:spPr>
            <a:xfrm>
              <a:off x="3893127" y="72790050"/>
              <a:ext cx="658752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𝐸𝑛𝑡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𝐸𝑛𝑡</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60" name="TextBox 59">
              <a:extLst>
                <a:ext uri="{FF2B5EF4-FFF2-40B4-BE49-F238E27FC236}">
                  <a16:creationId xmlns:a16="http://schemas.microsoft.com/office/drawing/2014/main" id="{347FC9D7-427F-4738-AA67-A5C897DD3E90}"/>
                </a:ext>
              </a:extLst>
            </xdr:cNvPr>
            <xdr:cNvSpPr txBox="1"/>
          </xdr:nvSpPr>
          <xdr:spPr>
            <a:xfrm>
              <a:off x="4407477" y="55178325"/>
              <a:ext cx="665991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𝑘𝑊ℎ=(𝑘𝑊ℎ_𝑜𝑓𝑓𝑖𝑐𝑒∗𝑊𝑒𝑖𝑔ℎ𝑡𝑖𝑛𝑔_𝑜𝑓𝑓𝑖𝑐𝑒+𝑘𝑊ℎ_𝐸𝑛𝑡∗𝑊𝑒𝑖𝑔ℎ𝑡𝑖𝑛𝑔_𝐸𝑛𝑡 )∗𝐼𝑆𝑅</a:t>
              </a:r>
              <a:endParaRPr lang="en-US" sz="1400"/>
            </a:p>
          </xdr:txBody>
        </xdr:sp>
      </mc:Fallback>
    </mc:AlternateContent>
    <xdr:clientData/>
  </xdr:twoCellAnchor>
  <xdr:twoCellAnchor>
    <xdr:from>
      <xdr:col>4</xdr:col>
      <xdr:colOff>169273</xdr:colOff>
      <xdr:row>892</xdr:row>
      <xdr:rowOff>0</xdr:rowOff>
    </xdr:from>
    <xdr:to>
      <xdr:col>12</xdr:col>
      <xdr:colOff>0</xdr:colOff>
      <xdr:row>892</xdr:row>
      <xdr:rowOff>0</xdr:rowOff>
    </xdr:to>
    <mc:AlternateContent xmlns:mc="http://schemas.openxmlformats.org/markup-compatibility/2006" xmlns:a14="http://schemas.microsoft.com/office/drawing/2010/main">
      <mc:Choice Requires="a14">
        <xdr:sp macro="" textlink="">
          <xdr:nvSpPr>
            <xdr:cNvPr id="61" name="TextBox 60">
              <a:extLst>
                <a:ext uri="{FF2B5EF4-FFF2-40B4-BE49-F238E27FC236}">
                  <a16:creationId xmlns:a16="http://schemas.microsoft.com/office/drawing/2014/main" id="{00000000-0008-0000-0700-00003D000000}"/>
                </a:ext>
              </a:extLst>
            </xdr:cNvPr>
            <xdr:cNvSpPr txBox="1"/>
          </xdr:nvSpPr>
          <xdr:spPr>
            <a:xfrm>
              <a:off x="3741148" y="52568475"/>
              <a:ext cx="1448970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𝐵𝑎𝑠𝑒</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𝐵𝑎𝑠𝑒</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𝐸𝐸</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𝐸𝐸</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𝐿</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𝐷𝐻</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m:t>
                            </m:r>
                          </m:e>
                          <m:sub>
                            <m:r>
                              <a:rPr lang="en-US" sz="1400" b="0" i="1">
                                <a:latin typeface="Cambria Math" panose="02040503050406030204" pitchFamily="18" charset="0"/>
                                <a:ea typeface="Cambria Math" panose="02040503050406030204" pitchFamily="18" charset="0"/>
                              </a:rPr>
                              <m:t>𝐸𝑙𝑒𝑐</m:t>
                            </m:r>
                          </m:sub>
                        </m:sSub>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61" name="TextBox 60">
              <a:extLst>
                <a:ext uri="{FF2B5EF4-FFF2-40B4-BE49-F238E27FC236}">
                  <a16:creationId xmlns:a16="http://schemas.microsoft.com/office/drawing/2014/main" id="{00000000-0008-0000-0700-00003D000000}"/>
                </a:ext>
              </a:extLst>
            </xdr:cNvPr>
            <xdr:cNvSpPr txBox="1"/>
          </xdr:nvSpPr>
          <xdr:spPr>
            <a:xfrm>
              <a:off x="3747952" y="151393071"/>
              <a:ext cx="14172655" cy="84532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𝑘𝑊ℎ=(((𝐶_𝐵𝑎𝑠𝑒/𝑅_𝐵𝑎𝑠𝑒 −𝐶_𝐸𝐸/𝑅_𝐸𝐸 )∗𝐿∗</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𝑇∗𝐻𝑜𝑢𝑟𝑠))/(𝜂𝐷𝐻𝑊_𝐸𝑙𝑒𝑐∗3412)</a:t>
              </a:r>
              <a:endParaRPr lang="en-US" sz="1400"/>
            </a:p>
          </xdr:txBody>
        </xdr:sp>
      </mc:Fallback>
    </mc:AlternateContent>
    <xdr:clientData/>
  </xdr:twoCellAnchor>
  <xdr:twoCellAnchor>
    <xdr:from>
      <xdr:col>4</xdr:col>
      <xdr:colOff>174155</xdr:colOff>
      <xdr:row>1311</xdr:row>
      <xdr:rowOff>0</xdr:rowOff>
    </xdr:from>
    <xdr:to>
      <xdr:col>12</xdr:col>
      <xdr:colOff>0</xdr:colOff>
      <xdr:row>1311</xdr:row>
      <xdr:rowOff>0</xdr:rowOff>
    </xdr:to>
    <mc:AlternateContent xmlns:mc="http://schemas.openxmlformats.org/markup-compatibility/2006" xmlns:a14="http://schemas.microsoft.com/office/drawing/2010/main">
      <mc:Choice Requires="a14">
        <xdr:sp macro="" textlink="">
          <xdr:nvSpPr>
            <xdr:cNvPr id="62" name="TextBox 61">
              <a:extLst>
                <a:ext uri="{FF2B5EF4-FFF2-40B4-BE49-F238E27FC236}">
                  <a16:creationId xmlns:a16="http://schemas.microsoft.com/office/drawing/2014/main" id="{00000000-0008-0000-0700-00003E000000}"/>
                </a:ext>
              </a:extLst>
            </xdr:cNvPr>
            <xdr:cNvSpPr txBox="1"/>
          </xdr:nvSpPr>
          <xdr:spPr>
            <a:xfrm>
              <a:off x="3746030" y="74609325"/>
              <a:ext cx="1448482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𝑢𝑛𝑖𝑡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𝑛𝑒𝑤</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𝑆𝑎𝑣𝑖𝑛𝑔𝑠</m:t>
                            </m:r>
                          </m:e>
                        </m:d>
                      </m:e>
                    </m:d>
                  </m:oMath>
                </m:oMathPara>
              </a14:m>
              <a:endParaRPr lang="en-US" sz="1400"/>
            </a:p>
          </xdr:txBody>
        </xdr:sp>
      </mc:Choice>
      <mc:Fallback xmlns="">
        <xdr:sp macro="" textlink="">
          <xdr:nvSpPr>
            <xdr:cNvPr id="62" name="TextBox 61">
              <a:extLst>
                <a:ext uri="{FF2B5EF4-FFF2-40B4-BE49-F238E27FC236}">
                  <a16:creationId xmlns:a16="http://schemas.microsoft.com/office/drawing/2014/main" id="{00000000-0008-0000-0700-00003E000000}"/>
                </a:ext>
              </a:extLst>
            </xdr:cNvPr>
            <xdr:cNvSpPr txBox="1"/>
          </xdr:nvSpPr>
          <xdr:spPr>
            <a:xfrm>
              <a:off x="3762359" y="60258919"/>
              <a:ext cx="14335141" cy="52418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𝑘𝑊ℎ_𝑢𝑛𝑖𝑡=𝑘𝑊ℎ_𝑏𝑎𝑠𝑒−(𝑘𝑊ℎ_𝑛𝑒𝑤∗(1−%𝑆𝑎𝑣𝑖𝑛𝑔𝑠))</a:t>
              </a:r>
              <a:endParaRPr lang="en-US" sz="1400"/>
            </a:p>
          </xdr:txBody>
        </xdr:sp>
      </mc:Fallback>
    </mc:AlternateContent>
    <xdr:clientData/>
  </xdr:twoCellAnchor>
  <xdr:oneCellAnchor>
    <xdr:from>
      <xdr:col>26</xdr:col>
      <xdr:colOff>2269331</xdr:colOff>
      <xdr:row>3</xdr:row>
      <xdr:rowOff>0</xdr:rowOff>
    </xdr:from>
    <xdr:ext cx="65" cy="172227"/>
    <xdr:sp macro="" textlink="">
      <xdr:nvSpPr>
        <xdr:cNvPr id="63" name="TextBox 62">
          <a:extLst>
            <a:ext uri="{FF2B5EF4-FFF2-40B4-BE49-F238E27FC236}">
              <a16:creationId xmlns:a16="http://schemas.microsoft.com/office/drawing/2014/main" id="{00000000-0008-0000-0700-00003F000000}"/>
            </a:ext>
          </a:extLst>
        </xdr:cNvPr>
        <xdr:cNvSpPr txBox="1"/>
      </xdr:nvSpPr>
      <xdr:spPr>
        <a:xfrm>
          <a:off x="40445531" y="66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4" name="TextBox 63">
          <a:extLst>
            <a:ext uri="{FF2B5EF4-FFF2-40B4-BE49-F238E27FC236}">
              <a16:creationId xmlns:a16="http://schemas.microsoft.com/office/drawing/2014/main" id="{00000000-0008-0000-0700-000040000000}"/>
            </a:ext>
          </a:extLst>
        </xdr:cNvPr>
        <xdr:cNvSpPr txBox="1"/>
      </xdr:nvSpPr>
      <xdr:spPr>
        <a:xfrm>
          <a:off x="40445531" y="66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489</xdr:row>
      <xdr:rowOff>0</xdr:rowOff>
    </xdr:from>
    <xdr:ext cx="65" cy="172227"/>
    <xdr:sp macro="" textlink="">
      <xdr:nvSpPr>
        <xdr:cNvPr id="65" name="TextBox 64">
          <a:extLst>
            <a:ext uri="{FF2B5EF4-FFF2-40B4-BE49-F238E27FC236}">
              <a16:creationId xmlns:a16="http://schemas.microsoft.com/office/drawing/2014/main" id="{00000000-0008-0000-0700-000041000000}"/>
            </a:ext>
          </a:extLst>
        </xdr:cNvPr>
        <xdr:cNvSpPr txBox="1"/>
      </xdr:nvSpPr>
      <xdr:spPr>
        <a:xfrm>
          <a:off x="34176176" y="2952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489</xdr:row>
      <xdr:rowOff>0</xdr:rowOff>
    </xdr:from>
    <xdr:ext cx="65" cy="172227"/>
    <xdr:sp macro="" textlink="">
      <xdr:nvSpPr>
        <xdr:cNvPr id="66" name="TextBox 65">
          <a:extLst>
            <a:ext uri="{FF2B5EF4-FFF2-40B4-BE49-F238E27FC236}">
              <a16:creationId xmlns:a16="http://schemas.microsoft.com/office/drawing/2014/main" id="{00000000-0008-0000-0700-000042000000}"/>
            </a:ext>
          </a:extLst>
        </xdr:cNvPr>
        <xdr:cNvSpPr txBox="1"/>
      </xdr:nvSpPr>
      <xdr:spPr>
        <a:xfrm>
          <a:off x="34176176" y="2952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762</xdr:row>
      <xdr:rowOff>0</xdr:rowOff>
    </xdr:from>
    <xdr:ext cx="65" cy="172227"/>
    <xdr:sp macro="" textlink="">
      <xdr:nvSpPr>
        <xdr:cNvPr id="67" name="TextBox 66">
          <a:extLst>
            <a:ext uri="{FF2B5EF4-FFF2-40B4-BE49-F238E27FC236}">
              <a16:creationId xmlns:a16="http://schemas.microsoft.com/office/drawing/2014/main" id="{00000000-0008-0000-0700-000043000000}"/>
            </a:ext>
          </a:extLst>
        </xdr:cNvPr>
        <xdr:cNvSpPr txBox="1"/>
      </xdr:nvSpPr>
      <xdr:spPr>
        <a:xfrm>
          <a:off x="34176176" y="45281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762</xdr:row>
      <xdr:rowOff>0</xdr:rowOff>
    </xdr:from>
    <xdr:ext cx="65" cy="172227"/>
    <xdr:sp macro="" textlink="">
      <xdr:nvSpPr>
        <xdr:cNvPr id="68" name="TextBox 67">
          <a:extLst>
            <a:ext uri="{FF2B5EF4-FFF2-40B4-BE49-F238E27FC236}">
              <a16:creationId xmlns:a16="http://schemas.microsoft.com/office/drawing/2014/main" id="{00000000-0008-0000-0700-000044000000}"/>
            </a:ext>
          </a:extLst>
        </xdr:cNvPr>
        <xdr:cNvSpPr txBox="1"/>
      </xdr:nvSpPr>
      <xdr:spPr>
        <a:xfrm>
          <a:off x="34176176" y="45281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841</xdr:row>
      <xdr:rowOff>0</xdr:rowOff>
    </xdr:from>
    <xdr:ext cx="65" cy="172227"/>
    <xdr:sp macro="" textlink="">
      <xdr:nvSpPr>
        <xdr:cNvPr id="69" name="TextBox 68">
          <a:extLst>
            <a:ext uri="{FF2B5EF4-FFF2-40B4-BE49-F238E27FC236}">
              <a16:creationId xmlns:a16="http://schemas.microsoft.com/office/drawing/2014/main" id="{00000000-0008-0000-0700-000045000000}"/>
            </a:ext>
          </a:extLst>
        </xdr:cNvPr>
        <xdr:cNvSpPr txBox="1"/>
      </xdr:nvSpPr>
      <xdr:spPr>
        <a:xfrm>
          <a:off x="34179314" y="48977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841</xdr:row>
      <xdr:rowOff>0</xdr:rowOff>
    </xdr:from>
    <xdr:ext cx="65" cy="172227"/>
    <xdr:sp macro="" textlink="">
      <xdr:nvSpPr>
        <xdr:cNvPr id="70" name="TextBox 69">
          <a:extLst>
            <a:ext uri="{FF2B5EF4-FFF2-40B4-BE49-F238E27FC236}">
              <a16:creationId xmlns:a16="http://schemas.microsoft.com/office/drawing/2014/main" id="{00000000-0008-0000-0700-000046000000}"/>
            </a:ext>
          </a:extLst>
        </xdr:cNvPr>
        <xdr:cNvSpPr txBox="1"/>
      </xdr:nvSpPr>
      <xdr:spPr>
        <a:xfrm>
          <a:off x="34179314" y="48977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886</xdr:row>
      <xdr:rowOff>0</xdr:rowOff>
    </xdr:from>
    <xdr:ext cx="65" cy="172227"/>
    <xdr:sp macro="" textlink="">
      <xdr:nvSpPr>
        <xdr:cNvPr id="71" name="TextBox 70">
          <a:extLst>
            <a:ext uri="{FF2B5EF4-FFF2-40B4-BE49-F238E27FC236}">
              <a16:creationId xmlns:a16="http://schemas.microsoft.com/office/drawing/2014/main" id="{00000000-0008-0000-0700-000047000000}"/>
            </a:ext>
          </a:extLst>
        </xdr:cNvPr>
        <xdr:cNvSpPr txBox="1"/>
      </xdr:nvSpPr>
      <xdr:spPr>
        <a:xfrm>
          <a:off x="34179314" y="51254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886</xdr:row>
      <xdr:rowOff>0</xdr:rowOff>
    </xdr:from>
    <xdr:ext cx="65" cy="172227"/>
    <xdr:sp macro="" textlink="">
      <xdr:nvSpPr>
        <xdr:cNvPr id="72" name="TextBox 71">
          <a:extLst>
            <a:ext uri="{FF2B5EF4-FFF2-40B4-BE49-F238E27FC236}">
              <a16:creationId xmlns:a16="http://schemas.microsoft.com/office/drawing/2014/main" id="{00000000-0008-0000-0700-000048000000}"/>
            </a:ext>
          </a:extLst>
        </xdr:cNvPr>
        <xdr:cNvSpPr txBox="1"/>
      </xdr:nvSpPr>
      <xdr:spPr>
        <a:xfrm>
          <a:off x="34179314" y="51254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916</xdr:row>
      <xdr:rowOff>0</xdr:rowOff>
    </xdr:from>
    <xdr:ext cx="65" cy="172227"/>
    <xdr:sp macro="" textlink="">
      <xdr:nvSpPr>
        <xdr:cNvPr id="73" name="TextBox 72">
          <a:extLst>
            <a:ext uri="{FF2B5EF4-FFF2-40B4-BE49-F238E27FC236}">
              <a16:creationId xmlns:a16="http://schemas.microsoft.com/office/drawing/2014/main" id="{00000000-0008-0000-0700-000049000000}"/>
            </a:ext>
          </a:extLst>
        </xdr:cNvPr>
        <xdr:cNvSpPr txBox="1"/>
      </xdr:nvSpPr>
      <xdr:spPr>
        <a:xfrm>
          <a:off x="34179314" y="5294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916</xdr:row>
      <xdr:rowOff>0</xdr:rowOff>
    </xdr:from>
    <xdr:ext cx="65" cy="172227"/>
    <xdr:sp macro="" textlink="">
      <xdr:nvSpPr>
        <xdr:cNvPr id="74" name="TextBox 73">
          <a:extLst>
            <a:ext uri="{FF2B5EF4-FFF2-40B4-BE49-F238E27FC236}">
              <a16:creationId xmlns:a16="http://schemas.microsoft.com/office/drawing/2014/main" id="{00000000-0008-0000-0700-00004A000000}"/>
            </a:ext>
          </a:extLst>
        </xdr:cNvPr>
        <xdr:cNvSpPr txBox="1"/>
      </xdr:nvSpPr>
      <xdr:spPr>
        <a:xfrm>
          <a:off x="34179314" y="5294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1126</xdr:row>
      <xdr:rowOff>0</xdr:rowOff>
    </xdr:from>
    <xdr:ext cx="65" cy="172227"/>
    <xdr:sp macro="" textlink="">
      <xdr:nvSpPr>
        <xdr:cNvPr id="75" name="TextBox 74">
          <a:extLst>
            <a:ext uri="{FF2B5EF4-FFF2-40B4-BE49-F238E27FC236}">
              <a16:creationId xmlns:a16="http://schemas.microsoft.com/office/drawing/2014/main" id="{00000000-0008-0000-0700-00004B000000}"/>
            </a:ext>
          </a:extLst>
        </xdr:cNvPr>
        <xdr:cNvSpPr txBox="1"/>
      </xdr:nvSpPr>
      <xdr:spPr>
        <a:xfrm>
          <a:off x="34179314" y="6427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1126</xdr:row>
      <xdr:rowOff>0</xdr:rowOff>
    </xdr:from>
    <xdr:ext cx="65" cy="172227"/>
    <xdr:sp macro="" textlink="">
      <xdr:nvSpPr>
        <xdr:cNvPr id="76" name="TextBox 75">
          <a:extLst>
            <a:ext uri="{FF2B5EF4-FFF2-40B4-BE49-F238E27FC236}">
              <a16:creationId xmlns:a16="http://schemas.microsoft.com/office/drawing/2014/main" id="{00000000-0008-0000-0700-00004C000000}"/>
            </a:ext>
          </a:extLst>
        </xdr:cNvPr>
        <xdr:cNvSpPr txBox="1"/>
      </xdr:nvSpPr>
      <xdr:spPr>
        <a:xfrm>
          <a:off x="34179314" y="6427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xdr:row>
      <xdr:rowOff>0</xdr:rowOff>
    </xdr:from>
    <xdr:ext cx="65" cy="172227"/>
    <xdr:sp macro="" textlink="">
      <xdr:nvSpPr>
        <xdr:cNvPr id="77" name="TextBox 76">
          <a:extLst>
            <a:ext uri="{FF2B5EF4-FFF2-40B4-BE49-F238E27FC236}">
              <a16:creationId xmlns:a16="http://schemas.microsoft.com/office/drawing/2014/main" id="{00000000-0008-0000-0700-00004D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xdr:row>
      <xdr:rowOff>0</xdr:rowOff>
    </xdr:from>
    <xdr:ext cx="65" cy="172227"/>
    <xdr:sp macro="" textlink="">
      <xdr:nvSpPr>
        <xdr:cNvPr id="78" name="TextBox 77">
          <a:extLst>
            <a:ext uri="{FF2B5EF4-FFF2-40B4-BE49-F238E27FC236}">
              <a16:creationId xmlns:a16="http://schemas.microsoft.com/office/drawing/2014/main" id="{00000000-0008-0000-0700-00004E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125</xdr:row>
      <xdr:rowOff>0</xdr:rowOff>
    </xdr:from>
    <xdr:ext cx="65" cy="172227"/>
    <xdr:sp macro="" textlink="">
      <xdr:nvSpPr>
        <xdr:cNvPr id="79" name="TextBox 78">
          <a:extLst>
            <a:ext uri="{FF2B5EF4-FFF2-40B4-BE49-F238E27FC236}">
              <a16:creationId xmlns:a16="http://schemas.microsoft.com/office/drawing/2014/main" id="{00000000-0008-0000-0700-00004F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125</xdr:row>
      <xdr:rowOff>0</xdr:rowOff>
    </xdr:from>
    <xdr:ext cx="65" cy="172227"/>
    <xdr:sp macro="" textlink="">
      <xdr:nvSpPr>
        <xdr:cNvPr id="80" name="TextBox 79">
          <a:extLst>
            <a:ext uri="{FF2B5EF4-FFF2-40B4-BE49-F238E27FC236}">
              <a16:creationId xmlns:a16="http://schemas.microsoft.com/office/drawing/2014/main" id="{00000000-0008-0000-0700-000050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448</xdr:row>
      <xdr:rowOff>0</xdr:rowOff>
    </xdr:from>
    <xdr:ext cx="65" cy="172227"/>
    <xdr:sp macro="" textlink="">
      <xdr:nvSpPr>
        <xdr:cNvPr id="81" name="TextBox 80">
          <a:extLst>
            <a:ext uri="{FF2B5EF4-FFF2-40B4-BE49-F238E27FC236}">
              <a16:creationId xmlns:a16="http://schemas.microsoft.com/office/drawing/2014/main" id="{00000000-0008-0000-0700-000051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448</xdr:row>
      <xdr:rowOff>0</xdr:rowOff>
    </xdr:from>
    <xdr:ext cx="65" cy="172227"/>
    <xdr:sp macro="" textlink="">
      <xdr:nvSpPr>
        <xdr:cNvPr id="82" name="TextBox 81">
          <a:extLst>
            <a:ext uri="{FF2B5EF4-FFF2-40B4-BE49-F238E27FC236}">
              <a16:creationId xmlns:a16="http://schemas.microsoft.com/office/drawing/2014/main" id="{00000000-0008-0000-0700-000052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519</xdr:row>
      <xdr:rowOff>0</xdr:rowOff>
    </xdr:from>
    <xdr:ext cx="65" cy="172227"/>
    <xdr:sp macro="" textlink="">
      <xdr:nvSpPr>
        <xdr:cNvPr id="83" name="TextBox 82">
          <a:extLst>
            <a:ext uri="{FF2B5EF4-FFF2-40B4-BE49-F238E27FC236}">
              <a16:creationId xmlns:a16="http://schemas.microsoft.com/office/drawing/2014/main" id="{00000000-0008-0000-0700-000053000000}"/>
            </a:ext>
          </a:extLst>
        </xdr:cNvPr>
        <xdr:cNvSpPr txBox="1"/>
      </xdr:nvSpPr>
      <xdr:spPr>
        <a:xfrm>
          <a:off x="34176176" y="30975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519</xdr:row>
      <xdr:rowOff>0</xdr:rowOff>
    </xdr:from>
    <xdr:ext cx="65" cy="172227"/>
    <xdr:sp macro="" textlink="">
      <xdr:nvSpPr>
        <xdr:cNvPr id="84" name="TextBox 83">
          <a:extLst>
            <a:ext uri="{FF2B5EF4-FFF2-40B4-BE49-F238E27FC236}">
              <a16:creationId xmlns:a16="http://schemas.microsoft.com/office/drawing/2014/main" id="{00000000-0008-0000-0700-000054000000}"/>
            </a:ext>
          </a:extLst>
        </xdr:cNvPr>
        <xdr:cNvSpPr txBox="1"/>
      </xdr:nvSpPr>
      <xdr:spPr>
        <a:xfrm>
          <a:off x="34176176" y="30975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560</xdr:row>
      <xdr:rowOff>0</xdr:rowOff>
    </xdr:from>
    <xdr:ext cx="65" cy="172227"/>
    <xdr:sp macro="" textlink="">
      <xdr:nvSpPr>
        <xdr:cNvPr id="85" name="TextBox 84">
          <a:extLst>
            <a:ext uri="{FF2B5EF4-FFF2-40B4-BE49-F238E27FC236}">
              <a16:creationId xmlns:a16="http://schemas.microsoft.com/office/drawing/2014/main" id="{00000000-0008-0000-0700-000055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560</xdr:row>
      <xdr:rowOff>0</xdr:rowOff>
    </xdr:from>
    <xdr:ext cx="65" cy="172227"/>
    <xdr:sp macro="" textlink="">
      <xdr:nvSpPr>
        <xdr:cNvPr id="86" name="TextBox 85">
          <a:extLst>
            <a:ext uri="{FF2B5EF4-FFF2-40B4-BE49-F238E27FC236}">
              <a16:creationId xmlns:a16="http://schemas.microsoft.com/office/drawing/2014/main" id="{00000000-0008-0000-0700-000056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599</xdr:row>
      <xdr:rowOff>0</xdr:rowOff>
    </xdr:from>
    <xdr:ext cx="65" cy="172227"/>
    <xdr:sp macro="" textlink="">
      <xdr:nvSpPr>
        <xdr:cNvPr id="87" name="TextBox 86">
          <a:extLst>
            <a:ext uri="{FF2B5EF4-FFF2-40B4-BE49-F238E27FC236}">
              <a16:creationId xmlns:a16="http://schemas.microsoft.com/office/drawing/2014/main" id="{00000000-0008-0000-0700-000057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599</xdr:row>
      <xdr:rowOff>0</xdr:rowOff>
    </xdr:from>
    <xdr:ext cx="65" cy="172227"/>
    <xdr:sp macro="" textlink="">
      <xdr:nvSpPr>
        <xdr:cNvPr id="88" name="TextBox 87">
          <a:extLst>
            <a:ext uri="{FF2B5EF4-FFF2-40B4-BE49-F238E27FC236}">
              <a16:creationId xmlns:a16="http://schemas.microsoft.com/office/drawing/2014/main" id="{00000000-0008-0000-0700-000058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678</xdr:row>
      <xdr:rowOff>0</xdr:rowOff>
    </xdr:from>
    <xdr:ext cx="65" cy="172227"/>
    <xdr:sp macro="" textlink="">
      <xdr:nvSpPr>
        <xdr:cNvPr id="89" name="TextBox 88">
          <a:extLst>
            <a:ext uri="{FF2B5EF4-FFF2-40B4-BE49-F238E27FC236}">
              <a16:creationId xmlns:a16="http://schemas.microsoft.com/office/drawing/2014/main" id="{00000000-0008-0000-0700-000059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678</xdr:row>
      <xdr:rowOff>0</xdr:rowOff>
    </xdr:from>
    <xdr:ext cx="65" cy="172227"/>
    <xdr:sp macro="" textlink="">
      <xdr:nvSpPr>
        <xdr:cNvPr id="90" name="TextBox 89">
          <a:extLst>
            <a:ext uri="{FF2B5EF4-FFF2-40B4-BE49-F238E27FC236}">
              <a16:creationId xmlns:a16="http://schemas.microsoft.com/office/drawing/2014/main" id="{00000000-0008-0000-0700-00005A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1001</xdr:row>
      <xdr:rowOff>0</xdr:rowOff>
    </xdr:from>
    <xdr:ext cx="65" cy="172227"/>
    <xdr:sp macro="" textlink="">
      <xdr:nvSpPr>
        <xdr:cNvPr id="91" name="TextBox 90">
          <a:extLst>
            <a:ext uri="{FF2B5EF4-FFF2-40B4-BE49-F238E27FC236}">
              <a16:creationId xmlns:a16="http://schemas.microsoft.com/office/drawing/2014/main" id="{00000000-0008-0000-0700-00005B000000}"/>
            </a:ext>
          </a:extLst>
        </xdr:cNvPr>
        <xdr:cNvSpPr txBox="1"/>
      </xdr:nvSpPr>
      <xdr:spPr>
        <a:xfrm>
          <a:off x="34179314" y="58378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1001</xdr:row>
      <xdr:rowOff>0</xdr:rowOff>
    </xdr:from>
    <xdr:ext cx="65" cy="172227"/>
    <xdr:sp macro="" textlink="">
      <xdr:nvSpPr>
        <xdr:cNvPr id="92" name="TextBox 91">
          <a:extLst>
            <a:ext uri="{FF2B5EF4-FFF2-40B4-BE49-F238E27FC236}">
              <a16:creationId xmlns:a16="http://schemas.microsoft.com/office/drawing/2014/main" id="{00000000-0008-0000-0700-00005C000000}"/>
            </a:ext>
          </a:extLst>
        </xdr:cNvPr>
        <xdr:cNvSpPr txBox="1"/>
      </xdr:nvSpPr>
      <xdr:spPr>
        <a:xfrm>
          <a:off x="34179314" y="58378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1036</xdr:row>
      <xdr:rowOff>0</xdr:rowOff>
    </xdr:from>
    <xdr:ext cx="65" cy="172227"/>
    <xdr:sp macro="" textlink="">
      <xdr:nvSpPr>
        <xdr:cNvPr id="93" name="TextBox 92">
          <a:extLst>
            <a:ext uri="{FF2B5EF4-FFF2-40B4-BE49-F238E27FC236}">
              <a16:creationId xmlns:a16="http://schemas.microsoft.com/office/drawing/2014/main" id="{00000000-0008-0000-0700-00005D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1036</xdr:row>
      <xdr:rowOff>0</xdr:rowOff>
    </xdr:from>
    <xdr:ext cx="65" cy="172227"/>
    <xdr:sp macro="" textlink="">
      <xdr:nvSpPr>
        <xdr:cNvPr id="94" name="TextBox 93">
          <a:extLst>
            <a:ext uri="{FF2B5EF4-FFF2-40B4-BE49-F238E27FC236}">
              <a16:creationId xmlns:a16="http://schemas.microsoft.com/office/drawing/2014/main" id="{00000000-0008-0000-0700-00005E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1062</xdr:row>
      <xdr:rowOff>0</xdr:rowOff>
    </xdr:from>
    <xdr:ext cx="65" cy="172227"/>
    <xdr:sp macro="" textlink="">
      <xdr:nvSpPr>
        <xdr:cNvPr id="95" name="TextBox 94">
          <a:extLst>
            <a:ext uri="{FF2B5EF4-FFF2-40B4-BE49-F238E27FC236}">
              <a16:creationId xmlns:a16="http://schemas.microsoft.com/office/drawing/2014/main" id="{00000000-0008-0000-0700-00005F000000}"/>
            </a:ext>
          </a:extLst>
        </xdr:cNvPr>
        <xdr:cNvSpPr txBox="1"/>
      </xdr:nvSpPr>
      <xdr:spPr>
        <a:xfrm>
          <a:off x="34179314" y="61426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1062</xdr:row>
      <xdr:rowOff>0</xdr:rowOff>
    </xdr:from>
    <xdr:ext cx="65" cy="172227"/>
    <xdr:sp macro="" textlink="">
      <xdr:nvSpPr>
        <xdr:cNvPr id="96" name="TextBox 95">
          <a:extLst>
            <a:ext uri="{FF2B5EF4-FFF2-40B4-BE49-F238E27FC236}">
              <a16:creationId xmlns:a16="http://schemas.microsoft.com/office/drawing/2014/main" id="{00000000-0008-0000-0700-000060000000}"/>
            </a:ext>
          </a:extLst>
        </xdr:cNvPr>
        <xdr:cNvSpPr txBox="1"/>
      </xdr:nvSpPr>
      <xdr:spPr>
        <a:xfrm>
          <a:off x="34179314" y="61426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1093</xdr:row>
      <xdr:rowOff>0</xdr:rowOff>
    </xdr:from>
    <xdr:ext cx="65" cy="172227"/>
    <xdr:sp macro="" textlink="">
      <xdr:nvSpPr>
        <xdr:cNvPr id="97" name="TextBox 96">
          <a:extLst>
            <a:ext uri="{FF2B5EF4-FFF2-40B4-BE49-F238E27FC236}">
              <a16:creationId xmlns:a16="http://schemas.microsoft.com/office/drawing/2014/main" id="{00000000-0008-0000-0700-000061000000}"/>
            </a:ext>
          </a:extLst>
        </xdr:cNvPr>
        <xdr:cNvSpPr txBox="1"/>
      </xdr:nvSpPr>
      <xdr:spPr>
        <a:xfrm>
          <a:off x="34179314" y="62731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1093</xdr:row>
      <xdr:rowOff>0</xdr:rowOff>
    </xdr:from>
    <xdr:ext cx="65" cy="172227"/>
    <xdr:sp macro="" textlink="">
      <xdr:nvSpPr>
        <xdr:cNvPr id="98" name="TextBox 97">
          <a:extLst>
            <a:ext uri="{FF2B5EF4-FFF2-40B4-BE49-F238E27FC236}">
              <a16:creationId xmlns:a16="http://schemas.microsoft.com/office/drawing/2014/main" id="{00000000-0008-0000-0700-000062000000}"/>
            </a:ext>
          </a:extLst>
        </xdr:cNvPr>
        <xdr:cNvSpPr txBox="1"/>
      </xdr:nvSpPr>
      <xdr:spPr>
        <a:xfrm>
          <a:off x="34179314" y="62731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1263</xdr:row>
      <xdr:rowOff>0</xdr:rowOff>
    </xdr:from>
    <xdr:ext cx="65" cy="172227"/>
    <xdr:sp macro="" textlink="">
      <xdr:nvSpPr>
        <xdr:cNvPr id="99" name="TextBox 98">
          <a:extLst>
            <a:ext uri="{FF2B5EF4-FFF2-40B4-BE49-F238E27FC236}">
              <a16:creationId xmlns:a16="http://schemas.microsoft.com/office/drawing/2014/main" id="{00000000-0008-0000-0700-000063000000}"/>
            </a:ext>
          </a:extLst>
        </xdr:cNvPr>
        <xdr:cNvSpPr txBox="1"/>
      </xdr:nvSpPr>
      <xdr:spPr>
        <a:xfrm>
          <a:off x="341793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1263</xdr:row>
      <xdr:rowOff>0</xdr:rowOff>
    </xdr:from>
    <xdr:ext cx="65" cy="172227"/>
    <xdr:sp macro="" textlink="">
      <xdr:nvSpPr>
        <xdr:cNvPr id="100" name="TextBox 99">
          <a:extLst>
            <a:ext uri="{FF2B5EF4-FFF2-40B4-BE49-F238E27FC236}">
              <a16:creationId xmlns:a16="http://schemas.microsoft.com/office/drawing/2014/main" id="{00000000-0008-0000-0700-000064000000}"/>
            </a:ext>
          </a:extLst>
        </xdr:cNvPr>
        <xdr:cNvSpPr txBox="1"/>
      </xdr:nvSpPr>
      <xdr:spPr>
        <a:xfrm>
          <a:off x="341793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1304</xdr:row>
      <xdr:rowOff>0</xdr:rowOff>
    </xdr:from>
    <xdr:ext cx="65" cy="172227"/>
    <xdr:sp macro="" textlink="">
      <xdr:nvSpPr>
        <xdr:cNvPr id="101" name="TextBox 100">
          <a:extLst>
            <a:ext uri="{FF2B5EF4-FFF2-40B4-BE49-F238E27FC236}">
              <a16:creationId xmlns:a16="http://schemas.microsoft.com/office/drawing/2014/main" id="{00000000-0008-0000-0700-000065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1304</xdr:row>
      <xdr:rowOff>0</xdr:rowOff>
    </xdr:from>
    <xdr:ext cx="65" cy="172227"/>
    <xdr:sp macro="" textlink="">
      <xdr:nvSpPr>
        <xdr:cNvPr id="102" name="TextBox 101">
          <a:extLst>
            <a:ext uri="{FF2B5EF4-FFF2-40B4-BE49-F238E27FC236}">
              <a16:creationId xmlns:a16="http://schemas.microsoft.com/office/drawing/2014/main" id="{00000000-0008-0000-0700-000066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xdr:row>
      <xdr:rowOff>0</xdr:rowOff>
    </xdr:from>
    <xdr:ext cx="65" cy="172227"/>
    <xdr:sp macro="" textlink="">
      <xdr:nvSpPr>
        <xdr:cNvPr id="103" name="TextBox 102">
          <a:extLst>
            <a:ext uri="{FF2B5EF4-FFF2-40B4-BE49-F238E27FC236}">
              <a16:creationId xmlns:a16="http://schemas.microsoft.com/office/drawing/2014/main" id="{00000000-0008-0000-0700-000067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xdr:row>
      <xdr:rowOff>0</xdr:rowOff>
    </xdr:from>
    <xdr:ext cx="65" cy="172227"/>
    <xdr:sp macro="" textlink="">
      <xdr:nvSpPr>
        <xdr:cNvPr id="104" name="TextBox 103">
          <a:extLst>
            <a:ext uri="{FF2B5EF4-FFF2-40B4-BE49-F238E27FC236}">
              <a16:creationId xmlns:a16="http://schemas.microsoft.com/office/drawing/2014/main" id="{00000000-0008-0000-0700-000068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125</xdr:row>
      <xdr:rowOff>0</xdr:rowOff>
    </xdr:from>
    <xdr:ext cx="65" cy="172227"/>
    <xdr:sp macro="" textlink="">
      <xdr:nvSpPr>
        <xdr:cNvPr id="105" name="TextBox 104">
          <a:extLst>
            <a:ext uri="{FF2B5EF4-FFF2-40B4-BE49-F238E27FC236}">
              <a16:creationId xmlns:a16="http://schemas.microsoft.com/office/drawing/2014/main" id="{00000000-0008-0000-0700-000069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125</xdr:row>
      <xdr:rowOff>0</xdr:rowOff>
    </xdr:from>
    <xdr:ext cx="65" cy="172227"/>
    <xdr:sp macro="" textlink="">
      <xdr:nvSpPr>
        <xdr:cNvPr id="106" name="TextBox 105">
          <a:extLst>
            <a:ext uri="{FF2B5EF4-FFF2-40B4-BE49-F238E27FC236}">
              <a16:creationId xmlns:a16="http://schemas.microsoft.com/office/drawing/2014/main" id="{00000000-0008-0000-0700-00006A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125</xdr:row>
      <xdr:rowOff>0</xdr:rowOff>
    </xdr:from>
    <xdr:ext cx="65" cy="172227"/>
    <xdr:sp macro="" textlink="">
      <xdr:nvSpPr>
        <xdr:cNvPr id="107" name="TextBox 106">
          <a:extLst>
            <a:ext uri="{FF2B5EF4-FFF2-40B4-BE49-F238E27FC236}">
              <a16:creationId xmlns:a16="http://schemas.microsoft.com/office/drawing/2014/main" id="{00000000-0008-0000-0700-00006B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125</xdr:row>
      <xdr:rowOff>0</xdr:rowOff>
    </xdr:from>
    <xdr:ext cx="65" cy="172227"/>
    <xdr:sp macro="" textlink="">
      <xdr:nvSpPr>
        <xdr:cNvPr id="108" name="TextBox 107">
          <a:extLst>
            <a:ext uri="{FF2B5EF4-FFF2-40B4-BE49-F238E27FC236}">
              <a16:creationId xmlns:a16="http://schemas.microsoft.com/office/drawing/2014/main" id="{00000000-0008-0000-0700-00006C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448</xdr:row>
      <xdr:rowOff>0</xdr:rowOff>
    </xdr:from>
    <xdr:ext cx="65" cy="172227"/>
    <xdr:sp macro="" textlink="">
      <xdr:nvSpPr>
        <xdr:cNvPr id="109" name="TextBox 108">
          <a:extLst>
            <a:ext uri="{FF2B5EF4-FFF2-40B4-BE49-F238E27FC236}">
              <a16:creationId xmlns:a16="http://schemas.microsoft.com/office/drawing/2014/main" id="{00000000-0008-0000-0700-00006D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448</xdr:row>
      <xdr:rowOff>0</xdr:rowOff>
    </xdr:from>
    <xdr:ext cx="65" cy="172227"/>
    <xdr:sp macro="" textlink="">
      <xdr:nvSpPr>
        <xdr:cNvPr id="110" name="TextBox 109">
          <a:extLst>
            <a:ext uri="{FF2B5EF4-FFF2-40B4-BE49-F238E27FC236}">
              <a16:creationId xmlns:a16="http://schemas.microsoft.com/office/drawing/2014/main" id="{00000000-0008-0000-0700-00006E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448</xdr:row>
      <xdr:rowOff>0</xdr:rowOff>
    </xdr:from>
    <xdr:ext cx="65" cy="172227"/>
    <xdr:sp macro="" textlink="">
      <xdr:nvSpPr>
        <xdr:cNvPr id="111" name="TextBox 110">
          <a:extLst>
            <a:ext uri="{FF2B5EF4-FFF2-40B4-BE49-F238E27FC236}">
              <a16:creationId xmlns:a16="http://schemas.microsoft.com/office/drawing/2014/main" id="{00000000-0008-0000-0700-00006F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448</xdr:row>
      <xdr:rowOff>0</xdr:rowOff>
    </xdr:from>
    <xdr:ext cx="65" cy="172227"/>
    <xdr:sp macro="" textlink="">
      <xdr:nvSpPr>
        <xdr:cNvPr id="112" name="TextBox 111">
          <a:extLst>
            <a:ext uri="{FF2B5EF4-FFF2-40B4-BE49-F238E27FC236}">
              <a16:creationId xmlns:a16="http://schemas.microsoft.com/office/drawing/2014/main" id="{00000000-0008-0000-0700-000070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448</xdr:row>
      <xdr:rowOff>0</xdr:rowOff>
    </xdr:from>
    <xdr:ext cx="65" cy="172227"/>
    <xdr:sp macro="" textlink="">
      <xdr:nvSpPr>
        <xdr:cNvPr id="113" name="TextBox 112">
          <a:extLst>
            <a:ext uri="{FF2B5EF4-FFF2-40B4-BE49-F238E27FC236}">
              <a16:creationId xmlns:a16="http://schemas.microsoft.com/office/drawing/2014/main" id="{00000000-0008-0000-0700-000071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448</xdr:row>
      <xdr:rowOff>0</xdr:rowOff>
    </xdr:from>
    <xdr:ext cx="65" cy="172227"/>
    <xdr:sp macro="" textlink="">
      <xdr:nvSpPr>
        <xdr:cNvPr id="114" name="TextBox 113">
          <a:extLst>
            <a:ext uri="{FF2B5EF4-FFF2-40B4-BE49-F238E27FC236}">
              <a16:creationId xmlns:a16="http://schemas.microsoft.com/office/drawing/2014/main" id="{00000000-0008-0000-0700-000072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519</xdr:row>
      <xdr:rowOff>0</xdr:rowOff>
    </xdr:from>
    <xdr:ext cx="65" cy="172227"/>
    <xdr:sp macro="" textlink="">
      <xdr:nvSpPr>
        <xdr:cNvPr id="115" name="TextBox 114">
          <a:extLst>
            <a:ext uri="{FF2B5EF4-FFF2-40B4-BE49-F238E27FC236}">
              <a16:creationId xmlns:a16="http://schemas.microsoft.com/office/drawing/2014/main" id="{00000000-0008-0000-0700-000073000000}"/>
            </a:ext>
          </a:extLst>
        </xdr:cNvPr>
        <xdr:cNvSpPr txBox="1"/>
      </xdr:nvSpPr>
      <xdr:spPr>
        <a:xfrm>
          <a:off x="34176176" y="30975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519</xdr:row>
      <xdr:rowOff>0</xdr:rowOff>
    </xdr:from>
    <xdr:ext cx="65" cy="172227"/>
    <xdr:sp macro="" textlink="">
      <xdr:nvSpPr>
        <xdr:cNvPr id="116" name="TextBox 115">
          <a:extLst>
            <a:ext uri="{FF2B5EF4-FFF2-40B4-BE49-F238E27FC236}">
              <a16:creationId xmlns:a16="http://schemas.microsoft.com/office/drawing/2014/main" id="{00000000-0008-0000-0700-000074000000}"/>
            </a:ext>
          </a:extLst>
        </xdr:cNvPr>
        <xdr:cNvSpPr txBox="1"/>
      </xdr:nvSpPr>
      <xdr:spPr>
        <a:xfrm>
          <a:off x="34176176" y="30975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560</xdr:row>
      <xdr:rowOff>0</xdr:rowOff>
    </xdr:from>
    <xdr:ext cx="65" cy="172227"/>
    <xdr:sp macro="" textlink="">
      <xdr:nvSpPr>
        <xdr:cNvPr id="117" name="TextBox 116">
          <a:extLst>
            <a:ext uri="{FF2B5EF4-FFF2-40B4-BE49-F238E27FC236}">
              <a16:creationId xmlns:a16="http://schemas.microsoft.com/office/drawing/2014/main" id="{00000000-0008-0000-0700-000075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560</xdr:row>
      <xdr:rowOff>0</xdr:rowOff>
    </xdr:from>
    <xdr:ext cx="65" cy="172227"/>
    <xdr:sp macro="" textlink="">
      <xdr:nvSpPr>
        <xdr:cNvPr id="118" name="TextBox 117">
          <a:extLst>
            <a:ext uri="{FF2B5EF4-FFF2-40B4-BE49-F238E27FC236}">
              <a16:creationId xmlns:a16="http://schemas.microsoft.com/office/drawing/2014/main" id="{00000000-0008-0000-0700-000076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560</xdr:row>
      <xdr:rowOff>0</xdr:rowOff>
    </xdr:from>
    <xdr:ext cx="65" cy="172227"/>
    <xdr:sp macro="" textlink="">
      <xdr:nvSpPr>
        <xdr:cNvPr id="119" name="TextBox 118">
          <a:extLst>
            <a:ext uri="{FF2B5EF4-FFF2-40B4-BE49-F238E27FC236}">
              <a16:creationId xmlns:a16="http://schemas.microsoft.com/office/drawing/2014/main" id="{00000000-0008-0000-0700-000077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560</xdr:row>
      <xdr:rowOff>0</xdr:rowOff>
    </xdr:from>
    <xdr:ext cx="65" cy="172227"/>
    <xdr:sp macro="" textlink="">
      <xdr:nvSpPr>
        <xdr:cNvPr id="120" name="TextBox 119">
          <a:extLst>
            <a:ext uri="{FF2B5EF4-FFF2-40B4-BE49-F238E27FC236}">
              <a16:creationId xmlns:a16="http://schemas.microsoft.com/office/drawing/2014/main" id="{00000000-0008-0000-0700-000078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599</xdr:row>
      <xdr:rowOff>0</xdr:rowOff>
    </xdr:from>
    <xdr:ext cx="65" cy="172227"/>
    <xdr:sp macro="" textlink="">
      <xdr:nvSpPr>
        <xdr:cNvPr id="121" name="TextBox 120">
          <a:extLst>
            <a:ext uri="{FF2B5EF4-FFF2-40B4-BE49-F238E27FC236}">
              <a16:creationId xmlns:a16="http://schemas.microsoft.com/office/drawing/2014/main" id="{00000000-0008-0000-0700-000079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599</xdr:row>
      <xdr:rowOff>0</xdr:rowOff>
    </xdr:from>
    <xdr:ext cx="65" cy="172227"/>
    <xdr:sp macro="" textlink="">
      <xdr:nvSpPr>
        <xdr:cNvPr id="122" name="TextBox 121">
          <a:extLst>
            <a:ext uri="{FF2B5EF4-FFF2-40B4-BE49-F238E27FC236}">
              <a16:creationId xmlns:a16="http://schemas.microsoft.com/office/drawing/2014/main" id="{00000000-0008-0000-0700-00007A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599</xdr:row>
      <xdr:rowOff>0</xdr:rowOff>
    </xdr:from>
    <xdr:ext cx="65" cy="172227"/>
    <xdr:sp macro="" textlink="">
      <xdr:nvSpPr>
        <xdr:cNvPr id="123" name="TextBox 122">
          <a:extLst>
            <a:ext uri="{FF2B5EF4-FFF2-40B4-BE49-F238E27FC236}">
              <a16:creationId xmlns:a16="http://schemas.microsoft.com/office/drawing/2014/main" id="{00000000-0008-0000-0700-00007B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599</xdr:row>
      <xdr:rowOff>0</xdr:rowOff>
    </xdr:from>
    <xdr:ext cx="65" cy="172227"/>
    <xdr:sp macro="" textlink="">
      <xdr:nvSpPr>
        <xdr:cNvPr id="124" name="TextBox 123">
          <a:extLst>
            <a:ext uri="{FF2B5EF4-FFF2-40B4-BE49-F238E27FC236}">
              <a16:creationId xmlns:a16="http://schemas.microsoft.com/office/drawing/2014/main" id="{00000000-0008-0000-0700-00007C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599</xdr:row>
      <xdr:rowOff>0</xdr:rowOff>
    </xdr:from>
    <xdr:ext cx="65" cy="172227"/>
    <xdr:sp macro="" textlink="">
      <xdr:nvSpPr>
        <xdr:cNvPr id="125" name="TextBox 124">
          <a:extLst>
            <a:ext uri="{FF2B5EF4-FFF2-40B4-BE49-F238E27FC236}">
              <a16:creationId xmlns:a16="http://schemas.microsoft.com/office/drawing/2014/main" id="{00000000-0008-0000-0700-00007D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599</xdr:row>
      <xdr:rowOff>0</xdr:rowOff>
    </xdr:from>
    <xdr:ext cx="65" cy="172227"/>
    <xdr:sp macro="" textlink="">
      <xdr:nvSpPr>
        <xdr:cNvPr id="126" name="TextBox 125">
          <a:extLst>
            <a:ext uri="{FF2B5EF4-FFF2-40B4-BE49-F238E27FC236}">
              <a16:creationId xmlns:a16="http://schemas.microsoft.com/office/drawing/2014/main" id="{00000000-0008-0000-0700-00007E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678</xdr:row>
      <xdr:rowOff>0</xdr:rowOff>
    </xdr:from>
    <xdr:ext cx="65" cy="172227"/>
    <xdr:sp macro="" textlink="">
      <xdr:nvSpPr>
        <xdr:cNvPr id="127" name="TextBox 126">
          <a:extLst>
            <a:ext uri="{FF2B5EF4-FFF2-40B4-BE49-F238E27FC236}">
              <a16:creationId xmlns:a16="http://schemas.microsoft.com/office/drawing/2014/main" id="{00000000-0008-0000-0700-00007F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678</xdr:row>
      <xdr:rowOff>0</xdr:rowOff>
    </xdr:from>
    <xdr:ext cx="65" cy="172227"/>
    <xdr:sp macro="" textlink="">
      <xdr:nvSpPr>
        <xdr:cNvPr id="128" name="TextBox 127">
          <a:extLst>
            <a:ext uri="{FF2B5EF4-FFF2-40B4-BE49-F238E27FC236}">
              <a16:creationId xmlns:a16="http://schemas.microsoft.com/office/drawing/2014/main" id="{00000000-0008-0000-0700-000080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678</xdr:row>
      <xdr:rowOff>0</xdr:rowOff>
    </xdr:from>
    <xdr:ext cx="65" cy="172227"/>
    <xdr:sp macro="" textlink="">
      <xdr:nvSpPr>
        <xdr:cNvPr id="129" name="TextBox 128">
          <a:extLst>
            <a:ext uri="{FF2B5EF4-FFF2-40B4-BE49-F238E27FC236}">
              <a16:creationId xmlns:a16="http://schemas.microsoft.com/office/drawing/2014/main" id="{00000000-0008-0000-0700-000081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678</xdr:row>
      <xdr:rowOff>0</xdr:rowOff>
    </xdr:from>
    <xdr:ext cx="65" cy="172227"/>
    <xdr:sp macro="" textlink="">
      <xdr:nvSpPr>
        <xdr:cNvPr id="130" name="TextBox 129">
          <a:extLst>
            <a:ext uri="{FF2B5EF4-FFF2-40B4-BE49-F238E27FC236}">
              <a16:creationId xmlns:a16="http://schemas.microsoft.com/office/drawing/2014/main" id="{00000000-0008-0000-0700-000082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678</xdr:row>
      <xdr:rowOff>0</xdr:rowOff>
    </xdr:from>
    <xdr:ext cx="65" cy="172227"/>
    <xdr:sp macro="" textlink="">
      <xdr:nvSpPr>
        <xdr:cNvPr id="131" name="TextBox 130">
          <a:extLst>
            <a:ext uri="{FF2B5EF4-FFF2-40B4-BE49-F238E27FC236}">
              <a16:creationId xmlns:a16="http://schemas.microsoft.com/office/drawing/2014/main" id="{00000000-0008-0000-0700-000083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678</xdr:row>
      <xdr:rowOff>0</xdr:rowOff>
    </xdr:from>
    <xdr:ext cx="65" cy="172227"/>
    <xdr:sp macro="" textlink="">
      <xdr:nvSpPr>
        <xdr:cNvPr id="132" name="TextBox 131">
          <a:extLst>
            <a:ext uri="{FF2B5EF4-FFF2-40B4-BE49-F238E27FC236}">
              <a16:creationId xmlns:a16="http://schemas.microsoft.com/office/drawing/2014/main" id="{00000000-0008-0000-0700-000084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678</xdr:row>
      <xdr:rowOff>0</xdr:rowOff>
    </xdr:from>
    <xdr:ext cx="65" cy="172227"/>
    <xdr:sp macro="" textlink="">
      <xdr:nvSpPr>
        <xdr:cNvPr id="133" name="TextBox 132">
          <a:extLst>
            <a:ext uri="{FF2B5EF4-FFF2-40B4-BE49-F238E27FC236}">
              <a16:creationId xmlns:a16="http://schemas.microsoft.com/office/drawing/2014/main" id="{00000000-0008-0000-0700-000085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678</xdr:row>
      <xdr:rowOff>0</xdr:rowOff>
    </xdr:from>
    <xdr:ext cx="65" cy="172227"/>
    <xdr:sp macro="" textlink="">
      <xdr:nvSpPr>
        <xdr:cNvPr id="134" name="TextBox 133">
          <a:extLst>
            <a:ext uri="{FF2B5EF4-FFF2-40B4-BE49-F238E27FC236}">
              <a16:creationId xmlns:a16="http://schemas.microsoft.com/office/drawing/2014/main" id="{00000000-0008-0000-0700-000086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1001</xdr:row>
      <xdr:rowOff>0</xdr:rowOff>
    </xdr:from>
    <xdr:ext cx="65" cy="172227"/>
    <xdr:sp macro="" textlink="">
      <xdr:nvSpPr>
        <xdr:cNvPr id="135" name="TextBox 134">
          <a:extLst>
            <a:ext uri="{FF2B5EF4-FFF2-40B4-BE49-F238E27FC236}">
              <a16:creationId xmlns:a16="http://schemas.microsoft.com/office/drawing/2014/main" id="{00000000-0008-0000-0700-000087000000}"/>
            </a:ext>
          </a:extLst>
        </xdr:cNvPr>
        <xdr:cNvSpPr txBox="1"/>
      </xdr:nvSpPr>
      <xdr:spPr>
        <a:xfrm>
          <a:off x="34179314" y="58378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1001</xdr:row>
      <xdr:rowOff>0</xdr:rowOff>
    </xdr:from>
    <xdr:ext cx="65" cy="172227"/>
    <xdr:sp macro="" textlink="">
      <xdr:nvSpPr>
        <xdr:cNvPr id="136" name="TextBox 135">
          <a:extLst>
            <a:ext uri="{FF2B5EF4-FFF2-40B4-BE49-F238E27FC236}">
              <a16:creationId xmlns:a16="http://schemas.microsoft.com/office/drawing/2014/main" id="{00000000-0008-0000-0700-000088000000}"/>
            </a:ext>
          </a:extLst>
        </xdr:cNvPr>
        <xdr:cNvSpPr txBox="1"/>
      </xdr:nvSpPr>
      <xdr:spPr>
        <a:xfrm>
          <a:off x="34179314" y="58378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1036</xdr:row>
      <xdr:rowOff>0</xdr:rowOff>
    </xdr:from>
    <xdr:ext cx="65" cy="172227"/>
    <xdr:sp macro="" textlink="">
      <xdr:nvSpPr>
        <xdr:cNvPr id="137" name="TextBox 136">
          <a:extLst>
            <a:ext uri="{FF2B5EF4-FFF2-40B4-BE49-F238E27FC236}">
              <a16:creationId xmlns:a16="http://schemas.microsoft.com/office/drawing/2014/main" id="{00000000-0008-0000-0700-000089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1036</xdr:row>
      <xdr:rowOff>0</xdr:rowOff>
    </xdr:from>
    <xdr:ext cx="65" cy="172227"/>
    <xdr:sp macro="" textlink="">
      <xdr:nvSpPr>
        <xdr:cNvPr id="138" name="TextBox 137">
          <a:extLst>
            <a:ext uri="{FF2B5EF4-FFF2-40B4-BE49-F238E27FC236}">
              <a16:creationId xmlns:a16="http://schemas.microsoft.com/office/drawing/2014/main" id="{00000000-0008-0000-0700-00008A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1036</xdr:row>
      <xdr:rowOff>0</xdr:rowOff>
    </xdr:from>
    <xdr:ext cx="65" cy="172227"/>
    <xdr:sp macro="" textlink="">
      <xdr:nvSpPr>
        <xdr:cNvPr id="139" name="TextBox 138">
          <a:extLst>
            <a:ext uri="{FF2B5EF4-FFF2-40B4-BE49-F238E27FC236}">
              <a16:creationId xmlns:a16="http://schemas.microsoft.com/office/drawing/2014/main" id="{00000000-0008-0000-0700-00008B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1036</xdr:row>
      <xdr:rowOff>0</xdr:rowOff>
    </xdr:from>
    <xdr:ext cx="65" cy="172227"/>
    <xdr:sp macro="" textlink="">
      <xdr:nvSpPr>
        <xdr:cNvPr id="140" name="TextBox 139">
          <a:extLst>
            <a:ext uri="{FF2B5EF4-FFF2-40B4-BE49-F238E27FC236}">
              <a16:creationId xmlns:a16="http://schemas.microsoft.com/office/drawing/2014/main" id="{00000000-0008-0000-0700-00008C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1093</xdr:row>
      <xdr:rowOff>0</xdr:rowOff>
    </xdr:from>
    <xdr:ext cx="65" cy="172227"/>
    <xdr:sp macro="" textlink="">
      <xdr:nvSpPr>
        <xdr:cNvPr id="141" name="TextBox 140">
          <a:extLst>
            <a:ext uri="{FF2B5EF4-FFF2-40B4-BE49-F238E27FC236}">
              <a16:creationId xmlns:a16="http://schemas.microsoft.com/office/drawing/2014/main" id="{00000000-0008-0000-0700-00008D000000}"/>
            </a:ext>
          </a:extLst>
        </xdr:cNvPr>
        <xdr:cNvSpPr txBox="1"/>
      </xdr:nvSpPr>
      <xdr:spPr>
        <a:xfrm>
          <a:off x="34179314" y="62731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1093</xdr:row>
      <xdr:rowOff>0</xdr:rowOff>
    </xdr:from>
    <xdr:ext cx="65" cy="172227"/>
    <xdr:sp macro="" textlink="">
      <xdr:nvSpPr>
        <xdr:cNvPr id="142" name="TextBox 141">
          <a:extLst>
            <a:ext uri="{FF2B5EF4-FFF2-40B4-BE49-F238E27FC236}">
              <a16:creationId xmlns:a16="http://schemas.microsoft.com/office/drawing/2014/main" id="{00000000-0008-0000-0700-00008E000000}"/>
            </a:ext>
          </a:extLst>
        </xdr:cNvPr>
        <xdr:cNvSpPr txBox="1"/>
      </xdr:nvSpPr>
      <xdr:spPr>
        <a:xfrm>
          <a:off x="34179314" y="62731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1263</xdr:row>
      <xdr:rowOff>0</xdr:rowOff>
    </xdr:from>
    <xdr:ext cx="65" cy="172227"/>
    <xdr:sp macro="" textlink="">
      <xdr:nvSpPr>
        <xdr:cNvPr id="143" name="TextBox 142">
          <a:extLst>
            <a:ext uri="{FF2B5EF4-FFF2-40B4-BE49-F238E27FC236}">
              <a16:creationId xmlns:a16="http://schemas.microsoft.com/office/drawing/2014/main" id="{00000000-0008-0000-0700-00008F000000}"/>
            </a:ext>
          </a:extLst>
        </xdr:cNvPr>
        <xdr:cNvSpPr txBox="1"/>
      </xdr:nvSpPr>
      <xdr:spPr>
        <a:xfrm>
          <a:off x="341793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1263</xdr:row>
      <xdr:rowOff>0</xdr:rowOff>
    </xdr:from>
    <xdr:ext cx="65" cy="172227"/>
    <xdr:sp macro="" textlink="">
      <xdr:nvSpPr>
        <xdr:cNvPr id="144" name="TextBox 143">
          <a:extLst>
            <a:ext uri="{FF2B5EF4-FFF2-40B4-BE49-F238E27FC236}">
              <a16:creationId xmlns:a16="http://schemas.microsoft.com/office/drawing/2014/main" id="{00000000-0008-0000-0700-000090000000}"/>
            </a:ext>
          </a:extLst>
        </xdr:cNvPr>
        <xdr:cNvSpPr txBox="1"/>
      </xdr:nvSpPr>
      <xdr:spPr>
        <a:xfrm>
          <a:off x="341793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1304</xdr:row>
      <xdr:rowOff>0</xdr:rowOff>
    </xdr:from>
    <xdr:ext cx="65" cy="172227"/>
    <xdr:sp macro="" textlink="">
      <xdr:nvSpPr>
        <xdr:cNvPr id="145" name="TextBox 144">
          <a:extLst>
            <a:ext uri="{FF2B5EF4-FFF2-40B4-BE49-F238E27FC236}">
              <a16:creationId xmlns:a16="http://schemas.microsoft.com/office/drawing/2014/main" id="{00000000-0008-0000-0700-000091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1304</xdr:row>
      <xdr:rowOff>0</xdr:rowOff>
    </xdr:from>
    <xdr:ext cx="65" cy="172227"/>
    <xdr:sp macro="" textlink="">
      <xdr:nvSpPr>
        <xdr:cNvPr id="146" name="TextBox 145">
          <a:extLst>
            <a:ext uri="{FF2B5EF4-FFF2-40B4-BE49-F238E27FC236}">
              <a16:creationId xmlns:a16="http://schemas.microsoft.com/office/drawing/2014/main" id="{00000000-0008-0000-0700-000092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1</xdr:colOff>
      <xdr:row>1366</xdr:row>
      <xdr:rowOff>0</xdr:rowOff>
    </xdr:from>
    <xdr:to>
      <xdr:col>11</xdr:col>
      <xdr:colOff>1049927</xdr:colOff>
      <xdr:row>1366</xdr:row>
      <xdr:rowOff>0</xdr:rowOff>
    </xdr:to>
    <mc:AlternateContent xmlns:mc="http://schemas.openxmlformats.org/markup-compatibility/2006" xmlns:a14="http://schemas.microsoft.com/office/drawing/2010/main">
      <mc:Choice Requires="a14">
        <xdr:sp macro="" textlink="">
          <xdr:nvSpPr>
            <xdr:cNvPr id="147" name="TextBox 146">
              <a:extLst>
                <a:ext uri="{FF2B5EF4-FFF2-40B4-BE49-F238E27FC236}">
                  <a16:creationId xmlns:a16="http://schemas.microsoft.com/office/drawing/2014/main" id="{00000000-0008-0000-0700-000093000000}"/>
                </a:ext>
              </a:extLst>
            </xdr:cNvPr>
            <xdr:cNvSpPr txBox="1"/>
          </xdr:nvSpPr>
          <xdr:spPr>
            <a:xfrm>
              <a:off x="3571876" y="80086200"/>
              <a:ext cx="1465162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rPr>
                      <m:t>=</m:t>
                    </m:r>
                    <m:f>
                      <m:fPr>
                        <m:ctrlPr>
                          <a:rPr lang="en-US" sz="1400" b="0" i="1">
                            <a:solidFill>
                              <a:sysClr val="windowText" lastClr="000000"/>
                            </a:solidFill>
                            <a:latin typeface="Cambria Math" panose="02040503050406030204" pitchFamily="18" charset="0"/>
                          </a:rPr>
                        </m:ctrlPr>
                      </m:fPr>
                      <m:num>
                        <m:d>
                          <m:dPr>
                            <m:ctrlPr>
                              <a:rPr lang="en-US" sz="1400" b="0" i="1">
                                <a:solidFill>
                                  <a:sysClr val="windowText" lastClr="000000"/>
                                </a:solidFill>
                                <a:latin typeface="Cambria Math" panose="02040503050406030204" pitchFamily="18" charset="0"/>
                              </a:rPr>
                            </m:ctrlPr>
                          </m:dPr>
                          <m:e>
                            <m:r>
                              <a:rPr lang="en-US" sz="1400" b="0" i="1">
                                <a:solidFill>
                                  <a:sysClr val="windowText" lastClr="000000"/>
                                </a:solidFill>
                                <a:latin typeface="Cambria Math" panose="02040503050406030204" pitchFamily="18" charset="0"/>
                              </a:rPr>
                              <m:t>𝐹𝐿</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𝐻</m:t>
                                </m:r>
                              </m:e>
                              <m:sub>
                                <m:r>
                                  <a:rPr lang="en-US" sz="1400" b="0" i="1">
                                    <a:solidFill>
                                      <a:sysClr val="windowText" lastClr="000000"/>
                                    </a:solidFill>
                                    <a:latin typeface="Cambria Math" panose="02040503050406030204" pitchFamily="18" charset="0"/>
                                  </a:rPr>
                                  <m:t>𝑅𝑜𝑜𝑚𝐴𝐶</m:t>
                                </m:r>
                              </m:sub>
                            </m:sSub>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𝐵𝑡𝑢</m:t>
                            </m:r>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𝐻</m:t>
                            </m:r>
                            <m:r>
                              <a:rPr lang="en-US" sz="1400" b="0" i="1">
                                <a:solidFill>
                                  <a:sysClr val="windowText" lastClr="000000"/>
                                </a:solidFill>
                                <a:latin typeface="Cambria Math" panose="02040503050406030204" pitchFamily="18" charset="0"/>
                              </a:rPr>
                              <m:t>∗</m:t>
                            </m:r>
                            <m:d>
                              <m:dPr>
                                <m:ctrlPr>
                                  <a:rPr lang="en-US" sz="1400" b="0" i="1">
                                    <a:solidFill>
                                      <a:sysClr val="windowText" lastClr="000000"/>
                                    </a:solidFill>
                                    <a:latin typeface="Cambria Math" panose="02040503050406030204" pitchFamily="18" charset="0"/>
                                  </a:rPr>
                                </m:ctrlPr>
                              </m:dPr>
                              <m:e>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1</m:t>
                                    </m:r>
                                  </m:num>
                                  <m:den>
                                    <m:r>
                                      <a:rPr lang="en-US" sz="1400" b="0" i="1">
                                        <a:solidFill>
                                          <a:sysClr val="windowText" lastClr="000000"/>
                                        </a:solidFill>
                                        <a:latin typeface="Cambria Math" panose="02040503050406030204" pitchFamily="18" charset="0"/>
                                      </a:rPr>
                                      <m:t>𝐶𝐸𝐸</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𝑅</m:t>
                                        </m:r>
                                      </m:e>
                                      <m:sub>
                                        <m:r>
                                          <a:rPr lang="en-US" sz="1400" b="0" i="1">
                                            <a:solidFill>
                                              <a:sysClr val="windowText" lastClr="000000"/>
                                            </a:solidFill>
                                            <a:latin typeface="Cambria Math" panose="02040503050406030204" pitchFamily="18" charset="0"/>
                                          </a:rPr>
                                          <m:t>𝑏𝑎𝑠𝑒</m:t>
                                        </m:r>
                                      </m:sub>
                                    </m:sSub>
                                  </m:den>
                                </m:f>
                                <m:r>
                                  <a:rPr lang="en-US" sz="1400" b="0" i="1">
                                    <a:solidFill>
                                      <a:sysClr val="windowText" lastClr="000000"/>
                                    </a:solidFill>
                                    <a:latin typeface="Cambria Math" panose="02040503050406030204" pitchFamily="18" charset="0"/>
                                  </a:rPr>
                                  <m:t>−</m:t>
                                </m:r>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1</m:t>
                                    </m:r>
                                  </m:num>
                                  <m:den>
                                    <m:r>
                                      <a:rPr lang="en-US" sz="1400" b="0" i="1">
                                        <a:solidFill>
                                          <a:sysClr val="windowText" lastClr="000000"/>
                                        </a:solidFill>
                                        <a:latin typeface="Cambria Math" panose="02040503050406030204" pitchFamily="18" charset="0"/>
                                      </a:rPr>
                                      <m:t>𝐶𝐸𝐸</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𝑅</m:t>
                                        </m:r>
                                      </m:e>
                                      <m:sub>
                                        <m:r>
                                          <a:rPr lang="en-US" sz="1400" b="0" i="1">
                                            <a:solidFill>
                                              <a:sysClr val="windowText" lastClr="000000"/>
                                            </a:solidFill>
                                            <a:latin typeface="Cambria Math" panose="02040503050406030204" pitchFamily="18" charset="0"/>
                                          </a:rPr>
                                          <m:t>𝑒𝑒</m:t>
                                        </m:r>
                                      </m:sub>
                                    </m:sSub>
                                  </m:den>
                                </m:f>
                              </m:e>
                            </m:d>
                          </m:e>
                        </m:d>
                      </m:num>
                      <m:den>
                        <m:r>
                          <a:rPr lang="en-US" sz="1400" b="0" i="1">
                            <a:solidFill>
                              <a:sysClr val="windowText" lastClr="000000"/>
                            </a:solidFill>
                            <a:latin typeface="Cambria Math" panose="02040503050406030204" pitchFamily="18" charset="0"/>
                          </a:rPr>
                          <m:t>1,000</m:t>
                        </m:r>
                      </m:den>
                    </m:f>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147" name="TextBox 146">
              <a:extLst>
                <a:ext uri="{FF2B5EF4-FFF2-40B4-BE49-F238E27FC236}">
                  <a16:creationId xmlns:a16="http://schemas.microsoft.com/office/drawing/2014/main" id="{00000000-0008-0000-0700-000093000000}"/>
                </a:ext>
              </a:extLst>
            </xdr:cNvPr>
            <xdr:cNvSpPr txBox="1"/>
          </xdr:nvSpPr>
          <xdr:spPr>
            <a:xfrm>
              <a:off x="3578680" y="65776929"/>
              <a:ext cx="14513105" cy="131989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latin typeface="Cambria Math" panose="02040503050406030204" pitchFamily="18" charset="0"/>
                </a:rPr>
                <a:t>=((𝐹𝐿𝐻_𝑅𝑜𝑜𝑚𝐴𝐶∗𝐵𝑡𝑢/𝐻∗(1/(𝐶𝐸𝐸𝑅_𝑏𝑎𝑠𝑒 )−1/(𝐶𝐸𝐸𝑅_𝑒𝑒 ))))/1,000∗𝐼𝑆𝑅</a:t>
              </a:r>
              <a:endParaRPr lang="en-US" sz="1400">
                <a:solidFill>
                  <a:sysClr val="windowText" lastClr="000000"/>
                </a:solidFill>
              </a:endParaRPr>
            </a:p>
          </xdr:txBody>
        </xdr:sp>
      </mc:Fallback>
    </mc:AlternateContent>
    <xdr:clientData/>
  </xdr:twoCellAnchor>
  <xdr:twoCellAnchor>
    <xdr:from>
      <xdr:col>4</xdr:col>
      <xdr:colOff>0</xdr:colOff>
      <xdr:row>1366</xdr:row>
      <xdr:rowOff>0</xdr:rowOff>
    </xdr:from>
    <xdr:to>
      <xdr:col>12</xdr:col>
      <xdr:colOff>0</xdr:colOff>
      <xdr:row>1366</xdr:row>
      <xdr:rowOff>0</xdr:rowOff>
    </xdr:to>
    <mc:AlternateContent xmlns:mc="http://schemas.openxmlformats.org/markup-compatibility/2006" xmlns:a14="http://schemas.microsoft.com/office/drawing/2010/main">
      <mc:Choice Requires="a14">
        <xdr:sp macro="" textlink="">
          <xdr:nvSpPr>
            <xdr:cNvPr id="148" name="TextBox 147">
              <a:extLst>
                <a:ext uri="{FF2B5EF4-FFF2-40B4-BE49-F238E27FC236}">
                  <a16:creationId xmlns:a16="http://schemas.microsoft.com/office/drawing/2014/main" id="{00000000-0008-0000-0700-000094000000}"/>
                </a:ext>
              </a:extLst>
            </xdr:cNvPr>
            <xdr:cNvSpPr txBox="1"/>
          </xdr:nvSpPr>
          <xdr:spPr>
            <a:xfrm>
              <a:off x="3571875" y="80086200"/>
              <a:ext cx="1465897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148" name="TextBox 147">
              <a:extLst>
                <a:ext uri="{FF2B5EF4-FFF2-40B4-BE49-F238E27FC236}">
                  <a16:creationId xmlns:a16="http://schemas.microsoft.com/office/drawing/2014/main" id="{00000000-0008-0000-0700-000094000000}"/>
                </a:ext>
              </a:extLst>
            </xdr:cNvPr>
            <xdr:cNvSpPr txBox="1"/>
          </xdr:nvSpPr>
          <xdr:spPr>
            <a:xfrm>
              <a:off x="3578679" y="66659168"/>
              <a:ext cx="14518821" cy="3462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oneCellAnchor>
    <xdr:from>
      <xdr:col>27</xdr:col>
      <xdr:colOff>3614</xdr:colOff>
      <xdr:row>1339</xdr:row>
      <xdr:rowOff>0</xdr:rowOff>
    </xdr:from>
    <xdr:ext cx="65" cy="172227"/>
    <xdr:sp macro="" textlink="">
      <xdr:nvSpPr>
        <xdr:cNvPr id="149" name="TextBox 148">
          <a:extLst>
            <a:ext uri="{FF2B5EF4-FFF2-40B4-BE49-F238E27FC236}">
              <a16:creationId xmlns:a16="http://schemas.microsoft.com/office/drawing/2014/main" id="{00000000-0008-0000-0700-000095000000}"/>
            </a:ext>
          </a:extLst>
        </xdr:cNvPr>
        <xdr:cNvSpPr txBox="1"/>
      </xdr:nvSpPr>
      <xdr:spPr>
        <a:xfrm>
          <a:off x="34179314" y="74971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1339</xdr:row>
      <xdr:rowOff>0</xdr:rowOff>
    </xdr:from>
    <xdr:ext cx="65" cy="172227"/>
    <xdr:sp macro="" textlink="">
      <xdr:nvSpPr>
        <xdr:cNvPr id="150" name="TextBox 149">
          <a:extLst>
            <a:ext uri="{FF2B5EF4-FFF2-40B4-BE49-F238E27FC236}">
              <a16:creationId xmlns:a16="http://schemas.microsoft.com/office/drawing/2014/main" id="{00000000-0008-0000-0700-000096000000}"/>
            </a:ext>
          </a:extLst>
        </xdr:cNvPr>
        <xdr:cNvSpPr txBox="1"/>
      </xdr:nvSpPr>
      <xdr:spPr>
        <a:xfrm>
          <a:off x="34179314" y="74971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1045550</xdr:colOff>
      <xdr:row>67</xdr:row>
      <xdr:rowOff>0</xdr:rowOff>
    </xdr:from>
    <xdr:to>
      <xdr:col>8</xdr:col>
      <xdr:colOff>1187609</xdr:colOff>
      <xdr:row>67</xdr:row>
      <xdr:rowOff>0</xdr:rowOff>
    </xdr:to>
    <mc:AlternateContent xmlns:mc="http://schemas.openxmlformats.org/markup-compatibility/2006" xmlns:a14="http://schemas.microsoft.com/office/drawing/2010/main">
      <mc:Choice Requires="a14">
        <xdr:sp macro="" textlink="">
          <xdr:nvSpPr>
            <xdr:cNvPr id="151" name="TextBox 150">
              <a:extLst>
                <a:ext uri="{FF2B5EF4-FFF2-40B4-BE49-F238E27FC236}">
                  <a16:creationId xmlns:a16="http://schemas.microsoft.com/office/drawing/2014/main" id="{00000000-0008-0000-0700-000097000000}"/>
                </a:ext>
              </a:extLst>
            </xdr:cNvPr>
            <xdr:cNvSpPr txBox="1"/>
          </xdr:nvSpPr>
          <xdr:spPr>
            <a:xfrm>
              <a:off x="12037400" y="6810375"/>
              <a:ext cx="316148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a:solidFill>
                    <a:sysClr val="windowText" lastClr="000000"/>
                  </a:solidFill>
                  <a:ea typeface="Cambria Math" panose="02040503050406030204" pitchFamily="18" charset="0"/>
                </a:rPr>
                <a:t>Additional Fan Savings:</a:t>
              </a:r>
              <a:r>
                <a:rPr lang="en-US" sz="1400" baseline="0">
                  <a:solidFill>
                    <a:sysClr val="windowText" lastClr="000000"/>
                  </a:solidFill>
                  <a:ea typeface="Cambria Math" panose="02040503050406030204" pitchFamily="18" charset="0"/>
                </a:rPr>
                <a:t> </a:t>
              </a:r>
              <a14:m>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l-GR" sz="1400" b="0" i="1">
                      <a:solidFill>
                        <a:sysClr val="windowText" lastClr="000000"/>
                      </a:solidFill>
                      <a:latin typeface="Cambria Math" panose="02040503050406030204" pitchFamily="18" charset="0"/>
                      <a:ea typeface="Cambria Math" panose="02040503050406030204" pitchFamily="18" charset="0"/>
                    </a:rPr>
                    <m:t>𝛥</m:t>
                  </m:r>
                  <m:r>
                    <a:rPr lang="el-GR" sz="1400" b="0" i="1">
                      <a:solidFill>
                        <a:sysClr val="windowText" lastClr="000000"/>
                      </a:solidFill>
                      <a:latin typeface="Cambria Math" panose="02040503050406030204" pitchFamily="18" charset="0"/>
                      <a:ea typeface="Cambria Math" panose="02040503050406030204" pitchFamily="18" charset="0"/>
                    </a:rPr>
                    <m:t>𝑇h𝑒𝑟𝑚𝑠</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𝐹</m:t>
                      </m:r>
                    </m:e>
                    <m:sub>
                      <m:r>
                        <a:rPr lang="en-US" sz="1400" b="0" i="1">
                          <a:solidFill>
                            <a:sysClr val="windowText" lastClr="000000"/>
                          </a:solidFill>
                          <a:latin typeface="Cambria Math" panose="02040503050406030204" pitchFamily="18" charset="0"/>
                          <a:ea typeface="Cambria Math" panose="02040503050406030204" pitchFamily="18" charset="0"/>
                        </a:rPr>
                        <m:t>𝑒</m:t>
                      </m:r>
                    </m:sub>
                  </m:sSub>
                  <m:r>
                    <a:rPr lang="en-US" sz="1400" b="0" i="1">
                      <a:solidFill>
                        <a:sysClr val="windowText" lastClr="000000"/>
                      </a:solidFill>
                      <a:latin typeface="Cambria Math" panose="02040503050406030204" pitchFamily="18" charset="0"/>
                      <a:ea typeface="Cambria Math" panose="02040503050406030204" pitchFamily="18" charset="0"/>
                    </a:rPr>
                    <m:t>∗29.3</m:t>
                  </m:r>
                </m:oMath>
              </a14:m>
              <a:endParaRPr lang="en-US" sz="1400">
                <a:solidFill>
                  <a:sysClr val="windowText" lastClr="000000"/>
                </a:solidFill>
              </a:endParaRPr>
            </a:p>
          </xdr:txBody>
        </xdr:sp>
      </mc:Choice>
      <mc:Fallback xmlns="">
        <xdr:sp macro="" textlink="">
          <xdr:nvSpPr>
            <xdr:cNvPr id="151" name="TextBox 150">
              <a:extLst>
                <a:ext uri="{FF2B5EF4-FFF2-40B4-BE49-F238E27FC236}">
                  <a16:creationId xmlns:a16="http://schemas.microsoft.com/office/drawing/2014/main" id="{CF75FF45-B841-42A8-82B9-7F8503196537}"/>
                </a:ext>
              </a:extLst>
            </xdr:cNvPr>
            <xdr:cNvSpPr txBox="1"/>
          </xdr:nvSpPr>
          <xdr:spPr>
            <a:xfrm>
              <a:off x="14896285" y="12996634"/>
              <a:ext cx="5108741" cy="312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a:solidFill>
                    <a:sysClr val="windowText" lastClr="000000"/>
                  </a:solidFill>
                  <a:ea typeface="Cambria Math" panose="02040503050406030204" pitchFamily="18" charset="0"/>
                </a:rPr>
                <a:t>Additional Fan Savings:</a:t>
              </a:r>
              <a:r>
                <a:rPr lang="en-US" sz="1400" baseline="0">
                  <a:solidFill>
                    <a:sysClr val="windowText" lastClr="000000"/>
                  </a:solidFill>
                  <a:ea typeface="Cambria Math" panose="02040503050406030204" pitchFamily="18" charset="0"/>
                </a:rPr>
                <a:t> </a:t>
              </a: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𝑘𝑊ℎ_ℎ𝑒𝑎𝑡𝑖𝑛𝑔=</a:t>
              </a:r>
              <a:r>
                <a:rPr lang="el-GR" sz="1400" b="0" i="0">
                  <a:solidFill>
                    <a:sysClr val="windowText" lastClr="000000"/>
                  </a:solidFill>
                  <a:latin typeface="Cambria Math" panose="02040503050406030204" pitchFamily="18" charset="0"/>
                  <a:ea typeface="Cambria Math" panose="02040503050406030204" pitchFamily="18" charset="0"/>
                </a:rPr>
                <a:t>𝛥𝑇ℎ𝑒𝑟𝑚𝑠</a:t>
              </a:r>
              <a:r>
                <a:rPr lang="en-US" sz="1400" b="0" i="0">
                  <a:solidFill>
                    <a:sysClr val="windowText" lastClr="000000"/>
                  </a:solidFill>
                  <a:latin typeface="Cambria Math" panose="02040503050406030204" pitchFamily="18" charset="0"/>
                  <a:ea typeface="Cambria Math" panose="02040503050406030204" pitchFamily="18" charset="0"/>
                </a:rPr>
                <a:t>∗𝐹_𝑒∗29.3</a:t>
              </a:r>
              <a:endParaRPr lang="en-US" sz="1400">
                <a:solidFill>
                  <a:sysClr val="windowText" lastClr="000000"/>
                </a:solidFill>
              </a:endParaRPr>
            </a:p>
          </xdr:txBody>
        </xdr:sp>
      </mc:Fallback>
    </mc:AlternateContent>
    <xdr:clientData/>
  </xdr:twoCellAnchor>
  <xdr:twoCellAnchor>
    <xdr:from>
      <xdr:col>4</xdr:col>
      <xdr:colOff>40822</xdr:colOff>
      <xdr:row>809</xdr:row>
      <xdr:rowOff>0</xdr:rowOff>
    </xdr:from>
    <xdr:to>
      <xdr:col>13</xdr:col>
      <xdr:colOff>0</xdr:colOff>
      <xdr:row>809</xdr:row>
      <xdr:rowOff>0</xdr:rowOff>
    </xdr:to>
    <mc:AlternateContent xmlns:mc="http://schemas.openxmlformats.org/markup-compatibility/2006" xmlns:a14="http://schemas.microsoft.com/office/drawing/2010/main">
      <mc:Choice Requires="a14">
        <xdr:sp macro="" textlink="">
          <xdr:nvSpPr>
            <xdr:cNvPr id="152" name="TextBox 151">
              <a:extLst>
                <a:ext uri="{FF2B5EF4-FFF2-40B4-BE49-F238E27FC236}">
                  <a16:creationId xmlns:a16="http://schemas.microsoft.com/office/drawing/2014/main" id="{D29502B8-957F-48C9-B5E8-02A39087FEF0}"/>
                </a:ext>
              </a:extLst>
            </xdr:cNvPr>
            <xdr:cNvSpPr txBox="1"/>
          </xdr:nvSpPr>
          <xdr:spPr>
            <a:xfrm>
              <a:off x="3612697" y="48596550"/>
              <a:ext cx="1560875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m:t>
                    </m:r>
                    <m:d>
                      <m:dPr>
                        <m:ctrlPr>
                          <a:rPr lang="en-US" sz="1400" i="1">
                            <a:solidFill>
                              <a:sysClr val="windowText" lastClr="000000"/>
                            </a:solidFill>
                            <a:latin typeface="Cambria Math" panose="02040503050406030204" pitchFamily="18" charset="0"/>
                            <a:ea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ElectricDHW</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𝐺𝑃𝑀</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𝐵𝐴𝑆𝐸</m:t>
                                </m:r>
                              </m:sub>
                            </m:sSub>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𝐵𝐴𝑆𝐸</m:t>
                                </m:r>
                              </m:sub>
                            </m:sSub>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𝐺𝑃𝑀</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𝐿𝑂𝑊</m:t>
                                </m:r>
                              </m:sub>
                            </m:sSub>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𝐿𝑂𝑊</m:t>
                                </m:r>
                              </m:sub>
                            </m:sSub>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Household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365.25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DF</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num>
                          <m:den>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𝐹𝑃𝐻</m:t>
                            </m:r>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𝐸𝑃𝐺</m:t>
                    </m:r>
                    <m:r>
                      <a:rPr lang="en-US" sz="1400" b="0" i="1">
                        <a:solidFill>
                          <a:sysClr val="windowText" lastClr="000000"/>
                        </a:solidFill>
                        <a:latin typeface="Cambria Math" panose="02040503050406030204" pitchFamily="18" charset="0"/>
                        <a:ea typeface="Cambria Math" panose="02040503050406030204" pitchFamily="18" charset="0"/>
                      </a:rPr>
                      <m:t>_</m:t>
                    </m:r>
                    <m:r>
                      <a:rPr lang="en-US" sz="1400" b="0" i="1" baseline="0">
                        <a:solidFill>
                          <a:sysClr val="windowText" lastClr="000000"/>
                        </a:solidFill>
                        <a:latin typeface="Cambria Math" panose="02040503050406030204" pitchFamily="18" charset="0"/>
                        <a:ea typeface="Cambria Math" panose="02040503050406030204" pitchFamily="18" charset="0"/>
                      </a:rPr>
                      <m:t>𝑒𝑙𝑒𝑐𝑡𝑟𝑖𝑐</m:t>
                    </m:r>
                    <m:r>
                      <a:rPr lang="en-US" sz="1400" b="0" i="1" baseline="-25000">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ysClr val="windowText" lastClr="000000"/>
                </a:solidFill>
              </a:endParaRPr>
            </a:p>
          </xdr:txBody>
        </xdr:sp>
      </mc:Choice>
      <mc:Fallback xmlns="">
        <xdr:sp macro="" textlink="">
          <xdr:nvSpPr>
            <xdr:cNvPr id="152" name="TextBox 151">
              <a:extLst>
                <a:ext uri="{FF2B5EF4-FFF2-40B4-BE49-F238E27FC236}">
                  <a16:creationId xmlns:a16="http://schemas.microsoft.com/office/drawing/2014/main" id="{D29502B8-957F-48C9-B5E8-02A39087FEF0}"/>
                </a:ext>
              </a:extLst>
            </xdr:cNvPr>
            <xdr:cNvSpPr txBox="1"/>
          </xdr:nvSpPr>
          <xdr:spPr>
            <a:xfrm>
              <a:off x="3619501" y="165614169"/>
              <a:ext cx="15294428" cy="120559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400" i="0">
                  <a:solidFill>
                    <a:sysClr val="windowText" lastClr="000000"/>
                  </a:solidFill>
                  <a:latin typeface="Cambria Math" panose="02040503050406030204" pitchFamily="18" charset="0"/>
                  <a:ea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"%ElectricDHW x ("  〖𝐺𝑃𝑀〗_𝐵𝐴𝑆𝐸 "</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 ×𝐿_𝐵𝐴𝑆𝐸 " " 〖−  𝐺𝑃𝑀〗_𝐿𝑂𝑊 " " ×" " 𝐿_𝐿𝑂𝑊 "</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Household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365.25 ∗ DF "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𝐹𝑃𝐻)</a:t>
              </a:r>
              <a:r>
                <a:rPr lang="en-US" sz="1400" b="0" i="0">
                  <a:solidFill>
                    <a:sysClr val="windowText" lastClr="000000"/>
                  </a:solidFill>
                  <a:latin typeface="Cambria Math" panose="02040503050406030204" pitchFamily="18" charset="0"/>
                  <a:ea typeface="Cambria Math" panose="02040503050406030204" pitchFamily="18" charset="0"/>
                </a:rPr>
                <a:t>×𝐸𝑃𝐺_</a:t>
              </a:r>
              <a:r>
                <a:rPr lang="en-US" sz="1400" b="0" i="0" baseline="0">
                  <a:solidFill>
                    <a:sysClr val="windowText" lastClr="000000"/>
                  </a:solidFill>
                  <a:latin typeface="Cambria Math" panose="02040503050406030204" pitchFamily="18" charset="0"/>
                  <a:ea typeface="Cambria Math" panose="02040503050406030204" pitchFamily="18" charset="0"/>
                </a:rPr>
                <a:t>𝑒𝑙𝑒𝑐𝑡𝑟𝑖𝑐</a:t>
              </a:r>
              <a:r>
                <a:rPr lang="en-US" sz="1400" b="0" i="0" baseline="-25000">
                  <a:solidFill>
                    <a:sysClr val="windowText" lastClr="000000"/>
                  </a:solidFill>
                  <a:latin typeface="Cambria Math" panose="02040503050406030204" pitchFamily="18" charset="0"/>
                  <a:ea typeface="Cambria Math" panose="02040503050406030204" pitchFamily="18" charset="0"/>
                </a:rPr>
                <a:t>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×𝐼𝑆𝑅</a:t>
              </a:r>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ysClr val="windowText" lastClr="000000"/>
                </a:solidFill>
              </a:endParaRPr>
            </a:p>
          </xdr:txBody>
        </xdr:sp>
      </mc:Fallback>
    </mc:AlternateContent>
    <xdr:clientData/>
  </xdr:twoCellAnchor>
  <xdr:twoCellAnchor>
    <xdr:from>
      <xdr:col>4</xdr:col>
      <xdr:colOff>550272</xdr:colOff>
      <xdr:row>809</xdr:row>
      <xdr:rowOff>0</xdr:rowOff>
    </xdr:from>
    <xdr:to>
      <xdr:col>13</xdr:col>
      <xdr:colOff>0</xdr:colOff>
      <xdr:row>809</xdr:row>
      <xdr:rowOff>0</xdr:rowOff>
    </xdr:to>
    <mc:AlternateContent xmlns:mc="http://schemas.openxmlformats.org/markup-compatibility/2006" xmlns:a14="http://schemas.microsoft.com/office/drawing/2010/main">
      <mc:Choice Requires="a14">
        <xdr:sp macro="" textlink="">
          <xdr:nvSpPr>
            <xdr:cNvPr id="153" name="TextBox 152">
              <a:extLst>
                <a:ext uri="{FF2B5EF4-FFF2-40B4-BE49-F238E27FC236}">
                  <a16:creationId xmlns:a16="http://schemas.microsoft.com/office/drawing/2014/main" id="{3883898A-2DF7-4596-85FB-B0D8CE09B75E}"/>
                </a:ext>
              </a:extLst>
            </xdr:cNvPr>
            <xdr:cNvSpPr txBox="1"/>
          </xdr:nvSpPr>
          <xdr:spPr>
            <a:xfrm>
              <a:off x="4122147" y="48596550"/>
              <a:ext cx="1509930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600" b="0" i="1">
                        <a:solidFill>
                          <a:sysClr val="windowText" lastClr="000000"/>
                        </a:solidFill>
                        <a:effectLst/>
                        <a:latin typeface="Book Antiqua" panose="02040602050305030304" pitchFamily="18" charset="0"/>
                        <a:ea typeface="+mn-ea"/>
                        <a:cs typeface="+mn-cs"/>
                      </a:rPr>
                      <m:t>EPG</m:t>
                    </m:r>
                    <m:r>
                      <m:rPr>
                        <m:nor/>
                      </m:rPr>
                      <a:rPr lang="en-US" sz="1600" b="0" i="1">
                        <a:solidFill>
                          <a:sysClr val="windowText" lastClr="000000"/>
                        </a:solidFill>
                        <a:effectLst/>
                        <a:latin typeface="Book Antiqua" panose="02040602050305030304" pitchFamily="18" charset="0"/>
                        <a:ea typeface="+mn-ea"/>
                        <a:cs typeface="+mn-cs"/>
                      </a:rPr>
                      <m:t>_</m:t>
                    </m:r>
                    <m:r>
                      <m:rPr>
                        <m:nor/>
                      </m:rPr>
                      <a:rPr lang="en-US" sz="1600" b="0" i="1">
                        <a:solidFill>
                          <a:sysClr val="windowText" lastClr="000000"/>
                        </a:solidFill>
                        <a:effectLst/>
                        <a:latin typeface="Book Antiqua" panose="02040602050305030304" pitchFamily="18" charset="0"/>
                        <a:ea typeface="+mn-ea"/>
                        <a:cs typeface="+mn-cs"/>
                      </a:rPr>
                      <m:t>electric</m:t>
                    </m:r>
                    <m:r>
                      <m:rPr>
                        <m:nor/>
                      </m:rPr>
                      <a:rPr lang="en-US" sz="1600" i="1">
                        <a:solidFill>
                          <a:sysClr val="windowText" lastClr="000000"/>
                        </a:solidFill>
                        <a:effectLst/>
                        <a:latin typeface="Book Antiqua" panose="02040602050305030304" pitchFamily="18" charset="0"/>
                        <a:ea typeface="+mn-ea"/>
                        <a:cs typeface="+mn-cs"/>
                      </a:rPr>
                      <m:t> </m:t>
                    </m:r>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200" b="0" i="1">
                            <a:solidFill>
                              <a:sysClr val="windowText" lastClr="000000"/>
                            </a:solidFill>
                            <a:effectLst/>
                            <a:latin typeface="Cambria Math" panose="02040503050406030204" pitchFamily="18" charset="0"/>
                            <a:ea typeface="+mn-ea"/>
                            <a:cs typeface="+mn-cs"/>
                          </a:rPr>
                          <m:t>8.33</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200" b="0" i="1">
                            <a:solidFill>
                              <a:sysClr val="windowText" lastClr="000000"/>
                            </a:solidFill>
                            <a:effectLst/>
                            <a:latin typeface="Cambria Math" panose="02040503050406030204" pitchFamily="18" charset="0"/>
                            <a:ea typeface="+mn-ea"/>
                            <a:cs typeface="+mn-cs"/>
                          </a:rPr>
                          <m:t>1.0</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200" b="0" i="1">
                            <a:solidFill>
                              <a:sysClr val="windowText" lastClr="000000"/>
                            </a:solidFill>
                            <a:effectLst/>
                            <a:latin typeface="Cambria Math" panose="02040503050406030204" pitchFamily="18" charset="0"/>
                            <a:ea typeface="+mn-ea"/>
                            <a:cs typeface="+mn-cs"/>
                          </a:rPr>
                          <m:t>(</m:t>
                        </m:r>
                        <m:r>
                          <a:rPr lang="en-US" sz="1200" b="0" i="1">
                            <a:solidFill>
                              <a:sysClr val="windowText" lastClr="000000"/>
                            </a:solidFill>
                            <a:effectLst/>
                            <a:latin typeface="Cambria Math" panose="02040503050406030204" pitchFamily="18" charset="0"/>
                            <a:ea typeface="+mn-ea"/>
                            <a:cs typeface="+mn-cs"/>
                          </a:rPr>
                          <m:t>𝑆h𝑜𝑤𝑒𝑟𝑇𝑒𝑚𝑝</m:t>
                        </m:r>
                        <m:r>
                          <a:rPr lang="en-US" sz="1200" b="0" i="1">
                            <a:solidFill>
                              <a:sysClr val="windowText" lastClr="000000"/>
                            </a:solidFill>
                            <a:effectLst/>
                            <a:latin typeface="Cambria Math" panose="02040503050406030204" pitchFamily="18" charset="0"/>
                            <a:ea typeface="+mn-ea"/>
                            <a:cs typeface="+mn-cs"/>
                          </a:rPr>
                          <m:t> −</m:t>
                        </m:r>
                        <m:r>
                          <a:rPr lang="en-US" sz="1200" b="0" i="1">
                            <a:solidFill>
                              <a:sysClr val="windowText" lastClr="000000"/>
                            </a:solidFill>
                            <a:effectLst/>
                            <a:latin typeface="Cambria Math" panose="02040503050406030204" pitchFamily="18" charset="0"/>
                            <a:ea typeface="+mn-ea"/>
                            <a:cs typeface="+mn-cs"/>
                          </a:rPr>
                          <m:t>𝑆𝑢𝑝𝑝𝑙𝑦𝑇𝑒𝑚𝑝</m:t>
                        </m:r>
                        <m:r>
                          <a:rPr lang="en-US" sz="1200" b="0" i="1">
                            <a:solidFill>
                              <a:sysClr val="windowText" lastClr="000000"/>
                            </a:solidFill>
                            <a:effectLst/>
                            <a:latin typeface="Cambria Math" panose="02040503050406030204" pitchFamily="18" charset="0"/>
                            <a:ea typeface="+mn-ea"/>
                            <a:cs typeface="+mn-cs"/>
                          </a:rPr>
                          <m:t>)</m:t>
                        </m:r>
                      </m:num>
                      <m:den>
                        <m:r>
                          <a:rPr lang="en-US" sz="1200" b="0" i="1">
                            <a:solidFill>
                              <a:sysClr val="windowText" lastClr="000000"/>
                            </a:solidFill>
                            <a:effectLst/>
                            <a:latin typeface="Cambria Math" panose="02040503050406030204" pitchFamily="18" charset="0"/>
                            <a:ea typeface="+mn-ea"/>
                            <a:cs typeface="+mn-cs"/>
                          </a:rPr>
                          <m:t>𝑅𝐸</m:t>
                        </m:r>
                        <m:r>
                          <a:rPr lang="en-US" sz="1200" b="0" i="1">
                            <a:solidFill>
                              <a:sysClr val="windowText" lastClr="000000"/>
                            </a:solidFill>
                            <a:effectLst/>
                            <a:latin typeface="Cambria Math" panose="02040503050406030204" pitchFamily="18" charset="0"/>
                            <a:ea typeface="+mn-ea"/>
                            <a:cs typeface="+mn-cs"/>
                          </a:rPr>
                          <m:t>_</m:t>
                        </m:r>
                        <m:r>
                          <a:rPr lang="en-US" sz="1200" b="0" i="1">
                            <a:solidFill>
                              <a:sysClr val="windowText" lastClr="000000"/>
                            </a:solidFill>
                            <a:effectLst/>
                            <a:latin typeface="Cambria Math" panose="02040503050406030204" pitchFamily="18" charset="0"/>
                            <a:ea typeface="+mn-ea"/>
                            <a:cs typeface="+mn-cs"/>
                          </a:rPr>
                          <m:t>𝑒𝑙𝑒𝑐𝑡𝑟𝑖𝑐</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200" b="0" i="1">
                            <a:solidFill>
                              <a:sysClr val="windowText" lastClr="000000"/>
                            </a:solidFill>
                            <a:effectLst/>
                            <a:latin typeface="Cambria Math" panose="02040503050406030204" pitchFamily="18" charset="0"/>
                            <a:ea typeface="+mn-ea"/>
                            <a:cs typeface="+mn-cs"/>
                          </a:rPr>
                          <m:t>3,412</m:t>
                        </m:r>
                      </m:den>
                    </m:f>
                  </m:oMath>
                </m:oMathPara>
              </a14:m>
              <a:endParaRPr lang="en-US" sz="1200" i="1" baseline="-25000">
                <a:solidFill>
                  <a:sysClr val="windowText" lastClr="000000"/>
                </a:solidFill>
                <a:effectLst/>
                <a:latin typeface="Book Antiqua" panose="02040602050305030304" pitchFamily="18" charset="0"/>
              </a:endParaRPr>
            </a:p>
            <a:p>
              <a:pPr algn="l"/>
              <a:endParaRPr lang="en-US" sz="1200" i="0">
                <a:solidFill>
                  <a:sysClr val="windowText" lastClr="000000"/>
                </a:solidFill>
              </a:endParaRPr>
            </a:p>
          </xdr:txBody>
        </xdr:sp>
      </mc:Choice>
      <mc:Fallback xmlns="">
        <xdr:sp macro="" textlink="">
          <xdr:nvSpPr>
            <xdr:cNvPr id="153" name="TextBox 152">
              <a:extLst>
                <a:ext uri="{FF2B5EF4-FFF2-40B4-BE49-F238E27FC236}">
                  <a16:creationId xmlns:a16="http://schemas.microsoft.com/office/drawing/2014/main" id="{3883898A-2DF7-4596-85FB-B0D8CE09B75E}"/>
                </a:ext>
              </a:extLst>
            </xdr:cNvPr>
            <xdr:cNvSpPr txBox="1"/>
          </xdr:nvSpPr>
          <xdr:spPr>
            <a:xfrm>
              <a:off x="4136571" y="166117656"/>
              <a:ext cx="14777358" cy="49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b="0" i="0">
                  <a:solidFill>
                    <a:sysClr val="windowText" lastClr="000000"/>
                  </a:solidFill>
                  <a:effectLst/>
                  <a:latin typeface="Cambria Math" panose="02040503050406030204" pitchFamily="18" charset="0"/>
                  <a:ea typeface="+mn-ea"/>
                  <a:cs typeface="+mn-cs"/>
                </a:rPr>
                <a:t>"EPG_electric</a:t>
              </a:r>
              <a:r>
                <a:rPr lang="en-US" sz="1600" i="0">
                  <a:solidFill>
                    <a:sysClr val="windowText" lastClr="000000"/>
                  </a:solidFill>
                  <a:effectLst/>
                  <a:latin typeface="Cambria Math" panose="02040503050406030204" pitchFamily="18" charset="0"/>
                  <a:ea typeface="+mn-ea"/>
                  <a:cs typeface="+mn-cs"/>
                </a:rPr>
                <a:t> "</a:t>
              </a:r>
              <a:r>
                <a:rPr lang="en-US" sz="1600" i="0">
                  <a:solidFill>
                    <a:sysClr val="windowText" lastClr="000000"/>
                  </a:solidFill>
                  <a:latin typeface="Cambria Math" panose="02040503050406030204" pitchFamily="18" charset="0"/>
                </a:rPr>
                <a:t>=(</a:t>
              </a:r>
              <a:r>
                <a:rPr lang="en-US" sz="1200" b="0" i="0">
                  <a:solidFill>
                    <a:sysClr val="windowText" lastClr="000000"/>
                  </a:solidFill>
                  <a:effectLst/>
                  <a:latin typeface="Cambria Math" panose="02040503050406030204" pitchFamily="18" charset="0"/>
                  <a:ea typeface="+mn-ea"/>
                  <a:cs typeface="+mn-cs"/>
                </a:rPr>
                <a:t>8.33</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200" b="0" i="0">
                  <a:solidFill>
                    <a:sysClr val="windowText" lastClr="000000"/>
                  </a:solidFill>
                  <a:effectLst/>
                  <a:latin typeface="Cambria Math" panose="02040503050406030204" pitchFamily="18" charset="0"/>
                  <a:ea typeface="+mn-ea"/>
                  <a:cs typeface="+mn-cs"/>
                </a:rPr>
                <a:t>1.0</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200" b="0" i="0">
                  <a:solidFill>
                    <a:sysClr val="windowText" lastClr="000000"/>
                  </a:solidFill>
                  <a:effectLst/>
                  <a:latin typeface="Cambria Math" panose="02040503050406030204" pitchFamily="18" charset="0"/>
                  <a:ea typeface="+mn-ea"/>
                  <a:cs typeface="+mn-cs"/>
                </a:rPr>
                <a:t>(𝑆ℎ𝑜𝑤𝑒𝑟𝑇𝑒𝑚𝑝 −𝑆𝑢𝑝𝑝𝑙𝑦𝑇𝑒𝑚𝑝)</a:t>
              </a:r>
              <a:r>
                <a:rPr lang="en-US" sz="1600" b="0" i="0">
                  <a:solidFill>
                    <a:sysClr val="windowText" lastClr="000000"/>
                  </a:solidFill>
                  <a:effectLst/>
                  <a:latin typeface="Cambria Math" panose="02040503050406030204" pitchFamily="18" charset="0"/>
                  <a:ea typeface="+mn-ea"/>
                  <a:cs typeface="+mn-cs"/>
                </a:rPr>
                <a:t>)/(</a:t>
              </a:r>
              <a:r>
                <a:rPr lang="en-US" sz="1200" b="0" i="0">
                  <a:solidFill>
                    <a:sysClr val="windowText" lastClr="000000"/>
                  </a:solidFill>
                  <a:effectLst/>
                  <a:latin typeface="Cambria Math" panose="02040503050406030204" pitchFamily="18" charset="0"/>
                  <a:ea typeface="+mn-ea"/>
                  <a:cs typeface="+mn-cs"/>
                </a:rPr>
                <a:t>𝑅𝐸_𝑒𝑙𝑒𝑐𝑡𝑟𝑖𝑐</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200" b="0" i="0">
                  <a:solidFill>
                    <a:sysClr val="windowText" lastClr="000000"/>
                  </a:solidFill>
                  <a:effectLst/>
                  <a:latin typeface="Cambria Math" panose="02040503050406030204" pitchFamily="18" charset="0"/>
                  <a:ea typeface="+mn-ea"/>
                  <a:cs typeface="+mn-cs"/>
                </a:rPr>
                <a:t>3,412</a:t>
              </a:r>
              <a:r>
                <a:rPr lang="en-US" sz="1600" b="0" i="0">
                  <a:solidFill>
                    <a:sysClr val="windowText" lastClr="000000"/>
                  </a:solidFill>
                  <a:effectLst/>
                  <a:latin typeface="Cambria Math" panose="02040503050406030204" pitchFamily="18" charset="0"/>
                  <a:ea typeface="+mn-ea"/>
                  <a:cs typeface="+mn-cs"/>
                </a:rPr>
                <a:t>)</a:t>
              </a:r>
              <a:endParaRPr lang="en-US" sz="1200" i="1" baseline="-25000">
                <a:solidFill>
                  <a:sysClr val="windowText" lastClr="000000"/>
                </a:solidFill>
                <a:effectLst/>
                <a:latin typeface="Book Antiqua" panose="02040602050305030304" pitchFamily="18" charset="0"/>
              </a:endParaRPr>
            </a:p>
            <a:p>
              <a:pPr algn="l"/>
              <a:endParaRPr lang="en-US" sz="1200" i="0">
                <a:solidFill>
                  <a:sysClr val="windowText" lastClr="000000"/>
                </a:solidFill>
              </a:endParaRPr>
            </a:p>
          </xdr:txBody>
        </xdr:sp>
      </mc:Fallback>
    </mc:AlternateContent>
    <xdr:clientData/>
  </xdr:twoCellAnchor>
  <xdr:oneCellAnchor>
    <xdr:from>
      <xdr:col>27</xdr:col>
      <xdr:colOff>3614</xdr:colOff>
      <xdr:row>802</xdr:row>
      <xdr:rowOff>0</xdr:rowOff>
    </xdr:from>
    <xdr:ext cx="65" cy="172227"/>
    <xdr:sp macro="" textlink="">
      <xdr:nvSpPr>
        <xdr:cNvPr id="154" name="TextBox 153">
          <a:extLst>
            <a:ext uri="{FF2B5EF4-FFF2-40B4-BE49-F238E27FC236}">
              <a16:creationId xmlns:a16="http://schemas.microsoft.com/office/drawing/2014/main" id="{9A15BCF6-88F2-4A65-8BE6-8F002F6A0EAB}"/>
            </a:ext>
          </a:extLst>
        </xdr:cNvPr>
        <xdr:cNvSpPr txBox="1"/>
      </xdr:nvSpPr>
      <xdr:spPr>
        <a:xfrm>
          <a:off x="34179314" y="4712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802</xdr:row>
      <xdr:rowOff>0</xdr:rowOff>
    </xdr:from>
    <xdr:ext cx="65" cy="172227"/>
    <xdr:sp macro="" textlink="">
      <xdr:nvSpPr>
        <xdr:cNvPr id="155" name="TextBox 154">
          <a:extLst>
            <a:ext uri="{FF2B5EF4-FFF2-40B4-BE49-F238E27FC236}">
              <a16:creationId xmlns:a16="http://schemas.microsoft.com/office/drawing/2014/main" id="{D8226E42-67CA-4E0A-BD83-BDB1EA77D255}"/>
            </a:ext>
          </a:extLst>
        </xdr:cNvPr>
        <xdr:cNvSpPr txBox="1"/>
      </xdr:nvSpPr>
      <xdr:spPr>
        <a:xfrm>
          <a:off x="34179314" y="4712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56605</xdr:colOff>
      <xdr:row>1408</xdr:row>
      <xdr:rowOff>0</xdr:rowOff>
    </xdr:from>
    <xdr:to>
      <xdr:col>11</xdr:col>
      <xdr:colOff>1046115</xdr:colOff>
      <xdr:row>1408</xdr:row>
      <xdr:rowOff>0</xdr:rowOff>
    </xdr:to>
    <mc:AlternateContent xmlns:mc="http://schemas.openxmlformats.org/markup-compatibility/2006" xmlns:a14="http://schemas.microsoft.com/office/drawing/2010/main">
      <mc:Choice Requires="a14">
        <xdr:sp macro="" textlink="">
          <xdr:nvSpPr>
            <xdr:cNvPr id="156" name="TextBox 155">
              <a:extLst>
                <a:ext uri="{FF2B5EF4-FFF2-40B4-BE49-F238E27FC236}">
                  <a16:creationId xmlns:a16="http://schemas.microsoft.com/office/drawing/2014/main" id="{E07B6CCA-AAF3-41C4-8F92-5CD840FEC0D3}"/>
                </a:ext>
              </a:extLst>
            </xdr:cNvPr>
            <xdr:cNvSpPr txBox="1"/>
          </xdr:nvSpPr>
          <xdr:spPr>
            <a:xfrm>
              <a:off x="3628480" y="83524725"/>
              <a:ext cx="1459121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h</m:t>
                        </m:r>
                      </m:e>
                      <m:sub>
                        <m:r>
                          <a:rPr lang="en-US" sz="1400" b="0" i="1">
                            <a:solidFill>
                              <a:sysClr val="windowText" lastClr="000000"/>
                            </a:solidFill>
                            <a:latin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h</m:t>
                        </m:r>
                      </m:e>
                      <m:sub>
                        <m:r>
                          <a:rPr lang="en-US" sz="1400" b="0" i="1">
                            <a:solidFill>
                              <a:sysClr val="windowText" lastClr="000000"/>
                            </a:solidFill>
                            <a:latin typeface="Cambria Math" panose="02040503050406030204" pitchFamily="18" charset="0"/>
                          </a:rPr>
                          <m:t>h𝑒𝑎𝑡𝑖𝑛𝑔</m:t>
                        </m:r>
                      </m:sub>
                    </m:sSub>
                  </m:oMath>
                </m:oMathPara>
              </a14:m>
              <a:endParaRPr lang="en-US" sz="1400">
                <a:solidFill>
                  <a:sysClr val="windowText" lastClr="000000"/>
                </a:solidFill>
              </a:endParaRPr>
            </a:p>
          </xdr:txBody>
        </xdr:sp>
      </mc:Choice>
      <mc:Fallback xmlns="">
        <xdr:sp macro="" textlink="">
          <xdr:nvSpPr>
            <xdr:cNvPr id="156" name="TextBox 155">
              <a:extLst>
                <a:ext uri="{FF2B5EF4-FFF2-40B4-BE49-F238E27FC236}">
                  <a16:creationId xmlns:a16="http://schemas.microsoft.com/office/drawing/2014/main" id="{E07B6CCA-AAF3-41C4-8F92-5CD840FEC0D3}"/>
                </a:ext>
              </a:extLst>
            </xdr:cNvPr>
            <xdr:cNvSpPr txBox="1"/>
          </xdr:nvSpPr>
          <xdr:spPr>
            <a:xfrm>
              <a:off x="3646714" y="68943583"/>
              <a:ext cx="14443164" cy="90950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𝑘𝑊ℎ_𝑐𝑜𝑜𝑙𝑖𝑛𝑔+</a:t>
              </a: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𝑘𝑊ℎ_ℎ𝑒𝑎𝑡𝑖𝑛𝑔</a:t>
              </a:r>
              <a:endParaRPr lang="en-US" sz="1400">
                <a:solidFill>
                  <a:sysClr val="windowText" lastClr="000000"/>
                </a:solidFill>
              </a:endParaRPr>
            </a:p>
          </xdr:txBody>
        </xdr:sp>
      </mc:Fallback>
    </mc:AlternateContent>
    <xdr:clientData/>
  </xdr:twoCellAnchor>
  <xdr:twoCellAnchor>
    <xdr:from>
      <xdr:col>4</xdr:col>
      <xdr:colOff>402499</xdr:colOff>
      <xdr:row>1408</xdr:row>
      <xdr:rowOff>0</xdr:rowOff>
    </xdr:from>
    <xdr:to>
      <xdr:col>4</xdr:col>
      <xdr:colOff>3788500</xdr:colOff>
      <xdr:row>1408</xdr:row>
      <xdr:rowOff>0</xdr:rowOff>
    </xdr:to>
    <mc:AlternateContent xmlns:mc="http://schemas.openxmlformats.org/markup-compatibility/2006" xmlns:a14="http://schemas.microsoft.com/office/drawing/2010/main">
      <mc:Choice Requires="a14">
        <xdr:sp macro="" textlink="">
          <xdr:nvSpPr>
            <xdr:cNvPr id="157" name="TextBox 156">
              <a:extLst>
                <a:ext uri="{FF2B5EF4-FFF2-40B4-BE49-F238E27FC236}">
                  <a16:creationId xmlns:a16="http://schemas.microsoft.com/office/drawing/2014/main" id="{5804A5DE-A90D-44A6-BD9C-147BD07F6B34}"/>
                </a:ext>
              </a:extLst>
            </xdr:cNvPr>
            <xdr:cNvSpPr txBox="1"/>
          </xdr:nvSpPr>
          <xdr:spPr>
            <a:xfrm>
              <a:off x="3974374" y="83524725"/>
              <a:ext cx="338600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l"/>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rPr>
                      <m:t>=</m:t>
                    </m:r>
                    <m:f>
                      <m:fPr>
                        <m:ctrlPr>
                          <a:rPr lang="en-US" sz="1400" b="0" i="1">
                            <a:solidFill>
                              <a:sysClr val="windowText" lastClr="000000"/>
                            </a:solidFill>
                            <a:latin typeface="Cambria Math" panose="02040503050406030204" pitchFamily="18" charset="0"/>
                          </a:rPr>
                        </m:ctrlPr>
                      </m:fPr>
                      <m:num>
                        <m:sSub>
                          <m:sSubPr>
                            <m:ctrlPr>
                              <a:rPr lang="en-US" sz="1400" b="0" i="1">
                                <a:solidFill>
                                  <a:sysClr val="windowText" lastClr="000000"/>
                                </a:solidFill>
                                <a:latin typeface="Cambria Math" panose="02040503050406030204" pitchFamily="18" charset="0"/>
                              </a:rPr>
                            </m:ctrlPr>
                          </m:sSubPr>
                          <m:e>
                            <m:r>
                              <m:rPr>
                                <m:sty m:val="p"/>
                              </m:rPr>
                              <a:rPr lang="el-GR" sz="1400" b="0" i="1">
                                <a:solidFill>
                                  <a:sysClr val="windowText" lastClr="000000"/>
                                </a:solidFill>
                                <a:latin typeface="Cambria Math" panose="02040503050406030204" pitchFamily="18" charset="0"/>
                              </a:rPr>
                              <m:t>Σ</m:t>
                            </m:r>
                          </m:e>
                          <m:sub>
                            <m:r>
                              <a:rPr lang="en-US" sz="1400" b="0" i="1">
                                <a:solidFill>
                                  <a:sysClr val="windowText" lastClr="000000"/>
                                </a:solidFill>
                                <a:latin typeface="Cambria Math" panose="02040503050406030204" pitchFamily="18" charset="0"/>
                              </a:rPr>
                              <m:t>𝑐𝑜𝑜𝑙</m:t>
                            </m:r>
                          </m:sub>
                        </m:sSub>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𝐴</m:t>
                        </m:r>
                      </m:num>
                      <m:den>
                        <m:r>
                          <m:rPr>
                            <m:sty m:val="p"/>
                          </m:rPr>
                          <a:rPr lang="el-GR" sz="1400" b="0" i="1">
                            <a:solidFill>
                              <a:sysClr val="windowText" lastClr="000000"/>
                            </a:solidFill>
                            <a:latin typeface="Cambria Math" panose="02040503050406030204" pitchFamily="18" charset="0"/>
                          </a:rPr>
                          <m:t>η</m:t>
                        </m:r>
                        <m:r>
                          <a:rPr lang="en-US" sz="1400" b="0" i="1">
                            <a:solidFill>
                              <a:sysClr val="windowText" lastClr="000000"/>
                            </a:solidFill>
                            <a:latin typeface="Cambria Math" panose="02040503050406030204" pitchFamily="18" charset="0"/>
                          </a:rPr>
                          <m:t>𝐶𝑜𝑜𝑙</m:t>
                        </m:r>
                      </m:den>
                    </m:f>
                  </m:oMath>
                </m:oMathPara>
              </a14:m>
              <a:endParaRPr lang="en-US" sz="1400">
                <a:solidFill>
                  <a:sysClr val="windowText" lastClr="000000"/>
                </a:solidFill>
              </a:endParaRPr>
            </a:p>
          </xdr:txBody>
        </xdr:sp>
      </mc:Choice>
      <mc:Fallback xmlns="">
        <xdr:sp macro="" textlink="">
          <xdr:nvSpPr>
            <xdr:cNvPr id="157" name="TextBox 156">
              <a:extLst>
                <a:ext uri="{FF2B5EF4-FFF2-40B4-BE49-F238E27FC236}">
                  <a16:creationId xmlns:a16="http://schemas.microsoft.com/office/drawing/2014/main" id="{5804A5DE-A90D-44A6-BD9C-147BD07F6B34}"/>
                </a:ext>
              </a:extLst>
            </xdr:cNvPr>
            <xdr:cNvSpPr txBox="1"/>
          </xdr:nvSpPr>
          <xdr:spPr>
            <a:xfrm>
              <a:off x="3986893" y="69344723"/>
              <a:ext cx="3380286" cy="49033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l"/>
              <a:r>
                <a:rPr lang="en-US" sz="1400" b="0" i="0">
                  <a:solidFill>
                    <a:sysClr val="windowText" lastClr="000000"/>
                  </a:solidFill>
                  <a:latin typeface="Cambria Math" panose="02040503050406030204" pitchFamily="18" charset="0"/>
                  <a:ea typeface="Cambria Math" panose="02040503050406030204" pitchFamily="18" charset="0"/>
                </a:rPr>
                <a:t>∆𝑘𝑊ℎ_𝑐𝑜𝑜𝑙𝑖𝑛𝑔</a:t>
              </a:r>
              <a:r>
                <a:rPr lang="en-US" sz="1400" b="0" i="0">
                  <a:solidFill>
                    <a:sysClr val="windowText" lastClr="000000"/>
                  </a:solidFill>
                  <a:latin typeface="Cambria Math" panose="02040503050406030204" pitchFamily="18" charset="0"/>
                </a:rPr>
                <a:t>=(</a:t>
              </a:r>
              <a:r>
                <a:rPr lang="el-GR" sz="1400" b="0" i="0">
                  <a:solidFill>
                    <a:sysClr val="windowText" lastClr="000000"/>
                  </a:solidFill>
                  <a:latin typeface="Cambria Math" panose="02040503050406030204" pitchFamily="18" charset="0"/>
                </a:rPr>
                <a:t>Σ</a:t>
              </a:r>
              <a:r>
                <a:rPr lang="en-US" sz="1400" b="0" i="0">
                  <a:solidFill>
                    <a:sysClr val="windowText" lastClr="000000"/>
                  </a:solidFill>
                  <a:latin typeface="Cambria Math" panose="02040503050406030204" pitchFamily="18" charset="0"/>
                </a:rPr>
                <a:t>_𝑐𝑜𝑜𝑙∗𝐴)/</a:t>
              </a:r>
              <a:r>
                <a:rPr lang="el-GR" sz="1400" b="0" i="0">
                  <a:solidFill>
                    <a:sysClr val="windowText" lastClr="000000"/>
                  </a:solidFill>
                  <a:latin typeface="Cambria Math" panose="02040503050406030204" pitchFamily="18" charset="0"/>
                </a:rPr>
                <a:t>η</a:t>
              </a:r>
              <a:r>
                <a:rPr lang="en-US" sz="1400" b="0" i="0">
                  <a:solidFill>
                    <a:sysClr val="windowText" lastClr="000000"/>
                  </a:solidFill>
                  <a:latin typeface="Cambria Math" panose="02040503050406030204" pitchFamily="18" charset="0"/>
                </a:rPr>
                <a:t>𝐶𝑜𝑜𝑙</a:t>
              </a:r>
              <a:endParaRPr lang="en-US" sz="1400">
                <a:solidFill>
                  <a:sysClr val="windowText" lastClr="000000"/>
                </a:solidFill>
              </a:endParaRPr>
            </a:p>
          </xdr:txBody>
        </xdr:sp>
      </mc:Fallback>
    </mc:AlternateContent>
    <xdr:clientData/>
  </xdr:twoCellAnchor>
  <xdr:twoCellAnchor>
    <xdr:from>
      <xdr:col>4</xdr:col>
      <xdr:colOff>3181894</xdr:colOff>
      <xdr:row>1408</xdr:row>
      <xdr:rowOff>0</xdr:rowOff>
    </xdr:from>
    <xdr:to>
      <xdr:col>12</xdr:col>
      <xdr:colOff>271</xdr:colOff>
      <xdr:row>1408</xdr:row>
      <xdr:rowOff>0</xdr:rowOff>
    </xdr:to>
    <mc:AlternateContent xmlns:mc="http://schemas.openxmlformats.org/markup-compatibility/2006" xmlns:a14="http://schemas.microsoft.com/office/drawing/2010/main">
      <mc:Choice Requires="a14">
        <xdr:sp macro="" textlink="">
          <xdr:nvSpPr>
            <xdr:cNvPr id="158" name="TextBox 157">
              <a:extLst>
                <a:ext uri="{FF2B5EF4-FFF2-40B4-BE49-F238E27FC236}">
                  <a16:creationId xmlns:a16="http://schemas.microsoft.com/office/drawing/2014/main" id="{191AC597-577A-4E08-ACB9-7D110D0FA57D}"/>
                </a:ext>
              </a:extLst>
            </xdr:cNvPr>
            <xdr:cNvSpPr txBox="1"/>
          </xdr:nvSpPr>
          <xdr:spPr>
            <a:xfrm>
              <a:off x="6753769" y="83524725"/>
              <a:ext cx="1147735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l"/>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rPr>
                      <m:t>=</m:t>
                    </m:r>
                    <m:f>
                      <m:fPr>
                        <m:ctrlPr>
                          <a:rPr lang="en-US" sz="1400" b="0" i="1">
                            <a:solidFill>
                              <a:sysClr val="windowText" lastClr="000000"/>
                            </a:solidFill>
                            <a:latin typeface="Cambria Math" panose="02040503050406030204" pitchFamily="18" charset="0"/>
                          </a:rPr>
                        </m:ctrlPr>
                      </m:fPr>
                      <m:num>
                        <m:sSub>
                          <m:sSubPr>
                            <m:ctrlPr>
                              <a:rPr lang="en-US" sz="1400" b="0" i="1">
                                <a:solidFill>
                                  <a:sysClr val="windowText" lastClr="000000"/>
                                </a:solidFill>
                                <a:latin typeface="Cambria Math" panose="02040503050406030204" pitchFamily="18" charset="0"/>
                              </a:rPr>
                            </m:ctrlPr>
                          </m:sSubPr>
                          <m:e>
                            <m:r>
                              <m:rPr>
                                <m:sty m:val="p"/>
                              </m:rPr>
                              <a:rPr lang="el-GR" sz="1400" b="0" i="1">
                                <a:solidFill>
                                  <a:sysClr val="windowText" lastClr="000000"/>
                                </a:solidFill>
                                <a:latin typeface="Cambria Math" panose="02040503050406030204" pitchFamily="18" charset="0"/>
                              </a:rPr>
                              <m:t>Σ</m:t>
                            </m:r>
                          </m:e>
                          <m:sub>
                            <m:r>
                              <a:rPr lang="en-US" sz="1400" b="0" i="1">
                                <a:solidFill>
                                  <a:sysClr val="windowText" lastClr="000000"/>
                                </a:solidFill>
                                <a:latin typeface="Cambria Math" panose="02040503050406030204" pitchFamily="18" charset="0"/>
                              </a:rPr>
                              <m:t>h𝑒𝑎𝑡</m:t>
                            </m:r>
                          </m:sub>
                        </m:sSub>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𝐴</m:t>
                        </m:r>
                      </m:num>
                      <m:den>
                        <m:r>
                          <m:rPr>
                            <m:sty m:val="p"/>
                          </m:rPr>
                          <a:rPr lang="el-GR" sz="1400" b="0" i="1">
                            <a:solidFill>
                              <a:sysClr val="windowText" lastClr="000000"/>
                            </a:solidFill>
                            <a:latin typeface="Cambria Math" panose="02040503050406030204" pitchFamily="18" charset="0"/>
                          </a:rPr>
                          <m:t>η</m:t>
                        </m:r>
                        <m:r>
                          <a:rPr lang="en-US" sz="1400" b="0" i="1">
                            <a:solidFill>
                              <a:sysClr val="windowText" lastClr="000000"/>
                            </a:solidFill>
                            <a:latin typeface="Cambria Math" panose="02040503050406030204" pitchFamily="18" charset="0"/>
                          </a:rPr>
                          <m:t>𝐻𝑒𝑎𝑡</m:t>
                        </m:r>
                        <m:r>
                          <a:rPr lang="en-US" sz="1400" b="0" i="1">
                            <a:solidFill>
                              <a:sysClr val="windowText" lastClr="000000"/>
                            </a:solidFill>
                            <a:latin typeface="Cambria Math" panose="02040503050406030204" pitchFamily="18" charset="0"/>
                          </a:rPr>
                          <m:t>∗3.412</m:t>
                        </m:r>
                      </m:den>
                    </m:f>
                  </m:oMath>
                </m:oMathPara>
              </a14:m>
              <a:endParaRPr lang="en-US" sz="1400">
                <a:solidFill>
                  <a:sysClr val="windowText" lastClr="000000"/>
                </a:solidFill>
              </a:endParaRPr>
            </a:p>
          </xdr:txBody>
        </xdr:sp>
      </mc:Choice>
      <mc:Fallback xmlns="">
        <xdr:sp macro="" textlink="">
          <xdr:nvSpPr>
            <xdr:cNvPr id="158" name="TextBox 157">
              <a:extLst>
                <a:ext uri="{FF2B5EF4-FFF2-40B4-BE49-F238E27FC236}">
                  <a16:creationId xmlns:a16="http://schemas.microsoft.com/office/drawing/2014/main" id="{191AC597-577A-4E08-ACB9-7D110D0FA57D}"/>
                </a:ext>
              </a:extLst>
            </xdr:cNvPr>
            <xdr:cNvSpPr txBox="1"/>
          </xdr:nvSpPr>
          <xdr:spPr>
            <a:xfrm>
              <a:off x="6749143" y="69324662"/>
              <a:ext cx="11346451" cy="49605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l"/>
              <a:r>
                <a:rPr lang="en-US" sz="1400" b="0" i="0">
                  <a:solidFill>
                    <a:sysClr val="windowText" lastClr="000000"/>
                  </a:solidFill>
                  <a:latin typeface="Cambria Math" panose="02040503050406030204" pitchFamily="18" charset="0"/>
                  <a:ea typeface="Cambria Math" panose="02040503050406030204" pitchFamily="18" charset="0"/>
                </a:rPr>
                <a:t>∆𝑘𝑊ℎ_ℎ𝑒𝑎𝑡𝑖𝑛𝑔</a:t>
              </a:r>
              <a:r>
                <a:rPr lang="en-US" sz="1400" b="0" i="0">
                  <a:solidFill>
                    <a:sysClr val="windowText" lastClr="000000"/>
                  </a:solidFill>
                  <a:latin typeface="Cambria Math" panose="02040503050406030204" pitchFamily="18" charset="0"/>
                </a:rPr>
                <a:t>=(</a:t>
              </a:r>
              <a:r>
                <a:rPr lang="el-GR" sz="1400" b="0" i="0">
                  <a:solidFill>
                    <a:sysClr val="windowText" lastClr="000000"/>
                  </a:solidFill>
                  <a:latin typeface="Cambria Math" panose="02040503050406030204" pitchFamily="18" charset="0"/>
                </a:rPr>
                <a:t>Σ</a:t>
              </a:r>
              <a:r>
                <a:rPr lang="en-US" sz="1400" b="0" i="0">
                  <a:solidFill>
                    <a:sysClr val="windowText" lastClr="000000"/>
                  </a:solidFill>
                  <a:latin typeface="Cambria Math" panose="02040503050406030204" pitchFamily="18" charset="0"/>
                </a:rPr>
                <a:t>_ℎ𝑒𝑎𝑡∗𝐴)/(</a:t>
              </a:r>
              <a:r>
                <a:rPr lang="el-GR" sz="1400" b="0" i="0">
                  <a:solidFill>
                    <a:sysClr val="windowText" lastClr="000000"/>
                  </a:solidFill>
                  <a:latin typeface="Cambria Math" panose="02040503050406030204" pitchFamily="18" charset="0"/>
                </a:rPr>
                <a:t>η</a:t>
              </a:r>
              <a:r>
                <a:rPr lang="en-US" sz="1400" b="0" i="0">
                  <a:solidFill>
                    <a:sysClr val="windowText" lastClr="000000"/>
                  </a:solidFill>
                  <a:latin typeface="Cambria Math" panose="02040503050406030204" pitchFamily="18" charset="0"/>
                </a:rPr>
                <a:t>𝐻𝑒𝑎𝑡∗3.412)</a:t>
              </a:r>
              <a:endParaRPr lang="en-US" sz="1400">
                <a:solidFill>
                  <a:sysClr val="windowText" lastClr="000000"/>
                </a:solidFill>
              </a:endParaRPr>
            </a:p>
          </xdr:txBody>
        </xdr:sp>
      </mc:Fallback>
    </mc:AlternateContent>
    <xdr:clientData/>
  </xdr:twoCellAnchor>
  <xdr:oneCellAnchor>
    <xdr:from>
      <xdr:col>27</xdr:col>
      <xdr:colOff>3614</xdr:colOff>
      <xdr:row>1393</xdr:row>
      <xdr:rowOff>0</xdr:rowOff>
    </xdr:from>
    <xdr:ext cx="65" cy="172227"/>
    <xdr:sp macro="" textlink="">
      <xdr:nvSpPr>
        <xdr:cNvPr id="159" name="TextBox 158">
          <a:extLst>
            <a:ext uri="{FF2B5EF4-FFF2-40B4-BE49-F238E27FC236}">
              <a16:creationId xmlns:a16="http://schemas.microsoft.com/office/drawing/2014/main" id="{68B6CBAB-CB6D-47E7-B944-D1016A7898B8}"/>
            </a:ext>
          </a:extLst>
        </xdr:cNvPr>
        <xdr:cNvSpPr txBox="1"/>
      </xdr:nvSpPr>
      <xdr:spPr>
        <a:xfrm>
          <a:off x="34179314" y="80629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1393</xdr:row>
      <xdr:rowOff>0</xdr:rowOff>
    </xdr:from>
    <xdr:ext cx="65" cy="172227"/>
    <xdr:sp macro="" textlink="">
      <xdr:nvSpPr>
        <xdr:cNvPr id="160" name="TextBox 159">
          <a:extLst>
            <a:ext uri="{FF2B5EF4-FFF2-40B4-BE49-F238E27FC236}">
              <a16:creationId xmlns:a16="http://schemas.microsoft.com/office/drawing/2014/main" id="{01F0EB52-6ABD-4E72-AE55-B8F3B9FB54A6}"/>
            </a:ext>
          </a:extLst>
        </xdr:cNvPr>
        <xdr:cNvSpPr txBox="1"/>
      </xdr:nvSpPr>
      <xdr:spPr>
        <a:xfrm>
          <a:off x="34179314" y="80629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740500</xdr:colOff>
      <xdr:row>159</xdr:row>
      <xdr:rowOff>0</xdr:rowOff>
    </xdr:from>
    <xdr:to>
      <xdr:col>5</xdr:col>
      <xdr:colOff>340177</xdr:colOff>
      <xdr:row>159</xdr:row>
      <xdr:rowOff>0</xdr:rowOff>
    </xdr:to>
    <mc:AlternateContent xmlns:mc="http://schemas.openxmlformats.org/markup-compatibility/2006" xmlns:a14="http://schemas.microsoft.com/office/drawing/2010/main">
      <mc:Choice Requires="a14">
        <xdr:sp macro="" textlink="">
          <xdr:nvSpPr>
            <xdr:cNvPr id="161" name="TextBox 160">
              <a:extLst>
                <a:ext uri="{FF2B5EF4-FFF2-40B4-BE49-F238E27FC236}">
                  <a16:creationId xmlns:a16="http://schemas.microsoft.com/office/drawing/2014/main" id="{0DC1DB57-A587-409A-98B4-F2009FBD6665}"/>
                </a:ext>
              </a:extLst>
            </xdr:cNvPr>
            <xdr:cNvSpPr txBox="1"/>
          </xdr:nvSpPr>
          <xdr:spPr>
            <a:xfrm>
              <a:off x="4312375" y="27174825"/>
              <a:ext cx="519085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oMath>
                </m:oMathPara>
              </a14:m>
              <a:endParaRPr lang="en-US" sz="1100">
                <a:solidFill>
                  <a:sysClr val="windowText" lastClr="000000"/>
                </a:solidFill>
              </a:endParaRPr>
            </a:p>
          </xdr:txBody>
        </xdr:sp>
      </mc:Choice>
      <mc:Fallback xmlns="">
        <xdr:sp macro="" textlink="">
          <xdr:nvSpPr>
            <xdr:cNvPr id="161" name="TextBox 160">
              <a:extLst>
                <a:ext uri="{FF2B5EF4-FFF2-40B4-BE49-F238E27FC236}">
                  <a16:creationId xmlns:a16="http://schemas.microsoft.com/office/drawing/2014/main" id="{0DC1DB57-A587-409A-98B4-F2009FBD6665}"/>
                </a:ext>
              </a:extLst>
            </xdr:cNvPr>
            <xdr:cNvSpPr txBox="1"/>
          </xdr:nvSpPr>
          <xdr:spPr>
            <a:xfrm>
              <a:off x="4204606" y="37419644"/>
              <a:ext cx="5048250" cy="4027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𝑘𝑊ℎ=Δ𝑘𝑊ℎ_𝑐𝑜𝑜𝑙𝑖𝑛𝑔+Δ𝑘𝑊ℎ_ℎ𝑒𝑎𝑡𝑖𝑛𝑔</a:t>
              </a:r>
              <a:endParaRPr lang="en-US" sz="1100">
                <a:solidFill>
                  <a:sysClr val="windowText" lastClr="000000"/>
                </a:solidFill>
              </a:endParaRPr>
            </a:p>
          </xdr:txBody>
        </xdr:sp>
      </mc:Fallback>
    </mc:AlternateContent>
    <xdr:clientData/>
  </xdr:twoCellAnchor>
  <xdr:oneCellAnchor>
    <xdr:from>
      <xdr:col>27</xdr:col>
      <xdr:colOff>3614</xdr:colOff>
      <xdr:row>1304</xdr:row>
      <xdr:rowOff>0</xdr:rowOff>
    </xdr:from>
    <xdr:ext cx="65" cy="172227"/>
    <xdr:sp macro="" textlink="">
      <xdr:nvSpPr>
        <xdr:cNvPr id="165" name="TextBox 164">
          <a:extLst>
            <a:ext uri="{FF2B5EF4-FFF2-40B4-BE49-F238E27FC236}">
              <a16:creationId xmlns:a16="http://schemas.microsoft.com/office/drawing/2014/main" id="{61B19BD5-FEF9-4DE0-BA0D-0B9E22E8D76C}"/>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1304</xdr:row>
      <xdr:rowOff>0</xdr:rowOff>
    </xdr:from>
    <xdr:ext cx="65" cy="172227"/>
    <xdr:sp macro="" textlink="">
      <xdr:nvSpPr>
        <xdr:cNvPr id="166" name="TextBox 165">
          <a:extLst>
            <a:ext uri="{FF2B5EF4-FFF2-40B4-BE49-F238E27FC236}">
              <a16:creationId xmlns:a16="http://schemas.microsoft.com/office/drawing/2014/main" id="{71F7C073-1F7B-40CD-ACA3-B5F5691A416E}"/>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1304</xdr:row>
      <xdr:rowOff>0</xdr:rowOff>
    </xdr:from>
    <xdr:ext cx="65" cy="172227"/>
    <xdr:sp macro="" textlink="">
      <xdr:nvSpPr>
        <xdr:cNvPr id="167" name="TextBox 166">
          <a:extLst>
            <a:ext uri="{FF2B5EF4-FFF2-40B4-BE49-F238E27FC236}">
              <a16:creationId xmlns:a16="http://schemas.microsoft.com/office/drawing/2014/main" id="{F37C9014-E329-4D89-82C1-DD0915A91E06}"/>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1304</xdr:row>
      <xdr:rowOff>0</xdr:rowOff>
    </xdr:from>
    <xdr:ext cx="65" cy="172227"/>
    <xdr:sp macro="" textlink="">
      <xdr:nvSpPr>
        <xdr:cNvPr id="168" name="TextBox 167">
          <a:extLst>
            <a:ext uri="{FF2B5EF4-FFF2-40B4-BE49-F238E27FC236}">
              <a16:creationId xmlns:a16="http://schemas.microsoft.com/office/drawing/2014/main" id="{F9F41E44-5FDD-4DB9-BB3C-4B60BBBFF435}"/>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1304</xdr:row>
      <xdr:rowOff>0</xdr:rowOff>
    </xdr:from>
    <xdr:ext cx="65" cy="172227"/>
    <xdr:sp macro="" textlink="">
      <xdr:nvSpPr>
        <xdr:cNvPr id="169" name="TextBox 168">
          <a:extLst>
            <a:ext uri="{FF2B5EF4-FFF2-40B4-BE49-F238E27FC236}">
              <a16:creationId xmlns:a16="http://schemas.microsoft.com/office/drawing/2014/main" id="{AFE3D014-1EBE-4BD9-A9D6-0C110861D9F7}"/>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1304</xdr:row>
      <xdr:rowOff>0</xdr:rowOff>
    </xdr:from>
    <xdr:ext cx="65" cy="172227"/>
    <xdr:sp macro="" textlink="">
      <xdr:nvSpPr>
        <xdr:cNvPr id="170" name="TextBox 169">
          <a:extLst>
            <a:ext uri="{FF2B5EF4-FFF2-40B4-BE49-F238E27FC236}">
              <a16:creationId xmlns:a16="http://schemas.microsoft.com/office/drawing/2014/main" id="{506C3728-64F5-4B1A-942D-E2E2E33672DD}"/>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1304</xdr:row>
      <xdr:rowOff>0</xdr:rowOff>
    </xdr:from>
    <xdr:ext cx="65" cy="172227"/>
    <xdr:sp macro="" textlink="">
      <xdr:nvSpPr>
        <xdr:cNvPr id="171" name="TextBox 170">
          <a:extLst>
            <a:ext uri="{FF2B5EF4-FFF2-40B4-BE49-F238E27FC236}">
              <a16:creationId xmlns:a16="http://schemas.microsoft.com/office/drawing/2014/main" id="{73D044FB-20C3-4B93-948C-3AD0D718B047}"/>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1304</xdr:row>
      <xdr:rowOff>0</xdr:rowOff>
    </xdr:from>
    <xdr:ext cx="65" cy="172227"/>
    <xdr:sp macro="" textlink="">
      <xdr:nvSpPr>
        <xdr:cNvPr id="172" name="TextBox 171">
          <a:extLst>
            <a:ext uri="{FF2B5EF4-FFF2-40B4-BE49-F238E27FC236}">
              <a16:creationId xmlns:a16="http://schemas.microsoft.com/office/drawing/2014/main" id="{7E90C1B3-1D3C-4D70-9448-45DEF96C3A76}"/>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1304</xdr:row>
      <xdr:rowOff>0</xdr:rowOff>
    </xdr:from>
    <xdr:ext cx="65" cy="172227"/>
    <xdr:sp macro="" textlink="">
      <xdr:nvSpPr>
        <xdr:cNvPr id="173" name="TextBox 172">
          <a:extLst>
            <a:ext uri="{FF2B5EF4-FFF2-40B4-BE49-F238E27FC236}">
              <a16:creationId xmlns:a16="http://schemas.microsoft.com/office/drawing/2014/main" id="{D3905BD9-AE1D-4EF6-9EE2-02D222ABAC72}"/>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1304</xdr:row>
      <xdr:rowOff>0</xdr:rowOff>
    </xdr:from>
    <xdr:ext cx="65" cy="172227"/>
    <xdr:sp macro="" textlink="">
      <xdr:nvSpPr>
        <xdr:cNvPr id="174" name="TextBox 173">
          <a:extLst>
            <a:ext uri="{FF2B5EF4-FFF2-40B4-BE49-F238E27FC236}">
              <a16:creationId xmlns:a16="http://schemas.microsoft.com/office/drawing/2014/main" id="{D386655A-9EF8-4390-857D-3C7AB5CA9155}"/>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1304</xdr:row>
      <xdr:rowOff>0</xdr:rowOff>
    </xdr:from>
    <xdr:ext cx="65" cy="172227"/>
    <xdr:sp macro="" textlink="">
      <xdr:nvSpPr>
        <xdr:cNvPr id="175" name="TextBox 174">
          <a:extLst>
            <a:ext uri="{FF2B5EF4-FFF2-40B4-BE49-F238E27FC236}">
              <a16:creationId xmlns:a16="http://schemas.microsoft.com/office/drawing/2014/main" id="{921B06BC-162C-4D0C-A6AC-19E964FBF81B}"/>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1304</xdr:row>
      <xdr:rowOff>0</xdr:rowOff>
    </xdr:from>
    <xdr:ext cx="65" cy="172227"/>
    <xdr:sp macro="" textlink="">
      <xdr:nvSpPr>
        <xdr:cNvPr id="176" name="TextBox 175">
          <a:extLst>
            <a:ext uri="{FF2B5EF4-FFF2-40B4-BE49-F238E27FC236}">
              <a16:creationId xmlns:a16="http://schemas.microsoft.com/office/drawing/2014/main" id="{AC2221A7-2008-473E-80EC-D9E0940368B9}"/>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1304</xdr:row>
      <xdr:rowOff>0</xdr:rowOff>
    </xdr:from>
    <xdr:ext cx="65" cy="172227"/>
    <xdr:sp macro="" textlink="">
      <xdr:nvSpPr>
        <xdr:cNvPr id="177" name="TextBox 176">
          <a:extLst>
            <a:ext uri="{FF2B5EF4-FFF2-40B4-BE49-F238E27FC236}">
              <a16:creationId xmlns:a16="http://schemas.microsoft.com/office/drawing/2014/main" id="{00629A41-D60B-4503-B639-07A0D2C528BD}"/>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1304</xdr:row>
      <xdr:rowOff>0</xdr:rowOff>
    </xdr:from>
    <xdr:ext cx="65" cy="172227"/>
    <xdr:sp macro="" textlink="">
      <xdr:nvSpPr>
        <xdr:cNvPr id="178" name="TextBox 177">
          <a:extLst>
            <a:ext uri="{FF2B5EF4-FFF2-40B4-BE49-F238E27FC236}">
              <a16:creationId xmlns:a16="http://schemas.microsoft.com/office/drawing/2014/main" id="{6101B30C-223D-46FD-AEF6-5C290BA1488B}"/>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1304</xdr:row>
      <xdr:rowOff>0</xdr:rowOff>
    </xdr:from>
    <xdr:ext cx="65" cy="172227"/>
    <xdr:sp macro="" textlink="">
      <xdr:nvSpPr>
        <xdr:cNvPr id="179" name="TextBox 178">
          <a:extLst>
            <a:ext uri="{FF2B5EF4-FFF2-40B4-BE49-F238E27FC236}">
              <a16:creationId xmlns:a16="http://schemas.microsoft.com/office/drawing/2014/main" id="{FFB7CDAF-EBB6-4C4A-8443-13320AA89D68}"/>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1304</xdr:row>
      <xdr:rowOff>0</xdr:rowOff>
    </xdr:from>
    <xdr:ext cx="65" cy="172227"/>
    <xdr:sp macro="" textlink="">
      <xdr:nvSpPr>
        <xdr:cNvPr id="180" name="TextBox 179">
          <a:extLst>
            <a:ext uri="{FF2B5EF4-FFF2-40B4-BE49-F238E27FC236}">
              <a16:creationId xmlns:a16="http://schemas.microsoft.com/office/drawing/2014/main" id="{FEB178ED-F612-40F7-B5B0-94171391F98E}"/>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1304</xdr:row>
      <xdr:rowOff>0</xdr:rowOff>
    </xdr:from>
    <xdr:ext cx="65" cy="172227"/>
    <xdr:sp macro="" textlink="">
      <xdr:nvSpPr>
        <xdr:cNvPr id="181" name="TextBox 180">
          <a:extLst>
            <a:ext uri="{FF2B5EF4-FFF2-40B4-BE49-F238E27FC236}">
              <a16:creationId xmlns:a16="http://schemas.microsoft.com/office/drawing/2014/main" id="{868AED3B-FEEC-4CBD-BDAB-076C55EFB983}"/>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1304</xdr:row>
      <xdr:rowOff>0</xdr:rowOff>
    </xdr:from>
    <xdr:ext cx="65" cy="172227"/>
    <xdr:sp macro="" textlink="">
      <xdr:nvSpPr>
        <xdr:cNvPr id="182" name="TextBox 181">
          <a:extLst>
            <a:ext uri="{FF2B5EF4-FFF2-40B4-BE49-F238E27FC236}">
              <a16:creationId xmlns:a16="http://schemas.microsoft.com/office/drawing/2014/main" id="{BAED509D-CE43-4477-B5E2-8BDF4384761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1304</xdr:row>
      <xdr:rowOff>0</xdr:rowOff>
    </xdr:from>
    <xdr:ext cx="65" cy="172227"/>
    <xdr:sp macro="" textlink="">
      <xdr:nvSpPr>
        <xdr:cNvPr id="183" name="TextBox 182">
          <a:extLst>
            <a:ext uri="{FF2B5EF4-FFF2-40B4-BE49-F238E27FC236}">
              <a16:creationId xmlns:a16="http://schemas.microsoft.com/office/drawing/2014/main" id="{6937E1AE-FFC9-4D15-ACD9-0577D7DEAEB7}"/>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1304</xdr:row>
      <xdr:rowOff>0</xdr:rowOff>
    </xdr:from>
    <xdr:ext cx="65" cy="172227"/>
    <xdr:sp macro="" textlink="">
      <xdr:nvSpPr>
        <xdr:cNvPr id="184" name="TextBox 183">
          <a:extLst>
            <a:ext uri="{FF2B5EF4-FFF2-40B4-BE49-F238E27FC236}">
              <a16:creationId xmlns:a16="http://schemas.microsoft.com/office/drawing/2014/main" id="{C9269155-4218-419E-874A-7B5D5F68133D}"/>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1304</xdr:row>
      <xdr:rowOff>0</xdr:rowOff>
    </xdr:from>
    <xdr:ext cx="65" cy="172227"/>
    <xdr:sp macro="" textlink="">
      <xdr:nvSpPr>
        <xdr:cNvPr id="185" name="TextBox 184">
          <a:extLst>
            <a:ext uri="{FF2B5EF4-FFF2-40B4-BE49-F238E27FC236}">
              <a16:creationId xmlns:a16="http://schemas.microsoft.com/office/drawing/2014/main" id="{5178B0AB-D537-4D0B-83BA-B42717E97AF6}"/>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1304</xdr:row>
      <xdr:rowOff>0</xdr:rowOff>
    </xdr:from>
    <xdr:ext cx="65" cy="172227"/>
    <xdr:sp macro="" textlink="">
      <xdr:nvSpPr>
        <xdr:cNvPr id="186" name="TextBox 185">
          <a:extLst>
            <a:ext uri="{FF2B5EF4-FFF2-40B4-BE49-F238E27FC236}">
              <a16:creationId xmlns:a16="http://schemas.microsoft.com/office/drawing/2014/main" id="{B81BEBAE-8712-433D-89B0-FE47F3D64BDB}"/>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1304</xdr:row>
      <xdr:rowOff>0</xdr:rowOff>
    </xdr:from>
    <xdr:ext cx="65" cy="172227"/>
    <xdr:sp macro="" textlink="">
      <xdr:nvSpPr>
        <xdr:cNvPr id="187" name="TextBox 186">
          <a:extLst>
            <a:ext uri="{FF2B5EF4-FFF2-40B4-BE49-F238E27FC236}">
              <a16:creationId xmlns:a16="http://schemas.microsoft.com/office/drawing/2014/main" id="{FDDF96A0-E4BF-4178-A260-3D409D6E9149}"/>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1304</xdr:row>
      <xdr:rowOff>0</xdr:rowOff>
    </xdr:from>
    <xdr:ext cx="65" cy="172227"/>
    <xdr:sp macro="" textlink="">
      <xdr:nvSpPr>
        <xdr:cNvPr id="188" name="TextBox 187">
          <a:extLst>
            <a:ext uri="{FF2B5EF4-FFF2-40B4-BE49-F238E27FC236}">
              <a16:creationId xmlns:a16="http://schemas.microsoft.com/office/drawing/2014/main" id="{4CE8C03D-AEEB-485B-823C-063F1D7540C9}"/>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1304</xdr:row>
      <xdr:rowOff>0</xdr:rowOff>
    </xdr:from>
    <xdr:ext cx="65" cy="172227"/>
    <xdr:sp macro="" textlink="">
      <xdr:nvSpPr>
        <xdr:cNvPr id="189" name="TextBox 188">
          <a:extLst>
            <a:ext uri="{FF2B5EF4-FFF2-40B4-BE49-F238E27FC236}">
              <a16:creationId xmlns:a16="http://schemas.microsoft.com/office/drawing/2014/main" id="{96E2C5EA-3FB0-403F-9C94-85091D59D4F1}"/>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1304</xdr:row>
      <xdr:rowOff>0</xdr:rowOff>
    </xdr:from>
    <xdr:ext cx="65" cy="172227"/>
    <xdr:sp macro="" textlink="">
      <xdr:nvSpPr>
        <xdr:cNvPr id="190" name="TextBox 189">
          <a:extLst>
            <a:ext uri="{FF2B5EF4-FFF2-40B4-BE49-F238E27FC236}">
              <a16:creationId xmlns:a16="http://schemas.microsoft.com/office/drawing/2014/main" id="{46D42BA3-C478-44F7-9E05-A144FE35F0DD}"/>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1304</xdr:row>
      <xdr:rowOff>0</xdr:rowOff>
    </xdr:from>
    <xdr:ext cx="65" cy="172227"/>
    <xdr:sp macro="" textlink="">
      <xdr:nvSpPr>
        <xdr:cNvPr id="191" name="TextBox 190">
          <a:extLst>
            <a:ext uri="{FF2B5EF4-FFF2-40B4-BE49-F238E27FC236}">
              <a16:creationId xmlns:a16="http://schemas.microsoft.com/office/drawing/2014/main" id="{878E31DA-D2CE-4315-8CAC-DA3331B1647F}"/>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1304</xdr:row>
      <xdr:rowOff>0</xdr:rowOff>
    </xdr:from>
    <xdr:ext cx="65" cy="172227"/>
    <xdr:sp macro="" textlink="">
      <xdr:nvSpPr>
        <xdr:cNvPr id="192" name="TextBox 191">
          <a:extLst>
            <a:ext uri="{FF2B5EF4-FFF2-40B4-BE49-F238E27FC236}">
              <a16:creationId xmlns:a16="http://schemas.microsoft.com/office/drawing/2014/main" id="{660CBA0C-08F7-4E43-AFCD-407E3F3274F7}"/>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1304</xdr:row>
      <xdr:rowOff>0</xdr:rowOff>
    </xdr:from>
    <xdr:ext cx="65" cy="172227"/>
    <xdr:sp macro="" textlink="">
      <xdr:nvSpPr>
        <xdr:cNvPr id="193" name="TextBox 192">
          <a:extLst>
            <a:ext uri="{FF2B5EF4-FFF2-40B4-BE49-F238E27FC236}">
              <a16:creationId xmlns:a16="http://schemas.microsoft.com/office/drawing/2014/main" id="{41F0C750-D5EE-47A8-92DD-79EE349F76E1}"/>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1304</xdr:row>
      <xdr:rowOff>0</xdr:rowOff>
    </xdr:from>
    <xdr:ext cx="65" cy="172227"/>
    <xdr:sp macro="" textlink="">
      <xdr:nvSpPr>
        <xdr:cNvPr id="194" name="TextBox 193">
          <a:extLst>
            <a:ext uri="{FF2B5EF4-FFF2-40B4-BE49-F238E27FC236}">
              <a16:creationId xmlns:a16="http://schemas.microsoft.com/office/drawing/2014/main" id="{CF778340-C76F-4A44-A9DA-A814D2A9EB1C}"/>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1304</xdr:row>
      <xdr:rowOff>0</xdr:rowOff>
    </xdr:from>
    <xdr:ext cx="65" cy="172227"/>
    <xdr:sp macro="" textlink="">
      <xdr:nvSpPr>
        <xdr:cNvPr id="195" name="TextBox 194">
          <a:extLst>
            <a:ext uri="{FF2B5EF4-FFF2-40B4-BE49-F238E27FC236}">
              <a16:creationId xmlns:a16="http://schemas.microsoft.com/office/drawing/2014/main" id="{67128AFB-5F7A-4E9C-A516-A096D43B19CF}"/>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1304</xdr:row>
      <xdr:rowOff>0</xdr:rowOff>
    </xdr:from>
    <xdr:ext cx="65" cy="172227"/>
    <xdr:sp macro="" textlink="">
      <xdr:nvSpPr>
        <xdr:cNvPr id="196" name="TextBox 195">
          <a:extLst>
            <a:ext uri="{FF2B5EF4-FFF2-40B4-BE49-F238E27FC236}">
              <a16:creationId xmlns:a16="http://schemas.microsoft.com/office/drawing/2014/main" id="{62FC936C-66BD-4142-8B82-27D7EFB6413A}"/>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1304</xdr:row>
      <xdr:rowOff>0</xdr:rowOff>
    </xdr:from>
    <xdr:ext cx="65" cy="172227"/>
    <xdr:sp macro="" textlink="">
      <xdr:nvSpPr>
        <xdr:cNvPr id="197" name="TextBox 196">
          <a:extLst>
            <a:ext uri="{FF2B5EF4-FFF2-40B4-BE49-F238E27FC236}">
              <a16:creationId xmlns:a16="http://schemas.microsoft.com/office/drawing/2014/main" id="{A5E3D5E1-FA7F-499E-81FC-03CFB345E851}"/>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1304</xdr:row>
      <xdr:rowOff>0</xdr:rowOff>
    </xdr:from>
    <xdr:ext cx="65" cy="172227"/>
    <xdr:sp macro="" textlink="">
      <xdr:nvSpPr>
        <xdr:cNvPr id="198" name="TextBox 197">
          <a:extLst>
            <a:ext uri="{FF2B5EF4-FFF2-40B4-BE49-F238E27FC236}">
              <a16:creationId xmlns:a16="http://schemas.microsoft.com/office/drawing/2014/main" id="{1F9B4260-D70C-4B29-9518-0764532B573C}"/>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1304</xdr:row>
      <xdr:rowOff>0</xdr:rowOff>
    </xdr:from>
    <xdr:ext cx="65" cy="172227"/>
    <xdr:sp macro="" textlink="">
      <xdr:nvSpPr>
        <xdr:cNvPr id="199" name="TextBox 198">
          <a:extLst>
            <a:ext uri="{FF2B5EF4-FFF2-40B4-BE49-F238E27FC236}">
              <a16:creationId xmlns:a16="http://schemas.microsoft.com/office/drawing/2014/main" id="{0A2B1AD3-4388-43D1-8F77-D3382FD3FA94}"/>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1304</xdr:row>
      <xdr:rowOff>0</xdr:rowOff>
    </xdr:from>
    <xdr:ext cx="65" cy="172227"/>
    <xdr:sp macro="" textlink="">
      <xdr:nvSpPr>
        <xdr:cNvPr id="200" name="TextBox 199">
          <a:extLst>
            <a:ext uri="{FF2B5EF4-FFF2-40B4-BE49-F238E27FC236}">
              <a16:creationId xmlns:a16="http://schemas.microsoft.com/office/drawing/2014/main" id="{8B9AC0E1-28C7-45DE-8182-56A313258B14}"/>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1304</xdr:row>
      <xdr:rowOff>0</xdr:rowOff>
    </xdr:from>
    <xdr:ext cx="65" cy="172227"/>
    <xdr:sp macro="" textlink="">
      <xdr:nvSpPr>
        <xdr:cNvPr id="201" name="TextBox 200">
          <a:extLst>
            <a:ext uri="{FF2B5EF4-FFF2-40B4-BE49-F238E27FC236}">
              <a16:creationId xmlns:a16="http://schemas.microsoft.com/office/drawing/2014/main" id="{78FBF851-6D5A-44F7-AD6C-3174DE3DC587}"/>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1304</xdr:row>
      <xdr:rowOff>0</xdr:rowOff>
    </xdr:from>
    <xdr:ext cx="65" cy="172227"/>
    <xdr:sp macro="" textlink="">
      <xdr:nvSpPr>
        <xdr:cNvPr id="202" name="TextBox 201">
          <a:extLst>
            <a:ext uri="{FF2B5EF4-FFF2-40B4-BE49-F238E27FC236}">
              <a16:creationId xmlns:a16="http://schemas.microsoft.com/office/drawing/2014/main" id="{C86160D1-5D4A-4BC4-95F0-5B035DC48B5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1304</xdr:row>
      <xdr:rowOff>0</xdr:rowOff>
    </xdr:from>
    <xdr:ext cx="65" cy="172227"/>
    <xdr:sp macro="" textlink="">
      <xdr:nvSpPr>
        <xdr:cNvPr id="203" name="TextBox 202">
          <a:extLst>
            <a:ext uri="{FF2B5EF4-FFF2-40B4-BE49-F238E27FC236}">
              <a16:creationId xmlns:a16="http://schemas.microsoft.com/office/drawing/2014/main" id="{3482BFA0-E4F2-49C8-9244-CE52457435C5}"/>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1304</xdr:row>
      <xdr:rowOff>0</xdr:rowOff>
    </xdr:from>
    <xdr:ext cx="65" cy="172227"/>
    <xdr:sp macro="" textlink="">
      <xdr:nvSpPr>
        <xdr:cNvPr id="204" name="TextBox 203">
          <a:extLst>
            <a:ext uri="{FF2B5EF4-FFF2-40B4-BE49-F238E27FC236}">
              <a16:creationId xmlns:a16="http://schemas.microsoft.com/office/drawing/2014/main" id="{8EAFD7B9-48FE-4A5A-B707-05F6B45E4ED4}"/>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1304</xdr:row>
      <xdr:rowOff>0</xdr:rowOff>
    </xdr:from>
    <xdr:ext cx="65" cy="172227"/>
    <xdr:sp macro="" textlink="">
      <xdr:nvSpPr>
        <xdr:cNvPr id="205" name="TextBox 204">
          <a:extLst>
            <a:ext uri="{FF2B5EF4-FFF2-40B4-BE49-F238E27FC236}">
              <a16:creationId xmlns:a16="http://schemas.microsoft.com/office/drawing/2014/main" id="{B04E24C0-DE01-4B73-9056-67D140160A7B}"/>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1304</xdr:row>
      <xdr:rowOff>0</xdr:rowOff>
    </xdr:from>
    <xdr:ext cx="65" cy="172227"/>
    <xdr:sp macro="" textlink="">
      <xdr:nvSpPr>
        <xdr:cNvPr id="206" name="TextBox 205">
          <a:extLst>
            <a:ext uri="{FF2B5EF4-FFF2-40B4-BE49-F238E27FC236}">
              <a16:creationId xmlns:a16="http://schemas.microsoft.com/office/drawing/2014/main" id="{1C8811B9-1A4D-4696-83E8-A289694A6AB7}"/>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1304</xdr:row>
      <xdr:rowOff>0</xdr:rowOff>
    </xdr:from>
    <xdr:ext cx="65" cy="172227"/>
    <xdr:sp macro="" textlink="">
      <xdr:nvSpPr>
        <xdr:cNvPr id="207" name="TextBox 206">
          <a:extLst>
            <a:ext uri="{FF2B5EF4-FFF2-40B4-BE49-F238E27FC236}">
              <a16:creationId xmlns:a16="http://schemas.microsoft.com/office/drawing/2014/main" id="{8E920F17-42D9-4EBE-B267-734C3907BA1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1304</xdr:row>
      <xdr:rowOff>0</xdr:rowOff>
    </xdr:from>
    <xdr:ext cx="65" cy="172227"/>
    <xdr:sp macro="" textlink="">
      <xdr:nvSpPr>
        <xdr:cNvPr id="208" name="TextBox 207">
          <a:extLst>
            <a:ext uri="{FF2B5EF4-FFF2-40B4-BE49-F238E27FC236}">
              <a16:creationId xmlns:a16="http://schemas.microsoft.com/office/drawing/2014/main" id="{18758730-C579-492E-9505-5A1087DED39A}"/>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1304</xdr:row>
      <xdr:rowOff>0</xdr:rowOff>
    </xdr:from>
    <xdr:ext cx="65" cy="172227"/>
    <xdr:sp macro="" textlink="">
      <xdr:nvSpPr>
        <xdr:cNvPr id="209" name="TextBox 208">
          <a:extLst>
            <a:ext uri="{FF2B5EF4-FFF2-40B4-BE49-F238E27FC236}">
              <a16:creationId xmlns:a16="http://schemas.microsoft.com/office/drawing/2014/main" id="{D3D3B0D0-1242-433E-9C3A-C57F06A0EDC5}"/>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1304</xdr:row>
      <xdr:rowOff>0</xdr:rowOff>
    </xdr:from>
    <xdr:ext cx="65" cy="172227"/>
    <xdr:sp macro="" textlink="">
      <xdr:nvSpPr>
        <xdr:cNvPr id="210" name="TextBox 209">
          <a:extLst>
            <a:ext uri="{FF2B5EF4-FFF2-40B4-BE49-F238E27FC236}">
              <a16:creationId xmlns:a16="http://schemas.microsoft.com/office/drawing/2014/main" id="{3E3B9D5D-2284-42B8-B405-736D096355C6}"/>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1304</xdr:row>
      <xdr:rowOff>0</xdr:rowOff>
    </xdr:from>
    <xdr:ext cx="65" cy="172227"/>
    <xdr:sp macro="" textlink="">
      <xdr:nvSpPr>
        <xdr:cNvPr id="211" name="TextBox 210">
          <a:extLst>
            <a:ext uri="{FF2B5EF4-FFF2-40B4-BE49-F238E27FC236}">
              <a16:creationId xmlns:a16="http://schemas.microsoft.com/office/drawing/2014/main" id="{D5FF0523-F5A5-4F16-87B5-AB708D75C6B2}"/>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1304</xdr:row>
      <xdr:rowOff>0</xdr:rowOff>
    </xdr:from>
    <xdr:ext cx="65" cy="172227"/>
    <xdr:sp macro="" textlink="">
      <xdr:nvSpPr>
        <xdr:cNvPr id="212" name="TextBox 211">
          <a:extLst>
            <a:ext uri="{FF2B5EF4-FFF2-40B4-BE49-F238E27FC236}">
              <a16:creationId xmlns:a16="http://schemas.microsoft.com/office/drawing/2014/main" id="{43AE0331-03BD-46BF-9E93-16DBA69BD3FE}"/>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1304</xdr:row>
      <xdr:rowOff>0</xdr:rowOff>
    </xdr:from>
    <xdr:ext cx="65" cy="172227"/>
    <xdr:sp macro="" textlink="">
      <xdr:nvSpPr>
        <xdr:cNvPr id="213" name="TextBox 212">
          <a:extLst>
            <a:ext uri="{FF2B5EF4-FFF2-40B4-BE49-F238E27FC236}">
              <a16:creationId xmlns:a16="http://schemas.microsoft.com/office/drawing/2014/main" id="{C22588FE-752E-4873-AFB7-F77E99E68822}"/>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1304</xdr:row>
      <xdr:rowOff>0</xdr:rowOff>
    </xdr:from>
    <xdr:ext cx="65" cy="172227"/>
    <xdr:sp macro="" textlink="">
      <xdr:nvSpPr>
        <xdr:cNvPr id="214" name="TextBox 213">
          <a:extLst>
            <a:ext uri="{FF2B5EF4-FFF2-40B4-BE49-F238E27FC236}">
              <a16:creationId xmlns:a16="http://schemas.microsoft.com/office/drawing/2014/main" id="{C709CD8F-E121-4C59-A901-E86EF035C437}"/>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1304</xdr:row>
      <xdr:rowOff>0</xdr:rowOff>
    </xdr:from>
    <xdr:ext cx="65" cy="172227"/>
    <xdr:sp macro="" textlink="">
      <xdr:nvSpPr>
        <xdr:cNvPr id="215" name="TextBox 214">
          <a:extLst>
            <a:ext uri="{FF2B5EF4-FFF2-40B4-BE49-F238E27FC236}">
              <a16:creationId xmlns:a16="http://schemas.microsoft.com/office/drawing/2014/main" id="{2187CD92-484B-4531-9408-0941B48CF87A}"/>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1304</xdr:row>
      <xdr:rowOff>0</xdr:rowOff>
    </xdr:from>
    <xdr:ext cx="65" cy="172227"/>
    <xdr:sp macro="" textlink="">
      <xdr:nvSpPr>
        <xdr:cNvPr id="216" name="TextBox 215">
          <a:extLst>
            <a:ext uri="{FF2B5EF4-FFF2-40B4-BE49-F238E27FC236}">
              <a16:creationId xmlns:a16="http://schemas.microsoft.com/office/drawing/2014/main" id="{1811D346-1B2E-4CD3-8B43-7E88E571E373}"/>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1304</xdr:row>
      <xdr:rowOff>0</xdr:rowOff>
    </xdr:from>
    <xdr:ext cx="65" cy="172227"/>
    <xdr:sp macro="" textlink="">
      <xdr:nvSpPr>
        <xdr:cNvPr id="217" name="TextBox 216">
          <a:extLst>
            <a:ext uri="{FF2B5EF4-FFF2-40B4-BE49-F238E27FC236}">
              <a16:creationId xmlns:a16="http://schemas.microsoft.com/office/drawing/2014/main" id="{3DB0E041-C15A-4AE7-9A37-F0CE648B23E5}"/>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1304</xdr:row>
      <xdr:rowOff>0</xdr:rowOff>
    </xdr:from>
    <xdr:ext cx="65" cy="172227"/>
    <xdr:sp macro="" textlink="">
      <xdr:nvSpPr>
        <xdr:cNvPr id="218" name="TextBox 217">
          <a:extLst>
            <a:ext uri="{FF2B5EF4-FFF2-40B4-BE49-F238E27FC236}">
              <a16:creationId xmlns:a16="http://schemas.microsoft.com/office/drawing/2014/main" id="{021C7A56-3838-4F9A-B254-C6DE080BD878}"/>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1304</xdr:row>
      <xdr:rowOff>0</xdr:rowOff>
    </xdr:from>
    <xdr:ext cx="65" cy="172227"/>
    <xdr:sp macro="" textlink="">
      <xdr:nvSpPr>
        <xdr:cNvPr id="219" name="TextBox 218">
          <a:extLst>
            <a:ext uri="{FF2B5EF4-FFF2-40B4-BE49-F238E27FC236}">
              <a16:creationId xmlns:a16="http://schemas.microsoft.com/office/drawing/2014/main" id="{02EE3191-6254-4B99-8C71-4E5893D6F658}"/>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1304</xdr:row>
      <xdr:rowOff>0</xdr:rowOff>
    </xdr:from>
    <xdr:ext cx="65" cy="172227"/>
    <xdr:sp macro="" textlink="">
      <xdr:nvSpPr>
        <xdr:cNvPr id="220" name="TextBox 219">
          <a:extLst>
            <a:ext uri="{FF2B5EF4-FFF2-40B4-BE49-F238E27FC236}">
              <a16:creationId xmlns:a16="http://schemas.microsoft.com/office/drawing/2014/main" id="{E8C1C7B3-DFBB-442A-817F-DE83523DDF38}"/>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1304</xdr:row>
      <xdr:rowOff>0</xdr:rowOff>
    </xdr:from>
    <xdr:ext cx="65" cy="172227"/>
    <xdr:sp macro="" textlink="">
      <xdr:nvSpPr>
        <xdr:cNvPr id="221" name="TextBox 220">
          <a:extLst>
            <a:ext uri="{FF2B5EF4-FFF2-40B4-BE49-F238E27FC236}">
              <a16:creationId xmlns:a16="http://schemas.microsoft.com/office/drawing/2014/main" id="{CE4DCB2B-9B16-44F4-BCEF-F9EDA2DB7FE9}"/>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1304</xdr:row>
      <xdr:rowOff>0</xdr:rowOff>
    </xdr:from>
    <xdr:ext cx="65" cy="172227"/>
    <xdr:sp macro="" textlink="">
      <xdr:nvSpPr>
        <xdr:cNvPr id="222" name="TextBox 221">
          <a:extLst>
            <a:ext uri="{FF2B5EF4-FFF2-40B4-BE49-F238E27FC236}">
              <a16:creationId xmlns:a16="http://schemas.microsoft.com/office/drawing/2014/main" id="{50D51801-1E01-4856-B9C9-45F6BC1B48A3}"/>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1304</xdr:row>
      <xdr:rowOff>0</xdr:rowOff>
    </xdr:from>
    <xdr:ext cx="65" cy="172227"/>
    <xdr:sp macro="" textlink="">
      <xdr:nvSpPr>
        <xdr:cNvPr id="223" name="TextBox 222">
          <a:extLst>
            <a:ext uri="{FF2B5EF4-FFF2-40B4-BE49-F238E27FC236}">
              <a16:creationId xmlns:a16="http://schemas.microsoft.com/office/drawing/2014/main" id="{ED5BE04C-CF89-4D89-AE0C-98C339F949CC}"/>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1304</xdr:row>
      <xdr:rowOff>0</xdr:rowOff>
    </xdr:from>
    <xdr:ext cx="65" cy="172227"/>
    <xdr:sp macro="" textlink="">
      <xdr:nvSpPr>
        <xdr:cNvPr id="224" name="TextBox 223">
          <a:extLst>
            <a:ext uri="{FF2B5EF4-FFF2-40B4-BE49-F238E27FC236}">
              <a16:creationId xmlns:a16="http://schemas.microsoft.com/office/drawing/2014/main" id="{FC549BF9-551D-459D-BC44-B2A24C28BF2B}"/>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1304</xdr:row>
      <xdr:rowOff>0</xdr:rowOff>
    </xdr:from>
    <xdr:ext cx="65" cy="172227"/>
    <xdr:sp macro="" textlink="">
      <xdr:nvSpPr>
        <xdr:cNvPr id="225" name="TextBox 224">
          <a:extLst>
            <a:ext uri="{FF2B5EF4-FFF2-40B4-BE49-F238E27FC236}">
              <a16:creationId xmlns:a16="http://schemas.microsoft.com/office/drawing/2014/main" id="{941CAE9F-A7FF-42DC-8984-D46262ABE79C}"/>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1304</xdr:row>
      <xdr:rowOff>0</xdr:rowOff>
    </xdr:from>
    <xdr:ext cx="65" cy="172227"/>
    <xdr:sp macro="" textlink="">
      <xdr:nvSpPr>
        <xdr:cNvPr id="226" name="TextBox 225">
          <a:extLst>
            <a:ext uri="{FF2B5EF4-FFF2-40B4-BE49-F238E27FC236}">
              <a16:creationId xmlns:a16="http://schemas.microsoft.com/office/drawing/2014/main" id="{111E0AAA-4887-41D3-B87F-C414CBA0ECE5}"/>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1304</xdr:row>
      <xdr:rowOff>0</xdr:rowOff>
    </xdr:from>
    <xdr:ext cx="65" cy="172227"/>
    <xdr:sp macro="" textlink="">
      <xdr:nvSpPr>
        <xdr:cNvPr id="227" name="TextBox 226">
          <a:extLst>
            <a:ext uri="{FF2B5EF4-FFF2-40B4-BE49-F238E27FC236}">
              <a16:creationId xmlns:a16="http://schemas.microsoft.com/office/drawing/2014/main" id="{C3DC8BED-0690-4813-BA5C-3D6596C19BA3}"/>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1304</xdr:row>
      <xdr:rowOff>0</xdr:rowOff>
    </xdr:from>
    <xdr:ext cx="65" cy="172227"/>
    <xdr:sp macro="" textlink="">
      <xdr:nvSpPr>
        <xdr:cNvPr id="228" name="TextBox 227">
          <a:extLst>
            <a:ext uri="{FF2B5EF4-FFF2-40B4-BE49-F238E27FC236}">
              <a16:creationId xmlns:a16="http://schemas.microsoft.com/office/drawing/2014/main" id="{4697723A-519A-4E4E-84A5-177EC18D08D8}"/>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1304</xdr:row>
      <xdr:rowOff>0</xdr:rowOff>
    </xdr:from>
    <xdr:ext cx="65" cy="172227"/>
    <xdr:sp macro="" textlink="">
      <xdr:nvSpPr>
        <xdr:cNvPr id="229" name="TextBox 228">
          <a:extLst>
            <a:ext uri="{FF2B5EF4-FFF2-40B4-BE49-F238E27FC236}">
              <a16:creationId xmlns:a16="http://schemas.microsoft.com/office/drawing/2014/main" id="{D93B6858-DE7C-4CC2-9B90-02D915428937}"/>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1304</xdr:row>
      <xdr:rowOff>0</xdr:rowOff>
    </xdr:from>
    <xdr:ext cx="65" cy="172227"/>
    <xdr:sp macro="" textlink="">
      <xdr:nvSpPr>
        <xdr:cNvPr id="230" name="TextBox 229">
          <a:extLst>
            <a:ext uri="{FF2B5EF4-FFF2-40B4-BE49-F238E27FC236}">
              <a16:creationId xmlns:a16="http://schemas.microsoft.com/office/drawing/2014/main" id="{86C5F8B5-7D1A-4C65-82B7-E9219B01C805}"/>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1304</xdr:row>
      <xdr:rowOff>0</xdr:rowOff>
    </xdr:from>
    <xdr:ext cx="65" cy="172227"/>
    <xdr:sp macro="" textlink="">
      <xdr:nvSpPr>
        <xdr:cNvPr id="231" name="TextBox 230">
          <a:extLst>
            <a:ext uri="{FF2B5EF4-FFF2-40B4-BE49-F238E27FC236}">
              <a16:creationId xmlns:a16="http://schemas.microsoft.com/office/drawing/2014/main" id="{B92A0240-05F4-4121-A7B7-5E8B5640CE67}"/>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1304</xdr:row>
      <xdr:rowOff>0</xdr:rowOff>
    </xdr:from>
    <xdr:ext cx="65" cy="172227"/>
    <xdr:sp macro="" textlink="">
      <xdr:nvSpPr>
        <xdr:cNvPr id="232" name="TextBox 231">
          <a:extLst>
            <a:ext uri="{FF2B5EF4-FFF2-40B4-BE49-F238E27FC236}">
              <a16:creationId xmlns:a16="http://schemas.microsoft.com/office/drawing/2014/main" id="{ABBF7EC1-99A9-4083-A4D1-E9D4E0334575}"/>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1304</xdr:row>
      <xdr:rowOff>0</xdr:rowOff>
    </xdr:from>
    <xdr:ext cx="65" cy="172227"/>
    <xdr:sp macro="" textlink="">
      <xdr:nvSpPr>
        <xdr:cNvPr id="233" name="TextBox 232">
          <a:extLst>
            <a:ext uri="{FF2B5EF4-FFF2-40B4-BE49-F238E27FC236}">
              <a16:creationId xmlns:a16="http://schemas.microsoft.com/office/drawing/2014/main" id="{9CE4DF56-7CF1-479B-ABA0-6C2F9563A71E}"/>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1304</xdr:row>
      <xdr:rowOff>0</xdr:rowOff>
    </xdr:from>
    <xdr:ext cx="65" cy="172227"/>
    <xdr:sp macro="" textlink="">
      <xdr:nvSpPr>
        <xdr:cNvPr id="234" name="TextBox 233">
          <a:extLst>
            <a:ext uri="{FF2B5EF4-FFF2-40B4-BE49-F238E27FC236}">
              <a16:creationId xmlns:a16="http://schemas.microsoft.com/office/drawing/2014/main" id="{EC60DA8A-F6BD-42A4-AB9F-5A1DD834A4BE}"/>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1304</xdr:row>
      <xdr:rowOff>0</xdr:rowOff>
    </xdr:from>
    <xdr:ext cx="65" cy="172227"/>
    <xdr:sp macro="" textlink="">
      <xdr:nvSpPr>
        <xdr:cNvPr id="235" name="TextBox 234">
          <a:extLst>
            <a:ext uri="{FF2B5EF4-FFF2-40B4-BE49-F238E27FC236}">
              <a16:creationId xmlns:a16="http://schemas.microsoft.com/office/drawing/2014/main" id="{59E9A20C-7427-4338-8760-D1250F4F52C4}"/>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1304</xdr:row>
      <xdr:rowOff>0</xdr:rowOff>
    </xdr:from>
    <xdr:ext cx="65" cy="172227"/>
    <xdr:sp macro="" textlink="">
      <xdr:nvSpPr>
        <xdr:cNvPr id="236" name="TextBox 235">
          <a:extLst>
            <a:ext uri="{FF2B5EF4-FFF2-40B4-BE49-F238E27FC236}">
              <a16:creationId xmlns:a16="http://schemas.microsoft.com/office/drawing/2014/main" id="{1568FD52-209B-475A-8C83-AD01C1619CBB}"/>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1304</xdr:row>
      <xdr:rowOff>0</xdr:rowOff>
    </xdr:from>
    <xdr:ext cx="65" cy="172227"/>
    <xdr:sp macro="" textlink="">
      <xdr:nvSpPr>
        <xdr:cNvPr id="237" name="TextBox 236">
          <a:extLst>
            <a:ext uri="{FF2B5EF4-FFF2-40B4-BE49-F238E27FC236}">
              <a16:creationId xmlns:a16="http://schemas.microsoft.com/office/drawing/2014/main" id="{4FB919C0-8D75-40D7-80E5-88B2ED130D7C}"/>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1304</xdr:row>
      <xdr:rowOff>0</xdr:rowOff>
    </xdr:from>
    <xdr:ext cx="65" cy="172227"/>
    <xdr:sp macro="" textlink="">
      <xdr:nvSpPr>
        <xdr:cNvPr id="238" name="TextBox 237">
          <a:extLst>
            <a:ext uri="{FF2B5EF4-FFF2-40B4-BE49-F238E27FC236}">
              <a16:creationId xmlns:a16="http://schemas.microsoft.com/office/drawing/2014/main" id="{CEF46323-08A3-424D-ADF9-42E91F819CE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1304</xdr:row>
      <xdr:rowOff>0</xdr:rowOff>
    </xdr:from>
    <xdr:ext cx="65" cy="172227"/>
    <xdr:sp macro="" textlink="">
      <xdr:nvSpPr>
        <xdr:cNvPr id="239" name="TextBox 238">
          <a:extLst>
            <a:ext uri="{FF2B5EF4-FFF2-40B4-BE49-F238E27FC236}">
              <a16:creationId xmlns:a16="http://schemas.microsoft.com/office/drawing/2014/main" id="{888D5E59-3B82-40D7-BB29-DB6A52A8AE5C}"/>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1304</xdr:row>
      <xdr:rowOff>0</xdr:rowOff>
    </xdr:from>
    <xdr:ext cx="65" cy="172227"/>
    <xdr:sp macro="" textlink="">
      <xdr:nvSpPr>
        <xdr:cNvPr id="240" name="TextBox 239">
          <a:extLst>
            <a:ext uri="{FF2B5EF4-FFF2-40B4-BE49-F238E27FC236}">
              <a16:creationId xmlns:a16="http://schemas.microsoft.com/office/drawing/2014/main" id="{A3C9AF8E-F2EC-4647-B41D-07571E348A47}"/>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1304</xdr:row>
      <xdr:rowOff>0</xdr:rowOff>
    </xdr:from>
    <xdr:ext cx="65" cy="172227"/>
    <xdr:sp macro="" textlink="">
      <xdr:nvSpPr>
        <xdr:cNvPr id="241" name="TextBox 240">
          <a:extLst>
            <a:ext uri="{FF2B5EF4-FFF2-40B4-BE49-F238E27FC236}">
              <a16:creationId xmlns:a16="http://schemas.microsoft.com/office/drawing/2014/main" id="{18090B5B-9D62-4DCA-B78A-658522B0128D}"/>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1304</xdr:row>
      <xdr:rowOff>0</xdr:rowOff>
    </xdr:from>
    <xdr:ext cx="65" cy="172227"/>
    <xdr:sp macro="" textlink="">
      <xdr:nvSpPr>
        <xdr:cNvPr id="242" name="TextBox 241">
          <a:extLst>
            <a:ext uri="{FF2B5EF4-FFF2-40B4-BE49-F238E27FC236}">
              <a16:creationId xmlns:a16="http://schemas.microsoft.com/office/drawing/2014/main" id="{C388612B-995A-445F-9869-6EA9BA193A6A}"/>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1304</xdr:row>
      <xdr:rowOff>0</xdr:rowOff>
    </xdr:from>
    <xdr:ext cx="65" cy="172227"/>
    <xdr:sp macro="" textlink="">
      <xdr:nvSpPr>
        <xdr:cNvPr id="243" name="TextBox 242">
          <a:extLst>
            <a:ext uri="{FF2B5EF4-FFF2-40B4-BE49-F238E27FC236}">
              <a16:creationId xmlns:a16="http://schemas.microsoft.com/office/drawing/2014/main" id="{5D80A9B9-E8FA-4B1C-9574-AFC8387F18A7}"/>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1304</xdr:row>
      <xdr:rowOff>0</xdr:rowOff>
    </xdr:from>
    <xdr:ext cx="65" cy="172227"/>
    <xdr:sp macro="" textlink="">
      <xdr:nvSpPr>
        <xdr:cNvPr id="244" name="TextBox 243">
          <a:extLst>
            <a:ext uri="{FF2B5EF4-FFF2-40B4-BE49-F238E27FC236}">
              <a16:creationId xmlns:a16="http://schemas.microsoft.com/office/drawing/2014/main" id="{863062B9-3510-48C9-B5D0-8E8F386C3D8A}"/>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1304</xdr:row>
      <xdr:rowOff>0</xdr:rowOff>
    </xdr:from>
    <xdr:ext cx="65" cy="172227"/>
    <xdr:sp macro="" textlink="">
      <xdr:nvSpPr>
        <xdr:cNvPr id="245" name="TextBox 244">
          <a:extLst>
            <a:ext uri="{FF2B5EF4-FFF2-40B4-BE49-F238E27FC236}">
              <a16:creationId xmlns:a16="http://schemas.microsoft.com/office/drawing/2014/main" id="{47F928DD-BBF0-421F-8A79-A626E712F031}"/>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1304</xdr:row>
      <xdr:rowOff>0</xdr:rowOff>
    </xdr:from>
    <xdr:ext cx="65" cy="172227"/>
    <xdr:sp macro="" textlink="">
      <xdr:nvSpPr>
        <xdr:cNvPr id="246" name="TextBox 245">
          <a:extLst>
            <a:ext uri="{FF2B5EF4-FFF2-40B4-BE49-F238E27FC236}">
              <a16:creationId xmlns:a16="http://schemas.microsoft.com/office/drawing/2014/main" id="{84BD55A6-B0A8-45A7-875F-35769152FD7D}"/>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1304</xdr:row>
      <xdr:rowOff>0</xdr:rowOff>
    </xdr:from>
    <xdr:ext cx="65" cy="172227"/>
    <xdr:sp macro="" textlink="">
      <xdr:nvSpPr>
        <xdr:cNvPr id="247" name="TextBox 246">
          <a:extLst>
            <a:ext uri="{FF2B5EF4-FFF2-40B4-BE49-F238E27FC236}">
              <a16:creationId xmlns:a16="http://schemas.microsoft.com/office/drawing/2014/main" id="{33D4DDF0-F565-4EED-9DD7-A5EE3F8FD014}"/>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1304</xdr:row>
      <xdr:rowOff>0</xdr:rowOff>
    </xdr:from>
    <xdr:ext cx="65" cy="172227"/>
    <xdr:sp macro="" textlink="">
      <xdr:nvSpPr>
        <xdr:cNvPr id="248" name="TextBox 247">
          <a:extLst>
            <a:ext uri="{FF2B5EF4-FFF2-40B4-BE49-F238E27FC236}">
              <a16:creationId xmlns:a16="http://schemas.microsoft.com/office/drawing/2014/main" id="{978A6BB7-D17C-407D-ADB9-E974DA1032D8}"/>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1304</xdr:row>
      <xdr:rowOff>0</xdr:rowOff>
    </xdr:from>
    <xdr:ext cx="65" cy="172227"/>
    <xdr:sp macro="" textlink="">
      <xdr:nvSpPr>
        <xdr:cNvPr id="249" name="TextBox 248">
          <a:extLst>
            <a:ext uri="{FF2B5EF4-FFF2-40B4-BE49-F238E27FC236}">
              <a16:creationId xmlns:a16="http://schemas.microsoft.com/office/drawing/2014/main" id="{2ADC0503-B11B-4947-B5E3-C92206C6EC1B}"/>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1304</xdr:row>
      <xdr:rowOff>0</xdr:rowOff>
    </xdr:from>
    <xdr:ext cx="65" cy="172227"/>
    <xdr:sp macro="" textlink="">
      <xdr:nvSpPr>
        <xdr:cNvPr id="250" name="TextBox 249">
          <a:extLst>
            <a:ext uri="{FF2B5EF4-FFF2-40B4-BE49-F238E27FC236}">
              <a16:creationId xmlns:a16="http://schemas.microsoft.com/office/drawing/2014/main" id="{2D50C835-E138-489D-A98D-0AA7F75C185F}"/>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1304</xdr:row>
      <xdr:rowOff>0</xdr:rowOff>
    </xdr:from>
    <xdr:ext cx="65" cy="172227"/>
    <xdr:sp macro="" textlink="">
      <xdr:nvSpPr>
        <xdr:cNvPr id="251" name="TextBox 250">
          <a:extLst>
            <a:ext uri="{FF2B5EF4-FFF2-40B4-BE49-F238E27FC236}">
              <a16:creationId xmlns:a16="http://schemas.microsoft.com/office/drawing/2014/main" id="{89F99F75-90B6-45AE-8BD4-3DB2BBB03246}"/>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1304</xdr:row>
      <xdr:rowOff>0</xdr:rowOff>
    </xdr:from>
    <xdr:ext cx="65" cy="172227"/>
    <xdr:sp macro="" textlink="">
      <xdr:nvSpPr>
        <xdr:cNvPr id="252" name="TextBox 251">
          <a:extLst>
            <a:ext uri="{FF2B5EF4-FFF2-40B4-BE49-F238E27FC236}">
              <a16:creationId xmlns:a16="http://schemas.microsoft.com/office/drawing/2014/main" id="{90724B9E-FDF8-498C-81DD-25B81B45B1CB}"/>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1304</xdr:row>
      <xdr:rowOff>0</xdr:rowOff>
    </xdr:from>
    <xdr:ext cx="65" cy="172227"/>
    <xdr:sp macro="" textlink="">
      <xdr:nvSpPr>
        <xdr:cNvPr id="253" name="TextBox 252">
          <a:extLst>
            <a:ext uri="{FF2B5EF4-FFF2-40B4-BE49-F238E27FC236}">
              <a16:creationId xmlns:a16="http://schemas.microsoft.com/office/drawing/2014/main" id="{4E329BB9-D2CC-421C-A719-86C84153B631}"/>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1304</xdr:row>
      <xdr:rowOff>0</xdr:rowOff>
    </xdr:from>
    <xdr:ext cx="65" cy="172227"/>
    <xdr:sp macro="" textlink="">
      <xdr:nvSpPr>
        <xdr:cNvPr id="254" name="TextBox 253">
          <a:extLst>
            <a:ext uri="{FF2B5EF4-FFF2-40B4-BE49-F238E27FC236}">
              <a16:creationId xmlns:a16="http://schemas.microsoft.com/office/drawing/2014/main" id="{E639B3B8-6D7C-47EC-A419-C479869C213D}"/>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1304</xdr:row>
      <xdr:rowOff>0</xdr:rowOff>
    </xdr:from>
    <xdr:ext cx="65" cy="172227"/>
    <xdr:sp macro="" textlink="">
      <xdr:nvSpPr>
        <xdr:cNvPr id="255" name="TextBox 254">
          <a:extLst>
            <a:ext uri="{FF2B5EF4-FFF2-40B4-BE49-F238E27FC236}">
              <a16:creationId xmlns:a16="http://schemas.microsoft.com/office/drawing/2014/main" id="{E9CFF395-1B68-4A66-AC7D-531CFC736111}"/>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1304</xdr:row>
      <xdr:rowOff>0</xdr:rowOff>
    </xdr:from>
    <xdr:ext cx="65" cy="172227"/>
    <xdr:sp macro="" textlink="">
      <xdr:nvSpPr>
        <xdr:cNvPr id="256" name="TextBox 255">
          <a:extLst>
            <a:ext uri="{FF2B5EF4-FFF2-40B4-BE49-F238E27FC236}">
              <a16:creationId xmlns:a16="http://schemas.microsoft.com/office/drawing/2014/main" id="{0A183D11-16F8-4A4B-BF2F-FC2ED99641D2}"/>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1304</xdr:row>
      <xdr:rowOff>0</xdr:rowOff>
    </xdr:from>
    <xdr:ext cx="65" cy="172227"/>
    <xdr:sp macro="" textlink="">
      <xdr:nvSpPr>
        <xdr:cNvPr id="257" name="TextBox 256">
          <a:extLst>
            <a:ext uri="{FF2B5EF4-FFF2-40B4-BE49-F238E27FC236}">
              <a16:creationId xmlns:a16="http://schemas.microsoft.com/office/drawing/2014/main" id="{47679C68-9D31-4050-9224-847BC132569B}"/>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1304</xdr:row>
      <xdr:rowOff>0</xdr:rowOff>
    </xdr:from>
    <xdr:ext cx="65" cy="172227"/>
    <xdr:sp macro="" textlink="">
      <xdr:nvSpPr>
        <xdr:cNvPr id="258" name="TextBox 257">
          <a:extLst>
            <a:ext uri="{FF2B5EF4-FFF2-40B4-BE49-F238E27FC236}">
              <a16:creationId xmlns:a16="http://schemas.microsoft.com/office/drawing/2014/main" id="{F4F3EFF6-A8E4-45A8-9552-918C2D600939}"/>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1304</xdr:row>
      <xdr:rowOff>0</xdr:rowOff>
    </xdr:from>
    <xdr:ext cx="65" cy="172227"/>
    <xdr:sp macro="" textlink="">
      <xdr:nvSpPr>
        <xdr:cNvPr id="259" name="TextBox 258">
          <a:extLst>
            <a:ext uri="{FF2B5EF4-FFF2-40B4-BE49-F238E27FC236}">
              <a16:creationId xmlns:a16="http://schemas.microsoft.com/office/drawing/2014/main" id="{B7F57AC7-9209-4E6C-83B9-E104E1255C66}"/>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1304</xdr:row>
      <xdr:rowOff>0</xdr:rowOff>
    </xdr:from>
    <xdr:ext cx="65" cy="172227"/>
    <xdr:sp macro="" textlink="">
      <xdr:nvSpPr>
        <xdr:cNvPr id="260" name="TextBox 259">
          <a:extLst>
            <a:ext uri="{FF2B5EF4-FFF2-40B4-BE49-F238E27FC236}">
              <a16:creationId xmlns:a16="http://schemas.microsoft.com/office/drawing/2014/main" id="{9AAD1E60-77C6-461C-8D3A-82C8FFE4F642}"/>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1304</xdr:row>
      <xdr:rowOff>0</xdr:rowOff>
    </xdr:from>
    <xdr:ext cx="65" cy="172227"/>
    <xdr:sp macro="" textlink="">
      <xdr:nvSpPr>
        <xdr:cNvPr id="261" name="TextBox 260">
          <a:extLst>
            <a:ext uri="{FF2B5EF4-FFF2-40B4-BE49-F238E27FC236}">
              <a16:creationId xmlns:a16="http://schemas.microsoft.com/office/drawing/2014/main" id="{532DFC7E-E7DB-4D21-A68E-41380F49B6AE}"/>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1304</xdr:row>
      <xdr:rowOff>0</xdr:rowOff>
    </xdr:from>
    <xdr:ext cx="65" cy="172227"/>
    <xdr:sp macro="" textlink="">
      <xdr:nvSpPr>
        <xdr:cNvPr id="262" name="TextBox 261">
          <a:extLst>
            <a:ext uri="{FF2B5EF4-FFF2-40B4-BE49-F238E27FC236}">
              <a16:creationId xmlns:a16="http://schemas.microsoft.com/office/drawing/2014/main" id="{68BFA460-AC6E-400D-8F42-BEB61188CE28}"/>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1304</xdr:row>
      <xdr:rowOff>0</xdr:rowOff>
    </xdr:from>
    <xdr:ext cx="65" cy="172227"/>
    <xdr:sp macro="" textlink="">
      <xdr:nvSpPr>
        <xdr:cNvPr id="263" name="TextBox 262">
          <a:extLst>
            <a:ext uri="{FF2B5EF4-FFF2-40B4-BE49-F238E27FC236}">
              <a16:creationId xmlns:a16="http://schemas.microsoft.com/office/drawing/2014/main" id="{BD27354E-D888-4E58-B5A6-E4E7CCCA9304}"/>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1304</xdr:row>
      <xdr:rowOff>0</xdr:rowOff>
    </xdr:from>
    <xdr:ext cx="65" cy="172227"/>
    <xdr:sp macro="" textlink="">
      <xdr:nvSpPr>
        <xdr:cNvPr id="264" name="TextBox 263">
          <a:extLst>
            <a:ext uri="{FF2B5EF4-FFF2-40B4-BE49-F238E27FC236}">
              <a16:creationId xmlns:a16="http://schemas.microsoft.com/office/drawing/2014/main" id="{310D8C2C-D1ED-4A00-8AF3-982BDFFA8645}"/>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1304</xdr:row>
      <xdr:rowOff>0</xdr:rowOff>
    </xdr:from>
    <xdr:ext cx="65" cy="172227"/>
    <xdr:sp macro="" textlink="">
      <xdr:nvSpPr>
        <xdr:cNvPr id="265" name="TextBox 264">
          <a:extLst>
            <a:ext uri="{FF2B5EF4-FFF2-40B4-BE49-F238E27FC236}">
              <a16:creationId xmlns:a16="http://schemas.microsoft.com/office/drawing/2014/main" id="{0BBD684F-0EC1-4888-81A9-18F70F9677FD}"/>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1304</xdr:row>
      <xdr:rowOff>0</xdr:rowOff>
    </xdr:from>
    <xdr:ext cx="65" cy="172227"/>
    <xdr:sp macro="" textlink="">
      <xdr:nvSpPr>
        <xdr:cNvPr id="266" name="TextBox 265">
          <a:extLst>
            <a:ext uri="{FF2B5EF4-FFF2-40B4-BE49-F238E27FC236}">
              <a16:creationId xmlns:a16="http://schemas.microsoft.com/office/drawing/2014/main" id="{A0F9DA72-9AB3-4E59-997C-D03478530A7B}"/>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1304</xdr:row>
      <xdr:rowOff>0</xdr:rowOff>
    </xdr:from>
    <xdr:ext cx="65" cy="172227"/>
    <xdr:sp macro="" textlink="">
      <xdr:nvSpPr>
        <xdr:cNvPr id="267" name="TextBox 266">
          <a:extLst>
            <a:ext uri="{FF2B5EF4-FFF2-40B4-BE49-F238E27FC236}">
              <a16:creationId xmlns:a16="http://schemas.microsoft.com/office/drawing/2014/main" id="{C5C1DE44-220F-4AF2-90B2-95109CADEBF3}"/>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1304</xdr:row>
      <xdr:rowOff>0</xdr:rowOff>
    </xdr:from>
    <xdr:ext cx="65" cy="172227"/>
    <xdr:sp macro="" textlink="">
      <xdr:nvSpPr>
        <xdr:cNvPr id="268" name="TextBox 267">
          <a:extLst>
            <a:ext uri="{FF2B5EF4-FFF2-40B4-BE49-F238E27FC236}">
              <a16:creationId xmlns:a16="http://schemas.microsoft.com/office/drawing/2014/main" id="{E019DD87-5080-4FB0-A74B-921D83ADBFEE}"/>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1304</xdr:row>
      <xdr:rowOff>0</xdr:rowOff>
    </xdr:from>
    <xdr:ext cx="65" cy="172227"/>
    <xdr:sp macro="" textlink="">
      <xdr:nvSpPr>
        <xdr:cNvPr id="269" name="TextBox 268">
          <a:extLst>
            <a:ext uri="{FF2B5EF4-FFF2-40B4-BE49-F238E27FC236}">
              <a16:creationId xmlns:a16="http://schemas.microsoft.com/office/drawing/2014/main" id="{E71E44F2-8A28-4CF1-9034-88F310EB287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1304</xdr:row>
      <xdr:rowOff>0</xdr:rowOff>
    </xdr:from>
    <xdr:ext cx="65" cy="172227"/>
    <xdr:sp macro="" textlink="">
      <xdr:nvSpPr>
        <xdr:cNvPr id="270" name="TextBox 269">
          <a:extLst>
            <a:ext uri="{FF2B5EF4-FFF2-40B4-BE49-F238E27FC236}">
              <a16:creationId xmlns:a16="http://schemas.microsoft.com/office/drawing/2014/main" id="{FCA60581-BCF5-4E2C-B46B-44B4DF8811D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1304</xdr:row>
      <xdr:rowOff>0</xdr:rowOff>
    </xdr:from>
    <xdr:ext cx="65" cy="172227"/>
    <xdr:sp macro="" textlink="">
      <xdr:nvSpPr>
        <xdr:cNvPr id="271" name="TextBox 270">
          <a:extLst>
            <a:ext uri="{FF2B5EF4-FFF2-40B4-BE49-F238E27FC236}">
              <a16:creationId xmlns:a16="http://schemas.microsoft.com/office/drawing/2014/main" id="{9926CB76-BC11-4C66-90FC-2B7BCFEFACB8}"/>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1304</xdr:row>
      <xdr:rowOff>0</xdr:rowOff>
    </xdr:from>
    <xdr:ext cx="65" cy="172227"/>
    <xdr:sp macro="" textlink="">
      <xdr:nvSpPr>
        <xdr:cNvPr id="272" name="TextBox 271">
          <a:extLst>
            <a:ext uri="{FF2B5EF4-FFF2-40B4-BE49-F238E27FC236}">
              <a16:creationId xmlns:a16="http://schemas.microsoft.com/office/drawing/2014/main" id="{AD046D4E-7837-474F-9F23-B0FA02D69257}"/>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3502</xdr:colOff>
      <xdr:row>1434</xdr:row>
      <xdr:rowOff>0</xdr:rowOff>
    </xdr:from>
    <xdr:ext cx="65" cy="172227"/>
    <xdr:sp macro="" textlink="">
      <xdr:nvSpPr>
        <xdr:cNvPr id="273" name="TextBox 272">
          <a:extLst>
            <a:ext uri="{FF2B5EF4-FFF2-40B4-BE49-F238E27FC236}">
              <a16:creationId xmlns:a16="http://schemas.microsoft.com/office/drawing/2014/main" id="{F96993D8-11E0-423A-A946-0049C38CE5FF}"/>
            </a:ext>
          </a:extLst>
        </xdr:cNvPr>
        <xdr:cNvSpPr txBox="1"/>
      </xdr:nvSpPr>
      <xdr:spPr>
        <a:xfrm>
          <a:off x="12471727" y="8406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3502</xdr:colOff>
      <xdr:row>1434</xdr:row>
      <xdr:rowOff>0</xdr:rowOff>
    </xdr:from>
    <xdr:ext cx="65" cy="172227"/>
    <xdr:sp macro="" textlink="">
      <xdr:nvSpPr>
        <xdr:cNvPr id="274" name="TextBox 273">
          <a:extLst>
            <a:ext uri="{FF2B5EF4-FFF2-40B4-BE49-F238E27FC236}">
              <a16:creationId xmlns:a16="http://schemas.microsoft.com/office/drawing/2014/main" id="{8150A862-9084-43C9-A325-027844F0DBFE}"/>
            </a:ext>
          </a:extLst>
        </xdr:cNvPr>
        <xdr:cNvSpPr txBox="1"/>
      </xdr:nvSpPr>
      <xdr:spPr>
        <a:xfrm>
          <a:off x="12471727" y="8406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238125</xdr:colOff>
      <xdr:row>1456</xdr:row>
      <xdr:rowOff>133349</xdr:rowOff>
    </xdr:from>
    <xdr:to>
      <xdr:col>11</xdr:col>
      <xdr:colOff>651334</xdr:colOff>
      <xdr:row>1459</xdr:row>
      <xdr:rowOff>175259</xdr:rowOff>
    </xdr:to>
    <mc:AlternateContent xmlns:mc="http://schemas.openxmlformats.org/markup-compatibility/2006" xmlns:a14="http://schemas.microsoft.com/office/drawing/2010/main">
      <mc:Choice Requires="a14">
        <xdr:sp macro="" textlink="">
          <xdr:nvSpPr>
            <xdr:cNvPr id="276" name="TextBox 275">
              <a:extLst>
                <a:ext uri="{FF2B5EF4-FFF2-40B4-BE49-F238E27FC236}">
                  <a16:creationId xmlns:a16="http://schemas.microsoft.com/office/drawing/2014/main" id="{1D3AD547-5B9A-4AB4-8BC5-8AC8DF03A019}"/>
                </a:ext>
              </a:extLst>
            </xdr:cNvPr>
            <xdr:cNvSpPr txBox="1"/>
          </xdr:nvSpPr>
          <xdr:spPr>
            <a:xfrm>
              <a:off x="3810000" y="74933174"/>
              <a:ext cx="14014909" cy="72771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l"/>
              <a14:m>
                <m:oMathPara xmlns:m="http://schemas.openxmlformats.org/officeDocument/2006/math">
                  <m:oMathParaPr>
                    <m:jc m:val="left"/>
                  </m:oMathParaPr>
                  <m:oMath xmlns:m="http://schemas.openxmlformats.org/officeDocument/2006/math">
                    <m:r>
                      <a:rPr lang="el-GR" sz="1600" i="1">
                        <a:solidFill>
                          <a:srgbClr val="FF0000"/>
                        </a:solidFill>
                        <a:latin typeface="Cambria Math" panose="02040503050406030204" pitchFamily="18" charset="0"/>
                      </a:rPr>
                      <m:t>𝛥</m:t>
                    </m:r>
                    <m:r>
                      <a:rPr lang="en-US" sz="1600" i="1">
                        <a:solidFill>
                          <a:srgbClr val="FF0000"/>
                        </a:solidFill>
                        <a:latin typeface="Cambria Math" panose="02040503050406030204" pitchFamily="18" charset="0"/>
                      </a:rPr>
                      <m:t>𝑘𝑊</m:t>
                    </m:r>
                    <m:sSub>
                      <m:sSubPr>
                        <m:ctrlPr>
                          <a:rPr lang="en-US" sz="1600" b="0" i="1">
                            <a:solidFill>
                              <a:srgbClr val="FF0000"/>
                            </a:solidFill>
                            <a:latin typeface="Cambria Math" panose="02040503050406030204" pitchFamily="18" charset="0"/>
                          </a:rPr>
                        </m:ctrlPr>
                      </m:sSubPr>
                      <m:e>
                        <m:r>
                          <a:rPr lang="en-US" sz="1600" i="1">
                            <a:solidFill>
                              <a:srgbClr val="FF0000"/>
                            </a:solidFill>
                            <a:latin typeface="Cambria Math" panose="02040503050406030204" pitchFamily="18" charset="0"/>
                          </a:rPr>
                          <m:t>h</m:t>
                        </m:r>
                      </m:e>
                      <m:sub>
                        <m:r>
                          <a:rPr lang="en-US" sz="1600" i="1">
                            <a:solidFill>
                              <a:srgbClr val="FF0000"/>
                            </a:solidFill>
                            <a:latin typeface="Cambria Math" panose="02040503050406030204" pitchFamily="18" charset="0"/>
                          </a:rPr>
                          <m:t>𝑐𝑜𝑜𝑙𝑖𝑛𝑔</m:t>
                        </m:r>
                      </m:sub>
                    </m:sSub>
                    <m:r>
                      <a:rPr lang="en-US" sz="1600" i="1">
                        <a:solidFill>
                          <a:srgbClr val="FF0000"/>
                        </a:solidFill>
                        <a:latin typeface="Cambria Math" panose="02040503050406030204" pitchFamily="18" charset="0"/>
                      </a:rPr>
                      <m:t>=%</m:t>
                    </m:r>
                    <m:r>
                      <a:rPr lang="en-US" sz="1600" i="1">
                        <a:solidFill>
                          <a:srgbClr val="FF0000"/>
                        </a:solidFill>
                        <a:latin typeface="Cambria Math" panose="02040503050406030204" pitchFamily="18" charset="0"/>
                      </a:rPr>
                      <m:t>𝐴𝐶</m:t>
                    </m:r>
                    <m:r>
                      <a:rPr lang="en-US" sz="1600" i="1">
                        <a:solidFill>
                          <a:srgbClr val="FF0000"/>
                        </a:solidFill>
                        <a:latin typeface="Cambria Math" panose="02040503050406030204" pitchFamily="18" charset="0"/>
                      </a:rPr>
                      <m:t>∗</m:t>
                    </m:r>
                    <m:d>
                      <m:dPr>
                        <m:ctrlPr>
                          <a:rPr lang="en-US" sz="1600" i="1">
                            <a:solidFill>
                              <a:srgbClr val="FF0000"/>
                            </a:solidFill>
                            <a:latin typeface="Cambria Math" panose="02040503050406030204" pitchFamily="18" charset="0"/>
                          </a:rPr>
                        </m:ctrlPr>
                      </m:dPr>
                      <m:e>
                        <m:f>
                          <m:fPr>
                            <m:ctrlPr>
                              <a:rPr lang="en-US" sz="1600" i="1">
                                <a:solidFill>
                                  <a:srgbClr val="FF0000"/>
                                </a:solidFill>
                                <a:latin typeface="Cambria Math" panose="02040503050406030204" pitchFamily="18" charset="0"/>
                              </a:rPr>
                            </m:ctrlPr>
                          </m:fPr>
                          <m:num>
                            <m:d>
                              <m:dPr>
                                <m:ctrlPr>
                                  <a:rPr lang="en-US" sz="1600" i="1">
                                    <a:solidFill>
                                      <a:srgbClr val="FF0000"/>
                                    </a:solidFill>
                                    <a:latin typeface="Cambria Math" panose="02040503050406030204" pitchFamily="18" charset="0"/>
                                  </a:rPr>
                                </m:ctrlPr>
                              </m:dPr>
                              <m:e>
                                <m:r>
                                  <a:rPr lang="en-US" sz="1600" i="1">
                                    <a:solidFill>
                                      <a:srgbClr val="FF0000"/>
                                    </a:solidFill>
                                    <a:latin typeface="Cambria Math" panose="02040503050406030204" pitchFamily="18" charset="0"/>
                                  </a:rPr>
                                  <m:t>𝐸𝐹𝐿</m:t>
                                </m:r>
                                <m:sSub>
                                  <m:sSubPr>
                                    <m:ctrlPr>
                                      <a:rPr lang="en-US" sz="1600" b="0" i="1">
                                        <a:solidFill>
                                          <a:srgbClr val="FF0000"/>
                                        </a:solidFill>
                                        <a:latin typeface="Cambria Math" panose="02040503050406030204" pitchFamily="18" charset="0"/>
                                      </a:rPr>
                                    </m:ctrlPr>
                                  </m:sSubPr>
                                  <m:e>
                                    <m:r>
                                      <a:rPr lang="en-US" sz="1600" i="1">
                                        <a:solidFill>
                                          <a:srgbClr val="FF0000"/>
                                        </a:solidFill>
                                        <a:latin typeface="Cambria Math" panose="02040503050406030204" pitchFamily="18" charset="0"/>
                                      </a:rPr>
                                      <m:t>𝐻</m:t>
                                    </m:r>
                                  </m:e>
                                  <m:sub>
                                    <m:r>
                                      <a:rPr lang="en-US" sz="1600" i="1">
                                        <a:solidFill>
                                          <a:srgbClr val="FF0000"/>
                                        </a:solidFill>
                                        <a:latin typeface="Cambria Math" panose="02040503050406030204" pitchFamily="18" charset="0"/>
                                      </a:rPr>
                                      <m:t>𝑐𝑜𝑜𝑙</m:t>
                                    </m:r>
                                  </m:sub>
                                </m:sSub>
                                <m:r>
                                  <a:rPr lang="en-US" sz="1600" i="1">
                                    <a:solidFill>
                                      <a:srgbClr val="FF0000"/>
                                    </a:solidFill>
                                    <a:latin typeface="Cambria Math" panose="02040503050406030204" pitchFamily="18" charset="0"/>
                                  </a:rPr>
                                  <m:t>∗</m:t>
                                </m:r>
                                <m:r>
                                  <a:rPr lang="en-US" sz="1600" i="1">
                                    <a:solidFill>
                                      <a:srgbClr val="FF0000"/>
                                    </a:solidFill>
                                    <a:latin typeface="Cambria Math" panose="02040503050406030204" pitchFamily="18" charset="0"/>
                                  </a:rPr>
                                  <m:t>𝐶𝑎𝑝𝑎𝑐𝑖𝑡𝑦𝐶𝑜𝑜𝑙</m:t>
                                </m:r>
                                <m:r>
                                  <a:rPr lang="en-US" sz="1600" i="1">
                                    <a:solidFill>
                                      <a:srgbClr val="FF0000"/>
                                    </a:solidFill>
                                    <a:latin typeface="Cambria Math" panose="02040503050406030204" pitchFamily="18" charset="0"/>
                                  </a:rPr>
                                  <m:t>∗</m:t>
                                </m:r>
                                <m:f>
                                  <m:fPr>
                                    <m:ctrlPr>
                                      <a:rPr lang="en-US" sz="1600" i="1">
                                        <a:solidFill>
                                          <a:srgbClr val="FF0000"/>
                                        </a:solidFill>
                                        <a:latin typeface="Cambria Math" panose="02040503050406030204" pitchFamily="18" charset="0"/>
                                      </a:rPr>
                                    </m:ctrlPr>
                                  </m:fPr>
                                  <m:num>
                                    <m:r>
                                      <a:rPr lang="en-US" sz="1600" i="1">
                                        <a:solidFill>
                                          <a:srgbClr val="FF0000"/>
                                        </a:solidFill>
                                        <a:latin typeface="Cambria Math" panose="02040503050406030204" pitchFamily="18" charset="0"/>
                                      </a:rPr>
                                      <m:t>1</m:t>
                                    </m:r>
                                  </m:num>
                                  <m:den>
                                    <m:r>
                                      <a:rPr lang="en-US" sz="1600" i="1">
                                        <a:solidFill>
                                          <a:srgbClr val="FF0000"/>
                                        </a:solidFill>
                                        <a:latin typeface="Cambria Math" panose="02040503050406030204" pitchFamily="18" charset="0"/>
                                      </a:rPr>
                                      <m:t>𝑆𝐸𝐸𝑅</m:t>
                                    </m:r>
                                  </m:den>
                                </m:f>
                              </m:e>
                            </m:d>
                          </m:num>
                          <m:den>
                            <m:r>
                              <a:rPr lang="en-US" sz="1600" i="1">
                                <a:solidFill>
                                  <a:srgbClr val="FF0000"/>
                                </a:solidFill>
                                <a:latin typeface="Cambria Math" panose="02040503050406030204" pitchFamily="18" charset="0"/>
                              </a:rPr>
                              <m:t>1000</m:t>
                            </m:r>
                          </m:den>
                        </m:f>
                      </m:e>
                    </m:d>
                    <m:r>
                      <a:rPr lang="en-US" sz="1600" i="1">
                        <a:solidFill>
                          <a:srgbClr val="FF0000"/>
                        </a:solidFill>
                        <a:latin typeface="Cambria Math" panose="02040503050406030204" pitchFamily="18" charset="0"/>
                      </a:rPr>
                      <m:t> ∗ </m:t>
                    </m:r>
                    <m:r>
                      <a:rPr lang="en-US" sz="1600" i="1">
                        <a:solidFill>
                          <a:srgbClr val="FF0000"/>
                        </a:solidFill>
                        <a:latin typeface="Cambria Math" panose="02040503050406030204" pitchFamily="18" charset="0"/>
                      </a:rPr>
                      <m:t>𝐶𝑜𝑜𝑙𝑖𝑛𝑔𝑅𝑒𝑑𝑢𝑐𝑡𝑖𝑜𝑛</m:t>
                    </m:r>
                    <m:r>
                      <a:rPr lang="en-US" sz="1600" i="1">
                        <a:solidFill>
                          <a:srgbClr val="FF0000"/>
                        </a:solidFill>
                        <a:latin typeface="Cambria Math" panose="02040503050406030204" pitchFamily="18" charset="0"/>
                      </a:rPr>
                      <m:t> ∗ </m:t>
                    </m:r>
                    <m:r>
                      <a:rPr lang="en-US" sz="1600" i="1">
                        <a:solidFill>
                          <a:srgbClr val="FF0000"/>
                        </a:solidFill>
                        <a:latin typeface="Cambria Math" panose="02040503050406030204" pitchFamily="18" charset="0"/>
                      </a:rPr>
                      <m:t>𝐸𝑓𝑓</m:t>
                    </m:r>
                    <m:r>
                      <a:rPr lang="en-US" sz="1600" i="1">
                        <a:solidFill>
                          <a:srgbClr val="FF0000"/>
                        </a:solidFill>
                        <a:latin typeface="Cambria Math" panose="02040503050406030204" pitchFamily="18" charset="0"/>
                      </a:rPr>
                      <m:t>_</m:t>
                    </m:r>
                    <m:r>
                      <a:rPr lang="en-US" sz="1600" i="1">
                        <a:solidFill>
                          <a:srgbClr val="FF0000"/>
                        </a:solidFill>
                        <a:latin typeface="Cambria Math" panose="02040503050406030204" pitchFamily="18" charset="0"/>
                      </a:rPr>
                      <m:t>𝐼𝑆𝑅</m:t>
                    </m:r>
                  </m:oMath>
                </m:oMathPara>
              </a14:m>
              <a:endParaRPr lang="en-US" sz="1600">
                <a:solidFill>
                  <a:srgbClr val="FF0000"/>
                </a:solidFill>
              </a:endParaRPr>
            </a:p>
          </xdr:txBody>
        </xdr:sp>
      </mc:Choice>
      <mc:Fallback xmlns="">
        <xdr:sp macro="" textlink="">
          <xdr:nvSpPr>
            <xdr:cNvPr id="276" name="TextBox 275">
              <a:extLst>
                <a:ext uri="{FF2B5EF4-FFF2-40B4-BE49-F238E27FC236}">
                  <a16:creationId xmlns:a16="http://schemas.microsoft.com/office/drawing/2014/main" id="{1D3AD547-5B9A-4AB4-8BC5-8AC8DF03A019}"/>
                </a:ext>
              </a:extLst>
            </xdr:cNvPr>
            <xdr:cNvSpPr txBox="1"/>
          </xdr:nvSpPr>
          <xdr:spPr>
            <a:xfrm>
              <a:off x="3810000" y="74933174"/>
              <a:ext cx="14014909" cy="72771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l"/>
              <a:r>
                <a:rPr lang="el-GR" sz="1600" i="0">
                  <a:solidFill>
                    <a:srgbClr val="FF0000"/>
                  </a:solidFill>
                  <a:latin typeface="Cambria Math" panose="02040503050406030204" pitchFamily="18" charset="0"/>
                </a:rPr>
                <a:t>𝛥</a:t>
              </a:r>
              <a:r>
                <a:rPr lang="en-US" sz="1600" i="0">
                  <a:solidFill>
                    <a:srgbClr val="FF0000"/>
                  </a:solidFill>
                  <a:latin typeface="Cambria Math" panose="02040503050406030204" pitchFamily="18" charset="0"/>
                </a:rPr>
                <a:t>𝑘𝑊ℎ</a:t>
              </a:r>
              <a:r>
                <a:rPr lang="en-US" sz="1600" b="0" i="0">
                  <a:solidFill>
                    <a:srgbClr val="FF0000"/>
                  </a:solidFill>
                  <a:latin typeface="Cambria Math" panose="02040503050406030204" pitchFamily="18" charset="0"/>
                </a:rPr>
                <a:t>_</a:t>
              </a:r>
              <a:r>
                <a:rPr lang="en-US" sz="1600" i="0">
                  <a:solidFill>
                    <a:srgbClr val="FF0000"/>
                  </a:solidFill>
                  <a:latin typeface="Cambria Math" panose="02040503050406030204" pitchFamily="18" charset="0"/>
                </a:rPr>
                <a:t>𝑐𝑜𝑜𝑙𝑖𝑛𝑔=%𝐴𝐶∗(((𝐸𝐹𝐿𝐻</a:t>
              </a:r>
              <a:r>
                <a:rPr lang="en-US" sz="1600" b="0" i="0">
                  <a:solidFill>
                    <a:srgbClr val="FF0000"/>
                  </a:solidFill>
                  <a:latin typeface="Cambria Math" panose="02040503050406030204" pitchFamily="18" charset="0"/>
                </a:rPr>
                <a:t>_</a:t>
              </a:r>
              <a:r>
                <a:rPr lang="en-US" sz="1600" i="0">
                  <a:solidFill>
                    <a:srgbClr val="FF0000"/>
                  </a:solidFill>
                  <a:latin typeface="Cambria Math" panose="02040503050406030204" pitchFamily="18" charset="0"/>
                </a:rPr>
                <a:t>𝑐𝑜𝑜𝑙∗𝐶𝑎𝑝𝑎𝑐𝑖𝑡𝑦𝐶𝑜𝑜𝑙∗1/𝑆𝐸𝐸𝑅))/1000)  ∗ 𝐶𝑜𝑜𝑙𝑖𝑛𝑔𝑅𝑒𝑑𝑢𝑐𝑡𝑖𝑜𝑛 ∗ 𝐸𝑓𝑓_𝐼𝑆𝑅</a:t>
              </a:r>
              <a:endParaRPr lang="en-US" sz="1600">
                <a:solidFill>
                  <a:srgbClr val="FF0000"/>
                </a:solidFill>
              </a:endParaRPr>
            </a:p>
          </xdr:txBody>
        </xdr:sp>
      </mc:Fallback>
    </mc:AlternateContent>
    <xdr:clientData/>
  </xdr:twoCellAnchor>
  <xdr:twoCellAnchor>
    <xdr:from>
      <xdr:col>4</xdr:col>
      <xdr:colOff>54157</xdr:colOff>
      <xdr:row>1465</xdr:row>
      <xdr:rowOff>36195</xdr:rowOff>
    </xdr:from>
    <xdr:to>
      <xdr:col>11</xdr:col>
      <xdr:colOff>1053737</xdr:colOff>
      <xdr:row>1468</xdr:row>
      <xdr:rowOff>72390</xdr:rowOff>
    </xdr:to>
    <mc:AlternateContent xmlns:mc="http://schemas.openxmlformats.org/markup-compatibility/2006" xmlns:a14="http://schemas.microsoft.com/office/drawing/2010/main">
      <mc:Choice Requires="a14">
        <xdr:sp macro="" textlink="">
          <xdr:nvSpPr>
            <xdr:cNvPr id="278" name="TextBox 277">
              <a:extLst>
                <a:ext uri="{FF2B5EF4-FFF2-40B4-BE49-F238E27FC236}">
                  <a16:creationId xmlns:a16="http://schemas.microsoft.com/office/drawing/2014/main" id="{3497EE3A-C1BA-47E6-8444-BE731F5CD88F}"/>
                </a:ext>
              </a:extLst>
            </xdr:cNvPr>
            <xdr:cNvSpPr txBox="1"/>
          </xdr:nvSpPr>
          <xdr:spPr>
            <a:xfrm>
              <a:off x="3626032" y="76845795"/>
              <a:ext cx="14601280" cy="63627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solidFill>
                          <a:srgbClr val="FF0000"/>
                        </a:solidFill>
                        <a:latin typeface="Cambria Math" panose="02040503050406030204" pitchFamily="18" charset="0"/>
                      </a:rPr>
                      <m:t>𝛥</m:t>
                    </m:r>
                    <m:r>
                      <a:rPr lang="en-US" sz="1600" i="1">
                        <a:solidFill>
                          <a:srgbClr val="FF0000"/>
                        </a:solidFill>
                        <a:latin typeface="Cambria Math" panose="02040503050406030204" pitchFamily="18" charset="0"/>
                      </a:rPr>
                      <m:t>𝑘𝑊</m:t>
                    </m:r>
                    <m:r>
                      <a:rPr lang="en-US" sz="1600" i="1">
                        <a:solidFill>
                          <a:srgbClr val="FF0000"/>
                        </a:solidFill>
                        <a:latin typeface="Cambria Math" panose="02040503050406030204" pitchFamily="18" charset="0"/>
                      </a:rPr>
                      <m:t> = </m:t>
                    </m:r>
                    <m:r>
                      <a:rPr lang="el-GR" sz="1600" i="1">
                        <a:solidFill>
                          <a:srgbClr val="FF0000"/>
                        </a:solidFill>
                        <a:latin typeface="Cambria Math" panose="02040503050406030204" pitchFamily="18" charset="0"/>
                      </a:rPr>
                      <m:t>𝛥</m:t>
                    </m:r>
                    <m:r>
                      <a:rPr lang="en-US" sz="1600" i="1">
                        <a:solidFill>
                          <a:srgbClr val="FF0000"/>
                        </a:solidFill>
                        <a:latin typeface="Cambria Math" panose="02040503050406030204" pitchFamily="18" charset="0"/>
                      </a:rPr>
                      <m:t>𝑘𝑊</m:t>
                    </m:r>
                    <m:sSub>
                      <m:sSubPr>
                        <m:ctrlPr>
                          <a:rPr lang="en-US" sz="1600" b="0" i="1">
                            <a:solidFill>
                              <a:srgbClr val="FF0000"/>
                            </a:solidFill>
                            <a:latin typeface="Cambria Math" panose="02040503050406030204" pitchFamily="18" charset="0"/>
                          </a:rPr>
                        </m:ctrlPr>
                      </m:sSubPr>
                      <m:e>
                        <m:r>
                          <a:rPr lang="en-US" sz="1600" i="1">
                            <a:solidFill>
                              <a:srgbClr val="FF0000"/>
                            </a:solidFill>
                            <a:latin typeface="Cambria Math" panose="02040503050406030204" pitchFamily="18" charset="0"/>
                          </a:rPr>
                          <m:t>h</m:t>
                        </m:r>
                      </m:e>
                      <m:sub>
                        <m:r>
                          <a:rPr lang="en-US" sz="1600" i="1">
                            <a:solidFill>
                              <a:srgbClr val="FF0000"/>
                            </a:solidFill>
                            <a:latin typeface="Cambria Math" panose="02040503050406030204" pitchFamily="18" charset="0"/>
                          </a:rPr>
                          <m:t>𝑐𝑜𝑜𝑙𝑖𝑛𝑔</m:t>
                        </m:r>
                      </m:sub>
                    </m:sSub>
                    <m:r>
                      <a:rPr lang="en-US" sz="1600" i="1">
                        <a:solidFill>
                          <a:srgbClr val="FF0000"/>
                        </a:solidFill>
                        <a:latin typeface="Cambria Math" panose="02040503050406030204" pitchFamily="18" charset="0"/>
                      </a:rPr>
                      <m:t>∗</m:t>
                    </m:r>
                    <m:r>
                      <a:rPr lang="en-US" sz="1600" i="1">
                        <a:solidFill>
                          <a:srgbClr val="FF0000"/>
                        </a:solidFill>
                        <a:latin typeface="Cambria Math" panose="02040503050406030204" pitchFamily="18" charset="0"/>
                      </a:rPr>
                      <m:t>𝐶𝐹</m:t>
                    </m:r>
                  </m:oMath>
                </m:oMathPara>
              </a14:m>
              <a:endParaRPr lang="en-US" sz="1600">
                <a:solidFill>
                  <a:srgbClr val="FF0000"/>
                </a:solidFill>
              </a:endParaRPr>
            </a:p>
          </xdr:txBody>
        </xdr:sp>
      </mc:Choice>
      <mc:Fallback xmlns="">
        <xdr:sp macro="" textlink="">
          <xdr:nvSpPr>
            <xdr:cNvPr id="278" name="TextBox 277">
              <a:extLst>
                <a:ext uri="{FF2B5EF4-FFF2-40B4-BE49-F238E27FC236}">
                  <a16:creationId xmlns:a16="http://schemas.microsoft.com/office/drawing/2014/main" id="{3497EE3A-C1BA-47E6-8444-BE731F5CD88F}"/>
                </a:ext>
              </a:extLst>
            </xdr:cNvPr>
            <xdr:cNvSpPr txBox="1"/>
          </xdr:nvSpPr>
          <xdr:spPr>
            <a:xfrm>
              <a:off x="3626032" y="76845795"/>
              <a:ext cx="14601280" cy="63627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solidFill>
                    <a:srgbClr val="FF0000"/>
                  </a:solidFill>
                  <a:latin typeface="Cambria Math" panose="02040503050406030204" pitchFamily="18" charset="0"/>
                </a:rPr>
                <a:t>𝛥</a:t>
              </a:r>
              <a:r>
                <a:rPr lang="en-US" sz="1600" i="0">
                  <a:solidFill>
                    <a:srgbClr val="FF0000"/>
                  </a:solidFill>
                  <a:latin typeface="Cambria Math" panose="02040503050406030204" pitchFamily="18" charset="0"/>
                </a:rPr>
                <a:t>𝑘𝑊 = </a:t>
              </a:r>
              <a:r>
                <a:rPr lang="el-GR" sz="1600" i="0">
                  <a:solidFill>
                    <a:srgbClr val="FF0000"/>
                  </a:solidFill>
                  <a:latin typeface="Cambria Math" panose="02040503050406030204" pitchFamily="18" charset="0"/>
                </a:rPr>
                <a:t>𝛥</a:t>
              </a:r>
              <a:r>
                <a:rPr lang="en-US" sz="1600" i="0">
                  <a:solidFill>
                    <a:srgbClr val="FF0000"/>
                  </a:solidFill>
                  <a:latin typeface="Cambria Math" panose="02040503050406030204" pitchFamily="18" charset="0"/>
                </a:rPr>
                <a:t>𝑘𝑊ℎ</a:t>
              </a:r>
              <a:r>
                <a:rPr lang="en-US" sz="1600" b="0" i="0">
                  <a:solidFill>
                    <a:srgbClr val="FF0000"/>
                  </a:solidFill>
                  <a:latin typeface="Cambria Math" panose="02040503050406030204" pitchFamily="18" charset="0"/>
                </a:rPr>
                <a:t>_</a:t>
              </a:r>
              <a:r>
                <a:rPr lang="en-US" sz="1600" i="0">
                  <a:solidFill>
                    <a:srgbClr val="FF0000"/>
                  </a:solidFill>
                  <a:latin typeface="Cambria Math" panose="02040503050406030204" pitchFamily="18" charset="0"/>
                </a:rPr>
                <a:t>𝑐𝑜𝑜𝑙𝑖𝑛𝑔∗𝐶𝐹</a:t>
              </a:r>
              <a:endParaRPr lang="en-US" sz="1600">
                <a:solidFill>
                  <a:srgbClr val="FF0000"/>
                </a:solidFill>
              </a:endParaRPr>
            </a:p>
          </xdr:txBody>
        </xdr:sp>
      </mc:Fallback>
    </mc:AlternateContent>
    <xdr:clientData/>
  </xdr:twoCellAnchor>
  <xdr:oneCellAnchor>
    <xdr:from>
      <xdr:col>27</xdr:col>
      <xdr:colOff>3614</xdr:colOff>
      <xdr:row>1434</xdr:row>
      <xdr:rowOff>0</xdr:rowOff>
    </xdr:from>
    <xdr:ext cx="65" cy="172227"/>
    <xdr:sp macro="" textlink="">
      <xdr:nvSpPr>
        <xdr:cNvPr id="279" name="TextBox 278">
          <a:extLst>
            <a:ext uri="{FF2B5EF4-FFF2-40B4-BE49-F238E27FC236}">
              <a16:creationId xmlns:a16="http://schemas.microsoft.com/office/drawing/2014/main" id="{20C34042-F267-4592-ADC4-77B0DEE869CA}"/>
            </a:ext>
          </a:extLst>
        </xdr:cNvPr>
        <xdr:cNvSpPr txBox="1"/>
      </xdr:nvSpPr>
      <xdr:spPr>
        <a:xfrm>
          <a:off x="34179314" y="8406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1434</xdr:row>
      <xdr:rowOff>0</xdr:rowOff>
    </xdr:from>
    <xdr:ext cx="65" cy="172227"/>
    <xdr:sp macro="" textlink="">
      <xdr:nvSpPr>
        <xdr:cNvPr id="280" name="TextBox 279">
          <a:extLst>
            <a:ext uri="{FF2B5EF4-FFF2-40B4-BE49-F238E27FC236}">
              <a16:creationId xmlns:a16="http://schemas.microsoft.com/office/drawing/2014/main" id="{3B9D61FC-1110-48B2-BBAF-B5D36A28D1F1}"/>
            </a:ext>
          </a:extLst>
        </xdr:cNvPr>
        <xdr:cNvSpPr txBox="1"/>
      </xdr:nvSpPr>
      <xdr:spPr>
        <a:xfrm>
          <a:off x="34179314" y="8406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0</xdr:colOff>
      <xdr:row>769</xdr:row>
      <xdr:rowOff>0</xdr:rowOff>
    </xdr:from>
    <xdr:to>
      <xdr:col>13</xdr:col>
      <xdr:colOff>0</xdr:colOff>
      <xdr:row>769</xdr:row>
      <xdr:rowOff>0</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27DB232E-2647-4952-BBE2-59FF8FE9B8B4}"/>
                </a:ext>
              </a:extLst>
            </xdr:cNvPr>
            <xdr:cNvSpPr txBox="1"/>
          </xdr:nvSpPr>
          <xdr:spPr>
            <a:xfrm>
              <a:off x="3571875" y="46748700"/>
              <a:ext cx="1564957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𝑘𝑊</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𝑘𝑊h</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𝐶𝐹</m:t>
                    </m:r>
                  </m:oMath>
                </m:oMathPara>
              </a14:m>
              <a:endParaRPr lang="en-US" sz="1600">
                <a:solidFill>
                  <a:srgbClr val="FF0000"/>
                </a:solidFill>
              </a:endParaRPr>
            </a:p>
          </xdr:txBody>
        </xdr:sp>
      </mc:Choice>
      <mc:Fallback xmlns="">
        <xdr:sp macro="" textlink="">
          <xdr:nvSpPr>
            <xdr:cNvPr id="27" name="TextBox 26">
              <a:extLst>
                <a:ext uri="{FF2B5EF4-FFF2-40B4-BE49-F238E27FC236}">
                  <a16:creationId xmlns:a16="http://schemas.microsoft.com/office/drawing/2014/main" id="{27DB232E-2647-4952-BBE2-59FF8FE9B8B4}"/>
                </a:ext>
              </a:extLst>
            </xdr:cNvPr>
            <xdr:cNvSpPr txBox="1"/>
          </xdr:nvSpPr>
          <xdr:spPr>
            <a:xfrm>
              <a:off x="3574676" y="156759088"/>
              <a:ext cx="15307236" cy="30289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solidFill>
                    <a:srgbClr val="FF0000"/>
                  </a:solidFill>
                  <a:latin typeface="Cambria Math" panose="02040503050406030204" pitchFamily="18" charset="0"/>
                  <a:ea typeface="Cambria Math" panose="02040503050406030204" pitchFamily="18" charset="0"/>
                </a:rPr>
                <a:t>∆</a:t>
              </a:r>
              <a:r>
                <a:rPr lang="en-US" sz="1600" b="0" i="0">
                  <a:solidFill>
                    <a:srgbClr val="FF0000"/>
                  </a:solidFill>
                  <a:latin typeface="Cambria Math" panose="02040503050406030204" pitchFamily="18" charset="0"/>
                  <a:ea typeface="Cambria Math" panose="02040503050406030204" pitchFamily="18" charset="0"/>
                </a:rPr>
                <a:t>𝑘𝑊=∆𝑘𝑊ℎ∗𝐶𝐹</a:t>
              </a:r>
              <a:endParaRPr lang="en-US" sz="1600">
                <a:solidFill>
                  <a:srgbClr val="FF0000"/>
                </a:solidFill>
              </a:endParaRPr>
            </a:p>
          </xdr:txBody>
        </xdr:sp>
      </mc:Fallback>
    </mc:AlternateContent>
    <xdr:clientData/>
  </xdr:twoCellAnchor>
  <xdr:twoCellAnchor>
    <xdr:from>
      <xdr:col>4</xdr:col>
      <xdr:colOff>0</xdr:colOff>
      <xdr:row>809</xdr:row>
      <xdr:rowOff>0</xdr:rowOff>
    </xdr:from>
    <xdr:to>
      <xdr:col>13</xdr:col>
      <xdr:colOff>0</xdr:colOff>
      <xdr:row>809</xdr:row>
      <xdr:rowOff>0</xdr:rowOff>
    </xdr:to>
    <mc:AlternateContent xmlns:mc="http://schemas.openxmlformats.org/markup-compatibility/2006" xmlns:a14="http://schemas.microsoft.com/office/drawing/2010/main">
      <mc:Choice Requires="a14">
        <xdr:sp macro="" textlink="">
          <xdr:nvSpPr>
            <xdr:cNvPr id="282" name="TextBox 281">
              <a:extLst>
                <a:ext uri="{FF2B5EF4-FFF2-40B4-BE49-F238E27FC236}">
                  <a16:creationId xmlns:a16="http://schemas.microsoft.com/office/drawing/2014/main" id="{D285F6E1-CDF3-46C2-8A6C-484E27F0A4D2}"/>
                </a:ext>
              </a:extLst>
            </xdr:cNvPr>
            <xdr:cNvSpPr txBox="1"/>
          </xdr:nvSpPr>
          <xdr:spPr>
            <a:xfrm>
              <a:off x="3571875" y="48596550"/>
              <a:ext cx="1564957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𝑘𝑊</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𝑘𝑊h</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𝐶𝐹</m:t>
                    </m:r>
                  </m:oMath>
                </m:oMathPara>
              </a14:m>
              <a:endParaRPr lang="en-US" sz="1600">
                <a:solidFill>
                  <a:srgbClr val="FF0000"/>
                </a:solidFill>
              </a:endParaRPr>
            </a:p>
          </xdr:txBody>
        </xdr:sp>
      </mc:Choice>
      <mc:Fallback xmlns="">
        <xdr:sp macro="" textlink="">
          <xdr:nvSpPr>
            <xdr:cNvPr id="282" name="TextBox 281">
              <a:extLst>
                <a:ext uri="{FF2B5EF4-FFF2-40B4-BE49-F238E27FC236}">
                  <a16:creationId xmlns:a16="http://schemas.microsoft.com/office/drawing/2014/main" id="{D285F6E1-CDF3-46C2-8A6C-484E27F0A4D2}"/>
                </a:ext>
              </a:extLst>
            </xdr:cNvPr>
            <xdr:cNvSpPr txBox="1"/>
          </xdr:nvSpPr>
          <xdr:spPr>
            <a:xfrm>
              <a:off x="3578679" y="166609667"/>
              <a:ext cx="15335250" cy="30289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solidFill>
                    <a:srgbClr val="FF0000"/>
                  </a:solidFill>
                  <a:latin typeface="Cambria Math" panose="02040503050406030204" pitchFamily="18" charset="0"/>
                  <a:ea typeface="Cambria Math" panose="02040503050406030204" pitchFamily="18" charset="0"/>
                </a:rPr>
                <a:t>∆</a:t>
              </a:r>
              <a:r>
                <a:rPr lang="en-US" sz="1600" b="0" i="0">
                  <a:solidFill>
                    <a:srgbClr val="FF0000"/>
                  </a:solidFill>
                  <a:latin typeface="Cambria Math" panose="02040503050406030204" pitchFamily="18" charset="0"/>
                  <a:ea typeface="Cambria Math" panose="02040503050406030204" pitchFamily="18" charset="0"/>
                </a:rPr>
                <a:t>𝑘𝑊=∆𝑘𝑊ℎ∗𝐶𝐹</a:t>
              </a:r>
              <a:endParaRPr lang="en-US" sz="1600">
                <a:solidFill>
                  <a:srgbClr val="FF0000"/>
                </a:solidFill>
              </a:endParaRPr>
            </a:p>
          </xdr:txBody>
        </xdr:sp>
      </mc:Fallback>
    </mc:AlternateContent>
    <xdr:clientData/>
  </xdr:twoCellAnchor>
  <xdr:twoCellAnchor>
    <xdr:from>
      <xdr:col>4</xdr:col>
      <xdr:colOff>0</xdr:colOff>
      <xdr:row>849</xdr:row>
      <xdr:rowOff>0</xdr:rowOff>
    </xdr:from>
    <xdr:to>
      <xdr:col>13</xdr:col>
      <xdr:colOff>0</xdr:colOff>
      <xdr:row>849</xdr:row>
      <xdr:rowOff>0</xdr:rowOff>
    </xdr:to>
    <mc:AlternateContent xmlns:mc="http://schemas.openxmlformats.org/markup-compatibility/2006" xmlns:a14="http://schemas.microsoft.com/office/drawing/2010/main">
      <mc:Choice Requires="a14">
        <xdr:sp macro="" textlink="">
          <xdr:nvSpPr>
            <xdr:cNvPr id="283" name="TextBox 282">
              <a:extLst>
                <a:ext uri="{FF2B5EF4-FFF2-40B4-BE49-F238E27FC236}">
                  <a16:creationId xmlns:a16="http://schemas.microsoft.com/office/drawing/2014/main" id="{C1433EC2-FC5D-4531-9850-C7EF04084F86}"/>
                </a:ext>
              </a:extLst>
            </xdr:cNvPr>
            <xdr:cNvSpPr txBox="1"/>
          </xdr:nvSpPr>
          <xdr:spPr>
            <a:xfrm>
              <a:off x="3571875" y="50873025"/>
              <a:ext cx="1564957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𝑘𝑊</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𝑘𝑊h</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𝐶𝐹</m:t>
                    </m:r>
                  </m:oMath>
                </m:oMathPara>
              </a14:m>
              <a:endParaRPr lang="en-US" sz="1600">
                <a:solidFill>
                  <a:srgbClr val="FF0000"/>
                </a:solidFill>
              </a:endParaRPr>
            </a:p>
          </xdr:txBody>
        </xdr:sp>
      </mc:Choice>
      <mc:Fallback xmlns="">
        <xdr:sp macro="" textlink="">
          <xdr:nvSpPr>
            <xdr:cNvPr id="283" name="TextBox 282">
              <a:extLst>
                <a:ext uri="{FF2B5EF4-FFF2-40B4-BE49-F238E27FC236}">
                  <a16:creationId xmlns:a16="http://schemas.microsoft.com/office/drawing/2014/main" id="{C1433EC2-FC5D-4531-9850-C7EF04084F86}"/>
                </a:ext>
              </a:extLst>
            </xdr:cNvPr>
            <xdr:cNvSpPr txBox="1"/>
          </xdr:nvSpPr>
          <xdr:spPr>
            <a:xfrm>
              <a:off x="3578679" y="177110571"/>
              <a:ext cx="15335250" cy="30289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solidFill>
                    <a:srgbClr val="FF0000"/>
                  </a:solidFill>
                  <a:latin typeface="Cambria Math" panose="02040503050406030204" pitchFamily="18" charset="0"/>
                  <a:ea typeface="Cambria Math" panose="02040503050406030204" pitchFamily="18" charset="0"/>
                </a:rPr>
                <a:t>∆</a:t>
              </a:r>
              <a:r>
                <a:rPr lang="en-US" sz="1600" b="0" i="0">
                  <a:solidFill>
                    <a:srgbClr val="FF0000"/>
                  </a:solidFill>
                  <a:latin typeface="Cambria Math" panose="02040503050406030204" pitchFamily="18" charset="0"/>
                  <a:ea typeface="Cambria Math" panose="02040503050406030204" pitchFamily="18" charset="0"/>
                </a:rPr>
                <a:t>𝑘𝑊=∆𝑘𝑊ℎ∗𝐶𝐹</a:t>
              </a:r>
              <a:endParaRPr lang="en-US" sz="1600">
                <a:solidFill>
                  <a:srgbClr val="FF0000"/>
                </a:solidFill>
              </a:endParaRPr>
            </a:p>
          </xdr:txBody>
        </xdr:sp>
      </mc:Fallback>
    </mc:AlternateContent>
    <xdr:clientData/>
  </xdr:twoCellAnchor>
  <xdr:twoCellAnchor>
    <xdr:from>
      <xdr:col>4</xdr:col>
      <xdr:colOff>58238</xdr:colOff>
      <xdr:row>1006</xdr:row>
      <xdr:rowOff>0</xdr:rowOff>
    </xdr:from>
    <xdr:to>
      <xdr:col>13</xdr:col>
      <xdr:colOff>54428</xdr:colOff>
      <xdr:row>1006</xdr:row>
      <xdr:rowOff>0</xdr:rowOff>
    </xdr:to>
    <mc:AlternateContent xmlns:mc="http://schemas.openxmlformats.org/markup-compatibility/2006" xmlns:a14="http://schemas.microsoft.com/office/drawing/2010/main">
      <mc:Choice Requires="a14">
        <xdr:sp macro="" textlink="">
          <xdr:nvSpPr>
            <xdr:cNvPr id="284" name="TextBox 283">
              <a:extLst>
                <a:ext uri="{FF2B5EF4-FFF2-40B4-BE49-F238E27FC236}">
                  <a16:creationId xmlns:a16="http://schemas.microsoft.com/office/drawing/2014/main" id="{074E371A-C2D4-46D5-B27C-7ED34B6FEEC8}"/>
                </a:ext>
              </a:extLst>
            </xdr:cNvPr>
            <xdr:cNvSpPr txBox="1"/>
          </xdr:nvSpPr>
          <xdr:spPr>
            <a:xfrm>
              <a:off x="3630113" y="59731275"/>
              <a:ext cx="1564576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𝑘𝑊</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𝑘𝑊h</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𝐶𝐹</m:t>
                    </m:r>
                  </m:oMath>
                </m:oMathPara>
              </a14:m>
              <a:endParaRPr lang="en-US" sz="1600">
                <a:solidFill>
                  <a:srgbClr val="FF0000"/>
                </a:solidFill>
              </a:endParaRPr>
            </a:p>
          </xdr:txBody>
        </xdr:sp>
      </mc:Choice>
      <mc:Fallback xmlns="">
        <xdr:sp macro="" textlink="">
          <xdr:nvSpPr>
            <xdr:cNvPr id="284" name="TextBox 283">
              <a:extLst>
                <a:ext uri="{FF2B5EF4-FFF2-40B4-BE49-F238E27FC236}">
                  <a16:creationId xmlns:a16="http://schemas.microsoft.com/office/drawing/2014/main" id="{074E371A-C2D4-46D5-B27C-7ED34B6FEEC8}"/>
                </a:ext>
              </a:extLst>
            </xdr:cNvPr>
            <xdr:cNvSpPr txBox="1"/>
          </xdr:nvSpPr>
          <xdr:spPr>
            <a:xfrm>
              <a:off x="3636917" y="167653608"/>
              <a:ext cx="15331440" cy="25853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solidFill>
                    <a:srgbClr val="FF0000"/>
                  </a:solidFill>
                  <a:latin typeface="Cambria Math" panose="02040503050406030204" pitchFamily="18" charset="0"/>
                  <a:ea typeface="Cambria Math" panose="02040503050406030204" pitchFamily="18" charset="0"/>
                </a:rPr>
                <a:t>∆</a:t>
              </a:r>
              <a:r>
                <a:rPr lang="en-US" sz="1600" b="0" i="0">
                  <a:solidFill>
                    <a:srgbClr val="FF0000"/>
                  </a:solidFill>
                  <a:latin typeface="Cambria Math" panose="02040503050406030204" pitchFamily="18" charset="0"/>
                  <a:ea typeface="Cambria Math" panose="02040503050406030204" pitchFamily="18" charset="0"/>
                </a:rPr>
                <a:t>𝑘𝑊=∆𝑘𝑊ℎ∗𝐶𝐹</a:t>
              </a:r>
              <a:endParaRPr lang="en-US" sz="1600">
                <a:solidFill>
                  <a:srgbClr val="FF0000"/>
                </a:solidFill>
              </a:endParaRPr>
            </a:p>
          </xdr:txBody>
        </xdr:sp>
      </mc:Fallback>
    </mc:AlternateContent>
    <xdr:clientData/>
  </xdr:twoCellAnchor>
  <xdr:twoCellAnchor>
    <xdr:from>
      <xdr:col>4</xdr:col>
      <xdr:colOff>54428</xdr:colOff>
      <xdr:row>1066</xdr:row>
      <xdr:rowOff>0</xdr:rowOff>
    </xdr:from>
    <xdr:to>
      <xdr:col>13</xdr:col>
      <xdr:colOff>19050</xdr:colOff>
      <xdr:row>1066</xdr:row>
      <xdr:rowOff>0</xdr:rowOff>
    </xdr:to>
    <mc:AlternateContent xmlns:mc="http://schemas.openxmlformats.org/markup-compatibility/2006" xmlns:a14="http://schemas.microsoft.com/office/drawing/2010/main">
      <mc:Choice Requires="a14">
        <xdr:sp macro="" textlink="">
          <xdr:nvSpPr>
            <xdr:cNvPr id="285" name="TextBox 284">
              <a:extLst>
                <a:ext uri="{FF2B5EF4-FFF2-40B4-BE49-F238E27FC236}">
                  <a16:creationId xmlns:a16="http://schemas.microsoft.com/office/drawing/2014/main" id="{E1D20703-8A69-4F1F-AA80-8DA18C9E3061}"/>
                </a:ext>
              </a:extLst>
            </xdr:cNvPr>
            <xdr:cNvSpPr txBox="1"/>
          </xdr:nvSpPr>
          <xdr:spPr>
            <a:xfrm>
              <a:off x="3626303" y="62350650"/>
              <a:ext cx="1561419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𝑘𝑊</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𝑘𝑊h</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𝐶𝐹</m:t>
                    </m:r>
                  </m:oMath>
                </m:oMathPara>
              </a14:m>
              <a:endParaRPr lang="en-US" sz="1600">
                <a:solidFill>
                  <a:srgbClr val="FF0000"/>
                </a:solidFill>
              </a:endParaRPr>
            </a:p>
          </xdr:txBody>
        </xdr:sp>
      </mc:Choice>
      <mc:Fallback xmlns="">
        <xdr:sp macro="" textlink="">
          <xdr:nvSpPr>
            <xdr:cNvPr id="285" name="TextBox 284">
              <a:extLst>
                <a:ext uri="{FF2B5EF4-FFF2-40B4-BE49-F238E27FC236}">
                  <a16:creationId xmlns:a16="http://schemas.microsoft.com/office/drawing/2014/main" id="{E1D20703-8A69-4F1F-AA80-8DA18C9E3061}"/>
                </a:ext>
              </a:extLst>
            </xdr:cNvPr>
            <xdr:cNvSpPr txBox="1"/>
          </xdr:nvSpPr>
          <xdr:spPr>
            <a:xfrm>
              <a:off x="3633107" y="178648180"/>
              <a:ext cx="15288442" cy="29745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solidFill>
                    <a:srgbClr val="FF0000"/>
                  </a:solidFill>
                  <a:latin typeface="Cambria Math" panose="02040503050406030204" pitchFamily="18" charset="0"/>
                  <a:ea typeface="Cambria Math" panose="02040503050406030204" pitchFamily="18" charset="0"/>
                </a:rPr>
                <a:t>∆</a:t>
              </a:r>
              <a:r>
                <a:rPr lang="en-US" sz="1600" b="0" i="0">
                  <a:solidFill>
                    <a:srgbClr val="FF0000"/>
                  </a:solidFill>
                  <a:latin typeface="Cambria Math" panose="02040503050406030204" pitchFamily="18" charset="0"/>
                  <a:ea typeface="Cambria Math" panose="02040503050406030204" pitchFamily="18" charset="0"/>
                </a:rPr>
                <a:t>𝑘𝑊=∆𝑘𝑊ℎ∗𝐶𝐹</a:t>
              </a:r>
              <a:endParaRPr lang="en-US" sz="1600">
                <a:solidFill>
                  <a:srgbClr val="FF0000"/>
                </a:solidFill>
              </a:endParaRPr>
            </a:p>
          </xdr:txBody>
        </xdr:sp>
      </mc:Fallback>
    </mc:AlternateContent>
    <xdr:clientData/>
  </xdr:twoCellAnchor>
  <xdr:oneCellAnchor>
    <xdr:from>
      <xdr:col>28</xdr:col>
      <xdr:colOff>3614</xdr:colOff>
      <xdr:row>1263</xdr:row>
      <xdr:rowOff>0</xdr:rowOff>
    </xdr:from>
    <xdr:ext cx="65" cy="172227"/>
    <xdr:sp macro="" textlink="">
      <xdr:nvSpPr>
        <xdr:cNvPr id="286" name="TextBox 285">
          <a:extLst>
            <a:ext uri="{FF2B5EF4-FFF2-40B4-BE49-F238E27FC236}">
              <a16:creationId xmlns:a16="http://schemas.microsoft.com/office/drawing/2014/main" id="{F05F0390-D57C-4D06-9EBC-6AC7D2E015BC}"/>
            </a:ext>
          </a:extLst>
        </xdr:cNvPr>
        <xdr:cNvSpPr txBox="1"/>
      </xdr:nvSpPr>
      <xdr:spPr>
        <a:xfrm>
          <a:off x="354175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1263</xdr:row>
      <xdr:rowOff>0</xdr:rowOff>
    </xdr:from>
    <xdr:ext cx="65" cy="172227"/>
    <xdr:sp macro="" textlink="">
      <xdr:nvSpPr>
        <xdr:cNvPr id="287" name="TextBox 286">
          <a:extLst>
            <a:ext uri="{FF2B5EF4-FFF2-40B4-BE49-F238E27FC236}">
              <a16:creationId xmlns:a16="http://schemas.microsoft.com/office/drawing/2014/main" id="{390B76F0-99DB-4C55-9CF7-EEC4C623C55B}"/>
            </a:ext>
          </a:extLst>
        </xdr:cNvPr>
        <xdr:cNvSpPr txBox="1"/>
      </xdr:nvSpPr>
      <xdr:spPr>
        <a:xfrm>
          <a:off x="354175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1263</xdr:row>
      <xdr:rowOff>0</xdr:rowOff>
    </xdr:from>
    <xdr:ext cx="65" cy="172227"/>
    <xdr:sp macro="" textlink="">
      <xdr:nvSpPr>
        <xdr:cNvPr id="288" name="TextBox 287">
          <a:extLst>
            <a:ext uri="{FF2B5EF4-FFF2-40B4-BE49-F238E27FC236}">
              <a16:creationId xmlns:a16="http://schemas.microsoft.com/office/drawing/2014/main" id="{F0CEFA5E-4369-41BD-A994-591C5F01F93D}"/>
            </a:ext>
          </a:extLst>
        </xdr:cNvPr>
        <xdr:cNvSpPr txBox="1"/>
      </xdr:nvSpPr>
      <xdr:spPr>
        <a:xfrm>
          <a:off x="354175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1263</xdr:row>
      <xdr:rowOff>0</xdr:rowOff>
    </xdr:from>
    <xdr:ext cx="65" cy="172227"/>
    <xdr:sp macro="" textlink="">
      <xdr:nvSpPr>
        <xdr:cNvPr id="289" name="TextBox 288">
          <a:extLst>
            <a:ext uri="{FF2B5EF4-FFF2-40B4-BE49-F238E27FC236}">
              <a16:creationId xmlns:a16="http://schemas.microsoft.com/office/drawing/2014/main" id="{24CA79C9-646E-4AEA-A634-81B60B86A620}"/>
            </a:ext>
          </a:extLst>
        </xdr:cNvPr>
        <xdr:cNvSpPr txBox="1"/>
      </xdr:nvSpPr>
      <xdr:spPr>
        <a:xfrm>
          <a:off x="354175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1263</xdr:row>
      <xdr:rowOff>0</xdr:rowOff>
    </xdr:from>
    <xdr:ext cx="65" cy="172227"/>
    <xdr:sp macro="" textlink="">
      <xdr:nvSpPr>
        <xdr:cNvPr id="290" name="TextBox 289">
          <a:extLst>
            <a:ext uri="{FF2B5EF4-FFF2-40B4-BE49-F238E27FC236}">
              <a16:creationId xmlns:a16="http://schemas.microsoft.com/office/drawing/2014/main" id="{1E3DAC4D-E64F-41FB-A4BD-8C839A1C98A8}"/>
            </a:ext>
          </a:extLst>
        </xdr:cNvPr>
        <xdr:cNvSpPr txBox="1"/>
      </xdr:nvSpPr>
      <xdr:spPr>
        <a:xfrm>
          <a:off x="365891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1263</xdr:row>
      <xdr:rowOff>0</xdr:rowOff>
    </xdr:from>
    <xdr:ext cx="65" cy="172227"/>
    <xdr:sp macro="" textlink="">
      <xdr:nvSpPr>
        <xdr:cNvPr id="291" name="TextBox 290">
          <a:extLst>
            <a:ext uri="{FF2B5EF4-FFF2-40B4-BE49-F238E27FC236}">
              <a16:creationId xmlns:a16="http://schemas.microsoft.com/office/drawing/2014/main" id="{EE71C6FC-ABDB-4233-83F8-3E57FB875B44}"/>
            </a:ext>
          </a:extLst>
        </xdr:cNvPr>
        <xdr:cNvSpPr txBox="1"/>
      </xdr:nvSpPr>
      <xdr:spPr>
        <a:xfrm>
          <a:off x="365891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1263</xdr:row>
      <xdr:rowOff>0</xdr:rowOff>
    </xdr:from>
    <xdr:ext cx="65" cy="172227"/>
    <xdr:sp macro="" textlink="">
      <xdr:nvSpPr>
        <xdr:cNvPr id="292" name="TextBox 291">
          <a:extLst>
            <a:ext uri="{FF2B5EF4-FFF2-40B4-BE49-F238E27FC236}">
              <a16:creationId xmlns:a16="http://schemas.microsoft.com/office/drawing/2014/main" id="{4D748C01-02B3-448F-BFFD-CDCC38656F18}"/>
            </a:ext>
          </a:extLst>
        </xdr:cNvPr>
        <xdr:cNvSpPr txBox="1"/>
      </xdr:nvSpPr>
      <xdr:spPr>
        <a:xfrm>
          <a:off x="365891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1263</xdr:row>
      <xdr:rowOff>0</xdr:rowOff>
    </xdr:from>
    <xdr:ext cx="65" cy="172227"/>
    <xdr:sp macro="" textlink="">
      <xdr:nvSpPr>
        <xdr:cNvPr id="293" name="TextBox 292">
          <a:extLst>
            <a:ext uri="{FF2B5EF4-FFF2-40B4-BE49-F238E27FC236}">
              <a16:creationId xmlns:a16="http://schemas.microsoft.com/office/drawing/2014/main" id="{6DD188C1-6C5F-49FE-9C82-519453FA6291}"/>
            </a:ext>
          </a:extLst>
        </xdr:cNvPr>
        <xdr:cNvSpPr txBox="1"/>
      </xdr:nvSpPr>
      <xdr:spPr>
        <a:xfrm>
          <a:off x="365891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1263</xdr:row>
      <xdr:rowOff>0</xdr:rowOff>
    </xdr:from>
    <xdr:ext cx="65" cy="172227"/>
    <xdr:sp macro="" textlink="">
      <xdr:nvSpPr>
        <xdr:cNvPr id="294" name="TextBox 293">
          <a:extLst>
            <a:ext uri="{FF2B5EF4-FFF2-40B4-BE49-F238E27FC236}">
              <a16:creationId xmlns:a16="http://schemas.microsoft.com/office/drawing/2014/main" id="{B620839C-CFBD-40A0-970B-C41B51FC2856}"/>
            </a:ext>
          </a:extLst>
        </xdr:cNvPr>
        <xdr:cNvSpPr txBox="1"/>
      </xdr:nvSpPr>
      <xdr:spPr>
        <a:xfrm>
          <a:off x="375130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1263</xdr:row>
      <xdr:rowOff>0</xdr:rowOff>
    </xdr:from>
    <xdr:ext cx="65" cy="172227"/>
    <xdr:sp macro="" textlink="">
      <xdr:nvSpPr>
        <xdr:cNvPr id="295" name="TextBox 294">
          <a:extLst>
            <a:ext uri="{FF2B5EF4-FFF2-40B4-BE49-F238E27FC236}">
              <a16:creationId xmlns:a16="http://schemas.microsoft.com/office/drawing/2014/main" id="{B7931FBD-2C6C-4774-BCF2-FABDF1FBCE63}"/>
            </a:ext>
          </a:extLst>
        </xdr:cNvPr>
        <xdr:cNvSpPr txBox="1"/>
      </xdr:nvSpPr>
      <xdr:spPr>
        <a:xfrm>
          <a:off x="375130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1263</xdr:row>
      <xdr:rowOff>0</xdr:rowOff>
    </xdr:from>
    <xdr:ext cx="65" cy="172227"/>
    <xdr:sp macro="" textlink="">
      <xdr:nvSpPr>
        <xdr:cNvPr id="296" name="TextBox 295">
          <a:extLst>
            <a:ext uri="{FF2B5EF4-FFF2-40B4-BE49-F238E27FC236}">
              <a16:creationId xmlns:a16="http://schemas.microsoft.com/office/drawing/2014/main" id="{5B4E2B96-BC2B-4C22-B3C3-9F268DB682BD}"/>
            </a:ext>
          </a:extLst>
        </xdr:cNvPr>
        <xdr:cNvSpPr txBox="1"/>
      </xdr:nvSpPr>
      <xdr:spPr>
        <a:xfrm>
          <a:off x="375130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1263</xdr:row>
      <xdr:rowOff>0</xdr:rowOff>
    </xdr:from>
    <xdr:ext cx="65" cy="172227"/>
    <xdr:sp macro="" textlink="">
      <xdr:nvSpPr>
        <xdr:cNvPr id="297" name="TextBox 296">
          <a:extLst>
            <a:ext uri="{FF2B5EF4-FFF2-40B4-BE49-F238E27FC236}">
              <a16:creationId xmlns:a16="http://schemas.microsoft.com/office/drawing/2014/main" id="{AA98D746-5198-436D-847C-B8CCF81D5D03}"/>
            </a:ext>
          </a:extLst>
        </xdr:cNvPr>
        <xdr:cNvSpPr txBox="1"/>
      </xdr:nvSpPr>
      <xdr:spPr>
        <a:xfrm>
          <a:off x="375130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1263</xdr:row>
      <xdr:rowOff>0</xdr:rowOff>
    </xdr:from>
    <xdr:ext cx="65" cy="172227"/>
    <xdr:sp macro="" textlink="">
      <xdr:nvSpPr>
        <xdr:cNvPr id="298" name="TextBox 297">
          <a:extLst>
            <a:ext uri="{FF2B5EF4-FFF2-40B4-BE49-F238E27FC236}">
              <a16:creationId xmlns:a16="http://schemas.microsoft.com/office/drawing/2014/main" id="{A10867A8-2EBC-4A62-A7FD-654B9A832A9C}"/>
            </a:ext>
          </a:extLst>
        </xdr:cNvPr>
        <xdr:cNvSpPr txBox="1"/>
      </xdr:nvSpPr>
      <xdr:spPr>
        <a:xfrm>
          <a:off x="384369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1263</xdr:row>
      <xdr:rowOff>0</xdr:rowOff>
    </xdr:from>
    <xdr:ext cx="65" cy="172227"/>
    <xdr:sp macro="" textlink="">
      <xdr:nvSpPr>
        <xdr:cNvPr id="299" name="TextBox 298">
          <a:extLst>
            <a:ext uri="{FF2B5EF4-FFF2-40B4-BE49-F238E27FC236}">
              <a16:creationId xmlns:a16="http://schemas.microsoft.com/office/drawing/2014/main" id="{6493B006-718B-4C34-AD22-F96737341668}"/>
            </a:ext>
          </a:extLst>
        </xdr:cNvPr>
        <xdr:cNvSpPr txBox="1"/>
      </xdr:nvSpPr>
      <xdr:spPr>
        <a:xfrm>
          <a:off x="384369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1263</xdr:row>
      <xdr:rowOff>0</xdr:rowOff>
    </xdr:from>
    <xdr:ext cx="65" cy="172227"/>
    <xdr:sp macro="" textlink="">
      <xdr:nvSpPr>
        <xdr:cNvPr id="300" name="TextBox 299">
          <a:extLst>
            <a:ext uri="{FF2B5EF4-FFF2-40B4-BE49-F238E27FC236}">
              <a16:creationId xmlns:a16="http://schemas.microsoft.com/office/drawing/2014/main" id="{EDFB2797-70AD-446F-8B10-CC7F8F665150}"/>
            </a:ext>
          </a:extLst>
        </xdr:cNvPr>
        <xdr:cNvSpPr txBox="1"/>
      </xdr:nvSpPr>
      <xdr:spPr>
        <a:xfrm>
          <a:off x="384369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1263</xdr:row>
      <xdr:rowOff>0</xdr:rowOff>
    </xdr:from>
    <xdr:ext cx="65" cy="172227"/>
    <xdr:sp macro="" textlink="">
      <xdr:nvSpPr>
        <xdr:cNvPr id="301" name="TextBox 300">
          <a:extLst>
            <a:ext uri="{FF2B5EF4-FFF2-40B4-BE49-F238E27FC236}">
              <a16:creationId xmlns:a16="http://schemas.microsoft.com/office/drawing/2014/main" id="{C0C6578E-424A-4263-8B33-4E36898DD7A3}"/>
            </a:ext>
          </a:extLst>
        </xdr:cNvPr>
        <xdr:cNvSpPr txBox="1"/>
      </xdr:nvSpPr>
      <xdr:spPr>
        <a:xfrm>
          <a:off x="384369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1263</xdr:row>
      <xdr:rowOff>0</xdr:rowOff>
    </xdr:from>
    <xdr:ext cx="65" cy="172227"/>
    <xdr:sp macro="" textlink="">
      <xdr:nvSpPr>
        <xdr:cNvPr id="302" name="TextBox 301">
          <a:extLst>
            <a:ext uri="{FF2B5EF4-FFF2-40B4-BE49-F238E27FC236}">
              <a16:creationId xmlns:a16="http://schemas.microsoft.com/office/drawing/2014/main" id="{6E395F0A-58FE-427B-B481-4C39A1D7053E}"/>
            </a:ext>
          </a:extLst>
        </xdr:cNvPr>
        <xdr:cNvSpPr txBox="1"/>
      </xdr:nvSpPr>
      <xdr:spPr>
        <a:xfrm>
          <a:off x="393609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1263</xdr:row>
      <xdr:rowOff>0</xdr:rowOff>
    </xdr:from>
    <xdr:ext cx="65" cy="172227"/>
    <xdr:sp macro="" textlink="">
      <xdr:nvSpPr>
        <xdr:cNvPr id="303" name="TextBox 302">
          <a:extLst>
            <a:ext uri="{FF2B5EF4-FFF2-40B4-BE49-F238E27FC236}">
              <a16:creationId xmlns:a16="http://schemas.microsoft.com/office/drawing/2014/main" id="{470E5473-B3CA-4F1E-B82A-712B61942E7A}"/>
            </a:ext>
          </a:extLst>
        </xdr:cNvPr>
        <xdr:cNvSpPr txBox="1"/>
      </xdr:nvSpPr>
      <xdr:spPr>
        <a:xfrm>
          <a:off x="393609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1263</xdr:row>
      <xdr:rowOff>0</xdr:rowOff>
    </xdr:from>
    <xdr:ext cx="65" cy="172227"/>
    <xdr:sp macro="" textlink="">
      <xdr:nvSpPr>
        <xdr:cNvPr id="304" name="TextBox 303">
          <a:extLst>
            <a:ext uri="{FF2B5EF4-FFF2-40B4-BE49-F238E27FC236}">
              <a16:creationId xmlns:a16="http://schemas.microsoft.com/office/drawing/2014/main" id="{475A280F-166C-4402-AC35-2FCE318048CF}"/>
            </a:ext>
          </a:extLst>
        </xdr:cNvPr>
        <xdr:cNvSpPr txBox="1"/>
      </xdr:nvSpPr>
      <xdr:spPr>
        <a:xfrm>
          <a:off x="393609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1263</xdr:row>
      <xdr:rowOff>0</xdr:rowOff>
    </xdr:from>
    <xdr:ext cx="65" cy="172227"/>
    <xdr:sp macro="" textlink="">
      <xdr:nvSpPr>
        <xdr:cNvPr id="305" name="TextBox 304">
          <a:extLst>
            <a:ext uri="{FF2B5EF4-FFF2-40B4-BE49-F238E27FC236}">
              <a16:creationId xmlns:a16="http://schemas.microsoft.com/office/drawing/2014/main" id="{94E96288-0473-49F1-9140-8E39284C5674}"/>
            </a:ext>
          </a:extLst>
        </xdr:cNvPr>
        <xdr:cNvSpPr txBox="1"/>
      </xdr:nvSpPr>
      <xdr:spPr>
        <a:xfrm>
          <a:off x="393609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1263</xdr:row>
      <xdr:rowOff>0</xdr:rowOff>
    </xdr:from>
    <xdr:ext cx="65" cy="172227"/>
    <xdr:sp macro="" textlink="">
      <xdr:nvSpPr>
        <xdr:cNvPr id="306" name="TextBox 305">
          <a:extLst>
            <a:ext uri="{FF2B5EF4-FFF2-40B4-BE49-F238E27FC236}">
              <a16:creationId xmlns:a16="http://schemas.microsoft.com/office/drawing/2014/main" id="{688BDEC7-9773-4588-AE70-B7FEB13EA66D}"/>
            </a:ext>
          </a:extLst>
        </xdr:cNvPr>
        <xdr:cNvSpPr txBox="1"/>
      </xdr:nvSpPr>
      <xdr:spPr>
        <a:xfrm>
          <a:off x="402848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1263</xdr:row>
      <xdr:rowOff>0</xdr:rowOff>
    </xdr:from>
    <xdr:ext cx="65" cy="172227"/>
    <xdr:sp macro="" textlink="">
      <xdr:nvSpPr>
        <xdr:cNvPr id="307" name="TextBox 306">
          <a:extLst>
            <a:ext uri="{FF2B5EF4-FFF2-40B4-BE49-F238E27FC236}">
              <a16:creationId xmlns:a16="http://schemas.microsoft.com/office/drawing/2014/main" id="{649B53EC-3B79-4B33-AA8D-60DB46B79EEC}"/>
            </a:ext>
          </a:extLst>
        </xdr:cNvPr>
        <xdr:cNvSpPr txBox="1"/>
      </xdr:nvSpPr>
      <xdr:spPr>
        <a:xfrm>
          <a:off x="402848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1263</xdr:row>
      <xdr:rowOff>0</xdr:rowOff>
    </xdr:from>
    <xdr:ext cx="65" cy="172227"/>
    <xdr:sp macro="" textlink="">
      <xdr:nvSpPr>
        <xdr:cNvPr id="308" name="TextBox 307">
          <a:extLst>
            <a:ext uri="{FF2B5EF4-FFF2-40B4-BE49-F238E27FC236}">
              <a16:creationId xmlns:a16="http://schemas.microsoft.com/office/drawing/2014/main" id="{7ABE83B9-5C9B-499A-A236-C4B72C9DBECC}"/>
            </a:ext>
          </a:extLst>
        </xdr:cNvPr>
        <xdr:cNvSpPr txBox="1"/>
      </xdr:nvSpPr>
      <xdr:spPr>
        <a:xfrm>
          <a:off x="402848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1263</xdr:row>
      <xdr:rowOff>0</xdr:rowOff>
    </xdr:from>
    <xdr:ext cx="65" cy="172227"/>
    <xdr:sp macro="" textlink="">
      <xdr:nvSpPr>
        <xdr:cNvPr id="309" name="TextBox 308">
          <a:extLst>
            <a:ext uri="{FF2B5EF4-FFF2-40B4-BE49-F238E27FC236}">
              <a16:creationId xmlns:a16="http://schemas.microsoft.com/office/drawing/2014/main" id="{DF9182B7-23BE-4A82-B101-FA2A8B4F507E}"/>
            </a:ext>
          </a:extLst>
        </xdr:cNvPr>
        <xdr:cNvSpPr txBox="1"/>
      </xdr:nvSpPr>
      <xdr:spPr>
        <a:xfrm>
          <a:off x="402848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1263</xdr:row>
      <xdr:rowOff>0</xdr:rowOff>
    </xdr:from>
    <xdr:ext cx="65" cy="172227"/>
    <xdr:sp macro="" textlink="">
      <xdr:nvSpPr>
        <xdr:cNvPr id="310" name="TextBox 309">
          <a:extLst>
            <a:ext uri="{FF2B5EF4-FFF2-40B4-BE49-F238E27FC236}">
              <a16:creationId xmlns:a16="http://schemas.microsoft.com/office/drawing/2014/main" id="{9B3E5F1E-35AF-4302-9617-42D5A372BC6D}"/>
            </a:ext>
          </a:extLst>
        </xdr:cNvPr>
        <xdr:cNvSpPr txBox="1"/>
      </xdr:nvSpPr>
      <xdr:spPr>
        <a:xfrm>
          <a:off x="409134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1263</xdr:row>
      <xdr:rowOff>0</xdr:rowOff>
    </xdr:from>
    <xdr:ext cx="65" cy="172227"/>
    <xdr:sp macro="" textlink="">
      <xdr:nvSpPr>
        <xdr:cNvPr id="311" name="TextBox 310">
          <a:extLst>
            <a:ext uri="{FF2B5EF4-FFF2-40B4-BE49-F238E27FC236}">
              <a16:creationId xmlns:a16="http://schemas.microsoft.com/office/drawing/2014/main" id="{E41EBA19-4198-4FB1-8124-1762AC9FBD97}"/>
            </a:ext>
          </a:extLst>
        </xdr:cNvPr>
        <xdr:cNvSpPr txBox="1"/>
      </xdr:nvSpPr>
      <xdr:spPr>
        <a:xfrm>
          <a:off x="409134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1263</xdr:row>
      <xdr:rowOff>0</xdr:rowOff>
    </xdr:from>
    <xdr:ext cx="65" cy="172227"/>
    <xdr:sp macro="" textlink="">
      <xdr:nvSpPr>
        <xdr:cNvPr id="312" name="TextBox 311">
          <a:extLst>
            <a:ext uri="{FF2B5EF4-FFF2-40B4-BE49-F238E27FC236}">
              <a16:creationId xmlns:a16="http://schemas.microsoft.com/office/drawing/2014/main" id="{881D8611-EF83-4714-9A93-266CA0AB6FB8}"/>
            </a:ext>
          </a:extLst>
        </xdr:cNvPr>
        <xdr:cNvSpPr txBox="1"/>
      </xdr:nvSpPr>
      <xdr:spPr>
        <a:xfrm>
          <a:off x="409134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1263</xdr:row>
      <xdr:rowOff>0</xdr:rowOff>
    </xdr:from>
    <xdr:ext cx="65" cy="172227"/>
    <xdr:sp macro="" textlink="">
      <xdr:nvSpPr>
        <xdr:cNvPr id="313" name="TextBox 312">
          <a:extLst>
            <a:ext uri="{FF2B5EF4-FFF2-40B4-BE49-F238E27FC236}">
              <a16:creationId xmlns:a16="http://schemas.microsoft.com/office/drawing/2014/main" id="{C915068C-2AC2-4F63-862E-FFF35CB89695}"/>
            </a:ext>
          </a:extLst>
        </xdr:cNvPr>
        <xdr:cNvSpPr txBox="1"/>
      </xdr:nvSpPr>
      <xdr:spPr>
        <a:xfrm>
          <a:off x="409134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225062</xdr:colOff>
      <xdr:row>1462</xdr:row>
      <xdr:rowOff>95249</xdr:rowOff>
    </xdr:from>
    <xdr:to>
      <xdr:col>11</xdr:col>
      <xdr:colOff>887730</xdr:colOff>
      <xdr:row>1464</xdr:row>
      <xdr:rowOff>152399</xdr:rowOff>
    </xdr:to>
    <mc:AlternateContent xmlns:mc="http://schemas.openxmlformats.org/markup-compatibility/2006" xmlns:a14="http://schemas.microsoft.com/office/drawing/2010/main">
      <mc:Choice Requires="a14">
        <xdr:sp macro="" textlink="">
          <xdr:nvSpPr>
            <xdr:cNvPr id="277" name="TextBox 276">
              <a:extLst>
                <a:ext uri="{FF2B5EF4-FFF2-40B4-BE49-F238E27FC236}">
                  <a16:creationId xmlns:a16="http://schemas.microsoft.com/office/drawing/2014/main" id="{A754CA5B-C7B3-4E7C-AB98-D2C8FA0F2B02}"/>
                </a:ext>
              </a:extLst>
            </xdr:cNvPr>
            <xdr:cNvSpPr txBox="1"/>
          </xdr:nvSpPr>
          <xdr:spPr>
            <a:xfrm>
              <a:off x="3796937" y="76266674"/>
              <a:ext cx="14264368" cy="4667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l"/>
              <a14:m>
                <m:oMathPara xmlns:m="http://schemas.openxmlformats.org/officeDocument/2006/math">
                  <m:oMathParaPr>
                    <m:jc m:val="left"/>
                  </m:oMathParaPr>
                  <m:oMath xmlns:m="http://schemas.openxmlformats.org/officeDocument/2006/math">
                    <m:r>
                      <a:rPr lang="en-US" sz="1600" i="1">
                        <a:solidFill>
                          <a:srgbClr val="FF0000"/>
                        </a:solidFill>
                        <a:latin typeface="Cambria Math" panose="02040503050406030204" pitchFamily="18" charset="0"/>
                      </a:rPr>
                      <m:t>∆</m:t>
                    </m:r>
                    <m:r>
                      <a:rPr lang="en-US" sz="1600" i="1">
                        <a:solidFill>
                          <a:srgbClr val="FF0000"/>
                        </a:solidFill>
                        <a:latin typeface="Cambria Math" panose="02040503050406030204" pitchFamily="18" charset="0"/>
                      </a:rPr>
                      <m:t>𝑇h𝑒𝑟𝑚𝑠</m:t>
                    </m:r>
                    <m:r>
                      <a:rPr lang="en-US" sz="1600" b="0" i="1">
                        <a:solidFill>
                          <a:srgbClr val="FF0000"/>
                        </a:solidFill>
                        <a:latin typeface="Cambria Math" panose="02040503050406030204" pitchFamily="18" charset="0"/>
                      </a:rPr>
                      <m:t>=</m:t>
                    </m:r>
                    <m:r>
                      <a:rPr lang="en-US" sz="1600" i="1">
                        <a:solidFill>
                          <a:srgbClr val="FF0000"/>
                        </a:solidFill>
                        <a:latin typeface="Cambria Math" panose="02040503050406030204" pitchFamily="18" charset="0"/>
                      </a:rPr>
                      <m:t>%</m:t>
                    </m:r>
                    <m:r>
                      <a:rPr lang="en-US" sz="1600" i="1">
                        <a:solidFill>
                          <a:srgbClr val="FF0000"/>
                        </a:solidFill>
                        <a:latin typeface="Cambria Math" panose="02040503050406030204" pitchFamily="18" charset="0"/>
                      </a:rPr>
                      <m:t>𝐹𝑜𝑠𝑠𝑖𝑙𝐻𝑒𝑎𝑡</m:t>
                    </m:r>
                    <m:r>
                      <a:rPr lang="en-US" sz="1600" i="1">
                        <a:solidFill>
                          <a:srgbClr val="FF0000"/>
                        </a:solidFill>
                        <a:latin typeface="Cambria Math" panose="02040503050406030204" pitchFamily="18" charset="0"/>
                      </a:rPr>
                      <m:t> ∗ </m:t>
                    </m:r>
                    <m:r>
                      <a:rPr lang="en-US" sz="1600" i="1">
                        <a:solidFill>
                          <a:srgbClr val="FF0000"/>
                        </a:solidFill>
                        <a:latin typeface="Cambria Math" panose="02040503050406030204" pitchFamily="18" charset="0"/>
                      </a:rPr>
                      <m:t>𝐻𝑒𝑎𝑡𝑖𝑛𝑔𝐶𝑜𝑛𝑠𝑢𝑚𝑝𝑡𝑖𝑜</m:t>
                    </m:r>
                    <m:sSub>
                      <m:sSubPr>
                        <m:ctrlPr>
                          <a:rPr lang="en-US" sz="1600" i="1">
                            <a:solidFill>
                              <a:srgbClr val="FF0000"/>
                            </a:solidFill>
                            <a:latin typeface="Cambria Math" panose="02040503050406030204" pitchFamily="18" charset="0"/>
                          </a:rPr>
                        </m:ctrlPr>
                      </m:sSubPr>
                      <m:e>
                        <m:r>
                          <a:rPr lang="en-US" sz="1600" i="1">
                            <a:solidFill>
                              <a:srgbClr val="FF0000"/>
                            </a:solidFill>
                            <a:latin typeface="Cambria Math" panose="02040503050406030204" pitchFamily="18" charset="0"/>
                          </a:rPr>
                          <m:t>𝑛</m:t>
                        </m:r>
                      </m:e>
                      <m:sub>
                        <m:r>
                          <a:rPr lang="en-US" sz="1600" i="1">
                            <a:solidFill>
                              <a:srgbClr val="FF0000"/>
                            </a:solidFill>
                            <a:latin typeface="Cambria Math" panose="02040503050406030204" pitchFamily="18" charset="0"/>
                          </a:rPr>
                          <m:t>𝐺𝑎𝑠</m:t>
                        </m:r>
                      </m:sub>
                    </m:sSub>
                    <m:r>
                      <a:rPr lang="en-US" sz="1600" i="1">
                        <a:solidFill>
                          <a:srgbClr val="FF0000"/>
                        </a:solidFill>
                        <a:latin typeface="Cambria Math" panose="02040503050406030204" pitchFamily="18" charset="0"/>
                      </a:rPr>
                      <m:t>∗</m:t>
                    </m:r>
                    <m:r>
                      <a:rPr lang="en-US" sz="1600" i="1">
                        <a:solidFill>
                          <a:srgbClr val="FF0000"/>
                        </a:solidFill>
                        <a:latin typeface="Cambria Math" panose="02040503050406030204" pitchFamily="18" charset="0"/>
                      </a:rPr>
                      <m:t>𝐻𝐹</m:t>
                    </m:r>
                    <m:r>
                      <a:rPr lang="en-US" sz="1600" i="1">
                        <a:solidFill>
                          <a:srgbClr val="FF0000"/>
                        </a:solidFill>
                        <a:latin typeface="Cambria Math" panose="02040503050406030204" pitchFamily="18" charset="0"/>
                      </a:rPr>
                      <m:t>∗</m:t>
                    </m:r>
                    <m:r>
                      <a:rPr lang="en-US" sz="1600" i="1">
                        <a:solidFill>
                          <a:srgbClr val="FF0000"/>
                        </a:solidFill>
                        <a:latin typeface="Cambria Math" panose="02040503050406030204" pitchFamily="18" charset="0"/>
                      </a:rPr>
                      <m:t>𝐻𝑒𝑎𝑡𝑖𝑛𝑔𝑅𝑒𝑑𝑢𝑐𝑡𝑖𝑜𝑛</m:t>
                    </m:r>
                    <m:r>
                      <a:rPr lang="en-US" sz="1600" i="1">
                        <a:solidFill>
                          <a:srgbClr val="FF0000"/>
                        </a:solidFill>
                        <a:latin typeface="Cambria Math" panose="02040503050406030204" pitchFamily="18" charset="0"/>
                      </a:rPr>
                      <m:t>∗</m:t>
                    </m:r>
                    <m:r>
                      <a:rPr lang="en-US" sz="1600" i="1">
                        <a:solidFill>
                          <a:srgbClr val="FF0000"/>
                        </a:solidFill>
                        <a:latin typeface="Cambria Math" panose="02040503050406030204" pitchFamily="18" charset="0"/>
                      </a:rPr>
                      <m:t>𝐸𝑓𝑓</m:t>
                    </m:r>
                    <m:r>
                      <a:rPr lang="en-US" sz="1600" b="0" i="1">
                        <a:solidFill>
                          <a:srgbClr val="FF0000"/>
                        </a:solidFill>
                        <a:latin typeface="Cambria Math" panose="02040503050406030204" pitchFamily="18" charset="0"/>
                      </a:rPr>
                      <m:t>_</m:t>
                    </m:r>
                    <m:r>
                      <a:rPr lang="en-US" sz="1600" b="0" i="1">
                        <a:solidFill>
                          <a:srgbClr val="FF0000"/>
                        </a:solidFill>
                        <a:latin typeface="Cambria Math" panose="02040503050406030204" pitchFamily="18" charset="0"/>
                      </a:rPr>
                      <m:t>𝐼𝑆𝑅</m:t>
                    </m:r>
                  </m:oMath>
                </m:oMathPara>
              </a14:m>
              <a:endParaRPr lang="en-US" sz="1600">
                <a:solidFill>
                  <a:srgbClr val="FF0000"/>
                </a:solidFill>
              </a:endParaRPr>
            </a:p>
          </xdr:txBody>
        </xdr:sp>
      </mc:Choice>
      <mc:Fallback xmlns="">
        <xdr:sp macro="" textlink="">
          <xdr:nvSpPr>
            <xdr:cNvPr id="277" name="TextBox 276">
              <a:extLst>
                <a:ext uri="{FF2B5EF4-FFF2-40B4-BE49-F238E27FC236}">
                  <a16:creationId xmlns:a16="http://schemas.microsoft.com/office/drawing/2014/main" id="{A754CA5B-C7B3-4E7C-AB98-D2C8FA0F2B02}"/>
                </a:ext>
              </a:extLst>
            </xdr:cNvPr>
            <xdr:cNvSpPr txBox="1"/>
          </xdr:nvSpPr>
          <xdr:spPr>
            <a:xfrm>
              <a:off x="3796937" y="76266674"/>
              <a:ext cx="14264368" cy="4667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l"/>
              <a:r>
                <a:rPr lang="en-US" sz="1600" i="0">
                  <a:solidFill>
                    <a:srgbClr val="FF0000"/>
                  </a:solidFill>
                  <a:latin typeface="Cambria Math" panose="02040503050406030204" pitchFamily="18" charset="0"/>
                </a:rPr>
                <a:t>∆𝑇ℎ𝑒𝑟𝑚𝑠</a:t>
              </a:r>
              <a:r>
                <a:rPr lang="en-US" sz="1600" b="0" i="0">
                  <a:solidFill>
                    <a:srgbClr val="FF0000"/>
                  </a:solidFill>
                  <a:latin typeface="Cambria Math" panose="02040503050406030204" pitchFamily="18" charset="0"/>
                </a:rPr>
                <a:t>=</a:t>
              </a:r>
              <a:r>
                <a:rPr lang="en-US" sz="1600" i="0">
                  <a:solidFill>
                    <a:srgbClr val="FF0000"/>
                  </a:solidFill>
                  <a:latin typeface="Cambria Math" panose="02040503050406030204" pitchFamily="18" charset="0"/>
                </a:rPr>
                <a:t>%𝐹𝑜𝑠𝑠𝑖𝑙𝐻𝑒𝑎𝑡 ∗ 𝐻𝑒𝑎𝑡𝑖𝑛𝑔𝐶𝑜𝑛𝑠𝑢𝑚𝑝𝑡𝑖𝑜𝑛_𝐺𝑎𝑠∗𝐻𝐹∗𝐻𝑒𝑎𝑡𝑖𝑛𝑔𝑅𝑒𝑑𝑢𝑐𝑡𝑖𝑜𝑛∗𝐸𝑓𝑓</a:t>
              </a:r>
              <a:r>
                <a:rPr lang="en-US" sz="1600" b="0" i="0">
                  <a:solidFill>
                    <a:srgbClr val="FF0000"/>
                  </a:solidFill>
                  <a:latin typeface="Cambria Math" panose="02040503050406030204" pitchFamily="18" charset="0"/>
                </a:rPr>
                <a:t>_𝐼𝑆𝑅</a:t>
              </a:r>
              <a:endParaRPr lang="en-US" sz="1600">
                <a:solidFill>
                  <a:srgbClr val="FF0000"/>
                </a:solidFill>
              </a:endParaRPr>
            </a:p>
          </xdr:txBody>
        </xdr:sp>
      </mc:Fallback>
    </mc:AlternateContent>
    <xdr:clientData/>
  </xdr:twoCellAnchor>
  <xdr:twoCellAnchor>
    <xdr:from>
      <xdr:col>4</xdr:col>
      <xdr:colOff>211408</xdr:colOff>
      <xdr:row>1460</xdr:row>
      <xdr:rowOff>114300</xdr:rowOff>
    </xdr:from>
    <xdr:to>
      <xdr:col>11</xdr:col>
      <xdr:colOff>819150</xdr:colOff>
      <xdr:row>1462</xdr:row>
      <xdr:rowOff>55246</xdr:rowOff>
    </xdr:to>
    <mc:AlternateContent xmlns:mc="http://schemas.openxmlformats.org/markup-compatibility/2006" xmlns:a14="http://schemas.microsoft.com/office/drawing/2010/main">
      <mc:Choice Requires="a14">
        <xdr:sp macro="" textlink="">
          <xdr:nvSpPr>
            <xdr:cNvPr id="275" name="TextBox 274">
              <a:extLst>
                <a:ext uri="{FF2B5EF4-FFF2-40B4-BE49-F238E27FC236}">
                  <a16:creationId xmlns:a16="http://schemas.microsoft.com/office/drawing/2014/main" id="{2561CCEA-435E-4033-8A34-A50B000343B9}"/>
                </a:ext>
              </a:extLst>
            </xdr:cNvPr>
            <xdr:cNvSpPr txBox="1"/>
          </xdr:nvSpPr>
          <xdr:spPr>
            <a:xfrm>
              <a:off x="3783283" y="75828525"/>
              <a:ext cx="14209442" cy="39814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l"/>
              <a14:m>
                <m:oMathPara xmlns:m="http://schemas.openxmlformats.org/officeDocument/2006/math">
                  <m:oMathParaPr>
                    <m:jc m:val="left"/>
                  </m:oMathParaPr>
                  <m:oMath xmlns:m="http://schemas.openxmlformats.org/officeDocument/2006/math">
                    <m:r>
                      <a:rPr lang="el-GR" sz="1600" i="1">
                        <a:solidFill>
                          <a:srgbClr val="FF0000"/>
                        </a:solidFill>
                        <a:latin typeface="Cambria Math" panose="02040503050406030204" pitchFamily="18" charset="0"/>
                      </a:rPr>
                      <m:t>𝛥</m:t>
                    </m:r>
                    <m:r>
                      <a:rPr lang="en-US" sz="1600" i="1">
                        <a:solidFill>
                          <a:srgbClr val="FF0000"/>
                        </a:solidFill>
                        <a:latin typeface="Cambria Math" panose="02040503050406030204" pitchFamily="18" charset="0"/>
                      </a:rPr>
                      <m:t>𝑘𝑊</m:t>
                    </m:r>
                    <m:sSub>
                      <m:sSubPr>
                        <m:ctrlPr>
                          <a:rPr lang="en-US" sz="1600" b="0" i="1">
                            <a:solidFill>
                              <a:srgbClr val="FF0000"/>
                            </a:solidFill>
                            <a:latin typeface="Cambria Math" panose="02040503050406030204" pitchFamily="18" charset="0"/>
                          </a:rPr>
                        </m:ctrlPr>
                      </m:sSubPr>
                      <m:e>
                        <m:r>
                          <a:rPr lang="en-US" sz="1600" i="1">
                            <a:solidFill>
                              <a:srgbClr val="FF0000"/>
                            </a:solidFill>
                            <a:latin typeface="Cambria Math" panose="02040503050406030204" pitchFamily="18" charset="0"/>
                          </a:rPr>
                          <m:t>h</m:t>
                        </m:r>
                      </m:e>
                      <m:sub>
                        <m:r>
                          <a:rPr lang="en-US" sz="1600" i="1">
                            <a:solidFill>
                              <a:srgbClr val="FF0000"/>
                            </a:solidFill>
                            <a:latin typeface="Cambria Math" panose="02040503050406030204" pitchFamily="18" charset="0"/>
                          </a:rPr>
                          <m:t>h𝑒𝑎𝑡𝑖𝑛𝑔</m:t>
                        </m:r>
                      </m:sub>
                    </m:sSub>
                    <m:r>
                      <a:rPr lang="en-US" sz="1600" i="1">
                        <a:solidFill>
                          <a:srgbClr val="FF0000"/>
                        </a:solidFill>
                        <a:latin typeface="Cambria Math" panose="02040503050406030204" pitchFamily="18" charset="0"/>
                      </a:rPr>
                      <m:t>=%</m:t>
                    </m:r>
                    <m:r>
                      <a:rPr lang="en-US" sz="1600" i="1">
                        <a:solidFill>
                          <a:srgbClr val="FF0000"/>
                        </a:solidFill>
                        <a:latin typeface="Cambria Math" panose="02040503050406030204" pitchFamily="18" charset="0"/>
                      </a:rPr>
                      <m:t>𝐸𝑙𝑒𝑐𝑡𝑟𝑖𝑐𝐻𝑒𝑎𝑡</m:t>
                    </m:r>
                    <m:r>
                      <a:rPr lang="en-US" sz="1600" i="1">
                        <a:solidFill>
                          <a:srgbClr val="FF0000"/>
                        </a:solidFill>
                        <a:latin typeface="Cambria Math" panose="02040503050406030204" pitchFamily="18" charset="0"/>
                      </a:rPr>
                      <m:t>∗</m:t>
                    </m:r>
                    <m:r>
                      <a:rPr lang="en-US" sz="1600" i="1">
                        <a:solidFill>
                          <a:srgbClr val="FF0000"/>
                        </a:solidFill>
                        <a:latin typeface="Cambria Math" panose="02040503050406030204" pitchFamily="18" charset="0"/>
                      </a:rPr>
                      <m:t>𝐻𝑒𝑎𝑡𝑖𝑛𝑔𝐶𝑜𝑛𝑠𝑢𝑚𝑝𝑡𝑖𝑜</m:t>
                    </m:r>
                    <m:sSub>
                      <m:sSubPr>
                        <m:ctrlPr>
                          <a:rPr lang="en-US" sz="1600" i="1">
                            <a:solidFill>
                              <a:srgbClr val="FF0000"/>
                            </a:solidFill>
                            <a:latin typeface="Cambria Math" panose="02040503050406030204" pitchFamily="18" charset="0"/>
                          </a:rPr>
                        </m:ctrlPr>
                      </m:sSubPr>
                      <m:e>
                        <m:r>
                          <a:rPr lang="en-US" sz="1600" i="1">
                            <a:solidFill>
                              <a:srgbClr val="FF0000"/>
                            </a:solidFill>
                            <a:latin typeface="Cambria Math" panose="02040503050406030204" pitchFamily="18" charset="0"/>
                          </a:rPr>
                          <m:t>𝑛</m:t>
                        </m:r>
                      </m:e>
                      <m:sub>
                        <m:r>
                          <a:rPr lang="en-US" sz="1600" i="1">
                            <a:solidFill>
                              <a:srgbClr val="FF0000"/>
                            </a:solidFill>
                            <a:latin typeface="Cambria Math" panose="02040503050406030204" pitchFamily="18" charset="0"/>
                          </a:rPr>
                          <m:t>𝐸𝑙𝑒𝑐𝑡𝑟𝑖𝑐</m:t>
                        </m:r>
                      </m:sub>
                    </m:sSub>
                    <m:r>
                      <a:rPr lang="en-US" sz="1600" i="1">
                        <a:solidFill>
                          <a:srgbClr val="FF0000"/>
                        </a:solidFill>
                        <a:latin typeface="Cambria Math" panose="02040503050406030204" pitchFamily="18" charset="0"/>
                      </a:rPr>
                      <m:t>∗</m:t>
                    </m:r>
                    <m:r>
                      <a:rPr lang="en-US" sz="1600" i="1">
                        <a:solidFill>
                          <a:srgbClr val="FF0000"/>
                        </a:solidFill>
                        <a:latin typeface="Cambria Math" panose="02040503050406030204" pitchFamily="18" charset="0"/>
                      </a:rPr>
                      <m:t>𝐻𝐹</m:t>
                    </m:r>
                    <m:r>
                      <a:rPr lang="en-US" sz="1600" i="1">
                        <a:solidFill>
                          <a:srgbClr val="FF0000"/>
                        </a:solidFill>
                        <a:latin typeface="Cambria Math" panose="02040503050406030204" pitchFamily="18" charset="0"/>
                      </a:rPr>
                      <m:t>∗</m:t>
                    </m:r>
                    <m:r>
                      <a:rPr lang="en-US" sz="1600" i="1">
                        <a:solidFill>
                          <a:srgbClr val="FF0000"/>
                        </a:solidFill>
                        <a:latin typeface="Cambria Math" panose="02040503050406030204" pitchFamily="18" charset="0"/>
                      </a:rPr>
                      <m:t>𝐻𝑒𝑎𝑡𝑖𝑛𝑔𝑅𝑒𝑑𝑢𝑐𝑡𝑖𝑜𝑛</m:t>
                    </m:r>
                    <m:r>
                      <a:rPr lang="en-US" sz="1600" i="1">
                        <a:solidFill>
                          <a:srgbClr val="FF0000"/>
                        </a:solidFill>
                        <a:latin typeface="Cambria Math" panose="02040503050406030204" pitchFamily="18" charset="0"/>
                      </a:rPr>
                      <m:t>∗ </m:t>
                    </m:r>
                    <m:r>
                      <a:rPr lang="en-US" sz="1600" i="1">
                        <a:solidFill>
                          <a:srgbClr val="FF0000"/>
                        </a:solidFill>
                        <a:latin typeface="Cambria Math" panose="02040503050406030204" pitchFamily="18" charset="0"/>
                      </a:rPr>
                      <m:t>𝐸𝑓𝑓</m:t>
                    </m:r>
                    <m:r>
                      <a:rPr lang="en-US" sz="1600" b="0" i="1">
                        <a:solidFill>
                          <a:srgbClr val="FF0000"/>
                        </a:solidFill>
                        <a:latin typeface="Cambria Math" panose="02040503050406030204" pitchFamily="18" charset="0"/>
                      </a:rPr>
                      <m:t>_</m:t>
                    </m:r>
                    <m:r>
                      <a:rPr lang="en-US" sz="1600" b="0" i="1">
                        <a:solidFill>
                          <a:srgbClr val="FF0000"/>
                        </a:solidFill>
                        <a:latin typeface="Cambria Math" panose="02040503050406030204" pitchFamily="18" charset="0"/>
                      </a:rPr>
                      <m:t>𝐼𝑆𝑅</m:t>
                    </m:r>
                    <m:r>
                      <a:rPr lang="en-US" sz="1600" i="1">
                        <a:solidFill>
                          <a:srgbClr val="FF0000"/>
                        </a:solidFill>
                        <a:latin typeface="Cambria Math" panose="02040503050406030204" pitchFamily="18" charset="0"/>
                      </a:rPr>
                      <m:t>+(∆</m:t>
                    </m:r>
                    <m:r>
                      <a:rPr lang="en-US" sz="1600" i="1">
                        <a:solidFill>
                          <a:srgbClr val="FF0000"/>
                        </a:solidFill>
                        <a:latin typeface="Cambria Math" panose="02040503050406030204" pitchFamily="18" charset="0"/>
                      </a:rPr>
                      <m:t>𝑇h𝑒𝑟𝑚𝑠</m:t>
                    </m:r>
                    <m:r>
                      <a:rPr lang="en-US" sz="1600" i="1">
                        <a:solidFill>
                          <a:srgbClr val="FF0000"/>
                        </a:solidFill>
                        <a:latin typeface="Cambria Math" panose="02040503050406030204" pitchFamily="18" charset="0"/>
                      </a:rPr>
                      <m:t> ∗ </m:t>
                    </m:r>
                    <m:sSub>
                      <m:sSubPr>
                        <m:ctrlPr>
                          <a:rPr lang="en-US" sz="1600" b="0" i="1">
                            <a:solidFill>
                              <a:srgbClr val="FF0000"/>
                            </a:solidFill>
                            <a:latin typeface="Cambria Math" panose="02040503050406030204" pitchFamily="18" charset="0"/>
                          </a:rPr>
                        </m:ctrlPr>
                      </m:sSubPr>
                      <m:e>
                        <m:r>
                          <a:rPr lang="en-US" sz="1600" i="1">
                            <a:solidFill>
                              <a:srgbClr val="FF0000"/>
                            </a:solidFill>
                            <a:latin typeface="Cambria Math" panose="02040503050406030204" pitchFamily="18" charset="0"/>
                          </a:rPr>
                          <m:t>𝐹</m:t>
                        </m:r>
                      </m:e>
                      <m:sub>
                        <m:r>
                          <a:rPr lang="en-US" sz="1600" i="1">
                            <a:solidFill>
                              <a:srgbClr val="FF0000"/>
                            </a:solidFill>
                            <a:latin typeface="Cambria Math" panose="02040503050406030204" pitchFamily="18" charset="0"/>
                          </a:rPr>
                          <m:t>𝑒</m:t>
                        </m:r>
                      </m:sub>
                    </m:sSub>
                    <m:r>
                      <a:rPr lang="en-US" sz="1600" i="1">
                        <a:solidFill>
                          <a:srgbClr val="FF0000"/>
                        </a:solidFill>
                        <a:latin typeface="Cambria Math" panose="02040503050406030204" pitchFamily="18" charset="0"/>
                      </a:rPr>
                      <m:t> ∗ 29.3)</m:t>
                    </m:r>
                  </m:oMath>
                </m:oMathPara>
              </a14:m>
              <a:endParaRPr lang="en-US" sz="1600">
                <a:solidFill>
                  <a:srgbClr val="FF0000"/>
                </a:solidFill>
              </a:endParaRPr>
            </a:p>
          </xdr:txBody>
        </xdr:sp>
      </mc:Choice>
      <mc:Fallback xmlns="">
        <xdr:sp macro="" textlink="">
          <xdr:nvSpPr>
            <xdr:cNvPr id="275" name="TextBox 274">
              <a:extLst>
                <a:ext uri="{FF2B5EF4-FFF2-40B4-BE49-F238E27FC236}">
                  <a16:creationId xmlns:a16="http://schemas.microsoft.com/office/drawing/2014/main" id="{2561CCEA-435E-4033-8A34-A50B000343B9}"/>
                </a:ext>
              </a:extLst>
            </xdr:cNvPr>
            <xdr:cNvSpPr txBox="1"/>
          </xdr:nvSpPr>
          <xdr:spPr>
            <a:xfrm>
              <a:off x="3783283" y="75828525"/>
              <a:ext cx="14209442" cy="39814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l"/>
              <a:r>
                <a:rPr lang="el-GR" sz="1600" i="0">
                  <a:solidFill>
                    <a:srgbClr val="FF0000"/>
                  </a:solidFill>
                  <a:latin typeface="Cambria Math" panose="02040503050406030204" pitchFamily="18" charset="0"/>
                </a:rPr>
                <a:t>𝛥</a:t>
              </a:r>
              <a:r>
                <a:rPr lang="en-US" sz="1600" i="0">
                  <a:solidFill>
                    <a:srgbClr val="FF0000"/>
                  </a:solidFill>
                  <a:latin typeface="Cambria Math" panose="02040503050406030204" pitchFamily="18" charset="0"/>
                </a:rPr>
                <a:t>𝑘𝑊ℎ</a:t>
              </a:r>
              <a:r>
                <a:rPr lang="en-US" sz="1600" b="0" i="0">
                  <a:solidFill>
                    <a:srgbClr val="FF0000"/>
                  </a:solidFill>
                  <a:latin typeface="Cambria Math" panose="02040503050406030204" pitchFamily="18" charset="0"/>
                </a:rPr>
                <a:t>_</a:t>
              </a:r>
              <a:r>
                <a:rPr lang="en-US" sz="1600" i="0">
                  <a:solidFill>
                    <a:srgbClr val="FF0000"/>
                  </a:solidFill>
                  <a:latin typeface="Cambria Math" panose="02040503050406030204" pitchFamily="18" charset="0"/>
                </a:rPr>
                <a:t>ℎ𝑒𝑎𝑡𝑖𝑛𝑔=%𝐸𝑙𝑒𝑐𝑡𝑟𝑖𝑐𝐻𝑒𝑎𝑡∗𝐻𝑒𝑎𝑡𝑖𝑛𝑔𝐶𝑜𝑛𝑠𝑢𝑚𝑝𝑡𝑖𝑜𝑛_𝐸𝑙𝑒𝑐𝑡𝑟𝑖𝑐∗𝐻𝐹∗𝐻𝑒𝑎𝑡𝑖𝑛𝑔𝑅𝑒𝑑𝑢𝑐𝑡𝑖𝑜𝑛∗ 𝐸𝑓𝑓</a:t>
              </a:r>
              <a:r>
                <a:rPr lang="en-US" sz="1600" b="0" i="0">
                  <a:solidFill>
                    <a:srgbClr val="FF0000"/>
                  </a:solidFill>
                  <a:latin typeface="Cambria Math" panose="02040503050406030204" pitchFamily="18" charset="0"/>
                </a:rPr>
                <a:t>_𝐼𝑆𝑅</a:t>
              </a:r>
              <a:r>
                <a:rPr lang="en-US" sz="1600" i="0">
                  <a:solidFill>
                    <a:srgbClr val="FF0000"/>
                  </a:solidFill>
                  <a:latin typeface="Cambria Math" panose="02040503050406030204" pitchFamily="18" charset="0"/>
                </a:rPr>
                <a:t>+(∆𝑇ℎ𝑒𝑟𝑚𝑠 ∗ 𝐹</a:t>
              </a:r>
              <a:r>
                <a:rPr lang="en-US" sz="1600" b="0" i="0">
                  <a:solidFill>
                    <a:srgbClr val="FF0000"/>
                  </a:solidFill>
                  <a:latin typeface="Cambria Math" panose="02040503050406030204" pitchFamily="18" charset="0"/>
                </a:rPr>
                <a:t>_</a:t>
              </a:r>
              <a:r>
                <a:rPr lang="en-US" sz="1600" i="0">
                  <a:solidFill>
                    <a:srgbClr val="FF0000"/>
                  </a:solidFill>
                  <a:latin typeface="Cambria Math" panose="02040503050406030204" pitchFamily="18" charset="0"/>
                </a:rPr>
                <a:t>𝑒  ∗ 29.3)</a:t>
              </a:r>
              <a:endParaRPr lang="en-US" sz="1600">
                <a:solidFill>
                  <a:srgbClr val="FF0000"/>
                </a:solidFill>
              </a:endParaRPr>
            </a:p>
          </xdr:txBody>
        </xdr:sp>
      </mc:Fallback>
    </mc:AlternateContent>
    <xdr:clientData/>
  </xdr:twoCellAnchor>
</xdr:wsDr>
</file>

<file path=xl/drawings/drawing7.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8803481"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8803481"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 name="TextBox 3">
          <a:extLst>
            <a:ext uri="{FF2B5EF4-FFF2-40B4-BE49-F238E27FC236}">
              <a16:creationId xmlns:a16="http://schemas.microsoft.com/office/drawing/2014/main" id="{00000000-0008-0000-0800-000004000000}"/>
            </a:ext>
          </a:extLst>
        </xdr:cNvPr>
        <xdr:cNvSpPr txBox="1"/>
      </xdr:nvSpPr>
      <xdr:spPr>
        <a:xfrm>
          <a:off x="28777406"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5" name="TextBox 4">
          <a:extLst>
            <a:ext uri="{FF2B5EF4-FFF2-40B4-BE49-F238E27FC236}">
              <a16:creationId xmlns:a16="http://schemas.microsoft.com/office/drawing/2014/main" id="{00000000-0008-0000-0800-000005000000}"/>
            </a:ext>
          </a:extLst>
        </xdr:cNvPr>
        <xdr:cNvSpPr txBox="1"/>
      </xdr:nvSpPr>
      <xdr:spPr>
        <a:xfrm>
          <a:off x="28777406"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3</xdr:col>
      <xdr:colOff>1312272</xdr:colOff>
      <xdr:row>231</xdr:row>
      <xdr:rowOff>0</xdr:rowOff>
    </xdr:from>
    <xdr:to>
      <xdr:col>15</xdr:col>
      <xdr:colOff>898070</xdr:colOff>
      <xdr:row>244</xdr:row>
      <xdr:rowOff>136071</xdr:rowOff>
    </xdr:to>
    <mc:AlternateContent xmlns:mc="http://schemas.openxmlformats.org/markup-compatibility/2006" xmlns:a14="http://schemas.microsoft.com/office/drawing/2010/main">
      <mc:Choice Requires="a14">
        <xdr:sp macro="" textlink="">
          <xdr:nvSpPr>
            <xdr:cNvPr id="75" name="TextBox 74">
              <a:extLst>
                <a:ext uri="{FF2B5EF4-FFF2-40B4-BE49-F238E27FC236}">
                  <a16:creationId xmlns:a16="http://schemas.microsoft.com/office/drawing/2014/main" id="{118B5757-68FB-44FE-A0A7-8313112A3B7B}"/>
                </a:ext>
              </a:extLst>
            </xdr:cNvPr>
            <xdr:cNvSpPr txBox="1"/>
          </xdr:nvSpPr>
          <xdr:spPr>
            <a:xfrm>
              <a:off x="3530236" y="11361964"/>
              <a:ext cx="15832727" cy="28711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n-US" sz="1600" i="0">
                        <a:solidFill>
                          <a:sysClr val="windowText" lastClr="000000"/>
                        </a:solidFill>
                        <a:latin typeface="Cambria Math" panose="02040503050406030204" pitchFamily="18" charset="0"/>
                        <a:ea typeface="Cambria Math" panose="02040503050406030204" pitchFamily="18" charset="0"/>
                      </a:rPr>
                      <m:t>Δ</m:t>
                    </m:r>
                    <m:r>
                      <a:rPr lang="en-US" sz="1600" b="0" i="1">
                        <a:solidFill>
                          <a:sysClr val="windowText" lastClr="000000"/>
                        </a:solidFill>
                        <a:latin typeface="Cambria Math" panose="02040503050406030204" pitchFamily="18" charset="0"/>
                        <a:ea typeface="Cambria Math" panose="02040503050406030204" pitchFamily="18" charset="0"/>
                      </a:rPr>
                      <m:t>𝑘𝑊h</m:t>
                    </m:r>
                    <m:r>
                      <a:rPr lang="en-US" sz="1600" b="0" i="1">
                        <a:solidFill>
                          <a:sysClr val="windowText" lastClr="000000"/>
                        </a:solidFill>
                        <a:latin typeface="Cambria Math" panose="02040503050406030204" pitchFamily="18" charset="0"/>
                        <a:ea typeface="Cambria Math" panose="02040503050406030204" pitchFamily="18" charset="0"/>
                      </a:rPr>
                      <m:t>=</m:t>
                    </m:r>
                    <m:r>
                      <m:rPr>
                        <m:sty m:val="p"/>
                      </m:rPr>
                      <a:rPr lang="en-US" sz="1600" b="0" i="0">
                        <a:solidFill>
                          <a:sysClr val="windowText" lastClr="000000"/>
                        </a:solidFill>
                        <a:latin typeface="Cambria Math" panose="02040503050406030204" pitchFamily="18" charset="0"/>
                        <a:ea typeface="Cambria Math" panose="02040503050406030204" pitchFamily="18" charset="0"/>
                      </a:rPr>
                      <m:t>Δ</m:t>
                    </m:r>
                    <m:r>
                      <a:rPr lang="en-US" sz="16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h</m:t>
                        </m:r>
                      </m:e>
                      <m:sub>
                        <m:r>
                          <a:rPr lang="en-US" sz="1600" b="0" i="1">
                            <a:solidFill>
                              <a:sysClr val="windowText" lastClr="000000"/>
                            </a:solidFill>
                            <a:latin typeface="Cambria Math" panose="02040503050406030204" pitchFamily="18" charset="0"/>
                            <a:ea typeface="Cambria Math" panose="02040503050406030204" pitchFamily="18" charset="0"/>
                          </a:rPr>
                          <m:t>𝐻𝑒𝑎𝑡𝑖𝑛𝑔</m:t>
                        </m:r>
                        <m:r>
                          <a:rPr lang="en-US" sz="1600" b="0" i="1">
                            <a:solidFill>
                              <a:sysClr val="windowText" lastClr="000000"/>
                            </a:solidFill>
                            <a:latin typeface="Cambria Math" panose="02040503050406030204" pitchFamily="18" charset="0"/>
                            <a:ea typeface="Cambria Math" panose="02040503050406030204" pitchFamily="18" charset="0"/>
                          </a:rPr>
                          <m:t> </m:t>
                        </m:r>
                        <m:r>
                          <a:rPr lang="en-US" sz="1600" b="0" i="1">
                            <a:solidFill>
                              <a:sysClr val="windowText" lastClr="000000"/>
                            </a:solidFill>
                            <a:latin typeface="Cambria Math" panose="02040503050406030204" pitchFamily="18" charset="0"/>
                            <a:ea typeface="Cambria Math" panose="02040503050406030204" pitchFamily="18" charset="0"/>
                          </a:rPr>
                          <m:t>𝑀𝑜𝑑𝑒</m:t>
                        </m:r>
                      </m:sub>
                    </m:sSub>
                    <m:r>
                      <a:rPr lang="en-US" sz="1600" b="0" i="1">
                        <a:solidFill>
                          <a:sysClr val="windowText" lastClr="000000"/>
                        </a:solidFill>
                        <a:latin typeface="Cambria Math" panose="02040503050406030204" pitchFamily="18" charset="0"/>
                        <a:ea typeface="Cambria Math" panose="02040503050406030204" pitchFamily="18" charset="0"/>
                      </a:rPr>
                      <m:t>+</m:t>
                    </m:r>
                    <m:r>
                      <m:rPr>
                        <m:sty m:val="p"/>
                      </m:rPr>
                      <a:rPr lang="en-US" sz="1600" b="0" i="0">
                        <a:solidFill>
                          <a:sysClr val="windowText" lastClr="000000"/>
                        </a:solidFill>
                        <a:latin typeface="Cambria Math" panose="02040503050406030204" pitchFamily="18" charset="0"/>
                        <a:ea typeface="Cambria Math" panose="02040503050406030204" pitchFamily="18" charset="0"/>
                      </a:rPr>
                      <m:t>Δ</m:t>
                    </m:r>
                    <m:r>
                      <a:rPr lang="en-US" sz="16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h</m:t>
                        </m:r>
                      </m:e>
                      <m:sub>
                        <m:r>
                          <a:rPr lang="en-US" sz="1600" b="0" i="1">
                            <a:solidFill>
                              <a:sysClr val="windowText" lastClr="000000"/>
                            </a:solidFill>
                            <a:latin typeface="Cambria Math" panose="02040503050406030204" pitchFamily="18" charset="0"/>
                            <a:ea typeface="Cambria Math" panose="02040503050406030204" pitchFamily="18" charset="0"/>
                          </a:rPr>
                          <m:t>𝐶𝑜𝑜𝑙𝑖𝑛𝑔</m:t>
                        </m:r>
                        <m:r>
                          <a:rPr lang="en-US" sz="1600" b="0" i="1">
                            <a:solidFill>
                              <a:sysClr val="windowText" lastClr="000000"/>
                            </a:solidFill>
                            <a:latin typeface="Cambria Math" panose="02040503050406030204" pitchFamily="18" charset="0"/>
                            <a:ea typeface="Cambria Math" panose="02040503050406030204" pitchFamily="18" charset="0"/>
                          </a:rPr>
                          <m:t> </m:t>
                        </m:r>
                        <m:r>
                          <a:rPr lang="en-US" sz="1600" b="0" i="1">
                            <a:solidFill>
                              <a:sysClr val="windowText" lastClr="000000"/>
                            </a:solidFill>
                            <a:latin typeface="Cambria Math" panose="02040503050406030204" pitchFamily="18" charset="0"/>
                            <a:ea typeface="Cambria Math" panose="02040503050406030204" pitchFamily="18" charset="0"/>
                          </a:rPr>
                          <m:t>𝑀𝑜𝑑𝑒</m:t>
                        </m:r>
                      </m:sub>
                    </m:sSub>
                    <m:r>
                      <a:rPr lang="en-US" sz="1600" b="0" i="1">
                        <a:solidFill>
                          <a:sysClr val="windowText" lastClr="000000"/>
                        </a:solidFill>
                        <a:latin typeface="Cambria Math" panose="02040503050406030204" pitchFamily="18" charset="0"/>
                        <a:ea typeface="Cambria Math" panose="02040503050406030204" pitchFamily="18" charset="0"/>
                      </a:rPr>
                      <m:t>+</m:t>
                    </m:r>
                    <m:r>
                      <m:rPr>
                        <m:sty m:val="p"/>
                      </m:rPr>
                      <a:rPr lang="en-US" sz="1600" b="0" i="0">
                        <a:solidFill>
                          <a:sysClr val="windowText" lastClr="000000"/>
                        </a:solidFill>
                        <a:latin typeface="Cambria Math" panose="02040503050406030204" pitchFamily="18" charset="0"/>
                        <a:ea typeface="Cambria Math" panose="02040503050406030204" pitchFamily="18" charset="0"/>
                      </a:rPr>
                      <m:t>Δ</m:t>
                    </m:r>
                    <m:r>
                      <a:rPr lang="en-US" sz="16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h</m:t>
                        </m:r>
                      </m:e>
                      <m:sub>
                        <m:r>
                          <a:rPr lang="en-US" sz="1600" b="0" i="1">
                            <a:solidFill>
                              <a:sysClr val="windowText" lastClr="000000"/>
                            </a:solidFill>
                            <a:latin typeface="Cambria Math" panose="02040503050406030204" pitchFamily="18" charset="0"/>
                            <a:ea typeface="Cambria Math" panose="02040503050406030204" pitchFamily="18" charset="0"/>
                          </a:rPr>
                          <m:t>𝐴𝑢𝑡𝑜</m:t>
                        </m:r>
                        <m:r>
                          <a:rPr lang="en-US" sz="1600" b="0" i="1">
                            <a:solidFill>
                              <a:sysClr val="windowText" lastClr="000000"/>
                            </a:solidFill>
                            <a:latin typeface="Cambria Math" panose="02040503050406030204" pitchFamily="18" charset="0"/>
                            <a:ea typeface="Cambria Math" panose="02040503050406030204" pitchFamily="18" charset="0"/>
                          </a:rPr>
                          <m:t> </m:t>
                        </m:r>
                        <m:r>
                          <a:rPr lang="en-US" sz="1600" b="0" i="1">
                            <a:solidFill>
                              <a:sysClr val="windowText" lastClr="000000"/>
                            </a:solidFill>
                            <a:latin typeface="Cambria Math" panose="02040503050406030204" pitchFamily="18" charset="0"/>
                            <a:ea typeface="Cambria Math" panose="02040503050406030204" pitchFamily="18" charset="0"/>
                          </a:rPr>
                          <m:t>𝐶𝑖𝑟𝑐𝑢𝑙𝑎𝑡𝑖𝑜𝑛</m:t>
                        </m:r>
                      </m:sub>
                    </m:sSub>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𝛥</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𝑘𝑊h</m:t>
                        </m:r>
                      </m:e>
                      <m:sub>
                        <m:r>
                          <a:rPr lang="en-US" sz="1600" b="0" i="1">
                            <a:solidFill>
                              <a:sysClr val="windowText" lastClr="000000"/>
                            </a:solidFill>
                            <a:latin typeface="Cambria Math" panose="02040503050406030204" pitchFamily="18" charset="0"/>
                            <a:ea typeface="Cambria Math" panose="02040503050406030204" pitchFamily="18" charset="0"/>
                          </a:rPr>
                          <m:t>𝐶𝑜𝑛𝑡𝑖𝑛𝑢𝑜𝑢𝑠</m:t>
                        </m:r>
                        <m:r>
                          <a:rPr lang="en-US" sz="1600" b="0" i="1">
                            <a:solidFill>
                              <a:sysClr val="windowText" lastClr="000000"/>
                            </a:solidFill>
                            <a:latin typeface="Cambria Math" panose="02040503050406030204" pitchFamily="18" charset="0"/>
                            <a:ea typeface="Cambria Math" panose="02040503050406030204" pitchFamily="18" charset="0"/>
                          </a:rPr>
                          <m:t> </m:t>
                        </m:r>
                        <m:r>
                          <a:rPr lang="en-US" sz="1600" b="0" i="1">
                            <a:solidFill>
                              <a:sysClr val="windowText" lastClr="000000"/>
                            </a:solidFill>
                            <a:latin typeface="Cambria Math" panose="02040503050406030204" pitchFamily="18" charset="0"/>
                            <a:ea typeface="Cambria Math" panose="02040503050406030204" pitchFamily="18" charset="0"/>
                          </a:rPr>
                          <m:t>𝐶𝑖𝑟𝑐𝑢𝑙𝑎𝑡𝑖𝑜𝑛</m:t>
                        </m:r>
                      </m:sub>
                    </m:sSub>
                  </m:oMath>
                </m:oMathPara>
              </a14:m>
              <a:endParaRPr lang="en-US" sz="1600" i="1">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75" name="TextBox 74">
              <a:extLst>
                <a:ext uri="{FF2B5EF4-FFF2-40B4-BE49-F238E27FC236}">
                  <a16:creationId xmlns:a16="http://schemas.microsoft.com/office/drawing/2014/main" id="{118B5757-68FB-44FE-A0A7-8313112A3B7B}"/>
                </a:ext>
              </a:extLst>
            </xdr:cNvPr>
            <xdr:cNvSpPr txBox="1"/>
          </xdr:nvSpPr>
          <xdr:spPr>
            <a:xfrm>
              <a:off x="3530236" y="11361964"/>
              <a:ext cx="15832727" cy="28711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ysClr val="windowText" lastClr="000000"/>
                  </a:solidFill>
                  <a:latin typeface="Cambria Math" panose="02040503050406030204" pitchFamily="18" charset="0"/>
                  <a:ea typeface="Cambria Math" panose="02040503050406030204" pitchFamily="18" charset="0"/>
                </a:rPr>
                <a:t>Δ</a:t>
              </a:r>
              <a:r>
                <a:rPr lang="en-US" sz="1600" b="0" i="0">
                  <a:solidFill>
                    <a:sysClr val="windowText" lastClr="000000"/>
                  </a:solidFill>
                  <a:latin typeface="Cambria Math" panose="02040503050406030204" pitchFamily="18" charset="0"/>
                  <a:ea typeface="Cambria Math" panose="02040503050406030204" pitchFamily="18" charset="0"/>
                </a:rPr>
                <a:t>𝑘𝑊ℎ=Δ𝑘𝑊ℎ_(𝐻𝑒𝑎𝑡𝑖𝑛𝑔 𝑀𝑜𝑑𝑒)+Δ𝑘𝑊ℎ_(𝐶𝑜𝑜𝑙𝑖𝑛𝑔 𝑀𝑜𝑑𝑒)+Δ𝑘𝑊ℎ_(𝐴𝑢𝑡𝑜 𝐶𝑖𝑟𝑐𝑢𝑙𝑎𝑡𝑖𝑜𝑛)+𝛥〖𝑘𝑊ℎ〗_(𝐶𝑜𝑛𝑡𝑖𝑛𝑢𝑜𝑢𝑠 𝐶𝑖𝑟𝑐𝑢𝑙𝑎𝑡𝑖𝑜𝑛)</a:t>
              </a:r>
              <a:endParaRPr lang="en-US" sz="1600" i="1">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4</xdr:col>
      <xdr:colOff>1</xdr:colOff>
      <xdr:row>198</xdr:row>
      <xdr:rowOff>0</xdr:rowOff>
    </xdr:from>
    <xdr:to>
      <xdr:col>14</xdr:col>
      <xdr:colOff>0</xdr:colOff>
      <xdr:row>206</xdr:row>
      <xdr:rowOff>0</xdr:rowOff>
    </xdr:to>
    <mc:AlternateContent xmlns:mc="http://schemas.openxmlformats.org/markup-compatibility/2006" xmlns:a14="http://schemas.microsoft.com/office/drawing/2010/main">
      <mc:Choice Requires="a14">
        <xdr:sp macro="" textlink="">
          <xdr:nvSpPr>
            <xdr:cNvPr id="73" name="TextBox 72">
              <a:extLst>
                <a:ext uri="{FF2B5EF4-FFF2-40B4-BE49-F238E27FC236}">
                  <a16:creationId xmlns:a16="http://schemas.microsoft.com/office/drawing/2014/main" id="{92DF675F-F3D6-418D-8302-E41941D10E31}"/>
                </a:ext>
              </a:extLst>
            </xdr:cNvPr>
            <xdr:cNvSpPr txBox="1"/>
          </xdr:nvSpPr>
          <xdr:spPr>
            <a:xfrm>
              <a:off x="3529854" y="9614647"/>
              <a:ext cx="14018558" cy="14343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oMath>
                </m:oMathPara>
              </a14:m>
              <a:endParaRPr lang="en-US" sz="1400">
                <a:solidFill>
                  <a:sysClr val="windowText" lastClr="000000"/>
                </a:solidFill>
              </a:endParaRPr>
            </a:p>
          </xdr:txBody>
        </xdr:sp>
      </mc:Choice>
      <mc:Fallback xmlns="">
        <xdr:sp macro="" textlink="">
          <xdr:nvSpPr>
            <xdr:cNvPr id="73" name="TextBox 72">
              <a:extLst>
                <a:ext uri="{FF2B5EF4-FFF2-40B4-BE49-F238E27FC236}">
                  <a16:creationId xmlns:a16="http://schemas.microsoft.com/office/drawing/2014/main" id="{92DF675F-F3D6-418D-8302-E41941D10E31}"/>
                </a:ext>
              </a:extLst>
            </xdr:cNvPr>
            <xdr:cNvSpPr txBox="1"/>
          </xdr:nvSpPr>
          <xdr:spPr>
            <a:xfrm>
              <a:off x="3529854" y="9614647"/>
              <a:ext cx="14018558" cy="14343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Δ𝑘𝑊ℎ=∆𝑘𝑊ℎ_ℎ𝑒𝑎𝑡𝑖𝑛𝑔+Δ𝑘𝑊ℎ_𝑐𝑜𝑜𝑙𝑖𝑛𝑔</a:t>
              </a:r>
              <a:endParaRPr lang="en-US" sz="1400">
                <a:solidFill>
                  <a:sysClr val="windowText" lastClr="000000"/>
                </a:solidFill>
              </a:endParaRPr>
            </a:p>
          </xdr:txBody>
        </xdr:sp>
      </mc:Fallback>
    </mc:AlternateContent>
    <xdr:clientData/>
  </xdr:twoCellAnchor>
  <xdr:twoCellAnchor>
    <xdr:from>
      <xdr:col>4</xdr:col>
      <xdr:colOff>54157</xdr:colOff>
      <xdr:row>83</xdr:row>
      <xdr:rowOff>48634</xdr:rowOff>
    </xdr:from>
    <xdr:to>
      <xdr:col>14</xdr:col>
      <xdr:colOff>0</xdr:colOff>
      <xdr:row>91</xdr:row>
      <xdr:rowOff>112059</xdr:rowOff>
    </xdr:to>
    <mc:AlternateContent xmlns:mc="http://schemas.openxmlformats.org/markup-compatibility/2006" xmlns:a14="http://schemas.microsoft.com/office/drawing/2010/main">
      <mc:Choice Requires="a14">
        <xdr:sp macro="" textlink="">
          <xdr:nvSpPr>
            <xdr:cNvPr id="72" name="TextBox 71">
              <a:extLst>
                <a:ext uri="{FF2B5EF4-FFF2-40B4-BE49-F238E27FC236}">
                  <a16:creationId xmlns:a16="http://schemas.microsoft.com/office/drawing/2014/main" id="{B9F29050-43B3-4936-8443-43F06763FB2E}"/>
                </a:ext>
              </a:extLst>
            </xdr:cNvPr>
            <xdr:cNvSpPr txBox="1"/>
          </xdr:nvSpPr>
          <xdr:spPr>
            <a:xfrm>
              <a:off x="3584010" y="8049634"/>
              <a:ext cx="13964402" cy="14977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l"/>
              <a14:m>
                <m:oMathPara xmlns:m="http://schemas.openxmlformats.org/officeDocument/2006/math">
                  <m:oMathParaPr>
                    <m:jc m:val="left"/>
                  </m:oMathParaPr>
                  <m:oMath xmlns:m="http://schemas.openxmlformats.org/officeDocument/2006/math">
                    <m:r>
                      <a:rPr lang="en-US" sz="1200" i="1">
                        <a:solidFill>
                          <a:sysClr val="windowText" lastClr="000000"/>
                        </a:solidFill>
                        <a:latin typeface="Cambria Math" panose="02040503050406030204" pitchFamily="18" charset="0"/>
                        <a:ea typeface="Cambria Math" panose="02040503050406030204" pitchFamily="18" charset="0"/>
                      </a:rPr>
                      <m:t>∆</m:t>
                    </m:r>
                    <m:r>
                      <a:rPr lang="en-US" sz="1200" b="0" i="1">
                        <a:solidFill>
                          <a:sysClr val="windowText" lastClr="000000"/>
                        </a:solidFill>
                        <a:latin typeface="Cambria Math" panose="02040503050406030204" pitchFamily="18" charset="0"/>
                        <a:ea typeface="Cambria Math" panose="02040503050406030204" pitchFamily="18" charset="0"/>
                      </a:rPr>
                      <m:t>𝑘𝑊h</m:t>
                    </m:r>
                    <m:r>
                      <a:rPr lang="en-US" sz="1200" b="0" i="1">
                        <a:solidFill>
                          <a:sysClr val="windowText" lastClr="000000"/>
                        </a:solidFill>
                        <a:latin typeface="Cambria Math" panose="02040503050406030204" pitchFamily="18" charset="0"/>
                        <a:ea typeface="Cambria Math" panose="02040503050406030204" pitchFamily="18" charset="0"/>
                      </a:rPr>
                      <m:t>=</m:t>
                    </m:r>
                    <m:r>
                      <m:rPr>
                        <m:sty m:val="p"/>
                      </m:rPr>
                      <a:rPr lang="en-US" sz="1200" b="0" i="0">
                        <a:solidFill>
                          <a:sysClr val="windowText" lastClr="000000"/>
                        </a:solidFill>
                        <a:latin typeface="Cambria Math" panose="02040503050406030204" pitchFamily="18" charset="0"/>
                        <a:ea typeface="Cambria Math" panose="02040503050406030204" pitchFamily="18" charset="0"/>
                      </a:rPr>
                      <m:t>Δ</m:t>
                    </m:r>
                    <m:r>
                      <a:rPr lang="en-US" sz="12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200" b="0" i="1">
                            <a:solidFill>
                              <a:sysClr val="windowText" lastClr="000000"/>
                            </a:solidFill>
                            <a:latin typeface="Cambria Math" panose="02040503050406030204" pitchFamily="18" charset="0"/>
                            <a:ea typeface="Cambria Math" panose="02040503050406030204" pitchFamily="18" charset="0"/>
                          </a:rPr>
                        </m:ctrlPr>
                      </m:sSubPr>
                      <m:e>
                        <m:r>
                          <a:rPr lang="en-US" sz="1200" b="0" i="1">
                            <a:solidFill>
                              <a:sysClr val="windowText" lastClr="000000"/>
                            </a:solidFill>
                            <a:latin typeface="Cambria Math" panose="02040503050406030204" pitchFamily="18" charset="0"/>
                            <a:ea typeface="Cambria Math" panose="02040503050406030204" pitchFamily="18" charset="0"/>
                          </a:rPr>
                          <m:t>h</m:t>
                        </m:r>
                      </m:e>
                      <m:sub>
                        <m:r>
                          <a:rPr lang="en-US" sz="12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200" b="0" i="1">
                        <a:solidFill>
                          <a:sysClr val="windowText" lastClr="000000"/>
                        </a:solidFill>
                        <a:latin typeface="Cambria Math" panose="02040503050406030204" pitchFamily="18" charset="0"/>
                        <a:ea typeface="Cambria Math" panose="02040503050406030204" pitchFamily="18" charset="0"/>
                      </a:rPr>
                      <m:t>+</m:t>
                    </m:r>
                    <m:r>
                      <m:rPr>
                        <m:sty m:val="p"/>
                      </m:rPr>
                      <a:rPr lang="en-US" sz="1200" b="0" i="0">
                        <a:solidFill>
                          <a:sysClr val="windowText" lastClr="000000"/>
                        </a:solidFill>
                        <a:latin typeface="Cambria Math" panose="02040503050406030204" pitchFamily="18" charset="0"/>
                        <a:ea typeface="Cambria Math" panose="02040503050406030204" pitchFamily="18" charset="0"/>
                      </a:rPr>
                      <m:t>Δ</m:t>
                    </m:r>
                    <m:r>
                      <a:rPr lang="en-US" sz="12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200" b="0" i="1">
                            <a:solidFill>
                              <a:sysClr val="windowText" lastClr="000000"/>
                            </a:solidFill>
                            <a:latin typeface="Cambria Math" panose="02040503050406030204" pitchFamily="18" charset="0"/>
                            <a:ea typeface="Cambria Math" panose="02040503050406030204" pitchFamily="18" charset="0"/>
                          </a:rPr>
                        </m:ctrlPr>
                      </m:sSubPr>
                      <m:e>
                        <m:r>
                          <a:rPr lang="en-US" sz="1200" b="0" i="1">
                            <a:solidFill>
                              <a:sysClr val="windowText" lastClr="000000"/>
                            </a:solidFill>
                            <a:latin typeface="Cambria Math" panose="02040503050406030204" pitchFamily="18" charset="0"/>
                            <a:ea typeface="Cambria Math" panose="02040503050406030204" pitchFamily="18" charset="0"/>
                          </a:rPr>
                          <m:t>h</m:t>
                        </m:r>
                      </m:e>
                      <m:sub>
                        <m:r>
                          <a:rPr lang="en-US" sz="1200" b="0" i="1">
                            <a:solidFill>
                              <a:sysClr val="windowText" lastClr="000000"/>
                            </a:solidFill>
                            <a:latin typeface="Cambria Math" panose="02040503050406030204" pitchFamily="18" charset="0"/>
                            <a:ea typeface="Cambria Math" panose="02040503050406030204" pitchFamily="18" charset="0"/>
                          </a:rPr>
                          <m:t>h𝑒𝑎𝑡𝑖𝑛𝑔</m:t>
                        </m:r>
                      </m:sub>
                    </m:sSub>
                  </m:oMath>
                </m:oMathPara>
              </a14:m>
              <a:endParaRPr lang="en-US" sz="1050">
                <a:solidFill>
                  <a:sysClr val="windowText" lastClr="000000"/>
                </a:solidFill>
              </a:endParaRPr>
            </a:p>
          </xdr:txBody>
        </xdr:sp>
      </mc:Choice>
      <mc:Fallback xmlns="">
        <xdr:sp macro="" textlink="">
          <xdr:nvSpPr>
            <xdr:cNvPr id="72" name="TextBox 71">
              <a:extLst>
                <a:ext uri="{FF2B5EF4-FFF2-40B4-BE49-F238E27FC236}">
                  <a16:creationId xmlns:a16="http://schemas.microsoft.com/office/drawing/2014/main" id="{B9F29050-43B3-4936-8443-43F06763FB2E}"/>
                </a:ext>
              </a:extLst>
            </xdr:cNvPr>
            <xdr:cNvSpPr txBox="1"/>
          </xdr:nvSpPr>
          <xdr:spPr>
            <a:xfrm>
              <a:off x="3584010" y="8049634"/>
              <a:ext cx="13964402" cy="14977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l"/>
              <a:r>
                <a:rPr lang="en-US" sz="1200" i="0">
                  <a:solidFill>
                    <a:sysClr val="windowText" lastClr="000000"/>
                  </a:solidFill>
                  <a:latin typeface="Cambria Math" panose="02040503050406030204" pitchFamily="18" charset="0"/>
                  <a:ea typeface="Cambria Math" panose="02040503050406030204" pitchFamily="18" charset="0"/>
                </a:rPr>
                <a:t>∆</a:t>
              </a:r>
              <a:r>
                <a:rPr lang="en-US" sz="1200" b="0" i="0">
                  <a:solidFill>
                    <a:sysClr val="windowText" lastClr="000000"/>
                  </a:solidFill>
                  <a:latin typeface="Cambria Math" panose="02040503050406030204" pitchFamily="18" charset="0"/>
                  <a:ea typeface="Cambria Math" panose="02040503050406030204" pitchFamily="18" charset="0"/>
                </a:rPr>
                <a:t>𝑘𝑊ℎ=Δ𝑘𝑊ℎ_𝑐𝑜𝑜𝑙𝑖𝑛𝑔+Δ𝑘𝑊ℎ_ℎ𝑒𝑎𝑡𝑖𝑛𝑔</a:t>
              </a:r>
              <a:endParaRPr lang="en-US" sz="1050">
                <a:solidFill>
                  <a:sysClr val="windowText" lastClr="000000"/>
                </a:solidFill>
              </a:endParaRPr>
            </a:p>
          </xdr:txBody>
        </xdr:sp>
      </mc:Fallback>
    </mc:AlternateContent>
    <xdr:clientData/>
  </xdr:twoCellAnchor>
  <xdr:oneCellAnchor>
    <xdr:from>
      <xdr:col>7</xdr:col>
      <xdr:colOff>3613</xdr:colOff>
      <xdr:row>506</xdr:row>
      <xdr:rowOff>0</xdr:rowOff>
    </xdr:from>
    <xdr:ext cx="65" cy="172227"/>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0345042" y="3733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3613</xdr:colOff>
      <xdr:row>506</xdr:row>
      <xdr:rowOff>0</xdr:rowOff>
    </xdr:from>
    <xdr:ext cx="65" cy="172227"/>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10345042" y="3733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25</xdr:row>
      <xdr:rowOff>453627</xdr:rowOff>
    </xdr:from>
    <xdr:ext cx="65" cy="172227"/>
    <xdr:sp macro="" textlink="">
      <xdr:nvSpPr>
        <xdr:cNvPr id="4" name="TextBox 3">
          <a:extLst>
            <a:ext uri="{FF2B5EF4-FFF2-40B4-BE49-F238E27FC236}">
              <a16:creationId xmlns:a16="http://schemas.microsoft.com/office/drawing/2014/main" id="{00000000-0008-0000-0900-000004000000}"/>
            </a:ext>
          </a:extLst>
        </xdr:cNvPr>
        <xdr:cNvSpPr txBox="1"/>
      </xdr:nvSpPr>
      <xdr:spPr>
        <a:xfrm>
          <a:off x="10641806" y="2886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5" name="TextBox 4">
          <a:extLst>
            <a:ext uri="{FF2B5EF4-FFF2-40B4-BE49-F238E27FC236}">
              <a16:creationId xmlns:a16="http://schemas.microsoft.com/office/drawing/2014/main" id="{00000000-0008-0000-0900-000005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6" name="TextBox 5">
          <a:extLst>
            <a:ext uri="{FF2B5EF4-FFF2-40B4-BE49-F238E27FC236}">
              <a16:creationId xmlns:a16="http://schemas.microsoft.com/office/drawing/2014/main" id="{00000000-0008-0000-0900-000006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1316082</xdr:colOff>
      <xdr:row>407</xdr:row>
      <xdr:rowOff>0</xdr:rowOff>
    </xdr:from>
    <xdr:to>
      <xdr:col>13</xdr:col>
      <xdr:colOff>3809</xdr:colOff>
      <xdr:row>414</xdr:row>
      <xdr:rowOff>95250</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3534046" y="27949071"/>
              <a:ext cx="13043263" cy="115660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m:t>
                    </m:r>
                    <m:d>
                      <m:dPr>
                        <m:ctrlPr>
                          <a:rPr lang="en-US" sz="1400" i="1">
                            <a:solidFill>
                              <a:sysClr val="windowText" lastClr="000000"/>
                            </a:solidFill>
                            <a:latin typeface="Cambria Math" panose="02040503050406030204" pitchFamily="18" charset="0"/>
                            <a:ea typeface="Cambria Math" panose="02040503050406030204" pitchFamily="18" charset="0"/>
                          </a:rPr>
                        </m:ctrlPr>
                      </m:dPr>
                      <m:e>
                        <m:f>
                          <m:fPr>
                            <m:ctrlPr>
                              <a:rPr lang="en-US" sz="11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ElectricDHW</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GPM</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base</m:t>
                            </m:r>
                            <m:r>
                              <m:rPr>
                                <m:nor/>
                              </m:rPr>
                              <a:rPr lang="en-US" sz="110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L</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base</m:t>
                            </m:r>
                            <m:r>
                              <m:rPr>
                                <m:nor/>
                              </m:rPr>
                              <a:rPr lang="en-US" sz="1100" b="0" i="1" baseline="-2500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GPM</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low</m:t>
                            </m:r>
                            <m:r>
                              <m:rPr>
                                <m:nor/>
                              </m:rPr>
                              <a:rPr lang="en-US" sz="1100" b="0" i="1" baseline="-2500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L</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low</m:t>
                            </m:r>
                            <m:r>
                              <m:rPr>
                                <m:nor/>
                              </m:rPr>
                              <a:rPr lang="en-US" sz="11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Household</m:t>
                            </m:r>
                            <m:r>
                              <m:rPr>
                                <m:nor/>
                              </m:rPr>
                              <a:rPr lang="en-US" sz="11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365.25 ∗ </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DF</m:t>
                            </m:r>
                            <m:r>
                              <m:rPr>
                                <m:nor/>
                              </m:rPr>
                              <a:rPr lang="en-US" sz="1100" b="0" i="1" baseline="0">
                                <a:solidFill>
                                  <a:sysClr val="windowText" lastClr="000000"/>
                                </a:solidFill>
                                <a:effectLst/>
                                <a:latin typeface="Cambria Math" panose="02040503050406030204" pitchFamily="18" charset="0"/>
                                <a:ea typeface="Cambria Math" panose="02040503050406030204" pitchFamily="18" charset="0"/>
                                <a:cs typeface="+mn-cs"/>
                              </a:rPr>
                              <m:t> </m:t>
                            </m:r>
                          </m:num>
                          <m:den>
                            <m:r>
                              <a:rPr lang="en-US" sz="1100" b="0" i="1">
                                <a:solidFill>
                                  <a:sysClr val="windowText" lastClr="000000"/>
                                </a:solidFill>
                                <a:effectLst/>
                                <a:latin typeface="Cambria Math" panose="02040503050406030204" pitchFamily="18" charset="0"/>
                                <a:ea typeface="Cambria Math" panose="02040503050406030204" pitchFamily="18" charset="0"/>
                                <a:cs typeface="+mn-cs"/>
                              </a:rPr>
                              <m:t>𝐹𝑃𝐻</m:t>
                            </m:r>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𝐸𝑃𝐺</m:t>
                    </m:r>
                    <m:r>
                      <a:rPr lang="en-US" sz="1400" b="0" i="1">
                        <a:solidFill>
                          <a:sysClr val="windowText" lastClr="000000"/>
                        </a:solidFill>
                        <a:latin typeface="Cambria Math" panose="02040503050406030204" pitchFamily="18" charset="0"/>
                        <a:ea typeface="Cambria Math" panose="02040503050406030204" pitchFamily="18" charset="0"/>
                      </a:rPr>
                      <m:t>_</m:t>
                    </m:r>
                    <m:r>
                      <a:rPr lang="en-US" sz="1400" b="0" i="1">
                        <a:solidFill>
                          <a:sysClr val="windowText" lastClr="000000"/>
                        </a:solidFill>
                        <a:latin typeface="Cambria Math" panose="02040503050406030204" pitchFamily="18" charset="0"/>
                        <a:ea typeface="Cambria Math" panose="02040503050406030204" pitchFamily="18" charset="0"/>
                      </a:rPr>
                      <m:t>𝑒𝑙𝑒𝑐𝑡𝑟𝑖𝑐</m:t>
                    </m:r>
                    <m:r>
                      <a:rPr lang="en-US" sz="11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1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sz="105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05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3534046" y="27949071"/>
              <a:ext cx="13043263" cy="115660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400" i="0">
                  <a:solidFill>
                    <a:sysClr val="windowText" lastClr="000000"/>
                  </a:solidFill>
                  <a:latin typeface="Cambria Math" panose="02040503050406030204" pitchFamily="18" charset="0"/>
                  <a:ea typeface="Cambria Math" panose="02040503050406030204" pitchFamily="18" charset="0"/>
                </a:rPr>
                <a:t>=(</a:t>
              </a:r>
              <a:r>
                <a:rPr lang="en-US" sz="1100" b="0" i="0" baseline="0">
                  <a:solidFill>
                    <a:sysClr val="windowText" lastClr="000000"/>
                  </a:solidFill>
                  <a:effectLst/>
                  <a:latin typeface="Cambria Math" panose="02040503050406030204" pitchFamily="18" charset="0"/>
                  <a:ea typeface="Cambria Math" panose="02040503050406030204" pitchFamily="18" charset="0"/>
                  <a:cs typeface="+mn-cs"/>
                </a:rPr>
                <a:t>"%ElectricDHW x ((GPM_base</a:t>
              </a:r>
              <a:r>
                <a:rPr lang="en-US" sz="1100" i="0" baseline="0">
                  <a:solidFill>
                    <a:sysClr val="windowText" lastClr="000000"/>
                  </a:solidFill>
                  <a:effectLst/>
                  <a:latin typeface="Cambria Math" panose="02040503050406030204" pitchFamily="18" charset="0"/>
                  <a:ea typeface="Cambria Math" panose="02040503050406030204" pitchFamily="18" charset="0"/>
                  <a:cs typeface="+mn-cs"/>
                </a:rPr>
                <a:t> </a:t>
              </a:r>
              <a:r>
                <a:rPr lang="en-US" sz="1100" b="0" i="0" baseline="0">
                  <a:solidFill>
                    <a:sysClr val="windowText" lastClr="000000"/>
                  </a:solidFill>
                  <a:effectLst/>
                  <a:latin typeface="Cambria Math" panose="02040503050406030204" pitchFamily="18" charset="0"/>
                  <a:ea typeface="Cambria Math" panose="02040503050406030204" pitchFamily="18" charset="0"/>
                  <a:cs typeface="+mn-cs"/>
                </a:rPr>
                <a:t>x L_base</a:t>
              </a:r>
              <a:r>
                <a:rPr lang="en-US" sz="1100" b="0" i="0" baseline="-25000">
                  <a:solidFill>
                    <a:sysClr val="windowText" lastClr="000000"/>
                  </a:solidFill>
                  <a:effectLst/>
                  <a:latin typeface="Cambria Math" panose="02040503050406030204" pitchFamily="18" charset="0"/>
                  <a:ea typeface="Cambria Math" panose="02040503050406030204" pitchFamily="18" charset="0"/>
                  <a:cs typeface="+mn-cs"/>
                </a:rPr>
                <a:t>  − </a:t>
              </a:r>
              <a:r>
                <a:rPr lang="en-US" sz="1100" b="0" i="0" baseline="0">
                  <a:solidFill>
                    <a:sysClr val="windowText" lastClr="000000"/>
                  </a:solidFill>
                  <a:effectLst/>
                  <a:latin typeface="Cambria Math" panose="02040503050406030204" pitchFamily="18" charset="0"/>
                  <a:ea typeface="Cambria Math" panose="02040503050406030204" pitchFamily="18" charset="0"/>
                  <a:cs typeface="+mn-cs"/>
                </a:rPr>
                <a:t>GPM_low</a:t>
              </a:r>
              <a:r>
                <a:rPr lang="en-US" sz="1100" b="0" i="0" baseline="-25000">
                  <a:solidFill>
                    <a:sysClr val="windowText" lastClr="000000"/>
                  </a:solidFill>
                  <a:effectLst/>
                  <a:latin typeface="Cambria Math" panose="02040503050406030204" pitchFamily="18" charset="0"/>
                  <a:ea typeface="Cambria Math" panose="02040503050406030204" pitchFamily="18" charset="0"/>
                  <a:cs typeface="+mn-cs"/>
                </a:rPr>
                <a:t>  </a:t>
              </a:r>
              <a:r>
                <a:rPr lang="en-US" sz="1100" b="0" i="0" baseline="0">
                  <a:solidFill>
                    <a:sysClr val="windowText" lastClr="000000"/>
                  </a:solidFill>
                  <a:effectLst/>
                  <a:latin typeface="Cambria Math" panose="02040503050406030204" pitchFamily="18" charset="0"/>
                  <a:ea typeface="Cambria Math" panose="02040503050406030204" pitchFamily="18" charset="0"/>
                  <a:cs typeface="+mn-cs"/>
                </a:rPr>
                <a:t>x L_low</a:t>
              </a:r>
              <a:r>
                <a:rPr lang="en-US" sz="11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100" b="0" i="0" baseline="0">
                  <a:solidFill>
                    <a:sysClr val="windowText" lastClr="000000"/>
                  </a:solidFill>
                  <a:effectLst/>
                  <a:latin typeface="Cambria Math" panose="02040503050406030204" pitchFamily="18" charset="0"/>
                  <a:ea typeface="Cambria Math" panose="02040503050406030204" pitchFamily="18" charset="0"/>
                  <a:cs typeface="+mn-cs"/>
                </a:rPr>
                <a:t>Household</a:t>
              </a:r>
              <a:r>
                <a:rPr lang="en-US" sz="11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100" b="0" i="0" baseline="0">
                  <a:solidFill>
                    <a:sysClr val="windowText" lastClr="000000"/>
                  </a:solidFill>
                  <a:effectLst/>
                  <a:latin typeface="Cambria Math" panose="02040503050406030204" pitchFamily="18" charset="0"/>
                  <a:ea typeface="Cambria Math" panose="02040503050406030204" pitchFamily="18" charset="0"/>
                  <a:cs typeface="+mn-cs"/>
                </a:rPr>
                <a:t>365.25 ∗ DF " /</a:t>
              </a:r>
              <a:r>
                <a:rPr lang="en-US" sz="1100" b="0" i="0">
                  <a:solidFill>
                    <a:sysClr val="windowText" lastClr="000000"/>
                  </a:solidFill>
                  <a:effectLst/>
                  <a:latin typeface="Cambria Math" panose="02040503050406030204" pitchFamily="18" charset="0"/>
                  <a:ea typeface="Cambria Math" panose="02040503050406030204" pitchFamily="18" charset="0"/>
                  <a:cs typeface="+mn-cs"/>
                </a:rPr>
                <a:t>𝐹𝑃𝐻)</a:t>
              </a:r>
              <a:r>
                <a:rPr lang="en-US" sz="1400" b="0" i="0">
                  <a:solidFill>
                    <a:sysClr val="windowText" lastClr="000000"/>
                  </a:solidFill>
                  <a:latin typeface="Cambria Math" panose="02040503050406030204" pitchFamily="18" charset="0"/>
                  <a:ea typeface="Cambria Math" panose="02040503050406030204" pitchFamily="18" charset="0"/>
                </a:rPr>
                <a:t>∗𝐸𝑃𝐺_𝑒𝑙𝑒𝑐𝑡𝑟𝑖𝑐</a:t>
              </a:r>
              <a:r>
                <a:rPr lang="en-US" sz="1100" b="0" i="0">
                  <a:solidFill>
                    <a:sysClr val="windowText" lastClr="000000"/>
                  </a:solidFill>
                  <a:effectLst/>
                  <a:latin typeface="Cambria Math" panose="02040503050406030204" pitchFamily="18" charset="0"/>
                  <a:ea typeface="Cambria Math" panose="02040503050406030204" pitchFamily="18" charset="0"/>
                  <a:cs typeface="+mn-cs"/>
                </a:rPr>
                <a:t>∗ 𝐼𝑆𝑅</a:t>
              </a:r>
              <a:endParaRPr lang="en-US" sz="105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05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4</xdr:col>
      <xdr:colOff>478155</xdr:colOff>
      <xdr:row>409</xdr:row>
      <xdr:rowOff>141409</xdr:rowOff>
    </xdr:from>
    <xdr:to>
      <xdr:col>13</xdr:col>
      <xdr:colOff>0</xdr:colOff>
      <xdr:row>412</xdr:row>
      <xdr:rowOff>163285</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900-000008000000}"/>
                </a:ext>
              </a:extLst>
            </xdr:cNvPr>
            <xdr:cNvSpPr txBox="1"/>
          </xdr:nvSpPr>
          <xdr:spPr>
            <a:xfrm>
              <a:off x="4016012" y="28444266"/>
              <a:ext cx="12557488" cy="55255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600" b="0" i="1">
                        <a:solidFill>
                          <a:sysClr val="windowText" lastClr="000000"/>
                        </a:solidFill>
                        <a:effectLst/>
                        <a:latin typeface="Cambria Math" panose="02040503050406030204" pitchFamily="18" charset="0"/>
                        <a:ea typeface="Cambria Math" panose="02040503050406030204" pitchFamily="18" charset="0"/>
                        <a:cs typeface="+mn-cs"/>
                      </a:rPr>
                      <m:t>EPG</m:t>
                    </m:r>
                    <m:r>
                      <m:rPr>
                        <m:nor/>
                      </m:rPr>
                      <a:rPr lang="en-US" sz="1600" b="0" i="1">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600" b="0" i="1">
                        <a:solidFill>
                          <a:sysClr val="windowText" lastClr="000000"/>
                        </a:solidFill>
                        <a:effectLst/>
                        <a:latin typeface="Cambria Math" panose="02040503050406030204" pitchFamily="18" charset="0"/>
                        <a:ea typeface="Cambria Math" panose="02040503050406030204" pitchFamily="18" charset="0"/>
                        <a:cs typeface="+mn-cs"/>
                      </a:rPr>
                      <m:t>electric</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 </m:t>
                    </m:r>
                    <m:r>
                      <a:rPr lang="en-US" sz="1600" i="1">
                        <a:solidFill>
                          <a:sysClr val="windowText" lastClr="000000"/>
                        </a:solidFill>
                        <a:latin typeface="Cambria Math" panose="02040503050406030204" pitchFamily="18" charset="0"/>
                        <a:ea typeface="Cambria Math" panose="02040503050406030204" pitchFamily="18" charset="0"/>
                      </a:rPr>
                      <m:t>=</m:t>
                    </m:r>
                    <m:f>
                      <m:fPr>
                        <m:ctrlPr>
                          <a:rPr lang="en-US" sz="1600" i="1">
                            <a:solidFill>
                              <a:sysClr val="windowText" lastClr="000000"/>
                            </a:solidFill>
                            <a:latin typeface="Cambria Math" panose="02040503050406030204" pitchFamily="18" charset="0"/>
                            <a:ea typeface="Cambria Math" panose="02040503050406030204" pitchFamily="18" charset="0"/>
                          </a:rPr>
                        </m:ctrlPr>
                      </m:fPr>
                      <m:num>
                        <m:r>
                          <a:rPr lang="en-US" sz="1200" b="0" i="1">
                            <a:solidFill>
                              <a:sysClr val="windowText" lastClr="000000"/>
                            </a:solidFill>
                            <a:effectLst/>
                            <a:latin typeface="Cambria Math" panose="02040503050406030204" pitchFamily="18" charset="0"/>
                            <a:ea typeface="Cambria Math" panose="02040503050406030204" pitchFamily="18" charset="0"/>
                            <a:cs typeface="+mn-cs"/>
                          </a:rPr>
                          <m:t>8.33∗1.0∗(</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𝑊𝑎𝑡𝑒𝑟𝑇𝑒𝑚𝑝</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𝑆𝑢𝑝𝑝𝑙𝑦𝑇𝑒𝑚𝑝</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m:t>
                        </m:r>
                      </m:num>
                      <m:den>
                        <m:r>
                          <a:rPr lang="en-US" sz="1200" b="0" i="1">
                            <a:solidFill>
                              <a:sysClr val="windowText" lastClr="000000"/>
                            </a:solidFill>
                            <a:effectLst/>
                            <a:latin typeface="Cambria Math" panose="02040503050406030204" pitchFamily="18" charset="0"/>
                            <a:ea typeface="Cambria Math" panose="02040503050406030204" pitchFamily="18" charset="0"/>
                            <a:cs typeface="+mn-cs"/>
                          </a:rPr>
                          <m:t>𝑅𝐸</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_</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𝑒𝑙𝑒𝑐𝑡𝑟𝑖𝑐</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∗3,412</m:t>
                        </m:r>
                      </m:den>
                    </m:f>
                  </m:oMath>
                </m:oMathPara>
              </a14:m>
              <a:endParaRPr lang="en-US" sz="105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05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8" name="TextBox 7">
              <a:extLst>
                <a:ext uri="{FF2B5EF4-FFF2-40B4-BE49-F238E27FC236}">
                  <a16:creationId xmlns:a16="http://schemas.microsoft.com/office/drawing/2014/main" id="{00000000-0008-0000-0900-000008000000}"/>
                </a:ext>
              </a:extLst>
            </xdr:cNvPr>
            <xdr:cNvSpPr txBox="1"/>
          </xdr:nvSpPr>
          <xdr:spPr>
            <a:xfrm>
              <a:off x="4016012" y="28444266"/>
              <a:ext cx="12557488" cy="55255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b="0" i="0">
                  <a:solidFill>
                    <a:sysClr val="windowText" lastClr="000000"/>
                  </a:solidFill>
                  <a:effectLst/>
                  <a:latin typeface="Cambria Math" panose="02040503050406030204" pitchFamily="18" charset="0"/>
                  <a:ea typeface="Cambria Math" panose="02040503050406030204" pitchFamily="18" charset="0"/>
                  <a:cs typeface="+mn-cs"/>
                </a:rPr>
                <a:t>"EPG_electric</a:t>
              </a:r>
              <a:r>
                <a:rPr lang="en-US" sz="1600" i="0">
                  <a:solidFill>
                    <a:sysClr val="windowText" lastClr="000000"/>
                  </a:solidFill>
                  <a:effectLst/>
                  <a:latin typeface="Cambria Math" panose="02040503050406030204" pitchFamily="18" charset="0"/>
                  <a:ea typeface="Cambria Math" panose="02040503050406030204" pitchFamily="18" charset="0"/>
                  <a:cs typeface="+mn-cs"/>
                </a:rPr>
                <a:t> "</a:t>
              </a:r>
              <a:r>
                <a:rPr lang="en-US" sz="1600" i="0">
                  <a:solidFill>
                    <a:sysClr val="windowText" lastClr="000000"/>
                  </a:solidFill>
                  <a:latin typeface="Cambria Math" panose="02040503050406030204" pitchFamily="18" charset="0"/>
                  <a:ea typeface="Cambria Math" panose="02040503050406030204" pitchFamily="18" charset="0"/>
                </a:rPr>
                <a:t>=(</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8.33∗1.0∗(𝑊𝑎𝑡𝑒𝑟𝑇𝑒𝑚𝑝 −𝑆𝑢𝑝𝑝𝑙𝑦𝑇𝑒𝑚𝑝)</a:t>
              </a:r>
              <a:r>
                <a:rPr lang="en-US" sz="16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𝑅𝐸_𝑒𝑙𝑒𝑐𝑡𝑟𝑖𝑐∗3,412</a:t>
              </a:r>
              <a:r>
                <a:rPr lang="en-US" sz="1600" b="0" i="0">
                  <a:solidFill>
                    <a:sysClr val="windowText" lastClr="000000"/>
                  </a:solidFill>
                  <a:effectLst/>
                  <a:latin typeface="Cambria Math" panose="02040503050406030204" pitchFamily="18" charset="0"/>
                  <a:ea typeface="Cambria Math" panose="02040503050406030204" pitchFamily="18" charset="0"/>
                  <a:cs typeface="+mn-cs"/>
                </a:rPr>
                <a:t>)</a:t>
              </a:r>
              <a:endParaRPr lang="en-US" sz="105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05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4</xdr:col>
      <xdr:colOff>0</xdr:colOff>
      <xdr:row>442</xdr:row>
      <xdr:rowOff>-1</xdr:rowOff>
    </xdr:from>
    <xdr:to>
      <xdr:col>13</xdr:col>
      <xdr:colOff>0</xdr:colOff>
      <xdr:row>449</xdr:row>
      <xdr:rowOff>54427</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00000000-0008-0000-0900-000009000000}"/>
                </a:ext>
              </a:extLst>
            </xdr:cNvPr>
            <xdr:cNvSpPr txBox="1"/>
          </xdr:nvSpPr>
          <xdr:spPr>
            <a:xfrm>
              <a:off x="3537857" y="19308535"/>
              <a:ext cx="13035643" cy="111578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SPCD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m:t>
                            </m:r>
                          </m:num>
                          <m:den>
                            <m:r>
                              <a:rPr lang="en-US" sz="1400" b="0" i="1">
                                <a:solidFill>
                                  <a:sysClr val="windowText" lastClr="000000"/>
                                </a:solidFill>
                                <a:effectLst/>
                                <a:latin typeface="Cambria Math" panose="02040503050406030204" pitchFamily="18" charset="0"/>
                                <a:ea typeface="+mn-ea"/>
                                <a:cs typeface="+mn-cs"/>
                              </a:rPr>
                              <m:t>𝑆𝑃𝐻</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𝐸𝑃𝐺</m:t>
                    </m:r>
                    <m:r>
                      <a:rPr lang="en-US" sz="1800" b="0" i="1">
                        <a:solidFill>
                          <a:sysClr val="windowText" lastClr="000000"/>
                        </a:solidFill>
                        <a:latin typeface="Cambria Math" panose="02040503050406030204" pitchFamily="18" charset="0"/>
                      </a:rPr>
                      <m:t>_</m:t>
                    </m:r>
                    <m:r>
                      <a:rPr lang="en-US" sz="1800" b="0" i="1">
                        <a:solidFill>
                          <a:sysClr val="windowText" lastClr="000000"/>
                        </a:solidFill>
                        <a:latin typeface="Cambria Math" panose="02040503050406030204" pitchFamily="18" charset="0"/>
                      </a:rPr>
                      <m:t>𝑒𝑙𝑒𝑐𝑡𝑟𝑖𝑐</m:t>
                    </m:r>
                    <m:r>
                      <a:rPr lang="en-US" sz="1400" b="0" i="1">
                        <a:solidFill>
                          <a:sysClr val="windowText" lastClr="000000"/>
                        </a:solidFill>
                        <a:effectLst/>
                        <a:latin typeface="Cambria Math" panose="02040503050406030204" pitchFamily="18" charset="0"/>
                        <a:ea typeface="+mn-ea"/>
                        <a:cs typeface="+mn-cs"/>
                      </a:rPr>
                      <m:t> ∗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9" name="TextBox 8">
              <a:extLst>
                <a:ext uri="{FF2B5EF4-FFF2-40B4-BE49-F238E27FC236}">
                  <a16:creationId xmlns:a16="http://schemas.microsoft.com/office/drawing/2014/main" id="{00000000-0008-0000-0900-000009000000}"/>
                </a:ext>
              </a:extLst>
            </xdr:cNvPr>
            <xdr:cNvSpPr txBox="1"/>
          </xdr:nvSpPr>
          <xdr:spPr>
            <a:xfrm>
              <a:off x="3537857" y="19308535"/>
              <a:ext cx="13035643" cy="111578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SPCD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𝑆𝑃𝐻)</a:t>
              </a:r>
              <a:r>
                <a:rPr lang="en-US" sz="1800" b="0" i="0">
                  <a:solidFill>
                    <a:sysClr val="windowText" lastClr="000000"/>
                  </a:solidFill>
                  <a:latin typeface="Cambria Math" panose="02040503050406030204" pitchFamily="18" charset="0"/>
                </a:rPr>
                <a:t>∗𝐸𝑃𝐺_𝑒𝑙𝑒𝑐𝑡𝑟𝑖𝑐</a:t>
              </a:r>
              <a:r>
                <a:rPr lang="en-US" sz="1400" b="0" i="0">
                  <a:solidFill>
                    <a:sysClr val="windowText" lastClr="000000"/>
                  </a:solidFill>
                  <a:effectLst/>
                  <a:latin typeface="Cambria Math" panose="02040503050406030204" pitchFamily="18" charset="0"/>
                  <a:ea typeface="+mn-ea"/>
                  <a:cs typeface="+mn-cs"/>
                </a:rPr>
                <a:t> ∗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4</xdr:col>
      <xdr:colOff>418010</xdr:colOff>
      <xdr:row>445</xdr:row>
      <xdr:rowOff>74023</xdr:rowOff>
    </xdr:from>
    <xdr:to>
      <xdr:col>13</xdr:col>
      <xdr:colOff>0</xdr:colOff>
      <xdr:row>447</xdr:row>
      <xdr:rowOff>163286</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900-00000A000000}"/>
                </a:ext>
              </a:extLst>
            </xdr:cNvPr>
            <xdr:cNvSpPr txBox="1"/>
          </xdr:nvSpPr>
          <xdr:spPr>
            <a:xfrm>
              <a:off x="3955867" y="30717309"/>
              <a:ext cx="12617633" cy="44304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600" b="0" i="1">
                        <a:solidFill>
                          <a:sysClr val="windowText" lastClr="000000"/>
                        </a:solidFill>
                        <a:effectLst/>
                        <a:latin typeface="Book Antiqua" panose="02040602050305030304" pitchFamily="18" charset="0"/>
                        <a:ea typeface="+mn-ea"/>
                        <a:cs typeface="+mn-cs"/>
                      </a:rPr>
                      <m:t>EPG</m:t>
                    </m:r>
                    <m:r>
                      <m:rPr>
                        <m:nor/>
                      </m:rPr>
                      <a:rPr lang="en-US" sz="1600" b="0" i="1">
                        <a:solidFill>
                          <a:sysClr val="windowText" lastClr="000000"/>
                        </a:solidFill>
                        <a:effectLst/>
                        <a:latin typeface="Book Antiqua" panose="02040602050305030304" pitchFamily="18" charset="0"/>
                        <a:ea typeface="+mn-ea"/>
                        <a:cs typeface="+mn-cs"/>
                      </a:rPr>
                      <m:t>_</m:t>
                    </m:r>
                    <m:r>
                      <m:rPr>
                        <m:nor/>
                      </m:rPr>
                      <a:rPr lang="en-US" sz="1600" b="0" i="1">
                        <a:solidFill>
                          <a:sysClr val="windowText" lastClr="000000"/>
                        </a:solidFill>
                        <a:effectLst/>
                        <a:latin typeface="Book Antiqua" panose="02040602050305030304" pitchFamily="18" charset="0"/>
                        <a:ea typeface="+mn-ea"/>
                        <a:cs typeface="+mn-cs"/>
                      </a:rPr>
                      <m:t>electric</m:t>
                    </m:r>
                    <m:r>
                      <m:rPr>
                        <m:nor/>
                      </m:rPr>
                      <a:rPr lang="en-US" sz="1600" i="1">
                        <a:solidFill>
                          <a:sysClr val="windowText" lastClr="000000"/>
                        </a:solidFill>
                        <a:effectLst/>
                        <a:latin typeface="Book Antiqua" panose="02040602050305030304" pitchFamily="18" charset="0"/>
                        <a:ea typeface="+mn-ea"/>
                        <a:cs typeface="+mn-cs"/>
                      </a:rPr>
                      <m:t> </m:t>
                    </m:r>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200" b="0" i="1">
                            <a:solidFill>
                              <a:sysClr val="windowText" lastClr="000000"/>
                            </a:solidFill>
                            <a:effectLst/>
                            <a:latin typeface="Cambria Math" panose="02040503050406030204" pitchFamily="18" charset="0"/>
                            <a:ea typeface="+mn-ea"/>
                            <a:cs typeface="+mn-cs"/>
                          </a:rPr>
                          <m:t>8.33∗1.0∗(</m:t>
                        </m:r>
                        <m:r>
                          <a:rPr lang="en-US" sz="1200" b="0" i="1">
                            <a:solidFill>
                              <a:sysClr val="windowText" lastClr="000000"/>
                            </a:solidFill>
                            <a:effectLst/>
                            <a:latin typeface="Cambria Math" panose="02040503050406030204" pitchFamily="18" charset="0"/>
                            <a:ea typeface="+mn-ea"/>
                            <a:cs typeface="+mn-cs"/>
                          </a:rPr>
                          <m:t>𝑆h𝑜𝑤𝑒𝑟𝑇𝑒𝑚𝑝</m:t>
                        </m:r>
                        <m:r>
                          <a:rPr lang="en-US" sz="1200" b="0" i="1">
                            <a:solidFill>
                              <a:sysClr val="windowText" lastClr="000000"/>
                            </a:solidFill>
                            <a:effectLst/>
                            <a:latin typeface="Cambria Math" panose="02040503050406030204" pitchFamily="18" charset="0"/>
                            <a:ea typeface="+mn-ea"/>
                            <a:cs typeface="+mn-cs"/>
                          </a:rPr>
                          <m:t> −</m:t>
                        </m:r>
                        <m:r>
                          <a:rPr lang="en-US" sz="1200" b="0" i="1">
                            <a:solidFill>
                              <a:sysClr val="windowText" lastClr="000000"/>
                            </a:solidFill>
                            <a:effectLst/>
                            <a:latin typeface="Cambria Math" panose="02040503050406030204" pitchFamily="18" charset="0"/>
                            <a:ea typeface="+mn-ea"/>
                            <a:cs typeface="+mn-cs"/>
                          </a:rPr>
                          <m:t>𝑆𝑢𝑝𝑝𝑙𝑦𝑇𝑒𝑚𝑝</m:t>
                        </m:r>
                        <m:r>
                          <a:rPr lang="en-US" sz="1200" b="0" i="1">
                            <a:solidFill>
                              <a:sysClr val="windowText" lastClr="000000"/>
                            </a:solidFill>
                            <a:effectLst/>
                            <a:latin typeface="Cambria Math" panose="02040503050406030204" pitchFamily="18" charset="0"/>
                            <a:ea typeface="+mn-ea"/>
                            <a:cs typeface="+mn-cs"/>
                          </a:rPr>
                          <m:t>)</m:t>
                        </m:r>
                      </m:num>
                      <m:den>
                        <m:r>
                          <a:rPr lang="en-US" sz="1200" b="0" i="1">
                            <a:solidFill>
                              <a:sysClr val="windowText" lastClr="000000"/>
                            </a:solidFill>
                            <a:effectLst/>
                            <a:latin typeface="Cambria Math" panose="02040503050406030204" pitchFamily="18" charset="0"/>
                            <a:ea typeface="+mn-ea"/>
                            <a:cs typeface="+mn-cs"/>
                          </a:rPr>
                          <m:t>𝑅𝐸</m:t>
                        </m:r>
                        <m:r>
                          <a:rPr lang="en-US" sz="1200" b="0" i="1">
                            <a:solidFill>
                              <a:sysClr val="windowText" lastClr="000000"/>
                            </a:solidFill>
                            <a:effectLst/>
                            <a:latin typeface="Cambria Math" panose="02040503050406030204" pitchFamily="18" charset="0"/>
                            <a:ea typeface="+mn-ea"/>
                            <a:cs typeface="+mn-cs"/>
                          </a:rPr>
                          <m:t>_</m:t>
                        </m:r>
                        <m:r>
                          <a:rPr lang="en-US" sz="1200" b="0" i="1">
                            <a:solidFill>
                              <a:sysClr val="windowText" lastClr="000000"/>
                            </a:solidFill>
                            <a:effectLst/>
                            <a:latin typeface="Cambria Math" panose="02040503050406030204" pitchFamily="18" charset="0"/>
                            <a:ea typeface="+mn-ea"/>
                            <a:cs typeface="+mn-cs"/>
                          </a:rPr>
                          <m:t>𝑒𝑙𝑒𝑐𝑡𝑟𝑖𝑐</m:t>
                        </m:r>
                        <m:r>
                          <a:rPr lang="en-US" sz="1200" b="0" i="1">
                            <a:solidFill>
                              <a:sysClr val="windowText" lastClr="000000"/>
                            </a:solidFill>
                            <a:effectLst/>
                            <a:latin typeface="Cambria Math" panose="02040503050406030204" pitchFamily="18" charset="0"/>
                            <a:ea typeface="+mn-ea"/>
                            <a:cs typeface="+mn-cs"/>
                          </a:rPr>
                          <m:t>∗3,412</m:t>
                        </m:r>
                      </m:den>
                    </m:f>
                  </m:oMath>
                </m:oMathPara>
              </a14:m>
              <a:endParaRPr lang="en-US" sz="1200" i="1" baseline="-25000">
                <a:solidFill>
                  <a:sysClr val="windowText" lastClr="000000"/>
                </a:solidFill>
                <a:effectLst/>
                <a:latin typeface="Book Antiqua" panose="02040602050305030304" pitchFamily="18" charset="0"/>
              </a:endParaRPr>
            </a:p>
            <a:p>
              <a:pPr algn="l"/>
              <a:endParaRPr lang="en-US" sz="1200" i="0">
                <a:solidFill>
                  <a:srgbClr val="00B050"/>
                </a:solidFill>
              </a:endParaRPr>
            </a:p>
          </xdr:txBody>
        </xdr:sp>
      </mc:Choice>
      <mc:Fallback xmlns="">
        <xdr:sp macro="" textlink="">
          <xdr:nvSpPr>
            <xdr:cNvPr id="10" name="TextBox 9">
              <a:extLst>
                <a:ext uri="{FF2B5EF4-FFF2-40B4-BE49-F238E27FC236}">
                  <a16:creationId xmlns:a16="http://schemas.microsoft.com/office/drawing/2014/main" id="{00000000-0008-0000-0900-00000A000000}"/>
                </a:ext>
              </a:extLst>
            </xdr:cNvPr>
            <xdr:cNvSpPr txBox="1"/>
          </xdr:nvSpPr>
          <xdr:spPr>
            <a:xfrm>
              <a:off x="3955867" y="30717309"/>
              <a:ext cx="12617633" cy="44304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b="0" i="0">
                  <a:solidFill>
                    <a:sysClr val="windowText" lastClr="000000"/>
                  </a:solidFill>
                  <a:effectLst/>
                  <a:latin typeface="Cambria Math" panose="02040503050406030204" pitchFamily="18" charset="0"/>
                  <a:ea typeface="+mn-ea"/>
                  <a:cs typeface="+mn-cs"/>
                </a:rPr>
                <a:t>"EPG_electric</a:t>
              </a:r>
              <a:r>
                <a:rPr lang="en-US" sz="1600" i="0">
                  <a:solidFill>
                    <a:sysClr val="windowText" lastClr="000000"/>
                  </a:solidFill>
                  <a:effectLst/>
                  <a:latin typeface="Cambria Math" panose="02040503050406030204" pitchFamily="18" charset="0"/>
                  <a:ea typeface="+mn-ea"/>
                  <a:cs typeface="+mn-cs"/>
                </a:rPr>
                <a:t> "</a:t>
              </a:r>
              <a:r>
                <a:rPr lang="en-US" sz="1600" i="0">
                  <a:solidFill>
                    <a:sysClr val="windowText" lastClr="000000"/>
                  </a:solidFill>
                  <a:latin typeface="Cambria Math" panose="02040503050406030204" pitchFamily="18" charset="0"/>
                </a:rPr>
                <a:t>=(</a:t>
              </a:r>
              <a:r>
                <a:rPr lang="en-US" sz="1200" b="0" i="0">
                  <a:solidFill>
                    <a:sysClr val="windowText" lastClr="000000"/>
                  </a:solidFill>
                  <a:effectLst/>
                  <a:latin typeface="Cambria Math" panose="02040503050406030204" pitchFamily="18" charset="0"/>
                  <a:ea typeface="+mn-ea"/>
                  <a:cs typeface="+mn-cs"/>
                </a:rPr>
                <a:t>8.33∗1.0∗(𝑆ℎ𝑜𝑤𝑒𝑟𝑇𝑒𝑚𝑝 −𝑆𝑢𝑝𝑝𝑙𝑦𝑇𝑒𝑚𝑝)</a:t>
              </a:r>
              <a:r>
                <a:rPr lang="en-US" sz="1600" b="0" i="0">
                  <a:solidFill>
                    <a:sysClr val="windowText" lastClr="000000"/>
                  </a:solidFill>
                  <a:effectLst/>
                  <a:latin typeface="Cambria Math" panose="02040503050406030204" pitchFamily="18" charset="0"/>
                  <a:ea typeface="+mn-ea"/>
                  <a:cs typeface="+mn-cs"/>
                </a:rPr>
                <a:t>)/(</a:t>
              </a:r>
              <a:r>
                <a:rPr lang="en-US" sz="1200" b="0" i="0">
                  <a:solidFill>
                    <a:sysClr val="windowText" lastClr="000000"/>
                  </a:solidFill>
                  <a:effectLst/>
                  <a:latin typeface="Cambria Math" panose="02040503050406030204" pitchFamily="18" charset="0"/>
                  <a:ea typeface="+mn-ea"/>
                  <a:cs typeface="+mn-cs"/>
                </a:rPr>
                <a:t>𝑅𝐸_𝑒𝑙𝑒𝑐𝑡𝑟𝑖𝑐∗3,412</a:t>
              </a:r>
              <a:r>
                <a:rPr lang="en-US" sz="1600" b="0" i="0">
                  <a:solidFill>
                    <a:sysClr val="windowText" lastClr="000000"/>
                  </a:solidFill>
                  <a:effectLst/>
                  <a:latin typeface="Cambria Math" panose="02040503050406030204" pitchFamily="18" charset="0"/>
                  <a:ea typeface="+mn-ea"/>
                  <a:cs typeface="+mn-cs"/>
                </a:rPr>
                <a:t>)</a:t>
              </a:r>
              <a:endParaRPr lang="en-US" sz="1200" i="1" baseline="-25000">
                <a:solidFill>
                  <a:sysClr val="windowText" lastClr="000000"/>
                </a:solidFill>
                <a:effectLst/>
                <a:latin typeface="Book Antiqua" panose="02040602050305030304" pitchFamily="18" charset="0"/>
              </a:endParaRPr>
            </a:p>
            <a:p>
              <a:pPr algn="l"/>
              <a:endParaRPr lang="en-US" sz="1200" i="0">
                <a:solidFill>
                  <a:srgbClr val="00B050"/>
                </a:solidFill>
              </a:endParaRPr>
            </a:p>
          </xdr:txBody>
        </xdr:sp>
      </mc:Fallback>
    </mc:AlternateContent>
    <xdr:clientData/>
  </xdr:twoCellAnchor>
  <xdr:oneCellAnchor>
    <xdr:from>
      <xdr:col>6</xdr:col>
      <xdr:colOff>2269331</xdr:colOff>
      <xdr:row>25</xdr:row>
      <xdr:rowOff>453627</xdr:rowOff>
    </xdr:from>
    <xdr:ext cx="65" cy="172227"/>
    <xdr:sp macro="" textlink="">
      <xdr:nvSpPr>
        <xdr:cNvPr id="11" name="TextBox 10">
          <a:extLst>
            <a:ext uri="{FF2B5EF4-FFF2-40B4-BE49-F238E27FC236}">
              <a16:creationId xmlns:a16="http://schemas.microsoft.com/office/drawing/2014/main" id="{00000000-0008-0000-0900-00000B000000}"/>
            </a:ext>
          </a:extLst>
        </xdr:cNvPr>
        <xdr:cNvSpPr txBox="1"/>
      </xdr:nvSpPr>
      <xdr:spPr>
        <a:xfrm>
          <a:off x="10641806" y="2886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25</xdr:row>
      <xdr:rowOff>453627</xdr:rowOff>
    </xdr:from>
    <xdr:ext cx="65" cy="172227"/>
    <xdr:sp macro="" textlink="">
      <xdr:nvSpPr>
        <xdr:cNvPr id="12" name="TextBox 11">
          <a:extLst>
            <a:ext uri="{FF2B5EF4-FFF2-40B4-BE49-F238E27FC236}">
              <a16:creationId xmlns:a16="http://schemas.microsoft.com/office/drawing/2014/main" id="{00000000-0008-0000-0900-00000C000000}"/>
            </a:ext>
          </a:extLst>
        </xdr:cNvPr>
        <xdr:cNvSpPr txBox="1"/>
      </xdr:nvSpPr>
      <xdr:spPr>
        <a:xfrm>
          <a:off x="10641806" y="2886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13" name="TextBox 12">
          <a:extLst>
            <a:ext uri="{FF2B5EF4-FFF2-40B4-BE49-F238E27FC236}">
              <a16:creationId xmlns:a16="http://schemas.microsoft.com/office/drawing/2014/main" id="{00000000-0008-0000-0900-00000D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14" name="TextBox 13">
          <a:extLst>
            <a:ext uri="{FF2B5EF4-FFF2-40B4-BE49-F238E27FC236}">
              <a16:creationId xmlns:a16="http://schemas.microsoft.com/office/drawing/2014/main" id="{00000000-0008-0000-0900-00000E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2269331</xdr:colOff>
      <xdr:row>25</xdr:row>
      <xdr:rowOff>453627</xdr:rowOff>
    </xdr:from>
    <xdr:to>
      <xdr:col>7</xdr:col>
      <xdr:colOff>7209</xdr:colOff>
      <xdr:row>26</xdr:row>
      <xdr:rowOff>173417</xdr:rowOff>
    </xdr:to>
    <xdr:sp macro="" textlink="">
      <xdr:nvSpPr>
        <xdr:cNvPr id="15" name="TextBox 14">
          <a:extLst>
            <a:ext uri="{FF2B5EF4-FFF2-40B4-BE49-F238E27FC236}">
              <a16:creationId xmlns:a16="http://schemas.microsoft.com/office/drawing/2014/main" id="{00000000-0008-0000-0900-00000F000000}"/>
            </a:ext>
          </a:extLst>
        </xdr:cNvPr>
        <xdr:cNvSpPr txBox="1"/>
      </xdr:nvSpPr>
      <xdr:spPr>
        <a:xfrm>
          <a:off x="10641806" y="288607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6</xdr:col>
      <xdr:colOff>2269331</xdr:colOff>
      <xdr:row>25</xdr:row>
      <xdr:rowOff>453627</xdr:rowOff>
    </xdr:from>
    <xdr:to>
      <xdr:col>7</xdr:col>
      <xdr:colOff>7209</xdr:colOff>
      <xdr:row>26</xdr:row>
      <xdr:rowOff>173417</xdr:rowOff>
    </xdr:to>
    <xdr:sp macro="" textlink="">
      <xdr:nvSpPr>
        <xdr:cNvPr id="16" name="TextBox 15">
          <a:extLst>
            <a:ext uri="{FF2B5EF4-FFF2-40B4-BE49-F238E27FC236}">
              <a16:creationId xmlns:a16="http://schemas.microsoft.com/office/drawing/2014/main" id="{00000000-0008-0000-0900-000010000000}"/>
            </a:ext>
          </a:extLst>
        </xdr:cNvPr>
        <xdr:cNvSpPr txBox="1"/>
      </xdr:nvSpPr>
      <xdr:spPr>
        <a:xfrm>
          <a:off x="10641806" y="288607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5</xdr:row>
      <xdr:rowOff>0</xdr:rowOff>
    </xdr:from>
    <xdr:to>
      <xdr:col>7</xdr:col>
      <xdr:colOff>2269396</xdr:colOff>
      <xdr:row>5</xdr:row>
      <xdr:rowOff>172227</xdr:rowOff>
    </xdr:to>
    <xdr:sp macro="" textlink="">
      <xdr:nvSpPr>
        <xdr:cNvPr id="17" name="TextBox 16">
          <a:extLst>
            <a:ext uri="{FF2B5EF4-FFF2-40B4-BE49-F238E27FC236}">
              <a16:creationId xmlns:a16="http://schemas.microsoft.com/office/drawing/2014/main" id="{00000000-0008-0000-0900-000011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5</xdr:row>
      <xdr:rowOff>0</xdr:rowOff>
    </xdr:from>
    <xdr:to>
      <xdr:col>7</xdr:col>
      <xdr:colOff>2269396</xdr:colOff>
      <xdr:row>5</xdr:row>
      <xdr:rowOff>172227</xdr:rowOff>
    </xdr:to>
    <xdr:sp macro="" textlink="">
      <xdr:nvSpPr>
        <xdr:cNvPr id="18" name="TextBox 17">
          <a:extLst>
            <a:ext uri="{FF2B5EF4-FFF2-40B4-BE49-F238E27FC236}">
              <a16:creationId xmlns:a16="http://schemas.microsoft.com/office/drawing/2014/main" id="{00000000-0008-0000-0900-000012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16696</xdr:colOff>
      <xdr:row>17</xdr:row>
      <xdr:rowOff>20731</xdr:rowOff>
    </xdr:from>
    <xdr:to>
      <xdr:col>12</xdr:col>
      <xdr:colOff>0</xdr:colOff>
      <xdr:row>20</xdr:row>
      <xdr:rowOff>115868</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900-000013000000}"/>
                </a:ext>
              </a:extLst>
            </xdr:cNvPr>
            <xdr:cNvSpPr txBox="1"/>
          </xdr:nvSpPr>
          <xdr:spPr>
            <a:xfrm>
              <a:off x="3546549" y="3304055"/>
              <a:ext cx="12152892" cy="63301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left"/>
                  </m:oMathParaPr>
                  <m:oMath xmlns:m="http://schemas.openxmlformats.org/officeDocument/2006/math">
                    <m:r>
                      <m:rPr>
                        <m:sty m:val="p"/>
                      </m:rPr>
                      <a:rPr lang="en-US" sz="1200" i="1">
                        <a:solidFill>
                          <a:sysClr val="windowText" lastClr="000000"/>
                        </a:solidFill>
                        <a:effectLst/>
                        <a:latin typeface="Cambria Math" panose="02040503050406030204" pitchFamily="18" charset="0"/>
                        <a:ea typeface="+mn-ea"/>
                        <a:cs typeface="+mn-cs"/>
                      </a:rPr>
                      <m:t>Δ</m:t>
                    </m:r>
                    <m:r>
                      <a:rPr lang="en-US" sz="1200" i="1">
                        <a:solidFill>
                          <a:sysClr val="windowText" lastClr="000000"/>
                        </a:solidFill>
                        <a:effectLst/>
                        <a:latin typeface="Cambria Math" panose="02040503050406030204" pitchFamily="18" charset="0"/>
                        <a:ea typeface="+mn-ea"/>
                        <a:cs typeface="+mn-cs"/>
                      </a:rPr>
                      <m:t>𝑘𝑊h𝐶𝑒𝑛𝑡𝑟𝑎𝑙</m:t>
                    </m:r>
                    <m:r>
                      <a:rPr lang="en-US" sz="1200" i="1" baseline="-25000">
                        <a:solidFill>
                          <a:sysClr val="windowText" lastClr="000000"/>
                        </a:solidFill>
                        <a:effectLst/>
                        <a:latin typeface="Cambria Math" panose="02040503050406030204" pitchFamily="18" charset="0"/>
                        <a:ea typeface="+mn-ea"/>
                        <a:cs typeface="+mn-cs"/>
                      </a:rPr>
                      <m:t> </m:t>
                    </m:r>
                    <m:r>
                      <a:rPr lang="en-US" sz="1200" i="1" baseline="-25000">
                        <a:solidFill>
                          <a:sysClr val="windowText" lastClr="000000"/>
                        </a:solidFill>
                        <a:effectLst/>
                        <a:latin typeface="Cambria Math" panose="02040503050406030204" pitchFamily="18" charset="0"/>
                        <a:ea typeface="+mn-ea"/>
                        <a:cs typeface="+mn-cs"/>
                      </a:rPr>
                      <m:t>𝐴𝐶</m:t>
                    </m:r>
                    <m:r>
                      <a:rPr lang="en-US" sz="1200" i="1">
                        <a:solidFill>
                          <a:sysClr val="windowText" lastClr="000000"/>
                        </a:solidFill>
                        <a:effectLst/>
                        <a:latin typeface="Cambria Math" panose="02040503050406030204" pitchFamily="18" charset="0"/>
                        <a:ea typeface="+mn-ea"/>
                        <a:cs typeface="+mn-cs"/>
                      </a:rPr>
                      <m:t> =</m:t>
                    </m:r>
                    <m:f>
                      <m:fPr>
                        <m:ctrlPr>
                          <a:rPr lang="en-US" sz="1200" i="1">
                            <a:solidFill>
                              <a:sysClr val="windowText" lastClr="000000"/>
                            </a:solidFill>
                            <a:effectLst/>
                            <a:latin typeface="Cambria Math" panose="02040503050406030204" pitchFamily="18" charset="0"/>
                            <a:ea typeface="+mn-ea"/>
                            <a:cs typeface="+mn-cs"/>
                          </a:rPr>
                        </m:ctrlPr>
                      </m:fPr>
                      <m:num>
                        <m:r>
                          <a:rPr lang="en-US" sz="1200" i="1">
                            <a:solidFill>
                              <a:sysClr val="windowText" lastClr="000000"/>
                            </a:solidFill>
                            <a:effectLst/>
                            <a:latin typeface="Cambria Math" panose="02040503050406030204" pitchFamily="18" charset="0"/>
                            <a:ea typeface="+mn-ea"/>
                            <a:cs typeface="+mn-cs"/>
                          </a:rPr>
                          <m:t>𝐸𝐹𝐿</m:t>
                        </m:r>
                        <m:sSub>
                          <m:sSubPr>
                            <m:ctrlPr>
                              <a:rPr lang="en-US" sz="1200" b="0" i="1">
                                <a:solidFill>
                                  <a:sysClr val="windowText" lastClr="000000"/>
                                </a:solidFill>
                                <a:effectLst/>
                                <a:latin typeface="Cambria Math" panose="02040503050406030204" pitchFamily="18" charset="0"/>
                                <a:ea typeface="+mn-ea"/>
                                <a:cs typeface="+mn-cs"/>
                              </a:rPr>
                            </m:ctrlPr>
                          </m:sSubPr>
                          <m:e>
                            <m:r>
                              <a:rPr lang="en-US" sz="1200" i="1">
                                <a:solidFill>
                                  <a:sysClr val="windowText" lastClr="000000"/>
                                </a:solidFill>
                                <a:effectLst/>
                                <a:latin typeface="Cambria Math" panose="02040503050406030204" pitchFamily="18" charset="0"/>
                                <a:ea typeface="+mn-ea"/>
                                <a:cs typeface="+mn-cs"/>
                              </a:rPr>
                              <m:t>𝐻</m:t>
                            </m:r>
                          </m:e>
                          <m:sub>
                            <m:r>
                              <a:rPr lang="en-US" sz="1200" i="1">
                                <a:solidFill>
                                  <a:sysClr val="windowText" lastClr="000000"/>
                                </a:solidFill>
                                <a:effectLst/>
                                <a:latin typeface="Cambria Math" panose="02040503050406030204" pitchFamily="18" charset="0"/>
                                <a:ea typeface="+mn-ea"/>
                                <a:cs typeface="+mn-cs"/>
                              </a:rPr>
                              <m:t>𝑐𝑜𝑜𝑙</m:t>
                            </m:r>
                          </m:sub>
                        </m:sSub>
                        <m:r>
                          <a:rPr lang="en-US" sz="1200" b="0" i="1">
                            <a:solidFill>
                              <a:sysClr val="windowText" lastClr="000000"/>
                            </a:solidFill>
                            <a:effectLst/>
                            <a:latin typeface="Cambria Math" panose="02040503050406030204" pitchFamily="18" charset="0"/>
                            <a:ea typeface="+mn-ea"/>
                            <a:cs typeface="+mn-cs"/>
                          </a:rPr>
                          <m:t>∗</m:t>
                        </m:r>
                        <m:r>
                          <a:rPr lang="en-US" sz="1200" i="1">
                            <a:solidFill>
                              <a:sysClr val="windowText" lastClr="000000"/>
                            </a:solidFill>
                            <a:effectLst/>
                            <a:latin typeface="Cambria Math" panose="02040503050406030204" pitchFamily="18" charset="0"/>
                            <a:ea typeface="+mn-ea"/>
                            <a:cs typeface="+mn-cs"/>
                          </a:rPr>
                          <m:t>𝐶𝑎𝑝𝑎𝑐𝑖𝑡</m:t>
                        </m:r>
                        <m:sSub>
                          <m:sSubPr>
                            <m:ctrlPr>
                              <a:rPr lang="en-US" sz="1200" b="0" i="1">
                                <a:solidFill>
                                  <a:sysClr val="windowText" lastClr="000000"/>
                                </a:solidFill>
                                <a:effectLst/>
                                <a:latin typeface="Cambria Math" panose="02040503050406030204" pitchFamily="18" charset="0"/>
                                <a:ea typeface="+mn-ea"/>
                                <a:cs typeface="+mn-cs"/>
                              </a:rPr>
                            </m:ctrlPr>
                          </m:sSubPr>
                          <m:e>
                            <m:r>
                              <a:rPr lang="en-US" sz="1200" i="1">
                                <a:solidFill>
                                  <a:sysClr val="windowText" lastClr="000000"/>
                                </a:solidFill>
                                <a:effectLst/>
                                <a:latin typeface="Cambria Math" panose="02040503050406030204" pitchFamily="18" charset="0"/>
                                <a:ea typeface="+mn-ea"/>
                                <a:cs typeface="+mn-cs"/>
                              </a:rPr>
                              <m:t>𝑦</m:t>
                            </m:r>
                          </m:e>
                          <m:sub>
                            <m:r>
                              <a:rPr lang="en-US" sz="1200" i="1">
                                <a:solidFill>
                                  <a:sysClr val="windowText" lastClr="000000"/>
                                </a:solidFill>
                                <a:effectLst/>
                                <a:latin typeface="Cambria Math" panose="02040503050406030204" pitchFamily="18" charset="0"/>
                                <a:ea typeface="+mn-ea"/>
                                <a:cs typeface="+mn-cs"/>
                              </a:rPr>
                              <m:t>𝑐𝑜𝑜𝑙</m:t>
                            </m:r>
                          </m:sub>
                        </m:sSub>
                        <m:r>
                          <a:rPr lang="en-US" sz="1200" i="1">
                            <a:solidFill>
                              <a:sysClr val="windowText" lastClr="000000"/>
                            </a:solidFill>
                            <a:effectLst/>
                            <a:latin typeface="Cambria Math" panose="02040503050406030204" pitchFamily="18" charset="0"/>
                            <a:ea typeface="+mn-ea"/>
                            <a:cs typeface="+mn-cs"/>
                          </a:rPr>
                          <m:t>∗</m:t>
                        </m:r>
                        <m:d>
                          <m:dPr>
                            <m:ctrlPr>
                              <a:rPr lang="en-US" sz="1200" b="0" i="1">
                                <a:solidFill>
                                  <a:sysClr val="windowText" lastClr="000000"/>
                                </a:solidFill>
                                <a:effectLst/>
                                <a:latin typeface="Cambria Math" panose="02040503050406030204" pitchFamily="18" charset="0"/>
                                <a:ea typeface="+mn-ea"/>
                                <a:cs typeface="+mn-cs"/>
                              </a:rPr>
                            </m:ctrlPr>
                          </m:dPr>
                          <m:e>
                            <m:f>
                              <m:fPr>
                                <m:ctrlPr>
                                  <a:rPr lang="en-US" sz="1200" i="1">
                                    <a:solidFill>
                                      <a:sysClr val="windowText" lastClr="000000"/>
                                    </a:solidFill>
                                    <a:effectLst/>
                                    <a:latin typeface="Cambria Math" panose="02040503050406030204" pitchFamily="18" charset="0"/>
                                    <a:ea typeface="+mn-ea"/>
                                    <a:cs typeface="+mn-cs"/>
                                  </a:rPr>
                                </m:ctrlPr>
                              </m:fPr>
                              <m:num>
                                <m:r>
                                  <a:rPr lang="en-US" sz="1200" i="1">
                                    <a:solidFill>
                                      <a:sysClr val="windowText" lastClr="000000"/>
                                    </a:solidFill>
                                    <a:effectLst/>
                                    <a:latin typeface="Cambria Math" panose="02040503050406030204" pitchFamily="18" charset="0"/>
                                    <a:ea typeface="+mn-ea"/>
                                    <a:cs typeface="+mn-cs"/>
                                  </a:rPr>
                                  <m:t>1</m:t>
                                </m:r>
                              </m:num>
                              <m:den>
                                <m:r>
                                  <a:rPr lang="en-US" sz="1200" i="1">
                                    <a:solidFill>
                                      <a:sysClr val="windowText" lastClr="000000"/>
                                    </a:solidFill>
                                    <a:effectLst/>
                                    <a:latin typeface="Cambria Math" panose="02040503050406030204" pitchFamily="18" charset="0"/>
                                    <a:ea typeface="+mn-ea"/>
                                    <a:cs typeface="+mn-cs"/>
                                  </a:rPr>
                                  <m:t>𝑆𝐸𝐸</m:t>
                                </m:r>
                                <m:sSub>
                                  <m:sSubPr>
                                    <m:ctrlPr>
                                      <a:rPr lang="en-US" sz="1200" b="0" i="1">
                                        <a:solidFill>
                                          <a:sysClr val="windowText" lastClr="000000"/>
                                        </a:solidFill>
                                        <a:effectLst/>
                                        <a:latin typeface="Cambria Math" panose="02040503050406030204" pitchFamily="18" charset="0"/>
                                        <a:ea typeface="+mn-ea"/>
                                        <a:cs typeface="+mn-cs"/>
                                      </a:rPr>
                                    </m:ctrlPr>
                                  </m:sSubPr>
                                  <m:e>
                                    <m:r>
                                      <a:rPr lang="en-US" sz="1200" i="1">
                                        <a:solidFill>
                                          <a:sysClr val="windowText" lastClr="000000"/>
                                        </a:solidFill>
                                        <a:effectLst/>
                                        <a:latin typeface="Cambria Math" panose="02040503050406030204" pitchFamily="18" charset="0"/>
                                        <a:ea typeface="+mn-ea"/>
                                        <a:cs typeface="+mn-cs"/>
                                      </a:rPr>
                                      <m:t>𝑅</m:t>
                                    </m:r>
                                  </m:e>
                                  <m:sub>
                                    <m:r>
                                      <a:rPr lang="en-US" sz="1200" b="0" i="1">
                                        <a:solidFill>
                                          <a:sysClr val="windowText" lastClr="000000"/>
                                        </a:solidFill>
                                        <a:effectLst/>
                                        <a:latin typeface="Cambria Math" panose="02040503050406030204" pitchFamily="18" charset="0"/>
                                        <a:ea typeface="+mn-ea"/>
                                        <a:cs typeface="+mn-cs"/>
                                      </a:rPr>
                                      <m:t>𝑇</m:t>
                                    </m:r>
                                    <m:r>
                                      <a:rPr lang="en-US" sz="1200" i="1">
                                        <a:solidFill>
                                          <a:sysClr val="windowText" lastClr="000000"/>
                                        </a:solidFill>
                                        <a:effectLst/>
                                        <a:latin typeface="Cambria Math" panose="02040503050406030204" pitchFamily="18" charset="0"/>
                                        <a:ea typeface="+mn-ea"/>
                                        <a:cs typeface="+mn-cs"/>
                                      </a:rPr>
                                      <m:t>𝑒𝑠𝑡</m:t>
                                    </m:r>
                                    <m:r>
                                      <a:rPr lang="en-US" sz="1200" b="0" i="1">
                                        <a:solidFill>
                                          <a:sysClr val="windowText" lastClr="000000"/>
                                        </a:solidFill>
                                        <a:effectLst/>
                                        <a:latin typeface="Cambria Math" panose="02040503050406030204" pitchFamily="18" charset="0"/>
                                        <a:ea typeface="+mn-ea"/>
                                        <a:cs typeface="+mn-cs"/>
                                      </a:rPr>
                                      <m:t>−</m:t>
                                    </m:r>
                                    <m:r>
                                      <a:rPr lang="en-US" sz="1200" b="0" i="1">
                                        <a:solidFill>
                                          <a:sysClr val="windowText" lastClr="000000"/>
                                        </a:solidFill>
                                        <a:effectLst/>
                                        <a:latin typeface="Cambria Math" panose="02040503050406030204" pitchFamily="18" charset="0"/>
                                        <a:ea typeface="+mn-ea"/>
                                        <a:cs typeface="+mn-cs"/>
                                      </a:rPr>
                                      <m:t>𝐼𝑛</m:t>
                                    </m:r>
                                  </m:sub>
                                </m:sSub>
                              </m:den>
                            </m:f>
                            <m:r>
                              <a:rPr lang="en-US" sz="1200" i="1">
                                <a:solidFill>
                                  <a:sysClr val="windowText" lastClr="000000"/>
                                </a:solidFill>
                                <a:effectLst/>
                                <a:latin typeface="Cambria Math" panose="02040503050406030204" pitchFamily="18" charset="0"/>
                                <a:ea typeface="+mn-ea"/>
                                <a:cs typeface="+mn-cs"/>
                              </a:rPr>
                              <m:t> −</m:t>
                            </m:r>
                            <m:f>
                              <m:fPr>
                                <m:ctrlPr>
                                  <a:rPr lang="en-US" sz="1200" i="1">
                                    <a:solidFill>
                                      <a:sysClr val="windowText" lastClr="000000"/>
                                    </a:solidFill>
                                    <a:effectLst/>
                                    <a:latin typeface="Cambria Math" panose="02040503050406030204" pitchFamily="18" charset="0"/>
                                    <a:ea typeface="+mn-ea"/>
                                    <a:cs typeface="+mn-cs"/>
                                  </a:rPr>
                                </m:ctrlPr>
                              </m:fPr>
                              <m:num>
                                <m:r>
                                  <a:rPr lang="en-US" sz="1200" i="1">
                                    <a:solidFill>
                                      <a:sysClr val="windowText" lastClr="000000"/>
                                    </a:solidFill>
                                    <a:effectLst/>
                                    <a:latin typeface="Cambria Math" panose="02040503050406030204" pitchFamily="18" charset="0"/>
                                    <a:ea typeface="+mn-ea"/>
                                    <a:cs typeface="+mn-cs"/>
                                  </a:rPr>
                                  <m:t>1</m:t>
                                </m:r>
                              </m:num>
                              <m:den>
                                <m:r>
                                  <a:rPr lang="en-US" sz="1200" i="1">
                                    <a:solidFill>
                                      <a:sysClr val="windowText" lastClr="000000"/>
                                    </a:solidFill>
                                    <a:effectLst/>
                                    <a:latin typeface="Cambria Math" panose="02040503050406030204" pitchFamily="18" charset="0"/>
                                    <a:ea typeface="+mn-ea"/>
                                    <a:cs typeface="+mn-cs"/>
                                  </a:rPr>
                                  <m:t>𝑆𝐸𝐸</m:t>
                                </m:r>
                                <m:sSub>
                                  <m:sSubPr>
                                    <m:ctrlPr>
                                      <a:rPr lang="en-US" sz="1200" b="0" i="1">
                                        <a:solidFill>
                                          <a:sysClr val="windowText" lastClr="000000"/>
                                        </a:solidFill>
                                        <a:effectLst/>
                                        <a:latin typeface="Cambria Math" panose="02040503050406030204" pitchFamily="18" charset="0"/>
                                        <a:ea typeface="+mn-ea"/>
                                        <a:cs typeface="+mn-cs"/>
                                      </a:rPr>
                                    </m:ctrlPr>
                                  </m:sSubPr>
                                  <m:e>
                                    <m:r>
                                      <a:rPr lang="en-US" sz="1200" i="1">
                                        <a:solidFill>
                                          <a:sysClr val="windowText" lastClr="000000"/>
                                        </a:solidFill>
                                        <a:effectLst/>
                                        <a:latin typeface="Cambria Math" panose="02040503050406030204" pitchFamily="18" charset="0"/>
                                        <a:ea typeface="+mn-ea"/>
                                        <a:cs typeface="+mn-cs"/>
                                      </a:rPr>
                                      <m:t>𝑅</m:t>
                                    </m:r>
                                  </m:e>
                                  <m:sub>
                                    <m:r>
                                      <a:rPr lang="en-US" sz="1200" b="0" i="1">
                                        <a:solidFill>
                                          <a:sysClr val="windowText" lastClr="000000"/>
                                        </a:solidFill>
                                        <a:effectLst/>
                                        <a:latin typeface="Cambria Math" panose="02040503050406030204" pitchFamily="18" charset="0"/>
                                        <a:ea typeface="+mn-ea"/>
                                        <a:cs typeface="+mn-cs"/>
                                      </a:rPr>
                                      <m:t>𝑇</m:t>
                                    </m:r>
                                    <m:r>
                                      <a:rPr lang="en-US" sz="1200" i="1">
                                        <a:solidFill>
                                          <a:sysClr val="windowText" lastClr="000000"/>
                                        </a:solidFill>
                                        <a:effectLst/>
                                        <a:latin typeface="Cambria Math" panose="02040503050406030204" pitchFamily="18" charset="0"/>
                                        <a:ea typeface="+mn-ea"/>
                                        <a:cs typeface="+mn-cs"/>
                                      </a:rPr>
                                      <m:t>𝑒𝑠𝑡</m:t>
                                    </m:r>
                                    <m:r>
                                      <a:rPr lang="en-US" sz="1200" b="0" i="1">
                                        <a:solidFill>
                                          <a:sysClr val="windowText" lastClr="000000"/>
                                        </a:solidFill>
                                        <a:effectLst/>
                                        <a:latin typeface="Cambria Math" panose="02040503050406030204" pitchFamily="18" charset="0"/>
                                        <a:ea typeface="+mn-ea"/>
                                        <a:cs typeface="+mn-cs"/>
                                      </a:rPr>
                                      <m:t>−</m:t>
                                    </m:r>
                                    <m:r>
                                      <a:rPr lang="en-US" sz="1200" b="0" i="1">
                                        <a:solidFill>
                                          <a:sysClr val="windowText" lastClr="000000"/>
                                        </a:solidFill>
                                        <a:effectLst/>
                                        <a:latin typeface="Cambria Math" panose="02040503050406030204" pitchFamily="18" charset="0"/>
                                        <a:ea typeface="+mn-ea"/>
                                        <a:cs typeface="+mn-cs"/>
                                      </a:rPr>
                                      <m:t>𝑂𝑢𝑡</m:t>
                                    </m:r>
                                  </m:sub>
                                </m:sSub>
                              </m:den>
                            </m:f>
                          </m:e>
                        </m:d>
                      </m:num>
                      <m:den>
                        <m:r>
                          <a:rPr lang="en-US" sz="1200" i="1">
                            <a:solidFill>
                              <a:sysClr val="windowText" lastClr="000000"/>
                            </a:solidFill>
                            <a:effectLst/>
                            <a:latin typeface="Cambria Math" panose="02040503050406030204" pitchFamily="18" charset="0"/>
                            <a:ea typeface="+mn-ea"/>
                            <a:cs typeface="+mn-cs"/>
                          </a:rPr>
                          <m:t>1</m:t>
                        </m:r>
                        <m:r>
                          <a:rPr lang="en-US" sz="1200" b="0" i="1">
                            <a:solidFill>
                              <a:sysClr val="windowText" lastClr="000000"/>
                            </a:solidFill>
                            <a:effectLst/>
                            <a:latin typeface="Cambria Math" panose="02040503050406030204" pitchFamily="18" charset="0"/>
                            <a:ea typeface="+mn-ea"/>
                            <a:cs typeface="+mn-cs"/>
                          </a:rPr>
                          <m:t>,</m:t>
                        </m:r>
                        <m:r>
                          <a:rPr lang="en-US" sz="1200" i="1">
                            <a:solidFill>
                              <a:sysClr val="windowText" lastClr="000000"/>
                            </a:solidFill>
                            <a:effectLst/>
                            <a:latin typeface="Cambria Math" panose="02040503050406030204" pitchFamily="18" charset="0"/>
                            <a:ea typeface="+mn-ea"/>
                            <a:cs typeface="+mn-cs"/>
                          </a:rPr>
                          <m:t>000</m:t>
                        </m:r>
                      </m:den>
                    </m:f>
                  </m:oMath>
                </m:oMathPara>
              </a14:m>
              <a:endParaRPr lang="en-US" sz="1600">
                <a:solidFill>
                  <a:sysClr val="windowText" lastClr="000000"/>
                </a:solidFill>
                <a:effectLst/>
                <a:latin typeface="+mn-lt"/>
                <a:ea typeface="+mn-ea"/>
                <a:cs typeface="+mn-cs"/>
              </a:endParaRPr>
            </a:p>
          </xdr:txBody>
        </xdr:sp>
      </mc:Choice>
      <mc:Fallback xmlns="">
        <xdr:sp macro="" textlink="">
          <xdr:nvSpPr>
            <xdr:cNvPr id="19" name="TextBox 18">
              <a:extLst>
                <a:ext uri="{FF2B5EF4-FFF2-40B4-BE49-F238E27FC236}">
                  <a16:creationId xmlns:a16="http://schemas.microsoft.com/office/drawing/2014/main" id="{00000000-0008-0000-0900-000013000000}"/>
                </a:ext>
              </a:extLst>
            </xdr:cNvPr>
            <xdr:cNvSpPr txBox="1"/>
          </xdr:nvSpPr>
          <xdr:spPr>
            <a:xfrm>
              <a:off x="3546549" y="3304055"/>
              <a:ext cx="12152892" cy="63301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en-US" sz="1200" i="0">
                  <a:solidFill>
                    <a:sysClr val="windowText" lastClr="000000"/>
                  </a:solidFill>
                  <a:effectLst/>
                  <a:latin typeface="Cambria Math" panose="02040503050406030204" pitchFamily="18" charset="0"/>
                  <a:ea typeface="+mn-ea"/>
                  <a:cs typeface="+mn-cs"/>
                </a:rPr>
                <a:t>Δ𝑘𝑊ℎ𝐶𝑒𝑛𝑡𝑟𝑎𝑙</a:t>
              </a:r>
              <a:r>
                <a:rPr lang="en-US" sz="1200" i="0" baseline="-25000">
                  <a:solidFill>
                    <a:sysClr val="windowText" lastClr="000000"/>
                  </a:solidFill>
                  <a:effectLst/>
                  <a:latin typeface="Cambria Math" panose="02040503050406030204" pitchFamily="18" charset="0"/>
                  <a:ea typeface="+mn-ea"/>
                  <a:cs typeface="+mn-cs"/>
                </a:rPr>
                <a:t> 𝐴𝐶</a:t>
              </a:r>
              <a:r>
                <a:rPr lang="en-US" sz="1200" i="0">
                  <a:solidFill>
                    <a:sysClr val="windowText" lastClr="000000"/>
                  </a:solidFill>
                  <a:effectLst/>
                  <a:latin typeface="Cambria Math" panose="02040503050406030204" pitchFamily="18" charset="0"/>
                  <a:ea typeface="+mn-ea"/>
                  <a:cs typeface="+mn-cs"/>
                </a:rPr>
                <a:t> =(𝐸𝐹𝐿𝐻</a:t>
              </a:r>
              <a:r>
                <a:rPr lang="en-US" sz="1200" b="0" i="0">
                  <a:solidFill>
                    <a:sysClr val="windowText" lastClr="000000"/>
                  </a:solidFill>
                  <a:effectLst/>
                  <a:latin typeface="Cambria Math" panose="02040503050406030204" pitchFamily="18" charset="0"/>
                  <a:ea typeface="+mn-ea"/>
                  <a:cs typeface="+mn-cs"/>
                </a:rPr>
                <a:t>_</a:t>
              </a:r>
              <a:r>
                <a:rPr lang="en-US" sz="1200" i="0">
                  <a:solidFill>
                    <a:sysClr val="windowText" lastClr="000000"/>
                  </a:solidFill>
                  <a:effectLst/>
                  <a:latin typeface="Cambria Math" panose="02040503050406030204" pitchFamily="18" charset="0"/>
                  <a:ea typeface="+mn-ea"/>
                  <a:cs typeface="+mn-cs"/>
                </a:rPr>
                <a:t>𝑐𝑜𝑜𝑙</a:t>
              </a:r>
              <a:r>
                <a:rPr lang="en-US" sz="1200" b="0" i="0">
                  <a:solidFill>
                    <a:sysClr val="windowText" lastClr="000000"/>
                  </a:solidFill>
                  <a:effectLst/>
                  <a:latin typeface="Cambria Math" panose="02040503050406030204" pitchFamily="18" charset="0"/>
                  <a:ea typeface="+mn-ea"/>
                  <a:cs typeface="+mn-cs"/>
                </a:rPr>
                <a:t>∗</a:t>
              </a:r>
              <a:r>
                <a:rPr lang="en-US" sz="1200" i="0">
                  <a:solidFill>
                    <a:sysClr val="windowText" lastClr="000000"/>
                  </a:solidFill>
                  <a:effectLst/>
                  <a:latin typeface="Cambria Math" panose="02040503050406030204" pitchFamily="18" charset="0"/>
                  <a:ea typeface="+mn-ea"/>
                  <a:cs typeface="+mn-cs"/>
                </a:rPr>
                <a:t>𝐶𝑎𝑝𝑎𝑐𝑖𝑡𝑦</a:t>
              </a:r>
              <a:r>
                <a:rPr lang="en-US" sz="1200" b="0" i="0">
                  <a:solidFill>
                    <a:sysClr val="windowText" lastClr="000000"/>
                  </a:solidFill>
                  <a:effectLst/>
                  <a:latin typeface="Cambria Math" panose="02040503050406030204" pitchFamily="18" charset="0"/>
                  <a:ea typeface="+mn-ea"/>
                  <a:cs typeface="+mn-cs"/>
                </a:rPr>
                <a:t>_</a:t>
              </a:r>
              <a:r>
                <a:rPr lang="en-US" sz="1200" i="0">
                  <a:solidFill>
                    <a:sysClr val="windowText" lastClr="000000"/>
                  </a:solidFill>
                  <a:effectLst/>
                  <a:latin typeface="Cambria Math" panose="02040503050406030204" pitchFamily="18" charset="0"/>
                  <a:ea typeface="+mn-ea"/>
                  <a:cs typeface="+mn-cs"/>
                </a:rPr>
                <a:t>𝑐𝑜𝑜𝑙∗</a:t>
              </a:r>
              <a:r>
                <a:rPr lang="en-US" sz="1200" b="0" i="0">
                  <a:solidFill>
                    <a:sysClr val="windowText" lastClr="000000"/>
                  </a:solidFill>
                  <a:effectLst/>
                  <a:latin typeface="Cambria Math" panose="02040503050406030204" pitchFamily="18" charset="0"/>
                  <a:ea typeface="+mn-ea"/>
                  <a:cs typeface="+mn-cs"/>
                </a:rPr>
                <a:t>(</a:t>
              </a:r>
              <a:r>
                <a:rPr lang="en-US" sz="1200" i="0">
                  <a:solidFill>
                    <a:sysClr val="windowText" lastClr="000000"/>
                  </a:solidFill>
                  <a:effectLst/>
                  <a:latin typeface="Cambria Math" panose="02040503050406030204" pitchFamily="18" charset="0"/>
                  <a:ea typeface="+mn-ea"/>
                  <a:cs typeface="+mn-cs"/>
                </a:rPr>
                <a:t>1/(𝑆𝐸𝐸𝑅</a:t>
              </a:r>
              <a:r>
                <a:rPr lang="en-US" sz="1200" b="0" i="0">
                  <a:solidFill>
                    <a:sysClr val="windowText" lastClr="000000"/>
                  </a:solidFill>
                  <a:effectLst/>
                  <a:latin typeface="Cambria Math" panose="02040503050406030204" pitchFamily="18" charset="0"/>
                  <a:ea typeface="+mn-ea"/>
                  <a:cs typeface="+mn-cs"/>
                </a:rPr>
                <a:t>_(𝑇</a:t>
              </a:r>
              <a:r>
                <a:rPr lang="en-US" sz="1200" i="0">
                  <a:solidFill>
                    <a:sysClr val="windowText" lastClr="000000"/>
                  </a:solidFill>
                  <a:effectLst/>
                  <a:latin typeface="Cambria Math" panose="02040503050406030204" pitchFamily="18" charset="0"/>
                  <a:ea typeface="+mn-ea"/>
                  <a:cs typeface="+mn-cs"/>
                </a:rPr>
                <a:t>𝑒𝑠𝑡</a:t>
              </a:r>
              <a:r>
                <a:rPr lang="en-US" sz="1200" b="0" i="0">
                  <a:solidFill>
                    <a:sysClr val="windowText" lastClr="000000"/>
                  </a:solidFill>
                  <a:effectLst/>
                  <a:latin typeface="Cambria Math" panose="02040503050406030204" pitchFamily="18" charset="0"/>
                  <a:ea typeface="+mn-ea"/>
                  <a:cs typeface="+mn-cs"/>
                </a:rPr>
                <a:t>−𝐼𝑛) ) </a:t>
              </a:r>
              <a:r>
                <a:rPr lang="en-US" sz="1200" i="0">
                  <a:solidFill>
                    <a:sysClr val="windowText" lastClr="000000"/>
                  </a:solidFill>
                  <a:effectLst/>
                  <a:latin typeface="Cambria Math" panose="02040503050406030204" pitchFamily="18" charset="0"/>
                  <a:ea typeface="+mn-ea"/>
                  <a:cs typeface="+mn-cs"/>
                </a:rPr>
                <a:t> −1/(𝑆𝐸𝐸𝑅</a:t>
              </a:r>
              <a:r>
                <a:rPr lang="en-US" sz="1200" b="0" i="0">
                  <a:solidFill>
                    <a:sysClr val="windowText" lastClr="000000"/>
                  </a:solidFill>
                  <a:effectLst/>
                  <a:latin typeface="Cambria Math" panose="02040503050406030204" pitchFamily="18" charset="0"/>
                  <a:ea typeface="+mn-ea"/>
                  <a:cs typeface="+mn-cs"/>
                </a:rPr>
                <a:t>_(𝑇</a:t>
              </a:r>
              <a:r>
                <a:rPr lang="en-US" sz="1200" i="0">
                  <a:solidFill>
                    <a:sysClr val="windowText" lastClr="000000"/>
                  </a:solidFill>
                  <a:effectLst/>
                  <a:latin typeface="Cambria Math" panose="02040503050406030204" pitchFamily="18" charset="0"/>
                  <a:ea typeface="+mn-ea"/>
                  <a:cs typeface="+mn-cs"/>
                </a:rPr>
                <a:t>𝑒𝑠𝑡</a:t>
              </a:r>
              <a:r>
                <a:rPr lang="en-US" sz="1200" b="0" i="0">
                  <a:solidFill>
                    <a:sysClr val="windowText" lastClr="000000"/>
                  </a:solidFill>
                  <a:effectLst/>
                  <a:latin typeface="Cambria Math" panose="02040503050406030204" pitchFamily="18" charset="0"/>
                  <a:ea typeface="+mn-ea"/>
                  <a:cs typeface="+mn-cs"/>
                </a:rPr>
                <a:t>−𝑂𝑢𝑡) )))/</a:t>
              </a:r>
              <a:r>
                <a:rPr lang="en-US" sz="1200" i="0">
                  <a:solidFill>
                    <a:sysClr val="windowText" lastClr="000000"/>
                  </a:solidFill>
                  <a:effectLst/>
                  <a:latin typeface="Cambria Math" panose="02040503050406030204" pitchFamily="18" charset="0"/>
                  <a:ea typeface="+mn-ea"/>
                  <a:cs typeface="+mn-cs"/>
                </a:rPr>
                <a:t>1</a:t>
              </a:r>
              <a:r>
                <a:rPr lang="en-US" sz="1200" b="0" i="0">
                  <a:solidFill>
                    <a:sysClr val="windowText" lastClr="000000"/>
                  </a:solidFill>
                  <a:effectLst/>
                  <a:latin typeface="Cambria Math" panose="02040503050406030204" pitchFamily="18" charset="0"/>
                  <a:ea typeface="+mn-ea"/>
                  <a:cs typeface="+mn-cs"/>
                </a:rPr>
                <a:t>,</a:t>
              </a:r>
              <a:r>
                <a:rPr lang="en-US" sz="1200" i="0">
                  <a:solidFill>
                    <a:sysClr val="windowText" lastClr="000000"/>
                  </a:solidFill>
                  <a:effectLst/>
                  <a:latin typeface="Cambria Math" panose="02040503050406030204" pitchFamily="18" charset="0"/>
                  <a:ea typeface="+mn-ea"/>
                  <a:cs typeface="+mn-cs"/>
                </a:rPr>
                <a:t>000</a:t>
              </a:r>
              <a:endParaRPr lang="en-US" sz="1600">
                <a:solidFill>
                  <a:sysClr val="windowText" lastClr="000000"/>
                </a:solidFill>
                <a:effectLst/>
                <a:latin typeface="+mn-lt"/>
                <a:ea typeface="+mn-ea"/>
                <a:cs typeface="+mn-cs"/>
              </a:endParaRPr>
            </a:p>
          </xdr:txBody>
        </xdr:sp>
      </mc:Fallback>
    </mc:AlternateContent>
    <xdr:clientData/>
  </xdr:twoCellAnchor>
  <xdr:twoCellAnchor>
    <xdr:from>
      <xdr:col>4</xdr:col>
      <xdr:colOff>436805</xdr:colOff>
      <xdr:row>87</xdr:row>
      <xdr:rowOff>149358</xdr:rowOff>
    </xdr:from>
    <xdr:to>
      <xdr:col>14</xdr:col>
      <xdr:colOff>0</xdr:colOff>
      <xdr:row>91</xdr:row>
      <xdr:rowOff>104662</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900-000014000000}"/>
                </a:ext>
              </a:extLst>
            </xdr:cNvPr>
            <xdr:cNvSpPr txBox="1"/>
          </xdr:nvSpPr>
          <xdr:spPr>
            <a:xfrm>
              <a:off x="3966658" y="8867534"/>
              <a:ext cx="13581754" cy="6724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oAutofit/>
            </a:bodyPr>
            <a:lstStyle/>
            <a:p>
              <a:pPr algn="l"/>
              <a14:m>
                <m:oMathPara xmlns:m="http://schemas.openxmlformats.org/officeDocument/2006/math">
                  <m:oMathParaPr>
                    <m:jc m:val="left"/>
                  </m:oMathParaPr>
                  <m:oMath xmlns:m="http://schemas.openxmlformats.org/officeDocument/2006/math">
                    <m:r>
                      <a:rPr lang="en-US" sz="1200" i="1">
                        <a:latin typeface="Cambria Math" panose="02040503050406030204" pitchFamily="18" charset="0"/>
                        <a:ea typeface="Cambria Math" panose="02040503050406030204" pitchFamily="18" charset="0"/>
                      </a:rPr>
                      <m:t>∆</m:t>
                    </m:r>
                    <m:r>
                      <a:rPr lang="en-US" sz="1200" b="0" i="1">
                        <a:latin typeface="Cambria Math" panose="02040503050406030204" pitchFamily="18" charset="0"/>
                        <a:ea typeface="Cambria Math" panose="02040503050406030204" pitchFamily="18" charset="0"/>
                      </a:rPr>
                      <m:t>𝑘𝑊</m:t>
                    </m:r>
                    <m:sSub>
                      <m:sSubPr>
                        <m:ctrlPr>
                          <a:rPr lang="en-US" sz="1200" b="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h</m:t>
                        </m:r>
                      </m:e>
                      <m:sub>
                        <m:r>
                          <a:rPr lang="en-US" sz="1200" b="0" i="1">
                            <a:latin typeface="Cambria Math" panose="02040503050406030204" pitchFamily="18" charset="0"/>
                            <a:ea typeface="Cambria Math" panose="02040503050406030204" pitchFamily="18" charset="0"/>
                          </a:rPr>
                          <m:t>𝐻𝑒𝑎𝑡𝑖𝑛𝑔</m:t>
                        </m:r>
                      </m:sub>
                    </m:sSub>
                    <m:r>
                      <a:rPr lang="en-US" sz="1200" b="0" i="1">
                        <a:latin typeface="Cambria Math" panose="02040503050406030204" pitchFamily="18" charset="0"/>
                        <a:ea typeface="Cambria Math" panose="02040503050406030204" pitchFamily="18" charset="0"/>
                      </a:rPr>
                      <m:t>=</m:t>
                    </m:r>
                    <m:f>
                      <m:fPr>
                        <m:ctrlPr>
                          <a:rPr lang="en-US" sz="1200" b="0" i="1">
                            <a:latin typeface="Cambria Math" panose="02040503050406030204" pitchFamily="18" charset="0"/>
                            <a:ea typeface="Cambria Math" panose="02040503050406030204" pitchFamily="18" charset="0"/>
                          </a:rPr>
                        </m:ctrlPr>
                      </m:fPr>
                      <m:num>
                        <m:d>
                          <m:dPr>
                            <m:ctrlPr>
                              <a:rPr lang="en-US" sz="1200" b="0" i="1">
                                <a:latin typeface="Cambria Math" panose="02040503050406030204" pitchFamily="18" charset="0"/>
                                <a:ea typeface="Cambria Math" panose="02040503050406030204" pitchFamily="18" charset="0"/>
                              </a:rPr>
                            </m:ctrlPr>
                          </m:dPr>
                          <m:e>
                            <m:r>
                              <a:rPr lang="en-US" sz="1200" b="0" i="1">
                                <a:latin typeface="Cambria Math" panose="02040503050406030204" pitchFamily="18" charset="0"/>
                                <a:ea typeface="Cambria Math" panose="02040503050406030204" pitchFamily="18" charset="0"/>
                              </a:rPr>
                              <m:t>%</m:t>
                            </m:r>
                            <m:r>
                              <a:rPr lang="en-US" sz="1200" b="0" i="1">
                                <a:latin typeface="Cambria Math" panose="02040503050406030204" pitchFamily="18" charset="0"/>
                                <a:ea typeface="Cambria Math" panose="02040503050406030204" pitchFamily="18" charset="0"/>
                              </a:rPr>
                              <m:t>𝐸𝑙𝑒𝑐𝑡𝑟𝑖𝑐𝐻𝑒𝑎𝑡</m:t>
                            </m:r>
                            <m:r>
                              <a:rPr lang="en-US" sz="1200" b="0" i="1">
                                <a:latin typeface="Cambria Math" panose="02040503050406030204" pitchFamily="18" charset="0"/>
                                <a:ea typeface="Cambria Math" panose="02040503050406030204" pitchFamily="18" charset="0"/>
                              </a:rPr>
                              <m:t>∗</m:t>
                            </m:r>
                            <m:d>
                              <m:dPr>
                                <m:ctrlPr>
                                  <a:rPr lang="en-US" sz="1200" b="0" i="1">
                                    <a:latin typeface="Cambria Math" panose="02040503050406030204" pitchFamily="18" charset="0"/>
                                    <a:ea typeface="Cambria Math" panose="02040503050406030204" pitchFamily="18" charset="0"/>
                                  </a:rPr>
                                </m:ctrlPr>
                              </m:dPr>
                              <m:e>
                                <m:f>
                                  <m:fPr>
                                    <m:ctrlPr>
                                      <a:rPr lang="en-US" sz="1200" b="0" i="1">
                                        <a:latin typeface="Cambria Math" panose="02040503050406030204" pitchFamily="18" charset="0"/>
                                        <a:ea typeface="Cambria Math" panose="02040503050406030204" pitchFamily="18" charset="0"/>
                                      </a:rPr>
                                    </m:ctrlPr>
                                  </m:fPr>
                                  <m:num>
                                    <m:r>
                                      <a:rPr lang="en-US" sz="1200" b="0" i="1">
                                        <a:latin typeface="Cambria Math" panose="02040503050406030204" pitchFamily="18" charset="0"/>
                                        <a:ea typeface="Cambria Math" panose="02040503050406030204" pitchFamily="18" charset="0"/>
                                      </a:rPr>
                                      <m:t>1</m:t>
                                    </m:r>
                                  </m:num>
                                  <m:den>
                                    <m:sSub>
                                      <m:sSubPr>
                                        <m:ctrlPr>
                                          <a:rPr lang="en-US" sz="1200" b="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𝑅</m:t>
                                        </m:r>
                                      </m:e>
                                      <m:sub>
                                        <m:r>
                                          <a:rPr lang="en-US" sz="1200" b="0" i="1">
                                            <a:latin typeface="Cambria Math" panose="02040503050406030204" pitchFamily="18" charset="0"/>
                                            <a:ea typeface="Cambria Math" panose="02040503050406030204" pitchFamily="18" charset="0"/>
                                          </a:rPr>
                                          <m:t>𝑜𝑙𝑑</m:t>
                                        </m:r>
                                      </m:sub>
                                    </m:sSub>
                                  </m:den>
                                </m:f>
                                <m:r>
                                  <a:rPr lang="en-US" sz="1200" b="0" i="1">
                                    <a:latin typeface="Cambria Math" panose="02040503050406030204" pitchFamily="18" charset="0"/>
                                    <a:ea typeface="Cambria Math" panose="02040503050406030204" pitchFamily="18" charset="0"/>
                                  </a:rPr>
                                  <m:t>−</m:t>
                                </m:r>
                                <m:f>
                                  <m:fPr>
                                    <m:ctrlPr>
                                      <a:rPr lang="en-US" sz="1200" b="0" i="1">
                                        <a:latin typeface="Cambria Math" panose="02040503050406030204" pitchFamily="18" charset="0"/>
                                        <a:ea typeface="Cambria Math" panose="02040503050406030204" pitchFamily="18" charset="0"/>
                                      </a:rPr>
                                    </m:ctrlPr>
                                  </m:fPr>
                                  <m:num>
                                    <m:r>
                                      <a:rPr lang="en-US" sz="1200" b="0" i="1">
                                        <a:latin typeface="Cambria Math" panose="02040503050406030204" pitchFamily="18" charset="0"/>
                                        <a:ea typeface="Cambria Math" panose="02040503050406030204" pitchFamily="18" charset="0"/>
                                      </a:rPr>
                                      <m:t>1</m:t>
                                    </m:r>
                                  </m:num>
                                  <m:den>
                                    <m:sSub>
                                      <m:sSubPr>
                                        <m:ctrlPr>
                                          <a:rPr lang="en-US" sz="1200" b="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𝑅</m:t>
                                        </m:r>
                                      </m:e>
                                      <m:sub>
                                        <m:r>
                                          <a:rPr lang="en-US" sz="1200" b="0" i="1">
                                            <a:latin typeface="Cambria Math" panose="02040503050406030204" pitchFamily="18" charset="0"/>
                                            <a:ea typeface="Cambria Math" panose="02040503050406030204" pitchFamily="18" charset="0"/>
                                          </a:rPr>
                                          <m:t>𝐴𝑡𝑡𝑖𝑐</m:t>
                                        </m:r>
                                      </m:sub>
                                    </m:sSub>
                                  </m:den>
                                </m:f>
                              </m:e>
                            </m:d>
                            <m:r>
                              <a:rPr lang="en-US" sz="1200" b="0" i="1">
                                <a:latin typeface="Cambria Math" panose="02040503050406030204" pitchFamily="18" charset="0"/>
                                <a:ea typeface="Cambria Math" panose="02040503050406030204" pitchFamily="18" charset="0"/>
                              </a:rPr>
                              <m:t>∗</m:t>
                            </m:r>
                            <m:sSub>
                              <m:sSubPr>
                                <m:ctrlPr>
                                  <a:rPr lang="en-US" sz="1200" b="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𝐴</m:t>
                                </m:r>
                              </m:e>
                              <m:sub>
                                <m:r>
                                  <a:rPr lang="en-US" sz="1200" b="0" i="1">
                                    <a:latin typeface="Cambria Math" panose="02040503050406030204" pitchFamily="18" charset="0"/>
                                    <a:ea typeface="Cambria Math" panose="02040503050406030204" pitchFamily="18" charset="0"/>
                                  </a:rPr>
                                  <m:t>𝐴𝑡𝑡𝑖𝑐</m:t>
                                </m:r>
                              </m:sub>
                            </m:sSub>
                            <m:r>
                              <a:rPr lang="en-US" sz="1200" b="0" i="1">
                                <a:latin typeface="Cambria Math" panose="02040503050406030204" pitchFamily="18" charset="0"/>
                                <a:ea typeface="Cambria Math" panose="02040503050406030204" pitchFamily="18" charset="0"/>
                              </a:rPr>
                              <m:t>∗</m:t>
                            </m:r>
                            <m:d>
                              <m:dPr>
                                <m:ctrlPr>
                                  <a:rPr lang="en-US" sz="1200" b="0" i="1">
                                    <a:latin typeface="Cambria Math" panose="02040503050406030204" pitchFamily="18" charset="0"/>
                                    <a:ea typeface="Cambria Math" panose="02040503050406030204" pitchFamily="18" charset="0"/>
                                  </a:rPr>
                                </m:ctrlPr>
                              </m:dPr>
                              <m:e>
                                <m:r>
                                  <a:rPr lang="en-US" sz="1200" b="0" i="1">
                                    <a:latin typeface="Cambria Math" panose="02040503050406030204" pitchFamily="18" charset="0"/>
                                    <a:ea typeface="Cambria Math" panose="02040503050406030204" pitchFamily="18" charset="0"/>
                                  </a:rPr>
                                  <m:t>1−</m:t>
                                </m:r>
                                <m:r>
                                  <a:rPr lang="en-US" sz="1200" b="0" i="1">
                                    <a:latin typeface="Cambria Math" panose="02040503050406030204" pitchFamily="18" charset="0"/>
                                    <a:ea typeface="Cambria Math" panose="02040503050406030204" pitchFamily="18" charset="0"/>
                                  </a:rPr>
                                  <m:t>𝐹𝑟𝑎𝑚𝑖𝑛𝑔𝐹𝑎𝑐𝑡𝑜</m:t>
                                </m:r>
                                <m:sSub>
                                  <m:sSubPr>
                                    <m:ctrlPr>
                                      <a:rPr lang="en-US" sz="1200" b="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𝑟</m:t>
                                    </m:r>
                                  </m:e>
                                  <m:sub>
                                    <m:r>
                                      <a:rPr lang="en-US" sz="1200" b="0" i="1">
                                        <a:latin typeface="Cambria Math" panose="02040503050406030204" pitchFamily="18" charset="0"/>
                                        <a:ea typeface="Cambria Math" panose="02040503050406030204" pitchFamily="18" charset="0"/>
                                      </a:rPr>
                                      <m:t>𝐴𝑡𝑡𝑖𝑐</m:t>
                                    </m:r>
                                  </m:sub>
                                </m:sSub>
                              </m:e>
                            </m:d>
                            <m:r>
                              <a:rPr lang="en-US" sz="1200" b="0" i="1">
                                <a:latin typeface="Cambria Math" panose="02040503050406030204" pitchFamily="18" charset="0"/>
                                <a:ea typeface="Cambria Math" panose="02040503050406030204" pitchFamily="18" charset="0"/>
                              </a:rPr>
                              <m:t>∗</m:t>
                            </m:r>
                            <m:r>
                              <a:rPr lang="en-US" sz="1200" b="0" i="1">
                                <a:latin typeface="Cambria Math" panose="02040503050406030204" pitchFamily="18" charset="0"/>
                                <a:ea typeface="Cambria Math" panose="02040503050406030204" pitchFamily="18" charset="0"/>
                              </a:rPr>
                              <m:t>𝐻𝐷𝐷</m:t>
                            </m:r>
                            <m:r>
                              <a:rPr lang="en-US" sz="1200" b="0" i="1">
                                <a:latin typeface="Cambria Math" panose="02040503050406030204" pitchFamily="18" charset="0"/>
                                <a:ea typeface="Cambria Math" panose="02040503050406030204" pitchFamily="18" charset="0"/>
                              </a:rPr>
                              <m:t>∗24∗</m:t>
                            </m:r>
                            <m:r>
                              <a:rPr lang="en-US" sz="1200" b="0" i="1">
                                <a:latin typeface="Cambria Math" panose="02040503050406030204" pitchFamily="18" charset="0"/>
                                <a:ea typeface="Cambria Math" panose="02040503050406030204" pitchFamily="18" charset="0"/>
                              </a:rPr>
                              <m:t>𝐴𝑑</m:t>
                            </m:r>
                            <m:sSub>
                              <m:sSubPr>
                                <m:ctrlPr>
                                  <a:rPr lang="en-US" sz="1200" b="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𝑗</m:t>
                                </m:r>
                              </m:e>
                              <m:sub>
                                <m:r>
                                  <a:rPr lang="en-US" sz="1200" b="0" i="1">
                                    <a:latin typeface="Cambria Math" panose="02040503050406030204" pitchFamily="18" charset="0"/>
                                    <a:ea typeface="Cambria Math" panose="02040503050406030204" pitchFamily="18" charset="0"/>
                                  </a:rPr>
                                  <m:t>𝐴𝑡𝑡𝑖𝑐</m:t>
                                </m:r>
                              </m:sub>
                            </m:sSub>
                          </m:e>
                        </m:d>
                      </m:num>
                      <m:den>
                        <m:r>
                          <a:rPr lang="en-US" sz="1200" b="0" i="1">
                            <a:latin typeface="Cambria Math" panose="02040503050406030204" pitchFamily="18" charset="0"/>
                            <a:ea typeface="Cambria Math" panose="02040503050406030204" pitchFamily="18" charset="0"/>
                          </a:rPr>
                          <m:t>𝜂</m:t>
                        </m:r>
                        <m:r>
                          <a:rPr lang="en-US" sz="1200" b="0" i="1">
                            <a:latin typeface="Cambria Math" panose="02040503050406030204" pitchFamily="18" charset="0"/>
                            <a:ea typeface="Cambria Math" panose="02040503050406030204" pitchFamily="18" charset="0"/>
                          </a:rPr>
                          <m:t>h𝑒𝑎𝑡</m:t>
                        </m:r>
                        <m:r>
                          <a:rPr lang="en-US" sz="1200" b="0" i="1">
                            <a:latin typeface="Cambria Math" panose="02040503050406030204" pitchFamily="18" charset="0"/>
                            <a:ea typeface="Cambria Math" panose="02040503050406030204" pitchFamily="18" charset="0"/>
                          </a:rPr>
                          <m:t>∗3412</m:t>
                        </m:r>
                      </m:den>
                    </m:f>
                    <m:r>
                      <a:rPr lang="en-US" sz="1200" b="0" i="1">
                        <a:latin typeface="Cambria Math" panose="02040503050406030204" pitchFamily="18" charset="0"/>
                        <a:ea typeface="Cambria Math" panose="02040503050406030204" pitchFamily="18" charset="0"/>
                      </a:rPr>
                      <m:t>+</m:t>
                    </m:r>
                    <m:d>
                      <m:dPr>
                        <m:ctrlPr>
                          <a:rPr lang="en-US" sz="1200" b="0" i="1">
                            <a:latin typeface="Cambria Math" panose="02040503050406030204" pitchFamily="18" charset="0"/>
                            <a:ea typeface="Cambria Math" panose="02040503050406030204" pitchFamily="18" charset="0"/>
                          </a:rPr>
                        </m:ctrlPr>
                      </m:dPr>
                      <m:e>
                        <m:r>
                          <a:rPr lang="en-US" sz="1200" b="0" i="1">
                            <a:latin typeface="Cambria Math" panose="02040503050406030204" pitchFamily="18" charset="0"/>
                            <a:ea typeface="Cambria Math" panose="02040503050406030204" pitchFamily="18" charset="0"/>
                          </a:rPr>
                          <m:t>1−%</m:t>
                        </m:r>
                        <m:r>
                          <a:rPr lang="en-US" sz="1200" b="0" i="1">
                            <a:latin typeface="Cambria Math" panose="02040503050406030204" pitchFamily="18" charset="0"/>
                            <a:ea typeface="Cambria Math" panose="02040503050406030204" pitchFamily="18" charset="0"/>
                          </a:rPr>
                          <m:t>𝐸𝑙𝑒𝑐𝑡𝑟𝑖𝑐𝐻𝑒𝑎𝑡</m:t>
                        </m:r>
                      </m:e>
                    </m:d>
                    <m:r>
                      <a:rPr lang="en-US" sz="1200" b="0" i="1">
                        <a:latin typeface="Cambria Math" panose="02040503050406030204" pitchFamily="18" charset="0"/>
                        <a:ea typeface="Cambria Math" panose="02040503050406030204" pitchFamily="18" charset="0"/>
                      </a:rPr>
                      <m:t>∗</m:t>
                    </m:r>
                    <m:d>
                      <m:dPr>
                        <m:ctrlPr>
                          <a:rPr lang="en-US" sz="1200" b="0" i="1">
                            <a:latin typeface="Cambria Math" panose="02040503050406030204" pitchFamily="18" charset="0"/>
                            <a:ea typeface="Cambria Math" panose="02040503050406030204" pitchFamily="18" charset="0"/>
                          </a:rPr>
                        </m:ctrlPr>
                      </m:dPr>
                      <m:e>
                        <m:r>
                          <m:rPr>
                            <m:sty m:val="p"/>
                          </m:rPr>
                          <a:rPr lang="el-GR" sz="1200" b="0" i="1">
                            <a:latin typeface="Cambria Math" panose="02040503050406030204" pitchFamily="18" charset="0"/>
                            <a:ea typeface="Cambria Math" panose="02040503050406030204" pitchFamily="18" charset="0"/>
                          </a:rPr>
                          <m:t>Δ</m:t>
                        </m:r>
                        <m:r>
                          <a:rPr lang="en-US" sz="1200" b="0" i="1">
                            <a:latin typeface="Cambria Math" panose="02040503050406030204" pitchFamily="18" charset="0"/>
                            <a:ea typeface="Cambria Math" panose="02040503050406030204" pitchFamily="18" charset="0"/>
                          </a:rPr>
                          <m:t>𝑇h𝑒𝑟𝑚𝑠</m:t>
                        </m:r>
                        <m:r>
                          <a:rPr lang="en-US" sz="1200" b="0" i="1">
                            <a:latin typeface="Cambria Math" panose="02040503050406030204" pitchFamily="18" charset="0"/>
                            <a:ea typeface="Cambria Math" panose="02040503050406030204" pitchFamily="18" charset="0"/>
                          </a:rPr>
                          <m:t>∗</m:t>
                        </m:r>
                        <m:r>
                          <a:rPr lang="en-US" sz="1200" b="0" i="1">
                            <a:latin typeface="Cambria Math" panose="02040503050406030204" pitchFamily="18" charset="0"/>
                            <a:ea typeface="Cambria Math" panose="02040503050406030204" pitchFamily="18" charset="0"/>
                          </a:rPr>
                          <m:t>𝐹𝑒</m:t>
                        </m:r>
                        <m:r>
                          <a:rPr lang="en-US" sz="1200" b="0" i="1">
                            <a:latin typeface="Cambria Math" panose="02040503050406030204" pitchFamily="18" charset="0"/>
                            <a:ea typeface="Cambria Math" panose="02040503050406030204" pitchFamily="18" charset="0"/>
                          </a:rPr>
                          <m:t>∗29.3</m:t>
                        </m:r>
                      </m:e>
                    </m:d>
                  </m:oMath>
                </m:oMathPara>
              </a14:m>
              <a:endParaRPr lang="en-US" sz="1050"/>
            </a:p>
          </xdr:txBody>
        </xdr:sp>
      </mc:Choice>
      <mc:Fallback xmlns="">
        <xdr:sp macro="" textlink="">
          <xdr:nvSpPr>
            <xdr:cNvPr id="20" name="TextBox 19">
              <a:extLst>
                <a:ext uri="{FF2B5EF4-FFF2-40B4-BE49-F238E27FC236}">
                  <a16:creationId xmlns:a16="http://schemas.microsoft.com/office/drawing/2014/main" id="{00000000-0008-0000-0900-000014000000}"/>
                </a:ext>
              </a:extLst>
            </xdr:cNvPr>
            <xdr:cNvSpPr txBox="1"/>
          </xdr:nvSpPr>
          <xdr:spPr>
            <a:xfrm>
              <a:off x="3966658" y="8867534"/>
              <a:ext cx="13581754" cy="6724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oAutofit/>
            </a:bodyPr>
            <a:lstStyle/>
            <a:p>
              <a:pPr algn="l"/>
              <a:r>
                <a:rPr lang="en-US" sz="1200" i="0">
                  <a:latin typeface="Cambria Math" panose="02040503050406030204" pitchFamily="18" charset="0"/>
                  <a:ea typeface="Cambria Math" panose="02040503050406030204" pitchFamily="18" charset="0"/>
                </a:rPr>
                <a:t>∆</a:t>
              </a:r>
              <a:r>
                <a:rPr lang="en-US" sz="1200" b="0" i="0">
                  <a:latin typeface="Cambria Math" panose="02040503050406030204" pitchFamily="18" charset="0"/>
                  <a:ea typeface="Cambria Math" panose="02040503050406030204" pitchFamily="18" charset="0"/>
                </a:rPr>
                <a:t>𝑘𝑊ℎ_𝐻𝑒𝑎𝑡𝑖𝑛𝑔=((%𝐸𝑙𝑒𝑐𝑡𝑟𝑖𝑐𝐻𝑒𝑎𝑡∗(1/𝑅_𝑜𝑙𝑑 −1/𝑅_𝐴𝑡𝑡𝑖𝑐 )∗𝐴_𝐴𝑡𝑡𝑖𝑐∗(1−𝐹𝑟𝑎𝑚𝑖𝑛𝑔𝐹𝑎𝑐𝑡𝑜𝑟_𝐴𝑡𝑡𝑖𝑐 )∗𝐻𝐷𝐷∗24∗𝐴𝑑𝑗_𝐴𝑡𝑡𝑖𝑐 ))/(𝜂ℎ𝑒𝑎𝑡∗3412)+(1−%𝐸𝑙𝑒𝑐𝑡𝑟𝑖𝑐𝐻𝑒𝑎𝑡)∗(</a:t>
              </a:r>
              <a:r>
                <a:rPr lang="el-GR" sz="1200" b="0" i="0">
                  <a:latin typeface="Cambria Math" panose="02040503050406030204" pitchFamily="18" charset="0"/>
                  <a:ea typeface="Cambria Math" panose="02040503050406030204" pitchFamily="18" charset="0"/>
                </a:rPr>
                <a:t>Δ</a:t>
              </a:r>
              <a:r>
                <a:rPr lang="en-US" sz="1200" b="0" i="0">
                  <a:latin typeface="Cambria Math" panose="02040503050406030204" pitchFamily="18" charset="0"/>
                  <a:ea typeface="Cambria Math" panose="02040503050406030204" pitchFamily="18" charset="0"/>
                </a:rPr>
                <a:t>𝑇ℎ𝑒𝑟𝑚𝑠∗𝐹𝑒∗29.3)</a:t>
              </a:r>
              <a:endParaRPr lang="en-US" sz="1050"/>
            </a:p>
          </xdr:txBody>
        </xdr:sp>
      </mc:Fallback>
    </mc:AlternateContent>
    <xdr:clientData/>
  </xdr:twoCellAnchor>
  <xdr:twoCellAnchor>
    <xdr:from>
      <xdr:col>4</xdr:col>
      <xdr:colOff>446330</xdr:colOff>
      <xdr:row>84</xdr:row>
      <xdr:rowOff>169673</xdr:rowOff>
    </xdr:from>
    <xdr:to>
      <xdr:col>14</xdr:col>
      <xdr:colOff>0</xdr:colOff>
      <xdr:row>87</xdr:row>
      <xdr:rowOff>147679</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00000000-0008-0000-0900-000015000000}"/>
                </a:ext>
              </a:extLst>
            </xdr:cNvPr>
            <xdr:cNvSpPr txBox="1"/>
          </xdr:nvSpPr>
          <xdr:spPr>
            <a:xfrm>
              <a:off x="3976183" y="8349967"/>
              <a:ext cx="13572229" cy="51588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oAutofit/>
            </a:bodyPr>
            <a:lstStyle/>
            <a:p>
              <a:pPr algn="l"/>
              <a14:m>
                <m:oMathPara xmlns:m="http://schemas.openxmlformats.org/officeDocument/2006/math">
                  <m:oMathParaPr>
                    <m:jc m:val="left"/>
                  </m:oMathParaPr>
                  <m:oMath xmlns:m="http://schemas.openxmlformats.org/officeDocument/2006/math">
                    <m:r>
                      <a:rPr lang="en-US" sz="1200" i="1">
                        <a:latin typeface="Cambria Math" panose="02040503050406030204" pitchFamily="18" charset="0"/>
                        <a:ea typeface="Cambria Math" panose="02040503050406030204" pitchFamily="18" charset="0"/>
                      </a:rPr>
                      <m:t>∆</m:t>
                    </m:r>
                    <m:r>
                      <a:rPr lang="en-US" sz="1200" b="0" i="1">
                        <a:latin typeface="Cambria Math" panose="02040503050406030204" pitchFamily="18" charset="0"/>
                        <a:ea typeface="Cambria Math" panose="02040503050406030204" pitchFamily="18" charset="0"/>
                      </a:rPr>
                      <m:t>𝑘𝑊</m:t>
                    </m:r>
                    <m:sSub>
                      <m:sSubPr>
                        <m:ctrlPr>
                          <a:rPr lang="en-US" sz="1200" b="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h</m:t>
                        </m:r>
                      </m:e>
                      <m:sub>
                        <m:r>
                          <a:rPr lang="en-US" sz="1200" b="0" i="1">
                            <a:latin typeface="Cambria Math" panose="02040503050406030204" pitchFamily="18" charset="0"/>
                            <a:ea typeface="Cambria Math" panose="02040503050406030204" pitchFamily="18" charset="0"/>
                          </a:rPr>
                          <m:t>𝐶𝑜𝑜𝑙𝑖𝑛𝑔</m:t>
                        </m:r>
                      </m:sub>
                    </m:sSub>
                    <m:r>
                      <a:rPr lang="en-US" sz="1200" b="0" i="1">
                        <a:latin typeface="Cambria Math" panose="02040503050406030204" pitchFamily="18" charset="0"/>
                        <a:ea typeface="Cambria Math" panose="02040503050406030204" pitchFamily="18" charset="0"/>
                      </a:rPr>
                      <m:t>=</m:t>
                    </m:r>
                    <m:f>
                      <m:fPr>
                        <m:ctrlPr>
                          <a:rPr lang="en-US" sz="1200" b="0" i="1">
                            <a:latin typeface="Cambria Math" panose="02040503050406030204" pitchFamily="18" charset="0"/>
                            <a:ea typeface="Cambria Math" panose="02040503050406030204" pitchFamily="18" charset="0"/>
                          </a:rPr>
                        </m:ctrlPr>
                      </m:fPr>
                      <m:num>
                        <m:d>
                          <m:dPr>
                            <m:ctrlPr>
                              <a:rPr lang="en-US" sz="1200" b="0" i="1">
                                <a:latin typeface="Cambria Math" panose="02040503050406030204" pitchFamily="18" charset="0"/>
                                <a:ea typeface="Cambria Math" panose="02040503050406030204" pitchFamily="18" charset="0"/>
                              </a:rPr>
                            </m:ctrlPr>
                          </m:dPr>
                          <m:e>
                            <m:r>
                              <a:rPr lang="en-US" sz="1200" b="0" i="1">
                                <a:latin typeface="Cambria Math" panose="02040503050406030204" pitchFamily="18" charset="0"/>
                                <a:ea typeface="Cambria Math" panose="02040503050406030204" pitchFamily="18" charset="0"/>
                              </a:rPr>
                              <m:t>%</m:t>
                            </m:r>
                            <m:r>
                              <a:rPr lang="en-US" sz="1200" b="0" i="1">
                                <a:latin typeface="Cambria Math" panose="02040503050406030204" pitchFamily="18" charset="0"/>
                                <a:ea typeface="Cambria Math" panose="02040503050406030204" pitchFamily="18" charset="0"/>
                              </a:rPr>
                              <m:t>𝐶𝑒𝑛𝑡𝑟𝑎𝑙𝐶𝑜𝑜𝑙𝑖𝑛𝑔</m:t>
                            </m:r>
                            <m:r>
                              <a:rPr lang="en-US" sz="1200" b="0" i="1">
                                <a:latin typeface="Cambria Math" panose="02040503050406030204" pitchFamily="18" charset="0"/>
                                <a:ea typeface="Cambria Math" panose="02040503050406030204" pitchFamily="18" charset="0"/>
                              </a:rPr>
                              <m:t>∗</m:t>
                            </m:r>
                            <m:d>
                              <m:dPr>
                                <m:ctrlPr>
                                  <a:rPr lang="en-US" sz="1200" b="0" i="1">
                                    <a:latin typeface="Cambria Math" panose="02040503050406030204" pitchFamily="18" charset="0"/>
                                    <a:ea typeface="Cambria Math" panose="02040503050406030204" pitchFamily="18" charset="0"/>
                                  </a:rPr>
                                </m:ctrlPr>
                              </m:dPr>
                              <m:e>
                                <m:f>
                                  <m:fPr>
                                    <m:ctrlPr>
                                      <a:rPr lang="en-US" sz="1200" b="0" i="1">
                                        <a:latin typeface="Cambria Math" panose="02040503050406030204" pitchFamily="18" charset="0"/>
                                        <a:ea typeface="Cambria Math" panose="02040503050406030204" pitchFamily="18" charset="0"/>
                                      </a:rPr>
                                    </m:ctrlPr>
                                  </m:fPr>
                                  <m:num>
                                    <m:r>
                                      <a:rPr lang="en-US" sz="1200" b="0" i="1">
                                        <a:latin typeface="Cambria Math" panose="02040503050406030204" pitchFamily="18" charset="0"/>
                                        <a:ea typeface="Cambria Math" panose="02040503050406030204" pitchFamily="18" charset="0"/>
                                      </a:rPr>
                                      <m:t>1</m:t>
                                    </m:r>
                                  </m:num>
                                  <m:den>
                                    <m:sSub>
                                      <m:sSubPr>
                                        <m:ctrlPr>
                                          <a:rPr lang="en-US" sz="1200" b="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𝑅</m:t>
                                        </m:r>
                                      </m:e>
                                      <m:sub>
                                        <m:r>
                                          <a:rPr lang="en-US" sz="1200" b="0" i="1">
                                            <a:latin typeface="Cambria Math" panose="02040503050406030204" pitchFamily="18" charset="0"/>
                                            <a:ea typeface="Cambria Math" panose="02040503050406030204" pitchFamily="18" charset="0"/>
                                          </a:rPr>
                                          <m:t>𝑜𝑙𝑑</m:t>
                                        </m:r>
                                      </m:sub>
                                    </m:sSub>
                                  </m:den>
                                </m:f>
                                <m:r>
                                  <a:rPr lang="en-US" sz="1200" b="0" i="1">
                                    <a:latin typeface="Cambria Math" panose="02040503050406030204" pitchFamily="18" charset="0"/>
                                    <a:ea typeface="Cambria Math" panose="02040503050406030204" pitchFamily="18" charset="0"/>
                                  </a:rPr>
                                  <m:t>−</m:t>
                                </m:r>
                                <m:f>
                                  <m:fPr>
                                    <m:ctrlPr>
                                      <a:rPr lang="en-US" sz="1200" b="0" i="1">
                                        <a:latin typeface="Cambria Math" panose="02040503050406030204" pitchFamily="18" charset="0"/>
                                        <a:ea typeface="Cambria Math" panose="02040503050406030204" pitchFamily="18" charset="0"/>
                                      </a:rPr>
                                    </m:ctrlPr>
                                  </m:fPr>
                                  <m:num>
                                    <m:r>
                                      <a:rPr lang="en-US" sz="1200" b="0" i="1">
                                        <a:latin typeface="Cambria Math" panose="02040503050406030204" pitchFamily="18" charset="0"/>
                                        <a:ea typeface="Cambria Math" panose="02040503050406030204" pitchFamily="18" charset="0"/>
                                      </a:rPr>
                                      <m:t>1</m:t>
                                    </m:r>
                                  </m:num>
                                  <m:den>
                                    <m:sSub>
                                      <m:sSubPr>
                                        <m:ctrlPr>
                                          <a:rPr lang="en-US" sz="1200" b="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𝑅</m:t>
                                        </m:r>
                                      </m:e>
                                      <m:sub>
                                        <m:r>
                                          <a:rPr lang="en-US" sz="1200" b="0" i="1">
                                            <a:latin typeface="Cambria Math" panose="02040503050406030204" pitchFamily="18" charset="0"/>
                                            <a:ea typeface="Cambria Math" panose="02040503050406030204" pitchFamily="18" charset="0"/>
                                          </a:rPr>
                                          <m:t>𝐴𝑡𝑡𝑖𝑐</m:t>
                                        </m:r>
                                      </m:sub>
                                    </m:sSub>
                                  </m:den>
                                </m:f>
                              </m:e>
                            </m:d>
                            <m:r>
                              <a:rPr lang="en-US" sz="1200" b="0" i="1">
                                <a:latin typeface="Cambria Math" panose="02040503050406030204" pitchFamily="18" charset="0"/>
                                <a:ea typeface="Cambria Math" panose="02040503050406030204" pitchFamily="18" charset="0"/>
                              </a:rPr>
                              <m:t>∗</m:t>
                            </m:r>
                            <m:sSub>
                              <m:sSubPr>
                                <m:ctrlPr>
                                  <a:rPr lang="en-US" sz="1200" b="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𝐴</m:t>
                                </m:r>
                              </m:e>
                              <m:sub>
                                <m:r>
                                  <a:rPr lang="en-US" sz="1200" b="0" i="1">
                                    <a:latin typeface="Cambria Math" panose="02040503050406030204" pitchFamily="18" charset="0"/>
                                    <a:ea typeface="Cambria Math" panose="02040503050406030204" pitchFamily="18" charset="0"/>
                                  </a:rPr>
                                  <m:t>𝐴𝑡𝑡𝑖𝑐</m:t>
                                </m:r>
                              </m:sub>
                            </m:sSub>
                            <m:r>
                              <a:rPr lang="en-US" sz="1200" b="0" i="1">
                                <a:latin typeface="Cambria Math" panose="02040503050406030204" pitchFamily="18" charset="0"/>
                                <a:ea typeface="Cambria Math" panose="02040503050406030204" pitchFamily="18" charset="0"/>
                              </a:rPr>
                              <m:t>∗</m:t>
                            </m:r>
                            <m:d>
                              <m:dPr>
                                <m:ctrlPr>
                                  <a:rPr lang="en-US" sz="1200" b="0" i="1">
                                    <a:latin typeface="Cambria Math" panose="02040503050406030204" pitchFamily="18" charset="0"/>
                                    <a:ea typeface="Cambria Math" panose="02040503050406030204" pitchFamily="18" charset="0"/>
                                  </a:rPr>
                                </m:ctrlPr>
                              </m:dPr>
                              <m:e>
                                <m:r>
                                  <a:rPr lang="en-US" sz="1200" b="0" i="1">
                                    <a:latin typeface="Cambria Math" panose="02040503050406030204" pitchFamily="18" charset="0"/>
                                    <a:ea typeface="Cambria Math" panose="02040503050406030204" pitchFamily="18" charset="0"/>
                                  </a:rPr>
                                  <m:t>1−</m:t>
                                </m:r>
                                <m:r>
                                  <a:rPr lang="en-US" sz="1200" b="0" i="1">
                                    <a:latin typeface="Cambria Math" panose="02040503050406030204" pitchFamily="18" charset="0"/>
                                    <a:ea typeface="Cambria Math" panose="02040503050406030204" pitchFamily="18" charset="0"/>
                                  </a:rPr>
                                  <m:t>𝐹𝑟𝑎𝑚𝑖𝑛𝑔𝐹𝑎𝑐𝑡𝑜</m:t>
                                </m:r>
                                <m:sSub>
                                  <m:sSubPr>
                                    <m:ctrlPr>
                                      <a:rPr lang="en-US" sz="1200" b="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𝑟</m:t>
                                    </m:r>
                                  </m:e>
                                  <m:sub>
                                    <m:r>
                                      <a:rPr lang="en-US" sz="1200" b="0" i="1">
                                        <a:latin typeface="Cambria Math" panose="02040503050406030204" pitchFamily="18" charset="0"/>
                                        <a:ea typeface="Cambria Math" panose="02040503050406030204" pitchFamily="18" charset="0"/>
                                      </a:rPr>
                                      <m:t>𝐴𝑡𝑡𝑖𝑐</m:t>
                                    </m:r>
                                  </m:sub>
                                </m:sSub>
                              </m:e>
                            </m:d>
                            <m:r>
                              <a:rPr lang="en-US" sz="1200" b="0" i="1">
                                <a:latin typeface="Cambria Math" panose="02040503050406030204" pitchFamily="18" charset="0"/>
                                <a:ea typeface="Cambria Math" panose="02040503050406030204" pitchFamily="18" charset="0"/>
                              </a:rPr>
                              <m:t>∗</m:t>
                            </m:r>
                            <m:r>
                              <a:rPr lang="en-US" sz="1200" b="0" i="1">
                                <a:latin typeface="Cambria Math" panose="02040503050406030204" pitchFamily="18" charset="0"/>
                                <a:ea typeface="Cambria Math" panose="02040503050406030204" pitchFamily="18" charset="0"/>
                              </a:rPr>
                              <m:t>𝐶𝐷𝐷</m:t>
                            </m:r>
                            <m:r>
                              <a:rPr lang="en-US" sz="1200" b="0" i="1">
                                <a:latin typeface="Cambria Math" panose="02040503050406030204" pitchFamily="18" charset="0"/>
                                <a:ea typeface="Cambria Math" panose="02040503050406030204" pitchFamily="18" charset="0"/>
                              </a:rPr>
                              <m:t>∗24∗</m:t>
                            </m:r>
                            <m:r>
                              <a:rPr lang="en-US" sz="1200" b="0" i="1">
                                <a:latin typeface="Cambria Math" panose="02040503050406030204" pitchFamily="18" charset="0"/>
                                <a:ea typeface="Cambria Math" panose="02040503050406030204" pitchFamily="18" charset="0"/>
                              </a:rPr>
                              <m:t>𝐷𝑈𝐴</m:t>
                            </m:r>
                          </m:e>
                        </m:d>
                      </m:num>
                      <m:den>
                        <m:r>
                          <a:rPr lang="en-US" sz="1200" b="0" i="1">
                            <a:latin typeface="Cambria Math" panose="02040503050406030204" pitchFamily="18" charset="0"/>
                            <a:ea typeface="Cambria Math" panose="02040503050406030204" pitchFamily="18" charset="0"/>
                          </a:rPr>
                          <m:t>𝜂</m:t>
                        </m:r>
                        <m:r>
                          <a:rPr lang="en-US" sz="1200" b="0" i="1">
                            <a:latin typeface="Cambria Math" panose="02040503050406030204" pitchFamily="18" charset="0"/>
                            <a:ea typeface="Cambria Math" panose="02040503050406030204" pitchFamily="18" charset="0"/>
                          </a:rPr>
                          <m:t>𝑐𝑜𝑜𝑙</m:t>
                        </m:r>
                        <m:r>
                          <a:rPr lang="en-US" sz="1200" b="0" i="1">
                            <a:latin typeface="Cambria Math" panose="02040503050406030204" pitchFamily="18" charset="0"/>
                            <a:ea typeface="Cambria Math" panose="02040503050406030204" pitchFamily="18" charset="0"/>
                          </a:rPr>
                          <m:t>∗3412</m:t>
                        </m:r>
                      </m:den>
                    </m:f>
                  </m:oMath>
                </m:oMathPara>
              </a14:m>
              <a:endParaRPr lang="en-US" sz="1200"/>
            </a:p>
          </xdr:txBody>
        </xdr:sp>
      </mc:Choice>
      <mc:Fallback xmlns="">
        <xdr:sp macro="" textlink="">
          <xdr:nvSpPr>
            <xdr:cNvPr id="21" name="TextBox 20">
              <a:extLst>
                <a:ext uri="{FF2B5EF4-FFF2-40B4-BE49-F238E27FC236}">
                  <a16:creationId xmlns:a16="http://schemas.microsoft.com/office/drawing/2014/main" id="{00000000-0008-0000-0900-000015000000}"/>
                </a:ext>
              </a:extLst>
            </xdr:cNvPr>
            <xdr:cNvSpPr txBox="1"/>
          </xdr:nvSpPr>
          <xdr:spPr>
            <a:xfrm>
              <a:off x="3976183" y="8349967"/>
              <a:ext cx="13572229" cy="51588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oAutofit/>
            </a:bodyPr>
            <a:lstStyle/>
            <a:p>
              <a:pPr algn="l"/>
              <a:r>
                <a:rPr lang="en-US" sz="1200" i="0">
                  <a:latin typeface="Cambria Math" panose="02040503050406030204" pitchFamily="18" charset="0"/>
                  <a:ea typeface="Cambria Math" panose="02040503050406030204" pitchFamily="18" charset="0"/>
                </a:rPr>
                <a:t>∆</a:t>
              </a:r>
              <a:r>
                <a:rPr lang="en-US" sz="12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−1/𝑅_𝐴𝑡𝑡𝑖𝑐 )∗𝐴_𝐴𝑡𝑡𝑖𝑐∗(1−𝐹𝑟𝑎𝑚𝑖𝑛𝑔𝐹𝑎𝑐𝑡𝑜𝑟_𝐴𝑡𝑡𝑖𝑐 )∗𝐶𝐷𝐷∗24∗𝐷𝑈𝐴))/(𝜂𝑐𝑜𝑜𝑙∗3412)</a:t>
              </a:r>
              <a:endParaRPr lang="en-US" sz="1200"/>
            </a:p>
          </xdr:txBody>
        </xdr:sp>
      </mc:Fallback>
    </mc:AlternateContent>
    <xdr:clientData/>
  </xdr:twoCellAnchor>
  <xdr:twoCellAnchor>
    <xdr:from>
      <xdr:col>2</xdr:col>
      <xdr:colOff>1125773</xdr:colOff>
      <xdr:row>87</xdr:row>
      <xdr:rowOff>13112</xdr:rowOff>
    </xdr:from>
    <xdr:to>
      <xdr:col>4</xdr:col>
      <xdr:colOff>239134</xdr:colOff>
      <xdr:row>91</xdr:row>
      <xdr:rowOff>0</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00000000-0008-0000-0900-000016000000}"/>
                </a:ext>
              </a:extLst>
            </xdr:cNvPr>
            <xdr:cNvSpPr txBox="1"/>
          </xdr:nvSpPr>
          <xdr:spPr>
            <a:xfrm>
              <a:off x="1966214" y="8731288"/>
              <a:ext cx="1802773" cy="70406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oAutofit/>
            </a:bodyPr>
            <a:lstStyle/>
            <a:p>
              <a:pPr algn="l"/>
              <a14:m>
                <m:oMathPara xmlns:m="http://schemas.openxmlformats.org/officeDocument/2006/math">
                  <m:oMathParaPr>
                    <m:jc m:val="left"/>
                  </m:oMathParaPr>
                  <m:oMath xmlns:m="http://schemas.openxmlformats.org/officeDocument/2006/math">
                    <m:r>
                      <m:rPr>
                        <m:sty m:val="p"/>
                      </m:rPr>
                      <a:rPr lang="el-GR" sz="1200" i="1">
                        <a:latin typeface="Cambria Math" panose="02040503050406030204" pitchFamily="18" charset="0"/>
                        <a:ea typeface="Cambria Math" panose="02040503050406030204" pitchFamily="18" charset="0"/>
                      </a:rPr>
                      <m:t>Δ</m:t>
                    </m:r>
                    <m:r>
                      <a:rPr lang="en-US" sz="1200" b="0" i="1">
                        <a:latin typeface="Cambria Math" panose="02040503050406030204" pitchFamily="18" charset="0"/>
                        <a:ea typeface="Cambria Math" panose="02040503050406030204" pitchFamily="18" charset="0"/>
                      </a:rPr>
                      <m:t>𝑘𝑊</m:t>
                    </m:r>
                    <m:r>
                      <a:rPr lang="en-US" sz="1200" b="0" i="1">
                        <a:latin typeface="Cambria Math" panose="02040503050406030204" pitchFamily="18" charset="0"/>
                        <a:ea typeface="Cambria Math" panose="02040503050406030204" pitchFamily="18" charset="0"/>
                      </a:rPr>
                      <m:t>=</m:t>
                    </m:r>
                    <m:r>
                      <m:rPr>
                        <m:sty m:val="p"/>
                      </m:rPr>
                      <a:rPr lang="el-GR" sz="1200" b="0" i="1">
                        <a:latin typeface="Cambria Math" panose="02040503050406030204" pitchFamily="18" charset="0"/>
                        <a:ea typeface="Cambria Math" panose="02040503050406030204" pitchFamily="18" charset="0"/>
                      </a:rPr>
                      <m:t>Δ</m:t>
                    </m:r>
                    <m:r>
                      <a:rPr lang="en-US" sz="1200" b="0" i="1">
                        <a:latin typeface="Cambria Math" panose="02040503050406030204" pitchFamily="18" charset="0"/>
                        <a:ea typeface="Cambria Math" panose="02040503050406030204" pitchFamily="18" charset="0"/>
                      </a:rPr>
                      <m:t>𝑘𝑊h</m:t>
                    </m:r>
                    <m:r>
                      <a:rPr lang="en-US" sz="1200" b="0" i="1">
                        <a:latin typeface="Cambria Math" panose="02040503050406030204" pitchFamily="18" charset="0"/>
                        <a:ea typeface="Cambria Math" panose="02040503050406030204" pitchFamily="18" charset="0"/>
                      </a:rPr>
                      <m:t>∗</m:t>
                    </m:r>
                    <m:r>
                      <a:rPr lang="en-US" sz="1200" b="0" i="1">
                        <a:latin typeface="Cambria Math" panose="02040503050406030204" pitchFamily="18" charset="0"/>
                        <a:ea typeface="Cambria Math" panose="02040503050406030204" pitchFamily="18" charset="0"/>
                      </a:rPr>
                      <m:t>𝐶𝐹</m:t>
                    </m:r>
                  </m:oMath>
                </m:oMathPara>
              </a14:m>
              <a:endParaRPr lang="en-US" sz="1200"/>
            </a:p>
          </xdr:txBody>
        </xdr:sp>
      </mc:Choice>
      <mc:Fallback xmlns="">
        <xdr:sp macro="" textlink="">
          <xdr:nvSpPr>
            <xdr:cNvPr id="22" name="TextBox 21">
              <a:extLst>
                <a:ext uri="{FF2B5EF4-FFF2-40B4-BE49-F238E27FC236}">
                  <a16:creationId xmlns:a16="http://schemas.microsoft.com/office/drawing/2014/main" id="{00000000-0008-0000-0900-000016000000}"/>
                </a:ext>
              </a:extLst>
            </xdr:cNvPr>
            <xdr:cNvSpPr txBox="1"/>
          </xdr:nvSpPr>
          <xdr:spPr>
            <a:xfrm>
              <a:off x="1966214" y="8731288"/>
              <a:ext cx="1802773" cy="70406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oAutofit/>
            </a:bodyPr>
            <a:lstStyle/>
            <a:p>
              <a:pPr algn="l"/>
              <a:r>
                <a:rPr lang="el-GR" sz="1200" i="0">
                  <a:latin typeface="Cambria Math" panose="02040503050406030204" pitchFamily="18" charset="0"/>
                  <a:ea typeface="Cambria Math" panose="02040503050406030204" pitchFamily="18" charset="0"/>
                </a:rPr>
                <a:t>Δ</a:t>
              </a:r>
              <a:r>
                <a:rPr lang="en-US" sz="1200" b="0" i="0">
                  <a:latin typeface="Cambria Math" panose="02040503050406030204" pitchFamily="18" charset="0"/>
                  <a:ea typeface="Cambria Math" panose="02040503050406030204" pitchFamily="18" charset="0"/>
                </a:rPr>
                <a:t>𝑘𝑊=</a:t>
              </a:r>
              <a:r>
                <a:rPr lang="el-GR" sz="1200" b="0" i="0">
                  <a:latin typeface="Cambria Math" panose="02040503050406030204" pitchFamily="18" charset="0"/>
                  <a:ea typeface="Cambria Math" panose="02040503050406030204" pitchFamily="18" charset="0"/>
                </a:rPr>
                <a:t>Δ</a:t>
              </a:r>
              <a:r>
                <a:rPr lang="en-US" sz="1200" b="0" i="0">
                  <a:latin typeface="Cambria Math" panose="02040503050406030204" pitchFamily="18" charset="0"/>
                  <a:ea typeface="Cambria Math" panose="02040503050406030204" pitchFamily="18" charset="0"/>
                </a:rPr>
                <a:t>𝑘𝑊ℎ∗𝐶𝐹</a:t>
              </a:r>
              <a:endParaRPr lang="en-US" sz="1200"/>
            </a:p>
          </xdr:txBody>
        </xdr:sp>
      </mc:Fallback>
    </mc:AlternateContent>
    <xdr:clientData/>
  </xdr:twoCellAnchor>
  <xdr:twoCellAnchor>
    <xdr:from>
      <xdr:col>8</xdr:col>
      <xdr:colOff>0</xdr:colOff>
      <xdr:row>83</xdr:row>
      <xdr:rowOff>174671</xdr:rowOff>
    </xdr:from>
    <xdr:to>
      <xdr:col>14</xdr:col>
      <xdr:colOff>1</xdr:colOff>
      <xdr:row>87</xdr:row>
      <xdr:rowOff>160469</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00000000-0008-0000-0900-000017000000}"/>
                </a:ext>
              </a:extLst>
            </xdr:cNvPr>
            <xdr:cNvSpPr txBox="1"/>
          </xdr:nvSpPr>
          <xdr:spPr>
            <a:xfrm>
              <a:off x="11519647" y="8175671"/>
              <a:ext cx="6028766" cy="70297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oAutofit/>
            </a:bodyPr>
            <a:lstStyle/>
            <a:p>
              <a:pPr algn="l"/>
              <a14:m>
                <m:oMathPara xmlns:m="http://schemas.openxmlformats.org/officeDocument/2006/math">
                  <m:oMathParaPr>
                    <m:jc m:val="left"/>
                  </m:oMathParaPr>
                  <m:oMath xmlns:m="http://schemas.openxmlformats.org/officeDocument/2006/math">
                    <m:r>
                      <m:rPr>
                        <m:sty m:val="p"/>
                      </m:rPr>
                      <a:rPr lang="el-GR" sz="1200" i="1">
                        <a:latin typeface="Cambria Math" panose="02040503050406030204" pitchFamily="18" charset="0"/>
                        <a:ea typeface="Cambria Math" panose="02040503050406030204" pitchFamily="18" charset="0"/>
                      </a:rPr>
                      <m:t>Δ</m:t>
                    </m:r>
                    <m:r>
                      <a:rPr lang="en-US" sz="1200" b="0" i="1">
                        <a:latin typeface="Cambria Math" panose="02040503050406030204" pitchFamily="18" charset="0"/>
                        <a:ea typeface="Cambria Math" panose="02040503050406030204" pitchFamily="18" charset="0"/>
                      </a:rPr>
                      <m:t>𝑇h𝑒𝑟𝑚𝑠</m:t>
                    </m:r>
                    <m:r>
                      <a:rPr lang="en-US" sz="1200" b="0" i="1">
                        <a:latin typeface="Cambria Math" panose="02040503050406030204" pitchFamily="18" charset="0"/>
                        <a:ea typeface="Cambria Math" panose="02040503050406030204" pitchFamily="18" charset="0"/>
                      </a:rPr>
                      <m:t>=</m:t>
                    </m:r>
                    <m:f>
                      <m:fPr>
                        <m:ctrlPr>
                          <a:rPr lang="en-US" sz="1200" b="0" i="1">
                            <a:latin typeface="Cambria Math" panose="02040503050406030204" pitchFamily="18" charset="0"/>
                            <a:ea typeface="Cambria Math" panose="02040503050406030204" pitchFamily="18" charset="0"/>
                          </a:rPr>
                        </m:ctrlPr>
                      </m:fPr>
                      <m:num>
                        <m:d>
                          <m:dPr>
                            <m:ctrlPr>
                              <a:rPr lang="en-US" sz="1200" b="0" i="1">
                                <a:latin typeface="Cambria Math" panose="02040503050406030204" pitchFamily="18" charset="0"/>
                                <a:ea typeface="Cambria Math" panose="02040503050406030204" pitchFamily="18" charset="0"/>
                              </a:rPr>
                            </m:ctrlPr>
                          </m:dPr>
                          <m:e>
                            <m:d>
                              <m:dPr>
                                <m:ctrlPr>
                                  <a:rPr lang="en-US" sz="1200" b="0" i="1">
                                    <a:latin typeface="Cambria Math" panose="02040503050406030204" pitchFamily="18" charset="0"/>
                                    <a:ea typeface="Cambria Math" panose="02040503050406030204" pitchFamily="18" charset="0"/>
                                  </a:rPr>
                                </m:ctrlPr>
                              </m:dPr>
                              <m:e>
                                <m:f>
                                  <m:fPr>
                                    <m:ctrlPr>
                                      <a:rPr lang="en-US" sz="1200" b="0" i="1">
                                        <a:latin typeface="Cambria Math" panose="02040503050406030204" pitchFamily="18" charset="0"/>
                                        <a:ea typeface="Cambria Math" panose="02040503050406030204" pitchFamily="18" charset="0"/>
                                      </a:rPr>
                                    </m:ctrlPr>
                                  </m:fPr>
                                  <m:num>
                                    <m:r>
                                      <a:rPr lang="en-US" sz="1200" b="0" i="1">
                                        <a:latin typeface="Cambria Math" panose="02040503050406030204" pitchFamily="18" charset="0"/>
                                        <a:ea typeface="Cambria Math" panose="02040503050406030204" pitchFamily="18" charset="0"/>
                                      </a:rPr>
                                      <m:t>1</m:t>
                                    </m:r>
                                  </m:num>
                                  <m:den>
                                    <m:sSub>
                                      <m:sSubPr>
                                        <m:ctrlPr>
                                          <a:rPr lang="en-US" sz="1200" b="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𝑅</m:t>
                                        </m:r>
                                      </m:e>
                                      <m:sub>
                                        <m:r>
                                          <a:rPr lang="en-US" sz="1200" b="0" i="1">
                                            <a:latin typeface="Cambria Math" panose="02040503050406030204" pitchFamily="18" charset="0"/>
                                            <a:ea typeface="Cambria Math" panose="02040503050406030204" pitchFamily="18" charset="0"/>
                                          </a:rPr>
                                          <m:t>𝑜𝑙𝑑</m:t>
                                        </m:r>
                                      </m:sub>
                                    </m:sSub>
                                  </m:den>
                                </m:f>
                                <m:r>
                                  <a:rPr lang="en-US" sz="1200" b="0" i="1">
                                    <a:latin typeface="Cambria Math" panose="02040503050406030204" pitchFamily="18" charset="0"/>
                                    <a:ea typeface="Cambria Math" panose="02040503050406030204" pitchFamily="18" charset="0"/>
                                  </a:rPr>
                                  <m:t>−</m:t>
                                </m:r>
                                <m:f>
                                  <m:fPr>
                                    <m:ctrlPr>
                                      <a:rPr lang="en-US" sz="1200" b="0" i="1">
                                        <a:latin typeface="Cambria Math" panose="02040503050406030204" pitchFamily="18" charset="0"/>
                                        <a:ea typeface="Cambria Math" panose="02040503050406030204" pitchFamily="18" charset="0"/>
                                      </a:rPr>
                                    </m:ctrlPr>
                                  </m:fPr>
                                  <m:num>
                                    <m:r>
                                      <a:rPr lang="en-US" sz="1200" b="0" i="1">
                                        <a:latin typeface="Cambria Math" panose="02040503050406030204" pitchFamily="18" charset="0"/>
                                        <a:ea typeface="Cambria Math" panose="02040503050406030204" pitchFamily="18" charset="0"/>
                                      </a:rPr>
                                      <m:t>1</m:t>
                                    </m:r>
                                  </m:num>
                                  <m:den>
                                    <m:sSub>
                                      <m:sSubPr>
                                        <m:ctrlPr>
                                          <a:rPr lang="en-US" sz="1200" b="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𝑅</m:t>
                                        </m:r>
                                      </m:e>
                                      <m:sub>
                                        <m:r>
                                          <a:rPr lang="en-US" sz="1200" b="0" i="1">
                                            <a:latin typeface="Cambria Math" panose="02040503050406030204" pitchFamily="18" charset="0"/>
                                            <a:ea typeface="Cambria Math" panose="02040503050406030204" pitchFamily="18" charset="0"/>
                                          </a:rPr>
                                          <m:t>𝐴𝑡𝑡𝑖𝑐</m:t>
                                        </m:r>
                                      </m:sub>
                                    </m:sSub>
                                  </m:den>
                                </m:f>
                              </m:e>
                            </m:d>
                            <m:r>
                              <a:rPr lang="en-US" sz="1200" b="0" i="1">
                                <a:latin typeface="Cambria Math" panose="02040503050406030204" pitchFamily="18" charset="0"/>
                                <a:ea typeface="Cambria Math" panose="02040503050406030204" pitchFamily="18" charset="0"/>
                              </a:rPr>
                              <m:t>∗</m:t>
                            </m:r>
                            <m:sSub>
                              <m:sSubPr>
                                <m:ctrlPr>
                                  <a:rPr lang="en-US" sz="1200" b="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𝐴</m:t>
                                </m:r>
                              </m:e>
                              <m:sub>
                                <m:r>
                                  <a:rPr lang="en-US" sz="1200" b="0" i="1">
                                    <a:latin typeface="Cambria Math" panose="02040503050406030204" pitchFamily="18" charset="0"/>
                                    <a:ea typeface="Cambria Math" panose="02040503050406030204" pitchFamily="18" charset="0"/>
                                  </a:rPr>
                                  <m:t>𝐴𝑡𝑡𝑖𝑐</m:t>
                                </m:r>
                              </m:sub>
                            </m:sSub>
                            <m:r>
                              <a:rPr lang="en-US" sz="1200" b="0" i="1">
                                <a:latin typeface="Cambria Math" panose="02040503050406030204" pitchFamily="18" charset="0"/>
                                <a:ea typeface="Cambria Math" panose="02040503050406030204" pitchFamily="18" charset="0"/>
                              </a:rPr>
                              <m:t>∗</m:t>
                            </m:r>
                            <m:d>
                              <m:dPr>
                                <m:ctrlPr>
                                  <a:rPr lang="en-US" sz="1200" b="0" i="1">
                                    <a:latin typeface="Cambria Math" panose="02040503050406030204" pitchFamily="18" charset="0"/>
                                    <a:ea typeface="Cambria Math" panose="02040503050406030204" pitchFamily="18" charset="0"/>
                                  </a:rPr>
                                </m:ctrlPr>
                              </m:dPr>
                              <m:e>
                                <m:r>
                                  <a:rPr lang="en-US" sz="1200" b="0" i="1">
                                    <a:latin typeface="Cambria Math" panose="02040503050406030204" pitchFamily="18" charset="0"/>
                                    <a:ea typeface="Cambria Math" panose="02040503050406030204" pitchFamily="18" charset="0"/>
                                  </a:rPr>
                                  <m:t>1−</m:t>
                                </m:r>
                                <m:r>
                                  <a:rPr lang="en-US" sz="1200" b="0" i="1">
                                    <a:latin typeface="Cambria Math" panose="02040503050406030204" pitchFamily="18" charset="0"/>
                                    <a:ea typeface="Cambria Math" panose="02040503050406030204" pitchFamily="18" charset="0"/>
                                  </a:rPr>
                                  <m:t>𝐹𝑟𝑎𝑚𝑖𝑛𝑔𝐹𝑎𝑐𝑡𝑜</m:t>
                                </m:r>
                                <m:sSub>
                                  <m:sSubPr>
                                    <m:ctrlPr>
                                      <a:rPr lang="en-US" sz="1200" b="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𝑟</m:t>
                                    </m:r>
                                  </m:e>
                                  <m:sub>
                                    <m:r>
                                      <a:rPr lang="en-US" sz="1200" b="0" i="1">
                                        <a:latin typeface="Cambria Math" panose="02040503050406030204" pitchFamily="18" charset="0"/>
                                        <a:ea typeface="Cambria Math" panose="02040503050406030204" pitchFamily="18" charset="0"/>
                                      </a:rPr>
                                      <m:t>𝐴𝑡𝑡𝑖𝑐</m:t>
                                    </m:r>
                                  </m:sub>
                                </m:sSub>
                              </m:e>
                            </m:d>
                            <m:r>
                              <a:rPr lang="en-US" sz="1200" b="0" i="1">
                                <a:latin typeface="Cambria Math" panose="02040503050406030204" pitchFamily="18" charset="0"/>
                                <a:ea typeface="Cambria Math" panose="02040503050406030204" pitchFamily="18" charset="0"/>
                              </a:rPr>
                              <m:t>∗</m:t>
                            </m:r>
                            <m:r>
                              <a:rPr lang="en-US" sz="1200" b="0" i="1">
                                <a:latin typeface="Cambria Math" panose="02040503050406030204" pitchFamily="18" charset="0"/>
                                <a:ea typeface="Cambria Math" panose="02040503050406030204" pitchFamily="18" charset="0"/>
                              </a:rPr>
                              <m:t>𝐻𝐷𝐷</m:t>
                            </m:r>
                            <m:r>
                              <a:rPr lang="en-US" sz="1200" b="0" i="1">
                                <a:latin typeface="Cambria Math" panose="02040503050406030204" pitchFamily="18" charset="0"/>
                                <a:ea typeface="Cambria Math" panose="02040503050406030204" pitchFamily="18" charset="0"/>
                              </a:rPr>
                              <m:t>∗24∗</m:t>
                            </m:r>
                            <m:r>
                              <a:rPr lang="en-US" sz="1200" b="0" i="1">
                                <a:latin typeface="Cambria Math" panose="02040503050406030204" pitchFamily="18" charset="0"/>
                                <a:ea typeface="Cambria Math" panose="02040503050406030204" pitchFamily="18" charset="0"/>
                              </a:rPr>
                              <m:t>𝐴𝑑</m:t>
                            </m:r>
                            <m:sSub>
                              <m:sSubPr>
                                <m:ctrlPr>
                                  <a:rPr lang="en-US" sz="1200" b="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𝑗</m:t>
                                </m:r>
                              </m:e>
                              <m:sub>
                                <m:r>
                                  <a:rPr lang="en-US" sz="1200" b="0" i="1">
                                    <a:latin typeface="Cambria Math" panose="02040503050406030204" pitchFamily="18" charset="0"/>
                                    <a:ea typeface="Cambria Math" panose="02040503050406030204" pitchFamily="18" charset="0"/>
                                  </a:rPr>
                                  <m:t>𝐴𝑡𝑡𝑖𝑐</m:t>
                                </m:r>
                              </m:sub>
                            </m:sSub>
                          </m:e>
                        </m:d>
                      </m:num>
                      <m:den>
                        <m:r>
                          <a:rPr lang="en-US" sz="1200" b="0" i="1">
                            <a:latin typeface="Cambria Math" panose="02040503050406030204" pitchFamily="18" charset="0"/>
                            <a:ea typeface="Cambria Math" panose="02040503050406030204" pitchFamily="18" charset="0"/>
                          </a:rPr>
                          <m:t>𝜂</m:t>
                        </m:r>
                        <m:r>
                          <a:rPr lang="en-US" sz="1200" b="0" i="1">
                            <a:latin typeface="Cambria Math" panose="02040503050406030204" pitchFamily="18" charset="0"/>
                            <a:ea typeface="Cambria Math" panose="02040503050406030204" pitchFamily="18" charset="0"/>
                          </a:rPr>
                          <m:t>h𝑒𝑎𝑡</m:t>
                        </m:r>
                        <m:r>
                          <a:rPr lang="en-US" sz="1200" b="0" i="1">
                            <a:latin typeface="Cambria Math" panose="02040503050406030204" pitchFamily="18" charset="0"/>
                            <a:ea typeface="Cambria Math" panose="02040503050406030204" pitchFamily="18" charset="0"/>
                          </a:rPr>
                          <m:t>∗100,000</m:t>
                        </m:r>
                      </m:den>
                    </m:f>
                  </m:oMath>
                </m:oMathPara>
              </a14:m>
              <a:endParaRPr lang="en-US" sz="1200"/>
            </a:p>
          </xdr:txBody>
        </xdr:sp>
      </mc:Choice>
      <mc:Fallback xmlns="">
        <xdr:sp macro="" textlink="">
          <xdr:nvSpPr>
            <xdr:cNvPr id="23" name="TextBox 22">
              <a:extLst>
                <a:ext uri="{FF2B5EF4-FFF2-40B4-BE49-F238E27FC236}">
                  <a16:creationId xmlns:a16="http://schemas.microsoft.com/office/drawing/2014/main" id="{00000000-0008-0000-0900-000017000000}"/>
                </a:ext>
              </a:extLst>
            </xdr:cNvPr>
            <xdr:cNvSpPr txBox="1"/>
          </xdr:nvSpPr>
          <xdr:spPr>
            <a:xfrm>
              <a:off x="11519647" y="8175671"/>
              <a:ext cx="6028766" cy="70297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oAutofit/>
            </a:bodyPr>
            <a:lstStyle/>
            <a:p>
              <a:pPr algn="l"/>
              <a:r>
                <a:rPr lang="el-GR" sz="1200" i="0">
                  <a:latin typeface="Cambria Math" panose="02040503050406030204" pitchFamily="18" charset="0"/>
                  <a:ea typeface="Cambria Math" panose="02040503050406030204" pitchFamily="18" charset="0"/>
                </a:rPr>
                <a:t>Δ</a:t>
              </a:r>
              <a:r>
                <a:rPr lang="en-US" sz="1200" b="0" i="0">
                  <a:latin typeface="Cambria Math" panose="02040503050406030204" pitchFamily="18" charset="0"/>
                  <a:ea typeface="Cambria Math" panose="02040503050406030204" pitchFamily="18" charset="0"/>
                </a:rPr>
                <a:t>𝑇ℎ𝑒𝑟𝑚𝑠=(((1/𝑅_𝑜𝑙𝑑 −1/𝑅_𝐴𝑡𝑡𝑖𝑐 )∗𝐴_𝐴𝑡𝑡𝑖𝑐∗(1−𝐹𝑟𝑎𝑚𝑖𝑛𝑔𝐹𝑎𝑐𝑡𝑜𝑟_𝐴𝑡𝑡𝑖𝑐 )∗𝐻𝐷𝐷∗24∗𝐴𝑑𝑗_𝐴𝑡𝑡𝑖𝑐 ))/(𝜂ℎ𝑒𝑎𝑡∗100,000)</a:t>
              </a:r>
              <a:endParaRPr lang="en-US" sz="1200"/>
            </a:p>
          </xdr:txBody>
        </xdr:sp>
      </mc:Fallback>
    </mc:AlternateContent>
    <xdr:clientData/>
  </xdr:twoCellAnchor>
  <xdr:twoCellAnchor>
    <xdr:from>
      <xdr:col>4</xdr:col>
      <xdr:colOff>478573</xdr:colOff>
      <xdr:row>199</xdr:row>
      <xdr:rowOff>168055</xdr:rowOff>
    </xdr:from>
    <xdr:to>
      <xdr:col>14</xdr:col>
      <xdr:colOff>0</xdr:colOff>
      <xdr:row>201</xdr:row>
      <xdr:rowOff>173228</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0000000-0008-0000-0900-000018000000}"/>
                </a:ext>
              </a:extLst>
            </xdr:cNvPr>
            <xdr:cNvSpPr txBox="1"/>
          </xdr:nvSpPr>
          <xdr:spPr>
            <a:xfrm>
              <a:off x="4008426" y="9961996"/>
              <a:ext cx="13539986" cy="3637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24" name="TextBox 23">
              <a:extLst>
                <a:ext uri="{FF2B5EF4-FFF2-40B4-BE49-F238E27FC236}">
                  <a16:creationId xmlns:a16="http://schemas.microsoft.com/office/drawing/2014/main" id="{00000000-0008-0000-0900-000018000000}"/>
                </a:ext>
              </a:extLst>
            </xdr:cNvPr>
            <xdr:cNvSpPr txBox="1"/>
          </xdr:nvSpPr>
          <xdr:spPr>
            <a:xfrm>
              <a:off x="4008426" y="9961996"/>
              <a:ext cx="13539986" cy="3637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400"/>
            </a:p>
          </xdr:txBody>
        </xdr:sp>
      </mc:Fallback>
    </mc:AlternateContent>
    <xdr:clientData/>
  </xdr:twoCellAnchor>
  <xdr:twoCellAnchor>
    <xdr:from>
      <xdr:col>4</xdr:col>
      <xdr:colOff>474028</xdr:colOff>
      <xdr:row>202</xdr:row>
      <xdr:rowOff>60307</xdr:rowOff>
    </xdr:from>
    <xdr:to>
      <xdr:col>14</xdr:col>
      <xdr:colOff>0</xdr:colOff>
      <xdr:row>204</xdr:row>
      <xdr:rowOff>58302</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00000000-0008-0000-0900-000019000000}"/>
                </a:ext>
              </a:extLst>
            </xdr:cNvPr>
            <xdr:cNvSpPr txBox="1"/>
          </xdr:nvSpPr>
          <xdr:spPr>
            <a:xfrm>
              <a:off x="4003881" y="10392131"/>
              <a:ext cx="13544531" cy="35658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25" name="TextBox 24">
              <a:extLst>
                <a:ext uri="{FF2B5EF4-FFF2-40B4-BE49-F238E27FC236}">
                  <a16:creationId xmlns:a16="http://schemas.microsoft.com/office/drawing/2014/main" id="{00000000-0008-0000-0900-000019000000}"/>
                </a:ext>
              </a:extLst>
            </xdr:cNvPr>
            <xdr:cNvSpPr txBox="1"/>
          </xdr:nvSpPr>
          <xdr:spPr>
            <a:xfrm>
              <a:off x="4003881" y="10392131"/>
              <a:ext cx="13544531" cy="35658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4</xdr:col>
      <xdr:colOff>54929</xdr:colOff>
      <xdr:row>204</xdr:row>
      <xdr:rowOff>72630</xdr:rowOff>
    </xdr:from>
    <xdr:to>
      <xdr:col>13</xdr:col>
      <xdr:colOff>986117</xdr:colOff>
      <xdr:row>206</xdr:row>
      <xdr:rowOff>54171</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0000000-0008-0000-0900-00001A000000}"/>
                </a:ext>
              </a:extLst>
            </xdr:cNvPr>
            <xdr:cNvSpPr txBox="1"/>
          </xdr:nvSpPr>
          <xdr:spPr>
            <a:xfrm>
              <a:off x="3584782" y="10763042"/>
              <a:ext cx="13963629" cy="3401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6" name="TextBox 25">
              <a:extLst>
                <a:ext uri="{FF2B5EF4-FFF2-40B4-BE49-F238E27FC236}">
                  <a16:creationId xmlns:a16="http://schemas.microsoft.com/office/drawing/2014/main" id="{00000000-0008-0000-0900-00001A000000}"/>
                </a:ext>
              </a:extLst>
            </xdr:cNvPr>
            <xdr:cNvSpPr txBox="1"/>
          </xdr:nvSpPr>
          <xdr:spPr>
            <a:xfrm>
              <a:off x="3584782" y="10763042"/>
              <a:ext cx="13963629" cy="3401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4</xdr:col>
      <xdr:colOff>550273</xdr:colOff>
      <xdr:row>232</xdr:row>
      <xdr:rowOff>165462</xdr:rowOff>
    </xdr:from>
    <xdr:to>
      <xdr:col>16</xdr:col>
      <xdr:colOff>1</xdr:colOff>
      <xdr:row>235</xdr:row>
      <xdr:rowOff>149678</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00000000-0008-0000-0900-00001B000000}"/>
                </a:ext>
              </a:extLst>
            </xdr:cNvPr>
            <xdr:cNvSpPr txBox="1"/>
          </xdr:nvSpPr>
          <xdr:spPr>
            <a:xfrm>
              <a:off x="4088130" y="11704319"/>
              <a:ext cx="15274835" cy="51489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𝑀𝑜𝑑𝑒</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1−% </m:t>
                        </m:r>
                        <m:r>
                          <a:rPr lang="en-US" sz="1400" b="0" i="1">
                            <a:solidFill>
                              <a:sysClr val="windowText" lastClr="000000"/>
                            </a:solidFill>
                            <a:latin typeface="Cambria Math" panose="02040503050406030204" pitchFamily="18" charset="0"/>
                            <a:ea typeface="Cambria Math" panose="02040503050406030204" pitchFamily="18" charset="0"/>
                          </a:rPr>
                          <m:t>𝑤𝑖𝑡h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𝑛𝑒𝑤</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𝐴𝑆𝐻𝑃</m:t>
                        </m:r>
                      </m:e>
                    </m:d>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400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𝑦𝑟</m:t>
                            </m:r>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m:t>
                                </m:r>
                              </m:sub>
                            </m:sSub>
                          </m:num>
                          <m:den>
                            <m:r>
                              <a:rPr lang="en-US" sz="1400" b="0" i="1">
                                <a:solidFill>
                                  <a:sysClr val="windowText" lastClr="000000"/>
                                </a:solidFill>
                                <a:latin typeface="Cambria Math" panose="02040503050406030204" pitchFamily="18" charset="0"/>
                                <a:ea typeface="Cambria Math" panose="02040503050406030204" pitchFamily="18" charset="0"/>
                              </a:rPr>
                              <m:t>𝑊𝐼</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m:t>
                                </m:r>
                              </m:sub>
                            </m:sSub>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7" name="TextBox 26">
              <a:extLst>
                <a:ext uri="{FF2B5EF4-FFF2-40B4-BE49-F238E27FC236}">
                  <a16:creationId xmlns:a16="http://schemas.microsoft.com/office/drawing/2014/main" id="{00000000-0008-0000-0900-00001B000000}"/>
                </a:ext>
              </a:extLst>
            </xdr:cNvPr>
            <xdr:cNvSpPr txBox="1"/>
          </xdr:nvSpPr>
          <xdr:spPr>
            <a:xfrm>
              <a:off x="4088130" y="11704319"/>
              <a:ext cx="15274835" cy="51489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𝑘𝑊ℎ_(𝐻𝑒𝑎𝑡𝑖𝑛𝑔 𝑀𝑜𝑑𝑒)=(1−% 𝑤𝑖𝑡ℎ 𝑛𝑒𝑤 𝐴𝑆𝐻𝑃)∗(400 𝑘𝑊ℎ/𝑦𝑟∗(𝐸𝐹𝐿𝐻_𝐻𝑒𝑎𝑡𝑖𝑛𝑔)/(𝑊𝐼 𝐸𝐹𝐿𝐻_𝐻𝑒𝑎𝑡𝑖𝑛𝑔 ))∗𝐻𝐹∗𝐼𝑆𝑅</a:t>
              </a:r>
              <a:endParaRPr lang="en-US" sz="1400">
                <a:solidFill>
                  <a:sysClr val="windowText" lastClr="000000"/>
                </a:solidFill>
              </a:endParaRPr>
            </a:p>
          </xdr:txBody>
        </xdr:sp>
      </mc:Fallback>
    </mc:AlternateContent>
    <xdr:clientData/>
  </xdr:twoCellAnchor>
  <xdr:twoCellAnchor>
    <xdr:from>
      <xdr:col>4</xdr:col>
      <xdr:colOff>550272</xdr:colOff>
      <xdr:row>235</xdr:row>
      <xdr:rowOff>205025</xdr:rowOff>
    </xdr:from>
    <xdr:to>
      <xdr:col>16</xdr:col>
      <xdr:colOff>0</xdr:colOff>
      <xdr:row>238</xdr:row>
      <xdr:rowOff>35108</xdr:rowOff>
    </xdr:to>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00000000-0008-0000-0900-00001C000000}"/>
                </a:ext>
              </a:extLst>
            </xdr:cNvPr>
            <xdr:cNvSpPr txBox="1"/>
          </xdr:nvSpPr>
          <xdr:spPr>
            <a:xfrm>
              <a:off x="4088129" y="12274561"/>
              <a:ext cx="15274835" cy="5240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𝐶𝑜𝑜𝑙𝑖𝑛𝑔</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𝑀𝑜𝑑𝑒</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1−% </m:t>
                        </m:r>
                        <m:r>
                          <a:rPr lang="en-US" sz="1400" b="0" i="1">
                            <a:solidFill>
                              <a:sysClr val="windowText" lastClr="000000"/>
                            </a:solidFill>
                            <a:latin typeface="Cambria Math" panose="02040503050406030204" pitchFamily="18" charset="0"/>
                            <a:ea typeface="Cambria Math" panose="02040503050406030204" pitchFamily="18" charset="0"/>
                          </a:rPr>
                          <m:t>𝑤𝑖𝑡h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𝑁𝑒𝑤</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𝐶𝑒𝑛𝑡𝑟𝑎𝑙</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𝐶𝑜𝑜𝑙𝑖𝑛𝑔</m:t>
                        </m:r>
                      </m:e>
                    </m:d>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70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𝑦𝑟</m:t>
                            </m:r>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num>
                          <m:den>
                            <m:r>
                              <a:rPr lang="en-US" sz="1400" b="0" i="1">
                                <a:solidFill>
                                  <a:sysClr val="windowText" lastClr="000000"/>
                                </a:solidFill>
                                <a:latin typeface="Cambria Math" panose="02040503050406030204" pitchFamily="18" charset="0"/>
                                <a:ea typeface="Cambria Math" panose="02040503050406030204" pitchFamily="18" charset="0"/>
                              </a:rPr>
                              <m:t>𝑊𝐼</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8" name="TextBox 27">
              <a:extLst>
                <a:ext uri="{FF2B5EF4-FFF2-40B4-BE49-F238E27FC236}">
                  <a16:creationId xmlns:a16="http://schemas.microsoft.com/office/drawing/2014/main" id="{00000000-0008-0000-0900-00001C000000}"/>
                </a:ext>
              </a:extLst>
            </xdr:cNvPr>
            <xdr:cNvSpPr txBox="1"/>
          </xdr:nvSpPr>
          <xdr:spPr>
            <a:xfrm>
              <a:off x="4088129" y="12274561"/>
              <a:ext cx="15274835" cy="5240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𝑘𝑊ℎ_(𝐶𝑜𝑜𝑙𝑖𝑛𝑔 𝑀𝑜𝑑𝑒)=(1−% 𝑤𝑖𝑡ℎ 𝑁𝑒𝑤 𝐶𝑒𝑛𝑡𝑟𝑎𝑙 𝐶𝑜𝑜𝑙𝑖𝑛𝑔)∗(70 𝑘𝑊ℎ/𝑦𝑟∗(𝐸𝐹𝐿𝐻_𝑐𝑜𝑜𝑙𝑖𝑛𝑔)/(𝑊𝐼 𝐸𝐹𝐿𝐻_𝑐𝑜𝑜𝑙𝑖𝑛𝑔 ))∗𝐻𝐹∗𝐼𝑆𝑅</a:t>
              </a:r>
              <a:endParaRPr lang="en-US" sz="1400">
                <a:solidFill>
                  <a:sysClr val="windowText" lastClr="000000"/>
                </a:solidFill>
              </a:endParaRPr>
            </a:p>
          </xdr:txBody>
        </xdr:sp>
      </mc:Fallback>
    </mc:AlternateContent>
    <xdr:clientData/>
  </xdr:twoCellAnchor>
  <xdr:twoCellAnchor>
    <xdr:from>
      <xdr:col>4</xdr:col>
      <xdr:colOff>550273</xdr:colOff>
      <xdr:row>238</xdr:row>
      <xdr:rowOff>104131</xdr:rowOff>
    </xdr:from>
    <xdr:to>
      <xdr:col>16</xdr:col>
      <xdr:colOff>1</xdr:colOff>
      <xdr:row>240</xdr:row>
      <xdr:rowOff>173082</xdr:rowOff>
    </xdr:to>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00000000-0008-0000-0900-00001D000000}"/>
                </a:ext>
              </a:extLst>
            </xdr:cNvPr>
            <xdr:cNvSpPr txBox="1"/>
          </xdr:nvSpPr>
          <xdr:spPr>
            <a:xfrm>
              <a:off x="4088130" y="12867631"/>
              <a:ext cx="15274835" cy="53159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𝐴𝑢𝑡𝑜</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𝐶𝑖𝑟𝑐𝑢𝑙𝑎𝑡𝑖𝑜𝑛</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25</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𝑦𝑟</m:t>
                                </m:r>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num>
                              <m:den>
                                <m:r>
                                  <a:rPr lang="en-US" sz="1400" b="0" i="1">
                                    <a:solidFill>
                                      <a:sysClr val="windowText" lastClr="000000"/>
                                    </a:solidFill>
                                    <a:latin typeface="Cambria Math" panose="02040503050406030204" pitchFamily="18" charset="0"/>
                                    <a:ea typeface="Cambria Math" panose="02040503050406030204" pitchFamily="18" charset="0"/>
                                  </a:rPr>
                                  <m:t>𝑊𝐼</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den>
                            </m:f>
                          </m:e>
                        </m:d>
                        <m:r>
                          <a:rPr lang="en-US" sz="1400" b="0" i="1">
                            <a:solidFill>
                              <a:sysClr val="windowText" lastClr="000000"/>
                            </a:solidFill>
                            <a:latin typeface="Cambria Math" panose="02040503050406030204" pitchFamily="18" charset="0"/>
                            <a:ea typeface="Cambria Math" panose="02040503050406030204" pitchFamily="18" charset="0"/>
                          </a:rPr>
                          <m:t>+2960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𝑦𝑒𝑎𝑟</m:t>
                            </m:r>
                          </m:den>
                        </m:f>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𝑅𝑇</m:t>
                        </m:r>
                        <m:r>
                          <a:rPr lang="en-US" sz="1400" b="0" i="1">
                            <a:solidFill>
                              <a:sysClr val="windowText" lastClr="000000"/>
                            </a:solidFill>
                            <a:latin typeface="Cambria Math" panose="02040503050406030204" pitchFamily="18" charset="0"/>
                            <a:ea typeface="Cambria Math" panose="02040503050406030204" pitchFamily="18" charset="0"/>
                          </a:rPr>
                          <m:t>−30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𝑦𝑒𝑎𝑟</m:t>
                            </m:r>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9" name="TextBox 28">
              <a:extLst>
                <a:ext uri="{FF2B5EF4-FFF2-40B4-BE49-F238E27FC236}">
                  <a16:creationId xmlns:a16="http://schemas.microsoft.com/office/drawing/2014/main" id="{00000000-0008-0000-0900-00001D000000}"/>
                </a:ext>
              </a:extLst>
            </xdr:cNvPr>
            <xdr:cNvSpPr txBox="1"/>
          </xdr:nvSpPr>
          <xdr:spPr>
            <a:xfrm>
              <a:off x="4088130" y="12867631"/>
              <a:ext cx="15274835" cy="53159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𝑘𝑊ℎ_(𝐴𝑢𝑡𝑜 𝐶𝑖𝑟𝑐𝑢𝑙𝑎𝑡𝑖𝑜𝑛)=((25 𝑘𝑊ℎ/𝑦𝑟∗(𝐸𝐹𝐿𝐻_𝑐𝑜𝑜𝑙𝑖𝑛𝑔)/(𝑊𝐼 𝐸𝐹𝐿𝐻_𝑐𝑜𝑜𝑙𝑖𝑛𝑔 ))+2960 𝑘𝑊ℎ/𝑦𝑒𝑎𝑟∗𝑅𝑇−30 𝑘𝑊ℎ/𝑦𝑒𝑎𝑟)∗𝐻𝐹∗𝐼𝑆𝑅</a:t>
              </a:r>
              <a:endParaRPr lang="en-US" sz="1400">
                <a:solidFill>
                  <a:sysClr val="windowText" lastClr="000000"/>
                </a:solidFill>
              </a:endParaRPr>
            </a:p>
          </xdr:txBody>
        </xdr:sp>
      </mc:Fallback>
    </mc:AlternateContent>
    <xdr:clientData/>
  </xdr:twoCellAnchor>
  <xdr:twoCellAnchor>
    <xdr:from>
      <xdr:col>4</xdr:col>
      <xdr:colOff>587928</xdr:colOff>
      <xdr:row>241</xdr:row>
      <xdr:rowOff>13608</xdr:rowOff>
    </xdr:from>
    <xdr:to>
      <xdr:col>15</xdr:col>
      <xdr:colOff>891903</xdr:colOff>
      <xdr:row>243</xdr:row>
      <xdr:rowOff>141739</xdr:rowOff>
    </xdr:to>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00000000-0008-0000-0900-00001E000000}"/>
                </a:ext>
              </a:extLst>
            </xdr:cNvPr>
            <xdr:cNvSpPr txBox="1"/>
          </xdr:nvSpPr>
          <xdr:spPr>
            <a:xfrm>
              <a:off x="4125785" y="13471072"/>
              <a:ext cx="15231011" cy="59077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𝐶𝑜𝑛𝑡𝑖𝑛𝑢𝑜𝑢𝑠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𝑅𝑇</m:t>
                        </m:r>
                        <m:r>
                          <a:rPr lang="en-US" sz="1400" b="0" i="1">
                            <a:latin typeface="Cambria Math" panose="02040503050406030204" pitchFamily="18" charset="0"/>
                            <a:ea typeface="Cambria Math" panose="02040503050406030204" pitchFamily="18" charset="0"/>
                          </a:rPr>
                          <m:t>−30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30" name="TextBox 29">
              <a:extLst>
                <a:ext uri="{FF2B5EF4-FFF2-40B4-BE49-F238E27FC236}">
                  <a16:creationId xmlns:a16="http://schemas.microsoft.com/office/drawing/2014/main" id="{00000000-0008-0000-0900-00001E000000}"/>
                </a:ext>
              </a:extLst>
            </xdr:cNvPr>
            <xdr:cNvSpPr txBox="1"/>
          </xdr:nvSpPr>
          <xdr:spPr>
            <a:xfrm>
              <a:off x="4125785" y="13471072"/>
              <a:ext cx="15231011" cy="59077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𝑘𝑊ℎ_(𝐶𝑜𝑛𝑡𝑖𝑛𝑢𝑜𝑢𝑠 𝐶𝑖𝑟𝑐𝑢𝑙𝑎𝑡𝑖𝑜𝑛)=((25 𝑘𝑊ℎ/𝑦𝑟∗(𝐸𝐹𝐿𝐻_𝑐𝑜𝑜𝑙𝑖𝑛𝑔)/(𝑊𝐼 𝐸𝐹𝐿𝐻_𝑐𝑜𝑜𝑙𝑖𝑛𝑔 ))+2960 𝑘𝑊ℎ/𝑦𝑒𝑎𝑟∗𝑅𝑇−30 𝑘𝑊ℎ/𝑦𝑒𝑎𝑟)∗</a:t>
              </a:r>
              <a:r>
                <a:rPr lang="en-US" sz="1400" b="0" i="0">
                  <a:solidFill>
                    <a:sysClr val="windowText" lastClr="000000"/>
                  </a:solidFill>
                  <a:latin typeface="Cambria Math" panose="02040503050406030204" pitchFamily="18" charset="0"/>
                  <a:ea typeface="Cambria Math" panose="02040503050406030204" pitchFamily="18" charset="0"/>
                </a:rPr>
                <a:t>𝐻𝐹∗𝐼𝑆𝑅</a:t>
              </a:r>
              <a:endParaRPr lang="en-US" sz="1400"/>
            </a:p>
          </xdr:txBody>
        </xdr:sp>
      </mc:Fallback>
    </mc:AlternateContent>
    <xdr:clientData/>
  </xdr:twoCellAnchor>
  <xdr:twoCellAnchor>
    <xdr:from>
      <xdr:col>4</xdr:col>
      <xdr:colOff>0</xdr:colOff>
      <xdr:row>243</xdr:row>
      <xdr:rowOff>122464</xdr:rowOff>
    </xdr:from>
    <xdr:to>
      <xdr:col>16</xdr:col>
      <xdr:colOff>0</xdr:colOff>
      <xdr:row>245</xdr:row>
      <xdr:rowOff>126274</xdr:rowOff>
    </xdr:to>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00000000-0008-0000-0900-000020000000}"/>
                </a:ext>
              </a:extLst>
            </xdr:cNvPr>
            <xdr:cNvSpPr txBox="1"/>
          </xdr:nvSpPr>
          <xdr:spPr>
            <a:xfrm>
              <a:off x="3537857" y="14042571"/>
              <a:ext cx="15825107" cy="35759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m:rPr>
                        <m:sty m:val="p"/>
                      </m:rPr>
                      <a:rPr lang="el-GR" sz="1600" b="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32" name="TextBox 31">
              <a:extLst>
                <a:ext uri="{FF2B5EF4-FFF2-40B4-BE49-F238E27FC236}">
                  <a16:creationId xmlns:a16="http://schemas.microsoft.com/office/drawing/2014/main" id="{00000000-0008-0000-0900-000020000000}"/>
                </a:ext>
              </a:extLst>
            </xdr:cNvPr>
            <xdr:cNvSpPr txBox="1"/>
          </xdr:nvSpPr>
          <xdr:spPr>
            <a:xfrm>
              <a:off x="3537857" y="14042571"/>
              <a:ext cx="15825107" cy="35759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a:t>
              </a:r>
              <a:r>
                <a:rPr lang="el-GR" sz="1600" b="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4</xdr:col>
      <xdr:colOff>1410081</xdr:colOff>
      <xdr:row>292</xdr:row>
      <xdr:rowOff>37682</xdr:rowOff>
    </xdr:from>
    <xdr:to>
      <xdr:col>12</xdr:col>
      <xdr:colOff>0</xdr:colOff>
      <xdr:row>300</xdr:row>
      <xdr:rowOff>129540</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00000000-0008-0000-0900-000021000000}"/>
                </a:ext>
              </a:extLst>
            </xdr:cNvPr>
            <xdr:cNvSpPr txBox="1"/>
          </xdr:nvSpPr>
          <xdr:spPr>
            <a:xfrm>
              <a:off x="4939934" y="50598623"/>
              <a:ext cx="10759507" cy="15262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l"/>
              <a14:m>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 ∆</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33" name="TextBox 32">
              <a:extLst>
                <a:ext uri="{FF2B5EF4-FFF2-40B4-BE49-F238E27FC236}">
                  <a16:creationId xmlns:a16="http://schemas.microsoft.com/office/drawing/2014/main" id="{00000000-0008-0000-0900-000021000000}"/>
                </a:ext>
              </a:extLst>
            </xdr:cNvPr>
            <xdr:cNvSpPr txBox="1"/>
          </xdr:nvSpPr>
          <xdr:spPr>
            <a:xfrm>
              <a:off x="4943856" y="67950932"/>
              <a:ext cx="10762869" cy="154346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l"/>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4</xdr:col>
      <xdr:colOff>1870469</xdr:colOff>
      <xdr:row>294</xdr:row>
      <xdr:rowOff>53442</xdr:rowOff>
    </xdr:from>
    <xdr:to>
      <xdr:col>12</xdr:col>
      <xdr:colOff>0</xdr:colOff>
      <xdr:row>296</xdr:row>
      <xdr:rowOff>114299</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00000000-0008-0000-0900-000022000000}"/>
                </a:ext>
              </a:extLst>
            </xdr:cNvPr>
            <xdr:cNvSpPr txBox="1"/>
          </xdr:nvSpPr>
          <xdr:spPr>
            <a:xfrm>
              <a:off x="5400322" y="50972971"/>
              <a:ext cx="10299119" cy="41944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34" name="TextBox 33">
              <a:extLst>
                <a:ext uri="{FF2B5EF4-FFF2-40B4-BE49-F238E27FC236}">
                  <a16:creationId xmlns:a16="http://schemas.microsoft.com/office/drawing/2014/main" id="{00000000-0008-0000-0900-000022000000}"/>
                </a:ext>
              </a:extLst>
            </xdr:cNvPr>
            <xdr:cNvSpPr txBox="1"/>
          </xdr:nvSpPr>
          <xdr:spPr>
            <a:xfrm>
              <a:off x="5404244" y="68332452"/>
              <a:ext cx="10302481" cy="41899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∆〖𝑘𝑊ℎ〗_𝑅𝐸𝑆</a:t>
              </a:r>
              <a:r>
                <a:rPr lang="en-US" sz="16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twoCellAnchor>
    <xdr:from>
      <xdr:col>4</xdr:col>
      <xdr:colOff>1882318</xdr:colOff>
      <xdr:row>296</xdr:row>
      <xdr:rowOff>96319</xdr:rowOff>
    </xdr:from>
    <xdr:to>
      <xdr:col>12</xdr:col>
      <xdr:colOff>0</xdr:colOff>
      <xdr:row>298</xdr:row>
      <xdr:rowOff>57150</xdr:rowOff>
    </xdr:to>
    <mc:AlternateContent xmlns:mc="http://schemas.openxmlformats.org/markup-compatibility/2006" xmlns:a14="http://schemas.microsoft.com/office/drawing/2010/main">
      <mc:Choice Requires="a14">
        <xdr:sp macro="" textlink="">
          <xdr:nvSpPr>
            <xdr:cNvPr id="35" name="TextBox 34">
              <a:extLst>
                <a:ext uri="{FF2B5EF4-FFF2-40B4-BE49-F238E27FC236}">
                  <a16:creationId xmlns:a16="http://schemas.microsoft.com/office/drawing/2014/main" id="{00000000-0008-0000-0900-000023000000}"/>
                </a:ext>
              </a:extLst>
            </xdr:cNvPr>
            <xdr:cNvSpPr txBox="1"/>
          </xdr:nvSpPr>
          <xdr:spPr>
            <a:xfrm>
              <a:off x="5412171" y="51374437"/>
              <a:ext cx="10287270" cy="31941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35" name="TextBox 34">
              <a:extLst>
                <a:ext uri="{FF2B5EF4-FFF2-40B4-BE49-F238E27FC236}">
                  <a16:creationId xmlns:a16="http://schemas.microsoft.com/office/drawing/2014/main" id="{00000000-0008-0000-0900-000023000000}"/>
                </a:ext>
              </a:extLst>
            </xdr:cNvPr>
            <xdr:cNvSpPr txBox="1"/>
          </xdr:nvSpPr>
          <xdr:spPr>
            <a:xfrm>
              <a:off x="5412283" y="68729659"/>
              <a:ext cx="10294442" cy="3227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∆〖𝑘𝑊ℎ〗_𝑁𝑅𝐸𝑆</a:t>
              </a:r>
              <a:r>
                <a:rPr lang="en-US" sz="16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4</xdr:col>
      <xdr:colOff>1412134</xdr:colOff>
      <xdr:row>298</xdr:row>
      <xdr:rowOff>173241</xdr:rowOff>
    </xdr:from>
    <xdr:to>
      <xdr:col>12</xdr:col>
      <xdr:colOff>1904</xdr:colOff>
      <xdr:row>301</xdr:row>
      <xdr:rowOff>22523</xdr:rowOff>
    </xdr:to>
    <mc:AlternateContent xmlns:mc="http://schemas.openxmlformats.org/markup-compatibility/2006" xmlns:a14="http://schemas.microsoft.com/office/drawing/2010/main">
      <mc:Choice Requires="a14">
        <xdr:sp macro="" textlink="">
          <xdr:nvSpPr>
            <xdr:cNvPr id="36" name="TextBox 35">
              <a:extLst>
                <a:ext uri="{FF2B5EF4-FFF2-40B4-BE49-F238E27FC236}">
                  <a16:creationId xmlns:a16="http://schemas.microsoft.com/office/drawing/2014/main" id="{00000000-0008-0000-0900-000024000000}"/>
                </a:ext>
              </a:extLst>
            </xdr:cNvPr>
            <xdr:cNvSpPr txBox="1"/>
          </xdr:nvSpPr>
          <xdr:spPr>
            <a:xfrm>
              <a:off x="4941987" y="51809947"/>
              <a:ext cx="10759358" cy="38716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36" name="TextBox 35">
              <a:extLst>
                <a:ext uri="{FF2B5EF4-FFF2-40B4-BE49-F238E27FC236}">
                  <a16:creationId xmlns:a16="http://schemas.microsoft.com/office/drawing/2014/main" id="{00000000-0008-0000-0900-000024000000}"/>
                </a:ext>
              </a:extLst>
            </xdr:cNvPr>
            <xdr:cNvSpPr txBox="1"/>
          </xdr:nvSpPr>
          <xdr:spPr>
            <a:xfrm>
              <a:off x="4941987" y="51809947"/>
              <a:ext cx="10759358" cy="38716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0</xdr:colOff>
      <xdr:row>372</xdr:row>
      <xdr:rowOff>0</xdr:rowOff>
    </xdr:from>
    <xdr:to>
      <xdr:col>13</xdr:col>
      <xdr:colOff>0</xdr:colOff>
      <xdr:row>379</xdr:row>
      <xdr:rowOff>81643</xdr:rowOff>
    </xdr:to>
    <mc:AlternateContent xmlns:mc="http://schemas.openxmlformats.org/markup-compatibility/2006" xmlns:a14="http://schemas.microsoft.com/office/drawing/2010/main">
      <mc:Choice Requires="a14">
        <xdr:sp macro="" textlink="">
          <xdr:nvSpPr>
            <xdr:cNvPr id="37" name="TextBox 36">
              <a:extLst>
                <a:ext uri="{FF2B5EF4-FFF2-40B4-BE49-F238E27FC236}">
                  <a16:creationId xmlns:a16="http://schemas.microsoft.com/office/drawing/2014/main" id="{00000000-0008-0000-0900-000025000000}"/>
                </a:ext>
              </a:extLst>
            </xdr:cNvPr>
            <xdr:cNvSpPr txBox="1"/>
          </xdr:nvSpPr>
          <xdr:spPr>
            <a:xfrm>
              <a:off x="3537857" y="16750393"/>
              <a:ext cx="13035643" cy="131989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600" i="1">
                        <a:solidFill>
                          <a:sysClr val="windowText" lastClr="000000"/>
                        </a:solidFill>
                        <a:effectLst/>
                        <a:latin typeface="Cambria Math" panose="02040503050406030204" pitchFamily="18" charset="0"/>
                        <a:ea typeface="+mn-ea"/>
                        <a:cs typeface="+mn-cs"/>
                      </a:rPr>
                      <m:t>∆</m:t>
                    </m:r>
                    <m:r>
                      <a:rPr lang="en-US" sz="1600" i="1">
                        <a:solidFill>
                          <a:sysClr val="windowText" lastClr="000000"/>
                        </a:solidFill>
                        <a:effectLst/>
                        <a:latin typeface="Cambria Math" panose="02040503050406030204" pitchFamily="18" charset="0"/>
                        <a:ea typeface="+mn-ea"/>
                        <a:cs typeface="+mn-cs"/>
                      </a:rPr>
                      <m:t>𝑘𝑊h</m:t>
                    </m:r>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lang="en-US" sz="1200" i="1" baseline="0">
                                <a:solidFill>
                                  <a:sysClr val="windowText" lastClr="000000"/>
                                </a:solidFill>
                                <a:effectLst/>
                                <a:latin typeface="Cambria Math" panose="02040503050406030204" pitchFamily="18" charset="0"/>
                                <a:ea typeface="+mn-ea"/>
                                <a:cs typeface="+mn-cs"/>
                              </a:rPr>
                            </m:ctrlPr>
                          </m:fPr>
                          <m:num>
                            <m:r>
                              <a:rPr lang="en-US" sz="1200" b="0" i="1" baseline="0">
                                <a:solidFill>
                                  <a:sysClr val="windowText" lastClr="000000"/>
                                </a:solidFill>
                                <a:effectLst/>
                                <a:latin typeface="Cambria Math" panose="02040503050406030204" pitchFamily="18" charset="0"/>
                                <a:ea typeface="+mn-ea"/>
                                <a:cs typeface="+mn-cs"/>
                              </a:rPr>
                              <m:t>%</m:t>
                            </m:r>
                            <m:r>
                              <a:rPr lang="en-US" sz="1200" b="0" i="1" baseline="0">
                                <a:solidFill>
                                  <a:sysClr val="windowText" lastClr="000000"/>
                                </a:solidFill>
                                <a:effectLst/>
                                <a:latin typeface="Cambria Math" panose="02040503050406030204" pitchFamily="18" charset="0"/>
                                <a:ea typeface="+mn-ea"/>
                                <a:cs typeface="+mn-cs"/>
                              </a:rPr>
                              <m:t>𝐸𝑙𝑒𝑐𝑡𝑟𝑖𝑐𝐷𝐻𝑊</m:t>
                            </m:r>
                            <m:r>
                              <a:rPr lang="en-US" sz="1200" b="0" i="1" baseline="0">
                                <a:solidFill>
                                  <a:sysClr val="windowText" lastClr="000000"/>
                                </a:solidFill>
                                <a:effectLst/>
                                <a:latin typeface="Cambria Math" panose="02040503050406030204" pitchFamily="18" charset="0"/>
                                <a:ea typeface="+mn-ea"/>
                                <a:cs typeface="+mn-cs"/>
                              </a:rPr>
                              <m:t> ∗ (</m:t>
                            </m:r>
                            <m:r>
                              <a:rPr lang="en-US" sz="1200" b="0" i="1" baseline="0">
                                <a:solidFill>
                                  <a:sysClr val="windowText" lastClr="000000"/>
                                </a:solidFill>
                                <a:effectLst/>
                                <a:latin typeface="Cambria Math" panose="02040503050406030204" pitchFamily="18" charset="0"/>
                                <a:ea typeface="+mn-ea"/>
                                <a:cs typeface="+mn-cs"/>
                              </a:rPr>
                              <m:t>𝐺𝑃</m:t>
                            </m:r>
                            <m:sSub>
                              <m:sSubPr>
                                <m:ctrlPr>
                                  <a:rPr lang="en-US" sz="1200" b="0" i="1" baseline="0">
                                    <a:solidFill>
                                      <a:sysClr val="windowText" lastClr="000000"/>
                                    </a:solidFill>
                                    <a:effectLst/>
                                    <a:latin typeface="Cambria Math" panose="02040503050406030204" pitchFamily="18" charset="0"/>
                                    <a:ea typeface="+mn-ea"/>
                                    <a:cs typeface="+mn-cs"/>
                                  </a:rPr>
                                </m:ctrlPr>
                              </m:sSubPr>
                              <m:e>
                                <m:r>
                                  <a:rPr lang="en-US" sz="1200" b="0" i="1" baseline="0">
                                    <a:solidFill>
                                      <a:sysClr val="windowText" lastClr="000000"/>
                                    </a:solidFill>
                                    <a:effectLst/>
                                    <a:latin typeface="Cambria Math" panose="02040503050406030204" pitchFamily="18" charset="0"/>
                                    <a:ea typeface="+mn-ea"/>
                                    <a:cs typeface="+mn-cs"/>
                                  </a:rPr>
                                  <m:t>𝑀</m:t>
                                </m:r>
                              </m:e>
                              <m:sub>
                                <m:r>
                                  <a:rPr lang="en-US" sz="1200" b="0" i="1" baseline="0">
                                    <a:solidFill>
                                      <a:sysClr val="windowText" lastClr="000000"/>
                                    </a:solidFill>
                                    <a:effectLst/>
                                    <a:latin typeface="Cambria Math" panose="02040503050406030204" pitchFamily="18" charset="0"/>
                                    <a:ea typeface="+mn-ea"/>
                                    <a:cs typeface="+mn-cs"/>
                                  </a:rPr>
                                  <m:t>𝑏𝑎𝑠𝑒</m:t>
                                </m:r>
                              </m:sub>
                            </m:sSub>
                            <m:r>
                              <a:rPr lang="en-US" sz="1200" i="1" baseline="0">
                                <a:solidFill>
                                  <a:sysClr val="windowText" lastClr="000000"/>
                                </a:solidFill>
                                <a:effectLst/>
                                <a:latin typeface="Cambria Math" panose="02040503050406030204" pitchFamily="18" charset="0"/>
                                <a:ea typeface="+mn-ea"/>
                                <a:cs typeface="+mn-cs"/>
                              </a:rPr>
                              <m:t> </m:t>
                            </m:r>
                            <m:r>
                              <a:rPr lang="en-US" sz="1200" b="0" i="1" baseline="0">
                                <a:solidFill>
                                  <a:sysClr val="windowText" lastClr="000000"/>
                                </a:solidFill>
                                <a:effectLst/>
                                <a:latin typeface="Cambria Math" panose="02040503050406030204" pitchFamily="18" charset="0"/>
                                <a:ea typeface="+mn-ea"/>
                                <a:cs typeface="+mn-cs"/>
                              </a:rPr>
                              <m:t>∗ </m:t>
                            </m:r>
                            <m:sSub>
                              <m:sSubPr>
                                <m:ctrlPr>
                                  <a:rPr lang="en-US" sz="1200" b="0" i="1" baseline="0">
                                    <a:solidFill>
                                      <a:sysClr val="windowText" lastClr="000000"/>
                                    </a:solidFill>
                                    <a:effectLst/>
                                    <a:latin typeface="Cambria Math" panose="02040503050406030204" pitchFamily="18" charset="0"/>
                                    <a:ea typeface="+mn-ea"/>
                                    <a:cs typeface="+mn-cs"/>
                                  </a:rPr>
                                </m:ctrlPr>
                              </m:sSubPr>
                              <m:e>
                                <m:r>
                                  <a:rPr lang="en-US" sz="1200" b="0" i="1" baseline="0">
                                    <a:solidFill>
                                      <a:sysClr val="windowText" lastClr="000000"/>
                                    </a:solidFill>
                                    <a:effectLst/>
                                    <a:latin typeface="Cambria Math" panose="02040503050406030204" pitchFamily="18" charset="0"/>
                                    <a:ea typeface="+mn-ea"/>
                                    <a:cs typeface="+mn-cs"/>
                                  </a:rPr>
                                  <m:t>𝐿</m:t>
                                </m:r>
                              </m:e>
                              <m:sub>
                                <m:r>
                                  <a:rPr lang="en-US" sz="1200" b="0" i="1" baseline="0">
                                    <a:solidFill>
                                      <a:sysClr val="windowText" lastClr="000000"/>
                                    </a:solidFill>
                                    <a:effectLst/>
                                    <a:latin typeface="Cambria Math" panose="02040503050406030204" pitchFamily="18" charset="0"/>
                                    <a:ea typeface="+mn-ea"/>
                                    <a:cs typeface="+mn-cs"/>
                                  </a:rPr>
                                  <m:t>𝑏𝑎𝑠𝑒</m:t>
                                </m:r>
                              </m:sub>
                            </m:sSub>
                            <m:r>
                              <a:rPr lang="en-US" sz="1200" b="0" i="1" baseline="0">
                                <a:solidFill>
                                  <a:sysClr val="windowText" lastClr="000000"/>
                                </a:solidFill>
                                <a:effectLst/>
                                <a:latin typeface="Cambria Math" panose="02040503050406030204" pitchFamily="18" charset="0"/>
                                <a:ea typeface="+mn-ea"/>
                                <a:cs typeface="+mn-cs"/>
                              </a:rPr>
                              <m:t>−</m:t>
                            </m:r>
                            <m:r>
                              <a:rPr lang="en-US" sz="1200" b="0" i="1" baseline="0">
                                <a:solidFill>
                                  <a:sysClr val="windowText" lastClr="000000"/>
                                </a:solidFill>
                                <a:effectLst/>
                                <a:latin typeface="Cambria Math" panose="02040503050406030204" pitchFamily="18" charset="0"/>
                                <a:ea typeface="+mn-ea"/>
                                <a:cs typeface="+mn-cs"/>
                              </a:rPr>
                              <m:t>𝐺𝑃</m:t>
                            </m:r>
                            <m:sSub>
                              <m:sSubPr>
                                <m:ctrlPr>
                                  <a:rPr lang="en-US" sz="1200" b="0" i="1" baseline="0">
                                    <a:solidFill>
                                      <a:sysClr val="windowText" lastClr="000000"/>
                                    </a:solidFill>
                                    <a:effectLst/>
                                    <a:latin typeface="Cambria Math" panose="02040503050406030204" pitchFamily="18" charset="0"/>
                                    <a:ea typeface="+mn-ea"/>
                                    <a:cs typeface="+mn-cs"/>
                                  </a:rPr>
                                </m:ctrlPr>
                              </m:sSubPr>
                              <m:e>
                                <m:r>
                                  <a:rPr lang="en-US" sz="1200" b="0" i="1" baseline="0">
                                    <a:solidFill>
                                      <a:sysClr val="windowText" lastClr="000000"/>
                                    </a:solidFill>
                                    <a:effectLst/>
                                    <a:latin typeface="Cambria Math" panose="02040503050406030204" pitchFamily="18" charset="0"/>
                                    <a:ea typeface="+mn-ea"/>
                                    <a:cs typeface="+mn-cs"/>
                                  </a:rPr>
                                  <m:t>𝑀</m:t>
                                </m:r>
                              </m:e>
                              <m:sub>
                                <m:r>
                                  <a:rPr lang="en-US" sz="1200" b="0" i="1" baseline="0">
                                    <a:solidFill>
                                      <a:sysClr val="windowText" lastClr="000000"/>
                                    </a:solidFill>
                                    <a:effectLst/>
                                    <a:latin typeface="Cambria Math" panose="02040503050406030204" pitchFamily="18" charset="0"/>
                                    <a:ea typeface="+mn-ea"/>
                                    <a:cs typeface="+mn-cs"/>
                                  </a:rPr>
                                  <m:t>𝑙𝑜𝑤</m:t>
                                </m:r>
                              </m:sub>
                            </m:sSub>
                            <m:r>
                              <a:rPr lang="en-US" sz="1200" b="0" i="1" baseline="0">
                                <a:solidFill>
                                  <a:sysClr val="windowText" lastClr="000000"/>
                                </a:solidFill>
                                <a:effectLst/>
                                <a:latin typeface="Cambria Math" panose="02040503050406030204" pitchFamily="18" charset="0"/>
                                <a:ea typeface="+mn-ea"/>
                                <a:cs typeface="+mn-cs"/>
                              </a:rPr>
                              <m:t>∗</m:t>
                            </m:r>
                            <m:sSub>
                              <m:sSubPr>
                                <m:ctrlPr>
                                  <a:rPr lang="en-US" sz="1200" b="0" i="1" baseline="0">
                                    <a:solidFill>
                                      <a:sysClr val="windowText" lastClr="000000"/>
                                    </a:solidFill>
                                    <a:effectLst/>
                                    <a:latin typeface="Cambria Math" panose="02040503050406030204" pitchFamily="18" charset="0"/>
                                    <a:ea typeface="+mn-ea"/>
                                    <a:cs typeface="+mn-cs"/>
                                  </a:rPr>
                                </m:ctrlPr>
                              </m:sSubPr>
                              <m:e>
                                <m:r>
                                  <a:rPr lang="en-US" sz="1200" b="0" i="1" baseline="0">
                                    <a:solidFill>
                                      <a:sysClr val="windowText" lastClr="000000"/>
                                    </a:solidFill>
                                    <a:effectLst/>
                                    <a:latin typeface="Cambria Math" panose="02040503050406030204" pitchFamily="18" charset="0"/>
                                    <a:ea typeface="+mn-ea"/>
                                    <a:cs typeface="+mn-cs"/>
                                  </a:rPr>
                                  <m:t>𝐿</m:t>
                                </m:r>
                              </m:e>
                              <m:sub>
                                <m:r>
                                  <a:rPr lang="en-US" sz="1200" b="0" i="1" baseline="0">
                                    <a:solidFill>
                                      <a:sysClr val="windowText" lastClr="000000"/>
                                    </a:solidFill>
                                    <a:effectLst/>
                                    <a:latin typeface="Cambria Math" panose="02040503050406030204" pitchFamily="18" charset="0"/>
                                    <a:ea typeface="+mn-ea"/>
                                    <a:cs typeface="+mn-cs"/>
                                  </a:rPr>
                                  <m:t>𝑙𝑜𝑤</m:t>
                                </m:r>
                              </m:sub>
                            </m:sSub>
                            <m:r>
                              <a:rPr lang="en-US" sz="1200" i="1" baseline="0">
                                <a:solidFill>
                                  <a:sysClr val="windowText" lastClr="000000"/>
                                </a:solidFill>
                                <a:effectLst/>
                                <a:latin typeface="Cambria Math" panose="02040503050406030204" pitchFamily="18" charset="0"/>
                                <a:ea typeface="+mn-ea"/>
                                <a:cs typeface="+mn-cs"/>
                              </a:rPr>
                              <m:t>) ∗ </m:t>
                            </m:r>
                            <m:r>
                              <a:rPr lang="en-US" sz="1200" b="0" i="1" baseline="0">
                                <a:solidFill>
                                  <a:sysClr val="windowText" lastClr="000000"/>
                                </a:solidFill>
                                <a:effectLst/>
                                <a:latin typeface="Cambria Math" panose="02040503050406030204" pitchFamily="18" charset="0"/>
                                <a:ea typeface="+mn-ea"/>
                                <a:cs typeface="+mn-cs"/>
                              </a:rPr>
                              <m:t>𝐻𝑜𝑢𝑠𝑒h𝑜𝑙𝑑</m:t>
                            </m:r>
                            <m:r>
                              <a:rPr lang="en-US" sz="1200" i="1" baseline="0">
                                <a:solidFill>
                                  <a:sysClr val="windowText" lastClr="000000"/>
                                </a:solidFill>
                                <a:effectLst/>
                                <a:latin typeface="Cambria Math" panose="02040503050406030204" pitchFamily="18" charset="0"/>
                                <a:ea typeface="+mn-ea"/>
                                <a:cs typeface="+mn-cs"/>
                              </a:rPr>
                              <m:t> ∗ </m:t>
                            </m:r>
                            <m:r>
                              <a:rPr lang="en-US" sz="1200" b="0" i="1" baseline="0">
                                <a:solidFill>
                                  <a:sysClr val="windowText" lastClr="000000"/>
                                </a:solidFill>
                                <a:effectLst/>
                                <a:latin typeface="Cambria Math" panose="02040503050406030204" pitchFamily="18" charset="0"/>
                                <a:ea typeface="+mn-ea"/>
                                <a:cs typeface="+mn-cs"/>
                              </a:rPr>
                              <m:t>365.25 ∗ </m:t>
                            </m:r>
                            <m:r>
                              <a:rPr lang="en-US" sz="1200" b="0" i="1" baseline="0">
                                <a:solidFill>
                                  <a:sysClr val="windowText" lastClr="000000"/>
                                </a:solidFill>
                                <a:effectLst/>
                                <a:latin typeface="Cambria Math" panose="02040503050406030204" pitchFamily="18" charset="0"/>
                                <a:ea typeface="+mn-ea"/>
                                <a:cs typeface="+mn-cs"/>
                              </a:rPr>
                              <m:t>𝐷𝐹</m:t>
                            </m:r>
                            <m:r>
                              <a:rPr lang="en-US" sz="1200" b="0" i="1" baseline="0">
                                <a:solidFill>
                                  <a:sysClr val="windowText" lastClr="000000"/>
                                </a:solidFill>
                                <a:effectLst/>
                                <a:latin typeface="Cambria Math" panose="02040503050406030204" pitchFamily="18" charset="0"/>
                                <a:ea typeface="+mn-ea"/>
                                <a:cs typeface="+mn-cs"/>
                              </a:rPr>
                              <m:t> </m:t>
                            </m:r>
                          </m:num>
                          <m:den>
                            <m:r>
                              <a:rPr lang="en-US" sz="1200" b="0" i="1">
                                <a:solidFill>
                                  <a:sysClr val="windowText" lastClr="000000"/>
                                </a:solidFill>
                                <a:effectLst/>
                                <a:latin typeface="Cambria Math" panose="02040503050406030204" pitchFamily="18" charset="0"/>
                                <a:ea typeface="+mn-ea"/>
                                <a:cs typeface="+mn-cs"/>
                              </a:rPr>
                              <m:t>𝐹𝑃𝐻</m:t>
                            </m:r>
                          </m:den>
                        </m:f>
                      </m:e>
                    </m:d>
                    <m:r>
                      <a:rPr lang="en-US" sz="1600" b="0" i="1">
                        <a:solidFill>
                          <a:sysClr val="windowText" lastClr="000000"/>
                        </a:solidFill>
                        <a:latin typeface="Cambria Math" panose="02040503050406030204" pitchFamily="18" charset="0"/>
                      </a:rPr>
                      <m:t>∗</m:t>
                    </m:r>
                    <m:r>
                      <a:rPr lang="en-US" sz="1600" b="0" i="1">
                        <a:solidFill>
                          <a:sysClr val="windowText" lastClr="000000"/>
                        </a:solidFill>
                        <a:latin typeface="Cambria Math" panose="02040503050406030204" pitchFamily="18" charset="0"/>
                      </a:rPr>
                      <m:t>𝐸𝑃𝐺</m:t>
                    </m:r>
                    <m:r>
                      <a:rPr lang="en-US" sz="1600" b="0" i="1">
                        <a:solidFill>
                          <a:sysClr val="windowText" lastClr="000000"/>
                        </a:solidFill>
                        <a:latin typeface="Cambria Math" panose="02040503050406030204" pitchFamily="18" charset="0"/>
                      </a:rPr>
                      <m:t>_</m:t>
                    </m:r>
                    <m:r>
                      <a:rPr lang="en-US" sz="1600" b="0" i="1">
                        <a:solidFill>
                          <a:sysClr val="windowText" lastClr="000000"/>
                        </a:solidFill>
                        <a:latin typeface="Cambria Math" panose="02040503050406030204" pitchFamily="18" charset="0"/>
                      </a:rPr>
                      <m:t>𝑒𝑙𝑒𝑐𝑡𝑟𝑖𝑐</m:t>
                    </m:r>
                    <m:r>
                      <a:rPr lang="en-US" sz="1200" b="0" i="1">
                        <a:solidFill>
                          <a:sysClr val="windowText" lastClr="000000"/>
                        </a:solidFill>
                        <a:effectLst/>
                        <a:latin typeface="Cambria Math" panose="02040503050406030204" pitchFamily="18" charset="0"/>
                        <a:ea typeface="+mn-ea"/>
                        <a:cs typeface="+mn-cs"/>
                      </a:rPr>
                      <m:t>∗ </m:t>
                    </m:r>
                    <m:r>
                      <a:rPr lang="en-US" sz="1200" b="0" i="1">
                        <a:solidFill>
                          <a:sysClr val="windowText" lastClr="000000"/>
                        </a:solidFill>
                        <a:effectLst/>
                        <a:latin typeface="Cambria Math" panose="02040503050406030204" pitchFamily="18" charset="0"/>
                        <a:ea typeface="+mn-ea"/>
                        <a:cs typeface="+mn-cs"/>
                      </a:rPr>
                      <m:t>𝐼𝑆𝑅</m:t>
                    </m:r>
                  </m:oMath>
                </m:oMathPara>
              </a14:m>
              <a:endParaRPr lang="en-US" sz="1050" i="1" baseline="-25000">
                <a:solidFill>
                  <a:sysClr val="windowText" lastClr="000000"/>
                </a:solidFill>
                <a:effectLst/>
                <a:latin typeface="Book Antiqua" panose="02040602050305030304" pitchFamily="18" charset="0"/>
              </a:endParaRPr>
            </a:p>
            <a:p>
              <a:pPr algn="l"/>
              <a:endParaRPr lang="en-US" sz="1050" i="0">
                <a:solidFill>
                  <a:srgbClr val="00B050"/>
                </a:solidFill>
              </a:endParaRPr>
            </a:p>
          </xdr:txBody>
        </xdr:sp>
      </mc:Choice>
      <mc:Fallback xmlns="">
        <xdr:sp macro="" textlink="">
          <xdr:nvSpPr>
            <xdr:cNvPr id="37" name="TextBox 36">
              <a:extLst>
                <a:ext uri="{FF2B5EF4-FFF2-40B4-BE49-F238E27FC236}">
                  <a16:creationId xmlns:a16="http://schemas.microsoft.com/office/drawing/2014/main" id="{00000000-0008-0000-0900-000025000000}"/>
                </a:ext>
              </a:extLst>
            </xdr:cNvPr>
            <xdr:cNvSpPr txBox="1"/>
          </xdr:nvSpPr>
          <xdr:spPr>
            <a:xfrm>
              <a:off x="3537857" y="16750393"/>
              <a:ext cx="13035643" cy="131989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i="0">
                  <a:solidFill>
                    <a:sysClr val="windowText" lastClr="000000"/>
                  </a:solidFill>
                  <a:effectLst/>
                  <a:latin typeface="Cambria Math" panose="02040503050406030204" pitchFamily="18" charset="0"/>
                  <a:ea typeface="+mn-ea"/>
                  <a:cs typeface="+mn-cs"/>
                </a:rPr>
                <a:t>∆𝑘𝑊ℎ</a:t>
              </a:r>
              <a:r>
                <a:rPr lang="en-US" sz="1600" i="0">
                  <a:solidFill>
                    <a:sysClr val="windowText" lastClr="000000"/>
                  </a:solidFill>
                  <a:latin typeface="Cambria Math" panose="02040503050406030204" pitchFamily="18" charset="0"/>
                </a:rPr>
                <a:t>=(</a:t>
              </a:r>
              <a:r>
                <a:rPr lang="en-US" sz="1200" i="0" baseline="0">
                  <a:solidFill>
                    <a:sysClr val="windowText" lastClr="000000"/>
                  </a:solidFill>
                  <a:effectLst/>
                  <a:latin typeface="Cambria Math" panose="02040503050406030204" pitchFamily="18" charset="0"/>
                  <a:ea typeface="+mn-ea"/>
                  <a:cs typeface="+mn-cs"/>
                </a:rPr>
                <a:t>(</a:t>
              </a:r>
              <a:r>
                <a:rPr lang="en-US" sz="1200" b="0" i="0" baseline="0">
                  <a:solidFill>
                    <a:sysClr val="windowText" lastClr="000000"/>
                  </a:solidFill>
                  <a:effectLst/>
                  <a:latin typeface="Cambria Math" panose="02040503050406030204" pitchFamily="18" charset="0"/>
                  <a:ea typeface="+mn-ea"/>
                  <a:cs typeface="+mn-cs"/>
                </a:rPr>
                <a:t>%𝐸𝑙𝑒𝑐𝑡𝑟𝑖𝑐𝐷𝐻𝑊 ∗ (𝐺𝑃𝑀_𝑏𝑎𝑠𝑒 </a:t>
              </a:r>
              <a:r>
                <a:rPr lang="en-US" sz="1200" i="0" baseline="0">
                  <a:solidFill>
                    <a:sysClr val="windowText" lastClr="000000"/>
                  </a:solidFill>
                  <a:effectLst/>
                  <a:latin typeface="Cambria Math" panose="02040503050406030204" pitchFamily="18" charset="0"/>
                  <a:ea typeface="+mn-ea"/>
                  <a:cs typeface="+mn-cs"/>
                </a:rPr>
                <a:t> </a:t>
              </a:r>
              <a:r>
                <a:rPr lang="en-US" sz="1200" b="0" i="0" baseline="0">
                  <a:solidFill>
                    <a:sysClr val="windowText" lastClr="000000"/>
                  </a:solidFill>
                  <a:effectLst/>
                  <a:latin typeface="Cambria Math" panose="02040503050406030204" pitchFamily="18" charset="0"/>
                  <a:ea typeface="+mn-ea"/>
                  <a:cs typeface="+mn-cs"/>
                </a:rPr>
                <a:t>∗ 𝐿_𝑏𝑎𝑠𝑒−𝐺𝑃𝑀_𝑙𝑜𝑤∗𝐿_𝑙𝑜𝑤</a:t>
              </a:r>
              <a:r>
                <a:rPr lang="en-US" sz="1200" i="0" baseline="0">
                  <a:solidFill>
                    <a:sysClr val="windowText" lastClr="000000"/>
                  </a:solidFill>
                  <a:effectLst/>
                  <a:latin typeface="Cambria Math" panose="02040503050406030204" pitchFamily="18" charset="0"/>
                  <a:ea typeface="+mn-ea"/>
                  <a:cs typeface="+mn-cs"/>
                </a:rPr>
                <a:t>) ∗ </a:t>
              </a:r>
              <a:r>
                <a:rPr lang="en-US" sz="1200" b="0" i="0" baseline="0">
                  <a:solidFill>
                    <a:sysClr val="windowText" lastClr="000000"/>
                  </a:solidFill>
                  <a:effectLst/>
                  <a:latin typeface="Cambria Math" panose="02040503050406030204" pitchFamily="18" charset="0"/>
                  <a:ea typeface="+mn-ea"/>
                  <a:cs typeface="+mn-cs"/>
                </a:rPr>
                <a:t>𝐻𝑜𝑢𝑠𝑒ℎ𝑜𝑙𝑑</a:t>
              </a:r>
              <a:r>
                <a:rPr lang="en-US" sz="1200" i="0" baseline="0">
                  <a:solidFill>
                    <a:sysClr val="windowText" lastClr="000000"/>
                  </a:solidFill>
                  <a:effectLst/>
                  <a:latin typeface="Cambria Math" panose="02040503050406030204" pitchFamily="18" charset="0"/>
                  <a:ea typeface="+mn-ea"/>
                  <a:cs typeface="+mn-cs"/>
                </a:rPr>
                <a:t> ∗ </a:t>
              </a:r>
              <a:r>
                <a:rPr lang="en-US" sz="1200" b="0" i="0" baseline="0">
                  <a:solidFill>
                    <a:sysClr val="windowText" lastClr="000000"/>
                  </a:solidFill>
                  <a:effectLst/>
                  <a:latin typeface="Cambria Math" panose="02040503050406030204" pitchFamily="18" charset="0"/>
                  <a:ea typeface="+mn-ea"/>
                  <a:cs typeface="+mn-cs"/>
                </a:rPr>
                <a:t>365.25 ∗ 𝐷𝐹 )/</a:t>
              </a:r>
              <a:r>
                <a:rPr lang="en-US" sz="1200" b="0" i="0">
                  <a:solidFill>
                    <a:sysClr val="windowText" lastClr="000000"/>
                  </a:solidFill>
                  <a:effectLst/>
                  <a:latin typeface="Cambria Math" panose="02040503050406030204" pitchFamily="18" charset="0"/>
                  <a:ea typeface="+mn-ea"/>
                  <a:cs typeface="+mn-cs"/>
                </a:rPr>
                <a:t>𝐹𝑃𝐻)</a:t>
              </a:r>
              <a:r>
                <a:rPr lang="en-US" sz="1600" b="0" i="0">
                  <a:solidFill>
                    <a:sysClr val="windowText" lastClr="000000"/>
                  </a:solidFill>
                  <a:latin typeface="Cambria Math" panose="02040503050406030204" pitchFamily="18" charset="0"/>
                </a:rPr>
                <a:t>∗𝐸𝑃𝐺_𝑒𝑙𝑒𝑐𝑡𝑟𝑖𝑐</a:t>
              </a:r>
              <a:r>
                <a:rPr lang="en-US" sz="1200" b="0" i="0">
                  <a:solidFill>
                    <a:sysClr val="windowText" lastClr="000000"/>
                  </a:solidFill>
                  <a:effectLst/>
                  <a:latin typeface="Cambria Math" panose="02040503050406030204" pitchFamily="18" charset="0"/>
                  <a:ea typeface="+mn-ea"/>
                  <a:cs typeface="+mn-cs"/>
                </a:rPr>
                <a:t>∗ 𝐼𝑆𝑅</a:t>
              </a:r>
              <a:endParaRPr lang="en-US" sz="1050" i="1" baseline="-25000">
                <a:solidFill>
                  <a:sysClr val="windowText" lastClr="000000"/>
                </a:solidFill>
                <a:effectLst/>
                <a:latin typeface="Book Antiqua" panose="02040602050305030304" pitchFamily="18" charset="0"/>
              </a:endParaRPr>
            </a:p>
            <a:p>
              <a:pPr algn="l"/>
              <a:endParaRPr lang="en-US" sz="1050" i="0">
                <a:solidFill>
                  <a:srgbClr val="00B050"/>
                </a:solidFill>
              </a:endParaRPr>
            </a:p>
          </xdr:txBody>
        </xdr:sp>
      </mc:Fallback>
    </mc:AlternateContent>
    <xdr:clientData/>
  </xdr:twoCellAnchor>
  <xdr:twoCellAnchor>
    <xdr:from>
      <xdr:col>4</xdr:col>
      <xdr:colOff>455022</xdr:colOff>
      <xdr:row>375</xdr:row>
      <xdr:rowOff>11431</xdr:rowOff>
    </xdr:from>
    <xdr:to>
      <xdr:col>13</xdr:col>
      <xdr:colOff>0</xdr:colOff>
      <xdr:row>377</xdr:row>
      <xdr:rowOff>149679</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00000000-0008-0000-0900-000026000000}"/>
                </a:ext>
              </a:extLst>
            </xdr:cNvPr>
            <xdr:cNvSpPr txBox="1"/>
          </xdr:nvSpPr>
          <xdr:spPr>
            <a:xfrm>
              <a:off x="3992879" y="17292502"/>
              <a:ext cx="12580621" cy="4920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effectLst/>
                        <a:latin typeface="Cambria Math" panose="02040503050406030204" pitchFamily="18" charset="0"/>
                        <a:ea typeface="+mn-ea"/>
                        <a:cs typeface="+mn-cs"/>
                      </a:rPr>
                      <m:t>𝐸𝑃</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𝐺</m:t>
                        </m:r>
                      </m:e>
                      <m:sub>
                        <m:r>
                          <a:rPr lang="en-US" sz="1400" b="0" i="1">
                            <a:solidFill>
                              <a:sysClr val="windowText" lastClr="000000"/>
                            </a:solidFill>
                            <a:effectLst/>
                            <a:latin typeface="Cambria Math" panose="02040503050406030204" pitchFamily="18" charset="0"/>
                            <a:ea typeface="+mn-ea"/>
                            <a:cs typeface="+mn-cs"/>
                          </a:rPr>
                          <m:t>𝑒𝑙𝑒𝑐𝑡𝑟𝑖𝑐</m:t>
                        </m:r>
                      </m:sub>
                    </m:sSub>
                    <m:r>
                      <a:rPr lang="en-US" sz="1400" i="1">
                        <a:solidFill>
                          <a:sysClr val="windowText" lastClr="000000"/>
                        </a:solidFill>
                        <a:effectLst/>
                        <a:latin typeface="Cambria Math" panose="02040503050406030204" pitchFamily="18" charset="0"/>
                        <a:ea typeface="+mn-ea"/>
                        <a:cs typeface="+mn-cs"/>
                      </a:rPr>
                      <m:t> </m:t>
                    </m:r>
                    <m:r>
                      <a:rPr lang="en-US" sz="1400" i="1">
                        <a:solidFill>
                          <a:sysClr val="windowText" lastClr="000000"/>
                        </a:solidFill>
                        <a:latin typeface="Cambria Math" panose="02040503050406030204" pitchFamily="18" charset="0"/>
                      </a:rPr>
                      <m:t>=</m:t>
                    </m:r>
                    <m:f>
                      <m:fPr>
                        <m:ctrlPr>
                          <a:rPr lang="en-US" sz="1400" i="1">
                            <a:solidFill>
                              <a:sysClr val="windowText" lastClr="000000"/>
                            </a:solidFill>
                            <a:latin typeface="Cambria Math" panose="02040503050406030204" pitchFamily="18" charset="0"/>
                          </a:rPr>
                        </m:ctrlPr>
                      </m:fPr>
                      <m:num>
                        <m:r>
                          <a:rPr lang="en-US" sz="1100" b="0" i="1">
                            <a:solidFill>
                              <a:sysClr val="windowText" lastClr="000000"/>
                            </a:solidFill>
                            <a:effectLst/>
                            <a:latin typeface="Cambria Math" panose="02040503050406030204" pitchFamily="18" charset="0"/>
                            <a:ea typeface="+mn-ea"/>
                            <a:cs typeface="+mn-cs"/>
                          </a:rPr>
                          <m:t>8.33∗1.0∗(</m:t>
                        </m:r>
                        <m:r>
                          <a:rPr lang="en-US" sz="1100" b="0" i="1">
                            <a:solidFill>
                              <a:sysClr val="windowText" lastClr="000000"/>
                            </a:solidFill>
                            <a:effectLst/>
                            <a:latin typeface="Cambria Math" panose="02040503050406030204" pitchFamily="18" charset="0"/>
                            <a:ea typeface="+mn-ea"/>
                            <a:cs typeface="+mn-cs"/>
                          </a:rPr>
                          <m:t>𝑊𝑎𝑡𝑒𝑟𝑇𝑒𝑚𝑝</m:t>
                        </m:r>
                        <m:r>
                          <a:rPr lang="en-US" sz="1100" b="0" i="1">
                            <a:solidFill>
                              <a:sysClr val="windowText" lastClr="000000"/>
                            </a:solidFill>
                            <a:effectLst/>
                            <a:latin typeface="Cambria Math" panose="02040503050406030204" pitchFamily="18" charset="0"/>
                            <a:ea typeface="+mn-ea"/>
                            <a:cs typeface="+mn-cs"/>
                          </a:rPr>
                          <m:t> −</m:t>
                        </m:r>
                        <m:r>
                          <a:rPr lang="en-US" sz="1100" b="0" i="1">
                            <a:solidFill>
                              <a:sysClr val="windowText" lastClr="000000"/>
                            </a:solidFill>
                            <a:effectLst/>
                            <a:latin typeface="Cambria Math" panose="02040503050406030204" pitchFamily="18" charset="0"/>
                            <a:ea typeface="+mn-ea"/>
                            <a:cs typeface="+mn-cs"/>
                          </a:rPr>
                          <m:t>𝑆𝑢𝑝𝑝𝑙𝑦𝑇𝑒𝑚𝑝</m:t>
                        </m:r>
                        <m:r>
                          <a:rPr lang="en-US" sz="1100" b="0" i="1">
                            <a:solidFill>
                              <a:sysClr val="windowText" lastClr="000000"/>
                            </a:solidFill>
                            <a:effectLst/>
                            <a:latin typeface="Cambria Math" panose="02040503050406030204" pitchFamily="18" charset="0"/>
                            <a:ea typeface="+mn-ea"/>
                            <a:cs typeface="+mn-cs"/>
                          </a:rPr>
                          <m:t>)</m:t>
                        </m:r>
                      </m:num>
                      <m:den>
                        <m:r>
                          <a:rPr lang="en-US" sz="1100" b="0" i="1">
                            <a:solidFill>
                              <a:sysClr val="windowText" lastClr="000000"/>
                            </a:solidFill>
                            <a:effectLst/>
                            <a:latin typeface="Cambria Math" panose="02040503050406030204" pitchFamily="18" charset="0"/>
                            <a:ea typeface="+mn-ea"/>
                            <a:cs typeface="+mn-cs"/>
                          </a:rPr>
                          <m:t>𝑅</m:t>
                        </m:r>
                        <m:sSub>
                          <m:sSubPr>
                            <m:ctrlPr>
                              <a:rPr lang="en-US" sz="1100" b="0" i="1">
                                <a:solidFill>
                                  <a:sysClr val="windowText" lastClr="000000"/>
                                </a:solidFill>
                                <a:effectLst/>
                                <a:latin typeface="Cambria Math" panose="02040503050406030204" pitchFamily="18" charset="0"/>
                                <a:ea typeface="+mn-ea"/>
                                <a:cs typeface="+mn-cs"/>
                              </a:rPr>
                            </m:ctrlPr>
                          </m:sSubPr>
                          <m:e>
                            <m:r>
                              <a:rPr lang="en-US" sz="1100" b="0" i="1">
                                <a:solidFill>
                                  <a:sysClr val="windowText" lastClr="000000"/>
                                </a:solidFill>
                                <a:effectLst/>
                                <a:latin typeface="Cambria Math" panose="02040503050406030204" pitchFamily="18" charset="0"/>
                                <a:ea typeface="+mn-ea"/>
                                <a:cs typeface="+mn-cs"/>
                              </a:rPr>
                              <m:t>𝐸</m:t>
                            </m:r>
                          </m:e>
                          <m:sub>
                            <m:r>
                              <a:rPr lang="en-US" sz="1100" b="0" i="1">
                                <a:solidFill>
                                  <a:sysClr val="windowText" lastClr="000000"/>
                                </a:solidFill>
                                <a:effectLst/>
                                <a:latin typeface="Cambria Math" panose="02040503050406030204" pitchFamily="18" charset="0"/>
                                <a:ea typeface="+mn-ea"/>
                                <a:cs typeface="+mn-cs"/>
                              </a:rPr>
                              <m:t>𝑒𝑙𝑒𝑐𝑡𝑟𝑖𝑐</m:t>
                            </m:r>
                          </m:sub>
                        </m:sSub>
                        <m:r>
                          <a:rPr lang="en-US" sz="1100" b="0" i="1">
                            <a:solidFill>
                              <a:sysClr val="windowText" lastClr="000000"/>
                            </a:solidFill>
                            <a:effectLst/>
                            <a:latin typeface="Cambria Math" panose="02040503050406030204" pitchFamily="18" charset="0"/>
                            <a:ea typeface="+mn-ea"/>
                            <a:cs typeface="+mn-cs"/>
                          </a:rPr>
                          <m:t>∗3,412</m:t>
                        </m:r>
                      </m:den>
                    </m:f>
                  </m:oMath>
                </m:oMathPara>
              </a14:m>
              <a:endParaRPr lang="en-US" sz="1050" i="1" baseline="-25000">
                <a:solidFill>
                  <a:sysClr val="windowText" lastClr="000000"/>
                </a:solidFill>
                <a:effectLst/>
                <a:latin typeface="Book Antiqua" panose="02040602050305030304" pitchFamily="18" charset="0"/>
              </a:endParaRPr>
            </a:p>
            <a:p>
              <a:pPr algn="l"/>
              <a:endParaRPr lang="en-US" sz="1050" i="0">
                <a:solidFill>
                  <a:srgbClr val="00B050"/>
                </a:solidFill>
              </a:endParaRPr>
            </a:p>
          </xdr:txBody>
        </xdr:sp>
      </mc:Choice>
      <mc:Fallback xmlns="">
        <xdr:sp macro="" textlink="">
          <xdr:nvSpPr>
            <xdr:cNvPr id="38" name="TextBox 37">
              <a:extLst>
                <a:ext uri="{FF2B5EF4-FFF2-40B4-BE49-F238E27FC236}">
                  <a16:creationId xmlns:a16="http://schemas.microsoft.com/office/drawing/2014/main" id="{00000000-0008-0000-0900-000026000000}"/>
                </a:ext>
              </a:extLst>
            </xdr:cNvPr>
            <xdr:cNvSpPr txBox="1"/>
          </xdr:nvSpPr>
          <xdr:spPr>
            <a:xfrm>
              <a:off x="3992879" y="17292502"/>
              <a:ext cx="12580621" cy="4920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effectLst/>
                  <a:latin typeface="Cambria Math" panose="02040503050406030204" pitchFamily="18" charset="0"/>
                  <a:ea typeface="+mn-ea"/>
                  <a:cs typeface="+mn-cs"/>
                </a:rPr>
                <a:t>𝐸𝑃𝐺_𝑒𝑙𝑒𝑐𝑡𝑟𝑖𝑐 </a:t>
              </a:r>
              <a:r>
                <a:rPr lang="en-US" sz="1400" i="0">
                  <a:solidFill>
                    <a:sysClr val="windowText" lastClr="000000"/>
                  </a:solidFill>
                  <a:effectLst/>
                  <a:latin typeface="Cambria Math" panose="02040503050406030204" pitchFamily="18" charset="0"/>
                  <a:ea typeface="+mn-ea"/>
                  <a:cs typeface="+mn-cs"/>
                </a:rPr>
                <a:t> </a:t>
              </a:r>
              <a:r>
                <a:rPr lang="en-US" sz="1400" i="0">
                  <a:solidFill>
                    <a:sysClr val="windowText" lastClr="000000"/>
                  </a:solidFill>
                  <a:latin typeface="Cambria Math" panose="02040503050406030204" pitchFamily="18" charset="0"/>
                </a:rPr>
                <a:t>=(</a:t>
              </a:r>
              <a:r>
                <a:rPr lang="en-US" sz="1100" b="0" i="0">
                  <a:solidFill>
                    <a:sysClr val="windowText" lastClr="000000"/>
                  </a:solidFill>
                  <a:effectLst/>
                  <a:latin typeface="Cambria Math" panose="02040503050406030204" pitchFamily="18" charset="0"/>
                  <a:ea typeface="+mn-ea"/>
                  <a:cs typeface="+mn-cs"/>
                </a:rPr>
                <a:t>8.33∗1.0∗(𝑊𝑎𝑡𝑒𝑟𝑇𝑒𝑚𝑝 −𝑆𝑢𝑝𝑝𝑙𝑦𝑇𝑒𝑚𝑝)</a:t>
              </a:r>
              <a:r>
                <a:rPr lang="en-US" sz="1400" b="0" i="0">
                  <a:solidFill>
                    <a:sysClr val="windowText" lastClr="000000"/>
                  </a:solidFill>
                  <a:effectLst/>
                  <a:latin typeface="Cambria Math" panose="02040503050406030204" pitchFamily="18" charset="0"/>
                  <a:ea typeface="+mn-ea"/>
                  <a:cs typeface="+mn-cs"/>
                </a:rPr>
                <a:t>)/(</a:t>
              </a:r>
              <a:r>
                <a:rPr lang="en-US" sz="1100" b="0" i="0">
                  <a:solidFill>
                    <a:sysClr val="windowText" lastClr="000000"/>
                  </a:solidFill>
                  <a:effectLst/>
                  <a:latin typeface="Cambria Math" panose="02040503050406030204" pitchFamily="18" charset="0"/>
                  <a:ea typeface="+mn-ea"/>
                  <a:cs typeface="+mn-cs"/>
                </a:rPr>
                <a:t>𝑅𝐸_𝑒𝑙𝑒𝑐𝑡𝑟𝑖𝑐∗3,412</a:t>
              </a:r>
              <a:r>
                <a:rPr lang="en-US" sz="1400" b="0" i="0">
                  <a:solidFill>
                    <a:sysClr val="windowText" lastClr="000000"/>
                  </a:solidFill>
                  <a:effectLst/>
                  <a:latin typeface="Cambria Math" panose="02040503050406030204" pitchFamily="18" charset="0"/>
                  <a:ea typeface="+mn-ea"/>
                  <a:cs typeface="+mn-cs"/>
                </a:rPr>
                <a:t>)</a:t>
              </a:r>
              <a:endParaRPr lang="en-US" sz="1050" i="1" baseline="-25000">
                <a:solidFill>
                  <a:sysClr val="windowText" lastClr="000000"/>
                </a:solidFill>
                <a:effectLst/>
                <a:latin typeface="Book Antiqua" panose="02040602050305030304" pitchFamily="18" charset="0"/>
              </a:endParaRPr>
            </a:p>
            <a:p>
              <a:pPr algn="l"/>
              <a:endParaRPr lang="en-US" sz="1050" i="0">
                <a:solidFill>
                  <a:srgbClr val="00B050"/>
                </a:solidFill>
              </a:endParaRPr>
            </a:p>
          </xdr:txBody>
        </xdr:sp>
      </mc:Fallback>
    </mc:AlternateContent>
    <xdr:clientData/>
  </xdr:twoCellAnchor>
  <xdr:twoCellAnchor>
    <xdr:from>
      <xdr:col>4</xdr:col>
      <xdr:colOff>9852</xdr:colOff>
      <xdr:row>519</xdr:row>
      <xdr:rowOff>1</xdr:rowOff>
    </xdr:from>
    <xdr:to>
      <xdr:col>12</xdr:col>
      <xdr:colOff>0</xdr:colOff>
      <xdr:row>521</xdr:row>
      <xdr:rowOff>173083</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00000000-0008-0000-0900-000027000000}"/>
                </a:ext>
              </a:extLst>
            </xdr:cNvPr>
            <xdr:cNvSpPr txBox="1"/>
          </xdr:nvSpPr>
          <xdr:spPr>
            <a:xfrm>
              <a:off x="3547709" y="34221965"/>
              <a:ext cx="12168541" cy="52686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600" i="1">
                        <a:solidFill>
                          <a:sysClr val="windowText" lastClr="000000"/>
                        </a:solidFill>
                        <a:latin typeface="Cambria Math" panose="02040503050406030204" pitchFamily="18" charset="0"/>
                        <a:ea typeface="Cambria Math" panose="02040503050406030204" pitchFamily="18" charset="0"/>
                      </a:rPr>
                      <m:t>Δ</m:t>
                    </m:r>
                    <m:r>
                      <a:rPr lang="en-US" sz="1600" b="0" i="1">
                        <a:solidFill>
                          <a:sysClr val="windowText" lastClr="000000"/>
                        </a:solidFill>
                        <a:latin typeface="Cambria Math" panose="02040503050406030204" pitchFamily="18" charset="0"/>
                        <a:ea typeface="Cambria Math" panose="02040503050406030204" pitchFamily="18" charset="0"/>
                      </a:rPr>
                      <m:t>𝑘𝑊h</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𝐸𝑅𝑃</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𝐵𝑎𝑠𝑒𝑙𝑖𝑛𝑒𝐸𝑛𝑒𝑟𝑔𝑦𝐴𝑉</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600">
                <a:solidFill>
                  <a:sysClr val="windowText" lastClr="000000"/>
                </a:solidFill>
              </a:endParaRPr>
            </a:p>
          </xdr:txBody>
        </xdr:sp>
      </mc:Choice>
      <mc:Fallback xmlns="">
        <xdr:sp macro="" textlink="">
          <xdr:nvSpPr>
            <xdr:cNvPr id="39" name="TextBox 38">
              <a:extLst>
                <a:ext uri="{FF2B5EF4-FFF2-40B4-BE49-F238E27FC236}">
                  <a16:creationId xmlns:a16="http://schemas.microsoft.com/office/drawing/2014/main" id="{00000000-0008-0000-0900-000027000000}"/>
                </a:ext>
              </a:extLst>
            </xdr:cNvPr>
            <xdr:cNvSpPr txBox="1"/>
          </xdr:nvSpPr>
          <xdr:spPr>
            <a:xfrm>
              <a:off x="3547709" y="34221965"/>
              <a:ext cx="12168541" cy="52686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solidFill>
                    <a:sysClr val="windowText" lastClr="000000"/>
                  </a:solidFill>
                  <a:latin typeface="Cambria Math" panose="02040503050406030204" pitchFamily="18" charset="0"/>
                  <a:ea typeface="Cambria Math" panose="02040503050406030204" pitchFamily="18" charset="0"/>
                </a:rPr>
                <a:t>Δ</a:t>
              </a:r>
              <a:r>
                <a:rPr lang="en-US" sz="1600" b="0" i="0">
                  <a:solidFill>
                    <a:sysClr val="windowText" lastClr="000000"/>
                  </a:solidFill>
                  <a:latin typeface="Cambria Math" panose="02040503050406030204" pitchFamily="18" charset="0"/>
                  <a:ea typeface="Cambria Math" panose="02040503050406030204" pitchFamily="18" charset="0"/>
                </a:rPr>
                <a:t>𝑘𝑊ℎ=𝐸𝑅𝑃∗𝐵𝑎𝑠𝑒𝑙𝑖𝑛𝑒𝐸𝑛𝑒𝑟𝑔𝑦𝐴𝑉∗𝐼𝑆𝑅</a:t>
              </a:r>
              <a:endParaRPr lang="en-US" sz="1600">
                <a:solidFill>
                  <a:sysClr val="windowText" lastClr="000000"/>
                </a:solidFill>
              </a:endParaRPr>
            </a:p>
          </xdr:txBody>
        </xdr:sp>
      </mc:Fallback>
    </mc:AlternateContent>
    <xdr:clientData/>
  </xdr:twoCellAnchor>
  <xdr:twoCellAnchor>
    <xdr:from>
      <xdr:col>4</xdr:col>
      <xdr:colOff>13607</xdr:colOff>
      <xdr:row>482</xdr:row>
      <xdr:rowOff>165191</xdr:rowOff>
    </xdr:from>
    <xdr:to>
      <xdr:col>12</xdr:col>
      <xdr:colOff>0</xdr:colOff>
      <xdr:row>487</xdr:row>
      <xdr:rowOff>17418</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00000000-0008-0000-0900-00002E000000}"/>
                </a:ext>
              </a:extLst>
            </xdr:cNvPr>
            <xdr:cNvSpPr txBox="1"/>
          </xdr:nvSpPr>
          <xdr:spPr>
            <a:xfrm>
              <a:off x="3551464" y="41435655"/>
              <a:ext cx="12164786" cy="73669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𝑜𝑓𝑓𝑖𝑐𝑒</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𝑊𝑒𝑖𝑔h𝑡𝑖𝑛</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𝑔</m:t>
                            </m:r>
                          </m:e>
                          <m:sub>
                            <m:r>
                              <a:rPr lang="en-US" sz="1600" b="0" i="1">
                                <a:latin typeface="Cambria Math" panose="02040503050406030204" pitchFamily="18" charset="0"/>
                                <a:ea typeface="Cambria Math" panose="02040503050406030204" pitchFamily="18" charset="0"/>
                              </a:rPr>
                              <m:t>𝑂𝑓𝑓𝑖𝑐𝑒</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𝐸𝑛𝑡</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𝑊𝑒𝑖𝑔h𝑡𝑖𝑛</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𝑔</m:t>
                            </m:r>
                          </m:e>
                          <m:sub>
                            <m:r>
                              <a:rPr lang="en-US" sz="1600" b="0" i="1">
                                <a:latin typeface="Cambria Math" panose="02040503050406030204" pitchFamily="18" charset="0"/>
                                <a:ea typeface="Cambria Math" panose="02040503050406030204" pitchFamily="18" charset="0"/>
                              </a:rPr>
                              <m:t>𝐸𝑛𝑡</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oMath>
                </m:oMathPara>
              </a14:m>
              <a:endParaRPr lang="en-US" sz="1600"/>
            </a:p>
          </xdr:txBody>
        </xdr:sp>
      </mc:Choice>
      <mc:Fallback xmlns="">
        <xdr:sp macro="" textlink="">
          <xdr:nvSpPr>
            <xdr:cNvPr id="46" name="TextBox 45">
              <a:extLst>
                <a:ext uri="{FF2B5EF4-FFF2-40B4-BE49-F238E27FC236}">
                  <a16:creationId xmlns:a16="http://schemas.microsoft.com/office/drawing/2014/main" id="{00000000-0008-0000-0900-00002E000000}"/>
                </a:ext>
              </a:extLst>
            </xdr:cNvPr>
            <xdr:cNvSpPr txBox="1"/>
          </xdr:nvSpPr>
          <xdr:spPr>
            <a:xfrm>
              <a:off x="3551464" y="41435655"/>
              <a:ext cx="12164786" cy="73669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𝑘𝑊ℎ=(𝑘𝑊ℎ_𝑜𝑓𝑓𝑖𝑐𝑒∗𝑊𝑒𝑖𝑔ℎ𝑡𝑖𝑛𝑔_𝑂𝑓𝑓𝑖𝑐𝑒+𝑘𝑊ℎ_𝐸𝑛𝑡∗𝑊𝑒𝑖𝑔ℎ𝑡𝑖𝑛𝑔_𝐸𝑛𝑡 )∗𝐼𝑆𝑅</a:t>
              </a:r>
              <a:endParaRPr lang="en-US" sz="1600"/>
            </a:p>
          </xdr:txBody>
        </xdr:sp>
      </mc:Fallback>
    </mc:AlternateContent>
    <xdr:clientData/>
  </xdr:twoCellAnchor>
  <xdr:twoCellAnchor>
    <xdr:from>
      <xdr:col>4</xdr:col>
      <xdr:colOff>16968</xdr:colOff>
      <xdr:row>594</xdr:row>
      <xdr:rowOff>2721</xdr:rowOff>
    </xdr:from>
    <xdr:to>
      <xdr:col>12</xdr:col>
      <xdr:colOff>0</xdr:colOff>
      <xdr:row>596</xdr:row>
      <xdr:rowOff>108858</xdr:rowOff>
    </xdr:to>
    <mc:AlternateContent xmlns:mc="http://schemas.openxmlformats.org/markup-compatibility/2006" xmlns:a14="http://schemas.microsoft.com/office/drawing/2010/main">
      <mc:Choice Requires="a14">
        <xdr:sp macro="" textlink="">
          <xdr:nvSpPr>
            <xdr:cNvPr id="47" name="TextBox 46">
              <a:extLst>
                <a:ext uri="{FF2B5EF4-FFF2-40B4-BE49-F238E27FC236}">
                  <a16:creationId xmlns:a16="http://schemas.microsoft.com/office/drawing/2014/main" id="{00000000-0008-0000-0900-00002F000000}"/>
                </a:ext>
              </a:extLst>
            </xdr:cNvPr>
            <xdr:cNvSpPr txBox="1"/>
          </xdr:nvSpPr>
          <xdr:spPr>
            <a:xfrm>
              <a:off x="3554825" y="36932507"/>
              <a:ext cx="12161425" cy="459922"/>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𝑢𝑛𝑖𝑡</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𝑏𝑎𝑠𝑒</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𝑛𝑒𝑤</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𝑆𝑎𝑣𝑖𝑛𝑔𝑠</m:t>
                            </m:r>
                          </m:e>
                        </m:d>
                      </m:e>
                    </m:d>
                  </m:oMath>
                </m:oMathPara>
              </a14:m>
              <a:endParaRPr lang="en-US" sz="1600"/>
            </a:p>
          </xdr:txBody>
        </xdr:sp>
      </mc:Choice>
      <mc:Fallback xmlns="">
        <xdr:sp macro="" textlink="">
          <xdr:nvSpPr>
            <xdr:cNvPr id="47" name="TextBox 46">
              <a:extLst>
                <a:ext uri="{FF2B5EF4-FFF2-40B4-BE49-F238E27FC236}">
                  <a16:creationId xmlns:a16="http://schemas.microsoft.com/office/drawing/2014/main" id="{00000000-0008-0000-0900-00002F000000}"/>
                </a:ext>
              </a:extLst>
            </xdr:cNvPr>
            <xdr:cNvSpPr txBox="1"/>
          </xdr:nvSpPr>
          <xdr:spPr>
            <a:xfrm>
              <a:off x="3554825" y="36932507"/>
              <a:ext cx="12161425" cy="459922"/>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𝑘𝑊ℎ_𝑢𝑛𝑖𝑡=𝑘𝑊ℎ_𝑏𝑎𝑠𝑒−(𝑘𝑊ℎ_𝑛𝑒𝑤∗(1−%𝑆𝑎𝑣𝑖𝑛𝑔𝑠))</a:t>
              </a:r>
              <a:endParaRPr lang="en-US" sz="1600"/>
            </a:p>
          </xdr:txBody>
        </xdr:sp>
      </mc:Fallback>
    </mc:AlternateContent>
    <xdr:clientData/>
  </xdr:twoCellAnchor>
  <xdr:oneCellAnchor>
    <xdr:from>
      <xdr:col>26</xdr:col>
      <xdr:colOff>2269331</xdr:colOff>
      <xdr:row>3</xdr:row>
      <xdr:rowOff>0</xdr:rowOff>
    </xdr:from>
    <xdr:ext cx="65" cy="172227"/>
    <xdr:sp macro="" textlink="">
      <xdr:nvSpPr>
        <xdr:cNvPr id="48" name="TextBox 47">
          <a:extLst>
            <a:ext uri="{FF2B5EF4-FFF2-40B4-BE49-F238E27FC236}">
              <a16:creationId xmlns:a16="http://schemas.microsoft.com/office/drawing/2014/main" id="{00000000-0008-0000-0900-000030000000}"/>
            </a:ext>
          </a:extLst>
        </xdr:cNvPr>
        <xdr:cNvSpPr txBox="1"/>
      </xdr:nvSpPr>
      <xdr:spPr>
        <a:xfrm>
          <a:off x="32558831" y="561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9" name="TextBox 48">
          <a:extLst>
            <a:ext uri="{FF2B5EF4-FFF2-40B4-BE49-F238E27FC236}">
              <a16:creationId xmlns:a16="http://schemas.microsoft.com/office/drawing/2014/main" id="{00000000-0008-0000-0900-000031000000}"/>
            </a:ext>
          </a:extLst>
        </xdr:cNvPr>
        <xdr:cNvSpPr txBox="1"/>
      </xdr:nvSpPr>
      <xdr:spPr>
        <a:xfrm>
          <a:off x="32558831" y="561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70</xdr:row>
      <xdr:rowOff>0</xdr:rowOff>
    </xdr:from>
    <xdr:ext cx="65" cy="172227"/>
    <xdr:sp macro="" textlink="">
      <xdr:nvSpPr>
        <xdr:cNvPr id="50" name="TextBox 49">
          <a:extLst>
            <a:ext uri="{FF2B5EF4-FFF2-40B4-BE49-F238E27FC236}">
              <a16:creationId xmlns:a16="http://schemas.microsoft.com/office/drawing/2014/main" id="{00000000-0008-0000-0900-000032000000}"/>
            </a:ext>
          </a:extLst>
        </xdr:cNvPr>
        <xdr:cNvSpPr txBox="1"/>
      </xdr:nvSpPr>
      <xdr:spPr>
        <a:xfrm>
          <a:off x="32558831" y="3267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70</xdr:row>
      <xdr:rowOff>0</xdr:rowOff>
    </xdr:from>
    <xdr:ext cx="65" cy="172227"/>
    <xdr:sp macro="" textlink="">
      <xdr:nvSpPr>
        <xdr:cNvPr id="51" name="TextBox 50">
          <a:extLst>
            <a:ext uri="{FF2B5EF4-FFF2-40B4-BE49-F238E27FC236}">
              <a16:creationId xmlns:a16="http://schemas.microsoft.com/office/drawing/2014/main" id="{00000000-0008-0000-0900-000033000000}"/>
            </a:ext>
          </a:extLst>
        </xdr:cNvPr>
        <xdr:cNvSpPr txBox="1"/>
      </xdr:nvSpPr>
      <xdr:spPr>
        <a:xfrm>
          <a:off x="32558831" y="3267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1373</xdr:colOff>
      <xdr:row>192</xdr:row>
      <xdr:rowOff>0</xdr:rowOff>
    </xdr:from>
    <xdr:ext cx="65" cy="172227"/>
    <xdr:sp macro="" textlink="">
      <xdr:nvSpPr>
        <xdr:cNvPr id="52" name="TextBox 51">
          <a:extLst>
            <a:ext uri="{FF2B5EF4-FFF2-40B4-BE49-F238E27FC236}">
              <a16:creationId xmlns:a16="http://schemas.microsoft.com/office/drawing/2014/main" id="{00000000-0008-0000-0900-000034000000}"/>
            </a:ext>
          </a:extLst>
        </xdr:cNvPr>
        <xdr:cNvSpPr txBox="1"/>
      </xdr:nvSpPr>
      <xdr:spPr>
        <a:xfrm>
          <a:off x="31030461" y="2923614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1373</xdr:colOff>
      <xdr:row>192</xdr:row>
      <xdr:rowOff>0</xdr:rowOff>
    </xdr:from>
    <xdr:ext cx="65" cy="172227"/>
    <xdr:sp macro="" textlink="">
      <xdr:nvSpPr>
        <xdr:cNvPr id="53" name="TextBox 52">
          <a:extLst>
            <a:ext uri="{FF2B5EF4-FFF2-40B4-BE49-F238E27FC236}">
              <a16:creationId xmlns:a16="http://schemas.microsoft.com/office/drawing/2014/main" id="{00000000-0008-0000-0900-000035000000}"/>
            </a:ext>
          </a:extLst>
        </xdr:cNvPr>
        <xdr:cNvSpPr txBox="1"/>
      </xdr:nvSpPr>
      <xdr:spPr>
        <a:xfrm>
          <a:off x="31030461" y="2923614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1373</xdr:colOff>
      <xdr:row>223</xdr:row>
      <xdr:rowOff>0</xdr:rowOff>
    </xdr:from>
    <xdr:ext cx="65" cy="172227"/>
    <xdr:sp macro="" textlink="">
      <xdr:nvSpPr>
        <xdr:cNvPr id="54" name="TextBox 53">
          <a:extLst>
            <a:ext uri="{FF2B5EF4-FFF2-40B4-BE49-F238E27FC236}">
              <a16:creationId xmlns:a16="http://schemas.microsoft.com/office/drawing/2014/main" id="{00000000-0008-0000-0900-000036000000}"/>
            </a:ext>
          </a:extLst>
        </xdr:cNvPr>
        <xdr:cNvSpPr txBox="1"/>
      </xdr:nvSpPr>
      <xdr:spPr>
        <a:xfrm>
          <a:off x="31030461" y="356795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1373</xdr:colOff>
      <xdr:row>223</xdr:row>
      <xdr:rowOff>0</xdr:rowOff>
    </xdr:from>
    <xdr:ext cx="65" cy="172227"/>
    <xdr:sp macro="" textlink="">
      <xdr:nvSpPr>
        <xdr:cNvPr id="55" name="TextBox 54">
          <a:extLst>
            <a:ext uri="{FF2B5EF4-FFF2-40B4-BE49-F238E27FC236}">
              <a16:creationId xmlns:a16="http://schemas.microsoft.com/office/drawing/2014/main" id="{00000000-0008-0000-0900-000037000000}"/>
            </a:ext>
          </a:extLst>
        </xdr:cNvPr>
        <xdr:cNvSpPr txBox="1"/>
      </xdr:nvSpPr>
      <xdr:spPr>
        <a:xfrm>
          <a:off x="31030461" y="356795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1373</xdr:colOff>
      <xdr:row>271</xdr:row>
      <xdr:rowOff>0</xdr:rowOff>
    </xdr:from>
    <xdr:ext cx="65" cy="172227"/>
    <xdr:sp macro="" textlink="">
      <xdr:nvSpPr>
        <xdr:cNvPr id="56" name="TextBox 55">
          <a:extLst>
            <a:ext uri="{FF2B5EF4-FFF2-40B4-BE49-F238E27FC236}">
              <a16:creationId xmlns:a16="http://schemas.microsoft.com/office/drawing/2014/main" id="{00000000-0008-0000-0900-000038000000}"/>
            </a:ext>
          </a:extLst>
        </xdr:cNvPr>
        <xdr:cNvSpPr txBox="1"/>
      </xdr:nvSpPr>
      <xdr:spPr>
        <a:xfrm>
          <a:off x="31030461" y="46616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1373</xdr:colOff>
      <xdr:row>271</xdr:row>
      <xdr:rowOff>0</xdr:rowOff>
    </xdr:from>
    <xdr:ext cx="65" cy="172227"/>
    <xdr:sp macro="" textlink="">
      <xdr:nvSpPr>
        <xdr:cNvPr id="57" name="TextBox 56">
          <a:extLst>
            <a:ext uri="{FF2B5EF4-FFF2-40B4-BE49-F238E27FC236}">
              <a16:creationId xmlns:a16="http://schemas.microsoft.com/office/drawing/2014/main" id="{00000000-0008-0000-0900-000039000000}"/>
            </a:ext>
          </a:extLst>
        </xdr:cNvPr>
        <xdr:cNvSpPr txBox="1"/>
      </xdr:nvSpPr>
      <xdr:spPr>
        <a:xfrm>
          <a:off x="31030461" y="46616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1373</xdr:colOff>
      <xdr:row>367</xdr:row>
      <xdr:rowOff>0</xdr:rowOff>
    </xdr:from>
    <xdr:ext cx="65" cy="172227"/>
    <xdr:sp macro="" textlink="">
      <xdr:nvSpPr>
        <xdr:cNvPr id="58" name="TextBox 57">
          <a:extLst>
            <a:ext uri="{FF2B5EF4-FFF2-40B4-BE49-F238E27FC236}">
              <a16:creationId xmlns:a16="http://schemas.microsoft.com/office/drawing/2014/main" id="{00000000-0008-0000-0900-00003A000000}"/>
            </a:ext>
          </a:extLst>
        </xdr:cNvPr>
        <xdr:cNvSpPr txBox="1"/>
      </xdr:nvSpPr>
      <xdr:spPr>
        <a:xfrm>
          <a:off x="31030461" y="6572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1373</xdr:colOff>
      <xdr:row>367</xdr:row>
      <xdr:rowOff>0</xdr:rowOff>
    </xdr:from>
    <xdr:ext cx="65" cy="172227"/>
    <xdr:sp macro="" textlink="">
      <xdr:nvSpPr>
        <xdr:cNvPr id="59" name="TextBox 58">
          <a:extLst>
            <a:ext uri="{FF2B5EF4-FFF2-40B4-BE49-F238E27FC236}">
              <a16:creationId xmlns:a16="http://schemas.microsoft.com/office/drawing/2014/main" id="{00000000-0008-0000-0900-00003B000000}"/>
            </a:ext>
          </a:extLst>
        </xdr:cNvPr>
        <xdr:cNvSpPr txBox="1"/>
      </xdr:nvSpPr>
      <xdr:spPr>
        <a:xfrm>
          <a:off x="31030461" y="6572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1373</xdr:colOff>
      <xdr:row>402</xdr:row>
      <xdr:rowOff>0</xdr:rowOff>
    </xdr:from>
    <xdr:ext cx="65" cy="172227"/>
    <xdr:sp macro="" textlink="">
      <xdr:nvSpPr>
        <xdr:cNvPr id="60" name="TextBox 59">
          <a:extLst>
            <a:ext uri="{FF2B5EF4-FFF2-40B4-BE49-F238E27FC236}">
              <a16:creationId xmlns:a16="http://schemas.microsoft.com/office/drawing/2014/main" id="{00000000-0008-0000-0900-00003C000000}"/>
            </a:ext>
          </a:extLst>
        </xdr:cNvPr>
        <xdr:cNvSpPr txBox="1"/>
      </xdr:nvSpPr>
      <xdr:spPr>
        <a:xfrm>
          <a:off x="31030461" y="7696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1373</xdr:colOff>
      <xdr:row>402</xdr:row>
      <xdr:rowOff>0</xdr:rowOff>
    </xdr:from>
    <xdr:ext cx="65" cy="172227"/>
    <xdr:sp macro="" textlink="">
      <xdr:nvSpPr>
        <xdr:cNvPr id="61" name="TextBox 60">
          <a:extLst>
            <a:ext uri="{FF2B5EF4-FFF2-40B4-BE49-F238E27FC236}">
              <a16:creationId xmlns:a16="http://schemas.microsoft.com/office/drawing/2014/main" id="{00000000-0008-0000-0900-00003D000000}"/>
            </a:ext>
          </a:extLst>
        </xdr:cNvPr>
        <xdr:cNvSpPr txBox="1"/>
      </xdr:nvSpPr>
      <xdr:spPr>
        <a:xfrm>
          <a:off x="31030461" y="7696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1373</xdr:colOff>
      <xdr:row>437</xdr:row>
      <xdr:rowOff>0</xdr:rowOff>
    </xdr:from>
    <xdr:ext cx="65" cy="172227"/>
    <xdr:sp macro="" textlink="">
      <xdr:nvSpPr>
        <xdr:cNvPr id="62" name="TextBox 61">
          <a:extLst>
            <a:ext uri="{FF2B5EF4-FFF2-40B4-BE49-F238E27FC236}">
              <a16:creationId xmlns:a16="http://schemas.microsoft.com/office/drawing/2014/main" id="{00000000-0008-0000-0900-00003E000000}"/>
            </a:ext>
          </a:extLst>
        </xdr:cNvPr>
        <xdr:cNvSpPr txBox="1"/>
      </xdr:nvSpPr>
      <xdr:spPr>
        <a:xfrm>
          <a:off x="31052873" y="389300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1373</xdr:colOff>
      <xdr:row>437</xdr:row>
      <xdr:rowOff>0</xdr:rowOff>
    </xdr:from>
    <xdr:ext cx="65" cy="172227"/>
    <xdr:sp macro="" textlink="">
      <xdr:nvSpPr>
        <xdr:cNvPr id="63" name="TextBox 62">
          <a:extLst>
            <a:ext uri="{FF2B5EF4-FFF2-40B4-BE49-F238E27FC236}">
              <a16:creationId xmlns:a16="http://schemas.microsoft.com/office/drawing/2014/main" id="{00000000-0008-0000-0900-00003F000000}"/>
            </a:ext>
          </a:extLst>
        </xdr:cNvPr>
        <xdr:cNvSpPr txBox="1"/>
      </xdr:nvSpPr>
      <xdr:spPr>
        <a:xfrm>
          <a:off x="31052873" y="389300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1373</xdr:colOff>
      <xdr:row>473</xdr:row>
      <xdr:rowOff>0</xdr:rowOff>
    </xdr:from>
    <xdr:ext cx="65" cy="172227"/>
    <xdr:sp macro="" textlink="">
      <xdr:nvSpPr>
        <xdr:cNvPr id="64" name="TextBox 63">
          <a:extLst>
            <a:ext uri="{FF2B5EF4-FFF2-40B4-BE49-F238E27FC236}">
              <a16:creationId xmlns:a16="http://schemas.microsoft.com/office/drawing/2014/main" id="{00000000-0008-0000-0900-000040000000}"/>
            </a:ext>
          </a:extLst>
        </xdr:cNvPr>
        <xdr:cNvSpPr txBox="1"/>
      </xdr:nvSpPr>
      <xdr:spPr>
        <a:xfrm>
          <a:off x="31052873" y="29595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1373</xdr:colOff>
      <xdr:row>473</xdr:row>
      <xdr:rowOff>0</xdr:rowOff>
    </xdr:from>
    <xdr:ext cx="65" cy="172227"/>
    <xdr:sp macro="" textlink="">
      <xdr:nvSpPr>
        <xdr:cNvPr id="65" name="TextBox 64">
          <a:extLst>
            <a:ext uri="{FF2B5EF4-FFF2-40B4-BE49-F238E27FC236}">
              <a16:creationId xmlns:a16="http://schemas.microsoft.com/office/drawing/2014/main" id="{00000000-0008-0000-0900-000041000000}"/>
            </a:ext>
          </a:extLst>
        </xdr:cNvPr>
        <xdr:cNvSpPr txBox="1"/>
      </xdr:nvSpPr>
      <xdr:spPr>
        <a:xfrm>
          <a:off x="31052873" y="29595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1373</xdr:colOff>
      <xdr:row>506</xdr:row>
      <xdr:rowOff>0</xdr:rowOff>
    </xdr:from>
    <xdr:ext cx="65" cy="172227"/>
    <xdr:sp macro="" textlink="">
      <xdr:nvSpPr>
        <xdr:cNvPr id="66" name="TextBox 65">
          <a:extLst>
            <a:ext uri="{FF2B5EF4-FFF2-40B4-BE49-F238E27FC236}">
              <a16:creationId xmlns:a16="http://schemas.microsoft.com/office/drawing/2014/main" id="{00000000-0008-0000-0900-000042000000}"/>
            </a:ext>
          </a:extLst>
        </xdr:cNvPr>
        <xdr:cNvSpPr txBox="1"/>
      </xdr:nvSpPr>
      <xdr:spPr>
        <a:xfrm>
          <a:off x="31052873" y="3733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1373</xdr:colOff>
      <xdr:row>506</xdr:row>
      <xdr:rowOff>0</xdr:rowOff>
    </xdr:from>
    <xdr:ext cx="65" cy="172227"/>
    <xdr:sp macro="" textlink="">
      <xdr:nvSpPr>
        <xdr:cNvPr id="67" name="TextBox 66">
          <a:extLst>
            <a:ext uri="{FF2B5EF4-FFF2-40B4-BE49-F238E27FC236}">
              <a16:creationId xmlns:a16="http://schemas.microsoft.com/office/drawing/2014/main" id="{00000000-0008-0000-0900-000043000000}"/>
            </a:ext>
          </a:extLst>
        </xdr:cNvPr>
        <xdr:cNvSpPr txBox="1"/>
      </xdr:nvSpPr>
      <xdr:spPr>
        <a:xfrm>
          <a:off x="31052873" y="3733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1373</xdr:colOff>
      <xdr:row>539</xdr:row>
      <xdr:rowOff>0</xdr:rowOff>
    </xdr:from>
    <xdr:ext cx="65" cy="172227"/>
    <xdr:sp macro="" textlink="">
      <xdr:nvSpPr>
        <xdr:cNvPr id="68" name="TextBox 67">
          <a:extLst>
            <a:ext uri="{FF2B5EF4-FFF2-40B4-BE49-F238E27FC236}">
              <a16:creationId xmlns:a16="http://schemas.microsoft.com/office/drawing/2014/main" id="{00000000-0008-0000-0900-000044000000}"/>
            </a:ext>
          </a:extLst>
        </xdr:cNvPr>
        <xdr:cNvSpPr txBox="1"/>
      </xdr:nvSpPr>
      <xdr:spPr>
        <a:xfrm>
          <a:off x="31052873" y="433659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1373</xdr:colOff>
      <xdr:row>539</xdr:row>
      <xdr:rowOff>0</xdr:rowOff>
    </xdr:from>
    <xdr:ext cx="65" cy="172227"/>
    <xdr:sp macro="" textlink="">
      <xdr:nvSpPr>
        <xdr:cNvPr id="69" name="TextBox 68">
          <a:extLst>
            <a:ext uri="{FF2B5EF4-FFF2-40B4-BE49-F238E27FC236}">
              <a16:creationId xmlns:a16="http://schemas.microsoft.com/office/drawing/2014/main" id="{00000000-0008-0000-0900-000045000000}"/>
            </a:ext>
          </a:extLst>
        </xdr:cNvPr>
        <xdr:cNvSpPr txBox="1"/>
      </xdr:nvSpPr>
      <xdr:spPr>
        <a:xfrm>
          <a:off x="31052873" y="433659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1373</xdr:colOff>
      <xdr:row>588</xdr:row>
      <xdr:rowOff>0</xdr:rowOff>
    </xdr:from>
    <xdr:ext cx="65" cy="172227"/>
    <xdr:sp macro="" textlink="">
      <xdr:nvSpPr>
        <xdr:cNvPr id="70" name="TextBox 69">
          <a:extLst>
            <a:ext uri="{FF2B5EF4-FFF2-40B4-BE49-F238E27FC236}">
              <a16:creationId xmlns:a16="http://schemas.microsoft.com/office/drawing/2014/main" id="{00000000-0008-0000-0900-000046000000}"/>
            </a:ext>
          </a:extLst>
        </xdr:cNvPr>
        <xdr:cNvSpPr txBox="1"/>
      </xdr:nvSpPr>
      <xdr:spPr>
        <a:xfrm>
          <a:off x="31052873" y="534080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1373</xdr:colOff>
      <xdr:row>588</xdr:row>
      <xdr:rowOff>0</xdr:rowOff>
    </xdr:from>
    <xdr:ext cx="65" cy="172227"/>
    <xdr:sp macro="" textlink="">
      <xdr:nvSpPr>
        <xdr:cNvPr id="71" name="TextBox 70">
          <a:extLst>
            <a:ext uri="{FF2B5EF4-FFF2-40B4-BE49-F238E27FC236}">
              <a16:creationId xmlns:a16="http://schemas.microsoft.com/office/drawing/2014/main" id="{00000000-0008-0000-0900-000047000000}"/>
            </a:ext>
          </a:extLst>
        </xdr:cNvPr>
        <xdr:cNvSpPr txBox="1"/>
      </xdr:nvSpPr>
      <xdr:spPr>
        <a:xfrm>
          <a:off x="31052873" y="534080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0</xdr:colOff>
      <xdr:row>547</xdr:row>
      <xdr:rowOff>0</xdr:rowOff>
    </xdr:from>
    <xdr:to>
      <xdr:col>6</xdr:col>
      <xdr:colOff>1614</xdr:colOff>
      <xdr:row>549</xdr:row>
      <xdr:rowOff>98785</xdr:rowOff>
    </xdr:to>
    <mc:AlternateContent xmlns:mc="http://schemas.openxmlformats.org/markup-compatibility/2006" xmlns:a14="http://schemas.microsoft.com/office/drawing/2010/main">
      <mc:Choice Requires="a14">
        <xdr:sp macro="" textlink="">
          <xdr:nvSpPr>
            <xdr:cNvPr id="74" name="TextBox 73">
              <a:extLst>
                <a:ext uri="{FF2B5EF4-FFF2-40B4-BE49-F238E27FC236}">
                  <a16:creationId xmlns:a16="http://schemas.microsoft.com/office/drawing/2014/main" id="{34037553-2F3D-4960-B0DC-47F55A004EE6}"/>
                </a:ext>
              </a:extLst>
            </xdr:cNvPr>
            <xdr:cNvSpPr txBox="1"/>
          </xdr:nvSpPr>
          <xdr:spPr>
            <a:xfrm>
              <a:off x="2217964" y="44985214"/>
              <a:ext cx="6818793" cy="45257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strike="sngStrike" baseline="0">
                        <a:solidFill>
                          <a:schemeClr val="bg1">
                            <a:lumMod val="75000"/>
                          </a:schemeClr>
                        </a:solidFill>
                        <a:latin typeface="Cambria Math" panose="02040503050406030204" pitchFamily="18" charset="0"/>
                      </a:rPr>
                      <m:t>𝐸𝑛𝑒𝑟𝑔𝑦</m:t>
                    </m:r>
                    <m:r>
                      <a:rPr lang="en-US" sz="1400" b="0" i="1" strike="sngStrike" baseline="0">
                        <a:solidFill>
                          <a:schemeClr val="bg1">
                            <a:lumMod val="75000"/>
                          </a:schemeClr>
                        </a:solidFill>
                        <a:latin typeface="Cambria Math" panose="02040503050406030204" pitchFamily="18" charset="0"/>
                      </a:rPr>
                      <m:t> </m:t>
                    </m:r>
                    <m:r>
                      <a:rPr lang="en-US" sz="1400" b="0" i="1" strike="sngStrike" baseline="0">
                        <a:solidFill>
                          <a:schemeClr val="bg1">
                            <a:lumMod val="75000"/>
                          </a:schemeClr>
                        </a:solidFill>
                        <a:latin typeface="Cambria Math" panose="02040503050406030204" pitchFamily="18" charset="0"/>
                      </a:rPr>
                      <m:t>𝑆𝑎𝑣𝑖𝑛𝑔𝑠</m:t>
                    </m:r>
                    <m:r>
                      <a:rPr lang="en-US" sz="1400" b="0" i="1" strike="sngStrike" baseline="0">
                        <a:solidFill>
                          <a:schemeClr val="bg1">
                            <a:lumMod val="75000"/>
                          </a:schemeClr>
                        </a:solidFill>
                        <a:latin typeface="Cambria Math" panose="02040503050406030204" pitchFamily="18" charset="0"/>
                      </a:rPr>
                      <m:t> </m:t>
                    </m:r>
                    <m:d>
                      <m:dPr>
                        <m:ctrlPr>
                          <a:rPr lang="en-US" sz="1400" b="0" i="1" strike="sngStrike" baseline="0">
                            <a:solidFill>
                              <a:schemeClr val="bg1">
                                <a:lumMod val="75000"/>
                              </a:schemeClr>
                            </a:solidFill>
                            <a:latin typeface="Cambria Math" panose="02040503050406030204" pitchFamily="18" charset="0"/>
                          </a:rPr>
                        </m:ctrlPr>
                      </m:dPr>
                      <m:e>
                        <m:f>
                          <m:fPr>
                            <m:ctrlPr>
                              <a:rPr lang="en-US" sz="1400" b="0" i="1" strike="sngStrike" baseline="0">
                                <a:solidFill>
                                  <a:schemeClr val="bg1">
                                    <a:lumMod val="75000"/>
                                  </a:schemeClr>
                                </a:solidFill>
                                <a:latin typeface="Cambria Math" panose="02040503050406030204" pitchFamily="18" charset="0"/>
                              </a:rPr>
                            </m:ctrlPr>
                          </m:fPr>
                          <m:num>
                            <m:r>
                              <a:rPr lang="en-US" sz="1400" b="0" i="1" strike="sngStrike" baseline="0">
                                <a:solidFill>
                                  <a:schemeClr val="bg1">
                                    <a:lumMod val="75000"/>
                                  </a:schemeClr>
                                </a:solidFill>
                                <a:latin typeface="Cambria Math" panose="02040503050406030204" pitchFamily="18" charset="0"/>
                              </a:rPr>
                              <m:t>𝑘𝑊h</m:t>
                            </m:r>
                          </m:num>
                          <m:den>
                            <m:r>
                              <a:rPr lang="en-US" sz="1400" b="0" i="1" strike="sngStrike" baseline="0">
                                <a:solidFill>
                                  <a:schemeClr val="bg1">
                                    <a:lumMod val="75000"/>
                                  </a:schemeClr>
                                </a:solidFill>
                                <a:latin typeface="Cambria Math" panose="02040503050406030204" pitchFamily="18" charset="0"/>
                              </a:rPr>
                              <m:t>𝑌𝑒𝑎𝑟</m:t>
                            </m:r>
                          </m:den>
                        </m:f>
                      </m:e>
                    </m:d>
                    <m:r>
                      <a:rPr lang="en-US" sz="1400" b="0" i="1" strike="sngStrike" baseline="0">
                        <a:solidFill>
                          <a:schemeClr val="bg1">
                            <a:lumMod val="75000"/>
                          </a:schemeClr>
                        </a:solidFill>
                        <a:latin typeface="Cambria Math" panose="02040503050406030204" pitchFamily="18" charset="0"/>
                      </a:rPr>
                      <m:t>=</m:t>
                    </m:r>
                    <m:r>
                      <a:rPr lang="en-US" sz="1400" b="0" i="1" strike="sngStrike" baseline="0">
                        <a:solidFill>
                          <a:schemeClr val="bg1">
                            <a:lumMod val="75000"/>
                          </a:schemeClr>
                        </a:solidFill>
                        <a:latin typeface="Cambria Math" panose="02040503050406030204" pitchFamily="18" charset="0"/>
                      </a:rPr>
                      <m:t>𝐷𝑎𝑦</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𝑠</m:t>
                        </m:r>
                      </m:e>
                      <m:sub>
                        <m:r>
                          <a:rPr lang="en-US" sz="1400" b="0" i="1" strike="sngStrike" baseline="0">
                            <a:solidFill>
                              <a:schemeClr val="bg1">
                                <a:lumMod val="75000"/>
                              </a:schemeClr>
                            </a:solidFill>
                            <a:latin typeface="Cambria Math" panose="02040503050406030204" pitchFamily="18" charset="0"/>
                          </a:rPr>
                          <m:t>𝑜𝑝𝑒𝑟</m:t>
                        </m:r>
                      </m:sub>
                    </m:sSub>
                    <m:r>
                      <a:rPr lang="en-US" sz="1400" b="0" i="1" strike="sngStrike" baseline="0">
                        <a:solidFill>
                          <a:schemeClr val="bg1">
                            <a:lumMod val="75000"/>
                          </a:schemeClr>
                        </a:solidFill>
                        <a:latin typeface="Cambria Math" panose="02040503050406030204" pitchFamily="18" charset="0"/>
                      </a:rPr>
                      <m:t>∗</m:t>
                    </m:r>
                    <m:d>
                      <m:dPr>
                        <m:begChr m:val="{"/>
                        <m:endChr m:val="}"/>
                        <m:ctrlPr>
                          <a:rPr lang="en-US" sz="1400" b="0" i="1" strike="sngStrike" baseline="0">
                            <a:solidFill>
                              <a:schemeClr val="bg1">
                                <a:lumMod val="75000"/>
                              </a:schemeClr>
                            </a:solidFill>
                            <a:latin typeface="Cambria Math" panose="02040503050406030204" pitchFamily="18" charset="0"/>
                          </a:rPr>
                        </m:ctrlPr>
                      </m:dPr>
                      <m:e>
                        <m:d>
                          <m:dPr>
                            <m:ctrlPr>
                              <a:rPr lang="en-US" sz="1400" b="0" i="1" strike="sngStrike" baseline="0">
                                <a:solidFill>
                                  <a:schemeClr val="bg1">
                                    <a:lumMod val="75000"/>
                                  </a:schemeClr>
                                </a:solidFill>
                                <a:latin typeface="Cambria Math" panose="02040503050406030204" pitchFamily="18" charset="0"/>
                              </a:rPr>
                            </m:ctrlPr>
                          </m:dPr>
                          <m:e>
                            <m:f>
                              <m:fPr>
                                <m:ctrlPr>
                                  <a:rPr lang="en-US" sz="1400" b="0" i="1" strike="sngStrike" baseline="0">
                                    <a:solidFill>
                                      <a:schemeClr val="bg1">
                                        <a:lumMod val="75000"/>
                                      </a:schemeClr>
                                    </a:solidFill>
                                    <a:latin typeface="Cambria Math" panose="02040503050406030204" pitchFamily="18" charset="0"/>
                                  </a:rPr>
                                </m:ctrlPr>
                              </m:fPr>
                              <m:num>
                                <m:r>
                                  <a:rPr lang="en-US" sz="1400" b="0" i="1" strike="sngStrike" baseline="0">
                                    <a:solidFill>
                                      <a:schemeClr val="bg1">
                                        <a:lumMod val="75000"/>
                                      </a:schemeClr>
                                    </a:solidFill>
                                    <a:latin typeface="Cambria Math" panose="02040503050406030204" pitchFamily="18" charset="0"/>
                                  </a:rPr>
                                  <m:t>𝑘𝑊</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h</m:t>
                                    </m:r>
                                  </m:e>
                                  <m:sub>
                                    <m:r>
                                      <a:rPr lang="en-US" sz="1400" b="0" i="1" strike="sngStrike" baseline="0">
                                        <a:solidFill>
                                          <a:schemeClr val="bg1">
                                            <a:lumMod val="75000"/>
                                          </a:schemeClr>
                                        </a:solidFill>
                                        <a:latin typeface="Cambria Math" panose="02040503050406030204" pitchFamily="18" charset="0"/>
                                      </a:rPr>
                                      <m:t>𝑠𝑠</m:t>
                                    </m:r>
                                  </m:sub>
                                </m:sSub>
                              </m:num>
                              <m:den>
                                <m:r>
                                  <a:rPr lang="en-US" sz="1400" b="0" i="1" strike="sngStrike" baseline="0">
                                    <a:solidFill>
                                      <a:schemeClr val="bg1">
                                        <a:lumMod val="75000"/>
                                      </a:schemeClr>
                                    </a:solidFill>
                                    <a:latin typeface="Cambria Math" panose="02040503050406030204" pitchFamily="18" charset="0"/>
                                  </a:rPr>
                                  <m:t>𝐷𝑎𝑦</m:t>
                                </m:r>
                              </m:den>
                            </m:f>
                          </m:e>
                        </m:d>
                        <m:r>
                          <a:rPr lang="en-US" sz="1400" b="0" i="1" strike="sngStrike" baseline="0">
                            <a:solidFill>
                              <a:schemeClr val="bg1">
                                <a:lumMod val="75000"/>
                              </a:schemeClr>
                            </a:solidFill>
                            <a:latin typeface="Cambria Math" panose="02040503050406030204" pitchFamily="18" charset="0"/>
                          </a:rPr>
                          <m:t>−</m:t>
                        </m:r>
                        <m:d>
                          <m:dPr>
                            <m:ctrlPr>
                              <a:rPr lang="en-US" sz="1400" b="0" i="1" strike="sngStrike" baseline="0">
                                <a:solidFill>
                                  <a:schemeClr val="bg1">
                                    <a:lumMod val="75000"/>
                                  </a:schemeClr>
                                </a:solidFill>
                                <a:latin typeface="Cambria Math" panose="02040503050406030204" pitchFamily="18" charset="0"/>
                              </a:rPr>
                            </m:ctrlPr>
                          </m:dPr>
                          <m:e>
                            <m:f>
                              <m:fPr>
                                <m:ctrlPr>
                                  <a:rPr lang="en-US" sz="1400" b="0" i="1" strike="sngStrike" baseline="0">
                                    <a:solidFill>
                                      <a:schemeClr val="bg1">
                                        <a:lumMod val="75000"/>
                                      </a:schemeClr>
                                    </a:solidFill>
                                    <a:latin typeface="Cambria Math" panose="02040503050406030204" pitchFamily="18" charset="0"/>
                                  </a:rPr>
                                </m:ctrlPr>
                              </m:fPr>
                              <m:num>
                                <m:r>
                                  <a:rPr lang="en-US" sz="1400" b="0" i="1" strike="sngStrike" baseline="0">
                                    <a:solidFill>
                                      <a:schemeClr val="bg1">
                                        <a:lumMod val="75000"/>
                                      </a:schemeClr>
                                    </a:solidFill>
                                    <a:latin typeface="Cambria Math" panose="02040503050406030204" pitchFamily="18" charset="0"/>
                                  </a:rPr>
                                  <m:t>𝑘𝑊</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h</m:t>
                                    </m:r>
                                  </m:e>
                                  <m:sub>
                                    <m:r>
                                      <a:rPr lang="en-US" sz="1400" b="0" i="1" strike="sngStrike" baseline="0">
                                        <a:solidFill>
                                          <a:schemeClr val="bg1">
                                            <a:lumMod val="75000"/>
                                          </a:schemeClr>
                                        </a:solidFill>
                                        <a:latin typeface="Cambria Math" panose="02040503050406030204" pitchFamily="18" charset="0"/>
                                      </a:rPr>
                                      <m:t>𝑑𝑠</m:t>
                                    </m:r>
                                  </m:sub>
                                </m:sSub>
                              </m:num>
                              <m:den>
                                <m:r>
                                  <a:rPr lang="en-US" sz="1400" b="0" i="1" strike="sngStrike" baseline="0">
                                    <a:solidFill>
                                      <a:schemeClr val="bg1">
                                        <a:lumMod val="75000"/>
                                      </a:schemeClr>
                                    </a:solidFill>
                                    <a:latin typeface="Cambria Math" panose="02040503050406030204" pitchFamily="18" charset="0"/>
                                  </a:rPr>
                                  <m:t>𝐷𝑎𝑦</m:t>
                                </m:r>
                              </m:den>
                            </m:f>
                          </m:e>
                        </m:d>
                      </m:e>
                    </m:d>
                  </m:oMath>
                </m:oMathPara>
              </a14:m>
              <a:endParaRPr lang="en-US" sz="1400" strike="sngStrike" baseline="0">
                <a:solidFill>
                  <a:schemeClr val="bg1">
                    <a:lumMod val="75000"/>
                  </a:schemeClr>
                </a:solidFill>
              </a:endParaRPr>
            </a:p>
          </xdr:txBody>
        </xdr:sp>
      </mc:Choice>
      <mc:Fallback xmlns="">
        <xdr:sp macro="" textlink="">
          <xdr:nvSpPr>
            <xdr:cNvPr id="74" name="TextBox 73">
              <a:extLst>
                <a:ext uri="{FF2B5EF4-FFF2-40B4-BE49-F238E27FC236}">
                  <a16:creationId xmlns:a16="http://schemas.microsoft.com/office/drawing/2014/main" id="{34037553-2F3D-4960-B0DC-47F55A004EE6}"/>
                </a:ext>
              </a:extLst>
            </xdr:cNvPr>
            <xdr:cNvSpPr txBox="1"/>
          </xdr:nvSpPr>
          <xdr:spPr>
            <a:xfrm>
              <a:off x="2218765" y="116115353"/>
              <a:ext cx="7135247" cy="46118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strike="sngStrike" baseline="0">
                  <a:solidFill>
                    <a:schemeClr val="bg1">
                      <a:lumMod val="75000"/>
                    </a:schemeClr>
                  </a:solidFill>
                  <a:latin typeface="Cambria Math" panose="02040503050406030204" pitchFamily="18" charset="0"/>
                </a:rPr>
                <a:t>𝐸𝑛𝑒𝑟𝑔𝑦 𝑆𝑎𝑣𝑖𝑛𝑔𝑠 (𝑘𝑊ℎ/𝑌𝑒𝑎𝑟)=𝐷𝑎𝑦𝑠_𝑜𝑝𝑒𝑟∗{((𝑘𝑊ℎ_𝑠𝑠)/𝐷𝑎𝑦)−((𝑘𝑊ℎ_𝑑𝑠)/𝐷𝑎𝑦)}</a:t>
              </a:r>
              <a:endParaRPr lang="en-US" sz="1400" strike="sngStrike" baseline="0">
                <a:solidFill>
                  <a:schemeClr val="bg1">
                    <a:lumMod val="75000"/>
                  </a:schemeClr>
                </a:solidFill>
              </a:endParaRPr>
            </a:p>
          </xdr:txBody>
        </xdr:sp>
      </mc:Fallback>
    </mc:AlternateContent>
    <xdr:clientData/>
  </xdr:twoCellAnchor>
  <xdr:twoCellAnchor>
    <xdr:from>
      <xdr:col>8</xdr:col>
      <xdr:colOff>627901</xdr:colOff>
      <xdr:row>547</xdr:row>
      <xdr:rowOff>167974</xdr:rowOff>
    </xdr:from>
    <xdr:to>
      <xdr:col>14</xdr:col>
      <xdr:colOff>400310</xdr:colOff>
      <xdr:row>550</xdr:row>
      <xdr:rowOff>92000</xdr:rowOff>
    </xdr:to>
    <mc:AlternateContent xmlns:mc="http://schemas.openxmlformats.org/markup-compatibility/2006" xmlns:a14="http://schemas.microsoft.com/office/drawing/2010/main">
      <mc:Choice Requires="a14">
        <xdr:sp macro="" textlink="">
          <xdr:nvSpPr>
            <xdr:cNvPr id="76" name="TextBox 75">
              <a:extLst>
                <a:ext uri="{FF2B5EF4-FFF2-40B4-BE49-F238E27FC236}">
                  <a16:creationId xmlns:a16="http://schemas.microsoft.com/office/drawing/2014/main" id="{F0F115BB-FD8C-4F26-9B75-38E5E1987534}"/>
                </a:ext>
              </a:extLst>
            </xdr:cNvPr>
            <xdr:cNvSpPr txBox="1"/>
          </xdr:nvSpPr>
          <xdr:spPr>
            <a:xfrm>
              <a:off x="12166758" y="45153188"/>
              <a:ext cx="5800373" cy="45470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strike="sngStrike" baseline="0">
                            <a:solidFill>
                              <a:schemeClr val="bg1">
                                <a:lumMod val="75000"/>
                              </a:schemeClr>
                            </a:solidFill>
                            <a:latin typeface="Cambria Math" panose="02040503050406030204" pitchFamily="18" charset="0"/>
                          </a:rPr>
                        </m:ctrlPr>
                      </m:dPr>
                      <m:e>
                        <m:f>
                          <m:fPr>
                            <m:ctrlPr>
                              <a:rPr lang="en-US" sz="1400" b="0" i="1" strike="sngStrike" baseline="0">
                                <a:solidFill>
                                  <a:schemeClr val="bg1">
                                    <a:lumMod val="75000"/>
                                  </a:schemeClr>
                                </a:solidFill>
                                <a:latin typeface="Cambria Math" panose="02040503050406030204" pitchFamily="18" charset="0"/>
                              </a:rPr>
                            </m:ctrlPr>
                          </m:fPr>
                          <m:num>
                            <m:r>
                              <a:rPr lang="en-US" sz="1400" b="0" i="1" strike="sngStrike" baseline="0">
                                <a:solidFill>
                                  <a:schemeClr val="bg1">
                                    <a:lumMod val="75000"/>
                                  </a:schemeClr>
                                </a:solidFill>
                                <a:latin typeface="Cambria Math" panose="02040503050406030204" pitchFamily="18" charset="0"/>
                              </a:rPr>
                              <m:t>𝑘𝑊</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h</m:t>
                                </m:r>
                              </m:e>
                              <m:sub>
                                <m:r>
                                  <a:rPr lang="en-US" sz="1400" b="0" i="1" strike="sngStrike" baseline="0">
                                    <a:solidFill>
                                      <a:schemeClr val="bg1">
                                        <a:lumMod val="75000"/>
                                      </a:schemeClr>
                                    </a:solidFill>
                                    <a:latin typeface="Cambria Math" panose="02040503050406030204" pitchFamily="18" charset="0"/>
                                  </a:rPr>
                                  <m:t>𝑑𝑠</m:t>
                                </m:r>
                              </m:sub>
                            </m:sSub>
                          </m:num>
                          <m:den>
                            <m:r>
                              <a:rPr lang="en-US" sz="1400" b="0" i="1" strike="sngStrike" baseline="0">
                                <a:solidFill>
                                  <a:schemeClr val="bg1">
                                    <a:lumMod val="75000"/>
                                  </a:schemeClr>
                                </a:solidFill>
                                <a:latin typeface="Cambria Math" panose="02040503050406030204" pitchFamily="18" charset="0"/>
                              </a:rPr>
                              <m:t>𝐷𝑎𝑦</m:t>
                            </m:r>
                          </m:den>
                        </m:f>
                      </m:e>
                    </m:d>
                    <m:r>
                      <a:rPr lang="en-US" sz="1400" b="0" i="1" strike="sngStrike" baseline="0">
                        <a:solidFill>
                          <a:schemeClr val="bg1">
                            <a:lumMod val="75000"/>
                          </a:schemeClr>
                        </a:solidFill>
                        <a:latin typeface="Cambria Math" panose="02040503050406030204" pitchFamily="18" charset="0"/>
                      </a:rPr>
                      <m:t>=</m:t>
                    </m:r>
                    <m:d>
                      <m:dPr>
                        <m:ctrlPr>
                          <a:rPr lang="en-US" sz="1400" b="0" i="1" strike="sngStrike" baseline="0">
                            <a:solidFill>
                              <a:schemeClr val="bg1">
                                <a:lumMod val="75000"/>
                              </a:schemeClr>
                            </a:solidFill>
                            <a:latin typeface="Cambria Math" panose="02040503050406030204" pitchFamily="18" charset="0"/>
                          </a:rPr>
                        </m:ctrlPr>
                      </m:dPr>
                      <m:e>
                        <m:f>
                          <m:fPr>
                            <m:ctrlPr>
                              <a:rPr lang="en-US" sz="1400" b="0" i="1" strike="sngStrike" baseline="0">
                                <a:solidFill>
                                  <a:schemeClr val="bg1">
                                    <a:lumMod val="75000"/>
                                  </a:schemeClr>
                                </a:solidFill>
                                <a:latin typeface="Cambria Math" panose="02040503050406030204" pitchFamily="18" charset="0"/>
                              </a:rPr>
                            </m:ctrlPr>
                          </m:fPr>
                          <m:num>
                            <m:r>
                              <a:rPr lang="en-US" sz="1400" b="0" i="1" strike="sngStrike" baseline="0">
                                <a:solidFill>
                                  <a:schemeClr val="bg1">
                                    <a:lumMod val="75000"/>
                                  </a:schemeClr>
                                </a:solidFill>
                                <a:latin typeface="Cambria Math" panose="02040503050406030204" pitchFamily="18" charset="0"/>
                              </a:rPr>
                              <m:t>𝑘𝑊</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h</m:t>
                                </m:r>
                              </m:e>
                              <m:sub>
                                <m:r>
                                  <a:rPr lang="en-US" sz="1400" b="0" i="1" strike="sngStrike" baseline="0">
                                    <a:solidFill>
                                      <a:schemeClr val="bg1">
                                        <a:lumMod val="75000"/>
                                      </a:schemeClr>
                                    </a:solidFill>
                                    <a:latin typeface="Cambria Math" panose="02040503050406030204" pitchFamily="18" charset="0"/>
                                  </a:rPr>
                                  <m:t>h𝑠</m:t>
                                </m:r>
                              </m:sub>
                            </m:sSub>
                          </m:num>
                          <m:den>
                            <m:r>
                              <a:rPr lang="en-US" sz="1400" b="0" i="1" strike="sngStrike" baseline="0">
                                <a:solidFill>
                                  <a:schemeClr val="bg1">
                                    <a:lumMod val="75000"/>
                                  </a:schemeClr>
                                </a:solidFill>
                                <a:latin typeface="Cambria Math" panose="02040503050406030204" pitchFamily="18" charset="0"/>
                              </a:rPr>
                              <m:t>𝐷𝑎𝑦</m:t>
                            </m:r>
                          </m:den>
                        </m:f>
                      </m:e>
                    </m:d>
                    <m:r>
                      <a:rPr lang="en-US" sz="1400" b="0" i="1" strike="sngStrike" baseline="0">
                        <a:solidFill>
                          <a:schemeClr val="bg1">
                            <a:lumMod val="75000"/>
                          </a:schemeClr>
                        </a:solidFill>
                        <a:latin typeface="Cambria Math" panose="02040503050406030204" pitchFamily="18" charset="0"/>
                      </a:rPr>
                      <m:t>+</m:t>
                    </m:r>
                    <m:d>
                      <m:dPr>
                        <m:ctrlPr>
                          <a:rPr lang="en-US" sz="1400" b="0" i="1" strike="sngStrike" baseline="0">
                            <a:solidFill>
                              <a:schemeClr val="bg1">
                                <a:lumMod val="75000"/>
                              </a:schemeClr>
                            </a:solidFill>
                            <a:latin typeface="Cambria Math" panose="02040503050406030204" pitchFamily="18" charset="0"/>
                          </a:rPr>
                        </m:ctrlPr>
                      </m:dPr>
                      <m:e>
                        <m:f>
                          <m:fPr>
                            <m:ctrlPr>
                              <a:rPr lang="en-US" sz="1400" b="0" i="1" strike="sngStrike" baseline="0">
                                <a:solidFill>
                                  <a:schemeClr val="bg1">
                                    <a:lumMod val="75000"/>
                                  </a:schemeClr>
                                </a:solidFill>
                                <a:latin typeface="Cambria Math" panose="02040503050406030204" pitchFamily="18" charset="0"/>
                              </a:rPr>
                            </m:ctrlPr>
                          </m:fPr>
                          <m:num>
                            <m:r>
                              <a:rPr lang="en-US" sz="1400" b="0" i="1" strike="sngStrike" baseline="0">
                                <a:solidFill>
                                  <a:schemeClr val="bg1">
                                    <a:lumMod val="75000"/>
                                  </a:schemeClr>
                                </a:solidFill>
                                <a:latin typeface="Cambria Math" panose="02040503050406030204" pitchFamily="18" charset="0"/>
                              </a:rPr>
                              <m:t>𝑘𝑊</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h</m:t>
                                </m:r>
                              </m:e>
                              <m:sub>
                                <m:r>
                                  <a:rPr lang="en-US" sz="1400" b="0" i="1" strike="sngStrike" baseline="0">
                                    <a:solidFill>
                                      <a:schemeClr val="bg1">
                                        <a:lumMod val="75000"/>
                                      </a:schemeClr>
                                    </a:solidFill>
                                    <a:latin typeface="Cambria Math" panose="02040503050406030204" pitchFamily="18" charset="0"/>
                                  </a:rPr>
                                  <m:t>𝑙𝑠</m:t>
                                </m:r>
                              </m:sub>
                            </m:sSub>
                          </m:num>
                          <m:den>
                            <m:r>
                              <a:rPr lang="en-US" sz="1400" b="0" i="1" strike="sngStrike" baseline="0">
                                <a:solidFill>
                                  <a:schemeClr val="bg1">
                                    <a:lumMod val="75000"/>
                                  </a:schemeClr>
                                </a:solidFill>
                                <a:latin typeface="Cambria Math" panose="02040503050406030204" pitchFamily="18" charset="0"/>
                              </a:rPr>
                              <m:t>𝐷𝑎𝑦</m:t>
                            </m:r>
                          </m:den>
                        </m:f>
                      </m:e>
                    </m:d>
                  </m:oMath>
                </m:oMathPara>
              </a14:m>
              <a:endParaRPr lang="en-US" sz="1400" strike="sngStrike" baseline="0">
                <a:solidFill>
                  <a:schemeClr val="bg1">
                    <a:lumMod val="75000"/>
                  </a:schemeClr>
                </a:solidFill>
              </a:endParaRPr>
            </a:p>
          </xdr:txBody>
        </xdr:sp>
      </mc:Choice>
      <mc:Fallback xmlns="">
        <xdr:sp macro="" textlink="">
          <xdr:nvSpPr>
            <xdr:cNvPr id="76" name="TextBox 75">
              <a:extLst>
                <a:ext uri="{FF2B5EF4-FFF2-40B4-BE49-F238E27FC236}">
                  <a16:creationId xmlns:a16="http://schemas.microsoft.com/office/drawing/2014/main" id="{F0F115BB-FD8C-4F26-9B75-38E5E1987534}"/>
                </a:ext>
              </a:extLst>
            </xdr:cNvPr>
            <xdr:cNvSpPr txBox="1"/>
          </xdr:nvSpPr>
          <xdr:spPr>
            <a:xfrm>
              <a:off x="14835279" y="116275707"/>
              <a:ext cx="6555330" cy="46571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strike="sngStrike" baseline="0">
                  <a:solidFill>
                    <a:schemeClr val="bg1">
                      <a:lumMod val="75000"/>
                    </a:schemeClr>
                  </a:solidFill>
                  <a:latin typeface="Cambria Math" panose="02040503050406030204" pitchFamily="18" charset="0"/>
                </a:rPr>
                <a:t>((𝑘𝑊ℎ_𝑑𝑠)/𝐷𝑎𝑦)=((𝑘𝑊ℎ_ℎ𝑠)/𝐷𝑎𝑦)+((𝑘𝑊ℎ_𝑙𝑠)/𝐷𝑎𝑦)</a:t>
              </a:r>
              <a:endParaRPr lang="en-US" sz="1400" strike="sngStrike" baseline="0">
                <a:solidFill>
                  <a:schemeClr val="bg1">
                    <a:lumMod val="75000"/>
                  </a:schemeClr>
                </a:solidFill>
              </a:endParaRPr>
            </a:p>
          </xdr:txBody>
        </xdr:sp>
      </mc:Fallback>
    </mc:AlternateContent>
    <xdr:clientData/>
  </xdr:twoCellAnchor>
  <xdr:twoCellAnchor>
    <xdr:from>
      <xdr:col>6</xdr:col>
      <xdr:colOff>2983</xdr:colOff>
      <xdr:row>547</xdr:row>
      <xdr:rowOff>113255</xdr:rowOff>
    </xdr:from>
    <xdr:to>
      <xdr:col>8</xdr:col>
      <xdr:colOff>670037</xdr:colOff>
      <xdr:row>550</xdr:row>
      <xdr:rowOff>53701</xdr:rowOff>
    </xdr:to>
    <mc:AlternateContent xmlns:mc="http://schemas.openxmlformats.org/markup-compatibility/2006" xmlns:a14="http://schemas.microsoft.com/office/drawing/2010/main">
      <mc:Choice Requires="a14">
        <xdr:sp macro="" textlink="">
          <xdr:nvSpPr>
            <xdr:cNvPr id="77" name="TextBox 76">
              <a:extLst>
                <a:ext uri="{FF2B5EF4-FFF2-40B4-BE49-F238E27FC236}">
                  <a16:creationId xmlns:a16="http://schemas.microsoft.com/office/drawing/2014/main" id="{4E8D550C-7A14-4CA0-B899-E3028AA26BB3}"/>
                </a:ext>
              </a:extLst>
            </xdr:cNvPr>
            <xdr:cNvSpPr txBox="1"/>
          </xdr:nvSpPr>
          <xdr:spPr>
            <a:xfrm>
              <a:off x="9038126" y="45098469"/>
              <a:ext cx="3170768" cy="4711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strike="sngStrike" baseline="0">
                            <a:solidFill>
                              <a:schemeClr val="bg1">
                                <a:lumMod val="75000"/>
                              </a:schemeClr>
                            </a:solidFill>
                            <a:latin typeface="Cambria Math" panose="02040503050406030204" pitchFamily="18" charset="0"/>
                          </a:rPr>
                        </m:ctrlPr>
                      </m:dPr>
                      <m:e>
                        <m:f>
                          <m:fPr>
                            <m:ctrlPr>
                              <a:rPr lang="en-US" sz="1400" b="0" i="1" strike="sngStrike" baseline="0">
                                <a:solidFill>
                                  <a:schemeClr val="bg1">
                                    <a:lumMod val="75000"/>
                                  </a:schemeClr>
                                </a:solidFill>
                                <a:latin typeface="Cambria Math" panose="02040503050406030204" pitchFamily="18" charset="0"/>
                              </a:rPr>
                            </m:ctrlPr>
                          </m:fPr>
                          <m:num>
                            <m:r>
                              <a:rPr lang="en-US" sz="1400" b="0" i="1" strike="sngStrike" baseline="0">
                                <a:solidFill>
                                  <a:schemeClr val="bg1">
                                    <a:lumMod val="75000"/>
                                  </a:schemeClr>
                                </a:solidFill>
                                <a:latin typeface="Cambria Math" panose="02040503050406030204" pitchFamily="18" charset="0"/>
                              </a:rPr>
                              <m:t>𝑘𝑊</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h</m:t>
                                </m:r>
                              </m:e>
                              <m:sub>
                                <m:r>
                                  <a:rPr lang="en-US" sz="1400" b="0" i="1" strike="sngStrike" baseline="0">
                                    <a:solidFill>
                                      <a:schemeClr val="bg1">
                                        <a:lumMod val="75000"/>
                                      </a:schemeClr>
                                    </a:solidFill>
                                    <a:latin typeface="Cambria Math" panose="02040503050406030204" pitchFamily="18" charset="0"/>
                                  </a:rPr>
                                  <m:t>𝑠𝑠</m:t>
                                </m:r>
                              </m:sub>
                            </m:sSub>
                          </m:num>
                          <m:den>
                            <m:r>
                              <a:rPr lang="en-US" sz="1400" b="0" i="1" strike="sngStrike" baseline="0">
                                <a:solidFill>
                                  <a:schemeClr val="bg1">
                                    <a:lumMod val="75000"/>
                                  </a:schemeClr>
                                </a:solidFill>
                                <a:latin typeface="Cambria Math" panose="02040503050406030204" pitchFamily="18" charset="0"/>
                              </a:rPr>
                              <m:t>𝐷𝑎𝑦</m:t>
                            </m:r>
                          </m:den>
                        </m:f>
                      </m:e>
                    </m:d>
                    <m:r>
                      <a:rPr lang="en-US" sz="1400" b="0" i="1" strike="sngStrike" baseline="0">
                        <a:solidFill>
                          <a:schemeClr val="bg1">
                            <a:lumMod val="75000"/>
                          </a:schemeClr>
                        </a:solidFill>
                        <a:latin typeface="Cambria Math" panose="02040503050406030204" pitchFamily="18" charset="0"/>
                      </a:rPr>
                      <m:t>=</m:t>
                    </m:r>
                    <m:f>
                      <m:fPr>
                        <m:ctrlPr>
                          <a:rPr lang="en-US" sz="1400" b="0" i="1" strike="sngStrike" baseline="0">
                            <a:solidFill>
                              <a:schemeClr val="bg1">
                                <a:lumMod val="75000"/>
                              </a:schemeClr>
                            </a:solidFill>
                            <a:latin typeface="Cambria Math" panose="02040503050406030204" pitchFamily="18" charset="0"/>
                          </a:rPr>
                        </m:ctrlPr>
                      </m:fPr>
                      <m:num>
                        <m:r>
                          <a:rPr lang="en-US" sz="1400" b="0" i="1" strike="sngStrike" baseline="0">
                            <a:solidFill>
                              <a:schemeClr val="bg1">
                                <a:lumMod val="75000"/>
                              </a:schemeClr>
                            </a:solidFill>
                            <a:latin typeface="Cambria Math" panose="02040503050406030204" pitchFamily="18" charset="0"/>
                          </a:rPr>
                          <m:t>𝑅</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𝑇</m:t>
                            </m:r>
                          </m:e>
                          <m:sub>
                            <m:r>
                              <a:rPr lang="en-US" sz="1400" b="0" i="1" strike="sngStrike" baseline="0">
                                <a:solidFill>
                                  <a:schemeClr val="bg1">
                                    <a:lumMod val="75000"/>
                                  </a:schemeClr>
                                </a:solidFill>
                                <a:latin typeface="Cambria Math" panose="02040503050406030204" pitchFamily="18" charset="0"/>
                              </a:rPr>
                              <m:t>𝑠𝑠</m:t>
                            </m:r>
                          </m:sub>
                        </m:sSub>
                        <m:r>
                          <a:rPr lang="en-US" sz="1400" b="0" i="1" strike="sngStrike" baseline="0">
                            <a:solidFill>
                              <a:schemeClr val="bg1">
                                <a:lumMod val="75000"/>
                              </a:schemeClr>
                            </a:solidFill>
                            <a:latin typeface="Cambria Math" panose="02040503050406030204" pitchFamily="18" charset="0"/>
                          </a:rPr>
                          <m:t>∗</m:t>
                        </m:r>
                        <m:r>
                          <a:rPr lang="en-US" sz="1400" b="0" i="1" strike="sngStrike" baseline="0">
                            <a:solidFill>
                              <a:schemeClr val="bg1">
                                <a:lumMod val="75000"/>
                              </a:schemeClr>
                            </a:solidFill>
                            <a:latin typeface="Cambria Math" panose="02040503050406030204" pitchFamily="18" charset="0"/>
                          </a:rPr>
                          <m:t>𝐺𝑃</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𝑀</m:t>
                            </m:r>
                          </m:e>
                          <m:sub>
                            <m:r>
                              <a:rPr lang="en-US" sz="1400" b="0" i="1" strike="sngStrike" baseline="0">
                                <a:solidFill>
                                  <a:schemeClr val="bg1">
                                    <a:lumMod val="75000"/>
                                  </a:schemeClr>
                                </a:solidFill>
                                <a:latin typeface="Cambria Math" panose="02040503050406030204" pitchFamily="18" charset="0"/>
                              </a:rPr>
                              <m:t>𝑠𝑠</m:t>
                            </m:r>
                          </m:sub>
                        </m:sSub>
                        <m:r>
                          <a:rPr lang="en-US" sz="1400" b="0" i="1" strike="sngStrike" baseline="0">
                            <a:solidFill>
                              <a:schemeClr val="bg1">
                                <a:lumMod val="75000"/>
                              </a:schemeClr>
                            </a:solidFill>
                            <a:latin typeface="Cambria Math" panose="02040503050406030204" pitchFamily="18" charset="0"/>
                          </a:rPr>
                          <m:t>∗60</m:t>
                        </m:r>
                      </m:num>
                      <m:den>
                        <m:r>
                          <a:rPr lang="en-US" sz="1400" b="0" i="1" strike="sngStrike" baseline="0">
                            <a:solidFill>
                              <a:schemeClr val="bg1">
                                <a:lumMod val="75000"/>
                              </a:schemeClr>
                            </a:solidFill>
                            <a:latin typeface="Cambria Math" panose="02040503050406030204" pitchFamily="18" charset="0"/>
                          </a:rPr>
                          <m:t>𝐸</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𝐹</m:t>
                            </m:r>
                          </m:e>
                          <m:sub>
                            <m:r>
                              <a:rPr lang="en-US" sz="1400" b="0" i="1" strike="sngStrike" baseline="0">
                                <a:solidFill>
                                  <a:schemeClr val="bg1">
                                    <a:lumMod val="75000"/>
                                  </a:schemeClr>
                                </a:solidFill>
                                <a:latin typeface="Cambria Math" panose="02040503050406030204" pitchFamily="18" charset="0"/>
                              </a:rPr>
                              <m:t>𝑠𝑠</m:t>
                            </m:r>
                          </m:sub>
                        </m:sSub>
                        <m:r>
                          <a:rPr lang="en-US" sz="1400" b="0" i="1" strike="sngStrike" baseline="0">
                            <a:solidFill>
                              <a:schemeClr val="bg1">
                                <a:lumMod val="75000"/>
                              </a:schemeClr>
                            </a:solidFill>
                            <a:latin typeface="Cambria Math" panose="02040503050406030204" pitchFamily="18" charset="0"/>
                          </a:rPr>
                          <m:t>∗1000</m:t>
                        </m:r>
                      </m:den>
                    </m:f>
                  </m:oMath>
                </m:oMathPara>
              </a14:m>
              <a:endParaRPr lang="en-US" sz="1400" strike="sngStrike" baseline="0">
                <a:solidFill>
                  <a:schemeClr val="bg1">
                    <a:lumMod val="75000"/>
                  </a:schemeClr>
                </a:solidFill>
              </a:endParaRPr>
            </a:p>
          </xdr:txBody>
        </xdr:sp>
      </mc:Choice>
      <mc:Fallback xmlns="">
        <xdr:sp macro="" textlink="">
          <xdr:nvSpPr>
            <xdr:cNvPr id="77" name="TextBox 76">
              <a:extLst>
                <a:ext uri="{FF2B5EF4-FFF2-40B4-BE49-F238E27FC236}">
                  <a16:creationId xmlns:a16="http://schemas.microsoft.com/office/drawing/2014/main" id="{4E8D550C-7A14-4CA0-B899-E3028AA26BB3}"/>
                </a:ext>
              </a:extLst>
            </xdr:cNvPr>
            <xdr:cNvSpPr txBox="1"/>
          </xdr:nvSpPr>
          <xdr:spPr>
            <a:xfrm>
              <a:off x="9378241" y="116228608"/>
              <a:ext cx="5493459" cy="47070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strike="sngStrike" baseline="0">
                  <a:solidFill>
                    <a:schemeClr val="bg1">
                      <a:lumMod val="75000"/>
                    </a:schemeClr>
                  </a:solidFill>
                  <a:latin typeface="Cambria Math" panose="02040503050406030204" pitchFamily="18" charset="0"/>
                </a:rPr>
                <a:t>((𝑘𝑊ℎ_𝑠𝑠)/𝐷𝑎𝑦)=(𝑅𝑇_𝑠𝑠∗𝐺𝑃𝑀_𝑠𝑠∗60)/(𝐸𝐹_𝑠𝑠∗1000)</a:t>
              </a:r>
              <a:endParaRPr lang="en-US" sz="1400" strike="sngStrike" baseline="0">
                <a:solidFill>
                  <a:schemeClr val="bg1">
                    <a:lumMod val="75000"/>
                  </a:schemeClr>
                </a:solidFill>
              </a:endParaRPr>
            </a:p>
          </xdr:txBody>
        </xdr:sp>
      </mc:Fallback>
    </mc:AlternateContent>
    <xdr:clientData/>
  </xdr:twoCellAnchor>
  <xdr:twoCellAnchor>
    <xdr:from>
      <xdr:col>8</xdr:col>
      <xdr:colOff>850437</xdr:colOff>
      <xdr:row>552</xdr:row>
      <xdr:rowOff>38490</xdr:rowOff>
    </xdr:from>
    <xdr:to>
      <xdr:col>13</xdr:col>
      <xdr:colOff>949512</xdr:colOff>
      <xdr:row>554</xdr:row>
      <xdr:rowOff>136537</xdr:rowOff>
    </xdr:to>
    <mc:AlternateContent xmlns:mc="http://schemas.openxmlformats.org/markup-compatibility/2006" xmlns:a14="http://schemas.microsoft.com/office/drawing/2010/main">
      <mc:Choice Requires="a14">
        <xdr:sp macro="" textlink="">
          <xdr:nvSpPr>
            <xdr:cNvPr id="78" name="TextBox 77">
              <a:extLst>
                <a:ext uri="{FF2B5EF4-FFF2-40B4-BE49-F238E27FC236}">
                  <a16:creationId xmlns:a16="http://schemas.microsoft.com/office/drawing/2014/main" id="{63B54652-A46A-4A2E-9767-52E617C80B83}"/>
                </a:ext>
              </a:extLst>
            </xdr:cNvPr>
            <xdr:cNvSpPr txBox="1"/>
          </xdr:nvSpPr>
          <xdr:spPr>
            <a:xfrm>
              <a:off x="12389294" y="45908169"/>
              <a:ext cx="5133718" cy="45183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strike="sngStrike" baseline="0">
                            <a:solidFill>
                              <a:schemeClr val="bg1">
                                <a:lumMod val="75000"/>
                              </a:schemeClr>
                            </a:solidFill>
                            <a:latin typeface="Cambria Math" panose="02040503050406030204" pitchFamily="18" charset="0"/>
                          </a:rPr>
                        </m:ctrlPr>
                      </m:dPr>
                      <m:e>
                        <m:f>
                          <m:fPr>
                            <m:ctrlPr>
                              <a:rPr lang="en-US" sz="1400" b="0" i="1" strike="sngStrike" baseline="0">
                                <a:solidFill>
                                  <a:schemeClr val="bg1">
                                    <a:lumMod val="75000"/>
                                  </a:schemeClr>
                                </a:solidFill>
                                <a:latin typeface="Cambria Math" panose="02040503050406030204" pitchFamily="18" charset="0"/>
                              </a:rPr>
                            </m:ctrlPr>
                          </m:fPr>
                          <m:num>
                            <m:r>
                              <a:rPr lang="en-US" sz="1400" b="0" i="1" strike="sngStrike" baseline="0">
                                <a:solidFill>
                                  <a:schemeClr val="bg1">
                                    <a:lumMod val="75000"/>
                                  </a:schemeClr>
                                </a:solidFill>
                                <a:latin typeface="Cambria Math" panose="02040503050406030204" pitchFamily="18" charset="0"/>
                              </a:rPr>
                              <m:t>𝑘𝑊</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h</m:t>
                                </m:r>
                              </m:e>
                              <m:sub>
                                <m:r>
                                  <a:rPr lang="en-US" sz="1400" b="0" i="1" strike="sngStrike" baseline="0">
                                    <a:solidFill>
                                      <a:schemeClr val="bg1">
                                        <a:lumMod val="75000"/>
                                      </a:schemeClr>
                                    </a:solidFill>
                                    <a:latin typeface="Cambria Math" panose="02040503050406030204" pitchFamily="18" charset="0"/>
                                  </a:rPr>
                                  <m:t>𝑙𝑠</m:t>
                                </m:r>
                              </m:sub>
                            </m:sSub>
                          </m:num>
                          <m:den>
                            <m:r>
                              <a:rPr lang="en-US" sz="1400" b="0" i="1" strike="sngStrike" baseline="0">
                                <a:solidFill>
                                  <a:schemeClr val="bg1">
                                    <a:lumMod val="75000"/>
                                  </a:schemeClr>
                                </a:solidFill>
                                <a:latin typeface="Cambria Math" panose="02040503050406030204" pitchFamily="18" charset="0"/>
                              </a:rPr>
                              <m:t>𝐷𝑎𝑦</m:t>
                            </m:r>
                          </m:den>
                        </m:f>
                      </m:e>
                    </m:d>
                    <m:r>
                      <a:rPr lang="en-US" sz="1400" b="0" i="1" strike="sngStrike" baseline="0">
                        <a:solidFill>
                          <a:schemeClr val="bg1">
                            <a:lumMod val="75000"/>
                          </a:schemeClr>
                        </a:solidFill>
                        <a:latin typeface="Cambria Math" panose="02040503050406030204" pitchFamily="18" charset="0"/>
                      </a:rPr>
                      <m:t>=</m:t>
                    </m:r>
                    <m:f>
                      <m:fPr>
                        <m:ctrlPr>
                          <a:rPr lang="en-US" sz="1400" b="0" i="1" strike="sngStrike" baseline="0">
                            <a:solidFill>
                              <a:schemeClr val="bg1">
                                <a:lumMod val="75000"/>
                              </a:schemeClr>
                            </a:solidFill>
                            <a:latin typeface="Cambria Math" panose="02040503050406030204" pitchFamily="18" charset="0"/>
                          </a:rPr>
                        </m:ctrlPr>
                      </m:fPr>
                      <m:num>
                        <m:r>
                          <a:rPr lang="en-US" sz="1400" b="0" i="1" strike="sngStrike" baseline="0">
                            <a:solidFill>
                              <a:schemeClr val="bg1">
                                <a:lumMod val="75000"/>
                              </a:schemeClr>
                            </a:solidFill>
                            <a:latin typeface="Cambria Math" panose="02040503050406030204" pitchFamily="18" charset="0"/>
                          </a:rPr>
                          <m:t>𝑅</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𝑇</m:t>
                            </m:r>
                          </m:e>
                          <m:sub>
                            <m:r>
                              <a:rPr lang="en-US" sz="1400" b="0" i="1" strike="sngStrike" baseline="0">
                                <a:solidFill>
                                  <a:schemeClr val="bg1">
                                    <a:lumMod val="75000"/>
                                  </a:schemeClr>
                                </a:solidFill>
                                <a:latin typeface="Cambria Math" panose="02040503050406030204" pitchFamily="18" charset="0"/>
                              </a:rPr>
                              <m:t>𝑙𝑠</m:t>
                            </m:r>
                          </m:sub>
                        </m:sSub>
                        <m:r>
                          <a:rPr lang="en-US" sz="1400" b="0" i="1" strike="sngStrike" baseline="0">
                            <a:solidFill>
                              <a:schemeClr val="bg1">
                                <a:lumMod val="75000"/>
                              </a:schemeClr>
                            </a:solidFill>
                            <a:latin typeface="Cambria Math" panose="02040503050406030204" pitchFamily="18" charset="0"/>
                          </a:rPr>
                          <m:t>∗</m:t>
                        </m:r>
                        <m:r>
                          <a:rPr lang="en-US" sz="1400" b="0" i="1" strike="sngStrike" baseline="0">
                            <a:solidFill>
                              <a:schemeClr val="bg1">
                                <a:lumMod val="75000"/>
                              </a:schemeClr>
                            </a:solidFill>
                            <a:latin typeface="Cambria Math" panose="02040503050406030204" pitchFamily="18" charset="0"/>
                          </a:rPr>
                          <m:t>𝐺𝑃</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𝑀</m:t>
                            </m:r>
                          </m:e>
                          <m:sub>
                            <m:r>
                              <a:rPr lang="en-US" sz="1400" b="0" i="1" strike="sngStrike" baseline="0">
                                <a:solidFill>
                                  <a:schemeClr val="bg1">
                                    <a:lumMod val="75000"/>
                                  </a:schemeClr>
                                </a:solidFill>
                                <a:latin typeface="Cambria Math" panose="02040503050406030204" pitchFamily="18" charset="0"/>
                              </a:rPr>
                              <m:t>𝑙𝑠</m:t>
                            </m:r>
                          </m:sub>
                        </m:sSub>
                        <m:r>
                          <a:rPr lang="en-US" sz="1400" b="0" i="1" strike="sngStrike" baseline="0">
                            <a:solidFill>
                              <a:schemeClr val="bg1">
                                <a:lumMod val="75000"/>
                              </a:schemeClr>
                            </a:solidFill>
                            <a:latin typeface="Cambria Math" panose="02040503050406030204" pitchFamily="18" charset="0"/>
                          </a:rPr>
                          <m:t>∗60</m:t>
                        </m:r>
                      </m:num>
                      <m:den>
                        <m:r>
                          <a:rPr lang="en-US" sz="1400" b="0" i="1" strike="sngStrike" baseline="0">
                            <a:solidFill>
                              <a:schemeClr val="bg1">
                                <a:lumMod val="75000"/>
                              </a:schemeClr>
                            </a:solidFill>
                            <a:latin typeface="Cambria Math" panose="02040503050406030204" pitchFamily="18" charset="0"/>
                          </a:rPr>
                          <m:t>𝐸</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𝐹</m:t>
                            </m:r>
                          </m:e>
                          <m:sub>
                            <m:r>
                              <a:rPr lang="en-US" sz="1400" b="0" i="1" strike="sngStrike" baseline="0">
                                <a:solidFill>
                                  <a:schemeClr val="bg1">
                                    <a:lumMod val="75000"/>
                                  </a:schemeClr>
                                </a:solidFill>
                                <a:latin typeface="Cambria Math" panose="02040503050406030204" pitchFamily="18" charset="0"/>
                              </a:rPr>
                              <m:t>𝑙𝑠</m:t>
                            </m:r>
                          </m:sub>
                        </m:sSub>
                        <m:r>
                          <a:rPr lang="en-US" sz="1400" b="0" i="1" strike="sngStrike" baseline="0">
                            <a:solidFill>
                              <a:schemeClr val="bg1">
                                <a:lumMod val="75000"/>
                              </a:schemeClr>
                            </a:solidFill>
                            <a:latin typeface="Cambria Math" panose="02040503050406030204" pitchFamily="18" charset="0"/>
                          </a:rPr>
                          <m:t>∗1000</m:t>
                        </m:r>
                      </m:den>
                    </m:f>
                  </m:oMath>
                </m:oMathPara>
              </a14:m>
              <a:endParaRPr lang="en-US" sz="1400" strike="sngStrike" baseline="0">
                <a:solidFill>
                  <a:schemeClr val="bg1">
                    <a:lumMod val="75000"/>
                  </a:schemeClr>
                </a:solidFill>
              </a:endParaRPr>
            </a:p>
          </xdr:txBody>
        </xdr:sp>
      </mc:Choice>
      <mc:Fallback xmlns="">
        <xdr:sp macro="" textlink="">
          <xdr:nvSpPr>
            <xdr:cNvPr id="78" name="TextBox 77">
              <a:extLst>
                <a:ext uri="{FF2B5EF4-FFF2-40B4-BE49-F238E27FC236}">
                  <a16:creationId xmlns:a16="http://schemas.microsoft.com/office/drawing/2014/main" id="{63B54652-A46A-4A2E-9767-52E617C80B83}"/>
                </a:ext>
              </a:extLst>
            </xdr:cNvPr>
            <xdr:cNvSpPr txBox="1"/>
          </xdr:nvSpPr>
          <xdr:spPr>
            <a:xfrm>
              <a:off x="15042575" y="117050314"/>
              <a:ext cx="5887025" cy="4528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strike="sngStrike" baseline="0">
                  <a:solidFill>
                    <a:schemeClr val="bg1">
                      <a:lumMod val="75000"/>
                    </a:schemeClr>
                  </a:solidFill>
                  <a:latin typeface="Cambria Math" panose="02040503050406030204" pitchFamily="18" charset="0"/>
                </a:rPr>
                <a:t>((𝑘𝑊ℎ_𝑙𝑠)/𝐷𝑎𝑦)=(𝑅𝑇_𝑙𝑠∗𝐺𝑃𝑀_𝑙𝑠∗60)/(𝐸𝐹_𝑙𝑠∗1000)</a:t>
              </a:r>
              <a:endParaRPr lang="en-US" sz="1400" strike="sngStrike" baseline="0">
                <a:solidFill>
                  <a:schemeClr val="bg1">
                    <a:lumMod val="75000"/>
                  </a:schemeClr>
                </a:solidFill>
              </a:endParaRPr>
            </a:p>
          </xdr:txBody>
        </xdr:sp>
      </mc:Fallback>
    </mc:AlternateContent>
    <xdr:clientData/>
  </xdr:twoCellAnchor>
  <xdr:twoCellAnchor>
    <xdr:from>
      <xdr:col>6</xdr:col>
      <xdr:colOff>2645</xdr:colOff>
      <xdr:row>552</xdr:row>
      <xdr:rowOff>38544</xdr:rowOff>
    </xdr:from>
    <xdr:to>
      <xdr:col>8</xdr:col>
      <xdr:colOff>248363</xdr:colOff>
      <xdr:row>555</xdr:row>
      <xdr:rowOff>15754</xdr:rowOff>
    </xdr:to>
    <mc:AlternateContent xmlns:mc="http://schemas.openxmlformats.org/markup-compatibility/2006" xmlns:a14="http://schemas.microsoft.com/office/drawing/2010/main">
      <mc:Choice Requires="a14">
        <xdr:sp macro="" textlink="">
          <xdr:nvSpPr>
            <xdr:cNvPr id="79" name="TextBox 78">
              <a:extLst>
                <a:ext uri="{FF2B5EF4-FFF2-40B4-BE49-F238E27FC236}">
                  <a16:creationId xmlns:a16="http://schemas.microsoft.com/office/drawing/2014/main" id="{B0F9A142-491D-4C5F-8841-5DB7DE74766A}"/>
                </a:ext>
              </a:extLst>
            </xdr:cNvPr>
            <xdr:cNvSpPr txBox="1"/>
          </xdr:nvSpPr>
          <xdr:spPr>
            <a:xfrm>
              <a:off x="9037788" y="45908223"/>
              <a:ext cx="2749432" cy="50788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strike="sngStrike" baseline="0">
                            <a:solidFill>
                              <a:schemeClr val="bg1">
                                <a:lumMod val="75000"/>
                              </a:schemeClr>
                            </a:solidFill>
                            <a:latin typeface="Cambria Math" panose="02040503050406030204" pitchFamily="18" charset="0"/>
                          </a:rPr>
                        </m:ctrlPr>
                      </m:dPr>
                      <m:e>
                        <m:f>
                          <m:fPr>
                            <m:ctrlPr>
                              <a:rPr lang="en-US" sz="1400" b="0" i="1" strike="sngStrike" baseline="0">
                                <a:solidFill>
                                  <a:schemeClr val="bg1">
                                    <a:lumMod val="75000"/>
                                  </a:schemeClr>
                                </a:solidFill>
                                <a:latin typeface="Cambria Math" panose="02040503050406030204" pitchFamily="18" charset="0"/>
                              </a:rPr>
                            </m:ctrlPr>
                          </m:fPr>
                          <m:num>
                            <m:r>
                              <a:rPr lang="en-US" sz="1400" b="0" i="1" strike="sngStrike" baseline="0">
                                <a:solidFill>
                                  <a:schemeClr val="bg1">
                                    <a:lumMod val="75000"/>
                                  </a:schemeClr>
                                </a:solidFill>
                                <a:latin typeface="Cambria Math" panose="02040503050406030204" pitchFamily="18" charset="0"/>
                              </a:rPr>
                              <m:t>𝑘𝑊</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h</m:t>
                                </m:r>
                              </m:e>
                              <m:sub>
                                <m:r>
                                  <a:rPr lang="en-US" sz="1400" b="0" i="1" strike="sngStrike" baseline="0">
                                    <a:solidFill>
                                      <a:schemeClr val="bg1">
                                        <a:lumMod val="75000"/>
                                      </a:schemeClr>
                                    </a:solidFill>
                                    <a:latin typeface="Cambria Math" panose="02040503050406030204" pitchFamily="18" charset="0"/>
                                  </a:rPr>
                                  <m:t>h𝑠</m:t>
                                </m:r>
                              </m:sub>
                            </m:sSub>
                          </m:num>
                          <m:den>
                            <m:r>
                              <a:rPr lang="en-US" sz="1400" b="0" i="1" strike="sngStrike" baseline="0">
                                <a:solidFill>
                                  <a:schemeClr val="bg1">
                                    <a:lumMod val="75000"/>
                                  </a:schemeClr>
                                </a:solidFill>
                                <a:latin typeface="Cambria Math" panose="02040503050406030204" pitchFamily="18" charset="0"/>
                              </a:rPr>
                              <m:t>𝐷𝑎𝑦</m:t>
                            </m:r>
                          </m:den>
                        </m:f>
                      </m:e>
                    </m:d>
                    <m:r>
                      <a:rPr lang="en-US" sz="1400" b="0" i="1" strike="sngStrike" baseline="0">
                        <a:solidFill>
                          <a:schemeClr val="bg1">
                            <a:lumMod val="75000"/>
                          </a:schemeClr>
                        </a:solidFill>
                        <a:latin typeface="Cambria Math" panose="02040503050406030204" pitchFamily="18" charset="0"/>
                      </a:rPr>
                      <m:t>=</m:t>
                    </m:r>
                    <m:f>
                      <m:fPr>
                        <m:ctrlPr>
                          <a:rPr lang="en-US" sz="1400" b="0" i="1" strike="sngStrike" baseline="0">
                            <a:solidFill>
                              <a:schemeClr val="bg1">
                                <a:lumMod val="75000"/>
                              </a:schemeClr>
                            </a:solidFill>
                            <a:latin typeface="Cambria Math" panose="02040503050406030204" pitchFamily="18" charset="0"/>
                          </a:rPr>
                        </m:ctrlPr>
                      </m:fPr>
                      <m:num>
                        <m:r>
                          <a:rPr lang="en-US" sz="1400" b="0" i="1" strike="sngStrike" baseline="0">
                            <a:solidFill>
                              <a:schemeClr val="bg1">
                                <a:lumMod val="75000"/>
                              </a:schemeClr>
                            </a:solidFill>
                            <a:latin typeface="Cambria Math" panose="02040503050406030204" pitchFamily="18" charset="0"/>
                          </a:rPr>
                          <m:t>𝑅</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𝑇</m:t>
                            </m:r>
                          </m:e>
                          <m:sub>
                            <m:r>
                              <a:rPr lang="en-US" sz="1400" b="0" i="1" strike="sngStrike" baseline="0">
                                <a:solidFill>
                                  <a:schemeClr val="bg1">
                                    <a:lumMod val="75000"/>
                                  </a:schemeClr>
                                </a:solidFill>
                                <a:latin typeface="Cambria Math" panose="02040503050406030204" pitchFamily="18" charset="0"/>
                              </a:rPr>
                              <m:t>h𝑠</m:t>
                            </m:r>
                          </m:sub>
                        </m:sSub>
                        <m:r>
                          <a:rPr lang="en-US" sz="1400" b="0" i="1" strike="sngStrike" baseline="0">
                            <a:solidFill>
                              <a:schemeClr val="bg1">
                                <a:lumMod val="75000"/>
                              </a:schemeClr>
                            </a:solidFill>
                            <a:latin typeface="Cambria Math" panose="02040503050406030204" pitchFamily="18" charset="0"/>
                          </a:rPr>
                          <m:t>∗</m:t>
                        </m:r>
                        <m:r>
                          <a:rPr lang="en-US" sz="1400" b="0" i="1" strike="sngStrike" baseline="0">
                            <a:solidFill>
                              <a:schemeClr val="bg1">
                                <a:lumMod val="75000"/>
                              </a:schemeClr>
                            </a:solidFill>
                            <a:latin typeface="Cambria Math" panose="02040503050406030204" pitchFamily="18" charset="0"/>
                          </a:rPr>
                          <m:t>𝐺𝑃</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𝑀</m:t>
                            </m:r>
                          </m:e>
                          <m:sub>
                            <m:r>
                              <a:rPr lang="en-US" sz="1400" b="0" i="1" strike="sngStrike" baseline="0">
                                <a:solidFill>
                                  <a:schemeClr val="bg1">
                                    <a:lumMod val="75000"/>
                                  </a:schemeClr>
                                </a:solidFill>
                                <a:latin typeface="Cambria Math" panose="02040503050406030204" pitchFamily="18" charset="0"/>
                              </a:rPr>
                              <m:t>h𝑠</m:t>
                            </m:r>
                          </m:sub>
                        </m:sSub>
                        <m:r>
                          <a:rPr lang="en-US" sz="1400" b="0" i="1" strike="sngStrike" baseline="0">
                            <a:solidFill>
                              <a:schemeClr val="bg1">
                                <a:lumMod val="75000"/>
                              </a:schemeClr>
                            </a:solidFill>
                            <a:latin typeface="Cambria Math" panose="02040503050406030204" pitchFamily="18" charset="0"/>
                          </a:rPr>
                          <m:t>∗60</m:t>
                        </m:r>
                      </m:num>
                      <m:den>
                        <m:r>
                          <a:rPr lang="en-US" sz="1400" b="0" i="1" strike="sngStrike" baseline="0">
                            <a:solidFill>
                              <a:schemeClr val="bg1">
                                <a:lumMod val="75000"/>
                              </a:schemeClr>
                            </a:solidFill>
                            <a:latin typeface="Cambria Math" panose="02040503050406030204" pitchFamily="18" charset="0"/>
                          </a:rPr>
                          <m:t>𝐸</m:t>
                        </m:r>
                        <m:sSub>
                          <m:sSubPr>
                            <m:ctrlPr>
                              <a:rPr lang="en-US" sz="1400" b="0" i="1" strike="sngStrike" baseline="0">
                                <a:solidFill>
                                  <a:schemeClr val="bg1">
                                    <a:lumMod val="75000"/>
                                  </a:schemeClr>
                                </a:solidFill>
                                <a:latin typeface="Cambria Math" panose="02040503050406030204" pitchFamily="18" charset="0"/>
                              </a:rPr>
                            </m:ctrlPr>
                          </m:sSubPr>
                          <m:e>
                            <m:r>
                              <a:rPr lang="en-US" sz="1400" b="0" i="1" strike="sngStrike" baseline="0">
                                <a:solidFill>
                                  <a:schemeClr val="bg1">
                                    <a:lumMod val="75000"/>
                                  </a:schemeClr>
                                </a:solidFill>
                                <a:latin typeface="Cambria Math" panose="02040503050406030204" pitchFamily="18" charset="0"/>
                              </a:rPr>
                              <m:t>𝐹</m:t>
                            </m:r>
                          </m:e>
                          <m:sub>
                            <m:r>
                              <a:rPr lang="en-US" sz="1400" b="0" i="1" strike="sngStrike" baseline="0">
                                <a:solidFill>
                                  <a:schemeClr val="bg1">
                                    <a:lumMod val="75000"/>
                                  </a:schemeClr>
                                </a:solidFill>
                                <a:latin typeface="Cambria Math" panose="02040503050406030204" pitchFamily="18" charset="0"/>
                              </a:rPr>
                              <m:t>h𝑠</m:t>
                            </m:r>
                          </m:sub>
                        </m:sSub>
                        <m:r>
                          <a:rPr lang="en-US" sz="1400" b="0" i="1" strike="sngStrike" baseline="0">
                            <a:solidFill>
                              <a:schemeClr val="bg1">
                                <a:lumMod val="75000"/>
                              </a:schemeClr>
                            </a:solidFill>
                            <a:latin typeface="Cambria Math" panose="02040503050406030204" pitchFamily="18" charset="0"/>
                          </a:rPr>
                          <m:t>∗1000</m:t>
                        </m:r>
                      </m:den>
                    </m:f>
                  </m:oMath>
                </m:oMathPara>
              </a14:m>
              <a:endParaRPr lang="en-US" sz="1400" strike="sngStrike" baseline="0">
                <a:solidFill>
                  <a:schemeClr val="bg1">
                    <a:lumMod val="75000"/>
                  </a:schemeClr>
                </a:solidFill>
              </a:endParaRPr>
            </a:p>
          </xdr:txBody>
        </xdr:sp>
      </mc:Choice>
      <mc:Fallback xmlns="">
        <xdr:sp macro="" textlink="">
          <xdr:nvSpPr>
            <xdr:cNvPr id="79" name="TextBox 78">
              <a:extLst>
                <a:ext uri="{FF2B5EF4-FFF2-40B4-BE49-F238E27FC236}">
                  <a16:creationId xmlns:a16="http://schemas.microsoft.com/office/drawing/2014/main" id="{B0F9A142-491D-4C5F-8841-5DB7DE74766A}"/>
                </a:ext>
              </a:extLst>
            </xdr:cNvPr>
            <xdr:cNvSpPr txBox="1"/>
          </xdr:nvSpPr>
          <xdr:spPr>
            <a:xfrm>
              <a:off x="9873203" y="117050368"/>
              <a:ext cx="4563488" cy="51890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strike="sngStrike" baseline="0">
                  <a:solidFill>
                    <a:schemeClr val="bg1">
                      <a:lumMod val="75000"/>
                    </a:schemeClr>
                  </a:solidFill>
                  <a:latin typeface="Cambria Math" panose="02040503050406030204" pitchFamily="18" charset="0"/>
                </a:rPr>
                <a:t>((𝑘𝑊ℎ_ℎ𝑠)/𝐷𝑎𝑦)=(𝑅𝑇_ℎ𝑠∗𝐺𝑃𝑀_ℎ𝑠∗60)/(𝐸𝐹_ℎ𝑠∗1000)</a:t>
              </a:r>
              <a:endParaRPr lang="en-US" sz="1400" strike="sngStrike" baseline="0">
                <a:solidFill>
                  <a:schemeClr val="bg1">
                    <a:lumMod val="75000"/>
                  </a:schemeClr>
                </a:solidFill>
              </a:endParaRPr>
            </a:p>
          </xdr:txBody>
        </xdr:sp>
      </mc:Fallback>
    </mc:AlternateContent>
    <xdr:clientData/>
  </xdr:twoCellAnchor>
  <xdr:twoCellAnchor>
    <xdr:from>
      <xdr:col>3</xdr:col>
      <xdr:colOff>864795</xdr:colOff>
      <xdr:row>557</xdr:row>
      <xdr:rowOff>112460</xdr:rowOff>
    </xdr:from>
    <xdr:to>
      <xdr:col>4</xdr:col>
      <xdr:colOff>4288977</xdr:colOff>
      <xdr:row>561</xdr:row>
      <xdr:rowOff>35251</xdr:rowOff>
    </xdr:to>
    <mc:AlternateContent xmlns:mc="http://schemas.openxmlformats.org/markup-compatibility/2006" xmlns:a14="http://schemas.microsoft.com/office/drawing/2010/main">
      <mc:Choice Requires="a14">
        <xdr:sp macro="" textlink="">
          <xdr:nvSpPr>
            <xdr:cNvPr id="80" name="TextBox 79">
              <a:extLst>
                <a:ext uri="{FF2B5EF4-FFF2-40B4-BE49-F238E27FC236}">
                  <a16:creationId xmlns:a16="http://schemas.microsoft.com/office/drawing/2014/main" id="{4556BE35-AE41-46B1-B2E7-3FB736FDE2EA}"/>
                </a:ext>
              </a:extLst>
            </xdr:cNvPr>
            <xdr:cNvSpPr txBox="1"/>
          </xdr:nvSpPr>
          <xdr:spPr>
            <a:xfrm>
              <a:off x="3082759" y="46866603"/>
              <a:ext cx="4744075" cy="630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200" i="1">
                        <a:solidFill>
                          <a:sysClr val="windowText" lastClr="000000"/>
                        </a:solidFill>
                        <a:latin typeface="Cambria Math" panose="02040503050406030204" pitchFamily="18" charset="0"/>
                        <a:ea typeface="Cambria Math" panose="02040503050406030204" pitchFamily="18" charset="0"/>
                      </a:rPr>
                      <m:t>∆</m:t>
                    </m:r>
                    <m:r>
                      <a:rPr lang="en-US" sz="1200" b="0" i="1">
                        <a:solidFill>
                          <a:sysClr val="windowText" lastClr="000000"/>
                        </a:solidFill>
                        <a:latin typeface="Cambria Math" panose="02040503050406030204" pitchFamily="18" charset="0"/>
                        <a:ea typeface="Cambria Math" panose="02040503050406030204" pitchFamily="18" charset="0"/>
                      </a:rPr>
                      <m:t>𝑘𝑊h</m:t>
                    </m:r>
                    <m:r>
                      <a:rPr lang="en-US" sz="1200" b="0" i="1">
                        <a:solidFill>
                          <a:sysClr val="windowText" lastClr="000000"/>
                        </a:solidFill>
                        <a:latin typeface="Cambria Math" panose="02040503050406030204" pitchFamily="18" charset="0"/>
                        <a:ea typeface="Cambria Math" panose="02040503050406030204" pitchFamily="18" charset="0"/>
                      </a:rPr>
                      <m:t>=</m:t>
                    </m:r>
                    <m:f>
                      <m:fPr>
                        <m:ctrlPr>
                          <a:rPr lang="en-US" sz="1200" i="1">
                            <a:solidFill>
                              <a:sysClr val="windowText" lastClr="000000"/>
                            </a:solidFill>
                            <a:effectLst/>
                            <a:latin typeface="Cambria Math" panose="02040503050406030204" pitchFamily="18" charset="0"/>
                            <a:ea typeface="+mn-ea"/>
                            <a:cs typeface="+mn-cs"/>
                          </a:rPr>
                        </m:ctrlPr>
                      </m:fPr>
                      <m:num>
                        <m:d>
                          <m:dPr>
                            <m:ctrlPr>
                              <a:rPr lang="en-US" sz="1200" i="1">
                                <a:solidFill>
                                  <a:sysClr val="windowText" lastClr="000000"/>
                                </a:solidFill>
                                <a:effectLst/>
                                <a:latin typeface="Cambria Math" panose="02040503050406030204" pitchFamily="18" charset="0"/>
                                <a:ea typeface="+mn-ea"/>
                                <a:cs typeface="+mn-cs"/>
                              </a:rPr>
                            </m:ctrlPr>
                          </m:dPr>
                          <m:e>
                            <m:r>
                              <a:rPr lang="en-US" sz="1200" i="1">
                                <a:solidFill>
                                  <a:sysClr val="windowText" lastClr="000000"/>
                                </a:solidFill>
                                <a:effectLst/>
                                <a:latin typeface="Cambria Math" panose="02040503050406030204" pitchFamily="18" charset="0"/>
                                <a:ea typeface="+mn-ea"/>
                                <a:cs typeface="+mn-cs"/>
                              </a:rPr>
                              <m:t>𝐺𝑎𝑙𝑙𝑜𝑛𝑠</m:t>
                            </m:r>
                            <m:r>
                              <a:rPr lang="en-US" sz="1200" i="1">
                                <a:solidFill>
                                  <a:sysClr val="windowText" lastClr="000000"/>
                                </a:solidFill>
                                <a:effectLst/>
                                <a:latin typeface="Cambria Math" panose="02040503050406030204" pitchFamily="18" charset="0"/>
                                <a:ea typeface="+mn-ea"/>
                                <a:cs typeface="+mn-cs"/>
                              </a:rPr>
                              <m:t>∗</m:t>
                            </m:r>
                            <m:r>
                              <a:rPr lang="en-US" sz="1200" i="1">
                                <a:solidFill>
                                  <a:sysClr val="windowText" lastClr="000000"/>
                                </a:solidFill>
                                <a:effectLst/>
                                <a:latin typeface="Cambria Math" panose="02040503050406030204" pitchFamily="18" charset="0"/>
                                <a:ea typeface="+mn-ea"/>
                                <a:cs typeface="+mn-cs"/>
                              </a:rPr>
                              <m:t>𝑇𝑢𝑟𝑛𝑜𝑣𝑒𝑟𝑠</m:t>
                            </m:r>
                            <m:r>
                              <a:rPr lang="en-US" sz="1200" i="1">
                                <a:solidFill>
                                  <a:sysClr val="windowText" lastClr="000000"/>
                                </a:solidFill>
                                <a:effectLst/>
                                <a:latin typeface="Cambria Math" panose="02040503050406030204" pitchFamily="18" charset="0"/>
                                <a:ea typeface="+mn-ea"/>
                                <a:cs typeface="+mn-cs"/>
                              </a:rPr>
                              <m:t>∗</m:t>
                            </m:r>
                            <m:d>
                              <m:dPr>
                                <m:ctrlPr>
                                  <a:rPr lang="en-US" sz="1200" i="1">
                                    <a:solidFill>
                                      <a:sysClr val="windowText" lastClr="000000"/>
                                    </a:solidFill>
                                    <a:effectLst/>
                                    <a:latin typeface="Cambria Math" panose="02040503050406030204" pitchFamily="18" charset="0"/>
                                    <a:ea typeface="+mn-ea"/>
                                    <a:cs typeface="+mn-cs"/>
                                  </a:rPr>
                                </m:ctrlPr>
                              </m:dPr>
                              <m:e>
                                <m:f>
                                  <m:fPr>
                                    <m:ctrlPr>
                                      <a:rPr lang="en-US" sz="1200" i="1">
                                        <a:solidFill>
                                          <a:sysClr val="windowText" lastClr="000000"/>
                                        </a:solidFill>
                                        <a:effectLst/>
                                        <a:latin typeface="Cambria Math" panose="02040503050406030204" pitchFamily="18" charset="0"/>
                                        <a:ea typeface="+mn-ea"/>
                                        <a:cs typeface="+mn-cs"/>
                                      </a:rPr>
                                    </m:ctrlPr>
                                  </m:fPr>
                                  <m:num>
                                    <m:r>
                                      <a:rPr lang="en-US" sz="1200" i="1">
                                        <a:solidFill>
                                          <a:sysClr val="windowText" lastClr="000000"/>
                                        </a:solidFill>
                                        <a:effectLst/>
                                        <a:latin typeface="Cambria Math" panose="02040503050406030204" pitchFamily="18" charset="0"/>
                                        <a:ea typeface="+mn-ea"/>
                                        <a:cs typeface="+mn-cs"/>
                                      </a:rPr>
                                      <m:t>1</m:t>
                                    </m:r>
                                  </m:num>
                                  <m:den>
                                    <m:r>
                                      <a:rPr lang="en-US" sz="1200" i="1">
                                        <a:solidFill>
                                          <a:sysClr val="windowText" lastClr="000000"/>
                                        </a:solidFill>
                                        <a:effectLst/>
                                        <a:latin typeface="Cambria Math" panose="02040503050406030204" pitchFamily="18" charset="0"/>
                                        <a:ea typeface="+mn-ea"/>
                                        <a:cs typeface="+mn-cs"/>
                                      </a:rPr>
                                      <m:t>𝑊𝐸</m:t>
                                    </m:r>
                                    <m:sSub>
                                      <m:sSubPr>
                                        <m:ctrlPr>
                                          <a:rPr lang="en-US" sz="1200" i="1">
                                            <a:solidFill>
                                              <a:sysClr val="windowText" lastClr="000000"/>
                                            </a:solidFill>
                                            <a:effectLst/>
                                            <a:latin typeface="Cambria Math" panose="02040503050406030204" pitchFamily="18" charset="0"/>
                                            <a:ea typeface="+mn-ea"/>
                                            <a:cs typeface="+mn-cs"/>
                                          </a:rPr>
                                        </m:ctrlPr>
                                      </m:sSubPr>
                                      <m:e>
                                        <m:r>
                                          <a:rPr lang="en-US" sz="1200" i="1">
                                            <a:solidFill>
                                              <a:sysClr val="windowText" lastClr="000000"/>
                                            </a:solidFill>
                                            <a:effectLst/>
                                            <a:latin typeface="Cambria Math" panose="02040503050406030204" pitchFamily="18" charset="0"/>
                                            <a:ea typeface="+mn-ea"/>
                                            <a:cs typeface="+mn-cs"/>
                                          </a:rPr>
                                          <m:t>𝐹</m:t>
                                        </m:r>
                                      </m:e>
                                      <m:sub>
                                        <m:r>
                                          <a:rPr lang="en-US" sz="1200" i="1">
                                            <a:solidFill>
                                              <a:sysClr val="windowText" lastClr="000000"/>
                                            </a:solidFill>
                                            <a:effectLst/>
                                            <a:latin typeface="Cambria Math" panose="02040503050406030204" pitchFamily="18" charset="0"/>
                                            <a:ea typeface="+mn-ea"/>
                                            <a:cs typeface="+mn-cs"/>
                                          </a:rPr>
                                          <m:t>𝑏𝑎𝑠𝑒</m:t>
                                        </m:r>
                                      </m:sub>
                                    </m:sSub>
                                  </m:den>
                                </m:f>
                                <m:r>
                                  <a:rPr lang="en-US" sz="1200" i="1">
                                    <a:solidFill>
                                      <a:sysClr val="windowText" lastClr="000000"/>
                                    </a:solidFill>
                                    <a:effectLst/>
                                    <a:latin typeface="Cambria Math" panose="02040503050406030204" pitchFamily="18" charset="0"/>
                                    <a:ea typeface="+mn-ea"/>
                                    <a:cs typeface="+mn-cs"/>
                                  </a:rPr>
                                  <m:t>−</m:t>
                                </m:r>
                                <m:f>
                                  <m:fPr>
                                    <m:ctrlPr>
                                      <a:rPr lang="en-US" sz="1200" i="1">
                                        <a:solidFill>
                                          <a:sysClr val="windowText" lastClr="000000"/>
                                        </a:solidFill>
                                        <a:effectLst/>
                                        <a:latin typeface="Cambria Math" panose="02040503050406030204" pitchFamily="18" charset="0"/>
                                        <a:ea typeface="+mn-ea"/>
                                        <a:cs typeface="+mn-cs"/>
                                      </a:rPr>
                                    </m:ctrlPr>
                                  </m:fPr>
                                  <m:num>
                                    <m:r>
                                      <a:rPr lang="en-US" sz="1200" i="1">
                                        <a:solidFill>
                                          <a:sysClr val="windowText" lastClr="000000"/>
                                        </a:solidFill>
                                        <a:effectLst/>
                                        <a:latin typeface="Cambria Math" panose="02040503050406030204" pitchFamily="18" charset="0"/>
                                        <a:ea typeface="+mn-ea"/>
                                        <a:cs typeface="+mn-cs"/>
                                      </a:rPr>
                                      <m:t>1</m:t>
                                    </m:r>
                                  </m:num>
                                  <m:den>
                                    <m:r>
                                      <a:rPr lang="en-US" sz="1200" i="1">
                                        <a:solidFill>
                                          <a:sysClr val="windowText" lastClr="000000"/>
                                        </a:solidFill>
                                        <a:effectLst/>
                                        <a:latin typeface="Cambria Math" panose="02040503050406030204" pitchFamily="18" charset="0"/>
                                        <a:ea typeface="+mn-ea"/>
                                        <a:cs typeface="+mn-cs"/>
                                      </a:rPr>
                                      <m:t>𝑊𝐸</m:t>
                                    </m:r>
                                    <m:sSub>
                                      <m:sSubPr>
                                        <m:ctrlPr>
                                          <a:rPr lang="en-US" sz="1200" i="1">
                                            <a:solidFill>
                                              <a:sysClr val="windowText" lastClr="000000"/>
                                            </a:solidFill>
                                            <a:effectLst/>
                                            <a:latin typeface="Cambria Math" panose="02040503050406030204" pitchFamily="18" charset="0"/>
                                            <a:ea typeface="+mn-ea"/>
                                            <a:cs typeface="+mn-cs"/>
                                          </a:rPr>
                                        </m:ctrlPr>
                                      </m:sSubPr>
                                      <m:e>
                                        <m:r>
                                          <a:rPr lang="en-US" sz="1200" i="1">
                                            <a:solidFill>
                                              <a:sysClr val="windowText" lastClr="000000"/>
                                            </a:solidFill>
                                            <a:effectLst/>
                                            <a:latin typeface="Cambria Math" panose="02040503050406030204" pitchFamily="18" charset="0"/>
                                            <a:ea typeface="+mn-ea"/>
                                            <a:cs typeface="+mn-cs"/>
                                          </a:rPr>
                                          <m:t>𝐹</m:t>
                                        </m:r>
                                      </m:e>
                                      <m:sub>
                                        <m:r>
                                          <a:rPr lang="en-US" sz="1200" b="0" i="1">
                                            <a:solidFill>
                                              <a:sysClr val="windowText" lastClr="000000"/>
                                            </a:solidFill>
                                            <a:effectLst/>
                                            <a:latin typeface="Cambria Math" panose="02040503050406030204" pitchFamily="18" charset="0"/>
                                            <a:ea typeface="+mn-ea"/>
                                            <a:cs typeface="+mn-cs"/>
                                          </a:rPr>
                                          <m:t>𝑒𝑒</m:t>
                                        </m:r>
                                      </m:sub>
                                    </m:sSub>
                                  </m:den>
                                </m:f>
                              </m:e>
                            </m:d>
                            <m:r>
                              <a:rPr lang="en-US" sz="1200" i="1">
                                <a:solidFill>
                                  <a:sysClr val="windowText" lastClr="000000"/>
                                </a:solidFill>
                                <a:effectLst/>
                                <a:latin typeface="Cambria Math" panose="02040503050406030204" pitchFamily="18" charset="0"/>
                                <a:ea typeface="+mn-ea"/>
                                <a:cs typeface="+mn-cs"/>
                              </a:rPr>
                              <m:t>∗</m:t>
                            </m:r>
                            <m:r>
                              <a:rPr lang="en-US" sz="1200" i="1">
                                <a:solidFill>
                                  <a:sysClr val="windowText" lastClr="000000"/>
                                </a:solidFill>
                                <a:effectLst/>
                                <a:latin typeface="Cambria Math" panose="02040503050406030204" pitchFamily="18" charset="0"/>
                                <a:ea typeface="+mn-ea"/>
                                <a:cs typeface="+mn-cs"/>
                              </a:rPr>
                              <m:t>𝐷𝑎𝑦𝑠</m:t>
                            </m:r>
                          </m:e>
                        </m:d>
                      </m:num>
                      <m:den>
                        <m:r>
                          <a:rPr lang="en-US" sz="1200" i="1">
                            <a:solidFill>
                              <a:sysClr val="windowText" lastClr="000000"/>
                            </a:solidFill>
                            <a:effectLst/>
                            <a:latin typeface="Cambria Math" panose="02040503050406030204" pitchFamily="18" charset="0"/>
                            <a:ea typeface="+mn-ea"/>
                            <a:cs typeface="+mn-cs"/>
                          </a:rPr>
                          <m:t>1,000</m:t>
                        </m:r>
                      </m:den>
                    </m:f>
                  </m:oMath>
                </m:oMathPara>
              </a14:m>
              <a:endParaRPr lang="en-US" sz="1200">
                <a:solidFill>
                  <a:sysClr val="windowText" lastClr="000000"/>
                </a:solidFill>
                <a:effectLst/>
                <a:latin typeface="+mn-lt"/>
                <a:ea typeface="+mn-ea"/>
                <a:cs typeface="+mn-cs"/>
              </a:endParaRPr>
            </a:p>
            <a:p>
              <a:endParaRPr lang="en-US" sz="1200">
                <a:solidFill>
                  <a:sysClr val="windowText" lastClr="000000"/>
                </a:solidFill>
              </a:endParaRPr>
            </a:p>
          </xdr:txBody>
        </xdr:sp>
      </mc:Choice>
      <mc:Fallback xmlns="">
        <xdr:sp macro="" textlink="">
          <xdr:nvSpPr>
            <xdr:cNvPr id="80" name="TextBox 79">
              <a:extLst>
                <a:ext uri="{FF2B5EF4-FFF2-40B4-BE49-F238E27FC236}">
                  <a16:creationId xmlns:a16="http://schemas.microsoft.com/office/drawing/2014/main" id="{4556BE35-AE41-46B1-B2E7-3FB736FDE2EA}"/>
                </a:ext>
              </a:extLst>
            </xdr:cNvPr>
            <xdr:cNvSpPr txBox="1"/>
          </xdr:nvSpPr>
          <xdr:spPr>
            <a:xfrm>
              <a:off x="3089275" y="118020754"/>
              <a:ext cx="4725745" cy="63996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200" i="0">
                  <a:solidFill>
                    <a:sysClr val="windowText" lastClr="000000"/>
                  </a:solidFill>
                  <a:latin typeface="Cambria Math" panose="02040503050406030204" pitchFamily="18" charset="0"/>
                  <a:ea typeface="Cambria Math" panose="02040503050406030204" pitchFamily="18" charset="0"/>
                </a:rPr>
                <a:t>∆</a:t>
              </a:r>
              <a:r>
                <a:rPr lang="en-US" sz="1200" b="0" i="0">
                  <a:solidFill>
                    <a:sysClr val="windowText" lastClr="000000"/>
                  </a:solidFill>
                  <a:latin typeface="Cambria Math" panose="02040503050406030204" pitchFamily="18" charset="0"/>
                  <a:ea typeface="Cambria Math" panose="02040503050406030204" pitchFamily="18" charset="0"/>
                </a:rPr>
                <a:t>𝑘𝑊ℎ=</a:t>
              </a:r>
              <a:r>
                <a:rPr lang="en-US" sz="1200" i="0">
                  <a:solidFill>
                    <a:sysClr val="windowText" lastClr="000000"/>
                  </a:solidFill>
                  <a:effectLst/>
                  <a:latin typeface="Cambria Math" panose="02040503050406030204" pitchFamily="18" charset="0"/>
                  <a:ea typeface="+mn-ea"/>
                  <a:cs typeface="+mn-cs"/>
                </a:rPr>
                <a:t>((𝐺𝑎𝑙𝑙𝑜𝑛𝑠∗𝑇𝑢𝑟𝑛𝑜𝑣𝑒𝑟𝑠∗(1/(𝑊𝐸𝐹_𝑏𝑎𝑠𝑒 )−1/(𝑊𝐸𝐹_</a:t>
              </a:r>
              <a:r>
                <a:rPr lang="en-US" sz="1200" b="0" i="0">
                  <a:solidFill>
                    <a:sysClr val="windowText" lastClr="000000"/>
                  </a:solidFill>
                  <a:effectLst/>
                  <a:latin typeface="Cambria Math" panose="02040503050406030204" pitchFamily="18" charset="0"/>
                  <a:ea typeface="+mn-ea"/>
                  <a:cs typeface="+mn-cs"/>
                </a:rPr>
                <a:t>𝑒𝑒 ))</a:t>
              </a:r>
              <a:r>
                <a:rPr lang="en-US" sz="1200" i="0">
                  <a:solidFill>
                    <a:sysClr val="windowText" lastClr="000000"/>
                  </a:solidFill>
                  <a:effectLst/>
                  <a:latin typeface="Cambria Math" panose="02040503050406030204" pitchFamily="18" charset="0"/>
                  <a:ea typeface="+mn-ea"/>
                  <a:cs typeface="+mn-cs"/>
                </a:rPr>
                <a:t>∗𝐷𝑎𝑦𝑠))/1,000</a:t>
              </a:r>
              <a:endParaRPr lang="en-US" sz="1200">
                <a:solidFill>
                  <a:sysClr val="windowText" lastClr="000000"/>
                </a:solidFill>
                <a:effectLst/>
                <a:latin typeface="+mn-lt"/>
                <a:ea typeface="+mn-ea"/>
                <a:cs typeface="+mn-cs"/>
              </a:endParaRPr>
            </a:p>
            <a:p>
              <a:endParaRPr lang="en-US" sz="1200">
                <a:solidFill>
                  <a:sysClr val="windowText" lastClr="000000"/>
                </a:solidFill>
              </a:endParaRPr>
            </a:p>
          </xdr:txBody>
        </xdr:sp>
      </mc:Fallback>
    </mc:AlternateContent>
    <xdr:clientData/>
  </xdr:twoCellAnchor>
  <xdr:twoCellAnchor>
    <xdr:from>
      <xdr:col>6</xdr:col>
      <xdr:colOff>244100</xdr:colOff>
      <xdr:row>557</xdr:row>
      <xdr:rowOff>164006</xdr:rowOff>
    </xdr:from>
    <xdr:to>
      <xdr:col>10</xdr:col>
      <xdr:colOff>441416</xdr:colOff>
      <xdr:row>561</xdr:row>
      <xdr:rowOff>88702</xdr:rowOff>
    </xdr:to>
    <mc:AlternateContent xmlns:mc="http://schemas.openxmlformats.org/markup-compatibility/2006" xmlns:a14="http://schemas.microsoft.com/office/drawing/2010/main">
      <mc:Choice Requires="a14">
        <xdr:sp macro="" textlink="">
          <xdr:nvSpPr>
            <xdr:cNvPr id="81" name="TextBox 80">
              <a:extLst>
                <a:ext uri="{FF2B5EF4-FFF2-40B4-BE49-F238E27FC236}">
                  <a16:creationId xmlns:a16="http://schemas.microsoft.com/office/drawing/2014/main" id="{3FAA9676-D1CC-4EB8-84C0-24AC6B567BA5}"/>
                </a:ext>
              </a:extLst>
            </xdr:cNvPr>
            <xdr:cNvSpPr txBox="1"/>
          </xdr:nvSpPr>
          <xdr:spPr>
            <a:xfrm>
              <a:off x="9279243" y="46918149"/>
              <a:ext cx="4810137" cy="63226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200" i="1">
                        <a:solidFill>
                          <a:sysClr val="windowText" lastClr="000000"/>
                        </a:solidFill>
                        <a:latin typeface="Cambria Math" panose="02040503050406030204" pitchFamily="18" charset="0"/>
                        <a:ea typeface="Cambria Math" panose="02040503050406030204" pitchFamily="18" charset="0"/>
                      </a:rPr>
                      <m:t>∆</m:t>
                    </m:r>
                    <m:r>
                      <a:rPr lang="en-US" sz="1200" b="0" i="1">
                        <a:solidFill>
                          <a:sysClr val="windowText" lastClr="000000"/>
                        </a:solidFill>
                        <a:latin typeface="Cambria Math" panose="02040503050406030204" pitchFamily="18" charset="0"/>
                        <a:ea typeface="Cambria Math" panose="02040503050406030204" pitchFamily="18" charset="0"/>
                      </a:rPr>
                      <m:t>𝑘𝑊h</m:t>
                    </m:r>
                    <m:r>
                      <a:rPr lang="en-US" sz="1200" b="0" i="1">
                        <a:solidFill>
                          <a:sysClr val="windowText" lastClr="000000"/>
                        </a:solidFill>
                        <a:latin typeface="Cambria Math" panose="02040503050406030204" pitchFamily="18" charset="0"/>
                        <a:ea typeface="Cambria Math" panose="02040503050406030204" pitchFamily="18" charset="0"/>
                      </a:rPr>
                      <m:t>=</m:t>
                    </m:r>
                    <m:f>
                      <m:fPr>
                        <m:ctrlPr>
                          <a:rPr lang="en-US" sz="1200" i="1">
                            <a:solidFill>
                              <a:sysClr val="windowText" lastClr="000000"/>
                            </a:solidFill>
                            <a:effectLst/>
                            <a:latin typeface="Cambria Math" panose="02040503050406030204" pitchFamily="18" charset="0"/>
                            <a:ea typeface="+mn-ea"/>
                            <a:cs typeface="+mn-cs"/>
                          </a:rPr>
                        </m:ctrlPr>
                      </m:fPr>
                      <m:num>
                        <m:d>
                          <m:dPr>
                            <m:ctrlPr>
                              <a:rPr lang="en-US" sz="1200" i="1">
                                <a:solidFill>
                                  <a:sysClr val="windowText" lastClr="000000"/>
                                </a:solidFill>
                                <a:effectLst/>
                                <a:latin typeface="Cambria Math" panose="02040503050406030204" pitchFamily="18" charset="0"/>
                                <a:ea typeface="+mn-ea"/>
                                <a:cs typeface="+mn-cs"/>
                              </a:rPr>
                            </m:ctrlPr>
                          </m:dPr>
                          <m:e>
                            <m:r>
                              <a:rPr lang="en-US" sz="1200" i="1">
                                <a:solidFill>
                                  <a:sysClr val="windowText" lastClr="000000"/>
                                </a:solidFill>
                                <a:effectLst/>
                                <a:latin typeface="Cambria Math" panose="02040503050406030204" pitchFamily="18" charset="0"/>
                                <a:ea typeface="+mn-ea"/>
                                <a:cs typeface="+mn-cs"/>
                              </a:rPr>
                              <m:t>𝐺𝑎𝑙𝑙𝑜𝑛𝑠</m:t>
                            </m:r>
                            <m:r>
                              <a:rPr lang="en-US" sz="1200" i="1">
                                <a:solidFill>
                                  <a:sysClr val="windowText" lastClr="000000"/>
                                </a:solidFill>
                                <a:effectLst/>
                                <a:latin typeface="Cambria Math" panose="02040503050406030204" pitchFamily="18" charset="0"/>
                                <a:ea typeface="+mn-ea"/>
                                <a:cs typeface="+mn-cs"/>
                              </a:rPr>
                              <m:t>∗</m:t>
                            </m:r>
                            <m:r>
                              <a:rPr lang="en-US" sz="1200" i="1">
                                <a:solidFill>
                                  <a:sysClr val="windowText" lastClr="000000"/>
                                </a:solidFill>
                                <a:effectLst/>
                                <a:latin typeface="Cambria Math" panose="02040503050406030204" pitchFamily="18" charset="0"/>
                                <a:ea typeface="+mn-ea"/>
                                <a:cs typeface="+mn-cs"/>
                              </a:rPr>
                              <m:t>𝑇𝑢𝑟𝑛𝑜𝑣𝑒𝑟𝑠</m:t>
                            </m:r>
                            <m:r>
                              <a:rPr lang="en-US" sz="1200" i="1">
                                <a:solidFill>
                                  <a:sysClr val="windowText" lastClr="000000"/>
                                </a:solidFill>
                                <a:effectLst/>
                                <a:latin typeface="Cambria Math" panose="02040503050406030204" pitchFamily="18" charset="0"/>
                                <a:ea typeface="+mn-ea"/>
                                <a:cs typeface="+mn-cs"/>
                              </a:rPr>
                              <m:t>∗</m:t>
                            </m:r>
                            <m:d>
                              <m:dPr>
                                <m:ctrlPr>
                                  <a:rPr lang="en-US" sz="1200" i="1">
                                    <a:solidFill>
                                      <a:sysClr val="windowText" lastClr="000000"/>
                                    </a:solidFill>
                                    <a:effectLst/>
                                    <a:latin typeface="Cambria Math" panose="02040503050406030204" pitchFamily="18" charset="0"/>
                                    <a:ea typeface="+mn-ea"/>
                                    <a:cs typeface="+mn-cs"/>
                                  </a:rPr>
                                </m:ctrlPr>
                              </m:dPr>
                              <m:e>
                                <m:f>
                                  <m:fPr>
                                    <m:ctrlPr>
                                      <a:rPr lang="en-US" sz="1200" i="1">
                                        <a:solidFill>
                                          <a:sysClr val="windowText" lastClr="000000"/>
                                        </a:solidFill>
                                        <a:effectLst/>
                                        <a:latin typeface="Cambria Math" panose="02040503050406030204" pitchFamily="18" charset="0"/>
                                        <a:ea typeface="+mn-ea"/>
                                        <a:cs typeface="+mn-cs"/>
                                      </a:rPr>
                                    </m:ctrlPr>
                                  </m:fPr>
                                  <m:num>
                                    <m:r>
                                      <a:rPr lang="en-US" sz="1200" i="1">
                                        <a:solidFill>
                                          <a:sysClr val="windowText" lastClr="000000"/>
                                        </a:solidFill>
                                        <a:effectLst/>
                                        <a:latin typeface="Cambria Math" panose="02040503050406030204" pitchFamily="18" charset="0"/>
                                        <a:ea typeface="+mn-ea"/>
                                        <a:cs typeface="+mn-cs"/>
                                      </a:rPr>
                                      <m:t>1</m:t>
                                    </m:r>
                                  </m:num>
                                  <m:den>
                                    <m:r>
                                      <a:rPr lang="en-US" sz="1200" i="1">
                                        <a:solidFill>
                                          <a:sysClr val="windowText" lastClr="000000"/>
                                        </a:solidFill>
                                        <a:effectLst/>
                                        <a:latin typeface="Cambria Math" panose="02040503050406030204" pitchFamily="18" charset="0"/>
                                        <a:ea typeface="+mn-ea"/>
                                        <a:cs typeface="+mn-cs"/>
                                      </a:rPr>
                                      <m:t>𝐸</m:t>
                                    </m:r>
                                    <m:sSub>
                                      <m:sSubPr>
                                        <m:ctrlPr>
                                          <a:rPr lang="en-US" sz="1200" i="1">
                                            <a:solidFill>
                                              <a:sysClr val="windowText" lastClr="000000"/>
                                            </a:solidFill>
                                            <a:effectLst/>
                                            <a:latin typeface="Cambria Math" panose="02040503050406030204" pitchFamily="18" charset="0"/>
                                            <a:ea typeface="+mn-ea"/>
                                            <a:cs typeface="+mn-cs"/>
                                          </a:rPr>
                                        </m:ctrlPr>
                                      </m:sSubPr>
                                      <m:e>
                                        <m:r>
                                          <a:rPr lang="en-US" sz="1200" i="1">
                                            <a:solidFill>
                                              <a:sysClr val="windowText" lastClr="000000"/>
                                            </a:solidFill>
                                            <a:effectLst/>
                                            <a:latin typeface="Cambria Math" panose="02040503050406030204" pitchFamily="18" charset="0"/>
                                            <a:ea typeface="+mn-ea"/>
                                            <a:cs typeface="+mn-cs"/>
                                          </a:rPr>
                                          <m:t>𝐹</m:t>
                                        </m:r>
                                      </m:e>
                                      <m:sub>
                                        <m:r>
                                          <a:rPr lang="en-US" sz="1200" i="1">
                                            <a:solidFill>
                                              <a:sysClr val="windowText" lastClr="000000"/>
                                            </a:solidFill>
                                            <a:effectLst/>
                                            <a:latin typeface="Cambria Math" panose="02040503050406030204" pitchFamily="18" charset="0"/>
                                            <a:ea typeface="+mn-ea"/>
                                            <a:cs typeface="+mn-cs"/>
                                          </a:rPr>
                                          <m:t>𝑒𝑥𝑖𝑠𝑡</m:t>
                                        </m:r>
                                      </m:sub>
                                    </m:sSub>
                                  </m:den>
                                </m:f>
                                <m:r>
                                  <a:rPr lang="en-US" sz="1200" i="1">
                                    <a:solidFill>
                                      <a:sysClr val="windowText" lastClr="000000"/>
                                    </a:solidFill>
                                    <a:effectLst/>
                                    <a:latin typeface="Cambria Math" panose="02040503050406030204" pitchFamily="18" charset="0"/>
                                    <a:ea typeface="+mn-ea"/>
                                    <a:cs typeface="+mn-cs"/>
                                  </a:rPr>
                                  <m:t>−</m:t>
                                </m:r>
                                <m:f>
                                  <m:fPr>
                                    <m:ctrlPr>
                                      <a:rPr lang="en-US" sz="1200" i="1">
                                        <a:solidFill>
                                          <a:sysClr val="windowText" lastClr="000000"/>
                                        </a:solidFill>
                                        <a:effectLst/>
                                        <a:latin typeface="Cambria Math" panose="02040503050406030204" pitchFamily="18" charset="0"/>
                                        <a:ea typeface="+mn-ea"/>
                                        <a:cs typeface="+mn-cs"/>
                                      </a:rPr>
                                    </m:ctrlPr>
                                  </m:fPr>
                                  <m:num>
                                    <m:r>
                                      <a:rPr lang="en-US" sz="1200" i="1">
                                        <a:solidFill>
                                          <a:sysClr val="windowText" lastClr="000000"/>
                                        </a:solidFill>
                                        <a:effectLst/>
                                        <a:latin typeface="Cambria Math" panose="02040503050406030204" pitchFamily="18" charset="0"/>
                                        <a:ea typeface="+mn-ea"/>
                                        <a:cs typeface="+mn-cs"/>
                                      </a:rPr>
                                      <m:t>1</m:t>
                                    </m:r>
                                  </m:num>
                                  <m:den>
                                    <m:r>
                                      <a:rPr lang="en-US" sz="1200" i="1">
                                        <a:solidFill>
                                          <a:sysClr val="windowText" lastClr="000000"/>
                                        </a:solidFill>
                                        <a:effectLst/>
                                        <a:latin typeface="Cambria Math" panose="02040503050406030204" pitchFamily="18" charset="0"/>
                                        <a:ea typeface="+mn-ea"/>
                                        <a:cs typeface="+mn-cs"/>
                                      </a:rPr>
                                      <m:t>𝑊𝐸</m:t>
                                    </m:r>
                                    <m:sSub>
                                      <m:sSubPr>
                                        <m:ctrlPr>
                                          <a:rPr lang="en-US" sz="1200" i="1">
                                            <a:solidFill>
                                              <a:sysClr val="windowText" lastClr="000000"/>
                                            </a:solidFill>
                                            <a:effectLst/>
                                            <a:latin typeface="Cambria Math" panose="02040503050406030204" pitchFamily="18" charset="0"/>
                                            <a:ea typeface="+mn-ea"/>
                                            <a:cs typeface="+mn-cs"/>
                                          </a:rPr>
                                        </m:ctrlPr>
                                      </m:sSubPr>
                                      <m:e>
                                        <m:r>
                                          <a:rPr lang="en-US" sz="1200" i="1">
                                            <a:solidFill>
                                              <a:sysClr val="windowText" lastClr="000000"/>
                                            </a:solidFill>
                                            <a:effectLst/>
                                            <a:latin typeface="Cambria Math" panose="02040503050406030204" pitchFamily="18" charset="0"/>
                                            <a:ea typeface="+mn-ea"/>
                                            <a:cs typeface="+mn-cs"/>
                                          </a:rPr>
                                          <m:t>𝐹</m:t>
                                        </m:r>
                                      </m:e>
                                      <m:sub>
                                        <m:r>
                                          <a:rPr lang="en-US" sz="1200" b="0" i="1">
                                            <a:solidFill>
                                              <a:sysClr val="windowText" lastClr="000000"/>
                                            </a:solidFill>
                                            <a:effectLst/>
                                            <a:latin typeface="Cambria Math" panose="02040503050406030204" pitchFamily="18" charset="0"/>
                                            <a:ea typeface="+mn-ea"/>
                                            <a:cs typeface="+mn-cs"/>
                                          </a:rPr>
                                          <m:t>𝑒𝑒</m:t>
                                        </m:r>
                                      </m:sub>
                                    </m:sSub>
                                  </m:den>
                                </m:f>
                              </m:e>
                            </m:d>
                            <m:r>
                              <a:rPr lang="en-US" sz="1200" i="1">
                                <a:solidFill>
                                  <a:sysClr val="windowText" lastClr="000000"/>
                                </a:solidFill>
                                <a:effectLst/>
                                <a:latin typeface="Cambria Math" panose="02040503050406030204" pitchFamily="18" charset="0"/>
                                <a:ea typeface="+mn-ea"/>
                                <a:cs typeface="+mn-cs"/>
                              </a:rPr>
                              <m:t>∗</m:t>
                            </m:r>
                            <m:r>
                              <a:rPr lang="en-US" sz="1200" i="1">
                                <a:solidFill>
                                  <a:sysClr val="windowText" lastClr="000000"/>
                                </a:solidFill>
                                <a:effectLst/>
                                <a:latin typeface="Cambria Math" panose="02040503050406030204" pitchFamily="18" charset="0"/>
                                <a:ea typeface="+mn-ea"/>
                                <a:cs typeface="+mn-cs"/>
                              </a:rPr>
                              <m:t>𝐷𝑎𝑦𝑠</m:t>
                            </m:r>
                          </m:e>
                        </m:d>
                      </m:num>
                      <m:den>
                        <m:r>
                          <a:rPr lang="en-US" sz="1200" i="1">
                            <a:solidFill>
                              <a:sysClr val="windowText" lastClr="000000"/>
                            </a:solidFill>
                            <a:effectLst/>
                            <a:latin typeface="Cambria Math" panose="02040503050406030204" pitchFamily="18" charset="0"/>
                            <a:ea typeface="+mn-ea"/>
                            <a:cs typeface="+mn-cs"/>
                          </a:rPr>
                          <m:t>1,000</m:t>
                        </m:r>
                      </m:den>
                    </m:f>
                  </m:oMath>
                </m:oMathPara>
              </a14:m>
              <a:endParaRPr lang="en-US" sz="1200">
                <a:solidFill>
                  <a:sysClr val="windowText" lastClr="000000"/>
                </a:solidFill>
                <a:effectLst/>
                <a:latin typeface="+mn-lt"/>
                <a:ea typeface="+mn-ea"/>
                <a:cs typeface="+mn-cs"/>
              </a:endParaRPr>
            </a:p>
            <a:p>
              <a:endParaRPr lang="en-US" sz="1200">
                <a:solidFill>
                  <a:sysClr val="windowText" lastClr="000000"/>
                </a:solidFill>
              </a:endParaRPr>
            </a:p>
          </xdr:txBody>
        </xdr:sp>
      </mc:Choice>
      <mc:Fallback xmlns="">
        <xdr:sp macro="" textlink="">
          <xdr:nvSpPr>
            <xdr:cNvPr id="81" name="TextBox 80">
              <a:extLst>
                <a:ext uri="{FF2B5EF4-FFF2-40B4-BE49-F238E27FC236}">
                  <a16:creationId xmlns:a16="http://schemas.microsoft.com/office/drawing/2014/main" id="{3FAA9676-D1CC-4EB8-84C0-24AC6B567BA5}"/>
                </a:ext>
              </a:extLst>
            </xdr:cNvPr>
            <xdr:cNvSpPr txBox="1"/>
          </xdr:nvSpPr>
          <xdr:spPr>
            <a:xfrm>
              <a:off x="9026694" y="140325470"/>
              <a:ext cx="4689306" cy="68669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200" i="0">
                  <a:solidFill>
                    <a:sysClr val="windowText" lastClr="000000"/>
                  </a:solidFill>
                  <a:latin typeface="Cambria Math" panose="02040503050406030204" pitchFamily="18" charset="0"/>
                  <a:ea typeface="Cambria Math" panose="02040503050406030204" pitchFamily="18" charset="0"/>
                </a:rPr>
                <a:t>∆</a:t>
              </a:r>
              <a:r>
                <a:rPr lang="en-US" sz="1200" b="0" i="0">
                  <a:solidFill>
                    <a:sysClr val="windowText" lastClr="000000"/>
                  </a:solidFill>
                  <a:latin typeface="Cambria Math" panose="02040503050406030204" pitchFamily="18" charset="0"/>
                  <a:ea typeface="Cambria Math" panose="02040503050406030204" pitchFamily="18" charset="0"/>
                </a:rPr>
                <a:t>𝑘𝑊ℎ=</a:t>
              </a:r>
              <a:r>
                <a:rPr lang="en-US" sz="1200" i="0">
                  <a:solidFill>
                    <a:sysClr val="windowText" lastClr="000000"/>
                  </a:solidFill>
                  <a:effectLst/>
                  <a:latin typeface="Cambria Math" panose="02040503050406030204" pitchFamily="18" charset="0"/>
                  <a:ea typeface="+mn-ea"/>
                  <a:cs typeface="+mn-cs"/>
                </a:rPr>
                <a:t>((𝐺𝑎𝑙𝑙𝑜𝑛𝑠∗𝑇𝑢𝑟𝑛𝑜𝑣𝑒𝑟𝑠∗(1/(𝐸𝐹_𝑒𝑥𝑖𝑠𝑡 )−1/(𝑊𝐸𝐹_</a:t>
              </a:r>
              <a:r>
                <a:rPr lang="en-US" sz="1200" b="0" i="0">
                  <a:solidFill>
                    <a:sysClr val="windowText" lastClr="000000"/>
                  </a:solidFill>
                  <a:effectLst/>
                  <a:latin typeface="Cambria Math" panose="02040503050406030204" pitchFamily="18" charset="0"/>
                  <a:ea typeface="+mn-ea"/>
                  <a:cs typeface="+mn-cs"/>
                </a:rPr>
                <a:t>𝑒𝑒 ))</a:t>
              </a:r>
              <a:r>
                <a:rPr lang="en-US" sz="1200" i="0">
                  <a:solidFill>
                    <a:sysClr val="windowText" lastClr="000000"/>
                  </a:solidFill>
                  <a:effectLst/>
                  <a:latin typeface="Cambria Math" panose="02040503050406030204" pitchFamily="18" charset="0"/>
                  <a:ea typeface="+mn-ea"/>
                  <a:cs typeface="+mn-cs"/>
                </a:rPr>
                <a:t>∗𝐷𝑎𝑦𝑠))/1,000</a:t>
              </a:r>
              <a:endParaRPr lang="en-US" sz="1200">
                <a:solidFill>
                  <a:sysClr val="windowText" lastClr="000000"/>
                </a:solidFill>
                <a:effectLst/>
                <a:latin typeface="+mn-lt"/>
                <a:ea typeface="+mn-ea"/>
                <a:cs typeface="+mn-cs"/>
              </a:endParaRPr>
            </a:p>
            <a:p>
              <a:endParaRPr lang="en-US" sz="1200">
                <a:solidFill>
                  <a:sysClr val="windowText" lastClr="000000"/>
                </a:solidFill>
              </a:endParaRPr>
            </a:p>
          </xdr:txBody>
        </xdr:sp>
      </mc:Fallback>
    </mc:AlternateContent>
    <xdr:clientData/>
  </xdr:twoCellAnchor>
  <xdr:twoCellAnchor>
    <xdr:from>
      <xdr:col>3</xdr:col>
      <xdr:colOff>971101</xdr:colOff>
      <xdr:row>561</xdr:row>
      <xdr:rowOff>162597</xdr:rowOff>
    </xdr:from>
    <xdr:to>
      <xdr:col>4</xdr:col>
      <xdr:colOff>2466134</xdr:colOff>
      <xdr:row>563</xdr:row>
      <xdr:rowOff>25663</xdr:rowOff>
    </xdr:to>
    <mc:AlternateContent xmlns:mc="http://schemas.openxmlformats.org/markup-compatibility/2006" xmlns:a14="http://schemas.microsoft.com/office/drawing/2010/main">
      <mc:Choice Requires="a14">
        <xdr:sp macro="" textlink="">
          <xdr:nvSpPr>
            <xdr:cNvPr id="82" name="TextBox 81">
              <a:extLst>
                <a:ext uri="{FF2B5EF4-FFF2-40B4-BE49-F238E27FC236}">
                  <a16:creationId xmlns:a16="http://schemas.microsoft.com/office/drawing/2014/main" id="{96FC4237-18FC-4E1D-B487-E0139077F9B3}"/>
                </a:ext>
              </a:extLst>
            </xdr:cNvPr>
            <xdr:cNvSpPr txBox="1"/>
          </xdr:nvSpPr>
          <xdr:spPr>
            <a:xfrm>
              <a:off x="3189065" y="47624311"/>
              <a:ext cx="2814926" cy="21685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82" name="TextBox 81">
              <a:extLst>
                <a:ext uri="{FF2B5EF4-FFF2-40B4-BE49-F238E27FC236}">
                  <a16:creationId xmlns:a16="http://schemas.microsoft.com/office/drawing/2014/main" id="{96FC4237-18FC-4E1D-B487-E0139077F9B3}"/>
                </a:ext>
              </a:extLst>
            </xdr:cNvPr>
            <xdr:cNvSpPr txBox="1"/>
          </xdr:nvSpPr>
          <xdr:spPr>
            <a:xfrm>
              <a:off x="3193676" y="118782353"/>
              <a:ext cx="2808026" cy="23308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oneCellAnchor>
    <xdr:from>
      <xdr:col>6</xdr:col>
      <xdr:colOff>2269331</xdr:colOff>
      <xdr:row>57</xdr:row>
      <xdr:rowOff>453627</xdr:rowOff>
    </xdr:from>
    <xdr:ext cx="65" cy="172227"/>
    <xdr:sp macro="" textlink="">
      <xdr:nvSpPr>
        <xdr:cNvPr id="83" name="TextBox 82">
          <a:extLst>
            <a:ext uri="{FF2B5EF4-FFF2-40B4-BE49-F238E27FC236}">
              <a16:creationId xmlns:a16="http://schemas.microsoft.com/office/drawing/2014/main" id="{CC31CCD5-8998-495E-B6B0-A541507DC276}"/>
            </a:ext>
          </a:extLst>
        </xdr:cNvPr>
        <xdr:cNvSpPr txBox="1"/>
      </xdr:nvSpPr>
      <xdr:spPr>
        <a:xfrm>
          <a:off x="11213306" y="36419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43</xdr:row>
      <xdr:rowOff>0</xdr:rowOff>
    </xdr:from>
    <xdr:ext cx="65" cy="172227"/>
    <xdr:sp macro="" textlink="">
      <xdr:nvSpPr>
        <xdr:cNvPr id="84" name="TextBox 83">
          <a:extLst>
            <a:ext uri="{FF2B5EF4-FFF2-40B4-BE49-F238E27FC236}">
              <a16:creationId xmlns:a16="http://schemas.microsoft.com/office/drawing/2014/main" id="{9895A9D3-06D6-4510-9310-FC1D29047061}"/>
            </a:ext>
          </a:extLst>
        </xdr:cNvPr>
        <xdr:cNvSpPr txBox="1"/>
      </xdr:nvSpPr>
      <xdr:spPr>
        <a:xfrm>
          <a:off x="13475213" y="9749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43</xdr:row>
      <xdr:rowOff>0</xdr:rowOff>
    </xdr:from>
    <xdr:ext cx="65" cy="172227"/>
    <xdr:sp macro="" textlink="">
      <xdr:nvSpPr>
        <xdr:cNvPr id="85" name="TextBox 84">
          <a:extLst>
            <a:ext uri="{FF2B5EF4-FFF2-40B4-BE49-F238E27FC236}">
              <a16:creationId xmlns:a16="http://schemas.microsoft.com/office/drawing/2014/main" id="{1A1BE94E-46C4-4F7D-8B25-6C866773392E}"/>
            </a:ext>
          </a:extLst>
        </xdr:cNvPr>
        <xdr:cNvSpPr txBox="1"/>
      </xdr:nvSpPr>
      <xdr:spPr>
        <a:xfrm>
          <a:off x="13475213" y="9749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57</xdr:row>
      <xdr:rowOff>453627</xdr:rowOff>
    </xdr:from>
    <xdr:ext cx="65" cy="172227"/>
    <xdr:sp macro="" textlink="">
      <xdr:nvSpPr>
        <xdr:cNvPr id="86" name="TextBox 85">
          <a:extLst>
            <a:ext uri="{FF2B5EF4-FFF2-40B4-BE49-F238E27FC236}">
              <a16:creationId xmlns:a16="http://schemas.microsoft.com/office/drawing/2014/main" id="{C5104CF9-FD2E-40EE-964A-9E0F4A08F1BE}"/>
            </a:ext>
          </a:extLst>
        </xdr:cNvPr>
        <xdr:cNvSpPr txBox="1"/>
      </xdr:nvSpPr>
      <xdr:spPr>
        <a:xfrm>
          <a:off x="11213306" y="36419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57</xdr:row>
      <xdr:rowOff>453627</xdr:rowOff>
    </xdr:from>
    <xdr:ext cx="65" cy="172227"/>
    <xdr:sp macro="" textlink="">
      <xdr:nvSpPr>
        <xdr:cNvPr id="87" name="TextBox 86">
          <a:extLst>
            <a:ext uri="{FF2B5EF4-FFF2-40B4-BE49-F238E27FC236}">
              <a16:creationId xmlns:a16="http://schemas.microsoft.com/office/drawing/2014/main" id="{42EB62EB-F4ED-4AED-8187-2843B146F7B1}"/>
            </a:ext>
          </a:extLst>
        </xdr:cNvPr>
        <xdr:cNvSpPr txBox="1"/>
      </xdr:nvSpPr>
      <xdr:spPr>
        <a:xfrm>
          <a:off x="11213306" y="36419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43</xdr:row>
      <xdr:rowOff>0</xdr:rowOff>
    </xdr:from>
    <xdr:ext cx="65" cy="172227"/>
    <xdr:sp macro="" textlink="">
      <xdr:nvSpPr>
        <xdr:cNvPr id="88" name="TextBox 87">
          <a:extLst>
            <a:ext uri="{FF2B5EF4-FFF2-40B4-BE49-F238E27FC236}">
              <a16:creationId xmlns:a16="http://schemas.microsoft.com/office/drawing/2014/main" id="{F529CF7A-1123-4716-819D-2B8CE71F3914}"/>
            </a:ext>
          </a:extLst>
        </xdr:cNvPr>
        <xdr:cNvSpPr txBox="1"/>
      </xdr:nvSpPr>
      <xdr:spPr>
        <a:xfrm>
          <a:off x="13475213" y="9749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43</xdr:row>
      <xdr:rowOff>0</xdr:rowOff>
    </xdr:from>
    <xdr:ext cx="65" cy="172227"/>
    <xdr:sp macro="" textlink="">
      <xdr:nvSpPr>
        <xdr:cNvPr id="89" name="TextBox 88">
          <a:extLst>
            <a:ext uri="{FF2B5EF4-FFF2-40B4-BE49-F238E27FC236}">
              <a16:creationId xmlns:a16="http://schemas.microsoft.com/office/drawing/2014/main" id="{AD130ED4-3286-436C-A1EE-0B82E8031AEA}"/>
            </a:ext>
          </a:extLst>
        </xdr:cNvPr>
        <xdr:cNvSpPr txBox="1"/>
      </xdr:nvSpPr>
      <xdr:spPr>
        <a:xfrm>
          <a:off x="13475213" y="9749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2269331</xdr:colOff>
      <xdr:row>57</xdr:row>
      <xdr:rowOff>453627</xdr:rowOff>
    </xdr:from>
    <xdr:to>
      <xdr:col>7</xdr:col>
      <xdr:colOff>7209</xdr:colOff>
      <xdr:row>58</xdr:row>
      <xdr:rowOff>173417</xdr:rowOff>
    </xdr:to>
    <xdr:sp macro="" textlink="">
      <xdr:nvSpPr>
        <xdr:cNvPr id="90" name="TextBox 89">
          <a:extLst>
            <a:ext uri="{FF2B5EF4-FFF2-40B4-BE49-F238E27FC236}">
              <a16:creationId xmlns:a16="http://schemas.microsoft.com/office/drawing/2014/main" id="{A45184DA-3181-413C-A799-207A8EAF73DB}"/>
            </a:ext>
          </a:extLst>
        </xdr:cNvPr>
        <xdr:cNvSpPr txBox="1"/>
      </xdr:nvSpPr>
      <xdr:spPr>
        <a:xfrm>
          <a:off x="11213306" y="3641912"/>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6</xdr:col>
      <xdr:colOff>2269331</xdr:colOff>
      <xdr:row>57</xdr:row>
      <xdr:rowOff>453627</xdr:rowOff>
    </xdr:from>
    <xdr:to>
      <xdr:col>7</xdr:col>
      <xdr:colOff>7209</xdr:colOff>
      <xdr:row>58</xdr:row>
      <xdr:rowOff>173417</xdr:rowOff>
    </xdr:to>
    <xdr:sp macro="" textlink="">
      <xdr:nvSpPr>
        <xdr:cNvPr id="91" name="TextBox 90">
          <a:extLst>
            <a:ext uri="{FF2B5EF4-FFF2-40B4-BE49-F238E27FC236}">
              <a16:creationId xmlns:a16="http://schemas.microsoft.com/office/drawing/2014/main" id="{6216F66F-3AE3-4245-98D7-3EE95C403949}"/>
            </a:ext>
          </a:extLst>
        </xdr:cNvPr>
        <xdr:cNvSpPr txBox="1"/>
      </xdr:nvSpPr>
      <xdr:spPr>
        <a:xfrm>
          <a:off x="11213306" y="3641912"/>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43</xdr:row>
      <xdr:rowOff>0</xdr:rowOff>
    </xdr:from>
    <xdr:to>
      <xdr:col>7</xdr:col>
      <xdr:colOff>2269396</xdr:colOff>
      <xdr:row>43</xdr:row>
      <xdr:rowOff>172227</xdr:rowOff>
    </xdr:to>
    <xdr:sp macro="" textlink="">
      <xdr:nvSpPr>
        <xdr:cNvPr id="92" name="TextBox 91">
          <a:extLst>
            <a:ext uri="{FF2B5EF4-FFF2-40B4-BE49-F238E27FC236}">
              <a16:creationId xmlns:a16="http://schemas.microsoft.com/office/drawing/2014/main" id="{1E4D24EC-87C2-49AD-838B-372E1480D35A}"/>
            </a:ext>
          </a:extLst>
        </xdr:cNvPr>
        <xdr:cNvSpPr txBox="1"/>
      </xdr:nvSpPr>
      <xdr:spPr>
        <a:xfrm>
          <a:off x="13475213" y="9749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43</xdr:row>
      <xdr:rowOff>0</xdr:rowOff>
    </xdr:from>
    <xdr:to>
      <xdr:col>7</xdr:col>
      <xdr:colOff>2269396</xdr:colOff>
      <xdr:row>43</xdr:row>
      <xdr:rowOff>172227</xdr:rowOff>
    </xdr:to>
    <xdr:sp macro="" textlink="">
      <xdr:nvSpPr>
        <xdr:cNvPr id="93" name="TextBox 92">
          <a:extLst>
            <a:ext uri="{FF2B5EF4-FFF2-40B4-BE49-F238E27FC236}">
              <a16:creationId xmlns:a16="http://schemas.microsoft.com/office/drawing/2014/main" id="{AB17D6EA-058A-4258-AD58-0187B57D1144}"/>
            </a:ext>
          </a:extLst>
        </xdr:cNvPr>
        <xdr:cNvSpPr txBox="1"/>
      </xdr:nvSpPr>
      <xdr:spPr>
        <a:xfrm>
          <a:off x="13475213" y="9749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26</xdr:col>
      <xdr:colOff>2269331</xdr:colOff>
      <xdr:row>41</xdr:row>
      <xdr:rowOff>0</xdr:rowOff>
    </xdr:from>
    <xdr:ext cx="65" cy="172227"/>
    <xdr:sp macro="" textlink="">
      <xdr:nvSpPr>
        <xdr:cNvPr id="95" name="TextBox 94">
          <a:extLst>
            <a:ext uri="{FF2B5EF4-FFF2-40B4-BE49-F238E27FC236}">
              <a16:creationId xmlns:a16="http://schemas.microsoft.com/office/drawing/2014/main" id="{48981567-4B14-4004-8216-8E64D0B2C032}"/>
            </a:ext>
          </a:extLst>
        </xdr:cNvPr>
        <xdr:cNvSpPr txBox="1"/>
      </xdr:nvSpPr>
      <xdr:spPr>
        <a:xfrm>
          <a:off x="33336519" y="56029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41</xdr:row>
      <xdr:rowOff>0</xdr:rowOff>
    </xdr:from>
    <xdr:ext cx="65" cy="172227"/>
    <xdr:sp macro="" textlink="">
      <xdr:nvSpPr>
        <xdr:cNvPr id="96" name="TextBox 95">
          <a:extLst>
            <a:ext uri="{FF2B5EF4-FFF2-40B4-BE49-F238E27FC236}">
              <a16:creationId xmlns:a16="http://schemas.microsoft.com/office/drawing/2014/main" id="{4415F11B-6D44-49A9-8982-72552B71A355}"/>
            </a:ext>
          </a:extLst>
        </xdr:cNvPr>
        <xdr:cNvSpPr txBox="1"/>
      </xdr:nvSpPr>
      <xdr:spPr>
        <a:xfrm>
          <a:off x="33336519" y="56029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29809</xdr:colOff>
      <xdr:row>49</xdr:row>
      <xdr:rowOff>42164</xdr:rowOff>
    </xdr:from>
    <xdr:to>
      <xdr:col>12</xdr:col>
      <xdr:colOff>0</xdr:colOff>
      <xdr:row>53</xdr:row>
      <xdr:rowOff>3842</xdr:rowOff>
    </xdr:to>
    <mc:AlternateContent xmlns:mc="http://schemas.openxmlformats.org/markup-compatibility/2006" xmlns:a14="http://schemas.microsoft.com/office/drawing/2010/main">
      <mc:Choice Requires="a14">
        <xdr:sp macro="" textlink="">
          <xdr:nvSpPr>
            <xdr:cNvPr id="97" name="TextBox 96">
              <a:extLst>
                <a:ext uri="{FF2B5EF4-FFF2-40B4-BE49-F238E27FC236}">
                  <a16:creationId xmlns:a16="http://schemas.microsoft.com/office/drawing/2014/main" id="{0C441426-1C73-4922-BDAD-FF713E4A755A}"/>
                </a:ext>
                <a:ext uri="{147F2762-F138-4A5C-976F-8EAC2B608ADB}">
                  <a16:predDERef xmlns:a16="http://schemas.microsoft.com/office/drawing/2014/main" pred="{C5BB5102-D9F1-463D-BAA9-08D2DB821553}"/>
                </a:ext>
              </a:extLst>
            </xdr:cNvPr>
            <xdr:cNvSpPr txBox="1"/>
          </xdr:nvSpPr>
          <xdr:spPr>
            <a:xfrm>
              <a:off x="3559662" y="15069252"/>
              <a:ext cx="12139779" cy="67885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left"/>
                  </m:oMathParaPr>
                  <m:oMath xmlns:m="http://schemas.openxmlformats.org/officeDocument/2006/math">
                    <m:r>
                      <m:rPr>
                        <m:sty m:val="p"/>
                      </m:rPr>
                      <a:rPr lang="en-US" sz="1400" i="1">
                        <a:solidFill>
                          <a:sysClr val="windowText" lastClr="000000"/>
                        </a:solidFill>
                        <a:effectLst/>
                        <a:latin typeface="Cambria Math" panose="02040503050406030204" pitchFamily="18" charset="0"/>
                        <a:ea typeface="+mn-ea"/>
                        <a:cs typeface="+mn-cs"/>
                      </a:rPr>
                      <m:t>Δ</m:t>
                    </m:r>
                    <m:r>
                      <a:rPr lang="en-US" sz="1400" i="1">
                        <a:solidFill>
                          <a:sysClr val="windowText" lastClr="000000"/>
                        </a:solidFill>
                        <a:effectLst/>
                        <a:latin typeface="Cambria Math" panose="02040503050406030204" pitchFamily="18" charset="0"/>
                        <a:ea typeface="+mn-ea"/>
                        <a:cs typeface="+mn-cs"/>
                      </a:rPr>
                      <m:t>𝑘𝑊h𝐴𝑆𝐻𝑃</m:t>
                    </m:r>
                    <m:r>
                      <a:rPr lang="en-US" sz="1400" i="1">
                        <a:solidFill>
                          <a:sysClr val="windowText" lastClr="000000"/>
                        </a:solidFill>
                        <a:effectLst/>
                        <a:latin typeface="Cambria Math" panose="02040503050406030204" pitchFamily="18" charset="0"/>
                        <a:ea typeface="+mn-ea"/>
                        <a:cs typeface="+mn-cs"/>
                      </a:rPr>
                      <m:t> =</m:t>
                    </m:r>
                    <m:f>
                      <m:fPr>
                        <m:ctrlPr>
                          <a:rPr lang="en-US" sz="1400" i="1">
                            <a:solidFill>
                              <a:sysClr val="windowText" lastClr="000000"/>
                            </a:solidFill>
                            <a:effectLst/>
                            <a:latin typeface="Cambria Math" panose="02040503050406030204" pitchFamily="18" charset="0"/>
                            <a:ea typeface="+mn-ea"/>
                            <a:cs typeface="+mn-cs"/>
                          </a:rPr>
                        </m:ctrlPr>
                      </m:fPr>
                      <m:num>
                        <m:d>
                          <m:dPr>
                            <m:ctrlPr>
                              <a:rPr lang="en-US" sz="1400" i="1">
                                <a:solidFill>
                                  <a:sysClr val="windowText" lastClr="000000"/>
                                </a:solidFill>
                                <a:effectLst/>
                                <a:latin typeface="Cambria Math" panose="02040503050406030204" pitchFamily="18" charset="0"/>
                                <a:ea typeface="+mn-ea"/>
                                <a:cs typeface="+mn-cs"/>
                              </a:rPr>
                            </m:ctrlPr>
                          </m:dPr>
                          <m:e>
                            <m:r>
                              <a:rPr lang="en-US" sz="1400" i="1">
                                <a:solidFill>
                                  <a:sysClr val="windowText" lastClr="000000"/>
                                </a:solidFill>
                                <a:effectLst/>
                                <a:latin typeface="Cambria Math" panose="02040503050406030204" pitchFamily="18" charset="0"/>
                                <a:ea typeface="+mn-ea"/>
                                <a:cs typeface="+mn-cs"/>
                              </a:rPr>
                              <m:t>𝐸𝐹𝐿</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𝐻</m:t>
                                </m:r>
                              </m:e>
                              <m:sub>
                                <m:r>
                                  <a:rPr lang="en-US" sz="1400" i="1">
                                    <a:solidFill>
                                      <a:sysClr val="windowText" lastClr="000000"/>
                                    </a:solidFill>
                                    <a:effectLst/>
                                    <a:latin typeface="Cambria Math" panose="02040503050406030204" pitchFamily="18" charset="0"/>
                                    <a:ea typeface="+mn-ea"/>
                                    <a:cs typeface="+mn-cs"/>
                                  </a:rPr>
                                  <m:t>𝑐𝑜𝑜𝑙</m:t>
                                </m:r>
                              </m:sub>
                            </m:sSub>
                            <m:r>
                              <a:rPr lang="en-US" sz="1400" i="1">
                                <a:solidFill>
                                  <a:sysClr val="windowText" lastClr="000000"/>
                                </a:solidFill>
                                <a:effectLst/>
                                <a:latin typeface="Cambria Math" panose="02040503050406030204" pitchFamily="18" charset="0"/>
                                <a:ea typeface="+mn-ea"/>
                                <a:cs typeface="+mn-cs"/>
                              </a:rPr>
                              <m:t> ∗ </m:t>
                            </m:r>
                            <m:r>
                              <a:rPr lang="en-US" sz="1400" i="1">
                                <a:solidFill>
                                  <a:sysClr val="windowText" lastClr="000000"/>
                                </a:solidFill>
                                <a:effectLst/>
                                <a:latin typeface="Cambria Math" panose="02040503050406030204" pitchFamily="18" charset="0"/>
                                <a:ea typeface="+mn-ea"/>
                                <a:cs typeface="+mn-cs"/>
                              </a:rPr>
                              <m:t>𝐶𝑎𝑝𝑎𝑐𝑖𝑡</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𝑦</m:t>
                                </m:r>
                              </m:e>
                              <m:sub>
                                <m:r>
                                  <a:rPr lang="en-US" sz="1400" i="1">
                                    <a:solidFill>
                                      <a:sysClr val="windowText" lastClr="000000"/>
                                    </a:solidFill>
                                    <a:effectLst/>
                                    <a:latin typeface="Cambria Math" panose="02040503050406030204" pitchFamily="18" charset="0"/>
                                    <a:ea typeface="+mn-ea"/>
                                    <a:cs typeface="+mn-cs"/>
                                  </a:rPr>
                                  <m:t>𝑐𝑜𝑜𝑙</m:t>
                                </m:r>
                              </m:sub>
                            </m:sSub>
                            <m:r>
                              <a:rPr lang="en-US" sz="1400" i="1">
                                <a:solidFill>
                                  <a:sysClr val="windowText" lastClr="000000"/>
                                </a:solidFill>
                                <a:effectLst/>
                                <a:latin typeface="Cambria Math" panose="02040503050406030204" pitchFamily="18" charset="0"/>
                                <a:ea typeface="+mn-ea"/>
                                <a:cs typeface="+mn-cs"/>
                              </a:rPr>
                              <m:t> ∗ </m:t>
                            </m:r>
                            <m:d>
                              <m:dPr>
                                <m:ctrlPr>
                                  <a:rPr lang="en-US" sz="1400" i="1">
                                    <a:solidFill>
                                      <a:sysClr val="windowText" lastClr="000000"/>
                                    </a:solidFill>
                                    <a:effectLst/>
                                    <a:latin typeface="Cambria Math" panose="02040503050406030204" pitchFamily="18" charset="0"/>
                                    <a:ea typeface="+mn-ea"/>
                                    <a:cs typeface="+mn-cs"/>
                                  </a:rPr>
                                </m:ctrlPr>
                              </m:dPr>
                              <m:e>
                                <m:f>
                                  <m:fPr>
                                    <m:ctrlPr>
                                      <a:rPr lang="en-US" sz="1400" i="1">
                                        <a:solidFill>
                                          <a:sysClr val="windowText" lastClr="000000"/>
                                        </a:solidFill>
                                        <a:effectLst/>
                                        <a:latin typeface="Cambria Math" panose="02040503050406030204" pitchFamily="18" charset="0"/>
                                        <a:ea typeface="+mn-ea"/>
                                        <a:cs typeface="+mn-cs"/>
                                      </a:rPr>
                                    </m:ctrlPr>
                                  </m:fPr>
                                  <m:num>
                                    <m:r>
                                      <a:rPr lang="en-US" sz="1400" i="1">
                                        <a:solidFill>
                                          <a:sysClr val="windowText" lastClr="000000"/>
                                        </a:solidFill>
                                        <a:effectLst/>
                                        <a:latin typeface="Cambria Math" panose="02040503050406030204" pitchFamily="18" charset="0"/>
                                        <a:ea typeface="+mn-ea"/>
                                        <a:cs typeface="+mn-cs"/>
                                      </a:rPr>
                                      <m:t>1</m:t>
                                    </m:r>
                                  </m:num>
                                  <m:den>
                                    <m:r>
                                      <a:rPr lang="en-US" sz="1400" i="1">
                                        <a:solidFill>
                                          <a:sysClr val="windowText" lastClr="000000"/>
                                        </a:solidFill>
                                        <a:effectLst/>
                                        <a:latin typeface="Cambria Math" panose="02040503050406030204" pitchFamily="18" charset="0"/>
                                        <a:ea typeface="+mn-ea"/>
                                        <a:cs typeface="+mn-cs"/>
                                      </a:rPr>
                                      <m:t>𝑆𝐸𝐸</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𝑅</m:t>
                                        </m:r>
                                      </m:e>
                                      <m:sub>
                                        <m:r>
                                          <a:rPr lang="en-US" sz="1400" b="0" i="1">
                                            <a:solidFill>
                                              <a:sysClr val="windowText" lastClr="000000"/>
                                            </a:solidFill>
                                            <a:effectLst/>
                                            <a:latin typeface="Cambria Math" panose="02040503050406030204" pitchFamily="18" charset="0"/>
                                            <a:ea typeface="+mn-ea"/>
                                            <a:cs typeface="+mn-cs"/>
                                          </a:rPr>
                                          <m:t>𝑇𝑒𝑠𝑡</m:t>
                                        </m:r>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𝐼𝑛</m:t>
                                        </m:r>
                                      </m:sub>
                                    </m:sSub>
                                  </m:den>
                                </m:f>
                                <m:r>
                                  <a:rPr lang="en-US" sz="1400" i="1">
                                    <a:solidFill>
                                      <a:sysClr val="windowText" lastClr="000000"/>
                                    </a:solidFill>
                                    <a:effectLst/>
                                    <a:latin typeface="Cambria Math" panose="02040503050406030204" pitchFamily="18" charset="0"/>
                                    <a:ea typeface="+mn-ea"/>
                                    <a:cs typeface="+mn-cs"/>
                                  </a:rPr>
                                  <m:t> −</m:t>
                                </m:r>
                                <m:f>
                                  <m:fPr>
                                    <m:ctrlPr>
                                      <a:rPr lang="en-US" sz="1400" i="1">
                                        <a:solidFill>
                                          <a:sysClr val="windowText" lastClr="000000"/>
                                        </a:solidFill>
                                        <a:effectLst/>
                                        <a:latin typeface="Cambria Math" panose="02040503050406030204" pitchFamily="18" charset="0"/>
                                        <a:ea typeface="+mn-ea"/>
                                        <a:cs typeface="+mn-cs"/>
                                      </a:rPr>
                                    </m:ctrlPr>
                                  </m:fPr>
                                  <m:num>
                                    <m:r>
                                      <a:rPr lang="en-US" sz="1400" i="1">
                                        <a:solidFill>
                                          <a:sysClr val="windowText" lastClr="000000"/>
                                        </a:solidFill>
                                        <a:effectLst/>
                                        <a:latin typeface="Cambria Math" panose="02040503050406030204" pitchFamily="18" charset="0"/>
                                        <a:ea typeface="+mn-ea"/>
                                        <a:cs typeface="+mn-cs"/>
                                      </a:rPr>
                                      <m:t>1</m:t>
                                    </m:r>
                                  </m:num>
                                  <m:den>
                                    <m:r>
                                      <a:rPr lang="en-US" sz="1400" i="1">
                                        <a:solidFill>
                                          <a:sysClr val="windowText" lastClr="000000"/>
                                        </a:solidFill>
                                        <a:effectLst/>
                                        <a:latin typeface="Cambria Math" panose="02040503050406030204" pitchFamily="18" charset="0"/>
                                        <a:ea typeface="+mn-ea"/>
                                        <a:cs typeface="+mn-cs"/>
                                      </a:rPr>
                                      <m:t>𝑆𝐸𝐸</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𝑅</m:t>
                                        </m:r>
                                      </m:e>
                                      <m:sub>
                                        <m:r>
                                          <a:rPr lang="en-US" sz="1400" b="0" i="1">
                                            <a:solidFill>
                                              <a:sysClr val="windowText" lastClr="000000"/>
                                            </a:solidFill>
                                            <a:effectLst/>
                                            <a:latin typeface="Cambria Math" panose="02040503050406030204" pitchFamily="18" charset="0"/>
                                            <a:ea typeface="+mn-ea"/>
                                            <a:cs typeface="+mn-cs"/>
                                          </a:rPr>
                                          <m:t>𝑇𝑒𝑠𝑡𝑂𝑢𝑡</m:t>
                                        </m:r>
                                      </m:sub>
                                    </m:sSub>
                                  </m:den>
                                </m:f>
                              </m:e>
                            </m:d>
                          </m:e>
                        </m:d>
                      </m:num>
                      <m:den>
                        <m:r>
                          <a:rPr lang="en-US" sz="1400" i="1">
                            <a:solidFill>
                              <a:sysClr val="windowText" lastClr="000000"/>
                            </a:solidFill>
                            <a:effectLst/>
                            <a:latin typeface="Cambria Math" panose="02040503050406030204" pitchFamily="18" charset="0"/>
                            <a:ea typeface="+mn-ea"/>
                            <a:cs typeface="+mn-cs"/>
                          </a:rPr>
                          <m:t>1</m:t>
                        </m:r>
                        <m:r>
                          <a:rPr lang="en-US" sz="1400" b="0" i="1">
                            <a:solidFill>
                              <a:sysClr val="windowText" lastClr="000000"/>
                            </a:solidFill>
                            <a:effectLst/>
                            <a:latin typeface="Cambria Math" panose="02040503050406030204" pitchFamily="18" charset="0"/>
                            <a:ea typeface="+mn-ea"/>
                            <a:cs typeface="+mn-cs"/>
                          </a:rPr>
                          <m:t>,</m:t>
                        </m:r>
                        <m:r>
                          <a:rPr lang="en-US" sz="1400" i="1">
                            <a:solidFill>
                              <a:sysClr val="windowText" lastClr="000000"/>
                            </a:solidFill>
                            <a:effectLst/>
                            <a:latin typeface="Cambria Math" panose="02040503050406030204" pitchFamily="18" charset="0"/>
                            <a:ea typeface="+mn-ea"/>
                            <a:cs typeface="+mn-cs"/>
                          </a:rPr>
                          <m:t>000</m:t>
                        </m:r>
                      </m:den>
                    </m:f>
                    <m:r>
                      <a:rPr lang="en-US" sz="1400" i="1">
                        <a:solidFill>
                          <a:sysClr val="windowText" lastClr="000000"/>
                        </a:solidFill>
                        <a:effectLst/>
                        <a:latin typeface="Cambria Math" panose="02040503050406030204" pitchFamily="18" charset="0"/>
                        <a:ea typeface="+mn-ea"/>
                        <a:cs typeface="+mn-cs"/>
                      </a:rPr>
                      <m:t> +</m:t>
                    </m:r>
                    <m:f>
                      <m:fPr>
                        <m:ctrlPr>
                          <a:rPr lang="en-US" sz="1400" i="1">
                            <a:solidFill>
                              <a:sysClr val="windowText" lastClr="000000"/>
                            </a:solidFill>
                            <a:effectLst/>
                            <a:latin typeface="Cambria Math" panose="02040503050406030204" pitchFamily="18" charset="0"/>
                            <a:ea typeface="+mn-ea"/>
                            <a:cs typeface="+mn-cs"/>
                          </a:rPr>
                        </m:ctrlPr>
                      </m:fPr>
                      <m:num>
                        <m:d>
                          <m:dPr>
                            <m:ctrlPr>
                              <a:rPr lang="en-US" sz="1400" i="1">
                                <a:solidFill>
                                  <a:sysClr val="windowText" lastClr="000000"/>
                                </a:solidFill>
                                <a:effectLst/>
                                <a:latin typeface="Cambria Math" panose="02040503050406030204" pitchFamily="18" charset="0"/>
                                <a:ea typeface="+mn-ea"/>
                                <a:cs typeface="+mn-cs"/>
                              </a:rPr>
                            </m:ctrlPr>
                          </m:dPr>
                          <m:e>
                            <m:r>
                              <a:rPr lang="en-US" sz="1400" i="1">
                                <a:solidFill>
                                  <a:sysClr val="windowText" lastClr="000000"/>
                                </a:solidFill>
                                <a:effectLst/>
                                <a:latin typeface="Cambria Math" panose="02040503050406030204" pitchFamily="18" charset="0"/>
                                <a:ea typeface="+mn-ea"/>
                                <a:cs typeface="+mn-cs"/>
                              </a:rPr>
                              <m:t>𝐸𝐹𝐿</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𝐻</m:t>
                                </m:r>
                              </m:e>
                              <m:sub>
                                <m:r>
                                  <a:rPr lang="en-US" sz="1400" i="1">
                                    <a:solidFill>
                                      <a:sysClr val="windowText" lastClr="000000"/>
                                    </a:solidFill>
                                    <a:effectLst/>
                                    <a:latin typeface="Cambria Math" panose="02040503050406030204" pitchFamily="18" charset="0"/>
                                    <a:ea typeface="+mn-ea"/>
                                    <a:cs typeface="+mn-cs"/>
                                  </a:rPr>
                                  <m:t>h𝑒𝑎𝑡</m:t>
                                </m:r>
                              </m:sub>
                            </m:sSub>
                            <m:r>
                              <a:rPr lang="en-US" sz="1400" i="1">
                                <a:solidFill>
                                  <a:sysClr val="windowText" lastClr="000000"/>
                                </a:solidFill>
                                <a:effectLst/>
                                <a:latin typeface="Cambria Math" panose="02040503050406030204" pitchFamily="18" charset="0"/>
                                <a:ea typeface="+mn-ea"/>
                                <a:cs typeface="+mn-cs"/>
                              </a:rPr>
                              <m:t> ∗ </m:t>
                            </m:r>
                            <m:r>
                              <a:rPr lang="en-US" sz="1400" i="1">
                                <a:solidFill>
                                  <a:sysClr val="windowText" lastClr="000000"/>
                                </a:solidFill>
                                <a:effectLst/>
                                <a:latin typeface="Cambria Math" panose="02040503050406030204" pitchFamily="18" charset="0"/>
                                <a:ea typeface="+mn-ea"/>
                                <a:cs typeface="+mn-cs"/>
                              </a:rPr>
                              <m:t>𝐶𝑎𝑝𝑎𝑐𝑖𝑡</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𝑦</m:t>
                                </m:r>
                              </m:e>
                              <m:sub>
                                <m:r>
                                  <a:rPr lang="en-US" sz="1400" i="1">
                                    <a:solidFill>
                                      <a:sysClr val="windowText" lastClr="000000"/>
                                    </a:solidFill>
                                    <a:effectLst/>
                                    <a:latin typeface="Cambria Math" panose="02040503050406030204" pitchFamily="18" charset="0"/>
                                    <a:ea typeface="+mn-ea"/>
                                    <a:cs typeface="+mn-cs"/>
                                  </a:rPr>
                                  <m:t>h𝑒𝑎𝑡</m:t>
                                </m:r>
                              </m:sub>
                            </m:sSub>
                            <m:r>
                              <a:rPr lang="en-US" sz="1400" i="1">
                                <a:solidFill>
                                  <a:sysClr val="windowText" lastClr="000000"/>
                                </a:solidFill>
                                <a:effectLst/>
                                <a:latin typeface="Cambria Math" panose="02040503050406030204" pitchFamily="18" charset="0"/>
                                <a:ea typeface="+mn-ea"/>
                                <a:cs typeface="+mn-cs"/>
                              </a:rPr>
                              <m:t> ∗ </m:t>
                            </m:r>
                            <m:d>
                              <m:dPr>
                                <m:ctrlPr>
                                  <a:rPr lang="en-US" sz="1400" i="1">
                                    <a:solidFill>
                                      <a:sysClr val="windowText" lastClr="000000"/>
                                    </a:solidFill>
                                    <a:effectLst/>
                                    <a:latin typeface="Cambria Math" panose="02040503050406030204" pitchFamily="18" charset="0"/>
                                    <a:ea typeface="+mn-ea"/>
                                    <a:cs typeface="+mn-cs"/>
                                  </a:rPr>
                                </m:ctrlPr>
                              </m:dPr>
                              <m:e>
                                <m:f>
                                  <m:fPr>
                                    <m:ctrlPr>
                                      <a:rPr lang="en-US" sz="1400" i="1">
                                        <a:solidFill>
                                          <a:sysClr val="windowText" lastClr="000000"/>
                                        </a:solidFill>
                                        <a:effectLst/>
                                        <a:latin typeface="Cambria Math" panose="02040503050406030204" pitchFamily="18" charset="0"/>
                                        <a:ea typeface="+mn-ea"/>
                                        <a:cs typeface="+mn-cs"/>
                                      </a:rPr>
                                    </m:ctrlPr>
                                  </m:fPr>
                                  <m:num>
                                    <m:r>
                                      <a:rPr lang="en-US" sz="1400" i="1">
                                        <a:solidFill>
                                          <a:sysClr val="windowText" lastClr="000000"/>
                                        </a:solidFill>
                                        <a:effectLst/>
                                        <a:latin typeface="Cambria Math" panose="02040503050406030204" pitchFamily="18" charset="0"/>
                                        <a:ea typeface="+mn-ea"/>
                                        <a:cs typeface="+mn-cs"/>
                                      </a:rPr>
                                      <m:t>1</m:t>
                                    </m:r>
                                  </m:num>
                                  <m:den>
                                    <m:r>
                                      <a:rPr lang="en-US" sz="1400" i="1">
                                        <a:solidFill>
                                          <a:sysClr val="windowText" lastClr="000000"/>
                                        </a:solidFill>
                                        <a:effectLst/>
                                        <a:latin typeface="Cambria Math" panose="02040503050406030204" pitchFamily="18" charset="0"/>
                                        <a:ea typeface="+mn-ea"/>
                                        <a:cs typeface="+mn-cs"/>
                                      </a:rPr>
                                      <m:t>𝐻𝑆𝑃</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𝐹</m:t>
                                        </m:r>
                                      </m:e>
                                      <m:sub>
                                        <m:r>
                                          <a:rPr lang="en-US" sz="1400" b="0" i="1">
                                            <a:solidFill>
                                              <a:sysClr val="windowText" lastClr="000000"/>
                                            </a:solidFill>
                                            <a:effectLst/>
                                            <a:latin typeface="Cambria Math" panose="02040503050406030204" pitchFamily="18" charset="0"/>
                                            <a:ea typeface="+mn-ea"/>
                                            <a:cs typeface="+mn-cs"/>
                                          </a:rPr>
                                          <m:t>𝑇𝑒𝑠𝑡</m:t>
                                        </m:r>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𝐼𝑛</m:t>
                                        </m:r>
                                      </m:sub>
                                    </m:sSub>
                                  </m:den>
                                </m:f>
                                <m:r>
                                  <a:rPr lang="en-US" sz="1400" i="1">
                                    <a:solidFill>
                                      <a:sysClr val="windowText" lastClr="000000"/>
                                    </a:solidFill>
                                    <a:effectLst/>
                                    <a:latin typeface="Cambria Math" panose="02040503050406030204" pitchFamily="18" charset="0"/>
                                    <a:ea typeface="+mn-ea"/>
                                    <a:cs typeface="+mn-cs"/>
                                  </a:rPr>
                                  <m:t> −</m:t>
                                </m:r>
                                <m:f>
                                  <m:fPr>
                                    <m:ctrlPr>
                                      <a:rPr lang="en-US" sz="1400" i="1">
                                        <a:solidFill>
                                          <a:sysClr val="windowText" lastClr="000000"/>
                                        </a:solidFill>
                                        <a:effectLst/>
                                        <a:latin typeface="Cambria Math" panose="02040503050406030204" pitchFamily="18" charset="0"/>
                                        <a:ea typeface="+mn-ea"/>
                                        <a:cs typeface="+mn-cs"/>
                                      </a:rPr>
                                    </m:ctrlPr>
                                  </m:fPr>
                                  <m:num>
                                    <m:r>
                                      <a:rPr lang="en-US" sz="1400" i="1">
                                        <a:solidFill>
                                          <a:sysClr val="windowText" lastClr="000000"/>
                                        </a:solidFill>
                                        <a:effectLst/>
                                        <a:latin typeface="Cambria Math" panose="02040503050406030204" pitchFamily="18" charset="0"/>
                                        <a:ea typeface="+mn-ea"/>
                                        <a:cs typeface="+mn-cs"/>
                                      </a:rPr>
                                      <m:t>1</m:t>
                                    </m:r>
                                  </m:num>
                                  <m:den>
                                    <m:r>
                                      <a:rPr lang="en-US" sz="1400" i="1">
                                        <a:solidFill>
                                          <a:sysClr val="windowText" lastClr="000000"/>
                                        </a:solidFill>
                                        <a:effectLst/>
                                        <a:latin typeface="Cambria Math" panose="02040503050406030204" pitchFamily="18" charset="0"/>
                                        <a:ea typeface="+mn-ea"/>
                                        <a:cs typeface="+mn-cs"/>
                                      </a:rPr>
                                      <m:t>𝐻𝑆𝐹</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𝑃</m:t>
                                        </m:r>
                                      </m:e>
                                      <m:sub>
                                        <m:r>
                                          <a:rPr lang="en-US" sz="1400" b="0" i="1">
                                            <a:solidFill>
                                              <a:sysClr val="windowText" lastClr="000000"/>
                                            </a:solidFill>
                                            <a:effectLst/>
                                            <a:latin typeface="Cambria Math" panose="02040503050406030204" pitchFamily="18" charset="0"/>
                                            <a:ea typeface="+mn-ea"/>
                                            <a:cs typeface="+mn-cs"/>
                                          </a:rPr>
                                          <m:t>𝑇𝑒𝑠𝑡</m:t>
                                        </m:r>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𝑂𝑢𝑡</m:t>
                                        </m:r>
                                      </m:sub>
                                    </m:sSub>
                                  </m:den>
                                </m:f>
                              </m:e>
                            </m:d>
                          </m:e>
                        </m:d>
                      </m:num>
                      <m:den>
                        <m:r>
                          <a:rPr lang="en-US" sz="1400" i="1">
                            <a:solidFill>
                              <a:sysClr val="windowText" lastClr="000000"/>
                            </a:solidFill>
                            <a:effectLst/>
                            <a:latin typeface="Cambria Math" panose="02040503050406030204" pitchFamily="18" charset="0"/>
                            <a:ea typeface="+mn-ea"/>
                            <a:cs typeface="+mn-cs"/>
                          </a:rPr>
                          <m:t>1000</m:t>
                        </m:r>
                      </m:den>
                    </m:f>
                  </m:oMath>
                </m:oMathPara>
              </a14:m>
              <a:endParaRPr lang="en-US" sz="1200">
                <a:solidFill>
                  <a:sysClr val="windowText" lastClr="000000"/>
                </a:solidFill>
                <a:effectLst/>
                <a:latin typeface="+mn-lt"/>
                <a:ea typeface="+mn-ea"/>
                <a:cs typeface="+mn-cs"/>
              </a:endParaRPr>
            </a:p>
          </xdr:txBody>
        </xdr:sp>
      </mc:Choice>
      <mc:Fallback xmlns="">
        <xdr:sp macro="" textlink="">
          <xdr:nvSpPr>
            <xdr:cNvPr id="97" name="TextBox 96">
              <a:extLst>
                <a:ext uri="{FF2B5EF4-FFF2-40B4-BE49-F238E27FC236}">
                  <a16:creationId xmlns:a16="http://schemas.microsoft.com/office/drawing/2014/main" id="{0C441426-1C73-4922-BDAD-FF713E4A755A}"/>
                </a:ext>
                <a:ext uri="{147F2762-F138-4A5C-976F-8EAC2B608ADB}">
                  <a16:predDERef xmlns:a16="http://schemas.microsoft.com/office/drawing/2014/main" pred="{C5BB5102-D9F1-463D-BAA9-08D2DB821553}"/>
                </a:ext>
              </a:extLst>
            </xdr:cNvPr>
            <xdr:cNvSpPr txBox="1"/>
          </xdr:nvSpPr>
          <xdr:spPr>
            <a:xfrm>
              <a:off x="3559662" y="15069252"/>
              <a:ext cx="12139779" cy="67885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en-US" sz="1400" i="0">
                  <a:solidFill>
                    <a:sysClr val="windowText" lastClr="000000"/>
                  </a:solidFill>
                  <a:effectLst/>
                  <a:latin typeface="Cambria Math" panose="02040503050406030204" pitchFamily="18" charset="0"/>
                  <a:ea typeface="+mn-ea"/>
                  <a:cs typeface="+mn-cs"/>
                </a:rPr>
                <a:t>Δ𝑘𝑊ℎ𝐴𝑆𝐻𝑃 =((𝐸𝐹𝐿𝐻</a:t>
              </a:r>
              <a:r>
                <a:rPr lang="en-US" sz="1400" b="0" i="0">
                  <a:solidFill>
                    <a:sysClr val="windowText" lastClr="000000"/>
                  </a:solidFill>
                  <a:effectLst/>
                  <a:latin typeface="Cambria Math" panose="02040503050406030204" pitchFamily="18" charset="0"/>
                  <a:ea typeface="+mn-ea"/>
                  <a:cs typeface="+mn-cs"/>
                </a:rPr>
                <a:t>_</a:t>
              </a:r>
              <a:r>
                <a:rPr lang="en-US" sz="1400" i="0">
                  <a:solidFill>
                    <a:sysClr val="windowText" lastClr="000000"/>
                  </a:solidFill>
                  <a:effectLst/>
                  <a:latin typeface="Cambria Math" panose="02040503050406030204" pitchFamily="18" charset="0"/>
                  <a:ea typeface="+mn-ea"/>
                  <a:cs typeface="+mn-cs"/>
                </a:rPr>
                <a:t>𝑐𝑜𝑜𝑙  ∗ 𝐶𝑎𝑝𝑎𝑐𝑖𝑡𝑦</a:t>
              </a:r>
              <a:r>
                <a:rPr lang="en-US" sz="1400" b="0" i="0">
                  <a:solidFill>
                    <a:sysClr val="windowText" lastClr="000000"/>
                  </a:solidFill>
                  <a:effectLst/>
                  <a:latin typeface="Cambria Math" panose="02040503050406030204" pitchFamily="18" charset="0"/>
                  <a:ea typeface="+mn-ea"/>
                  <a:cs typeface="+mn-cs"/>
                </a:rPr>
                <a:t>_</a:t>
              </a:r>
              <a:r>
                <a:rPr lang="en-US" sz="1400" i="0">
                  <a:solidFill>
                    <a:sysClr val="windowText" lastClr="000000"/>
                  </a:solidFill>
                  <a:effectLst/>
                  <a:latin typeface="Cambria Math" panose="02040503050406030204" pitchFamily="18" charset="0"/>
                  <a:ea typeface="+mn-ea"/>
                  <a:cs typeface="+mn-cs"/>
                </a:rPr>
                <a:t>𝑐𝑜𝑜𝑙  ∗ (1/(𝑆𝐸𝐸𝑅</a:t>
              </a:r>
              <a:r>
                <a:rPr lang="en-US" sz="1400" b="0" i="0">
                  <a:solidFill>
                    <a:sysClr val="windowText" lastClr="000000"/>
                  </a:solidFill>
                  <a:effectLst/>
                  <a:latin typeface="Cambria Math" panose="02040503050406030204" pitchFamily="18" charset="0"/>
                  <a:ea typeface="+mn-ea"/>
                  <a:cs typeface="+mn-cs"/>
                </a:rPr>
                <a:t>_(𝑇𝑒𝑠𝑡−𝐼𝑛) ) </a:t>
              </a:r>
              <a:r>
                <a:rPr lang="en-US" sz="1400" i="0">
                  <a:solidFill>
                    <a:sysClr val="windowText" lastClr="000000"/>
                  </a:solidFill>
                  <a:effectLst/>
                  <a:latin typeface="Cambria Math" panose="02040503050406030204" pitchFamily="18" charset="0"/>
                  <a:ea typeface="+mn-ea"/>
                  <a:cs typeface="+mn-cs"/>
                </a:rPr>
                <a:t> −1/(𝑆𝐸𝐸𝑅</a:t>
              </a:r>
              <a:r>
                <a:rPr lang="en-US" sz="1400" b="0" i="0">
                  <a:solidFill>
                    <a:sysClr val="windowText" lastClr="000000"/>
                  </a:solidFill>
                  <a:effectLst/>
                  <a:latin typeface="Cambria Math" panose="02040503050406030204" pitchFamily="18" charset="0"/>
                  <a:ea typeface="+mn-ea"/>
                  <a:cs typeface="+mn-cs"/>
                </a:rPr>
                <a:t>_𝑇𝑒𝑠𝑡𝑂𝑢𝑡 ))))/</a:t>
              </a:r>
              <a:r>
                <a:rPr lang="en-US" sz="1400" i="0">
                  <a:solidFill>
                    <a:sysClr val="windowText" lastClr="000000"/>
                  </a:solidFill>
                  <a:effectLst/>
                  <a:latin typeface="Cambria Math" panose="02040503050406030204" pitchFamily="18" charset="0"/>
                  <a:ea typeface="+mn-ea"/>
                  <a:cs typeface="+mn-cs"/>
                </a:rPr>
                <a:t>1</a:t>
              </a:r>
              <a:r>
                <a:rPr lang="en-US" sz="1400" b="0" i="0">
                  <a:solidFill>
                    <a:sysClr val="windowText" lastClr="000000"/>
                  </a:solidFill>
                  <a:effectLst/>
                  <a:latin typeface="Cambria Math" panose="02040503050406030204" pitchFamily="18" charset="0"/>
                  <a:ea typeface="+mn-ea"/>
                  <a:cs typeface="+mn-cs"/>
                </a:rPr>
                <a:t>,</a:t>
              </a:r>
              <a:r>
                <a:rPr lang="en-US" sz="1400" i="0">
                  <a:solidFill>
                    <a:sysClr val="windowText" lastClr="000000"/>
                  </a:solidFill>
                  <a:effectLst/>
                  <a:latin typeface="Cambria Math" panose="02040503050406030204" pitchFamily="18" charset="0"/>
                  <a:ea typeface="+mn-ea"/>
                  <a:cs typeface="+mn-cs"/>
                </a:rPr>
                <a:t>000  +((𝐸𝐹𝐿𝐻</a:t>
              </a:r>
              <a:r>
                <a:rPr lang="en-US" sz="1400" b="0" i="0">
                  <a:solidFill>
                    <a:sysClr val="windowText" lastClr="000000"/>
                  </a:solidFill>
                  <a:effectLst/>
                  <a:latin typeface="Cambria Math" panose="02040503050406030204" pitchFamily="18" charset="0"/>
                  <a:ea typeface="+mn-ea"/>
                  <a:cs typeface="+mn-cs"/>
                </a:rPr>
                <a:t>_</a:t>
              </a:r>
              <a:r>
                <a:rPr lang="en-US" sz="1400" i="0">
                  <a:solidFill>
                    <a:sysClr val="windowText" lastClr="000000"/>
                  </a:solidFill>
                  <a:effectLst/>
                  <a:latin typeface="Cambria Math" panose="02040503050406030204" pitchFamily="18" charset="0"/>
                  <a:ea typeface="+mn-ea"/>
                  <a:cs typeface="+mn-cs"/>
                </a:rPr>
                <a:t>ℎ𝑒𝑎𝑡  ∗ 𝐶𝑎𝑝𝑎𝑐𝑖𝑡𝑦</a:t>
              </a:r>
              <a:r>
                <a:rPr lang="en-US" sz="1400" b="0" i="0">
                  <a:solidFill>
                    <a:sysClr val="windowText" lastClr="000000"/>
                  </a:solidFill>
                  <a:effectLst/>
                  <a:latin typeface="Cambria Math" panose="02040503050406030204" pitchFamily="18" charset="0"/>
                  <a:ea typeface="+mn-ea"/>
                  <a:cs typeface="+mn-cs"/>
                </a:rPr>
                <a:t>_</a:t>
              </a:r>
              <a:r>
                <a:rPr lang="en-US" sz="1400" i="0">
                  <a:solidFill>
                    <a:sysClr val="windowText" lastClr="000000"/>
                  </a:solidFill>
                  <a:effectLst/>
                  <a:latin typeface="Cambria Math" panose="02040503050406030204" pitchFamily="18" charset="0"/>
                  <a:ea typeface="+mn-ea"/>
                  <a:cs typeface="+mn-cs"/>
                </a:rPr>
                <a:t>ℎ𝑒𝑎𝑡  ∗ (1/(𝐻𝑆𝑃𝐹</a:t>
              </a:r>
              <a:r>
                <a:rPr lang="en-US" sz="1400" b="0" i="0">
                  <a:solidFill>
                    <a:sysClr val="windowText" lastClr="000000"/>
                  </a:solidFill>
                  <a:effectLst/>
                  <a:latin typeface="Cambria Math" panose="02040503050406030204" pitchFamily="18" charset="0"/>
                  <a:ea typeface="+mn-ea"/>
                  <a:cs typeface="+mn-cs"/>
                </a:rPr>
                <a:t>_(𝑇𝑒𝑠𝑡−𝐼𝑛) ) </a:t>
              </a:r>
              <a:r>
                <a:rPr lang="en-US" sz="1400" i="0">
                  <a:solidFill>
                    <a:sysClr val="windowText" lastClr="000000"/>
                  </a:solidFill>
                  <a:effectLst/>
                  <a:latin typeface="Cambria Math" panose="02040503050406030204" pitchFamily="18" charset="0"/>
                  <a:ea typeface="+mn-ea"/>
                  <a:cs typeface="+mn-cs"/>
                </a:rPr>
                <a:t> −1/(𝐻𝑆𝐹𝑃</a:t>
              </a:r>
              <a:r>
                <a:rPr lang="en-US" sz="1400" b="0" i="0">
                  <a:solidFill>
                    <a:sysClr val="windowText" lastClr="000000"/>
                  </a:solidFill>
                  <a:effectLst/>
                  <a:latin typeface="Cambria Math" panose="02040503050406030204" pitchFamily="18" charset="0"/>
                  <a:ea typeface="+mn-ea"/>
                  <a:cs typeface="+mn-cs"/>
                </a:rPr>
                <a:t>_(𝑇𝑒𝑠𝑡−𝑂𝑢𝑡) ))))/</a:t>
              </a:r>
              <a:r>
                <a:rPr lang="en-US" sz="1400" i="0">
                  <a:solidFill>
                    <a:sysClr val="windowText" lastClr="000000"/>
                  </a:solidFill>
                  <a:effectLst/>
                  <a:latin typeface="Cambria Math" panose="02040503050406030204" pitchFamily="18" charset="0"/>
                  <a:ea typeface="+mn-ea"/>
                  <a:cs typeface="+mn-cs"/>
                </a:rPr>
                <a:t>1000</a:t>
              </a:r>
              <a:endParaRPr lang="en-US" sz="1200">
                <a:solidFill>
                  <a:sysClr val="windowText" lastClr="000000"/>
                </a:solidFill>
                <a:effectLst/>
                <a:latin typeface="+mn-lt"/>
                <a:ea typeface="+mn-ea"/>
                <a:cs typeface="+mn-cs"/>
              </a:endParaRPr>
            </a:p>
          </xdr:txBody>
        </xdr:sp>
      </mc:Fallback>
    </mc:AlternateContent>
    <xdr:clientData/>
  </xdr:twoCellAnchor>
  <xdr:twoCellAnchor>
    <xdr:from>
      <xdr:col>3</xdr:col>
      <xdr:colOff>1312272</xdr:colOff>
      <xdr:row>378</xdr:row>
      <xdr:rowOff>27214</xdr:rowOff>
    </xdr:from>
    <xdr:to>
      <xdr:col>13</xdr:col>
      <xdr:colOff>3809</xdr:colOff>
      <xdr:row>379</xdr:row>
      <xdr:rowOff>151311</xdr:rowOff>
    </xdr:to>
    <mc:AlternateContent xmlns:mc="http://schemas.openxmlformats.org/markup-compatibility/2006" xmlns:a14="http://schemas.microsoft.com/office/drawing/2010/main">
      <mc:Choice Requires="a14">
        <xdr:sp macro="" textlink="">
          <xdr:nvSpPr>
            <xdr:cNvPr id="31" name="TextBox 30">
              <a:extLst>
                <a:ext uri="{FF2B5EF4-FFF2-40B4-BE49-F238E27FC236}">
                  <a16:creationId xmlns:a16="http://schemas.microsoft.com/office/drawing/2014/main" id="{0ABEB1E1-8539-4E8E-B786-2A360C166DC8}"/>
                </a:ext>
              </a:extLst>
            </xdr:cNvPr>
            <xdr:cNvSpPr txBox="1"/>
          </xdr:nvSpPr>
          <xdr:spPr>
            <a:xfrm>
              <a:off x="3530236" y="17838964"/>
              <a:ext cx="13047073" cy="30099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𝑘𝑊</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𝑘𝑊h</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𝐶𝐹</m:t>
                    </m:r>
                  </m:oMath>
                </m:oMathPara>
              </a14:m>
              <a:endParaRPr lang="en-US" sz="1600">
                <a:solidFill>
                  <a:srgbClr val="FF0000"/>
                </a:solidFill>
              </a:endParaRPr>
            </a:p>
          </xdr:txBody>
        </xdr:sp>
      </mc:Choice>
      <mc:Fallback xmlns="">
        <xdr:sp macro="" textlink="">
          <xdr:nvSpPr>
            <xdr:cNvPr id="31" name="TextBox 30">
              <a:extLst>
                <a:ext uri="{FF2B5EF4-FFF2-40B4-BE49-F238E27FC236}">
                  <a16:creationId xmlns:a16="http://schemas.microsoft.com/office/drawing/2014/main" id="{0ABEB1E1-8539-4E8E-B786-2A360C166DC8}"/>
                </a:ext>
              </a:extLst>
            </xdr:cNvPr>
            <xdr:cNvSpPr txBox="1"/>
          </xdr:nvSpPr>
          <xdr:spPr>
            <a:xfrm>
              <a:off x="3530236" y="17838964"/>
              <a:ext cx="13047073" cy="30099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solidFill>
                    <a:srgbClr val="FF0000"/>
                  </a:solidFill>
                  <a:latin typeface="Cambria Math" panose="02040503050406030204" pitchFamily="18" charset="0"/>
                  <a:ea typeface="Cambria Math" panose="02040503050406030204" pitchFamily="18" charset="0"/>
                </a:rPr>
                <a:t>∆</a:t>
              </a:r>
              <a:r>
                <a:rPr lang="en-US" sz="1600" b="0" i="0">
                  <a:solidFill>
                    <a:srgbClr val="FF0000"/>
                  </a:solidFill>
                  <a:latin typeface="Cambria Math" panose="02040503050406030204" pitchFamily="18" charset="0"/>
                  <a:ea typeface="Cambria Math" panose="02040503050406030204" pitchFamily="18" charset="0"/>
                </a:rPr>
                <a:t>𝑘𝑊=∆𝑘𝑊ℎ∗𝐶𝐹</a:t>
              </a:r>
              <a:endParaRPr lang="en-US" sz="1600">
                <a:solidFill>
                  <a:srgbClr val="FF0000"/>
                </a:solidFill>
              </a:endParaRPr>
            </a:p>
          </xdr:txBody>
        </xdr:sp>
      </mc:Fallback>
    </mc:AlternateContent>
    <xdr:clientData/>
  </xdr:twoCellAnchor>
  <xdr:twoCellAnchor>
    <xdr:from>
      <xdr:col>4</xdr:col>
      <xdr:colOff>0</xdr:colOff>
      <xdr:row>413</xdr:row>
      <xdr:rowOff>0</xdr:rowOff>
    </xdr:from>
    <xdr:to>
      <xdr:col>13</xdr:col>
      <xdr:colOff>0</xdr:colOff>
      <xdr:row>414</xdr:row>
      <xdr:rowOff>129812</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C7ED2404-9B55-4DF2-B16D-88E95E68E1BB}"/>
                </a:ext>
              </a:extLst>
            </xdr:cNvPr>
            <xdr:cNvSpPr txBox="1"/>
          </xdr:nvSpPr>
          <xdr:spPr>
            <a:xfrm>
              <a:off x="3537857" y="29010429"/>
              <a:ext cx="13035643" cy="30670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𝑘𝑊</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𝑘𝑊h</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𝐶𝐹</m:t>
                    </m:r>
                  </m:oMath>
                </m:oMathPara>
              </a14:m>
              <a:endParaRPr lang="en-US" sz="1600">
                <a:solidFill>
                  <a:srgbClr val="FF0000"/>
                </a:solidFill>
              </a:endParaRPr>
            </a:p>
          </xdr:txBody>
        </xdr:sp>
      </mc:Choice>
      <mc:Fallback xmlns="">
        <xdr:sp macro="" textlink="">
          <xdr:nvSpPr>
            <xdr:cNvPr id="40" name="TextBox 39">
              <a:extLst>
                <a:ext uri="{FF2B5EF4-FFF2-40B4-BE49-F238E27FC236}">
                  <a16:creationId xmlns:a16="http://schemas.microsoft.com/office/drawing/2014/main" id="{C7ED2404-9B55-4DF2-B16D-88E95E68E1BB}"/>
                </a:ext>
              </a:extLst>
            </xdr:cNvPr>
            <xdr:cNvSpPr txBox="1"/>
          </xdr:nvSpPr>
          <xdr:spPr>
            <a:xfrm>
              <a:off x="3537857" y="29010429"/>
              <a:ext cx="13035643" cy="30670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solidFill>
                    <a:srgbClr val="FF0000"/>
                  </a:solidFill>
                  <a:latin typeface="Cambria Math" panose="02040503050406030204" pitchFamily="18" charset="0"/>
                  <a:ea typeface="Cambria Math" panose="02040503050406030204" pitchFamily="18" charset="0"/>
                </a:rPr>
                <a:t>∆</a:t>
              </a:r>
              <a:r>
                <a:rPr lang="en-US" sz="1600" b="0" i="0">
                  <a:solidFill>
                    <a:srgbClr val="FF0000"/>
                  </a:solidFill>
                  <a:latin typeface="Cambria Math" panose="02040503050406030204" pitchFamily="18" charset="0"/>
                  <a:ea typeface="Cambria Math" panose="02040503050406030204" pitchFamily="18" charset="0"/>
                </a:rPr>
                <a:t>𝑘𝑊=∆𝑘𝑊ℎ∗𝐶𝐹</a:t>
              </a:r>
              <a:endParaRPr lang="en-US" sz="1600">
                <a:solidFill>
                  <a:srgbClr val="FF0000"/>
                </a:solidFill>
              </a:endParaRPr>
            </a:p>
          </xdr:txBody>
        </xdr:sp>
      </mc:Fallback>
    </mc:AlternateContent>
    <xdr:clientData/>
  </xdr:twoCellAnchor>
  <xdr:twoCellAnchor>
    <xdr:from>
      <xdr:col>4</xdr:col>
      <xdr:colOff>21499</xdr:colOff>
      <xdr:row>448</xdr:row>
      <xdr:rowOff>54428</xdr:rowOff>
    </xdr:from>
    <xdr:to>
      <xdr:col>13</xdr:col>
      <xdr:colOff>0</xdr:colOff>
      <xdr:row>449</xdr:row>
      <xdr:rowOff>160836</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B8C9199D-D92D-4674-8451-F7B836134C0C}"/>
                </a:ext>
              </a:extLst>
            </xdr:cNvPr>
            <xdr:cNvSpPr txBox="1"/>
          </xdr:nvSpPr>
          <xdr:spPr>
            <a:xfrm>
              <a:off x="3559356" y="31228392"/>
              <a:ext cx="13014144" cy="28330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𝑘𝑊</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𝑘𝑊h</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𝐶𝐹</m:t>
                    </m:r>
                  </m:oMath>
                </m:oMathPara>
              </a14:m>
              <a:endParaRPr lang="en-US" sz="1600">
                <a:solidFill>
                  <a:srgbClr val="FF0000"/>
                </a:solidFill>
              </a:endParaRPr>
            </a:p>
          </xdr:txBody>
        </xdr:sp>
      </mc:Choice>
      <mc:Fallback xmlns="">
        <xdr:sp macro="" textlink="">
          <xdr:nvSpPr>
            <xdr:cNvPr id="41" name="TextBox 40">
              <a:extLst>
                <a:ext uri="{FF2B5EF4-FFF2-40B4-BE49-F238E27FC236}">
                  <a16:creationId xmlns:a16="http://schemas.microsoft.com/office/drawing/2014/main" id="{B8C9199D-D92D-4674-8451-F7B836134C0C}"/>
                </a:ext>
              </a:extLst>
            </xdr:cNvPr>
            <xdr:cNvSpPr txBox="1"/>
          </xdr:nvSpPr>
          <xdr:spPr>
            <a:xfrm>
              <a:off x="3559356" y="31228392"/>
              <a:ext cx="13014144" cy="28330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solidFill>
                    <a:srgbClr val="FF0000"/>
                  </a:solidFill>
                  <a:latin typeface="Cambria Math" panose="02040503050406030204" pitchFamily="18" charset="0"/>
                  <a:ea typeface="Cambria Math" panose="02040503050406030204" pitchFamily="18" charset="0"/>
                </a:rPr>
                <a:t>∆</a:t>
              </a:r>
              <a:r>
                <a:rPr lang="en-US" sz="1600" b="0" i="0">
                  <a:solidFill>
                    <a:srgbClr val="FF0000"/>
                  </a:solidFill>
                  <a:latin typeface="Cambria Math" panose="02040503050406030204" pitchFamily="18" charset="0"/>
                  <a:ea typeface="Cambria Math" panose="02040503050406030204" pitchFamily="18" charset="0"/>
                </a:rPr>
                <a:t>𝑘𝑊=∆𝑘𝑊ℎ∗𝐶𝐹</a:t>
              </a:r>
              <a:endParaRPr lang="en-US" sz="1600">
                <a:solidFill>
                  <a:srgbClr val="FF0000"/>
                </a:solidFill>
              </a:endParaRPr>
            </a:p>
          </xdr:txBody>
        </xdr:sp>
      </mc:Fallback>
    </mc:AlternateContent>
    <xdr:clientData/>
  </xdr:twoCellAnchor>
</xdr:wsDr>
</file>

<file path=xl/drawings/drawing9.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908923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00000000-0008-0000-0A00-000003000000}"/>
            </a:ext>
          </a:extLst>
        </xdr:cNvPr>
        <xdr:cNvSpPr txBox="1"/>
      </xdr:nvSpPr>
      <xdr:spPr>
        <a:xfrm>
          <a:off x="908923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18</xdr:row>
      <xdr:rowOff>0</xdr:rowOff>
    </xdr:from>
    <xdr:ext cx="65" cy="172227"/>
    <xdr:sp macro="" textlink="">
      <xdr:nvSpPr>
        <xdr:cNvPr id="4" name="TextBox 3">
          <a:extLst>
            <a:ext uri="{FF2B5EF4-FFF2-40B4-BE49-F238E27FC236}">
              <a16:creationId xmlns:a16="http://schemas.microsoft.com/office/drawing/2014/main" id="{00000000-0008-0000-0A00-000004000000}"/>
            </a:ext>
          </a:extLst>
        </xdr:cNvPr>
        <xdr:cNvSpPr txBox="1"/>
      </xdr:nvSpPr>
      <xdr:spPr>
        <a:xfrm>
          <a:off x="9089231"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18</xdr:row>
      <xdr:rowOff>0</xdr:rowOff>
    </xdr:from>
    <xdr:ext cx="65" cy="172227"/>
    <xdr:sp macro="" textlink="">
      <xdr:nvSpPr>
        <xdr:cNvPr id="5" name="TextBox 4">
          <a:extLst>
            <a:ext uri="{FF2B5EF4-FFF2-40B4-BE49-F238E27FC236}">
              <a16:creationId xmlns:a16="http://schemas.microsoft.com/office/drawing/2014/main" id="{00000000-0008-0000-0A00-000005000000}"/>
            </a:ext>
          </a:extLst>
        </xdr:cNvPr>
        <xdr:cNvSpPr txBox="1"/>
      </xdr:nvSpPr>
      <xdr:spPr>
        <a:xfrm>
          <a:off x="9089231"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31</xdr:row>
      <xdr:rowOff>0</xdr:rowOff>
    </xdr:from>
    <xdr:ext cx="65" cy="172227"/>
    <xdr:sp macro="" textlink="">
      <xdr:nvSpPr>
        <xdr:cNvPr id="6" name="TextBox 5">
          <a:extLst>
            <a:ext uri="{FF2B5EF4-FFF2-40B4-BE49-F238E27FC236}">
              <a16:creationId xmlns:a16="http://schemas.microsoft.com/office/drawing/2014/main" id="{00000000-0008-0000-0A00-000006000000}"/>
            </a:ext>
          </a:extLst>
        </xdr:cNvPr>
        <xdr:cNvSpPr txBox="1"/>
      </xdr:nvSpPr>
      <xdr:spPr>
        <a:xfrm>
          <a:off x="9089231"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31</xdr:row>
      <xdr:rowOff>0</xdr:rowOff>
    </xdr:from>
    <xdr:ext cx="65" cy="172227"/>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9089231"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238125</xdr:colOff>
      <xdr:row>38</xdr:row>
      <xdr:rowOff>123825</xdr:rowOff>
    </xdr:from>
    <xdr:to>
      <xdr:col>7</xdr:col>
      <xdr:colOff>256543</xdr:colOff>
      <xdr:row>43</xdr:row>
      <xdr:rowOff>28468</xdr:rowOff>
    </xdr:to>
    <xdr:pic>
      <xdr:nvPicPr>
        <xdr:cNvPr id="8" name="Picture 7">
          <a:extLst>
            <a:ext uri="{FF2B5EF4-FFF2-40B4-BE49-F238E27FC236}">
              <a16:creationId xmlns:a16="http://schemas.microsoft.com/office/drawing/2014/main" id="{00000000-0008-0000-0A00-000008000000}"/>
            </a:ext>
          </a:extLst>
        </xdr:cNvPr>
        <xdr:cNvPicPr>
          <a:picLocks noChangeAspect="1"/>
        </xdr:cNvPicPr>
      </xdr:nvPicPr>
      <xdr:blipFill>
        <a:blip xmlns:r="http://schemas.openxmlformats.org/officeDocument/2006/relationships" r:embed="rId1"/>
        <a:stretch>
          <a:fillRect/>
        </a:stretch>
      </xdr:blipFill>
      <xdr:spPr>
        <a:xfrm>
          <a:off x="4286250" y="5114925"/>
          <a:ext cx="5057143" cy="0"/>
        </a:xfrm>
        <a:prstGeom prst="rect">
          <a:avLst/>
        </a:prstGeom>
      </xdr:spPr>
    </xdr:pic>
    <xdr:clientData/>
  </xdr:twoCellAnchor>
  <xdr:twoCellAnchor>
    <xdr:from>
      <xdr:col>7</xdr:col>
      <xdr:colOff>800100</xdr:colOff>
      <xdr:row>39</xdr:row>
      <xdr:rowOff>171450</xdr:rowOff>
    </xdr:from>
    <xdr:to>
      <xdr:col>9</xdr:col>
      <xdr:colOff>561770</xdr:colOff>
      <xdr:row>41</xdr:row>
      <xdr:rowOff>66640</xdr:rowOff>
    </xdr:to>
    <xdr:pic>
      <xdr:nvPicPr>
        <xdr:cNvPr id="9" name="Picture 8">
          <a:extLst>
            <a:ext uri="{FF2B5EF4-FFF2-40B4-BE49-F238E27FC236}">
              <a16:creationId xmlns:a16="http://schemas.microsoft.com/office/drawing/2014/main" id="{00000000-0008-0000-0A00-000009000000}"/>
            </a:ext>
          </a:extLst>
        </xdr:cNvPr>
        <xdr:cNvPicPr>
          <a:picLocks noChangeAspect="1"/>
        </xdr:cNvPicPr>
      </xdr:nvPicPr>
      <xdr:blipFill>
        <a:blip xmlns:r="http://schemas.openxmlformats.org/officeDocument/2006/relationships" r:embed="rId2"/>
        <a:stretch>
          <a:fillRect/>
        </a:stretch>
      </xdr:blipFill>
      <xdr:spPr>
        <a:xfrm>
          <a:off x="9886950" y="5114925"/>
          <a:ext cx="1742870" cy="0"/>
        </a:xfrm>
        <a:prstGeom prst="rect">
          <a:avLst/>
        </a:prstGeom>
      </xdr:spPr>
    </xdr:pic>
    <xdr:clientData/>
  </xdr:twoCellAnchor>
  <xdr:twoCellAnchor>
    <xdr:from>
      <xdr:col>3</xdr:col>
      <xdr:colOff>200025</xdr:colOff>
      <xdr:row>62</xdr:row>
      <xdr:rowOff>133350</xdr:rowOff>
    </xdr:from>
    <xdr:to>
      <xdr:col>4</xdr:col>
      <xdr:colOff>2254081</xdr:colOff>
      <xdr:row>63</xdr:row>
      <xdr:rowOff>162013</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A00-00000A000000}"/>
                </a:ext>
              </a:extLst>
            </xdr:cNvPr>
            <xdr:cNvSpPr txBox="1"/>
          </xdr:nvSpPr>
          <xdr:spPr>
            <a:xfrm>
              <a:off x="2705100" y="7019925"/>
              <a:ext cx="35971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n-US" sz="1000" i="0">
                      <a:latin typeface="Cambria Math" panose="02040503050406030204" pitchFamily="18" charset="0"/>
                      <a:ea typeface="Cambria Math" panose="02040503050406030204" pitchFamily="18" charset="0"/>
                    </a:rPr>
                    <m:t>D</m:t>
                  </m:r>
                  <m:r>
                    <m:rPr>
                      <m:sty m:val="p"/>
                    </m:rPr>
                    <a:rPr lang="en-US" sz="1000" b="0" i="0">
                      <a:latin typeface="Cambria Math" panose="02040503050406030204" pitchFamily="18" charset="0"/>
                      <a:ea typeface="Cambria Math" panose="02040503050406030204" pitchFamily="18" charset="0"/>
                    </a:rPr>
                    <m:t>eemed</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Value</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per</m:t>
                  </m:r>
                  <m:r>
                    <a:rPr lang="en-US" sz="1000" b="0" i="0">
                      <a:latin typeface="Cambria Math" panose="02040503050406030204" pitchFamily="18" charset="0"/>
                      <a:ea typeface="Cambria Math" panose="02040503050406030204" pitchFamily="18" charset="0"/>
                    </a:rPr>
                    <m:t> 2018 </m:t>
                  </m:r>
                  <m:r>
                    <m:rPr>
                      <m:sty m:val="p"/>
                    </m:rPr>
                    <a:rPr lang="en-US" sz="1000" b="0" i="0">
                      <a:latin typeface="Cambria Math" panose="02040503050406030204" pitchFamily="18" charset="0"/>
                      <a:ea typeface="Cambria Math" panose="02040503050406030204" pitchFamily="18" charset="0"/>
                    </a:rPr>
                    <m:t>MEMD</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Database</m:t>
                  </m:r>
                </m:oMath>
              </a14:m>
              <a:r>
                <a:rPr lang="en-US" sz="1000" i="0">
                  <a:latin typeface="+mn-lt"/>
                </a:rPr>
                <a:t> </a:t>
              </a:r>
            </a:p>
          </xdr:txBody>
        </xdr:sp>
      </mc:Choice>
      <mc:Fallback xmlns="">
        <xdr:sp macro="" textlink="">
          <xdr:nvSpPr>
            <xdr:cNvPr id="10" name="TextBox 9">
              <a:extLst>
                <a:ext uri="{FF2B5EF4-FFF2-40B4-BE49-F238E27FC236}">
                  <a16:creationId xmlns:a16="http://schemas.microsoft.com/office/drawing/2014/main" id="{A713EEAF-4622-4EBF-B2C3-A2AD689FE21F}"/>
                </a:ext>
              </a:extLst>
            </xdr:cNvPr>
            <xdr:cNvSpPr txBox="1"/>
          </xdr:nvSpPr>
          <xdr:spPr>
            <a:xfrm>
              <a:off x="2705100" y="7019925"/>
              <a:ext cx="35971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000" i="0">
                  <a:latin typeface="Cambria Math" panose="02040503050406030204" pitchFamily="18" charset="0"/>
                  <a:ea typeface="Cambria Math" panose="02040503050406030204" pitchFamily="18" charset="0"/>
                </a:rPr>
                <a:t>D</a:t>
              </a:r>
              <a:r>
                <a:rPr lang="en-US" sz="1000" b="0" i="0">
                  <a:latin typeface="Cambria Math" panose="02040503050406030204" pitchFamily="18" charset="0"/>
                  <a:ea typeface="Cambria Math" panose="02040503050406030204" pitchFamily="18" charset="0"/>
                </a:rPr>
                <a:t>eemed Value, per 2018 MEMD Database</a:t>
              </a:r>
              <a:r>
                <a:rPr lang="en-US" sz="1000" i="0">
                  <a:latin typeface="+mn-lt"/>
                </a:rPr>
                <a:t> </a:t>
              </a:r>
            </a:p>
          </xdr:txBody>
        </xdr:sp>
      </mc:Fallback>
    </mc:AlternateContent>
    <xdr:clientData/>
  </xdr:twoCellAnchor>
  <xdr:oneCellAnchor>
    <xdr:from>
      <xdr:col>5</xdr:col>
      <xdr:colOff>2269331</xdr:colOff>
      <xdr:row>15</xdr:row>
      <xdr:rowOff>0</xdr:rowOff>
    </xdr:from>
    <xdr:ext cx="65" cy="172227"/>
    <xdr:sp macro="" textlink="">
      <xdr:nvSpPr>
        <xdr:cNvPr id="12" name="TextBox 11">
          <a:extLst>
            <a:ext uri="{FF2B5EF4-FFF2-40B4-BE49-F238E27FC236}">
              <a16:creationId xmlns:a16="http://schemas.microsoft.com/office/drawing/2014/main" id="{00000000-0008-0000-0A00-00000C000000}"/>
            </a:ext>
          </a:extLst>
        </xdr:cNvPr>
        <xdr:cNvSpPr txBox="1"/>
      </xdr:nvSpPr>
      <xdr:spPr>
        <a:xfrm>
          <a:off x="7841456" y="187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0</xdr:rowOff>
    </xdr:from>
    <xdr:ext cx="65" cy="172227"/>
    <xdr:sp macro="" textlink="">
      <xdr:nvSpPr>
        <xdr:cNvPr id="13" name="TextBox 12">
          <a:extLst>
            <a:ext uri="{FF2B5EF4-FFF2-40B4-BE49-F238E27FC236}">
              <a16:creationId xmlns:a16="http://schemas.microsoft.com/office/drawing/2014/main" id="{00000000-0008-0000-0A00-00000D000000}"/>
            </a:ext>
          </a:extLst>
        </xdr:cNvPr>
        <xdr:cNvSpPr txBox="1"/>
      </xdr:nvSpPr>
      <xdr:spPr>
        <a:xfrm>
          <a:off x="7841456" y="187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0</xdr:rowOff>
    </xdr:from>
    <xdr:ext cx="65" cy="172227"/>
    <xdr:sp macro="" textlink="">
      <xdr:nvSpPr>
        <xdr:cNvPr id="14" name="TextBox 13">
          <a:extLst>
            <a:ext uri="{FF2B5EF4-FFF2-40B4-BE49-F238E27FC236}">
              <a16:creationId xmlns:a16="http://schemas.microsoft.com/office/drawing/2014/main" id="{00000000-0008-0000-0A00-00000E000000}"/>
            </a:ext>
          </a:extLst>
        </xdr:cNvPr>
        <xdr:cNvSpPr txBox="1"/>
      </xdr:nvSpPr>
      <xdr:spPr>
        <a:xfrm>
          <a:off x="7841456" y="187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15</xdr:row>
      <xdr:rowOff>0</xdr:rowOff>
    </xdr:from>
    <xdr:to>
      <xdr:col>6</xdr:col>
      <xdr:colOff>7209</xdr:colOff>
      <xdr:row>15</xdr:row>
      <xdr:rowOff>173417</xdr:rowOff>
    </xdr:to>
    <xdr:sp macro="" textlink="">
      <xdr:nvSpPr>
        <xdr:cNvPr id="15" name="TextBox 14">
          <a:extLst>
            <a:ext uri="{FF2B5EF4-FFF2-40B4-BE49-F238E27FC236}">
              <a16:creationId xmlns:a16="http://schemas.microsoft.com/office/drawing/2014/main" id="{00000000-0008-0000-0A00-00000F000000}"/>
            </a:ext>
          </a:extLst>
        </xdr:cNvPr>
        <xdr:cNvSpPr txBox="1"/>
      </xdr:nvSpPr>
      <xdr:spPr>
        <a:xfrm>
          <a:off x="7841456" y="1876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15</xdr:row>
      <xdr:rowOff>0</xdr:rowOff>
    </xdr:from>
    <xdr:to>
      <xdr:col>6</xdr:col>
      <xdr:colOff>7209</xdr:colOff>
      <xdr:row>15</xdr:row>
      <xdr:rowOff>173417</xdr:rowOff>
    </xdr:to>
    <xdr:sp macro="" textlink="">
      <xdr:nvSpPr>
        <xdr:cNvPr id="16" name="TextBox 15">
          <a:extLst>
            <a:ext uri="{FF2B5EF4-FFF2-40B4-BE49-F238E27FC236}">
              <a16:creationId xmlns:a16="http://schemas.microsoft.com/office/drawing/2014/main" id="{00000000-0008-0000-0A00-000010000000}"/>
            </a:ext>
          </a:extLst>
        </xdr:cNvPr>
        <xdr:cNvSpPr txBox="1"/>
      </xdr:nvSpPr>
      <xdr:spPr>
        <a:xfrm>
          <a:off x="7841456" y="1876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5</xdr:col>
      <xdr:colOff>2269331</xdr:colOff>
      <xdr:row>29</xdr:row>
      <xdr:rowOff>0</xdr:rowOff>
    </xdr:from>
    <xdr:ext cx="65" cy="172227"/>
    <xdr:sp macro="" textlink="">
      <xdr:nvSpPr>
        <xdr:cNvPr id="17" name="TextBox 16">
          <a:extLst>
            <a:ext uri="{FF2B5EF4-FFF2-40B4-BE49-F238E27FC236}">
              <a16:creationId xmlns:a16="http://schemas.microsoft.com/office/drawing/2014/main" id="{00000000-0008-0000-0A00-000011000000}"/>
            </a:ext>
          </a:extLst>
        </xdr:cNvPr>
        <xdr:cNvSpPr txBox="1"/>
      </xdr:nvSpPr>
      <xdr:spPr>
        <a:xfrm>
          <a:off x="7841456" y="340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29</xdr:row>
      <xdr:rowOff>0</xdr:rowOff>
    </xdr:from>
    <xdr:ext cx="65" cy="172227"/>
    <xdr:sp macro="" textlink="">
      <xdr:nvSpPr>
        <xdr:cNvPr id="18" name="TextBox 17">
          <a:extLst>
            <a:ext uri="{FF2B5EF4-FFF2-40B4-BE49-F238E27FC236}">
              <a16:creationId xmlns:a16="http://schemas.microsoft.com/office/drawing/2014/main" id="{00000000-0008-0000-0A00-000012000000}"/>
            </a:ext>
          </a:extLst>
        </xdr:cNvPr>
        <xdr:cNvSpPr txBox="1"/>
      </xdr:nvSpPr>
      <xdr:spPr>
        <a:xfrm>
          <a:off x="7841456" y="340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29</xdr:row>
      <xdr:rowOff>0</xdr:rowOff>
    </xdr:from>
    <xdr:ext cx="65" cy="172227"/>
    <xdr:sp macro="" textlink="">
      <xdr:nvSpPr>
        <xdr:cNvPr id="19" name="TextBox 18">
          <a:extLst>
            <a:ext uri="{FF2B5EF4-FFF2-40B4-BE49-F238E27FC236}">
              <a16:creationId xmlns:a16="http://schemas.microsoft.com/office/drawing/2014/main" id="{00000000-0008-0000-0A00-000013000000}"/>
            </a:ext>
          </a:extLst>
        </xdr:cNvPr>
        <xdr:cNvSpPr txBox="1"/>
      </xdr:nvSpPr>
      <xdr:spPr>
        <a:xfrm>
          <a:off x="7841456" y="340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29</xdr:row>
      <xdr:rowOff>0</xdr:rowOff>
    </xdr:from>
    <xdr:to>
      <xdr:col>6</xdr:col>
      <xdr:colOff>7209</xdr:colOff>
      <xdr:row>29</xdr:row>
      <xdr:rowOff>173417</xdr:rowOff>
    </xdr:to>
    <xdr:sp macro="" textlink="">
      <xdr:nvSpPr>
        <xdr:cNvPr id="20" name="TextBox 19">
          <a:extLst>
            <a:ext uri="{FF2B5EF4-FFF2-40B4-BE49-F238E27FC236}">
              <a16:creationId xmlns:a16="http://schemas.microsoft.com/office/drawing/2014/main" id="{00000000-0008-0000-0A00-000014000000}"/>
            </a:ext>
          </a:extLst>
        </xdr:cNvPr>
        <xdr:cNvSpPr txBox="1"/>
      </xdr:nvSpPr>
      <xdr:spPr>
        <a:xfrm>
          <a:off x="7841456" y="3400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29</xdr:row>
      <xdr:rowOff>0</xdr:rowOff>
    </xdr:from>
    <xdr:to>
      <xdr:col>6</xdr:col>
      <xdr:colOff>7209</xdr:colOff>
      <xdr:row>29</xdr:row>
      <xdr:rowOff>173417</xdr:rowOff>
    </xdr:to>
    <xdr:sp macro="" textlink="">
      <xdr:nvSpPr>
        <xdr:cNvPr id="21" name="TextBox 20">
          <a:extLst>
            <a:ext uri="{FF2B5EF4-FFF2-40B4-BE49-F238E27FC236}">
              <a16:creationId xmlns:a16="http://schemas.microsoft.com/office/drawing/2014/main" id="{00000000-0008-0000-0A00-000015000000}"/>
            </a:ext>
          </a:extLst>
        </xdr:cNvPr>
        <xdr:cNvSpPr txBox="1"/>
      </xdr:nvSpPr>
      <xdr:spPr>
        <a:xfrm>
          <a:off x="7841456" y="3400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26</xdr:col>
      <xdr:colOff>2269331</xdr:colOff>
      <xdr:row>3</xdr:row>
      <xdr:rowOff>0</xdr:rowOff>
    </xdr:from>
    <xdr:ext cx="65" cy="172227"/>
    <xdr:sp macro="" textlink="">
      <xdr:nvSpPr>
        <xdr:cNvPr id="23" name="TextBox 22">
          <a:extLst>
            <a:ext uri="{FF2B5EF4-FFF2-40B4-BE49-F238E27FC236}">
              <a16:creationId xmlns:a16="http://schemas.microsoft.com/office/drawing/2014/main" id="{00000000-0008-0000-0A00-000017000000}"/>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4" name="TextBox 23">
          <a:extLst>
            <a:ext uri="{FF2B5EF4-FFF2-40B4-BE49-F238E27FC236}">
              <a16:creationId xmlns:a16="http://schemas.microsoft.com/office/drawing/2014/main" id="{00000000-0008-0000-0A00-000018000000}"/>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5" name="TextBox 24">
          <a:extLst>
            <a:ext uri="{FF2B5EF4-FFF2-40B4-BE49-F238E27FC236}">
              <a16:creationId xmlns:a16="http://schemas.microsoft.com/office/drawing/2014/main" id="{00000000-0008-0000-0A00-000019000000}"/>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6" name="TextBox 25">
          <a:extLst>
            <a:ext uri="{FF2B5EF4-FFF2-40B4-BE49-F238E27FC236}">
              <a16:creationId xmlns:a16="http://schemas.microsoft.com/office/drawing/2014/main" id="{00000000-0008-0000-0A00-00001A000000}"/>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xdr:row>
      <xdr:rowOff>0</xdr:rowOff>
    </xdr:from>
    <xdr:ext cx="65" cy="172227"/>
    <xdr:sp macro="" textlink="">
      <xdr:nvSpPr>
        <xdr:cNvPr id="27" name="TextBox 26">
          <a:extLst>
            <a:ext uri="{FF2B5EF4-FFF2-40B4-BE49-F238E27FC236}">
              <a16:creationId xmlns:a16="http://schemas.microsoft.com/office/drawing/2014/main" id="{00000000-0008-0000-0A00-00001B000000}"/>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xdr:row>
      <xdr:rowOff>0</xdr:rowOff>
    </xdr:from>
    <xdr:ext cx="65" cy="172227"/>
    <xdr:sp macro="" textlink="">
      <xdr:nvSpPr>
        <xdr:cNvPr id="28" name="TextBox 27">
          <a:extLst>
            <a:ext uri="{FF2B5EF4-FFF2-40B4-BE49-F238E27FC236}">
              <a16:creationId xmlns:a16="http://schemas.microsoft.com/office/drawing/2014/main" id="{00000000-0008-0000-0A00-00001C000000}"/>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xdr:row>
      <xdr:rowOff>0</xdr:rowOff>
    </xdr:from>
    <xdr:ext cx="65" cy="172227"/>
    <xdr:sp macro="" textlink="">
      <xdr:nvSpPr>
        <xdr:cNvPr id="29" name="TextBox 28">
          <a:extLst>
            <a:ext uri="{FF2B5EF4-FFF2-40B4-BE49-F238E27FC236}">
              <a16:creationId xmlns:a16="http://schemas.microsoft.com/office/drawing/2014/main" id="{00000000-0008-0000-0A00-00001D000000}"/>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xdr:row>
      <xdr:rowOff>0</xdr:rowOff>
    </xdr:from>
    <xdr:ext cx="65" cy="172227"/>
    <xdr:sp macro="" textlink="">
      <xdr:nvSpPr>
        <xdr:cNvPr id="30" name="TextBox 29">
          <a:extLst>
            <a:ext uri="{FF2B5EF4-FFF2-40B4-BE49-F238E27FC236}">
              <a16:creationId xmlns:a16="http://schemas.microsoft.com/office/drawing/2014/main" id="{00000000-0008-0000-0A00-00001E000000}"/>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31</xdr:row>
      <xdr:rowOff>0</xdr:rowOff>
    </xdr:from>
    <xdr:ext cx="65" cy="172227"/>
    <xdr:sp macro="" textlink="">
      <xdr:nvSpPr>
        <xdr:cNvPr id="31" name="TextBox 30">
          <a:extLst>
            <a:ext uri="{FF2B5EF4-FFF2-40B4-BE49-F238E27FC236}">
              <a16:creationId xmlns:a16="http://schemas.microsoft.com/office/drawing/2014/main" id="{00000000-0008-0000-0A00-00001F000000}"/>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31</xdr:row>
      <xdr:rowOff>0</xdr:rowOff>
    </xdr:from>
    <xdr:ext cx="65" cy="172227"/>
    <xdr:sp macro="" textlink="">
      <xdr:nvSpPr>
        <xdr:cNvPr id="32" name="TextBox 31">
          <a:extLst>
            <a:ext uri="{FF2B5EF4-FFF2-40B4-BE49-F238E27FC236}">
              <a16:creationId xmlns:a16="http://schemas.microsoft.com/office/drawing/2014/main" id="{00000000-0008-0000-0A00-000020000000}"/>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31</xdr:row>
      <xdr:rowOff>0</xdr:rowOff>
    </xdr:from>
    <xdr:ext cx="65" cy="172227"/>
    <xdr:sp macro="" textlink="">
      <xdr:nvSpPr>
        <xdr:cNvPr id="33" name="TextBox 32">
          <a:extLst>
            <a:ext uri="{FF2B5EF4-FFF2-40B4-BE49-F238E27FC236}">
              <a16:creationId xmlns:a16="http://schemas.microsoft.com/office/drawing/2014/main" id="{00000000-0008-0000-0A00-000021000000}"/>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31</xdr:row>
      <xdr:rowOff>0</xdr:rowOff>
    </xdr:from>
    <xdr:ext cx="65" cy="172227"/>
    <xdr:sp macro="" textlink="">
      <xdr:nvSpPr>
        <xdr:cNvPr id="34" name="TextBox 33">
          <a:extLst>
            <a:ext uri="{FF2B5EF4-FFF2-40B4-BE49-F238E27FC236}">
              <a16:creationId xmlns:a16="http://schemas.microsoft.com/office/drawing/2014/main" id="{00000000-0008-0000-0A00-000022000000}"/>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xdr:row>
      <xdr:rowOff>0</xdr:rowOff>
    </xdr:from>
    <xdr:ext cx="65" cy="172227"/>
    <xdr:sp macro="" textlink="">
      <xdr:nvSpPr>
        <xdr:cNvPr id="35" name="TextBox 34">
          <a:extLst>
            <a:ext uri="{FF2B5EF4-FFF2-40B4-BE49-F238E27FC236}">
              <a16:creationId xmlns:a16="http://schemas.microsoft.com/office/drawing/2014/main" id="{00000000-0008-0000-0A00-000023000000}"/>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xdr:row>
      <xdr:rowOff>0</xdr:rowOff>
    </xdr:from>
    <xdr:ext cx="65" cy="172227"/>
    <xdr:sp macro="" textlink="">
      <xdr:nvSpPr>
        <xdr:cNvPr id="36" name="TextBox 35">
          <a:extLst>
            <a:ext uri="{FF2B5EF4-FFF2-40B4-BE49-F238E27FC236}">
              <a16:creationId xmlns:a16="http://schemas.microsoft.com/office/drawing/2014/main" id="{00000000-0008-0000-0A00-000024000000}"/>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xdr:row>
      <xdr:rowOff>0</xdr:rowOff>
    </xdr:from>
    <xdr:ext cx="65" cy="172227"/>
    <xdr:sp macro="" textlink="">
      <xdr:nvSpPr>
        <xdr:cNvPr id="37" name="TextBox 36">
          <a:extLst>
            <a:ext uri="{FF2B5EF4-FFF2-40B4-BE49-F238E27FC236}">
              <a16:creationId xmlns:a16="http://schemas.microsoft.com/office/drawing/2014/main" id="{00000000-0008-0000-0A00-000025000000}"/>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xdr:row>
      <xdr:rowOff>0</xdr:rowOff>
    </xdr:from>
    <xdr:ext cx="65" cy="172227"/>
    <xdr:sp macro="" textlink="">
      <xdr:nvSpPr>
        <xdr:cNvPr id="38" name="TextBox 37">
          <a:extLst>
            <a:ext uri="{FF2B5EF4-FFF2-40B4-BE49-F238E27FC236}">
              <a16:creationId xmlns:a16="http://schemas.microsoft.com/office/drawing/2014/main" id="{00000000-0008-0000-0A00-000026000000}"/>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453627</xdr:rowOff>
    </xdr:from>
    <xdr:ext cx="65" cy="172227"/>
    <xdr:sp macro="" textlink="">
      <xdr:nvSpPr>
        <xdr:cNvPr id="39" name="TextBox 38">
          <a:extLst>
            <a:ext uri="{FF2B5EF4-FFF2-40B4-BE49-F238E27FC236}">
              <a16:creationId xmlns:a16="http://schemas.microsoft.com/office/drawing/2014/main" id="{47DB3C7D-A405-4770-B6BF-2AFFA63D1FFA}"/>
            </a:ext>
          </a:extLst>
        </xdr:cNvPr>
        <xdr:cNvSpPr txBox="1"/>
      </xdr:nvSpPr>
      <xdr:spPr>
        <a:xfrm>
          <a:off x="7844177" y="33982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453627</xdr:rowOff>
    </xdr:from>
    <xdr:ext cx="65" cy="172227"/>
    <xdr:sp macro="" textlink="">
      <xdr:nvSpPr>
        <xdr:cNvPr id="40" name="TextBox 39">
          <a:extLst>
            <a:ext uri="{FF2B5EF4-FFF2-40B4-BE49-F238E27FC236}">
              <a16:creationId xmlns:a16="http://schemas.microsoft.com/office/drawing/2014/main" id="{A35C3AA7-90A6-42FF-914E-E5137CB9C953}"/>
            </a:ext>
          </a:extLst>
        </xdr:cNvPr>
        <xdr:cNvSpPr txBox="1"/>
      </xdr:nvSpPr>
      <xdr:spPr>
        <a:xfrm>
          <a:off x="7844177" y="33982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453627</xdr:rowOff>
    </xdr:from>
    <xdr:ext cx="65" cy="172227"/>
    <xdr:sp macro="" textlink="">
      <xdr:nvSpPr>
        <xdr:cNvPr id="41" name="TextBox 40">
          <a:extLst>
            <a:ext uri="{FF2B5EF4-FFF2-40B4-BE49-F238E27FC236}">
              <a16:creationId xmlns:a16="http://schemas.microsoft.com/office/drawing/2014/main" id="{C863BFDC-727A-4952-A5D1-5F088BA34858}"/>
            </a:ext>
          </a:extLst>
        </xdr:cNvPr>
        <xdr:cNvSpPr txBox="1"/>
      </xdr:nvSpPr>
      <xdr:spPr>
        <a:xfrm>
          <a:off x="7844177" y="33982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15</xdr:row>
      <xdr:rowOff>453627</xdr:rowOff>
    </xdr:from>
    <xdr:to>
      <xdr:col>6</xdr:col>
      <xdr:colOff>7209</xdr:colOff>
      <xdr:row>16</xdr:row>
      <xdr:rowOff>173417</xdr:rowOff>
    </xdr:to>
    <xdr:sp macro="" textlink="">
      <xdr:nvSpPr>
        <xdr:cNvPr id="42" name="TextBox 41">
          <a:extLst>
            <a:ext uri="{FF2B5EF4-FFF2-40B4-BE49-F238E27FC236}">
              <a16:creationId xmlns:a16="http://schemas.microsoft.com/office/drawing/2014/main" id="{7B4C7A65-8BB6-4CBE-9059-88BC6617D8E6}"/>
            </a:ext>
          </a:extLst>
        </xdr:cNvPr>
        <xdr:cNvSpPr txBox="1"/>
      </xdr:nvSpPr>
      <xdr:spPr>
        <a:xfrm>
          <a:off x="7844177" y="3398213"/>
          <a:ext cx="746"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15</xdr:row>
      <xdr:rowOff>453627</xdr:rowOff>
    </xdr:from>
    <xdr:to>
      <xdr:col>6</xdr:col>
      <xdr:colOff>7209</xdr:colOff>
      <xdr:row>16</xdr:row>
      <xdr:rowOff>173417</xdr:rowOff>
    </xdr:to>
    <xdr:sp macro="" textlink="">
      <xdr:nvSpPr>
        <xdr:cNvPr id="43" name="TextBox 42">
          <a:extLst>
            <a:ext uri="{FF2B5EF4-FFF2-40B4-BE49-F238E27FC236}">
              <a16:creationId xmlns:a16="http://schemas.microsoft.com/office/drawing/2014/main" id="{38CE5931-E320-4859-B889-19E9F2C5C265}"/>
            </a:ext>
          </a:extLst>
        </xdr:cNvPr>
        <xdr:cNvSpPr txBox="1"/>
      </xdr:nvSpPr>
      <xdr:spPr>
        <a:xfrm>
          <a:off x="7844177" y="3398213"/>
          <a:ext cx="746"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5</xdr:col>
      <xdr:colOff>2269331</xdr:colOff>
      <xdr:row>29</xdr:row>
      <xdr:rowOff>453627</xdr:rowOff>
    </xdr:from>
    <xdr:ext cx="65" cy="172227"/>
    <xdr:sp macro="" textlink="">
      <xdr:nvSpPr>
        <xdr:cNvPr id="44" name="TextBox 43">
          <a:extLst>
            <a:ext uri="{FF2B5EF4-FFF2-40B4-BE49-F238E27FC236}">
              <a16:creationId xmlns:a16="http://schemas.microsoft.com/office/drawing/2014/main" id="{2F9A4248-72E7-4587-8A53-DA7E6311618E}"/>
            </a:ext>
          </a:extLst>
        </xdr:cNvPr>
        <xdr:cNvSpPr txBox="1"/>
      </xdr:nvSpPr>
      <xdr:spPr>
        <a:xfrm>
          <a:off x="7844177" y="70177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29</xdr:row>
      <xdr:rowOff>453627</xdr:rowOff>
    </xdr:from>
    <xdr:ext cx="65" cy="172227"/>
    <xdr:sp macro="" textlink="">
      <xdr:nvSpPr>
        <xdr:cNvPr id="45" name="TextBox 44">
          <a:extLst>
            <a:ext uri="{FF2B5EF4-FFF2-40B4-BE49-F238E27FC236}">
              <a16:creationId xmlns:a16="http://schemas.microsoft.com/office/drawing/2014/main" id="{002B09B4-8137-491F-8B8E-E7EF99105F95}"/>
            </a:ext>
          </a:extLst>
        </xdr:cNvPr>
        <xdr:cNvSpPr txBox="1"/>
      </xdr:nvSpPr>
      <xdr:spPr>
        <a:xfrm>
          <a:off x="7844177" y="70177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29</xdr:row>
      <xdr:rowOff>453627</xdr:rowOff>
    </xdr:from>
    <xdr:ext cx="65" cy="172227"/>
    <xdr:sp macro="" textlink="">
      <xdr:nvSpPr>
        <xdr:cNvPr id="46" name="TextBox 45">
          <a:extLst>
            <a:ext uri="{FF2B5EF4-FFF2-40B4-BE49-F238E27FC236}">
              <a16:creationId xmlns:a16="http://schemas.microsoft.com/office/drawing/2014/main" id="{79979737-8278-4C10-B967-3E9210B8E52B}"/>
            </a:ext>
          </a:extLst>
        </xdr:cNvPr>
        <xdr:cNvSpPr txBox="1"/>
      </xdr:nvSpPr>
      <xdr:spPr>
        <a:xfrm>
          <a:off x="7844177" y="70177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29</xdr:row>
      <xdr:rowOff>453627</xdr:rowOff>
    </xdr:from>
    <xdr:to>
      <xdr:col>6</xdr:col>
      <xdr:colOff>7209</xdr:colOff>
      <xdr:row>30</xdr:row>
      <xdr:rowOff>173417</xdr:rowOff>
    </xdr:to>
    <xdr:sp macro="" textlink="">
      <xdr:nvSpPr>
        <xdr:cNvPr id="47" name="TextBox 46">
          <a:extLst>
            <a:ext uri="{FF2B5EF4-FFF2-40B4-BE49-F238E27FC236}">
              <a16:creationId xmlns:a16="http://schemas.microsoft.com/office/drawing/2014/main" id="{6C0B2711-4C6A-4278-8294-952531E52382}"/>
            </a:ext>
          </a:extLst>
        </xdr:cNvPr>
        <xdr:cNvSpPr txBox="1"/>
      </xdr:nvSpPr>
      <xdr:spPr>
        <a:xfrm>
          <a:off x="7844177" y="7017713"/>
          <a:ext cx="746"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29</xdr:row>
      <xdr:rowOff>453627</xdr:rowOff>
    </xdr:from>
    <xdr:to>
      <xdr:col>6</xdr:col>
      <xdr:colOff>7209</xdr:colOff>
      <xdr:row>30</xdr:row>
      <xdr:rowOff>173417</xdr:rowOff>
    </xdr:to>
    <xdr:sp macro="" textlink="">
      <xdr:nvSpPr>
        <xdr:cNvPr id="48" name="TextBox 47">
          <a:extLst>
            <a:ext uri="{FF2B5EF4-FFF2-40B4-BE49-F238E27FC236}">
              <a16:creationId xmlns:a16="http://schemas.microsoft.com/office/drawing/2014/main" id="{AB54A0E2-9BB0-4161-9D16-0B29C546B3E1}"/>
            </a:ext>
          </a:extLst>
        </xdr:cNvPr>
        <xdr:cNvSpPr txBox="1"/>
      </xdr:nvSpPr>
      <xdr:spPr>
        <a:xfrm>
          <a:off x="7844177" y="7017713"/>
          <a:ext cx="746"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1666875</xdr:colOff>
      <xdr:row>9</xdr:row>
      <xdr:rowOff>0</xdr:rowOff>
    </xdr:from>
    <xdr:to>
      <xdr:col>6</xdr:col>
      <xdr:colOff>1019175</xdr:colOff>
      <xdr:row>10</xdr:row>
      <xdr:rowOff>52643</xdr:rowOff>
    </xdr:to>
    <mc:AlternateContent xmlns:mc="http://schemas.openxmlformats.org/markup-compatibility/2006" xmlns:a14="http://schemas.microsoft.com/office/drawing/2010/main">
      <mc:Choice Requires="a14">
        <xdr:sp macro="" textlink="">
          <xdr:nvSpPr>
            <xdr:cNvPr id="49" name="TextBox 48">
              <a:extLst>
                <a:ext uri="{FF2B5EF4-FFF2-40B4-BE49-F238E27FC236}">
                  <a16:creationId xmlns:a16="http://schemas.microsoft.com/office/drawing/2014/main" id="{96CF3739-7640-4E94-8F30-62E39DB0859E}"/>
                </a:ext>
                <a:ext uri="{147F2762-F138-4A5C-976F-8EAC2B608ADB}">
                  <a16:predDERef xmlns:a16="http://schemas.microsoft.com/office/drawing/2014/main" pred="{C125002D-56F9-4A0F-95DC-27B4327F8B3A}"/>
                </a:ext>
              </a:extLst>
            </xdr:cNvPr>
            <xdr:cNvSpPr txBox="1"/>
          </xdr:nvSpPr>
          <xdr:spPr>
            <a:xfrm>
              <a:off x="5715000" y="206692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sSub>
                      <m:sSubPr>
                        <m:ctrlPr>
                          <a:rPr lang="en-US" sz="140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𝑘𝑊h</m:t>
                        </m:r>
                      </m:e>
                      <m: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𝑈𝑛𝑖𝑡</m:t>
                        </m:r>
                      </m:sub>
                    </m:s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i="1">
                        <a:solidFill>
                          <a:sysClr val="windowText" lastClr="000000"/>
                        </a:solidFill>
                        <a:latin typeface="Cambria Math" panose="02040503050406030204" pitchFamily="18" charset="0"/>
                        <a:ea typeface="Cambria Math" panose="02040503050406030204" pitchFamily="18" charset="0"/>
                      </a:rPr>
                      <m:t>𝑈</m:t>
                    </m:r>
                    <m:r>
                      <a:rPr lang="en-US" sz="1400" b="0" i="1">
                        <a:solidFill>
                          <a:sysClr val="windowText" lastClr="000000"/>
                        </a:solidFill>
                        <a:latin typeface="Cambria Math" panose="02040503050406030204" pitchFamily="18" charset="0"/>
                        <a:ea typeface="Cambria Math" panose="02040503050406030204" pitchFamily="18" charset="0"/>
                      </a:rPr>
                      <m:t>𝐸𝐶</m:t>
                    </m:r>
                    <m:r>
                      <a:rPr lang="en-US" sz="1400" b="0" i="1" baseline="0">
                        <a:solidFill>
                          <a:sysClr val="windowText" lastClr="000000"/>
                        </a:solidFill>
                        <a:latin typeface="Cambria Math" panose="02040503050406030204" pitchFamily="18" charset="0"/>
                        <a:ea typeface="Cambria Math" panose="02040503050406030204" pitchFamily="18" charset="0"/>
                      </a:rPr>
                      <m:t>∗</m:t>
                    </m:r>
                    <m:r>
                      <a:rPr lang="en-US" sz="1400" b="0" i="1" baseline="0">
                        <a:solidFill>
                          <a:sysClr val="windowText" lastClr="000000"/>
                        </a:solidFill>
                        <a:latin typeface="Cambria Math" panose="02040503050406030204" pitchFamily="18" charset="0"/>
                        <a:ea typeface="Cambria Math" panose="02040503050406030204" pitchFamily="18" charset="0"/>
                      </a:rPr>
                      <m:t>𝑃𝑎𝑟𝑡</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𝑈𝑠𝑒</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𝐹𝑎𝑐𝑡𝑜𝑟</m:t>
                    </m:r>
                  </m:oMath>
                </m:oMathPara>
              </a14:m>
              <a:endParaRPr lang="en-US" sz="1000" i="0">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49" name="TextBox 48">
              <a:extLst>
                <a:ext uri="{FF2B5EF4-FFF2-40B4-BE49-F238E27FC236}">
                  <a16:creationId xmlns:a16="http://schemas.microsoft.com/office/drawing/2014/main" id="{96CF3739-7640-4E94-8F30-62E39DB0859E}"/>
                </a:ext>
                <a:ext uri="{147F2762-F138-4A5C-976F-8EAC2B608ADB}">
                  <a16:predDERef xmlns:a16="http://schemas.microsoft.com/office/drawing/2014/main" pred="{C125002D-56F9-4A0F-95DC-27B4327F8B3A}"/>
                </a:ext>
              </a:extLst>
            </xdr:cNvPr>
            <xdr:cNvSpPr txBox="1"/>
          </xdr:nvSpPr>
          <xdr:spPr>
            <a:xfrm>
              <a:off x="5715000" y="206692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𝑘𝑊ℎ〗_𝑈𝑛𝑖𝑡=</a:t>
              </a:r>
              <a:r>
                <a:rPr lang="en-US" sz="1400" i="0">
                  <a:solidFill>
                    <a:sysClr val="windowText" lastClr="000000"/>
                  </a:solidFill>
                  <a:latin typeface="Cambria Math" panose="02040503050406030204" pitchFamily="18" charset="0"/>
                  <a:ea typeface="Cambria Math" panose="02040503050406030204" pitchFamily="18" charset="0"/>
                </a:rPr>
                <a:t>𝑈</a:t>
              </a:r>
              <a:r>
                <a:rPr lang="en-US" sz="1400" b="0" i="0">
                  <a:solidFill>
                    <a:sysClr val="windowText" lastClr="000000"/>
                  </a:solidFill>
                  <a:latin typeface="Cambria Math" panose="02040503050406030204" pitchFamily="18" charset="0"/>
                  <a:ea typeface="Cambria Math" panose="02040503050406030204" pitchFamily="18" charset="0"/>
                </a:rPr>
                <a:t>𝐸𝐶</a:t>
              </a:r>
              <a:r>
                <a:rPr lang="en-US" sz="1400" b="0" i="0" baseline="0">
                  <a:solidFill>
                    <a:sysClr val="windowText" lastClr="000000"/>
                  </a:solidFill>
                  <a:latin typeface="Cambria Math" panose="02040503050406030204" pitchFamily="18" charset="0"/>
                  <a:ea typeface="Cambria Math" panose="02040503050406030204" pitchFamily="18" charset="0"/>
                </a:rPr>
                <a:t>∗𝑃𝑎𝑟𝑡 𝑈𝑠𝑒 𝐹𝑎𝑐𝑡𝑜𝑟</a:t>
              </a:r>
              <a:endParaRPr lang="en-US" sz="1000" i="0">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4</xdr:col>
      <xdr:colOff>1647825</xdr:colOff>
      <xdr:row>10</xdr:row>
      <xdr:rowOff>123825</xdr:rowOff>
    </xdr:from>
    <xdr:to>
      <xdr:col>6</xdr:col>
      <xdr:colOff>1000125</xdr:colOff>
      <xdr:row>11</xdr:row>
      <xdr:rowOff>176468</xdr:rowOff>
    </xdr:to>
    <mc:AlternateContent xmlns:mc="http://schemas.openxmlformats.org/markup-compatibility/2006" xmlns:a14="http://schemas.microsoft.com/office/drawing/2010/main">
      <mc:Choice Requires="a14">
        <xdr:sp macro="" textlink="">
          <xdr:nvSpPr>
            <xdr:cNvPr id="50" name="TextBox 49">
              <a:extLst>
                <a:ext uri="{FF2B5EF4-FFF2-40B4-BE49-F238E27FC236}">
                  <a16:creationId xmlns:a16="http://schemas.microsoft.com/office/drawing/2014/main" id="{1CF79FB5-29EB-4FB2-9EC2-41BEB92195DF}"/>
                </a:ext>
                <a:ext uri="{147F2762-F138-4A5C-976F-8EAC2B608ADB}">
                  <a16:predDERef xmlns:a16="http://schemas.microsoft.com/office/drawing/2014/main" pred="{C125002D-56F9-4A0F-95DC-27B4327F8B3A}"/>
                </a:ext>
              </a:extLst>
            </xdr:cNvPr>
            <xdr:cNvSpPr txBox="1"/>
          </xdr:nvSpPr>
          <xdr:spPr>
            <a:xfrm>
              <a:off x="5695950" y="2381250"/>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i="1">
                        <a:solidFill>
                          <a:sysClr val="windowText" lastClr="000000"/>
                        </a:solidFill>
                        <a:latin typeface="Cambria Math" panose="02040503050406030204" pitchFamily="18" charset="0"/>
                        <a:ea typeface="Cambria Math" panose="02040503050406030204" pitchFamily="18" charset="0"/>
                      </a:rPr>
                      <m:t>𝑘</m:t>
                    </m:r>
                    <m:r>
                      <a:rPr lang="en-US" sz="1400" b="0" i="1">
                        <a:solidFill>
                          <a:sysClr val="windowText" lastClr="000000"/>
                        </a:solidFill>
                        <a:latin typeface="Cambria Math" panose="02040503050406030204" pitchFamily="18" charset="0"/>
                        <a:ea typeface="Cambria Math" panose="02040503050406030204" pitchFamily="18" charset="0"/>
                      </a:rPr>
                      <m:t>𝑊h</m:t>
                    </m:r>
                    <m:r>
                      <a:rPr lang="en-US" sz="1400" b="0" i="1" baseline="0">
                        <a:solidFill>
                          <a:sysClr val="windowText" lastClr="000000"/>
                        </a:solidFill>
                        <a:latin typeface="Cambria Math" panose="02040503050406030204" pitchFamily="18" charset="0"/>
                        <a:ea typeface="Cambria Math" panose="02040503050406030204" pitchFamily="18" charset="0"/>
                      </a:rPr>
                      <m:t>∗</m:t>
                    </m:r>
                    <m:r>
                      <a:rPr lang="en-US" sz="1400" b="0" i="1" baseline="0">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000" i="0">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50" name="TextBox 49">
              <a:extLst>
                <a:ext uri="{FF2B5EF4-FFF2-40B4-BE49-F238E27FC236}">
                  <a16:creationId xmlns:a16="http://schemas.microsoft.com/office/drawing/2014/main" id="{1CF79FB5-29EB-4FB2-9EC2-41BEB92195DF}"/>
                </a:ext>
                <a:ext uri="{147F2762-F138-4A5C-976F-8EAC2B608ADB}">
                  <a16:predDERef xmlns:a16="http://schemas.microsoft.com/office/drawing/2014/main" pred="{C125002D-56F9-4A0F-95DC-27B4327F8B3A}"/>
                </a:ext>
              </a:extLst>
            </xdr:cNvPr>
            <xdr:cNvSpPr txBox="1"/>
          </xdr:nvSpPr>
          <xdr:spPr>
            <a:xfrm>
              <a:off x="5695950" y="2381250"/>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i="0">
                  <a:solidFill>
                    <a:sysClr val="windowText" lastClr="000000"/>
                  </a:solidFill>
                  <a:latin typeface="Cambria Math" panose="02040503050406030204" pitchFamily="18" charset="0"/>
                  <a:ea typeface="Cambria Math" panose="02040503050406030204" pitchFamily="18" charset="0"/>
                </a:rPr>
                <a:t>𝑘</a:t>
              </a:r>
              <a:r>
                <a:rPr lang="en-US" sz="1400" b="0" i="0">
                  <a:solidFill>
                    <a:sysClr val="windowText" lastClr="000000"/>
                  </a:solidFill>
                  <a:latin typeface="Cambria Math" panose="02040503050406030204" pitchFamily="18" charset="0"/>
                  <a:ea typeface="Cambria Math" panose="02040503050406030204" pitchFamily="18" charset="0"/>
                </a:rPr>
                <a:t>𝑊ℎ</a:t>
              </a:r>
              <a:r>
                <a:rPr lang="en-US" sz="1400" b="0" i="0" baseline="0">
                  <a:solidFill>
                    <a:sysClr val="windowText" lastClr="000000"/>
                  </a:solidFill>
                  <a:latin typeface="Cambria Math" panose="02040503050406030204" pitchFamily="18" charset="0"/>
                  <a:ea typeface="Cambria Math" panose="02040503050406030204" pitchFamily="18" charset="0"/>
                </a:rPr>
                <a:t>∗𝐶𝐹</a:t>
              </a:r>
              <a:endParaRPr lang="en-US" sz="1000" i="0">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5</xdr:col>
      <xdr:colOff>19050</xdr:colOff>
      <xdr:row>23</xdr:row>
      <xdr:rowOff>0</xdr:rowOff>
    </xdr:from>
    <xdr:to>
      <xdr:col>7</xdr:col>
      <xdr:colOff>590550</xdr:colOff>
      <xdr:row>24</xdr:row>
      <xdr:rowOff>52643</xdr:rowOff>
    </xdr:to>
    <mc:AlternateContent xmlns:mc="http://schemas.openxmlformats.org/markup-compatibility/2006" xmlns:a14="http://schemas.microsoft.com/office/drawing/2010/main">
      <mc:Choice Requires="a14">
        <xdr:sp macro="" textlink="">
          <xdr:nvSpPr>
            <xdr:cNvPr id="51" name="TextBox 50">
              <a:extLst>
                <a:ext uri="{FF2B5EF4-FFF2-40B4-BE49-F238E27FC236}">
                  <a16:creationId xmlns:a16="http://schemas.microsoft.com/office/drawing/2014/main" id="{BFBA3094-3ED8-4B4F-ADF2-9EBAF73438D4}"/>
                </a:ext>
                <a:ext uri="{147F2762-F138-4A5C-976F-8EAC2B608ADB}">
                  <a16:predDERef xmlns:a16="http://schemas.microsoft.com/office/drawing/2014/main" pred="{C125002D-56F9-4A0F-95DC-27B4327F8B3A}"/>
                </a:ext>
              </a:extLst>
            </xdr:cNvPr>
            <xdr:cNvSpPr txBox="1"/>
          </xdr:nvSpPr>
          <xdr:spPr>
            <a:xfrm>
              <a:off x="6534150" y="568642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sSub>
                      <m:sSub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𝑘𝑊h</m:t>
                        </m:r>
                      </m:e>
                      <m: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𝑈𝑛𝑖𝑡</m:t>
                        </m:r>
                      </m:sub>
                    </m:s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i="1">
                        <a:solidFill>
                          <a:sysClr val="windowText" lastClr="000000"/>
                        </a:solidFill>
                        <a:latin typeface="Cambria Math" panose="02040503050406030204" pitchFamily="18" charset="0"/>
                        <a:ea typeface="Cambria Math" panose="02040503050406030204" pitchFamily="18" charset="0"/>
                      </a:rPr>
                      <m:t>𝑈</m:t>
                    </m:r>
                    <m:r>
                      <a:rPr lang="en-US" sz="1400" b="0" i="1">
                        <a:solidFill>
                          <a:sysClr val="windowText" lastClr="000000"/>
                        </a:solidFill>
                        <a:latin typeface="Cambria Math" panose="02040503050406030204" pitchFamily="18" charset="0"/>
                        <a:ea typeface="Cambria Math" panose="02040503050406030204" pitchFamily="18" charset="0"/>
                      </a:rPr>
                      <m:t>𝐸𝐶</m:t>
                    </m:r>
                    <m:r>
                      <a:rPr lang="en-US" sz="1400" b="0" i="1" baseline="0">
                        <a:solidFill>
                          <a:sysClr val="windowText" lastClr="000000"/>
                        </a:solidFill>
                        <a:latin typeface="Cambria Math" panose="02040503050406030204" pitchFamily="18" charset="0"/>
                        <a:ea typeface="Cambria Math" panose="02040503050406030204" pitchFamily="18" charset="0"/>
                      </a:rPr>
                      <m:t>∗</m:t>
                    </m:r>
                    <m:r>
                      <a:rPr lang="en-US" sz="1400" b="0" i="1" baseline="0">
                        <a:solidFill>
                          <a:sysClr val="windowText" lastClr="000000"/>
                        </a:solidFill>
                        <a:latin typeface="Cambria Math" panose="02040503050406030204" pitchFamily="18" charset="0"/>
                        <a:ea typeface="Cambria Math" panose="02040503050406030204" pitchFamily="18" charset="0"/>
                      </a:rPr>
                      <m:t>𝑃𝑎𝑟𝑡</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𝑈𝑠𝑒</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𝐹𝑎𝑐𝑡𝑜𝑟</m:t>
                    </m:r>
                  </m:oMath>
                </m:oMathPara>
              </a14:m>
              <a:endParaRPr lang="en-US" sz="1000" i="0">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51" name="TextBox 50">
              <a:extLst>
                <a:ext uri="{FF2B5EF4-FFF2-40B4-BE49-F238E27FC236}">
                  <a16:creationId xmlns:a16="http://schemas.microsoft.com/office/drawing/2014/main" id="{BFBA3094-3ED8-4B4F-ADF2-9EBAF73438D4}"/>
                </a:ext>
                <a:ext uri="{147F2762-F138-4A5C-976F-8EAC2B608ADB}">
                  <a16:predDERef xmlns:a16="http://schemas.microsoft.com/office/drawing/2014/main" pred="{C125002D-56F9-4A0F-95DC-27B4327F8B3A}"/>
                </a:ext>
              </a:extLst>
            </xdr:cNvPr>
            <xdr:cNvSpPr txBox="1"/>
          </xdr:nvSpPr>
          <xdr:spPr>
            <a:xfrm>
              <a:off x="6534150" y="568642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〖∆𝑘𝑊ℎ〗_𝑈𝑛𝑖𝑡=</a:t>
              </a:r>
              <a:r>
                <a:rPr lang="en-US" sz="1400" i="0">
                  <a:solidFill>
                    <a:sysClr val="windowText" lastClr="000000"/>
                  </a:solidFill>
                  <a:latin typeface="Cambria Math" panose="02040503050406030204" pitchFamily="18" charset="0"/>
                  <a:ea typeface="Cambria Math" panose="02040503050406030204" pitchFamily="18" charset="0"/>
                </a:rPr>
                <a:t>𝑈</a:t>
              </a:r>
              <a:r>
                <a:rPr lang="en-US" sz="1400" b="0" i="0">
                  <a:solidFill>
                    <a:sysClr val="windowText" lastClr="000000"/>
                  </a:solidFill>
                  <a:latin typeface="Cambria Math" panose="02040503050406030204" pitchFamily="18" charset="0"/>
                  <a:ea typeface="Cambria Math" panose="02040503050406030204" pitchFamily="18" charset="0"/>
                </a:rPr>
                <a:t>𝐸𝐶</a:t>
              </a:r>
              <a:r>
                <a:rPr lang="en-US" sz="1400" b="0" i="0" baseline="0">
                  <a:solidFill>
                    <a:sysClr val="windowText" lastClr="000000"/>
                  </a:solidFill>
                  <a:latin typeface="Cambria Math" panose="02040503050406030204" pitchFamily="18" charset="0"/>
                  <a:ea typeface="Cambria Math" panose="02040503050406030204" pitchFamily="18" charset="0"/>
                </a:rPr>
                <a:t>∗𝑃𝑎𝑟𝑡 𝑈𝑠𝑒 𝐹𝑎𝑐𝑡𝑜𝑟</a:t>
              </a:r>
              <a:endParaRPr lang="en-US" sz="1000" i="0">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5</xdr:col>
      <xdr:colOff>0</xdr:colOff>
      <xdr:row>24</xdr:row>
      <xdr:rowOff>171450</xdr:rowOff>
    </xdr:from>
    <xdr:to>
      <xdr:col>7</xdr:col>
      <xdr:colOff>571500</xdr:colOff>
      <xdr:row>26</xdr:row>
      <xdr:rowOff>33593</xdr:rowOff>
    </xdr:to>
    <mc:AlternateContent xmlns:mc="http://schemas.openxmlformats.org/markup-compatibility/2006" xmlns:a14="http://schemas.microsoft.com/office/drawing/2010/main">
      <mc:Choice Requires="a14">
        <xdr:sp macro="" textlink="">
          <xdr:nvSpPr>
            <xdr:cNvPr id="52" name="TextBox 51">
              <a:extLst>
                <a:ext uri="{FF2B5EF4-FFF2-40B4-BE49-F238E27FC236}">
                  <a16:creationId xmlns:a16="http://schemas.microsoft.com/office/drawing/2014/main" id="{2F85E793-73A6-458C-8538-BCC0EFDB20C6}"/>
                </a:ext>
                <a:ext uri="{147F2762-F138-4A5C-976F-8EAC2B608ADB}">
                  <a16:predDERef xmlns:a16="http://schemas.microsoft.com/office/drawing/2014/main" pred="{C125002D-56F9-4A0F-95DC-27B4327F8B3A}"/>
                </a:ext>
              </a:extLst>
            </xdr:cNvPr>
            <xdr:cNvSpPr txBox="1"/>
          </xdr:nvSpPr>
          <xdr:spPr>
            <a:xfrm>
              <a:off x="6515100" y="604837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i="1">
                        <a:solidFill>
                          <a:sysClr val="windowText" lastClr="000000"/>
                        </a:solidFill>
                        <a:latin typeface="Cambria Math" panose="02040503050406030204" pitchFamily="18" charset="0"/>
                        <a:ea typeface="Cambria Math" panose="02040503050406030204" pitchFamily="18" charset="0"/>
                      </a:rPr>
                      <m:t>𝑘</m:t>
                    </m:r>
                    <m:r>
                      <a:rPr lang="en-US" sz="1400" b="0" i="1">
                        <a:solidFill>
                          <a:sysClr val="windowText" lastClr="000000"/>
                        </a:solidFill>
                        <a:latin typeface="Cambria Math" panose="02040503050406030204" pitchFamily="18" charset="0"/>
                        <a:ea typeface="Cambria Math" panose="02040503050406030204" pitchFamily="18" charset="0"/>
                      </a:rPr>
                      <m:t>𝑊h</m:t>
                    </m:r>
                    <m:r>
                      <a:rPr lang="en-US" sz="1400" b="0" i="1" baseline="0">
                        <a:solidFill>
                          <a:sysClr val="windowText" lastClr="000000"/>
                        </a:solidFill>
                        <a:latin typeface="Cambria Math" panose="02040503050406030204" pitchFamily="18" charset="0"/>
                        <a:ea typeface="Cambria Math" panose="02040503050406030204" pitchFamily="18" charset="0"/>
                      </a:rPr>
                      <m:t>∗</m:t>
                    </m:r>
                    <m:r>
                      <a:rPr lang="en-US" sz="1400" b="0" i="1" baseline="0">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000" i="0">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52" name="TextBox 51">
              <a:extLst>
                <a:ext uri="{FF2B5EF4-FFF2-40B4-BE49-F238E27FC236}">
                  <a16:creationId xmlns:a16="http://schemas.microsoft.com/office/drawing/2014/main" id="{2F85E793-73A6-458C-8538-BCC0EFDB20C6}"/>
                </a:ext>
                <a:ext uri="{147F2762-F138-4A5C-976F-8EAC2B608ADB}">
                  <a16:predDERef xmlns:a16="http://schemas.microsoft.com/office/drawing/2014/main" pred="{C125002D-56F9-4A0F-95DC-27B4327F8B3A}"/>
                </a:ext>
              </a:extLst>
            </xdr:cNvPr>
            <xdr:cNvSpPr txBox="1"/>
          </xdr:nvSpPr>
          <xdr:spPr>
            <a:xfrm>
              <a:off x="6515100" y="604837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i="0">
                  <a:solidFill>
                    <a:sysClr val="windowText" lastClr="000000"/>
                  </a:solidFill>
                  <a:latin typeface="Cambria Math" panose="02040503050406030204" pitchFamily="18" charset="0"/>
                  <a:ea typeface="Cambria Math" panose="02040503050406030204" pitchFamily="18" charset="0"/>
                </a:rPr>
                <a:t>𝑘</a:t>
              </a:r>
              <a:r>
                <a:rPr lang="en-US" sz="1400" b="0" i="0">
                  <a:solidFill>
                    <a:sysClr val="windowText" lastClr="000000"/>
                  </a:solidFill>
                  <a:latin typeface="Cambria Math" panose="02040503050406030204" pitchFamily="18" charset="0"/>
                  <a:ea typeface="Cambria Math" panose="02040503050406030204" pitchFamily="18" charset="0"/>
                </a:rPr>
                <a:t>𝑊ℎ</a:t>
              </a:r>
              <a:r>
                <a:rPr lang="en-US" sz="1400" b="0" i="0" baseline="0">
                  <a:solidFill>
                    <a:sysClr val="windowText" lastClr="000000"/>
                  </a:solidFill>
                  <a:latin typeface="Cambria Math" panose="02040503050406030204" pitchFamily="18" charset="0"/>
                  <a:ea typeface="Cambria Math" panose="02040503050406030204" pitchFamily="18" charset="0"/>
                </a:rPr>
                <a:t>∗𝐶𝐹</a:t>
              </a:r>
              <a:endParaRPr lang="en-US" sz="1000" i="0">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oneCellAnchor>
    <xdr:from>
      <xdr:col>28</xdr:col>
      <xdr:colOff>2269331</xdr:colOff>
      <xdr:row>15</xdr:row>
      <xdr:rowOff>0</xdr:rowOff>
    </xdr:from>
    <xdr:ext cx="65" cy="172227"/>
    <xdr:sp macro="" textlink="">
      <xdr:nvSpPr>
        <xdr:cNvPr id="53" name="TextBox 52">
          <a:extLst>
            <a:ext uri="{FF2B5EF4-FFF2-40B4-BE49-F238E27FC236}">
              <a16:creationId xmlns:a16="http://schemas.microsoft.com/office/drawing/2014/main" id="{4D728CD8-7587-439E-9832-29922C587C7D}"/>
            </a:ext>
          </a:extLst>
        </xdr:cNvPr>
        <xdr:cNvSpPr txBox="1"/>
      </xdr:nvSpPr>
      <xdr:spPr>
        <a:xfrm>
          <a:off x="8056721" y="3476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2269331</xdr:colOff>
      <xdr:row>15</xdr:row>
      <xdr:rowOff>0</xdr:rowOff>
    </xdr:from>
    <xdr:ext cx="65" cy="172227"/>
    <xdr:sp macro="" textlink="">
      <xdr:nvSpPr>
        <xdr:cNvPr id="54" name="TextBox 53">
          <a:extLst>
            <a:ext uri="{FF2B5EF4-FFF2-40B4-BE49-F238E27FC236}">
              <a16:creationId xmlns:a16="http://schemas.microsoft.com/office/drawing/2014/main" id="{AD28918C-E3E6-403A-8B7D-8AC7B386F2C2}"/>
            </a:ext>
          </a:extLst>
        </xdr:cNvPr>
        <xdr:cNvSpPr txBox="1"/>
      </xdr:nvSpPr>
      <xdr:spPr>
        <a:xfrm>
          <a:off x="8056721" y="3476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2269331</xdr:colOff>
      <xdr:row>15</xdr:row>
      <xdr:rowOff>0</xdr:rowOff>
    </xdr:from>
    <xdr:ext cx="65" cy="172227"/>
    <xdr:sp macro="" textlink="">
      <xdr:nvSpPr>
        <xdr:cNvPr id="55" name="TextBox 54">
          <a:extLst>
            <a:ext uri="{FF2B5EF4-FFF2-40B4-BE49-F238E27FC236}">
              <a16:creationId xmlns:a16="http://schemas.microsoft.com/office/drawing/2014/main" id="{E9D95114-A122-4C53-AA19-F6B73A6CE1C4}"/>
            </a:ext>
          </a:extLst>
        </xdr:cNvPr>
        <xdr:cNvSpPr txBox="1"/>
      </xdr:nvSpPr>
      <xdr:spPr>
        <a:xfrm>
          <a:off x="8056721" y="3476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28</xdr:col>
      <xdr:colOff>2269331</xdr:colOff>
      <xdr:row>15</xdr:row>
      <xdr:rowOff>0</xdr:rowOff>
    </xdr:from>
    <xdr:to>
      <xdr:col>29</xdr:col>
      <xdr:colOff>7209</xdr:colOff>
      <xdr:row>15</xdr:row>
      <xdr:rowOff>173417</xdr:rowOff>
    </xdr:to>
    <xdr:sp macro="" textlink="">
      <xdr:nvSpPr>
        <xdr:cNvPr id="56" name="TextBox 55">
          <a:extLst>
            <a:ext uri="{FF2B5EF4-FFF2-40B4-BE49-F238E27FC236}">
              <a16:creationId xmlns:a16="http://schemas.microsoft.com/office/drawing/2014/main" id="{D1648486-9722-4E13-AB5B-7BEA898624C8}"/>
            </a:ext>
          </a:extLst>
        </xdr:cNvPr>
        <xdr:cNvSpPr txBox="1"/>
      </xdr:nvSpPr>
      <xdr:spPr>
        <a:xfrm>
          <a:off x="8056721" y="3476625"/>
          <a:ext cx="10543" cy="1696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28</xdr:col>
      <xdr:colOff>2269331</xdr:colOff>
      <xdr:row>15</xdr:row>
      <xdr:rowOff>0</xdr:rowOff>
    </xdr:from>
    <xdr:to>
      <xdr:col>29</xdr:col>
      <xdr:colOff>7209</xdr:colOff>
      <xdr:row>15</xdr:row>
      <xdr:rowOff>173417</xdr:rowOff>
    </xdr:to>
    <xdr:sp macro="" textlink="">
      <xdr:nvSpPr>
        <xdr:cNvPr id="57" name="TextBox 56">
          <a:extLst>
            <a:ext uri="{FF2B5EF4-FFF2-40B4-BE49-F238E27FC236}">
              <a16:creationId xmlns:a16="http://schemas.microsoft.com/office/drawing/2014/main" id="{8A3D45C5-9347-4B76-9863-45AA293B3841}"/>
            </a:ext>
          </a:extLst>
        </xdr:cNvPr>
        <xdr:cNvSpPr txBox="1"/>
      </xdr:nvSpPr>
      <xdr:spPr>
        <a:xfrm>
          <a:off x="8056721" y="3476625"/>
          <a:ext cx="10543" cy="1696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28</xdr:col>
      <xdr:colOff>2269331</xdr:colOff>
      <xdr:row>15</xdr:row>
      <xdr:rowOff>453627</xdr:rowOff>
    </xdr:from>
    <xdr:ext cx="65" cy="172227"/>
    <xdr:sp macro="" textlink="">
      <xdr:nvSpPr>
        <xdr:cNvPr id="58" name="TextBox 57">
          <a:extLst>
            <a:ext uri="{FF2B5EF4-FFF2-40B4-BE49-F238E27FC236}">
              <a16:creationId xmlns:a16="http://schemas.microsoft.com/office/drawing/2014/main" id="{CC2861A0-F38B-4C90-9BFC-C2D65F71F49D}"/>
            </a:ext>
          </a:extLst>
        </xdr:cNvPr>
        <xdr:cNvSpPr txBox="1"/>
      </xdr:nvSpPr>
      <xdr:spPr>
        <a:xfrm>
          <a:off x="8056721" y="383500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2269331</xdr:colOff>
      <xdr:row>15</xdr:row>
      <xdr:rowOff>453627</xdr:rowOff>
    </xdr:from>
    <xdr:ext cx="65" cy="172227"/>
    <xdr:sp macro="" textlink="">
      <xdr:nvSpPr>
        <xdr:cNvPr id="59" name="TextBox 58">
          <a:extLst>
            <a:ext uri="{FF2B5EF4-FFF2-40B4-BE49-F238E27FC236}">
              <a16:creationId xmlns:a16="http://schemas.microsoft.com/office/drawing/2014/main" id="{14979B35-6D37-4895-9DB1-2E2FA785CFCF}"/>
            </a:ext>
          </a:extLst>
        </xdr:cNvPr>
        <xdr:cNvSpPr txBox="1"/>
      </xdr:nvSpPr>
      <xdr:spPr>
        <a:xfrm>
          <a:off x="8056721" y="383500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2269331</xdr:colOff>
      <xdr:row>15</xdr:row>
      <xdr:rowOff>453627</xdr:rowOff>
    </xdr:from>
    <xdr:ext cx="65" cy="172227"/>
    <xdr:sp macro="" textlink="">
      <xdr:nvSpPr>
        <xdr:cNvPr id="60" name="TextBox 59">
          <a:extLst>
            <a:ext uri="{FF2B5EF4-FFF2-40B4-BE49-F238E27FC236}">
              <a16:creationId xmlns:a16="http://schemas.microsoft.com/office/drawing/2014/main" id="{729924A0-D1A6-4F97-BC51-15619BE9A985}"/>
            </a:ext>
          </a:extLst>
        </xdr:cNvPr>
        <xdr:cNvSpPr txBox="1"/>
      </xdr:nvSpPr>
      <xdr:spPr>
        <a:xfrm>
          <a:off x="8056721" y="383500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28</xdr:col>
      <xdr:colOff>2269331</xdr:colOff>
      <xdr:row>15</xdr:row>
      <xdr:rowOff>453627</xdr:rowOff>
    </xdr:from>
    <xdr:to>
      <xdr:col>29</xdr:col>
      <xdr:colOff>7209</xdr:colOff>
      <xdr:row>16</xdr:row>
      <xdr:rowOff>173417</xdr:rowOff>
    </xdr:to>
    <xdr:sp macro="" textlink="">
      <xdr:nvSpPr>
        <xdr:cNvPr id="61" name="TextBox 60">
          <a:extLst>
            <a:ext uri="{FF2B5EF4-FFF2-40B4-BE49-F238E27FC236}">
              <a16:creationId xmlns:a16="http://schemas.microsoft.com/office/drawing/2014/main" id="{A494916F-4A82-41BB-9B12-0FE9673ADE79}"/>
            </a:ext>
          </a:extLst>
        </xdr:cNvPr>
        <xdr:cNvSpPr txBox="1"/>
      </xdr:nvSpPr>
      <xdr:spPr>
        <a:xfrm>
          <a:off x="8056721" y="3835002"/>
          <a:ext cx="10543" cy="1731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28</xdr:col>
      <xdr:colOff>2269331</xdr:colOff>
      <xdr:row>15</xdr:row>
      <xdr:rowOff>453627</xdr:rowOff>
    </xdr:from>
    <xdr:to>
      <xdr:col>29</xdr:col>
      <xdr:colOff>7209</xdr:colOff>
      <xdr:row>16</xdr:row>
      <xdr:rowOff>173417</xdr:rowOff>
    </xdr:to>
    <xdr:sp macro="" textlink="">
      <xdr:nvSpPr>
        <xdr:cNvPr id="62" name="TextBox 61">
          <a:extLst>
            <a:ext uri="{FF2B5EF4-FFF2-40B4-BE49-F238E27FC236}">
              <a16:creationId xmlns:a16="http://schemas.microsoft.com/office/drawing/2014/main" id="{79FA8355-08CC-415E-8B8A-9F234084944A}"/>
            </a:ext>
          </a:extLst>
        </xdr:cNvPr>
        <xdr:cNvSpPr txBox="1"/>
      </xdr:nvSpPr>
      <xdr:spPr>
        <a:xfrm>
          <a:off x="8056721" y="3835002"/>
          <a:ext cx="10543" cy="1731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29</xdr:col>
      <xdr:colOff>2269331</xdr:colOff>
      <xdr:row>15</xdr:row>
      <xdr:rowOff>0</xdr:rowOff>
    </xdr:from>
    <xdr:ext cx="65" cy="172227"/>
    <xdr:sp macro="" textlink="">
      <xdr:nvSpPr>
        <xdr:cNvPr id="11" name="TextBox 10">
          <a:extLst>
            <a:ext uri="{FF2B5EF4-FFF2-40B4-BE49-F238E27FC236}">
              <a16:creationId xmlns:a16="http://schemas.microsoft.com/office/drawing/2014/main" id="{B14089F3-36C1-44A1-9552-DD7C0B39FF68}"/>
            </a:ext>
          </a:extLst>
        </xdr:cNvPr>
        <xdr:cNvSpPr txBox="1"/>
      </xdr:nvSpPr>
      <xdr:spPr>
        <a:xfrm>
          <a:off x="28265970" y="34514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2269331</xdr:colOff>
      <xdr:row>15</xdr:row>
      <xdr:rowOff>0</xdr:rowOff>
    </xdr:from>
    <xdr:ext cx="65" cy="172227"/>
    <xdr:sp macro="" textlink="">
      <xdr:nvSpPr>
        <xdr:cNvPr id="22" name="TextBox 21">
          <a:extLst>
            <a:ext uri="{FF2B5EF4-FFF2-40B4-BE49-F238E27FC236}">
              <a16:creationId xmlns:a16="http://schemas.microsoft.com/office/drawing/2014/main" id="{593FBE6E-B830-497B-9567-546FBC813436}"/>
            </a:ext>
          </a:extLst>
        </xdr:cNvPr>
        <xdr:cNvSpPr txBox="1"/>
      </xdr:nvSpPr>
      <xdr:spPr>
        <a:xfrm>
          <a:off x="28265970" y="34514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2269331</xdr:colOff>
      <xdr:row>15</xdr:row>
      <xdr:rowOff>0</xdr:rowOff>
    </xdr:from>
    <xdr:ext cx="65" cy="172227"/>
    <xdr:sp macro="" textlink="">
      <xdr:nvSpPr>
        <xdr:cNvPr id="63" name="TextBox 62">
          <a:extLst>
            <a:ext uri="{FF2B5EF4-FFF2-40B4-BE49-F238E27FC236}">
              <a16:creationId xmlns:a16="http://schemas.microsoft.com/office/drawing/2014/main" id="{895C59D9-1C1E-4957-90E4-DEB67D3ACAA8}"/>
            </a:ext>
          </a:extLst>
        </xdr:cNvPr>
        <xdr:cNvSpPr txBox="1"/>
      </xdr:nvSpPr>
      <xdr:spPr>
        <a:xfrm>
          <a:off x="28265970" y="34514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29</xdr:col>
      <xdr:colOff>2269331</xdr:colOff>
      <xdr:row>15</xdr:row>
      <xdr:rowOff>0</xdr:rowOff>
    </xdr:from>
    <xdr:to>
      <xdr:col>30</xdr:col>
      <xdr:colOff>7209</xdr:colOff>
      <xdr:row>15</xdr:row>
      <xdr:rowOff>173417</xdr:rowOff>
    </xdr:to>
    <xdr:sp macro="" textlink="">
      <xdr:nvSpPr>
        <xdr:cNvPr id="64" name="TextBox 63">
          <a:extLst>
            <a:ext uri="{FF2B5EF4-FFF2-40B4-BE49-F238E27FC236}">
              <a16:creationId xmlns:a16="http://schemas.microsoft.com/office/drawing/2014/main" id="{B5E204B5-AFE3-41EE-8105-B391B1405DA7}"/>
            </a:ext>
          </a:extLst>
        </xdr:cNvPr>
        <xdr:cNvSpPr txBox="1"/>
      </xdr:nvSpPr>
      <xdr:spPr>
        <a:xfrm>
          <a:off x="28265970" y="3451412"/>
          <a:ext cx="15585" cy="1696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29</xdr:col>
      <xdr:colOff>2269331</xdr:colOff>
      <xdr:row>15</xdr:row>
      <xdr:rowOff>0</xdr:rowOff>
    </xdr:from>
    <xdr:to>
      <xdr:col>30</xdr:col>
      <xdr:colOff>7209</xdr:colOff>
      <xdr:row>15</xdr:row>
      <xdr:rowOff>173417</xdr:rowOff>
    </xdr:to>
    <xdr:sp macro="" textlink="">
      <xdr:nvSpPr>
        <xdr:cNvPr id="65" name="TextBox 64">
          <a:extLst>
            <a:ext uri="{FF2B5EF4-FFF2-40B4-BE49-F238E27FC236}">
              <a16:creationId xmlns:a16="http://schemas.microsoft.com/office/drawing/2014/main" id="{69C58068-CB08-4205-9871-D2D2BEAC835D}"/>
            </a:ext>
          </a:extLst>
        </xdr:cNvPr>
        <xdr:cNvSpPr txBox="1"/>
      </xdr:nvSpPr>
      <xdr:spPr>
        <a:xfrm>
          <a:off x="28265970" y="3451412"/>
          <a:ext cx="15585" cy="1696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29</xdr:col>
      <xdr:colOff>2269331</xdr:colOff>
      <xdr:row>15</xdr:row>
      <xdr:rowOff>453627</xdr:rowOff>
    </xdr:from>
    <xdr:ext cx="65" cy="172227"/>
    <xdr:sp macro="" textlink="">
      <xdr:nvSpPr>
        <xdr:cNvPr id="66" name="TextBox 65">
          <a:extLst>
            <a:ext uri="{FF2B5EF4-FFF2-40B4-BE49-F238E27FC236}">
              <a16:creationId xmlns:a16="http://schemas.microsoft.com/office/drawing/2014/main" id="{D941E686-A816-4B87-8EBA-3F0F031F4F7C}"/>
            </a:ext>
          </a:extLst>
        </xdr:cNvPr>
        <xdr:cNvSpPr txBox="1"/>
      </xdr:nvSpPr>
      <xdr:spPr>
        <a:xfrm>
          <a:off x="28265970" y="380978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2269331</xdr:colOff>
      <xdr:row>15</xdr:row>
      <xdr:rowOff>453627</xdr:rowOff>
    </xdr:from>
    <xdr:ext cx="65" cy="172227"/>
    <xdr:sp macro="" textlink="">
      <xdr:nvSpPr>
        <xdr:cNvPr id="67" name="TextBox 66">
          <a:extLst>
            <a:ext uri="{FF2B5EF4-FFF2-40B4-BE49-F238E27FC236}">
              <a16:creationId xmlns:a16="http://schemas.microsoft.com/office/drawing/2014/main" id="{34C1C204-33E7-4EDA-902E-44D93B5BE22B}"/>
            </a:ext>
          </a:extLst>
        </xdr:cNvPr>
        <xdr:cNvSpPr txBox="1"/>
      </xdr:nvSpPr>
      <xdr:spPr>
        <a:xfrm>
          <a:off x="28265970" y="380978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2269331</xdr:colOff>
      <xdr:row>15</xdr:row>
      <xdr:rowOff>453627</xdr:rowOff>
    </xdr:from>
    <xdr:ext cx="65" cy="172227"/>
    <xdr:sp macro="" textlink="">
      <xdr:nvSpPr>
        <xdr:cNvPr id="68" name="TextBox 67">
          <a:extLst>
            <a:ext uri="{FF2B5EF4-FFF2-40B4-BE49-F238E27FC236}">
              <a16:creationId xmlns:a16="http://schemas.microsoft.com/office/drawing/2014/main" id="{4F12B219-E288-4BF0-8B46-16D029AA32EC}"/>
            </a:ext>
          </a:extLst>
        </xdr:cNvPr>
        <xdr:cNvSpPr txBox="1"/>
      </xdr:nvSpPr>
      <xdr:spPr>
        <a:xfrm>
          <a:off x="28265970" y="380978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29</xdr:col>
      <xdr:colOff>2269331</xdr:colOff>
      <xdr:row>15</xdr:row>
      <xdr:rowOff>453627</xdr:rowOff>
    </xdr:from>
    <xdr:to>
      <xdr:col>30</xdr:col>
      <xdr:colOff>7209</xdr:colOff>
      <xdr:row>16</xdr:row>
      <xdr:rowOff>173417</xdr:rowOff>
    </xdr:to>
    <xdr:sp macro="" textlink="">
      <xdr:nvSpPr>
        <xdr:cNvPr id="69" name="TextBox 68">
          <a:extLst>
            <a:ext uri="{FF2B5EF4-FFF2-40B4-BE49-F238E27FC236}">
              <a16:creationId xmlns:a16="http://schemas.microsoft.com/office/drawing/2014/main" id="{93A39E4D-EF2F-4FD4-99ED-C4EE07036D67}"/>
            </a:ext>
          </a:extLst>
        </xdr:cNvPr>
        <xdr:cNvSpPr txBox="1"/>
      </xdr:nvSpPr>
      <xdr:spPr>
        <a:xfrm>
          <a:off x="28265970" y="3809789"/>
          <a:ext cx="15585" cy="1698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29</xdr:col>
      <xdr:colOff>2269331</xdr:colOff>
      <xdr:row>15</xdr:row>
      <xdr:rowOff>453627</xdr:rowOff>
    </xdr:from>
    <xdr:to>
      <xdr:col>30</xdr:col>
      <xdr:colOff>7209</xdr:colOff>
      <xdr:row>16</xdr:row>
      <xdr:rowOff>173417</xdr:rowOff>
    </xdr:to>
    <xdr:sp macro="" textlink="">
      <xdr:nvSpPr>
        <xdr:cNvPr id="70" name="TextBox 69">
          <a:extLst>
            <a:ext uri="{FF2B5EF4-FFF2-40B4-BE49-F238E27FC236}">
              <a16:creationId xmlns:a16="http://schemas.microsoft.com/office/drawing/2014/main" id="{09A5B073-82C1-4787-A709-D604374CE212}"/>
            </a:ext>
          </a:extLst>
        </xdr:cNvPr>
        <xdr:cNvSpPr txBox="1"/>
      </xdr:nvSpPr>
      <xdr:spPr>
        <a:xfrm>
          <a:off x="28265970" y="3809789"/>
          <a:ext cx="15585" cy="1698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L793" dT="2022-08-04T23:05:12.58" personId="{00000000-0000-0000-0000-000000000000}" id="{387AE222-63E0-41F3-8218-5B2EFF91A020}">
    <text>Updated the formula, previosly refrencing the value for #351250</text>
  </threadedComment>
  <threadedComment ref="L830" dT="2022-08-03T02:52:02.39" personId="{00000000-0000-0000-0000-000000000000}" id="{10E7ED2F-AF54-49F6-A47D-8B805AE2EAF7}">
    <text>Updated the formula, it was using the value for #351400</text>
  </threadedComment>
  <threadedComment ref="F848" dT="2022-08-03T02:20:56.11" personId="{00000000-0000-0000-0000-000000000000}" id="{1B189221-E314-40C2-941E-CA60AF3AC027}">
    <text>Updated the formula, the HF value for #351851 was used by mistake</text>
  </threadedComment>
  <threadedComment ref="AD4456" dT="2022-08-12T15:07:42.42" personId="{00000000-0000-0000-0000-000000000000}" id="{D33F3C28-9C7D-4C8B-A43A-D5A62E829534}">
    <text>New Measure in 2022</text>
  </threadedComment>
</ThreadedComments>
</file>

<file path=xl/threadedComments/threadedComment2.xml><?xml version="1.0" encoding="utf-8"?>
<ThreadedComments xmlns="http://schemas.microsoft.com/office/spreadsheetml/2018/threadedcomments" xmlns:x="http://schemas.openxmlformats.org/spreadsheetml/2006/main">
  <threadedComment ref="D777" dT="2022-08-11T12:11:57.42" personId="{00000000-0000-0000-0000-000000000000}" id="{A8B9F2C9-22EC-4BF2-B86B-7F17F1CAC0CD}">
    <text>Added kW Demand formula for consistency.</text>
  </threadedComment>
  <threadedComment ref="D816" dT="2022-08-11T12:11:57.42" personId="{00000000-0000-0000-0000-000000000000}" id="{02B05CAF-95AE-468D-A6F1-2ED4D3EEA314}">
    <text>Added kW Demand formula for consistency.</text>
  </threadedComment>
  <threadedComment ref="D856" dT="2022-08-11T12:11:57.42" personId="{00000000-0000-0000-0000-000000000000}" id="{9DA6E058-D35F-4402-B1E8-A09D3C3D54F6}">
    <text>Added kW Demand formula for consistency.</text>
  </threadedComment>
  <threadedComment ref="G875" dT="2022-08-11T20:19:44.76" personId="{00000000-0000-0000-0000-000000000000}" id="{55FFAAF9-1E98-4856-94E0-38898E2F4890}">
    <text>Small Typo found that used 3,413 instead of 3,412</text>
  </threadedComment>
  <threadedComment ref="D1012" dT="2022-08-11T12:11:57.42" personId="{00000000-0000-0000-0000-000000000000}" id="{FCC87098-EB3B-4058-8A48-26134D35F49C}">
    <text>Added kW Demand formula for consistency.</text>
  </threadedComment>
  <threadedComment ref="D1074" dT="2022-08-11T12:11:57.42" personId="{00000000-0000-0000-0000-000000000000}" id="{7202F212-DE41-4632-A930-DA1F7256FEFA}">
    <text>Added kW Demand formula for consistency.</text>
  </threadedComment>
  <threadedComment ref="AD1471" dT="2022-08-12T13:54:52.58" personId="{00000000-0000-0000-0000-000000000000}" id="{4DF66CAA-922E-462C-9181-59F8894605CA}">
    <text>New measure in 2022</text>
  </threadedComment>
</ThreadedComments>
</file>

<file path=xl/threadedComments/threadedComment3.xml><?xml version="1.0" encoding="utf-8"?>
<ThreadedComments xmlns="http://schemas.microsoft.com/office/spreadsheetml/2018/threadedcomments" xmlns:x="http://schemas.openxmlformats.org/spreadsheetml/2006/main">
  <threadedComment ref="AD45" dT="2022-08-11T11:33:30.22" personId="{00000000-0000-0000-0000-000000000000}" id="{7DBB5A4F-7BC1-49C4-BAEA-32966902ADB0}">
    <text>December-21 values were incorrectly copy/pasted. In Agust-22, no updates made to measure assumptions, but correct values entered.</text>
  </threadedComment>
  <threadedComment ref="D379" dT="2022-08-11T12:11:57.42" personId="{00000000-0000-0000-0000-000000000000}" id="{54AA4E61-4881-45FB-99A8-BFB77B476A16}">
    <text>Added kW Demand formula for consistency.</text>
  </threadedComment>
  <threadedComment ref="D414" dT="2022-08-11T12:11:57.42" personId="{00000000-0000-0000-0000-000000000000}" id="{46D02C35-8B86-4F6A-97F1-EE98EAF399B3}">
    <text>Added kW Demand formula for consistency.</text>
  </threadedComment>
  <threadedComment ref="D449" dT="2022-08-11T12:11:57.42" personId="{00000000-0000-0000-0000-000000000000}" id="{1E09F6D6-1F30-40ED-B88B-F167EB6F0C28}">
    <text>Added kW Demand formula for consistency.</text>
  </threadedComment>
</ThreadedComments>
</file>

<file path=xl/threadedComments/threadedComment4.xml><?xml version="1.0" encoding="utf-8"?>
<ThreadedComments xmlns="http://schemas.microsoft.com/office/spreadsheetml/2018/threadedcomments" xmlns:x="http://schemas.openxmlformats.org/spreadsheetml/2006/main">
  <threadedComment ref="I26" dT="2022-08-12T12:09:47.43" personId="{00000000-0000-0000-0000-000000000000}" id="{CB138494-EC53-4488-BBF5-9F837D5EDA5E}">
    <text>Corrected formula in 2022</text>
  </threadedComment>
  <threadedComment ref="I29" dT="2022-08-12T12:09:47.43" personId="{00000000-0000-0000-0000-000000000000}" id="{308D0ACD-F529-4ADB-9AB9-B581C6699527}">
    <text>Corrected formula in 2022</text>
  </threadedComment>
  <threadedComment ref="I32" dT="2022-08-12T12:09:47.43" personId="{00000000-0000-0000-0000-000000000000}" id="{AC3899FB-CF05-491E-B05E-D6D9EB5CEAF4}">
    <text>Corrected formula in 2022</text>
  </threadedComment>
  <threadedComment ref="CA47" dT="2022-08-12T18:02:36.79" personId="{00000000-0000-0000-0000-000000000000}" id="{1F79EB30-40E6-4FEE-8081-264A0DD3316F}">
    <text>New Parameter in 2022</text>
  </threadedComment>
  <threadedComment ref="J48" dT="2022-08-23T16:30:24.86" personId="{00000000-0000-0000-0000-000000000000}" id="{4FD58C77-BC14-487C-A631-ECCF90B20D10}">
    <text>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ext>
  </threadedComment>
  <threadedComment ref="CA90" dT="2022-08-12T18:02:36.79" personId="{00000000-0000-0000-0000-000000000000}" id="{3FD83065-96A6-464C-9E8E-273A11926546}">
    <text>New Parameter in 2022</text>
  </threadedComment>
  <threadedComment ref="K91" dT="2022-08-23T16:30:24.86" personId="{00000000-0000-0000-0000-000000000000}" id="{109B7D96-496F-49F3-A4EB-E4D20B2F633F}">
    <text>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ext>
  </threadedComment>
  <threadedComment ref="CA109" dT="2022-08-12T18:02:36.79" personId="{00000000-0000-0000-0000-000000000000}" id="{032AEE45-646D-4A2E-93EE-ADA5B4D4ED52}">
    <text>New Parameter in 2022</text>
  </threadedComment>
  <threadedComment ref="J110" dT="2022-08-23T16:30:24.86" personId="{00000000-0000-0000-0000-000000000000}" id="{9A5B632C-620F-4DEF-870E-DEB9BAABB0E4}">
    <text>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ext>
  </threadedComment>
  <threadedComment ref="L127" dT="2022-08-12T17:53:48.61" personId="{00000000-0000-0000-0000-000000000000}" id="{86E77457-CE44-4238-B22B-14F932107653}">
    <text xml:space="preserve">Set equal to Lighting Redesign projects. </text>
  </threadedComment>
  <threadedComment ref="CA136" dT="2022-08-12T18:02:36.79" personId="{00000000-0000-0000-0000-000000000000}" id="{F24F4E8F-98C0-4133-9385-04E85E29C6B5}">
    <text>New Parameter in 2022</text>
  </threadedComment>
  <threadedComment ref="K137" dT="2022-08-23T16:30:24.86" personId="{00000000-0000-0000-0000-000000000000}" id="{02C142E9-5B6D-479B-AF8F-203809E105F8}">
    <text>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http://www.puc.state.pa.us/Electric/pdf/Act129/Act129_TRM-2014_Redlined_V2.pdf" TargetMode="External"/><Relationship Id="rId5" Type="http://schemas.openxmlformats.org/officeDocument/2006/relationships/comments" Target="../comments8.xml"/><Relationship Id="rId4" Type="http://schemas.openxmlformats.org/officeDocument/2006/relationships/vmlDrawing" Target="../drawings/vmlDrawing8.v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2.bin"/><Relationship Id="rId5" Type="http://schemas.microsoft.com/office/2017/10/relationships/threadedComment" Target="../threadedComments/threadedComment4.xml"/><Relationship Id="rId4"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amerenmissouristore.com/led-11-watt-flood-br30-65w-eqv/" TargetMode="External"/><Relationship Id="rId1" Type="http://schemas.openxmlformats.org/officeDocument/2006/relationships/hyperlink" Target="https://amerenmissouristore.com/led-11-watt-flood-br30-65w-eqv/"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www.walmart.com/ip/TrickleStar-00627-3-Cord-7-Outlet-Tier-1-Power-Strip-7-OUTLET-TIER-1-ADVANCED-POWERSTRIP-1-080-JOULES-3-FOOT-POWER-CORD-ALUMI/836049860?wmlspartner=wlpa&amp;selectedSellerId=1087%0ahttps://www.walmart.com/ip/Embertec-00035-8AV-Emberstrip-with-Classic-Sensor-EMBERTEC-CLASSIC-8AV/693567947?wmlspartner=wlpa&amp;selectedSellerId=1087%0ahttps://www.amazon.com/AHRISE-Protector%EF%BC%881680-Outlets-outlets-Extension/dp/B07WGN3X5F/ref=sr_1_3?dchild=1&amp;keywords=smart+power+strip&amp;qid=1595622845&amp;sr=8-3%0ahttps://www.amazon.com/Kasa-Smart-Protector-Required-KP303/dp/B083JKSSR5/ref=sr_1_4?dchild=1&amp;keywords=smart+power+strip&amp;qid=1595622845&amp;sr=8-4"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8" Type="http://schemas.openxmlformats.org/officeDocument/2006/relationships/hyperlink" Target="https://www.efis.psc.mo.gov/mpsc/commoncomponents/viewdocument.asp?DocId=935658483" TargetMode="External"/><Relationship Id="rId13" Type="http://schemas.openxmlformats.org/officeDocument/2006/relationships/comments" Target="../comments3.xml"/><Relationship Id="rId3" Type="http://schemas.openxmlformats.org/officeDocument/2006/relationships/hyperlink" Target="http://ilsagfiles.org/SAG_files/Technical_Reference_Manual/Version_5/Final/IL-TRM_Version_5.0_dated_February-11-2016_Final_Compiled_Volumes_1-4.pdf" TargetMode="External"/><Relationship Id="rId7" Type="http://schemas.openxmlformats.org/officeDocument/2006/relationships/hyperlink" Target="http://ilsagfiles.org/SAG_files/Technical_Reference_Manual/Version_5/Final/IL-TRM_Version_5.0_dated_February-11-2016_Final_Compiled_Volumes_1-4.pdf" TargetMode="External"/><Relationship Id="rId12" Type="http://schemas.openxmlformats.org/officeDocument/2006/relationships/vmlDrawing" Target="../drawings/vmlDrawing3.vml"/><Relationship Id="rId2" Type="http://schemas.openxmlformats.org/officeDocument/2006/relationships/hyperlink" Target="http://www.nrel.gov/docs/fy10osti/47246.pdf" TargetMode="External"/><Relationship Id="rId1" Type="http://schemas.openxmlformats.org/officeDocument/2006/relationships/hyperlink" Target="http://ilsagfiles.org/SAG_files/Technical_Reference_Manual/Version_5/Final/IL-TRM_Version_5.0_dated_February-11-2016_Final_Compiled_Volumes_1-4.pdf" TargetMode="External"/><Relationship Id="rId6" Type="http://schemas.openxmlformats.org/officeDocument/2006/relationships/hyperlink" Target="https://www.efis.psc.mo.gov/mpsc/commoncomponents/viewdocument.asp?DocId=935658483" TargetMode="External"/><Relationship Id="rId11" Type="http://schemas.openxmlformats.org/officeDocument/2006/relationships/drawing" Target="../drawings/drawing4.xml"/><Relationship Id="rId5" Type="http://schemas.openxmlformats.org/officeDocument/2006/relationships/hyperlink" Target="http://www.nrel.gov/docs/fy10osti/47246.pdf" TargetMode="External"/><Relationship Id="rId10" Type="http://schemas.openxmlformats.org/officeDocument/2006/relationships/printerSettings" Target="../printerSettings/printerSettings5.bin"/><Relationship Id="rId4" Type="http://schemas.openxmlformats.org/officeDocument/2006/relationships/hyperlink" Target="http://ilsagfiles.org/SAG_files/Technical_Reference_Manual/Version_5/Final/IL-TRM_Version_5.0_dated_February-11-2016_Final_Compiled_Volumes_1-4.pdf" TargetMode="External"/><Relationship Id="rId9" Type="http://schemas.openxmlformats.org/officeDocument/2006/relationships/hyperlink" Target="http://www.nrel.gov/docs/fy10osti/47246.pdf"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hyperlink" Target="https://energy.mo.gov/sites/energy/files/evaluation-of-retrofit-variable-speed-furnace-fan-motors.pdf" TargetMode="External"/><Relationship Id="rId6" Type="http://schemas.microsoft.com/office/2017/10/relationships/threadedComment" Target="../threadedComments/threadedComment1.xm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7.bin"/><Relationship Id="rId3" Type="http://schemas.openxmlformats.org/officeDocument/2006/relationships/hyperlink" Target="https://www.efis.psc.mo.gov/mpsc/commoncomponents/viewdocument.asp?DocId=935658483" TargetMode="External"/><Relationship Id="rId7" Type="http://schemas.openxmlformats.org/officeDocument/2006/relationships/hyperlink" Target="https://www.efis.psc.mo.gov/mpsc/commoncomponents/viewdocument.asp?DocId=935658483" TargetMode="External"/><Relationship Id="rId12" Type="http://schemas.microsoft.com/office/2017/10/relationships/threadedComment" Target="../threadedComments/threadedComment2.xml"/><Relationship Id="rId2" Type="http://schemas.openxmlformats.org/officeDocument/2006/relationships/hyperlink" Target="https://www.efis.psc.mo.gov/mpsc/commoncomponents/viewdocument.asp?DocId=935658483" TargetMode="External"/><Relationship Id="rId1" Type="http://schemas.openxmlformats.org/officeDocument/2006/relationships/hyperlink" Target="https://www.efis.psc.mo.gov/mpsc/commoncomponents/viewdocument.asp?DocId=935658483" TargetMode="External"/><Relationship Id="rId6" Type="http://schemas.openxmlformats.org/officeDocument/2006/relationships/hyperlink" Target="https://www.efis.psc.mo.gov/mpsc/commoncomponents/viewdocument.asp?DocId=935658483" TargetMode="External"/><Relationship Id="rId11" Type="http://schemas.openxmlformats.org/officeDocument/2006/relationships/comments" Target="../comments5.xml"/><Relationship Id="rId5" Type="http://schemas.openxmlformats.org/officeDocument/2006/relationships/hyperlink" Target="https://www.efis.psc.mo.gov/mpsc/commoncomponents/viewdocument.asp?DocId=935658483" TargetMode="External"/><Relationship Id="rId10" Type="http://schemas.openxmlformats.org/officeDocument/2006/relationships/vmlDrawing" Target="../drawings/vmlDrawing5.vml"/><Relationship Id="rId4" Type="http://schemas.openxmlformats.org/officeDocument/2006/relationships/hyperlink" Target="https://www.efis.psc.mo.gov/mpsc/commoncomponents/viewdocument.asp?DocId=935658483" TargetMode="External"/><Relationship Id="rId9"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8" Type="http://schemas.openxmlformats.org/officeDocument/2006/relationships/vmlDrawing" Target="../drawings/vmlDrawing7.vml"/><Relationship Id="rId3" Type="http://schemas.openxmlformats.org/officeDocument/2006/relationships/hyperlink" Target="http://ilsagfiles.org/SAG_files/Technical_Reference_Manual/Version_5/Final/IL-TRM_Version_5.0_dated_February-11-2016_Final_Compiled_Volumes_1-4.pdf" TargetMode="External"/><Relationship Id="rId7" Type="http://schemas.openxmlformats.org/officeDocument/2006/relationships/drawing" Target="../drawings/drawing8.xml"/><Relationship Id="rId2" Type="http://schemas.openxmlformats.org/officeDocument/2006/relationships/hyperlink" Target="https://www.efis.psc.mo.gov/mpsc/commoncomponents/viewdocument.asp?DocId=935658483" TargetMode="External"/><Relationship Id="rId1" Type="http://schemas.openxmlformats.org/officeDocument/2006/relationships/hyperlink" Target="http://ilsagfiles.org/SAG_files/Technical_Reference_Manual/Version_5/Final/IL-TRM_Version_5.0_dated_February-11-2016_Final_Compiled_Volumes_1-4.pdf" TargetMode="External"/><Relationship Id="rId6" Type="http://schemas.openxmlformats.org/officeDocument/2006/relationships/printerSettings" Target="../printerSettings/printerSettings9.bin"/><Relationship Id="rId5" Type="http://schemas.openxmlformats.org/officeDocument/2006/relationships/hyperlink" Target="http://www.nrel.gov/docs/fy10osti/47246.pdf" TargetMode="External"/><Relationship Id="rId10" Type="http://schemas.microsoft.com/office/2017/10/relationships/threadedComment" Target="../threadedComments/threadedComment3.xml"/><Relationship Id="rId4" Type="http://schemas.openxmlformats.org/officeDocument/2006/relationships/hyperlink" Target="https://www.efis.psc.mo.gov/mpsc/commoncomponents/viewdocument.asp?DocId=935658483" TargetMode="External"/><Relationship Id="rId9"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U46"/>
  <sheetViews>
    <sheetView tabSelected="1" zoomScaleNormal="100" workbookViewId="0"/>
  </sheetViews>
  <sheetFormatPr defaultRowHeight="14.5" x14ac:dyDescent="0.35"/>
  <cols>
    <col min="1" max="1" width="13.54296875" customWidth="1"/>
    <col min="6" max="6" width="7.7265625" customWidth="1"/>
  </cols>
  <sheetData>
    <row r="2" spans="2:21" ht="36" x14ac:dyDescent="0.8">
      <c r="J2" s="1491" t="s">
        <v>0</v>
      </c>
    </row>
    <row r="4" spans="2:21" ht="18.5" x14ac:dyDescent="0.45">
      <c r="J4" s="1490" t="s">
        <v>1</v>
      </c>
      <c r="O4" s="1489" t="s">
        <v>2</v>
      </c>
      <c r="U4" s="1489" t="s">
        <v>3</v>
      </c>
    </row>
    <row r="7" spans="2:21" ht="18.5" x14ac:dyDescent="0.45">
      <c r="B7" s="1490" t="s">
        <v>4</v>
      </c>
      <c r="C7" s="1490"/>
    </row>
    <row r="8" spans="2:21" ht="18.5" x14ac:dyDescent="0.45">
      <c r="B8" s="1490" t="s">
        <v>5</v>
      </c>
    </row>
    <row r="9" spans="2:21" ht="18.5" x14ac:dyDescent="0.45">
      <c r="B9" s="1490" t="s">
        <v>6</v>
      </c>
    </row>
    <row r="16" spans="2:21" ht="18.5" x14ac:dyDescent="0.45">
      <c r="E16" s="1490" t="s">
        <v>7</v>
      </c>
    </row>
    <row r="17" spans="6:8" ht="18.5" x14ac:dyDescent="0.45">
      <c r="F17" s="1489" t="s">
        <v>8</v>
      </c>
      <c r="G17" s="1488"/>
      <c r="H17" s="1488"/>
    </row>
    <row r="18" spans="6:8" ht="18.5" x14ac:dyDescent="0.45">
      <c r="F18" s="1489" t="s">
        <v>9</v>
      </c>
      <c r="H18" s="1488"/>
    </row>
    <row r="46" spans="10:10" ht="18.5" x14ac:dyDescent="0.45">
      <c r="J46" s="1487" t="s">
        <v>10</v>
      </c>
    </row>
  </sheetData>
  <pageMargins left="0.7" right="0.7" top="0.75" bottom="0.75" header="0.3" footer="0.3"/>
  <pageSetup orientation="portrait" r:id="rId1"/>
  <headerFooter>
    <oddHeader>&amp;RAppendix F - Deemed Savings Table Redline</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A1:BE75"/>
  <sheetViews>
    <sheetView zoomScale="70" zoomScaleNormal="70" workbookViewId="0">
      <selection sqref="A1:Q1"/>
    </sheetView>
  </sheetViews>
  <sheetFormatPr defaultRowHeight="14.5" outlineLevelRow="1" x14ac:dyDescent="0.35"/>
  <cols>
    <col min="1" max="2" width="9.1796875" style="106"/>
    <col min="3" max="3" width="19.26953125" style="103" customWidth="1"/>
    <col min="4" max="4" width="23.1796875" style="292" customWidth="1"/>
    <col min="5" max="5" width="37" style="292" customWidth="1"/>
    <col min="6" max="6" width="15.54296875" style="106" customWidth="1"/>
    <col min="7" max="7" width="18.7265625" style="106" bestFit="1" customWidth="1"/>
    <col min="8" max="8" width="17.1796875" style="106" customWidth="1"/>
    <col min="9" max="11" width="12.54296875" style="106" customWidth="1"/>
    <col min="12" max="12" width="15.453125" style="106" customWidth="1"/>
    <col min="13" max="13" width="3.26953125" style="106" customWidth="1"/>
    <col min="14" max="14" width="2.26953125" style="106" customWidth="1"/>
    <col min="15" max="15" width="2.7265625" style="106" customWidth="1"/>
    <col min="16" max="16" width="3.26953125" style="106" customWidth="1"/>
    <col min="17" max="17" width="2.453125" style="106" customWidth="1"/>
    <col min="18" max="20" width="9.1796875" style="106" customWidth="1"/>
    <col min="21" max="21" width="21.54296875" style="106" customWidth="1"/>
    <col min="22" max="22" width="31" customWidth="1"/>
    <col min="23" max="28" width="17" style="87" customWidth="1"/>
    <col min="29" max="29" width="14.26953125" customWidth="1"/>
    <col min="30" max="52" width="9.1796875" customWidth="1"/>
    <col min="54" max="54" width="12" bestFit="1" customWidth="1"/>
    <col min="55" max="55" width="29.26953125" bestFit="1" customWidth="1"/>
    <col min="56" max="56" width="10" bestFit="1" customWidth="1"/>
    <col min="57" max="57" width="13.453125" customWidth="1"/>
  </cols>
  <sheetData>
    <row r="1" spans="1:57" s="21" customFormat="1" ht="18.5" x14ac:dyDescent="0.45">
      <c r="A1" s="3657" t="s">
        <v>2419</v>
      </c>
      <c r="B1" s="3853"/>
      <c r="C1" s="3853"/>
      <c r="D1" s="3853"/>
      <c r="E1" s="3853"/>
      <c r="F1" s="3853"/>
      <c r="G1" s="3853"/>
      <c r="H1" s="3853"/>
      <c r="I1" s="3853"/>
      <c r="J1" s="3853"/>
      <c r="K1" s="3853"/>
      <c r="L1" s="3853"/>
      <c r="M1" s="3853"/>
      <c r="N1" s="3853"/>
      <c r="O1" s="3853"/>
      <c r="P1" s="3853"/>
      <c r="Q1" s="3853"/>
      <c r="R1" s="725"/>
      <c r="S1" s="725"/>
      <c r="T1" s="725"/>
      <c r="U1" s="725"/>
      <c r="V1" s="26"/>
      <c r="W1" s="1943"/>
      <c r="X1" s="1943"/>
      <c r="Y1" s="723"/>
      <c r="Z1" s="723"/>
      <c r="AA1" s="723"/>
      <c r="AB1" s="723"/>
      <c r="AC1" s="28"/>
      <c r="AD1" s="28"/>
      <c r="AE1" s="28"/>
      <c r="AF1" s="28"/>
      <c r="AG1" s="28"/>
      <c r="AH1" s="28"/>
    </row>
    <row r="2" spans="1:57" s="21" customFormat="1" ht="30" hidden="1" customHeight="1" outlineLevel="1" x14ac:dyDescent="0.5">
      <c r="A2" s="725"/>
      <c r="B2" s="1081"/>
      <c r="C2" s="126"/>
      <c r="D2" s="3661" t="s">
        <v>2243</v>
      </c>
      <c r="E2" s="3662"/>
      <c r="F2" s="3663"/>
      <c r="G2" s="3663"/>
      <c r="H2" s="3663"/>
      <c r="I2" s="3663"/>
      <c r="J2" s="3663"/>
      <c r="K2" s="724"/>
      <c r="L2" s="724"/>
      <c r="M2" s="725"/>
      <c r="N2" s="725"/>
      <c r="O2" s="725"/>
      <c r="P2" s="725"/>
      <c r="Q2" s="725"/>
      <c r="R2" s="725"/>
      <c r="S2" s="725"/>
      <c r="T2" s="725"/>
      <c r="U2" s="725"/>
      <c r="W2" s="54"/>
      <c r="X2" s="54"/>
      <c r="Y2" s="54"/>
      <c r="Z2" s="54"/>
      <c r="AA2" s="54"/>
      <c r="AB2" s="54"/>
    </row>
    <row r="3" spans="1:57" s="21" customFormat="1" ht="24" customHeight="1" collapsed="1" x14ac:dyDescent="0.5">
      <c r="A3" s="725"/>
      <c r="B3" s="1081"/>
      <c r="C3" s="126"/>
      <c r="D3" s="1009"/>
      <c r="E3" s="1447"/>
      <c r="F3" s="1448"/>
      <c r="G3" s="1448"/>
      <c r="H3" s="1448"/>
      <c r="I3" s="1448"/>
      <c r="J3" s="1448"/>
      <c r="K3" s="724"/>
      <c r="L3" s="724"/>
      <c r="M3" s="725"/>
      <c r="N3" s="725"/>
      <c r="O3" s="725"/>
      <c r="P3" s="725"/>
      <c r="Q3" s="725"/>
      <c r="R3" s="725"/>
      <c r="S3" s="725"/>
      <c r="T3" s="725"/>
      <c r="U3" s="725"/>
      <c r="W3" s="54"/>
      <c r="X3" s="54"/>
      <c r="Y3" s="54"/>
      <c r="Z3" s="54"/>
      <c r="AA3" s="54"/>
      <c r="AB3" s="54"/>
    </row>
    <row r="4" spans="1:57" s="69" customFormat="1" x14ac:dyDescent="0.35">
      <c r="A4" s="106"/>
      <c r="B4" s="3664" t="s">
        <v>2420</v>
      </c>
      <c r="C4" s="3665"/>
      <c r="D4" s="3665"/>
      <c r="E4" s="3665"/>
      <c r="F4" s="3665"/>
      <c r="G4" s="3665"/>
      <c r="H4" s="3665"/>
      <c r="I4" s="3665"/>
      <c r="J4" s="3665"/>
      <c r="K4" s="3665"/>
      <c r="L4" s="4026"/>
      <c r="M4" s="132"/>
      <c r="N4" s="132"/>
      <c r="O4" s="132"/>
      <c r="P4" s="132"/>
      <c r="Q4" s="132"/>
      <c r="R4" s="132"/>
      <c r="S4" s="132"/>
      <c r="T4" s="132"/>
      <c r="U4" s="132"/>
      <c r="V4" s="3664" t="str">
        <f>B4</f>
        <v>Refrigerator Recycling</v>
      </c>
      <c r="W4" s="3665"/>
      <c r="X4" s="3665"/>
      <c r="Y4" s="3665"/>
      <c r="Z4" s="3665"/>
      <c r="AA4" s="3665"/>
      <c r="AB4" s="3665"/>
      <c r="AC4" s="3680"/>
      <c r="AD4" s="3680"/>
      <c r="AE4" s="3680"/>
      <c r="AF4" s="3680"/>
      <c r="AG4" s="3680"/>
      <c r="AH4" s="3680"/>
      <c r="AI4" s="3681"/>
    </row>
    <row r="5" spans="1:57" x14ac:dyDescent="0.35">
      <c r="V5" s="196"/>
      <c r="W5" s="528"/>
      <c r="X5" s="528"/>
      <c r="Y5" s="528"/>
      <c r="Z5" s="528"/>
      <c r="AA5" s="528"/>
      <c r="AB5" s="528"/>
      <c r="AC5" s="196"/>
      <c r="AD5" s="196"/>
      <c r="AE5" s="196"/>
      <c r="AF5" s="196"/>
      <c r="AG5" s="196"/>
      <c r="AH5" s="196"/>
      <c r="AI5" s="196"/>
      <c r="BD5" s="3402" t="s">
        <v>4473</v>
      </c>
    </row>
    <row r="6" spans="1:57" s="69" customFormat="1" ht="45" customHeight="1" x14ac:dyDescent="0.35">
      <c r="A6" s="106"/>
      <c r="B6" s="106"/>
      <c r="C6" s="2331" t="s">
        <v>27</v>
      </c>
      <c r="D6" s="2331" t="s">
        <v>174</v>
      </c>
      <c r="E6" s="2331" t="s">
        <v>29</v>
      </c>
      <c r="F6" s="2331" t="s">
        <v>30</v>
      </c>
      <c r="G6" s="2331" t="s">
        <v>175</v>
      </c>
      <c r="H6" s="2331" t="s">
        <v>176</v>
      </c>
      <c r="I6" s="2331" t="s">
        <v>31</v>
      </c>
      <c r="J6" s="2331" t="s">
        <v>180</v>
      </c>
      <c r="K6" s="2331" t="s">
        <v>169</v>
      </c>
      <c r="L6" s="2331" t="s">
        <v>43</v>
      </c>
      <c r="M6" s="132"/>
      <c r="N6" s="132"/>
      <c r="O6" s="132"/>
      <c r="P6" s="132"/>
      <c r="Q6" s="132"/>
      <c r="R6" s="132"/>
      <c r="S6" s="132"/>
      <c r="T6" s="132"/>
      <c r="U6" s="132"/>
      <c r="V6" s="1572" t="s">
        <v>44</v>
      </c>
      <c r="W6" s="316">
        <v>43252</v>
      </c>
      <c r="X6" s="316">
        <v>43465</v>
      </c>
      <c r="Y6" s="316">
        <v>43800</v>
      </c>
      <c r="Z6" s="316">
        <v>43862</v>
      </c>
      <c r="AA6" s="316">
        <v>44013</v>
      </c>
      <c r="AB6" s="316">
        <v>44166</v>
      </c>
      <c r="AC6" s="1573">
        <v>44531</v>
      </c>
      <c r="AD6" s="1573">
        <v>44774</v>
      </c>
      <c r="AE6" s="1573" t="s">
        <v>45</v>
      </c>
      <c r="AF6" s="1573" t="s">
        <v>45</v>
      </c>
      <c r="AG6" s="1573" t="s">
        <v>45</v>
      </c>
      <c r="AH6" s="196"/>
      <c r="AI6" s="196"/>
      <c r="BB6" s="1574" t="s">
        <v>4472</v>
      </c>
      <c r="BC6" s="1584" t="s">
        <v>47</v>
      </c>
      <c r="BD6" s="556" t="s">
        <v>48</v>
      </c>
      <c r="BE6" s="200" t="s">
        <v>49</v>
      </c>
    </row>
    <row r="7" spans="1:57" s="69" customFormat="1" x14ac:dyDescent="0.35">
      <c r="A7" s="106"/>
      <c r="B7" s="106"/>
      <c r="C7" s="50" t="s">
        <v>2421</v>
      </c>
      <c r="D7" s="88" t="s">
        <v>2422</v>
      </c>
      <c r="E7" s="2333" t="s">
        <v>2423</v>
      </c>
      <c r="F7" s="461">
        <f>ROUND(F15*F16,2)</f>
        <v>1020.32</v>
      </c>
      <c r="G7" s="294" t="s">
        <v>2070</v>
      </c>
      <c r="H7" s="136">
        <f>VLOOKUP(G7,'CP FACTORS'!$A$3:$B$38, 2, FALSE)</f>
        <v>1.286107E-4</v>
      </c>
      <c r="I7" s="90">
        <f>ROUND(F7*H7,6)</f>
        <v>0.13122400000000001</v>
      </c>
      <c r="J7" s="92">
        <v>8</v>
      </c>
      <c r="K7" s="420">
        <v>140</v>
      </c>
      <c r="L7" s="50" t="s">
        <v>184</v>
      </c>
      <c r="M7" s="132"/>
      <c r="N7" s="132"/>
      <c r="O7" s="132"/>
      <c r="P7" s="132"/>
      <c r="Q7" s="132"/>
      <c r="R7" s="132"/>
      <c r="S7" s="132"/>
      <c r="T7" s="132"/>
      <c r="U7" s="132"/>
      <c r="V7" s="141" t="str">
        <f>F6</f>
        <v>kWh Annual Savings</v>
      </c>
      <c r="W7" s="295">
        <f>W15*W16</f>
        <v>1027.47</v>
      </c>
      <c r="X7" s="295">
        <f t="shared" ref="X7:AA7" si="0">X15*X16</f>
        <v>1027.47</v>
      </c>
      <c r="Y7" s="295">
        <f t="shared" si="0"/>
        <v>1027.47</v>
      </c>
      <c r="Z7" s="295">
        <f t="shared" si="0"/>
        <v>1027.47</v>
      </c>
      <c r="AA7" s="295">
        <f t="shared" si="0"/>
        <v>1027.47</v>
      </c>
      <c r="AB7" s="100">
        <v>1020.3197278911559</v>
      </c>
      <c r="AC7" s="92">
        <v>1020.3197278911559</v>
      </c>
      <c r="AD7" s="92">
        <v>1020.3197278911559</v>
      </c>
      <c r="AE7" s="295"/>
      <c r="AF7" s="295"/>
      <c r="AG7" s="295"/>
      <c r="AH7"/>
      <c r="AI7"/>
      <c r="BB7" s="94">
        <f>(BD7)/(BE7)</f>
        <v>2.1678251039950478</v>
      </c>
      <c r="BC7" s="2381" t="str">
        <f>CONCATENATE(G7," ",J7," Year EUL")</f>
        <v>Refrigeration RES 8 Year EUL</v>
      </c>
      <c r="BD7" s="95">
        <f>(INDEX('Avoided Cost Benefits'!$E$4:$E$859,MATCH(BC7,'Avoided Cost Benefits'!$A$4:$A$859,0)))*F7</f>
        <v>286.45164186815163</v>
      </c>
      <c r="BE7" s="1579">
        <f>K7/(1.0595^(2020-2019))</f>
        <v>132.13780084945728</v>
      </c>
    </row>
    <row r="8" spans="1:57" s="69" customFormat="1" x14ac:dyDescent="0.35">
      <c r="A8" s="106"/>
      <c r="B8" s="106"/>
      <c r="C8" s="50" t="s">
        <v>2424</v>
      </c>
      <c r="D8" s="88" t="s">
        <v>2422</v>
      </c>
      <c r="E8" s="2333" t="s">
        <v>2425</v>
      </c>
      <c r="F8" s="461">
        <f>ROUND(520,2)</f>
        <v>520</v>
      </c>
      <c r="G8" s="294" t="s">
        <v>2070</v>
      </c>
      <c r="H8" s="136">
        <f>VLOOKUP(G8,'CP FACTORS'!$A$3:$B$38, 2, FALSE)</f>
        <v>1.286107E-4</v>
      </c>
      <c r="I8" s="90">
        <f>ROUND(F8*H8,6)</f>
        <v>6.6878000000000007E-2</v>
      </c>
      <c r="J8" s="92">
        <v>8</v>
      </c>
      <c r="K8" s="420">
        <v>140</v>
      </c>
      <c r="L8" s="50" t="s">
        <v>184</v>
      </c>
      <c r="M8" s="132"/>
      <c r="N8" s="132"/>
      <c r="O8" s="132"/>
      <c r="P8" s="132"/>
      <c r="Q8" s="132"/>
      <c r="R8" s="132"/>
      <c r="S8" s="132"/>
      <c r="T8" s="132"/>
      <c r="U8" s="132"/>
      <c r="V8" s="1052" t="str">
        <f>V7</f>
        <v>kWh Annual Savings</v>
      </c>
      <c r="W8" s="295">
        <v>520</v>
      </c>
      <c r="X8" s="295">
        <v>520</v>
      </c>
      <c r="Y8" s="295">
        <v>520</v>
      </c>
      <c r="Z8" s="295">
        <v>520</v>
      </c>
      <c r="AA8" s="295">
        <v>520</v>
      </c>
      <c r="AB8" s="295">
        <v>520</v>
      </c>
      <c r="AC8" s="92">
        <v>520</v>
      </c>
      <c r="AD8" s="92">
        <v>520</v>
      </c>
      <c r="AE8" s="295"/>
      <c r="AF8" s="295"/>
      <c r="AG8" s="295"/>
      <c r="BB8" s="101">
        <f>(BD8)/(BE8)</f>
        <v>1.1048191293686538</v>
      </c>
      <c r="BC8" s="1580" t="str">
        <f>CONCATENATE(G8," ",J8," Year EUL")</f>
        <v>Refrigeration RES 8 Year EUL</v>
      </c>
      <c r="BD8" s="102">
        <f>(INDEX('Avoided Cost Benefits'!$E$4:$E$859,MATCH(BC8,'Avoided Cost Benefits'!$A$4:$A$859,0)))*F8</f>
        <v>145.98837009118594</v>
      </c>
      <c r="BE8" s="1582">
        <f>K8/(1.0595^(2020-2019))</f>
        <v>132.13780084945728</v>
      </c>
    </row>
    <row r="9" spans="1:57" hidden="1" outlineLevel="1" x14ac:dyDescent="0.35"/>
    <row r="10" spans="1:57" hidden="1" outlineLevel="1" x14ac:dyDescent="0.35">
      <c r="D10" s="152" t="s">
        <v>107</v>
      </c>
    </row>
    <row r="11" spans="1:57" hidden="1" outlineLevel="1" x14ac:dyDescent="0.35"/>
    <row r="12" spans="1:57" hidden="1" outlineLevel="1" x14ac:dyDescent="0.35"/>
    <row r="13" spans="1:57" hidden="1" outlineLevel="1" x14ac:dyDescent="0.35"/>
    <row r="14" spans="1:57" hidden="1" outlineLevel="1" x14ac:dyDescent="0.35">
      <c r="D14" s="2423" t="s">
        <v>108</v>
      </c>
      <c r="E14" s="2423" t="s">
        <v>109</v>
      </c>
      <c r="F14" s="2331" t="s">
        <v>111</v>
      </c>
      <c r="G14" s="3741" t="s">
        <v>186</v>
      </c>
      <c r="H14" s="3741"/>
      <c r="I14" s="3741"/>
      <c r="V14" s="1572" t="s">
        <v>44</v>
      </c>
      <c r="W14" s="316">
        <f>W$6</f>
        <v>43252</v>
      </c>
      <c r="X14" s="316">
        <f t="shared" ref="X14:AG14" si="1">X$6</f>
        <v>43465</v>
      </c>
      <c r="Y14" s="316">
        <f t="shared" si="1"/>
        <v>43800</v>
      </c>
      <c r="Z14" s="316">
        <f t="shared" si="1"/>
        <v>43862</v>
      </c>
      <c r="AA14" s="316">
        <f t="shared" si="1"/>
        <v>44013</v>
      </c>
      <c r="AB14" s="316">
        <f t="shared" si="1"/>
        <v>44166</v>
      </c>
      <c r="AC14" s="1573">
        <f t="shared" si="1"/>
        <v>44531</v>
      </c>
      <c r="AD14" s="1573">
        <f t="shared" si="1"/>
        <v>44774</v>
      </c>
      <c r="AE14" s="1573" t="str">
        <f t="shared" si="1"/>
        <v>-</v>
      </c>
      <c r="AF14" s="1573" t="str">
        <f t="shared" si="1"/>
        <v>-</v>
      </c>
      <c r="AG14" s="1573" t="str">
        <f t="shared" si="1"/>
        <v>-</v>
      </c>
    </row>
    <row r="15" spans="1:57" hidden="1" outlineLevel="1" x14ac:dyDescent="0.35">
      <c r="D15" s="2340" t="s">
        <v>2426</v>
      </c>
      <c r="E15" s="2340" t="s">
        <v>2427</v>
      </c>
      <c r="F15" s="1368">
        <v>1181</v>
      </c>
      <c r="G15" s="4234" t="s">
        <v>2428</v>
      </c>
      <c r="H15" s="4234"/>
      <c r="I15" s="4234"/>
      <c r="V15" s="1053" t="str">
        <f>D15</f>
        <v>UEC</v>
      </c>
      <c r="W15" s="1055">
        <v>1181</v>
      </c>
      <c r="X15" s="1055">
        <v>1181</v>
      </c>
      <c r="Y15" s="1055">
        <v>1181</v>
      </c>
      <c r="Z15" s="1055">
        <v>1181</v>
      </c>
      <c r="AA15" s="1055">
        <v>1181</v>
      </c>
      <c r="AB15" s="1055">
        <v>1181</v>
      </c>
      <c r="AC15" s="1368">
        <v>1181</v>
      </c>
      <c r="AD15" s="1368">
        <v>1181</v>
      </c>
      <c r="AE15" s="1054"/>
      <c r="AF15" s="1054"/>
      <c r="AG15" s="1054"/>
    </row>
    <row r="16" spans="1:57" ht="29" hidden="1" outlineLevel="1" x14ac:dyDescent="0.35">
      <c r="D16" s="2340" t="s">
        <v>2429</v>
      </c>
      <c r="E16" s="2340" t="s">
        <v>2430</v>
      </c>
      <c r="F16" s="162">
        <v>0.86394557823129203</v>
      </c>
      <c r="G16" s="4234" t="s">
        <v>2431</v>
      </c>
      <c r="H16" s="4234"/>
      <c r="I16" s="4234"/>
      <c r="V16" s="1053" t="str">
        <f>D16</f>
        <v>Part Use Factor</v>
      </c>
      <c r="W16" s="1055">
        <v>0.87</v>
      </c>
      <c r="X16" s="1055">
        <v>0.87</v>
      </c>
      <c r="Y16" s="1055">
        <v>0.87</v>
      </c>
      <c r="Z16" s="1055">
        <v>0.87</v>
      </c>
      <c r="AA16" s="1055">
        <v>0.87</v>
      </c>
      <c r="AB16" s="1951">
        <v>0.86394557823129203</v>
      </c>
      <c r="AC16" s="162">
        <v>0.86394557823129203</v>
      </c>
      <c r="AD16" s="162">
        <v>0.86394557823129203</v>
      </c>
      <c r="AE16" s="1054"/>
      <c r="AF16" s="1054"/>
      <c r="AG16" s="1054"/>
    </row>
    <row r="17" spans="1:57" hidden="1" outlineLevel="1" x14ac:dyDescent="0.35"/>
    <row r="18" spans="1:57" collapsed="1" x14ac:dyDescent="0.35"/>
    <row r="19" spans="1:57" x14ac:dyDescent="0.35">
      <c r="B19" s="3664" t="s">
        <v>4357</v>
      </c>
      <c r="C19" s="3665"/>
      <c r="D19" s="3665"/>
      <c r="E19" s="3665"/>
      <c r="F19" s="3665"/>
      <c r="G19" s="3665"/>
      <c r="H19" s="3665"/>
      <c r="I19" s="3665"/>
      <c r="J19" s="3665"/>
      <c r="K19" s="3665"/>
      <c r="L19" s="4026"/>
      <c r="V19" s="3664" t="str">
        <f>B19</f>
        <v>Freezer Recycling</v>
      </c>
      <c r="W19" s="3665"/>
      <c r="X19" s="3665"/>
      <c r="Y19" s="3665"/>
      <c r="Z19" s="3665"/>
      <c r="AA19" s="3665"/>
      <c r="AB19" s="3665"/>
      <c r="AC19" s="3680"/>
      <c r="AD19" s="3680"/>
      <c r="AE19" s="3680"/>
      <c r="AF19" s="3680"/>
      <c r="AG19" s="3680"/>
      <c r="AH19" s="3680"/>
      <c r="AI19" s="3681"/>
    </row>
    <row r="20" spans="1:57" x14ac:dyDescent="0.35">
      <c r="V20" s="196"/>
      <c r="W20" s="528"/>
      <c r="X20" s="528"/>
      <c r="Y20" s="528"/>
      <c r="Z20" s="528"/>
      <c r="AA20" s="528"/>
      <c r="AB20" s="528"/>
      <c r="AC20" s="196"/>
      <c r="AD20" s="196"/>
      <c r="AE20" s="196"/>
      <c r="AF20" s="196"/>
      <c r="AG20" s="196"/>
      <c r="AH20" s="196"/>
      <c r="AI20" s="196"/>
    </row>
    <row r="21" spans="1:57" s="69" customFormat="1" ht="45" customHeight="1" x14ac:dyDescent="0.35">
      <c r="A21" s="106"/>
      <c r="B21" s="106"/>
      <c r="C21" s="2331" t="s">
        <v>27</v>
      </c>
      <c r="D21" s="2331" t="s">
        <v>174</v>
      </c>
      <c r="E21" s="2331" t="s">
        <v>29</v>
      </c>
      <c r="F21" s="2331" t="s">
        <v>30</v>
      </c>
      <c r="G21" s="2331" t="s">
        <v>175</v>
      </c>
      <c r="H21" s="2331" t="s">
        <v>176</v>
      </c>
      <c r="I21" s="2331" t="s">
        <v>31</v>
      </c>
      <c r="J21" s="2331" t="s">
        <v>180</v>
      </c>
      <c r="K21" s="2331" t="s">
        <v>169</v>
      </c>
      <c r="L21" s="2331" t="s">
        <v>43</v>
      </c>
      <c r="M21" s="132"/>
      <c r="N21" s="132"/>
      <c r="O21" s="132"/>
      <c r="P21" s="132"/>
      <c r="Q21" s="132"/>
      <c r="R21" s="132"/>
      <c r="S21" s="132"/>
      <c r="T21" s="132"/>
      <c r="U21" s="132"/>
      <c r="V21" s="1572" t="s">
        <v>44</v>
      </c>
      <c r="W21" s="316">
        <f>W$6</f>
        <v>43252</v>
      </c>
      <c r="X21" s="316">
        <f t="shared" ref="X21:AG21" si="2">X$6</f>
        <v>43465</v>
      </c>
      <c r="Y21" s="316">
        <f t="shared" si="2"/>
        <v>43800</v>
      </c>
      <c r="Z21" s="316">
        <f t="shared" si="2"/>
        <v>43862</v>
      </c>
      <c r="AA21" s="316">
        <f t="shared" si="2"/>
        <v>44013</v>
      </c>
      <c r="AB21" s="316">
        <f t="shared" si="2"/>
        <v>44166</v>
      </c>
      <c r="AC21" s="1573">
        <f t="shared" si="2"/>
        <v>44531</v>
      </c>
      <c r="AD21" s="1573">
        <f t="shared" si="2"/>
        <v>44774</v>
      </c>
      <c r="AE21" s="1573" t="str">
        <f t="shared" si="2"/>
        <v>-</v>
      </c>
      <c r="AF21" s="1573" t="str">
        <f t="shared" si="2"/>
        <v>-</v>
      </c>
      <c r="AG21" s="1573" t="str">
        <f t="shared" si="2"/>
        <v>-</v>
      </c>
      <c r="AH21" s="196"/>
      <c r="AI21" s="196"/>
      <c r="BB21" s="1574" t="str">
        <f>$BB$6</f>
        <v>TRC (2022)</v>
      </c>
      <c r="BC21" s="1584" t="str">
        <f>$BC$6</f>
        <v>Benefit Lookup</v>
      </c>
      <c r="BD21" s="556" t="str">
        <f>$BD$6</f>
        <v>Benefits (2019 $)</v>
      </c>
      <c r="BE21" s="200" t="str">
        <f>$BE$6</f>
        <v>Incremental Cost (2019 $)</v>
      </c>
    </row>
    <row r="22" spans="1:57" s="69" customFormat="1" x14ac:dyDescent="0.35">
      <c r="A22" s="106"/>
      <c r="B22" s="106"/>
      <c r="C22" s="50" t="s">
        <v>2432</v>
      </c>
      <c r="D22" s="88" t="s">
        <v>2422</v>
      </c>
      <c r="E22" s="2333" t="s">
        <v>2433</v>
      </c>
      <c r="F22" s="461">
        <f>ROUND(F29*F30,2)</f>
        <v>825.22</v>
      </c>
      <c r="G22" s="294" t="s">
        <v>2434</v>
      </c>
      <c r="H22" s="136">
        <f>VLOOKUP(G22,'CP FACTORS'!$A$3:$B$38, 2, FALSE)</f>
        <v>1.6857220000000001E-4</v>
      </c>
      <c r="I22" s="90">
        <f>ROUND(F22*H22,6)</f>
        <v>0.13910900000000001</v>
      </c>
      <c r="J22" s="92">
        <v>8</v>
      </c>
      <c r="K22" s="420">
        <v>140</v>
      </c>
      <c r="L22" s="50" t="s">
        <v>184</v>
      </c>
      <c r="M22" s="132"/>
      <c r="N22" s="132"/>
      <c r="O22" s="132"/>
      <c r="P22" s="132"/>
      <c r="Q22" s="132"/>
      <c r="R22" s="132"/>
      <c r="S22" s="132"/>
      <c r="T22" s="132"/>
      <c r="U22" s="132"/>
      <c r="V22" s="141" t="str">
        <f>F21</f>
        <v>kWh Annual Savings</v>
      </c>
      <c r="W22" s="295">
        <v>891.24</v>
      </c>
      <c r="X22" s="295">
        <v>891.24</v>
      </c>
      <c r="Y22" s="418">
        <v>891.24</v>
      </c>
      <c r="Z22" s="479">
        <v>891.24</v>
      </c>
      <c r="AA22" s="479">
        <v>891.24</v>
      </c>
      <c r="AB22" s="322">
        <v>825.22</v>
      </c>
      <c r="AC22" s="49">
        <v>825.22</v>
      </c>
      <c r="AD22" s="49">
        <v>825.22</v>
      </c>
      <c r="AE22" s="479"/>
      <c r="AF22" s="479"/>
      <c r="AG22" s="479"/>
      <c r="AH22"/>
      <c r="AI22"/>
      <c r="BB22" s="1008">
        <f>(BD22)/(BE22)</f>
        <v>1.9193069994182201</v>
      </c>
      <c r="BC22" s="2381" t="str">
        <f>CONCATENATE(G22," ",J22," Year EUL")</f>
        <v>Freezer RES 8 Year EUL</v>
      </c>
      <c r="BD22" s="147">
        <f>(INDEX('Avoided Cost Benefits'!$E$4:$E$859,MATCH(BC22,'Avoided Cost Benefits'!$A$4:$A$859,0)))*F22</f>
        <v>253.61300605809419</v>
      </c>
      <c r="BE22" s="1587">
        <f>K22/(1.0595^(2020-2019))</f>
        <v>132.13780084945728</v>
      </c>
    </row>
    <row r="23" spans="1:57" hidden="1" outlineLevel="1" x14ac:dyDescent="0.35"/>
    <row r="24" spans="1:57" hidden="1" outlineLevel="1" x14ac:dyDescent="0.35">
      <c r="D24" s="152" t="s">
        <v>107</v>
      </c>
    </row>
    <row r="25" spans="1:57" hidden="1" outlineLevel="1" x14ac:dyDescent="0.35">
      <c r="D25" s="103"/>
      <c r="F25" s="292"/>
    </row>
    <row r="26" spans="1:57" hidden="1" outlineLevel="1" x14ac:dyDescent="0.35">
      <c r="D26" s="103"/>
      <c r="F26" s="292"/>
    </row>
    <row r="27" spans="1:57" hidden="1" outlineLevel="1" x14ac:dyDescent="0.35">
      <c r="D27" s="103"/>
      <c r="F27" s="292"/>
    </row>
    <row r="28" spans="1:57" hidden="1" outlineLevel="1" x14ac:dyDescent="0.35">
      <c r="D28" s="2423" t="s">
        <v>108</v>
      </c>
      <c r="E28" s="2423" t="s">
        <v>109</v>
      </c>
      <c r="F28" s="2331" t="s">
        <v>111</v>
      </c>
      <c r="G28" s="3741" t="s">
        <v>186</v>
      </c>
      <c r="H28" s="3741"/>
      <c r="I28" s="3741"/>
      <c r="V28" s="1572" t="s">
        <v>44</v>
      </c>
      <c r="W28" s="316">
        <f>W$6</f>
        <v>43252</v>
      </c>
      <c r="X28" s="316">
        <f t="shared" ref="X28:AG28" si="3">X$6</f>
        <v>43465</v>
      </c>
      <c r="Y28" s="316">
        <f t="shared" si="3"/>
        <v>43800</v>
      </c>
      <c r="Z28" s="316">
        <f t="shared" si="3"/>
        <v>43862</v>
      </c>
      <c r="AA28" s="316">
        <f t="shared" si="3"/>
        <v>44013</v>
      </c>
      <c r="AB28" s="316">
        <f t="shared" si="3"/>
        <v>44166</v>
      </c>
      <c r="AC28" s="1573">
        <f t="shared" si="3"/>
        <v>44531</v>
      </c>
      <c r="AD28" s="1573">
        <f t="shared" si="3"/>
        <v>44774</v>
      </c>
      <c r="AE28" s="1573" t="str">
        <f t="shared" si="3"/>
        <v>-</v>
      </c>
      <c r="AF28" s="1573" t="str">
        <f t="shared" si="3"/>
        <v>-</v>
      </c>
      <c r="AG28" s="1573" t="str">
        <f t="shared" si="3"/>
        <v>-</v>
      </c>
    </row>
    <row r="29" spans="1:57" hidden="1" outlineLevel="1" x14ac:dyDescent="0.35">
      <c r="D29" s="2340" t="s">
        <v>2426</v>
      </c>
      <c r="E29" s="2340" t="s">
        <v>2427</v>
      </c>
      <c r="F29" s="1368">
        <v>1061</v>
      </c>
      <c r="G29" s="4234" t="s">
        <v>2428</v>
      </c>
      <c r="H29" s="4234"/>
      <c r="I29" s="4234"/>
      <c r="V29" s="1053" t="str">
        <f>D29</f>
        <v>UEC</v>
      </c>
      <c r="W29" s="1055">
        <v>1061</v>
      </c>
      <c r="X29" s="1055">
        <v>1061</v>
      </c>
      <c r="Y29" s="1055">
        <v>1061</v>
      </c>
      <c r="Z29" s="1055">
        <v>1061</v>
      </c>
      <c r="AA29" s="1055">
        <v>1061</v>
      </c>
      <c r="AB29" s="1055">
        <v>1061</v>
      </c>
      <c r="AC29" s="1952">
        <v>1061</v>
      </c>
      <c r="AD29" s="1952">
        <v>1061</v>
      </c>
      <c r="AE29" s="1054"/>
      <c r="AF29" s="1054"/>
      <c r="AG29" s="1054"/>
    </row>
    <row r="30" spans="1:57" s="84" customFormat="1" ht="29" hidden="1" outlineLevel="1" x14ac:dyDescent="0.35">
      <c r="C30" s="103"/>
      <c r="D30" s="2340" t="s">
        <v>2429</v>
      </c>
      <c r="E30" s="2340" t="s">
        <v>2430</v>
      </c>
      <c r="F30" s="168">
        <v>0.77777777777777801</v>
      </c>
      <c r="G30" s="3882" t="s">
        <v>2431</v>
      </c>
      <c r="H30" s="3882"/>
      <c r="I30" s="3882"/>
      <c r="J30" s="106"/>
      <c r="K30" s="106"/>
      <c r="L30" s="106"/>
      <c r="V30" s="2324" t="str">
        <f>D30</f>
        <v>Part Use Factor</v>
      </c>
      <c r="W30" s="1952">
        <v>0.84</v>
      </c>
      <c r="X30" s="1952">
        <v>0.84</v>
      </c>
      <c r="Y30" s="1952">
        <v>0.84</v>
      </c>
      <c r="Z30" s="1952">
        <v>0.84</v>
      </c>
      <c r="AA30" s="1952">
        <v>0.84</v>
      </c>
      <c r="AB30" s="1951">
        <v>0.77777777777777801</v>
      </c>
      <c r="AC30" s="1952">
        <v>0.77777777777777801</v>
      </c>
      <c r="AD30" s="1952">
        <v>0.77777777777777801</v>
      </c>
      <c r="AE30" s="1661"/>
      <c r="AF30" s="1661"/>
      <c r="AG30" s="1661"/>
    </row>
    <row r="31" spans="1:57" collapsed="1" x14ac:dyDescent="0.35"/>
    <row r="32" spans="1:57" x14ac:dyDescent="0.35">
      <c r="B32" s="3664" t="s">
        <v>2435</v>
      </c>
      <c r="C32" s="3665"/>
      <c r="D32" s="3665"/>
      <c r="E32" s="3665"/>
      <c r="F32" s="3665"/>
      <c r="G32" s="3665"/>
      <c r="H32" s="3665"/>
      <c r="I32" s="3665"/>
      <c r="J32" s="3665"/>
      <c r="K32" s="3665"/>
      <c r="L32" s="4026"/>
      <c r="V32" s="3664" t="str">
        <f>B32</f>
        <v>Room AC Recycling</v>
      </c>
      <c r="W32" s="3665"/>
      <c r="X32" s="3665"/>
      <c r="Y32" s="3665"/>
      <c r="Z32" s="3665"/>
      <c r="AA32" s="3665"/>
      <c r="AB32" s="3665"/>
      <c r="AC32" s="3680"/>
      <c r="AD32" s="3680"/>
      <c r="AE32" s="3680"/>
      <c r="AF32" s="3680"/>
      <c r="AG32" s="3680"/>
      <c r="AH32" s="3680"/>
      <c r="AI32" s="3681"/>
    </row>
    <row r="33" spans="1:57" x14ac:dyDescent="0.35">
      <c r="V33" s="196"/>
      <c r="W33" s="528"/>
      <c r="X33" s="528"/>
      <c r="Y33" s="528"/>
      <c r="Z33" s="528"/>
      <c r="AA33" s="528"/>
      <c r="AB33" s="528"/>
      <c r="AC33" s="196"/>
      <c r="AD33" s="196"/>
      <c r="AE33" s="196"/>
      <c r="AF33" s="196"/>
      <c r="AG33" s="196"/>
      <c r="AH33" s="196"/>
      <c r="AI33" s="196"/>
    </row>
    <row r="34" spans="1:57" s="69" customFormat="1" ht="45" customHeight="1" x14ac:dyDescent="0.35">
      <c r="A34" s="106"/>
      <c r="B34" s="106"/>
      <c r="C34" s="2331" t="s">
        <v>27</v>
      </c>
      <c r="D34" s="2331" t="s">
        <v>174</v>
      </c>
      <c r="E34" s="2331" t="s">
        <v>29</v>
      </c>
      <c r="F34" s="2331" t="s">
        <v>30</v>
      </c>
      <c r="G34" s="2331" t="s">
        <v>175</v>
      </c>
      <c r="H34" s="2331" t="s">
        <v>176</v>
      </c>
      <c r="I34" s="2331" t="s">
        <v>31</v>
      </c>
      <c r="J34" s="2331" t="s">
        <v>180</v>
      </c>
      <c r="K34" s="2331" t="s">
        <v>169</v>
      </c>
      <c r="L34" s="2331" t="s">
        <v>43</v>
      </c>
      <c r="M34" s="132"/>
      <c r="N34" s="132"/>
      <c r="O34" s="132"/>
      <c r="P34" s="132"/>
      <c r="Q34" s="132"/>
      <c r="R34" s="132"/>
      <c r="S34" s="132"/>
      <c r="T34" s="132"/>
      <c r="U34" s="132"/>
      <c r="V34" s="1572" t="s">
        <v>44</v>
      </c>
      <c r="W34" s="316">
        <f>W$6</f>
        <v>43252</v>
      </c>
      <c r="X34" s="316">
        <f t="shared" ref="X34:AG34" si="4">X$6</f>
        <v>43465</v>
      </c>
      <c r="Y34" s="316">
        <f t="shared" si="4"/>
        <v>43800</v>
      </c>
      <c r="Z34" s="316">
        <f t="shared" si="4"/>
        <v>43862</v>
      </c>
      <c r="AA34" s="316">
        <f t="shared" si="4"/>
        <v>44013</v>
      </c>
      <c r="AB34" s="316">
        <f t="shared" si="4"/>
        <v>44166</v>
      </c>
      <c r="AC34" s="1573">
        <f t="shared" si="4"/>
        <v>44531</v>
      </c>
      <c r="AD34" s="1573">
        <f t="shared" si="4"/>
        <v>44774</v>
      </c>
      <c r="AE34" s="1573" t="str">
        <f t="shared" si="4"/>
        <v>-</v>
      </c>
      <c r="AF34" s="1573" t="str">
        <f t="shared" si="4"/>
        <v>-</v>
      </c>
      <c r="AG34" s="1573" t="str">
        <f t="shared" si="4"/>
        <v>-</v>
      </c>
      <c r="AH34" s="196"/>
      <c r="AI34" s="196"/>
      <c r="BB34" s="1574" t="str">
        <f>$BB$6</f>
        <v>TRC (2022)</v>
      </c>
      <c r="BC34" s="1584" t="str">
        <f>$BC$6</f>
        <v>Benefit Lookup</v>
      </c>
      <c r="BD34" s="556" t="str">
        <f>$BD$6</f>
        <v>Benefits (2019 $)</v>
      </c>
      <c r="BE34" s="200" t="str">
        <f>$BE$6</f>
        <v>Incremental Cost (2019 $)</v>
      </c>
    </row>
    <row r="35" spans="1:57" x14ac:dyDescent="0.35">
      <c r="C35" s="50" t="s">
        <v>2436</v>
      </c>
      <c r="D35" s="88" t="s">
        <v>2422</v>
      </c>
      <c r="E35" s="2333" t="s">
        <v>2437</v>
      </c>
      <c r="F35" s="461">
        <f>ROUND(((F48*$F$50)/($F$51*1000))-($F$52*((F48*$F$50)/($F$53*1000))),2)</f>
        <v>302.52999999999997</v>
      </c>
      <c r="G35" s="491" t="s">
        <v>257</v>
      </c>
      <c r="H35" s="136">
        <f>VLOOKUP(G35,'CP FACTORS'!$A$3:$B$38, 2, FALSE)</f>
        <v>9.4741810000000004E-4</v>
      </c>
      <c r="I35" s="90">
        <f>ROUND(F35*H35,6)</f>
        <v>0.28662199999999999</v>
      </c>
      <c r="J35" s="92">
        <v>4</v>
      </c>
      <c r="K35" s="420">
        <f>349*(140/(742+11))</f>
        <v>64.887118193891098</v>
      </c>
      <c r="L35" s="50" t="s">
        <v>184</v>
      </c>
      <c r="V35" s="141" t="str">
        <f>F34</f>
        <v>kWh Annual Savings</v>
      </c>
      <c r="W35" s="295">
        <f>((W48*$F$50)/($F$51*1000))-($F$52*((W48*$F$50)/($F$53*1000)))</f>
        <v>302.53414882772677</v>
      </c>
      <c r="X35" s="295">
        <f>((X48*$F$50)/($F$51*1000))-($F$52*((X48*$F$50)/($F$53*1000)))</f>
        <v>302.53414882772677</v>
      </c>
      <c r="Y35" s="418">
        <v>302.52999999999997</v>
      </c>
      <c r="Z35" s="418">
        <v>302.52999999999997</v>
      </c>
      <c r="AA35" s="418">
        <v>302.52999999999997</v>
      </c>
      <c r="AB35" s="418">
        <v>302.52999999999997</v>
      </c>
      <c r="AC35" s="418">
        <v>302.52999999999997</v>
      </c>
      <c r="AD35" s="418">
        <v>302.52999999999997</v>
      </c>
      <c r="AE35" s="141"/>
      <c r="AF35" s="141"/>
      <c r="AG35" s="141"/>
      <c r="BB35" s="94">
        <f>(BD35)/(BE35)</f>
        <v>2.027119761849578</v>
      </c>
      <c r="BC35" s="2381" t="str">
        <f>CONCATENATE(G35," ",J35," Year EUL")</f>
        <v>Cooling RES 4 Year EUL</v>
      </c>
      <c r="BD35" s="95">
        <f>(INDEX('Avoided Cost Benefits'!$E$4:$E$859,MATCH(BC35,'Avoided Cost Benefits'!$A$4:$A$859,0)))*F35</f>
        <v>124.14720111402164</v>
      </c>
      <c r="BE35" s="1579">
        <f>K35/(1.0595^(2020-2019))</f>
        <v>61.243150725711274</v>
      </c>
    </row>
    <row r="36" spans="1:57" x14ac:dyDescent="0.35">
      <c r="C36" s="50" t="s">
        <v>2438</v>
      </c>
      <c r="D36" s="88" t="s">
        <v>2422</v>
      </c>
      <c r="E36" s="2333" t="s">
        <v>2439</v>
      </c>
      <c r="F36" s="461">
        <f>ROUND(((F49*$F$50)/($F$51*1000))-($F$52*((F49*$F$50)/($F$53*1000))),2)</f>
        <v>195.59</v>
      </c>
      <c r="G36" s="491" t="s">
        <v>257</v>
      </c>
      <c r="H36" s="136">
        <f>VLOOKUP(G36,'CP FACTORS'!$A$3:$B$38, 2, FALSE)</f>
        <v>9.4741810000000004E-4</v>
      </c>
      <c r="I36" s="90">
        <f>ROUND(F36*H36,6)</f>
        <v>0.185306</v>
      </c>
      <c r="J36" s="92">
        <v>4</v>
      </c>
      <c r="K36" s="420">
        <f>349*(140/(742+11))</f>
        <v>64.887118193891098</v>
      </c>
      <c r="L36" s="50" t="s">
        <v>184</v>
      </c>
      <c r="V36" s="141" t="str">
        <f>V35</f>
        <v>kWh Annual Savings</v>
      </c>
      <c r="W36" s="295">
        <f>((W49*$F$50)/($F$51*1000))-($F$52*((W49*$F$50)/($F$53*1000)))</f>
        <v>195.59184505606521</v>
      </c>
      <c r="X36" s="295">
        <f>((X49*$F$50)/($F$51*1000))-($F$52*((X49*$F$50)/($F$53*1000)))</f>
        <v>195.59184505606521</v>
      </c>
      <c r="Y36" s="418">
        <v>195.59</v>
      </c>
      <c r="Z36" s="418">
        <v>195.59</v>
      </c>
      <c r="AA36" s="418">
        <v>195.59</v>
      </c>
      <c r="AB36" s="418">
        <v>195.59</v>
      </c>
      <c r="AC36" s="418">
        <v>195.59</v>
      </c>
      <c r="AD36" s="418">
        <v>195.59</v>
      </c>
      <c r="AE36" s="141"/>
      <c r="AF36" s="141"/>
      <c r="AG36" s="141"/>
      <c r="BB36" s="101">
        <f>(BD36)/(BE36)</f>
        <v>1.3105621069651241</v>
      </c>
      <c r="BC36" s="1580" t="str">
        <f>CONCATENATE(G36," ",J36," Year EUL")</f>
        <v>Cooling RES 4 Year EUL</v>
      </c>
      <c r="BD36" s="102">
        <f>(INDEX('Avoided Cost Benefits'!$E$4:$E$859,MATCH(BC36,'Avoided Cost Benefits'!$A$4:$A$859,0)))*F36</f>
        <v>80.26295265227084</v>
      </c>
      <c r="BE36" s="1582">
        <f>K36/(1.0595^(2020-2019))</f>
        <v>61.243150725711274</v>
      </c>
    </row>
    <row r="37" spans="1:57" hidden="1" outlineLevel="1" x14ac:dyDescent="0.35">
      <c r="C37" s="105" t="s">
        <v>2440</v>
      </c>
    </row>
    <row r="38" spans="1:57" hidden="1" outlineLevel="1" x14ac:dyDescent="0.35">
      <c r="D38" s="106"/>
    </row>
    <row r="39" spans="1:57" hidden="1" outlineLevel="1" x14ac:dyDescent="0.35">
      <c r="D39" s="152" t="s">
        <v>107</v>
      </c>
    </row>
    <row r="40" spans="1:57" hidden="1" outlineLevel="1" x14ac:dyDescent="0.35"/>
    <row r="41" spans="1:57" hidden="1" outlineLevel="1" x14ac:dyDescent="0.35">
      <c r="F41" s="1252"/>
    </row>
    <row r="42" spans="1:57" hidden="1" outlineLevel="1" x14ac:dyDescent="0.35"/>
    <row r="43" spans="1:57" hidden="1" outlineLevel="1" x14ac:dyDescent="0.35"/>
    <row r="44" spans="1:57" hidden="1" outlineLevel="1" x14ac:dyDescent="0.35"/>
    <row r="45" spans="1:57" hidden="1" outlineLevel="1" x14ac:dyDescent="0.35"/>
    <row r="46" spans="1:57" hidden="1" outlineLevel="1" x14ac:dyDescent="0.35"/>
    <row r="47" spans="1:57" hidden="1" outlineLevel="1" x14ac:dyDescent="0.35">
      <c r="D47" s="949" t="s">
        <v>109</v>
      </c>
      <c r="E47" s="949" t="s">
        <v>110</v>
      </c>
      <c r="F47" s="2399" t="s">
        <v>111</v>
      </c>
      <c r="G47" s="2399" t="s">
        <v>112</v>
      </c>
      <c r="V47" s="1572" t="s">
        <v>44</v>
      </c>
      <c r="W47" s="316">
        <f>W$6</f>
        <v>43252</v>
      </c>
      <c r="X47" s="316">
        <f t="shared" ref="X47:AG47" si="5">X$6</f>
        <v>43465</v>
      </c>
      <c r="Y47" s="316">
        <f t="shared" si="5"/>
        <v>43800</v>
      </c>
      <c r="Z47" s="316">
        <f t="shared" si="5"/>
        <v>43862</v>
      </c>
      <c r="AA47" s="316">
        <f t="shared" si="5"/>
        <v>44013</v>
      </c>
      <c r="AB47" s="316">
        <f t="shared" si="5"/>
        <v>44166</v>
      </c>
      <c r="AC47" s="1573">
        <f t="shared" si="5"/>
        <v>44531</v>
      </c>
      <c r="AD47" s="1573">
        <f t="shared" si="5"/>
        <v>44774</v>
      </c>
      <c r="AE47" s="1573" t="str">
        <f t="shared" si="5"/>
        <v>-</v>
      </c>
      <c r="AF47" s="1573" t="str">
        <f t="shared" si="5"/>
        <v>-</v>
      </c>
      <c r="AG47" s="1573" t="str">
        <f t="shared" si="5"/>
        <v>-</v>
      </c>
    </row>
    <row r="48" spans="1:57" ht="29" hidden="1" outlineLevel="1" x14ac:dyDescent="0.35">
      <c r="D48" s="2324" t="s">
        <v>2441</v>
      </c>
      <c r="E48" s="2356" t="s">
        <v>2442</v>
      </c>
      <c r="F48" s="694">
        <v>860</v>
      </c>
      <c r="G48" s="2324" t="s">
        <v>329</v>
      </c>
      <c r="V48" s="1053" t="str">
        <f t="shared" ref="V48:V53" si="6">D48</f>
        <v>Hours Primary</v>
      </c>
      <c r="W48" s="1055">
        <v>860</v>
      </c>
      <c r="X48" s="1055">
        <v>860</v>
      </c>
      <c r="Y48" s="1055">
        <v>860</v>
      </c>
      <c r="Z48" s="1055">
        <v>860</v>
      </c>
      <c r="AA48" s="1055">
        <v>860</v>
      </c>
      <c r="AB48" s="1055">
        <v>860</v>
      </c>
      <c r="AC48" s="1055">
        <v>860</v>
      </c>
      <c r="AD48" s="1055">
        <v>860</v>
      </c>
      <c r="AE48" s="1055"/>
      <c r="AF48" s="1055"/>
      <c r="AG48" s="1055"/>
    </row>
    <row r="49" spans="1:57" ht="29" hidden="1" outlineLevel="1" x14ac:dyDescent="0.35">
      <c r="D49" s="2324" t="s">
        <v>2443</v>
      </c>
      <c r="E49" s="2356" t="s">
        <v>2444</v>
      </c>
      <c r="F49" s="694">
        <v>556</v>
      </c>
      <c r="G49" s="2324" t="s">
        <v>329</v>
      </c>
      <c r="V49" s="1053" t="str">
        <f t="shared" si="6"/>
        <v>Hours Secondary</v>
      </c>
      <c r="W49" s="1055">
        <v>556</v>
      </c>
      <c r="X49" s="1055">
        <v>556</v>
      </c>
      <c r="Y49" s="1055">
        <v>556</v>
      </c>
      <c r="Z49" s="1055">
        <v>556</v>
      </c>
      <c r="AA49" s="1055">
        <v>556</v>
      </c>
      <c r="AB49" s="1055">
        <v>556</v>
      </c>
      <c r="AC49" s="1055">
        <v>556</v>
      </c>
      <c r="AD49" s="1055">
        <v>556</v>
      </c>
      <c r="AE49" s="1055"/>
      <c r="AF49" s="1055"/>
      <c r="AG49" s="1055"/>
    </row>
    <row r="50" spans="1:57" hidden="1" outlineLevel="1" x14ac:dyDescent="0.35">
      <c r="D50" s="2324" t="s">
        <v>2445</v>
      </c>
      <c r="E50" s="2356" t="s">
        <v>2446</v>
      </c>
      <c r="F50" s="694">
        <v>8500</v>
      </c>
      <c r="G50" s="2323"/>
      <c r="V50" s="1053" t="str">
        <f t="shared" si="6"/>
        <v>BtuH</v>
      </c>
      <c r="W50" s="1055">
        <v>8500</v>
      </c>
      <c r="X50" s="1055">
        <v>8500</v>
      </c>
      <c r="Y50" s="1055">
        <v>8500</v>
      </c>
      <c r="Z50" s="1055">
        <v>8500</v>
      </c>
      <c r="AA50" s="1055">
        <v>8500</v>
      </c>
      <c r="AB50" s="1055">
        <v>8500</v>
      </c>
      <c r="AC50" s="1055">
        <v>8500</v>
      </c>
      <c r="AD50" s="1055">
        <v>8500</v>
      </c>
      <c r="AE50" s="1055"/>
      <c r="AF50" s="1055"/>
      <c r="AG50" s="1055"/>
    </row>
    <row r="51" spans="1:57" hidden="1" outlineLevel="1" x14ac:dyDescent="0.35">
      <c r="D51" s="2324" t="s">
        <v>2447</v>
      </c>
      <c r="E51" s="2356" t="s">
        <v>2448</v>
      </c>
      <c r="F51" s="694">
        <v>9</v>
      </c>
      <c r="G51" s="2323"/>
      <c r="V51" s="1053" t="str">
        <f t="shared" si="6"/>
        <v>EERexist</v>
      </c>
      <c r="W51" s="1055">
        <v>9</v>
      </c>
      <c r="X51" s="1055">
        <v>9</v>
      </c>
      <c r="Y51" s="1055">
        <v>9</v>
      </c>
      <c r="Z51" s="1055">
        <v>9</v>
      </c>
      <c r="AA51" s="1055">
        <v>9</v>
      </c>
      <c r="AB51" s="1055">
        <v>9</v>
      </c>
      <c r="AC51" s="1055">
        <v>9</v>
      </c>
      <c r="AD51" s="1055">
        <v>9</v>
      </c>
      <c r="AE51" s="1055"/>
      <c r="AF51" s="1055"/>
      <c r="AG51" s="1055"/>
    </row>
    <row r="52" spans="1:57" ht="29" hidden="1" outlineLevel="1" x14ac:dyDescent="0.35">
      <c r="D52" s="2324" t="s">
        <v>2449</v>
      </c>
      <c r="E52" s="2356" t="s">
        <v>2450</v>
      </c>
      <c r="F52" s="1479">
        <v>0.76</v>
      </c>
      <c r="G52" s="2323"/>
      <c r="V52" s="1053" t="str">
        <f t="shared" si="6"/>
        <v>% replaced</v>
      </c>
      <c r="W52" s="1056">
        <v>0.76</v>
      </c>
      <c r="X52" s="1056">
        <v>0.76</v>
      </c>
      <c r="Y52" s="1056">
        <v>0.76</v>
      </c>
      <c r="Z52" s="1056">
        <v>0.76</v>
      </c>
      <c r="AA52" s="1056">
        <v>0.76</v>
      </c>
      <c r="AB52" s="1056">
        <v>0.76</v>
      </c>
      <c r="AC52" s="1056">
        <v>0.76</v>
      </c>
      <c r="AD52" s="1056">
        <v>0.76</v>
      </c>
      <c r="AE52" s="1056"/>
      <c r="AF52" s="1056"/>
      <c r="AG52" s="1056"/>
    </row>
    <row r="53" spans="1:57" ht="15" hidden="1" customHeight="1" outlineLevel="1" x14ac:dyDescent="0.35">
      <c r="D53" s="2324" t="s">
        <v>2451</v>
      </c>
      <c r="E53" s="2356" t="s">
        <v>2452</v>
      </c>
      <c r="F53" s="1480">
        <v>10.9</v>
      </c>
      <c r="G53" s="2323"/>
      <c r="V53" s="1053" t="str">
        <f t="shared" si="6"/>
        <v>EERNewBase</v>
      </c>
      <c r="W53" s="1055">
        <v>10.9</v>
      </c>
      <c r="X53" s="1055">
        <v>10.9</v>
      </c>
      <c r="Y53" s="1055">
        <v>10.9</v>
      </c>
      <c r="Z53" s="1055">
        <v>10.9</v>
      </c>
      <c r="AA53" s="1055">
        <v>10.9</v>
      </c>
      <c r="AB53" s="1055">
        <v>10.9</v>
      </c>
      <c r="AC53" s="1055">
        <v>10.9</v>
      </c>
      <c r="AD53" s="1055">
        <v>10.9</v>
      </c>
      <c r="AE53" s="1057"/>
      <c r="AF53" s="1057"/>
      <c r="AG53" s="1057"/>
    </row>
    <row r="54" spans="1:57" ht="15" customHeight="1" collapsed="1" x14ac:dyDescent="0.35">
      <c r="D54" s="1481"/>
      <c r="E54" s="1482"/>
      <c r="F54" s="1483"/>
      <c r="G54" s="1484"/>
    </row>
    <row r="55" spans="1:57" x14ac:dyDescent="0.35">
      <c r="B55" s="3664" t="s">
        <v>2453</v>
      </c>
      <c r="C55" s="3665"/>
      <c r="D55" s="3665"/>
      <c r="E55" s="3665"/>
      <c r="F55" s="3665"/>
      <c r="G55" s="3665"/>
      <c r="H55" s="3665"/>
      <c r="I55" s="3665"/>
      <c r="J55" s="3665"/>
      <c r="K55" s="3665"/>
      <c r="L55" s="4026"/>
      <c r="O55" s="199"/>
      <c r="P55" s="199"/>
      <c r="Q55" s="199"/>
      <c r="R55" s="199"/>
      <c r="V55" s="3664" t="str">
        <f>B55</f>
        <v>Dehumidifier Recycling</v>
      </c>
      <c r="W55" s="3665"/>
      <c r="X55" s="3665"/>
      <c r="Y55" s="3665"/>
      <c r="Z55" s="3665"/>
      <c r="AA55" s="3665"/>
      <c r="AB55" s="3665"/>
      <c r="AC55" s="3680"/>
      <c r="AD55" s="3680"/>
      <c r="AE55" s="3680"/>
      <c r="AF55" s="3680"/>
      <c r="AG55" s="3680"/>
      <c r="AH55" s="3680"/>
      <c r="AI55" s="3681"/>
    </row>
    <row r="56" spans="1:57" x14ac:dyDescent="0.35">
      <c r="V56" s="196"/>
      <c r="W56" s="528"/>
      <c r="X56" s="528"/>
      <c r="Y56" s="528"/>
      <c r="Z56" s="528"/>
      <c r="AA56" s="528"/>
      <c r="AB56" s="528"/>
      <c r="AC56" s="196"/>
      <c r="AD56" s="196"/>
      <c r="AE56" s="196"/>
      <c r="AF56" s="196"/>
      <c r="AG56" s="196"/>
      <c r="AH56" s="196"/>
      <c r="AI56" s="196"/>
    </row>
    <row r="57" spans="1:57" s="69" customFormat="1" ht="45" customHeight="1" x14ac:dyDescent="0.35">
      <c r="A57" s="106"/>
      <c r="B57" s="106"/>
      <c r="C57" s="2331" t="s">
        <v>27</v>
      </c>
      <c r="D57" s="2331" t="s">
        <v>174</v>
      </c>
      <c r="E57" s="2331" t="s">
        <v>29</v>
      </c>
      <c r="F57" s="2331" t="s">
        <v>30</v>
      </c>
      <c r="G57" s="2331" t="s">
        <v>175</v>
      </c>
      <c r="H57" s="2331" t="s">
        <v>176</v>
      </c>
      <c r="I57" s="2331" t="s">
        <v>31</v>
      </c>
      <c r="J57" s="2331" t="s">
        <v>180</v>
      </c>
      <c r="K57" s="2331" t="s">
        <v>169</v>
      </c>
      <c r="L57" s="2331" t="s">
        <v>43</v>
      </c>
      <c r="M57" s="132"/>
      <c r="N57" s="132"/>
      <c r="O57" s="132"/>
      <c r="P57" s="132"/>
      <c r="Q57" s="132"/>
      <c r="R57" s="132"/>
      <c r="S57" s="132"/>
      <c r="T57" s="132"/>
      <c r="U57" s="132"/>
      <c r="V57" s="1572" t="s">
        <v>44</v>
      </c>
      <c r="W57" s="316">
        <v>43252</v>
      </c>
      <c r="X57" s="316">
        <f t="shared" ref="X57:AG57" si="7">X$6</f>
        <v>43465</v>
      </c>
      <c r="Y57" s="316">
        <f t="shared" si="7"/>
        <v>43800</v>
      </c>
      <c r="Z57" s="316">
        <f t="shared" si="7"/>
        <v>43862</v>
      </c>
      <c r="AA57" s="316">
        <f t="shared" si="7"/>
        <v>44013</v>
      </c>
      <c r="AB57" s="316">
        <f t="shared" si="7"/>
        <v>44166</v>
      </c>
      <c r="AC57" s="1573">
        <f t="shared" si="7"/>
        <v>44531</v>
      </c>
      <c r="AD57" s="1573">
        <f t="shared" si="7"/>
        <v>44774</v>
      </c>
      <c r="AE57" s="1573" t="str">
        <f t="shared" si="7"/>
        <v>-</v>
      </c>
      <c r="AF57" s="1573" t="str">
        <f t="shared" si="7"/>
        <v>-</v>
      </c>
      <c r="AG57" s="1573" t="str">
        <f t="shared" si="7"/>
        <v>-</v>
      </c>
      <c r="AH57" s="196"/>
      <c r="AI57" s="196"/>
      <c r="BB57" s="1574" t="str">
        <f>$BB$6</f>
        <v>TRC (2022)</v>
      </c>
      <c r="BC57" s="1584" t="str">
        <f>$BC$6</f>
        <v>Benefit Lookup</v>
      </c>
      <c r="BD57" s="556" t="str">
        <f>$BD$6</f>
        <v>Benefits (2019 $)</v>
      </c>
      <c r="BE57" s="200" t="str">
        <f>$BE$6</f>
        <v>Incremental Cost (2019 $)</v>
      </c>
    </row>
    <row r="58" spans="1:57" x14ac:dyDescent="0.35">
      <c r="C58" s="50" t="s">
        <v>2454</v>
      </c>
      <c r="D58" s="88" t="s">
        <v>2422</v>
      </c>
      <c r="E58" s="2333" t="s">
        <v>2453</v>
      </c>
      <c r="F58" s="953">
        <f>ROUND(139,2)</f>
        <v>139</v>
      </c>
      <c r="G58" s="92" t="s">
        <v>425</v>
      </c>
      <c r="H58" s="136">
        <f>VLOOKUP(G58,'CP FACTORS'!$A$3:$B$38, 2, FALSE)</f>
        <v>4.6608050000000002E-4</v>
      </c>
      <c r="I58" s="90">
        <f>ROUND(F58*H58,6)</f>
        <v>6.4784999999999995E-2</v>
      </c>
      <c r="J58" s="92">
        <f>ROUND(J35*12/9,0)</f>
        <v>5</v>
      </c>
      <c r="K58" s="420">
        <f>230*(140/(742+11))</f>
        <v>42.762284196547142</v>
      </c>
      <c r="L58" s="50" t="s">
        <v>184</v>
      </c>
      <c r="V58" s="141" t="str">
        <f>F57</f>
        <v>kWh Annual Savings</v>
      </c>
      <c r="W58" s="369">
        <v>139</v>
      </c>
      <c r="X58" s="1015">
        <v>139</v>
      </c>
      <c r="Y58" s="1015">
        <v>139</v>
      </c>
      <c r="Z58" s="1015">
        <v>139</v>
      </c>
      <c r="AA58" s="1015">
        <v>139</v>
      </c>
      <c r="AB58" s="1015">
        <v>139</v>
      </c>
      <c r="AC58" s="1015">
        <v>139</v>
      </c>
      <c r="AD58" s="1015">
        <v>139</v>
      </c>
      <c r="AE58" s="141"/>
      <c r="AF58" s="141"/>
      <c r="AG58" s="141"/>
      <c r="BB58" s="1008">
        <f>(BD58)/(BE58)</f>
        <v>1.11792428011422</v>
      </c>
      <c r="BC58" s="2381" t="str">
        <f>CONCATENATE(G58," ",J58," Year EUL")</f>
        <v>HVAC RES 5 Year EUL</v>
      </c>
      <c r="BD58" s="147">
        <f>(INDEX('Avoided Cost Benefits'!$E$4:$E$859,MATCH(BC58,'Avoided Cost Benefits'!$A$4:$A$859,0)))*F58</f>
        <v>45.120335796568803</v>
      </c>
      <c r="BE58" s="1587">
        <f>K58/(1.0595^(2020-2019))</f>
        <v>40.360815664508863</v>
      </c>
    </row>
    <row r="59" spans="1:57" x14ac:dyDescent="0.35">
      <c r="C59" s="1058" t="s">
        <v>2455</v>
      </c>
      <c r="E59" s="942"/>
      <c r="G59" s="452"/>
      <c r="H59" s="452"/>
      <c r="I59" s="452"/>
      <c r="J59" s="1425"/>
      <c r="K59" s="1485"/>
    </row>
    <row r="60" spans="1:57" x14ac:dyDescent="0.35">
      <c r="C60" s="1058" t="s">
        <v>2456</v>
      </c>
      <c r="E60" s="942"/>
      <c r="G60" s="452"/>
      <c r="H60" s="452"/>
      <c r="I60" s="452"/>
      <c r="J60" s="1425"/>
      <c r="K60" s="1485"/>
    </row>
    <row r="61" spans="1:57" hidden="1" outlineLevel="1" x14ac:dyDescent="0.35"/>
    <row r="62" spans="1:57" hidden="1" outlineLevel="1" x14ac:dyDescent="0.35">
      <c r="D62" s="152" t="s">
        <v>107</v>
      </c>
    </row>
    <row r="63" spans="1:57" hidden="1" outlineLevel="1" x14ac:dyDescent="0.35"/>
    <row r="64" spans="1:57" hidden="1" outlineLevel="1" x14ac:dyDescent="0.35"/>
    <row r="65" spans="4:33" hidden="1" outlineLevel="1" x14ac:dyDescent="0.35"/>
    <row r="66" spans="4:33" hidden="1" outlineLevel="1" x14ac:dyDescent="0.35">
      <c r="D66" s="2399" t="s">
        <v>109</v>
      </c>
      <c r="E66" s="2399" t="s">
        <v>110</v>
      </c>
      <c r="F66" s="2399" t="s">
        <v>111</v>
      </c>
      <c r="G66" s="4414" t="s">
        <v>112</v>
      </c>
      <c r="H66" s="4414"/>
      <c r="I66" s="4414"/>
      <c r="J66" s="4414"/>
      <c r="V66" s="1572" t="s">
        <v>44</v>
      </c>
      <c r="W66" s="316">
        <f>W$6</f>
        <v>43252</v>
      </c>
      <c r="X66" s="316">
        <f t="shared" ref="X66:AG66" si="8">X$6</f>
        <v>43465</v>
      </c>
      <c r="Y66" s="316">
        <f t="shared" si="8"/>
        <v>43800</v>
      </c>
      <c r="Z66" s="316">
        <f t="shared" si="8"/>
        <v>43862</v>
      </c>
      <c r="AA66" s="316">
        <f t="shared" si="8"/>
        <v>44013</v>
      </c>
      <c r="AB66" s="316">
        <f t="shared" si="8"/>
        <v>44166</v>
      </c>
      <c r="AC66" s="1573">
        <f t="shared" si="8"/>
        <v>44531</v>
      </c>
      <c r="AD66" s="1573">
        <f t="shared" si="8"/>
        <v>44774</v>
      </c>
      <c r="AE66" s="1573" t="str">
        <f t="shared" si="8"/>
        <v>-</v>
      </c>
      <c r="AF66" s="1573" t="str">
        <f t="shared" si="8"/>
        <v>-</v>
      </c>
      <c r="AG66" s="1573" t="str">
        <f t="shared" si="8"/>
        <v>-</v>
      </c>
    </row>
    <row r="67" spans="4:33" ht="47.25" hidden="1" customHeight="1" outlineLevel="1" x14ac:dyDescent="0.35">
      <c r="D67" s="2324" t="s">
        <v>30</v>
      </c>
      <c r="E67" s="2333" t="s">
        <v>2457</v>
      </c>
      <c r="F67" s="1486">
        <v>139</v>
      </c>
      <c r="G67" s="3678" t="s">
        <v>2458</v>
      </c>
      <c r="H67" s="3678"/>
      <c r="I67" s="3678"/>
      <c r="J67" s="3678"/>
      <c r="V67" s="1053" t="str">
        <f>D67</f>
        <v>kWh Annual Savings</v>
      </c>
      <c r="W67" s="418">
        <v>139</v>
      </c>
      <c r="X67" s="418">
        <v>139</v>
      </c>
      <c r="Y67" s="418">
        <v>139</v>
      </c>
      <c r="Z67" s="418">
        <v>139</v>
      </c>
      <c r="AA67" s="418">
        <v>139</v>
      </c>
      <c r="AB67" s="418">
        <v>139</v>
      </c>
      <c r="AC67" s="418">
        <v>139</v>
      </c>
      <c r="AD67" s="418">
        <v>139</v>
      </c>
      <c r="AE67" s="418"/>
      <c r="AF67" s="418"/>
      <c r="AG67" s="418"/>
    </row>
    <row r="68" spans="4:33" hidden="1" outlineLevel="1" x14ac:dyDescent="0.35"/>
    <row r="69" spans="4:33" hidden="1" outlineLevel="1" x14ac:dyDescent="0.35"/>
    <row r="70" spans="4:33" hidden="1" outlineLevel="1" x14ac:dyDescent="0.35"/>
    <row r="71" spans="4:33" hidden="1" outlineLevel="1" x14ac:dyDescent="0.35"/>
    <row r="72" spans="4:33" hidden="1" outlineLevel="1" x14ac:dyDescent="0.35">
      <c r="G72" s="1273" t="s">
        <v>2459</v>
      </c>
    </row>
    <row r="73" spans="4:33" hidden="1" outlineLevel="1" x14ac:dyDescent="0.35"/>
    <row r="74" spans="4:33" hidden="1" outlineLevel="1" x14ac:dyDescent="0.35"/>
    <row r="75" spans="4:33" collapsed="1" x14ac:dyDescent="0.35"/>
  </sheetData>
  <mergeCells count="18">
    <mergeCell ref="V4:AI4"/>
    <mergeCell ref="B19:L19"/>
    <mergeCell ref="V19:AI19"/>
    <mergeCell ref="V32:AI32"/>
    <mergeCell ref="B55:L55"/>
    <mergeCell ref="V55:AI55"/>
    <mergeCell ref="G14:I14"/>
    <mergeCell ref="G15:I15"/>
    <mergeCell ref="G16:I16"/>
    <mergeCell ref="G28:I28"/>
    <mergeCell ref="G30:I30"/>
    <mergeCell ref="G29:I29"/>
    <mergeCell ref="G67:J67"/>
    <mergeCell ref="B32:L32"/>
    <mergeCell ref="A1:Q1"/>
    <mergeCell ref="D2:J2"/>
    <mergeCell ref="B4:L4"/>
    <mergeCell ref="G66:J66"/>
  </mergeCells>
  <hyperlinks>
    <hyperlink ref="G72" r:id="rId1" xr:uid="{00000000-0004-0000-0900-000000000000}"/>
  </hyperlinks>
  <pageMargins left="0.7" right="0.7" top="0.75" bottom="0.75" header="0.3" footer="0.3"/>
  <pageSetup scale="26" fitToHeight="0" orientation="landscape" r:id="rId2"/>
  <drawing r:id="rId3"/>
  <legacyDrawing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pageSetUpPr fitToPage="1"/>
  </sheetPr>
  <dimension ref="A1:BE24"/>
  <sheetViews>
    <sheetView zoomScale="70" zoomScaleNormal="70" workbookViewId="0">
      <selection sqref="A1:O1"/>
    </sheetView>
  </sheetViews>
  <sheetFormatPr defaultRowHeight="14.5" outlineLevelRow="1" x14ac:dyDescent="0.35"/>
  <cols>
    <col min="3" max="3" width="29.7265625" style="87" customWidth="1"/>
    <col min="4" max="4" width="18.81640625" style="104" bestFit="1" customWidth="1"/>
    <col min="5" max="5" width="44.7265625" style="104" bestFit="1" customWidth="1"/>
    <col min="6" max="6" width="19.81640625" customWidth="1"/>
    <col min="7" max="7" width="18.7265625" bestFit="1" customWidth="1"/>
    <col min="8" max="8" width="16.81640625" customWidth="1"/>
    <col min="9" max="11" width="12.54296875" customWidth="1"/>
    <col min="12" max="12" width="16.81640625" customWidth="1"/>
    <col min="14" max="14" width="9.1796875" customWidth="1"/>
    <col min="15" max="15" width="4.1796875" customWidth="1"/>
    <col min="16" max="16" width="18.81640625" customWidth="1"/>
    <col min="17" max="17" width="37" customWidth="1"/>
    <col min="18" max="18" width="2.453125" customWidth="1"/>
    <col min="19" max="21" width="9.1796875" customWidth="1"/>
    <col min="22" max="22" width="31" customWidth="1"/>
    <col min="23" max="23" width="14.7265625" style="87" customWidth="1"/>
    <col min="24" max="28" width="18.1796875" style="87" customWidth="1"/>
    <col min="29" max="29" width="18.1796875" customWidth="1"/>
    <col min="30" max="30" width="14.7265625" customWidth="1"/>
    <col min="31" max="52" width="9.1796875" customWidth="1"/>
    <col min="54" max="54" width="12" bestFit="1" customWidth="1"/>
    <col min="55" max="55" width="23.1796875" bestFit="1" customWidth="1"/>
    <col min="56" max="56" width="12.54296875" customWidth="1"/>
    <col min="57" max="57" width="16.26953125" customWidth="1"/>
  </cols>
  <sheetData>
    <row r="1" spans="1:57" s="21" customFormat="1" ht="18.5" x14ac:dyDescent="0.45">
      <c r="A1" s="4541" t="s">
        <v>2460</v>
      </c>
      <c r="B1" s="4542"/>
      <c r="C1" s="4542"/>
      <c r="D1" s="4542"/>
      <c r="E1" s="4542"/>
      <c r="F1" s="4542"/>
      <c r="G1" s="4542"/>
      <c r="H1" s="4542"/>
      <c r="I1" s="4542"/>
      <c r="J1" s="4542"/>
      <c r="K1" s="4542"/>
      <c r="L1" s="4542"/>
      <c r="M1" s="4542"/>
      <c r="N1" s="4542"/>
      <c r="O1" s="4543"/>
      <c r="P1" s="3657"/>
      <c r="Q1" s="4463"/>
      <c r="R1" s="2626"/>
      <c r="V1" s="26"/>
      <c r="W1" s="1943"/>
      <c r="X1" s="1943"/>
      <c r="Y1" s="723"/>
      <c r="Z1" s="723"/>
      <c r="AA1" s="723"/>
      <c r="AB1" s="723"/>
      <c r="AC1" s="28"/>
      <c r="AD1" s="28"/>
      <c r="AE1" s="28"/>
      <c r="AF1" s="28"/>
      <c r="AG1" s="28"/>
      <c r="AH1" s="28"/>
    </row>
    <row r="2" spans="1:57" s="21" customFormat="1" ht="30" hidden="1" customHeight="1" outlineLevel="1" x14ac:dyDescent="0.5">
      <c r="B2" s="24"/>
      <c r="C2" s="29"/>
      <c r="D2" s="3661" t="s">
        <v>2243</v>
      </c>
      <c r="E2" s="3662"/>
      <c r="F2" s="3663"/>
      <c r="G2" s="3663"/>
      <c r="H2" s="3663"/>
      <c r="I2" s="3663"/>
      <c r="J2" s="3663"/>
      <c r="K2" s="25"/>
      <c r="L2" s="25"/>
      <c r="W2" s="54"/>
      <c r="X2" s="54"/>
      <c r="Y2" s="54"/>
      <c r="Z2" s="54"/>
      <c r="AA2" s="54"/>
      <c r="AB2" s="54"/>
    </row>
    <row r="3" spans="1:57" s="21" customFormat="1" ht="24" customHeight="1" collapsed="1" x14ac:dyDescent="0.5">
      <c r="B3" s="24"/>
      <c r="C3" s="29"/>
      <c r="D3" s="1005"/>
      <c r="E3" s="1006"/>
      <c r="F3" s="1007"/>
      <c r="G3" s="1007"/>
      <c r="H3" s="1007"/>
      <c r="I3" s="1007"/>
      <c r="J3" s="1007"/>
      <c r="K3" s="25"/>
      <c r="L3" s="25"/>
      <c r="W3" s="54"/>
      <c r="X3" s="54"/>
      <c r="Y3" s="54"/>
      <c r="Z3" s="54"/>
      <c r="AA3" s="54"/>
      <c r="AB3" s="54"/>
    </row>
    <row r="4" spans="1:57" x14ac:dyDescent="0.35">
      <c r="B4" s="3664" t="s">
        <v>2461</v>
      </c>
      <c r="C4" s="3665"/>
      <c r="D4" s="3665"/>
      <c r="E4" s="3665"/>
      <c r="F4" s="3665"/>
      <c r="G4" s="3665"/>
      <c r="H4" s="3665"/>
      <c r="I4" s="3665"/>
      <c r="J4" s="3665"/>
      <c r="K4" s="3665"/>
      <c r="L4" s="4026"/>
      <c r="V4" s="3664" t="str">
        <f>B4</f>
        <v>Demand Response</v>
      </c>
      <c r="W4" s="3665"/>
      <c r="X4" s="3665"/>
      <c r="Y4" s="3665"/>
      <c r="Z4" s="3665"/>
      <c r="AA4" s="3665"/>
      <c r="AB4" s="3665"/>
      <c r="AC4" s="3680"/>
      <c r="AD4" s="3680"/>
      <c r="AE4" s="3680"/>
      <c r="AF4" s="3680"/>
      <c r="AG4" s="3680"/>
      <c r="AH4" s="3680"/>
      <c r="AI4" s="3681"/>
    </row>
    <row r="5" spans="1:57" x14ac:dyDescent="0.35">
      <c r="V5" s="196"/>
      <c r="W5" s="528"/>
      <c r="X5" s="528"/>
      <c r="Y5" s="528"/>
      <c r="Z5" s="528"/>
      <c r="AA5" s="528"/>
      <c r="AB5" s="528"/>
      <c r="AC5" s="196"/>
      <c r="AD5" s="196"/>
      <c r="AE5" s="196"/>
      <c r="AF5" s="196"/>
      <c r="AG5" s="196"/>
      <c r="AH5" s="196"/>
      <c r="AI5" s="196"/>
    </row>
    <row r="6" spans="1:57" ht="29" x14ac:dyDescent="0.35">
      <c r="C6" s="2331" t="s">
        <v>27</v>
      </c>
      <c r="D6" s="2331" t="s">
        <v>174</v>
      </c>
      <c r="E6" s="2331" t="s">
        <v>2462</v>
      </c>
      <c r="F6" s="2331" t="s">
        <v>2463</v>
      </c>
      <c r="G6" s="2331" t="s">
        <v>2464</v>
      </c>
      <c r="H6" s="2331" t="s">
        <v>2465</v>
      </c>
      <c r="I6" s="2331" t="s">
        <v>2466</v>
      </c>
      <c r="J6" s="2331" t="s">
        <v>180</v>
      </c>
      <c r="K6" s="2331" t="s">
        <v>169</v>
      </c>
      <c r="L6" s="2331" t="s">
        <v>43</v>
      </c>
      <c r="V6" s="1572" t="s">
        <v>44</v>
      </c>
      <c r="W6" s="316">
        <v>43252</v>
      </c>
      <c r="X6" s="316">
        <v>43465</v>
      </c>
      <c r="Y6" s="316">
        <v>43800</v>
      </c>
      <c r="Z6" s="316">
        <v>43862</v>
      </c>
      <c r="AA6" s="316">
        <v>44013</v>
      </c>
      <c r="AB6" s="316">
        <v>44166</v>
      </c>
      <c r="AC6" s="1573">
        <v>44531</v>
      </c>
      <c r="AD6" s="1573">
        <v>44774</v>
      </c>
      <c r="AE6" s="1573" t="s">
        <v>45</v>
      </c>
      <c r="AF6" s="1573" t="s">
        <v>45</v>
      </c>
      <c r="AG6" s="1573" t="s">
        <v>45</v>
      </c>
      <c r="AH6" s="196"/>
      <c r="AI6" s="196"/>
      <c r="BB6" s="1574" t="s">
        <v>46</v>
      </c>
      <c r="BC6" s="1584" t="s">
        <v>47</v>
      </c>
      <c r="BD6" s="556" t="s">
        <v>48</v>
      </c>
      <c r="BE6" s="200" t="s">
        <v>49</v>
      </c>
    </row>
    <row r="7" spans="1:57" ht="29" x14ac:dyDescent="0.35">
      <c r="C7" s="1037" t="s">
        <v>2467</v>
      </c>
      <c r="D7" s="1435" t="s">
        <v>2468</v>
      </c>
      <c r="E7" s="3435" t="s">
        <v>4355</v>
      </c>
      <c r="F7" s="2997">
        <v>47.86</v>
      </c>
      <c r="G7" s="136" t="s">
        <v>45</v>
      </c>
      <c r="H7" s="136" t="s">
        <v>489</v>
      </c>
      <c r="I7" s="2466" t="s">
        <v>45</v>
      </c>
      <c r="J7" s="3572">
        <v>11</v>
      </c>
      <c r="K7" s="3573">
        <v>0</v>
      </c>
      <c r="L7" s="1037" t="s">
        <v>2469</v>
      </c>
      <c r="V7" s="3482" t="str">
        <f>$F$6</f>
        <v>Gross kWh Annual Savings [2]</v>
      </c>
      <c r="W7" s="670">
        <v>177</v>
      </c>
      <c r="X7" s="670">
        <v>177</v>
      </c>
      <c r="Y7" s="670">
        <v>177</v>
      </c>
      <c r="Z7" s="670">
        <v>177</v>
      </c>
      <c r="AA7" s="670">
        <v>177</v>
      </c>
      <c r="AB7" s="99">
        <v>55.97</v>
      </c>
      <c r="AC7" s="89">
        <v>55.97</v>
      </c>
      <c r="AD7" s="99">
        <v>47.86</v>
      </c>
      <c r="AE7" s="670"/>
      <c r="AF7" s="670"/>
      <c r="AG7" s="670"/>
      <c r="BB7" s="1008" t="str">
        <f>IFERROR((BD7)/(BE7),"")</f>
        <v/>
      </c>
      <c r="BC7" s="2381"/>
      <c r="BD7" s="147"/>
      <c r="BE7" s="1587">
        <f>K7/(1.0595^(2020-2019))</f>
        <v>0</v>
      </c>
    </row>
    <row r="8" spans="1:57" ht="29" x14ac:dyDescent="0.35">
      <c r="C8" s="1037" t="s">
        <v>2470</v>
      </c>
      <c r="D8" s="1435" t="s">
        <v>2468</v>
      </c>
      <c r="E8" s="3435" t="s">
        <v>4170</v>
      </c>
      <c r="F8" s="3574">
        <v>0</v>
      </c>
      <c r="G8" s="136" t="s">
        <v>45</v>
      </c>
      <c r="H8" s="136" t="s">
        <v>489</v>
      </c>
      <c r="I8" s="2466" t="s">
        <v>45</v>
      </c>
      <c r="J8" s="3572">
        <v>11</v>
      </c>
      <c r="K8" s="3573">
        <v>0</v>
      </c>
      <c r="L8" s="1037" t="s">
        <v>2469</v>
      </c>
      <c r="V8" s="3436" t="str">
        <f>$F$6</f>
        <v>Gross kWh Annual Savings [2]</v>
      </c>
      <c r="W8" s="2713"/>
      <c r="X8" s="2713"/>
      <c r="Y8" s="2713"/>
      <c r="Z8" s="2713"/>
      <c r="AA8" s="2713"/>
      <c r="AB8" s="2714"/>
      <c r="AC8" s="99">
        <v>0</v>
      </c>
      <c r="AD8" s="89">
        <v>0</v>
      </c>
      <c r="AE8" s="670"/>
      <c r="AF8" s="670"/>
      <c r="AG8" s="670"/>
      <c r="BB8" s="2147"/>
      <c r="BC8" s="1361"/>
      <c r="BD8" s="98"/>
      <c r="BE8" s="57"/>
    </row>
    <row r="9" spans="1:57" x14ac:dyDescent="0.35">
      <c r="C9" s="103"/>
      <c r="D9" s="130"/>
      <c r="E9" s="130"/>
      <c r="F9" s="130"/>
      <c r="G9" s="130"/>
      <c r="H9" s="130"/>
      <c r="I9" s="130"/>
      <c r="J9" s="130"/>
      <c r="K9" s="130"/>
      <c r="L9" s="130"/>
      <c r="M9" s="836"/>
      <c r="W9" s="2145"/>
      <c r="X9" s="2145"/>
      <c r="Y9" s="2145"/>
      <c r="Z9" s="2145"/>
      <c r="AA9" s="2145"/>
      <c r="AB9" s="2146"/>
      <c r="AC9" s="2145"/>
      <c r="AD9" s="2145"/>
      <c r="AE9" s="2145"/>
      <c r="AF9" s="2145"/>
      <c r="AG9" s="2145"/>
      <c r="BB9" s="2147"/>
      <c r="BC9" s="1361"/>
      <c r="BD9" s="98"/>
      <c r="BE9" s="57"/>
    </row>
    <row r="10" spans="1:57" ht="51" customHeight="1" x14ac:dyDescent="0.35">
      <c r="C10" s="103"/>
      <c r="D10" s="1316" t="s">
        <v>2471</v>
      </c>
      <c r="E10" s="4544" t="s">
        <v>4200</v>
      </c>
      <c r="F10" s="4544"/>
      <c r="G10" s="4544"/>
      <c r="H10" s="4544"/>
      <c r="I10" s="4544"/>
      <c r="J10" s="4544"/>
      <c r="K10" s="4544"/>
      <c r="L10" s="4544"/>
      <c r="M10" s="836"/>
      <c r="W10" s="2145"/>
      <c r="X10" s="2145"/>
      <c r="Y10" s="2145"/>
      <c r="Z10" s="2145"/>
      <c r="AA10" s="2145"/>
      <c r="AB10" s="2146"/>
      <c r="AC10" s="2145"/>
      <c r="AD10" s="2145"/>
      <c r="AE10" s="2145"/>
      <c r="AF10" s="2145"/>
      <c r="AG10" s="2145"/>
      <c r="BB10" s="2147"/>
      <c r="BC10" s="1361"/>
      <c r="BD10" s="98"/>
      <c r="BE10" s="57"/>
    </row>
    <row r="11" spans="1:57" ht="86.5" customHeight="1" x14ac:dyDescent="0.35">
      <c r="C11" s="103"/>
      <c r="D11" s="1316" t="s">
        <v>2472</v>
      </c>
      <c r="E11" s="4544" t="s">
        <v>4527</v>
      </c>
      <c r="F11" s="4544"/>
      <c r="G11" s="4544"/>
      <c r="H11" s="4544"/>
      <c r="I11" s="4544"/>
      <c r="J11" s="4544"/>
      <c r="K11" s="4544"/>
      <c r="L11" s="4544"/>
      <c r="M11" s="836"/>
      <c r="W11" s="2145"/>
      <c r="X11" s="2145"/>
      <c r="Y11" s="2145"/>
      <c r="Z11" s="2145"/>
      <c r="AA11" s="2145"/>
      <c r="AB11" s="2146"/>
      <c r="AC11" s="2145"/>
      <c r="AD11" s="2145"/>
      <c r="AE11" s="2145"/>
      <c r="AF11" s="2145"/>
      <c r="AG11" s="2145"/>
      <c r="BB11" s="2147"/>
      <c r="BC11" s="1361"/>
      <c r="BD11" s="98"/>
      <c r="BE11" s="57"/>
    </row>
    <row r="12" spans="1:57" ht="34.9" customHeight="1" x14ac:dyDescent="0.35">
      <c r="C12" s="103"/>
      <c r="D12" s="1316" t="s">
        <v>2473</v>
      </c>
      <c r="E12" s="4544" t="s">
        <v>4169</v>
      </c>
      <c r="F12" s="4544"/>
      <c r="G12" s="4544"/>
      <c r="H12" s="4544"/>
      <c r="I12" s="4544"/>
      <c r="J12" s="4544"/>
      <c r="K12" s="4544"/>
      <c r="L12" s="4544"/>
      <c r="M12" s="836"/>
      <c r="W12" s="2145"/>
      <c r="X12" s="2145"/>
      <c r="Y12" s="2145"/>
      <c r="Z12" s="2145"/>
      <c r="AA12" s="2145"/>
      <c r="AB12" s="2146"/>
      <c r="AC12" s="2145"/>
      <c r="AD12" s="2145"/>
      <c r="AE12" s="2145"/>
      <c r="AF12" s="2145"/>
      <c r="AG12" s="2145"/>
      <c r="BB12" s="2147"/>
      <c r="BC12" s="1361"/>
      <c r="BD12" s="98"/>
      <c r="BE12" s="57"/>
    </row>
    <row r="13" spans="1:57" x14ac:dyDescent="0.35">
      <c r="C13" s="103"/>
      <c r="D13" s="1316" t="s">
        <v>2474</v>
      </c>
      <c r="E13" s="4544" t="s">
        <v>2475</v>
      </c>
      <c r="F13" s="4544"/>
      <c r="G13" s="4544"/>
      <c r="H13" s="4544"/>
      <c r="I13" s="4544"/>
      <c r="J13" s="4544"/>
      <c r="K13" s="4544"/>
      <c r="L13" s="4544"/>
      <c r="M13" s="836"/>
      <c r="W13" s="2145"/>
      <c r="X13" s="2145"/>
      <c r="Y13" s="2145"/>
      <c r="Z13" s="2145"/>
      <c r="AA13" s="2145"/>
      <c r="AB13" s="2146"/>
      <c r="AC13" s="2145"/>
      <c r="AD13" s="2145"/>
      <c r="AE13" s="2145"/>
      <c r="AF13" s="2145"/>
      <c r="AG13" s="2145"/>
      <c r="BB13" s="2147"/>
      <c r="BC13" s="1361"/>
      <c r="BD13" s="98"/>
      <c r="BE13" s="57"/>
    </row>
    <row r="14" spans="1:57" ht="28.15" customHeight="1" x14ac:dyDescent="0.35">
      <c r="C14" s="103"/>
      <c r="D14" s="1316" t="s">
        <v>2476</v>
      </c>
      <c r="E14" s="4544" t="s">
        <v>4523</v>
      </c>
      <c r="F14" s="4544"/>
      <c r="G14" s="4544"/>
      <c r="H14" s="4544"/>
      <c r="I14" s="4544"/>
      <c r="J14" s="4544"/>
      <c r="K14" s="4544"/>
      <c r="L14" s="4544"/>
    </row>
    <row r="15" spans="1:57" ht="14.5" customHeight="1" x14ac:dyDescent="0.35">
      <c r="C15" s="103"/>
      <c r="D15" s="292"/>
      <c r="E15" s="4545"/>
      <c r="F15" s="4545"/>
      <c r="G15" s="4545"/>
      <c r="H15" s="4545"/>
      <c r="I15" s="4545"/>
      <c r="J15" s="4545"/>
      <c r="K15" s="4545"/>
      <c r="L15" s="4545"/>
    </row>
    <row r="16" spans="1:57" ht="14.5" customHeight="1" x14ac:dyDescent="0.35">
      <c r="C16" s="103"/>
      <c r="D16" s="292"/>
      <c r="E16" s="4545"/>
      <c r="F16" s="4545"/>
      <c r="G16" s="4545"/>
      <c r="H16" s="4545"/>
      <c r="I16" s="4545"/>
      <c r="J16" s="4545"/>
      <c r="K16" s="4545"/>
      <c r="L16" s="4545"/>
    </row>
    <row r="17" spans="3:12" ht="79.5" customHeight="1" x14ac:dyDescent="0.35">
      <c r="C17" s="103"/>
      <c r="D17" s="292"/>
      <c r="E17" s="4540" t="s">
        <v>2477</v>
      </c>
      <c r="F17" s="3684"/>
      <c r="G17" s="3684"/>
      <c r="H17" s="3684"/>
      <c r="I17" s="3684"/>
      <c r="J17" s="3684"/>
      <c r="K17" s="3684"/>
      <c r="L17" s="3684"/>
    </row>
    <row r="18" spans="3:12" x14ac:dyDescent="0.35">
      <c r="C18" s="103"/>
      <c r="D18" s="292"/>
      <c r="E18" s="292"/>
      <c r="F18" s="106"/>
      <c r="G18" s="106"/>
      <c r="H18" s="106"/>
      <c r="I18" s="106"/>
      <c r="J18" s="106"/>
      <c r="K18" s="106"/>
      <c r="L18" s="106"/>
    </row>
    <row r="19" spans="3:12" ht="62.25" customHeight="1" x14ac:dyDescent="0.35">
      <c r="C19" s="103"/>
      <c r="D19" s="292"/>
      <c r="E19" s="4540" t="s">
        <v>2478</v>
      </c>
      <c r="F19" s="3684"/>
      <c r="G19" s="3684"/>
      <c r="H19" s="3684"/>
      <c r="I19" s="3684"/>
      <c r="J19" s="3684"/>
      <c r="K19" s="3684"/>
      <c r="L19" s="3684"/>
    </row>
    <row r="20" spans="3:12" x14ac:dyDescent="0.35">
      <c r="C20" s="103"/>
      <c r="D20" s="292"/>
      <c r="E20" s="292"/>
      <c r="F20" s="106"/>
      <c r="G20" s="106"/>
      <c r="H20" s="106"/>
      <c r="I20" s="106"/>
      <c r="J20" s="106"/>
      <c r="K20" s="106"/>
      <c r="L20" s="106"/>
    </row>
    <row r="21" spans="3:12" x14ac:dyDescent="0.35">
      <c r="C21" s="103"/>
      <c r="D21" s="292"/>
      <c r="E21" s="3278"/>
      <c r="F21" s="1660"/>
      <c r="G21" s="106"/>
      <c r="H21" s="106"/>
      <c r="I21" s="106"/>
      <c r="J21" s="106"/>
      <c r="K21" s="106"/>
      <c r="L21" s="106"/>
    </row>
    <row r="22" spans="3:12" x14ac:dyDescent="0.35">
      <c r="C22" s="103"/>
      <c r="D22" s="292"/>
      <c r="E22" s="3278"/>
      <c r="F22" s="1660"/>
      <c r="G22" s="106"/>
      <c r="H22" s="106"/>
      <c r="I22" s="106"/>
      <c r="J22" s="106"/>
      <c r="K22" s="106"/>
      <c r="L22" s="106"/>
    </row>
    <row r="23" spans="3:12" x14ac:dyDescent="0.35">
      <c r="C23" s="103"/>
      <c r="D23" s="292"/>
      <c r="E23" s="3278"/>
      <c r="F23" s="1660"/>
      <c r="G23" s="106"/>
      <c r="H23" s="106"/>
      <c r="I23" s="106"/>
      <c r="J23" s="106"/>
      <c r="K23" s="106"/>
      <c r="L23" s="106"/>
    </row>
    <row r="24" spans="3:12" x14ac:dyDescent="0.35">
      <c r="C24" s="103"/>
      <c r="D24" s="292"/>
      <c r="E24" s="292"/>
      <c r="F24" s="106"/>
      <c r="G24" s="106"/>
      <c r="H24" s="106"/>
      <c r="I24" s="106"/>
      <c r="J24" s="106"/>
      <c r="K24" s="106"/>
      <c r="L24" s="106"/>
    </row>
  </sheetData>
  <mergeCells count="14">
    <mergeCell ref="V4:AI4"/>
    <mergeCell ref="E17:L17"/>
    <mergeCell ref="E19:L19"/>
    <mergeCell ref="A1:O1"/>
    <mergeCell ref="P1:Q1"/>
    <mergeCell ref="D2:J2"/>
    <mergeCell ref="B4:L4"/>
    <mergeCell ref="E10:L10"/>
    <mergeCell ref="E11:L11"/>
    <mergeCell ref="E12:L12"/>
    <mergeCell ref="E13:L13"/>
    <mergeCell ref="E14:L14"/>
    <mergeCell ref="E15:L15"/>
    <mergeCell ref="E16:L16"/>
  </mergeCells>
  <pageMargins left="0.7" right="0.7" top="0.75" bottom="0.75" header="0.3" footer="0.3"/>
  <pageSetup scale="41" fitToHeight="0" orientation="landscape"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39997558519241921"/>
  </sheetPr>
  <dimension ref="A1:DM878"/>
  <sheetViews>
    <sheetView zoomScale="70" zoomScaleNormal="70" workbookViewId="0">
      <selection sqref="A1:Q1"/>
    </sheetView>
  </sheetViews>
  <sheetFormatPr defaultColWidth="9.1796875" defaultRowHeight="14.5" outlineLevelRow="1" x14ac:dyDescent="0.35"/>
  <cols>
    <col min="1" max="2" width="4.54296875" style="21" customWidth="1"/>
    <col min="3" max="3" width="20.54296875" style="33" customWidth="1"/>
    <col min="4" max="4" width="24.54296875" style="33" customWidth="1"/>
    <col min="5" max="5" width="56.7265625" style="725" customWidth="1"/>
    <col min="6" max="6" width="19.54296875" style="725" customWidth="1"/>
    <col min="7" max="7" width="16.26953125" style="1116" customWidth="1"/>
    <col min="8" max="8" width="21.26953125" style="1139" customWidth="1"/>
    <col min="9" max="9" width="18.453125" style="725" customWidth="1"/>
    <col min="10" max="10" width="15.54296875" style="725" customWidth="1"/>
    <col min="11" max="11" width="23.7265625" style="725" customWidth="1"/>
    <col min="12" max="12" width="18.81640625" style="725" customWidth="1"/>
    <col min="13" max="13" width="12.453125" style="725" customWidth="1"/>
    <col min="14" max="14" width="13.7265625" style="725" customWidth="1"/>
    <col min="15" max="15" width="13" style="725" customWidth="1"/>
    <col min="16" max="16" width="13.54296875" style="725" customWidth="1"/>
    <col min="17" max="17" width="14.26953125" style="725" customWidth="1"/>
    <col min="18" max="18" width="10.26953125" style="725" customWidth="1"/>
    <col min="19" max="19" width="16.453125" style="725" customWidth="1"/>
    <col min="20" max="20" width="14.26953125" style="725" customWidth="1"/>
    <col min="21" max="21" width="17.26953125" style="725" customWidth="1"/>
    <col min="22" max="22" width="63.81640625" style="21" customWidth="1"/>
    <col min="23" max="23" width="13.7265625" style="21" customWidth="1"/>
    <col min="24" max="24" width="18.1796875" style="21" customWidth="1"/>
    <col min="25" max="25" width="17.26953125" style="21" customWidth="1"/>
    <col min="26" max="26" width="15.81640625" style="21" customWidth="1"/>
    <col min="27" max="27" width="13.7265625" style="21" customWidth="1"/>
    <col min="28" max="28" width="17.453125" style="21" customWidth="1"/>
    <col min="29" max="29" width="17.1796875" style="21" bestFit="1" customWidth="1"/>
    <col min="30" max="33" width="13.7265625" style="21" customWidth="1"/>
    <col min="34" max="34" width="9.1796875" style="21" customWidth="1"/>
    <col min="35" max="35" width="41.453125" style="21" customWidth="1"/>
    <col min="36" max="42" width="18.1796875" style="21" customWidth="1"/>
    <col min="43" max="45" width="13.7265625" style="21" customWidth="1"/>
    <col min="46" max="46" width="9.1796875" style="21" customWidth="1"/>
    <col min="47" max="47" width="30.54296875" style="21" customWidth="1"/>
    <col min="48" max="48" width="17.26953125" style="21" customWidth="1"/>
    <col min="49" max="50" width="16.54296875" style="21" customWidth="1"/>
    <col min="51" max="51" width="15.81640625" style="21" customWidth="1"/>
    <col min="52" max="53" width="17.453125" style="21" customWidth="1"/>
    <col min="54" max="54" width="17.1796875" style="21" bestFit="1" customWidth="1"/>
    <col min="55" max="57" width="13.7265625" style="21" customWidth="1"/>
    <col min="58" max="58" width="9.1796875" style="21" customWidth="1"/>
    <col min="59" max="59" width="29.453125" style="21" bestFit="1" customWidth="1"/>
    <col min="60" max="60" width="17.26953125" style="21" customWidth="1"/>
    <col min="61" max="61" width="18" style="21" customWidth="1"/>
    <col min="62" max="62" width="17.26953125" style="21" customWidth="1"/>
    <col min="63" max="63" width="16.26953125" style="21" customWidth="1"/>
    <col min="64" max="65" width="17.453125" style="21" customWidth="1"/>
    <col min="66" max="66" width="17.1796875" style="21" bestFit="1" customWidth="1"/>
    <col min="67" max="69" width="13.7265625" style="21" customWidth="1"/>
    <col min="70" max="70" width="9.1796875" style="21" customWidth="1"/>
    <col min="71" max="71" width="20.26953125" style="21" customWidth="1"/>
    <col min="72" max="73" width="20" style="21" customWidth="1"/>
    <col min="74" max="74" width="18.1796875" style="21" customWidth="1"/>
    <col min="75" max="75" width="17.1796875" style="21" customWidth="1"/>
    <col min="76" max="76" width="15.81640625" style="21" customWidth="1"/>
    <col min="77" max="78" width="17.453125" style="21" customWidth="1"/>
    <col min="79" max="79" width="17.1796875" style="21" bestFit="1" customWidth="1"/>
    <col min="80" max="80" width="15.1796875" style="21" customWidth="1"/>
    <col min="81" max="82" width="11.7265625" style="21" customWidth="1"/>
    <col min="83" max="83" width="9.1796875" style="21" customWidth="1"/>
    <col min="84" max="84" width="21.26953125" style="21" bestFit="1" customWidth="1"/>
    <col min="85" max="85" width="11" customWidth="1"/>
    <col min="86" max="87" width="17.26953125" customWidth="1"/>
    <col min="88" max="88" width="16.26953125" customWidth="1"/>
    <col min="89" max="89" width="10.7265625" style="21" customWidth="1"/>
    <col min="90" max="90" width="17.453125" style="21" customWidth="1"/>
    <col min="91" max="91" width="17.453125" style="21" bestFit="1" customWidth="1"/>
    <col min="92" max="92" width="17.1796875" style="21" bestFit="1" customWidth="1"/>
    <col min="93" max="96" width="9.1796875" style="21" customWidth="1"/>
    <col min="97" max="97" width="21.26953125" style="21" bestFit="1" customWidth="1"/>
    <col min="98" max="98" width="10.7265625" style="21" bestFit="1" customWidth="1"/>
    <col min="99" max="100" width="16.7265625" style="21" bestFit="1" customWidth="1"/>
    <col min="101" max="101" width="15.453125" bestFit="1" customWidth="1"/>
    <col min="102" max="102" width="10" bestFit="1" customWidth="1"/>
    <col min="103" max="103" width="16.81640625" bestFit="1" customWidth="1"/>
    <col min="104" max="104" width="16.7265625" bestFit="1" customWidth="1"/>
    <col min="105" max="105" width="13.453125" style="21" bestFit="1" customWidth="1"/>
    <col min="106" max="107" width="9.1796875" style="21" customWidth="1"/>
    <col min="108" max="110" width="9.1796875" style="21"/>
    <col min="111" max="111" width="13.453125" style="22" bestFit="1" customWidth="1"/>
    <col min="112" max="112" width="32.54296875" style="21" bestFit="1" customWidth="1"/>
    <col min="113" max="113" width="21.26953125" style="21" customWidth="1"/>
    <col min="114" max="114" width="25.26953125" style="21" bestFit="1" customWidth="1"/>
    <col min="115" max="115" width="18.81640625" style="21" customWidth="1"/>
    <col min="116" max="116" width="15.81640625" style="21" bestFit="1" customWidth="1"/>
    <col min="117" max="117" width="9.1796875" style="21"/>
    <col min="118" max="118" width="16.1796875" style="21" customWidth="1"/>
    <col min="119" max="16384" width="9.1796875" style="21"/>
  </cols>
  <sheetData>
    <row r="1" spans="1:114" ht="15.5" x14ac:dyDescent="0.35">
      <c r="A1" s="4565" t="s">
        <v>2480</v>
      </c>
      <c r="B1" s="4565"/>
      <c r="C1" s="4565"/>
      <c r="D1" s="4565"/>
      <c r="E1" s="4565"/>
      <c r="F1" s="4565"/>
      <c r="G1" s="4565"/>
      <c r="H1" s="4565"/>
      <c r="I1" s="4565"/>
      <c r="J1" s="4565"/>
      <c r="K1" s="4565"/>
      <c r="L1" s="4565"/>
      <c r="M1" s="4565"/>
      <c r="N1" s="4565"/>
      <c r="O1" s="4565"/>
      <c r="P1" s="4565"/>
      <c r="Q1" s="4565"/>
      <c r="V1" s="725"/>
      <c r="W1" s="725"/>
      <c r="X1" s="725"/>
      <c r="Y1" s="725"/>
      <c r="Z1" s="725"/>
      <c r="AA1" s="725"/>
      <c r="AB1" s="725"/>
      <c r="AC1" s="725"/>
      <c r="AD1" s="725"/>
      <c r="AE1" s="725"/>
      <c r="AF1" s="725"/>
      <c r="AG1" s="725"/>
      <c r="AH1" s="725"/>
    </row>
    <row r="2" spans="1:114" ht="8.25" customHeight="1" x14ac:dyDescent="0.35">
      <c r="A2" s="23"/>
      <c r="C2" s="127"/>
      <c r="D2" s="127"/>
      <c r="E2" s="127"/>
      <c r="F2" s="106"/>
      <c r="G2" s="106"/>
      <c r="H2" s="106"/>
      <c r="I2" s="106"/>
      <c r="J2" s="106"/>
      <c r="K2" s="106"/>
      <c r="L2" s="106"/>
      <c r="M2" s="106"/>
      <c r="N2" s="106"/>
      <c r="O2" s="106"/>
      <c r="P2" s="106"/>
      <c r="Q2" s="106"/>
      <c r="V2" s="725"/>
      <c r="W2" s="725"/>
      <c r="X2" s="725"/>
      <c r="Y2" s="725"/>
      <c r="Z2" s="725"/>
      <c r="AA2" s="725"/>
      <c r="AB2" s="725"/>
      <c r="AC2" s="725"/>
      <c r="AD2" s="725"/>
      <c r="AE2" s="725"/>
      <c r="AF2" s="725"/>
      <c r="AG2" s="725"/>
      <c r="AH2" s="725"/>
      <c r="CG2" s="21"/>
      <c r="CH2" s="21"/>
      <c r="CI2" s="21"/>
      <c r="CJ2" s="21"/>
      <c r="CW2" s="21"/>
      <c r="CX2" s="21"/>
      <c r="CY2" s="21"/>
      <c r="CZ2" s="21"/>
    </row>
    <row r="3" spans="1:114" ht="21" x14ac:dyDescent="0.5">
      <c r="B3" s="24"/>
      <c r="C3" s="1097"/>
      <c r="E3" s="4562" t="s">
        <v>2481</v>
      </c>
      <c r="F3" s="4563"/>
      <c r="G3" s="4563"/>
      <c r="H3" s="4564" t="s">
        <v>2482</v>
      </c>
      <c r="I3" s="4564"/>
      <c r="J3" s="4564"/>
      <c r="K3" s="724"/>
      <c r="L3" s="724"/>
      <c r="V3" s="725"/>
      <c r="W3" s="725"/>
      <c r="X3" s="725"/>
      <c r="Y3" s="725"/>
      <c r="Z3" s="725"/>
      <c r="AA3" s="725"/>
      <c r="AB3" s="725"/>
      <c r="AC3" s="725"/>
      <c r="AD3" s="725"/>
      <c r="AE3" s="725"/>
      <c r="AF3" s="725"/>
      <c r="AG3" s="725"/>
      <c r="AH3" s="725"/>
      <c r="DI3" s="1507"/>
    </row>
    <row r="4" spans="1:114" ht="21" hidden="1" outlineLevel="1" x14ac:dyDescent="0.5">
      <c r="B4" s="24"/>
      <c r="C4" s="1982"/>
      <c r="D4" s="3661" t="s">
        <v>2243</v>
      </c>
      <c r="E4" s="3661"/>
      <c r="F4" s="3661"/>
      <c r="G4" s="3661"/>
      <c r="H4" s="3661"/>
      <c r="I4" s="3661"/>
      <c r="J4" s="3661"/>
      <c r="K4" s="724"/>
      <c r="L4" s="724"/>
      <c r="V4" s="725"/>
      <c r="W4" s="725"/>
      <c r="X4" s="725"/>
      <c r="Y4" s="725"/>
      <c r="Z4" s="725"/>
      <c r="AA4" s="725"/>
      <c r="AB4" s="725"/>
      <c r="AC4" s="725"/>
      <c r="AD4" s="725"/>
      <c r="AE4" s="725"/>
      <c r="AF4" s="725"/>
      <c r="AG4" s="725"/>
      <c r="AH4" s="725"/>
    </row>
    <row r="5" spans="1:114" s="31" customFormat="1" ht="23.25" customHeight="1" collapsed="1" x14ac:dyDescent="0.5">
      <c r="A5" s="30"/>
      <c r="B5" s="24" t="s">
        <v>2483</v>
      </c>
      <c r="C5" s="1097"/>
      <c r="D5" s="1082"/>
      <c r="E5" s="1083"/>
      <c r="F5" s="1083"/>
      <c r="G5" s="1083"/>
      <c r="H5" s="1084"/>
      <c r="I5" s="310"/>
      <c r="J5" s="310"/>
      <c r="K5" s="310"/>
      <c r="L5" s="132"/>
      <c r="M5" s="132"/>
      <c r="N5" s="132"/>
      <c r="O5" s="132"/>
      <c r="P5" s="132"/>
      <c r="Q5" s="132"/>
      <c r="R5" s="132"/>
      <c r="S5" s="132"/>
      <c r="T5" s="132"/>
      <c r="U5" s="132"/>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DE5" s="21"/>
      <c r="DF5" s="21"/>
      <c r="DG5" s="32"/>
    </row>
    <row r="6" spans="1:114" s="33" customFormat="1" x14ac:dyDescent="0.35">
      <c r="B6" s="4548" t="s">
        <v>51</v>
      </c>
      <c r="C6" s="4549"/>
      <c r="D6" s="4549"/>
      <c r="E6" s="4549"/>
      <c r="F6" s="4549"/>
      <c r="G6" s="4549"/>
      <c r="H6" s="4549"/>
      <c r="I6" s="4550"/>
      <c r="J6" s="4550"/>
      <c r="K6" s="4550"/>
      <c r="L6" s="4550"/>
      <c r="M6" s="4551"/>
      <c r="N6" s="4551"/>
      <c r="O6" s="4552"/>
      <c r="V6" s="2325" t="str">
        <f>B6</f>
        <v>Lighting</v>
      </c>
      <c r="W6" s="2326"/>
      <c r="X6" s="2326"/>
      <c r="Y6" s="2326"/>
      <c r="Z6" s="2326"/>
      <c r="AA6" s="2326"/>
      <c r="AB6" s="2326"/>
      <c r="AC6" s="2326"/>
      <c r="AD6" s="2326"/>
      <c r="AE6" s="2326"/>
      <c r="AF6" s="2326"/>
      <c r="AG6" s="2326"/>
      <c r="AH6" s="2326"/>
      <c r="AI6" s="2384"/>
      <c r="AJ6" s="21"/>
      <c r="AK6" s="21"/>
      <c r="AL6" s="21"/>
      <c r="AM6" s="21"/>
      <c r="AN6" s="21"/>
      <c r="AO6" s="21"/>
      <c r="AP6" s="21"/>
      <c r="AQ6" s="21"/>
      <c r="AR6" s="21"/>
      <c r="AS6" s="21"/>
      <c r="AT6" s="21"/>
      <c r="AU6" s="21"/>
      <c r="CK6" s="31"/>
      <c r="DE6" s="21"/>
      <c r="DF6" s="21"/>
      <c r="DG6" s="32"/>
      <c r="DH6" s="31"/>
      <c r="DI6" s="31"/>
      <c r="DJ6" s="31"/>
    </row>
    <row r="7" spans="1:114" x14ac:dyDescent="0.35">
      <c r="D7" s="1085"/>
      <c r="E7" s="33"/>
      <c r="F7" s="33"/>
      <c r="G7" s="33"/>
      <c r="H7" s="1086"/>
      <c r="I7" s="33"/>
      <c r="J7" s="33"/>
      <c r="K7" s="33"/>
      <c r="L7" s="33"/>
      <c r="P7" s="33"/>
      <c r="Q7" s="33"/>
      <c r="R7" s="33"/>
      <c r="S7" s="33"/>
      <c r="T7" s="33"/>
      <c r="U7" s="33"/>
      <c r="V7"/>
      <c r="W7"/>
      <c r="X7"/>
      <c r="Y7"/>
      <c r="Z7"/>
      <c r="AA7"/>
      <c r="AB7"/>
      <c r="AC7"/>
      <c r="AD7"/>
      <c r="AE7"/>
      <c r="AF7"/>
      <c r="AG7"/>
      <c r="AH7"/>
      <c r="AI7"/>
      <c r="AJ7" s="31"/>
      <c r="AK7" s="31"/>
      <c r="AL7" s="31"/>
      <c r="AM7" s="31"/>
      <c r="AN7" s="31"/>
      <c r="AO7" s="31"/>
      <c r="AP7" s="31"/>
      <c r="AQ7" s="31"/>
      <c r="AR7" s="31"/>
      <c r="AS7" s="31"/>
      <c r="AT7" s="31"/>
      <c r="AU7" s="31"/>
      <c r="CA7" s="33"/>
      <c r="CG7" s="21"/>
      <c r="CH7" s="21"/>
      <c r="CI7" s="21"/>
      <c r="CJ7" s="21"/>
      <c r="CW7" s="21"/>
      <c r="CX7" s="21"/>
      <c r="CY7" s="21"/>
      <c r="CZ7" s="21"/>
      <c r="DG7" s="32"/>
      <c r="DH7" s="31"/>
      <c r="DI7" s="31"/>
      <c r="DJ7" s="31"/>
    </row>
    <row r="8" spans="1:114" s="34" customFormat="1" x14ac:dyDescent="0.35">
      <c r="B8" s="31"/>
      <c r="C8" s="35" t="s">
        <v>27</v>
      </c>
      <c r="D8" s="2399" t="s">
        <v>28</v>
      </c>
      <c r="E8" s="2399" t="s">
        <v>29</v>
      </c>
      <c r="F8" s="2399" t="s">
        <v>30</v>
      </c>
      <c r="G8" s="2399" t="s">
        <v>175</v>
      </c>
      <c r="H8" s="36" t="s">
        <v>176</v>
      </c>
      <c r="I8" s="2399" t="s">
        <v>31</v>
      </c>
      <c r="J8" s="1689" t="s">
        <v>180</v>
      </c>
      <c r="K8" s="37" t="s">
        <v>169</v>
      </c>
      <c r="L8" s="35" t="s">
        <v>43</v>
      </c>
      <c r="M8" s="725"/>
      <c r="N8" s="725"/>
      <c r="O8" s="725"/>
      <c r="P8" s="350"/>
      <c r="Q8" s="350"/>
      <c r="R8" s="350"/>
      <c r="S8" s="350"/>
      <c r="T8" s="350"/>
      <c r="U8" s="350"/>
      <c r="V8" s="1572" t="s">
        <v>44</v>
      </c>
      <c r="W8" s="1573">
        <v>43252</v>
      </c>
      <c r="X8" s="1573">
        <v>43465</v>
      </c>
      <c r="Y8" s="1573">
        <v>43800</v>
      </c>
      <c r="Z8" s="1573">
        <v>43862</v>
      </c>
      <c r="AA8" s="1573">
        <v>44013</v>
      </c>
      <c r="AB8" s="1573">
        <v>44166</v>
      </c>
      <c r="AC8" s="1573">
        <v>44531</v>
      </c>
      <c r="AD8" s="1573">
        <v>44774</v>
      </c>
      <c r="AE8" s="1573" t="s">
        <v>45</v>
      </c>
      <c r="AF8" s="1573" t="s">
        <v>45</v>
      </c>
      <c r="AG8" s="1573" t="s">
        <v>45</v>
      </c>
      <c r="AH8"/>
      <c r="AI8" s="1572" t="s">
        <v>44</v>
      </c>
      <c r="AJ8" s="1573">
        <f>W8</f>
        <v>43252</v>
      </c>
      <c r="AK8" s="1573">
        <f t="shared" ref="AK8:AS8" si="0">X8</f>
        <v>43465</v>
      </c>
      <c r="AL8" s="1573">
        <f t="shared" si="0"/>
        <v>43800</v>
      </c>
      <c r="AM8" s="1573">
        <f t="shared" si="0"/>
        <v>43862</v>
      </c>
      <c r="AN8" s="1573">
        <f t="shared" si="0"/>
        <v>44013</v>
      </c>
      <c r="AO8" s="1573">
        <f t="shared" si="0"/>
        <v>44166</v>
      </c>
      <c r="AP8" s="1573">
        <f t="shared" si="0"/>
        <v>44531</v>
      </c>
      <c r="AQ8" s="1573">
        <f t="shared" si="0"/>
        <v>44774</v>
      </c>
      <c r="AR8" s="1573" t="str">
        <f t="shared" si="0"/>
        <v>-</v>
      </c>
      <c r="AS8" s="1573" t="str">
        <f t="shared" si="0"/>
        <v>-</v>
      </c>
      <c r="AT8" s="21"/>
      <c r="AU8" s="1572" t="s">
        <v>44</v>
      </c>
      <c r="AV8" s="1573">
        <f>W8</f>
        <v>43252</v>
      </c>
      <c r="AW8" s="1573">
        <f t="shared" ref="AW8:BE8" si="1">X8</f>
        <v>43465</v>
      </c>
      <c r="AX8" s="1573">
        <f t="shared" si="1"/>
        <v>43800</v>
      </c>
      <c r="AY8" s="1573">
        <f t="shared" si="1"/>
        <v>43862</v>
      </c>
      <c r="AZ8" s="1573">
        <f t="shared" si="1"/>
        <v>44013</v>
      </c>
      <c r="BA8" s="1573">
        <f t="shared" si="1"/>
        <v>44166</v>
      </c>
      <c r="BB8" s="1573">
        <f t="shared" si="1"/>
        <v>44531</v>
      </c>
      <c r="BC8" s="1573">
        <f t="shared" si="1"/>
        <v>44774</v>
      </c>
      <c r="BD8" s="1573" t="str">
        <f t="shared" si="1"/>
        <v>-</v>
      </c>
      <c r="BE8" s="1573" t="str">
        <f t="shared" si="1"/>
        <v>-</v>
      </c>
      <c r="BG8" s="21"/>
      <c r="BH8" s="21"/>
      <c r="BI8" s="21"/>
      <c r="BJ8" s="21"/>
      <c r="BK8" s="21"/>
      <c r="BL8" s="21"/>
      <c r="BM8" s="21"/>
      <c r="BN8" s="21"/>
      <c r="BO8" s="21"/>
      <c r="BP8" s="21"/>
      <c r="BQ8" s="21"/>
      <c r="BR8" s="21"/>
      <c r="BS8" s="21"/>
      <c r="BT8" s="21"/>
      <c r="BU8" s="21"/>
      <c r="BV8" s="21"/>
      <c r="BW8" s="21"/>
      <c r="BX8" s="21"/>
      <c r="BY8" s="21"/>
      <c r="BZ8" s="21"/>
      <c r="CA8" s="33"/>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1574" t="s">
        <v>4472</v>
      </c>
      <c r="DH8" s="38" t="s">
        <v>47</v>
      </c>
      <c r="DI8" s="39" t="s">
        <v>48</v>
      </c>
      <c r="DJ8" s="39" t="s">
        <v>49</v>
      </c>
    </row>
    <row r="9" spans="1:114" ht="29" x14ac:dyDescent="0.35">
      <c r="C9" s="1614" t="s">
        <v>2484</v>
      </c>
      <c r="D9" s="1087" t="s">
        <v>2485</v>
      </c>
      <c r="E9" s="1095" t="s">
        <v>2486</v>
      </c>
      <c r="F9" s="122">
        <f t="shared" ref="F9:F34" si="2">ROUND((F49-G49)/1000*H49*I49*K49*M49,2)</f>
        <v>81.45</v>
      </c>
      <c r="G9" s="1087" t="s">
        <v>54</v>
      </c>
      <c r="H9" s="1088">
        <f>VLOOKUP(G9,'CP FACTORS'!$A$26:$B$38,2,FALSE)</f>
        <v>1.899635E-4</v>
      </c>
      <c r="I9" s="3271">
        <f>ROUND(H9*F9*J49,6)</f>
        <v>1.5968E-2</v>
      </c>
      <c r="J9" s="51">
        <f t="shared" ref="J9:J34" si="3">L49</f>
        <v>10</v>
      </c>
      <c r="K9" s="1687">
        <v>15.64</v>
      </c>
      <c r="L9" s="1688" t="s">
        <v>184</v>
      </c>
      <c r="M9" s="1090"/>
      <c r="P9" s="1091"/>
      <c r="Q9" s="1092"/>
      <c r="R9" s="1093"/>
      <c r="S9" s="1093"/>
      <c r="T9" s="1094"/>
      <c r="V9" s="88" t="s">
        <v>30</v>
      </c>
      <c r="W9" s="110">
        <v>87.483200000000011</v>
      </c>
      <c r="X9" s="1575">
        <v>88.562211839999989</v>
      </c>
      <c r="Y9" s="110">
        <v>88.56</v>
      </c>
      <c r="Z9" s="112">
        <v>88.56</v>
      </c>
      <c r="AA9" s="112">
        <v>88.56</v>
      </c>
      <c r="AB9" s="110">
        <v>173.16</v>
      </c>
      <c r="AC9" s="2299">
        <v>127.59</v>
      </c>
      <c r="AD9" s="3334">
        <v>81.459999999999994</v>
      </c>
      <c r="AE9" s="141"/>
      <c r="AF9" s="141"/>
      <c r="AG9" s="141"/>
      <c r="AH9"/>
      <c r="AI9" s="88" t="s">
        <v>180</v>
      </c>
      <c r="AJ9" s="51">
        <v>21</v>
      </c>
      <c r="AK9" s="51">
        <v>21</v>
      </c>
      <c r="AL9" s="51">
        <v>21</v>
      </c>
      <c r="AM9" s="51">
        <v>21</v>
      </c>
      <c r="AN9" s="51">
        <v>21</v>
      </c>
      <c r="AO9" s="1691">
        <v>17</v>
      </c>
      <c r="AP9" s="672">
        <v>10</v>
      </c>
      <c r="AQ9" s="1791">
        <v>10</v>
      </c>
      <c r="AR9" s="141"/>
      <c r="AS9" s="141"/>
      <c r="AU9" s="88" t="s">
        <v>169</v>
      </c>
      <c r="AV9" s="1692">
        <v>15.64</v>
      </c>
      <c r="AW9" s="1692">
        <v>15.64</v>
      </c>
      <c r="AX9" s="1692">
        <v>15.64</v>
      </c>
      <c r="AY9" s="1692">
        <v>15.64</v>
      </c>
      <c r="AZ9" s="1692">
        <v>15.64</v>
      </c>
      <c r="BA9" s="1615">
        <v>15.64</v>
      </c>
      <c r="BB9" s="1615">
        <v>15.64</v>
      </c>
      <c r="BC9" s="1321">
        <v>15.64</v>
      </c>
      <c r="BD9" s="141"/>
      <c r="BE9" s="141"/>
      <c r="CG9" s="21"/>
      <c r="CH9" s="21"/>
      <c r="CI9" s="21"/>
      <c r="CJ9" s="21"/>
      <c r="CW9" s="21"/>
      <c r="CX9" s="21"/>
      <c r="CY9" s="21"/>
      <c r="CZ9" s="21"/>
      <c r="DG9" s="3333">
        <f>(DI9)/(DJ9)</f>
        <v>2.1924077988444024</v>
      </c>
      <c r="DH9" s="2381" t="str">
        <f t="shared" ref="DH9:DH33" si="4">CONCATENATE(G9," ",J9," Year EUL")</f>
        <v>Lighting BUS 10 Year EUL</v>
      </c>
      <c r="DI9" s="3270">
        <f>(INDEX('Avoided Cost Benefits'!$E$4:$E$859,MATCH(DH9,'Avoided Cost Benefits'!$A$4:$A$859,0)))*F9</f>
        <v>32.363622438816847</v>
      </c>
      <c r="DJ9" s="1579">
        <f t="shared" ref="DJ9:DJ24" si="5">K9/(1.0595^(2020-2019))</f>
        <v>14.761680037753656</v>
      </c>
    </row>
    <row r="10" spans="1:114" x14ac:dyDescent="0.35">
      <c r="C10" s="1614" t="s">
        <v>2487</v>
      </c>
      <c r="D10" s="1087" t="s">
        <v>2485</v>
      </c>
      <c r="E10" s="1095" t="s">
        <v>2488</v>
      </c>
      <c r="F10" s="122">
        <f t="shared" si="2"/>
        <v>131.65</v>
      </c>
      <c r="G10" s="1087" t="s">
        <v>54</v>
      </c>
      <c r="H10" s="1088">
        <f>VLOOKUP(G10,'CP FACTORS'!$A$26:$B$38,2,FALSE)</f>
        <v>1.899635E-4</v>
      </c>
      <c r="I10" s="3271">
        <f t="shared" ref="I10:I34" si="6">ROUND(H10*F10*J50,6)</f>
        <v>2.5808999999999999E-2</v>
      </c>
      <c r="J10" s="51">
        <f t="shared" si="3"/>
        <v>10</v>
      </c>
      <c r="K10" s="1687">
        <v>19.64</v>
      </c>
      <c r="L10" s="1688" t="s">
        <v>184</v>
      </c>
      <c r="M10" s="1090"/>
      <c r="P10" s="1091"/>
      <c r="Q10" s="1092"/>
      <c r="R10" s="1093"/>
      <c r="S10" s="1093"/>
      <c r="T10" s="1094"/>
      <c r="V10" s="88" t="s">
        <v>30</v>
      </c>
      <c r="W10" s="110">
        <v>153.09560000000002</v>
      </c>
      <c r="X10" s="112">
        <v>153.09560000000002</v>
      </c>
      <c r="Y10" s="110">
        <v>153.09560000000002</v>
      </c>
      <c r="Z10" s="112">
        <v>153.09560000000002</v>
      </c>
      <c r="AA10" s="112">
        <v>153.09560000000002</v>
      </c>
      <c r="AB10" s="110">
        <v>132.04</v>
      </c>
      <c r="AC10" s="3335">
        <v>122.43</v>
      </c>
      <c r="AD10" s="3334">
        <v>131.63</v>
      </c>
      <c r="AE10" s="141"/>
      <c r="AF10" s="141"/>
      <c r="AG10" s="141"/>
      <c r="AH10"/>
      <c r="AI10" s="88" t="s">
        <v>180</v>
      </c>
      <c r="AJ10" s="51">
        <v>17</v>
      </c>
      <c r="AK10" s="51">
        <v>17</v>
      </c>
      <c r="AL10" s="51">
        <v>17</v>
      </c>
      <c r="AM10" s="51">
        <v>17</v>
      </c>
      <c r="AN10" s="51">
        <v>17</v>
      </c>
      <c r="AO10" s="1691">
        <v>17</v>
      </c>
      <c r="AP10" s="672">
        <v>10</v>
      </c>
      <c r="AQ10" s="1791">
        <v>10</v>
      </c>
      <c r="AR10" s="141"/>
      <c r="AS10" s="141"/>
      <c r="AU10" s="88" t="s">
        <v>169</v>
      </c>
      <c r="AV10" s="1692">
        <v>19.64</v>
      </c>
      <c r="AW10" s="1692">
        <v>19.64</v>
      </c>
      <c r="AX10" s="1692">
        <v>19.64</v>
      </c>
      <c r="AY10" s="1692">
        <v>19.64</v>
      </c>
      <c r="AZ10" s="1692">
        <v>19.64</v>
      </c>
      <c r="BA10" s="1615">
        <v>19.64</v>
      </c>
      <c r="BB10" s="1615">
        <v>19.64</v>
      </c>
      <c r="BC10" s="1321">
        <v>19.64</v>
      </c>
      <c r="BD10" s="141"/>
      <c r="BE10" s="141"/>
      <c r="DG10" s="2504">
        <f t="shared" ref="DG10:DG33" si="7">(DI10)/(DJ10)</f>
        <v>2.8219309212650399</v>
      </c>
      <c r="DH10" s="1580" t="str">
        <f t="shared" si="4"/>
        <v>Lighting BUS 10 Year EUL</v>
      </c>
      <c r="DI10" s="2507">
        <f>(INDEX('Avoided Cost Benefits'!$E$4:$E$859,MATCH(DH10,'Avoided Cost Benefits'!$A$4:$A$859,0)))*F10</f>
        <v>52.310262665073509</v>
      </c>
      <c r="DJ10" s="1581">
        <f t="shared" si="5"/>
        <v>18.537045776309579</v>
      </c>
    </row>
    <row r="11" spans="1:114" ht="15.75" customHeight="1" x14ac:dyDescent="0.35">
      <c r="C11" s="1614" t="s">
        <v>2489</v>
      </c>
      <c r="D11" s="1087" t="s">
        <v>2485</v>
      </c>
      <c r="E11" s="1095" t="s">
        <v>2490</v>
      </c>
      <c r="F11" s="122">
        <f t="shared" si="2"/>
        <v>232.54</v>
      </c>
      <c r="G11" s="1087" t="s">
        <v>54</v>
      </c>
      <c r="H11" s="1088">
        <f>VLOOKUP(G11,'CP FACTORS'!$A$26:$B$38,2,FALSE)</f>
        <v>1.899635E-4</v>
      </c>
      <c r="I11" s="3271">
        <f t="shared" si="6"/>
        <v>4.5587999999999997E-2</v>
      </c>
      <c r="J11" s="51">
        <f t="shared" si="3"/>
        <v>10</v>
      </c>
      <c r="K11" s="1687">
        <v>48.27</v>
      </c>
      <c r="L11" s="1688" t="s">
        <v>184</v>
      </c>
      <c r="M11" s="1090"/>
      <c r="P11" s="1091"/>
      <c r="Q11" s="1092"/>
      <c r="R11" s="1093"/>
      <c r="S11" s="1093"/>
      <c r="T11" s="1094"/>
      <c r="V11" s="88" t="s">
        <v>30</v>
      </c>
      <c r="W11" s="110">
        <v>201.52379999999999</v>
      </c>
      <c r="X11" s="1575">
        <v>203.76008631000005</v>
      </c>
      <c r="Y11" s="110">
        <v>203.76008631000005</v>
      </c>
      <c r="Z11" s="112">
        <v>203.76008631000005</v>
      </c>
      <c r="AA11" s="112">
        <v>203.76008631000005</v>
      </c>
      <c r="AB11" s="110">
        <v>161.96</v>
      </c>
      <c r="AC11" s="3335">
        <v>149.49</v>
      </c>
      <c r="AD11" s="3334">
        <v>232.49</v>
      </c>
      <c r="AE11" s="141"/>
      <c r="AF11" s="141"/>
      <c r="AG11" s="141"/>
      <c r="AH11"/>
      <c r="AI11" s="88" t="s">
        <v>180</v>
      </c>
      <c r="AJ11" s="51">
        <v>14</v>
      </c>
      <c r="AK11" s="51">
        <v>14</v>
      </c>
      <c r="AL11" s="51">
        <v>14</v>
      </c>
      <c r="AM11" s="51">
        <v>14</v>
      </c>
      <c r="AN11" s="51">
        <v>14</v>
      </c>
      <c r="AO11" s="1691">
        <v>11</v>
      </c>
      <c r="AP11" s="672">
        <v>10</v>
      </c>
      <c r="AQ11" s="1791">
        <v>10</v>
      </c>
      <c r="AR11" s="141"/>
      <c r="AS11" s="141"/>
      <c r="AU11" s="88" t="s">
        <v>169</v>
      </c>
      <c r="AV11" s="1692">
        <v>48.27</v>
      </c>
      <c r="AW11" s="1692">
        <v>48.27</v>
      </c>
      <c r="AX11" s="1692">
        <v>48.27</v>
      </c>
      <c r="AY11" s="1692">
        <v>48.27</v>
      </c>
      <c r="AZ11" s="1692">
        <v>48.27</v>
      </c>
      <c r="BA11" s="1615">
        <v>48.27</v>
      </c>
      <c r="BB11" s="1615">
        <v>48.27</v>
      </c>
      <c r="BC11" s="1321">
        <v>48.27</v>
      </c>
      <c r="BD11" s="141"/>
      <c r="BE11" s="141"/>
      <c r="DG11" s="2504">
        <f t="shared" si="7"/>
        <v>2.0280906725067585</v>
      </c>
      <c r="DH11" s="1580" t="str">
        <f t="shared" si="4"/>
        <v>Lighting BUS 10 Year EUL</v>
      </c>
      <c r="DI11" s="2507">
        <f>(INDEX('Avoided Cost Benefits'!$E$4:$E$859,MATCH(DH11,'Avoided Cost Benefits'!$A$4:$A$859,0)))*F11</f>
        <v>92.398241398679787</v>
      </c>
      <c r="DJ11" s="1581">
        <f t="shared" si="5"/>
        <v>45.559226050023597</v>
      </c>
    </row>
    <row r="12" spans="1:114" ht="29" x14ac:dyDescent="0.35">
      <c r="C12" s="1614" t="s">
        <v>2491</v>
      </c>
      <c r="D12" s="1087" t="s">
        <v>2485</v>
      </c>
      <c r="E12" s="1095" t="s">
        <v>2492</v>
      </c>
      <c r="F12" s="122">
        <f t="shared" si="2"/>
        <v>79.69</v>
      </c>
      <c r="G12" s="1087" t="s">
        <v>54</v>
      </c>
      <c r="H12" s="1088">
        <f>VLOOKUP(G12,'CP FACTORS'!$A$26:$B$38,2,FALSE)</f>
        <v>1.899635E-4</v>
      </c>
      <c r="I12" s="3271">
        <f t="shared" si="6"/>
        <v>1.5623E-2</v>
      </c>
      <c r="J12" s="51">
        <f t="shared" si="3"/>
        <v>10</v>
      </c>
      <c r="K12" s="1687">
        <v>36.64</v>
      </c>
      <c r="L12" s="1688" t="s">
        <v>184</v>
      </c>
      <c r="M12" s="1090"/>
      <c r="P12" s="1091"/>
      <c r="Q12" s="1092"/>
      <c r="R12" s="1093"/>
      <c r="S12" s="1093"/>
      <c r="T12" s="1094"/>
      <c r="V12" s="88" t="s">
        <v>30</v>
      </c>
      <c r="W12" s="110">
        <v>178.0908</v>
      </c>
      <c r="X12" s="1575">
        <v>164.59091000000001</v>
      </c>
      <c r="Y12" s="110">
        <v>164.59091000000001</v>
      </c>
      <c r="Z12" s="112">
        <v>164.59091000000001</v>
      </c>
      <c r="AA12" s="112">
        <v>164.59091000000001</v>
      </c>
      <c r="AB12" s="110">
        <v>154.05000000000001</v>
      </c>
      <c r="AC12" s="3335">
        <v>102.31</v>
      </c>
      <c r="AD12" s="3334">
        <v>79.69</v>
      </c>
      <c r="AE12" s="141"/>
      <c r="AF12" s="141"/>
      <c r="AG12" s="141"/>
      <c r="AH12"/>
      <c r="AI12" s="88" t="s">
        <v>180</v>
      </c>
      <c r="AJ12" s="51">
        <v>12</v>
      </c>
      <c r="AK12" s="51">
        <v>12</v>
      </c>
      <c r="AL12" s="51">
        <v>12</v>
      </c>
      <c r="AM12" s="51">
        <v>12</v>
      </c>
      <c r="AN12" s="51">
        <v>12</v>
      </c>
      <c r="AO12" s="1691">
        <v>11</v>
      </c>
      <c r="AP12" s="672">
        <v>10</v>
      </c>
      <c r="AQ12" s="1791">
        <v>10</v>
      </c>
      <c r="AR12" s="141"/>
      <c r="AS12" s="141"/>
      <c r="AU12" s="88" t="s">
        <v>169</v>
      </c>
      <c r="AV12" s="1692">
        <v>36.64</v>
      </c>
      <c r="AW12" s="1692">
        <v>36.64</v>
      </c>
      <c r="AX12" s="1692">
        <v>36.64</v>
      </c>
      <c r="AY12" s="1692">
        <v>36.64</v>
      </c>
      <c r="AZ12" s="1692">
        <v>36.64</v>
      </c>
      <c r="BA12" s="1615">
        <v>36.64</v>
      </c>
      <c r="BB12" s="1615">
        <v>36.64</v>
      </c>
      <c r="BC12" s="1321">
        <v>36.64</v>
      </c>
      <c r="BD12" s="141"/>
      <c r="BE12" s="141"/>
      <c r="DG12" s="2504">
        <f t="shared" si="7"/>
        <v>0.91562018918235466</v>
      </c>
      <c r="DH12" s="1580" t="str">
        <f t="shared" si="4"/>
        <v>Lighting BUS 10 Year EUL</v>
      </c>
      <c r="DI12" s="2507">
        <f>(INDEX('Avoided Cost Benefits'!$E$4:$E$859,MATCH(DH12,'Avoided Cost Benefits'!$A$4:$A$859,0)))*F12</f>
        <v>31.664298000605452</v>
      </c>
      <c r="DJ12" s="1581">
        <f t="shared" si="5"/>
        <v>34.582350165172251</v>
      </c>
    </row>
    <row r="13" spans="1:114" ht="29" x14ac:dyDescent="0.35">
      <c r="C13" s="1614" t="s">
        <v>2493</v>
      </c>
      <c r="D13" s="1087" t="s">
        <v>2485</v>
      </c>
      <c r="E13" s="1095" t="s">
        <v>2494</v>
      </c>
      <c r="F13" s="122">
        <f t="shared" si="2"/>
        <v>187.8</v>
      </c>
      <c r="G13" s="1087" t="s">
        <v>54</v>
      </c>
      <c r="H13" s="1088">
        <f>VLOOKUP(G13,'CP FACTORS'!$A$26:$B$38,2,FALSE)</f>
        <v>1.899635E-4</v>
      </c>
      <c r="I13" s="3271">
        <f t="shared" si="6"/>
        <v>3.6817000000000003E-2</v>
      </c>
      <c r="J13" s="51">
        <f t="shared" si="3"/>
        <v>10</v>
      </c>
      <c r="K13" s="1687">
        <v>74.64</v>
      </c>
      <c r="L13" s="1688" t="s">
        <v>184</v>
      </c>
      <c r="M13" s="1090"/>
      <c r="P13" s="1091"/>
      <c r="Q13" s="1092"/>
      <c r="R13" s="1093"/>
      <c r="S13" s="1093"/>
      <c r="T13" s="1094"/>
      <c r="V13" s="88" t="s">
        <v>30</v>
      </c>
      <c r="W13" s="110">
        <v>257.76300000000003</v>
      </c>
      <c r="X13" s="1575">
        <v>255.72252816000005</v>
      </c>
      <c r="Y13" s="110">
        <v>255.72252816000005</v>
      </c>
      <c r="Z13" s="112">
        <v>255.72252816000005</v>
      </c>
      <c r="AA13" s="112">
        <v>255.72252816000005</v>
      </c>
      <c r="AB13" s="110">
        <v>227.11</v>
      </c>
      <c r="AC13" s="3336">
        <v>194.18</v>
      </c>
      <c r="AD13" s="3334">
        <v>187.8</v>
      </c>
      <c r="AE13" s="110"/>
      <c r="AF13" s="110"/>
      <c r="AG13" s="110"/>
      <c r="AH13"/>
      <c r="AI13" s="88" t="s">
        <v>180</v>
      </c>
      <c r="AJ13" s="51">
        <v>12</v>
      </c>
      <c r="AK13" s="51">
        <v>12</v>
      </c>
      <c r="AL13" s="51">
        <v>12</v>
      </c>
      <c r="AM13" s="51">
        <v>12</v>
      </c>
      <c r="AN13" s="51">
        <v>12</v>
      </c>
      <c r="AO13" s="1691">
        <v>11</v>
      </c>
      <c r="AP13" s="672">
        <v>10</v>
      </c>
      <c r="AQ13" s="1791">
        <v>10</v>
      </c>
      <c r="AR13" s="110"/>
      <c r="AS13" s="110"/>
      <c r="AU13" s="88" t="s">
        <v>169</v>
      </c>
      <c r="AV13" s="1692">
        <v>74.64</v>
      </c>
      <c r="AW13" s="1692">
        <v>74.64</v>
      </c>
      <c r="AX13" s="1692">
        <v>74.64</v>
      </c>
      <c r="AY13" s="1692">
        <v>74.64</v>
      </c>
      <c r="AZ13" s="1692">
        <v>74.64</v>
      </c>
      <c r="BA13" s="1615">
        <v>74.64</v>
      </c>
      <c r="BB13" s="1615">
        <v>74.64</v>
      </c>
      <c r="BC13" s="1321">
        <v>74.64</v>
      </c>
      <c r="BD13" s="110"/>
      <c r="BE13" s="110"/>
      <c r="DG13" s="2504">
        <f t="shared" si="7"/>
        <v>1.0592316657921415</v>
      </c>
      <c r="DH13" s="1580" t="str">
        <f t="shared" si="4"/>
        <v>Lighting BUS 10 Year EUL</v>
      </c>
      <c r="DI13" s="2507">
        <f>(INDEX('Avoided Cost Benefits'!$E$4:$E$859,MATCH(DH13,'Avoided Cost Benefits'!$A$4:$A$859,0)))*F13</f>
        <v>74.621096304601636</v>
      </c>
      <c r="DJ13" s="1581">
        <f t="shared" si="5"/>
        <v>70.448324681453514</v>
      </c>
    </row>
    <row r="14" spans="1:114" ht="29" x14ac:dyDescent="0.35">
      <c r="C14" s="1614" t="s">
        <v>2495</v>
      </c>
      <c r="D14" s="1087" t="s">
        <v>2485</v>
      </c>
      <c r="E14" s="3394" t="s">
        <v>2496</v>
      </c>
      <c r="F14" s="122">
        <f t="shared" si="2"/>
        <v>1128.77</v>
      </c>
      <c r="G14" s="1087" t="s">
        <v>54</v>
      </c>
      <c r="H14" s="1088">
        <f>VLOOKUP(G14,'CP FACTORS'!$A$26:$B$38,2,FALSE)</f>
        <v>1.899635E-4</v>
      </c>
      <c r="I14" s="3271">
        <f t="shared" si="6"/>
        <v>0.22128700000000001</v>
      </c>
      <c r="J14" s="51">
        <f t="shared" si="3"/>
        <v>15</v>
      </c>
      <c r="K14" s="1687">
        <v>191.39</v>
      </c>
      <c r="L14" s="1688" t="s">
        <v>184</v>
      </c>
      <c r="M14" s="1090"/>
      <c r="V14" s="88" t="s">
        <v>30</v>
      </c>
      <c r="W14" s="110">
        <v>576.45180000000005</v>
      </c>
      <c r="X14" s="1575">
        <v>369.51600000000002</v>
      </c>
      <c r="Y14" s="110">
        <v>369.51600000000002</v>
      </c>
      <c r="Z14" s="112">
        <v>369.51600000000002</v>
      </c>
      <c r="AA14" s="112">
        <v>369.51600000000002</v>
      </c>
      <c r="AB14" s="110">
        <v>1198.19</v>
      </c>
      <c r="AC14" s="3336">
        <v>675.33</v>
      </c>
      <c r="AD14" s="3334">
        <v>1128.8699999999999</v>
      </c>
      <c r="AE14" s="110"/>
      <c r="AF14" s="110"/>
      <c r="AG14" s="110"/>
      <c r="AI14" s="88" t="s">
        <v>180</v>
      </c>
      <c r="AJ14" s="51">
        <v>11</v>
      </c>
      <c r="AK14" s="51">
        <v>11</v>
      </c>
      <c r="AL14" s="51">
        <v>11</v>
      </c>
      <c r="AM14" s="51">
        <v>11</v>
      </c>
      <c r="AN14" s="51">
        <v>11</v>
      </c>
      <c r="AO14" s="1691">
        <v>11</v>
      </c>
      <c r="AP14" s="672">
        <v>15</v>
      </c>
      <c r="AQ14" s="1791">
        <v>15</v>
      </c>
      <c r="AR14" s="110"/>
      <c r="AS14" s="110"/>
      <c r="AU14" s="88" t="s">
        <v>169</v>
      </c>
      <c r="AV14" s="1692">
        <v>191.39</v>
      </c>
      <c r="AW14" s="1692">
        <v>191.39</v>
      </c>
      <c r="AX14" s="1692">
        <v>191.39</v>
      </c>
      <c r="AY14" s="1692">
        <v>191.39</v>
      </c>
      <c r="AZ14" s="1692">
        <v>191.39</v>
      </c>
      <c r="BA14" s="1615">
        <v>191.39</v>
      </c>
      <c r="BB14" s="1615">
        <v>191.39</v>
      </c>
      <c r="BC14" s="1321">
        <v>191.39</v>
      </c>
      <c r="BD14" s="110"/>
      <c r="BE14" s="110"/>
      <c r="DG14" s="2504">
        <f t="shared" si="7"/>
        <v>3.5543493474808261</v>
      </c>
      <c r="DH14" s="1580" t="str">
        <f t="shared" si="4"/>
        <v>Lighting BUS 15 Year EUL</v>
      </c>
      <c r="DI14" s="2507">
        <f>(INDEX('Avoided Cost Benefits'!$E$4:$E$859,MATCH(DH14,'Avoided Cost Benefits'!$A$4:$A$859,0)))*F14</f>
        <v>642.06410723393594</v>
      </c>
      <c r="DJ14" s="1581">
        <f t="shared" si="5"/>
        <v>180.64181217555446</v>
      </c>
    </row>
    <row r="15" spans="1:114" ht="29" x14ac:dyDescent="0.35">
      <c r="C15" s="1614" t="s">
        <v>2497</v>
      </c>
      <c r="D15" s="1087" t="s">
        <v>2485</v>
      </c>
      <c r="E15" s="3394" t="s">
        <v>2498</v>
      </c>
      <c r="F15" s="122">
        <f t="shared" si="2"/>
        <v>843.64</v>
      </c>
      <c r="G15" s="1087" t="s">
        <v>54</v>
      </c>
      <c r="H15" s="1088">
        <f>VLOOKUP(G15,'CP FACTORS'!$A$26:$B$38,2,FALSE)</f>
        <v>1.899635E-4</v>
      </c>
      <c r="I15" s="3271">
        <f t="shared" si="6"/>
        <v>0.16538900000000001</v>
      </c>
      <c r="J15" s="51">
        <f t="shared" si="3"/>
        <v>15</v>
      </c>
      <c r="K15" s="1687">
        <v>233.64</v>
      </c>
      <c r="L15" s="1688" t="s">
        <v>184</v>
      </c>
      <c r="M15" s="1090"/>
      <c r="V15" s="88" t="s">
        <v>30</v>
      </c>
      <c r="W15" s="110">
        <v>702.99</v>
      </c>
      <c r="X15" s="1575">
        <v>884.37428794386449</v>
      </c>
      <c r="Y15" s="110">
        <v>884.37428794386449</v>
      </c>
      <c r="Z15" s="112">
        <v>884.37428794386449</v>
      </c>
      <c r="AA15" s="112">
        <v>884.37428794386449</v>
      </c>
      <c r="AB15" s="110">
        <v>902.06</v>
      </c>
      <c r="AC15" s="3336">
        <v>837.22</v>
      </c>
      <c r="AD15" s="3334">
        <v>843.63</v>
      </c>
      <c r="AE15" s="110"/>
      <c r="AF15" s="110"/>
      <c r="AG15" s="110"/>
      <c r="AI15" s="88" t="s">
        <v>180</v>
      </c>
      <c r="AJ15" s="51">
        <v>10</v>
      </c>
      <c r="AK15" s="51">
        <v>10</v>
      </c>
      <c r="AL15" s="51">
        <v>10</v>
      </c>
      <c r="AM15" s="51">
        <v>10</v>
      </c>
      <c r="AN15" s="51">
        <v>10</v>
      </c>
      <c r="AO15" s="1691">
        <v>11</v>
      </c>
      <c r="AP15" s="672">
        <v>15</v>
      </c>
      <c r="AQ15" s="1791">
        <v>15</v>
      </c>
      <c r="AR15" s="110"/>
      <c r="AS15" s="110"/>
      <c r="AU15" s="88" t="s">
        <v>169</v>
      </c>
      <c r="AV15" s="1692">
        <v>233.64</v>
      </c>
      <c r="AW15" s="1692">
        <v>233.64</v>
      </c>
      <c r="AX15" s="1692">
        <v>233.64</v>
      </c>
      <c r="AY15" s="1692">
        <v>233.64</v>
      </c>
      <c r="AZ15" s="1692">
        <v>233.64</v>
      </c>
      <c r="BA15" s="1615">
        <v>233.64</v>
      </c>
      <c r="BB15" s="1615">
        <v>233.64</v>
      </c>
      <c r="BC15" s="1321">
        <v>233.64</v>
      </c>
      <c r="BD15" s="110"/>
      <c r="BE15" s="110"/>
      <c r="DG15" s="2504">
        <f t="shared" si="7"/>
        <v>2.1761251122760159</v>
      </c>
      <c r="DH15" s="1580" t="str">
        <f t="shared" si="4"/>
        <v>Lighting BUS 15 Year EUL</v>
      </c>
      <c r="DI15" s="2507">
        <f>(INDEX('Avoided Cost Benefits'!$E$4:$E$859,MATCH(DH15,'Avoided Cost Benefits'!$A$4:$A$859,0)))*F15</f>
        <v>479.87717907708191</v>
      </c>
      <c r="DJ15" s="1581">
        <f t="shared" si="5"/>
        <v>220.51911278905141</v>
      </c>
    </row>
    <row r="16" spans="1:114" ht="29" x14ac:dyDescent="0.35">
      <c r="C16" s="1614" t="s">
        <v>2499</v>
      </c>
      <c r="D16" s="1087" t="s">
        <v>2485</v>
      </c>
      <c r="E16" s="3394" t="s">
        <v>2500</v>
      </c>
      <c r="F16" s="122">
        <f t="shared" si="2"/>
        <v>1039.76</v>
      </c>
      <c r="G16" s="1087" t="s">
        <v>54</v>
      </c>
      <c r="H16" s="1088">
        <f>VLOOKUP(G16,'CP FACTORS'!$A$26:$B$38,2,FALSE)</f>
        <v>1.899635E-4</v>
      </c>
      <c r="I16" s="3271">
        <f t="shared" si="6"/>
        <v>0.20383699999999999</v>
      </c>
      <c r="J16" s="51">
        <f t="shared" si="3"/>
        <v>15</v>
      </c>
      <c r="K16" s="1687">
        <v>361.64</v>
      </c>
      <c r="L16" s="1688" t="s">
        <v>184</v>
      </c>
      <c r="M16" s="1090"/>
      <c r="V16" s="88" t="s">
        <v>30</v>
      </c>
      <c r="W16" s="110">
        <v>1209.1428000000001</v>
      </c>
      <c r="X16" s="1575">
        <v>1471.9795478952801</v>
      </c>
      <c r="Y16" s="110">
        <v>1471.9795478952801</v>
      </c>
      <c r="Z16" s="112">
        <v>1471.9795478952801</v>
      </c>
      <c r="AA16" s="112">
        <v>1471.9795478952801</v>
      </c>
      <c r="AB16" s="110">
        <v>1459.71</v>
      </c>
      <c r="AC16" s="3336">
        <v>1031.8599999999999</v>
      </c>
      <c r="AD16" s="3334">
        <v>1039.67</v>
      </c>
      <c r="AE16" s="110"/>
      <c r="AF16" s="110"/>
      <c r="AG16" s="110"/>
      <c r="AI16" s="88" t="s">
        <v>180</v>
      </c>
      <c r="AJ16" s="51">
        <v>11</v>
      </c>
      <c r="AK16" s="51">
        <v>11</v>
      </c>
      <c r="AL16" s="51">
        <v>11</v>
      </c>
      <c r="AM16" s="51">
        <v>11</v>
      </c>
      <c r="AN16" s="51">
        <v>11</v>
      </c>
      <c r="AO16" s="1691">
        <v>11</v>
      </c>
      <c r="AP16" s="672">
        <v>15</v>
      </c>
      <c r="AQ16" s="1791">
        <v>15</v>
      </c>
      <c r="AR16" s="110"/>
      <c r="AS16" s="110"/>
      <c r="AU16" s="88" t="s">
        <v>169</v>
      </c>
      <c r="AV16" s="1692">
        <v>361.64</v>
      </c>
      <c r="AW16" s="1692">
        <v>361.64</v>
      </c>
      <c r="AX16" s="1692">
        <v>361.64</v>
      </c>
      <c r="AY16" s="1692">
        <v>361.64</v>
      </c>
      <c r="AZ16" s="1692">
        <v>361.64</v>
      </c>
      <c r="BA16" s="1615">
        <v>361.64</v>
      </c>
      <c r="BB16" s="1615">
        <v>361.64</v>
      </c>
      <c r="BC16" s="1321">
        <v>361.64</v>
      </c>
      <c r="BD16" s="110"/>
      <c r="BE16" s="110"/>
      <c r="DG16" s="2504">
        <f t="shared" si="7"/>
        <v>1.7327285872134763</v>
      </c>
      <c r="DH16" s="1580" t="str">
        <f t="shared" si="4"/>
        <v>Lighting BUS 15 Year EUL</v>
      </c>
      <c r="DI16" s="2507">
        <f>(INDEX('Avoided Cost Benefits'!$E$4:$E$859,MATCH(DH16,'Avoided Cost Benefits'!$A$4:$A$859,0)))*F16</f>
        <v>591.43366331277161</v>
      </c>
      <c r="DJ16" s="1581">
        <f>K16/(1.0595^(2020-2019))</f>
        <v>341.33081642284094</v>
      </c>
    </row>
    <row r="17" spans="3:114" ht="29" x14ac:dyDescent="0.35">
      <c r="C17" s="1614" t="s">
        <v>2501</v>
      </c>
      <c r="D17" s="1087" t="s">
        <v>2485</v>
      </c>
      <c r="E17" s="3394" t="s">
        <v>2502</v>
      </c>
      <c r="F17" s="122">
        <f t="shared" si="2"/>
        <v>442.06</v>
      </c>
      <c r="G17" s="1087" t="s">
        <v>2503</v>
      </c>
      <c r="H17" s="1088">
        <f>VLOOKUP(G17,'CP FACTORS'!$A$26:$B$38,2,FALSE)</f>
        <v>5.6160000000000001E-6</v>
      </c>
      <c r="I17" s="3271">
        <f t="shared" si="6"/>
        <v>2.483E-3</v>
      </c>
      <c r="J17" s="51">
        <f t="shared" si="3"/>
        <v>15</v>
      </c>
      <c r="K17" s="1687">
        <v>191.39</v>
      </c>
      <c r="L17" s="1688" t="s">
        <v>184</v>
      </c>
      <c r="M17" s="1090"/>
      <c r="V17" s="88" t="s">
        <v>30</v>
      </c>
      <c r="W17" s="110">
        <v>439.45</v>
      </c>
      <c r="X17" s="1575">
        <v>455.12400000000002</v>
      </c>
      <c r="Y17" s="1575">
        <v>446.2</v>
      </c>
      <c r="Z17" s="112">
        <v>446.2</v>
      </c>
      <c r="AA17" s="112">
        <v>446.2</v>
      </c>
      <c r="AB17" s="110">
        <v>446.2</v>
      </c>
      <c r="AC17" s="3336">
        <v>432.55</v>
      </c>
      <c r="AD17" s="3334">
        <v>442.06</v>
      </c>
      <c r="AE17" s="110"/>
      <c r="AF17" s="110"/>
      <c r="AG17" s="110"/>
      <c r="AI17" s="88" t="s">
        <v>180</v>
      </c>
      <c r="AJ17" s="51">
        <v>11</v>
      </c>
      <c r="AK17" s="51">
        <v>11</v>
      </c>
      <c r="AL17" s="51">
        <v>11</v>
      </c>
      <c r="AM17" s="51">
        <v>11</v>
      </c>
      <c r="AN17" s="51">
        <v>11</v>
      </c>
      <c r="AO17" s="1691">
        <v>12</v>
      </c>
      <c r="AP17" s="672">
        <v>15</v>
      </c>
      <c r="AQ17" s="1791">
        <v>15</v>
      </c>
      <c r="AR17" s="110"/>
      <c r="AS17" s="110"/>
      <c r="AU17" s="88" t="s">
        <v>169</v>
      </c>
      <c r="AV17" s="1692">
        <v>191.39</v>
      </c>
      <c r="AW17" s="1692">
        <v>191.39</v>
      </c>
      <c r="AX17" s="1692">
        <v>191.39</v>
      </c>
      <c r="AY17" s="1692">
        <v>191.39</v>
      </c>
      <c r="AZ17" s="1692">
        <v>191.39</v>
      </c>
      <c r="BA17" s="1615">
        <v>191.39</v>
      </c>
      <c r="BB17" s="1615">
        <v>191.39</v>
      </c>
      <c r="BC17" s="1321">
        <v>191.39</v>
      </c>
      <c r="BD17" s="110"/>
      <c r="BE17" s="110"/>
      <c r="DG17" s="2504">
        <f t="shared" si="7"/>
        <v>0.78599836866516226</v>
      </c>
      <c r="DH17" s="1580" t="str">
        <f t="shared" si="4"/>
        <v>Ext Lighting BUS 15 Year EUL</v>
      </c>
      <c r="DI17" s="2507">
        <f>(INDEX('Avoided Cost Benefits'!$E$4:$E$859,MATCH(DH17,'Avoided Cost Benefits'!$A$4:$A$859,0)))*F17</f>
        <v>141.98416968270445</v>
      </c>
      <c r="DJ17" s="1581">
        <f t="shared" si="5"/>
        <v>180.64181217555446</v>
      </c>
    </row>
    <row r="18" spans="3:114" ht="29" x14ac:dyDescent="0.35">
      <c r="C18" s="1614" t="s">
        <v>2504</v>
      </c>
      <c r="D18" s="1087" t="s">
        <v>2485</v>
      </c>
      <c r="E18" s="3394" t="s">
        <v>2505</v>
      </c>
      <c r="F18" s="122">
        <f t="shared" si="2"/>
        <v>841.83</v>
      </c>
      <c r="G18" s="1087" t="s">
        <v>2503</v>
      </c>
      <c r="H18" s="1088">
        <f>VLOOKUP(G18,'CP FACTORS'!$A$26:$B$38,2,FALSE)</f>
        <v>5.6160000000000001E-6</v>
      </c>
      <c r="I18" s="3271">
        <f t="shared" si="6"/>
        <v>4.7280000000000004E-3</v>
      </c>
      <c r="J18" s="51">
        <f t="shared" si="3"/>
        <v>15</v>
      </c>
      <c r="K18" s="1687">
        <v>233.64</v>
      </c>
      <c r="L18" s="1688" t="s">
        <v>184</v>
      </c>
      <c r="M18" s="1090"/>
      <c r="V18" s="88" t="s">
        <v>30</v>
      </c>
      <c r="W18" s="110">
        <v>1047.5333333333335</v>
      </c>
      <c r="X18" s="1575">
        <v>763.45076985983769</v>
      </c>
      <c r="Y18" s="1575">
        <v>713.50539239237162</v>
      </c>
      <c r="Z18" s="112">
        <v>713.50539239237162</v>
      </c>
      <c r="AA18" s="112">
        <v>713.50539239237162</v>
      </c>
      <c r="AB18" s="110">
        <v>713.51</v>
      </c>
      <c r="AC18" s="3336">
        <v>823.73</v>
      </c>
      <c r="AD18" s="3334">
        <v>841.83</v>
      </c>
      <c r="AE18" s="110"/>
      <c r="AF18" s="110"/>
      <c r="AG18" s="110"/>
      <c r="AI18" s="88" t="s">
        <v>180</v>
      </c>
      <c r="AJ18" s="51">
        <v>12</v>
      </c>
      <c r="AK18" s="51">
        <v>12</v>
      </c>
      <c r="AL18" s="51">
        <v>12</v>
      </c>
      <c r="AM18" s="51">
        <v>12</v>
      </c>
      <c r="AN18" s="51">
        <v>12</v>
      </c>
      <c r="AO18" s="1691">
        <v>12</v>
      </c>
      <c r="AP18" s="672">
        <v>15</v>
      </c>
      <c r="AQ18" s="1791">
        <v>15</v>
      </c>
      <c r="AR18" s="110"/>
      <c r="AS18" s="110"/>
      <c r="AU18" s="88" t="s">
        <v>169</v>
      </c>
      <c r="AV18" s="1692">
        <v>233.64</v>
      </c>
      <c r="AW18" s="1692">
        <v>233.64</v>
      </c>
      <c r="AX18" s="1692">
        <v>233.64</v>
      </c>
      <c r="AY18" s="1692">
        <v>233.64</v>
      </c>
      <c r="AZ18" s="1692">
        <v>233.64</v>
      </c>
      <c r="BA18" s="1615">
        <v>233.64</v>
      </c>
      <c r="BB18" s="1615">
        <v>233.64</v>
      </c>
      <c r="BC18" s="1321">
        <v>233.64</v>
      </c>
      <c r="BD18" s="110"/>
      <c r="BE18" s="110"/>
      <c r="DG18" s="2504">
        <f t="shared" si="7"/>
        <v>1.2261309885068892</v>
      </c>
      <c r="DH18" s="1580" t="str">
        <f t="shared" si="4"/>
        <v>Ext Lighting BUS 15 Year EUL</v>
      </c>
      <c r="DI18" s="2507">
        <f>(INDEX('Avoided Cost Benefits'!$E$4:$E$859,MATCH(DH18,'Avoided Cost Benefits'!$A$4:$A$859,0)))*F18</f>
        <v>270.38531774870177</v>
      </c>
      <c r="DJ18" s="1581">
        <f t="shared" si="5"/>
        <v>220.51911278905141</v>
      </c>
    </row>
    <row r="19" spans="3:114" ht="29" x14ac:dyDescent="0.35">
      <c r="C19" s="1614" t="s">
        <v>2506</v>
      </c>
      <c r="D19" s="1087" t="s">
        <v>2485</v>
      </c>
      <c r="E19" s="3394" t="s">
        <v>2507</v>
      </c>
      <c r="F19" s="122">
        <f t="shared" si="2"/>
        <v>1540.46</v>
      </c>
      <c r="G19" s="1087" t="s">
        <v>2503</v>
      </c>
      <c r="H19" s="1088">
        <f>VLOOKUP(G19,'CP FACTORS'!$A$26:$B$38,2,FALSE)</f>
        <v>5.6160000000000001E-6</v>
      </c>
      <c r="I19" s="3271">
        <f t="shared" si="6"/>
        <v>8.6510000000000007E-3</v>
      </c>
      <c r="J19" s="51">
        <f t="shared" si="3"/>
        <v>15</v>
      </c>
      <c r="K19" s="1687">
        <v>361.64</v>
      </c>
      <c r="L19" s="1688" t="s">
        <v>184</v>
      </c>
      <c r="M19" s="1090"/>
      <c r="V19" s="88" t="s">
        <v>30</v>
      </c>
      <c r="W19" s="110">
        <v>956.14999999999975</v>
      </c>
      <c r="X19" s="1575">
        <v>1074.2028039281829</v>
      </c>
      <c r="Y19" s="1575">
        <v>1003.9278541384887</v>
      </c>
      <c r="Z19" s="112">
        <v>1003.9278541384887</v>
      </c>
      <c r="AA19" s="112">
        <v>1003.9278541384887</v>
      </c>
      <c r="AB19" s="110">
        <v>1003.93</v>
      </c>
      <c r="AC19" s="3336">
        <v>1507.33</v>
      </c>
      <c r="AD19" s="3334">
        <v>1540.46</v>
      </c>
      <c r="AE19" s="110"/>
      <c r="AF19" s="110"/>
      <c r="AG19" s="110"/>
      <c r="AI19" s="88" t="s">
        <v>180</v>
      </c>
      <c r="AJ19" s="51">
        <v>12</v>
      </c>
      <c r="AK19" s="51">
        <v>12</v>
      </c>
      <c r="AL19" s="51">
        <v>12</v>
      </c>
      <c r="AM19" s="51">
        <v>12</v>
      </c>
      <c r="AN19" s="51">
        <v>12</v>
      </c>
      <c r="AO19" s="1691">
        <v>12</v>
      </c>
      <c r="AP19" s="672">
        <v>15</v>
      </c>
      <c r="AQ19" s="1791">
        <v>15</v>
      </c>
      <c r="AR19" s="110"/>
      <c r="AS19" s="110"/>
      <c r="AU19" s="88" t="s">
        <v>169</v>
      </c>
      <c r="AV19" s="1692">
        <v>361.64</v>
      </c>
      <c r="AW19" s="1692">
        <v>361.64</v>
      </c>
      <c r="AX19" s="1692">
        <v>361.64</v>
      </c>
      <c r="AY19" s="1692">
        <v>361.64</v>
      </c>
      <c r="AZ19" s="1692">
        <v>361.64</v>
      </c>
      <c r="BA19" s="1615">
        <v>361.64</v>
      </c>
      <c r="BB19" s="1615">
        <v>361.64</v>
      </c>
      <c r="BC19" s="1321">
        <v>361.64</v>
      </c>
      <c r="BD19" s="110"/>
      <c r="BE19" s="110"/>
      <c r="DG19" s="2504">
        <f t="shared" si="7"/>
        <v>1.449551444232132</v>
      </c>
      <c r="DH19" s="1580" t="str">
        <f t="shared" si="4"/>
        <v>Ext Lighting BUS 15 Year EUL</v>
      </c>
      <c r="DI19" s="2507">
        <f>(INDEX('Avoided Cost Benefits'!$E$4:$E$859,MATCH(DH19,'Avoided Cost Benefits'!$A$4:$A$859,0)))*F19</f>
        <v>494.77657790666177</v>
      </c>
      <c r="DJ19" s="1581">
        <f t="shared" si="5"/>
        <v>341.33081642284094</v>
      </c>
    </row>
    <row r="20" spans="3:114" ht="29" x14ac:dyDescent="0.35">
      <c r="C20" s="1614" t="s">
        <v>2508</v>
      </c>
      <c r="D20" s="1087" t="s">
        <v>2485</v>
      </c>
      <c r="E20" s="3394" t="s">
        <v>2509</v>
      </c>
      <c r="F20" s="122">
        <f t="shared" si="2"/>
        <v>694.21</v>
      </c>
      <c r="G20" s="1087" t="s">
        <v>2510</v>
      </c>
      <c r="H20" s="1088">
        <f>VLOOKUP(G20,'CP FACTORS'!$A$26:$B$38,2,FALSE)</f>
        <v>1.379439E-4</v>
      </c>
      <c r="I20" s="3271">
        <f t="shared" si="6"/>
        <v>9.5762E-2</v>
      </c>
      <c r="J20" s="51">
        <f t="shared" si="3"/>
        <v>15</v>
      </c>
      <c r="K20" s="1687">
        <v>191.39</v>
      </c>
      <c r="L20" s="1688" t="s">
        <v>184</v>
      </c>
      <c r="M20" s="1090"/>
      <c r="V20" s="88" t="s">
        <v>30</v>
      </c>
      <c r="W20" s="110">
        <v>1077.48</v>
      </c>
      <c r="X20" s="1575">
        <v>700.72</v>
      </c>
      <c r="Y20" s="110">
        <v>700.72</v>
      </c>
      <c r="Z20" s="112">
        <v>700.72</v>
      </c>
      <c r="AA20" s="112">
        <v>700.72</v>
      </c>
      <c r="AB20" s="110">
        <v>700.72</v>
      </c>
      <c r="AC20" s="3336">
        <v>679.28</v>
      </c>
      <c r="AD20" s="3334">
        <v>694.21</v>
      </c>
      <c r="AE20" s="110"/>
      <c r="AF20" s="110"/>
      <c r="AG20" s="110"/>
      <c r="AI20" s="88" t="s">
        <v>180</v>
      </c>
      <c r="AJ20" s="51">
        <v>6</v>
      </c>
      <c r="AK20" s="51">
        <v>6</v>
      </c>
      <c r="AL20" s="51">
        <v>6</v>
      </c>
      <c r="AM20" s="51">
        <v>6</v>
      </c>
      <c r="AN20" s="51">
        <v>6</v>
      </c>
      <c r="AO20" s="1691">
        <v>6</v>
      </c>
      <c r="AP20" s="672">
        <v>15</v>
      </c>
      <c r="AQ20" s="1791">
        <v>15</v>
      </c>
      <c r="AR20" s="110"/>
      <c r="AS20" s="110"/>
      <c r="AU20" s="88" t="s">
        <v>169</v>
      </c>
      <c r="AV20" s="1692">
        <v>191.39</v>
      </c>
      <c r="AW20" s="1692">
        <v>191.39</v>
      </c>
      <c r="AX20" s="1692">
        <v>191.39</v>
      </c>
      <c r="AY20" s="1692">
        <v>191.39</v>
      </c>
      <c r="AZ20" s="1692">
        <v>191.39</v>
      </c>
      <c r="BA20" s="1615">
        <v>191.39</v>
      </c>
      <c r="BB20" s="1615">
        <v>191.39</v>
      </c>
      <c r="BC20" s="1321">
        <v>191.39</v>
      </c>
      <c r="BD20" s="110"/>
      <c r="BE20" s="110"/>
      <c r="DG20" s="2504">
        <f t="shared" si="7"/>
        <v>2.0204183727356391</v>
      </c>
      <c r="DH20" s="1580" t="str">
        <f t="shared" si="4"/>
        <v>Miscellaneous BUS 15 Year EUL</v>
      </c>
      <c r="DI20" s="2507">
        <f>(INDEX('Avoided Cost Benefits'!$E$4:$E$859,MATCH(DH20,'Avoided Cost Benefits'!$A$4:$A$859,0)))*F20</f>
        <v>364.97203620375069</v>
      </c>
      <c r="DJ20" s="1581">
        <f t="shared" si="5"/>
        <v>180.64181217555446</v>
      </c>
    </row>
    <row r="21" spans="3:114" ht="29" x14ac:dyDescent="0.35">
      <c r="C21" s="1614" t="s">
        <v>2511</v>
      </c>
      <c r="D21" s="1087" t="s">
        <v>2485</v>
      </c>
      <c r="E21" s="3394" t="s">
        <v>2512</v>
      </c>
      <c r="F21" s="122">
        <f t="shared" si="2"/>
        <v>1468.46</v>
      </c>
      <c r="G21" s="1087" t="s">
        <v>2510</v>
      </c>
      <c r="H21" s="1088">
        <f>VLOOKUP(G21,'CP FACTORS'!$A$26:$B$38,2,FALSE)</f>
        <v>1.379439E-4</v>
      </c>
      <c r="I21" s="3271">
        <f t="shared" si="6"/>
        <v>0.202565</v>
      </c>
      <c r="J21" s="51">
        <f t="shared" si="3"/>
        <v>15</v>
      </c>
      <c r="K21" s="1687">
        <v>233.64</v>
      </c>
      <c r="L21" s="1688" t="s">
        <v>184</v>
      </c>
      <c r="M21" s="1090"/>
      <c r="V21" s="88" t="s">
        <v>30</v>
      </c>
      <c r="W21" s="110">
        <v>1314</v>
      </c>
      <c r="X21" s="1575">
        <v>1556.3830153584765</v>
      </c>
      <c r="Y21" s="1575">
        <v>1482.2695384366443</v>
      </c>
      <c r="Z21" s="112">
        <v>1482.2695384366443</v>
      </c>
      <c r="AA21" s="112">
        <v>1482.2695384366443</v>
      </c>
      <c r="AB21" s="110">
        <v>1482.27</v>
      </c>
      <c r="AC21" s="3336">
        <v>1436.92</v>
      </c>
      <c r="AD21" s="3334">
        <v>1468.46</v>
      </c>
      <c r="AE21" s="110"/>
      <c r="AF21" s="110"/>
      <c r="AG21" s="110"/>
      <c r="AI21" s="88" t="s">
        <v>180</v>
      </c>
      <c r="AJ21" s="51">
        <v>6</v>
      </c>
      <c r="AK21" s="51">
        <v>6</v>
      </c>
      <c r="AL21" s="51">
        <v>6</v>
      </c>
      <c r="AM21" s="51">
        <v>6</v>
      </c>
      <c r="AN21" s="51">
        <v>6</v>
      </c>
      <c r="AO21" s="1691">
        <v>6</v>
      </c>
      <c r="AP21" s="672">
        <v>15</v>
      </c>
      <c r="AQ21" s="1791">
        <v>15</v>
      </c>
      <c r="AR21" s="110"/>
      <c r="AS21" s="110"/>
      <c r="AU21" s="88" t="s">
        <v>169</v>
      </c>
      <c r="AV21" s="1692">
        <v>233.64</v>
      </c>
      <c r="AW21" s="1692">
        <v>233.64</v>
      </c>
      <c r="AX21" s="1692">
        <v>233.64</v>
      </c>
      <c r="AY21" s="1692">
        <v>233.64</v>
      </c>
      <c r="AZ21" s="1692">
        <v>233.64</v>
      </c>
      <c r="BA21" s="1615">
        <v>233.64</v>
      </c>
      <c r="BB21" s="1615">
        <v>233.64</v>
      </c>
      <c r="BC21" s="1321">
        <v>233.64</v>
      </c>
      <c r="BD21" s="110"/>
      <c r="BE21" s="110"/>
      <c r="DG21" s="2504">
        <f t="shared" si="7"/>
        <v>3.5009395322408978</v>
      </c>
      <c r="DH21" s="1580" t="str">
        <f t="shared" si="4"/>
        <v>Miscellaneous BUS 15 Year EUL</v>
      </c>
      <c r="DI21" s="2507">
        <f>(INDEX('Avoided Cost Benefits'!$E$4:$E$859,MATCH(DH21,'Avoided Cost Benefits'!$A$4:$A$859,0)))*F21</f>
        <v>772.02407957787943</v>
      </c>
      <c r="DJ21" s="1581">
        <f t="shared" si="5"/>
        <v>220.51911278905141</v>
      </c>
    </row>
    <row r="22" spans="3:114" ht="29" x14ac:dyDescent="0.35">
      <c r="C22" s="1614" t="s">
        <v>2513</v>
      </c>
      <c r="D22" s="1087" t="s">
        <v>2485</v>
      </c>
      <c r="E22" s="3394" t="s">
        <v>2514</v>
      </c>
      <c r="F22" s="122">
        <f t="shared" si="2"/>
        <v>2632.74</v>
      </c>
      <c r="G22" s="1087" t="s">
        <v>2510</v>
      </c>
      <c r="H22" s="1088">
        <f>VLOOKUP(G22,'CP FACTORS'!$A$26:$B$38,2,FALSE)</f>
        <v>1.379439E-4</v>
      </c>
      <c r="I22" s="3271">
        <f t="shared" si="6"/>
        <v>0.36316999999999999</v>
      </c>
      <c r="J22" s="51">
        <f t="shared" si="3"/>
        <v>15</v>
      </c>
      <c r="K22" s="1687">
        <v>361.64</v>
      </c>
      <c r="L22" s="1688" t="s">
        <v>184</v>
      </c>
      <c r="M22" s="1090"/>
      <c r="V22" s="88" t="s">
        <v>30</v>
      </c>
      <c r="W22" s="110">
        <v>2452.8000000000002</v>
      </c>
      <c r="X22" s="1575">
        <v>2870.1497349058618</v>
      </c>
      <c r="Y22" s="1575">
        <v>2657.5460508387609</v>
      </c>
      <c r="Z22" s="112">
        <v>2657.5460508387609</v>
      </c>
      <c r="AA22" s="112">
        <v>2657.5460508387609</v>
      </c>
      <c r="AB22" s="110">
        <v>2657.55</v>
      </c>
      <c r="AC22" s="3336">
        <v>2576.25</v>
      </c>
      <c r="AD22" s="3334">
        <v>2632.74</v>
      </c>
      <c r="AE22" s="110"/>
      <c r="AF22" s="110"/>
      <c r="AG22" s="110"/>
      <c r="AI22" s="88" t="s">
        <v>180</v>
      </c>
      <c r="AJ22" s="51">
        <v>6</v>
      </c>
      <c r="AK22" s="51">
        <v>6</v>
      </c>
      <c r="AL22" s="51">
        <v>6</v>
      </c>
      <c r="AM22" s="51">
        <v>6</v>
      </c>
      <c r="AN22" s="51">
        <v>6</v>
      </c>
      <c r="AO22" s="1691">
        <v>6</v>
      </c>
      <c r="AP22" s="672">
        <v>15</v>
      </c>
      <c r="AQ22" s="1791">
        <v>15</v>
      </c>
      <c r="AR22" s="110"/>
      <c r="AS22" s="110"/>
      <c r="AU22" s="88" t="s">
        <v>169</v>
      </c>
      <c r="AV22" s="1692">
        <v>361.64</v>
      </c>
      <c r="AW22" s="1692">
        <v>361.64</v>
      </c>
      <c r="AX22" s="1692">
        <v>361.64</v>
      </c>
      <c r="AY22" s="1692">
        <v>361.64</v>
      </c>
      <c r="AZ22" s="1692">
        <v>361.64</v>
      </c>
      <c r="BA22" s="1615">
        <v>361.64</v>
      </c>
      <c r="BB22" s="1615">
        <v>361.64</v>
      </c>
      <c r="BC22" s="1321">
        <v>361.64</v>
      </c>
      <c r="BD22" s="110"/>
      <c r="BE22" s="110"/>
      <c r="DG22" s="2504">
        <f t="shared" si="7"/>
        <v>4.0550965358822815</v>
      </c>
      <c r="DH22" s="1580" t="str">
        <f t="shared" si="4"/>
        <v>Miscellaneous BUS 15 Year EUL</v>
      </c>
      <c r="DI22" s="2507">
        <f>(INDEX('Avoided Cost Benefits'!$E$4:$E$859,MATCH(DH22,'Avoided Cost Benefits'!$A$4:$A$859,0)))*F22</f>
        <v>1384.1294112661333</v>
      </c>
      <c r="DJ22" s="2124">
        <f t="shared" si="5"/>
        <v>341.33081642284094</v>
      </c>
    </row>
    <row r="23" spans="3:114" ht="29" x14ac:dyDescent="0.35">
      <c r="C23" s="1614" t="s">
        <v>2515</v>
      </c>
      <c r="D23" s="1087" t="s">
        <v>2485</v>
      </c>
      <c r="E23" s="3394" t="s">
        <v>2516</v>
      </c>
      <c r="F23" s="122">
        <f t="shared" si="2"/>
        <v>309.17</v>
      </c>
      <c r="G23" s="1087" t="s">
        <v>54</v>
      </c>
      <c r="H23" s="1088">
        <f>VLOOKUP(G23,'CP FACTORS'!$A$26:$B$38,2,FALSE)</f>
        <v>1.899635E-4</v>
      </c>
      <c r="I23" s="3271">
        <f t="shared" si="6"/>
        <v>6.0609999999999997E-2</v>
      </c>
      <c r="J23" s="51">
        <f t="shared" si="3"/>
        <v>7</v>
      </c>
      <c r="K23" s="1687">
        <v>45.25</v>
      </c>
      <c r="L23" s="1688" t="s">
        <v>184</v>
      </c>
      <c r="M23" s="1090"/>
      <c r="V23" s="88" t="s">
        <v>30</v>
      </c>
      <c r="W23" s="110">
        <v>253.07640000000004</v>
      </c>
      <c r="X23" s="112">
        <v>253.07640000000004</v>
      </c>
      <c r="Y23" s="110">
        <v>253.07640000000004</v>
      </c>
      <c r="Z23" s="112">
        <v>253.07640000000004</v>
      </c>
      <c r="AA23" s="112">
        <v>253.07640000000004</v>
      </c>
      <c r="AB23" s="110">
        <v>248.43</v>
      </c>
      <c r="AC23" s="3336">
        <v>231.65</v>
      </c>
      <c r="AD23" s="3334">
        <v>309.14</v>
      </c>
      <c r="AE23" s="110"/>
      <c r="AF23" s="110"/>
      <c r="AG23" s="110"/>
      <c r="AI23" s="88" t="s">
        <v>180</v>
      </c>
      <c r="AJ23" s="51">
        <v>16</v>
      </c>
      <c r="AK23" s="51">
        <v>16</v>
      </c>
      <c r="AL23" s="51">
        <v>16</v>
      </c>
      <c r="AM23" s="51">
        <v>16</v>
      </c>
      <c r="AN23" s="51">
        <v>16</v>
      </c>
      <c r="AO23" s="1691">
        <v>16</v>
      </c>
      <c r="AP23" s="672">
        <v>7</v>
      </c>
      <c r="AQ23" s="1791">
        <v>7</v>
      </c>
      <c r="AR23" s="110"/>
      <c r="AS23" s="110"/>
      <c r="AU23" s="88" t="s">
        <v>169</v>
      </c>
      <c r="AV23" s="1692">
        <v>45.25</v>
      </c>
      <c r="AW23" s="1692">
        <v>45.25</v>
      </c>
      <c r="AX23" s="1692">
        <v>45.25</v>
      </c>
      <c r="AY23" s="1692">
        <v>45.25</v>
      </c>
      <c r="AZ23" s="1692">
        <v>45.25</v>
      </c>
      <c r="BA23" s="1615">
        <v>45.25</v>
      </c>
      <c r="BB23" s="1615">
        <v>45.25</v>
      </c>
      <c r="BC23" s="1321">
        <v>45.25</v>
      </c>
      <c r="BD23" s="110"/>
      <c r="BE23" s="110"/>
      <c r="DG23" s="2504">
        <f t="shared" si="7"/>
        <v>2.0265970143247563</v>
      </c>
      <c r="DH23" s="1580" t="str">
        <f t="shared" si="4"/>
        <v>Lighting BUS 7 Year EUL</v>
      </c>
      <c r="DI23" s="2507">
        <f>(INDEX('Avoided Cost Benefits'!$E$4:$E$859,MATCH(DH23,'Avoided Cost Benefits'!$A$4:$A$859,0)))*F23</f>
        <v>86.553577062949699</v>
      </c>
      <c r="DJ23" s="2124">
        <f t="shared" si="5"/>
        <v>42.708824917413871</v>
      </c>
    </row>
    <row r="24" spans="3:114" x14ac:dyDescent="0.35">
      <c r="C24" s="1614" t="s">
        <v>2517</v>
      </c>
      <c r="D24" s="1087" t="s">
        <v>2485</v>
      </c>
      <c r="E24" s="3394" t="s">
        <v>2518</v>
      </c>
      <c r="F24" s="122">
        <f t="shared" si="2"/>
        <v>301.77999999999997</v>
      </c>
      <c r="G24" s="1087" t="s">
        <v>54</v>
      </c>
      <c r="H24" s="1088">
        <f>VLOOKUP(G24,'CP FACTORS'!$A$26:$B$38,2,FALSE)</f>
        <v>1.899635E-4</v>
      </c>
      <c r="I24" s="3271">
        <f t="shared" si="6"/>
        <v>5.9161999999999999E-2</v>
      </c>
      <c r="J24" s="51">
        <f t="shared" si="3"/>
        <v>10</v>
      </c>
      <c r="K24" s="1687">
        <v>29.64</v>
      </c>
      <c r="L24" s="1688" t="s">
        <v>184</v>
      </c>
      <c r="M24" s="1090"/>
      <c r="V24" s="88" t="s">
        <v>30</v>
      </c>
      <c r="W24" s="110">
        <v>222.56</v>
      </c>
      <c r="X24" s="112">
        <v>222.56</v>
      </c>
      <c r="Y24" s="110">
        <v>222.56</v>
      </c>
      <c r="Z24" s="112">
        <v>222.56</v>
      </c>
      <c r="AA24" s="112">
        <v>222.56</v>
      </c>
      <c r="AB24" s="110">
        <v>156.94</v>
      </c>
      <c r="AC24" s="3336">
        <v>350.49</v>
      </c>
      <c r="AD24" s="3334">
        <v>301.75</v>
      </c>
      <c r="AE24" s="110"/>
      <c r="AF24" s="110"/>
      <c r="AG24" s="110"/>
      <c r="AI24" s="88" t="s">
        <v>180</v>
      </c>
      <c r="AJ24" s="51">
        <v>8</v>
      </c>
      <c r="AK24" s="51">
        <v>8</v>
      </c>
      <c r="AL24" s="51">
        <v>8</v>
      </c>
      <c r="AM24" s="51">
        <v>8</v>
      </c>
      <c r="AN24" s="51">
        <v>8</v>
      </c>
      <c r="AO24" s="1691">
        <v>10</v>
      </c>
      <c r="AP24" s="672">
        <v>10</v>
      </c>
      <c r="AQ24" s="1791">
        <v>10</v>
      </c>
      <c r="AR24" s="110"/>
      <c r="AS24" s="110"/>
      <c r="AU24" s="88" t="s">
        <v>169</v>
      </c>
      <c r="AV24" s="1692">
        <v>29.64</v>
      </c>
      <c r="AW24" s="1692">
        <v>29.64</v>
      </c>
      <c r="AX24" s="1692">
        <v>29.64</v>
      </c>
      <c r="AY24" s="1692">
        <v>29.64</v>
      </c>
      <c r="AZ24" s="1692">
        <v>29.64</v>
      </c>
      <c r="BA24" s="1615">
        <v>29.64</v>
      </c>
      <c r="BB24" s="1615">
        <v>29.64</v>
      </c>
      <c r="BC24" s="1321">
        <v>29.64</v>
      </c>
      <c r="BD24" s="110"/>
      <c r="BE24" s="110"/>
      <c r="DG24" s="2504">
        <f t="shared" si="7"/>
        <v>4.2862673221989107</v>
      </c>
      <c r="DH24" s="1580" t="str">
        <f t="shared" si="4"/>
        <v>Lighting BUS 10 Year EUL</v>
      </c>
      <c r="DI24" s="2507">
        <f>(INDEX('Avoided Cost Benefits'!$E$4:$E$859,MATCH(DH24,'Avoided Cost Benefits'!$A$4:$A$859,0)))*F24</f>
        <v>119.9103005474051</v>
      </c>
      <c r="DJ24" s="2124">
        <f t="shared" si="5"/>
        <v>27.975460122699385</v>
      </c>
    </row>
    <row r="25" spans="3:114" x14ac:dyDescent="0.35">
      <c r="C25" s="1614" t="s">
        <v>2519</v>
      </c>
      <c r="D25" s="1087" t="s">
        <v>2485</v>
      </c>
      <c r="E25" s="3394" t="s">
        <v>4356</v>
      </c>
      <c r="F25" s="122">
        <f t="shared" si="2"/>
        <v>545.30999999999995</v>
      </c>
      <c r="G25" s="1087" t="s">
        <v>54</v>
      </c>
      <c r="H25" s="1088">
        <f>VLOOKUP(G25,'CP FACTORS'!$A$26:$B$38,2,FALSE)</f>
        <v>1.899635E-4</v>
      </c>
      <c r="I25" s="3271">
        <f t="shared" si="6"/>
        <v>0.106904</v>
      </c>
      <c r="J25" s="51">
        <f t="shared" si="3"/>
        <v>15</v>
      </c>
      <c r="K25" s="1687">
        <v>29.64</v>
      </c>
      <c r="L25" s="1688" t="s">
        <v>184</v>
      </c>
      <c r="M25" s="1090"/>
      <c r="V25" s="88" t="s">
        <v>30</v>
      </c>
      <c r="W25" s="2446"/>
      <c r="X25" s="2447"/>
      <c r="Y25" s="2446"/>
      <c r="Z25" s="2447"/>
      <c r="AA25" s="2447"/>
      <c r="AB25" s="110">
        <v>365.22</v>
      </c>
      <c r="AC25" s="3336">
        <v>476.96</v>
      </c>
      <c r="AD25" s="3334">
        <v>545.25</v>
      </c>
      <c r="AE25" s="110"/>
      <c r="AF25" s="110"/>
      <c r="AG25" s="110"/>
      <c r="AI25" s="293" t="s">
        <v>180</v>
      </c>
      <c r="AJ25" s="2448"/>
      <c r="AK25" s="2448"/>
      <c r="AL25" s="2448"/>
      <c r="AM25" s="2448"/>
      <c r="AN25" s="2448"/>
      <c r="AO25" s="1691">
        <v>15</v>
      </c>
      <c r="AP25" s="672">
        <v>15</v>
      </c>
      <c r="AQ25" s="1791">
        <v>15</v>
      </c>
      <c r="AR25" s="110"/>
      <c r="AS25" s="110"/>
      <c r="AU25" s="293" t="s">
        <v>169</v>
      </c>
      <c r="AV25" s="2450"/>
      <c r="AW25" s="2450"/>
      <c r="AX25" s="2450"/>
      <c r="AY25" s="2450"/>
      <c r="AZ25" s="2450"/>
      <c r="BA25" s="1615">
        <v>29.64</v>
      </c>
      <c r="BB25" s="1615">
        <v>29.64</v>
      </c>
      <c r="BC25" s="1321">
        <v>29.64</v>
      </c>
      <c r="BD25" s="110"/>
      <c r="BE25" s="110"/>
      <c r="DG25" s="2504">
        <f t="shared" si="7"/>
        <v>11.087641054691193</v>
      </c>
      <c r="DH25" s="1580" t="str">
        <f t="shared" si="4"/>
        <v>Lighting BUS 15 Year EUL</v>
      </c>
      <c r="DI25" s="2507">
        <f>(INDEX('Avoided Cost Benefits'!$E$4:$E$859,MATCH(DH25,'Avoided Cost Benefits'!$A$4:$A$859,0)))*F25</f>
        <v>310.18186018031804</v>
      </c>
      <c r="DJ25" s="2124">
        <f t="shared" ref="DJ25:DJ33" si="8">K25/(1.0595^(2020-2019))</f>
        <v>27.975460122699385</v>
      </c>
    </row>
    <row r="26" spans="3:114" x14ac:dyDescent="0.35">
      <c r="C26" s="1614" t="s">
        <v>4217</v>
      </c>
      <c r="D26" s="1087" t="s">
        <v>2485</v>
      </c>
      <c r="E26" s="3394" t="s">
        <v>4131</v>
      </c>
      <c r="F26" s="122">
        <f t="shared" si="2"/>
        <v>303.13</v>
      </c>
      <c r="G26" s="1087" t="s">
        <v>54</v>
      </c>
      <c r="H26" s="1088">
        <v>1.899635E-4</v>
      </c>
      <c r="I26" s="3271">
        <f t="shared" si="6"/>
        <v>5.9426E-2</v>
      </c>
      <c r="J26" s="51">
        <f t="shared" si="3"/>
        <v>11</v>
      </c>
      <c r="K26" s="1687">
        <v>29.64</v>
      </c>
      <c r="L26" s="1688" t="s">
        <v>184</v>
      </c>
      <c r="M26" s="1090"/>
      <c r="V26" s="88" t="s">
        <v>30</v>
      </c>
      <c r="W26" s="2446"/>
      <c r="X26" s="2447"/>
      <c r="Y26" s="2446"/>
      <c r="Z26" s="2447"/>
      <c r="AA26" s="2447"/>
      <c r="AB26" s="2447"/>
      <c r="AC26" s="3336">
        <v>0</v>
      </c>
      <c r="AD26" s="3334">
        <v>303.08999999999997</v>
      </c>
      <c r="AE26" s="110"/>
      <c r="AF26" s="110"/>
      <c r="AG26" s="110"/>
      <c r="AI26" s="293" t="s">
        <v>180</v>
      </c>
      <c r="AJ26" s="2448"/>
      <c r="AK26" s="2448"/>
      <c r="AL26" s="2448"/>
      <c r="AM26" s="2448"/>
      <c r="AN26" s="2448"/>
      <c r="AO26" s="2449"/>
      <c r="AP26" s="672">
        <v>11</v>
      </c>
      <c r="AQ26" s="1791">
        <v>11</v>
      </c>
      <c r="AR26" s="110"/>
      <c r="AS26" s="110"/>
      <c r="AU26" s="293" t="s">
        <v>169</v>
      </c>
      <c r="AV26" s="2450"/>
      <c r="AW26" s="2450"/>
      <c r="AX26" s="2450"/>
      <c r="AY26" s="2450"/>
      <c r="AZ26" s="2450"/>
      <c r="BA26" s="2451"/>
      <c r="BB26" s="1615">
        <v>29.64</v>
      </c>
      <c r="BC26" s="1321">
        <v>29.64</v>
      </c>
      <c r="BD26" s="110"/>
      <c r="BE26" s="110"/>
      <c r="DG26" s="2504">
        <f t="shared" ref="DG26" si="9">(DI26)/(DJ26)</f>
        <v>4.70849746099712</v>
      </c>
      <c r="DH26" s="1580" t="str">
        <f t="shared" ref="DH26" si="10">CONCATENATE(G26," ",J26," Year EUL")</f>
        <v>Lighting BUS 11 Year EUL</v>
      </c>
      <c r="DI26" s="2507">
        <f>(INDEX('Avoided Cost Benefits'!$E$4:$E$859,MATCH(DH26,'Avoided Cost Benefits'!$A$4:$A$859,0)))*F26</f>
        <v>131.72238295795623</v>
      </c>
      <c r="DJ26" s="2124">
        <f t="shared" ref="DJ26" si="11">K26/(1.0595^(2020-2019))</f>
        <v>27.975460122699385</v>
      </c>
    </row>
    <row r="27" spans="3:114" x14ac:dyDescent="0.35">
      <c r="C27" s="1614" t="s">
        <v>2520</v>
      </c>
      <c r="D27" s="1087" t="s">
        <v>2485</v>
      </c>
      <c r="E27" s="3394" t="s">
        <v>2521</v>
      </c>
      <c r="F27" s="122">
        <f t="shared" si="2"/>
        <v>234.31</v>
      </c>
      <c r="G27" s="1087" t="s">
        <v>54</v>
      </c>
      <c r="H27" s="1088">
        <f>VLOOKUP(G27,'CP FACTORS'!$A$26:$B$38,2,FALSE)</f>
        <v>1.899635E-4</v>
      </c>
      <c r="I27" s="3271">
        <f t="shared" si="6"/>
        <v>4.5934999999999997E-2</v>
      </c>
      <c r="J27" s="51">
        <f t="shared" si="3"/>
        <v>10</v>
      </c>
      <c r="K27" s="1687">
        <v>29.64</v>
      </c>
      <c r="L27" s="1688" t="s">
        <v>184</v>
      </c>
      <c r="M27" s="1090"/>
      <c r="V27" s="88" t="s">
        <v>30</v>
      </c>
      <c r="W27" s="110">
        <v>82.39</v>
      </c>
      <c r="X27" s="1575">
        <v>84.819074273197472</v>
      </c>
      <c r="Y27" s="110">
        <v>84.819074273197472</v>
      </c>
      <c r="Z27" s="112">
        <v>84.819074273197472</v>
      </c>
      <c r="AA27" s="112">
        <v>84.819074273197472</v>
      </c>
      <c r="AB27" s="110">
        <v>86.01</v>
      </c>
      <c r="AC27" s="3336">
        <v>207.73</v>
      </c>
      <c r="AD27" s="3334">
        <v>234.37</v>
      </c>
      <c r="AE27" s="110"/>
      <c r="AF27" s="110"/>
      <c r="AG27" s="110"/>
      <c r="AI27" s="88" t="s">
        <v>180</v>
      </c>
      <c r="AJ27" s="51">
        <v>9</v>
      </c>
      <c r="AK27" s="51">
        <v>9</v>
      </c>
      <c r="AL27" s="51">
        <v>9</v>
      </c>
      <c r="AM27" s="51">
        <v>9</v>
      </c>
      <c r="AN27" s="51">
        <v>9</v>
      </c>
      <c r="AO27" s="1691">
        <v>10</v>
      </c>
      <c r="AP27" s="672">
        <v>10</v>
      </c>
      <c r="AQ27" s="1791">
        <v>10</v>
      </c>
      <c r="AR27" s="110"/>
      <c r="AS27" s="110"/>
      <c r="AU27" s="88" t="s">
        <v>169</v>
      </c>
      <c r="AV27" s="1692">
        <v>29.64</v>
      </c>
      <c r="AW27" s="1692">
        <v>29.64</v>
      </c>
      <c r="AX27" s="1692">
        <v>29.64</v>
      </c>
      <c r="AY27" s="1692">
        <v>29.64</v>
      </c>
      <c r="AZ27" s="1692">
        <v>29.64</v>
      </c>
      <c r="BA27" s="1615">
        <v>29.64</v>
      </c>
      <c r="BB27" s="1615">
        <v>29.64</v>
      </c>
      <c r="BC27" s="1321">
        <v>29.64</v>
      </c>
      <c r="BD27" s="110"/>
      <c r="BE27" s="110"/>
      <c r="DG27" s="2504">
        <f t="shared" si="7"/>
        <v>3.3279716888608486</v>
      </c>
      <c r="DH27" s="1580" t="str">
        <f t="shared" si="4"/>
        <v>Lighting BUS 10 Year EUL</v>
      </c>
      <c r="DI27" s="2507">
        <f>(INDEX('Avoided Cost Benefits'!$E$4:$E$859,MATCH(DH27,'Avoided Cost Benefits'!$A$4:$A$859,0)))*F27</f>
        <v>93.101539271199201</v>
      </c>
      <c r="DJ27" s="2124">
        <f t="shared" si="8"/>
        <v>27.975460122699385</v>
      </c>
    </row>
    <row r="28" spans="3:114" x14ac:dyDescent="0.35">
      <c r="C28" s="1614" t="s">
        <v>2522</v>
      </c>
      <c r="D28" s="1087" t="s">
        <v>2485</v>
      </c>
      <c r="E28" s="3394" t="s">
        <v>4180</v>
      </c>
      <c r="F28" s="122">
        <f t="shared" si="2"/>
        <v>198.81</v>
      </c>
      <c r="G28" s="1087" t="s">
        <v>54</v>
      </c>
      <c r="H28" s="1088">
        <f>VLOOKUP(G28,'CP FACTORS'!$A$26:$B$38,2,FALSE)</f>
        <v>1.899635E-4</v>
      </c>
      <c r="I28" s="3271">
        <f t="shared" si="6"/>
        <v>3.8975000000000003E-2</v>
      </c>
      <c r="J28" s="51">
        <f t="shared" si="3"/>
        <v>15</v>
      </c>
      <c r="K28" s="1687">
        <v>29.64</v>
      </c>
      <c r="L28" s="1688" t="s">
        <v>184</v>
      </c>
      <c r="M28" s="1090"/>
      <c r="V28" s="88" t="s">
        <v>30</v>
      </c>
      <c r="W28" s="2446"/>
      <c r="X28" s="2447"/>
      <c r="Y28" s="2446"/>
      <c r="Z28" s="2447"/>
      <c r="AA28" s="2447"/>
      <c r="AB28" s="110">
        <v>161.24</v>
      </c>
      <c r="AC28" s="3336">
        <v>212.23</v>
      </c>
      <c r="AD28" s="3334">
        <v>198.78</v>
      </c>
      <c r="AE28" s="110"/>
      <c r="AF28" s="110"/>
      <c r="AG28" s="110"/>
      <c r="AI28" s="293" t="s">
        <v>180</v>
      </c>
      <c r="AJ28" s="2448"/>
      <c r="AK28" s="2448"/>
      <c r="AL28" s="2448"/>
      <c r="AM28" s="2448"/>
      <c r="AN28" s="2448"/>
      <c r="AO28" s="1691">
        <v>15</v>
      </c>
      <c r="AP28" s="672">
        <v>15</v>
      </c>
      <c r="AQ28" s="1791">
        <v>15</v>
      </c>
      <c r="AR28" s="110"/>
      <c r="AS28" s="110"/>
      <c r="AU28" s="293" t="s">
        <v>169</v>
      </c>
      <c r="AV28" s="2450"/>
      <c r="AW28" s="2450"/>
      <c r="AX28" s="2450"/>
      <c r="AY28" s="2450"/>
      <c r="AZ28" s="2450"/>
      <c r="BA28" s="1615">
        <v>29.64</v>
      </c>
      <c r="BB28" s="1615">
        <v>29.64</v>
      </c>
      <c r="BC28" s="1321">
        <v>29.64</v>
      </c>
      <c r="BD28" s="110"/>
      <c r="BE28" s="110"/>
      <c r="DG28" s="2504">
        <f t="shared" si="7"/>
        <v>4.0423500725883557</v>
      </c>
      <c r="DH28" s="1580" t="str">
        <f t="shared" si="4"/>
        <v>Lighting BUS 15 Year EUL</v>
      </c>
      <c r="DI28" s="2507">
        <f>(INDEX('Avoided Cost Benefits'!$E$4:$E$859,MATCH(DH28,'Avoided Cost Benefits'!$A$4:$A$859,0)))*F28</f>
        <v>113.08660325768652</v>
      </c>
      <c r="DJ28" s="2124">
        <f t="shared" si="8"/>
        <v>27.975460122699385</v>
      </c>
    </row>
    <row r="29" spans="3:114" x14ac:dyDescent="0.35">
      <c r="C29" s="1614" t="s">
        <v>4218</v>
      </c>
      <c r="D29" s="1087" t="s">
        <v>2485</v>
      </c>
      <c r="E29" s="3394" t="s">
        <v>4130</v>
      </c>
      <c r="F29" s="122">
        <f t="shared" si="2"/>
        <v>176.38</v>
      </c>
      <c r="G29" s="1087" t="s">
        <v>54</v>
      </c>
      <c r="H29" s="1088">
        <v>1.899635E-4</v>
      </c>
      <c r="I29" s="3271">
        <f t="shared" si="6"/>
        <v>3.4577999999999998E-2</v>
      </c>
      <c r="J29" s="51">
        <f t="shared" si="3"/>
        <v>11</v>
      </c>
      <c r="K29" s="1687">
        <v>29.64</v>
      </c>
      <c r="L29" s="1688" t="s">
        <v>184</v>
      </c>
      <c r="M29" s="1090"/>
      <c r="V29" s="88" t="s">
        <v>30</v>
      </c>
      <c r="W29" s="2446"/>
      <c r="X29" s="2447"/>
      <c r="Y29" s="2446"/>
      <c r="Z29" s="2447"/>
      <c r="AA29" s="2447"/>
      <c r="AB29" s="2447"/>
      <c r="AC29" s="3336">
        <v>0</v>
      </c>
      <c r="AD29" s="3334">
        <v>176.37</v>
      </c>
      <c r="AE29" s="110"/>
      <c r="AF29" s="110"/>
      <c r="AG29" s="110"/>
      <c r="AI29" s="293" t="s">
        <v>180</v>
      </c>
      <c r="AJ29" s="2448"/>
      <c r="AK29" s="2448"/>
      <c r="AL29" s="2448"/>
      <c r="AM29" s="2448"/>
      <c r="AN29" s="2448"/>
      <c r="AO29" s="2449"/>
      <c r="AP29" s="672">
        <v>11</v>
      </c>
      <c r="AQ29" s="1791">
        <v>11</v>
      </c>
      <c r="AR29" s="110"/>
      <c r="AS29" s="110"/>
      <c r="AU29" s="293" t="s">
        <v>169</v>
      </c>
      <c r="AV29" s="2450"/>
      <c r="AW29" s="2450"/>
      <c r="AX29" s="2450"/>
      <c r="AY29" s="2450"/>
      <c r="AZ29" s="2450"/>
      <c r="BA29" s="2450"/>
      <c r="BB29" s="1615">
        <v>29.64</v>
      </c>
      <c r="BC29" s="1321">
        <v>29.64</v>
      </c>
      <c r="BD29" s="110"/>
      <c r="BE29" s="110"/>
      <c r="DG29" s="2504">
        <f t="shared" ref="DG29" si="12">(DI29)/(DJ29)</f>
        <v>2.7396984203829113</v>
      </c>
      <c r="DH29" s="1580" t="str">
        <f t="shared" ref="DH29" si="13">CONCATENATE(G29," ",J29," Year EUL")</f>
        <v>Lighting BUS 11 Year EUL</v>
      </c>
      <c r="DI29" s="2507">
        <f>(INDEX('Avoided Cost Benefits'!$E$4:$E$859,MATCH(DH29,'Avoided Cost Benefits'!$A$4:$A$859,0)))*F29</f>
        <v>76.644323907644633</v>
      </c>
      <c r="DJ29" s="2124">
        <f t="shared" ref="DJ29" si="14">K29/(1.0595^(2020-2019))</f>
        <v>27.975460122699385</v>
      </c>
    </row>
    <row r="30" spans="3:114" x14ac:dyDescent="0.35">
      <c r="C30" s="1614" t="s">
        <v>2523</v>
      </c>
      <c r="D30" s="1087" t="s">
        <v>2485</v>
      </c>
      <c r="E30" s="1095" t="s">
        <v>2524</v>
      </c>
      <c r="F30" s="122">
        <f t="shared" si="2"/>
        <v>197.53</v>
      </c>
      <c r="G30" s="1087" t="s">
        <v>54</v>
      </c>
      <c r="H30" s="1088">
        <f>VLOOKUP(G30,'CP FACTORS'!$A$26:$B$38,2,FALSE)</f>
        <v>1.899635E-4</v>
      </c>
      <c r="I30" s="3271">
        <f t="shared" si="6"/>
        <v>3.8724000000000001E-2</v>
      </c>
      <c r="J30" s="51">
        <f t="shared" si="3"/>
        <v>10</v>
      </c>
      <c r="K30" s="1687">
        <v>29.64</v>
      </c>
      <c r="L30" s="1688" t="s">
        <v>184</v>
      </c>
      <c r="M30" s="1090"/>
      <c r="V30" s="88" t="s">
        <v>30</v>
      </c>
      <c r="W30" s="110">
        <v>124.6336</v>
      </c>
      <c r="X30" s="1575">
        <v>92.556746382707516</v>
      </c>
      <c r="Y30" s="110">
        <v>92.556746382707516</v>
      </c>
      <c r="Z30" s="112">
        <v>92.556746382707516</v>
      </c>
      <c r="AA30" s="112">
        <v>92.556746382707516</v>
      </c>
      <c r="AB30" s="110">
        <v>150</v>
      </c>
      <c r="AC30" s="3336">
        <v>224.43</v>
      </c>
      <c r="AD30" s="3334">
        <v>197.52</v>
      </c>
      <c r="AE30" s="110"/>
      <c r="AF30" s="110"/>
      <c r="AG30" s="110"/>
      <c r="AI30" s="88" t="s">
        <v>180</v>
      </c>
      <c r="AJ30" s="51">
        <v>14</v>
      </c>
      <c r="AK30" s="51">
        <v>14</v>
      </c>
      <c r="AL30" s="51">
        <v>14</v>
      </c>
      <c r="AM30" s="51">
        <v>14</v>
      </c>
      <c r="AN30" s="51">
        <v>14</v>
      </c>
      <c r="AO30" s="1691">
        <v>10</v>
      </c>
      <c r="AP30" s="672">
        <v>10</v>
      </c>
      <c r="AQ30" s="1791">
        <v>10</v>
      </c>
      <c r="AR30" s="110"/>
      <c r="AS30" s="110"/>
      <c r="AU30" s="88" t="s">
        <v>169</v>
      </c>
      <c r="AV30" s="1692">
        <v>29.64</v>
      </c>
      <c r="AW30" s="1692">
        <v>29.64</v>
      </c>
      <c r="AX30" s="1692">
        <v>29.64</v>
      </c>
      <c r="AY30" s="1692">
        <v>29.64</v>
      </c>
      <c r="AZ30" s="1692">
        <v>29.64</v>
      </c>
      <c r="BA30" s="1615">
        <v>29.64</v>
      </c>
      <c r="BB30" s="1615">
        <v>29.64</v>
      </c>
      <c r="BC30" s="1321">
        <v>29.64</v>
      </c>
      <c r="BD30" s="110"/>
      <c r="BE30" s="110"/>
      <c r="DG30" s="2504">
        <f t="shared" si="7"/>
        <v>2.8055748696200906</v>
      </c>
      <c r="DH30" s="1580" t="str">
        <f t="shared" si="4"/>
        <v>Lighting BUS 10 Year EUL</v>
      </c>
      <c r="DI30" s="2507">
        <f>(INDEX('Avoided Cost Benefits'!$E$4:$E$859,MATCH(DH30,'Avoided Cost Benefits'!$A$4:$A$859,0)))*F30</f>
        <v>78.487247886304374</v>
      </c>
      <c r="DJ30" s="2124">
        <f t="shared" si="8"/>
        <v>27.975460122699385</v>
      </c>
    </row>
    <row r="31" spans="3:114" x14ac:dyDescent="0.35">
      <c r="C31" s="1614" t="s">
        <v>2525</v>
      </c>
      <c r="D31" s="1087" t="s">
        <v>2485</v>
      </c>
      <c r="E31" s="1095" t="s">
        <v>4181</v>
      </c>
      <c r="F31" s="122">
        <f t="shared" si="2"/>
        <v>315.35000000000002</v>
      </c>
      <c r="G31" s="1087" t="s">
        <v>54</v>
      </c>
      <c r="H31" s="1088">
        <f>VLOOKUP(G31,'CP FACTORS'!$A$26:$B$38,2,FALSE)</f>
        <v>1.899635E-4</v>
      </c>
      <c r="I31" s="3271">
        <f t="shared" si="6"/>
        <v>6.1822000000000002E-2</v>
      </c>
      <c r="J31" s="51">
        <f t="shared" si="3"/>
        <v>15</v>
      </c>
      <c r="K31" s="1687">
        <v>29.64</v>
      </c>
      <c r="L31" s="1688" t="s">
        <v>184</v>
      </c>
      <c r="M31" s="1090"/>
      <c r="V31" s="88" t="s">
        <v>30</v>
      </c>
      <c r="W31" s="2446"/>
      <c r="X31" s="2447"/>
      <c r="Y31" s="2446"/>
      <c r="Z31" s="2447"/>
      <c r="AA31" s="2447"/>
      <c r="AB31" s="110">
        <v>181.13</v>
      </c>
      <c r="AC31" s="3336">
        <v>273.45999999999998</v>
      </c>
      <c r="AD31" s="3334">
        <v>315.35000000000002</v>
      </c>
      <c r="AE31" s="110"/>
      <c r="AF31" s="110"/>
      <c r="AG31" s="110"/>
      <c r="AI31" s="293" t="s">
        <v>180</v>
      </c>
      <c r="AJ31" s="2448"/>
      <c r="AK31" s="2448"/>
      <c r="AL31" s="2448"/>
      <c r="AM31" s="2448"/>
      <c r="AN31" s="2448"/>
      <c r="AO31" s="1691">
        <v>15</v>
      </c>
      <c r="AP31" s="672">
        <v>15</v>
      </c>
      <c r="AQ31" s="1791">
        <v>15</v>
      </c>
      <c r="AR31" s="110"/>
      <c r="AS31" s="110"/>
      <c r="AU31" s="293" t="s">
        <v>169</v>
      </c>
      <c r="AV31" s="2450"/>
      <c r="AW31" s="2450"/>
      <c r="AX31" s="2450"/>
      <c r="AY31" s="2450"/>
      <c r="AZ31" s="2450"/>
      <c r="BA31" s="1615">
        <v>29.64</v>
      </c>
      <c r="BB31" s="1615">
        <v>29.64</v>
      </c>
      <c r="BC31" s="1321">
        <v>29.64</v>
      </c>
      <c r="BD31" s="110"/>
      <c r="BE31" s="110"/>
      <c r="DG31" s="2504">
        <f t="shared" si="7"/>
        <v>6.4119264392673312</v>
      </c>
      <c r="DH31" s="1580" t="str">
        <f t="shared" si="4"/>
        <v>Lighting BUS 15 Year EUL</v>
      </c>
      <c r="DI31" s="2507">
        <f>(INDEX('Avoided Cost Benefits'!$E$4:$E$859,MATCH(DH31,'Avoided Cost Benefits'!$A$4:$A$859,0)))*F31</f>
        <v>179.37659241140508</v>
      </c>
      <c r="DJ31" s="2124">
        <f t="shared" si="8"/>
        <v>27.975460122699385</v>
      </c>
    </row>
    <row r="32" spans="3:114" x14ac:dyDescent="0.35">
      <c r="C32" s="1614" t="s">
        <v>4219</v>
      </c>
      <c r="D32" s="1087" t="s">
        <v>2485</v>
      </c>
      <c r="E32" s="1095" t="s">
        <v>4132</v>
      </c>
      <c r="F32" s="122">
        <f t="shared" si="2"/>
        <v>426.61</v>
      </c>
      <c r="G32" s="1087" t="s">
        <v>54</v>
      </c>
      <c r="H32" s="1088">
        <v>1.899635E-4</v>
      </c>
      <c r="I32" s="3271">
        <f t="shared" si="6"/>
        <v>8.3634E-2</v>
      </c>
      <c r="J32" s="51">
        <f t="shared" si="3"/>
        <v>11</v>
      </c>
      <c r="K32" s="1687">
        <v>29.64</v>
      </c>
      <c r="L32" s="1688" t="s">
        <v>184</v>
      </c>
      <c r="M32" s="1090"/>
      <c r="V32" s="88" t="s">
        <v>30</v>
      </c>
      <c r="W32" s="2446"/>
      <c r="X32" s="2447"/>
      <c r="Y32" s="2446"/>
      <c r="Z32" s="2447"/>
      <c r="AA32" s="2447"/>
      <c r="AB32" s="2447"/>
      <c r="AC32" s="3336">
        <v>0</v>
      </c>
      <c r="AD32" s="3334">
        <v>426.56</v>
      </c>
      <c r="AE32" s="110"/>
      <c r="AF32" s="110"/>
      <c r="AG32" s="110"/>
      <c r="AI32" s="293" t="s">
        <v>180</v>
      </c>
      <c r="AJ32" s="2448"/>
      <c r="AK32" s="2448"/>
      <c r="AL32" s="2448"/>
      <c r="AM32" s="2448"/>
      <c r="AN32" s="2448"/>
      <c r="AO32" s="2449"/>
      <c r="AP32" s="672">
        <v>11</v>
      </c>
      <c r="AQ32" s="1791">
        <v>11</v>
      </c>
      <c r="AR32" s="110"/>
      <c r="AS32" s="110"/>
      <c r="AU32" s="293" t="s">
        <v>169</v>
      </c>
      <c r="AV32" s="2450"/>
      <c r="AW32" s="2450"/>
      <c r="AX32" s="2450"/>
      <c r="AY32" s="2450"/>
      <c r="AZ32" s="2450"/>
      <c r="BA32" s="2450"/>
      <c r="BB32" s="1615">
        <v>29.64</v>
      </c>
      <c r="BC32" s="1321">
        <v>29.64</v>
      </c>
      <c r="BD32" s="110"/>
      <c r="BE32" s="110"/>
      <c r="DG32" s="2504">
        <f t="shared" ref="DG32" si="15">(DI32)/(DJ32)</f>
        <v>6.6265038163031749</v>
      </c>
      <c r="DH32" s="1580" t="str">
        <f t="shared" ref="DH32" si="16">CONCATENATE(G32," ",J32," Year EUL")</f>
        <v>Lighting BUS 11 Year EUL</v>
      </c>
      <c r="DI32" s="2507">
        <f>(INDEX('Avoided Cost Benefits'!$E$4:$E$859,MATCH(DH32,'Avoided Cost Benefits'!$A$4:$A$859,0)))*F32</f>
        <v>185.37949326590476</v>
      </c>
      <c r="DJ32" s="2124">
        <f t="shared" ref="DJ32" si="17">K32/(1.0595^(2020-2019))</f>
        <v>27.975460122699385</v>
      </c>
    </row>
    <row r="33" spans="3:114" x14ac:dyDescent="0.35">
      <c r="C33" s="1614" t="s">
        <v>2526</v>
      </c>
      <c r="D33" s="1087" t="s">
        <v>2485</v>
      </c>
      <c r="E33" s="1095" t="s">
        <v>2527</v>
      </c>
      <c r="F33" s="122">
        <f t="shared" si="2"/>
        <v>99.89</v>
      </c>
      <c r="G33" s="1087" t="s">
        <v>54</v>
      </c>
      <c r="H33" s="1088">
        <f>VLOOKUP(G33,'CP FACTORS'!$A$26:$B$38,2,FALSE)</f>
        <v>1.899635E-4</v>
      </c>
      <c r="I33" s="3271">
        <f t="shared" si="6"/>
        <v>1.9583E-2</v>
      </c>
      <c r="J33" s="51">
        <f t="shared" si="3"/>
        <v>10</v>
      </c>
      <c r="K33" s="1687">
        <v>11.94</v>
      </c>
      <c r="L33" s="1688" t="s">
        <v>184</v>
      </c>
      <c r="M33" s="1090"/>
      <c r="V33" s="88" t="s">
        <v>30</v>
      </c>
      <c r="W33" s="110">
        <v>102.16788</v>
      </c>
      <c r="X33" s="112">
        <v>102.16788</v>
      </c>
      <c r="Y33" s="110">
        <v>102.16788</v>
      </c>
      <c r="Z33" s="112">
        <v>102.16788</v>
      </c>
      <c r="AA33" s="112">
        <v>102.16788</v>
      </c>
      <c r="AB33" s="110">
        <v>102.26</v>
      </c>
      <c r="AC33" s="3336">
        <v>99.13</v>
      </c>
      <c r="AD33" s="3334">
        <v>99.89</v>
      </c>
      <c r="AE33" s="110"/>
      <c r="AF33" s="110"/>
      <c r="AG33" s="110"/>
      <c r="AI33" s="88" t="s">
        <v>180</v>
      </c>
      <c r="AJ33" s="51">
        <v>11</v>
      </c>
      <c r="AK33" s="51">
        <v>11</v>
      </c>
      <c r="AL33" s="51">
        <v>11</v>
      </c>
      <c r="AM33" s="51">
        <v>11</v>
      </c>
      <c r="AN33" s="51">
        <v>11</v>
      </c>
      <c r="AO33" s="1691">
        <v>11</v>
      </c>
      <c r="AP33" s="672">
        <v>10</v>
      </c>
      <c r="AQ33" s="1791">
        <v>10</v>
      </c>
      <c r="AR33" s="110"/>
      <c r="AS33" s="110"/>
      <c r="AU33" s="88" t="s">
        <v>169</v>
      </c>
      <c r="AV33" s="1692">
        <v>11.94</v>
      </c>
      <c r="AW33" s="1692">
        <v>11.94</v>
      </c>
      <c r="AX33" s="1692">
        <v>11.94</v>
      </c>
      <c r="AY33" s="1692">
        <v>11.94</v>
      </c>
      <c r="AZ33" s="1692">
        <v>11.94</v>
      </c>
      <c r="BA33" s="1615">
        <v>11.94</v>
      </c>
      <c r="BB33" s="1615">
        <v>11.94</v>
      </c>
      <c r="BC33" s="1321">
        <v>11.94</v>
      </c>
      <c r="BD33" s="110"/>
      <c r="BE33" s="110"/>
      <c r="DG33" s="2504">
        <f t="shared" si="7"/>
        <v>3.52196215270697</v>
      </c>
      <c r="DH33" s="1580" t="str">
        <f t="shared" si="4"/>
        <v>Lighting BUS 10 Year EUL</v>
      </c>
      <c r="DI33" s="2507">
        <f>(INDEX('Avoided Cost Benefits'!$E$4:$E$859,MATCH(DH33,'Avoided Cost Benefits'!$A$4:$A$859,0)))*F33</f>
        <v>39.690635302804353</v>
      </c>
      <c r="DJ33" s="2124">
        <f t="shared" si="8"/>
        <v>11.269466729589427</v>
      </c>
    </row>
    <row r="34" spans="3:114" x14ac:dyDescent="0.35">
      <c r="C34" s="1614" t="s">
        <v>4116</v>
      </c>
      <c r="D34" s="1087" t="s">
        <v>2485</v>
      </c>
      <c r="E34" s="1095" t="s">
        <v>4117</v>
      </c>
      <c r="F34" s="122">
        <f t="shared" si="2"/>
        <v>46759.28</v>
      </c>
      <c r="G34" s="1087" t="s">
        <v>54</v>
      </c>
      <c r="H34" s="1088">
        <v>1.899635E-4</v>
      </c>
      <c r="I34" s="3271">
        <f t="shared" si="6"/>
        <v>9.166798</v>
      </c>
      <c r="J34" s="51">
        <f t="shared" si="3"/>
        <v>15</v>
      </c>
      <c r="K34" s="1107">
        <v>10000</v>
      </c>
      <c r="L34" s="1688" t="s">
        <v>4118</v>
      </c>
      <c r="M34" s="1090"/>
      <c r="V34" s="88" t="s">
        <v>30</v>
      </c>
      <c r="W34" s="2446"/>
      <c r="X34" s="2447"/>
      <c r="Y34" s="2446"/>
      <c r="Z34" s="2447"/>
      <c r="AA34" s="2447"/>
      <c r="AB34" s="2447"/>
      <c r="AC34" s="3334">
        <v>77808.3</v>
      </c>
      <c r="AD34" s="3334">
        <v>46757.36</v>
      </c>
      <c r="AE34" s="110"/>
      <c r="AF34" s="110"/>
      <c r="AG34" s="110"/>
      <c r="AI34" s="88" t="s">
        <v>180</v>
      </c>
      <c r="AJ34" s="2450"/>
      <c r="AK34" s="2450"/>
      <c r="AL34" s="2450"/>
      <c r="AM34" s="2450"/>
      <c r="AN34" s="2450"/>
      <c r="AO34" s="2450"/>
      <c r="AP34" s="672">
        <v>15</v>
      </c>
      <c r="AQ34" s="1791">
        <v>15</v>
      </c>
      <c r="AR34" s="110"/>
      <c r="AS34" s="110"/>
      <c r="AU34" s="88" t="s">
        <v>169</v>
      </c>
      <c r="AV34" s="2450"/>
      <c r="AW34" s="2450"/>
      <c r="AX34" s="2450"/>
      <c r="AY34" s="2450"/>
      <c r="AZ34" s="2450"/>
      <c r="BA34" s="2450"/>
      <c r="BB34" s="1615">
        <v>10000</v>
      </c>
      <c r="BC34" s="1321">
        <v>10000</v>
      </c>
      <c r="BD34" s="110"/>
      <c r="BE34" s="110"/>
      <c r="DG34" s="2538">
        <f t="shared" ref="DG34" si="18">(DI34)/(DJ34)</f>
        <v>2.8180046831953089</v>
      </c>
      <c r="DH34" s="1580" t="str">
        <f t="shared" ref="DH34" si="19">CONCATENATE(G34," ",J34," Year EUL")</f>
        <v>Lighting BUS 15 Year EUL</v>
      </c>
      <c r="DI34" s="2509">
        <f>(INDEX('Avoided Cost Benefits'!$E$4:$E$859,MATCH(DH34,'Avoided Cost Benefits'!$A$4:$A$859,0)))*F34</f>
        <v>26597.495830064261</v>
      </c>
      <c r="DJ34" s="2125">
        <f t="shared" ref="DJ34" si="20">K34/(1.0595^(2020-2019))</f>
        <v>9438.4143463898054</v>
      </c>
    </row>
    <row r="35" spans="3:114" hidden="1" outlineLevel="1" x14ac:dyDescent="0.35">
      <c r="E35" s="33"/>
      <c r="F35" s="33"/>
      <c r="G35" s="33"/>
      <c r="H35" s="1096"/>
      <c r="I35" s="33"/>
      <c r="J35" s="33"/>
      <c r="K35" s="33"/>
      <c r="L35" s="33"/>
      <c r="V35" s="725"/>
      <c r="CG35" s="21"/>
      <c r="CK35"/>
      <c r="CW35" s="21"/>
      <c r="DA35"/>
      <c r="DG35" s="21"/>
      <c r="DH35" s="22"/>
    </row>
    <row r="36" spans="3:114" hidden="1" outlineLevel="1" x14ac:dyDescent="0.35">
      <c r="E36" s="33"/>
      <c r="F36" s="33"/>
      <c r="G36" s="33"/>
      <c r="H36" s="1096"/>
      <c r="I36" s="33"/>
      <c r="J36" s="33"/>
      <c r="K36" s="33"/>
      <c r="L36" s="33"/>
      <c r="V36" s="725"/>
      <c r="CG36" s="21"/>
      <c r="CK36"/>
      <c r="CW36" s="21"/>
      <c r="DA36"/>
      <c r="DG36" s="21"/>
      <c r="DH36" s="22"/>
    </row>
    <row r="37" spans="3:114" hidden="1" outlineLevel="1" x14ac:dyDescent="0.35">
      <c r="D37" s="33" t="s">
        <v>2528</v>
      </c>
      <c r="E37" s="33"/>
      <c r="F37" s="33"/>
      <c r="G37" s="33"/>
      <c r="H37" s="1096"/>
      <c r="I37" s="33"/>
      <c r="J37" s="33"/>
      <c r="K37" s="33"/>
      <c r="L37" s="33"/>
      <c r="M37" s="33"/>
      <c r="N37" s="33"/>
      <c r="O37" s="33"/>
      <c r="P37" s="33"/>
      <c r="Q37" s="33"/>
      <c r="R37" s="33"/>
      <c r="V37" s="725"/>
      <c r="CG37" s="21"/>
      <c r="CK37"/>
      <c r="CW37" s="21"/>
      <c r="DA37"/>
      <c r="DG37" s="21"/>
      <c r="DH37" s="22"/>
    </row>
    <row r="38" spans="3:114" hidden="1" outlineLevel="1" x14ac:dyDescent="0.35">
      <c r="D38" s="1097"/>
      <c r="G38" s="725"/>
      <c r="H38" s="1098"/>
      <c r="V38" s="725"/>
      <c r="CG38" s="21"/>
      <c r="CK38"/>
      <c r="CW38" s="21"/>
      <c r="DA38"/>
      <c r="DG38" s="21"/>
      <c r="DH38" s="22"/>
    </row>
    <row r="39" spans="3:114" hidden="1" outlineLevel="1" x14ac:dyDescent="0.35">
      <c r="D39" s="1097"/>
      <c r="G39" s="725"/>
      <c r="H39" s="1098"/>
      <c r="V39" s="725"/>
      <c r="CG39" s="21"/>
      <c r="CK39"/>
      <c r="CW39" s="21"/>
      <c r="DA39"/>
      <c r="DG39" s="21"/>
      <c r="DH39" s="22"/>
    </row>
    <row r="40" spans="3:114" hidden="1" outlineLevel="1" x14ac:dyDescent="0.35">
      <c r="D40" s="1097"/>
      <c r="G40" s="725"/>
      <c r="H40" s="1098"/>
      <c r="V40" s="725"/>
      <c r="CG40" s="21"/>
      <c r="CK40"/>
      <c r="CW40" s="21"/>
      <c r="DA40"/>
      <c r="DG40" s="21"/>
      <c r="DH40" s="22"/>
    </row>
    <row r="41" spans="3:114" hidden="1" outlineLevel="1" x14ac:dyDescent="0.35">
      <c r="D41" s="1097"/>
      <c r="G41" s="725"/>
      <c r="H41" s="1098"/>
      <c r="V41" s="725"/>
      <c r="CG41" s="21"/>
      <c r="CK41"/>
      <c r="CW41" s="21"/>
      <c r="DA41"/>
      <c r="DG41" s="21"/>
      <c r="DH41" s="22"/>
    </row>
    <row r="42" spans="3:114" hidden="1" outlineLevel="1" x14ac:dyDescent="0.35">
      <c r="D42" s="1097"/>
      <c r="G42" s="725"/>
      <c r="H42" s="1098"/>
      <c r="V42" s="725"/>
      <c r="CG42" s="21"/>
      <c r="CK42"/>
      <c r="CW42" s="21"/>
      <c r="DA42"/>
      <c r="DG42" s="21"/>
      <c r="DH42" s="22"/>
    </row>
    <row r="43" spans="3:114" hidden="1" outlineLevel="1" x14ac:dyDescent="0.35">
      <c r="D43" s="1097"/>
      <c r="G43" s="725"/>
      <c r="H43" s="1098"/>
      <c r="V43" s="725"/>
      <c r="CG43" s="21"/>
      <c r="CK43"/>
      <c r="CW43" s="21"/>
      <c r="DA43"/>
      <c r="DG43" s="21"/>
      <c r="DH43" s="22"/>
    </row>
    <row r="44" spans="3:114" hidden="1" outlineLevel="1" x14ac:dyDescent="0.35">
      <c r="D44" s="1097"/>
      <c r="G44" s="725"/>
      <c r="H44" s="1098"/>
      <c r="V44" s="725"/>
      <c r="CG44" s="21"/>
      <c r="CK44"/>
      <c r="CW44" s="21"/>
      <c r="DA44"/>
      <c r="DG44" s="21"/>
      <c r="DH44" s="22"/>
    </row>
    <row r="45" spans="3:114" hidden="1" outlineLevel="1" x14ac:dyDescent="0.35">
      <c r="D45" s="1097"/>
      <c r="G45" s="725"/>
      <c r="H45" s="1098"/>
    </row>
    <row r="46" spans="3:114" hidden="1" outlineLevel="1" x14ac:dyDescent="0.35">
      <c r="D46" s="1097"/>
      <c r="G46" s="725"/>
      <c r="H46" s="1098"/>
      <c r="CG46" s="21"/>
      <c r="CH46" s="21"/>
      <c r="CI46" s="21"/>
      <c r="CJ46" s="21"/>
      <c r="CT46"/>
      <c r="CU46"/>
      <c r="CV46"/>
      <c r="CX46" s="21"/>
      <c r="CY46" s="21"/>
      <c r="CZ46" s="21"/>
    </row>
    <row r="47" spans="3:114" hidden="1" outlineLevel="1" x14ac:dyDescent="0.35">
      <c r="D47" s="1097"/>
      <c r="G47" s="725"/>
      <c r="H47" s="1098"/>
      <c r="O47" s="725" t="s">
        <v>4120</v>
      </c>
      <c r="V47" s="1572" t="s">
        <v>44</v>
      </c>
      <c r="W47" s="1573">
        <f>$W$8</f>
        <v>43252</v>
      </c>
      <c r="X47" s="1573">
        <f>$X$8</f>
        <v>43465</v>
      </c>
      <c r="Y47" s="1573">
        <f>$Y$8</f>
        <v>43800</v>
      </c>
      <c r="Z47" s="1573">
        <f>$Z$8</f>
        <v>43862</v>
      </c>
      <c r="AA47" s="1573">
        <f>$AA$8</f>
        <v>44013</v>
      </c>
      <c r="AB47" s="1573">
        <v>44166</v>
      </c>
      <c r="AC47" s="1573">
        <f>$AC$8</f>
        <v>44531</v>
      </c>
      <c r="AD47" s="1573">
        <f>$AD$8</f>
        <v>44774</v>
      </c>
      <c r="AE47" s="1573" t="str">
        <f>$AE$8</f>
        <v>-</v>
      </c>
      <c r="AF47" s="1573" t="str">
        <f>$AF$8</f>
        <v>-</v>
      </c>
      <c r="AG47" s="1573" t="str">
        <f>$AG$8</f>
        <v>-</v>
      </c>
      <c r="AI47" s="1572" t="s">
        <v>44</v>
      </c>
      <c r="AJ47" s="1573">
        <f>$W$8</f>
        <v>43252</v>
      </c>
      <c r="AK47" s="1573">
        <f>$X$8</f>
        <v>43465</v>
      </c>
      <c r="AL47" s="1573">
        <f>$Y$8</f>
        <v>43800</v>
      </c>
      <c r="AM47" s="1573">
        <f>$Z$8</f>
        <v>43862</v>
      </c>
      <c r="AN47" s="1573">
        <f>$AA$8</f>
        <v>44013</v>
      </c>
      <c r="AO47" s="1573">
        <v>44166</v>
      </c>
      <c r="AP47" s="1573">
        <f>$AC$8</f>
        <v>44531</v>
      </c>
      <c r="AQ47" s="1573">
        <f>$AD$8</f>
        <v>44774</v>
      </c>
      <c r="AR47" s="1573" t="str">
        <f>$AE$8</f>
        <v>-</v>
      </c>
      <c r="AS47" s="1573" t="str">
        <f>$AF$8</f>
        <v>-</v>
      </c>
      <c r="AU47" s="1572" t="s">
        <v>44</v>
      </c>
      <c r="AV47" s="1573">
        <f>$W$8</f>
        <v>43252</v>
      </c>
      <c r="AW47" s="1573">
        <f>$X$8</f>
        <v>43465</v>
      </c>
      <c r="AX47" s="1573">
        <f>$Y$8</f>
        <v>43800</v>
      </c>
      <c r="AY47" s="1573">
        <f>$Z$8</f>
        <v>43862</v>
      </c>
      <c r="AZ47" s="1573">
        <f>$AA$8</f>
        <v>44013</v>
      </c>
      <c r="BA47" s="1573">
        <v>44166</v>
      </c>
      <c r="BB47" s="1573">
        <f>$AC$8</f>
        <v>44531</v>
      </c>
      <c r="BC47" s="1573">
        <f>$AD$8</f>
        <v>44774</v>
      </c>
      <c r="BD47" s="1573" t="str">
        <f>$AE$8</f>
        <v>-</v>
      </c>
      <c r="BE47" s="1573" t="str">
        <f>$AF$8</f>
        <v>-</v>
      </c>
      <c r="BG47" s="1572" t="s">
        <v>44</v>
      </c>
      <c r="BH47" s="1573">
        <f>$W$8</f>
        <v>43252</v>
      </c>
      <c r="BI47" s="1573">
        <f>$X$8</f>
        <v>43465</v>
      </c>
      <c r="BJ47" s="1573">
        <f>$Y$8</f>
        <v>43800</v>
      </c>
      <c r="BK47" s="1573">
        <f>$Z$8</f>
        <v>43862</v>
      </c>
      <c r="BL47" s="1573">
        <f>$AA$8</f>
        <v>44013</v>
      </c>
      <c r="BM47" s="1573">
        <v>44166</v>
      </c>
      <c r="BN47" s="1573">
        <f>$AC$8</f>
        <v>44531</v>
      </c>
      <c r="BO47" s="1573">
        <f>$AD$8</f>
        <v>44774</v>
      </c>
      <c r="BP47" s="1573" t="str">
        <f>$AE$8</f>
        <v>-</v>
      </c>
      <c r="BQ47" s="1573" t="str">
        <f>$AF$8</f>
        <v>-</v>
      </c>
      <c r="BS47" s="3342" t="s">
        <v>44</v>
      </c>
      <c r="BT47" s="3331">
        <f>$W$8</f>
        <v>43252</v>
      </c>
      <c r="BU47" s="3331">
        <f>$X$8</f>
        <v>43465</v>
      </c>
      <c r="BV47" s="3331">
        <f>$Y$8</f>
        <v>43800</v>
      </c>
      <c r="BW47" s="3331">
        <f>$Z$8</f>
        <v>43862</v>
      </c>
      <c r="BX47" s="3331">
        <f>$AA$8</f>
        <v>44013</v>
      </c>
      <c r="BY47" s="3331">
        <v>44166</v>
      </c>
      <c r="BZ47" s="3331">
        <f>$AC$8</f>
        <v>44531</v>
      </c>
      <c r="CA47" s="3331">
        <f>$AD$8</f>
        <v>44774</v>
      </c>
      <c r="CB47" s="3331" t="str">
        <f>$AE$8</f>
        <v>-</v>
      </c>
      <c r="CC47" s="3331" t="str">
        <f>$AF$8</f>
        <v>-</v>
      </c>
      <c r="CD47" s="3331" t="str">
        <f>$AG$8</f>
        <v>-</v>
      </c>
      <c r="CF47" s="481" t="s">
        <v>44</v>
      </c>
      <c r="CG47" s="1573">
        <f>$W$8</f>
        <v>43252</v>
      </c>
      <c r="CH47" s="1573">
        <f>$X$8</f>
        <v>43465</v>
      </c>
      <c r="CI47" s="1573">
        <f>$Y$8</f>
        <v>43800</v>
      </c>
      <c r="CJ47" s="1573">
        <f>$Z$8</f>
        <v>43862</v>
      </c>
      <c r="CK47" s="1573">
        <f>$AA$8</f>
        <v>44013</v>
      </c>
      <c r="CL47" s="1573">
        <v>44166</v>
      </c>
      <c r="CM47" s="1573">
        <f>$AC$8</f>
        <v>44531</v>
      </c>
      <c r="CN47" s="1573">
        <f>$AD$8</f>
        <v>44774</v>
      </c>
      <c r="CO47" s="1573" t="str">
        <f>$AE$8</f>
        <v>-</v>
      </c>
      <c r="CP47" s="1573" t="str">
        <f>$AF$8</f>
        <v>-</v>
      </c>
      <c r="CQ47" s="1573" t="str">
        <f>$AG$8</f>
        <v>-</v>
      </c>
      <c r="CS47" s="481" t="s">
        <v>44</v>
      </c>
      <c r="CT47" s="1573">
        <f>$W$8</f>
        <v>43252</v>
      </c>
      <c r="CU47" s="1573">
        <f>$X$8</f>
        <v>43465</v>
      </c>
      <c r="CV47" s="1573">
        <f>$Y$8</f>
        <v>43800</v>
      </c>
      <c r="CW47" s="1573">
        <f>$Z$8</f>
        <v>43862</v>
      </c>
      <c r="CX47" s="1573">
        <f>$AA$8</f>
        <v>44013</v>
      </c>
      <c r="CY47" s="1573">
        <v>44166</v>
      </c>
      <c r="CZ47" s="1573">
        <f>$AC$8</f>
        <v>44531</v>
      </c>
      <c r="DA47" s="1573">
        <f>$AD$8</f>
        <v>44774</v>
      </c>
      <c r="DB47" s="1573" t="str">
        <f>$AE$8</f>
        <v>-</v>
      </c>
      <c r="DC47" s="1573" t="str">
        <f>$AF$8</f>
        <v>-</v>
      </c>
      <c r="DD47" s="1573" t="str">
        <f>$AG$8</f>
        <v>-</v>
      </c>
    </row>
    <row r="48" spans="3:114" s="34" customFormat="1" ht="43.5" hidden="1" outlineLevel="1" x14ac:dyDescent="0.35">
      <c r="C48" s="132"/>
      <c r="D48" s="35" t="s">
        <v>27</v>
      </c>
      <c r="E48" s="2399" t="s">
        <v>110</v>
      </c>
      <c r="F48" s="2399" t="s">
        <v>2529</v>
      </c>
      <c r="G48" s="2399" t="s">
        <v>2530</v>
      </c>
      <c r="H48" s="36" t="s">
        <v>2531</v>
      </c>
      <c r="I48" s="1689" t="s">
        <v>2532</v>
      </c>
      <c r="J48" s="3322" t="s">
        <v>4451</v>
      </c>
      <c r="K48" s="2399" t="s">
        <v>132</v>
      </c>
      <c r="L48" s="2399" t="s">
        <v>180</v>
      </c>
      <c r="M48" s="2399" t="s">
        <v>4119</v>
      </c>
      <c r="N48" s="350"/>
      <c r="O48" s="2715" t="s">
        <v>4121</v>
      </c>
      <c r="P48" s="2715" t="s">
        <v>4122</v>
      </c>
      <c r="Q48" s="2715" t="s">
        <v>4123</v>
      </c>
      <c r="R48" s="2715" t="s">
        <v>4124</v>
      </c>
      <c r="S48" s="2715" t="s">
        <v>4125</v>
      </c>
      <c r="T48" s="350"/>
      <c r="U48" s="350"/>
      <c r="V48" s="2479" t="s">
        <v>27</v>
      </c>
      <c r="W48" s="44" t="str">
        <f>$F$48</f>
        <v>Watts Base</v>
      </c>
      <c r="X48" s="44" t="str">
        <f t="shared" ref="X48:AG48" si="21">$F$48</f>
        <v>Watts Base</v>
      </c>
      <c r="Y48" s="44" t="str">
        <f t="shared" si="21"/>
        <v>Watts Base</v>
      </c>
      <c r="Z48" s="44" t="str">
        <f t="shared" si="21"/>
        <v>Watts Base</v>
      </c>
      <c r="AA48" s="44" t="str">
        <f t="shared" si="21"/>
        <v>Watts Base</v>
      </c>
      <c r="AB48" s="44" t="s">
        <v>2529</v>
      </c>
      <c r="AC48" s="44" t="str">
        <f t="shared" si="21"/>
        <v>Watts Base</v>
      </c>
      <c r="AD48" s="44" t="str">
        <f t="shared" si="21"/>
        <v>Watts Base</v>
      </c>
      <c r="AE48" s="44" t="str">
        <f t="shared" si="21"/>
        <v>Watts Base</v>
      </c>
      <c r="AF48" s="44" t="str">
        <f t="shared" si="21"/>
        <v>Watts Base</v>
      </c>
      <c r="AG48" s="44" t="str">
        <f t="shared" si="21"/>
        <v>Watts Base</v>
      </c>
      <c r="AI48" s="2479" t="s">
        <v>27</v>
      </c>
      <c r="AJ48" s="44" t="str">
        <f>$G$48</f>
        <v>Watts EE</v>
      </c>
      <c r="AK48" s="44" t="str">
        <f t="shared" ref="AK48:AS48" si="22">$G$48</f>
        <v>Watts EE</v>
      </c>
      <c r="AL48" s="44" t="str">
        <f t="shared" si="22"/>
        <v>Watts EE</v>
      </c>
      <c r="AM48" s="44" t="str">
        <f t="shared" si="22"/>
        <v>Watts EE</v>
      </c>
      <c r="AN48" s="44" t="str">
        <f t="shared" si="22"/>
        <v>Watts EE</v>
      </c>
      <c r="AO48" s="44" t="str">
        <f t="shared" si="22"/>
        <v>Watts EE</v>
      </c>
      <c r="AP48" s="44" t="str">
        <f t="shared" si="22"/>
        <v>Watts EE</v>
      </c>
      <c r="AQ48" s="44" t="str">
        <f t="shared" si="22"/>
        <v>Watts EE</v>
      </c>
      <c r="AR48" s="44" t="str">
        <f t="shared" si="22"/>
        <v>Watts EE</v>
      </c>
      <c r="AS48" s="44" t="str">
        <f t="shared" si="22"/>
        <v>Watts EE</v>
      </c>
      <c r="AU48" s="2479" t="s">
        <v>27</v>
      </c>
      <c r="AV48" s="45" t="str">
        <f>$H$48</f>
        <v>HOU</v>
      </c>
      <c r="AW48" s="45" t="str">
        <f t="shared" ref="AW48:BE48" si="23">$H$48</f>
        <v>HOU</v>
      </c>
      <c r="AX48" s="45" t="str">
        <f t="shared" si="23"/>
        <v>HOU</v>
      </c>
      <c r="AY48" s="45" t="str">
        <f t="shared" si="23"/>
        <v>HOU</v>
      </c>
      <c r="AZ48" s="45" t="str">
        <f t="shared" si="23"/>
        <v>HOU</v>
      </c>
      <c r="BA48" s="45" t="s">
        <v>2531</v>
      </c>
      <c r="BB48" s="45" t="str">
        <f t="shared" si="23"/>
        <v>HOU</v>
      </c>
      <c r="BC48" s="45" t="str">
        <f t="shared" si="23"/>
        <v>HOU</v>
      </c>
      <c r="BD48" s="45" t="str">
        <f t="shared" si="23"/>
        <v>HOU</v>
      </c>
      <c r="BE48" s="45" t="str">
        <f t="shared" si="23"/>
        <v>HOU</v>
      </c>
      <c r="BG48" s="2479" t="s">
        <v>27</v>
      </c>
      <c r="BH48" s="45" t="str">
        <f>$I$48</f>
        <v>WHFe + -IFkWh</v>
      </c>
      <c r="BI48" s="45" t="str">
        <f t="shared" ref="BI48:BQ48" si="24">$I$48</f>
        <v>WHFe + -IFkWh</v>
      </c>
      <c r="BJ48" s="45" t="str">
        <f t="shared" si="24"/>
        <v>WHFe + -IFkWh</v>
      </c>
      <c r="BK48" s="45" t="str">
        <f t="shared" si="24"/>
        <v>WHFe + -IFkWh</v>
      </c>
      <c r="BL48" s="45" t="str">
        <f t="shared" si="24"/>
        <v>WHFe + -IFkWh</v>
      </c>
      <c r="BM48" s="45" t="s">
        <v>2532</v>
      </c>
      <c r="BN48" s="45" t="str">
        <f t="shared" si="24"/>
        <v>WHFe + -IFkWh</v>
      </c>
      <c r="BO48" s="45" t="str">
        <f t="shared" si="24"/>
        <v>WHFe + -IFkWh</v>
      </c>
      <c r="BP48" s="45" t="str">
        <f t="shared" si="24"/>
        <v>WHFe + -IFkWh</v>
      </c>
      <c r="BQ48" s="45" t="str">
        <f t="shared" si="24"/>
        <v>WHFe + -IFkWh</v>
      </c>
      <c r="BS48" s="3583" t="s">
        <v>27</v>
      </c>
      <c r="BT48" s="3583" t="s">
        <v>27</v>
      </c>
      <c r="BU48" s="3332" t="s">
        <v>4451</v>
      </c>
      <c r="BV48" s="3332" t="s">
        <v>4451</v>
      </c>
      <c r="BW48" s="3332" t="s">
        <v>4451</v>
      </c>
      <c r="BX48" s="3332" t="s">
        <v>4451</v>
      </c>
      <c r="BY48" s="3332" t="s">
        <v>4451</v>
      </c>
      <c r="BZ48" s="3332" t="s">
        <v>4451</v>
      </c>
      <c r="CA48" s="3332" t="s">
        <v>4451</v>
      </c>
      <c r="CB48" s="3332" t="s">
        <v>4451</v>
      </c>
      <c r="CC48" s="3332" t="s">
        <v>4451</v>
      </c>
      <c r="CD48" s="3332" t="s">
        <v>4451</v>
      </c>
      <c r="CF48" s="3586" t="s">
        <v>27</v>
      </c>
      <c r="CG48" s="45" t="str">
        <f t="shared" ref="CG48:CQ48" si="25">$K$48</f>
        <v>ISR</v>
      </c>
      <c r="CH48" s="45" t="str">
        <f t="shared" si="25"/>
        <v>ISR</v>
      </c>
      <c r="CI48" s="45" t="str">
        <f t="shared" si="25"/>
        <v>ISR</v>
      </c>
      <c r="CJ48" s="45" t="str">
        <f t="shared" si="25"/>
        <v>ISR</v>
      </c>
      <c r="CK48" s="45" t="str">
        <f t="shared" si="25"/>
        <v>ISR</v>
      </c>
      <c r="CL48" s="45" t="str">
        <f t="shared" si="25"/>
        <v>ISR</v>
      </c>
      <c r="CM48" s="45" t="str">
        <f t="shared" si="25"/>
        <v>ISR</v>
      </c>
      <c r="CN48" s="45" t="str">
        <f t="shared" si="25"/>
        <v>ISR</v>
      </c>
      <c r="CO48" s="45" t="str">
        <f t="shared" si="25"/>
        <v>ISR</v>
      </c>
      <c r="CP48" s="45" t="str">
        <f t="shared" si="25"/>
        <v>ISR</v>
      </c>
      <c r="CQ48" s="45" t="str">
        <f t="shared" si="25"/>
        <v>ISR</v>
      </c>
      <c r="CS48" s="3586" t="s">
        <v>27</v>
      </c>
      <c r="CT48" s="45" t="str">
        <f t="shared" ref="CT48:DD48" si="26">$L$48</f>
        <v>EUL</v>
      </c>
      <c r="CU48" s="45" t="str">
        <f t="shared" si="26"/>
        <v>EUL</v>
      </c>
      <c r="CV48" s="45" t="str">
        <f t="shared" si="26"/>
        <v>EUL</v>
      </c>
      <c r="CW48" s="45" t="str">
        <f t="shared" si="26"/>
        <v>EUL</v>
      </c>
      <c r="CX48" s="45" t="str">
        <f t="shared" si="26"/>
        <v>EUL</v>
      </c>
      <c r="CY48" s="45" t="str">
        <f t="shared" si="26"/>
        <v>EUL</v>
      </c>
      <c r="CZ48" s="45" t="str">
        <f t="shared" si="26"/>
        <v>EUL</v>
      </c>
      <c r="DA48" s="45" t="str">
        <f t="shared" si="26"/>
        <v>EUL</v>
      </c>
      <c r="DB48" s="45" t="str">
        <f t="shared" si="26"/>
        <v>EUL</v>
      </c>
      <c r="DC48" s="45" t="str">
        <f t="shared" si="26"/>
        <v>EUL</v>
      </c>
      <c r="DD48" s="45" t="str">
        <f t="shared" si="26"/>
        <v>EUL</v>
      </c>
      <c r="DE48" s="21"/>
      <c r="DF48" s="21"/>
      <c r="DG48" s="22"/>
      <c r="DH48" s="21"/>
      <c r="DI48" s="21"/>
      <c r="DJ48" s="21"/>
    </row>
    <row r="49" spans="3:114" s="34" customFormat="1" hidden="1" outlineLevel="1" x14ac:dyDescent="0.35">
      <c r="C49" s="132"/>
      <c r="D49" s="1099" t="str">
        <f t="shared" ref="D49:D72" si="27">C9</f>
        <v>800050_2019_12_</v>
      </c>
      <c r="E49" s="1099" t="str">
        <f>E9</f>
        <v>LED &lt;=11 Watt Lamp Replacing Interior Halogen A 28-52 Watt Lamp</v>
      </c>
      <c r="F49" s="3318">
        <v>47.22</v>
      </c>
      <c r="G49" s="3318">
        <v>9.9700000000000006</v>
      </c>
      <c r="H49" s="3316">
        <v>2090</v>
      </c>
      <c r="I49" s="3269">
        <v>1.056</v>
      </c>
      <c r="J49" s="3269">
        <v>1.032</v>
      </c>
      <c r="K49" s="46">
        <v>1</v>
      </c>
      <c r="L49" s="1846">
        <v>10</v>
      </c>
      <c r="M49" s="3269">
        <f t="shared" ref="M49:M74" si="28">$S$52</f>
        <v>0.99071086865492275</v>
      </c>
      <c r="N49" s="350"/>
      <c r="O49" s="2444" t="s">
        <v>4126</v>
      </c>
      <c r="P49" s="3265">
        <v>0.996</v>
      </c>
      <c r="Q49" s="3265">
        <v>0.99399999999999999</v>
      </c>
      <c r="R49" s="3266">
        <v>0.99002400000000002</v>
      </c>
      <c r="S49" s="3267">
        <v>0.92431745313381841</v>
      </c>
      <c r="T49" s="350"/>
      <c r="U49" s="1100"/>
      <c r="V49" s="1616" t="s">
        <v>2484</v>
      </c>
      <c r="W49" s="48">
        <v>36</v>
      </c>
      <c r="X49" s="322">
        <v>45</v>
      </c>
      <c r="Y49" s="49">
        <v>45</v>
      </c>
      <c r="Z49" s="49">
        <v>45</v>
      </c>
      <c r="AA49" s="49">
        <v>45</v>
      </c>
      <c r="AB49" s="48">
        <v>60.524073707152766</v>
      </c>
      <c r="AC49" s="1798">
        <v>55.17</v>
      </c>
      <c r="AD49" s="478">
        <v>47.219512195121951</v>
      </c>
      <c r="AE49" s="479"/>
      <c r="AF49" s="479"/>
      <c r="AG49" s="479"/>
      <c r="AH49" s="1690"/>
      <c r="AI49" s="1949" t="s">
        <v>2484</v>
      </c>
      <c r="AJ49" s="48">
        <v>8</v>
      </c>
      <c r="AK49" s="322">
        <v>9.1999999999999993</v>
      </c>
      <c r="AL49" s="49">
        <v>9.1999999999999993</v>
      </c>
      <c r="AM49" s="48">
        <v>9.1999999999999993</v>
      </c>
      <c r="AN49" s="48">
        <v>9.1999999999999993</v>
      </c>
      <c r="AO49" s="48">
        <v>9.2734297602536166</v>
      </c>
      <c r="AP49" s="1798">
        <v>9.6199999999999992</v>
      </c>
      <c r="AQ49" s="478">
        <v>9.967265725288831</v>
      </c>
      <c r="AR49" s="479"/>
      <c r="AS49" s="479"/>
      <c r="AT49" s="1690"/>
      <c r="AU49" s="1949" t="s">
        <v>2484</v>
      </c>
      <c r="AV49" s="2480">
        <v>2920</v>
      </c>
      <c r="AW49" s="2481">
        <v>2386</v>
      </c>
      <c r="AX49" s="2480">
        <v>2386</v>
      </c>
      <c r="AY49" s="2480">
        <v>2386</v>
      </c>
      <c r="AZ49" s="2480">
        <v>2386</v>
      </c>
      <c r="BA49" s="2480">
        <v>3286.2179512581733</v>
      </c>
      <c r="BB49" s="2480">
        <v>2698</v>
      </c>
      <c r="BC49" s="3319">
        <v>2090.2888318356868</v>
      </c>
      <c r="BD49" s="479"/>
      <c r="BE49" s="479"/>
      <c r="BF49" s="1690"/>
      <c r="BG49" s="1949" t="s">
        <v>2484</v>
      </c>
      <c r="BH49" s="48">
        <v>1.07</v>
      </c>
      <c r="BI49" s="322">
        <v>1.08</v>
      </c>
      <c r="BJ49" s="479">
        <v>1.08</v>
      </c>
      <c r="BK49" s="50">
        <v>1.08</v>
      </c>
      <c r="BL49" s="49">
        <f>I49</f>
        <v>1.056</v>
      </c>
      <c r="BM49" s="49">
        <v>1.071</v>
      </c>
      <c r="BN49" s="1798">
        <v>1.071</v>
      </c>
      <c r="BO49" s="3337">
        <v>1.056</v>
      </c>
      <c r="BP49" s="479"/>
      <c r="BQ49" s="479"/>
      <c r="BR49" s="1690"/>
      <c r="BS49" s="3585" t="s">
        <v>2484</v>
      </c>
      <c r="BT49" s="3585"/>
      <c r="BU49" s="2448"/>
      <c r="BV49" s="2448"/>
      <c r="BW49" s="2448"/>
      <c r="BX49" s="2448"/>
      <c r="BY49" s="2448"/>
      <c r="BZ49" s="2448"/>
      <c r="CA49" s="3337">
        <v>1.032</v>
      </c>
      <c r="CB49" s="1589"/>
      <c r="CC49" s="1589"/>
      <c r="CD49" s="1589"/>
      <c r="CF49" s="3584" t="s">
        <v>2484</v>
      </c>
      <c r="CG49" s="48">
        <v>1</v>
      </c>
      <c r="CH49" s="322">
        <v>0.96</v>
      </c>
      <c r="CI49" s="48">
        <v>0.96</v>
      </c>
      <c r="CJ49" s="48">
        <v>0.96</v>
      </c>
      <c r="CK49" s="48">
        <v>0.96</v>
      </c>
      <c r="CL49" s="48">
        <v>0.96</v>
      </c>
      <c r="CM49" s="1798">
        <v>1</v>
      </c>
      <c r="CN49" s="1741">
        <v>1</v>
      </c>
      <c r="CO49" s="479"/>
      <c r="CP49" s="479"/>
      <c r="CQ49" s="479"/>
      <c r="CR49" s="1690"/>
      <c r="CS49" s="3584" t="s">
        <v>2484</v>
      </c>
      <c r="CT49" s="51">
        <v>17</v>
      </c>
      <c r="CU49" s="1583">
        <v>21</v>
      </c>
      <c r="CV49" s="1518">
        <v>21</v>
      </c>
      <c r="CW49" s="1518">
        <v>21</v>
      </c>
      <c r="CX49" s="1518">
        <v>21</v>
      </c>
      <c r="CY49" s="1518">
        <v>17</v>
      </c>
      <c r="CZ49" s="1926">
        <v>10</v>
      </c>
      <c r="DA49" s="3321">
        <v>10</v>
      </c>
      <c r="DB49" s="479"/>
      <c r="DC49" s="479"/>
      <c r="DD49" s="479"/>
      <c r="DE49" s="21"/>
      <c r="DF49" s="21"/>
      <c r="DG49" s="22"/>
      <c r="DH49" s="21"/>
      <c r="DI49" s="21"/>
      <c r="DJ49" s="21"/>
    </row>
    <row r="50" spans="3:114" s="34" customFormat="1" hidden="1" outlineLevel="1" x14ac:dyDescent="0.35">
      <c r="C50" s="132"/>
      <c r="D50" s="1099" t="str">
        <f t="shared" si="27"/>
        <v>800100_2019_12_</v>
      </c>
      <c r="E50" s="1099" t="str">
        <f t="shared" ref="E50:E73" si="29">E10</f>
        <v>LED 7-20 Watt Lamp Replacing Interior Halogen 53-70 Watt Lamp</v>
      </c>
      <c r="F50" s="3318">
        <v>64.83</v>
      </c>
      <c r="G50" s="3318">
        <v>9.8800000000000008</v>
      </c>
      <c r="H50" s="3316">
        <v>2290</v>
      </c>
      <c r="I50" s="3269">
        <v>1.056</v>
      </c>
      <c r="J50" s="3269">
        <v>1.032</v>
      </c>
      <c r="K50" s="46">
        <v>1</v>
      </c>
      <c r="L50" s="1846">
        <v>10</v>
      </c>
      <c r="M50" s="3269">
        <f t="shared" si="28"/>
        <v>0.99071086865492275</v>
      </c>
      <c r="N50" s="350"/>
      <c r="O50" s="2444" t="s">
        <v>4127</v>
      </c>
      <c r="P50" s="3265">
        <v>0.99199999999999999</v>
      </c>
      <c r="Q50" s="3265">
        <v>1.0069999999999999</v>
      </c>
      <c r="R50" s="3266">
        <v>0.99894399999999994</v>
      </c>
      <c r="S50" s="3267">
        <v>6.9952811031340587E-2</v>
      </c>
      <c r="T50" s="350"/>
      <c r="U50" s="1100"/>
      <c r="V50" s="1616" t="s">
        <v>2487</v>
      </c>
      <c r="W50" s="48">
        <v>63</v>
      </c>
      <c r="X50" s="52">
        <v>63</v>
      </c>
      <c r="Y50" s="52">
        <v>63</v>
      </c>
      <c r="Z50" s="49">
        <v>63</v>
      </c>
      <c r="AA50" s="49">
        <v>63</v>
      </c>
      <c r="AB50" s="48">
        <v>65.553668950451794</v>
      </c>
      <c r="AC50" s="1798">
        <v>65.27</v>
      </c>
      <c r="AD50" s="478">
        <v>64.832124352331604</v>
      </c>
      <c r="AE50" s="479"/>
      <c r="AF50" s="479"/>
      <c r="AG50" s="479"/>
      <c r="AH50" s="1690"/>
      <c r="AI50" s="1949" t="s">
        <v>2487</v>
      </c>
      <c r="AJ50" s="48">
        <v>14</v>
      </c>
      <c r="AK50" s="49">
        <v>14</v>
      </c>
      <c r="AL50" s="49">
        <v>14</v>
      </c>
      <c r="AM50" s="48">
        <v>14</v>
      </c>
      <c r="AN50" s="48">
        <v>14</v>
      </c>
      <c r="AO50" s="48">
        <v>9.6557442160659317</v>
      </c>
      <c r="AP50" s="1798">
        <v>9.6999999999999993</v>
      </c>
      <c r="AQ50" s="478">
        <v>9.8848680780060487</v>
      </c>
      <c r="AR50" s="479"/>
      <c r="AS50" s="479"/>
      <c r="AT50" s="1690"/>
      <c r="AU50" s="1949" t="s">
        <v>2487</v>
      </c>
      <c r="AV50" s="2480">
        <v>2920</v>
      </c>
      <c r="AW50" s="2482">
        <v>2920</v>
      </c>
      <c r="AX50" s="2480">
        <v>2920</v>
      </c>
      <c r="AY50" s="2480">
        <v>2920</v>
      </c>
      <c r="AZ50" s="2480">
        <v>2920</v>
      </c>
      <c r="BA50" s="2480">
        <v>2205.5545129579982</v>
      </c>
      <c r="BB50" s="2480">
        <v>2122</v>
      </c>
      <c r="BC50" s="3319">
        <v>2289.824590676817</v>
      </c>
      <c r="BD50" s="479"/>
      <c r="BE50" s="479"/>
      <c r="BF50" s="1690"/>
      <c r="BG50" s="1949" t="s">
        <v>2487</v>
      </c>
      <c r="BH50" s="48">
        <v>1.07</v>
      </c>
      <c r="BI50" s="48">
        <v>1.07</v>
      </c>
      <c r="BJ50" s="479">
        <v>1.07</v>
      </c>
      <c r="BK50" s="50">
        <v>1.07</v>
      </c>
      <c r="BL50" s="50">
        <v>1.07</v>
      </c>
      <c r="BM50" s="49">
        <v>1.071</v>
      </c>
      <c r="BN50" s="1798">
        <v>1.071</v>
      </c>
      <c r="BO50" s="3337">
        <v>1.056</v>
      </c>
      <c r="BP50" s="479"/>
      <c r="BQ50" s="479"/>
      <c r="BR50" s="1690"/>
      <c r="BS50" s="3585" t="s">
        <v>2487</v>
      </c>
      <c r="BT50" s="3585"/>
      <c r="BU50" s="2448"/>
      <c r="BV50" s="2448"/>
      <c r="BW50" s="2448"/>
      <c r="BX50" s="2448"/>
      <c r="BY50" s="2448"/>
      <c r="BZ50" s="2448"/>
      <c r="CA50" s="3337">
        <v>1.032</v>
      </c>
      <c r="CB50" s="1589"/>
      <c r="CC50" s="1589"/>
      <c r="CD50" s="1589"/>
      <c r="CF50" s="3584" t="s">
        <v>2487</v>
      </c>
      <c r="CG50" s="48">
        <v>1</v>
      </c>
      <c r="CH50" s="49">
        <v>1</v>
      </c>
      <c r="CI50" s="48">
        <v>1</v>
      </c>
      <c r="CJ50" s="48">
        <v>1</v>
      </c>
      <c r="CK50" s="48">
        <v>1</v>
      </c>
      <c r="CL50" s="48">
        <v>1</v>
      </c>
      <c r="CM50" s="1798">
        <v>1</v>
      </c>
      <c r="CN50" s="1741">
        <v>1</v>
      </c>
      <c r="CO50" s="479"/>
      <c r="CP50" s="479"/>
      <c r="CQ50" s="479"/>
      <c r="CR50" s="1690"/>
      <c r="CS50" s="3584" t="s">
        <v>2487</v>
      </c>
      <c r="CT50" s="51">
        <v>17</v>
      </c>
      <c r="CU50" s="55">
        <v>17</v>
      </c>
      <c r="CV50" s="1518">
        <v>17</v>
      </c>
      <c r="CW50" s="1518">
        <v>17</v>
      </c>
      <c r="CX50" s="1518">
        <v>17</v>
      </c>
      <c r="CY50" s="1518">
        <v>17</v>
      </c>
      <c r="CZ50" s="1926">
        <v>10</v>
      </c>
      <c r="DA50" s="3321">
        <v>10</v>
      </c>
      <c r="DB50" s="479"/>
      <c r="DC50" s="479"/>
      <c r="DD50" s="479"/>
      <c r="DE50" s="21"/>
      <c r="DF50" s="21"/>
      <c r="DG50" s="22"/>
      <c r="DH50" s="21"/>
      <c r="DI50" s="21"/>
      <c r="DJ50" s="21"/>
    </row>
    <row r="51" spans="3:114" s="34" customFormat="1" hidden="1" outlineLevel="1" x14ac:dyDescent="0.35">
      <c r="C51" s="132"/>
      <c r="D51" s="1099" t="str">
        <f t="shared" si="27"/>
        <v>800150_2019_12_</v>
      </c>
      <c r="E51" s="1099" t="str">
        <f t="shared" si="29"/>
        <v>LED &lt;=14 Watt Lamp Replacing Interior Halogen BR/R 45-65 Watt Lamp</v>
      </c>
      <c r="F51" s="3318">
        <v>65.849999999999994</v>
      </c>
      <c r="G51" s="3318">
        <v>10.31</v>
      </c>
      <c r="H51" s="3316">
        <v>4002</v>
      </c>
      <c r="I51" s="3269">
        <v>1.056</v>
      </c>
      <c r="J51" s="3269">
        <v>1.032</v>
      </c>
      <c r="K51" s="46">
        <v>1</v>
      </c>
      <c r="L51" s="1846">
        <v>10</v>
      </c>
      <c r="M51" s="3269">
        <f t="shared" si="28"/>
        <v>0.99071086865492275</v>
      </c>
      <c r="N51" s="350"/>
      <c r="O51" s="2444" t="s">
        <v>4128</v>
      </c>
      <c r="P51" s="3265">
        <v>1.0009999999999999</v>
      </c>
      <c r="Q51" s="3265">
        <v>1</v>
      </c>
      <c r="R51" s="3266">
        <v>1.0009999999999999</v>
      </c>
      <c r="S51" s="3267">
        <v>5.7297358348410328E-3</v>
      </c>
      <c r="T51" s="350"/>
      <c r="U51" s="1100"/>
      <c r="V51" s="1616" t="s">
        <v>2489</v>
      </c>
      <c r="W51" s="48">
        <v>55</v>
      </c>
      <c r="X51" s="322">
        <v>62</v>
      </c>
      <c r="Y51" s="49">
        <v>62</v>
      </c>
      <c r="Z51" s="49">
        <v>62</v>
      </c>
      <c r="AA51" s="49">
        <v>62</v>
      </c>
      <c r="AB51" s="48">
        <v>66.525768731052409</v>
      </c>
      <c r="AC51" s="1798">
        <v>66.88</v>
      </c>
      <c r="AD51" s="478">
        <v>65.846788045345235</v>
      </c>
      <c r="AE51" s="479"/>
      <c r="AF51" s="479"/>
      <c r="AG51" s="479"/>
      <c r="AH51" s="1690"/>
      <c r="AI51" s="1949" t="s">
        <v>2489</v>
      </c>
      <c r="AJ51" s="48">
        <v>12</v>
      </c>
      <c r="AK51" s="322">
        <v>9.3000000000000007</v>
      </c>
      <c r="AL51" s="49">
        <v>9.3000000000000007</v>
      </c>
      <c r="AM51" s="48">
        <v>9.3000000000000007</v>
      </c>
      <c r="AN51" s="48">
        <v>9.3000000000000007</v>
      </c>
      <c r="AO51" s="48">
        <v>10.191857947163275</v>
      </c>
      <c r="AP51" s="1798">
        <v>10.48</v>
      </c>
      <c r="AQ51" s="478">
        <v>10.311877789220734</v>
      </c>
      <c r="AR51" s="479"/>
      <c r="AS51" s="479"/>
      <c r="AT51" s="1690"/>
      <c r="AU51" s="1949" t="s">
        <v>2489</v>
      </c>
      <c r="AV51" s="2480">
        <v>4380</v>
      </c>
      <c r="AW51" s="2483">
        <v>3583</v>
      </c>
      <c r="AX51" s="2480">
        <v>3583</v>
      </c>
      <c r="AY51" s="2480">
        <v>3583</v>
      </c>
      <c r="AZ51" s="2480">
        <v>3583</v>
      </c>
      <c r="BA51" s="2480">
        <v>2711.439800779558</v>
      </c>
      <c r="BB51" s="2480">
        <v>2553</v>
      </c>
      <c r="BC51" s="3319">
        <v>4001.6227257123242</v>
      </c>
      <c r="BD51" s="479"/>
      <c r="BE51" s="479"/>
      <c r="BF51" s="1690"/>
      <c r="BG51" s="1949" t="s">
        <v>2489</v>
      </c>
      <c r="BH51" s="48">
        <v>1.07</v>
      </c>
      <c r="BI51" s="322">
        <v>1.0900000000000001</v>
      </c>
      <c r="BJ51" s="479">
        <v>1.0900000000000001</v>
      </c>
      <c r="BK51" s="50">
        <v>1.0900000000000001</v>
      </c>
      <c r="BL51" s="50">
        <v>1.0900000000000001</v>
      </c>
      <c r="BM51" s="49">
        <v>1.071</v>
      </c>
      <c r="BN51" s="1798">
        <v>1.071</v>
      </c>
      <c r="BO51" s="3337">
        <v>1.056</v>
      </c>
      <c r="BP51" s="479"/>
      <c r="BQ51" s="479"/>
      <c r="BR51" s="1690"/>
      <c r="BS51" s="3585" t="s">
        <v>2489</v>
      </c>
      <c r="BT51" s="3585"/>
      <c r="BU51" s="2448"/>
      <c r="BV51" s="2448"/>
      <c r="BW51" s="2448"/>
      <c r="BX51" s="2448"/>
      <c r="BY51" s="2448"/>
      <c r="BZ51" s="2448"/>
      <c r="CA51" s="3337">
        <v>1.032</v>
      </c>
      <c r="CB51" s="1589"/>
      <c r="CC51" s="1589"/>
      <c r="CD51" s="1589"/>
      <c r="CF51" s="3584" t="s">
        <v>2489</v>
      </c>
      <c r="CG51" s="48">
        <v>1</v>
      </c>
      <c r="CH51" s="322">
        <v>0.99</v>
      </c>
      <c r="CI51" s="48">
        <v>0.99</v>
      </c>
      <c r="CJ51" s="48">
        <v>0.99</v>
      </c>
      <c r="CK51" s="48">
        <v>0.99</v>
      </c>
      <c r="CL51" s="48">
        <v>0.99</v>
      </c>
      <c r="CM51" s="1798">
        <v>1</v>
      </c>
      <c r="CN51" s="1741">
        <v>1</v>
      </c>
      <c r="CO51" s="479"/>
      <c r="CP51" s="479"/>
      <c r="CQ51" s="479"/>
      <c r="CR51" s="1690"/>
      <c r="CS51" s="3584" t="s">
        <v>2489</v>
      </c>
      <c r="CT51" s="51">
        <v>11</v>
      </c>
      <c r="CU51" s="1583">
        <v>14</v>
      </c>
      <c r="CV51" s="1518">
        <v>14</v>
      </c>
      <c r="CW51" s="1518">
        <v>14</v>
      </c>
      <c r="CX51" s="1518">
        <v>14</v>
      </c>
      <c r="CY51" s="1518">
        <v>11</v>
      </c>
      <c r="CZ51" s="1926">
        <v>10</v>
      </c>
      <c r="DA51" s="3321">
        <v>10</v>
      </c>
      <c r="DB51" s="479"/>
      <c r="DC51" s="479"/>
      <c r="DD51" s="479"/>
      <c r="DE51" s="21"/>
      <c r="DF51" s="21"/>
      <c r="DG51" s="22"/>
      <c r="DH51" s="21"/>
      <c r="DI51" s="21"/>
      <c r="DJ51" s="21"/>
    </row>
    <row r="52" spans="3:114" s="34" customFormat="1" hidden="1" outlineLevel="1" x14ac:dyDescent="0.35">
      <c r="C52" s="132"/>
      <c r="D52" s="1099" t="str">
        <f t="shared" si="27"/>
        <v>800200_2019_12_</v>
      </c>
      <c r="E52" s="1099" t="str">
        <f t="shared" si="29"/>
        <v>LED &lt;=13 Watt Lamp Replacing Interior Halogen MR-16 35-50 Watt Lamp</v>
      </c>
      <c r="F52" s="3318">
        <v>49</v>
      </c>
      <c r="G52" s="3318">
        <v>7.26</v>
      </c>
      <c r="H52" s="3316">
        <v>1825</v>
      </c>
      <c r="I52" s="3269">
        <v>1.056</v>
      </c>
      <c r="J52" s="3269">
        <v>1.032</v>
      </c>
      <c r="K52" s="46">
        <v>1</v>
      </c>
      <c r="L52" s="1846">
        <v>10</v>
      </c>
      <c r="M52" s="3269">
        <f t="shared" si="28"/>
        <v>0.99071086865492275</v>
      </c>
      <c r="N52" s="350"/>
      <c r="O52" s="350"/>
      <c r="P52" s="350"/>
      <c r="Q52" s="2444"/>
      <c r="R52" s="2716" t="s">
        <v>4129</v>
      </c>
      <c r="S52" s="3268">
        <f>SUMPRODUCT(R49:R51,S49:S51)</f>
        <v>0.99071086865492275</v>
      </c>
      <c r="T52" s="350"/>
      <c r="U52" s="1101"/>
      <c r="V52" s="1616" t="s">
        <v>2491</v>
      </c>
      <c r="W52" s="48">
        <v>50</v>
      </c>
      <c r="X52" s="322">
        <v>45</v>
      </c>
      <c r="Y52" s="49">
        <v>45</v>
      </c>
      <c r="Z52" s="49">
        <v>45</v>
      </c>
      <c r="AA52" s="49">
        <v>45</v>
      </c>
      <c r="AB52" s="48">
        <v>46.867785939139559</v>
      </c>
      <c r="AC52" s="1798">
        <v>41.62</v>
      </c>
      <c r="AD52" s="478">
        <v>49.004160166406656</v>
      </c>
      <c r="AE52" s="479"/>
      <c r="AF52" s="479"/>
      <c r="AG52" s="479"/>
      <c r="AH52" s="1690"/>
      <c r="AI52" s="1949" t="s">
        <v>2491</v>
      </c>
      <c r="AJ52" s="48">
        <v>12</v>
      </c>
      <c r="AK52" s="322">
        <v>8.5</v>
      </c>
      <c r="AL52" s="49">
        <v>8.5</v>
      </c>
      <c r="AM52" s="48">
        <v>8.5</v>
      </c>
      <c r="AN52" s="48">
        <v>8.5</v>
      </c>
      <c r="AO52" s="48">
        <v>6.5456453305351525</v>
      </c>
      <c r="AP52" s="1798">
        <v>6.35</v>
      </c>
      <c r="AQ52" s="478">
        <v>7.2600104004160171</v>
      </c>
      <c r="AR52" s="479"/>
      <c r="AS52" s="479"/>
      <c r="AT52" s="1690"/>
      <c r="AU52" s="1949" t="s">
        <v>2491</v>
      </c>
      <c r="AV52" s="2480">
        <v>4380</v>
      </c>
      <c r="AW52" s="2481">
        <v>4120</v>
      </c>
      <c r="AX52" s="2480">
        <v>4120</v>
      </c>
      <c r="AY52" s="2480">
        <v>4120</v>
      </c>
      <c r="AZ52" s="2480">
        <v>4120</v>
      </c>
      <c r="BA52" s="2480">
        <v>3585.087093389297</v>
      </c>
      <c r="BB52" s="2480">
        <v>2808</v>
      </c>
      <c r="BC52" s="3319">
        <v>1824.646905876235</v>
      </c>
      <c r="BD52" s="479"/>
      <c r="BE52" s="479"/>
      <c r="BF52" s="1690"/>
      <c r="BG52" s="1949" t="s">
        <v>2491</v>
      </c>
      <c r="BH52" s="48">
        <v>1.07</v>
      </c>
      <c r="BI52" s="322">
        <v>1.1000000000000001</v>
      </c>
      <c r="BJ52" s="479">
        <v>1.1000000000000001</v>
      </c>
      <c r="BK52" s="50">
        <v>1.1000000000000001</v>
      </c>
      <c r="BL52" s="50">
        <v>1.1000000000000001</v>
      </c>
      <c r="BM52" s="49">
        <v>1.071</v>
      </c>
      <c r="BN52" s="1798">
        <v>1.071</v>
      </c>
      <c r="BO52" s="3337">
        <v>1.056</v>
      </c>
      <c r="BP52" s="479"/>
      <c r="BQ52" s="479"/>
      <c r="BR52" s="1690"/>
      <c r="BS52" s="3585" t="s">
        <v>2491</v>
      </c>
      <c r="BT52" s="3585"/>
      <c r="BU52" s="2448"/>
      <c r="BV52" s="2448"/>
      <c r="BW52" s="2448"/>
      <c r="BX52" s="2448"/>
      <c r="BY52" s="2448"/>
      <c r="BZ52" s="2448"/>
      <c r="CA52" s="3337">
        <v>1.032</v>
      </c>
      <c r="CB52" s="1589"/>
      <c r="CC52" s="1589"/>
      <c r="CD52" s="1589"/>
      <c r="CF52" s="3584" t="s">
        <v>2491</v>
      </c>
      <c r="CG52" s="48">
        <v>1</v>
      </c>
      <c r="CH52" s="322">
        <v>0.995</v>
      </c>
      <c r="CI52" s="48">
        <v>0.995</v>
      </c>
      <c r="CJ52" s="48">
        <v>0.995</v>
      </c>
      <c r="CK52" s="48">
        <v>0.995</v>
      </c>
      <c r="CL52" s="48">
        <v>0.995</v>
      </c>
      <c r="CM52" s="1798">
        <v>0.995</v>
      </c>
      <c r="CN52" s="1741">
        <v>0.995</v>
      </c>
      <c r="CO52" s="479"/>
      <c r="CP52" s="479"/>
      <c r="CQ52" s="479"/>
      <c r="CR52" s="1690"/>
      <c r="CS52" s="3584" t="s">
        <v>2491</v>
      </c>
      <c r="CT52" s="51">
        <v>11</v>
      </c>
      <c r="CU52" s="1583">
        <v>12</v>
      </c>
      <c r="CV52" s="1518">
        <v>12</v>
      </c>
      <c r="CW52" s="1518">
        <v>12</v>
      </c>
      <c r="CX52" s="1518">
        <v>12</v>
      </c>
      <c r="CY52" s="1518">
        <v>11</v>
      </c>
      <c r="CZ52" s="1926">
        <v>10</v>
      </c>
      <c r="DA52" s="3321">
        <v>10</v>
      </c>
      <c r="DB52" s="479"/>
      <c r="DC52" s="479"/>
      <c r="DD52" s="479"/>
      <c r="DE52" s="21"/>
      <c r="DF52" s="21"/>
      <c r="DG52" s="22"/>
      <c r="DH52" s="21"/>
      <c r="DI52" s="21"/>
      <c r="DJ52" s="21"/>
    </row>
    <row r="53" spans="3:114" ht="15" hidden="1" customHeight="1" outlineLevel="1" x14ac:dyDescent="0.35">
      <c r="C53" s="132"/>
      <c r="D53" s="1099" t="str">
        <f t="shared" si="27"/>
        <v>800250_2019_12_</v>
      </c>
      <c r="E53" s="1099" t="str">
        <f t="shared" si="29"/>
        <v>LED &lt;=20 Watt Lamp Replacing Interior Halogen PAR 48-90 Watt Lamp</v>
      </c>
      <c r="F53" s="3318">
        <v>76.37</v>
      </c>
      <c r="G53" s="3318">
        <v>13.43</v>
      </c>
      <c r="H53" s="3316">
        <v>2852</v>
      </c>
      <c r="I53" s="3269">
        <v>1.056</v>
      </c>
      <c r="J53" s="3269">
        <v>1.032</v>
      </c>
      <c r="K53" s="46">
        <v>1</v>
      </c>
      <c r="L53" s="1846">
        <v>10</v>
      </c>
      <c r="M53" s="3269">
        <f t="shared" si="28"/>
        <v>0.99071086865492275</v>
      </c>
      <c r="O53" s="4566" t="s">
        <v>4446</v>
      </c>
      <c r="P53" s="4566"/>
      <c r="Q53" s="4566"/>
      <c r="R53" s="4566"/>
      <c r="S53" s="4566"/>
      <c r="U53" s="1102"/>
      <c r="V53" s="1616" t="s">
        <v>2493</v>
      </c>
      <c r="W53" s="48">
        <v>70</v>
      </c>
      <c r="X53" s="322">
        <v>72</v>
      </c>
      <c r="Y53" s="49">
        <v>72</v>
      </c>
      <c r="Z53" s="49">
        <v>72</v>
      </c>
      <c r="AA53" s="49">
        <v>72</v>
      </c>
      <c r="AB53" s="48">
        <v>75.836453954910198</v>
      </c>
      <c r="AC53" s="1798">
        <v>75.62</v>
      </c>
      <c r="AD53" s="478">
        <v>76.371454711802386</v>
      </c>
      <c r="AE53" s="479"/>
      <c r="AF53" s="479"/>
      <c r="AG53" s="479"/>
      <c r="AH53" s="54"/>
      <c r="AI53" s="1949" t="s">
        <v>2493</v>
      </c>
      <c r="AJ53" s="48">
        <v>15</v>
      </c>
      <c r="AK53" s="322">
        <v>12.8</v>
      </c>
      <c r="AL53" s="49">
        <v>12.8</v>
      </c>
      <c r="AM53" s="48">
        <v>12.8</v>
      </c>
      <c r="AN53" s="48">
        <v>12.8</v>
      </c>
      <c r="AO53" s="48">
        <v>12.790026748184944</v>
      </c>
      <c r="AP53" s="1798">
        <v>12.35</v>
      </c>
      <c r="AQ53" s="478">
        <v>13.429835265405735</v>
      </c>
      <c r="AR53" s="479"/>
      <c r="AS53" s="479"/>
      <c r="AT53" s="54"/>
      <c r="AU53" s="1949" t="s">
        <v>2493</v>
      </c>
      <c r="AV53" s="2480">
        <v>4380</v>
      </c>
      <c r="AW53" s="2481">
        <v>4003</v>
      </c>
      <c r="AX53" s="2480">
        <v>4003</v>
      </c>
      <c r="AY53" s="2480">
        <v>4003</v>
      </c>
      <c r="AZ53" s="2480">
        <v>4003</v>
      </c>
      <c r="BA53" s="2480">
        <v>3397.4975162399696</v>
      </c>
      <c r="BB53" s="2480">
        <v>2956</v>
      </c>
      <c r="BC53" s="3319">
        <v>2851.9417327638803</v>
      </c>
      <c r="BD53" s="479"/>
      <c r="BE53" s="479"/>
      <c r="BF53" s="54"/>
      <c r="BG53" s="1949" t="s">
        <v>2493</v>
      </c>
      <c r="BH53" s="48">
        <v>1.07</v>
      </c>
      <c r="BI53" s="322">
        <v>1.0900000000000001</v>
      </c>
      <c r="BJ53" s="479">
        <v>1.0900000000000001</v>
      </c>
      <c r="BK53" s="50">
        <v>1.0900000000000001</v>
      </c>
      <c r="BL53" s="50">
        <v>1.0900000000000001</v>
      </c>
      <c r="BM53" s="49">
        <v>1.071</v>
      </c>
      <c r="BN53" s="1798">
        <v>1.071</v>
      </c>
      <c r="BO53" s="3337">
        <v>1.056</v>
      </c>
      <c r="BP53" s="479"/>
      <c r="BQ53" s="479"/>
      <c r="BR53" s="54"/>
      <c r="BS53" s="3585" t="s">
        <v>2493</v>
      </c>
      <c r="BT53" s="3585"/>
      <c r="BU53" s="2448"/>
      <c r="BV53" s="2448"/>
      <c r="BW53" s="2448"/>
      <c r="BX53" s="2448"/>
      <c r="BY53" s="2448"/>
      <c r="BZ53" s="2448"/>
      <c r="CA53" s="3337">
        <v>1.032</v>
      </c>
      <c r="CB53" s="1589"/>
      <c r="CC53" s="1589"/>
      <c r="CD53" s="1589"/>
      <c r="CF53" s="3584" t="s">
        <v>2493</v>
      </c>
      <c r="CG53" s="48">
        <v>1</v>
      </c>
      <c r="CH53" s="322">
        <v>0.99</v>
      </c>
      <c r="CI53" s="48">
        <v>0.99</v>
      </c>
      <c r="CJ53" s="48">
        <v>0.99</v>
      </c>
      <c r="CK53" s="48">
        <v>0.99</v>
      </c>
      <c r="CL53" s="48">
        <v>0.99</v>
      </c>
      <c r="CM53" s="1798">
        <v>1</v>
      </c>
      <c r="CN53" s="1741">
        <v>1</v>
      </c>
      <c r="CO53" s="479"/>
      <c r="CP53" s="479"/>
      <c r="CQ53" s="479"/>
      <c r="CR53" s="54"/>
      <c r="CS53" s="3584" t="s">
        <v>2493</v>
      </c>
      <c r="CT53" s="51">
        <v>11</v>
      </c>
      <c r="CU53" s="1583">
        <v>12</v>
      </c>
      <c r="CV53" s="1518">
        <v>12</v>
      </c>
      <c r="CW53" s="1518">
        <v>12</v>
      </c>
      <c r="CX53" s="1518">
        <v>12</v>
      </c>
      <c r="CY53" s="1518">
        <v>11</v>
      </c>
      <c r="CZ53" s="1926">
        <v>10</v>
      </c>
      <c r="DA53" s="3321">
        <v>10</v>
      </c>
      <c r="DB53" s="479"/>
      <c r="DC53" s="479"/>
      <c r="DD53" s="479"/>
    </row>
    <row r="54" spans="3:114" hidden="1" outlineLevel="1" x14ac:dyDescent="0.35">
      <c r="C54" s="132"/>
      <c r="D54" s="1099" t="str">
        <f t="shared" si="27"/>
        <v>800300_2019_12_</v>
      </c>
      <c r="E54" s="1099" t="str">
        <f t="shared" si="29"/>
        <v>LED &lt;=80 Watt Lamp or Fixture Replacing Interior HID 100-175 Watt Lamp or Fixture</v>
      </c>
      <c r="F54" s="3318">
        <v>414.84</v>
      </c>
      <c r="G54" s="3318">
        <v>123</v>
      </c>
      <c r="H54" s="3316">
        <v>3697</v>
      </c>
      <c r="I54" s="3269">
        <v>1.056</v>
      </c>
      <c r="J54" s="3269">
        <v>1.032</v>
      </c>
      <c r="K54" s="46">
        <v>1</v>
      </c>
      <c r="L54" s="1846">
        <v>15</v>
      </c>
      <c r="M54" s="3269">
        <f t="shared" si="28"/>
        <v>0.99071086865492275</v>
      </c>
      <c r="O54" s="4566"/>
      <c r="P54" s="4566"/>
      <c r="Q54" s="4566"/>
      <c r="R54" s="4566"/>
      <c r="S54" s="4566"/>
      <c r="U54" s="1102"/>
      <c r="V54" s="1616" t="s">
        <v>2495</v>
      </c>
      <c r="W54" s="48">
        <v>175</v>
      </c>
      <c r="X54" s="322">
        <v>132</v>
      </c>
      <c r="Y54" s="49">
        <v>132</v>
      </c>
      <c r="Z54" s="49">
        <v>132</v>
      </c>
      <c r="AA54" s="49">
        <v>132</v>
      </c>
      <c r="AB54" s="48">
        <v>459.93313010766639</v>
      </c>
      <c r="AC54" s="1798">
        <v>114.81</v>
      </c>
      <c r="AD54" s="478">
        <v>414.83622207804245</v>
      </c>
      <c r="AE54" s="479"/>
      <c r="AF54" s="479"/>
      <c r="AG54" s="479"/>
      <c r="AH54" s="54"/>
      <c r="AI54" s="1949" t="s">
        <v>2495</v>
      </c>
      <c r="AJ54" s="48">
        <v>52</v>
      </c>
      <c r="AK54" s="322">
        <v>48</v>
      </c>
      <c r="AL54" s="49">
        <v>48</v>
      </c>
      <c r="AM54" s="48">
        <v>48</v>
      </c>
      <c r="AN54" s="48">
        <v>48</v>
      </c>
      <c r="AO54" s="48">
        <v>141.88500454014789</v>
      </c>
      <c r="AP54" s="1798">
        <v>20.54</v>
      </c>
      <c r="AQ54" s="478">
        <v>123.0018049544157</v>
      </c>
      <c r="AR54" s="479"/>
      <c r="AS54" s="479"/>
      <c r="AT54" s="54"/>
      <c r="AU54" s="1949" t="s">
        <v>2495</v>
      </c>
      <c r="AV54" s="2480">
        <v>4380</v>
      </c>
      <c r="AW54" s="2481">
        <v>4399</v>
      </c>
      <c r="AX54" s="2480">
        <v>4399</v>
      </c>
      <c r="AY54" s="2480">
        <v>4399</v>
      </c>
      <c r="AZ54" s="2480">
        <v>4399</v>
      </c>
      <c r="BA54" s="2480">
        <v>3517.5659618627578</v>
      </c>
      <c r="BB54" s="2480">
        <v>6900</v>
      </c>
      <c r="BC54" s="3319">
        <v>3697.4137581729442</v>
      </c>
      <c r="BD54" s="479"/>
      <c r="BE54" s="479"/>
      <c r="BF54" s="54"/>
      <c r="BG54" s="1949" t="s">
        <v>2495</v>
      </c>
      <c r="BH54" s="48">
        <v>1.07</v>
      </c>
      <c r="BI54" s="322">
        <v>1</v>
      </c>
      <c r="BJ54" s="479">
        <v>1</v>
      </c>
      <c r="BK54" s="50">
        <v>1</v>
      </c>
      <c r="BL54" s="50">
        <v>1</v>
      </c>
      <c r="BM54" s="49">
        <v>1.071</v>
      </c>
      <c r="BN54" s="1798">
        <v>1.071</v>
      </c>
      <c r="BO54" s="3337">
        <v>1.056</v>
      </c>
      <c r="BP54" s="479"/>
      <c r="BQ54" s="479"/>
      <c r="BR54" s="54"/>
      <c r="BS54" s="3585" t="s">
        <v>2495</v>
      </c>
      <c r="BT54" s="3585"/>
      <c r="BU54" s="2448"/>
      <c r="BV54" s="2448"/>
      <c r="BW54" s="2448"/>
      <c r="BX54" s="2448"/>
      <c r="BY54" s="2448"/>
      <c r="BZ54" s="2448"/>
      <c r="CA54" s="3337">
        <v>1.032</v>
      </c>
      <c r="CB54" s="1589"/>
      <c r="CC54" s="1589"/>
      <c r="CD54" s="1589"/>
      <c r="CF54" s="3584" t="s">
        <v>2495</v>
      </c>
      <c r="CG54" s="48">
        <v>1</v>
      </c>
      <c r="CH54" s="49">
        <v>1</v>
      </c>
      <c r="CI54" s="48">
        <v>1</v>
      </c>
      <c r="CJ54" s="48">
        <v>1</v>
      </c>
      <c r="CK54" s="48">
        <v>1</v>
      </c>
      <c r="CL54" s="48">
        <v>1</v>
      </c>
      <c r="CM54" s="1798">
        <v>1</v>
      </c>
      <c r="CN54" s="1741">
        <v>1</v>
      </c>
      <c r="CO54" s="479"/>
      <c r="CP54" s="479"/>
      <c r="CQ54" s="479"/>
      <c r="CR54" s="54"/>
      <c r="CS54" s="3584" t="s">
        <v>2495</v>
      </c>
      <c r="CT54" s="51">
        <v>11</v>
      </c>
      <c r="CU54" s="55">
        <v>11</v>
      </c>
      <c r="CV54" s="1518">
        <v>11</v>
      </c>
      <c r="CW54" s="1518">
        <v>11</v>
      </c>
      <c r="CX54" s="1518">
        <v>11</v>
      </c>
      <c r="CY54" s="1518">
        <v>11</v>
      </c>
      <c r="CZ54" s="1926">
        <v>15</v>
      </c>
      <c r="DA54" s="3321">
        <v>15</v>
      </c>
      <c r="DB54" s="479"/>
      <c r="DC54" s="479"/>
      <c r="DD54" s="479"/>
    </row>
    <row r="55" spans="3:114" hidden="1" outlineLevel="1" x14ac:dyDescent="0.35">
      <c r="C55" s="132"/>
      <c r="D55" s="1099" t="str">
        <f t="shared" si="27"/>
        <v>800350_2019_12_</v>
      </c>
      <c r="E55" s="1099" t="str">
        <f t="shared" si="29"/>
        <v>LED 62 - 130 Watt Lamp or Fixture Replacing Interior HID 176-300 Watt Lamp or Fixture</v>
      </c>
      <c r="F55" s="46">
        <v>281.02</v>
      </c>
      <c r="G55" s="46">
        <v>111.93</v>
      </c>
      <c r="H55" s="2113">
        <v>4769</v>
      </c>
      <c r="I55" s="3269">
        <v>1.056</v>
      </c>
      <c r="J55" s="3269">
        <v>1.032</v>
      </c>
      <c r="K55" s="46">
        <v>1</v>
      </c>
      <c r="L55" s="1846">
        <v>15</v>
      </c>
      <c r="M55" s="3269">
        <f t="shared" si="28"/>
        <v>0.99071086865492275</v>
      </c>
      <c r="O55" s="4566"/>
      <c r="P55" s="4566"/>
      <c r="Q55" s="4566"/>
      <c r="R55" s="4566"/>
      <c r="S55" s="4566"/>
      <c r="U55" s="1102"/>
      <c r="V55" s="1616" t="s">
        <v>2497</v>
      </c>
      <c r="W55" s="48">
        <v>250</v>
      </c>
      <c r="X55" s="322">
        <v>262</v>
      </c>
      <c r="Y55" s="49">
        <v>262</v>
      </c>
      <c r="Z55" s="49">
        <v>262</v>
      </c>
      <c r="AA55" s="49">
        <v>262</v>
      </c>
      <c r="AB55" s="48">
        <v>262</v>
      </c>
      <c r="AC55" s="1798">
        <v>281.02</v>
      </c>
      <c r="AD55" s="52">
        <v>281.02314814814815</v>
      </c>
      <c r="AE55" s="479"/>
      <c r="AF55" s="479"/>
      <c r="AG55" s="479"/>
      <c r="AH55" s="54"/>
      <c r="AI55" s="1949" t="s">
        <v>2497</v>
      </c>
      <c r="AJ55" s="48">
        <v>100</v>
      </c>
      <c r="AK55" s="322">
        <v>92</v>
      </c>
      <c r="AL55" s="49">
        <v>92</v>
      </c>
      <c r="AM55" s="48">
        <v>92</v>
      </c>
      <c r="AN55" s="48">
        <v>92</v>
      </c>
      <c r="AO55" s="48">
        <v>92</v>
      </c>
      <c r="AP55" s="1798">
        <v>111.93</v>
      </c>
      <c r="AQ55" s="52">
        <v>111.92592592592592</v>
      </c>
      <c r="AR55" s="479"/>
      <c r="AS55" s="479"/>
      <c r="AT55" s="54"/>
      <c r="AU55" s="1949" t="s">
        <v>2497</v>
      </c>
      <c r="AV55" s="2480">
        <v>4380</v>
      </c>
      <c r="AW55" s="2481">
        <v>4954.4778036070838</v>
      </c>
      <c r="AX55" s="2480">
        <v>4954.4778036070838</v>
      </c>
      <c r="AY55" s="2480">
        <v>4954.4778036070838</v>
      </c>
      <c r="AZ55" s="2480">
        <v>4954.4778036070838</v>
      </c>
      <c r="BA55" s="2480">
        <v>4954.4778036070838</v>
      </c>
      <c r="BB55" s="2480">
        <v>4769</v>
      </c>
      <c r="BC55" s="3320">
        <v>4768.7638888888887</v>
      </c>
      <c r="BD55" s="479"/>
      <c r="BE55" s="479"/>
      <c r="BF55" s="54"/>
      <c r="BG55" s="1949" t="s">
        <v>2497</v>
      </c>
      <c r="BH55" s="48">
        <v>1.07</v>
      </c>
      <c r="BI55" s="322">
        <v>1.05</v>
      </c>
      <c r="BJ55" s="479">
        <v>1.05</v>
      </c>
      <c r="BK55" s="50">
        <v>1.05</v>
      </c>
      <c r="BL55" s="50">
        <v>1.05</v>
      </c>
      <c r="BM55" s="49">
        <v>1.071</v>
      </c>
      <c r="BN55" s="1798">
        <v>1.071</v>
      </c>
      <c r="BO55" s="3337">
        <v>1.056</v>
      </c>
      <c r="BP55" s="479"/>
      <c r="BQ55" s="479"/>
      <c r="BR55" s="54"/>
      <c r="BS55" s="3585" t="s">
        <v>2497</v>
      </c>
      <c r="BT55" s="3585"/>
      <c r="BU55" s="2448"/>
      <c r="BV55" s="2448"/>
      <c r="BW55" s="2448"/>
      <c r="BX55" s="2448"/>
      <c r="BY55" s="2448"/>
      <c r="BZ55" s="2448"/>
      <c r="CA55" s="3337">
        <v>1.032</v>
      </c>
      <c r="CB55" s="1589"/>
      <c r="CC55" s="1589"/>
      <c r="CD55" s="1589"/>
      <c r="CF55" s="3584" t="s">
        <v>2497</v>
      </c>
      <c r="CG55" s="48">
        <v>1</v>
      </c>
      <c r="CH55" s="49">
        <v>1</v>
      </c>
      <c r="CI55" s="48">
        <v>1</v>
      </c>
      <c r="CJ55" s="48">
        <v>1</v>
      </c>
      <c r="CK55" s="48">
        <v>1</v>
      </c>
      <c r="CL55" s="48">
        <v>1</v>
      </c>
      <c r="CM55" s="1798">
        <v>1</v>
      </c>
      <c r="CN55" s="1741">
        <v>1</v>
      </c>
      <c r="CO55" s="479"/>
      <c r="CP55" s="479"/>
      <c r="CQ55" s="479"/>
      <c r="CR55" s="54"/>
      <c r="CS55" s="3584" t="s">
        <v>2497</v>
      </c>
      <c r="CT55" s="51">
        <v>11</v>
      </c>
      <c r="CU55" s="1583">
        <v>10</v>
      </c>
      <c r="CV55" s="1518">
        <v>10</v>
      </c>
      <c r="CW55" s="1518">
        <v>10</v>
      </c>
      <c r="CX55" s="1518">
        <v>10</v>
      </c>
      <c r="CY55" s="1518">
        <v>11</v>
      </c>
      <c r="CZ55" s="1926">
        <v>15</v>
      </c>
      <c r="DA55" s="3321">
        <v>15</v>
      </c>
      <c r="DB55" s="479"/>
      <c r="DC55" s="479"/>
      <c r="DD55" s="479"/>
    </row>
    <row r="56" spans="3:114" hidden="1" outlineLevel="1" x14ac:dyDescent="0.35">
      <c r="C56" s="132"/>
      <c r="D56" s="1099" t="str">
        <f t="shared" si="27"/>
        <v>800400_2019_12_</v>
      </c>
      <c r="E56" s="1099" t="str">
        <f t="shared" si="29"/>
        <v>LED 85 - 225 Watt Lamp or Fixture Replacing Interior HID 301-500 Watt Lamp or Fixture</v>
      </c>
      <c r="F56" s="46">
        <v>454.6</v>
      </c>
      <c r="G56" s="46">
        <v>147.38</v>
      </c>
      <c r="H56" s="2113">
        <v>3235</v>
      </c>
      <c r="I56" s="3269">
        <v>1.056</v>
      </c>
      <c r="J56" s="3269">
        <v>1.032</v>
      </c>
      <c r="K56" s="46">
        <v>1</v>
      </c>
      <c r="L56" s="1846">
        <v>15</v>
      </c>
      <c r="M56" s="3269">
        <f t="shared" si="28"/>
        <v>0.99071086865492275</v>
      </c>
      <c r="O56" s="4566"/>
      <c r="P56" s="4566"/>
      <c r="Q56" s="4566"/>
      <c r="R56" s="4566"/>
      <c r="S56" s="4566"/>
      <c r="U56" s="1102"/>
      <c r="V56" s="1616" t="s">
        <v>2499</v>
      </c>
      <c r="W56" s="48">
        <v>400</v>
      </c>
      <c r="X56" s="322">
        <v>444</v>
      </c>
      <c r="Y56" s="49">
        <v>444</v>
      </c>
      <c r="Z56" s="49">
        <v>444</v>
      </c>
      <c r="AA56" s="49">
        <v>444</v>
      </c>
      <c r="AB56" s="48">
        <v>444</v>
      </c>
      <c r="AC56" s="1798">
        <v>454.6</v>
      </c>
      <c r="AD56" s="52">
        <v>454.59849024355503</v>
      </c>
      <c r="AE56" s="479"/>
      <c r="AF56" s="479"/>
      <c r="AG56" s="479"/>
      <c r="AH56" s="54"/>
      <c r="AI56" s="1949" t="s">
        <v>2499</v>
      </c>
      <c r="AJ56" s="48">
        <v>142</v>
      </c>
      <c r="AK56" s="322">
        <v>136</v>
      </c>
      <c r="AL56" s="49">
        <v>136</v>
      </c>
      <c r="AM56" s="48">
        <v>136</v>
      </c>
      <c r="AN56" s="48">
        <v>136</v>
      </c>
      <c r="AO56" s="48">
        <v>136</v>
      </c>
      <c r="AP56" s="1798">
        <v>147.38</v>
      </c>
      <c r="AQ56" s="52">
        <v>147.38142714713004</v>
      </c>
      <c r="AR56" s="479"/>
      <c r="AS56" s="479"/>
      <c r="AT56" s="54"/>
      <c r="AU56" s="1949" t="s">
        <v>2499</v>
      </c>
      <c r="AV56" s="2480">
        <v>4380</v>
      </c>
      <c r="AW56" s="2481">
        <v>4425.1429410031269</v>
      </c>
      <c r="AX56" s="2480">
        <v>4425.1429410031269</v>
      </c>
      <c r="AY56" s="2480">
        <v>4425.1429410031269</v>
      </c>
      <c r="AZ56" s="2480">
        <v>4425.1429410031269</v>
      </c>
      <c r="BA56" s="2480">
        <v>4425.1429410031269</v>
      </c>
      <c r="BB56" s="2480">
        <v>3235</v>
      </c>
      <c r="BC56" s="3320">
        <v>3234.7262498219625</v>
      </c>
      <c r="BD56" s="479"/>
      <c r="BE56" s="479"/>
      <c r="BF56" s="54"/>
      <c r="BG56" s="1949" t="s">
        <v>2499</v>
      </c>
      <c r="BH56" s="48">
        <v>1.07</v>
      </c>
      <c r="BI56" s="322">
        <v>1.08</v>
      </c>
      <c r="BJ56" s="479">
        <v>1.08</v>
      </c>
      <c r="BK56" s="50">
        <v>1.08</v>
      </c>
      <c r="BL56" s="50">
        <v>1.08</v>
      </c>
      <c r="BM56" s="49">
        <v>1.071</v>
      </c>
      <c r="BN56" s="1798">
        <v>1.071</v>
      </c>
      <c r="BO56" s="3337">
        <v>1.056</v>
      </c>
      <c r="BP56" s="479"/>
      <c r="BQ56" s="479"/>
      <c r="BR56" s="54"/>
      <c r="BS56" s="3585" t="s">
        <v>2499</v>
      </c>
      <c r="BT56" s="3585"/>
      <c r="BU56" s="2448"/>
      <c r="BV56" s="2448"/>
      <c r="BW56" s="2448"/>
      <c r="BX56" s="2448"/>
      <c r="BY56" s="2448"/>
      <c r="BZ56" s="2448"/>
      <c r="CA56" s="3337">
        <v>1.032</v>
      </c>
      <c r="CB56" s="1589"/>
      <c r="CC56" s="1589"/>
      <c r="CD56" s="1589"/>
      <c r="CF56" s="3584" t="s">
        <v>2499</v>
      </c>
      <c r="CG56" s="48">
        <v>1</v>
      </c>
      <c r="CH56" s="49">
        <v>1</v>
      </c>
      <c r="CI56" s="48">
        <v>1</v>
      </c>
      <c r="CJ56" s="48">
        <v>1</v>
      </c>
      <c r="CK56" s="48">
        <v>1</v>
      </c>
      <c r="CL56" s="48">
        <v>1</v>
      </c>
      <c r="CM56" s="1798">
        <v>1</v>
      </c>
      <c r="CN56" s="1741">
        <v>1</v>
      </c>
      <c r="CO56" s="479"/>
      <c r="CP56" s="479"/>
      <c r="CQ56" s="479"/>
      <c r="CR56" s="54"/>
      <c r="CS56" s="3584" t="s">
        <v>2499</v>
      </c>
      <c r="CT56" s="51">
        <v>11</v>
      </c>
      <c r="CU56" s="55">
        <v>11</v>
      </c>
      <c r="CV56" s="1518">
        <v>11</v>
      </c>
      <c r="CW56" s="1518">
        <v>11</v>
      </c>
      <c r="CX56" s="1518">
        <v>11</v>
      </c>
      <c r="CY56" s="1518">
        <v>11</v>
      </c>
      <c r="CZ56" s="1926">
        <v>15</v>
      </c>
      <c r="DA56" s="3321">
        <v>15</v>
      </c>
      <c r="DB56" s="479"/>
      <c r="DC56" s="479"/>
      <c r="DD56" s="479"/>
    </row>
    <row r="57" spans="3:114" hidden="1" outlineLevel="1" x14ac:dyDescent="0.35">
      <c r="C57" s="132"/>
      <c r="D57" s="1099" t="str">
        <f t="shared" si="27"/>
        <v>800450_2019_12_</v>
      </c>
      <c r="E57" s="1099" t="str">
        <f t="shared" si="29"/>
        <v>LED &lt;=80 Watt Lamp or Fixture Replacing Garage or Exterior &lt;24/7 HID 100-175 Watt Lamp or Fixture</v>
      </c>
      <c r="F57" s="46">
        <v>147</v>
      </c>
      <c r="G57" s="46">
        <v>50</v>
      </c>
      <c r="H57" s="2113">
        <v>4600</v>
      </c>
      <c r="I57" s="46">
        <v>1</v>
      </c>
      <c r="J57" s="3318">
        <v>1</v>
      </c>
      <c r="K57" s="46">
        <v>1</v>
      </c>
      <c r="L57" s="1846">
        <v>15</v>
      </c>
      <c r="M57" s="3269">
        <f t="shared" si="28"/>
        <v>0.99071086865492275</v>
      </c>
      <c r="O57" s="4566"/>
      <c r="P57" s="4566"/>
      <c r="Q57" s="4566"/>
      <c r="R57" s="4566"/>
      <c r="S57" s="4566"/>
      <c r="U57" s="1102"/>
      <c r="V57" s="1616" t="s">
        <v>2501</v>
      </c>
      <c r="W57" s="48">
        <v>175</v>
      </c>
      <c r="X57" s="322">
        <v>147</v>
      </c>
      <c r="Y57" s="49">
        <v>147</v>
      </c>
      <c r="Z57" s="49">
        <v>147</v>
      </c>
      <c r="AA57" s="49">
        <v>147</v>
      </c>
      <c r="AB57" s="48">
        <v>147</v>
      </c>
      <c r="AC57" s="1798">
        <v>147</v>
      </c>
      <c r="AD57" s="52">
        <v>147</v>
      </c>
      <c r="AE57" s="479"/>
      <c r="AF57" s="479"/>
      <c r="AG57" s="479"/>
      <c r="AH57" s="54"/>
      <c r="AI57" s="1949" t="s">
        <v>2501</v>
      </c>
      <c r="AJ57" s="48">
        <v>52</v>
      </c>
      <c r="AK57" s="322">
        <v>50</v>
      </c>
      <c r="AL57" s="49">
        <v>50</v>
      </c>
      <c r="AM57" s="48">
        <v>50</v>
      </c>
      <c r="AN57" s="48">
        <v>50</v>
      </c>
      <c r="AO57" s="48">
        <v>50</v>
      </c>
      <c r="AP57" s="1798">
        <v>50</v>
      </c>
      <c r="AQ57" s="52">
        <v>50</v>
      </c>
      <c r="AR57" s="479"/>
      <c r="AS57" s="479"/>
      <c r="AT57" s="54"/>
      <c r="AU57" s="1949" t="s">
        <v>2501</v>
      </c>
      <c r="AV57" s="2480">
        <v>3572.7642276422762</v>
      </c>
      <c r="AW57" s="2481">
        <v>4600</v>
      </c>
      <c r="AX57" s="2480">
        <v>4600</v>
      </c>
      <c r="AY57" s="2480">
        <v>4600</v>
      </c>
      <c r="AZ57" s="2480">
        <v>4600</v>
      </c>
      <c r="BA57" s="2480">
        <v>4600</v>
      </c>
      <c r="BB57" s="2480">
        <v>4600</v>
      </c>
      <c r="BC57" s="3320">
        <v>4600</v>
      </c>
      <c r="BD57" s="479"/>
      <c r="BE57" s="479"/>
      <c r="BF57" s="54"/>
      <c r="BG57" s="1949" t="s">
        <v>2501</v>
      </c>
      <c r="BH57" s="48">
        <v>1</v>
      </c>
      <c r="BI57" s="322">
        <v>1.02</v>
      </c>
      <c r="BJ57" s="1583">
        <v>1</v>
      </c>
      <c r="BK57" s="55">
        <v>1</v>
      </c>
      <c r="BL57" s="55">
        <v>1</v>
      </c>
      <c r="BM57" s="49">
        <v>1</v>
      </c>
      <c r="BN57" s="1798">
        <v>1</v>
      </c>
      <c r="BO57" s="3338">
        <v>1</v>
      </c>
      <c r="BP57" s="479"/>
      <c r="BQ57" s="479"/>
      <c r="BR57" s="54"/>
      <c r="BS57" s="3585" t="s">
        <v>2501</v>
      </c>
      <c r="BT57" s="3585"/>
      <c r="BU57" s="2448"/>
      <c r="BV57" s="2448"/>
      <c r="BW57" s="2448"/>
      <c r="BX57" s="2448"/>
      <c r="BY57" s="2448"/>
      <c r="BZ57" s="2448"/>
      <c r="CA57" s="3339">
        <v>1</v>
      </c>
      <c r="CB57" s="1589"/>
      <c r="CC57" s="1589"/>
      <c r="CD57" s="1589"/>
      <c r="CF57" s="3584" t="s">
        <v>2501</v>
      </c>
      <c r="CG57" s="48">
        <v>1</v>
      </c>
      <c r="CH57" s="49">
        <v>1</v>
      </c>
      <c r="CI57" s="48">
        <v>1</v>
      </c>
      <c r="CJ57" s="48">
        <v>1</v>
      </c>
      <c r="CK57" s="48">
        <v>1</v>
      </c>
      <c r="CL57" s="48">
        <v>1</v>
      </c>
      <c r="CM57" s="1798">
        <v>1</v>
      </c>
      <c r="CN57" s="1741">
        <v>1</v>
      </c>
      <c r="CO57" s="479"/>
      <c r="CP57" s="479"/>
      <c r="CQ57" s="479"/>
      <c r="CR57" s="54"/>
      <c r="CS57" s="3584" t="s">
        <v>2501</v>
      </c>
      <c r="CT57" s="51">
        <v>14</v>
      </c>
      <c r="CU57" s="1583">
        <v>11</v>
      </c>
      <c r="CV57" s="1518">
        <v>11</v>
      </c>
      <c r="CW57" s="1518">
        <v>11</v>
      </c>
      <c r="CX57" s="1518">
        <v>11</v>
      </c>
      <c r="CY57" s="1518">
        <v>12</v>
      </c>
      <c r="CZ57" s="1926">
        <v>15</v>
      </c>
      <c r="DA57" s="3321">
        <v>15</v>
      </c>
      <c r="DB57" s="479"/>
      <c r="DC57" s="479"/>
      <c r="DD57" s="479"/>
    </row>
    <row r="58" spans="3:114" hidden="1" outlineLevel="1" x14ac:dyDescent="0.35">
      <c r="C58" s="132"/>
      <c r="D58" s="1099" t="str">
        <f t="shared" si="27"/>
        <v>800500_2019_12_</v>
      </c>
      <c r="E58" s="1099" t="str">
        <f t="shared" si="29"/>
        <v>LED 62 - 130 Watt Lamp or Fixture Replacing Garage or Exterior &lt;24/7 HID 176-300 Watt Lamp or Fixture</v>
      </c>
      <c r="F58" s="46">
        <v>284</v>
      </c>
      <c r="G58" s="46">
        <v>90</v>
      </c>
      <c r="H58" s="2113">
        <v>4380</v>
      </c>
      <c r="I58" s="46">
        <v>1</v>
      </c>
      <c r="J58" s="3318">
        <v>1</v>
      </c>
      <c r="K58" s="46">
        <v>1</v>
      </c>
      <c r="L58" s="1846">
        <v>15</v>
      </c>
      <c r="M58" s="3269">
        <f t="shared" si="28"/>
        <v>0.99071086865492275</v>
      </c>
      <c r="O58" s="4566"/>
      <c r="P58" s="4566"/>
      <c r="Q58" s="4566"/>
      <c r="R58" s="4566"/>
      <c r="S58" s="4566"/>
      <c r="U58" s="1102"/>
      <c r="V58" s="1616" t="s">
        <v>2504</v>
      </c>
      <c r="W58" s="48">
        <v>280</v>
      </c>
      <c r="X58" s="322">
        <v>262</v>
      </c>
      <c r="Y58" s="49">
        <v>262</v>
      </c>
      <c r="Z58" s="49">
        <v>262</v>
      </c>
      <c r="AA58" s="49">
        <v>262</v>
      </c>
      <c r="AB58" s="48">
        <v>262</v>
      </c>
      <c r="AC58" s="1798">
        <v>284</v>
      </c>
      <c r="AD58" s="52">
        <v>284</v>
      </c>
      <c r="AE58" s="479"/>
      <c r="AF58" s="479"/>
      <c r="AG58" s="479"/>
      <c r="AH58" s="54"/>
      <c r="AI58" s="1949" t="s">
        <v>2504</v>
      </c>
      <c r="AJ58" s="48">
        <v>90</v>
      </c>
      <c r="AK58" s="322">
        <v>95</v>
      </c>
      <c r="AL58" s="49">
        <v>95</v>
      </c>
      <c r="AM58" s="48">
        <v>95</v>
      </c>
      <c r="AN58" s="48">
        <v>95</v>
      </c>
      <c r="AO58" s="48">
        <v>95</v>
      </c>
      <c r="AP58" s="1798">
        <v>90</v>
      </c>
      <c r="AQ58" s="52">
        <v>90</v>
      </c>
      <c r="AR58" s="479"/>
      <c r="AS58" s="479"/>
      <c r="AT58" s="54"/>
      <c r="AU58" s="1949" t="s">
        <v>2504</v>
      </c>
      <c r="AV58" s="2480">
        <v>5513.3333333333339</v>
      </c>
      <c r="AW58" s="2481">
        <v>4315.6438177727669</v>
      </c>
      <c r="AX58" s="2480">
        <v>4315.6438177727669</v>
      </c>
      <c r="AY58" s="2480">
        <v>4315.6438177727669</v>
      </c>
      <c r="AZ58" s="2480">
        <v>4315.6438177727669</v>
      </c>
      <c r="BA58" s="2480">
        <v>4315.6438177727669</v>
      </c>
      <c r="BB58" s="2480">
        <v>4380</v>
      </c>
      <c r="BC58" s="3320">
        <v>4380</v>
      </c>
      <c r="BD58" s="479"/>
      <c r="BE58" s="479"/>
      <c r="BF58" s="54"/>
      <c r="BG58" s="1949" t="s">
        <v>2504</v>
      </c>
      <c r="BH58" s="48">
        <v>1</v>
      </c>
      <c r="BI58" s="322">
        <v>1.07</v>
      </c>
      <c r="BJ58" s="1583">
        <v>1</v>
      </c>
      <c r="BK58" s="55">
        <v>1</v>
      </c>
      <c r="BL58" s="55">
        <v>1</v>
      </c>
      <c r="BM58" s="49">
        <v>1</v>
      </c>
      <c r="BN58" s="1798">
        <v>1</v>
      </c>
      <c r="BO58" s="3338">
        <v>1</v>
      </c>
      <c r="BP58" s="479"/>
      <c r="BQ58" s="479"/>
      <c r="BR58" s="54"/>
      <c r="BS58" s="3585" t="s">
        <v>2504</v>
      </c>
      <c r="BT58" s="3585"/>
      <c r="BU58" s="2448"/>
      <c r="BV58" s="2448"/>
      <c r="BW58" s="2448"/>
      <c r="BX58" s="2448"/>
      <c r="BY58" s="2448"/>
      <c r="BZ58" s="2448"/>
      <c r="CA58" s="3339">
        <v>1</v>
      </c>
      <c r="CB58" s="1589"/>
      <c r="CC58" s="1589"/>
      <c r="CD58" s="1589"/>
      <c r="CF58" s="3584" t="s">
        <v>2504</v>
      </c>
      <c r="CG58" s="48">
        <v>1</v>
      </c>
      <c r="CH58" s="322">
        <v>0.99</v>
      </c>
      <c r="CI58" s="48">
        <v>0.99</v>
      </c>
      <c r="CJ58" s="48">
        <v>0.99</v>
      </c>
      <c r="CK58" s="48">
        <v>0.99</v>
      </c>
      <c r="CL58" s="48">
        <v>0.99</v>
      </c>
      <c r="CM58" s="1798">
        <v>1</v>
      </c>
      <c r="CN58" s="1741">
        <v>1</v>
      </c>
      <c r="CO58" s="479"/>
      <c r="CP58" s="479"/>
      <c r="CQ58" s="479"/>
      <c r="CR58" s="54"/>
      <c r="CS58" s="3584" t="s">
        <v>2504</v>
      </c>
      <c r="CT58" s="51">
        <v>9</v>
      </c>
      <c r="CU58" s="1583">
        <v>12</v>
      </c>
      <c r="CV58" s="1518">
        <v>12</v>
      </c>
      <c r="CW58" s="1518">
        <v>12</v>
      </c>
      <c r="CX58" s="1518">
        <v>12</v>
      </c>
      <c r="CY58" s="1518">
        <v>12</v>
      </c>
      <c r="CZ58" s="1926">
        <v>15</v>
      </c>
      <c r="DA58" s="3321">
        <v>15</v>
      </c>
      <c r="DB58" s="479"/>
      <c r="DC58" s="479"/>
      <c r="DD58" s="479"/>
    </row>
    <row r="59" spans="3:114" hidden="1" outlineLevel="1" x14ac:dyDescent="0.35">
      <c r="C59" s="132"/>
      <c r="D59" s="1099" t="str">
        <f t="shared" si="27"/>
        <v>800550_2019_12_</v>
      </c>
      <c r="E59" s="1099" t="str">
        <f t="shared" si="29"/>
        <v>LED 85 - 225 Watt Lamp or Fixture Replacing Garage or Exterior &lt;24/7 HID 301-500 Watt Lamp or Fixture</v>
      </c>
      <c r="F59" s="46">
        <v>455</v>
      </c>
      <c r="G59" s="46">
        <v>100</v>
      </c>
      <c r="H59" s="2113">
        <v>4380</v>
      </c>
      <c r="I59" s="46">
        <v>1</v>
      </c>
      <c r="J59" s="3318">
        <v>1</v>
      </c>
      <c r="K59" s="46">
        <v>1</v>
      </c>
      <c r="L59" s="1846">
        <v>15</v>
      </c>
      <c r="M59" s="3269">
        <f t="shared" si="28"/>
        <v>0.99071086865492275</v>
      </c>
      <c r="U59" s="1102"/>
      <c r="V59" s="1616" t="s">
        <v>2506</v>
      </c>
      <c r="W59" s="48">
        <v>400</v>
      </c>
      <c r="X59" s="322">
        <v>410</v>
      </c>
      <c r="Y59" s="49">
        <v>410</v>
      </c>
      <c r="Z59" s="49">
        <v>410</v>
      </c>
      <c r="AA59" s="49">
        <v>410</v>
      </c>
      <c r="AB59" s="48">
        <v>410</v>
      </c>
      <c r="AC59" s="1798">
        <v>455</v>
      </c>
      <c r="AD59" s="52">
        <v>455</v>
      </c>
      <c r="AE59" s="479"/>
      <c r="AF59" s="479"/>
      <c r="AG59" s="479"/>
      <c r="AH59" s="54"/>
      <c r="AI59" s="1949" t="s">
        <v>2506</v>
      </c>
      <c r="AJ59" s="48">
        <v>120</v>
      </c>
      <c r="AK59" s="322">
        <v>178</v>
      </c>
      <c r="AL59" s="49">
        <v>178</v>
      </c>
      <c r="AM59" s="48">
        <v>178</v>
      </c>
      <c r="AN59" s="48">
        <v>178</v>
      </c>
      <c r="AO59" s="48">
        <v>178</v>
      </c>
      <c r="AP59" s="1798">
        <v>100</v>
      </c>
      <c r="AQ59" s="52">
        <v>100</v>
      </c>
      <c r="AR59" s="479"/>
      <c r="AS59" s="479"/>
      <c r="AT59" s="54"/>
      <c r="AU59" s="1949" t="s">
        <v>2506</v>
      </c>
      <c r="AV59" s="2480">
        <v>3414.8214285714275</v>
      </c>
      <c r="AW59" s="2481">
        <v>4327.2752333555545</v>
      </c>
      <c r="AX59" s="2480">
        <v>4327.2752333555545</v>
      </c>
      <c r="AY59" s="2480">
        <v>4327.2752333555545</v>
      </c>
      <c r="AZ59" s="2480">
        <v>4327.2752333555545</v>
      </c>
      <c r="BA59" s="2480">
        <v>4327.2752333555545</v>
      </c>
      <c r="BB59" s="2480">
        <v>4380</v>
      </c>
      <c r="BC59" s="3320">
        <v>4380</v>
      </c>
      <c r="BD59" s="479"/>
      <c r="BE59" s="479"/>
      <c r="BF59" s="54"/>
      <c r="BG59" s="1949" t="s">
        <v>2506</v>
      </c>
      <c r="BH59" s="48">
        <v>1</v>
      </c>
      <c r="BI59" s="322">
        <v>1.07</v>
      </c>
      <c r="BJ59" s="1583">
        <v>1</v>
      </c>
      <c r="BK59" s="55">
        <v>1</v>
      </c>
      <c r="BL59" s="55">
        <v>1</v>
      </c>
      <c r="BM59" s="49">
        <v>1</v>
      </c>
      <c r="BN59" s="1798">
        <v>1</v>
      </c>
      <c r="BO59" s="3338">
        <v>1</v>
      </c>
      <c r="BP59" s="479"/>
      <c r="BQ59" s="479"/>
      <c r="BR59" s="54"/>
      <c r="BS59" s="3585" t="s">
        <v>2506</v>
      </c>
      <c r="BT59" s="3585"/>
      <c r="BU59" s="2448"/>
      <c r="BV59" s="2448"/>
      <c r="BW59" s="2448"/>
      <c r="BX59" s="2448"/>
      <c r="BY59" s="2448"/>
      <c r="BZ59" s="2448"/>
      <c r="CA59" s="3339">
        <v>1</v>
      </c>
      <c r="CB59" s="1589"/>
      <c r="CC59" s="1589"/>
      <c r="CD59" s="1589"/>
      <c r="CF59" s="3584" t="s">
        <v>2506</v>
      </c>
      <c r="CG59" s="48">
        <v>1</v>
      </c>
      <c r="CH59" s="49">
        <v>1</v>
      </c>
      <c r="CI59" s="48">
        <v>1</v>
      </c>
      <c r="CJ59" s="48">
        <v>1</v>
      </c>
      <c r="CK59" s="48">
        <v>1</v>
      </c>
      <c r="CL59" s="48">
        <v>1</v>
      </c>
      <c r="CM59" s="1798">
        <v>1</v>
      </c>
      <c r="CN59" s="1741">
        <v>1</v>
      </c>
      <c r="CO59" s="479"/>
      <c r="CP59" s="479"/>
      <c r="CQ59" s="479"/>
      <c r="CR59" s="54"/>
      <c r="CS59" s="3584" t="s">
        <v>2506</v>
      </c>
      <c r="CT59" s="51">
        <v>15</v>
      </c>
      <c r="CU59" s="1583">
        <v>12</v>
      </c>
      <c r="CV59" s="1518">
        <v>12</v>
      </c>
      <c r="CW59" s="1518">
        <v>12</v>
      </c>
      <c r="CX59" s="1518">
        <v>12</v>
      </c>
      <c r="CY59" s="1518">
        <v>12</v>
      </c>
      <c r="CZ59" s="1926">
        <v>15</v>
      </c>
      <c r="DA59" s="3321">
        <v>15</v>
      </c>
      <c r="DB59" s="479"/>
      <c r="DC59" s="479"/>
      <c r="DD59" s="479"/>
    </row>
    <row r="60" spans="3:114" hidden="1" outlineLevel="1" x14ac:dyDescent="0.35">
      <c r="C60" s="132"/>
      <c r="D60" s="1099" t="str">
        <f t="shared" si="27"/>
        <v>800600_2019_12_</v>
      </c>
      <c r="E60" s="1099" t="str">
        <f t="shared" si="29"/>
        <v>LED &lt;=80 Watt Lamp or Fixture Replacing Garage or Exterior 24/7 HID 100-175 Watt Lamp or Fixture Misc.</v>
      </c>
      <c r="F60" s="46">
        <v>125</v>
      </c>
      <c r="G60" s="46">
        <v>45</v>
      </c>
      <c r="H60" s="2113">
        <v>8759</v>
      </c>
      <c r="I60" s="46">
        <v>1</v>
      </c>
      <c r="J60" s="3318">
        <v>1</v>
      </c>
      <c r="K60" s="46">
        <v>1</v>
      </c>
      <c r="L60" s="1846">
        <v>15</v>
      </c>
      <c r="M60" s="3269">
        <f t="shared" si="28"/>
        <v>0.99071086865492275</v>
      </c>
      <c r="U60" s="1102"/>
      <c r="V60" s="1616" t="s">
        <v>2508</v>
      </c>
      <c r="W60" s="48">
        <v>175</v>
      </c>
      <c r="X60" s="322">
        <v>125</v>
      </c>
      <c r="Y60" s="49">
        <v>125</v>
      </c>
      <c r="Z60" s="49">
        <v>125</v>
      </c>
      <c r="AA60" s="49">
        <v>125</v>
      </c>
      <c r="AB60" s="48">
        <v>125</v>
      </c>
      <c r="AC60" s="1798">
        <v>125</v>
      </c>
      <c r="AD60" s="52">
        <v>125</v>
      </c>
      <c r="AE60" s="479"/>
      <c r="AF60" s="479"/>
      <c r="AG60" s="479"/>
      <c r="AH60" s="54"/>
      <c r="AI60" s="1949" t="s">
        <v>2508</v>
      </c>
      <c r="AJ60" s="48">
        <v>52</v>
      </c>
      <c r="AK60" s="322">
        <v>45</v>
      </c>
      <c r="AL60" s="49">
        <v>45</v>
      </c>
      <c r="AM60" s="48">
        <v>45</v>
      </c>
      <c r="AN60" s="48">
        <v>45</v>
      </c>
      <c r="AO60" s="48">
        <v>45</v>
      </c>
      <c r="AP60" s="1798">
        <v>45</v>
      </c>
      <c r="AQ60" s="52">
        <v>45</v>
      </c>
      <c r="AR60" s="479"/>
      <c r="AS60" s="479"/>
      <c r="AT60" s="54"/>
      <c r="AU60" s="1949" t="s">
        <v>2508</v>
      </c>
      <c r="AV60" s="2480">
        <v>8760</v>
      </c>
      <c r="AW60" s="2481">
        <v>8759</v>
      </c>
      <c r="AX60" s="2480">
        <v>8759</v>
      </c>
      <c r="AY60" s="2480">
        <v>8759</v>
      </c>
      <c r="AZ60" s="2480">
        <v>8759</v>
      </c>
      <c r="BA60" s="2480">
        <v>8759</v>
      </c>
      <c r="BB60" s="2480">
        <v>8759</v>
      </c>
      <c r="BC60" s="3320">
        <v>8759</v>
      </c>
      <c r="BD60" s="479"/>
      <c r="BE60" s="479"/>
      <c r="BF60" s="54"/>
      <c r="BG60" s="1949" t="s">
        <v>2508</v>
      </c>
      <c r="BH60" s="48">
        <v>1</v>
      </c>
      <c r="BI60" s="49">
        <v>1</v>
      </c>
      <c r="BJ60" s="1583">
        <v>1</v>
      </c>
      <c r="BK60" s="55">
        <v>1</v>
      </c>
      <c r="BL60" s="55">
        <v>1</v>
      </c>
      <c r="BM60" s="49">
        <v>1</v>
      </c>
      <c r="BN60" s="1798">
        <v>1</v>
      </c>
      <c r="BO60" s="3338">
        <v>1</v>
      </c>
      <c r="BP60" s="479"/>
      <c r="BQ60" s="479"/>
      <c r="BR60" s="54"/>
      <c r="BS60" s="3585" t="s">
        <v>2508</v>
      </c>
      <c r="BT60" s="3585"/>
      <c r="BU60" s="2448"/>
      <c r="BV60" s="2448"/>
      <c r="BW60" s="2448"/>
      <c r="BX60" s="2448"/>
      <c r="BY60" s="2448"/>
      <c r="BZ60" s="2448"/>
      <c r="CA60" s="3339">
        <v>1</v>
      </c>
      <c r="CB60" s="1589"/>
      <c r="CC60" s="1589"/>
      <c r="CD60" s="1589"/>
      <c r="CF60" s="3584" t="s">
        <v>2508</v>
      </c>
      <c r="CG60" s="48">
        <v>1</v>
      </c>
      <c r="CH60" s="49">
        <v>1</v>
      </c>
      <c r="CI60" s="48">
        <v>1</v>
      </c>
      <c r="CJ60" s="48">
        <v>1</v>
      </c>
      <c r="CK60" s="48">
        <v>1</v>
      </c>
      <c r="CL60" s="48">
        <v>1</v>
      </c>
      <c r="CM60" s="1798">
        <v>1</v>
      </c>
      <c r="CN60" s="1741">
        <v>1</v>
      </c>
      <c r="CO60" s="479"/>
      <c r="CP60" s="479"/>
      <c r="CQ60" s="479"/>
      <c r="CR60" s="54"/>
      <c r="CS60" s="3584" t="s">
        <v>2508</v>
      </c>
      <c r="CT60" s="51">
        <v>6</v>
      </c>
      <c r="CU60" s="55">
        <v>6</v>
      </c>
      <c r="CV60" s="1518">
        <v>6</v>
      </c>
      <c r="CW60" s="1518">
        <v>6</v>
      </c>
      <c r="CX60" s="1518">
        <v>6</v>
      </c>
      <c r="CY60" s="1518">
        <v>6</v>
      </c>
      <c r="CZ60" s="1926">
        <v>15</v>
      </c>
      <c r="DA60" s="3321">
        <v>15</v>
      </c>
      <c r="DB60" s="479"/>
      <c r="DC60" s="479"/>
      <c r="DD60" s="479"/>
    </row>
    <row r="61" spans="3:114" hidden="1" outlineLevel="1" x14ac:dyDescent="0.35">
      <c r="C61" s="132"/>
      <c r="D61" s="1099" t="str">
        <f t="shared" si="27"/>
        <v>800650_2019_12_</v>
      </c>
      <c r="E61" s="1099" t="str">
        <f t="shared" si="29"/>
        <v>LED 62 - 130 Watt Lamp or Fixture Replacing Garage or Exterior 24/7 HID 176-300 Watt Lamp or Fixture Misc.</v>
      </c>
      <c r="F61" s="46">
        <v>262</v>
      </c>
      <c r="G61" s="46">
        <v>92</v>
      </c>
      <c r="H61" s="2113">
        <v>8719</v>
      </c>
      <c r="I61" s="46">
        <v>1</v>
      </c>
      <c r="J61" s="3318">
        <v>1</v>
      </c>
      <c r="K61" s="46">
        <v>1</v>
      </c>
      <c r="L61" s="1846">
        <v>15</v>
      </c>
      <c r="M61" s="3269">
        <f t="shared" si="28"/>
        <v>0.99071086865492275</v>
      </c>
      <c r="U61" s="1102"/>
      <c r="V61" s="1616" t="s">
        <v>2511</v>
      </c>
      <c r="W61" s="48">
        <v>250</v>
      </c>
      <c r="X61" s="322">
        <v>262</v>
      </c>
      <c r="Y61" s="49">
        <v>262</v>
      </c>
      <c r="Z61" s="49">
        <v>262</v>
      </c>
      <c r="AA61" s="49">
        <v>262</v>
      </c>
      <c r="AB61" s="48">
        <v>262</v>
      </c>
      <c r="AC61" s="1798">
        <v>262</v>
      </c>
      <c r="AD61" s="52">
        <v>262</v>
      </c>
      <c r="AE61" s="479"/>
      <c r="AF61" s="479"/>
      <c r="AG61" s="479"/>
      <c r="AH61" s="54"/>
      <c r="AI61" s="1949" t="s">
        <v>2511</v>
      </c>
      <c r="AJ61" s="48">
        <v>100</v>
      </c>
      <c r="AK61" s="322">
        <v>92</v>
      </c>
      <c r="AL61" s="49">
        <v>92</v>
      </c>
      <c r="AM61" s="48">
        <v>92</v>
      </c>
      <c r="AN61" s="48">
        <v>92</v>
      </c>
      <c r="AO61" s="48">
        <v>92</v>
      </c>
      <c r="AP61" s="1798">
        <v>92</v>
      </c>
      <c r="AQ61" s="52">
        <v>92</v>
      </c>
      <c r="AR61" s="479"/>
      <c r="AS61" s="479"/>
      <c r="AT61" s="54"/>
      <c r="AU61" s="1949" t="s">
        <v>2511</v>
      </c>
      <c r="AV61" s="2480">
        <v>8760</v>
      </c>
      <c r="AW61" s="2481">
        <v>8719.2325790390842</v>
      </c>
      <c r="AX61" s="2480">
        <v>8719.2325790390842</v>
      </c>
      <c r="AY61" s="2480">
        <v>8719.2325790390842</v>
      </c>
      <c r="AZ61" s="2480">
        <v>8719.2325790390842</v>
      </c>
      <c r="BA61" s="2480">
        <v>8719.2325790390842</v>
      </c>
      <c r="BB61" s="2480">
        <v>8719.2325790390842</v>
      </c>
      <c r="BC61" s="3320">
        <v>8719</v>
      </c>
      <c r="BD61" s="479"/>
      <c r="BE61" s="479"/>
      <c r="BF61" s="54"/>
      <c r="BG61" s="1949" t="s">
        <v>2511</v>
      </c>
      <c r="BH61" s="48">
        <v>1</v>
      </c>
      <c r="BI61" s="322">
        <v>1.05</v>
      </c>
      <c r="BJ61" s="1583">
        <v>1</v>
      </c>
      <c r="BK61" s="55">
        <v>1</v>
      </c>
      <c r="BL61" s="55">
        <v>1</v>
      </c>
      <c r="BM61" s="49">
        <v>1</v>
      </c>
      <c r="BN61" s="1798">
        <v>1</v>
      </c>
      <c r="BO61" s="3338">
        <v>1</v>
      </c>
      <c r="BP61" s="479"/>
      <c r="BQ61" s="479"/>
      <c r="BR61" s="54"/>
      <c r="BS61" s="3585" t="s">
        <v>2511</v>
      </c>
      <c r="BT61" s="3585"/>
      <c r="BU61" s="2448"/>
      <c r="BV61" s="2448"/>
      <c r="BW61" s="2448"/>
      <c r="BX61" s="2448"/>
      <c r="BY61" s="2448"/>
      <c r="BZ61" s="2448"/>
      <c r="CA61" s="3339">
        <v>1</v>
      </c>
      <c r="CB61" s="1589"/>
      <c r="CC61" s="1589"/>
      <c r="CD61" s="1589"/>
      <c r="CF61" s="3584" t="s">
        <v>2511</v>
      </c>
      <c r="CG61" s="48">
        <v>1</v>
      </c>
      <c r="CH61" s="49">
        <v>1</v>
      </c>
      <c r="CI61" s="48">
        <v>1</v>
      </c>
      <c r="CJ61" s="48">
        <v>1</v>
      </c>
      <c r="CK61" s="48">
        <v>1</v>
      </c>
      <c r="CL61" s="48">
        <v>1</v>
      </c>
      <c r="CM61" s="1798">
        <v>1</v>
      </c>
      <c r="CN61" s="1741">
        <v>1</v>
      </c>
      <c r="CO61" s="479"/>
      <c r="CP61" s="479"/>
      <c r="CQ61" s="479"/>
      <c r="CR61" s="54"/>
      <c r="CS61" s="3584" t="s">
        <v>2511</v>
      </c>
      <c r="CT61" s="51">
        <v>6</v>
      </c>
      <c r="CU61" s="55">
        <v>6</v>
      </c>
      <c r="CV61" s="1518">
        <v>6</v>
      </c>
      <c r="CW61" s="1518">
        <v>6</v>
      </c>
      <c r="CX61" s="1518">
        <v>6</v>
      </c>
      <c r="CY61" s="1518">
        <v>6</v>
      </c>
      <c r="CZ61" s="1926">
        <v>15</v>
      </c>
      <c r="DA61" s="3321">
        <v>15</v>
      </c>
      <c r="DB61" s="479"/>
      <c r="DC61" s="479"/>
      <c r="DD61" s="479"/>
    </row>
    <row r="62" spans="3:114" hidden="1" outlineLevel="1" x14ac:dyDescent="0.35">
      <c r="C62" s="132"/>
      <c r="D62" s="1099" t="str">
        <f t="shared" si="27"/>
        <v>800700_2019_12_</v>
      </c>
      <c r="E62" s="1099" t="str">
        <f t="shared" si="29"/>
        <v xml:space="preserve">LED 85 - 225 Watt Lamp or Fixture Replacing Garage or Exterior 24/7 HID 301-500 Watt Lamp or Fixture Misc. </v>
      </c>
      <c r="F62" s="46">
        <v>444</v>
      </c>
      <c r="G62" s="46">
        <v>136</v>
      </c>
      <c r="H62" s="2113">
        <v>8628</v>
      </c>
      <c r="I62" s="46">
        <v>1</v>
      </c>
      <c r="J62" s="3318">
        <v>1</v>
      </c>
      <c r="K62" s="46">
        <v>1</v>
      </c>
      <c r="L62" s="1846">
        <v>15</v>
      </c>
      <c r="M62" s="3269">
        <f t="shared" si="28"/>
        <v>0.99071086865492275</v>
      </c>
      <c r="U62" s="1102"/>
      <c r="V62" s="1616" t="s">
        <v>2513</v>
      </c>
      <c r="W62" s="48">
        <v>400</v>
      </c>
      <c r="X62" s="322">
        <v>444</v>
      </c>
      <c r="Y62" s="49">
        <v>444</v>
      </c>
      <c r="Z62" s="49">
        <v>444</v>
      </c>
      <c r="AA62" s="49">
        <v>444</v>
      </c>
      <c r="AB62" s="48">
        <v>444</v>
      </c>
      <c r="AC62" s="1798">
        <v>444</v>
      </c>
      <c r="AD62" s="52">
        <v>444</v>
      </c>
      <c r="AE62" s="479"/>
      <c r="AF62" s="479"/>
      <c r="AG62" s="479"/>
      <c r="AH62" s="54"/>
      <c r="AI62" s="1949" t="s">
        <v>2513</v>
      </c>
      <c r="AJ62" s="48">
        <v>120</v>
      </c>
      <c r="AK62" s="322">
        <v>136</v>
      </c>
      <c r="AL62" s="49">
        <v>136</v>
      </c>
      <c r="AM62" s="48">
        <v>136</v>
      </c>
      <c r="AN62" s="48">
        <v>136</v>
      </c>
      <c r="AO62" s="48">
        <v>136</v>
      </c>
      <c r="AP62" s="1798">
        <v>136</v>
      </c>
      <c r="AQ62" s="52">
        <v>136</v>
      </c>
      <c r="AR62" s="479"/>
      <c r="AS62" s="479"/>
      <c r="AT62" s="54"/>
      <c r="AU62" s="1949" t="s">
        <v>2513</v>
      </c>
      <c r="AV62" s="2480">
        <v>8760</v>
      </c>
      <c r="AW62" s="2481">
        <v>8628.3962689570162</v>
      </c>
      <c r="AX62" s="2480">
        <v>8628.3962689570162</v>
      </c>
      <c r="AY62" s="2480">
        <v>8628.3962689570162</v>
      </c>
      <c r="AZ62" s="2480">
        <v>8628.3962689570162</v>
      </c>
      <c r="BA62" s="2480">
        <v>8628.3962689570162</v>
      </c>
      <c r="BB62" s="2480">
        <v>8628.3962689570162</v>
      </c>
      <c r="BC62" s="3320">
        <v>8628</v>
      </c>
      <c r="BD62" s="479"/>
      <c r="BE62" s="479"/>
      <c r="BF62" s="54"/>
      <c r="BG62" s="1949" t="s">
        <v>2513</v>
      </c>
      <c r="BH62" s="48">
        <v>1</v>
      </c>
      <c r="BI62" s="322">
        <v>1.08</v>
      </c>
      <c r="BJ62" s="1583">
        <v>1</v>
      </c>
      <c r="BK62" s="55">
        <v>1</v>
      </c>
      <c r="BL62" s="55">
        <v>1</v>
      </c>
      <c r="BM62" s="49">
        <v>1</v>
      </c>
      <c r="BN62" s="1798">
        <v>1</v>
      </c>
      <c r="BO62" s="3338">
        <v>1</v>
      </c>
      <c r="BP62" s="479"/>
      <c r="BQ62" s="479"/>
      <c r="BR62" s="54"/>
      <c r="BS62" s="3585" t="s">
        <v>2513</v>
      </c>
      <c r="BT62" s="3585"/>
      <c r="BU62" s="2448"/>
      <c r="BV62" s="2448"/>
      <c r="BW62" s="2448"/>
      <c r="BX62" s="2448"/>
      <c r="BY62" s="2448"/>
      <c r="BZ62" s="2448"/>
      <c r="CA62" s="3339">
        <v>1</v>
      </c>
      <c r="CB62" s="1589"/>
      <c r="CC62" s="1589"/>
      <c r="CD62" s="1589"/>
      <c r="CF62" s="3584" t="s">
        <v>2513</v>
      </c>
      <c r="CG62" s="48">
        <v>1</v>
      </c>
      <c r="CH62" s="49">
        <v>1</v>
      </c>
      <c r="CI62" s="48">
        <v>1</v>
      </c>
      <c r="CJ62" s="48">
        <v>1</v>
      </c>
      <c r="CK62" s="48">
        <v>1</v>
      </c>
      <c r="CL62" s="48">
        <v>1</v>
      </c>
      <c r="CM62" s="1798">
        <v>1</v>
      </c>
      <c r="CN62" s="1741">
        <v>1</v>
      </c>
      <c r="CO62" s="479"/>
      <c r="CP62" s="479"/>
      <c r="CQ62" s="479"/>
      <c r="CR62" s="54"/>
      <c r="CS62" s="3584" t="s">
        <v>2513</v>
      </c>
      <c r="CT62" s="51">
        <v>6</v>
      </c>
      <c r="CU62" s="55">
        <v>6</v>
      </c>
      <c r="CV62" s="1518">
        <v>6</v>
      </c>
      <c r="CW62" s="1518">
        <v>6</v>
      </c>
      <c r="CX62" s="1518">
        <v>6</v>
      </c>
      <c r="CY62" s="1518">
        <v>6</v>
      </c>
      <c r="CZ62" s="1926">
        <v>15</v>
      </c>
      <c r="DA62" s="3321">
        <v>15</v>
      </c>
      <c r="DB62" s="479"/>
      <c r="DC62" s="479"/>
      <c r="DD62" s="479"/>
    </row>
    <row r="63" spans="3:114" hidden="1" outlineLevel="1" x14ac:dyDescent="0.35">
      <c r="C63" s="132"/>
      <c r="D63" s="950" t="str">
        <f t="shared" si="27"/>
        <v>800750_2019_12_</v>
      </c>
      <c r="E63" s="1099" t="str">
        <f t="shared" si="29"/>
        <v>LED or Electroluminescent Replacing Interior Incandescent/CFL Exit Sign</v>
      </c>
      <c r="F63" s="3318">
        <v>36.25</v>
      </c>
      <c r="G63" s="3318">
        <v>2.5</v>
      </c>
      <c r="H63" s="3316">
        <v>8756</v>
      </c>
      <c r="I63" s="3269">
        <v>1.056</v>
      </c>
      <c r="J63" s="3269">
        <v>1.032</v>
      </c>
      <c r="K63" s="46">
        <v>1</v>
      </c>
      <c r="L63" s="1846">
        <v>7</v>
      </c>
      <c r="M63" s="3269">
        <f t="shared" si="28"/>
        <v>0.99071086865492275</v>
      </c>
      <c r="U63" s="1102"/>
      <c r="V63" s="1616" t="s">
        <v>2515</v>
      </c>
      <c r="W63" s="48">
        <v>30</v>
      </c>
      <c r="X63" s="48">
        <v>30</v>
      </c>
      <c r="Y63" s="49">
        <v>30</v>
      </c>
      <c r="Z63" s="49">
        <v>30</v>
      </c>
      <c r="AA63" s="49">
        <v>30</v>
      </c>
      <c r="AB63" s="48">
        <v>29.015364916773368</v>
      </c>
      <c r="AC63" s="1798">
        <v>28.08</v>
      </c>
      <c r="AD63" s="478">
        <v>36.249311294765839</v>
      </c>
      <c r="AE63" s="479"/>
      <c r="AF63" s="479"/>
      <c r="AG63" s="479"/>
      <c r="AH63" s="54"/>
      <c r="AI63" s="1949" t="s">
        <v>2515</v>
      </c>
      <c r="AJ63" s="48">
        <v>3</v>
      </c>
      <c r="AK63" s="49">
        <v>3</v>
      </c>
      <c r="AL63" s="49">
        <v>3</v>
      </c>
      <c r="AM63" s="48">
        <v>3</v>
      </c>
      <c r="AN63" s="48">
        <v>3</v>
      </c>
      <c r="AO63" s="48">
        <v>2.5345710627400768</v>
      </c>
      <c r="AP63" s="1798">
        <v>2.61</v>
      </c>
      <c r="AQ63" s="478">
        <v>2.5016062413951352</v>
      </c>
      <c r="AR63" s="479"/>
      <c r="AS63" s="479"/>
      <c r="AT63" s="54"/>
      <c r="AU63" s="1949" t="s">
        <v>2515</v>
      </c>
      <c r="AV63" s="2480">
        <v>8760</v>
      </c>
      <c r="AW63" s="2482">
        <v>8760</v>
      </c>
      <c r="AX63" s="2480">
        <v>8760</v>
      </c>
      <c r="AY63" s="2480">
        <v>8760</v>
      </c>
      <c r="AZ63" s="2480">
        <v>8760</v>
      </c>
      <c r="BA63" s="2480">
        <v>8760</v>
      </c>
      <c r="BB63" s="2480">
        <v>8760</v>
      </c>
      <c r="BC63" s="3319">
        <v>8755.8696649839385</v>
      </c>
      <c r="BD63" s="479"/>
      <c r="BE63" s="479"/>
      <c r="BF63" s="54"/>
      <c r="BG63" s="1949" t="s">
        <v>2515</v>
      </c>
      <c r="BH63" s="48">
        <v>1.07</v>
      </c>
      <c r="BI63" s="48">
        <v>1.07</v>
      </c>
      <c r="BJ63" s="479">
        <v>1.07</v>
      </c>
      <c r="BK63" s="50">
        <v>1.07</v>
      </c>
      <c r="BL63" s="50">
        <v>1.07</v>
      </c>
      <c r="BM63" s="49">
        <v>1.071</v>
      </c>
      <c r="BN63" s="1798">
        <v>1.071</v>
      </c>
      <c r="BO63" s="3337">
        <v>1.056</v>
      </c>
      <c r="BP63" s="479"/>
      <c r="BQ63" s="479"/>
      <c r="BR63" s="54"/>
      <c r="BS63" s="3585" t="s">
        <v>2515</v>
      </c>
      <c r="BT63" s="3585"/>
      <c r="BU63" s="2448"/>
      <c r="BV63" s="2448"/>
      <c r="BW63" s="2448"/>
      <c r="BX63" s="2448"/>
      <c r="BY63" s="2448"/>
      <c r="BZ63" s="2448"/>
      <c r="CA63" s="3337">
        <v>1.032</v>
      </c>
      <c r="CB63" s="1589"/>
      <c r="CC63" s="1589"/>
      <c r="CD63" s="1589"/>
      <c r="CF63" s="3584" t="s">
        <v>2515</v>
      </c>
      <c r="CG63" s="48">
        <v>1</v>
      </c>
      <c r="CH63" s="49">
        <v>1</v>
      </c>
      <c r="CI63" s="48">
        <v>1</v>
      </c>
      <c r="CJ63" s="48">
        <v>1</v>
      </c>
      <c r="CK63" s="48">
        <v>1</v>
      </c>
      <c r="CL63" s="48">
        <v>1</v>
      </c>
      <c r="CM63" s="1798">
        <v>1</v>
      </c>
      <c r="CN63" s="1741">
        <v>1</v>
      </c>
      <c r="CO63" s="479"/>
      <c r="CP63" s="479"/>
      <c r="CQ63" s="479"/>
      <c r="CR63" s="54"/>
      <c r="CS63" s="3584" t="s">
        <v>2515</v>
      </c>
      <c r="CT63" s="51">
        <v>16</v>
      </c>
      <c r="CU63" s="55">
        <v>16</v>
      </c>
      <c r="CV63" s="1518">
        <v>16</v>
      </c>
      <c r="CW63" s="1518">
        <v>16</v>
      </c>
      <c r="CX63" s="1518">
        <v>16</v>
      </c>
      <c r="CY63" s="1518">
        <v>16</v>
      </c>
      <c r="CZ63" s="1926">
        <v>7</v>
      </c>
      <c r="DA63" s="3321">
        <v>7</v>
      </c>
      <c r="DB63" s="479"/>
      <c r="DC63" s="479"/>
      <c r="DD63" s="479"/>
    </row>
    <row r="64" spans="3:114" hidden="1" outlineLevel="1" x14ac:dyDescent="0.35">
      <c r="C64" s="132"/>
      <c r="D64" s="950" t="str">
        <f t="shared" si="27"/>
        <v>800800_2020_12_</v>
      </c>
      <c r="E64" s="1099" t="str">
        <f t="shared" si="29"/>
        <v xml:space="preserve">LED Replacing Interior T5 Fluorescent (Type A / Hybrid) </v>
      </c>
      <c r="F64" s="3318">
        <v>128.79</v>
      </c>
      <c r="G64" s="3318">
        <v>61.41</v>
      </c>
      <c r="H64" s="3316">
        <v>4281</v>
      </c>
      <c r="I64" s="3269">
        <v>1.056</v>
      </c>
      <c r="J64" s="3269">
        <v>1.032</v>
      </c>
      <c r="K64" s="46">
        <v>1</v>
      </c>
      <c r="L64" s="1846">
        <v>10</v>
      </c>
      <c r="M64" s="3269">
        <f t="shared" si="28"/>
        <v>0.99071086865492275</v>
      </c>
      <c r="U64" s="1102"/>
      <c r="V64" s="1616" t="s">
        <v>2517</v>
      </c>
      <c r="W64" s="48">
        <v>60</v>
      </c>
      <c r="X64" s="48">
        <v>60</v>
      </c>
      <c r="Y64" s="49">
        <v>60</v>
      </c>
      <c r="Z64" s="49">
        <v>60</v>
      </c>
      <c r="AA64" s="49">
        <v>60</v>
      </c>
      <c r="AB64" s="48">
        <v>57.151731160896134</v>
      </c>
      <c r="AC64" s="1798">
        <v>127.07</v>
      </c>
      <c r="AD64" s="478">
        <v>128.79302832244008</v>
      </c>
      <c r="AE64" s="479"/>
      <c r="AF64" s="479"/>
      <c r="AG64" s="479"/>
      <c r="AH64" s="54"/>
      <c r="AI64" s="1949" t="s">
        <v>2517</v>
      </c>
      <c r="AJ64" s="48">
        <v>28</v>
      </c>
      <c r="AK64" s="49">
        <v>28</v>
      </c>
      <c r="AL64" s="49">
        <v>28</v>
      </c>
      <c r="AM64" s="48">
        <v>28</v>
      </c>
      <c r="AN64" s="48">
        <v>28</v>
      </c>
      <c r="AO64" s="48">
        <v>26.891378139850644</v>
      </c>
      <c r="AP64" s="1798">
        <v>62.35</v>
      </c>
      <c r="AQ64" s="478">
        <v>61.414459556191836</v>
      </c>
      <c r="AR64" s="479"/>
      <c r="AS64" s="479"/>
      <c r="AT64" s="54"/>
      <c r="AU64" s="1949" t="s">
        <v>2517</v>
      </c>
      <c r="AV64" s="2480">
        <v>6500</v>
      </c>
      <c r="AW64" s="2482">
        <v>6500</v>
      </c>
      <c r="AX64" s="2480">
        <v>6500</v>
      </c>
      <c r="AY64" s="2480">
        <v>6500</v>
      </c>
      <c r="AZ64" s="2480">
        <v>6500</v>
      </c>
      <c r="BA64" s="2480">
        <v>4842.3896809232856</v>
      </c>
      <c r="BB64" s="2480">
        <v>5216</v>
      </c>
      <c r="BC64" s="3319">
        <v>4280.6456692913389</v>
      </c>
      <c r="BD64" s="479"/>
      <c r="BE64" s="479"/>
      <c r="BF64" s="54"/>
      <c r="BG64" s="1949" t="s">
        <v>2517</v>
      </c>
      <c r="BH64" s="48">
        <v>1.07</v>
      </c>
      <c r="BI64" s="48">
        <v>1.07</v>
      </c>
      <c r="BJ64" s="479">
        <v>1.07</v>
      </c>
      <c r="BK64" s="50">
        <v>1.07</v>
      </c>
      <c r="BL64" s="50">
        <v>1.07</v>
      </c>
      <c r="BM64" s="49">
        <v>1.071</v>
      </c>
      <c r="BN64" s="1798">
        <v>1.071</v>
      </c>
      <c r="BO64" s="3337">
        <v>1.056</v>
      </c>
      <c r="BP64" s="479"/>
      <c r="BQ64" s="479"/>
      <c r="BR64" s="54"/>
      <c r="BS64" s="3585" t="s">
        <v>2517</v>
      </c>
      <c r="BT64" s="3585"/>
      <c r="BU64" s="2448"/>
      <c r="BV64" s="2448"/>
      <c r="BW64" s="2448"/>
      <c r="BX64" s="2448"/>
      <c r="BY64" s="2448"/>
      <c r="BZ64" s="2448"/>
      <c r="CA64" s="3337">
        <v>1.032</v>
      </c>
      <c r="CB64" s="1589"/>
      <c r="CC64" s="1589"/>
      <c r="CD64" s="1589"/>
      <c r="CF64" s="3584" t="s">
        <v>2517</v>
      </c>
      <c r="CG64" s="48">
        <v>1</v>
      </c>
      <c r="CH64" s="49">
        <v>1</v>
      </c>
      <c r="CI64" s="48">
        <v>1</v>
      </c>
      <c r="CJ64" s="48">
        <v>1</v>
      </c>
      <c r="CK64" s="48">
        <v>1</v>
      </c>
      <c r="CL64" s="48">
        <v>1</v>
      </c>
      <c r="CM64" s="1798">
        <v>1</v>
      </c>
      <c r="CN64" s="1741">
        <v>1</v>
      </c>
      <c r="CO64" s="479"/>
      <c r="CP64" s="479"/>
      <c r="CQ64" s="479"/>
      <c r="CR64" s="54"/>
      <c r="CS64" s="3584" t="s">
        <v>2517</v>
      </c>
      <c r="CT64" s="51">
        <v>8</v>
      </c>
      <c r="CU64" s="55">
        <v>8</v>
      </c>
      <c r="CV64" s="1518">
        <v>8</v>
      </c>
      <c r="CW64" s="1518">
        <v>8</v>
      </c>
      <c r="CX64" s="1518">
        <v>8</v>
      </c>
      <c r="CY64" s="1518">
        <v>10</v>
      </c>
      <c r="CZ64" s="1926">
        <v>10</v>
      </c>
      <c r="DA64" s="3321">
        <v>10</v>
      </c>
      <c r="DB64" s="479"/>
      <c r="DC64" s="479"/>
      <c r="DD64" s="479"/>
    </row>
    <row r="65" spans="2:114" hidden="1" outlineLevel="1" x14ac:dyDescent="0.35">
      <c r="C65" s="132"/>
      <c r="D65" s="950" t="str">
        <f t="shared" si="27"/>
        <v>800801_2020_12_</v>
      </c>
      <c r="E65" s="1099" t="str">
        <f t="shared" si="29"/>
        <v>LED Replacing Interior T5 Fluorescent (Type B, Kits, and Fixtures)</v>
      </c>
      <c r="F65" s="3318">
        <v>239.12</v>
      </c>
      <c r="G65" s="3318">
        <v>103.91</v>
      </c>
      <c r="H65" s="3316">
        <v>3855</v>
      </c>
      <c r="I65" s="3269">
        <v>1.056</v>
      </c>
      <c r="J65" s="3269">
        <v>1.032</v>
      </c>
      <c r="K65" s="46">
        <v>1</v>
      </c>
      <c r="L65" s="1846">
        <v>15</v>
      </c>
      <c r="M65" s="3269">
        <f t="shared" si="28"/>
        <v>0.99071086865492275</v>
      </c>
      <c r="U65" s="1102"/>
      <c r="V65" s="1616" t="s">
        <v>2519</v>
      </c>
      <c r="W65" s="2456"/>
      <c r="X65" s="2456"/>
      <c r="Y65" s="2457"/>
      <c r="Z65" s="2457"/>
      <c r="AA65" s="2457"/>
      <c r="AB65" s="48">
        <v>129.47809753575737</v>
      </c>
      <c r="AC65" s="1798">
        <v>187.49</v>
      </c>
      <c r="AD65" s="478">
        <v>239.12037825864712</v>
      </c>
      <c r="AE65" s="479"/>
      <c r="AF65" s="479"/>
      <c r="AG65" s="479"/>
      <c r="AH65" s="54"/>
      <c r="AI65" s="1949" t="s">
        <v>2519</v>
      </c>
      <c r="AJ65" s="2456"/>
      <c r="AK65" s="2456"/>
      <c r="AL65" s="2457"/>
      <c r="AM65" s="2456"/>
      <c r="AN65" s="2456"/>
      <c r="AO65" s="48">
        <v>54.55328661420338</v>
      </c>
      <c r="AP65" s="1798">
        <v>80.180000000000007</v>
      </c>
      <c r="AQ65" s="478">
        <v>103.90829394069617</v>
      </c>
      <c r="AR65" s="479"/>
      <c r="AS65" s="479"/>
      <c r="AT65" s="54"/>
      <c r="AU65" s="1949" t="s">
        <v>2519</v>
      </c>
      <c r="AV65" s="2484"/>
      <c r="AW65" s="2485"/>
      <c r="AX65" s="2484"/>
      <c r="AY65" s="2484"/>
      <c r="AZ65" s="2484"/>
      <c r="BA65" s="2480">
        <v>4551.3067953357458</v>
      </c>
      <c r="BB65" s="2480">
        <v>4282.6269361672566</v>
      </c>
      <c r="BC65" s="3319">
        <v>3854.5204125483456</v>
      </c>
      <c r="BD65" s="479"/>
      <c r="BE65" s="479"/>
      <c r="BF65" s="54"/>
      <c r="BG65" s="1949" t="s">
        <v>2519</v>
      </c>
      <c r="BH65" s="2448"/>
      <c r="BI65" s="2452"/>
      <c r="BJ65" s="2453"/>
      <c r="BK65" s="2453"/>
      <c r="BL65" s="2453"/>
      <c r="BM65" s="49">
        <v>1.071</v>
      </c>
      <c r="BN65" s="1798">
        <v>1.071</v>
      </c>
      <c r="BO65" s="3337">
        <v>1.056</v>
      </c>
      <c r="BP65" s="479"/>
      <c r="BQ65" s="479"/>
      <c r="BR65" s="54"/>
      <c r="BS65" s="3585" t="s">
        <v>2519</v>
      </c>
      <c r="BT65" s="3585"/>
      <c r="BU65" s="2448"/>
      <c r="BV65" s="2448"/>
      <c r="BW65" s="2448"/>
      <c r="BX65" s="2448"/>
      <c r="BY65" s="2448"/>
      <c r="BZ65" s="2448"/>
      <c r="CA65" s="3337">
        <v>1.032</v>
      </c>
      <c r="CB65" s="1589"/>
      <c r="CC65" s="1589"/>
      <c r="CD65" s="1589"/>
      <c r="CF65" s="3584" t="s">
        <v>2519</v>
      </c>
      <c r="CG65" s="2448"/>
      <c r="CH65" s="2452"/>
      <c r="CI65" s="2453"/>
      <c r="CJ65" s="2453"/>
      <c r="CK65" s="2453"/>
      <c r="CL65" s="48">
        <v>1</v>
      </c>
      <c r="CM65" s="1798">
        <v>1</v>
      </c>
      <c r="CN65" s="1741">
        <v>1</v>
      </c>
      <c r="CO65" s="479"/>
      <c r="CP65" s="479"/>
      <c r="CQ65" s="479"/>
      <c r="CR65" s="54"/>
      <c r="CS65" s="3584" t="s">
        <v>2519</v>
      </c>
      <c r="CT65" s="2448"/>
      <c r="CU65" s="2452"/>
      <c r="CV65" s="2453"/>
      <c r="CW65" s="2453"/>
      <c r="CX65" s="2453"/>
      <c r="CY65" s="1518">
        <v>15</v>
      </c>
      <c r="CZ65" s="1926">
        <v>15</v>
      </c>
      <c r="DA65" s="3321">
        <v>15</v>
      </c>
      <c r="DB65" s="479"/>
      <c r="DC65" s="479"/>
      <c r="DD65" s="479"/>
    </row>
    <row r="66" spans="2:114" hidden="1" outlineLevel="1" x14ac:dyDescent="0.35">
      <c r="C66" s="132"/>
      <c r="D66" s="950" t="str">
        <f t="shared" si="27"/>
        <v>800802_2021_12_</v>
      </c>
      <c r="E66" s="1099" t="str">
        <f t="shared" si="29"/>
        <v>LED Replacing Interior T5 Fluorescent (Type C)</v>
      </c>
      <c r="F66" s="3318">
        <v>138.71</v>
      </c>
      <c r="G66" s="3318">
        <v>40.79</v>
      </c>
      <c r="H66" s="3316">
        <v>2959</v>
      </c>
      <c r="I66" s="3269">
        <v>1.056</v>
      </c>
      <c r="J66" s="3269">
        <v>1.032</v>
      </c>
      <c r="K66" s="46">
        <v>1</v>
      </c>
      <c r="L66" s="1846">
        <v>11</v>
      </c>
      <c r="M66" s="3269">
        <f t="shared" si="28"/>
        <v>0.99071086865492275</v>
      </c>
      <c r="U66" s="1102"/>
      <c r="V66" s="1616" t="s">
        <v>4217</v>
      </c>
      <c r="W66" s="2456"/>
      <c r="X66" s="2456"/>
      <c r="Y66" s="2457"/>
      <c r="Z66" s="2457"/>
      <c r="AA66" s="2457"/>
      <c r="AB66" s="2457"/>
      <c r="AC66" s="1798">
        <v>120</v>
      </c>
      <c r="AD66" s="478">
        <v>138.70503597122303</v>
      </c>
      <c r="AE66" s="479"/>
      <c r="AF66" s="479"/>
      <c r="AG66" s="479"/>
      <c r="AH66" s="54"/>
      <c r="AI66" s="1949" t="s">
        <v>4217</v>
      </c>
      <c r="AJ66" s="2456"/>
      <c r="AK66" s="2456"/>
      <c r="AL66" s="2457"/>
      <c r="AM66" s="2456"/>
      <c r="AN66" s="2456"/>
      <c r="AO66" s="2456"/>
      <c r="AP66" s="1798">
        <v>26</v>
      </c>
      <c r="AQ66" s="478">
        <v>40.791366906474821</v>
      </c>
      <c r="AR66" s="479"/>
      <c r="AS66" s="479"/>
      <c r="AT66" s="54"/>
      <c r="AU66" s="1949" t="s">
        <v>4217</v>
      </c>
      <c r="AV66" s="2484"/>
      <c r="AW66" s="2485"/>
      <c r="AX66" s="2484"/>
      <c r="AY66" s="2484"/>
      <c r="AZ66" s="2484"/>
      <c r="BA66" s="2484"/>
      <c r="BB66" s="2480">
        <v>3800</v>
      </c>
      <c r="BC66" s="3319">
        <v>2958.8489208633096</v>
      </c>
      <c r="BD66" s="479"/>
      <c r="BE66" s="479"/>
      <c r="BF66" s="54"/>
      <c r="BG66" s="1949" t="s">
        <v>4217</v>
      </c>
      <c r="BH66" s="2448"/>
      <c r="BI66" s="2452"/>
      <c r="BJ66" s="2453"/>
      <c r="BK66" s="2453"/>
      <c r="BL66" s="2453"/>
      <c r="BM66" s="2453"/>
      <c r="BN66" s="1798">
        <v>1.07</v>
      </c>
      <c r="BO66" s="3337">
        <v>1.056</v>
      </c>
      <c r="BP66" s="479"/>
      <c r="BQ66" s="479"/>
      <c r="BR66" s="54"/>
      <c r="BS66" s="3585" t="s">
        <v>4217</v>
      </c>
      <c r="BT66" s="3585"/>
      <c r="BU66" s="2448"/>
      <c r="BV66" s="2448"/>
      <c r="BW66" s="2448"/>
      <c r="BX66" s="2448"/>
      <c r="BY66" s="2448"/>
      <c r="BZ66" s="2448"/>
      <c r="CA66" s="3337">
        <v>1.032</v>
      </c>
      <c r="CB66" s="1589"/>
      <c r="CC66" s="1589"/>
      <c r="CD66" s="1589"/>
      <c r="CF66" s="3584" t="s">
        <v>4217</v>
      </c>
      <c r="CG66" s="2448"/>
      <c r="CH66" s="2452"/>
      <c r="CI66" s="2453"/>
      <c r="CJ66" s="2453"/>
      <c r="CK66" s="2453"/>
      <c r="CL66" s="2453"/>
      <c r="CM66" s="1798">
        <v>1</v>
      </c>
      <c r="CN66" s="1741">
        <v>1</v>
      </c>
      <c r="CO66" s="479"/>
      <c r="CP66" s="479"/>
      <c r="CQ66" s="479"/>
      <c r="CR66" s="54"/>
      <c r="CS66" s="3584" t="s">
        <v>4217</v>
      </c>
      <c r="CT66" s="2448"/>
      <c r="CU66" s="2452"/>
      <c r="CV66" s="2453"/>
      <c r="CW66" s="2453"/>
      <c r="CX66" s="2453"/>
      <c r="CY66" s="2453"/>
      <c r="CZ66" s="1926">
        <v>11</v>
      </c>
      <c r="DA66" s="3321">
        <v>11</v>
      </c>
      <c r="DB66" s="479"/>
      <c r="DC66" s="479"/>
      <c r="DD66" s="479"/>
    </row>
    <row r="67" spans="2:114" hidden="1" outlineLevel="1" x14ac:dyDescent="0.35">
      <c r="C67" s="132"/>
      <c r="D67" s="950" t="str">
        <f t="shared" si="27"/>
        <v>800850_2020_12_</v>
      </c>
      <c r="E67" s="1099" t="str">
        <f t="shared" si="29"/>
        <v xml:space="preserve">LED Replacing Interior T8 Fluorescent (Type A / Hybrid) </v>
      </c>
      <c r="F67" s="3318">
        <v>85.62</v>
      </c>
      <c r="G67" s="3318">
        <v>41.2</v>
      </c>
      <c r="H67" s="3316">
        <v>5042</v>
      </c>
      <c r="I67" s="3269">
        <v>1.056</v>
      </c>
      <c r="J67" s="3269">
        <v>1.032</v>
      </c>
      <c r="K67" s="46">
        <v>1</v>
      </c>
      <c r="L67" s="1846">
        <v>10</v>
      </c>
      <c r="M67" s="3269">
        <f t="shared" si="28"/>
        <v>0.99071086865492275</v>
      </c>
      <c r="U67" s="1103"/>
      <c r="V67" s="1616" t="s">
        <v>2520</v>
      </c>
      <c r="W67" s="48">
        <v>28</v>
      </c>
      <c r="X67" s="322">
        <v>28.3</v>
      </c>
      <c r="Y67" s="49">
        <v>28.3</v>
      </c>
      <c r="Z67" s="49">
        <v>28.3</v>
      </c>
      <c r="AA67" s="49">
        <v>28.3</v>
      </c>
      <c r="AB67" s="48">
        <v>34.696581538376684</v>
      </c>
      <c r="AC67" s="1798">
        <v>85.48</v>
      </c>
      <c r="AD67" s="478">
        <v>85.624728473368663</v>
      </c>
      <c r="AE67" s="479"/>
      <c r="AF67" s="479"/>
      <c r="AG67" s="479"/>
      <c r="AH67" s="54"/>
      <c r="AI67" s="1949" t="s">
        <v>2520</v>
      </c>
      <c r="AJ67" s="48">
        <v>14</v>
      </c>
      <c r="AK67" s="322">
        <v>13.7</v>
      </c>
      <c r="AL67" s="49">
        <v>13.7</v>
      </c>
      <c r="AM67" s="48">
        <v>13.7</v>
      </c>
      <c r="AN67" s="48">
        <v>13.7</v>
      </c>
      <c r="AO67" s="48">
        <v>15.651019976649476</v>
      </c>
      <c r="AP67" s="1798">
        <v>38.909999999999997</v>
      </c>
      <c r="AQ67" s="478">
        <v>41.195387293298523</v>
      </c>
      <c r="AR67" s="479"/>
      <c r="AS67" s="479"/>
      <c r="AT67" s="54"/>
      <c r="AU67" s="1949" t="s">
        <v>2520</v>
      </c>
      <c r="AV67" s="2480">
        <v>5500</v>
      </c>
      <c r="AW67" s="2481">
        <v>5400</v>
      </c>
      <c r="AX67" s="2480">
        <v>5400</v>
      </c>
      <c r="AY67" s="2480">
        <v>5400</v>
      </c>
      <c r="AZ67" s="2480">
        <v>5400</v>
      </c>
      <c r="BA67" s="2480">
        <v>4232.7285363633855</v>
      </c>
      <c r="BB67" s="2480">
        <v>4312.5738874058725</v>
      </c>
      <c r="BC67" s="3319">
        <v>5042.2161009573538</v>
      </c>
      <c r="BD67" s="479"/>
      <c r="BE67" s="479"/>
      <c r="BF67" s="54"/>
      <c r="BG67" s="1949" t="s">
        <v>2520</v>
      </c>
      <c r="BH67" s="48">
        <v>1.07</v>
      </c>
      <c r="BI67" s="322">
        <v>1.08</v>
      </c>
      <c r="BJ67" s="479">
        <v>1.08</v>
      </c>
      <c r="BK67" s="50">
        <v>1.08</v>
      </c>
      <c r="BL67" s="50">
        <v>1.08</v>
      </c>
      <c r="BM67" s="49">
        <v>1.071</v>
      </c>
      <c r="BN67" s="1798">
        <v>1.071</v>
      </c>
      <c r="BO67" s="3337">
        <v>1.056</v>
      </c>
      <c r="BP67" s="479"/>
      <c r="BQ67" s="479"/>
      <c r="BR67" s="54"/>
      <c r="BS67" s="3585" t="s">
        <v>2520</v>
      </c>
      <c r="BT67" s="3585"/>
      <c r="BU67" s="2448"/>
      <c r="BV67" s="2448"/>
      <c r="BW67" s="2448"/>
      <c r="BX67" s="2448"/>
      <c r="BY67" s="2448"/>
      <c r="BZ67" s="2448"/>
      <c r="CA67" s="3337">
        <v>1.032</v>
      </c>
      <c r="CB67" s="1589"/>
      <c r="CC67" s="1589"/>
      <c r="CD67" s="1589"/>
      <c r="CF67" s="3584" t="s">
        <v>2520</v>
      </c>
      <c r="CG67" s="48">
        <v>1</v>
      </c>
      <c r="CH67" s="322">
        <v>0.99614637091058145</v>
      </c>
      <c r="CI67" s="48">
        <v>0.99614637091058145</v>
      </c>
      <c r="CJ67" s="48">
        <v>0.99614637091058145</v>
      </c>
      <c r="CK67" s="48">
        <v>0.99614637091058145</v>
      </c>
      <c r="CL67" s="48">
        <v>0.99614637091058145</v>
      </c>
      <c r="CM67" s="1798">
        <v>0.99614637091058145</v>
      </c>
      <c r="CN67" s="1741">
        <v>0.99614637091058145</v>
      </c>
      <c r="CO67" s="479"/>
      <c r="CP67" s="479"/>
      <c r="CQ67" s="479"/>
      <c r="CR67" s="54"/>
      <c r="CS67" s="3584" t="s">
        <v>2520</v>
      </c>
      <c r="CT67" s="51">
        <v>9</v>
      </c>
      <c r="CU67" s="55">
        <v>9</v>
      </c>
      <c r="CV67" s="1518">
        <v>9</v>
      </c>
      <c r="CW67" s="1518">
        <v>9</v>
      </c>
      <c r="CX67" s="1518">
        <v>9</v>
      </c>
      <c r="CY67" s="1518">
        <v>10</v>
      </c>
      <c r="CZ67" s="1926">
        <v>10</v>
      </c>
      <c r="DA67" s="3321">
        <v>10</v>
      </c>
      <c r="DB67" s="479"/>
      <c r="DC67" s="479"/>
      <c r="DD67" s="479"/>
    </row>
    <row r="68" spans="2:114" hidden="1" outlineLevel="1" x14ac:dyDescent="0.35">
      <c r="C68" s="132"/>
      <c r="D68" s="950" t="str">
        <f t="shared" si="27"/>
        <v>800851_2020_12_</v>
      </c>
      <c r="E68" s="1099" t="str">
        <f t="shared" si="29"/>
        <v>LED Replacting Interior T8 Fluorescent (Type B, Kits, and Fixtures)</v>
      </c>
      <c r="F68" s="3318">
        <v>90.02</v>
      </c>
      <c r="G68" s="3318">
        <v>37.869999999999997</v>
      </c>
      <c r="H68" s="3316">
        <v>3644</v>
      </c>
      <c r="I68" s="3269">
        <v>1.056</v>
      </c>
      <c r="J68" s="3269">
        <v>1.032</v>
      </c>
      <c r="K68" s="46">
        <v>1</v>
      </c>
      <c r="L68" s="1846">
        <v>15</v>
      </c>
      <c r="M68" s="3269">
        <f t="shared" si="28"/>
        <v>0.99071086865492275</v>
      </c>
      <c r="U68" s="1103"/>
      <c r="V68" s="1616" t="s">
        <v>2522</v>
      </c>
      <c r="W68" s="2456"/>
      <c r="X68" s="2456"/>
      <c r="Y68" s="2457"/>
      <c r="Z68" s="2457"/>
      <c r="AA68" s="2457"/>
      <c r="AB68" s="48">
        <v>59.772720625328752</v>
      </c>
      <c r="AC68" s="1798">
        <v>92.55</v>
      </c>
      <c r="AD68" s="478">
        <v>90.02361561617623</v>
      </c>
      <c r="AE68" s="479"/>
      <c r="AF68" s="479"/>
      <c r="AG68" s="479"/>
      <c r="AH68" s="54"/>
      <c r="AI68" s="1949" t="s">
        <v>2522</v>
      </c>
      <c r="AJ68" s="2456"/>
      <c r="AK68" s="2456"/>
      <c r="AL68" s="2457"/>
      <c r="AM68" s="2456"/>
      <c r="AN68" s="2456"/>
      <c r="AO68" s="48">
        <v>24.753815057906763</v>
      </c>
      <c r="AP68" s="1798">
        <v>37.119999999999997</v>
      </c>
      <c r="AQ68" s="478">
        <v>37.874579052232683</v>
      </c>
      <c r="AR68" s="479"/>
      <c r="AS68" s="479"/>
      <c r="AT68" s="54"/>
      <c r="AU68" s="1949" t="s">
        <v>2522</v>
      </c>
      <c r="AV68" s="2484"/>
      <c r="AW68" s="2485"/>
      <c r="AX68" s="2484"/>
      <c r="AY68" s="2484"/>
      <c r="AZ68" s="2484"/>
      <c r="BA68" s="2480">
        <v>4315.6299709124478</v>
      </c>
      <c r="BB68" s="2480">
        <v>3612.4490433014971</v>
      </c>
      <c r="BC68" s="3319">
        <v>3643.5084423955932</v>
      </c>
      <c r="BD68" s="479"/>
      <c r="BE68" s="479"/>
      <c r="BF68" s="54"/>
      <c r="BG68" s="1949" t="s">
        <v>2522</v>
      </c>
      <c r="BH68" s="2448"/>
      <c r="BI68" s="2452"/>
      <c r="BJ68" s="2453"/>
      <c r="BK68" s="2453"/>
      <c r="BL68" s="2453"/>
      <c r="BM68" s="49">
        <v>1.071</v>
      </c>
      <c r="BN68" s="1798">
        <v>1.071</v>
      </c>
      <c r="BO68" s="3337">
        <v>1.056</v>
      </c>
      <c r="BP68" s="479"/>
      <c r="BQ68" s="479"/>
      <c r="BR68" s="54"/>
      <c r="BS68" s="3585" t="s">
        <v>2522</v>
      </c>
      <c r="BT68" s="3585"/>
      <c r="BU68" s="2448"/>
      <c r="BV68" s="2448"/>
      <c r="BW68" s="2448"/>
      <c r="BX68" s="2448"/>
      <c r="BY68" s="2448"/>
      <c r="BZ68" s="2448"/>
      <c r="CA68" s="3337">
        <v>1.032</v>
      </c>
      <c r="CB68" s="1589"/>
      <c r="CC68" s="1589"/>
      <c r="CD68" s="1589"/>
      <c r="CF68" s="3584" t="s">
        <v>2522</v>
      </c>
      <c r="CG68" s="2448"/>
      <c r="CH68" s="2452"/>
      <c r="CI68" s="2453"/>
      <c r="CJ68" s="2453"/>
      <c r="CK68" s="2453"/>
      <c r="CL68" s="48">
        <v>0.99614637091058145</v>
      </c>
      <c r="CM68" s="1798">
        <v>0.99614637091058145</v>
      </c>
      <c r="CN68" s="1741">
        <v>0.99614637091058145</v>
      </c>
      <c r="CO68" s="479"/>
      <c r="CP68" s="479"/>
      <c r="CQ68" s="479"/>
      <c r="CR68" s="54"/>
      <c r="CS68" s="3584" t="s">
        <v>2522</v>
      </c>
      <c r="CT68" s="2448"/>
      <c r="CU68" s="2452"/>
      <c r="CV68" s="2453"/>
      <c r="CW68" s="2453"/>
      <c r="CX68" s="2453"/>
      <c r="CY68" s="1518">
        <v>15</v>
      </c>
      <c r="CZ68" s="1926">
        <v>15</v>
      </c>
      <c r="DA68" s="3321">
        <v>15</v>
      </c>
      <c r="DB68" s="479"/>
      <c r="DC68" s="479"/>
      <c r="DD68" s="479"/>
    </row>
    <row r="69" spans="2:114" hidden="1" outlineLevel="1" x14ac:dyDescent="0.35">
      <c r="C69" s="132"/>
      <c r="D69" s="950" t="str">
        <f t="shared" si="27"/>
        <v>800852_2021_12_</v>
      </c>
      <c r="E69" s="1099" t="str">
        <f t="shared" si="29"/>
        <v>LED Replacting Interior T8 Fluorescent (Type C)</v>
      </c>
      <c r="F69" s="3318">
        <v>71.94</v>
      </c>
      <c r="G69" s="3318">
        <v>30.78</v>
      </c>
      <c r="H69" s="3316">
        <v>4096</v>
      </c>
      <c r="I69" s="3269">
        <v>1.056</v>
      </c>
      <c r="J69" s="3269">
        <v>1.032</v>
      </c>
      <c r="K69" s="46">
        <v>1</v>
      </c>
      <c r="L69" s="1846">
        <v>11</v>
      </c>
      <c r="M69" s="3269">
        <f t="shared" si="28"/>
        <v>0.99071086865492275</v>
      </c>
      <c r="U69" s="1103"/>
      <c r="V69" s="1616" t="s">
        <v>4218</v>
      </c>
      <c r="W69" s="2456"/>
      <c r="X69" s="2456"/>
      <c r="Y69" s="2457"/>
      <c r="Z69" s="2457"/>
      <c r="AA69" s="2457"/>
      <c r="AB69" s="2457"/>
      <c r="AC69" s="1798">
        <v>81.634859457469005</v>
      </c>
      <c r="AD69" s="478">
        <v>71.936236391912914</v>
      </c>
      <c r="AE69" s="479"/>
      <c r="AF69" s="479"/>
      <c r="AG69" s="479"/>
      <c r="AH69" s="54"/>
      <c r="AI69" s="1949" t="s">
        <v>4218</v>
      </c>
      <c r="AJ69" s="2456"/>
      <c r="AK69" s="2456"/>
      <c r="AL69" s="2457"/>
      <c r="AM69" s="2456"/>
      <c r="AN69" s="2456"/>
      <c r="AO69" s="2456"/>
      <c r="AP69" s="1798">
        <v>31.539953357063951</v>
      </c>
      <c r="AQ69" s="478">
        <v>30.78071539657854</v>
      </c>
      <c r="AR69" s="479"/>
      <c r="AS69" s="479"/>
      <c r="AT69" s="54"/>
      <c r="AU69" s="1949" t="s">
        <v>4218</v>
      </c>
      <c r="AV69" s="2484"/>
      <c r="AW69" s="2485"/>
      <c r="AX69" s="2484"/>
      <c r="AY69" s="2484"/>
      <c r="AZ69" s="2484"/>
      <c r="BA69" s="2484"/>
      <c r="BB69" s="2480">
        <v>5068.9456241561311</v>
      </c>
      <c r="BC69" s="3319">
        <v>4096.167185069984</v>
      </c>
      <c r="BD69" s="479"/>
      <c r="BE69" s="479"/>
      <c r="BF69" s="54"/>
      <c r="BG69" s="1949" t="s">
        <v>4218</v>
      </c>
      <c r="BH69" s="2448"/>
      <c r="BI69" s="2452"/>
      <c r="BJ69" s="2453"/>
      <c r="BK69" s="2453"/>
      <c r="BL69" s="2453"/>
      <c r="BM69" s="2453"/>
      <c r="BN69" s="1798">
        <v>1.07</v>
      </c>
      <c r="BO69" s="3337">
        <v>1.056</v>
      </c>
      <c r="BP69" s="479"/>
      <c r="BQ69" s="479"/>
      <c r="BR69" s="54"/>
      <c r="BS69" s="3585" t="s">
        <v>4218</v>
      </c>
      <c r="BT69" s="3585"/>
      <c r="BU69" s="2448"/>
      <c r="BV69" s="2448"/>
      <c r="BW69" s="2448"/>
      <c r="BX69" s="2448"/>
      <c r="BY69" s="2448"/>
      <c r="BZ69" s="2448"/>
      <c r="CA69" s="3337">
        <v>1.032</v>
      </c>
      <c r="CB69" s="1589"/>
      <c r="CC69" s="1589"/>
      <c r="CD69" s="1589"/>
      <c r="CF69" s="3584" t="s">
        <v>4218</v>
      </c>
      <c r="CG69" s="2448"/>
      <c r="CH69" s="2452"/>
      <c r="CI69" s="2453"/>
      <c r="CJ69" s="2453"/>
      <c r="CK69" s="2453"/>
      <c r="CL69" s="2453"/>
      <c r="CM69" s="1798">
        <v>1</v>
      </c>
      <c r="CN69" s="1741">
        <v>1</v>
      </c>
      <c r="CO69" s="479"/>
      <c r="CP69" s="479"/>
      <c r="CQ69" s="479"/>
      <c r="CR69" s="54"/>
      <c r="CS69" s="3584" t="s">
        <v>4218</v>
      </c>
      <c r="CT69" s="2448"/>
      <c r="CU69" s="2452"/>
      <c r="CV69" s="2453"/>
      <c r="CW69" s="2453"/>
      <c r="CX69" s="2453"/>
      <c r="CY69" s="2453"/>
      <c r="CZ69" s="1926">
        <v>11</v>
      </c>
      <c r="DA69" s="3321">
        <v>11</v>
      </c>
      <c r="DB69" s="479"/>
      <c r="DC69" s="479"/>
      <c r="DD69" s="479"/>
    </row>
    <row r="70" spans="2:114" hidden="1" outlineLevel="1" x14ac:dyDescent="0.35">
      <c r="C70" s="132"/>
      <c r="D70" s="950" t="str">
        <f t="shared" si="27"/>
        <v>800900_2020_12_</v>
      </c>
      <c r="E70" s="1099" t="str">
        <f t="shared" si="29"/>
        <v xml:space="preserve">LED Replacing Interior T12 Fluorescent (Type A / Hybrid) </v>
      </c>
      <c r="F70" s="3318">
        <v>98.3</v>
      </c>
      <c r="G70" s="3318">
        <v>38.19</v>
      </c>
      <c r="H70" s="3316">
        <v>3141</v>
      </c>
      <c r="I70" s="3269">
        <v>1.056</v>
      </c>
      <c r="J70" s="3269">
        <v>1.032</v>
      </c>
      <c r="K70" s="46">
        <v>1</v>
      </c>
      <c r="L70" s="1846">
        <v>10</v>
      </c>
      <c r="M70" s="3269">
        <f t="shared" si="28"/>
        <v>0.99071086865492275</v>
      </c>
      <c r="U70" s="1102"/>
      <c r="V70" s="1616" t="s">
        <v>2523</v>
      </c>
      <c r="W70" s="48">
        <v>40</v>
      </c>
      <c r="X70" s="322">
        <v>39.659124009019756</v>
      </c>
      <c r="Y70" s="49">
        <v>39.659124009019756</v>
      </c>
      <c r="Z70" s="49">
        <v>39.659124009019756</v>
      </c>
      <c r="AA70" s="49">
        <v>39.659124009019756</v>
      </c>
      <c r="AB70" s="48">
        <v>51.948940020682521</v>
      </c>
      <c r="AC70" s="1798">
        <v>89.4</v>
      </c>
      <c r="AD70" s="478">
        <v>98.297069450020075</v>
      </c>
      <c r="AE70" s="479"/>
      <c r="AF70" s="479"/>
      <c r="AG70" s="479"/>
      <c r="AH70" s="54"/>
      <c r="AI70" s="1949" t="s">
        <v>2523</v>
      </c>
      <c r="AJ70" s="48">
        <v>14</v>
      </c>
      <c r="AK70" s="322">
        <v>16.024798289519346</v>
      </c>
      <c r="AL70" s="49">
        <v>16.024798289519346</v>
      </c>
      <c r="AM70" s="48">
        <v>16.024798289519346</v>
      </c>
      <c r="AN70" s="48">
        <v>16.024798289519346</v>
      </c>
      <c r="AO70" s="48">
        <v>16.49767321613237</v>
      </c>
      <c r="AP70" s="1798">
        <v>33.47</v>
      </c>
      <c r="AQ70" s="478">
        <v>38.190028606456885</v>
      </c>
      <c r="AR70" s="479"/>
      <c r="AS70" s="479"/>
      <c r="AT70" s="54"/>
      <c r="AU70" s="1949" t="s">
        <v>2523</v>
      </c>
      <c r="AV70" s="2480">
        <v>4480</v>
      </c>
      <c r="AW70" s="2481">
        <v>3660</v>
      </c>
      <c r="AX70" s="2480">
        <v>3660</v>
      </c>
      <c r="AY70" s="2480">
        <v>3660</v>
      </c>
      <c r="AZ70" s="2480">
        <v>3660</v>
      </c>
      <c r="BA70" s="2480">
        <v>3950.5788521199588</v>
      </c>
      <c r="BB70" s="2480">
        <v>3864.8374040474528</v>
      </c>
      <c r="BC70" s="3319">
        <v>3141.0069472823866</v>
      </c>
      <c r="BD70" s="479"/>
      <c r="BE70" s="479"/>
      <c r="BF70" s="54"/>
      <c r="BG70" s="1949" t="s">
        <v>2523</v>
      </c>
      <c r="BH70" s="48">
        <v>1.07</v>
      </c>
      <c r="BI70" s="49">
        <v>1.07</v>
      </c>
      <c r="BJ70" s="479">
        <v>1.07</v>
      </c>
      <c r="BK70" s="50">
        <v>1.07</v>
      </c>
      <c r="BL70" s="50">
        <v>1.07</v>
      </c>
      <c r="BM70" s="49">
        <v>1.071</v>
      </c>
      <c r="BN70" s="1798">
        <v>1.071</v>
      </c>
      <c r="BO70" s="3337">
        <v>1.056</v>
      </c>
      <c r="BP70" s="479"/>
      <c r="BQ70" s="479"/>
      <c r="BR70" s="54"/>
      <c r="BS70" s="3585" t="s">
        <v>2523</v>
      </c>
      <c r="BT70" s="3585"/>
      <c r="BU70" s="2448"/>
      <c r="BV70" s="2448"/>
      <c r="BW70" s="2448"/>
      <c r="BX70" s="2448"/>
      <c r="BY70" s="2448"/>
      <c r="BZ70" s="2448"/>
      <c r="CA70" s="3337">
        <v>1.032</v>
      </c>
      <c r="CB70" s="1589"/>
      <c r="CC70" s="1589"/>
      <c r="CD70" s="1589"/>
      <c r="CF70" s="3584" t="s">
        <v>2523</v>
      </c>
      <c r="CG70" s="48">
        <v>1</v>
      </c>
      <c r="CH70" s="49">
        <v>1</v>
      </c>
      <c r="CI70" s="48">
        <v>1</v>
      </c>
      <c r="CJ70" s="48">
        <v>1</v>
      </c>
      <c r="CK70" s="48">
        <v>1</v>
      </c>
      <c r="CL70" s="48">
        <v>1</v>
      </c>
      <c r="CM70" s="1798">
        <v>1</v>
      </c>
      <c r="CN70" s="1741">
        <v>1</v>
      </c>
      <c r="CO70" s="479"/>
      <c r="CP70" s="479"/>
      <c r="CQ70" s="479"/>
      <c r="CR70" s="54"/>
      <c r="CS70" s="3584" t="s">
        <v>2523</v>
      </c>
      <c r="CT70" s="51">
        <v>11</v>
      </c>
      <c r="CU70" s="1583">
        <v>14</v>
      </c>
      <c r="CV70" s="1518">
        <v>14</v>
      </c>
      <c r="CW70" s="1518">
        <v>14</v>
      </c>
      <c r="CX70" s="1518">
        <v>14</v>
      </c>
      <c r="CY70" s="1518">
        <v>10</v>
      </c>
      <c r="CZ70" s="1926">
        <v>10</v>
      </c>
      <c r="DA70" s="3321">
        <v>10</v>
      </c>
      <c r="DB70" s="479"/>
      <c r="DC70" s="479"/>
      <c r="DD70" s="479"/>
    </row>
    <row r="71" spans="2:114" hidden="1" outlineLevel="1" x14ac:dyDescent="0.35">
      <c r="C71" s="132"/>
      <c r="D71" s="950" t="str">
        <f t="shared" si="27"/>
        <v>800901_2020_12_</v>
      </c>
      <c r="E71" s="1099" t="str">
        <f t="shared" si="29"/>
        <v xml:space="preserve">LED Replacing Interior T12 Fluorescent (Type B, Kits, and Fixtures) </v>
      </c>
      <c r="F71" s="3318">
        <v>146.26</v>
      </c>
      <c r="G71" s="3318">
        <v>43.42</v>
      </c>
      <c r="H71" s="3316">
        <v>2931</v>
      </c>
      <c r="I71" s="3269">
        <v>1.056</v>
      </c>
      <c r="J71" s="3269">
        <v>1.032</v>
      </c>
      <c r="K71" s="46">
        <v>1</v>
      </c>
      <c r="L71" s="1846">
        <v>15</v>
      </c>
      <c r="M71" s="3269">
        <f t="shared" si="28"/>
        <v>0.99071086865492275</v>
      </c>
      <c r="U71" s="1102"/>
      <c r="V71" s="1616" t="s">
        <v>2525</v>
      </c>
      <c r="W71" s="2456"/>
      <c r="X71" s="2456"/>
      <c r="Y71" s="2457"/>
      <c r="Z71" s="2457"/>
      <c r="AA71" s="2457"/>
      <c r="AB71" s="48">
        <v>84.520773254863471</v>
      </c>
      <c r="AC71" s="1798">
        <v>136.32</v>
      </c>
      <c r="AD71" s="478">
        <v>146.26370318609995</v>
      </c>
      <c r="AE71" s="479"/>
      <c r="AF71" s="479"/>
      <c r="AG71" s="479"/>
      <c r="AH71" s="54"/>
      <c r="AI71" s="1949" t="s">
        <v>2525</v>
      </c>
      <c r="AJ71" s="2456"/>
      <c r="AK71" s="2456"/>
      <c r="AL71" s="2457"/>
      <c r="AM71" s="2456"/>
      <c r="AN71" s="2456"/>
      <c r="AO71" s="48">
        <v>23.731453326794188</v>
      </c>
      <c r="AP71" s="1798">
        <v>39.130000000000003</v>
      </c>
      <c r="AQ71" s="478">
        <v>43.421946826527595</v>
      </c>
      <c r="AR71" s="479"/>
      <c r="AS71" s="479"/>
      <c r="AT71" s="54"/>
      <c r="AU71" s="1949" t="s">
        <v>2525</v>
      </c>
      <c r="AV71" s="2484"/>
      <c r="AW71" s="2485"/>
      <c r="AX71" s="2484"/>
      <c r="AY71" s="2484"/>
      <c r="AZ71" s="2484"/>
      <c r="BA71" s="2480">
        <v>2782.143658656204</v>
      </c>
      <c r="BB71" s="2480">
        <v>2711.4667506965634</v>
      </c>
      <c r="BC71" s="3319">
        <v>2930.951450307804</v>
      </c>
      <c r="BD71" s="479"/>
      <c r="BE71" s="479"/>
      <c r="BF71" s="54"/>
      <c r="BG71" s="1949" t="s">
        <v>2525</v>
      </c>
      <c r="BH71" s="2448"/>
      <c r="BI71" s="2452"/>
      <c r="BJ71" s="2453"/>
      <c r="BK71" s="2453"/>
      <c r="BL71" s="2453"/>
      <c r="BM71" s="49">
        <v>1.071</v>
      </c>
      <c r="BN71" s="1798">
        <v>1.071</v>
      </c>
      <c r="BO71" s="3337">
        <v>1.056</v>
      </c>
      <c r="BP71" s="479"/>
      <c r="BQ71" s="479"/>
      <c r="BR71" s="54"/>
      <c r="BS71" s="3585" t="s">
        <v>2525</v>
      </c>
      <c r="BT71" s="3585"/>
      <c r="BU71" s="2448"/>
      <c r="BV71" s="2448"/>
      <c r="BW71" s="2448"/>
      <c r="BX71" s="2448"/>
      <c r="BY71" s="2448"/>
      <c r="BZ71" s="2448"/>
      <c r="CA71" s="3337">
        <v>1.032</v>
      </c>
      <c r="CB71" s="1589"/>
      <c r="CC71" s="1589"/>
      <c r="CD71" s="1589"/>
      <c r="CF71" s="3584" t="s">
        <v>2525</v>
      </c>
      <c r="CG71" s="2448"/>
      <c r="CH71" s="2452"/>
      <c r="CI71" s="2453"/>
      <c r="CJ71" s="2453"/>
      <c r="CK71" s="2453"/>
      <c r="CL71" s="48">
        <v>1</v>
      </c>
      <c r="CM71" s="1798">
        <v>1</v>
      </c>
      <c r="CN71" s="1741">
        <v>1</v>
      </c>
      <c r="CO71" s="479"/>
      <c r="CP71" s="479"/>
      <c r="CQ71" s="479"/>
      <c r="CR71" s="54"/>
      <c r="CS71" s="3584" t="s">
        <v>2525</v>
      </c>
      <c r="CT71" s="2448"/>
      <c r="CU71" s="2452"/>
      <c r="CV71" s="2453"/>
      <c r="CW71" s="2453"/>
      <c r="CX71" s="2453"/>
      <c r="CY71" s="1518">
        <v>15</v>
      </c>
      <c r="CZ71" s="1926">
        <v>15</v>
      </c>
      <c r="DA71" s="3321">
        <v>15</v>
      </c>
      <c r="DB71" s="479"/>
      <c r="DC71" s="479"/>
      <c r="DD71" s="479"/>
    </row>
    <row r="72" spans="2:114" hidden="1" outlineLevel="1" x14ac:dyDescent="0.35">
      <c r="C72" s="132"/>
      <c r="D72" s="950" t="str">
        <f t="shared" si="27"/>
        <v>800902_2021_12_</v>
      </c>
      <c r="E72" s="1099" t="str">
        <f t="shared" si="29"/>
        <v>LED Replacing Interior T12 Fluorescent (Type C)</v>
      </c>
      <c r="F72" s="3318">
        <v>147.26</v>
      </c>
      <c r="G72" s="3318">
        <v>31.15</v>
      </c>
      <c r="H72" s="3316">
        <v>3512</v>
      </c>
      <c r="I72" s="3269">
        <v>1.056</v>
      </c>
      <c r="J72" s="3269">
        <v>1.032</v>
      </c>
      <c r="K72" s="46">
        <v>1</v>
      </c>
      <c r="L72" s="1846">
        <v>11</v>
      </c>
      <c r="M72" s="3269">
        <f t="shared" si="28"/>
        <v>0.99071086865492275</v>
      </c>
      <c r="U72" s="1102"/>
      <c r="V72" s="1616" t="s">
        <v>4219</v>
      </c>
      <c r="W72" s="2456"/>
      <c r="X72" s="2456"/>
      <c r="Y72" s="2457"/>
      <c r="Z72" s="2457"/>
      <c r="AA72" s="2457"/>
      <c r="AB72" s="2457"/>
      <c r="AC72" s="1798">
        <v>101.18625277161863</v>
      </c>
      <c r="AD72" s="478">
        <v>147.25993883792049</v>
      </c>
      <c r="AE72" s="479"/>
      <c r="AF72" s="479"/>
      <c r="AG72" s="479"/>
      <c r="AH72" s="54"/>
      <c r="AI72" s="1949" t="s">
        <v>4219</v>
      </c>
      <c r="AJ72" s="2456"/>
      <c r="AK72" s="2456"/>
      <c r="AL72" s="2457"/>
      <c r="AM72" s="2456"/>
      <c r="AN72" s="2456"/>
      <c r="AO72" s="2456"/>
      <c r="AP72" s="1798">
        <v>32.257206208425721</v>
      </c>
      <c r="AQ72" s="478">
        <v>31.152905198776757</v>
      </c>
      <c r="AR72" s="479"/>
      <c r="AS72" s="479"/>
      <c r="AT72" s="54"/>
      <c r="AU72" s="1949" t="s">
        <v>4219</v>
      </c>
      <c r="AV72" s="2484"/>
      <c r="AW72" s="2485"/>
      <c r="AX72" s="2484"/>
      <c r="AY72" s="2484"/>
      <c r="AZ72" s="2484"/>
      <c r="BA72" s="2484"/>
      <c r="BB72" s="2480">
        <v>2447.2283813747226</v>
      </c>
      <c r="BC72" s="3319">
        <v>3511.6819571865444</v>
      </c>
      <c r="BD72" s="479"/>
      <c r="BE72" s="479"/>
      <c r="BF72" s="54"/>
      <c r="BG72" s="1949" t="s">
        <v>4219</v>
      </c>
      <c r="BH72" s="2448"/>
      <c r="BI72" s="2452"/>
      <c r="BJ72" s="2453"/>
      <c r="BK72" s="2453"/>
      <c r="BL72" s="2453"/>
      <c r="BM72" s="2453"/>
      <c r="BN72" s="1798">
        <v>1.07</v>
      </c>
      <c r="BO72" s="3337">
        <v>1.056</v>
      </c>
      <c r="BP72" s="479"/>
      <c r="BQ72" s="479"/>
      <c r="BR72" s="54"/>
      <c r="BS72" s="3585" t="s">
        <v>4219</v>
      </c>
      <c r="BT72" s="3585"/>
      <c r="BU72" s="2448"/>
      <c r="BV72" s="2448"/>
      <c r="BW72" s="2448"/>
      <c r="BX72" s="2448"/>
      <c r="BY72" s="2448"/>
      <c r="BZ72" s="2448"/>
      <c r="CA72" s="3337">
        <v>1.032</v>
      </c>
      <c r="CB72" s="1589"/>
      <c r="CC72" s="1589"/>
      <c r="CD72" s="1589"/>
      <c r="CF72" s="3584" t="s">
        <v>4219</v>
      </c>
      <c r="CG72" s="2448"/>
      <c r="CH72" s="2452"/>
      <c r="CI72" s="2453"/>
      <c r="CJ72" s="2453"/>
      <c r="CK72" s="2453"/>
      <c r="CL72" s="2453"/>
      <c r="CM72" s="1798">
        <v>1</v>
      </c>
      <c r="CN72" s="1741">
        <v>1</v>
      </c>
      <c r="CO72" s="479"/>
      <c r="CP72" s="479"/>
      <c r="CQ72" s="479"/>
      <c r="CR72" s="54"/>
      <c r="CS72" s="3584" t="s">
        <v>4219</v>
      </c>
      <c r="CT72" s="2448"/>
      <c r="CU72" s="2452"/>
      <c r="CV72" s="2453"/>
      <c r="CW72" s="2453"/>
      <c r="CX72" s="2453"/>
      <c r="CY72" s="2453"/>
      <c r="CZ72" s="1926">
        <v>11</v>
      </c>
      <c r="DA72" s="3321">
        <v>11</v>
      </c>
      <c r="DB72" s="479"/>
      <c r="DC72" s="479"/>
      <c r="DD72" s="479"/>
    </row>
    <row r="73" spans="2:114" hidden="1" outlineLevel="1" x14ac:dyDescent="0.35">
      <c r="D73" s="950" t="str">
        <f t="shared" ref="D73" si="30">C33</f>
        <v>800950_2019_12_</v>
      </c>
      <c r="E73" s="1099" t="str">
        <f t="shared" si="29"/>
        <v>LED Specialty Lamp</v>
      </c>
      <c r="F73" s="46">
        <v>25</v>
      </c>
      <c r="G73" s="46">
        <v>3.2</v>
      </c>
      <c r="H73" s="2113">
        <v>4380</v>
      </c>
      <c r="I73" s="3269">
        <v>1.056</v>
      </c>
      <c r="J73" s="3269">
        <v>1.032</v>
      </c>
      <c r="K73" s="46">
        <v>1</v>
      </c>
      <c r="L73" s="1846">
        <v>10</v>
      </c>
      <c r="M73" s="3269">
        <f t="shared" si="28"/>
        <v>0.99071086865492275</v>
      </c>
      <c r="U73" s="1102"/>
      <c r="V73" s="1616" t="s">
        <v>2526</v>
      </c>
      <c r="W73" s="48">
        <v>25</v>
      </c>
      <c r="X73" s="48">
        <v>25</v>
      </c>
      <c r="Y73" s="49">
        <v>25</v>
      </c>
      <c r="Z73" s="49">
        <v>25</v>
      </c>
      <c r="AA73" s="49">
        <v>25</v>
      </c>
      <c r="AB73" s="48">
        <v>25</v>
      </c>
      <c r="AC73" s="1798">
        <v>25</v>
      </c>
      <c r="AD73" s="52">
        <v>25</v>
      </c>
      <c r="AE73" s="479"/>
      <c r="AF73" s="479"/>
      <c r="AG73" s="479"/>
      <c r="AH73" s="54"/>
      <c r="AI73" s="1949" t="s">
        <v>2526</v>
      </c>
      <c r="AJ73" s="48">
        <v>3.2</v>
      </c>
      <c r="AK73" s="48">
        <v>3.2</v>
      </c>
      <c r="AL73" s="49">
        <v>3.2</v>
      </c>
      <c r="AM73" s="48">
        <v>3.2</v>
      </c>
      <c r="AN73" s="48">
        <v>3.2</v>
      </c>
      <c r="AO73" s="48">
        <v>3.2</v>
      </c>
      <c r="AP73" s="1798">
        <v>3.2</v>
      </c>
      <c r="AQ73" s="52">
        <v>3.2</v>
      </c>
      <c r="AR73" s="479"/>
      <c r="AS73" s="479"/>
      <c r="AT73" s="54"/>
      <c r="AU73" s="1949" t="s">
        <v>2526</v>
      </c>
      <c r="AV73" s="2480">
        <v>4380</v>
      </c>
      <c r="AW73" s="2482">
        <v>4380</v>
      </c>
      <c r="AX73" s="2480">
        <v>4380</v>
      </c>
      <c r="AY73" s="2480">
        <v>4380</v>
      </c>
      <c r="AZ73" s="2480">
        <v>4380</v>
      </c>
      <c r="BA73" s="2480">
        <v>4380</v>
      </c>
      <c r="BB73" s="2480">
        <v>4380</v>
      </c>
      <c r="BC73" s="3320">
        <v>4380</v>
      </c>
      <c r="BD73" s="479"/>
      <c r="BE73" s="479"/>
      <c r="BF73" s="54"/>
      <c r="BG73" s="1949" t="s">
        <v>2526</v>
      </c>
      <c r="BH73" s="48">
        <v>1.07</v>
      </c>
      <c r="BI73" s="48">
        <v>1.07</v>
      </c>
      <c r="BJ73" s="479">
        <v>1.07</v>
      </c>
      <c r="BK73" s="50">
        <v>1.07</v>
      </c>
      <c r="BL73" s="50">
        <v>1.07</v>
      </c>
      <c r="BM73" s="49">
        <v>1.071</v>
      </c>
      <c r="BN73" s="1798">
        <v>1.071</v>
      </c>
      <c r="BO73" s="3337">
        <v>1.056</v>
      </c>
      <c r="BP73" s="479"/>
      <c r="BQ73" s="479"/>
      <c r="BR73" s="54"/>
      <c r="BS73" s="3585" t="s">
        <v>2526</v>
      </c>
      <c r="BT73" s="3585"/>
      <c r="BU73" s="2448"/>
      <c r="BV73" s="2448"/>
      <c r="BW73" s="2448"/>
      <c r="BX73" s="2448"/>
      <c r="BY73" s="2448"/>
      <c r="BZ73" s="2448"/>
      <c r="CA73" s="3337">
        <v>1.032</v>
      </c>
      <c r="CB73" s="1589"/>
      <c r="CC73" s="1589"/>
      <c r="CD73" s="1589"/>
      <c r="CF73" s="3584" t="s">
        <v>2526</v>
      </c>
      <c r="CG73" s="48">
        <v>1</v>
      </c>
      <c r="CH73" s="49">
        <v>1</v>
      </c>
      <c r="CI73" s="48">
        <v>1</v>
      </c>
      <c r="CJ73" s="48">
        <v>1</v>
      </c>
      <c r="CK73" s="48">
        <v>1</v>
      </c>
      <c r="CL73" s="48">
        <v>1</v>
      </c>
      <c r="CM73" s="1798">
        <v>1</v>
      </c>
      <c r="CN73" s="1741">
        <v>1</v>
      </c>
      <c r="CO73" s="479"/>
      <c r="CP73" s="479"/>
      <c r="CQ73" s="479"/>
      <c r="CR73" s="54"/>
      <c r="CS73" s="3584" t="s">
        <v>2526</v>
      </c>
      <c r="CT73" s="51">
        <v>11</v>
      </c>
      <c r="CU73" s="55">
        <v>11</v>
      </c>
      <c r="CV73" s="1518">
        <v>11</v>
      </c>
      <c r="CW73" s="1518">
        <v>11</v>
      </c>
      <c r="CX73" s="1518">
        <v>11</v>
      </c>
      <c r="CY73" s="1518">
        <v>11</v>
      </c>
      <c r="CZ73" s="1926">
        <v>10</v>
      </c>
      <c r="DA73" s="3321">
        <v>10</v>
      </c>
      <c r="DB73" s="479"/>
      <c r="DC73" s="479"/>
      <c r="DD73" s="479"/>
    </row>
    <row r="74" spans="2:114" hidden="1" outlineLevel="1" x14ac:dyDescent="0.35">
      <c r="D74" s="950" t="str">
        <f t="shared" ref="D74" si="31">C34</f>
        <v>800980_2021_12</v>
      </c>
      <c r="E74" s="950" t="str">
        <f>E34</f>
        <v>LED Lighting Redesign</v>
      </c>
      <c r="F74" s="3318">
        <v>17713.97</v>
      </c>
      <c r="G74" s="3318">
        <v>5964.55</v>
      </c>
      <c r="H74" s="3316">
        <v>3804</v>
      </c>
      <c r="I74" s="3269">
        <v>1.056</v>
      </c>
      <c r="J74" s="3269">
        <v>1.032</v>
      </c>
      <c r="K74" s="46">
        <v>1</v>
      </c>
      <c r="L74" s="1846">
        <v>15</v>
      </c>
      <c r="M74" s="3269">
        <f t="shared" si="28"/>
        <v>0.99071086865492275</v>
      </c>
      <c r="U74" s="1102"/>
      <c r="V74" s="1616" t="s">
        <v>4116</v>
      </c>
      <c r="W74" s="2456"/>
      <c r="X74" s="2456"/>
      <c r="Y74" s="2457"/>
      <c r="Z74" s="2457"/>
      <c r="AA74" s="2457"/>
      <c r="AB74" s="2457"/>
      <c r="AC74" s="1798">
        <v>30881.184615384616</v>
      </c>
      <c r="AD74" s="478">
        <v>17713.968965517241</v>
      </c>
      <c r="AE74" s="479"/>
      <c r="AF74" s="479"/>
      <c r="AG74" s="479"/>
      <c r="AH74" s="54"/>
      <c r="AI74" s="1949" t="s">
        <v>4116</v>
      </c>
      <c r="AJ74" s="2456"/>
      <c r="AK74" s="2456"/>
      <c r="AL74" s="2457"/>
      <c r="AM74" s="2456"/>
      <c r="AN74" s="2456"/>
      <c r="AO74" s="2456"/>
      <c r="AP74" s="1798">
        <v>11889.092307692308</v>
      </c>
      <c r="AQ74" s="478">
        <v>5964.5517241379312</v>
      </c>
      <c r="AR74" s="479"/>
      <c r="AS74" s="479"/>
      <c r="AT74" s="87"/>
      <c r="AU74" s="1949" t="s">
        <v>4116</v>
      </c>
      <c r="AV74" s="2484"/>
      <c r="AW74" s="2485"/>
      <c r="AX74" s="2484"/>
      <c r="AY74" s="2484"/>
      <c r="AZ74" s="2484"/>
      <c r="BA74" s="2484"/>
      <c r="BB74" s="2480">
        <v>3946.0615384615385</v>
      </c>
      <c r="BC74" s="3319">
        <v>3803.844827586207</v>
      </c>
      <c r="BD74" s="479"/>
      <c r="BE74" s="479"/>
      <c r="BF74" s="87"/>
      <c r="BG74" s="1949" t="s">
        <v>4116</v>
      </c>
      <c r="BH74" s="2448"/>
      <c r="BI74" s="2452"/>
      <c r="BJ74" s="2453"/>
      <c r="BK74" s="2453"/>
      <c r="BL74" s="2453"/>
      <c r="BM74" s="2453"/>
      <c r="BN74" s="1798">
        <v>1.071</v>
      </c>
      <c r="BO74" s="3337">
        <v>1.056</v>
      </c>
      <c r="BP74" s="479"/>
      <c r="BQ74" s="479"/>
      <c r="BR74" s="87"/>
      <c r="BS74" s="3585" t="s">
        <v>4116</v>
      </c>
      <c r="BT74" s="3585"/>
      <c r="BU74" s="2448"/>
      <c r="BV74" s="2448"/>
      <c r="BW74" s="2448"/>
      <c r="BX74" s="2448"/>
      <c r="BY74" s="2448"/>
      <c r="BZ74" s="2448"/>
      <c r="CA74" s="3337">
        <v>1.032</v>
      </c>
      <c r="CB74" s="1589"/>
      <c r="CC74" s="1589"/>
      <c r="CD74" s="1589"/>
      <c r="CF74" s="3584" t="s">
        <v>4116</v>
      </c>
      <c r="CG74" s="2448"/>
      <c r="CH74" s="2452"/>
      <c r="CI74" s="2453"/>
      <c r="CJ74" s="2453"/>
      <c r="CK74" s="2453"/>
      <c r="CL74" s="2453"/>
      <c r="CM74" s="1798">
        <v>1</v>
      </c>
      <c r="CN74" s="1741">
        <v>1</v>
      </c>
      <c r="CO74" s="479"/>
      <c r="CP74" s="479"/>
      <c r="CQ74" s="479"/>
      <c r="CR74" s="87"/>
      <c r="CS74" s="3584" t="s">
        <v>4116</v>
      </c>
      <c r="CT74" s="2448"/>
      <c r="CU74" s="2452"/>
      <c r="CV74" s="2453"/>
      <c r="CW74" s="2453"/>
      <c r="CX74" s="2453"/>
      <c r="CY74" s="2453"/>
      <c r="CZ74" s="1926">
        <v>15</v>
      </c>
      <c r="DA74" s="3321">
        <v>15</v>
      </c>
      <c r="DB74" s="479"/>
      <c r="DC74" s="479"/>
      <c r="DD74" s="479"/>
      <c r="DG74" s="21"/>
      <c r="DH74" s="22"/>
    </row>
    <row r="75" spans="2:114" ht="18.75" customHeight="1" collapsed="1" x14ac:dyDescent="0.35">
      <c r="D75" s="1104"/>
      <c r="G75" s="725"/>
      <c r="H75" s="1098"/>
      <c r="V75" s="34"/>
    </row>
    <row r="76" spans="2:114" ht="18.75" customHeight="1" x14ac:dyDescent="0.35">
      <c r="D76" s="1104"/>
      <c r="G76" s="725"/>
      <c r="H76" s="1098"/>
      <c r="V76" s="725"/>
      <c r="W76" s="34"/>
      <c r="CG76" s="21"/>
      <c r="CK76"/>
      <c r="CW76" s="21"/>
      <c r="DA76"/>
      <c r="DG76" s="21"/>
      <c r="DH76" s="22"/>
    </row>
    <row r="77" spans="2:114" s="33" customFormat="1" x14ac:dyDescent="0.35">
      <c r="B77" s="4548" t="s">
        <v>4133</v>
      </c>
      <c r="C77" s="4549"/>
      <c r="D77" s="4549"/>
      <c r="E77" s="4549"/>
      <c r="F77" s="4549"/>
      <c r="G77" s="4549"/>
      <c r="H77" s="4549"/>
      <c r="I77" s="4567"/>
      <c r="J77" s="4567"/>
      <c r="K77" s="4567"/>
      <c r="L77" s="4567"/>
      <c r="M77" s="4568"/>
      <c r="N77" s="4568"/>
      <c r="O77" s="4569"/>
      <c r="V77" s="2325" t="str">
        <f>B77</f>
        <v>Lighting - Lighting Power Density (LPD)</v>
      </c>
      <c r="W77" s="2326"/>
      <c r="X77" s="2326"/>
      <c r="Y77" s="2326"/>
      <c r="Z77" s="2326"/>
      <c r="AA77" s="2326"/>
      <c r="AB77" s="2326"/>
      <c r="AC77" s="2326"/>
      <c r="AD77" s="2326"/>
      <c r="AE77" s="2326"/>
      <c r="AF77" s="2326"/>
      <c r="AG77" s="2326"/>
      <c r="AH77" s="2326"/>
      <c r="AI77" s="2384"/>
      <c r="AJ77" s="21"/>
      <c r="AK77" s="21"/>
      <c r="AL77" s="21"/>
      <c r="AM77" s="21"/>
      <c r="AN77" s="21"/>
      <c r="AO77" s="21"/>
      <c r="AP77" s="21"/>
      <c r="AQ77" s="21"/>
      <c r="AR77" s="21"/>
      <c r="AS77" s="21"/>
      <c r="AT77" s="21"/>
      <c r="AU77" s="21"/>
      <c r="CK77" s="31"/>
      <c r="DE77" s="21"/>
      <c r="DF77" s="21"/>
      <c r="DG77" s="32"/>
      <c r="DH77" s="31"/>
      <c r="DI77" s="31"/>
      <c r="DJ77" s="31"/>
    </row>
    <row r="78" spans="2:114" ht="18.75" customHeight="1" x14ac:dyDescent="0.35">
      <c r="B78" s="725"/>
      <c r="D78" s="1104"/>
      <c r="G78" s="725"/>
      <c r="H78" s="1098"/>
      <c r="V78" s="34"/>
    </row>
    <row r="79" spans="2:114" s="34" customFormat="1" x14ac:dyDescent="0.35">
      <c r="B79" s="132"/>
      <c r="C79" s="35" t="s">
        <v>27</v>
      </c>
      <c r="D79" s="2399" t="s">
        <v>28</v>
      </c>
      <c r="E79" s="2399" t="s">
        <v>29</v>
      </c>
      <c r="F79" s="2399" t="s">
        <v>30</v>
      </c>
      <c r="G79" s="2399" t="s">
        <v>175</v>
      </c>
      <c r="H79" s="36" t="s">
        <v>176</v>
      </c>
      <c r="I79" s="2399" t="s">
        <v>31</v>
      </c>
      <c r="J79" s="2399" t="s">
        <v>180</v>
      </c>
      <c r="K79" s="35" t="s">
        <v>169</v>
      </c>
      <c r="L79" s="35" t="s">
        <v>43</v>
      </c>
      <c r="M79" s="725"/>
      <c r="N79" s="725"/>
      <c r="O79" s="725"/>
      <c r="P79" s="350"/>
      <c r="Q79" s="350"/>
      <c r="R79" s="350"/>
      <c r="S79" s="350"/>
      <c r="T79" s="350"/>
      <c r="U79" s="350"/>
      <c r="V79" s="1572" t="s">
        <v>44</v>
      </c>
      <c r="W79" s="1573">
        <f>$W$8</f>
        <v>43252</v>
      </c>
      <c r="X79" s="1573">
        <f>$X$8</f>
        <v>43465</v>
      </c>
      <c r="Y79" s="1573">
        <f>$Y$8</f>
        <v>43800</v>
      </c>
      <c r="Z79" s="1573">
        <f>$Z$8</f>
        <v>43862</v>
      </c>
      <c r="AA79" s="1573">
        <f>$AA$8</f>
        <v>44013</v>
      </c>
      <c r="AB79" s="1573">
        <v>44166</v>
      </c>
      <c r="AC79" s="1573">
        <f>$AC$8</f>
        <v>44531</v>
      </c>
      <c r="AD79" s="1573">
        <f>$AD$8</f>
        <v>44774</v>
      </c>
      <c r="AE79" s="1573" t="str">
        <f>$AE$8</f>
        <v>-</v>
      </c>
      <c r="AF79" s="1573" t="str">
        <f>$AF$8</f>
        <v>-</v>
      </c>
      <c r="AG79" s="1573" t="str">
        <f>$AG$8</f>
        <v>-</v>
      </c>
      <c r="AI79" s="1572" t="s">
        <v>44</v>
      </c>
      <c r="AJ79" s="1573">
        <f>W79</f>
        <v>43252</v>
      </c>
      <c r="AK79" s="1573">
        <f t="shared" ref="AK79" si="32">X79</f>
        <v>43465</v>
      </c>
      <c r="AL79" s="1573">
        <f t="shared" ref="AL79" si="33">Y79</f>
        <v>43800</v>
      </c>
      <c r="AM79" s="1573">
        <f t="shared" ref="AM79" si="34">Z79</f>
        <v>43862</v>
      </c>
      <c r="AN79" s="1573">
        <f t="shared" ref="AN79" si="35">AA79</f>
        <v>44013</v>
      </c>
      <c r="AO79" s="1573">
        <f t="shared" ref="AO79" si="36">AB79</f>
        <v>44166</v>
      </c>
      <c r="AP79" s="1573">
        <f t="shared" ref="AP79" si="37">AC79</f>
        <v>44531</v>
      </c>
      <c r="AQ79" s="1573">
        <f t="shared" ref="AQ79" si="38">AD79</f>
        <v>44774</v>
      </c>
      <c r="AR79" s="1573" t="str">
        <f t="shared" ref="AR79" si="39">AE79</f>
        <v>-</v>
      </c>
      <c r="AS79" s="1573" t="str">
        <f t="shared" ref="AS79" si="40">AF79</f>
        <v>-</v>
      </c>
      <c r="AT79" s="21"/>
      <c r="AU79" s="1572" t="s">
        <v>44</v>
      </c>
      <c r="AV79" s="1573">
        <f>W79</f>
        <v>43252</v>
      </c>
      <c r="AW79" s="1573">
        <f t="shared" ref="AW79" si="41">X79</f>
        <v>43465</v>
      </c>
      <c r="AX79" s="1573">
        <f t="shared" ref="AX79" si="42">Y79</f>
        <v>43800</v>
      </c>
      <c r="AY79" s="1573">
        <f t="shared" ref="AY79" si="43">Z79</f>
        <v>43862</v>
      </c>
      <c r="AZ79" s="1573">
        <f t="shared" ref="AZ79" si="44">AA79</f>
        <v>44013</v>
      </c>
      <c r="BA79" s="1573">
        <v>44166</v>
      </c>
      <c r="BB79" s="1573">
        <f t="shared" ref="BB79" si="45">AC79</f>
        <v>44531</v>
      </c>
      <c r="BC79" s="1573">
        <f t="shared" ref="BC79" si="46">AD79</f>
        <v>44774</v>
      </c>
      <c r="BD79" s="1573" t="str">
        <f t="shared" ref="BD79" si="47">AE79</f>
        <v>-</v>
      </c>
      <c r="BE79" s="1573" t="str">
        <f t="shared" ref="BE79" si="48">AF79</f>
        <v>-</v>
      </c>
      <c r="DE79" s="21"/>
      <c r="DF79" s="21"/>
      <c r="DG79" s="1574" t="str">
        <f>$DG$8</f>
        <v>TRC (2022)</v>
      </c>
      <c r="DH79" s="1584" t="str">
        <f>$DH$8</f>
        <v>Benefit Lookup</v>
      </c>
      <c r="DI79" s="1584" t="str">
        <f>$DI$8</f>
        <v>Benefits (2019 $)</v>
      </c>
      <c r="DJ79" s="1584" t="str">
        <f>$DJ$8</f>
        <v>Incremental Cost (2019 $)</v>
      </c>
    </row>
    <row r="80" spans="2:114" x14ac:dyDescent="0.35">
      <c r="B80" s="725"/>
      <c r="C80" s="1614" t="s">
        <v>4134</v>
      </c>
      <c r="D80" s="1087" t="s">
        <v>2485</v>
      </c>
      <c r="E80" s="1105" t="s">
        <v>4135</v>
      </c>
      <c r="F80" s="3404">
        <f>ROUND((G92-H92)/1000*F92*I92*J92,3)</f>
        <v>0.70799999999999996</v>
      </c>
      <c r="G80" s="1087" t="s">
        <v>54</v>
      </c>
      <c r="H80" s="1088">
        <v>1.899635E-4</v>
      </c>
      <c r="I80" s="3262">
        <f>ROUND(H80*F80*K92,6)</f>
        <v>1.3899999999999999E-4</v>
      </c>
      <c r="J80" s="51">
        <v>15</v>
      </c>
      <c r="K80" s="1107">
        <v>0.22</v>
      </c>
      <c r="L80" s="1089" t="s">
        <v>4136</v>
      </c>
      <c r="P80" s="1091"/>
      <c r="Q80" s="1092"/>
      <c r="R80" s="1093"/>
      <c r="S80" s="1093"/>
      <c r="T80" s="1094"/>
      <c r="V80" s="2419" t="s">
        <v>30</v>
      </c>
      <c r="W80" s="2456"/>
      <c r="X80" s="2456"/>
      <c r="Y80" s="2457"/>
      <c r="Z80" s="2457"/>
      <c r="AA80" s="2457"/>
      <c r="AB80" s="2457"/>
      <c r="AC80" s="2458">
        <v>0.71778419999999976</v>
      </c>
      <c r="AD80" s="3404">
        <v>0.70799999999999996</v>
      </c>
      <c r="AE80" s="141"/>
      <c r="AF80" s="141"/>
      <c r="AG80" s="141"/>
      <c r="AI80" s="2419" t="s">
        <v>180</v>
      </c>
      <c r="AJ80" s="2448"/>
      <c r="AK80" s="2448"/>
      <c r="AL80" s="2448"/>
      <c r="AM80" s="2462"/>
      <c r="AN80" s="2463"/>
      <c r="AO80" s="2464"/>
      <c r="AP80" s="672">
        <v>15</v>
      </c>
      <c r="AQ80" s="1691">
        <v>15</v>
      </c>
      <c r="AR80" s="141"/>
      <c r="AS80" s="141"/>
      <c r="AU80" s="2419" t="s">
        <v>169</v>
      </c>
      <c r="AV80" s="2454"/>
      <c r="AW80" s="2455"/>
      <c r="AX80" s="2454"/>
      <c r="AY80" s="2454"/>
      <c r="AZ80" s="2454"/>
      <c r="BA80" s="2454"/>
      <c r="BB80" s="1929">
        <v>0.22</v>
      </c>
      <c r="BC80" s="1321">
        <v>0.22</v>
      </c>
      <c r="BD80" s="141"/>
      <c r="BE80" s="141"/>
      <c r="DG80" s="816">
        <f t="shared" ref="DG80" si="49">(DI80)/(DJ80)</f>
        <v>1.9394762782939254</v>
      </c>
      <c r="DH80" s="3345" t="str">
        <f t="shared" ref="DH80" si="50">CONCATENATE(G80," ",J80," Year EUL")</f>
        <v>Lighting BUS 15 Year EUL</v>
      </c>
      <c r="DI80" s="3286">
        <f>(INDEX('Avoided Cost Benefits'!$E$4:$E$859,MATCH(DH80,'Avoided Cost Benefits'!$A$4:$A$859,0)))*F80</f>
        <v>0.40272277604970602</v>
      </c>
      <c r="DJ80" s="1607">
        <f t="shared" ref="DJ80" si="51">K80/(1.0595^(2020-2019))</f>
        <v>0.20764511562057572</v>
      </c>
    </row>
    <row r="81" spans="2:114" hidden="1" outlineLevel="1" x14ac:dyDescent="0.35">
      <c r="B81" s="725"/>
      <c r="E81" s="33"/>
      <c r="F81" s="33"/>
      <c r="G81" s="33"/>
      <c r="H81" s="1096"/>
      <c r="I81" s="33"/>
      <c r="J81" s="33"/>
      <c r="K81" s="33"/>
    </row>
    <row r="82" spans="2:114" hidden="1" outlineLevel="1" x14ac:dyDescent="0.35">
      <c r="B82" s="725"/>
      <c r="D82" s="33" t="s">
        <v>2528</v>
      </c>
      <c r="E82" s="33"/>
      <c r="F82" s="33"/>
      <c r="G82" s="33"/>
      <c r="H82" s="1096"/>
      <c r="I82" s="33"/>
      <c r="J82" s="33"/>
      <c r="K82" s="33"/>
    </row>
    <row r="83" spans="2:114" hidden="1" outlineLevel="1" x14ac:dyDescent="0.35">
      <c r="B83" s="725"/>
      <c r="D83" s="1097"/>
      <c r="G83" s="725"/>
      <c r="H83" s="1098"/>
      <c r="M83" s="33"/>
    </row>
    <row r="84" spans="2:114" hidden="1" outlineLevel="1" x14ac:dyDescent="0.35">
      <c r="B84" s="725"/>
      <c r="D84" s="1097"/>
      <c r="G84" s="725"/>
      <c r="H84" s="1098"/>
      <c r="M84" s="33"/>
    </row>
    <row r="85" spans="2:114" hidden="1" outlineLevel="1" x14ac:dyDescent="0.35">
      <c r="B85" s="725"/>
      <c r="D85" s="1097"/>
      <c r="G85" s="725"/>
      <c r="H85" s="1098"/>
      <c r="M85" s="33"/>
    </row>
    <row r="86" spans="2:114" hidden="1" outlineLevel="1" x14ac:dyDescent="0.35">
      <c r="B86" s="725"/>
      <c r="D86" s="1097"/>
      <c r="G86" s="725"/>
      <c r="H86" s="1098"/>
      <c r="M86" s="33"/>
    </row>
    <row r="87" spans="2:114" hidden="1" outlineLevel="1" x14ac:dyDescent="0.35">
      <c r="B87" s="725"/>
      <c r="D87" s="1097"/>
      <c r="G87" s="725"/>
      <c r="H87" s="1098"/>
      <c r="M87" s="33"/>
    </row>
    <row r="88" spans="2:114" hidden="1" outlineLevel="1" x14ac:dyDescent="0.35">
      <c r="B88" s="725"/>
      <c r="D88" s="1097"/>
      <c r="G88" s="725"/>
      <c r="H88" s="1098"/>
      <c r="M88" s="33"/>
    </row>
    <row r="89" spans="2:114" hidden="1" outlineLevel="1" x14ac:dyDescent="0.35">
      <c r="B89" s="725"/>
      <c r="D89" s="1097"/>
      <c r="G89" s="725"/>
      <c r="H89" s="1098"/>
      <c r="M89" s="33"/>
    </row>
    <row r="90" spans="2:114" hidden="1" outlineLevel="1" x14ac:dyDescent="0.35">
      <c r="B90" s="725"/>
      <c r="D90" s="1097"/>
      <c r="G90" s="725"/>
      <c r="H90" s="1098"/>
      <c r="V90" s="2479" t="s">
        <v>44</v>
      </c>
      <c r="W90" s="1573">
        <f>$W$8</f>
        <v>43252</v>
      </c>
      <c r="X90" s="1573">
        <f>$X$8</f>
        <v>43465</v>
      </c>
      <c r="Y90" s="1573">
        <f>$Y$8</f>
        <v>43800</v>
      </c>
      <c r="Z90" s="1573">
        <f>$Z$8</f>
        <v>43862</v>
      </c>
      <c r="AA90" s="1573">
        <f>$AA$8</f>
        <v>44013</v>
      </c>
      <c r="AB90" s="1573">
        <v>44166</v>
      </c>
      <c r="AC90" s="1573">
        <f>$AC$8</f>
        <v>44531</v>
      </c>
      <c r="AD90" s="1573">
        <f>$AD$8</f>
        <v>44774</v>
      </c>
      <c r="AE90" s="1573" t="str">
        <f>$AE$8</f>
        <v>-</v>
      </c>
      <c r="AF90" s="1573" t="str">
        <f>$AF$8</f>
        <v>-</v>
      </c>
      <c r="AG90" s="1573" t="str">
        <f>$AG$8</f>
        <v>-</v>
      </c>
      <c r="AI90" s="2479" t="s">
        <v>44</v>
      </c>
      <c r="AJ90" s="1573">
        <f t="shared" ref="AJ90:AS90" si="52">W90</f>
        <v>43252</v>
      </c>
      <c r="AK90" s="1573">
        <f t="shared" si="52"/>
        <v>43465</v>
      </c>
      <c r="AL90" s="1573">
        <f t="shared" si="52"/>
        <v>43800</v>
      </c>
      <c r="AM90" s="1573">
        <f t="shared" si="52"/>
        <v>43862</v>
      </c>
      <c r="AN90" s="1573">
        <f t="shared" si="52"/>
        <v>44013</v>
      </c>
      <c r="AO90" s="1573">
        <f t="shared" si="52"/>
        <v>44166</v>
      </c>
      <c r="AP90" s="1573">
        <f t="shared" si="52"/>
        <v>44531</v>
      </c>
      <c r="AQ90" s="1573">
        <f t="shared" si="52"/>
        <v>44774</v>
      </c>
      <c r="AR90" s="1573" t="str">
        <f t="shared" si="52"/>
        <v>-</v>
      </c>
      <c r="AS90" s="1573" t="str">
        <f t="shared" si="52"/>
        <v>-</v>
      </c>
      <c r="AU90" s="2479" t="s">
        <v>44</v>
      </c>
      <c r="AV90" s="1573">
        <f>W90</f>
        <v>43252</v>
      </c>
      <c r="AW90" s="1573">
        <f>X90</f>
        <v>43465</v>
      </c>
      <c r="AX90" s="1573">
        <f>Y90</f>
        <v>43800</v>
      </c>
      <c r="AY90" s="1573">
        <f>Z90</f>
        <v>43862</v>
      </c>
      <c r="AZ90" s="1573">
        <f>AA90</f>
        <v>44013</v>
      </c>
      <c r="BA90" s="1573">
        <v>44166</v>
      </c>
      <c r="BB90" s="1573">
        <f>AC90</f>
        <v>44531</v>
      </c>
      <c r="BC90" s="1573">
        <f>AD90</f>
        <v>44774</v>
      </c>
      <c r="BD90" s="1573" t="str">
        <f>AE90</f>
        <v>-</v>
      </c>
      <c r="BE90" s="1573" t="str">
        <f>AF90</f>
        <v>-</v>
      </c>
      <c r="BG90" s="2479" t="s">
        <v>44</v>
      </c>
      <c r="BH90" s="1573">
        <f>$W$8</f>
        <v>43252</v>
      </c>
      <c r="BI90" s="1573">
        <f>$X$8</f>
        <v>43465</v>
      </c>
      <c r="BJ90" s="1573">
        <f>$Y$8</f>
        <v>43800</v>
      </c>
      <c r="BK90" s="1573">
        <f>$Z$8</f>
        <v>43862</v>
      </c>
      <c r="BL90" s="1573">
        <f>$AA$8</f>
        <v>44013</v>
      </c>
      <c r="BM90" s="1573">
        <v>44166</v>
      </c>
      <c r="BN90" s="1573">
        <f>$AC$8</f>
        <v>44531</v>
      </c>
      <c r="BO90" s="1573">
        <f>$AD$8</f>
        <v>44774</v>
      </c>
      <c r="BP90" s="1573" t="str">
        <f>$AE$8</f>
        <v>-</v>
      </c>
      <c r="BQ90" s="1573" t="str">
        <f>$AF$8</f>
        <v>-</v>
      </c>
      <c r="BS90" s="3342" t="s">
        <v>44</v>
      </c>
      <c r="BT90" s="3331">
        <f>$W$8</f>
        <v>43252</v>
      </c>
      <c r="BU90" s="3331">
        <f>$X$8</f>
        <v>43465</v>
      </c>
      <c r="BV90" s="3331">
        <f>$Y$8</f>
        <v>43800</v>
      </c>
      <c r="BW90" s="3331">
        <f>$Z$8</f>
        <v>43862</v>
      </c>
      <c r="BX90" s="3331">
        <f>$AA$8</f>
        <v>44013</v>
      </c>
      <c r="BY90" s="3331">
        <v>44166</v>
      </c>
      <c r="BZ90" s="3331">
        <f>$AC$8</f>
        <v>44531</v>
      </c>
      <c r="CA90" s="3331">
        <f>$AD$8</f>
        <v>44774</v>
      </c>
      <c r="CB90" s="3331" t="str">
        <f>$AE$8</f>
        <v>-</v>
      </c>
      <c r="CC90" s="3331" t="str">
        <f>$AF$8</f>
        <v>-</v>
      </c>
      <c r="CD90" s="3331" t="str">
        <f>$AG$8</f>
        <v>-</v>
      </c>
      <c r="CG90" s="21"/>
      <c r="CK90"/>
      <c r="CW90" s="21"/>
      <c r="DA90"/>
      <c r="DG90" s="21"/>
      <c r="DH90" s="22"/>
    </row>
    <row r="91" spans="2:114" s="34" customFormat="1" ht="29" hidden="1" outlineLevel="1" x14ac:dyDescent="0.35">
      <c r="C91" s="132"/>
      <c r="D91" s="35" t="s">
        <v>27</v>
      </c>
      <c r="E91" s="2399" t="s">
        <v>110</v>
      </c>
      <c r="F91" s="2399" t="s">
        <v>318</v>
      </c>
      <c r="G91" s="2399" t="s">
        <v>4137</v>
      </c>
      <c r="H91" s="36" t="s">
        <v>4138</v>
      </c>
      <c r="I91" s="1689" t="s">
        <v>721</v>
      </c>
      <c r="J91" s="1689" t="s">
        <v>2532</v>
      </c>
      <c r="K91" s="3322" t="s">
        <v>4451</v>
      </c>
      <c r="L91" s="132"/>
      <c r="M91" s="350"/>
      <c r="N91" s="350"/>
      <c r="O91" s="350"/>
      <c r="P91" s="350"/>
      <c r="Q91" s="350"/>
      <c r="R91" s="350"/>
      <c r="S91" s="350"/>
      <c r="T91" s="350"/>
      <c r="U91" s="350"/>
      <c r="V91" s="2479" t="s">
        <v>27</v>
      </c>
      <c r="W91" s="3582" t="s">
        <v>4143</v>
      </c>
      <c r="X91" s="44" t="s">
        <v>4143</v>
      </c>
      <c r="Y91" s="44" t="s">
        <v>4143</v>
      </c>
      <c r="Z91" s="44" t="s">
        <v>4143</v>
      </c>
      <c r="AA91" s="44" t="s">
        <v>4143</v>
      </c>
      <c r="AB91" s="44" t="s">
        <v>4143</v>
      </c>
      <c r="AC91" s="44" t="s">
        <v>4143</v>
      </c>
      <c r="AD91" s="44" t="s">
        <v>4143</v>
      </c>
      <c r="AE91" s="44" t="s">
        <v>4143</v>
      </c>
      <c r="AF91" s="44" t="s">
        <v>4143</v>
      </c>
      <c r="AG91" s="44" t="s">
        <v>4143</v>
      </c>
      <c r="AI91" s="2479" t="s">
        <v>27</v>
      </c>
      <c r="AJ91" s="44" t="s">
        <v>4183</v>
      </c>
      <c r="AK91" s="44" t="s">
        <v>4183</v>
      </c>
      <c r="AL91" s="44" t="s">
        <v>4183</v>
      </c>
      <c r="AM91" s="44" t="s">
        <v>4183</v>
      </c>
      <c r="AN91" s="44" t="s">
        <v>4183</v>
      </c>
      <c r="AO91" s="44" t="s">
        <v>4183</v>
      </c>
      <c r="AP91" s="44" t="s">
        <v>4183</v>
      </c>
      <c r="AQ91" s="44" t="s">
        <v>4183</v>
      </c>
      <c r="AR91" s="44" t="s">
        <v>4183</v>
      </c>
      <c r="AS91" s="44" t="s">
        <v>4183</v>
      </c>
      <c r="AU91" s="2479" t="s">
        <v>27</v>
      </c>
      <c r="AV91" s="44" t="str">
        <f t="shared" ref="AV91:BE91" si="53">$G$110</f>
        <v>Hours</v>
      </c>
      <c r="AW91" s="44" t="str">
        <f t="shared" si="53"/>
        <v>Hours</v>
      </c>
      <c r="AX91" s="44" t="str">
        <f t="shared" si="53"/>
        <v>Hours</v>
      </c>
      <c r="AY91" s="44" t="str">
        <f t="shared" si="53"/>
        <v>Hours</v>
      </c>
      <c r="AZ91" s="44" t="str">
        <f t="shared" si="53"/>
        <v>Hours</v>
      </c>
      <c r="BA91" s="44" t="str">
        <f t="shared" si="53"/>
        <v>Hours</v>
      </c>
      <c r="BB91" s="44" t="str">
        <f t="shared" si="53"/>
        <v>Hours</v>
      </c>
      <c r="BC91" s="44" t="str">
        <f t="shared" si="53"/>
        <v>Hours</v>
      </c>
      <c r="BD91" s="44" t="str">
        <f t="shared" si="53"/>
        <v>Hours</v>
      </c>
      <c r="BE91" s="44" t="str">
        <f t="shared" si="53"/>
        <v>Hours</v>
      </c>
      <c r="BG91" s="2479" t="s">
        <v>27</v>
      </c>
      <c r="BH91" s="45" t="str">
        <f>$I$110</f>
        <v>WHFe + -IFkWh</v>
      </c>
      <c r="BI91" s="45" t="str">
        <f t="shared" ref="BI91:BQ91" si="54">$I$110</f>
        <v>WHFe + -IFkWh</v>
      </c>
      <c r="BJ91" s="45" t="str">
        <f t="shared" si="54"/>
        <v>WHFe + -IFkWh</v>
      </c>
      <c r="BK91" s="45" t="str">
        <f t="shared" si="54"/>
        <v>WHFe + -IFkWh</v>
      </c>
      <c r="BL91" s="45" t="str">
        <f t="shared" si="54"/>
        <v>WHFe + -IFkWh</v>
      </c>
      <c r="BM91" s="45" t="s">
        <v>2532</v>
      </c>
      <c r="BN91" s="45" t="str">
        <f t="shared" si="54"/>
        <v>WHFe + -IFkWh</v>
      </c>
      <c r="BO91" s="45" t="str">
        <f t="shared" si="54"/>
        <v>WHFe + -IFkWh</v>
      </c>
      <c r="BP91" s="45" t="str">
        <f t="shared" si="54"/>
        <v>WHFe + -IFkWh</v>
      </c>
      <c r="BQ91" s="45" t="str">
        <f t="shared" si="54"/>
        <v>WHFe + -IFkWh</v>
      </c>
      <c r="BR91" s="21"/>
      <c r="BS91" s="3332" t="s">
        <v>27</v>
      </c>
      <c r="BT91" s="3332" t="s">
        <v>4451</v>
      </c>
      <c r="BU91" s="3332" t="s">
        <v>4451</v>
      </c>
      <c r="BV91" s="3332" t="s">
        <v>4451</v>
      </c>
      <c r="BW91" s="3332" t="s">
        <v>4451</v>
      </c>
      <c r="BX91" s="3332" t="s">
        <v>4451</v>
      </c>
      <c r="BY91" s="3332" t="s">
        <v>4451</v>
      </c>
      <c r="BZ91" s="3332" t="s">
        <v>4451</v>
      </c>
      <c r="CA91" s="3332" t="s">
        <v>4451</v>
      </c>
      <c r="CB91" s="3332" t="s">
        <v>4451</v>
      </c>
      <c r="CC91" s="3332" t="s">
        <v>4451</v>
      </c>
      <c r="CD91" s="3332" t="s">
        <v>4451</v>
      </c>
      <c r="CF91" s="21"/>
      <c r="DE91" s="21"/>
      <c r="DF91" s="21"/>
      <c r="DH91" s="59"/>
    </row>
    <row r="92" spans="2:114" s="34" customFormat="1" hidden="1" outlineLevel="1" x14ac:dyDescent="0.35">
      <c r="C92" s="132"/>
      <c r="D92" s="1593" t="str">
        <f>C80</f>
        <v>800990_2021_12</v>
      </c>
      <c r="E92" s="1099" t="str">
        <f>E80</f>
        <v>Lighting Power Density</v>
      </c>
      <c r="F92" s="1608">
        <v>1</v>
      </c>
      <c r="G92" s="2717">
        <v>1</v>
      </c>
      <c r="H92" s="2717">
        <v>0.8</v>
      </c>
      <c r="I92" s="2718">
        <v>3351</v>
      </c>
      <c r="J92" s="3269">
        <v>1.056</v>
      </c>
      <c r="K92" s="3269">
        <v>1.032</v>
      </c>
      <c r="L92" s="132"/>
      <c r="M92" s="350"/>
      <c r="N92" s="350"/>
      <c r="O92" s="350"/>
      <c r="P92" s="350"/>
      <c r="Q92" s="350"/>
      <c r="R92" s="350"/>
      <c r="S92" s="350"/>
      <c r="T92" s="350"/>
      <c r="U92" s="350"/>
      <c r="V92" s="47" t="s">
        <v>4134</v>
      </c>
      <c r="W92" s="2456"/>
      <c r="X92" s="2456"/>
      <c r="Y92" s="2457"/>
      <c r="Z92" s="2457"/>
      <c r="AA92" s="2457"/>
      <c r="AB92" s="2457"/>
      <c r="AC92" s="2459">
        <v>1</v>
      </c>
      <c r="AD92" s="3575">
        <v>1</v>
      </c>
      <c r="AE92" s="141"/>
      <c r="AF92" s="141"/>
      <c r="AG92" s="141"/>
      <c r="AH92" s="21"/>
      <c r="AI92" s="47" t="s">
        <v>4134</v>
      </c>
      <c r="AJ92" s="2448"/>
      <c r="AK92" s="2448"/>
      <c r="AL92" s="2448"/>
      <c r="AM92" s="2462"/>
      <c r="AN92" s="2463"/>
      <c r="AO92" s="2464"/>
      <c r="AP92" s="3317">
        <v>0.8</v>
      </c>
      <c r="AQ92" s="3576">
        <v>0.8</v>
      </c>
      <c r="AR92" s="141"/>
      <c r="AS92" s="141"/>
      <c r="AT92" s="21"/>
      <c r="AU92" s="47" t="s">
        <v>4134</v>
      </c>
      <c r="AV92" s="2454"/>
      <c r="AW92" s="2455"/>
      <c r="AX92" s="2454"/>
      <c r="AY92" s="2454"/>
      <c r="AZ92" s="2454"/>
      <c r="BA92" s="2454"/>
      <c r="BB92" s="2486">
        <v>3351</v>
      </c>
      <c r="BC92" s="3577">
        <v>3351</v>
      </c>
      <c r="BD92" s="141"/>
      <c r="BE92" s="141"/>
      <c r="BF92" s="21"/>
      <c r="BG92" s="47" t="s">
        <v>4134</v>
      </c>
      <c r="BH92" s="2448"/>
      <c r="BI92" s="2452"/>
      <c r="BJ92" s="2453"/>
      <c r="BK92" s="2453"/>
      <c r="BL92" s="2453"/>
      <c r="BM92" s="2453"/>
      <c r="BN92" s="1575">
        <v>1.071</v>
      </c>
      <c r="BO92" s="3337">
        <v>1.056</v>
      </c>
      <c r="BP92" s="141"/>
      <c r="BQ92" s="141"/>
      <c r="BR92" s="21"/>
      <c r="BS92" s="1575" t="s">
        <v>4134</v>
      </c>
      <c r="BT92" s="2448"/>
      <c r="BU92" s="2448"/>
      <c r="BV92" s="2448"/>
      <c r="BW92" s="2448"/>
      <c r="BX92" s="2448"/>
      <c r="BY92" s="2448"/>
      <c r="BZ92" s="2448"/>
      <c r="CA92" s="3337">
        <v>1.032</v>
      </c>
      <c r="CB92" s="1589"/>
      <c r="CC92" s="1589"/>
      <c r="CD92" s="1589"/>
      <c r="CF92" s="21"/>
      <c r="DE92" s="21"/>
      <c r="DF92" s="21"/>
      <c r="DH92" s="59"/>
    </row>
    <row r="93" spans="2:114" s="34" customFormat="1" collapsed="1" x14ac:dyDescent="0.35">
      <c r="C93" s="132"/>
      <c r="D93" s="132"/>
      <c r="E93" s="132"/>
      <c r="F93" s="132"/>
      <c r="G93" s="1111"/>
      <c r="H93" s="1112"/>
      <c r="I93" s="1111"/>
      <c r="J93" s="1111"/>
      <c r="K93" s="350"/>
      <c r="L93" s="132"/>
      <c r="M93" s="350"/>
      <c r="N93" s="350"/>
      <c r="O93" s="350"/>
      <c r="P93" s="350"/>
      <c r="Q93" s="350"/>
      <c r="R93" s="350"/>
      <c r="S93" s="350"/>
      <c r="T93" s="350"/>
      <c r="U93" s="350"/>
      <c r="BS93" s="21"/>
      <c r="DE93" s="21"/>
      <c r="DF93" s="21"/>
      <c r="DG93" s="59"/>
    </row>
    <row r="94" spans="2:114" s="34" customFormat="1" x14ac:dyDescent="0.35">
      <c r="C94" s="132"/>
      <c r="D94" s="132"/>
      <c r="E94" s="132"/>
      <c r="F94" s="132"/>
      <c r="G94" s="1111"/>
      <c r="H94" s="1112"/>
      <c r="I94" s="1111"/>
      <c r="J94" s="1111"/>
      <c r="K94" s="350"/>
      <c r="L94" s="132"/>
      <c r="M94" s="350"/>
      <c r="N94" s="350"/>
      <c r="O94" s="350"/>
      <c r="P94" s="350"/>
      <c r="Q94" s="350"/>
      <c r="R94" s="350"/>
      <c r="S94" s="350"/>
      <c r="T94" s="350"/>
      <c r="U94" s="350"/>
      <c r="BS94" s="21"/>
      <c r="DE94" s="21"/>
      <c r="DF94" s="21"/>
      <c r="DG94" s="59"/>
    </row>
    <row r="95" spans="2:114" s="33" customFormat="1" x14ac:dyDescent="0.35">
      <c r="B95" s="4548" t="s">
        <v>2533</v>
      </c>
      <c r="C95" s="4549"/>
      <c r="D95" s="4549"/>
      <c r="E95" s="4549"/>
      <c r="F95" s="4549"/>
      <c r="G95" s="4549"/>
      <c r="H95" s="4549"/>
      <c r="I95" s="4550"/>
      <c r="J95" s="4550"/>
      <c r="K95" s="4550"/>
      <c r="L95" s="4550"/>
      <c r="M95" s="4551"/>
      <c r="N95" s="4551"/>
      <c r="O95" s="4552"/>
      <c r="V95" s="2325" t="str">
        <f>B95</f>
        <v>Lighting - Occupancy Sensor Lighting Controls</v>
      </c>
      <c r="W95" s="2326"/>
      <c r="X95" s="2326"/>
      <c r="Y95" s="2326"/>
      <c r="Z95" s="2326"/>
      <c r="AA95" s="2326"/>
      <c r="AB95" s="2326"/>
      <c r="AC95" s="2326"/>
      <c r="AD95" s="2326"/>
      <c r="AE95" s="2326"/>
      <c r="AF95" s="2326"/>
      <c r="AG95" s="2326"/>
      <c r="AH95" s="2326"/>
      <c r="AI95" s="2384"/>
      <c r="AJ95" s="21"/>
      <c r="AK95" s="21"/>
      <c r="AL95" s="21"/>
      <c r="AM95" s="21"/>
      <c r="AN95" s="21"/>
      <c r="AO95" s="21"/>
      <c r="AP95" s="21"/>
      <c r="AQ95" s="21"/>
      <c r="AR95" s="21"/>
      <c r="AS95" s="21"/>
      <c r="AT95" s="21"/>
      <c r="AU95" s="21"/>
      <c r="BS95" s="21"/>
      <c r="CK95" s="31"/>
      <c r="DE95" s="21"/>
      <c r="DF95" s="21"/>
      <c r="DG95" s="32"/>
      <c r="DH95" s="31"/>
      <c r="DI95" s="31"/>
      <c r="DJ95" s="31"/>
    </row>
    <row r="96" spans="2:114" ht="18.75" customHeight="1" x14ac:dyDescent="0.35">
      <c r="D96" s="1104"/>
      <c r="G96" s="725"/>
      <c r="H96" s="1098"/>
      <c r="V96" s="34"/>
    </row>
    <row r="97" spans="2:114" s="34" customFormat="1" x14ac:dyDescent="0.35">
      <c r="B97" s="31"/>
      <c r="C97" s="35" t="s">
        <v>27</v>
      </c>
      <c r="D97" s="2399" t="s">
        <v>28</v>
      </c>
      <c r="E97" s="2399" t="s">
        <v>29</v>
      </c>
      <c r="F97" s="2399" t="s">
        <v>30</v>
      </c>
      <c r="G97" s="2399" t="s">
        <v>175</v>
      </c>
      <c r="H97" s="36" t="s">
        <v>176</v>
      </c>
      <c r="I97" s="2399" t="s">
        <v>31</v>
      </c>
      <c r="J97" s="2399" t="s">
        <v>180</v>
      </c>
      <c r="K97" s="35" t="s">
        <v>169</v>
      </c>
      <c r="L97" s="35" t="s">
        <v>43</v>
      </c>
      <c r="M97" s="725"/>
      <c r="N97" s="725"/>
      <c r="O97" s="725"/>
      <c r="P97" s="350"/>
      <c r="Q97" s="350"/>
      <c r="R97" s="350"/>
      <c r="S97" s="350"/>
      <c r="T97" s="350"/>
      <c r="U97" s="350"/>
      <c r="V97" s="1572" t="s">
        <v>44</v>
      </c>
      <c r="W97" s="1573">
        <f>$W$8</f>
        <v>43252</v>
      </c>
      <c r="X97" s="1573">
        <f>$X$8</f>
        <v>43465</v>
      </c>
      <c r="Y97" s="1573">
        <f>$Y$8</f>
        <v>43800</v>
      </c>
      <c r="Z97" s="1573">
        <f>$Z$8</f>
        <v>43862</v>
      </c>
      <c r="AA97" s="1573">
        <f>$AA$8</f>
        <v>44013</v>
      </c>
      <c r="AB97" s="1573">
        <v>44166</v>
      </c>
      <c r="AC97" s="1573">
        <f>$AC$8</f>
        <v>44531</v>
      </c>
      <c r="AD97" s="1573">
        <f>$AD$8</f>
        <v>44774</v>
      </c>
      <c r="AE97" s="1573" t="str">
        <f>$AE$8</f>
        <v>-</v>
      </c>
      <c r="AF97" s="1573" t="str">
        <f>$AF$8</f>
        <v>-</v>
      </c>
      <c r="AG97" s="1573" t="str">
        <f>$AG$8</f>
        <v>-</v>
      </c>
      <c r="AI97" s="1572" t="s">
        <v>44</v>
      </c>
      <c r="AJ97" s="1573">
        <f>W97</f>
        <v>43252</v>
      </c>
      <c r="AK97" s="1573">
        <f t="shared" ref="AK97" si="55">X97</f>
        <v>43465</v>
      </c>
      <c r="AL97" s="1573">
        <f t="shared" ref="AL97" si="56">Y97</f>
        <v>43800</v>
      </c>
      <c r="AM97" s="1573">
        <f t="shared" ref="AM97" si="57">Z97</f>
        <v>43862</v>
      </c>
      <c r="AN97" s="1573">
        <f t="shared" ref="AN97" si="58">AA97</f>
        <v>44013</v>
      </c>
      <c r="AO97" s="1573">
        <f t="shared" ref="AO97" si="59">AB97</f>
        <v>44166</v>
      </c>
      <c r="AP97" s="1573">
        <f t="shared" ref="AP97" si="60">AC97</f>
        <v>44531</v>
      </c>
      <c r="AQ97" s="1573">
        <f t="shared" ref="AQ97" si="61">AD97</f>
        <v>44774</v>
      </c>
      <c r="AR97" s="1573" t="str">
        <f t="shared" ref="AR97" si="62">AE97</f>
        <v>-</v>
      </c>
      <c r="AS97" s="1573" t="str">
        <f t="shared" ref="AS97" si="63">AF97</f>
        <v>-</v>
      </c>
      <c r="AT97" s="21"/>
      <c r="AU97" s="1572" t="s">
        <v>44</v>
      </c>
      <c r="AV97" s="1573">
        <f>W97</f>
        <v>43252</v>
      </c>
      <c r="AW97" s="1573">
        <f t="shared" ref="AW97" si="64">X97</f>
        <v>43465</v>
      </c>
      <c r="AX97" s="1573">
        <f t="shared" ref="AX97" si="65">Y97</f>
        <v>43800</v>
      </c>
      <c r="AY97" s="1573">
        <f t="shared" ref="AY97" si="66">Z97</f>
        <v>43862</v>
      </c>
      <c r="AZ97" s="1573">
        <f t="shared" ref="AZ97" si="67">AA97</f>
        <v>44013</v>
      </c>
      <c r="BA97" s="1573">
        <v>44166</v>
      </c>
      <c r="BB97" s="1573">
        <f t="shared" ref="BB97" si="68">AC97</f>
        <v>44531</v>
      </c>
      <c r="BC97" s="1573">
        <f t="shared" ref="BC97" si="69">AD97</f>
        <v>44774</v>
      </c>
      <c r="BD97" s="1573" t="str">
        <f t="shared" ref="BD97" si="70">AE97</f>
        <v>-</v>
      </c>
      <c r="BE97" s="1573" t="str">
        <f t="shared" ref="BE97" si="71">AF97</f>
        <v>-</v>
      </c>
      <c r="BS97" s="21"/>
      <c r="DE97" s="21"/>
      <c r="DF97" s="21"/>
      <c r="DG97" s="1574" t="str">
        <f>$DG$8</f>
        <v>TRC (2022)</v>
      </c>
      <c r="DH97" s="1584" t="str">
        <f>$DH$8</f>
        <v>Benefit Lookup</v>
      </c>
      <c r="DI97" s="1584" t="str">
        <f>$DI$8</f>
        <v>Benefits (2019 $)</v>
      </c>
      <c r="DJ97" s="1584" t="str">
        <f>$DJ$8</f>
        <v>Incremental Cost (2019 $)</v>
      </c>
    </row>
    <row r="98" spans="2:114" x14ac:dyDescent="0.35">
      <c r="C98" s="1614" t="s">
        <v>2534</v>
      </c>
      <c r="D98" s="1087" t="s">
        <v>2485</v>
      </c>
      <c r="E98" s="1105" t="s">
        <v>2535</v>
      </c>
      <c r="F98" s="122">
        <f t="shared" ref="F98:F99" si="72">ROUND(F111*G111*H111*I111,2)</f>
        <v>117.2</v>
      </c>
      <c r="G98" s="1087" t="s">
        <v>54</v>
      </c>
      <c r="H98" s="1088">
        <f>VLOOKUP(G98,'CP FACTORS'!$A$26:$B$38,2,FALSE)</f>
        <v>1.899635E-4</v>
      </c>
      <c r="I98" s="3262">
        <f>ROUND(H98*F98*J111,6)</f>
        <v>2.2976E-2</v>
      </c>
      <c r="J98" s="51">
        <v>10</v>
      </c>
      <c r="K98" s="1107">
        <v>45</v>
      </c>
      <c r="L98" s="1089" t="s">
        <v>184</v>
      </c>
      <c r="P98" s="1091"/>
      <c r="Q98" s="1092"/>
      <c r="R98" s="1093"/>
      <c r="S98" s="1093"/>
      <c r="T98" s="1094"/>
      <c r="V98" s="2419" t="s">
        <v>30</v>
      </c>
      <c r="W98" s="110"/>
      <c r="X98" s="110"/>
      <c r="Y98" s="110"/>
      <c r="Z98" s="141"/>
      <c r="AA98" s="122">
        <v>111.87</v>
      </c>
      <c r="AB98" s="110">
        <v>118.87</v>
      </c>
      <c r="AC98" s="1798">
        <v>118.87</v>
      </c>
      <c r="AD98" s="122">
        <v>117.2</v>
      </c>
      <c r="AE98" s="141"/>
      <c r="AF98" s="141"/>
      <c r="AG98" s="141"/>
      <c r="AI98" s="2419" t="s">
        <v>180</v>
      </c>
      <c r="AJ98" s="1576"/>
      <c r="AK98" s="1576"/>
      <c r="AL98" s="1576"/>
      <c r="AM98" s="141"/>
      <c r="AN98" s="1568">
        <v>15</v>
      </c>
      <c r="AO98" s="1926">
        <v>10</v>
      </c>
      <c r="AP98" s="2461">
        <v>10</v>
      </c>
      <c r="AQ98" s="2461">
        <v>10</v>
      </c>
      <c r="AR98" s="141"/>
      <c r="AS98" s="141"/>
      <c r="AU98" s="2419" t="s">
        <v>169</v>
      </c>
      <c r="AV98" s="1577"/>
      <c r="AW98" s="1577"/>
      <c r="AX98" s="1577"/>
      <c r="AY98" s="1571"/>
      <c r="AZ98" s="1571">
        <v>45</v>
      </c>
      <c r="BA98" s="1615">
        <v>45</v>
      </c>
      <c r="BB98" s="1615">
        <v>45</v>
      </c>
      <c r="BC98" s="1615">
        <v>45</v>
      </c>
      <c r="BD98" s="141"/>
      <c r="BE98" s="141"/>
      <c r="DG98" s="816">
        <f t="shared" ref="DG98:DG99" si="73">(DI98)/(DJ98)</f>
        <v>1.2307901681992997</v>
      </c>
      <c r="DH98" s="3345" t="str">
        <f t="shared" ref="DH98:DH99" si="74">CONCATENATE(G98," ",J98," Year EUL")</f>
        <v>Lighting BUS 10 Year EUL</v>
      </c>
      <c r="DI98" s="3286">
        <f>(INDEX('Avoided Cost Benefits'!$E$4:$E$859,MATCH(DH98,'Avoided Cost Benefits'!$A$4:$A$859,0)))*F98</f>
        <v>46.568650089985688</v>
      </c>
      <c r="DJ98" s="1607">
        <f>K98/(1.0595^(2022-2019))</f>
        <v>37.836384538330918</v>
      </c>
    </row>
    <row r="99" spans="2:114" x14ac:dyDescent="0.35">
      <c r="C99" s="1614" t="s">
        <v>2536</v>
      </c>
      <c r="D99" s="1087" t="s">
        <v>2485</v>
      </c>
      <c r="E99" s="1105" t="s">
        <v>2537</v>
      </c>
      <c r="F99" s="122">
        <f t="shared" si="72"/>
        <v>287.06</v>
      </c>
      <c r="G99" s="1087" t="s">
        <v>54</v>
      </c>
      <c r="H99" s="1088">
        <f>VLOOKUP(G99,'CP FACTORS'!$A$26:$B$38,2,FALSE)</f>
        <v>1.899635E-4</v>
      </c>
      <c r="I99" s="3262">
        <f>ROUND(H99*F99*J112,6)</f>
        <v>5.6276E-2</v>
      </c>
      <c r="J99" s="51">
        <v>10</v>
      </c>
      <c r="K99" s="1107">
        <v>105</v>
      </c>
      <c r="L99" s="1089" t="s">
        <v>184</v>
      </c>
      <c r="P99" s="1091"/>
      <c r="Q99" s="1092"/>
      <c r="R99" s="1093"/>
      <c r="S99" s="1093"/>
      <c r="T99" s="1094"/>
      <c r="V99" s="2419" t="s">
        <v>30</v>
      </c>
      <c r="W99" s="110"/>
      <c r="X99" s="110"/>
      <c r="Y99" s="110"/>
      <c r="Z99" s="110"/>
      <c r="AA99" s="122">
        <v>290.86</v>
      </c>
      <c r="AB99" s="110">
        <v>291.13</v>
      </c>
      <c r="AC99" s="1798">
        <v>291.13</v>
      </c>
      <c r="AD99" s="122">
        <v>287.06</v>
      </c>
      <c r="AE99" s="110"/>
      <c r="AF99" s="110"/>
      <c r="AG99" s="110"/>
      <c r="AI99" s="2419" t="s">
        <v>180</v>
      </c>
      <c r="AJ99" s="1576"/>
      <c r="AK99" s="1576"/>
      <c r="AL99" s="1576"/>
      <c r="AM99" s="110"/>
      <c r="AN99" s="1568">
        <v>15</v>
      </c>
      <c r="AO99" s="1926">
        <v>10</v>
      </c>
      <c r="AP99" s="2461">
        <v>10</v>
      </c>
      <c r="AQ99" s="2461">
        <v>10</v>
      </c>
      <c r="AR99" s="110"/>
      <c r="AS99" s="110"/>
      <c r="AU99" s="2419" t="s">
        <v>169</v>
      </c>
      <c r="AV99" s="1577"/>
      <c r="AW99" s="1577"/>
      <c r="AX99" s="1577"/>
      <c r="AY99" s="1571"/>
      <c r="AZ99" s="1571">
        <v>105</v>
      </c>
      <c r="BA99" s="1615">
        <v>105</v>
      </c>
      <c r="BB99" s="1615">
        <v>105</v>
      </c>
      <c r="BC99" s="1615">
        <v>105</v>
      </c>
      <c r="BD99" s="110"/>
      <c r="BE99" s="110"/>
      <c r="DG99" s="816">
        <f t="shared" si="73"/>
        <v>1.150933893887027</v>
      </c>
      <c r="DH99" s="3345" t="str">
        <f t="shared" si="74"/>
        <v>Lighting BUS 10 Year EUL</v>
      </c>
      <c r="DI99" s="3286">
        <f>(INDEX('Avoided Cost Benefits'!$E$4:$E$859,MATCH(DH99,'Avoided Cost Benefits'!$A$4:$A$859,0)))*F99</f>
        <v>114.06140524600077</v>
      </c>
      <c r="DJ99" s="1607">
        <f t="shared" ref="DJ99" si="75">K99/(1.0595^(2020-2019))</f>
        <v>99.103350637092959</v>
      </c>
    </row>
    <row r="100" spans="2:114" hidden="1" outlineLevel="1" x14ac:dyDescent="0.35">
      <c r="E100" s="33"/>
      <c r="F100" s="33"/>
      <c r="G100" s="33"/>
      <c r="H100" s="1096"/>
      <c r="I100" s="33"/>
      <c r="J100" s="33"/>
      <c r="K100" s="33"/>
    </row>
    <row r="101" spans="2:114" hidden="1" outlineLevel="1" x14ac:dyDescent="0.35">
      <c r="D101" s="33" t="s">
        <v>2528</v>
      </c>
      <c r="E101" s="33"/>
      <c r="F101" s="33"/>
      <c r="G101" s="33"/>
      <c r="H101" s="1096"/>
      <c r="I101" s="33"/>
      <c r="J101" s="33"/>
      <c r="K101" s="33"/>
    </row>
    <row r="102" spans="2:114" hidden="1" outlineLevel="1" x14ac:dyDescent="0.35">
      <c r="D102" s="1097"/>
      <c r="G102" s="725"/>
      <c r="H102" s="1098"/>
      <c r="M102" s="33"/>
    </row>
    <row r="103" spans="2:114" hidden="1" outlineLevel="1" x14ac:dyDescent="0.35">
      <c r="D103" s="1097"/>
      <c r="G103" s="725"/>
      <c r="H103" s="1098"/>
      <c r="M103" s="33"/>
    </row>
    <row r="104" spans="2:114" hidden="1" outlineLevel="1" x14ac:dyDescent="0.35">
      <c r="D104" s="1097"/>
      <c r="G104" s="725"/>
      <c r="H104" s="1098"/>
      <c r="M104" s="33"/>
    </row>
    <row r="105" spans="2:114" hidden="1" outlineLevel="1" x14ac:dyDescent="0.35">
      <c r="D105" s="1097"/>
      <c r="G105" s="725"/>
      <c r="H105" s="1098"/>
      <c r="M105" s="33"/>
    </row>
    <row r="106" spans="2:114" hidden="1" outlineLevel="1" x14ac:dyDescent="0.35">
      <c r="D106" s="1097"/>
      <c r="G106" s="725"/>
      <c r="H106" s="1098"/>
      <c r="M106" s="33"/>
    </row>
    <row r="107" spans="2:114" hidden="1" outlineLevel="1" x14ac:dyDescent="0.35">
      <c r="D107" s="1097"/>
      <c r="G107" s="725"/>
      <c r="H107" s="1098"/>
      <c r="M107" s="33"/>
    </row>
    <row r="108" spans="2:114" hidden="1" outlineLevel="1" x14ac:dyDescent="0.35">
      <c r="D108" s="1097"/>
      <c r="G108" s="725"/>
      <c r="H108" s="1098"/>
      <c r="M108" s="33"/>
    </row>
    <row r="109" spans="2:114" hidden="1" outlineLevel="1" x14ac:dyDescent="0.35">
      <c r="D109" s="1097"/>
      <c r="G109" s="725"/>
      <c r="H109" s="1098"/>
      <c r="V109" s="2479" t="s">
        <v>44</v>
      </c>
      <c r="W109" s="1573">
        <f>$W$8</f>
        <v>43252</v>
      </c>
      <c r="X109" s="1573">
        <f>$X$8</f>
        <v>43465</v>
      </c>
      <c r="Y109" s="1573">
        <f>$Y$8</f>
        <v>43800</v>
      </c>
      <c r="Z109" s="1573">
        <f>$Z$8</f>
        <v>43862</v>
      </c>
      <c r="AA109" s="1573">
        <f>$AA$8</f>
        <v>44013</v>
      </c>
      <c r="AB109" s="1573">
        <v>44166</v>
      </c>
      <c r="AC109" s="1573">
        <f>$AC$8</f>
        <v>44531</v>
      </c>
      <c r="AD109" s="1573">
        <f>$AD$8</f>
        <v>44774</v>
      </c>
      <c r="AE109" s="1573" t="str">
        <f>$AE$8</f>
        <v>-</v>
      </c>
      <c r="AF109" s="1573" t="str">
        <f>$AF$8</f>
        <v>-</v>
      </c>
      <c r="AG109" s="1573" t="str">
        <f>$AG$8</f>
        <v>-</v>
      </c>
      <c r="AI109" s="2479" t="s">
        <v>44</v>
      </c>
      <c r="AJ109" s="1573">
        <f>W109</f>
        <v>43252</v>
      </c>
      <c r="AK109" s="1573">
        <f t="shared" ref="AK109" si="76">X109</f>
        <v>43465</v>
      </c>
      <c r="AL109" s="1573">
        <f t="shared" ref="AL109" si="77">Y109</f>
        <v>43800</v>
      </c>
      <c r="AM109" s="1573">
        <f t="shared" ref="AM109" si="78">Z109</f>
        <v>43862</v>
      </c>
      <c r="AN109" s="1573">
        <f t="shared" ref="AN109" si="79">AA109</f>
        <v>44013</v>
      </c>
      <c r="AO109" s="1573">
        <f t="shared" ref="AO109" si="80">AB109</f>
        <v>44166</v>
      </c>
      <c r="AP109" s="1573">
        <f t="shared" ref="AP109" si="81">AC109</f>
        <v>44531</v>
      </c>
      <c r="AQ109" s="1573">
        <f t="shared" ref="AQ109" si="82">AD109</f>
        <v>44774</v>
      </c>
      <c r="AR109" s="1573" t="str">
        <f t="shared" ref="AR109" si="83">AE109</f>
        <v>-</v>
      </c>
      <c r="AS109" s="1573" t="str">
        <f t="shared" ref="AS109" si="84">AF109</f>
        <v>-</v>
      </c>
      <c r="AU109" s="2479" t="s">
        <v>44</v>
      </c>
      <c r="AV109" s="1573">
        <f>W109</f>
        <v>43252</v>
      </c>
      <c r="AW109" s="1573">
        <f t="shared" ref="AW109" si="85">X109</f>
        <v>43465</v>
      </c>
      <c r="AX109" s="1573">
        <f t="shared" ref="AX109" si="86">Y109</f>
        <v>43800</v>
      </c>
      <c r="AY109" s="1573">
        <f t="shared" ref="AY109" si="87">Z109</f>
        <v>43862</v>
      </c>
      <c r="AZ109" s="1573">
        <f t="shared" ref="AZ109" si="88">AA109</f>
        <v>44013</v>
      </c>
      <c r="BA109" s="1573">
        <v>44166</v>
      </c>
      <c r="BB109" s="1573">
        <f t="shared" ref="BB109" si="89">AC109</f>
        <v>44531</v>
      </c>
      <c r="BC109" s="1573">
        <f t="shared" ref="BC109" si="90">AD109</f>
        <v>44774</v>
      </c>
      <c r="BD109" s="1573" t="str">
        <f t="shared" ref="BD109" si="91">AE109</f>
        <v>-</v>
      </c>
      <c r="BE109" s="1573" t="str">
        <f t="shared" ref="BE109" si="92">AF109</f>
        <v>-</v>
      </c>
      <c r="BG109" s="2479" t="s">
        <v>44</v>
      </c>
      <c r="BH109" s="1573">
        <f>$W$8</f>
        <v>43252</v>
      </c>
      <c r="BI109" s="1573">
        <f>$X$8</f>
        <v>43465</v>
      </c>
      <c r="BJ109" s="1573">
        <f>$Y$8</f>
        <v>43800</v>
      </c>
      <c r="BK109" s="1573">
        <f>$Z$8</f>
        <v>43862</v>
      </c>
      <c r="BL109" s="1573">
        <f>$AA$8</f>
        <v>44013</v>
      </c>
      <c r="BM109" s="1573">
        <v>44166</v>
      </c>
      <c r="BN109" s="1573">
        <f>$AC$8</f>
        <v>44531</v>
      </c>
      <c r="BO109" s="1573">
        <f>$AD$8</f>
        <v>44774</v>
      </c>
      <c r="BP109" s="1573" t="str">
        <f>$AE$8</f>
        <v>-</v>
      </c>
      <c r="BQ109" s="1573" t="str">
        <f>$AF$8</f>
        <v>-</v>
      </c>
      <c r="BS109" s="3342" t="s">
        <v>44</v>
      </c>
      <c r="BT109" s="3331">
        <f>$W$8</f>
        <v>43252</v>
      </c>
      <c r="BU109" s="3331">
        <f>$X$8</f>
        <v>43465</v>
      </c>
      <c r="BV109" s="3331">
        <f>$Y$8</f>
        <v>43800</v>
      </c>
      <c r="BW109" s="3331">
        <f>$Z$8</f>
        <v>43862</v>
      </c>
      <c r="BX109" s="3331">
        <f>$AA$8</f>
        <v>44013</v>
      </c>
      <c r="BY109" s="3331">
        <v>44166</v>
      </c>
      <c r="BZ109" s="3331">
        <f>$AC$8</f>
        <v>44531</v>
      </c>
      <c r="CA109" s="3331">
        <f>$AD$8</f>
        <v>44774</v>
      </c>
      <c r="CB109" s="3331" t="str">
        <f>$AE$8</f>
        <v>-</v>
      </c>
      <c r="CC109" s="3331" t="str">
        <f>$AF$8</f>
        <v>-</v>
      </c>
      <c r="CD109" s="3331" t="str">
        <f>$AG$8</f>
        <v>-</v>
      </c>
      <c r="CG109" s="21"/>
      <c r="CK109"/>
      <c r="CW109" s="21"/>
      <c r="DA109"/>
      <c r="DG109" s="21"/>
      <c r="DH109" s="22"/>
    </row>
    <row r="110" spans="2:114" s="34" customFormat="1" ht="29" hidden="1" outlineLevel="1" x14ac:dyDescent="0.35">
      <c r="C110" s="132"/>
      <c r="D110" s="35" t="s">
        <v>27</v>
      </c>
      <c r="E110" s="2399" t="s">
        <v>110</v>
      </c>
      <c r="F110" s="2399" t="s">
        <v>2538</v>
      </c>
      <c r="G110" s="2399" t="s">
        <v>721</v>
      </c>
      <c r="H110" s="36" t="s">
        <v>2539</v>
      </c>
      <c r="I110" s="1689" t="s">
        <v>2532</v>
      </c>
      <c r="J110" s="3322" t="s">
        <v>4451</v>
      </c>
      <c r="K110" s="106"/>
      <c r="L110" s="132"/>
      <c r="M110" s="350"/>
      <c r="N110" s="350"/>
      <c r="O110" s="350"/>
      <c r="P110" s="350"/>
      <c r="Q110" s="350"/>
      <c r="R110" s="350"/>
      <c r="S110" s="350"/>
      <c r="T110" s="350"/>
      <c r="U110" s="350"/>
      <c r="V110" s="2479" t="s">
        <v>27</v>
      </c>
      <c r="W110" s="3582" t="str">
        <f>$F$110</f>
        <v>kWControlled</v>
      </c>
      <c r="X110" s="44" t="str">
        <f t="shared" ref="X110:AG110" si="93">$F$110</f>
        <v>kWControlled</v>
      </c>
      <c r="Y110" s="44" t="str">
        <f t="shared" si="93"/>
        <v>kWControlled</v>
      </c>
      <c r="Z110" s="44" t="str">
        <f t="shared" si="93"/>
        <v>kWControlled</v>
      </c>
      <c r="AA110" s="44" t="str">
        <f t="shared" si="93"/>
        <v>kWControlled</v>
      </c>
      <c r="AB110" s="44" t="s">
        <v>2538</v>
      </c>
      <c r="AC110" s="44" t="str">
        <f t="shared" si="93"/>
        <v>kWControlled</v>
      </c>
      <c r="AD110" s="44" t="str">
        <f t="shared" si="93"/>
        <v>kWControlled</v>
      </c>
      <c r="AE110" s="44" t="str">
        <f t="shared" si="93"/>
        <v>kWControlled</v>
      </c>
      <c r="AF110" s="44" t="str">
        <f t="shared" si="93"/>
        <v>kWControlled</v>
      </c>
      <c r="AG110" s="44" t="str">
        <f t="shared" si="93"/>
        <v>kWControlled</v>
      </c>
      <c r="AI110" s="2479" t="s">
        <v>27</v>
      </c>
      <c r="AJ110" s="44" t="str">
        <f t="shared" ref="AJ110:AS110" si="94">$G$110</f>
        <v>Hours</v>
      </c>
      <c r="AK110" s="44" t="str">
        <f t="shared" si="94"/>
        <v>Hours</v>
      </c>
      <c r="AL110" s="44" t="str">
        <f t="shared" si="94"/>
        <v>Hours</v>
      </c>
      <c r="AM110" s="44" t="str">
        <f t="shared" si="94"/>
        <v>Hours</v>
      </c>
      <c r="AN110" s="44" t="str">
        <f t="shared" si="94"/>
        <v>Hours</v>
      </c>
      <c r="AO110" s="44" t="str">
        <f t="shared" si="94"/>
        <v>Hours</v>
      </c>
      <c r="AP110" s="44" t="str">
        <f t="shared" si="94"/>
        <v>Hours</v>
      </c>
      <c r="AQ110" s="44" t="str">
        <f t="shared" si="94"/>
        <v>Hours</v>
      </c>
      <c r="AR110" s="44" t="str">
        <f t="shared" si="94"/>
        <v>Hours</v>
      </c>
      <c r="AS110" s="44" t="str">
        <f t="shared" si="94"/>
        <v>Hours</v>
      </c>
      <c r="AU110" s="2479" t="s">
        <v>27</v>
      </c>
      <c r="AV110" s="45" t="str">
        <f t="shared" ref="AV110:BE110" si="95">$H$110</f>
        <v>ESF</v>
      </c>
      <c r="AW110" s="45" t="str">
        <f t="shared" si="95"/>
        <v>ESF</v>
      </c>
      <c r="AX110" s="45" t="str">
        <f t="shared" si="95"/>
        <v>ESF</v>
      </c>
      <c r="AY110" s="45" t="str">
        <f t="shared" si="95"/>
        <v>ESF</v>
      </c>
      <c r="AZ110" s="45" t="str">
        <f t="shared" si="95"/>
        <v>ESF</v>
      </c>
      <c r="BA110" s="45" t="s">
        <v>2539</v>
      </c>
      <c r="BB110" s="45" t="str">
        <f t="shared" si="95"/>
        <v>ESF</v>
      </c>
      <c r="BC110" s="45" t="str">
        <f t="shared" si="95"/>
        <v>ESF</v>
      </c>
      <c r="BD110" s="45" t="str">
        <f t="shared" si="95"/>
        <v>ESF</v>
      </c>
      <c r="BE110" s="45" t="str">
        <f t="shared" si="95"/>
        <v>ESF</v>
      </c>
      <c r="BG110" s="2479" t="s">
        <v>27</v>
      </c>
      <c r="BH110" s="45" t="str">
        <f>$I$110</f>
        <v>WHFe + -IFkWh</v>
      </c>
      <c r="BI110" s="45" t="str">
        <f t="shared" ref="BI110:BQ110" si="96">$I$110</f>
        <v>WHFe + -IFkWh</v>
      </c>
      <c r="BJ110" s="45" t="str">
        <f t="shared" si="96"/>
        <v>WHFe + -IFkWh</v>
      </c>
      <c r="BK110" s="45" t="str">
        <f t="shared" si="96"/>
        <v>WHFe + -IFkWh</v>
      </c>
      <c r="BL110" s="45" t="str">
        <f t="shared" si="96"/>
        <v>WHFe + -IFkWh</v>
      </c>
      <c r="BM110" s="45" t="s">
        <v>2532</v>
      </c>
      <c r="BN110" s="45" t="str">
        <f t="shared" si="96"/>
        <v>WHFe + -IFkWh</v>
      </c>
      <c r="BO110" s="45" t="str">
        <f t="shared" si="96"/>
        <v>WHFe + -IFkWh</v>
      </c>
      <c r="BP110" s="45" t="str">
        <f t="shared" si="96"/>
        <v>WHFe + -IFkWh</v>
      </c>
      <c r="BQ110" s="45" t="str">
        <f t="shared" si="96"/>
        <v>WHFe + -IFkWh</v>
      </c>
      <c r="BR110" s="21"/>
      <c r="BS110" s="3332" t="s">
        <v>27</v>
      </c>
      <c r="BT110" s="3332" t="s">
        <v>4451</v>
      </c>
      <c r="BU110" s="3332" t="s">
        <v>4451</v>
      </c>
      <c r="BV110" s="3332" t="s">
        <v>4451</v>
      </c>
      <c r="BW110" s="3332" t="s">
        <v>4451</v>
      </c>
      <c r="BX110" s="3332" t="s">
        <v>4451</v>
      </c>
      <c r="BY110" s="3332" t="s">
        <v>4451</v>
      </c>
      <c r="BZ110" s="3332" t="s">
        <v>4451</v>
      </c>
      <c r="CA110" s="3332" t="s">
        <v>4451</v>
      </c>
      <c r="CB110" s="3332" t="s">
        <v>4451</v>
      </c>
      <c r="CC110" s="3332" t="s">
        <v>4451</v>
      </c>
      <c r="CD110" s="3332" t="s">
        <v>4451</v>
      </c>
      <c r="CF110" s="21"/>
      <c r="DE110" s="21"/>
      <c r="DF110" s="21"/>
      <c r="DH110" s="59"/>
    </row>
    <row r="111" spans="2:114" s="34" customFormat="1" hidden="1" outlineLevel="1" x14ac:dyDescent="0.35">
      <c r="C111" s="132"/>
      <c r="D111" s="1593" t="str">
        <f>C98</f>
        <v>801010_2020_07</v>
      </c>
      <c r="E111" s="1099" t="str">
        <f>E98</f>
        <v>Fixture Mounted Occupancy Sensor Controlling &gt; 60 Watts</v>
      </c>
      <c r="F111" s="1608">
        <v>0.13800000000000001</v>
      </c>
      <c r="G111" s="1108">
        <v>3351</v>
      </c>
      <c r="H111" s="1109">
        <v>0.24</v>
      </c>
      <c r="I111" s="3269">
        <v>1.056</v>
      </c>
      <c r="J111" s="3269">
        <v>1.032</v>
      </c>
      <c r="K111" s="106"/>
      <c r="L111" s="132"/>
      <c r="M111" s="350"/>
      <c r="N111" s="350"/>
      <c r="O111" s="350"/>
      <c r="P111" s="350"/>
      <c r="Q111" s="350"/>
      <c r="R111" s="350"/>
      <c r="S111" s="350"/>
      <c r="T111" s="350"/>
      <c r="U111" s="350"/>
      <c r="V111" s="1593" t="s">
        <v>2534</v>
      </c>
      <c r="W111" s="110"/>
      <c r="X111" s="110"/>
      <c r="Y111" s="110"/>
      <c r="Z111" s="141"/>
      <c r="AA111" s="1924">
        <v>0.13</v>
      </c>
      <c r="AB111" s="1923">
        <v>0.13800000000000001</v>
      </c>
      <c r="AC111" s="2458">
        <v>0.13800000000000001</v>
      </c>
      <c r="AD111" s="3578">
        <v>0.13800000000000001</v>
      </c>
      <c r="AE111" s="141"/>
      <c r="AF111" s="141"/>
      <c r="AG111" s="141"/>
      <c r="AH111" s="21"/>
      <c r="AI111" s="1593" t="s">
        <v>2534</v>
      </c>
      <c r="AJ111" s="110"/>
      <c r="AK111" s="110"/>
      <c r="AL111" s="141"/>
      <c r="AM111" s="141"/>
      <c r="AN111" s="785">
        <v>3351</v>
      </c>
      <c r="AO111" s="1925">
        <v>3351</v>
      </c>
      <c r="AP111" s="2460">
        <v>3351</v>
      </c>
      <c r="AQ111" s="3579">
        <v>3351</v>
      </c>
      <c r="AR111" s="141"/>
      <c r="AS111" s="141"/>
      <c r="AT111" s="21"/>
      <c r="AU111" s="1593" t="s">
        <v>2534</v>
      </c>
      <c r="AV111" s="110"/>
      <c r="AW111" s="110"/>
      <c r="AX111" s="141"/>
      <c r="AY111" s="141"/>
      <c r="AZ111" s="1589">
        <v>0.24</v>
      </c>
      <c r="BA111" s="1927">
        <v>0.24</v>
      </c>
      <c r="BB111" s="1927">
        <v>0.24</v>
      </c>
      <c r="BC111" s="3580">
        <v>0.24</v>
      </c>
      <c r="BD111" s="141"/>
      <c r="BE111" s="141"/>
      <c r="BF111" s="21"/>
      <c r="BG111" s="1593" t="s">
        <v>2534</v>
      </c>
      <c r="BH111" s="110"/>
      <c r="BI111" s="110"/>
      <c r="BJ111" s="110"/>
      <c r="BK111" s="141"/>
      <c r="BL111" s="1589">
        <v>1.07</v>
      </c>
      <c r="BM111" s="1516">
        <v>1.071</v>
      </c>
      <c r="BN111" s="1516">
        <v>1.071</v>
      </c>
      <c r="BO111" s="3337">
        <v>1.056</v>
      </c>
      <c r="BP111" s="141"/>
      <c r="BQ111" s="141"/>
      <c r="BR111" s="21"/>
      <c r="BS111" s="1575" t="s">
        <v>2534</v>
      </c>
      <c r="BT111" s="2448"/>
      <c r="BU111" s="2448"/>
      <c r="BV111" s="2448"/>
      <c r="BW111" s="2448"/>
      <c r="BX111" s="2448"/>
      <c r="BY111" s="2448"/>
      <c r="BZ111" s="2448"/>
      <c r="CA111" s="3337">
        <v>1.032</v>
      </c>
      <c r="CB111" s="1589"/>
      <c r="CC111" s="1589"/>
      <c r="CD111" s="1589"/>
      <c r="CF111" s="21"/>
      <c r="DE111" s="21"/>
      <c r="DF111" s="21"/>
      <c r="DH111" s="59"/>
    </row>
    <row r="112" spans="2:114" s="34" customFormat="1" hidden="1" outlineLevel="1" x14ac:dyDescent="0.35">
      <c r="C112" s="132"/>
      <c r="D112" s="1593" t="str">
        <f>C99</f>
        <v>801020_2020_07</v>
      </c>
      <c r="E112" s="1099" t="str">
        <f>E99</f>
        <v>Remote Mounted Occupancy Sensor Controlling &gt; 150 Watts</v>
      </c>
      <c r="F112" s="1608">
        <v>0.33800000000000002</v>
      </c>
      <c r="G112" s="1108">
        <v>3351</v>
      </c>
      <c r="H112" s="1109">
        <v>0.24</v>
      </c>
      <c r="I112" s="3269">
        <v>1.056</v>
      </c>
      <c r="J112" s="3269">
        <v>1.032</v>
      </c>
      <c r="K112" s="106"/>
      <c r="L112" s="132"/>
      <c r="M112" s="350"/>
      <c r="N112" s="350"/>
      <c r="O112" s="350"/>
      <c r="P112" s="350"/>
      <c r="Q112" s="350"/>
      <c r="R112" s="350"/>
      <c r="S112" s="350"/>
      <c r="T112" s="350"/>
      <c r="U112" s="350"/>
      <c r="V112" s="1593" t="s">
        <v>2536</v>
      </c>
      <c r="W112" s="110"/>
      <c r="X112" s="110"/>
      <c r="Y112" s="110"/>
      <c r="Z112" s="141"/>
      <c r="AA112" s="1924">
        <v>0.33800000000000002</v>
      </c>
      <c r="AB112" s="1923">
        <v>0.33800000000000002</v>
      </c>
      <c r="AC112" s="2458">
        <v>0.33800000000000002</v>
      </c>
      <c r="AD112" s="3578">
        <v>0.33800000000000002</v>
      </c>
      <c r="AE112" s="141"/>
      <c r="AF112" s="141"/>
      <c r="AG112" s="141"/>
      <c r="AH112" s="21"/>
      <c r="AI112" s="1593" t="s">
        <v>2536</v>
      </c>
      <c r="AJ112" s="110"/>
      <c r="AK112" s="110"/>
      <c r="AL112" s="141"/>
      <c r="AM112" s="141"/>
      <c r="AN112" s="785">
        <v>3351</v>
      </c>
      <c r="AO112" s="1925">
        <v>3351</v>
      </c>
      <c r="AP112" s="2460">
        <v>3351</v>
      </c>
      <c r="AQ112" s="3579">
        <v>3351</v>
      </c>
      <c r="AR112" s="141"/>
      <c r="AS112" s="141"/>
      <c r="AT112" s="21"/>
      <c r="AU112" s="1593" t="s">
        <v>2536</v>
      </c>
      <c r="AV112" s="110"/>
      <c r="AW112" s="110"/>
      <c r="AX112" s="141"/>
      <c r="AY112" s="141"/>
      <c r="AZ112" s="1589">
        <v>0.24</v>
      </c>
      <c r="BA112" s="1927">
        <v>0.24</v>
      </c>
      <c r="BB112" s="1927">
        <v>0.24</v>
      </c>
      <c r="BC112" s="3580">
        <v>0.24</v>
      </c>
      <c r="BD112" s="141"/>
      <c r="BE112" s="141"/>
      <c r="BF112" s="21"/>
      <c r="BG112" s="1593" t="s">
        <v>2536</v>
      </c>
      <c r="BH112" s="110"/>
      <c r="BI112" s="110"/>
      <c r="BJ112" s="110"/>
      <c r="BK112" s="141"/>
      <c r="BL112" s="1589">
        <v>1.07</v>
      </c>
      <c r="BM112" s="1516">
        <v>1.071</v>
      </c>
      <c r="BN112" s="1516">
        <v>1.071</v>
      </c>
      <c r="BO112" s="3337">
        <v>1.056</v>
      </c>
      <c r="BP112" s="141"/>
      <c r="BQ112" s="141"/>
      <c r="BR112" s="21"/>
      <c r="BS112" s="1575" t="s">
        <v>2536</v>
      </c>
      <c r="BT112" s="2448"/>
      <c r="BU112" s="2448"/>
      <c r="BV112" s="2448"/>
      <c r="BW112" s="2448"/>
      <c r="BX112" s="2448"/>
      <c r="BY112" s="2448"/>
      <c r="BZ112" s="2448"/>
      <c r="CA112" s="3337">
        <v>1.032</v>
      </c>
      <c r="CB112" s="1589"/>
      <c r="CC112" s="1589"/>
      <c r="CD112" s="1589"/>
      <c r="CF112" s="21"/>
      <c r="DE112" s="21"/>
      <c r="DF112" s="21"/>
      <c r="DH112" s="59"/>
    </row>
    <row r="113" spans="2:114" s="34" customFormat="1" collapsed="1" x14ac:dyDescent="0.35">
      <c r="C113" s="132"/>
      <c r="D113" s="1110" t="s">
        <v>2540</v>
      </c>
      <c r="E113" s="1110"/>
      <c r="F113" s="1111"/>
      <c r="G113" s="1111"/>
      <c r="H113" s="1112"/>
      <c r="I113" s="1111"/>
      <c r="J113" s="1111"/>
      <c r="K113" s="350"/>
      <c r="L113" s="132"/>
      <c r="M113" s="350"/>
      <c r="N113" s="350"/>
      <c r="O113" s="350"/>
      <c r="P113" s="350"/>
      <c r="Q113" s="350"/>
      <c r="R113" s="350"/>
      <c r="S113" s="350"/>
      <c r="T113" s="350"/>
      <c r="U113" s="350"/>
      <c r="BR113" s="21"/>
      <c r="BS113" s="21"/>
      <c r="DE113" s="21"/>
      <c r="DF113" s="21"/>
      <c r="DG113" s="59"/>
    </row>
    <row r="114" spans="2:114" s="34" customFormat="1" x14ac:dyDescent="0.35">
      <c r="C114" s="132"/>
      <c r="D114" s="132"/>
      <c r="E114" s="132"/>
      <c r="F114" s="132"/>
      <c r="G114" s="1111"/>
      <c r="H114" s="1112"/>
      <c r="I114" s="1111"/>
      <c r="J114" s="1111"/>
      <c r="K114" s="350"/>
      <c r="L114" s="132"/>
      <c r="M114" s="350"/>
      <c r="N114" s="350"/>
      <c r="O114" s="350"/>
      <c r="P114" s="350"/>
      <c r="Q114" s="350"/>
      <c r="R114" s="350"/>
      <c r="S114" s="350"/>
      <c r="T114" s="350"/>
      <c r="U114" s="350"/>
      <c r="BR114" s="21"/>
      <c r="BS114" s="21"/>
      <c r="DE114" s="21"/>
      <c r="DF114" s="21"/>
      <c r="DG114" s="59"/>
    </row>
    <row r="115" spans="2:114" s="34" customFormat="1" x14ac:dyDescent="0.35">
      <c r="C115" s="132"/>
      <c r="D115" s="132"/>
      <c r="E115" s="132"/>
      <c r="F115" s="132"/>
      <c r="G115" s="1111"/>
      <c r="H115" s="1112"/>
      <c r="I115" s="1111"/>
      <c r="J115" s="1111"/>
      <c r="K115" s="350"/>
      <c r="L115" s="132"/>
      <c r="M115" s="350"/>
      <c r="N115" s="350"/>
      <c r="O115" s="350"/>
      <c r="P115" s="350"/>
      <c r="Q115" s="350"/>
      <c r="R115" s="350"/>
      <c r="S115" s="350"/>
      <c r="T115" s="350"/>
      <c r="U115" s="350"/>
      <c r="DE115" s="21"/>
      <c r="DF115" s="21"/>
      <c r="DG115" s="59"/>
    </row>
    <row r="116" spans="2:114" s="33" customFormat="1" x14ac:dyDescent="0.35">
      <c r="B116" s="4548" t="s">
        <v>2541</v>
      </c>
      <c r="C116" s="4549"/>
      <c r="D116" s="4549"/>
      <c r="E116" s="4549"/>
      <c r="F116" s="4549"/>
      <c r="G116" s="4549"/>
      <c r="H116" s="4549"/>
      <c r="I116" s="4550"/>
      <c r="J116" s="4550"/>
      <c r="K116" s="4550"/>
      <c r="L116" s="4550"/>
      <c r="M116" s="4551"/>
      <c r="N116" s="4551"/>
      <c r="O116" s="4552"/>
      <c r="V116" s="2325" t="str">
        <f>B116</f>
        <v>Lighting - LED with Network Controls</v>
      </c>
      <c r="W116" s="2326"/>
      <c r="X116" s="2326"/>
      <c r="Y116" s="2326"/>
      <c r="Z116" s="2326"/>
      <c r="AA116" s="2326"/>
      <c r="AB116" s="2326"/>
      <c r="AC116" s="2326"/>
      <c r="AD116" s="2326"/>
      <c r="AE116" s="2326"/>
      <c r="AF116" s="2326"/>
      <c r="AG116" s="2326"/>
      <c r="AH116" s="2326"/>
      <c r="AI116" s="2384"/>
      <c r="AJ116" s="21"/>
      <c r="AK116" s="21"/>
      <c r="AL116" s="21"/>
      <c r="AM116" s="21"/>
      <c r="AN116" s="21"/>
      <c r="AO116" s="21"/>
      <c r="AP116" s="21"/>
      <c r="AQ116" s="21"/>
      <c r="AR116" s="21"/>
      <c r="AS116" s="21"/>
      <c r="AT116" s="21"/>
      <c r="AU116" s="21"/>
      <c r="CK116" s="31"/>
      <c r="DE116" s="21"/>
      <c r="DF116" s="21"/>
      <c r="DG116" s="32"/>
      <c r="DH116" s="31"/>
      <c r="DI116" s="31"/>
      <c r="DJ116" s="31"/>
    </row>
    <row r="117" spans="2:114" s="34" customFormat="1" x14ac:dyDescent="0.35">
      <c r="C117" s="132"/>
      <c r="D117" s="132"/>
      <c r="E117" s="132"/>
      <c r="F117" s="132"/>
      <c r="G117" s="132"/>
      <c r="H117" s="132"/>
      <c r="I117" s="1111"/>
      <c r="J117" s="1111"/>
      <c r="K117" s="350"/>
      <c r="L117" s="132"/>
      <c r="M117" s="350"/>
      <c r="N117" s="350"/>
      <c r="O117" s="350"/>
      <c r="P117" s="350"/>
      <c r="Q117" s="350"/>
      <c r="R117" s="350"/>
      <c r="S117" s="350"/>
      <c r="T117" s="350"/>
      <c r="U117" s="350"/>
      <c r="DE117" s="21"/>
      <c r="DF117" s="21"/>
      <c r="DG117" s="59"/>
    </row>
    <row r="118" spans="2:114" s="34" customFormat="1" x14ac:dyDescent="0.35">
      <c r="C118" s="35" t="s">
        <v>27</v>
      </c>
      <c r="D118" s="2399" t="s">
        <v>28</v>
      </c>
      <c r="E118" s="2399" t="s">
        <v>29</v>
      </c>
      <c r="F118" s="2399" t="s">
        <v>30</v>
      </c>
      <c r="G118" s="2399" t="s">
        <v>175</v>
      </c>
      <c r="H118" s="36" t="s">
        <v>176</v>
      </c>
      <c r="I118" s="2399" t="s">
        <v>31</v>
      </c>
      <c r="J118" s="2399" t="s">
        <v>180</v>
      </c>
      <c r="K118" s="35" t="s">
        <v>169</v>
      </c>
      <c r="L118" s="35" t="s">
        <v>43</v>
      </c>
      <c r="M118" s="350"/>
      <c r="N118" s="350"/>
      <c r="O118" s="350"/>
      <c r="P118" s="350"/>
      <c r="Q118" s="350"/>
      <c r="R118" s="350"/>
      <c r="S118" s="350"/>
      <c r="T118" s="350"/>
      <c r="U118" s="350"/>
      <c r="V118" s="1572" t="s">
        <v>44</v>
      </c>
      <c r="W118" s="1573">
        <f>$W$8</f>
        <v>43252</v>
      </c>
      <c r="X118" s="1573">
        <f>$X$8</f>
        <v>43465</v>
      </c>
      <c r="Y118" s="1573">
        <f>$Y$8</f>
        <v>43800</v>
      </c>
      <c r="Z118" s="1573">
        <f>$Z$8</f>
        <v>43862</v>
      </c>
      <c r="AA118" s="1573">
        <f>$AA$8</f>
        <v>44013</v>
      </c>
      <c r="AB118" s="1573">
        <v>44166</v>
      </c>
      <c r="AC118" s="1573">
        <f>$AC$8</f>
        <v>44531</v>
      </c>
      <c r="AD118" s="1573">
        <f>$AD$8</f>
        <v>44774</v>
      </c>
      <c r="AE118" s="1573" t="str">
        <f>$AE$8</f>
        <v>-</v>
      </c>
      <c r="AF118" s="1573" t="str">
        <f>$AF$8</f>
        <v>-</v>
      </c>
      <c r="AG118" s="1573" t="str">
        <f>$AG$8</f>
        <v>-</v>
      </c>
      <c r="AI118" s="1572" t="s">
        <v>44</v>
      </c>
      <c r="AJ118" s="1573">
        <f>W118</f>
        <v>43252</v>
      </c>
      <c r="AK118" s="1573">
        <f t="shared" ref="AK118" si="97">X118</f>
        <v>43465</v>
      </c>
      <c r="AL118" s="1573">
        <f t="shared" ref="AL118" si="98">Y118</f>
        <v>43800</v>
      </c>
      <c r="AM118" s="1573">
        <f t="shared" ref="AM118" si="99">Z118</f>
        <v>43862</v>
      </c>
      <c r="AN118" s="1573">
        <f t="shared" ref="AN118" si="100">AA118</f>
        <v>44013</v>
      </c>
      <c r="AO118" s="1573">
        <f t="shared" ref="AO118" si="101">AB118</f>
        <v>44166</v>
      </c>
      <c r="AP118" s="1573">
        <f t="shared" ref="AP118" si="102">AC118</f>
        <v>44531</v>
      </c>
      <c r="AQ118" s="1573">
        <f t="shared" ref="AQ118" si="103">AD118</f>
        <v>44774</v>
      </c>
      <c r="AR118" s="1573" t="str">
        <f t="shared" ref="AR118" si="104">AE118</f>
        <v>-</v>
      </c>
      <c r="AS118" s="1573" t="str">
        <f t="shared" ref="AS118" si="105">AF118</f>
        <v>-</v>
      </c>
      <c r="AT118" s="21"/>
      <c r="AU118" s="1572" t="s">
        <v>44</v>
      </c>
      <c r="AV118" s="1573">
        <f>W118</f>
        <v>43252</v>
      </c>
      <c r="AW118" s="1573">
        <f t="shared" ref="AW118" si="106">X118</f>
        <v>43465</v>
      </c>
      <c r="AX118" s="1573">
        <f t="shared" ref="AX118" si="107">Y118</f>
        <v>43800</v>
      </c>
      <c r="AY118" s="1573">
        <f t="shared" ref="AY118" si="108">Z118</f>
        <v>43862</v>
      </c>
      <c r="AZ118" s="1573">
        <f t="shared" ref="AZ118" si="109">AA118</f>
        <v>44013</v>
      </c>
      <c r="BA118" s="1573">
        <v>44166</v>
      </c>
      <c r="BB118" s="1573">
        <f t="shared" ref="BB118" si="110">AC118</f>
        <v>44531</v>
      </c>
      <c r="BC118" s="1573">
        <f t="shared" ref="BC118" si="111">AD118</f>
        <v>44774</v>
      </c>
      <c r="BD118" s="1573" t="str">
        <f t="shared" ref="BD118" si="112">AE118</f>
        <v>-</v>
      </c>
      <c r="BE118" s="1573" t="str">
        <f t="shared" ref="BE118" si="113">AF118</f>
        <v>-</v>
      </c>
      <c r="DE118" s="21"/>
      <c r="DF118" s="21"/>
      <c r="DG118" s="1574" t="str">
        <f>$DG$8</f>
        <v>TRC (2022)</v>
      </c>
      <c r="DH118" s="1584" t="str">
        <f>$DH$8</f>
        <v>Benefit Lookup</v>
      </c>
      <c r="DI118" s="1584" t="str">
        <f>$DI$8</f>
        <v>Benefits (2019 $)</v>
      </c>
      <c r="DJ118" s="1584" t="str">
        <f>$DJ$8</f>
        <v>Incremental Cost (2019 $)</v>
      </c>
    </row>
    <row r="119" spans="2:114" s="34" customFormat="1" x14ac:dyDescent="0.35">
      <c r="C119" s="1983" t="s">
        <v>2542</v>
      </c>
      <c r="D119" s="1087" t="s">
        <v>2485</v>
      </c>
      <c r="E119" s="1105" t="s">
        <v>2543</v>
      </c>
      <c r="F119" s="122">
        <f>ROUND(((F138-(G138*(1-I138)))/1000)*H138*J138*L138,2)</f>
        <v>157.62</v>
      </c>
      <c r="G119" s="1087" t="s">
        <v>54</v>
      </c>
      <c r="H119" s="1088">
        <f>VLOOKUP(G119,'CP FACTORS'!$A$26:$B$38,2,FALSE)</f>
        <v>1.899635E-4</v>
      </c>
      <c r="I119" s="3271">
        <f>ROUND(F119*H119*K138,6)</f>
        <v>3.09E-2</v>
      </c>
      <c r="J119" s="51">
        <f>L65</f>
        <v>15</v>
      </c>
      <c r="K119" s="1107">
        <v>55.76</v>
      </c>
      <c r="L119" s="1089" t="s">
        <v>184</v>
      </c>
      <c r="M119" s="350"/>
      <c r="N119" s="350"/>
      <c r="O119" s="350"/>
      <c r="P119" s="350"/>
      <c r="Q119" s="350"/>
      <c r="R119" s="350"/>
      <c r="S119" s="350"/>
      <c r="T119" s="350"/>
      <c r="U119" s="350"/>
      <c r="V119" s="2419" t="s">
        <v>30</v>
      </c>
      <c r="W119" s="110"/>
      <c r="X119" s="110"/>
      <c r="Y119" s="110"/>
      <c r="Z119" s="141"/>
      <c r="AA119" s="122"/>
      <c r="AB119" s="110">
        <v>200.80963876496943</v>
      </c>
      <c r="AC119" s="1798">
        <v>177.52930271999998</v>
      </c>
      <c r="AD119" s="122">
        <v>157.62</v>
      </c>
      <c r="AE119" s="141"/>
      <c r="AF119" s="141"/>
      <c r="AG119" s="141"/>
      <c r="AH119" s="21"/>
      <c r="AI119" s="2419" t="s">
        <v>180</v>
      </c>
      <c r="AJ119" s="1576"/>
      <c r="AK119" s="1576"/>
      <c r="AL119" s="1576"/>
      <c r="AM119" s="141"/>
      <c r="AN119" s="1568"/>
      <c r="AO119" s="1958">
        <v>15</v>
      </c>
      <c r="AP119" s="1516">
        <v>15</v>
      </c>
      <c r="AQ119" s="141">
        <v>15</v>
      </c>
      <c r="AR119" s="141"/>
      <c r="AS119" s="141"/>
      <c r="AT119" s="21"/>
      <c r="AU119" s="2419" t="s">
        <v>169</v>
      </c>
      <c r="AV119" s="1577"/>
      <c r="AW119" s="1577"/>
      <c r="AX119" s="1577"/>
      <c r="AY119" s="1571"/>
      <c r="AZ119" s="1571"/>
      <c r="BA119" s="1929">
        <v>55.76</v>
      </c>
      <c r="BB119" s="1321">
        <v>55.76</v>
      </c>
      <c r="BC119" s="1321">
        <v>55.76</v>
      </c>
      <c r="BD119" s="141"/>
      <c r="BE119" s="141"/>
      <c r="DE119" s="21"/>
      <c r="DF119" s="21"/>
      <c r="DG119" s="2538">
        <f t="shared" ref="DG119:DG126" si="114">(DI119)/(DJ119)</f>
        <v>1.7035796881872542</v>
      </c>
      <c r="DH119" s="1580" t="str">
        <f t="shared" ref="DH119:DH126" si="115">CONCATENATE(G119," ",J119," Year EUL")</f>
        <v>Lighting BUS 15 Year EUL</v>
      </c>
      <c r="DI119" s="2509">
        <f>(INDEX('Avoided Cost Benefits'!$E$4:$E$859,MATCH(DH119,'Avoided Cost Benefits'!$A$4:$A$859,0)))*F119</f>
        <v>89.657011244286252</v>
      </c>
      <c r="DJ119" s="1582">
        <f t="shared" ref="DJ119:DJ126" si="116">K119/(1.0595^(2020-2019))</f>
        <v>52.628598395469552</v>
      </c>
    </row>
    <row r="120" spans="2:114" s="34" customFormat="1" x14ac:dyDescent="0.35">
      <c r="C120" s="1983" t="s">
        <v>2544</v>
      </c>
      <c r="D120" s="1087" t="s">
        <v>2485</v>
      </c>
      <c r="E120" s="1105" t="s">
        <v>2545</v>
      </c>
      <c r="F120" s="122">
        <f t="shared" ref="F120:F127" si="117">ROUND(((F139-(G139*(1-I139)))/1000)*H139*J139*L139,2)</f>
        <v>157.62</v>
      </c>
      <c r="G120" s="1087" t="s">
        <v>54</v>
      </c>
      <c r="H120" s="1088">
        <f>VLOOKUP(G120,'CP FACTORS'!$A$26:$B$38,2,FALSE)</f>
        <v>1.899635E-4</v>
      </c>
      <c r="I120" s="3271">
        <f t="shared" ref="I120:I127" si="118">ROUND(F120*H120*K139,6)</f>
        <v>3.09E-2</v>
      </c>
      <c r="J120" s="51">
        <f>L65</f>
        <v>15</v>
      </c>
      <c r="K120" s="1107">
        <v>55.76</v>
      </c>
      <c r="L120" s="1089" t="s">
        <v>184</v>
      </c>
      <c r="M120" s="350"/>
      <c r="N120" s="350"/>
      <c r="O120" s="350"/>
      <c r="P120" s="350"/>
      <c r="Q120" s="350"/>
      <c r="R120" s="350"/>
      <c r="S120" s="350"/>
      <c r="T120" s="350"/>
      <c r="U120" s="350"/>
      <c r="V120" s="2419" t="s">
        <v>30</v>
      </c>
      <c r="W120" s="110"/>
      <c r="X120" s="110"/>
      <c r="Y120" s="110"/>
      <c r="Z120" s="110"/>
      <c r="AA120" s="122"/>
      <c r="AB120" s="110">
        <v>188.73868765259346</v>
      </c>
      <c r="AC120" s="1798">
        <v>177.52930271999998</v>
      </c>
      <c r="AD120" s="122">
        <v>157.62</v>
      </c>
      <c r="AE120" s="110"/>
      <c r="AF120" s="110"/>
      <c r="AG120" s="110"/>
      <c r="AH120" s="21"/>
      <c r="AI120" s="2419" t="s">
        <v>180</v>
      </c>
      <c r="AJ120" s="1576"/>
      <c r="AK120" s="1576"/>
      <c r="AL120" s="1576"/>
      <c r="AM120" s="110"/>
      <c r="AN120" s="1568"/>
      <c r="AO120" s="1958">
        <v>15</v>
      </c>
      <c r="AP120" s="1516">
        <v>15</v>
      </c>
      <c r="AQ120" s="110">
        <v>15</v>
      </c>
      <c r="AR120" s="110"/>
      <c r="AS120" s="110"/>
      <c r="AT120" s="21"/>
      <c r="AU120" s="2419" t="s">
        <v>169</v>
      </c>
      <c r="AV120" s="1577"/>
      <c r="AW120" s="1577"/>
      <c r="AX120" s="1577"/>
      <c r="AY120" s="1571"/>
      <c r="AZ120" s="1571"/>
      <c r="BA120" s="1929">
        <v>55.76</v>
      </c>
      <c r="BB120" s="1321">
        <v>55.76</v>
      </c>
      <c r="BC120" s="1321">
        <v>55.76</v>
      </c>
      <c r="BD120" s="110"/>
      <c r="BE120" s="110"/>
      <c r="DE120" s="21"/>
      <c r="DF120" s="21"/>
      <c r="DG120" s="2538">
        <f t="shared" si="114"/>
        <v>1.7035796881872542</v>
      </c>
      <c r="DH120" s="1580" t="str">
        <f t="shared" si="115"/>
        <v>Lighting BUS 15 Year EUL</v>
      </c>
      <c r="DI120" s="2509">
        <f>(INDEX('Avoided Cost Benefits'!$E$4:$E$859,MATCH(DH120,'Avoided Cost Benefits'!$A$4:$A$859,0)))*F120</f>
        <v>89.657011244286252</v>
      </c>
      <c r="DJ120" s="1582">
        <f t="shared" si="116"/>
        <v>52.628598395469552</v>
      </c>
    </row>
    <row r="121" spans="2:114" s="34" customFormat="1" x14ac:dyDescent="0.35">
      <c r="C121" s="1983" t="s">
        <v>2546</v>
      </c>
      <c r="D121" s="1087" t="s">
        <v>2485</v>
      </c>
      <c r="E121" s="1105" t="s">
        <v>2547</v>
      </c>
      <c r="F121" s="122">
        <f t="shared" si="117"/>
        <v>186.3</v>
      </c>
      <c r="G121" s="1087" t="s">
        <v>54</v>
      </c>
      <c r="H121" s="1088">
        <f>VLOOKUP(G121,'CP FACTORS'!$A$26:$B$38,2,FALSE)</f>
        <v>1.899635E-4</v>
      </c>
      <c r="I121" s="3262">
        <f t="shared" si="118"/>
        <v>3.6523E-2</v>
      </c>
      <c r="J121" s="51">
        <f>L68</f>
        <v>15</v>
      </c>
      <c r="K121" s="1107">
        <v>55.76</v>
      </c>
      <c r="L121" s="1089" t="s">
        <v>184</v>
      </c>
      <c r="M121" s="350"/>
      <c r="N121" s="350"/>
      <c r="O121" s="350"/>
      <c r="P121" s="350"/>
      <c r="Q121" s="350"/>
      <c r="R121" s="350"/>
      <c r="S121" s="350"/>
      <c r="T121" s="350"/>
      <c r="U121" s="350"/>
      <c r="V121" s="2419" t="s">
        <v>30</v>
      </c>
      <c r="W121" s="110"/>
      <c r="X121" s="110"/>
      <c r="Y121" s="110"/>
      <c r="Z121" s="110"/>
      <c r="AA121" s="122"/>
      <c r="AB121" s="110">
        <v>81.090816470619487</v>
      </c>
      <c r="AC121" s="1798">
        <v>70.923093696000009</v>
      </c>
      <c r="AD121" s="122">
        <v>186.3</v>
      </c>
      <c r="AE121" s="110"/>
      <c r="AF121" s="110"/>
      <c r="AG121" s="110"/>
      <c r="AH121" s="21"/>
      <c r="AI121" s="2419" t="s">
        <v>180</v>
      </c>
      <c r="AJ121" s="1576"/>
      <c r="AK121" s="1576"/>
      <c r="AL121" s="1576"/>
      <c r="AM121" s="110"/>
      <c r="AN121" s="1568"/>
      <c r="AO121" s="1958">
        <v>15</v>
      </c>
      <c r="AP121" s="1516">
        <v>15</v>
      </c>
      <c r="AQ121" s="110">
        <v>15</v>
      </c>
      <c r="AR121" s="110"/>
      <c r="AS121" s="110"/>
      <c r="AT121" s="21"/>
      <c r="AU121" s="2419" t="s">
        <v>169</v>
      </c>
      <c r="AV121" s="1577"/>
      <c r="AW121" s="1577"/>
      <c r="AX121" s="1577"/>
      <c r="AY121" s="1571"/>
      <c r="AZ121" s="1571"/>
      <c r="BA121" s="1929">
        <v>55.76</v>
      </c>
      <c r="BB121" s="1321">
        <v>55.76</v>
      </c>
      <c r="BC121" s="1321">
        <v>55.76</v>
      </c>
      <c r="BD121" s="110"/>
      <c r="BE121" s="110"/>
      <c r="DE121" s="21"/>
      <c r="DF121" s="21"/>
      <c r="DG121" s="2538">
        <f t="shared" si="114"/>
        <v>2.0135572637310335</v>
      </c>
      <c r="DH121" s="1580" t="str">
        <f t="shared" si="115"/>
        <v>Lighting BUS 15 Year EUL</v>
      </c>
      <c r="DI121" s="2509">
        <f>(INDEX('Avoided Cost Benefits'!$E$4:$E$859,MATCH(DH121,'Avoided Cost Benefits'!$A$4:$A$859,0)))*F121</f>
        <v>105.97069657918112</v>
      </c>
      <c r="DJ121" s="1582">
        <f t="shared" si="116"/>
        <v>52.628598395469552</v>
      </c>
    </row>
    <row r="122" spans="2:114" s="34" customFormat="1" x14ac:dyDescent="0.35">
      <c r="C122" s="1983" t="s">
        <v>2548</v>
      </c>
      <c r="D122" s="1087" t="s">
        <v>2485</v>
      </c>
      <c r="E122" s="1105" t="s">
        <v>2549</v>
      </c>
      <c r="F122" s="122">
        <f t="shared" si="117"/>
        <v>331.86</v>
      </c>
      <c r="G122" s="1087" t="s">
        <v>54</v>
      </c>
      <c r="H122" s="1088">
        <f>VLOOKUP(G122,'CP FACTORS'!$A$26:$B$38,2,FALSE)</f>
        <v>1.899635E-4</v>
      </c>
      <c r="I122" s="3262">
        <f t="shared" si="118"/>
        <v>6.5059000000000006E-2</v>
      </c>
      <c r="J122" s="51">
        <f>L68</f>
        <v>15</v>
      </c>
      <c r="K122" s="1107">
        <v>55.76</v>
      </c>
      <c r="L122" s="1089" t="s">
        <v>184</v>
      </c>
      <c r="M122" s="350"/>
      <c r="N122" s="350"/>
      <c r="O122" s="350"/>
      <c r="P122" s="350"/>
      <c r="Q122" s="350"/>
      <c r="R122" s="350"/>
      <c r="S122" s="350"/>
      <c r="T122" s="350"/>
      <c r="U122" s="350"/>
      <c r="V122" s="2419" t="s">
        <v>30</v>
      </c>
      <c r="W122" s="110"/>
      <c r="X122" s="110"/>
      <c r="Y122" s="110"/>
      <c r="Z122" s="110"/>
      <c r="AA122" s="122"/>
      <c r="AB122" s="110">
        <v>82.679046132979281</v>
      </c>
      <c r="AC122" s="1798">
        <v>70.923093696000009</v>
      </c>
      <c r="AD122" s="122">
        <v>331.86</v>
      </c>
      <c r="AE122" s="110"/>
      <c r="AF122" s="110"/>
      <c r="AG122" s="110"/>
      <c r="AH122" s="21"/>
      <c r="AI122" s="2419" t="s">
        <v>180</v>
      </c>
      <c r="AJ122" s="1576"/>
      <c r="AK122" s="1576"/>
      <c r="AL122" s="1576"/>
      <c r="AM122" s="110"/>
      <c r="AN122" s="1568"/>
      <c r="AO122" s="1958">
        <v>15</v>
      </c>
      <c r="AP122" s="1516">
        <v>15</v>
      </c>
      <c r="AQ122" s="110">
        <v>15</v>
      </c>
      <c r="AR122" s="110"/>
      <c r="AS122" s="110"/>
      <c r="AT122" s="21"/>
      <c r="AU122" s="2419" t="s">
        <v>169</v>
      </c>
      <c r="AV122" s="1577"/>
      <c r="AW122" s="1577"/>
      <c r="AX122" s="1577"/>
      <c r="AY122" s="1571"/>
      <c r="AZ122" s="1571"/>
      <c r="BA122" s="1929">
        <v>55.76</v>
      </c>
      <c r="BB122" s="1321">
        <v>55.76</v>
      </c>
      <c r="BC122" s="1321">
        <v>55.76</v>
      </c>
      <c r="BD122" s="110"/>
      <c r="BE122" s="110"/>
      <c r="DE122" s="21"/>
      <c r="DF122" s="21"/>
      <c r="DG122" s="2538">
        <f t="shared" si="114"/>
        <v>3.5867907329134767</v>
      </c>
      <c r="DH122" s="1580" t="str">
        <f t="shared" si="115"/>
        <v>Lighting BUS 15 Year EUL</v>
      </c>
      <c r="DI122" s="2509">
        <f>(INDEX('Avoided Cost Benefits'!$E$4:$E$859,MATCH(DH122,'Avoided Cost Benefits'!$A$4:$A$859,0)))*F122</f>
        <v>188.76776901109525</v>
      </c>
      <c r="DJ122" s="1582">
        <f t="shared" si="116"/>
        <v>52.628598395469552</v>
      </c>
    </row>
    <row r="123" spans="2:114" s="34" customFormat="1" x14ac:dyDescent="0.35">
      <c r="C123" s="1983" t="s">
        <v>2550</v>
      </c>
      <c r="D123" s="1087" t="s">
        <v>2485</v>
      </c>
      <c r="E123" s="1105" t="s">
        <v>2551</v>
      </c>
      <c r="F123" s="122">
        <f t="shared" si="117"/>
        <v>312.86</v>
      </c>
      <c r="G123" s="1087" t="s">
        <v>54</v>
      </c>
      <c r="H123" s="1088">
        <f>VLOOKUP(G123,'CP FACTORS'!$A$26:$B$38,2,FALSE)</f>
        <v>1.899635E-4</v>
      </c>
      <c r="I123" s="3262">
        <f t="shared" si="118"/>
        <v>6.1334E-2</v>
      </c>
      <c r="J123" s="51">
        <f>L71</f>
        <v>15</v>
      </c>
      <c r="K123" s="1107">
        <v>55.76</v>
      </c>
      <c r="L123" s="1089" t="s">
        <v>184</v>
      </c>
      <c r="M123" s="350"/>
      <c r="N123" s="350"/>
      <c r="O123" s="350"/>
      <c r="P123" s="350"/>
      <c r="Q123" s="350"/>
      <c r="R123" s="350"/>
      <c r="S123" s="350"/>
      <c r="T123" s="350"/>
      <c r="U123" s="350"/>
      <c r="V123" s="2419" t="s">
        <v>30</v>
      </c>
      <c r="W123" s="110"/>
      <c r="X123" s="110"/>
      <c r="Y123" s="110"/>
      <c r="Z123" s="110"/>
      <c r="AA123" s="122"/>
      <c r="AB123" s="110">
        <v>116.29011137881363</v>
      </c>
      <c r="AC123" s="1798">
        <v>79.772158367999992</v>
      </c>
      <c r="AD123" s="122">
        <v>312.86</v>
      </c>
      <c r="AE123" s="110"/>
      <c r="AF123" s="110"/>
      <c r="AG123" s="110"/>
      <c r="AH123" s="21"/>
      <c r="AI123" s="2419" t="s">
        <v>180</v>
      </c>
      <c r="AJ123" s="1576"/>
      <c r="AK123" s="1576"/>
      <c r="AL123" s="1576"/>
      <c r="AM123" s="110"/>
      <c r="AN123" s="1568"/>
      <c r="AO123" s="1958">
        <v>15</v>
      </c>
      <c r="AP123" s="1516">
        <v>15</v>
      </c>
      <c r="AQ123" s="110">
        <v>15</v>
      </c>
      <c r="AR123" s="110"/>
      <c r="AS123" s="110"/>
      <c r="AT123" s="21"/>
      <c r="AU123" s="2419" t="s">
        <v>169</v>
      </c>
      <c r="AV123" s="1577"/>
      <c r="AW123" s="1577"/>
      <c r="AX123" s="1577"/>
      <c r="AY123" s="1571"/>
      <c r="AZ123" s="1571"/>
      <c r="BA123" s="1929">
        <v>55.76</v>
      </c>
      <c r="BB123" s="1321">
        <v>55.76</v>
      </c>
      <c r="BC123" s="1321">
        <v>55.76</v>
      </c>
      <c r="BD123" s="110"/>
      <c r="BE123" s="110"/>
      <c r="DE123" s="21"/>
      <c r="DF123" s="21"/>
      <c r="DG123" s="2538">
        <f t="shared" si="114"/>
        <v>3.3814359931878215</v>
      </c>
      <c r="DH123" s="1580" t="str">
        <f t="shared" si="115"/>
        <v>Lighting BUS 15 Year EUL</v>
      </c>
      <c r="DI123" s="2509">
        <f>(INDEX('Avoided Cost Benefits'!$E$4:$E$859,MATCH(DH123,'Avoided Cost Benefits'!$A$4:$A$859,0)))*F123</f>
        <v>177.96023688546757</v>
      </c>
      <c r="DJ123" s="1582">
        <f t="shared" si="116"/>
        <v>52.628598395469552</v>
      </c>
    </row>
    <row r="124" spans="2:114" s="34" customFormat="1" x14ac:dyDescent="0.35">
      <c r="C124" s="1983" t="s">
        <v>2552</v>
      </c>
      <c r="D124" s="1087" t="s">
        <v>2485</v>
      </c>
      <c r="E124" s="1105" t="s">
        <v>2553</v>
      </c>
      <c r="F124" s="122">
        <f t="shared" si="117"/>
        <v>361.42</v>
      </c>
      <c r="G124" s="1087" t="s">
        <v>54</v>
      </c>
      <c r="H124" s="1088">
        <f>VLOOKUP(G124,'CP FACTORS'!$A$26:$B$38,2,FALSE)</f>
        <v>1.899635E-4</v>
      </c>
      <c r="I124" s="3262">
        <f t="shared" si="118"/>
        <v>7.0854E-2</v>
      </c>
      <c r="J124" s="51">
        <f>L71</f>
        <v>15</v>
      </c>
      <c r="K124" s="1107">
        <v>55.76</v>
      </c>
      <c r="L124" s="1089" t="s">
        <v>184</v>
      </c>
      <c r="M124" s="350"/>
      <c r="N124" s="350"/>
      <c r="O124" s="350"/>
      <c r="P124" s="350"/>
      <c r="Q124" s="350"/>
      <c r="R124" s="350"/>
      <c r="S124" s="350"/>
      <c r="T124" s="350"/>
      <c r="U124" s="350"/>
      <c r="V124" s="2419" t="s">
        <v>30</v>
      </c>
      <c r="W124" s="110"/>
      <c r="X124" s="110"/>
      <c r="Y124" s="110"/>
      <c r="Z124" s="110"/>
      <c r="AA124" s="122"/>
      <c r="AB124" s="110">
        <v>81.895795033523839</v>
      </c>
      <c r="AC124" s="1798">
        <v>79.772158367999992</v>
      </c>
      <c r="AD124" s="122">
        <v>361.42</v>
      </c>
      <c r="AE124" s="110"/>
      <c r="AF124" s="110"/>
      <c r="AG124" s="110"/>
      <c r="AH124" s="21"/>
      <c r="AI124" s="2419" t="s">
        <v>180</v>
      </c>
      <c r="AJ124" s="1576"/>
      <c r="AK124" s="1576"/>
      <c r="AL124" s="1576"/>
      <c r="AM124" s="110"/>
      <c r="AN124" s="1568"/>
      <c r="AO124" s="1958">
        <v>15</v>
      </c>
      <c r="AP124" s="1516">
        <v>15</v>
      </c>
      <c r="AQ124" s="110">
        <v>15</v>
      </c>
      <c r="AR124" s="110"/>
      <c r="AS124" s="110"/>
      <c r="AT124" s="21"/>
      <c r="AU124" s="2419" t="s">
        <v>169</v>
      </c>
      <c r="AV124" s="1577"/>
      <c r="AW124" s="1577"/>
      <c r="AX124" s="1577"/>
      <c r="AY124" s="1571"/>
      <c r="AZ124" s="1571"/>
      <c r="BA124" s="1929">
        <v>55.76</v>
      </c>
      <c r="BB124" s="1321">
        <v>55.76</v>
      </c>
      <c r="BC124" s="1321">
        <v>55.76</v>
      </c>
      <c r="BD124" s="110"/>
      <c r="BE124" s="110"/>
      <c r="DE124" s="21"/>
      <c r="DF124" s="21"/>
      <c r="DG124" s="2538">
        <f t="shared" si="114"/>
        <v>3.9062794753498125</v>
      </c>
      <c r="DH124" s="1580" t="str">
        <f t="shared" si="115"/>
        <v>Lighting BUS 15 Year EUL</v>
      </c>
      <c r="DI124" s="2509">
        <f>(INDEX('Avoided Cost Benefits'!$E$4:$E$859,MATCH(DH124,'Avoided Cost Benefits'!$A$4:$A$859,0)))*F124</f>
        <v>205.58201372865079</v>
      </c>
      <c r="DJ124" s="1582">
        <f t="shared" si="116"/>
        <v>52.628598395469552</v>
      </c>
    </row>
    <row r="125" spans="2:114" s="34" customFormat="1" x14ac:dyDescent="0.35">
      <c r="C125" s="1983" t="s">
        <v>2554</v>
      </c>
      <c r="D125" s="1087" t="s">
        <v>2485</v>
      </c>
      <c r="E125" s="1105" t="s">
        <v>2555</v>
      </c>
      <c r="F125" s="122">
        <f t="shared" si="117"/>
        <v>1054.5999999999999</v>
      </c>
      <c r="G125" s="1087" t="s">
        <v>54</v>
      </c>
      <c r="H125" s="1088">
        <f>VLOOKUP(G125,'CP FACTORS'!$A$26:$B$38,2,FALSE)</f>
        <v>1.899635E-4</v>
      </c>
      <c r="I125" s="3262">
        <f t="shared" si="118"/>
        <v>0.20674600000000001</v>
      </c>
      <c r="J125" s="51">
        <v>15</v>
      </c>
      <c r="K125" s="1107">
        <v>366.72</v>
      </c>
      <c r="L125" s="1089" t="s">
        <v>184</v>
      </c>
      <c r="M125" s="350"/>
      <c r="N125" s="350"/>
      <c r="O125" s="350"/>
      <c r="P125" s="350"/>
      <c r="Q125" s="350"/>
      <c r="R125" s="350"/>
      <c r="S125" s="350"/>
      <c r="T125" s="350"/>
      <c r="U125" s="350"/>
      <c r="V125" s="2419" t="s">
        <v>30</v>
      </c>
      <c r="W125" s="110"/>
      <c r="X125" s="110"/>
      <c r="Y125" s="110"/>
      <c r="Z125" s="110"/>
      <c r="AA125" s="122"/>
      <c r="AB125" s="110">
        <v>1111.1809178299475</v>
      </c>
      <c r="AC125" s="1798">
        <v>1069.5823065899997</v>
      </c>
      <c r="AD125" s="122">
        <v>1054.5999999999999</v>
      </c>
      <c r="AE125" s="110"/>
      <c r="AF125" s="110"/>
      <c r="AG125" s="110"/>
      <c r="AH125" s="21"/>
      <c r="AI125" s="2419" t="s">
        <v>180</v>
      </c>
      <c r="AJ125" s="1576"/>
      <c r="AK125" s="1576"/>
      <c r="AL125" s="1576"/>
      <c r="AM125" s="110"/>
      <c r="AN125" s="1568"/>
      <c r="AO125" s="1958">
        <v>11</v>
      </c>
      <c r="AP125" s="3329">
        <v>15</v>
      </c>
      <c r="AQ125" s="110">
        <v>15</v>
      </c>
      <c r="AR125" s="110"/>
      <c r="AS125" s="110"/>
      <c r="AT125" s="21"/>
      <c r="AU125" s="2419" t="s">
        <v>169</v>
      </c>
      <c r="AV125" s="1577"/>
      <c r="AW125" s="1577"/>
      <c r="AX125" s="1577"/>
      <c r="AY125" s="1571"/>
      <c r="AZ125" s="1571"/>
      <c r="BA125" s="1929">
        <v>366.72</v>
      </c>
      <c r="BB125" s="1321">
        <v>366.72</v>
      </c>
      <c r="BC125" s="1321">
        <v>366.72</v>
      </c>
      <c r="BD125" s="110"/>
      <c r="BE125" s="110"/>
      <c r="DE125" s="21"/>
      <c r="DF125" s="21"/>
      <c r="DG125" s="2538">
        <f t="shared" si="114"/>
        <v>1.7331137438542457</v>
      </c>
      <c r="DH125" s="1580" t="str">
        <f t="shared" si="115"/>
        <v>Lighting BUS 15 Year EUL</v>
      </c>
      <c r="DI125" s="2509">
        <f>(INDEX('Avoided Cost Benefits'!$E$4:$E$859,MATCH(DH125,'Avoided Cost Benefits'!$A$4:$A$859,0)))*F125</f>
        <v>599.87491472036709</v>
      </c>
      <c r="DJ125" s="1582">
        <f t="shared" si="116"/>
        <v>346.12553091080696</v>
      </c>
    </row>
    <row r="126" spans="2:114" s="34" customFormat="1" x14ac:dyDescent="0.35">
      <c r="C126" s="1983" t="s">
        <v>2556</v>
      </c>
      <c r="D126" s="1087" t="s">
        <v>2485</v>
      </c>
      <c r="E126" s="1105" t="s">
        <v>2557</v>
      </c>
      <c r="F126" s="122">
        <f t="shared" si="117"/>
        <v>1054.5999999999999</v>
      </c>
      <c r="G126" s="1087" t="s">
        <v>54</v>
      </c>
      <c r="H126" s="1088">
        <f>VLOOKUP(G126,'CP FACTORS'!$A$26:$B$38,2,FALSE)</f>
        <v>1.899635E-4</v>
      </c>
      <c r="I126" s="3262">
        <f t="shared" si="118"/>
        <v>0.20674600000000001</v>
      </c>
      <c r="J126" s="51">
        <v>15</v>
      </c>
      <c r="K126" s="1107">
        <v>366.72</v>
      </c>
      <c r="L126" s="1089" t="s">
        <v>184</v>
      </c>
      <c r="M126" s="350"/>
      <c r="N126" s="350"/>
      <c r="O126" s="350"/>
      <c r="P126" s="350"/>
      <c r="Q126" s="350"/>
      <c r="R126" s="350"/>
      <c r="S126" s="350"/>
      <c r="T126" s="350"/>
      <c r="U126" s="350"/>
      <c r="V126" s="2419" t="s">
        <v>30</v>
      </c>
      <c r="W126" s="110"/>
      <c r="X126" s="110"/>
      <c r="Y126" s="110"/>
      <c r="Z126" s="110"/>
      <c r="AA126" s="122"/>
      <c r="AB126" s="110">
        <v>1111.1809178299475</v>
      </c>
      <c r="AC126" s="1798">
        <v>1069.5823065899997</v>
      </c>
      <c r="AD126" s="122">
        <v>1054.5999999999999</v>
      </c>
      <c r="AE126" s="110"/>
      <c r="AF126" s="110"/>
      <c r="AG126" s="110"/>
      <c r="AH126" s="21"/>
      <c r="AI126" s="2419" t="s">
        <v>180</v>
      </c>
      <c r="AJ126" s="1576"/>
      <c r="AK126" s="1576"/>
      <c r="AL126" s="1576"/>
      <c r="AM126" s="110"/>
      <c r="AN126" s="1568"/>
      <c r="AO126" s="1958">
        <v>11</v>
      </c>
      <c r="AP126" s="3329">
        <v>15</v>
      </c>
      <c r="AQ126" s="110">
        <v>15</v>
      </c>
      <c r="AR126" s="110"/>
      <c r="AS126" s="110"/>
      <c r="AT126" s="21"/>
      <c r="AU126" s="2419" t="s">
        <v>169</v>
      </c>
      <c r="AV126" s="1577"/>
      <c r="AW126" s="1577"/>
      <c r="AX126" s="1577"/>
      <c r="AY126" s="1571"/>
      <c r="AZ126" s="1571"/>
      <c r="BA126" s="1929">
        <v>366.72</v>
      </c>
      <c r="BB126" s="1321">
        <v>366.72</v>
      </c>
      <c r="BC126" s="1321">
        <v>366.72</v>
      </c>
      <c r="BD126" s="110"/>
      <c r="BE126" s="110"/>
      <c r="DE126" s="21"/>
      <c r="DF126" s="21"/>
      <c r="DG126" s="2538">
        <f t="shared" si="114"/>
        <v>1.7331137438542457</v>
      </c>
      <c r="DH126" s="1580" t="str">
        <f t="shared" si="115"/>
        <v>Lighting BUS 15 Year EUL</v>
      </c>
      <c r="DI126" s="2509">
        <f>(INDEX('Avoided Cost Benefits'!$E$4:$E$859,MATCH(DH126,'Avoided Cost Benefits'!$A$4:$A$859,0)))*F126</f>
        <v>599.87491472036709</v>
      </c>
      <c r="DJ126" s="1582">
        <f t="shared" si="116"/>
        <v>346.12553091080696</v>
      </c>
    </row>
    <row r="127" spans="2:114" s="34" customFormat="1" x14ac:dyDescent="0.35">
      <c r="C127" s="3323" t="s">
        <v>4452</v>
      </c>
      <c r="D127" s="3324" t="s">
        <v>2485</v>
      </c>
      <c r="E127" s="3325" t="s">
        <v>4453</v>
      </c>
      <c r="F127" s="122">
        <f t="shared" si="117"/>
        <v>90833.22</v>
      </c>
      <c r="G127" s="3324" t="s">
        <v>54</v>
      </c>
      <c r="H127" s="3326">
        <f>VLOOKUP(G127,'CP FACTORS'!$A$26:$B$38,2,FALSE)</f>
        <v>1.899635E-4</v>
      </c>
      <c r="I127" s="3262">
        <f t="shared" si="118"/>
        <v>17.807155999999999</v>
      </c>
      <c r="J127" s="1568">
        <v>15</v>
      </c>
      <c r="K127" s="3327">
        <v>10000</v>
      </c>
      <c r="L127" s="3328" t="s">
        <v>4118</v>
      </c>
      <c r="M127" s="350"/>
      <c r="N127" s="350"/>
      <c r="O127" s="350"/>
      <c r="P127" s="350"/>
      <c r="Q127" s="350"/>
      <c r="R127" s="350"/>
      <c r="S127" s="350"/>
      <c r="T127" s="350"/>
      <c r="U127" s="350"/>
      <c r="V127" s="83" t="s">
        <v>30</v>
      </c>
      <c r="W127" s="2448"/>
      <c r="X127" s="2448"/>
      <c r="Y127" s="2448"/>
      <c r="Z127" s="2448"/>
      <c r="AA127" s="2448"/>
      <c r="AB127" s="2448"/>
      <c r="AC127" s="2448"/>
      <c r="AD127" s="122">
        <v>90833.22</v>
      </c>
      <c r="AE127" s="110"/>
      <c r="AF127" s="110"/>
      <c r="AG127" s="110"/>
      <c r="AH127" s="21"/>
      <c r="AI127" s="83" t="s">
        <v>180</v>
      </c>
      <c r="AJ127" s="2448"/>
      <c r="AK127" s="2448"/>
      <c r="AL127" s="2448"/>
      <c r="AM127" s="2448"/>
      <c r="AN127" s="2448"/>
      <c r="AO127" s="2448"/>
      <c r="AP127" s="2448"/>
      <c r="AQ127" s="1575">
        <v>15</v>
      </c>
      <c r="AR127" s="110"/>
      <c r="AS127" s="110"/>
      <c r="AT127" s="21"/>
      <c r="AU127" s="83" t="s">
        <v>169</v>
      </c>
      <c r="AV127" s="2448"/>
      <c r="AW127" s="2448"/>
      <c r="AX127" s="2448"/>
      <c r="AY127" s="2448"/>
      <c r="AZ127" s="2448"/>
      <c r="BA127" s="2448"/>
      <c r="BB127" s="2448"/>
      <c r="BC127" s="1929">
        <v>10000</v>
      </c>
      <c r="BD127" s="110"/>
      <c r="BE127" s="110"/>
      <c r="DE127" s="21"/>
      <c r="DF127" s="21"/>
      <c r="DG127" s="2538">
        <f t="shared" ref="DG127" si="119">(DI127)/(DJ127)</f>
        <v>5.4741740965581549</v>
      </c>
      <c r="DH127" s="2505" t="str">
        <f t="shared" ref="DH127" si="120">CONCATENATE(G127," ",J127," Year EUL")</f>
        <v>Lighting BUS 15 Year EUL</v>
      </c>
      <c r="DI127" s="2509">
        <f>(INDEX('Avoided Cost Benefits'!$E$4:$E$859,MATCH(DH127,'Avoided Cost Benefits'!$A$4:$A$859,0)))*F127</f>
        <v>51667.523327589945</v>
      </c>
      <c r="DJ127" s="2509">
        <f t="shared" ref="DJ127" si="121">K127/(1.0595^(2020-2019))</f>
        <v>9438.4143463898054</v>
      </c>
    </row>
    <row r="128" spans="2:114" s="34" customFormat="1" hidden="1" outlineLevel="1" x14ac:dyDescent="0.35">
      <c r="C128"/>
      <c r="D128"/>
      <c r="E128"/>
      <c r="F128"/>
      <c r="G128" s="1111"/>
      <c r="H128" s="1112"/>
      <c r="I128" s="1111"/>
      <c r="J128" s="1111"/>
      <c r="K128" s="350"/>
      <c r="L128" s="132"/>
      <c r="M128" s="350"/>
      <c r="N128" s="350"/>
      <c r="O128" s="350"/>
      <c r="P128" s="350"/>
      <c r="Q128" s="350"/>
      <c r="R128" s="350"/>
      <c r="S128" s="350"/>
      <c r="T128" s="350"/>
      <c r="U128" s="350"/>
      <c r="DE128" s="21"/>
      <c r="DF128" s="21"/>
    </row>
    <row r="129" spans="3:112" s="34" customFormat="1" hidden="1" outlineLevel="1" x14ac:dyDescent="0.35">
      <c r="C129"/>
      <c r="D129" s="33" t="s">
        <v>2528</v>
      </c>
      <c r="L129" s="132"/>
      <c r="M129" s="350"/>
      <c r="N129" s="350"/>
      <c r="O129" s="350"/>
      <c r="P129" s="350"/>
      <c r="Q129" s="350"/>
      <c r="R129" s="350"/>
      <c r="S129" s="350"/>
      <c r="T129" s="350"/>
      <c r="U129" s="350"/>
      <c r="DE129" s="21"/>
      <c r="DF129" s="21"/>
      <c r="DG129" s="59"/>
    </row>
    <row r="130" spans="3:112" s="34" customFormat="1" hidden="1" outlineLevel="1" x14ac:dyDescent="0.35">
      <c r="C130"/>
      <c r="N130" s="350"/>
      <c r="O130" s="350"/>
      <c r="P130" s="350"/>
      <c r="Q130" s="350"/>
      <c r="R130" s="350"/>
      <c r="S130" s="350"/>
      <c r="T130" s="350"/>
      <c r="U130" s="350"/>
      <c r="DE130" s="21"/>
      <c r="DF130" s="21"/>
      <c r="DG130" s="59"/>
    </row>
    <row r="131" spans="3:112" s="34" customFormat="1" hidden="1" outlineLevel="1" x14ac:dyDescent="0.35">
      <c r="C131"/>
      <c r="N131" s="350"/>
      <c r="O131" s="350"/>
      <c r="P131" s="350"/>
      <c r="Q131" s="350"/>
      <c r="R131" s="350"/>
      <c r="S131" s="350"/>
      <c r="T131" s="350"/>
      <c r="U131" s="350"/>
      <c r="DE131" s="21"/>
      <c r="DF131" s="21"/>
      <c r="DG131" s="59"/>
    </row>
    <row r="132" spans="3:112" s="34" customFormat="1" hidden="1" outlineLevel="1" x14ac:dyDescent="0.35">
      <c r="C132"/>
      <c r="D132"/>
      <c r="E132"/>
      <c r="F132"/>
      <c r="G132" s="1111"/>
      <c r="H132" s="1112"/>
      <c r="I132" s="1111"/>
      <c r="J132" s="1111"/>
      <c r="N132" s="350"/>
      <c r="O132" s="350"/>
      <c r="P132" s="350"/>
      <c r="Q132" s="350"/>
      <c r="R132" s="350"/>
      <c r="S132" s="350"/>
      <c r="T132" s="350"/>
      <c r="U132" s="350"/>
      <c r="DE132" s="21"/>
      <c r="DF132" s="21"/>
      <c r="DG132" s="59"/>
    </row>
    <row r="133" spans="3:112" s="34" customFormat="1" hidden="1" outlineLevel="1" x14ac:dyDescent="0.35">
      <c r="C133"/>
      <c r="D133"/>
      <c r="E133"/>
      <c r="F133"/>
      <c r="G133" s="1111"/>
      <c r="H133" s="1112"/>
      <c r="I133" s="1111"/>
      <c r="J133" s="1111"/>
      <c r="K133" s="350"/>
      <c r="L133" s="132"/>
      <c r="M133" s="350"/>
      <c r="N133" s="350"/>
      <c r="O133" s="350"/>
      <c r="P133" s="350"/>
      <c r="Q133" s="350"/>
      <c r="R133" s="350"/>
      <c r="S133" s="350"/>
      <c r="T133" s="350"/>
      <c r="U133" s="350"/>
      <c r="DE133" s="21"/>
      <c r="DF133" s="21"/>
      <c r="DG133" s="59"/>
    </row>
    <row r="134" spans="3:112" s="34" customFormat="1" hidden="1" outlineLevel="1" x14ac:dyDescent="0.35">
      <c r="C134"/>
      <c r="D134"/>
      <c r="E134"/>
      <c r="F134"/>
      <c r="G134" s="1111"/>
      <c r="H134" s="1112"/>
      <c r="I134" s="1111"/>
      <c r="J134" s="1111"/>
      <c r="K134" s="1111"/>
      <c r="L134" s="350"/>
      <c r="M134" s="132"/>
      <c r="N134" s="350"/>
      <c r="O134" s="350"/>
      <c r="P134" s="350"/>
      <c r="Q134" s="350"/>
      <c r="R134" s="350"/>
      <c r="S134" s="350"/>
      <c r="T134" s="350"/>
      <c r="U134" s="350"/>
      <c r="DE134" s="21"/>
      <c r="DF134" s="21"/>
      <c r="DH134" s="59"/>
    </row>
    <row r="135" spans="3:112" s="34" customFormat="1" hidden="1" outlineLevel="1" x14ac:dyDescent="0.35">
      <c r="C135" s="132"/>
      <c r="M135"/>
      <c r="P135" s="350"/>
      <c r="Q135" s="350"/>
      <c r="R135" s="350"/>
      <c r="S135" s="350"/>
      <c r="T135" s="350"/>
      <c r="U135" s="350"/>
      <c r="DE135" s="21"/>
      <c r="DF135" s="21"/>
      <c r="DH135" s="59"/>
    </row>
    <row r="136" spans="3:112" s="34" customFormat="1" hidden="1" outlineLevel="1" x14ac:dyDescent="0.35">
      <c r="C136" s="132"/>
      <c r="M136"/>
      <c r="P136" s="350"/>
      <c r="Q136" s="350"/>
      <c r="R136" s="350"/>
      <c r="S136" s="350"/>
      <c r="T136" s="350"/>
      <c r="U136" s="350"/>
      <c r="V136" s="1572" t="s">
        <v>44</v>
      </c>
      <c r="W136" s="1573">
        <f>$W$8</f>
        <v>43252</v>
      </c>
      <c r="X136" s="1573">
        <f>$X$8</f>
        <v>43465</v>
      </c>
      <c r="Y136" s="1573">
        <f>$Y$8</f>
        <v>43800</v>
      </c>
      <c r="Z136" s="1573">
        <f>$Z$8</f>
        <v>43862</v>
      </c>
      <c r="AA136" s="1573">
        <f>$AA$8</f>
        <v>44013</v>
      </c>
      <c r="AB136" s="1573">
        <v>44166</v>
      </c>
      <c r="AC136" s="1573">
        <f>$AC$8</f>
        <v>44531</v>
      </c>
      <c r="AD136" s="1573">
        <f>$AD$8</f>
        <v>44774</v>
      </c>
      <c r="AE136" s="1573" t="str">
        <f>$AE$8</f>
        <v>-</v>
      </c>
      <c r="AF136" s="1573" t="str">
        <f>$AF$8</f>
        <v>-</v>
      </c>
      <c r="AG136" s="1573" t="str">
        <f>$AG$8</f>
        <v>-</v>
      </c>
      <c r="AH136" s="21"/>
      <c r="AI136" s="1572" t="s">
        <v>44</v>
      </c>
      <c r="AJ136" s="1573">
        <f>W136</f>
        <v>43252</v>
      </c>
      <c r="AK136" s="1573">
        <f t="shared" ref="AK136" si="122">X136</f>
        <v>43465</v>
      </c>
      <c r="AL136" s="1573">
        <f t="shared" ref="AL136" si="123">Y136</f>
        <v>43800</v>
      </c>
      <c r="AM136" s="1573">
        <f t="shared" ref="AM136" si="124">Z136</f>
        <v>43862</v>
      </c>
      <c r="AN136" s="1573">
        <f t="shared" ref="AN136" si="125">AA136</f>
        <v>44013</v>
      </c>
      <c r="AO136" s="1573">
        <f t="shared" ref="AO136" si="126">AB136</f>
        <v>44166</v>
      </c>
      <c r="AP136" s="1573">
        <f t="shared" ref="AP136" si="127">AC136</f>
        <v>44531</v>
      </c>
      <c r="AQ136" s="1573">
        <f t="shared" ref="AQ136" si="128">AD136</f>
        <v>44774</v>
      </c>
      <c r="AR136" s="1573" t="str">
        <f t="shared" ref="AR136" si="129">AE136</f>
        <v>-</v>
      </c>
      <c r="AS136" s="1573" t="str">
        <f t="shared" ref="AS136" si="130">AF136</f>
        <v>-</v>
      </c>
      <c r="AT136" s="21"/>
      <c r="AU136" s="1572" t="s">
        <v>44</v>
      </c>
      <c r="AV136" s="1573">
        <f>W136</f>
        <v>43252</v>
      </c>
      <c r="AW136" s="1573">
        <f t="shared" ref="AW136" si="131">X136</f>
        <v>43465</v>
      </c>
      <c r="AX136" s="1573">
        <f t="shared" ref="AX136" si="132">Y136</f>
        <v>43800</v>
      </c>
      <c r="AY136" s="1573">
        <f t="shared" ref="AY136" si="133">Z136</f>
        <v>43862</v>
      </c>
      <c r="AZ136" s="1573">
        <f t="shared" ref="AZ136" si="134">AA136</f>
        <v>44013</v>
      </c>
      <c r="BA136" s="1573">
        <v>44166</v>
      </c>
      <c r="BB136" s="1573">
        <f t="shared" ref="BB136" si="135">AC136</f>
        <v>44531</v>
      </c>
      <c r="BC136" s="1573">
        <f t="shared" ref="BC136" si="136">AD136</f>
        <v>44774</v>
      </c>
      <c r="BD136" s="1573" t="str">
        <f t="shared" ref="BD136" si="137">AE136</f>
        <v>-</v>
      </c>
      <c r="BE136" s="1573" t="str">
        <f t="shared" ref="BE136" si="138">AF136</f>
        <v>-</v>
      </c>
      <c r="BF136" s="21"/>
      <c r="BG136" s="1572" t="s">
        <v>44</v>
      </c>
      <c r="BH136" s="1573">
        <f>$W$8</f>
        <v>43252</v>
      </c>
      <c r="BI136" s="1573">
        <f>$X$8</f>
        <v>43465</v>
      </c>
      <c r="BJ136" s="1573">
        <f>$Y$8</f>
        <v>43800</v>
      </c>
      <c r="BK136" s="1573">
        <f>$Z$8</f>
        <v>43862</v>
      </c>
      <c r="BL136" s="1573">
        <f>$AA$8</f>
        <v>44013</v>
      </c>
      <c r="BM136" s="1573">
        <v>44166</v>
      </c>
      <c r="BN136" s="1573">
        <f>$AC$8</f>
        <v>44531</v>
      </c>
      <c r="BO136" s="1573">
        <f>$AD$8</f>
        <v>44774</v>
      </c>
      <c r="BP136" s="1573" t="str">
        <f>$AE$8</f>
        <v>-</v>
      </c>
      <c r="BQ136" s="1573" t="str">
        <f>$AF$8</f>
        <v>-</v>
      </c>
      <c r="BS136" s="3342" t="s">
        <v>44</v>
      </c>
      <c r="BT136" s="3331">
        <f>$W$8</f>
        <v>43252</v>
      </c>
      <c r="BU136" s="3331">
        <f>$X$8</f>
        <v>43465</v>
      </c>
      <c r="BV136" s="3331">
        <f>$Y$8</f>
        <v>43800</v>
      </c>
      <c r="BW136" s="3331">
        <f>$Z$8</f>
        <v>43862</v>
      </c>
      <c r="BX136" s="3331">
        <f>$AA$8</f>
        <v>44013</v>
      </c>
      <c r="BY136" s="3331">
        <v>44166</v>
      </c>
      <c r="BZ136" s="3331">
        <f>$AC$8</f>
        <v>44531</v>
      </c>
      <c r="CA136" s="3331">
        <f>$AD$8</f>
        <v>44774</v>
      </c>
      <c r="CB136" s="3331" t="str">
        <f>$AE$8</f>
        <v>-</v>
      </c>
      <c r="CC136" s="3331" t="str">
        <f>$AF$8</f>
        <v>-</v>
      </c>
      <c r="CD136" s="3331" t="str">
        <f>$AG$8</f>
        <v>-</v>
      </c>
      <c r="DE136" s="21"/>
      <c r="DF136" s="21"/>
      <c r="DH136" s="59"/>
    </row>
    <row r="137" spans="3:112" s="34" customFormat="1" hidden="1" outlineLevel="1" x14ac:dyDescent="0.35">
      <c r="C137" s="132"/>
      <c r="D137" s="35" t="s">
        <v>27</v>
      </c>
      <c r="E137" s="2399" t="s">
        <v>110</v>
      </c>
      <c r="F137" s="2399" t="s">
        <v>2529</v>
      </c>
      <c r="G137" s="2399" t="s">
        <v>2530</v>
      </c>
      <c r="H137" s="36" t="s">
        <v>2531</v>
      </c>
      <c r="I137" s="2399" t="s">
        <v>2539</v>
      </c>
      <c r="J137" s="1689" t="s">
        <v>2532</v>
      </c>
      <c r="K137" s="3322" t="s">
        <v>4451</v>
      </c>
      <c r="L137" s="2399" t="s">
        <v>132</v>
      </c>
      <c r="M137"/>
      <c r="P137" s="350"/>
      <c r="Q137" s="350"/>
      <c r="R137" s="350"/>
      <c r="S137" s="350"/>
      <c r="T137" s="350"/>
      <c r="U137" s="350"/>
      <c r="V137" s="2479" t="s">
        <v>27</v>
      </c>
      <c r="W137" s="44" t="s">
        <v>2529</v>
      </c>
      <c r="X137" s="44" t="s">
        <v>2529</v>
      </c>
      <c r="Y137" s="44" t="s">
        <v>2529</v>
      </c>
      <c r="Z137" s="44" t="s">
        <v>2529</v>
      </c>
      <c r="AA137" s="44" t="s">
        <v>2529</v>
      </c>
      <c r="AB137" s="44" t="s">
        <v>2529</v>
      </c>
      <c r="AC137" s="44" t="s">
        <v>2529</v>
      </c>
      <c r="AD137" s="44" t="s">
        <v>2529</v>
      </c>
      <c r="AE137" s="44" t="s">
        <v>2529</v>
      </c>
      <c r="AF137" s="44" t="s">
        <v>2529</v>
      </c>
      <c r="AG137" s="44" t="s">
        <v>2529</v>
      </c>
      <c r="AI137" s="2479" t="s">
        <v>27</v>
      </c>
      <c r="AJ137" s="44" t="str">
        <f t="shared" ref="AJ137:AS137" si="139">$G$110</f>
        <v>Hours</v>
      </c>
      <c r="AK137" s="44" t="str">
        <f t="shared" si="139"/>
        <v>Hours</v>
      </c>
      <c r="AL137" s="44" t="str">
        <f t="shared" si="139"/>
        <v>Hours</v>
      </c>
      <c r="AM137" s="44" t="str">
        <f t="shared" si="139"/>
        <v>Hours</v>
      </c>
      <c r="AN137" s="44" t="str">
        <f t="shared" si="139"/>
        <v>Hours</v>
      </c>
      <c r="AO137" s="44" t="str">
        <f t="shared" si="139"/>
        <v>Hours</v>
      </c>
      <c r="AP137" s="44" t="str">
        <f t="shared" si="139"/>
        <v>Hours</v>
      </c>
      <c r="AQ137" s="44" t="str">
        <f t="shared" si="139"/>
        <v>Hours</v>
      </c>
      <c r="AR137" s="44" t="str">
        <f t="shared" si="139"/>
        <v>Hours</v>
      </c>
      <c r="AS137" s="44" t="str">
        <f t="shared" si="139"/>
        <v>Hours</v>
      </c>
      <c r="AU137" s="2479" t="s">
        <v>27</v>
      </c>
      <c r="AV137" s="45" t="str">
        <f t="shared" ref="AV137:BE137" si="140">$H$110</f>
        <v>ESF</v>
      </c>
      <c r="AW137" s="45" t="str">
        <f t="shared" si="140"/>
        <v>ESF</v>
      </c>
      <c r="AX137" s="45" t="str">
        <f t="shared" si="140"/>
        <v>ESF</v>
      </c>
      <c r="AY137" s="45" t="str">
        <f t="shared" si="140"/>
        <v>ESF</v>
      </c>
      <c r="AZ137" s="45" t="str">
        <f t="shared" si="140"/>
        <v>ESF</v>
      </c>
      <c r="BA137" s="45" t="s">
        <v>2539</v>
      </c>
      <c r="BB137" s="45" t="str">
        <f t="shared" si="140"/>
        <v>ESF</v>
      </c>
      <c r="BC137" s="45" t="str">
        <f t="shared" si="140"/>
        <v>ESF</v>
      </c>
      <c r="BD137" s="45" t="str">
        <f t="shared" si="140"/>
        <v>ESF</v>
      </c>
      <c r="BE137" s="45" t="str">
        <f t="shared" si="140"/>
        <v>ESF</v>
      </c>
      <c r="BG137" s="2479" t="s">
        <v>27</v>
      </c>
      <c r="BH137" s="45" t="str">
        <f>$I$110</f>
        <v>WHFe + -IFkWh</v>
      </c>
      <c r="BI137" s="45" t="str">
        <f t="shared" ref="BI137:BQ137" si="141">$I$110</f>
        <v>WHFe + -IFkWh</v>
      </c>
      <c r="BJ137" s="45" t="str">
        <f t="shared" si="141"/>
        <v>WHFe + -IFkWh</v>
      </c>
      <c r="BK137" s="45" t="str">
        <f t="shared" si="141"/>
        <v>WHFe + -IFkWh</v>
      </c>
      <c r="BL137" s="45" t="str">
        <f t="shared" si="141"/>
        <v>WHFe + -IFkWh</v>
      </c>
      <c r="BM137" s="45" t="s">
        <v>2532</v>
      </c>
      <c r="BN137" s="45" t="str">
        <f t="shared" si="141"/>
        <v>WHFe + -IFkWh</v>
      </c>
      <c r="BO137" s="45" t="str">
        <f t="shared" si="141"/>
        <v>WHFe + -IFkWh</v>
      </c>
      <c r="BP137" s="45" t="str">
        <f t="shared" si="141"/>
        <v>WHFe + -IFkWh</v>
      </c>
      <c r="BQ137" s="45" t="str">
        <f t="shared" si="141"/>
        <v>WHFe + -IFkWh</v>
      </c>
      <c r="BS137" s="3587" t="s">
        <v>27</v>
      </c>
      <c r="BT137" s="3332" t="s">
        <v>4451</v>
      </c>
      <c r="BU137" s="3332" t="s">
        <v>4451</v>
      </c>
      <c r="BV137" s="3332" t="s">
        <v>4451</v>
      </c>
      <c r="BW137" s="3332" t="s">
        <v>4451</v>
      </c>
      <c r="BX137" s="3332" t="s">
        <v>4451</v>
      </c>
      <c r="BY137" s="3332" t="s">
        <v>4451</v>
      </c>
      <c r="BZ137" s="3332" t="s">
        <v>4451</v>
      </c>
      <c r="CA137" s="3332" t="s">
        <v>4451</v>
      </c>
      <c r="CB137" s="3332" t="s">
        <v>4451</v>
      </c>
      <c r="CC137" s="3332" t="s">
        <v>4451</v>
      </c>
      <c r="CD137" s="3332" t="s">
        <v>4451</v>
      </c>
      <c r="DE137" s="21"/>
      <c r="DF137" s="21"/>
      <c r="DH137" s="59"/>
    </row>
    <row r="138" spans="3:112" s="34" customFormat="1" hidden="1" outlineLevel="1" x14ac:dyDescent="0.35">
      <c r="C138"/>
      <c r="D138" s="1593" t="str">
        <f t="shared" ref="D138:D145" si="142">C119</f>
        <v>801225_2020_12_</v>
      </c>
      <c r="E138" s="1105" t="s">
        <v>2543</v>
      </c>
      <c r="F138" s="46">
        <v>60</v>
      </c>
      <c r="G138" s="46">
        <v>28</v>
      </c>
      <c r="H138" s="3316">
        <v>3855</v>
      </c>
      <c r="I138" s="1109">
        <v>0.24</v>
      </c>
      <c r="J138" s="3269">
        <v>1.056</v>
      </c>
      <c r="K138" s="3269">
        <v>1.032</v>
      </c>
      <c r="L138" s="46">
        <v>1</v>
      </c>
      <c r="M138" s="132"/>
      <c r="P138" s="350"/>
      <c r="Q138" s="350"/>
      <c r="R138" s="350"/>
      <c r="S138" s="350"/>
      <c r="T138" s="350"/>
      <c r="U138" s="350"/>
      <c r="V138" s="1593" t="s">
        <v>2542</v>
      </c>
      <c r="W138" s="141"/>
      <c r="X138" s="141"/>
      <c r="Y138" s="141"/>
      <c r="Z138" s="141"/>
      <c r="AA138" s="1924">
        <v>0.13</v>
      </c>
      <c r="AB138" s="1575">
        <v>60</v>
      </c>
      <c r="AC138" s="1798">
        <v>60</v>
      </c>
      <c r="AD138" s="3338">
        <v>60</v>
      </c>
      <c r="AE138" s="141"/>
      <c r="AF138" s="141"/>
      <c r="AG138" s="141"/>
      <c r="AI138" s="1593" t="s">
        <v>2542</v>
      </c>
      <c r="AJ138" s="110"/>
      <c r="AK138" s="110"/>
      <c r="AL138" s="141"/>
      <c r="AM138" s="141"/>
      <c r="AN138" s="785">
        <v>3351</v>
      </c>
      <c r="AO138" s="2135">
        <v>4551.3067953357458</v>
      </c>
      <c r="AP138" s="2135">
        <v>4281</v>
      </c>
      <c r="AQ138" s="3340">
        <v>3855</v>
      </c>
      <c r="AR138" s="141"/>
      <c r="AS138" s="141"/>
      <c r="AU138" s="1593" t="s">
        <v>2542</v>
      </c>
      <c r="AV138" s="110"/>
      <c r="AW138" s="110"/>
      <c r="AX138" s="141"/>
      <c r="AY138" s="141"/>
      <c r="AZ138" s="1589">
        <v>0.24</v>
      </c>
      <c r="BA138" s="1974">
        <v>0.24</v>
      </c>
      <c r="BB138" s="1974">
        <v>0.24</v>
      </c>
      <c r="BC138" s="1974">
        <v>0.24</v>
      </c>
      <c r="BD138" s="1974"/>
      <c r="BE138" s="141"/>
      <c r="BG138" s="1593" t="s">
        <v>2542</v>
      </c>
      <c r="BH138" s="110"/>
      <c r="BI138" s="110"/>
      <c r="BJ138" s="110"/>
      <c r="BK138" s="141"/>
      <c r="BL138" s="1589">
        <v>1.07</v>
      </c>
      <c r="BM138" s="1516">
        <v>1.071</v>
      </c>
      <c r="BN138" s="1516">
        <v>1.071</v>
      </c>
      <c r="BO138" s="3337">
        <v>1.056</v>
      </c>
      <c r="BP138" s="141"/>
      <c r="BQ138" s="141"/>
      <c r="BS138" s="3588" t="s">
        <v>2542</v>
      </c>
      <c r="BT138" s="2448"/>
      <c r="BU138" s="2448"/>
      <c r="BV138" s="2448"/>
      <c r="BW138" s="2448"/>
      <c r="BX138" s="2448"/>
      <c r="BY138" s="2448"/>
      <c r="BZ138" s="2448"/>
      <c r="CA138" s="3337">
        <v>1.032</v>
      </c>
      <c r="CB138" s="1589"/>
      <c r="CC138" s="1589"/>
      <c r="CD138" s="1589"/>
      <c r="DE138" s="21"/>
      <c r="DF138" s="21"/>
      <c r="DH138" s="59"/>
    </row>
    <row r="139" spans="3:112" s="34" customFormat="1" hidden="1" outlineLevel="1" x14ac:dyDescent="0.35">
      <c r="C139"/>
      <c r="D139" s="1593" t="str">
        <f t="shared" si="142"/>
        <v>801227_2020_12_</v>
      </c>
      <c r="E139" s="1105" t="s">
        <v>2545</v>
      </c>
      <c r="F139" s="46">
        <v>60</v>
      </c>
      <c r="G139" s="46">
        <v>28</v>
      </c>
      <c r="H139" s="3316">
        <v>3855</v>
      </c>
      <c r="I139" s="1109">
        <v>0.24</v>
      </c>
      <c r="J139" s="3269">
        <v>1.056</v>
      </c>
      <c r="K139" s="3269">
        <v>1.032</v>
      </c>
      <c r="L139" s="46">
        <v>1</v>
      </c>
      <c r="M139" s="132"/>
      <c r="P139" s="350"/>
      <c r="Q139" s="350"/>
      <c r="R139" s="350"/>
      <c r="S139" s="350"/>
      <c r="T139" s="350"/>
      <c r="U139" s="350"/>
      <c r="V139" s="1593" t="s">
        <v>2544</v>
      </c>
      <c r="W139" s="141"/>
      <c r="X139" s="141"/>
      <c r="Y139" s="141"/>
      <c r="Z139" s="141"/>
      <c r="AA139" s="1924">
        <v>0.33800000000000002</v>
      </c>
      <c r="AB139" s="1575">
        <v>60</v>
      </c>
      <c r="AC139" s="1798">
        <v>60</v>
      </c>
      <c r="AD139" s="3338">
        <v>60</v>
      </c>
      <c r="AE139" s="141"/>
      <c r="AF139" s="141"/>
      <c r="AG139" s="141"/>
      <c r="AH139" s="21"/>
      <c r="AI139" s="1593" t="s">
        <v>2544</v>
      </c>
      <c r="AJ139" s="110"/>
      <c r="AK139" s="110"/>
      <c r="AL139" s="141"/>
      <c r="AM139" s="141"/>
      <c r="AN139" s="785">
        <v>3351</v>
      </c>
      <c r="AO139" s="2135">
        <v>4551.3067953357458</v>
      </c>
      <c r="AP139" s="2135">
        <v>4281</v>
      </c>
      <c r="AQ139" s="3340">
        <v>3855</v>
      </c>
      <c r="AR139" s="141"/>
      <c r="AS139" s="141"/>
      <c r="AT139" s="21"/>
      <c r="AU139" s="1593" t="s">
        <v>2544</v>
      </c>
      <c r="AV139" s="110"/>
      <c r="AW139" s="110"/>
      <c r="AX139" s="141"/>
      <c r="AY139" s="141"/>
      <c r="AZ139" s="1589">
        <v>0.24</v>
      </c>
      <c r="BA139" s="1974">
        <v>0.24</v>
      </c>
      <c r="BB139" s="1974">
        <v>0.24</v>
      </c>
      <c r="BC139" s="1974">
        <v>0.24</v>
      </c>
      <c r="BD139" s="1974"/>
      <c r="BE139" s="141"/>
      <c r="BF139" s="21"/>
      <c r="BG139" s="1593" t="s">
        <v>2544</v>
      </c>
      <c r="BH139" s="110"/>
      <c r="BI139" s="110"/>
      <c r="BJ139" s="110"/>
      <c r="BK139" s="141"/>
      <c r="BL139" s="1589">
        <v>1.07</v>
      </c>
      <c r="BM139" s="1516">
        <v>1.071</v>
      </c>
      <c r="BN139" s="1516">
        <v>1.071</v>
      </c>
      <c r="BO139" s="3337">
        <v>1.056</v>
      </c>
      <c r="BP139" s="141"/>
      <c r="BQ139" s="141"/>
      <c r="BS139" s="3588" t="s">
        <v>2544</v>
      </c>
      <c r="BT139" s="2448"/>
      <c r="BU139" s="2448"/>
      <c r="BV139" s="2448"/>
      <c r="BW139" s="2448"/>
      <c r="BX139" s="2448"/>
      <c r="BY139" s="2448"/>
      <c r="BZ139" s="2448"/>
      <c r="CA139" s="3337">
        <v>1.032</v>
      </c>
      <c r="CB139" s="1589"/>
      <c r="CC139" s="1589"/>
      <c r="CD139" s="1589"/>
      <c r="DE139" s="21"/>
      <c r="DF139" s="21"/>
      <c r="DH139" s="59"/>
    </row>
    <row r="140" spans="3:112" s="34" customFormat="1" hidden="1" outlineLevel="1" x14ac:dyDescent="0.35">
      <c r="C140"/>
      <c r="D140" s="1593" t="str">
        <f t="shared" si="142"/>
        <v>801229_2020_12_</v>
      </c>
      <c r="E140" s="1105" t="s">
        <v>2547</v>
      </c>
      <c r="F140" s="3318">
        <v>85</v>
      </c>
      <c r="G140" s="3318">
        <v>48.14</v>
      </c>
      <c r="H140" s="3316">
        <v>3644</v>
      </c>
      <c r="I140" s="1109">
        <v>0.24</v>
      </c>
      <c r="J140" s="3269">
        <v>1.056</v>
      </c>
      <c r="K140" s="3269">
        <v>1.032</v>
      </c>
      <c r="L140" s="46">
        <v>1</v>
      </c>
      <c r="M140"/>
      <c r="P140" s="350"/>
      <c r="Q140" s="350"/>
      <c r="R140" s="350"/>
      <c r="S140" s="350"/>
      <c r="T140" s="350"/>
      <c r="U140" s="350"/>
      <c r="V140" s="1593" t="s">
        <v>2546</v>
      </c>
      <c r="W140" s="141"/>
      <c r="X140" s="141"/>
      <c r="Y140" s="141"/>
      <c r="Z140" s="141"/>
      <c r="AA140" s="141"/>
      <c r="AB140" s="1575">
        <v>28.3</v>
      </c>
      <c r="AC140" s="1798">
        <v>28.3</v>
      </c>
      <c r="AD140" s="3339">
        <v>85</v>
      </c>
      <c r="AE140" s="141"/>
      <c r="AF140" s="141"/>
      <c r="AG140" s="141"/>
      <c r="AH140" s="21"/>
      <c r="AI140" s="1593" t="s">
        <v>2546</v>
      </c>
      <c r="AJ140" s="110"/>
      <c r="AK140" s="110"/>
      <c r="AL140" s="141"/>
      <c r="AM140" s="141"/>
      <c r="AN140" s="785">
        <v>3351</v>
      </c>
      <c r="AO140" s="2135">
        <v>4232.7285363633855</v>
      </c>
      <c r="AP140" s="2135">
        <v>4281</v>
      </c>
      <c r="AQ140" s="3340">
        <v>3644</v>
      </c>
      <c r="AR140" s="141"/>
      <c r="AS140" s="141"/>
      <c r="AT140" s="21"/>
      <c r="AU140" s="1593" t="s">
        <v>2546</v>
      </c>
      <c r="AV140" s="110"/>
      <c r="AW140" s="110"/>
      <c r="AX140" s="141"/>
      <c r="AY140" s="141"/>
      <c r="AZ140" s="1589">
        <v>0.24</v>
      </c>
      <c r="BA140" s="1974">
        <v>0.24</v>
      </c>
      <c r="BB140" s="1974">
        <v>0.24</v>
      </c>
      <c r="BC140" s="1974">
        <v>0.24</v>
      </c>
      <c r="BD140" s="1974"/>
      <c r="BE140" s="141"/>
      <c r="BF140" s="21"/>
      <c r="BG140" s="1593" t="s">
        <v>2546</v>
      </c>
      <c r="BH140" s="110"/>
      <c r="BI140" s="110"/>
      <c r="BJ140" s="110"/>
      <c r="BK140" s="141"/>
      <c r="BL140" s="1589">
        <v>1.07</v>
      </c>
      <c r="BM140" s="1516">
        <v>1.071</v>
      </c>
      <c r="BN140" s="1516">
        <v>1.071</v>
      </c>
      <c r="BO140" s="3337">
        <v>1.056</v>
      </c>
      <c r="BP140" s="141"/>
      <c r="BQ140" s="141"/>
      <c r="BS140" s="3588" t="s">
        <v>2546</v>
      </c>
      <c r="BT140" s="2448"/>
      <c r="BU140" s="2448"/>
      <c r="BV140" s="2448"/>
      <c r="BW140" s="2448"/>
      <c r="BX140" s="2448"/>
      <c r="BY140" s="2448"/>
      <c r="BZ140" s="2448"/>
      <c r="CA140" s="3337">
        <v>1.032</v>
      </c>
      <c r="CB140" s="1589"/>
      <c r="CC140" s="1589"/>
      <c r="CD140" s="1589"/>
      <c r="DE140" s="21"/>
      <c r="DF140" s="21"/>
      <c r="DH140" s="59"/>
    </row>
    <row r="141" spans="3:112" s="34" customFormat="1" hidden="1" outlineLevel="1" x14ac:dyDescent="0.35">
      <c r="C141"/>
      <c r="D141" s="1593" t="str">
        <f t="shared" si="142"/>
        <v>801231_2020_12_</v>
      </c>
      <c r="E141" s="1105" t="s">
        <v>2549</v>
      </c>
      <c r="F141" s="3318">
        <v>119.21</v>
      </c>
      <c r="G141" s="3318">
        <v>43.38</v>
      </c>
      <c r="H141" s="3316">
        <v>3644</v>
      </c>
      <c r="I141" s="1109">
        <v>0.24</v>
      </c>
      <c r="J141" s="3269">
        <v>1.056</v>
      </c>
      <c r="K141" s="3269">
        <v>1.032</v>
      </c>
      <c r="L141" s="46">
        <v>1</v>
      </c>
      <c r="M141"/>
      <c r="P141" s="350"/>
      <c r="Q141" s="350"/>
      <c r="R141" s="350"/>
      <c r="S141" s="350"/>
      <c r="T141" s="350"/>
      <c r="U141" s="350"/>
      <c r="V141" s="1593" t="s">
        <v>2548</v>
      </c>
      <c r="W141" s="141"/>
      <c r="X141" s="141"/>
      <c r="Y141" s="141"/>
      <c r="Z141" s="141"/>
      <c r="AA141" s="141"/>
      <c r="AB141" s="1575">
        <v>28.3</v>
      </c>
      <c r="AC141" s="1798">
        <v>28.3</v>
      </c>
      <c r="AD141" s="3339">
        <v>119.21</v>
      </c>
      <c r="AE141" s="141"/>
      <c r="AF141" s="141"/>
      <c r="AG141" s="141"/>
      <c r="AI141" s="1593" t="s">
        <v>2548</v>
      </c>
      <c r="AJ141" s="110"/>
      <c r="AK141" s="110"/>
      <c r="AL141" s="141"/>
      <c r="AM141" s="141"/>
      <c r="AN141" s="785">
        <v>3351</v>
      </c>
      <c r="AO141" s="2135">
        <v>4232.7285363633855</v>
      </c>
      <c r="AP141" s="2135">
        <v>3702</v>
      </c>
      <c r="AQ141" s="3340">
        <v>3644</v>
      </c>
      <c r="AR141" s="141"/>
      <c r="AS141" s="141"/>
      <c r="AU141" s="1593" t="s">
        <v>2548</v>
      </c>
      <c r="AV141" s="110"/>
      <c r="AW141" s="110"/>
      <c r="AX141" s="141"/>
      <c r="AY141" s="141"/>
      <c r="AZ141" s="1589">
        <v>0.24</v>
      </c>
      <c r="BA141" s="1974">
        <v>0.24</v>
      </c>
      <c r="BB141" s="1974">
        <v>0.24</v>
      </c>
      <c r="BC141" s="1974">
        <v>0.24</v>
      </c>
      <c r="BD141" s="1974"/>
      <c r="BE141" s="141"/>
      <c r="BG141" s="1593" t="s">
        <v>2548</v>
      </c>
      <c r="BH141" s="110"/>
      <c r="BI141" s="110"/>
      <c r="BJ141" s="110"/>
      <c r="BK141" s="141"/>
      <c r="BL141" s="1589">
        <v>1.07</v>
      </c>
      <c r="BM141" s="1516">
        <v>1.071</v>
      </c>
      <c r="BN141" s="1516">
        <v>1.071</v>
      </c>
      <c r="BO141" s="3337">
        <v>1.056</v>
      </c>
      <c r="BP141" s="141"/>
      <c r="BQ141" s="141"/>
      <c r="BS141" s="3588" t="s">
        <v>2548</v>
      </c>
      <c r="BT141" s="2448"/>
      <c r="BU141" s="2448"/>
      <c r="BV141" s="2448"/>
      <c r="BW141" s="2448"/>
      <c r="BX141" s="2448"/>
      <c r="BY141" s="2448"/>
      <c r="BZ141" s="2448"/>
      <c r="CA141" s="3337">
        <v>1.032</v>
      </c>
      <c r="CB141" s="1589"/>
      <c r="CC141" s="1589"/>
      <c r="CD141" s="1589"/>
      <c r="DE141" s="21"/>
      <c r="DF141" s="21"/>
      <c r="DH141" s="59"/>
    </row>
    <row r="142" spans="3:112" s="34" customFormat="1" hidden="1" outlineLevel="1" x14ac:dyDescent="0.35">
      <c r="C142"/>
      <c r="D142" s="1593" t="str">
        <f t="shared" si="142"/>
        <v>801233_2020_12_</v>
      </c>
      <c r="E142" s="1105" t="s">
        <v>2551</v>
      </c>
      <c r="F142" s="3318">
        <v>133</v>
      </c>
      <c r="G142" s="3318">
        <v>42</v>
      </c>
      <c r="H142" s="3316">
        <v>2931</v>
      </c>
      <c r="I142" s="1109">
        <v>0.24</v>
      </c>
      <c r="J142" s="3269">
        <v>1.056</v>
      </c>
      <c r="K142" s="3269">
        <v>1.032</v>
      </c>
      <c r="L142" s="46">
        <v>1</v>
      </c>
      <c r="M142"/>
      <c r="P142" s="350"/>
      <c r="Q142" s="350"/>
      <c r="R142" s="350"/>
      <c r="S142" s="350"/>
      <c r="T142" s="350"/>
      <c r="U142" s="350"/>
      <c r="V142" s="1593" t="s">
        <v>2550</v>
      </c>
      <c r="W142" s="141"/>
      <c r="X142" s="141"/>
      <c r="Y142" s="141"/>
      <c r="Z142" s="141"/>
      <c r="AA142" s="141"/>
      <c r="AB142" s="1575">
        <v>39.659999999999997</v>
      </c>
      <c r="AC142" s="1798">
        <v>39.659999999999997</v>
      </c>
      <c r="AD142" s="3339">
        <v>133</v>
      </c>
      <c r="AE142" s="141"/>
      <c r="AF142" s="141"/>
      <c r="AG142" s="141"/>
      <c r="AI142" s="1593" t="s">
        <v>2550</v>
      </c>
      <c r="AJ142" s="110"/>
      <c r="AK142" s="110"/>
      <c r="AL142" s="141"/>
      <c r="AM142" s="141"/>
      <c r="AN142" s="785">
        <v>3351</v>
      </c>
      <c r="AO142" s="2135">
        <v>4232.7285363633855</v>
      </c>
      <c r="AP142" s="2135">
        <v>3702</v>
      </c>
      <c r="AQ142" s="3340">
        <v>2931</v>
      </c>
      <c r="AR142" s="141"/>
      <c r="AS142" s="141"/>
      <c r="AU142" s="1593" t="s">
        <v>2550</v>
      </c>
      <c r="AV142" s="110"/>
      <c r="AW142" s="110"/>
      <c r="AX142" s="141"/>
      <c r="AY142" s="141"/>
      <c r="AZ142" s="1589">
        <v>0.24</v>
      </c>
      <c r="BA142" s="1974">
        <v>0.24</v>
      </c>
      <c r="BB142" s="1974">
        <v>0.24</v>
      </c>
      <c r="BC142" s="1974">
        <v>0.24</v>
      </c>
      <c r="BD142" s="1974"/>
      <c r="BE142" s="141"/>
      <c r="BG142" s="1593" t="s">
        <v>2550</v>
      </c>
      <c r="BH142" s="110"/>
      <c r="BI142" s="110"/>
      <c r="BJ142" s="110"/>
      <c r="BK142" s="141"/>
      <c r="BL142" s="1589">
        <v>1.07</v>
      </c>
      <c r="BM142" s="1516">
        <v>1.071</v>
      </c>
      <c r="BN142" s="1516">
        <v>1.071</v>
      </c>
      <c r="BO142" s="3337">
        <v>1.056</v>
      </c>
      <c r="BP142" s="141"/>
      <c r="BQ142" s="141"/>
      <c r="BS142" s="3588" t="s">
        <v>2550</v>
      </c>
      <c r="BT142" s="2448"/>
      <c r="BU142" s="2448"/>
      <c r="BV142" s="2448"/>
      <c r="BW142" s="2448"/>
      <c r="BX142" s="2448"/>
      <c r="BY142" s="2448"/>
      <c r="BZ142" s="2448"/>
      <c r="CA142" s="3337">
        <v>1.032</v>
      </c>
      <c r="CB142" s="1589"/>
      <c r="CC142" s="1589"/>
      <c r="CD142" s="1589"/>
      <c r="DE142" s="21"/>
      <c r="DF142" s="21"/>
      <c r="DH142" s="59"/>
    </row>
    <row r="143" spans="3:112" s="34" customFormat="1" hidden="1" outlineLevel="1" x14ac:dyDescent="0.35">
      <c r="C143"/>
      <c r="D143" s="1593" t="str">
        <f t="shared" si="142"/>
        <v>801235_2020_12_</v>
      </c>
      <c r="E143" s="1105" t="s">
        <v>2553</v>
      </c>
      <c r="F143" s="3318">
        <v>146.47999999999999</v>
      </c>
      <c r="G143" s="3318">
        <v>39.090000000000003</v>
      </c>
      <c r="H143" s="3316">
        <v>2931</v>
      </c>
      <c r="I143" s="1109">
        <v>0.24</v>
      </c>
      <c r="J143" s="3269">
        <v>1.056</v>
      </c>
      <c r="K143" s="3269">
        <v>1.032</v>
      </c>
      <c r="L143" s="46">
        <v>1</v>
      </c>
      <c r="M143"/>
      <c r="P143" s="350"/>
      <c r="Q143" s="350"/>
      <c r="R143" s="350"/>
      <c r="S143" s="350"/>
      <c r="T143" s="350"/>
      <c r="U143" s="350"/>
      <c r="V143" s="1593" t="s">
        <v>2552</v>
      </c>
      <c r="W143" s="141"/>
      <c r="X143" s="141"/>
      <c r="Y143" s="141"/>
      <c r="Z143" s="141"/>
      <c r="AA143" s="141"/>
      <c r="AB143" s="1575">
        <v>39.659999999999997</v>
      </c>
      <c r="AC143" s="1798">
        <v>39.659999999999997</v>
      </c>
      <c r="AD143" s="3339">
        <v>146.47999999999999</v>
      </c>
      <c r="AE143" s="141"/>
      <c r="AF143" s="141"/>
      <c r="AG143" s="141"/>
      <c r="AI143" s="1593" t="s">
        <v>2552</v>
      </c>
      <c r="AJ143" s="110"/>
      <c r="AK143" s="110"/>
      <c r="AL143" s="141"/>
      <c r="AM143" s="141"/>
      <c r="AN143" s="785">
        <v>3351</v>
      </c>
      <c r="AO143" s="2135">
        <v>4232.7285363633855</v>
      </c>
      <c r="AP143" s="2135">
        <v>2710</v>
      </c>
      <c r="AQ143" s="3340">
        <v>2931</v>
      </c>
      <c r="AR143" s="141"/>
      <c r="AS143" s="141"/>
      <c r="AU143" s="1593" t="s">
        <v>2552</v>
      </c>
      <c r="AV143" s="110"/>
      <c r="AW143" s="110"/>
      <c r="AX143" s="141"/>
      <c r="AY143" s="141"/>
      <c r="AZ143" s="1589">
        <v>0.24</v>
      </c>
      <c r="BA143" s="1974">
        <v>0.24</v>
      </c>
      <c r="BB143" s="1974">
        <v>0.24</v>
      </c>
      <c r="BC143" s="1974">
        <v>0.24</v>
      </c>
      <c r="BD143" s="1974"/>
      <c r="BE143" s="141"/>
      <c r="BG143" s="1593" t="s">
        <v>2552</v>
      </c>
      <c r="BH143" s="110"/>
      <c r="BI143" s="110"/>
      <c r="BJ143" s="110"/>
      <c r="BK143" s="141"/>
      <c r="BL143" s="1589">
        <v>1.07</v>
      </c>
      <c r="BM143" s="1516">
        <v>1.071</v>
      </c>
      <c r="BN143" s="1516">
        <v>1.071</v>
      </c>
      <c r="BO143" s="3337">
        <v>1.056</v>
      </c>
      <c r="BP143" s="141"/>
      <c r="BQ143" s="141"/>
      <c r="BS143" s="3588" t="s">
        <v>2552</v>
      </c>
      <c r="BT143" s="2448"/>
      <c r="BU143" s="2448"/>
      <c r="BV143" s="2448"/>
      <c r="BW143" s="2448"/>
      <c r="BX143" s="2448"/>
      <c r="BY143" s="2448"/>
      <c r="BZ143" s="2448"/>
      <c r="CA143" s="3337">
        <v>1.032</v>
      </c>
      <c r="CB143" s="1589"/>
      <c r="CC143" s="1589"/>
      <c r="CD143" s="1589"/>
      <c r="DE143" s="21"/>
      <c r="DF143" s="21"/>
      <c r="DH143" s="59"/>
    </row>
    <row r="144" spans="3:112" s="34" customFormat="1" hidden="1" outlineLevel="1" x14ac:dyDescent="0.35">
      <c r="C144"/>
      <c r="D144" s="1593" t="str">
        <f t="shared" si="142"/>
        <v>801237_2020_12_</v>
      </c>
      <c r="E144" s="1105" t="s">
        <v>2555</v>
      </c>
      <c r="F144" s="46">
        <v>279.33</v>
      </c>
      <c r="G144" s="46">
        <v>92</v>
      </c>
      <c r="H144" s="3316">
        <v>4769</v>
      </c>
      <c r="I144" s="1109">
        <v>0.24</v>
      </c>
      <c r="J144" s="3269">
        <v>1.056</v>
      </c>
      <c r="K144" s="3269">
        <v>1.032</v>
      </c>
      <c r="L144" s="46">
        <v>1</v>
      </c>
      <c r="M144"/>
      <c r="P144" s="350"/>
      <c r="Q144" s="350"/>
      <c r="R144" s="350"/>
      <c r="S144" s="350"/>
      <c r="T144" s="350"/>
      <c r="U144" s="350"/>
      <c r="V144" s="1593" t="s">
        <v>2554</v>
      </c>
      <c r="W144" s="141"/>
      <c r="X144" s="141"/>
      <c r="Y144" s="141"/>
      <c r="Z144" s="141"/>
      <c r="AA144" s="141"/>
      <c r="AB144" s="1575">
        <v>279.33</v>
      </c>
      <c r="AC144" s="1798">
        <v>279.33</v>
      </c>
      <c r="AD144" s="3338">
        <v>279.33</v>
      </c>
      <c r="AE144" s="141"/>
      <c r="AF144" s="141"/>
      <c r="AG144" s="141"/>
      <c r="AI144" s="1593" t="s">
        <v>2554</v>
      </c>
      <c r="AJ144" s="110"/>
      <c r="AK144" s="110"/>
      <c r="AL144" s="141"/>
      <c r="AM144" s="141"/>
      <c r="AN144" s="785">
        <v>3351</v>
      </c>
      <c r="AO144" s="2135">
        <v>4232.7285363633855</v>
      </c>
      <c r="AP144" s="2135">
        <v>2710</v>
      </c>
      <c r="AQ144" s="3340">
        <v>4769</v>
      </c>
      <c r="AR144" s="141"/>
      <c r="AS144" s="141"/>
      <c r="AU144" s="1593" t="s">
        <v>2554</v>
      </c>
      <c r="AV144" s="110"/>
      <c r="AW144" s="110"/>
      <c r="AX144" s="141"/>
      <c r="AY144" s="141"/>
      <c r="AZ144" s="1589">
        <v>0.24</v>
      </c>
      <c r="BA144" s="1974">
        <v>0.24</v>
      </c>
      <c r="BB144" s="1974">
        <v>0.24</v>
      </c>
      <c r="BC144" s="1974">
        <v>0.24</v>
      </c>
      <c r="BD144" s="1974"/>
      <c r="BE144" s="141"/>
      <c r="BG144" s="1593" t="s">
        <v>2554</v>
      </c>
      <c r="BH144" s="110"/>
      <c r="BI144" s="110"/>
      <c r="BJ144" s="110"/>
      <c r="BK144" s="141"/>
      <c r="BL144" s="1589">
        <v>1.07</v>
      </c>
      <c r="BM144" s="1516">
        <v>1.071</v>
      </c>
      <c r="BN144" s="1516">
        <v>1.071</v>
      </c>
      <c r="BO144" s="3337">
        <v>1.056</v>
      </c>
      <c r="BP144" s="141"/>
      <c r="BQ144" s="141"/>
      <c r="BS144" s="3588" t="s">
        <v>2554</v>
      </c>
      <c r="BT144" s="2448"/>
      <c r="BU144" s="2448"/>
      <c r="BV144" s="2448"/>
      <c r="BW144" s="2448"/>
      <c r="BX144" s="2448"/>
      <c r="BY144" s="2448"/>
      <c r="BZ144" s="2448"/>
      <c r="CA144" s="3337">
        <v>1.032</v>
      </c>
      <c r="CB144" s="1589"/>
      <c r="CC144" s="1589"/>
      <c r="CD144" s="1589"/>
      <c r="DE144" s="21"/>
      <c r="DF144" s="21"/>
      <c r="DH144" s="59"/>
    </row>
    <row r="145" spans="2:114" s="34" customFormat="1" hidden="1" outlineLevel="1" x14ac:dyDescent="0.35">
      <c r="C145"/>
      <c r="D145" s="1593" t="str">
        <f t="shared" si="142"/>
        <v>801239_2020_12_</v>
      </c>
      <c r="E145" s="1105" t="s">
        <v>2557</v>
      </c>
      <c r="F145" s="46">
        <v>279.33</v>
      </c>
      <c r="G145" s="46">
        <v>92</v>
      </c>
      <c r="H145" s="3316">
        <v>4769</v>
      </c>
      <c r="I145" s="1109">
        <v>0.24</v>
      </c>
      <c r="J145" s="3269">
        <v>1.056</v>
      </c>
      <c r="K145" s="3269">
        <v>1.032</v>
      </c>
      <c r="L145" s="46">
        <v>1</v>
      </c>
      <c r="M145"/>
      <c r="P145" s="350"/>
      <c r="Q145" s="350"/>
      <c r="R145" s="350"/>
      <c r="S145" s="350"/>
      <c r="T145" s="350"/>
      <c r="U145" s="350"/>
      <c r="V145" s="1593" t="s">
        <v>2556</v>
      </c>
      <c r="W145" s="141"/>
      <c r="X145" s="141"/>
      <c r="Y145" s="141"/>
      <c r="Z145" s="141"/>
      <c r="AA145" s="141"/>
      <c r="AB145" s="1575">
        <v>279.33</v>
      </c>
      <c r="AC145" s="1798">
        <v>279.33</v>
      </c>
      <c r="AD145" s="3338">
        <v>279.33</v>
      </c>
      <c r="AE145" s="141"/>
      <c r="AF145" s="141"/>
      <c r="AG145" s="141"/>
      <c r="AI145" s="1593" t="s">
        <v>2556</v>
      </c>
      <c r="AJ145" s="141"/>
      <c r="AK145" s="141"/>
      <c r="AL145" s="141"/>
      <c r="AM145" s="141"/>
      <c r="AN145" s="785">
        <v>3351</v>
      </c>
      <c r="AO145" s="2135">
        <v>4232.7285363633855</v>
      </c>
      <c r="AP145" s="2135">
        <v>4769</v>
      </c>
      <c r="AQ145" s="3340">
        <v>4769</v>
      </c>
      <c r="AR145" s="141"/>
      <c r="AS145" s="141"/>
      <c r="AU145" s="1593" t="s">
        <v>2556</v>
      </c>
      <c r="AV145" s="110"/>
      <c r="AW145" s="110"/>
      <c r="AX145" s="141"/>
      <c r="AY145" s="141"/>
      <c r="AZ145" s="1589">
        <v>0.24</v>
      </c>
      <c r="BA145" s="1974">
        <v>0.24</v>
      </c>
      <c r="BB145" s="1974">
        <v>0.24</v>
      </c>
      <c r="BC145" s="1974">
        <v>0.24</v>
      </c>
      <c r="BD145" s="1974"/>
      <c r="BE145" s="141"/>
      <c r="BG145" s="1593" t="s">
        <v>2556</v>
      </c>
      <c r="BH145" s="110"/>
      <c r="BI145" s="110"/>
      <c r="BJ145" s="110"/>
      <c r="BK145" s="141"/>
      <c r="BL145" s="1589">
        <v>1.07</v>
      </c>
      <c r="BM145" s="1516">
        <v>1.071</v>
      </c>
      <c r="BN145" s="1516">
        <v>1.071</v>
      </c>
      <c r="BO145" s="3337">
        <v>1.056</v>
      </c>
      <c r="BP145" s="141"/>
      <c r="BQ145" s="141"/>
      <c r="BS145" s="3588" t="s">
        <v>2556</v>
      </c>
      <c r="BT145" s="2448"/>
      <c r="BU145" s="2448"/>
      <c r="BV145" s="2448"/>
      <c r="BW145" s="2448"/>
      <c r="BX145" s="2448"/>
      <c r="BY145" s="2448"/>
      <c r="BZ145" s="2448"/>
      <c r="CA145" s="3337">
        <v>1.032</v>
      </c>
      <c r="CB145" s="1589"/>
      <c r="CC145" s="1589"/>
      <c r="CD145" s="1589"/>
      <c r="DE145" s="21"/>
      <c r="DF145" s="21"/>
      <c r="DH145" s="59"/>
    </row>
    <row r="146" spans="2:114" s="34" customFormat="1" hidden="1" outlineLevel="1" x14ac:dyDescent="0.35">
      <c r="C146"/>
      <c r="D146" s="3341" t="s">
        <v>4452</v>
      </c>
      <c r="E146" s="3325" t="s">
        <v>4453</v>
      </c>
      <c r="F146" s="3318">
        <v>32760.33</v>
      </c>
      <c r="G146" s="3318">
        <v>19507</v>
      </c>
      <c r="H146" s="3316">
        <v>4796</v>
      </c>
      <c r="I146" s="3330">
        <v>0.24</v>
      </c>
      <c r="J146" s="3269">
        <v>1.056</v>
      </c>
      <c r="K146" s="3269">
        <v>1.032</v>
      </c>
      <c r="L146" s="3318">
        <v>1</v>
      </c>
      <c r="M146"/>
      <c r="P146" s="350"/>
      <c r="Q146" s="350"/>
      <c r="R146" s="350"/>
      <c r="S146" s="350"/>
      <c r="T146" s="350"/>
      <c r="U146" s="350"/>
      <c r="V146" s="3341" t="s">
        <v>4452</v>
      </c>
      <c r="W146" s="2448"/>
      <c r="X146" s="2448"/>
      <c r="Y146" s="2448"/>
      <c r="Z146" s="2448"/>
      <c r="AA146" s="2448"/>
      <c r="AB146" s="2448"/>
      <c r="AC146" s="2448"/>
      <c r="AD146" s="3339">
        <v>32760.33</v>
      </c>
      <c r="AE146" s="141"/>
      <c r="AF146" s="141"/>
      <c r="AG146" s="141"/>
      <c r="AI146" s="3341" t="s">
        <v>4452</v>
      </c>
      <c r="AJ146" s="2448"/>
      <c r="AK146" s="2448"/>
      <c r="AL146" s="2448"/>
      <c r="AM146" s="2448"/>
      <c r="AN146" s="2448"/>
      <c r="AO146" s="2448"/>
      <c r="AP146" s="2448"/>
      <c r="AQ146" s="3340">
        <v>4796</v>
      </c>
      <c r="AR146" s="141"/>
      <c r="AS146" s="141"/>
      <c r="AU146" s="3341" t="s">
        <v>4452</v>
      </c>
      <c r="AV146" s="2448"/>
      <c r="AW146" s="2448"/>
      <c r="AX146" s="2448"/>
      <c r="AY146" s="2448"/>
      <c r="AZ146" s="2448"/>
      <c r="BA146" s="2448"/>
      <c r="BB146" s="2448"/>
      <c r="BC146" s="1591">
        <v>0.24</v>
      </c>
      <c r="BD146" s="1974"/>
      <c r="BE146" s="141"/>
      <c r="BG146" s="3341" t="s">
        <v>4452</v>
      </c>
      <c r="BH146" s="2448"/>
      <c r="BI146" s="2448"/>
      <c r="BJ146" s="2448"/>
      <c r="BK146" s="2448"/>
      <c r="BL146" s="2448"/>
      <c r="BM146" s="2448"/>
      <c r="BN146" s="2448"/>
      <c r="BO146" s="3337">
        <v>1.056</v>
      </c>
      <c r="BP146" s="141"/>
      <c r="BQ146" s="141"/>
      <c r="BS146" s="3341" t="s">
        <v>4452</v>
      </c>
      <c r="BT146" s="2448"/>
      <c r="BU146" s="2448"/>
      <c r="BV146" s="2448"/>
      <c r="BW146" s="2448"/>
      <c r="BX146" s="2448"/>
      <c r="BY146" s="2448"/>
      <c r="BZ146" s="2448"/>
      <c r="CA146" s="3337">
        <v>1.032</v>
      </c>
      <c r="CB146" s="1589"/>
      <c r="CC146" s="1589"/>
      <c r="CD146" s="1589"/>
      <c r="DE146" s="21"/>
      <c r="DF146" s="21"/>
      <c r="DH146" s="59"/>
    </row>
    <row r="147" spans="2:114" s="34" customFormat="1" hidden="1" outlineLevel="1" x14ac:dyDescent="0.35">
      <c r="C147"/>
      <c r="D147" s="1110" t="s">
        <v>2540</v>
      </c>
      <c r="E147" s="350"/>
      <c r="F147" s="350"/>
      <c r="G147" s="350"/>
      <c r="H147" s="350"/>
      <c r="I147" s="350"/>
      <c r="J147" s="350"/>
      <c r="K147" s="350"/>
      <c r="L147" s="350"/>
      <c r="M147" s="132"/>
      <c r="N147" s="350"/>
      <c r="O147" s="350"/>
      <c r="P147" s="350"/>
      <c r="Q147" s="350"/>
      <c r="R147" s="350"/>
      <c r="S147" s="350"/>
      <c r="T147" s="350"/>
      <c r="U147" s="350"/>
      <c r="DE147" s="21"/>
      <c r="DF147" s="21"/>
      <c r="DH147" s="59"/>
    </row>
    <row r="148" spans="2:114" s="34" customFormat="1" collapsed="1" x14ac:dyDescent="0.35">
      <c r="C148" s="132"/>
      <c r="D148" s="132"/>
      <c r="E148" s="132"/>
      <c r="F148" s="132"/>
      <c r="G148" s="1111"/>
      <c r="H148" s="1112"/>
      <c r="I148" s="1111"/>
      <c r="J148" s="1111"/>
      <c r="K148" s="1111"/>
      <c r="L148" s="350"/>
      <c r="M148" s="132"/>
      <c r="N148" s="350"/>
      <c r="O148" s="350"/>
      <c r="P148" s="350"/>
      <c r="Q148" s="350"/>
      <c r="R148" s="350"/>
      <c r="S148" s="350"/>
      <c r="T148" s="350"/>
      <c r="U148" s="350"/>
      <c r="V148" s="350"/>
      <c r="DE148" s="21"/>
      <c r="DF148" s="21"/>
      <c r="DH148" s="59"/>
    </row>
    <row r="149" spans="2:114" s="34" customFormat="1" x14ac:dyDescent="0.35">
      <c r="C149" s="132"/>
      <c r="D149" s="132"/>
      <c r="E149" s="132"/>
      <c r="F149" s="132"/>
      <c r="G149" s="1111"/>
      <c r="H149" s="1112"/>
      <c r="I149" s="1111"/>
      <c r="J149" s="1111"/>
      <c r="K149" s="350"/>
      <c r="L149" s="132"/>
      <c r="M149" s="350"/>
      <c r="N149" s="350"/>
      <c r="O149" s="350"/>
      <c r="P149" s="350"/>
      <c r="Q149" s="350"/>
      <c r="R149" s="350"/>
      <c r="S149" s="350"/>
      <c r="T149" s="350"/>
      <c r="U149" s="350"/>
      <c r="DE149" s="21"/>
      <c r="DF149" s="21"/>
      <c r="DG149" s="59"/>
    </row>
    <row r="150" spans="2:114" ht="18.75" customHeight="1" x14ac:dyDescent="0.35">
      <c r="E150" s="33"/>
      <c r="F150" s="33"/>
      <c r="G150" s="725"/>
      <c r="H150" s="1098"/>
    </row>
    <row r="151" spans="2:114" s="33" customFormat="1" x14ac:dyDescent="0.35">
      <c r="B151" s="4553" t="s">
        <v>2558</v>
      </c>
      <c r="C151" s="4554"/>
      <c r="D151" s="4554"/>
      <c r="E151" s="4554"/>
      <c r="F151" s="4554"/>
      <c r="G151" s="4554"/>
      <c r="H151" s="4554"/>
      <c r="I151" s="4555"/>
      <c r="J151" s="4555"/>
      <c r="K151" s="4555"/>
      <c r="L151" s="4555"/>
      <c r="M151" s="3680"/>
      <c r="N151" s="3680"/>
      <c r="O151" s="3681"/>
      <c r="V151" s="2325" t="str">
        <f>B151</f>
        <v>Commercial Solid and Glass Door Refrigerators &amp; Freezers</v>
      </c>
      <c r="W151" s="2326"/>
      <c r="X151" s="2326"/>
      <c r="Y151" s="2326"/>
      <c r="Z151" s="2326"/>
      <c r="AA151" s="2326"/>
      <c r="AB151" s="2326"/>
      <c r="AC151" s="2326"/>
      <c r="AD151" s="2326"/>
      <c r="AE151" s="2326"/>
      <c r="AF151" s="2326"/>
      <c r="AG151" s="2326"/>
      <c r="AH151" s="2326"/>
      <c r="AI151" s="2384"/>
      <c r="AJ151" s="21"/>
      <c r="AK151" s="21"/>
      <c r="AL151" s="21"/>
      <c r="AM151" s="21"/>
      <c r="AN151" s="21"/>
      <c r="AO151" s="21"/>
      <c r="AP151" s="21"/>
      <c r="AQ151" s="21"/>
      <c r="AR151" s="21"/>
      <c r="AS151" s="21"/>
      <c r="AT151" s="21"/>
      <c r="AU151" s="21"/>
      <c r="DE151" s="21"/>
      <c r="DF151" s="21"/>
      <c r="DG151" s="60"/>
    </row>
    <row r="152" spans="2:114" x14ac:dyDescent="0.35">
      <c r="D152" s="1085"/>
      <c r="E152" s="33"/>
      <c r="F152" s="33"/>
      <c r="G152" s="33"/>
      <c r="H152" s="1086"/>
      <c r="I152" s="33"/>
      <c r="J152" s="33"/>
      <c r="K152" s="33"/>
      <c r="L152" s="33"/>
      <c r="P152" s="33"/>
      <c r="Q152" s="33"/>
      <c r="R152" s="33"/>
      <c r="S152" s="33"/>
      <c r="T152" s="33"/>
      <c r="U152" s="33"/>
      <c r="V152"/>
      <c r="W152"/>
      <c r="X152"/>
      <c r="Y152"/>
      <c r="Z152"/>
      <c r="AA152"/>
      <c r="AB152"/>
      <c r="AC152"/>
      <c r="AD152"/>
      <c r="AE152"/>
      <c r="AF152"/>
      <c r="AG152"/>
      <c r="AH152"/>
      <c r="AI152"/>
      <c r="AJ152" s="31"/>
      <c r="AK152" s="31"/>
      <c r="AL152" s="31"/>
      <c r="AM152" s="31"/>
      <c r="AN152" s="31"/>
      <c r="AO152" s="31"/>
      <c r="AP152" s="31"/>
      <c r="AQ152" s="31"/>
      <c r="AR152" s="31"/>
      <c r="AS152" s="31"/>
      <c r="AU152" s="31"/>
    </row>
    <row r="153" spans="2:114" s="34" customFormat="1" x14ac:dyDescent="0.35">
      <c r="B153" s="31"/>
      <c r="C153" s="35" t="s">
        <v>27</v>
      </c>
      <c r="D153" s="2399" t="s">
        <v>28</v>
      </c>
      <c r="E153" s="2399" t="s">
        <v>29</v>
      </c>
      <c r="F153" s="2399" t="s">
        <v>30</v>
      </c>
      <c r="G153" s="2399" t="s">
        <v>175</v>
      </c>
      <c r="H153" s="36" t="s">
        <v>176</v>
      </c>
      <c r="I153" s="2399" t="s">
        <v>31</v>
      </c>
      <c r="J153" s="2399" t="s">
        <v>180</v>
      </c>
      <c r="K153" s="35" t="s">
        <v>169</v>
      </c>
      <c r="L153" s="35" t="s">
        <v>43</v>
      </c>
      <c r="M153" s="725"/>
      <c r="N153" s="725"/>
      <c r="O153" s="725"/>
      <c r="P153" s="350"/>
      <c r="Q153" s="350"/>
      <c r="R153" s="350"/>
      <c r="S153" s="350"/>
      <c r="T153" s="350"/>
      <c r="U153" s="350"/>
      <c r="V153" s="1572" t="s">
        <v>44</v>
      </c>
      <c r="W153" s="1573">
        <f>$W$8</f>
        <v>43252</v>
      </c>
      <c r="X153" s="1573">
        <f>$X$8</f>
        <v>43465</v>
      </c>
      <c r="Y153" s="1573">
        <f>$Y$8</f>
        <v>43800</v>
      </c>
      <c r="Z153" s="1573">
        <f>$Z$8</f>
        <v>43862</v>
      </c>
      <c r="AA153" s="1573">
        <f>$AA$8</f>
        <v>44013</v>
      </c>
      <c r="AB153" s="1573">
        <v>44166</v>
      </c>
      <c r="AC153" s="1573">
        <f>$AC$8</f>
        <v>44531</v>
      </c>
      <c r="AD153" s="1573">
        <f>$AD$8</f>
        <v>44774</v>
      </c>
      <c r="AE153" s="1573" t="str">
        <f>$AE$8</f>
        <v>-</v>
      </c>
      <c r="AF153" s="1573" t="str">
        <f>$AF$8</f>
        <v>-</v>
      </c>
      <c r="AG153" s="1573" t="str">
        <f>$AG$8</f>
        <v>-</v>
      </c>
      <c r="AH153"/>
      <c r="AI153" s="1572" t="s">
        <v>44</v>
      </c>
      <c r="AJ153" s="1573">
        <v>43252</v>
      </c>
      <c r="AK153" s="1573">
        <f>$X$8</f>
        <v>43465</v>
      </c>
      <c r="AL153" s="1573">
        <f>$Y$8</f>
        <v>43800</v>
      </c>
      <c r="AM153" s="1573">
        <f>$Z$8</f>
        <v>43862</v>
      </c>
      <c r="AN153" s="1573">
        <f>$AA$8</f>
        <v>44013</v>
      </c>
      <c r="AO153" s="1573">
        <f>$AB$8</f>
        <v>44166</v>
      </c>
      <c r="AP153" s="1573">
        <f>$AC$8</f>
        <v>44531</v>
      </c>
      <c r="AQ153" s="1573">
        <f>$AD$8</f>
        <v>44774</v>
      </c>
      <c r="AR153" s="1573" t="str">
        <f>$AE$8</f>
        <v>-</v>
      </c>
      <c r="AS153" s="1573" t="str">
        <f>$AF$8</f>
        <v>-</v>
      </c>
      <c r="AT153" s="21"/>
      <c r="AU153" s="1572" t="s">
        <v>44</v>
      </c>
      <c r="AV153" s="1573">
        <v>43252</v>
      </c>
      <c r="AW153" s="1573">
        <f>$X$8</f>
        <v>43465</v>
      </c>
      <c r="AX153" s="1573">
        <f>$Y$8</f>
        <v>43800</v>
      </c>
      <c r="AY153" s="1573">
        <f>$Z$8</f>
        <v>43862</v>
      </c>
      <c r="AZ153" s="1573">
        <f>$AA$8</f>
        <v>44013</v>
      </c>
      <c r="BA153" s="1573">
        <v>44166</v>
      </c>
      <c r="BB153" s="1573">
        <f>$AC$8</f>
        <v>44531</v>
      </c>
      <c r="BC153" s="1573">
        <f>$AD$8</f>
        <v>44774</v>
      </c>
      <c r="BD153" s="1573" t="str">
        <f>$AE$8</f>
        <v>-</v>
      </c>
      <c r="BE153" s="1573" t="str">
        <f>$AF$8</f>
        <v>-</v>
      </c>
      <c r="CE153" s="33"/>
      <c r="CF153" s="33"/>
      <c r="DE153" s="21"/>
      <c r="DF153" s="21"/>
      <c r="DG153" s="1574" t="str">
        <f>$DG$8</f>
        <v>TRC (2022)</v>
      </c>
      <c r="DH153" s="1584" t="str">
        <f>$DH$8</f>
        <v>Benefit Lookup</v>
      </c>
      <c r="DI153" s="1584" t="str">
        <f>$DI$8</f>
        <v>Benefits (2019 $)</v>
      </c>
      <c r="DJ153" s="1584" t="str">
        <f>$DJ$8</f>
        <v>Incremental Cost (2019 $)</v>
      </c>
    </row>
    <row r="154" spans="2:114" x14ac:dyDescent="0.35">
      <c r="C154" s="1614" t="s">
        <v>2559</v>
      </c>
      <c r="D154" s="1087" t="s">
        <v>2485</v>
      </c>
      <c r="E154" s="1105" t="s">
        <v>2560</v>
      </c>
      <c r="F154" s="965">
        <f t="shared" ref="F154:F161" si="143">ROUND(((G185*H$183+I$183)-(G185*H185+I185))*365.25,2)</f>
        <v>379.86</v>
      </c>
      <c r="G154" s="1087" t="s">
        <v>2561</v>
      </c>
      <c r="H154" s="1088">
        <f>VLOOKUP(G154,'CP FACTORS'!$A$26:$B$38,2,FALSE)</f>
        <v>1.3573829999999999E-4</v>
      </c>
      <c r="I154" s="1106">
        <f t="shared" ref="I154:I171" si="144">ROUND(H154*F154,6)</f>
        <v>5.1561999999999997E-2</v>
      </c>
      <c r="J154" s="1149">
        <v>12</v>
      </c>
      <c r="K154" s="1107">
        <v>150</v>
      </c>
      <c r="L154" s="1089" t="s">
        <v>184</v>
      </c>
      <c r="V154" s="2419" t="s">
        <v>30</v>
      </c>
      <c r="W154" s="112">
        <v>379.86</v>
      </c>
      <c r="X154" s="112">
        <v>379.86</v>
      </c>
      <c r="Y154" s="112">
        <v>379.86</v>
      </c>
      <c r="Z154" s="112">
        <v>379.86</v>
      </c>
      <c r="AA154" s="112">
        <v>379.86</v>
      </c>
      <c r="AB154" s="110">
        <v>379.86</v>
      </c>
      <c r="AC154" s="1798">
        <v>379.86</v>
      </c>
      <c r="AD154" s="1798">
        <v>379.86</v>
      </c>
      <c r="AE154" s="141"/>
      <c r="AF154" s="141"/>
      <c r="AG154" s="141"/>
      <c r="AH154"/>
      <c r="AI154" s="88" t="s">
        <v>180</v>
      </c>
      <c r="AJ154" s="51">
        <v>12</v>
      </c>
      <c r="AK154" s="51">
        <v>12</v>
      </c>
      <c r="AL154" s="51">
        <v>12</v>
      </c>
      <c r="AM154" s="51">
        <v>12</v>
      </c>
      <c r="AN154" s="51">
        <v>12</v>
      </c>
      <c r="AO154" s="48">
        <v>12</v>
      </c>
      <c r="AP154" s="48">
        <v>12</v>
      </c>
      <c r="AQ154" s="48">
        <v>12</v>
      </c>
      <c r="AR154" s="141"/>
      <c r="AS154" s="141"/>
      <c r="AU154" s="88" t="s">
        <v>169</v>
      </c>
      <c r="AV154" s="1692">
        <v>150</v>
      </c>
      <c r="AW154" s="1692">
        <v>150</v>
      </c>
      <c r="AX154" s="1692">
        <v>150</v>
      </c>
      <c r="AY154" s="1692">
        <v>150</v>
      </c>
      <c r="AZ154" s="1692">
        <v>150</v>
      </c>
      <c r="BA154" s="1615">
        <v>150</v>
      </c>
      <c r="BB154" s="1615">
        <v>150</v>
      </c>
      <c r="BC154" s="1615">
        <v>150</v>
      </c>
      <c r="BD154" s="141"/>
      <c r="BE154" s="141"/>
      <c r="DG154" s="1578">
        <f>(DI154)/(DJ154)</f>
        <v>1.158054151883499</v>
      </c>
      <c r="DH154" s="2381" t="str">
        <f t="shared" ref="DH154:DH171" si="145">CONCATENATE(G154," ",J154," Year EUL")</f>
        <v>Refrigeration BUS 12 Year EUL</v>
      </c>
      <c r="DI154" s="56">
        <f>(INDEX('Avoided Cost Benefits'!$E$4:$E$859,MATCH(DH154,'Avoided Cost Benefits'!$A$4:$A$859,0)))*F154</f>
        <v>163.95292381550243</v>
      </c>
      <c r="DJ154" s="1579">
        <f t="shared" ref="DJ154:DJ171" si="146">K154/(1.0595^(2020-2019))</f>
        <v>141.57621519584708</v>
      </c>
    </row>
    <row r="155" spans="2:114" x14ac:dyDescent="0.35">
      <c r="C155" s="1614" t="s">
        <v>2562</v>
      </c>
      <c r="D155" s="1087" t="s">
        <v>2485</v>
      </c>
      <c r="E155" s="1105" t="s">
        <v>2563</v>
      </c>
      <c r="F155" s="965">
        <f t="shared" si="143"/>
        <v>626.4</v>
      </c>
      <c r="G155" s="1087" t="s">
        <v>2561</v>
      </c>
      <c r="H155" s="1088">
        <f>VLOOKUP(G155,'CP FACTORS'!$A$26:$B$38,2,FALSE)</f>
        <v>1.3573829999999999E-4</v>
      </c>
      <c r="I155" s="1106">
        <f t="shared" si="144"/>
        <v>8.5026000000000004E-2</v>
      </c>
      <c r="J155" s="1114">
        <f t="shared" ref="J155:J161" si="147">$J$154</f>
        <v>12</v>
      </c>
      <c r="K155" s="1107">
        <v>400</v>
      </c>
      <c r="L155" s="1089" t="s">
        <v>184</v>
      </c>
      <c r="V155" s="2419" t="s">
        <v>30</v>
      </c>
      <c r="W155" s="112">
        <v>626.40374999999995</v>
      </c>
      <c r="X155" s="112">
        <v>626.40374999999995</v>
      </c>
      <c r="Y155" s="112">
        <v>626.40374999999995</v>
      </c>
      <c r="Z155" s="112">
        <v>626.40374999999995</v>
      </c>
      <c r="AA155" s="112">
        <v>626.40374999999995</v>
      </c>
      <c r="AB155" s="110">
        <v>626.4</v>
      </c>
      <c r="AC155" s="1798">
        <v>626.4</v>
      </c>
      <c r="AD155" s="1798">
        <v>626.4</v>
      </c>
      <c r="AE155" s="141"/>
      <c r="AF155" s="141"/>
      <c r="AG155" s="141"/>
      <c r="AH155"/>
      <c r="AI155" s="88" t="s">
        <v>180</v>
      </c>
      <c r="AJ155" s="51">
        <v>12</v>
      </c>
      <c r="AK155" s="51">
        <v>12</v>
      </c>
      <c r="AL155" s="51">
        <v>12</v>
      </c>
      <c r="AM155" s="51">
        <v>12</v>
      </c>
      <c r="AN155" s="51">
        <v>12</v>
      </c>
      <c r="AO155" s="48">
        <v>12</v>
      </c>
      <c r="AP155" s="48">
        <v>12</v>
      </c>
      <c r="AQ155" s="48">
        <v>12</v>
      </c>
      <c r="AR155" s="141"/>
      <c r="AS155" s="141"/>
      <c r="AU155" s="88" t="s">
        <v>169</v>
      </c>
      <c r="AV155" s="1692">
        <v>400</v>
      </c>
      <c r="AW155" s="1692">
        <v>400</v>
      </c>
      <c r="AX155" s="1692">
        <v>400</v>
      </c>
      <c r="AY155" s="1692">
        <v>400</v>
      </c>
      <c r="AZ155" s="1692">
        <v>400</v>
      </c>
      <c r="BA155" s="1615">
        <v>400</v>
      </c>
      <c r="BB155" s="1615">
        <v>400</v>
      </c>
      <c r="BC155" s="1615">
        <v>400</v>
      </c>
      <c r="BD155" s="141"/>
      <c r="BE155" s="141"/>
      <c r="DG155" s="40">
        <f>(DI155)/(DJ155)</f>
        <v>0.7161241517333593</v>
      </c>
      <c r="DH155" s="1580" t="str">
        <f t="shared" si="145"/>
        <v>Refrigeration BUS 12 Year EUL</v>
      </c>
      <c r="DI155" s="57">
        <f>(INDEX('Avoided Cost Benefits'!$E$4:$E$859,MATCH(DH155,'Avoided Cost Benefits'!$A$4:$A$859,0)))*F155</f>
        <v>270.36305870065473</v>
      </c>
      <c r="DJ155" s="1581">
        <f t="shared" si="146"/>
        <v>377.53657385559222</v>
      </c>
    </row>
    <row r="156" spans="2:114" x14ac:dyDescent="0.35">
      <c r="C156" s="1614" t="s">
        <v>2564</v>
      </c>
      <c r="D156" s="1087" t="s">
        <v>2485</v>
      </c>
      <c r="E156" s="1105" t="s">
        <v>2565</v>
      </c>
      <c r="F156" s="965">
        <f t="shared" si="143"/>
        <v>982.52</v>
      </c>
      <c r="G156" s="1087" t="s">
        <v>2561</v>
      </c>
      <c r="H156" s="1088">
        <f>VLOOKUP(G156,'CP FACTORS'!$A$26:$B$38,2,FALSE)</f>
        <v>1.3573829999999999E-4</v>
      </c>
      <c r="I156" s="1106">
        <f t="shared" si="144"/>
        <v>0.13336600000000001</v>
      </c>
      <c r="J156" s="1114">
        <f t="shared" si="147"/>
        <v>12</v>
      </c>
      <c r="K156" s="1107">
        <v>550</v>
      </c>
      <c r="L156" s="1089" t="s">
        <v>184</v>
      </c>
      <c r="V156" s="2419" t="s">
        <v>30</v>
      </c>
      <c r="W156" s="112">
        <v>982.52250000000004</v>
      </c>
      <c r="X156" s="112">
        <v>982.52250000000004</v>
      </c>
      <c r="Y156" s="112">
        <v>982.52250000000004</v>
      </c>
      <c r="Z156" s="112">
        <v>982.52250000000004</v>
      </c>
      <c r="AA156" s="112">
        <v>982.52250000000004</v>
      </c>
      <c r="AB156" s="110">
        <v>982.52</v>
      </c>
      <c r="AC156" s="1798">
        <v>982.52</v>
      </c>
      <c r="AD156" s="1798">
        <v>982.52</v>
      </c>
      <c r="AE156" s="141"/>
      <c r="AF156" s="141"/>
      <c r="AG156" s="141"/>
      <c r="AH156"/>
      <c r="AI156" s="88" t="s">
        <v>180</v>
      </c>
      <c r="AJ156" s="51">
        <v>12</v>
      </c>
      <c r="AK156" s="51">
        <v>12</v>
      </c>
      <c r="AL156" s="51">
        <v>12</v>
      </c>
      <c r="AM156" s="51">
        <v>12</v>
      </c>
      <c r="AN156" s="51">
        <v>12</v>
      </c>
      <c r="AO156" s="48">
        <v>12</v>
      </c>
      <c r="AP156" s="48">
        <v>12</v>
      </c>
      <c r="AQ156" s="48">
        <v>12</v>
      </c>
      <c r="AR156" s="141"/>
      <c r="AS156" s="141"/>
      <c r="AU156" s="88" t="s">
        <v>169</v>
      </c>
      <c r="AV156" s="1692">
        <v>550</v>
      </c>
      <c r="AW156" s="1692">
        <v>550</v>
      </c>
      <c r="AX156" s="1692">
        <v>550</v>
      </c>
      <c r="AY156" s="1692">
        <v>550</v>
      </c>
      <c r="AZ156" s="1692">
        <v>550</v>
      </c>
      <c r="BA156" s="1615">
        <v>550</v>
      </c>
      <c r="BB156" s="1615">
        <v>550</v>
      </c>
      <c r="BC156" s="1615">
        <v>550</v>
      </c>
      <c r="BD156" s="141"/>
      <c r="BE156" s="141"/>
      <c r="DG156" s="40">
        <f>(DI156)/(DJ156)</f>
        <v>0.81691199531064695</v>
      </c>
      <c r="DH156" s="1580" t="str">
        <f t="shared" si="145"/>
        <v>Refrigeration BUS 12 Year EUL</v>
      </c>
      <c r="DI156" s="57">
        <f>(INDEX('Avoided Cost Benefits'!$E$4:$E$859,MATCH(DH156,'Avoided Cost Benefits'!$A$4:$A$859,0)))*F156</f>
        <v>424.06946429528625</v>
      </c>
      <c r="DJ156" s="1581">
        <f t="shared" si="146"/>
        <v>519.11278905143934</v>
      </c>
    </row>
    <row r="157" spans="2:114" x14ac:dyDescent="0.35">
      <c r="C157" s="1614" t="s">
        <v>2566</v>
      </c>
      <c r="D157" s="1087" t="s">
        <v>2485</v>
      </c>
      <c r="E157" s="1105" t="s">
        <v>2567</v>
      </c>
      <c r="F157" s="965">
        <f t="shared" si="143"/>
        <v>1311.25</v>
      </c>
      <c r="G157" s="1087" t="s">
        <v>2561</v>
      </c>
      <c r="H157" s="1088">
        <f>VLOOKUP(G157,'CP FACTORS'!$A$26:$B$38,2,FALSE)</f>
        <v>1.3573829999999999E-4</v>
      </c>
      <c r="I157" s="1106">
        <f t="shared" si="144"/>
        <v>0.17798700000000001</v>
      </c>
      <c r="J157" s="1114">
        <f t="shared" si="147"/>
        <v>12</v>
      </c>
      <c r="K157" s="1107">
        <v>700</v>
      </c>
      <c r="L157" s="1089" t="s">
        <v>184</v>
      </c>
      <c r="P157" s="1091"/>
      <c r="Q157" s="1092"/>
      <c r="R157" s="1093"/>
      <c r="S157" s="1093"/>
      <c r="T157" s="1094"/>
      <c r="V157" s="2419" t="s">
        <v>30</v>
      </c>
      <c r="W157" s="112">
        <v>1311.2474999999999</v>
      </c>
      <c r="X157" s="112">
        <v>1311.2474999999999</v>
      </c>
      <c r="Y157" s="112">
        <v>1311.2474999999999</v>
      </c>
      <c r="Z157" s="112">
        <v>1311.2474999999999</v>
      </c>
      <c r="AA157" s="112">
        <v>1311.2474999999999</v>
      </c>
      <c r="AB157" s="110">
        <v>1311.25</v>
      </c>
      <c r="AC157" s="1798">
        <v>1311.25</v>
      </c>
      <c r="AD157" s="1798">
        <v>1311.25</v>
      </c>
      <c r="AE157" s="141"/>
      <c r="AF157" s="141"/>
      <c r="AG157" s="141"/>
      <c r="AH157"/>
      <c r="AI157" s="88" t="s">
        <v>180</v>
      </c>
      <c r="AJ157" s="51">
        <v>12</v>
      </c>
      <c r="AK157" s="51">
        <v>12</v>
      </c>
      <c r="AL157" s="51">
        <v>12</v>
      </c>
      <c r="AM157" s="51">
        <v>12</v>
      </c>
      <c r="AN157" s="51">
        <v>12</v>
      </c>
      <c r="AO157" s="48">
        <v>12</v>
      </c>
      <c r="AP157" s="48">
        <v>12</v>
      </c>
      <c r="AQ157" s="48">
        <v>12</v>
      </c>
      <c r="AR157" s="141"/>
      <c r="AS157" s="141"/>
      <c r="AU157" s="88" t="s">
        <v>169</v>
      </c>
      <c r="AV157" s="1692">
        <v>700</v>
      </c>
      <c r="AW157" s="1692">
        <v>700</v>
      </c>
      <c r="AX157" s="1692">
        <v>700</v>
      </c>
      <c r="AY157" s="1692">
        <v>700</v>
      </c>
      <c r="AZ157" s="1692">
        <v>700</v>
      </c>
      <c r="BA157" s="1615">
        <v>700</v>
      </c>
      <c r="BB157" s="1615">
        <v>700</v>
      </c>
      <c r="BC157" s="1615">
        <v>700</v>
      </c>
      <c r="BD157" s="141"/>
      <c r="BE157" s="141"/>
      <c r="DG157" s="40">
        <f>(DI157)/(DJ157)</f>
        <v>0.85661174417110697</v>
      </c>
      <c r="DH157" s="1580" t="str">
        <f t="shared" si="145"/>
        <v>Refrigeration BUS 12 Year EUL</v>
      </c>
      <c r="DI157" s="57">
        <f>(INDEX('Avoided Cost Benefits'!$E$4:$E$859,MATCH(DH157,'Avoided Cost Benefits'!$A$4:$A$859,0)))*F157</f>
        <v>565.95396028293987</v>
      </c>
      <c r="DJ157" s="1581">
        <f t="shared" si="146"/>
        <v>660.68900424728633</v>
      </c>
    </row>
    <row r="158" spans="2:114" x14ac:dyDescent="0.35">
      <c r="C158" s="1614" t="s">
        <v>2568</v>
      </c>
      <c r="D158" s="1087" t="s">
        <v>2485</v>
      </c>
      <c r="E158" s="1105" t="s">
        <v>2569</v>
      </c>
      <c r="F158" s="965">
        <f t="shared" si="143"/>
        <v>354.29</v>
      </c>
      <c r="G158" s="1087" t="s">
        <v>2561</v>
      </c>
      <c r="H158" s="1088">
        <f>VLOOKUP(G158,'CP FACTORS'!$A$26:$B$38,2,FALSE)</f>
        <v>1.3573829999999999E-4</v>
      </c>
      <c r="I158" s="1106">
        <f t="shared" si="144"/>
        <v>4.8091000000000002E-2</v>
      </c>
      <c r="J158" s="1114">
        <f t="shared" si="147"/>
        <v>12</v>
      </c>
      <c r="K158" s="1107">
        <v>250</v>
      </c>
      <c r="L158" s="1089" t="s">
        <v>184</v>
      </c>
      <c r="M158" s="1115"/>
      <c r="P158" s="1091"/>
      <c r="Q158" s="1092"/>
      <c r="R158" s="1093"/>
      <c r="S158" s="1093"/>
      <c r="T158" s="1094"/>
      <c r="V158" s="2419" t="s">
        <v>30</v>
      </c>
      <c r="W158" s="112">
        <v>354.29250000000002</v>
      </c>
      <c r="X158" s="112">
        <v>354.29250000000002</v>
      </c>
      <c r="Y158" s="112">
        <v>354.29250000000002</v>
      </c>
      <c r="Z158" s="112">
        <v>354.29250000000002</v>
      </c>
      <c r="AA158" s="112">
        <v>354.29250000000002</v>
      </c>
      <c r="AB158" s="110">
        <v>354.29</v>
      </c>
      <c r="AC158" s="1798">
        <v>354.29</v>
      </c>
      <c r="AD158" s="1798">
        <v>354.29</v>
      </c>
      <c r="AE158" s="110"/>
      <c r="AF158" s="110"/>
      <c r="AG158" s="110"/>
      <c r="AI158" s="88" t="s">
        <v>180</v>
      </c>
      <c r="AJ158" s="51">
        <v>12</v>
      </c>
      <c r="AK158" s="51">
        <v>12</v>
      </c>
      <c r="AL158" s="51">
        <v>12</v>
      </c>
      <c r="AM158" s="51">
        <v>12</v>
      </c>
      <c r="AN158" s="51">
        <v>12</v>
      </c>
      <c r="AO158" s="48">
        <v>12</v>
      </c>
      <c r="AP158" s="48">
        <v>12</v>
      </c>
      <c r="AQ158" s="48">
        <v>12</v>
      </c>
      <c r="AR158" s="110"/>
      <c r="AS158" s="110"/>
      <c r="AU158" s="88" t="s">
        <v>169</v>
      </c>
      <c r="AV158" s="1692">
        <v>250</v>
      </c>
      <c r="AW158" s="1692">
        <v>250</v>
      </c>
      <c r="AX158" s="1692">
        <v>250</v>
      </c>
      <c r="AY158" s="1692">
        <v>250</v>
      </c>
      <c r="AZ158" s="1692">
        <v>250</v>
      </c>
      <c r="BA158" s="1615">
        <v>250</v>
      </c>
      <c r="BB158" s="1615">
        <v>250</v>
      </c>
      <c r="BC158" s="1615">
        <v>250</v>
      </c>
      <c r="BD158" s="110"/>
      <c r="BE158" s="110"/>
      <c r="DG158" s="40">
        <f t="shared" ref="DG158:DG171" si="148">(DI158)/(DJ158)</f>
        <v>0.64806034666056678</v>
      </c>
      <c r="DH158" s="1580" t="str">
        <f t="shared" si="145"/>
        <v>Refrigeration BUS 12 Year EUL</v>
      </c>
      <c r="DI158" s="57">
        <f>(INDEX('Avoided Cost Benefits'!$E$4:$E$859,MATCH(DH158,'Avoided Cost Benefits'!$A$4:$A$859,0)))*F158</f>
        <v>152.9165518311861</v>
      </c>
      <c r="DJ158" s="1581">
        <f t="shared" si="146"/>
        <v>235.96035865974514</v>
      </c>
    </row>
    <row r="159" spans="2:114" ht="15.75" customHeight="1" x14ac:dyDescent="0.35">
      <c r="C159" s="1614" t="s">
        <v>2570</v>
      </c>
      <c r="D159" s="1087" t="s">
        <v>2485</v>
      </c>
      <c r="E159" s="1105" t="s">
        <v>2571</v>
      </c>
      <c r="F159" s="965">
        <f t="shared" si="143"/>
        <v>217.32</v>
      </c>
      <c r="G159" s="1087" t="s">
        <v>2561</v>
      </c>
      <c r="H159" s="1088">
        <f>VLOOKUP(G159,'CP FACTORS'!$A$26:$B$38,2,FALSE)</f>
        <v>1.3573829999999999E-4</v>
      </c>
      <c r="I159" s="1106">
        <f t="shared" si="144"/>
        <v>2.9499000000000001E-2</v>
      </c>
      <c r="J159" s="1114">
        <f t="shared" si="147"/>
        <v>12</v>
      </c>
      <c r="K159" s="1107">
        <v>500</v>
      </c>
      <c r="L159" s="1089" t="s">
        <v>184</v>
      </c>
      <c r="M159" s="1115"/>
      <c r="P159" s="1091"/>
      <c r="Q159" s="1092"/>
      <c r="R159" s="1093"/>
      <c r="S159" s="1093"/>
      <c r="T159" s="1094"/>
      <c r="V159" s="2419" t="s">
        <v>30</v>
      </c>
      <c r="W159" s="112">
        <v>217.32375000000008</v>
      </c>
      <c r="X159" s="112">
        <v>217.32375000000008</v>
      </c>
      <c r="Y159" s="112">
        <v>217.32375000000008</v>
      </c>
      <c r="Z159" s="112">
        <v>217.32375000000008</v>
      </c>
      <c r="AA159" s="112">
        <v>217.32375000000008</v>
      </c>
      <c r="AB159" s="110">
        <v>217.32</v>
      </c>
      <c r="AC159" s="1798">
        <v>217.32</v>
      </c>
      <c r="AD159" s="1798">
        <v>217.32</v>
      </c>
      <c r="AE159" s="110"/>
      <c r="AF159" s="110"/>
      <c r="AG159" s="110"/>
      <c r="AI159" s="88" t="s">
        <v>180</v>
      </c>
      <c r="AJ159" s="51">
        <v>12</v>
      </c>
      <c r="AK159" s="51">
        <v>12</v>
      </c>
      <c r="AL159" s="51">
        <v>12</v>
      </c>
      <c r="AM159" s="51">
        <v>12</v>
      </c>
      <c r="AN159" s="51">
        <v>12</v>
      </c>
      <c r="AO159" s="48">
        <v>12</v>
      </c>
      <c r="AP159" s="48">
        <v>12</v>
      </c>
      <c r="AQ159" s="48">
        <v>12</v>
      </c>
      <c r="AR159" s="110"/>
      <c r="AS159" s="110"/>
      <c r="AU159" s="88" t="s">
        <v>169</v>
      </c>
      <c r="AV159" s="1692">
        <v>500</v>
      </c>
      <c r="AW159" s="1692">
        <v>500</v>
      </c>
      <c r="AX159" s="1692">
        <v>500</v>
      </c>
      <c r="AY159" s="1692">
        <v>500</v>
      </c>
      <c r="AZ159" s="1692">
        <v>500</v>
      </c>
      <c r="BA159" s="1615">
        <v>500</v>
      </c>
      <c r="BB159" s="1615">
        <v>500</v>
      </c>
      <c r="BC159" s="1615">
        <v>500</v>
      </c>
      <c r="BD159" s="110"/>
      <c r="BE159" s="110"/>
      <c r="DG159" s="40">
        <f t="shared" si="148"/>
        <v>0.19875874923971093</v>
      </c>
      <c r="DH159" s="1580" t="str">
        <f t="shared" si="145"/>
        <v>Refrigeration BUS 12 Year EUL</v>
      </c>
      <c r="DI159" s="57">
        <f>(INDEX('Avoided Cost Benefits'!$E$4:$E$859,MATCH(DH159,'Avoided Cost Benefits'!$A$4:$A$859,0)))*F159</f>
        <v>93.79837151472907</v>
      </c>
      <c r="DJ159" s="1581">
        <f t="shared" si="146"/>
        <v>471.92071731949028</v>
      </c>
    </row>
    <row r="160" spans="2:114" x14ac:dyDescent="0.35">
      <c r="C160" s="1614" t="s">
        <v>2572</v>
      </c>
      <c r="D160" s="1087" t="s">
        <v>2485</v>
      </c>
      <c r="E160" s="1105" t="s">
        <v>2573</v>
      </c>
      <c r="F160" s="965">
        <f t="shared" si="143"/>
        <v>226.46</v>
      </c>
      <c r="G160" s="1087" t="s">
        <v>2561</v>
      </c>
      <c r="H160" s="1088">
        <f>VLOOKUP(G160,'CP FACTORS'!$A$26:$B$38,2,FALSE)</f>
        <v>1.3573829999999999E-4</v>
      </c>
      <c r="I160" s="1106">
        <f t="shared" si="144"/>
        <v>3.0738999999999999E-2</v>
      </c>
      <c r="J160" s="1114">
        <f t="shared" si="147"/>
        <v>12</v>
      </c>
      <c r="K160" s="1107">
        <v>1307</v>
      </c>
      <c r="L160" s="1089" t="s">
        <v>184</v>
      </c>
      <c r="M160" s="1115"/>
      <c r="P160" s="1091"/>
      <c r="Q160" s="1092"/>
      <c r="R160" s="1093"/>
      <c r="S160" s="1093"/>
      <c r="T160" s="1094"/>
      <c r="V160" s="2419" t="s">
        <v>30</v>
      </c>
      <c r="W160" s="112">
        <v>226.45500000000004</v>
      </c>
      <c r="X160" s="112">
        <v>226.45500000000004</v>
      </c>
      <c r="Y160" s="112">
        <v>226.45500000000004</v>
      </c>
      <c r="Z160" s="112">
        <v>226.45500000000004</v>
      </c>
      <c r="AA160" s="112">
        <v>226.45500000000004</v>
      </c>
      <c r="AB160" s="110">
        <v>226.46</v>
      </c>
      <c r="AC160" s="1798">
        <v>226.46</v>
      </c>
      <c r="AD160" s="1798">
        <v>226.46</v>
      </c>
      <c r="AE160" s="110"/>
      <c r="AF160" s="110"/>
      <c r="AG160" s="110"/>
      <c r="AI160" s="88" t="s">
        <v>180</v>
      </c>
      <c r="AJ160" s="51">
        <v>12</v>
      </c>
      <c r="AK160" s="51">
        <v>12</v>
      </c>
      <c r="AL160" s="51">
        <v>12</v>
      </c>
      <c r="AM160" s="51">
        <v>12</v>
      </c>
      <c r="AN160" s="51">
        <v>12</v>
      </c>
      <c r="AO160" s="48">
        <v>12</v>
      </c>
      <c r="AP160" s="48">
        <v>12</v>
      </c>
      <c r="AQ160" s="48">
        <v>12</v>
      </c>
      <c r="AR160" s="110"/>
      <c r="AS160" s="110"/>
      <c r="AU160" s="88" t="s">
        <v>169</v>
      </c>
      <c r="AV160" s="1692">
        <v>1307</v>
      </c>
      <c r="AW160" s="1692">
        <v>1307</v>
      </c>
      <c r="AX160" s="1692">
        <v>1307</v>
      </c>
      <c r="AY160" s="1692">
        <v>1307</v>
      </c>
      <c r="AZ160" s="1692">
        <v>1307</v>
      </c>
      <c r="BA160" s="1615">
        <v>1307</v>
      </c>
      <c r="BB160" s="1615">
        <v>1307</v>
      </c>
      <c r="BC160" s="1615">
        <v>1307</v>
      </c>
      <c r="BD160" s="110"/>
      <c r="BE160" s="110"/>
      <c r="DG160" s="40">
        <f t="shared" si="148"/>
        <v>7.9234163718857664E-2</v>
      </c>
      <c r="DH160" s="1580" t="str">
        <f t="shared" si="145"/>
        <v>Refrigeration BUS 12 Year EUL</v>
      </c>
      <c r="DI160" s="57">
        <f>(INDEX('Avoided Cost Benefits'!$E$4:$E$859,MATCH(DH160,'Avoided Cost Benefits'!$A$4:$A$859,0)))*F160</f>
        <v>97.743324191172221</v>
      </c>
      <c r="DJ160" s="1581">
        <f t="shared" si="146"/>
        <v>1233.6007550731476</v>
      </c>
    </row>
    <row r="161" spans="3:114" x14ac:dyDescent="0.35">
      <c r="C161" s="1614" t="s">
        <v>2574</v>
      </c>
      <c r="D161" s="1087" t="s">
        <v>2485</v>
      </c>
      <c r="E161" s="1105" t="s">
        <v>2575</v>
      </c>
      <c r="F161" s="965">
        <f t="shared" si="143"/>
        <v>372.56</v>
      </c>
      <c r="G161" s="1087" t="s">
        <v>2561</v>
      </c>
      <c r="H161" s="1088">
        <f>VLOOKUP(G161,'CP FACTORS'!$A$26:$B$38,2,FALSE)</f>
        <v>1.3573829999999999E-4</v>
      </c>
      <c r="I161" s="1106">
        <f t="shared" si="144"/>
        <v>5.0570999999999998E-2</v>
      </c>
      <c r="J161" s="1114">
        <f t="shared" si="147"/>
        <v>12</v>
      </c>
      <c r="K161" s="1107">
        <v>2300</v>
      </c>
      <c r="L161" s="1089" t="s">
        <v>184</v>
      </c>
      <c r="M161" s="1115"/>
      <c r="P161" s="1091"/>
      <c r="Q161" s="1092"/>
      <c r="R161" s="1093"/>
      <c r="S161" s="1093"/>
      <c r="T161" s="1094"/>
      <c r="V161" s="2419" t="s">
        <v>30</v>
      </c>
      <c r="W161" s="112">
        <v>372.55500000000018</v>
      </c>
      <c r="X161" s="112">
        <v>372.55500000000018</v>
      </c>
      <c r="Y161" s="112">
        <v>372.55500000000018</v>
      </c>
      <c r="Z161" s="112">
        <v>372.55500000000018</v>
      </c>
      <c r="AA161" s="112">
        <v>372.55500000000018</v>
      </c>
      <c r="AB161" s="110">
        <v>372.56</v>
      </c>
      <c r="AC161" s="1798">
        <v>372.56</v>
      </c>
      <c r="AD161" s="1798">
        <v>372.56</v>
      </c>
      <c r="AE161" s="110"/>
      <c r="AF161" s="110"/>
      <c r="AG161" s="110"/>
      <c r="AI161" s="88" t="s">
        <v>180</v>
      </c>
      <c r="AJ161" s="51">
        <v>12</v>
      </c>
      <c r="AK161" s="51">
        <v>12</v>
      </c>
      <c r="AL161" s="51">
        <v>12</v>
      </c>
      <c r="AM161" s="51">
        <v>12</v>
      </c>
      <c r="AN161" s="51">
        <v>12</v>
      </c>
      <c r="AO161" s="48">
        <v>12</v>
      </c>
      <c r="AP161" s="48">
        <v>12</v>
      </c>
      <c r="AQ161" s="48">
        <v>12</v>
      </c>
      <c r="AR161" s="110"/>
      <c r="AS161" s="110"/>
      <c r="AU161" s="88" t="s">
        <v>169</v>
      </c>
      <c r="AV161" s="1692">
        <v>2300</v>
      </c>
      <c r="AW161" s="1692">
        <v>2300</v>
      </c>
      <c r="AX161" s="1692">
        <v>2300</v>
      </c>
      <c r="AY161" s="1692">
        <v>2300</v>
      </c>
      <c r="AZ161" s="1692">
        <v>2300</v>
      </c>
      <c r="BA161" s="1615">
        <v>2300</v>
      </c>
      <c r="BB161" s="1615">
        <v>2300</v>
      </c>
      <c r="BC161" s="1615">
        <v>2300</v>
      </c>
      <c r="BD161" s="110"/>
      <c r="BE161" s="110"/>
      <c r="DG161" s="40">
        <f t="shared" si="148"/>
        <v>7.4073855841462699E-2</v>
      </c>
      <c r="DH161" s="1580" t="str">
        <f t="shared" si="145"/>
        <v>Refrigeration BUS 12 Year EUL</v>
      </c>
      <c r="DI161" s="57">
        <f>(INDEX('Avoided Cost Benefits'!$E$4:$E$859,MATCH(DH161,'Avoided Cost Benefits'!$A$4:$A$859,0)))*F161</f>
        <v>160.80214104328854</v>
      </c>
      <c r="DJ161" s="1581">
        <f t="shared" si="146"/>
        <v>2170.8352996696553</v>
      </c>
    </row>
    <row r="162" spans="3:114" x14ac:dyDescent="0.35">
      <c r="C162" s="1614" t="s">
        <v>2576</v>
      </c>
      <c r="D162" s="1087" t="s">
        <v>2485</v>
      </c>
      <c r="E162" s="1105" t="s">
        <v>2577</v>
      </c>
      <c r="F162" s="965">
        <f>ROUND(((G193*AVERAGE(H$183,H$184)+AVERAGE(I$183,I$184))-(G193*H193+I193))*365.25,2)</f>
        <v>1219.94</v>
      </c>
      <c r="G162" s="1087" t="s">
        <v>2561</v>
      </c>
      <c r="H162" s="1088">
        <f>VLOOKUP(G162,'CP FACTORS'!$A$26:$B$38,2,FALSE)</f>
        <v>1.3573829999999999E-4</v>
      </c>
      <c r="I162" s="1106">
        <f t="shared" si="144"/>
        <v>0.16559299999999999</v>
      </c>
      <c r="J162" s="1114">
        <v>12</v>
      </c>
      <c r="K162" s="1107">
        <v>525</v>
      </c>
      <c r="L162" s="1089" t="s">
        <v>184</v>
      </c>
      <c r="M162" s="1115"/>
      <c r="P162" s="1091"/>
      <c r="Q162" s="1092"/>
      <c r="R162" s="1093"/>
      <c r="S162" s="1093"/>
      <c r="T162" s="1094"/>
      <c r="V162" s="2419" t="s">
        <v>30</v>
      </c>
      <c r="W162" s="112">
        <v>1219.9349999999997</v>
      </c>
      <c r="X162" s="112">
        <v>1219.9349999999997</v>
      </c>
      <c r="Y162" s="112">
        <v>1219.9349999999997</v>
      </c>
      <c r="Z162" s="112">
        <v>1219.9349999999997</v>
      </c>
      <c r="AA162" s="112">
        <v>1219.9349999999997</v>
      </c>
      <c r="AB162" s="110">
        <v>1219.94</v>
      </c>
      <c r="AC162" s="1798">
        <v>1219.94</v>
      </c>
      <c r="AD162" s="1798">
        <v>1219.94</v>
      </c>
      <c r="AE162" s="110"/>
      <c r="AF162" s="110"/>
      <c r="AG162" s="110"/>
      <c r="AI162" s="88" t="s">
        <v>180</v>
      </c>
      <c r="AJ162" s="51">
        <v>12</v>
      </c>
      <c r="AK162" s="51">
        <v>12</v>
      </c>
      <c r="AL162" s="51">
        <v>12</v>
      </c>
      <c r="AM162" s="51">
        <v>12</v>
      </c>
      <c r="AN162" s="51">
        <v>12</v>
      </c>
      <c r="AO162" s="48">
        <v>12</v>
      </c>
      <c r="AP162" s="48">
        <v>12</v>
      </c>
      <c r="AQ162" s="48">
        <v>12</v>
      </c>
      <c r="AR162" s="110"/>
      <c r="AS162" s="110"/>
      <c r="AU162" s="88" t="s">
        <v>169</v>
      </c>
      <c r="AV162" s="1692">
        <v>525</v>
      </c>
      <c r="AW162" s="1692">
        <v>525</v>
      </c>
      <c r="AX162" s="1692">
        <v>525</v>
      </c>
      <c r="AY162" s="1692">
        <v>525</v>
      </c>
      <c r="AZ162" s="1692">
        <v>525</v>
      </c>
      <c r="BA162" s="1615">
        <v>525</v>
      </c>
      <c r="BB162" s="1615">
        <v>525</v>
      </c>
      <c r="BC162" s="1615">
        <v>525</v>
      </c>
      <c r="BD162" s="110"/>
      <c r="BE162" s="110"/>
      <c r="DG162" s="40">
        <f t="shared" si="148"/>
        <v>1.0626144835681985</v>
      </c>
      <c r="DH162" s="1580" t="str">
        <f t="shared" si="145"/>
        <v>Refrigeration BUS 12 Year EUL</v>
      </c>
      <c r="DI162" s="57">
        <f>(INDEX('Avoided Cost Benefits'!$E$4:$E$859,MATCH(DH162,'Avoided Cost Benefits'!$A$4:$A$859,0)))*F162</f>
        <v>526.54327878556319</v>
      </c>
      <c r="DJ162" s="1581">
        <f t="shared" si="146"/>
        <v>495.51675318546478</v>
      </c>
    </row>
    <row r="163" spans="3:114" x14ac:dyDescent="0.35">
      <c r="C163" s="1614" t="s">
        <v>2578</v>
      </c>
      <c r="D163" s="1087" t="s">
        <v>2485</v>
      </c>
      <c r="E163" s="1105" t="s">
        <v>2579</v>
      </c>
      <c r="F163" s="965">
        <f>ROUND(((G185*J$183+K$183)-(G185*J185+K185))*365.25,2)</f>
        <v>348.81</v>
      </c>
      <c r="G163" s="1087" t="s">
        <v>2561</v>
      </c>
      <c r="H163" s="1088">
        <f>VLOOKUP(G163,'CP FACTORS'!$A$26:$B$38,2,FALSE)</f>
        <v>1.3573829999999999E-4</v>
      </c>
      <c r="I163" s="1106">
        <f t="shared" si="144"/>
        <v>4.7347E-2</v>
      </c>
      <c r="J163" s="1114">
        <v>12</v>
      </c>
      <c r="K163" s="1107">
        <v>150</v>
      </c>
      <c r="L163" s="1089" t="s">
        <v>184</v>
      </c>
      <c r="M163" s="1115"/>
      <c r="N163" s="1116"/>
      <c r="O163" s="1116"/>
      <c r="P163" s="1091"/>
      <c r="Q163" s="1092"/>
      <c r="R163" s="1093"/>
      <c r="S163" s="1093"/>
      <c r="T163" s="1094"/>
      <c r="V163" s="2419" t="s">
        <v>30</v>
      </c>
      <c r="W163" s="112">
        <v>348.81375000000003</v>
      </c>
      <c r="X163" s="112">
        <v>348.81375000000003</v>
      </c>
      <c r="Y163" s="112">
        <v>348.81375000000003</v>
      </c>
      <c r="Z163" s="112">
        <v>348.81375000000003</v>
      </c>
      <c r="AA163" s="112">
        <v>348.81375000000003</v>
      </c>
      <c r="AB163" s="110">
        <v>348.81</v>
      </c>
      <c r="AC163" s="1798">
        <v>348.81</v>
      </c>
      <c r="AD163" s="1798">
        <v>348.81</v>
      </c>
      <c r="AE163" s="110"/>
      <c r="AF163" s="110"/>
      <c r="AG163" s="110"/>
      <c r="AI163" s="88" t="s">
        <v>180</v>
      </c>
      <c r="AJ163" s="51">
        <v>12</v>
      </c>
      <c r="AK163" s="51">
        <v>12</v>
      </c>
      <c r="AL163" s="51">
        <v>12</v>
      </c>
      <c r="AM163" s="51">
        <v>12</v>
      </c>
      <c r="AN163" s="51">
        <v>12</v>
      </c>
      <c r="AO163" s="48">
        <v>12</v>
      </c>
      <c r="AP163" s="48">
        <v>12</v>
      </c>
      <c r="AQ163" s="48">
        <v>12</v>
      </c>
      <c r="AR163" s="110"/>
      <c r="AS163" s="110"/>
      <c r="AU163" s="88" t="s">
        <v>169</v>
      </c>
      <c r="AV163" s="1692">
        <v>150</v>
      </c>
      <c r="AW163" s="1692">
        <v>150</v>
      </c>
      <c r="AX163" s="1692">
        <v>150</v>
      </c>
      <c r="AY163" s="1692">
        <v>150</v>
      </c>
      <c r="AZ163" s="1692">
        <v>150</v>
      </c>
      <c r="BA163" s="1615">
        <v>150</v>
      </c>
      <c r="BB163" s="1615">
        <v>150</v>
      </c>
      <c r="BC163" s="1615">
        <v>150</v>
      </c>
      <c r="BD163" s="110"/>
      <c r="BE163" s="110"/>
      <c r="DG163" s="40">
        <f t="shared" si="148"/>
        <v>1.0633940628612732</v>
      </c>
      <c r="DH163" s="1580" t="str">
        <f t="shared" si="145"/>
        <v>Refrigeration BUS 12 Year EUL</v>
      </c>
      <c r="DI163" s="57">
        <f>(INDEX('Avoided Cost Benefits'!$E$4:$E$859,MATCH(DH163,'Avoided Cost Benefits'!$A$4:$A$859,0)))*F163</f>
        <v>150.55130668163375</v>
      </c>
      <c r="DJ163" s="1581">
        <f t="shared" si="146"/>
        <v>141.57621519584708</v>
      </c>
    </row>
    <row r="164" spans="3:114" x14ac:dyDescent="0.35">
      <c r="C164" s="1614" t="s">
        <v>2580</v>
      </c>
      <c r="D164" s="1087" t="s">
        <v>2485</v>
      </c>
      <c r="E164" s="1105" t="s">
        <v>2581</v>
      </c>
      <c r="F164" s="965">
        <f>ROUND(((G186*J$183+K$183)-(G186*J186+K186))*365.25,2)</f>
        <v>1307.5999999999999</v>
      </c>
      <c r="G164" s="1087" t="s">
        <v>2561</v>
      </c>
      <c r="H164" s="1088">
        <f>VLOOKUP(G164,'CP FACTORS'!$A$26:$B$38,2,FALSE)</f>
        <v>1.3573829999999999E-4</v>
      </c>
      <c r="I164" s="1106">
        <f t="shared" si="144"/>
        <v>0.17749100000000001</v>
      </c>
      <c r="J164" s="1114">
        <v>12</v>
      </c>
      <c r="K164" s="1107">
        <v>400</v>
      </c>
      <c r="L164" s="1089" t="s">
        <v>184</v>
      </c>
      <c r="M164" s="1115"/>
      <c r="N164" s="1116"/>
      <c r="O164" s="1116"/>
      <c r="P164" s="1091"/>
      <c r="Q164" s="1092"/>
      <c r="R164" s="1093"/>
      <c r="S164" s="1093"/>
      <c r="T164" s="1094"/>
      <c r="V164" s="2419" t="s">
        <v>30</v>
      </c>
      <c r="W164" s="112">
        <v>1307.5949999999998</v>
      </c>
      <c r="X164" s="112">
        <v>1307.5949999999998</v>
      </c>
      <c r="Y164" s="112">
        <v>1307.5949999999998</v>
      </c>
      <c r="Z164" s="112">
        <v>1307.5949999999998</v>
      </c>
      <c r="AA164" s="112">
        <v>1307.5949999999998</v>
      </c>
      <c r="AB164" s="110">
        <v>1307.5999999999999</v>
      </c>
      <c r="AC164" s="1798">
        <v>1307.5999999999999</v>
      </c>
      <c r="AD164" s="1798">
        <v>1307.5999999999999</v>
      </c>
      <c r="AE164" s="110"/>
      <c r="AF164" s="110"/>
      <c r="AG164" s="110"/>
      <c r="AI164" s="88" t="s">
        <v>180</v>
      </c>
      <c r="AJ164" s="51">
        <v>12</v>
      </c>
      <c r="AK164" s="51">
        <v>12</v>
      </c>
      <c r="AL164" s="51">
        <v>12</v>
      </c>
      <c r="AM164" s="51">
        <v>12</v>
      </c>
      <c r="AN164" s="51">
        <v>12</v>
      </c>
      <c r="AO164" s="48">
        <v>12</v>
      </c>
      <c r="AP164" s="48">
        <v>12</v>
      </c>
      <c r="AQ164" s="48">
        <v>12</v>
      </c>
      <c r="AR164" s="110"/>
      <c r="AS164" s="110"/>
      <c r="AU164" s="88" t="s">
        <v>169</v>
      </c>
      <c r="AV164" s="1692">
        <v>400</v>
      </c>
      <c r="AW164" s="1692">
        <v>400</v>
      </c>
      <c r="AX164" s="1692">
        <v>400</v>
      </c>
      <c r="AY164" s="1692">
        <v>400</v>
      </c>
      <c r="AZ164" s="1692">
        <v>400</v>
      </c>
      <c r="BA164" s="1615">
        <v>400</v>
      </c>
      <c r="BB164" s="1615">
        <v>400</v>
      </c>
      <c r="BC164" s="1615">
        <v>400</v>
      </c>
      <c r="BD164" s="110"/>
      <c r="BE164" s="110"/>
      <c r="DG164" s="40">
        <f t="shared" si="148"/>
        <v>1.4948977343654863</v>
      </c>
      <c r="DH164" s="1580" t="str">
        <f t="shared" si="145"/>
        <v>Refrigeration BUS 12 Year EUL</v>
      </c>
      <c r="DI164" s="57">
        <f>(INDEX('Avoided Cost Benefits'!$E$4:$E$859,MATCH(DH164,'Avoided Cost Benefits'!$A$4:$A$859,0)))*F164</f>
        <v>564.37856889683292</v>
      </c>
      <c r="DJ164" s="1581">
        <f t="shared" si="146"/>
        <v>377.53657385559222</v>
      </c>
    </row>
    <row r="165" spans="3:114" x14ac:dyDescent="0.35">
      <c r="C165" s="1614" t="s">
        <v>2582</v>
      </c>
      <c r="D165" s="1087" t="s">
        <v>2485</v>
      </c>
      <c r="E165" s="1105" t="s">
        <v>2583</v>
      </c>
      <c r="F165" s="965">
        <f>ROUND(((G187*J$183+K$183)-(G187*J187+K187))*365.25,2)</f>
        <v>2403.35</v>
      </c>
      <c r="G165" s="1087" t="s">
        <v>2561</v>
      </c>
      <c r="H165" s="1088">
        <f>VLOOKUP(G165,'CP FACTORS'!$A$26:$B$38,2,FALSE)</f>
        <v>1.3573829999999999E-4</v>
      </c>
      <c r="I165" s="1106">
        <f t="shared" si="144"/>
        <v>0.32622699999999999</v>
      </c>
      <c r="J165" s="1114">
        <v>12</v>
      </c>
      <c r="K165" s="1107">
        <v>550</v>
      </c>
      <c r="L165" s="1089" t="s">
        <v>184</v>
      </c>
      <c r="M165" s="1115"/>
      <c r="N165" s="1116"/>
      <c r="O165" s="1116"/>
      <c r="P165" s="1091"/>
      <c r="Q165" s="1092"/>
      <c r="R165" s="1093"/>
      <c r="S165" s="1093"/>
      <c r="T165" s="1094"/>
      <c r="V165" s="2419" t="s">
        <v>30</v>
      </c>
      <c r="W165" s="112">
        <v>2403.3449999999993</v>
      </c>
      <c r="X165" s="112">
        <v>2403.3449999999993</v>
      </c>
      <c r="Y165" s="112">
        <v>2403.3449999999993</v>
      </c>
      <c r="Z165" s="112">
        <v>2403.3449999999993</v>
      </c>
      <c r="AA165" s="112">
        <v>2403.3449999999993</v>
      </c>
      <c r="AB165" s="110">
        <v>2403.35</v>
      </c>
      <c r="AC165" s="1798">
        <v>2403.35</v>
      </c>
      <c r="AD165" s="1798">
        <v>2403.35</v>
      </c>
      <c r="AE165" s="110"/>
      <c r="AF165" s="110"/>
      <c r="AG165" s="110"/>
      <c r="AI165" s="88" t="s">
        <v>180</v>
      </c>
      <c r="AJ165" s="51">
        <v>12</v>
      </c>
      <c r="AK165" s="51">
        <v>12</v>
      </c>
      <c r="AL165" s="51">
        <v>12</v>
      </c>
      <c r="AM165" s="51">
        <v>12</v>
      </c>
      <c r="AN165" s="51">
        <v>12</v>
      </c>
      <c r="AO165" s="48">
        <v>12</v>
      </c>
      <c r="AP165" s="48">
        <v>12</v>
      </c>
      <c r="AQ165" s="48">
        <v>12</v>
      </c>
      <c r="AR165" s="110"/>
      <c r="AS165" s="110"/>
      <c r="AU165" s="88" t="s">
        <v>169</v>
      </c>
      <c r="AV165" s="1692">
        <v>550</v>
      </c>
      <c r="AW165" s="1692">
        <v>550</v>
      </c>
      <c r="AX165" s="1692">
        <v>550</v>
      </c>
      <c r="AY165" s="1692">
        <v>550</v>
      </c>
      <c r="AZ165" s="1692">
        <v>550</v>
      </c>
      <c r="BA165" s="1615">
        <v>550</v>
      </c>
      <c r="BB165" s="1615">
        <v>550</v>
      </c>
      <c r="BC165" s="1615">
        <v>550</v>
      </c>
      <c r="BD165" s="110"/>
      <c r="BE165" s="110"/>
      <c r="DG165" s="40">
        <f t="shared" si="148"/>
        <v>1.9982549402860434</v>
      </c>
      <c r="DH165" s="1580" t="str">
        <f t="shared" si="145"/>
        <v>Refrigeration BUS 12 Year EUL</v>
      </c>
      <c r="DI165" s="57">
        <f>(INDEX('Avoided Cost Benefits'!$E$4:$E$859,MATCH(DH165,'Avoided Cost Benefits'!$A$4:$A$859,0)))*F165</f>
        <v>1037.3196952877054</v>
      </c>
      <c r="DJ165" s="1581">
        <f t="shared" si="146"/>
        <v>519.11278905143934</v>
      </c>
    </row>
    <row r="166" spans="3:114" ht="15.75" customHeight="1" x14ac:dyDescent="0.35">
      <c r="C166" s="1614" t="s">
        <v>2584</v>
      </c>
      <c r="D166" s="1087" t="s">
        <v>2485</v>
      </c>
      <c r="E166" s="1105" t="s">
        <v>2585</v>
      </c>
      <c r="F166" s="965">
        <f>ROUND(((G188*J$183+K$183)-(G188*J188+K188))*365.25,2)</f>
        <v>2951.22</v>
      </c>
      <c r="G166" s="1087" t="s">
        <v>2561</v>
      </c>
      <c r="H166" s="1088">
        <f>VLOOKUP(G166,'CP FACTORS'!$A$26:$B$38,2,FALSE)</f>
        <v>1.3573829999999999E-4</v>
      </c>
      <c r="I166" s="1106">
        <f t="shared" si="144"/>
        <v>0.40059400000000001</v>
      </c>
      <c r="J166" s="1114">
        <v>12</v>
      </c>
      <c r="K166" s="1107">
        <v>700</v>
      </c>
      <c r="L166" s="1089" t="s">
        <v>184</v>
      </c>
      <c r="M166" s="1115"/>
      <c r="P166" s="1091"/>
      <c r="Q166" s="1092"/>
      <c r="R166" s="1093"/>
      <c r="S166" s="1093"/>
      <c r="T166" s="1094"/>
      <c r="V166" s="2419" t="s">
        <v>30</v>
      </c>
      <c r="W166" s="112">
        <v>2951.2199999999993</v>
      </c>
      <c r="X166" s="112">
        <v>2951.2199999999993</v>
      </c>
      <c r="Y166" s="112">
        <v>2951.2199999999993</v>
      </c>
      <c r="Z166" s="112">
        <v>2951.2199999999993</v>
      </c>
      <c r="AA166" s="112">
        <v>2951.2199999999993</v>
      </c>
      <c r="AB166" s="110">
        <v>2951.22</v>
      </c>
      <c r="AC166" s="1798">
        <v>2951.22</v>
      </c>
      <c r="AD166" s="1798">
        <v>2951.22</v>
      </c>
      <c r="AE166" s="110"/>
      <c r="AF166" s="110"/>
      <c r="AG166" s="110"/>
      <c r="AI166" s="88" t="s">
        <v>180</v>
      </c>
      <c r="AJ166" s="51">
        <v>12</v>
      </c>
      <c r="AK166" s="51">
        <v>12</v>
      </c>
      <c r="AL166" s="51">
        <v>12</v>
      </c>
      <c r="AM166" s="51">
        <v>12</v>
      </c>
      <c r="AN166" s="51">
        <v>12</v>
      </c>
      <c r="AO166" s="48">
        <v>12</v>
      </c>
      <c r="AP166" s="48">
        <v>12</v>
      </c>
      <c r="AQ166" s="48">
        <v>12</v>
      </c>
      <c r="AR166" s="110"/>
      <c r="AS166" s="110"/>
      <c r="AU166" s="88" t="s">
        <v>169</v>
      </c>
      <c r="AV166" s="1692">
        <v>700</v>
      </c>
      <c r="AW166" s="1692">
        <v>700</v>
      </c>
      <c r="AX166" s="1692">
        <v>700</v>
      </c>
      <c r="AY166" s="1692">
        <v>700</v>
      </c>
      <c r="AZ166" s="1692">
        <v>700</v>
      </c>
      <c r="BA166" s="1615">
        <v>700</v>
      </c>
      <c r="BB166" s="1615">
        <v>700</v>
      </c>
      <c r="BC166" s="1615">
        <v>700</v>
      </c>
      <c r="BD166" s="110"/>
      <c r="BE166" s="110"/>
      <c r="DG166" s="40">
        <f t="shared" si="148"/>
        <v>1.927969274839012</v>
      </c>
      <c r="DH166" s="1580" t="str">
        <f t="shared" si="145"/>
        <v>Refrigeration BUS 12 Year EUL</v>
      </c>
      <c r="DI166" s="57">
        <f>(INDEX('Avoided Cost Benefits'!$E$4:$E$859,MATCH(DH166,'Avoided Cost Benefits'!$A$4:$A$859,0)))*F166</f>
        <v>1273.7881004127496</v>
      </c>
      <c r="DJ166" s="1581">
        <f t="shared" si="146"/>
        <v>660.68900424728633</v>
      </c>
    </row>
    <row r="167" spans="3:114" x14ac:dyDescent="0.35">
      <c r="C167" s="1614" t="s">
        <v>2586</v>
      </c>
      <c r="D167" s="1087" t="s">
        <v>2485</v>
      </c>
      <c r="E167" s="1105" t="s">
        <v>2587</v>
      </c>
      <c r="F167" s="965">
        <f>ROUND(((G189*J$184+K$184)-(G189*J189+K189))*365.25,2)</f>
        <v>1429.95</v>
      </c>
      <c r="G167" s="1087" t="s">
        <v>2561</v>
      </c>
      <c r="H167" s="1088">
        <f>VLOOKUP(G167,'CP FACTORS'!$A$26:$B$38,2,FALSE)</f>
        <v>1.3573829999999999E-4</v>
      </c>
      <c r="I167" s="1106">
        <f t="shared" si="144"/>
        <v>0.19409899999999999</v>
      </c>
      <c r="J167" s="1114">
        <v>12</v>
      </c>
      <c r="K167" s="1107">
        <v>220</v>
      </c>
      <c r="L167" s="1089" t="s">
        <v>184</v>
      </c>
      <c r="M167" s="1115"/>
      <c r="P167" s="1091"/>
      <c r="Q167" s="1092"/>
      <c r="R167" s="1093"/>
      <c r="S167" s="1093"/>
      <c r="T167" s="1094"/>
      <c r="V167" s="2419" t="s">
        <v>30</v>
      </c>
      <c r="W167" s="112">
        <v>1429.9537499999997</v>
      </c>
      <c r="X167" s="112">
        <v>1429.9537499999997</v>
      </c>
      <c r="Y167" s="112">
        <v>1429.9537499999997</v>
      </c>
      <c r="Z167" s="112">
        <v>1429.9537499999997</v>
      </c>
      <c r="AA167" s="112">
        <v>1429.9537499999997</v>
      </c>
      <c r="AB167" s="110">
        <v>1429.95</v>
      </c>
      <c r="AC167" s="1798">
        <v>1429.95</v>
      </c>
      <c r="AD167" s="1798">
        <v>1429.95</v>
      </c>
      <c r="AE167" s="110"/>
      <c r="AF167" s="110"/>
      <c r="AG167" s="110"/>
      <c r="AI167" s="88" t="s">
        <v>180</v>
      </c>
      <c r="AJ167" s="51">
        <v>12</v>
      </c>
      <c r="AK167" s="51">
        <v>12</v>
      </c>
      <c r="AL167" s="51">
        <v>12</v>
      </c>
      <c r="AM167" s="51">
        <v>12</v>
      </c>
      <c r="AN167" s="51">
        <v>12</v>
      </c>
      <c r="AO167" s="48">
        <v>12</v>
      </c>
      <c r="AP167" s="48">
        <v>12</v>
      </c>
      <c r="AQ167" s="48">
        <v>12</v>
      </c>
      <c r="AR167" s="110"/>
      <c r="AS167" s="110"/>
      <c r="AU167" s="88" t="s">
        <v>169</v>
      </c>
      <c r="AV167" s="1692">
        <v>220</v>
      </c>
      <c r="AW167" s="1692">
        <v>220</v>
      </c>
      <c r="AX167" s="1692">
        <v>220</v>
      </c>
      <c r="AY167" s="1692">
        <v>220</v>
      </c>
      <c r="AZ167" s="1692">
        <v>220</v>
      </c>
      <c r="BA167" s="1615">
        <v>220</v>
      </c>
      <c r="BB167" s="1615">
        <v>220</v>
      </c>
      <c r="BC167" s="1615">
        <v>220</v>
      </c>
      <c r="BD167" s="110"/>
      <c r="BE167" s="110"/>
      <c r="DG167" s="40">
        <f t="shared" si="148"/>
        <v>2.9723143236129026</v>
      </c>
      <c r="DH167" s="1580" t="str">
        <f t="shared" si="145"/>
        <v>Refrigeration BUS 12 Year EUL</v>
      </c>
      <c r="DI167" s="57">
        <f>(INDEX('Avoided Cost Benefits'!$E$4:$E$859,MATCH(DH167,'Avoided Cost Benefits'!$A$4:$A$859,0)))*F167</f>
        <v>617.18655138729446</v>
      </c>
      <c r="DJ167" s="1581">
        <f t="shared" si="146"/>
        <v>207.64511562057572</v>
      </c>
    </row>
    <row r="168" spans="3:114" x14ac:dyDescent="0.35">
      <c r="C168" s="1614" t="s">
        <v>2588</v>
      </c>
      <c r="D168" s="1087" t="s">
        <v>2485</v>
      </c>
      <c r="E168" s="1105" t="s">
        <v>2589</v>
      </c>
      <c r="F168" s="965">
        <f>ROUND(((G190*J$184+K$184)-(G190*J190+K190))*365.25,2)</f>
        <v>3186.81</v>
      </c>
      <c r="G168" s="1087" t="s">
        <v>2561</v>
      </c>
      <c r="H168" s="1088">
        <f>VLOOKUP(G168,'CP FACTORS'!$A$26:$B$38,2,FALSE)</f>
        <v>1.3573829999999999E-4</v>
      </c>
      <c r="I168" s="1106">
        <f t="shared" si="144"/>
        <v>0.43257200000000001</v>
      </c>
      <c r="J168" s="1114">
        <v>12</v>
      </c>
      <c r="K168" s="1107">
        <v>950</v>
      </c>
      <c r="L168" s="1089" t="s">
        <v>184</v>
      </c>
      <c r="M168" s="1115"/>
      <c r="P168" s="1091"/>
      <c r="Q168" s="1092"/>
      <c r="R168" s="1093"/>
      <c r="S168" s="1093"/>
      <c r="T168" s="1094"/>
      <c r="V168" s="2419" t="s">
        <v>30</v>
      </c>
      <c r="W168" s="112">
        <v>3186.8062500000005</v>
      </c>
      <c r="X168" s="112">
        <v>3186.8062500000005</v>
      </c>
      <c r="Y168" s="112">
        <v>3186.8062500000005</v>
      </c>
      <c r="Z168" s="112">
        <v>3186.8062500000005</v>
      </c>
      <c r="AA168" s="112">
        <v>3186.8062500000005</v>
      </c>
      <c r="AB168" s="110">
        <v>3186.81</v>
      </c>
      <c r="AC168" s="1798">
        <v>3186.81</v>
      </c>
      <c r="AD168" s="1798">
        <v>3186.81</v>
      </c>
      <c r="AE168" s="110"/>
      <c r="AF168" s="110"/>
      <c r="AG168" s="110"/>
      <c r="AI168" s="88" t="s">
        <v>180</v>
      </c>
      <c r="AJ168" s="51">
        <v>12</v>
      </c>
      <c r="AK168" s="51">
        <v>12</v>
      </c>
      <c r="AL168" s="51">
        <v>12</v>
      </c>
      <c r="AM168" s="51">
        <v>12</v>
      </c>
      <c r="AN168" s="51">
        <v>12</v>
      </c>
      <c r="AO168" s="48">
        <v>12</v>
      </c>
      <c r="AP168" s="48">
        <v>12</v>
      </c>
      <c r="AQ168" s="48">
        <v>12</v>
      </c>
      <c r="AR168" s="110"/>
      <c r="AS168" s="110"/>
      <c r="AU168" s="88" t="s">
        <v>169</v>
      </c>
      <c r="AV168" s="1692">
        <v>950</v>
      </c>
      <c r="AW168" s="1692">
        <v>950</v>
      </c>
      <c r="AX168" s="1692">
        <v>950</v>
      </c>
      <c r="AY168" s="1692">
        <v>950</v>
      </c>
      <c r="AZ168" s="1692">
        <v>950</v>
      </c>
      <c r="BA168" s="1615">
        <v>950</v>
      </c>
      <c r="BB168" s="1615">
        <v>950</v>
      </c>
      <c r="BC168" s="1615">
        <v>950</v>
      </c>
      <c r="BD168" s="110"/>
      <c r="BE168" s="110"/>
      <c r="DG168" s="40">
        <f t="shared" si="148"/>
        <v>1.5340133145025117</v>
      </c>
      <c r="DH168" s="1580" t="str">
        <f t="shared" si="145"/>
        <v>Refrigeration BUS 12 Year EUL</v>
      </c>
      <c r="DI168" s="57">
        <f>(INDEX('Avoided Cost Benefits'!$E$4:$E$859,MATCH(DH168,'Avoided Cost Benefits'!$A$4:$A$859,0)))*F168</f>
        <v>1375.472061139581</v>
      </c>
      <c r="DJ168" s="1581">
        <f t="shared" si="146"/>
        <v>896.64936290703156</v>
      </c>
    </row>
    <row r="169" spans="3:114" x14ac:dyDescent="0.35">
      <c r="C169" s="1614" t="s">
        <v>2590</v>
      </c>
      <c r="D169" s="1087" t="s">
        <v>2485</v>
      </c>
      <c r="E169" s="1105" t="s">
        <v>2591</v>
      </c>
      <c r="F169" s="965">
        <f>ROUND(((G191*J$184+K$184)-(G191*J191+K191))*365.25,2)</f>
        <v>5150.03</v>
      </c>
      <c r="G169" s="1087" t="s">
        <v>2561</v>
      </c>
      <c r="H169" s="1088">
        <f>VLOOKUP(G169,'CP FACTORS'!$A$26:$B$38,2,FALSE)</f>
        <v>1.3573829999999999E-4</v>
      </c>
      <c r="I169" s="1106">
        <f t="shared" si="144"/>
        <v>0.69905600000000001</v>
      </c>
      <c r="J169" s="1114">
        <v>12</v>
      </c>
      <c r="K169" s="1107">
        <v>1307</v>
      </c>
      <c r="L169" s="1089" t="s">
        <v>184</v>
      </c>
      <c r="M169" s="1115"/>
      <c r="P169" s="1091"/>
      <c r="Q169" s="1092"/>
      <c r="R169" s="1093"/>
      <c r="S169" s="1093"/>
      <c r="T169" s="1094"/>
      <c r="V169" s="2419" t="s">
        <v>30</v>
      </c>
      <c r="W169" s="112">
        <v>5150.0250000000005</v>
      </c>
      <c r="X169" s="112">
        <v>5150.0250000000005</v>
      </c>
      <c r="Y169" s="112">
        <v>5150.0250000000005</v>
      </c>
      <c r="Z169" s="112">
        <v>5150.0250000000005</v>
      </c>
      <c r="AA169" s="112">
        <v>5150.0250000000005</v>
      </c>
      <c r="AB169" s="110">
        <v>5150.03</v>
      </c>
      <c r="AC169" s="1798">
        <v>5150.03</v>
      </c>
      <c r="AD169" s="1798">
        <v>5150.03</v>
      </c>
      <c r="AE169" s="110"/>
      <c r="AF169" s="110"/>
      <c r="AG169" s="110"/>
      <c r="AI169" s="88" t="s">
        <v>180</v>
      </c>
      <c r="AJ169" s="51">
        <v>12</v>
      </c>
      <c r="AK169" s="51">
        <v>12</v>
      </c>
      <c r="AL169" s="51">
        <v>12</v>
      </c>
      <c r="AM169" s="51">
        <v>12</v>
      </c>
      <c r="AN169" s="51">
        <v>12</v>
      </c>
      <c r="AO169" s="48">
        <v>12</v>
      </c>
      <c r="AP169" s="48">
        <v>12</v>
      </c>
      <c r="AQ169" s="48">
        <v>12</v>
      </c>
      <c r="AR169" s="110"/>
      <c r="AS169" s="110"/>
      <c r="AU169" s="88" t="s">
        <v>169</v>
      </c>
      <c r="AV169" s="1692">
        <v>1307</v>
      </c>
      <c r="AW169" s="1692">
        <v>1307</v>
      </c>
      <c r="AX169" s="1692">
        <v>1307</v>
      </c>
      <c r="AY169" s="1692">
        <v>1307</v>
      </c>
      <c r="AZ169" s="1692">
        <v>1307</v>
      </c>
      <c r="BA169" s="1615">
        <v>1307</v>
      </c>
      <c r="BB169" s="1615">
        <v>1307</v>
      </c>
      <c r="BC169" s="1615">
        <v>1307</v>
      </c>
      <c r="BD169" s="110"/>
      <c r="BE169" s="110"/>
      <c r="DG169" s="40">
        <f t="shared" si="148"/>
        <v>1.8019002039081009</v>
      </c>
      <c r="DH169" s="1580" t="str">
        <f t="shared" si="145"/>
        <v>Refrigeration BUS 12 Year EUL</v>
      </c>
      <c r="DI169" s="57">
        <f>(INDEX('Avoided Cost Benefits'!$E$4:$E$859,MATCH(DH169,'Avoided Cost Benefits'!$A$4:$A$859,0)))*F169</f>
        <v>2222.8254521074919</v>
      </c>
      <c r="DJ169" s="1581">
        <f t="shared" si="146"/>
        <v>1233.6007550731476</v>
      </c>
    </row>
    <row r="170" spans="3:114" x14ac:dyDescent="0.35">
      <c r="C170" s="1614" t="s">
        <v>2592</v>
      </c>
      <c r="D170" s="1087" t="s">
        <v>2485</v>
      </c>
      <c r="E170" s="1105" t="s">
        <v>2593</v>
      </c>
      <c r="F170" s="965">
        <f>ROUND(((G192*J$184+K$184)-(G192*J192+K192))*365.25,2)</f>
        <v>5884.18</v>
      </c>
      <c r="G170" s="1087" t="s">
        <v>2561</v>
      </c>
      <c r="H170" s="1088">
        <f>VLOOKUP(G170,'CP FACTORS'!$A$26:$B$38,2,FALSE)</f>
        <v>1.3573829999999999E-4</v>
      </c>
      <c r="I170" s="1106">
        <f t="shared" si="144"/>
        <v>0.798709</v>
      </c>
      <c r="J170" s="1114">
        <v>12</v>
      </c>
      <c r="K170" s="1107">
        <v>2300</v>
      </c>
      <c r="L170" s="1089" t="s">
        <v>184</v>
      </c>
      <c r="M170" s="1115"/>
      <c r="V170" s="2419" t="s">
        <v>30</v>
      </c>
      <c r="W170" s="112">
        <v>5884.1774999999998</v>
      </c>
      <c r="X170" s="112">
        <v>5884.1774999999998</v>
      </c>
      <c r="Y170" s="112">
        <v>5884.1774999999998</v>
      </c>
      <c r="Z170" s="112">
        <v>5884.1774999999998</v>
      </c>
      <c r="AA170" s="112">
        <v>5884.1774999999998</v>
      </c>
      <c r="AB170" s="110">
        <v>5884.18</v>
      </c>
      <c r="AC170" s="1798">
        <v>5884.18</v>
      </c>
      <c r="AD170" s="1798">
        <v>5884.18</v>
      </c>
      <c r="AE170" s="110"/>
      <c r="AF170" s="110"/>
      <c r="AG170" s="110"/>
      <c r="AI170" s="88" t="s">
        <v>180</v>
      </c>
      <c r="AJ170" s="51">
        <v>12</v>
      </c>
      <c r="AK170" s="51">
        <v>12</v>
      </c>
      <c r="AL170" s="51">
        <v>12</v>
      </c>
      <c r="AM170" s="51">
        <v>12</v>
      </c>
      <c r="AN170" s="51">
        <v>12</v>
      </c>
      <c r="AO170" s="48">
        <v>12</v>
      </c>
      <c r="AP170" s="48">
        <v>12</v>
      </c>
      <c r="AQ170" s="48">
        <v>12</v>
      </c>
      <c r="AR170" s="110"/>
      <c r="AS170" s="110"/>
      <c r="AU170" s="88" t="s">
        <v>169</v>
      </c>
      <c r="AV170" s="1692">
        <v>2300</v>
      </c>
      <c r="AW170" s="1692">
        <v>2300</v>
      </c>
      <c r="AX170" s="1692">
        <v>2300</v>
      </c>
      <c r="AY170" s="1692">
        <v>2300</v>
      </c>
      <c r="AZ170" s="1692">
        <v>2300</v>
      </c>
      <c r="BA170" s="1615">
        <v>2300</v>
      </c>
      <c r="BB170" s="1615">
        <v>2300</v>
      </c>
      <c r="BC170" s="1615">
        <v>2300</v>
      </c>
      <c r="BD170" s="110"/>
      <c r="BE170" s="110"/>
      <c r="DG170" s="40">
        <f t="shared" si="148"/>
        <v>1.1699159895458933</v>
      </c>
      <c r="DH170" s="1580" t="str">
        <f t="shared" si="145"/>
        <v>Refrigeration BUS 12 Year EUL</v>
      </c>
      <c r="DI170" s="57">
        <f>(INDEX('Avoided Cost Benefits'!$E$4:$E$859,MATCH(DH170,'Avoided Cost Benefits'!$A$4:$A$859,0)))*F170</f>
        <v>2539.6949277541808</v>
      </c>
      <c r="DJ170" s="1581">
        <f t="shared" si="146"/>
        <v>2170.8352996696553</v>
      </c>
    </row>
    <row r="171" spans="3:114" x14ac:dyDescent="0.35">
      <c r="C171" s="1983" t="s">
        <v>2594</v>
      </c>
      <c r="D171" s="1087" t="s">
        <v>2485</v>
      </c>
      <c r="E171" s="1105" t="s">
        <v>2595</v>
      </c>
      <c r="F171" s="965">
        <f>ROUND(((G193*AVERAGE(J$183,J$184)+AVERAGE(K$183,K$184))-(G193*J193+K193))*365.25,2)</f>
        <v>5265.08</v>
      </c>
      <c r="G171" s="1087" t="s">
        <v>2561</v>
      </c>
      <c r="H171" s="1088">
        <f>VLOOKUP(G171,'CP FACTORS'!$A$26:$B$38,2,FALSE)</f>
        <v>1.3573829999999999E-4</v>
      </c>
      <c r="I171" s="1106">
        <f t="shared" si="144"/>
        <v>0.714673</v>
      </c>
      <c r="J171" s="1114">
        <v>12</v>
      </c>
      <c r="K171" s="1107">
        <v>595</v>
      </c>
      <c r="L171" s="1089" t="s">
        <v>184</v>
      </c>
      <c r="V171" s="2419" t="s">
        <v>30</v>
      </c>
      <c r="W171" s="112">
        <v>5265.0787499999997</v>
      </c>
      <c r="X171" s="112">
        <v>5265.0787499999997</v>
      </c>
      <c r="Y171" s="112">
        <v>5265.0787499999997</v>
      </c>
      <c r="Z171" s="112">
        <v>5265.0787499999997</v>
      </c>
      <c r="AA171" s="112">
        <v>5265.0787499999997</v>
      </c>
      <c r="AB171" s="110">
        <v>5265.08</v>
      </c>
      <c r="AC171" s="1798">
        <v>5265.08</v>
      </c>
      <c r="AD171" s="1798">
        <v>5265.08</v>
      </c>
      <c r="AE171" s="110"/>
      <c r="AF171" s="110"/>
      <c r="AG171" s="110"/>
      <c r="AI171" s="88" t="s">
        <v>180</v>
      </c>
      <c r="AJ171" s="51">
        <v>12</v>
      </c>
      <c r="AK171" s="51">
        <v>12</v>
      </c>
      <c r="AL171" s="51">
        <v>12</v>
      </c>
      <c r="AM171" s="51">
        <v>12</v>
      </c>
      <c r="AN171" s="51">
        <v>12</v>
      </c>
      <c r="AO171" s="48">
        <v>12</v>
      </c>
      <c r="AP171" s="48">
        <v>12</v>
      </c>
      <c r="AQ171" s="48">
        <v>12</v>
      </c>
      <c r="AR171" s="110"/>
      <c r="AS171" s="110"/>
      <c r="AU171" s="88" t="s">
        <v>169</v>
      </c>
      <c r="AV171" s="1692">
        <v>595</v>
      </c>
      <c r="AW171" s="1692">
        <v>595</v>
      </c>
      <c r="AX171" s="1692">
        <v>595</v>
      </c>
      <c r="AY171" s="1692">
        <v>595</v>
      </c>
      <c r="AZ171" s="1692">
        <v>595</v>
      </c>
      <c r="BA171" s="1615">
        <v>595</v>
      </c>
      <c r="BB171" s="1615">
        <v>595</v>
      </c>
      <c r="BC171" s="1615">
        <v>595</v>
      </c>
      <c r="BD171" s="110"/>
      <c r="BE171" s="110"/>
      <c r="DG171" s="41">
        <f t="shared" si="148"/>
        <v>4.0465468396796158</v>
      </c>
      <c r="DH171" s="1580" t="str">
        <f t="shared" si="145"/>
        <v>Refrigeration BUS 12 Year EUL</v>
      </c>
      <c r="DI171" s="58">
        <f>(INDEX('Avoided Cost Benefits'!$E$4:$E$859,MATCH(DH171,'Avoided Cost Benefits'!$A$4:$A$859,0)))*F171</f>
        <v>2272.4826518257396</v>
      </c>
      <c r="DJ171" s="1582">
        <f t="shared" si="146"/>
        <v>561.58565361019339</v>
      </c>
    </row>
    <row r="172" spans="3:114" hidden="1" outlineLevel="1" x14ac:dyDescent="0.35">
      <c r="E172" s="33"/>
      <c r="F172" s="33"/>
      <c r="G172" s="33"/>
      <c r="H172" s="1096"/>
      <c r="I172" s="33"/>
      <c r="J172" s="33"/>
      <c r="K172" s="33"/>
    </row>
    <row r="173" spans="3:114" hidden="1" outlineLevel="1" x14ac:dyDescent="0.35">
      <c r="D173" s="33" t="s">
        <v>2528</v>
      </c>
      <c r="E173" s="33"/>
      <c r="F173" s="33"/>
      <c r="G173" s="33"/>
      <c r="H173" s="1096"/>
      <c r="I173" s="33"/>
      <c r="J173" s="33"/>
      <c r="K173" s="33"/>
    </row>
    <row r="174" spans="3:114" hidden="1" outlineLevel="1" x14ac:dyDescent="0.35">
      <c r="D174" s="1097"/>
      <c r="G174" s="725"/>
      <c r="H174" s="1098"/>
    </row>
    <row r="175" spans="3:114" hidden="1" outlineLevel="1" x14ac:dyDescent="0.35">
      <c r="D175" s="1097"/>
      <c r="G175" s="725"/>
      <c r="H175" s="1098"/>
    </row>
    <row r="176" spans="3:114" hidden="1" outlineLevel="1" x14ac:dyDescent="0.35">
      <c r="D176" s="1097"/>
      <c r="G176" s="725"/>
      <c r="H176" s="1098"/>
      <c r="M176" s="33"/>
    </row>
    <row r="177" spans="3:111" hidden="1" outlineLevel="1" x14ac:dyDescent="0.35">
      <c r="D177" s="1097"/>
      <c r="G177" s="725"/>
      <c r="H177" s="1098"/>
      <c r="M177" s="33"/>
    </row>
    <row r="178" spans="3:111" hidden="1" outlineLevel="1" x14ac:dyDescent="0.35">
      <c r="D178" s="1097"/>
      <c r="G178" s="725"/>
      <c r="H178" s="1098"/>
      <c r="M178" s="33"/>
    </row>
    <row r="179" spans="3:111" hidden="1" outlineLevel="1" x14ac:dyDescent="0.35">
      <c r="D179" s="1097"/>
      <c r="G179" s="725"/>
      <c r="H179" s="1098"/>
    </row>
    <row r="180" spans="3:111" s="34" customFormat="1" ht="16.5" hidden="1" outlineLevel="1" x14ac:dyDescent="0.35">
      <c r="C180" s="132"/>
      <c r="D180" s="2327" t="s">
        <v>2596</v>
      </c>
      <c r="E180" s="2327" t="s">
        <v>2597</v>
      </c>
      <c r="F180" s="2327" t="s">
        <v>2598</v>
      </c>
      <c r="G180" s="2327" t="s">
        <v>2599</v>
      </c>
      <c r="H180" s="4556" t="s">
        <v>2067</v>
      </c>
      <c r="I180" s="4557"/>
      <c r="J180" s="4556" t="s">
        <v>2600</v>
      </c>
      <c r="K180" s="4557"/>
      <c r="L180" s="350"/>
      <c r="M180" s="350"/>
      <c r="N180" s="350"/>
      <c r="O180" s="132"/>
      <c r="P180" s="350"/>
      <c r="Q180" s="350"/>
      <c r="R180" s="350"/>
      <c r="S180" s="350"/>
      <c r="T180" s="350"/>
      <c r="U180" s="350"/>
      <c r="DE180" s="21"/>
      <c r="DF180" s="21"/>
      <c r="DG180" s="59"/>
    </row>
    <row r="181" spans="3:111" s="34" customFormat="1" hidden="1" outlineLevel="1" x14ac:dyDescent="0.35">
      <c r="C181" s="132"/>
      <c r="D181" s="63"/>
      <c r="E181" s="63"/>
      <c r="F181" s="63"/>
      <c r="G181" s="63"/>
      <c r="H181" s="4558" t="s">
        <v>2601</v>
      </c>
      <c r="I181" s="4559"/>
      <c r="J181" s="4558" t="s">
        <v>2602</v>
      </c>
      <c r="K181" s="4559"/>
      <c r="L181" s="350"/>
      <c r="M181" s="350"/>
      <c r="N181" s="350"/>
      <c r="O181" s="132"/>
      <c r="P181" s="350"/>
      <c r="Q181" s="350"/>
      <c r="R181" s="350"/>
      <c r="S181" s="350"/>
      <c r="T181" s="350"/>
      <c r="U181" s="350"/>
      <c r="DE181" s="21"/>
      <c r="DF181" s="21"/>
      <c r="DG181" s="59"/>
    </row>
    <row r="182" spans="3:111" s="34" customFormat="1" hidden="1" outlineLevel="1" x14ac:dyDescent="0.35">
      <c r="C182" s="132"/>
      <c r="D182" s="64"/>
      <c r="E182" s="64"/>
      <c r="F182" s="64"/>
      <c r="G182" s="2399" t="s">
        <v>2603</v>
      </c>
      <c r="H182" s="2399" t="s">
        <v>2213</v>
      </c>
      <c r="I182" s="2399" t="s">
        <v>2604</v>
      </c>
      <c r="J182" s="2399" t="s">
        <v>2605</v>
      </c>
      <c r="K182" s="2399" t="s">
        <v>2606</v>
      </c>
      <c r="L182" s="350"/>
      <c r="M182" s="350"/>
      <c r="N182" s="350"/>
      <c r="O182" s="132"/>
      <c r="P182" s="350"/>
      <c r="Q182" s="350"/>
      <c r="R182" s="350"/>
      <c r="S182" s="350"/>
      <c r="T182" s="350"/>
      <c r="U182" s="350"/>
      <c r="DE182" s="21"/>
      <c r="DF182" s="21"/>
      <c r="DG182" s="59"/>
    </row>
    <row r="183" spans="3:111" hidden="1" outlineLevel="1" x14ac:dyDescent="0.35">
      <c r="D183" s="1593" t="s">
        <v>2607</v>
      </c>
      <c r="E183" s="1593" t="s">
        <v>2608</v>
      </c>
      <c r="F183" s="1593" t="s">
        <v>2609</v>
      </c>
      <c r="G183" s="1117" t="s">
        <v>2610</v>
      </c>
      <c r="H183" s="1118">
        <v>0.1</v>
      </c>
      <c r="I183" s="1118">
        <v>2.04</v>
      </c>
      <c r="J183" s="1119">
        <v>0.4</v>
      </c>
      <c r="K183" s="1120">
        <v>1.38</v>
      </c>
      <c r="L183" s="1116"/>
      <c r="M183" s="1116"/>
    </row>
    <row r="184" spans="3:111" hidden="1" outlineLevel="1" x14ac:dyDescent="0.35">
      <c r="D184" s="1593" t="s">
        <v>2607</v>
      </c>
      <c r="E184" s="1593" t="s">
        <v>2611</v>
      </c>
      <c r="F184" s="1593" t="s">
        <v>2609</v>
      </c>
      <c r="G184" s="1117" t="s">
        <v>2610</v>
      </c>
      <c r="H184" s="1118">
        <v>0.12</v>
      </c>
      <c r="I184" s="1118">
        <v>3.34</v>
      </c>
      <c r="J184" s="1119">
        <v>0.75</v>
      </c>
      <c r="K184" s="1120">
        <v>4.0999999999999996</v>
      </c>
      <c r="L184" s="1116"/>
      <c r="M184" s="1116"/>
    </row>
    <row r="185" spans="3:111" hidden="1" outlineLevel="1" x14ac:dyDescent="0.35">
      <c r="D185" s="1593" t="s">
        <v>2612</v>
      </c>
      <c r="E185" s="1593" t="s">
        <v>2613</v>
      </c>
      <c r="F185" s="1593" t="s">
        <v>2614</v>
      </c>
      <c r="G185" s="1117">
        <v>7.5</v>
      </c>
      <c r="H185" s="1118">
        <v>0.02</v>
      </c>
      <c r="I185" s="1119">
        <v>1.6</v>
      </c>
      <c r="J185" s="1119">
        <v>0.25</v>
      </c>
      <c r="K185" s="1122">
        <v>1.55</v>
      </c>
      <c r="L185" s="1116"/>
      <c r="M185" s="1116"/>
    </row>
    <row r="186" spans="3:111" hidden="1" outlineLevel="1" x14ac:dyDescent="0.35">
      <c r="D186" s="1593" t="s">
        <v>2612</v>
      </c>
      <c r="E186" s="1593" t="s">
        <v>2613</v>
      </c>
      <c r="F186" s="1593" t="s">
        <v>2615</v>
      </c>
      <c r="G186" s="1117">
        <v>22.5</v>
      </c>
      <c r="H186" s="1118">
        <v>0.09</v>
      </c>
      <c r="I186" s="1119">
        <v>0.55000000000000004</v>
      </c>
      <c r="J186" s="1119">
        <v>0.2</v>
      </c>
      <c r="K186" s="1122">
        <v>2.2999999999999998</v>
      </c>
      <c r="L186" s="1116"/>
      <c r="M186" s="1116"/>
    </row>
    <row r="187" spans="3:111" hidden="1" outlineLevel="1" x14ac:dyDescent="0.35">
      <c r="D187" s="1593" t="s">
        <v>2612</v>
      </c>
      <c r="E187" s="1593" t="s">
        <v>2613</v>
      </c>
      <c r="F187" s="1593" t="s">
        <v>2616</v>
      </c>
      <c r="G187" s="1117">
        <v>40</v>
      </c>
      <c r="H187" s="1118">
        <v>0.01</v>
      </c>
      <c r="I187" s="1119">
        <v>2.95</v>
      </c>
      <c r="J187" s="1119">
        <v>0.25</v>
      </c>
      <c r="K187" s="1122">
        <v>0.8</v>
      </c>
      <c r="L187" s="1116"/>
      <c r="M187" s="1116"/>
    </row>
    <row r="188" spans="3:111" hidden="1" outlineLevel="1" x14ac:dyDescent="0.35">
      <c r="D188" s="1593" t="s">
        <v>2612</v>
      </c>
      <c r="E188" s="1593" t="s">
        <v>2613</v>
      </c>
      <c r="F188" s="1593" t="s">
        <v>2617</v>
      </c>
      <c r="G188" s="1117">
        <v>50</v>
      </c>
      <c r="H188" s="1118">
        <v>0.06</v>
      </c>
      <c r="I188" s="1119">
        <v>0.45</v>
      </c>
      <c r="J188" s="1119">
        <v>0.14000000000000001</v>
      </c>
      <c r="K188" s="1122">
        <v>6.3</v>
      </c>
      <c r="L188" s="1116"/>
      <c r="M188" s="1116"/>
    </row>
    <row r="189" spans="3:111" hidden="1" outlineLevel="1" x14ac:dyDescent="0.35">
      <c r="D189" s="1593" t="s">
        <v>2612</v>
      </c>
      <c r="E189" s="1593" t="s">
        <v>2618</v>
      </c>
      <c r="F189" s="1593" t="s">
        <v>2614</v>
      </c>
      <c r="G189" s="1117">
        <v>7.5</v>
      </c>
      <c r="H189" s="1118">
        <v>0.1</v>
      </c>
      <c r="I189" s="1119">
        <v>1.07</v>
      </c>
      <c r="J189" s="1119">
        <v>0.56000000000000005</v>
      </c>
      <c r="K189" s="1122">
        <v>1.61</v>
      </c>
      <c r="L189" s="1116"/>
      <c r="M189" s="1116"/>
    </row>
    <row r="190" spans="3:111" hidden="1" outlineLevel="1" x14ac:dyDescent="0.35">
      <c r="D190" s="1593" t="s">
        <v>2612</v>
      </c>
      <c r="E190" s="1593" t="s">
        <v>2618</v>
      </c>
      <c r="F190" s="1593" t="s">
        <v>2615</v>
      </c>
      <c r="G190" s="1117">
        <v>22.5</v>
      </c>
      <c r="H190" s="1118">
        <v>0.15</v>
      </c>
      <c r="I190" s="1119">
        <v>0.32</v>
      </c>
      <c r="J190" s="1119">
        <v>0.3</v>
      </c>
      <c r="K190" s="1120">
        <v>5.5</v>
      </c>
      <c r="L190" s="4560"/>
      <c r="M190" s="4560"/>
      <c r="N190" s="4560"/>
    </row>
    <row r="191" spans="3:111" hidden="1" outlineLevel="1" x14ac:dyDescent="0.35">
      <c r="D191" s="1593" t="s">
        <v>2612</v>
      </c>
      <c r="E191" s="1593" t="s">
        <v>2618</v>
      </c>
      <c r="F191" s="1593" t="s">
        <v>2616</v>
      </c>
      <c r="G191" s="1117">
        <v>40</v>
      </c>
      <c r="H191" s="1118">
        <v>0.06</v>
      </c>
      <c r="I191" s="1119">
        <v>3.02</v>
      </c>
      <c r="J191" s="1119">
        <v>0.55000000000000004</v>
      </c>
      <c r="K191" s="1120">
        <v>-2</v>
      </c>
      <c r="L191" s="4560"/>
      <c r="M191" s="4560"/>
      <c r="N191" s="4560"/>
    </row>
    <row r="192" spans="3:111" hidden="1" outlineLevel="1" x14ac:dyDescent="0.35">
      <c r="D192" s="1593" t="s">
        <v>2612</v>
      </c>
      <c r="E192" s="1593" t="s">
        <v>2618</v>
      </c>
      <c r="F192" s="1593" t="s">
        <v>2617</v>
      </c>
      <c r="G192" s="1117">
        <v>50</v>
      </c>
      <c r="H192" s="1118">
        <v>0.08</v>
      </c>
      <c r="I192" s="1119">
        <v>2.02</v>
      </c>
      <c r="J192" s="1119">
        <v>0.32</v>
      </c>
      <c r="K192" s="1120">
        <v>9.49</v>
      </c>
      <c r="L192" s="4560"/>
      <c r="M192" s="4560"/>
      <c r="N192" s="4560"/>
    </row>
    <row r="193" spans="2:114" hidden="1" outlineLevel="1" x14ac:dyDescent="0.35">
      <c r="D193" s="1593" t="s">
        <v>2612</v>
      </c>
      <c r="E193" s="1593" t="s">
        <v>2619</v>
      </c>
      <c r="F193" s="1593" t="s">
        <v>2620</v>
      </c>
      <c r="G193" s="1117">
        <v>25</v>
      </c>
      <c r="H193" s="1118">
        <v>0.06</v>
      </c>
      <c r="I193" s="1119">
        <v>0.6</v>
      </c>
      <c r="J193" s="1119">
        <v>0.1</v>
      </c>
      <c r="K193" s="1120">
        <v>0.2</v>
      </c>
      <c r="L193" s="4560"/>
      <c r="M193" s="4560"/>
      <c r="N193" s="4560"/>
    </row>
    <row r="194" spans="2:114" collapsed="1" x14ac:dyDescent="0.35"/>
    <row r="196" spans="2:114" s="33" customFormat="1" x14ac:dyDescent="0.35">
      <c r="B196" s="4553" t="s">
        <v>2621</v>
      </c>
      <c r="C196" s="4554"/>
      <c r="D196" s="4554"/>
      <c r="E196" s="4554"/>
      <c r="F196" s="4554"/>
      <c r="G196" s="4554"/>
      <c r="H196" s="4554"/>
      <c r="I196" s="4555"/>
      <c r="J196" s="4555"/>
      <c r="K196" s="4555"/>
      <c r="L196" s="4555"/>
      <c r="M196" s="3680"/>
      <c r="N196" s="3680"/>
      <c r="O196" s="3681"/>
      <c r="V196" s="2325" t="str">
        <f>B196</f>
        <v>Refrigerators &amp; Freezers Controls</v>
      </c>
      <c r="W196" s="2326"/>
      <c r="X196" s="2326"/>
      <c r="Y196" s="2326"/>
      <c r="Z196" s="2326"/>
      <c r="AA196" s="2326"/>
      <c r="AB196" s="2326"/>
      <c r="AC196" s="2326"/>
      <c r="AD196" s="2326"/>
      <c r="AE196" s="2326"/>
      <c r="AF196" s="2326"/>
      <c r="AG196" s="2326"/>
      <c r="AH196" s="2326"/>
      <c r="AI196" s="2384"/>
      <c r="AJ196" s="21"/>
      <c r="AK196" s="21"/>
      <c r="AL196" s="21"/>
      <c r="AM196" s="21"/>
      <c r="AN196" s="21"/>
      <c r="AO196" s="21"/>
      <c r="AP196" s="21"/>
      <c r="AQ196" s="21"/>
      <c r="AR196" s="21"/>
      <c r="AS196" s="21"/>
      <c r="AT196" s="21"/>
      <c r="AU196" s="21"/>
      <c r="DE196" s="21"/>
      <c r="DF196" s="21"/>
      <c r="DG196" s="60"/>
    </row>
    <row r="197" spans="2:114" x14ac:dyDescent="0.35">
      <c r="D197" s="1085"/>
      <c r="E197" s="33"/>
      <c r="F197" s="33"/>
      <c r="G197" s="33"/>
      <c r="H197" s="1086"/>
      <c r="I197" s="33"/>
      <c r="J197" s="33"/>
      <c r="K197" s="33"/>
      <c r="L197" s="33"/>
      <c r="P197" s="33"/>
      <c r="Q197" s="33"/>
      <c r="R197" s="33"/>
      <c r="S197" s="33"/>
      <c r="T197" s="33"/>
      <c r="U197" s="33"/>
      <c r="V197"/>
      <c r="W197"/>
      <c r="X197"/>
      <c r="Y197"/>
      <c r="Z197"/>
      <c r="AA197"/>
      <c r="AB197"/>
      <c r="AC197"/>
      <c r="AD197"/>
      <c r="AE197"/>
      <c r="AF197"/>
      <c r="AG197"/>
      <c r="AH197"/>
      <c r="AI197"/>
      <c r="AJ197" s="31"/>
      <c r="AK197" s="31"/>
      <c r="AL197" s="31"/>
      <c r="AM197" s="31"/>
      <c r="AN197" s="31"/>
      <c r="AO197" s="31"/>
      <c r="AP197" s="31"/>
      <c r="AQ197" s="31"/>
      <c r="AR197" s="31"/>
      <c r="AS197" s="31"/>
      <c r="AT197" s="31"/>
      <c r="AU197" s="31"/>
    </row>
    <row r="198" spans="2:114" s="34" customFormat="1" ht="29" x14ac:dyDescent="0.35">
      <c r="B198" s="31"/>
      <c r="C198" s="35" t="s">
        <v>27</v>
      </c>
      <c r="D198" s="2399" t="s">
        <v>28</v>
      </c>
      <c r="E198" s="2399" t="s">
        <v>29</v>
      </c>
      <c r="F198" s="2399" t="s">
        <v>2622</v>
      </c>
      <c r="G198" s="2399" t="s">
        <v>175</v>
      </c>
      <c r="H198" s="2399" t="s">
        <v>176</v>
      </c>
      <c r="I198" s="2399" t="s">
        <v>31</v>
      </c>
      <c r="J198" s="2399" t="s">
        <v>180</v>
      </c>
      <c r="K198" s="2399" t="s">
        <v>2623</v>
      </c>
      <c r="L198" s="35" t="s">
        <v>43</v>
      </c>
      <c r="M198" s="725"/>
      <c r="N198" s="725"/>
      <c r="O198" s="725"/>
      <c r="P198" s="350"/>
      <c r="Q198" s="350"/>
      <c r="R198" s="350"/>
      <c r="S198" s="350"/>
      <c r="T198" s="350"/>
      <c r="U198" s="350"/>
      <c r="V198" s="1572" t="s">
        <v>44</v>
      </c>
      <c r="W198" s="1573">
        <f>$W$8</f>
        <v>43252</v>
      </c>
      <c r="X198" s="1573">
        <f>$X$8</f>
        <v>43465</v>
      </c>
      <c r="Y198" s="1573">
        <f>$Y$8</f>
        <v>43800</v>
      </c>
      <c r="Z198" s="1573">
        <f>$Z$8</f>
        <v>43862</v>
      </c>
      <c r="AA198" s="1573">
        <f>$AA$8</f>
        <v>44013</v>
      </c>
      <c r="AB198" s="1573">
        <v>44166</v>
      </c>
      <c r="AC198" s="1573">
        <f>$AC$8</f>
        <v>44531</v>
      </c>
      <c r="AD198" s="1573">
        <f>$AD$8</f>
        <v>44774</v>
      </c>
      <c r="AE198" s="1573" t="str">
        <f>$AE$8</f>
        <v>-</v>
      </c>
      <c r="AF198" s="1573" t="str">
        <f>$AF$8</f>
        <v>-</v>
      </c>
      <c r="AG198" s="1573" t="str">
        <f>$AG$8</f>
        <v>-</v>
      </c>
      <c r="AH198"/>
      <c r="AI198" s="1572" t="s">
        <v>44</v>
      </c>
      <c r="AJ198" s="1573">
        <v>43252</v>
      </c>
      <c r="AK198" s="1573">
        <f>$X$8</f>
        <v>43465</v>
      </c>
      <c r="AL198" s="1573">
        <f>$Y$8</f>
        <v>43800</v>
      </c>
      <c r="AM198" s="1573">
        <f>$Z$8</f>
        <v>43862</v>
      </c>
      <c r="AN198" s="1573">
        <f>$AA$8</f>
        <v>44013</v>
      </c>
      <c r="AO198" s="1573">
        <f>$AB$8</f>
        <v>44166</v>
      </c>
      <c r="AP198" s="1573">
        <f>$AC$8</f>
        <v>44531</v>
      </c>
      <c r="AQ198" s="1573">
        <f>$AD$8</f>
        <v>44774</v>
      </c>
      <c r="AR198" s="1573" t="str">
        <f>$AE$8</f>
        <v>-</v>
      </c>
      <c r="AS198" s="1573" t="str">
        <f>$AF$8</f>
        <v>-</v>
      </c>
      <c r="AT198" s="21"/>
      <c r="AU198" s="1572" t="s">
        <v>44</v>
      </c>
      <c r="AV198" s="1573">
        <v>43252</v>
      </c>
      <c r="AW198" s="1573">
        <f>$X$8</f>
        <v>43465</v>
      </c>
      <c r="AX198" s="1573">
        <f>$Y$8</f>
        <v>43800</v>
      </c>
      <c r="AY198" s="1573">
        <f>$Z$8</f>
        <v>43862</v>
      </c>
      <c r="AZ198" s="1573">
        <f>$AA$8</f>
        <v>44013</v>
      </c>
      <c r="BA198" s="1573">
        <v>44166</v>
      </c>
      <c r="BB198" s="1573">
        <f>$AC$8</f>
        <v>44531</v>
      </c>
      <c r="BC198" s="1573">
        <f>$AD$8</f>
        <v>44774</v>
      </c>
      <c r="BD198" s="1573" t="str">
        <f>$AE$8</f>
        <v>-</v>
      </c>
      <c r="BE198" s="1573" t="str">
        <f>$AF$8</f>
        <v>-</v>
      </c>
      <c r="DE198" s="21"/>
      <c r="DF198" s="21"/>
      <c r="DG198" s="1574" t="str">
        <f>$DG$8</f>
        <v>TRC (2022)</v>
      </c>
      <c r="DH198" s="1584" t="str">
        <f>$DH$8</f>
        <v>Benefit Lookup</v>
      </c>
      <c r="DI198" s="1584" t="str">
        <f>$DI$8</f>
        <v>Benefits (2019 $)</v>
      </c>
      <c r="DJ198" s="1584" t="str">
        <f>$DJ$8</f>
        <v>Incremental Cost (2019 $)</v>
      </c>
    </row>
    <row r="199" spans="2:114" ht="15" customHeight="1" x14ac:dyDescent="0.35">
      <c r="C199" s="1614" t="s">
        <v>2624</v>
      </c>
      <c r="D199" s="1087" t="s">
        <v>2485</v>
      </c>
      <c r="E199" s="1105" t="s">
        <v>2625</v>
      </c>
      <c r="F199" s="965">
        <f>ROUND(F$210*G$210*(H$210-H212)*I$210*J212,2)</f>
        <v>668.14</v>
      </c>
      <c r="G199" s="1087" t="s">
        <v>2561</v>
      </c>
      <c r="H199" s="1088">
        <f>VLOOKUP(G199,'CP FACTORS'!$A$26:$B$38,2,FALSE)</f>
        <v>1.3573829999999999E-4</v>
      </c>
      <c r="I199" s="1106">
        <f>ROUND(H199*F199,6)</f>
        <v>9.0691999999999995E-2</v>
      </c>
      <c r="J199" s="3594">
        <v>12</v>
      </c>
      <c r="K199" s="1123">
        <v>151</v>
      </c>
      <c r="L199" s="999" t="s">
        <v>2626</v>
      </c>
      <c r="M199" s="33"/>
      <c r="V199" s="2419" t="str">
        <f>F198</f>
        <v>kWh Annual Savings (per door)</v>
      </c>
      <c r="W199" s="112">
        <v>668.13575400000013</v>
      </c>
      <c r="X199" s="112">
        <v>668.13575400000013</v>
      </c>
      <c r="Y199" s="112">
        <v>668.13575400000013</v>
      </c>
      <c r="Z199" s="112">
        <v>668.13575400000013</v>
      </c>
      <c r="AA199" s="112">
        <v>668.13575400000013</v>
      </c>
      <c r="AB199" s="110">
        <v>668.14</v>
      </c>
      <c r="AC199" s="1798">
        <v>668.14</v>
      </c>
      <c r="AD199" s="1798">
        <v>668.14</v>
      </c>
      <c r="AE199" s="141"/>
      <c r="AF199" s="141"/>
      <c r="AG199" s="141"/>
      <c r="AH199"/>
      <c r="AI199" s="88" t="s">
        <v>180</v>
      </c>
      <c r="AJ199" s="51">
        <v>12</v>
      </c>
      <c r="AK199" s="51">
        <v>12</v>
      </c>
      <c r="AL199" s="51">
        <v>12</v>
      </c>
      <c r="AM199" s="51">
        <v>12</v>
      </c>
      <c r="AN199" s="51">
        <v>12</v>
      </c>
      <c r="AO199" s="48">
        <v>12</v>
      </c>
      <c r="AP199" s="48">
        <v>12</v>
      </c>
      <c r="AQ199" s="48">
        <v>12</v>
      </c>
      <c r="AR199" s="141"/>
      <c r="AS199" s="141"/>
      <c r="AU199" s="88" t="str">
        <f>K198</f>
        <v>Inc. Cost (per door)</v>
      </c>
      <c r="AV199" s="1692">
        <v>151</v>
      </c>
      <c r="AW199" s="1692">
        <v>151</v>
      </c>
      <c r="AX199" s="1692">
        <v>151</v>
      </c>
      <c r="AY199" s="1692">
        <v>151</v>
      </c>
      <c r="AZ199" s="1692">
        <v>151</v>
      </c>
      <c r="BA199" s="1692">
        <v>151</v>
      </c>
      <c r="BB199" s="1692">
        <v>151</v>
      </c>
      <c r="BC199" s="1692">
        <v>151</v>
      </c>
      <c r="BD199" s="141"/>
      <c r="BE199" s="141"/>
      <c r="DG199" s="1578">
        <f>(DI199)/(DJ199)</f>
        <v>2.0234248929618919</v>
      </c>
      <c r="DH199" s="2381" t="str">
        <f>CONCATENATE(G199," ",J199," Year EUL")</f>
        <v>Refrigeration BUS 12 Year EUL</v>
      </c>
      <c r="DI199" s="56">
        <f>(INDEX('Avoided Cost Benefits'!$E$4:$E$859,MATCH(DH199,'Avoided Cost Benefits'!$A$4:$A$859,0)))*F199</f>
        <v>288.37863033246401</v>
      </c>
      <c r="DJ199" s="1579">
        <f>K199/(1.0595^(2020-2019))</f>
        <v>142.52005663048607</v>
      </c>
    </row>
    <row r="200" spans="2:114" x14ac:dyDescent="0.35">
      <c r="C200" s="1614" t="s">
        <v>2627</v>
      </c>
      <c r="D200" s="1087" t="s">
        <v>2485</v>
      </c>
      <c r="E200" s="1105" t="s">
        <v>2628</v>
      </c>
      <c r="F200" s="965">
        <f>ROUND(F$210*G$210*(H$210-H213)*I$210*J213,2)</f>
        <v>770.93</v>
      </c>
      <c r="G200" s="1087" t="s">
        <v>2561</v>
      </c>
      <c r="H200" s="1088">
        <f>VLOOKUP(G200,'CP FACTORS'!$A$26:$B$38,2,FALSE)</f>
        <v>1.3573829999999999E-4</v>
      </c>
      <c r="I200" s="1106">
        <f>ROUND(H200*F200,6)</f>
        <v>0.104645</v>
      </c>
      <c r="J200" s="1114">
        <v>12</v>
      </c>
      <c r="K200" s="1123">
        <v>151</v>
      </c>
      <c r="L200" s="999" t="s">
        <v>2626</v>
      </c>
      <c r="V200" s="2419" t="str">
        <f>V199</f>
        <v>kWh Annual Savings (per door)</v>
      </c>
      <c r="W200" s="112">
        <v>770.92587000000003</v>
      </c>
      <c r="X200" s="112">
        <v>770.92587000000003</v>
      </c>
      <c r="Y200" s="112">
        <v>770.92587000000003</v>
      </c>
      <c r="Z200" s="112">
        <v>770.92587000000003</v>
      </c>
      <c r="AA200" s="112">
        <v>770.92587000000003</v>
      </c>
      <c r="AB200" s="110">
        <v>770.93</v>
      </c>
      <c r="AC200" s="1798">
        <v>770.93</v>
      </c>
      <c r="AD200" s="1798">
        <v>770.93</v>
      </c>
      <c r="AE200" s="141"/>
      <c r="AF200" s="141"/>
      <c r="AG200" s="141"/>
      <c r="AH200"/>
      <c r="AI200" s="88" t="s">
        <v>180</v>
      </c>
      <c r="AJ200" s="51">
        <v>12</v>
      </c>
      <c r="AK200" s="51">
        <v>12</v>
      </c>
      <c r="AL200" s="51">
        <v>12</v>
      </c>
      <c r="AM200" s="51">
        <v>12</v>
      </c>
      <c r="AN200" s="51">
        <v>12</v>
      </c>
      <c r="AO200" s="48">
        <v>12</v>
      </c>
      <c r="AP200" s="48">
        <v>12</v>
      </c>
      <c r="AQ200" s="48">
        <v>12</v>
      </c>
      <c r="AR200" s="141"/>
      <c r="AS200" s="141"/>
      <c r="AU200" s="88" t="str">
        <f>AU199</f>
        <v>Inc. Cost (per door)</v>
      </c>
      <c r="AV200" s="1692">
        <v>151</v>
      </c>
      <c r="AW200" s="1692">
        <v>151</v>
      </c>
      <c r="AX200" s="1692">
        <v>151</v>
      </c>
      <c r="AY200" s="1692">
        <v>151</v>
      </c>
      <c r="AZ200" s="1692">
        <v>151</v>
      </c>
      <c r="BA200" s="1692">
        <v>151</v>
      </c>
      <c r="BB200" s="1692">
        <v>151</v>
      </c>
      <c r="BC200" s="1692">
        <v>151</v>
      </c>
      <c r="BD200" s="141"/>
      <c r="BE200" s="141"/>
      <c r="DG200" s="41">
        <f>(DI200)/(DJ200)</f>
        <v>2.3347187007679695</v>
      </c>
      <c r="DH200" s="1580" t="str">
        <f>CONCATENATE(G200," ",J200," Year EUL")</f>
        <v>Refrigeration BUS 12 Year EUL</v>
      </c>
      <c r="DI200" s="58">
        <f>(INDEX('Avoided Cost Benefits'!$E$4:$E$859,MATCH(DH200,'Avoided Cost Benefits'!$A$4:$A$859,0)))*F200</f>
        <v>332.7442414497059</v>
      </c>
      <c r="DJ200" s="1582">
        <f>K200/(1.0595^(2020-2019))</f>
        <v>142.52005663048607</v>
      </c>
    </row>
    <row r="201" spans="2:114" hidden="1" outlineLevel="1" x14ac:dyDescent="0.35">
      <c r="E201" s="33"/>
      <c r="F201" s="33"/>
      <c r="G201" s="33"/>
      <c r="H201" s="1096"/>
      <c r="I201" s="33"/>
      <c r="J201" s="33"/>
      <c r="K201" s="33"/>
      <c r="M201" s="33"/>
    </row>
    <row r="202" spans="2:114" hidden="1" outlineLevel="1" x14ac:dyDescent="0.35">
      <c r="D202" s="33" t="s">
        <v>2528</v>
      </c>
      <c r="E202" s="33"/>
      <c r="F202" s="33"/>
      <c r="G202" s="33"/>
      <c r="H202" s="1096"/>
      <c r="I202" s="33"/>
      <c r="J202" s="33"/>
      <c r="K202" s="33"/>
    </row>
    <row r="203" spans="2:114" hidden="1" outlineLevel="1" x14ac:dyDescent="0.35">
      <c r="D203" s="1097"/>
      <c r="G203" s="725"/>
      <c r="H203" s="1098"/>
      <c r="M203" s="33"/>
    </row>
    <row r="204" spans="2:114" hidden="1" outlineLevel="1" x14ac:dyDescent="0.35">
      <c r="D204" s="1097"/>
      <c r="G204" s="725"/>
      <c r="H204" s="1098"/>
    </row>
    <row r="205" spans="2:114" hidden="1" outlineLevel="1" x14ac:dyDescent="0.35">
      <c r="D205" s="1097"/>
      <c r="G205" s="725"/>
      <c r="H205" s="1098"/>
      <c r="M205" s="33"/>
    </row>
    <row r="206" spans="2:114" hidden="1" outlineLevel="1" x14ac:dyDescent="0.35">
      <c r="D206" s="1097"/>
      <c r="G206" s="725"/>
      <c r="H206" s="1098"/>
      <c r="M206" s="33"/>
    </row>
    <row r="207" spans="2:114" hidden="1" outlineLevel="1" x14ac:dyDescent="0.35">
      <c r="D207" s="1097"/>
      <c r="G207" s="725"/>
      <c r="H207" s="1098"/>
      <c r="M207" s="33"/>
    </row>
    <row r="208" spans="2:114" hidden="1" outlineLevel="1" x14ac:dyDescent="0.35">
      <c r="D208" s="1097"/>
      <c r="G208" s="725"/>
      <c r="H208" s="1098"/>
    </row>
    <row r="209" spans="2:117" s="34" customFormat="1" ht="58" hidden="1" outlineLevel="1" x14ac:dyDescent="0.35">
      <c r="C209" s="132"/>
      <c r="D209" s="2327"/>
      <c r="E209" s="2327" t="s">
        <v>2597</v>
      </c>
      <c r="F209" s="2327" t="s">
        <v>2629</v>
      </c>
      <c r="G209" s="2327" t="s">
        <v>2630</v>
      </c>
      <c r="H209" s="65" t="s">
        <v>2631</v>
      </c>
      <c r="I209" s="65" t="s">
        <v>721</v>
      </c>
      <c r="J209" s="2429" t="s">
        <v>2632</v>
      </c>
      <c r="K209" s="350"/>
      <c r="L209" s="350"/>
      <c r="M209" s="132"/>
      <c r="N209" s="350"/>
      <c r="O209" s="350"/>
      <c r="P209" s="350"/>
      <c r="Q209" s="350"/>
      <c r="R209" s="350"/>
      <c r="S209" s="350"/>
      <c r="T209" s="350"/>
      <c r="U209" s="350"/>
      <c r="V209" s="21"/>
      <c r="W209" s="21"/>
      <c r="X209" s="21"/>
      <c r="Y209" s="21"/>
      <c r="Z209" s="21"/>
      <c r="AA209" s="21"/>
      <c r="AB209" s="21"/>
      <c r="AC209" s="21"/>
      <c r="AD209" s="21"/>
      <c r="AE209" s="21"/>
      <c r="AF209" s="21"/>
      <c r="AG209" s="21"/>
      <c r="AH209" s="21"/>
      <c r="AI209" s="21"/>
      <c r="AJ209" s="21"/>
      <c r="AK209" s="21"/>
      <c r="AL209" s="21"/>
      <c r="AM209" s="21"/>
      <c r="AN209" s="21"/>
      <c r="AO209" s="21"/>
      <c r="AP209" s="21"/>
      <c r="AQ209" s="21"/>
      <c r="AR209" s="21"/>
      <c r="AS209" s="21"/>
      <c r="AT209" s="21"/>
      <c r="AU209" s="21"/>
      <c r="AV209" s="21"/>
      <c r="AW209" s="21"/>
      <c r="AX209" s="21"/>
      <c r="AY209" s="21"/>
      <c r="AZ209" s="21"/>
      <c r="BA209" s="21"/>
      <c r="BB209" s="21"/>
      <c r="BC209" s="21"/>
      <c r="BD209" s="21"/>
      <c r="BE209" s="21"/>
      <c r="DE209" s="21"/>
      <c r="DF209" s="21"/>
      <c r="DG209" s="22"/>
      <c r="DH209" s="21"/>
      <c r="DI209" s="21"/>
      <c r="DJ209" s="21"/>
      <c r="DK209" s="21"/>
      <c r="DL209" s="21"/>
      <c r="DM209" s="21"/>
    </row>
    <row r="210" spans="2:117" hidden="1" outlineLevel="1" x14ac:dyDescent="0.35">
      <c r="D210" s="1593"/>
      <c r="E210" s="1593" t="s">
        <v>2633</v>
      </c>
      <c r="F210" s="1124">
        <v>0.13</v>
      </c>
      <c r="G210" s="1125">
        <v>1</v>
      </c>
      <c r="H210" s="1126">
        <v>0.90700000000000003</v>
      </c>
      <c r="I210" s="1127">
        <v>8766</v>
      </c>
      <c r="J210" s="1128"/>
      <c r="K210" s="1116"/>
    </row>
    <row r="211" spans="2:117" hidden="1" outlineLevel="1" x14ac:dyDescent="0.35">
      <c r="D211" s="1121"/>
      <c r="E211" s="1121"/>
      <c r="F211" s="1129"/>
      <c r="G211" s="1130"/>
      <c r="H211" s="1131"/>
      <c r="I211" s="1127"/>
      <c r="J211" s="1128"/>
      <c r="K211" s="1116"/>
    </row>
    <row r="212" spans="2:117" hidden="1" outlineLevel="1" x14ac:dyDescent="0.35">
      <c r="D212" s="1593"/>
      <c r="E212" s="1593" t="str">
        <f>E199</f>
        <v>Anti-Sweat Heater Controls Refrigerator</v>
      </c>
      <c r="F212" s="1124">
        <v>0.13</v>
      </c>
      <c r="G212" s="1125">
        <v>1</v>
      </c>
      <c r="H212" s="1126">
        <v>0.45600000000000002</v>
      </c>
      <c r="I212" s="1127">
        <v>8766</v>
      </c>
      <c r="J212" s="1128">
        <v>1.3</v>
      </c>
      <c r="K212" s="1116"/>
    </row>
    <row r="213" spans="2:117" hidden="1" outlineLevel="1" x14ac:dyDescent="0.35">
      <c r="D213" s="1593"/>
      <c r="E213" s="1593" t="str">
        <f>E200</f>
        <v>Anti-Sweat Heater Controls Freezer</v>
      </c>
      <c r="F213" s="1124">
        <v>0.13</v>
      </c>
      <c r="G213" s="1125">
        <v>1</v>
      </c>
      <c r="H213" s="1126">
        <v>0.45600000000000002</v>
      </c>
      <c r="I213" s="1127">
        <v>8766</v>
      </c>
      <c r="J213" s="1128">
        <v>1.5</v>
      </c>
      <c r="K213" s="1116"/>
    </row>
    <row r="214" spans="2:117" collapsed="1" x14ac:dyDescent="0.35"/>
    <row r="216" spans="2:117" s="33" customFormat="1" x14ac:dyDescent="0.35">
      <c r="B216" s="4553" t="s">
        <v>2634</v>
      </c>
      <c r="C216" s="4554"/>
      <c r="D216" s="4554"/>
      <c r="E216" s="4554"/>
      <c r="F216" s="4554"/>
      <c r="G216" s="4554"/>
      <c r="H216" s="4554"/>
      <c r="I216" s="4555"/>
      <c r="J216" s="4555"/>
      <c r="K216" s="4555"/>
      <c r="L216" s="4555"/>
      <c r="M216" s="3680"/>
      <c r="N216" s="3680"/>
      <c r="O216" s="3681"/>
      <c r="V216" s="2325" t="str">
        <f>B216</f>
        <v>Heat Pump Water Heaters</v>
      </c>
      <c r="W216" s="2326"/>
      <c r="X216" s="2326"/>
      <c r="Y216" s="2326"/>
      <c r="Z216" s="2326"/>
      <c r="AA216" s="2326"/>
      <c r="AB216" s="2326"/>
      <c r="AC216" s="2326"/>
      <c r="AD216" s="2326"/>
      <c r="AE216" s="2326"/>
      <c r="AF216" s="2326"/>
      <c r="AG216" s="2326"/>
      <c r="AH216" s="2326"/>
      <c r="AI216" s="2384"/>
      <c r="AJ216" s="21"/>
      <c r="AK216" s="21"/>
      <c r="AL216" s="21"/>
      <c r="AM216" s="21"/>
      <c r="AN216" s="21"/>
      <c r="AO216" s="21"/>
      <c r="AP216" s="21"/>
      <c r="AQ216" s="21"/>
      <c r="AR216" s="21"/>
      <c r="AS216" s="21"/>
      <c r="AT216" s="21"/>
      <c r="AU216" s="21"/>
      <c r="DE216" s="21"/>
      <c r="DF216" s="21"/>
      <c r="DG216" s="60"/>
    </row>
    <row r="217" spans="2:117" x14ac:dyDescent="0.35">
      <c r="D217" s="1085"/>
      <c r="E217" s="33"/>
      <c r="F217" s="33"/>
      <c r="G217" s="33"/>
      <c r="H217" s="1086"/>
      <c r="I217" s="33"/>
      <c r="J217" s="33"/>
      <c r="K217" s="33"/>
      <c r="L217" s="33"/>
      <c r="P217" s="33"/>
      <c r="Q217" s="33"/>
      <c r="R217" s="33"/>
      <c r="S217" s="33"/>
      <c r="T217" s="33"/>
      <c r="U217" s="33"/>
      <c r="V217"/>
      <c r="W217"/>
      <c r="X217"/>
      <c r="Y217"/>
      <c r="Z217"/>
      <c r="AA217"/>
      <c r="AB217"/>
      <c r="AC217"/>
      <c r="AD217"/>
      <c r="AE217"/>
      <c r="AF217"/>
      <c r="AG217"/>
      <c r="AH217"/>
      <c r="AI217"/>
      <c r="AJ217" s="31"/>
      <c r="AK217" s="31"/>
      <c r="AL217" s="31"/>
      <c r="AM217" s="31"/>
      <c r="AN217" s="31"/>
      <c r="AO217" s="31"/>
      <c r="AP217" s="31"/>
      <c r="AQ217" s="31"/>
      <c r="AR217" s="31"/>
      <c r="AS217" s="31"/>
      <c r="AT217" s="31"/>
      <c r="AU217" s="31"/>
    </row>
    <row r="218" spans="2:117" s="34" customFormat="1" x14ac:dyDescent="0.35">
      <c r="B218" s="31"/>
      <c r="C218" s="35" t="s">
        <v>27</v>
      </c>
      <c r="D218" s="2399" t="s">
        <v>28</v>
      </c>
      <c r="E218" s="2399" t="s">
        <v>29</v>
      </c>
      <c r="F218" s="2399" t="s">
        <v>30</v>
      </c>
      <c r="G218" s="2399" t="s">
        <v>175</v>
      </c>
      <c r="H218" s="36" t="s">
        <v>176</v>
      </c>
      <c r="I218" s="2399" t="s">
        <v>31</v>
      </c>
      <c r="J218" s="2399" t="s">
        <v>180</v>
      </c>
      <c r="K218" s="35" t="s">
        <v>169</v>
      </c>
      <c r="L218" s="35" t="s">
        <v>43</v>
      </c>
      <c r="M218" s="725"/>
      <c r="N218" s="725"/>
      <c r="O218" s="725"/>
      <c r="P218" s="350"/>
      <c r="Q218" s="350"/>
      <c r="R218" s="350"/>
      <c r="S218" s="350"/>
      <c r="T218" s="350"/>
      <c r="U218" s="350"/>
      <c r="V218" s="1572" t="s">
        <v>44</v>
      </c>
      <c r="W218" s="1573">
        <f>$W$8</f>
        <v>43252</v>
      </c>
      <c r="X218" s="1573">
        <f>$X$8</f>
        <v>43465</v>
      </c>
      <c r="Y218" s="1573">
        <f>$Y$8</f>
        <v>43800</v>
      </c>
      <c r="Z218" s="1573">
        <f>$Z$8</f>
        <v>43862</v>
      </c>
      <c r="AA218" s="1573">
        <f>$AA$8</f>
        <v>44013</v>
      </c>
      <c r="AB218" s="1573">
        <v>44166</v>
      </c>
      <c r="AC218" s="1573">
        <f>$AC$8</f>
        <v>44531</v>
      </c>
      <c r="AD218" s="1573">
        <f>$AD$8</f>
        <v>44774</v>
      </c>
      <c r="AE218" s="1573" t="str">
        <f>$AE$8</f>
        <v>-</v>
      </c>
      <c r="AF218" s="1573" t="str">
        <f>$AF$8</f>
        <v>-</v>
      </c>
      <c r="AG218" s="1573" t="str">
        <f>$AG$8</f>
        <v>-</v>
      </c>
      <c r="AH218"/>
      <c r="AI218" s="1572" t="s">
        <v>44</v>
      </c>
      <c r="AJ218" s="1573">
        <v>43252</v>
      </c>
      <c r="AK218" s="1573">
        <f>$X$8</f>
        <v>43465</v>
      </c>
      <c r="AL218" s="1573">
        <f>$Y$8</f>
        <v>43800</v>
      </c>
      <c r="AM218" s="1573">
        <f>$Z$8</f>
        <v>43862</v>
      </c>
      <c r="AN218" s="1573">
        <f>$AA$8</f>
        <v>44013</v>
      </c>
      <c r="AO218" s="1573">
        <f>$AB$8</f>
        <v>44166</v>
      </c>
      <c r="AP218" s="1573">
        <f>$AC$8</f>
        <v>44531</v>
      </c>
      <c r="AQ218" s="1573">
        <f>$AD$8</f>
        <v>44774</v>
      </c>
      <c r="AR218" s="1573" t="str">
        <f>$AE$8</f>
        <v>-</v>
      </c>
      <c r="AS218" s="1573" t="str">
        <f>$AF$8</f>
        <v>-</v>
      </c>
      <c r="AT218" s="21"/>
      <c r="AU218" s="1572" t="s">
        <v>44</v>
      </c>
      <c r="AV218" s="1573">
        <v>43252</v>
      </c>
      <c r="AW218" s="1573">
        <f>$X$8</f>
        <v>43465</v>
      </c>
      <c r="AX218" s="1573">
        <f>$Y$8</f>
        <v>43800</v>
      </c>
      <c r="AY218" s="1573">
        <f>$Z$8</f>
        <v>43862</v>
      </c>
      <c r="AZ218" s="1573">
        <f>$AA$8</f>
        <v>44013</v>
      </c>
      <c r="BA218" s="1573">
        <v>44166</v>
      </c>
      <c r="BB218" s="1573">
        <f>$AC$8</f>
        <v>44531</v>
      </c>
      <c r="BC218" s="1573">
        <f>$AD$8</f>
        <v>44774</v>
      </c>
      <c r="BD218" s="1573" t="str">
        <f>$AE$8</f>
        <v>-</v>
      </c>
      <c r="BE218" s="1573" t="str">
        <f>$AF$8</f>
        <v>-</v>
      </c>
      <c r="DE218" s="21"/>
      <c r="DF218" s="21"/>
      <c r="DG218" s="1574" t="str">
        <f>$DG$8</f>
        <v>TRC (2022)</v>
      </c>
      <c r="DH218" s="1584" t="str">
        <f>$DH$8</f>
        <v>Benefit Lookup</v>
      </c>
      <c r="DI218" s="1584" t="str">
        <f>$DI$8</f>
        <v>Benefits (2019 $)</v>
      </c>
      <c r="DJ218" s="1584" t="str">
        <f>$DJ$8</f>
        <v>Incremental Cost (2019 $)</v>
      </c>
    </row>
    <row r="219" spans="2:117" x14ac:dyDescent="0.35">
      <c r="C219" s="1614" t="s">
        <v>2635</v>
      </c>
      <c r="D219" s="1087" t="s">
        <v>2485</v>
      </c>
      <c r="E219" s="1105" t="s">
        <v>2636</v>
      </c>
      <c r="F219" s="965">
        <f>ROUND((((1/F233-1/G233)*H233*J233*(K233-L233)*1)/3412)+M233-N233,2)</f>
        <v>21156</v>
      </c>
      <c r="G219" s="1087" t="s">
        <v>2637</v>
      </c>
      <c r="H219" s="1088">
        <f>VLOOKUP(G219,'CP FACTORS'!$A$26:$B$38,2,FALSE)</f>
        <v>1.811545E-4</v>
      </c>
      <c r="I219" s="1106">
        <f>ROUND(H219*F219,6)</f>
        <v>3.8325049999999998</v>
      </c>
      <c r="J219" s="1113">
        <v>15</v>
      </c>
      <c r="K219" s="1123">
        <v>4000</v>
      </c>
      <c r="L219" s="1089" t="s">
        <v>184</v>
      </c>
      <c r="V219" s="2419" t="s">
        <v>30</v>
      </c>
      <c r="W219" s="112">
        <v>21156</v>
      </c>
      <c r="X219" s="112">
        <v>21156</v>
      </c>
      <c r="Y219" s="112">
        <v>21156</v>
      </c>
      <c r="Z219" s="112">
        <v>21156</v>
      </c>
      <c r="AA219" s="112">
        <v>21156</v>
      </c>
      <c r="AB219" s="110">
        <v>21156</v>
      </c>
      <c r="AC219" s="1798">
        <v>21156</v>
      </c>
      <c r="AD219" s="1798">
        <v>21156</v>
      </c>
      <c r="AE219" s="141"/>
      <c r="AF219" s="141"/>
      <c r="AG219" s="141"/>
      <c r="AH219"/>
      <c r="AI219" s="88" t="s">
        <v>180</v>
      </c>
      <c r="AJ219" s="61">
        <v>15</v>
      </c>
      <c r="AK219" s="61">
        <v>15</v>
      </c>
      <c r="AL219" s="61">
        <v>15</v>
      </c>
      <c r="AM219" s="1518">
        <v>15</v>
      </c>
      <c r="AN219" s="1518">
        <v>15</v>
      </c>
      <c r="AO219" s="48">
        <v>15</v>
      </c>
      <c r="AP219" s="48">
        <v>15</v>
      </c>
      <c r="AQ219" s="48">
        <v>15</v>
      </c>
      <c r="AR219" s="141"/>
      <c r="AS219" s="141"/>
      <c r="AU219" s="88" t="s">
        <v>169</v>
      </c>
      <c r="AV219" s="1693">
        <v>4000</v>
      </c>
      <c r="AW219" s="1693">
        <v>4000</v>
      </c>
      <c r="AX219" s="1693">
        <v>4000</v>
      </c>
      <c r="AY219" s="1693">
        <v>4000</v>
      </c>
      <c r="AZ219" s="1693">
        <v>4000</v>
      </c>
      <c r="BA219" s="1928">
        <v>4000</v>
      </c>
      <c r="BB219" s="1928">
        <v>4000</v>
      </c>
      <c r="BC219" s="1928">
        <v>4000</v>
      </c>
      <c r="BD219" s="141"/>
      <c r="BE219" s="141"/>
      <c r="DG219" s="1578">
        <f>(DI219)/(DJ219)</f>
        <v>3.4829708093921057</v>
      </c>
      <c r="DH219" s="2381" t="str">
        <f>CONCATENATE(G219," ",J219," Year EUL")</f>
        <v>Water Heating BUS 15 Year EUL</v>
      </c>
      <c r="DI219" s="56">
        <f>(INDEX('Avoided Cost Benefits'!$E$4:$E$859,MATCH(DH219,'Avoided Cost Benefits'!$A$4:$A$859,0)))*F219</f>
        <v>13149.488662169346</v>
      </c>
      <c r="DJ219" s="1579">
        <f>K219/(1.0595^(2020-2019))</f>
        <v>3775.3657385559222</v>
      </c>
    </row>
    <row r="220" spans="2:117" x14ac:dyDescent="0.35">
      <c r="C220" s="1614" t="s">
        <v>2638</v>
      </c>
      <c r="D220" s="1087" t="s">
        <v>2485</v>
      </c>
      <c r="E220" s="1105" t="s">
        <v>2639</v>
      </c>
      <c r="F220" s="965">
        <f>ROUND((((1/F234-1/G234)*H234*J234*(K234-L234)*1)/3412)+M234-N234,2)</f>
        <v>52890</v>
      </c>
      <c r="G220" s="1087" t="s">
        <v>2637</v>
      </c>
      <c r="H220" s="1088">
        <f>VLOOKUP(G220,'CP FACTORS'!$A$26:$B$38,2,FALSE)</f>
        <v>1.811545E-4</v>
      </c>
      <c r="I220" s="1106">
        <f>ROUND(H220*F220,6)</f>
        <v>9.5812620000000006</v>
      </c>
      <c r="J220" s="1114">
        <v>15</v>
      </c>
      <c r="K220" s="1123">
        <v>7000</v>
      </c>
      <c r="L220" s="1089" t="s">
        <v>184</v>
      </c>
      <c r="V220" s="2419" t="s">
        <v>30</v>
      </c>
      <c r="W220" s="112">
        <v>52890.000000000015</v>
      </c>
      <c r="X220" s="112">
        <v>52890.000000000015</v>
      </c>
      <c r="Y220" s="112">
        <v>52890.000000000015</v>
      </c>
      <c r="Z220" s="112">
        <v>52890.000000000015</v>
      </c>
      <c r="AA220" s="112">
        <v>52890.000000000015</v>
      </c>
      <c r="AB220" s="110">
        <v>52890</v>
      </c>
      <c r="AC220" s="1798">
        <v>52890</v>
      </c>
      <c r="AD220" s="1798">
        <v>52890</v>
      </c>
      <c r="AE220" s="141"/>
      <c r="AF220" s="141"/>
      <c r="AG220" s="141"/>
      <c r="AH220"/>
      <c r="AI220" s="88" t="s">
        <v>180</v>
      </c>
      <c r="AJ220" s="62">
        <v>15</v>
      </c>
      <c r="AK220" s="62">
        <v>15</v>
      </c>
      <c r="AL220" s="62">
        <v>15</v>
      </c>
      <c r="AM220" s="1518">
        <v>15</v>
      </c>
      <c r="AN220" s="1518">
        <v>15</v>
      </c>
      <c r="AO220" s="48">
        <v>15</v>
      </c>
      <c r="AP220" s="48">
        <v>15</v>
      </c>
      <c r="AQ220" s="48">
        <v>15</v>
      </c>
      <c r="AR220" s="141"/>
      <c r="AS220" s="141"/>
      <c r="AU220" s="88" t="s">
        <v>169</v>
      </c>
      <c r="AV220" s="1693">
        <v>7000</v>
      </c>
      <c r="AW220" s="1693">
        <v>7000</v>
      </c>
      <c r="AX220" s="1693">
        <v>7000</v>
      </c>
      <c r="AY220" s="1693">
        <v>7000</v>
      </c>
      <c r="AZ220" s="1693">
        <v>7000</v>
      </c>
      <c r="BA220" s="1928">
        <v>7000</v>
      </c>
      <c r="BB220" s="1928">
        <v>7000</v>
      </c>
      <c r="BC220" s="1928">
        <v>7000</v>
      </c>
      <c r="BD220" s="141"/>
      <c r="BE220" s="141"/>
      <c r="DG220" s="40">
        <f>(DI220)/(DJ220)</f>
        <v>4.9756725848458654</v>
      </c>
      <c r="DH220" s="1580" t="str">
        <f>CONCATENATE(G220," ",J220," Year EUL")</f>
        <v>Water Heating BUS 15 Year EUL</v>
      </c>
      <c r="DI220" s="57">
        <f>(INDEX('Avoided Cost Benefits'!$E$4:$E$859,MATCH(DH220,'Avoided Cost Benefits'!$A$4:$A$859,0)))*F220</f>
        <v>32873.72165542336</v>
      </c>
      <c r="DJ220" s="1581">
        <f>K220/(1.0595^(2020-2019))</f>
        <v>6606.8900424728636</v>
      </c>
    </row>
    <row r="221" spans="2:117" x14ac:dyDescent="0.35">
      <c r="C221" s="1614" t="s">
        <v>2640</v>
      </c>
      <c r="D221" s="1087" t="s">
        <v>2485</v>
      </c>
      <c r="E221" s="1105" t="s">
        <v>2641</v>
      </c>
      <c r="F221" s="965">
        <f>ROUND((((1/F235-1/G235)*H235*J235*(K235-L235)*1)/3412)+M235-N235,2)</f>
        <v>141041</v>
      </c>
      <c r="G221" s="1087" t="s">
        <v>2637</v>
      </c>
      <c r="H221" s="1088">
        <f>VLOOKUP(G221,'CP FACTORS'!$A$26:$B$38,2,FALSE)</f>
        <v>1.811545E-4</v>
      </c>
      <c r="I221" s="1106">
        <f>ROUND(H221*F221,6)</f>
        <v>25.550211999999998</v>
      </c>
      <c r="J221" s="1114">
        <v>15</v>
      </c>
      <c r="K221" s="1123">
        <v>10000</v>
      </c>
      <c r="L221" s="1089" t="s">
        <v>184</v>
      </c>
      <c r="V221" s="2419" t="s">
        <v>30</v>
      </c>
      <c r="W221" s="112">
        <v>141040.99999999997</v>
      </c>
      <c r="X221" s="112">
        <v>141040.99999999997</v>
      </c>
      <c r="Y221" s="112">
        <v>141040.99999999997</v>
      </c>
      <c r="Z221" s="112">
        <v>141040.99999999997</v>
      </c>
      <c r="AA221" s="112">
        <v>141040.99999999997</v>
      </c>
      <c r="AB221" s="110">
        <v>141041</v>
      </c>
      <c r="AC221" s="1798">
        <v>141041</v>
      </c>
      <c r="AD221" s="1798">
        <v>141041</v>
      </c>
      <c r="AE221" s="141"/>
      <c r="AF221" s="141"/>
      <c r="AG221" s="141"/>
      <c r="AH221"/>
      <c r="AI221" s="88" t="s">
        <v>180</v>
      </c>
      <c r="AJ221" s="62">
        <v>15</v>
      </c>
      <c r="AK221" s="62">
        <v>15</v>
      </c>
      <c r="AL221" s="62">
        <v>15</v>
      </c>
      <c r="AM221" s="1518">
        <v>15</v>
      </c>
      <c r="AN221" s="1518">
        <v>15</v>
      </c>
      <c r="AO221" s="48">
        <v>15</v>
      </c>
      <c r="AP221" s="48">
        <v>15</v>
      </c>
      <c r="AQ221" s="48">
        <v>15</v>
      </c>
      <c r="AR221" s="141"/>
      <c r="AS221" s="141"/>
      <c r="AU221" s="88" t="s">
        <v>169</v>
      </c>
      <c r="AV221" s="1693">
        <v>10000</v>
      </c>
      <c r="AW221" s="1693">
        <v>10000</v>
      </c>
      <c r="AX221" s="1693">
        <v>10000</v>
      </c>
      <c r="AY221" s="1693">
        <v>10000</v>
      </c>
      <c r="AZ221" s="1693">
        <v>10000</v>
      </c>
      <c r="BA221" s="1928">
        <v>10000</v>
      </c>
      <c r="BB221" s="1928">
        <v>10000</v>
      </c>
      <c r="BC221" s="1928">
        <v>10000</v>
      </c>
      <c r="BD221" s="141"/>
      <c r="BE221" s="141"/>
      <c r="DG221" s="40">
        <f>(DI221)/(DJ221)</f>
        <v>9.2879880114855737</v>
      </c>
      <c r="DH221" s="1580" t="str">
        <f>CONCATENATE(G221," ",J221," Year EUL")</f>
        <v>Water Heating BUS 15 Year EUL</v>
      </c>
      <c r="DI221" s="57">
        <f>(INDEX('Avoided Cost Benefits'!$E$4:$E$859,MATCH(DH221,'Avoided Cost Benefits'!$A$4:$A$859,0)))*F221</f>
        <v>87663.879296701954</v>
      </c>
      <c r="DJ221" s="1581">
        <f>K221/(1.0595^(2020-2019))</f>
        <v>9438.4143463898054</v>
      </c>
    </row>
    <row r="222" spans="2:117" x14ac:dyDescent="0.35">
      <c r="C222" s="1614" t="s">
        <v>2642</v>
      </c>
      <c r="D222" s="1087" t="s">
        <v>2485</v>
      </c>
      <c r="E222" s="1105" t="s">
        <v>2643</v>
      </c>
      <c r="F222" s="965">
        <f>ROUND((((1/F236-1/G236)*H236*J236*(K236-L236)*1)/3412)+M236-N236,2)</f>
        <v>282081</v>
      </c>
      <c r="G222" s="1087" t="s">
        <v>2637</v>
      </c>
      <c r="H222" s="1088">
        <f>VLOOKUP(G222,'CP FACTORS'!$A$26:$B$38,2,FALSE)</f>
        <v>1.811545E-4</v>
      </c>
      <c r="I222" s="1106">
        <f>ROUND(H222*F222,6)</f>
        <v>51.100242999999999</v>
      </c>
      <c r="J222" s="1114">
        <v>15</v>
      </c>
      <c r="K222" s="1123">
        <v>14000</v>
      </c>
      <c r="L222" s="1089" t="s">
        <v>184</v>
      </c>
      <c r="V222" s="2419" t="s">
        <v>30</v>
      </c>
      <c r="W222" s="112">
        <v>282081.00000000006</v>
      </c>
      <c r="X222" s="112">
        <v>282081.00000000006</v>
      </c>
      <c r="Y222" s="112">
        <v>282081.00000000006</v>
      </c>
      <c r="Z222" s="112">
        <v>282081.00000000006</v>
      </c>
      <c r="AA222" s="112">
        <v>282081.00000000006</v>
      </c>
      <c r="AB222" s="110">
        <v>282081</v>
      </c>
      <c r="AC222" s="1798">
        <v>282081</v>
      </c>
      <c r="AD222" s="1798">
        <v>282081</v>
      </c>
      <c r="AE222" s="141"/>
      <c r="AF222" s="141"/>
      <c r="AG222" s="141"/>
      <c r="AH222"/>
      <c r="AI222" s="88" t="s">
        <v>180</v>
      </c>
      <c r="AJ222" s="62">
        <v>15</v>
      </c>
      <c r="AK222" s="62">
        <v>15</v>
      </c>
      <c r="AL222" s="62">
        <v>15</v>
      </c>
      <c r="AM222" s="1518">
        <v>15</v>
      </c>
      <c r="AN222" s="1518">
        <v>15</v>
      </c>
      <c r="AO222" s="48">
        <v>15</v>
      </c>
      <c r="AP222" s="48">
        <v>15</v>
      </c>
      <c r="AQ222" s="48">
        <v>15</v>
      </c>
      <c r="AR222" s="141"/>
      <c r="AS222" s="141"/>
      <c r="AU222" s="88" t="s">
        <v>169</v>
      </c>
      <c r="AV222" s="1693">
        <v>14000</v>
      </c>
      <c r="AW222" s="1693">
        <v>14000</v>
      </c>
      <c r="AX222" s="1693">
        <v>14000</v>
      </c>
      <c r="AY222" s="1693">
        <v>14000</v>
      </c>
      <c r="AZ222" s="1693">
        <v>14000</v>
      </c>
      <c r="BA222" s="1928">
        <v>14000</v>
      </c>
      <c r="BB222" s="1928">
        <v>14000</v>
      </c>
      <c r="BC222" s="1928">
        <v>14000</v>
      </c>
      <c r="BD222" s="141"/>
      <c r="BE222" s="141"/>
      <c r="DG222" s="40">
        <f>(DI222)/(DJ222)</f>
        <v>13.268507264188944</v>
      </c>
      <c r="DH222" s="1580" t="str">
        <f>CONCATENATE(G222," ",J222," Year EUL")</f>
        <v>Water Heating BUS 15 Year EUL</v>
      </c>
      <c r="DI222" s="57">
        <f>(INDEX('Avoided Cost Benefits'!$E$4:$E$859,MATCH(DH222,'Avoided Cost Benefits'!$A$4:$A$859,0)))*F222</f>
        <v>175327.13704449759</v>
      </c>
      <c r="DJ222" s="1581">
        <f>K222/(1.0595^(2020-2019))</f>
        <v>13213.780084945727</v>
      </c>
    </row>
    <row r="223" spans="2:117" x14ac:dyDescent="0.35">
      <c r="C223" s="1614" t="s">
        <v>2644</v>
      </c>
      <c r="D223" s="1087" t="s">
        <v>2485</v>
      </c>
      <c r="E223" s="1105" t="s">
        <v>2645</v>
      </c>
      <c r="F223" s="965">
        <f>ROUND((((1/F237-1/G237)*H237*J237*(K237-L237)*1)/3412)+M237-N237,2)</f>
        <v>423122</v>
      </c>
      <c r="G223" s="1087" t="s">
        <v>2637</v>
      </c>
      <c r="H223" s="1088">
        <f>VLOOKUP(G223,'CP FACTORS'!$A$26:$B$38,2,FALSE)</f>
        <v>1.811545E-4</v>
      </c>
      <c r="I223" s="1106">
        <f>ROUND(H223*F223,6)</f>
        <v>76.650453999999996</v>
      </c>
      <c r="J223" s="1114">
        <v>15</v>
      </c>
      <c r="K223" s="1123">
        <v>18000</v>
      </c>
      <c r="L223" s="1089" t="s">
        <v>184</v>
      </c>
      <c r="V223" s="2419" t="s">
        <v>30</v>
      </c>
      <c r="W223" s="112">
        <v>423122.00000000012</v>
      </c>
      <c r="X223" s="112">
        <v>423122.00000000012</v>
      </c>
      <c r="Y223" s="112">
        <v>423122.00000000012</v>
      </c>
      <c r="Z223" s="112">
        <v>423122.00000000012</v>
      </c>
      <c r="AA223" s="112">
        <v>423122.00000000012</v>
      </c>
      <c r="AB223" s="110">
        <v>423122</v>
      </c>
      <c r="AC223" s="1798">
        <v>423122</v>
      </c>
      <c r="AD223" s="1798">
        <v>423122</v>
      </c>
      <c r="AE223" s="141"/>
      <c r="AF223" s="141"/>
      <c r="AG223" s="141"/>
      <c r="AH223"/>
      <c r="AI223" s="88" t="s">
        <v>180</v>
      </c>
      <c r="AJ223" s="62">
        <v>15</v>
      </c>
      <c r="AK223" s="62">
        <v>15</v>
      </c>
      <c r="AL223" s="62">
        <v>15</v>
      </c>
      <c r="AM223" s="1518">
        <v>15</v>
      </c>
      <c r="AN223" s="1518">
        <v>15</v>
      </c>
      <c r="AO223" s="48">
        <v>15</v>
      </c>
      <c r="AP223" s="48">
        <v>15</v>
      </c>
      <c r="AQ223" s="48">
        <v>15</v>
      </c>
      <c r="AR223" s="141"/>
      <c r="AS223" s="141"/>
      <c r="AU223" s="88" t="s">
        <v>169</v>
      </c>
      <c r="AV223" s="1693">
        <v>18000</v>
      </c>
      <c r="AW223" s="1693">
        <v>18000</v>
      </c>
      <c r="AX223" s="1693">
        <v>18000</v>
      </c>
      <c r="AY223" s="1693">
        <v>18000</v>
      </c>
      <c r="AZ223" s="1693">
        <v>18000</v>
      </c>
      <c r="BA223" s="1928">
        <v>18000</v>
      </c>
      <c r="BB223" s="1928">
        <v>18000</v>
      </c>
      <c r="BC223" s="1928">
        <v>18000</v>
      </c>
      <c r="BD223" s="141"/>
      <c r="BE223" s="141"/>
      <c r="DG223" s="41">
        <f>(DI223)/(DJ223)</f>
        <v>15.479943434083387</v>
      </c>
      <c r="DH223" s="1580" t="str">
        <f>CONCATENATE(G223," ",J223," Year EUL")</f>
        <v>Water Heating BUS 15 Year EUL</v>
      </c>
      <c r="DI223" s="58">
        <f>(INDEX('Avoided Cost Benefits'!$E$4:$E$859,MATCH(DH223,'Avoided Cost Benefits'!$A$4:$A$859,0)))*F223</f>
        <v>262991.01634119957</v>
      </c>
      <c r="DJ223" s="1582">
        <f>K223/(1.0595^(2020-2019))</f>
        <v>16989.145823501651</v>
      </c>
    </row>
    <row r="224" spans="2:117" hidden="1" outlineLevel="1" x14ac:dyDescent="0.35">
      <c r="E224" s="33"/>
      <c r="F224" s="33"/>
      <c r="G224" s="33"/>
      <c r="H224" s="1096"/>
      <c r="I224" s="33"/>
      <c r="J224" s="33"/>
      <c r="K224" s="33"/>
    </row>
    <row r="225" spans="2:111" hidden="1" outlineLevel="1" x14ac:dyDescent="0.35">
      <c r="D225" s="33" t="s">
        <v>2528</v>
      </c>
      <c r="E225" s="132"/>
      <c r="F225" s="33"/>
      <c r="G225" s="33"/>
      <c r="H225" s="1096"/>
      <c r="I225" s="33"/>
      <c r="J225" s="33"/>
      <c r="K225" s="132"/>
    </row>
    <row r="226" spans="2:111" hidden="1" outlineLevel="1" x14ac:dyDescent="0.35">
      <c r="D226" s="1097"/>
      <c r="F226" s="132"/>
      <c r="G226" s="725"/>
      <c r="H226" s="1098"/>
    </row>
    <row r="227" spans="2:111" hidden="1" outlineLevel="1" x14ac:dyDescent="0.35">
      <c r="D227" s="1097"/>
      <c r="G227" s="725"/>
      <c r="H227" s="1098"/>
    </row>
    <row r="228" spans="2:111" hidden="1" outlineLevel="1" x14ac:dyDescent="0.35">
      <c r="D228" s="1097"/>
      <c r="G228" s="725"/>
      <c r="H228" s="1098"/>
      <c r="M228" s="33"/>
    </row>
    <row r="229" spans="2:111" hidden="1" outlineLevel="1" x14ac:dyDescent="0.35">
      <c r="D229" s="1097"/>
      <c r="G229" s="725"/>
      <c r="H229" s="1098"/>
      <c r="M229" s="33"/>
    </row>
    <row r="230" spans="2:111" hidden="1" outlineLevel="1" x14ac:dyDescent="0.35">
      <c r="D230" s="1097"/>
      <c r="G230" s="725"/>
      <c r="H230" s="1098"/>
      <c r="M230" s="33"/>
    </row>
    <row r="231" spans="2:111" hidden="1" outlineLevel="1" x14ac:dyDescent="0.35">
      <c r="D231" s="1097"/>
      <c r="G231" s="725"/>
      <c r="H231" s="1098"/>
    </row>
    <row r="232" spans="2:111" s="34" customFormat="1" ht="29" hidden="1" outlineLevel="1" x14ac:dyDescent="0.35">
      <c r="C232" s="132"/>
      <c r="D232" s="35" t="s">
        <v>27</v>
      </c>
      <c r="E232" s="2327" t="s">
        <v>2597</v>
      </c>
      <c r="F232" s="2327" t="s">
        <v>2646</v>
      </c>
      <c r="G232" s="2327" t="s">
        <v>2647</v>
      </c>
      <c r="H232" s="2429" t="s">
        <v>2648</v>
      </c>
      <c r="I232" s="2429" t="s">
        <v>2649</v>
      </c>
      <c r="J232" s="2429" t="s">
        <v>2650</v>
      </c>
      <c r="K232" s="2429" t="s">
        <v>2651</v>
      </c>
      <c r="L232" s="2429" t="s">
        <v>2652</v>
      </c>
      <c r="M232" s="2399" t="s">
        <v>2653</v>
      </c>
      <c r="N232" s="2399" t="s">
        <v>2654</v>
      </c>
      <c r="O232" s="2399" t="s">
        <v>2655</v>
      </c>
      <c r="P232" s="2399" t="s">
        <v>2656</v>
      </c>
      <c r="Q232" s="2399" t="s">
        <v>2657</v>
      </c>
      <c r="R232" s="2399" t="s">
        <v>242</v>
      </c>
      <c r="S232" s="2399" t="s">
        <v>283</v>
      </c>
      <c r="T232" s="350"/>
      <c r="U232" s="350"/>
      <c r="V232" s="21"/>
      <c r="W232" s="21"/>
      <c r="X232" s="21"/>
      <c r="Y232" s="21"/>
      <c r="Z232" s="21"/>
      <c r="AA232" s="21"/>
      <c r="AB232" s="21"/>
      <c r="AC232" s="21"/>
      <c r="AD232" s="21"/>
      <c r="AE232" s="21"/>
      <c r="AF232" s="21"/>
      <c r="AG232" s="21"/>
      <c r="AH232" s="21"/>
      <c r="AI232" s="21"/>
      <c r="AJ232" s="21"/>
      <c r="AK232" s="21"/>
      <c r="AL232" s="21"/>
      <c r="AM232" s="21"/>
      <c r="AN232" s="21"/>
      <c r="AO232" s="21"/>
      <c r="AP232" s="21"/>
      <c r="AQ232" s="21"/>
      <c r="AR232" s="21"/>
      <c r="AS232" s="21"/>
      <c r="AT232" s="21"/>
      <c r="AU232" s="21"/>
      <c r="AV232" s="21"/>
      <c r="AW232" s="21"/>
      <c r="AX232" s="21"/>
      <c r="AY232" s="21"/>
      <c r="AZ232" s="21"/>
      <c r="BA232" s="21"/>
      <c r="BB232" s="21"/>
      <c r="BC232" s="21"/>
      <c r="BD232" s="21"/>
      <c r="BE232" s="21"/>
      <c r="DE232" s="21"/>
      <c r="DF232" s="21"/>
      <c r="DG232" s="59"/>
    </row>
    <row r="233" spans="2:111" hidden="1" outlineLevel="1" x14ac:dyDescent="0.35">
      <c r="D233" s="1593" t="str">
        <f>C219</f>
        <v>802250_2019_12_</v>
      </c>
      <c r="E233" s="1593" t="str">
        <f>E219</f>
        <v>Heat Pump Water Heater w/ 98% Efficiency 2.9-14.6 kW (10 to 50 MBH)</v>
      </c>
      <c r="F233" s="1132">
        <f>0.96-(0.0003*40)</f>
        <v>0.94799999999999995</v>
      </c>
      <c r="G233" s="1132">
        <v>4</v>
      </c>
      <c r="H233" s="1133">
        <f>558*I233</f>
        <v>149421.71926647448</v>
      </c>
      <c r="I233" s="1134">
        <v>267.78085890049192</v>
      </c>
      <c r="J233" s="1119">
        <v>8.33</v>
      </c>
      <c r="K233" s="1135">
        <v>125</v>
      </c>
      <c r="L233" s="1136">
        <v>57.898000000000003</v>
      </c>
      <c r="M233" s="1137">
        <f>((((1-1/G233)*H233*J233*(K233-L233)*1)*Q233*0.53*3)/(O233*3412))*R233</f>
        <v>10425.227215592167</v>
      </c>
      <c r="N233" s="1137">
        <f>((((1-1/G233)*H233*J233*(K233-L233)*1)*Q233*0.43)/(P233*3412))*S233</f>
        <v>8970.821589174504</v>
      </c>
      <c r="O233" s="1125">
        <v>2.8</v>
      </c>
      <c r="P233" s="1117">
        <v>0.88</v>
      </c>
      <c r="Q233" s="1125">
        <v>1</v>
      </c>
      <c r="R233" s="1132">
        <v>1</v>
      </c>
      <c r="S233" s="1132">
        <v>1</v>
      </c>
    </row>
    <row r="234" spans="2:111" hidden="1" outlineLevel="1" x14ac:dyDescent="0.35">
      <c r="D234" s="1593" t="str">
        <f>C220</f>
        <v>802300_2019_12_</v>
      </c>
      <c r="E234" s="1593" t="str">
        <f>E220</f>
        <v>Heat Pump Water Heater w/ 98% Efficiency 14.7-29.3 kW (50 to 100 MBH)</v>
      </c>
      <c r="F234" s="1138">
        <v>0.98</v>
      </c>
      <c r="G234" s="1132">
        <v>4</v>
      </c>
      <c r="H234" s="1133">
        <f>558*I234</f>
        <v>389059.7149286035</v>
      </c>
      <c r="I234" s="1134">
        <v>697.2396324885367</v>
      </c>
      <c r="J234" s="1119">
        <v>8.33</v>
      </c>
      <c r="K234" s="1135">
        <v>125</v>
      </c>
      <c r="L234" s="1136">
        <v>57.898000000000003</v>
      </c>
      <c r="M234" s="1137">
        <f>((((1-1/G234)*H234*J234*(K234-L234)*1)*1*0.53*3)/(O234*3412))*1</f>
        <v>27144.88863115534</v>
      </c>
      <c r="N234" s="1137">
        <f>((((1-1/G234)*H234*J234*(K234-L234)*1)*Q234*0.43)/(P234*3412))*S234</f>
        <v>23357.95162372143</v>
      </c>
      <c r="O234" s="1125">
        <v>2.8</v>
      </c>
      <c r="P234" s="1117">
        <v>0.88</v>
      </c>
      <c r="Q234" s="1125">
        <v>1</v>
      </c>
      <c r="R234" s="1132">
        <v>1</v>
      </c>
      <c r="S234" s="1132">
        <v>1</v>
      </c>
    </row>
    <row r="235" spans="2:111" hidden="1" outlineLevel="1" x14ac:dyDescent="0.35">
      <c r="D235" s="1593" t="str">
        <f>C221</f>
        <v>802350_2019_12_</v>
      </c>
      <c r="E235" s="1593" t="str">
        <f>E221</f>
        <v>Heat Pump Water Heater w/ 98% Efficiency 29.4-87.9 kW (100 to 300 MBH)</v>
      </c>
      <c r="F235" s="1138">
        <v>0.98</v>
      </c>
      <c r="G235" s="1132">
        <v>4</v>
      </c>
      <c r="H235" s="1133">
        <f>558*I235</f>
        <v>1037499.9291594848</v>
      </c>
      <c r="I235" s="1134">
        <v>1859.3188694614423</v>
      </c>
      <c r="J235" s="1119">
        <v>8.33</v>
      </c>
      <c r="K235" s="1135">
        <v>125</v>
      </c>
      <c r="L235" s="1136">
        <v>57.898000000000003</v>
      </c>
      <c r="M235" s="1137">
        <f>((((1-1/G235)*H235*J235*(K235-L235)*1)*1*0.53*3)/(O235*3412))*1</f>
        <v>72386.882915991271</v>
      </c>
      <c r="N235" s="1137">
        <f>((((1-1/G235)*H235*J235*(K235-L235)*1)*Q235*0.43)/(P235*3412))*S235</f>
        <v>62288.312629254913</v>
      </c>
      <c r="O235" s="1125">
        <v>2.8</v>
      </c>
      <c r="P235" s="1117">
        <v>0.88</v>
      </c>
      <c r="Q235" s="1125">
        <v>1</v>
      </c>
      <c r="R235" s="1132">
        <v>1</v>
      </c>
      <c r="S235" s="1132">
        <v>1</v>
      </c>
    </row>
    <row r="236" spans="2:111" hidden="1" outlineLevel="1" x14ac:dyDescent="0.35">
      <c r="D236" s="1593" t="str">
        <f>C222</f>
        <v>802400_2019_12_</v>
      </c>
      <c r="E236" s="1593" t="str">
        <f>E222</f>
        <v>Heat Pump Water Heater w/ 98% Efficiency 88-146.5 kW (300 to 500 MBH)</v>
      </c>
      <c r="F236" s="1138">
        <v>0.98</v>
      </c>
      <c r="G236" s="1132">
        <v>4</v>
      </c>
      <c r="H236" s="1133">
        <f>558*I236</f>
        <v>2074992.5023024278</v>
      </c>
      <c r="I236" s="1134">
        <v>3718.6245560975408</v>
      </c>
      <c r="J236" s="1119">
        <v>8.33</v>
      </c>
      <c r="K236" s="1135">
        <v>125</v>
      </c>
      <c r="L236" s="1136">
        <v>57.898000000000003</v>
      </c>
      <c r="M236" s="1137">
        <f>((((1-1/G236)*H236*J236*(K236-L236)*1)*1*0.53*3)/(O236*3412))*1</f>
        <v>144773.25259907221</v>
      </c>
      <c r="N236" s="1137">
        <f>((((1-1/G236)*H236*J236*(K236-L236)*1)*Q236*0.43)/(P236*3412))*S236</f>
        <v>124576.1836258454</v>
      </c>
      <c r="O236" s="1125">
        <v>2.8</v>
      </c>
      <c r="P236" s="1117">
        <v>0.88</v>
      </c>
      <c r="Q236" s="1125">
        <v>1</v>
      </c>
      <c r="R236" s="1132">
        <v>1</v>
      </c>
      <c r="S236" s="1132">
        <v>1</v>
      </c>
    </row>
    <row r="237" spans="2:111" hidden="1" outlineLevel="1" x14ac:dyDescent="0.35">
      <c r="D237" s="1593" t="str">
        <f>C223</f>
        <v>802450_2019_12_</v>
      </c>
      <c r="E237" s="1593" t="str">
        <f>E223</f>
        <v>Heat Pump Water Heater w/ 98% Efficiency &gt;146.6 kW (above 500 MBH)</v>
      </c>
      <c r="F237" s="1138">
        <v>0.98</v>
      </c>
      <c r="G237" s="1132">
        <v>4</v>
      </c>
      <c r="H237" s="1133">
        <f>558*I237</f>
        <v>3112492.431461913</v>
      </c>
      <c r="I237" s="1134">
        <v>5577.943425558984</v>
      </c>
      <c r="J237" s="1119">
        <v>8.33</v>
      </c>
      <c r="K237" s="1135">
        <v>125</v>
      </c>
      <c r="L237" s="1136">
        <v>57.898000000000003</v>
      </c>
      <c r="M237" s="1137">
        <f>((((1-1/G237)*H237*J237*(K237-L237)*1)*1*0.53*3)/(O237*3412))*1</f>
        <v>217160.13551506354</v>
      </c>
      <c r="N237" s="1137">
        <f>((((1-1/G237)*H237*J237*(K237-L237)*1)*Q237*0.43)/(P237*3412))*S237</f>
        <v>186864.49625510038</v>
      </c>
      <c r="O237" s="1125">
        <v>2.8</v>
      </c>
      <c r="P237" s="1117">
        <v>0.88</v>
      </c>
      <c r="Q237" s="1125">
        <v>1</v>
      </c>
      <c r="R237" s="1132">
        <v>1</v>
      </c>
      <c r="S237" s="1132">
        <v>1</v>
      </c>
    </row>
    <row r="238" spans="2:111" collapsed="1" x14ac:dyDescent="0.35"/>
    <row r="240" spans="2:111" s="33" customFormat="1" x14ac:dyDescent="0.35">
      <c r="B240" s="4553" t="s">
        <v>2658</v>
      </c>
      <c r="C240" s="4554"/>
      <c r="D240" s="4554"/>
      <c r="E240" s="4554"/>
      <c r="F240" s="4554"/>
      <c r="G240" s="4554"/>
      <c r="H240" s="4554"/>
      <c r="I240" s="4555"/>
      <c r="J240" s="4555"/>
      <c r="K240" s="4555"/>
      <c r="L240" s="4555"/>
      <c r="M240" s="3680"/>
      <c r="N240" s="3680"/>
      <c r="O240" s="3681"/>
      <c r="V240" s="2325" t="str">
        <f>B240</f>
        <v>Heat Pump Pool Heater</v>
      </c>
      <c r="W240" s="2326"/>
      <c r="X240" s="2326"/>
      <c r="Y240" s="2326"/>
      <c r="Z240" s="2326"/>
      <c r="AA240" s="2326"/>
      <c r="AB240" s="2326"/>
      <c r="AC240" s="2326"/>
      <c r="AD240" s="2326"/>
      <c r="AE240" s="2326"/>
      <c r="AF240" s="2326"/>
      <c r="AG240" s="2326"/>
      <c r="AH240" s="2326"/>
      <c r="AI240" s="2384"/>
      <c r="AJ240" s="21"/>
      <c r="AK240" s="21"/>
      <c r="AL240" s="21"/>
      <c r="AM240" s="21"/>
      <c r="AN240" s="21"/>
      <c r="AO240" s="21"/>
      <c r="AP240" s="21"/>
      <c r="AQ240" s="21"/>
      <c r="AR240" s="21"/>
      <c r="AS240" s="21"/>
      <c r="AT240" s="21"/>
      <c r="AU240" s="21"/>
      <c r="DE240" s="21"/>
      <c r="DF240" s="21"/>
      <c r="DG240" s="60"/>
    </row>
    <row r="241" spans="2:114" x14ac:dyDescent="0.35">
      <c r="D241" s="1085"/>
      <c r="E241" s="33"/>
      <c r="F241" s="33"/>
      <c r="G241" s="33"/>
      <c r="H241" s="1086"/>
      <c r="I241" s="33"/>
      <c r="J241" s="33"/>
      <c r="K241" s="33"/>
      <c r="L241" s="33"/>
      <c r="P241" s="33"/>
      <c r="Q241" s="33"/>
      <c r="R241" s="33"/>
      <c r="S241" s="33"/>
      <c r="T241" s="33"/>
      <c r="U241" s="33"/>
      <c r="V241"/>
      <c r="W241"/>
      <c r="X241"/>
      <c r="Y241"/>
      <c r="Z241"/>
      <c r="AA241"/>
      <c r="AB241"/>
      <c r="AC241"/>
      <c r="AD241"/>
      <c r="AE241"/>
      <c r="AF241"/>
      <c r="AG241"/>
      <c r="AH241"/>
      <c r="AI241"/>
      <c r="AJ241" s="31"/>
      <c r="AK241" s="31"/>
      <c r="AL241" s="31"/>
      <c r="AM241" s="31"/>
      <c r="AN241" s="31"/>
      <c r="AO241" s="31"/>
      <c r="AP241" s="31"/>
      <c r="AQ241" s="31"/>
      <c r="AR241" s="31"/>
      <c r="AS241" s="31"/>
      <c r="AT241" s="31"/>
      <c r="AU241" s="31"/>
    </row>
    <row r="242" spans="2:114" s="34" customFormat="1" x14ac:dyDescent="0.35">
      <c r="B242" s="31"/>
      <c r="C242" s="35" t="s">
        <v>27</v>
      </c>
      <c r="D242" s="2399" t="s">
        <v>28</v>
      </c>
      <c r="E242" s="2399" t="s">
        <v>29</v>
      </c>
      <c r="F242" s="2399" t="s">
        <v>30</v>
      </c>
      <c r="G242" s="2399" t="s">
        <v>175</v>
      </c>
      <c r="H242" s="2399" t="s">
        <v>176</v>
      </c>
      <c r="I242" s="2399" t="s">
        <v>31</v>
      </c>
      <c r="J242" s="2399" t="s">
        <v>180</v>
      </c>
      <c r="K242" s="2399" t="s">
        <v>2659</v>
      </c>
      <c r="L242" s="35" t="s">
        <v>43</v>
      </c>
      <c r="M242" s="725"/>
      <c r="N242" s="725"/>
      <c r="O242" s="725"/>
      <c r="P242" s="350"/>
      <c r="Q242" s="350"/>
      <c r="R242" s="350"/>
      <c r="S242" s="350"/>
      <c r="T242" s="350"/>
      <c r="U242" s="350"/>
      <c r="V242" s="1572" t="s">
        <v>44</v>
      </c>
      <c r="W242" s="1573">
        <f>$W$8</f>
        <v>43252</v>
      </c>
      <c r="X242" s="1573">
        <f>$X$8</f>
        <v>43465</v>
      </c>
      <c r="Y242" s="1573">
        <f>$Y$8</f>
        <v>43800</v>
      </c>
      <c r="Z242" s="1573">
        <f>$Z$8</f>
        <v>43862</v>
      </c>
      <c r="AA242" s="1573">
        <f>$AA$8</f>
        <v>44013</v>
      </c>
      <c r="AB242" s="1573">
        <v>44166</v>
      </c>
      <c r="AC242" s="1573">
        <f>$AC$8</f>
        <v>44531</v>
      </c>
      <c r="AD242" s="1573">
        <f>$AD$8</f>
        <v>44774</v>
      </c>
      <c r="AE242" s="1573" t="str">
        <f>$AE$8</f>
        <v>-</v>
      </c>
      <c r="AF242" s="1573" t="str">
        <f>$AF$8</f>
        <v>-</v>
      </c>
      <c r="AG242" s="1573" t="str">
        <f>$AG$8</f>
        <v>-</v>
      </c>
      <c r="AH242"/>
      <c r="AI242" s="1572" t="s">
        <v>44</v>
      </c>
      <c r="AJ242" s="1573">
        <v>43252</v>
      </c>
      <c r="AK242" s="1573">
        <f>$X$8</f>
        <v>43465</v>
      </c>
      <c r="AL242" s="1573">
        <f>$Y$8</f>
        <v>43800</v>
      </c>
      <c r="AM242" s="1573">
        <f>$Z$8</f>
        <v>43862</v>
      </c>
      <c r="AN242" s="1573">
        <f>$AA$8</f>
        <v>44013</v>
      </c>
      <c r="AO242" s="1573">
        <f>$AB$8</f>
        <v>44166</v>
      </c>
      <c r="AP242" s="1573">
        <f>$AC$8</f>
        <v>44531</v>
      </c>
      <c r="AQ242" s="1573">
        <f>$AD$8</f>
        <v>44774</v>
      </c>
      <c r="AR242" s="1573" t="str">
        <f>$AE$8</f>
        <v>-</v>
      </c>
      <c r="AS242" s="1573" t="str">
        <f>$AF$8</f>
        <v>-</v>
      </c>
      <c r="AT242" s="21"/>
      <c r="AU242" s="1572" t="s">
        <v>44</v>
      </c>
      <c r="AV242" s="1573">
        <v>43252</v>
      </c>
      <c r="AW242" s="1573">
        <f>$X$8</f>
        <v>43465</v>
      </c>
      <c r="AX242" s="1573">
        <f>$Y$8</f>
        <v>43800</v>
      </c>
      <c r="AY242" s="1573">
        <f>$Z$8</f>
        <v>43862</v>
      </c>
      <c r="AZ242" s="1573">
        <f>$AA$8</f>
        <v>44013</v>
      </c>
      <c r="BA242" s="1573">
        <v>44166</v>
      </c>
      <c r="BB242" s="1573">
        <f>$AC$8</f>
        <v>44531</v>
      </c>
      <c r="BC242" s="1573">
        <f>$AD$8</f>
        <v>44774</v>
      </c>
      <c r="BD242" s="1573" t="str">
        <f>$AE$8</f>
        <v>-</v>
      </c>
      <c r="BE242" s="1573" t="str">
        <f>$AF$8</f>
        <v>-</v>
      </c>
      <c r="DE242" s="21"/>
      <c r="DF242" s="21"/>
      <c r="DG242" s="1574" t="str">
        <f>$DG$8</f>
        <v>TRC (2022)</v>
      </c>
      <c r="DH242" s="1584" t="str">
        <f>$DH$8</f>
        <v>Benefit Lookup</v>
      </c>
      <c r="DI242" s="1584" t="str">
        <f>$DI$8</f>
        <v>Benefits (2019 $)</v>
      </c>
      <c r="DJ242" s="1584" t="str">
        <f>$DJ$8</f>
        <v>Incremental Cost (2019 $)</v>
      </c>
    </row>
    <row r="243" spans="2:114" x14ac:dyDescent="0.35">
      <c r="C243" s="1614" t="s">
        <v>2660</v>
      </c>
      <c r="D243" s="1087" t="s">
        <v>2485</v>
      </c>
      <c r="E243" s="1105" t="s">
        <v>2661</v>
      </c>
      <c r="F243" s="965">
        <f>ROUND(F254*(1/H254-1/I254),2)</f>
        <v>35272.879999999997</v>
      </c>
      <c r="G243" s="1087" t="s">
        <v>2637</v>
      </c>
      <c r="H243" s="1088">
        <f>VLOOKUP(G243,'CP FACTORS'!$A$26:$B$38,2,FALSE)</f>
        <v>1.811545E-4</v>
      </c>
      <c r="I243" s="1106">
        <f>ROUND(H243*F243,6)</f>
        <v>6.3898409999999997</v>
      </c>
      <c r="J243" s="1140">
        <v>15</v>
      </c>
      <c r="K243" s="1107">
        <v>1000</v>
      </c>
      <c r="L243" s="1089" t="s">
        <v>184</v>
      </c>
      <c r="M243" s="2478"/>
      <c r="N243" s="2478"/>
      <c r="O243" s="2478"/>
      <c r="V243" s="88" t="s">
        <v>30</v>
      </c>
      <c r="W243" s="66">
        <v>35272.879999999997</v>
      </c>
      <c r="X243" s="112">
        <v>35272.879999999997</v>
      </c>
      <c r="Y243" s="112">
        <v>35272.879999999997</v>
      </c>
      <c r="Z243" s="112">
        <v>35272.879999999997</v>
      </c>
      <c r="AA243" s="112">
        <v>35272.879999999997</v>
      </c>
      <c r="AB243" s="110">
        <v>35272.879999999997</v>
      </c>
      <c r="AC243" s="1798">
        <v>35272.879999999997</v>
      </c>
      <c r="AD243" s="1798">
        <v>35272.879999999997</v>
      </c>
      <c r="AE243" s="141"/>
      <c r="AF243" s="141"/>
      <c r="AG243" s="141"/>
      <c r="AH243"/>
      <c r="AI243" s="88" t="s">
        <v>180</v>
      </c>
      <c r="AJ243" s="51">
        <v>15</v>
      </c>
      <c r="AK243" s="51">
        <v>15</v>
      </c>
      <c r="AL243" s="51">
        <v>15</v>
      </c>
      <c r="AM243" s="51">
        <v>15</v>
      </c>
      <c r="AN243" s="51">
        <v>15</v>
      </c>
      <c r="AO243" s="48">
        <v>15</v>
      </c>
      <c r="AP243" s="48">
        <v>15</v>
      </c>
      <c r="AQ243" s="48">
        <v>15</v>
      </c>
      <c r="AR243" s="141"/>
      <c r="AS243" s="141"/>
      <c r="AU243" s="88" t="str">
        <f>K242</f>
        <v>Inc. Cost (per unit)</v>
      </c>
      <c r="AV243" s="1692">
        <v>1000</v>
      </c>
      <c r="AW243" s="1692">
        <v>1000</v>
      </c>
      <c r="AX243" s="1692">
        <v>1000</v>
      </c>
      <c r="AY243" s="1692">
        <v>1000</v>
      </c>
      <c r="AZ243" s="1692">
        <v>1000</v>
      </c>
      <c r="BA243" s="1615">
        <v>1000</v>
      </c>
      <c r="BB243" s="1615">
        <v>1000</v>
      </c>
      <c r="BC243" s="1615">
        <v>1000</v>
      </c>
      <c r="BD243" s="141"/>
      <c r="BE243" s="141"/>
      <c r="DG243" s="1578">
        <f>(DI243)/(DJ243)</f>
        <v>23.22828727608066</v>
      </c>
      <c r="DH243" s="2381" t="str">
        <f>CONCATENATE(G243," ",J243," Year EUL")</f>
        <v>Water Heating BUS 15 Year EUL</v>
      </c>
      <c r="DI243" s="56">
        <f>(INDEX('Avoided Cost Benefits'!$E$4:$E$859,MATCH(DH243,'Avoided Cost Benefits'!$A$4:$A$859,0)))*F243</f>
        <v>21923.819986862349</v>
      </c>
      <c r="DJ243" s="1579">
        <f>K243/(1.0595^(2020-2019))</f>
        <v>943.84143463898056</v>
      </c>
    </row>
    <row r="244" spans="2:114" x14ac:dyDescent="0.35">
      <c r="C244" s="1614" t="s">
        <v>2662</v>
      </c>
      <c r="D244" s="1087" t="s">
        <v>2485</v>
      </c>
      <c r="E244" s="1105" t="s">
        <v>2663</v>
      </c>
      <c r="F244" s="965">
        <f>ROUND(F255*(1/H255-1/I255),2)</f>
        <v>6206.88</v>
      </c>
      <c r="G244" s="1087" t="s">
        <v>2637</v>
      </c>
      <c r="H244" s="1088">
        <f>VLOOKUP(G244,'CP FACTORS'!$A$26:$B$38,2,FALSE)</f>
        <v>1.811545E-4</v>
      </c>
      <c r="I244" s="1106">
        <f>ROUND(H244*F244,6)</f>
        <v>1.124404</v>
      </c>
      <c r="J244" s="1140">
        <v>15</v>
      </c>
      <c r="K244" s="1107">
        <v>1000</v>
      </c>
      <c r="L244" s="1089" t="s">
        <v>184</v>
      </c>
      <c r="M244" s="2478"/>
      <c r="N244" s="2478"/>
      <c r="O244" s="2478"/>
      <c r="V244" s="88" t="s">
        <v>30</v>
      </c>
      <c r="W244" s="66">
        <v>6206.880000000001</v>
      </c>
      <c r="X244" s="112">
        <v>6206.880000000001</v>
      </c>
      <c r="Y244" s="112">
        <v>6206.880000000001</v>
      </c>
      <c r="Z244" s="112">
        <v>6206.880000000001</v>
      </c>
      <c r="AA244" s="112">
        <v>6206.880000000001</v>
      </c>
      <c r="AB244" s="110">
        <v>6206.88</v>
      </c>
      <c r="AC244" s="1798">
        <v>6206.88</v>
      </c>
      <c r="AD244" s="1798">
        <v>6206.88</v>
      </c>
      <c r="AE244" s="141"/>
      <c r="AF244" s="141"/>
      <c r="AG244" s="141"/>
      <c r="AH244"/>
      <c r="AI244" s="88" t="s">
        <v>180</v>
      </c>
      <c r="AJ244" s="51">
        <v>15</v>
      </c>
      <c r="AK244" s="51">
        <v>15</v>
      </c>
      <c r="AL244" s="51">
        <v>15</v>
      </c>
      <c r="AM244" s="51">
        <v>15</v>
      </c>
      <c r="AN244" s="51">
        <v>15</v>
      </c>
      <c r="AO244" s="48">
        <v>15</v>
      </c>
      <c r="AP244" s="48">
        <v>15</v>
      </c>
      <c r="AQ244" s="48">
        <v>15</v>
      </c>
      <c r="AR244" s="141"/>
      <c r="AS244" s="141"/>
      <c r="AU244" s="88" t="str">
        <f>AU243</f>
        <v>Inc. Cost (per unit)</v>
      </c>
      <c r="AV244" s="1692">
        <v>1000</v>
      </c>
      <c r="AW244" s="1692">
        <v>1000</v>
      </c>
      <c r="AX244" s="1692">
        <v>1000</v>
      </c>
      <c r="AY244" s="1692">
        <v>1000</v>
      </c>
      <c r="AZ244" s="1692">
        <v>1000</v>
      </c>
      <c r="BA244" s="1615">
        <v>1000</v>
      </c>
      <c r="BB244" s="1615">
        <v>1000</v>
      </c>
      <c r="BC244" s="1615">
        <v>1000</v>
      </c>
      <c r="BD244" s="141"/>
      <c r="BE244" s="141"/>
      <c r="DG244" s="41">
        <f>(DI244)/(DJ244)</f>
        <v>4.0874233044809367</v>
      </c>
      <c r="DH244" s="1580" t="str">
        <f>CONCATENATE(G244," ",J244," Year EUL")</f>
        <v>Water Heating BUS 15 Year EUL</v>
      </c>
      <c r="DI244" s="58">
        <f>(INDEX('Avoided Cost Benefits'!$E$4:$E$859,MATCH(DH244,'Avoided Cost Benefits'!$A$4:$A$859,0)))*F244</f>
        <v>3857.8794756780899</v>
      </c>
      <c r="DJ244" s="1582">
        <f>K244/(1.0595^(2020-2019))</f>
        <v>943.84143463898056</v>
      </c>
    </row>
    <row r="245" spans="2:114" hidden="1" outlineLevel="1" x14ac:dyDescent="0.35">
      <c r="E245" s="33"/>
      <c r="F245" s="33"/>
      <c r="G245" s="33"/>
      <c r="H245" s="1096"/>
      <c r="I245" s="33"/>
      <c r="J245" s="33"/>
      <c r="K245" s="33"/>
      <c r="M245" s="2478"/>
      <c r="N245" s="2478"/>
      <c r="O245" s="2478"/>
    </row>
    <row r="246" spans="2:114" hidden="1" outlineLevel="1" x14ac:dyDescent="0.35">
      <c r="D246" s="33" t="s">
        <v>2528</v>
      </c>
      <c r="E246" s="33"/>
      <c r="F246" s="33"/>
      <c r="G246" s="33"/>
      <c r="H246" s="1096"/>
      <c r="I246" s="33"/>
      <c r="J246" s="33"/>
      <c r="K246" s="33"/>
      <c r="M246" s="2478"/>
      <c r="N246" s="2478"/>
      <c r="O246" s="2478"/>
    </row>
    <row r="247" spans="2:114" hidden="1" outlineLevel="1" x14ac:dyDescent="0.35">
      <c r="D247" s="1097"/>
      <c r="F247" s="1141" t="s">
        <v>2664</v>
      </c>
      <c r="G247" s="725"/>
      <c r="H247" s="1141" t="s">
        <v>2665</v>
      </c>
      <c r="M247" s="2478"/>
      <c r="N247" s="2478"/>
      <c r="O247" s="2478"/>
    </row>
    <row r="248" spans="2:114" hidden="1" outlineLevel="1" x14ac:dyDescent="0.35">
      <c r="D248" s="1097"/>
      <c r="G248" s="725"/>
      <c r="H248" s="1098"/>
    </row>
    <row r="249" spans="2:114" hidden="1" outlineLevel="1" x14ac:dyDescent="0.35">
      <c r="D249" s="1097"/>
      <c r="G249" s="725"/>
      <c r="H249" s="1098"/>
      <c r="M249" s="33"/>
    </row>
    <row r="250" spans="2:114" hidden="1" outlineLevel="1" x14ac:dyDescent="0.35">
      <c r="D250" s="1097"/>
      <c r="G250" s="725"/>
      <c r="H250" s="1098"/>
      <c r="M250" s="33"/>
    </row>
    <row r="251" spans="2:114" hidden="1" outlineLevel="1" x14ac:dyDescent="0.35">
      <c r="D251" s="1097"/>
      <c r="G251" s="725"/>
      <c r="H251" s="1098"/>
      <c r="M251" s="33"/>
    </row>
    <row r="252" spans="2:114" hidden="1" outlineLevel="1" x14ac:dyDescent="0.35">
      <c r="D252" s="1097"/>
      <c r="G252" s="725"/>
      <c r="H252" s="1098"/>
    </row>
    <row r="253" spans="2:114" s="34" customFormat="1" hidden="1" outlineLevel="1" x14ac:dyDescent="0.35">
      <c r="C253" s="132"/>
      <c r="D253" s="35" t="s">
        <v>27</v>
      </c>
      <c r="E253" s="2327" t="s">
        <v>2597</v>
      </c>
      <c r="F253" s="2327" t="s">
        <v>2666</v>
      </c>
      <c r="G253" s="2327" t="s">
        <v>2667</v>
      </c>
      <c r="H253" s="65" t="s">
        <v>2668</v>
      </c>
      <c r="I253" s="67" t="s">
        <v>2669</v>
      </c>
      <c r="J253" s="350"/>
      <c r="K253" s="350"/>
      <c r="L253" s="132"/>
      <c r="M253" s="350"/>
      <c r="N253" s="350"/>
      <c r="O253" s="350"/>
      <c r="P253" s="350"/>
      <c r="Q253" s="350"/>
      <c r="R253" s="350"/>
      <c r="S253" s="350"/>
      <c r="T253" s="350"/>
      <c r="U253" s="350"/>
      <c r="DE253" s="21"/>
      <c r="DF253" s="21"/>
      <c r="DG253" s="59"/>
    </row>
    <row r="254" spans="2:114" hidden="1" outlineLevel="1" x14ac:dyDescent="0.35">
      <c r="D254" s="1593" t="str">
        <f>C243</f>
        <v>802500_2019_12_</v>
      </c>
      <c r="E254" s="1593" t="str">
        <f>E243</f>
        <v>Pool Heater Heat Pump (Uncovered)</v>
      </c>
      <c r="F254" s="1142">
        <f>(53.075*G254)+1631.1</f>
        <v>44091.1</v>
      </c>
      <c r="G254" s="1125">
        <v>800</v>
      </c>
      <c r="H254" s="1143">
        <v>1</v>
      </c>
      <c r="I254" s="1144">
        <v>5</v>
      </c>
      <c r="J254" s="1116"/>
    </row>
    <row r="255" spans="2:114" hidden="1" outlineLevel="1" x14ac:dyDescent="0.35">
      <c r="D255" s="1593" t="str">
        <f>C244</f>
        <v>802550_2019_12_</v>
      </c>
      <c r="E255" s="1593" t="str">
        <f>E244</f>
        <v>Pool Heater Heat Pump (Covered)</v>
      </c>
      <c r="F255" s="1142">
        <f>(8.079*G255)+1295.4</f>
        <v>7758.6</v>
      </c>
      <c r="G255" s="1125">
        <v>800</v>
      </c>
      <c r="H255" s="1143">
        <v>1</v>
      </c>
      <c r="I255" s="1144">
        <v>5</v>
      </c>
      <c r="J255" s="1116"/>
    </row>
    <row r="256" spans="2:114" collapsed="1" x14ac:dyDescent="0.35"/>
    <row r="258" spans="2:114" s="33" customFormat="1" x14ac:dyDescent="0.35">
      <c r="B258" s="4553" t="s">
        <v>2670</v>
      </c>
      <c r="C258" s="4554"/>
      <c r="D258" s="4554"/>
      <c r="E258" s="4554"/>
      <c r="F258" s="4554"/>
      <c r="G258" s="4554"/>
      <c r="H258" s="4554"/>
      <c r="I258" s="4555"/>
      <c r="J258" s="4555"/>
      <c r="K258" s="4555"/>
      <c r="L258" s="4555"/>
      <c r="M258" s="3680"/>
      <c r="N258" s="3680"/>
      <c r="O258" s="3681"/>
      <c r="V258" s="2325" t="str">
        <f>B258</f>
        <v>Pool Pump</v>
      </c>
      <c r="W258" s="2326"/>
      <c r="X258" s="2326"/>
      <c r="Y258" s="2326"/>
      <c r="Z258" s="2326"/>
      <c r="AA258" s="2326"/>
      <c r="AB258" s="2326"/>
      <c r="AC258" s="2326"/>
      <c r="AD258" s="2326"/>
      <c r="AE258" s="2326"/>
      <c r="AF258" s="2326"/>
      <c r="AG258" s="2326"/>
      <c r="AH258" s="2326"/>
      <c r="AI258" s="2384"/>
      <c r="AJ258" s="21"/>
      <c r="AK258" s="21"/>
      <c r="AL258" s="21"/>
      <c r="AM258" s="21"/>
      <c r="AN258" s="21"/>
      <c r="AO258" s="21"/>
      <c r="AP258" s="21"/>
      <c r="AQ258" s="21"/>
      <c r="AR258" s="21"/>
      <c r="AS258" s="21"/>
      <c r="AT258" s="21"/>
      <c r="AU258" s="21"/>
      <c r="DE258" s="21"/>
      <c r="DF258" s="21"/>
      <c r="DG258" s="60"/>
    </row>
    <row r="259" spans="2:114" x14ac:dyDescent="0.35">
      <c r="D259" s="1085"/>
      <c r="E259" s="33"/>
      <c r="F259" s="33"/>
      <c r="G259" s="33"/>
      <c r="H259" s="1086"/>
      <c r="I259" s="33"/>
      <c r="J259" s="33"/>
      <c r="K259" s="33"/>
      <c r="L259" s="33"/>
      <c r="P259" s="33"/>
      <c r="Q259" s="33"/>
      <c r="R259" s="33"/>
      <c r="S259" s="33"/>
      <c r="T259" s="33"/>
      <c r="U259" s="33"/>
      <c r="V259"/>
      <c r="W259"/>
      <c r="X259"/>
      <c r="Y259"/>
      <c r="Z259"/>
      <c r="AA259"/>
      <c r="AB259"/>
      <c r="AC259"/>
      <c r="AD259"/>
      <c r="AE259"/>
      <c r="AF259"/>
      <c r="AG259"/>
      <c r="AH259"/>
      <c r="AI259"/>
      <c r="AJ259" s="31"/>
      <c r="AK259" s="31"/>
      <c r="AL259" s="31"/>
      <c r="AM259" s="31"/>
      <c r="AN259" s="31"/>
      <c r="AO259" s="31"/>
      <c r="AP259" s="31"/>
      <c r="AQ259" s="31"/>
      <c r="AR259" s="31"/>
      <c r="AS259" s="31"/>
      <c r="AT259" s="31"/>
      <c r="AU259" s="31"/>
      <c r="DG259" s="3581" t="s">
        <v>4474</v>
      </c>
    </row>
    <row r="260" spans="2:114" s="34" customFormat="1" ht="29" x14ac:dyDescent="0.35">
      <c r="B260" s="31"/>
      <c r="C260" s="35" t="s">
        <v>27</v>
      </c>
      <c r="D260" s="2399" t="s">
        <v>28</v>
      </c>
      <c r="E260" s="2399" t="s">
        <v>29</v>
      </c>
      <c r="F260" s="2399" t="s">
        <v>2671</v>
      </c>
      <c r="G260" s="2399" t="s">
        <v>175</v>
      </c>
      <c r="H260" s="36" t="s">
        <v>176</v>
      </c>
      <c r="I260" s="2399" t="s">
        <v>31</v>
      </c>
      <c r="J260" s="2399" t="s">
        <v>180</v>
      </c>
      <c r="K260" s="35" t="s">
        <v>169</v>
      </c>
      <c r="L260" s="35" t="s">
        <v>43</v>
      </c>
      <c r="M260" s="725"/>
      <c r="N260" s="725"/>
      <c r="O260" s="725"/>
      <c r="P260" s="350"/>
      <c r="Q260" s="350"/>
      <c r="R260" s="350"/>
      <c r="S260" s="350"/>
      <c r="T260" s="350"/>
      <c r="U260" s="350"/>
      <c r="V260" s="1572" t="s">
        <v>44</v>
      </c>
      <c r="W260" s="1573">
        <f>$W$8</f>
        <v>43252</v>
      </c>
      <c r="X260" s="1573">
        <f>$X$8</f>
        <v>43465</v>
      </c>
      <c r="Y260" s="1573">
        <f>$Y$8</f>
        <v>43800</v>
      </c>
      <c r="Z260" s="1573">
        <f>$Z$8</f>
        <v>43862</v>
      </c>
      <c r="AA260" s="1573">
        <f>$AA$8</f>
        <v>44013</v>
      </c>
      <c r="AB260" s="1573">
        <v>44166</v>
      </c>
      <c r="AC260" s="1573">
        <f>$AC$8</f>
        <v>44531</v>
      </c>
      <c r="AD260" s="1573">
        <f>$AD$8</f>
        <v>44774</v>
      </c>
      <c r="AE260" s="1573" t="str">
        <f>$AE$8</f>
        <v>-</v>
      </c>
      <c r="AF260" s="1573" t="str">
        <f>$AF$8</f>
        <v>-</v>
      </c>
      <c r="AG260" s="1573" t="str">
        <f>$AG$8</f>
        <v>-</v>
      </c>
      <c r="AH260"/>
      <c r="AI260" s="1572" t="s">
        <v>44</v>
      </c>
      <c r="AJ260" s="1573">
        <v>43252</v>
      </c>
      <c r="AK260" s="1573">
        <f>$X$8</f>
        <v>43465</v>
      </c>
      <c r="AL260" s="1573">
        <f>$Y$8</f>
        <v>43800</v>
      </c>
      <c r="AM260" s="1573">
        <f>$Z$8</f>
        <v>43862</v>
      </c>
      <c r="AN260" s="1573">
        <f>$AA$8</f>
        <v>44013</v>
      </c>
      <c r="AO260" s="1573">
        <f>$AB$8</f>
        <v>44166</v>
      </c>
      <c r="AP260" s="1573">
        <f>$AC$8</f>
        <v>44531</v>
      </c>
      <c r="AQ260" s="1573">
        <f>$AD$8</f>
        <v>44774</v>
      </c>
      <c r="AR260" s="1573" t="str">
        <f>$AE$8</f>
        <v>-</v>
      </c>
      <c r="AS260" s="1573" t="str">
        <f>$AF$8</f>
        <v>-</v>
      </c>
      <c r="AT260" s="21"/>
      <c r="AU260" s="1572" t="s">
        <v>44</v>
      </c>
      <c r="AV260" s="1573">
        <v>43252</v>
      </c>
      <c r="AW260" s="1573">
        <f>$X$8</f>
        <v>43465</v>
      </c>
      <c r="AX260" s="1573">
        <f>$Y$8</f>
        <v>43800</v>
      </c>
      <c r="AY260" s="1573">
        <f>$Z$8</f>
        <v>43862</v>
      </c>
      <c r="AZ260" s="1573">
        <f>$AA$8</f>
        <v>44013</v>
      </c>
      <c r="BA260" s="1573">
        <v>44166</v>
      </c>
      <c r="BB260" s="1573">
        <f>$AC$8</f>
        <v>44531</v>
      </c>
      <c r="BC260" s="1573">
        <f>$AD$8</f>
        <v>44774</v>
      </c>
      <c r="BD260" s="1573" t="str">
        <f>$AE$8</f>
        <v>-</v>
      </c>
      <c r="BE260" s="1573" t="str">
        <f>$AF$8</f>
        <v>-</v>
      </c>
      <c r="DE260" s="21"/>
      <c r="DF260" s="21"/>
      <c r="DG260" s="1574" t="str">
        <f>$DG$8</f>
        <v>TRC (2022)</v>
      </c>
      <c r="DH260" s="1584" t="str">
        <f>$DH$8</f>
        <v>Benefit Lookup</v>
      </c>
      <c r="DI260" s="1584" t="str">
        <f>$DI$8</f>
        <v>Benefits (2019 $)</v>
      </c>
      <c r="DJ260" s="1584" t="str">
        <f>$DJ$8</f>
        <v>Incremental Cost (2019 $)</v>
      </c>
    </row>
    <row r="261" spans="2:114" x14ac:dyDescent="0.35">
      <c r="C261" s="1614" t="s">
        <v>2672</v>
      </c>
      <c r="D261" s="1087" t="s">
        <v>2485</v>
      </c>
      <c r="E261" s="1105" t="s">
        <v>2673</v>
      </c>
      <c r="F261" s="965">
        <f>ROUND(1747*F271,2)</f>
        <v>1747</v>
      </c>
      <c r="G261" s="1087" t="s">
        <v>2674</v>
      </c>
      <c r="H261" s="1088">
        <f>VLOOKUP(G261,'CP FACTORS'!$A$26:$B$38,2,FALSE)</f>
        <v>1.379439E-4</v>
      </c>
      <c r="I261" s="1106">
        <f>ROUND(H261*F261,6)</f>
        <v>0.24098800000000001</v>
      </c>
      <c r="J261" s="1140">
        <v>10</v>
      </c>
      <c r="K261" s="1123">
        <f>200*F271+46</f>
        <v>246</v>
      </c>
      <c r="L261" s="1089" t="s">
        <v>184</v>
      </c>
      <c r="M261" s="2478"/>
      <c r="N261" s="2478"/>
      <c r="O261" s="2478"/>
      <c r="V261" s="2419" t="s">
        <v>30</v>
      </c>
      <c r="W261" s="112">
        <v>1747</v>
      </c>
      <c r="X261" s="112">
        <v>1747</v>
      </c>
      <c r="Y261" s="112">
        <v>1747</v>
      </c>
      <c r="Z261" s="112">
        <v>1747</v>
      </c>
      <c r="AA261" s="112">
        <v>1747</v>
      </c>
      <c r="AB261" s="110">
        <v>1747</v>
      </c>
      <c r="AC261" s="1798">
        <v>1747</v>
      </c>
      <c r="AD261" s="1798">
        <v>1747</v>
      </c>
      <c r="AE261" s="141"/>
      <c r="AF261" s="141"/>
      <c r="AG261" s="141"/>
      <c r="AH261"/>
      <c r="AI261" s="88" t="s">
        <v>180</v>
      </c>
      <c r="AJ261" s="1694">
        <v>15</v>
      </c>
      <c r="AK261" s="1694">
        <v>15</v>
      </c>
      <c r="AL261" s="1694">
        <v>15</v>
      </c>
      <c r="AM261" s="1694">
        <v>15</v>
      </c>
      <c r="AN261" s="1694">
        <v>15</v>
      </c>
      <c r="AO261" s="48">
        <v>15</v>
      </c>
      <c r="AP261" s="1575">
        <v>10</v>
      </c>
      <c r="AQ261" s="112">
        <v>10</v>
      </c>
      <c r="AR261" s="141"/>
      <c r="AS261" s="141"/>
      <c r="AU261" s="88" t="s">
        <v>169</v>
      </c>
      <c r="AV261" s="1692">
        <v>246</v>
      </c>
      <c r="AW261" s="1692">
        <v>246</v>
      </c>
      <c r="AX261" s="1692">
        <v>246</v>
      </c>
      <c r="AY261" s="1692">
        <v>246</v>
      </c>
      <c r="AZ261" s="1692">
        <v>246</v>
      </c>
      <c r="BA261" s="1928">
        <v>246</v>
      </c>
      <c r="BB261" s="1928">
        <v>246</v>
      </c>
      <c r="BC261" s="1928">
        <v>246</v>
      </c>
      <c r="BD261" s="141"/>
      <c r="BE261" s="141"/>
      <c r="DG261" s="1585">
        <f>(DI261)/(DJ261)</f>
        <v>2.7622108030354626</v>
      </c>
      <c r="DH261" s="2381" t="str">
        <f>CONCATENATE(G261," ",J261," Year EUL")</f>
        <v>Motors BUS 10 Year EUL</v>
      </c>
      <c r="DI261" s="1586">
        <f>(INDEX('Avoided Cost Benefits'!$E$4:$E$859,MATCH(DH261,'Avoided Cost Benefits'!$A$4:$A$859,0)))*F261</f>
        <v>641.3438957496212</v>
      </c>
      <c r="DJ261" s="1587">
        <f>K261/(1.0595^(2020-2019))</f>
        <v>232.18499292118921</v>
      </c>
    </row>
    <row r="262" spans="2:114" hidden="1" outlineLevel="1" x14ac:dyDescent="0.35">
      <c r="E262" s="33"/>
      <c r="F262" s="33"/>
      <c r="G262" s="33"/>
      <c r="H262" s="1096"/>
      <c r="I262" s="33"/>
      <c r="J262" s="33"/>
      <c r="K262" s="33"/>
      <c r="M262" s="2478"/>
      <c r="N262" s="2478"/>
      <c r="O262" s="2478"/>
    </row>
    <row r="263" spans="2:114" hidden="1" outlineLevel="1" x14ac:dyDescent="0.35">
      <c r="D263" s="33" t="s">
        <v>2528</v>
      </c>
      <c r="E263" s="33"/>
      <c r="F263" s="33"/>
      <c r="G263" s="33"/>
      <c r="H263" s="1096"/>
      <c r="I263" s="33"/>
      <c r="J263" s="33"/>
      <c r="K263" s="33"/>
      <c r="M263" s="2478"/>
      <c r="N263" s="2478"/>
      <c r="O263" s="2478"/>
    </row>
    <row r="264" spans="2:114" hidden="1" outlineLevel="1" x14ac:dyDescent="0.35">
      <c r="D264" s="1097"/>
      <c r="G264" s="725"/>
      <c r="H264" s="1098"/>
      <c r="M264" s="2478"/>
      <c r="N264" s="2478"/>
      <c r="O264" s="2478"/>
    </row>
    <row r="265" spans="2:114" hidden="1" outlineLevel="1" x14ac:dyDescent="0.35">
      <c r="D265" s="1097"/>
      <c r="G265" s="725"/>
      <c r="H265" s="1098"/>
      <c r="M265" s="2478"/>
      <c r="N265" s="2478"/>
      <c r="O265" s="2478"/>
    </row>
    <row r="266" spans="2:114" hidden="1" outlineLevel="1" x14ac:dyDescent="0.35">
      <c r="D266" s="1097"/>
      <c r="G266" s="725"/>
      <c r="H266" s="1098"/>
      <c r="M266" s="33"/>
    </row>
    <row r="267" spans="2:114" hidden="1" outlineLevel="1" x14ac:dyDescent="0.35">
      <c r="D267" s="1097"/>
      <c r="G267" s="725"/>
      <c r="H267" s="1098"/>
      <c r="M267" s="33"/>
    </row>
    <row r="268" spans="2:114" hidden="1" outlineLevel="1" x14ac:dyDescent="0.35">
      <c r="D268" s="1097"/>
      <c r="G268" s="725"/>
      <c r="H268" s="1098"/>
      <c r="M268" s="33"/>
    </row>
    <row r="269" spans="2:114" hidden="1" outlineLevel="1" x14ac:dyDescent="0.35">
      <c r="D269" s="1097"/>
      <c r="G269" s="725"/>
      <c r="H269" s="1098"/>
    </row>
    <row r="270" spans="2:114" s="34" customFormat="1" hidden="1" outlineLevel="1" x14ac:dyDescent="0.35">
      <c r="C270" s="132"/>
      <c r="D270" s="35" t="s">
        <v>27</v>
      </c>
      <c r="E270" s="2327" t="s">
        <v>2597</v>
      </c>
      <c r="F270" s="2327" t="s">
        <v>2675</v>
      </c>
      <c r="G270" s="350"/>
      <c r="H270" s="350"/>
      <c r="I270" s="132"/>
      <c r="J270" s="350"/>
      <c r="K270" s="350"/>
      <c r="L270" s="350"/>
      <c r="M270" s="350"/>
      <c r="N270" s="350"/>
      <c r="O270" s="350"/>
      <c r="P270" s="350"/>
      <c r="Q270" s="350"/>
      <c r="R270" s="350"/>
      <c r="S270" s="350"/>
      <c r="T270" s="350"/>
      <c r="U270" s="350"/>
      <c r="DE270" s="21"/>
      <c r="DF270" s="21"/>
      <c r="DG270" s="59"/>
    </row>
    <row r="271" spans="2:114" hidden="1" outlineLevel="1" x14ac:dyDescent="0.35">
      <c r="D271" s="1593" t="str">
        <f>C261</f>
        <v>802600_2019_12_</v>
      </c>
      <c r="E271" s="1593" t="str">
        <f>E261</f>
        <v>Pool Pump w/ Variable Frequency Drive</v>
      </c>
      <c r="F271" s="1145">
        <v>1</v>
      </c>
      <c r="H271" s="725"/>
    </row>
    <row r="272" spans="2:114" collapsed="1" x14ac:dyDescent="0.35"/>
    <row r="274" spans="2:114" s="34" customFormat="1" x14ac:dyDescent="0.35">
      <c r="B274" s="31"/>
      <c r="C274" s="35" t="s">
        <v>27</v>
      </c>
      <c r="D274" s="2399" t="s">
        <v>28</v>
      </c>
      <c r="E274" s="2399" t="s">
        <v>29</v>
      </c>
      <c r="F274" s="2399" t="s">
        <v>30</v>
      </c>
      <c r="G274" s="2399" t="s">
        <v>175</v>
      </c>
      <c r="H274" s="36" t="s">
        <v>176</v>
      </c>
      <c r="I274" s="2399" t="s">
        <v>31</v>
      </c>
      <c r="J274" s="2399" t="s">
        <v>180</v>
      </c>
      <c r="K274" s="35" t="s">
        <v>169</v>
      </c>
      <c r="L274" s="35" t="s">
        <v>43</v>
      </c>
      <c r="M274" s="725"/>
      <c r="N274" s="725"/>
      <c r="O274" s="725"/>
      <c r="P274" s="350"/>
      <c r="Q274" s="350"/>
      <c r="R274" s="350"/>
      <c r="S274" s="350"/>
      <c r="T274" s="350"/>
      <c r="U274" s="350"/>
      <c r="V274" s="1572" t="s">
        <v>44</v>
      </c>
      <c r="W274" s="1573">
        <f>$W$8</f>
        <v>43252</v>
      </c>
      <c r="X274" s="1573">
        <f>$X$8</f>
        <v>43465</v>
      </c>
      <c r="Y274" s="1573">
        <f>$Y$8</f>
        <v>43800</v>
      </c>
      <c r="Z274" s="1573">
        <f>$Z$8</f>
        <v>43862</v>
      </c>
      <c r="AA274" s="1573">
        <f>$AA$8</f>
        <v>44013</v>
      </c>
      <c r="AB274" s="1573">
        <v>44166</v>
      </c>
      <c r="AC274" s="1573">
        <f>$AC$8</f>
        <v>44531</v>
      </c>
      <c r="AD274" s="1573">
        <f>$AD$8</f>
        <v>44774</v>
      </c>
      <c r="AE274" s="1573" t="str">
        <f>$AE$8</f>
        <v>-</v>
      </c>
      <c r="AF274" s="1573" t="str">
        <f>$AF$8</f>
        <v>-</v>
      </c>
      <c r="AG274" s="1573" t="str">
        <f>$AG$8</f>
        <v>-</v>
      </c>
      <c r="AH274"/>
      <c r="AI274" s="1572" t="s">
        <v>44</v>
      </c>
      <c r="AJ274" s="1573">
        <v>43252</v>
      </c>
      <c r="AK274" s="1573">
        <f>$X$8</f>
        <v>43465</v>
      </c>
      <c r="AL274" s="1573">
        <f>$Y$8</f>
        <v>43800</v>
      </c>
      <c r="AM274" s="1573">
        <f>$Z$8</f>
        <v>43862</v>
      </c>
      <c r="AN274" s="1573">
        <f>$AA$8</f>
        <v>44013</v>
      </c>
      <c r="AO274" s="1573">
        <f>$AB$8</f>
        <v>44166</v>
      </c>
      <c r="AP274" s="1573">
        <f>$AC$8</f>
        <v>44531</v>
      </c>
      <c r="AQ274" s="1573">
        <f>$AD$8</f>
        <v>44774</v>
      </c>
      <c r="AR274" s="1573" t="str">
        <f>$AE$8</f>
        <v>-</v>
      </c>
      <c r="AS274" s="1573" t="str">
        <f>$AF$8</f>
        <v>-</v>
      </c>
      <c r="AT274" s="21"/>
      <c r="AU274" s="1572" t="s">
        <v>44</v>
      </c>
      <c r="AV274" s="1573">
        <v>43252</v>
      </c>
      <c r="AW274" s="1573">
        <f>$X$8</f>
        <v>43465</v>
      </c>
      <c r="AX274" s="1573">
        <f>$Y$8</f>
        <v>43800</v>
      </c>
      <c r="AY274" s="1573">
        <f>$Z$8</f>
        <v>43862</v>
      </c>
      <c r="AZ274" s="1573">
        <f>$AA$8</f>
        <v>44013</v>
      </c>
      <c r="BA274" s="1573">
        <v>44166</v>
      </c>
      <c r="BB274" s="1573">
        <f>$AC$8</f>
        <v>44531</v>
      </c>
      <c r="BC274" s="1573">
        <f>$AD$8</f>
        <v>44774</v>
      </c>
      <c r="BD274" s="1573" t="str">
        <f>$AE$8</f>
        <v>-</v>
      </c>
      <c r="BE274" s="1573" t="str">
        <f>$AF$8</f>
        <v>-</v>
      </c>
      <c r="DE274" s="21"/>
      <c r="DF274" s="21"/>
      <c r="DG274" s="1574" t="str">
        <f>$DG$8</f>
        <v>TRC (2022)</v>
      </c>
      <c r="DH274" s="1584" t="str">
        <f>$DH$8</f>
        <v>Benefit Lookup</v>
      </c>
      <c r="DI274" s="1584" t="str">
        <f>$DI$8</f>
        <v>Benefits (2019 $)</v>
      </c>
      <c r="DJ274" s="1584" t="str">
        <f>$DJ$8</f>
        <v>Incremental Cost (2019 $)</v>
      </c>
    </row>
    <row r="275" spans="2:114" x14ac:dyDescent="0.35">
      <c r="C275" s="1614" t="s">
        <v>2676</v>
      </c>
      <c r="D275" s="1087" t="s">
        <v>2485</v>
      </c>
      <c r="E275" s="1105" t="s">
        <v>2677</v>
      </c>
      <c r="F275" s="965">
        <f>ROUND(0.746*F285*G285,2)</f>
        <v>601.28</v>
      </c>
      <c r="G275" s="1087" t="s">
        <v>2674</v>
      </c>
      <c r="H275" s="1088">
        <f>VLOOKUP(G275,'CP FACTORS'!$A$26:$B$38,2,FALSE)</f>
        <v>1.379439E-4</v>
      </c>
      <c r="I275" s="1106">
        <f>ROUND(H275*F275,6)</f>
        <v>8.2943000000000003E-2</v>
      </c>
      <c r="J275" s="1146">
        <v>10</v>
      </c>
      <c r="K275" s="1123">
        <v>100</v>
      </c>
      <c r="L275" s="1089" t="s">
        <v>184</v>
      </c>
      <c r="M275" s="4570"/>
      <c r="N275" s="4570"/>
      <c r="O275" s="4570"/>
      <c r="V275" s="2419" t="s">
        <v>30</v>
      </c>
      <c r="W275" s="112">
        <v>601.27599999999995</v>
      </c>
      <c r="X275" s="112">
        <v>601.27599999999995</v>
      </c>
      <c r="Y275" s="112">
        <v>601.27599999999995</v>
      </c>
      <c r="Z275" s="112">
        <v>601.27599999999995</v>
      </c>
      <c r="AA275" s="112">
        <v>601.27599999999995</v>
      </c>
      <c r="AB275" s="110">
        <v>601.28</v>
      </c>
      <c r="AC275" s="1798">
        <v>601.28</v>
      </c>
      <c r="AD275" s="1798">
        <v>601.28</v>
      </c>
      <c r="AE275" s="141"/>
      <c r="AF275" s="141"/>
      <c r="AG275" s="141"/>
      <c r="AH275"/>
      <c r="AI275" s="88" t="s">
        <v>180</v>
      </c>
      <c r="AJ275" s="51">
        <v>10</v>
      </c>
      <c r="AK275" s="51">
        <v>10</v>
      </c>
      <c r="AL275" s="51">
        <v>10</v>
      </c>
      <c r="AM275" s="51">
        <v>10</v>
      </c>
      <c r="AN275" s="51">
        <v>10</v>
      </c>
      <c r="AO275" s="48">
        <v>10</v>
      </c>
      <c r="AP275" s="110">
        <v>10</v>
      </c>
      <c r="AQ275" s="110">
        <v>10</v>
      </c>
      <c r="AR275" s="141"/>
      <c r="AS275" s="141"/>
      <c r="AU275" s="88" t="s">
        <v>169</v>
      </c>
      <c r="AV275" s="1692">
        <v>100</v>
      </c>
      <c r="AW275" s="1692">
        <v>100</v>
      </c>
      <c r="AX275" s="1692">
        <v>100</v>
      </c>
      <c r="AY275" s="1692">
        <v>100</v>
      </c>
      <c r="AZ275" s="1692">
        <v>100</v>
      </c>
      <c r="BA275" s="1928">
        <v>100</v>
      </c>
      <c r="BB275" s="1928">
        <v>100</v>
      </c>
      <c r="BC275" s="1928">
        <v>100</v>
      </c>
      <c r="BD275" s="141"/>
      <c r="BE275" s="141"/>
      <c r="DG275" s="1585">
        <f>(DI275)/(DJ275)</f>
        <v>2.3387068086187406</v>
      </c>
      <c r="DH275" s="2381" t="str">
        <f>CONCATENATE(G275," ",J275," Year EUL")</f>
        <v>Motors BUS 10 Year EUL</v>
      </c>
      <c r="DI275" s="1586">
        <f>(INDEX('Avoided Cost Benefits'!$E$4:$E$859,MATCH(DH275,'Avoided Cost Benefits'!$A$4:$A$859,0)))*F275</f>
        <v>220.7368389446664</v>
      </c>
      <c r="DJ275" s="1587">
        <f>K275/(1.0595^(2020-2019))</f>
        <v>94.384143463898056</v>
      </c>
    </row>
    <row r="276" spans="2:114" hidden="1" outlineLevel="1" x14ac:dyDescent="0.35">
      <c r="E276" s="33"/>
      <c r="F276" s="33"/>
      <c r="G276" s="33"/>
      <c r="H276" s="1096"/>
      <c r="I276" s="33"/>
      <c r="J276" s="33"/>
      <c r="K276" s="33"/>
      <c r="M276" s="4570"/>
      <c r="N276" s="4570"/>
      <c r="O276" s="4570"/>
    </row>
    <row r="277" spans="2:114" hidden="1" outlineLevel="1" x14ac:dyDescent="0.35">
      <c r="D277" s="33" t="s">
        <v>2528</v>
      </c>
      <c r="E277" s="33"/>
      <c r="F277" s="33"/>
      <c r="G277" s="33"/>
      <c r="H277" s="1096"/>
      <c r="I277" s="33"/>
      <c r="J277" s="33"/>
      <c r="K277" s="33"/>
      <c r="M277" s="4570"/>
      <c r="N277" s="4570"/>
      <c r="O277" s="4570"/>
    </row>
    <row r="278" spans="2:114" hidden="1" outlineLevel="1" x14ac:dyDescent="0.35">
      <c r="D278" s="1097"/>
      <c r="G278" s="725"/>
      <c r="H278" s="1098"/>
      <c r="M278" s="4570"/>
      <c r="N278" s="4570"/>
      <c r="O278" s="4570"/>
    </row>
    <row r="279" spans="2:114" hidden="1" outlineLevel="1" x14ac:dyDescent="0.35">
      <c r="D279" s="1097"/>
      <c r="G279" s="725"/>
      <c r="H279" s="1098"/>
      <c r="M279" s="4570"/>
      <c r="N279" s="4570"/>
      <c r="O279" s="4570"/>
    </row>
    <row r="280" spans="2:114" hidden="1" outlineLevel="1" x14ac:dyDescent="0.35">
      <c r="D280" s="1097"/>
      <c r="G280" s="725"/>
      <c r="H280" s="1098"/>
      <c r="M280" s="33"/>
    </row>
    <row r="281" spans="2:114" hidden="1" outlineLevel="1" x14ac:dyDescent="0.35">
      <c r="D281" s="1097"/>
      <c r="G281" s="725"/>
      <c r="H281" s="1098"/>
      <c r="M281" s="33"/>
    </row>
    <row r="282" spans="2:114" hidden="1" outlineLevel="1" x14ac:dyDescent="0.35">
      <c r="D282" s="1097"/>
      <c r="G282" s="725"/>
      <c r="H282" s="1098"/>
      <c r="M282" s="33"/>
    </row>
    <row r="283" spans="2:114" hidden="1" outlineLevel="1" x14ac:dyDescent="0.35">
      <c r="D283" s="1097"/>
      <c r="G283" s="725"/>
      <c r="H283" s="1098"/>
    </row>
    <row r="284" spans="2:114" s="34" customFormat="1" hidden="1" outlineLevel="1" x14ac:dyDescent="0.35">
      <c r="C284" s="132"/>
      <c r="D284" s="35" t="s">
        <v>27</v>
      </c>
      <c r="E284" s="2327" t="s">
        <v>2597</v>
      </c>
      <c r="F284" s="2327" t="s">
        <v>2678</v>
      </c>
      <c r="G284" s="2327" t="s">
        <v>2679</v>
      </c>
      <c r="H284" s="350"/>
      <c r="I284" s="132"/>
      <c r="J284" s="350"/>
      <c r="K284" s="350"/>
      <c r="L284" s="350"/>
      <c r="M284" s="350"/>
      <c r="N284" s="350"/>
      <c r="O284" s="350"/>
      <c r="P284" s="350"/>
      <c r="Q284" s="350"/>
      <c r="R284" s="350"/>
      <c r="S284" s="350"/>
      <c r="T284" s="350"/>
      <c r="U284" s="350"/>
      <c r="DE284" s="21"/>
      <c r="DF284" s="21"/>
      <c r="DG284" s="59"/>
    </row>
    <row r="285" spans="2:114" hidden="1" outlineLevel="1" x14ac:dyDescent="0.35">
      <c r="D285" s="1593" t="str">
        <f>C275</f>
        <v>802650_2019_12_</v>
      </c>
      <c r="E285" s="1593" t="str">
        <f>E275</f>
        <v>Pool Pump Timer</v>
      </c>
      <c r="F285" s="1147">
        <v>403</v>
      </c>
      <c r="G285" s="1148">
        <v>2</v>
      </c>
      <c r="H285" s="725"/>
    </row>
    <row r="286" spans="2:114" collapsed="1" x14ac:dyDescent="0.35"/>
    <row r="288" spans="2:114" s="33" customFormat="1" x14ac:dyDescent="0.35">
      <c r="B288" s="4553" t="s">
        <v>2680</v>
      </c>
      <c r="C288" s="4554"/>
      <c r="D288" s="4554"/>
      <c r="E288" s="4554"/>
      <c r="F288" s="4554"/>
      <c r="G288" s="4554"/>
      <c r="H288" s="4554"/>
      <c r="I288" s="4555"/>
      <c r="J288" s="4555"/>
      <c r="K288" s="4555"/>
      <c r="L288" s="4555"/>
      <c r="M288" s="3680"/>
      <c r="N288" s="3680"/>
      <c r="O288" s="3681"/>
      <c r="V288" s="2325" t="str">
        <f>B288</f>
        <v>Steam Cookers</v>
      </c>
      <c r="W288" s="2326"/>
      <c r="X288" s="2326"/>
      <c r="Y288" s="2326"/>
      <c r="Z288" s="2326"/>
      <c r="AA288" s="2326"/>
      <c r="AB288" s="2326"/>
      <c r="AC288" s="2326"/>
      <c r="AD288" s="2326"/>
      <c r="AE288" s="2326"/>
      <c r="AF288" s="2326"/>
      <c r="AG288" s="2326"/>
      <c r="AH288" s="2326"/>
      <c r="AI288" s="2384"/>
      <c r="AJ288" s="21"/>
      <c r="AK288" s="21"/>
      <c r="AL288" s="21"/>
      <c r="AM288" s="21"/>
      <c r="AN288" s="21"/>
      <c r="AO288" s="21"/>
      <c r="AP288" s="21"/>
      <c r="AQ288" s="21"/>
      <c r="AR288" s="21"/>
      <c r="AS288" s="21"/>
      <c r="AT288" s="21"/>
      <c r="AU288" s="21"/>
      <c r="DE288" s="21"/>
      <c r="DF288" s="21"/>
      <c r="DG288" s="60"/>
    </row>
    <row r="289" spans="2:114" x14ac:dyDescent="0.35">
      <c r="D289" s="1085"/>
      <c r="E289" s="33"/>
      <c r="F289" s="33"/>
      <c r="G289" s="33"/>
      <c r="H289" s="1086"/>
      <c r="I289" s="33"/>
      <c r="J289" s="33"/>
      <c r="K289" s="33"/>
      <c r="L289" s="33"/>
      <c r="P289" s="33"/>
      <c r="Q289" s="33"/>
      <c r="R289" s="33"/>
      <c r="S289" s="33"/>
      <c r="T289" s="33"/>
      <c r="U289" s="33"/>
      <c r="V289"/>
      <c r="W289"/>
      <c r="X289"/>
      <c r="Y289"/>
      <c r="Z289"/>
      <c r="AA289"/>
      <c r="AB289"/>
      <c r="AC289"/>
      <c r="AD289"/>
      <c r="AE289"/>
      <c r="AF289"/>
      <c r="AG289"/>
      <c r="AH289"/>
      <c r="AI289"/>
      <c r="AJ289" s="31"/>
      <c r="AK289" s="31"/>
      <c r="AL289" s="31"/>
      <c r="AM289" s="31"/>
      <c r="AN289" s="31"/>
      <c r="AO289" s="31"/>
      <c r="AP289" s="31"/>
      <c r="AQ289" s="31"/>
      <c r="AR289" s="31"/>
      <c r="AS289" s="31"/>
      <c r="AT289" s="31"/>
      <c r="AU289" s="31"/>
    </row>
    <row r="290" spans="2:114" s="34" customFormat="1" x14ac:dyDescent="0.35">
      <c r="B290" s="31"/>
      <c r="C290" s="35" t="s">
        <v>27</v>
      </c>
      <c r="D290" s="2399" t="s">
        <v>28</v>
      </c>
      <c r="E290" s="2399" t="s">
        <v>29</v>
      </c>
      <c r="F290" s="2399" t="s">
        <v>30</v>
      </c>
      <c r="G290" s="2399" t="s">
        <v>175</v>
      </c>
      <c r="H290" s="36" t="s">
        <v>176</v>
      </c>
      <c r="I290" s="2399" t="s">
        <v>31</v>
      </c>
      <c r="J290" s="2399" t="s">
        <v>180</v>
      </c>
      <c r="K290" s="35" t="s">
        <v>169</v>
      </c>
      <c r="L290" s="35" t="s">
        <v>43</v>
      </c>
      <c r="M290" s="725"/>
      <c r="N290" s="725"/>
      <c r="O290" s="725"/>
      <c r="P290" s="350"/>
      <c r="Q290" s="350"/>
      <c r="R290" s="350"/>
      <c r="S290" s="350"/>
      <c r="T290" s="350"/>
      <c r="U290" s="350"/>
      <c r="V290" s="1572" t="s">
        <v>44</v>
      </c>
      <c r="W290" s="1573">
        <f>$W$8</f>
        <v>43252</v>
      </c>
      <c r="X290" s="1573">
        <f>$X$8</f>
        <v>43465</v>
      </c>
      <c r="Y290" s="1573">
        <f>$Y$8</f>
        <v>43800</v>
      </c>
      <c r="Z290" s="1573">
        <f>$Z$8</f>
        <v>43862</v>
      </c>
      <c r="AA290" s="1573">
        <f>$AA$8</f>
        <v>44013</v>
      </c>
      <c r="AB290" s="1573">
        <v>44166</v>
      </c>
      <c r="AC290" s="1573">
        <f>$AC$8</f>
        <v>44531</v>
      </c>
      <c r="AD290" s="1573">
        <f>$AD$8</f>
        <v>44774</v>
      </c>
      <c r="AE290" s="1573" t="str">
        <f>$AE$8</f>
        <v>-</v>
      </c>
      <c r="AF290" s="1573" t="str">
        <f>$AF$8</f>
        <v>-</v>
      </c>
      <c r="AG290" s="1573" t="str">
        <f>$AG$8</f>
        <v>-</v>
      </c>
      <c r="AH290"/>
      <c r="AI290" s="1572" t="s">
        <v>44</v>
      </c>
      <c r="AJ290" s="1573">
        <v>43252</v>
      </c>
      <c r="AK290" s="1573">
        <f>$X$8</f>
        <v>43465</v>
      </c>
      <c r="AL290" s="1573">
        <f>$Y$8</f>
        <v>43800</v>
      </c>
      <c r="AM290" s="1573">
        <f>$Z$8</f>
        <v>43862</v>
      </c>
      <c r="AN290" s="1573">
        <f>$AA$8</f>
        <v>44013</v>
      </c>
      <c r="AO290" s="1573">
        <f>$AB$8</f>
        <v>44166</v>
      </c>
      <c r="AP290" s="1573">
        <f>$AC$8</f>
        <v>44531</v>
      </c>
      <c r="AQ290" s="1573">
        <f>$AD$8</f>
        <v>44774</v>
      </c>
      <c r="AR290" s="1573" t="str">
        <f>$AE$8</f>
        <v>-</v>
      </c>
      <c r="AS290" s="1573" t="str">
        <f>$AF$8</f>
        <v>-</v>
      </c>
      <c r="AT290" s="21"/>
      <c r="AU290" s="1572" t="s">
        <v>44</v>
      </c>
      <c r="AV290" s="1573">
        <v>43252</v>
      </c>
      <c r="AW290" s="1573">
        <f>$X$8</f>
        <v>43465</v>
      </c>
      <c r="AX290" s="1573">
        <f>$Y$8</f>
        <v>43800</v>
      </c>
      <c r="AY290" s="1573">
        <f>$Z$8</f>
        <v>43862</v>
      </c>
      <c r="AZ290" s="1573">
        <f>$AA$8</f>
        <v>44013</v>
      </c>
      <c r="BA290" s="1573">
        <v>44166</v>
      </c>
      <c r="BB290" s="1573">
        <f>$AC$8</f>
        <v>44531</v>
      </c>
      <c r="BC290" s="1573">
        <f>$AD$8</f>
        <v>44774</v>
      </c>
      <c r="BD290" s="1573" t="str">
        <f>$AE$8</f>
        <v>-</v>
      </c>
      <c r="BE290" s="1573" t="str">
        <f>$AF$8</f>
        <v>-</v>
      </c>
      <c r="DE290" s="21"/>
      <c r="DF290" s="21"/>
      <c r="DG290" s="1574" t="str">
        <f>$DG$8</f>
        <v>TRC (2022)</v>
      </c>
      <c r="DH290" s="1584" t="str">
        <f>$DH$8</f>
        <v>Benefit Lookup</v>
      </c>
      <c r="DI290" s="1584" t="str">
        <f>$DI$8</f>
        <v>Benefits (2019 $)</v>
      </c>
      <c r="DJ290" s="1584" t="str">
        <f>$DJ$8</f>
        <v>Incremental Cost (2019 $)</v>
      </c>
    </row>
    <row r="291" spans="2:114" x14ac:dyDescent="0.35">
      <c r="C291" s="1614" t="s">
        <v>2681</v>
      </c>
      <c r="D291" s="1087" t="s">
        <v>2485</v>
      </c>
      <c r="E291" s="1105" t="s">
        <v>2682</v>
      </c>
      <c r="F291" s="965">
        <f>ROUND((F304+G304)*H304/1000,2)</f>
        <v>7856.31</v>
      </c>
      <c r="G291" s="1087" t="s">
        <v>2683</v>
      </c>
      <c r="H291" s="1088">
        <f>VLOOKUP(G291,'CP FACTORS'!$A$26:$B$38,2,FALSE)</f>
        <v>1.998949E-4</v>
      </c>
      <c r="I291" s="1106">
        <f>ROUND(H291*F291,6)</f>
        <v>1.5704359999999999</v>
      </c>
      <c r="J291" s="1149">
        <v>12</v>
      </c>
      <c r="K291" s="1123">
        <v>4150</v>
      </c>
      <c r="L291" s="1089" t="s">
        <v>184</v>
      </c>
      <c r="V291" s="2419" t="s">
        <v>30</v>
      </c>
      <c r="W291" s="112">
        <v>7856.3138680450465</v>
      </c>
      <c r="X291" s="112">
        <v>7856.3138680450465</v>
      </c>
      <c r="Y291" s="112">
        <v>7856.3138680450465</v>
      </c>
      <c r="Z291" s="112">
        <v>7856.3138680450465</v>
      </c>
      <c r="AA291" s="112">
        <v>7856.3138680450465</v>
      </c>
      <c r="AB291" s="110">
        <v>7856.31</v>
      </c>
      <c r="AC291" s="1798">
        <v>7856.31</v>
      </c>
      <c r="AD291" s="1798">
        <v>7856.31</v>
      </c>
      <c r="AE291" s="141"/>
      <c r="AF291" s="141"/>
      <c r="AG291" s="141"/>
      <c r="AH291"/>
      <c r="AI291" s="88" t="s">
        <v>180</v>
      </c>
      <c r="AJ291" s="51">
        <v>12</v>
      </c>
      <c r="AK291" s="51">
        <v>12</v>
      </c>
      <c r="AL291" s="51">
        <v>12</v>
      </c>
      <c r="AM291" s="51">
        <v>12</v>
      </c>
      <c r="AN291" s="51">
        <v>12</v>
      </c>
      <c r="AO291" s="48">
        <v>12</v>
      </c>
      <c r="AP291" s="48">
        <v>12</v>
      </c>
      <c r="AQ291" s="48">
        <v>12</v>
      </c>
      <c r="AR291" s="141"/>
      <c r="AS291" s="141"/>
      <c r="AU291" s="88" t="s">
        <v>169</v>
      </c>
      <c r="AV291" s="1692">
        <v>4150</v>
      </c>
      <c r="AW291" s="1692">
        <v>4150</v>
      </c>
      <c r="AX291" s="1692">
        <v>4150</v>
      </c>
      <c r="AY291" s="1692">
        <v>4150</v>
      </c>
      <c r="AZ291" s="1692">
        <v>4150</v>
      </c>
      <c r="BA291" s="1928">
        <v>4150</v>
      </c>
      <c r="BB291" s="1928">
        <v>4150</v>
      </c>
      <c r="BC291" s="1928">
        <v>4150</v>
      </c>
      <c r="BD291" s="141"/>
      <c r="BE291" s="141"/>
      <c r="DG291" s="1578">
        <f>(DI291)/(DJ291)</f>
        <v>1.0132014975444408</v>
      </c>
      <c r="DH291" s="2381" t="str">
        <f>CONCATENATE(G291," ",J291," Year EUL")</f>
        <v>Cooking BUS 12 Year EUL</v>
      </c>
      <c r="DI291" s="56">
        <f>(INDEX('Avoided Cost Benefits'!$E$4:$E$859,MATCH(DH291,'Avoided Cost Benefits'!$A$4:$A$859,0)))*F291</f>
        <v>3968.65145333594</v>
      </c>
      <c r="DJ291" s="1579">
        <f>K291/(1.0595^(2020-2019))</f>
        <v>3916.9419537517692</v>
      </c>
    </row>
    <row r="292" spans="2:114" x14ac:dyDescent="0.35">
      <c r="C292" s="1614" t="s">
        <v>2684</v>
      </c>
      <c r="D292" s="1087" t="s">
        <v>2485</v>
      </c>
      <c r="E292" s="1105" t="s">
        <v>2685</v>
      </c>
      <c r="F292" s="965">
        <f>ROUND((F305+G305)*H305/1000,2)</f>
        <v>9213.5</v>
      </c>
      <c r="G292" s="1087" t="s">
        <v>2683</v>
      </c>
      <c r="H292" s="1088">
        <f>VLOOKUP(G292,'CP FACTORS'!$A$26:$B$38,2,FALSE)</f>
        <v>1.998949E-4</v>
      </c>
      <c r="I292" s="1106">
        <f>ROUND(H292*F292,6)</f>
        <v>1.8417319999999999</v>
      </c>
      <c r="J292" s="1114">
        <v>12</v>
      </c>
      <c r="K292" s="1123">
        <v>4150</v>
      </c>
      <c r="L292" s="1089" t="s">
        <v>184</v>
      </c>
      <c r="V292" s="2419" t="s">
        <v>30</v>
      </c>
      <c r="W292" s="112">
        <v>9213.5039339295909</v>
      </c>
      <c r="X292" s="112">
        <v>9213.5039339295909</v>
      </c>
      <c r="Y292" s="112">
        <v>9213.5039339295909</v>
      </c>
      <c r="Z292" s="112">
        <v>9213.5039339295909</v>
      </c>
      <c r="AA292" s="112">
        <v>9213.5039339295909</v>
      </c>
      <c r="AB292" s="110">
        <v>9213.5</v>
      </c>
      <c r="AC292" s="1798">
        <v>9213.5</v>
      </c>
      <c r="AD292" s="1798">
        <v>9213.5</v>
      </c>
      <c r="AE292" s="141"/>
      <c r="AF292" s="141"/>
      <c r="AG292" s="141"/>
      <c r="AH292"/>
      <c r="AI292" s="88" t="s">
        <v>180</v>
      </c>
      <c r="AJ292" s="51">
        <v>12</v>
      </c>
      <c r="AK292" s="51">
        <v>12</v>
      </c>
      <c r="AL292" s="51">
        <v>12</v>
      </c>
      <c r="AM292" s="51">
        <v>12</v>
      </c>
      <c r="AN292" s="51">
        <v>12</v>
      </c>
      <c r="AO292" s="48">
        <v>12</v>
      </c>
      <c r="AP292" s="48">
        <v>12</v>
      </c>
      <c r="AQ292" s="48">
        <v>12</v>
      </c>
      <c r="AR292" s="141"/>
      <c r="AS292" s="141"/>
      <c r="AU292" s="88" t="s">
        <v>169</v>
      </c>
      <c r="AV292" s="1692">
        <v>4150</v>
      </c>
      <c r="AW292" s="1692">
        <v>4150</v>
      </c>
      <c r="AX292" s="1692">
        <v>4150</v>
      </c>
      <c r="AY292" s="1692">
        <v>4150</v>
      </c>
      <c r="AZ292" s="1692">
        <v>4150</v>
      </c>
      <c r="BA292" s="1928">
        <v>4150</v>
      </c>
      <c r="BB292" s="1928">
        <v>4150</v>
      </c>
      <c r="BC292" s="1928">
        <v>4150</v>
      </c>
      <c r="BD292" s="141"/>
      <c r="BE292" s="141"/>
      <c r="DG292" s="40">
        <f>(DI292)/(DJ292)</f>
        <v>1.188233661556851</v>
      </c>
      <c r="DH292" s="1580" t="str">
        <f>CONCATENATE(G292," ",J292," Year EUL")</f>
        <v>Cooking BUS 12 Year EUL</v>
      </c>
      <c r="DI292" s="57">
        <f>(INDEX('Avoided Cost Benefits'!$E$4:$E$859,MATCH(DH292,'Avoided Cost Benefits'!$A$4:$A$859,0)))*F292</f>
        <v>4654.2422798121106</v>
      </c>
      <c r="DJ292" s="1581">
        <f>K292/(1.0595^(2020-2019))</f>
        <v>3916.9419537517692</v>
      </c>
    </row>
    <row r="293" spans="2:114" x14ac:dyDescent="0.35">
      <c r="C293" s="1614" t="s">
        <v>2686</v>
      </c>
      <c r="D293" s="1087" t="s">
        <v>2485</v>
      </c>
      <c r="E293" s="1105" t="s">
        <v>2687</v>
      </c>
      <c r="F293" s="965">
        <f>ROUND((F306+G306)*H306/1000,2)</f>
        <v>10512.97</v>
      </c>
      <c r="G293" s="1087" t="s">
        <v>2683</v>
      </c>
      <c r="H293" s="1088">
        <f>VLOOKUP(G293,'CP FACTORS'!$A$26:$B$38,2,FALSE)</f>
        <v>1.998949E-4</v>
      </c>
      <c r="I293" s="1106">
        <f>ROUND(H293*F293,6)</f>
        <v>2.1014889999999999</v>
      </c>
      <c r="J293" s="1114">
        <v>12</v>
      </c>
      <c r="K293" s="1123">
        <v>4150</v>
      </c>
      <c r="L293" s="1089" t="s">
        <v>184</v>
      </c>
      <c r="V293" s="2419" t="s">
        <v>30</v>
      </c>
      <c r="W293" s="112">
        <v>10512.970851398522</v>
      </c>
      <c r="X293" s="112">
        <v>10512.970851398522</v>
      </c>
      <c r="Y293" s="112">
        <v>10512.970851398522</v>
      </c>
      <c r="Z293" s="112">
        <v>10512.970851398522</v>
      </c>
      <c r="AA293" s="112">
        <v>10512.970851398522</v>
      </c>
      <c r="AB293" s="110">
        <v>10512.97</v>
      </c>
      <c r="AC293" s="1798">
        <v>10512.97</v>
      </c>
      <c r="AD293" s="1798">
        <v>10512.97</v>
      </c>
      <c r="AE293" s="141"/>
      <c r="AF293" s="141"/>
      <c r="AG293" s="141"/>
      <c r="AH293"/>
      <c r="AI293" s="88" t="s">
        <v>180</v>
      </c>
      <c r="AJ293" s="51">
        <v>12</v>
      </c>
      <c r="AK293" s="51">
        <v>12</v>
      </c>
      <c r="AL293" s="51">
        <v>12</v>
      </c>
      <c r="AM293" s="51">
        <v>12</v>
      </c>
      <c r="AN293" s="51">
        <v>12</v>
      </c>
      <c r="AO293" s="48">
        <v>12</v>
      </c>
      <c r="AP293" s="48">
        <v>12</v>
      </c>
      <c r="AQ293" s="48">
        <v>12</v>
      </c>
      <c r="AR293" s="141"/>
      <c r="AS293" s="141"/>
      <c r="AU293" s="88" t="s">
        <v>169</v>
      </c>
      <c r="AV293" s="1692">
        <v>4150</v>
      </c>
      <c r="AW293" s="1692">
        <v>4150</v>
      </c>
      <c r="AX293" s="1692">
        <v>4150</v>
      </c>
      <c r="AY293" s="1692">
        <v>4150</v>
      </c>
      <c r="AZ293" s="1692">
        <v>4150</v>
      </c>
      <c r="BA293" s="1928">
        <v>4150</v>
      </c>
      <c r="BB293" s="1928">
        <v>4150</v>
      </c>
      <c r="BC293" s="1928">
        <v>4150</v>
      </c>
      <c r="BD293" s="141"/>
      <c r="BE293" s="141"/>
      <c r="DG293" s="40">
        <f>(DI293)/(DJ293)</f>
        <v>1.3558218740909889</v>
      </c>
      <c r="DH293" s="1580" t="str">
        <f>CONCATENATE(G293," ",J293," Year EUL")</f>
        <v>Cooking BUS 12 Year EUL</v>
      </c>
      <c r="DI293" s="57">
        <f>(INDEX('Avoided Cost Benefits'!$E$4:$E$859,MATCH(DH293,'Avoided Cost Benefits'!$A$4:$A$859,0)))*F293</f>
        <v>5310.6755804413433</v>
      </c>
      <c r="DJ293" s="1581">
        <f>K293/(1.0595^(2020-2019))</f>
        <v>3916.9419537517692</v>
      </c>
    </row>
    <row r="294" spans="2:114" x14ac:dyDescent="0.35">
      <c r="C294" s="1614" t="s">
        <v>2688</v>
      </c>
      <c r="D294" s="1087" t="s">
        <v>2485</v>
      </c>
      <c r="E294" s="1105" t="s">
        <v>2689</v>
      </c>
      <c r="F294" s="965">
        <f>ROUND((F307+G307)*H307/1000,2)</f>
        <v>11818.65</v>
      </c>
      <c r="G294" s="1087" t="s">
        <v>2683</v>
      </c>
      <c r="H294" s="1088">
        <f>VLOOKUP(G294,'CP FACTORS'!$A$26:$B$38,2,FALSE)</f>
        <v>1.998949E-4</v>
      </c>
      <c r="I294" s="1106">
        <f>ROUND(H294*F294,6)</f>
        <v>2.3624879999999999</v>
      </c>
      <c r="J294" s="1114">
        <v>12</v>
      </c>
      <c r="K294" s="1123">
        <v>4150</v>
      </c>
      <c r="L294" s="1089" t="s">
        <v>184</v>
      </c>
      <c r="V294" s="2419" t="s">
        <v>30</v>
      </c>
      <c r="W294" s="112">
        <v>11818.648943162641</v>
      </c>
      <c r="X294" s="112">
        <v>11818.648943162641</v>
      </c>
      <c r="Y294" s="112">
        <v>11818.648943162641</v>
      </c>
      <c r="Z294" s="112">
        <v>11818.648943162641</v>
      </c>
      <c r="AA294" s="112">
        <v>11818.648943162641</v>
      </c>
      <c r="AB294" s="110">
        <v>11818.65</v>
      </c>
      <c r="AC294" s="1798">
        <v>11818.65</v>
      </c>
      <c r="AD294" s="1798">
        <v>11818.65</v>
      </c>
      <c r="AE294" s="141"/>
      <c r="AF294" s="141"/>
      <c r="AG294" s="141"/>
      <c r="AH294"/>
      <c r="AI294" s="88" t="s">
        <v>180</v>
      </c>
      <c r="AJ294" s="51">
        <v>12</v>
      </c>
      <c r="AK294" s="51">
        <v>12</v>
      </c>
      <c r="AL294" s="51">
        <v>12</v>
      </c>
      <c r="AM294" s="51">
        <v>12</v>
      </c>
      <c r="AN294" s="51">
        <v>12</v>
      </c>
      <c r="AO294" s="48">
        <v>12</v>
      </c>
      <c r="AP294" s="48">
        <v>12</v>
      </c>
      <c r="AQ294" s="48">
        <v>12</v>
      </c>
      <c r="AR294" s="141"/>
      <c r="AS294" s="141"/>
      <c r="AU294" s="88" t="s">
        <v>169</v>
      </c>
      <c r="AV294" s="1692">
        <v>4150</v>
      </c>
      <c r="AW294" s="1692">
        <v>4150</v>
      </c>
      <c r="AX294" s="1692">
        <v>4150</v>
      </c>
      <c r="AY294" s="1692">
        <v>4150</v>
      </c>
      <c r="AZ294" s="1692">
        <v>4150</v>
      </c>
      <c r="BA294" s="1928">
        <v>4150</v>
      </c>
      <c r="BB294" s="1928">
        <v>4150</v>
      </c>
      <c r="BC294" s="1928">
        <v>4150</v>
      </c>
      <c r="BD294" s="141"/>
      <c r="BE294" s="141"/>
      <c r="DG294" s="41">
        <f>(DI294)/(DJ294)</f>
        <v>1.5242109691386418</v>
      </c>
      <c r="DH294" s="1580" t="str">
        <f>CONCATENATE(G294," ",J294," Year EUL")</f>
        <v>Cooking BUS 12 Year EUL</v>
      </c>
      <c r="DI294" s="58">
        <f>(INDEX('Avoided Cost Benefits'!$E$4:$E$859,MATCH(DH294,'Avoided Cost Benefits'!$A$4:$A$859,0)))*F294</f>
        <v>5970.245891387789</v>
      </c>
      <c r="DJ294" s="1582">
        <f>K294/(1.0595^(2020-2019))</f>
        <v>3916.9419537517692</v>
      </c>
    </row>
    <row r="295" spans="2:114" hidden="1" outlineLevel="1" x14ac:dyDescent="0.35">
      <c r="E295" s="33"/>
      <c r="F295" s="33"/>
      <c r="G295" s="33"/>
      <c r="H295" s="1096"/>
      <c r="I295" s="33"/>
      <c r="J295" s="33"/>
      <c r="K295" s="33"/>
    </row>
    <row r="296" spans="2:114" hidden="1" outlineLevel="1" x14ac:dyDescent="0.35">
      <c r="D296" s="33" t="s">
        <v>2528</v>
      </c>
      <c r="E296" s="132"/>
      <c r="F296" s="33"/>
      <c r="G296" s="33"/>
      <c r="H296" s="1096"/>
      <c r="I296" s="33"/>
      <c r="J296" s="33"/>
      <c r="K296" s="132"/>
    </row>
    <row r="297" spans="2:114" hidden="1" outlineLevel="1" x14ac:dyDescent="0.35">
      <c r="D297" s="1097"/>
      <c r="E297" s="132"/>
      <c r="F297" s="132"/>
      <c r="G297" s="725"/>
      <c r="H297" s="1098"/>
    </row>
    <row r="298" spans="2:114" hidden="1" outlineLevel="1" x14ac:dyDescent="0.35">
      <c r="D298" s="1097"/>
      <c r="G298" s="725"/>
      <c r="H298" s="1098"/>
      <c r="P298" s="4561"/>
      <c r="Q298" s="4561"/>
    </row>
    <row r="299" spans="2:114" hidden="1" outlineLevel="1" x14ac:dyDescent="0.35">
      <c r="D299" s="1097"/>
      <c r="G299" s="725"/>
      <c r="H299" s="1098"/>
      <c r="M299" s="33"/>
      <c r="P299" s="4561"/>
      <c r="Q299" s="4561"/>
    </row>
    <row r="300" spans="2:114" hidden="1" outlineLevel="1" x14ac:dyDescent="0.35">
      <c r="D300" s="1097"/>
      <c r="G300" s="725"/>
      <c r="H300" s="1098"/>
      <c r="M300" s="33"/>
      <c r="P300" s="4561"/>
      <c r="Q300" s="4561"/>
    </row>
    <row r="301" spans="2:114" hidden="1" outlineLevel="1" x14ac:dyDescent="0.35">
      <c r="D301" s="1097"/>
      <c r="G301" s="725"/>
      <c r="H301" s="1098"/>
      <c r="M301" s="33"/>
    </row>
    <row r="302" spans="2:114" hidden="1" outlineLevel="1" x14ac:dyDescent="0.35">
      <c r="D302" s="1097"/>
      <c r="G302" s="725"/>
      <c r="H302" s="1098"/>
    </row>
    <row r="303" spans="2:114" s="34" customFormat="1" ht="43.5" hidden="1" outlineLevel="1" x14ac:dyDescent="0.35">
      <c r="C303" s="132"/>
      <c r="D303" s="2327" t="s">
        <v>27</v>
      </c>
      <c r="E303" s="2327" t="s">
        <v>2597</v>
      </c>
      <c r="F303" s="68" t="s">
        <v>2690</v>
      </c>
      <c r="G303" s="2327" t="s">
        <v>2691</v>
      </c>
      <c r="H303" s="2327" t="s">
        <v>569</v>
      </c>
      <c r="I303" s="2327" t="s">
        <v>2692</v>
      </c>
      <c r="J303" s="2429" t="s">
        <v>2693</v>
      </c>
      <c r="K303" s="2429" t="s">
        <v>2694</v>
      </c>
      <c r="L303" s="2429" t="s">
        <v>2695</v>
      </c>
      <c r="M303" s="2429" t="s">
        <v>2696</v>
      </c>
      <c r="N303" s="2429" t="s">
        <v>2697</v>
      </c>
      <c r="O303" s="2429" t="s">
        <v>2698</v>
      </c>
      <c r="P303" s="2429" t="s">
        <v>2668</v>
      </c>
      <c r="Q303" s="2429" t="s">
        <v>2699</v>
      </c>
      <c r="R303" s="2429" t="s">
        <v>721</v>
      </c>
      <c r="S303" s="2399" t="s">
        <v>2700</v>
      </c>
      <c r="T303" s="350"/>
      <c r="U303" s="350"/>
      <c r="DE303" s="21"/>
      <c r="DF303" s="21"/>
      <c r="DG303" s="59"/>
    </row>
    <row r="304" spans="2:114" hidden="1" outlineLevel="1" x14ac:dyDescent="0.35">
      <c r="D304" s="1593" t="str">
        <f>C291</f>
        <v>802700_2019_12_</v>
      </c>
      <c r="E304" s="1593" t="str">
        <f>E291</f>
        <v>3 Pan ENERGY STAR Steam Cooker</v>
      </c>
      <c r="F304" s="1150">
        <f>((1-I304)*(J304+I304*L304*N304*(O304/P304))*(R304-S304/(L304*N304)))-((1-I304)*(K304+I304*M304*N304*(O304/Q304))*(R304-S304/(M304*N304)))</f>
        <v>16669.415107583976</v>
      </c>
      <c r="G304" s="1151">
        <f>(S304*(O304/P304))-(S304*(O304/Q304))</f>
        <v>4839.9999999999982</v>
      </c>
      <c r="H304" s="1594">
        <v>365.25</v>
      </c>
      <c r="I304" s="1132">
        <v>0.4</v>
      </c>
      <c r="J304" s="1152">
        <v>1100</v>
      </c>
      <c r="K304" s="1135">
        <v>400</v>
      </c>
      <c r="L304" s="1128">
        <v>23.3</v>
      </c>
      <c r="M304" s="1153">
        <v>16.7</v>
      </c>
      <c r="N304" s="1135">
        <v>3</v>
      </c>
      <c r="O304" s="1128">
        <v>30.8</v>
      </c>
      <c r="P304" s="1138">
        <v>0.28000000000000003</v>
      </c>
      <c r="Q304" s="1132">
        <v>0.5</v>
      </c>
      <c r="R304" s="1125">
        <v>12</v>
      </c>
      <c r="S304" s="1134">
        <v>100</v>
      </c>
    </row>
    <row r="305" spans="2:114" hidden="1" outlineLevel="1" x14ac:dyDescent="0.35">
      <c r="D305" s="1593" t="str">
        <f>C292</f>
        <v>802750_2019_12_</v>
      </c>
      <c r="E305" s="1593" t="str">
        <f>E292</f>
        <v>4 Pan ENERGY STAR Steam Cooker</v>
      </c>
      <c r="F305" s="1150">
        <f>((1-I305)*(J305+I305*L305*N305*(O305/P305))*(R305-S305/(L305*N305)))-((1-I305)*(K305+I305*M305*N305*(O305/Q305))*(R305-S305/(M305*N305)))</f>
        <v>20385.19899775384</v>
      </c>
      <c r="G305" s="1151">
        <f>(S305*(O305/P305))-(S305*(O305/Q305))</f>
        <v>4839.9999999999982</v>
      </c>
      <c r="H305" s="1594">
        <v>365.25</v>
      </c>
      <c r="I305" s="1132">
        <v>0.4</v>
      </c>
      <c r="J305" s="1152">
        <v>1100</v>
      </c>
      <c r="K305" s="1135">
        <v>530</v>
      </c>
      <c r="L305" s="1128">
        <v>23.3</v>
      </c>
      <c r="M305" s="1153">
        <v>16.7</v>
      </c>
      <c r="N305" s="1135">
        <v>4</v>
      </c>
      <c r="O305" s="1128">
        <v>30.8</v>
      </c>
      <c r="P305" s="1138">
        <v>0.28000000000000003</v>
      </c>
      <c r="Q305" s="1132">
        <v>0.5</v>
      </c>
      <c r="R305" s="1125">
        <v>12</v>
      </c>
      <c r="S305" s="1134">
        <v>100</v>
      </c>
    </row>
    <row r="306" spans="2:114" hidden="1" outlineLevel="1" x14ac:dyDescent="0.35">
      <c r="D306" s="1593" t="str">
        <f>C293</f>
        <v>802800_2019_12_</v>
      </c>
      <c r="E306" s="1593" t="str">
        <f>E293</f>
        <v>5 Pan ENERGY STAR Steam Cooker</v>
      </c>
      <c r="F306" s="1150">
        <f>((1-I306)*(J306+I306*L306*N306*(O306/P306))*(R306-S306/(L306*N306)))-((1-I306)*(K306+I306*M306*N306*(O306/Q306))*(R306-S306/(M306*N306)))</f>
        <v>23942.945520598285</v>
      </c>
      <c r="G306" s="1151">
        <f>(S306*(O306/P306))-(S306*(O306/Q306))</f>
        <v>4839.9999999999982</v>
      </c>
      <c r="H306" s="1594">
        <v>365.25</v>
      </c>
      <c r="I306" s="1132">
        <v>0.4</v>
      </c>
      <c r="J306" s="1152">
        <v>1100</v>
      </c>
      <c r="K306" s="1135">
        <v>670</v>
      </c>
      <c r="L306" s="1128">
        <v>23.3</v>
      </c>
      <c r="M306" s="1153">
        <v>16.7</v>
      </c>
      <c r="N306" s="1135">
        <v>5</v>
      </c>
      <c r="O306" s="1128">
        <v>30.8</v>
      </c>
      <c r="P306" s="1138">
        <v>0.28000000000000003</v>
      </c>
      <c r="Q306" s="1132">
        <v>0.5</v>
      </c>
      <c r="R306" s="1125">
        <v>12</v>
      </c>
      <c r="S306" s="1134">
        <v>100</v>
      </c>
    </row>
    <row r="307" spans="2:114" hidden="1" outlineLevel="1" x14ac:dyDescent="0.35">
      <c r="D307" s="1593" t="str">
        <f>C294</f>
        <v>802850_2019_12_</v>
      </c>
      <c r="E307" s="1593" t="str">
        <f>E294</f>
        <v>6 Pan ENERGY STAR Steam Cooker</v>
      </c>
      <c r="F307" s="1150">
        <f>((1-I307)*(J307+I307*L307*N307*(O307/P307))*(R307-S307/(L307*N307)))-((1-I307)*(K307+I307*M307*N307*(O307/Q307))*(R307-S307/(M307*N307)))</f>
        <v>27517.697311875811</v>
      </c>
      <c r="G307" s="1151">
        <f>(S307*(O307/P307))-(S307*(O307/Q307))</f>
        <v>4839.9999999999982</v>
      </c>
      <c r="H307" s="1594">
        <v>365.25</v>
      </c>
      <c r="I307" s="1132">
        <v>0.4</v>
      </c>
      <c r="J307" s="1152">
        <v>1100</v>
      </c>
      <c r="K307" s="1135">
        <v>800</v>
      </c>
      <c r="L307" s="1128">
        <v>23.3</v>
      </c>
      <c r="M307" s="1153">
        <v>16.7</v>
      </c>
      <c r="N307" s="1135">
        <v>6</v>
      </c>
      <c r="O307" s="1128">
        <v>30.8</v>
      </c>
      <c r="P307" s="1138">
        <v>0.28000000000000003</v>
      </c>
      <c r="Q307" s="1132">
        <v>0.5</v>
      </c>
      <c r="R307" s="1125">
        <v>12</v>
      </c>
      <c r="S307" s="1134">
        <v>100</v>
      </c>
    </row>
    <row r="308" spans="2:114" collapsed="1" x14ac:dyDescent="0.35"/>
    <row r="310" spans="2:114" s="33" customFormat="1" x14ac:dyDescent="0.35">
      <c r="B310" s="4553" t="s">
        <v>2701</v>
      </c>
      <c r="C310" s="4554"/>
      <c r="D310" s="4554"/>
      <c r="E310" s="4554"/>
      <c r="F310" s="4554"/>
      <c r="G310" s="4554"/>
      <c r="H310" s="4554"/>
      <c r="I310" s="4555"/>
      <c r="J310" s="4555"/>
      <c r="K310" s="4555"/>
      <c r="L310" s="4555"/>
      <c r="M310" s="3680"/>
      <c r="N310" s="3680"/>
      <c r="O310" s="3681"/>
      <c r="V310" s="2325" t="str">
        <f>B310</f>
        <v>Holding Cabinet</v>
      </c>
      <c r="W310" s="2326"/>
      <c r="X310" s="2326"/>
      <c r="Y310" s="2326"/>
      <c r="Z310" s="2326"/>
      <c r="AA310" s="2326"/>
      <c r="AB310" s="2326"/>
      <c r="AC310" s="2326"/>
      <c r="AD310" s="2326"/>
      <c r="AE310" s="2326"/>
      <c r="AF310" s="2326"/>
      <c r="AG310" s="2326"/>
      <c r="AH310" s="2326"/>
      <c r="AI310" s="2384"/>
      <c r="AJ310" s="21"/>
      <c r="AK310" s="21"/>
      <c r="AL310" s="21"/>
      <c r="AM310" s="21"/>
      <c r="AN310" s="21"/>
      <c r="AO310" s="21"/>
      <c r="AP310" s="21"/>
      <c r="AQ310" s="21"/>
      <c r="AR310" s="21"/>
      <c r="AS310" s="21"/>
      <c r="AT310" s="21"/>
      <c r="AU310" s="21"/>
      <c r="DE310" s="21"/>
      <c r="DF310" s="21"/>
      <c r="DG310" s="60"/>
    </row>
    <row r="311" spans="2:114" x14ac:dyDescent="0.35">
      <c r="D311" s="1085"/>
      <c r="E311" s="33"/>
      <c r="F311" s="33"/>
      <c r="G311" s="33"/>
      <c r="H311" s="1086"/>
      <c r="I311" s="33"/>
      <c r="J311" s="33"/>
      <c r="K311" s="33"/>
      <c r="L311" s="33"/>
      <c r="P311" s="33"/>
      <c r="Q311" s="33"/>
      <c r="R311" s="33"/>
      <c r="S311" s="33"/>
      <c r="T311" s="33"/>
      <c r="U311" s="33"/>
      <c r="V311"/>
      <c r="W311"/>
      <c r="X311"/>
      <c r="Y311"/>
      <c r="Z311"/>
      <c r="AA311"/>
      <c r="AB311"/>
      <c r="AC311"/>
      <c r="AD311"/>
      <c r="AE311"/>
      <c r="AF311"/>
      <c r="AG311"/>
      <c r="AH311"/>
      <c r="AI311"/>
      <c r="AJ311" s="31"/>
      <c r="AK311" s="31"/>
      <c r="AL311" s="31"/>
      <c r="AM311" s="31"/>
      <c r="AN311" s="31"/>
      <c r="AO311" s="31"/>
      <c r="AP311" s="31"/>
      <c r="AQ311" s="31"/>
      <c r="AR311" s="31"/>
      <c r="AS311" s="31"/>
      <c r="AT311" s="31"/>
      <c r="AU311" s="31"/>
    </row>
    <row r="312" spans="2:114" s="34" customFormat="1" x14ac:dyDescent="0.35">
      <c r="B312" s="31"/>
      <c r="C312" s="35" t="s">
        <v>27</v>
      </c>
      <c r="D312" s="35" t="s">
        <v>28</v>
      </c>
      <c r="E312" s="2399" t="s">
        <v>29</v>
      </c>
      <c r="F312" s="2399" t="s">
        <v>30</v>
      </c>
      <c r="G312" s="2399" t="s">
        <v>175</v>
      </c>
      <c r="H312" s="36" t="s">
        <v>176</v>
      </c>
      <c r="I312" s="2399" t="s">
        <v>31</v>
      </c>
      <c r="J312" s="2399" t="s">
        <v>180</v>
      </c>
      <c r="K312" s="35" t="s">
        <v>169</v>
      </c>
      <c r="L312" s="35" t="s">
        <v>43</v>
      </c>
      <c r="M312" s="725"/>
      <c r="N312" s="725"/>
      <c r="O312" s="725"/>
      <c r="P312" s="350"/>
      <c r="Q312" s="350"/>
      <c r="R312" s="350"/>
      <c r="S312" s="350"/>
      <c r="T312" s="350"/>
      <c r="U312" s="350"/>
      <c r="V312" s="1572" t="s">
        <v>44</v>
      </c>
      <c r="W312" s="1573">
        <f>$W$8</f>
        <v>43252</v>
      </c>
      <c r="X312" s="1573">
        <f>$X$8</f>
        <v>43465</v>
      </c>
      <c r="Y312" s="1573">
        <f>$Y$8</f>
        <v>43800</v>
      </c>
      <c r="Z312" s="1573">
        <f>$Z$8</f>
        <v>43862</v>
      </c>
      <c r="AA312" s="1573">
        <f>$AA$8</f>
        <v>44013</v>
      </c>
      <c r="AB312" s="1573">
        <v>44166</v>
      </c>
      <c r="AC312" s="1573">
        <f>$AC$8</f>
        <v>44531</v>
      </c>
      <c r="AD312" s="1573">
        <f>$AD$8</f>
        <v>44774</v>
      </c>
      <c r="AE312" s="1573" t="str">
        <f>$AE$8</f>
        <v>-</v>
      </c>
      <c r="AF312" s="1573" t="str">
        <f>$AF$8</f>
        <v>-</v>
      </c>
      <c r="AG312" s="1573" t="str">
        <f>$AG$8</f>
        <v>-</v>
      </c>
      <c r="AH312"/>
      <c r="AI312" s="1572" t="s">
        <v>44</v>
      </c>
      <c r="AJ312" s="1573">
        <v>43252</v>
      </c>
      <c r="AK312" s="1573">
        <f>$X$8</f>
        <v>43465</v>
      </c>
      <c r="AL312" s="1573">
        <f>$Y$8</f>
        <v>43800</v>
      </c>
      <c r="AM312" s="1573">
        <f>$Z$8</f>
        <v>43862</v>
      </c>
      <c r="AN312" s="1573">
        <f>$AA$8</f>
        <v>44013</v>
      </c>
      <c r="AO312" s="1573">
        <f>$AB$8</f>
        <v>44166</v>
      </c>
      <c r="AP312" s="1573">
        <f>$AC$8</f>
        <v>44531</v>
      </c>
      <c r="AQ312" s="1573">
        <f>$AD$8</f>
        <v>44774</v>
      </c>
      <c r="AR312" s="1573" t="str">
        <f>$AE$8</f>
        <v>-</v>
      </c>
      <c r="AS312" s="1573" t="str">
        <f>$AF$8</f>
        <v>-</v>
      </c>
      <c r="AT312" s="21"/>
      <c r="AU312" s="1572" t="s">
        <v>44</v>
      </c>
      <c r="AV312" s="1573">
        <v>43252</v>
      </c>
      <c r="AW312" s="1573">
        <f>$X$8</f>
        <v>43465</v>
      </c>
      <c r="AX312" s="1573">
        <f>$Y$8</f>
        <v>43800</v>
      </c>
      <c r="AY312" s="1573">
        <f>$Z$8</f>
        <v>43862</v>
      </c>
      <c r="AZ312" s="1573">
        <f>$AA$8</f>
        <v>44013</v>
      </c>
      <c r="BA312" s="1573">
        <v>44166</v>
      </c>
      <c r="BB312" s="1573">
        <f>$AC$8</f>
        <v>44531</v>
      </c>
      <c r="BC312" s="1573">
        <f>$AD$8</f>
        <v>44774</v>
      </c>
      <c r="BD312" s="1573" t="str">
        <f>$AE$8</f>
        <v>-</v>
      </c>
      <c r="BE312" s="1573" t="str">
        <f>$AF$8</f>
        <v>-</v>
      </c>
      <c r="DE312" s="21"/>
      <c r="DF312" s="21"/>
      <c r="DG312" s="1574" t="str">
        <f>$DG$8</f>
        <v>TRC (2022)</v>
      </c>
      <c r="DH312" s="1584" t="str">
        <f>$DH$8</f>
        <v>Benefit Lookup</v>
      </c>
      <c r="DI312" s="1584" t="str">
        <f>$DI$8</f>
        <v>Benefits (2019 $)</v>
      </c>
      <c r="DJ312" s="1584" t="str">
        <f>$DJ$8</f>
        <v>Incremental Cost (2019 $)</v>
      </c>
    </row>
    <row r="313" spans="2:114" x14ac:dyDescent="0.35">
      <c r="C313" s="1614" t="s">
        <v>2702</v>
      </c>
      <c r="D313" s="1106" t="s">
        <v>2485</v>
      </c>
      <c r="E313" s="1105" t="s">
        <v>2703</v>
      </c>
      <c r="F313" s="965">
        <f>ROUND((H325-I325)*J325*K325/1000,2)</f>
        <v>709.5</v>
      </c>
      <c r="G313" s="1087" t="s">
        <v>2683</v>
      </c>
      <c r="H313" s="1088">
        <f>VLOOKUP(G313,'CP FACTORS'!$A$26:$B$38,2,FALSE)</f>
        <v>1.998949E-4</v>
      </c>
      <c r="I313" s="1106">
        <f>ROUND(H313*F313,6)</f>
        <v>0.14182500000000001</v>
      </c>
      <c r="J313" s="1146">
        <v>12</v>
      </c>
      <c r="K313" s="1107">
        <v>1783</v>
      </c>
      <c r="L313" s="1089" t="s">
        <v>184</v>
      </c>
      <c r="V313" s="2419" t="s">
        <v>30</v>
      </c>
      <c r="W313" s="112">
        <v>709.49812499999996</v>
      </c>
      <c r="X313" s="112">
        <v>709.49812499999996</v>
      </c>
      <c r="Y313" s="112">
        <v>709.49812499999996</v>
      </c>
      <c r="Z313" s="112">
        <v>709.49812499999996</v>
      </c>
      <c r="AA313" s="112">
        <v>709.49812499999996</v>
      </c>
      <c r="AB313" s="110">
        <v>709.5</v>
      </c>
      <c r="AC313" s="1798">
        <v>709.5</v>
      </c>
      <c r="AD313" s="1798">
        <v>709.5</v>
      </c>
      <c r="AE313" s="141"/>
      <c r="AF313" s="141"/>
      <c r="AG313" s="141"/>
      <c r="AH313"/>
      <c r="AI313" s="88" t="s">
        <v>180</v>
      </c>
      <c r="AJ313" s="51">
        <v>12</v>
      </c>
      <c r="AK313" s="51">
        <v>12</v>
      </c>
      <c r="AL313" s="51">
        <v>12</v>
      </c>
      <c r="AM313" s="51">
        <v>12</v>
      </c>
      <c r="AN313" s="51">
        <v>12</v>
      </c>
      <c r="AO313" s="48">
        <v>12</v>
      </c>
      <c r="AP313" s="48">
        <v>12</v>
      </c>
      <c r="AQ313" s="48">
        <v>12</v>
      </c>
      <c r="AR313" s="141"/>
      <c r="AS313" s="141"/>
      <c r="AU313" s="88" t="s">
        <v>169</v>
      </c>
      <c r="AV313" s="1692">
        <v>1783</v>
      </c>
      <c r="AW313" s="1692">
        <v>1783</v>
      </c>
      <c r="AX313" s="1692">
        <v>1783</v>
      </c>
      <c r="AY313" s="1692">
        <v>1783</v>
      </c>
      <c r="AZ313" s="1692">
        <v>1783</v>
      </c>
      <c r="BA313" s="1615">
        <v>1783</v>
      </c>
      <c r="BB313" s="1615">
        <v>1783</v>
      </c>
      <c r="BC313" s="1615">
        <v>1783</v>
      </c>
      <c r="BD313" s="141"/>
      <c r="BE313" s="141"/>
      <c r="DG313" s="1578">
        <f>(DI313)/(DJ313)</f>
        <v>0.21297389054215146</v>
      </c>
      <c r="DH313" s="2381" t="str">
        <f>CONCATENATE(G313," ",J313," Year EUL")</f>
        <v>Cooking BUS 12 Year EUL</v>
      </c>
      <c r="DI313" s="56">
        <f>(INDEX('Avoided Cost Benefits'!$E$4:$E$859,MATCH(DH313,'Avoided Cost Benefits'!$A$4:$A$859,0)))*F313</f>
        <v>358.40721740127987</v>
      </c>
      <c r="DJ313" s="1579">
        <f>K313/(1.0595^(2020-2019))</f>
        <v>1682.8692779613023</v>
      </c>
    </row>
    <row r="314" spans="2:114" x14ac:dyDescent="0.35">
      <c r="C314" s="1614" t="s">
        <v>2704</v>
      </c>
      <c r="D314" s="1106" t="s">
        <v>2485</v>
      </c>
      <c r="E314" s="1105" t="s">
        <v>2705</v>
      </c>
      <c r="F314" s="965">
        <f>ROUND((H326-I326)*J326*K326/1000,2)</f>
        <v>2772.25</v>
      </c>
      <c r="G314" s="1087" t="s">
        <v>2683</v>
      </c>
      <c r="H314" s="1088">
        <f>VLOOKUP(G314,'CP FACTORS'!$A$26:$B$38,2,FALSE)</f>
        <v>1.998949E-4</v>
      </c>
      <c r="I314" s="1106">
        <f>ROUND(H314*F314,6)</f>
        <v>0.55415899999999996</v>
      </c>
      <c r="J314" s="1146">
        <v>12</v>
      </c>
      <c r="K314" s="1107">
        <v>1783</v>
      </c>
      <c r="L314" s="1089" t="s">
        <v>184</v>
      </c>
      <c r="V314" s="2419" t="s">
        <v>30</v>
      </c>
      <c r="W314" s="112">
        <v>2772.2474999999999</v>
      </c>
      <c r="X314" s="112">
        <v>2772.2474999999999</v>
      </c>
      <c r="Y314" s="112">
        <v>2772.2474999999999</v>
      </c>
      <c r="Z314" s="112">
        <v>2772.2474999999999</v>
      </c>
      <c r="AA314" s="112">
        <v>2772.2474999999999</v>
      </c>
      <c r="AB314" s="110">
        <v>2772.25</v>
      </c>
      <c r="AC314" s="1798">
        <v>2772.25</v>
      </c>
      <c r="AD314" s="1798">
        <v>2772.25</v>
      </c>
      <c r="AE314" s="141"/>
      <c r="AF314" s="141"/>
      <c r="AG314" s="141"/>
      <c r="AH314"/>
      <c r="AI314" s="88" t="s">
        <v>180</v>
      </c>
      <c r="AJ314" s="51">
        <v>12</v>
      </c>
      <c r="AK314" s="51">
        <v>12</v>
      </c>
      <c r="AL314" s="51">
        <v>12</v>
      </c>
      <c r="AM314" s="51">
        <v>12</v>
      </c>
      <c r="AN314" s="51">
        <v>12</v>
      </c>
      <c r="AO314" s="48">
        <v>12</v>
      </c>
      <c r="AP314" s="48">
        <v>12</v>
      </c>
      <c r="AQ314" s="48">
        <v>12</v>
      </c>
      <c r="AR314" s="141"/>
      <c r="AS314" s="141"/>
      <c r="AU314" s="88" t="s">
        <v>169</v>
      </c>
      <c r="AV314" s="1692">
        <v>1783</v>
      </c>
      <c r="AW314" s="1692">
        <v>1783</v>
      </c>
      <c r="AX314" s="1692">
        <v>1783</v>
      </c>
      <c r="AY314" s="1692">
        <v>1783</v>
      </c>
      <c r="AZ314" s="1692">
        <v>1783</v>
      </c>
      <c r="BA314" s="1615">
        <v>1783</v>
      </c>
      <c r="BB314" s="1615">
        <v>1783</v>
      </c>
      <c r="BC314" s="1615">
        <v>1783</v>
      </c>
      <c r="BD314" s="141"/>
      <c r="BE314" s="141"/>
      <c r="DG314" s="40">
        <f>(DI314)/(DJ314)</f>
        <v>0.83215908112118309</v>
      </c>
      <c r="DH314" s="1580" t="str">
        <f>CONCATENATE(G314," ",J314," Year EUL")</f>
        <v>Cooking BUS 12 Year EUL</v>
      </c>
      <c r="DI314" s="57">
        <f>(INDEX('Avoided Cost Benefits'!$E$4:$E$859,MATCH(DH314,'Avoided Cost Benefits'!$A$4:$A$859,0)))*F314</f>
        <v>1400.4149519953462</v>
      </c>
      <c r="DJ314" s="1581">
        <f>K314/(1.0595^(2020-2019))</f>
        <v>1682.8692779613023</v>
      </c>
    </row>
    <row r="315" spans="2:114" x14ac:dyDescent="0.35">
      <c r="C315" s="1614" t="s">
        <v>2706</v>
      </c>
      <c r="D315" s="1106" t="s">
        <v>2485</v>
      </c>
      <c r="E315" s="1105" t="s">
        <v>2707</v>
      </c>
      <c r="F315" s="965">
        <f>ROUND((H327-I327)*J327*K327/1000,2)</f>
        <v>4438.34</v>
      </c>
      <c r="G315" s="1087" t="s">
        <v>2683</v>
      </c>
      <c r="H315" s="1088">
        <f>VLOOKUP(G315,'CP FACTORS'!$A$26:$B$38,2,FALSE)</f>
        <v>1.998949E-4</v>
      </c>
      <c r="I315" s="1106">
        <f>ROUND(H315*F315,6)</f>
        <v>0.88720200000000005</v>
      </c>
      <c r="J315" s="1146">
        <v>12</v>
      </c>
      <c r="K315" s="1107">
        <v>1783</v>
      </c>
      <c r="L315" s="1089" t="s">
        <v>184</v>
      </c>
      <c r="V315" s="2419" t="s">
        <v>30</v>
      </c>
      <c r="W315" s="112">
        <v>4438.3353749999997</v>
      </c>
      <c r="X315" s="112">
        <v>4438.3353749999997</v>
      </c>
      <c r="Y315" s="112">
        <v>4438.3353749999997</v>
      </c>
      <c r="Z315" s="112">
        <v>4438.3353749999997</v>
      </c>
      <c r="AA315" s="112">
        <v>4438.3353749999997</v>
      </c>
      <c r="AB315" s="110">
        <v>4438.34</v>
      </c>
      <c r="AC315" s="1798">
        <v>4438.34</v>
      </c>
      <c r="AD315" s="1798">
        <v>4438.34</v>
      </c>
      <c r="AE315" s="141"/>
      <c r="AF315" s="141"/>
      <c r="AG315" s="141"/>
      <c r="AH315"/>
      <c r="AI315" s="88" t="s">
        <v>180</v>
      </c>
      <c r="AJ315" s="51">
        <v>12</v>
      </c>
      <c r="AK315" s="51">
        <v>12</v>
      </c>
      <c r="AL315" s="51">
        <v>12</v>
      </c>
      <c r="AM315" s="51">
        <v>12</v>
      </c>
      <c r="AN315" s="51">
        <v>12</v>
      </c>
      <c r="AO315" s="48">
        <v>12</v>
      </c>
      <c r="AP315" s="48">
        <v>12</v>
      </c>
      <c r="AQ315" s="48">
        <v>12</v>
      </c>
      <c r="AR315" s="141"/>
      <c r="AS315" s="141"/>
      <c r="AU315" s="88" t="s">
        <v>169</v>
      </c>
      <c r="AV315" s="1692">
        <v>1783</v>
      </c>
      <c r="AW315" s="1692">
        <v>1783</v>
      </c>
      <c r="AX315" s="1692">
        <v>1783</v>
      </c>
      <c r="AY315" s="1692">
        <v>1783</v>
      </c>
      <c r="AZ315" s="1692">
        <v>1783</v>
      </c>
      <c r="BA315" s="1615">
        <v>1783</v>
      </c>
      <c r="BB315" s="1615">
        <v>1783</v>
      </c>
      <c r="BC315" s="1615">
        <v>1783</v>
      </c>
      <c r="BD315" s="141"/>
      <c r="BE315" s="141"/>
      <c r="DG315" s="41">
        <f>(DI315)/(DJ315)</f>
        <v>1.3322770082436259</v>
      </c>
      <c r="DH315" s="1580" t="str">
        <f>CONCATENATE(G315," ",J315," Year EUL")</f>
        <v>Cooking BUS 12 Year EUL</v>
      </c>
      <c r="DI315" s="58">
        <f>(INDEX('Avoided Cost Benefits'!$E$4:$E$859,MATCH(DH315,'Avoided Cost Benefits'!$A$4:$A$859,0)))*F315</f>
        <v>2242.0480469073946</v>
      </c>
      <c r="DJ315" s="1582">
        <f>K315/(1.0595^(2020-2019))</f>
        <v>1682.8692779613023</v>
      </c>
    </row>
    <row r="316" spans="2:114" hidden="1" outlineLevel="1" x14ac:dyDescent="0.35">
      <c r="E316" s="33"/>
      <c r="F316" s="33"/>
      <c r="G316" s="33"/>
      <c r="H316" s="1096"/>
      <c r="I316" s="33"/>
      <c r="J316" s="33"/>
      <c r="K316" s="33"/>
    </row>
    <row r="317" spans="2:114" hidden="1" outlineLevel="1" x14ac:dyDescent="0.35">
      <c r="D317" s="33" t="s">
        <v>2528</v>
      </c>
      <c r="E317" s="33"/>
      <c r="F317" s="33"/>
      <c r="G317" s="33"/>
      <c r="H317" s="1096"/>
      <c r="I317" s="33"/>
      <c r="J317" s="33"/>
      <c r="K317" s="33"/>
    </row>
    <row r="318" spans="2:114" hidden="1" outlineLevel="1" x14ac:dyDescent="0.35">
      <c r="D318" s="1097"/>
      <c r="G318" s="725"/>
      <c r="H318" s="1098"/>
    </row>
    <row r="319" spans="2:114" hidden="1" outlineLevel="1" x14ac:dyDescent="0.35">
      <c r="D319" s="132"/>
      <c r="G319" s="725"/>
      <c r="H319" s="1098"/>
    </row>
    <row r="320" spans="2:114" hidden="1" outlineLevel="1" x14ac:dyDescent="0.35">
      <c r="D320" s="1097"/>
      <c r="G320" s="725"/>
      <c r="H320" s="1098"/>
      <c r="M320" s="33"/>
    </row>
    <row r="321" spans="2:114" hidden="1" outlineLevel="1" x14ac:dyDescent="0.35">
      <c r="D321" s="1097"/>
      <c r="G321" s="725"/>
      <c r="H321" s="1098"/>
      <c r="M321" s="33"/>
    </row>
    <row r="322" spans="2:114" hidden="1" outlineLevel="1" x14ac:dyDescent="0.35">
      <c r="D322" s="1097"/>
      <c r="G322" s="725"/>
      <c r="H322" s="1098"/>
      <c r="M322" s="33"/>
    </row>
    <row r="323" spans="2:114" hidden="1" outlineLevel="1" x14ac:dyDescent="0.35">
      <c r="D323" s="1097"/>
      <c r="G323" s="725"/>
      <c r="H323" s="1098"/>
    </row>
    <row r="324" spans="2:114" s="34" customFormat="1" ht="16.5" hidden="1" outlineLevel="1" x14ac:dyDescent="0.35">
      <c r="C324" s="132"/>
      <c r="D324" s="2327" t="s">
        <v>27</v>
      </c>
      <c r="E324" s="2327" t="s">
        <v>2597</v>
      </c>
      <c r="F324" s="2327" t="s">
        <v>2598</v>
      </c>
      <c r="G324" s="2327" t="s">
        <v>2599</v>
      </c>
      <c r="H324" s="65" t="s">
        <v>2708</v>
      </c>
      <c r="I324" s="67" t="s">
        <v>2709</v>
      </c>
      <c r="J324" s="67" t="s">
        <v>721</v>
      </c>
      <c r="K324" s="67" t="s">
        <v>569</v>
      </c>
      <c r="L324" s="132"/>
      <c r="M324" s="350"/>
      <c r="N324" s="350"/>
      <c r="O324" s="350"/>
      <c r="P324" s="350"/>
      <c r="Q324" s="350"/>
      <c r="R324" s="350"/>
      <c r="S324" s="350"/>
      <c r="T324" s="350"/>
      <c r="U324" s="350"/>
      <c r="DE324" s="21"/>
      <c r="DF324" s="21"/>
      <c r="DG324" s="59"/>
    </row>
    <row r="325" spans="2:114" hidden="1" outlineLevel="1" x14ac:dyDescent="0.35">
      <c r="D325" s="1593" t="str">
        <f>C313</f>
        <v>802900_2019_12_</v>
      </c>
      <c r="E325" s="1593" t="str">
        <f>E313</f>
        <v>ENERGY STAR Hot Holding Cabinet (0 &lt; V &lt;13)</v>
      </c>
      <c r="F325" s="1124" t="s">
        <v>2710</v>
      </c>
      <c r="G325" s="1125">
        <v>7</v>
      </c>
      <c r="H325" s="1154">
        <f>40*G325</f>
        <v>280</v>
      </c>
      <c r="I325" s="1155">
        <f>21.5*G325</f>
        <v>150.5</v>
      </c>
      <c r="J325" s="1156">
        <v>15</v>
      </c>
      <c r="K325" s="1107">
        <v>365.25</v>
      </c>
      <c r="L325" s="725" t="s">
        <v>2711</v>
      </c>
    </row>
    <row r="326" spans="2:114" hidden="1" outlineLevel="1" x14ac:dyDescent="0.35">
      <c r="D326" s="1593" t="str">
        <f>C314</f>
        <v>802950_2019_12_</v>
      </c>
      <c r="E326" s="1593" t="str">
        <f>E314</f>
        <v>ENERGY STAR Hot Holding Cabinet (13 ≤ V &lt;28)</v>
      </c>
      <c r="F326" s="1124" t="s">
        <v>2712</v>
      </c>
      <c r="G326" s="1125">
        <v>20</v>
      </c>
      <c r="H326" s="1154">
        <f>40*G326</f>
        <v>800</v>
      </c>
      <c r="I326" s="1155">
        <f>(2*G326)+254</f>
        <v>294</v>
      </c>
      <c r="J326" s="1156">
        <v>15</v>
      </c>
      <c r="K326" s="1107">
        <v>365.25</v>
      </c>
    </row>
    <row r="327" spans="2:114" hidden="1" outlineLevel="1" x14ac:dyDescent="0.35">
      <c r="D327" s="1593" t="str">
        <f>C315</f>
        <v>803000_2019_12_</v>
      </c>
      <c r="E327" s="1593" t="str">
        <f>E315</f>
        <v>ENERGY STAR Hot Holding Cabinet (28 ≤ V)</v>
      </c>
      <c r="F327" s="1124" t="s">
        <v>2713</v>
      </c>
      <c r="G327" s="1125">
        <v>28</v>
      </c>
      <c r="H327" s="1154">
        <f>40*G327</f>
        <v>1120</v>
      </c>
      <c r="I327" s="1155">
        <f>(3.8*G327)+203.5</f>
        <v>309.89999999999998</v>
      </c>
      <c r="J327" s="1156">
        <v>15</v>
      </c>
      <c r="K327" s="1107">
        <v>365.25</v>
      </c>
    </row>
    <row r="328" spans="2:114" collapsed="1" x14ac:dyDescent="0.35"/>
    <row r="330" spans="2:114" s="33" customFormat="1" x14ac:dyDescent="0.35">
      <c r="B330" s="4548" t="s">
        <v>2714</v>
      </c>
      <c r="C330" s="4549"/>
      <c r="D330" s="4549"/>
      <c r="E330" s="4549"/>
      <c r="F330" s="4549"/>
      <c r="G330" s="4549"/>
      <c r="H330" s="4549"/>
      <c r="I330" s="4550"/>
      <c r="J330" s="4550"/>
      <c r="K330" s="4550"/>
      <c r="L330" s="4550"/>
      <c r="M330" s="4551"/>
      <c r="N330" s="4551"/>
      <c r="O330" s="4552"/>
      <c r="V330" s="2325" t="str">
        <f>B330</f>
        <v>HVAC</v>
      </c>
      <c r="W330" s="2326"/>
      <c r="X330" s="2326"/>
      <c r="Y330" s="2326"/>
      <c r="Z330" s="2326"/>
      <c r="AA330" s="2326"/>
      <c r="AB330" s="2326"/>
      <c r="AC330" s="2326"/>
      <c r="AD330" s="2326"/>
      <c r="AE330" s="2326"/>
      <c r="AF330" s="2326"/>
      <c r="AG330" s="2326"/>
      <c r="AH330" s="2326"/>
      <c r="AI330" s="2384"/>
      <c r="AJ330" s="21"/>
      <c r="AK330" s="21"/>
      <c r="AL330" s="21"/>
      <c r="AM330" s="21"/>
      <c r="AN330" s="21"/>
      <c r="AO330" s="21"/>
      <c r="AP330" s="21"/>
      <c r="AQ330" s="21"/>
      <c r="AR330" s="21"/>
      <c r="AS330" s="21"/>
      <c r="AT330" s="21"/>
      <c r="AU330" s="21"/>
      <c r="DE330" s="21"/>
      <c r="DF330" s="21"/>
      <c r="DG330" s="60"/>
    </row>
    <row r="331" spans="2:114" x14ac:dyDescent="0.35">
      <c r="D331" s="1085"/>
      <c r="E331" s="33"/>
      <c r="F331" s="33"/>
      <c r="G331" s="33"/>
      <c r="H331" s="1086"/>
      <c r="I331" s="33"/>
      <c r="J331" s="33"/>
      <c r="K331" s="33"/>
      <c r="L331" s="33"/>
      <c r="P331" s="33"/>
      <c r="Q331" s="33"/>
      <c r="R331" s="33"/>
      <c r="S331" s="33"/>
      <c r="T331" s="33"/>
      <c r="U331" s="33"/>
      <c r="V331"/>
      <c r="W331"/>
      <c r="X331"/>
      <c r="Y331"/>
      <c r="Z331"/>
      <c r="AA331"/>
      <c r="AB331"/>
      <c r="AC331"/>
      <c r="AD331"/>
      <c r="AE331"/>
      <c r="AF331"/>
      <c r="AG331"/>
      <c r="AH331"/>
      <c r="AI331"/>
      <c r="AJ331" s="31"/>
      <c r="AK331" s="31"/>
      <c r="AL331" s="31"/>
      <c r="AM331" s="31"/>
      <c r="AN331" s="31"/>
      <c r="AO331" s="31"/>
      <c r="AP331" s="31"/>
      <c r="AQ331" s="31"/>
      <c r="AR331" s="31"/>
      <c r="AS331" s="31"/>
      <c r="AT331" s="31"/>
      <c r="AU331" s="31"/>
      <c r="DG331" s="3581" t="s">
        <v>4475</v>
      </c>
    </row>
    <row r="332" spans="2:114" s="34" customFormat="1" ht="43.5" x14ac:dyDescent="0.35">
      <c r="B332" s="31"/>
      <c r="C332" s="35" t="s">
        <v>27</v>
      </c>
      <c r="D332" s="35" t="s">
        <v>28</v>
      </c>
      <c r="E332" s="2399" t="s">
        <v>29</v>
      </c>
      <c r="F332" s="2399" t="s">
        <v>2715</v>
      </c>
      <c r="G332" s="2399" t="s">
        <v>2716</v>
      </c>
      <c r="H332" s="2399" t="s">
        <v>2717</v>
      </c>
      <c r="I332" s="2399" t="s">
        <v>175</v>
      </c>
      <c r="J332" s="2399" t="s">
        <v>175</v>
      </c>
      <c r="K332" s="36" t="s">
        <v>176</v>
      </c>
      <c r="L332" s="2399" t="s">
        <v>31</v>
      </c>
      <c r="M332" s="2399" t="s">
        <v>180</v>
      </c>
      <c r="N332" s="35" t="s">
        <v>169</v>
      </c>
      <c r="O332" s="35" t="s">
        <v>43</v>
      </c>
      <c r="P332" s="1157"/>
      <c r="Q332" s="1158"/>
      <c r="R332" s="350"/>
      <c r="S332" s="350"/>
      <c r="T332" s="350"/>
      <c r="U332" s="350"/>
      <c r="V332" s="1572" t="s">
        <v>44</v>
      </c>
      <c r="W332" s="1573">
        <f>$W$8</f>
        <v>43252</v>
      </c>
      <c r="X332" s="1573">
        <f>$X$8</f>
        <v>43465</v>
      </c>
      <c r="Y332" s="1573">
        <f>$Y$8</f>
        <v>43800</v>
      </c>
      <c r="Z332" s="1573">
        <f>$Z$8</f>
        <v>43862</v>
      </c>
      <c r="AA332" s="1573">
        <f>$AA$8</f>
        <v>44013</v>
      </c>
      <c r="AB332" s="1573">
        <v>44166</v>
      </c>
      <c r="AC332" s="1573">
        <f>$AC$8</f>
        <v>44531</v>
      </c>
      <c r="AD332" s="1573">
        <f>$AD$8</f>
        <v>44774</v>
      </c>
      <c r="AE332" s="1573" t="str">
        <f>$AE$8</f>
        <v>-</v>
      </c>
      <c r="AF332" s="1573" t="str">
        <f>$AF$8</f>
        <v>-</v>
      </c>
      <c r="AG332" s="1573" t="str">
        <f>$AG$8</f>
        <v>-</v>
      </c>
      <c r="AH332"/>
      <c r="AI332" s="1572" t="s">
        <v>44</v>
      </c>
      <c r="AJ332" s="1573">
        <v>43252</v>
      </c>
      <c r="AK332" s="1573">
        <f>$X$8</f>
        <v>43465</v>
      </c>
      <c r="AL332" s="1573">
        <f>$Y$8</f>
        <v>43800</v>
      </c>
      <c r="AM332" s="1573">
        <f>$Z$8</f>
        <v>43862</v>
      </c>
      <c r="AN332" s="1573">
        <f>$AA$8</f>
        <v>44013</v>
      </c>
      <c r="AO332" s="1573">
        <f>$AB$8</f>
        <v>44166</v>
      </c>
      <c r="AP332" s="1573">
        <f>$AC$8</f>
        <v>44531</v>
      </c>
      <c r="AQ332" s="1573">
        <f>$AD$8</f>
        <v>44774</v>
      </c>
      <c r="AR332" s="1573" t="str">
        <f>$AE$8</f>
        <v>-</v>
      </c>
      <c r="AS332" s="1573" t="str">
        <f>$AF$8</f>
        <v>-</v>
      </c>
      <c r="AT332"/>
      <c r="AU332" s="1572" t="s">
        <v>44</v>
      </c>
      <c r="AV332" s="1573">
        <v>43252</v>
      </c>
      <c r="AW332" s="1573">
        <f>$X$8</f>
        <v>43465</v>
      </c>
      <c r="AX332" s="1573">
        <f>$Y$8</f>
        <v>43800</v>
      </c>
      <c r="AY332" s="1573">
        <f>$Z$8</f>
        <v>43862</v>
      </c>
      <c r="AZ332" s="1573">
        <f>$AA$8</f>
        <v>44013</v>
      </c>
      <c r="BA332" s="1573">
        <v>44166</v>
      </c>
      <c r="BB332" s="1573">
        <f>$AC$8</f>
        <v>44531</v>
      </c>
      <c r="BC332" s="1573">
        <f>$AD$8</f>
        <v>44774</v>
      </c>
      <c r="BD332" s="1573" t="str">
        <f>$AE$8</f>
        <v>-</v>
      </c>
      <c r="BE332" s="1573" t="str">
        <f>$AF$8</f>
        <v>-</v>
      </c>
      <c r="BF332"/>
      <c r="BG332" s="1572" t="s">
        <v>44</v>
      </c>
      <c r="BH332" s="1573">
        <v>43252</v>
      </c>
      <c r="BI332" s="1573">
        <f>$X$8</f>
        <v>43465</v>
      </c>
      <c r="BJ332" s="1573">
        <f>$Y$8</f>
        <v>43800</v>
      </c>
      <c r="BK332" s="1573">
        <f>$Z$8</f>
        <v>43862</v>
      </c>
      <c r="BL332" s="1573">
        <f>$AA$8</f>
        <v>44013</v>
      </c>
      <c r="BM332" s="1573">
        <v>44166</v>
      </c>
      <c r="BN332" s="1573">
        <f>$AC$8</f>
        <v>44531</v>
      </c>
      <c r="BO332" s="1573">
        <f>$AD$8</f>
        <v>44774</v>
      </c>
      <c r="BP332" s="1573" t="str">
        <f>$AE$8</f>
        <v>-</v>
      </c>
      <c r="BQ332" s="1573" t="str">
        <f>$AF$8</f>
        <v>-</v>
      </c>
      <c r="BR332" s="21"/>
      <c r="BS332" s="21"/>
      <c r="BT332" s="1572" t="s">
        <v>44</v>
      </c>
      <c r="BU332" s="1573">
        <v>43252</v>
      </c>
      <c r="BV332" s="1573">
        <f>$X$8</f>
        <v>43465</v>
      </c>
      <c r="BW332" s="1573">
        <f>$Y$8</f>
        <v>43800</v>
      </c>
      <c r="BX332" s="1573">
        <f>$Z$8</f>
        <v>43862</v>
      </c>
      <c r="BY332" s="1573">
        <f>$AA$8</f>
        <v>44013</v>
      </c>
      <c r="BZ332" s="1573">
        <f>$AB$8</f>
        <v>44166</v>
      </c>
      <c r="CA332" s="1573">
        <f>$AC$8</f>
        <v>44531</v>
      </c>
      <c r="CB332" s="1573">
        <f>$AD$8</f>
        <v>44774</v>
      </c>
      <c r="CC332" s="1573" t="str">
        <f>$AE$8</f>
        <v>-</v>
      </c>
      <c r="CD332" s="1573" t="str">
        <f>$AF$8</f>
        <v>-</v>
      </c>
      <c r="DE332" s="21"/>
      <c r="DF332" s="21"/>
      <c r="DG332" s="1574" t="str">
        <f>$DG$8</f>
        <v>TRC (2022)</v>
      </c>
      <c r="DH332" s="1584" t="str">
        <f>$DH$8</f>
        <v>Benefit Lookup</v>
      </c>
      <c r="DI332" s="1584" t="str">
        <f>$DI$8</f>
        <v>Benefits (2019 $)</v>
      </c>
      <c r="DJ332" s="1584" t="str">
        <f>$DJ$8</f>
        <v>Incremental Cost (2019 $)</v>
      </c>
    </row>
    <row r="333" spans="2:114" ht="29" x14ac:dyDescent="0.35">
      <c r="C333" s="1614" t="s">
        <v>2718</v>
      </c>
      <c r="D333" s="1106" t="s">
        <v>2485</v>
      </c>
      <c r="E333" s="1159" t="s">
        <v>2719</v>
      </c>
      <c r="F333" s="965">
        <f>ROUND((1/F343)*G343*(H343/1000)*I343,2)</f>
        <v>205.34</v>
      </c>
      <c r="G333" s="51">
        <f>J343*(L343/(K343*3412))*M343</f>
        <v>233.00117233294256</v>
      </c>
      <c r="H333" s="51">
        <f>SUM(F333:G333)</f>
        <v>438.34117233294256</v>
      </c>
      <c r="I333" s="1087" t="s">
        <v>2720</v>
      </c>
      <c r="J333" s="1087" t="s">
        <v>2721</v>
      </c>
      <c r="K333" s="1088">
        <v>9.1068395835808389E-4</v>
      </c>
      <c r="L333" s="1160">
        <f>ROUND(K333*F333,6)</f>
        <v>0.187</v>
      </c>
      <c r="M333" s="1146">
        <v>10</v>
      </c>
      <c r="N333" s="1123">
        <v>224</v>
      </c>
      <c r="O333" s="1089" t="s">
        <v>184</v>
      </c>
      <c r="V333" s="88" t="str">
        <f>F332</f>
        <v>Cooling kWh Annual Savings (per Ton)</v>
      </c>
      <c r="W333" s="112">
        <v>205.33500000000004</v>
      </c>
      <c r="X333" s="112">
        <v>205.33500000000004</v>
      </c>
      <c r="Y333" s="112">
        <v>205.33500000000004</v>
      </c>
      <c r="Z333" s="112">
        <v>205.33500000000004</v>
      </c>
      <c r="AA333" s="112">
        <v>205.33500000000004</v>
      </c>
      <c r="AB333" s="110">
        <v>205.34</v>
      </c>
      <c r="AC333" s="1516">
        <v>205.34</v>
      </c>
      <c r="AD333" s="3482">
        <v>205.34</v>
      </c>
      <c r="AE333" s="141"/>
      <c r="AF333" s="141"/>
      <c r="AG333" s="141"/>
      <c r="AH333"/>
      <c r="AI333" s="88" t="str">
        <f>G332</f>
        <v>Heating kWh Annual Savings (per ton)</v>
      </c>
      <c r="AJ333" s="112">
        <v>233.00117233294256</v>
      </c>
      <c r="AK333" s="112">
        <v>233.00117233294256</v>
      </c>
      <c r="AL333" s="112">
        <v>233.00117233294256</v>
      </c>
      <c r="AM333" s="112">
        <v>233.00117233294256</v>
      </c>
      <c r="AN333" s="112">
        <v>233.00117233294256</v>
      </c>
      <c r="AO333" s="1518">
        <v>233.00117233294256</v>
      </c>
      <c r="AP333" s="110">
        <v>233</v>
      </c>
      <c r="AQ333" s="109">
        <v>233</v>
      </c>
      <c r="AR333" s="141"/>
      <c r="AS333" s="141"/>
      <c r="AT333"/>
      <c r="AU333" s="88" t="str">
        <f>H332</f>
        <v>Total kWh Annual Savings</v>
      </c>
      <c r="AV333" s="112">
        <v>438.33617233294262</v>
      </c>
      <c r="AW333" s="112">
        <v>438.33617233294262</v>
      </c>
      <c r="AX333" s="112">
        <v>438.33617233294262</v>
      </c>
      <c r="AY333" s="112">
        <v>438.33617233294262</v>
      </c>
      <c r="AZ333" s="112">
        <v>438.33617233294262</v>
      </c>
      <c r="BA333" s="112">
        <v>438.34117233294256</v>
      </c>
      <c r="BB333" s="112">
        <v>438.34117233294256</v>
      </c>
      <c r="BC333" s="112">
        <v>438.34117233294256</v>
      </c>
      <c r="BD333" s="141"/>
      <c r="BE333" s="141"/>
      <c r="BF333"/>
      <c r="BG333" s="88" t="s">
        <v>180</v>
      </c>
      <c r="BH333" s="51">
        <v>10</v>
      </c>
      <c r="BI333" s="51">
        <v>10</v>
      </c>
      <c r="BJ333" s="51">
        <v>10</v>
      </c>
      <c r="BK333" s="51">
        <v>10</v>
      </c>
      <c r="BL333" s="51">
        <v>10</v>
      </c>
      <c r="BM333" s="110">
        <v>10</v>
      </c>
      <c r="BN333" s="110">
        <v>10</v>
      </c>
      <c r="BO333" s="110">
        <v>10</v>
      </c>
      <c r="BP333" s="141"/>
      <c r="BQ333" s="141"/>
      <c r="BT333" s="88" t="str">
        <f>N332</f>
        <v>Inc. Cost</v>
      </c>
      <c r="BU333" s="1692">
        <v>224</v>
      </c>
      <c r="BV333" s="1692">
        <v>224</v>
      </c>
      <c r="BW333" s="1692">
        <v>224</v>
      </c>
      <c r="BX333" s="1692">
        <v>224</v>
      </c>
      <c r="BY333" s="1692">
        <v>224</v>
      </c>
      <c r="BZ333" s="1692">
        <v>224</v>
      </c>
      <c r="CA333" s="1692">
        <v>224</v>
      </c>
      <c r="CB333" s="1692">
        <v>224</v>
      </c>
      <c r="CC333" s="141"/>
      <c r="CD333" s="141"/>
      <c r="DG333" s="1585">
        <f>(DI333)/(DJ333)</f>
        <v>0.97083868124598272</v>
      </c>
      <c r="DH333" s="2381" t="str">
        <f>CONCATENATE(I333," ",M333," Year EUL")</f>
        <v>Cooling BUS 10 Year EUL</v>
      </c>
      <c r="DI333" s="1586">
        <f>(INDEX('Avoided Cost Benefits'!$E$4:$E$859,MATCH(DH333,'Avoided Cost Benefits'!$A$4:$A$859,0)))*F333</f>
        <v>205.25518131109024</v>
      </c>
      <c r="DJ333" s="1587">
        <f>N333/(1.0595^(2020-2019))</f>
        <v>211.42048135913166</v>
      </c>
    </row>
    <row r="334" spans="2:114" hidden="1" outlineLevel="1" x14ac:dyDescent="0.35">
      <c r="E334" s="33"/>
      <c r="F334" s="33"/>
      <c r="G334" s="33"/>
      <c r="H334" s="1096"/>
      <c r="I334" s="33"/>
      <c r="J334" s="33"/>
      <c r="K334" s="33"/>
    </row>
    <row r="335" spans="2:114" hidden="1" outlineLevel="1" x14ac:dyDescent="0.35">
      <c r="D335" s="33" t="s">
        <v>2528</v>
      </c>
      <c r="E335" s="33"/>
      <c r="F335" s="33"/>
      <c r="G335" s="33"/>
      <c r="H335" s="1096"/>
      <c r="I335" s="33"/>
      <c r="J335" s="33"/>
      <c r="K335" s="33"/>
    </row>
    <row r="336" spans="2:114" hidden="1" outlineLevel="1" x14ac:dyDescent="0.35">
      <c r="D336" s="1097"/>
      <c r="G336" s="725"/>
      <c r="H336" s="1098"/>
    </row>
    <row r="337" spans="2:114" hidden="1" outlineLevel="1" x14ac:dyDescent="0.35">
      <c r="D337" s="1097"/>
      <c r="G337" s="725"/>
      <c r="H337" s="1098"/>
    </row>
    <row r="338" spans="2:114" hidden="1" outlineLevel="1" x14ac:dyDescent="0.35">
      <c r="D338" s="1097"/>
      <c r="G338" s="725"/>
      <c r="H338" s="1098"/>
      <c r="M338" s="33"/>
    </row>
    <row r="339" spans="2:114" hidden="1" outlineLevel="1" x14ac:dyDescent="0.35">
      <c r="D339" s="1097"/>
      <c r="G339" s="725"/>
      <c r="H339" s="1098"/>
      <c r="M339" s="33"/>
    </row>
    <row r="340" spans="2:114" hidden="1" outlineLevel="1" x14ac:dyDescent="0.35">
      <c r="D340" s="1097"/>
      <c r="G340" s="725"/>
      <c r="H340" s="1098"/>
      <c r="M340" s="33"/>
    </row>
    <row r="341" spans="2:114" hidden="1" outlineLevel="1" x14ac:dyDescent="0.35">
      <c r="D341" s="1097"/>
      <c r="G341" s="725"/>
      <c r="H341" s="1098"/>
    </row>
    <row r="342" spans="2:114" s="34" customFormat="1" hidden="1" outlineLevel="1" x14ac:dyDescent="0.35">
      <c r="C342" s="132"/>
      <c r="D342" s="2327" t="s">
        <v>27</v>
      </c>
      <c r="E342" s="2327" t="s">
        <v>2597</v>
      </c>
      <c r="F342" s="70" t="s">
        <v>2722</v>
      </c>
      <c r="G342" s="2327" t="s">
        <v>2723</v>
      </c>
      <c r="H342" s="2327" t="s">
        <v>2724</v>
      </c>
      <c r="I342" s="2327" t="s">
        <v>2725</v>
      </c>
      <c r="J342" s="70" t="s">
        <v>2726</v>
      </c>
      <c r="K342" s="70" t="s">
        <v>2727</v>
      </c>
      <c r="L342" s="2327" t="s">
        <v>2728</v>
      </c>
      <c r="M342" s="2327" t="s">
        <v>2729</v>
      </c>
      <c r="N342" s="350"/>
      <c r="O342" s="350"/>
      <c r="P342" s="350"/>
      <c r="Q342" s="350"/>
      <c r="R342" s="350"/>
      <c r="S342" s="350"/>
      <c r="T342" s="350"/>
      <c r="U342" s="350"/>
      <c r="DE342" s="21"/>
      <c r="DF342" s="21"/>
      <c r="DG342" s="59"/>
    </row>
    <row r="343" spans="2:114" hidden="1" outlineLevel="1" x14ac:dyDescent="0.35">
      <c r="D343" s="1593" t="str">
        <f>C333</f>
        <v>803050_2019_12_</v>
      </c>
      <c r="E343" s="1593" t="str">
        <f>E333</f>
        <v>Learning Thermostat</v>
      </c>
      <c r="F343" s="1161">
        <v>10</v>
      </c>
      <c r="G343" s="1148">
        <v>1053</v>
      </c>
      <c r="H343" s="1162">
        <v>12000</v>
      </c>
      <c r="I343" s="1163">
        <v>0.16250000000000001</v>
      </c>
      <c r="J343" s="1148">
        <v>1060</v>
      </c>
      <c r="K343" s="1145">
        <v>2</v>
      </c>
      <c r="L343" s="1162">
        <v>12000</v>
      </c>
      <c r="M343" s="1163">
        <v>0.125</v>
      </c>
    </row>
    <row r="344" spans="2:114" collapsed="1" x14ac:dyDescent="0.35"/>
    <row r="346" spans="2:114" s="34" customFormat="1" ht="29" x14ac:dyDescent="0.35">
      <c r="B346" s="31"/>
      <c r="C346" s="35" t="s">
        <v>27</v>
      </c>
      <c r="D346" s="35" t="s">
        <v>28</v>
      </c>
      <c r="E346" s="2399" t="s">
        <v>29</v>
      </c>
      <c r="F346" s="2399" t="s">
        <v>2671</v>
      </c>
      <c r="G346" s="2399" t="s">
        <v>175</v>
      </c>
      <c r="H346" s="2399" t="s">
        <v>176</v>
      </c>
      <c r="I346" s="2399" t="s">
        <v>31</v>
      </c>
      <c r="J346" s="2399" t="s">
        <v>180</v>
      </c>
      <c r="K346" s="2399" t="s">
        <v>2730</v>
      </c>
      <c r="L346" s="35" t="s">
        <v>43</v>
      </c>
      <c r="M346" s="725"/>
      <c r="N346" s="725"/>
      <c r="O346" s="725"/>
      <c r="P346" s="350"/>
      <c r="Q346" s="350"/>
      <c r="R346" s="350"/>
      <c r="S346" s="350"/>
      <c r="T346" s="350"/>
      <c r="U346" s="350"/>
      <c r="V346" s="1572" t="s">
        <v>44</v>
      </c>
      <c r="W346" s="1573">
        <f>$W$8</f>
        <v>43252</v>
      </c>
      <c r="X346" s="1573">
        <f>$X$8</f>
        <v>43465</v>
      </c>
      <c r="Y346" s="1573">
        <f>$Y$8</f>
        <v>43800</v>
      </c>
      <c r="Z346" s="1573">
        <f>$Z$8</f>
        <v>43862</v>
      </c>
      <c r="AA346" s="1573">
        <f>$AA$8</f>
        <v>44013</v>
      </c>
      <c r="AB346" s="1573">
        <v>44166</v>
      </c>
      <c r="AC346" s="1573">
        <f>$AC$8</f>
        <v>44531</v>
      </c>
      <c r="AD346" s="1573">
        <f>$AD$8</f>
        <v>44774</v>
      </c>
      <c r="AE346" s="1573" t="str">
        <f>$AE$8</f>
        <v>-</v>
      </c>
      <c r="AF346" s="1573" t="str">
        <f>$AF$8</f>
        <v>-</v>
      </c>
      <c r="AG346" s="1573" t="str">
        <f>$AG$8</f>
        <v>-</v>
      </c>
      <c r="AH346"/>
      <c r="AI346" s="1572" t="s">
        <v>44</v>
      </c>
      <c r="AJ346" s="1573">
        <v>43252</v>
      </c>
      <c r="AK346" s="1573">
        <f>$X$8</f>
        <v>43465</v>
      </c>
      <c r="AL346" s="1573">
        <f>$Y$8</f>
        <v>43800</v>
      </c>
      <c r="AM346" s="1573">
        <f>$Z$8</f>
        <v>43862</v>
      </c>
      <c r="AN346" s="1573">
        <f>$AA$8</f>
        <v>44013</v>
      </c>
      <c r="AO346" s="1573">
        <f>$AB$8</f>
        <v>44166</v>
      </c>
      <c r="AP346" s="1573">
        <f>$AC$8</f>
        <v>44531</v>
      </c>
      <c r="AQ346" s="1573">
        <f>$AD$8</f>
        <v>44774</v>
      </c>
      <c r="AR346" s="1573" t="str">
        <f>$AE$8</f>
        <v>-</v>
      </c>
      <c r="AS346" s="1573" t="str">
        <f>$AF$8</f>
        <v>-</v>
      </c>
      <c r="AT346" s="21"/>
      <c r="AU346" s="1572" t="s">
        <v>44</v>
      </c>
      <c r="AV346" s="1573">
        <v>43252</v>
      </c>
      <c r="AW346" s="1573">
        <f>$X$8</f>
        <v>43465</v>
      </c>
      <c r="AX346" s="1573">
        <f>$Y$8</f>
        <v>43800</v>
      </c>
      <c r="AY346" s="1573">
        <f>$Z$8</f>
        <v>43862</v>
      </c>
      <c r="AZ346" s="1573">
        <f>$AA$8</f>
        <v>44013</v>
      </c>
      <c r="BA346" s="1573">
        <v>44166</v>
      </c>
      <c r="BB346" s="1573">
        <f>$AC$8</f>
        <v>44531</v>
      </c>
      <c r="BC346" s="1573">
        <f>$AD$8</f>
        <v>44774</v>
      </c>
      <c r="BD346" s="1573" t="str">
        <f>$AE$8</f>
        <v>-</v>
      </c>
      <c r="BE346" s="1573" t="str">
        <f>$AF$8</f>
        <v>-</v>
      </c>
      <c r="DE346" s="21"/>
      <c r="DF346" s="21"/>
      <c r="DG346" s="1574" t="str">
        <f>$DG$8</f>
        <v>TRC (2022)</v>
      </c>
      <c r="DH346" s="1584" t="str">
        <f>$DH$8</f>
        <v>Benefit Lookup</v>
      </c>
      <c r="DI346" s="1584" t="str">
        <f>$DI$8</f>
        <v>Benefits (2019 $)</v>
      </c>
      <c r="DJ346" s="1584" t="str">
        <f>$DJ$8</f>
        <v>Incremental Cost (2019 $)</v>
      </c>
    </row>
    <row r="347" spans="2:114" x14ac:dyDescent="0.35">
      <c r="C347" s="1614" t="s">
        <v>2731</v>
      </c>
      <c r="D347" s="1106" t="s">
        <v>2485</v>
      </c>
      <c r="E347" s="1159" t="s">
        <v>2732</v>
      </c>
      <c r="F347" s="51">
        <f>ROUND((F360/G360)*H360*I360,2)</f>
        <v>1289.6400000000001</v>
      </c>
      <c r="G347" s="1087" t="s">
        <v>2720</v>
      </c>
      <c r="H347" s="1088">
        <f>VLOOKUP(G347,'CP FACTORS'!$A$26:$B$38,2,FALSE)</f>
        <v>9.1068400000000004E-4</v>
      </c>
      <c r="I347" s="1106">
        <f>ROUND(H347*F347,6)</f>
        <v>1.174455</v>
      </c>
      <c r="J347" s="1146">
        <v>15</v>
      </c>
      <c r="K347" s="1107">
        <v>179</v>
      </c>
      <c r="L347" s="1164" t="s">
        <v>2733</v>
      </c>
      <c r="V347" s="2419" t="str">
        <f>F346</f>
        <v>kWh Annual Savings (per HP)</v>
      </c>
      <c r="W347" s="112">
        <v>1289.6420430107526</v>
      </c>
      <c r="X347" s="112">
        <v>1289.6420430107526</v>
      </c>
      <c r="Y347" s="112">
        <v>1289.6420430107526</v>
      </c>
      <c r="Z347" s="112">
        <v>1289.6420430107526</v>
      </c>
      <c r="AA347" s="112">
        <v>1289.6420430107526</v>
      </c>
      <c r="AB347" s="110">
        <v>1289.6400000000001</v>
      </c>
      <c r="AC347" s="1798">
        <v>1289.6400000000001</v>
      </c>
      <c r="AD347" s="1798">
        <v>1289.6400000000001</v>
      </c>
      <c r="AE347" s="141"/>
      <c r="AF347" s="141"/>
      <c r="AG347" s="141"/>
      <c r="AH347"/>
      <c r="AI347" s="2419" t="s">
        <v>180</v>
      </c>
      <c r="AJ347" s="1576">
        <v>15</v>
      </c>
      <c r="AK347" s="1576">
        <v>15</v>
      </c>
      <c r="AL347" s="1576">
        <v>15</v>
      </c>
      <c r="AM347" s="1576">
        <v>15</v>
      </c>
      <c r="AN347" s="1576">
        <v>15</v>
      </c>
      <c r="AO347" s="1518">
        <v>15</v>
      </c>
      <c r="AP347" s="1518">
        <v>15</v>
      </c>
      <c r="AQ347" s="1518">
        <v>15</v>
      </c>
      <c r="AR347" s="141"/>
      <c r="AS347" s="141"/>
      <c r="AU347" s="2419" t="str">
        <f>K346</f>
        <v>Inc. Cost (per HP)</v>
      </c>
      <c r="AV347" s="1588">
        <v>179</v>
      </c>
      <c r="AW347" s="1588">
        <v>179</v>
      </c>
      <c r="AX347" s="1588">
        <v>179</v>
      </c>
      <c r="AY347" s="1588">
        <v>179</v>
      </c>
      <c r="AZ347" s="1588">
        <v>179</v>
      </c>
      <c r="BA347" s="1615">
        <v>179</v>
      </c>
      <c r="BB347" s="1615">
        <v>179</v>
      </c>
      <c r="BC347" s="1615">
        <v>179</v>
      </c>
      <c r="BD347" s="141"/>
      <c r="BE347" s="141"/>
      <c r="DG347" s="1578">
        <f>(DI347)/(DJ347)</f>
        <v>10.862720984510501</v>
      </c>
      <c r="DH347" s="2381" t="str">
        <f>CONCATENATE(G347," ",J347," Year EUL")</f>
        <v>Cooling BUS 15 Year EUL</v>
      </c>
      <c r="DI347" s="56">
        <f>(INDEX('Avoided Cost Benefits'!$E$4:$E$859,MATCH(DH347,'Avoided Cost Benefits'!$A$4:$A$859,0)))*F347</f>
        <v>1835.2308223004998</v>
      </c>
      <c r="DJ347" s="1579">
        <f>K347/(1.0595^(2020-2019))</f>
        <v>168.94761680037752</v>
      </c>
    </row>
    <row r="348" spans="2:114" x14ac:dyDescent="0.35">
      <c r="C348" s="1614" t="s">
        <v>2734</v>
      </c>
      <c r="D348" s="1106" t="s">
        <v>2485</v>
      </c>
      <c r="E348" s="1159" t="s">
        <v>2735</v>
      </c>
      <c r="F348" s="51">
        <f>ROUND((F361/G361)*H361*I361,2)</f>
        <v>1696.57</v>
      </c>
      <c r="G348" s="1087" t="s">
        <v>2736</v>
      </c>
      <c r="H348" s="1088">
        <f>VLOOKUP(G348,'CP FACTORS'!$A$26:$B$38,2,FALSE)</f>
        <v>4.4398300000000001E-4</v>
      </c>
      <c r="I348" s="1106">
        <f>ROUND(H348*F348,6)</f>
        <v>0.75324800000000003</v>
      </c>
      <c r="J348" s="1146">
        <v>15</v>
      </c>
      <c r="K348" s="1107">
        <f>K347</f>
        <v>179</v>
      </c>
      <c r="L348" s="1164" t="s">
        <v>2733</v>
      </c>
      <c r="V348" s="2419" t="str">
        <f>V347</f>
        <v>kWh Annual Savings (per HP)</v>
      </c>
      <c r="W348" s="112">
        <v>1696.5749462365593</v>
      </c>
      <c r="X348" s="112">
        <v>1696.5749462365593</v>
      </c>
      <c r="Y348" s="112">
        <v>1696.5749462365593</v>
      </c>
      <c r="Z348" s="112">
        <v>1696.5749462365593</v>
      </c>
      <c r="AA348" s="112">
        <v>1696.5749462365593</v>
      </c>
      <c r="AB348" s="110">
        <v>1696.57</v>
      </c>
      <c r="AC348" s="1798">
        <v>1696.57</v>
      </c>
      <c r="AD348" s="1798">
        <v>1696.57</v>
      </c>
      <c r="AE348" s="141"/>
      <c r="AF348" s="141"/>
      <c r="AG348" s="141"/>
      <c r="AH348"/>
      <c r="AI348" s="2419" t="s">
        <v>180</v>
      </c>
      <c r="AJ348" s="1576">
        <v>15</v>
      </c>
      <c r="AK348" s="1576">
        <v>15</v>
      </c>
      <c r="AL348" s="1576">
        <v>15</v>
      </c>
      <c r="AM348" s="1576">
        <v>15</v>
      </c>
      <c r="AN348" s="1576">
        <v>15</v>
      </c>
      <c r="AO348" s="1518">
        <v>15</v>
      </c>
      <c r="AP348" s="1518">
        <v>15</v>
      </c>
      <c r="AQ348" s="1518">
        <v>15</v>
      </c>
      <c r="AR348" s="141"/>
      <c r="AS348" s="141"/>
      <c r="AU348" s="2419" t="str">
        <f>AU347</f>
        <v>Inc. Cost (per HP)</v>
      </c>
      <c r="AV348" s="1588">
        <f>AV347</f>
        <v>179</v>
      </c>
      <c r="AW348" s="1588">
        <f>AW347</f>
        <v>179</v>
      </c>
      <c r="AX348" s="1588">
        <v>179</v>
      </c>
      <c r="AY348" s="1588">
        <v>179</v>
      </c>
      <c r="AZ348" s="1588">
        <v>179</v>
      </c>
      <c r="BA348" s="1615">
        <v>179</v>
      </c>
      <c r="BB348" s="1615">
        <v>179</v>
      </c>
      <c r="BC348" s="1615">
        <v>179</v>
      </c>
      <c r="BD348" s="141"/>
      <c r="BE348" s="141"/>
      <c r="DG348" s="41">
        <f>(DI348)/(DJ348)</f>
        <v>9.0060153182308493</v>
      </c>
      <c r="DH348" s="1580" t="str">
        <f>CONCATENATE(G348," ",J348," Year EUL")</f>
        <v>HVAC BUS 15 Year EUL</v>
      </c>
      <c r="DI348" s="58">
        <f>(INDEX('Avoided Cost Benefits'!$E$4:$E$859,MATCH(DH348,'Avoided Cost Benefits'!$A$4:$A$859,0)))*F348</f>
        <v>1521.5448248827954</v>
      </c>
      <c r="DJ348" s="1582">
        <f>K348/(1.0595^(2020-2019))</f>
        <v>168.94761680037752</v>
      </c>
    </row>
    <row r="349" spans="2:114" x14ac:dyDescent="0.35">
      <c r="C349" s="1614" t="s">
        <v>2737</v>
      </c>
      <c r="D349" s="1106" t="s">
        <v>2485</v>
      </c>
      <c r="E349" s="1159" t="s">
        <v>2738</v>
      </c>
      <c r="F349" s="51">
        <f t="shared" ref="F349:F350" si="149">ROUND((F362/G362)*H362*I362,2)</f>
        <v>1289.6400000000001</v>
      </c>
      <c r="G349" s="1087" t="s">
        <v>2720</v>
      </c>
      <c r="H349" s="1088">
        <f>VLOOKUP(G349,'CP FACTORS'!$A$26:$B$38,2,FALSE)</f>
        <v>9.1068400000000004E-4</v>
      </c>
      <c r="I349" s="1106">
        <f t="shared" ref="I349:I350" si="150">ROUND(H349*F349,6)</f>
        <v>1.174455</v>
      </c>
      <c r="J349" s="1146">
        <v>15</v>
      </c>
      <c r="K349" s="1107">
        <v>179</v>
      </c>
      <c r="L349" s="1164" t="s">
        <v>2733</v>
      </c>
      <c r="V349" s="2419" t="str">
        <f t="shared" ref="V349:V350" si="151">V348</f>
        <v>kWh Annual Savings (per HP)</v>
      </c>
      <c r="W349" s="112"/>
      <c r="X349" s="112"/>
      <c r="Y349" s="112"/>
      <c r="Z349" s="141"/>
      <c r="AA349" s="1589">
        <v>1289.6400000000001</v>
      </c>
      <c r="AB349" s="110">
        <v>1289.6400000000001</v>
      </c>
      <c r="AC349" s="1798">
        <v>1289.6400000000001</v>
      </c>
      <c r="AD349" s="1798">
        <v>1289.6400000000001</v>
      </c>
      <c r="AE349" s="141"/>
      <c r="AF349" s="141"/>
      <c r="AG349" s="141"/>
      <c r="AH349"/>
      <c r="AI349" s="2419" t="s">
        <v>180</v>
      </c>
      <c r="AJ349" s="1576"/>
      <c r="AK349" s="1576"/>
      <c r="AL349" s="1576"/>
      <c r="AM349" s="141"/>
      <c r="AN349" s="85">
        <v>15</v>
      </c>
      <c r="AO349" s="1518">
        <v>15</v>
      </c>
      <c r="AP349" s="1518">
        <v>15</v>
      </c>
      <c r="AQ349" s="1518">
        <v>15</v>
      </c>
      <c r="AR349" s="141"/>
      <c r="AS349" s="141"/>
      <c r="AU349" s="2419" t="str">
        <f t="shared" ref="AU349:AU350" si="152">AU348</f>
        <v>Inc. Cost (per HP)</v>
      </c>
      <c r="AV349" s="1588"/>
      <c r="AW349" s="1588"/>
      <c r="AX349" s="1588"/>
      <c r="AY349" s="141"/>
      <c r="AZ349" s="1571">
        <v>179</v>
      </c>
      <c r="BA349" s="1615">
        <v>179</v>
      </c>
      <c r="BB349" s="1615">
        <v>179</v>
      </c>
      <c r="BC349" s="1615">
        <v>179</v>
      </c>
      <c r="BD349" s="141"/>
      <c r="BE349" s="141"/>
      <c r="DG349" s="1578">
        <f>(DI349)/(DJ349)</f>
        <v>10.862720984510501</v>
      </c>
      <c r="DH349" s="2381" t="str">
        <f>CONCATENATE(G349," ",J349," Year EUL")</f>
        <v>Cooling BUS 15 Year EUL</v>
      </c>
      <c r="DI349" s="56">
        <f>(INDEX('Avoided Cost Benefits'!$E$4:$E$859,MATCH(DH349,'Avoided Cost Benefits'!$A$4:$A$859,0)))*F349</f>
        <v>1835.2308223004998</v>
      </c>
      <c r="DJ349" s="1579">
        <f>K349/(1.0595^(2020-2019))</f>
        <v>168.94761680037752</v>
      </c>
    </row>
    <row r="350" spans="2:114" x14ac:dyDescent="0.35">
      <c r="C350" s="1614" t="s">
        <v>2739</v>
      </c>
      <c r="D350" s="1106" t="s">
        <v>2485</v>
      </c>
      <c r="E350" s="1159" t="s">
        <v>2740</v>
      </c>
      <c r="F350" s="51">
        <f t="shared" si="149"/>
        <v>479.48</v>
      </c>
      <c r="G350" s="1087" t="s">
        <v>2736</v>
      </c>
      <c r="H350" s="1088">
        <f>VLOOKUP(G350,'CP FACTORS'!$A$26:$B$38,2,FALSE)</f>
        <v>4.4398300000000001E-4</v>
      </c>
      <c r="I350" s="1106">
        <f t="shared" si="150"/>
        <v>0.21288099999999999</v>
      </c>
      <c r="J350" s="1146">
        <v>15</v>
      </c>
      <c r="K350" s="1107">
        <v>179</v>
      </c>
      <c r="L350" s="1164" t="s">
        <v>2733</v>
      </c>
      <c r="V350" s="2419" t="str">
        <f t="shared" si="151"/>
        <v>kWh Annual Savings (per HP)</v>
      </c>
      <c r="W350" s="112"/>
      <c r="X350" s="112"/>
      <c r="Y350" s="112"/>
      <c r="Z350" s="141"/>
      <c r="AA350" s="1589">
        <v>479.48</v>
      </c>
      <c r="AB350" s="110">
        <v>479.48</v>
      </c>
      <c r="AC350" s="1798">
        <v>479.48</v>
      </c>
      <c r="AD350" s="1798">
        <v>479.48</v>
      </c>
      <c r="AE350" s="141"/>
      <c r="AF350" s="141"/>
      <c r="AG350" s="141"/>
      <c r="AH350"/>
      <c r="AI350" s="2419" t="s">
        <v>180</v>
      </c>
      <c r="AJ350" s="1576"/>
      <c r="AK350" s="1576"/>
      <c r="AL350" s="1576"/>
      <c r="AM350" s="141"/>
      <c r="AN350" s="85">
        <v>15</v>
      </c>
      <c r="AO350" s="1518">
        <v>15</v>
      </c>
      <c r="AP350" s="1518">
        <v>15</v>
      </c>
      <c r="AQ350" s="1518">
        <v>15</v>
      </c>
      <c r="AR350" s="141"/>
      <c r="AS350" s="141"/>
      <c r="AU350" s="2419" t="str">
        <f t="shared" si="152"/>
        <v>Inc. Cost (per HP)</v>
      </c>
      <c r="AV350" s="1588"/>
      <c r="AW350" s="1588"/>
      <c r="AX350" s="1588"/>
      <c r="AY350" s="141"/>
      <c r="AZ350" s="1571">
        <v>179</v>
      </c>
      <c r="BA350" s="1615">
        <v>179</v>
      </c>
      <c r="BB350" s="1615">
        <v>179</v>
      </c>
      <c r="BC350" s="1615">
        <v>179</v>
      </c>
      <c r="BD350" s="141"/>
      <c r="BE350" s="141"/>
      <c r="DG350" s="41">
        <f>(DI350)/(DJ350)</f>
        <v>2.545255559620486</v>
      </c>
      <c r="DH350" s="1580" t="str">
        <f>CONCATENATE(G350," ",J350," Year EUL")</f>
        <v>HVAC BUS 15 Year EUL</v>
      </c>
      <c r="DI350" s="58">
        <f>(INDEX('Avoided Cost Benefits'!$E$4:$E$859,MATCH(DH350,'Avoided Cost Benefits'!$A$4:$A$859,0)))*F350</f>
        <v>430.01486094579229</v>
      </c>
      <c r="DJ350" s="1582">
        <f>K350/(1.0595^(2020-2019))</f>
        <v>168.94761680037752</v>
      </c>
    </row>
    <row r="351" spans="2:114" hidden="1" outlineLevel="1" x14ac:dyDescent="0.35">
      <c r="E351" s="33"/>
      <c r="F351" s="33"/>
      <c r="G351" s="33"/>
      <c r="H351" s="1096"/>
      <c r="I351" s="33"/>
      <c r="J351" s="33"/>
      <c r="K351" s="33"/>
      <c r="L351" s="33"/>
    </row>
    <row r="352" spans="2:114" hidden="1" outlineLevel="1" x14ac:dyDescent="0.35">
      <c r="D352" s="33" t="s">
        <v>2528</v>
      </c>
      <c r="E352" s="33"/>
      <c r="F352" s="33"/>
      <c r="G352" s="33"/>
      <c r="H352" s="1096"/>
      <c r="I352" s="33"/>
      <c r="J352" s="33"/>
      <c r="K352" s="1165"/>
      <c r="L352" s="33"/>
    </row>
    <row r="353" spans="2:114" hidden="1" outlineLevel="1" x14ac:dyDescent="0.35">
      <c r="D353" s="1097"/>
      <c r="G353" s="725"/>
      <c r="H353" s="1098"/>
      <c r="L353" s="33"/>
    </row>
    <row r="354" spans="2:114" hidden="1" outlineLevel="1" x14ac:dyDescent="0.35">
      <c r="D354" s="1097"/>
      <c r="G354" s="725"/>
      <c r="H354" s="1098"/>
      <c r="L354" s="33"/>
    </row>
    <row r="355" spans="2:114" hidden="1" outlineLevel="1" x14ac:dyDescent="0.35">
      <c r="D355" s="1097"/>
      <c r="G355" s="725"/>
      <c r="H355" s="1098"/>
      <c r="L355" s="33"/>
      <c r="M355" s="33"/>
    </row>
    <row r="356" spans="2:114" hidden="1" outlineLevel="1" x14ac:dyDescent="0.35">
      <c r="D356" s="1097"/>
      <c r="G356" s="725"/>
      <c r="H356" s="1098"/>
      <c r="L356" s="33"/>
      <c r="M356" s="33"/>
    </row>
    <row r="357" spans="2:114" hidden="1" outlineLevel="1" x14ac:dyDescent="0.35">
      <c r="D357" s="1097"/>
      <c r="G357" s="725"/>
      <c r="H357" s="1098"/>
      <c r="L357" s="33"/>
      <c r="M357" s="33"/>
    </row>
    <row r="358" spans="2:114" hidden="1" outlineLevel="1" x14ac:dyDescent="0.35">
      <c r="D358" s="1097"/>
      <c r="G358" s="725"/>
      <c r="H358" s="1098"/>
      <c r="L358" s="33"/>
    </row>
    <row r="359" spans="2:114" s="34" customFormat="1" hidden="1" outlineLevel="1" x14ac:dyDescent="0.35">
      <c r="C359" s="132"/>
      <c r="D359" s="2327" t="s">
        <v>27</v>
      </c>
      <c r="E359" s="2327" t="s">
        <v>2597</v>
      </c>
      <c r="F359" s="2327" t="s">
        <v>2741</v>
      </c>
      <c r="G359" s="2327" t="s">
        <v>2742</v>
      </c>
      <c r="H359" s="2327" t="s">
        <v>721</v>
      </c>
      <c r="I359" s="2327" t="s">
        <v>2539</v>
      </c>
      <c r="J359" s="350"/>
      <c r="K359" s="350"/>
      <c r="L359" s="33"/>
      <c r="M359" s="350"/>
      <c r="N359" s="350"/>
      <c r="O359" s="350"/>
      <c r="P359" s="350"/>
      <c r="Q359" s="350"/>
      <c r="R359" s="350"/>
      <c r="S359" s="350"/>
      <c r="T359" s="350"/>
      <c r="U359" s="350"/>
      <c r="DE359" s="21"/>
      <c r="DF359" s="21"/>
      <c r="DG359" s="59"/>
    </row>
    <row r="360" spans="2:114" hidden="1" outlineLevel="1" x14ac:dyDescent="0.35">
      <c r="D360" s="1593" t="str">
        <f>C347</f>
        <v>803100_2020_07_</v>
      </c>
      <c r="E360" s="1593" t="str">
        <f>E347</f>
        <v>VFD on Chilled Water Pump &gt;= 1HP</v>
      </c>
      <c r="F360" s="1145">
        <v>1</v>
      </c>
      <c r="G360" s="1166">
        <v>0.93</v>
      </c>
      <c r="H360" s="1148">
        <v>3539</v>
      </c>
      <c r="I360" s="1163">
        <v>0.33889999999999998</v>
      </c>
      <c r="L360" s="33"/>
    </row>
    <row r="361" spans="2:114" hidden="1" outlineLevel="1" x14ac:dyDescent="0.35">
      <c r="D361" s="1593" t="str">
        <f>C348</f>
        <v>803150_2020_07_</v>
      </c>
      <c r="E361" s="1593" t="str">
        <f>E348</f>
        <v>VFD on Hot Water Pump &gt;= 1HP</v>
      </c>
      <c r="F361" s="1145">
        <v>1</v>
      </c>
      <c r="G361" s="1166">
        <v>0.93</v>
      </c>
      <c r="H361" s="1148">
        <v>4411</v>
      </c>
      <c r="I361" s="1163">
        <v>0.35770000000000002</v>
      </c>
      <c r="L361" s="33"/>
    </row>
    <row r="362" spans="2:114" hidden="1" outlineLevel="1" x14ac:dyDescent="0.35">
      <c r="D362" s="1593" t="str">
        <f>C349</f>
        <v>803155_2020_07_</v>
      </c>
      <c r="E362" s="1593" t="str">
        <f t="shared" ref="E362:E363" si="153">E349</f>
        <v>VFD on Condenser Water Pump &gt;= 1HP</v>
      </c>
      <c r="F362" s="1145">
        <v>1</v>
      </c>
      <c r="G362" s="1166">
        <v>0.93</v>
      </c>
      <c r="H362" s="1148">
        <v>3539</v>
      </c>
      <c r="I362" s="1163">
        <v>0.33889999999999998</v>
      </c>
      <c r="L362" s="33"/>
    </row>
    <row r="363" spans="2:114" hidden="1" outlineLevel="1" x14ac:dyDescent="0.35">
      <c r="D363" s="1593" t="str">
        <f>C350</f>
        <v>803160_2020_07_</v>
      </c>
      <c r="E363" s="1593" t="str">
        <f t="shared" si="153"/>
        <v>VFD on Cooling Tower Fan &gt;= 1HP</v>
      </c>
      <c r="F363" s="1145">
        <v>1</v>
      </c>
      <c r="G363" s="1166">
        <v>0.93</v>
      </c>
      <c r="H363" s="1148">
        <v>3539</v>
      </c>
      <c r="I363" s="1163">
        <v>0.126</v>
      </c>
      <c r="L363" s="33"/>
    </row>
    <row r="364" spans="2:114" collapsed="1" x14ac:dyDescent="0.35"/>
    <row r="366" spans="2:114" s="34" customFormat="1" ht="29" x14ac:dyDescent="0.35">
      <c r="B366" s="31"/>
      <c r="C366" s="35" t="s">
        <v>27</v>
      </c>
      <c r="D366" s="35" t="s">
        <v>28</v>
      </c>
      <c r="E366" s="2399" t="s">
        <v>29</v>
      </c>
      <c r="F366" s="2399" t="s">
        <v>2671</v>
      </c>
      <c r="G366" s="2399" t="s">
        <v>175</v>
      </c>
      <c r="H366" s="2399" t="s">
        <v>176</v>
      </c>
      <c r="I366" s="2399" t="s">
        <v>31</v>
      </c>
      <c r="J366" s="2399" t="s">
        <v>180</v>
      </c>
      <c r="K366" s="2399" t="s">
        <v>2730</v>
      </c>
      <c r="L366" s="35" t="s">
        <v>43</v>
      </c>
      <c r="M366" s="725"/>
      <c r="N366" s="725"/>
      <c r="O366" s="725"/>
      <c r="P366" s="350"/>
      <c r="Q366" s="350"/>
      <c r="R366" s="350"/>
      <c r="S366" s="350"/>
      <c r="T366" s="350"/>
      <c r="U366" s="350"/>
      <c r="V366" s="1572" t="s">
        <v>44</v>
      </c>
      <c r="W366" s="1573">
        <f>$W$8</f>
        <v>43252</v>
      </c>
      <c r="X366" s="1573">
        <f>$X$8</f>
        <v>43465</v>
      </c>
      <c r="Y366" s="1573">
        <f>$Y$8</f>
        <v>43800</v>
      </c>
      <c r="Z366" s="1573">
        <f>$Z$8</f>
        <v>43862</v>
      </c>
      <c r="AA366" s="1573">
        <f>$AA$8</f>
        <v>44013</v>
      </c>
      <c r="AB366" s="1573">
        <v>44166</v>
      </c>
      <c r="AC366" s="1573">
        <f>$AC$8</f>
        <v>44531</v>
      </c>
      <c r="AD366" s="1573">
        <f>$AD$8</f>
        <v>44774</v>
      </c>
      <c r="AE366" s="1573" t="str">
        <f>$AE$8</f>
        <v>-</v>
      </c>
      <c r="AF366" s="1573" t="str">
        <f>$AF$8</f>
        <v>-</v>
      </c>
      <c r="AG366" s="1573" t="str">
        <f>$AG$8</f>
        <v>-</v>
      </c>
      <c r="AH366"/>
      <c r="AI366" s="1572" t="s">
        <v>44</v>
      </c>
      <c r="AJ366" s="1573">
        <v>43252</v>
      </c>
      <c r="AK366" s="1573">
        <f>$X$8</f>
        <v>43465</v>
      </c>
      <c r="AL366" s="1573">
        <f>$Y$8</f>
        <v>43800</v>
      </c>
      <c r="AM366" s="1573">
        <f>$Z$8</f>
        <v>43862</v>
      </c>
      <c r="AN366" s="1573">
        <f>$AA$8</f>
        <v>44013</v>
      </c>
      <c r="AO366" s="1573">
        <f>$AB$8</f>
        <v>44166</v>
      </c>
      <c r="AP366" s="1573">
        <f>$AC$8</f>
        <v>44531</v>
      </c>
      <c r="AQ366" s="1573">
        <f>$AD$8</f>
        <v>44774</v>
      </c>
      <c r="AR366" s="1573" t="str">
        <f>$AE$8</f>
        <v>-</v>
      </c>
      <c r="AS366" s="1573" t="str">
        <f>$AF$8</f>
        <v>-</v>
      </c>
      <c r="AT366" s="21"/>
      <c r="AU366" s="1572" t="s">
        <v>44</v>
      </c>
      <c r="AV366" s="1573">
        <v>43252</v>
      </c>
      <c r="AW366" s="1573">
        <f>$X$8</f>
        <v>43465</v>
      </c>
      <c r="AX366" s="1573">
        <f>$Y$8</f>
        <v>43800</v>
      </c>
      <c r="AY366" s="1573">
        <f>$Z$8</f>
        <v>43862</v>
      </c>
      <c r="AZ366" s="1573">
        <f>$AA$8</f>
        <v>44013</v>
      </c>
      <c r="BA366" s="1573">
        <v>44166</v>
      </c>
      <c r="BB366" s="1573">
        <f>$AC$8</f>
        <v>44531</v>
      </c>
      <c r="BC366" s="1573">
        <f>$AD$8</f>
        <v>44774</v>
      </c>
      <c r="BD366" s="1573" t="str">
        <f>$AE$8</f>
        <v>-</v>
      </c>
      <c r="BE366" s="1573" t="str">
        <f>$AF$8</f>
        <v>-</v>
      </c>
      <c r="DE366" s="21"/>
      <c r="DF366" s="21"/>
      <c r="DG366" s="1574" t="str">
        <f>$DG$8</f>
        <v>TRC (2022)</v>
      </c>
      <c r="DH366" s="1584" t="str">
        <f>$DH$8</f>
        <v>Benefit Lookup</v>
      </c>
      <c r="DI366" s="1584" t="str">
        <f>$DI$8</f>
        <v>Benefits (2019 $)</v>
      </c>
      <c r="DJ366" s="1584" t="str">
        <f>$DJ$8</f>
        <v>Incremental Cost (2019 $)</v>
      </c>
    </row>
    <row r="367" spans="2:114" x14ac:dyDescent="0.35">
      <c r="C367" s="1614" t="s">
        <v>2743</v>
      </c>
      <c r="D367" s="1106" t="s">
        <v>2485</v>
      </c>
      <c r="E367" s="1159" t="s">
        <v>2744</v>
      </c>
      <c r="F367" s="965">
        <f>ROUND((((0.746*F393*(G393/H393))*I393*J393)-((0.746*F393*(G393/H393))*I393*K393))*(1+L393),2)</f>
        <v>939.75</v>
      </c>
      <c r="G367" s="1087" t="s">
        <v>2736</v>
      </c>
      <c r="H367" s="1088">
        <f>VLOOKUP(G367,'CP FACTORS'!$A$26:$B$38,2,FALSE)</f>
        <v>4.4398300000000001E-4</v>
      </c>
      <c r="I367" s="1106">
        <f>ROUND(H367*F367,6)</f>
        <v>0.41723300000000002</v>
      </c>
      <c r="J367" s="1146">
        <v>15</v>
      </c>
      <c r="K367" s="1107">
        <v>168</v>
      </c>
      <c r="L367" s="1164" t="s">
        <v>2733</v>
      </c>
      <c r="V367" s="2419" t="str">
        <f>F366</f>
        <v>kWh Annual Savings (per HP)</v>
      </c>
      <c r="W367" s="66">
        <v>939.74820779247341</v>
      </c>
      <c r="X367" s="66">
        <v>939.74820779247341</v>
      </c>
      <c r="Y367" s="66">
        <v>939.74820779247341</v>
      </c>
      <c r="Z367" s="66">
        <v>939.74820779247341</v>
      </c>
      <c r="AA367" s="66">
        <v>939.74820779247341</v>
      </c>
      <c r="AB367" s="110">
        <v>939.75</v>
      </c>
      <c r="AC367" s="1798">
        <v>939.75</v>
      </c>
      <c r="AD367" s="1798">
        <v>939.75</v>
      </c>
      <c r="AE367" s="141"/>
      <c r="AF367" s="141"/>
      <c r="AG367" s="141"/>
      <c r="AH367"/>
      <c r="AI367" s="2419" t="s">
        <v>180</v>
      </c>
      <c r="AJ367" s="1576">
        <v>15</v>
      </c>
      <c r="AK367" s="1576">
        <v>15</v>
      </c>
      <c r="AL367" s="1576">
        <v>15</v>
      </c>
      <c r="AM367" s="1576">
        <v>15</v>
      </c>
      <c r="AN367" s="1576">
        <v>15</v>
      </c>
      <c r="AO367" s="1518">
        <v>15</v>
      </c>
      <c r="AP367" s="110">
        <v>15</v>
      </c>
      <c r="AQ367" s="110">
        <v>15</v>
      </c>
      <c r="AR367" s="141"/>
      <c r="AS367" s="141"/>
      <c r="AU367" s="2419" t="str">
        <f>K366</f>
        <v>Inc. Cost (per HP)</v>
      </c>
      <c r="AV367" s="1577">
        <v>168</v>
      </c>
      <c r="AW367" s="1577">
        <v>168</v>
      </c>
      <c r="AX367" s="1577">
        <v>168</v>
      </c>
      <c r="AY367" s="1577">
        <v>168</v>
      </c>
      <c r="AZ367" s="1577">
        <v>168</v>
      </c>
      <c r="BA367" s="1615">
        <v>168</v>
      </c>
      <c r="BB367" s="1615">
        <v>168</v>
      </c>
      <c r="BC367" s="1615">
        <v>168</v>
      </c>
      <c r="BD367" s="141"/>
      <c r="BE367" s="141"/>
      <c r="DG367" s="1585">
        <f>(DI367)/(DJ367)</f>
        <v>5.3151678241141438</v>
      </c>
      <c r="DH367" s="2381" t="str">
        <f>CONCATENATE(G367," ",J367," Year EUL")</f>
        <v>HVAC BUS 15 Year EUL</v>
      </c>
      <c r="DI367" s="1586">
        <f>(INDEX('Avoided Cost Benefits'!$E$4:$E$859,MATCH(DH367,'Avoided Cost Benefits'!$A$4:$A$859,0)))*F367</f>
        <v>842.80150490908545</v>
      </c>
      <c r="DJ367" s="1587">
        <f>K367/(1.0595^(2020-2019))</f>
        <v>158.56536101934873</v>
      </c>
    </row>
    <row r="368" spans="2:114" hidden="1" outlineLevel="1" x14ac:dyDescent="0.35">
      <c r="E368" s="33"/>
      <c r="F368" s="33"/>
      <c r="G368" s="33"/>
      <c r="H368" s="1096"/>
      <c r="I368" s="33"/>
      <c r="J368" s="33"/>
      <c r="M368" s="2478"/>
      <c r="N368" s="2478"/>
      <c r="O368" s="2478"/>
      <c r="P368" s="2478"/>
    </row>
    <row r="369" spans="4:16" hidden="1" outlineLevel="1" x14ac:dyDescent="0.35">
      <c r="D369" s="33" t="s">
        <v>2528</v>
      </c>
      <c r="E369" s="33"/>
      <c r="F369" s="33"/>
      <c r="G369" s="33"/>
      <c r="H369" s="1096"/>
      <c r="I369" s="33"/>
      <c r="J369" s="33"/>
      <c r="K369" s="33"/>
      <c r="M369" s="2478"/>
      <c r="N369" s="2478"/>
      <c r="O369" s="2478"/>
      <c r="P369" s="2478"/>
    </row>
    <row r="370" spans="4:16" hidden="1" outlineLevel="1" x14ac:dyDescent="0.35">
      <c r="D370" s="1097"/>
      <c r="G370" s="725"/>
      <c r="H370" s="1098"/>
      <c r="M370" s="2478"/>
      <c r="N370" s="2478"/>
      <c r="O370" s="2478"/>
      <c r="P370" s="2478"/>
    </row>
    <row r="371" spans="4:16" hidden="1" outlineLevel="1" x14ac:dyDescent="0.35">
      <c r="D371" s="1097"/>
      <c r="G371" s="725"/>
      <c r="H371" s="1098"/>
      <c r="M371" s="2478"/>
      <c r="N371" s="2478"/>
      <c r="O371" s="2478"/>
      <c r="P371" s="2478"/>
    </row>
    <row r="372" spans="4:16" hidden="1" outlineLevel="1" x14ac:dyDescent="0.35">
      <c r="D372" s="1097"/>
      <c r="G372" s="725"/>
      <c r="H372" s="1098"/>
      <c r="M372" s="2478"/>
      <c r="N372" s="2478"/>
      <c r="O372" s="2478"/>
      <c r="P372" s="2478"/>
    </row>
    <row r="373" spans="4:16" hidden="1" outlineLevel="1" x14ac:dyDescent="0.35">
      <c r="D373" s="1097"/>
      <c r="G373" s="725"/>
      <c r="H373" s="1098"/>
      <c r="M373" s="33"/>
    </row>
    <row r="374" spans="4:16" hidden="1" outlineLevel="1" x14ac:dyDescent="0.35">
      <c r="D374" s="1097"/>
      <c r="G374" s="725"/>
      <c r="H374" s="1098"/>
      <c r="M374" s="33"/>
    </row>
    <row r="375" spans="4:16" ht="15" hidden="1" outlineLevel="1" thickBot="1" x14ac:dyDescent="0.4">
      <c r="D375" s="1097"/>
      <c r="G375" s="725"/>
      <c r="H375" s="1098"/>
      <c r="M375" s="33"/>
    </row>
    <row r="376" spans="4:16" hidden="1" outlineLevel="1" x14ac:dyDescent="0.35">
      <c r="D376" s="1097"/>
      <c r="E376" s="1167" t="s">
        <v>2745</v>
      </c>
      <c r="F376" s="1168"/>
      <c r="G376" s="725"/>
      <c r="H376" s="1098"/>
      <c r="M376" s="33"/>
    </row>
    <row r="377" spans="4:16" hidden="1" outlineLevel="1" x14ac:dyDescent="0.35">
      <c r="D377" s="1097"/>
      <c r="E377" s="1169"/>
      <c r="F377" s="1170"/>
      <c r="G377" s="725"/>
      <c r="H377" s="1098"/>
      <c r="M377" s="33"/>
    </row>
    <row r="378" spans="4:16" hidden="1" outlineLevel="1" x14ac:dyDescent="0.35">
      <c r="D378" s="1097"/>
      <c r="E378" s="1171" t="s">
        <v>2746</v>
      </c>
      <c r="F378" s="1170">
        <v>1</v>
      </c>
      <c r="G378" s="725"/>
      <c r="H378" s="1098"/>
      <c r="M378" s="33"/>
    </row>
    <row r="379" spans="4:16" hidden="1" outlineLevel="1" x14ac:dyDescent="0.35">
      <c r="D379" s="1097"/>
      <c r="E379" s="1171" t="s">
        <v>2747</v>
      </c>
      <c r="F379" s="1170">
        <v>0.8</v>
      </c>
      <c r="G379" s="725"/>
      <c r="H379" s="1098"/>
      <c r="M379" s="33"/>
    </row>
    <row r="380" spans="4:16" hidden="1" outlineLevel="1" x14ac:dyDescent="0.35">
      <c r="D380" s="1097"/>
      <c r="E380" s="1171" t="s">
        <v>2748</v>
      </c>
      <c r="F380" s="1170">
        <v>0.78</v>
      </c>
      <c r="G380" s="725"/>
      <c r="H380" s="1098"/>
      <c r="M380" s="33"/>
    </row>
    <row r="381" spans="4:16" hidden="1" outlineLevel="1" x14ac:dyDescent="0.35">
      <c r="D381" s="1097"/>
      <c r="E381" s="1171" t="s">
        <v>2749</v>
      </c>
      <c r="F381" s="1170">
        <v>0.69</v>
      </c>
      <c r="G381" s="725"/>
      <c r="H381" s="1098"/>
      <c r="M381" s="33"/>
    </row>
    <row r="382" spans="4:16" hidden="1" outlineLevel="1" x14ac:dyDescent="0.35">
      <c r="D382" s="1097"/>
      <c r="E382" s="1171" t="s">
        <v>2750</v>
      </c>
      <c r="F382" s="1170">
        <v>0.63</v>
      </c>
      <c r="G382" s="725"/>
      <c r="H382" s="1098"/>
      <c r="M382" s="33"/>
    </row>
    <row r="383" spans="4:16" hidden="1" outlineLevel="1" x14ac:dyDescent="0.35">
      <c r="D383" s="1097"/>
      <c r="E383" s="1171" t="s">
        <v>2751</v>
      </c>
      <c r="F383" s="1170">
        <v>0.53</v>
      </c>
      <c r="G383" s="725"/>
      <c r="H383" s="1098"/>
      <c r="M383" s="33"/>
    </row>
    <row r="384" spans="4:16" hidden="1" outlineLevel="1" x14ac:dyDescent="0.35">
      <c r="D384" s="1097"/>
      <c r="E384" s="1171" t="s">
        <v>2752</v>
      </c>
      <c r="F384" s="1170">
        <v>0.53</v>
      </c>
      <c r="G384" s="725"/>
      <c r="H384" s="1098"/>
      <c r="M384" s="33"/>
    </row>
    <row r="385" spans="2:114" hidden="1" outlineLevel="1" x14ac:dyDescent="0.35">
      <c r="D385" s="1097"/>
      <c r="E385" s="1171" t="s">
        <v>2753</v>
      </c>
      <c r="F385" s="1170">
        <v>0.49</v>
      </c>
      <c r="G385" s="725"/>
      <c r="H385" s="1098"/>
      <c r="M385" s="33"/>
    </row>
    <row r="386" spans="2:114" hidden="1" outlineLevel="1" x14ac:dyDescent="0.35">
      <c r="D386" s="1097"/>
      <c r="E386" s="1171" t="s">
        <v>2754</v>
      </c>
      <c r="F386" s="1170">
        <v>0.39</v>
      </c>
      <c r="G386" s="725"/>
      <c r="H386" s="1098"/>
      <c r="M386" s="33"/>
    </row>
    <row r="387" spans="2:114" hidden="1" outlineLevel="1" x14ac:dyDescent="0.35">
      <c r="D387" s="1097"/>
      <c r="E387" s="1171" t="s">
        <v>2755</v>
      </c>
      <c r="F387" s="1170">
        <v>0.3</v>
      </c>
      <c r="G387" s="725"/>
      <c r="H387" s="1098"/>
      <c r="M387" s="33"/>
    </row>
    <row r="388" spans="2:114" ht="15" hidden="1" outlineLevel="1" thickBot="1" x14ac:dyDescent="0.4">
      <c r="D388" s="1097"/>
      <c r="E388" s="1172" t="s">
        <v>2756</v>
      </c>
      <c r="F388" s="1173">
        <v>0.27</v>
      </c>
      <c r="G388" s="725"/>
      <c r="H388" s="1098"/>
      <c r="M388" s="33"/>
    </row>
    <row r="389" spans="2:114" hidden="1" outlineLevel="1" x14ac:dyDescent="0.35">
      <c r="D389" s="1097"/>
      <c r="G389" s="725"/>
      <c r="H389" s="1098"/>
      <c r="M389" s="33"/>
    </row>
    <row r="390" spans="2:114" hidden="1" outlineLevel="1" x14ac:dyDescent="0.35">
      <c r="D390" s="1097"/>
      <c r="G390" s="725"/>
      <c r="H390" s="1098"/>
      <c r="M390" s="33"/>
    </row>
    <row r="391" spans="2:114" hidden="1" outlineLevel="1" x14ac:dyDescent="0.35">
      <c r="D391" s="1097"/>
      <c r="G391" s="725"/>
      <c r="H391" s="1098"/>
    </row>
    <row r="392" spans="2:114" s="34" customFormat="1" ht="29" hidden="1" outlineLevel="1" x14ac:dyDescent="0.35">
      <c r="C392" s="132"/>
      <c r="D392" s="2327" t="s">
        <v>27</v>
      </c>
      <c r="E392" s="2327" t="s">
        <v>2597</v>
      </c>
      <c r="F392" s="2327" t="s">
        <v>2757</v>
      </c>
      <c r="G392" s="2327" t="s">
        <v>219</v>
      </c>
      <c r="H392" s="2327" t="s">
        <v>2758</v>
      </c>
      <c r="I392" s="2327" t="s">
        <v>2759</v>
      </c>
      <c r="J392" s="2327" t="s">
        <v>2760</v>
      </c>
      <c r="K392" s="2327" t="s">
        <v>2761</v>
      </c>
      <c r="L392" s="2327" t="s">
        <v>2762</v>
      </c>
      <c r="M392" s="350"/>
      <c r="N392" s="350"/>
      <c r="O392" s="350"/>
      <c r="P392" s="350"/>
      <c r="Q392" s="350"/>
      <c r="R392" s="350"/>
      <c r="S392" s="350"/>
      <c r="T392" s="350"/>
      <c r="U392" s="350"/>
      <c r="DE392" s="21"/>
      <c r="DF392" s="21"/>
      <c r="DG392" s="59"/>
    </row>
    <row r="393" spans="2:114" hidden="1" outlineLevel="1" x14ac:dyDescent="0.35">
      <c r="D393" s="1593" t="str">
        <f>C367</f>
        <v>803200_2020_07_</v>
      </c>
      <c r="E393" s="1593" t="str">
        <f>E367</f>
        <v xml:space="preserve"> VFD on HVAC Fans &gt;= 1HP </v>
      </c>
      <c r="F393" s="1145">
        <v>1</v>
      </c>
      <c r="G393" s="74">
        <v>0.65</v>
      </c>
      <c r="H393" s="1145">
        <v>0.93</v>
      </c>
      <c r="I393" s="1145">
        <v>6773</v>
      </c>
      <c r="J393" s="1145">
        <v>0.53</v>
      </c>
      <c r="K393" s="1145">
        <v>0.3</v>
      </c>
      <c r="L393" s="1174">
        <v>0.157</v>
      </c>
    </row>
    <row r="394" spans="2:114" collapsed="1" x14ac:dyDescent="0.35"/>
    <row r="396" spans="2:114" s="34" customFormat="1" ht="29" x14ac:dyDescent="0.35">
      <c r="B396" s="31"/>
      <c r="C396" s="35" t="s">
        <v>27</v>
      </c>
      <c r="D396" s="35" t="s">
        <v>28</v>
      </c>
      <c r="E396" s="2399" t="s">
        <v>29</v>
      </c>
      <c r="F396" s="2399" t="s">
        <v>2763</v>
      </c>
      <c r="G396" s="2399" t="s">
        <v>175</v>
      </c>
      <c r="H396" s="2399" t="s">
        <v>176</v>
      </c>
      <c r="I396" s="2399" t="s">
        <v>31</v>
      </c>
      <c r="J396" s="2399" t="s">
        <v>180</v>
      </c>
      <c r="K396" s="2399" t="s">
        <v>169</v>
      </c>
      <c r="L396" s="35" t="s">
        <v>43</v>
      </c>
      <c r="M396" s="725"/>
      <c r="N396" s="725"/>
      <c r="O396" s="725"/>
      <c r="P396" s="350"/>
      <c r="Q396" s="350"/>
      <c r="R396" s="350"/>
      <c r="S396" s="350"/>
      <c r="T396" s="350"/>
      <c r="U396" s="350"/>
      <c r="V396" s="1572" t="s">
        <v>44</v>
      </c>
      <c r="W396" s="1573">
        <f>$W$8</f>
        <v>43252</v>
      </c>
      <c r="X396" s="1573">
        <f>$X$8</f>
        <v>43465</v>
      </c>
      <c r="Y396" s="1573">
        <f>$Y$8</f>
        <v>43800</v>
      </c>
      <c r="Z396" s="1573">
        <f>$Z$8</f>
        <v>43862</v>
      </c>
      <c r="AA396" s="1573">
        <f>$AA$8</f>
        <v>44013</v>
      </c>
      <c r="AB396" s="1573">
        <v>44166</v>
      </c>
      <c r="AC396" s="1573">
        <f>$AC$8</f>
        <v>44531</v>
      </c>
      <c r="AD396" s="1573">
        <f>$AD$8</f>
        <v>44774</v>
      </c>
      <c r="AE396" s="1573" t="str">
        <f>$AE$8</f>
        <v>-</v>
      </c>
      <c r="AF396" s="1573" t="str">
        <f>$AF$8</f>
        <v>-</v>
      </c>
      <c r="AG396" s="1573" t="str">
        <f>$AG$8</f>
        <v>-</v>
      </c>
      <c r="AH396"/>
      <c r="AI396" s="1572" t="s">
        <v>44</v>
      </c>
      <c r="AJ396" s="1573">
        <v>43252</v>
      </c>
      <c r="AK396" s="1573">
        <f>$X$8</f>
        <v>43465</v>
      </c>
      <c r="AL396" s="1573">
        <f>$Y$8</f>
        <v>43800</v>
      </c>
      <c r="AM396" s="1573">
        <f>$Z$8</f>
        <v>43862</v>
      </c>
      <c r="AN396" s="1573">
        <f>$AA$8</f>
        <v>44013</v>
      </c>
      <c r="AO396" s="1573">
        <v>44166</v>
      </c>
      <c r="AP396" s="1573">
        <f>$AC$8</f>
        <v>44531</v>
      </c>
      <c r="AQ396" s="1573">
        <f>$AD$8</f>
        <v>44774</v>
      </c>
      <c r="AR396" s="1573" t="str">
        <f>$AE$8</f>
        <v>-</v>
      </c>
      <c r="AS396" s="1573" t="str">
        <f>$AF$8</f>
        <v>-</v>
      </c>
      <c r="AT396" s="21"/>
      <c r="AU396" s="1572" t="s">
        <v>44</v>
      </c>
      <c r="AV396" s="1573">
        <v>43252</v>
      </c>
      <c r="AW396" s="1573">
        <f>$X$8</f>
        <v>43465</v>
      </c>
      <c r="AX396" s="1573">
        <f>$Y$8</f>
        <v>43800</v>
      </c>
      <c r="AY396" s="1573">
        <f>$Z$8</f>
        <v>43862</v>
      </c>
      <c r="AZ396" s="1573">
        <f>$AA$8</f>
        <v>44013</v>
      </c>
      <c r="BA396" s="1573">
        <v>44166</v>
      </c>
      <c r="BB396" s="1573">
        <f>$AC$8</f>
        <v>44531</v>
      </c>
      <c r="BC396" s="1573">
        <f>$AD$8</f>
        <v>44774</v>
      </c>
      <c r="BD396" s="1573" t="str">
        <f>$AE$8</f>
        <v>-</v>
      </c>
      <c r="BE396" s="1573" t="str">
        <f>$AF$8</f>
        <v>-</v>
      </c>
      <c r="DE396" s="21"/>
      <c r="DF396" s="21"/>
      <c r="DG396" s="1574" t="str">
        <f>$DG$8</f>
        <v>TRC (2022)</v>
      </c>
      <c r="DH396" s="1584" t="str">
        <f>$DH$8</f>
        <v>Benefit Lookup</v>
      </c>
      <c r="DI396" s="1584" t="str">
        <f>$DI$8</f>
        <v>Benefits (2019 $)</v>
      </c>
      <c r="DJ396" s="1584" t="str">
        <f>$DJ$8</f>
        <v>Incremental Cost (2019 $)</v>
      </c>
    </row>
    <row r="397" spans="2:114" x14ac:dyDescent="0.35">
      <c r="C397" s="1614" t="s">
        <v>2764</v>
      </c>
      <c r="D397" s="1106" t="s">
        <v>2485</v>
      </c>
      <c r="E397" s="1105" t="s">
        <v>2765</v>
      </c>
      <c r="F397" s="965">
        <f>ROUND(F411*((1/G411)-(1/H411))*I411,2)</f>
        <v>153.77000000000001</v>
      </c>
      <c r="G397" s="1087" t="s">
        <v>2720</v>
      </c>
      <c r="H397" s="1088">
        <f>VLOOKUP(G397,'CP FACTORS'!$A$26:$B$38,2,FALSE)</f>
        <v>9.1068400000000004E-4</v>
      </c>
      <c r="I397" s="1106">
        <f>ROUND(H397*F397,6)</f>
        <v>0.14003599999999999</v>
      </c>
      <c r="J397" s="3594">
        <v>15</v>
      </c>
      <c r="K397" s="1107">
        <v>100</v>
      </c>
      <c r="L397" s="1164" t="s">
        <v>2766</v>
      </c>
      <c r="V397" s="2419" t="str">
        <f>F396</f>
        <v>kWh Annual Savings (per ton)</v>
      </c>
      <c r="W397" s="112">
        <v>153.95313964386136</v>
      </c>
      <c r="X397" s="112">
        <v>153.95313964386136</v>
      </c>
      <c r="Y397" s="112">
        <v>153.95313964386136</v>
      </c>
      <c r="Z397" s="112">
        <v>153.95313964386136</v>
      </c>
      <c r="AA397" s="1589">
        <v>153.77000000000001</v>
      </c>
      <c r="AB397" s="1516">
        <v>153.77000000000001</v>
      </c>
      <c r="AC397" s="1798">
        <v>153.77000000000001</v>
      </c>
      <c r="AD397" s="1798">
        <v>153.77000000000001</v>
      </c>
      <c r="AE397" s="141"/>
      <c r="AF397" s="141"/>
      <c r="AG397" s="141"/>
      <c r="AH397"/>
      <c r="AI397" s="2419" t="s">
        <v>180</v>
      </c>
      <c r="AJ397" s="1576">
        <v>15</v>
      </c>
      <c r="AK397" s="1576">
        <v>15</v>
      </c>
      <c r="AL397" s="1576">
        <v>15</v>
      </c>
      <c r="AM397" s="1576">
        <v>15</v>
      </c>
      <c r="AN397" s="1576">
        <v>15</v>
      </c>
      <c r="AO397" s="1516">
        <v>15</v>
      </c>
      <c r="AP397" s="1516">
        <v>15</v>
      </c>
      <c r="AQ397" s="1516">
        <v>15</v>
      </c>
      <c r="AR397" s="141"/>
      <c r="AS397" s="141"/>
      <c r="AU397" s="2419" t="s">
        <v>169</v>
      </c>
      <c r="AV397" s="1577">
        <v>100</v>
      </c>
      <c r="AW397" s="1577">
        <v>100</v>
      </c>
      <c r="AX397" s="1577">
        <v>100</v>
      </c>
      <c r="AY397" s="1577">
        <v>100</v>
      </c>
      <c r="AZ397" s="1577">
        <v>100</v>
      </c>
      <c r="BA397" s="1615">
        <v>100</v>
      </c>
      <c r="BB397" s="1615">
        <v>100</v>
      </c>
      <c r="BC397" s="1615">
        <v>100</v>
      </c>
      <c r="BD397" s="141"/>
      <c r="BE397" s="141"/>
      <c r="DG397" s="1578">
        <f>(DI397)/(DJ397)</f>
        <v>2.3184342020725488</v>
      </c>
      <c r="DH397" s="2381" t="str">
        <f>CONCATENATE(G397," ",J397," Year EUL")</f>
        <v>Cooling BUS 15 Year EUL</v>
      </c>
      <c r="DI397" s="56">
        <f>(INDEX('Avoided Cost Benefits'!$E$4:$E$859,MATCH(DH397,'Avoided Cost Benefits'!$A$4:$A$859,0)))*F397</f>
        <v>218.82342634002345</v>
      </c>
      <c r="DJ397" s="1579">
        <f>K397/(1.0595^(2020-2019))</f>
        <v>94.384143463898056</v>
      </c>
    </row>
    <row r="398" spans="2:114" x14ac:dyDescent="0.35">
      <c r="C398" s="1614" t="s">
        <v>2767</v>
      </c>
      <c r="D398" s="1106" t="s">
        <v>2485</v>
      </c>
      <c r="E398" s="1105" t="s">
        <v>2768</v>
      </c>
      <c r="F398" s="965">
        <f>ROUND(F412*((1/G412)-(1/H412))*I412,2)</f>
        <v>167.94</v>
      </c>
      <c r="G398" s="1087" t="s">
        <v>2720</v>
      </c>
      <c r="H398" s="1088">
        <f>VLOOKUP(G398,'CP FACTORS'!$A$26:$B$38,2,FALSE)</f>
        <v>9.1068400000000004E-4</v>
      </c>
      <c r="I398" s="1106">
        <f>ROUND(H398*F398,6)</f>
        <v>0.15293999999999999</v>
      </c>
      <c r="J398" s="1114">
        <v>15</v>
      </c>
      <c r="K398" s="1107">
        <v>100</v>
      </c>
      <c r="L398" s="1164" t="s">
        <v>2766</v>
      </c>
      <c r="V398" s="2419" t="str">
        <f>V397</f>
        <v>kWh Annual Savings (per ton)</v>
      </c>
      <c r="W398" s="112">
        <v>66.505263157894589</v>
      </c>
      <c r="X398" s="112">
        <v>66.505263157894589</v>
      </c>
      <c r="Y398" s="112">
        <v>66.505263157894589</v>
      </c>
      <c r="Z398" s="112">
        <v>66.505263157894589</v>
      </c>
      <c r="AA398" s="1589">
        <v>167.94</v>
      </c>
      <c r="AB398" s="1516">
        <v>167.94</v>
      </c>
      <c r="AC398" s="1798">
        <v>167.94</v>
      </c>
      <c r="AD398" s="1798">
        <v>167.94</v>
      </c>
      <c r="AE398" s="141"/>
      <c r="AF398" s="141"/>
      <c r="AG398" s="141"/>
      <c r="AH398"/>
      <c r="AI398" s="2419" t="s">
        <v>180</v>
      </c>
      <c r="AJ398" s="1576">
        <v>15</v>
      </c>
      <c r="AK398" s="1576">
        <v>15</v>
      </c>
      <c r="AL398" s="1576">
        <v>15</v>
      </c>
      <c r="AM398" s="1576">
        <v>15</v>
      </c>
      <c r="AN398" s="1576">
        <v>15</v>
      </c>
      <c r="AO398" s="1516">
        <v>15</v>
      </c>
      <c r="AP398" s="1516">
        <v>15</v>
      </c>
      <c r="AQ398" s="1516">
        <v>15</v>
      </c>
      <c r="AR398" s="141"/>
      <c r="AS398" s="141"/>
      <c r="AU398" s="2419" t="s">
        <v>169</v>
      </c>
      <c r="AV398" s="1577">
        <v>100</v>
      </c>
      <c r="AW398" s="1577">
        <v>100</v>
      </c>
      <c r="AX398" s="1577">
        <v>100</v>
      </c>
      <c r="AY398" s="1577">
        <v>100</v>
      </c>
      <c r="AZ398" s="1577">
        <v>100</v>
      </c>
      <c r="BA398" s="1615">
        <v>100</v>
      </c>
      <c r="BB398" s="1615">
        <v>100</v>
      </c>
      <c r="BC398" s="1615">
        <v>100</v>
      </c>
      <c r="BD398" s="141"/>
      <c r="BE398" s="141"/>
      <c r="DG398" s="40">
        <f>(DI398)/(DJ398)</f>
        <v>2.5320793385970202</v>
      </c>
      <c r="DH398" s="1580" t="str">
        <f>CONCATENATE(G398," ",J398," Year EUL")</f>
        <v>Cooling BUS 15 Year EUL</v>
      </c>
      <c r="DI398" s="57">
        <f>(INDEX('Avoided Cost Benefits'!$E$4:$E$859,MATCH(DH398,'Avoided Cost Benefits'!$A$4:$A$859,0)))*F398</f>
        <v>238.98813955611325</v>
      </c>
      <c r="DJ398" s="1581">
        <f>K398/(1.0595^(2020-2019))</f>
        <v>94.384143463898056</v>
      </c>
    </row>
    <row r="399" spans="2:114" x14ac:dyDescent="0.35">
      <c r="C399" s="1614" t="s">
        <v>2769</v>
      </c>
      <c r="D399" s="1106" t="s">
        <v>2485</v>
      </c>
      <c r="E399" s="1105" t="s">
        <v>2770</v>
      </c>
      <c r="F399" s="965">
        <f>ROUND(F413*((1/G413)-(1/H413))*I413,2)</f>
        <v>148.68</v>
      </c>
      <c r="G399" s="1087" t="s">
        <v>2720</v>
      </c>
      <c r="H399" s="1088">
        <f>VLOOKUP(G399,'CP FACTORS'!$A$26:$B$38,2,FALSE)</f>
        <v>9.1068400000000004E-4</v>
      </c>
      <c r="I399" s="1160">
        <f>ROUND(H399*F399,6)</f>
        <v>0.13539999999999999</v>
      </c>
      <c r="J399" s="1114">
        <v>15</v>
      </c>
      <c r="K399" s="1107">
        <v>100</v>
      </c>
      <c r="L399" s="1164" t="s">
        <v>2766</v>
      </c>
      <c r="M399" s="4570"/>
      <c r="N399" s="4570"/>
      <c r="O399" s="4570"/>
      <c r="P399" s="4570"/>
      <c r="V399" s="2419" t="str">
        <f>V398</f>
        <v>kWh Annual Savings (per ton)</v>
      </c>
      <c r="W399" s="112">
        <v>98.581830790568617</v>
      </c>
      <c r="X399" s="112">
        <v>98.581830790568617</v>
      </c>
      <c r="Y399" s="112">
        <v>98.581830790568617</v>
      </c>
      <c r="Z399" s="112">
        <v>98.581830790568617</v>
      </c>
      <c r="AA399" s="1589">
        <v>148.68</v>
      </c>
      <c r="AB399" s="1516">
        <v>148.68</v>
      </c>
      <c r="AC399" s="1798">
        <v>148.68</v>
      </c>
      <c r="AD399" s="1798">
        <v>148.68</v>
      </c>
      <c r="AE399" s="141"/>
      <c r="AF399" s="141"/>
      <c r="AG399" s="141"/>
      <c r="AH399"/>
      <c r="AI399" s="2419" t="s">
        <v>180</v>
      </c>
      <c r="AJ399" s="1576">
        <v>15</v>
      </c>
      <c r="AK399" s="1576">
        <v>15</v>
      </c>
      <c r="AL399" s="1576">
        <v>15</v>
      </c>
      <c r="AM399" s="1576">
        <v>15</v>
      </c>
      <c r="AN399" s="1576">
        <v>15</v>
      </c>
      <c r="AO399" s="1516">
        <v>15</v>
      </c>
      <c r="AP399" s="1516">
        <v>15</v>
      </c>
      <c r="AQ399" s="1516">
        <v>15</v>
      </c>
      <c r="AR399" s="141"/>
      <c r="AS399" s="141"/>
      <c r="AU399" s="2419" t="s">
        <v>169</v>
      </c>
      <c r="AV399" s="1577">
        <v>100</v>
      </c>
      <c r="AW399" s="1577">
        <v>100</v>
      </c>
      <c r="AX399" s="1577">
        <v>100</v>
      </c>
      <c r="AY399" s="1577">
        <v>100</v>
      </c>
      <c r="AZ399" s="1577">
        <v>100</v>
      </c>
      <c r="BA399" s="1615">
        <v>100</v>
      </c>
      <c r="BB399" s="1615">
        <v>100</v>
      </c>
      <c r="BC399" s="1615">
        <v>100</v>
      </c>
      <c r="BD399" s="141"/>
      <c r="BE399" s="141"/>
      <c r="DG399" s="40">
        <f>(DI399)/(DJ399)</f>
        <v>2.2416908185221209</v>
      </c>
      <c r="DH399" s="1580" t="str">
        <f>CONCATENATE(G399," ",J399," Year EUL")</f>
        <v>Cooling BUS 15 Year EUL</v>
      </c>
      <c r="DI399" s="57">
        <f>(INDEX('Avoided Cost Benefits'!$E$4:$E$859,MATCH(DH399,'Avoided Cost Benefits'!$A$4:$A$859,0)))*F399</f>
        <v>211.58006781709491</v>
      </c>
      <c r="DJ399" s="1581">
        <f>K399/(1.0595^(2020-2019))</f>
        <v>94.384143463898056</v>
      </c>
    </row>
    <row r="400" spans="2:114" ht="15.75" customHeight="1" x14ac:dyDescent="0.35">
      <c r="C400" s="1614" t="s">
        <v>2771</v>
      </c>
      <c r="D400" s="1106" t="s">
        <v>2485</v>
      </c>
      <c r="E400" s="1105" t="s">
        <v>2772</v>
      </c>
      <c r="F400" s="965">
        <f>ROUND(F414*((1/G414)-(1/H414))*I414,2)</f>
        <v>167.52</v>
      </c>
      <c r="G400" s="1087" t="s">
        <v>2720</v>
      </c>
      <c r="H400" s="1088">
        <f>VLOOKUP(G400,'CP FACTORS'!$A$26:$B$38,2,FALSE)</f>
        <v>9.1068400000000004E-4</v>
      </c>
      <c r="I400" s="1106">
        <f>ROUND(H400*F400,6)</f>
        <v>0.152558</v>
      </c>
      <c r="J400" s="1114">
        <v>15</v>
      </c>
      <c r="K400" s="1107">
        <v>100</v>
      </c>
      <c r="L400" s="1164" t="s">
        <v>2766</v>
      </c>
      <c r="M400" s="4570"/>
      <c r="N400" s="4570"/>
      <c r="O400" s="4570"/>
      <c r="P400" s="4570"/>
      <c r="V400" s="2419" t="str">
        <f>V399</f>
        <v>kWh Annual Savings (per ton)</v>
      </c>
      <c r="W400" s="112">
        <v>70.797848498431222</v>
      </c>
      <c r="X400" s="112">
        <v>70.797848498431222</v>
      </c>
      <c r="Y400" s="112">
        <v>70.797848498431222</v>
      </c>
      <c r="Z400" s="112">
        <v>70.797848498431222</v>
      </c>
      <c r="AA400" s="1589">
        <v>167.52</v>
      </c>
      <c r="AB400" s="1516">
        <v>167.52</v>
      </c>
      <c r="AC400" s="1798">
        <v>167.52</v>
      </c>
      <c r="AD400" s="1798">
        <v>167.52</v>
      </c>
      <c r="AE400" s="141"/>
      <c r="AF400" s="141"/>
      <c r="AG400" s="141"/>
      <c r="AH400"/>
      <c r="AI400" s="2419" t="s">
        <v>180</v>
      </c>
      <c r="AJ400" s="1576">
        <v>15</v>
      </c>
      <c r="AK400" s="1576">
        <v>15</v>
      </c>
      <c r="AL400" s="1576">
        <v>15</v>
      </c>
      <c r="AM400" s="1576">
        <v>15</v>
      </c>
      <c r="AN400" s="1576">
        <v>15</v>
      </c>
      <c r="AO400" s="1516">
        <v>15</v>
      </c>
      <c r="AP400" s="1516">
        <v>15</v>
      </c>
      <c r="AQ400" s="1516">
        <v>15</v>
      </c>
      <c r="AR400" s="141"/>
      <c r="AS400" s="141"/>
      <c r="AU400" s="2419" t="s">
        <v>169</v>
      </c>
      <c r="AV400" s="1577">
        <v>100</v>
      </c>
      <c r="AW400" s="1577">
        <v>100</v>
      </c>
      <c r="AX400" s="1577">
        <v>100</v>
      </c>
      <c r="AY400" s="1577">
        <v>100</v>
      </c>
      <c r="AZ400" s="1577">
        <v>100</v>
      </c>
      <c r="BA400" s="1615">
        <v>100</v>
      </c>
      <c r="BB400" s="1615">
        <v>100</v>
      </c>
      <c r="BC400" s="1615">
        <v>100</v>
      </c>
      <c r="BD400" s="141"/>
      <c r="BE400" s="141"/>
      <c r="DG400" s="40">
        <f>(DI400)/(DJ400)</f>
        <v>2.5257468786576922</v>
      </c>
      <c r="DH400" s="1580" t="str">
        <f>CONCATENATE(G400," ",J400," Year EUL")</f>
        <v>Cooling BUS 15 Year EUL</v>
      </c>
      <c r="DI400" s="57">
        <f>(INDEX('Avoided Cost Benefits'!$E$4:$E$859,MATCH(DH400,'Avoided Cost Benefits'!$A$4:$A$859,0)))*F400</f>
        <v>238.39045574872034</v>
      </c>
      <c r="DJ400" s="1581">
        <f>K400/(1.0595^(2020-2019))</f>
        <v>94.384143463898056</v>
      </c>
    </row>
    <row r="401" spans="3:114" x14ac:dyDescent="0.35">
      <c r="C401" s="1614" t="s">
        <v>2773</v>
      </c>
      <c r="D401" s="1106" t="s">
        <v>2485</v>
      </c>
      <c r="E401" s="1105" t="s">
        <v>2774</v>
      </c>
      <c r="F401" s="965">
        <f>ROUND(F415*((1/G415)-(1/H415))*I415,2)</f>
        <v>129.6</v>
      </c>
      <c r="G401" s="1087" t="s">
        <v>2720</v>
      </c>
      <c r="H401" s="1088">
        <f>VLOOKUP(G401,'CP FACTORS'!$A$26:$B$38,2,FALSE)</f>
        <v>9.1068400000000004E-4</v>
      </c>
      <c r="I401" s="1106">
        <f>ROUND(H401*F401,6)</f>
        <v>0.118025</v>
      </c>
      <c r="J401" s="1114">
        <v>15</v>
      </c>
      <c r="K401" s="1107">
        <v>100</v>
      </c>
      <c r="L401" s="1164" t="s">
        <v>2766</v>
      </c>
      <c r="M401" s="4570"/>
      <c r="N401" s="4570"/>
      <c r="O401" s="4570"/>
      <c r="P401" s="4570"/>
      <c r="V401" s="2419" t="str">
        <f>V400</f>
        <v>kWh Annual Savings (per ton)</v>
      </c>
      <c r="W401" s="112">
        <v>69.42857142857153</v>
      </c>
      <c r="X401" s="112">
        <v>69.42857142857153</v>
      </c>
      <c r="Y401" s="112">
        <v>69.42857142857153</v>
      </c>
      <c r="Z401" s="112">
        <v>69.42857142857153</v>
      </c>
      <c r="AA401" s="1589">
        <v>129.6</v>
      </c>
      <c r="AB401" s="1516">
        <v>129.6</v>
      </c>
      <c r="AC401" s="1798">
        <v>129.6</v>
      </c>
      <c r="AD401" s="1798">
        <v>129.6</v>
      </c>
      <c r="AE401" s="141"/>
      <c r="AF401" s="141"/>
      <c r="AG401" s="141"/>
      <c r="AH401"/>
      <c r="AI401" s="2419" t="s">
        <v>180</v>
      </c>
      <c r="AJ401" s="1576">
        <v>15</v>
      </c>
      <c r="AK401" s="1576">
        <v>15</v>
      </c>
      <c r="AL401" s="1576">
        <v>15</v>
      </c>
      <c r="AM401" s="1576">
        <v>15</v>
      </c>
      <c r="AN401" s="1576">
        <v>15</v>
      </c>
      <c r="AO401" s="1516">
        <v>15</v>
      </c>
      <c r="AP401" s="1516">
        <v>15</v>
      </c>
      <c r="AQ401" s="1516">
        <v>15</v>
      </c>
      <c r="AR401" s="141"/>
      <c r="AS401" s="141"/>
      <c r="AU401" s="2419" t="s">
        <v>169</v>
      </c>
      <c r="AV401" s="1577">
        <v>100</v>
      </c>
      <c r="AW401" s="1577">
        <v>100</v>
      </c>
      <c r="AX401" s="1577">
        <v>100</v>
      </c>
      <c r="AY401" s="1577">
        <v>100</v>
      </c>
      <c r="AZ401" s="1577">
        <v>100</v>
      </c>
      <c r="BA401" s="1615">
        <v>100</v>
      </c>
      <c r="BB401" s="1615">
        <v>100</v>
      </c>
      <c r="BC401" s="1615">
        <v>100</v>
      </c>
      <c r="BD401" s="141"/>
      <c r="BE401" s="141"/>
      <c r="DG401" s="41">
        <f>(DI401)/(DJ401)</f>
        <v>1.9540162098497904</v>
      </c>
      <c r="DH401" s="1580" t="str">
        <f>CONCATENATE(G401," ",J401," Year EUL")</f>
        <v>Cooling BUS 15 Year EUL</v>
      </c>
      <c r="DI401" s="58">
        <f>(INDEX('Avoided Cost Benefits'!$E$4:$E$859,MATCH(DH401,'Avoided Cost Benefits'!$A$4:$A$859,0)))*F401</f>
        <v>184.42814628124495</v>
      </c>
      <c r="DJ401" s="1582">
        <f>K401/(1.0595^(2020-2019))</f>
        <v>94.384143463898056</v>
      </c>
    </row>
    <row r="402" spans="3:114" hidden="1" outlineLevel="1" x14ac:dyDescent="0.35">
      <c r="E402" s="33"/>
      <c r="F402" s="33"/>
      <c r="G402" s="33"/>
      <c r="H402" s="1096"/>
      <c r="I402" s="33"/>
      <c r="J402" s="33"/>
      <c r="K402" s="33"/>
      <c r="M402" s="4570"/>
      <c r="N402" s="4570"/>
      <c r="O402" s="4570"/>
      <c r="P402" s="4570"/>
    </row>
    <row r="403" spans="3:114" hidden="1" outlineLevel="1" x14ac:dyDescent="0.35">
      <c r="D403" s="33" t="s">
        <v>2528</v>
      </c>
      <c r="E403" s="132"/>
      <c r="F403" s="33"/>
      <c r="G403" s="33"/>
      <c r="H403" s="1096"/>
      <c r="I403" s="33"/>
      <c r="J403" s="33"/>
      <c r="K403" s="132"/>
      <c r="M403" s="4570"/>
      <c r="N403" s="4570"/>
      <c r="O403" s="4570"/>
      <c r="P403" s="4570"/>
    </row>
    <row r="404" spans="3:114" hidden="1" outlineLevel="1" x14ac:dyDescent="0.35">
      <c r="D404" s="1097" t="s">
        <v>2775</v>
      </c>
      <c r="E404" s="132"/>
      <c r="F404" s="1097" t="s">
        <v>2776</v>
      </c>
      <c r="G404" s="725"/>
      <c r="H404" s="1098"/>
    </row>
    <row r="405" spans="3:114" hidden="1" outlineLevel="1" x14ac:dyDescent="0.35">
      <c r="D405" s="1097"/>
      <c r="G405" s="725"/>
      <c r="H405" s="1098"/>
    </row>
    <row r="406" spans="3:114" hidden="1" outlineLevel="1" x14ac:dyDescent="0.35">
      <c r="D406" s="1097"/>
      <c r="G406" s="725"/>
      <c r="H406" s="1098"/>
      <c r="M406" s="33"/>
    </row>
    <row r="407" spans="3:114" hidden="1" outlineLevel="1" x14ac:dyDescent="0.35">
      <c r="D407" s="1097"/>
      <c r="G407" s="725"/>
      <c r="H407" s="1098"/>
      <c r="M407" s="33"/>
    </row>
    <row r="408" spans="3:114" hidden="1" outlineLevel="1" x14ac:dyDescent="0.35">
      <c r="D408" s="1097"/>
      <c r="G408" s="725"/>
      <c r="H408" s="1098"/>
      <c r="M408" s="33"/>
    </row>
    <row r="409" spans="3:114" hidden="1" outlineLevel="1" x14ac:dyDescent="0.35">
      <c r="D409" s="1097"/>
      <c r="G409" s="725"/>
      <c r="H409" s="1098"/>
    </row>
    <row r="410" spans="3:114" s="34" customFormat="1" ht="29" hidden="1" outlineLevel="1" x14ac:dyDescent="0.35">
      <c r="C410" s="132"/>
      <c r="D410" s="2327" t="s">
        <v>27</v>
      </c>
      <c r="E410" s="2327" t="s">
        <v>2597</v>
      </c>
      <c r="F410" s="68" t="s">
        <v>2777</v>
      </c>
      <c r="G410" s="2327" t="s">
        <v>2778</v>
      </c>
      <c r="H410" s="2327" t="s">
        <v>2779</v>
      </c>
      <c r="I410" s="2399" t="s">
        <v>2780</v>
      </c>
      <c r="J410" s="725"/>
      <c r="L410" s="350"/>
      <c r="M410" s="350"/>
      <c r="N410" s="350"/>
      <c r="O410" s="350"/>
      <c r="P410" s="350"/>
      <c r="Q410" s="350"/>
      <c r="R410" s="350"/>
      <c r="S410" s="350"/>
      <c r="T410" s="350"/>
      <c r="U410" s="350"/>
      <c r="DE410" s="21"/>
      <c r="DF410" s="21"/>
      <c r="DG410" s="59"/>
    </row>
    <row r="411" spans="3:114" hidden="1" outlineLevel="1" x14ac:dyDescent="0.35">
      <c r="D411" s="1593" t="str">
        <f>C397</f>
        <v>803250_2020_07_</v>
      </c>
      <c r="E411" s="1099" t="str">
        <f>E397</f>
        <v>Single Packag or Split Sytem Unitary AC_DX 135 - 240kbtu</v>
      </c>
      <c r="F411" s="1129">
        <v>12</v>
      </c>
      <c r="G411" s="1594">
        <v>11</v>
      </c>
      <c r="H411" s="1594">
        <f>ROUND(G411*1.15, 1)</f>
        <v>12.7</v>
      </c>
      <c r="I411" s="1135">
        <v>1053</v>
      </c>
      <c r="K411" s="21"/>
    </row>
    <row r="412" spans="3:114" hidden="1" outlineLevel="1" x14ac:dyDescent="0.35">
      <c r="D412" s="1593" t="str">
        <f>C398</f>
        <v>803300_2020_07_</v>
      </c>
      <c r="E412" s="1099" t="str">
        <f>E398</f>
        <v>Single Packag or Split Sytem Unitary AC_DX 240 - 760kbtu</v>
      </c>
      <c r="F412" s="1129">
        <v>12</v>
      </c>
      <c r="G412" s="1594">
        <v>9.9</v>
      </c>
      <c r="H412" s="1594">
        <f t="shared" ref="H412:H415" si="154">ROUND(G412*1.15, 1)</f>
        <v>11.4</v>
      </c>
      <c r="I412" s="1135">
        <v>1053</v>
      </c>
      <c r="K412" s="21"/>
    </row>
    <row r="413" spans="3:114" hidden="1" outlineLevel="1" x14ac:dyDescent="0.35">
      <c r="D413" s="1593" t="str">
        <f>C399</f>
        <v>803350_2020_07_</v>
      </c>
      <c r="E413" s="1099" t="str">
        <f>E399</f>
        <v>Single Packag or Split Sytem Unitary AC_DX 65 -135kbtu</v>
      </c>
      <c r="F413" s="1129">
        <v>12</v>
      </c>
      <c r="G413" s="1594">
        <v>11.2</v>
      </c>
      <c r="H413" s="1594">
        <f t="shared" si="154"/>
        <v>12.9</v>
      </c>
      <c r="I413" s="1135">
        <v>1053</v>
      </c>
      <c r="K413" s="21"/>
    </row>
    <row r="414" spans="3:114" hidden="1" outlineLevel="1" x14ac:dyDescent="0.35">
      <c r="D414" s="1593" t="str">
        <f>C400</f>
        <v>803400_2020_07_</v>
      </c>
      <c r="E414" s="1099" t="str">
        <f>E400</f>
        <v>Single Packag or Split Sytem Unitary AC_DX &gt;760kbtu</v>
      </c>
      <c r="F414" s="1129">
        <v>12</v>
      </c>
      <c r="G414" s="1594">
        <v>9.6</v>
      </c>
      <c r="H414" s="1594">
        <f t="shared" si="154"/>
        <v>11</v>
      </c>
      <c r="I414" s="1135">
        <v>1053</v>
      </c>
      <c r="K414" s="21"/>
    </row>
    <row r="415" spans="3:114" hidden="1" outlineLevel="1" x14ac:dyDescent="0.35">
      <c r="D415" s="1593" t="str">
        <f>C401</f>
        <v>803450_2020_07_</v>
      </c>
      <c r="E415" s="1099" t="str">
        <f>E401</f>
        <v>Single Packag or Split Sytem Unitary AC_DX &lt;65kbtu</v>
      </c>
      <c r="F415" s="1129">
        <v>12</v>
      </c>
      <c r="G415" s="1594">
        <v>13</v>
      </c>
      <c r="H415" s="1594">
        <f t="shared" si="154"/>
        <v>15</v>
      </c>
      <c r="I415" s="1135">
        <v>1053</v>
      </c>
      <c r="K415" s="21"/>
    </row>
    <row r="416" spans="3:114" ht="15" collapsed="1" thickBot="1" x14ac:dyDescent="0.4">
      <c r="G416" s="21"/>
      <c r="H416" s="21"/>
    </row>
    <row r="417" spans="2:116" ht="15" thickBot="1" x14ac:dyDescent="0.4">
      <c r="DG417" s="2114"/>
      <c r="DH417" s="725"/>
      <c r="DI417" s="4546" t="s">
        <v>2781</v>
      </c>
      <c r="DJ417" s="4547"/>
      <c r="DK417" s="4546" t="s">
        <v>2782</v>
      </c>
      <c r="DL417" s="4547" t="s">
        <v>2782</v>
      </c>
    </row>
    <row r="418" spans="2:116" s="34" customFormat="1" ht="43.5" x14ac:dyDescent="0.35">
      <c r="B418" s="21"/>
      <c r="C418" s="35" t="s">
        <v>27</v>
      </c>
      <c r="D418" s="35" t="s">
        <v>28</v>
      </c>
      <c r="E418" s="2399" t="s">
        <v>29</v>
      </c>
      <c r="F418" s="2399" t="s">
        <v>2783</v>
      </c>
      <c r="G418" s="2399" t="s">
        <v>2716</v>
      </c>
      <c r="H418" s="2399" t="s">
        <v>2717</v>
      </c>
      <c r="I418" s="2399" t="s">
        <v>175</v>
      </c>
      <c r="J418" s="2399" t="s">
        <v>175</v>
      </c>
      <c r="K418" s="36" t="s">
        <v>176</v>
      </c>
      <c r="L418" s="2399" t="s">
        <v>31</v>
      </c>
      <c r="M418" s="2399" t="s">
        <v>180</v>
      </c>
      <c r="N418" s="35" t="s">
        <v>2784</v>
      </c>
      <c r="O418" s="35" t="s">
        <v>43</v>
      </c>
      <c r="P418" s="725"/>
      <c r="Q418" s="350"/>
      <c r="R418" s="350"/>
      <c r="S418" s="350"/>
      <c r="T418" s="350"/>
      <c r="U418" s="350"/>
      <c r="V418" s="1572" t="s">
        <v>44</v>
      </c>
      <c r="W418" s="1573">
        <f>$W$8</f>
        <v>43252</v>
      </c>
      <c r="X418" s="1573">
        <f>$X$8</f>
        <v>43465</v>
      </c>
      <c r="Y418" s="1573">
        <f>$Y$8</f>
        <v>43800</v>
      </c>
      <c r="Z418" s="1573">
        <f>$Z$8</f>
        <v>43862</v>
      </c>
      <c r="AA418" s="1573">
        <f>$AA$8</f>
        <v>44013</v>
      </c>
      <c r="AB418" s="1573">
        <v>44166</v>
      </c>
      <c r="AC418" s="1573">
        <f>$AC$8</f>
        <v>44531</v>
      </c>
      <c r="AD418" s="1573">
        <f>$AD$8</f>
        <v>44774</v>
      </c>
      <c r="AE418" s="1573" t="str">
        <f>$AE$8</f>
        <v>-</v>
      </c>
      <c r="AF418" s="1573" t="str">
        <f>$AF$8</f>
        <v>-</v>
      </c>
      <c r="AG418" s="1573" t="str">
        <f>$AG$8</f>
        <v>-</v>
      </c>
      <c r="AH418"/>
      <c r="AI418" s="1572" t="s">
        <v>44</v>
      </c>
      <c r="AJ418" s="1573">
        <v>43252</v>
      </c>
      <c r="AK418" s="1573">
        <f>$X$8</f>
        <v>43465</v>
      </c>
      <c r="AL418" s="1573">
        <f>$Y$8</f>
        <v>43800</v>
      </c>
      <c r="AM418" s="1573">
        <f>$Z$8</f>
        <v>43862</v>
      </c>
      <c r="AN418" s="1573">
        <f>$AA$8</f>
        <v>44013</v>
      </c>
      <c r="AO418" s="1573">
        <v>44166</v>
      </c>
      <c r="AP418" s="1573">
        <f>$AC$8</f>
        <v>44531</v>
      </c>
      <c r="AQ418" s="1573">
        <f>$AD$8</f>
        <v>44774</v>
      </c>
      <c r="AR418" s="1573" t="str">
        <f>$AE$8</f>
        <v>-</v>
      </c>
      <c r="AS418" s="1573" t="str">
        <f>$AF$8</f>
        <v>-</v>
      </c>
      <c r="AT418"/>
      <c r="AU418" s="1572" t="s">
        <v>44</v>
      </c>
      <c r="AV418" s="1573">
        <v>43252</v>
      </c>
      <c r="AW418" s="1573">
        <f>$X$8</f>
        <v>43465</v>
      </c>
      <c r="AX418" s="1573">
        <f>$Y$8</f>
        <v>43800</v>
      </c>
      <c r="AY418" s="1573">
        <f>$Z$8</f>
        <v>43862</v>
      </c>
      <c r="AZ418" s="1573">
        <f>$AA$8</f>
        <v>44013</v>
      </c>
      <c r="BA418" s="1573">
        <v>44166</v>
      </c>
      <c r="BB418" s="1573">
        <f>$AC$8</f>
        <v>44531</v>
      </c>
      <c r="BC418" s="1573">
        <f>$AD$8</f>
        <v>44774</v>
      </c>
      <c r="BD418" s="1573" t="str">
        <f>$AE$8</f>
        <v>-</v>
      </c>
      <c r="BE418" s="1573" t="str">
        <f>$AF$8</f>
        <v>-</v>
      </c>
      <c r="BF418"/>
      <c r="BG418" s="1572" t="s">
        <v>44</v>
      </c>
      <c r="BH418" s="1573">
        <v>43252</v>
      </c>
      <c r="BI418" s="1573">
        <f>$X$8</f>
        <v>43465</v>
      </c>
      <c r="BJ418" s="1573">
        <f>$Y$8</f>
        <v>43800</v>
      </c>
      <c r="BK418" s="1573">
        <f>$Z$8</f>
        <v>43862</v>
      </c>
      <c r="BL418" s="1573">
        <f>$AA$8</f>
        <v>44013</v>
      </c>
      <c r="BM418" s="1573">
        <v>44166</v>
      </c>
      <c r="BN418" s="1573">
        <f>$AC$8</f>
        <v>44531</v>
      </c>
      <c r="BO418" s="1573">
        <f>$AD$8</f>
        <v>44774</v>
      </c>
      <c r="BP418" s="1573" t="str">
        <f>$AE$8</f>
        <v>-</v>
      </c>
      <c r="BQ418" s="1573" t="str">
        <f>$AF$8</f>
        <v>-</v>
      </c>
      <c r="BR418" s="21"/>
      <c r="BS418" s="21"/>
      <c r="BT418" s="1572" t="s">
        <v>44</v>
      </c>
      <c r="BU418" s="1573">
        <v>43252</v>
      </c>
      <c r="BV418" s="1573">
        <f>$X$8</f>
        <v>43465</v>
      </c>
      <c r="BW418" s="1573">
        <f>$Y$8</f>
        <v>43800</v>
      </c>
      <c r="BX418" s="1573">
        <f>$Z$8</f>
        <v>43862</v>
      </c>
      <c r="BY418" s="1573">
        <f>$AA$8</f>
        <v>44013</v>
      </c>
      <c r="BZ418" s="1573">
        <v>44166</v>
      </c>
      <c r="CA418" s="1573">
        <f>$AC$8</f>
        <v>44531</v>
      </c>
      <c r="CB418" s="1573">
        <f>$AD$8</f>
        <v>44774</v>
      </c>
      <c r="CC418" s="1573" t="str">
        <f>$AE$8</f>
        <v>-</v>
      </c>
      <c r="CD418" s="1573" t="str">
        <f>$AF$8</f>
        <v>-</v>
      </c>
      <c r="DE418" s="21"/>
      <c r="DF418" s="21"/>
      <c r="DG418" s="2115" t="str">
        <f>$DG$8</f>
        <v>TRC (2022)</v>
      </c>
      <c r="DH418" s="2116" t="str">
        <f>$DH$8</f>
        <v>Benefit Lookup</v>
      </c>
      <c r="DI418" s="2118" t="str">
        <f>$DI$8</f>
        <v>Benefits (2019 $)</v>
      </c>
      <c r="DJ418" s="2118" t="str">
        <f>$DJ$8</f>
        <v>Incremental Cost (2019 $)</v>
      </c>
      <c r="DK418" s="2118" t="str">
        <f>$DH$8</f>
        <v>Benefit Lookup</v>
      </c>
      <c r="DL418" s="2118" t="str">
        <f>$DI$8</f>
        <v>Benefits (2019 $)</v>
      </c>
    </row>
    <row r="419" spans="2:116" x14ac:dyDescent="0.35">
      <c r="C419" s="1614" t="s">
        <v>2785</v>
      </c>
      <c r="D419" s="1106" t="s">
        <v>2485</v>
      </c>
      <c r="E419" s="1105" t="s">
        <v>2786</v>
      </c>
      <c r="F419" s="965">
        <f>ROUND(F435*((1/G435)-(1/H435))*K435,2)</f>
        <v>36.71</v>
      </c>
      <c r="G419" s="965">
        <f>ROUND((P435/3.412*((1/L435)-(1/M435))*Q435),2)</f>
        <v>27.99</v>
      </c>
      <c r="H419" s="965">
        <f t="shared" ref="H419:H424" si="155">SUM(F419:G419)</f>
        <v>64.7</v>
      </c>
      <c r="I419" s="1087" t="s">
        <v>2720</v>
      </c>
      <c r="J419" s="1087" t="s">
        <v>2721</v>
      </c>
      <c r="K419" s="1088">
        <v>9.1068395835808389E-4</v>
      </c>
      <c r="L419" s="1160">
        <f t="shared" ref="L419:L424" si="156">ROUND(K419*F419,6)</f>
        <v>3.3431000000000002E-2</v>
      </c>
      <c r="M419" s="289">
        <v>15</v>
      </c>
      <c r="N419" s="1107">
        <v>180</v>
      </c>
      <c r="O419" s="1164" t="s">
        <v>2766</v>
      </c>
      <c r="V419" s="2419" t="str">
        <f>F418</f>
        <v>Cooling kWh Annual Savings (per ton)</v>
      </c>
      <c r="W419" s="112">
        <v>36.705882352941231</v>
      </c>
      <c r="X419" s="112">
        <v>36.705882352941231</v>
      </c>
      <c r="Y419" s="110">
        <v>36.705882352941231</v>
      </c>
      <c r="Z419" s="110">
        <v>36.705882352941231</v>
      </c>
      <c r="AA419" s="1592">
        <v>36.71</v>
      </c>
      <c r="AB419" s="1516">
        <v>36.71</v>
      </c>
      <c r="AC419" s="1798">
        <v>36.71</v>
      </c>
      <c r="AD419" s="1798">
        <v>36.71</v>
      </c>
      <c r="AE419" s="141"/>
      <c r="AF419" s="141"/>
      <c r="AG419" s="141"/>
      <c r="AH419"/>
      <c r="AI419" s="2419" t="str">
        <f>G418</f>
        <v>Heating kWh Annual Savings (per ton)</v>
      </c>
      <c r="AJ419" s="112">
        <v>27.988128808762067</v>
      </c>
      <c r="AK419" s="112">
        <v>27.988128808762067</v>
      </c>
      <c r="AL419" s="112">
        <v>27.988128808762067</v>
      </c>
      <c r="AM419" s="112">
        <v>27.988128808762067</v>
      </c>
      <c r="AN419" s="1592">
        <v>27.99</v>
      </c>
      <c r="AO419" s="1516">
        <v>27.99</v>
      </c>
      <c r="AP419" s="110">
        <v>27.99</v>
      </c>
      <c r="AQ419" s="110">
        <v>27.99</v>
      </c>
      <c r="AR419" s="141"/>
      <c r="AS419" s="141"/>
      <c r="AT419"/>
      <c r="AU419" s="2419" t="str">
        <f>H418</f>
        <v>Total kWh Annual Savings</v>
      </c>
      <c r="AV419" s="112">
        <v>64.694011161703301</v>
      </c>
      <c r="AW419" s="112">
        <v>64.694011161703301</v>
      </c>
      <c r="AX419" s="112">
        <v>64.694011161703301</v>
      </c>
      <c r="AY419" s="141"/>
      <c r="AZ419" s="112">
        <v>64.7</v>
      </c>
      <c r="BA419" s="1516">
        <v>64.7</v>
      </c>
      <c r="BB419" s="141">
        <v>64.7</v>
      </c>
      <c r="BC419" s="141">
        <v>64.7</v>
      </c>
      <c r="BD419" s="141"/>
      <c r="BE419" s="141"/>
      <c r="BF419"/>
      <c r="BG419" s="2419" t="s">
        <v>180</v>
      </c>
      <c r="BH419" s="1576">
        <v>15</v>
      </c>
      <c r="BI419" s="1576">
        <v>15</v>
      </c>
      <c r="BJ419" s="1518">
        <v>15</v>
      </c>
      <c r="BK419" s="1518">
        <v>15</v>
      </c>
      <c r="BL419" s="1518">
        <v>15</v>
      </c>
      <c r="BM419" s="1516">
        <v>15</v>
      </c>
      <c r="BN419" s="1516">
        <v>15</v>
      </c>
      <c r="BO419" s="1516">
        <v>15</v>
      </c>
      <c r="BP419" s="141"/>
      <c r="BQ419" s="141"/>
      <c r="BT419" s="2419" t="str">
        <f>N418</f>
        <v>Inc. Cost     (per ton)</v>
      </c>
      <c r="BU419" s="1577">
        <v>180</v>
      </c>
      <c r="BV419" s="1577">
        <v>180</v>
      </c>
      <c r="BW419" s="1577">
        <v>180</v>
      </c>
      <c r="BX419" s="1577">
        <v>180</v>
      </c>
      <c r="BY419" s="1577">
        <v>180</v>
      </c>
      <c r="BZ419" s="1615">
        <v>180</v>
      </c>
      <c r="CA419" s="1615">
        <v>180</v>
      </c>
      <c r="CB419" s="1615">
        <v>180</v>
      </c>
      <c r="CC419" s="141"/>
      <c r="CD419" s="141"/>
      <c r="DG419" s="1378">
        <f t="shared" ref="DG419:DG424" si="157">(DI419+DL419)/(DJ419)</f>
        <v>0.37001235617535433</v>
      </c>
      <c r="DH419" s="2381" t="str">
        <f t="shared" ref="DH419:DH424" si="158">CONCATENATE(I419," ",M419," Year EUL")</f>
        <v>Cooling BUS 15 Year EUL</v>
      </c>
      <c r="DI419" s="1029">
        <f>(INDEX('Avoided Cost Benefits'!$E$4:$E$859,MATCH(DH419,'Avoided Cost Benefits'!$A$4:$A$859,0)))*F419</f>
        <v>52.240410879510051</v>
      </c>
      <c r="DJ419" s="1029">
        <f t="shared" ref="DJ419:DJ424" si="159">N419/(1.0595^(2020-2019))</f>
        <v>169.8914582350165</v>
      </c>
      <c r="DK419" s="2381" t="str">
        <f t="shared" ref="DK419:DK424" si="160">CONCATENATE(J419," ",M419," Year EUL")</f>
        <v>Heating BUS 15 Year EUL</v>
      </c>
      <c r="DL419" s="2117">
        <f>(INDEX('Avoided Cost Benefits'!$E$4:$E$859,MATCH(DK419,'Avoided Cost Benefits'!$A$4:$A$859,0)))*G419</f>
        <v>10.621527876095206</v>
      </c>
    </row>
    <row r="420" spans="2:116" x14ac:dyDescent="0.35">
      <c r="C420" s="1614" t="s">
        <v>2787</v>
      </c>
      <c r="D420" s="1106" t="s">
        <v>2485</v>
      </c>
      <c r="E420" s="1105" t="s">
        <v>2788</v>
      </c>
      <c r="F420" s="965">
        <f>ROUND(F436*((1/G436)-(1/H436))*K436,2)</f>
        <v>114.95</v>
      </c>
      <c r="G420" s="965">
        <f>ROUND((P436/3.412*((1/L436)-(1/M436))*Q436),2)</f>
        <v>27.99</v>
      </c>
      <c r="H420" s="965">
        <f t="shared" si="155"/>
        <v>142.94</v>
      </c>
      <c r="I420" s="1087" t="s">
        <v>2720</v>
      </c>
      <c r="J420" s="1087" t="s">
        <v>2721</v>
      </c>
      <c r="K420" s="1088">
        <v>9.1068395835808389E-4</v>
      </c>
      <c r="L420" s="1160">
        <f t="shared" si="156"/>
        <v>0.104683</v>
      </c>
      <c r="M420" s="1114">
        <v>15</v>
      </c>
      <c r="N420" s="1107">
        <v>180</v>
      </c>
      <c r="O420" s="1164" t="s">
        <v>2766</v>
      </c>
      <c r="V420" s="2419" t="str">
        <f>V419</f>
        <v>Cooling kWh Annual Savings (per ton)</v>
      </c>
      <c r="W420" s="112">
        <v>114.94736842105272</v>
      </c>
      <c r="X420" s="112">
        <v>114.94736842105272</v>
      </c>
      <c r="Y420" s="110">
        <v>114.94736842105272</v>
      </c>
      <c r="Z420" s="110">
        <v>114.94736842105272</v>
      </c>
      <c r="AA420" s="1592">
        <v>114.95</v>
      </c>
      <c r="AB420" s="1516">
        <v>114.95</v>
      </c>
      <c r="AC420" s="1798">
        <v>114.95</v>
      </c>
      <c r="AD420" s="1798">
        <v>114.95</v>
      </c>
      <c r="AE420" s="141"/>
      <c r="AF420" s="141"/>
      <c r="AG420" s="141"/>
      <c r="AH420"/>
      <c r="AI420" s="2419" t="str">
        <f>AI419</f>
        <v>Heating kWh Annual Savings (per ton)</v>
      </c>
      <c r="AJ420" s="112">
        <v>27.988128808762067</v>
      </c>
      <c r="AK420" s="112">
        <v>27.988128808762067</v>
      </c>
      <c r="AL420" s="112">
        <v>27.988128808762067</v>
      </c>
      <c r="AM420" s="112">
        <v>27.988128808762067</v>
      </c>
      <c r="AN420" s="1592">
        <v>27.99</v>
      </c>
      <c r="AO420" s="1516">
        <v>27.99</v>
      </c>
      <c r="AP420" s="110">
        <v>27.99</v>
      </c>
      <c r="AQ420" s="110">
        <v>27.99</v>
      </c>
      <c r="AR420" s="141"/>
      <c r="AS420" s="141"/>
      <c r="AT420"/>
      <c r="AU420" s="2419" t="str">
        <f>AU419</f>
        <v>Total kWh Annual Savings</v>
      </c>
      <c r="AV420" s="112">
        <v>142.93549722981479</v>
      </c>
      <c r="AW420" s="112">
        <v>142.93549722981479</v>
      </c>
      <c r="AX420" s="112">
        <v>142.93549722981479</v>
      </c>
      <c r="AY420" s="141"/>
      <c r="AZ420" s="112">
        <v>142.94</v>
      </c>
      <c r="BA420" s="1516">
        <v>142.94</v>
      </c>
      <c r="BB420" s="141">
        <v>142.94</v>
      </c>
      <c r="BC420" s="141">
        <v>142.94</v>
      </c>
      <c r="BD420" s="141"/>
      <c r="BE420" s="141"/>
      <c r="BF420"/>
      <c r="BG420" s="2419" t="s">
        <v>180</v>
      </c>
      <c r="BH420" s="1576">
        <v>15</v>
      </c>
      <c r="BI420" s="1576">
        <v>15</v>
      </c>
      <c r="BJ420" s="1518">
        <v>15</v>
      </c>
      <c r="BK420" s="1518">
        <v>15</v>
      </c>
      <c r="BL420" s="1518">
        <v>15</v>
      </c>
      <c r="BM420" s="1516">
        <v>15</v>
      </c>
      <c r="BN420" s="1516">
        <v>15</v>
      </c>
      <c r="BO420" s="1516">
        <v>15</v>
      </c>
      <c r="BP420" s="141"/>
      <c r="BQ420" s="141"/>
      <c r="BT420" s="2419" t="str">
        <f>BT419</f>
        <v>Inc. Cost     (per ton)</v>
      </c>
      <c r="BU420" s="1577">
        <v>180</v>
      </c>
      <c r="BV420" s="1577">
        <v>180</v>
      </c>
      <c r="BW420" s="1577">
        <v>180</v>
      </c>
      <c r="BX420" s="1577">
        <v>180</v>
      </c>
      <c r="BY420" s="1577">
        <v>180</v>
      </c>
      <c r="BZ420" s="1615">
        <v>180</v>
      </c>
      <c r="CA420" s="1615">
        <v>180</v>
      </c>
      <c r="CB420" s="1615">
        <v>180</v>
      </c>
      <c r="CC420" s="141"/>
      <c r="CD420" s="141"/>
      <c r="DG420" s="1378">
        <f t="shared" si="157"/>
        <v>1.0253717022772388</v>
      </c>
      <c r="DH420" s="2381" t="str">
        <f t="shared" si="158"/>
        <v>Cooling BUS 15 Year EUL</v>
      </c>
      <c r="DI420" s="1029">
        <f>(INDEX('Avoided Cost Benefits'!$E$4:$E$859,MATCH(DH420,'Avoided Cost Benefits'!$A$4:$A$859,0)))*F420</f>
        <v>163.58036585670609</v>
      </c>
      <c r="DJ420" s="1029">
        <f t="shared" si="159"/>
        <v>169.8914582350165</v>
      </c>
      <c r="DK420" s="2381" t="str">
        <f t="shared" si="160"/>
        <v>Heating BUS 15 Year EUL</v>
      </c>
      <c r="DL420" s="2117">
        <f>(INDEX('Avoided Cost Benefits'!$E$4:$E$859,MATCH(DK420,'Avoided Cost Benefits'!$A$4:$A$859,0)))*G420</f>
        <v>10.621527876095206</v>
      </c>
    </row>
    <row r="421" spans="2:116" x14ac:dyDescent="0.35">
      <c r="C421" s="1614" t="s">
        <v>2789</v>
      </c>
      <c r="D421" s="1106" t="s">
        <v>2485</v>
      </c>
      <c r="E421" s="1105" t="s">
        <v>2790</v>
      </c>
      <c r="F421" s="965">
        <f t="shared" ref="F421:F423" si="161">ROUND((F437*((1/I437)-(1/J437))*K437),2)</f>
        <v>117.33</v>
      </c>
      <c r="G421" s="965">
        <f>ROUND((P437/3.412*((1/L437)-(1/M437))*Q437),2)</f>
        <v>223.04</v>
      </c>
      <c r="H421" s="965">
        <f t="shared" si="155"/>
        <v>340.37</v>
      </c>
      <c r="I421" s="1087" t="s">
        <v>2720</v>
      </c>
      <c r="J421" s="1087" t="s">
        <v>2721</v>
      </c>
      <c r="K421" s="1088">
        <v>9.1068395835808389E-4</v>
      </c>
      <c r="L421" s="1160">
        <f t="shared" si="156"/>
        <v>0.106851</v>
      </c>
      <c r="M421" s="1114">
        <v>15</v>
      </c>
      <c r="N421" s="1107">
        <v>100</v>
      </c>
      <c r="O421" s="1164" t="s">
        <v>2766</v>
      </c>
      <c r="V421" s="2419" t="str">
        <f>V420</f>
        <v>Cooling kWh Annual Savings (per ton)</v>
      </c>
      <c r="W421" s="112">
        <v>95.727272727272819</v>
      </c>
      <c r="X421" s="112">
        <v>95.727272727272819</v>
      </c>
      <c r="Y421" s="110">
        <v>95.727272727272819</v>
      </c>
      <c r="Z421" s="110">
        <v>95.727272727272819</v>
      </c>
      <c r="AA421" s="1589">
        <v>117.33</v>
      </c>
      <c r="AB421" s="1516">
        <v>117.33</v>
      </c>
      <c r="AC421" s="1798">
        <v>117.33</v>
      </c>
      <c r="AD421" s="1798">
        <v>117.33</v>
      </c>
      <c r="AE421" s="141"/>
      <c r="AF421" s="141"/>
      <c r="AG421" s="141"/>
      <c r="AH421"/>
      <c r="AI421" s="2419" t="str">
        <f>AI420</f>
        <v>Heating kWh Annual Savings (per ton)</v>
      </c>
      <c r="AJ421" s="112">
        <v>64.554437356313187</v>
      </c>
      <c r="AK421" s="112">
        <v>64.554437356313187</v>
      </c>
      <c r="AL421" s="112">
        <v>64.554437356313187</v>
      </c>
      <c r="AM421" s="112">
        <v>64.554437356313187</v>
      </c>
      <c r="AN421" s="1589">
        <v>223.04</v>
      </c>
      <c r="AO421" s="1516">
        <v>223.04</v>
      </c>
      <c r="AP421" s="110">
        <v>223.04</v>
      </c>
      <c r="AQ421" s="110">
        <v>223.04</v>
      </c>
      <c r="AR421" s="141"/>
      <c r="AS421" s="141"/>
      <c r="AT421"/>
      <c r="AU421" s="2419" t="str">
        <f>AU420</f>
        <v>Total kWh Annual Savings</v>
      </c>
      <c r="AV421" s="112">
        <v>160.28171008358601</v>
      </c>
      <c r="AW421" s="112">
        <v>160.28171008358601</v>
      </c>
      <c r="AX421" s="112">
        <v>160.28171008358601</v>
      </c>
      <c r="AY421" s="141"/>
      <c r="AZ421" s="1575">
        <v>340.37</v>
      </c>
      <c r="BA421" s="1516">
        <v>340.37</v>
      </c>
      <c r="BB421" s="141">
        <v>340.37</v>
      </c>
      <c r="BC421" s="141">
        <v>340.37</v>
      </c>
      <c r="BD421" s="141"/>
      <c r="BE421" s="141"/>
      <c r="BF421"/>
      <c r="BG421" s="2419" t="s">
        <v>180</v>
      </c>
      <c r="BH421" s="1576">
        <v>15</v>
      </c>
      <c r="BI421" s="1576">
        <v>15</v>
      </c>
      <c r="BJ421" s="1518">
        <v>15</v>
      </c>
      <c r="BK421" s="1518">
        <v>15</v>
      </c>
      <c r="BL421" s="1518">
        <v>15</v>
      </c>
      <c r="BM421" s="1516">
        <v>15</v>
      </c>
      <c r="BN421" s="1516">
        <v>15</v>
      </c>
      <c r="BO421" s="1516">
        <v>15</v>
      </c>
      <c r="BP421" s="141"/>
      <c r="BQ421" s="141"/>
      <c r="BT421" s="2419" t="str">
        <f>BT420</f>
        <v>Inc. Cost     (per ton)</v>
      </c>
      <c r="BU421" s="1577">
        <v>100</v>
      </c>
      <c r="BV421" s="1577">
        <v>100</v>
      </c>
      <c r="BW421" s="1577">
        <v>100</v>
      </c>
      <c r="BX421" s="1577">
        <v>100</v>
      </c>
      <c r="BY421" s="1577">
        <v>100</v>
      </c>
      <c r="BZ421" s="1615">
        <v>100</v>
      </c>
      <c r="CA421" s="1615">
        <v>100</v>
      </c>
      <c r="CB421" s="1615">
        <v>100</v>
      </c>
      <c r="CC421" s="141"/>
      <c r="CD421" s="141"/>
      <c r="DG421" s="1378">
        <f t="shared" si="157"/>
        <v>2.6657605380389646</v>
      </c>
      <c r="DH421" s="2381" t="str">
        <f t="shared" si="158"/>
        <v>Cooling BUS 15 Year EUL</v>
      </c>
      <c r="DI421" s="1029">
        <f>(INDEX('Avoided Cost Benefits'!$E$4:$E$859,MATCH(DH421,'Avoided Cost Benefits'!$A$4:$A$859,0)))*F421</f>
        <v>166.96724076526598</v>
      </c>
      <c r="DJ421" s="1029">
        <f t="shared" si="159"/>
        <v>94.384143463898056</v>
      </c>
      <c r="DK421" s="2381" t="str">
        <f t="shared" si="160"/>
        <v>Heating BUS 15 Year EUL</v>
      </c>
      <c r="DL421" s="2117">
        <f>(INDEX('Avoided Cost Benefits'!$E$4:$E$859,MATCH(DK421,'Avoided Cost Benefits'!$A$4:$A$859,0)))*G421</f>
        <v>84.638284297401739</v>
      </c>
    </row>
    <row r="422" spans="2:116" x14ac:dyDescent="0.35">
      <c r="C422" s="1614" t="s">
        <v>2791</v>
      </c>
      <c r="D422" s="1106" t="s">
        <v>2485</v>
      </c>
      <c r="E422" s="1105" t="s">
        <v>2792</v>
      </c>
      <c r="F422" s="965">
        <f t="shared" si="161"/>
        <v>127.93</v>
      </c>
      <c r="G422" s="965">
        <f>ROUND((P438/3.412*((1/L438)-(1/M438))*Q438),2)</f>
        <v>265.2</v>
      </c>
      <c r="H422" s="965">
        <f t="shared" si="155"/>
        <v>393.13</v>
      </c>
      <c r="I422" s="1087" t="s">
        <v>2720</v>
      </c>
      <c r="J422" s="1087" t="s">
        <v>2721</v>
      </c>
      <c r="K422" s="1088">
        <v>9.1068395835808389E-4</v>
      </c>
      <c r="L422" s="1160">
        <f t="shared" si="156"/>
        <v>0.116504</v>
      </c>
      <c r="M422" s="289">
        <v>15</v>
      </c>
      <c r="N422" s="1107">
        <v>100</v>
      </c>
      <c r="O422" s="1164" t="s">
        <v>2766</v>
      </c>
      <c r="P422" s="1175"/>
      <c r="Q422" s="1175"/>
      <c r="V422" s="2419" t="str">
        <f>V421</f>
        <v>Cooling kWh Annual Savings (per ton)</v>
      </c>
      <c r="W422" s="112">
        <v>43.348198970840535</v>
      </c>
      <c r="X422" s="112">
        <v>43.348198970840535</v>
      </c>
      <c r="Y422" s="110">
        <v>43.348198970840535</v>
      </c>
      <c r="Z422" s="110">
        <v>43.348198970840535</v>
      </c>
      <c r="AA422" s="1589">
        <v>127.93</v>
      </c>
      <c r="AB422" s="1516">
        <v>127.93</v>
      </c>
      <c r="AC422" s="1798">
        <v>127.93</v>
      </c>
      <c r="AD422" s="1798">
        <v>127.93</v>
      </c>
      <c r="AE422" s="141"/>
      <c r="AF422" s="141"/>
      <c r="AG422" s="141"/>
      <c r="AH422"/>
      <c r="AI422" s="2419" t="str">
        <f>AI421</f>
        <v>Heating kWh Annual Savings (per ton)</v>
      </c>
      <c r="AJ422" s="112">
        <v>183.94829394705997</v>
      </c>
      <c r="AK422" s="112">
        <v>183.94829394705997</v>
      </c>
      <c r="AL422" s="112">
        <v>183.94829394705997</v>
      </c>
      <c r="AM422" s="112">
        <v>183.94829394705997</v>
      </c>
      <c r="AN422" s="1589">
        <v>265.2</v>
      </c>
      <c r="AO422" s="1516">
        <v>265.2</v>
      </c>
      <c r="AP422" s="110">
        <v>265.2</v>
      </c>
      <c r="AQ422" s="110">
        <v>265.2</v>
      </c>
      <c r="AR422" s="141"/>
      <c r="AS422" s="141"/>
      <c r="AT422"/>
      <c r="AU422" s="2419" t="str">
        <f>AU421</f>
        <v>Total kWh Annual Savings</v>
      </c>
      <c r="AV422" s="112">
        <v>227.29649291790051</v>
      </c>
      <c r="AW422" s="112">
        <v>227.29649291790051</v>
      </c>
      <c r="AX422" s="112">
        <v>227.29649291790051</v>
      </c>
      <c r="AY422" s="141"/>
      <c r="AZ422" s="1575">
        <v>393.13</v>
      </c>
      <c r="BA422" s="1516">
        <v>393.13</v>
      </c>
      <c r="BB422" s="141">
        <v>393.13</v>
      </c>
      <c r="BC422" s="141">
        <v>393.13</v>
      </c>
      <c r="BD422" s="141"/>
      <c r="BE422" s="141"/>
      <c r="BF422"/>
      <c r="BG422" s="2419" t="s">
        <v>180</v>
      </c>
      <c r="BH422" s="1576">
        <v>15</v>
      </c>
      <c r="BI422" s="1576">
        <v>15</v>
      </c>
      <c r="BJ422" s="1518">
        <v>15</v>
      </c>
      <c r="BK422" s="1518">
        <v>15</v>
      </c>
      <c r="BL422" s="1518">
        <v>15</v>
      </c>
      <c r="BM422" s="1516">
        <v>15</v>
      </c>
      <c r="BN422" s="1516">
        <v>15</v>
      </c>
      <c r="BO422" s="1516">
        <v>15</v>
      </c>
      <c r="BP422" s="141"/>
      <c r="BQ422" s="141"/>
      <c r="BT422" s="2419" t="str">
        <f>BT421</f>
        <v>Inc. Cost     (per ton)</v>
      </c>
      <c r="BU422" s="1577">
        <v>100</v>
      </c>
      <c r="BV422" s="1577">
        <v>100</v>
      </c>
      <c r="BW422" s="1577">
        <v>100</v>
      </c>
      <c r="BX422" s="1577">
        <v>100</v>
      </c>
      <c r="BY422" s="1577">
        <v>100</v>
      </c>
      <c r="BZ422" s="1615">
        <v>100</v>
      </c>
      <c r="CA422" s="1615">
        <v>100</v>
      </c>
      <c r="CB422" s="1615">
        <v>100</v>
      </c>
      <c r="CC422" s="141"/>
      <c r="CD422" s="141"/>
      <c r="DG422" s="1378">
        <f t="shared" si="157"/>
        <v>2.9950859924331734</v>
      </c>
      <c r="DH422" s="2381" t="str">
        <f t="shared" si="158"/>
        <v>Cooling BUS 15 Year EUL</v>
      </c>
      <c r="DI422" s="1029">
        <f>(INDEX('Avoided Cost Benefits'!$E$4:$E$859,MATCH(DH422,'Avoided Cost Benefits'!$A$4:$A$859,0)))*F422</f>
        <v>182.05164161851596</v>
      </c>
      <c r="DJ422" s="1029">
        <f t="shared" si="159"/>
        <v>94.384143463898056</v>
      </c>
      <c r="DK422" s="2381" t="str">
        <f t="shared" si="160"/>
        <v>Heating BUS 15 Year EUL</v>
      </c>
      <c r="DL422" s="2117">
        <f>(INDEX('Avoided Cost Benefits'!$E$4:$E$859,MATCH(DK422,'Avoided Cost Benefits'!$A$4:$A$859,0)))*G422</f>
        <v>100.63698437800817</v>
      </c>
    </row>
    <row r="423" spans="2:116" x14ac:dyDescent="0.35">
      <c r="C423" s="1614" t="s">
        <v>2793</v>
      </c>
      <c r="D423" s="1106" t="s">
        <v>2485</v>
      </c>
      <c r="E423" s="1105" t="s">
        <v>2794</v>
      </c>
      <c r="F423" s="965">
        <f t="shared" si="161"/>
        <v>146.25</v>
      </c>
      <c r="G423" s="965">
        <f>ROUND((P439/3.412*((1/L439)-(1/M439))*Q439),2)</f>
        <v>265.2</v>
      </c>
      <c r="H423" s="965">
        <f t="shared" si="155"/>
        <v>411.45</v>
      </c>
      <c r="I423" s="1087" t="s">
        <v>2720</v>
      </c>
      <c r="J423" s="1087" t="s">
        <v>2721</v>
      </c>
      <c r="K423" s="1088">
        <v>9.1068395835808389E-4</v>
      </c>
      <c r="L423" s="1160">
        <f t="shared" si="156"/>
        <v>0.133188</v>
      </c>
      <c r="M423" s="1114">
        <v>15</v>
      </c>
      <c r="N423" s="1107">
        <v>100</v>
      </c>
      <c r="O423" s="1164" t="s">
        <v>2766</v>
      </c>
      <c r="P423" s="1175"/>
      <c r="Q423" s="1175"/>
      <c r="V423" s="2419" t="str">
        <f>V422</f>
        <v>Cooling kWh Annual Savings (per ton)</v>
      </c>
      <c r="W423" s="112">
        <v>138.02979145978136</v>
      </c>
      <c r="X423" s="112">
        <v>138.02979145978136</v>
      </c>
      <c r="Y423" s="110">
        <v>138.02979145978136</v>
      </c>
      <c r="Z423" s="110">
        <v>138.02979145978136</v>
      </c>
      <c r="AA423" s="1589">
        <v>146.25</v>
      </c>
      <c r="AB423" s="1516">
        <v>146.25</v>
      </c>
      <c r="AC423" s="1798">
        <v>146.25</v>
      </c>
      <c r="AD423" s="1798">
        <v>146.25</v>
      </c>
      <c r="AE423" s="141"/>
      <c r="AF423" s="141"/>
      <c r="AG423" s="141"/>
      <c r="AH423"/>
      <c r="AI423" s="2419" t="str">
        <f>AI422</f>
        <v>Heating kWh Annual Savings (per ton)</v>
      </c>
      <c r="AJ423" s="112">
        <v>129.44509574052361</v>
      </c>
      <c r="AK423" s="112">
        <v>129.44509574052361</v>
      </c>
      <c r="AL423" s="112">
        <v>129.44509574052361</v>
      </c>
      <c r="AM423" s="112">
        <v>129.44509574052361</v>
      </c>
      <c r="AN423" s="1589">
        <v>265.2</v>
      </c>
      <c r="AO423" s="1516">
        <v>265.2</v>
      </c>
      <c r="AP423" s="110">
        <v>265.2</v>
      </c>
      <c r="AQ423" s="110">
        <v>265.2</v>
      </c>
      <c r="AR423" s="141"/>
      <c r="AS423" s="141"/>
      <c r="AT423"/>
      <c r="AU423" s="2419" t="str">
        <f>AU422</f>
        <v>Total kWh Annual Savings</v>
      </c>
      <c r="AV423" s="112">
        <v>267.47488720030498</v>
      </c>
      <c r="AW423" s="112">
        <v>267.47488720030498</v>
      </c>
      <c r="AX423" s="112">
        <v>267.47488720030498</v>
      </c>
      <c r="AY423" s="141"/>
      <c r="AZ423" s="1575">
        <v>411.45</v>
      </c>
      <c r="BA423" s="1516">
        <v>411.45</v>
      </c>
      <c r="BB423" s="141">
        <v>411.45</v>
      </c>
      <c r="BC423" s="141">
        <v>411.45</v>
      </c>
      <c r="BD423" s="141"/>
      <c r="BE423" s="141"/>
      <c r="BF423"/>
      <c r="BG423" s="2419" t="s">
        <v>180</v>
      </c>
      <c r="BH423" s="1576">
        <v>15</v>
      </c>
      <c r="BI423" s="1576">
        <v>15</v>
      </c>
      <c r="BJ423" s="1518">
        <v>15</v>
      </c>
      <c r="BK423" s="1518">
        <v>15</v>
      </c>
      <c r="BL423" s="1518">
        <v>15</v>
      </c>
      <c r="BM423" s="1516">
        <v>15</v>
      </c>
      <c r="BN423" s="1516">
        <v>15</v>
      </c>
      <c r="BO423" s="1516">
        <v>15</v>
      </c>
      <c r="BP423" s="141"/>
      <c r="BQ423" s="141"/>
      <c r="BT423" s="2419" t="str">
        <f>BT422</f>
        <v>Inc. Cost     (per ton)</v>
      </c>
      <c r="BU423" s="1577">
        <v>100</v>
      </c>
      <c r="BV423" s="1577">
        <v>100</v>
      </c>
      <c r="BW423" s="1577">
        <v>100</v>
      </c>
      <c r="BX423" s="1577">
        <v>100</v>
      </c>
      <c r="BY423" s="1577">
        <v>100</v>
      </c>
      <c r="BZ423" s="1615">
        <v>100</v>
      </c>
      <c r="CA423" s="1615">
        <v>100</v>
      </c>
      <c r="CB423" s="1615">
        <v>100</v>
      </c>
      <c r="CC423" s="141"/>
      <c r="CD423" s="141"/>
      <c r="DG423" s="1378">
        <f t="shared" si="157"/>
        <v>3.2713018640724343</v>
      </c>
      <c r="DH423" s="2381" t="str">
        <f t="shared" si="158"/>
        <v>Cooling BUS 15 Year EUL</v>
      </c>
      <c r="DI423" s="1029">
        <f>(INDEX('Avoided Cost Benefits'!$E$4:$E$859,MATCH(DH423,'Avoided Cost Benefits'!$A$4:$A$859,0)))*F423</f>
        <v>208.12204007432157</v>
      </c>
      <c r="DJ423" s="1029">
        <f t="shared" si="159"/>
        <v>94.384143463898056</v>
      </c>
      <c r="DK423" s="2381" t="str">
        <f t="shared" si="160"/>
        <v>Heating BUS 15 Year EUL</v>
      </c>
      <c r="DL423" s="2117">
        <f>(INDEX('Avoided Cost Benefits'!$E$4:$E$859,MATCH(DK423,'Avoided Cost Benefits'!$A$4:$A$859,0)))*G423</f>
        <v>100.63698437800817</v>
      </c>
    </row>
    <row r="424" spans="2:116" x14ac:dyDescent="0.35">
      <c r="C424" s="1614" t="s">
        <v>2795</v>
      </c>
      <c r="D424" s="1106" t="s">
        <v>2485</v>
      </c>
      <c r="E424" s="1105" t="s">
        <v>2796</v>
      </c>
      <c r="F424" s="965">
        <f>ROUND((F440*((1/I440)-(1/J440))*K440),2)</f>
        <v>106.52</v>
      </c>
      <c r="G424" s="965">
        <f>ROUND((P440*((1/N440)-(1/O440))*Q440),2)</f>
        <v>222.73</v>
      </c>
      <c r="H424" s="965">
        <f t="shared" si="155"/>
        <v>329.25</v>
      </c>
      <c r="I424" s="1087" t="s">
        <v>2720</v>
      </c>
      <c r="J424" s="1087" t="s">
        <v>2721</v>
      </c>
      <c r="K424" s="1088">
        <v>9.1068395835808389E-4</v>
      </c>
      <c r="L424" s="1160">
        <f t="shared" si="156"/>
        <v>9.7005999999999995E-2</v>
      </c>
      <c r="M424" s="1114">
        <v>15</v>
      </c>
      <c r="N424" s="1107">
        <v>100</v>
      </c>
      <c r="O424" s="1164" t="s">
        <v>2766</v>
      </c>
      <c r="P424" s="1175"/>
      <c r="Q424" s="1175"/>
      <c r="V424" s="88" t="str">
        <f>V423</f>
        <v>Cooling kWh Annual Savings (per ton)</v>
      </c>
      <c r="W424" s="112">
        <v>69.42857142857153</v>
      </c>
      <c r="X424" s="112">
        <v>69.42857142857153</v>
      </c>
      <c r="Y424" s="110">
        <v>69.42857142857153</v>
      </c>
      <c r="Z424" s="110">
        <v>69.42857142857153</v>
      </c>
      <c r="AA424" s="1589">
        <v>106.52</v>
      </c>
      <c r="AB424" s="1516">
        <v>106.52</v>
      </c>
      <c r="AC424" s="1798">
        <v>106.52</v>
      </c>
      <c r="AD424" s="1798">
        <v>106.52</v>
      </c>
      <c r="AE424" s="141"/>
      <c r="AF424" s="141"/>
      <c r="AG424" s="141"/>
      <c r="AH424"/>
      <c r="AI424" s="2419" t="str">
        <f>AI423</f>
        <v>Heating kWh Annual Savings (per ton)</v>
      </c>
      <c r="AJ424" s="112">
        <v>61.948051948051791</v>
      </c>
      <c r="AK424" s="112">
        <v>61.948051948051791</v>
      </c>
      <c r="AL424" s="112">
        <v>61.948051948051791</v>
      </c>
      <c r="AM424" s="112">
        <v>61.948051948051791</v>
      </c>
      <c r="AN424" s="1589">
        <v>222.73</v>
      </c>
      <c r="AO424" s="1516">
        <v>222.73</v>
      </c>
      <c r="AP424" s="110">
        <v>222.73</v>
      </c>
      <c r="AQ424" s="110">
        <v>222.73</v>
      </c>
      <c r="AR424" s="141"/>
      <c r="AS424" s="141"/>
      <c r="AT424"/>
      <c r="AU424" s="2419" t="str">
        <f>AU423</f>
        <v>Total kWh Annual Savings</v>
      </c>
      <c r="AV424" s="112">
        <v>131.37662337662331</v>
      </c>
      <c r="AW424" s="112">
        <v>131.37662337662331</v>
      </c>
      <c r="AX424" s="112">
        <v>131.37662337662331</v>
      </c>
      <c r="AY424" s="141"/>
      <c r="AZ424" s="1575">
        <v>329.25</v>
      </c>
      <c r="BA424" s="1516">
        <v>329.25</v>
      </c>
      <c r="BB424" s="141">
        <v>329.25</v>
      </c>
      <c r="BC424" s="141">
        <v>329.25</v>
      </c>
      <c r="BD424" s="141"/>
      <c r="BE424" s="141"/>
      <c r="BF424"/>
      <c r="BG424" s="2419" t="s">
        <v>180</v>
      </c>
      <c r="BH424" s="1576">
        <v>15</v>
      </c>
      <c r="BI424" s="1576">
        <v>15</v>
      </c>
      <c r="BJ424" s="1518">
        <v>15</v>
      </c>
      <c r="BK424" s="1518">
        <v>15</v>
      </c>
      <c r="BL424" s="1518">
        <v>15</v>
      </c>
      <c r="BM424" s="1516">
        <v>15</v>
      </c>
      <c r="BN424" s="1516">
        <v>15</v>
      </c>
      <c r="BO424" s="1516">
        <v>15</v>
      </c>
      <c r="BP424" s="141"/>
      <c r="BQ424" s="141"/>
      <c r="BT424" s="2419" t="str">
        <f>BT423</f>
        <v>Inc. Cost     (per ton)</v>
      </c>
      <c r="BU424" s="1577">
        <v>100</v>
      </c>
      <c r="BV424" s="1577">
        <v>100</v>
      </c>
      <c r="BW424" s="1577">
        <v>100</v>
      </c>
      <c r="BX424" s="1577">
        <v>100</v>
      </c>
      <c r="BY424" s="1577">
        <v>100</v>
      </c>
      <c r="BZ424" s="1615">
        <v>100</v>
      </c>
      <c r="CA424" s="1615">
        <v>100</v>
      </c>
      <c r="CB424" s="1615">
        <v>100</v>
      </c>
      <c r="CC424" s="141"/>
      <c r="CD424" s="141"/>
      <c r="DG424" s="1378">
        <f t="shared" si="157"/>
        <v>2.5015287117103377</v>
      </c>
      <c r="DH424" s="2381" t="str">
        <f t="shared" si="158"/>
        <v>Cooling BUS 15 Year EUL</v>
      </c>
      <c r="DI424" s="1029">
        <f>(INDEX('Avoided Cost Benefits'!$E$4:$E$859,MATCH(DH424,'Avoided Cost Benefits'!$A$4:$A$859,0)))*F424</f>
        <v>151.58399800831955</v>
      </c>
      <c r="DJ424" s="1029">
        <f t="shared" si="159"/>
        <v>94.384143463898056</v>
      </c>
      <c r="DK424" s="2381" t="str">
        <f t="shared" si="160"/>
        <v>Heating BUS 15 Year EUL</v>
      </c>
      <c r="DL424" s="2117">
        <f>(INDEX('Avoided Cost Benefits'!$E$4:$E$859,MATCH(DK424,'Avoided Cost Benefits'!$A$4:$A$859,0)))*G424</f>
        <v>84.520646796809046</v>
      </c>
    </row>
    <row r="425" spans="2:116" hidden="1" outlineLevel="1" x14ac:dyDescent="0.35">
      <c r="E425" s="33"/>
      <c r="F425" s="33"/>
      <c r="G425" s="33"/>
      <c r="H425" s="1096"/>
      <c r="I425" s="33"/>
      <c r="J425" s="33"/>
      <c r="K425" s="33"/>
      <c r="M425" s="1175"/>
      <c r="N425" s="1175"/>
      <c r="O425" s="1175"/>
      <c r="P425" s="1175"/>
    </row>
    <row r="426" spans="2:116" hidden="1" outlineLevel="1" x14ac:dyDescent="0.35">
      <c r="D426" s="33" t="s">
        <v>2528</v>
      </c>
      <c r="E426" s="132"/>
      <c r="F426" s="33"/>
      <c r="G426" s="33"/>
      <c r="H426" s="1096"/>
      <c r="I426" s="33"/>
      <c r="J426" s="33"/>
      <c r="K426" s="132"/>
      <c r="M426" s="1175"/>
      <c r="N426" s="1175"/>
      <c r="O426" s="1175"/>
      <c r="P426" s="1175"/>
    </row>
    <row r="427" spans="2:116" hidden="1" outlineLevel="1" x14ac:dyDescent="0.35">
      <c r="E427" s="132"/>
      <c r="F427" s="1141" t="s">
        <v>2775</v>
      </c>
      <c r="G427" s="725"/>
      <c r="H427" s="1098"/>
      <c r="J427" s="1141" t="s">
        <v>2797</v>
      </c>
    </row>
    <row r="428" spans="2:116" hidden="1" outlineLevel="1" x14ac:dyDescent="0.35">
      <c r="D428" s="1097"/>
      <c r="G428" s="725"/>
      <c r="H428" s="1098"/>
    </row>
    <row r="429" spans="2:116" hidden="1" outlineLevel="1" x14ac:dyDescent="0.35">
      <c r="D429" s="1097"/>
      <c r="G429" s="725"/>
      <c r="H429" s="1098"/>
      <c r="M429" s="33"/>
    </row>
    <row r="430" spans="2:116" hidden="1" outlineLevel="1" x14ac:dyDescent="0.35">
      <c r="D430" s="1097"/>
      <c r="G430" s="725"/>
      <c r="H430" s="1098"/>
      <c r="M430" s="33"/>
    </row>
    <row r="431" spans="2:116" hidden="1" outlineLevel="1" x14ac:dyDescent="0.35">
      <c r="D431" s="1097"/>
      <c r="G431" s="725"/>
      <c r="H431" s="1098"/>
      <c r="M431" s="33"/>
    </row>
    <row r="432" spans="2:116" hidden="1" outlineLevel="1" x14ac:dyDescent="0.35">
      <c r="D432" s="1097"/>
      <c r="G432" s="725"/>
      <c r="H432" s="1098"/>
    </row>
    <row r="433" spans="2:114" hidden="1" outlineLevel="1" x14ac:dyDescent="0.35">
      <c r="D433" s="1097"/>
      <c r="G433" s="725"/>
      <c r="H433" s="1098"/>
    </row>
    <row r="434" spans="2:114" s="34" customFormat="1" ht="29" hidden="1" outlineLevel="1" x14ac:dyDescent="0.35">
      <c r="C434" s="132"/>
      <c r="D434" s="2327" t="s">
        <v>27</v>
      </c>
      <c r="E434" s="2327" t="s">
        <v>2597</v>
      </c>
      <c r="F434" s="68" t="s">
        <v>2777</v>
      </c>
      <c r="G434" s="2327" t="s">
        <v>2798</v>
      </c>
      <c r="H434" s="2327" t="s">
        <v>2799</v>
      </c>
      <c r="I434" s="2327" t="s">
        <v>2800</v>
      </c>
      <c r="J434" s="2429" t="s">
        <v>2779</v>
      </c>
      <c r="K434" s="2429" t="s">
        <v>2723</v>
      </c>
      <c r="L434" s="2429" t="s">
        <v>2801</v>
      </c>
      <c r="M434" s="2429" t="s">
        <v>2802</v>
      </c>
      <c r="N434" s="2429" t="s">
        <v>2803</v>
      </c>
      <c r="O434" s="2429" t="s">
        <v>1074</v>
      </c>
      <c r="P434" s="68" t="s">
        <v>2804</v>
      </c>
      <c r="Q434" s="2429" t="s">
        <v>2805</v>
      </c>
      <c r="R434" s="1605" t="s">
        <v>2806</v>
      </c>
      <c r="S434" s="1606"/>
      <c r="T434" s="350"/>
      <c r="U434" s="350"/>
      <c r="AU434" s="21"/>
      <c r="BR434" s="21"/>
      <c r="BS434" s="21"/>
      <c r="BT434" s="21"/>
      <c r="DE434" s="21"/>
      <c r="DF434" s="21"/>
      <c r="DG434" s="59"/>
    </row>
    <row r="435" spans="2:114" hidden="1" outlineLevel="1" x14ac:dyDescent="0.35">
      <c r="D435" s="1593" t="str">
        <f t="shared" ref="D435:D440" si="162">C419</f>
        <v>803500_2019_12_</v>
      </c>
      <c r="E435" s="1593" t="str">
        <f t="shared" ref="E435:E440" si="163">E419</f>
        <v>GSHP &lt;135kbtu; ≥17EER</v>
      </c>
      <c r="F435" s="1129">
        <v>12</v>
      </c>
      <c r="G435" s="1594">
        <v>16.2</v>
      </c>
      <c r="H435" s="1594">
        <v>17</v>
      </c>
      <c r="I435" s="1594"/>
      <c r="J435" s="1594"/>
      <c r="K435" s="1135">
        <v>1053</v>
      </c>
      <c r="L435" s="1153">
        <v>3.6</v>
      </c>
      <c r="M435" s="1153">
        <v>3.7</v>
      </c>
      <c r="N435" s="1153"/>
      <c r="O435" s="1176"/>
      <c r="P435" s="1127">
        <v>12</v>
      </c>
      <c r="Q435" s="1153">
        <v>1060</v>
      </c>
      <c r="R435" s="1177" t="s">
        <v>2807</v>
      </c>
      <c r="S435" s="1152"/>
    </row>
    <row r="436" spans="2:114" hidden="1" outlineLevel="1" x14ac:dyDescent="0.35">
      <c r="D436" s="1593" t="str">
        <f t="shared" si="162"/>
        <v>803550_2019_12_</v>
      </c>
      <c r="E436" s="1593" t="str">
        <f t="shared" si="163"/>
        <v>GSHP &lt;135kbtu; ≥19EER</v>
      </c>
      <c r="F436" s="1129">
        <v>12</v>
      </c>
      <c r="G436" s="1594">
        <v>16.2</v>
      </c>
      <c r="H436" s="1594">
        <v>19</v>
      </c>
      <c r="I436" s="1594"/>
      <c r="J436" s="1594"/>
      <c r="K436" s="1135">
        <v>1053</v>
      </c>
      <c r="L436" s="1153">
        <v>3.6</v>
      </c>
      <c r="M436" s="1153">
        <v>3.7</v>
      </c>
      <c r="N436" s="1153"/>
      <c r="O436" s="1176"/>
      <c r="P436" s="1127">
        <v>12</v>
      </c>
      <c r="Q436" s="1153">
        <v>1060</v>
      </c>
      <c r="R436" s="1177" t="s">
        <v>2807</v>
      </c>
      <c r="S436" s="1152"/>
    </row>
    <row r="437" spans="2:114" hidden="1" outlineLevel="1" x14ac:dyDescent="0.35">
      <c r="D437" s="1593" t="str">
        <f t="shared" si="162"/>
        <v>803600_2020_07_</v>
      </c>
      <c r="E437" s="1593" t="str">
        <f t="shared" si="163"/>
        <v>ASHP 65 - 135kbtu</v>
      </c>
      <c r="F437" s="1129">
        <v>12</v>
      </c>
      <c r="G437" s="1601"/>
      <c r="H437" s="1601"/>
      <c r="I437" s="1594">
        <v>11.2</v>
      </c>
      <c r="J437" s="1594">
        <f>ROUND(I437*1.12, 1)</f>
        <v>12.5</v>
      </c>
      <c r="K437" s="1135">
        <v>1053</v>
      </c>
      <c r="L437" s="1153">
        <v>2.25</v>
      </c>
      <c r="M437" s="1153">
        <v>2.6</v>
      </c>
      <c r="N437" s="1153"/>
      <c r="O437" s="1176"/>
      <c r="P437" s="1127">
        <v>12</v>
      </c>
      <c r="Q437" s="1153">
        <v>1060</v>
      </c>
      <c r="R437" s="1177" t="s">
        <v>2807</v>
      </c>
      <c r="S437" s="1152"/>
    </row>
    <row r="438" spans="2:114" hidden="1" outlineLevel="1" x14ac:dyDescent="0.35">
      <c r="D438" s="1593" t="str">
        <f t="shared" si="162"/>
        <v>803650_2020_07_</v>
      </c>
      <c r="E438" s="1593" t="str">
        <f t="shared" si="163"/>
        <v>ASHP 135 - 240kbtu</v>
      </c>
      <c r="F438" s="1129">
        <v>12</v>
      </c>
      <c r="G438" s="1601"/>
      <c r="H438" s="1601"/>
      <c r="I438" s="1594">
        <v>10.7</v>
      </c>
      <c r="J438" s="1594">
        <f t="shared" ref="J438:J440" si="164">ROUND(I438*1.12, 1)</f>
        <v>12</v>
      </c>
      <c r="K438" s="1135">
        <v>1053</v>
      </c>
      <c r="L438" s="1153">
        <v>2.0499999999999998</v>
      </c>
      <c r="M438" s="1153">
        <v>2.4</v>
      </c>
      <c r="N438" s="1153"/>
      <c r="O438" s="1176"/>
      <c r="P438" s="1127">
        <v>12</v>
      </c>
      <c r="Q438" s="1153">
        <v>1060</v>
      </c>
      <c r="R438" s="1177" t="s">
        <v>2807</v>
      </c>
      <c r="S438" s="1152"/>
    </row>
    <row r="439" spans="2:114" hidden="1" outlineLevel="1" x14ac:dyDescent="0.35">
      <c r="D439" s="1593" t="str">
        <f t="shared" si="162"/>
        <v>803700_2020_07_</v>
      </c>
      <c r="E439" s="1593" t="str">
        <f t="shared" si="163"/>
        <v>ASHP &gt;240kbtu</v>
      </c>
      <c r="F439" s="1129">
        <v>12</v>
      </c>
      <c r="G439" s="1601"/>
      <c r="H439" s="1601"/>
      <c r="I439" s="1594">
        <v>9.6</v>
      </c>
      <c r="J439" s="1594">
        <f t="shared" si="164"/>
        <v>10.8</v>
      </c>
      <c r="K439" s="1135">
        <v>1053</v>
      </c>
      <c r="L439" s="1153">
        <v>2.0499999999999998</v>
      </c>
      <c r="M439" s="1153">
        <v>2.4</v>
      </c>
      <c r="N439" s="1153"/>
      <c r="O439" s="1176"/>
      <c r="P439" s="1127">
        <v>12</v>
      </c>
      <c r="Q439" s="1153">
        <v>1060</v>
      </c>
      <c r="R439" s="1177" t="s">
        <v>2807</v>
      </c>
      <c r="S439" s="1152"/>
    </row>
    <row r="440" spans="2:114" hidden="1" outlineLevel="1" x14ac:dyDescent="0.35">
      <c r="D440" s="1593" t="str">
        <f t="shared" si="162"/>
        <v>803750_2020_07_</v>
      </c>
      <c r="E440" s="1593" t="str">
        <f t="shared" si="163"/>
        <v>ASHP &lt;65kbtu</v>
      </c>
      <c r="F440" s="1129">
        <v>12</v>
      </c>
      <c r="G440" s="1594"/>
      <c r="H440" s="1594"/>
      <c r="I440" s="1594">
        <v>13</v>
      </c>
      <c r="J440" s="1594">
        <f t="shared" si="164"/>
        <v>14.6</v>
      </c>
      <c r="K440" s="1135">
        <v>1053</v>
      </c>
      <c r="L440" s="1135"/>
      <c r="M440" s="1135"/>
      <c r="N440" s="1153">
        <v>7.7</v>
      </c>
      <c r="O440" s="1176">
        <v>8.9</v>
      </c>
      <c r="P440" s="1127">
        <v>12</v>
      </c>
      <c r="Q440" s="1153">
        <v>1060</v>
      </c>
      <c r="R440" s="1177" t="s">
        <v>2808</v>
      </c>
      <c r="S440" s="1152"/>
    </row>
    <row r="441" spans="2:114" collapsed="1" x14ac:dyDescent="0.35"/>
    <row r="443" spans="2:114" s="34" customFormat="1" ht="29" x14ac:dyDescent="0.35">
      <c r="B443" s="31"/>
      <c r="C443" s="35" t="s">
        <v>27</v>
      </c>
      <c r="D443" s="35" t="s">
        <v>28</v>
      </c>
      <c r="E443" s="2399" t="s">
        <v>29</v>
      </c>
      <c r="F443" s="2399" t="s">
        <v>2763</v>
      </c>
      <c r="G443" s="2399" t="s">
        <v>175</v>
      </c>
      <c r="H443" s="36" t="s">
        <v>176</v>
      </c>
      <c r="I443" s="2399" t="s">
        <v>31</v>
      </c>
      <c r="J443" s="2399" t="s">
        <v>180</v>
      </c>
      <c r="K443" s="35" t="s">
        <v>2809</v>
      </c>
      <c r="L443" s="35" t="s">
        <v>43</v>
      </c>
      <c r="M443" s="725"/>
      <c r="N443" s="725"/>
      <c r="O443" s="725"/>
      <c r="P443" s="350"/>
      <c r="Q443" s="350"/>
      <c r="R443" s="350"/>
      <c r="S443" s="350"/>
      <c r="T443" s="350"/>
      <c r="U443" s="350"/>
      <c r="V443" s="1572" t="s">
        <v>44</v>
      </c>
      <c r="W443" s="1573">
        <f>$W$8</f>
        <v>43252</v>
      </c>
      <c r="X443" s="1573">
        <f>$X$8</f>
        <v>43465</v>
      </c>
      <c r="Y443" s="1573">
        <f>$Y$8</f>
        <v>43800</v>
      </c>
      <c r="Z443" s="1573">
        <f>$Z$8</f>
        <v>43862</v>
      </c>
      <c r="AA443" s="1573">
        <f>$AA$8</f>
        <v>44013</v>
      </c>
      <c r="AB443" s="1573">
        <v>44166</v>
      </c>
      <c r="AC443" s="1573">
        <f>$AC$8</f>
        <v>44531</v>
      </c>
      <c r="AD443" s="1573">
        <f>$AD$8</f>
        <v>44774</v>
      </c>
      <c r="AE443" s="1573" t="str">
        <f>$AE$8</f>
        <v>-</v>
      </c>
      <c r="AF443" s="1573" t="str">
        <f>$AF$8</f>
        <v>-</v>
      </c>
      <c r="AG443" s="1573" t="str">
        <f>$AG$8</f>
        <v>-</v>
      </c>
      <c r="AH443"/>
      <c r="AI443" s="1572" t="s">
        <v>44</v>
      </c>
      <c r="AJ443" s="1573">
        <v>43252</v>
      </c>
      <c r="AK443" s="1573">
        <f>$X$8</f>
        <v>43465</v>
      </c>
      <c r="AL443" s="1573">
        <f>$Y$8</f>
        <v>43800</v>
      </c>
      <c r="AM443" s="1573">
        <f>$Z$8</f>
        <v>43862</v>
      </c>
      <c r="AN443" s="1573">
        <f>$AA$8</f>
        <v>44013</v>
      </c>
      <c r="AO443" s="1573">
        <f>$AB$8</f>
        <v>44166</v>
      </c>
      <c r="AP443" s="1573">
        <f>$AC$8</f>
        <v>44531</v>
      </c>
      <c r="AQ443" s="1573">
        <f>$AD$8</f>
        <v>44774</v>
      </c>
      <c r="AR443" s="1573" t="str">
        <f>$AE$8</f>
        <v>-</v>
      </c>
      <c r="AS443" s="1573" t="str">
        <f>$AF$8</f>
        <v>-</v>
      </c>
      <c r="AT443" s="21"/>
      <c r="AU443" s="1572" t="s">
        <v>44</v>
      </c>
      <c r="AV443" s="1573">
        <v>43252</v>
      </c>
      <c r="AW443" s="1573">
        <f>$X$8</f>
        <v>43465</v>
      </c>
      <c r="AX443" s="1573">
        <f>$Y$8</f>
        <v>43800</v>
      </c>
      <c r="AY443" s="1573">
        <f>$Z$8</f>
        <v>43862</v>
      </c>
      <c r="AZ443" s="1573">
        <f>$AA$8</f>
        <v>44013</v>
      </c>
      <c r="BA443" s="1573">
        <v>44166</v>
      </c>
      <c r="BB443" s="1573">
        <f>$AC$8</f>
        <v>44531</v>
      </c>
      <c r="BC443" s="1573">
        <f>$AD$8</f>
        <v>44774</v>
      </c>
      <c r="BD443" s="1573" t="str">
        <f>$AE$8</f>
        <v>-</v>
      </c>
      <c r="BE443" s="1573" t="str">
        <f>$AF$8</f>
        <v>-</v>
      </c>
      <c r="DE443" s="21"/>
      <c r="DF443" s="21"/>
      <c r="DG443" s="1574" t="str">
        <f>$DG$8</f>
        <v>TRC (2022)</v>
      </c>
      <c r="DH443" s="1584" t="str">
        <f>$DH$8</f>
        <v>Benefit Lookup</v>
      </c>
      <c r="DI443" s="1584" t="str">
        <f>$DI$8</f>
        <v>Benefits (2019 $)</v>
      </c>
      <c r="DJ443" s="1584" t="str">
        <f>$DJ$8</f>
        <v>Incremental Cost (2019 $)</v>
      </c>
    </row>
    <row r="444" spans="2:114" x14ac:dyDescent="0.35">
      <c r="C444" s="1614" t="s">
        <v>2810</v>
      </c>
      <c r="D444" s="1106" t="s">
        <v>2485</v>
      </c>
      <c r="E444" s="1105" t="s">
        <v>2811</v>
      </c>
      <c r="F444" s="965">
        <f>ROUND(F455*(G455-H455)*I455,2)</f>
        <v>411</v>
      </c>
      <c r="G444" s="1087" t="s">
        <v>2720</v>
      </c>
      <c r="H444" s="1088">
        <f>VLOOKUP(G444,'CP FACTORS'!$A$26:$B$38,2,FALSE)</f>
        <v>9.1068400000000004E-4</v>
      </c>
      <c r="I444" s="1106">
        <f>ROUND(H444*F444,6)</f>
        <v>0.37429099999999998</v>
      </c>
      <c r="J444" s="289">
        <v>20</v>
      </c>
      <c r="K444" s="1107">
        <v>106.23</v>
      </c>
      <c r="L444" s="1164" t="s">
        <v>2766</v>
      </c>
      <c r="M444" s="4571"/>
      <c r="N444" s="4571"/>
      <c r="O444" s="4571"/>
      <c r="V444" s="2419" t="str">
        <f>F443</f>
        <v>kWh Annual Savings (per ton)</v>
      </c>
      <c r="W444" s="112">
        <v>411</v>
      </c>
      <c r="X444" s="112">
        <v>411</v>
      </c>
      <c r="Y444" s="112">
        <v>411</v>
      </c>
      <c r="Z444" s="112">
        <v>411</v>
      </c>
      <c r="AA444" s="112">
        <v>411</v>
      </c>
      <c r="AB444" s="1516">
        <v>411</v>
      </c>
      <c r="AC444" s="1798">
        <v>411</v>
      </c>
      <c r="AD444" s="1741">
        <v>411</v>
      </c>
      <c r="AE444" s="141"/>
      <c r="AF444" s="141"/>
      <c r="AG444" s="141"/>
      <c r="AH444"/>
      <c r="AI444" s="88" t="s">
        <v>180</v>
      </c>
      <c r="AJ444" s="51">
        <v>20</v>
      </c>
      <c r="AK444" s="51">
        <v>20</v>
      </c>
      <c r="AL444" s="51">
        <v>20</v>
      </c>
      <c r="AM444" s="51">
        <v>20</v>
      </c>
      <c r="AN444" s="51">
        <v>20</v>
      </c>
      <c r="AO444" s="1518">
        <v>20</v>
      </c>
      <c r="AP444" s="1691">
        <v>20</v>
      </c>
      <c r="AQ444" s="1703">
        <v>20</v>
      </c>
      <c r="AR444" s="141"/>
      <c r="AS444" s="141"/>
      <c r="AU444" s="88" t="str">
        <f>K443</f>
        <v>Inc. Cost (per ton)</v>
      </c>
      <c r="AV444" s="1692">
        <v>106.23</v>
      </c>
      <c r="AW444" s="1692">
        <v>106.23</v>
      </c>
      <c r="AX444" s="1692">
        <v>106.23</v>
      </c>
      <c r="AY444" s="1692">
        <v>106.23</v>
      </c>
      <c r="AZ444" s="1692">
        <v>106.23</v>
      </c>
      <c r="BA444" s="1615">
        <v>106.23</v>
      </c>
      <c r="BB444" s="1615">
        <v>106.23</v>
      </c>
      <c r="BC444" s="1615">
        <v>106.23</v>
      </c>
      <c r="BD444" s="141"/>
      <c r="BE444" s="141"/>
      <c r="DG444" s="1585">
        <f>(DI444)/(DJ444)</f>
        <v>7.2242680721638255</v>
      </c>
      <c r="DH444" s="2381" t="str">
        <f>CONCATENATE(G444," ",J444," Year EUL")</f>
        <v>Cooling BUS 20 Year EUL</v>
      </c>
      <c r="DI444" s="1586">
        <f>(INDEX('Avoided Cost Benefits'!$E$4:$E$859,MATCH(DH444,'Avoided Cost Benefits'!$A$4:$A$859,0)))*F444</f>
        <v>724.33600500798786</v>
      </c>
      <c r="DJ444" s="1587">
        <f>K444/(1.0595^(2020-2019))</f>
        <v>100.26427560169891</v>
      </c>
    </row>
    <row r="445" spans="2:114" x14ac:dyDescent="0.35">
      <c r="C445" s="1614" t="s">
        <v>4139</v>
      </c>
      <c r="D445" s="1106" t="s">
        <v>2485</v>
      </c>
      <c r="E445" s="1105" t="s">
        <v>4140</v>
      </c>
      <c r="F445" s="965">
        <f>ROUND(F456*(G456-H456)*I456,2)</f>
        <v>122.15</v>
      </c>
      <c r="G445" s="1087" t="s">
        <v>2720</v>
      </c>
      <c r="H445" s="1088">
        <f>VLOOKUP(G445,'CP FACTORS'!$A$26:$B$38,2,FALSE)</f>
        <v>9.1068400000000004E-4</v>
      </c>
      <c r="I445" s="1106">
        <f>ROUND(H445*F445,6)</f>
        <v>0.11124000000000001</v>
      </c>
      <c r="J445" s="289">
        <v>20</v>
      </c>
      <c r="K445" s="1107">
        <v>106.23</v>
      </c>
      <c r="L445" s="1164" t="s">
        <v>2766</v>
      </c>
      <c r="M445" s="4571"/>
      <c r="N445" s="4571"/>
      <c r="O445" s="4571"/>
      <c r="V445" s="2419" t="str">
        <f>V444</f>
        <v>kWh Annual Savings (per ton)</v>
      </c>
      <c r="W445" s="2448"/>
      <c r="X445" s="2448"/>
      <c r="Y445" s="2448"/>
      <c r="Z445" s="2448"/>
      <c r="AA445" s="2448"/>
      <c r="AB445" s="2453"/>
      <c r="AC445" s="1798">
        <v>122.15</v>
      </c>
      <c r="AD445" s="1741">
        <v>122.15</v>
      </c>
      <c r="AE445" s="141"/>
      <c r="AF445" s="141"/>
      <c r="AG445" s="141"/>
      <c r="AH445"/>
      <c r="AI445" s="88" t="s">
        <v>180</v>
      </c>
      <c r="AJ445" s="2448"/>
      <c r="AK445" s="2448"/>
      <c r="AL445" s="2448"/>
      <c r="AM445" s="2448"/>
      <c r="AN445" s="2448"/>
      <c r="AO445" s="2453"/>
      <c r="AP445" s="118">
        <v>20</v>
      </c>
      <c r="AQ445" s="1703">
        <v>20</v>
      </c>
      <c r="AR445" s="141"/>
      <c r="AS445" s="141"/>
      <c r="AU445" s="88" t="str">
        <f>AU444</f>
        <v>Inc. Cost (per ton)</v>
      </c>
      <c r="AV445" s="2448"/>
      <c r="AW445" s="2448"/>
      <c r="AX445" s="2448"/>
      <c r="AY445" s="2448"/>
      <c r="AZ445" s="2448"/>
      <c r="BA445" s="2453"/>
      <c r="BB445" s="1929">
        <v>106.23</v>
      </c>
      <c r="BC445" s="1615">
        <v>106.23</v>
      </c>
      <c r="BD445" s="141"/>
      <c r="BE445" s="141"/>
      <c r="DG445" s="1585">
        <f>(DI445)/(DJ445)</f>
        <v>2.1470665328827523</v>
      </c>
      <c r="DH445" s="2381" t="str">
        <f>CONCATENATE(G445," ",J445," Year EUL")</f>
        <v>Cooling BUS 20 Year EUL</v>
      </c>
      <c r="DI445" s="1586">
        <f>(INDEX('Avoided Cost Benefits'!$E$4:$E$859,MATCH(DH445,'Avoided Cost Benefits'!$A$4:$A$859,0)))*F445</f>
        <v>215.27407058814043</v>
      </c>
      <c r="DJ445" s="1587">
        <f>K445/(1.0595^(2020-2019))</f>
        <v>100.26427560169891</v>
      </c>
    </row>
    <row r="446" spans="2:114" x14ac:dyDescent="0.35">
      <c r="E446" s="33"/>
      <c r="F446" s="33"/>
      <c r="G446" s="33"/>
      <c r="H446" s="1096"/>
      <c r="I446" s="33"/>
      <c r="J446" s="33"/>
      <c r="K446" s="33"/>
      <c r="M446" s="4571"/>
      <c r="N446" s="4571"/>
      <c r="O446" s="4571"/>
    </row>
    <row r="447" spans="2:114" hidden="1" outlineLevel="1" x14ac:dyDescent="0.35">
      <c r="D447" s="33" t="s">
        <v>2528</v>
      </c>
      <c r="E447" s="132"/>
      <c r="F447" s="33"/>
      <c r="G447" s="33"/>
      <c r="H447" s="1096"/>
      <c r="I447" s="33"/>
      <c r="J447" s="33"/>
      <c r="K447" s="33"/>
      <c r="M447" s="4571"/>
      <c r="N447" s="4571"/>
      <c r="O447" s="4571"/>
    </row>
    <row r="448" spans="2:114" hidden="1" outlineLevel="1" x14ac:dyDescent="0.35">
      <c r="D448" s="1097"/>
      <c r="E448" s="132"/>
      <c r="F448" s="1141"/>
      <c r="G448" s="725"/>
      <c r="H448" s="1098"/>
    </row>
    <row r="449" spans="3:114" hidden="1" outlineLevel="1" x14ac:dyDescent="0.35">
      <c r="D449" s="1097"/>
      <c r="G449" s="725"/>
      <c r="H449" s="1098"/>
    </row>
    <row r="450" spans="3:114" hidden="1" outlineLevel="1" x14ac:dyDescent="0.35">
      <c r="D450" s="1097"/>
      <c r="G450" s="725"/>
      <c r="H450" s="1098"/>
    </row>
    <row r="451" spans="3:114" hidden="1" outlineLevel="1" x14ac:dyDescent="0.35">
      <c r="D451" s="1097"/>
      <c r="G451" s="725"/>
      <c r="H451" s="1098"/>
    </row>
    <row r="452" spans="3:114" hidden="1" outlineLevel="1" x14ac:dyDescent="0.35">
      <c r="D452" s="1097"/>
      <c r="G452" s="725"/>
      <c r="H452" s="1098"/>
    </row>
    <row r="453" spans="3:114" hidden="1" outlineLevel="1" x14ac:dyDescent="0.35">
      <c r="D453" s="1097"/>
      <c r="G453" s="725"/>
      <c r="H453" s="1098"/>
    </row>
    <row r="454" spans="3:114" s="34" customFormat="1" ht="29" hidden="1" outlineLevel="1" x14ac:dyDescent="0.35">
      <c r="C454" s="132"/>
      <c r="D454" s="2327" t="s">
        <v>27</v>
      </c>
      <c r="E454" s="2327" t="s">
        <v>2597</v>
      </c>
      <c r="F454" s="68" t="s">
        <v>2812</v>
      </c>
      <c r="G454" s="2327" t="s">
        <v>2813</v>
      </c>
      <c r="H454" s="2327" t="s">
        <v>2814</v>
      </c>
      <c r="I454" s="2327" t="s">
        <v>2780</v>
      </c>
      <c r="J454" s="350"/>
      <c r="K454" s="350"/>
      <c r="L454" s="350"/>
      <c r="M454" s="350"/>
      <c r="N454" s="350"/>
      <c r="O454" s="350"/>
      <c r="P454" s="350"/>
      <c r="Q454" s="350"/>
      <c r="R454" s="350"/>
      <c r="S454" s="350"/>
      <c r="T454" s="350"/>
      <c r="U454" s="350"/>
      <c r="DE454" s="21"/>
      <c r="DF454" s="21"/>
      <c r="DG454" s="59"/>
    </row>
    <row r="455" spans="3:114" hidden="1" outlineLevel="1" x14ac:dyDescent="0.35">
      <c r="D455" s="1593" t="str">
        <f>C444</f>
        <v>803800_2019_12_</v>
      </c>
      <c r="E455" s="1099" t="str">
        <f>E444</f>
        <v>Air Cooled Chiller</v>
      </c>
      <c r="F455" s="1178">
        <v>1</v>
      </c>
      <c r="G455" s="1179">
        <f>12/(3.66*3.412)</f>
        <v>0.96092864143908663</v>
      </c>
      <c r="H455" s="1594">
        <v>0.57061525112569633</v>
      </c>
      <c r="I455" s="1594">
        <v>1053</v>
      </c>
    </row>
    <row r="456" spans="3:114" hidden="1" outlineLevel="1" x14ac:dyDescent="0.35">
      <c r="D456" s="1593" t="str">
        <f>C445</f>
        <v>803810_2021_12_</v>
      </c>
      <c r="E456" s="1099" t="str">
        <f>E445</f>
        <v>Water Cooled Chiller</v>
      </c>
      <c r="F456" s="1178">
        <v>1</v>
      </c>
      <c r="G456" s="1179">
        <v>0.57999999999999996</v>
      </c>
      <c r="H456" s="1594">
        <f>G456*0.8</f>
        <v>0.46399999999999997</v>
      </c>
      <c r="I456" s="1594">
        <v>1053</v>
      </c>
    </row>
    <row r="457" spans="3:114" hidden="1" outlineLevel="1" x14ac:dyDescent="0.35">
      <c r="D457" s="33" t="s">
        <v>4141</v>
      </c>
    </row>
    <row r="458" spans="3:114" hidden="1" outlineLevel="1" x14ac:dyDescent="0.35">
      <c r="D458" s="33" t="s">
        <v>4142</v>
      </c>
    </row>
    <row r="459" spans="3:114" hidden="1" outlineLevel="1" x14ac:dyDescent="0.35">
      <c r="D459" s="2445"/>
    </row>
    <row r="460" spans="3:114" collapsed="1" x14ac:dyDescent="0.35"/>
    <row r="462" spans="3:114" ht="29" x14ac:dyDescent="0.35">
      <c r="C462" s="3595" t="s">
        <v>27</v>
      </c>
      <c r="D462" s="3595" t="s">
        <v>28</v>
      </c>
      <c r="E462" s="3596" t="s">
        <v>29</v>
      </c>
      <c r="F462" s="3596" t="s">
        <v>2763</v>
      </c>
      <c r="G462" s="3596" t="s">
        <v>175</v>
      </c>
      <c r="H462" s="3597" t="s">
        <v>176</v>
      </c>
      <c r="I462" s="3596" t="s">
        <v>31</v>
      </c>
      <c r="J462" s="3596" t="s">
        <v>180</v>
      </c>
      <c r="K462" s="3595" t="s">
        <v>2809</v>
      </c>
      <c r="L462" s="3595" t="s">
        <v>43</v>
      </c>
      <c r="V462" s="3342" t="s">
        <v>44</v>
      </c>
      <c r="W462" s="3331">
        <f>$W$8</f>
        <v>43252</v>
      </c>
      <c r="X462" s="3331">
        <f>$X$8</f>
        <v>43465</v>
      </c>
      <c r="Y462" s="3331">
        <f>$Y$8</f>
        <v>43800</v>
      </c>
      <c r="Z462" s="3331">
        <f>$Z$8</f>
        <v>43862</v>
      </c>
      <c r="AA462" s="3331">
        <f>$AA$8</f>
        <v>44013</v>
      </c>
      <c r="AB462" s="3331">
        <f>$AB$8</f>
        <v>44166</v>
      </c>
      <c r="AC462" s="3331">
        <f>$AC$8</f>
        <v>44531</v>
      </c>
      <c r="AD462" s="3331">
        <f>$AD$8</f>
        <v>44774</v>
      </c>
      <c r="AE462" s="3331" t="str">
        <f>$AE$8</f>
        <v>-</v>
      </c>
      <c r="AF462" s="3331" t="str">
        <f>$AF$8</f>
        <v>-</v>
      </c>
      <c r="AG462" s="3331" t="str">
        <f>$AG$8</f>
        <v>-</v>
      </c>
      <c r="AH462" s="84"/>
      <c r="AI462" s="3342" t="s">
        <v>44</v>
      </c>
      <c r="AJ462" s="3331">
        <v>43252</v>
      </c>
      <c r="AK462" s="3331">
        <f>$X$8</f>
        <v>43465</v>
      </c>
      <c r="AL462" s="3331">
        <f>$Y$8</f>
        <v>43800</v>
      </c>
      <c r="AM462" s="3331">
        <f>$Z$8</f>
        <v>43862</v>
      </c>
      <c r="AN462" s="3331">
        <f>$AA$8</f>
        <v>44013</v>
      </c>
      <c r="AO462" s="3331">
        <f>$AB$8</f>
        <v>44166</v>
      </c>
      <c r="AP462" s="3331">
        <f>$AC$8</f>
        <v>44531</v>
      </c>
      <c r="AQ462" s="3331">
        <f>$AD$8</f>
        <v>44774</v>
      </c>
      <c r="AR462" s="3331" t="str">
        <f>$AE$8</f>
        <v>-</v>
      </c>
      <c r="AS462" s="3331" t="str">
        <f>$AF$8</f>
        <v>-</v>
      </c>
      <c r="AT462" s="81"/>
      <c r="AU462" s="3342" t="s">
        <v>44</v>
      </c>
      <c r="AV462" s="3331">
        <v>43252</v>
      </c>
      <c r="AW462" s="3331">
        <f>$X$8</f>
        <v>43465</v>
      </c>
      <c r="AX462" s="3331">
        <f>$Y$8</f>
        <v>43800</v>
      </c>
      <c r="AY462" s="3331">
        <f>$Z$8</f>
        <v>43862</v>
      </c>
      <c r="AZ462" s="3331">
        <f>$AA$8</f>
        <v>44013</v>
      </c>
      <c r="BA462" s="3331">
        <v>44166</v>
      </c>
      <c r="BB462" s="3331">
        <f>$AC$8</f>
        <v>44531</v>
      </c>
      <c r="BC462" s="3331">
        <f>$AD$8</f>
        <v>44774</v>
      </c>
      <c r="BD462" s="3331" t="str">
        <f>$AE$8</f>
        <v>-</v>
      </c>
      <c r="BE462" s="3331" t="str">
        <f>$AF$8</f>
        <v>-</v>
      </c>
      <c r="BF462" s="2513"/>
      <c r="BG462" s="2513"/>
      <c r="BH462" s="2513"/>
      <c r="BI462" s="2513"/>
      <c r="BJ462" s="2513"/>
      <c r="BK462" s="2513"/>
      <c r="BL462" s="2513"/>
      <c r="BM462" s="2513"/>
      <c r="BN462" s="2513"/>
      <c r="BO462" s="2513"/>
      <c r="BP462" s="2513"/>
      <c r="BQ462" s="2513"/>
      <c r="BR462" s="2513"/>
      <c r="BS462" s="2513"/>
      <c r="BT462" s="2513"/>
      <c r="BU462" s="2513"/>
      <c r="BV462" s="2513"/>
      <c r="BW462" s="2513"/>
      <c r="BX462" s="2513"/>
      <c r="BY462" s="2513"/>
      <c r="BZ462" s="2513"/>
      <c r="CA462" s="2513"/>
      <c r="CB462" s="2513"/>
      <c r="CC462" s="2513"/>
      <c r="CD462" s="2513"/>
      <c r="CE462" s="2513"/>
      <c r="CF462" s="2513"/>
      <c r="CG462" s="2513"/>
      <c r="CH462" s="2513"/>
      <c r="CI462" s="2513"/>
      <c r="CJ462" s="2513"/>
      <c r="CK462" s="2513"/>
      <c r="CL462" s="2513"/>
      <c r="CM462" s="2513"/>
      <c r="CN462" s="2513"/>
      <c r="CO462" s="2513"/>
      <c r="CP462" s="2513"/>
      <c r="CQ462" s="2513"/>
      <c r="CR462" s="2513"/>
      <c r="CS462" s="2513"/>
      <c r="CT462" s="2513"/>
      <c r="CU462" s="2513"/>
      <c r="CV462" s="2513"/>
      <c r="CW462" s="2513"/>
      <c r="CX462" s="2513"/>
      <c r="CY462" s="2513"/>
      <c r="CZ462" s="2513"/>
      <c r="DA462" s="2513"/>
      <c r="DG462" s="1574" t="str">
        <f>$DG$8</f>
        <v>TRC (2022)</v>
      </c>
      <c r="DH462" s="1584" t="str">
        <f>$DH$8</f>
        <v>Benefit Lookup</v>
      </c>
      <c r="DI462" s="1584" t="str">
        <f>$DI$8</f>
        <v>Benefits (2019 $)</v>
      </c>
      <c r="DJ462" s="1584" t="str">
        <f>$DJ$8</f>
        <v>Incremental Cost (2019 $)</v>
      </c>
    </row>
    <row r="463" spans="3:114" x14ac:dyDescent="0.35">
      <c r="C463" s="3621" t="s">
        <v>4533</v>
      </c>
      <c r="D463" s="3262" t="s">
        <v>2485</v>
      </c>
      <c r="E463" s="3325" t="s">
        <v>4531</v>
      </c>
      <c r="F463" s="122">
        <f>ROUND(F471*(G471)*I471*H471,2)</f>
        <v>80.95</v>
      </c>
      <c r="G463" s="3324" t="s">
        <v>2720</v>
      </c>
      <c r="H463" s="3326">
        <f>VLOOKUP(G463,'CP FACTORS'!$A$26:$B$38,2,FALSE)</f>
        <v>9.1068400000000004E-4</v>
      </c>
      <c r="I463" s="3262">
        <f>ROUND(H463*F463,6)</f>
        <v>7.3719999999999994E-2</v>
      </c>
      <c r="J463" s="82">
        <v>5</v>
      </c>
      <c r="K463" s="3327">
        <v>5</v>
      </c>
      <c r="L463" s="3598" t="s">
        <v>2766</v>
      </c>
      <c r="V463" s="83" t="str">
        <f>F462</f>
        <v>kWh Annual Savings (per ton)</v>
      </c>
      <c r="W463" s="2463"/>
      <c r="X463" s="2463"/>
      <c r="Y463" s="2463"/>
      <c r="Z463" s="2463"/>
      <c r="AA463" s="2463"/>
      <c r="AB463" s="3609"/>
      <c r="AC463" s="3609"/>
      <c r="AD463" s="122">
        <v>80.95</v>
      </c>
      <c r="AE463" s="1589"/>
      <c r="AF463" s="1589"/>
      <c r="AG463" s="1589"/>
      <c r="AH463" s="84"/>
      <c r="AI463" s="293" t="s">
        <v>180</v>
      </c>
      <c r="AJ463" s="2463"/>
      <c r="AK463" s="2463"/>
      <c r="AL463" s="2463"/>
      <c r="AM463" s="2463"/>
      <c r="AN463" s="2463"/>
      <c r="AO463" s="3609"/>
      <c r="AP463" s="3609"/>
      <c r="AQ463" s="82">
        <v>5</v>
      </c>
      <c r="AR463" s="1589"/>
      <c r="AS463" s="1589"/>
      <c r="AT463" s="81"/>
      <c r="AU463" s="293" t="str">
        <f>K462</f>
        <v>Inc. Cost (per ton)</v>
      </c>
      <c r="AV463" s="3609"/>
      <c r="AW463" s="3609"/>
      <c r="AX463" s="3609"/>
      <c r="AY463" s="3609"/>
      <c r="AZ463" s="3609"/>
      <c r="BA463" s="3609"/>
      <c r="BB463" s="3609"/>
      <c r="BC463" s="3610">
        <v>5</v>
      </c>
      <c r="BD463" s="1589"/>
      <c r="BE463" s="1589"/>
      <c r="BF463" s="81"/>
      <c r="BG463" s="81"/>
      <c r="BH463" s="81"/>
      <c r="BI463" s="81"/>
      <c r="BJ463" s="81"/>
      <c r="BK463" s="81"/>
      <c r="BL463" s="81"/>
      <c r="BM463" s="81"/>
      <c r="BN463" s="81"/>
      <c r="BO463" s="81"/>
      <c r="BP463" s="81"/>
      <c r="BQ463" s="81"/>
      <c r="BR463" s="81"/>
      <c r="BS463" s="81"/>
      <c r="BT463" s="81"/>
      <c r="BU463" s="81"/>
      <c r="BV463" s="81"/>
      <c r="BW463" s="81"/>
      <c r="BX463" s="81"/>
      <c r="BY463" s="81"/>
      <c r="BZ463" s="81"/>
      <c r="CA463" s="81"/>
      <c r="CB463" s="81"/>
      <c r="CC463" s="81"/>
      <c r="CD463" s="81"/>
      <c r="CE463" s="84"/>
      <c r="CF463" s="84"/>
      <c r="CG463" s="84"/>
      <c r="CH463" s="84"/>
      <c r="CI463" s="81"/>
      <c r="CJ463" s="81"/>
      <c r="CK463" s="81"/>
      <c r="CL463" s="81"/>
      <c r="CM463" s="81"/>
      <c r="CN463" s="81"/>
      <c r="CO463" s="81"/>
      <c r="CP463" s="81"/>
      <c r="CQ463" s="81"/>
      <c r="CR463" s="81"/>
      <c r="CS463" s="81"/>
      <c r="CT463" s="84"/>
      <c r="CU463" s="84"/>
      <c r="CV463" s="84"/>
      <c r="CW463" s="84"/>
      <c r="CX463" s="81"/>
      <c r="CY463" s="81"/>
      <c r="CZ463" s="81"/>
      <c r="DA463" s="81"/>
      <c r="DG463" s="2527">
        <f>(DI463)/(DJ463)</f>
        <v>8.0069548163003503</v>
      </c>
      <c r="DH463" s="2528" t="str">
        <f>CONCATENATE(G463," ",J463," Year EUL")</f>
        <v>Cooling BUS 5 Year EUL</v>
      </c>
      <c r="DI463" s="3608">
        <f>(INDEX('Avoided Cost Benefits'!$D$4:$D$857,MATCH(DH463,'Avoided Cost Benefits'!$A$4:$A$857,0)))*F463</f>
        <v>37.786478604532093</v>
      </c>
      <c r="DJ463" s="2530">
        <f>K463/(1.0595^(2020-2019))</f>
        <v>4.7192071731949028</v>
      </c>
    </row>
    <row r="464" spans="3:114" x14ac:dyDescent="0.35">
      <c r="C464" s="3621" t="s">
        <v>4543</v>
      </c>
      <c r="D464" s="3262" t="s">
        <v>2485</v>
      </c>
      <c r="E464" s="3325" t="s">
        <v>4532</v>
      </c>
      <c r="F464" s="122">
        <f>ROUND(F472*(G472)*I472*H472,2)</f>
        <v>48.86</v>
      </c>
      <c r="G464" s="3324" t="s">
        <v>2720</v>
      </c>
      <c r="H464" s="3326">
        <f>VLOOKUP(G464,'CP FACTORS'!$A$26:$B$38,2,FALSE)</f>
        <v>9.1068400000000004E-4</v>
      </c>
      <c r="I464" s="3262">
        <f>ROUND(H464*F464,6)</f>
        <v>4.4496000000000001E-2</v>
      </c>
      <c r="J464" s="82">
        <v>5</v>
      </c>
      <c r="K464" s="3327">
        <v>5</v>
      </c>
      <c r="L464" s="3598" t="s">
        <v>2766</v>
      </c>
      <c r="V464" s="83" t="str">
        <f>V463</f>
        <v>kWh Annual Savings (per ton)</v>
      </c>
      <c r="W464" s="2463"/>
      <c r="X464" s="2463"/>
      <c r="Y464" s="2463"/>
      <c r="Z464" s="2463"/>
      <c r="AA464" s="2463"/>
      <c r="AB464" s="3609"/>
      <c r="AC464" s="3609"/>
      <c r="AD464" s="122">
        <v>48.86</v>
      </c>
      <c r="AE464" s="1589"/>
      <c r="AF464" s="1589"/>
      <c r="AG464" s="1589"/>
      <c r="AH464" s="84"/>
      <c r="AI464" s="293" t="s">
        <v>180</v>
      </c>
      <c r="AJ464" s="2463"/>
      <c r="AK464" s="2463"/>
      <c r="AL464" s="2463"/>
      <c r="AM464" s="2463"/>
      <c r="AN464" s="2463"/>
      <c r="AO464" s="3609"/>
      <c r="AP464" s="3609"/>
      <c r="AQ464" s="82">
        <v>5</v>
      </c>
      <c r="AR464" s="1589"/>
      <c r="AS464" s="1589"/>
      <c r="AT464" s="81"/>
      <c r="AU464" s="293" t="str">
        <f>AU463</f>
        <v>Inc. Cost (per ton)</v>
      </c>
      <c r="AV464" s="3609"/>
      <c r="AW464" s="3609"/>
      <c r="AX464" s="3609"/>
      <c r="AY464" s="3609"/>
      <c r="AZ464" s="3609"/>
      <c r="BA464" s="3609"/>
      <c r="BB464" s="3609"/>
      <c r="BC464" s="3610">
        <v>5</v>
      </c>
      <c r="BD464" s="1589"/>
      <c r="BE464" s="1589"/>
      <c r="BF464" s="81"/>
      <c r="BG464" s="81"/>
      <c r="BH464" s="81"/>
      <c r="BI464" s="81"/>
      <c r="BJ464" s="81"/>
      <c r="BK464" s="81"/>
      <c r="BL464" s="81"/>
      <c r="BM464" s="81"/>
      <c r="BN464" s="81"/>
      <c r="BO464" s="81"/>
      <c r="BP464" s="81"/>
      <c r="BQ464" s="81"/>
      <c r="BR464" s="81"/>
      <c r="BS464" s="81"/>
      <c r="BT464" s="81"/>
      <c r="BU464" s="81"/>
      <c r="BV464" s="81"/>
      <c r="BW464" s="81"/>
      <c r="BX464" s="81"/>
      <c r="BY464" s="81"/>
      <c r="BZ464" s="81"/>
      <c r="CA464" s="81"/>
      <c r="CB464" s="81"/>
      <c r="CC464" s="81"/>
      <c r="CD464" s="81"/>
      <c r="CE464" s="84"/>
      <c r="CF464" s="84"/>
      <c r="CG464" s="84"/>
      <c r="CH464" s="84"/>
      <c r="CI464" s="81"/>
      <c r="CJ464" s="81"/>
      <c r="CK464" s="81"/>
      <c r="CL464" s="81"/>
      <c r="CM464" s="81"/>
      <c r="CN464" s="81"/>
      <c r="CO464" s="81"/>
      <c r="CP464" s="81"/>
      <c r="CQ464" s="81"/>
      <c r="CR464" s="81"/>
      <c r="CS464" s="81"/>
      <c r="CT464" s="84"/>
      <c r="CU464" s="84"/>
      <c r="CV464" s="84"/>
      <c r="CW464" s="84"/>
      <c r="CX464" s="81"/>
      <c r="CY464" s="81"/>
      <c r="CZ464" s="81"/>
      <c r="DA464" s="81"/>
      <c r="DG464" s="2527">
        <f>(DI464)/(DJ464)</f>
        <v>4.8328574715804216</v>
      </c>
      <c r="DH464" s="2528" t="str">
        <f>CONCATENATE(G464," ",J464," Year EUL")</f>
        <v>Cooling BUS 5 Year EUL</v>
      </c>
      <c r="DI464" s="3608">
        <f>(INDEX('Avoided Cost Benefits'!$D$4:$D$857,MATCH(DH464,'Avoided Cost Benefits'!$A$4:$A$857,0)))*F464</f>
        <v>22.807255646910907</v>
      </c>
      <c r="DJ464" s="2530">
        <f>K464/(1.0595^(2020-2019))</f>
        <v>4.7192071731949028</v>
      </c>
    </row>
    <row r="466" spans="2:114" hidden="1" outlineLevel="1" x14ac:dyDescent="0.35">
      <c r="D466" s="2445" t="s">
        <v>2528</v>
      </c>
    </row>
    <row r="467" spans="2:114" hidden="1" outlineLevel="1" x14ac:dyDescent="0.35"/>
    <row r="468" spans="2:114" hidden="1" outlineLevel="1" x14ac:dyDescent="0.35"/>
    <row r="469" spans="2:114" hidden="1" outlineLevel="1" x14ac:dyDescent="0.35"/>
    <row r="470" spans="2:114" ht="29" hidden="1" outlineLevel="1" x14ac:dyDescent="0.35">
      <c r="D470" s="3599" t="s">
        <v>27</v>
      </c>
      <c r="E470" s="3599" t="s">
        <v>2597</v>
      </c>
      <c r="F470" s="3600" t="s">
        <v>2812</v>
      </c>
      <c r="G470" s="3599" t="s">
        <v>2813</v>
      </c>
      <c r="H470" s="3599" t="s">
        <v>2539</v>
      </c>
      <c r="I470" s="3599" t="s">
        <v>2780</v>
      </c>
    </row>
    <row r="471" spans="2:114" hidden="1" outlineLevel="1" x14ac:dyDescent="0.35">
      <c r="D471" s="3588" t="str">
        <f>C463</f>
        <v>803820_2022_12_</v>
      </c>
      <c r="E471" s="3601" t="str">
        <f>E463</f>
        <v>Air Cooled Chiller Tune up</v>
      </c>
      <c r="F471" s="3602">
        <v>1</v>
      </c>
      <c r="G471" s="3603">
        <f>12/(3.66*3.412)</f>
        <v>0.96092864143908663</v>
      </c>
      <c r="H471" s="3604">
        <v>0.08</v>
      </c>
      <c r="I471" s="3604">
        <v>1053</v>
      </c>
    </row>
    <row r="472" spans="2:114" hidden="1" outlineLevel="1" x14ac:dyDescent="0.35">
      <c r="D472" s="3588" t="str">
        <f>C464</f>
        <v>803825_2022_12_</v>
      </c>
      <c r="E472" s="3601" t="str">
        <f>E464</f>
        <v>Water Cooled Chiller Tune up</v>
      </c>
      <c r="F472" s="3602">
        <v>1</v>
      </c>
      <c r="G472" s="3603">
        <v>0.57999999999999996</v>
      </c>
      <c r="H472" s="3604">
        <v>0.08</v>
      </c>
      <c r="I472" s="3604">
        <v>1053</v>
      </c>
    </row>
    <row r="473" spans="2:114" hidden="1" outlineLevel="1" x14ac:dyDescent="0.35">
      <c r="D473" s="2445" t="s">
        <v>4141</v>
      </c>
      <c r="E473" s="81"/>
      <c r="F473" s="81"/>
      <c r="G473" s="3605"/>
      <c r="H473" s="3606"/>
      <c r="I473" s="81"/>
    </row>
    <row r="474" spans="2:114" hidden="1" outlineLevel="1" x14ac:dyDescent="0.35"/>
    <row r="475" spans="2:114" collapsed="1" x14ac:dyDescent="0.35"/>
    <row r="476" spans="2:114" s="33" customFormat="1" x14ac:dyDescent="0.35">
      <c r="B476" s="4553" t="s">
        <v>2815</v>
      </c>
      <c r="C476" s="4554"/>
      <c r="D476" s="4554"/>
      <c r="E476" s="4554"/>
      <c r="F476" s="4554"/>
      <c r="G476" s="4554"/>
      <c r="H476" s="4554"/>
      <c r="I476" s="4555"/>
      <c r="J476" s="4555"/>
      <c r="K476" s="4555"/>
      <c r="L476" s="4555"/>
      <c r="M476" s="3680"/>
      <c r="N476" s="3680"/>
      <c r="O476" s="3681"/>
      <c r="V476" s="2325" t="str">
        <f>B476</f>
        <v>Appliances</v>
      </c>
      <c r="W476" s="2326"/>
      <c r="X476" s="2326"/>
      <c r="Y476" s="2326"/>
      <c r="Z476" s="2326"/>
      <c r="AA476" s="2326"/>
      <c r="AB476" s="2326"/>
      <c r="AC476" s="2326"/>
      <c r="AD476" s="2326"/>
      <c r="AE476" s="2326"/>
      <c r="AF476" s="2326"/>
      <c r="AG476" s="2326"/>
      <c r="AH476" s="2326"/>
      <c r="AI476" s="2384"/>
      <c r="AJ476" s="21"/>
      <c r="AK476" s="21"/>
      <c r="AL476" s="21"/>
      <c r="AM476" s="21"/>
      <c r="AN476" s="21"/>
      <c r="AO476" s="21"/>
      <c r="AP476" s="21"/>
      <c r="AQ476" s="21"/>
      <c r="AR476" s="21"/>
      <c r="AS476" s="21"/>
      <c r="AT476" s="21"/>
      <c r="AU476" s="21"/>
      <c r="DE476" s="21"/>
      <c r="DF476" s="21"/>
      <c r="DG476" s="60"/>
    </row>
    <row r="477" spans="2:114" x14ac:dyDescent="0.35">
      <c r="D477" s="1085"/>
      <c r="E477" s="33"/>
      <c r="F477" s="33"/>
      <c r="G477" s="33"/>
      <c r="H477" s="1086"/>
      <c r="I477" s="33"/>
      <c r="J477" s="33"/>
      <c r="K477" s="33"/>
      <c r="L477" s="33"/>
      <c r="P477" s="33"/>
      <c r="Q477" s="33"/>
      <c r="R477" s="33"/>
      <c r="S477" s="33"/>
      <c r="T477" s="33"/>
      <c r="U477" s="33"/>
      <c r="V477"/>
      <c r="W477"/>
      <c r="X477"/>
      <c r="Y477"/>
      <c r="Z477"/>
      <c r="AA477"/>
      <c r="AB477"/>
      <c r="AC477"/>
      <c r="AD477"/>
      <c r="AE477"/>
      <c r="AF477"/>
      <c r="AG477"/>
      <c r="AH477"/>
      <c r="AI477"/>
      <c r="AJ477" s="31"/>
      <c r="AK477" s="31"/>
      <c r="AL477" s="31"/>
      <c r="AM477" s="31"/>
      <c r="AN477" s="31"/>
      <c r="AO477" s="31"/>
      <c r="AP477" s="31"/>
      <c r="AQ477" s="31"/>
      <c r="AR477" s="31"/>
      <c r="AS477" s="31"/>
      <c r="AT477" s="31"/>
      <c r="AU477" s="31"/>
    </row>
    <row r="478" spans="2:114" s="34" customFormat="1" x14ac:dyDescent="0.35">
      <c r="B478" s="31"/>
      <c r="C478" s="35" t="s">
        <v>27</v>
      </c>
      <c r="D478" s="35" t="s">
        <v>28</v>
      </c>
      <c r="E478" s="2399" t="s">
        <v>29</v>
      </c>
      <c r="F478" s="2399" t="s">
        <v>30</v>
      </c>
      <c r="G478" s="2399" t="s">
        <v>175</v>
      </c>
      <c r="H478" s="36" t="s">
        <v>176</v>
      </c>
      <c r="I478" s="2399" t="s">
        <v>31</v>
      </c>
      <c r="J478" s="2399" t="s">
        <v>180</v>
      </c>
      <c r="K478" s="35" t="s">
        <v>169</v>
      </c>
      <c r="L478" s="35" t="s">
        <v>43</v>
      </c>
      <c r="M478" s="725"/>
      <c r="N478" s="1180"/>
      <c r="O478" s="1157"/>
      <c r="P478" s="1158"/>
      <c r="Q478" s="350"/>
      <c r="R478" s="350"/>
      <c r="S478" s="350"/>
      <c r="T478" s="350"/>
      <c r="U478" s="350"/>
      <c r="V478" s="1572" t="s">
        <v>44</v>
      </c>
      <c r="W478" s="1573">
        <f>$W$8</f>
        <v>43252</v>
      </c>
      <c r="X478" s="1573">
        <f>$X$8</f>
        <v>43465</v>
      </c>
      <c r="Y478" s="1573">
        <f>$Y$8</f>
        <v>43800</v>
      </c>
      <c r="Z478" s="1573">
        <f>$Z$8</f>
        <v>43862</v>
      </c>
      <c r="AA478" s="1573">
        <f>$AA$8</f>
        <v>44013</v>
      </c>
      <c r="AB478" s="1573">
        <f>$AB$8</f>
        <v>44166</v>
      </c>
      <c r="AC478" s="1573">
        <f>$AC$8</f>
        <v>44531</v>
      </c>
      <c r="AD478" s="1573">
        <f>$AD$8</f>
        <v>44774</v>
      </c>
      <c r="AE478" s="1573" t="str">
        <f>$AE$8</f>
        <v>-</v>
      </c>
      <c r="AF478" s="1573" t="str">
        <f>$AF$8</f>
        <v>-</v>
      </c>
      <c r="AG478" s="1573" t="str">
        <f>$AG$8</f>
        <v>-</v>
      </c>
      <c r="AH478"/>
      <c r="AI478" s="1572" t="s">
        <v>44</v>
      </c>
      <c r="AJ478" s="1573">
        <v>43252</v>
      </c>
      <c r="AK478" s="1573">
        <f>$X$8</f>
        <v>43465</v>
      </c>
      <c r="AL478" s="1573">
        <f>$Y$8</f>
        <v>43800</v>
      </c>
      <c r="AM478" s="1573">
        <f>$Z$8</f>
        <v>43862</v>
      </c>
      <c r="AN478" s="1573">
        <f>$AA$8</f>
        <v>44013</v>
      </c>
      <c r="AO478" s="1573">
        <f>$AB$8</f>
        <v>44166</v>
      </c>
      <c r="AP478" s="1573">
        <f>$AC$8</f>
        <v>44531</v>
      </c>
      <c r="AQ478" s="1573">
        <f>$AD$8</f>
        <v>44774</v>
      </c>
      <c r="AR478" s="1573" t="str">
        <f>$AE$8</f>
        <v>-</v>
      </c>
      <c r="AS478" s="1573" t="str">
        <f>$AF$8</f>
        <v>-</v>
      </c>
      <c r="AT478" s="21"/>
      <c r="AU478" s="1572" t="s">
        <v>44</v>
      </c>
      <c r="AV478" s="1573">
        <v>43252</v>
      </c>
      <c r="AW478" s="1573">
        <f>$X$8</f>
        <v>43465</v>
      </c>
      <c r="AX478" s="1573">
        <f>$Y$8</f>
        <v>43800</v>
      </c>
      <c r="AY478" s="1573">
        <f>$Z$8</f>
        <v>43862</v>
      </c>
      <c r="AZ478" s="1573">
        <f>$AA$8</f>
        <v>44013</v>
      </c>
      <c r="BA478" s="1573">
        <v>44166</v>
      </c>
      <c r="BB478" s="1573">
        <f>$AC$8</f>
        <v>44531</v>
      </c>
      <c r="BC478" s="1573">
        <f>$AD$8</f>
        <v>44774</v>
      </c>
      <c r="BD478" s="1573" t="str">
        <f>$AE$8</f>
        <v>-</v>
      </c>
      <c r="BE478" s="1573" t="str">
        <f>$AF$8</f>
        <v>-</v>
      </c>
      <c r="DE478" s="21"/>
      <c r="DF478" s="21"/>
      <c r="DG478" s="1574" t="str">
        <f>$DG$8</f>
        <v>TRC (2022)</v>
      </c>
      <c r="DH478" s="1584" t="str">
        <f>$DH$8</f>
        <v>Benefit Lookup</v>
      </c>
      <c r="DI478" s="1584" t="str">
        <f>$DI$8</f>
        <v>Benefits (2019 $)</v>
      </c>
      <c r="DJ478" s="1584" t="str">
        <f>$DJ$8</f>
        <v>Incremental Cost (2019 $)</v>
      </c>
    </row>
    <row r="479" spans="2:114" x14ac:dyDescent="0.35">
      <c r="C479" s="1614" t="s">
        <v>2816</v>
      </c>
      <c r="D479" s="1106" t="s">
        <v>2485</v>
      </c>
      <c r="E479" s="1105" t="s">
        <v>2817</v>
      </c>
      <c r="F479" s="965">
        <f>ROUND(((F492*(1/G492)*I492)*(J492+(L492*P492)+(N492*Q492)))-((F492*(1/H492)*I492)*(K492+(M492*P492)+(O492*Q492))),2)</f>
        <v>907.62</v>
      </c>
      <c r="G479" s="1087" t="s">
        <v>2510</v>
      </c>
      <c r="H479" s="1088">
        <f>VLOOKUP(G479,'CP FACTORS'!$A$26:$B$38,2,FALSE)</f>
        <v>1.379439E-4</v>
      </c>
      <c r="I479" s="1106">
        <f>ROUND(H479*F479,6)</f>
        <v>0.12520100000000001</v>
      </c>
      <c r="J479" s="1146">
        <v>11</v>
      </c>
      <c r="K479" s="1107">
        <v>200</v>
      </c>
      <c r="L479" s="1164" t="s">
        <v>184</v>
      </c>
      <c r="V479" s="88" t="s">
        <v>30</v>
      </c>
      <c r="W479" s="112">
        <v>907.62032085561532</v>
      </c>
      <c r="X479" s="112">
        <v>907.62032085561532</v>
      </c>
      <c r="Y479" s="112">
        <v>907.62032085561532</v>
      </c>
      <c r="Z479" s="112">
        <v>907.62032085561532</v>
      </c>
      <c r="AA479" s="112">
        <v>907.62032085561532</v>
      </c>
      <c r="AB479" s="1516">
        <v>907.62</v>
      </c>
      <c r="AC479" s="1798">
        <v>907.62</v>
      </c>
      <c r="AD479" s="1798">
        <v>907.62</v>
      </c>
      <c r="AE479" s="141"/>
      <c r="AF479" s="141"/>
      <c r="AG479" s="141"/>
      <c r="AH479"/>
      <c r="AI479" s="88" t="s">
        <v>180</v>
      </c>
      <c r="AJ479" s="51">
        <v>11</v>
      </c>
      <c r="AK479" s="51">
        <v>11</v>
      </c>
      <c r="AL479" s="51">
        <v>11</v>
      </c>
      <c r="AM479" s="51">
        <v>11</v>
      </c>
      <c r="AN479" s="51">
        <v>11</v>
      </c>
      <c r="AO479" s="1518">
        <v>11</v>
      </c>
      <c r="AP479" s="1691">
        <v>11</v>
      </c>
      <c r="AQ479" s="1691">
        <v>11</v>
      </c>
      <c r="AR479" s="141"/>
      <c r="AS479" s="141"/>
      <c r="AU479" s="88" t="s">
        <v>169</v>
      </c>
      <c r="AV479" s="1692">
        <v>200</v>
      </c>
      <c r="AW479" s="1692">
        <v>200</v>
      </c>
      <c r="AX479" s="1692">
        <v>200</v>
      </c>
      <c r="AY479" s="1692">
        <v>200</v>
      </c>
      <c r="AZ479" s="1692">
        <v>200</v>
      </c>
      <c r="BA479" s="1615">
        <v>200</v>
      </c>
      <c r="BB479" s="1615">
        <v>200</v>
      </c>
      <c r="BC479" s="1615">
        <v>200</v>
      </c>
      <c r="BD479" s="141"/>
      <c r="BE479" s="141"/>
      <c r="DG479" s="1578">
        <f>(DI479)/(DJ479)</f>
        <v>1.930429645696051</v>
      </c>
      <c r="DH479" s="2381" t="str">
        <f>CONCATENATE(G479," ",J479," Year EUL")</f>
        <v>Miscellaneous BUS 11 Year EUL</v>
      </c>
      <c r="DI479" s="56">
        <f>(INDEX('Avoided Cost Benefits'!$E$4:$E$859,MATCH(DH479,'Avoided Cost Benefits'!$A$4:$A$859,0)))*F479</f>
        <v>364.40389725267596</v>
      </c>
      <c r="DJ479" s="1579">
        <f>K479/(1.0595^(2020-2019))</f>
        <v>188.76828692779611</v>
      </c>
    </row>
    <row r="480" spans="2:114" x14ac:dyDescent="0.35">
      <c r="C480" s="1614" t="s">
        <v>2818</v>
      </c>
      <c r="D480" s="1106" t="s">
        <v>2485</v>
      </c>
      <c r="E480" s="1105" t="s">
        <v>2819</v>
      </c>
      <c r="F480" s="965">
        <f>ROUND(((F493*(1/G493)*I493)*(J493+(L493*P493)+(N493*Q493)))-((F493*(1/H493)*I493)*(K493+(M493*P493)+(O493*Q493))),2)</f>
        <v>308.41000000000003</v>
      </c>
      <c r="G480" s="1087" t="s">
        <v>2510</v>
      </c>
      <c r="H480" s="1088">
        <f>VLOOKUP(G480,'CP FACTORS'!$A$26:$B$38,2,FALSE)</f>
        <v>1.379439E-4</v>
      </c>
      <c r="I480" s="1106">
        <f>ROUND(H480*F480,6)</f>
        <v>4.2542999999999997E-2</v>
      </c>
      <c r="J480" s="1146">
        <v>11</v>
      </c>
      <c r="K480" s="1107">
        <v>200</v>
      </c>
      <c r="L480" s="1164" t="s">
        <v>184</v>
      </c>
      <c r="V480" s="88" t="s">
        <v>30</v>
      </c>
      <c r="W480" s="112">
        <v>308.40938502673907</v>
      </c>
      <c r="X480" s="112">
        <v>308.40938502673907</v>
      </c>
      <c r="Y480" s="112">
        <v>308.40938502673907</v>
      </c>
      <c r="Z480" s="112">
        <v>308.40938502673907</v>
      </c>
      <c r="AA480" s="112">
        <v>308.40938502673907</v>
      </c>
      <c r="AB480" s="1516">
        <v>308.41000000000003</v>
      </c>
      <c r="AC480" s="1798">
        <v>308.41000000000003</v>
      </c>
      <c r="AD480" s="1798">
        <v>308.41000000000003</v>
      </c>
      <c r="AE480" s="141"/>
      <c r="AF480" s="141"/>
      <c r="AG480" s="141"/>
      <c r="AH480"/>
      <c r="AI480" s="88" t="s">
        <v>180</v>
      </c>
      <c r="AJ480" s="51">
        <v>11</v>
      </c>
      <c r="AK480" s="51">
        <v>11</v>
      </c>
      <c r="AL480" s="51">
        <v>11</v>
      </c>
      <c r="AM480" s="51">
        <v>11</v>
      </c>
      <c r="AN480" s="51">
        <v>11</v>
      </c>
      <c r="AO480" s="1518">
        <v>11</v>
      </c>
      <c r="AP480" s="1691">
        <v>11</v>
      </c>
      <c r="AQ480" s="1691">
        <v>11</v>
      </c>
      <c r="AR480" s="141"/>
      <c r="AS480" s="141"/>
      <c r="AU480" s="88" t="s">
        <v>169</v>
      </c>
      <c r="AV480" s="1692">
        <v>200</v>
      </c>
      <c r="AW480" s="1692">
        <v>200</v>
      </c>
      <c r="AX480" s="1692">
        <v>200</v>
      </c>
      <c r="AY480" s="1692">
        <v>200</v>
      </c>
      <c r="AZ480" s="1692">
        <v>200</v>
      </c>
      <c r="BA480" s="1615">
        <v>200</v>
      </c>
      <c r="BB480" s="1615">
        <v>200</v>
      </c>
      <c r="BC480" s="1615">
        <v>200</v>
      </c>
      <c r="BD480" s="141"/>
      <c r="BE480" s="141"/>
      <c r="DG480" s="40">
        <f>(DI480)/(DJ480)</f>
        <v>0.65596153349322306</v>
      </c>
      <c r="DH480" s="1580" t="str">
        <f>CONCATENATE(G480," ",J480," Year EUL")</f>
        <v>Miscellaneous BUS 11 Year EUL</v>
      </c>
      <c r="DI480" s="57">
        <f>(INDEX('Avoided Cost Benefits'!$E$4:$E$859,MATCH(DH480,'Avoided Cost Benefits'!$A$4:$A$859,0)))*F480</f>
        <v>123.82473496804587</v>
      </c>
      <c r="DJ480" s="1581">
        <f>K480/(1.0595^(2020-2019))</f>
        <v>188.76828692779611</v>
      </c>
    </row>
    <row r="481" spans="3:114" x14ac:dyDescent="0.35">
      <c r="C481" s="1614" t="s">
        <v>2820</v>
      </c>
      <c r="D481" s="1106" t="s">
        <v>2485</v>
      </c>
      <c r="E481" s="1105" t="s">
        <v>2821</v>
      </c>
      <c r="F481" s="965">
        <f>ROUND(((F494*(1/G494)*I494)*(J494+(L494*P494)+(N494*Q494)))-((F494*(1/H494)*I494)*(K494+(M494*P494)+(O494*Q494))),2)</f>
        <v>750.78</v>
      </c>
      <c r="G481" s="1087" t="s">
        <v>2510</v>
      </c>
      <c r="H481" s="1088">
        <f>VLOOKUP(G481,'CP FACTORS'!$A$26:$B$38,2,FALSE)</f>
        <v>1.379439E-4</v>
      </c>
      <c r="I481" s="1106">
        <f>ROUND(H481*F481,6)</f>
        <v>0.10356600000000001</v>
      </c>
      <c r="J481" s="1146">
        <v>11</v>
      </c>
      <c r="K481" s="1107">
        <v>200</v>
      </c>
      <c r="L481" s="1164" t="s">
        <v>184</v>
      </c>
      <c r="V481" s="88" t="s">
        <v>30</v>
      </c>
      <c r="W481" s="112">
        <v>750.78352941176479</v>
      </c>
      <c r="X481" s="112">
        <v>750.78352941176479</v>
      </c>
      <c r="Y481" s="112">
        <v>750.78352941176479</v>
      </c>
      <c r="Z481" s="112">
        <v>750.78352941176479</v>
      </c>
      <c r="AA481" s="112">
        <v>750.78352941176479</v>
      </c>
      <c r="AB481" s="1516">
        <v>750.78</v>
      </c>
      <c r="AC481" s="1798">
        <v>750.78</v>
      </c>
      <c r="AD481" s="1798">
        <v>750.78</v>
      </c>
      <c r="AE481" s="141"/>
      <c r="AF481" s="141"/>
      <c r="AG481" s="141"/>
      <c r="AH481"/>
      <c r="AI481" s="88" t="s">
        <v>180</v>
      </c>
      <c r="AJ481" s="51">
        <v>11</v>
      </c>
      <c r="AK481" s="51">
        <v>11</v>
      </c>
      <c r="AL481" s="51">
        <v>11</v>
      </c>
      <c r="AM481" s="51">
        <v>11</v>
      </c>
      <c r="AN481" s="51">
        <v>11</v>
      </c>
      <c r="AO481" s="1518">
        <v>11</v>
      </c>
      <c r="AP481" s="1691">
        <v>11</v>
      </c>
      <c r="AQ481" s="1691">
        <v>11</v>
      </c>
      <c r="AR481" s="141"/>
      <c r="AS481" s="141"/>
      <c r="AU481" s="88" t="s">
        <v>169</v>
      </c>
      <c r="AV481" s="1692">
        <v>200</v>
      </c>
      <c r="AW481" s="1692">
        <v>200</v>
      </c>
      <c r="AX481" s="1692">
        <v>200</v>
      </c>
      <c r="AY481" s="1692">
        <v>200</v>
      </c>
      <c r="AZ481" s="1692">
        <v>200</v>
      </c>
      <c r="BA481" s="1615">
        <v>200</v>
      </c>
      <c r="BB481" s="1615">
        <v>200</v>
      </c>
      <c r="BC481" s="1615">
        <v>200</v>
      </c>
      <c r="BD481" s="141"/>
      <c r="BE481" s="141"/>
      <c r="DG481" s="40">
        <f>(DI481)/(DJ481)</f>
        <v>1.5968444606726173</v>
      </c>
      <c r="DH481" s="1580" t="str">
        <f>CONCATENATE(G481," ",J481," Year EUL")</f>
        <v>Miscellaneous BUS 11 Year EUL</v>
      </c>
      <c r="DI481" s="57">
        <f>(INDEX('Avoided Cost Benefits'!$E$4:$E$859,MATCH(DH481,'Avoided Cost Benefits'!$A$4:$A$859,0)))*F481</f>
        <v>301.43359333131048</v>
      </c>
      <c r="DJ481" s="1581">
        <f>K481/(1.0595^(2020-2019))</f>
        <v>188.76828692779611</v>
      </c>
    </row>
    <row r="482" spans="3:114" x14ac:dyDescent="0.35">
      <c r="C482" s="1614" t="s">
        <v>2822</v>
      </c>
      <c r="D482" s="1106" t="s">
        <v>2485</v>
      </c>
      <c r="E482" s="1105" t="s">
        <v>2823</v>
      </c>
      <c r="F482" s="965">
        <f>ROUND(((F495*(1/G495)*I495)*(J495+(L495*P495)+(N495*Q495)))-((F495*(1/H495)*I495)*(K495+(M495*P495)+(O495*Q495))),2)</f>
        <v>151.57</v>
      </c>
      <c r="G482" s="1087" t="s">
        <v>2510</v>
      </c>
      <c r="H482" s="1088">
        <f>VLOOKUP(G482,'CP FACTORS'!$A$26:$B$38,2,FALSE)</f>
        <v>1.379439E-4</v>
      </c>
      <c r="I482" s="1106">
        <f>ROUND(H482*F482,6)</f>
        <v>2.0908E-2</v>
      </c>
      <c r="J482" s="1146">
        <v>11</v>
      </c>
      <c r="K482" s="1107">
        <v>200</v>
      </c>
      <c r="L482" s="1164" t="s">
        <v>184</v>
      </c>
      <c r="V482" s="88" t="s">
        <v>30</v>
      </c>
      <c r="W482" s="112">
        <v>151.57259358288775</v>
      </c>
      <c r="X482" s="112">
        <v>151.57259358288775</v>
      </c>
      <c r="Y482" s="112">
        <v>151.57259358288775</v>
      </c>
      <c r="Z482" s="112">
        <v>151.57259358288775</v>
      </c>
      <c r="AA482" s="112">
        <v>151.57259358288775</v>
      </c>
      <c r="AB482" s="1516">
        <v>151.57</v>
      </c>
      <c r="AC482" s="1798">
        <v>151.57</v>
      </c>
      <c r="AD482" s="1798">
        <v>151.57</v>
      </c>
      <c r="AE482" s="141"/>
      <c r="AF482" s="141"/>
      <c r="AG482" s="141"/>
      <c r="AH482"/>
      <c r="AI482" s="88" t="s">
        <v>180</v>
      </c>
      <c r="AJ482" s="51">
        <v>11</v>
      </c>
      <c r="AK482" s="51">
        <v>11</v>
      </c>
      <c r="AL482" s="51">
        <v>11</v>
      </c>
      <c r="AM482" s="51">
        <v>11</v>
      </c>
      <c r="AN482" s="51">
        <v>11</v>
      </c>
      <c r="AO482" s="1518">
        <v>11</v>
      </c>
      <c r="AP482" s="1691">
        <v>11</v>
      </c>
      <c r="AQ482" s="1691">
        <v>11</v>
      </c>
      <c r="AR482" s="141"/>
      <c r="AS482" s="141"/>
      <c r="AU482" s="88" t="s">
        <v>169</v>
      </c>
      <c r="AV482" s="1692">
        <v>200</v>
      </c>
      <c r="AW482" s="1692">
        <v>200</v>
      </c>
      <c r="AX482" s="1692">
        <v>200</v>
      </c>
      <c r="AY482" s="1692">
        <v>200</v>
      </c>
      <c r="AZ482" s="1692">
        <v>200</v>
      </c>
      <c r="BA482" s="1615">
        <v>200</v>
      </c>
      <c r="BB482" s="1615">
        <v>200</v>
      </c>
      <c r="BC482" s="1615">
        <v>200</v>
      </c>
      <c r="BD482" s="141"/>
      <c r="BE482" s="141"/>
      <c r="DG482" s="41">
        <f>(DI482)/(DJ482)</f>
        <v>0.32237634846978963</v>
      </c>
      <c r="DH482" s="1580" t="str">
        <f>CONCATENATE(G482," ",J482," Year EUL")</f>
        <v>Miscellaneous BUS 11 Year EUL</v>
      </c>
      <c r="DI482" s="58">
        <f>(INDEX('Avoided Cost Benefits'!$E$4:$E$859,MATCH(DH482,'Avoided Cost Benefits'!$A$4:$A$859,0)))*F482</f>
        <v>60.854431046680432</v>
      </c>
      <c r="DJ482" s="1582">
        <f>K482/(1.0595^(2020-2019))</f>
        <v>188.76828692779611</v>
      </c>
    </row>
    <row r="483" spans="3:114" hidden="1" outlineLevel="1" x14ac:dyDescent="0.35">
      <c r="E483" s="33"/>
      <c r="F483" s="33"/>
      <c r="G483" s="33"/>
      <c r="H483" s="1096"/>
      <c r="I483" s="33"/>
      <c r="J483" s="33"/>
      <c r="K483" s="33"/>
    </row>
    <row r="484" spans="3:114" hidden="1" outlineLevel="1" x14ac:dyDescent="0.35">
      <c r="D484" s="33" t="s">
        <v>2528</v>
      </c>
      <c r="E484" s="33"/>
      <c r="F484" s="33"/>
      <c r="G484" s="33"/>
      <c r="H484" s="1096"/>
      <c r="I484" s="33"/>
      <c r="J484" s="33"/>
      <c r="K484" s="33"/>
    </row>
    <row r="485" spans="3:114" hidden="1" outlineLevel="1" x14ac:dyDescent="0.35">
      <c r="D485" s="1097"/>
      <c r="G485" s="725"/>
      <c r="H485" s="1098"/>
    </row>
    <row r="486" spans="3:114" hidden="1" outlineLevel="1" x14ac:dyDescent="0.35">
      <c r="D486" s="1097"/>
      <c r="G486" s="725"/>
      <c r="H486" s="1098"/>
    </row>
    <row r="487" spans="3:114" hidden="1" outlineLevel="1" x14ac:dyDescent="0.35">
      <c r="D487" s="1097"/>
      <c r="G487" s="725"/>
      <c r="H487" s="1098"/>
      <c r="M487" s="33"/>
    </row>
    <row r="488" spans="3:114" hidden="1" outlineLevel="1" x14ac:dyDescent="0.35">
      <c r="D488" s="1097"/>
      <c r="G488" s="725"/>
      <c r="H488" s="1098"/>
      <c r="M488" s="33"/>
    </row>
    <row r="489" spans="3:114" hidden="1" outlineLevel="1" x14ac:dyDescent="0.35">
      <c r="D489" s="1097"/>
      <c r="G489" s="725"/>
      <c r="H489" s="1098"/>
      <c r="M489" s="33"/>
    </row>
    <row r="490" spans="3:114" hidden="1" outlineLevel="1" x14ac:dyDescent="0.35">
      <c r="D490" s="1097"/>
      <c r="G490" s="725"/>
      <c r="H490" s="1098"/>
    </row>
    <row r="491" spans="3:114" s="34" customFormat="1" hidden="1" outlineLevel="1" x14ac:dyDescent="0.35">
      <c r="C491" s="132"/>
      <c r="D491" s="2327" t="s">
        <v>27</v>
      </c>
      <c r="E491" s="2327" t="s">
        <v>2597</v>
      </c>
      <c r="F491" s="70" t="s">
        <v>2824</v>
      </c>
      <c r="G491" s="2327" t="s">
        <v>2825</v>
      </c>
      <c r="H491" s="2327" t="s">
        <v>2826</v>
      </c>
      <c r="I491" s="2327" t="s">
        <v>2827</v>
      </c>
      <c r="J491" s="2327" t="s">
        <v>2828</v>
      </c>
      <c r="K491" s="2327" t="s">
        <v>2829</v>
      </c>
      <c r="L491" s="2327" t="s">
        <v>2830</v>
      </c>
      <c r="M491" s="2327" t="s">
        <v>2831</v>
      </c>
      <c r="N491" s="2327" t="s">
        <v>2832</v>
      </c>
      <c r="O491" s="2327" t="s">
        <v>2833</v>
      </c>
      <c r="P491" s="2327" t="s">
        <v>2834</v>
      </c>
      <c r="Q491" s="2327" t="s">
        <v>2835</v>
      </c>
      <c r="R491" s="350"/>
      <c r="S491" s="350"/>
      <c r="T491" s="350"/>
      <c r="U491" s="350"/>
      <c r="DE491" s="21"/>
      <c r="DF491" s="21"/>
      <c r="DG491" s="59"/>
    </row>
    <row r="492" spans="3:114" hidden="1" outlineLevel="1" x14ac:dyDescent="0.35">
      <c r="D492" s="1593" t="str">
        <f>C479</f>
        <v>803850_2019_12_</v>
      </c>
      <c r="E492" s="1593" t="str">
        <f>E479</f>
        <v>Clothes Washer (Electric DHW; Electric Dryer)</v>
      </c>
      <c r="F492" s="1161">
        <v>3.1</v>
      </c>
      <c r="G492" s="72">
        <v>1.7</v>
      </c>
      <c r="H492" s="1181">
        <v>2.2000000000000002</v>
      </c>
      <c r="I492" s="1147">
        <v>2190</v>
      </c>
      <c r="J492" s="1174">
        <v>6.5000000000000002E-2</v>
      </c>
      <c r="K492" s="1174">
        <v>3.5000000000000003E-2</v>
      </c>
      <c r="L492" s="1174">
        <v>0.25900000000000001</v>
      </c>
      <c r="M492" s="1174">
        <v>0.14099999999999999</v>
      </c>
      <c r="N492" s="1174">
        <v>0.67600000000000005</v>
      </c>
      <c r="O492" s="1174">
        <v>0.82399999999999995</v>
      </c>
      <c r="P492" s="1174">
        <v>1</v>
      </c>
      <c r="Q492" s="1174">
        <v>1</v>
      </c>
    </row>
    <row r="493" spans="3:114" hidden="1" outlineLevel="1" x14ac:dyDescent="0.35">
      <c r="D493" s="1593" t="str">
        <f>C480</f>
        <v>803900_2019_12_</v>
      </c>
      <c r="E493" s="1593" t="str">
        <f>E480</f>
        <v>Clothes Washer (Gas DHW; Electric Dryer)</v>
      </c>
      <c r="F493" s="1161">
        <v>3.1</v>
      </c>
      <c r="G493" s="72">
        <v>1.7</v>
      </c>
      <c r="H493" s="1181">
        <v>2.2000000000000002</v>
      </c>
      <c r="I493" s="1147">
        <v>2190</v>
      </c>
      <c r="J493" s="1174">
        <v>6.5000000000000002E-2</v>
      </c>
      <c r="K493" s="1174">
        <v>3.5000000000000003E-2</v>
      </c>
      <c r="L493" s="1174">
        <v>0.25900000000000001</v>
      </c>
      <c r="M493" s="1174">
        <v>0.14099999999999999</v>
      </c>
      <c r="N493" s="1174">
        <v>0.67600000000000005</v>
      </c>
      <c r="O493" s="1174">
        <v>0.82399999999999995</v>
      </c>
      <c r="P493" s="1174">
        <v>0</v>
      </c>
      <c r="Q493" s="1174">
        <v>1</v>
      </c>
    </row>
    <row r="494" spans="3:114" hidden="1" outlineLevel="1" x14ac:dyDescent="0.35">
      <c r="D494" s="1593" t="str">
        <f>C481</f>
        <v>803950_2019_12_</v>
      </c>
      <c r="E494" s="1593" t="str">
        <f>E481</f>
        <v>Clothes Washer (Electric DHW; Gas Dryer)</v>
      </c>
      <c r="F494" s="1161">
        <v>3.1</v>
      </c>
      <c r="G494" s="72">
        <v>1.7</v>
      </c>
      <c r="H494" s="1181">
        <v>2.2000000000000002</v>
      </c>
      <c r="I494" s="1147">
        <v>2190</v>
      </c>
      <c r="J494" s="1174">
        <v>6.5000000000000002E-2</v>
      </c>
      <c r="K494" s="1174">
        <v>3.5000000000000003E-2</v>
      </c>
      <c r="L494" s="1174">
        <v>0.25900000000000001</v>
      </c>
      <c r="M494" s="1174">
        <v>0.14099999999999999</v>
      </c>
      <c r="N494" s="1174">
        <v>0.67600000000000005</v>
      </c>
      <c r="O494" s="1174">
        <v>0.82399999999999995</v>
      </c>
      <c r="P494" s="1174">
        <v>1</v>
      </c>
      <c r="Q494" s="1174">
        <v>0</v>
      </c>
    </row>
    <row r="495" spans="3:114" hidden="1" outlineLevel="1" x14ac:dyDescent="0.35">
      <c r="D495" s="1593" t="str">
        <f>C482</f>
        <v>804000_2019_12_</v>
      </c>
      <c r="E495" s="1593" t="str">
        <f>E482</f>
        <v>Clothes Washer (Gas DHW; Gas Dryer)</v>
      </c>
      <c r="F495" s="1161">
        <v>3.1</v>
      </c>
      <c r="G495" s="72">
        <v>1.7</v>
      </c>
      <c r="H495" s="1181">
        <v>2.2000000000000002</v>
      </c>
      <c r="I495" s="1147">
        <v>2190</v>
      </c>
      <c r="J495" s="1174">
        <v>6.5000000000000002E-2</v>
      </c>
      <c r="K495" s="1174">
        <v>3.5000000000000003E-2</v>
      </c>
      <c r="L495" s="1174">
        <v>0.25900000000000001</v>
      </c>
      <c r="M495" s="1174">
        <v>0.14099999999999999</v>
      </c>
      <c r="N495" s="1174">
        <v>0.67600000000000005</v>
      </c>
      <c r="O495" s="1174">
        <v>0.82399999999999995</v>
      </c>
      <c r="P495" s="1174">
        <v>0</v>
      </c>
      <c r="Q495" s="1174">
        <v>0</v>
      </c>
    </row>
    <row r="496" spans="3:114" collapsed="1" x14ac:dyDescent="0.35"/>
    <row r="498" spans="2:114" s="34" customFormat="1" x14ac:dyDescent="0.35">
      <c r="B498" s="31"/>
      <c r="C498" s="35" t="s">
        <v>27</v>
      </c>
      <c r="D498" s="35" t="s">
        <v>28</v>
      </c>
      <c r="E498" s="2399" t="s">
        <v>29</v>
      </c>
      <c r="F498" s="2399" t="s">
        <v>30</v>
      </c>
      <c r="G498" s="2399" t="s">
        <v>175</v>
      </c>
      <c r="H498" s="36" t="s">
        <v>176</v>
      </c>
      <c r="I498" s="2399" t="s">
        <v>31</v>
      </c>
      <c r="J498" s="2399" t="s">
        <v>180</v>
      </c>
      <c r="K498" s="35" t="s">
        <v>169</v>
      </c>
      <c r="L498" s="35" t="s">
        <v>43</v>
      </c>
      <c r="M498" s="725"/>
      <c r="N498" s="1180"/>
      <c r="O498" s="1157"/>
      <c r="P498" s="1158"/>
      <c r="Q498" s="350"/>
      <c r="R498" s="350"/>
      <c r="S498" s="350"/>
      <c r="T498" s="350"/>
      <c r="U498" s="350"/>
      <c r="V498" s="1572" t="s">
        <v>44</v>
      </c>
      <c r="W498" s="1573">
        <f>$W$8</f>
        <v>43252</v>
      </c>
      <c r="X498" s="1573">
        <f>$X$8</f>
        <v>43465</v>
      </c>
      <c r="Y498" s="1573">
        <f>$Y$8</f>
        <v>43800</v>
      </c>
      <c r="Z498" s="1573">
        <f>$Z$8</f>
        <v>43862</v>
      </c>
      <c r="AA498" s="1573">
        <f>$AA$8</f>
        <v>44013</v>
      </c>
      <c r="AB498" s="1573">
        <v>44166</v>
      </c>
      <c r="AC498" s="1573">
        <f>$AC$8</f>
        <v>44531</v>
      </c>
      <c r="AD498" s="1573">
        <f>$AD$8</f>
        <v>44774</v>
      </c>
      <c r="AE498" s="1573" t="str">
        <f>$AE$8</f>
        <v>-</v>
      </c>
      <c r="AF498" s="1573" t="str">
        <f>$AF$8</f>
        <v>-</v>
      </c>
      <c r="AG498" s="1573" t="str">
        <f>$AG$8</f>
        <v>-</v>
      </c>
      <c r="AH498"/>
      <c r="AI498" s="1572" t="s">
        <v>44</v>
      </c>
      <c r="AJ498" s="1573">
        <v>43252</v>
      </c>
      <c r="AK498" s="1573">
        <f>$X$8</f>
        <v>43465</v>
      </c>
      <c r="AL498" s="1573">
        <f>$Y$8</f>
        <v>43800</v>
      </c>
      <c r="AM498" s="1573">
        <f>$Z$8</f>
        <v>43862</v>
      </c>
      <c r="AN498" s="1573">
        <f>$AA$8</f>
        <v>44013</v>
      </c>
      <c r="AO498" s="1573">
        <f>$AB$8</f>
        <v>44166</v>
      </c>
      <c r="AP498" s="1573">
        <f>$AC$8</f>
        <v>44531</v>
      </c>
      <c r="AQ498" s="1573">
        <f>$AD$8</f>
        <v>44774</v>
      </c>
      <c r="AR498" s="1573" t="str">
        <f>$AE$8</f>
        <v>-</v>
      </c>
      <c r="AS498" s="1573" t="str">
        <f>$AF$8</f>
        <v>-</v>
      </c>
      <c r="AT498" s="21"/>
      <c r="AU498" s="1572" t="s">
        <v>44</v>
      </c>
      <c r="AV498" s="1573">
        <v>43252</v>
      </c>
      <c r="AW498" s="1573">
        <f>$X$8</f>
        <v>43465</v>
      </c>
      <c r="AX498" s="1573">
        <f>$Y$8</f>
        <v>43800</v>
      </c>
      <c r="AY498" s="1573">
        <f>$Z$8</f>
        <v>43862</v>
      </c>
      <c r="AZ498" s="1573">
        <f>$AA$8</f>
        <v>44013</v>
      </c>
      <c r="BA498" s="1573">
        <v>44166</v>
      </c>
      <c r="BB498" s="1573">
        <f>$AC$8</f>
        <v>44531</v>
      </c>
      <c r="BC498" s="1573">
        <f>$AD$8</f>
        <v>44774</v>
      </c>
      <c r="BD498" s="1573" t="str">
        <f>$AE$8</f>
        <v>-</v>
      </c>
      <c r="BE498" s="1573" t="str">
        <f>$AF$8</f>
        <v>-</v>
      </c>
      <c r="DE498" s="21"/>
      <c r="DF498" s="21"/>
      <c r="DG498" s="1574" t="str">
        <f>$DG$8</f>
        <v>TRC (2022)</v>
      </c>
      <c r="DH498" s="1584" t="str">
        <f>$DH$8</f>
        <v>Benefit Lookup</v>
      </c>
      <c r="DI498" s="1584" t="str">
        <f>$DI$8</f>
        <v>Benefits (2019 $)</v>
      </c>
      <c r="DJ498" s="1584" t="str">
        <f>$DJ$8</f>
        <v>Incremental Cost (2019 $)</v>
      </c>
    </row>
    <row r="499" spans="2:114" x14ac:dyDescent="0.35">
      <c r="C499" s="1614" t="s">
        <v>2836</v>
      </c>
      <c r="D499" s="1106" t="s">
        <v>2485</v>
      </c>
      <c r="E499" s="1105" t="s">
        <v>2837</v>
      </c>
      <c r="F499" s="965">
        <f>ROUND(((F513/G513)-(F513/H513))*I513*J513,2)</f>
        <v>840.73</v>
      </c>
      <c r="G499" s="1087" t="s">
        <v>2510</v>
      </c>
      <c r="H499" s="1088">
        <f>VLOOKUP(G499,'CP FACTORS'!$A$26:$B$38,2,FALSE)</f>
        <v>1.379439E-4</v>
      </c>
      <c r="I499" s="1106">
        <f>ROUND(H499*F499,6)</f>
        <v>0.11597399999999999</v>
      </c>
      <c r="J499" s="1146">
        <v>14</v>
      </c>
      <c r="K499" s="1107">
        <v>75</v>
      </c>
      <c r="L499" s="1164" t="s">
        <v>184</v>
      </c>
      <c r="V499" s="88" t="s">
        <v>30</v>
      </c>
      <c r="W499" s="112">
        <v>840.73431350891383</v>
      </c>
      <c r="X499" s="112">
        <v>840.73431350891383</v>
      </c>
      <c r="Y499" s="112">
        <v>840.73431350891383</v>
      </c>
      <c r="Z499" s="112">
        <v>840.73431350891383</v>
      </c>
      <c r="AA499" s="112">
        <v>840.73431350891383</v>
      </c>
      <c r="AB499" s="1516">
        <v>840.73</v>
      </c>
      <c r="AC499" s="1798">
        <v>840.73</v>
      </c>
      <c r="AD499" s="1798">
        <v>840.73</v>
      </c>
      <c r="AE499" s="141"/>
      <c r="AF499" s="141"/>
      <c r="AG499" s="141"/>
      <c r="AH499"/>
      <c r="AI499" s="88" t="s">
        <v>180</v>
      </c>
      <c r="AJ499" s="51">
        <v>14</v>
      </c>
      <c r="AK499" s="51">
        <v>14</v>
      </c>
      <c r="AL499" s="51">
        <v>14</v>
      </c>
      <c r="AM499" s="51">
        <v>14</v>
      </c>
      <c r="AN499" s="51">
        <v>14</v>
      </c>
      <c r="AO499" s="1518">
        <v>14</v>
      </c>
      <c r="AP499" s="1691">
        <v>14</v>
      </c>
      <c r="AQ499" s="1691">
        <v>14</v>
      </c>
      <c r="AR499" s="141"/>
      <c r="AS499" s="141"/>
      <c r="AU499" s="88" t="s">
        <v>169</v>
      </c>
      <c r="AV499" s="1692">
        <v>75</v>
      </c>
      <c r="AW499" s="1692">
        <v>75</v>
      </c>
      <c r="AX499" s="1692">
        <v>75</v>
      </c>
      <c r="AY499" s="1692">
        <v>75</v>
      </c>
      <c r="AZ499" s="1692">
        <v>75</v>
      </c>
      <c r="BA499" s="1615">
        <v>75</v>
      </c>
      <c r="BB499" s="1615">
        <v>75</v>
      </c>
      <c r="BC499" s="1615">
        <v>75</v>
      </c>
      <c r="BD499" s="141"/>
      <c r="BE499" s="141"/>
      <c r="DG499" s="1578">
        <f>(DI499)/(DJ499)</f>
        <v>5.8956139918027262</v>
      </c>
      <c r="DH499" s="2381" t="str">
        <f>CONCATENATE(G499," ",J499," Year EUL")</f>
        <v>Miscellaneous BUS 14 Year EUL</v>
      </c>
      <c r="DI499" s="56">
        <f>(INDEX('Avoided Cost Benefits'!$E$4:$E$859,MATCH(DH499,'Avoided Cost Benefits'!$A$4:$A$859,0)))*F499</f>
        <v>417.33935760755492</v>
      </c>
      <c r="DJ499" s="1579">
        <f>K499/(1.0595^(2020-2019))</f>
        <v>70.788107597923542</v>
      </c>
    </row>
    <row r="500" spans="2:114" x14ac:dyDescent="0.35">
      <c r="C500" s="1614" t="s">
        <v>2838</v>
      </c>
      <c r="D500" s="1106" t="s">
        <v>2485</v>
      </c>
      <c r="E500" s="1105" t="s">
        <v>2839</v>
      </c>
      <c r="F500" s="965">
        <f>ROUND(((F514/G514)-(F514/H514))*I514*J514,2)</f>
        <v>307.27999999999997</v>
      </c>
      <c r="G500" s="1087" t="s">
        <v>2510</v>
      </c>
      <c r="H500" s="1088">
        <f>VLOOKUP(G500,'CP FACTORS'!$A$26:$B$38,2,FALSE)</f>
        <v>1.379439E-4</v>
      </c>
      <c r="I500" s="1106">
        <f>ROUND(H500*F500,6)</f>
        <v>4.2387000000000001E-2</v>
      </c>
      <c r="J500" s="1146">
        <v>14</v>
      </c>
      <c r="K500" s="1107">
        <v>105</v>
      </c>
      <c r="L500" s="1164" t="s">
        <v>184</v>
      </c>
      <c r="V500" s="88" t="s">
        <v>30</v>
      </c>
      <c r="W500" s="112">
        <v>307.28361601678625</v>
      </c>
      <c r="X500" s="112">
        <v>307.28361601678625</v>
      </c>
      <c r="Y500" s="112">
        <v>307.28361601678625</v>
      </c>
      <c r="Z500" s="112">
        <v>307.28361601678625</v>
      </c>
      <c r="AA500" s="112">
        <v>307.28361601678625</v>
      </c>
      <c r="AB500" s="1516">
        <v>307.27999999999997</v>
      </c>
      <c r="AC500" s="1798">
        <v>307.27999999999997</v>
      </c>
      <c r="AD500" s="1798">
        <v>307.27999999999997</v>
      </c>
      <c r="AE500" s="141"/>
      <c r="AF500" s="141"/>
      <c r="AG500" s="141"/>
      <c r="AH500"/>
      <c r="AI500" s="88" t="s">
        <v>180</v>
      </c>
      <c r="AJ500" s="51">
        <v>14</v>
      </c>
      <c r="AK500" s="51">
        <v>14</v>
      </c>
      <c r="AL500" s="51">
        <v>14</v>
      </c>
      <c r="AM500" s="51">
        <v>14</v>
      </c>
      <c r="AN500" s="51">
        <v>14</v>
      </c>
      <c r="AO500" s="1518">
        <v>14</v>
      </c>
      <c r="AP500" s="1691">
        <v>14</v>
      </c>
      <c r="AQ500" s="1691">
        <v>14</v>
      </c>
      <c r="AR500" s="141"/>
      <c r="AS500" s="141"/>
      <c r="AU500" s="88" t="s">
        <v>169</v>
      </c>
      <c r="AV500" s="1692">
        <v>105</v>
      </c>
      <c r="AW500" s="1692">
        <v>105</v>
      </c>
      <c r="AX500" s="1692">
        <v>105</v>
      </c>
      <c r="AY500" s="1692">
        <v>105</v>
      </c>
      <c r="AZ500" s="1692">
        <v>105</v>
      </c>
      <c r="BA500" s="1615">
        <v>105</v>
      </c>
      <c r="BB500" s="1615">
        <v>105</v>
      </c>
      <c r="BC500" s="1615">
        <v>105</v>
      </c>
      <c r="BD500" s="141"/>
      <c r="BE500" s="141"/>
      <c r="DG500" s="40">
        <f>(DI500)/(DJ500)</f>
        <v>1.5391422313271474</v>
      </c>
      <c r="DH500" s="1580" t="str">
        <f>CONCATENATE(G500," ",J500," Year EUL")</f>
        <v>Miscellaneous BUS 14 Year EUL</v>
      </c>
      <c r="DI500" s="57">
        <f>(INDEX('Avoided Cost Benefits'!$E$4:$E$859,MATCH(DH500,'Avoided Cost Benefits'!$A$4:$A$859,0)))*F500</f>
        <v>152.53415223157194</v>
      </c>
      <c r="DJ500" s="1581">
        <f>K500/(1.0595^(2020-2019))</f>
        <v>99.103350637092959</v>
      </c>
    </row>
    <row r="501" spans="2:114" x14ac:dyDescent="0.35">
      <c r="C501" s="1614" t="s">
        <v>2840</v>
      </c>
      <c r="D501" s="1106" t="s">
        <v>2485</v>
      </c>
      <c r="E501" s="1105" t="s">
        <v>2841</v>
      </c>
      <c r="F501" s="965">
        <f>ROUND(((F515/G515)-(F515/H515))*I515*J515,2)</f>
        <v>340.11</v>
      </c>
      <c r="G501" s="1087" t="s">
        <v>2510</v>
      </c>
      <c r="H501" s="1088">
        <f>VLOOKUP(G501,'CP FACTORS'!$A$26:$B$38,2,FALSE)</f>
        <v>1.379439E-4</v>
      </c>
      <c r="I501" s="1106">
        <f>ROUND(H501*F501,6)</f>
        <v>4.6915999999999999E-2</v>
      </c>
      <c r="J501" s="1146">
        <v>14</v>
      </c>
      <c r="K501" s="1107">
        <v>105</v>
      </c>
      <c r="L501" s="1164" t="s">
        <v>184</v>
      </c>
      <c r="V501" s="88" t="s">
        <v>30</v>
      </c>
      <c r="W501" s="112">
        <v>340.10511227902549</v>
      </c>
      <c r="X501" s="112">
        <v>340.10511227902549</v>
      </c>
      <c r="Y501" s="112">
        <v>340.10511227902549</v>
      </c>
      <c r="Z501" s="112">
        <v>340.10511227902549</v>
      </c>
      <c r="AA501" s="112">
        <v>340.10511227902549</v>
      </c>
      <c r="AB501" s="1516">
        <v>340.11</v>
      </c>
      <c r="AC501" s="1798">
        <v>340.11</v>
      </c>
      <c r="AD501" s="1798">
        <v>340.11</v>
      </c>
      <c r="AE501" s="141"/>
      <c r="AF501" s="141"/>
      <c r="AG501" s="141"/>
      <c r="AH501"/>
      <c r="AI501" s="88" t="s">
        <v>180</v>
      </c>
      <c r="AJ501" s="51">
        <v>14</v>
      </c>
      <c r="AK501" s="51">
        <v>14</v>
      </c>
      <c r="AL501" s="51">
        <v>14</v>
      </c>
      <c r="AM501" s="51">
        <v>14</v>
      </c>
      <c r="AN501" s="51">
        <v>14</v>
      </c>
      <c r="AO501" s="1518">
        <v>14</v>
      </c>
      <c r="AP501" s="1691">
        <v>14</v>
      </c>
      <c r="AQ501" s="1691">
        <v>14</v>
      </c>
      <c r="AR501" s="141"/>
      <c r="AS501" s="141"/>
      <c r="AU501" s="88" t="s">
        <v>169</v>
      </c>
      <c r="AV501" s="1692">
        <v>105</v>
      </c>
      <c r="AW501" s="1692">
        <v>105</v>
      </c>
      <c r="AX501" s="1692">
        <v>105</v>
      </c>
      <c r="AY501" s="1692">
        <v>105</v>
      </c>
      <c r="AZ501" s="1692">
        <v>105</v>
      </c>
      <c r="BA501" s="1615">
        <v>105</v>
      </c>
      <c r="BB501" s="1615">
        <v>105</v>
      </c>
      <c r="BC501" s="1615">
        <v>105</v>
      </c>
      <c r="BD501" s="141"/>
      <c r="BE501" s="141"/>
      <c r="DG501" s="40">
        <f>(DI501)/(DJ501)</f>
        <v>1.7035852131498184</v>
      </c>
      <c r="DH501" s="1580" t="str">
        <f>CONCATENATE(G501," ",J501," Year EUL")</f>
        <v>Miscellaneous BUS 14 Year EUL</v>
      </c>
      <c r="DI501" s="57">
        <f>(INDEX('Avoided Cost Benefits'!$E$4:$E$859,MATCH(DH501,'Avoided Cost Benefits'!$A$4:$A$859,0)))*F501</f>
        <v>168.83100271895319</v>
      </c>
      <c r="DJ501" s="1581">
        <f>K501/(1.0595^(2020-2019))</f>
        <v>99.103350637092959</v>
      </c>
    </row>
    <row r="502" spans="2:114" x14ac:dyDescent="0.35">
      <c r="C502" s="1614" t="s">
        <v>2842</v>
      </c>
      <c r="D502" s="1106" t="s">
        <v>2485</v>
      </c>
      <c r="E502" s="1105" t="s">
        <v>2843</v>
      </c>
      <c r="F502" s="965">
        <f>ROUND(((F516/G516)-(F516/H516))*I516*J516,2)</f>
        <v>428.66</v>
      </c>
      <c r="G502" s="1087" t="s">
        <v>2510</v>
      </c>
      <c r="H502" s="1088">
        <f>VLOOKUP(G502,'CP FACTORS'!$A$26:$B$38,2,FALSE)</f>
        <v>1.379439E-4</v>
      </c>
      <c r="I502" s="1106">
        <f>ROUND(H502*F502,6)</f>
        <v>5.9131000000000003E-2</v>
      </c>
      <c r="J502" s="1146">
        <v>14</v>
      </c>
      <c r="K502" s="1107">
        <v>105</v>
      </c>
      <c r="L502" s="1164" t="s">
        <v>184</v>
      </c>
      <c r="V502" s="88" t="s">
        <v>30</v>
      </c>
      <c r="W502" s="112">
        <v>428.65776750052589</v>
      </c>
      <c r="X502" s="112">
        <v>428.65776750052589</v>
      </c>
      <c r="Y502" s="112">
        <v>428.65776750052589</v>
      </c>
      <c r="Z502" s="112">
        <v>428.65776750052589</v>
      </c>
      <c r="AA502" s="112">
        <v>428.65776750052589</v>
      </c>
      <c r="AB502" s="1516">
        <v>428.66</v>
      </c>
      <c r="AC502" s="1798">
        <v>428.66</v>
      </c>
      <c r="AD502" s="1798">
        <v>428.66</v>
      </c>
      <c r="AE502" s="141"/>
      <c r="AF502" s="141"/>
      <c r="AG502" s="141"/>
      <c r="AH502"/>
      <c r="AI502" s="88" t="s">
        <v>180</v>
      </c>
      <c r="AJ502" s="51">
        <v>14</v>
      </c>
      <c r="AK502" s="51">
        <v>14</v>
      </c>
      <c r="AL502" s="51">
        <v>14</v>
      </c>
      <c r="AM502" s="51">
        <v>14</v>
      </c>
      <c r="AN502" s="51">
        <v>14</v>
      </c>
      <c r="AO502" s="1518">
        <v>14</v>
      </c>
      <c r="AP502" s="1691">
        <v>14</v>
      </c>
      <c r="AQ502" s="1691">
        <v>14</v>
      </c>
      <c r="AR502" s="141"/>
      <c r="AS502" s="141"/>
      <c r="AU502" s="88" t="s">
        <v>169</v>
      </c>
      <c r="AV502" s="1692">
        <v>105</v>
      </c>
      <c r="AW502" s="1692">
        <v>105</v>
      </c>
      <c r="AX502" s="1692">
        <v>105</v>
      </c>
      <c r="AY502" s="1692">
        <v>105</v>
      </c>
      <c r="AZ502" s="1692">
        <v>105</v>
      </c>
      <c r="BA502" s="1615">
        <v>105</v>
      </c>
      <c r="BB502" s="1615">
        <v>105</v>
      </c>
      <c r="BC502" s="1615">
        <v>105</v>
      </c>
      <c r="BD502" s="141"/>
      <c r="BE502" s="141"/>
      <c r="DG502" s="40">
        <f>(DI502)/(DJ502)</f>
        <v>2.1471254519678959</v>
      </c>
      <c r="DH502" s="1580" t="str">
        <f>CONCATENATE(G502," ",J502," Year EUL")</f>
        <v>Miscellaneous BUS 14 Year EUL</v>
      </c>
      <c r="DI502" s="57">
        <f>(INDEX('Avoided Cost Benefits'!$E$4:$E$859,MATCH(DH502,'Avoided Cost Benefits'!$A$4:$A$859,0)))*F502</f>
        <v>212.78732652820108</v>
      </c>
      <c r="DJ502" s="1581">
        <f>K502/(1.0595^(2020-2019))</f>
        <v>99.103350637092959</v>
      </c>
    </row>
    <row r="503" spans="2:114" x14ac:dyDescent="0.35">
      <c r="C503" s="1614" t="s">
        <v>2844</v>
      </c>
      <c r="D503" s="1106" t="s">
        <v>2485</v>
      </c>
      <c r="E503" s="1105" t="s">
        <v>2845</v>
      </c>
      <c r="F503" s="965">
        <f>ROUND(((F517/G517)-(F517/H517))*I517*J517,2)</f>
        <v>40.57</v>
      </c>
      <c r="G503" s="1087" t="s">
        <v>2510</v>
      </c>
      <c r="H503" s="1088">
        <f>VLOOKUP(G503,'CP FACTORS'!$A$26:$B$38,2,FALSE)</f>
        <v>1.379439E-4</v>
      </c>
      <c r="I503" s="1106">
        <f>ROUND(H503*F503,6)</f>
        <v>5.5960000000000003E-3</v>
      </c>
      <c r="J503" s="1146">
        <v>14</v>
      </c>
      <c r="K503" s="1107">
        <v>75</v>
      </c>
      <c r="L503" s="1164" t="s">
        <v>184</v>
      </c>
      <c r="V503" s="88" t="s">
        <v>30</v>
      </c>
      <c r="W503" s="112">
        <v>40.574226971021517</v>
      </c>
      <c r="X503" s="112">
        <v>40.574226971021517</v>
      </c>
      <c r="Y503" s="112">
        <v>40.574226971021517</v>
      </c>
      <c r="Z503" s="112">
        <v>40.574226971021517</v>
      </c>
      <c r="AA503" s="112">
        <v>40.574226971021517</v>
      </c>
      <c r="AB503" s="1516">
        <v>40.57</v>
      </c>
      <c r="AC503" s="1798">
        <v>40.57</v>
      </c>
      <c r="AD503" s="1798">
        <v>40.57</v>
      </c>
      <c r="AE503" s="141"/>
      <c r="AF503" s="141"/>
      <c r="AG503" s="141"/>
      <c r="AH503"/>
      <c r="AI503" s="88" t="s">
        <v>180</v>
      </c>
      <c r="AJ503" s="51">
        <v>14</v>
      </c>
      <c r="AK503" s="51">
        <v>14</v>
      </c>
      <c r="AL503" s="51">
        <v>14</v>
      </c>
      <c r="AM503" s="51">
        <v>14</v>
      </c>
      <c r="AN503" s="51">
        <v>14</v>
      </c>
      <c r="AO503" s="1518">
        <v>14</v>
      </c>
      <c r="AP503" s="1691">
        <v>14</v>
      </c>
      <c r="AQ503" s="1691">
        <v>14</v>
      </c>
      <c r="AR503" s="141"/>
      <c r="AS503" s="141"/>
      <c r="AU503" s="88" t="s">
        <v>169</v>
      </c>
      <c r="AV503" s="1692">
        <v>75</v>
      </c>
      <c r="AW503" s="1692">
        <v>75</v>
      </c>
      <c r="AX503" s="1692">
        <v>75</v>
      </c>
      <c r="AY503" s="1692">
        <v>75</v>
      </c>
      <c r="AZ503" s="1692">
        <v>75</v>
      </c>
      <c r="BA503" s="1615">
        <v>75</v>
      </c>
      <c r="BB503" s="1615">
        <v>75</v>
      </c>
      <c r="BC503" s="1615">
        <v>75</v>
      </c>
      <c r="BD503" s="141"/>
      <c r="BE503" s="141"/>
      <c r="DG503" s="41">
        <f>(DI503)/(DJ503)</f>
        <v>0.28449687729406187</v>
      </c>
      <c r="DH503" s="1580" t="str">
        <f>CONCATENATE(G503," ",J503," Year EUL")</f>
        <v>Miscellaneous BUS 14 Year EUL</v>
      </c>
      <c r="DI503" s="58">
        <f>(INDEX('Avoided Cost Benefits'!$E$4:$E$859,MATCH(DH503,'Avoided Cost Benefits'!$A$4:$A$859,0)))*F503</f>
        <v>20.138995561165302</v>
      </c>
      <c r="DJ503" s="1582">
        <f>K503/(1.0595^(2020-2019))</f>
        <v>70.788107597923542</v>
      </c>
    </row>
    <row r="504" spans="2:114" hidden="1" outlineLevel="1" x14ac:dyDescent="0.35">
      <c r="E504" s="33"/>
      <c r="F504" s="33"/>
      <c r="G504" s="33"/>
      <c r="H504" s="1096"/>
      <c r="I504" s="33"/>
      <c r="J504" s="33"/>
      <c r="K504" s="33"/>
    </row>
    <row r="505" spans="2:114" hidden="1" outlineLevel="1" x14ac:dyDescent="0.35">
      <c r="D505" s="33" t="s">
        <v>2528</v>
      </c>
      <c r="E505" s="33"/>
      <c r="F505" s="33"/>
      <c r="G505" s="33"/>
      <c r="H505" s="1096"/>
      <c r="I505" s="33"/>
      <c r="J505" s="33"/>
      <c r="K505" s="33"/>
    </row>
    <row r="506" spans="2:114" hidden="1" outlineLevel="1" x14ac:dyDescent="0.35">
      <c r="D506" s="1097"/>
      <c r="G506" s="725"/>
      <c r="H506" s="1098"/>
    </row>
    <row r="507" spans="2:114" hidden="1" outlineLevel="1" x14ac:dyDescent="0.35">
      <c r="D507" s="1097"/>
      <c r="G507" s="725"/>
      <c r="H507" s="1098"/>
    </row>
    <row r="508" spans="2:114" hidden="1" outlineLevel="1" x14ac:dyDescent="0.35">
      <c r="D508" s="1097"/>
      <c r="G508" s="725"/>
      <c r="H508" s="1098"/>
      <c r="M508" s="33"/>
    </row>
    <row r="509" spans="2:114" hidden="1" outlineLevel="1" x14ac:dyDescent="0.35">
      <c r="D509" s="1097"/>
      <c r="G509" s="725"/>
      <c r="H509" s="1098"/>
      <c r="M509" s="33"/>
    </row>
    <row r="510" spans="2:114" hidden="1" outlineLevel="1" x14ac:dyDescent="0.35">
      <c r="D510" s="1097"/>
      <c r="G510" s="725"/>
      <c r="H510" s="1098"/>
      <c r="M510" s="33"/>
    </row>
    <row r="511" spans="2:114" hidden="1" outlineLevel="1" x14ac:dyDescent="0.35">
      <c r="D511" s="1097"/>
      <c r="G511" s="725"/>
      <c r="H511" s="1098"/>
    </row>
    <row r="512" spans="2:114" s="34" customFormat="1" hidden="1" outlineLevel="1" x14ac:dyDescent="0.35">
      <c r="C512" s="132"/>
      <c r="D512" s="2327" t="s">
        <v>27</v>
      </c>
      <c r="E512" s="2327" t="s">
        <v>2597</v>
      </c>
      <c r="F512" s="70" t="s">
        <v>2846</v>
      </c>
      <c r="G512" s="2327" t="s">
        <v>2847</v>
      </c>
      <c r="H512" s="2327" t="s">
        <v>2848</v>
      </c>
      <c r="I512" s="2327" t="s">
        <v>2827</v>
      </c>
      <c r="J512" s="2327" t="s">
        <v>2849</v>
      </c>
      <c r="K512" s="2327"/>
      <c r="L512" s="2327"/>
      <c r="M512" s="2327"/>
      <c r="N512" s="2327"/>
      <c r="O512" s="2327"/>
      <c r="P512" s="2327"/>
      <c r="Q512" s="2327"/>
      <c r="R512" s="350"/>
      <c r="S512" s="350"/>
      <c r="T512" s="350"/>
      <c r="U512" s="350"/>
      <c r="DE512" s="21"/>
      <c r="DF512" s="21"/>
      <c r="DG512" s="59"/>
    </row>
    <row r="513" spans="2:114" hidden="1" outlineLevel="1" x14ac:dyDescent="0.35">
      <c r="D513" s="1593" t="str">
        <f>C499</f>
        <v>804050_2019_12_</v>
      </c>
      <c r="E513" s="1593" t="str">
        <f>E499</f>
        <v>Clothes Dryer Vented Electric, Standard (≥ 4.4 ft3)</v>
      </c>
      <c r="F513" s="1161">
        <v>8.4499999999999993</v>
      </c>
      <c r="G513" s="72">
        <v>3.11</v>
      </c>
      <c r="H513" s="1182">
        <v>3.93</v>
      </c>
      <c r="I513" s="1148">
        <v>1483</v>
      </c>
      <c r="J513" s="1174">
        <v>1</v>
      </c>
      <c r="K513" s="1174"/>
      <c r="L513" s="1174"/>
      <c r="M513" s="1174"/>
      <c r="N513" s="1174"/>
      <c r="O513" s="1174"/>
      <c r="P513" s="1174"/>
      <c r="Q513" s="1174"/>
    </row>
    <row r="514" spans="2:114" hidden="1" outlineLevel="1" x14ac:dyDescent="0.35">
      <c r="D514" s="1593" t="str">
        <f>C500</f>
        <v>804100_2019_12_</v>
      </c>
      <c r="E514" s="1593" t="str">
        <f>E500</f>
        <v>Clothes Dryer Vented Electric, Compact (120V) (&lt; 4.4 ft3)</v>
      </c>
      <c r="F514" s="1161">
        <v>3</v>
      </c>
      <c r="G514" s="72">
        <v>3.01</v>
      </c>
      <c r="H514" s="1182">
        <v>3.8</v>
      </c>
      <c r="I514" s="1148">
        <v>1483</v>
      </c>
      <c r="J514" s="1174">
        <v>1</v>
      </c>
      <c r="K514" s="1174"/>
      <c r="L514" s="1174"/>
      <c r="M514" s="1174"/>
      <c r="N514" s="1174"/>
      <c r="O514" s="1174"/>
      <c r="P514" s="1174"/>
      <c r="Q514" s="1174"/>
    </row>
    <row r="515" spans="2:114" hidden="1" outlineLevel="1" x14ac:dyDescent="0.35">
      <c r="D515" s="1593" t="str">
        <f>C501</f>
        <v>804150_2019_12_</v>
      </c>
      <c r="E515" s="1593" t="str">
        <f>E501</f>
        <v>Clothes Dryer Vented Electric, Compact (240V) (&lt;4.4 ft3)</v>
      </c>
      <c r="F515" s="1161">
        <v>3</v>
      </c>
      <c r="G515" s="72">
        <v>2.73</v>
      </c>
      <c r="H515" s="1182">
        <v>3.45</v>
      </c>
      <c r="I515" s="1148">
        <v>1483</v>
      </c>
      <c r="J515" s="1174">
        <v>1</v>
      </c>
      <c r="K515" s="1174"/>
      <c r="L515" s="1174"/>
      <c r="M515" s="1174"/>
      <c r="N515" s="1174"/>
      <c r="O515" s="1174"/>
      <c r="P515" s="1174"/>
      <c r="Q515" s="1174"/>
    </row>
    <row r="516" spans="2:114" hidden="1" outlineLevel="1" x14ac:dyDescent="0.35">
      <c r="D516" s="1593" t="str">
        <f>C502</f>
        <v>804200_2019_12_</v>
      </c>
      <c r="E516" s="1593" t="str">
        <f>E502</f>
        <v>Clothes Dryer Ventless Electric, Compact (240V) (&lt;4.4 ft3)</v>
      </c>
      <c r="F516" s="1161">
        <v>3</v>
      </c>
      <c r="G516" s="72">
        <v>2.13</v>
      </c>
      <c r="H516" s="1182">
        <v>2.68</v>
      </c>
      <c r="I516" s="1148">
        <v>1483</v>
      </c>
      <c r="J516" s="1174">
        <v>1</v>
      </c>
      <c r="K516" s="1174"/>
      <c r="L516" s="1174"/>
      <c r="M516" s="1174"/>
      <c r="N516" s="1174"/>
      <c r="O516" s="1174"/>
      <c r="P516" s="1174"/>
      <c r="Q516" s="1174"/>
    </row>
    <row r="517" spans="2:114" hidden="1" outlineLevel="1" x14ac:dyDescent="0.35">
      <c r="D517" s="1593" t="str">
        <f>C503</f>
        <v>804250_2019_12_</v>
      </c>
      <c r="E517" s="1593" t="str">
        <f>E503</f>
        <v>Clothes Dryer Vented Gas</v>
      </c>
      <c r="F517" s="1161">
        <v>8.4499999999999993</v>
      </c>
      <c r="G517" s="72">
        <v>2.84</v>
      </c>
      <c r="H517" s="1182">
        <v>3.48</v>
      </c>
      <c r="I517" s="1148">
        <v>1483</v>
      </c>
      <c r="J517" s="1174">
        <v>0.05</v>
      </c>
      <c r="K517" s="1174"/>
      <c r="L517" s="1174"/>
      <c r="M517" s="1174"/>
      <c r="N517" s="1174"/>
      <c r="O517" s="1174"/>
      <c r="P517" s="1174"/>
      <c r="Q517" s="1174"/>
    </row>
    <row r="518" spans="2:114" collapsed="1" x14ac:dyDescent="0.35"/>
    <row r="520" spans="2:114" s="33" customFormat="1" x14ac:dyDescent="0.35">
      <c r="B520" s="4553" t="s">
        <v>2850</v>
      </c>
      <c r="C520" s="4554"/>
      <c r="D520" s="4554"/>
      <c r="E520" s="4554"/>
      <c r="F520" s="4554"/>
      <c r="G520" s="4554"/>
      <c r="H520" s="4554"/>
      <c r="I520" s="4555"/>
      <c r="J520" s="4555"/>
      <c r="K520" s="4555"/>
      <c r="L520" s="4555"/>
      <c r="M520" s="3680"/>
      <c r="N520" s="3680"/>
      <c r="O520" s="3681"/>
      <c r="V520" s="2325" t="str">
        <f>B520</f>
        <v>Compressed Air</v>
      </c>
      <c r="W520" s="2326"/>
      <c r="X520" s="2326"/>
      <c r="Y520" s="2326"/>
      <c r="Z520" s="2326"/>
      <c r="AA520" s="2326"/>
      <c r="AB520" s="2326"/>
      <c r="AC520" s="2326"/>
      <c r="AD520" s="2326"/>
      <c r="AE520" s="2326"/>
      <c r="AF520" s="2326"/>
      <c r="AG520" s="2326"/>
      <c r="AH520" s="2326"/>
      <c r="AI520" s="2384"/>
      <c r="AJ520" s="21"/>
      <c r="AK520" s="21"/>
      <c r="AL520" s="21"/>
      <c r="AM520" s="21"/>
      <c r="AN520" s="21"/>
      <c r="AO520" s="21"/>
      <c r="AP520" s="21"/>
      <c r="AQ520" s="21"/>
      <c r="AR520" s="21"/>
      <c r="AS520" s="21"/>
      <c r="AT520" s="21"/>
      <c r="AU520" s="21"/>
      <c r="DE520" s="21"/>
      <c r="DF520" s="21"/>
      <c r="DG520" s="60"/>
    </row>
    <row r="521" spans="2:114" x14ac:dyDescent="0.35">
      <c r="D521" s="1085"/>
      <c r="E521" s="33"/>
      <c r="F521" s="33"/>
      <c r="G521" s="33"/>
      <c r="H521" s="1086"/>
      <c r="I521" s="33"/>
      <c r="J521" s="33"/>
      <c r="K521" s="33"/>
      <c r="L521" s="33"/>
      <c r="P521" s="33"/>
      <c r="Q521" s="33"/>
      <c r="R521" s="33"/>
      <c r="S521" s="33"/>
      <c r="T521" s="33"/>
      <c r="U521" s="33"/>
      <c r="V521"/>
      <c r="W521"/>
      <c r="X521"/>
      <c r="Y521"/>
      <c r="Z521"/>
      <c r="AA521"/>
      <c r="AB521"/>
      <c r="AC521"/>
      <c r="AD521"/>
      <c r="AE521"/>
      <c r="AF521"/>
      <c r="AG521"/>
      <c r="AH521"/>
      <c r="AI521"/>
      <c r="AJ521" s="31"/>
      <c r="AK521" s="31"/>
      <c r="AL521" s="31"/>
      <c r="AM521" s="31"/>
      <c r="AN521" s="31"/>
      <c r="AO521" s="31"/>
      <c r="AP521" s="31"/>
      <c r="AQ521" s="31"/>
      <c r="AR521" s="31"/>
      <c r="AS521" s="31"/>
      <c r="AT521" s="31"/>
      <c r="AU521" s="31"/>
    </row>
    <row r="522" spans="2:114" s="34" customFormat="1" x14ac:dyDescent="0.35">
      <c r="B522" s="31"/>
      <c r="C522" s="35" t="s">
        <v>27</v>
      </c>
      <c r="D522" s="35" t="s">
        <v>28</v>
      </c>
      <c r="E522" s="2399" t="s">
        <v>29</v>
      </c>
      <c r="F522" s="2399" t="s">
        <v>30</v>
      </c>
      <c r="G522" s="2399" t="s">
        <v>175</v>
      </c>
      <c r="H522" s="36" t="s">
        <v>176</v>
      </c>
      <c r="I522" s="2399" t="s">
        <v>31</v>
      </c>
      <c r="J522" s="2399" t="s">
        <v>180</v>
      </c>
      <c r="K522" s="35" t="s">
        <v>169</v>
      </c>
      <c r="L522" s="35" t="s">
        <v>43</v>
      </c>
      <c r="M522" s="725"/>
      <c r="N522" s="1180"/>
      <c r="O522" s="1157"/>
      <c r="P522" s="1158"/>
      <c r="Q522" s="350"/>
      <c r="R522" s="350"/>
      <c r="S522" s="350"/>
      <c r="T522" s="350"/>
      <c r="U522" s="350"/>
      <c r="V522" s="1572" t="s">
        <v>44</v>
      </c>
      <c r="W522" s="1573">
        <f>$W$8</f>
        <v>43252</v>
      </c>
      <c r="X522" s="1573">
        <f>$X$8</f>
        <v>43465</v>
      </c>
      <c r="Y522" s="1573">
        <f>$Y$8</f>
        <v>43800</v>
      </c>
      <c r="Z522" s="1573">
        <f>$Z$8</f>
        <v>43862</v>
      </c>
      <c r="AA522" s="1573">
        <f>$AA$8</f>
        <v>44013</v>
      </c>
      <c r="AB522" s="1573">
        <v>44166</v>
      </c>
      <c r="AC522" s="1573">
        <f>$AC$8</f>
        <v>44531</v>
      </c>
      <c r="AD522" s="1573">
        <f>$AD$8</f>
        <v>44774</v>
      </c>
      <c r="AE522" s="1573" t="str">
        <f>$AE$8</f>
        <v>-</v>
      </c>
      <c r="AF522" s="1573" t="str">
        <f>$AF$8</f>
        <v>-</v>
      </c>
      <c r="AG522" s="1573" t="str">
        <f>$AG$8</f>
        <v>-</v>
      </c>
      <c r="AH522"/>
      <c r="AI522" s="1572" t="s">
        <v>44</v>
      </c>
      <c r="AJ522" s="1573">
        <v>43252</v>
      </c>
      <c r="AK522" s="1573">
        <f>$X$8</f>
        <v>43465</v>
      </c>
      <c r="AL522" s="1573">
        <f>$Y$8</f>
        <v>43800</v>
      </c>
      <c r="AM522" s="1573">
        <f>$Z$8</f>
        <v>43862</v>
      </c>
      <c r="AN522" s="1573">
        <f>$AA$8</f>
        <v>44013</v>
      </c>
      <c r="AO522" s="1573">
        <f>$AB$8</f>
        <v>44166</v>
      </c>
      <c r="AP522" s="1573">
        <f>$AC$8</f>
        <v>44531</v>
      </c>
      <c r="AQ522" s="1573">
        <f>$AD$8</f>
        <v>44774</v>
      </c>
      <c r="AR522" s="1573" t="str">
        <f>$AE$8</f>
        <v>-</v>
      </c>
      <c r="AS522" s="1573" t="str">
        <f>$AF$8</f>
        <v>-</v>
      </c>
      <c r="AT522" s="21"/>
      <c r="AU522" s="1572" t="s">
        <v>44</v>
      </c>
      <c r="AV522" s="1573">
        <v>43252</v>
      </c>
      <c r="AW522" s="1573">
        <f>$X$8</f>
        <v>43465</v>
      </c>
      <c r="AX522" s="1573">
        <f>$Y$8</f>
        <v>43800</v>
      </c>
      <c r="AY522" s="1573">
        <f>$Z$8</f>
        <v>43862</v>
      </c>
      <c r="AZ522" s="1573">
        <f>$AA$8</f>
        <v>44013</v>
      </c>
      <c r="BA522" s="1573">
        <v>44166</v>
      </c>
      <c r="BB522" s="1573">
        <f>$AC$8</f>
        <v>44531</v>
      </c>
      <c r="BC522" s="1573">
        <f>$AD$8</f>
        <v>44774</v>
      </c>
      <c r="BD522" s="1573" t="str">
        <f>$AE$8</f>
        <v>-</v>
      </c>
      <c r="BE522" s="1573" t="str">
        <f>$AF$8</f>
        <v>-</v>
      </c>
      <c r="DE522" s="21"/>
      <c r="DF522" s="21"/>
      <c r="DG522" s="1574" t="str">
        <f>$DG$8</f>
        <v>TRC (2022)</v>
      </c>
      <c r="DH522" s="1584" t="str">
        <f>$DH$8</f>
        <v>Benefit Lookup</v>
      </c>
      <c r="DI522" s="1584" t="str">
        <f>$DI$8</f>
        <v>Benefits (2019 $)</v>
      </c>
      <c r="DJ522" s="1584" t="str">
        <f>$DJ$8</f>
        <v>Incremental Cost (2019 $)</v>
      </c>
    </row>
    <row r="523" spans="2:114" x14ac:dyDescent="0.35">
      <c r="C523" s="1614" t="s">
        <v>2851</v>
      </c>
      <c r="D523" s="1106" t="s">
        <v>2485</v>
      </c>
      <c r="E523" s="1105" t="s">
        <v>2852</v>
      </c>
      <c r="F523" s="51">
        <f>ROUND(F539*G539*H539,2)</f>
        <v>3272.26</v>
      </c>
      <c r="G523" s="1087" t="s">
        <v>2853</v>
      </c>
      <c r="H523" s="1088">
        <f>VLOOKUP(G523,'CP FACTORS'!$A$26:$B$38,2,FALSE)</f>
        <v>1.379439E-4</v>
      </c>
      <c r="I523" s="1106">
        <f t="shared" ref="I523:I529" si="165">ROUND(H523*F523,6)</f>
        <v>0.45138800000000001</v>
      </c>
      <c r="J523" s="1146">
        <v>13</v>
      </c>
      <c r="K523" s="1107">
        <v>700</v>
      </c>
      <c r="L523" s="1164" t="s">
        <v>184</v>
      </c>
      <c r="V523" s="88" t="s">
        <v>30</v>
      </c>
      <c r="W523" s="112">
        <v>3272.2560000000003</v>
      </c>
      <c r="X523" s="112">
        <v>3272.2560000000003</v>
      </c>
      <c r="Y523" s="112">
        <v>3272.2560000000003</v>
      </c>
      <c r="Z523" s="112">
        <v>3272.2560000000003</v>
      </c>
      <c r="AA523" s="112">
        <v>3272.2560000000003</v>
      </c>
      <c r="AB523" s="1516">
        <v>3272.26</v>
      </c>
      <c r="AC523" s="1798">
        <v>3272.26</v>
      </c>
      <c r="AD523" s="1798">
        <v>3272.26</v>
      </c>
      <c r="AE523" s="141"/>
      <c r="AF523" s="141"/>
      <c r="AG523" s="141"/>
      <c r="AH523"/>
      <c r="AI523" s="88" t="s">
        <v>180</v>
      </c>
      <c r="AJ523" s="51">
        <v>13</v>
      </c>
      <c r="AK523" s="51">
        <v>13</v>
      </c>
      <c r="AL523" s="51">
        <v>13</v>
      </c>
      <c r="AM523" s="51">
        <v>13</v>
      </c>
      <c r="AN523" s="51">
        <v>13</v>
      </c>
      <c r="AO523" s="1518">
        <v>13</v>
      </c>
      <c r="AP523" s="1691">
        <v>13</v>
      </c>
      <c r="AQ523" s="1691">
        <v>13</v>
      </c>
      <c r="AR523" s="141"/>
      <c r="AS523" s="141"/>
      <c r="AU523" s="88" t="s">
        <v>169</v>
      </c>
      <c r="AV523" s="1692">
        <v>700</v>
      </c>
      <c r="AW523" s="1692">
        <v>700</v>
      </c>
      <c r="AX523" s="1692">
        <v>700</v>
      </c>
      <c r="AY523" s="1692">
        <v>700</v>
      </c>
      <c r="AZ523" s="1692">
        <v>700</v>
      </c>
      <c r="BA523" s="1615">
        <v>700</v>
      </c>
      <c r="BB523" s="1615">
        <v>700</v>
      </c>
      <c r="BC523" s="1615">
        <v>700</v>
      </c>
      <c r="BD523" s="141"/>
      <c r="BE523" s="141"/>
      <c r="DG523" s="1578">
        <f t="shared" ref="DG523:DG529" si="166">(DI523)/(DJ523)</f>
        <v>2.3075524772152844</v>
      </c>
      <c r="DH523" s="2381" t="str">
        <f t="shared" ref="DH523:DH529" si="167">CONCATENATE(G523," ",J523," Year EUL")</f>
        <v>Air Comp BUS 13 Year EUL</v>
      </c>
      <c r="DI523" s="56">
        <f>(INDEX('Avoided Cost Benefits'!$E$4:$E$859,MATCH(DH523,'Avoided Cost Benefits'!$A$4:$A$859,0)))*F523</f>
        <v>1524.5745484197253</v>
      </c>
      <c r="DJ523" s="1579">
        <f t="shared" ref="DJ523:DJ529" si="168">K523/(1.0595^(2020-2019))</f>
        <v>660.68900424728633</v>
      </c>
    </row>
    <row r="524" spans="2:114" x14ac:dyDescent="0.35">
      <c r="C524" s="1614" t="s">
        <v>2854</v>
      </c>
      <c r="D524" s="1106" t="s">
        <v>2485</v>
      </c>
      <c r="E524" s="1105" t="s">
        <v>2855</v>
      </c>
      <c r="F524" s="51">
        <f t="shared" ref="F524:F529" si="169">ROUND(F540*G540*H540,2)</f>
        <v>2418.62</v>
      </c>
      <c r="G524" s="1087" t="s">
        <v>2853</v>
      </c>
      <c r="H524" s="1088">
        <f>VLOOKUP(G524,'CP FACTORS'!$A$26:$B$38,2,FALSE)</f>
        <v>1.379439E-4</v>
      </c>
      <c r="I524" s="1106">
        <f t="shared" si="165"/>
        <v>0.33363399999999999</v>
      </c>
      <c r="J524" s="1146">
        <v>13</v>
      </c>
      <c r="K524" s="1107">
        <v>700</v>
      </c>
      <c r="L524" s="1164" t="s">
        <v>184</v>
      </c>
      <c r="V524" s="88" t="s">
        <v>30</v>
      </c>
      <c r="W524" s="112">
        <v>2418.6240000000003</v>
      </c>
      <c r="X524" s="112">
        <v>2418.6240000000003</v>
      </c>
      <c r="Y524" s="112">
        <v>2418.6240000000003</v>
      </c>
      <c r="Z524" s="112">
        <v>2418.6240000000003</v>
      </c>
      <c r="AA524" s="112">
        <v>2418.6240000000003</v>
      </c>
      <c r="AB524" s="1516">
        <v>2418.62</v>
      </c>
      <c r="AC524" s="1798">
        <v>2418.62</v>
      </c>
      <c r="AD524" s="1798">
        <v>2418.62</v>
      </c>
      <c r="AE524" s="141"/>
      <c r="AF524" s="141"/>
      <c r="AG524" s="141"/>
      <c r="AH524"/>
      <c r="AI524" s="88" t="s">
        <v>180</v>
      </c>
      <c r="AJ524" s="51">
        <v>13</v>
      </c>
      <c r="AK524" s="51">
        <v>13</v>
      </c>
      <c r="AL524" s="51">
        <v>13</v>
      </c>
      <c r="AM524" s="51">
        <v>13</v>
      </c>
      <c r="AN524" s="51">
        <v>13</v>
      </c>
      <c r="AO524" s="1518">
        <v>13</v>
      </c>
      <c r="AP524" s="1691">
        <v>13</v>
      </c>
      <c r="AQ524" s="1691">
        <v>13</v>
      </c>
      <c r="AR524" s="141"/>
      <c r="AS524" s="141"/>
      <c r="AU524" s="88" t="s">
        <v>169</v>
      </c>
      <c r="AV524" s="1692">
        <v>700</v>
      </c>
      <c r="AW524" s="1692">
        <v>700</v>
      </c>
      <c r="AX524" s="1692">
        <v>700</v>
      </c>
      <c r="AY524" s="1692">
        <v>700</v>
      </c>
      <c r="AZ524" s="1692">
        <v>700</v>
      </c>
      <c r="BA524" s="1615">
        <v>700</v>
      </c>
      <c r="BB524" s="1615">
        <v>700</v>
      </c>
      <c r="BC524" s="1615">
        <v>700</v>
      </c>
      <c r="BD524" s="141"/>
      <c r="BE524" s="141"/>
      <c r="DG524" s="40">
        <f t="shared" si="166"/>
        <v>1.7055773601249384</v>
      </c>
      <c r="DH524" s="1580" t="str">
        <f t="shared" si="167"/>
        <v>Air Comp BUS 13 Year EUL</v>
      </c>
      <c r="DI524" s="57">
        <f>(INDEX('Avoided Cost Benefits'!$E$4:$E$859,MATCH(DH524,'Avoided Cost Benefits'!$A$4:$A$859,0)))*F524</f>
        <v>1126.8562077276608</v>
      </c>
      <c r="DJ524" s="1581">
        <f t="shared" si="168"/>
        <v>660.68900424728633</v>
      </c>
    </row>
    <row r="525" spans="2:114" x14ac:dyDescent="0.35">
      <c r="C525" s="1614" t="s">
        <v>2856</v>
      </c>
      <c r="D525" s="1106" t="s">
        <v>2485</v>
      </c>
      <c r="E525" s="1105" t="s">
        <v>2857</v>
      </c>
      <c r="F525" s="51">
        <f t="shared" si="169"/>
        <v>2703.17</v>
      </c>
      <c r="G525" s="1087" t="s">
        <v>2853</v>
      </c>
      <c r="H525" s="1088">
        <f>VLOOKUP(G525,'CP FACTORS'!$A$26:$B$38,2,FALSE)</f>
        <v>1.379439E-4</v>
      </c>
      <c r="I525" s="1106">
        <f t="shared" si="165"/>
        <v>0.372886</v>
      </c>
      <c r="J525" s="1146">
        <v>13</v>
      </c>
      <c r="K525" s="1107">
        <v>700</v>
      </c>
      <c r="L525" s="1164" t="s">
        <v>184</v>
      </c>
      <c r="V525" s="88" t="s">
        <v>30</v>
      </c>
      <c r="W525" s="112">
        <v>2703.1679999999997</v>
      </c>
      <c r="X525" s="112">
        <v>2703.1679999999997</v>
      </c>
      <c r="Y525" s="112">
        <v>2703.1679999999997</v>
      </c>
      <c r="Z525" s="112">
        <v>2703.1679999999997</v>
      </c>
      <c r="AA525" s="112">
        <v>2703.1679999999997</v>
      </c>
      <c r="AB525" s="1516">
        <v>2703.17</v>
      </c>
      <c r="AC525" s="1798">
        <v>2703.17</v>
      </c>
      <c r="AD525" s="1798">
        <v>2703.17</v>
      </c>
      <c r="AE525" s="141"/>
      <c r="AF525" s="141"/>
      <c r="AG525" s="141"/>
      <c r="AH525"/>
      <c r="AI525" s="88" t="s">
        <v>180</v>
      </c>
      <c r="AJ525" s="51">
        <v>13</v>
      </c>
      <c r="AK525" s="51">
        <v>13</v>
      </c>
      <c r="AL525" s="51">
        <v>13</v>
      </c>
      <c r="AM525" s="51">
        <v>13</v>
      </c>
      <c r="AN525" s="51">
        <v>13</v>
      </c>
      <c r="AO525" s="1518">
        <v>13</v>
      </c>
      <c r="AP525" s="1691">
        <v>13</v>
      </c>
      <c r="AQ525" s="1691">
        <v>13</v>
      </c>
      <c r="AR525" s="141"/>
      <c r="AS525" s="141"/>
      <c r="AU525" s="88" t="s">
        <v>169</v>
      </c>
      <c r="AV525" s="1692">
        <v>700</v>
      </c>
      <c r="AW525" s="1692">
        <v>700</v>
      </c>
      <c r="AX525" s="1692">
        <v>700</v>
      </c>
      <c r="AY525" s="1692">
        <v>700</v>
      </c>
      <c r="AZ525" s="1692">
        <v>700</v>
      </c>
      <c r="BA525" s="1615">
        <v>700</v>
      </c>
      <c r="BB525" s="1615">
        <v>700</v>
      </c>
      <c r="BC525" s="1615">
        <v>700</v>
      </c>
      <c r="BD525" s="141"/>
      <c r="BE525" s="141"/>
      <c r="DG525" s="40">
        <f t="shared" si="166"/>
        <v>1.9062380831089343</v>
      </c>
      <c r="DH525" s="1580" t="str">
        <f t="shared" si="167"/>
        <v>Air Comp BUS 13 Year EUL</v>
      </c>
      <c r="DI525" s="57">
        <f>(INDEX('Avoided Cost Benefits'!$E$4:$E$859,MATCH(DH525,'Avoided Cost Benefits'!$A$4:$A$859,0)))*F525</f>
        <v>1259.4305409874976</v>
      </c>
      <c r="DJ525" s="1581">
        <f t="shared" si="168"/>
        <v>660.68900424728633</v>
      </c>
    </row>
    <row r="526" spans="2:114" x14ac:dyDescent="0.35">
      <c r="C526" s="1614" t="s">
        <v>2858</v>
      </c>
      <c r="D526" s="1106" t="s">
        <v>2485</v>
      </c>
      <c r="E526" s="1105" t="s">
        <v>2859</v>
      </c>
      <c r="F526" s="51">
        <f t="shared" si="169"/>
        <v>978.12</v>
      </c>
      <c r="G526" s="1087" t="s">
        <v>2853</v>
      </c>
      <c r="H526" s="1088">
        <f>VLOOKUP(G526,'CP FACTORS'!$A$26:$B$38,2,FALSE)</f>
        <v>1.379439E-4</v>
      </c>
      <c r="I526" s="1106">
        <f t="shared" si="165"/>
        <v>0.13492599999999999</v>
      </c>
      <c r="J526" s="1146">
        <v>13</v>
      </c>
      <c r="K526" s="1107">
        <v>700</v>
      </c>
      <c r="L526" s="1164" t="s">
        <v>184</v>
      </c>
      <c r="V526" s="88" t="s">
        <v>30</v>
      </c>
      <c r="W526" s="112">
        <v>978.12</v>
      </c>
      <c r="X526" s="112">
        <v>978.12</v>
      </c>
      <c r="Y526" s="112">
        <v>978.12</v>
      </c>
      <c r="Z526" s="112">
        <v>978.12</v>
      </c>
      <c r="AA526" s="112">
        <v>978.12</v>
      </c>
      <c r="AB526" s="1516">
        <v>978.12</v>
      </c>
      <c r="AC526" s="1798">
        <v>978.12</v>
      </c>
      <c r="AD526" s="1798">
        <v>978.12</v>
      </c>
      <c r="AE526" s="141"/>
      <c r="AF526" s="141"/>
      <c r="AG526" s="141"/>
      <c r="AH526"/>
      <c r="AI526" s="88" t="s">
        <v>180</v>
      </c>
      <c r="AJ526" s="51">
        <v>13</v>
      </c>
      <c r="AK526" s="51">
        <v>13</v>
      </c>
      <c r="AL526" s="51">
        <v>13</v>
      </c>
      <c r="AM526" s="51">
        <v>13</v>
      </c>
      <c r="AN526" s="51">
        <v>13</v>
      </c>
      <c r="AO526" s="1518">
        <v>13</v>
      </c>
      <c r="AP526" s="1691">
        <v>13</v>
      </c>
      <c r="AQ526" s="1691">
        <v>13</v>
      </c>
      <c r="AR526" s="141"/>
      <c r="AS526" s="141"/>
      <c r="AU526" s="88" t="s">
        <v>169</v>
      </c>
      <c r="AV526" s="1692">
        <v>700</v>
      </c>
      <c r="AW526" s="1692">
        <v>700</v>
      </c>
      <c r="AX526" s="1692">
        <v>700</v>
      </c>
      <c r="AY526" s="1692">
        <v>700</v>
      </c>
      <c r="AZ526" s="1692">
        <v>700</v>
      </c>
      <c r="BA526" s="1615">
        <v>700</v>
      </c>
      <c r="BB526" s="1615">
        <v>700</v>
      </c>
      <c r="BC526" s="1615">
        <v>700</v>
      </c>
      <c r="BD526" s="141"/>
      <c r="BE526" s="141"/>
      <c r="DG526" s="40">
        <f t="shared" si="166"/>
        <v>0.68975669079285085</v>
      </c>
      <c r="DH526" s="1580" t="str">
        <f t="shared" si="167"/>
        <v>Air Comp BUS 13 Year EUL</v>
      </c>
      <c r="DI526" s="57">
        <f>(INDEX('Avoided Cost Benefits'!$E$4:$E$859,MATCH(DH526,'Avoided Cost Benefits'!$A$4:$A$859,0)))*F526</f>
        <v>455.71466121283197</v>
      </c>
      <c r="DJ526" s="1581">
        <f t="shared" si="168"/>
        <v>660.68900424728633</v>
      </c>
    </row>
    <row r="527" spans="2:114" x14ac:dyDescent="0.35">
      <c r="C527" s="1614" t="s">
        <v>2860</v>
      </c>
      <c r="D527" s="1106" t="s">
        <v>2485</v>
      </c>
      <c r="E527" s="1105" t="s">
        <v>2861</v>
      </c>
      <c r="F527" s="51">
        <f t="shared" si="169"/>
        <v>978.12</v>
      </c>
      <c r="G527" s="1087" t="s">
        <v>2853</v>
      </c>
      <c r="H527" s="1088">
        <f>VLOOKUP(G527,'CP FACTORS'!$A$26:$B$38,2,FALSE)</f>
        <v>1.379439E-4</v>
      </c>
      <c r="I527" s="1106">
        <f t="shared" si="165"/>
        <v>0.13492599999999999</v>
      </c>
      <c r="J527" s="1146">
        <v>13</v>
      </c>
      <c r="K527" s="1107">
        <v>700</v>
      </c>
      <c r="L527" s="1164" t="s">
        <v>184</v>
      </c>
      <c r="V527" s="88" t="s">
        <v>30</v>
      </c>
      <c r="W527" s="112">
        <v>978.12</v>
      </c>
      <c r="X527" s="112">
        <v>978.12</v>
      </c>
      <c r="Y527" s="112">
        <v>978.12</v>
      </c>
      <c r="Z527" s="112">
        <v>978.12</v>
      </c>
      <c r="AA527" s="112">
        <v>978.12</v>
      </c>
      <c r="AB527" s="1516">
        <v>978.12</v>
      </c>
      <c r="AC527" s="1798">
        <v>978.12</v>
      </c>
      <c r="AD527" s="1798">
        <v>978.12</v>
      </c>
      <c r="AE527" s="141"/>
      <c r="AF527" s="141"/>
      <c r="AG527" s="141"/>
      <c r="AH527"/>
      <c r="AI527" s="88" t="s">
        <v>180</v>
      </c>
      <c r="AJ527" s="51">
        <v>13</v>
      </c>
      <c r="AK527" s="51">
        <v>13</v>
      </c>
      <c r="AL527" s="51">
        <v>13</v>
      </c>
      <c r="AM527" s="51">
        <v>13</v>
      </c>
      <c r="AN527" s="51">
        <v>13</v>
      </c>
      <c r="AO527" s="1518">
        <v>13</v>
      </c>
      <c r="AP527" s="1691">
        <v>13</v>
      </c>
      <c r="AQ527" s="1691">
        <v>13</v>
      </c>
      <c r="AR527" s="141"/>
      <c r="AS527" s="141"/>
      <c r="AU527" s="88" t="s">
        <v>169</v>
      </c>
      <c r="AV527" s="1692">
        <v>700</v>
      </c>
      <c r="AW527" s="1692">
        <v>700</v>
      </c>
      <c r="AX527" s="1692">
        <v>700</v>
      </c>
      <c r="AY527" s="1692">
        <v>700</v>
      </c>
      <c r="AZ527" s="1692">
        <v>700</v>
      </c>
      <c r="BA527" s="1615">
        <v>700</v>
      </c>
      <c r="BB527" s="1615">
        <v>700</v>
      </c>
      <c r="BC527" s="1615">
        <v>700</v>
      </c>
      <c r="BD527" s="141"/>
      <c r="BE527" s="141"/>
      <c r="DG527" s="40">
        <f t="shared" si="166"/>
        <v>0.68975669079285085</v>
      </c>
      <c r="DH527" s="1580" t="str">
        <f t="shared" si="167"/>
        <v>Air Comp BUS 13 Year EUL</v>
      </c>
      <c r="DI527" s="57">
        <f>(INDEX('Avoided Cost Benefits'!$E$4:$E$859,MATCH(DH527,'Avoided Cost Benefits'!$A$4:$A$859,0)))*F527</f>
        <v>455.71466121283197</v>
      </c>
      <c r="DJ527" s="1581">
        <f t="shared" si="168"/>
        <v>660.68900424728633</v>
      </c>
    </row>
    <row r="528" spans="2:114" x14ac:dyDescent="0.35">
      <c r="C528" s="1614" t="s">
        <v>2862</v>
      </c>
      <c r="D528" s="1106" t="s">
        <v>2485</v>
      </c>
      <c r="E528" s="1105" t="s">
        <v>2863</v>
      </c>
      <c r="F528" s="51">
        <f t="shared" si="169"/>
        <v>2720.95</v>
      </c>
      <c r="G528" s="1087" t="s">
        <v>2853</v>
      </c>
      <c r="H528" s="1088">
        <f>VLOOKUP(G528,'CP FACTORS'!$A$26:$B$38,2,FALSE)</f>
        <v>1.379439E-4</v>
      </c>
      <c r="I528" s="1106">
        <f t="shared" si="165"/>
        <v>0.375338</v>
      </c>
      <c r="J528" s="1146">
        <v>13</v>
      </c>
      <c r="K528" s="1107">
        <v>700</v>
      </c>
      <c r="L528" s="1164" t="s">
        <v>184</v>
      </c>
      <c r="V528" s="88" t="s">
        <v>30</v>
      </c>
      <c r="W528" s="112">
        <v>2720.9519999999998</v>
      </c>
      <c r="X528" s="112">
        <v>2720.9519999999998</v>
      </c>
      <c r="Y528" s="112">
        <v>2720.9519999999998</v>
      </c>
      <c r="Z528" s="112">
        <v>2720.9519999999998</v>
      </c>
      <c r="AA528" s="112">
        <v>2720.9519999999998</v>
      </c>
      <c r="AB528" s="1516">
        <v>2720.95</v>
      </c>
      <c r="AC528" s="1798">
        <v>2720.95</v>
      </c>
      <c r="AD528" s="1798">
        <v>2720.95</v>
      </c>
      <c r="AE528" s="141"/>
      <c r="AF528" s="141"/>
      <c r="AG528" s="141"/>
      <c r="AH528"/>
      <c r="AI528" s="88" t="s">
        <v>180</v>
      </c>
      <c r="AJ528" s="51">
        <v>13</v>
      </c>
      <c r="AK528" s="51">
        <v>13</v>
      </c>
      <c r="AL528" s="51">
        <v>13</v>
      </c>
      <c r="AM528" s="51">
        <v>13</v>
      </c>
      <c r="AN528" s="51">
        <v>13</v>
      </c>
      <c r="AO528" s="1518">
        <v>13</v>
      </c>
      <c r="AP528" s="1691">
        <v>13</v>
      </c>
      <c r="AQ528" s="1691">
        <v>13</v>
      </c>
      <c r="AR528" s="141"/>
      <c r="AS528" s="141"/>
      <c r="AU528" s="88" t="s">
        <v>169</v>
      </c>
      <c r="AV528" s="1692">
        <v>700</v>
      </c>
      <c r="AW528" s="1692">
        <v>700</v>
      </c>
      <c r="AX528" s="1692">
        <v>700</v>
      </c>
      <c r="AY528" s="1692">
        <v>700</v>
      </c>
      <c r="AZ528" s="1692">
        <v>700</v>
      </c>
      <c r="BA528" s="1615">
        <v>700</v>
      </c>
      <c r="BB528" s="1615">
        <v>700</v>
      </c>
      <c r="BC528" s="1615">
        <v>700</v>
      </c>
      <c r="BD528" s="141"/>
      <c r="BE528" s="141"/>
      <c r="DG528" s="40">
        <f t="shared" si="166"/>
        <v>1.9187762931059658</v>
      </c>
      <c r="DH528" s="1580" t="str">
        <f t="shared" si="167"/>
        <v>Air Comp BUS 13 Year EUL</v>
      </c>
      <c r="DI528" s="57">
        <f>(INDEX('Avoided Cost Benefits'!$E$4:$E$859,MATCH(DH528,'Avoided Cost Benefits'!$A$4:$A$859,0)))*F528</f>
        <v>1267.7143984654797</v>
      </c>
      <c r="DJ528" s="1581">
        <f t="shared" si="168"/>
        <v>660.68900424728633</v>
      </c>
    </row>
    <row r="529" spans="3:114" x14ac:dyDescent="0.35">
      <c r="C529" s="1614" t="s">
        <v>2864</v>
      </c>
      <c r="D529" s="1106" t="s">
        <v>2485</v>
      </c>
      <c r="E529" s="1105" t="s">
        <v>2865</v>
      </c>
      <c r="F529" s="51">
        <f t="shared" si="169"/>
        <v>3165.55</v>
      </c>
      <c r="G529" s="1087" t="s">
        <v>2853</v>
      </c>
      <c r="H529" s="1088">
        <f>VLOOKUP(G529,'CP FACTORS'!$A$26:$B$38,2,FALSE)</f>
        <v>1.379439E-4</v>
      </c>
      <c r="I529" s="1106">
        <f t="shared" si="165"/>
        <v>0.436668</v>
      </c>
      <c r="J529" s="1146">
        <v>13</v>
      </c>
      <c r="K529" s="1107">
        <v>700</v>
      </c>
      <c r="L529" s="1164" t="s">
        <v>184</v>
      </c>
      <c r="V529" s="88" t="s">
        <v>30</v>
      </c>
      <c r="W529" s="112">
        <v>3165.5520000000001</v>
      </c>
      <c r="X529" s="112">
        <v>3165.5520000000001</v>
      </c>
      <c r="Y529" s="112">
        <v>3165.5520000000001</v>
      </c>
      <c r="Z529" s="112">
        <v>3165.5520000000001</v>
      </c>
      <c r="AA529" s="112">
        <v>3165.5520000000001</v>
      </c>
      <c r="AB529" s="1516">
        <v>3165.55</v>
      </c>
      <c r="AC529" s="1798">
        <v>3165.55</v>
      </c>
      <c r="AD529" s="1798">
        <v>3165.55</v>
      </c>
      <c r="AE529" s="141"/>
      <c r="AF529" s="141"/>
      <c r="AG529" s="141"/>
      <c r="AH529"/>
      <c r="AI529" s="88" t="s">
        <v>180</v>
      </c>
      <c r="AJ529" s="51">
        <v>13</v>
      </c>
      <c r="AK529" s="51">
        <v>13</v>
      </c>
      <c r="AL529" s="51">
        <v>13</v>
      </c>
      <c r="AM529" s="51">
        <v>13</v>
      </c>
      <c r="AN529" s="51">
        <v>13</v>
      </c>
      <c r="AO529" s="1518">
        <v>13</v>
      </c>
      <c r="AP529" s="1691">
        <v>13</v>
      </c>
      <c r="AQ529" s="1691">
        <v>13</v>
      </c>
      <c r="AR529" s="141"/>
      <c r="AS529" s="141"/>
      <c r="AU529" s="88" t="s">
        <v>169</v>
      </c>
      <c r="AV529" s="1692">
        <v>700</v>
      </c>
      <c r="AW529" s="1692">
        <v>700</v>
      </c>
      <c r="AX529" s="1692">
        <v>700</v>
      </c>
      <c r="AY529" s="1692">
        <v>700</v>
      </c>
      <c r="AZ529" s="1692">
        <v>700</v>
      </c>
      <c r="BA529" s="1615">
        <v>700</v>
      </c>
      <c r="BB529" s="1615">
        <v>700</v>
      </c>
      <c r="BC529" s="1615">
        <v>700</v>
      </c>
      <c r="BD529" s="141"/>
      <c r="BE529" s="141"/>
      <c r="DG529" s="41">
        <f t="shared" si="166"/>
        <v>2.2323020616481708</v>
      </c>
      <c r="DH529" s="1580" t="str">
        <f t="shared" si="167"/>
        <v>Air Comp BUS 13 Year EUL</v>
      </c>
      <c r="DI529" s="58">
        <f>(INDEX('Avoided Cost Benefits'!$E$4:$E$859,MATCH(DH529,'Avoided Cost Benefits'!$A$4:$A$859,0)))*F529</f>
        <v>1474.8574262894945</v>
      </c>
      <c r="DJ529" s="1582">
        <f t="shared" si="168"/>
        <v>660.68900424728633</v>
      </c>
    </row>
    <row r="530" spans="3:114" hidden="1" outlineLevel="1" x14ac:dyDescent="0.35">
      <c r="E530" s="33"/>
      <c r="F530" s="33"/>
      <c r="G530" s="33"/>
      <c r="H530" s="1096"/>
      <c r="I530" s="33"/>
      <c r="J530" s="33"/>
      <c r="K530" s="33"/>
    </row>
    <row r="531" spans="3:114" hidden="1" outlineLevel="1" x14ac:dyDescent="0.35">
      <c r="D531" s="33" t="s">
        <v>2528</v>
      </c>
      <c r="E531" s="33"/>
      <c r="F531" s="33"/>
      <c r="G531" s="33"/>
      <c r="H531" s="1096"/>
      <c r="I531" s="33"/>
      <c r="J531" s="33"/>
      <c r="K531" s="33"/>
    </row>
    <row r="532" spans="3:114" hidden="1" outlineLevel="1" x14ac:dyDescent="0.35">
      <c r="D532" s="1097"/>
      <c r="G532" s="725"/>
      <c r="H532" s="1098"/>
    </row>
    <row r="533" spans="3:114" hidden="1" outlineLevel="1" x14ac:dyDescent="0.35">
      <c r="D533" s="1097"/>
      <c r="G533" s="725"/>
      <c r="H533" s="1098"/>
    </row>
    <row r="534" spans="3:114" hidden="1" outlineLevel="1" x14ac:dyDescent="0.35">
      <c r="D534" s="1097"/>
      <c r="G534" s="725"/>
      <c r="H534" s="1098"/>
      <c r="M534" s="33"/>
    </row>
    <row r="535" spans="3:114" hidden="1" outlineLevel="1" x14ac:dyDescent="0.35">
      <c r="D535" s="1097"/>
      <c r="G535" s="725"/>
      <c r="H535" s="1098"/>
      <c r="M535" s="33"/>
    </row>
    <row r="536" spans="3:114" hidden="1" outlineLevel="1" x14ac:dyDescent="0.35">
      <c r="D536" s="1097"/>
      <c r="G536" s="725"/>
      <c r="H536" s="1098"/>
      <c r="M536" s="33"/>
    </row>
    <row r="537" spans="3:114" hidden="1" outlineLevel="1" x14ac:dyDescent="0.35">
      <c r="D537" s="1097"/>
      <c r="G537" s="725"/>
      <c r="H537" s="1098"/>
    </row>
    <row r="538" spans="3:114" s="34" customFormat="1" hidden="1" outlineLevel="1" x14ac:dyDescent="0.35">
      <c r="C538" s="132"/>
      <c r="D538" s="2327" t="s">
        <v>27</v>
      </c>
      <c r="E538" s="2327" t="s">
        <v>2597</v>
      </c>
      <c r="F538" s="70" t="s">
        <v>2866</v>
      </c>
      <c r="G538" s="2327" t="s">
        <v>2867</v>
      </c>
      <c r="H538" s="2327" t="s">
        <v>721</v>
      </c>
      <c r="I538" s="350"/>
      <c r="J538" s="350"/>
      <c r="K538" s="350"/>
      <c r="L538" s="350"/>
      <c r="M538" s="350"/>
      <c r="N538" s="350"/>
      <c r="O538" s="350"/>
      <c r="P538" s="350"/>
      <c r="Q538" s="350"/>
      <c r="R538" s="350"/>
      <c r="S538" s="350"/>
      <c r="T538" s="350"/>
      <c r="U538" s="350"/>
      <c r="DE538" s="21"/>
      <c r="DF538" s="21"/>
      <c r="DG538" s="59"/>
    </row>
    <row r="539" spans="3:114" hidden="1" outlineLevel="1" x14ac:dyDescent="0.35">
      <c r="D539" s="1593" t="str">
        <f>C523</f>
        <v>804300_2019_12_</v>
      </c>
      <c r="E539" s="1593" t="str">
        <f t="shared" ref="E539:E545" si="170">E523</f>
        <v>No Loss Condensate Drain (Reciprocating - On/off Control)</v>
      </c>
      <c r="F539" s="72">
        <v>3</v>
      </c>
      <c r="G539" s="73">
        <v>0.184</v>
      </c>
      <c r="H539" s="1183">
        <v>5928</v>
      </c>
    </row>
    <row r="540" spans="3:114" hidden="1" outlineLevel="1" x14ac:dyDescent="0.35">
      <c r="D540" s="1593" t="str">
        <f t="shared" ref="D540:D545" si="171">C524</f>
        <v>804350_2019_12_</v>
      </c>
      <c r="E540" s="1593" t="str">
        <f t="shared" si="170"/>
        <v>No Loss Condensate Drain (Reciprocating - Load/Unload)</v>
      </c>
      <c r="F540" s="72">
        <v>3</v>
      </c>
      <c r="G540" s="73">
        <v>0.13600000000000001</v>
      </c>
      <c r="H540" s="1183">
        <v>5928</v>
      </c>
    </row>
    <row r="541" spans="3:114" hidden="1" outlineLevel="1" x14ac:dyDescent="0.35">
      <c r="D541" s="1593" t="str">
        <f t="shared" si="171"/>
        <v>804400_2019_12_</v>
      </c>
      <c r="E541" s="1593" t="str">
        <f t="shared" si="170"/>
        <v>No Loss Condensate Drain (Screw - Load/Unload)</v>
      </c>
      <c r="F541" s="72">
        <v>3</v>
      </c>
      <c r="G541" s="73">
        <v>0.152</v>
      </c>
      <c r="H541" s="1183">
        <v>5928</v>
      </c>
    </row>
    <row r="542" spans="3:114" hidden="1" outlineLevel="1" x14ac:dyDescent="0.35">
      <c r="D542" s="1593" t="str">
        <f t="shared" si="171"/>
        <v>804450_2019_12_</v>
      </c>
      <c r="E542" s="1593" t="str">
        <f t="shared" si="170"/>
        <v>No Loss Condensate Drain (Screw - Inlet Modulation)</v>
      </c>
      <c r="F542" s="72">
        <v>3</v>
      </c>
      <c r="G542" s="73">
        <v>5.5E-2</v>
      </c>
      <c r="H542" s="1183">
        <v>5928</v>
      </c>
    </row>
    <row r="543" spans="3:114" hidden="1" outlineLevel="1" x14ac:dyDescent="0.35">
      <c r="D543" s="1593" t="str">
        <f t="shared" si="171"/>
        <v>804500_2019_12_</v>
      </c>
      <c r="E543" s="1593" t="str">
        <f t="shared" si="170"/>
        <v>No Loss Condensate Drain (Screw - Inlet Modulation w/ Unloading)</v>
      </c>
      <c r="F543" s="72">
        <v>3</v>
      </c>
      <c r="G543" s="73">
        <v>5.5E-2</v>
      </c>
      <c r="H543" s="1183">
        <v>5928</v>
      </c>
    </row>
    <row r="544" spans="3:114" hidden="1" outlineLevel="1" x14ac:dyDescent="0.35">
      <c r="D544" s="1593" t="str">
        <f t="shared" si="171"/>
        <v>804550_2019_12_</v>
      </c>
      <c r="E544" s="1593" t="str">
        <f t="shared" si="170"/>
        <v>No Loss Condensate Drain (Screw - Variable Displacement)</v>
      </c>
      <c r="F544" s="72">
        <v>3</v>
      </c>
      <c r="G544" s="73">
        <v>0.153</v>
      </c>
      <c r="H544" s="1183">
        <v>5928</v>
      </c>
    </row>
    <row r="545" spans="2:114" hidden="1" outlineLevel="1" x14ac:dyDescent="0.35">
      <c r="D545" s="1593" t="str">
        <f t="shared" si="171"/>
        <v>804600_2019_12_</v>
      </c>
      <c r="E545" s="1593" t="str">
        <f t="shared" si="170"/>
        <v>No Loss Condensate Drain (Screw - VFD)</v>
      </c>
      <c r="F545" s="72">
        <v>3</v>
      </c>
      <c r="G545" s="73">
        <v>0.17799999999999999</v>
      </c>
      <c r="H545" s="1183">
        <v>5928</v>
      </c>
    </row>
    <row r="546" spans="2:114" collapsed="1" x14ac:dyDescent="0.35"/>
    <row r="548" spans="2:114" s="34" customFormat="1" x14ac:dyDescent="0.35">
      <c r="B548" s="31"/>
      <c r="C548" s="35" t="s">
        <v>27</v>
      </c>
      <c r="D548" s="35" t="s">
        <v>28</v>
      </c>
      <c r="E548" s="2399" t="s">
        <v>29</v>
      </c>
      <c r="F548" s="2399" t="s">
        <v>30</v>
      </c>
      <c r="G548" s="2399" t="s">
        <v>175</v>
      </c>
      <c r="H548" s="36" t="s">
        <v>176</v>
      </c>
      <c r="I548" s="2399" t="s">
        <v>31</v>
      </c>
      <c r="J548" s="2399" t="s">
        <v>180</v>
      </c>
      <c r="K548" s="35" t="s">
        <v>169</v>
      </c>
      <c r="L548" s="35" t="s">
        <v>43</v>
      </c>
      <c r="M548" s="725"/>
      <c r="N548" s="1180"/>
      <c r="O548" s="1157"/>
      <c r="P548" s="1158"/>
      <c r="Q548" s="350"/>
      <c r="R548" s="350"/>
      <c r="S548" s="350"/>
      <c r="T548" s="350"/>
      <c r="U548" s="350"/>
      <c r="V548" s="1572" t="s">
        <v>44</v>
      </c>
      <c r="W548" s="1573">
        <f>$W$8</f>
        <v>43252</v>
      </c>
      <c r="X548" s="1573">
        <f>$X$8</f>
        <v>43465</v>
      </c>
      <c r="Y548" s="1573">
        <f>$Y$8</f>
        <v>43800</v>
      </c>
      <c r="Z548" s="1573">
        <f>$Z$8</f>
        <v>43862</v>
      </c>
      <c r="AA548" s="1573">
        <f>$AA$8</f>
        <v>44013</v>
      </c>
      <c r="AB548" s="1573">
        <v>44166</v>
      </c>
      <c r="AC548" s="1573">
        <f>$AC$8</f>
        <v>44531</v>
      </c>
      <c r="AD548" s="1573">
        <f>$AD$8</f>
        <v>44774</v>
      </c>
      <c r="AE548" s="1573" t="str">
        <f>$AE$8</f>
        <v>-</v>
      </c>
      <c r="AF548" s="1573" t="str">
        <f>$AF$8</f>
        <v>-</v>
      </c>
      <c r="AG548" s="1573" t="str">
        <f>$AG$8</f>
        <v>-</v>
      </c>
      <c r="AH548"/>
      <c r="AI548" s="1572" t="s">
        <v>44</v>
      </c>
      <c r="AJ548" s="1573">
        <v>43252</v>
      </c>
      <c r="AK548" s="1573">
        <f>$X$8</f>
        <v>43465</v>
      </c>
      <c r="AL548" s="1573">
        <f>$Y$8</f>
        <v>43800</v>
      </c>
      <c r="AM548" s="1573">
        <f>$Z$8</f>
        <v>43862</v>
      </c>
      <c r="AN548" s="1573">
        <f>$AA$8</f>
        <v>44013</v>
      </c>
      <c r="AO548" s="1573">
        <f>$AB$8</f>
        <v>44166</v>
      </c>
      <c r="AP548" s="1573">
        <f>$AC$8</f>
        <v>44531</v>
      </c>
      <c r="AQ548" s="1573">
        <f>$AD$8</f>
        <v>44774</v>
      </c>
      <c r="AR548" s="1573" t="str">
        <f>$AE$8</f>
        <v>-</v>
      </c>
      <c r="AS548" s="1573" t="str">
        <f>$AF$8</f>
        <v>-</v>
      </c>
      <c r="AT548" s="21"/>
      <c r="AU548" s="1572" t="s">
        <v>44</v>
      </c>
      <c r="AV548" s="1573">
        <v>43252</v>
      </c>
      <c r="AW548" s="1573">
        <f>$X$8</f>
        <v>43465</v>
      </c>
      <c r="AX548" s="1573">
        <f>$Y$8</f>
        <v>43800</v>
      </c>
      <c r="AY548" s="1573">
        <f>$Z$8</f>
        <v>43862</v>
      </c>
      <c r="AZ548" s="1573">
        <f>$AA$8</f>
        <v>44013</v>
      </c>
      <c r="BA548" s="1573">
        <v>44166</v>
      </c>
      <c r="BB548" s="1573">
        <f>$AC$8</f>
        <v>44531</v>
      </c>
      <c r="BC548" s="1573">
        <f>$AD$8</f>
        <v>44774</v>
      </c>
      <c r="BD548" s="1573" t="str">
        <f>$AE$8</f>
        <v>-</v>
      </c>
      <c r="BE548" s="1573" t="str">
        <f>$AF$8</f>
        <v>-</v>
      </c>
      <c r="DE548" s="21"/>
      <c r="DF548" s="21"/>
      <c r="DG548" s="1574" t="str">
        <f>$DG$8</f>
        <v>TRC (2022)</v>
      </c>
      <c r="DH548" s="1584" t="str">
        <f>$DH$8</f>
        <v>Benefit Lookup</v>
      </c>
      <c r="DI548" s="1584" t="str">
        <f>$DI$8</f>
        <v>Benefits (2019 $)</v>
      </c>
      <c r="DJ548" s="1584" t="str">
        <f>$DJ$8</f>
        <v>Incremental Cost (2019 $)</v>
      </c>
    </row>
    <row r="549" spans="2:114" x14ac:dyDescent="0.35">
      <c r="C549" s="1614" t="s">
        <v>2868</v>
      </c>
      <c r="D549" s="1106" t="s">
        <v>2485</v>
      </c>
      <c r="E549" s="1105" t="s">
        <v>2869</v>
      </c>
      <c r="F549" s="965">
        <f>ROUND((F565*G565)*H565*I565*J565,2)</f>
        <v>1547.21</v>
      </c>
      <c r="G549" s="1087" t="s">
        <v>2853</v>
      </c>
      <c r="H549" s="1088">
        <f>VLOOKUP(G549,'CP FACTORS'!$A$26:$B$38,2,FALSE)</f>
        <v>1.379439E-4</v>
      </c>
      <c r="I549" s="1106">
        <f t="shared" ref="I549:I555" si="172">ROUND(H549*F549,6)</f>
        <v>0.21342800000000001</v>
      </c>
      <c r="J549" s="1146">
        <v>15</v>
      </c>
      <c r="K549" s="1107">
        <v>77</v>
      </c>
      <c r="L549" s="1164" t="s">
        <v>184</v>
      </c>
      <c r="V549" s="88" t="s">
        <v>30</v>
      </c>
      <c r="W549" s="112">
        <v>1547.2080000000001</v>
      </c>
      <c r="X549" s="112">
        <v>1547.2080000000001</v>
      </c>
      <c r="Y549" s="112">
        <v>1547.2080000000001</v>
      </c>
      <c r="Z549" s="112">
        <v>1547.2080000000001</v>
      </c>
      <c r="AA549" s="112">
        <v>1547.2080000000001</v>
      </c>
      <c r="AB549" s="1516">
        <v>1547.21</v>
      </c>
      <c r="AC549" s="1798">
        <v>1547.21</v>
      </c>
      <c r="AD549" s="1798">
        <v>1547.21</v>
      </c>
      <c r="AE549" s="141"/>
      <c r="AF549" s="141"/>
      <c r="AG549" s="141"/>
      <c r="AH549"/>
      <c r="AI549" s="88" t="s">
        <v>180</v>
      </c>
      <c r="AJ549" s="51">
        <v>15</v>
      </c>
      <c r="AK549" s="51">
        <v>15</v>
      </c>
      <c r="AL549" s="51">
        <v>15</v>
      </c>
      <c r="AM549" s="51">
        <v>15</v>
      </c>
      <c r="AN549" s="51">
        <v>15</v>
      </c>
      <c r="AO549" s="1518">
        <v>15</v>
      </c>
      <c r="AP549" s="1691">
        <v>15</v>
      </c>
      <c r="AQ549" s="1691">
        <v>15</v>
      </c>
      <c r="AR549" s="141"/>
      <c r="AS549" s="141"/>
      <c r="AU549" s="88" t="s">
        <v>169</v>
      </c>
      <c r="AV549" s="1692">
        <v>77</v>
      </c>
      <c r="AW549" s="1692">
        <v>77</v>
      </c>
      <c r="AX549" s="1692">
        <v>77</v>
      </c>
      <c r="AY549" s="1692">
        <v>77</v>
      </c>
      <c r="AZ549" s="1692">
        <v>77</v>
      </c>
      <c r="BA549" s="1615">
        <v>77</v>
      </c>
      <c r="BB549" s="1615">
        <v>77</v>
      </c>
      <c r="BC549" s="1615">
        <v>77</v>
      </c>
      <c r="BD549" s="141"/>
      <c r="BE549" s="141"/>
      <c r="DG549" s="1578">
        <f t="shared" ref="DG549:DG555" si="173">(DI549)/(DJ549)</f>
        <v>11.192528908237206</v>
      </c>
      <c r="DH549" s="2381" t="str">
        <f t="shared" ref="DH549:DH555" si="174">CONCATENATE(G549," ",J549," Year EUL")</f>
        <v>Air Comp BUS 15 Year EUL</v>
      </c>
      <c r="DI549" s="56">
        <f>(INDEX('Avoided Cost Benefits'!$E$4:$E$859,MATCH(DH549,'Avoided Cost Benefits'!$A$4:$A$859,0)))*F549</f>
        <v>813.42588573314288</v>
      </c>
      <c r="DJ549" s="1579">
        <f t="shared" ref="DJ549:DJ555" si="175">K549/(1.0595^(2020-2019))</f>
        <v>72.675790467201509</v>
      </c>
    </row>
    <row r="550" spans="2:114" x14ac:dyDescent="0.35">
      <c r="C550" s="1614" t="s">
        <v>2870</v>
      </c>
      <c r="D550" s="1106" t="s">
        <v>2485</v>
      </c>
      <c r="E550" s="1105" t="s">
        <v>2871</v>
      </c>
      <c r="F550" s="965">
        <f t="shared" ref="F550:F555" si="176">ROUND((F566*G566)*H566*I566*J566,2)</f>
        <v>1203.3800000000001</v>
      </c>
      <c r="G550" s="1087" t="s">
        <v>2853</v>
      </c>
      <c r="H550" s="1088">
        <f>VLOOKUP(G550,'CP FACTORS'!$A$26:$B$38,2,FALSE)</f>
        <v>1.379439E-4</v>
      </c>
      <c r="I550" s="1106">
        <f t="shared" si="172"/>
        <v>0.16599900000000001</v>
      </c>
      <c r="J550" s="1146">
        <v>15</v>
      </c>
      <c r="K550" s="1107">
        <v>77</v>
      </c>
      <c r="L550" s="1164" t="s">
        <v>184</v>
      </c>
      <c r="V550" s="88" t="s">
        <v>30</v>
      </c>
      <c r="W550" s="112">
        <v>1203.3840000000002</v>
      </c>
      <c r="X550" s="112">
        <v>1203.3840000000002</v>
      </c>
      <c r="Y550" s="112">
        <v>1203.3840000000002</v>
      </c>
      <c r="Z550" s="112">
        <v>1203.3840000000002</v>
      </c>
      <c r="AA550" s="112">
        <v>1203.3840000000002</v>
      </c>
      <c r="AB550" s="1516">
        <v>1203.3800000000001</v>
      </c>
      <c r="AC550" s="1798">
        <v>1203.3800000000001</v>
      </c>
      <c r="AD550" s="1798">
        <v>1203.3800000000001</v>
      </c>
      <c r="AE550" s="141"/>
      <c r="AF550" s="141"/>
      <c r="AG550" s="141"/>
      <c r="AH550"/>
      <c r="AI550" s="88" t="s">
        <v>180</v>
      </c>
      <c r="AJ550" s="51">
        <v>15</v>
      </c>
      <c r="AK550" s="51">
        <v>15</v>
      </c>
      <c r="AL550" s="51">
        <v>15</v>
      </c>
      <c r="AM550" s="51">
        <v>15</v>
      </c>
      <c r="AN550" s="51">
        <v>15</v>
      </c>
      <c r="AO550" s="1518">
        <v>15</v>
      </c>
      <c r="AP550" s="1691">
        <v>15</v>
      </c>
      <c r="AQ550" s="1691">
        <v>15</v>
      </c>
      <c r="AR550" s="141"/>
      <c r="AS550" s="141"/>
      <c r="AU550" s="88" t="s">
        <v>169</v>
      </c>
      <c r="AV550" s="1692">
        <v>77</v>
      </c>
      <c r="AW550" s="1692">
        <v>77</v>
      </c>
      <c r="AX550" s="1692">
        <v>77</v>
      </c>
      <c r="AY550" s="1692">
        <v>77</v>
      </c>
      <c r="AZ550" s="1692">
        <v>77</v>
      </c>
      <c r="BA550" s="1615">
        <v>77</v>
      </c>
      <c r="BB550" s="1615">
        <v>77</v>
      </c>
      <c r="BC550" s="1615">
        <v>77</v>
      </c>
      <c r="BD550" s="141"/>
      <c r="BE550" s="141"/>
      <c r="DG550" s="40">
        <f t="shared" si="173"/>
        <v>8.7052600730311269</v>
      </c>
      <c r="DH550" s="1580" t="str">
        <f t="shared" si="174"/>
        <v>Air Comp BUS 15 Year EUL</v>
      </c>
      <c r="DI550" s="57">
        <f>(INDEX('Avoided Cost Benefits'!$E$4:$E$859,MATCH(DH550,'Avoided Cost Benefits'!$A$4:$A$859,0)))*F550</f>
        <v>632.66165703010552</v>
      </c>
      <c r="DJ550" s="1581">
        <f t="shared" si="175"/>
        <v>72.675790467201509</v>
      </c>
    </row>
    <row r="551" spans="2:114" x14ac:dyDescent="0.35">
      <c r="C551" s="1614" t="s">
        <v>2872</v>
      </c>
      <c r="D551" s="1106" t="s">
        <v>2485</v>
      </c>
      <c r="E551" s="1105" t="s">
        <v>2873</v>
      </c>
      <c r="F551" s="965">
        <f t="shared" si="176"/>
        <v>1289.3399999999999</v>
      </c>
      <c r="G551" s="1087" t="s">
        <v>2853</v>
      </c>
      <c r="H551" s="1088">
        <f>VLOOKUP(G551,'CP FACTORS'!$A$26:$B$38,2,FALSE)</f>
        <v>1.379439E-4</v>
      </c>
      <c r="I551" s="1106">
        <f t="shared" si="172"/>
        <v>0.17785699999999999</v>
      </c>
      <c r="J551" s="1146">
        <v>15</v>
      </c>
      <c r="K551" s="1107">
        <v>77</v>
      </c>
      <c r="L551" s="1164" t="s">
        <v>184</v>
      </c>
      <c r="V551" s="88" t="s">
        <v>30</v>
      </c>
      <c r="W551" s="112">
        <v>1289.3399999999999</v>
      </c>
      <c r="X551" s="112">
        <v>1289.3399999999999</v>
      </c>
      <c r="Y551" s="112">
        <v>1289.3399999999999</v>
      </c>
      <c r="Z551" s="112">
        <v>1289.3399999999999</v>
      </c>
      <c r="AA551" s="112">
        <v>1289.3399999999999</v>
      </c>
      <c r="AB551" s="1516">
        <v>1289.3399999999999</v>
      </c>
      <c r="AC551" s="1798">
        <v>1289.3399999999999</v>
      </c>
      <c r="AD551" s="1798">
        <v>1289.3399999999999</v>
      </c>
      <c r="AE551" s="141"/>
      <c r="AF551" s="141"/>
      <c r="AG551" s="141"/>
      <c r="AH551"/>
      <c r="AI551" s="88" t="s">
        <v>180</v>
      </c>
      <c r="AJ551" s="51">
        <v>15</v>
      </c>
      <c r="AK551" s="51">
        <v>15</v>
      </c>
      <c r="AL551" s="51">
        <v>15</v>
      </c>
      <c r="AM551" s="51">
        <v>15</v>
      </c>
      <c r="AN551" s="51">
        <v>15</v>
      </c>
      <c r="AO551" s="1518">
        <v>15</v>
      </c>
      <c r="AP551" s="1691">
        <v>15</v>
      </c>
      <c r="AQ551" s="1691">
        <v>15</v>
      </c>
      <c r="AR551" s="141"/>
      <c r="AS551" s="141"/>
      <c r="AU551" s="88" t="s">
        <v>169</v>
      </c>
      <c r="AV551" s="1692">
        <v>77</v>
      </c>
      <c r="AW551" s="1692">
        <v>77</v>
      </c>
      <c r="AX551" s="1692">
        <v>77</v>
      </c>
      <c r="AY551" s="1692">
        <v>77</v>
      </c>
      <c r="AZ551" s="1692">
        <v>77</v>
      </c>
      <c r="BA551" s="1615">
        <v>77</v>
      </c>
      <c r="BB551" s="1615">
        <v>77</v>
      </c>
      <c r="BC551" s="1615">
        <v>77</v>
      </c>
      <c r="BD551" s="141"/>
      <c r="BE551" s="141"/>
      <c r="DG551" s="40">
        <f t="shared" si="173"/>
        <v>9.3270953668516619</v>
      </c>
      <c r="DH551" s="1580" t="str">
        <f t="shared" si="174"/>
        <v>Air Comp BUS 15 Year EUL</v>
      </c>
      <c r="DI551" s="57">
        <f>(INDEX('Avoided Cost Benefits'!$E$4:$E$859,MATCH(DH551,'Avoided Cost Benefits'!$A$4:$A$859,0)))*F551</f>
        <v>677.85402854891731</v>
      </c>
      <c r="DJ551" s="1581">
        <f t="shared" si="175"/>
        <v>72.675790467201509</v>
      </c>
    </row>
    <row r="552" spans="2:114" x14ac:dyDescent="0.35">
      <c r="C552" s="1614" t="s">
        <v>2874</v>
      </c>
      <c r="D552" s="1106" t="s">
        <v>2485</v>
      </c>
      <c r="E552" s="1105" t="s">
        <v>2875</v>
      </c>
      <c r="F552" s="965">
        <f t="shared" si="176"/>
        <v>515.74</v>
      </c>
      <c r="G552" s="1087" t="s">
        <v>2853</v>
      </c>
      <c r="H552" s="1088">
        <f>VLOOKUP(G552,'CP FACTORS'!$A$26:$B$38,2,FALSE)</f>
        <v>1.379439E-4</v>
      </c>
      <c r="I552" s="1106">
        <f t="shared" si="172"/>
        <v>7.1142999999999998E-2</v>
      </c>
      <c r="J552" s="1146">
        <v>15</v>
      </c>
      <c r="K552" s="1107">
        <v>77</v>
      </c>
      <c r="L552" s="1164" t="s">
        <v>184</v>
      </c>
      <c r="V552" s="88" t="s">
        <v>30</v>
      </c>
      <c r="W552" s="112">
        <v>515.73599999999999</v>
      </c>
      <c r="X552" s="112">
        <v>515.73599999999999</v>
      </c>
      <c r="Y552" s="112">
        <v>515.73599999999999</v>
      </c>
      <c r="Z552" s="112">
        <v>515.73599999999999</v>
      </c>
      <c r="AA552" s="112">
        <v>515.73599999999999</v>
      </c>
      <c r="AB552" s="1516">
        <v>515.74</v>
      </c>
      <c r="AC552" s="1798">
        <v>515.74</v>
      </c>
      <c r="AD552" s="1798">
        <v>515.74</v>
      </c>
      <c r="AE552" s="141"/>
      <c r="AF552" s="141"/>
      <c r="AG552" s="141"/>
      <c r="AH552"/>
      <c r="AI552" s="88" t="s">
        <v>180</v>
      </c>
      <c r="AJ552" s="51">
        <v>15</v>
      </c>
      <c r="AK552" s="51">
        <v>15</v>
      </c>
      <c r="AL552" s="51">
        <v>15</v>
      </c>
      <c r="AM552" s="51">
        <v>15</v>
      </c>
      <c r="AN552" s="51">
        <v>15</v>
      </c>
      <c r="AO552" s="1518">
        <v>15</v>
      </c>
      <c r="AP552" s="1691">
        <v>15</v>
      </c>
      <c r="AQ552" s="1691">
        <v>15</v>
      </c>
      <c r="AR552" s="141"/>
      <c r="AS552" s="141"/>
      <c r="AU552" s="88" t="s">
        <v>169</v>
      </c>
      <c r="AV552" s="1692">
        <v>77</v>
      </c>
      <c r="AW552" s="1692">
        <v>77</v>
      </c>
      <c r="AX552" s="1692">
        <v>77</v>
      </c>
      <c r="AY552" s="1692">
        <v>77</v>
      </c>
      <c r="AZ552" s="1692">
        <v>77</v>
      </c>
      <c r="BA552" s="1615">
        <v>77</v>
      </c>
      <c r="BB552" s="1615">
        <v>77</v>
      </c>
      <c r="BC552" s="1615">
        <v>77</v>
      </c>
      <c r="BD552" s="141"/>
      <c r="BE552" s="141"/>
      <c r="DG552" s="40">
        <f t="shared" si="173"/>
        <v>3.730867082771089</v>
      </c>
      <c r="DH552" s="1580" t="str">
        <f t="shared" si="174"/>
        <v>Air Comp BUS 15 Year EUL</v>
      </c>
      <c r="DI552" s="57">
        <f>(INDEX('Avoided Cost Benefits'!$E$4:$E$859,MATCH(DH552,'Avoided Cost Benefits'!$A$4:$A$859,0)))*F552</f>
        <v>271.14371436845101</v>
      </c>
      <c r="DJ552" s="1581">
        <f t="shared" si="175"/>
        <v>72.675790467201509</v>
      </c>
    </row>
    <row r="553" spans="2:114" x14ac:dyDescent="0.35">
      <c r="C553" s="1614" t="s">
        <v>2876</v>
      </c>
      <c r="D553" s="1106" t="s">
        <v>2485</v>
      </c>
      <c r="E553" s="1105" t="s">
        <v>2877</v>
      </c>
      <c r="F553" s="965">
        <f t="shared" si="176"/>
        <v>515.74</v>
      </c>
      <c r="G553" s="1087" t="s">
        <v>2853</v>
      </c>
      <c r="H553" s="1088">
        <f>VLOOKUP(G553,'CP FACTORS'!$A$26:$B$38,2,FALSE)</f>
        <v>1.379439E-4</v>
      </c>
      <c r="I553" s="1106">
        <f t="shared" si="172"/>
        <v>7.1142999999999998E-2</v>
      </c>
      <c r="J553" s="1146">
        <v>15</v>
      </c>
      <c r="K553" s="1107">
        <v>77</v>
      </c>
      <c r="L553" s="1164" t="s">
        <v>184</v>
      </c>
      <c r="V553" s="88" t="s">
        <v>30</v>
      </c>
      <c r="W553" s="112">
        <v>515.73599999999999</v>
      </c>
      <c r="X553" s="112">
        <v>515.73599999999999</v>
      </c>
      <c r="Y553" s="112">
        <v>515.73599999999999</v>
      </c>
      <c r="Z553" s="112">
        <v>515.73599999999999</v>
      </c>
      <c r="AA553" s="112">
        <v>515.73599999999999</v>
      </c>
      <c r="AB553" s="1516">
        <v>515.74</v>
      </c>
      <c r="AC553" s="1798">
        <v>515.74</v>
      </c>
      <c r="AD553" s="1798">
        <v>515.74</v>
      </c>
      <c r="AE553" s="141"/>
      <c r="AF553" s="141"/>
      <c r="AG553" s="141"/>
      <c r="AH553"/>
      <c r="AI553" s="88" t="s">
        <v>180</v>
      </c>
      <c r="AJ553" s="51">
        <v>15</v>
      </c>
      <c r="AK553" s="51">
        <v>15</v>
      </c>
      <c r="AL553" s="51">
        <v>15</v>
      </c>
      <c r="AM553" s="51">
        <v>15</v>
      </c>
      <c r="AN553" s="51">
        <v>15</v>
      </c>
      <c r="AO553" s="1518">
        <v>15</v>
      </c>
      <c r="AP553" s="1691">
        <v>15</v>
      </c>
      <c r="AQ553" s="1691">
        <v>15</v>
      </c>
      <c r="AR553" s="141"/>
      <c r="AS553" s="141"/>
      <c r="AU553" s="88" t="s">
        <v>169</v>
      </c>
      <c r="AV553" s="1692">
        <v>77</v>
      </c>
      <c r="AW553" s="1692">
        <v>77</v>
      </c>
      <c r="AX553" s="1692">
        <v>77</v>
      </c>
      <c r="AY553" s="1692">
        <v>77</v>
      </c>
      <c r="AZ553" s="1692">
        <v>77</v>
      </c>
      <c r="BA553" s="1615">
        <v>77</v>
      </c>
      <c r="BB553" s="1615">
        <v>77</v>
      </c>
      <c r="BC553" s="1615">
        <v>77</v>
      </c>
      <c r="BD553" s="141"/>
      <c r="BE553" s="141"/>
      <c r="DG553" s="40">
        <f t="shared" si="173"/>
        <v>3.730867082771089</v>
      </c>
      <c r="DH553" s="1580" t="str">
        <f t="shared" si="174"/>
        <v>Air Comp BUS 15 Year EUL</v>
      </c>
      <c r="DI553" s="57">
        <f>(INDEX('Avoided Cost Benefits'!$E$4:$E$859,MATCH(DH553,'Avoided Cost Benefits'!$A$4:$A$859,0)))*F553</f>
        <v>271.14371436845101</v>
      </c>
      <c r="DJ553" s="1581">
        <f t="shared" si="175"/>
        <v>72.675790467201509</v>
      </c>
    </row>
    <row r="554" spans="2:114" x14ac:dyDescent="0.35">
      <c r="C554" s="1614" t="s">
        <v>2878</v>
      </c>
      <c r="D554" s="1106" t="s">
        <v>2485</v>
      </c>
      <c r="E554" s="1105" t="s">
        <v>2879</v>
      </c>
      <c r="F554" s="965">
        <f t="shared" si="176"/>
        <v>1289.3399999999999</v>
      </c>
      <c r="G554" s="1087" t="s">
        <v>2853</v>
      </c>
      <c r="H554" s="1088">
        <f>VLOOKUP(G554,'CP FACTORS'!$A$26:$B$38,2,FALSE)</f>
        <v>1.379439E-4</v>
      </c>
      <c r="I554" s="1106">
        <f t="shared" si="172"/>
        <v>0.17785699999999999</v>
      </c>
      <c r="J554" s="1146">
        <v>15</v>
      </c>
      <c r="K554" s="1107">
        <v>77</v>
      </c>
      <c r="L554" s="1164" t="s">
        <v>184</v>
      </c>
      <c r="V554" s="88" t="s">
        <v>30</v>
      </c>
      <c r="W554" s="112">
        <v>1289.3399999999999</v>
      </c>
      <c r="X554" s="112">
        <v>1289.3399999999999</v>
      </c>
      <c r="Y554" s="112">
        <v>1289.3399999999999</v>
      </c>
      <c r="Z554" s="112">
        <v>1289.3399999999999</v>
      </c>
      <c r="AA554" s="112">
        <v>1289.3399999999999</v>
      </c>
      <c r="AB554" s="1516">
        <v>1289.3399999999999</v>
      </c>
      <c r="AC554" s="1798">
        <v>1289.3399999999999</v>
      </c>
      <c r="AD554" s="1798">
        <v>1289.3399999999999</v>
      </c>
      <c r="AE554" s="141"/>
      <c r="AF554" s="141"/>
      <c r="AG554" s="141"/>
      <c r="AH554"/>
      <c r="AI554" s="88" t="s">
        <v>180</v>
      </c>
      <c r="AJ554" s="51">
        <v>15</v>
      </c>
      <c r="AK554" s="51">
        <v>15</v>
      </c>
      <c r="AL554" s="51">
        <v>15</v>
      </c>
      <c r="AM554" s="51">
        <v>15</v>
      </c>
      <c r="AN554" s="51">
        <v>15</v>
      </c>
      <c r="AO554" s="1518">
        <v>15</v>
      </c>
      <c r="AP554" s="1691">
        <v>15</v>
      </c>
      <c r="AQ554" s="1691">
        <v>15</v>
      </c>
      <c r="AR554" s="141"/>
      <c r="AS554" s="141"/>
      <c r="AU554" s="88" t="s">
        <v>169</v>
      </c>
      <c r="AV554" s="1692">
        <v>77</v>
      </c>
      <c r="AW554" s="1692">
        <v>77</v>
      </c>
      <c r="AX554" s="1692">
        <v>77</v>
      </c>
      <c r="AY554" s="1692">
        <v>77</v>
      </c>
      <c r="AZ554" s="1692">
        <v>77</v>
      </c>
      <c r="BA554" s="1615">
        <v>77</v>
      </c>
      <c r="BB554" s="1615">
        <v>77</v>
      </c>
      <c r="BC554" s="1615">
        <v>77</v>
      </c>
      <c r="BD554" s="141"/>
      <c r="BE554" s="141"/>
      <c r="DG554" s="40">
        <f t="shared" si="173"/>
        <v>9.3270953668516619</v>
      </c>
      <c r="DH554" s="1580" t="str">
        <f t="shared" si="174"/>
        <v>Air Comp BUS 15 Year EUL</v>
      </c>
      <c r="DI554" s="57">
        <f>(INDEX('Avoided Cost Benefits'!$E$4:$E$859,MATCH(DH554,'Avoided Cost Benefits'!$A$4:$A$859,0)))*F554</f>
        <v>677.85402854891731</v>
      </c>
      <c r="DJ554" s="1581">
        <f t="shared" si="175"/>
        <v>72.675790467201509</v>
      </c>
    </row>
    <row r="555" spans="2:114" x14ac:dyDescent="0.35">
      <c r="C555" s="1614" t="s">
        <v>2880</v>
      </c>
      <c r="D555" s="1106" t="s">
        <v>2485</v>
      </c>
      <c r="E555" s="1105" t="s">
        <v>2881</v>
      </c>
      <c r="F555" s="965">
        <f t="shared" si="176"/>
        <v>1547.21</v>
      </c>
      <c r="G555" s="1087" t="s">
        <v>2853</v>
      </c>
      <c r="H555" s="1088">
        <f>VLOOKUP(G555,'CP FACTORS'!$A$26:$B$38,2,FALSE)</f>
        <v>1.379439E-4</v>
      </c>
      <c r="I555" s="1106">
        <f t="shared" si="172"/>
        <v>0.21342800000000001</v>
      </c>
      <c r="J555" s="1146">
        <v>15</v>
      </c>
      <c r="K555" s="1107">
        <v>77</v>
      </c>
      <c r="L555" s="1164" t="s">
        <v>184</v>
      </c>
      <c r="V555" s="88" t="s">
        <v>30</v>
      </c>
      <c r="W555" s="112">
        <v>1547.2080000000001</v>
      </c>
      <c r="X555" s="112">
        <v>1547.2080000000001</v>
      </c>
      <c r="Y555" s="112">
        <v>1547.2080000000001</v>
      </c>
      <c r="Z555" s="112">
        <v>1547.2080000000001</v>
      </c>
      <c r="AA555" s="112">
        <v>1547.2080000000001</v>
      </c>
      <c r="AB555" s="1516">
        <v>1547.21</v>
      </c>
      <c r="AC555" s="1798">
        <v>1547.21</v>
      </c>
      <c r="AD555" s="1798">
        <v>1547.21</v>
      </c>
      <c r="AE555" s="141"/>
      <c r="AF555" s="141"/>
      <c r="AG555" s="141"/>
      <c r="AH555"/>
      <c r="AI555" s="88" t="s">
        <v>180</v>
      </c>
      <c r="AJ555" s="51">
        <v>15</v>
      </c>
      <c r="AK555" s="51">
        <v>15</v>
      </c>
      <c r="AL555" s="51">
        <v>15</v>
      </c>
      <c r="AM555" s="51">
        <v>15</v>
      </c>
      <c r="AN555" s="51">
        <v>15</v>
      </c>
      <c r="AO555" s="1518">
        <v>15</v>
      </c>
      <c r="AP555" s="1691">
        <v>15</v>
      </c>
      <c r="AQ555" s="1691">
        <v>15</v>
      </c>
      <c r="AR555" s="141"/>
      <c r="AS555" s="141"/>
      <c r="AU555" s="88" t="s">
        <v>169</v>
      </c>
      <c r="AV555" s="1692">
        <v>77</v>
      </c>
      <c r="AW555" s="1692">
        <v>77</v>
      </c>
      <c r="AX555" s="1692">
        <v>77</v>
      </c>
      <c r="AY555" s="1692">
        <v>77</v>
      </c>
      <c r="AZ555" s="1692">
        <v>77</v>
      </c>
      <c r="BA555" s="1615">
        <v>77</v>
      </c>
      <c r="BB555" s="1615">
        <v>77</v>
      </c>
      <c r="BC555" s="1615">
        <v>77</v>
      </c>
      <c r="BD555" s="141"/>
      <c r="BE555" s="141"/>
      <c r="DG555" s="41">
        <f t="shared" si="173"/>
        <v>11.192528908237206</v>
      </c>
      <c r="DH555" s="1580" t="str">
        <f t="shared" si="174"/>
        <v>Air Comp BUS 15 Year EUL</v>
      </c>
      <c r="DI555" s="58">
        <f>(INDEX('Avoided Cost Benefits'!$E$4:$E$859,MATCH(DH555,'Avoided Cost Benefits'!$A$4:$A$859,0)))*F555</f>
        <v>813.42588573314288</v>
      </c>
      <c r="DJ555" s="1582">
        <f t="shared" si="175"/>
        <v>72.675790467201509</v>
      </c>
    </row>
    <row r="556" spans="2:114" hidden="1" outlineLevel="1" x14ac:dyDescent="0.35">
      <c r="E556" s="33"/>
      <c r="F556" s="33"/>
      <c r="G556" s="33"/>
      <c r="H556" s="1096"/>
      <c r="I556" s="33"/>
      <c r="J556" s="33"/>
      <c r="K556" s="33"/>
    </row>
    <row r="557" spans="2:114" hidden="1" outlineLevel="1" x14ac:dyDescent="0.35">
      <c r="D557" s="33" t="s">
        <v>2528</v>
      </c>
      <c r="E557" s="33"/>
      <c r="F557" s="33"/>
      <c r="G557" s="33"/>
      <c r="H557" s="1096"/>
      <c r="I557" s="33"/>
      <c r="J557" s="33"/>
      <c r="K557" s="33"/>
    </row>
    <row r="558" spans="2:114" hidden="1" outlineLevel="1" x14ac:dyDescent="0.35">
      <c r="D558" s="1097"/>
      <c r="G558" s="725"/>
      <c r="H558" s="1098"/>
    </row>
    <row r="559" spans="2:114" hidden="1" outlineLevel="1" x14ac:dyDescent="0.35">
      <c r="D559" s="1097"/>
      <c r="G559" s="725"/>
      <c r="H559" s="1098"/>
    </row>
    <row r="560" spans="2:114" hidden="1" outlineLevel="1" x14ac:dyDescent="0.35">
      <c r="D560" s="1097"/>
      <c r="G560" s="725"/>
      <c r="H560" s="1098"/>
      <c r="M560" s="33"/>
    </row>
    <row r="561" spans="2:115" hidden="1" outlineLevel="1" x14ac:dyDescent="0.35">
      <c r="D561" s="1097"/>
      <c r="G561" s="725"/>
      <c r="H561" s="1098"/>
      <c r="M561" s="33"/>
    </row>
    <row r="562" spans="2:115" hidden="1" outlineLevel="1" x14ac:dyDescent="0.35">
      <c r="D562" s="1097"/>
      <c r="G562" s="725"/>
      <c r="H562" s="1098"/>
      <c r="M562" s="33"/>
    </row>
    <row r="563" spans="2:115" hidden="1" outlineLevel="1" x14ac:dyDescent="0.35">
      <c r="D563" s="1097"/>
      <c r="G563" s="725"/>
      <c r="H563" s="1098"/>
    </row>
    <row r="564" spans="2:115" s="34" customFormat="1" hidden="1" outlineLevel="1" x14ac:dyDescent="0.35">
      <c r="C564" s="132"/>
      <c r="D564" s="2327" t="s">
        <v>27</v>
      </c>
      <c r="E564" s="2327" t="s">
        <v>2597</v>
      </c>
      <c r="F564" s="70" t="s">
        <v>2882</v>
      </c>
      <c r="G564" s="2327" t="s">
        <v>2883</v>
      </c>
      <c r="H564" s="2327" t="s">
        <v>2884</v>
      </c>
      <c r="I564" s="2327" t="s">
        <v>2885</v>
      </c>
      <c r="J564" s="2327" t="s">
        <v>721</v>
      </c>
      <c r="K564" s="350"/>
      <c r="L564" s="350"/>
      <c r="M564" s="350"/>
      <c r="N564" s="350"/>
      <c r="O564" s="350"/>
      <c r="P564" s="350"/>
      <c r="Q564" s="350"/>
      <c r="R564" s="350"/>
      <c r="S564" s="350"/>
      <c r="T564" s="350"/>
      <c r="U564" s="350"/>
      <c r="DG564" s="59"/>
    </row>
    <row r="565" spans="2:115" hidden="1" outlineLevel="1" x14ac:dyDescent="0.35">
      <c r="D565" s="1593" t="str">
        <f>C549</f>
        <v>804650_2019_12_</v>
      </c>
      <c r="E565" s="1593" t="str">
        <f t="shared" ref="E565:E571" si="177">E549</f>
        <v>Compressed Air Nozzle (Reciprocating - On/off Control)</v>
      </c>
      <c r="F565" s="1148">
        <v>58</v>
      </c>
      <c r="G565" s="74">
        <v>0.5</v>
      </c>
      <c r="H565" s="1184">
        <v>0.18</v>
      </c>
      <c r="I565" s="1166">
        <v>0.05</v>
      </c>
      <c r="J565" s="1183">
        <v>5928</v>
      </c>
    </row>
    <row r="566" spans="2:115" hidden="1" outlineLevel="1" x14ac:dyDescent="0.35">
      <c r="D566" s="1593" t="str">
        <f t="shared" ref="D566:D571" si="178">C550</f>
        <v>804700_2019_12_</v>
      </c>
      <c r="E566" s="1593" t="str">
        <f t="shared" si="177"/>
        <v>Compressed Air Nozzle (Reciprocating - Load/Unload)</v>
      </c>
      <c r="F566" s="1148">
        <v>58</v>
      </c>
      <c r="G566" s="74">
        <v>0.5</v>
      </c>
      <c r="H566" s="1184">
        <v>0.14000000000000001</v>
      </c>
      <c r="I566" s="1166">
        <v>0.05</v>
      </c>
      <c r="J566" s="1183">
        <v>5928</v>
      </c>
    </row>
    <row r="567" spans="2:115" hidden="1" outlineLevel="1" x14ac:dyDescent="0.35">
      <c r="D567" s="1593" t="str">
        <f t="shared" si="178"/>
        <v>804750_2019_12_</v>
      </c>
      <c r="E567" s="1593" t="str">
        <f t="shared" si="177"/>
        <v>Compressed Air Nozzle (Screw - Load/Unload)</v>
      </c>
      <c r="F567" s="1148">
        <v>58</v>
      </c>
      <c r="G567" s="74">
        <v>0.5</v>
      </c>
      <c r="H567" s="1184">
        <v>0.15</v>
      </c>
      <c r="I567" s="1166">
        <v>0.05</v>
      </c>
      <c r="J567" s="1183">
        <v>5928</v>
      </c>
    </row>
    <row r="568" spans="2:115" hidden="1" outlineLevel="1" x14ac:dyDescent="0.35">
      <c r="D568" s="1593" t="str">
        <f t="shared" si="178"/>
        <v>804800_2019_12_</v>
      </c>
      <c r="E568" s="1593" t="str">
        <f t="shared" si="177"/>
        <v>Compressed Air Nozzle (Screw - Inlet Modulation)</v>
      </c>
      <c r="F568" s="1148">
        <v>58</v>
      </c>
      <c r="G568" s="74">
        <v>0.5</v>
      </c>
      <c r="H568" s="1184">
        <v>0.06</v>
      </c>
      <c r="I568" s="1166">
        <v>0.05</v>
      </c>
      <c r="J568" s="1183">
        <v>5928</v>
      </c>
    </row>
    <row r="569" spans="2:115" hidden="1" outlineLevel="1" x14ac:dyDescent="0.35">
      <c r="D569" s="1593" t="str">
        <f t="shared" si="178"/>
        <v>804850_2019_12_</v>
      </c>
      <c r="E569" s="1593" t="str">
        <f t="shared" si="177"/>
        <v>Compressed Air Nozzle (Screw - Inlet Modulation w/ Unloading)</v>
      </c>
      <c r="F569" s="1148">
        <v>58</v>
      </c>
      <c r="G569" s="74">
        <v>0.5</v>
      </c>
      <c r="H569" s="1184">
        <v>0.06</v>
      </c>
      <c r="I569" s="1166">
        <v>0.05</v>
      </c>
      <c r="J569" s="1183">
        <v>5928</v>
      </c>
    </row>
    <row r="570" spans="2:115" hidden="1" outlineLevel="1" x14ac:dyDescent="0.35">
      <c r="D570" s="1593" t="str">
        <f t="shared" si="178"/>
        <v>804900_2019_12_</v>
      </c>
      <c r="E570" s="1593" t="str">
        <f t="shared" si="177"/>
        <v>Compressed Air Nozzle (Screw - Variable Displacement)</v>
      </c>
      <c r="F570" s="1148">
        <v>58</v>
      </c>
      <c r="G570" s="74">
        <v>0.5</v>
      </c>
      <c r="H570" s="1184">
        <v>0.15</v>
      </c>
      <c r="I570" s="1166">
        <v>0.05</v>
      </c>
      <c r="J570" s="1183">
        <v>5928</v>
      </c>
    </row>
    <row r="571" spans="2:115" hidden="1" outlineLevel="1" x14ac:dyDescent="0.35">
      <c r="D571" s="1593" t="str">
        <f t="shared" si="178"/>
        <v>804950_2019_12_</v>
      </c>
      <c r="E571" s="1593" t="str">
        <f t="shared" si="177"/>
        <v>Compressed Air Nozzle (Screw - VFD)</v>
      </c>
      <c r="F571" s="1148">
        <v>58</v>
      </c>
      <c r="G571" s="74">
        <v>0.5</v>
      </c>
      <c r="H571" s="1184">
        <v>0.18</v>
      </c>
      <c r="I571" s="1166">
        <v>0.05</v>
      </c>
      <c r="J571" s="1183">
        <v>5928</v>
      </c>
    </row>
    <row r="572" spans="2:115" collapsed="1" x14ac:dyDescent="0.35"/>
    <row r="574" spans="2:115" s="34" customFormat="1" ht="29" x14ac:dyDescent="0.35">
      <c r="B574" s="31"/>
      <c r="C574" s="35" t="s">
        <v>27</v>
      </c>
      <c r="D574" s="35" t="s">
        <v>28</v>
      </c>
      <c r="E574" s="2399" t="s">
        <v>29</v>
      </c>
      <c r="F574" s="2399" t="s">
        <v>2671</v>
      </c>
      <c r="G574" s="2399" t="s">
        <v>175</v>
      </c>
      <c r="H574" s="36" t="s">
        <v>176</v>
      </c>
      <c r="I574" s="2399" t="s">
        <v>31</v>
      </c>
      <c r="J574" s="2399" t="s">
        <v>180</v>
      </c>
      <c r="K574" s="35" t="s">
        <v>169</v>
      </c>
      <c r="L574" s="35" t="s">
        <v>43</v>
      </c>
      <c r="M574" s="725"/>
      <c r="N574" s="1180"/>
      <c r="O574" s="1157"/>
      <c r="P574" s="1158"/>
      <c r="Q574" s="350"/>
      <c r="R574" s="350"/>
      <c r="S574" s="350"/>
      <c r="T574" s="350"/>
      <c r="U574" s="350"/>
      <c r="V574" s="1572" t="s">
        <v>44</v>
      </c>
      <c r="W574" s="1573">
        <f>$W$8</f>
        <v>43252</v>
      </c>
      <c r="X574" s="1573">
        <f>$X$8</f>
        <v>43465</v>
      </c>
      <c r="Y574" s="1573">
        <f>$Y$8</f>
        <v>43800</v>
      </c>
      <c r="Z574" s="1573">
        <f>$Z$8</f>
        <v>43862</v>
      </c>
      <c r="AA574" s="1573">
        <f>$AA$8</f>
        <v>44013</v>
      </c>
      <c r="AB574" s="1573">
        <v>44166</v>
      </c>
      <c r="AC574" s="1573">
        <f>$AC$8</f>
        <v>44531</v>
      </c>
      <c r="AD574" s="1573">
        <f>$AD$8</f>
        <v>44774</v>
      </c>
      <c r="AE574" s="1573" t="str">
        <f>$AE$8</f>
        <v>-</v>
      </c>
      <c r="AF574" s="1573" t="str">
        <f>$AF$8</f>
        <v>-</v>
      </c>
      <c r="AG574" s="1573" t="str">
        <f>$AG$8</f>
        <v>-</v>
      </c>
      <c r="AH574"/>
      <c r="AI574" s="1572" t="s">
        <v>44</v>
      </c>
      <c r="AJ574" s="1573">
        <v>43252</v>
      </c>
      <c r="AK574" s="1573">
        <f>$X$8</f>
        <v>43465</v>
      </c>
      <c r="AL574" s="1573">
        <f>$Y$8</f>
        <v>43800</v>
      </c>
      <c r="AM574" s="1573">
        <f>$Z$8</f>
        <v>43862</v>
      </c>
      <c r="AN574" s="1573">
        <f>$AA$8</f>
        <v>44013</v>
      </c>
      <c r="AO574" s="1573">
        <f>$AB$8</f>
        <v>44166</v>
      </c>
      <c r="AP574" s="1573">
        <f>$AC$8</f>
        <v>44531</v>
      </c>
      <c r="AQ574" s="1573">
        <f>$AD$8</f>
        <v>44774</v>
      </c>
      <c r="AR574" s="1573" t="str">
        <f>$AE$8</f>
        <v>-</v>
      </c>
      <c r="AS574" s="1573" t="str">
        <f>$AF$8</f>
        <v>-</v>
      </c>
      <c r="AT574" s="21"/>
      <c r="AU574" s="1572" t="s">
        <v>44</v>
      </c>
      <c r="AV574" s="1573">
        <v>43252</v>
      </c>
      <c r="AW574" s="1573">
        <f>$X$8</f>
        <v>43465</v>
      </c>
      <c r="AX574" s="1573">
        <f>$Y$8</f>
        <v>43800</v>
      </c>
      <c r="AY574" s="1573">
        <f>$Z$8</f>
        <v>43862</v>
      </c>
      <c r="AZ574" s="1573">
        <f>$AA$8</f>
        <v>44013</v>
      </c>
      <c r="BA574" s="1573">
        <v>44166</v>
      </c>
      <c r="BB574" s="1573">
        <f>$AC$8</f>
        <v>44531</v>
      </c>
      <c r="BC574" s="1573">
        <f>$AD$8</f>
        <v>44774</v>
      </c>
      <c r="BD574" s="1573" t="str">
        <f>$AE$8</f>
        <v>-</v>
      </c>
      <c r="BE574" s="1573" t="str">
        <f>$AF$8</f>
        <v>-</v>
      </c>
      <c r="DG574" s="1574" t="str">
        <f>$DG$8</f>
        <v>TRC (2022)</v>
      </c>
      <c r="DH574" s="1584" t="str">
        <f>$DH$8</f>
        <v>Benefit Lookup</v>
      </c>
      <c r="DI574" s="1584" t="str">
        <f>$DI$8</f>
        <v>Benefits (2019 $)</v>
      </c>
      <c r="DJ574" s="1584" t="str">
        <f>$DJ$8</f>
        <v>Incremental Cost (2019 $)</v>
      </c>
    </row>
    <row r="575" spans="2:115" x14ac:dyDescent="0.35">
      <c r="C575" s="1614" t="s">
        <v>2886</v>
      </c>
      <c r="D575" s="75" t="s">
        <v>2485</v>
      </c>
      <c r="E575" s="1105" t="s">
        <v>2887</v>
      </c>
      <c r="F575" s="51">
        <f>ROUND(0.9*F585*G585*(H585-I585),2)</f>
        <v>987.01</v>
      </c>
      <c r="G575" s="1087" t="s">
        <v>2853</v>
      </c>
      <c r="H575" s="1088">
        <f>VLOOKUP(G575,'CP FACTORS'!$A$26:$B$38,2,FALSE)</f>
        <v>1.379439E-4</v>
      </c>
      <c r="I575" s="1106">
        <f>ROUND(H575*F575,6)</f>
        <v>0.136152</v>
      </c>
      <c r="J575" s="1146">
        <v>10</v>
      </c>
      <c r="K575" s="1609" t="s">
        <v>2888</v>
      </c>
      <c r="L575" s="1164" t="s">
        <v>2889</v>
      </c>
      <c r="V575" s="2419" t="str">
        <f>F574</f>
        <v>kWh Annual Savings (per HP)</v>
      </c>
      <c r="W575" s="112">
        <v>987.01200000000028</v>
      </c>
      <c r="X575" s="112">
        <v>3272.2560000000003</v>
      </c>
      <c r="Y575" s="112">
        <v>3272.2560000000003</v>
      </c>
      <c r="Z575" s="112">
        <v>3272.2560000000003</v>
      </c>
      <c r="AA575" s="112">
        <v>3272.2560000000003</v>
      </c>
      <c r="AB575" s="1516">
        <v>987.01</v>
      </c>
      <c r="AC575" s="1798">
        <v>987.01</v>
      </c>
      <c r="AD575" s="1798">
        <v>987.01</v>
      </c>
      <c r="AE575" s="141"/>
      <c r="AF575" s="141"/>
      <c r="AG575" s="141"/>
      <c r="AH575"/>
      <c r="AI575" s="2419" t="s">
        <v>180</v>
      </c>
      <c r="AJ575" s="1576">
        <v>10</v>
      </c>
      <c r="AK575" s="1576">
        <v>10</v>
      </c>
      <c r="AL575" s="1576">
        <v>10</v>
      </c>
      <c r="AM575" s="1576">
        <v>10</v>
      </c>
      <c r="AN575" s="1576">
        <v>10</v>
      </c>
      <c r="AO575" s="110">
        <v>10</v>
      </c>
      <c r="AP575" s="1691">
        <v>10</v>
      </c>
      <c r="AQ575" s="1691">
        <v>10</v>
      </c>
      <c r="AR575" s="141"/>
      <c r="AS575" s="141"/>
      <c r="AU575" s="2419" t="str">
        <f>K574</f>
        <v>Inc. Cost</v>
      </c>
      <c r="AV575" s="1577">
        <v>1573</v>
      </c>
      <c r="AW575" s="1577">
        <v>1573</v>
      </c>
      <c r="AX575" s="1577">
        <v>1573</v>
      </c>
      <c r="AY575" s="1577">
        <v>1573</v>
      </c>
      <c r="AZ575" s="1929" t="s">
        <v>2888</v>
      </c>
      <c r="BA575" s="1615" t="s">
        <v>2888</v>
      </c>
      <c r="BB575" s="1615" t="s">
        <v>2888</v>
      </c>
      <c r="BC575" s="1615" t="s">
        <v>2888</v>
      </c>
      <c r="BD575" s="141"/>
      <c r="BE575" s="141"/>
      <c r="DG575" s="1585">
        <f>(DI575)/(DJ575)</f>
        <v>1.0432124362839275</v>
      </c>
      <c r="DH575" s="2381" t="str">
        <f>CONCATENATE(G575," ",J575," Year EUL")</f>
        <v>Air Comp BUS 10 Year EUL</v>
      </c>
      <c r="DI575" s="2119">
        <f>(INDEX('Avoided Cost Benefits'!$E$4:$E$859,MATCH(DH575,'Avoided Cost Benefits'!$A$4:$A$859,0)))*F575*DJ576</f>
        <v>2174.0566864699495</v>
      </c>
      <c r="DJ575" s="1587">
        <f>(127*DJ576+1446)/(1.0595^(2020-2019))</f>
        <v>2084.001887682869</v>
      </c>
    </row>
    <row r="576" spans="2:115" hidden="1" outlineLevel="1" x14ac:dyDescent="0.35">
      <c r="E576" s="33"/>
      <c r="F576" s="33"/>
      <c r="G576" s="33"/>
      <c r="H576" s="1096"/>
      <c r="I576" s="33"/>
      <c r="J576" s="33"/>
      <c r="K576" s="33"/>
      <c r="DJ576" s="725">
        <v>6</v>
      </c>
      <c r="DK576" s="725" t="s">
        <v>4528</v>
      </c>
    </row>
    <row r="577" spans="2:117" hidden="1" outlineLevel="1" x14ac:dyDescent="0.35">
      <c r="D577" s="33" t="s">
        <v>2528</v>
      </c>
      <c r="E577" s="33"/>
      <c r="F577" s="33"/>
      <c r="G577" s="33"/>
      <c r="H577" s="1096"/>
      <c r="I577" s="33"/>
      <c r="J577" s="33"/>
      <c r="K577" s="33"/>
    </row>
    <row r="578" spans="2:117" hidden="1" outlineLevel="1" x14ac:dyDescent="0.35">
      <c r="D578" s="1097"/>
      <c r="G578" s="725"/>
      <c r="H578" s="1098"/>
    </row>
    <row r="579" spans="2:117" hidden="1" outlineLevel="1" x14ac:dyDescent="0.35">
      <c r="D579" s="1097"/>
      <c r="G579" s="725"/>
      <c r="H579" s="1098"/>
    </row>
    <row r="580" spans="2:117" hidden="1" outlineLevel="1" x14ac:dyDescent="0.35">
      <c r="D580" s="1097"/>
      <c r="G580" s="725"/>
      <c r="H580" s="1098"/>
      <c r="M580" s="33"/>
    </row>
    <row r="581" spans="2:117" hidden="1" outlineLevel="1" x14ac:dyDescent="0.35">
      <c r="D581" s="1097"/>
      <c r="G581" s="725"/>
      <c r="H581" s="1098"/>
      <c r="M581" s="33"/>
    </row>
    <row r="582" spans="2:117" hidden="1" outlineLevel="1" x14ac:dyDescent="0.35">
      <c r="D582" s="1097"/>
      <c r="G582" s="725"/>
      <c r="H582" s="1098"/>
      <c r="M582" s="33"/>
    </row>
    <row r="583" spans="2:117" hidden="1" outlineLevel="1" x14ac:dyDescent="0.35">
      <c r="D583" s="1097"/>
      <c r="G583" s="725"/>
      <c r="H583" s="1098"/>
    </row>
    <row r="584" spans="2:117" s="34" customFormat="1" hidden="1" outlineLevel="1" x14ac:dyDescent="0.35">
      <c r="C584" s="132"/>
      <c r="D584" s="2327" t="s">
        <v>27</v>
      </c>
      <c r="E584" s="2327" t="s">
        <v>2597</v>
      </c>
      <c r="F584" s="70" t="s">
        <v>2890</v>
      </c>
      <c r="G584" s="2327" t="s">
        <v>721</v>
      </c>
      <c r="H584" s="2327" t="s">
        <v>2891</v>
      </c>
      <c r="I584" s="2327" t="s">
        <v>2892</v>
      </c>
      <c r="J584" s="350"/>
      <c r="K584" s="350"/>
      <c r="L584" s="350"/>
      <c r="M584" s="350"/>
      <c r="N584" s="350"/>
      <c r="O584" s="350"/>
      <c r="P584" s="350"/>
      <c r="Q584" s="350"/>
      <c r="R584" s="350"/>
      <c r="S584" s="350"/>
      <c r="T584" s="350"/>
      <c r="U584" s="350"/>
      <c r="DG584" s="59"/>
    </row>
    <row r="585" spans="2:117" hidden="1" outlineLevel="1" x14ac:dyDescent="0.35">
      <c r="D585" s="1593" t="str">
        <f>C575</f>
        <v>805000_2020_07_</v>
      </c>
      <c r="E585" s="1593" t="str">
        <f>E575</f>
        <v>VSD Air Compressor 5-40 HP</v>
      </c>
      <c r="F585" s="1148">
        <v>1</v>
      </c>
      <c r="G585" s="76">
        <v>5928</v>
      </c>
      <c r="H585" s="1185">
        <v>0.89</v>
      </c>
      <c r="I585" s="1186">
        <v>0.70499999999999996</v>
      </c>
      <c r="DL585" s="81"/>
      <c r="DM585" s="81"/>
    </row>
    <row r="586" spans="2:117" collapsed="1" x14ac:dyDescent="0.35"/>
    <row r="587" spans="2:117" x14ac:dyDescent="0.35">
      <c r="DG587" s="3581" t="s">
        <v>4477</v>
      </c>
    </row>
    <row r="588" spans="2:117" s="34" customFormat="1" ht="29" x14ac:dyDescent="0.35">
      <c r="B588" s="31"/>
      <c r="C588" s="3595" t="s">
        <v>27</v>
      </c>
      <c r="D588" s="3595" t="s">
        <v>28</v>
      </c>
      <c r="E588" s="3596" t="s">
        <v>29</v>
      </c>
      <c r="F588" s="3596" t="s">
        <v>4544</v>
      </c>
      <c r="G588" s="3596" t="s">
        <v>175</v>
      </c>
      <c r="H588" s="3597" t="s">
        <v>176</v>
      </c>
      <c r="I588" s="3596" t="s">
        <v>31</v>
      </c>
      <c r="J588" s="3596" t="s">
        <v>180</v>
      </c>
      <c r="K588" s="3595" t="s">
        <v>169</v>
      </c>
      <c r="L588" s="3595" t="s">
        <v>43</v>
      </c>
      <c r="M588" s="725"/>
      <c r="N588" s="1180"/>
      <c r="O588" s="1157"/>
      <c r="P588" s="1158"/>
      <c r="Q588" s="350"/>
      <c r="R588" s="350"/>
      <c r="S588" s="350"/>
      <c r="T588" s="350"/>
      <c r="U588" s="350"/>
      <c r="V588" s="3342" t="s">
        <v>44</v>
      </c>
      <c r="W588" s="3331">
        <f>$W$8</f>
        <v>43252</v>
      </c>
      <c r="X588" s="3331">
        <f>$X$8</f>
        <v>43465</v>
      </c>
      <c r="Y588" s="3331">
        <f>$Y$8</f>
        <v>43800</v>
      </c>
      <c r="Z588" s="3331">
        <f>$Z$8</f>
        <v>43862</v>
      </c>
      <c r="AA588" s="3331">
        <f>$AA$8</f>
        <v>44013</v>
      </c>
      <c r="AB588" s="3331">
        <v>44166</v>
      </c>
      <c r="AC588" s="3331">
        <f>$AC$8</f>
        <v>44531</v>
      </c>
      <c r="AD588" s="3331">
        <f>$AD$8</f>
        <v>44774</v>
      </c>
      <c r="AE588" s="3331" t="str">
        <f>$AE$8</f>
        <v>-</v>
      </c>
      <c r="AF588" s="3331" t="str">
        <f>$AF$8</f>
        <v>-</v>
      </c>
      <c r="AG588" s="3331" t="str">
        <f>$AG$8</f>
        <v>-</v>
      </c>
      <c r="AH588"/>
      <c r="AI588" s="3342" t="s">
        <v>44</v>
      </c>
      <c r="AJ588" s="3331">
        <v>43252</v>
      </c>
      <c r="AK588" s="3331">
        <f>$X$8</f>
        <v>43465</v>
      </c>
      <c r="AL588" s="3331">
        <f>$Y$8</f>
        <v>43800</v>
      </c>
      <c r="AM588" s="3331">
        <f>$Z$8</f>
        <v>43862</v>
      </c>
      <c r="AN588" s="3331">
        <f>$AA$8</f>
        <v>44013</v>
      </c>
      <c r="AO588" s="3331">
        <f>$AB$8</f>
        <v>44166</v>
      </c>
      <c r="AP588" s="3331">
        <f>$AC$8</f>
        <v>44531</v>
      </c>
      <c r="AQ588" s="3331">
        <f>$AD$8</f>
        <v>44774</v>
      </c>
      <c r="AR588" s="3331" t="str">
        <f>$AE$8</f>
        <v>-</v>
      </c>
      <c r="AS588" s="3331" t="str">
        <f>$AF$8</f>
        <v>-</v>
      </c>
      <c r="AT588" s="21"/>
      <c r="AU588" s="3342" t="s">
        <v>44</v>
      </c>
      <c r="AV588" s="3331">
        <v>43252</v>
      </c>
      <c r="AW588" s="3331">
        <f>$X$8</f>
        <v>43465</v>
      </c>
      <c r="AX588" s="3331">
        <f>$Y$8</f>
        <v>43800</v>
      </c>
      <c r="AY588" s="3331">
        <f>$Z$8</f>
        <v>43862</v>
      </c>
      <c r="AZ588" s="3331">
        <f>$AA$8</f>
        <v>44013</v>
      </c>
      <c r="BA588" s="3331">
        <v>44166</v>
      </c>
      <c r="BB588" s="3331">
        <f>$AC$8</f>
        <v>44531</v>
      </c>
      <c r="BC588" s="3331">
        <f>$AD$8</f>
        <v>44774</v>
      </c>
      <c r="BD588" s="3331" t="str">
        <f>$AE$8</f>
        <v>-</v>
      </c>
      <c r="BE588" s="3331" t="str">
        <f>$AF$8</f>
        <v>-</v>
      </c>
      <c r="DE588" s="21"/>
      <c r="DF588" s="21"/>
      <c r="DG588" s="2501" t="str">
        <f>$DG$8</f>
        <v>TRC (2022)</v>
      </c>
      <c r="DH588" s="3287" t="str">
        <f>$DH$8</f>
        <v>Benefit Lookup</v>
      </c>
      <c r="DI588" s="3287" t="str">
        <f>$DI$8</f>
        <v>Benefits (2019 $)</v>
      </c>
      <c r="DJ588" s="3287" t="str">
        <f>$DJ$8</f>
        <v>Incremental Cost (2019 $)</v>
      </c>
    </row>
    <row r="589" spans="2:117" x14ac:dyDescent="0.35">
      <c r="C589" s="3621" t="s">
        <v>4535</v>
      </c>
      <c r="D589" s="3262" t="s">
        <v>2485</v>
      </c>
      <c r="E589" s="3620" t="s">
        <v>4546</v>
      </c>
      <c r="F589" s="122">
        <f>ROUND(F605*G605*H605,2)</f>
        <v>1090.75</v>
      </c>
      <c r="G589" s="3324" t="s">
        <v>2853</v>
      </c>
      <c r="H589" s="3326">
        <f>VLOOKUP(G589,'CP FACTORS'!$A$26:$B$38,2,FALSE)</f>
        <v>1.379439E-4</v>
      </c>
      <c r="I589" s="3262">
        <f t="shared" ref="I589:I595" si="179">ROUND(H589*F589,6)</f>
        <v>0.15046200000000001</v>
      </c>
      <c r="J589" s="3611">
        <v>2</v>
      </c>
      <c r="K589" s="3327" t="s">
        <v>611</v>
      </c>
      <c r="L589" s="3622" t="s">
        <v>4545</v>
      </c>
      <c r="V589" s="293" t="s">
        <v>4544</v>
      </c>
      <c r="W589" s="1575"/>
      <c r="X589" s="1575"/>
      <c r="Y589" s="1575"/>
      <c r="Z589" s="1575"/>
      <c r="AA589" s="1575"/>
      <c r="AB589" s="1540"/>
      <c r="AC589" s="373"/>
      <c r="AD589" s="373">
        <v>1090.75</v>
      </c>
      <c r="AE589" s="1589"/>
      <c r="AF589" s="1589"/>
      <c r="AG589" s="1589"/>
      <c r="AH589"/>
      <c r="AI589" s="293" t="s">
        <v>180</v>
      </c>
      <c r="AJ589" s="1568"/>
      <c r="AK589" s="1568"/>
      <c r="AL589" s="1568"/>
      <c r="AM589" s="1568"/>
      <c r="AN589" s="1568"/>
      <c r="AO589" s="1583"/>
      <c r="AP589" s="118"/>
      <c r="AQ589" s="118">
        <v>2</v>
      </c>
      <c r="AR589" s="1589"/>
      <c r="AS589" s="1589"/>
      <c r="AU589" s="293" t="s">
        <v>169</v>
      </c>
      <c r="AV589" s="3607"/>
      <c r="AW589" s="3607"/>
      <c r="AX589" s="3607"/>
      <c r="AY589" s="3607"/>
      <c r="AZ589" s="3607"/>
      <c r="BA589" s="1929"/>
      <c r="BB589" s="1929"/>
      <c r="BC589" s="1929">
        <v>50</v>
      </c>
      <c r="BD589" s="1589"/>
      <c r="BE589" s="1589"/>
      <c r="DG589" s="3333" t="e">
        <f t="shared" ref="DG589:DG595" si="180">(DI589)/(DJ589)</f>
        <v>#VALUE!</v>
      </c>
      <c r="DH589" s="2528" t="str">
        <f t="shared" ref="DH589:DH595" si="181">CONCATENATE(G589," ",J589," Year EUL")</f>
        <v>Air Comp BUS 2 Year EUL</v>
      </c>
      <c r="DI589" s="3616">
        <f>(INDEX('Avoided Cost Benefits'!$E$4:$E$859,MATCH(DH589,'Avoided Cost Benefits'!$A$4:$A$859,0)))*F589</f>
        <v>78.995651498144284</v>
      </c>
      <c r="DJ589" s="3270" t="e">
        <f t="shared" ref="DJ589:DJ595" si="182">K589/(1.0595^(2020-2019))</f>
        <v>#VALUE!</v>
      </c>
    </row>
    <row r="590" spans="2:117" x14ac:dyDescent="0.35">
      <c r="C590" s="3621" t="s">
        <v>4537</v>
      </c>
      <c r="D590" s="3262" t="s">
        <v>2485</v>
      </c>
      <c r="E590" s="3620" t="s">
        <v>4547</v>
      </c>
      <c r="F590" s="122">
        <f t="shared" ref="F590:F595" si="183">ROUND(F606*G606*H606,2)</f>
        <v>806.21</v>
      </c>
      <c r="G590" s="3324" t="s">
        <v>2853</v>
      </c>
      <c r="H590" s="3326">
        <f>VLOOKUP(G590,'CP FACTORS'!$A$26:$B$38,2,FALSE)</f>
        <v>1.379439E-4</v>
      </c>
      <c r="I590" s="3262">
        <f t="shared" si="179"/>
        <v>0.11121200000000001</v>
      </c>
      <c r="J590" s="3611">
        <v>2</v>
      </c>
      <c r="K590" s="3327" t="s">
        <v>611</v>
      </c>
      <c r="L590" s="3622" t="s">
        <v>4545</v>
      </c>
      <c r="V590" s="293" t="s">
        <v>4544</v>
      </c>
      <c r="W590" s="1575"/>
      <c r="X590" s="1575"/>
      <c r="Y590" s="1575"/>
      <c r="Z590" s="1575"/>
      <c r="AA590" s="1575"/>
      <c r="AB590" s="1540"/>
      <c r="AC590" s="373"/>
      <c r="AD590" s="373">
        <v>806.21</v>
      </c>
      <c r="AE590" s="1589"/>
      <c r="AF590" s="1589"/>
      <c r="AG590" s="1589"/>
      <c r="AH590"/>
      <c r="AI590" s="293" t="s">
        <v>180</v>
      </c>
      <c r="AJ590" s="1568"/>
      <c r="AK590" s="1568"/>
      <c r="AL590" s="1568"/>
      <c r="AM590" s="1568"/>
      <c r="AN590" s="1568"/>
      <c r="AO590" s="1583"/>
      <c r="AP590" s="118"/>
      <c r="AQ590" s="118">
        <v>2</v>
      </c>
      <c r="AR590" s="1589"/>
      <c r="AS590" s="1589"/>
      <c r="AU590" s="293" t="s">
        <v>169</v>
      </c>
      <c r="AV590" s="3607"/>
      <c r="AW590" s="3607"/>
      <c r="AX590" s="3607"/>
      <c r="AY590" s="3607"/>
      <c r="AZ590" s="3607"/>
      <c r="BA590" s="1929"/>
      <c r="BB590" s="1929"/>
      <c r="BC590" s="1929">
        <v>50</v>
      </c>
      <c r="BD590" s="1589"/>
      <c r="BE590" s="1589"/>
      <c r="DG590" s="2504" t="e">
        <f t="shared" si="180"/>
        <v>#VALUE!</v>
      </c>
      <c r="DH590" s="2505" t="str">
        <f t="shared" si="181"/>
        <v>Air Comp BUS 2 Year EUL</v>
      </c>
      <c r="DI590" s="3617">
        <f>(INDEX('Avoided Cost Benefits'!$E$4:$E$859,MATCH(DH590,'Avoided Cost Benefits'!$A$4:$A$859,0)))*F590</f>
        <v>58.388342144688437</v>
      </c>
      <c r="DJ590" s="2507" t="e">
        <f t="shared" si="182"/>
        <v>#VALUE!</v>
      </c>
    </row>
    <row r="591" spans="2:117" x14ac:dyDescent="0.35">
      <c r="C591" s="3621" t="s">
        <v>4538</v>
      </c>
      <c r="D591" s="3262" t="s">
        <v>2485</v>
      </c>
      <c r="E591" s="3620" t="s">
        <v>4548</v>
      </c>
      <c r="F591" s="122">
        <f t="shared" si="183"/>
        <v>901.06</v>
      </c>
      <c r="G591" s="3324" t="s">
        <v>2853</v>
      </c>
      <c r="H591" s="3326">
        <f>VLOOKUP(G591,'CP FACTORS'!$A$26:$B$38,2,FALSE)</f>
        <v>1.379439E-4</v>
      </c>
      <c r="I591" s="3262">
        <f t="shared" si="179"/>
        <v>0.124296</v>
      </c>
      <c r="J591" s="3611">
        <v>2</v>
      </c>
      <c r="K591" s="3327" t="s">
        <v>611</v>
      </c>
      <c r="L591" s="3622" t="s">
        <v>4545</v>
      </c>
      <c r="V591" s="293" t="s">
        <v>4544</v>
      </c>
      <c r="W591" s="1575"/>
      <c r="X591" s="1575"/>
      <c r="Y591" s="1575"/>
      <c r="Z591" s="1575"/>
      <c r="AA591" s="1575"/>
      <c r="AB591" s="1540"/>
      <c r="AC591" s="373"/>
      <c r="AD591" s="373">
        <v>901.06</v>
      </c>
      <c r="AE591" s="1589"/>
      <c r="AF591" s="1589"/>
      <c r="AG591" s="1589"/>
      <c r="AH591"/>
      <c r="AI591" s="293" t="s">
        <v>180</v>
      </c>
      <c r="AJ591" s="1568"/>
      <c r="AK591" s="1568"/>
      <c r="AL591" s="1568"/>
      <c r="AM591" s="1568"/>
      <c r="AN591" s="1568"/>
      <c r="AO591" s="1583"/>
      <c r="AP591" s="118"/>
      <c r="AQ591" s="118">
        <v>2</v>
      </c>
      <c r="AR591" s="1589"/>
      <c r="AS591" s="1589"/>
      <c r="AU591" s="293" t="s">
        <v>169</v>
      </c>
      <c r="AV591" s="3607"/>
      <c r="AW591" s="3607"/>
      <c r="AX591" s="3607"/>
      <c r="AY591" s="3607"/>
      <c r="AZ591" s="3607"/>
      <c r="BA591" s="1929"/>
      <c r="BB591" s="1929"/>
      <c r="BC591" s="1929">
        <v>50</v>
      </c>
      <c r="BD591" s="1589"/>
      <c r="BE591" s="1589"/>
      <c r="DG591" s="2504" t="e">
        <f t="shared" si="180"/>
        <v>#VALUE!</v>
      </c>
      <c r="DH591" s="2505" t="str">
        <f t="shared" si="181"/>
        <v>Air Comp BUS 2 Year EUL</v>
      </c>
      <c r="DI591" s="3617">
        <f>(INDEX('Avoided Cost Benefits'!$E$4:$E$859,MATCH(DH591,'Avoided Cost Benefits'!$A$4:$A$859,0)))*F591</f>
        <v>65.257686673314595</v>
      </c>
      <c r="DJ591" s="2507" t="e">
        <f t="shared" si="182"/>
        <v>#VALUE!</v>
      </c>
    </row>
    <row r="592" spans="2:117" x14ac:dyDescent="0.35">
      <c r="C592" s="3621" t="s">
        <v>4539</v>
      </c>
      <c r="D592" s="3262" t="s">
        <v>2485</v>
      </c>
      <c r="E592" s="3620" t="s">
        <v>4549</v>
      </c>
      <c r="F592" s="122">
        <f t="shared" si="183"/>
        <v>326.04000000000002</v>
      </c>
      <c r="G592" s="3324" t="s">
        <v>2853</v>
      </c>
      <c r="H592" s="3326">
        <f>VLOOKUP(G592,'CP FACTORS'!$A$26:$B$38,2,FALSE)</f>
        <v>1.379439E-4</v>
      </c>
      <c r="I592" s="3262">
        <f t="shared" si="179"/>
        <v>4.4975000000000001E-2</v>
      </c>
      <c r="J592" s="3611">
        <v>2</v>
      </c>
      <c r="K592" s="3327" t="s">
        <v>611</v>
      </c>
      <c r="L592" s="3622" t="s">
        <v>4545</v>
      </c>
      <c r="V592" s="293" t="s">
        <v>4544</v>
      </c>
      <c r="W592" s="1575"/>
      <c r="X592" s="1575"/>
      <c r="Y592" s="1575"/>
      <c r="Z592" s="1575"/>
      <c r="AA592" s="1575"/>
      <c r="AB592" s="1540"/>
      <c r="AC592" s="373"/>
      <c r="AD592" s="373">
        <v>326.04000000000002</v>
      </c>
      <c r="AE592" s="1589"/>
      <c r="AF592" s="1589"/>
      <c r="AG592" s="1589"/>
      <c r="AH592"/>
      <c r="AI592" s="293" t="s">
        <v>180</v>
      </c>
      <c r="AJ592" s="1568"/>
      <c r="AK592" s="1568"/>
      <c r="AL592" s="1568"/>
      <c r="AM592" s="1568"/>
      <c r="AN592" s="1568"/>
      <c r="AO592" s="1583"/>
      <c r="AP592" s="118"/>
      <c r="AQ592" s="118">
        <v>2</v>
      </c>
      <c r="AR592" s="1589"/>
      <c r="AS592" s="1589"/>
      <c r="AU592" s="293" t="s">
        <v>169</v>
      </c>
      <c r="AV592" s="3607"/>
      <c r="AW592" s="3607"/>
      <c r="AX592" s="3607"/>
      <c r="AY592" s="3607"/>
      <c r="AZ592" s="3607"/>
      <c r="BA592" s="1929"/>
      <c r="BB592" s="1929"/>
      <c r="BC592" s="1929">
        <v>50</v>
      </c>
      <c r="BD592" s="1589"/>
      <c r="BE592" s="1589"/>
      <c r="DG592" s="2504" t="e">
        <f t="shared" si="180"/>
        <v>#VALUE!</v>
      </c>
      <c r="DH592" s="2505" t="str">
        <f t="shared" si="181"/>
        <v>Air Comp BUS 2 Year EUL</v>
      </c>
      <c r="DI592" s="3617">
        <f>(INDEX('Avoided Cost Benefits'!$E$4:$E$859,MATCH(DH592,'Avoided Cost Benefits'!$A$4:$A$859,0)))*F592</f>
        <v>23.612873907361877</v>
      </c>
      <c r="DJ592" s="2507" t="e">
        <f t="shared" si="182"/>
        <v>#VALUE!</v>
      </c>
    </row>
    <row r="593" spans="3:114" x14ac:dyDescent="0.35">
      <c r="C593" s="3621" t="s">
        <v>4540</v>
      </c>
      <c r="D593" s="3262" t="s">
        <v>2485</v>
      </c>
      <c r="E593" s="3620" t="s">
        <v>4550</v>
      </c>
      <c r="F593" s="122">
        <f t="shared" si="183"/>
        <v>326.04000000000002</v>
      </c>
      <c r="G593" s="3324" t="s">
        <v>2853</v>
      </c>
      <c r="H593" s="3326">
        <f>VLOOKUP(G593,'CP FACTORS'!$A$26:$B$38,2,FALSE)</f>
        <v>1.379439E-4</v>
      </c>
      <c r="I593" s="3262">
        <f t="shared" si="179"/>
        <v>4.4975000000000001E-2</v>
      </c>
      <c r="J593" s="3611">
        <v>2</v>
      </c>
      <c r="K593" s="3327" t="s">
        <v>611</v>
      </c>
      <c r="L593" s="3622" t="s">
        <v>4545</v>
      </c>
      <c r="V593" s="293" t="s">
        <v>4544</v>
      </c>
      <c r="W593" s="1575"/>
      <c r="X593" s="1575"/>
      <c r="Y593" s="1575"/>
      <c r="Z593" s="1575"/>
      <c r="AA593" s="1575"/>
      <c r="AB593" s="1540"/>
      <c r="AC593" s="373"/>
      <c r="AD593" s="373">
        <v>326.04000000000002</v>
      </c>
      <c r="AE593" s="1589"/>
      <c r="AF593" s="1589"/>
      <c r="AG593" s="1589"/>
      <c r="AH593"/>
      <c r="AI593" s="293" t="s">
        <v>180</v>
      </c>
      <c r="AJ593" s="1568"/>
      <c r="AK593" s="1568"/>
      <c r="AL593" s="1568"/>
      <c r="AM593" s="1568"/>
      <c r="AN593" s="1568"/>
      <c r="AO593" s="1583"/>
      <c r="AP593" s="118"/>
      <c r="AQ593" s="118">
        <v>2</v>
      </c>
      <c r="AR593" s="1589"/>
      <c r="AS593" s="1589"/>
      <c r="AU593" s="293" t="s">
        <v>169</v>
      </c>
      <c r="AV593" s="3607"/>
      <c r="AW593" s="3607"/>
      <c r="AX593" s="3607"/>
      <c r="AY593" s="3607"/>
      <c r="AZ593" s="3607"/>
      <c r="BA593" s="1929"/>
      <c r="BB593" s="1929"/>
      <c r="BC593" s="1929">
        <v>50</v>
      </c>
      <c r="BD593" s="1589"/>
      <c r="BE593" s="1589"/>
      <c r="DG593" s="2504" t="e">
        <f t="shared" si="180"/>
        <v>#VALUE!</v>
      </c>
      <c r="DH593" s="2505" t="str">
        <f t="shared" si="181"/>
        <v>Air Comp BUS 2 Year EUL</v>
      </c>
      <c r="DI593" s="3617">
        <f>(INDEX('Avoided Cost Benefits'!$E$4:$E$859,MATCH(DH593,'Avoided Cost Benefits'!$A$4:$A$859,0)))*F593</f>
        <v>23.612873907361877</v>
      </c>
      <c r="DJ593" s="2507" t="e">
        <f t="shared" si="182"/>
        <v>#VALUE!</v>
      </c>
    </row>
    <row r="594" spans="3:114" x14ac:dyDescent="0.35">
      <c r="C594" s="3621" t="s">
        <v>4536</v>
      </c>
      <c r="D594" s="3262" t="s">
        <v>2485</v>
      </c>
      <c r="E594" s="3620" t="s">
        <v>4551</v>
      </c>
      <c r="F594" s="122">
        <f t="shared" si="183"/>
        <v>906.98</v>
      </c>
      <c r="G594" s="3324" t="s">
        <v>2853</v>
      </c>
      <c r="H594" s="3326">
        <f>VLOOKUP(G594,'CP FACTORS'!$A$26:$B$38,2,FALSE)</f>
        <v>1.379439E-4</v>
      </c>
      <c r="I594" s="3262">
        <f t="shared" si="179"/>
        <v>0.125112</v>
      </c>
      <c r="J594" s="3611">
        <v>2</v>
      </c>
      <c r="K594" s="3327" t="s">
        <v>611</v>
      </c>
      <c r="L594" s="3622" t="s">
        <v>4545</v>
      </c>
      <c r="V594" s="293" t="s">
        <v>4544</v>
      </c>
      <c r="W594" s="1575"/>
      <c r="X594" s="1575"/>
      <c r="Y594" s="1575"/>
      <c r="Z594" s="1575"/>
      <c r="AA594" s="1575"/>
      <c r="AB594" s="1540"/>
      <c r="AC594" s="373"/>
      <c r="AD594" s="373">
        <v>906.98</v>
      </c>
      <c r="AE594" s="1589"/>
      <c r="AF594" s="1589"/>
      <c r="AG594" s="1589"/>
      <c r="AH594"/>
      <c r="AI594" s="293" t="s">
        <v>180</v>
      </c>
      <c r="AJ594" s="1568"/>
      <c r="AK594" s="1568"/>
      <c r="AL594" s="1568"/>
      <c r="AM594" s="1568"/>
      <c r="AN594" s="1568"/>
      <c r="AO594" s="1583"/>
      <c r="AP594" s="118"/>
      <c r="AQ594" s="118">
        <v>2</v>
      </c>
      <c r="AR594" s="1589"/>
      <c r="AS594" s="1589"/>
      <c r="AU594" s="293" t="s">
        <v>169</v>
      </c>
      <c r="AV594" s="3607"/>
      <c r="AW594" s="3607"/>
      <c r="AX594" s="3607"/>
      <c r="AY594" s="3607"/>
      <c r="AZ594" s="3607"/>
      <c r="BA594" s="1929"/>
      <c r="BB594" s="1929"/>
      <c r="BC594" s="1929">
        <v>50</v>
      </c>
      <c r="BD594" s="1589"/>
      <c r="BE594" s="1589"/>
      <c r="DG594" s="2504" t="e">
        <f t="shared" si="180"/>
        <v>#VALUE!</v>
      </c>
      <c r="DH594" s="2505" t="str">
        <f t="shared" si="181"/>
        <v>Air Comp BUS 2 Year EUL</v>
      </c>
      <c r="DI594" s="3617">
        <f>(INDEX('Avoided Cost Benefits'!$E$4:$E$859,MATCH(DH594,'Avoided Cost Benefits'!$A$4:$A$859,0)))*F594</f>
        <v>65.686432267510341</v>
      </c>
      <c r="DJ594" s="2507" t="e">
        <f t="shared" si="182"/>
        <v>#VALUE!</v>
      </c>
    </row>
    <row r="595" spans="3:114" x14ac:dyDescent="0.35">
      <c r="C595" s="3621" t="s">
        <v>4541</v>
      </c>
      <c r="D595" s="3262" t="s">
        <v>2485</v>
      </c>
      <c r="E595" s="3620" t="s">
        <v>4552</v>
      </c>
      <c r="F595" s="122">
        <f t="shared" si="183"/>
        <v>1055.18</v>
      </c>
      <c r="G595" s="3324" t="s">
        <v>2853</v>
      </c>
      <c r="H595" s="3326">
        <f>VLOOKUP(G595,'CP FACTORS'!$A$26:$B$38,2,FALSE)</f>
        <v>1.379439E-4</v>
      </c>
      <c r="I595" s="3262">
        <f t="shared" si="179"/>
        <v>0.14555599999999999</v>
      </c>
      <c r="J595" s="3611">
        <v>2</v>
      </c>
      <c r="K595" s="3327" t="s">
        <v>611</v>
      </c>
      <c r="L595" s="3622" t="s">
        <v>4545</v>
      </c>
      <c r="V595" s="293" t="s">
        <v>4544</v>
      </c>
      <c r="W595" s="1575"/>
      <c r="X595" s="1575"/>
      <c r="Y595" s="1575"/>
      <c r="Z595" s="1575"/>
      <c r="AA595" s="1575"/>
      <c r="AB595" s="1540"/>
      <c r="AC595" s="373"/>
      <c r="AD595" s="373">
        <v>1055.18</v>
      </c>
      <c r="AE595" s="1589"/>
      <c r="AF595" s="1589"/>
      <c r="AG595" s="1589"/>
      <c r="AH595"/>
      <c r="AI595" s="293" t="s">
        <v>180</v>
      </c>
      <c r="AJ595" s="1568"/>
      <c r="AK595" s="1568"/>
      <c r="AL595" s="1568"/>
      <c r="AM595" s="1568"/>
      <c r="AN595" s="1568"/>
      <c r="AO595" s="1583"/>
      <c r="AP595" s="118"/>
      <c r="AQ595" s="118">
        <v>2</v>
      </c>
      <c r="AR595" s="1589"/>
      <c r="AS595" s="1589"/>
      <c r="AU595" s="293" t="s">
        <v>169</v>
      </c>
      <c r="AV595" s="3607"/>
      <c r="AW595" s="3607"/>
      <c r="AX595" s="3607"/>
      <c r="AY595" s="3607"/>
      <c r="AZ595" s="3607"/>
      <c r="BA595" s="1929"/>
      <c r="BB595" s="1929"/>
      <c r="BC595" s="1929">
        <v>50</v>
      </c>
      <c r="BD595" s="1589"/>
      <c r="BE595" s="1589"/>
      <c r="DG595" s="2538" t="e">
        <f t="shared" si="180"/>
        <v>#VALUE!</v>
      </c>
      <c r="DH595" s="2505" t="str">
        <f t="shared" si="181"/>
        <v>Air Comp BUS 2 Year EUL</v>
      </c>
      <c r="DI595" s="3618">
        <f>(INDEX('Avoided Cost Benefits'!$E$4:$E$859,MATCH(DH595,'Avoided Cost Benefits'!$A$4:$A$859,0)))*F595</f>
        <v>76.419556770856659</v>
      </c>
      <c r="DJ595" s="2509" t="e">
        <f t="shared" si="182"/>
        <v>#VALUE!</v>
      </c>
    </row>
    <row r="596" spans="3:114" x14ac:dyDescent="0.35">
      <c r="E596" s="33"/>
      <c r="F596" s="33"/>
      <c r="G596" s="33"/>
      <c r="H596" s="1096"/>
      <c r="I596" s="33"/>
      <c r="J596" s="33"/>
      <c r="K596" s="33"/>
    </row>
    <row r="597" spans="3:114" hidden="1" outlineLevel="1" x14ac:dyDescent="0.35">
      <c r="D597" s="2445" t="s">
        <v>2528</v>
      </c>
      <c r="E597" s="33"/>
      <c r="F597" s="33"/>
      <c r="G597" s="33"/>
      <c r="H597" s="1096"/>
      <c r="I597" s="33"/>
      <c r="J597" s="33"/>
      <c r="K597" s="33"/>
    </row>
    <row r="598" spans="3:114" hidden="1" outlineLevel="1" x14ac:dyDescent="0.35">
      <c r="D598" s="1097"/>
      <c r="G598" s="725"/>
      <c r="H598" s="1098"/>
    </row>
    <row r="599" spans="3:114" hidden="1" outlineLevel="1" x14ac:dyDescent="0.35">
      <c r="D599" s="1097"/>
      <c r="G599" s="725"/>
      <c r="H599" s="1098"/>
    </row>
    <row r="600" spans="3:114" hidden="1" outlineLevel="1" x14ac:dyDescent="0.35">
      <c r="D600" s="1097"/>
      <c r="G600" s="725"/>
      <c r="H600" s="1098"/>
      <c r="M600" s="33"/>
    </row>
    <row r="601" spans="3:114" hidden="1" outlineLevel="1" x14ac:dyDescent="0.35">
      <c r="D601" s="1097"/>
      <c r="G601" s="725"/>
      <c r="H601" s="1098"/>
      <c r="M601" s="33"/>
    </row>
    <row r="602" spans="3:114" hidden="1" outlineLevel="1" x14ac:dyDescent="0.35">
      <c r="D602" s="1097"/>
      <c r="G602" s="725"/>
      <c r="H602" s="1098"/>
      <c r="M602" s="33"/>
    </row>
    <row r="603" spans="3:114" hidden="1" outlineLevel="1" x14ac:dyDescent="0.35">
      <c r="D603" s="1097"/>
      <c r="G603" s="725"/>
      <c r="H603" s="1098"/>
    </row>
    <row r="604" spans="3:114" s="34" customFormat="1" hidden="1" outlineLevel="1" x14ac:dyDescent="0.35">
      <c r="C604" s="132"/>
      <c r="D604" s="3599" t="s">
        <v>27</v>
      </c>
      <c r="E604" s="3599" t="s">
        <v>2597</v>
      </c>
      <c r="F604" s="3612" t="s">
        <v>2866</v>
      </c>
      <c r="G604" s="3599" t="s">
        <v>2867</v>
      </c>
      <c r="H604" s="3599" t="s">
        <v>721</v>
      </c>
      <c r="I604" s="3599" t="s">
        <v>112</v>
      </c>
      <c r="J604" s="725"/>
      <c r="K604" s="350"/>
      <c r="L604" s="350"/>
      <c r="M604" s="350"/>
      <c r="N604" s="350"/>
      <c r="O604" s="350"/>
      <c r="P604" s="350"/>
      <c r="Q604" s="350"/>
      <c r="R604" s="350"/>
      <c r="S604" s="350"/>
      <c r="T604" s="350"/>
      <c r="U604" s="350"/>
      <c r="DG604" s="59"/>
    </row>
    <row r="605" spans="3:114" hidden="1" outlineLevel="1" x14ac:dyDescent="0.35">
      <c r="D605" s="3588" t="str">
        <f>C589</f>
        <v>805020_2022_12_</v>
      </c>
      <c r="E605" s="3588" t="str">
        <f t="shared" ref="E605:E611" si="184">E589</f>
        <v>Leak Repair  (Reciprocating - On/off Control)</v>
      </c>
      <c r="F605" s="3614">
        <v>1</v>
      </c>
      <c r="G605" s="3615">
        <v>0.184</v>
      </c>
      <c r="H605" s="3613">
        <v>5928</v>
      </c>
      <c r="I605" s="4572" t="s">
        <v>4534</v>
      </c>
    </row>
    <row r="606" spans="3:114" hidden="1" outlineLevel="1" x14ac:dyDescent="0.35">
      <c r="D606" s="3588" t="str">
        <f t="shared" ref="D606:D611" si="185">C590</f>
        <v>805022_2022_12_</v>
      </c>
      <c r="E606" s="3588" t="str">
        <f t="shared" si="184"/>
        <v>Leak Repair (Reciprocating - Load/Unload)</v>
      </c>
      <c r="F606" s="3614">
        <v>1</v>
      </c>
      <c r="G606" s="3615">
        <v>0.13600000000000001</v>
      </c>
      <c r="H606" s="3613">
        <v>5928</v>
      </c>
      <c r="I606" s="4573"/>
    </row>
    <row r="607" spans="3:114" hidden="1" outlineLevel="1" x14ac:dyDescent="0.35">
      <c r="D607" s="3588" t="str">
        <f t="shared" si="185"/>
        <v>805024_2022_12_</v>
      </c>
      <c r="E607" s="3588" t="str">
        <f t="shared" si="184"/>
        <v>Leak Repair (Screw - Load/Unload)</v>
      </c>
      <c r="F607" s="3614">
        <v>1</v>
      </c>
      <c r="G607" s="3615">
        <v>0.152</v>
      </c>
      <c r="H607" s="3613">
        <v>5928</v>
      </c>
      <c r="I607" s="4573"/>
    </row>
    <row r="608" spans="3:114" hidden="1" outlineLevel="1" x14ac:dyDescent="0.35">
      <c r="D608" s="3588" t="str">
        <f t="shared" si="185"/>
        <v>805026_2022_12_</v>
      </c>
      <c r="E608" s="3588" t="str">
        <f t="shared" si="184"/>
        <v>Leak Repair (Screw - Inlet Modulation)</v>
      </c>
      <c r="F608" s="3614">
        <v>1</v>
      </c>
      <c r="G608" s="3615">
        <v>5.5E-2</v>
      </c>
      <c r="H608" s="3613">
        <v>5928</v>
      </c>
      <c r="I608" s="4573"/>
    </row>
    <row r="609" spans="2:114" hidden="1" outlineLevel="1" x14ac:dyDescent="0.35">
      <c r="D609" s="3588" t="str">
        <f t="shared" si="185"/>
        <v>805028_2022_12_</v>
      </c>
      <c r="E609" s="3588" t="str">
        <f t="shared" si="184"/>
        <v>Leak Repair (Screw - Inlet Modulation w/ Unloading)</v>
      </c>
      <c r="F609" s="3614">
        <v>1</v>
      </c>
      <c r="G609" s="3615">
        <v>5.5E-2</v>
      </c>
      <c r="H609" s="3613">
        <v>5928</v>
      </c>
      <c r="I609" s="4573"/>
    </row>
    <row r="610" spans="2:114" hidden="1" outlineLevel="1" x14ac:dyDescent="0.35">
      <c r="D610" s="3588" t="str">
        <f t="shared" si="185"/>
        <v>805030_2022_12_</v>
      </c>
      <c r="E610" s="3588" t="str">
        <f t="shared" si="184"/>
        <v>Leak Repair (Screw - Variable Displacement)</v>
      </c>
      <c r="F610" s="3614">
        <v>1</v>
      </c>
      <c r="G610" s="3615">
        <v>0.153</v>
      </c>
      <c r="H610" s="3613">
        <v>5928</v>
      </c>
      <c r="I610" s="4573"/>
    </row>
    <row r="611" spans="2:114" hidden="1" outlineLevel="1" x14ac:dyDescent="0.35">
      <c r="D611" s="3588" t="str">
        <f t="shared" si="185"/>
        <v>805032_2022_12_</v>
      </c>
      <c r="E611" s="3588" t="str">
        <f t="shared" si="184"/>
        <v>Leak Repair  (Screw - VFD)</v>
      </c>
      <c r="F611" s="3614">
        <v>1</v>
      </c>
      <c r="G611" s="3615">
        <v>0.17799999999999999</v>
      </c>
      <c r="H611" s="3613">
        <v>5928</v>
      </c>
      <c r="I611" s="4574"/>
    </row>
    <row r="612" spans="2:114" collapsed="1" x14ac:dyDescent="0.35"/>
    <row r="615" spans="2:114" s="33" customFormat="1" x14ac:dyDescent="0.35">
      <c r="B615" s="4553" t="s">
        <v>2893</v>
      </c>
      <c r="C615" s="4554"/>
      <c r="D615" s="4554"/>
      <c r="E615" s="4554"/>
      <c r="F615" s="4554"/>
      <c r="G615" s="4554"/>
      <c r="H615" s="4554"/>
      <c r="I615" s="4555"/>
      <c r="J615" s="4555"/>
      <c r="K615" s="4555"/>
      <c r="L615" s="4555"/>
      <c r="M615" s="3680"/>
      <c r="N615" s="3680"/>
      <c r="O615" s="3681"/>
      <c r="V615" s="2325" t="str">
        <f>B615</f>
        <v>Combination Oven</v>
      </c>
      <c r="W615" s="2326"/>
      <c r="X615" s="2326"/>
      <c r="Y615" s="2326"/>
      <c r="Z615" s="2326"/>
      <c r="AA615" s="2326"/>
      <c r="AB615" s="2326"/>
      <c r="AC615" s="2326"/>
      <c r="AD615" s="2326"/>
      <c r="AE615" s="2326"/>
      <c r="AF615" s="2326"/>
      <c r="AG615" s="2326"/>
      <c r="AH615" s="2326"/>
      <c r="AI615" s="2384"/>
      <c r="AJ615" s="21"/>
      <c r="AK615" s="21"/>
      <c r="AL615" s="21"/>
      <c r="AM615" s="21"/>
      <c r="AN615" s="21"/>
      <c r="AO615" s="21"/>
      <c r="AP615" s="21"/>
      <c r="AQ615" s="21"/>
      <c r="AR615" s="21"/>
      <c r="AS615" s="21"/>
      <c r="AT615" s="21"/>
      <c r="AU615" s="21"/>
      <c r="DG615" s="60"/>
    </row>
    <row r="616" spans="2:114" x14ac:dyDescent="0.35">
      <c r="D616" s="1085"/>
      <c r="E616" s="33"/>
      <c r="F616" s="33"/>
      <c r="G616" s="33"/>
      <c r="H616" s="1086"/>
      <c r="I616" s="33"/>
      <c r="J616" s="33"/>
      <c r="K616" s="33"/>
      <c r="L616" s="33"/>
      <c r="P616" s="33"/>
      <c r="Q616" s="33"/>
      <c r="R616" s="33"/>
      <c r="S616" s="33"/>
      <c r="T616" s="33"/>
      <c r="U616" s="33"/>
      <c r="V616"/>
      <c r="W616"/>
      <c r="X616"/>
      <c r="Y616"/>
      <c r="Z616"/>
      <c r="AA616"/>
      <c r="AB616"/>
      <c r="AC616"/>
      <c r="AD616"/>
      <c r="AE616"/>
      <c r="AF616"/>
      <c r="AG616"/>
      <c r="AH616"/>
      <c r="AI616"/>
      <c r="AJ616" s="31"/>
      <c r="AK616" s="31"/>
      <c r="AL616" s="31"/>
      <c r="AM616" s="31"/>
      <c r="AN616" s="31"/>
      <c r="AO616" s="31"/>
      <c r="AP616" s="31"/>
      <c r="AQ616" s="31"/>
      <c r="AR616" s="31"/>
      <c r="AS616" s="31"/>
      <c r="AT616" s="31"/>
      <c r="AU616" s="31"/>
    </row>
    <row r="617" spans="2:114" s="34" customFormat="1" x14ac:dyDescent="0.35">
      <c r="B617" s="31"/>
      <c r="C617" s="35" t="s">
        <v>27</v>
      </c>
      <c r="D617" s="35" t="s">
        <v>28</v>
      </c>
      <c r="E617" s="2399" t="s">
        <v>29</v>
      </c>
      <c r="F617" s="2399" t="s">
        <v>30</v>
      </c>
      <c r="G617" s="2399" t="s">
        <v>175</v>
      </c>
      <c r="H617" s="36" t="s">
        <v>176</v>
      </c>
      <c r="I617" s="2399" t="s">
        <v>31</v>
      </c>
      <c r="J617" s="2399" t="s">
        <v>180</v>
      </c>
      <c r="K617" s="35" t="s">
        <v>169</v>
      </c>
      <c r="L617" s="35" t="s">
        <v>43</v>
      </c>
      <c r="M617" s="725"/>
      <c r="N617" s="725"/>
      <c r="O617" s="725"/>
      <c r="P617" s="350"/>
      <c r="Q617" s="350"/>
      <c r="R617" s="350"/>
      <c r="S617" s="350"/>
      <c r="T617" s="350"/>
      <c r="U617" s="350"/>
      <c r="V617" s="1572" t="s">
        <v>44</v>
      </c>
      <c r="W617" s="1573">
        <f>$W$8</f>
        <v>43252</v>
      </c>
      <c r="X617" s="1573">
        <f>$X$8</f>
        <v>43465</v>
      </c>
      <c r="Y617" s="1573">
        <f>$Y$8</f>
        <v>43800</v>
      </c>
      <c r="Z617" s="1573">
        <f>$Z$8</f>
        <v>43862</v>
      </c>
      <c r="AA617" s="1573">
        <f>$AA$8</f>
        <v>44013</v>
      </c>
      <c r="AB617" s="1573">
        <v>44166</v>
      </c>
      <c r="AC617" s="1573">
        <f>$AC$8</f>
        <v>44531</v>
      </c>
      <c r="AD617" s="1573">
        <f>$AD$8</f>
        <v>44774</v>
      </c>
      <c r="AE617" s="1573" t="str">
        <f>$AE$8</f>
        <v>-</v>
      </c>
      <c r="AF617" s="1573" t="str">
        <f>$AF$8</f>
        <v>-</v>
      </c>
      <c r="AG617" s="1573" t="str">
        <f>$AG$8</f>
        <v>-</v>
      </c>
      <c r="AH617"/>
      <c r="AI617" s="1572" t="s">
        <v>44</v>
      </c>
      <c r="AJ617" s="1573">
        <v>43252</v>
      </c>
      <c r="AK617" s="1573">
        <f>$X$8</f>
        <v>43465</v>
      </c>
      <c r="AL617" s="1573">
        <f>$Y$8</f>
        <v>43800</v>
      </c>
      <c r="AM617" s="1573">
        <f>$Z$8</f>
        <v>43862</v>
      </c>
      <c r="AN617" s="1573">
        <f>$AA$8</f>
        <v>44013</v>
      </c>
      <c r="AO617" s="1573">
        <f>$AB$8</f>
        <v>44166</v>
      </c>
      <c r="AP617" s="1573">
        <f>$AC$8</f>
        <v>44531</v>
      </c>
      <c r="AQ617" s="1573">
        <f>$AD$8</f>
        <v>44774</v>
      </c>
      <c r="AR617" s="1573" t="str">
        <f>$AE$8</f>
        <v>-</v>
      </c>
      <c r="AS617" s="1573" t="str">
        <f>$AF$8</f>
        <v>-</v>
      </c>
      <c r="AT617" s="21"/>
      <c r="AU617" s="1572" t="s">
        <v>44</v>
      </c>
      <c r="AV617" s="1573">
        <v>43252</v>
      </c>
      <c r="AW617" s="1573">
        <f>$X$8</f>
        <v>43465</v>
      </c>
      <c r="AX617" s="1573">
        <f>$Y$8</f>
        <v>43800</v>
      </c>
      <c r="AY617" s="1573">
        <f>$Z$8</f>
        <v>43862</v>
      </c>
      <c r="AZ617" s="1573">
        <f>$AA$8</f>
        <v>44013</v>
      </c>
      <c r="BA617" s="1573">
        <v>44166</v>
      </c>
      <c r="BB617" s="1573">
        <f>$AC$8</f>
        <v>44531</v>
      </c>
      <c r="BC617" s="1573">
        <f>$AD$8</f>
        <v>44774</v>
      </c>
      <c r="BD617" s="1573" t="str">
        <f>$AE$8</f>
        <v>-</v>
      </c>
      <c r="BE617" s="1573" t="str">
        <f>$AF$8</f>
        <v>-</v>
      </c>
      <c r="DG617" s="1574" t="str">
        <f>$DG$8</f>
        <v>TRC (2022)</v>
      </c>
      <c r="DH617" s="1584" t="str">
        <f>$DH$8</f>
        <v>Benefit Lookup</v>
      </c>
      <c r="DI617" s="1584" t="str">
        <f>$DI$8</f>
        <v>Benefits (2019 $)</v>
      </c>
      <c r="DJ617" s="1584" t="str">
        <f>$DJ$8</f>
        <v>Incremental Cost (2019 $)</v>
      </c>
    </row>
    <row r="618" spans="2:114" x14ac:dyDescent="0.35">
      <c r="C618" s="1614" t="s">
        <v>2894</v>
      </c>
      <c r="D618" s="1106" t="s">
        <v>2485</v>
      </c>
      <c r="E618" s="1105" t="s">
        <v>2895</v>
      </c>
      <c r="F618" s="965">
        <f>ROUND(((F631*(G631/H631-G631/I631)*J631)+(F631*(K631/L631-K631/M631)*N631)+((O631*((F635-F631/G635)*J631))-(I635*((F635-F631/K635)*J631)))+((P631*((F635-F631/H635)*N631))-(M635*((F635-F631/L635)*N631))))*N635/1000,2)</f>
        <v>6372.3</v>
      </c>
      <c r="G618" s="1087" t="s">
        <v>2683</v>
      </c>
      <c r="H618" s="1088">
        <f>VLOOKUP(G618,'CP FACTORS'!$A$26:$B$38,2,FALSE)</f>
        <v>1.998949E-4</v>
      </c>
      <c r="I618" s="1106">
        <f>ROUND(H618*F618,6)</f>
        <v>1.27379</v>
      </c>
      <c r="J618" s="1187">
        <v>12</v>
      </c>
      <c r="K618" s="1107">
        <v>4300</v>
      </c>
      <c r="L618" s="1164" t="s">
        <v>184</v>
      </c>
      <c r="V618" s="88" t="s">
        <v>30</v>
      </c>
      <c r="W618" s="112">
        <v>6372.3047989987854</v>
      </c>
      <c r="X618" s="112">
        <v>6372.3047989987854</v>
      </c>
      <c r="Y618" s="112">
        <v>6372.3047989987854</v>
      </c>
      <c r="Z618" s="112">
        <v>6372.3047989987854</v>
      </c>
      <c r="AA618" s="112">
        <v>6372.3047989987854</v>
      </c>
      <c r="AB618" s="1516">
        <v>6372.3</v>
      </c>
      <c r="AC618" s="1798">
        <v>6372.3</v>
      </c>
      <c r="AD618" s="1798">
        <v>6372.3</v>
      </c>
      <c r="AE618" s="141"/>
      <c r="AF618" s="141"/>
      <c r="AG618" s="141"/>
      <c r="AH618"/>
      <c r="AI618" s="88" t="s">
        <v>180</v>
      </c>
      <c r="AJ618" s="51">
        <v>12</v>
      </c>
      <c r="AK618" s="51">
        <v>12</v>
      </c>
      <c r="AL618" s="51">
        <v>12</v>
      </c>
      <c r="AM618" s="51">
        <v>12</v>
      </c>
      <c r="AN618" s="51">
        <v>12</v>
      </c>
      <c r="AO618" s="1691">
        <v>12</v>
      </c>
      <c r="AP618" s="1691">
        <v>12</v>
      </c>
      <c r="AQ618" s="1691">
        <v>12</v>
      </c>
      <c r="AR618" s="141"/>
      <c r="AS618" s="141"/>
      <c r="AU618" s="88" t="s">
        <v>169</v>
      </c>
      <c r="AV618" s="1692">
        <v>4300</v>
      </c>
      <c r="AW618" s="1692">
        <v>4300</v>
      </c>
      <c r="AX618" s="1692">
        <v>4300</v>
      </c>
      <c r="AY618" s="1692">
        <v>4300</v>
      </c>
      <c r="AZ618" s="1692">
        <v>4300</v>
      </c>
      <c r="BA618" s="1615">
        <v>4300</v>
      </c>
      <c r="BB618" s="1615">
        <v>4300</v>
      </c>
      <c r="BC618" s="1615">
        <v>4300</v>
      </c>
      <c r="BD618" s="141"/>
      <c r="BE618" s="141"/>
      <c r="DG618" s="1578">
        <f>(DI618)/(DJ618)</f>
        <v>0.79314586786542229</v>
      </c>
      <c r="DH618" s="2381" t="str">
        <f>CONCATENATE(G618," ",J618," Year EUL")</f>
        <v>Cooking BUS 12 Year EUL</v>
      </c>
      <c r="DI618" s="56">
        <f>(INDEX('Avoided Cost Benefits'!$E$4:$E$859,MATCH(DH618,'Avoided Cost Benefits'!$A$4:$A$859,0)))*F618</f>
        <v>3218.9969153575416</v>
      </c>
      <c r="DJ618" s="1579">
        <f>K618/(1.0595^(2020-2019))</f>
        <v>4058.5181689476162</v>
      </c>
    </row>
    <row r="619" spans="2:114" x14ac:dyDescent="0.35">
      <c r="C619" s="1614" t="s">
        <v>2896</v>
      </c>
      <c r="D619" s="1106" t="s">
        <v>2485</v>
      </c>
      <c r="E619" s="1105" t="s">
        <v>2897</v>
      </c>
      <c r="F619" s="965">
        <f>ROUND(((F632*(G632/H632-G632/I632)*J632)+(F632*(K632/L632-K632/M632)*N632)+((O632*((F636-F632/G636)*J632))-(I636*((F636-F632/K636)*J632)))+((P632*((F636-F632/H636)*N632))-(M636*((F636-F632/L636)*N632))))*N636/1000,2)</f>
        <v>11743.62</v>
      </c>
      <c r="G619" s="1087" t="s">
        <v>2683</v>
      </c>
      <c r="H619" s="1088">
        <f>VLOOKUP(G619,'CP FACTORS'!$A$26:$B$38,2,FALSE)</f>
        <v>1.998949E-4</v>
      </c>
      <c r="I619" s="1106">
        <f>ROUND(H619*F619,6)</f>
        <v>2.3474900000000001</v>
      </c>
      <c r="J619" s="289">
        <v>12</v>
      </c>
      <c r="K619" s="1107">
        <v>4300</v>
      </c>
      <c r="L619" s="1164" t="s">
        <v>184</v>
      </c>
      <c r="V619" s="88" t="s">
        <v>30</v>
      </c>
      <c r="W619" s="112">
        <v>11743.624493752814</v>
      </c>
      <c r="X619" s="112">
        <v>11743.624493752814</v>
      </c>
      <c r="Y619" s="112">
        <v>11743.624493752814</v>
      </c>
      <c r="Z619" s="112">
        <v>11743.624493752814</v>
      </c>
      <c r="AA619" s="112">
        <v>11743.624493752814</v>
      </c>
      <c r="AB619" s="1516">
        <v>11743.62</v>
      </c>
      <c r="AC619" s="1798">
        <v>11743.62</v>
      </c>
      <c r="AD619" s="1798">
        <v>11743.62</v>
      </c>
      <c r="AE619" s="141"/>
      <c r="AF619" s="141"/>
      <c r="AG619" s="141"/>
      <c r="AH619"/>
      <c r="AI619" s="88" t="s">
        <v>180</v>
      </c>
      <c r="AJ619" s="51">
        <v>12</v>
      </c>
      <c r="AK619" s="51">
        <v>12</v>
      </c>
      <c r="AL619" s="51">
        <v>12</v>
      </c>
      <c r="AM619" s="51">
        <v>12</v>
      </c>
      <c r="AN619" s="51">
        <v>12</v>
      </c>
      <c r="AO619" s="1691">
        <v>12</v>
      </c>
      <c r="AP619" s="1691">
        <v>12</v>
      </c>
      <c r="AQ619" s="1691">
        <v>12</v>
      </c>
      <c r="AR619" s="141"/>
      <c r="AS619" s="141"/>
      <c r="AU619" s="88" t="s">
        <v>169</v>
      </c>
      <c r="AV619" s="1692">
        <v>4300</v>
      </c>
      <c r="AW619" s="1692">
        <v>4300</v>
      </c>
      <c r="AX619" s="1692">
        <v>4300</v>
      </c>
      <c r="AY619" s="1692">
        <v>4300</v>
      </c>
      <c r="AZ619" s="1692">
        <v>4300</v>
      </c>
      <c r="BA619" s="1615">
        <v>4300</v>
      </c>
      <c r="BB619" s="1615">
        <v>4300</v>
      </c>
      <c r="BC619" s="1615">
        <v>4300</v>
      </c>
      <c r="BD619" s="141"/>
      <c r="BE619" s="141"/>
      <c r="DG619" s="41">
        <f>(DI619)/(DJ619)</f>
        <v>1.4617020034809616</v>
      </c>
      <c r="DH619" s="1580" t="str">
        <f>CONCATENATE(G619," ",J619," Year EUL")</f>
        <v>Cooking BUS 12 Year EUL</v>
      </c>
      <c r="DI619" s="58">
        <f>(INDEX('Avoided Cost Benefits'!$E$4:$E$859,MATCH(DH619,'Avoided Cost Benefits'!$A$4:$A$859,0)))*F619</f>
        <v>5932.344138714614</v>
      </c>
      <c r="DJ619" s="1582">
        <f>K619/(1.0595^(2020-2019))</f>
        <v>4058.5181689476162</v>
      </c>
    </row>
    <row r="620" spans="2:114" hidden="1" outlineLevel="1" x14ac:dyDescent="0.35">
      <c r="E620" s="33"/>
      <c r="F620" s="33"/>
      <c r="G620" s="33"/>
      <c r="H620" s="1096"/>
      <c r="I620" s="33"/>
      <c r="J620" s="33"/>
      <c r="K620" s="33"/>
    </row>
    <row r="621" spans="2:114" hidden="1" outlineLevel="1" x14ac:dyDescent="0.35">
      <c r="D621" s="33" t="s">
        <v>2528</v>
      </c>
      <c r="E621" s="132"/>
      <c r="F621" s="33"/>
      <c r="G621" s="33"/>
      <c r="H621" s="1096"/>
      <c r="I621" s="33"/>
      <c r="J621" s="33"/>
      <c r="K621" s="132"/>
    </row>
    <row r="622" spans="2:114" hidden="1" outlineLevel="1" x14ac:dyDescent="0.35">
      <c r="D622" s="1097"/>
      <c r="E622" s="132"/>
      <c r="F622" s="132"/>
      <c r="G622" s="725"/>
      <c r="H622" s="1098"/>
    </row>
    <row r="623" spans="2:114" hidden="1" outlineLevel="1" x14ac:dyDescent="0.35">
      <c r="D623" s="1097"/>
      <c r="E623" s="132"/>
      <c r="F623" s="132"/>
      <c r="G623" s="725"/>
      <c r="H623" s="1098"/>
    </row>
    <row r="624" spans="2:114" hidden="1" outlineLevel="1" x14ac:dyDescent="0.35">
      <c r="D624" s="1097"/>
      <c r="E624" s="132"/>
      <c r="F624" s="132"/>
      <c r="G624" s="725"/>
      <c r="H624" s="1098"/>
    </row>
    <row r="625" spans="2:114" hidden="1" outlineLevel="1" x14ac:dyDescent="0.35">
      <c r="D625" s="1097"/>
      <c r="G625" s="725"/>
      <c r="H625" s="1098"/>
      <c r="P625" s="4561"/>
      <c r="Q625" s="4561"/>
    </row>
    <row r="626" spans="2:114" hidden="1" outlineLevel="1" x14ac:dyDescent="0.35">
      <c r="D626" s="1097"/>
      <c r="G626" s="725"/>
      <c r="H626" s="1098"/>
      <c r="M626" s="33"/>
      <c r="P626" s="4561"/>
      <c r="Q626" s="4561"/>
    </row>
    <row r="627" spans="2:114" hidden="1" outlineLevel="1" x14ac:dyDescent="0.35">
      <c r="D627" s="1097"/>
      <c r="G627" s="725"/>
      <c r="H627" s="1098"/>
      <c r="M627" s="33"/>
      <c r="P627" s="4561"/>
      <c r="Q627" s="4561"/>
    </row>
    <row r="628" spans="2:114" hidden="1" outlineLevel="1" x14ac:dyDescent="0.35">
      <c r="D628" s="1097"/>
      <c r="G628" s="725"/>
      <c r="H628" s="1098"/>
      <c r="M628" s="33"/>
    </row>
    <row r="629" spans="2:114" hidden="1" outlineLevel="1" x14ac:dyDescent="0.35">
      <c r="D629" s="1097"/>
      <c r="G629" s="725"/>
      <c r="H629" s="1098"/>
    </row>
    <row r="630" spans="2:114" s="34" customFormat="1" ht="29" hidden="1" outlineLevel="1" x14ac:dyDescent="0.35">
      <c r="C630" s="132"/>
      <c r="D630" s="2327" t="s">
        <v>27</v>
      </c>
      <c r="E630" s="2327" t="s">
        <v>2597</v>
      </c>
      <c r="F630" s="68" t="s">
        <v>2898</v>
      </c>
      <c r="G630" s="2327" t="s">
        <v>2899</v>
      </c>
      <c r="H630" s="2327" t="s">
        <v>2900</v>
      </c>
      <c r="I630" s="2327" t="s">
        <v>2901</v>
      </c>
      <c r="J630" s="2327" t="s">
        <v>2902</v>
      </c>
      <c r="K630" s="2327" t="s">
        <v>2903</v>
      </c>
      <c r="L630" s="2327" t="s">
        <v>2904</v>
      </c>
      <c r="M630" s="2327" t="s">
        <v>2905</v>
      </c>
      <c r="N630" s="2429" t="s">
        <v>2906</v>
      </c>
      <c r="O630" s="2429" t="s">
        <v>2907</v>
      </c>
      <c r="P630" s="2429" t="s">
        <v>2908</v>
      </c>
      <c r="Q630" s="350"/>
      <c r="R630" s="350"/>
      <c r="S630" s="350"/>
      <c r="T630" s="350"/>
      <c r="U630" s="350"/>
      <c r="DG630" s="59"/>
    </row>
    <row r="631" spans="2:114" hidden="1" outlineLevel="1" x14ac:dyDescent="0.35">
      <c r="D631" s="1593" t="str">
        <f>C618</f>
        <v>805050_2019_12_</v>
      </c>
      <c r="E631" s="1593" t="str">
        <f>E618</f>
        <v>Combination Oven (Pan Capacity &lt; 15)</v>
      </c>
      <c r="F631" s="1178">
        <v>200</v>
      </c>
      <c r="G631" s="1188">
        <v>73.2</v>
      </c>
      <c r="H631" s="1166">
        <v>0.72</v>
      </c>
      <c r="I631" s="1166">
        <v>0.76</v>
      </c>
      <c r="J631" s="1166">
        <v>0.5</v>
      </c>
      <c r="K631" s="1189">
        <v>30.8</v>
      </c>
      <c r="L631" s="1166">
        <v>0.49</v>
      </c>
      <c r="M631" s="1166">
        <v>0.55000000000000004</v>
      </c>
      <c r="N631" s="1190">
        <f>1-J631</f>
        <v>0.5</v>
      </c>
      <c r="O631" s="1135">
        <v>1320</v>
      </c>
      <c r="P631" s="1135">
        <v>5260</v>
      </c>
    </row>
    <row r="632" spans="2:114" hidden="1" outlineLevel="1" x14ac:dyDescent="0.35">
      <c r="D632" s="1593" t="str">
        <f>C619</f>
        <v>805100_2019_12_</v>
      </c>
      <c r="E632" s="1593" t="str">
        <f>E619</f>
        <v>Combination Oven (Pan Capacity ≥ 15)</v>
      </c>
      <c r="F632" s="1178">
        <v>250</v>
      </c>
      <c r="G632" s="1188">
        <v>73.2</v>
      </c>
      <c r="H632" s="1166">
        <v>0.72</v>
      </c>
      <c r="I632" s="1166">
        <v>0.76</v>
      </c>
      <c r="J632" s="1166">
        <v>0.5</v>
      </c>
      <c r="K632" s="1189">
        <v>30.8</v>
      </c>
      <c r="L632" s="1166">
        <v>0.49</v>
      </c>
      <c r="M632" s="1166">
        <v>0.55000000000000004</v>
      </c>
      <c r="N632" s="1190">
        <f>1-J632</f>
        <v>0.5</v>
      </c>
      <c r="O632" s="1135">
        <v>2280</v>
      </c>
      <c r="P632" s="1135">
        <v>8710</v>
      </c>
    </row>
    <row r="633" spans="2:114" hidden="1" outlineLevel="1" x14ac:dyDescent="0.35">
      <c r="D633" s="1191"/>
      <c r="E633" s="1191"/>
      <c r="F633" s="1191"/>
      <c r="G633" s="1192"/>
      <c r="H633" s="1193"/>
      <c r="I633" s="1193"/>
      <c r="J633" s="1193"/>
      <c r="K633" s="1194"/>
      <c r="L633" s="1193"/>
      <c r="M633" s="1193"/>
      <c r="N633" s="1195"/>
      <c r="O633" s="1196"/>
      <c r="P633" s="1196"/>
      <c r="Q633" s="1196"/>
      <c r="R633" s="1197"/>
      <c r="S633" s="1197"/>
      <c r="T633" s="1198"/>
      <c r="U633" s="1197"/>
      <c r="V633" s="78"/>
      <c r="W633" s="78"/>
      <c r="X633" s="78"/>
      <c r="Y633" s="79"/>
      <c r="CG633" s="21"/>
      <c r="CH633" s="21"/>
      <c r="CI633" s="21"/>
      <c r="CJ633" s="21"/>
      <c r="CW633" s="21"/>
      <c r="CX633" s="21"/>
      <c r="CY633" s="21"/>
      <c r="CZ633" s="21"/>
    </row>
    <row r="634" spans="2:114" ht="29" hidden="1" outlineLevel="1" x14ac:dyDescent="0.35">
      <c r="D634" s="2327" t="s">
        <v>27</v>
      </c>
      <c r="E634" s="2327" t="s">
        <v>2597</v>
      </c>
      <c r="F634" s="2429" t="s">
        <v>2909</v>
      </c>
      <c r="G634" s="2429" t="s">
        <v>2910</v>
      </c>
      <c r="H634" s="2429" t="s">
        <v>2911</v>
      </c>
      <c r="I634" s="2429" t="s">
        <v>2912</v>
      </c>
      <c r="J634" s="2399" t="s">
        <v>2913</v>
      </c>
      <c r="K634" s="2399" t="s">
        <v>2914</v>
      </c>
      <c r="L634" s="2399" t="s">
        <v>2915</v>
      </c>
      <c r="M634" s="2399" t="s">
        <v>2916</v>
      </c>
      <c r="N634" s="2399" t="s">
        <v>569</v>
      </c>
      <c r="O634" s="1196"/>
      <c r="P634" s="1196"/>
      <c r="Q634" s="1196"/>
      <c r="R634" s="1197"/>
      <c r="S634" s="1197"/>
      <c r="T634" s="1198"/>
      <c r="U634" s="1197"/>
      <c r="V634" s="78"/>
      <c r="W634" s="78"/>
      <c r="X634" s="78"/>
      <c r="Y634" s="79"/>
      <c r="CG634" s="21"/>
      <c r="CH634" s="21"/>
      <c r="CI634" s="21"/>
      <c r="CJ634" s="21"/>
      <c r="CW634" s="21"/>
      <c r="CX634" s="21"/>
      <c r="CY634" s="21"/>
      <c r="CZ634" s="21"/>
    </row>
    <row r="635" spans="2:114" hidden="1" outlineLevel="1" x14ac:dyDescent="0.35">
      <c r="D635" s="1593" t="str">
        <f>C618</f>
        <v>805050_2019_12_</v>
      </c>
      <c r="E635" s="1593" t="str">
        <f>E618</f>
        <v>Combination Oven (Pan Capacity &lt; 15)</v>
      </c>
      <c r="F635" s="1135">
        <v>12</v>
      </c>
      <c r="G635" s="1134">
        <v>79</v>
      </c>
      <c r="H635" s="1134">
        <v>126</v>
      </c>
      <c r="I635" s="1199">
        <f>(0.08*J635+0.4989)*1000</f>
        <v>1298.9000000000001</v>
      </c>
      <c r="J635" s="1134">
        <v>10</v>
      </c>
      <c r="K635" s="1134">
        <v>119</v>
      </c>
      <c r="L635" s="1134">
        <v>177</v>
      </c>
      <c r="M635" s="1154">
        <f>(0.133*J635+0.64)*1000</f>
        <v>1970.0000000000002</v>
      </c>
      <c r="N635" s="1594">
        <v>365.25</v>
      </c>
      <c r="O635" s="1196"/>
      <c r="P635" s="1196"/>
      <c r="Q635" s="1196"/>
      <c r="R635" s="1197"/>
      <c r="S635" s="1197"/>
      <c r="T635" s="1198"/>
      <c r="U635" s="1197"/>
      <c r="V635" s="78"/>
      <c r="W635" s="78"/>
      <c r="X635" s="78"/>
      <c r="Y635" s="79"/>
      <c r="CG635" s="21"/>
      <c r="CH635" s="21"/>
      <c r="CI635" s="21"/>
      <c r="CJ635" s="21"/>
      <c r="CW635" s="21"/>
      <c r="CX635" s="21"/>
      <c r="CY635" s="21"/>
      <c r="CZ635" s="21"/>
    </row>
    <row r="636" spans="2:114" hidden="1" outlineLevel="1" x14ac:dyDescent="0.35">
      <c r="D636" s="1593" t="str">
        <f>C619</f>
        <v>805100_2019_12_</v>
      </c>
      <c r="E636" s="1593" t="str">
        <f>E619</f>
        <v>Combination Oven (Pan Capacity ≥ 15)</v>
      </c>
      <c r="F636" s="1135">
        <v>12</v>
      </c>
      <c r="G636" s="1134">
        <v>166</v>
      </c>
      <c r="H636" s="1134">
        <v>295</v>
      </c>
      <c r="I636" s="1199">
        <f>(0.08*J636+0.4989)*1000</f>
        <v>2098.9</v>
      </c>
      <c r="J636" s="1134">
        <v>20</v>
      </c>
      <c r="K636" s="1134">
        <v>201</v>
      </c>
      <c r="L636" s="1134">
        <v>349</v>
      </c>
      <c r="M636" s="1154">
        <f>(0.133*J636+0.64)*1000</f>
        <v>3300.0000000000005</v>
      </c>
      <c r="N636" s="1594">
        <v>365.25</v>
      </c>
    </row>
    <row r="637" spans="2:114" collapsed="1" x14ac:dyDescent="0.35"/>
    <row r="638" spans="2:114" s="33" customFormat="1" x14ac:dyDescent="0.35">
      <c r="B638" s="4553" t="s">
        <v>2917</v>
      </c>
      <c r="C638" s="4554"/>
      <c r="D638" s="4554"/>
      <c r="E638" s="4554"/>
      <c r="F638" s="4554"/>
      <c r="G638" s="4554"/>
      <c r="H638" s="4554"/>
      <c r="I638" s="4555"/>
      <c r="J638" s="4555"/>
      <c r="K638" s="4555"/>
      <c r="L638" s="4555"/>
      <c r="M638" s="3680"/>
      <c r="N638" s="3680"/>
      <c r="O638" s="3681"/>
      <c r="V638" s="2325" t="str">
        <f>B638</f>
        <v>Fryer</v>
      </c>
      <c r="W638" s="2326"/>
      <c r="X638" s="2326"/>
      <c r="Y638" s="2326"/>
      <c r="Z638" s="2326"/>
      <c r="AA638" s="2326"/>
      <c r="AB638" s="2326"/>
      <c r="AC638" s="2326"/>
      <c r="AD638" s="2326"/>
      <c r="AE638" s="2326"/>
      <c r="AF638" s="2326"/>
      <c r="AG638" s="2326"/>
      <c r="AH638" s="2326"/>
      <c r="AI638" s="2384"/>
      <c r="AJ638" s="21"/>
      <c r="AK638" s="21"/>
      <c r="AL638" s="21"/>
      <c r="AM638" s="21"/>
      <c r="AN638" s="21"/>
      <c r="AO638" s="21"/>
      <c r="AP638" s="21"/>
      <c r="AQ638" s="21"/>
      <c r="AR638" s="21"/>
      <c r="AS638" s="21"/>
      <c r="AT638" s="21"/>
      <c r="AU638" s="21"/>
      <c r="DG638" s="60"/>
    </row>
    <row r="639" spans="2:114" x14ac:dyDescent="0.35">
      <c r="D639" s="1085"/>
      <c r="E639" s="33"/>
      <c r="F639" s="33"/>
      <c r="G639" s="33"/>
      <c r="H639" s="1086"/>
      <c r="I639" s="33"/>
      <c r="J639" s="33"/>
      <c r="K639" s="33"/>
      <c r="L639" s="33"/>
      <c r="P639" s="33"/>
      <c r="Q639" s="33"/>
      <c r="R639" s="33"/>
      <c r="S639" s="33"/>
      <c r="T639" s="33"/>
      <c r="U639" s="33"/>
      <c r="V639"/>
      <c r="W639"/>
      <c r="X639"/>
      <c r="Y639"/>
      <c r="Z639"/>
      <c r="AA639"/>
      <c r="AB639"/>
      <c r="AC639"/>
      <c r="AD639"/>
      <c r="AE639"/>
      <c r="AF639"/>
      <c r="AG639"/>
      <c r="AH639"/>
      <c r="AI639"/>
      <c r="AJ639" s="31"/>
      <c r="AK639" s="31"/>
      <c r="AL639" s="31"/>
      <c r="AM639" s="31"/>
      <c r="AN639" s="31"/>
      <c r="AO639" s="31"/>
      <c r="AP639" s="31"/>
      <c r="AQ639" s="31"/>
      <c r="AR639" s="31"/>
      <c r="AS639" s="31"/>
      <c r="AT639" s="31"/>
      <c r="AU639" s="31"/>
      <c r="DG639" s="3581" t="s">
        <v>4479</v>
      </c>
    </row>
    <row r="640" spans="2:114" s="34" customFormat="1" x14ac:dyDescent="0.35">
      <c r="B640" s="31"/>
      <c r="C640" s="35" t="s">
        <v>27</v>
      </c>
      <c r="D640" s="35" t="s">
        <v>28</v>
      </c>
      <c r="E640" s="2399" t="s">
        <v>29</v>
      </c>
      <c r="F640" s="2399" t="s">
        <v>30</v>
      </c>
      <c r="G640" s="2399" t="s">
        <v>175</v>
      </c>
      <c r="H640" s="36" t="s">
        <v>176</v>
      </c>
      <c r="I640" s="2399" t="s">
        <v>31</v>
      </c>
      <c r="J640" s="2399" t="s">
        <v>180</v>
      </c>
      <c r="K640" s="35" t="s">
        <v>169</v>
      </c>
      <c r="L640" s="35" t="s">
        <v>43</v>
      </c>
      <c r="M640" s="725"/>
      <c r="N640" s="725"/>
      <c r="O640" s="725"/>
      <c r="P640" s="350"/>
      <c r="Q640" s="350"/>
      <c r="R640" s="350"/>
      <c r="S640" s="350"/>
      <c r="T640" s="350"/>
      <c r="U640" s="350"/>
      <c r="V640" s="1572" t="s">
        <v>44</v>
      </c>
      <c r="W640" s="1573">
        <f>$W$8</f>
        <v>43252</v>
      </c>
      <c r="X640" s="1573">
        <f>$X$8</f>
        <v>43465</v>
      </c>
      <c r="Y640" s="1573">
        <f>$Y$8</f>
        <v>43800</v>
      </c>
      <c r="Z640" s="1573">
        <f>$Z$8</f>
        <v>43862</v>
      </c>
      <c r="AA640" s="1573">
        <f>$AA$8</f>
        <v>44013</v>
      </c>
      <c r="AB640" s="1573">
        <v>44166</v>
      </c>
      <c r="AC640" s="1573">
        <f>$AC$8</f>
        <v>44531</v>
      </c>
      <c r="AD640" s="1573">
        <f>$AD$8</f>
        <v>44774</v>
      </c>
      <c r="AE640" s="1573" t="str">
        <f>$AE$8</f>
        <v>-</v>
      </c>
      <c r="AF640" s="1573" t="str">
        <f>$AF$8</f>
        <v>-</v>
      </c>
      <c r="AG640" s="1573" t="str">
        <f>$AG$8</f>
        <v>-</v>
      </c>
      <c r="AH640"/>
      <c r="AI640" s="1572" t="s">
        <v>44</v>
      </c>
      <c r="AJ640" s="1573">
        <v>43252</v>
      </c>
      <c r="AK640" s="1573">
        <f>$X$8</f>
        <v>43465</v>
      </c>
      <c r="AL640" s="1573">
        <f>$Y$8</f>
        <v>43800</v>
      </c>
      <c r="AM640" s="1573">
        <f>$Z$8</f>
        <v>43862</v>
      </c>
      <c r="AN640" s="1573">
        <f>$AA$8</f>
        <v>44013</v>
      </c>
      <c r="AO640" s="1573">
        <f>$AB$8</f>
        <v>44166</v>
      </c>
      <c r="AP640" s="1573">
        <f>$AC$8</f>
        <v>44531</v>
      </c>
      <c r="AQ640" s="1573">
        <f>$AD$8</f>
        <v>44774</v>
      </c>
      <c r="AR640" s="1573" t="str">
        <f>$AE$8</f>
        <v>-</v>
      </c>
      <c r="AS640" s="1573" t="str">
        <f>$AF$8</f>
        <v>-</v>
      </c>
      <c r="AT640" s="21"/>
      <c r="AU640" s="1572" t="s">
        <v>44</v>
      </c>
      <c r="AV640" s="1573">
        <v>43252</v>
      </c>
      <c r="AW640" s="1573">
        <f>$X$8</f>
        <v>43465</v>
      </c>
      <c r="AX640" s="1573">
        <f>$Y$8</f>
        <v>43800</v>
      </c>
      <c r="AY640" s="1573">
        <f>$Z$8</f>
        <v>43862</v>
      </c>
      <c r="AZ640" s="1573">
        <f>$AA$8</f>
        <v>44013</v>
      </c>
      <c r="BA640" s="1573">
        <v>44166</v>
      </c>
      <c r="BB640" s="1573">
        <f>$AC$8</f>
        <v>44531</v>
      </c>
      <c r="BC640" s="1573">
        <f>$AD$8</f>
        <v>44774</v>
      </c>
      <c r="BD640" s="1573" t="str">
        <f>$AE$8</f>
        <v>-</v>
      </c>
      <c r="BE640" s="1573" t="str">
        <f>$AF$8</f>
        <v>-</v>
      </c>
      <c r="DG640" s="1574" t="str">
        <f>$DG$8</f>
        <v>TRC (2022)</v>
      </c>
      <c r="DH640" s="1584" t="str">
        <f>$DH$8</f>
        <v>Benefit Lookup</v>
      </c>
      <c r="DI640" s="1584" t="str">
        <f>$DI$8</f>
        <v>Benefits (2019 $)</v>
      </c>
      <c r="DJ640" s="1584" t="str">
        <f>$DJ$8</f>
        <v>Incremental Cost (2019 $)</v>
      </c>
    </row>
    <row r="641" spans="2:114" x14ac:dyDescent="0.35">
      <c r="C641" s="1614" t="s">
        <v>2918</v>
      </c>
      <c r="D641" s="1106" t="s">
        <v>2485</v>
      </c>
      <c r="E641" s="1105" t="s">
        <v>2919</v>
      </c>
      <c r="F641" s="965">
        <f>ROUND((((G652*(I652-J652/K652))-(H652*(I652-J652/L652)))+((J652*M652/N652)-(J652*M652/O652)))*F652/1000,2)</f>
        <v>952.31</v>
      </c>
      <c r="G641" s="1087" t="s">
        <v>2683</v>
      </c>
      <c r="H641" s="1088">
        <f>VLOOKUP(G641,'CP FACTORS'!$A$26:$B$38,2,FALSE)</f>
        <v>1.998949E-4</v>
      </c>
      <c r="I641" s="1106">
        <f>ROUND(H641*F641,6)</f>
        <v>0.190362</v>
      </c>
      <c r="J641" s="1187">
        <v>12</v>
      </c>
      <c r="K641" s="1107">
        <v>210</v>
      </c>
      <c r="L641" s="1164" t="s">
        <v>184</v>
      </c>
      <c r="V641" s="88" t="s">
        <v>30</v>
      </c>
      <c r="W641" s="112">
        <v>952.30910027472578</v>
      </c>
      <c r="X641" s="112">
        <v>952.30910027472578</v>
      </c>
      <c r="Y641" s="112">
        <v>952.30910027472578</v>
      </c>
      <c r="Z641" s="112">
        <v>952.30910027472578</v>
      </c>
      <c r="AA641" s="112">
        <v>952.30910027472578</v>
      </c>
      <c r="AB641" s="1516">
        <v>952.31</v>
      </c>
      <c r="AC641" s="1798">
        <v>952.31</v>
      </c>
      <c r="AD641" s="1798">
        <v>952.31</v>
      </c>
      <c r="AE641" s="141"/>
      <c r="AF641" s="141"/>
      <c r="AG641" s="141"/>
      <c r="AH641"/>
      <c r="AI641" s="88" t="s">
        <v>180</v>
      </c>
      <c r="AJ641" s="51">
        <v>12</v>
      </c>
      <c r="AK641" s="51">
        <v>12</v>
      </c>
      <c r="AL641" s="51">
        <v>12</v>
      </c>
      <c r="AM641" s="51">
        <v>12</v>
      </c>
      <c r="AN641" s="51">
        <v>12</v>
      </c>
      <c r="AO641" s="1691">
        <v>12</v>
      </c>
      <c r="AP641" s="1691">
        <v>12</v>
      </c>
      <c r="AQ641" s="1691">
        <v>12</v>
      </c>
      <c r="AR641" s="141"/>
      <c r="AS641" s="141"/>
      <c r="AU641" s="88" t="s">
        <v>169</v>
      </c>
      <c r="AV641" s="1692">
        <v>210</v>
      </c>
      <c r="AW641" s="1692">
        <v>210</v>
      </c>
      <c r="AX641" s="1692">
        <v>210</v>
      </c>
      <c r="AY641" s="1692">
        <v>210</v>
      </c>
      <c r="AZ641" s="1692">
        <v>210</v>
      </c>
      <c r="BA641" s="1615">
        <v>210</v>
      </c>
      <c r="BB641" s="1615">
        <v>210</v>
      </c>
      <c r="BC641" s="1615">
        <v>210</v>
      </c>
      <c r="BD641" s="141"/>
      <c r="BE641" s="141"/>
      <c r="DG641" s="1578">
        <f>(DI641)/(DJ641)</f>
        <v>2.4270814889561123</v>
      </c>
      <c r="DH641" s="2381" t="str">
        <f>CONCATENATE(G641," ",J641," Year EUL")</f>
        <v>Cooking BUS 12 Year EUL</v>
      </c>
      <c r="DI641" s="56">
        <f>(INDEX('Avoided Cost Benefits'!$E$4:$E$859,MATCH(DH641,'Avoided Cost Benefits'!$A$4:$A$859,0)))*F641</f>
        <v>481.0638156496305</v>
      </c>
      <c r="DJ641" s="1579">
        <f>K641/(1.0595^(2020-2019))</f>
        <v>198.20670127418592</v>
      </c>
    </row>
    <row r="642" spans="2:114" x14ac:dyDescent="0.35">
      <c r="C642" s="1614" t="s">
        <v>2920</v>
      </c>
      <c r="D642" s="1106" t="s">
        <v>2485</v>
      </c>
      <c r="E642" s="1105" t="s">
        <v>2921</v>
      </c>
      <c r="F642" s="965">
        <f>ROUND((((G653*(I653-J653/K653))-(H653*(I653-J653/L653)))+((J653*M653/N653)-(J653*M653/O653)))*F653/1000,2)</f>
        <v>2537.84</v>
      </c>
      <c r="G642" s="1087" t="s">
        <v>2683</v>
      </c>
      <c r="H642" s="1088">
        <f>VLOOKUP(G642,'CP FACTORS'!$A$26:$B$38,2,FALSE)</f>
        <v>1.998949E-4</v>
      </c>
      <c r="I642" s="1106">
        <f>ROUND(H642*F642,6)</f>
        <v>0.507301</v>
      </c>
      <c r="J642" s="289">
        <v>12</v>
      </c>
      <c r="K642" s="1107">
        <v>0</v>
      </c>
      <c r="L642" s="1164" t="s">
        <v>184</v>
      </c>
      <c r="V642" s="88" t="s">
        <v>30</v>
      </c>
      <c r="W642" s="112">
        <v>2537.8352678571446</v>
      </c>
      <c r="X642" s="112">
        <v>2537.8352678571446</v>
      </c>
      <c r="Y642" s="112">
        <v>2537.8352678571446</v>
      </c>
      <c r="Z642" s="112">
        <v>2537.8352678571446</v>
      </c>
      <c r="AA642" s="112">
        <v>2537.8352678571446</v>
      </c>
      <c r="AB642" s="1516">
        <v>2537.84</v>
      </c>
      <c r="AC642" s="1798">
        <v>2537.84</v>
      </c>
      <c r="AD642" s="1798">
        <v>2537.84</v>
      </c>
      <c r="AE642" s="141"/>
      <c r="AF642" s="141"/>
      <c r="AG642" s="141"/>
      <c r="AH642"/>
      <c r="AI642" s="88" t="s">
        <v>180</v>
      </c>
      <c r="AJ642" s="51">
        <v>12</v>
      </c>
      <c r="AK642" s="51">
        <v>12</v>
      </c>
      <c r="AL642" s="51">
        <v>12</v>
      </c>
      <c r="AM642" s="51">
        <v>12</v>
      </c>
      <c r="AN642" s="51">
        <v>12</v>
      </c>
      <c r="AO642" s="1691">
        <v>12</v>
      </c>
      <c r="AP642" s="1691">
        <v>12</v>
      </c>
      <c r="AQ642" s="1691">
        <v>12</v>
      </c>
      <c r="AR642" s="141"/>
      <c r="AS642" s="141"/>
      <c r="AU642" s="88" t="s">
        <v>169</v>
      </c>
      <c r="AV642" s="1692">
        <v>0</v>
      </c>
      <c r="AW642" s="1692">
        <v>0</v>
      </c>
      <c r="AX642" s="1692">
        <v>0</v>
      </c>
      <c r="AY642" s="1692">
        <v>0</v>
      </c>
      <c r="AZ642" s="1692">
        <v>0</v>
      </c>
      <c r="BA642" s="1615">
        <v>0</v>
      </c>
      <c r="BB642" s="1615">
        <v>0</v>
      </c>
      <c r="BC642" s="1615">
        <v>0</v>
      </c>
      <c r="BD642" s="141"/>
      <c r="BE642" s="141"/>
      <c r="DG642" s="2120" t="e">
        <f>(DI642)/(DJ642)</f>
        <v>#DIV/0!</v>
      </c>
      <c r="DH642" s="1580" t="str">
        <f>CONCATENATE(G642," ",J642," Year EUL")</f>
        <v>Cooking BUS 12 Year EUL</v>
      </c>
      <c r="DI642" s="58">
        <f>(INDEX('Avoided Cost Benefits'!$E$4:$E$859,MATCH(DH642,'Avoided Cost Benefits'!$A$4:$A$859,0)))*F642</f>
        <v>1282.0016527267994</v>
      </c>
      <c r="DJ642" s="1582">
        <f>K642/(1.0595^(2020-2019))</f>
        <v>0</v>
      </c>
    </row>
    <row r="643" spans="2:114" hidden="1" outlineLevel="1" x14ac:dyDescent="0.35">
      <c r="E643" s="33"/>
      <c r="F643" s="33"/>
      <c r="G643" s="33"/>
      <c r="H643" s="1096"/>
      <c r="I643" s="33"/>
      <c r="J643" s="33"/>
      <c r="K643" s="33"/>
    </row>
    <row r="644" spans="2:114" hidden="1" outlineLevel="1" x14ac:dyDescent="0.35">
      <c r="D644" s="33" t="s">
        <v>2528</v>
      </c>
      <c r="E644" s="132"/>
      <c r="F644" s="33"/>
      <c r="G644" s="33"/>
      <c r="H644" s="1096"/>
      <c r="I644" s="33"/>
      <c r="J644" s="33"/>
      <c r="K644" s="132"/>
    </row>
    <row r="645" spans="2:114" hidden="1" outlineLevel="1" x14ac:dyDescent="0.35">
      <c r="D645" s="1097"/>
      <c r="E645" s="132"/>
      <c r="F645" s="132"/>
      <c r="G645" s="725"/>
      <c r="H645" s="1098"/>
    </row>
    <row r="646" spans="2:114" hidden="1" outlineLevel="1" x14ac:dyDescent="0.35">
      <c r="D646" s="1097"/>
      <c r="G646" s="725"/>
      <c r="H646" s="1098"/>
      <c r="P646" s="4561"/>
      <c r="Q646" s="4561"/>
    </row>
    <row r="647" spans="2:114" hidden="1" outlineLevel="1" x14ac:dyDescent="0.35">
      <c r="D647" s="1097"/>
      <c r="G647" s="725"/>
      <c r="H647" s="1098"/>
      <c r="M647" s="33"/>
      <c r="P647" s="4561"/>
      <c r="Q647" s="4561"/>
    </row>
    <row r="648" spans="2:114" hidden="1" outlineLevel="1" x14ac:dyDescent="0.35">
      <c r="D648" s="1097"/>
      <c r="G648" s="725"/>
      <c r="H648" s="1098"/>
      <c r="M648" s="33"/>
      <c r="P648" s="4561"/>
      <c r="Q648" s="4561"/>
    </row>
    <row r="649" spans="2:114" hidden="1" outlineLevel="1" x14ac:dyDescent="0.35">
      <c r="D649" s="1097"/>
      <c r="G649" s="725"/>
      <c r="H649" s="1098"/>
      <c r="M649" s="33"/>
    </row>
    <row r="650" spans="2:114" hidden="1" outlineLevel="1" x14ac:dyDescent="0.35">
      <c r="D650" s="1097"/>
      <c r="G650" s="725"/>
      <c r="H650" s="1098"/>
    </row>
    <row r="651" spans="2:114" s="34" customFormat="1" ht="29" hidden="1" outlineLevel="1" x14ac:dyDescent="0.35">
      <c r="C651" s="132"/>
      <c r="D651" s="2327" t="s">
        <v>27</v>
      </c>
      <c r="E651" s="2327" t="s">
        <v>2597</v>
      </c>
      <c r="F651" s="68" t="s">
        <v>569</v>
      </c>
      <c r="G651" s="2327" t="s">
        <v>2922</v>
      </c>
      <c r="H651" s="2327" t="s">
        <v>2923</v>
      </c>
      <c r="I651" s="2327" t="s">
        <v>2909</v>
      </c>
      <c r="J651" s="2327" t="s">
        <v>2924</v>
      </c>
      <c r="K651" s="2327" t="s">
        <v>2925</v>
      </c>
      <c r="L651" s="2327" t="s">
        <v>2926</v>
      </c>
      <c r="M651" s="2327" t="s">
        <v>2927</v>
      </c>
      <c r="N651" s="2429" t="s">
        <v>2928</v>
      </c>
      <c r="O651" s="2429" t="s">
        <v>2929</v>
      </c>
      <c r="P651" s="350"/>
      <c r="Q651" s="350"/>
      <c r="R651" s="350"/>
      <c r="S651" s="350"/>
      <c r="T651" s="350"/>
      <c r="U651" s="350"/>
      <c r="DG651" s="59"/>
    </row>
    <row r="652" spans="2:114" hidden="1" outlineLevel="1" x14ac:dyDescent="0.35">
      <c r="D652" s="1593" t="str">
        <f>C641</f>
        <v>805150_2019_12_</v>
      </c>
      <c r="E652" s="1593" t="str">
        <f>E641</f>
        <v>Standard Open Deep-Fat Fryer</v>
      </c>
      <c r="F652" s="1145">
        <v>365.25</v>
      </c>
      <c r="G652" s="1152">
        <v>1050</v>
      </c>
      <c r="H652" s="76">
        <v>1000</v>
      </c>
      <c r="I652" s="76">
        <v>16</v>
      </c>
      <c r="J652" s="76">
        <v>150</v>
      </c>
      <c r="K652" s="1200">
        <v>65</v>
      </c>
      <c r="L652" s="76">
        <v>70</v>
      </c>
      <c r="M652" s="1200">
        <v>167</v>
      </c>
      <c r="N652" s="411">
        <v>0.75</v>
      </c>
      <c r="O652" s="1109">
        <v>0.8</v>
      </c>
    </row>
    <row r="653" spans="2:114" hidden="1" outlineLevel="1" x14ac:dyDescent="0.35">
      <c r="D653" s="1593" t="str">
        <f>C642</f>
        <v>805200_2019_12_</v>
      </c>
      <c r="E653" s="1593" t="str">
        <f>E642</f>
        <v>Large Vat Open Deep-Fat Fryer</v>
      </c>
      <c r="F653" s="1145">
        <v>365.25</v>
      </c>
      <c r="G653" s="1152">
        <v>1350</v>
      </c>
      <c r="H653" s="76">
        <v>1100</v>
      </c>
      <c r="I653" s="76">
        <v>12</v>
      </c>
      <c r="J653" s="76">
        <v>150</v>
      </c>
      <c r="K653" s="1200">
        <v>100</v>
      </c>
      <c r="L653" s="76">
        <v>110</v>
      </c>
      <c r="M653" s="1200">
        <v>167</v>
      </c>
      <c r="N653" s="411">
        <v>0.7</v>
      </c>
      <c r="O653" s="1109">
        <v>0.8</v>
      </c>
    </row>
    <row r="654" spans="2:114" collapsed="1" x14ac:dyDescent="0.35">
      <c r="DG654" s="59"/>
    </row>
    <row r="656" spans="2:114" s="33" customFormat="1" x14ac:dyDescent="0.35">
      <c r="B656" s="4553" t="s">
        <v>2930</v>
      </c>
      <c r="C656" s="4554"/>
      <c r="D656" s="4554"/>
      <c r="E656" s="4554"/>
      <c r="F656" s="4554"/>
      <c r="G656" s="4554"/>
      <c r="H656" s="4554"/>
      <c r="I656" s="4555"/>
      <c r="J656" s="4555"/>
      <c r="K656" s="4555"/>
      <c r="L656" s="4555"/>
      <c r="M656" s="3680"/>
      <c r="N656" s="3680"/>
      <c r="O656" s="3681"/>
      <c r="V656" s="2325" t="str">
        <f>B656</f>
        <v>Convection Oven</v>
      </c>
      <c r="W656" s="2326"/>
      <c r="X656" s="2326"/>
      <c r="Y656" s="2326"/>
      <c r="Z656" s="2326"/>
      <c r="AA656" s="2326"/>
      <c r="AB656" s="2326"/>
      <c r="AC656" s="2326"/>
      <c r="AD656" s="2326"/>
      <c r="AE656" s="2326"/>
      <c r="AF656" s="2326"/>
      <c r="AG656" s="2326"/>
      <c r="AH656" s="2326"/>
      <c r="AI656" s="2384"/>
      <c r="AJ656" s="21"/>
      <c r="AK656" s="21"/>
      <c r="AL656" s="21"/>
      <c r="AM656" s="21"/>
      <c r="AN656" s="21"/>
      <c r="AO656" s="21"/>
      <c r="AP656" s="21"/>
      <c r="AQ656" s="21"/>
      <c r="AR656" s="21"/>
      <c r="AS656" s="21"/>
      <c r="AT656" s="21"/>
      <c r="AU656" s="21"/>
      <c r="DG656" s="60"/>
    </row>
    <row r="657" spans="2:114" x14ac:dyDescent="0.35">
      <c r="D657" s="1085"/>
      <c r="E657" s="33"/>
      <c r="F657" s="33"/>
      <c r="G657" s="33"/>
      <c r="H657" s="1086"/>
      <c r="I657" s="33"/>
      <c r="J657" s="33"/>
      <c r="K657" s="33"/>
      <c r="L657" s="33"/>
      <c r="P657" s="33"/>
      <c r="Q657" s="33"/>
      <c r="R657" s="33"/>
      <c r="S657" s="33"/>
      <c r="T657" s="33"/>
      <c r="U657" s="33"/>
      <c r="V657"/>
      <c r="W657"/>
      <c r="X657"/>
      <c r="Y657"/>
      <c r="Z657"/>
      <c r="AA657"/>
      <c r="AB657"/>
      <c r="AC657"/>
      <c r="AD657"/>
      <c r="AE657"/>
      <c r="AF657"/>
      <c r="AG657"/>
      <c r="AH657"/>
      <c r="AI657"/>
      <c r="AJ657" s="31"/>
      <c r="AK657" s="31"/>
      <c r="AL657" s="31"/>
      <c r="AM657" s="31"/>
      <c r="AN657" s="31"/>
      <c r="AO657" s="31"/>
      <c r="AP657" s="31"/>
      <c r="AQ657" s="31"/>
      <c r="AR657" s="31"/>
      <c r="AS657" s="31"/>
      <c r="AT657" s="31"/>
      <c r="AU657" s="31"/>
      <c r="DG657" s="3581" t="s">
        <v>4479</v>
      </c>
    </row>
    <row r="658" spans="2:114" s="34" customFormat="1" x14ac:dyDescent="0.35">
      <c r="B658" s="31"/>
      <c r="C658" s="35" t="s">
        <v>27</v>
      </c>
      <c r="D658" s="35" t="s">
        <v>28</v>
      </c>
      <c r="E658" s="2399" t="s">
        <v>29</v>
      </c>
      <c r="F658" s="2399" t="s">
        <v>30</v>
      </c>
      <c r="G658" s="2399" t="s">
        <v>175</v>
      </c>
      <c r="H658" s="36" t="s">
        <v>176</v>
      </c>
      <c r="I658" s="2399" t="s">
        <v>31</v>
      </c>
      <c r="J658" s="2399" t="s">
        <v>180</v>
      </c>
      <c r="K658" s="35" t="s">
        <v>169</v>
      </c>
      <c r="L658" s="35" t="s">
        <v>43</v>
      </c>
      <c r="M658" s="725"/>
      <c r="N658" s="725"/>
      <c r="O658" s="725"/>
      <c r="P658" s="350"/>
      <c r="Q658" s="350"/>
      <c r="R658" s="350"/>
      <c r="S658" s="350"/>
      <c r="T658" s="350"/>
      <c r="U658" s="350"/>
      <c r="V658" s="1572" t="s">
        <v>44</v>
      </c>
      <c r="W658" s="1573">
        <f>$W$8</f>
        <v>43252</v>
      </c>
      <c r="X658" s="1573">
        <f>$X$8</f>
        <v>43465</v>
      </c>
      <c r="Y658" s="1573">
        <f>$Y$8</f>
        <v>43800</v>
      </c>
      <c r="Z658" s="1573">
        <f>$Z$8</f>
        <v>43862</v>
      </c>
      <c r="AA658" s="1573">
        <f>$AA$8</f>
        <v>44013</v>
      </c>
      <c r="AB658" s="1573">
        <v>44166</v>
      </c>
      <c r="AC658" s="1573">
        <f>$AC$8</f>
        <v>44531</v>
      </c>
      <c r="AD658" s="1573">
        <f>$AD$8</f>
        <v>44774</v>
      </c>
      <c r="AE658" s="1573" t="str">
        <f>$AE$8</f>
        <v>-</v>
      </c>
      <c r="AF658" s="1573" t="str">
        <f>$AF$8</f>
        <v>-</v>
      </c>
      <c r="AG658" s="1573" t="str">
        <f>$AG$8</f>
        <v>-</v>
      </c>
      <c r="AH658"/>
      <c r="AI658" s="1572" t="s">
        <v>44</v>
      </c>
      <c r="AJ658" s="1573">
        <v>43252</v>
      </c>
      <c r="AK658" s="1573">
        <f>$X$8</f>
        <v>43465</v>
      </c>
      <c r="AL658" s="1573">
        <f>$Y$8</f>
        <v>43800</v>
      </c>
      <c r="AM658" s="1573">
        <f>$Z$8</f>
        <v>43862</v>
      </c>
      <c r="AN658" s="1573">
        <f>$AA$8</f>
        <v>44013</v>
      </c>
      <c r="AO658" s="1573">
        <f>$AB$8</f>
        <v>44166</v>
      </c>
      <c r="AP658" s="1573">
        <f>$AC$8</f>
        <v>44531</v>
      </c>
      <c r="AQ658" s="1573">
        <f>$AD$8</f>
        <v>44774</v>
      </c>
      <c r="AR658" s="1573" t="str">
        <f>$AE$8</f>
        <v>-</v>
      </c>
      <c r="AS658" s="1573" t="str">
        <f>$AF$8</f>
        <v>-</v>
      </c>
      <c r="AT658" s="21"/>
      <c r="AU658" s="1572" t="s">
        <v>44</v>
      </c>
      <c r="AV658" s="1573">
        <v>43252</v>
      </c>
      <c r="AW658" s="1573">
        <f>$X$8</f>
        <v>43465</v>
      </c>
      <c r="AX658" s="1573">
        <f>$Y$8</f>
        <v>43800</v>
      </c>
      <c r="AY658" s="1573">
        <f>$Z$8</f>
        <v>43862</v>
      </c>
      <c r="AZ658" s="1573">
        <f>$AA$8</f>
        <v>44013</v>
      </c>
      <c r="BA658" s="1573">
        <v>44166</v>
      </c>
      <c r="BB658" s="1573">
        <f>$AC$8</f>
        <v>44531</v>
      </c>
      <c r="BC658" s="1573">
        <f>$AD$8</f>
        <v>44774</v>
      </c>
      <c r="BD658" s="1573" t="str">
        <f>$AE$8</f>
        <v>-</v>
      </c>
      <c r="BE658" s="1573" t="str">
        <f>$AF$8</f>
        <v>-</v>
      </c>
      <c r="DG658" s="1574" t="str">
        <f>$DG$8</f>
        <v>TRC (2022)</v>
      </c>
      <c r="DH658" s="1584" t="str">
        <f>$DH$8</f>
        <v>Benefit Lookup</v>
      </c>
      <c r="DI658" s="1584" t="str">
        <f>$DI$8</f>
        <v>Benefits (2019 $)</v>
      </c>
      <c r="DJ658" s="1584" t="str">
        <f>$DJ$8</f>
        <v>Incremental Cost (2019 $)</v>
      </c>
    </row>
    <row r="659" spans="2:114" x14ac:dyDescent="0.35">
      <c r="C659" s="1614" t="s">
        <v>2931</v>
      </c>
      <c r="D659" s="1106" t="s">
        <v>2485</v>
      </c>
      <c r="E659" s="1105" t="s">
        <v>2932</v>
      </c>
      <c r="F659" s="965">
        <f>ROUND((((G670*(I670-J670/K670))-(H670*(I670-J670/L670)))+((J670*M670/N670)-(J670*M670/O670)))*F670/1000,2)</f>
        <v>1938.47</v>
      </c>
      <c r="G659" s="1087" t="s">
        <v>2683</v>
      </c>
      <c r="H659" s="1088">
        <f>VLOOKUP(G659,'CP FACTORS'!$A$26:$B$38,2,FALSE)</f>
        <v>1.998949E-4</v>
      </c>
      <c r="I659" s="1106">
        <f>ROUND(H659*F659,6)</f>
        <v>0.38749</v>
      </c>
      <c r="J659" s="1187">
        <v>12</v>
      </c>
      <c r="K659" s="1107">
        <v>0</v>
      </c>
      <c r="L659" s="1164" t="s">
        <v>184</v>
      </c>
      <c r="V659" s="88" t="s">
        <v>30</v>
      </c>
      <c r="W659" s="112">
        <v>1938.467533405561</v>
      </c>
      <c r="X659" s="112">
        <v>1938.467533405561</v>
      </c>
      <c r="Y659" s="112">
        <v>1938.467533405561</v>
      </c>
      <c r="Z659" s="112">
        <v>1938.467533405561</v>
      </c>
      <c r="AA659" s="112">
        <v>1938.467533405561</v>
      </c>
      <c r="AB659" s="1516">
        <v>1938.47</v>
      </c>
      <c r="AC659" s="1798">
        <v>1938.47</v>
      </c>
      <c r="AD659" s="1798">
        <v>1938.47</v>
      </c>
      <c r="AE659" s="141"/>
      <c r="AF659" s="141"/>
      <c r="AG659" s="141"/>
      <c r="AH659"/>
      <c r="AI659" s="88" t="s">
        <v>180</v>
      </c>
      <c r="AJ659" s="51">
        <v>12</v>
      </c>
      <c r="AK659" s="51">
        <v>12</v>
      </c>
      <c r="AL659" s="51">
        <v>12</v>
      </c>
      <c r="AM659" s="51">
        <v>12</v>
      </c>
      <c r="AN659" s="51">
        <v>12</v>
      </c>
      <c r="AO659" s="1691">
        <v>12</v>
      </c>
      <c r="AP659" s="1691">
        <v>12</v>
      </c>
      <c r="AQ659" s="1691">
        <v>12</v>
      </c>
      <c r="AR659" s="141"/>
      <c r="AS659" s="141"/>
      <c r="AU659" s="88" t="s">
        <v>169</v>
      </c>
      <c r="AV659" s="1692">
        <v>0</v>
      </c>
      <c r="AW659" s="1692">
        <v>0</v>
      </c>
      <c r="AX659" s="1692">
        <v>0</v>
      </c>
      <c r="AY659" s="1692">
        <v>0</v>
      </c>
      <c r="AZ659" s="1692">
        <v>0</v>
      </c>
      <c r="BA659" s="1615">
        <v>0</v>
      </c>
      <c r="BB659" s="1615">
        <v>0</v>
      </c>
      <c r="BC659" s="1615">
        <v>0</v>
      </c>
      <c r="BD659" s="141"/>
      <c r="BE659" s="141"/>
      <c r="DG659" s="2121" t="e">
        <f>(DI659)/(DJ659)</f>
        <v>#DIV/0!</v>
      </c>
      <c r="DH659" s="2381" t="str">
        <f>CONCATENATE(G659," ",J659," Year EUL")</f>
        <v>Cooking BUS 12 Year EUL</v>
      </c>
      <c r="DI659" s="56">
        <f>(INDEX('Avoided Cost Benefits'!$E$4:$E$859,MATCH(DH659,'Avoided Cost Benefits'!$A$4:$A$859,0)))*F659</f>
        <v>979.22711587858919</v>
      </c>
      <c r="DJ659" s="1579">
        <f>K659/(1.0595^(2020-2019))</f>
        <v>0</v>
      </c>
    </row>
    <row r="660" spans="2:114" x14ac:dyDescent="0.35">
      <c r="C660" s="1614" t="s">
        <v>2933</v>
      </c>
      <c r="D660" s="1106" t="s">
        <v>2485</v>
      </c>
      <c r="E660" s="1105" t="s">
        <v>2934</v>
      </c>
      <c r="F660" s="965">
        <f>ROUND((((G671*(I671-J671/K671))-(H671*(I671-J671/L671)))+((J671*M671/N671)-(J671*M671/O671)))*F671/1000,2)</f>
        <v>192.11</v>
      </c>
      <c r="G660" s="1087" t="s">
        <v>2683</v>
      </c>
      <c r="H660" s="1088">
        <f>VLOOKUP(G660,'CP FACTORS'!$A$26:$B$38,2,FALSE)</f>
        <v>1.998949E-4</v>
      </c>
      <c r="I660" s="1106">
        <f>ROUND(H660*F660,6)</f>
        <v>3.8401999999999999E-2</v>
      </c>
      <c r="J660" s="289">
        <v>12</v>
      </c>
      <c r="K660" s="1107">
        <v>0</v>
      </c>
      <c r="L660" s="1164" t="s">
        <v>184</v>
      </c>
      <c r="V660" s="88" t="s">
        <v>30</v>
      </c>
      <c r="W660" s="112">
        <v>192.1061005247166</v>
      </c>
      <c r="X660" s="112">
        <v>192.1061005247166</v>
      </c>
      <c r="Y660" s="112">
        <v>192.1061005247166</v>
      </c>
      <c r="Z660" s="112">
        <v>192.1061005247166</v>
      </c>
      <c r="AA660" s="112">
        <v>192.1061005247166</v>
      </c>
      <c r="AB660" s="1516">
        <v>192.11</v>
      </c>
      <c r="AC660" s="1798">
        <v>192.11</v>
      </c>
      <c r="AD660" s="1798">
        <v>192.11</v>
      </c>
      <c r="AE660" s="141"/>
      <c r="AF660" s="141"/>
      <c r="AG660" s="141"/>
      <c r="AH660"/>
      <c r="AI660" s="88" t="s">
        <v>180</v>
      </c>
      <c r="AJ660" s="51">
        <v>12</v>
      </c>
      <c r="AK660" s="51">
        <v>12</v>
      </c>
      <c r="AL660" s="51">
        <v>12</v>
      </c>
      <c r="AM660" s="51">
        <v>12</v>
      </c>
      <c r="AN660" s="51">
        <v>12</v>
      </c>
      <c r="AO660" s="1691">
        <v>12</v>
      </c>
      <c r="AP660" s="1691">
        <v>12</v>
      </c>
      <c r="AQ660" s="1691">
        <v>12</v>
      </c>
      <c r="AR660" s="141"/>
      <c r="AS660" s="141"/>
      <c r="AU660" s="88" t="s">
        <v>169</v>
      </c>
      <c r="AV660" s="1692">
        <v>0</v>
      </c>
      <c r="AW660" s="1692">
        <v>0</v>
      </c>
      <c r="AX660" s="1692">
        <v>0</v>
      </c>
      <c r="AY660" s="1692">
        <v>0</v>
      </c>
      <c r="AZ660" s="1692">
        <v>0</v>
      </c>
      <c r="BA660" s="1615">
        <v>0</v>
      </c>
      <c r="BB660" s="1615">
        <v>0</v>
      </c>
      <c r="BC660" s="1615">
        <v>0</v>
      </c>
      <c r="BD660" s="141"/>
      <c r="BE660" s="141"/>
      <c r="DG660" s="2120" t="e">
        <f>(DI660)/(DJ660)</f>
        <v>#DIV/0!</v>
      </c>
      <c r="DH660" s="1580" t="str">
        <f>CONCATENATE(G660," ",J660," Year EUL")</f>
        <v>Cooking BUS 12 Year EUL</v>
      </c>
      <c r="DI660" s="58">
        <f>(INDEX('Avoided Cost Benefits'!$E$4:$E$859,MATCH(DH660,'Avoided Cost Benefits'!$A$4:$A$859,0)))*F660</f>
        <v>97.045257977392367</v>
      </c>
      <c r="DJ660" s="1582">
        <f>K660/(1.0595^(2020-2019))</f>
        <v>0</v>
      </c>
    </row>
    <row r="661" spans="2:114" hidden="1" outlineLevel="1" x14ac:dyDescent="0.35">
      <c r="E661" s="33"/>
      <c r="F661" s="33"/>
      <c r="G661" s="33"/>
      <c r="H661" s="1096"/>
      <c r="I661" s="33"/>
      <c r="J661" s="33"/>
      <c r="K661" s="33"/>
    </row>
    <row r="662" spans="2:114" hidden="1" outlineLevel="1" x14ac:dyDescent="0.35">
      <c r="D662" s="33" t="s">
        <v>2528</v>
      </c>
      <c r="E662" s="132"/>
      <c r="F662" s="33"/>
      <c r="G662" s="33"/>
      <c r="H662" s="1096"/>
      <c r="I662" s="33"/>
      <c r="J662" s="33"/>
      <c r="K662" s="132"/>
    </row>
    <row r="663" spans="2:114" hidden="1" outlineLevel="1" x14ac:dyDescent="0.35">
      <c r="D663" s="1097"/>
      <c r="E663" s="132"/>
      <c r="F663" s="132"/>
      <c r="G663" s="725"/>
      <c r="H663" s="1098"/>
    </row>
    <row r="664" spans="2:114" hidden="1" outlineLevel="1" x14ac:dyDescent="0.35">
      <c r="D664" s="1097"/>
      <c r="G664" s="725"/>
      <c r="H664" s="1098"/>
      <c r="P664" s="4561"/>
      <c r="Q664" s="4561"/>
    </row>
    <row r="665" spans="2:114" hidden="1" outlineLevel="1" x14ac:dyDescent="0.35">
      <c r="D665" s="1097"/>
      <c r="G665" s="725"/>
      <c r="H665" s="1098"/>
      <c r="M665" s="33"/>
      <c r="P665" s="4561"/>
      <c r="Q665" s="4561"/>
    </row>
    <row r="666" spans="2:114" hidden="1" outlineLevel="1" x14ac:dyDescent="0.35">
      <c r="D666" s="1097"/>
      <c r="G666" s="725"/>
      <c r="H666" s="1098"/>
      <c r="M666" s="33"/>
      <c r="P666" s="4561"/>
      <c r="Q666" s="4561"/>
    </row>
    <row r="667" spans="2:114" hidden="1" outlineLevel="1" x14ac:dyDescent="0.35">
      <c r="D667" s="1097"/>
      <c r="G667" s="725"/>
      <c r="H667" s="1098"/>
      <c r="M667" s="33"/>
    </row>
    <row r="668" spans="2:114" hidden="1" outlineLevel="1" x14ac:dyDescent="0.35">
      <c r="D668" s="1097"/>
      <c r="G668" s="725"/>
      <c r="H668" s="1098"/>
    </row>
    <row r="669" spans="2:114" s="34" customFormat="1" ht="29" hidden="1" outlineLevel="1" x14ac:dyDescent="0.35">
      <c r="C669" s="132"/>
      <c r="D669" s="2327" t="s">
        <v>27</v>
      </c>
      <c r="E669" s="2327" t="s">
        <v>2597</v>
      </c>
      <c r="F669" s="68" t="s">
        <v>569</v>
      </c>
      <c r="G669" s="2327" t="s">
        <v>2922</v>
      </c>
      <c r="H669" s="2327" t="s">
        <v>2923</v>
      </c>
      <c r="I669" s="2327" t="s">
        <v>2909</v>
      </c>
      <c r="J669" s="2327" t="s">
        <v>2924</v>
      </c>
      <c r="K669" s="2327" t="s">
        <v>2925</v>
      </c>
      <c r="L669" s="2327" t="s">
        <v>2926</v>
      </c>
      <c r="M669" s="2327" t="s">
        <v>2927</v>
      </c>
      <c r="N669" s="2429" t="s">
        <v>2928</v>
      </c>
      <c r="O669" s="2429" t="s">
        <v>2929</v>
      </c>
      <c r="P669" s="350"/>
      <c r="Q669" s="350"/>
      <c r="R669" s="350"/>
      <c r="S669" s="350"/>
      <c r="T669" s="350"/>
      <c r="U669" s="350"/>
      <c r="DG669" s="59"/>
    </row>
    <row r="670" spans="2:114" hidden="1" outlineLevel="1" x14ac:dyDescent="0.35">
      <c r="D670" s="1593" t="str">
        <f>C659</f>
        <v>805250_2019_12_</v>
      </c>
      <c r="E670" s="1593" t="str">
        <f>E659</f>
        <v>Convection Oven (Full Size)</v>
      </c>
      <c r="F670" s="1145">
        <v>365.25</v>
      </c>
      <c r="G670" s="1152">
        <v>2000</v>
      </c>
      <c r="H670" s="76">
        <v>1600</v>
      </c>
      <c r="I670" s="76">
        <v>12</v>
      </c>
      <c r="J670" s="76">
        <v>100</v>
      </c>
      <c r="K670" s="1200">
        <v>90</v>
      </c>
      <c r="L670" s="76">
        <v>90</v>
      </c>
      <c r="M670" s="1189">
        <v>73.2</v>
      </c>
      <c r="N670" s="411">
        <v>0.65</v>
      </c>
      <c r="O670" s="1109">
        <v>0.71</v>
      </c>
    </row>
    <row r="671" spans="2:114" hidden="1" outlineLevel="1" x14ac:dyDescent="0.35">
      <c r="D671" s="1593" t="str">
        <f>C660</f>
        <v>805300_2019_12_</v>
      </c>
      <c r="E671" s="1593" t="str">
        <f>E660</f>
        <v>Convection Oven (Half Size)</v>
      </c>
      <c r="F671" s="1145">
        <v>365.25</v>
      </c>
      <c r="G671" s="1152">
        <v>1030</v>
      </c>
      <c r="H671" s="76">
        <v>1000</v>
      </c>
      <c r="I671" s="76">
        <v>12</v>
      </c>
      <c r="J671" s="76">
        <v>100</v>
      </c>
      <c r="K671" s="1200">
        <v>45</v>
      </c>
      <c r="L671" s="76">
        <v>50</v>
      </c>
      <c r="M671" s="1189">
        <v>73.2</v>
      </c>
      <c r="N671" s="411">
        <v>0.68</v>
      </c>
      <c r="O671" s="1109">
        <v>0.71</v>
      </c>
    </row>
    <row r="672" spans="2:114" collapsed="1" x14ac:dyDescent="0.35">
      <c r="DG672" s="59"/>
    </row>
    <row r="674" spans="2:114" s="33" customFormat="1" x14ac:dyDescent="0.35">
      <c r="B674" s="4553" t="s">
        <v>2935</v>
      </c>
      <c r="C674" s="4554"/>
      <c r="D674" s="4554"/>
      <c r="E674" s="4554"/>
      <c r="F674" s="4554"/>
      <c r="G674" s="4554"/>
      <c r="H674" s="4554"/>
      <c r="I674" s="4555"/>
      <c r="J674" s="4555"/>
      <c r="K674" s="4555"/>
      <c r="L674" s="4555"/>
      <c r="M674" s="3680"/>
      <c r="N674" s="3680"/>
      <c r="O674" s="3681"/>
      <c r="V674" s="2325" t="str">
        <f>B674</f>
        <v>Griddle</v>
      </c>
      <c r="W674" s="2326"/>
      <c r="X674" s="2326"/>
      <c r="Y674" s="2326"/>
      <c r="Z674" s="2326"/>
      <c r="AA674" s="2326"/>
      <c r="AB674" s="2326"/>
      <c r="AC674" s="2326"/>
      <c r="AD674" s="2326"/>
      <c r="AE674" s="2326"/>
      <c r="AF674" s="2326"/>
      <c r="AG674" s="2326"/>
      <c r="AH674" s="2326"/>
      <c r="AI674" s="2384"/>
      <c r="AJ674" s="21"/>
      <c r="AK674" s="21"/>
      <c r="AL674" s="21"/>
      <c r="AM674" s="21"/>
      <c r="AN674" s="21"/>
      <c r="AO674" s="21"/>
      <c r="AP674" s="21"/>
      <c r="AQ674" s="21"/>
      <c r="AR674" s="21"/>
      <c r="AS674" s="21"/>
      <c r="AT674" s="21"/>
      <c r="AU674" s="21"/>
      <c r="DG674" s="60"/>
    </row>
    <row r="675" spans="2:114" x14ac:dyDescent="0.35">
      <c r="D675" s="1085"/>
      <c r="E675" s="33"/>
      <c r="F675" s="33"/>
      <c r="G675" s="33"/>
      <c r="H675" s="1086"/>
      <c r="I675" s="33"/>
      <c r="J675" s="33"/>
      <c r="K675" s="33"/>
      <c r="L675" s="33"/>
      <c r="P675" s="33"/>
      <c r="Q675" s="33"/>
      <c r="R675" s="33"/>
      <c r="S675" s="33"/>
      <c r="T675" s="33"/>
      <c r="U675" s="33"/>
      <c r="V675"/>
      <c r="W675"/>
      <c r="X675"/>
      <c r="Y675"/>
      <c r="Z675"/>
      <c r="AA675"/>
      <c r="AB675"/>
      <c r="AC675"/>
      <c r="AD675"/>
      <c r="AE675"/>
      <c r="AF675"/>
      <c r="AG675"/>
      <c r="AH675"/>
      <c r="AI675"/>
      <c r="AJ675" s="31"/>
      <c r="AK675" s="31"/>
      <c r="AL675" s="31"/>
      <c r="AM675" s="31"/>
      <c r="AN675" s="31"/>
      <c r="AO675" s="31"/>
      <c r="AP675" s="31"/>
      <c r="AQ675" s="31"/>
      <c r="AR675" s="31"/>
      <c r="AS675" s="31"/>
      <c r="AT675" s="31"/>
      <c r="AU675" s="31"/>
      <c r="DG675" s="3581" t="s">
        <v>4479</v>
      </c>
    </row>
    <row r="676" spans="2:114" s="34" customFormat="1" x14ac:dyDescent="0.35">
      <c r="B676" s="31"/>
      <c r="C676" s="35" t="s">
        <v>27</v>
      </c>
      <c r="D676" s="35" t="s">
        <v>28</v>
      </c>
      <c r="E676" s="2399" t="s">
        <v>29</v>
      </c>
      <c r="F676" s="2399" t="s">
        <v>30</v>
      </c>
      <c r="G676" s="2399" t="s">
        <v>175</v>
      </c>
      <c r="H676" s="36" t="s">
        <v>176</v>
      </c>
      <c r="I676" s="2399" t="s">
        <v>31</v>
      </c>
      <c r="J676" s="2399" t="s">
        <v>180</v>
      </c>
      <c r="K676" s="35" t="s">
        <v>169</v>
      </c>
      <c r="L676" s="35" t="s">
        <v>43</v>
      </c>
      <c r="M676" s="725"/>
      <c r="N676" s="725"/>
      <c r="O676" s="725"/>
      <c r="P676" s="350"/>
      <c r="Q676" s="350"/>
      <c r="R676" s="350"/>
      <c r="S676" s="350"/>
      <c r="T676" s="350"/>
      <c r="U676" s="350"/>
      <c r="V676" s="1572" t="s">
        <v>44</v>
      </c>
      <c r="W676" s="1573">
        <f>$W$8</f>
        <v>43252</v>
      </c>
      <c r="X676" s="1573">
        <f>$X$8</f>
        <v>43465</v>
      </c>
      <c r="Y676" s="1573">
        <f>$Y$8</f>
        <v>43800</v>
      </c>
      <c r="Z676" s="1573">
        <f>$Z$8</f>
        <v>43862</v>
      </c>
      <c r="AA676" s="1573">
        <f>$AA$8</f>
        <v>44013</v>
      </c>
      <c r="AB676" s="1573">
        <v>44166</v>
      </c>
      <c r="AC676" s="1573">
        <f>$AC$8</f>
        <v>44531</v>
      </c>
      <c r="AD676" s="1573">
        <f>$AD$8</f>
        <v>44774</v>
      </c>
      <c r="AE676" s="1573" t="str">
        <f>$AE$8</f>
        <v>-</v>
      </c>
      <c r="AF676" s="1573" t="str">
        <f>$AF$8</f>
        <v>-</v>
      </c>
      <c r="AG676" s="1573" t="str">
        <f>$AG$8</f>
        <v>-</v>
      </c>
      <c r="AH676"/>
      <c r="AI676" s="1572" t="s">
        <v>44</v>
      </c>
      <c r="AJ676" s="1573">
        <v>43252</v>
      </c>
      <c r="AK676" s="1573">
        <f>$X$8</f>
        <v>43465</v>
      </c>
      <c r="AL676" s="1573">
        <f>$Y$8</f>
        <v>43800</v>
      </c>
      <c r="AM676" s="1573">
        <f>$Z$8</f>
        <v>43862</v>
      </c>
      <c r="AN676" s="1573">
        <f>$AA$8</f>
        <v>44013</v>
      </c>
      <c r="AO676" s="1573">
        <f>$AB$8</f>
        <v>44166</v>
      </c>
      <c r="AP676" s="1573">
        <f>$AC$8</f>
        <v>44531</v>
      </c>
      <c r="AQ676" s="1573">
        <f>$AD$8</f>
        <v>44774</v>
      </c>
      <c r="AR676" s="1573" t="str">
        <f>$AE$8</f>
        <v>-</v>
      </c>
      <c r="AS676" s="1573" t="str">
        <f>$AF$8</f>
        <v>-</v>
      </c>
      <c r="AT676" s="21"/>
      <c r="AU676" s="1572" t="s">
        <v>44</v>
      </c>
      <c r="AV676" s="1573">
        <v>43252</v>
      </c>
      <c r="AW676" s="1573">
        <f>$X$8</f>
        <v>43465</v>
      </c>
      <c r="AX676" s="1573">
        <f>$Y$8</f>
        <v>43800</v>
      </c>
      <c r="AY676" s="1573">
        <f>$Z$8</f>
        <v>43862</v>
      </c>
      <c r="AZ676" s="1573">
        <f>$AA$8</f>
        <v>44013</v>
      </c>
      <c r="BA676" s="1573">
        <v>44166</v>
      </c>
      <c r="BB676" s="1573">
        <f>$AC$8</f>
        <v>44531</v>
      </c>
      <c r="BC676" s="1573">
        <f>$AD$8</f>
        <v>44774</v>
      </c>
      <c r="BD676" s="1573" t="str">
        <f>$AE$8</f>
        <v>-</v>
      </c>
      <c r="BE676" s="1573" t="str">
        <f>$AF$8</f>
        <v>-</v>
      </c>
      <c r="DG676" s="1574" t="str">
        <f>$DG$8</f>
        <v>TRC (2022)</v>
      </c>
      <c r="DH676" s="1584" t="str">
        <f>$DH$8</f>
        <v>Benefit Lookup</v>
      </c>
      <c r="DI676" s="1584" t="str">
        <f>$DI$8</f>
        <v>Benefits (2019 $)</v>
      </c>
      <c r="DJ676" s="1584" t="str">
        <f>$DJ$8</f>
        <v>Incremental Cost (2019 $)</v>
      </c>
    </row>
    <row r="677" spans="2:114" x14ac:dyDescent="0.35">
      <c r="C677" s="1614" t="s">
        <v>2936</v>
      </c>
      <c r="D677" s="1106" t="s">
        <v>2485</v>
      </c>
      <c r="E677" s="1105" t="s">
        <v>2935</v>
      </c>
      <c r="F677" s="965">
        <f>ROUND(((((G687*I687*J687)*(K687-L687/M687))-((H687*I687*J687)*(K687-L687/N687)))+((L687*O687/P687)-(L687*O687/Q687)))*F687/1000,2)</f>
        <v>1910.38</v>
      </c>
      <c r="G677" s="1087" t="s">
        <v>2683</v>
      </c>
      <c r="H677" s="1088">
        <f>VLOOKUP(G677,'CP FACTORS'!$A$26:$B$38,2,FALSE)</f>
        <v>1.998949E-4</v>
      </c>
      <c r="I677" s="1106">
        <f>ROUND(H677*F677,6)</f>
        <v>0.38187500000000002</v>
      </c>
      <c r="J677" s="289">
        <v>12</v>
      </c>
      <c r="K677" s="1107">
        <v>0</v>
      </c>
      <c r="L677" s="1164" t="s">
        <v>184</v>
      </c>
      <c r="V677" s="88" t="s">
        <v>30</v>
      </c>
      <c r="W677" s="112">
        <v>1910.3779120879103</v>
      </c>
      <c r="X677" s="112">
        <v>1910.3779120879103</v>
      </c>
      <c r="Y677" s="112">
        <v>1910.3779120879103</v>
      </c>
      <c r="Z677" s="112">
        <v>1910.3779120879103</v>
      </c>
      <c r="AA677" s="112">
        <v>1910.3779120879103</v>
      </c>
      <c r="AB677" s="1516">
        <v>1910.38</v>
      </c>
      <c r="AC677" s="1798">
        <v>1910.38</v>
      </c>
      <c r="AD677" s="1798">
        <v>1910.38</v>
      </c>
      <c r="AE677" s="141"/>
      <c r="AF677" s="141"/>
      <c r="AG677" s="141"/>
      <c r="AH677"/>
      <c r="AI677" s="88" t="s">
        <v>180</v>
      </c>
      <c r="AJ677" s="51">
        <v>12</v>
      </c>
      <c r="AK677" s="51">
        <v>12</v>
      </c>
      <c r="AL677" s="51">
        <v>12</v>
      </c>
      <c r="AM677" s="51">
        <v>12</v>
      </c>
      <c r="AN677" s="51">
        <v>12</v>
      </c>
      <c r="AO677" s="1691">
        <v>12</v>
      </c>
      <c r="AP677" s="1691">
        <v>12</v>
      </c>
      <c r="AQ677" s="1691">
        <v>12</v>
      </c>
      <c r="AR677" s="141"/>
      <c r="AS677" s="141"/>
      <c r="AU677" s="88" t="s">
        <v>169</v>
      </c>
      <c r="AV677" s="1692">
        <v>0</v>
      </c>
      <c r="AW677" s="1692">
        <v>0</v>
      </c>
      <c r="AX677" s="1692">
        <v>0</v>
      </c>
      <c r="AY677" s="1692">
        <v>0</v>
      </c>
      <c r="AZ677" s="1692">
        <v>0</v>
      </c>
      <c r="BA677" s="1615">
        <v>0</v>
      </c>
      <c r="BB677" s="1615">
        <v>0</v>
      </c>
      <c r="BC677" s="1615">
        <v>0</v>
      </c>
      <c r="BD677" s="141"/>
      <c r="BE677" s="141"/>
      <c r="DG677" s="1585" t="e">
        <f>(DI677)/(DJ677)</f>
        <v>#DIV/0!</v>
      </c>
      <c r="DH677" s="2381" t="str">
        <f>CONCATENATE(G677," ",J677," Year EUL")</f>
        <v>Cooking BUS 12 Year EUL</v>
      </c>
      <c r="DI677" s="1586">
        <f>(INDEX('Avoided Cost Benefits'!$E$4:$E$859,MATCH(DH677,'Avoided Cost Benefits'!$A$4:$A$859,0)))*F677</f>
        <v>965.03732202826939</v>
      </c>
      <c r="DJ677" s="1587">
        <f>K677/(1.0595^(2020-2019))</f>
        <v>0</v>
      </c>
    </row>
    <row r="678" spans="2:114" hidden="1" outlineLevel="1" x14ac:dyDescent="0.35">
      <c r="E678" s="33"/>
      <c r="F678" s="33"/>
      <c r="G678" s="33"/>
      <c r="H678" s="1096"/>
      <c r="I678" s="33"/>
      <c r="J678" s="33"/>
    </row>
    <row r="679" spans="2:114" hidden="1" outlineLevel="1" x14ac:dyDescent="0.35">
      <c r="D679" s="33" t="s">
        <v>2528</v>
      </c>
      <c r="E679" s="132"/>
      <c r="F679" s="33"/>
      <c r="G679" s="33"/>
      <c r="H679" s="1096"/>
      <c r="I679" s="33"/>
      <c r="J679" s="33"/>
      <c r="K679" s="132"/>
    </row>
    <row r="680" spans="2:114" hidden="1" outlineLevel="1" x14ac:dyDescent="0.35">
      <c r="D680" s="1097"/>
      <c r="E680" s="132"/>
      <c r="F680" s="132"/>
      <c r="G680" s="725"/>
      <c r="H680" s="1098"/>
    </row>
    <row r="681" spans="2:114" hidden="1" outlineLevel="1" x14ac:dyDescent="0.35">
      <c r="D681" s="1097"/>
      <c r="G681" s="725"/>
      <c r="H681" s="1098"/>
      <c r="P681" s="4561"/>
      <c r="Q681" s="4561"/>
    </row>
    <row r="682" spans="2:114" hidden="1" outlineLevel="1" x14ac:dyDescent="0.35">
      <c r="D682" s="1097"/>
      <c r="G682" s="725"/>
      <c r="H682" s="1098"/>
      <c r="M682" s="33"/>
      <c r="P682" s="4561"/>
      <c r="Q682" s="4561"/>
    </row>
    <row r="683" spans="2:114" hidden="1" outlineLevel="1" x14ac:dyDescent="0.35">
      <c r="D683" s="1097"/>
      <c r="G683" s="725"/>
      <c r="H683" s="1098"/>
      <c r="M683" s="33"/>
      <c r="P683" s="4561"/>
      <c r="Q683" s="4561"/>
    </row>
    <row r="684" spans="2:114" hidden="1" outlineLevel="1" x14ac:dyDescent="0.35">
      <c r="D684" s="1097"/>
      <c r="G684" s="725"/>
      <c r="H684" s="1098"/>
      <c r="M684" s="33"/>
    </row>
    <row r="685" spans="2:114" hidden="1" outlineLevel="1" x14ac:dyDescent="0.35">
      <c r="D685" s="1097"/>
      <c r="G685" s="725"/>
      <c r="H685" s="1098"/>
    </row>
    <row r="686" spans="2:114" s="34" customFormat="1" ht="29" hidden="1" outlineLevel="1" x14ac:dyDescent="0.35">
      <c r="C686" s="132"/>
      <c r="D686" s="2327" t="s">
        <v>27</v>
      </c>
      <c r="E686" s="2327" t="s">
        <v>2597</v>
      </c>
      <c r="F686" s="68" t="s">
        <v>569</v>
      </c>
      <c r="G686" s="2327" t="s">
        <v>2937</v>
      </c>
      <c r="H686" s="2327" t="s">
        <v>2938</v>
      </c>
      <c r="I686" s="2327" t="s">
        <v>2939</v>
      </c>
      <c r="J686" s="2327" t="s">
        <v>2940</v>
      </c>
      <c r="K686" s="2327" t="s">
        <v>2909</v>
      </c>
      <c r="L686" s="2327" t="s">
        <v>2941</v>
      </c>
      <c r="M686" s="2327" t="s">
        <v>2925</v>
      </c>
      <c r="N686" s="2429" t="s">
        <v>2926</v>
      </c>
      <c r="O686" s="2429" t="s">
        <v>2927</v>
      </c>
      <c r="P686" s="2429" t="s">
        <v>2928</v>
      </c>
      <c r="Q686" s="2399" t="s">
        <v>2929</v>
      </c>
      <c r="R686" s="350"/>
      <c r="S686" s="350"/>
      <c r="T686" s="350"/>
      <c r="U686" s="350"/>
      <c r="DG686" s="59"/>
    </row>
    <row r="687" spans="2:114" hidden="1" outlineLevel="1" x14ac:dyDescent="0.35">
      <c r="D687" s="1593" t="str">
        <f>C677</f>
        <v>805350_2019_12_</v>
      </c>
      <c r="E687" s="1593" t="str">
        <f>E677</f>
        <v>Griddle</v>
      </c>
      <c r="F687" s="1145">
        <v>365.25</v>
      </c>
      <c r="G687" s="1152">
        <v>400</v>
      </c>
      <c r="H687" s="76">
        <v>320</v>
      </c>
      <c r="I687" s="76">
        <v>3</v>
      </c>
      <c r="J687" s="76">
        <v>2</v>
      </c>
      <c r="K687" s="76">
        <v>12</v>
      </c>
      <c r="L687" s="76">
        <v>100</v>
      </c>
      <c r="M687" s="1189">
        <v>35</v>
      </c>
      <c r="N687" s="1108">
        <v>40</v>
      </c>
      <c r="O687" s="823">
        <v>139</v>
      </c>
      <c r="P687" s="411">
        <v>0.65</v>
      </c>
      <c r="Q687" s="1109">
        <v>0.7</v>
      </c>
    </row>
    <row r="688" spans="2:114" collapsed="1" x14ac:dyDescent="0.35"/>
    <row r="690" spans="2:114" s="33" customFormat="1" x14ac:dyDescent="0.35">
      <c r="B690" s="4553" t="s">
        <v>2942</v>
      </c>
      <c r="C690" s="4554"/>
      <c r="D690" s="4554"/>
      <c r="E690" s="4554"/>
      <c r="F690" s="4554"/>
      <c r="G690" s="4554"/>
      <c r="H690" s="4554"/>
      <c r="I690" s="4555"/>
      <c r="J690" s="4555"/>
      <c r="K690" s="4555"/>
      <c r="L690" s="4555"/>
      <c r="M690" s="3680"/>
      <c r="N690" s="3680"/>
      <c r="O690" s="3681"/>
      <c r="V690" s="2325" t="str">
        <f>B690</f>
        <v>Kitchen Demand Ventilation Controls</v>
      </c>
      <c r="W690" s="2326"/>
      <c r="X690" s="2326"/>
      <c r="Y690" s="2326"/>
      <c r="Z690" s="2326"/>
      <c r="AA690" s="2326"/>
      <c r="AB690" s="2326"/>
      <c r="AC690" s="2326"/>
      <c r="AD690" s="2326"/>
      <c r="AE690" s="2326"/>
      <c r="AF690" s="2326"/>
      <c r="AG690" s="2326"/>
      <c r="AH690" s="2326"/>
      <c r="AI690" s="2384"/>
      <c r="AJ690" s="21"/>
      <c r="AK690" s="21"/>
      <c r="AL690" s="21"/>
      <c r="AM690" s="21"/>
      <c r="AN690" s="21"/>
      <c r="AO690" s="21"/>
      <c r="AP690" s="21"/>
      <c r="AQ690" s="21"/>
      <c r="AR690" s="21"/>
      <c r="AS690" s="21"/>
      <c r="AT690" s="21"/>
      <c r="AU690" s="21"/>
      <c r="DG690" s="60"/>
    </row>
    <row r="691" spans="2:114" x14ac:dyDescent="0.35">
      <c r="D691" s="1085"/>
      <c r="E691" s="33"/>
      <c r="F691" s="33"/>
      <c r="G691" s="33"/>
      <c r="H691" s="1086"/>
      <c r="I691" s="33"/>
      <c r="J691" s="33"/>
      <c r="K691" s="33"/>
      <c r="L691" s="33"/>
      <c r="P691" s="33"/>
      <c r="Q691" s="33"/>
      <c r="R691" s="33"/>
      <c r="S691" s="33"/>
      <c r="T691" s="33"/>
      <c r="U691" s="33"/>
      <c r="V691"/>
      <c r="W691"/>
      <c r="X691"/>
      <c r="Y691"/>
      <c r="Z691"/>
      <c r="AA691"/>
      <c r="AB691"/>
      <c r="AC691"/>
      <c r="AD691"/>
      <c r="AE691"/>
      <c r="AF691"/>
      <c r="AG691"/>
      <c r="AH691"/>
      <c r="AI691"/>
      <c r="AJ691" s="31"/>
      <c r="AK691" s="31"/>
      <c r="AL691" s="31"/>
      <c r="AM691" s="31"/>
      <c r="AN691" s="31"/>
      <c r="AO691" s="31"/>
      <c r="AP691" s="31"/>
      <c r="AQ691" s="31"/>
      <c r="AR691" s="31"/>
      <c r="AS691" s="31"/>
      <c r="AT691" s="31"/>
      <c r="AU691" s="31"/>
    </row>
    <row r="692" spans="2:114" s="34" customFormat="1" ht="29" x14ac:dyDescent="0.35">
      <c r="B692" s="31"/>
      <c r="C692" s="35" t="s">
        <v>27</v>
      </c>
      <c r="D692" s="35" t="s">
        <v>28</v>
      </c>
      <c r="E692" s="2399" t="s">
        <v>29</v>
      </c>
      <c r="F692" s="2399" t="s">
        <v>2671</v>
      </c>
      <c r="G692" s="2399" t="s">
        <v>175</v>
      </c>
      <c r="H692" s="36" t="s">
        <v>176</v>
      </c>
      <c r="I692" s="2399" t="s">
        <v>31</v>
      </c>
      <c r="J692" s="2399" t="s">
        <v>180</v>
      </c>
      <c r="K692" s="35" t="s">
        <v>2943</v>
      </c>
      <c r="L692" s="35" t="s">
        <v>43</v>
      </c>
      <c r="M692" s="725"/>
      <c r="N692" s="725"/>
      <c r="O692" s="725"/>
      <c r="P692" s="350"/>
      <c r="Q692" s="350"/>
      <c r="R692" s="350"/>
      <c r="S692" s="350"/>
      <c r="T692" s="350"/>
      <c r="U692" s="350"/>
      <c r="V692" s="1572" t="s">
        <v>44</v>
      </c>
      <c r="W692" s="1573">
        <f>$W$8</f>
        <v>43252</v>
      </c>
      <c r="X692" s="1573">
        <f>$X$8</f>
        <v>43465</v>
      </c>
      <c r="Y692" s="1573">
        <f>$Y$8</f>
        <v>43800</v>
      </c>
      <c r="Z692" s="1573">
        <f>$Z$8</f>
        <v>43862</v>
      </c>
      <c r="AA692" s="1573">
        <f>$AA$8</f>
        <v>44013</v>
      </c>
      <c r="AB692" s="1573">
        <v>44166</v>
      </c>
      <c r="AC692" s="1573">
        <f>$AC$8</f>
        <v>44531</v>
      </c>
      <c r="AD692" s="1573">
        <f>$AD$8</f>
        <v>44774</v>
      </c>
      <c r="AE692" s="1573" t="str">
        <f>$AE$8</f>
        <v>-</v>
      </c>
      <c r="AF692" s="1573" t="str">
        <f>$AF$8</f>
        <v>-</v>
      </c>
      <c r="AG692" s="1573" t="str">
        <f>$AG$8</f>
        <v>-</v>
      </c>
      <c r="AH692"/>
      <c r="AI692" s="1572" t="s">
        <v>44</v>
      </c>
      <c r="AJ692" s="1573">
        <v>43252</v>
      </c>
      <c r="AK692" s="1573">
        <f>$X$8</f>
        <v>43465</v>
      </c>
      <c r="AL692" s="1573">
        <f>$Y$8</f>
        <v>43800</v>
      </c>
      <c r="AM692" s="1573">
        <f>$Z$8</f>
        <v>43862</v>
      </c>
      <c r="AN692" s="1573">
        <f>$AA$8</f>
        <v>44013</v>
      </c>
      <c r="AO692" s="1573">
        <f>$AB$8</f>
        <v>44166</v>
      </c>
      <c r="AP692" s="1573">
        <f>$AC$8</f>
        <v>44531</v>
      </c>
      <c r="AQ692" s="1573">
        <f>$AD$8</f>
        <v>44774</v>
      </c>
      <c r="AR692" s="1573" t="str">
        <f>$AE$8</f>
        <v>-</v>
      </c>
      <c r="AS692" s="1573" t="str">
        <f>$AF$8</f>
        <v>-</v>
      </c>
      <c r="AT692" s="21"/>
      <c r="AU692" s="1572" t="s">
        <v>44</v>
      </c>
      <c r="AV692" s="1573">
        <v>43252</v>
      </c>
      <c r="AW692" s="1573">
        <f>$X$8</f>
        <v>43465</v>
      </c>
      <c r="AX692" s="1573">
        <f>$Y$8</f>
        <v>43800</v>
      </c>
      <c r="AY692" s="1573">
        <f>$Z$8</f>
        <v>43862</v>
      </c>
      <c r="AZ692" s="1573">
        <f>$AA$8</f>
        <v>44013</v>
      </c>
      <c r="BA692" s="1573">
        <v>44166</v>
      </c>
      <c r="BB692" s="1573">
        <f>$AC$8</f>
        <v>44531</v>
      </c>
      <c r="BC692" s="1573">
        <f>$AD$8</f>
        <v>44774</v>
      </c>
      <c r="BD692" s="1573" t="str">
        <f>$AE$8</f>
        <v>-</v>
      </c>
      <c r="BE692" s="1573" t="str">
        <f>$AF$8</f>
        <v>-</v>
      </c>
      <c r="DG692" s="1574" t="str">
        <f>$DG$8</f>
        <v>TRC (2022)</v>
      </c>
      <c r="DH692" s="1584" t="str">
        <f>$DH$8</f>
        <v>Benefit Lookup</v>
      </c>
      <c r="DI692" s="1584" t="str">
        <f>$DI$8</f>
        <v>Benefits (2019 $)</v>
      </c>
      <c r="DJ692" s="1584" t="str">
        <f>$DJ$8</f>
        <v>Incremental Cost (2019 $)</v>
      </c>
    </row>
    <row r="693" spans="2:114" x14ac:dyDescent="0.35">
      <c r="C693" s="1614" t="s">
        <v>2944</v>
      </c>
      <c r="D693" s="1610" t="s">
        <v>2485</v>
      </c>
      <c r="E693" s="1611" t="s">
        <v>2945</v>
      </c>
      <c r="F693" s="965">
        <f>ROUND(F704*G704,2)</f>
        <v>4197</v>
      </c>
      <c r="G693" s="1087" t="s">
        <v>2683</v>
      </c>
      <c r="H693" s="1088">
        <f>VLOOKUP(G693,'CP FACTORS'!$A$26:$B$38,2,FALSE)</f>
        <v>1.998949E-4</v>
      </c>
      <c r="I693" s="1612">
        <f>F693*H693</f>
        <v>0.83895889530000001</v>
      </c>
      <c r="J693" s="289">
        <v>15</v>
      </c>
      <c r="K693" s="1107">
        <v>1991</v>
      </c>
      <c r="L693" s="1164" t="s">
        <v>2889</v>
      </c>
      <c r="V693" s="2419" t="s">
        <v>30</v>
      </c>
      <c r="W693" s="112"/>
      <c r="X693" s="112"/>
      <c r="Y693" s="112"/>
      <c r="Z693" s="112"/>
      <c r="AA693" s="122">
        <v>4486</v>
      </c>
      <c r="AB693" s="1516">
        <v>4197</v>
      </c>
      <c r="AC693" s="1798">
        <v>4197</v>
      </c>
      <c r="AD693" s="1798">
        <v>4197</v>
      </c>
      <c r="AE693" s="141"/>
      <c r="AF693" s="141"/>
      <c r="AG693" s="141"/>
      <c r="AH693"/>
      <c r="AI693" s="2419" t="s">
        <v>180</v>
      </c>
      <c r="AJ693" s="1576"/>
      <c r="AK693" s="1576"/>
      <c r="AL693" s="1576"/>
      <c r="AM693" s="141"/>
      <c r="AN693" s="1589">
        <v>15</v>
      </c>
      <c r="AO693" s="1691">
        <v>15</v>
      </c>
      <c r="AP693" s="1691">
        <v>15</v>
      </c>
      <c r="AQ693" s="1691">
        <v>15</v>
      </c>
      <c r="AR693" s="141"/>
      <c r="AS693" s="141"/>
      <c r="AU693" s="2419" t="s">
        <v>169</v>
      </c>
      <c r="AV693" s="1577"/>
      <c r="AW693" s="1577"/>
      <c r="AX693" s="1577"/>
      <c r="AY693" s="1577"/>
      <c r="AZ693" s="86">
        <v>1991</v>
      </c>
      <c r="BA693" s="1615">
        <v>1991</v>
      </c>
      <c r="BB693" s="1615">
        <v>1991</v>
      </c>
      <c r="BC693" s="1615">
        <v>1991</v>
      </c>
      <c r="BD693" s="1577"/>
      <c r="BE693" s="1577"/>
      <c r="DG693" s="1585">
        <f>(DI693)/(DJ693)</f>
        <v>1.3650432164307413</v>
      </c>
      <c r="DH693" s="2381" t="str">
        <f>CONCATENATE(G693," ",J693," Year EUL")</f>
        <v>Cooking BUS 15 Year EUL</v>
      </c>
      <c r="DI693" s="1586">
        <f>(INDEX('Avoided Cost Benefits'!$E$4:$E$859,MATCH(DH693,'Avoided Cost Benefits'!$A$4:$A$859,0)))*F693</f>
        <v>2565.1732363507372</v>
      </c>
      <c r="DJ693" s="1587">
        <f>K693/(1.0595^(2020-2019))</f>
        <v>1879.1882963662104</v>
      </c>
    </row>
    <row r="694" spans="2:114" x14ac:dyDescent="0.35">
      <c r="C694" s="1614" t="s">
        <v>2946</v>
      </c>
      <c r="D694" s="1106" t="s">
        <v>2485</v>
      </c>
      <c r="E694" s="1105" t="s">
        <v>2947</v>
      </c>
      <c r="F694" s="965">
        <f>ROUND(F705*G705,2)</f>
        <v>4197</v>
      </c>
      <c r="G694" s="1087" t="s">
        <v>2683</v>
      </c>
      <c r="H694" s="1088">
        <f>VLOOKUP(G694,'CP FACTORS'!$A$26:$B$38,2,FALSE)</f>
        <v>1.998949E-4</v>
      </c>
      <c r="I694" s="1612">
        <f>F694*H694</f>
        <v>0.83895889530000001</v>
      </c>
      <c r="J694" s="289">
        <v>15</v>
      </c>
      <c r="K694" s="1107">
        <v>1991</v>
      </c>
      <c r="L694" s="1164" t="s">
        <v>2889</v>
      </c>
      <c r="V694" s="2419" t="str">
        <f>V693</f>
        <v>kWh Annual Savings</v>
      </c>
      <c r="W694" s="112"/>
      <c r="X694" s="112"/>
      <c r="Y694" s="112"/>
      <c r="Z694" s="141"/>
      <c r="AA694" s="122">
        <v>4486</v>
      </c>
      <c r="AB694" s="1516">
        <v>4197</v>
      </c>
      <c r="AC694" s="1798">
        <v>4197</v>
      </c>
      <c r="AD694" s="1798">
        <v>4197</v>
      </c>
      <c r="AE694" s="141"/>
      <c r="AF694" s="141"/>
      <c r="AG694" s="141"/>
      <c r="AH694"/>
      <c r="AI694" s="2419" t="s">
        <v>180</v>
      </c>
      <c r="AJ694" s="1576"/>
      <c r="AK694" s="1576"/>
      <c r="AL694" s="1576"/>
      <c r="AM694" s="141"/>
      <c r="AN694" s="1589">
        <v>15</v>
      </c>
      <c r="AO694" s="1691">
        <v>15</v>
      </c>
      <c r="AP694" s="1691">
        <v>15</v>
      </c>
      <c r="AQ694" s="1691">
        <v>15</v>
      </c>
      <c r="AR694" s="141"/>
      <c r="AS694" s="141"/>
      <c r="AU694" s="2419" t="s">
        <v>169</v>
      </c>
      <c r="AV694" s="1577"/>
      <c r="AW694" s="1577"/>
      <c r="AX694" s="1577"/>
      <c r="AY694" s="1577"/>
      <c r="AZ694" s="86">
        <v>1991</v>
      </c>
      <c r="BA694" s="1615">
        <v>1991</v>
      </c>
      <c r="BB694" s="1615">
        <v>1991</v>
      </c>
      <c r="BC694" s="1615">
        <v>1991</v>
      </c>
      <c r="BD694" s="1577"/>
      <c r="BE694" s="1577"/>
      <c r="DG694" s="1585">
        <f>(DI694)/(DJ694)</f>
        <v>1.3650432164307413</v>
      </c>
      <c r="DH694" s="2381" t="str">
        <f>CONCATENATE(G694," ",J694," Year EUL")</f>
        <v>Cooking BUS 15 Year EUL</v>
      </c>
      <c r="DI694" s="1586">
        <f>(INDEX('Avoided Cost Benefits'!$E$4:$E$859,MATCH(DH694,'Avoided Cost Benefits'!$A$4:$A$859,0)))*F694</f>
        <v>2565.1732363507372</v>
      </c>
      <c r="DJ694" s="1587">
        <f>K694/(1.0595^(2020-2019))</f>
        <v>1879.1882963662104</v>
      </c>
    </row>
    <row r="695" spans="2:114" hidden="1" outlineLevel="1" x14ac:dyDescent="0.35">
      <c r="E695" s="33"/>
      <c r="F695" s="33"/>
      <c r="G695" s="33"/>
      <c r="H695" s="1096"/>
      <c r="I695" s="33"/>
      <c r="J695" s="33"/>
    </row>
    <row r="696" spans="2:114" hidden="1" outlineLevel="1" x14ac:dyDescent="0.35">
      <c r="D696" s="33" t="s">
        <v>2528</v>
      </c>
      <c r="E696" s="132"/>
      <c r="F696" s="33"/>
      <c r="G696" s="33"/>
      <c r="H696" s="1096"/>
      <c r="I696" s="33"/>
      <c r="J696" s="33"/>
      <c r="K696" s="132"/>
    </row>
    <row r="697" spans="2:114" hidden="1" outlineLevel="1" x14ac:dyDescent="0.35">
      <c r="D697" s="1097"/>
      <c r="E697" s="132"/>
      <c r="F697" s="132"/>
      <c r="G697" s="725"/>
      <c r="H697" s="1098"/>
    </row>
    <row r="698" spans="2:114" hidden="1" outlineLevel="1" x14ac:dyDescent="0.35">
      <c r="D698" s="1097"/>
      <c r="G698" s="725"/>
      <c r="H698" s="1098"/>
      <c r="P698" s="4561"/>
      <c r="Q698" s="4561"/>
    </row>
    <row r="699" spans="2:114" hidden="1" outlineLevel="1" x14ac:dyDescent="0.35">
      <c r="D699" s="1097"/>
      <c r="G699" s="725"/>
      <c r="H699" s="1098"/>
      <c r="M699" s="33"/>
      <c r="P699" s="4561"/>
      <c r="Q699" s="4561"/>
    </row>
    <row r="700" spans="2:114" hidden="1" outlineLevel="1" x14ac:dyDescent="0.35">
      <c r="D700" s="1097"/>
      <c r="G700" s="725"/>
      <c r="H700" s="1098"/>
      <c r="M700" s="33"/>
      <c r="P700" s="4561"/>
      <c r="Q700" s="4561"/>
    </row>
    <row r="701" spans="2:114" hidden="1" outlineLevel="1" x14ac:dyDescent="0.35">
      <c r="D701" s="1097"/>
      <c r="G701" s="725"/>
      <c r="H701" s="1098"/>
      <c r="M701" s="33"/>
    </row>
    <row r="702" spans="2:114" hidden="1" outlineLevel="1" x14ac:dyDescent="0.35">
      <c r="D702" s="1097"/>
      <c r="G702" s="725"/>
      <c r="H702" s="1098"/>
    </row>
    <row r="703" spans="2:114" s="34" customFormat="1" hidden="1" outlineLevel="1" x14ac:dyDescent="0.35">
      <c r="C703" s="132"/>
      <c r="D703" s="2327" t="s">
        <v>27</v>
      </c>
      <c r="E703" s="2327" t="s">
        <v>2597</v>
      </c>
      <c r="F703" s="68" t="s">
        <v>2948</v>
      </c>
      <c r="G703" s="2327" t="s">
        <v>2757</v>
      </c>
      <c r="H703" s="1098"/>
      <c r="I703" s="725"/>
      <c r="L703" s="350"/>
      <c r="M703" s="350"/>
      <c r="N703" s="350"/>
      <c r="O703" s="350"/>
      <c r="P703" s="350"/>
      <c r="Q703" s="350"/>
      <c r="R703" s="350"/>
      <c r="S703" s="350"/>
      <c r="T703" s="350"/>
      <c r="U703" s="350"/>
      <c r="DG703" s="59"/>
    </row>
    <row r="704" spans="2:114" hidden="1" outlineLevel="1" x14ac:dyDescent="0.35">
      <c r="D704" s="1593" t="str">
        <f>C693</f>
        <v>805405_2020_07_</v>
      </c>
      <c r="E704" s="1593" t="str">
        <f>E693</f>
        <v>Kitchen Demand Ventilation Controls, Retrofit</v>
      </c>
      <c r="F704" s="1613">
        <v>4197</v>
      </c>
      <c r="G704" s="1152">
        <v>1</v>
      </c>
      <c r="H704" s="1098"/>
      <c r="J704" s="21"/>
      <c r="K704" s="21"/>
    </row>
    <row r="705" spans="2:114" hidden="1" outlineLevel="1" x14ac:dyDescent="0.35">
      <c r="D705" s="1593" t="str">
        <f>C694</f>
        <v>805410_2020_07_</v>
      </c>
      <c r="E705" s="1593" t="str">
        <f>E694</f>
        <v>Kitchen Demand Ventilation Controls, New</v>
      </c>
      <c r="F705" s="1613">
        <v>4197</v>
      </c>
      <c r="G705" s="1152">
        <v>1</v>
      </c>
      <c r="H705" s="1098"/>
      <c r="J705" s="21"/>
      <c r="K705" s="21"/>
    </row>
    <row r="706" spans="2:114" collapsed="1" x14ac:dyDescent="0.35"/>
    <row r="708" spans="2:114" s="33" customFormat="1" x14ac:dyDescent="0.35">
      <c r="B708" s="4553" t="s">
        <v>2949</v>
      </c>
      <c r="C708" s="4554"/>
      <c r="D708" s="4554"/>
      <c r="E708" s="4554"/>
      <c r="F708" s="4554"/>
      <c r="G708" s="4554"/>
      <c r="H708" s="4554"/>
      <c r="I708" s="4555"/>
      <c r="J708" s="4555"/>
      <c r="K708" s="4555"/>
      <c r="L708" s="4555"/>
      <c r="M708" s="3680"/>
      <c r="N708" s="3680"/>
      <c r="O708" s="3681"/>
      <c r="V708" s="2325" t="str">
        <f>B708</f>
        <v>Pre-Rinse Spray Valve</v>
      </c>
      <c r="W708" s="2326"/>
      <c r="X708" s="2326"/>
      <c r="Y708" s="2326"/>
      <c r="Z708" s="2326"/>
      <c r="AA708" s="2326"/>
      <c r="AB708" s="2326"/>
      <c r="AC708" s="2326"/>
      <c r="AD708" s="2326"/>
      <c r="AE708" s="2326"/>
      <c r="AF708" s="2326"/>
      <c r="AG708" s="2326"/>
      <c r="AH708" s="2326"/>
      <c r="AI708" s="2384"/>
      <c r="AJ708" s="21"/>
      <c r="AK708" s="21"/>
      <c r="AL708" s="21"/>
      <c r="AM708" s="21"/>
      <c r="AN708" s="21"/>
      <c r="AO708" s="21"/>
      <c r="AP708" s="21"/>
      <c r="AQ708" s="21"/>
      <c r="AR708" s="21"/>
      <c r="AS708" s="21"/>
      <c r="AT708" s="21"/>
      <c r="AU708" s="21"/>
      <c r="DG708" s="60"/>
    </row>
    <row r="709" spans="2:114" x14ac:dyDescent="0.35">
      <c r="D709" s="1085"/>
      <c r="E709" s="33"/>
      <c r="F709" s="33"/>
      <c r="G709" s="33"/>
      <c r="H709" s="1086"/>
      <c r="I709" s="33"/>
      <c r="J709" s="33"/>
      <c r="K709" s="33"/>
      <c r="L709" s="33"/>
      <c r="P709" s="33"/>
      <c r="Q709" s="33"/>
      <c r="R709" s="33"/>
      <c r="S709" s="33"/>
      <c r="T709" s="33"/>
      <c r="U709" s="33"/>
      <c r="V709"/>
      <c r="W709"/>
      <c r="X709"/>
      <c r="Y709"/>
      <c r="Z709"/>
      <c r="AA709"/>
      <c r="AB709"/>
      <c r="AC709"/>
      <c r="AD709"/>
      <c r="AE709"/>
      <c r="AF709"/>
      <c r="AG709"/>
      <c r="AH709"/>
      <c r="AI709"/>
      <c r="AJ709" s="31"/>
      <c r="AK709" s="31"/>
      <c r="AL709" s="31"/>
      <c r="AM709" s="31"/>
      <c r="AN709" s="31"/>
      <c r="AO709" s="31"/>
      <c r="AP709" s="31"/>
      <c r="AQ709" s="31"/>
      <c r="AR709" s="31"/>
      <c r="AS709" s="31"/>
      <c r="AT709" s="31"/>
      <c r="AU709" s="31"/>
    </row>
    <row r="710" spans="2:114" s="34" customFormat="1" x14ac:dyDescent="0.35">
      <c r="B710" s="31"/>
      <c r="C710" s="35" t="s">
        <v>27</v>
      </c>
      <c r="D710" s="35" t="s">
        <v>28</v>
      </c>
      <c r="E710" s="2399" t="s">
        <v>29</v>
      </c>
      <c r="F710" s="2399" t="s">
        <v>2950</v>
      </c>
      <c r="G710" s="2399" t="s">
        <v>175</v>
      </c>
      <c r="H710" s="36" t="s">
        <v>176</v>
      </c>
      <c r="I710" s="2399" t="s">
        <v>31</v>
      </c>
      <c r="J710" s="2399" t="s">
        <v>180</v>
      </c>
      <c r="K710" s="35" t="s">
        <v>169</v>
      </c>
      <c r="L710" s="35" t="s">
        <v>43</v>
      </c>
      <c r="M710" s="725"/>
      <c r="N710" s="725"/>
      <c r="O710" s="725"/>
      <c r="P710" s="350"/>
      <c r="Q710" s="350"/>
      <c r="R710" s="350"/>
      <c r="S710" s="350"/>
      <c r="T710" s="350"/>
      <c r="U710" s="350"/>
      <c r="V710" s="1572" t="s">
        <v>44</v>
      </c>
      <c r="W710" s="1573">
        <f>$W$8</f>
        <v>43252</v>
      </c>
      <c r="X710" s="1573">
        <f>$X$8</f>
        <v>43465</v>
      </c>
      <c r="Y710" s="1573">
        <f>$Y$8</f>
        <v>43800</v>
      </c>
      <c r="Z710" s="1573">
        <f>$Z$8</f>
        <v>43862</v>
      </c>
      <c r="AA710" s="1573">
        <f>$AA$8</f>
        <v>44013</v>
      </c>
      <c r="AB710" s="1573">
        <v>44166</v>
      </c>
      <c r="AC710" s="1573">
        <f>$AC$8</f>
        <v>44531</v>
      </c>
      <c r="AD710" s="1573">
        <f>$AD$8</f>
        <v>44774</v>
      </c>
      <c r="AE710" s="1573" t="str">
        <f>$AE$8</f>
        <v>-</v>
      </c>
      <c r="AF710" s="1573" t="str">
        <f>$AF$8</f>
        <v>-</v>
      </c>
      <c r="AG710" s="1573" t="str">
        <f>$AG$8</f>
        <v>-</v>
      </c>
      <c r="AH710"/>
      <c r="AI710" s="1572" t="s">
        <v>44</v>
      </c>
      <c r="AJ710" s="1573">
        <v>43252</v>
      </c>
      <c r="AK710" s="1573">
        <f>$X$8</f>
        <v>43465</v>
      </c>
      <c r="AL710" s="1573">
        <f>$Y$8</f>
        <v>43800</v>
      </c>
      <c r="AM710" s="1573">
        <f>$Z$8</f>
        <v>43862</v>
      </c>
      <c r="AN710" s="1573">
        <f>$AA$8</f>
        <v>44013</v>
      </c>
      <c r="AO710" s="1573">
        <f>$AB$8</f>
        <v>44166</v>
      </c>
      <c r="AP710" s="1573">
        <f>$AC$8</f>
        <v>44531</v>
      </c>
      <c r="AQ710" s="1573">
        <f>$AD$8</f>
        <v>44774</v>
      </c>
      <c r="AR710" s="1573" t="str">
        <f>$AE$8</f>
        <v>-</v>
      </c>
      <c r="AS710" s="1573" t="str">
        <f>$AF$8</f>
        <v>-</v>
      </c>
      <c r="AT710" s="21"/>
      <c r="AU710" s="1572" t="s">
        <v>44</v>
      </c>
      <c r="AV710" s="1573">
        <v>43252</v>
      </c>
      <c r="AW710" s="1573">
        <f>$X$8</f>
        <v>43465</v>
      </c>
      <c r="AX710" s="1573">
        <f>$Y$8</f>
        <v>43800</v>
      </c>
      <c r="AY710" s="1573">
        <f>$Z$8</f>
        <v>43862</v>
      </c>
      <c r="AZ710" s="1573">
        <f>$AA$8</f>
        <v>44013</v>
      </c>
      <c r="BA710" s="1573">
        <v>44166</v>
      </c>
      <c r="BB710" s="1573">
        <f>$AC$8</f>
        <v>44531</v>
      </c>
      <c r="BC710" s="1573">
        <f>$AD$8</f>
        <v>44774</v>
      </c>
      <c r="BD710" s="1573" t="str">
        <f>$AE$8</f>
        <v>-</v>
      </c>
      <c r="BE710" s="1573" t="str">
        <f>$AF$8</f>
        <v>-</v>
      </c>
      <c r="DG710" s="1574" t="str">
        <f>$DG$8</f>
        <v>TRC (2022)</v>
      </c>
      <c r="DH710" s="1584" t="str">
        <f>$DH$8</f>
        <v>Benefit Lookup</v>
      </c>
      <c r="DI710" s="1584" t="str">
        <f>$DI$8</f>
        <v>Benefits (2019 $)</v>
      </c>
      <c r="DJ710" s="1584" t="str">
        <f>$DJ$8</f>
        <v>Incremental Cost (2019 $)</v>
      </c>
    </row>
    <row r="711" spans="2:114" x14ac:dyDescent="0.35">
      <c r="C711" s="1614" t="s">
        <v>2951</v>
      </c>
      <c r="D711" s="1106" t="s">
        <v>2485</v>
      </c>
      <c r="E711" s="1105" t="s">
        <v>2949</v>
      </c>
      <c r="F711" s="965">
        <f>ROUND(F721*8.33*1*(K721-L721)*((1/M721)/3413),2)</f>
        <v>5786.53</v>
      </c>
      <c r="G711" s="1087" t="s">
        <v>2683</v>
      </c>
      <c r="H711" s="1088">
        <f>VLOOKUP(G711,'CP FACTORS'!$A$26:$B$38,2,FALSE)</f>
        <v>1.998949E-4</v>
      </c>
      <c r="I711" s="1106">
        <f>ROUND(H711*F711,6)</f>
        <v>1.156698</v>
      </c>
      <c r="J711" s="289">
        <v>5</v>
      </c>
      <c r="K711" s="1123">
        <v>92.9</v>
      </c>
      <c r="L711" s="1164" t="s">
        <v>184</v>
      </c>
      <c r="V711" s="88" t="s">
        <v>30</v>
      </c>
      <c r="W711" s="66">
        <v>5786.527002576564</v>
      </c>
      <c r="X711" s="66">
        <v>5786.527002576564</v>
      </c>
      <c r="Y711" s="66">
        <v>5786.527002576564</v>
      </c>
      <c r="Z711" s="66">
        <v>5786.527002576564</v>
      </c>
      <c r="AA711" s="66">
        <v>5786.527002576564</v>
      </c>
      <c r="AB711" s="1516">
        <v>5786.53</v>
      </c>
      <c r="AC711" s="1798">
        <v>5786.53</v>
      </c>
      <c r="AD711" s="1798">
        <v>5786.53</v>
      </c>
      <c r="AE711" s="141"/>
      <c r="AF711" s="141"/>
      <c r="AG711" s="141"/>
      <c r="AH711"/>
      <c r="AI711" s="88" t="s">
        <v>180</v>
      </c>
      <c r="AJ711" s="51">
        <v>5</v>
      </c>
      <c r="AK711" s="51">
        <v>5</v>
      </c>
      <c r="AL711" s="51">
        <v>5</v>
      </c>
      <c r="AM711" s="51">
        <v>5</v>
      </c>
      <c r="AN711" s="51">
        <v>5</v>
      </c>
      <c r="AO711" s="1691">
        <v>5</v>
      </c>
      <c r="AP711" s="1691">
        <v>5</v>
      </c>
      <c r="AQ711" s="1691">
        <v>5</v>
      </c>
      <c r="AR711" s="141"/>
      <c r="AS711" s="141"/>
      <c r="AU711" s="88" t="s">
        <v>169</v>
      </c>
      <c r="AV711" s="1692">
        <v>92.9</v>
      </c>
      <c r="AW711" s="1692">
        <v>92.9</v>
      </c>
      <c r="AX711" s="1692">
        <v>92.9</v>
      </c>
      <c r="AY711" s="1692">
        <v>92.9</v>
      </c>
      <c r="AZ711" s="1692">
        <v>92.9</v>
      </c>
      <c r="BA711" s="1615">
        <v>92.9</v>
      </c>
      <c r="BB711" s="1615">
        <v>92.9</v>
      </c>
      <c r="BC711" s="1615">
        <v>92.9</v>
      </c>
      <c r="BD711" s="141"/>
      <c r="BE711" s="141"/>
      <c r="DG711" s="1585">
        <f>(DI711)/(DJ711)</f>
        <v>14.124931095538681</v>
      </c>
      <c r="DH711" s="2381" t="str">
        <f>CONCATENATE(G711," ",J711," Year EUL")</f>
        <v>Cooking BUS 5 Year EUL</v>
      </c>
      <c r="DI711" s="1586">
        <f>(INDEX('Avoided Cost Benefits'!$E$4:$E$859,MATCH(DH711,'Avoided Cost Benefits'!$A$4:$A$859,0)))*F711</f>
        <v>1238.5144868103289</v>
      </c>
      <c r="DJ711" s="1587">
        <f>K711/(1.0595^(2020-2019))</f>
        <v>87.682869277961302</v>
      </c>
    </row>
    <row r="712" spans="2:114" hidden="1" outlineLevel="1" x14ac:dyDescent="0.35">
      <c r="E712" s="33"/>
      <c r="F712" s="33"/>
      <c r="G712" s="33"/>
      <c r="H712" s="1096"/>
      <c r="I712" s="33"/>
      <c r="J712" s="33"/>
      <c r="K712" s="33"/>
    </row>
    <row r="713" spans="2:114" hidden="1" outlineLevel="1" x14ac:dyDescent="0.35">
      <c r="D713" s="33" t="s">
        <v>2528</v>
      </c>
      <c r="E713" s="132"/>
      <c r="F713" s="33"/>
      <c r="G713" s="33"/>
      <c r="H713" s="1096"/>
      <c r="I713" s="33"/>
      <c r="J713" s="33"/>
      <c r="K713" s="132"/>
    </row>
    <row r="714" spans="2:114" hidden="1" outlineLevel="1" x14ac:dyDescent="0.35">
      <c r="D714" s="1097"/>
      <c r="E714" s="132"/>
      <c r="F714" s="132"/>
      <c r="G714" s="725"/>
      <c r="H714" s="1098"/>
    </row>
    <row r="715" spans="2:114" ht="15" hidden="1" customHeight="1" outlineLevel="1" x14ac:dyDescent="0.5">
      <c r="D715" s="1097"/>
      <c r="G715" s="725"/>
      <c r="H715" s="1098"/>
      <c r="P715" s="2477"/>
      <c r="Q715" s="2477"/>
    </row>
    <row r="716" spans="2:114" ht="15" hidden="1" customHeight="1" outlineLevel="1" x14ac:dyDescent="0.5">
      <c r="D716" s="1097"/>
      <c r="G716" s="725"/>
      <c r="H716" s="1098"/>
      <c r="M716" s="33"/>
      <c r="P716" s="2477"/>
      <c r="Q716" s="2477"/>
    </row>
    <row r="717" spans="2:114" ht="15" hidden="1" customHeight="1" outlineLevel="1" x14ac:dyDescent="0.5">
      <c r="D717" s="1097"/>
      <c r="G717" s="725"/>
      <c r="H717" s="1098"/>
      <c r="M717" s="33"/>
      <c r="P717" s="2477"/>
      <c r="Q717" s="2477"/>
    </row>
    <row r="718" spans="2:114" hidden="1" outlineLevel="1" x14ac:dyDescent="0.35">
      <c r="D718" s="1097"/>
      <c r="G718" s="725"/>
      <c r="H718" s="1098"/>
      <c r="M718" s="33"/>
    </row>
    <row r="719" spans="2:114" hidden="1" outlineLevel="1" x14ac:dyDescent="0.35">
      <c r="D719" s="1097"/>
      <c r="G719" s="725"/>
      <c r="H719" s="1098"/>
    </row>
    <row r="720" spans="2:114" s="34" customFormat="1" hidden="1" outlineLevel="1" x14ac:dyDescent="0.35">
      <c r="C720" s="132"/>
      <c r="D720" s="2327" t="s">
        <v>27</v>
      </c>
      <c r="E720" s="2327" t="s">
        <v>2597</v>
      </c>
      <c r="F720" s="68" t="s">
        <v>2952</v>
      </c>
      <c r="G720" s="2327" t="s">
        <v>2953</v>
      </c>
      <c r="H720" s="2327" t="s">
        <v>2954</v>
      </c>
      <c r="I720" s="2327" t="s">
        <v>2955</v>
      </c>
      <c r="J720" s="2327" t="s">
        <v>2956</v>
      </c>
      <c r="K720" s="2327" t="s">
        <v>2651</v>
      </c>
      <c r="L720" s="2327" t="s">
        <v>2957</v>
      </c>
      <c r="M720" s="2327" t="s">
        <v>2958</v>
      </c>
      <c r="N720" s="350"/>
      <c r="O720" s="350"/>
      <c r="P720" s="350"/>
      <c r="Q720" s="350"/>
      <c r="R720" s="350"/>
      <c r="S720" s="350"/>
      <c r="T720" s="350"/>
      <c r="U720" s="350"/>
      <c r="DG720" s="59"/>
    </row>
    <row r="721" spans="2:114" hidden="1" outlineLevel="1" x14ac:dyDescent="0.35">
      <c r="D721" s="1593" t="str">
        <f>C711</f>
        <v>805450_2019_12_</v>
      </c>
      <c r="E721" s="1593" t="str">
        <f>E711</f>
        <v>Pre-Rinse Spray Valve</v>
      </c>
      <c r="F721" s="1142">
        <f>(G721-H721)*60*I721*J721</f>
        <v>32853.599999999991</v>
      </c>
      <c r="G721" s="1594">
        <v>2.23</v>
      </c>
      <c r="H721" s="1201">
        <v>1.06</v>
      </c>
      <c r="I721" s="1201">
        <v>1.5</v>
      </c>
      <c r="J721" s="1201">
        <v>312</v>
      </c>
      <c r="K721" s="1201">
        <f>L721+70</f>
        <v>127.9</v>
      </c>
      <c r="L721" s="1201">
        <v>57.9</v>
      </c>
      <c r="M721" s="1166">
        <v>0.97</v>
      </c>
    </row>
    <row r="722" spans="2:114" collapsed="1" x14ac:dyDescent="0.35"/>
    <row r="724" spans="2:114" s="33" customFormat="1" x14ac:dyDescent="0.35">
      <c r="B724" s="4553" t="s">
        <v>2959</v>
      </c>
      <c r="C724" s="4554"/>
      <c r="D724" s="4554"/>
      <c r="E724" s="4554"/>
      <c r="F724" s="4554"/>
      <c r="G724" s="4554"/>
      <c r="H724" s="4554"/>
      <c r="I724" s="4555"/>
      <c r="J724" s="4555"/>
      <c r="K724" s="4555"/>
      <c r="L724" s="4555"/>
      <c r="M724" s="3680"/>
      <c r="N724" s="3680"/>
      <c r="O724" s="3681"/>
      <c r="V724" s="2325" t="str">
        <f>B724</f>
        <v>Low Flow Faucet Aerator</v>
      </c>
      <c r="W724" s="2326"/>
      <c r="X724" s="2326"/>
      <c r="Y724" s="2326"/>
      <c r="Z724" s="2326"/>
      <c r="AA724" s="2326"/>
      <c r="AB724" s="2326"/>
      <c r="AC724" s="2326"/>
      <c r="AD724" s="2326"/>
      <c r="AE724" s="2326"/>
      <c r="AF724" s="2326"/>
      <c r="AG724" s="2326"/>
      <c r="AH724" s="2326"/>
      <c r="AI724" s="2384"/>
      <c r="AJ724" s="21"/>
      <c r="AK724" s="21"/>
      <c r="AL724" s="21"/>
      <c r="AM724" s="21"/>
      <c r="AN724" s="21"/>
      <c r="AO724" s="21"/>
      <c r="AP724" s="21"/>
      <c r="AQ724" s="21"/>
      <c r="AR724" s="21"/>
      <c r="AS724" s="21"/>
      <c r="AT724" s="21"/>
      <c r="AU724" s="21"/>
      <c r="DG724" s="60"/>
    </row>
    <row r="725" spans="2:114" x14ac:dyDescent="0.35">
      <c r="D725" s="1085"/>
      <c r="E725" s="33"/>
      <c r="F725" s="33"/>
      <c r="G725" s="33"/>
      <c r="H725" s="1086"/>
      <c r="I725" s="33"/>
      <c r="J725" s="33"/>
      <c r="K725" s="33"/>
      <c r="L725" s="33"/>
      <c r="P725" s="33"/>
      <c r="Q725" s="33"/>
      <c r="R725" s="33"/>
      <c r="S725" s="33"/>
      <c r="T725" s="33"/>
      <c r="U725" s="33"/>
      <c r="V725"/>
      <c r="W725"/>
      <c r="X725"/>
      <c r="Y725"/>
      <c r="Z725"/>
      <c r="AA725"/>
      <c r="AB725"/>
      <c r="AC725"/>
      <c r="AD725"/>
      <c r="AE725"/>
      <c r="AF725"/>
      <c r="AG725"/>
      <c r="AH725"/>
      <c r="AI725"/>
      <c r="AJ725" s="31"/>
      <c r="AK725" s="31"/>
      <c r="AL725" s="31"/>
      <c r="AM725" s="31"/>
      <c r="AN725" s="31"/>
      <c r="AO725" s="31"/>
      <c r="AP725" s="31"/>
      <c r="AQ725" s="31"/>
      <c r="AR725" s="31"/>
      <c r="AS725" s="31"/>
      <c r="AT725" s="31"/>
      <c r="AU725" s="31"/>
    </row>
    <row r="726" spans="2:114" s="34" customFormat="1" x14ac:dyDescent="0.35">
      <c r="B726" s="31"/>
      <c r="C726" s="35" t="s">
        <v>27</v>
      </c>
      <c r="D726" s="35" t="s">
        <v>28</v>
      </c>
      <c r="E726" s="2399" t="s">
        <v>29</v>
      </c>
      <c r="F726" s="2399" t="s">
        <v>2950</v>
      </c>
      <c r="G726" s="2399" t="s">
        <v>175</v>
      </c>
      <c r="H726" s="36" t="s">
        <v>176</v>
      </c>
      <c r="I726" s="2399" t="s">
        <v>31</v>
      </c>
      <c r="J726" s="2399" t="s">
        <v>180</v>
      </c>
      <c r="K726" s="35" t="s">
        <v>169</v>
      </c>
      <c r="L726" s="35" t="s">
        <v>43</v>
      </c>
      <c r="M726" s="725"/>
      <c r="N726" s="725"/>
      <c r="O726" s="725"/>
      <c r="P726" s="350"/>
      <c r="Q726" s="350"/>
      <c r="R726" s="350"/>
      <c r="S726" s="350"/>
      <c r="T726" s="350"/>
      <c r="U726" s="350"/>
      <c r="V726" s="1572" t="s">
        <v>44</v>
      </c>
      <c r="W726" s="1573">
        <f>$W$8</f>
        <v>43252</v>
      </c>
      <c r="X726" s="1573">
        <f>$X$8</f>
        <v>43465</v>
      </c>
      <c r="Y726" s="1573">
        <f>$Y$8</f>
        <v>43800</v>
      </c>
      <c r="Z726" s="1573">
        <f>$Z$8</f>
        <v>43862</v>
      </c>
      <c r="AA726" s="1573">
        <f>$AA$8</f>
        <v>44013</v>
      </c>
      <c r="AB726" s="1573">
        <v>44166</v>
      </c>
      <c r="AC726" s="1573">
        <f>$AC$8</f>
        <v>44531</v>
      </c>
      <c r="AD726" s="1573">
        <f>$AD$8</f>
        <v>44774</v>
      </c>
      <c r="AE726" s="1573" t="str">
        <f>$AE$8</f>
        <v>-</v>
      </c>
      <c r="AF726" s="1573" t="str">
        <f>$AF$8</f>
        <v>-</v>
      </c>
      <c r="AG726" s="1573" t="str">
        <f>$AG$8</f>
        <v>-</v>
      </c>
      <c r="AH726"/>
      <c r="AI726" s="1572" t="s">
        <v>44</v>
      </c>
      <c r="AJ726" s="1573">
        <v>43252</v>
      </c>
      <c r="AK726" s="1573">
        <f>$X$8</f>
        <v>43465</v>
      </c>
      <c r="AL726" s="1573">
        <f>$Y$8</f>
        <v>43800</v>
      </c>
      <c r="AM726" s="1573">
        <f>$Z$8</f>
        <v>43862</v>
      </c>
      <c r="AN726" s="1573">
        <f>$AA$8</f>
        <v>44013</v>
      </c>
      <c r="AO726" s="1573">
        <f>$AB$8</f>
        <v>44166</v>
      </c>
      <c r="AP726" s="1573">
        <f>$AC$8</f>
        <v>44531</v>
      </c>
      <c r="AQ726" s="1573">
        <f>$AD$8</f>
        <v>44774</v>
      </c>
      <c r="AR726" s="1573" t="str">
        <f>$AE$8</f>
        <v>-</v>
      </c>
      <c r="AS726" s="1573" t="str">
        <f>$AF$8</f>
        <v>-</v>
      </c>
      <c r="AT726" s="21"/>
      <c r="AU726" s="1572" t="s">
        <v>44</v>
      </c>
      <c r="AV726" s="1573">
        <v>43252</v>
      </c>
      <c r="AW726" s="1573">
        <f>$X$8</f>
        <v>43465</v>
      </c>
      <c r="AX726" s="1573">
        <f>$Y$8</f>
        <v>43800</v>
      </c>
      <c r="AY726" s="1573">
        <f>$Z$8</f>
        <v>43862</v>
      </c>
      <c r="AZ726" s="1573">
        <f>$AA$8</f>
        <v>44013</v>
      </c>
      <c r="BA726" s="1573">
        <v>44166</v>
      </c>
      <c r="BB726" s="1573">
        <f>$AC$8</f>
        <v>44531</v>
      </c>
      <c r="BC726" s="1573">
        <f>$AD$8</f>
        <v>44774</v>
      </c>
      <c r="BD726" s="1573" t="str">
        <f>$AE$8</f>
        <v>-</v>
      </c>
      <c r="BE726" s="1573" t="str">
        <f>$AF$8</f>
        <v>-</v>
      </c>
      <c r="DG726" s="1574" t="str">
        <f>$DG$8</f>
        <v>TRC (2022)</v>
      </c>
      <c r="DH726" s="1584" t="str">
        <f>$DH$8</f>
        <v>Benefit Lookup</v>
      </c>
      <c r="DI726" s="1584" t="str">
        <f>$DI$8</f>
        <v>Benefits (2019 $)</v>
      </c>
      <c r="DJ726" s="1584" t="str">
        <f>$DJ$8</f>
        <v>Incremental Cost (2019 $)</v>
      </c>
    </row>
    <row r="727" spans="2:114" x14ac:dyDescent="0.35">
      <c r="C727" s="1614" t="s">
        <v>2960</v>
      </c>
      <c r="D727" s="1106" t="s">
        <v>2485</v>
      </c>
      <c r="E727" s="1105" t="s">
        <v>2959</v>
      </c>
      <c r="F727" s="965">
        <f>ROUND(F737*((G737-H737)/G737)*I737*J737*N737,2)</f>
        <v>86.63</v>
      </c>
      <c r="G727" s="1087" t="s">
        <v>2637</v>
      </c>
      <c r="H727" s="1088">
        <f>VLOOKUP(G727,'CP FACTORS'!$A$26:$B$38,2,FALSE)</f>
        <v>1.811545E-4</v>
      </c>
      <c r="I727" s="1106">
        <f>ROUND(H727*F727,6)</f>
        <v>1.5692999999999999E-2</v>
      </c>
      <c r="J727" s="289">
        <v>9</v>
      </c>
      <c r="K727" s="1123">
        <v>8</v>
      </c>
      <c r="L727" s="1164" t="s">
        <v>184</v>
      </c>
      <c r="V727" s="2419" t="s">
        <v>30</v>
      </c>
      <c r="W727" s="112">
        <v>86.631740914419709</v>
      </c>
      <c r="X727" s="112">
        <v>86.631740914419709</v>
      </c>
      <c r="Y727" s="112">
        <v>86.631740914419709</v>
      </c>
      <c r="Z727" s="112">
        <v>86.631740914419709</v>
      </c>
      <c r="AA727" s="112">
        <v>86.631740914419709</v>
      </c>
      <c r="AB727" s="1516">
        <v>86.63</v>
      </c>
      <c r="AC727" s="1798">
        <v>86.63</v>
      </c>
      <c r="AD727" s="1798">
        <v>86.63</v>
      </c>
      <c r="AE727" s="141"/>
      <c r="AF727" s="141"/>
      <c r="AG727" s="141"/>
      <c r="AH727"/>
      <c r="AI727" s="88" t="s">
        <v>180</v>
      </c>
      <c r="AJ727" s="51">
        <v>9</v>
      </c>
      <c r="AK727" s="51">
        <v>9</v>
      </c>
      <c r="AL727" s="51">
        <v>9</v>
      </c>
      <c r="AM727" s="51">
        <v>9</v>
      </c>
      <c r="AN727" s="51">
        <v>9</v>
      </c>
      <c r="AO727" s="1691">
        <v>9</v>
      </c>
      <c r="AP727" s="1691">
        <v>9</v>
      </c>
      <c r="AQ727" s="1691">
        <v>9</v>
      </c>
      <c r="AR727" s="141"/>
      <c r="AS727" s="141"/>
      <c r="AU727" s="88" t="s">
        <v>169</v>
      </c>
      <c r="AV727" s="1692">
        <v>8</v>
      </c>
      <c r="AW727" s="1692">
        <v>8</v>
      </c>
      <c r="AX727" s="1692">
        <v>8</v>
      </c>
      <c r="AY727" s="1692">
        <v>8</v>
      </c>
      <c r="AZ727" s="1692">
        <v>8</v>
      </c>
      <c r="BA727" s="1615">
        <v>8</v>
      </c>
      <c r="BB727" s="1615">
        <v>8</v>
      </c>
      <c r="BC727" s="1615">
        <v>8</v>
      </c>
      <c r="BD727" s="141"/>
      <c r="BE727" s="141"/>
      <c r="DG727" s="1585">
        <f>(DI727)/(DJ727)</f>
        <v>4.4955507840519857</v>
      </c>
      <c r="DH727" s="2381" t="str">
        <f>CONCATENATE(G727," ",J727," Year EUL")</f>
        <v>Water Heating BUS 9 Year EUL</v>
      </c>
      <c r="DI727" s="1586">
        <f>(INDEX('Avoided Cost Benefits'!$E$4:$E$859,MATCH(DH727,'Avoided Cost Benefits'!$A$4:$A$859,0)))*F727</f>
        <v>33.944696812096161</v>
      </c>
      <c r="DJ727" s="1587">
        <f>K727/(1.0595^(2020-2019))</f>
        <v>7.5507314771118441</v>
      </c>
    </row>
    <row r="728" spans="2:114" hidden="1" outlineLevel="1" x14ac:dyDescent="0.35">
      <c r="E728" s="33"/>
      <c r="F728" s="33"/>
      <c r="G728" s="33"/>
      <c r="H728" s="1096"/>
      <c r="I728" s="33"/>
      <c r="J728" s="33"/>
      <c r="K728" s="33"/>
    </row>
    <row r="729" spans="2:114" hidden="1" outlineLevel="1" x14ac:dyDescent="0.35">
      <c r="D729" s="33" t="s">
        <v>2528</v>
      </c>
      <c r="E729" s="132"/>
      <c r="F729" s="33"/>
      <c r="G729" s="33"/>
      <c r="H729" s="1096"/>
      <c r="I729" s="33"/>
      <c r="J729" s="33"/>
      <c r="K729" s="132"/>
    </row>
    <row r="730" spans="2:114" hidden="1" outlineLevel="1" x14ac:dyDescent="0.35">
      <c r="D730" s="1097"/>
      <c r="E730" s="132"/>
      <c r="F730" s="132"/>
      <c r="G730" s="725"/>
      <c r="H730" s="1098"/>
    </row>
    <row r="731" spans="2:114" hidden="1" outlineLevel="1" x14ac:dyDescent="0.35">
      <c r="D731" s="1097"/>
      <c r="G731" s="725"/>
      <c r="H731" s="1098"/>
      <c r="P731" s="4561"/>
      <c r="Q731" s="4561"/>
    </row>
    <row r="732" spans="2:114" hidden="1" outlineLevel="1" x14ac:dyDescent="0.35">
      <c r="D732" s="1097"/>
      <c r="G732" s="725"/>
      <c r="H732" s="1098"/>
      <c r="M732" s="33"/>
      <c r="P732" s="4561"/>
      <c r="Q732" s="4561"/>
    </row>
    <row r="733" spans="2:114" hidden="1" outlineLevel="1" x14ac:dyDescent="0.35">
      <c r="D733" s="1097"/>
      <c r="G733" s="725"/>
      <c r="H733" s="1098"/>
      <c r="M733" s="33"/>
      <c r="P733" s="4561"/>
      <c r="Q733" s="4561"/>
    </row>
    <row r="734" spans="2:114" hidden="1" outlineLevel="1" x14ac:dyDescent="0.35">
      <c r="D734" s="1097"/>
      <c r="G734" s="725"/>
      <c r="H734" s="1098"/>
      <c r="M734" s="33"/>
    </row>
    <row r="735" spans="2:114" hidden="1" outlineLevel="1" x14ac:dyDescent="0.35">
      <c r="D735" s="1097"/>
      <c r="G735" s="725"/>
      <c r="H735" s="1098"/>
    </row>
    <row r="736" spans="2:114" s="34" customFormat="1" hidden="1" outlineLevel="1" x14ac:dyDescent="0.35">
      <c r="C736" s="132"/>
      <c r="D736" s="2327" t="s">
        <v>27</v>
      </c>
      <c r="E736" s="2327" t="s">
        <v>2597</v>
      </c>
      <c r="F736" s="68" t="s">
        <v>2834</v>
      </c>
      <c r="G736" s="2327" t="s">
        <v>2961</v>
      </c>
      <c r="H736" s="2327" t="s">
        <v>2962</v>
      </c>
      <c r="I736" s="2327" t="s">
        <v>2963</v>
      </c>
      <c r="J736" s="2327" t="s">
        <v>2964</v>
      </c>
      <c r="K736" s="2327" t="s">
        <v>2965</v>
      </c>
      <c r="L736" s="2327" t="s">
        <v>2966</v>
      </c>
      <c r="M736" s="2327" t="s">
        <v>2967</v>
      </c>
      <c r="N736" s="2327" t="s">
        <v>132</v>
      </c>
      <c r="O736" s="350"/>
      <c r="P736" s="350"/>
      <c r="Q736" s="350"/>
      <c r="R736" s="350"/>
      <c r="S736" s="350"/>
      <c r="T736" s="350"/>
      <c r="U736" s="350"/>
      <c r="DG736" s="59"/>
    </row>
    <row r="737" spans="2:114" hidden="1" outlineLevel="1" x14ac:dyDescent="0.35">
      <c r="D737" s="1593" t="str">
        <f>C727</f>
        <v>805500_2019_12_</v>
      </c>
      <c r="E737" s="1593" t="str">
        <f>E727</f>
        <v>Low Flow Faucet Aerator</v>
      </c>
      <c r="F737" s="1202">
        <v>1</v>
      </c>
      <c r="G737" s="1594">
        <v>1.2</v>
      </c>
      <c r="H737" s="1201">
        <v>0.94</v>
      </c>
      <c r="I737" s="76">
        <v>5000</v>
      </c>
      <c r="J737" s="1203">
        <f>(8.33*1*(K737-L737))/(M737*3412)</f>
        <v>7.9967760844079736E-2</v>
      </c>
      <c r="K737" s="1200">
        <v>90</v>
      </c>
      <c r="L737" s="1189">
        <v>57.9</v>
      </c>
      <c r="M737" s="74">
        <v>0.98</v>
      </c>
      <c r="N737" s="1200">
        <v>1</v>
      </c>
    </row>
    <row r="738" spans="2:114" collapsed="1" x14ac:dyDescent="0.35"/>
    <row r="740" spans="2:114" s="33" customFormat="1" x14ac:dyDescent="0.35">
      <c r="B740" s="4553" t="s">
        <v>2968</v>
      </c>
      <c r="C740" s="4554"/>
      <c r="D740" s="4554"/>
      <c r="E740" s="4554"/>
      <c r="F740" s="4554"/>
      <c r="G740" s="4554"/>
      <c r="H740" s="4554"/>
      <c r="I740" s="4555"/>
      <c r="J740" s="4555"/>
      <c r="K740" s="4555"/>
      <c r="L740" s="4555"/>
      <c r="M740" s="3680"/>
      <c r="N740" s="3680"/>
      <c r="O740" s="3681"/>
      <c r="V740" s="2325" t="str">
        <f>B740</f>
        <v>Circulator Pump</v>
      </c>
      <c r="W740" s="2326"/>
      <c r="X740" s="2326"/>
      <c r="Y740" s="2326"/>
      <c r="Z740" s="2326"/>
      <c r="AA740" s="2326"/>
      <c r="AB740" s="2326"/>
      <c r="AC740" s="2326"/>
      <c r="AD740" s="2326"/>
      <c r="AE740" s="2326"/>
      <c r="AF740" s="2326"/>
      <c r="AG740" s="2326"/>
      <c r="AH740" s="2326"/>
      <c r="AI740" s="2384"/>
      <c r="AJ740" s="21"/>
      <c r="AK740" s="21"/>
      <c r="AL740" s="21"/>
      <c r="AM740" s="21"/>
      <c r="AN740" s="21"/>
      <c r="AO740" s="21"/>
      <c r="AP740" s="21"/>
      <c r="AQ740" s="21"/>
      <c r="AR740" s="21"/>
      <c r="AS740" s="21"/>
      <c r="AT740" s="21"/>
      <c r="AU740" s="21"/>
      <c r="DG740" s="60"/>
    </row>
    <row r="741" spans="2:114" x14ac:dyDescent="0.35">
      <c r="D741" s="1085"/>
      <c r="E741" s="33"/>
      <c r="F741" s="33"/>
      <c r="G741" s="33"/>
      <c r="H741" s="1086"/>
      <c r="I741" s="33"/>
      <c r="J741" s="33"/>
      <c r="K741" s="33"/>
      <c r="L741" s="33"/>
      <c r="P741" s="33"/>
      <c r="Q741" s="33"/>
      <c r="R741" s="33"/>
      <c r="S741" s="33"/>
      <c r="T741" s="33"/>
      <c r="U741" s="33"/>
      <c r="V741"/>
      <c r="W741"/>
      <c r="X741"/>
      <c r="Y741"/>
      <c r="Z741"/>
      <c r="AA741"/>
      <c r="AB741"/>
      <c r="AC741"/>
      <c r="AD741"/>
      <c r="AE741"/>
      <c r="AF741"/>
      <c r="AG741"/>
      <c r="AH741"/>
      <c r="AI741"/>
      <c r="AJ741" s="31"/>
      <c r="AK741" s="31"/>
      <c r="AL741" s="31"/>
      <c r="AM741" s="31"/>
      <c r="AN741" s="31"/>
      <c r="AO741" s="31"/>
      <c r="AP741" s="31"/>
      <c r="AQ741" s="31"/>
      <c r="AR741" s="31"/>
      <c r="AS741" s="31"/>
      <c r="AT741" s="31"/>
      <c r="AU741" s="31"/>
    </row>
    <row r="742" spans="2:114" s="34" customFormat="1" x14ac:dyDescent="0.35">
      <c r="B742" s="31"/>
      <c r="C742" s="35" t="s">
        <v>27</v>
      </c>
      <c r="D742" s="35" t="s">
        <v>28</v>
      </c>
      <c r="E742" s="2399" t="s">
        <v>29</v>
      </c>
      <c r="F742" s="2399" t="s">
        <v>2950</v>
      </c>
      <c r="G742" s="2399" t="s">
        <v>175</v>
      </c>
      <c r="H742" s="36" t="s">
        <v>176</v>
      </c>
      <c r="I742" s="2399" t="s">
        <v>31</v>
      </c>
      <c r="J742" s="2399" t="s">
        <v>180</v>
      </c>
      <c r="K742" s="35" t="s">
        <v>169</v>
      </c>
      <c r="L742" s="35" t="s">
        <v>43</v>
      </c>
      <c r="M742" s="725"/>
      <c r="N742" s="725"/>
      <c r="O742" s="725"/>
      <c r="P742" s="350"/>
      <c r="Q742" s="350"/>
      <c r="R742" s="350"/>
      <c r="S742" s="350"/>
      <c r="T742" s="350"/>
      <c r="U742" s="350"/>
      <c r="V742" s="1572" t="s">
        <v>44</v>
      </c>
      <c r="W742" s="1573">
        <f>$W$8</f>
        <v>43252</v>
      </c>
      <c r="X742" s="1573">
        <f>$X$8</f>
        <v>43465</v>
      </c>
      <c r="Y742" s="1573">
        <f>$Y$8</f>
        <v>43800</v>
      </c>
      <c r="Z742" s="1573">
        <f>$Z$8</f>
        <v>43862</v>
      </c>
      <c r="AA742" s="1573">
        <f>$AA$8</f>
        <v>44013</v>
      </c>
      <c r="AB742" s="1573">
        <v>44166</v>
      </c>
      <c r="AC742" s="1573">
        <f>$AC$8</f>
        <v>44531</v>
      </c>
      <c r="AD742" s="1573">
        <f>$AD$8</f>
        <v>44774</v>
      </c>
      <c r="AE742" s="1573" t="str">
        <f>$AE$8</f>
        <v>-</v>
      </c>
      <c r="AF742" s="1573" t="str">
        <f>$AF$8</f>
        <v>-</v>
      </c>
      <c r="AG742" s="1573" t="str">
        <f>$AG$8</f>
        <v>-</v>
      </c>
      <c r="AH742"/>
      <c r="AI742" s="1572" t="s">
        <v>44</v>
      </c>
      <c r="AJ742" s="1573">
        <v>43252</v>
      </c>
      <c r="AK742" s="1573">
        <f>$X$8</f>
        <v>43465</v>
      </c>
      <c r="AL742" s="1573">
        <f>$Y$8</f>
        <v>43800</v>
      </c>
      <c r="AM742" s="1573">
        <f>$Z$8</f>
        <v>43862</v>
      </c>
      <c r="AN742" s="1573">
        <f>$AA$8</f>
        <v>44013</v>
      </c>
      <c r="AO742" s="1573">
        <f>$AB$8</f>
        <v>44166</v>
      </c>
      <c r="AP742" s="1573">
        <f>$AC$8</f>
        <v>44531</v>
      </c>
      <c r="AQ742" s="1573">
        <f>$AD$8</f>
        <v>44774</v>
      </c>
      <c r="AR742" s="1573" t="str">
        <f>$AE$8</f>
        <v>-</v>
      </c>
      <c r="AS742" s="1573" t="str">
        <f>$AF$8</f>
        <v>-</v>
      </c>
      <c r="AT742" s="21"/>
      <c r="AU742" s="1572" t="s">
        <v>44</v>
      </c>
      <c r="AV742" s="1573">
        <v>43252</v>
      </c>
      <c r="AW742" s="1573">
        <f>$X$8</f>
        <v>43465</v>
      </c>
      <c r="AX742" s="1573">
        <f>$Y$8</f>
        <v>43800</v>
      </c>
      <c r="AY742" s="1573">
        <f>$Z$8</f>
        <v>43862</v>
      </c>
      <c r="AZ742" s="1573">
        <f>$AA$8</f>
        <v>44013</v>
      </c>
      <c r="BA742" s="1573">
        <v>44166</v>
      </c>
      <c r="BB742" s="1573">
        <f>$AC$8</f>
        <v>44531</v>
      </c>
      <c r="BC742" s="1573">
        <f>$AD$8</f>
        <v>44774</v>
      </c>
      <c r="BD742" s="1573" t="str">
        <f>$AE$8</f>
        <v>-</v>
      </c>
      <c r="BE742" s="1573" t="str">
        <f>$AF$8</f>
        <v>-</v>
      </c>
      <c r="DG742" s="1574" t="str">
        <f>$DG$8</f>
        <v>TRC (2022)</v>
      </c>
      <c r="DH742" s="1584" t="str">
        <f>$DH$8</f>
        <v>Benefit Lookup</v>
      </c>
      <c r="DI742" s="1584" t="str">
        <f>$DI$8</f>
        <v>Benefits (2019 $)</v>
      </c>
      <c r="DJ742" s="1584" t="str">
        <f>$DJ$8</f>
        <v>Incremental Cost (2019 $)</v>
      </c>
    </row>
    <row r="743" spans="2:114" x14ac:dyDescent="0.35">
      <c r="C743" s="1614" t="s">
        <v>2969</v>
      </c>
      <c r="D743" s="1106" t="s">
        <v>2485</v>
      </c>
      <c r="E743" s="1105" t="s">
        <v>2968</v>
      </c>
      <c r="F743" s="965">
        <f>ROUND(651,2)</f>
        <v>651</v>
      </c>
      <c r="G743" s="1087" t="s">
        <v>2510</v>
      </c>
      <c r="H743" s="1088">
        <f>VLOOKUP(G743,'CP FACTORS'!$A$26:$B$38,2,FALSE)</f>
        <v>1.379439E-4</v>
      </c>
      <c r="I743" s="1106">
        <f>ROUND(H743*F743,6)</f>
        <v>8.9801000000000006E-2</v>
      </c>
      <c r="J743" s="289">
        <v>15</v>
      </c>
      <c r="K743" s="1107">
        <v>1200</v>
      </c>
      <c r="L743" s="1164" t="s">
        <v>184</v>
      </c>
      <c r="V743" s="2419" t="s">
        <v>30</v>
      </c>
      <c r="W743" s="112">
        <v>651</v>
      </c>
      <c r="X743" s="112">
        <v>651</v>
      </c>
      <c r="Y743" s="112">
        <v>651</v>
      </c>
      <c r="Z743" s="112">
        <v>651</v>
      </c>
      <c r="AA743" s="112">
        <v>651</v>
      </c>
      <c r="AB743" s="1516">
        <v>651</v>
      </c>
      <c r="AC743" s="1798">
        <v>651</v>
      </c>
      <c r="AD743" s="1798">
        <v>651</v>
      </c>
      <c r="AE743" s="141"/>
      <c r="AF743" s="141"/>
      <c r="AG743" s="141"/>
      <c r="AH743"/>
      <c r="AI743" s="88" t="s">
        <v>180</v>
      </c>
      <c r="AJ743" s="51">
        <v>15</v>
      </c>
      <c r="AK743" s="51">
        <v>15</v>
      </c>
      <c r="AL743" s="51">
        <v>15</v>
      </c>
      <c r="AM743" s="51">
        <v>15</v>
      </c>
      <c r="AN743" s="51">
        <v>15</v>
      </c>
      <c r="AO743" s="1691">
        <v>15</v>
      </c>
      <c r="AP743" s="1691">
        <v>15</v>
      </c>
      <c r="AQ743" s="1691">
        <v>15</v>
      </c>
      <c r="AR743" s="141"/>
      <c r="AS743" s="141"/>
      <c r="AU743" s="88" t="s">
        <v>169</v>
      </c>
      <c r="AV743" s="1692">
        <v>1200</v>
      </c>
      <c r="AW743" s="1692">
        <v>1200</v>
      </c>
      <c r="AX743" s="1692">
        <v>1200</v>
      </c>
      <c r="AY743" s="1692">
        <v>1200</v>
      </c>
      <c r="AZ743" s="1692">
        <v>1200</v>
      </c>
      <c r="BA743" s="1615">
        <v>1200</v>
      </c>
      <c r="BB743" s="1615">
        <v>1200</v>
      </c>
      <c r="BC743" s="1615">
        <v>1200</v>
      </c>
      <c r="BD743" s="141"/>
      <c r="BE743" s="141"/>
      <c r="DG743" s="1585">
        <f>(DI743)/(DJ743)</f>
        <v>0.30218258272589937</v>
      </c>
      <c r="DH743" s="2381" t="str">
        <f>CONCATENATE(G743," ",J743," Year EUL")</f>
        <v>Miscellaneous BUS 15 Year EUL</v>
      </c>
      <c r="DI743" s="1586">
        <f>(INDEX('Avoided Cost Benefits'!$E$4:$E$859,MATCH(DH743,'Avoided Cost Benefits'!$A$4:$A$859,0)))*F743</f>
        <v>342.25493088351033</v>
      </c>
      <c r="DJ743" s="1587">
        <f>K743/(1.0595^(2020-2019))</f>
        <v>1132.6097215667767</v>
      </c>
    </row>
    <row r="744" spans="2:114" hidden="1" outlineLevel="1" x14ac:dyDescent="0.35">
      <c r="E744" s="33"/>
      <c r="F744" s="33"/>
      <c r="G744" s="33"/>
      <c r="H744" s="1096"/>
      <c r="I744" s="33"/>
      <c r="J744" s="33"/>
    </row>
    <row r="745" spans="2:114" hidden="1" outlineLevel="1" x14ac:dyDescent="0.35">
      <c r="D745" s="33" t="s">
        <v>2528</v>
      </c>
      <c r="E745" s="132"/>
      <c r="F745" s="33"/>
      <c r="G745" s="33"/>
      <c r="H745" s="1096"/>
      <c r="I745" s="33"/>
      <c r="J745" s="33"/>
      <c r="K745" s="132"/>
    </row>
    <row r="746" spans="2:114" hidden="1" outlineLevel="1" x14ac:dyDescent="0.35">
      <c r="D746" s="1097"/>
      <c r="E746" s="132"/>
      <c r="F746" s="132"/>
      <c r="G746" s="725"/>
      <c r="H746" s="1098"/>
    </row>
    <row r="747" spans="2:114" hidden="1" outlineLevel="1" x14ac:dyDescent="0.35">
      <c r="D747" s="1097"/>
      <c r="G747" s="725"/>
      <c r="H747" s="1098"/>
      <c r="P747" s="4561"/>
      <c r="Q747" s="4561"/>
    </row>
    <row r="748" spans="2:114" hidden="1" outlineLevel="1" x14ac:dyDescent="0.35">
      <c r="D748" s="1097"/>
      <c r="G748" s="725"/>
      <c r="H748" s="1098"/>
      <c r="M748" s="33"/>
      <c r="P748" s="4561"/>
      <c r="Q748" s="4561"/>
    </row>
    <row r="749" spans="2:114" hidden="1" outlineLevel="1" x14ac:dyDescent="0.35">
      <c r="D749" s="1097"/>
      <c r="G749" s="725"/>
      <c r="H749" s="1098"/>
      <c r="M749" s="33"/>
      <c r="P749" s="4561"/>
      <c r="Q749" s="4561"/>
    </row>
    <row r="750" spans="2:114" hidden="1" outlineLevel="1" x14ac:dyDescent="0.35">
      <c r="D750" s="1097"/>
      <c r="G750" s="725"/>
      <c r="H750" s="1098"/>
      <c r="M750" s="33"/>
    </row>
    <row r="751" spans="2:114" hidden="1" outlineLevel="1" x14ac:dyDescent="0.35">
      <c r="D751" s="1097"/>
      <c r="G751" s="725"/>
      <c r="H751" s="1098"/>
    </row>
    <row r="752" spans="2:114" s="34" customFormat="1" hidden="1" outlineLevel="1" x14ac:dyDescent="0.35">
      <c r="C752" s="132"/>
      <c r="D752" s="2327" t="s">
        <v>27</v>
      </c>
      <c r="E752" s="2327" t="s">
        <v>2597</v>
      </c>
      <c r="F752" s="350"/>
      <c r="G752" s="350"/>
      <c r="H752" s="350"/>
      <c r="I752" s="350"/>
      <c r="J752" s="350"/>
      <c r="K752" s="350"/>
      <c r="L752" s="350"/>
      <c r="M752" s="350"/>
      <c r="N752" s="350"/>
      <c r="O752" s="350"/>
      <c r="P752" s="350"/>
      <c r="Q752" s="350"/>
      <c r="R752" s="350"/>
      <c r="S752" s="350"/>
      <c r="T752" s="350"/>
      <c r="U752" s="350"/>
      <c r="DG752" s="59"/>
    </row>
    <row r="753" spans="2:114" hidden="1" outlineLevel="1" x14ac:dyDescent="0.35">
      <c r="D753" s="1593" t="str">
        <f>C743</f>
        <v>805550_2019_12_</v>
      </c>
      <c r="E753" s="1593" t="str">
        <f>E743</f>
        <v>Circulator Pump</v>
      </c>
      <c r="G753" s="725"/>
      <c r="H753" s="725"/>
    </row>
    <row r="754" spans="2:114" collapsed="1" x14ac:dyDescent="0.35"/>
    <row r="756" spans="2:114" s="33" customFormat="1" x14ac:dyDescent="0.35">
      <c r="B756" s="4553" t="s">
        <v>2970</v>
      </c>
      <c r="C756" s="4554"/>
      <c r="D756" s="4554"/>
      <c r="E756" s="4554"/>
      <c r="F756" s="4554"/>
      <c r="G756" s="4554"/>
      <c r="H756" s="4554"/>
      <c r="I756" s="4555"/>
      <c r="J756" s="4555"/>
      <c r="K756" s="4555"/>
      <c r="L756" s="4555"/>
      <c r="M756" s="3680"/>
      <c r="N756" s="3680"/>
      <c r="O756" s="3681"/>
      <c r="V756" s="2325" t="str">
        <f>B756</f>
        <v>Small Commercial Programmable Thermostats</v>
      </c>
      <c r="W756" s="2326"/>
      <c r="X756" s="2326"/>
      <c r="Y756" s="2326"/>
      <c r="Z756" s="2326"/>
      <c r="AA756" s="2326"/>
      <c r="AB756" s="2326"/>
      <c r="AC756" s="2326"/>
      <c r="AD756" s="2326"/>
      <c r="AE756" s="2326"/>
      <c r="AF756" s="2326"/>
      <c r="AG756" s="2326"/>
      <c r="AH756" s="2326"/>
      <c r="AI756" s="2384"/>
      <c r="AJ756" s="21"/>
      <c r="AK756" s="21"/>
      <c r="AL756" s="21"/>
      <c r="AM756" s="21"/>
      <c r="AN756" s="21"/>
      <c r="AO756" s="21"/>
      <c r="AP756" s="21"/>
      <c r="AQ756" s="21"/>
      <c r="AR756" s="21"/>
      <c r="AS756" s="21"/>
      <c r="AT756" s="21"/>
      <c r="AU756" s="21"/>
      <c r="DG756" s="60"/>
    </row>
    <row r="757" spans="2:114" x14ac:dyDescent="0.35">
      <c r="D757" s="1085"/>
      <c r="E757" s="33"/>
      <c r="F757" s="33"/>
      <c r="G757" s="33"/>
      <c r="H757" s="1086"/>
      <c r="I757" s="33"/>
      <c r="J757" s="33"/>
      <c r="K757" s="33"/>
      <c r="L757" s="33"/>
      <c r="P757" s="33"/>
      <c r="Q757" s="33"/>
      <c r="R757" s="33"/>
      <c r="S757" s="33"/>
      <c r="T757" s="33"/>
      <c r="U757" s="33"/>
      <c r="V757"/>
      <c r="W757"/>
      <c r="X757"/>
      <c r="Y757"/>
      <c r="Z757"/>
      <c r="AA757"/>
      <c r="AB757"/>
      <c r="AC757"/>
      <c r="AD757"/>
      <c r="AE757"/>
      <c r="AF757"/>
      <c r="AG757"/>
      <c r="AH757"/>
      <c r="AI757"/>
      <c r="AJ757" s="31"/>
      <c r="AK757" s="31"/>
      <c r="AL757" s="31"/>
      <c r="AM757" s="31"/>
      <c r="AN757" s="31"/>
      <c r="AO757" s="31"/>
      <c r="AP757" s="31"/>
      <c r="AQ757" s="31"/>
      <c r="AR757" s="31"/>
      <c r="AS757" s="31"/>
      <c r="AT757" s="31"/>
      <c r="AU757" s="31"/>
      <c r="DG757" s="3581" t="s">
        <v>4476</v>
      </c>
    </row>
    <row r="758" spans="2:114" s="34" customFormat="1" ht="29" x14ac:dyDescent="0.35">
      <c r="B758" s="31"/>
      <c r="C758" s="35" t="s">
        <v>27</v>
      </c>
      <c r="D758" s="35" t="s">
        <v>28</v>
      </c>
      <c r="E758" s="2399" t="s">
        <v>29</v>
      </c>
      <c r="F758" s="2399" t="s">
        <v>2971</v>
      </c>
      <c r="G758" s="2399" t="s">
        <v>175</v>
      </c>
      <c r="H758" s="36" t="s">
        <v>176</v>
      </c>
      <c r="I758" s="2399" t="s">
        <v>31</v>
      </c>
      <c r="J758" s="2399" t="s">
        <v>180</v>
      </c>
      <c r="K758" s="35" t="s">
        <v>2659</v>
      </c>
      <c r="L758" s="35" t="s">
        <v>43</v>
      </c>
      <c r="M758" s="725"/>
      <c r="N758" s="725"/>
      <c r="O758" s="725"/>
      <c r="P758" s="350"/>
      <c r="Q758" s="350"/>
      <c r="R758" s="350"/>
      <c r="S758" s="350"/>
      <c r="T758" s="350"/>
      <c r="U758" s="350"/>
      <c r="V758" s="1572" t="s">
        <v>44</v>
      </c>
      <c r="W758" s="1573">
        <f>$W$8</f>
        <v>43252</v>
      </c>
      <c r="X758" s="1573">
        <f>$X$8</f>
        <v>43465</v>
      </c>
      <c r="Y758" s="1573">
        <f>$Y$8</f>
        <v>43800</v>
      </c>
      <c r="Z758" s="1573">
        <f>$Z$8</f>
        <v>43862</v>
      </c>
      <c r="AA758" s="1573">
        <f>$AA$8</f>
        <v>44013</v>
      </c>
      <c r="AB758" s="1573">
        <v>44166</v>
      </c>
      <c r="AC758" s="1573">
        <f>$AC$8</f>
        <v>44531</v>
      </c>
      <c r="AD758" s="1573">
        <f>$AD$8</f>
        <v>44774</v>
      </c>
      <c r="AE758" s="1573" t="str">
        <f>$AE$8</f>
        <v>-</v>
      </c>
      <c r="AF758" s="1573" t="str">
        <f>$AF$8</f>
        <v>-</v>
      </c>
      <c r="AG758" s="1573" t="str">
        <f>$AG$8</f>
        <v>-</v>
      </c>
      <c r="AH758"/>
      <c r="AI758" s="1572" t="s">
        <v>44</v>
      </c>
      <c r="AJ758" s="1573">
        <v>43252</v>
      </c>
      <c r="AK758" s="1573">
        <f>$X$8</f>
        <v>43465</v>
      </c>
      <c r="AL758" s="1573">
        <f>$Y$8</f>
        <v>43800</v>
      </c>
      <c r="AM758" s="1573">
        <f>$Z$8</f>
        <v>43862</v>
      </c>
      <c r="AN758" s="1573">
        <f>$AA$8</f>
        <v>44013</v>
      </c>
      <c r="AO758" s="1573">
        <f>$AB$8</f>
        <v>44166</v>
      </c>
      <c r="AP758" s="1573">
        <f>$AC$8</f>
        <v>44531</v>
      </c>
      <c r="AQ758" s="1573">
        <f>$AD$8</f>
        <v>44774</v>
      </c>
      <c r="AR758" s="1573" t="str">
        <f>$AE$8</f>
        <v>-</v>
      </c>
      <c r="AS758" s="1573" t="str">
        <f>$AF$8</f>
        <v>-</v>
      </c>
      <c r="AT758" s="21"/>
      <c r="AU758" s="1572" t="s">
        <v>44</v>
      </c>
      <c r="AV758" s="1573">
        <v>43252</v>
      </c>
      <c r="AW758" s="1573">
        <f>$X$8</f>
        <v>43465</v>
      </c>
      <c r="AX758" s="1573">
        <f>$Y$8</f>
        <v>43800</v>
      </c>
      <c r="AY758" s="1573">
        <f>$Z$8</f>
        <v>43862</v>
      </c>
      <c r="AZ758" s="1573">
        <f>$AA$8</f>
        <v>44013</v>
      </c>
      <c r="BA758" s="1573">
        <v>44166</v>
      </c>
      <c r="BB758" s="1573">
        <f>$AC$8</f>
        <v>44531</v>
      </c>
      <c r="BC758" s="1573">
        <f>$AD$8</f>
        <v>44774</v>
      </c>
      <c r="BD758" s="1573" t="str">
        <f>$AE$8</f>
        <v>-</v>
      </c>
      <c r="BE758" s="1573" t="str">
        <f>$AF$8</f>
        <v>-</v>
      </c>
      <c r="DG758" s="1574" t="str">
        <f>$DG$8</f>
        <v>TRC (2022)</v>
      </c>
      <c r="DH758" s="1584" t="str">
        <f>$DH$8</f>
        <v>Benefit Lookup</v>
      </c>
      <c r="DI758" s="1584" t="str">
        <f>$DI$8</f>
        <v>Benefits (2019 $)</v>
      </c>
      <c r="DJ758" s="1584" t="str">
        <f>$DJ$8</f>
        <v>Incremental Cost (2019 $)</v>
      </c>
    </row>
    <row r="759" spans="2:114" x14ac:dyDescent="0.35">
      <c r="C759" s="1614" t="s">
        <v>2972</v>
      </c>
      <c r="D759" s="1106" t="s">
        <v>2485</v>
      </c>
      <c r="E759" s="1105" t="s">
        <v>2970</v>
      </c>
      <c r="F759" s="965">
        <f>ROUND((F769*H769*I769)/G769,2)</f>
        <v>0.03</v>
      </c>
      <c r="G759" s="1087" t="s">
        <v>2720</v>
      </c>
      <c r="H759" s="1088">
        <f>VLOOKUP(G759,'CP FACTORS'!$A$26:$B$38,2,FALSE)</f>
        <v>9.1068400000000004E-4</v>
      </c>
      <c r="I759" s="1106">
        <f>ROUND(H759*F759,6)</f>
        <v>2.6999999999999999E-5</v>
      </c>
      <c r="J759" s="289">
        <v>8</v>
      </c>
      <c r="K759" s="1123">
        <v>181</v>
      </c>
      <c r="L759" s="1164" t="s">
        <v>184</v>
      </c>
      <c r="V759" s="2419" t="str">
        <f>F758</f>
        <v>kWh Annual Savings (per sqft)</v>
      </c>
      <c r="W759" s="112">
        <v>2.8899999999999999E-2</v>
      </c>
      <c r="X759" s="112">
        <v>2.8899999999999999E-2</v>
      </c>
      <c r="Y759" s="112">
        <v>2.8899999999999999E-2</v>
      </c>
      <c r="Z759" s="112">
        <v>2.8899999999999999E-2</v>
      </c>
      <c r="AA759" s="112">
        <v>2.8899999999999999E-2</v>
      </c>
      <c r="AB759" s="1516">
        <v>0.03</v>
      </c>
      <c r="AC759" s="1798">
        <v>0.03</v>
      </c>
      <c r="AD759" s="1798">
        <v>0.03</v>
      </c>
      <c r="AE759" s="141"/>
      <c r="AF759" s="141"/>
      <c r="AG759" s="141"/>
      <c r="AH759"/>
      <c r="AI759" s="88" t="s">
        <v>180</v>
      </c>
      <c r="AJ759" s="51">
        <v>8</v>
      </c>
      <c r="AK759" s="51">
        <v>8</v>
      </c>
      <c r="AL759" s="51">
        <v>8</v>
      </c>
      <c r="AM759" s="51">
        <v>8</v>
      </c>
      <c r="AN759" s="51">
        <v>8</v>
      </c>
      <c r="AO759" s="1691">
        <v>8</v>
      </c>
      <c r="AP759" s="1691">
        <v>8</v>
      </c>
      <c r="AQ759" s="1691">
        <v>8</v>
      </c>
      <c r="AR759" s="141"/>
      <c r="AS759" s="141"/>
      <c r="AU759" s="88" t="s">
        <v>169</v>
      </c>
      <c r="AV759" s="1692">
        <v>181</v>
      </c>
      <c r="AW759" s="1692">
        <v>181</v>
      </c>
      <c r="AX759" s="1692">
        <v>181</v>
      </c>
      <c r="AY759" s="1692">
        <v>181</v>
      </c>
      <c r="AZ759" s="1692">
        <v>181</v>
      </c>
      <c r="BA759" s="1615">
        <v>181</v>
      </c>
      <c r="BB759" s="1615">
        <v>181</v>
      </c>
      <c r="BC759" s="1615">
        <v>181</v>
      </c>
      <c r="BD759" s="141"/>
      <c r="BE759" s="141"/>
      <c r="DG759" s="1585">
        <f>(DI759)/(DJ759)</f>
        <v>1.4086694140997354E-4</v>
      </c>
      <c r="DH759" s="2381" t="str">
        <f>CONCATENATE(G759," ",J759," Year EUL")</f>
        <v>Cooling BUS 8 Year EUL</v>
      </c>
      <c r="DI759" s="1586">
        <f>(INDEX('Avoided Cost Benefits'!$E$4:$E$859,MATCH(DH759,'Avoided Cost Benefits'!$A$4:$A$859,0)))*F759</f>
        <v>2.4065046149320632E-2</v>
      </c>
      <c r="DJ759" s="1587">
        <f>K759/(1.0595^(2020-2019))</f>
        <v>170.83529966965548</v>
      </c>
    </row>
    <row r="760" spans="2:114" hidden="1" outlineLevel="1" x14ac:dyDescent="0.35">
      <c r="E760" s="33"/>
      <c r="F760" s="33"/>
      <c r="G760" s="33"/>
      <c r="H760" s="1096"/>
      <c r="I760" s="33"/>
      <c r="J760" s="33"/>
      <c r="K760" s="33"/>
    </row>
    <row r="761" spans="2:114" hidden="1" outlineLevel="1" x14ac:dyDescent="0.35">
      <c r="D761" s="33" t="s">
        <v>2528</v>
      </c>
      <c r="E761" s="132"/>
      <c r="F761" s="33"/>
      <c r="G761" s="33"/>
      <c r="H761" s="1096"/>
      <c r="I761" s="33"/>
      <c r="J761" s="33"/>
      <c r="K761" s="132"/>
    </row>
    <row r="762" spans="2:114" hidden="1" outlineLevel="1" x14ac:dyDescent="0.35">
      <c r="D762" s="1097"/>
      <c r="E762" s="132"/>
      <c r="F762" s="132"/>
      <c r="G762" s="725"/>
      <c r="H762" s="1098"/>
    </row>
    <row r="763" spans="2:114" hidden="1" outlineLevel="1" x14ac:dyDescent="0.35">
      <c r="D763" s="1097"/>
      <c r="G763" s="725"/>
      <c r="H763" s="1098"/>
      <c r="P763" s="4561"/>
      <c r="Q763" s="4561"/>
    </row>
    <row r="764" spans="2:114" hidden="1" outlineLevel="1" x14ac:dyDescent="0.35">
      <c r="D764" s="1097"/>
      <c r="G764" s="725"/>
      <c r="H764" s="1098"/>
      <c r="M764" s="33"/>
      <c r="P764" s="4561"/>
      <c r="Q764" s="4561"/>
    </row>
    <row r="765" spans="2:114" hidden="1" outlineLevel="1" x14ac:dyDescent="0.35">
      <c r="D765" s="1097"/>
      <c r="G765" s="725"/>
      <c r="H765" s="1098"/>
      <c r="M765" s="33"/>
      <c r="P765" s="4561"/>
      <c r="Q765" s="4561"/>
    </row>
    <row r="766" spans="2:114" hidden="1" outlineLevel="1" x14ac:dyDescent="0.35">
      <c r="D766" s="1097"/>
      <c r="G766" s="725"/>
      <c r="H766" s="1098"/>
      <c r="M766" s="33"/>
    </row>
    <row r="767" spans="2:114" hidden="1" outlineLevel="1" x14ac:dyDescent="0.35">
      <c r="D767" s="1097"/>
      <c r="G767" s="725"/>
      <c r="H767" s="1098"/>
    </row>
    <row r="768" spans="2:114" s="34" customFormat="1" ht="29" hidden="1" outlineLevel="1" x14ac:dyDescent="0.35">
      <c r="C768" s="132"/>
      <c r="D768" s="2327" t="s">
        <v>27</v>
      </c>
      <c r="E768" s="2327" t="s">
        <v>2597</v>
      </c>
      <c r="F768" s="68" t="s">
        <v>2973</v>
      </c>
      <c r="G768" s="2327" t="s">
        <v>2447</v>
      </c>
      <c r="H768" s="2327" t="s">
        <v>2974</v>
      </c>
      <c r="I768" s="2327" t="s">
        <v>2975</v>
      </c>
      <c r="J768" s="350"/>
      <c r="K768" s="350"/>
      <c r="L768" s="350"/>
      <c r="M768" s="350"/>
      <c r="N768" s="350"/>
      <c r="O768" s="350"/>
      <c r="P768" s="350"/>
      <c r="Q768" s="350"/>
      <c r="R768" s="350"/>
      <c r="S768" s="350"/>
      <c r="T768" s="350"/>
      <c r="U768" s="350"/>
      <c r="DG768" s="59"/>
    </row>
    <row r="769" spans="2:114" hidden="1" outlineLevel="1" x14ac:dyDescent="0.35">
      <c r="D769" s="1593" t="str">
        <f>C759</f>
        <v>805600_2019_12_</v>
      </c>
      <c r="E769" s="1593" t="str">
        <f>E759</f>
        <v>Small Commercial Programmable Thermostats</v>
      </c>
      <c r="F769" s="1148">
        <v>1</v>
      </c>
      <c r="G769" s="1594">
        <v>10</v>
      </c>
      <c r="H769" s="1186">
        <v>0.57799999999999996</v>
      </c>
      <c r="I769" s="1166">
        <v>0.5</v>
      </c>
    </row>
    <row r="770" spans="2:114" collapsed="1" x14ac:dyDescent="0.35"/>
    <row r="772" spans="2:114" s="33" customFormat="1" x14ac:dyDescent="0.35">
      <c r="B772" s="4553" t="s">
        <v>4182</v>
      </c>
      <c r="C772" s="4554"/>
      <c r="D772" s="4554"/>
      <c r="E772" s="4554"/>
      <c r="F772" s="4554"/>
      <c r="G772" s="4554"/>
      <c r="H772" s="4554"/>
      <c r="I772" s="4575"/>
      <c r="J772" s="4575"/>
      <c r="K772" s="4575"/>
      <c r="L772" s="4575"/>
      <c r="M772" s="3666"/>
      <c r="N772" s="3666"/>
      <c r="O772" s="3667"/>
      <c r="V772" s="2325" t="str">
        <f>B772</f>
        <v>Demand Controlled Ventilation</v>
      </c>
      <c r="W772" s="2326"/>
      <c r="X772" s="2326"/>
      <c r="Y772" s="2326"/>
      <c r="Z772" s="2326"/>
      <c r="AA772" s="2326"/>
      <c r="AB772" s="2326"/>
      <c r="AC772" s="2326"/>
      <c r="AD772" s="2326"/>
      <c r="AE772" s="2326"/>
      <c r="AF772" s="2326"/>
      <c r="AG772" s="2326"/>
      <c r="AH772" s="2326"/>
      <c r="AI772" s="2384"/>
      <c r="AJ772" s="21"/>
      <c r="AK772" s="21"/>
      <c r="AL772" s="21"/>
      <c r="AM772" s="21"/>
      <c r="AN772" s="21"/>
      <c r="AO772" s="21"/>
      <c r="AP772" s="21"/>
      <c r="AQ772" s="21"/>
      <c r="AR772" s="21"/>
      <c r="AS772" s="21"/>
      <c r="AT772" s="21"/>
      <c r="AU772" s="21"/>
      <c r="DG772" s="60"/>
    </row>
    <row r="773" spans="2:114" x14ac:dyDescent="0.35">
      <c r="D773" s="1085"/>
      <c r="E773" s="33"/>
      <c r="F773" s="33"/>
      <c r="G773" s="33"/>
      <c r="H773" s="1086"/>
      <c r="I773" s="33"/>
      <c r="J773" s="33"/>
      <c r="K773" s="33"/>
      <c r="L773" s="33"/>
      <c r="P773" s="33"/>
      <c r="Q773" s="33"/>
      <c r="R773" s="33"/>
      <c r="S773" s="33"/>
      <c r="T773" s="33"/>
      <c r="U773" s="33"/>
      <c r="V773"/>
      <c r="W773"/>
      <c r="X773"/>
      <c r="Y773"/>
      <c r="Z773"/>
      <c r="AA773"/>
      <c r="AB773"/>
      <c r="AC773"/>
      <c r="AD773"/>
      <c r="AE773"/>
      <c r="AF773"/>
      <c r="AG773"/>
      <c r="AH773"/>
      <c r="AI773"/>
      <c r="AJ773" s="31"/>
      <c r="AK773" s="31"/>
      <c r="AL773" s="31"/>
      <c r="AM773" s="31"/>
      <c r="AN773" s="31"/>
      <c r="AO773" s="31"/>
      <c r="AP773" s="31"/>
      <c r="AQ773" s="31"/>
      <c r="AR773" s="31"/>
      <c r="AS773" s="31"/>
      <c r="AT773" s="31"/>
      <c r="AU773" s="31"/>
      <c r="DG773" s="3581" t="s">
        <v>4477</v>
      </c>
    </row>
    <row r="774" spans="2:114" s="34" customFormat="1" ht="29" x14ac:dyDescent="0.35">
      <c r="B774" s="31"/>
      <c r="C774" s="35" t="s">
        <v>27</v>
      </c>
      <c r="D774" s="35" t="s">
        <v>28</v>
      </c>
      <c r="E774" s="2399" t="s">
        <v>29</v>
      </c>
      <c r="F774" s="2399" t="s">
        <v>2971</v>
      </c>
      <c r="G774" s="2399" t="s">
        <v>175</v>
      </c>
      <c r="H774" s="36" t="s">
        <v>176</v>
      </c>
      <c r="I774" s="2399" t="s">
        <v>31</v>
      </c>
      <c r="J774" s="2399" t="s">
        <v>180</v>
      </c>
      <c r="K774" s="35" t="s">
        <v>169</v>
      </c>
      <c r="L774" s="35" t="s">
        <v>43</v>
      </c>
      <c r="M774" s="725"/>
      <c r="N774" s="1180"/>
      <c r="O774" s="1157"/>
      <c r="P774" s="1158"/>
      <c r="Q774" s="350"/>
      <c r="R774" s="350"/>
      <c r="S774" s="350"/>
      <c r="T774" s="350"/>
      <c r="U774" s="350"/>
      <c r="V774" s="1572" t="s">
        <v>44</v>
      </c>
      <c r="W774" s="1573">
        <f>$W$8</f>
        <v>43252</v>
      </c>
      <c r="X774" s="1573">
        <f>$X$8</f>
        <v>43465</v>
      </c>
      <c r="Y774" s="1573">
        <f>$Y$8</f>
        <v>43800</v>
      </c>
      <c r="Z774" s="1573">
        <f>$Z$8</f>
        <v>43862</v>
      </c>
      <c r="AA774" s="1573">
        <f>$AA$8</f>
        <v>44013</v>
      </c>
      <c r="AB774" s="1573">
        <v>44166</v>
      </c>
      <c r="AC774" s="1573">
        <f>$AC$8</f>
        <v>44531</v>
      </c>
      <c r="AD774" s="1573">
        <f>$AD$8</f>
        <v>44774</v>
      </c>
      <c r="AE774" s="1573" t="str">
        <f>$AE$8</f>
        <v>-</v>
      </c>
      <c r="AF774" s="1573" t="str">
        <f>$AF$8</f>
        <v>-</v>
      </c>
      <c r="AG774" s="1573" t="str">
        <f>$AG$8</f>
        <v>-</v>
      </c>
      <c r="AH774"/>
      <c r="AI774" s="1572" t="s">
        <v>44</v>
      </c>
      <c r="AJ774" s="1573">
        <v>43252</v>
      </c>
      <c r="AK774" s="1573">
        <f>$X$8</f>
        <v>43465</v>
      </c>
      <c r="AL774" s="1573">
        <f>$Y$8</f>
        <v>43800</v>
      </c>
      <c r="AM774" s="1573">
        <f>$Z$8</f>
        <v>43862</v>
      </c>
      <c r="AN774" s="1573">
        <f>$AA$8</f>
        <v>44013</v>
      </c>
      <c r="AO774" s="1573">
        <f>$AB$8</f>
        <v>44166</v>
      </c>
      <c r="AP774" s="1573">
        <f>$AC$8</f>
        <v>44531</v>
      </c>
      <c r="AQ774" s="1573">
        <f>$AD$8</f>
        <v>44774</v>
      </c>
      <c r="AR774" s="1573" t="str">
        <f>$AE$8</f>
        <v>-</v>
      </c>
      <c r="AS774" s="1573" t="str">
        <f>$AF$8</f>
        <v>-</v>
      </c>
      <c r="AT774" s="21"/>
      <c r="AU774" s="1572" t="s">
        <v>44</v>
      </c>
      <c r="AV774" s="1573">
        <v>43252</v>
      </c>
      <c r="AW774" s="1573">
        <f>$X$8</f>
        <v>43465</v>
      </c>
      <c r="AX774" s="1573">
        <f>$Y$8</f>
        <v>43800</v>
      </c>
      <c r="AY774" s="1573">
        <f>$Z$8</f>
        <v>43862</v>
      </c>
      <c r="AZ774" s="1573">
        <f>$AA$8</f>
        <v>44013</v>
      </c>
      <c r="BA774" s="1573">
        <v>44166</v>
      </c>
      <c r="BB774" s="1573">
        <f>$AC$8</f>
        <v>44531</v>
      </c>
      <c r="BC774" s="1573">
        <f>$AD$8</f>
        <v>44774</v>
      </c>
      <c r="BD774" s="1573" t="str">
        <f>$AE$8</f>
        <v>-</v>
      </c>
      <c r="BE774" s="1573" t="str">
        <f>$AF$8</f>
        <v>-</v>
      </c>
      <c r="DG774" s="1574" t="str">
        <f>$DG$8</f>
        <v>TRC (2022)</v>
      </c>
      <c r="DH774" s="1584" t="str">
        <f>$DH$8</f>
        <v>Benefit Lookup</v>
      </c>
      <c r="DI774" s="1584" t="str">
        <f>$DI$8</f>
        <v>Benefits (2019 $)</v>
      </c>
      <c r="DJ774" s="1584" t="str">
        <f>$DJ$8</f>
        <v>Incremental Cost (2019 $)</v>
      </c>
    </row>
    <row r="775" spans="2:114" x14ac:dyDescent="0.35">
      <c r="C775" s="1614" t="s">
        <v>2976</v>
      </c>
      <c r="D775" s="1106" t="s">
        <v>2485</v>
      </c>
      <c r="E775" s="1105" t="s">
        <v>2977</v>
      </c>
      <c r="F775" s="965">
        <f>ROUND((F787/1000)*G787+(F787/1000)*H787,2)</f>
        <v>0.67</v>
      </c>
      <c r="G775" s="1087" t="s">
        <v>2720</v>
      </c>
      <c r="H775" s="1088">
        <f>VLOOKUP(G775,'CP FACTORS'!$A$26:$B$38,2,FALSE)</f>
        <v>9.1068400000000004E-4</v>
      </c>
      <c r="I775" s="1106">
        <f>ROUND(H775*F775,6)</f>
        <v>6.0999999999999997E-4</v>
      </c>
      <c r="J775" s="1146">
        <v>10</v>
      </c>
      <c r="K775" s="1107" t="s">
        <v>611</v>
      </c>
      <c r="L775" s="1164" t="s">
        <v>2978</v>
      </c>
      <c r="V775" s="2419" t="str">
        <f>F774</f>
        <v>kWh Annual Savings (per sqft)</v>
      </c>
      <c r="W775" s="112">
        <v>0.66500000000000004</v>
      </c>
      <c r="X775" s="112">
        <v>0.66500000000000004</v>
      </c>
      <c r="Y775" s="112">
        <v>0.66500000000000004</v>
      </c>
      <c r="Z775" s="112">
        <v>0.66500000000000004</v>
      </c>
      <c r="AA775" s="112">
        <v>0.66500000000000004</v>
      </c>
      <c r="AB775" s="1516">
        <v>0.67</v>
      </c>
      <c r="AC775" s="1798">
        <v>0.67</v>
      </c>
      <c r="AD775" s="1798">
        <v>0.67</v>
      </c>
      <c r="AE775" s="141"/>
      <c r="AF775" s="141"/>
      <c r="AG775" s="141"/>
      <c r="AH775"/>
      <c r="AI775" s="88" t="s">
        <v>180</v>
      </c>
      <c r="AJ775" s="51">
        <v>10</v>
      </c>
      <c r="AK775" s="51">
        <v>10</v>
      </c>
      <c r="AL775" s="51">
        <v>10</v>
      </c>
      <c r="AM775" s="51">
        <v>10</v>
      </c>
      <c r="AN775" s="51">
        <v>10</v>
      </c>
      <c r="AO775" s="110">
        <v>10</v>
      </c>
      <c r="AP775" s="110">
        <v>10</v>
      </c>
      <c r="AQ775" s="110">
        <v>10</v>
      </c>
      <c r="AR775" s="141"/>
      <c r="AS775" s="141"/>
      <c r="AU775" s="88" t="s">
        <v>169</v>
      </c>
      <c r="AV775" s="1692" t="s">
        <v>611</v>
      </c>
      <c r="AW775" s="1692" t="s">
        <v>611</v>
      </c>
      <c r="AX775" s="1692" t="s">
        <v>611</v>
      </c>
      <c r="AY775" s="1692" t="s">
        <v>611</v>
      </c>
      <c r="AZ775" s="1692" t="s">
        <v>611</v>
      </c>
      <c r="BA775" s="1615" t="s">
        <v>611</v>
      </c>
      <c r="BB775" s="1615" t="s">
        <v>611</v>
      </c>
      <c r="BC775" s="1615" t="s">
        <v>611</v>
      </c>
      <c r="BD775" s="141"/>
      <c r="BE775" s="141"/>
      <c r="DG775" s="2121" t="e">
        <f>(DI775)/(DJ775)</f>
        <v>#VALUE!</v>
      </c>
      <c r="DH775" s="2381" t="str">
        <f>CONCATENATE(G775," ",J775," Year EUL")</f>
        <v>Cooling BUS 10 Year EUL</v>
      </c>
      <c r="DI775" s="56">
        <f>(INDEX('Avoided Cost Benefits'!$E$4:$E$859,MATCH(DH775,'Avoided Cost Benefits'!$A$4:$A$859,0)))*F775</f>
        <v>0.66972324670512551</v>
      </c>
      <c r="DJ775" s="1579" t="e">
        <f>K775/(1.0595^(2020-2019))</f>
        <v>#VALUE!</v>
      </c>
    </row>
    <row r="776" spans="2:114" x14ac:dyDescent="0.35">
      <c r="C776" s="1614" t="s">
        <v>2979</v>
      </c>
      <c r="D776" s="1106" t="s">
        <v>2485</v>
      </c>
      <c r="E776" s="1105" t="s">
        <v>2980</v>
      </c>
      <c r="F776" s="965">
        <f>ROUND((F788/1000)*G788+(F788/1000)*H788,2)</f>
        <v>1.9</v>
      </c>
      <c r="G776" s="1087" t="s">
        <v>2720</v>
      </c>
      <c r="H776" s="1088">
        <f>VLOOKUP(G776,'CP FACTORS'!$A$26:$B$38,2,FALSE)</f>
        <v>9.1068400000000004E-4</v>
      </c>
      <c r="I776" s="1106">
        <f>ROUND(H776*F776,6)</f>
        <v>1.73E-3</v>
      </c>
      <c r="J776" s="1146">
        <v>10</v>
      </c>
      <c r="K776" s="1107" t="s">
        <v>611</v>
      </c>
      <c r="L776" s="1164" t="s">
        <v>2978</v>
      </c>
      <c r="V776" s="2419" t="str">
        <f>V775</f>
        <v>kWh Annual Savings (per sqft)</v>
      </c>
      <c r="W776" s="112">
        <v>1.895</v>
      </c>
      <c r="X776" s="112">
        <v>1.895</v>
      </c>
      <c r="Y776" s="112">
        <v>1.895</v>
      </c>
      <c r="Z776" s="112">
        <v>1.895</v>
      </c>
      <c r="AA776" s="112">
        <v>1.895</v>
      </c>
      <c r="AB776" s="1516">
        <v>1.9</v>
      </c>
      <c r="AC776" s="1798">
        <v>1.9</v>
      </c>
      <c r="AD776" s="1798">
        <v>1.9</v>
      </c>
      <c r="AE776" s="141"/>
      <c r="AF776" s="141"/>
      <c r="AG776" s="141"/>
      <c r="AH776"/>
      <c r="AI776" s="88" t="s">
        <v>180</v>
      </c>
      <c r="AJ776" s="51">
        <v>10</v>
      </c>
      <c r="AK776" s="51">
        <v>10</v>
      </c>
      <c r="AL776" s="51">
        <v>10</v>
      </c>
      <c r="AM776" s="51">
        <v>10</v>
      </c>
      <c r="AN776" s="51">
        <v>10</v>
      </c>
      <c r="AO776" s="110">
        <v>10</v>
      </c>
      <c r="AP776" s="110">
        <v>10</v>
      </c>
      <c r="AQ776" s="110">
        <v>10</v>
      </c>
      <c r="AR776" s="141"/>
      <c r="AS776" s="141"/>
      <c r="AU776" s="88" t="s">
        <v>169</v>
      </c>
      <c r="AV776" s="1692" t="s">
        <v>611</v>
      </c>
      <c r="AW776" s="1692" t="s">
        <v>611</v>
      </c>
      <c r="AX776" s="1692" t="s">
        <v>611</v>
      </c>
      <c r="AY776" s="1692" t="s">
        <v>611</v>
      </c>
      <c r="AZ776" s="1692" t="s">
        <v>611</v>
      </c>
      <c r="BA776" s="1615" t="s">
        <v>611</v>
      </c>
      <c r="BB776" s="1615" t="s">
        <v>611</v>
      </c>
      <c r="BC776" s="1615" t="s">
        <v>611</v>
      </c>
      <c r="BD776" s="141"/>
      <c r="BE776" s="141"/>
      <c r="DG776" s="2122" t="e">
        <f>(DI776)/(DJ776)</f>
        <v>#VALUE!</v>
      </c>
      <c r="DH776" s="1580" t="str">
        <f>CONCATENATE(G776," ",J776," Year EUL")</f>
        <v>Cooling BUS 10 Year EUL</v>
      </c>
      <c r="DI776" s="57">
        <f>(INDEX('Avoided Cost Benefits'!$E$4:$E$859,MATCH(DH776,'Avoided Cost Benefits'!$A$4:$A$859,0)))*F776</f>
        <v>1.89921517722349</v>
      </c>
      <c r="DJ776" s="1581" t="e">
        <f>K776/(1.0595^(2020-2019))</f>
        <v>#VALUE!</v>
      </c>
    </row>
    <row r="777" spans="2:114" x14ac:dyDescent="0.35">
      <c r="C777" s="1614" t="s">
        <v>2981</v>
      </c>
      <c r="D777" s="1106" t="s">
        <v>2485</v>
      </c>
      <c r="E777" s="1105" t="s">
        <v>2982</v>
      </c>
      <c r="F777" s="965">
        <f>ROUND((F789/1000)*G789+(F789/1000)*H789,2)</f>
        <v>1.08</v>
      </c>
      <c r="G777" s="1087" t="s">
        <v>2720</v>
      </c>
      <c r="H777" s="1088">
        <f>VLOOKUP(G777,'CP FACTORS'!$A$26:$B$38,2,FALSE)</f>
        <v>9.1068400000000004E-4</v>
      </c>
      <c r="I777" s="1106">
        <f>ROUND(H777*F777,6)</f>
        <v>9.8400000000000007E-4</v>
      </c>
      <c r="J777" s="1146">
        <v>10</v>
      </c>
      <c r="K777" s="1107" t="s">
        <v>611</v>
      </c>
      <c r="L777" s="1164" t="s">
        <v>2978</v>
      </c>
      <c r="V777" s="2419" t="str">
        <f>V776</f>
        <v>kWh Annual Savings (per sqft)</v>
      </c>
      <c r="W777" s="112">
        <v>1.0750000000000002</v>
      </c>
      <c r="X777" s="112">
        <v>1.0750000000000002</v>
      </c>
      <c r="Y777" s="112">
        <v>1.0750000000000002</v>
      </c>
      <c r="Z777" s="112">
        <v>1.0750000000000002</v>
      </c>
      <c r="AA777" s="112">
        <v>1.0750000000000002</v>
      </c>
      <c r="AB777" s="1516">
        <v>1.08</v>
      </c>
      <c r="AC777" s="1798">
        <v>1.08</v>
      </c>
      <c r="AD777" s="1798">
        <v>1.08</v>
      </c>
      <c r="AE777" s="141"/>
      <c r="AF777" s="141"/>
      <c r="AG777" s="141"/>
      <c r="AH777"/>
      <c r="AI777" s="88" t="s">
        <v>180</v>
      </c>
      <c r="AJ777" s="51">
        <v>10</v>
      </c>
      <c r="AK777" s="51">
        <v>10</v>
      </c>
      <c r="AL777" s="51">
        <v>10</v>
      </c>
      <c r="AM777" s="51">
        <v>10</v>
      </c>
      <c r="AN777" s="51">
        <v>10</v>
      </c>
      <c r="AO777" s="110">
        <v>10</v>
      </c>
      <c r="AP777" s="110">
        <v>10</v>
      </c>
      <c r="AQ777" s="110">
        <v>10</v>
      </c>
      <c r="AR777" s="141"/>
      <c r="AS777" s="141"/>
      <c r="AU777" s="88" t="s">
        <v>169</v>
      </c>
      <c r="AV777" s="1692" t="s">
        <v>611</v>
      </c>
      <c r="AW777" s="1692" t="s">
        <v>611</v>
      </c>
      <c r="AX777" s="1692" t="s">
        <v>611</v>
      </c>
      <c r="AY777" s="1692" t="s">
        <v>611</v>
      </c>
      <c r="AZ777" s="1692" t="s">
        <v>611</v>
      </c>
      <c r="BA777" s="1615" t="s">
        <v>611</v>
      </c>
      <c r="BB777" s="1615" t="s">
        <v>611</v>
      </c>
      <c r="BC777" s="1615" t="s">
        <v>611</v>
      </c>
      <c r="BD777" s="141"/>
      <c r="BE777" s="141"/>
      <c r="DG777" s="2120" t="e">
        <f>(DI777)/(DJ777)</f>
        <v>#VALUE!</v>
      </c>
      <c r="DH777" s="1580" t="str">
        <f>CONCATENATE(G777," ",J777," Year EUL")</f>
        <v>Cooling BUS 10 Year EUL</v>
      </c>
      <c r="DI777" s="58">
        <f>(INDEX('Avoided Cost Benefits'!$E$4:$E$859,MATCH(DH777,'Avoided Cost Benefits'!$A$4:$A$859,0)))*F777</f>
        <v>1.0795538902112471</v>
      </c>
      <c r="DJ777" s="1582" t="e">
        <f>K777/(1.0595^(2020-2019))</f>
        <v>#VALUE!</v>
      </c>
    </row>
    <row r="778" spans="2:114" hidden="1" outlineLevel="1" x14ac:dyDescent="0.35">
      <c r="E778" s="33"/>
      <c r="F778" s="33"/>
      <c r="G778" s="33"/>
      <c r="H778" s="1096"/>
      <c r="I778" s="33"/>
      <c r="J778" s="33"/>
      <c r="K778" s="33"/>
    </row>
    <row r="779" spans="2:114" hidden="1" outlineLevel="1" x14ac:dyDescent="0.35">
      <c r="D779" s="33" t="s">
        <v>2528</v>
      </c>
      <c r="E779" s="33"/>
      <c r="F779" s="33"/>
      <c r="G779" s="33"/>
      <c r="H779" s="1096"/>
      <c r="I779" s="33"/>
      <c r="J779" s="33"/>
      <c r="K779" s="33"/>
    </row>
    <row r="780" spans="2:114" hidden="1" outlineLevel="1" x14ac:dyDescent="0.35">
      <c r="D780" s="1204"/>
      <c r="G780" s="725"/>
      <c r="H780" s="1098"/>
    </row>
    <row r="781" spans="2:114" hidden="1" outlineLevel="1" x14ac:dyDescent="0.35">
      <c r="D781" s="1204"/>
      <c r="G781" s="725"/>
      <c r="H781" s="1098"/>
    </row>
    <row r="782" spans="2:114" hidden="1" outlineLevel="1" x14ac:dyDescent="0.35">
      <c r="D782" s="1204"/>
      <c r="G782" s="725"/>
      <c r="H782" s="1098"/>
      <c r="M782" s="33"/>
    </row>
    <row r="783" spans="2:114" hidden="1" outlineLevel="1" x14ac:dyDescent="0.35">
      <c r="D783" s="1204"/>
      <c r="G783" s="725"/>
      <c r="H783" s="1098"/>
      <c r="M783" s="33"/>
    </row>
    <row r="784" spans="2:114" hidden="1" outlineLevel="1" x14ac:dyDescent="0.35">
      <c r="D784" s="1097"/>
      <c r="G784" s="725"/>
      <c r="H784" s="1098"/>
      <c r="M784" s="33"/>
    </row>
    <row r="785" spans="2:114" hidden="1" outlineLevel="1" x14ac:dyDescent="0.35">
      <c r="D785" s="1097"/>
      <c r="G785" s="725"/>
      <c r="H785" s="1098"/>
    </row>
    <row r="786" spans="2:114" s="34" customFormat="1" hidden="1" outlineLevel="1" x14ac:dyDescent="0.35">
      <c r="C786" s="132"/>
      <c r="D786" s="2327" t="s">
        <v>27</v>
      </c>
      <c r="E786" s="2327" t="s">
        <v>2597</v>
      </c>
      <c r="F786" s="70" t="s">
        <v>2983</v>
      </c>
      <c r="G786" s="2327" t="s">
        <v>2984</v>
      </c>
      <c r="H786" s="2327" t="s">
        <v>2985</v>
      </c>
      <c r="I786" s="350"/>
      <c r="J786" s="350"/>
      <c r="K786" s="350"/>
      <c r="L786" s="350"/>
      <c r="M786" s="350"/>
      <c r="N786" s="350"/>
      <c r="O786" s="350"/>
      <c r="P786" s="350"/>
      <c r="Q786" s="350"/>
      <c r="R786" s="350"/>
      <c r="S786" s="350"/>
      <c r="T786" s="350"/>
      <c r="U786" s="350"/>
      <c r="DG786" s="59"/>
    </row>
    <row r="787" spans="2:114" hidden="1" outlineLevel="1" x14ac:dyDescent="0.35">
      <c r="D787" s="1593" t="str">
        <f>C775</f>
        <v>805650_2019_12_</v>
      </c>
      <c r="E787" s="1593" t="str">
        <f>E775</f>
        <v>Demand Controlled Ventillation (Gas Heat)</v>
      </c>
      <c r="F787" s="1148">
        <v>1</v>
      </c>
      <c r="G787" s="72">
        <v>665</v>
      </c>
      <c r="H787" s="1182">
        <v>0</v>
      </c>
    </row>
    <row r="788" spans="2:114" hidden="1" outlineLevel="1" x14ac:dyDescent="0.35">
      <c r="D788" s="1593" t="str">
        <f>C776</f>
        <v>805700_2019_12_</v>
      </c>
      <c r="E788" s="1593" t="str">
        <f>E776</f>
        <v>Demand Controlled Ventillation (Electric Heat)</v>
      </c>
      <c r="F788" s="1148">
        <v>1</v>
      </c>
      <c r="G788" s="72">
        <v>665</v>
      </c>
      <c r="H788" s="1182">
        <v>1230</v>
      </c>
    </row>
    <row r="789" spans="2:114" hidden="1" outlineLevel="1" x14ac:dyDescent="0.35">
      <c r="D789" s="1593" t="str">
        <f>C777</f>
        <v>805750_2019_12_</v>
      </c>
      <c r="E789" s="1593" t="str">
        <f>E777</f>
        <v>Demand Controlled Ventillation (Heat Pump)</v>
      </c>
      <c r="F789" s="1148">
        <v>1</v>
      </c>
      <c r="G789" s="72">
        <v>665</v>
      </c>
      <c r="H789" s="1182">
        <v>410</v>
      </c>
    </row>
    <row r="790" spans="2:114" collapsed="1" x14ac:dyDescent="0.35"/>
    <row r="792" spans="2:114" s="33" customFormat="1" x14ac:dyDescent="0.35">
      <c r="B792" s="4553" t="s">
        <v>2986</v>
      </c>
      <c r="C792" s="4554"/>
      <c r="D792" s="4554"/>
      <c r="E792" s="4554"/>
      <c r="F792" s="4554"/>
      <c r="G792" s="4554"/>
      <c r="H792" s="4554"/>
      <c r="I792" s="4555"/>
      <c r="J792" s="4555"/>
      <c r="K792" s="4555"/>
      <c r="L792" s="4555"/>
      <c r="M792" s="3680"/>
      <c r="N792" s="3680"/>
      <c r="O792" s="3681"/>
      <c r="V792" s="2325" t="str">
        <f>B792</f>
        <v>Advanced RTU Controls</v>
      </c>
      <c r="W792" s="2326"/>
      <c r="X792" s="2326"/>
      <c r="Y792" s="2326"/>
      <c r="Z792" s="2326"/>
      <c r="AA792" s="2326"/>
      <c r="AB792" s="2326"/>
      <c r="AC792" s="2326"/>
      <c r="AD792" s="2326"/>
      <c r="AE792" s="2326"/>
      <c r="AF792" s="2326"/>
      <c r="AG792" s="2326"/>
      <c r="AH792" s="2326"/>
      <c r="AI792" s="2384"/>
      <c r="AJ792" s="21"/>
      <c r="AK792" s="21"/>
      <c r="AL792" s="21"/>
      <c r="AM792" s="21"/>
      <c r="AN792" s="21"/>
      <c r="AO792" s="21"/>
      <c r="AP792" s="21"/>
      <c r="AQ792" s="21"/>
      <c r="AR792" s="21"/>
      <c r="AS792" s="21"/>
      <c r="AT792" s="21"/>
      <c r="AU792" s="21"/>
      <c r="DG792" s="60"/>
    </row>
    <row r="793" spans="2:114" x14ac:dyDescent="0.35">
      <c r="D793" s="1085"/>
      <c r="E793" s="33"/>
      <c r="F793" s="33"/>
      <c r="G793" s="33"/>
      <c r="H793" s="1086"/>
      <c r="I793" s="33"/>
      <c r="J793" s="33"/>
      <c r="K793" s="33"/>
      <c r="L793" s="33"/>
      <c r="P793" s="33"/>
      <c r="Q793" s="33"/>
      <c r="R793" s="33"/>
      <c r="S793" s="33"/>
      <c r="T793" s="33"/>
      <c r="U793" s="33"/>
      <c r="V793"/>
      <c r="W793"/>
      <c r="X793"/>
      <c r="Y793"/>
      <c r="Z793"/>
      <c r="AA793"/>
      <c r="AB793"/>
      <c r="AC793"/>
      <c r="AD793"/>
      <c r="AE793"/>
      <c r="AF793"/>
      <c r="AG793"/>
      <c r="AH793"/>
      <c r="AI793"/>
      <c r="AJ793" s="31"/>
      <c r="AK793" s="31"/>
      <c r="AL793" s="31"/>
      <c r="AM793" s="31"/>
      <c r="AN793" s="31"/>
      <c r="AO793" s="31"/>
      <c r="AP793" s="31"/>
      <c r="AQ793" s="31"/>
      <c r="AR793" s="31"/>
      <c r="AS793" s="31"/>
      <c r="AT793" s="31"/>
      <c r="AU793" s="31"/>
      <c r="DG793" s="3581" t="s">
        <v>4474</v>
      </c>
    </row>
    <row r="794" spans="2:114" s="34" customFormat="1" ht="29" x14ac:dyDescent="0.35">
      <c r="B794" s="31"/>
      <c r="C794" s="35" t="s">
        <v>27</v>
      </c>
      <c r="D794" s="35" t="s">
        <v>28</v>
      </c>
      <c r="E794" s="2399" t="s">
        <v>29</v>
      </c>
      <c r="F794" s="2399" t="s">
        <v>2671</v>
      </c>
      <c r="G794" s="2399" t="s">
        <v>175</v>
      </c>
      <c r="H794" s="36" t="s">
        <v>176</v>
      </c>
      <c r="I794" s="2399" t="s">
        <v>31</v>
      </c>
      <c r="J794" s="2399" t="s">
        <v>180</v>
      </c>
      <c r="K794" s="35" t="s">
        <v>2659</v>
      </c>
      <c r="L794" s="35" t="s">
        <v>43</v>
      </c>
      <c r="M794" s="725"/>
      <c r="N794" s="725"/>
      <c r="O794" s="725"/>
      <c r="P794" s="350"/>
      <c r="Q794" s="350"/>
      <c r="R794" s="350"/>
      <c r="S794" s="350"/>
      <c r="T794" s="350"/>
      <c r="U794" s="350"/>
      <c r="V794" s="1572" t="s">
        <v>44</v>
      </c>
      <c r="W794" s="1573">
        <f>$W$8</f>
        <v>43252</v>
      </c>
      <c r="X794" s="1573">
        <f>$X$8</f>
        <v>43465</v>
      </c>
      <c r="Y794" s="1573">
        <f>$Y$8</f>
        <v>43800</v>
      </c>
      <c r="Z794" s="1573">
        <f>$Z$8</f>
        <v>43862</v>
      </c>
      <c r="AA794" s="1573">
        <f>$AA$8</f>
        <v>44013</v>
      </c>
      <c r="AB794" s="1573">
        <v>44166</v>
      </c>
      <c r="AC794" s="1573">
        <f>$AC$8</f>
        <v>44531</v>
      </c>
      <c r="AD794" s="1573">
        <f>$AD$8</f>
        <v>44774</v>
      </c>
      <c r="AE794" s="1573" t="str">
        <f>$AE$8</f>
        <v>-</v>
      </c>
      <c r="AF794" s="1573" t="str">
        <f>$AF$8</f>
        <v>-</v>
      </c>
      <c r="AG794" s="1573" t="str">
        <f>$AG$8</f>
        <v>-</v>
      </c>
      <c r="AH794"/>
      <c r="AI794" s="1572" t="s">
        <v>44</v>
      </c>
      <c r="AJ794" s="1573">
        <v>43252</v>
      </c>
      <c r="AK794" s="1573">
        <f>$X$8</f>
        <v>43465</v>
      </c>
      <c r="AL794" s="1573">
        <f>$Y$8</f>
        <v>43800</v>
      </c>
      <c r="AM794" s="1573">
        <f>$Z$8</f>
        <v>43862</v>
      </c>
      <c r="AN794" s="1573">
        <f>$AA$8</f>
        <v>44013</v>
      </c>
      <c r="AO794" s="1573">
        <f>$AB$8</f>
        <v>44166</v>
      </c>
      <c r="AP794" s="1573">
        <f>$AC$8</f>
        <v>44531</v>
      </c>
      <c r="AQ794" s="1573">
        <f>$AD$8</f>
        <v>44774</v>
      </c>
      <c r="AR794" s="1573" t="str">
        <f>$AE$8</f>
        <v>-</v>
      </c>
      <c r="AS794" s="1573" t="str">
        <f>$AF$8</f>
        <v>-</v>
      </c>
      <c r="AT794" s="21"/>
      <c r="AU794" s="1572" t="s">
        <v>44</v>
      </c>
      <c r="AV794" s="1573">
        <v>43252</v>
      </c>
      <c r="AW794" s="1573">
        <f>$X$8</f>
        <v>43465</v>
      </c>
      <c r="AX794" s="1573">
        <f>$Y$8</f>
        <v>43800</v>
      </c>
      <c r="AY794" s="1573">
        <f>$Z$8</f>
        <v>43862</v>
      </c>
      <c r="AZ794" s="1573">
        <f>$AA$8</f>
        <v>44013</v>
      </c>
      <c r="BA794" s="1573">
        <v>44166</v>
      </c>
      <c r="BB794" s="1573">
        <f>$AC$8</f>
        <v>44531</v>
      </c>
      <c r="BC794" s="1573">
        <f>$AD$8</f>
        <v>44774</v>
      </c>
      <c r="BD794" s="1573" t="str">
        <f>$AE$8</f>
        <v>-</v>
      </c>
      <c r="BE794" s="1573" t="str">
        <f>$AF$8</f>
        <v>-</v>
      </c>
      <c r="DG794" s="1574" t="str">
        <f>$DG$8</f>
        <v>TRC (2022)</v>
      </c>
      <c r="DH794" s="1584" t="str">
        <f>$DH$8</f>
        <v>Benefit Lookup</v>
      </c>
      <c r="DI794" s="1584" t="str">
        <f>$DI$8</f>
        <v>Benefits (2019 $)</v>
      </c>
      <c r="DJ794" s="1584" t="str">
        <f>$DJ$8</f>
        <v>Incremental Cost (2019 $)</v>
      </c>
    </row>
    <row r="795" spans="2:114" x14ac:dyDescent="0.35">
      <c r="C795" s="1614" t="s">
        <v>2987</v>
      </c>
      <c r="D795" s="1106" t="s">
        <v>2485</v>
      </c>
      <c r="E795" s="1105" t="s">
        <v>2986</v>
      </c>
      <c r="F795" s="965">
        <f>ROUND(F805*G805*H805,2)</f>
        <v>3779.33</v>
      </c>
      <c r="G795" s="1087" t="s">
        <v>2736</v>
      </c>
      <c r="H795" s="1088">
        <f>VLOOKUP(G795,'CP FACTORS'!$A$26:$B$38,2,FALSE)</f>
        <v>4.4398300000000001E-4</v>
      </c>
      <c r="I795" s="1106">
        <f>ROUND(H795*F795,6)</f>
        <v>1.6779580000000001</v>
      </c>
      <c r="J795" s="289">
        <v>15</v>
      </c>
      <c r="K795" s="1123">
        <v>4038</v>
      </c>
      <c r="L795" s="1164" t="s">
        <v>184</v>
      </c>
      <c r="V795" s="2419" t="str">
        <f>F794</f>
        <v>kWh Annual Savings (per HP)</v>
      </c>
      <c r="W795" s="112">
        <v>3779.3340000000003</v>
      </c>
      <c r="X795" s="112">
        <v>3779.3340000000003</v>
      </c>
      <c r="Y795" s="112">
        <v>3779.3340000000003</v>
      </c>
      <c r="Z795" s="112">
        <v>3779.3340000000003</v>
      </c>
      <c r="AA795" s="112">
        <v>3779.3340000000003</v>
      </c>
      <c r="AB795" s="1516">
        <v>3779.33</v>
      </c>
      <c r="AC795" s="1798">
        <v>3779.33</v>
      </c>
      <c r="AD795" s="1798">
        <v>3779.33</v>
      </c>
      <c r="AE795" s="141"/>
      <c r="AF795" s="141"/>
      <c r="AG795" s="141"/>
      <c r="AH795"/>
      <c r="AI795" s="88" t="s">
        <v>180</v>
      </c>
      <c r="AJ795" s="51">
        <v>15</v>
      </c>
      <c r="AK795" s="51">
        <v>15</v>
      </c>
      <c r="AL795" s="51">
        <v>15</v>
      </c>
      <c r="AM795" s="51">
        <v>15</v>
      </c>
      <c r="AN795" s="51">
        <v>15</v>
      </c>
      <c r="AO795" s="110">
        <v>15</v>
      </c>
      <c r="AP795" s="1691">
        <v>15</v>
      </c>
      <c r="AQ795" s="1691">
        <v>15</v>
      </c>
      <c r="AR795" s="141"/>
      <c r="AS795" s="141"/>
      <c r="AU795" s="88" t="s">
        <v>169</v>
      </c>
      <c r="AV795" s="1692">
        <v>4038</v>
      </c>
      <c r="AW795" s="1692">
        <v>4038</v>
      </c>
      <c r="AX795" s="1692">
        <v>4038</v>
      </c>
      <c r="AY795" s="1692">
        <v>4038</v>
      </c>
      <c r="AZ795" s="1692">
        <v>4038</v>
      </c>
      <c r="BA795" s="1615">
        <v>4038</v>
      </c>
      <c r="BB795" s="1615">
        <v>4038</v>
      </c>
      <c r="BC795" s="1615">
        <v>4038</v>
      </c>
      <c r="BD795" s="141"/>
      <c r="BE795" s="141"/>
      <c r="DG795" s="1585">
        <f>(DI795)/(DJ795)</f>
        <v>0.88932894873934742</v>
      </c>
      <c r="DH795" s="2381" t="str">
        <f>CONCATENATE(G795," ",J795," Year EUL")</f>
        <v>HVAC BUS 15 Year EUL</v>
      </c>
      <c r="DI795" s="1586">
        <f>(INDEX('Avoided Cost Benefits'!$E$4:$E$859,MATCH(DH795,'Avoided Cost Benefits'!$A$4:$A$859,0)))*F795</f>
        <v>3389.4386927885648</v>
      </c>
      <c r="DJ795" s="1587">
        <f>K795/(1.0595^(2020-2019))</f>
        <v>3811.2317130722035</v>
      </c>
    </row>
    <row r="796" spans="2:114" hidden="1" outlineLevel="1" x14ac:dyDescent="0.35">
      <c r="E796" s="33"/>
      <c r="F796" s="33"/>
      <c r="G796" s="33"/>
      <c r="H796" s="1096"/>
      <c r="I796" s="33"/>
      <c r="J796" s="33"/>
      <c r="K796" s="33"/>
      <c r="V796" s="2419" t="str">
        <f>V795</f>
        <v>kWh Annual Savings (per HP)</v>
      </c>
      <c r="W796" s="112">
        <v>3779.3340000000003</v>
      </c>
      <c r="X796" s="112">
        <v>3779.3340000000003</v>
      </c>
      <c r="Y796" s="112">
        <v>3779.3340000000003</v>
      </c>
      <c r="Z796" s="112">
        <v>3779.3340000000003</v>
      </c>
      <c r="AA796" s="112">
        <v>3779.3340000000003</v>
      </c>
      <c r="AB796" s="1516">
        <v>0</v>
      </c>
      <c r="AC796" s="141"/>
      <c r="AD796" s="141"/>
      <c r="AE796" s="141"/>
      <c r="AF796" s="141"/>
      <c r="AG796" s="141"/>
      <c r="AH796"/>
      <c r="AI796"/>
      <c r="AJ796"/>
      <c r="AK796"/>
      <c r="AL796"/>
      <c r="AM796"/>
      <c r="AN796"/>
      <c r="AO796"/>
      <c r="AP796"/>
      <c r="AQ796"/>
      <c r="AR796"/>
      <c r="AS796"/>
      <c r="AT796"/>
      <c r="AU796"/>
      <c r="AV796"/>
      <c r="AW796"/>
      <c r="AX796"/>
      <c r="AY796"/>
      <c r="AZ796"/>
      <c r="BA796"/>
      <c r="BB796"/>
      <c r="BC796"/>
      <c r="BD796"/>
      <c r="BE796"/>
      <c r="BF796"/>
      <c r="BG796"/>
      <c r="BH796"/>
      <c r="BI796"/>
      <c r="BJ796"/>
      <c r="BK796"/>
    </row>
    <row r="797" spans="2:114" hidden="1" outlineLevel="1" x14ac:dyDescent="0.35">
      <c r="D797" s="33" t="s">
        <v>2528</v>
      </c>
      <c r="E797" s="132"/>
      <c r="F797" s="33"/>
      <c r="G797" s="33"/>
      <c r="H797" s="1096"/>
      <c r="I797" s="33"/>
      <c r="J797" s="33"/>
      <c r="K797" s="132"/>
    </row>
    <row r="798" spans="2:114" ht="18" hidden="1" customHeight="1" outlineLevel="1" x14ac:dyDescent="0.35">
      <c r="D798" s="1097"/>
      <c r="E798" s="132"/>
      <c r="F798" s="132"/>
      <c r="G798" s="725"/>
      <c r="H798" s="1098"/>
    </row>
    <row r="799" spans="2:114" hidden="1" outlineLevel="1" x14ac:dyDescent="0.35">
      <c r="D799" s="1097"/>
      <c r="G799" s="725"/>
      <c r="H799" s="1098"/>
      <c r="P799" s="4561"/>
      <c r="Q799" s="4561"/>
    </row>
    <row r="800" spans="2:114" hidden="1" outlineLevel="1" x14ac:dyDescent="0.35">
      <c r="D800" s="1097"/>
      <c r="G800" s="725"/>
      <c r="H800" s="1098"/>
      <c r="M800" s="33"/>
      <c r="P800" s="4561"/>
      <c r="Q800" s="4561"/>
    </row>
    <row r="801" spans="1:114" hidden="1" outlineLevel="1" x14ac:dyDescent="0.35">
      <c r="D801" s="1097"/>
      <c r="G801" s="725"/>
      <c r="H801" s="1098"/>
      <c r="M801" s="33"/>
      <c r="P801" s="4561"/>
      <c r="Q801" s="4561"/>
    </row>
    <row r="802" spans="1:114" hidden="1" outlineLevel="1" x14ac:dyDescent="0.35">
      <c r="D802" s="1097"/>
      <c r="G802" s="725"/>
      <c r="H802" s="1098"/>
      <c r="M802" s="33"/>
    </row>
    <row r="803" spans="1:114" hidden="1" outlineLevel="1" x14ac:dyDescent="0.35">
      <c r="D803" s="1097"/>
      <c r="G803" s="725"/>
      <c r="H803" s="1098"/>
    </row>
    <row r="804" spans="1:114" s="34" customFormat="1" hidden="1" outlineLevel="1" x14ac:dyDescent="0.35">
      <c r="C804" s="132"/>
      <c r="D804" s="2327" t="s">
        <v>27</v>
      </c>
      <c r="E804" s="2327" t="s">
        <v>2597</v>
      </c>
      <c r="F804" s="68" t="s">
        <v>2988</v>
      </c>
      <c r="G804" s="2327" t="s">
        <v>2989</v>
      </c>
      <c r="H804" s="2327" t="s">
        <v>2990</v>
      </c>
      <c r="I804" s="350"/>
      <c r="J804" s="350"/>
      <c r="K804" s="350"/>
      <c r="L804" s="350"/>
      <c r="M804" s="350"/>
      <c r="N804" s="350"/>
      <c r="O804" s="350"/>
      <c r="P804" s="350"/>
      <c r="Q804" s="350"/>
      <c r="R804" s="350"/>
      <c r="S804" s="350"/>
      <c r="T804" s="350"/>
      <c r="U804" s="350"/>
      <c r="DG804" s="59"/>
    </row>
    <row r="805" spans="1:114" hidden="1" outlineLevel="1" x14ac:dyDescent="0.35">
      <c r="D805" s="1593" t="str">
        <f>C795</f>
        <v>805800_2019_12_</v>
      </c>
      <c r="E805" s="1593" t="str">
        <f>E795</f>
        <v>Advanced RTU Controls</v>
      </c>
      <c r="F805" s="1148">
        <v>1</v>
      </c>
      <c r="G805" s="1205">
        <v>0.55800000000000005</v>
      </c>
      <c r="H805" s="76">
        <v>6773</v>
      </c>
    </row>
    <row r="806" spans="1:114" collapsed="1" x14ac:dyDescent="0.35"/>
    <row r="808" spans="1:114" s="33" customFormat="1" x14ac:dyDescent="0.35">
      <c r="A808" s="21"/>
      <c r="B808" s="4553" t="s">
        <v>2991</v>
      </c>
      <c r="C808" s="4554"/>
      <c r="D808" s="4554"/>
      <c r="E808" s="4554"/>
      <c r="F808" s="4554"/>
      <c r="G808" s="4554"/>
      <c r="H808" s="4554"/>
      <c r="I808" s="4555"/>
      <c r="J808" s="4555"/>
      <c r="K808" s="4555"/>
      <c r="L808" s="4555"/>
      <c r="M808" s="3680"/>
      <c r="N808" s="3680"/>
      <c r="O808" s="3681"/>
      <c r="V808" s="2325" t="str">
        <f>B808</f>
        <v>PTAC &amp; PTHP</v>
      </c>
      <c r="W808" s="2326"/>
      <c r="X808" s="2326"/>
      <c r="Y808" s="2326"/>
      <c r="Z808" s="2326"/>
      <c r="AA808" s="2326"/>
      <c r="AB808" s="2326"/>
      <c r="AC808" s="2326"/>
      <c r="AD808" s="2326"/>
      <c r="AE808" s="2326"/>
      <c r="AF808" s="2326"/>
      <c r="AG808" s="2326"/>
      <c r="AH808" s="2326"/>
      <c r="AI808" s="2384"/>
      <c r="AJ808" s="21"/>
      <c r="AK808" s="21"/>
      <c r="AL808" s="21"/>
      <c r="AM808" s="21"/>
      <c r="AN808" s="21"/>
      <c r="AO808" s="21"/>
      <c r="AP808" s="21"/>
      <c r="AQ808" s="21"/>
      <c r="AR808" s="21"/>
      <c r="AS808" s="21"/>
      <c r="AT808" s="21"/>
      <c r="AU808" s="21"/>
      <c r="DG808" s="60"/>
    </row>
    <row r="809" spans="1:114" x14ac:dyDescent="0.35">
      <c r="D809" s="1085"/>
      <c r="E809" s="33"/>
      <c r="F809" s="33"/>
      <c r="G809" s="33"/>
      <c r="H809" s="1086"/>
      <c r="I809" s="33"/>
      <c r="J809" s="33"/>
      <c r="K809" s="33"/>
      <c r="L809" s="33"/>
      <c r="P809" s="33"/>
      <c r="Q809" s="33"/>
      <c r="R809" s="33"/>
      <c r="S809" s="33"/>
      <c r="T809" s="33"/>
      <c r="U809" s="33"/>
      <c r="V809"/>
      <c r="W809"/>
      <c r="X809"/>
      <c r="Y809"/>
      <c r="Z809"/>
      <c r="AA809"/>
      <c r="AB809"/>
      <c r="AC809"/>
      <c r="AD809"/>
      <c r="AE809"/>
      <c r="AF809"/>
      <c r="AG809"/>
      <c r="AH809"/>
      <c r="AI809"/>
      <c r="AJ809" s="31"/>
      <c r="AK809" s="31"/>
      <c r="AL809" s="31"/>
      <c r="AM809" s="31"/>
      <c r="AN809" s="31"/>
      <c r="AO809" s="31"/>
      <c r="AP809" s="31"/>
      <c r="AQ809" s="31"/>
      <c r="AR809" s="31"/>
      <c r="AS809" s="31"/>
      <c r="AT809" s="31"/>
      <c r="AU809" s="31"/>
    </row>
    <row r="810" spans="1:114" s="34" customFormat="1" ht="43.5" x14ac:dyDescent="0.35">
      <c r="B810" s="31"/>
      <c r="C810" s="35" t="s">
        <v>27</v>
      </c>
      <c r="D810" s="35" t="s">
        <v>28</v>
      </c>
      <c r="E810" s="2399" t="s">
        <v>29</v>
      </c>
      <c r="F810" s="2399" t="s">
        <v>2992</v>
      </c>
      <c r="G810" s="2399" t="s">
        <v>2993</v>
      </c>
      <c r="H810" s="2399" t="s">
        <v>175</v>
      </c>
      <c r="I810" s="36" t="s">
        <v>176</v>
      </c>
      <c r="J810" s="2399" t="s">
        <v>2994</v>
      </c>
      <c r="K810" s="2399" t="s">
        <v>2995</v>
      </c>
      <c r="L810" s="2399" t="s">
        <v>180</v>
      </c>
      <c r="M810" s="35" t="s">
        <v>2809</v>
      </c>
      <c r="N810" s="35" t="s">
        <v>43</v>
      </c>
      <c r="O810" s="725"/>
      <c r="P810" s="725"/>
      <c r="Q810" s="725"/>
      <c r="R810" s="350"/>
      <c r="S810" s="350"/>
      <c r="T810" s="350"/>
      <c r="U810" s="350"/>
      <c r="V810" s="1572" t="s">
        <v>44</v>
      </c>
      <c r="W810" s="1573">
        <f>$W$8</f>
        <v>43252</v>
      </c>
      <c r="X810" s="1573">
        <f>$X$8</f>
        <v>43465</v>
      </c>
      <c r="Y810" s="1573">
        <f>$Y$8</f>
        <v>43800</v>
      </c>
      <c r="Z810" s="1573">
        <f>$Z$8</f>
        <v>43862</v>
      </c>
      <c r="AA810" s="1573">
        <f>$AA$8</f>
        <v>44013</v>
      </c>
      <c r="AB810" s="1573">
        <v>44166</v>
      </c>
      <c r="AC810" s="1573">
        <f>$AC$8</f>
        <v>44531</v>
      </c>
      <c r="AD810" s="1573">
        <f>$AD$8</f>
        <v>44774</v>
      </c>
      <c r="AE810" s="1573" t="str">
        <f>$AE$8</f>
        <v>-</v>
      </c>
      <c r="AF810" s="1573" t="str">
        <f>$AF$8</f>
        <v>-</v>
      </c>
      <c r="AG810" s="1573" t="str">
        <f>$AG$8</f>
        <v>-</v>
      </c>
      <c r="AH810"/>
      <c r="AI810" s="1572" t="s">
        <v>44</v>
      </c>
      <c r="AJ810" s="1573">
        <v>43252</v>
      </c>
      <c r="AK810" s="1573">
        <f>$X$8</f>
        <v>43465</v>
      </c>
      <c r="AL810" s="1573">
        <f>$Y$8</f>
        <v>43800</v>
      </c>
      <c r="AM810" s="1573">
        <f>$Z$8</f>
        <v>43862</v>
      </c>
      <c r="AN810" s="1573">
        <f>$AA$8</f>
        <v>44013</v>
      </c>
      <c r="AO810" s="1573">
        <f>$AB$8</f>
        <v>44166</v>
      </c>
      <c r="AP810" s="1573">
        <f>$AC$8</f>
        <v>44531</v>
      </c>
      <c r="AQ810" s="1573">
        <f>$AD$8</f>
        <v>44774</v>
      </c>
      <c r="AR810" s="1573" t="str">
        <f>$AE$8</f>
        <v>-</v>
      </c>
      <c r="AS810" s="1573" t="str">
        <f>$AF$8</f>
        <v>-</v>
      </c>
      <c r="AT810"/>
      <c r="AU810" s="1572" t="s">
        <v>44</v>
      </c>
      <c r="AV810" s="1573">
        <v>43252</v>
      </c>
      <c r="AW810" s="1573">
        <f>$X$8</f>
        <v>43465</v>
      </c>
      <c r="AX810" s="1573">
        <f>$Y$8</f>
        <v>43800</v>
      </c>
      <c r="AY810" s="1573">
        <f>$Z$8</f>
        <v>43862</v>
      </c>
      <c r="AZ810" s="1573">
        <f>$AA$8</f>
        <v>44013</v>
      </c>
      <c r="BA810" s="1573">
        <v>44166</v>
      </c>
      <c r="BB810" s="1573">
        <f>$AC$8</f>
        <v>44531</v>
      </c>
      <c r="BC810" s="1573">
        <f>$AD$8</f>
        <v>44774</v>
      </c>
      <c r="BD810" s="1573" t="str">
        <f>$AE$8</f>
        <v>-</v>
      </c>
      <c r="BE810" s="1573" t="str">
        <f>$AF$8</f>
        <v>-</v>
      </c>
      <c r="BF810" s="21"/>
      <c r="BG810" s="1572" t="s">
        <v>44</v>
      </c>
      <c r="BH810" s="1573">
        <v>43252</v>
      </c>
      <c r="BI810" s="1573">
        <f>$X$8</f>
        <v>43465</v>
      </c>
      <c r="BJ810" s="1573">
        <f>$Y$8</f>
        <v>43800</v>
      </c>
      <c r="BK810" s="1573">
        <f>$Z$8</f>
        <v>43862</v>
      </c>
      <c r="BL810" s="1573">
        <f>$AA$8</f>
        <v>44013</v>
      </c>
      <c r="BM810" s="1573">
        <v>44166</v>
      </c>
      <c r="BN810" s="1573">
        <f>$AC$8</f>
        <v>44531</v>
      </c>
      <c r="BO810" s="1573">
        <f>$AD$8</f>
        <v>44774</v>
      </c>
      <c r="BP810" s="1573" t="str">
        <f>$AE$8</f>
        <v>-</v>
      </c>
      <c r="BQ810" s="1573" t="str">
        <f>$AF$8</f>
        <v>-</v>
      </c>
      <c r="DG810" s="1574" t="str">
        <f>$DG$8</f>
        <v>TRC (2022)</v>
      </c>
      <c r="DH810" s="1584" t="str">
        <f>$DH$8</f>
        <v>Benefit Lookup</v>
      </c>
      <c r="DI810" s="1584" t="str">
        <f>$DI$8</f>
        <v>Benefits (2019 $)</v>
      </c>
      <c r="DJ810" s="1584" t="str">
        <f>$DJ$8</f>
        <v>Incremental Cost (2019 $)</v>
      </c>
    </row>
    <row r="811" spans="1:114" x14ac:dyDescent="0.35">
      <c r="C811" s="1614" t="s">
        <v>2996</v>
      </c>
      <c r="D811" s="1106" t="s">
        <v>2485</v>
      </c>
      <c r="E811" s="1105" t="s">
        <v>2997</v>
      </c>
      <c r="F811" s="965">
        <f>ROUND((F822*(1/I822-1/K822)*G822)+((L822/3.412)*(1/M822-1/O822)*H822),2)</f>
        <v>411.27</v>
      </c>
      <c r="G811" s="51">
        <f>(F822*(1/J822-1/K822)*G822)+((L822/3.412)*(1/N822-1/O822)*H822)</f>
        <v>10.53878231859869</v>
      </c>
      <c r="H811" s="1087" t="s">
        <v>2720</v>
      </c>
      <c r="I811" s="1088">
        <v>9.1068395835808389E-4</v>
      </c>
      <c r="J811" s="1206">
        <f>ROUND(I811*(F811-((L822/3.412)*(1/M822-1/O822)*H822)),6)</f>
        <v>0.37453700000000001</v>
      </c>
      <c r="K811" s="1207">
        <f>ROUND(I811*(G811-((L822/3.412)*(1/N822-1/O822)*H822)),6)</f>
        <v>9.5969999999999996E-3</v>
      </c>
      <c r="L811" s="1187">
        <v>15</v>
      </c>
      <c r="M811" s="1107">
        <v>1047</v>
      </c>
      <c r="N811" s="1164" t="s">
        <v>2766</v>
      </c>
      <c r="V811" s="2419" t="str">
        <f>F810</f>
        <v>kWh Annual Savings (per ton) first 5 years</v>
      </c>
      <c r="W811" s="112">
        <v>411.27272727272731</v>
      </c>
      <c r="X811" s="112">
        <v>411.27272727272731</v>
      </c>
      <c r="Y811" s="112">
        <v>411.27272727272731</v>
      </c>
      <c r="Z811" s="112">
        <v>411.27272727272731</v>
      </c>
      <c r="AA811" s="112">
        <v>411.27272727272731</v>
      </c>
      <c r="AB811" s="1516">
        <v>411.27</v>
      </c>
      <c r="AC811" s="1798">
        <v>411.27</v>
      </c>
      <c r="AD811" s="1798">
        <v>411.27</v>
      </c>
      <c r="AE811" s="141"/>
      <c r="AF811" s="141"/>
      <c r="AG811" s="141"/>
      <c r="AH811"/>
      <c r="AI811" s="88" t="str">
        <f>G810</f>
        <v>kWh Annual Savings (per ton) next ten years</v>
      </c>
      <c r="AJ811" s="112">
        <v>10.53878231859869</v>
      </c>
      <c r="AK811" s="112">
        <v>10.53878231859869</v>
      </c>
      <c r="AL811" s="112">
        <v>10.53878231859869</v>
      </c>
      <c r="AM811" s="112">
        <v>10.53878231859869</v>
      </c>
      <c r="AN811" s="112">
        <v>10.53878231859869</v>
      </c>
      <c r="AO811" s="110">
        <v>10.53878231859869</v>
      </c>
      <c r="AP811" s="1516">
        <v>10.53878231859869</v>
      </c>
      <c r="AQ811" s="1516">
        <v>10.53878231859869</v>
      </c>
      <c r="AR811" s="141"/>
      <c r="AS811" s="141"/>
      <c r="AT811"/>
      <c r="AU811" s="88" t="s">
        <v>180</v>
      </c>
      <c r="AV811" s="77">
        <v>15</v>
      </c>
      <c r="AW811" s="77">
        <v>15</v>
      </c>
      <c r="AX811" s="77">
        <v>15</v>
      </c>
      <c r="AY811" s="77">
        <v>15</v>
      </c>
      <c r="AZ811" s="77">
        <v>15</v>
      </c>
      <c r="BA811" s="77">
        <v>15</v>
      </c>
      <c r="BB811" s="77">
        <v>15</v>
      </c>
      <c r="BC811" s="77">
        <v>15</v>
      </c>
      <c r="BD811" s="141"/>
      <c r="BE811" s="141"/>
      <c r="BG811" s="88" t="s">
        <v>169</v>
      </c>
      <c r="BH811" s="1695">
        <v>1047</v>
      </c>
      <c r="BI811" s="1695">
        <v>1047</v>
      </c>
      <c r="BJ811" s="1695">
        <v>1047</v>
      </c>
      <c r="BK811" s="1695">
        <v>1047</v>
      </c>
      <c r="BL811" s="1695">
        <v>1047</v>
      </c>
      <c r="BM811" s="1695">
        <v>1047</v>
      </c>
      <c r="BN811" s="1695">
        <v>1047</v>
      </c>
      <c r="BO811" s="1695">
        <v>1047</v>
      </c>
      <c r="BP811" s="1695"/>
      <c r="BQ811" s="1695"/>
      <c r="DG811" s="1578">
        <f>(DI811)/(DJ811)</f>
        <v>0.59224787357243758</v>
      </c>
      <c r="DH811" s="2381" t="str">
        <f>CONCATENATE(H811," ",L811," Year EUL")</f>
        <v>Cooling BUS 15 Year EUL</v>
      </c>
      <c r="DI811" s="56">
        <f>(INDEX('Avoided Cost Benefits'!$E$4:$E$859,MATCH(DH811,'Avoided Cost Benefits'!$A$4:$A$859,0)))*F811</f>
        <v>585.26052253925627</v>
      </c>
      <c r="DJ811" s="1579">
        <f>M811/(1.0595^(2020-2019))</f>
        <v>988.20198206701264</v>
      </c>
    </row>
    <row r="812" spans="1:114" x14ac:dyDescent="0.35">
      <c r="C812" s="1614" t="s">
        <v>2998</v>
      </c>
      <c r="D812" s="1106" t="s">
        <v>2485</v>
      </c>
      <c r="E812" s="1105" t="s">
        <v>2999</v>
      </c>
      <c r="F812" s="965">
        <f>ROUND((F823*(1/I823-1/K823)*G823)+((L823/3.412)*(1/M823-1/O823)*H823),2)</f>
        <v>715.42</v>
      </c>
      <c r="G812" s="51">
        <f>(F823*(1/J823-1/K823)*G823)+((L823/3.412)*(1/N823-1/O823)*H823)</f>
        <v>177.09378296037951</v>
      </c>
      <c r="H812" s="1087" t="s">
        <v>2720</v>
      </c>
      <c r="I812" s="1088">
        <v>9.1068395835808389E-4</v>
      </c>
      <c r="J812" s="1206">
        <f>ROUND(I812*(F812-((L823/3.412)*(1/M823-1/O823)*H823)),6)</f>
        <v>0.37453599999999998</v>
      </c>
      <c r="K812" s="1207">
        <f>ROUND(I812*(G812-((L823/3.412)*(1/N823-1/O823)*H823)),6)</f>
        <v>1.9373000000000001E-2</v>
      </c>
      <c r="L812" s="289">
        <v>15</v>
      </c>
      <c r="M812" s="1107">
        <v>1047</v>
      </c>
      <c r="N812" s="1164" t="s">
        <v>2766</v>
      </c>
      <c r="V812" s="2419" t="str">
        <f>F810</f>
        <v>kWh Annual Savings (per ton) first 5 years</v>
      </c>
      <c r="W812" s="112">
        <v>715.42344173997162</v>
      </c>
      <c r="X812" s="112">
        <v>715.42344173997162</v>
      </c>
      <c r="Y812" s="112">
        <v>715.42344173997162</v>
      </c>
      <c r="Z812" s="112">
        <v>715.42344173997162</v>
      </c>
      <c r="AA812" s="112">
        <v>715.42344173997162</v>
      </c>
      <c r="AB812" s="1516">
        <v>715.42</v>
      </c>
      <c r="AC812" s="1798">
        <v>715.42</v>
      </c>
      <c r="AD812" s="1798">
        <v>715.42</v>
      </c>
      <c r="AE812" s="141"/>
      <c r="AF812" s="141"/>
      <c r="AG812" s="141"/>
      <c r="AH812"/>
      <c r="AI812" s="88" t="str">
        <f>AI811</f>
        <v>kWh Annual Savings (per ton) next ten years</v>
      </c>
      <c r="AJ812" s="112">
        <v>177.09378296037951</v>
      </c>
      <c r="AK812" s="112">
        <v>177.09378296037951</v>
      </c>
      <c r="AL812" s="112">
        <v>177.09378296037951</v>
      </c>
      <c r="AM812" s="112">
        <v>177.09378296037951</v>
      </c>
      <c r="AN812" s="112">
        <v>177.09378296037951</v>
      </c>
      <c r="AO812" s="110">
        <v>177.09378296037951</v>
      </c>
      <c r="AP812" s="1516">
        <v>177.09378296037951</v>
      </c>
      <c r="AQ812" s="1516">
        <v>177.09378296037951</v>
      </c>
      <c r="AR812" s="141"/>
      <c r="AS812" s="141"/>
      <c r="AT812"/>
      <c r="AU812" s="88" t="s">
        <v>180</v>
      </c>
      <c r="AV812" s="71">
        <v>15</v>
      </c>
      <c r="AW812" s="71">
        <v>15</v>
      </c>
      <c r="AX812" s="71">
        <v>15</v>
      </c>
      <c r="AY812" s="71">
        <v>15</v>
      </c>
      <c r="AZ812" s="71">
        <v>15</v>
      </c>
      <c r="BA812" s="71">
        <v>15</v>
      </c>
      <c r="BB812" s="71">
        <v>15</v>
      </c>
      <c r="BC812" s="71">
        <v>15</v>
      </c>
      <c r="BD812" s="141"/>
      <c r="BE812" s="141"/>
      <c r="BG812" s="88" t="s">
        <v>169</v>
      </c>
      <c r="BH812" s="1695">
        <v>1047</v>
      </c>
      <c r="BI812" s="1695">
        <v>1047</v>
      </c>
      <c r="BJ812" s="1695">
        <v>1047</v>
      </c>
      <c r="BK812" s="1695">
        <v>1047</v>
      </c>
      <c r="BL812" s="1695">
        <v>1047</v>
      </c>
      <c r="BM812" s="1695">
        <v>1047</v>
      </c>
      <c r="BN812" s="1695">
        <v>1047</v>
      </c>
      <c r="BO812" s="1695">
        <v>1047</v>
      </c>
      <c r="BP812" s="1695"/>
      <c r="BQ812" s="1695"/>
      <c r="DG812" s="41">
        <f>(DI812)/(DJ812)</f>
        <v>1.0302379792136389</v>
      </c>
      <c r="DH812" s="1580" t="str">
        <f>CONCATENATE(H812," ",L812," Year EUL")</f>
        <v>Cooling BUS 15 Year EUL</v>
      </c>
      <c r="DI812" s="58">
        <f>(INDEX('Avoided Cost Benefits'!$E$4:$E$859,MATCH(DH812,'Avoided Cost Benefits'!$A$4:$A$859,0)))*F812</f>
        <v>1018.0832130596317</v>
      </c>
      <c r="DJ812" s="1582">
        <f>M812/(1.0595^(2020-2019))</f>
        <v>988.20198206701264</v>
      </c>
    </row>
    <row r="813" spans="1:114" hidden="1" outlineLevel="1" x14ac:dyDescent="0.35">
      <c r="E813" s="33"/>
      <c r="F813" s="33"/>
      <c r="G813" s="33"/>
      <c r="H813" s="1096"/>
      <c r="I813" s="33"/>
      <c r="J813" s="33"/>
      <c r="K813" s="33"/>
    </row>
    <row r="814" spans="1:114" hidden="1" outlineLevel="1" x14ac:dyDescent="0.35">
      <c r="D814" s="33" t="s">
        <v>2528</v>
      </c>
      <c r="E814" s="132"/>
      <c r="F814" s="33"/>
      <c r="G814" s="33"/>
      <c r="H814" s="1096"/>
      <c r="I814" s="33"/>
      <c r="J814" s="33"/>
      <c r="K814" s="132"/>
    </row>
    <row r="815" spans="1:114" hidden="1" outlineLevel="1" x14ac:dyDescent="0.35">
      <c r="D815" s="1097"/>
      <c r="E815" s="132"/>
      <c r="F815" s="132"/>
      <c r="G815" s="725"/>
      <c r="H815" s="1098"/>
    </row>
    <row r="816" spans="1:114" hidden="1" outlineLevel="1" x14ac:dyDescent="0.35">
      <c r="D816" s="1097"/>
      <c r="G816" s="725"/>
      <c r="H816" s="1098"/>
      <c r="P816" s="4561"/>
      <c r="Q816" s="4561"/>
    </row>
    <row r="817" spans="2:114" hidden="1" outlineLevel="1" x14ac:dyDescent="0.35">
      <c r="D817" s="1097"/>
      <c r="G817" s="725"/>
      <c r="H817" s="1098"/>
      <c r="M817" s="33"/>
      <c r="P817" s="4561"/>
      <c r="Q817" s="4561"/>
    </row>
    <row r="818" spans="2:114" hidden="1" outlineLevel="1" x14ac:dyDescent="0.35">
      <c r="D818" s="1097"/>
      <c r="G818" s="725"/>
      <c r="H818" s="1098"/>
      <c r="M818" s="33"/>
      <c r="P818" s="4561"/>
      <c r="Q818" s="4561"/>
    </row>
    <row r="819" spans="2:114" hidden="1" outlineLevel="1" x14ac:dyDescent="0.35">
      <c r="D819" s="1097"/>
      <c r="G819" s="725"/>
      <c r="H819" s="1098"/>
      <c r="M819" s="33"/>
    </row>
    <row r="820" spans="2:114" hidden="1" outlineLevel="1" x14ac:dyDescent="0.35">
      <c r="D820" s="1097"/>
      <c r="G820" s="725"/>
      <c r="H820" s="1098"/>
    </row>
    <row r="821" spans="2:114" s="34" customFormat="1" hidden="1" outlineLevel="1" x14ac:dyDescent="0.35">
      <c r="C821" s="132"/>
      <c r="D821" s="2327" t="s">
        <v>27</v>
      </c>
      <c r="E821" s="2327" t="s">
        <v>2597</v>
      </c>
      <c r="F821" s="68" t="s">
        <v>3000</v>
      </c>
      <c r="G821" s="2327" t="s">
        <v>1078</v>
      </c>
      <c r="H821" s="2327" t="s">
        <v>1064</v>
      </c>
      <c r="I821" s="2327" t="s">
        <v>2447</v>
      </c>
      <c r="J821" s="2327" t="s">
        <v>3001</v>
      </c>
      <c r="K821" s="2327" t="s">
        <v>2799</v>
      </c>
      <c r="L821" s="2327" t="s">
        <v>3002</v>
      </c>
      <c r="M821" s="2327" t="s">
        <v>3003</v>
      </c>
      <c r="N821" s="2429" t="s">
        <v>2801</v>
      </c>
      <c r="O821" s="2429" t="s">
        <v>2802</v>
      </c>
      <c r="P821" s="350"/>
      <c r="Q821" s="350"/>
      <c r="R821" s="350"/>
      <c r="S821" s="350"/>
      <c r="T821" s="350"/>
      <c r="U821" s="350"/>
      <c r="DG821" s="59"/>
    </row>
    <row r="822" spans="2:114" hidden="1" outlineLevel="1" x14ac:dyDescent="0.35">
      <c r="D822" s="1593" t="str">
        <f>C811</f>
        <v>805850_2019_12_</v>
      </c>
      <c r="E822" s="1593" t="str">
        <f>E811</f>
        <v>PTAC</v>
      </c>
      <c r="F822" s="1148">
        <v>12</v>
      </c>
      <c r="G822" s="1152">
        <v>1053</v>
      </c>
      <c r="H822" s="1200">
        <v>0</v>
      </c>
      <c r="I822" s="1208">
        <v>8.1</v>
      </c>
      <c r="J822" s="1189">
        <v>10.9</v>
      </c>
      <c r="K822" s="76">
        <v>11</v>
      </c>
      <c r="L822" s="76">
        <v>12</v>
      </c>
      <c r="M822" s="1208">
        <v>2.6</v>
      </c>
      <c r="N822" s="825">
        <v>2.9</v>
      </c>
      <c r="O822" s="1209">
        <v>3.3</v>
      </c>
    </row>
    <row r="823" spans="2:114" hidden="1" outlineLevel="1" x14ac:dyDescent="0.35">
      <c r="D823" s="1593" t="str">
        <f>C812</f>
        <v>805900_2019_12_</v>
      </c>
      <c r="E823" s="1593" t="str">
        <f>E812</f>
        <v>PTHP</v>
      </c>
      <c r="F823" s="1148">
        <v>12</v>
      </c>
      <c r="G823" s="1152">
        <v>1053</v>
      </c>
      <c r="H823" s="1200">
        <v>1060</v>
      </c>
      <c r="I823" s="1208">
        <v>8.1</v>
      </c>
      <c r="J823" s="1200">
        <v>10.8</v>
      </c>
      <c r="K823" s="76">
        <v>11</v>
      </c>
      <c r="L823" s="76">
        <v>12</v>
      </c>
      <c r="M823" s="1208">
        <v>2.6</v>
      </c>
      <c r="N823" s="825">
        <v>2.9</v>
      </c>
      <c r="O823" s="1209">
        <v>3.3</v>
      </c>
    </row>
    <row r="824" spans="2:114" collapsed="1" x14ac:dyDescent="0.35"/>
    <row r="826" spans="2:114" s="33" customFormat="1" x14ac:dyDescent="0.35">
      <c r="B826" s="4553" t="s">
        <v>3004</v>
      </c>
      <c r="C826" s="4554"/>
      <c r="D826" s="4554"/>
      <c r="E826" s="4554"/>
      <c r="F826" s="4554"/>
      <c r="G826" s="4554"/>
      <c r="H826" s="4554"/>
      <c r="I826" s="4555"/>
      <c r="J826" s="4555"/>
      <c r="K826" s="4555"/>
      <c r="L826" s="4555"/>
      <c r="M826" s="3680"/>
      <c r="N826" s="3680"/>
      <c r="O826" s="3681"/>
      <c r="V826" s="2325" t="str">
        <f>B826</f>
        <v>Refrigerated Beverage Vending Machine</v>
      </c>
      <c r="W826" s="2326"/>
      <c r="X826" s="2326"/>
      <c r="Y826" s="2326"/>
      <c r="Z826" s="2326"/>
      <c r="AA826" s="2326"/>
      <c r="AB826" s="2326"/>
      <c r="AC826" s="2326"/>
      <c r="AD826" s="2326"/>
      <c r="AE826" s="2326"/>
      <c r="AF826" s="2326"/>
      <c r="AG826" s="2326"/>
      <c r="AH826" s="2326"/>
      <c r="AI826" s="2384"/>
      <c r="AJ826" s="21"/>
      <c r="AK826" s="21"/>
      <c r="AL826" s="21"/>
      <c r="AM826" s="21"/>
      <c r="AN826" s="21"/>
      <c r="AO826" s="21"/>
      <c r="AP826" s="21"/>
      <c r="AQ826" s="21"/>
      <c r="AR826" s="21"/>
      <c r="AS826" s="21"/>
      <c r="AT826" s="21"/>
      <c r="AU826" s="21"/>
      <c r="DG826" s="60"/>
    </row>
    <row r="827" spans="2:114" x14ac:dyDescent="0.35">
      <c r="D827" s="1085"/>
      <c r="E827" s="33"/>
      <c r="F827" s="33"/>
      <c r="G827" s="33"/>
      <c r="H827" s="1086"/>
      <c r="I827" s="33"/>
      <c r="J827" s="33"/>
      <c r="K827" s="33"/>
      <c r="L827" s="33"/>
      <c r="P827" s="33"/>
      <c r="Q827" s="33"/>
      <c r="R827" s="33"/>
      <c r="S827" s="33"/>
      <c r="T827" s="33"/>
      <c r="U827" s="33"/>
      <c r="V827"/>
      <c r="W827"/>
      <c r="X827"/>
      <c r="Y827"/>
      <c r="Z827"/>
      <c r="AA827"/>
      <c r="AB827"/>
      <c r="AC827"/>
      <c r="AD827"/>
      <c r="AE827"/>
      <c r="AF827"/>
      <c r="AG827"/>
      <c r="AH827"/>
      <c r="AI827"/>
      <c r="AJ827" s="31"/>
      <c r="AK827" s="31"/>
      <c r="AL827" s="31"/>
      <c r="AM827" s="31"/>
      <c r="AN827" s="31"/>
      <c r="AO827" s="31"/>
      <c r="AP827" s="31"/>
      <c r="AQ827" s="31"/>
      <c r="AR827" s="31"/>
      <c r="AS827" s="31"/>
      <c r="AT827" s="31"/>
      <c r="AU827" s="31"/>
      <c r="DG827" s="3581" t="s">
        <v>4478</v>
      </c>
    </row>
    <row r="828" spans="2:114" s="34" customFormat="1" ht="29" x14ac:dyDescent="0.35">
      <c r="B828" s="31"/>
      <c r="C828" s="35" t="s">
        <v>27</v>
      </c>
      <c r="D828" s="35" t="s">
        <v>28</v>
      </c>
      <c r="E828" s="2399" t="s">
        <v>29</v>
      </c>
      <c r="F828" s="2399" t="s">
        <v>3005</v>
      </c>
      <c r="G828" s="2399" t="s">
        <v>175</v>
      </c>
      <c r="H828" s="36" t="s">
        <v>176</v>
      </c>
      <c r="I828" s="2399" t="s">
        <v>31</v>
      </c>
      <c r="J828" s="2399" t="s">
        <v>180</v>
      </c>
      <c r="K828" s="35" t="s">
        <v>169</v>
      </c>
      <c r="L828" s="35" t="s">
        <v>43</v>
      </c>
      <c r="M828" s="725"/>
      <c r="N828" s="725"/>
      <c r="O828" s="725"/>
      <c r="P828" s="350"/>
      <c r="Q828" s="350"/>
      <c r="R828" s="350"/>
      <c r="S828" s="350"/>
      <c r="T828" s="350"/>
      <c r="U828" s="350"/>
      <c r="V828" s="1572" t="s">
        <v>44</v>
      </c>
      <c r="W828" s="1573">
        <f>$W$8</f>
        <v>43252</v>
      </c>
      <c r="X828" s="1573">
        <f>$X$8</f>
        <v>43465</v>
      </c>
      <c r="Y828" s="1573">
        <f>$Y$8</f>
        <v>43800</v>
      </c>
      <c r="Z828" s="1573">
        <f>$Z$8</f>
        <v>43862</v>
      </c>
      <c r="AA828" s="1573">
        <f>$AA$8</f>
        <v>44013</v>
      </c>
      <c r="AB828" s="1573">
        <v>44166</v>
      </c>
      <c r="AC828" s="1573">
        <f>$AC$8</f>
        <v>44531</v>
      </c>
      <c r="AD828" s="1573">
        <f>$AD$8</f>
        <v>44774</v>
      </c>
      <c r="AE828" s="1573" t="str">
        <f>$AE$8</f>
        <v>-</v>
      </c>
      <c r="AF828" s="1573" t="str">
        <f>$AF$8</f>
        <v>-</v>
      </c>
      <c r="AG828" s="1573" t="str">
        <f>$AG$8</f>
        <v>-</v>
      </c>
      <c r="AH828"/>
      <c r="AI828" s="1572" t="s">
        <v>44</v>
      </c>
      <c r="AJ828" s="1573">
        <v>43252</v>
      </c>
      <c r="AK828" s="1573">
        <f>$X$8</f>
        <v>43465</v>
      </c>
      <c r="AL828" s="1573">
        <f>$Y$8</f>
        <v>43800</v>
      </c>
      <c r="AM828" s="1573">
        <f>$Z$8</f>
        <v>43862</v>
      </c>
      <c r="AN828" s="1573">
        <f>$AA$8</f>
        <v>44013</v>
      </c>
      <c r="AO828" s="1573">
        <f>$AB$8</f>
        <v>44166</v>
      </c>
      <c r="AP828" s="1573">
        <f>$AC$8</f>
        <v>44531</v>
      </c>
      <c r="AQ828" s="1573">
        <f>$AD$8</f>
        <v>44774</v>
      </c>
      <c r="AR828" s="1573" t="str">
        <f>$AE$8</f>
        <v>-</v>
      </c>
      <c r="AS828" s="1573" t="str">
        <f>$AF$8</f>
        <v>-</v>
      </c>
      <c r="AT828" s="21"/>
      <c r="AU828" s="1572" t="s">
        <v>44</v>
      </c>
      <c r="AV828" s="1573">
        <v>43252</v>
      </c>
      <c r="AW828" s="1573">
        <f>$X$8</f>
        <v>43465</v>
      </c>
      <c r="AX828" s="1573">
        <f>$Y$8</f>
        <v>43800</v>
      </c>
      <c r="AY828" s="1573">
        <f>$Z$8</f>
        <v>43862</v>
      </c>
      <c r="AZ828" s="1573">
        <f>$AA$8</f>
        <v>44013</v>
      </c>
      <c r="BA828" s="1573">
        <v>44166</v>
      </c>
      <c r="BB828" s="1573">
        <f>$AC$8</f>
        <v>44531</v>
      </c>
      <c r="BC828" s="1573">
        <f>$AD$8</f>
        <v>44774</v>
      </c>
      <c r="BD828" s="1573" t="str">
        <f>$AE$8</f>
        <v>-</v>
      </c>
      <c r="BE828" s="1573" t="str">
        <f>$AF$8</f>
        <v>-</v>
      </c>
      <c r="DG828" s="1574" t="str">
        <f>$DG$8</f>
        <v>TRC (2022)</v>
      </c>
      <c r="DH828" s="1584" t="str">
        <f>$DH$8</f>
        <v>Benefit Lookup</v>
      </c>
      <c r="DI828" s="1584" t="str">
        <f>$DI$8</f>
        <v>Benefits (2019 $)</v>
      </c>
      <c r="DJ828" s="1584" t="str">
        <f>$DJ$8</f>
        <v>Incremental Cost (2019 $)</v>
      </c>
    </row>
    <row r="829" spans="2:114" x14ac:dyDescent="0.35">
      <c r="C829" s="1614" t="s">
        <v>3006</v>
      </c>
      <c r="D829" s="1106" t="s">
        <v>2485</v>
      </c>
      <c r="E829" s="1105" t="s">
        <v>3007</v>
      </c>
      <c r="F829" s="965">
        <f>ROUND((F840-G840)*H840,2)</f>
        <v>0.13</v>
      </c>
      <c r="G829" s="1087" t="s">
        <v>2561</v>
      </c>
      <c r="H829" s="1088">
        <f>VLOOKUP(G829,'CP FACTORS'!$A$26:$B$38,2,FALSE)</f>
        <v>1.3573829999999999E-4</v>
      </c>
      <c r="I829" s="1106">
        <f>ROUND(H829*F829,6)</f>
        <v>1.8E-5</v>
      </c>
      <c r="J829" s="1187">
        <v>12</v>
      </c>
      <c r="K829" s="1107">
        <v>140</v>
      </c>
      <c r="L829" s="1164" t="s">
        <v>184</v>
      </c>
      <c r="V829" s="2419" t="s">
        <v>3005</v>
      </c>
      <c r="W829" s="112">
        <v>0.13070000000000048</v>
      </c>
      <c r="X829" s="112">
        <v>0.13070000000000048</v>
      </c>
      <c r="Y829" s="112">
        <v>0.13070000000000048</v>
      </c>
      <c r="Z829" s="112">
        <v>0.13070000000000048</v>
      </c>
      <c r="AA829" s="112">
        <v>0.13070000000000048</v>
      </c>
      <c r="AB829" s="1516">
        <v>0.13</v>
      </c>
      <c r="AC829" s="1798">
        <v>0.13</v>
      </c>
      <c r="AD829" s="1798">
        <v>0.13</v>
      </c>
      <c r="AE829" s="141"/>
      <c r="AF829" s="141"/>
      <c r="AG829" s="141"/>
      <c r="AH829"/>
      <c r="AI829" s="88" t="s">
        <v>180</v>
      </c>
      <c r="AJ829" s="51">
        <v>12</v>
      </c>
      <c r="AK829" s="51">
        <v>12</v>
      </c>
      <c r="AL829" s="51">
        <v>12</v>
      </c>
      <c r="AM829" s="51">
        <v>12</v>
      </c>
      <c r="AN829" s="51">
        <v>12</v>
      </c>
      <c r="AO829" s="1691">
        <v>12</v>
      </c>
      <c r="AP829" s="1691">
        <v>12</v>
      </c>
      <c r="AQ829" s="1691">
        <v>12</v>
      </c>
      <c r="AR829" s="141"/>
      <c r="AS829" s="141"/>
      <c r="AU829" s="88" t="s">
        <v>169</v>
      </c>
      <c r="AV829" s="1692">
        <v>140</v>
      </c>
      <c r="AW829" s="1692">
        <v>140</v>
      </c>
      <c r="AX829" s="1692">
        <v>140</v>
      </c>
      <c r="AY829" s="1692">
        <v>140</v>
      </c>
      <c r="AZ829" s="1692">
        <v>140</v>
      </c>
      <c r="BA829" s="1615">
        <v>140</v>
      </c>
      <c r="BB829" s="1615">
        <v>140</v>
      </c>
      <c r="BC829" s="1615">
        <v>140</v>
      </c>
      <c r="BD829" s="141"/>
      <c r="BE829" s="141"/>
      <c r="DG829" s="1578">
        <f>(DI829)/(DJ829)</f>
        <v>4.2463117918872795E-4</v>
      </c>
      <c r="DH829" s="2381" t="str">
        <f>CONCATENATE(G829," ",J829," Year EUL")</f>
        <v>Refrigeration BUS 12 Year EUL</v>
      </c>
      <c r="DI829" s="56">
        <f>(INDEX('Avoided Cost Benefits'!$E$4:$E$859,MATCH(DH829,'Avoided Cost Benefits'!$A$4:$A$859,0)))*F829</f>
        <v>5.6109830190110344E-2</v>
      </c>
      <c r="DJ829" s="1579">
        <f>K829/(1.0595^(2020-2019))</f>
        <v>132.13780084945728</v>
      </c>
    </row>
    <row r="830" spans="2:114" x14ac:dyDescent="0.35">
      <c r="C830" s="1614" t="s">
        <v>3008</v>
      </c>
      <c r="D830" s="1106" t="s">
        <v>2485</v>
      </c>
      <c r="E830" s="1105" t="s">
        <v>3009</v>
      </c>
      <c r="F830" s="965">
        <f>ROUND((F841-G841)*H841,2)</f>
        <v>0.32</v>
      </c>
      <c r="G830" s="1087" t="s">
        <v>2561</v>
      </c>
      <c r="H830" s="1088">
        <f>VLOOKUP(G830,'CP FACTORS'!$A$26:$B$38,2,FALSE)</f>
        <v>1.3573829999999999E-4</v>
      </c>
      <c r="I830" s="1106">
        <f>ROUND(H830*F830,6)</f>
        <v>4.3000000000000002E-5</v>
      </c>
      <c r="J830" s="289">
        <v>12</v>
      </c>
      <c r="K830" s="1107">
        <v>140</v>
      </c>
      <c r="L830" s="1164" t="s">
        <v>184</v>
      </c>
      <c r="V830" s="2419" t="s">
        <v>3005</v>
      </c>
      <c r="W830" s="112">
        <v>0.32330000000000014</v>
      </c>
      <c r="X830" s="112">
        <v>0.32330000000000014</v>
      </c>
      <c r="Y830" s="112">
        <v>0.32330000000000014</v>
      </c>
      <c r="Z830" s="112">
        <v>0.32330000000000014</v>
      </c>
      <c r="AA830" s="112">
        <v>0.32330000000000014</v>
      </c>
      <c r="AB830" s="1516">
        <v>0.32</v>
      </c>
      <c r="AC830" s="1798">
        <v>0.32</v>
      </c>
      <c r="AD830" s="1798">
        <v>0.32</v>
      </c>
      <c r="AE830" s="141"/>
      <c r="AF830" s="141"/>
      <c r="AG830" s="141"/>
      <c r="AH830"/>
      <c r="AI830" s="88" t="s">
        <v>180</v>
      </c>
      <c r="AJ830" s="51">
        <v>12</v>
      </c>
      <c r="AK830" s="51">
        <v>12</v>
      </c>
      <c r="AL830" s="51">
        <v>12</v>
      </c>
      <c r="AM830" s="51">
        <v>12</v>
      </c>
      <c r="AN830" s="51">
        <v>12</v>
      </c>
      <c r="AO830" s="1691">
        <v>12</v>
      </c>
      <c r="AP830" s="1691">
        <v>12</v>
      </c>
      <c r="AQ830" s="1691">
        <v>12</v>
      </c>
      <c r="AR830" s="141"/>
      <c r="AS830" s="141"/>
      <c r="AU830" s="88" t="s">
        <v>169</v>
      </c>
      <c r="AV830" s="1692">
        <v>140</v>
      </c>
      <c r="AW830" s="1692">
        <v>140</v>
      </c>
      <c r="AX830" s="1692">
        <v>140</v>
      </c>
      <c r="AY830" s="1692">
        <v>140</v>
      </c>
      <c r="AZ830" s="1692">
        <v>140</v>
      </c>
      <c r="BA830" s="1615">
        <v>140</v>
      </c>
      <c r="BB830" s="1615">
        <v>140</v>
      </c>
      <c r="BC830" s="1615">
        <v>140</v>
      </c>
      <c r="BD830" s="141"/>
      <c r="BE830" s="141"/>
      <c r="DG830" s="41">
        <f>(DI830)/(DJ830)</f>
        <v>1.0452459795414844E-3</v>
      </c>
      <c r="DH830" s="1580" t="str">
        <f>CONCATENATE(G830," ",J830," Year EUL")</f>
        <v>Refrigeration BUS 12 Year EUL</v>
      </c>
      <c r="DI830" s="58">
        <f>(INDEX('Avoided Cost Benefits'!$E$4:$E$859,MATCH(DH830,'Avoided Cost Benefits'!$A$4:$A$859,0)))*F830</f>
        <v>0.13811650508334855</v>
      </c>
      <c r="DJ830" s="1582">
        <f>K830/(1.0595^(2020-2019))</f>
        <v>132.13780084945728</v>
      </c>
    </row>
    <row r="831" spans="2:114" hidden="1" outlineLevel="1" x14ac:dyDescent="0.35">
      <c r="E831" s="33"/>
      <c r="F831" s="33"/>
      <c r="G831" s="33"/>
      <c r="H831" s="1096"/>
      <c r="I831" s="33"/>
      <c r="J831" s="33"/>
      <c r="K831" s="33"/>
    </row>
    <row r="832" spans="2:114" hidden="1" outlineLevel="1" x14ac:dyDescent="0.35">
      <c r="D832" s="33" t="s">
        <v>2528</v>
      </c>
      <c r="E832" s="132"/>
      <c r="F832" s="33"/>
      <c r="G832" s="33"/>
      <c r="H832" s="1096"/>
      <c r="I832" s="33"/>
      <c r="J832" s="33"/>
      <c r="K832" s="132"/>
    </row>
    <row r="833" spans="2:114" hidden="1" outlineLevel="1" x14ac:dyDescent="0.35">
      <c r="D833" s="1097"/>
      <c r="E833" s="132"/>
      <c r="F833" s="132"/>
      <c r="G833" s="725"/>
      <c r="H833" s="1098"/>
    </row>
    <row r="834" spans="2:114" hidden="1" outlineLevel="1" x14ac:dyDescent="0.35">
      <c r="D834" s="1097"/>
      <c r="G834" s="725"/>
      <c r="H834" s="1098"/>
      <c r="P834" s="4561"/>
      <c r="Q834" s="4561"/>
    </row>
    <row r="835" spans="2:114" hidden="1" outlineLevel="1" x14ac:dyDescent="0.35">
      <c r="D835" s="1097"/>
      <c r="G835" s="725"/>
      <c r="H835" s="1098"/>
      <c r="M835" s="33"/>
      <c r="P835" s="4561"/>
      <c r="Q835" s="4561"/>
    </row>
    <row r="836" spans="2:114" hidden="1" outlineLevel="1" x14ac:dyDescent="0.35">
      <c r="D836" s="1097"/>
      <c r="G836" s="725"/>
      <c r="H836" s="1098"/>
      <c r="M836" s="33"/>
      <c r="P836" s="4561"/>
      <c r="Q836" s="4561"/>
    </row>
    <row r="837" spans="2:114" hidden="1" outlineLevel="1" x14ac:dyDescent="0.35">
      <c r="D837" s="1097"/>
      <c r="G837" s="725"/>
      <c r="H837" s="1098"/>
      <c r="M837" s="33"/>
    </row>
    <row r="838" spans="2:114" hidden="1" outlineLevel="1" x14ac:dyDescent="0.35">
      <c r="D838" s="1097"/>
      <c r="G838" s="725"/>
      <c r="H838" s="1098"/>
    </row>
    <row r="839" spans="2:114" s="34" customFormat="1" hidden="1" outlineLevel="1" x14ac:dyDescent="0.35">
      <c r="C839" s="132"/>
      <c r="D839" s="2327" t="s">
        <v>27</v>
      </c>
      <c r="E839" s="2327" t="s">
        <v>2597</v>
      </c>
      <c r="F839" s="68" t="s">
        <v>2607</v>
      </c>
      <c r="G839" s="2327" t="s">
        <v>2612</v>
      </c>
      <c r="H839" s="2327" t="s">
        <v>2603</v>
      </c>
      <c r="I839" s="2327" t="s">
        <v>569</v>
      </c>
      <c r="J839" s="350"/>
      <c r="K839" s="350"/>
      <c r="L839" s="350"/>
      <c r="M839" s="350"/>
      <c r="N839" s="350"/>
      <c r="O839" s="350"/>
      <c r="P839" s="350"/>
      <c r="Q839" s="350"/>
      <c r="R839" s="350"/>
      <c r="S839" s="350"/>
      <c r="T839" s="350"/>
      <c r="U839" s="350"/>
      <c r="DG839" s="59"/>
    </row>
    <row r="840" spans="2:114" hidden="1" outlineLevel="1" x14ac:dyDescent="0.35">
      <c r="D840" s="1593" t="str">
        <f>C829</f>
        <v>805950_2019_12_</v>
      </c>
      <c r="E840" s="1593" t="str">
        <f>E829</f>
        <v>Refrigerated Beverage Vending Machine (Class A)</v>
      </c>
      <c r="F840" s="1142">
        <f>0.055*H840+2.56</f>
        <v>2.6150000000000002</v>
      </c>
      <c r="G840" s="1210">
        <f>0.0523*H840+2.432</f>
        <v>2.4842999999999997</v>
      </c>
      <c r="H840" s="76">
        <v>1</v>
      </c>
      <c r="I840" s="1189">
        <v>365.25</v>
      </c>
    </row>
    <row r="841" spans="2:114" hidden="1" outlineLevel="1" x14ac:dyDescent="0.35">
      <c r="D841" s="1593" t="str">
        <f>C830</f>
        <v>806000_2019_12_</v>
      </c>
      <c r="E841" s="1593" t="str">
        <f>E830</f>
        <v>Refrigerated Beverage Vending Machine (Class B)</v>
      </c>
      <c r="F841" s="1142">
        <f>0.073*H841+3.16</f>
        <v>3.2330000000000001</v>
      </c>
      <c r="G841" s="1210">
        <f>0.0657*H841+2.844</f>
        <v>2.9097</v>
      </c>
      <c r="H841" s="76">
        <v>1</v>
      </c>
      <c r="I841" s="1189">
        <v>365.25</v>
      </c>
    </row>
    <row r="842" spans="2:114" collapsed="1" x14ac:dyDescent="0.35"/>
    <row r="844" spans="2:114" s="33" customFormat="1" x14ac:dyDescent="0.35">
      <c r="B844" s="4553" t="s">
        <v>3010</v>
      </c>
      <c r="C844" s="4554"/>
      <c r="D844" s="4554"/>
      <c r="E844" s="4554"/>
      <c r="F844" s="4554"/>
      <c r="G844" s="4554"/>
      <c r="H844" s="4554"/>
      <c r="I844" s="4555"/>
      <c r="J844" s="4555"/>
      <c r="K844" s="4555"/>
      <c r="L844" s="4555"/>
      <c r="M844" s="3680"/>
      <c r="N844" s="3680"/>
      <c r="O844" s="3681"/>
      <c r="V844" s="2325" t="str">
        <f>B844</f>
        <v>ECM for Walk-in &amp; Reach-in Coolers/Freezers</v>
      </c>
      <c r="W844" s="2326"/>
      <c r="X844" s="2326"/>
      <c r="Y844" s="2326"/>
      <c r="Z844" s="2326"/>
      <c r="AA844" s="2326"/>
      <c r="AB844" s="2326"/>
      <c r="AC844" s="2326"/>
      <c r="AD844" s="2326"/>
      <c r="AE844" s="2326"/>
      <c r="AF844" s="2326"/>
      <c r="AG844" s="2326"/>
      <c r="AH844" s="2326"/>
      <c r="AI844" s="2384"/>
      <c r="AJ844" s="21"/>
      <c r="AK844" s="21"/>
      <c r="AL844" s="21"/>
      <c r="AM844" s="21"/>
      <c r="AN844" s="21"/>
      <c r="AO844" s="21"/>
      <c r="AP844" s="21"/>
      <c r="AQ844" s="21"/>
      <c r="AR844" s="21"/>
      <c r="AS844" s="21"/>
      <c r="AT844" s="21"/>
      <c r="AU844" s="21"/>
      <c r="DG844" s="60"/>
    </row>
    <row r="845" spans="2:114" x14ac:dyDescent="0.35">
      <c r="D845" s="1085"/>
      <c r="E845" s="33"/>
      <c r="F845" s="33"/>
      <c r="G845" s="33"/>
      <c r="H845" s="1086"/>
      <c r="I845" s="33"/>
      <c r="J845" s="33"/>
      <c r="K845" s="33"/>
      <c r="L845" s="33"/>
      <c r="P845" s="33"/>
      <c r="Q845" s="33"/>
      <c r="R845" s="33"/>
      <c r="S845" s="33"/>
      <c r="T845" s="33"/>
      <c r="U845" s="33"/>
      <c r="V845"/>
      <c r="W845"/>
      <c r="X845"/>
      <c r="Y845"/>
      <c r="Z845"/>
      <c r="AA845"/>
      <c r="AB845"/>
      <c r="AC845"/>
      <c r="AD845"/>
      <c r="AE845"/>
      <c r="AF845"/>
      <c r="AG845"/>
      <c r="AH845"/>
      <c r="AI845"/>
      <c r="AJ845" s="31"/>
      <c r="AK845" s="31"/>
      <c r="AL845" s="31"/>
      <c r="AM845" s="31"/>
      <c r="AN845" s="31"/>
      <c r="AO845" s="31"/>
      <c r="AP845" s="31"/>
      <c r="AQ845" s="31"/>
      <c r="AR845" s="31"/>
      <c r="AS845" s="31"/>
      <c r="AT845" s="31"/>
      <c r="AU845" s="31"/>
    </row>
    <row r="846" spans="2:114" s="34" customFormat="1" ht="29" x14ac:dyDescent="0.35">
      <c r="B846" s="31"/>
      <c r="C846" s="35" t="s">
        <v>27</v>
      </c>
      <c r="D846" s="35" t="s">
        <v>28</v>
      </c>
      <c r="E846" s="2399" t="s">
        <v>29</v>
      </c>
      <c r="F846" s="2399" t="s">
        <v>3011</v>
      </c>
      <c r="G846" s="2399" t="s">
        <v>175</v>
      </c>
      <c r="H846" s="36" t="s">
        <v>176</v>
      </c>
      <c r="I846" s="2399" t="s">
        <v>31</v>
      </c>
      <c r="J846" s="2399" t="s">
        <v>180</v>
      </c>
      <c r="K846" s="35" t="s">
        <v>3012</v>
      </c>
      <c r="L846" s="35" t="s">
        <v>43</v>
      </c>
      <c r="M846" s="725"/>
      <c r="N846" s="725"/>
      <c r="O846" s="725"/>
      <c r="P846" s="350"/>
      <c r="Q846" s="350"/>
      <c r="R846" s="350"/>
      <c r="S846" s="350"/>
      <c r="T846" s="350"/>
      <c r="U846" s="350"/>
      <c r="V846" s="1572" t="s">
        <v>44</v>
      </c>
      <c r="W846" s="1573">
        <f>$W$8</f>
        <v>43252</v>
      </c>
      <c r="X846" s="1573">
        <f>$X$8</f>
        <v>43465</v>
      </c>
      <c r="Y846" s="1573">
        <f>$Y$8</f>
        <v>43800</v>
      </c>
      <c r="Z846" s="1573">
        <f>$Z$8</f>
        <v>43862</v>
      </c>
      <c r="AA846" s="1573">
        <f>$AA$8</f>
        <v>44013</v>
      </c>
      <c r="AB846" s="1573">
        <v>44166</v>
      </c>
      <c r="AC846" s="1573">
        <f>$AC$8</f>
        <v>44531</v>
      </c>
      <c r="AD846" s="1573">
        <f>$AD$8</f>
        <v>44774</v>
      </c>
      <c r="AE846" s="1573" t="str">
        <f>$AE$8</f>
        <v>-</v>
      </c>
      <c r="AF846" s="1573" t="str">
        <f>$AF$8</f>
        <v>-</v>
      </c>
      <c r="AG846" s="1573" t="str">
        <f>$AG$8</f>
        <v>-</v>
      </c>
      <c r="AH846"/>
      <c r="AI846" s="1572" t="s">
        <v>44</v>
      </c>
      <c r="AJ846" s="1573">
        <v>43252</v>
      </c>
      <c r="AK846" s="1573">
        <f>$X$8</f>
        <v>43465</v>
      </c>
      <c r="AL846" s="1573">
        <f>$Y$8</f>
        <v>43800</v>
      </c>
      <c r="AM846" s="1573">
        <f>$Z$8</f>
        <v>43862</v>
      </c>
      <c r="AN846" s="1573">
        <f>$AA$8</f>
        <v>44013</v>
      </c>
      <c r="AO846" s="1573">
        <f>$AB$8</f>
        <v>44166</v>
      </c>
      <c r="AP846" s="1573">
        <f>$AC$8</f>
        <v>44531</v>
      </c>
      <c r="AQ846" s="1573">
        <f>$AD$8</f>
        <v>44774</v>
      </c>
      <c r="AR846" s="1573" t="str">
        <f>$AE$8</f>
        <v>-</v>
      </c>
      <c r="AS846" s="1573" t="str">
        <f>$AF$8</f>
        <v>-</v>
      </c>
      <c r="AT846" s="21"/>
      <c r="AU846" s="1572" t="s">
        <v>44</v>
      </c>
      <c r="AV846" s="1573">
        <v>43252</v>
      </c>
      <c r="AW846" s="1573">
        <f>$X$8</f>
        <v>43465</v>
      </c>
      <c r="AX846" s="1573">
        <f>$Y$8</f>
        <v>43800</v>
      </c>
      <c r="AY846" s="1573">
        <f>$Z$8</f>
        <v>43862</v>
      </c>
      <c r="AZ846" s="1573">
        <f>$AA$8</f>
        <v>44013</v>
      </c>
      <c r="BA846" s="1573">
        <v>44166</v>
      </c>
      <c r="BB846" s="1573">
        <f>$AC$8</f>
        <v>44531</v>
      </c>
      <c r="BC846" s="1573">
        <f>$AD$8</f>
        <v>44774</v>
      </c>
      <c r="BD846" s="1573" t="str">
        <f>$AE$8</f>
        <v>-</v>
      </c>
      <c r="BE846" s="1573" t="str">
        <f>$AF$8</f>
        <v>-</v>
      </c>
      <c r="DG846" s="1574" t="str">
        <f>$DG$8</f>
        <v>TRC (2022)</v>
      </c>
      <c r="DH846" s="1584" t="str">
        <f>$DH$8</f>
        <v>Benefit Lookup</v>
      </c>
      <c r="DI846" s="1584" t="str">
        <f>$DI$8</f>
        <v>Benefits (2019 $)</v>
      </c>
      <c r="DJ846" s="1584" t="str">
        <f>$DJ$8</f>
        <v>Incremental Cost (2019 $)</v>
      </c>
    </row>
    <row r="847" spans="2:114" x14ac:dyDescent="0.35">
      <c r="C847" s="1614" t="s">
        <v>3013</v>
      </c>
      <c r="D847" s="1106" t="s">
        <v>2485</v>
      </c>
      <c r="E847" s="1105" t="s">
        <v>3010</v>
      </c>
      <c r="F847" s="965">
        <f>ROUND(F857*G857,2)</f>
        <v>1409</v>
      </c>
      <c r="G847" s="1087" t="s">
        <v>2510</v>
      </c>
      <c r="H847" s="1088">
        <f>VLOOKUP(G847,'CP FACTORS'!$A$26:$B$38,2,FALSE)</f>
        <v>1.379439E-4</v>
      </c>
      <c r="I847" s="1106">
        <f>ROUND(H847*F847,6)</f>
        <v>0.19436300000000001</v>
      </c>
      <c r="J847" s="289">
        <v>15</v>
      </c>
      <c r="K847" s="1107">
        <v>177</v>
      </c>
      <c r="L847" s="1164" t="s">
        <v>3014</v>
      </c>
      <c r="V847" s="2419" t="s">
        <v>30</v>
      </c>
      <c r="W847" s="112">
        <v>1409</v>
      </c>
      <c r="X847" s="112">
        <v>1409</v>
      </c>
      <c r="Y847" s="112">
        <v>1409</v>
      </c>
      <c r="Z847" s="112">
        <v>1409</v>
      </c>
      <c r="AA847" s="112">
        <v>1409</v>
      </c>
      <c r="AB847" s="1516">
        <v>1409</v>
      </c>
      <c r="AC847" s="1798">
        <v>1409</v>
      </c>
      <c r="AD847" s="1798">
        <v>1409</v>
      </c>
      <c r="AE847" s="141"/>
      <c r="AF847" s="141"/>
      <c r="AG847" s="141"/>
      <c r="AH847"/>
      <c r="AI847" s="88" t="s">
        <v>180</v>
      </c>
      <c r="AJ847" s="51">
        <v>15</v>
      </c>
      <c r="AK847" s="51">
        <v>15</v>
      </c>
      <c r="AL847" s="51">
        <v>15</v>
      </c>
      <c r="AM847" s="51">
        <v>15</v>
      </c>
      <c r="AN847" s="51">
        <v>15</v>
      </c>
      <c r="AO847" s="1691">
        <v>15</v>
      </c>
      <c r="AP847" s="1691">
        <v>15</v>
      </c>
      <c r="AQ847" s="1691">
        <v>15</v>
      </c>
      <c r="AR847" s="141"/>
      <c r="AS847" s="141"/>
      <c r="AU847" s="88" t="s">
        <v>169</v>
      </c>
      <c r="AV847" s="1692">
        <v>177</v>
      </c>
      <c r="AW847" s="1692">
        <v>177</v>
      </c>
      <c r="AX847" s="1692">
        <v>177</v>
      </c>
      <c r="AY847" s="1692">
        <v>177</v>
      </c>
      <c r="AZ847" s="1692">
        <v>177</v>
      </c>
      <c r="BA847" s="1615">
        <v>177</v>
      </c>
      <c r="BB847" s="1615">
        <v>177</v>
      </c>
      <c r="BC847" s="1615">
        <v>177</v>
      </c>
      <c r="BD847" s="141"/>
      <c r="BE847" s="141"/>
      <c r="DG847" s="1585">
        <f>(DI847)/(DJ847)</f>
        <v>4.4341197017448222</v>
      </c>
      <c r="DH847" s="2381" t="str">
        <f>CONCATENATE(G847," ",J847," Year EUL")</f>
        <v>Miscellaneous BUS 15 Year EUL</v>
      </c>
      <c r="DI847" s="1586">
        <f>(INDEX('Avoided Cost Benefits'!$E$4:$E$859,MATCH(DH847,'Avoided Cost Benefits'!$A$4:$A$859,0)))*F847</f>
        <v>740.76374441607686</v>
      </c>
      <c r="DJ847" s="1587">
        <f>K847/(1.0595^(2020-2019))</f>
        <v>167.05993393109955</v>
      </c>
    </row>
    <row r="848" spans="2:114" hidden="1" outlineLevel="1" x14ac:dyDescent="0.35">
      <c r="E848" s="33"/>
      <c r="F848" s="33"/>
      <c r="G848" s="33"/>
      <c r="H848" s="1096"/>
      <c r="I848" s="33"/>
      <c r="J848" s="33"/>
    </row>
    <row r="849" spans="2:114" hidden="1" outlineLevel="1" x14ac:dyDescent="0.35">
      <c r="D849" s="33" t="s">
        <v>2528</v>
      </c>
      <c r="E849" s="132"/>
      <c r="F849" s="33"/>
      <c r="G849" s="33"/>
      <c r="H849" s="1096"/>
      <c r="I849" s="33"/>
      <c r="J849" s="33"/>
      <c r="K849" s="132"/>
    </row>
    <row r="850" spans="2:114" hidden="1" outlineLevel="1" x14ac:dyDescent="0.35">
      <c r="D850" s="1097"/>
      <c r="E850" s="132"/>
      <c r="F850" s="132"/>
      <c r="G850" s="725"/>
      <c r="H850" s="1098"/>
    </row>
    <row r="851" spans="2:114" hidden="1" outlineLevel="1" x14ac:dyDescent="0.35">
      <c r="D851" s="1097"/>
      <c r="G851" s="725"/>
      <c r="H851" s="1098"/>
      <c r="P851" s="4561"/>
      <c r="Q851" s="4561"/>
    </row>
    <row r="852" spans="2:114" hidden="1" outlineLevel="1" x14ac:dyDescent="0.35">
      <c r="D852" s="1097"/>
      <c r="G852" s="725"/>
      <c r="H852" s="1098"/>
      <c r="M852" s="33"/>
      <c r="P852" s="4561"/>
      <c r="Q852" s="4561"/>
    </row>
    <row r="853" spans="2:114" hidden="1" outlineLevel="1" x14ac:dyDescent="0.35">
      <c r="D853" s="1097"/>
      <c r="G853" s="725"/>
      <c r="H853" s="1098"/>
      <c r="M853" s="33"/>
      <c r="P853" s="4561"/>
      <c r="Q853" s="4561"/>
    </row>
    <row r="854" spans="2:114" hidden="1" outlineLevel="1" x14ac:dyDescent="0.35">
      <c r="D854" s="1097"/>
      <c r="G854" s="725"/>
      <c r="H854" s="1098"/>
      <c r="M854" s="33"/>
    </row>
    <row r="855" spans="2:114" hidden="1" outlineLevel="1" x14ac:dyDescent="0.35">
      <c r="D855" s="1097"/>
      <c r="G855" s="725"/>
      <c r="H855" s="1098"/>
    </row>
    <row r="856" spans="2:114" s="34" customFormat="1" ht="29" hidden="1" outlineLevel="1" x14ac:dyDescent="0.35">
      <c r="C856" s="132"/>
      <c r="D856" s="2327" t="s">
        <v>27</v>
      </c>
      <c r="E856" s="2327" t="s">
        <v>2597</v>
      </c>
      <c r="F856" s="68" t="s">
        <v>3015</v>
      </c>
      <c r="G856" s="2327" t="s">
        <v>3016</v>
      </c>
      <c r="H856" s="350"/>
      <c r="I856" s="350"/>
      <c r="J856" s="350"/>
      <c r="K856" s="350"/>
      <c r="L856" s="350"/>
      <c r="M856" s="350"/>
      <c r="N856" s="350"/>
      <c r="O856" s="350"/>
      <c r="P856" s="350"/>
      <c r="Q856" s="350"/>
      <c r="R856" s="350"/>
      <c r="S856" s="350"/>
      <c r="T856" s="350"/>
      <c r="U856" s="350"/>
      <c r="DG856" s="59"/>
    </row>
    <row r="857" spans="2:114" hidden="1" outlineLevel="1" x14ac:dyDescent="0.35">
      <c r="D857" s="1593" t="str">
        <f>C847</f>
        <v>806050_2019_12_</v>
      </c>
      <c r="E857" s="1593" t="str">
        <f>E847</f>
        <v>ECM for Walk-in &amp; Reach-in Coolers/Freezers</v>
      </c>
      <c r="F857" s="1148">
        <v>1409</v>
      </c>
      <c r="G857" s="1152">
        <v>1</v>
      </c>
      <c r="H857" s="725"/>
    </row>
    <row r="858" spans="2:114" collapsed="1" x14ac:dyDescent="0.35"/>
    <row r="860" spans="2:114" x14ac:dyDescent="0.35">
      <c r="B860" s="4576" t="s">
        <v>3017</v>
      </c>
      <c r="C860" s="4577"/>
      <c r="D860" s="4577"/>
      <c r="E860" s="4577"/>
      <c r="F860" s="4577"/>
      <c r="G860" s="4577"/>
      <c r="H860" s="4577"/>
      <c r="I860" s="4577"/>
      <c r="J860" s="4577"/>
      <c r="K860" s="4577"/>
      <c r="L860" s="4577"/>
      <c r="M860" s="4577"/>
      <c r="N860" s="4577"/>
      <c r="O860" s="4578"/>
      <c r="V860" s="2325" t="str">
        <f>B860</f>
        <v>High Volume Low Speed Fans</v>
      </c>
      <c r="W860" s="2326"/>
      <c r="X860" s="2326"/>
      <c r="Y860" s="2326"/>
      <c r="Z860" s="2326"/>
      <c r="AA860" s="2326"/>
      <c r="AB860" s="2326"/>
      <c r="AC860" s="2326"/>
      <c r="AD860" s="2326"/>
      <c r="AE860" s="2326"/>
      <c r="AF860" s="2326"/>
      <c r="AG860" s="2326"/>
      <c r="AH860" s="2326"/>
      <c r="AI860" s="2384"/>
      <c r="AV860" s="33"/>
      <c r="AW860" s="33"/>
      <c r="AX860" s="33"/>
      <c r="AY860" s="33"/>
      <c r="AZ860" s="33"/>
      <c r="BA860" s="33"/>
      <c r="BB860" s="33"/>
      <c r="BC860" s="33"/>
      <c r="BD860" s="33"/>
      <c r="BE860" s="33"/>
    </row>
    <row r="861" spans="2:114" x14ac:dyDescent="0.35">
      <c r="B861" s="725"/>
      <c r="V861"/>
      <c r="W861"/>
      <c r="X861"/>
      <c r="Y861"/>
      <c r="Z861"/>
      <c r="AA861"/>
      <c r="AB861"/>
      <c r="AC861"/>
      <c r="AD861"/>
      <c r="AE861"/>
      <c r="AF861"/>
      <c r="AG861"/>
      <c r="AH861"/>
      <c r="AI861"/>
      <c r="AJ861" s="31"/>
      <c r="AK861" s="31"/>
      <c r="AL861" s="31"/>
      <c r="AM861" s="31"/>
      <c r="AN861" s="31"/>
      <c r="AO861" s="31"/>
      <c r="AP861" s="31"/>
      <c r="AQ861" s="31"/>
      <c r="AR861" s="31"/>
      <c r="AS861" s="31"/>
      <c r="AT861" s="31"/>
      <c r="AU861" s="31"/>
    </row>
    <row r="862" spans="2:114" ht="29" x14ac:dyDescent="0.35">
      <c r="B862" s="725"/>
      <c r="C862" s="35" t="s">
        <v>27</v>
      </c>
      <c r="D862" s="35" t="s">
        <v>28</v>
      </c>
      <c r="E862" s="2399" t="s">
        <v>29</v>
      </c>
      <c r="F862" s="2399" t="s">
        <v>3018</v>
      </c>
      <c r="G862" s="2399" t="s">
        <v>175</v>
      </c>
      <c r="H862" s="36" t="s">
        <v>176</v>
      </c>
      <c r="I862" s="2399" t="s">
        <v>31</v>
      </c>
      <c r="J862" s="2399" t="s">
        <v>180</v>
      </c>
      <c r="K862" s="35" t="s">
        <v>169</v>
      </c>
      <c r="L862" s="35" t="s">
        <v>43</v>
      </c>
      <c r="V862" s="1572" t="s">
        <v>44</v>
      </c>
      <c r="W862" s="1573">
        <f>$W$8</f>
        <v>43252</v>
      </c>
      <c r="X862" s="1573">
        <f>$X$8</f>
        <v>43465</v>
      </c>
      <c r="Y862" s="1573">
        <f>$Y$8</f>
        <v>43800</v>
      </c>
      <c r="Z862" s="1573">
        <f>$Z$8</f>
        <v>43862</v>
      </c>
      <c r="AA862" s="1573">
        <f>$AA$8</f>
        <v>44013</v>
      </c>
      <c r="AB862" s="1573">
        <v>44166</v>
      </c>
      <c r="AC862" s="1573">
        <f>$AC$8</f>
        <v>44531</v>
      </c>
      <c r="AD862" s="1573">
        <f>$AD$8</f>
        <v>44774</v>
      </c>
      <c r="AE862" s="1573" t="str">
        <f>$AE$8</f>
        <v>-</v>
      </c>
      <c r="AF862" s="1573" t="str">
        <f>$AF$8</f>
        <v>-</v>
      </c>
      <c r="AG862" s="1573" t="str">
        <f>$AG$8</f>
        <v>-</v>
      </c>
      <c r="AH862"/>
      <c r="AI862" s="1572" t="s">
        <v>44</v>
      </c>
      <c r="AJ862" s="1573">
        <v>43252</v>
      </c>
      <c r="AK862" s="1573">
        <f>$X$8</f>
        <v>43465</v>
      </c>
      <c r="AL862" s="1573">
        <f>$Y$8</f>
        <v>43800</v>
      </c>
      <c r="AM862" s="1573">
        <f>$Z$8</f>
        <v>43862</v>
      </c>
      <c r="AN862" s="1573">
        <f>$AA$8</f>
        <v>44013</v>
      </c>
      <c r="AO862" s="1573">
        <f>$AB$8</f>
        <v>44166</v>
      </c>
      <c r="AP862" s="1573">
        <f>$AC$8</f>
        <v>44531</v>
      </c>
      <c r="AQ862" s="1573">
        <f>$AD$8</f>
        <v>44774</v>
      </c>
      <c r="AR862" s="1573" t="str">
        <f>$AE$8</f>
        <v>-</v>
      </c>
      <c r="AS862" s="1573" t="str">
        <f>$AF$8</f>
        <v>-</v>
      </c>
      <c r="AU862" s="1572" t="s">
        <v>44</v>
      </c>
      <c r="AV862" s="1573">
        <v>43252</v>
      </c>
      <c r="AW862" s="1573">
        <f>$X$8</f>
        <v>43465</v>
      </c>
      <c r="AX862" s="1573">
        <f>$Y$8</f>
        <v>43800</v>
      </c>
      <c r="AY862" s="1573">
        <f>$Z$8</f>
        <v>43862</v>
      </c>
      <c r="AZ862" s="1573">
        <f>$AA$8</f>
        <v>44013</v>
      </c>
      <c r="BA862" s="1573">
        <v>44166</v>
      </c>
      <c r="BB862" s="1573">
        <f>$AC$8</f>
        <v>44531</v>
      </c>
      <c r="BC862" s="1573">
        <f>$AD$8</f>
        <v>44774</v>
      </c>
      <c r="BD862" s="1573" t="str">
        <f>$AE$8</f>
        <v>-</v>
      </c>
      <c r="BE862" s="1573" t="str">
        <f>$AF$8</f>
        <v>-</v>
      </c>
      <c r="DG862" s="1574" t="str">
        <f>$DG$8</f>
        <v>TRC (2022)</v>
      </c>
      <c r="DH862" s="1584" t="str">
        <f>$DH$8</f>
        <v>Benefit Lookup</v>
      </c>
      <c r="DI862" s="1584" t="str">
        <f>$DI$8</f>
        <v>Benefits (2019 $)</v>
      </c>
      <c r="DJ862" s="1584" t="str">
        <f>$DJ$8</f>
        <v>Incremental Cost (2019 $)</v>
      </c>
    </row>
    <row r="863" spans="2:114" x14ac:dyDescent="0.35">
      <c r="B863" s="725"/>
      <c r="C863" s="1614" t="s">
        <v>3019</v>
      </c>
      <c r="D863" s="1106" t="s">
        <v>2485</v>
      </c>
      <c r="E863" s="1105" t="s">
        <v>3020</v>
      </c>
      <c r="F863" s="51">
        <f>ROUND(F871*G871,2)</f>
        <v>6577</v>
      </c>
      <c r="G863" s="1087" t="s">
        <v>2736</v>
      </c>
      <c r="H863" s="1088">
        <f>VLOOKUP(G863,'CP FACTORS'!$A$26:$B$38,2,FALSE)</f>
        <v>4.4398300000000001E-4</v>
      </c>
      <c r="I863" s="1206">
        <f>F863*H863</f>
        <v>2.9200761910000002</v>
      </c>
      <c r="J863" s="289">
        <v>10</v>
      </c>
      <c r="K863" s="1107">
        <v>4150</v>
      </c>
      <c r="L863" s="1164" t="s">
        <v>184</v>
      </c>
      <c r="V863" s="2419" t="s">
        <v>30</v>
      </c>
      <c r="W863" s="112"/>
      <c r="X863" s="112"/>
      <c r="Y863" s="112"/>
      <c r="Z863" s="141"/>
      <c r="AA863" s="1591">
        <v>6577</v>
      </c>
      <c r="AB863" s="1516">
        <v>6577</v>
      </c>
      <c r="AC863" s="1798">
        <v>6577</v>
      </c>
      <c r="AD863" s="1798">
        <v>6577</v>
      </c>
      <c r="AE863" s="141"/>
      <c r="AF863" s="141"/>
      <c r="AG863" s="141"/>
      <c r="AH863"/>
      <c r="AI863" s="2419" t="s">
        <v>180</v>
      </c>
      <c r="AJ863" s="1576"/>
      <c r="AK863" s="1576"/>
      <c r="AL863" s="1576"/>
      <c r="AM863" s="141"/>
      <c r="AN863" s="1599">
        <v>10</v>
      </c>
      <c r="AO863" s="1691">
        <v>10</v>
      </c>
      <c r="AP863" s="1691">
        <v>10</v>
      </c>
      <c r="AQ863" s="1691">
        <v>10</v>
      </c>
      <c r="AR863" s="141"/>
      <c r="AS863" s="141"/>
      <c r="AU863" s="2419" t="s">
        <v>169</v>
      </c>
      <c r="AV863" s="1577"/>
      <c r="AW863" s="1577"/>
      <c r="AX863" s="1577"/>
      <c r="AY863" s="141"/>
      <c r="AZ863" s="1604">
        <v>4150</v>
      </c>
      <c r="BA863" s="1615">
        <v>4150</v>
      </c>
      <c r="BB863" s="1615">
        <v>4150</v>
      </c>
      <c r="BC863" s="1615">
        <v>4150</v>
      </c>
      <c r="BD863" s="141"/>
      <c r="BE863" s="141"/>
      <c r="DG863" s="1578">
        <f>(DI863)/(DJ863)</f>
        <v>1.055401580677761</v>
      </c>
      <c r="DH863" s="2381" t="str">
        <f>CONCATENATE(G863," ",J863," Year EUL")</f>
        <v>HVAC BUS 10 Year EUL</v>
      </c>
      <c r="DI863" s="1607">
        <f>(INDEX('Avoided Cost Benefits'!$E$4:$E$859,MATCH(DH863,'Avoided Cost Benefits'!$A$4:$A$859,0)))*F863</f>
        <v>4133.9467294126543</v>
      </c>
      <c r="DJ863" s="1579">
        <f>K863/(1.0595^(2020-2019))</f>
        <v>3916.9419537517692</v>
      </c>
    </row>
    <row r="864" spans="2:114" x14ac:dyDescent="0.35">
      <c r="B864" s="725"/>
      <c r="C864" s="1614" t="s">
        <v>3021</v>
      </c>
      <c r="D864" s="1106" t="s">
        <v>2485</v>
      </c>
      <c r="E864" s="1105" t="s">
        <v>3022</v>
      </c>
      <c r="F864" s="51">
        <f>ROUND(F872*G872,2)</f>
        <v>8543</v>
      </c>
      <c r="G864" s="1087" t="s">
        <v>2736</v>
      </c>
      <c r="H864" s="1088">
        <f>VLOOKUP(G864,'CP FACTORS'!$A$26:$B$38,2,FALSE)</f>
        <v>4.4398300000000001E-4</v>
      </c>
      <c r="I864" s="1206">
        <f>F864*H864</f>
        <v>3.7929467690000003</v>
      </c>
      <c r="J864" s="289">
        <v>10</v>
      </c>
      <c r="K864" s="1107">
        <v>4180</v>
      </c>
      <c r="L864" s="1164" t="s">
        <v>184</v>
      </c>
      <c r="V864" s="2419" t="s">
        <v>30</v>
      </c>
      <c r="W864" s="112"/>
      <c r="X864" s="112"/>
      <c r="Y864" s="112"/>
      <c r="Z864" s="141"/>
      <c r="AA864" s="1591">
        <v>8543</v>
      </c>
      <c r="AB864" s="1516">
        <v>8543</v>
      </c>
      <c r="AC864" s="1798">
        <v>8543</v>
      </c>
      <c r="AD864" s="1798">
        <v>8543</v>
      </c>
      <c r="AE864" s="141"/>
      <c r="AF864" s="141"/>
      <c r="AG864" s="141"/>
      <c r="AH864"/>
      <c r="AI864" s="2419" t="s">
        <v>180</v>
      </c>
      <c r="AJ864" s="1576"/>
      <c r="AK864" s="1576"/>
      <c r="AL864" s="1576"/>
      <c r="AM864" s="141"/>
      <c r="AN864" s="1599">
        <v>10</v>
      </c>
      <c r="AO864" s="1691">
        <v>10</v>
      </c>
      <c r="AP864" s="1691">
        <v>10</v>
      </c>
      <c r="AQ864" s="1691">
        <v>10</v>
      </c>
      <c r="AR864" s="141"/>
      <c r="AS864" s="141"/>
      <c r="AU864" s="2419" t="s">
        <v>169</v>
      </c>
      <c r="AV864" s="1577"/>
      <c r="AW864" s="1577"/>
      <c r="AX864" s="1577"/>
      <c r="AY864" s="141"/>
      <c r="AZ864" s="1604">
        <v>4180</v>
      </c>
      <c r="BA864" s="1615">
        <v>4180</v>
      </c>
      <c r="BB864" s="1615">
        <v>4180</v>
      </c>
      <c r="BC864" s="1615">
        <v>4180</v>
      </c>
      <c r="BD864" s="141"/>
      <c r="BE864" s="141"/>
      <c r="DG864" s="1602">
        <f>(DI864)/(DJ864)</f>
        <v>1.3610438569991248</v>
      </c>
      <c r="DH864" s="1580" t="str">
        <f>CONCATENATE(G864," ",J864," Year EUL")</f>
        <v>HVAC BUS 10 Year EUL</v>
      </c>
      <c r="DI864" s="1607">
        <f>(INDEX('Avoided Cost Benefits'!$E$4:$E$859,MATCH(DH864,'Avoided Cost Benefits'!$A$4:$A$859,0)))*F864</f>
        <v>5369.6680719738943</v>
      </c>
      <c r="DJ864" s="1581">
        <f>K864/(1.0595^(2020-2019))</f>
        <v>3945.2571967909389</v>
      </c>
    </row>
    <row r="865" spans="2:114" x14ac:dyDescent="0.35">
      <c r="B865" s="725"/>
      <c r="C865" s="1614" t="s">
        <v>3023</v>
      </c>
      <c r="D865" s="1106" t="s">
        <v>2485</v>
      </c>
      <c r="E865" s="1105" t="s">
        <v>3024</v>
      </c>
      <c r="F865" s="51">
        <f>ROUND(F873*G873,2)</f>
        <v>10018</v>
      </c>
      <c r="G865" s="1087" t="s">
        <v>2736</v>
      </c>
      <c r="H865" s="1088">
        <f>VLOOKUP(G865,'CP FACTORS'!$A$26:$B$38,2,FALSE)</f>
        <v>4.4398300000000001E-4</v>
      </c>
      <c r="I865" s="1206">
        <f>F865*H865</f>
        <v>4.4478216939999999</v>
      </c>
      <c r="J865" s="289">
        <v>10</v>
      </c>
      <c r="K865" s="1107">
        <v>4225</v>
      </c>
      <c r="L865" s="1164" t="s">
        <v>184</v>
      </c>
      <c r="V865" s="2419" t="s">
        <v>30</v>
      </c>
      <c r="W865" s="112"/>
      <c r="X865" s="112"/>
      <c r="Y865" s="112"/>
      <c r="Z865" s="141"/>
      <c r="AA865" s="1591">
        <v>10018</v>
      </c>
      <c r="AB865" s="1516">
        <v>10018</v>
      </c>
      <c r="AC865" s="1798">
        <v>10018</v>
      </c>
      <c r="AD865" s="1798">
        <v>10018</v>
      </c>
      <c r="AE865" s="141"/>
      <c r="AF865" s="141"/>
      <c r="AG865" s="141"/>
      <c r="AH865"/>
      <c r="AI865" s="2419" t="s">
        <v>180</v>
      </c>
      <c r="AJ865" s="1576"/>
      <c r="AK865" s="1576"/>
      <c r="AL865" s="1576"/>
      <c r="AM865" s="141"/>
      <c r="AN865" s="1599">
        <v>10</v>
      </c>
      <c r="AO865" s="1691">
        <v>10</v>
      </c>
      <c r="AP865" s="1691">
        <v>10</v>
      </c>
      <c r="AQ865" s="1691">
        <v>10</v>
      </c>
      <c r="AR865" s="141"/>
      <c r="AS865" s="141"/>
      <c r="AU865" s="2419" t="s">
        <v>169</v>
      </c>
      <c r="AV865" s="1577"/>
      <c r="AW865" s="1577"/>
      <c r="AX865" s="1577"/>
      <c r="AY865" s="141"/>
      <c r="AZ865" s="1604">
        <v>4225</v>
      </c>
      <c r="BA865" s="1615">
        <v>4225</v>
      </c>
      <c r="BB865" s="1615">
        <v>4225</v>
      </c>
      <c r="BC865" s="1615">
        <v>4225</v>
      </c>
      <c r="BD865" s="141"/>
      <c r="BE865" s="141"/>
      <c r="DG865" s="1603">
        <f>(DI865)/(DJ865)</f>
        <v>1.5790370097768971</v>
      </c>
      <c r="DH865" s="1580" t="str">
        <f>CONCATENATE(G865," ",J865," Year EUL")</f>
        <v>HVAC BUS 10 Year EUL</v>
      </c>
      <c r="DI865" s="1607">
        <f>(INDEX('Avoided Cost Benefits'!$E$4:$E$859,MATCH(DH865,'Avoided Cost Benefits'!$A$4:$A$859,0)))*F865</f>
        <v>6296.7733518710611</v>
      </c>
      <c r="DJ865" s="1582">
        <f>K865/(1.0595^(2020-2019))</f>
        <v>3987.7300613496927</v>
      </c>
    </row>
    <row r="866" spans="2:114" x14ac:dyDescent="0.35">
      <c r="B866" s="725"/>
    </row>
    <row r="867" spans="2:114" hidden="1" outlineLevel="1" x14ac:dyDescent="0.35">
      <c r="B867" s="725"/>
    </row>
    <row r="868" spans="2:114" hidden="1" outlineLevel="1" x14ac:dyDescent="0.35">
      <c r="B868" s="725"/>
    </row>
    <row r="869" spans="2:114" hidden="1" outlineLevel="1" x14ac:dyDescent="0.35">
      <c r="B869" s="725"/>
    </row>
    <row r="870" spans="2:114" hidden="1" outlineLevel="1" x14ac:dyDescent="0.35">
      <c r="B870" s="725"/>
      <c r="D870" s="2327" t="s">
        <v>27</v>
      </c>
      <c r="E870" s="2327" t="s">
        <v>2597</v>
      </c>
      <c r="F870" s="68" t="s">
        <v>3025</v>
      </c>
      <c r="G870" s="2327" t="s">
        <v>3026</v>
      </c>
    </row>
    <row r="871" spans="2:114" hidden="1" outlineLevel="1" x14ac:dyDescent="0.35">
      <c r="B871" s="725"/>
      <c r="D871" s="1593" t="str">
        <f>C863</f>
        <v>806100_2020_07_</v>
      </c>
      <c r="E871" s="1105" t="s">
        <v>3020</v>
      </c>
      <c r="F871" s="51">
        <v>6577</v>
      </c>
      <c r="G871" s="1152">
        <v>1</v>
      </c>
    </row>
    <row r="872" spans="2:114" hidden="1" outlineLevel="1" x14ac:dyDescent="0.35">
      <c r="B872" s="725"/>
      <c r="D872" s="1593" t="str">
        <f t="shared" ref="D872:D873" si="186">C864</f>
        <v>806110_2020_07_</v>
      </c>
      <c r="E872" s="1105" t="s">
        <v>3022</v>
      </c>
      <c r="F872" s="51">
        <v>8543</v>
      </c>
      <c r="G872" s="1152">
        <v>1</v>
      </c>
    </row>
    <row r="873" spans="2:114" hidden="1" outlineLevel="1" x14ac:dyDescent="0.35">
      <c r="B873" s="725"/>
      <c r="D873" s="1593" t="str">
        <f t="shared" si="186"/>
        <v>806120_2020_07_</v>
      </c>
      <c r="E873" s="1105" t="s">
        <v>3024</v>
      </c>
      <c r="F873" s="51">
        <v>10018</v>
      </c>
      <c r="G873" s="1152">
        <v>1</v>
      </c>
    </row>
    <row r="874" spans="2:114" collapsed="1" x14ac:dyDescent="0.35">
      <c r="B874" s="725"/>
    </row>
    <row r="875" spans="2:114" s="33" customFormat="1" x14ac:dyDescent="0.35">
      <c r="B875" s="4553" t="s">
        <v>3027</v>
      </c>
      <c r="C875" s="4554"/>
      <c r="D875" s="4554"/>
      <c r="E875" s="4554"/>
      <c r="F875" s="4554"/>
      <c r="G875" s="4554"/>
      <c r="H875" s="4554"/>
      <c r="I875" s="4555"/>
      <c r="J875" s="4555"/>
      <c r="K875" s="4555"/>
      <c r="L875" s="4555"/>
      <c r="M875" s="3680"/>
      <c r="N875" s="3680"/>
      <c r="O875" s="3681"/>
      <c r="V875" s="2325" t="str">
        <f>B875</f>
        <v>Custom Measure</v>
      </c>
      <c r="W875" s="2326"/>
      <c r="X875" s="2326"/>
      <c r="Y875" s="2326"/>
      <c r="Z875" s="2326"/>
      <c r="AA875" s="2326"/>
      <c r="AB875" s="2326"/>
      <c r="AC875" s="2326"/>
      <c r="AD875" s="2326"/>
      <c r="AE875" s="2326"/>
      <c r="AF875" s="2326"/>
      <c r="AG875" s="2326"/>
      <c r="AH875" s="2326"/>
      <c r="AI875" s="2384"/>
      <c r="AJ875" s="21"/>
      <c r="AK875" s="21"/>
      <c r="AL875" s="21"/>
      <c r="AM875" s="21"/>
      <c r="AN875" s="21"/>
      <c r="AO875" s="21"/>
      <c r="AP875" s="21"/>
      <c r="AQ875" s="21"/>
      <c r="AR875" s="21"/>
      <c r="AS875" s="21"/>
      <c r="AT875" s="21"/>
      <c r="AU875" s="21"/>
      <c r="DG875" s="60"/>
    </row>
    <row r="876" spans="2:114" x14ac:dyDescent="0.35">
      <c r="D876" s="1085"/>
      <c r="E876" s="33"/>
      <c r="F876" s="33"/>
      <c r="G876" s="33"/>
      <c r="H876" s="1086"/>
      <c r="I876" s="33"/>
      <c r="J876" s="33"/>
      <c r="K876" s="33"/>
      <c r="L876" s="33"/>
      <c r="P876" s="33"/>
      <c r="Q876" s="33"/>
      <c r="R876" s="33"/>
      <c r="S876" s="33"/>
      <c r="T876" s="33"/>
      <c r="U876" s="33"/>
      <c r="V876"/>
      <c r="W876"/>
      <c r="X876"/>
      <c r="Y876"/>
      <c r="Z876"/>
      <c r="AA876"/>
      <c r="AB876"/>
      <c r="AC876"/>
      <c r="AD876"/>
      <c r="AE876"/>
      <c r="AF876"/>
      <c r="AG876"/>
      <c r="AH876"/>
      <c r="AI876"/>
      <c r="AJ876" s="31"/>
      <c r="AK876" s="31"/>
      <c r="AL876" s="31"/>
      <c r="AM876" s="31"/>
      <c r="AN876" s="31"/>
      <c r="AO876" s="31"/>
      <c r="AP876" s="31"/>
      <c r="AQ876" s="31"/>
      <c r="AR876" s="31"/>
      <c r="AS876" s="31"/>
      <c r="AT876" s="31"/>
      <c r="AU876" s="31"/>
    </row>
    <row r="877" spans="2:114" s="34" customFormat="1" ht="29" x14ac:dyDescent="0.35">
      <c r="B877" s="31"/>
      <c r="C877" s="35" t="s">
        <v>27</v>
      </c>
      <c r="D877" s="35" t="s">
        <v>28</v>
      </c>
      <c r="E877" s="2399" t="s">
        <v>29</v>
      </c>
      <c r="F877" s="2399" t="s">
        <v>3011</v>
      </c>
      <c r="G877" s="2399" t="s">
        <v>175</v>
      </c>
      <c r="H877" s="36" t="s">
        <v>176</v>
      </c>
      <c r="I877" s="2399" t="s">
        <v>31</v>
      </c>
      <c r="J877" s="2399" t="s">
        <v>180</v>
      </c>
      <c r="K877" s="35" t="s">
        <v>3012</v>
      </c>
      <c r="L877" s="35" t="s">
        <v>43</v>
      </c>
      <c r="M877" s="725"/>
      <c r="N877" s="725"/>
      <c r="O877" s="725"/>
      <c r="P877" s="350"/>
      <c r="Q877" s="350"/>
      <c r="R877" s="350"/>
      <c r="S877" s="350"/>
      <c r="T877" s="350"/>
      <c r="U877" s="350"/>
      <c r="V877" s="1572" t="s">
        <v>44</v>
      </c>
      <c r="W877" s="1573">
        <f>$W$8</f>
        <v>43252</v>
      </c>
      <c r="X877" s="1573">
        <f>$X$8</f>
        <v>43465</v>
      </c>
      <c r="Y877" s="1573">
        <f>$Y$8</f>
        <v>43800</v>
      </c>
      <c r="Z877" s="1573">
        <f>$Z$8</f>
        <v>43862</v>
      </c>
      <c r="AA877" s="1573">
        <f>$AA$8</f>
        <v>44013</v>
      </c>
      <c r="AB877" s="1573">
        <v>44166</v>
      </c>
      <c r="AC877" s="1573">
        <f>$AC$8</f>
        <v>44531</v>
      </c>
      <c r="AD877" s="1573">
        <f>$AD$8</f>
        <v>44774</v>
      </c>
      <c r="AE877" s="1573" t="str">
        <f>$AE$8</f>
        <v>-</v>
      </c>
      <c r="AF877" s="1573" t="str">
        <f>$AF$8</f>
        <v>-</v>
      </c>
      <c r="AG877" s="1573" t="str">
        <f>$AG$8</f>
        <v>-</v>
      </c>
      <c r="AH877"/>
      <c r="AI877" s="1572" t="s">
        <v>44</v>
      </c>
      <c r="AJ877" s="1573">
        <v>43252</v>
      </c>
      <c r="AK877" s="1573">
        <f>$X$8</f>
        <v>43465</v>
      </c>
      <c r="AL877" s="1573">
        <f>$Y$8</f>
        <v>43800</v>
      </c>
      <c r="AM877" s="1573">
        <f>$Z$8</f>
        <v>43862</v>
      </c>
      <c r="AN877" s="1573">
        <f>$AA$8</f>
        <v>44013</v>
      </c>
      <c r="AO877" s="1573">
        <f>$AB$8</f>
        <v>44166</v>
      </c>
      <c r="AP877" s="1573">
        <f>$AC$8</f>
        <v>44531</v>
      </c>
      <c r="AQ877" s="1573">
        <f>$AD$8</f>
        <v>44774</v>
      </c>
      <c r="AR877" s="1573" t="str">
        <f>$AE$8</f>
        <v>-</v>
      </c>
      <c r="AS877" s="1573" t="str">
        <f>$AF$8</f>
        <v>-</v>
      </c>
      <c r="AT877" s="21"/>
      <c r="AU877" s="1572" t="s">
        <v>44</v>
      </c>
      <c r="AV877" s="1573">
        <v>43252</v>
      </c>
      <c r="AW877" s="1573">
        <f>$X$8</f>
        <v>43465</v>
      </c>
      <c r="AX877" s="1573">
        <f>$Y$8</f>
        <v>43800</v>
      </c>
      <c r="AY877" s="1573">
        <f>$Z$8</f>
        <v>43862</v>
      </c>
      <c r="AZ877" s="1573">
        <f>$AA$8</f>
        <v>44013</v>
      </c>
      <c r="BA877" s="1573">
        <v>44166</v>
      </c>
      <c r="BB877" s="1573">
        <f>$AC$8</f>
        <v>44531</v>
      </c>
      <c r="BC877" s="1573">
        <f>$AD$8</f>
        <v>44774</v>
      </c>
      <c r="BD877" s="1573" t="str">
        <f>$AE$8</f>
        <v>-</v>
      </c>
      <c r="BE877" s="1573" t="str">
        <f>$AF$8</f>
        <v>-</v>
      </c>
      <c r="DG877" s="1574" t="str">
        <f>$DG$8</f>
        <v>TRC (2022)</v>
      </c>
      <c r="DH877" s="1584" t="str">
        <f>$DH$8</f>
        <v>Benefit Lookup</v>
      </c>
      <c r="DI877" s="1584" t="str">
        <f>$DI$8</f>
        <v>Benefits (2019 $)</v>
      </c>
      <c r="DJ877" s="1584" t="str">
        <f>$DJ$8</f>
        <v>Incremental Cost (2019 $)</v>
      </c>
    </row>
    <row r="878" spans="2:114" x14ac:dyDescent="0.35">
      <c r="C878" s="1614" t="s">
        <v>3028</v>
      </c>
      <c r="D878" s="1106" t="s">
        <v>2485</v>
      </c>
      <c r="E878" s="1105" t="s">
        <v>3029</v>
      </c>
      <c r="F878" s="51" t="s">
        <v>3029</v>
      </c>
      <c r="G878" s="1087" t="s">
        <v>3030</v>
      </c>
      <c r="H878" s="1088" t="s">
        <v>3030</v>
      </c>
      <c r="I878" s="1206" t="s">
        <v>3029</v>
      </c>
      <c r="J878" s="289" t="s">
        <v>3029</v>
      </c>
      <c r="K878" s="1107" t="s">
        <v>3029</v>
      </c>
      <c r="L878" s="1164" t="s">
        <v>3029</v>
      </c>
      <c r="V878" s="2419" t="s">
        <v>30</v>
      </c>
      <c r="W878" s="2447"/>
      <c r="X878" s="2447"/>
      <c r="Y878" s="1575" t="s">
        <v>3029</v>
      </c>
      <c r="Z878" s="112" t="s">
        <v>3029</v>
      </c>
      <c r="AA878" s="112" t="s">
        <v>3029</v>
      </c>
      <c r="AB878" s="1516" t="s">
        <v>3029</v>
      </c>
      <c r="AC878" s="1798" t="s">
        <v>3029</v>
      </c>
      <c r="AD878" s="1798" t="s">
        <v>3029</v>
      </c>
      <c r="AE878" s="1589"/>
      <c r="AF878" s="1589"/>
      <c r="AG878" s="1589"/>
      <c r="AH878" s="84"/>
      <c r="AI878" s="88" t="s">
        <v>180</v>
      </c>
      <c r="AJ878" s="2447"/>
      <c r="AK878" s="2447"/>
      <c r="AL878" s="1575" t="s">
        <v>3029</v>
      </c>
      <c r="AM878" s="51" t="s">
        <v>3029</v>
      </c>
      <c r="AN878" s="51" t="s">
        <v>3029</v>
      </c>
      <c r="AO878" s="50" t="s">
        <v>3029</v>
      </c>
      <c r="AP878" s="50" t="s">
        <v>3029</v>
      </c>
      <c r="AQ878" s="50" t="s">
        <v>3029</v>
      </c>
      <c r="AR878" s="1589"/>
      <c r="AS878" s="1589"/>
      <c r="AT878" s="81"/>
      <c r="AU878" s="88" t="s">
        <v>169</v>
      </c>
      <c r="AV878" s="2447"/>
      <c r="AW878" s="2447"/>
      <c r="AX878" s="1575" t="s">
        <v>3029</v>
      </c>
      <c r="AY878" s="51" t="s">
        <v>3029</v>
      </c>
      <c r="AZ878" s="51" t="s">
        <v>3029</v>
      </c>
      <c r="BA878" s="1615" t="s">
        <v>3029</v>
      </c>
      <c r="BB878" s="1615" t="s">
        <v>3029</v>
      </c>
      <c r="BC878" s="1615" t="s">
        <v>3029</v>
      </c>
      <c r="BD878" s="1589"/>
      <c r="BE878" s="1589"/>
      <c r="DG878" s="2123" t="s">
        <v>3029</v>
      </c>
      <c r="DH878" s="368" t="str">
        <f>CONCATENATE(G878," ",J878," Year EUL")</f>
        <v>Variable Custom Year EUL</v>
      </c>
      <c r="DI878" s="1586" t="s">
        <v>3029</v>
      </c>
      <c r="DJ878" s="1587" t="s">
        <v>3029</v>
      </c>
    </row>
  </sheetData>
  <mergeCells count="59">
    <mergeCell ref="P851:Q853"/>
    <mergeCell ref="B875:O875"/>
    <mergeCell ref="P799:Q801"/>
    <mergeCell ref="B808:O808"/>
    <mergeCell ref="P816:Q818"/>
    <mergeCell ref="B826:O826"/>
    <mergeCell ref="P834:Q836"/>
    <mergeCell ref="B844:O844"/>
    <mergeCell ref="B860:O860"/>
    <mergeCell ref="B792:O792"/>
    <mergeCell ref="B690:O690"/>
    <mergeCell ref="P698:Q700"/>
    <mergeCell ref="B708:O708"/>
    <mergeCell ref="B724:O724"/>
    <mergeCell ref="P731:Q733"/>
    <mergeCell ref="B740:O740"/>
    <mergeCell ref="P747:Q749"/>
    <mergeCell ref="B756:O756"/>
    <mergeCell ref="P763:Q765"/>
    <mergeCell ref="B772:O772"/>
    <mergeCell ref="P681:Q683"/>
    <mergeCell ref="M399:P403"/>
    <mergeCell ref="M444:O447"/>
    <mergeCell ref="B476:O476"/>
    <mergeCell ref="B520:O520"/>
    <mergeCell ref="B615:O615"/>
    <mergeCell ref="P625:Q627"/>
    <mergeCell ref="B638:O638"/>
    <mergeCell ref="P646:Q648"/>
    <mergeCell ref="B656:O656"/>
    <mergeCell ref="P664:Q666"/>
    <mergeCell ref="B674:O674"/>
    <mergeCell ref="I605:I611"/>
    <mergeCell ref="O53:S58"/>
    <mergeCell ref="B77:O77"/>
    <mergeCell ref="B258:O258"/>
    <mergeCell ref="M275:O279"/>
    <mergeCell ref="B288:O288"/>
    <mergeCell ref="E3:G3"/>
    <mergeCell ref="H3:J3"/>
    <mergeCell ref="D4:J4"/>
    <mergeCell ref="B6:O6"/>
    <mergeCell ref="A1:Q1"/>
    <mergeCell ref="DI417:DJ417"/>
    <mergeCell ref="DK417:DL417"/>
    <mergeCell ref="B116:O116"/>
    <mergeCell ref="B95:O95"/>
    <mergeCell ref="B196:O196"/>
    <mergeCell ref="B151:O151"/>
    <mergeCell ref="H180:I180"/>
    <mergeCell ref="J180:K180"/>
    <mergeCell ref="H181:I181"/>
    <mergeCell ref="J181:K181"/>
    <mergeCell ref="L190:N193"/>
    <mergeCell ref="B216:O216"/>
    <mergeCell ref="B240:O240"/>
    <mergeCell ref="P298:Q300"/>
    <mergeCell ref="B310:O310"/>
    <mergeCell ref="B330:O330"/>
  </mergeCells>
  <conditionalFormatting sqref="AB397:AB401 AO397:AO401 BA397:BA401 AO419:AO424 BA419:BA424 BM419:BM424 BZ419:BZ424 AB419:AB424 BA9:BA28 AO9:AO25 AB49:AB65 BA49:BA65 BM49:BM65 CL49:CL65 CY49:CY65 AB9:AB25 AB27:AB28 AB33 AB30:AB31 AO27:AO28 BA30:BA31 CY70:CY71 CY67:CY68 CL70:CL71 CL67:CL68 BM70:BM71 BM67:BM68 BA67:BA68 BA70:BA71 AB70:AB71 AB67:AB68 CY73 CL73 AB154:AC171 AO30:AO33 BA33 AO49:AO65 AB73 AO73:AO74 AO70:AO71 AO67:AO68 BA73 BM73 AB139 AC139:AC145 AB138:AC138">
    <cfRule type="cellIs" dxfId="104" priority="138" operator="notEqual">
      <formula>AA9</formula>
    </cfRule>
  </conditionalFormatting>
  <conditionalFormatting sqref="AB98:AB99">
    <cfRule type="cellIs" dxfId="103" priority="115" operator="notEqual">
      <formula>AA98</formula>
    </cfRule>
  </conditionalFormatting>
  <conditionalFormatting sqref="AB111:AB112">
    <cfRule type="cellIs" dxfId="102" priority="114" operator="notEqual">
      <formula>AA111</formula>
    </cfRule>
  </conditionalFormatting>
  <conditionalFormatting sqref="AB444">
    <cfRule type="cellIs" dxfId="101" priority="111" operator="notEqual">
      <formula>AA444</formula>
    </cfRule>
  </conditionalFormatting>
  <conditionalFormatting sqref="AB119:AB120">
    <cfRule type="cellIs" dxfId="100" priority="106" operator="notEqual">
      <formula>AA119</formula>
    </cfRule>
  </conditionalFormatting>
  <conditionalFormatting sqref="AB121:AB126">
    <cfRule type="cellIs" dxfId="99" priority="105" operator="notEqual">
      <formula>AA121</formula>
    </cfRule>
  </conditionalFormatting>
  <conditionalFormatting sqref="AO29">
    <cfRule type="cellIs" dxfId="98" priority="102" operator="notEqual">
      <formula>AN29</formula>
    </cfRule>
  </conditionalFormatting>
  <conditionalFormatting sqref="AO26">
    <cfRule type="cellIs" dxfId="97" priority="101" operator="notEqual">
      <formula>AN26</formula>
    </cfRule>
  </conditionalFormatting>
  <conditionalFormatting sqref="BB9:BB34">
    <cfRule type="cellIs" dxfId="96" priority="100" operator="notEqual">
      <formula>BA9</formula>
    </cfRule>
  </conditionalFormatting>
  <conditionalFormatting sqref="CZ49:CZ73">
    <cfRule type="cellIs" dxfId="95" priority="99" operator="notEqual">
      <formula>CY49</formula>
    </cfRule>
  </conditionalFormatting>
  <conditionalFormatting sqref="CM49:CM73">
    <cfRule type="cellIs" dxfId="94" priority="98" operator="notEqual">
      <formula>CL49</formula>
    </cfRule>
  </conditionalFormatting>
  <conditionalFormatting sqref="BN49:BN74">
    <cfRule type="cellIs" dxfId="93" priority="97" operator="notEqual">
      <formula>BM49</formula>
    </cfRule>
  </conditionalFormatting>
  <conditionalFormatting sqref="BB49:BB74">
    <cfRule type="cellIs" dxfId="92" priority="96" operator="notEqual">
      <formula>BA49</formula>
    </cfRule>
  </conditionalFormatting>
  <conditionalFormatting sqref="AP49:AP74">
    <cfRule type="cellIs" dxfId="91" priority="95" operator="notEqual">
      <formula>AO49</formula>
    </cfRule>
  </conditionalFormatting>
  <conditionalFormatting sqref="AC49:AC74">
    <cfRule type="cellIs" dxfId="90" priority="94" operator="notEqual">
      <formula>AB49</formula>
    </cfRule>
  </conditionalFormatting>
  <conditionalFormatting sqref="AC80">
    <cfRule type="cellIs" dxfId="89" priority="93" operator="notEqual">
      <formula>AB80</formula>
    </cfRule>
  </conditionalFormatting>
  <conditionalFormatting sqref="AC98">
    <cfRule type="cellIs" dxfId="88" priority="92" operator="notEqual">
      <formula>AB98</formula>
    </cfRule>
  </conditionalFormatting>
  <conditionalFormatting sqref="AC99">
    <cfRule type="cellIs" dxfId="87" priority="91" operator="notEqual">
      <formula>AB99</formula>
    </cfRule>
  </conditionalFormatting>
  <conditionalFormatting sqref="AC119:AC126">
    <cfRule type="cellIs" dxfId="86" priority="90" operator="notEqual">
      <formula>AB119</formula>
    </cfRule>
  </conditionalFormatting>
  <conditionalFormatting sqref="AC199:AD199">
    <cfRule type="cellIs" dxfId="85" priority="87" operator="notEqual">
      <formula>AB199</formula>
    </cfRule>
  </conditionalFormatting>
  <conditionalFormatting sqref="AC200:AD200">
    <cfRule type="cellIs" dxfId="84" priority="86" operator="notEqual">
      <formula>AB200</formula>
    </cfRule>
  </conditionalFormatting>
  <conditionalFormatting sqref="AC219:AD219">
    <cfRule type="cellIs" dxfId="83" priority="85" operator="notEqual">
      <formula>AB219</formula>
    </cfRule>
  </conditionalFormatting>
  <conditionalFormatting sqref="AC220:AD220">
    <cfRule type="cellIs" dxfId="82" priority="84" operator="notEqual">
      <formula>AB220</formula>
    </cfRule>
  </conditionalFormatting>
  <conditionalFormatting sqref="AC221:AD221">
    <cfRule type="cellIs" dxfId="81" priority="83" operator="notEqual">
      <formula>AB221</formula>
    </cfRule>
  </conditionalFormatting>
  <conditionalFormatting sqref="AC222:AD222">
    <cfRule type="cellIs" dxfId="80" priority="82" operator="notEqual">
      <formula>AB222</formula>
    </cfRule>
  </conditionalFormatting>
  <conditionalFormatting sqref="AC223:AD223">
    <cfRule type="cellIs" dxfId="79" priority="81" operator="notEqual">
      <formula>AB223</formula>
    </cfRule>
  </conditionalFormatting>
  <conditionalFormatting sqref="AC243:AD243">
    <cfRule type="cellIs" dxfId="78" priority="80" operator="notEqual">
      <formula>AB243</formula>
    </cfRule>
  </conditionalFormatting>
  <conditionalFormatting sqref="AC244:AD244">
    <cfRule type="cellIs" dxfId="77" priority="79" operator="notEqual">
      <formula>AB244</formula>
    </cfRule>
  </conditionalFormatting>
  <conditionalFormatting sqref="AC261:AD261">
    <cfRule type="cellIs" dxfId="76" priority="78" operator="notEqual">
      <formula>AB261</formula>
    </cfRule>
  </conditionalFormatting>
  <conditionalFormatting sqref="AC275:AD275">
    <cfRule type="cellIs" dxfId="75" priority="77" operator="notEqual">
      <formula>AB275</formula>
    </cfRule>
  </conditionalFormatting>
  <conditionalFormatting sqref="AC291:AC294">
    <cfRule type="cellIs" dxfId="74" priority="76" operator="notEqual">
      <formula>AB291</formula>
    </cfRule>
  </conditionalFormatting>
  <conditionalFormatting sqref="AC313:AC315">
    <cfRule type="cellIs" dxfId="73" priority="75" operator="notEqual">
      <formula>AB313</formula>
    </cfRule>
  </conditionalFormatting>
  <conditionalFormatting sqref="AC347:AC350">
    <cfRule type="cellIs" dxfId="72" priority="74" operator="notEqual">
      <formula>AB347</formula>
    </cfRule>
  </conditionalFormatting>
  <conditionalFormatting sqref="AC367:AD367">
    <cfRule type="cellIs" dxfId="71" priority="73" operator="notEqual">
      <formula>AB367</formula>
    </cfRule>
  </conditionalFormatting>
  <conditionalFormatting sqref="AC397:AC401">
    <cfRule type="cellIs" dxfId="70" priority="72" operator="notEqual">
      <formula>AB397</formula>
    </cfRule>
  </conditionalFormatting>
  <conditionalFormatting sqref="AC419:AC424">
    <cfRule type="cellIs" dxfId="69" priority="71" operator="notEqual">
      <formula>AB419</formula>
    </cfRule>
  </conditionalFormatting>
  <conditionalFormatting sqref="AC444:AC445">
    <cfRule type="cellIs" dxfId="68" priority="70" operator="notEqual">
      <formula>AB444</formula>
    </cfRule>
  </conditionalFormatting>
  <conditionalFormatting sqref="AC479:AC482">
    <cfRule type="cellIs" dxfId="67" priority="69" operator="notEqual">
      <formula>AB479</formula>
    </cfRule>
  </conditionalFormatting>
  <conditionalFormatting sqref="AC499:AC503">
    <cfRule type="cellIs" dxfId="66" priority="68" operator="notEqual">
      <formula>AB499</formula>
    </cfRule>
  </conditionalFormatting>
  <conditionalFormatting sqref="AC523:AC529">
    <cfRule type="cellIs" dxfId="65" priority="67" operator="notEqual">
      <formula>AB523</formula>
    </cfRule>
  </conditionalFormatting>
  <conditionalFormatting sqref="AC549:AC555">
    <cfRule type="cellIs" dxfId="64" priority="66" operator="notEqual">
      <formula>AB549</formula>
    </cfRule>
  </conditionalFormatting>
  <conditionalFormatting sqref="AC575:AD575">
    <cfRule type="cellIs" dxfId="63" priority="65" operator="notEqual">
      <formula>AB575</formula>
    </cfRule>
  </conditionalFormatting>
  <conditionalFormatting sqref="AC618:AD618">
    <cfRule type="cellIs" dxfId="62" priority="64" operator="notEqual">
      <formula>AB618</formula>
    </cfRule>
  </conditionalFormatting>
  <conditionalFormatting sqref="AC619:AD619">
    <cfRule type="cellIs" dxfId="61" priority="63" operator="notEqual">
      <formula>AB619</formula>
    </cfRule>
  </conditionalFormatting>
  <conditionalFormatting sqref="AC641:AD641">
    <cfRule type="cellIs" dxfId="60" priority="62" operator="notEqual">
      <formula>AB641</formula>
    </cfRule>
  </conditionalFormatting>
  <conditionalFormatting sqref="AC642:AD642">
    <cfRule type="cellIs" dxfId="59" priority="61" operator="notEqual">
      <formula>AB642</formula>
    </cfRule>
  </conditionalFormatting>
  <conditionalFormatting sqref="AC659:AD659">
    <cfRule type="cellIs" dxfId="58" priority="60" operator="notEqual">
      <formula>AB659</formula>
    </cfRule>
  </conditionalFormatting>
  <conditionalFormatting sqref="AC660:AD660">
    <cfRule type="cellIs" dxfId="57" priority="59" operator="notEqual">
      <formula>AB660</formula>
    </cfRule>
  </conditionalFormatting>
  <conditionalFormatting sqref="AC693:AD693">
    <cfRule type="cellIs" dxfId="56" priority="58" operator="notEqual">
      <formula>AB693</formula>
    </cfRule>
  </conditionalFormatting>
  <conditionalFormatting sqref="AC694:AD694">
    <cfRule type="cellIs" dxfId="55" priority="57" operator="notEqual">
      <formula>AB694</formula>
    </cfRule>
  </conditionalFormatting>
  <conditionalFormatting sqref="AC677:AD677">
    <cfRule type="cellIs" dxfId="54" priority="56" operator="notEqual">
      <formula>AB677</formula>
    </cfRule>
  </conditionalFormatting>
  <conditionalFormatting sqref="AC711:AD711">
    <cfRule type="cellIs" dxfId="53" priority="55" operator="notEqual">
      <formula>AB711</formula>
    </cfRule>
  </conditionalFormatting>
  <conditionalFormatting sqref="AC727:AD727">
    <cfRule type="cellIs" dxfId="52" priority="54" operator="notEqual">
      <formula>AB727</formula>
    </cfRule>
  </conditionalFormatting>
  <conditionalFormatting sqref="AC743:AD743">
    <cfRule type="cellIs" dxfId="51" priority="53" operator="notEqual">
      <formula>AB743</formula>
    </cfRule>
  </conditionalFormatting>
  <conditionalFormatting sqref="AC759:AD759">
    <cfRule type="cellIs" dxfId="50" priority="52" operator="notEqual">
      <formula>AB759</formula>
    </cfRule>
  </conditionalFormatting>
  <conditionalFormatting sqref="AC775:AC777">
    <cfRule type="cellIs" dxfId="49" priority="51" operator="notEqual">
      <formula>AB775</formula>
    </cfRule>
  </conditionalFormatting>
  <conditionalFormatting sqref="AC795:AD795">
    <cfRule type="cellIs" dxfId="48" priority="50" operator="notEqual">
      <formula>AB795</formula>
    </cfRule>
  </conditionalFormatting>
  <conditionalFormatting sqref="AC811:AC812">
    <cfRule type="cellIs" dxfId="47" priority="49" operator="notEqual">
      <formula>AB811</formula>
    </cfRule>
  </conditionalFormatting>
  <conditionalFormatting sqref="AC829:AC830">
    <cfRule type="cellIs" dxfId="46" priority="48" operator="notEqual">
      <formula>AB829</formula>
    </cfRule>
  </conditionalFormatting>
  <conditionalFormatting sqref="AC847:AD847">
    <cfRule type="cellIs" dxfId="45" priority="47" operator="notEqual">
      <formula>AB847</formula>
    </cfRule>
  </conditionalFormatting>
  <conditionalFormatting sqref="AC863:AD863">
    <cfRule type="cellIs" dxfId="44" priority="46" operator="notEqual">
      <formula>AB863</formula>
    </cfRule>
  </conditionalFormatting>
  <conditionalFormatting sqref="AC878:AD878">
    <cfRule type="cellIs" dxfId="43" priority="45" operator="notEqual">
      <formula>AB878</formula>
    </cfRule>
  </conditionalFormatting>
  <conditionalFormatting sqref="AC864:AD864">
    <cfRule type="cellIs" dxfId="42" priority="44" operator="notEqual">
      <formula>AB864</formula>
    </cfRule>
  </conditionalFormatting>
  <conditionalFormatting sqref="AC865:AD865">
    <cfRule type="cellIs" dxfId="41" priority="43" operator="notEqual">
      <formula>AB865</formula>
    </cfRule>
  </conditionalFormatting>
  <conditionalFormatting sqref="AC92:AD92">
    <cfRule type="cellIs" dxfId="40" priority="42" operator="notEqual">
      <formula>AB92</formula>
    </cfRule>
  </conditionalFormatting>
  <conditionalFormatting sqref="AC111:AD111">
    <cfRule type="cellIs" dxfId="39" priority="41" operator="notEqual">
      <formula>AB111</formula>
    </cfRule>
  </conditionalFormatting>
  <conditionalFormatting sqref="AC112:AD112">
    <cfRule type="cellIs" dxfId="38" priority="40" operator="notEqual">
      <formula>AB112</formula>
    </cfRule>
  </conditionalFormatting>
  <conditionalFormatting sqref="AP119:AP124">
    <cfRule type="cellIs" dxfId="37" priority="38" operator="notEqual">
      <formula>AO119</formula>
    </cfRule>
  </conditionalFormatting>
  <conditionalFormatting sqref="AP111:AP112">
    <cfRule type="cellIs" dxfId="36" priority="37" operator="notEqual">
      <formula>AO111</formula>
    </cfRule>
  </conditionalFormatting>
  <conditionalFormatting sqref="AP397:AP401">
    <cfRule type="cellIs" dxfId="35" priority="36" operator="notEqual">
      <formula>AO397</formula>
    </cfRule>
  </conditionalFormatting>
  <conditionalFormatting sqref="BB397:BB401">
    <cfRule type="cellIs" dxfId="34" priority="35" operator="notEqual">
      <formula>BA397</formula>
    </cfRule>
  </conditionalFormatting>
  <conditionalFormatting sqref="BN419:BN424">
    <cfRule type="cellIs" dxfId="33" priority="34" operator="notEqual">
      <formula>BM419</formula>
    </cfRule>
  </conditionalFormatting>
  <conditionalFormatting sqref="CA419:CA424">
    <cfRule type="cellIs" dxfId="32" priority="33" operator="notEqual">
      <formula>BZ419</formula>
    </cfRule>
  </conditionalFormatting>
  <conditionalFormatting sqref="AO72">
    <cfRule type="cellIs" dxfId="31" priority="32" operator="notEqual">
      <formula>AN72</formula>
    </cfRule>
  </conditionalFormatting>
  <conditionalFormatting sqref="AO69">
    <cfRule type="cellIs" dxfId="30" priority="31" operator="notEqual">
      <formula>AN69</formula>
    </cfRule>
  </conditionalFormatting>
  <conditionalFormatting sqref="AO66">
    <cfRule type="cellIs" dxfId="29" priority="30" operator="notEqual">
      <formula>AN66</formula>
    </cfRule>
  </conditionalFormatting>
  <conditionalFormatting sqref="CM74:CN74">
    <cfRule type="cellIs" dxfId="28" priority="29" operator="notEqual">
      <formula>CL74</formula>
    </cfRule>
  </conditionalFormatting>
  <conditionalFormatting sqref="CZ74:DA74">
    <cfRule type="cellIs" dxfId="27" priority="28" operator="notEqual">
      <formula>CY74</formula>
    </cfRule>
  </conditionalFormatting>
  <conditionalFormatting sqref="DA49:DA73">
    <cfRule type="cellIs" dxfId="26" priority="27" operator="notEqual">
      <formula>CZ49</formula>
    </cfRule>
  </conditionalFormatting>
  <conditionalFormatting sqref="CN49:CN73">
    <cfRule type="cellIs" dxfId="25" priority="26" operator="notEqual">
      <formula>CM49</formula>
    </cfRule>
  </conditionalFormatting>
  <conditionalFormatting sqref="BC9:BC34">
    <cfRule type="cellIs" dxfId="24" priority="25" operator="notEqual">
      <formula>BB9</formula>
    </cfRule>
  </conditionalFormatting>
  <conditionalFormatting sqref="AD154:AD171">
    <cfRule type="cellIs" dxfId="23" priority="24" operator="notEqual">
      <formula>AC154</formula>
    </cfRule>
  </conditionalFormatting>
  <conditionalFormatting sqref="AD291:AD294">
    <cfRule type="cellIs" dxfId="22" priority="23" operator="notEqual">
      <formula>AC291</formula>
    </cfRule>
  </conditionalFormatting>
  <conditionalFormatting sqref="AD313:AD315">
    <cfRule type="cellIs" dxfId="21" priority="22" operator="notEqual">
      <formula>AC313</formula>
    </cfRule>
  </conditionalFormatting>
  <conditionalFormatting sqref="AD347:AD350">
    <cfRule type="cellIs" dxfId="20" priority="21" operator="notEqual">
      <formula>AC347</formula>
    </cfRule>
  </conditionalFormatting>
  <conditionalFormatting sqref="AD397:AD401">
    <cfRule type="cellIs" dxfId="19" priority="20" operator="notEqual">
      <formula>AC397</formula>
    </cfRule>
  </conditionalFormatting>
  <conditionalFormatting sqref="AQ397:AQ401">
    <cfRule type="cellIs" dxfId="18" priority="19" operator="notEqual">
      <formula>AP397</formula>
    </cfRule>
  </conditionalFormatting>
  <conditionalFormatting sqref="BC397:BC401">
    <cfRule type="cellIs" dxfId="17" priority="18" operator="notEqual">
      <formula>BB397</formula>
    </cfRule>
  </conditionalFormatting>
  <conditionalFormatting sqref="CB419:CB424">
    <cfRule type="cellIs" dxfId="16" priority="17" operator="notEqual">
      <formula>CA419</formula>
    </cfRule>
  </conditionalFormatting>
  <conditionalFormatting sqref="BO419:BO424">
    <cfRule type="cellIs" dxfId="15" priority="16" operator="notEqual">
      <formula>BN419</formula>
    </cfRule>
  </conditionalFormatting>
  <conditionalFormatting sqref="AD419:AD424">
    <cfRule type="cellIs" dxfId="14" priority="15" operator="notEqual">
      <formula>AC419</formula>
    </cfRule>
  </conditionalFormatting>
  <conditionalFormatting sqref="AD444:AD445">
    <cfRule type="cellIs" dxfId="13" priority="14" operator="notEqual">
      <formula>AC444</formula>
    </cfRule>
  </conditionalFormatting>
  <conditionalFormatting sqref="AD479:AD482">
    <cfRule type="cellIs" dxfId="12" priority="13" operator="notEqual">
      <formula>AC479</formula>
    </cfRule>
  </conditionalFormatting>
  <conditionalFormatting sqref="AD499:AD503">
    <cfRule type="cellIs" dxfId="11" priority="12" operator="notEqual">
      <formula>AC499</formula>
    </cfRule>
  </conditionalFormatting>
  <conditionalFormatting sqref="AD523:AD529">
    <cfRule type="cellIs" dxfId="10" priority="11" operator="notEqual">
      <formula>AC523</formula>
    </cfRule>
  </conditionalFormatting>
  <conditionalFormatting sqref="AD549:AD555">
    <cfRule type="cellIs" dxfId="9" priority="10" operator="notEqual">
      <formula>AC549</formula>
    </cfRule>
  </conditionalFormatting>
  <conditionalFormatting sqref="AD775:AD777">
    <cfRule type="cellIs" dxfId="8" priority="9" operator="notEqual">
      <formula>AC775</formula>
    </cfRule>
  </conditionalFormatting>
  <conditionalFormatting sqref="AD811:AD812">
    <cfRule type="cellIs" dxfId="7" priority="8" operator="notEqual">
      <formula>AC811</formula>
    </cfRule>
  </conditionalFormatting>
  <conditionalFormatting sqref="AD829:AD830">
    <cfRule type="cellIs" dxfId="6" priority="7" operator="notEqual">
      <formula>AC829</formula>
    </cfRule>
  </conditionalFormatting>
  <conditionalFormatting sqref="AQ111:AQ112">
    <cfRule type="cellIs" dxfId="5" priority="6" operator="notEqual">
      <formula>AP111</formula>
    </cfRule>
  </conditionalFormatting>
  <conditionalFormatting sqref="AC589:AC595">
    <cfRule type="cellIs" dxfId="4" priority="2" operator="notEqual">
      <formula>AB589</formula>
    </cfRule>
  </conditionalFormatting>
  <conditionalFormatting sqref="AD589:AD595">
    <cfRule type="cellIs" dxfId="3" priority="1" operator="notEqual">
      <formula>AC589</formula>
    </cfRule>
  </conditionalFormatting>
  <pageMargins left="0.7" right="0.7" top="0.75" bottom="0.75" header="0.3" footer="0.3"/>
  <pageSetup scale="11" fitToHeight="0" orientation="portrait" r:id="rId1"/>
  <rowBreaks count="7" manualBreakCount="7">
    <brk id="179" max="110" man="1"/>
    <brk id="208" max="16383" man="1"/>
    <brk id="309" max="16383" man="1"/>
    <brk id="442" max="16383" man="1"/>
    <brk id="636" max="16383" man="1"/>
    <brk id="738" max="110" man="1"/>
    <brk id="790" max="16383" man="1"/>
  </rowBreaks>
  <colBreaks count="1" manualBreakCount="1">
    <brk id="37" max="757" man="1"/>
  </colBreak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sheetPr>
  <dimension ref="A1:AV1042"/>
  <sheetViews>
    <sheetView zoomScaleNormal="100" workbookViewId="0"/>
  </sheetViews>
  <sheetFormatPr defaultRowHeight="14.5" outlineLevelCol="1" x14ac:dyDescent="0.35"/>
  <cols>
    <col min="1" max="1" width="16.1796875" style="87" bestFit="1" customWidth="1"/>
    <col min="2" max="2" width="23" style="106" bestFit="1" customWidth="1"/>
    <col min="3" max="3" width="19.7265625" style="106" bestFit="1" customWidth="1"/>
    <col min="4" max="4" width="22.54296875" style="106" bestFit="1" customWidth="1"/>
    <col min="5" max="5" width="17.453125" style="106" bestFit="1" customWidth="1"/>
    <col min="6" max="6" width="17.7265625" style="106" bestFit="1" customWidth="1"/>
    <col min="7" max="7" width="76.7265625" style="106" customWidth="1"/>
    <col min="8" max="8" width="22" style="103" customWidth="1"/>
    <col min="9" max="9" width="21.54296875" style="2568" customWidth="1"/>
    <col min="10" max="10" width="14.54296875" style="2568" bestFit="1" customWidth="1"/>
    <col min="11" max="11" width="12.81640625" style="1255" hidden="1" customWidth="1" outlineLevel="1"/>
    <col min="12" max="12" width="14.81640625" style="1255" hidden="1" customWidth="1" outlineLevel="1"/>
    <col min="13" max="13" width="12.81640625" style="1255" hidden="1" customWidth="1" outlineLevel="1"/>
    <col min="14" max="14" width="13.1796875" style="1255" hidden="1" customWidth="1" outlineLevel="1"/>
    <col min="15" max="15" width="24.453125" style="1252" bestFit="1" customWidth="1" collapsed="1"/>
    <col min="16" max="16" width="16.81640625" style="1252" bestFit="1" customWidth="1"/>
    <col min="17" max="17" width="14.26953125" style="106" hidden="1" customWidth="1" outlineLevel="1"/>
    <col min="18" max="18" width="12.81640625" style="106" hidden="1" customWidth="1" outlineLevel="1"/>
    <col min="19" max="19" width="12.453125" style="106" hidden="1" customWidth="1" outlineLevel="1"/>
    <col min="20" max="20" width="12.81640625" style="106" hidden="1" customWidth="1" outlineLevel="1"/>
    <col min="21" max="21" width="16.26953125" bestFit="1" customWidth="1" collapsed="1"/>
    <col min="22" max="22" width="18.7265625" bestFit="1" customWidth="1"/>
    <col min="23" max="23" width="16.7265625" bestFit="1" customWidth="1"/>
    <col min="24" max="24" width="19.453125" style="2569" bestFit="1" customWidth="1"/>
    <col min="25" max="25" width="5.26953125" style="2569" bestFit="1" customWidth="1"/>
    <col min="26" max="26" width="10.1796875" style="2569" bestFit="1" customWidth="1"/>
    <col min="27" max="27" width="20.453125" style="103" bestFit="1" customWidth="1"/>
    <col min="28" max="28" width="22.453125" style="2570" customWidth="1"/>
    <col min="29" max="29" width="23.81640625" style="2570" bestFit="1" customWidth="1"/>
    <col min="30" max="30" width="17.7265625" style="2571" bestFit="1" customWidth="1"/>
    <col min="31" max="31" width="20.453125" style="103" hidden="1" customWidth="1" outlineLevel="1"/>
    <col min="32" max="34" width="12.54296875" style="106" hidden="1" customWidth="1" outlineLevel="1"/>
    <col min="35" max="35" width="11.7265625" style="106" customWidth="1" collapsed="1"/>
    <col min="36" max="37" width="9.54296875" customWidth="1"/>
    <col min="38" max="38" width="67" customWidth="1"/>
    <col min="39" max="39" width="15.7265625" hidden="1" customWidth="1"/>
    <col min="40" max="40" width="11" hidden="1" customWidth="1"/>
    <col min="41" max="41" width="10.7265625" hidden="1" customWidth="1"/>
    <col min="42" max="42" width="8.81640625" hidden="1" customWidth="1"/>
    <col min="43" max="43" width="16" hidden="1" customWidth="1"/>
    <col min="44" max="45" width="8.81640625" hidden="1" customWidth="1"/>
    <col min="46" max="46" width="23" hidden="1" customWidth="1"/>
    <col min="47" max="48" width="8.81640625" hidden="1" customWidth="1"/>
    <col min="49" max="50" width="8.81640625" customWidth="1"/>
  </cols>
  <sheetData>
    <row r="1" spans="1:47" x14ac:dyDescent="0.35">
      <c r="B1" s="4595" t="s">
        <v>3898</v>
      </c>
      <c r="C1" s="4595"/>
      <c r="D1" s="4595"/>
      <c r="E1" s="4595"/>
      <c r="F1" s="4595"/>
      <c r="G1" s="4595"/>
      <c r="H1" s="4595"/>
      <c r="I1" s="4595"/>
      <c r="J1" s="4595"/>
      <c r="K1" s="4595"/>
      <c r="L1" s="4595"/>
      <c r="M1" s="4595"/>
      <c r="N1" s="4595"/>
      <c r="O1" s="4595"/>
      <c r="P1" s="4595"/>
      <c r="Q1" s="4595"/>
      <c r="R1" s="4595"/>
      <c r="S1" s="4595"/>
      <c r="T1" s="4595"/>
      <c r="U1" s="4595"/>
      <c r="V1" s="4595"/>
      <c r="W1" s="4595"/>
      <c r="X1" s="4595"/>
      <c r="Y1" s="4595"/>
      <c r="Z1" s="4595"/>
      <c r="AA1" s="4595"/>
      <c r="AB1" s="4595"/>
      <c r="AC1" s="4595"/>
      <c r="AD1" s="4595"/>
      <c r="AE1" s="4595"/>
      <c r="AF1" s="4595"/>
      <c r="AG1" s="4595"/>
      <c r="AH1" s="4595"/>
    </row>
    <row r="2" spans="1:47" x14ac:dyDescent="0.35">
      <c r="B2" s="4595"/>
      <c r="C2" s="4595"/>
      <c r="D2" s="4595"/>
      <c r="E2" s="4595"/>
      <c r="F2" s="4595"/>
      <c r="G2" s="4595"/>
      <c r="H2" s="4595"/>
      <c r="I2" s="4595"/>
      <c r="J2" s="4595"/>
      <c r="K2" s="4595"/>
      <c r="L2" s="4595"/>
      <c r="M2" s="4595"/>
      <c r="N2" s="4595"/>
      <c r="O2" s="4595"/>
      <c r="P2" s="4595"/>
      <c r="Q2" s="4595"/>
      <c r="R2" s="4595"/>
      <c r="S2" s="4595"/>
      <c r="T2" s="4595"/>
      <c r="U2" s="4595"/>
      <c r="V2" s="4595"/>
      <c r="W2" s="4595"/>
      <c r="X2" s="4595"/>
      <c r="Y2" s="4595"/>
      <c r="Z2" s="4595"/>
      <c r="AA2" s="4595"/>
      <c r="AB2" s="4595"/>
      <c r="AC2" s="4595"/>
      <c r="AD2" s="4595"/>
      <c r="AE2" s="4595"/>
      <c r="AF2" s="4595"/>
      <c r="AG2" s="4595"/>
      <c r="AH2" s="4595"/>
    </row>
    <row r="3" spans="1:47" x14ac:dyDescent="0.35">
      <c r="B3" s="4595"/>
      <c r="C3" s="4595"/>
      <c r="D3" s="4595"/>
      <c r="E3" s="4595"/>
      <c r="F3" s="4595"/>
      <c r="G3" s="4595"/>
      <c r="H3" s="4595"/>
      <c r="I3" s="4595"/>
      <c r="J3" s="4595"/>
      <c r="K3" s="4595"/>
      <c r="L3" s="4595"/>
      <c r="M3" s="4595"/>
      <c r="N3" s="4595"/>
      <c r="O3" s="4595"/>
      <c r="P3" s="4595"/>
      <c r="Q3" s="4595"/>
      <c r="R3" s="4595"/>
      <c r="S3" s="4595"/>
      <c r="T3" s="4595"/>
      <c r="U3" s="4595"/>
      <c r="V3" s="4595"/>
      <c r="W3" s="4595"/>
      <c r="X3" s="4595"/>
      <c r="Y3" s="4595"/>
      <c r="Z3" s="4595"/>
      <c r="AA3" s="4595"/>
      <c r="AB3" s="4595"/>
      <c r="AC3" s="4595"/>
      <c r="AD3" s="4595"/>
      <c r="AE3" s="4595"/>
      <c r="AF3" s="4595"/>
      <c r="AG3" s="4595"/>
      <c r="AH3" s="4595"/>
    </row>
    <row r="4" spans="1:47" x14ac:dyDescent="0.35">
      <c r="C4" s="84" t="s">
        <v>4224</v>
      </c>
      <c r="I4" s="2552"/>
      <c r="J4" s="2552"/>
      <c r="K4" s="2553"/>
      <c r="L4" s="2553"/>
      <c r="M4" s="2553"/>
      <c r="N4" s="2553"/>
      <c r="O4" s="127"/>
      <c r="P4" s="127"/>
      <c r="Q4" s="103"/>
      <c r="R4" s="103"/>
      <c r="S4" s="103"/>
      <c r="T4" s="103"/>
      <c r="U4" s="87"/>
      <c r="V4" s="87"/>
      <c r="W4" s="87"/>
    </row>
    <row r="5" spans="1:47" x14ac:dyDescent="0.35">
      <c r="I5" s="2552"/>
      <c r="J5" s="2552"/>
      <c r="K5" s="2553"/>
      <c r="L5" s="2553"/>
      <c r="M5" s="2553"/>
      <c r="N5" s="2553"/>
      <c r="O5" s="127"/>
      <c r="P5" s="127"/>
      <c r="Q5" s="103"/>
      <c r="R5" s="103"/>
      <c r="S5" s="103"/>
      <c r="T5" s="103"/>
      <c r="U5" s="87"/>
      <c r="V5" s="87"/>
      <c r="W5" s="87"/>
      <c r="AC5" s="2572"/>
      <c r="AD5" s="2573"/>
      <c r="AE5" s="2574"/>
      <c r="AF5" s="2575"/>
      <c r="AG5" s="2575"/>
      <c r="AH5" s="2575"/>
    </row>
    <row r="6" spans="1:47" ht="63" customHeight="1" x14ac:dyDescent="0.55000000000000004">
      <c r="B6" s="4604" t="s">
        <v>27</v>
      </c>
      <c r="C6" s="4586" t="s">
        <v>175</v>
      </c>
      <c r="D6" s="4587"/>
      <c r="E6" s="4587"/>
      <c r="F6" s="4588"/>
      <c r="G6" s="1495" t="s">
        <v>3899</v>
      </c>
      <c r="H6" s="4582" t="s">
        <v>28</v>
      </c>
      <c r="I6" s="1519" t="s">
        <v>3900</v>
      </c>
      <c r="J6" s="1519" t="s">
        <v>3901</v>
      </c>
      <c r="K6" s="4589" t="s">
        <v>3902</v>
      </c>
      <c r="L6" s="4590"/>
      <c r="M6" s="4590"/>
      <c r="N6" s="4591"/>
      <c r="O6" s="1517" t="s">
        <v>3903</v>
      </c>
      <c r="P6" s="1517" t="s">
        <v>3904</v>
      </c>
      <c r="Q6" s="4592" t="s">
        <v>3905</v>
      </c>
      <c r="R6" s="4593"/>
      <c r="S6" s="4593"/>
      <c r="T6" s="4594"/>
      <c r="U6" s="4584" t="s">
        <v>3906</v>
      </c>
      <c r="V6" s="4584" t="s">
        <v>3907</v>
      </c>
      <c r="W6" s="4584" t="s">
        <v>3908</v>
      </c>
      <c r="X6" s="4579" t="s">
        <v>180</v>
      </c>
      <c r="Y6" s="4580"/>
      <c r="Z6" s="4581"/>
      <c r="AA6" s="4606" t="s">
        <v>3909</v>
      </c>
      <c r="AB6" s="4600" t="s">
        <v>2239</v>
      </c>
      <c r="AC6" s="4600" t="s">
        <v>3910</v>
      </c>
      <c r="AD6" s="4602" t="s">
        <v>3911</v>
      </c>
      <c r="AE6" s="4596" t="s">
        <v>3912</v>
      </c>
      <c r="AF6" s="4596" t="s">
        <v>3912</v>
      </c>
      <c r="AG6" s="4598" t="s">
        <v>3913</v>
      </c>
      <c r="AH6" s="4598" t="s">
        <v>3913</v>
      </c>
      <c r="AI6" s="2576" t="s">
        <v>3914</v>
      </c>
      <c r="AJ6" s="1567"/>
      <c r="AK6" s="1567"/>
    </row>
    <row r="7" spans="1:47" ht="15.5" x14ac:dyDescent="0.35">
      <c r="B7" s="4605"/>
      <c r="C7" s="1510">
        <v>1</v>
      </c>
      <c r="D7" s="1510">
        <v>2</v>
      </c>
      <c r="E7" s="1510">
        <v>3</v>
      </c>
      <c r="F7" s="1510">
        <v>4</v>
      </c>
      <c r="G7" s="1510"/>
      <c r="H7" s="4583"/>
      <c r="I7" s="2554" t="s">
        <v>3915</v>
      </c>
      <c r="J7" s="2554" t="s">
        <v>3916</v>
      </c>
      <c r="K7" s="2555" t="s">
        <v>3917</v>
      </c>
      <c r="L7" s="2555" t="s">
        <v>3918</v>
      </c>
      <c r="M7" s="2555" t="s">
        <v>3919</v>
      </c>
      <c r="N7" s="2555" t="s">
        <v>3920</v>
      </c>
      <c r="O7" s="2556" t="s">
        <v>3921</v>
      </c>
      <c r="P7" s="2556" t="s">
        <v>3922</v>
      </c>
      <c r="Q7" s="2557" t="s">
        <v>3917</v>
      </c>
      <c r="R7" s="2557" t="s">
        <v>3918</v>
      </c>
      <c r="S7" s="2557" t="s">
        <v>3919</v>
      </c>
      <c r="T7" s="2557" t="s">
        <v>3920</v>
      </c>
      <c r="U7" s="4585" t="s">
        <v>3906</v>
      </c>
      <c r="V7" s="4585" t="s">
        <v>3907</v>
      </c>
      <c r="W7" s="4585" t="s">
        <v>3908</v>
      </c>
      <c r="X7" s="2577" t="s">
        <v>3923</v>
      </c>
      <c r="Y7" s="2577" t="s">
        <v>3916</v>
      </c>
      <c r="Z7" s="2577" t="s">
        <v>3924</v>
      </c>
      <c r="AA7" s="4607"/>
      <c r="AB7" s="4601"/>
      <c r="AC7" s="4601" t="s">
        <v>48</v>
      </c>
      <c r="AD7" s="4603" t="s">
        <v>48</v>
      </c>
      <c r="AE7" s="4597"/>
      <c r="AF7" s="4597"/>
      <c r="AG7" s="4599"/>
      <c r="AH7" s="4599"/>
      <c r="AI7" s="3343" t="s">
        <v>43</v>
      </c>
      <c r="AJ7" s="141" t="s">
        <v>3925</v>
      </c>
      <c r="AM7" t="s">
        <v>3926</v>
      </c>
    </row>
    <row r="8" spans="1:47" ht="15.5" x14ac:dyDescent="0.35">
      <c r="B8" s="1511"/>
      <c r="C8" s="1496"/>
      <c r="D8" s="1496"/>
      <c r="E8" s="1496"/>
      <c r="F8" s="1496"/>
      <c r="G8" s="1496"/>
      <c r="H8" s="2558"/>
      <c r="I8" s="2559"/>
      <c r="J8" s="2559"/>
      <c r="K8" s="2560"/>
      <c r="L8" s="2560"/>
      <c r="M8" s="2560"/>
      <c r="N8" s="2560"/>
      <c r="O8" s="2561"/>
      <c r="P8" s="2561"/>
      <c r="Q8" s="2562"/>
      <c r="R8" s="2562"/>
      <c r="S8" s="2562"/>
      <c r="T8" s="2562"/>
      <c r="U8" s="1512"/>
      <c r="V8" s="1512"/>
      <c r="W8" s="1512"/>
      <c r="X8" s="2578"/>
      <c r="Y8" s="2578"/>
      <c r="Z8" s="2578"/>
      <c r="AA8" s="2579"/>
      <c r="AB8" s="2580"/>
      <c r="AC8" s="1513"/>
      <c r="AD8" s="1514"/>
      <c r="AE8" s="2579"/>
      <c r="AF8" s="1592"/>
      <c r="AG8" s="1592"/>
      <c r="AH8" s="1592"/>
      <c r="AI8" s="3343"/>
      <c r="AJ8" s="141"/>
    </row>
    <row r="9" spans="1:47" x14ac:dyDescent="0.35">
      <c r="A9" s="103" t="str">
        <f t="shared" ref="A9:A72" si="0">LEFT(B9,6)</f>
        <v>200050</v>
      </c>
      <c r="B9" s="3346" t="str">
        <f>'Lighting Deemed Table'!C7</f>
        <v>200050_2019_12_</v>
      </c>
      <c r="C9" s="3343" t="str">
        <f>'Lighting Deemed Table'!H7</f>
        <v>Lighting RES</v>
      </c>
      <c r="D9" s="3343"/>
      <c r="E9" s="3343"/>
      <c r="F9" s="3343"/>
      <c r="G9" s="3343" t="str">
        <f>'Lighting Deemed Table'!E7</f>
        <v>LED - 10.5W Downlight E26 (CFL baseline)</v>
      </c>
      <c r="H9" s="50" t="str">
        <f>'Lighting Deemed Table'!D7</f>
        <v>Lighting</v>
      </c>
      <c r="I9" s="1966">
        <f>'Lighting Deemed Table'!F7</f>
        <v>9.68</v>
      </c>
      <c r="J9" s="1966">
        <v>0</v>
      </c>
      <c r="K9" s="560">
        <v>0</v>
      </c>
      <c r="L9" s="560">
        <v>0</v>
      </c>
      <c r="M9" s="560">
        <v>0</v>
      </c>
      <c r="N9" s="560">
        <v>0</v>
      </c>
      <c r="O9" s="1967">
        <f>'Lighting Deemed Table'!G7</f>
        <v>1.5009999999999999E-3</v>
      </c>
      <c r="P9" s="1967">
        <v>0</v>
      </c>
      <c r="Q9" s="1968">
        <v>0</v>
      </c>
      <c r="R9" s="1968">
        <v>0</v>
      </c>
      <c r="S9" s="1968"/>
      <c r="T9" s="1968"/>
      <c r="U9" s="1969">
        <v>0</v>
      </c>
      <c r="V9" s="1969">
        <v>0</v>
      </c>
      <c r="W9" s="1969">
        <f t="shared" ref="W9:W34" si="1">O9</f>
        <v>1.5009999999999999E-3</v>
      </c>
      <c r="X9" s="55">
        <f>'Lighting Deemed Table'!P7</f>
        <v>19</v>
      </c>
      <c r="Y9" s="55"/>
      <c r="Z9" s="55">
        <f t="shared" ref="Z9:Z72" si="2">Y9+X9</f>
        <v>19</v>
      </c>
      <c r="AA9" s="2581">
        <f>'Lighting Deemed Table'!BB7</f>
        <v>22092.935257913439</v>
      </c>
      <c r="AB9" s="2091">
        <f>'Lighting Deemed Table'!R7</f>
        <v>9.9999999999999995E-7</v>
      </c>
      <c r="AC9" s="2582">
        <f t="shared" ref="AC9:AC72" si="3">AE9+AF9</f>
        <v>5.4953242462901413</v>
      </c>
      <c r="AD9" s="2582"/>
      <c r="AE9" s="1380">
        <f>'Lighting Deemed Table'!BD7</f>
        <v>5.4953242462901413</v>
      </c>
      <c r="AF9" s="571"/>
      <c r="AG9" s="571"/>
      <c r="AH9" s="571"/>
      <c r="AI9" s="3346" t="str">
        <f>'Lighting Deemed Table'!S7</f>
        <v xml:space="preserve">  per bulb</v>
      </c>
      <c r="AJ9" s="1974"/>
      <c r="AM9" s="1596">
        <f t="shared" ref="AM9:AM40" si="4">VLOOKUP(C9,$AS$10:$AT$33,2,FALSE)</f>
        <v>1.4925290000000001E-4</v>
      </c>
      <c r="AN9">
        <f t="shared" ref="AN9:AN35" si="5">AM9*I9</f>
        <v>1.4447680720000001E-3</v>
      </c>
      <c r="AO9" s="1498">
        <f t="shared" ref="AO9:AO40" si="6">AN9-O9</f>
        <v>-5.6231927999999881E-5</v>
      </c>
      <c r="AS9" t="s">
        <v>2479</v>
      </c>
    </row>
    <row r="10" spans="1:47" x14ac:dyDescent="0.35">
      <c r="A10" s="103" t="str">
        <f t="shared" si="0"/>
        <v>200100</v>
      </c>
      <c r="B10" s="3346" t="str">
        <f>'Lighting Deemed Table'!C8</f>
        <v>200100_2019_12_</v>
      </c>
      <c r="C10" s="3343" t="str">
        <f>'Lighting Deemed Table'!H8</f>
        <v>Lighting RES</v>
      </c>
      <c r="D10" s="3343"/>
      <c r="E10" s="3343"/>
      <c r="F10" s="3343"/>
      <c r="G10" s="3343" t="str">
        <f>'Lighting Deemed Table'!E8</f>
        <v>LED - 10.5W Downlight E26 (Halogen baseline)</v>
      </c>
      <c r="H10" s="50" t="str">
        <f>'Lighting Deemed Table'!D8</f>
        <v>Lighting</v>
      </c>
      <c r="I10" s="1966">
        <f>'Lighting Deemed Table'!F8</f>
        <v>39.74</v>
      </c>
      <c r="J10" s="1966">
        <v>0</v>
      </c>
      <c r="K10" s="560">
        <v>0</v>
      </c>
      <c r="L10" s="560">
        <v>0</v>
      </c>
      <c r="M10" s="560">
        <v>0</v>
      </c>
      <c r="N10" s="560">
        <v>0</v>
      </c>
      <c r="O10" s="1967">
        <f>'Lighting Deemed Table'!G8</f>
        <v>6.1640000000000002E-3</v>
      </c>
      <c r="P10" s="1967">
        <v>0</v>
      </c>
      <c r="Q10" s="1968">
        <v>0</v>
      </c>
      <c r="R10" s="1968">
        <v>0</v>
      </c>
      <c r="S10" s="1968"/>
      <c r="T10" s="1968"/>
      <c r="U10" s="1969">
        <v>0</v>
      </c>
      <c r="V10" s="1969">
        <v>0</v>
      </c>
      <c r="W10" s="1969">
        <f t="shared" si="1"/>
        <v>6.1640000000000002E-3</v>
      </c>
      <c r="X10" s="55">
        <f>'Lighting Deemed Table'!P8</f>
        <v>19</v>
      </c>
      <c r="Y10" s="55"/>
      <c r="Z10" s="55">
        <f t="shared" si="2"/>
        <v>19</v>
      </c>
      <c r="AA10" s="2581">
        <f>'Lighting Deemed Table'!BB8</f>
        <v>22085.273542093197</v>
      </c>
      <c r="AB10" s="2091">
        <f>'Lighting Deemed Table'!R8</f>
        <v>9.9999999999999995E-7</v>
      </c>
      <c r="AC10" s="2582">
        <f t="shared" si="3"/>
        <v>22.56034974664982</v>
      </c>
      <c r="AD10" s="2582"/>
      <c r="AE10" s="1380">
        <f>'Lighting Deemed Table'!BD8</f>
        <v>22.56034974664982</v>
      </c>
      <c r="AF10" s="571"/>
      <c r="AG10" s="571"/>
      <c r="AH10" s="571"/>
      <c r="AI10" s="3346" t="str">
        <f>'Lighting Deemed Table'!S8</f>
        <v xml:space="preserve">  per bulb</v>
      </c>
      <c r="AJ10" s="1974"/>
      <c r="AM10" s="1596">
        <f t="shared" si="4"/>
        <v>1.4925290000000001E-4</v>
      </c>
      <c r="AN10">
        <f t="shared" si="5"/>
        <v>5.9313102460000003E-3</v>
      </c>
      <c r="AO10" s="1498">
        <f t="shared" si="6"/>
        <v>-2.3268975399999992E-4</v>
      </c>
      <c r="AS10" t="s">
        <v>3888</v>
      </c>
      <c r="AT10" s="1502">
        <v>1.148238E-4</v>
      </c>
      <c r="AU10" t="s">
        <v>3888</v>
      </c>
    </row>
    <row r="11" spans="1:47" x14ac:dyDescent="0.35">
      <c r="A11" s="103" t="str">
        <f t="shared" si="0"/>
        <v>200150</v>
      </c>
      <c r="B11" s="3346" t="str">
        <f>'Lighting Deemed Table'!C9</f>
        <v>200150_2019_12_</v>
      </c>
      <c r="C11" s="3343" t="str">
        <f>'Lighting Deemed Table'!H9</f>
        <v>Lighting RES</v>
      </c>
      <c r="D11" s="3343"/>
      <c r="E11" s="3343"/>
      <c r="F11" s="3343"/>
      <c r="G11" s="3343" t="str">
        <f>'Lighting Deemed Table'!E9</f>
        <v>LED - 10W (CFL baseline) (750-1049 lumens)</v>
      </c>
      <c r="H11" s="50" t="str">
        <f>'Lighting Deemed Table'!D9</f>
        <v>Lighting</v>
      </c>
      <c r="I11" s="1966">
        <f>'Lighting Deemed Table'!F9</f>
        <v>4.7</v>
      </c>
      <c r="J11" s="1966">
        <v>0</v>
      </c>
      <c r="K11" s="560">
        <v>0</v>
      </c>
      <c r="L11" s="560">
        <v>0</v>
      </c>
      <c r="M11" s="560">
        <v>0</v>
      </c>
      <c r="N11" s="560">
        <v>0</v>
      </c>
      <c r="O11" s="1967">
        <f>'Lighting Deemed Table'!G9</f>
        <v>7.2900000000000005E-4</v>
      </c>
      <c r="P11" s="1967">
        <v>0</v>
      </c>
      <c r="Q11" s="1968">
        <v>0</v>
      </c>
      <c r="R11" s="1968">
        <v>0</v>
      </c>
      <c r="S11" s="1968"/>
      <c r="T11" s="1968"/>
      <c r="U11" s="1969">
        <v>0</v>
      </c>
      <c r="V11" s="1969">
        <v>0</v>
      </c>
      <c r="W11" s="1969">
        <f t="shared" si="1"/>
        <v>7.2900000000000005E-4</v>
      </c>
      <c r="X11" s="55">
        <f>'Lighting Deemed Table'!P9</f>
        <v>19</v>
      </c>
      <c r="Y11" s="55"/>
      <c r="Z11" s="55">
        <f t="shared" si="2"/>
        <v>19</v>
      </c>
      <c r="AA11" s="2581">
        <f>'Lighting Deemed Table'!BB9</f>
        <v>22097.499913958469</v>
      </c>
      <c r="AB11" s="2091">
        <f>'Lighting Deemed Table'!R9</f>
        <v>9.9999999999999995E-7</v>
      </c>
      <c r="AC11" s="2582">
        <f t="shared" si="3"/>
        <v>2.6681842931367425</v>
      </c>
      <c r="AD11" s="2582"/>
      <c r="AE11" s="1380">
        <f>'Lighting Deemed Table'!BD9</f>
        <v>2.6681842931367425</v>
      </c>
      <c r="AF11" s="571"/>
      <c r="AG11" s="571"/>
      <c r="AH11" s="571"/>
      <c r="AI11" s="3346" t="str">
        <f>'Lighting Deemed Table'!S9</f>
        <v xml:space="preserve">  per bulb</v>
      </c>
      <c r="AJ11" s="1974"/>
      <c r="AM11" s="1596">
        <f t="shared" si="4"/>
        <v>1.4925290000000001E-4</v>
      </c>
      <c r="AN11">
        <f t="shared" si="5"/>
        <v>7.0148863000000009E-4</v>
      </c>
      <c r="AO11" s="1498">
        <f t="shared" si="6"/>
        <v>-2.751136999999996E-5</v>
      </c>
      <c r="AS11" t="s">
        <v>1558</v>
      </c>
      <c r="AT11" s="1502">
        <v>4.6608050000000002E-4</v>
      </c>
      <c r="AU11" t="s">
        <v>1558</v>
      </c>
    </row>
    <row r="12" spans="1:47" x14ac:dyDescent="0.35">
      <c r="A12" s="103" t="str">
        <f t="shared" si="0"/>
        <v>200200</v>
      </c>
      <c r="B12" s="3346" t="str">
        <f>'Lighting Deemed Table'!C10</f>
        <v>200200_2019_12_</v>
      </c>
      <c r="C12" s="3343" t="str">
        <f>'Lighting Deemed Table'!H10</f>
        <v>Lighting RES</v>
      </c>
      <c r="D12" s="3343"/>
      <c r="E12" s="3343"/>
      <c r="F12" s="3343"/>
      <c r="G12" s="3343" t="str">
        <f>'Lighting Deemed Table'!E10</f>
        <v>LED - 10W (Halogen baseline) (750-1049 lumens)</v>
      </c>
      <c r="H12" s="50" t="str">
        <f>'Lighting Deemed Table'!D10</f>
        <v>Lighting</v>
      </c>
      <c r="I12" s="1966">
        <f>'Lighting Deemed Table'!F10</f>
        <v>32.51</v>
      </c>
      <c r="J12" s="1966">
        <v>0</v>
      </c>
      <c r="K12" s="560">
        <v>0</v>
      </c>
      <c r="L12" s="560">
        <v>0</v>
      </c>
      <c r="M12" s="560">
        <v>0</v>
      </c>
      <c r="N12" s="560">
        <v>0</v>
      </c>
      <c r="O12" s="1967">
        <f>'Lighting Deemed Table'!G10</f>
        <v>5.0419999999999996E-3</v>
      </c>
      <c r="P12" s="1967">
        <v>0</v>
      </c>
      <c r="Q12" s="1968">
        <v>0</v>
      </c>
      <c r="R12" s="1968">
        <v>0</v>
      </c>
      <c r="S12" s="1968"/>
      <c r="T12" s="1968"/>
      <c r="U12" s="1969">
        <v>0</v>
      </c>
      <c r="V12" s="1969">
        <v>0</v>
      </c>
      <c r="W12" s="1969">
        <f t="shared" si="1"/>
        <v>5.0419999999999996E-3</v>
      </c>
      <c r="X12" s="55">
        <f>'Lighting Deemed Table'!P10</f>
        <v>19</v>
      </c>
      <c r="Y12" s="55"/>
      <c r="Z12" s="55">
        <f t="shared" si="2"/>
        <v>19</v>
      </c>
      <c r="AA12" s="2581">
        <f>'Lighting Deemed Table'!BB10</f>
        <v>22087.988015090079</v>
      </c>
      <c r="AB12" s="2091">
        <f>'Lighting Deemed Table'!R10</f>
        <v>9.9999999999999995E-7</v>
      </c>
      <c r="AC12" s="2582">
        <f t="shared" si="3"/>
        <v>18.455887525505425</v>
      </c>
      <c r="AD12" s="2582"/>
      <c r="AE12" s="1380">
        <f>'Lighting Deemed Table'!BD10</f>
        <v>18.455887525505425</v>
      </c>
      <c r="AF12" s="571"/>
      <c r="AG12" s="571"/>
      <c r="AH12" s="571"/>
      <c r="AI12" s="3346" t="str">
        <f>'Lighting Deemed Table'!S10</f>
        <v xml:space="preserve">  per bulb</v>
      </c>
      <c r="AJ12" s="1974"/>
      <c r="AM12" s="1596">
        <f t="shared" si="4"/>
        <v>1.4925290000000001E-4</v>
      </c>
      <c r="AN12">
        <f t="shared" si="5"/>
        <v>4.8522117790000003E-3</v>
      </c>
      <c r="AO12" s="1498">
        <f t="shared" si="6"/>
        <v>-1.8978822099999931E-4</v>
      </c>
      <c r="AS12" t="s">
        <v>3889</v>
      </c>
      <c r="AT12" s="1502">
        <v>1.3539039999999999E-4</v>
      </c>
      <c r="AU12" t="s">
        <v>3889</v>
      </c>
    </row>
    <row r="13" spans="1:47" x14ac:dyDescent="0.35">
      <c r="A13" s="103" t="str">
        <f t="shared" si="0"/>
        <v>200250</v>
      </c>
      <c r="B13" s="3346" t="str">
        <f>'Lighting Deemed Table'!C11</f>
        <v>200250_2019_12_</v>
      </c>
      <c r="C13" s="3343" t="str">
        <f>'Lighting Deemed Table'!H11</f>
        <v>Lighting RES</v>
      </c>
      <c r="D13" s="3343"/>
      <c r="E13" s="3343"/>
      <c r="F13" s="3343"/>
      <c r="G13" s="3343" t="str">
        <f>'Lighting Deemed Table'!E11</f>
        <v>LED - 12W Dimmable Light Bulb (Replacing CFL)</v>
      </c>
      <c r="H13" s="50" t="str">
        <f>'Lighting Deemed Table'!D11</f>
        <v>Lighting</v>
      </c>
      <c r="I13" s="1966">
        <f>'Lighting Deemed Table'!F11</f>
        <v>2.44</v>
      </c>
      <c r="J13" s="1966">
        <v>0</v>
      </c>
      <c r="K13" s="560">
        <v>0</v>
      </c>
      <c r="L13" s="560">
        <v>0</v>
      </c>
      <c r="M13" s="560">
        <v>0</v>
      </c>
      <c r="N13" s="560">
        <v>0</v>
      </c>
      <c r="O13" s="1967">
        <f>'Lighting Deemed Table'!G11</f>
        <v>3.79E-4</v>
      </c>
      <c r="P13" s="1967">
        <v>0</v>
      </c>
      <c r="Q13" s="1968">
        <v>0</v>
      </c>
      <c r="R13" s="1968">
        <v>0</v>
      </c>
      <c r="S13" s="1968"/>
      <c r="T13" s="1968"/>
      <c r="U13" s="1969">
        <v>0</v>
      </c>
      <c r="V13" s="1969">
        <v>0</v>
      </c>
      <c r="W13" s="1969">
        <f t="shared" si="1"/>
        <v>3.79E-4</v>
      </c>
      <c r="X13" s="55">
        <f>'Lighting Deemed Table'!P11</f>
        <v>19</v>
      </c>
      <c r="Y13" s="55"/>
      <c r="Z13" s="55">
        <f t="shared" si="2"/>
        <v>19</v>
      </c>
      <c r="AA13" s="2581">
        <f>'Lighting Deemed Table'!BB11</f>
        <v>22061.333792986366</v>
      </c>
      <c r="AB13" s="2091">
        <f>'Lighting Deemed Table'!R11</f>
        <v>9.9999999999999995E-7</v>
      </c>
      <c r="AC13" s="2582">
        <f t="shared" si="3"/>
        <v>1.385185037288011</v>
      </c>
      <c r="AD13" s="2582"/>
      <c r="AE13" s="1380">
        <f>'Lighting Deemed Table'!BD11</f>
        <v>1.385185037288011</v>
      </c>
      <c r="AF13" s="571"/>
      <c r="AG13" s="571"/>
      <c r="AH13" s="571"/>
      <c r="AI13" s="3346" t="str">
        <f>'Lighting Deemed Table'!S11</f>
        <v xml:space="preserve">  per bulb</v>
      </c>
      <c r="AJ13" s="1974"/>
      <c r="AM13" s="1596">
        <f t="shared" si="4"/>
        <v>1.4925290000000001E-4</v>
      </c>
      <c r="AN13">
        <f t="shared" si="5"/>
        <v>3.64177076E-4</v>
      </c>
      <c r="AO13" s="1498">
        <f t="shared" si="6"/>
        <v>-1.4822923999999996E-5</v>
      </c>
      <c r="AS13" t="s">
        <v>3890</v>
      </c>
      <c r="AT13" s="1502">
        <v>1.1954749999999999E-4</v>
      </c>
      <c r="AU13" t="s">
        <v>3890</v>
      </c>
    </row>
    <row r="14" spans="1:47" x14ac:dyDescent="0.35">
      <c r="A14" s="103" t="str">
        <f t="shared" si="0"/>
        <v>200300</v>
      </c>
      <c r="B14" s="3346" t="str">
        <f>'Lighting Deemed Table'!C12</f>
        <v>200300_2019_12_</v>
      </c>
      <c r="C14" s="3343" t="str">
        <f>'Lighting Deemed Table'!H12</f>
        <v>Lighting RES</v>
      </c>
      <c r="D14" s="3343"/>
      <c r="E14" s="3343"/>
      <c r="F14" s="3343"/>
      <c r="G14" s="3343" t="str">
        <f>'Lighting Deemed Table'!E12</f>
        <v>LED - 12W Dimmable Light Bulb (Replacing Specialty Incandescent)</v>
      </c>
      <c r="H14" s="50" t="str">
        <f>'Lighting Deemed Table'!D12</f>
        <v>Lighting</v>
      </c>
      <c r="I14" s="1966">
        <f>'Lighting Deemed Table'!F12</f>
        <v>72.16</v>
      </c>
      <c r="J14" s="1966">
        <v>0</v>
      </c>
      <c r="K14" s="560">
        <v>0</v>
      </c>
      <c r="L14" s="560">
        <v>0</v>
      </c>
      <c r="M14" s="560">
        <v>0</v>
      </c>
      <c r="N14" s="560">
        <v>0</v>
      </c>
      <c r="O14" s="1967">
        <f>'Lighting Deemed Table'!G12</f>
        <v>1.1191E-2</v>
      </c>
      <c r="P14" s="1967">
        <v>0</v>
      </c>
      <c r="Q14" s="1968">
        <v>0</v>
      </c>
      <c r="R14" s="1968">
        <v>0</v>
      </c>
      <c r="S14" s="1968"/>
      <c r="T14" s="1968"/>
      <c r="U14" s="1969">
        <v>0</v>
      </c>
      <c r="V14" s="1969">
        <v>0</v>
      </c>
      <c r="W14" s="1969">
        <f t="shared" si="1"/>
        <v>1.1191E-2</v>
      </c>
      <c r="X14" s="55">
        <f>'Lighting Deemed Table'!P12</f>
        <v>19</v>
      </c>
      <c r="Y14" s="55"/>
      <c r="Z14" s="55">
        <f t="shared" si="2"/>
        <v>19</v>
      </c>
      <c r="AA14" s="2581">
        <f>'Lighting Deemed Table'!BB12</f>
        <v>22087.70492286186</v>
      </c>
      <c r="AB14" s="2091">
        <f>'Lighting Deemed Table'!R12</f>
        <v>9.9999999999999995E-7</v>
      </c>
      <c r="AC14" s="2582">
        <f t="shared" si="3"/>
        <v>40.9651443814356</v>
      </c>
      <c r="AD14" s="2582"/>
      <c r="AE14" s="1380">
        <f>'Lighting Deemed Table'!BD12</f>
        <v>40.9651443814356</v>
      </c>
      <c r="AF14" s="571"/>
      <c r="AG14" s="571"/>
      <c r="AH14" s="571"/>
      <c r="AI14" s="3346" t="str">
        <f>'Lighting Deemed Table'!S12</f>
        <v xml:space="preserve">  per bulb</v>
      </c>
      <c r="AJ14" s="1974"/>
      <c r="AM14" s="1596">
        <f t="shared" si="4"/>
        <v>1.4925290000000001E-4</v>
      </c>
      <c r="AN14">
        <f t="shared" si="5"/>
        <v>1.0770089264000001E-2</v>
      </c>
      <c r="AO14" s="1498">
        <f t="shared" si="6"/>
        <v>-4.2091073599999883E-4</v>
      </c>
      <c r="AS14" t="s">
        <v>3891</v>
      </c>
      <c r="AT14" s="1502">
        <v>1.4008870000000001E-4</v>
      </c>
      <c r="AU14" t="s">
        <v>3891</v>
      </c>
    </row>
    <row r="15" spans="1:47" x14ac:dyDescent="0.35">
      <c r="A15" s="103" t="str">
        <f t="shared" si="0"/>
        <v>200350</v>
      </c>
      <c r="B15" s="3346" t="str">
        <f>'Lighting Deemed Table'!C13</f>
        <v>200350_2019_12_</v>
      </c>
      <c r="C15" s="3343" t="str">
        <f>'Lighting Deemed Table'!H13</f>
        <v>Lighting RES</v>
      </c>
      <c r="D15" s="3343"/>
      <c r="E15" s="3343"/>
      <c r="F15" s="3343"/>
      <c r="G15" s="3343" t="str">
        <f>'Lighting Deemed Table'!E13</f>
        <v>LED - 15W (Halogen baseline) (1050-1489 lumens)</v>
      </c>
      <c r="H15" s="50" t="str">
        <f>'Lighting Deemed Table'!D13</f>
        <v>Lighting</v>
      </c>
      <c r="I15" s="1966">
        <f>'Lighting Deemed Table'!F13</f>
        <v>38.43</v>
      </c>
      <c r="J15" s="1966">
        <v>0</v>
      </c>
      <c r="K15" s="560">
        <v>0</v>
      </c>
      <c r="L15" s="560">
        <v>0</v>
      </c>
      <c r="M15" s="560">
        <v>0</v>
      </c>
      <c r="N15" s="560">
        <v>0</v>
      </c>
      <c r="O15" s="1967">
        <f>'Lighting Deemed Table'!G13</f>
        <v>5.96E-3</v>
      </c>
      <c r="P15" s="1967">
        <v>0</v>
      </c>
      <c r="Q15" s="1968">
        <v>0</v>
      </c>
      <c r="R15" s="1968">
        <v>0</v>
      </c>
      <c r="S15" s="1968"/>
      <c r="T15" s="1968"/>
      <c r="U15" s="1969">
        <v>0</v>
      </c>
      <c r="V15" s="1969">
        <v>0</v>
      </c>
      <c r="W15" s="1969">
        <f t="shared" si="1"/>
        <v>5.96E-3</v>
      </c>
      <c r="X15" s="55">
        <f>'Lighting Deemed Table'!P13</f>
        <v>19</v>
      </c>
      <c r="Y15" s="55"/>
      <c r="Z15" s="55">
        <f t="shared" si="2"/>
        <v>19</v>
      </c>
      <c r="AA15" s="2581">
        <f>'Lighting Deemed Table'!BB13</f>
        <v>22088.303638699064</v>
      </c>
      <c r="AB15" s="2091">
        <f>'Lighting Deemed Table'!R13</f>
        <v>9.9999999999999995E-7</v>
      </c>
      <c r="AC15" s="2582">
        <f t="shared" si="3"/>
        <v>21.816664337286173</v>
      </c>
      <c r="AD15" s="2582"/>
      <c r="AE15" s="1380">
        <f>'Lighting Deemed Table'!BD13</f>
        <v>21.816664337286173</v>
      </c>
      <c r="AF15" s="571"/>
      <c r="AG15" s="571"/>
      <c r="AH15" s="571"/>
      <c r="AI15" s="3346" t="str">
        <f>'Lighting Deemed Table'!S13</f>
        <v xml:space="preserve">  per bulb</v>
      </c>
      <c r="AJ15" s="1974"/>
      <c r="AM15" s="1596">
        <f t="shared" si="4"/>
        <v>1.4925290000000001E-4</v>
      </c>
      <c r="AN15">
        <f t="shared" si="5"/>
        <v>5.7357889470000005E-3</v>
      </c>
      <c r="AO15" s="1498">
        <f t="shared" si="6"/>
        <v>-2.2421105299999956E-4</v>
      </c>
      <c r="AS15" t="s">
        <v>3892</v>
      </c>
      <c r="AT15" s="1502">
        <v>2.053256E-4</v>
      </c>
      <c r="AU15" t="s">
        <v>3892</v>
      </c>
    </row>
    <row r="16" spans="1:47" x14ac:dyDescent="0.35">
      <c r="A16" s="103" t="str">
        <f t="shared" si="0"/>
        <v>200400</v>
      </c>
      <c r="B16" s="3346" t="str">
        <f>'Lighting Deemed Table'!C14</f>
        <v>200400_2019_12_</v>
      </c>
      <c r="C16" s="3343" t="str">
        <f>'Lighting Deemed Table'!H14</f>
        <v>Lighting RES</v>
      </c>
      <c r="D16" s="3343"/>
      <c r="E16" s="3343"/>
      <c r="F16" s="3343"/>
      <c r="G16" s="3343" t="str">
        <f>'Lighting Deemed Table'!E14</f>
        <v>LED - 15W (CFL baseline) (1050-1489 lumens)</v>
      </c>
      <c r="H16" s="50" t="str">
        <f>'Lighting Deemed Table'!D14</f>
        <v>Lighting</v>
      </c>
      <c r="I16" s="1966">
        <f>'Lighting Deemed Table'!F14</f>
        <v>6.39</v>
      </c>
      <c r="J16" s="1966">
        <v>0</v>
      </c>
      <c r="K16" s="560">
        <v>0</v>
      </c>
      <c r="L16" s="560">
        <v>0</v>
      </c>
      <c r="M16" s="560">
        <v>0</v>
      </c>
      <c r="N16" s="560">
        <v>0</v>
      </c>
      <c r="O16" s="1967">
        <f>'Lighting Deemed Table'!G14</f>
        <v>9.9099999999999991E-4</v>
      </c>
      <c r="P16" s="1967">
        <v>0</v>
      </c>
      <c r="Q16" s="1968">
        <v>0</v>
      </c>
      <c r="R16" s="1968">
        <v>0</v>
      </c>
      <c r="S16" s="1968"/>
      <c r="T16" s="1968"/>
      <c r="U16" s="1969">
        <v>0</v>
      </c>
      <c r="V16" s="1969">
        <v>0</v>
      </c>
      <c r="W16" s="1969">
        <f t="shared" si="1"/>
        <v>9.9099999999999991E-4</v>
      </c>
      <c r="X16" s="55">
        <f>'Lighting Deemed Table'!P14</f>
        <v>19</v>
      </c>
      <c r="Y16" s="55"/>
      <c r="Z16" s="55">
        <f t="shared" si="2"/>
        <v>19</v>
      </c>
      <c r="AA16" s="2581">
        <f>'Lighting Deemed Table'!BB14</f>
        <v>22090.585802596157</v>
      </c>
      <c r="AB16" s="2091">
        <f>'Lighting Deemed Table'!R14</f>
        <v>9.9999999999999995E-7</v>
      </c>
      <c r="AC16" s="2582">
        <f t="shared" si="3"/>
        <v>3.6275952410944221</v>
      </c>
      <c r="AD16" s="2582"/>
      <c r="AE16" s="1380">
        <f>'Lighting Deemed Table'!BD14</f>
        <v>3.6275952410944221</v>
      </c>
      <c r="AF16" s="571"/>
      <c r="AG16" s="571"/>
      <c r="AH16" s="571"/>
      <c r="AI16" s="3346" t="str">
        <f>'Lighting Deemed Table'!S14</f>
        <v xml:space="preserve">  per bulb</v>
      </c>
      <c r="AJ16" s="1974"/>
      <c r="AM16" s="1596">
        <f t="shared" si="4"/>
        <v>1.4925290000000001E-4</v>
      </c>
      <c r="AN16">
        <f t="shared" si="5"/>
        <v>9.5372603099999999E-4</v>
      </c>
      <c r="AO16" s="1498">
        <f t="shared" si="6"/>
        <v>-3.7273968999999916E-5</v>
      </c>
      <c r="AS16" t="s">
        <v>257</v>
      </c>
      <c r="AT16" s="1502">
        <v>9.4741810000000004E-4</v>
      </c>
      <c r="AU16" t="s">
        <v>257</v>
      </c>
    </row>
    <row r="17" spans="1:47" s="84" customFormat="1" x14ac:dyDescent="0.35">
      <c r="A17" s="103" t="str">
        <f t="shared" si="0"/>
        <v>200401</v>
      </c>
      <c r="B17" s="3346" t="str">
        <f>'Lighting Deemed Table'!C15</f>
        <v>200401_2020_12_</v>
      </c>
      <c r="C17" s="3343" t="str">
        <f>'Lighting Deemed Table'!H15</f>
        <v>Lighting RES</v>
      </c>
      <c r="D17" s="3343"/>
      <c r="E17" s="3343"/>
      <c r="F17" s="3343"/>
      <c r="G17" s="3343" t="str">
        <f>'Lighting Deemed Table'!E15</f>
        <v>LED - 11W Flood Light BR30 Bulb (CFL baseline)</v>
      </c>
      <c r="H17" s="50" t="str">
        <f>'Lighting Deemed Table'!D15</f>
        <v>Lighting</v>
      </c>
      <c r="I17" s="1966">
        <f>'Lighting Deemed Table'!F15</f>
        <v>7.41</v>
      </c>
      <c r="J17" s="1966">
        <v>0</v>
      </c>
      <c r="K17" s="560">
        <v>0</v>
      </c>
      <c r="L17" s="560">
        <v>0</v>
      </c>
      <c r="M17" s="560">
        <v>0</v>
      </c>
      <c r="N17" s="560">
        <v>0</v>
      </c>
      <c r="O17" s="1967">
        <f>'Lighting Deemed Table'!G15</f>
        <v>1.15E-3</v>
      </c>
      <c r="P17" s="1967">
        <v>0</v>
      </c>
      <c r="Q17" s="1968">
        <v>0</v>
      </c>
      <c r="R17" s="1968">
        <v>0</v>
      </c>
      <c r="S17" s="1968"/>
      <c r="T17" s="1968"/>
      <c r="U17" s="1969">
        <v>0</v>
      </c>
      <c r="V17" s="1969">
        <v>0</v>
      </c>
      <c r="W17" s="1969">
        <f t="shared" si="1"/>
        <v>1.15E-3</v>
      </c>
      <c r="X17" s="55">
        <f>'Lighting Deemed Table'!P15</f>
        <v>19</v>
      </c>
      <c r="Y17" s="55"/>
      <c r="Z17" s="55">
        <f t="shared" si="2"/>
        <v>19</v>
      </c>
      <c r="AA17" s="2581">
        <f>'Lighting Deemed Table'!BB15</f>
        <v>22080.944999428979</v>
      </c>
      <c r="AB17" s="2091">
        <f>'Lighting Deemed Table'!R15</f>
        <v>9.9999999999999995E-7</v>
      </c>
      <c r="AC17" s="2582">
        <f t="shared" si="3"/>
        <v>4.2066480025836723</v>
      </c>
      <c r="AD17" s="2582"/>
      <c r="AE17" s="1380">
        <f>'Lighting Deemed Table'!BD15</f>
        <v>4.2066480025836723</v>
      </c>
      <c r="AF17" s="571"/>
      <c r="AG17" s="571"/>
      <c r="AH17" s="571"/>
      <c r="AI17" s="3346" t="str">
        <f>'Lighting Deemed Table'!S15</f>
        <v xml:space="preserve">  per bulb</v>
      </c>
      <c r="AJ17" s="1974"/>
      <c r="AM17" s="1961">
        <f t="shared" si="4"/>
        <v>1.4925290000000001E-4</v>
      </c>
      <c r="AN17" s="84">
        <f t="shared" si="5"/>
        <v>1.1059639890000001E-3</v>
      </c>
      <c r="AO17" s="1962">
        <f t="shared" si="6"/>
        <v>-4.4036010999999858E-5</v>
      </c>
      <c r="AS17" s="84" t="s">
        <v>257</v>
      </c>
      <c r="AT17" s="1963">
        <v>9.4741810000000004E-4</v>
      </c>
      <c r="AU17" s="84" t="s">
        <v>257</v>
      </c>
    </row>
    <row r="18" spans="1:47" s="84" customFormat="1" x14ac:dyDescent="0.35">
      <c r="A18" s="103" t="str">
        <f t="shared" si="0"/>
        <v>200402</v>
      </c>
      <c r="B18" s="3346" t="str">
        <f>'Lighting Deemed Table'!C16</f>
        <v>200402_2020_12_</v>
      </c>
      <c r="C18" s="3343" t="str">
        <f>'Lighting Deemed Table'!H16</f>
        <v>Lighting RES</v>
      </c>
      <c r="D18" s="3343"/>
      <c r="E18" s="3343"/>
      <c r="F18" s="3343"/>
      <c r="G18" s="3343" t="str">
        <f>'Lighting Deemed Table'!E16</f>
        <v xml:space="preserve">LED - 11W Flood Light BR30 Bulb (Halogen baseline) </v>
      </c>
      <c r="H18" s="50" t="str">
        <f>'Lighting Deemed Table'!D16</f>
        <v>Lighting</v>
      </c>
      <c r="I18" s="1966">
        <f>'Lighting Deemed Table'!F16</f>
        <v>50.74</v>
      </c>
      <c r="J18" s="1966">
        <v>0</v>
      </c>
      <c r="K18" s="560">
        <v>0</v>
      </c>
      <c r="L18" s="560">
        <v>0</v>
      </c>
      <c r="M18" s="560">
        <v>0</v>
      </c>
      <c r="N18" s="560">
        <v>0</v>
      </c>
      <c r="O18" s="1967">
        <f>'Lighting Deemed Table'!G16</f>
        <v>7.8689999999999993E-3</v>
      </c>
      <c r="P18" s="1967">
        <v>0</v>
      </c>
      <c r="Q18" s="1968">
        <v>0</v>
      </c>
      <c r="R18" s="1968">
        <v>0</v>
      </c>
      <c r="S18" s="1968"/>
      <c r="T18" s="1968"/>
      <c r="U18" s="1969">
        <v>0</v>
      </c>
      <c r="V18" s="1969">
        <v>0</v>
      </c>
      <c r="W18" s="1969">
        <f t="shared" si="1"/>
        <v>7.8689999999999993E-3</v>
      </c>
      <c r="X18" s="55">
        <f>'Lighting Deemed Table'!P16</f>
        <v>19</v>
      </c>
      <c r="Y18" s="55"/>
      <c r="Z18" s="55">
        <f t="shared" si="2"/>
        <v>19</v>
      </c>
      <c r="AA18" s="2581">
        <f>'Lighting Deemed Table'!BB16</f>
        <v>22088.793255205925</v>
      </c>
      <c r="AB18" s="2091">
        <f>'Lighting Deemed Table'!R16</f>
        <v>9.9999999999999995E-7</v>
      </c>
      <c r="AC18" s="2582">
        <f t="shared" si="3"/>
        <v>28.805036390161344</v>
      </c>
      <c r="AD18" s="2582"/>
      <c r="AE18" s="1380">
        <f>'Lighting Deemed Table'!BD16</f>
        <v>28.805036390161344</v>
      </c>
      <c r="AF18" s="571"/>
      <c r="AG18" s="571"/>
      <c r="AH18" s="571"/>
      <c r="AI18" s="3346" t="str">
        <f>'Lighting Deemed Table'!S16</f>
        <v xml:space="preserve">  per bulb</v>
      </c>
      <c r="AJ18" s="1974"/>
      <c r="AM18" s="1961">
        <f t="shared" si="4"/>
        <v>1.4925290000000001E-4</v>
      </c>
      <c r="AN18" s="84">
        <f t="shared" si="5"/>
        <v>7.5730921460000012E-3</v>
      </c>
      <c r="AO18" s="1962">
        <f t="shared" si="6"/>
        <v>-2.9590785399999809E-4</v>
      </c>
      <c r="AS18" s="84" t="s">
        <v>257</v>
      </c>
      <c r="AT18" s="1963">
        <v>9.4741810000000004E-4</v>
      </c>
      <c r="AU18" s="84" t="s">
        <v>257</v>
      </c>
    </row>
    <row r="19" spans="1:47" x14ac:dyDescent="0.35">
      <c r="A19" s="103" t="str">
        <f t="shared" si="0"/>
        <v>200450</v>
      </c>
      <c r="B19" s="3346" t="str">
        <f>'Lighting Deemed Table'!C17</f>
        <v>200450_2019_12_</v>
      </c>
      <c r="C19" s="3343" t="str">
        <f>'Lighting Deemed Table'!H17</f>
        <v>Lighting RES</v>
      </c>
      <c r="D19" s="3343"/>
      <c r="E19" s="3343"/>
      <c r="F19" s="3343"/>
      <c r="G19" s="3343" t="str">
        <f>'Lighting Deemed Table'!E17</f>
        <v>LED - 15W Flood Light PAR30 Bulb (CFL baseline)</v>
      </c>
      <c r="H19" s="50" t="str">
        <f>'Lighting Deemed Table'!D17</f>
        <v>Lighting</v>
      </c>
      <c r="I19" s="1966">
        <f>'Lighting Deemed Table'!F17</f>
        <v>5.64</v>
      </c>
      <c r="J19" s="1966">
        <v>0</v>
      </c>
      <c r="K19" s="560">
        <v>0</v>
      </c>
      <c r="L19" s="560">
        <v>0</v>
      </c>
      <c r="M19" s="560">
        <v>0</v>
      </c>
      <c r="N19" s="560">
        <v>0</v>
      </c>
      <c r="O19" s="1967">
        <f>'Lighting Deemed Table'!G17</f>
        <v>8.7399999999999999E-4</v>
      </c>
      <c r="P19" s="1967">
        <v>0</v>
      </c>
      <c r="Q19" s="1968">
        <v>0</v>
      </c>
      <c r="R19" s="1968">
        <v>0</v>
      </c>
      <c r="S19" s="1968"/>
      <c r="T19" s="1968"/>
      <c r="U19" s="1969">
        <v>0</v>
      </c>
      <c r="V19" s="1969">
        <v>0</v>
      </c>
      <c r="W19" s="1969">
        <f t="shared" si="1"/>
        <v>8.7399999999999999E-4</v>
      </c>
      <c r="X19" s="55">
        <f>'Lighting Deemed Table'!P17</f>
        <v>19</v>
      </c>
      <c r="Y19" s="55"/>
      <c r="Z19" s="55">
        <f t="shared" si="2"/>
        <v>19</v>
      </c>
      <c r="AA19" s="2581">
        <f>'Lighting Deemed Table'!BB17</f>
        <v>22097.499913958469</v>
      </c>
      <c r="AB19" s="2091">
        <f>'Lighting Deemed Table'!R17</f>
        <v>9.9999999999999995E-7</v>
      </c>
      <c r="AC19" s="2582">
        <f t="shared" si="3"/>
        <v>3.2018211517640909</v>
      </c>
      <c r="AD19" s="2582"/>
      <c r="AE19" s="1380">
        <f>'Lighting Deemed Table'!BD17</f>
        <v>3.2018211517640909</v>
      </c>
      <c r="AF19" s="571"/>
      <c r="AG19" s="571"/>
      <c r="AH19" s="571"/>
      <c r="AI19" s="3346" t="str">
        <f>'Lighting Deemed Table'!S17</f>
        <v xml:space="preserve">  per bulb</v>
      </c>
      <c r="AJ19" s="1974"/>
      <c r="AM19" s="1596">
        <f t="shared" si="4"/>
        <v>1.4925290000000001E-4</v>
      </c>
      <c r="AN19">
        <f t="shared" si="5"/>
        <v>8.4178635599999995E-4</v>
      </c>
      <c r="AO19" s="1498">
        <f t="shared" si="6"/>
        <v>-3.221364400000004E-5</v>
      </c>
      <c r="AS19" t="s">
        <v>848</v>
      </c>
      <c r="AT19" s="1502">
        <v>9.4741810000000004E-4</v>
      </c>
      <c r="AU19" t="s">
        <v>848</v>
      </c>
    </row>
    <row r="20" spans="1:47" x14ac:dyDescent="0.35">
      <c r="A20" s="103" t="str">
        <f t="shared" si="0"/>
        <v>200500</v>
      </c>
      <c r="B20" s="3346" t="str">
        <f>'Lighting Deemed Table'!C18</f>
        <v>200500_2019_12_</v>
      </c>
      <c r="C20" s="3343" t="str">
        <f>'Lighting Deemed Table'!H18</f>
        <v>Lighting RES</v>
      </c>
      <c r="D20" s="3343"/>
      <c r="E20" s="3343"/>
      <c r="F20" s="3343"/>
      <c r="G20" s="3343" t="str">
        <f>'Lighting Deemed Table'!E18</f>
        <v>LED - 15W Flood Light PAR30 Bulb (Halogen baseline)</v>
      </c>
      <c r="H20" s="50" t="str">
        <f>'Lighting Deemed Table'!D18</f>
        <v>Lighting</v>
      </c>
      <c r="I20" s="1966">
        <f>'Lighting Deemed Table'!F18</f>
        <v>48.2</v>
      </c>
      <c r="J20" s="1966">
        <v>0</v>
      </c>
      <c r="K20" s="560">
        <v>0</v>
      </c>
      <c r="L20" s="560">
        <v>0</v>
      </c>
      <c r="M20" s="560">
        <v>0</v>
      </c>
      <c r="N20" s="560">
        <v>0</v>
      </c>
      <c r="O20" s="1967">
        <f>'Lighting Deemed Table'!G18</f>
        <v>7.4749999999999999E-3</v>
      </c>
      <c r="P20" s="1967">
        <v>0</v>
      </c>
      <c r="Q20" s="1968">
        <v>0</v>
      </c>
      <c r="R20" s="1968">
        <v>0</v>
      </c>
      <c r="S20" s="1968"/>
      <c r="T20" s="1968"/>
      <c r="U20" s="1969">
        <v>0</v>
      </c>
      <c r="V20" s="1969">
        <v>0</v>
      </c>
      <c r="W20" s="1969">
        <f t="shared" si="1"/>
        <v>7.4749999999999999E-3</v>
      </c>
      <c r="X20" s="55">
        <f>'Lighting Deemed Table'!P18</f>
        <v>19</v>
      </c>
      <c r="Y20" s="55"/>
      <c r="Z20" s="55">
        <f t="shared" si="2"/>
        <v>19</v>
      </c>
      <c r="AA20" s="2581">
        <f>'Lighting Deemed Table'!BB18</f>
        <v>22087.418519613413</v>
      </c>
      <c r="AB20" s="2091">
        <f>'Lighting Deemed Table'!R18</f>
        <v>9.9999999999999995E-7</v>
      </c>
      <c r="AC20" s="2582">
        <f t="shared" si="3"/>
        <v>27.363081474295956</v>
      </c>
      <c r="AD20" s="2582"/>
      <c r="AE20" s="1380">
        <f>'Lighting Deemed Table'!BD18</f>
        <v>27.363081474295956</v>
      </c>
      <c r="AF20" s="571"/>
      <c r="AG20" s="571"/>
      <c r="AH20" s="571"/>
      <c r="AI20" s="3346" t="str">
        <f>'Lighting Deemed Table'!S18</f>
        <v xml:space="preserve">  per bulb</v>
      </c>
      <c r="AJ20" s="1974"/>
      <c r="AM20" s="1596">
        <f t="shared" si="4"/>
        <v>1.4925290000000001E-4</v>
      </c>
      <c r="AN20">
        <f t="shared" si="5"/>
        <v>7.1939897800000008E-3</v>
      </c>
      <c r="AO20" s="1498">
        <f t="shared" si="6"/>
        <v>-2.8101021999999906E-4</v>
      </c>
      <c r="AS20" t="s">
        <v>3893</v>
      </c>
      <c r="AT20" s="1502">
        <v>8.4921199999999996E-5</v>
      </c>
      <c r="AU20" t="s">
        <v>3893</v>
      </c>
    </row>
    <row r="21" spans="1:47" x14ac:dyDescent="0.35">
      <c r="A21" s="103" t="str">
        <f t="shared" si="0"/>
        <v>200550</v>
      </c>
      <c r="B21" s="3346" t="str">
        <f>'Lighting Deemed Table'!C19</f>
        <v>200550_2019_12_</v>
      </c>
      <c r="C21" s="3343" t="str">
        <f>'Lighting Deemed Table'!H19</f>
        <v>Lighting RES</v>
      </c>
      <c r="D21" s="3343"/>
      <c r="E21" s="3343"/>
      <c r="F21" s="3343"/>
      <c r="G21" s="3343" t="str">
        <f>'Lighting Deemed Table'!E19</f>
        <v>LED - 18W Flood Light PAR30 Bulb (CFL baseline)</v>
      </c>
      <c r="H21" s="50" t="str">
        <f>'Lighting Deemed Table'!D19</f>
        <v>Lighting</v>
      </c>
      <c r="I21" s="1966">
        <f>'Lighting Deemed Table'!F19</f>
        <v>4.7</v>
      </c>
      <c r="J21" s="1966">
        <v>0</v>
      </c>
      <c r="K21" s="560">
        <v>0</v>
      </c>
      <c r="L21" s="560">
        <v>0</v>
      </c>
      <c r="M21" s="560">
        <v>0</v>
      </c>
      <c r="N21" s="560">
        <v>0</v>
      </c>
      <c r="O21" s="1967">
        <f>'Lighting Deemed Table'!G19</f>
        <v>7.2900000000000005E-4</v>
      </c>
      <c r="P21" s="1967">
        <v>0</v>
      </c>
      <c r="Q21" s="1968">
        <v>0</v>
      </c>
      <c r="R21" s="1968">
        <v>0</v>
      </c>
      <c r="S21" s="1968"/>
      <c r="T21" s="1968"/>
      <c r="U21" s="1969">
        <v>0</v>
      </c>
      <c r="V21" s="1969">
        <v>0</v>
      </c>
      <c r="W21" s="1969">
        <f t="shared" si="1"/>
        <v>7.2900000000000005E-4</v>
      </c>
      <c r="X21" s="55">
        <f>'Lighting Deemed Table'!P19</f>
        <v>19</v>
      </c>
      <c r="Y21" s="55"/>
      <c r="Z21" s="55">
        <f t="shared" si="2"/>
        <v>19</v>
      </c>
      <c r="AA21" s="2581">
        <f>'Lighting Deemed Table'!BB19</f>
        <v>22097.499913958469</v>
      </c>
      <c r="AB21" s="2091">
        <f>'Lighting Deemed Table'!R19</f>
        <v>9.9999999999999995E-7</v>
      </c>
      <c r="AC21" s="2582">
        <f t="shared" si="3"/>
        <v>2.6681842931367425</v>
      </c>
      <c r="AD21" s="2582"/>
      <c r="AE21" s="1380">
        <f>'Lighting Deemed Table'!BD19</f>
        <v>2.6681842931367425</v>
      </c>
      <c r="AF21" s="571"/>
      <c r="AG21" s="571"/>
      <c r="AH21" s="571"/>
      <c r="AI21" s="3346" t="str">
        <f>'Lighting Deemed Table'!S19</f>
        <v xml:space="preserve">  per bulb</v>
      </c>
      <c r="AJ21" s="1974"/>
      <c r="AM21" s="1596">
        <f t="shared" si="4"/>
        <v>1.4925290000000001E-4</v>
      </c>
      <c r="AN21">
        <f t="shared" si="5"/>
        <v>7.0148863000000009E-4</v>
      </c>
      <c r="AO21" s="1498">
        <f t="shared" si="6"/>
        <v>-2.751136999999996E-5</v>
      </c>
      <c r="AS21" t="s">
        <v>2434</v>
      </c>
      <c r="AT21" s="1502">
        <v>1.6857220000000001E-4</v>
      </c>
      <c r="AU21" t="s">
        <v>2434</v>
      </c>
    </row>
    <row r="22" spans="1:47" x14ac:dyDescent="0.35">
      <c r="A22" s="103" t="str">
        <f t="shared" si="0"/>
        <v>200600</v>
      </c>
      <c r="B22" s="3346" t="str">
        <f>'Lighting Deemed Table'!C20</f>
        <v>200600_2019_12_</v>
      </c>
      <c r="C22" s="3343" t="str">
        <f>'Lighting Deemed Table'!H20</f>
        <v>Lighting RES</v>
      </c>
      <c r="D22" s="3343"/>
      <c r="E22" s="3343"/>
      <c r="F22" s="3343"/>
      <c r="G22" s="3343" t="str">
        <f>'Lighting Deemed Table'!E20</f>
        <v>LED - 18W Flood Light PAR38 Bulb (Halogen baseline)</v>
      </c>
      <c r="H22" s="50" t="str">
        <f>'Lighting Deemed Table'!D20</f>
        <v>Lighting</v>
      </c>
      <c r="I22" s="1966">
        <f>'Lighting Deemed Table'!F20</f>
        <v>77.040000000000006</v>
      </c>
      <c r="J22" s="1966">
        <v>0</v>
      </c>
      <c r="K22" s="560">
        <v>0</v>
      </c>
      <c r="L22" s="560">
        <v>0</v>
      </c>
      <c r="M22" s="560">
        <v>0</v>
      </c>
      <c r="N22" s="560">
        <v>0</v>
      </c>
      <c r="O22" s="1967">
        <f>'Lighting Deemed Table'!G20</f>
        <v>1.1949E-2</v>
      </c>
      <c r="P22" s="1967">
        <v>0</v>
      </c>
      <c r="Q22" s="1968">
        <v>0</v>
      </c>
      <c r="R22" s="1968">
        <v>0</v>
      </c>
      <c r="S22" s="1968"/>
      <c r="T22" s="1968"/>
      <c r="U22" s="1969">
        <v>0</v>
      </c>
      <c r="V22" s="1969">
        <v>0</v>
      </c>
      <c r="W22" s="1969">
        <f t="shared" si="1"/>
        <v>1.1949E-2</v>
      </c>
      <c r="X22" s="55">
        <f>'Lighting Deemed Table'!P20</f>
        <v>19</v>
      </c>
      <c r="Y22" s="55"/>
      <c r="Z22" s="55">
        <f t="shared" si="2"/>
        <v>19</v>
      </c>
      <c r="AA22" s="2581">
        <f>'Lighting Deemed Table'!BB20</f>
        <v>22086.032607308778</v>
      </c>
      <c r="AB22" s="2091">
        <f>'Lighting Deemed Table'!R20</f>
        <v>9.9999999999999995E-7</v>
      </c>
      <c r="AC22" s="2582">
        <f t="shared" si="3"/>
        <v>43.735514456011629</v>
      </c>
      <c r="AD22" s="2582"/>
      <c r="AE22" s="1380">
        <f>'Lighting Deemed Table'!BD20</f>
        <v>43.735514456011629</v>
      </c>
      <c r="AF22" s="571"/>
      <c r="AG22" s="571"/>
      <c r="AH22" s="571"/>
      <c r="AI22" s="3346" t="str">
        <f>'Lighting Deemed Table'!S20</f>
        <v xml:space="preserve">  per bulb</v>
      </c>
      <c r="AJ22" s="1974"/>
      <c r="AM22" s="1596">
        <f t="shared" si="4"/>
        <v>1.4925290000000001E-4</v>
      </c>
      <c r="AN22">
        <f t="shared" si="5"/>
        <v>1.1498443416000002E-2</v>
      </c>
      <c r="AO22" s="1498">
        <f t="shared" si="6"/>
        <v>-4.5055658399999719E-4</v>
      </c>
      <c r="AS22" t="s">
        <v>3894</v>
      </c>
      <c r="AT22" s="1502">
        <v>1.6857220000000001E-4</v>
      </c>
      <c r="AU22" t="s">
        <v>3894</v>
      </c>
    </row>
    <row r="23" spans="1:47" x14ac:dyDescent="0.35">
      <c r="A23" s="103" t="str">
        <f t="shared" si="0"/>
        <v>200650</v>
      </c>
      <c r="B23" s="3346" t="str">
        <f>'Lighting Deemed Table'!C21</f>
        <v>200650_2019_12_</v>
      </c>
      <c r="C23" s="3343" t="str">
        <f>'Lighting Deemed Table'!H21</f>
        <v>Lighting RES</v>
      </c>
      <c r="D23" s="3343"/>
      <c r="E23" s="3343"/>
      <c r="F23" s="3343"/>
      <c r="G23" s="3343" t="str">
        <f>'Lighting Deemed Table'!E21</f>
        <v>LED - 20W (CFL baseline) (1490-2600 lumens)</v>
      </c>
      <c r="H23" s="50" t="str">
        <f>'Lighting Deemed Table'!D21</f>
        <v>Lighting</v>
      </c>
      <c r="I23" s="1966">
        <f>'Lighting Deemed Table'!F21</f>
        <v>9.02</v>
      </c>
      <c r="J23" s="1966">
        <v>0</v>
      </c>
      <c r="K23" s="560">
        <v>0</v>
      </c>
      <c r="L23" s="560">
        <v>0</v>
      </c>
      <c r="M23" s="560">
        <v>0</v>
      </c>
      <c r="N23" s="560">
        <v>0</v>
      </c>
      <c r="O23" s="1967">
        <f>'Lighting Deemed Table'!G21</f>
        <v>1.3990000000000001E-3</v>
      </c>
      <c r="P23" s="1967">
        <v>0</v>
      </c>
      <c r="Q23" s="1968">
        <v>0</v>
      </c>
      <c r="R23" s="1968">
        <v>0</v>
      </c>
      <c r="S23" s="1968"/>
      <c r="T23" s="1968"/>
      <c r="U23" s="1969">
        <v>0</v>
      </c>
      <c r="V23" s="1969">
        <v>0</v>
      </c>
      <c r="W23" s="1969">
        <f t="shared" si="1"/>
        <v>1.3990000000000001E-3</v>
      </c>
      <c r="X23" s="55">
        <f>'Lighting Deemed Table'!P21</f>
        <v>19</v>
      </c>
      <c r="Y23" s="55"/>
      <c r="Z23" s="55">
        <f t="shared" si="2"/>
        <v>19</v>
      </c>
      <c r="AA23" s="2581">
        <f>'Lighting Deemed Table'!BB21</f>
        <v>22087.704922861853</v>
      </c>
      <c r="AB23" s="2091">
        <f>'Lighting Deemed Table'!R21</f>
        <v>9.9999999999999995E-7</v>
      </c>
      <c r="AC23" s="2582">
        <f t="shared" si="3"/>
        <v>5.12064304767945</v>
      </c>
      <c r="AD23" s="2582"/>
      <c r="AE23" s="1380">
        <f>'Lighting Deemed Table'!BD21</f>
        <v>5.12064304767945</v>
      </c>
      <c r="AF23" s="571"/>
      <c r="AG23" s="571"/>
      <c r="AH23" s="571"/>
      <c r="AI23" s="3346" t="str">
        <f>'Lighting Deemed Table'!S21</f>
        <v xml:space="preserve">  per bulb</v>
      </c>
      <c r="AJ23" s="1974"/>
      <c r="AM23" s="1596">
        <f t="shared" si="4"/>
        <v>1.4925290000000001E-4</v>
      </c>
      <c r="AN23">
        <f t="shared" si="5"/>
        <v>1.3462611580000001E-3</v>
      </c>
      <c r="AO23" s="1498">
        <f t="shared" si="6"/>
        <v>-5.2738841999999979E-5</v>
      </c>
      <c r="AS23" t="s">
        <v>258</v>
      </c>
      <c r="AT23" s="1502">
        <v>0</v>
      </c>
      <c r="AU23" t="s">
        <v>258</v>
      </c>
    </row>
    <row r="24" spans="1:47" x14ac:dyDescent="0.35">
      <c r="A24" s="103" t="str">
        <f t="shared" si="0"/>
        <v>200700</v>
      </c>
      <c r="B24" s="3346" t="str">
        <f>'Lighting Deemed Table'!C22</f>
        <v>200700_2019_12_</v>
      </c>
      <c r="C24" s="3343" t="str">
        <f>'Lighting Deemed Table'!H22</f>
        <v>Lighting RES</v>
      </c>
      <c r="D24" s="3343"/>
      <c r="E24" s="3343"/>
      <c r="F24" s="3343"/>
      <c r="G24" s="3343" t="str">
        <f>'Lighting Deemed Table'!E22</f>
        <v>LED - 20W (Halogen baseline) (1490-2600 lumens)</v>
      </c>
      <c r="H24" s="50" t="str">
        <f>'Lighting Deemed Table'!D22</f>
        <v>Lighting</v>
      </c>
      <c r="I24" s="1966">
        <f>'Lighting Deemed Table'!F22</f>
        <v>53.37</v>
      </c>
      <c r="J24" s="1966">
        <v>0</v>
      </c>
      <c r="K24" s="560">
        <v>0</v>
      </c>
      <c r="L24" s="560">
        <v>0</v>
      </c>
      <c r="M24" s="560">
        <v>0</v>
      </c>
      <c r="N24" s="560">
        <v>0</v>
      </c>
      <c r="O24" s="1967">
        <f>'Lighting Deemed Table'!G22</f>
        <v>8.2769999999999996E-3</v>
      </c>
      <c r="P24" s="1967">
        <v>0</v>
      </c>
      <c r="Q24" s="1968">
        <v>0</v>
      </c>
      <c r="R24" s="1968">
        <v>0</v>
      </c>
      <c r="S24" s="1968"/>
      <c r="T24" s="1968"/>
      <c r="U24" s="1969">
        <v>0</v>
      </c>
      <c r="V24" s="1969">
        <v>0</v>
      </c>
      <c r="W24" s="1969">
        <f t="shared" si="1"/>
        <v>8.2769999999999996E-3</v>
      </c>
      <c r="X24" s="55">
        <f>'Lighting Deemed Table'!P22</f>
        <v>19</v>
      </c>
      <c r="Y24" s="55"/>
      <c r="Z24" s="55">
        <f t="shared" si="2"/>
        <v>19</v>
      </c>
      <c r="AA24" s="2581">
        <f>'Lighting Deemed Table'!BB22</f>
        <v>22088.394710967252</v>
      </c>
      <c r="AB24" s="2091">
        <f>'Lighting Deemed Table'!R22</f>
        <v>9.9999999999999995E-7</v>
      </c>
      <c r="AC24" s="2582">
        <f t="shared" si="3"/>
        <v>30.29808419674637</v>
      </c>
      <c r="AD24" s="2582"/>
      <c r="AE24" s="1380">
        <f>'Lighting Deemed Table'!BD22</f>
        <v>30.29808419674637</v>
      </c>
      <c r="AF24" s="571"/>
      <c r="AG24" s="571"/>
      <c r="AH24" s="571"/>
      <c r="AI24" s="3346" t="str">
        <f>'Lighting Deemed Table'!S22</f>
        <v xml:space="preserve">  per bulb</v>
      </c>
      <c r="AJ24" s="1974"/>
      <c r="AM24" s="1596">
        <f t="shared" si="4"/>
        <v>1.4925290000000001E-4</v>
      </c>
      <c r="AN24">
        <f t="shared" si="5"/>
        <v>7.9656272730000005E-3</v>
      </c>
      <c r="AO24" s="1498">
        <f t="shared" si="6"/>
        <v>-3.1137272699999913E-4</v>
      </c>
      <c r="AS24" t="s">
        <v>997</v>
      </c>
      <c r="AT24" s="1502">
        <v>0</v>
      </c>
      <c r="AU24" t="s">
        <v>997</v>
      </c>
    </row>
    <row r="25" spans="1:47" x14ac:dyDescent="0.35">
      <c r="A25" s="103" t="str">
        <f t="shared" si="0"/>
        <v>200750</v>
      </c>
      <c r="B25" s="3346" t="str">
        <f>'Lighting Deemed Table'!C23</f>
        <v>200750_2019_12_</v>
      </c>
      <c r="C25" s="3343" t="str">
        <f>'Lighting Deemed Table'!H23</f>
        <v>Lighting RES</v>
      </c>
      <c r="D25" s="3343"/>
      <c r="E25" s="3343"/>
      <c r="F25" s="3343"/>
      <c r="G25" s="3343" t="str">
        <f>'Lighting Deemed Table'!E23</f>
        <v>LED - 4W Candelabra (CFL baseline)</v>
      </c>
      <c r="H25" s="50" t="str">
        <f>'Lighting Deemed Table'!D23</f>
        <v>Lighting</v>
      </c>
      <c r="I25" s="1966">
        <f>'Lighting Deemed Table'!F23</f>
        <v>4.7</v>
      </c>
      <c r="J25" s="1966">
        <v>0</v>
      </c>
      <c r="K25" s="560">
        <v>0</v>
      </c>
      <c r="L25" s="560">
        <v>0</v>
      </c>
      <c r="M25" s="560">
        <v>0</v>
      </c>
      <c r="N25" s="560">
        <v>0</v>
      </c>
      <c r="O25" s="1967">
        <f>'Lighting Deemed Table'!G23</f>
        <v>7.2900000000000005E-4</v>
      </c>
      <c r="P25" s="1967">
        <v>0</v>
      </c>
      <c r="Q25" s="1968">
        <v>0</v>
      </c>
      <c r="R25" s="1968">
        <v>0</v>
      </c>
      <c r="S25" s="1968"/>
      <c r="T25" s="1968"/>
      <c r="U25" s="1969">
        <v>0</v>
      </c>
      <c r="V25" s="1969">
        <v>0</v>
      </c>
      <c r="W25" s="1969">
        <f t="shared" si="1"/>
        <v>7.2900000000000005E-4</v>
      </c>
      <c r="X25" s="55">
        <f>'Lighting Deemed Table'!P23</f>
        <v>19</v>
      </c>
      <c r="Y25" s="55"/>
      <c r="Z25" s="55">
        <f t="shared" si="2"/>
        <v>19</v>
      </c>
      <c r="AA25" s="2581">
        <f>'Lighting Deemed Table'!BB23</f>
        <v>22097.499913958469</v>
      </c>
      <c r="AB25" s="2091">
        <f>'Lighting Deemed Table'!R23</f>
        <v>9.9999999999999995E-7</v>
      </c>
      <c r="AC25" s="2582">
        <f t="shared" si="3"/>
        <v>2.6681842931367425</v>
      </c>
      <c r="AD25" s="2582"/>
      <c r="AE25" s="1380">
        <f>'Lighting Deemed Table'!BD23</f>
        <v>2.6681842931367425</v>
      </c>
      <c r="AF25" s="571"/>
      <c r="AG25" s="571"/>
      <c r="AH25" s="571"/>
      <c r="AI25" s="3346" t="str">
        <f>'Lighting Deemed Table'!S23</f>
        <v xml:space="preserve">  per bulb</v>
      </c>
      <c r="AJ25" s="1974"/>
      <c r="AM25" s="1596">
        <f t="shared" si="4"/>
        <v>1.4925290000000001E-4</v>
      </c>
      <c r="AN25">
        <f t="shared" si="5"/>
        <v>7.0148863000000009E-4</v>
      </c>
      <c r="AO25" s="1498">
        <f t="shared" si="6"/>
        <v>-2.751136999999996E-5</v>
      </c>
      <c r="AS25" t="s">
        <v>425</v>
      </c>
      <c r="AT25" s="1502">
        <v>4.6608050000000002E-4</v>
      </c>
      <c r="AU25" t="s">
        <v>425</v>
      </c>
    </row>
    <row r="26" spans="1:47" x14ac:dyDescent="0.35">
      <c r="A26" s="103" t="str">
        <f t="shared" si="0"/>
        <v>200800</v>
      </c>
      <c r="B26" s="3346" t="str">
        <f>'Lighting Deemed Table'!C24</f>
        <v>200800_2019_12_</v>
      </c>
      <c r="C26" s="3343" t="str">
        <f>'Lighting Deemed Table'!H24</f>
        <v>Lighting RES</v>
      </c>
      <c r="D26" s="3343"/>
      <c r="E26" s="3343"/>
      <c r="F26" s="3343"/>
      <c r="G26" s="3343" t="str">
        <f>'Lighting Deemed Table'!E24</f>
        <v>LED - 4W Candelabra (Replacing Specialty Incandescent)</v>
      </c>
      <c r="H26" s="50" t="str">
        <f>'Lighting Deemed Table'!D24</f>
        <v>Lighting</v>
      </c>
      <c r="I26" s="1966">
        <f>'Lighting Deemed Table'!F24</f>
        <v>32.880000000000003</v>
      </c>
      <c r="J26" s="1966">
        <v>0</v>
      </c>
      <c r="K26" s="560">
        <v>0</v>
      </c>
      <c r="L26" s="560">
        <v>0</v>
      </c>
      <c r="M26" s="560">
        <v>0</v>
      </c>
      <c r="N26" s="560">
        <v>0</v>
      </c>
      <c r="O26" s="1967">
        <f>'Lighting Deemed Table'!G24</f>
        <v>5.1000000000000004E-3</v>
      </c>
      <c r="P26" s="1967">
        <v>0</v>
      </c>
      <c r="Q26" s="1968">
        <v>0</v>
      </c>
      <c r="R26" s="1968">
        <v>0</v>
      </c>
      <c r="S26" s="1968"/>
      <c r="T26" s="1968"/>
      <c r="U26" s="1969">
        <v>0</v>
      </c>
      <c r="V26" s="1969">
        <v>0</v>
      </c>
      <c r="W26" s="1969">
        <f t="shared" si="1"/>
        <v>5.1000000000000004E-3</v>
      </c>
      <c r="X26" s="55">
        <f>'Lighting Deemed Table'!P24</f>
        <v>19</v>
      </c>
      <c r="Y26" s="55"/>
      <c r="Z26" s="55">
        <f t="shared" si="2"/>
        <v>19</v>
      </c>
      <c r="AA26" s="2581">
        <f>'Lighting Deemed Table'!BB24</f>
        <v>22084.066783311686</v>
      </c>
      <c r="AB26" s="2091">
        <f>'Lighting Deemed Table'!R24</f>
        <v>9.9999999999999995E-7</v>
      </c>
      <c r="AC26" s="2582">
        <f t="shared" si="3"/>
        <v>18.665936076241721</v>
      </c>
      <c r="AD26" s="2582"/>
      <c r="AE26" s="1380">
        <f>'Lighting Deemed Table'!BD24</f>
        <v>18.665936076241721</v>
      </c>
      <c r="AF26" s="571"/>
      <c r="AG26" s="571"/>
      <c r="AH26" s="571"/>
      <c r="AI26" s="3346" t="str">
        <f>'Lighting Deemed Table'!S24</f>
        <v xml:space="preserve">  per bulb</v>
      </c>
      <c r="AJ26" s="1974"/>
      <c r="AM26" s="1596">
        <f t="shared" si="4"/>
        <v>1.4925290000000001E-4</v>
      </c>
      <c r="AN26">
        <f t="shared" si="5"/>
        <v>4.9074353520000003E-3</v>
      </c>
      <c r="AO26" s="1498">
        <f t="shared" si="6"/>
        <v>-1.9256464800000012E-4</v>
      </c>
      <c r="AS26" t="s">
        <v>2321</v>
      </c>
      <c r="AT26" s="1502">
        <v>4.6608050000000002E-4</v>
      </c>
      <c r="AU26" t="s">
        <v>2321</v>
      </c>
    </row>
    <row r="27" spans="1:47" x14ac:dyDescent="0.35">
      <c r="A27" s="103" t="str">
        <f t="shared" si="0"/>
        <v>200850</v>
      </c>
      <c r="B27" s="3346" t="str">
        <f>'Lighting Deemed Table'!C25</f>
        <v>200850_2019_12_</v>
      </c>
      <c r="C27" s="3343" t="str">
        <f>'Lighting Deemed Table'!H25</f>
        <v>Lighting RES</v>
      </c>
      <c r="D27" s="3343"/>
      <c r="E27" s="3343"/>
      <c r="F27" s="3343"/>
      <c r="G27" s="3343" t="str">
        <f>'Lighting Deemed Table'!E25</f>
        <v>LED - 8W Globe Light G25 Bulb (Replacing CFL)</v>
      </c>
      <c r="H27" s="50" t="str">
        <f>'Lighting Deemed Table'!D25</f>
        <v>Lighting</v>
      </c>
      <c r="I27" s="1966">
        <f>'Lighting Deemed Table'!F25</f>
        <v>5.45</v>
      </c>
      <c r="J27" s="1966">
        <v>0</v>
      </c>
      <c r="K27" s="560">
        <v>0</v>
      </c>
      <c r="L27" s="560">
        <v>0</v>
      </c>
      <c r="M27" s="560">
        <v>0</v>
      </c>
      <c r="N27" s="560">
        <v>0</v>
      </c>
      <c r="O27" s="1967">
        <f>'Lighting Deemed Table'!G25</f>
        <v>8.4500000000000005E-4</v>
      </c>
      <c r="P27" s="1967">
        <v>0</v>
      </c>
      <c r="Q27" s="1968">
        <v>0</v>
      </c>
      <c r="R27" s="1968">
        <v>0</v>
      </c>
      <c r="S27" s="1968"/>
      <c r="T27" s="1968"/>
      <c r="U27" s="1969">
        <v>0</v>
      </c>
      <c r="V27" s="1969">
        <v>0</v>
      </c>
      <c r="W27" s="1969">
        <f t="shared" si="1"/>
        <v>8.4500000000000005E-4</v>
      </c>
      <c r="X27" s="55">
        <f>'Lighting Deemed Table'!P25</f>
        <v>19</v>
      </c>
      <c r="Y27" s="55"/>
      <c r="Z27" s="55">
        <f t="shared" si="2"/>
        <v>19</v>
      </c>
      <c r="AA27" s="2581">
        <f>'Lighting Deemed Table'!BB25</f>
        <v>22089.393714430244</v>
      </c>
      <c r="AB27" s="2091">
        <f>'Lighting Deemed Table'!R25</f>
        <v>9.9999999999999995E-7</v>
      </c>
      <c r="AC27" s="2582">
        <f t="shared" si="3"/>
        <v>3.0939583824670738</v>
      </c>
      <c r="AD27" s="2582"/>
      <c r="AE27" s="1380">
        <f>'Lighting Deemed Table'!BD25</f>
        <v>3.0939583824670738</v>
      </c>
      <c r="AF27" s="571"/>
      <c r="AG27" s="571"/>
      <c r="AH27" s="571"/>
      <c r="AI27" s="3346" t="str">
        <f>'Lighting Deemed Table'!S25</f>
        <v xml:space="preserve">  per bulb</v>
      </c>
      <c r="AJ27" s="1974"/>
      <c r="AM27" s="1596">
        <f t="shared" si="4"/>
        <v>1.4925290000000001E-4</v>
      </c>
      <c r="AN27">
        <f t="shared" si="5"/>
        <v>8.1342830500000013E-4</v>
      </c>
      <c r="AO27" s="1498">
        <f t="shared" si="6"/>
        <v>-3.157169499999992E-5</v>
      </c>
      <c r="AS27" t="s">
        <v>53</v>
      </c>
      <c r="AT27" s="1502">
        <v>1.4925290000000001E-4</v>
      </c>
      <c r="AU27" t="s">
        <v>53</v>
      </c>
    </row>
    <row r="28" spans="1:47" x14ac:dyDescent="0.35">
      <c r="A28" s="103" t="str">
        <f t="shared" si="0"/>
        <v>200900</v>
      </c>
      <c r="B28" s="3346" t="str">
        <f>'Lighting Deemed Table'!C26</f>
        <v>200900_2019_12_</v>
      </c>
      <c r="C28" s="3343" t="str">
        <f>'Lighting Deemed Table'!H26</f>
        <v>Lighting RES</v>
      </c>
      <c r="D28" s="3343"/>
      <c r="E28" s="3343"/>
      <c r="F28" s="3343"/>
      <c r="G28" s="3343" t="str">
        <f>'Lighting Deemed Table'!E26</f>
        <v>LED - 8W Globe Light G25 Bulb (Replacing Specialty Incandescent)</v>
      </c>
      <c r="H28" s="50" t="str">
        <f>'Lighting Deemed Table'!D26</f>
        <v>Lighting</v>
      </c>
      <c r="I28" s="1966">
        <f>'Lighting Deemed Table'!F26</f>
        <v>34.01</v>
      </c>
      <c r="J28" s="1966">
        <v>0</v>
      </c>
      <c r="K28" s="560">
        <v>0</v>
      </c>
      <c r="L28" s="560">
        <v>0</v>
      </c>
      <c r="M28" s="560">
        <v>0</v>
      </c>
      <c r="N28" s="560">
        <v>0</v>
      </c>
      <c r="O28" s="1967">
        <f>'Lighting Deemed Table'!G26</f>
        <v>5.2750000000000002E-3</v>
      </c>
      <c r="P28" s="1967">
        <v>0</v>
      </c>
      <c r="Q28" s="1968">
        <v>0</v>
      </c>
      <c r="R28" s="1968">
        <v>0</v>
      </c>
      <c r="S28" s="1968"/>
      <c r="T28" s="1968"/>
      <c r="U28" s="1969">
        <v>0</v>
      </c>
      <c r="V28" s="1969">
        <v>0</v>
      </c>
      <c r="W28" s="1969">
        <f t="shared" si="1"/>
        <v>5.2750000000000002E-3</v>
      </c>
      <c r="X28" s="55">
        <f>'Lighting Deemed Table'!P26</f>
        <v>19</v>
      </c>
      <c r="Y28" s="55"/>
      <c r="Z28" s="55">
        <f t="shared" si="2"/>
        <v>19</v>
      </c>
      <c r="AA28" s="2581">
        <f>'Lighting Deemed Table'!BB26</f>
        <v>22085.810863810028</v>
      </c>
      <c r="AB28" s="2091">
        <f>'Lighting Deemed Table'!R26</f>
        <v>9.9999999999999995E-7</v>
      </c>
      <c r="AC28" s="2582">
        <f t="shared" si="3"/>
        <v>19.307435704166085</v>
      </c>
      <c r="AD28" s="2582"/>
      <c r="AE28" s="1380">
        <f>'Lighting Deemed Table'!BD26</f>
        <v>19.307435704166085</v>
      </c>
      <c r="AF28" s="571"/>
      <c r="AG28" s="571"/>
      <c r="AH28" s="571"/>
      <c r="AI28" s="3346" t="str">
        <f>'Lighting Deemed Table'!S26</f>
        <v xml:space="preserve">  per bulb</v>
      </c>
      <c r="AJ28" s="1974"/>
      <c r="AM28" s="1596">
        <f t="shared" si="4"/>
        <v>1.4925290000000001E-4</v>
      </c>
      <c r="AN28">
        <f t="shared" si="5"/>
        <v>5.0760911290000004E-3</v>
      </c>
      <c r="AO28" s="1498">
        <f t="shared" si="6"/>
        <v>-1.989088709999998E-4</v>
      </c>
      <c r="AS28" t="s">
        <v>375</v>
      </c>
      <c r="AT28" s="1502">
        <v>1.148238E-4</v>
      </c>
      <c r="AU28" t="s">
        <v>375</v>
      </c>
    </row>
    <row r="29" spans="1:47" x14ac:dyDescent="0.35">
      <c r="A29" s="103" t="str">
        <f t="shared" si="0"/>
        <v>200950</v>
      </c>
      <c r="B29" s="3346" t="str">
        <f>'Lighting Deemed Table'!C27</f>
        <v>200950_2019_12_</v>
      </c>
      <c r="C29" s="3343" t="str">
        <f>'Lighting Deemed Table'!H27</f>
        <v>Lighting RES</v>
      </c>
      <c r="D29" s="3343"/>
      <c r="E29" s="3343"/>
      <c r="F29" s="3343"/>
      <c r="G29" s="3343" t="str">
        <f>'Lighting Deemed Table'!E27</f>
        <v>LED - 10W (Halogen baseline) (750-1049 lumens) - Specialty Connected Light</v>
      </c>
      <c r="H29" s="50" t="str">
        <f>'Lighting Deemed Table'!D27</f>
        <v>Lighting</v>
      </c>
      <c r="I29" s="1966">
        <f>'Lighting Deemed Table'!F27</f>
        <v>29.22</v>
      </c>
      <c r="J29" s="1966">
        <v>0</v>
      </c>
      <c r="K29" s="560">
        <v>0</v>
      </c>
      <c r="L29" s="560">
        <v>0</v>
      </c>
      <c r="M29" s="560">
        <v>0</v>
      </c>
      <c r="N29" s="560">
        <v>0</v>
      </c>
      <c r="O29" s="1967">
        <f>'Lighting Deemed Table'!G27</f>
        <v>4.5319999999999996E-3</v>
      </c>
      <c r="P29" s="1967">
        <v>0</v>
      </c>
      <c r="Q29" s="1968">
        <v>0</v>
      </c>
      <c r="R29" s="1968">
        <v>0</v>
      </c>
      <c r="S29" s="1968"/>
      <c r="T29" s="1968"/>
      <c r="U29" s="1969">
        <v>0</v>
      </c>
      <c r="V29" s="1969">
        <v>0</v>
      </c>
      <c r="W29" s="1969">
        <f t="shared" si="1"/>
        <v>4.5319999999999996E-3</v>
      </c>
      <c r="X29" s="55">
        <f>'Lighting Deemed Table'!P27</f>
        <v>19</v>
      </c>
      <c r="Y29" s="55"/>
      <c r="Z29" s="55">
        <f t="shared" si="2"/>
        <v>19</v>
      </c>
      <c r="AA29" s="2581">
        <f>'Lighting Deemed Table'!BB27</f>
        <v>22086.917544156335</v>
      </c>
      <c r="AB29" s="2091">
        <f>'Lighting Deemed Table'!R27</f>
        <v>9.9999999999999995E-7</v>
      </c>
      <c r="AC29" s="2582">
        <f t="shared" si="3"/>
        <v>16.588158520309705</v>
      </c>
      <c r="AD29" s="2582"/>
      <c r="AE29" s="1380">
        <f>'Lighting Deemed Table'!BD27</f>
        <v>16.588158520309705</v>
      </c>
      <c r="AF29" s="571"/>
      <c r="AG29" s="571"/>
      <c r="AH29" s="571"/>
      <c r="AI29" s="3346" t="str">
        <f>'Lighting Deemed Table'!S27</f>
        <v xml:space="preserve">  per bulb</v>
      </c>
      <c r="AJ29" s="1974"/>
      <c r="AM29" s="1596">
        <f t="shared" si="4"/>
        <v>1.4925290000000001E-4</v>
      </c>
      <c r="AN29">
        <f t="shared" si="5"/>
        <v>4.3611697380000003E-3</v>
      </c>
      <c r="AO29" s="1498">
        <f t="shared" si="6"/>
        <v>-1.7083026199999924E-4</v>
      </c>
      <c r="AS29" t="s">
        <v>335</v>
      </c>
      <c r="AT29" s="1502">
        <v>2.3544589999999999E-4</v>
      </c>
      <c r="AU29" t="s">
        <v>335</v>
      </c>
    </row>
    <row r="30" spans="1:47" x14ac:dyDescent="0.35">
      <c r="A30" s="103" t="str">
        <f t="shared" si="0"/>
        <v>201000</v>
      </c>
      <c r="B30" s="3346" t="str">
        <f>'Lighting Deemed Table'!C28</f>
        <v>201000_2019_12_</v>
      </c>
      <c r="C30" s="3343" t="str">
        <f>'Lighting Deemed Table'!H28</f>
        <v>Lighting RES</v>
      </c>
      <c r="D30" s="3343"/>
      <c r="E30" s="3343"/>
      <c r="F30" s="3343"/>
      <c r="G30" s="3343" t="str">
        <f>'Lighting Deemed Table'!E28</f>
        <v>LED - 15W (Halogen baseline) (1050-1489 lumens) - Specialty Connected Light</v>
      </c>
      <c r="H30" s="50" t="str">
        <f>'Lighting Deemed Table'!D28</f>
        <v>Lighting</v>
      </c>
      <c r="I30" s="1966">
        <f>'Lighting Deemed Table'!F28</f>
        <v>38.43</v>
      </c>
      <c r="J30" s="1966">
        <v>0</v>
      </c>
      <c r="K30" s="560">
        <v>0</v>
      </c>
      <c r="L30" s="560">
        <v>0</v>
      </c>
      <c r="M30" s="560">
        <v>0</v>
      </c>
      <c r="N30" s="560">
        <v>0</v>
      </c>
      <c r="O30" s="1967">
        <f>'Lighting Deemed Table'!G28</f>
        <v>5.96E-3</v>
      </c>
      <c r="P30" s="1967">
        <v>0</v>
      </c>
      <c r="Q30" s="1968">
        <v>0</v>
      </c>
      <c r="R30" s="1968">
        <v>0</v>
      </c>
      <c r="S30" s="1968"/>
      <c r="T30" s="1968"/>
      <c r="U30" s="1969">
        <v>0</v>
      </c>
      <c r="V30" s="1969">
        <v>0</v>
      </c>
      <c r="W30" s="1969">
        <f t="shared" si="1"/>
        <v>5.96E-3</v>
      </c>
      <c r="X30" s="55">
        <f>'Lighting Deemed Table'!P28</f>
        <v>19</v>
      </c>
      <c r="Y30" s="55"/>
      <c r="Z30" s="55">
        <f t="shared" si="2"/>
        <v>19</v>
      </c>
      <c r="AA30" s="2581">
        <f>'Lighting Deemed Table'!BB28</f>
        <v>22088.303638699064</v>
      </c>
      <c r="AB30" s="2091">
        <f>'Lighting Deemed Table'!R28</f>
        <v>9.9999999999999995E-7</v>
      </c>
      <c r="AC30" s="2582">
        <f t="shared" si="3"/>
        <v>21.816664337286173</v>
      </c>
      <c r="AD30" s="2582"/>
      <c r="AE30" s="1380">
        <f>'Lighting Deemed Table'!BD28</f>
        <v>21.816664337286173</v>
      </c>
      <c r="AF30" s="571"/>
      <c r="AG30" s="571"/>
      <c r="AH30" s="571"/>
      <c r="AI30" s="3346" t="str">
        <f>'Lighting Deemed Table'!S28</f>
        <v xml:space="preserve">  per bulb</v>
      </c>
      <c r="AJ30" s="1974"/>
      <c r="AM30" s="1596">
        <f t="shared" si="4"/>
        <v>1.4925290000000001E-4</v>
      </c>
      <c r="AN30">
        <f t="shared" si="5"/>
        <v>5.7357889470000005E-3</v>
      </c>
      <c r="AO30" s="1498">
        <f t="shared" si="6"/>
        <v>-2.2421105299999956E-4</v>
      </c>
      <c r="AS30" t="s">
        <v>2070</v>
      </c>
      <c r="AT30" s="1502">
        <v>1.286107E-4</v>
      </c>
      <c r="AU30" t="s">
        <v>2070</v>
      </c>
    </row>
    <row r="31" spans="1:47" x14ac:dyDescent="0.35">
      <c r="A31" s="103" t="str">
        <f t="shared" si="0"/>
        <v>201050</v>
      </c>
      <c r="B31" s="3346" t="str">
        <f>'Lighting Deemed Table'!C29</f>
        <v>201050_2019_12_</v>
      </c>
      <c r="C31" s="3343" t="str">
        <f>'Lighting Deemed Table'!H29</f>
        <v>Lighting RES</v>
      </c>
      <c r="D31" s="3343"/>
      <c r="E31" s="3343"/>
      <c r="F31" s="3343"/>
      <c r="G31" s="3343" t="str">
        <f>'Lighting Deemed Table'!E29</f>
        <v>LED - 15W Flood Light PAR30 Bulb (Halogen baseline) - Specialty Connected Light</v>
      </c>
      <c r="H31" s="50" t="str">
        <f>'Lighting Deemed Table'!D29</f>
        <v>Lighting</v>
      </c>
      <c r="I31" s="1966">
        <f>'Lighting Deemed Table'!F29</f>
        <v>46.23</v>
      </c>
      <c r="J31" s="1966">
        <v>0</v>
      </c>
      <c r="K31" s="560">
        <v>0</v>
      </c>
      <c r="L31" s="560">
        <v>0</v>
      </c>
      <c r="M31" s="560">
        <v>0</v>
      </c>
      <c r="N31" s="560">
        <v>0</v>
      </c>
      <c r="O31" s="1967">
        <f>'Lighting Deemed Table'!G29</f>
        <v>7.169E-3</v>
      </c>
      <c r="P31" s="1967">
        <v>0</v>
      </c>
      <c r="Q31" s="1968">
        <v>0</v>
      </c>
      <c r="R31" s="1968">
        <v>0</v>
      </c>
      <c r="S31" s="1968"/>
      <c r="T31" s="1968"/>
      <c r="U31" s="1969">
        <v>0</v>
      </c>
      <c r="V31" s="1969">
        <v>0</v>
      </c>
      <c r="W31" s="1969">
        <f t="shared" si="1"/>
        <v>7.169E-3</v>
      </c>
      <c r="X31" s="55">
        <f>'Lighting Deemed Table'!P29</f>
        <v>19</v>
      </c>
      <c r="Y31" s="55"/>
      <c r="Z31" s="55">
        <f t="shared" si="2"/>
        <v>19</v>
      </c>
      <c r="AA31" s="2581">
        <f>'Lighting Deemed Table'!BB29</f>
        <v>22088.899433971194</v>
      </c>
      <c r="AB31" s="2091">
        <f>'Lighting Deemed Table'!R29</f>
        <v>9.9999999999999995E-7</v>
      </c>
      <c r="AC31" s="2582">
        <f t="shared" si="3"/>
        <v>26.244714866321615</v>
      </c>
      <c r="AD31" s="2582"/>
      <c r="AE31" s="1380">
        <f>'Lighting Deemed Table'!BD29</f>
        <v>26.244714866321615</v>
      </c>
      <c r="AF31" s="571"/>
      <c r="AG31" s="571"/>
      <c r="AH31" s="571"/>
      <c r="AI31" s="3346" t="str">
        <f>'Lighting Deemed Table'!S29</f>
        <v xml:space="preserve">  per bulb</v>
      </c>
      <c r="AJ31" s="1974"/>
      <c r="AM31" s="1596">
        <f t="shared" si="4"/>
        <v>1.4925290000000001E-4</v>
      </c>
      <c r="AN31">
        <f t="shared" si="5"/>
        <v>6.8999615670000004E-3</v>
      </c>
      <c r="AO31" s="1498">
        <f t="shared" si="6"/>
        <v>-2.6903843299999966E-4</v>
      </c>
      <c r="AS31" t="s">
        <v>2072</v>
      </c>
      <c r="AT31" s="1502">
        <v>1.286107E-4</v>
      </c>
      <c r="AU31" t="s">
        <v>2072</v>
      </c>
    </row>
    <row r="32" spans="1:47" s="84" customFormat="1" x14ac:dyDescent="0.35">
      <c r="A32" s="103" t="str">
        <f t="shared" si="0"/>
        <v>201099</v>
      </c>
      <c r="B32" s="3346" t="str">
        <f>'Lighting Deemed Table'!C30</f>
        <v>201099_2021_12_</v>
      </c>
      <c r="C32" s="3343" t="str">
        <f>'Lighting Deemed Table'!H30</f>
        <v>Lighting RES</v>
      </c>
      <c r="D32" s="3343"/>
      <c r="E32" s="3343"/>
      <c r="F32" s="3343"/>
      <c r="G32" s="3343" t="str">
        <f>'Lighting Deemed Table'!E30</f>
        <v>LED - 6W (CFL baseline) (310-749 lumens)</v>
      </c>
      <c r="H32" s="50" t="str">
        <f>'Lighting Deemed Table'!D30</f>
        <v>Lighting</v>
      </c>
      <c r="I32" s="1966">
        <f>'Lighting Deemed Table'!F30</f>
        <v>5.42</v>
      </c>
      <c r="J32" s="1966">
        <v>0</v>
      </c>
      <c r="K32" s="560">
        <v>0</v>
      </c>
      <c r="L32" s="560">
        <v>0</v>
      </c>
      <c r="M32" s="560">
        <v>0</v>
      </c>
      <c r="N32" s="560">
        <v>0</v>
      </c>
      <c r="O32" s="1967">
        <f>'Lighting Deemed Table'!G30</f>
        <v>8.4000000000000003E-4</v>
      </c>
      <c r="P32" s="1967">
        <v>0</v>
      </c>
      <c r="Q32" s="1968">
        <v>0</v>
      </c>
      <c r="R32" s="1968">
        <v>0</v>
      </c>
      <c r="S32" s="1968"/>
      <c r="T32" s="1968"/>
      <c r="U32" s="1969">
        <v>0</v>
      </c>
      <c r="V32" s="1969">
        <v>0</v>
      </c>
      <c r="W32" s="1969">
        <f t="shared" si="1"/>
        <v>8.4000000000000003E-4</v>
      </c>
      <c r="X32" s="55">
        <f>'Lighting Deemed Table'!P30</f>
        <v>19</v>
      </c>
      <c r="Y32" s="55"/>
      <c r="Z32" s="55">
        <f t="shared" si="2"/>
        <v>19</v>
      </c>
      <c r="AA32" s="2581">
        <f>'Lighting Deemed Table'!BB30</f>
        <v>22094.782228567503</v>
      </c>
      <c r="AB32" s="2091">
        <f>'Lighting Deemed Table'!R30</f>
        <v>9.9999999999999995E-7</v>
      </c>
      <c r="AC32" s="2582">
        <f t="shared" si="3"/>
        <v>3.0769274188938605</v>
      </c>
      <c r="AD32" s="2582"/>
      <c r="AE32" s="1380">
        <f>'Lighting Deemed Table'!BD30</f>
        <v>3.0769274188938605</v>
      </c>
      <c r="AF32" s="571"/>
      <c r="AG32" s="571"/>
      <c r="AH32" s="571"/>
      <c r="AI32" s="3346" t="str">
        <f>'Lighting Deemed Table'!S30</f>
        <v xml:space="preserve">  per bulb</v>
      </c>
      <c r="AJ32" s="1974"/>
      <c r="AM32" s="1961">
        <f t="shared" si="4"/>
        <v>1.4925290000000001E-4</v>
      </c>
      <c r="AN32" s="84">
        <f t="shared" si="5"/>
        <v>8.0895071800000007E-4</v>
      </c>
      <c r="AO32" s="1962">
        <f t="shared" si="6"/>
        <v>-3.1049281999999965E-5</v>
      </c>
      <c r="AS32" s="84" t="s">
        <v>2072</v>
      </c>
      <c r="AT32" s="1963">
        <v>1.286107E-4</v>
      </c>
      <c r="AU32" s="84" t="s">
        <v>2072</v>
      </c>
    </row>
    <row r="33" spans="1:47" x14ac:dyDescent="0.35">
      <c r="A33" s="103" t="str">
        <f t="shared" si="0"/>
        <v>201100</v>
      </c>
      <c r="B33" s="3346" t="str">
        <f>'Lighting Deemed Table'!C31</f>
        <v>201100_2019_12_</v>
      </c>
      <c r="C33" s="3343" t="str">
        <f>'Lighting Deemed Table'!H31</f>
        <v>Lighting RES</v>
      </c>
      <c r="D33" s="3343"/>
      <c r="E33" s="3343"/>
      <c r="F33" s="3343"/>
      <c r="G33" s="3343" t="str">
        <f>'Lighting Deemed Table'!E31</f>
        <v>LED - 6W (Halogen baseline) (310-749 lumens)</v>
      </c>
      <c r="H33" s="50" t="str">
        <f>'Lighting Deemed Table'!D31</f>
        <v>Lighting</v>
      </c>
      <c r="I33" s="1966">
        <f>'Lighting Deemed Table'!F31</f>
        <v>21.61</v>
      </c>
      <c r="J33" s="1966">
        <v>0</v>
      </c>
      <c r="K33" s="560">
        <v>0</v>
      </c>
      <c r="L33" s="560">
        <v>0</v>
      </c>
      <c r="M33" s="560">
        <v>0</v>
      </c>
      <c r="N33" s="560">
        <v>0</v>
      </c>
      <c r="O33" s="1967">
        <f>'Lighting Deemed Table'!G31</f>
        <v>3.3509999999999998E-3</v>
      </c>
      <c r="P33" s="1967">
        <v>0</v>
      </c>
      <c r="Q33" s="1968">
        <v>0</v>
      </c>
      <c r="R33" s="1968">
        <v>0</v>
      </c>
      <c r="S33" s="1968"/>
      <c r="T33" s="1968"/>
      <c r="U33" s="1969">
        <v>0</v>
      </c>
      <c r="V33" s="1969">
        <v>0</v>
      </c>
      <c r="W33" s="1969">
        <f t="shared" si="1"/>
        <v>3.3509999999999998E-3</v>
      </c>
      <c r="X33" s="55">
        <f>'Lighting Deemed Table'!P31</f>
        <v>19</v>
      </c>
      <c r="Y33" s="55"/>
      <c r="Z33" s="55">
        <f t="shared" si="2"/>
        <v>19</v>
      </c>
      <c r="AA33" s="2581">
        <f>'Lighting Deemed Table'!BB31</f>
        <v>22087.279053683749</v>
      </c>
      <c r="AB33" s="2091">
        <f>'Lighting Deemed Table'!R31</f>
        <v>9.9999999999999995E-7</v>
      </c>
      <c r="AC33" s="2582">
        <f t="shared" si="3"/>
        <v>12.267970760571277</v>
      </c>
      <c r="AD33" s="2582"/>
      <c r="AE33" s="1380">
        <f>'Lighting Deemed Table'!BD31</f>
        <v>12.267970760571277</v>
      </c>
      <c r="AF33" s="571"/>
      <c r="AG33" s="571"/>
      <c r="AH33" s="571"/>
      <c r="AI33" s="3346" t="str">
        <f>'Lighting Deemed Table'!S31</f>
        <v xml:space="preserve">  per bulb</v>
      </c>
      <c r="AJ33" s="1974"/>
      <c r="AM33" s="1596">
        <f t="shared" si="4"/>
        <v>1.4925290000000001E-4</v>
      </c>
      <c r="AN33">
        <f t="shared" si="5"/>
        <v>3.2253551690000003E-3</v>
      </c>
      <c r="AO33" s="1498">
        <f t="shared" si="6"/>
        <v>-1.2564483099999956E-4</v>
      </c>
      <c r="AS33" t="s">
        <v>183</v>
      </c>
      <c r="AT33" s="1502">
        <v>8.8731800000000003E-5</v>
      </c>
      <c r="AU33" t="s">
        <v>183</v>
      </c>
    </row>
    <row r="34" spans="1:47" s="84" customFormat="1" x14ac:dyDescent="0.35">
      <c r="A34" s="103" t="str">
        <f t="shared" si="0"/>
        <v>201130</v>
      </c>
      <c r="B34" s="3346" t="str">
        <f>'Lighting Deemed Table'!C32</f>
        <v>201130_2021_12_</v>
      </c>
      <c r="C34" s="3343" t="str">
        <f>'Lighting Deemed Table'!H32</f>
        <v>Lighting RES</v>
      </c>
      <c r="D34" s="3343"/>
      <c r="E34" s="3343"/>
      <c r="F34" s="3343"/>
      <c r="G34" s="3343" t="str">
        <f>'Lighting Deemed Table'!E32</f>
        <v>LED Nightlights</v>
      </c>
      <c r="H34" s="50" t="str">
        <f>'Lighting Deemed Table'!D32</f>
        <v>Lighting</v>
      </c>
      <c r="I34" s="1966">
        <f>'Lighting Deemed Table'!F32</f>
        <v>24.83</v>
      </c>
      <c r="J34" s="1966">
        <v>0</v>
      </c>
      <c r="K34" s="560">
        <v>0</v>
      </c>
      <c r="L34" s="560">
        <v>0</v>
      </c>
      <c r="M34" s="560">
        <v>0</v>
      </c>
      <c r="N34" s="560">
        <v>0</v>
      </c>
      <c r="O34" s="1967">
        <f>'Lighting Deemed Table'!G32</f>
        <v>3.7499999999999999E-3</v>
      </c>
      <c r="P34" s="1967">
        <v>0</v>
      </c>
      <c r="Q34" s="1968">
        <v>0</v>
      </c>
      <c r="R34" s="1968">
        <v>0</v>
      </c>
      <c r="S34" s="1968"/>
      <c r="T34" s="1968"/>
      <c r="U34" s="1969">
        <v>0</v>
      </c>
      <c r="V34" s="1969">
        <v>0</v>
      </c>
      <c r="W34" s="1969">
        <f t="shared" si="1"/>
        <v>3.7499999999999999E-3</v>
      </c>
      <c r="X34" s="55">
        <f>'Lighting Deemed Table'!P32</f>
        <v>19</v>
      </c>
      <c r="Y34" s="55"/>
      <c r="Z34" s="55">
        <f t="shared" si="2"/>
        <v>19</v>
      </c>
      <c r="AA34" s="2581">
        <f>'Lighting Deemed Table'!BB32</f>
        <v>71844.054769263646</v>
      </c>
      <c r="AB34" s="2091">
        <f>'Lighting Deemed Table'!R32</f>
        <v>9.9999999999999995E-7</v>
      </c>
      <c r="AC34" s="2582">
        <f t="shared" si="3"/>
        <v>14.095960850762832</v>
      </c>
      <c r="AD34" s="2582"/>
      <c r="AE34" s="1380">
        <f>'Lighting Deemed Table'!BD32</f>
        <v>14.095960850762832</v>
      </c>
      <c r="AF34" s="571"/>
      <c r="AG34" s="571"/>
      <c r="AH34" s="571"/>
      <c r="AI34" s="3346" t="str">
        <f>'Lighting Deemed Table'!S32</f>
        <v xml:space="preserve">  per bulb</v>
      </c>
      <c r="AJ34" s="1974"/>
      <c r="AM34" s="1961">
        <f t="shared" si="4"/>
        <v>1.4925290000000001E-4</v>
      </c>
      <c r="AN34" s="84">
        <f t="shared" si="5"/>
        <v>3.7059495069999998E-3</v>
      </c>
      <c r="AO34" s="1962">
        <f t="shared" si="6"/>
        <v>-4.4050493000000104E-5</v>
      </c>
      <c r="AS34" s="84" t="s">
        <v>183</v>
      </c>
      <c r="AT34" s="1963">
        <v>8.8731800000000003E-5</v>
      </c>
      <c r="AU34" s="84" t="s">
        <v>183</v>
      </c>
    </row>
    <row r="35" spans="1:47" x14ac:dyDescent="0.35">
      <c r="A35" s="103" t="str">
        <f t="shared" si="0"/>
        <v>250050</v>
      </c>
      <c r="B35" s="3346" t="str">
        <f>'Efficient Products Deemed Table'!C7</f>
        <v>250050_2019_12_</v>
      </c>
      <c r="C35" s="3343" t="str">
        <f>'Efficient Products Deemed Table'!G7</f>
        <v>Water Heating RES</v>
      </c>
      <c r="D35" s="3343"/>
      <c r="E35" s="3343"/>
      <c r="F35" s="3343"/>
      <c r="G35" s="3343" t="str">
        <f>'Efficient Products Deemed Table'!E7</f>
        <v>Heat Pump Hot Water Heater</v>
      </c>
      <c r="H35" s="3343" t="str">
        <f>'Efficient Products Deemed Table'!D7</f>
        <v>Efficient Products</v>
      </c>
      <c r="I35" s="1966">
        <f>'Efficient Products Deemed Table'!F7</f>
        <v>2276.14</v>
      </c>
      <c r="J35" s="1966">
        <v>0</v>
      </c>
      <c r="K35" s="560">
        <v>0</v>
      </c>
      <c r="L35" s="560">
        <v>0</v>
      </c>
      <c r="M35" s="560">
        <v>0</v>
      </c>
      <c r="N35" s="560">
        <v>0</v>
      </c>
      <c r="O35" s="1967">
        <f>'Efficient Products Deemed Table'!L7</f>
        <v>0.20196600000000001</v>
      </c>
      <c r="P35" s="1967">
        <v>0</v>
      </c>
      <c r="Q35" s="1968">
        <v>0</v>
      </c>
      <c r="R35" s="1968">
        <v>0</v>
      </c>
      <c r="S35" s="1968"/>
      <c r="T35" s="1968"/>
      <c r="U35" s="1969">
        <v>0</v>
      </c>
      <c r="V35" s="1969">
        <f>O35</f>
        <v>0.20196600000000001</v>
      </c>
      <c r="W35" s="1969">
        <v>0</v>
      </c>
      <c r="X35" s="55">
        <f>'Efficient Products Deemed Table'!M7</f>
        <v>13</v>
      </c>
      <c r="Y35" s="55"/>
      <c r="Z35" s="55">
        <f t="shared" si="2"/>
        <v>13</v>
      </c>
      <c r="AA35" s="2581">
        <f>'Efficient Products Deemed Table'!BB7</f>
        <v>1.7565839615155825</v>
      </c>
      <c r="AB35" s="2091">
        <f>'Efficient Products Deemed Table'!N7</f>
        <v>588</v>
      </c>
      <c r="AC35" s="2583">
        <f t="shared" si="3"/>
        <v>974.86679506480641</v>
      </c>
      <c r="AD35" s="2583"/>
      <c r="AE35" s="1380">
        <f>'Efficient Products Deemed Table'!BD7</f>
        <v>974.86679506480641</v>
      </c>
      <c r="AF35" s="571"/>
      <c r="AG35" s="571"/>
      <c r="AH35" s="571"/>
      <c r="AI35" s="2584" t="str">
        <f>'Efficient Products Deemed Table'!O7</f>
        <v>per measure</v>
      </c>
      <c r="AJ35" s="1974"/>
      <c r="AM35" s="1596">
        <f t="shared" si="4"/>
        <v>8.8731800000000003E-5</v>
      </c>
      <c r="AN35">
        <f t="shared" si="5"/>
        <v>0.20196599925199998</v>
      </c>
      <c r="AO35" s="1595">
        <f t="shared" si="6"/>
        <v>-7.4800002303199165E-10</v>
      </c>
    </row>
    <row r="36" spans="1:47" x14ac:dyDescent="0.35">
      <c r="A36" s="103" t="str">
        <f t="shared" si="0"/>
        <v>250100</v>
      </c>
      <c r="B36" s="3346" t="str">
        <f>'Efficient Products Deemed Table'!C57</f>
        <v>250100_2021_12_</v>
      </c>
      <c r="C36" s="3343" t="str">
        <f>'Efficient Products Deemed Table'!G57</f>
        <v>Cooling RES</v>
      </c>
      <c r="D36" s="3343" t="str">
        <f>'Efficient Products Deemed Table'!G58</f>
        <v>Heating RES</v>
      </c>
      <c r="E36" s="3343"/>
      <c r="F36" s="3343"/>
      <c r="G36" s="3343" t="str">
        <f>'Efficient Products Deemed Table'!E57</f>
        <v>Learning Thermostat - ASHP heating/cooling SF</v>
      </c>
      <c r="H36" s="3343" t="str">
        <f>'Efficient Products Deemed Table'!D57</f>
        <v>Efficient Products</v>
      </c>
      <c r="I36" s="1966">
        <f t="shared" ref="I36:I47" si="7">K36+L36</f>
        <v>740.69</v>
      </c>
      <c r="J36" s="560">
        <f t="shared" ref="J36:J47" si="8">M36+N36</f>
        <v>0</v>
      </c>
      <c r="K36" s="560">
        <f>'Efficient Products Deemed Table'!F57</f>
        <v>190.21</v>
      </c>
      <c r="L36" s="560">
        <f>'Efficient Products Deemed Table'!F58</f>
        <v>550.48</v>
      </c>
      <c r="M36" s="560">
        <v>0</v>
      </c>
      <c r="N36" s="560">
        <v>0</v>
      </c>
      <c r="O36" s="1967">
        <f t="shared" ref="O36:O47" si="9">Q36+R36</f>
        <v>0.18020800000000001</v>
      </c>
      <c r="P36" s="1967">
        <f t="shared" ref="P36:P47" si="10">S36+T36</f>
        <v>0</v>
      </c>
      <c r="Q36" s="1968">
        <f>'Efficient Products Deemed Table'!I57</f>
        <v>0.18020800000000001</v>
      </c>
      <c r="R36" s="1968">
        <v>0</v>
      </c>
      <c r="S36" s="1968"/>
      <c r="T36" s="1968"/>
      <c r="U36" s="1969">
        <v>0</v>
      </c>
      <c r="V36" s="1969">
        <f t="shared" ref="V36:V47" si="11">Q36</f>
        <v>0.18020800000000001</v>
      </c>
      <c r="W36" s="1969">
        <v>0</v>
      </c>
      <c r="X36" s="55">
        <f>'Efficient Products Deemed Table'!J57</f>
        <v>10</v>
      </c>
      <c r="Y36" s="55"/>
      <c r="Z36" s="55">
        <f t="shared" si="2"/>
        <v>10</v>
      </c>
      <c r="AA36" s="2581">
        <f>'Efficient Products Deemed Table'!BB57</f>
        <v>2.9606087829737757</v>
      </c>
      <c r="AB36" s="2091">
        <f>'Efficient Products Deemed Table'!K57</f>
        <v>125</v>
      </c>
      <c r="AC36" s="2583">
        <f t="shared" si="3"/>
        <v>349.29315514084186</v>
      </c>
      <c r="AD36" s="2583"/>
      <c r="AE36" s="1380">
        <f>'Efficient Products Deemed Table'!BD57</f>
        <v>202.27029482671782</v>
      </c>
      <c r="AF36" s="571">
        <f>'Efficient Products Deemed Table'!BD58</f>
        <v>147.02286031412405</v>
      </c>
      <c r="AG36" s="571"/>
      <c r="AH36" s="571"/>
      <c r="AI36" s="3346" t="str">
        <f>'Efficient Products Deemed Table'!L57</f>
        <v>per measure</v>
      </c>
      <c r="AJ36" s="1974"/>
      <c r="AK36" s="1506"/>
      <c r="AL36" s="1506"/>
      <c r="AM36" s="1596">
        <f t="shared" si="4"/>
        <v>9.4741810000000004E-4</v>
      </c>
      <c r="AN36" s="84">
        <f t="shared" ref="AN36:AN47" si="12">AM36*K36</f>
        <v>0.18020839680100001</v>
      </c>
      <c r="AO36" s="1595">
        <f t="shared" si="6"/>
        <v>3.9680100000216711E-7</v>
      </c>
      <c r="AS36" s="1064" t="s">
        <v>3895</v>
      </c>
      <c r="AT36" s="1065"/>
    </row>
    <row r="37" spans="1:47" x14ac:dyDescent="0.35">
      <c r="A37" s="103" t="str">
        <f t="shared" si="0"/>
        <v>250101</v>
      </c>
      <c r="B37" s="3346" t="str">
        <f>'Efficient Products Deemed Table'!C59</f>
        <v>250101_2021_12_</v>
      </c>
      <c r="C37" s="3343" t="str">
        <f>'Efficient Products Deemed Table'!G59</f>
        <v>Cooling RES</v>
      </c>
      <c r="D37" s="3343" t="str">
        <f>'Efficient Products Deemed Table'!G60</f>
        <v>Heating RES</v>
      </c>
      <c r="E37" s="3343"/>
      <c r="F37" s="3343"/>
      <c r="G37" s="3343" t="str">
        <f>'Efficient Products Deemed Table'!E59</f>
        <v>Learning Thermostat - ASHP heating/cooling MF</v>
      </c>
      <c r="H37" s="3343" t="str">
        <f>'Efficient Products Deemed Table'!D59</f>
        <v>Efficient Products</v>
      </c>
      <c r="I37" s="1966">
        <f t="shared" si="7"/>
        <v>548.03</v>
      </c>
      <c r="J37" s="560">
        <f t="shared" si="8"/>
        <v>0</v>
      </c>
      <c r="K37" s="560">
        <f>'Efficient Products Deemed Table'!F59</f>
        <v>190.21</v>
      </c>
      <c r="L37" s="560">
        <f>'Efficient Products Deemed Table'!F60</f>
        <v>357.82</v>
      </c>
      <c r="M37" s="560">
        <v>0</v>
      </c>
      <c r="N37" s="560">
        <v>0</v>
      </c>
      <c r="O37" s="1967">
        <f t="shared" si="9"/>
        <v>0.18020800000000001</v>
      </c>
      <c r="P37" s="1967">
        <f t="shared" si="10"/>
        <v>0</v>
      </c>
      <c r="Q37" s="1968">
        <f>'Efficient Products Deemed Table'!I59</f>
        <v>0.18020800000000001</v>
      </c>
      <c r="R37" s="1968">
        <v>0</v>
      </c>
      <c r="S37" s="1968"/>
      <c r="T37" s="1968"/>
      <c r="U37" s="1969">
        <v>0</v>
      </c>
      <c r="V37" s="1969">
        <f t="shared" si="11"/>
        <v>0.18020800000000001</v>
      </c>
      <c r="W37" s="1969">
        <v>0</v>
      </c>
      <c r="X37" s="55">
        <f>'Efficient Products Deemed Table'!J59</f>
        <v>10</v>
      </c>
      <c r="Y37" s="55"/>
      <c r="Z37" s="55">
        <f t="shared" si="2"/>
        <v>10</v>
      </c>
      <c r="AA37" s="2581">
        <f>'Efficient Products Deemed Table'!BB59</f>
        <v>2.5244688758080698</v>
      </c>
      <c r="AB37" s="2091">
        <f>'Efficient Products Deemed Table'!K59</f>
        <v>125</v>
      </c>
      <c r="AC37" s="2583">
        <f t="shared" si="3"/>
        <v>297.83729068051787</v>
      </c>
      <c r="AD37" s="2583"/>
      <c r="AE37" s="1380">
        <f>'Efficient Products Deemed Table'!BD59</f>
        <v>202.27029482671782</v>
      </c>
      <c r="AF37" s="571">
        <f>'Efficient Products Deemed Table'!BD60</f>
        <v>95.566995853800066</v>
      </c>
      <c r="AG37" s="571"/>
      <c r="AH37" s="571"/>
      <c r="AI37" s="3346" t="str">
        <f>'Efficient Products Deemed Table'!L59</f>
        <v>per measure</v>
      </c>
      <c r="AJ37" s="1974"/>
      <c r="AK37" s="1506"/>
      <c r="AL37" s="1506"/>
      <c r="AM37" s="1596">
        <f t="shared" si="4"/>
        <v>9.4741810000000004E-4</v>
      </c>
      <c r="AN37" s="84">
        <f t="shared" si="12"/>
        <v>0.18020839680100001</v>
      </c>
      <c r="AO37" s="1595">
        <f t="shared" si="6"/>
        <v>3.9680100000216711E-7</v>
      </c>
      <c r="AS37" s="141" t="s">
        <v>2853</v>
      </c>
      <c r="AT37" s="1066">
        <v>1.379439E-4</v>
      </c>
    </row>
    <row r="38" spans="1:47" x14ac:dyDescent="0.35">
      <c r="A38" s="103" t="str">
        <f t="shared" si="0"/>
        <v>250102</v>
      </c>
      <c r="B38" s="3346" t="str">
        <f>'Efficient Products Deemed Table'!C61</f>
        <v>250102_2021_12_</v>
      </c>
      <c r="C38" s="3343" t="str">
        <f>'Efficient Products Deemed Table'!G61</f>
        <v>Cooling RES</v>
      </c>
      <c r="D38" s="3343" t="str">
        <f>'Efficient Products Deemed Table'!G62</f>
        <v>Heating RES</v>
      </c>
      <c r="E38" s="3343"/>
      <c r="F38" s="3343"/>
      <c r="G38" s="3343" t="str">
        <f>'Efficient Products Deemed Table'!E61</f>
        <v>Learning Thermostat - ASHP heating/cooling MF_CompE</v>
      </c>
      <c r="H38" s="3343" t="str">
        <f>'Efficient Products Deemed Table'!D61</f>
        <v>Efficient Products_CompE</v>
      </c>
      <c r="I38" s="1966">
        <f t="shared" si="7"/>
        <v>260.07</v>
      </c>
      <c r="J38" s="560">
        <f t="shared" si="8"/>
        <v>0</v>
      </c>
      <c r="K38" s="560">
        <f>'Efficient Products Deemed Table'!F61</f>
        <v>138.33000000000001</v>
      </c>
      <c r="L38" s="560">
        <f>'Efficient Products Deemed Table'!F62</f>
        <v>121.74</v>
      </c>
      <c r="M38" s="560">
        <v>0</v>
      </c>
      <c r="N38" s="560">
        <v>0</v>
      </c>
      <c r="O38" s="1967">
        <f t="shared" si="9"/>
        <v>0.13105600000000001</v>
      </c>
      <c r="P38" s="1967">
        <f t="shared" si="10"/>
        <v>0</v>
      </c>
      <c r="Q38" s="1968">
        <f>'Efficient Products Deemed Table'!I61</f>
        <v>0.13105600000000001</v>
      </c>
      <c r="R38" s="1968">
        <v>0</v>
      </c>
      <c r="S38" s="1968"/>
      <c r="T38" s="1968"/>
      <c r="U38" s="1969">
        <v>0</v>
      </c>
      <c r="V38" s="1969">
        <f t="shared" si="11"/>
        <v>0.13105600000000001</v>
      </c>
      <c r="W38" s="1969">
        <v>0</v>
      </c>
      <c r="X38" s="55">
        <f>'Efficient Products Deemed Table'!J61</f>
        <v>10</v>
      </c>
      <c r="Y38" s="55"/>
      <c r="Z38" s="55">
        <f t="shared" si="2"/>
        <v>10</v>
      </c>
      <c r="AA38" s="2581">
        <f>'Efficient Products Deemed Table'!BB61</f>
        <v>1.5224192903352713</v>
      </c>
      <c r="AB38" s="2091">
        <f>'Efficient Products Deemed Table'!K61</f>
        <v>125</v>
      </c>
      <c r="AC38" s="2583">
        <f t="shared" si="3"/>
        <v>179.61530088901264</v>
      </c>
      <c r="AD38" s="2583"/>
      <c r="AE38" s="1380">
        <f>'Efficient Products Deemed Table'!BD61</f>
        <v>147.10083530508322</v>
      </c>
      <c r="AF38" s="571">
        <f>'Efficient Products Deemed Table'!BD62</f>
        <v>32.514465583929407</v>
      </c>
      <c r="AG38" s="571"/>
      <c r="AH38" s="571"/>
      <c r="AI38" s="3346" t="str">
        <f>'Efficient Products Deemed Table'!L61</f>
        <v>per measure</v>
      </c>
      <c r="AJ38" s="1974"/>
      <c r="AK38" s="1506"/>
      <c r="AL38" s="1506"/>
      <c r="AM38" s="1596">
        <f t="shared" si="4"/>
        <v>9.4741810000000004E-4</v>
      </c>
      <c r="AN38" s="84">
        <f t="shared" si="12"/>
        <v>0.13105634577300002</v>
      </c>
      <c r="AO38" s="1595">
        <f t="shared" si="6"/>
        <v>3.4577300001004119E-7</v>
      </c>
      <c r="AS38" s="141" t="s">
        <v>3896</v>
      </c>
      <c r="AT38" s="1066">
        <v>4.4398300000000001E-4</v>
      </c>
    </row>
    <row r="39" spans="1:47" x14ac:dyDescent="0.35">
      <c r="A39" s="103" t="str">
        <f t="shared" si="0"/>
        <v>250150</v>
      </c>
      <c r="B39" s="3346" t="str">
        <f>'Efficient Products Deemed Table'!C63</f>
        <v>250150_2021_12_</v>
      </c>
      <c r="C39" s="3343" t="str">
        <f>'Efficient Products Deemed Table'!G63</f>
        <v>Cooling RES</v>
      </c>
      <c r="D39" s="3343" t="str">
        <f>'Efficient Products Deemed Table'!G64</f>
        <v>Heating RES</v>
      </c>
      <c r="E39" s="3343"/>
      <c r="F39" s="3343"/>
      <c r="G39" s="3343" t="str">
        <f>'Efficient Products Deemed Table'!E63</f>
        <v>Learning Thermostat - electric furnace heating / central AC MF</v>
      </c>
      <c r="H39" s="3343" t="str">
        <f>'Efficient Products Deemed Table'!D63</f>
        <v>Efficient Products</v>
      </c>
      <c r="I39" s="1966">
        <f t="shared" si="7"/>
        <v>798.43000000000006</v>
      </c>
      <c r="J39" s="560">
        <f t="shared" si="8"/>
        <v>0</v>
      </c>
      <c r="K39" s="560">
        <f>'Efficient Products Deemed Table'!F63</f>
        <v>190.21</v>
      </c>
      <c r="L39" s="560">
        <f>'Efficient Products Deemed Table'!F64</f>
        <v>608.22</v>
      </c>
      <c r="M39" s="560">
        <v>0</v>
      </c>
      <c r="N39" s="560">
        <v>0</v>
      </c>
      <c r="O39" s="1967">
        <f t="shared" si="9"/>
        <v>0.18020800000000001</v>
      </c>
      <c r="P39" s="1967">
        <f t="shared" si="10"/>
        <v>0</v>
      </c>
      <c r="Q39" s="1968">
        <f>'Efficient Products Deemed Table'!I63</f>
        <v>0.18020800000000001</v>
      </c>
      <c r="R39" s="1968">
        <v>0</v>
      </c>
      <c r="S39" s="1968"/>
      <c r="T39" s="1968"/>
      <c r="U39" s="1969">
        <v>0</v>
      </c>
      <c r="V39" s="1969">
        <f t="shared" si="11"/>
        <v>0.18020800000000001</v>
      </c>
      <c r="W39" s="1969">
        <v>0</v>
      </c>
      <c r="X39" s="55">
        <f>'Efficient Products Deemed Table'!J63</f>
        <v>10</v>
      </c>
      <c r="Y39" s="55"/>
      <c r="Z39" s="55">
        <f t="shared" si="2"/>
        <v>10</v>
      </c>
      <c r="AA39" s="2581">
        <f>'Efficient Products Deemed Table'!BB63</f>
        <v>3.0913194558677231</v>
      </c>
      <c r="AB39" s="2091">
        <f>'Efficient Products Deemed Table'!K63</f>
        <v>125</v>
      </c>
      <c r="AC39" s="2583">
        <f t="shared" si="3"/>
        <v>364.71442376919805</v>
      </c>
      <c r="AD39" s="2583"/>
      <c r="AE39" s="1380">
        <f>'Efficient Products Deemed Table'!BD63</f>
        <v>202.27029482671782</v>
      </c>
      <c r="AF39" s="571">
        <f>'Efficient Products Deemed Table'!BD64</f>
        <v>162.44412894248023</v>
      </c>
      <c r="AG39" s="571"/>
      <c r="AH39" s="571"/>
      <c r="AI39" s="3346" t="str">
        <f>'Efficient Products Deemed Table'!L63</f>
        <v>per measure</v>
      </c>
      <c r="AJ39" s="1974"/>
      <c r="AK39" s="1506"/>
      <c r="AL39" s="1506"/>
      <c r="AM39" s="1596">
        <f t="shared" si="4"/>
        <v>9.4741810000000004E-4</v>
      </c>
      <c r="AN39" s="84">
        <f t="shared" si="12"/>
        <v>0.18020839680100001</v>
      </c>
      <c r="AO39" s="1595">
        <f t="shared" si="6"/>
        <v>3.9680100000216711E-7</v>
      </c>
      <c r="AS39" s="141" t="s">
        <v>2683</v>
      </c>
      <c r="AT39" s="1066">
        <v>1.998949E-4</v>
      </c>
    </row>
    <row r="40" spans="1:47" x14ac:dyDescent="0.35">
      <c r="A40" s="103" t="str">
        <f t="shared" si="0"/>
        <v>250151</v>
      </c>
      <c r="B40" s="3346" t="str">
        <f>'Efficient Products Deemed Table'!C65</f>
        <v>250151_2021_12_</v>
      </c>
      <c r="C40" s="3343" t="str">
        <f>'Efficient Products Deemed Table'!G65</f>
        <v>Cooling RES</v>
      </c>
      <c r="D40" s="3343" t="str">
        <f>'Efficient Products Deemed Table'!G66</f>
        <v>Heating RES</v>
      </c>
      <c r="E40" s="3343"/>
      <c r="F40" s="3343"/>
      <c r="G40" s="3343" t="str">
        <f>'Efficient Products Deemed Table'!E65</f>
        <v>Learning Thermostat - electric furnace heating / central AC MF_CompE</v>
      </c>
      <c r="H40" s="3343" t="str">
        <f>'Efficient Products Deemed Table'!D65</f>
        <v>Efficient Products_CompE</v>
      </c>
      <c r="I40" s="1966">
        <f t="shared" si="7"/>
        <v>345.27</v>
      </c>
      <c r="J40" s="560">
        <f t="shared" si="8"/>
        <v>0</v>
      </c>
      <c r="K40" s="560">
        <f>'Efficient Products Deemed Table'!F65</f>
        <v>138.33000000000001</v>
      </c>
      <c r="L40" s="560">
        <f>'Efficient Products Deemed Table'!F66</f>
        <v>206.94</v>
      </c>
      <c r="M40" s="560">
        <v>0</v>
      </c>
      <c r="N40" s="560">
        <v>0</v>
      </c>
      <c r="O40" s="1967">
        <f t="shared" si="9"/>
        <v>0.13105600000000001</v>
      </c>
      <c r="P40" s="1967">
        <f t="shared" si="10"/>
        <v>0</v>
      </c>
      <c r="Q40" s="1968">
        <f>'Efficient Products Deemed Table'!I65</f>
        <v>0.13105600000000001</v>
      </c>
      <c r="R40" s="1968">
        <v>0</v>
      </c>
      <c r="S40" s="1968"/>
      <c r="T40" s="1968"/>
      <c r="U40" s="1969">
        <v>0</v>
      </c>
      <c r="V40" s="1969">
        <f t="shared" si="11"/>
        <v>0.13105600000000001</v>
      </c>
      <c r="W40" s="1969">
        <v>0</v>
      </c>
      <c r="X40" s="55">
        <f>'Efficient Products Deemed Table'!J65</f>
        <v>10</v>
      </c>
      <c r="Y40" s="55"/>
      <c r="Z40" s="55">
        <f t="shared" si="2"/>
        <v>10</v>
      </c>
      <c r="AA40" s="2581">
        <f>'Efficient Products Deemed Table'!BB65</f>
        <v>1.7152933694929486</v>
      </c>
      <c r="AB40" s="2091">
        <f>'Efficient Products Deemed Table'!K65</f>
        <v>125</v>
      </c>
      <c r="AC40" s="2583">
        <f t="shared" si="3"/>
        <v>202.37061933611946</v>
      </c>
      <c r="AD40" s="2583"/>
      <c r="AE40" s="1380">
        <f>'Efficient Products Deemed Table'!BD65</f>
        <v>147.10083530508322</v>
      </c>
      <c r="AF40" s="571">
        <f>'Efficient Products Deemed Table'!BD66</f>
        <v>55.269784031036238</v>
      </c>
      <c r="AG40" s="571"/>
      <c r="AH40" s="571"/>
      <c r="AI40" s="3346" t="str">
        <f>'Efficient Products Deemed Table'!L65</f>
        <v>per measure</v>
      </c>
      <c r="AJ40" s="1974"/>
      <c r="AK40" s="1506"/>
      <c r="AL40" s="1506"/>
      <c r="AM40" s="1596">
        <f t="shared" si="4"/>
        <v>9.4741810000000004E-4</v>
      </c>
      <c r="AN40" s="84">
        <f t="shared" si="12"/>
        <v>0.13105634577300002</v>
      </c>
      <c r="AO40" s="1595">
        <f t="shared" si="6"/>
        <v>3.4577300001004119E-7</v>
      </c>
      <c r="AS40" s="141" t="s">
        <v>2720</v>
      </c>
      <c r="AT40" s="1066">
        <v>9.1068400000000004E-4</v>
      </c>
    </row>
    <row r="41" spans="1:47" x14ac:dyDescent="0.35">
      <c r="A41" s="103" t="str">
        <f t="shared" si="0"/>
        <v>250250</v>
      </c>
      <c r="B41" s="3346" t="str">
        <f>'Efficient Products Deemed Table'!C67</f>
        <v>250250_2021_12_</v>
      </c>
      <c r="C41" s="3343" t="str">
        <f>'Efficient Products Deemed Table'!G67</f>
        <v>Cooling RES</v>
      </c>
      <c r="D41" s="3343" t="str">
        <f>'Efficient Products Deemed Table'!G68</f>
        <v>Heating RES</v>
      </c>
      <c r="E41" s="3343"/>
      <c r="F41" s="3343"/>
      <c r="G41" s="3343" t="str">
        <f>'Efficient Products Deemed Table'!E67</f>
        <v>Learning Thermostat - electric furnace heating / central AC SF</v>
      </c>
      <c r="H41" s="3343" t="str">
        <f>'Efficient Products Deemed Table'!D67</f>
        <v>Efficient Products</v>
      </c>
      <c r="I41" s="1966">
        <f t="shared" si="7"/>
        <v>1125.93</v>
      </c>
      <c r="J41" s="560">
        <f t="shared" si="8"/>
        <v>0</v>
      </c>
      <c r="K41" s="560">
        <f>'Efficient Products Deemed Table'!F67</f>
        <v>190.21</v>
      </c>
      <c r="L41" s="560">
        <f>'Efficient Products Deemed Table'!F68</f>
        <v>935.72</v>
      </c>
      <c r="M41" s="560">
        <v>0</v>
      </c>
      <c r="N41" s="560">
        <v>0</v>
      </c>
      <c r="O41" s="1967">
        <f t="shared" si="9"/>
        <v>0.18020800000000001</v>
      </c>
      <c r="P41" s="1967">
        <f t="shared" si="10"/>
        <v>0</v>
      </c>
      <c r="Q41" s="1968">
        <f>'Efficient Products Deemed Table'!I67</f>
        <v>0.18020800000000001</v>
      </c>
      <c r="R41" s="1968">
        <v>0</v>
      </c>
      <c r="S41" s="1968"/>
      <c r="T41" s="1968"/>
      <c r="U41" s="1969">
        <v>0</v>
      </c>
      <c r="V41" s="1969">
        <f t="shared" si="11"/>
        <v>0.18020800000000001</v>
      </c>
      <c r="W41" s="1969">
        <v>0</v>
      </c>
      <c r="X41" s="55">
        <f>'Efficient Products Deemed Table'!J67</f>
        <v>10</v>
      </c>
      <c r="Y41" s="55"/>
      <c r="Z41" s="55">
        <f t="shared" si="2"/>
        <v>10</v>
      </c>
      <c r="AA41" s="2581">
        <f>'Efficient Products Deemed Table'!BB67</f>
        <v>3.8327074948834436</v>
      </c>
      <c r="AB41" s="2091">
        <f>'Efficient Products Deemed Table'!K67</f>
        <v>125</v>
      </c>
      <c r="AC41" s="2583">
        <f t="shared" si="3"/>
        <v>452.18351756529535</v>
      </c>
      <c r="AD41" s="2583"/>
      <c r="AE41" s="1380">
        <f>'Efficient Products Deemed Table'!BD67</f>
        <v>202.27029482671782</v>
      </c>
      <c r="AF41" s="571">
        <f>'Efficient Products Deemed Table'!BD68</f>
        <v>249.9132227385775</v>
      </c>
      <c r="AG41" s="571"/>
      <c r="AH41" s="571"/>
      <c r="AI41" s="3346" t="str">
        <f>'Efficient Products Deemed Table'!L67</f>
        <v>per measure</v>
      </c>
      <c r="AJ41" s="1974"/>
      <c r="AK41" s="1506"/>
      <c r="AL41" s="1506"/>
      <c r="AM41" s="1596">
        <f t="shared" ref="AM41:AM72" si="13">VLOOKUP(C41,$AS$10:$AT$33,2,FALSE)</f>
        <v>9.4741810000000004E-4</v>
      </c>
      <c r="AN41" s="84">
        <f t="shared" si="12"/>
        <v>0.18020839680100001</v>
      </c>
      <c r="AO41" s="1595">
        <f t="shared" ref="AO41:AO72" si="14">AN41-O41</f>
        <v>3.9680100000216711E-7</v>
      </c>
      <c r="AS41" s="141" t="s">
        <v>2503</v>
      </c>
      <c r="AT41" s="1066">
        <v>5.6160000000000001E-6</v>
      </c>
    </row>
    <row r="42" spans="1:47" x14ac:dyDescent="0.35">
      <c r="A42" s="103" t="str">
        <f t="shared" si="0"/>
        <v>250350</v>
      </c>
      <c r="B42" s="3346" t="str">
        <f>'Efficient Products Deemed Table'!C69</f>
        <v>250350_2021_12_</v>
      </c>
      <c r="C42" s="3343" t="str">
        <f>'Efficient Products Deemed Table'!G69</f>
        <v>Cooling RES</v>
      </c>
      <c r="D42" s="3343" t="str">
        <f>'Efficient Products Deemed Table'!G70</f>
        <v>Heating RES</v>
      </c>
      <c r="E42" s="3343"/>
      <c r="F42" s="3343"/>
      <c r="G42" s="3343" t="str">
        <f>'Efficient Products Deemed Table'!E69</f>
        <v>Learning Thermostat - Gas Heated / central AC SF**</v>
      </c>
      <c r="H42" s="3343" t="str">
        <f>'Efficient Products Deemed Table'!D69</f>
        <v>Efficient Products</v>
      </c>
      <c r="I42" s="1966">
        <f t="shared" si="7"/>
        <v>231.56</v>
      </c>
      <c r="J42" s="560">
        <f t="shared" si="8"/>
        <v>0</v>
      </c>
      <c r="K42" s="560">
        <f>'Efficient Products Deemed Table'!F69</f>
        <v>190.21</v>
      </c>
      <c r="L42" s="560">
        <f>'Efficient Products Deemed Table'!F70</f>
        <v>41.35</v>
      </c>
      <c r="M42" s="560">
        <v>0</v>
      </c>
      <c r="N42" s="560">
        <v>0</v>
      </c>
      <c r="O42" s="1967">
        <f t="shared" si="9"/>
        <v>0.18020800000000001</v>
      </c>
      <c r="P42" s="1967">
        <f t="shared" si="10"/>
        <v>0</v>
      </c>
      <c r="Q42" s="1968">
        <f>'Efficient Products Deemed Table'!I69</f>
        <v>0.18020800000000001</v>
      </c>
      <c r="R42" s="1968">
        <v>0</v>
      </c>
      <c r="S42" s="1968"/>
      <c r="T42" s="1968"/>
      <c r="U42" s="1969">
        <v>0</v>
      </c>
      <c r="V42" s="1969">
        <f t="shared" si="11"/>
        <v>0.18020800000000001</v>
      </c>
      <c r="W42" s="1969">
        <v>0</v>
      </c>
      <c r="X42" s="55">
        <f>'Efficient Products Deemed Table'!J69</f>
        <v>10</v>
      </c>
      <c r="Y42" s="55"/>
      <c r="Z42" s="55">
        <f t="shared" si="2"/>
        <v>10</v>
      </c>
      <c r="AA42" s="2581">
        <f>'Efficient Products Deemed Table'!BB69</f>
        <v>1.8080503331903446</v>
      </c>
      <c r="AB42" s="2091">
        <f>'Efficient Products Deemed Table'!K69</f>
        <v>125</v>
      </c>
      <c r="AC42" s="2583">
        <f t="shared" si="3"/>
        <v>213.31410254723269</v>
      </c>
      <c r="AD42" s="2583"/>
      <c r="AE42" s="1380">
        <f>'Efficient Products Deemed Table'!BD69</f>
        <v>202.27029482671782</v>
      </c>
      <c r="AF42" s="571">
        <f>'Efficient Products Deemed Table'!BD70</f>
        <v>11.043807720514875</v>
      </c>
      <c r="AG42" s="571"/>
      <c r="AH42" s="571"/>
      <c r="AI42" s="3346" t="str">
        <f>'Efficient Products Deemed Table'!L69</f>
        <v>per measure</v>
      </c>
      <c r="AJ42" s="1974"/>
      <c r="AK42" s="1506"/>
      <c r="AL42" s="1506"/>
      <c r="AM42" s="1596">
        <f t="shared" si="13"/>
        <v>9.4741810000000004E-4</v>
      </c>
      <c r="AN42" s="84">
        <f t="shared" si="12"/>
        <v>0.18020839680100001</v>
      </c>
      <c r="AO42" s="1595">
        <f t="shared" si="14"/>
        <v>3.9680100000216711E-7</v>
      </c>
      <c r="AS42" s="141" t="s">
        <v>2721</v>
      </c>
      <c r="AT42" s="1066">
        <v>0</v>
      </c>
    </row>
    <row r="43" spans="1:47" x14ac:dyDescent="0.35">
      <c r="A43" s="103" t="str">
        <f t="shared" si="0"/>
        <v>250351</v>
      </c>
      <c r="B43" s="3346" t="str">
        <f>'Efficient Products Deemed Table'!C71</f>
        <v>250351_2021_12_</v>
      </c>
      <c r="C43" s="3343" t="str">
        <f>'Efficient Products Deemed Table'!G71</f>
        <v>Cooling RES</v>
      </c>
      <c r="D43" s="3343" t="str">
        <f>'Efficient Products Deemed Table'!G72</f>
        <v>Heating RES</v>
      </c>
      <c r="E43" s="3343"/>
      <c r="F43" s="3343"/>
      <c r="G43" s="3343" t="str">
        <f>'Efficient Products Deemed Table'!E71</f>
        <v>Learning Thermostat - Gas Heated / central AC MF**</v>
      </c>
      <c r="H43" s="3343" t="str">
        <f>'Efficient Products Deemed Table'!D71</f>
        <v>Efficient Products</v>
      </c>
      <c r="I43" s="1966">
        <f t="shared" si="7"/>
        <v>217.09</v>
      </c>
      <c r="J43" s="560">
        <f t="shared" si="8"/>
        <v>0</v>
      </c>
      <c r="K43" s="560">
        <f>'Efficient Products Deemed Table'!F71</f>
        <v>190.21</v>
      </c>
      <c r="L43" s="560">
        <f>'Efficient Products Deemed Table'!F72</f>
        <v>26.88</v>
      </c>
      <c r="M43" s="560">
        <v>0</v>
      </c>
      <c r="N43" s="560">
        <v>0</v>
      </c>
      <c r="O43" s="1967">
        <f t="shared" si="9"/>
        <v>0.18020800000000001</v>
      </c>
      <c r="P43" s="1967">
        <f t="shared" si="10"/>
        <v>0</v>
      </c>
      <c r="Q43" s="1968">
        <f>'Efficient Products Deemed Table'!I71</f>
        <v>0.18020800000000001</v>
      </c>
      <c r="R43" s="1968">
        <v>0</v>
      </c>
      <c r="S43" s="1968"/>
      <c r="T43" s="1968"/>
      <c r="U43" s="1969">
        <v>0</v>
      </c>
      <c r="V43" s="1969">
        <f t="shared" si="11"/>
        <v>0.18020800000000001</v>
      </c>
      <c r="W43" s="1969">
        <v>0</v>
      </c>
      <c r="X43" s="55">
        <f>'Efficient Products Deemed Table'!J71</f>
        <v>10</v>
      </c>
      <c r="Y43" s="55"/>
      <c r="Z43" s="55">
        <f t="shared" si="2"/>
        <v>10</v>
      </c>
      <c r="AA43" s="2581">
        <f>'Efficient Products Deemed Table'!BB71</f>
        <v>1.7752934326573446</v>
      </c>
      <c r="AB43" s="2091">
        <f>'Efficient Products Deemed Table'!K71</f>
        <v>125</v>
      </c>
      <c r="AC43" s="2583">
        <f t="shared" si="3"/>
        <v>209.44943754805857</v>
      </c>
      <c r="AD43" s="2583"/>
      <c r="AE43" s="1380">
        <f>'Efficient Products Deemed Table'!BD71</f>
        <v>202.27029482671782</v>
      </c>
      <c r="AF43" s="571">
        <f>'Efficient Products Deemed Table'!BD72</f>
        <v>7.1791427213407459</v>
      </c>
      <c r="AG43" s="571"/>
      <c r="AH43" s="571"/>
      <c r="AI43" s="3346" t="str">
        <f>'Efficient Products Deemed Table'!L71</f>
        <v>per measure</v>
      </c>
      <c r="AJ43" s="1974"/>
      <c r="AK43" s="1506"/>
      <c r="AL43" s="1506"/>
      <c r="AM43" s="1596">
        <f t="shared" si="13"/>
        <v>9.4741810000000004E-4</v>
      </c>
      <c r="AN43" s="84">
        <f t="shared" si="12"/>
        <v>0.18020839680100001</v>
      </c>
      <c r="AO43" s="1595">
        <f t="shared" si="14"/>
        <v>3.9680100000216711E-7</v>
      </c>
      <c r="AS43" s="141" t="s">
        <v>2736</v>
      </c>
      <c r="AT43" s="1066">
        <v>4.4398300000000001E-4</v>
      </c>
    </row>
    <row r="44" spans="1:47" x14ac:dyDescent="0.35">
      <c r="A44" s="103" t="str">
        <f t="shared" si="0"/>
        <v>250352</v>
      </c>
      <c r="B44" s="3346" t="str">
        <f>'Efficient Products Deemed Table'!C73</f>
        <v>250352_2021_12_</v>
      </c>
      <c r="C44" s="3343" t="str">
        <f>'Efficient Products Deemed Table'!G73</f>
        <v>Cooling RES</v>
      </c>
      <c r="D44" s="3343" t="str">
        <f>'Efficient Products Deemed Table'!G74</f>
        <v>Heating RES</v>
      </c>
      <c r="E44" s="3343"/>
      <c r="F44" s="3343"/>
      <c r="G44" s="3343" t="str">
        <f>'Efficient Products Deemed Table'!E73</f>
        <v>Learning Thermostat - Gas Heated / central AC MF_CompE**</v>
      </c>
      <c r="H44" s="3343" t="str">
        <f>'Efficient Products Deemed Table'!D73</f>
        <v>Efficient Products_CompE</v>
      </c>
      <c r="I44" s="1966">
        <f t="shared" si="7"/>
        <v>165.21</v>
      </c>
      <c r="J44" s="560">
        <f t="shared" si="8"/>
        <v>0</v>
      </c>
      <c r="K44" s="560">
        <f>'Efficient Products Deemed Table'!F73</f>
        <v>138.33000000000001</v>
      </c>
      <c r="L44" s="560">
        <f>'Efficient Products Deemed Table'!F74</f>
        <v>26.88</v>
      </c>
      <c r="M44" s="560">
        <v>0</v>
      </c>
      <c r="N44" s="560">
        <v>0</v>
      </c>
      <c r="O44" s="1967">
        <f t="shared" si="9"/>
        <v>0.13105600000000001</v>
      </c>
      <c r="P44" s="1967">
        <f t="shared" si="10"/>
        <v>0</v>
      </c>
      <c r="Q44" s="1968">
        <f>'Efficient Products Deemed Table'!I73</f>
        <v>0.13105600000000001</v>
      </c>
      <c r="R44" s="1968">
        <v>0</v>
      </c>
      <c r="S44" s="1968"/>
      <c r="T44" s="1968"/>
      <c r="U44" s="1969">
        <v>0</v>
      </c>
      <c r="V44" s="1969">
        <f t="shared" si="11"/>
        <v>0.13105600000000001</v>
      </c>
      <c r="W44" s="1969">
        <v>0</v>
      </c>
      <c r="X44" s="55">
        <f>'Efficient Products Deemed Table'!J73</f>
        <v>10</v>
      </c>
      <c r="Y44" s="55"/>
      <c r="Z44" s="55">
        <f t="shared" si="2"/>
        <v>10</v>
      </c>
      <c r="AA44" s="2581">
        <f>'Efficient Products Deemed Table'!BB73</f>
        <v>1.3076770937519697</v>
      </c>
      <c r="AB44" s="2091">
        <f>'Efficient Products Deemed Table'!K73</f>
        <v>125</v>
      </c>
      <c r="AC44" s="2583">
        <f t="shared" si="3"/>
        <v>154.27997802642398</v>
      </c>
      <c r="AD44" s="2583"/>
      <c r="AE44" s="1380">
        <f>'Efficient Products Deemed Table'!BD73</f>
        <v>147.10083530508322</v>
      </c>
      <c r="AF44" s="571">
        <f>'Efficient Products Deemed Table'!BD74</f>
        <v>7.1791427213407459</v>
      </c>
      <c r="AG44" s="571"/>
      <c r="AH44" s="571"/>
      <c r="AI44" s="3346" t="str">
        <f>'Efficient Products Deemed Table'!L73</f>
        <v>per measure</v>
      </c>
      <c r="AJ44" s="1974"/>
      <c r="AK44" s="1506"/>
      <c r="AL44" s="1506"/>
      <c r="AM44" s="1596">
        <f t="shared" si="13"/>
        <v>9.4741810000000004E-4</v>
      </c>
      <c r="AN44" s="84">
        <f t="shared" si="12"/>
        <v>0.13105634577300002</v>
      </c>
      <c r="AO44" s="1595">
        <f t="shared" si="14"/>
        <v>3.4577300001004119E-7</v>
      </c>
      <c r="AS44" s="141" t="s">
        <v>54</v>
      </c>
      <c r="AT44" s="1066">
        <v>1.899635E-4</v>
      </c>
    </row>
    <row r="45" spans="1:47" x14ac:dyDescent="0.35">
      <c r="A45" s="103" t="str">
        <f t="shared" si="0"/>
        <v>250450</v>
      </c>
      <c r="B45" s="3346" t="str">
        <f>'Efficient Products Deemed Table'!C75</f>
        <v>250450_2021_12_</v>
      </c>
      <c r="C45" s="3343" t="str">
        <f>'Efficient Products Deemed Table'!G75</f>
        <v>Cooling RES</v>
      </c>
      <c r="D45" s="3343" t="str">
        <f>'Efficient Products Deemed Table'!G76</f>
        <v>Heating RES</v>
      </c>
      <c r="E45" s="3343"/>
      <c r="F45" s="3343"/>
      <c r="G45" s="3343" t="str">
        <f>'Efficient Products Deemed Table'!E75</f>
        <v>Learning Thermostat - Unknown SF**</v>
      </c>
      <c r="H45" s="3343" t="str">
        <f>'Efficient Products Deemed Table'!D75</f>
        <v>Efficient Products</v>
      </c>
      <c r="I45" s="1966">
        <f t="shared" si="7"/>
        <v>467</v>
      </c>
      <c r="J45" s="560">
        <f t="shared" si="8"/>
        <v>0</v>
      </c>
      <c r="K45" s="560">
        <f>'Efficient Products Deemed Table'!F75</f>
        <v>190.21</v>
      </c>
      <c r="L45" s="560">
        <f>'Efficient Products Deemed Table'!F76</f>
        <v>276.79000000000002</v>
      </c>
      <c r="M45" s="560">
        <v>0</v>
      </c>
      <c r="N45" s="560">
        <v>0</v>
      </c>
      <c r="O45" s="1967">
        <f t="shared" si="9"/>
        <v>0.18020800000000001</v>
      </c>
      <c r="P45" s="1967">
        <f t="shared" si="10"/>
        <v>0</v>
      </c>
      <c r="Q45" s="1968">
        <f>'Efficient Products Deemed Table'!I75</f>
        <v>0.18020800000000001</v>
      </c>
      <c r="R45" s="1968">
        <v>0</v>
      </c>
      <c r="S45" s="1968"/>
      <c r="T45" s="1968"/>
      <c r="U45" s="1969">
        <v>0</v>
      </c>
      <c r="V45" s="1969">
        <f t="shared" si="11"/>
        <v>0.18020800000000001</v>
      </c>
      <c r="W45" s="1969">
        <v>0</v>
      </c>
      <c r="X45" s="55">
        <f>'Efficient Products Deemed Table'!J75</f>
        <v>10</v>
      </c>
      <c r="Y45" s="55"/>
      <c r="Z45" s="55">
        <f t="shared" si="2"/>
        <v>10</v>
      </c>
      <c r="AA45" s="2581">
        <f>'Efficient Products Deemed Table'!BB75</f>
        <v>2.3410347603838142</v>
      </c>
      <c r="AB45" s="2091">
        <f>'Efficient Products Deemed Table'!K75</f>
        <v>125</v>
      </c>
      <c r="AC45" s="2583">
        <f t="shared" si="3"/>
        <v>276.19570084754764</v>
      </c>
      <c r="AD45" s="2583"/>
      <c r="AE45" s="1380">
        <f>'Efficient Products Deemed Table'!BD75</f>
        <v>202.27029482671782</v>
      </c>
      <c r="AF45" s="571">
        <f>'Efficient Products Deemed Table'!BD76</f>
        <v>73.925406020829811</v>
      </c>
      <c r="AG45" s="571"/>
      <c r="AH45" s="571"/>
      <c r="AI45" s="3346" t="str">
        <f>'Efficient Products Deemed Table'!L75</f>
        <v>per measure</v>
      </c>
      <c r="AJ45" s="1974"/>
      <c r="AK45" s="1506"/>
      <c r="AL45" s="1506"/>
      <c r="AM45" s="1596">
        <f t="shared" si="13"/>
        <v>9.4741810000000004E-4</v>
      </c>
      <c r="AN45" s="84">
        <f t="shared" si="12"/>
        <v>0.18020839680100001</v>
      </c>
      <c r="AO45" s="1595">
        <f t="shared" si="14"/>
        <v>3.9680100000216711E-7</v>
      </c>
      <c r="AS45" s="141" t="s">
        <v>2510</v>
      </c>
      <c r="AT45" s="1066">
        <v>1.379439E-4</v>
      </c>
    </row>
    <row r="46" spans="1:47" x14ac:dyDescent="0.35">
      <c r="A46" s="103" t="str">
        <f t="shared" si="0"/>
        <v>250451</v>
      </c>
      <c r="B46" s="3346" t="str">
        <f>'Efficient Products Deemed Table'!C77</f>
        <v>250451_2021_12_</v>
      </c>
      <c r="C46" s="3343" t="str">
        <f>'Efficient Products Deemed Table'!G77</f>
        <v>Cooling RES</v>
      </c>
      <c r="D46" s="3343" t="str">
        <f>'Efficient Products Deemed Table'!G78</f>
        <v>Heating RES</v>
      </c>
      <c r="E46" s="3343"/>
      <c r="F46" s="3343"/>
      <c r="G46" s="3343" t="str">
        <f>'Efficient Products Deemed Table'!E77</f>
        <v>Learning Thermostat - Unknown MF**</v>
      </c>
      <c r="H46" s="3343" t="str">
        <f>'Efficient Products Deemed Table'!D77</f>
        <v>Efficient Products</v>
      </c>
      <c r="I46" s="1966">
        <f t="shared" si="7"/>
        <v>370.12</v>
      </c>
      <c r="J46" s="560">
        <f t="shared" si="8"/>
        <v>0</v>
      </c>
      <c r="K46" s="560">
        <f>'Efficient Products Deemed Table'!F77</f>
        <v>190.21</v>
      </c>
      <c r="L46" s="560">
        <f>'Efficient Products Deemed Table'!F78</f>
        <v>179.91</v>
      </c>
      <c r="M46" s="560">
        <v>0</v>
      </c>
      <c r="N46" s="560">
        <v>0</v>
      </c>
      <c r="O46" s="1967">
        <f t="shared" si="9"/>
        <v>0.18020800000000001</v>
      </c>
      <c r="P46" s="1967">
        <f t="shared" si="10"/>
        <v>0</v>
      </c>
      <c r="Q46" s="1968">
        <f>'Efficient Products Deemed Table'!I77</f>
        <v>0.18020800000000001</v>
      </c>
      <c r="R46" s="1968">
        <v>0</v>
      </c>
      <c r="S46" s="1968"/>
      <c r="T46" s="1968"/>
      <c r="U46" s="1969">
        <v>0</v>
      </c>
      <c r="V46" s="1969">
        <f t="shared" si="11"/>
        <v>0.18020800000000001</v>
      </c>
      <c r="W46" s="1969">
        <v>0</v>
      </c>
      <c r="X46" s="55">
        <f>'Efficient Products Deemed Table'!J77</f>
        <v>10</v>
      </c>
      <c r="Y46" s="55"/>
      <c r="Z46" s="55">
        <f t="shared" si="2"/>
        <v>10</v>
      </c>
      <c r="AA46" s="2581">
        <f>'Efficient Products Deemed Table'!BB77</f>
        <v>2.1217197276514685</v>
      </c>
      <c r="AB46" s="2091">
        <f>'Efficient Products Deemed Table'!K77</f>
        <v>125</v>
      </c>
      <c r="AC46" s="2583">
        <f t="shared" si="3"/>
        <v>250.32087395604867</v>
      </c>
      <c r="AD46" s="2583"/>
      <c r="AE46" s="1380">
        <f>'Efficient Products Deemed Table'!BD77</f>
        <v>202.27029482671782</v>
      </c>
      <c r="AF46" s="571">
        <f>'Efficient Products Deemed Table'!BD78</f>
        <v>48.050579129330863</v>
      </c>
      <c r="AG46" s="571"/>
      <c r="AH46" s="571"/>
      <c r="AI46" s="3346" t="str">
        <f>'Efficient Products Deemed Table'!L77</f>
        <v>per measure</v>
      </c>
      <c r="AJ46" s="1974"/>
      <c r="AK46" s="1506"/>
      <c r="AL46" s="1506"/>
      <c r="AM46" s="1596">
        <f t="shared" si="13"/>
        <v>9.4741810000000004E-4</v>
      </c>
      <c r="AN46" s="84">
        <f t="shared" si="12"/>
        <v>0.18020839680100001</v>
      </c>
      <c r="AO46" s="1595">
        <f t="shared" si="14"/>
        <v>3.9680100000216711E-7</v>
      </c>
      <c r="AS46" s="141" t="s">
        <v>2674</v>
      </c>
      <c r="AT46" s="1066">
        <v>1.379439E-4</v>
      </c>
    </row>
    <row r="47" spans="1:47" x14ac:dyDescent="0.35">
      <c r="A47" s="103" t="str">
        <f t="shared" si="0"/>
        <v>250452</v>
      </c>
      <c r="B47" s="3346" t="str">
        <f>'Efficient Products Deemed Table'!C79</f>
        <v>250452_2021_12_</v>
      </c>
      <c r="C47" s="3343" t="str">
        <f>'Efficient Products Deemed Table'!G79</f>
        <v>Cooling RES</v>
      </c>
      <c r="D47" s="3343" t="str">
        <f>'Efficient Products Deemed Table'!G80</f>
        <v>Heating RES</v>
      </c>
      <c r="E47" s="3343"/>
      <c r="F47" s="3343"/>
      <c r="G47" s="3343" t="str">
        <f>'Efficient Products Deemed Table'!E79</f>
        <v>Learning Thermostat - Unknown MF_CompE**</v>
      </c>
      <c r="H47" s="3343" t="str">
        <f>'Efficient Products Deemed Table'!D79</f>
        <v>Efficient Products_CompE</v>
      </c>
      <c r="I47" s="1966">
        <f t="shared" si="7"/>
        <v>211.42000000000002</v>
      </c>
      <c r="J47" s="560">
        <f t="shared" si="8"/>
        <v>0</v>
      </c>
      <c r="K47" s="560">
        <f>'Efficient Products Deemed Table'!F79</f>
        <v>138.33000000000001</v>
      </c>
      <c r="L47" s="560">
        <f>'Efficient Products Deemed Table'!F80</f>
        <v>73.09</v>
      </c>
      <c r="M47" s="560">
        <v>0</v>
      </c>
      <c r="N47" s="560">
        <v>0</v>
      </c>
      <c r="O47" s="1967">
        <f t="shared" si="9"/>
        <v>0.13105600000000001</v>
      </c>
      <c r="P47" s="1967">
        <f t="shared" si="10"/>
        <v>0</v>
      </c>
      <c r="Q47" s="1968">
        <f>'Efficient Products Deemed Table'!I79</f>
        <v>0.13105600000000001</v>
      </c>
      <c r="R47" s="1968">
        <v>0</v>
      </c>
      <c r="S47" s="1968"/>
      <c r="T47" s="1968"/>
      <c r="U47" s="1969">
        <v>0</v>
      </c>
      <c r="V47" s="1969">
        <f t="shared" si="11"/>
        <v>0.13105600000000001</v>
      </c>
      <c r="W47" s="1969">
        <v>0</v>
      </c>
      <c r="X47" s="55">
        <f>'Efficient Products Deemed Table'!J79</f>
        <v>10</v>
      </c>
      <c r="Y47" s="55"/>
      <c r="Z47" s="55">
        <f t="shared" si="2"/>
        <v>10</v>
      </c>
      <c r="AA47" s="2581">
        <f>'Efficient Products Deemed Table'!BB79</f>
        <v>1.41228638011202</v>
      </c>
      <c r="AB47" s="2091">
        <f>'Efficient Products Deemed Table'!K79</f>
        <v>125</v>
      </c>
      <c r="AC47" s="2583">
        <f t="shared" si="3"/>
        <v>166.6218003907527</v>
      </c>
      <c r="AD47" s="2583"/>
      <c r="AE47" s="1380">
        <f>'Efficient Products Deemed Table'!BD79</f>
        <v>147.10083530508322</v>
      </c>
      <c r="AF47" s="571">
        <f>'Efficient Products Deemed Table'!BD80</f>
        <v>19.520965085669463</v>
      </c>
      <c r="AG47" s="571"/>
      <c r="AH47" s="571"/>
      <c r="AI47" s="3346" t="str">
        <f>'Efficient Products Deemed Table'!L79</f>
        <v>per measure</v>
      </c>
      <c r="AJ47" s="1974"/>
      <c r="AK47" s="1506"/>
      <c r="AL47" s="1506"/>
      <c r="AM47" s="1596">
        <f t="shared" si="13"/>
        <v>9.4741810000000004E-4</v>
      </c>
      <c r="AN47" s="84">
        <f t="shared" si="12"/>
        <v>0.13105634577300002</v>
      </c>
      <c r="AO47" s="1595">
        <f t="shared" si="14"/>
        <v>3.4577300001004119E-7</v>
      </c>
      <c r="AS47" s="141" t="s">
        <v>3897</v>
      </c>
      <c r="AT47" s="1066">
        <v>1.379439E-4</v>
      </c>
    </row>
    <row r="48" spans="1:47" x14ac:dyDescent="0.35">
      <c r="A48" s="103" t="str">
        <f t="shared" si="0"/>
        <v>250500</v>
      </c>
      <c r="B48" s="3346" t="str">
        <f>'Efficient Products Deemed Table'!C172</f>
        <v>250500_2021_12_</v>
      </c>
      <c r="C48" s="3343" t="str">
        <f>'Efficient Products Deemed Table'!G172</f>
        <v>Pool Spa RES</v>
      </c>
      <c r="D48" s="3343"/>
      <c r="E48" s="3343"/>
      <c r="F48" s="3343"/>
      <c r="G48" s="3343" t="str">
        <f>'Efficient Products Deemed Table'!E172</f>
        <v>ENERGY STAR Pool Pump and motor w auto controls - multi speed</v>
      </c>
      <c r="H48" s="3343" t="str">
        <f>'Efficient Products Deemed Table'!D172</f>
        <v>Efficient Products</v>
      </c>
      <c r="I48" s="1966">
        <f>'Efficient Products Deemed Table'!F172</f>
        <v>0</v>
      </c>
      <c r="J48" s="1966">
        <v>0</v>
      </c>
      <c r="K48" s="560">
        <v>0</v>
      </c>
      <c r="L48" s="560">
        <v>0</v>
      </c>
      <c r="M48" s="560">
        <v>0</v>
      </c>
      <c r="N48" s="560">
        <v>0</v>
      </c>
      <c r="O48" s="1967">
        <f>'Efficient Products Deemed Table'!I172</f>
        <v>0</v>
      </c>
      <c r="P48" s="1967">
        <v>0</v>
      </c>
      <c r="Q48" s="1968">
        <v>0</v>
      </c>
      <c r="R48" s="1968">
        <v>0</v>
      </c>
      <c r="S48" s="1968"/>
      <c r="T48" s="1968"/>
      <c r="U48" s="1969">
        <v>0</v>
      </c>
      <c r="V48" s="1969">
        <f t="shared" ref="V48:V60" si="15">O48</f>
        <v>0</v>
      </c>
      <c r="W48" s="1969">
        <v>0</v>
      </c>
      <c r="X48" s="55">
        <f>'Efficient Products Deemed Table'!J172</f>
        <v>10</v>
      </c>
      <c r="Y48" s="55"/>
      <c r="Z48" s="55">
        <f t="shared" si="2"/>
        <v>10</v>
      </c>
      <c r="AA48" s="2581" t="e">
        <f>'Efficient Products Deemed Table'!BB172</f>
        <v>#DIV/0!</v>
      </c>
      <c r="AB48" s="2091">
        <f>'Efficient Products Deemed Table'!K172</f>
        <v>0</v>
      </c>
      <c r="AC48" s="2583">
        <f t="shared" si="3"/>
        <v>0</v>
      </c>
      <c r="AD48" s="2583"/>
      <c r="AE48" s="1380">
        <f>'Efficient Products Deemed Table'!BD172</f>
        <v>0</v>
      </c>
      <c r="AF48" s="571"/>
      <c r="AG48" s="571"/>
      <c r="AH48" s="571"/>
      <c r="AI48" s="3346" t="str">
        <f>'Efficient Products Deemed Table'!L172</f>
        <v>per measure</v>
      </c>
      <c r="AJ48" s="1974"/>
      <c r="AM48" s="1596">
        <f t="shared" si="13"/>
        <v>2.3544589999999999E-4</v>
      </c>
      <c r="AN48">
        <f t="shared" ref="AN48:AN79" si="16">AM48*I48</f>
        <v>0</v>
      </c>
      <c r="AO48" s="1595">
        <f t="shared" si="14"/>
        <v>0</v>
      </c>
      <c r="AS48" s="141" t="s">
        <v>2561</v>
      </c>
      <c r="AT48" s="1066">
        <v>1.3573829999999999E-4</v>
      </c>
    </row>
    <row r="49" spans="1:46" x14ac:dyDescent="0.35">
      <c r="A49" s="103" t="str">
        <f t="shared" si="0"/>
        <v>250550</v>
      </c>
      <c r="B49" s="3346" t="str">
        <f>'Efficient Products Deemed Table'!C173</f>
        <v>250550_2021_12_</v>
      </c>
      <c r="C49" s="3343" t="str">
        <f>'Efficient Products Deemed Table'!G173</f>
        <v>Pool Spa RES</v>
      </c>
      <c r="D49" s="3343"/>
      <c r="E49" s="3343"/>
      <c r="F49" s="3343"/>
      <c r="G49" s="3343" t="str">
        <f>'Efficient Products Deemed Table'!E173</f>
        <v>ENERGY STAR VFDs on Residential Swimming Pool Pumps - ROF</v>
      </c>
      <c r="H49" s="3343" t="str">
        <f>'Efficient Products Deemed Table'!D173</f>
        <v>Efficient Products</v>
      </c>
      <c r="I49" s="1966">
        <f>'Efficient Products Deemed Table'!F173</f>
        <v>315.20999999999998</v>
      </c>
      <c r="J49" s="1966">
        <v>0</v>
      </c>
      <c r="K49" s="560">
        <v>0</v>
      </c>
      <c r="L49" s="560">
        <v>0</v>
      </c>
      <c r="M49" s="560">
        <v>0</v>
      </c>
      <c r="N49" s="560">
        <v>0</v>
      </c>
      <c r="O49" s="1967">
        <f>'Efficient Products Deemed Table'!I173</f>
        <v>7.4215000000000003E-2</v>
      </c>
      <c r="P49" s="1967">
        <v>0</v>
      </c>
      <c r="Q49" s="1968">
        <v>0</v>
      </c>
      <c r="R49" s="1968">
        <v>0</v>
      </c>
      <c r="S49" s="1968"/>
      <c r="T49" s="1968"/>
      <c r="U49" s="1969">
        <v>0</v>
      </c>
      <c r="V49" s="1969">
        <f t="shared" si="15"/>
        <v>7.4215000000000003E-2</v>
      </c>
      <c r="W49" s="1969">
        <v>0</v>
      </c>
      <c r="X49" s="55">
        <f>'Efficient Products Deemed Table'!J173</f>
        <v>10</v>
      </c>
      <c r="Y49" s="55"/>
      <c r="Z49" s="55">
        <f t="shared" si="2"/>
        <v>10</v>
      </c>
      <c r="AA49" s="2581">
        <f>'Efficient Products Deemed Table'!BB173</f>
        <v>0.44818179646507411</v>
      </c>
      <c r="AB49" s="2091">
        <f>'Efficient Products Deemed Table'!K173</f>
        <v>314</v>
      </c>
      <c r="AC49" s="2583">
        <f t="shared" si="3"/>
        <v>132.82594062296673</v>
      </c>
      <c r="AD49" s="2583"/>
      <c r="AE49" s="1380">
        <f>'Efficient Products Deemed Table'!BD173</f>
        <v>132.82594062296673</v>
      </c>
      <c r="AF49" s="571"/>
      <c r="AG49" s="571"/>
      <c r="AH49" s="571"/>
      <c r="AI49" s="3346" t="str">
        <f>'Efficient Products Deemed Table'!L173</f>
        <v>per measure</v>
      </c>
      <c r="AJ49" s="1974"/>
      <c r="AM49" s="1596">
        <f t="shared" si="13"/>
        <v>2.3544589999999999E-4</v>
      </c>
      <c r="AN49">
        <f t="shared" si="16"/>
        <v>7.4214902138999991E-2</v>
      </c>
      <c r="AO49" s="1595">
        <f t="shared" si="14"/>
        <v>-9.786100001185627E-8</v>
      </c>
      <c r="AS49" s="141" t="s">
        <v>2637</v>
      </c>
      <c r="AT49" s="1066">
        <v>1.811545E-4</v>
      </c>
    </row>
    <row r="50" spans="1:46" s="84" customFormat="1" x14ac:dyDescent="0.35">
      <c r="A50" s="103" t="str">
        <f t="shared" si="0"/>
        <v>250551</v>
      </c>
      <c r="B50" s="3346" t="str">
        <f>'Efficient Products Deemed Table'!C174</f>
        <v>250551_2021_12_</v>
      </c>
      <c r="C50" s="3343" t="str">
        <f>'Efficient Products Deemed Table'!G174</f>
        <v>Pool Spa RES</v>
      </c>
      <c r="D50" s="3343"/>
      <c r="E50" s="3343"/>
      <c r="F50" s="3343"/>
      <c r="G50" s="3343" t="str">
        <f>'Efficient Products Deemed Table'!E174</f>
        <v>ENERGY STAR VFDs on Residential Swimming Pool Pumps - ER</v>
      </c>
      <c r="H50" s="3343" t="str">
        <f>'Efficient Products Deemed Table'!D174</f>
        <v>Efficient Products</v>
      </c>
      <c r="I50" s="1966">
        <f>'Efficient Products Deemed Table'!F174</f>
        <v>1478.34</v>
      </c>
      <c r="J50" s="1966">
        <v>0</v>
      </c>
      <c r="K50" s="560">
        <v>0</v>
      </c>
      <c r="L50" s="560">
        <v>0</v>
      </c>
      <c r="M50" s="560">
        <v>0</v>
      </c>
      <c r="N50" s="560">
        <v>0</v>
      </c>
      <c r="O50" s="1967">
        <f>'Efficient Products Deemed Table'!I174</f>
        <v>0.34806900000000002</v>
      </c>
      <c r="P50" s="1967">
        <v>0</v>
      </c>
      <c r="Q50" s="1968">
        <v>0</v>
      </c>
      <c r="R50" s="1968">
        <v>0</v>
      </c>
      <c r="S50" s="1968"/>
      <c r="T50" s="1968"/>
      <c r="U50" s="1969">
        <v>0</v>
      </c>
      <c r="V50" s="1969">
        <f t="shared" si="15"/>
        <v>0.34806900000000002</v>
      </c>
      <c r="W50" s="1969">
        <v>0</v>
      </c>
      <c r="X50" s="55">
        <f>'Efficient Products Deemed Table'!J174</f>
        <v>10</v>
      </c>
      <c r="Y50" s="55"/>
      <c r="Z50" s="55">
        <f t="shared" si="2"/>
        <v>10</v>
      </c>
      <c r="AA50" s="2581">
        <f>'Efficient Products Deemed Table'!BB174</f>
        <v>1.2022252847635204</v>
      </c>
      <c r="AB50" s="2091">
        <f>'Efficient Products Deemed Table'!K174</f>
        <v>549</v>
      </c>
      <c r="AC50" s="2583">
        <f t="shared" si="3"/>
        <v>622.95581060422148</v>
      </c>
      <c r="AD50" s="2583"/>
      <c r="AE50" s="1380">
        <f>'Efficient Products Deemed Table'!BD174</f>
        <v>622.95581060422148</v>
      </c>
      <c r="AF50" s="571"/>
      <c r="AG50" s="571"/>
      <c r="AH50" s="571"/>
      <c r="AI50" s="3346" t="str">
        <f>'Efficient Products Deemed Table'!L174</f>
        <v>per measure</v>
      </c>
      <c r="AJ50" s="1974"/>
      <c r="AM50" s="1961">
        <f t="shared" si="13"/>
        <v>2.3544589999999999E-4</v>
      </c>
      <c r="AN50" s="84">
        <f t="shared" si="16"/>
        <v>0.34806909180599999</v>
      </c>
      <c r="AO50" s="1965">
        <f t="shared" si="14"/>
        <v>9.1805999968830321E-8</v>
      </c>
      <c r="AS50" s="1589" t="s">
        <v>2637</v>
      </c>
      <c r="AT50" s="2608">
        <v>1.811545E-4</v>
      </c>
    </row>
    <row r="51" spans="1:46" x14ac:dyDescent="0.35">
      <c r="A51" s="3360" t="str">
        <f t="shared" si="0"/>
        <v>250600</v>
      </c>
      <c r="B51" s="3349" t="str">
        <f>'Efficient Products Deemed Table'!C220</f>
        <v>250600_2019_12_</v>
      </c>
      <c r="C51" s="3350" t="str">
        <f>'Efficient Products Deemed Table'!G220</f>
        <v>Miscellaneous RES</v>
      </c>
      <c r="D51" s="3350"/>
      <c r="E51" s="3350"/>
      <c r="F51" s="3350"/>
      <c r="G51" s="3350" t="str">
        <f>'Efficient Products Deemed Table'!E220</f>
        <v>Advanced Tier 2 Power Strips  -  A</v>
      </c>
      <c r="H51" s="3350" t="str">
        <f>'Efficient Products Deemed Table'!D220</f>
        <v>Efficient Products</v>
      </c>
      <c r="I51" s="3351">
        <f>'Efficient Products Deemed Table'!F220</f>
        <v>237.6</v>
      </c>
      <c r="J51" s="3351">
        <v>0</v>
      </c>
      <c r="K51" s="3363">
        <v>0</v>
      </c>
      <c r="L51" s="3363">
        <v>0</v>
      </c>
      <c r="M51" s="3363">
        <v>0</v>
      </c>
      <c r="N51" s="3363">
        <v>0</v>
      </c>
      <c r="O51" s="3352">
        <f>'Efficient Products Deemed Table'!I220</f>
        <v>2.7282000000000001E-2</v>
      </c>
      <c r="P51" s="3352">
        <v>0</v>
      </c>
      <c r="Q51" s="3364">
        <v>0</v>
      </c>
      <c r="R51" s="3364">
        <v>0</v>
      </c>
      <c r="S51" s="3364"/>
      <c r="T51" s="3364"/>
      <c r="U51" s="3353">
        <v>0</v>
      </c>
      <c r="V51" s="3353">
        <f t="shared" si="15"/>
        <v>2.7282000000000001E-2</v>
      </c>
      <c r="W51" s="3353">
        <v>0</v>
      </c>
      <c r="X51" s="3354">
        <f>'Efficient Products Deemed Table'!J220</f>
        <v>10</v>
      </c>
      <c r="Y51" s="3354"/>
      <c r="Z51" s="3354">
        <f t="shared" si="2"/>
        <v>10</v>
      </c>
      <c r="AA51" s="3355">
        <f>'Efficient Products Deemed Table'!BB220</f>
        <v>2.9011487913345904</v>
      </c>
      <c r="AB51" s="3356">
        <f>'Efficient Products Deemed Table'!K220</f>
        <v>30</v>
      </c>
      <c r="AC51" s="3357">
        <f t="shared" si="3"/>
        <v>82.146733119431531</v>
      </c>
      <c r="AD51" s="3357"/>
      <c r="AE51" s="3358">
        <f>'Efficient Products Deemed Table'!BD220</f>
        <v>82.146733119431531</v>
      </c>
      <c r="AF51" s="3359"/>
      <c r="AG51" s="3359"/>
      <c r="AH51" s="3359"/>
      <c r="AI51" s="3349" t="str">
        <f>'Efficient Products Deemed Table'!L220</f>
        <v>per measure</v>
      </c>
      <c r="AJ51" s="1974"/>
      <c r="AM51" s="1596">
        <f t="shared" si="13"/>
        <v>1.148238E-4</v>
      </c>
      <c r="AN51">
        <f t="shared" si="16"/>
        <v>2.728213488E-2</v>
      </c>
      <c r="AO51" s="1595">
        <f t="shared" si="14"/>
        <v>1.348799999988104E-7</v>
      </c>
    </row>
    <row r="52" spans="1:46" x14ac:dyDescent="0.35">
      <c r="A52" s="3360" t="str">
        <f t="shared" si="0"/>
        <v>250650</v>
      </c>
      <c r="B52" s="3349" t="str">
        <f>'Efficient Products Deemed Table'!C221</f>
        <v>250650_2019_12_</v>
      </c>
      <c r="C52" s="3350" t="str">
        <f>'Efficient Products Deemed Table'!G221</f>
        <v>Miscellaneous RES</v>
      </c>
      <c r="D52" s="3350"/>
      <c r="E52" s="3350"/>
      <c r="F52" s="3350"/>
      <c r="G52" s="3350" t="str">
        <f>'Efficient Products Deemed Table'!E221</f>
        <v>Advanced Tier 2 Power Strips -  B</v>
      </c>
      <c r="H52" s="3350" t="str">
        <f>'Efficient Products Deemed Table'!D221</f>
        <v>Efficient Products</v>
      </c>
      <c r="I52" s="3351">
        <f>'Efficient Products Deemed Table'!F221</f>
        <v>216</v>
      </c>
      <c r="J52" s="3351">
        <v>0</v>
      </c>
      <c r="K52" s="3363">
        <v>0</v>
      </c>
      <c r="L52" s="3363">
        <v>0</v>
      </c>
      <c r="M52" s="3363">
        <v>0</v>
      </c>
      <c r="N52" s="3363">
        <v>0</v>
      </c>
      <c r="O52" s="3352">
        <f>'Efficient Products Deemed Table'!I221</f>
        <v>2.4802000000000001E-2</v>
      </c>
      <c r="P52" s="3352">
        <v>0</v>
      </c>
      <c r="Q52" s="3364">
        <v>0</v>
      </c>
      <c r="R52" s="3364">
        <v>0</v>
      </c>
      <c r="S52" s="3364"/>
      <c r="T52" s="3364"/>
      <c r="U52" s="3353">
        <v>0</v>
      </c>
      <c r="V52" s="3353">
        <f t="shared" si="15"/>
        <v>2.4802000000000001E-2</v>
      </c>
      <c r="W52" s="3353">
        <v>0</v>
      </c>
      <c r="X52" s="3354">
        <f>'Efficient Products Deemed Table'!J221</f>
        <v>10</v>
      </c>
      <c r="Y52" s="3354"/>
      <c r="Z52" s="3354">
        <f t="shared" si="2"/>
        <v>10</v>
      </c>
      <c r="AA52" s="3355">
        <f>'Efficient Products Deemed Table'!BB221</f>
        <v>2.637407992122355</v>
      </c>
      <c r="AB52" s="3356">
        <f>'Efficient Products Deemed Table'!K221</f>
        <v>30</v>
      </c>
      <c r="AC52" s="3357">
        <f t="shared" si="3"/>
        <v>74.678848290392295</v>
      </c>
      <c r="AD52" s="3357"/>
      <c r="AE52" s="3358">
        <f>'Efficient Products Deemed Table'!BD221</f>
        <v>74.678848290392295</v>
      </c>
      <c r="AF52" s="3359"/>
      <c r="AG52" s="3359"/>
      <c r="AH52" s="3359"/>
      <c r="AI52" s="3349" t="str">
        <f>'Efficient Products Deemed Table'!L221</f>
        <v>per measure</v>
      </c>
      <c r="AJ52" s="1974"/>
      <c r="AM52" s="1596">
        <f t="shared" si="13"/>
        <v>1.148238E-4</v>
      </c>
      <c r="AN52">
        <f t="shared" si="16"/>
        <v>2.4801940799999998E-2</v>
      </c>
      <c r="AO52" s="1595">
        <f t="shared" si="14"/>
        <v>-5.9200000002840314E-8</v>
      </c>
    </row>
    <row r="53" spans="1:46" x14ac:dyDescent="0.35">
      <c r="A53" s="3360" t="str">
        <f t="shared" si="0"/>
        <v>250700</v>
      </c>
      <c r="B53" s="3349" t="str">
        <f>'Efficient Products Deemed Table'!C222</f>
        <v>250700_2019_12_</v>
      </c>
      <c r="C53" s="3350" t="str">
        <f>'Efficient Products Deemed Table'!G222</f>
        <v>Miscellaneous RES</v>
      </c>
      <c r="D53" s="3350"/>
      <c r="E53" s="3350"/>
      <c r="F53" s="3350"/>
      <c r="G53" s="3350" t="str">
        <f>'Efficient Products Deemed Table'!E222</f>
        <v>Advanced Tier 2 Power Strips -  C</v>
      </c>
      <c r="H53" s="3350" t="str">
        <f>'Efficient Products Deemed Table'!D222</f>
        <v>Efficient Products</v>
      </c>
      <c r="I53" s="3351">
        <f>'Efficient Products Deemed Table'!F222</f>
        <v>194.4</v>
      </c>
      <c r="J53" s="3351">
        <v>0</v>
      </c>
      <c r="K53" s="3363">
        <v>0</v>
      </c>
      <c r="L53" s="3363">
        <v>0</v>
      </c>
      <c r="M53" s="3363">
        <v>0</v>
      </c>
      <c r="N53" s="3363">
        <v>0</v>
      </c>
      <c r="O53" s="3352">
        <f>'Efficient Products Deemed Table'!I222</f>
        <v>2.2322000000000002E-2</v>
      </c>
      <c r="P53" s="3352">
        <v>0</v>
      </c>
      <c r="Q53" s="3364">
        <v>0</v>
      </c>
      <c r="R53" s="3364">
        <v>0</v>
      </c>
      <c r="S53" s="3364"/>
      <c r="T53" s="3364"/>
      <c r="U53" s="3353">
        <v>0</v>
      </c>
      <c r="V53" s="3353">
        <f t="shared" si="15"/>
        <v>2.2322000000000002E-2</v>
      </c>
      <c r="W53" s="3353">
        <v>0</v>
      </c>
      <c r="X53" s="3354">
        <f>'Efficient Products Deemed Table'!J222</f>
        <v>10</v>
      </c>
      <c r="Y53" s="3354"/>
      <c r="Z53" s="3354">
        <f t="shared" si="2"/>
        <v>10</v>
      </c>
      <c r="AA53" s="3355">
        <f>'Efficient Products Deemed Table'!BB222</f>
        <v>2.3736671929101196</v>
      </c>
      <c r="AB53" s="3356">
        <f>'Efficient Products Deemed Table'!K222</f>
        <v>30</v>
      </c>
      <c r="AC53" s="3357">
        <f t="shared" si="3"/>
        <v>67.210963461353074</v>
      </c>
      <c r="AD53" s="3357"/>
      <c r="AE53" s="3358">
        <f>'Efficient Products Deemed Table'!BD222</f>
        <v>67.210963461353074</v>
      </c>
      <c r="AF53" s="3359"/>
      <c r="AG53" s="3359"/>
      <c r="AH53" s="3359"/>
      <c r="AI53" s="3349" t="str">
        <f>'Efficient Products Deemed Table'!L222</f>
        <v>per measure</v>
      </c>
      <c r="AJ53" s="1974"/>
      <c r="AM53" s="1596">
        <f t="shared" si="13"/>
        <v>1.148238E-4</v>
      </c>
      <c r="AN53">
        <f t="shared" si="16"/>
        <v>2.2321746720000001E-2</v>
      </c>
      <c r="AO53" s="1595">
        <f t="shared" si="14"/>
        <v>-2.5328000000102158E-7</v>
      </c>
    </row>
    <row r="54" spans="1:46" x14ac:dyDescent="0.35">
      <c r="A54" s="3360" t="str">
        <f t="shared" si="0"/>
        <v>250750</v>
      </c>
      <c r="B54" s="3349" t="str">
        <f>'Efficient Products Deemed Table'!C223</f>
        <v>250750_2019_12_</v>
      </c>
      <c r="C54" s="3350" t="str">
        <f>'Efficient Products Deemed Table'!G223</f>
        <v>Miscellaneous RES</v>
      </c>
      <c r="D54" s="3350"/>
      <c r="E54" s="3350"/>
      <c r="F54" s="3350"/>
      <c r="G54" s="3350" t="str">
        <f>'Efficient Products Deemed Table'!E223</f>
        <v>Advanced Tier 2 Power Strips -  D</v>
      </c>
      <c r="H54" s="3350" t="str">
        <f>'Efficient Products Deemed Table'!D223</f>
        <v>Efficient Products</v>
      </c>
      <c r="I54" s="3351">
        <f>'Efficient Products Deemed Table'!F223</f>
        <v>172.8</v>
      </c>
      <c r="J54" s="3351">
        <v>0</v>
      </c>
      <c r="K54" s="3363">
        <v>0</v>
      </c>
      <c r="L54" s="3363">
        <v>0</v>
      </c>
      <c r="M54" s="3363">
        <v>0</v>
      </c>
      <c r="N54" s="3363">
        <v>0</v>
      </c>
      <c r="O54" s="3352">
        <f>'Efficient Products Deemed Table'!I223</f>
        <v>1.9841999999999999E-2</v>
      </c>
      <c r="P54" s="3352">
        <v>0</v>
      </c>
      <c r="Q54" s="3364">
        <v>0</v>
      </c>
      <c r="R54" s="3364">
        <v>0</v>
      </c>
      <c r="S54" s="3364"/>
      <c r="T54" s="3364"/>
      <c r="U54" s="3353">
        <v>0</v>
      </c>
      <c r="V54" s="3353">
        <f t="shared" si="15"/>
        <v>1.9841999999999999E-2</v>
      </c>
      <c r="W54" s="3353">
        <v>0</v>
      </c>
      <c r="X54" s="3354">
        <f>'Efficient Products Deemed Table'!J223</f>
        <v>10</v>
      </c>
      <c r="Y54" s="3354"/>
      <c r="Z54" s="3354">
        <f t="shared" si="2"/>
        <v>10</v>
      </c>
      <c r="AA54" s="3355">
        <f>'Efficient Products Deemed Table'!BB223</f>
        <v>2.1099263936978838</v>
      </c>
      <c r="AB54" s="3356">
        <f>'Efficient Products Deemed Table'!K223</f>
        <v>30</v>
      </c>
      <c r="AC54" s="3357">
        <f t="shared" si="3"/>
        <v>59.743078632313839</v>
      </c>
      <c r="AD54" s="3357"/>
      <c r="AE54" s="3358">
        <f>'Efficient Products Deemed Table'!BD223</f>
        <v>59.743078632313839</v>
      </c>
      <c r="AF54" s="3359"/>
      <c r="AG54" s="3359"/>
      <c r="AH54" s="3359"/>
      <c r="AI54" s="3349" t="str">
        <f>'Efficient Products Deemed Table'!L223</f>
        <v>per measure</v>
      </c>
      <c r="AJ54" s="1974"/>
      <c r="AM54" s="1596">
        <f t="shared" si="13"/>
        <v>1.148238E-4</v>
      </c>
      <c r="AN54">
        <f t="shared" si="16"/>
        <v>1.9841552639999999E-2</v>
      </c>
      <c r="AO54" s="1595">
        <f t="shared" si="14"/>
        <v>-4.4735999999920284E-7</v>
      </c>
    </row>
    <row r="55" spans="1:46" x14ac:dyDescent="0.35">
      <c r="A55" s="3360" t="str">
        <f t="shared" si="0"/>
        <v>250800</v>
      </c>
      <c r="B55" s="3349" t="str">
        <f>'Efficient Products Deemed Table'!C224</f>
        <v>250800_2019_12_</v>
      </c>
      <c r="C55" s="3350" t="str">
        <f>'Efficient Products Deemed Table'!G224</f>
        <v>Miscellaneous RES</v>
      </c>
      <c r="D55" s="3350"/>
      <c r="E55" s="3350"/>
      <c r="F55" s="3350"/>
      <c r="G55" s="3350" t="str">
        <f>'Efficient Products Deemed Table'!E224</f>
        <v>Advanced Tier 2 Power Strips -  E</v>
      </c>
      <c r="H55" s="3350" t="str">
        <f>'Efficient Products Deemed Table'!D224</f>
        <v>Efficient Products</v>
      </c>
      <c r="I55" s="3351">
        <f>'Efficient Products Deemed Table'!F224</f>
        <v>151.19999999999999</v>
      </c>
      <c r="J55" s="3351">
        <v>0</v>
      </c>
      <c r="K55" s="3363">
        <v>0</v>
      </c>
      <c r="L55" s="3363">
        <v>0</v>
      </c>
      <c r="M55" s="3363">
        <v>0</v>
      </c>
      <c r="N55" s="3363">
        <v>0</v>
      </c>
      <c r="O55" s="3352">
        <f>'Efficient Products Deemed Table'!I224</f>
        <v>1.7361000000000001E-2</v>
      </c>
      <c r="P55" s="3352">
        <v>0</v>
      </c>
      <c r="Q55" s="3364">
        <v>0</v>
      </c>
      <c r="R55" s="3364">
        <v>0</v>
      </c>
      <c r="S55" s="3364"/>
      <c r="T55" s="3364"/>
      <c r="U55" s="3353">
        <v>0</v>
      </c>
      <c r="V55" s="3353">
        <f t="shared" si="15"/>
        <v>1.7361000000000001E-2</v>
      </c>
      <c r="W55" s="3353">
        <v>0</v>
      </c>
      <c r="X55" s="3354">
        <f>'Efficient Products Deemed Table'!J224</f>
        <v>10</v>
      </c>
      <c r="Y55" s="3354"/>
      <c r="Z55" s="3354">
        <f t="shared" si="2"/>
        <v>10</v>
      </c>
      <c r="AA55" s="3355">
        <f>'Efficient Products Deemed Table'!BB224</f>
        <v>1.8461855944856482</v>
      </c>
      <c r="AB55" s="3356">
        <f>'Efficient Products Deemed Table'!K224</f>
        <v>30</v>
      </c>
      <c r="AC55" s="3357">
        <f t="shared" si="3"/>
        <v>52.275193803274604</v>
      </c>
      <c r="AD55" s="3357"/>
      <c r="AE55" s="3358">
        <f>'Efficient Products Deemed Table'!BD224</f>
        <v>52.275193803274604</v>
      </c>
      <c r="AF55" s="3359"/>
      <c r="AG55" s="3359"/>
      <c r="AH55" s="3359"/>
      <c r="AI55" s="3349" t="str">
        <f>'Efficient Products Deemed Table'!L224</f>
        <v>per measure</v>
      </c>
      <c r="AJ55" s="1974"/>
      <c r="AM55" s="1596">
        <f t="shared" si="13"/>
        <v>1.148238E-4</v>
      </c>
      <c r="AN55">
        <f t="shared" si="16"/>
        <v>1.7361358559999998E-2</v>
      </c>
      <c r="AO55" s="1595">
        <f t="shared" si="14"/>
        <v>3.5855999999667709E-7</v>
      </c>
    </row>
    <row r="56" spans="1:46" x14ac:dyDescent="0.35">
      <c r="A56" s="3360" t="str">
        <f t="shared" si="0"/>
        <v>250850</v>
      </c>
      <c r="B56" s="3349" t="str">
        <f>'Efficient Products Deemed Table'!C225</f>
        <v>250850_2019_12_</v>
      </c>
      <c r="C56" s="3350" t="str">
        <f>'Efficient Products Deemed Table'!G225</f>
        <v>Miscellaneous RES</v>
      </c>
      <c r="D56" s="3350"/>
      <c r="E56" s="3350"/>
      <c r="F56" s="3350"/>
      <c r="G56" s="3350" t="str">
        <f>'Efficient Products Deemed Table'!E225</f>
        <v>Advanced Tier 2 Power Strips -  F</v>
      </c>
      <c r="H56" s="3350" t="str">
        <f>'Efficient Products Deemed Table'!D225</f>
        <v>Efficient Products</v>
      </c>
      <c r="I56" s="3351">
        <f>'Efficient Products Deemed Table'!F225</f>
        <v>129.6</v>
      </c>
      <c r="J56" s="3351">
        <v>0</v>
      </c>
      <c r="K56" s="3363">
        <v>0</v>
      </c>
      <c r="L56" s="3363">
        <v>0</v>
      </c>
      <c r="M56" s="3363">
        <v>0</v>
      </c>
      <c r="N56" s="3363">
        <v>0</v>
      </c>
      <c r="O56" s="3352">
        <f>'Efficient Products Deemed Table'!I225</f>
        <v>1.4881E-2</v>
      </c>
      <c r="P56" s="3352">
        <v>0</v>
      </c>
      <c r="Q56" s="3364">
        <v>0</v>
      </c>
      <c r="R56" s="3364">
        <v>0</v>
      </c>
      <c r="S56" s="3364"/>
      <c r="T56" s="3364"/>
      <c r="U56" s="3353">
        <v>0</v>
      </c>
      <c r="V56" s="3353">
        <f t="shared" si="15"/>
        <v>1.4881E-2</v>
      </c>
      <c r="W56" s="3353">
        <v>0</v>
      </c>
      <c r="X56" s="3354">
        <f>'Efficient Products Deemed Table'!J225</f>
        <v>10</v>
      </c>
      <c r="Y56" s="3354"/>
      <c r="Z56" s="3354">
        <f t="shared" si="2"/>
        <v>10</v>
      </c>
      <c r="AA56" s="3355">
        <f>'Efficient Products Deemed Table'!BB225</f>
        <v>1.5824447952734129</v>
      </c>
      <c r="AB56" s="3356">
        <f>'Efficient Products Deemed Table'!K225</f>
        <v>30</v>
      </c>
      <c r="AC56" s="3357">
        <f t="shared" si="3"/>
        <v>44.807308974235376</v>
      </c>
      <c r="AD56" s="3357"/>
      <c r="AE56" s="3358">
        <f>'Efficient Products Deemed Table'!BD225</f>
        <v>44.807308974235376</v>
      </c>
      <c r="AF56" s="3359"/>
      <c r="AG56" s="3359"/>
      <c r="AH56" s="3359"/>
      <c r="AI56" s="3349" t="str">
        <f>'Efficient Products Deemed Table'!L225</f>
        <v>per measure</v>
      </c>
      <c r="AJ56" s="1974"/>
      <c r="AM56" s="1596">
        <f t="shared" si="13"/>
        <v>1.148238E-4</v>
      </c>
      <c r="AN56">
        <f t="shared" si="16"/>
        <v>1.4881164479999999E-2</v>
      </c>
      <c r="AO56" s="1595">
        <f t="shared" si="14"/>
        <v>1.6447999999849583E-7</v>
      </c>
    </row>
    <row r="57" spans="1:46" x14ac:dyDescent="0.35">
      <c r="A57" s="3360" t="str">
        <f t="shared" si="0"/>
        <v>250900</v>
      </c>
      <c r="B57" s="3349" t="str">
        <f>'Efficient Products Deemed Table'!C226</f>
        <v>250900_2019_12_</v>
      </c>
      <c r="C57" s="3350" t="str">
        <f>'Efficient Products Deemed Table'!G226</f>
        <v>Miscellaneous RES</v>
      </c>
      <c r="D57" s="3350"/>
      <c r="E57" s="3350"/>
      <c r="F57" s="3350"/>
      <c r="G57" s="3350" t="str">
        <f>'Efficient Products Deemed Table'!E226</f>
        <v>Advanced Tier 2 Power Strips -  G</v>
      </c>
      <c r="H57" s="3350" t="str">
        <f>'Efficient Products Deemed Table'!D226</f>
        <v>Efficient Products</v>
      </c>
      <c r="I57" s="3351">
        <f>'Efficient Products Deemed Table'!F226</f>
        <v>108</v>
      </c>
      <c r="J57" s="3351">
        <v>0</v>
      </c>
      <c r="K57" s="3363">
        <v>0</v>
      </c>
      <c r="L57" s="3363">
        <v>0</v>
      </c>
      <c r="M57" s="3363">
        <v>0</v>
      </c>
      <c r="N57" s="3363">
        <v>0</v>
      </c>
      <c r="O57" s="3352">
        <f>'Efficient Products Deemed Table'!I226</f>
        <v>1.2401000000000001E-2</v>
      </c>
      <c r="P57" s="3352">
        <v>0</v>
      </c>
      <c r="Q57" s="3364">
        <v>0</v>
      </c>
      <c r="R57" s="3364">
        <v>0</v>
      </c>
      <c r="S57" s="3364"/>
      <c r="T57" s="3364"/>
      <c r="U57" s="3353">
        <v>0</v>
      </c>
      <c r="V57" s="3353">
        <f t="shared" si="15"/>
        <v>1.2401000000000001E-2</v>
      </c>
      <c r="W57" s="3353">
        <v>0</v>
      </c>
      <c r="X57" s="3354">
        <f>'Efficient Products Deemed Table'!J226</f>
        <v>10</v>
      </c>
      <c r="Y57" s="3354"/>
      <c r="Z57" s="3354">
        <f t="shared" si="2"/>
        <v>10</v>
      </c>
      <c r="AA57" s="3355">
        <f>'Efficient Products Deemed Table'!BB226</f>
        <v>1.3187039960611775</v>
      </c>
      <c r="AB57" s="3356">
        <f>'Efficient Products Deemed Table'!K226</f>
        <v>30</v>
      </c>
      <c r="AC57" s="3357">
        <f t="shared" si="3"/>
        <v>37.339424145196148</v>
      </c>
      <c r="AD57" s="3357"/>
      <c r="AE57" s="3358">
        <f>'Efficient Products Deemed Table'!BD226</f>
        <v>37.339424145196148</v>
      </c>
      <c r="AF57" s="3359"/>
      <c r="AG57" s="3359"/>
      <c r="AH57" s="3359"/>
      <c r="AI57" s="3349" t="str">
        <f>'Efficient Products Deemed Table'!L226</f>
        <v>per measure</v>
      </c>
      <c r="AJ57" s="1974"/>
      <c r="AM57" s="1596">
        <f t="shared" si="13"/>
        <v>1.148238E-4</v>
      </c>
      <c r="AN57">
        <f t="shared" si="16"/>
        <v>1.2400970399999999E-2</v>
      </c>
      <c r="AO57" s="1595">
        <f t="shared" si="14"/>
        <v>-2.9600000001420157E-8</v>
      </c>
    </row>
    <row r="58" spans="1:46" x14ac:dyDescent="0.35">
      <c r="A58" s="3360" t="str">
        <f t="shared" si="0"/>
        <v>250950</v>
      </c>
      <c r="B58" s="3349" t="str">
        <f>'Efficient Products Deemed Table'!C227</f>
        <v>250950_2019_12_</v>
      </c>
      <c r="C58" s="3350" t="str">
        <f>'Efficient Products Deemed Table'!G227</f>
        <v>Miscellaneous RES</v>
      </c>
      <c r="D58" s="3350"/>
      <c r="E58" s="3350"/>
      <c r="F58" s="3350"/>
      <c r="G58" s="3350" t="str">
        <f>'Efficient Products Deemed Table'!E227</f>
        <v>Advanced Tier 2 Power Strips -  H</v>
      </c>
      <c r="H58" s="3350" t="str">
        <f>'Efficient Products Deemed Table'!D227</f>
        <v>Efficient Products</v>
      </c>
      <c r="I58" s="3351">
        <f>'Efficient Products Deemed Table'!F227</f>
        <v>86.4</v>
      </c>
      <c r="J58" s="3351">
        <v>0</v>
      </c>
      <c r="K58" s="3363">
        <v>0</v>
      </c>
      <c r="L58" s="3363">
        <v>0</v>
      </c>
      <c r="M58" s="3363">
        <v>0</v>
      </c>
      <c r="N58" s="3363">
        <v>0</v>
      </c>
      <c r="O58" s="3352">
        <f>'Efficient Products Deemed Table'!I227</f>
        <v>9.9209999999999993E-3</v>
      </c>
      <c r="P58" s="3352">
        <v>0</v>
      </c>
      <c r="Q58" s="3364">
        <v>0</v>
      </c>
      <c r="R58" s="3364">
        <v>0</v>
      </c>
      <c r="S58" s="3364"/>
      <c r="T58" s="3364"/>
      <c r="U58" s="3353">
        <v>0</v>
      </c>
      <c r="V58" s="3353">
        <f t="shared" si="15"/>
        <v>9.9209999999999993E-3</v>
      </c>
      <c r="W58" s="3353">
        <v>0</v>
      </c>
      <c r="X58" s="3354">
        <f>'Efficient Products Deemed Table'!J227</f>
        <v>10</v>
      </c>
      <c r="Y58" s="3354"/>
      <c r="Z58" s="3354">
        <f t="shared" si="2"/>
        <v>10</v>
      </c>
      <c r="AA58" s="3355">
        <f>'Efficient Products Deemed Table'!BB227</f>
        <v>1.0549631968489419</v>
      </c>
      <c r="AB58" s="3356">
        <f>'Efficient Products Deemed Table'!K227</f>
        <v>30</v>
      </c>
      <c r="AC58" s="3357">
        <f t="shared" si="3"/>
        <v>29.87153931615692</v>
      </c>
      <c r="AD58" s="3357"/>
      <c r="AE58" s="3358">
        <f>'Efficient Products Deemed Table'!BD227</f>
        <v>29.87153931615692</v>
      </c>
      <c r="AF58" s="3359"/>
      <c r="AG58" s="3359"/>
      <c r="AH58" s="3359"/>
      <c r="AI58" s="3349" t="str">
        <f>'Efficient Products Deemed Table'!L227</f>
        <v>per measure</v>
      </c>
      <c r="AJ58" s="1974"/>
      <c r="AM58" s="1596">
        <f t="shared" si="13"/>
        <v>1.148238E-4</v>
      </c>
      <c r="AN58">
        <f t="shared" si="16"/>
        <v>9.9207763199999997E-3</v>
      </c>
      <c r="AO58" s="1595">
        <f t="shared" si="14"/>
        <v>-2.2367999999960142E-7</v>
      </c>
    </row>
    <row r="59" spans="1:46" x14ac:dyDescent="0.35">
      <c r="A59" s="103" t="str">
        <f t="shared" si="0"/>
        <v>251000</v>
      </c>
      <c r="B59" s="3346" t="str">
        <f>'Efficient Products Deemed Table'!C228</f>
        <v>251000_2019_12_</v>
      </c>
      <c r="C59" s="3343" t="str">
        <f>'Efficient Products Deemed Table'!G228</f>
        <v>Miscellaneous RES</v>
      </c>
      <c r="D59" s="3343"/>
      <c r="E59" s="3343"/>
      <c r="F59" s="3343"/>
      <c r="G59" s="3343" t="str">
        <f>'Efficient Products Deemed Table'!E228</f>
        <v>Advanced Tier 2 Power Strips / TOS/NC / Average</v>
      </c>
      <c r="H59" s="3343" t="str">
        <f>'Efficient Products Deemed Table'!D228</f>
        <v>Efficient Products</v>
      </c>
      <c r="I59" s="1966">
        <f>'Efficient Products Deemed Table'!F228</f>
        <v>151.96</v>
      </c>
      <c r="J59" s="1966">
        <v>0</v>
      </c>
      <c r="K59" s="560">
        <v>0</v>
      </c>
      <c r="L59" s="560">
        <v>0</v>
      </c>
      <c r="M59" s="560">
        <v>0</v>
      </c>
      <c r="N59" s="560">
        <v>0</v>
      </c>
      <c r="O59" s="1967">
        <f>'Efficient Products Deemed Table'!I228</f>
        <v>1.7448999999999999E-2</v>
      </c>
      <c r="P59" s="1967">
        <v>0</v>
      </c>
      <c r="Q59" s="1968">
        <v>0</v>
      </c>
      <c r="R59" s="1968">
        <v>0</v>
      </c>
      <c r="S59" s="1968"/>
      <c r="T59" s="1968"/>
      <c r="U59" s="1969">
        <v>0</v>
      </c>
      <c r="V59" s="1969">
        <f t="shared" si="15"/>
        <v>1.7448999999999999E-2</v>
      </c>
      <c r="W59" s="1969">
        <v>0</v>
      </c>
      <c r="X59" s="55">
        <f>'Efficient Products Deemed Table'!J228</f>
        <v>10</v>
      </c>
      <c r="Y59" s="55"/>
      <c r="Z59" s="55">
        <f t="shared" si="2"/>
        <v>10</v>
      </c>
      <c r="AA59" s="2581">
        <f>'Efficient Products Deemed Table'!BB228</f>
        <v>1.8554653633468197</v>
      </c>
      <c r="AB59" s="2091">
        <f>'Efficient Products Deemed Table'!K228</f>
        <v>30</v>
      </c>
      <c r="AC59" s="2583">
        <f t="shared" si="3"/>
        <v>52.537952713925989</v>
      </c>
      <c r="AD59" s="2583"/>
      <c r="AE59" s="1380">
        <f>'Efficient Products Deemed Table'!BD228</f>
        <v>52.537952713925989</v>
      </c>
      <c r="AF59" s="571"/>
      <c r="AG59" s="571"/>
      <c r="AH59" s="571"/>
      <c r="AI59" s="3346" t="str">
        <f>'Efficient Products Deemed Table'!L228</f>
        <v>per measure</v>
      </c>
      <c r="AJ59" s="1974"/>
      <c r="AM59" s="1596">
        <f t="shared" si="13"/>
        <v>1.148238E-4</v>
      </c>
      <c r="AN59">
        <f t="shared" si="16"/>
        <v>1.7448624648E-2</v>
      </c>
      <c r="AO59" s="1595">
        <f t="shared" si="14"/>
        <v>-3.7535199999896851E-7</v>
      </c>
    </row>
    <row r="60" spans="1:46" s="84" customFormat="1" x14ac:dyDescent="0.35">
      <c r="A60" s="103" t="str">
        <f t="shared" si="0"/>
        <v>251001</v>
      </c>
      <c r="B60" s="3346" t="str">
        <f>'Efficient Products Deemed Table'!C229</f>
        <v>251001_2020_12_</v>
      </c>
      <c r="C60" s="3343" t="str">
        <f>'Efficient Products Deemed Table'!G229</f>
        <v>Miscellaneous RES</v>
      </c>
      <c r="D60" s="3343"/>
      <c r="E60" s="3343"/>
      <c r="F60" s="3343"/>
      <c r="G60" s="3343" t="str">
        <f>'Efficient Products Deemed Table'!E229</f>
        <v>Advanced Tier 2 Power Strips / DI / Average</v>
      </c>
      <c r="H60" s="3343" t="str">
        <f>'Efficient Products Deemed Table'!D229</f>
        <v>Efficient Products</v>
      </c>
      <c r="I60" s="1966">
        <f>'Efficient Products Deemed Table'!F229</f>
        <v>153.9</v>
      </c>
      <c r="J60" s="1966">
        <v>0</v>
      </c>
      <c r="K60" s="560">
        <v>0</v>
      </c>
      <c r="L60" s="560">
        <v>0</v>
      </c>
      <c r="M60" s="560">
        <v>0</v>
      </c>
      <c r="N60" s="560">
        <v>0</v>
      </c>
      <c r="O60" s="1967">
        <f>'Efficient Products Deemed Table'!I229</f>
        <v>1.7670999999999999E-2</v>
      </c>
      <c r="P60" s="1967">
        <v>0</v>
      </c>
      <c r="Q60" s="1968">
        <v>0</v>
      </c>
      <c r="R60" s="1968">
        <v>0</v>
      </c>
      <c r="S60" s="1968"/>
      <c r="T60" s="1968"/>
      <c r="U60" s="1969">
        <v>0</v>
      </c>
      <c r="V60" s="1969">
        <f t="shared" si="15"/>
        <v>1.7670999999999999E-2</v>
      </c>
      <c r="W60" s="1969">
        <v>0</v>
      </c>
      <c r="X60" s="55">
        <f>'Efficient Products Deemed Table'!J229</f>
        <v>10</v>
      </c>
      <c r="Y60" s="55"/>
      <c r="Z60" s="55">
        <f t="shared" si="2"/>
        <v>10</v>
      </c>
      <c r="AA60" s="2581">
        <f>'Efficient Products Deemed Table'!BB229</f>
        <v>0.93957659719358899</v>
      </c>
      <c r="AB60" s="2091">
        <f>'Efficient Products Deemed Table'!K229</f>
        <v>60</v>
      </c>
      <c r="AC60" s="2583">
        <f t="shared" si="3"/>
        <v>53.208679406904515</v>
      </c>
      <c r="AD60" s="2583"/>
      <c r="AE60" s="1380">
        <f>'Efficient Products Deemed Table'!BD229</f>
        <v>53.208679406904515</v>
      </c>
      <c r="AF60" s="571"/>
      <c r="AG60" s="571"/>
      <c r="AH60" s="571"/>
      <c r="AI60" s="3346" t="str">
        <f>'Efficient Products Deemed Table'!L229</f>
        <v>per measure</v>
      </c>
      <c r="AJ60" s="1974"/>
      <c r="AM60" s="1961">
        <f t="shared" si="13"/>
        <v>1.148238E-4</v>
      </c>
      <c r="AN60" s="84">
        <f t="shared" si="16"/>
        <v>1.7671382820000001E-2</v>
      </c>
      <c r="AO60" s="1965">
        <f t="shared" si="14"/>
        <v>3.828200000020876E-7</v>
      </c>
    </row>
    <row r="61" spans="1:46" x14ac:dyDescent="0.35">
      <c r="A61" s="103" t="str">
        <f t="shared" si="0"/>
        <v>251050</v>
      </c>
      <c r="B61" s="3346" t="str">
        <f>'Efficient Products Deemed Table'!C256</f>
        <v>251050_2019_12_</v>
      </c>
      <c r="C61" s="3343" t="str">
        <f>'Efficient Products Deemed Table'!G256</f>
        <v>HVAC RES</v>
      </c>
      <c r="D61" s="3343"/>
      <c r="E61" s="3343"/>
      <c r="F61" s="3343"/>
      <c r="G61" s="3343" t="str">
        <f>'Efficient Products Deemed Table'!E256</f>
        <v>ENERGY STAR Air Purifier/Cleaner</v>
      </c>
      <c r="H61" s="50" t="str">
        <f>'Efficient Products Deemed Table'!D256</f>
        <v>Efficient Products</v>
      </c>
      <c r="I61" s="1966">
        <f>'Efficient Products Deemed Table'!F256</f>
        <v>578.86</v>
      </c>
      <c r="J61" s="1966">
        <v>0</v>
      </c>
      <c r="K61" s="560">
        <v>0</v>
      </c>
      <c r="L61" s="560">
        <v>0</v>
      </c>
      <c r="M61" s="560">
        <v>0</v>
      </c>
      <c r="N61" s="560">
        <v>0</v>
      </c>
      <c r="O61" s="1967">
        <f>'Efficient Products Deemed Table'!I256</f>
        <v>0.26979500000000001</v>
      </c>
      <c r="P61" s="1967">
        <v>0</v>
      </c>
      <c r="Q61" s="1968">
        <v>0</v>
      </c>
      <c r="R61" s="1968">
        <v>0</v>
      </c>
      <c r="S61" s="1968"/>
      <c r="T61" s="1968"/>
      <c r="U61" s="1969">
        <f>O61</f>
        <v>0.26979500000000001</v>
      </c>
      <c r="V61" s="1969">
        <v>0</v>
      </c>
      <c r="W61" s="1969">
        <v>0</v>
      </c>
      <c r="X61" s="55">
        <f>'Efficient Products Deemed Table'!J256</f>
        <v>9</v>
      </c>
      <c r="Y61" s="55"/>
      <c r="Z61" s="55">
        <f t="shared" si="2"/>
        <v>9</v>
      </c>
      <c r="AA61" s="2581">
        <f>'Efficient Products Deemed Table'!BB256</f>
        <v>5.1865926858584146</v>
      </c>
      <c r="AB61" s="2091">
        <f>'Efficient Products Deemed Table'!K256</f>
        <v>70</v>
      </c>
      <c r="AC61" s="2583">
        <f t="shared" si="3"/>
        <v>342.67247570560545</v>
      </c>
      <c r="AD61" s="2583"/>
      <c r="AE61" s="1380">
        <f>'Efficient Products Deemed Table'!BD256</f>
        <v>342.67247570560545</v>
      </c>
      <c r="AF61" s="571"/>
      <c r="AG61" s="571"/>
      <c r="AH61" s="571"/>
      <c r="AI61" s="3346" t="str">
        <f>'Efficient Products Deemed Table'!L256</f>
        <v>per measure</v>
      </c>
      <c r="AJ61" s="1974"/>
      <c r="AM61" s="1596">
        <f t="shared" si="13"/>
        <v>4.6608050000000002E-4</v>
      </c>
      <c r="AN61">
        <f t="shared" si="16"/>
        <v>0.26979535823</v>
      </c>
      <c r="AO61" s="1595">
        <f t="shared" si="14"/>
        <v>3.5822999999712835E-7</v>
      </c>
    </row>
    <row r="62" spans="1:46" x14ac:dyDescent="0.35">
      <c r="A62" s="103" t="str">
        <f t="shared" si="0"/>
        <v>251100</v>
      </c>
      <c r="B62" s="3346" t="str">
        <f>'Efficient Products Deemed Table'!C280</f>
        <v>251100_2019_12_</v>
      </c>
      <c r="C62" s="3343" t="str">
        <f>'Efficient Products Deemed Table'!G280</f>
        <v>Cooling RES</v>
      </c>
      <c r="D62" s="3343"/>
      <c r="E62" s="3343"/>
      <c r="F62" s="3343"/>
      <c r="G62" s="3343" t="str">
        <f>'Efficient Products Deemed Table'!E280</f>
        <v>ENERGY STAR Dehumidifier</v>
      </c>
      <c r="H62" s="50" t="str">
        <f>'Efficient Products Deemed Table'!D280</f>
        <v>Efficient Products</v>
      </c>
      <c r="I62" s="1966">
        <f>'Efficient Products Deemed Table'!F280</f>
        <v>204</v>
      </c>
      <c r="J62" s="1966">
        <v>0</v>
      </c>
      <c r="K62" s="560">
        <f>I62</f>
        <v>204</v>
      </c>
      <c r="L62" s="560">
        <v>0</v>
      </c>
      <c r="M62" s="560">
        <v>0</v>
      </c>
      <c r="N62" s="560">
        <v>0</v>
      </c>
      <c r="O62" s="1967">
        <f>'Efficient Products Deemed Table'!I280</f>
        <v>0.193273</v>
      </c>
      <c r="P62" s="1967">
        <v>0</v>
      </c>
      <c r="Q62" s="1968">
        <f>O62</f>
        <v>0.193273</v>
      </c>
      <c r="R62" s="1968">
        <v>0</v>
      </c>
      <c r="S62" s="1968"/>
      <c r="T62" s="1968"/>
      <c r="U62" s="1969">
        <v>0</v>
      </c>
      <c r="V62" s="1969">
        <f>O62</f>
        <v>0.193273</v>
      </c>
      <c r="W62" s="1969">
        <v>0</v>
      </c>
      <c r="X62" s="55">
        <f>'Efficient Products Deemed Table'!J280</f>
        <v>12</v>
      </c>
      <c r="Y62" s="55"/>
      <c r="Z62" s="55">
        <f t="shared" si="2"/>
        <v>12</v>
      </c>
      <c r="AA62" s="2581">
        <f>'Efficient Products Deemed Table'!BB280</f>
        <v>54.312837836387843</v>
      </c>
      <c r="AB62" s="2091">
        <f>'Efficient Products Deemed Table'!K280</f>
        <v>5</v>
      </c>
      <c r="AC62" s="2583">
        <f t="shared" si="3"/>
        <v>256.31353391405304</v>
      </c>
      <c r="AD62" s="2583"/>
      <c r="AE62" s="1380">
        <f>'Efficient Products Deemed Table'!BD280</f>
        <v>256.31353391405304</v>
      </c>
      <c r="AF62" s="571"/>
      <c r="AG62" s="571"/>
      <c r="AH62" s="571"/>
      <c r="AI62" s="3346" t="str">
        <f>'Efficient Products Deemed Table'!L280</f>
        <v>per measure</v>
      </c>
      <c r="AJ62" s="1974"/>
      <c r="AM62" s="1596">
        <f t="shared" si="13"/>
        <v>9.4741810000000004E-4</v>
      </c>
      <c r="AN62">
        <f t="shared" si="16"/>
        <v>0.19327329240000002</v>
      </c>
      <c r="AO62" s="1595">
        <f t="shared" si="14"/>
        <v>2.9240000001817812E-7</v>
      </c>
    </row>
    <row r="63" spans="1:46" x14ac:dyDescent="0.35">
      <c r="A63" s="103" t="str">
        <f t="shared" si="0"/>
        <v>251150</v>
      </c>
      <c r="B63" s="3346" t="str">
        <f>'Efficient Products Deemed Table'!C307</f>
        <v>251150_2019_12_</v>
      </c>
      <c r="C63" s="3343" t="str">
        <f>'Efficient Products Deemed Table'!G307</f>
        <v>Cooling RES</v>
      </c>
      <c r="D63" s="3343"/>
      <c r="E63" s="3343"/>
      <c r="F63" s="3343"/>
      <c r="G63" s="3343" t="str">
        <f>'Efficient Products Deemed Table'!E307</f>
        <v>ENERGY STAR Room AC (kWh w ISR)</v>
      </c>
      <c r="H63" s="50" t="str">
        <f>'Efficient Products Deemed Table'!D307</f>
        <v>Efficient Products</v>
      </c>
      <c r="I63" s="1966">
        <f>'Efficient Products Deemed Table'!F307</f>
        <v>49.46</v>
      </c>
      <c r="J63" s="1966">
        <v>0</v>
      </c>
      <c r="K63" s="560">
        <f>I63</f>
        <v>49.46</v>
      </c>
      <c r="L63" s="560">
        <v>0</v>
      </c>
      <c r="M63" s="560">
        <v>0</v>
      </c>
      <c r="N63" s="560">
        <v>0</v>
      </c>
      <c r="O63" s="1967">
        <f>'Efficient Products Deemed Table'!I307</f>
        <v>4.6858999999999998E-2</v>
      </c>
      <c r="P63" s="1967">
        <v>0</v>
      </c>
      <c r="Q63" s="1968">
        <f>O63</f>
        <v>4.6858999999999998E-2</v>
      </c>
      <c r="R63" s="1968">
        <v>0</v>
      </c>
      <c r="S63" s="1968"/>
      <c r="T63" s="1968"/>
      <c r="U63" s="1969">
        <f>O63</f>
        <v>4.6858999999999998E-2</v>
      </c>
      <c r="V63" s="1969">
        <v>0</v>
      </c>
      <c r="W63" s="1969">
        <v>0</v>
      </c>
      <c r="X63" s="55">
        <f>'Efficient Products Deemed Table'!J307</f>
        <v>9</v>
      </c>
      <c r="Y63" s="55"/>
      <c r="Z63" s="55">
        <f t="shared" si="2"/>
        <v>9</v>
      </c>
      <c r="AA63" s="2581">
        <f>'Efficient Products Deemed Table'!BB307</f>
        <v>2.514576174743322</v>
      </c>
      <c r="AB63" s="2091">
        <f>'Efficient Products Deemed Table'!K307</f>
        <v>20</v>
      </c>
      <c r="AC63" s="2583">
        <f t="shared" si="3"/>
        <v>47.467223685574737</v>
      </c>
      <c r="AD63" s="2583"/>
      <c r="AE63" s="1380">
        <f>'Efficient Products Deemed Table'!BD307</f>
        <v>47.467223685574737</v>
      </c>
      <c r="AF63" s="571"/>
      <c r="AG63" s="571"/>
      <c r="AH63" s="571"/>
      <c r="AI63" s="3346" t="str">
        <f>'Efficient Products Deemed Table'!L307</f>
        <v>per measure</v>
      </c>
      <c r="AJ63" s="1974"/>
      <c r="AM63" s="1596">
        <f t="shared" si="13"/>
        <v>9.4741810000000004E-4</v>
      </c>
      <c r="AN63">
        <f t="shared" si="16"/>
        <v>4.6859299226000004E-2</v>
      </c>
      <c r="AO63" s="1595">
        <f t="shared" si="14"/>
        <v>2.9922600000564792E-7</v>
      </c>
    </row>
    <row r="64" spans="1:46" x14ac:dyDescent="0.35">
      <c r="A64" s="103" t="str">
        <f t="shared" si="0"/>
        <v>251200</v>
      </c>
      <c r="B64" s="3346" t="str">
        <f>'Efficient Products Deemed Table'!C308</f>
        <v>251200_2019_12_</v>
      </c>
      <c r="C64" s="3343" t="str">
        <f>'Efficient Products Deemed Table'!G308</f>
        <v>Cooling RES</v>
      </c>
      <c r="D64" s="3343"/>
      <c r="E64" s="3343"/>
      <c r="F64" s="3343"/>
      <c r="G64" s="3343" t="str">
        <f>'Efficient Products Deemed Table'!E308</f>
        <v>ENERGY STAR Room AC (kWh w/o ISR)</v>
      </c>
      <c r="H64" s="50" t="str">
        <f>'Efficient Products Deemed Table'!D308</f>
        <v>Efficient Products</v>
      </c>
      <c r="I64" s="1966">
        <f>'Efficient Products Deemed Table'!F308</f>
        <v>50.74</v>
      </c>
      <c r="J64" s="1966">
        <v>0</v>
      </c>
      <c r="K64" s="560">
        <f>I64</f>
        <v>50.74</v>
      </c>
      <c r="L64" s="560">
        <v>0</v>
      </c>
      <c r="M64" s="560">
        <v>0</v>
      </c>
      <c r="N64" s="560">
        <v>0</v>
      </c>
      <c r="O64" s="1967">
        <f>'Efficient Products Deemed Table'!I308</f>
        <v>4.8071999999999997E-2</v>
      </c>
      <c r="P64" s="1967">
        <v>0</v>
      </c>
      <c r="Q64" s="1968">
        <f>O64</f>
        <v>4.8071999999999997E-2</v>
      </c>
      <c r="R64" s="1968">
        <v>0</v>
      </c>
      <c r="S64" s="1968"/>
      <c r="T64" s="1968"/>
      <c r="U64" s="1969">
        <f>O64</f>
        <v>4.8071999999999997E-2</v>
      </c>
      <c r="V64" s="1969">
        <v>0</v>
      </c>
      <c r="W64" s="1969">
        <v>0</v>
      </c>
      <c r="X64" s="55">
        <f>'Efficient Products Deemed Table'!J308</f>
        <v>9</v>
      </c>
      <c r="Y64" s="55"/>
      <c r="Z64" s="55">
        <f t="shared" si="2"/>
        <v>9</v>
      </c>
      <c r="AA64" s="2581">
        <f>'Efficient Products Deemed Table'!BB308</f>
        <v>2.5796521452987498</v>
      </c>
      <c r="AB64" s="2091">
        <f>'Efficient Products Deemed Table'!K308</f>
        <v>20</v>
      </c>
      <c r="AC64" s="2583">
        <f t="shared" si="3"/>
        <v>48.69565163376592</v>
      </c>
      <c r="AD64" s="2583"/>
      <c r="AE64" s="1380">
        <f>'Efficient Products Deemed Table'!BD308</f>
        <v>48.69565163376592</v>
      </c>
      <c r="AF64" s="571"/>
      <c r="AG64" s="571"/>
      <c r="AH64" s="571"/>
      <c r="AI64" s="3346" t="str">
        <f>'Efficient Products Deemed Table'!L308</f>
        <v>per measure</v>
      </c>
      <c r="AJ64" s="1974"/>
      <c r="AM64" s="1596">
        <f t="shared" si="13"/>
        <v>9.4741810000000004E-4</v>
      </c>
      <c r="AN64">
        <f t="shared" si="16"/>
        <v>4.8071994394000006E-2</v>
      </c>
      <c r="AO64" s="1595">
        <f t="shared" si="14"/>
        <v>-5.6059999906099556E-9</v>
      </c>
    </row>
    <row r="65" spans="1:48" x14ac:dyDescent="0.35">
      <c r="A65" s="1618" t="str">
        <f t="shared" si="0"/>
        <v>251300</v>
      </c>
      <c r="B65" s="1590" t="str">
        <f>'Efficient Products Deemed Table'!C333</f>
        <v>251300_2022_12_</v>
      </c>
      <c r="C65" s="1589" t="str">
        <f>'Efficient Products Deemed Table'!G333</f>
        <v>Water heating RES</v>
      </c>
      <c r="D65" s="1589"/>
      <c r="E65" s="1589"/>
      <c r="F65" s="1589"/>
      <c r="G65" s="1589" t="str">
        <f>'Efficient Products Deemed Table'!E333</f>
        <v>Low Flow Handheld Showerhead SF</v>
      </c>
      <c r="H65" s="1599" t="str">
        <f>'Efficient Products Deemed Table'!D333</f>
        <v>Efficient Products</v>
      </c>
      <c r="I65" s="1597">
        <f>'Efficient Products Deemed Table'!F333</f>
        <v>86.9</v>
      </c>
      <c r="J65" s="1597">
        <v>0</v>
      </c>
      <c r="K65" s="1591">
        <v>0</v>
      </c>
      <c r="L65" s="1591">
        <v>0</v>
      </c>
      <c r="M65" s="1591">
        <v>0</v>
      </c>
      <c r="N65" s="1591">
        <v>0</v>
      </c>
      <c r="O65" s="1598">
        <f>'Efficient Products Deemed Table'!J333</f>
        <v>7.711E-3</v>
      </c>
      <c r="P65" s="1598">
        <v>0</v>
      </c>
      <c r="Q65" s="1600">
        <v>0</v>
      </c>
      <c r="R65" s="1600">
        <v>0</v>
      </c>
      <c r="S65" s="1600"/>
      <c r="T65" s="1600"/>
      <c r="U65" s="1569">
        <v>0</v>
      </c>
      <c r="V65" s="1569">
        <f t="shared" ref="V65:V71" si="17">O65</f>
        <v>7.711E-3</v>
      </c>
      <c r="W65" s="1569">
        <v>0</v>
      </c>
      <c r="X65" s="1583">
        <f>'Efficient Products Deemed Table'!K333</f>
        <v>10</v>
      </c>
      <c r="Y65" s="1583"/>
      <c r="Z65" s="1583">
        <f t="shared" si="2"/>
        <v>10</v>
      </c>
      <c r="AA65" s="1959">
        <f>'Efficient Products Deemed Table'!BB333</f>
        <v>2.0679544654347048</v>
      </c>
      <c r="AB65" s="1671">
        <f>'Efficient Products Deemed Table'!L333</f>
        <v>15.02</v>
      </c>
      <c r="AC65" s="1964">
        <f t="shared" si="3"/>
        <v>29.316353063548149</v>
      </c>
      <c r="AD65" s="1964"/>
      <c r="AE65" s="1976">
        <f>'Efficient Products Deemed Table'!BD333</f>
        <v>29.316353063548149</v>
      </c>
      <c r="AF65" s="1604"/>
      <c r="AG65" s="1604"/>
      <c r="AH65" s="1604"/>
      <c r="AI65" s="3361" t="str">
        <f>'Efficient Products Deemed Table'!M333</f>
        <v>per measure</v>
      </c>
      <c r="AJ65" s="1974"/>
      <c r="AM65" s="1596">
        <f t="shared" si="13"/>
        <v>8.8731800000000003E-5</v>
      </c>
      <c r="AN65">
        <f t="shared" si="16"/>
        <v>7.7107934200000006E-3</v>
      </c>
      <c r="AO65" s="1595">
        <f t="shared" si="14"/>
        <v>-2.0657999999940807E-7</v>
      </c>
    </row>
    <row r="66" spans="1:48" s="84" customFormat="1" x14ac:dyDescent="0.35">
      <c r="A66" s="1618" t="str">
        <f t="shared" si="0"/>
        <v>251350</v>
      </c>
      <c r="B66" s="1590" t="str">
        <f>'Efficient Products Deemed Table'!C334</f>
        <v>251350_2022_12_</v>
      </c>
      <c r="C66" s="1589" t="str">
        <f>'Efficient Products Deemed Table'!G334</f>
        <v>Water heating RES</v>
      </c>
      <c r="D66" s="1589"/>
      <c r="E66" s="1589"/>
      <c r="F66" s="1589"/>
      <c r="G66" s="1589" t="str">
        <f>'Efficient Products Deemed Table'!E334</f>
        <v>Low Flow Handheld Showerhead MF</v>
      </c>
      <c r="H66" s="1599" t="str">
        <f>'Efficient Products Deemed Table'!D334</f>
        <v>Efficient Products</v>
      </c>
      <c r="I66" s="1597">
        <f>'Efficient Products Deemed Table'!F334</f>
        <v>98.65</v>
      </c>
      <c r="J66" s="1597">
        <v>0</v>
      </c>
      <c r="K66" s="1591">
        <v>0</v>
      </c>
      <c r="L66" s="1591">
        <v>0</v>
      </c>
      <c r="M66" s="1591">
        <v>0</v>
      </c>
      <c r="N66" s="1591">
        <v>0</v>
      </c>
      <c r="O66" s="1598">
        <f>'Efficient Products Deemed Table'!J334</f>
        <v>8.7530000000000004E-3</v>
      </c>
      <c r="P66" s="1598">
        <v>0</v>
      </c>
      <c r="Q66" s="1600">
        <v>0</v>
      </c>
      <c r="R66" s="1600">
        <v>0</v>
      </c>
      <c r="S66" s="1600"/>
      <c r="T66" s="1600"/>
      <c r="U66" s="1569">
        <v>0</v>
      </c>
      <c r="V66" s="1569">
        <f t="shared" si="17"/>
        <v>8.7530000000000004E-3</v>
      </c>
      <c r="W66" s="1569">
        <v>0</v>
      </c>
      <c r="X66" s="1583">
        <f>'Efficient Products Deemed Table'!K334</f>
        <v>10</v>
      </c>
      <c r="Y66" s="1583"/>
      <c r="Z66" s="1583">
        <f t="shared" si="2"/>
        <v>10</v>
      </c>
      <c r="AA66" s="1959">
        <f>'Efficient Products Deemed Table'!BB334</f>
        <v>2.3475685617391675</v>
      </c>
      <c r="AB66" s="1671">
        <f>'Efficient Products Deemed Table'!L334</f>
        <v>15.02</v>
      </c>
      <c r="AC66" s="1964">
        <f t="shared" si="3"/>
        <v>33.280301837963464</v>
      </c>
      <c r="AD66" s="1964"/>
      <c r="AE66" s="1976">
        <f>'Efficient Products Deemed Table'!BD334</f>
        <v>33.280301837963464</v>
      </c>
      <c r="AF66" s="1604"/>
      <c r="AG66" s="1604"/>
      <c r="AH66" s="1604"/>
      <c r="AI66" s="3361" t="str">
        <f>'Efficient Products Deemed Table'!M334</f>
        <v>per measure</v>
      </c>
      <c r="AJ66" s="1974"/>
      <c r="AK66"/>
      <c r="AL66"/>
      <c r="AM66" s="1596">
        <f t="shared" si="13"/>
        <v>8.8731800000000003E-5</v>
      </c>
      <c r="AN66">
        <f t="shared" si="16"/>
        <v>8.7533920700000011E-3</v>
      </c>
      <c r="AO66" s="1595">
        <f t="shared" si="14"/>
        <v>3.9207000000068826E-7</v>
      </c>
      <c r="AP66"/>
      <c r="AQ66"/>
      <c r="AR66"/>
      <c r="AS66"/>
      <c r="AT66"/>
      <c r="AU66"/>
      <c r="AV66"/>
    </row>
    <row r="67" spans="1:48" s="84" customFormat="1" x14ac:dyDescent="0.35">
      <c r="A67" s="103" t="str">
        <f t="shared" si="0"/>
        <v>300050</v>
      </c>
      <c r="B67" s="3346" t="str">
        <f>'Energy Effic. Kits Deemed Table'!C7</f>
        <v>300050_2019_12_</v>
      </c>
      <c r="C67" s="3343" t="str">
        <f>'Energy Effic. Kits Deemed Table'!G7</f>
        <v>HVAC RES</v>
      </c>
      <c r="D67" s="3343"/>
      <c r="E67" s="3343"/>
      <c r="F67" s="3343"/>
      <c r="G67" s="3343" t="str">
        <f>'Energy Effic. Kits Deemed Table'!E7</f>
        <v>Dirty Filter Alarm_SF</v>
      </c>
      <c r="H67" s="50" t="str">
        <f>'Energy Effic. Kits Deemed Table'!D7</f>
        <v>School</v>
      </c>
      <c r="I67" s="1966">
        <f>'Energy Effic. Kits Deemed Table'!F7</f>
        <v>53.75</v>
      </c>
      <c r="J67" s="1966">
        <v>0</v>
      </c>
      <c r="K67" s="2563">
        <v>0</v>
      </c>
      <c r="L67" s="2563">
        <v>0</v>
      </c>
      <c r="M67" s="560">
        <v>0</v>
      </c>
      <c r="N67" s="560">
        <v>0</v>
      </c>
      <c r="O67" s="1967">
        <f>'Energy Effic. Kits Deemed Table'!K7</f>
        <v>2.5052000000000001E-2</v>
      </c>
      <c r="P67" s="1967">
        <v>0</v>
      </c>
      <c r="Q67" s="1968">
        <v>0</v>
      </c>
      <c r="R67" s="1968">
        <v>0</v>
      </c>
      <c r="S67" s="1968"/>
      <c r="T67" s="1968"/>
      <c r="U67" s="1969">
        <v>0</v>
      </c>
      <c r="V67" s="1969">
        <f t="shared" si="17"/>
        <v>2.5052000000000001E-2</v>
      </c>
      <c r="W67" s="1969">
        <v>0</v>
      </c>
      <c r="X67" s="55">
        <f>'Energy Effic. Kits Deemed Table'!L7</f>
        <v>14</v>
      </c>
      <c r="Y67" s="55"/>
      <c r="Z67" s="55">
        <f t="shared" si="2"/>
        <v>14</v>
      </c>
      <c r="AA67" s="2581">
        <f>'Energy Effic. Kits Deemed Table'!BB7</f>
        <v>10.0772872313763</v>
      </c>
      <c r="AB67" s="2091">
        <f>'Energy Effic. Kits Deemed Table'!M7</f>
        <v>5</v>
      </c>
      <c r="AC67" s="2582">
        <f t="shared" si="3"/>
        <v>47.556806188656438</v>
      </c>
      <c r="AD67" s="2582"/>
      <c r="AE67" s="1380">
        <f>'Energy Effic. Kits Deemed Table'!BD7</f>
        <v>47.556806188656438</v>
      </c>
      <c r="AF67" s="571"/>
      <c r="AG67" s="571"/>
      <c r="AH67" s="571"/>
      <c r="AI67" s="2584" t="str">
        <f>'Energy Effic. Kits Deemed Table'!N7</f>
        <v>per measure</v>
      </c>
      <c r="AJ67" s="1974"/>
      <c r="AK67"/>
      <c r="AL67"/>
      <c r="AM67" s="1596">
        <f t="shared" si="13"/>
        <v>4.6608050000000002E-4</v>
      </c>
      <c r="AN67">
        <f t="shared" si="16"/>
        <v>2.5051826875000002E-2</v>
      </c>
      <c r="AO67" s="1595">
        <f t="shared" si="14"/>
        <v>-1.7312499999908026E-7</v>
      </c>
      <c r="AP67"/>
      <c r="AQ67"/>
      <c r="AR67"/>
      <c r="AS67"/>
      <c r="AT67"/>
      <c r="AU67"/>
      <c r="AV67"/>
    </row>
    <row r="68" spans="1:48" x14ac:dyDescent="0.35">
      <c r="A68" s="103" t="str">
        <f t="shared" si="0"/>
        <v>300051</v>
      </c>
      <c r="B68" s="3346" t="str">
        <f>'Energy Effic. Kits Deemed Table'!C8</f>
        <v>300051_2020_12_</v>
      </c>
      <c r="C68" s="3343" t="str">
        <f>'Energy Effic. Kits Deemed Table'!G8</f>
        <v>HVAC RES</v>
      </c>
      <c r="D68" s="3343"/>
      <c r="E68" s="3343"/>
      <c r="F68" s="3343"/>
      <c r="G68" s="3343" t="str">
        <f>'Energy Effic. Kits Deemed Table'!E8</f>
        <v>Dirty Filter Alarm_SF - IE Kits</v>
      </c>
      <c r="H68" s="50" t="str">
        <f>'Energy Effic. Kits Deemed Table'!D8</f>
        <v>IE</v>
      </c>
      <c r="I68" s="1966">
        <f>'Energy Effic. Kits Deemed Table'!F8</f>
        <v>98.22</v>
      </c>
      <c r="J68" s="1966">
        <v>0</v>
      </c>
      <c r="K68" s="2563">
        <v>0</v>
      </c>
      <c r="L68" s="2563">
        <v>0</v>
      </c>
      <c r="M68" s="560">
        <v>0</v>
      </c>
      <c r="N68" s="560">
        <v>0</v>
      </c>
      <c r="O68" s="1967">
        <f>'Energy Effic. Kits Deemed Table'!K8</f>
        <v>4.5777999999999999E-2</v>
      </c>
      <c r="P68" s="1967">
        <v>0</v>
      </c>
      <c r="Q68" s="1968">
        <v>0</v>
      </c>
      <c r="R68" s="1968">
        <v>0</v>
      </c>
      <c r="S68" s="1968"/>
      <c r="T68" s="1968"/>
      <c r="U68" s="1969">
        <v>0</v>
      </c>
      <c r="V68" s="1969">
        <f t="shared" si="17"/>
        <v>4.5777999999999999E-2</v>
      </c>
      <c r="W68" s="1969">
        <v>0</v>
      </c>
      <c r="X68" s="55">
        <f>'Energy Effic. Kits Deemed Table'!L8</f>
        <v>14</v>
      </c>
      <c r="Y68" s="55"/>
      <c r="Z68" s="55">
        <f t="shared" si="2"/>
        <v>14</v>
      </c>
      <c r="AA68" s="2581">
        <f>'Energy Effic. Kits Deemed Table'!BB8</f>
        <v>18.41471910447963</v>
      </c>
      <c r="AB68" s="2091">
        <f>'Energy Effic. Kits Deemed Table'!M8</f>
        <v>5</v>
      </c>
      <c r="AC68" s="2582">
        <f t="shared" si="3"/>
        <v>86.902874490229493</v>
      </c>
      <c r="AD68" s="2582"/>
      <c r="AE68" s="1380">
        <f>'Energy Effic. Kits Deemed Table'!BD8</f>
        <v>86.902874490229493</v>
      </c>
      <c r="AF68" s="571"/>
      <c r="AG68" s="571"/>
      <c r="AH68" s="571"/>
      <c r="AI68" s="2584" t="str">
        <f>'Energy Effic. Kits Deemed Table'!N8</f>
        <v>per measure</v>
      </c>
      <c r="AJ68" s="1974"/>
      <c r="AK68" s="84"/>
      <c r="AL68" s="84"/>
      <c r="AM68" s="1961">
        <f t="shared" si="13"/>
        <v>4.6608050000000002E-4</v>
      </c>
      <c r="AN68" s="84">
        <f t="shared" si="16"/>
        <v>4.577842671E-2</v>
      </c>
      <c r="AO68" s="1965">
        <f t="shared" si="14"/>
        <v>4.2671000000105153E-7</v>
      </c>
      <c r="AP68" s="84"/>
      <c r="AQ68" s="84"/>
      <c r="AR68" s="84"/>
      <c r="AS68" s="84"/>
      <c r="AT68" s="84"/>
      <c r="AU68" s="84"/>
      <c r="AV68" s="84"/>
    </row>
    <row r="69" spans="1:48" x14ac:dyDescent="0.35">
      <c r="A69" s="103" t="str">
        <f t="shared" si="0"/>
        <v>300060</v>
      </c>
      <c r="B69" s="3346" t="str">
        <f>'Energy Effic. Kits Deemed Table'!C9</f>
        <v>300060_2021_12_</v>
      </c>
      <c r="C69" s="3343" t="str">
        <f>'Energy Effic. Kits Deemed Table'!G9</f>
        <v>HVAC RES</v>
      </c>
      <c r="D69" s="3343"/>
      <c r="E69" s="3343"/>
      <c r="F69" s="3343"/>
      <c r="G69" s="3343" t="str">
        <f>'Energy Effic. Kits Deemed Table'!E9</f>
        <v>Dirty Filter Alarm_SF - ARP Kits</v>
      </c>
      <c r="H69" s="50" t="str">
        <f>'Energy Effic. Kits Deemed Table'!D9</f>
        <v>ARP</v>
      </c>
      <c r="I69" s="1966">
        <f>'Energy Effic. Kits Deemed Table'!F9</f>
        <v>15.27</v>
      </c>
      <c r="J69" s="1966">
        <v>0</v>
      </c>
      <c r="K69" s="2563">
        <v>0</v>
      </c>
      <c r="L69" s="2563">
        <v>0</v>
      </c>
      <c r="M69" s="560">
        <v>0</v>
      </c>
      <c r="N69" s="560">
        <v>0</v>
      </c>
      <c r="O69" s="1967">
        <f>'Energy Effic. Kits Deemed Table'!K9</f>
        <v>7.1170000000000001E-3</v>
      </c>
      <c r="P69" s="1967">
        <v>0</v>
      </c>
      <c r="Q69" s="1968">
        <v>0</v>
      </c>
      <c r="R69" s="1968">
        <v>0</v>
      </c>
      <c r="S69" s="1968"/>
      <c r="T69" s="1968"/>
      <c r="U69" s="1969">
        <v>0</v>
      </c>
      <c r="V69" s="1969">
        <f t="shared" si="17"/>
        <v>7.1170000000000001E-3</v>
      </c>
      <c r="W69" s="1969">
        <v>0</v>
      </c>
      <c r="X69" s="55">
        <f>'Energy Effic. Kits Deemed Table'!L9</f>
        <v>14</v>
      </c>
      <c r="Y69" s="55"/>
      <c r="Z69" s="55">
        <f t="shared" si="2"/>
        <v>14</v>
      </c>
      <c r="AA69" s="2581">
        <f>'Energy Effic. Kits Deemed Table'!BB9</f>
        <v>2.8628869957789043</v>
      </c>
      <c r="AB69" s="2091">
        <f>'Energy Effic. Kits Deemed Table'!M9</f>
        <v>5</v>
      </c>
      <c r="AC69" s="2582">
        <f t="shared" si="3"/>
        <v>13.51055684652621</v>
      </c>
      <c r="AD69" s="2582"/>
      <c r="AE69" s="1380">
        <f>'Energy Effic. Kits Deemed Table'!BD9</f>
        <v>13.51055684652621</v>
      </c>
      <c r="AF69" s="571"/>
      <c r="AG69" s="571"/>
      <c r="AH69" s="571"/>
      <c r="AI69" s="2584" t="str">
        <f>'Energy Effic. Kits Deemed Table'!N9</f>
        <v>per measure</v>
      </c>
      <c r="AJ69" s="1974"/>
      <c r="AK69" s="84"/>
      <c r="AL69" s="84"/>
      <c r="AM69" s="1961">
        <f t="shared" si="13"/>
        <v>4.6608050000000002E-4</v>
      </c>
      <c r="AN69" s="84">
        <f t="shared" si="16"/>
        <v>7.1170492349999998E-3</v>
      </c>
      <c r="AO69" s="1965">
        <f t="shared" si="14"/>
        <v>4.9234999999724083E-8</v>
      </c>
      <c r="AP69" s="84"/>
      <c r="AQ69" s="84"/>
      <c r="AR69" s="84"/>
      <c r="AS69" s="84"/>
      <c r="AT69" s="84"/>
      <c r="AU69" s="84"/>
      <c r="AV69" s="84"/>
    </row>
    <row r="70" spans="1:48" x14ac:dyDescent="0.35">
      <c r="A70" s="103" t="str">
        <f t="shared" si="0"/>
        <v>300100</v>
      </c>
      <c r="B70" s="3346" t="str">
        <f>'Energy Effic. Kits Deemed Table'!C10</f>
        <v>300100_2019_12_</v>
      </c>
      <c r="C70" s="3343" t="str">
        <f>'Energy Effic. Kits Deemed Table'!G10</f>
        <v>HVAC RES</v>
      </c>
      <c r="D70" s="3343"/>
      <c r="E70" s="3343"/>
      <c r="F70" s="3343"/>
      <c r="G70" s="3343" t="str">
        <f>'Energy Effic. Kits Deemed Table'!E10</f>
        <v>Dirty Filter Alarm_MF</v>
      </c>
      <c r="H70" s="50" t="str">
        <f>'Energy Effic. Kits Deemed Table'!D10</f>
        <v>School</v>
      </c>
      <c r="I70" s="1966">
        <f>'Energy Effic. Kits Deemed Table'!F10</f>
        <v>177.38</v>
      </c>
      <c r="J70" s="1966">
        <v>0</v>
      </c>
      <c r="K70" s="2563">
        <v>0</v>
      </c>
      <c r="L70" s="2563">
        <v>0</v>
      </c>
      <c r="M70" s="560">
        <v>0</v>
      </c>
      <c r="N70" s="560">
        <v>0</v>
      </c>
      <c r="O70" s="1967">
        <f>'Energy Effic. Kits Deemed Table'!K10</f>
        <v>8.2672999999999996E-2</v>
      </c>
      <c r="P70" s="1967">
        <v>0</v>
      </c>
      <c r="Q70" s="1968">
        <v>0</v>
      </c>
      <c r="R70" s="1968">
        <v>0</v>
      </c>
      <c r="S70" s="1968"/>
      <c r="T70" s="1968"/>
      <c r="U70" s="1969">
        <v>0</v>
      </c>
      <c r="V70" s="1969">
        <f t="shared" si="17"/>
        <v>8.2672999999999996E-2</v>
      </c>
      <c r="W70" s="1969">
        <v>0</v>
      </c>
      <c r="X70" s="55">
        <f>'Energy Effic. Kits Deemed Table'!L10</f>
        <v>14</v>
      </c>
      <c r="Y70" s="55"/>
      <c r="Z70" s="55">
        <f t="shared" si="2"/>
        <v>14</v>
      </c>
      <c r="AA70" s="2581">
        <f>'Energy Effic. Kits Deemed Table'!BB10</f>
        <v>33.255985285609825</v>
      </c>
      <c r="AB70" s="2091">
        <f>'Energy Effic. Kits Deemed Table'!M10</f>
        <v>5</v>
      </c>
      <c r="AC70" s="2582">
        <f t="shared" si="3"/>
        <v>156.94188431151403</v>
      </c>
      <c r="AD70" s="2582"/>
      <c r="AE70" s="1380">
        <f>'Energy Effic. Kits Deemed Table'!BD10</f>
        <v>156.94188431151403</v>
      </c>
      <c r="AF70" s="571"/>
      <c r="AG70" s="571"/>
      <c r="AH70" s="571"/>
      <c r="AI70" s="3346" t="str">
        <f>'Energy Effic. Kits Deemed Table'!N10</f>
        <v>per measure</v>
      </c>
      <c r="AJ70" s="1974"/>
      <c r="AM70" s="1596">
        <f t="shared" si="13"/>
        <v>4.6608050000000002E-4</v>
      </c>
      <c r="AN70">
        <f t="shared" si="16"/>
        <v>8.2673359089999995E-2</v>
      </c>
      <c r="AO70" s="1595">
        <f t="shared" si="14"/>
        <v>3.5908999999889613E-7</v>
      </c>
    </row>
    <row r="71" spans="1:48" x14ac:dyDescent="0.35">
      <c r="A71" s="103" t="str">
        <f t="shared" si="0"/>
        <v>300101</v>
      </c>
      <c r="B71" s="3346" t="str">
        <f>'Energy Effic. Kits Deemed Table'!C11</f>
        <v>300101_2019_12_</v>
      </c>
      <c r="C71" s="3343" t="str">
        <f>'Energy Effic. Kits Deemed Table'!G11</f>
        <v>HVAC RES</v>
      </c>
      <c r="D71" s="3343"/>
      <c r="E71" s="3343"/>
      <c r="F71" s="3343"/>
      <c r="G71" s="3343" t="str">
        <f>'Energy Effic. Kits Deemed Table'!E11</f>
        <v>Dirty Filter Alarm_MF_CompE</v>
      </c>
      <c r="H71" s="50" t="str">
        <f>'Energy Effic. Kits Deemed Table'!D11</f>
        <v>School</v>
      </c>
      <c r="I71" s="1966">
        <f>'Energy Effic. Kits Deemed Table'!F11</f>
        <v>85.65</v>
      </c>
      <c r="J71" s="1966">
        <v>0</v>
      </c>
      <c r="K71" s="2563">
        <v>0</v>
      </c>
      <c r="L71" s="2563">
        <v>0</v>
      </c>
      <c r="M71" s="560">
        <v>0</v>
      </c>
      <c r="N71" s="560">
        <v>0</v>
      </c>
      <c r="O71" s="1967">
        <f>'Energy Effic. Kits Deemed Table'!K11</f>
        <v>3.9919999999999997E-2</v>
      </c>
      <c r="P71" s="1967">
        <v>0</v>
      </c>
      <c r="Q71" s="1968">
        <v>0</v>
      </c>
      <c r="R71" s="1968">
        <v>0</v>
      </c>
      <c r="S71" s="1968"/>
      <c r="T71" s="1968"/>
      <c r="U71" s="1969">
        <v>0</v>
      </c>
      <c r="V71" s="1969">
        <f t="shared" si="17"/>
        <v>3.9919999999999997E-2</v>
      </c>
      <c r="W71" s="1969">
        <v>0</v>
      </c>
      <c r="X71" s="55">
        <f>'Energy Effic. Kits Deemed Table'!L11</f>
        <v>14</v>
      </c>
      <c r="Y71" s="55"/>
      <c r="Z71" s="55">
        <f t="shared" si="2"/>
        <v>14</v>
      </c>
      <c r="AA71" s="2581">
        <f>'Energy Effic. Kits Deemed Table'!BB11</f>
        <v>16.058040025439631</v>
      </c>
      <c r="AB71" s="2091">
        <f>'Energy Effic. Kits Deemed Table'!M11</f>
        <v>5</v>
      </c>
      <c r="AC71" s="2582">
        <f t="shared" si="3"/>
        <v>75.781217675505573</v>
      </c>
      <c r="AD71" s="2582"/>
      <c r="AE71" s="1380">
        <f>'Energy Effic. Kits Deemed Table'!BD11</f>
        <v>75.781217675505573</v>
      </c>
      <c r="AF71" s="571"/>
      <c r="AG71" s="571"/>
      <c r="AH71" s="571"/>
      <c r="AI71" s="3346" t="str">
        <f>'Energy Effic. Kits Deemed Table'!N11</f>
        <v>per measure</v>
      </c>
      <c r="AJ71" s="1974"/>
      <c r="AM71" s="1596">
        <f t="shared" si="13"/>
        <v>4.6608050000000002E-4</v>
      </c>
      <c r="AN71">
        <f t="shared" si="16"/>
        <v>3.9919794825000007E-2</v>
      </c>
      <c r="AO71" s="1595">
        <f t="shared" si="14"/>
        <v>-2.0517499998984334E-7</v>
      </c>
    </row>
    <row r="72" spans="1:48" x14ac:dyDescent="0.35">
      <c r="A72" s="103" t="str">
        <f t="shared" si="0"/>
        <v>300150</v>
      </c>
      <c r="B72" s="3346" t="str">
        <f>'Energy Effic. Kits Deemed Table'!C46</f>
        <v>300150_2019_12_</v>
      </c>
      <c r="C72" s="3343" t="str">
        <f>'Energy Effic. Kits Deemed Table'!G46</f>
        <v>Lighting RES</v>
      </c>
      <c r="D72" s="3343"/>
      <c r="E72" s="3343"/>
      <c r="F72" s="3343"/>
      <c r="G72" s="3343" t="str">
        <f>'Energy Effic. Kits Deemed Table'!E46</f>
        <v>LED - 10W (CFL baseline) (750-1049 lumens)</v>
      </c>
      <c r="H72" s="50" t="str">
        <f>'Energy Effic. Kits Deemed Table'!D46</f>
        <v>School</v>
      </c>
      <c r="I72" s="1966">
        <f>'Energy Effic. Kits Deemed Table'!F46</f>
        <v>2.87</v>
      </c>
      <c r="J72" s="1966">
        <v>0</v>
      </c>
      <c r="K72" s="560">
        <v>0</v>
      </c>
      <c r="L72" s="560">
        <v>0</v>
      </c>
      <c r="M72" s="560">
        <v>0</v>
      </c>
      <c r="N72" s="560">
        <v>0</v>
      </c>
      <c r="O72" s="1967">
        <f>'Energy Effic. Kits Deemed Table'!I46</f>
        <v>4.28E-4</v>
      </c>
      <c r="P72" s="1967">
        <v>0</v>
      </c>
      <c r="Q72" s="1968">
        <v>0</v>
      </c>
      <c r="R72" s="1968">
        <v>0</v>
      </c>
      <c r="S72" s="1968"/>
      <c r="T72" s="1968"/>
      <c r="U72" s="1969">
        <v>0</v>
      </c>
      <c r="V72" s="1969">
        <v>0</v>
      </c>
      <c r="W72" s="3362">
        <f t="shared" ref="W72:W83" si="18">O72</f>
        <v>4.28E-4</v>
      </c>
      <c r="X72" s="55">
        <f>'Energy Effic. Kits Deemed Table'!J46</f>
        <v>19</v>
      </c>
      <c r="Y72" s="55"/>
      <c r="Z72" s="55">
        <f t="shared" si="2"/>
        <v>19</v>
      </c>
      <c r="AA72" s="2581">
        <f>'Energy Effic. Kits Deemed Table'!BB46</f>
        <v>0.88525056324276574</v>
      </c>
      <c r="AB72" s="2091">
        <f>'Energy Effic. Kits Deemed Table'!K46</f>
        <v>1.95</v>
      </c>
      <c r="AC72" s="2582">
        <f t="shared" si="3"/>
        <v>1.6292955151707342</v>
      </c>
      <c r="AD72" s="2582"/>
      <c r="AE72" s="1380">
        <f>'Energy Effic. Kits Deemed Table'!BD46</f>
        <v>1.6292955151707342</v>
      </c>
      <c r="AF72" s="571"/>
      <c r="AG72" s="571"/>
      <c r="AH72" s="571"/>
      <c r="AI72" s="3346" t="str">
        <f>'Energy Effic. Kits Deemed Table'!L46</f>
        <v>per measure</v>
      </c>
      <c r="AJ72" s="1974"/>
      <c r="AM72" s="1596">
        <f t="shared" si="13"/>
        <v>1.4925290000000001E-4</v>
      </c>
      <c r="AN72">
        <f t="shared" si="16"/>
        <v>4.2835582300000002E-4</v>
      </c>
      <c r="AO72" s="1595">
        <f t="shared" si="14"/>
        <v>3.5582300000002419E-7</v>
      </c>
    </row>
    <row r="73" spans="1:48" s="84" customFormat="1" x14ac:dyDescent="0.35">
      <c r="A73" s="103" t="str">
        <f t="shared" ref="A73:A136" si="19">LEFT(B73,6)</f>
        <v>300200</v>
      </c>
      <c r="B73" s="3346" t="str">
        <f>'Energy Effic. Kits Deemed Table'!C47</f>
        <v>300200_2019_12_</v>
      </c>
      <c r="C73" s="3343" t="str">
        <f>'Energy Effic. Kits Deemed Table'!G47</f>
        <v>Lighting RES</v>
      </c>
      <c r="D73" s="3343"/>
      <c r="E73" s="3343"/>
      <c r="F73" s="3343"/>
      <c r="G73" s="3343" t="str">
        <f>'Energy Effic. Kits Deemed Table'!E47</f>
        <v>LED - 10W (CFL baseline) (750-1049 lumens)</v>
      </c>
      <c r="H73" s="50" t="str">
        <f>'Energy Effic. Kits Deemed Table'!D47</f>
        <v>MF</v>
      </c>
      <c r="I73" s="1966">
        <f>'Energy Effic. Kits Deemed Table'!F47</f>
        <v>4.34</v>
      </c>
      <c r="J73" s="1966">
        <v>0</v>
      </c>
      <c r="K73" s="560">
        <v>0</v>
      </c>
      <c r="L73" s="560">
        <v>0</v>
      </c>
      <c r="M73" s="560">
        <v>0</v>
      </c>
      <c r="N73" s="560">
        <v>0</v>
      </c>
      <c r="O73" s="1967">
        <f>'Energy Effic. Kits Deemed Table'!I47</f>
        <v>6.4800000000000003E-4</v>
      </c>
      <c r="P73" s="1967">
        <v>0</v>
      </c>
      <c r="Q73" s="1968">
        <v>0</v>
      </c>
      <c r="R73" s="1968">
        <v>0</v>
      </c>
      <c r="S73" s="1968"/>
      <c r="T73" s="1968"/>
      <c r="U73" s="1969">
        <v>0</v>
      </c>
      <c r="V73" s="1969">
        <v>0</v>
      </c>
      <c r="W73" s="3362">
        <f t="shared" si="18"/>
        <v>6.4800000000000003E-4</v>
      </c>
      <c r="X73" s="55">
        <f>'Energy Effic. Kits Deemed Table'!J47</f>
        <v>19</v>
      </c>
      <c r="Y73" s="55"/>
      <c r="Z73" s="55">
        <f t="shared" ref="Z73:Z136" si="20">Y73+X73</f>
        <v>19</v>
      </c>
      <c r="AA73" s="2581">
        <f>'Energy Effic. Kits Deemed Table'!BB47</f>
        <v>1.3386715834402796</v>
      </c>
      <c r="AB73" s="2091">
        <f>'Energy Effic. Kits Deemed Table'!K47</f>
        <v>1.95</v>
      </c>
      <c r="AC73" s="2582">
        <f t="shared" ref="AC73:AC136" si="21">AE73+AF73</f>
        <v>2.4638127302581831</v>
      </c>
      <c r="AD73" s="2582"/>
      <c r="AE73" s="1380">
        <f>'Energy Effic. Kits Deemed Table'!BD47</f>
        <v>2.4638127302581831</v>
      </c>
      <c r="AF73" s="571"/>
      <c r="AG73" s="571"/>
      <c r="AH73" s="571"/>
      <c r="AI73" s="3346" t="str">
        <f>'Energy Effic. Kits Deemed Table'!L47</f>
        <v>per measure</v>
      </c>
      <c r="AJ73" s="1974"/>
      <c r="AK73"/>
      <c r="AL73"/>
      <c r="AM73" s="1596">
        <f t="shared" ref="AM73:AM104" si="22">VLOOKUP(C73,$AS$10:$AT$33,2,FALSE)</f>
        <v>1.4925290000000001E-4</v>
      </c>
      <c r="AN73">
        <f t="shared" si="16"/>
        <v>6.4775758600000004E-4</v>
      </c>
      <c r="AO73" s="1595">
        <f t="shared" ref="AO73:AO104" si="23">AN73-O73</f>
        <v>-2.4241399999998768E-7</v>
      </c>
      <c r="AP73"/>
      <c r="AQ73"/>
      <c r="AR73"/>
      <c r="AS73"/>
      <c r="AT73"/>
      <c r="AU73"/>
      <c r="AV73"/>
    </row>
    <row r="74" spans="1:48" s="84" customFormat="1" x14ac:dyDescent="0.35">
      <c r="A74" s="103" t="str">
        <f t="shared" si="19"/>
        <v>300250</v>
      </c>
      <c r="B74" s="3346" t="str">
        <f>'Energy Effic. Kits Deemed Table'!C48</f>
        <v>300250_2019_12_</v>
      </c>
      <c r="C74" s="3343" t="str">
        <f>'Energy Effic. Kits Deemed Table'!G48</f>
        <v>Lighting RES</v>
      </c>
      <c r="D74" s="3343"/>
      <c r="E74" s="3343"/>
      <c r="F74" s="3343"/>
      <c r="G74" s="3343" t="str">
        <f>'Energy Effic. Kits Deemed Table'!E48</f>
        <v>LED - 10W (Halogen baseline) (750-1049 lumens)</v>
      </c>
      <c r="H74" s="50" t="str">
        <f>'Energy Effic. Kits Deemed Table'!D48</f>
        <v>School</v>
      </c>
      <c r="I74" s="1966">
        <f>'Energy Effic. Kits Deemed Table'!F48</f>
        <v>22.19</v>
      </c>
      <c r="J74" s="1966">
        <v>0</v>
      </c>
      <c r="K74" s="560">
        <v>0</v>
      </c>
      <c r="L74" s="560">
        <v>0</v>
      </c>
      <c r="M74" s="560">
        <v>0</v>
      </c>
      <c r="N74" s="560">
        <v>0</v>
      </c>
      <c r="O74" s="1967">
        <f>'Energy Effic. Kits Deemed Table'!I48</f>
        <v>3.3119999999999998E-3</v>
      </c>
      <c r="P74" s="1967">
        <v>0</v>
      </c>
      <c r="Q74" s="1968">
        <v>0</v>
      </c>
      <c r="R74" s="1968">
        <v>0</v>
      </c>
      <c r="S74" s="1968"/>
      <c r="T74" s="1968"/>
      <c r="U74" s="1969">
        <v>0</v>
      </c>
      <c r="V74" s="1969">
        <v>0</v>
      </c>
      <c r="W74" s="3362">
        <f t="shared" si="18"/>
        <v>3.3119999999999998E-3</v>
      </c>
      <c r="X74" s="55">
        <f>'Energy Effic. Kits Deemed Table'!J48</f>
        <v>19</v>
      </c>
      <c r="Y74" s="55"/>
      <c r="Z74" s="55">
        <f t="shared" si="20"/>
        <v>19</v>
      </c>
      <c r="AA74" s="2581">
        <f>'Energy Effic. Kits Deemed Table'!BB48</f>
        <v>6.8444982572672375</v>
      </c>
      <c r="AB74" s="2091">
        <f>'Energy Effic. Kits Deemed Table'!K48</f>
        <v>1.95</v>
      </c>
      <c r="AC74" s="2582">
        <f t="shared" si="21"/>
        <v>12.597236056320067</v>
      </c>
      <c r="AD74" s="2582"/>
      <c r="AE74" s="1380">
        <f>'Energy Effic. Kits Deemed Table'!BD48</f>
        <v>12.597236056320067</v>
      </c>
      <c r="AF74" s="571"/>
      <c r="AG74" s="571"/>
      <c r="AH74" s="571"/>
      <c r="AI74" s="3346" t="str">
        <f>'Energy Effic. Kits Deemed Table'!L48</f>
        <v>per measure</v>
      </c>
      <c r="AJ74" s="1974"/>
      <c r="AK74"/>
      <c r="AL74"/>
      <c r="AM74" s="1596">
        <f t="shared" si="22"/>
        <v>1.4925290000000001E-4</v>
      </c>
      <c r="AN74">
        <f t="shared" si="16"/>
        <v>3.3119218510000003E-3</v>
      </c>
      <c r="AO74" s="1595">
        <f t="shared" si="23"/>
        <v>-7.8148999999548552E-8</v>
      </c>
      <c r="AP74"/>
      <c r="AQ74"/>
      <c r="AR74"/>
      <c r="AS74"/>
      <c r="AT74"/>
      <c r="AU74"/>
      <c r="AV74"/>
    </row>
    <row r="75" spans="1:48" x14ac:dyDescent="0.35">
      <c r="A75" s="103" t="str">
        <f t="shared" si="19"/>
        <v>300251</v>
      </c>
      <c r="B75" s="3346" t="str">
        <f>'Energy Effic. Kits Deemed Table'!C49</f>
        <v>300251_2020_12_</v>
      </c>
      <c r="C75" s="3343" t="str">
        <f>'Energy Effic. Kits Deemed Table'!G49</f>
        <v>Lighting RES</v>
      </c>
      <c r="D75" s="3343"/>
      <c r="E75" s="3343"/>
      <c r="F75" s="3343"/>
      <c r="G75" s="3343" t="str">
        <f>'Energy Effic. Kits Deemed Table'!E49</f>
        <v>LED - 10W (Halogen baseline) (750-1049 lumens) - IE Kit</v>
      </c>
      <c r="H75" s="50" t="str">
        <f>'Energy Effic. Kits Deemed Table'!D49</f>
        <v>IE</v>
      </c>
      <c r="I75" s="1966">
        <f>'Energy Effic. Kits Deemed Table'!F49</f>
        <v>30.15</v>
      </c>
      <c r="J75" s="1966">
        <v>0</v>
      </c>
      <c r="K75" s="560">
        <v>0</v>
      </c>
      <c r="L75" s="560">
        <v>0</v>
      </c>
      <c r="M75" s="560">
        <v>0</v>
      </c>
      <c r="N75" s="560">
        <v>0</v>
      </c>
      <c r="O75" s="1967">
        <f>'Energy Effic. Kits Deemed Table'!I49</f>
        <v>4.4999999999999997E-3</v>
      </c>
      <c r="P75" s="1967">
        <v>0</v>
      </c>
      <c r="Q75" s="1968">
        <v>0</v>
      </c>
      <c r="R75" s="1968">
        <v>0</v>
      </c>
      <c r="S75" s="1968"/>
      <c r="T75" s="1968"/>
      <c r="U75" s="1969">
        <v>0</v>
      </c>
      <c r="V75" s="1969">
        <v>0</v>
      </c>
      <c r="W75" s="3362">
        <f t="shared" si="18"/>
        <v>4.4999999999999997E-3</v>
      </c>
      <c r="X75" s="55">
        <f>'Energy Effic. Kits Deemed Table'!J49</f>
        <v>19</v>
      </c>
      <c r="Y75" s="55"/>
      <c r="Z75" s="55">
        <f t="shared" si="20"/>
        <v>19</v>
      </c>
      <c r="AA75" s="2581">
        <f>'Energy Effic. Kits Deemed Table'!BB49</f>
        <v>9.2997576591530962</v>
      </c>
      <c r="AB75" s="2091">
        <f>'Energy Effic. Kits Deemed Table'!K49</f>
        <v>1.95</v>
      </c>
      <c r="AC75" s="2582">
        <f t="shared" si="21"/>
        <v>17.116118391079315</v>
      </c>
      <c r="AD75" s="2582"/>
      <c r="AE75" s="1380">
        <f>'Energy Effic. Kits Deemed Table'!BD49</f>
        <v>17.116118391079315</v>
      </c>
      <c r="AF75" s="571"/>
      <c r="AG75" s="571"/>
      <c r="AH75" s="571"/>
      <c r="AI75" s="3346" t="str">
        <f>'Energy Effic. Kits Deemed Table'!L49</f>
        <v>per measure</v>
      </c>
      <c r="AJ75" s="1974"/>
      <c r="AK75" s="84"/>
      <c r="AL75" s="84"/>
      <c r="AM75" s="1961">
        <f t="shared" si="22"/>
        <v>1.4925290000000001E-4</v>
      </c>
      <c r="AN75" s="84">
        <f t="shared" si="16"/>
        <v>4.4999749349999996E-3</v>
      </c>
      <c r="AO75" s="1965">
        <f t="shared" si="23"/>
        <v>-2.5065000000025484E-8</v>
      </c>
      <c r="AP75" s="84"/>
      <c r="AQ75" s="84"/>
      <c r="AR75" s="84"/>
      <c r="AS75" s="84"/>
      <c r="AT75" s="84"/>
      <c r="AU75" s="84"/>
      <c r="AV75" s="84"/>
    </row>
    <row r="76" spans="1:48" x14ac:dyDescent="0.35">
      <c r="A76" s="103" t="str">
        <f t="shared" si="19"/>
        <v>300260</v>
      </c>
      <c r="B76" s="3346" t="str">
        <f>'Energy Effic. Kits Deemed Table'!C50</f>
        <v>300260_2020_12_</v>
      </c>
      <c r="C76" s="3343" t="str">
        <f>'Energy Effic. Kits Deemed Table'!G50</f>
        <v>Lighting RES</v>
      </c>
      <c r="D76" s="3343"/>
      <c r="E76" s="3343"/>
      <c r="F76" s="3343"/>
      <c r="G76" s="3343" t="str">
        <f>'Energy Effic. Kits Deemed Table'!E50</f>
        <v>LED - 10W (Halogen baseline) (750-1049 lumens) - ARP Kit</v>
      </c>
      <c r="H76" s="50" t="str">
        <f>'Energy Effic. Kits Deemed Table'!D50</f>
        <v>ARP</v>
      </c>
      <c r="I76" s="1966">
        <f>'Energy Effic. Kits Deemed Table'!F50</f>
        <v>29.48</v>
      </c>
      <c r="J76" s="1966">
        <v>0</v>
      </c>
      <c r="K76" s="560">
        <v>0</v>
      </c>
      <c r="L76" s="560">
        <v>0</v>
      </c>
      <c r="M76" s="560">
        <v>0</v>
      </c>
      <c r="N76" s="560">
        <v>0</v>
      </c>
      <c r="O76" s="1967">
        <f>'Energy Effic. Kits Deemed Table'!I50</f>
        <v>4.4000000000000003E-3</v>
      </c>
      <c r="P76" s="1967">
        <v>0</v>
      </c>
      <c r="Q76" s="1968">
        <v>0</v>
      </c>
      <c r="R76" s="1968">
        <v>0</v>
      </c>
      <c r="S76" s="1968"/>
      <c r="T76" s="1968"/>
      <c r="U76" s="1969">
        <v>0</v>
      </c>
      <c r="V76" s="1969">
        <v>0</v>
      </c>
      <c r="W76" s="3362">
        <f t="shared" si="18"/>
        <v>4.4000000000000003E-3</v>
      </c>
      <c r="X76" s="55">
        <f>'Energy Effic. Kits Deemed Table'!J50</f>
        <v>19</v>
      </c>
      <c r="Y76" s="55"/>
      <c r="Z76" s="55">
        <f t="shared" si="20"/>
        <v>19</v>
      </c>
      <c r="AA76" s="2581">
        <f>'Energy Effic. Kits Deemed Table'!BB50</f>
        <v>9.0930963778385827</v>
      </c>
      <c r="AB76" s="2091">
        <f>'Energy Effic. Kits Deemed Table'!K50</f>
        <v>1.95</v>
      </c>
      <c r="AC76" s="2582">
        <f t="shared" si="21"/>
        <v>16.735760204610887</v>
      </c>
      <c r="AD76" s="2582"/>
      <c r="AE76" s="1380">
        <f>'Energy Effic. Kits Deemed Table'!BD50</f>
        <v>16.735760204610887</v>
      </c>
      <c r="AF76" s="571"/>
      <c r="AG76" s="571"/>
      <c r="AH76" s="571"/>
      <c r="AI76" s="3346" t="str">
        <f>'Energy Effic. Kits Deemed Table'!L50</f>
        <v>per measure</v>
      </c>
      <c r="AJ76" s="1974"/>
      <c r="AK76" s="84"/>
      <c r="AL76" s="84"/>
      <c r="AM76" s="1961">
        <f t="shared" si="22"/>
        <v>1.4925290000000001E-4</v>
      </c>
      <c r="AN76" s="84">
        <f t="shared" si="16"/>
        <v>4.3999754920000002E-3</v>
      </c>
      <c r="AO76" s="1965">
        <f t="shared" si="23"/>
        <v>-2.4508000000082741E-8</v>
      </c>
      <c r="AP76" s="84"/>
      <c r="AQ76" s="84"/>
      <c r="AR76" s="84"/>
      <c r="AS76" s="84"/>
      <c r="AT76" s="84"/>
      <c r="AU76" s="84"/>
      <c r="AV76" s="84"/>
    </row>
    <row r="77" spans="1:48" x14ac:dyDescent="0.35">
      <c r="A77" s="103" t="str">
        <f t="shared" si="19"/>
        <v>300300</v>
      </c>
      <c r="B77" s="3346" t="str">
        <f>'Energy Effic. Kits Deemed Table'!C51</f>
        <v>300300_2019_12_</v>
      </c>
      <c r="C77" s="3343" t="str">
        <f>'Energy Effic. Kits Deemed Table'!G51</f>
        <v>Lighting RES</v>
      </c>
      <c r="D77" s="3343"/>
      <c r="E77" s="3343"/>
      <c r="F77" s="3343"/>
      <c r="G77" s="3343" t="str">
        <f>'Energy Effic. Kits Deemed Table'!E51</f>
        <v>LED - 10W (Halogen baseline) (750-1049 lumens)</v>
      </c>
      <c r="H77" s="50" t="str">
        <f>'Energy Effic. Kits Deemed Table'!D51</f>
        <v>MF</v>
      </c>
      <c r="I77" s="1966">
        <f>'Energy Effic. Kits Deemed Table'!F51</f>
        <v>33.5</v>
      </c>
      <c r="J77" s="1966">
        <v>0</v>
      </c>
      <c r="K77" s="560">
        <v>0</v>
      </c>
      <c r="L77" s="560">
        <v>0</v>
      </c>
      <c r="M77" s="560">
        <v>0</v>
      </c>
      <c r="N77" s="560">
        <v>0</v>
      </c>
      <c r="O77" s="1967">
        <f>'Energy Effic. Kits Deemed Table'!I51</f>
        <v>5.0000000000000001E-3</v>
      </c>
      <c r="P77" s="1967">
        <v>0</v>
      </c>
      <c r="Q77" s="1968">
        <v>0</v>
      </c>
      <c r="R77" s="1968">
        <v>0</v>
      </c>
      <c r="S77" s="1968"/>
      <c r="T77" s="1968"/>
      <c r="U77" s="1969">
        <v>0</v>
      </c>
      <c r="V77" s="1969">
        <v>0</v>
      </c>
      <c r="W77" s="3362">
        <f t="shared" si="18"/>
        <v>5.0000000000000001E-3</v>
      </c>
      <c r="X77" s="55">
        <f>'Energy Effic. Kits Deemed Table'!J51</f>
        <v>19</v>
      </c>
      <c r="Y77" s="55"/>
      <c r="Z77" s="55">
        <f t="shared" si="20"/>
        <v>19</v>
      </c>
      <c r="AA77" s="2581">
        <f>'Energy Effic. Kits Deemed Table'!BB51</f>
        <v>10.333064065725663</v>
      </c>
      <c r="AB77" s="2091">
        <f>'Energy Effic. Kits Deemed Table'!K51</f>
        <v>1.95</v>
      </c>
      <c r="AC77" s="2582">
        <f t="shared" si="21"/>
        <v>19.017909323421463</v>
      </c>
      <c r="AD77" s="2582"/>
      <c r="AE77" s="1380">
        <f>'Energy Effic. Kits Deemed Table'!BD51</f>
        <v>19.017909323421463</v>
      </c>
      <c r="AF77" s="571"/>
      <c r="AG77" s="571"/>
      <c r="AH77" s="571"/>
      <c r="AI77" s="3346" t="str">
        <f>'Energy Effic. Kits Deemed Table'!L51</f>
        <v>per measure</v>
      </c>
      <c r="AJ77" s="1974"/>
      <c r="AM77" s="1596">
        <f t="shared" si="22"/>
        <v>1.4925290000000001E-4</v>
      </c>
      <c r="AN77">
        <f t="shared" si="16"/>
        <v>4.9999721500000004E-3</v>
      </c>
      <c r="AO77" s="1595">
        <f t="shared" si="23"/>
        <v>-2.7849999999739194E-8</v>
      </c>
    </row>
    <row r="78" spans="1:48" s="84" customFormat="1" x14ac:dyDescent="0.35">
      <c r="A78" s="103" t="str">
        <f t="shared" si="19"/>
        <v>300350</v>
      </c>
      <c r="B78" s="3346" t="str">
        <f>'Energy Effic. Kits Deemed Table'!C52</f>
        <v>300350_2019_12_</v>
      </c>
      <c r="C78" s="3343" t="str">
        <f>'Energy Effic. Kits Deemed Table'!G52</f>
        <v>Lighting RES</v>
      </c>
      <c r="D78" s="3343"/>
      <c r="E78" s="3343"/>
      <c r="F78" s="3343"/>
      <c r="G78" s="3343" t="str">
        <f>'Energy Effic. Kits Deemed Table'!E52</f>
        <v>LED - 10.5W Downlight E26 (CFL baseline)</v>
      </c>
      <c r="H78" s="50" t="str">
        <f>'Energy Effic. Kits Deemed Table'!D52</f>
        <v>School</v>
      </c>
      <c r="I78" s="1966">
        <f>'Energy Effic. Kits Deemed Table'!F52</f>
        <v>7.83</v>
      </c>
      <c r="J78" s="1966">
        <v>0</v>
      </c>
      <c r="K78" s="560">
        <v>0</v>
      </c>
      <c r="L78" s="560">
        <v>0</v>
      </c>
      <c r="M78" s="560">
        <v>0</v>
      </c>
      <c r="N78" s="560">
        <v>0</v>
      </c>
      <c r="O78" s="1967">
        <f>'Energy Effic. Kits Deemed Table'!I52</f>
        <v>1.1689999999999999E-3</v>
      </c>
      <c r="P78" s="1967">
        <v>0</v>
      </c>
      <c r="Q78" s="1968">
        <v>0</v>
      </c>
      <c r="R78" s="1968">
        <v>0</v>
      </c>
      <c r="S78" s="1968"/>
      <c r="T78" s="1968"/>
      <c r="U78" s="1969">
        <v>0</v>
      </c>
      <c r="V78" s="1969">
        <v>0</v>
      </c>
      <c r="W78" s="3362">
        <f t="shared" si="18"/>
        <v>1.1689999999999999E-3</v>
      </c>
      <c r="X78" s="55">
        <f>'Energy Effic. Kits Deemed Table'!J52</f>
        <v>19</v>
      </c>
      <c r="Y78" s="55"/>
      <c r="Z78" s="55">
        <f t="shared" si="20"/>
        <v>19</v>
      </c>
      <c r="AA78" s="2581">
        <f>'Energy Effic. Kits Deemed Table'!BB52</f>
        <v>2.4151609443173712</v>
      </c>
      <c r="AB78" s="2091">
        <f>'Energy Effic. Kits Deemed Table'!K52</f>
        <v>1.95</v>
      </c>
      <c r="AC78" s="2582">
        <f t="shared" si="21"/>
        <v>4.4450814926086579</v>
      </c>
      <c r="AD78" s="2582"/>
      <c r="AE78" s="1380">
        <f>'Energy Effic. Kits Deemed Table'!BD52</f>
        <v>4.4450814926086579</v>
      </c>
      <c r="AF78" s="571"/>
      <c r="AG78" s="571"/>
      <c r="AH78" s="571"/>
      <c r="AI78" s="3346" t="str">
        <f>'Energy Effic. Kits Deemed Table'!L52</f>
        <v>per measure</v>
      </c>
      <c r="AJ78" s="1974"/>
      <c r="AK78"/>
      <c r="AL78"/>
      <c r="AM78" s="1596">
        <f t="shared" si="22"/>
        <v>1.4925290000000001E-4</v>
      </c>
      <c r="AN78">
        <f t="shared" si="16"/>
        <v>1.1686502070000001E-3</v>
      </c>
      <c r="AO78" s="1595">
        <f t="shared" si="23"/>
        <v>-3.4979299999983275E-7</v>
      </c>
      <c r="AP78"/>
      <c r="AQ78"/>
      <c r="AR78"/>
      <c r="AS78"/>
      <c r="AT78"/>
      <c r="AU78"/>
      <c r="AV78"/>
    </row>
    <row r="79" spans="1:48" s="84" customFormat="1" x14ac:dyDescent="0.35">
      <c r="A79" s="103" t="str">
        <f t="shared" si="19"/>
        <v>300400</v>
      </c>
      <c r="B79" s="3346" t="str">
        <f>'Energy Effic. Kits Deemed Table'!C53</f>
        <v>300400_2019_12_</v>
      </c>
      <c r="C79" s="3343" t="str">
        <f>'Energy Effic. Kits Deemed Table'!G53</f>
        <v>Lighting RES</v>
      </c>
      <c r="D79" s="3343"/>
      <c r="E79" s="3343"/>
      <c r="F79" s="3343"/>
      <c r="G79" s="3343" t="str">
        <f>'Energy Effic. Kits Deemed Table'!E53</f>
        <v>LED - 10.5W Downlight E26 (CFL baseline)</v>
      </c>
      <c r="H79" s="50" t="str">
        <f>'Energy Effic. Kits Deemed Table'!D53</f>
        <v>MF</v>
      </c>
      <c r="I79" s="1966">
        <f>'Energy Effic. Kits Deemed Table'!F53</f>
        <v>11.82</v>
      </c>
      <c r="J79" s="1966">
        <v>0</v>
      </c>
      <c r="K79" s="560">
        <v>0</v>
      </c>
      <c r="L79" s="560">
        <v>0</v>
      </c>
      <c r="M79" s="560">
        <v>0</v>
      </c>
      <c r="N79" s="560">
        <v>0</v>
      </c>
      <c r="O79" s="1967">
        <f>'Energy Effic. Kits Deemed Table'!I53</f>
        <v>1.7639999999999999E-3</v>
      </c>
      <c r="P79" s="1967">
        <v>0</v>
      </c>
      <c r="Q79" s="1968">
        <v>0</v>
      </c>
      <c r="R79" s="1968">
        <v>0</v>
      </c>
      <c r="S79" s="1968"/>
      <c r="T79" s="1968"/>
      <c r="U79" s="1969">
        <v>0</v>
      </c>
      <c r="V79" s="1969">
        <v>0</v>
      </c>
      <c r="W79" s="3362">
        <f t="shared" si="18"/>
        <v>1.7639999999999999E-3</v>
      </c>
      <c r="X79" s="55">
        <f>'Energy Effic. Kits Deemed Table'!J53</f>
        <v>19</v>
      </c>
      <c r="Y79" s="55"/>
      <c r="Z79" s="55">
        <f t="shared" si="20"/>
        <v>19</v>
      </c>
      <c r="AA79" s="2581">
        <f>'Energy Effic. Kits Deemed Table'!BB53</f>
        <v>3.6458751419963384</v>
      </c>
      <c r="AB79" s="2091">
        <f>'Energy Effic. Kits Deemed Table'!K53</f>
        <v>1.95</v>
      </c>
      <c r="AC79" s="2582">
        <f t="shared" si="21"/>
        <v>6.7101996478460206</v>
      </c>
      <c r="AD79" s="2582"/>
      <c r="AE79" s="1380">
        <f>'Energy Effic. Kits Deemed Table'!BD53</f>
        <v>6.7101996478460206</v>
      </c>
      <c r="AF79" s="571"/>
      <c r="AG79" s="571"/>
      <c r="AH79" s="571"/>
      <c r="AI79" s="3346" t="str">
        <f>'Energy Effic. Kits Deemed Table'!L53</f>
        <v>per measure</v>
      </c>
      <c r="AJ79" s="1974"/>
      <c r="AK79"/>
      <c r="AL79"/>
      <c r="AM79" s="1596">
        <f t="shared" si="22"/>
        <v>1.4925290000000001E-4</v>
      </c>
      <c r="AN79">
        <f t="shared" si="16"/>
        <v>1.7641692780000001E-3</v>
      </c>
      <c r="AO79" s="1595">
        <f t="shared" si="23"/>
        <v>1.6927800000014065E-7</v>
      </c>
      <c r="AP79"/>
      <c r="AQ79"/>
      <c r="AR79"/>
      <c r="AS79"/>
      <c r="AT79"/>
      <c r="AU79"/>
      <c r="AV79"/>
    </row>
    <row r="80" spans="1:48" s="84" customFormat="1" x14ac:dyDescent="0.35">
      <c r="A80" s="103" t="str">
        <f t="shared" si="19"/>
        <v>300401</v>
      </c>
      <c r="B80" s="3346" t="str">
        <f>'Energy Effic. Kits Deemed Table'!C54</f>
        <v>300401_2020_12_</v>
      </c>
      <c r="C80" s="3343" t="str">
        <f>'Energy Effic. Kits Deemed Table'!G54</f>
        <v>Lighting RES</v>
      </c>
      <c r="D80" s="3343"/>
      <c r="E80" s="3343"/>
      <c r="F80" s="3343"/>
      <c r="G80" s="3343" t="str">
        <f>'Energy Effic. Kits Deemed Table'!E54</f>
        <v>LED 8W Globe Light G25 Bulb (Halogen Baseline) - IE Kit</v>
      </c>
      <c r="H80" s="50" t="str">
        <f>'Energy Effic. Kits Deemed Table'!D54</f>
        <v>IE</v>
      </c>
      <c r="I80" s="1966">
        <f>'Energy Effic. Kits Deemed Table'!F54</f>
        <v>32.1</v>
      </c>
      <c r="J80" s="1966">
        <v>0</v>
      </c>
      <c r="K80" s="560">
        <v>0</v>
      </c>
      <c r="L80" s="560">
        <v>0</v>
      </c>
      <c r="M80" s="560">
        <v>0</v>
      </c>
      <c r="N80" s="560">
        <v>0</v>
      </c>
      <c r="O80" s="1967">
        <f>'Energy Effic. Kits Deemed Table'!I54</f>
        <v>4.7910000000000001E-3</v>
      </c>
      <c r="P80" s="1967">
        <v>0</v>
      </c>
      <c r="Q80" s="1968">
        <v>0</v>
      </c>
      <c r="R80" s="1968">
        <v>0</v>
      </c>
      <c r="S80" s="1968"/>
      <c r="T80" s="1968"/>
      <c r="U80" s="1969">
        <v>0</v>
      </c>
      <c r="V80" s="1969">
        <v>0</v>
      </c>
      <c r="W80" s="3362">
        <f t="shared" si="18"/>
        <v>4.7910000000000001E-3</v>
      </c>
      <c r="X80" s="55">
        <f>'Energy Effic. Kits Deemed Table'!J54</f>
        <v>19</v>
      </c>
      <c r="Y80" s="55"/>
      <c r="Z80" s="55">
        <f t="shared" si="20"/>
        <v>19</v>
      </c>
      <c r="AA80" s="2581">
        <f>'Energy Effic. Kits Deemed Table'!BB54</f>
        <v>9.9012345226804097</v>
      </c>
      <c r="AB80" s="2091">
        <f>'Energy Effic. Kits Deemed Table'!K54</f>
        <v>1.95</v>
      </c>
      <c r="AC80" s="2582">
        <f t="shared" si="21"/>
        <v>18.223131023338176</v>
      </c>
      <c r="AD80" s="2582"/>
      <c r="AE80" s="1380">
        <f>'Energy Effic. Kits Deemed Table'!BD54</f>
        <v>18.223131023338176</v>
      </c>
      <c r="AF80" s="571"/>
      <c r="AG80" s="571"/>
      <c r="AH80" s="571"/>
      <c r="AI80" s="3346" t="str">
        <f>'Energy Effic. Kits Deemed Table'!L54</f>
        <v>per measure</v>
      </c>
      <c r="AJ80" s="1974"/>
      <c r="AM80" s="1961">
        <f t="shared" si="22"/>
        <v>1.4925290000000001E-4</v>
      </c>
      <c r="AN80" s="84">
        <f t="shared" ref="AN80:AN111" si="24">AM80*I80</f>
        <v>4.7910180900000007E-3</v>
      </c>
      <c r="AO80" s="1965">
        <f t="shared" si="23"/>
        <v>1.8090000000574313E-8</v>
      </c>
    </row>
    <row r="81" spans="1:48" s="84" customFormat="1" x14ac:dyDescent="0.35">
      <c r="A81" s="103" t="str">
        <f t="shared" si="19"/>
        <v>300402</v>
      </c>
      <c r="B81" s="3346" t="str">
        <f>'Energy Effic. Kits Deemed Table'!C55</f>
        <v>300402_2020_12_</v>
      </c>
      <c r="C81" s="3343" t="str">
        <f>'Energy Effic. Kits Deemed Table'!G55</f>
        <v>Lighting RES</v>
      </c>
      <c r="D81" s="3343"/>
      <c r="E81" s="3343"/>
      <c r="F81" s="3343"/>
      <c r="G81" s="3343" t="str">
        <f>'Energy Effic. Kits Deemed Table'!E55</f>
        <v>LED 20W (Halogen baseline) (1490-2600 lumens) - IE Kit</v>
      </c>
      <c r="H81" s="50" t="str">
        <f>'Energy Effic. Kits Deemed Table'!D55</f>
        <v>IE</v>
      </c>
      <c r="I81" s="1966">
        <f>'Energy Effic. Kits Deemed Table'!F55</f>
        <v>50.36</v>
      </c>
      <c r="J81" s="1966">
        <v>0</v>
      </c>
      <c r="K81" s="560">
        <v>0</v>
      </c>
      <c r="L81" s="560">
        <v>0</v>
      </c>
      <c r="M81" s="560">
        <v>0</v>
      </c>
      <c r="N81" s="560">
        <v>0</v>
      </c>
      <c r="O81" s="1967">
        <f>'Energy Effic. Kits Deemed Table'!I55</f>
        <v>7.5160000000000001E-3</v>
      </c>
      <c r="P81" s="1967">
        <v>0</v>
      </c>
      <c r="Q81" s="1968">
        <v>0</v>
      </c>
      <c r="R81" s="1968">
        <v>0</v>
      </c>
      <c r="S81" s="1968"/>
      <c r="T81" s="1968"/>
      <c r="U81" s="1969">
        <v>0</v>
      </c>
      <c r="V81" s="1969">
        <v>0</v>
      </c>
      <c r="W81" s="3362">
        <f t="shared" si="18"/>
        <v>7.5160000000000001E-3</v>
      </c>
      <c r="X81" s="55">
        <f>'Energy Effic. Kits Deemed Table'!J55</f>
        <v>19</v>
      </c>
      <c r="Y81" s="55"/>
      <c r="Z81" s="55">
        <f t="shared" si="20"/>
        <v>19</v>
      </c>
      <c r="AA81" s="2581">
        <f>'Energy Effic. Kits Deemed Table'!BB55</f>
        <v>15.533525562684906</v>
      </c>
      <c r="AB81" s="2091">
        <f>'Energy Effic. Kits Deemed Table'!K55</f>
        <v>1.95</v>
      </c>
      <c r="AC81" s="2582">
        <f t="shared" si="21"/>
        <v>28.589310851567308</v>
      </c>
      <c r="AD81" s="2582"/>
      <c r="AE81" s="1380">
        <f>'Energy Effic. Kits Deemed Table'!BD55</f>
        <v>28.589310851567308</v>
      </c>
      <c r="AF81" s="571"/>
      <c r="AG81" s="571"/>
      <c r="AH81" s="571"/>
      <c r="AI81" s="3346" t="str">
        <f>'Energy Effic. Kits Deemed Table'!L55</f>
        <v>per measure</v>
      </c>
      <c r="AJ81" s="1974"/>
      <c r="AM81" s="1961">
        <f t="shared" si="22"/>
        <v>1.4925290000000001E-4</v>
      </c>
      <c r="AN81" s="84">
        <f t="shared" si="24"/>
        <v>7.5163760440000007E-3</v>
      </c>
      <c r="AO81" s="1965">
        <f t="shared" si="23"/>
        <v>3.7604400000054022E-7</v>
      </c>
    </row>
    <row r="82" spans="1:48" x14ac:dyDescent="0.35">
      <c r="A82" s="103" t="str">
        <f t="shared" si="19"/>
        <v>300403</v>
      </c>
      <c r="B82" s="3346" t="str">
        <f>'Energy Effic. Kits Deemed Table'!C56</f>
        <v>300403_2020_12_</v>
      </c>
      <c r="C82" s="3343" t="str">
        <f>'Energy Effic. Kits Deemed Table'!G56</f>
        <v>Lighting RES</v>
      </c>
      <c r="D82" s="3343"/>
      <c r="E82" s="3343"/>
      <c r="F82" s="3343"/>
      <c r="G82" s="3343" t="str">
        <f>'Energy Effic. Kits Deemed Table'!E56</f>
        <v>LED 15W Flood Light PAR30 Bulb (Halogen Baseline) - IE Kit</v>
      </c>
      <c r="H82" s="50" t="str">
        <f>'Energy Effic. Kits Deemed Table'!D56</f>
        <v>IE</v>
      </c>
      <c r="I82" s="1966">
        <f>'Energy Effic. Kits Deemed Table'!F56</f>
        <v>45.49</v>
      </c>
      <c r="J82" s="1966">
        <v>0</v>
      </c>
      <c r="K82" s="560">
        <v>0</v>
      </c>
      <c r="L82" s="560">
        <v>0</v>
      </c>
      <c r="M82" s="560">
        <v>0</v>
      </c>
      <c r="N82" s="560">
        <v>0</v>
      </c>
      <c r="O82" s="1967">
        <f>'Energy Effic. Kits Deemed Table'!I56</f>
        <v>6.79E-3</v>
      </c>
      <c r="P82" s="1967">
        <v>0</v>
      </c>
      <c r="Q82" s="1968">
        <v>0</v>
      </c>
      <c r="R82" s="1968">
        <v>0</v>
      </c>
      <c r="S82" s="1968"/>
      <c r="T82" s="1968"/>
      <c r="U82" s="1969">
        <v>0</v>
      </c>
      <c r="V82" s="1969">
        <v>0</v>
      </c>
      <c r="W82" s="3362">
        <f t="shared" si="18"/>
        <v>6.79E-3</v>
      </c>
      <c r="X82" s="55">
        <f>'Energy Effic. Kits Deemed Table'!J56</f>
        <v>19</v>
      </c>
      <c r="Y82" s="55"/>
      <c r="Z82" s="55">
        <f t="shared" si="20"/>
        <v>19</v>
      </c>
      <c r="AA82" s="2581">
        <f>'Energy Effic. Kits Deemed Table'!BB56</f>
        <v>14.031375652234637</v>
      </c>
      <c r="AB82" s="2091">
        <f>'Energy Effic. Kits Deemed Table'!K56</f>
        <v>1.95</v>
      </c>
      <c r="AC82" s="2582">
        <f t="shared" si="21"/>
        <v>25.824617764849023</v>
      </c>
      <c r="AD82" s="2582"/>
      <c r="AE82" s="1380">
        <f>'Energy Effic. Kits Deemed Table'!BD56</f>
        <v>25.824617764849023</v>
      </c>
      <c r="AF82" s="571"/>
      <c r="AG82" s="571"/>
      <c r="AH82" s="571"/>
      <c r="AI82" s="3346" t="str">
        <f>'Energy Effic. Kits Deemed Table'!L56</f>
        <v>per measure</v>
      </c>
      <c r="AJ82" s="1974"/>
      <c r="AK82" s="84"/>
      <c r="AL82" s="84"/>
      <c r="AM82" s="1961">
        <f t="shared" si="22"/>
        <v>1.4925290000000001E-4</v>
      </c>
      <c r="AN82" s="84">
        <f t="shared" si="24"/>
        <v>6.7895144210000005E-3</v>
      </c>
      <c r="AO82" s="1965">
        <f t="shared" si="23"/>
        <v>-4.855789999995766E-7</v>
      </c>
      <c r="AP82" s="84"/>
      <c r="AQ82" s="84"/>
      <c r="AR82" s="84"/>
      <c r="AS82" s="84"/>
      <c r="AT82" s="84"/>
      <c r="AU82" s="84"/>
      <c r="AV82" s="84"/>
    </row>
    <row r="83" spans="1:48" x14ac:dyDescent="0.35">
      <c r="A83" s="103" t="str">
        <f t="shared" si="19"/>
        <v>300430</v>
      </c>
      <c r="B83" s="3346" t="str">
        <f>'Energy Effic. Kits Deemed Table'!C57</f>
        <v>300430_2021_12_</v>
      </c>
      <c r="C83" s="3343" t="str">
        <f>'Energy Effic. Kits Deemed Table'!G57</f>
        <v>Lighting RES</v>
      </c>
      <c r="D83" s="3343"/>
      <c r="E83" s="3343"/>
      <c r="F83" s="3343"/>
      <c r="G83" s="3343" t="str">
        <f>'Energy Effic. Kits Deemed Table'!E57</f>
        <v>LED Nightlights</v>
      </c>
      <c r="H83" s="50" t="str">
        <f>'Energy Effic. Kits Deemed Table'!D57</f>
        <v>IE</v>
      </c>
      <c r="I83" s="1966">
        <f>'Energy Effic. Kits Deemed Table'!F57</f>
        <v>26.15</v>
      </c>
      <c r="J83" s="1966">
        <v>0</v>
      </c>
      <c r="K83" s="560">
        <v>0</v>
      </c>
      <c r="L83" s="560">
        <v>0</v>
      </c>
      <c r="M83" s="560">
        <v>0</v>
      </c>
      <c r="N83" s="560">
        <v>0</v>
      </c>
      <c r="O83" s="1967">
        <f>'Energy Effic. Kits Deemed Table'!I57</f>
        <v>3.9029999999999998E-3</v>
      </c>
      <c r="P83" s="1967">
        <v>0</v>
      </c>
      <c r="Q83" s="1968">
        <v>0</v>
      </c>
      <c r="R83" s="1968">
        <v>0</v>
      </c>
      <c r="S83" s="1968"/>
      <c r="T83" s="1968"/>
      <c r="U83" s="1969">
        <v>0</v>
      </c>
      <c r="V83" s="1969">
        <v>0</v>
      </c>
      <c r="W83" s="3362">
        <f t="shared" si="18"/>
        <v>3.9029999999999998E-3</v>
      </c>
      <c r="X83" s="55">
        <f>'Energy Effic. Kits Deemed Table'!J57</f>
        <v>19</v>
      </c>
      <c r="Y83" s="55"/>
      <c r="Z83" s="55">
        <f t="shared" si="20"/>
        <v>19</v>
      </c>
      <c r="AA83" s="2581">
        <f>'Energy Effic. Kits Deemed Table'!BB57</f>
        <v>8.0659589647380905</v>
      </c>
      <c r="AB83" s="2091">
        <f>'Energy Effic. Kits Deemed Table'!K57</f>
        <v>1.95</v>
      </c>
      <c r="AC83" s="2582">
        <f t="shared" si="21"/>
        <v>14.845323247984215</v>
      </c>
      <c r="AD83" s="2582"/>
      <c r="AE83" s="1380">
        <f>'Energy Effic. Kits Deemed Table'!BD57</f>
        <v>14.845323247984215</v>
      </c>
      <c r="AF83" s="571"/>
      <c r="AG83" s="571"/>
      <c r="AH83" s="571"/>
      <c r="AI83" s="3346" t="str">
        <f>'Energy Effic. Kits Deemed Table'!L57</f>
        <v>per measure</v>
      </c>
      <c r="AJ83" s="1974"/>
      <c r="AK83" s="84"/>
      <c r="AL83" s="84"/>
      <c r="AM83" s="1961">
        <f t="shared" si="22"/>
        <v>1.4925290000000001E-4</v>
      </c>
      <c r="AN83" s="84">
        <f t="shared" si="24"/>
        <v>3.9029633350000001E-3</v>
      </c>
      <c r="AO83" s="1965">
        <f t="shared" si="23"/>
        <v>-3.6664999999644343E-8</v>
      </c>
      <c r="AP83" s="84"/>
      <c r="AQ83" s="84"/>
      <c r="AR83" s="84"/>
      <c r="AS83" s="84"/>
      <c r="AT83" s="84"/>
      <c r="AU83" s="84"/>
      <c r="AV83" s="84"/>
    </row>
    <row r="84" spans="1:48" x14ac:dyDescent="0.35">
      <c r="A84" s="103" t="str">
        <f t="shared" si="19"/>
        <v>300450</v>
      </c>
      <c r="B84" s="3346" t="str">
        <f>'Energy Effic. Kits Deemed Table'!C105</f>
        <v>300450_2019_12_</v>
      </c>
      <c r="C84" s="3343" t="str">
        <f>'Energy Effic. Kits Deemed Table'!G105</f>
        <v>Water Heating RES</v>
      </c>
      <c r="D84" s="3343"/>
      <c r="E84" s="3343"/>
      <c r="F84" s="3343"/>
      <c r="G84" s="3343" t="str">
        <f>'Energy Effic. Kits Deemed Table'!E105</f>
        <v>Kit Faucet Aerator (Kitchen)</v>
      </c>
      <c r="H84" s="50" t="str">
        <f>'Energy Effic. Kits Deemed Table'!D105</f>
        <v>School</v>
      </c>
      <c r="I84" s="1966">
        <f>'Energy Effic. Kits Deemed Table'!F105</f>
        <v>29.75</v>
      </c>
      <c r="J84" s="1966">
        <v>0</v>
      </c>
      <c r="K84" s="560">
        <v>0</v>
      </c>
      <c r="L84" s="560">
        <v>0</v>
      </c>
      <c r="M84" s="560">
        <v>0</v>
      </c>
      <c r="N84" s="560">
        <v>0</v>
      </c>
      <c r="O84" s="1967">
        <f>'Energy Effic. Kits Deemed Table'!J105</f>
        <v>2.64E-3</v>
      </c>
      <c r="P84" s="1967">
        <v>0</v>
      </c>
      <c r="Q84" s="1968">
        <v>0</v>
      </c>
      <c r="R84" s="1968">
        <v>0</v>
      </c>
      <c r="S84" s="1968"/>
      <c r="T84" s="1968"/>
      <c r="U84" s="1969">
        <v>0</v>
      </c>
      <c r="V84" s="1969">
        <f t="shared" ref="V84:V110" si="25">O84</f>
        <v>2.64E-3</v>
      </c>
      <c r="W84" s="1969">
        <v>0</v>
      </c>
      <c r="X84" s="55">
        <f>'Energy Effic. Kits Deemed Table'!K105</f>
        <v>10</v>
      </c>
      <c r="Y84" s="55"/>
      <c r="Z84" s="55">
        <f t="shared" si="20"/>
        <v>10</v>
      </c>
      <c r="AA84" s="2581">
        <f>'Energy Effic. Kits Deemed Table'!BB105</f>
        <v>3.5445152017919854</v>
      </c>
      <c r="AB84" s="2091">
        <f>'Energy Effic. Kits Deemed Table'!L105</f>
        <v>3</v>
      </c>
      <c r="AC84" s="2582">
        <f t="shared" si="21"/>
        <v>10.03638093947707</v>
      </c>
      <c r="AD84" s="2582"/>
      <c r="AE84" s="1380">
        <f>'Energy Effic. Kits Deemed Table'!BD105</f>
        <v>10.03638093947707</v>
      </c>
      <c r="AF84" s="571"/>
      <c r="AG84" s="571"/>
      <c r="AH84" s="571"/>
      <c r="AI84" s="2585" t="str">
        <f>'Energy Effic. Kits Deemed Table'!M105</f>
        <v>per measure</v>
      </c>
      <c r="AJ84" s="1974"/>
      <c r="AM84" s="1596">
        <f t="shared" si="22"/>
        <v>8.8731800000000003E-5</v>
      </c>
      <c r="AN84">
        <f t="shared" si="24"/>
        <v>2.6397710500000002E-3</v>
      </c>
      <c r="AO84" s="1595">
        <f t="shared" si="23"/>
        <v>-2.289499999997939E-7</v>
      </c>
    </row>
    <row r="85" spans="1:48" s="84" customFormat="1" x14ac:dyDescent="0.35">
      <c r="A85" s="103" t="str">
        <f t="shared" si="19"/>
        <v>300460</v>
      </c>
      <c r="B85" s="3346" t="str">
        <f>'Energy Effic. Kits Deemed Table'!C106</f>
        <v>300460_2020_12_</v>
      </c>
      <c r="C85" s="3343" t="str">
        <f>'Energy Effic. Kits Deemed Table'!G106</f>
        <v>Water Heating RES</v>
      </c>
      <c r="D85" s="3343"/>
      <c r="E85" s="3343"/>
      <c r="F85" s="3343"/>
      <c r="G85" s="3343" t="str">
        <f>'Energy Effic. Kits Deemed Table'!E106</f>
        <v>Kit Faucet Aerator (Kitchen) - ARP Kits</v>
      </c>
      <c r="H85" s="50" t="str">
        <f>'Energy Effic. Kits Deemed Table'!D106</f>
        <v>ARP</v>
      </c>
      <c r="I85" s="1966">
        <f>'Energy Effic. Kits Deemed Table'!F106</f>
        <v>12.77</v>
      </c>
      <c r="J85" s="1966">
        <v>0</v>
      </c>
      <c r="K85" s="560">
        <v>0</v>
      </c>
      <c r="L85" s="560">
        <v>0</v>
      </c>
      <c r="M85" s="560">
        <v>0</v>
      </c>
      <c r="N85" s="560">
        <v>0</v>
      </c>
      <c r="O85" s="1967">
        <f>'Energy Effic. Kits Deemed Table'!J106</f>
        <v>1.1329999999999999E-3</v>
      </c>
      <c r="P85" s="1967">
        <v>0</v>
      </c>
      <c r="Q85" s="1968">
        <v>0</v>
      </c>
      <c r="R85" s="1968">
        <v>0</v>
      </c>
      <c r="S85" s="1968"/>
      <c r="T85" s="1968"/>
      <c r="U85" s="1969">
        <v>0</v>
      </c>
      <c r="V85" s="1969">
        <f t="shared" si="25"/>
        <v>1.1329999999999999E-3</v>
      </c>
      <c r="W85" s="1969">
        <v>0</v>
      </c>
      <c r="X85" s="55">
        <f>'Energy Effic. Kits Deemed Table'!K106</f>
        <v>10</v>
      </c>
      <c r="Y85" s="55"/>
      <c r="Z85" s="55">
        <f t="shared" si="20"/>
        <v>10</v>
      </c>
      <c r="AA85" s="2581">
        <f>'Energy Effic. Kits Deemed Table'!BB106</f>
        <v>1.5214608109876857</v>
      </c>
      <c r="AB85" s="2091">
        <f>'Energy Effic. Kits Deemed Table'!L106</f>
        <v>3</v>
      </c>
      <c r="AC85" s="2582">
        <f t="shared" si="21"/>
        <v>4.3080532637688123</v>
      </c>
      <c r="AD85" s="2582"/>
      <c r="AE85" s="1380">
        <f>'Energy Effic. Kits Deemed Table'!BD106</f>
        <v>4.3080532637688123</v>
      </c>
      <c r="AF85" s="571"/>
      <c r="AG85" s="571"/>
      <c r="AH85" s="571"/>
      <c r="AI85" s="2585" t="str">
        <f>'Energy Effic. Kits Deemed Table'!M106</f>
        <v>per measure</v>
      </c>
      <c r="AJ85" s="1974"/>
      <c r="AM85" s="1961">
        <f t="shared" si="22"/>
        <v>8.8731800000000003E-5</v>
      </c>
      <c r="AN85" s="84">
        <f t="shared" si="24"/>
        <v>1.133105086E-3</v>
      </c>
      <c r="AO85" s="1965">
        <f t="shared" si="23"/>
        <v>1.0508600000011699E-7</v>
      </c>
    </row>
    <row r="86" spans="1:48" x14ac:dyDescent="0.35">
      <c r="A86" s="103" t="str">
        <f t="shared" si="19"/>
        <v>300500</v>
      </c>
      <c r="B86" s="3346" t="str">
        <f>'Energy Effic. Kits Deemed Table'!C107</f>
        <v>300500_2019_12_</v>
      </c>
      <c r="C86" s="3343" t="str">
        <f>'Energy Effic. Kits Deemed Table'!G107</f>
        <v>Water Heating RES</v>
      </c>
      <c r="D86" s="3343"/>
      <c r="E86" s="3343"/>
      <c r="F86" s="3343"/>
      <c r="G86" s="3343" t="str">
        <f>'Energy Effic. Kits Deemed Table'!E107</f>
        <v>Kit Faucet Aerator (Kitchen)</v>
      </c>
      <c r="H86" s="50" t="str">
        <f>'Energy Effic. Kits Deemed Table'!D107</f>
        <v>MF</v>
      </c>
      <c r="I86" s="1966">
        <f>'Energy Effic. Kits Deemed Table'!F107</f>
        <v>99.55</v>
      </c>
      <c r="J86" s="1966">
        <v>0</v>
      </c>
      <c r="K86" s="560">
        <v>0</v>
      </c>
      <c r="L86" s="560">
        <v>0</v>
      </c>
      <c r="M86" s="560">
        <v>0</v>
      </c>
      <c r="N86" s="560">
        <v>0</v>
      </c>
      <c r="O86" s="1967">
        <f>'Energy Effic. Kits Deemed Table'!J107</f>
        <v>8.8330000000000006E-3</v>
      </c>
      <c r="P86" s="1967">
        <v>0</v>
      </c>
      <c r="Q86" s="1968">
        <v>0</v>
      </c>
      <c r="R86" s="1968">
        <v>0</v>
      </c>
      <c r="S86" s="1968"/>
      <c r="T86" s="1968"/>
      <c r="U86" s="1969">
        <v>0</v>
      </c>
      <c r="V86" s="1969">
        <f t="shared" si="25"/>
        <v>8.8330000000000006E-3</v>
      </c>
      <c r="W86" s="1969">
        <v>0</v>
      </c>
      <c r="X86" s="55">
        <f>'Energy Effic. Kits Deemed Table'!K107</f>
        <v>10</v>
      </c>
      <c r="Y86" s="55"/>
      <c r="Z86" s="55">
        <f t="shared" si="20"/>
        <v>10</v>
      </c>
      <c r="AA86" s="2581">
        <f>'Energy Effic. Kits Deemed Table'!BB107</f>
        <v>11.860722297088811</v>
      </c>
      <c r="AB86" s="2091">
        <f>'Energy Effic. Kits Deemed Table'!L107</f>
        <v>3</v>
      </c>
      <c r="AC86" s="2582">
        <f t="shared" si="21"/>
        <v>33.583923446216545</v>
      </c>
      <c r="AD86" s="2582"/>
      <c r="AE86" s="1380">
        <f>'Energy Effic. Kits Deemed Table'!BD107</f>
        <v>33.583923446216545</v>
      </c>
      <c r="AF86" s="571"/>
      <c r="AG86" s="571"/>
      <c r="AH86" s="571"/>
      <c r="AI86" s="2585" t="str">
        <f>'Energy Effic. Kits Deemed Table'!M107</f>
        <v>per measure</v>
      </c>
      <c r="AJ86" s="1974"/>
      <c r="AM86" s="1596">
        <f t="shared" si="22"/>
        <v>8.8731800000000003E-5</v>
      </c>
      <c r="AN86">
        <f t="shared" si="24"/>
        <v>8.8332506900000007E-3</v>
      </c>
      <c r="AO86" s="1595">
        <f t="shared" si="23"/>
        <v>2.50690000000095E-7</v>
      </c>
    </row>
    <row r="87" spans="1:48" s="84" customFormat="1" x14ac:dyDescent="0.35">
      <c r="A87" s="103" t="str">
        <f t="shared" si="19"/>
        <v>300501</v>
      </c>
      <c r="B87" s="3346" t="str">
        <f>'Energy Effic. Kits Deemed Table'!C108</f>
        <v>300501_2020_12_</v>
      </c>
      <c r="C87" s="3343" t="str">
        <f>'Energy Effic. Kits Deemed Table'!G108</f>
        <v>Water Heating RES</v>
      </c>
      <c r="D87" s="3343"/>
      <c r="E87" s="3343"/>
      <c r="F87" s="3343"/>
      <c r="G87" s="3343" t="str">
        <f>'Energy Effic. Kits Deemed Table'!E108</f>
        <v>Kit Faucet Aerator (Kitchen) - SFIE Kits</v>
      </c>
      <c r="H87" s="50" t="str">
        <f>'Energy Effic. Kits Deemed Table'!D108</f>
        <v>IE</v>
      </c>
      <c r="I87" s="1966">
        <f>'Energy Effic. Kits Deemed Table'!F108</f>
        <v>43.69</v>
      </c>
      <c r="J87" s="1966">
        <v>0</v>
      </c>
      <c r="K87" s="560">
        <v>0</v>
      </c>
      <c r="L87" s="560">
        <v>0</v>
      </c>
      <c r="M87" s="560">
        <v>0</v>
      </c>
      <c r="N87" s="560">
        <v>0</v>
      </c>
      <c r="O87" s="1967">
        <f>'Energy Effic. Kits Deemed Table'!J108</f>
        <v>3.8769999999999998E-3</v>
      </c>
      <c r="P87" s="1967">
        <v>0</v>
      </c>
      <c r="Q87" s="1968">
        <v>0</v>
      </c>
      <c r="R87" s="1968">
        <v>0</v>
      </c>
      <c r="S87" s="1968"/>
      <c r="T87" s="1968"/>
      <c r="U87" s="1969">
        <v>0</v>
      </c>
      <c r="V87" s="1969">
        <f t="shared" si="25"/>
        <v>3.8769999999999998E-3</v>
      </c>
      <c r="W87" s="1969">
        <v>0</v>
      </c>
      <c r="X87" s="55">
        <f>'Energy Effic. Kits Deemed Table'!K108</f>
        <v>10</v>
      </c>
      <c r="Y87" s="55"/>
      <c r="Z87" s="55">
        <f t="shared" si="20"/>
        <v>10</v>
      </c>
      <c r="AA87" s="2581">
        <f>'Energy Effic. Kits Deemed Table'!BB108</f>
        <v>5.2053737534888009</v>
      </c>
      <c r="AB87" s="2091">
        <f>'Energy Effic. Kits Deemed Table'!L108</f>
        <v>3</v>
      </c>
      <c r="AC87" s="2582">
        <f t="shared" si="21"/>
        <v>14.739142293974895</v>
      </c>
      <c r="AD87" s="2582"/>
      <c r="AE87" s="1380">
        <f>'Energy Effic. Kits Deemed Table'!BD108</f>
        <v>14.739142293974895</v>
      </c>
      <c r="AF87" s="571"/>
      <c r="AG87" s="571"/>
      <c r="AH87" s="571"/>
      <c r="AI87" s="2585" t="str">
        <f>'Energy Effic. Kits Deemed Table'!M108</f>
        <v>per measure</v>
      </c>
      <c r="AJ87" s="1974"/>
      <c r="AM87" s="1961">
        <f t="shared" si="22"/>
        <v>8.8731800000000003E-5</v>
      </c>
      <c r="AN87" s="84">
        <f t="shared" si="24"/>
        <v>3.8766923420000001E-3</v>
      </c>
      <c r="AO87" s="1965">
        <f t="shared" si="23"/>
        <v>-3.0765799999971088E-7</v>
      </c>
    </row>
    <row r="88" spans="1:48" x14ac:dyDescent="0.35">
      <c r="A88" s="103" t="str">
        <f t="shared" si="19"/>
        <v>300550</v>
      </c>
      <c r="B88" s="3346" t="str">
        <f>'Energy Effic. Kits Deemed Table'!C157</f>
        <v>300550_2019_12_</v>
      </c>
      <c r="C88" s="3343" t="str">
        <f>'Energy Effic. Kits Deemed Table'!G157</f>
        <v>Water Heating RES</v>
      </c>
      <c r="D88" s="3343"/>
      <c r="E88" s="3343"/>
      <c r="F88" s="3343"/>
      <c r="G88" s="3343" t="str">
        <f>'Energy Effic. Kits Deemed Table'!E157</f>
        <v>Kit Faucet Aerator (Bathroom)</v>
      </c>
      <c r="H88" s="50" t="str">
        <f>'Energy Effic. Kits Deemed Table'!D157</f>
        <v>School</v>
      </c>
      <c r="I88" s="1966">
        <f>'Energy Effic. Kits Deemed Table'!F157</f>
        <v>6.17</v>
      </c>
      <c r="J88" s="1966">
        <v>0</v>
      </c>
      <c r="K88" s="560">
        <v>0</v>
      </c>
      <c r="L88" s="560">
        <v>0</v>
      </c>
      <c r="M88" s="560">
        <v>0</v>
      </c>
      <c r="N88" s="560">
        <v>0</v>
      </c>
      <c r="O88" s="1967">
        <f>'Energy Effic. Kits Deemed Table'!J157</f>
        <v>5.4699999999999996E-4</v>
      </c>
      <c r="P88" s="1967">
        <v>0</v>
      </c>
      <c r="Q88" s="1968">
        <v>0</v>
      </c>
      <c r="R88" s="1968">
        <v>0</v>
      </c>
      <c r="S88" s="1968"/>
      <c r="T88" s="1968"/>
      <c r="U88" s="1969">
        <v>0</v>
      </c>
      <c r="V88" s="1969">
        <f t="shared" si="25"/>
        <v>5.4699999999999996E-4</v>
      </c>
      <c r="W88" s="1969">
        <v>0</v>
      </c>
      <c r="X88" s="55">
        <f>'Energy Effic. Kits Deemed Table'!K157</f>
        <v>10</v>
      </c>
      <c r="Y88" s="55"/>
      <c r="Z88" s="55">
        <f t="shared" si="20"/>
        <v>10</v>
      </c>
      <c r="AA88" s="2581">
        <f>'Energy Effic. Kits Deemed Table'!BB157</f>
        <v>0.7351145813464387</v>
      </c>
      <c r="AB88" s="2091">
        <f>'Energy Effic. Kits Deemed Table'!L157</f>
        <v>3</v>
      </c>
      <c r="AC88" s="2582">
        <f t="shared" si="21"/>
        <v>2.0814948032461689</v>
      </c>
      <c r="AD88" s="2582"/>
      <c r="AE88" s="1380">
        <f>'Energy Effic. Kits Deemed Table'!BD157</f>
        <v>2.0814948032461689</v>
      </c>
      <c r="AF88" s="571"/>
      <c r="AG88" s="571"/>
      <c r="AH88" s="571"/>
      <c r="AI88" s="2585" t="str">
        <f>'Energy Effic. Kits Deemed Table'!M157</f>
        <v>per measure</v>
      </c>
      <c r="AJ88" s="1974"/>
      <c r="AM88" s="1596">
        <f t="shared" si="22"/>
        <v>8.8731800000000003E-5</v>
      </c>
      <c r="AN88">
        <f t="shared" si="24"/>
        <v>5.47475206E-4</v>
      </c>
      <c r="AO88" s="1595">
        <f t="shared" si="23"/>
        <v>4.7520600000004222E-7</v>
      </c>
    </row>
    <row r="89" spans="1:48" s="84" customFormat="1" x14ac:dyDescent="0.35">
      <c r="A89" s="103" t="str">
        <f t="shared" si="19"/>
        <v>300560</v>
      </c>
      <c r="B89" s="3346" t="str">
        <f>'Energy Effic. Kits Deemed Table'!C158</f>
        <v>300560_2020_12_</v>
      </c>
      <c r="C89" s="3343" t="str">
        <f>'Energy Effic. Kits Deemed Table'!G158</f>
        <v>Water Heating RES</v>
      </c>
      <c r="D89" s="3343"/>
      <c r="E89" s="3343"/>
      <c r="F89" s="3343"/>
      <c r="G89" s="3343" t="str">
        <f>'Energy Effic. Kits Deemed Table'!E158</f>
        <v>Kit Faucet Aerator (Bathroom) - ARP Kits</v>
      </c>
      <c r="H89" s="50" t="str">
        <f>'Energy Effic. Kits Deemed Table'!D158</f>
        <v>ARP</v>
      </c>
      <c r="I89" s="1966">
        <f>'Energy Effic. Kits Deemed Table'!F158</f>
        <v>2.65</v>
      </c>
      <c r="J89" s="1966">
        <v>0</v>
      </c>
      <c r="K89" s="560">
        <v>0</v>
      </c>
      <c r="L89" s="560">
        <v>0</v>
      </c>
      <c r="M89" s="560">
        <v>0</v>
      </c>
      <c r="N89" s="560">
        <v>0</v>
      </c>
      <c r="O89" s="1967">
        <f>'Energy Effic. Kits Deemed Table'!J158</f>
        <v>2.3499999999999999E-4</v>
      </c>
      <c r="P89" s="1967">
        <v>0</v>
      </c>
      <c r="Q89" s="1968">
        <v>0</v>
      </c>
      <c r="R89" s="1968">
        <v>0</v>
      </c>
      <c r="S89" s="1968"/>
      <c r="T89" s="1968"/>
      <c r="U89" s="1969">
        <v>0</v>
      </c>
      <c r="V89" s="1969">
        <f t="shared" si="25"/>
        <v>2.3499999999999999E-4</v>
      </c>
      <c r="W89" s="1969">
        <v>0</v>
      </c>
      <c r="X89" s="55">
        <f>'Energy Effic. Kits Deemed Table'!K158</f>
        <v>10</v>
      </c>
      <c r="Y89" s="55"/>
      <c r="Z89" s="55">
        <f t="shared" si="20"/>
        <v>10</v>
      </c>
      <c r="AA89" s="2581">
        <f>'Energy Effic. Kits Deemed Table'!BB158</f>
        <v>0.31572992553777346</v>
      </c>
      <c r="AB89" s="2091">
        <f>'Energy Effic. Kits Deemed Table'!L158</f>
        <v>3</v>
      </c>
      <c r="AC89" s="2582">
        <f t="shared" si="21"/>
        <v>0.89399695763409193</v>
      </c>
      <c r="AD89" s="2582"/>
      <c r="AE89" s="1380">
        <f>'Energy Effic. Kits Deemed Table'!BD158</f>
        <v>0.89399695763409193</v>
      </c>
      <c r="AF89" s="571"/>
      <c r="AG89" s="571"/>
      <c r="AH89" s="571"/>
      <c r="AI89" s="2585" t="str">
        <f>'Energy Effic. Kits Deemed Table'!M158</f>
        <v>per measure</v>
      </c>
      <c r="AJ89" s="1974"/>
      <c r="AM89" s="1961">
        <f t="shared" si="22"/>
        <v>8.8731800000000003E-5</v>
      </c>
      <c r="AN89" s="84">
        <f t="shared" si="24"/>
        <v>2.3513926999999999E-4</v>
      </c>
      <c r="AO89" s="1965">
        <f t="shared" si="23"/>
        <v>1.3926999999999841E-7</v>
      </c>
    </row>
    <row r="90" spans="1:48" x14ac:dyDescent="0.35">
      <c r="A90" s="103" t="str">
        <f t="shared" si="19"/>
        <v>300600</v>
      </c>
      <c r="B90" s="3346" t="str">
        <f>'Energy Effic. Kits Deemed Table'!C159</f>
        <v>300600_2019_12_</v>
      </c>
      <c r="C90" s="3343" t="str">
        <f>'Energy Effic. Kits Deemed Table'!G159</f>
        <v>Water Heating RES</v>
      </c>
      <c r="D90" s="3343"/>
      <c r="E90" s="3343"/>
      <c r="F90" s="3343"/>
      <c r="G90" s="3343" t="str">
        <f>'Energy Effic. Kits Deemed Table'!E159</f>
        <v>Kit Faucet Aerator (Bathroom)</v>
      </c>
      <c r="H90" s="50" t="str">
        <f>'Energy Effic. Kits Deemed Table'!D159</f>
        <v>MF</v>
      </c>
      <c r="I90" s="1966">
        <f>'Energy Effic. Kits Deemed Table'!F159</f>
        <v>30.1</v>
      </c>
      <c r="J90" s="1966">
        <v>0</v>
      </c>
      <c r="K90" s="560">
        <v>0</v>
      </c>
      <c r="L90" s="560">
        <v>0</v>
      </c>
      <c r="M90" s="560">
        <v>0</v>
      </c>
      <c r="N90" s="560">
        <v>0</v>
      </c>
      <c r="O90" s="1967">
        <f>'Energy Effic. Kits Deemed Table'!J159</f>
        <v>2.6710000000000002E-3</v>
      </c>
      <c r="P90" s="1967">
        <v>0</v>
      </c>
      <c r="Q90" s="1968">
        <v>0</v>
      </c>
      <c r="R90" s="1968">
        <v>0</v>
      </c>
      <c r="S90" s="1968"/>
      <c r="T90" s="1968"/>
      <c r="U90" s="1969">
        <v>0</v>
      </c>
      <c r="V90" s="1969">
        <f t="shared" si="25"/>
        <v>2.6710000000000002E-3</v>
      </c>
      <c r="W90" s="1969">
        <v>0</v>
      </c>
      <c r="X90" s="55">
        <f>'Energy Effic. Kits Deemed Table'!K159</f>
        <v>10</v>
      </c>
      <c r="Y90" s="55"/>
      <c r="Z90" s="55">
        <f t="shared" si="20"/>
        <v>10</v>
      </c>
      <c r="AA90" s="2581">
        <f>'Energy Effic. Kits Deemed Table'!BB159</f>
        <v>3.5862153806365975</v>
      </c>
      <c r="AB90" s="2091">
        <f>'Energy Effic. Kits Deemed Table'!L159</f>
        <v>3</v>
      </c>
      <c r="AC90" s="2582">
        <f t="shared" si="21"/>
        <v>10.154456009353272</v>
      </c>
      <c r="AD90" s="2582"/>
      <c r="AE90" s="1380">
        <f>'Energy Effic. Kits Deemed Table'!BD159</f>
        <v>10.154456009353272</v>
      </c>
      <c r="AF90" s="571"/>
      <c r="AG90" s="571"/>
      <c r="AH90" s="571"/>
      <c r="AI90" s="2585" t="str">
        <f>'Energy Effic. Kits Deemed Table'!M159</f>
        <v>per measure</v>
      </c>
      <c r="AJ90" s="1974"/>
      <c r="AM90" s="1596">
        <f t="shared" si="22"/>
        <v>8.8731800000000003E-5</v>
      </c>
      <c r="AN90">
        <f t="shared" si="24"/>
        <v>2.6708271800000003E-3</v>
      </c>
      <c r="AO90" s="1595">
        <f t="shared" si="23"/>
        <v>-1.728199999998653E-7</v>
      </c>
    </row>
    <row r="91" spans="1:48" s="84" customFormat="1" x14ac:dyDescent="0.35">
      <c r="A91" s="103" t="str">
        <f t="shared" si="19"/>
        <v>300601</v>
      </c>
      <c r="B91" s="3346" t="str">
        <f>'Energy Effic. Kits Deemed Table'!C160</f>
        <v>300601_2020_12_</v>
      </c>
      <c r="C91" s="3343" t="str">
        <f>'Energy Effic. Kits Deemed Table'!G160</f>
        <v>Water Heating RES</v>
      </c>
      <c r="D91" s="3343"/>
      <c r="E91" s="3343"/>
      <c r="F91" s="3343"/>
      <c r="G91" s="3343" t="str">
        <f>'Energy Effic. Kits Deemed Table'!E160</f>
        <v>Kit Faucet Aerator (Bathroom) - SFLI Kits</v>
      </c>
      <c r="H91" s="50" t="str">
        <f>'Energy Effic. Kits Deemed Table'!D160</f>
        <v>IE</v>
      </c>
      <c r="I91" s="1966">
        <f>'Energy Effic. Kits Deemed Table'!F160</f>
        <v>13.84</v>
      </c>
      <c r="J91" s="1966">
        <v>0</v>
      </c>
      <c r="K91" s="560">
        <v>0</v>
      </c>
      <c r="L91" s="560">
        <v>0</v>
      </c>
      <c r="M91" s="560">
        <v>0</v>
      </c>
      <c r="N91" s="560">
        <v>0</v>
      </c>
      <c r="O91" s="1967">
        <f>'Energy Effic. Kits Deemed Table'!J160</f>
        <v>1.2279999999999999E-3</v>
      </c>
      <c r="P91" s="1967">
        <v>0</v>
      </c>
      <c r="Q91" s="1968">
        <v>0</v>
      </c>
      <c r="R91" s="1968">
        <v>0</v>
      </c>
      <c r="S91" s="1968"/>
      <c r="T91" s="1968"/>
      <c r="U91" s="1969">
        <v>0</v>
      </c>
      <c r="V91" s="1969">
        <f t="shared" si="25"/>
        <v>1.2279999999999999E-3</v>
      </c>
      <c r="W91" s="1969">
        <v>0</v>
      </c>
      <c r="X91" s="55">
        <f>'Energy Effic. Kits Deemed Table'!K160</f>
        <v>10</v>
      </c>
      <c r="Y91" s="55"/>
      <c r="Z91" s="55">
        <f t="shared" si="20"/>
        <v>10</v>
      </c>
      <c r="AA91" s="2581">
        <f>'Energy Effic. Kits Deemed Table'!BB160</f>
        <v>1.6489442148840698</v>
      </c>
      <c r="AB91" s="2091">
        <f>'Energy Effic. Kits Deemed Table'!L160</f>
        <v>3</v>
      </c>
      <c r="AC91" s="2582">
        <f t="shared" si="21"/>
        <v>4.669025620247484</v>
      </c>
      <c r="AD91" s="2582"/>
      <c r="AE91" s="1380">
        <f>'Energy Effic. Kits Deemed Table'!BD160</f>
        <v>4.669025620247484</v>
      </c>
      <c r="AF91" s="571"/>
      <c r="AG91" s="571"/>
      <c r="AH91" s="571"/>
      <c r="AI91" s="2585" t="str">
        <f>'Energy Effic. Kits Deemed Table'!M160</f>
        <v>per measure</v>
      </c>
      <c r="AJ91" s="1974"/>
      <c r="AM91" s="1961">
        <f t="shared" si="22"/>
        <v>8.8731800000000003E-5</v>
      </c>
      <c r="AN91" s="84">
        <f t="shared" si="24"/>
        <v>1.228048112E-3</v>
      </c>
      <c r="AO91" s="1965">
        <f t="shared" si="23"/>
        <v>4.8112000000091401E-8</v>
      </c>
    </row>
    <row r="92" spans="1:48" x14ac:dyDescent="0.35">
      <c r="A92" s="103" t="str">
        <f t="shared" si="19"/>
        <v>300650</v>
      </c>
      <c r="B92" s="3346" t="str">
        <f>'Energy Effic. Kits Deemed Table'!C209</f>
        <v>300650_2019_12_</v>
      </c>
      <c r="C92" s="3343" t="str">
        <f>'Energy Effic. Kits Deemed Table'!G209</f>
        <v>Water Heating RES</v>
      </c>
      <c r="D92" s="3343"/>
      <c r="E92" s="3343"/>
      <c r="F92" s="3343"/>
      <c r="G92" s="3343" t="str">
        <f>'Energy Effic. Kits Deemed Table'!E209</f>
        <v>Low Flow Showerheads</v>
      </c>
      <c r="H92" s="50" t="str">
        <f>'Energy Effic. Kits Deemed Table'!D209</f>
        <v>School</v>
      </c>
      <c r="I92" s="1966">
        <f>'Energy Effic. Kits Deemed Table'!F209</f>
        <v>71.66</v>
      </c>
      <c r="J92" s="1966">
        <v>0</v>
      </c>
      <c r="K92" s="560">
        <v>0</v>
      </c>
      <c r="L92" s="560">
        <v>0</v>
      </c>
      <c r="M92" s="560">
        <v>0</v>
      </c>
      <c r="N92" s="560">
        <v>0</v>
      </c>
      <c r="O92" s="1967">
        <f>'Energy Effic. Kits Deemed Table'!J209</f>
        <v>6.3590000000000001E-3</v>
      </c>
      <c r="P92" s="1967">
        <v>0</v>
      </c>
      <c r="Q92" s="1968">
        <v>0</v>
      </c>
      <c r="R92" s="1968">
        <v>0</v>
      </c>
      <c r="S92" s="1968"/>
      <c r="T92" s="1968"/>
      <c r="U92" s="1969">
        <v>0</v>
      </c>
      <c r="V92" s="1969">
        <f t="shared" si="25"/>
        <v>6.3590000000000001E-3</v>
      </c>
      <c r="W92" s="1969">
        <v>0</v>
      </c>
      <c r="X92" s="55">
        <f>'Energy Effic. Kits Deemed Table'!K209</f>
        <v>10</v>
      </c>
      <c r="Y92" s="55"/>
      <c r="Z92" s="55">
        <f t="shared" si="20"/>
        <v>10</v>
      </c>
      <c r="AA92" s="2581">
        <f>'Energy Effic. Kits Deemed Table'!BB209</f>
        <v>3.6590630400059587</v>
      </c>
      <c r="AB92" s="2091">
        <f>'Energy Effic. Kits Deemed Table'!L209</f>
        <v>7</v>
      </c>
      <c r="AC92" s="2582">
        <f t="shared" si="21"/>
        <v>24.175027163795857</v>
      </c>
      <c r="AD92" s="2582"/>
      <c r="AE92" s="1380">
        <f>'Energy Effic. Kits Deemed Table'!BD209</f>
        <v>24.175027163795857</v>
      </c>
      <c r="AF92" s="571"/>
      <c r="AG92" s="571"/>
      <c r="AH92" s="571"/>
      <c r="AI92" s="2586" t="str">
        <f>'Energy Effic. Kits Deemed Table'!M209</f>
        <v>per measure</v>
      </c>
      <c r="AJ92" s="1974"/>
      <c r="AM92" s="1596">
        <f t="shared" si="22"/>
        <v>8.8731800000000003E-5</v>
      </c>
      <c r="AN92">
        <f t="shared" si="24"/>
        <v>6.3585207879999998E-3</v>
      </c>
      <c r="AO92" s="1595">
        <f t="shared" si="23"/>
        <v>-4.7921200000029807E-7</v>
      </c>
    </row>
    <row r="93" spans="1:48" s="84" customFormat="1" x14ac:dyDescent="0.35">
      <c r="A93" s="103" t="str">
        <f t="shared" si="19"/>
        <v>300660</v>
      </c>
      <c r="B93" s="3346" t="str">
        <f>'Energy Effic. Kits Deemed Table'!C210</f>
        <v>300660_2020_12_</v>
      </c>
      <c r="C93" s="3343" t="str">
        <f>'Energy Effic. Kits Deemed Table'!G210</f>
        <v>Water Heating RES</v>
      </c>
      <c r="D93" s="3343"/>
      <c r="E93" s="3343"/>
      <c r="F93" s="3343"/>
      <c r="G93" s="3343" t="str">
        <f>'Energy Effic. Kits Deemed Table'!E210</f>
        <v>Low Flow Showerheads - ARP Kits</v>
      </c>
      <c r="H93" s="50" t="str">
        <f>'Energy Effic. Kits Deemed Table'!D210</f>
        <v>ARP</v>
      </c>
      <c r="I93" s="1966">
        <f>'Energy Effic. Kits Deemed Table'!F210</f>
        <v>27.35</v>
      </c>
      <c r="J93" s="1966">
        <v>0</v>
      </c>
      <c r="K93" s="560">
        <v>0</v>
      </c>
      <c r="L93" s="560">
        <v>0</v>
      </c>
      <c r="M93" s="560">
        <v>0</v>
      </c>
      <c r="N93" s="560">
        <v>0</v>
      </c>
      <c r="O93" s="1967">
        <f>'Energy Effic. Kits Deemed Table'!J210</f>
        <v>2.4269999999999999E-3</v>
      </c>
      <c r="P93" s="1967">
        <v>0</v>
      </c>
      <c r="Q93" s="1968">
        <v>0</v>
      </c>
      <c r="R93" s="1968">
        <v>0</v>
      </c>
      <c r="S93" s="1968"/>
      <c r="T93" s="1968"/>
      <c r="U93" s="1969">
        <v>0</v>
      </c>
      <c r="V93" s="1969">
        <f t="shared" si="25"/>
        <v>2.4269999999999999E-3</v>
      </c>
      <c r="W93" s="1969">
        <v>0</v>
      </c>
      <c r="X93" s="55">
        <f>'Energy Effic. Kits Deemed Table'!K210</f>
        <v>10</v>
      </c>
      <c r="Y93" s="55"/>
      <c r="Z93" s="55">
        <f t="shared" si="20"/>
        <v>10</v>
      </c>
      <c r="AA93" s="2581">
        <f>'Energy Effic. Kits Deemed Table'!BB210</f>
        <v>1.3965304792654618</v>
      </c>
      <c r="AB93" s="2091">
        <f>'Energy Effic. Kits Deemed Table'!L210</f>
        <v>7</v>
      </c>
      <c r="AC93" s="2582">
        <f t="shared" si="21"/>
        <v>9.2267233174688368</v>
      </c>
      <c r="AD93" s="2582"/>
      <c r="AE93" s="1380">
        <f>'Energy Effic. Kits Deemed Table'!BD210</f>
        <v>9.2267233174688368</v>
      </c>
      <c r="AF93" s="571"/>
      <c r="AG93" s="571"/>
      <c r="AH93" s="571"/>
      <c r="AI93" s="2586" t="str">
        <f>'Energy Effic. Kits Deemed Table'!M210</f>
        <v>per measure</v>
      </c>
      <c r="AJ93" s="1974"/>
      <c r="AM93" s="1961">
        <f t="shared" si="22"/>
        <v>8.8731800000000003E-5</v>
      </c>
      <c r="AN93" s="84">
        <f t="shared" si="24"/>
        <v>2.4268147300000003E-3</v>
      </c>
      <c r="AO93" s="1965">
        <f t="shared" si="23"/>
        <v>-1.8526999999955718E-7</v>
      </c>
    </row>
    <row r="94" spans="1:48" x14ac:dyDescent="0.35">
      <c r="A94" s="103" t="str">
        <f t="shared" si="19"/>
        <v>300700</v>
      </c>
      <c r="B94" s="3346" t="str">
        <f>'Energy Effic. Kits Deemed Table'!C211</f>
        <v>300700_2019_12_</v>
      </c>
      <c r="C94" s="3343" t="str">
        <f>'Energy Effic. Kits Deemed Table'!G211</f>
        <v>Water Heating RES</v>
      </c>
      <c r="D94" s="3343"/>
      <c r="E94" s="3343"/>
      <c r="F94" s="3343"/>
      <c r="G94" s="3343" t="str">
        <f>'Energy Effic. Kits Deemed Table'!E211</f>
        <v>Low Flow Showerheads</v>
      </c>
      <c r="H94" s="50" t="str">
        <f>'Energy Effic. Kits Deemed Table'!D211</f>
        <v>MF</v>
      </c>
      <c r="I94" s="1966">
        <f>'Energy Effic. Kits Deemed Table'!F211</f>
        <v>291.45</v>
      </c>
      <c r="J94" s="1966">
        <v>0</v>
      </c>
      <c r="K94" s="560">
        <v>0</v>
      </c>
      <c r="L94" s="560">
        <v>0</v>
      </c>
      <c r="M94" s="560">
        <v>0</v>
      </c>
      <c r="N94" s="560">
        <v>0</v>
      </c>
      <c r="O94" s="1967">
        <f>'Energy Effic. Kits Deemed Table'!J211</f>
        <v>2.5860999999999999E-2</v>
      </c>
      <c r="P94" s="1967">
        <v>0</v>
      </c>
      <c r="Q94" s="1968">
        <v>0</v>
      </c>
      <c r="R94" s="1968">
        <v>0</v>
      </c>
      <c r="S94" s="1968"/>
      <c r="T94" s="1968"/>
      <c r="U94" s="1969">
        <v>0</v>
      </c>
      <c r="V94" s="1969">
        <f t="shared" si="25"/>
        <v>2.5860999999999999E-2</v>
      </c>
      <c r="W94" s="1969">
        <v>0</v>
      </c>
      <c r="X94" s="55">
        <f>'Energy Effic. Kits Deemed Table'!K211</f>
        <v>10</v>
      </c>
      <c r="Y94" s="55"/>
      <c r="Z94" s="55">
        <f t="shared" si="20"/>
        <v>10</v>
      </c>
      <c r="AA94" s="2581">
        <f>'Energy Effic. Kits Deemed Table'!BB211</f>
        <v>14.881857703178019</v>
      </c>
      <c r="AB94" s="2091">
        <f>'Energy Effic. Kits Deemed Table'!L211</f>
        <v>7</v>
      </c>
      <c r="AC94" s="2582">
        <f t="shared" si="21"/>
        <v>98.322797472624941</v>
      </c>
      <c r="AD94" s="2582"/>
      <c r="AE94" s="1380">
        <f>'Energy Effic. Kits Deemed Table'!BD211</f>
        <v>98.322797472624941</v>
      </c>
      <c r="AF94" s="571"/>
      <c r="AG94" s="571"/>
      <c r="AH94" s="571"/>
      <c r="AI94" s="2586" t="str">
        <f>'Energy Effic. Kits Deemed Table'!M211</f>
        <v>per measure</v>
      </c>
      <c r="AJ94" s="1974"/>
      <c r="AM94" s="1596">
        <f t="shared" si="22"/>
        <v>8.8731800000000003E-5</v>
      </c>
      <c r="AN94">
        <f t="shared" si="24"/>
        <v>2.586088311E-2</v>
      </c>
      <c r="AO94" s="1595">
        <f t="shared" si="23"/>
        <v>-1.1688999999870386E-7</v>
      </c>
    </row>
    <row r="95" spans="1:48" s="84" customFormat="1" x14ac:dyDescent="0.35">
      <c r="A95" s="103" t="str">
        <f t="shared" si="19"/>
        <v>300701</v>
      </c>
      <c r="B95" s="3346" t="str">
        <f>'Energy Effic. Kits Deemed Table'!C212</f>
        <v>300701_2021_12_</v>
      </c>
      <c r="C95" s="3343" t="str">
        <f>'Energy Effic. Kits Deemed Table'!G212</f>
        <v>Water Heating RES</v>
      </c>
      <c r="D95" s="3343"/>
      <c r="E95" s="3343"/>
      <c r="F95" s="3343"/>
      <c r="G95" s="3343" t="str">
        <f>'Energy Effic. Kits Deemed Table'!E212</f>
        <v>Low Flow Showerheads - SFIE Kits</v>
      </c>
      <c r="H95" s="50" t="str">
        <f>'Energy Effic. Kits Deemed Table'!D212</f>
        <v>IE</v>
      </c>
      <c r="I95" s="1966">
        <f>'Energy Effic. Kits Deemed Table'!F212</f>
        <v>79.489999999999995</v>
      </c>
      <c r="J95" s="1966">
        <v>0</v>
      </c>
      <c r="K95" s="560">
        <v>0</v>
      </c>
      <c r="L95" s="560">
        <v>0</v>
      </c>
      <c r="M95" s="560">
        <v>0</v>
      </c>
      <c r="N95" s="560">
        <v>0</v>
      </c>
      <c r="O95" s="1967">
        <f>'Energy Effic. Kits Deemed Table'!J212</f>
        <v>7.0530000000000002E-3</v>
      </c>
      <c r="P95" s="1967">
        <v>0</v>
      </c>
      <c r="Q95" s="1968">
        <v>0</v>
      </c>
      <c r="R95" s="1968">
        <v>0</v>
      </c>
      <c r="S95" s="1968"/>
      <c r="T95" s="1968"/>
      <c r="U95" s="1969">
        <v>0</v>
      </c>
      <c r="V95" s="1969">
        <f t="shared" si="25"/>
        <v>7.0530000000000002E-3</v>
      </c>
      <c r="W95" s="1969">
        <v>0</v>
      </c>
      <c r="X95" s="55">
        <f>'Energy Effic. Kits Deemed Table'!K212</f>
        <v>10</v>
      </c>
      <c r="Y95" s="55"/>
      <c r="Z95" s="55">
        <f t="shared" si="20"/>
        <v>10</v>
      </c>
      <c r="AA95" s="2581">
        <f>'Energy Effic. Kits Deemed Table'!BB212</f>
        <v>4.0588741424793984</v>
      </c>
      <c r="AB95" s="2091">
        <f>'Energy Effic. Kits Deemed Table'!L212</f>
        <v>7</v>
      </c>
      <c r="AC95" s="2582">
        <f t="shared" si="21"/>
        <v>26.816535155597723</v>
      </c>
      <c r="AD95" s="2582"/>
      <c r="AE95" s="1380">
        <f>'Energy Effic. Kits Deemed Table'!BD212</f>
        <v>26.816535155597723</v>
      </c>
      <c r="AF95" s="571"/>
      <c r="AG95" s="571"/>
      <c r="AH95" s="571"/>
      <c r="AI95" s="2586" t="str">
        <f>'Energy Effic. Kits Deemed Table'!M212</f>
        <v>per measure</v>
      </c>
      <c r="AJ95" s="1974"/>
      <c r="AM95" s="1961">
        <f t="shared" si="22"/>
        <v>8.8731800000000003E-5</v>
      </c>
      <c r="AN95" s="84">
        <f t="shared" si="24"/>
        <v>7.0532907819999997E-3</v>
      </c>
      <c r="AO95" s="1965">
        <f t="shared" si="23"/>
        <v>2.9078199999948984E-7</v>
      </c>
    </row>
    <row r="96" spans="1:48" x14ac:dyDescent="0.35">
      <c r="A96" s="103" t="str">
        <f t="shared" si="19"/>
        <v>300750</v>
      </c>
      <c r="B96" s="3346" t="str">
        <f>'Energy Effic. Kits Deemed Table'!C260</f>
        <v>300750_2019_12_</v>
      </c>
      <c r="C96" s="3343" t="str">
        <f>'Energy Effic. Kits Deemed Table'!G260</f>
        <v>Water Heating RES</v>
      </c>
      <c r="D96" s="3343"/>
      <c r="E96" s="3343"/>
      <c r="F96" s="3343"/>
      <c r="G96" s="3343" t="str">
        <f>'Energy Effic. Kits Deemed Table'!E260</f>
        <v>Pipe Insulation</v>
      </c>
      <c r="H96" s="50" t="str">
        <f>'Energy Effic. Kits Deemed Table'!D260</f>
        <v>School</v>
      </c>
      <c r="I96" s="1966">
        <f>'Energy Effic. Kits Deemed Table'!F260</f>
        <v>3.24</v>
      </c>
      <c r="J96" s="1966">
        <v>0</v>
      </c>
      <c r="K96" s="560">
        <v>0</v>
      </c>
      <c r="L96" s="560">
        <v>0</v>
      </c>
      <c r="M96" s="560">
        <v>0</v>
      </c>
      <c r="N96" s="560">
        <v>0</v>
      </c>
      <c r="O96" s="1967">
        <f>'Energy Effic. Kits Deemed Table'!I260</f>
        <v>2.8699999999999998E-4</v>
      </c>
      <c r="P96" s="1967">
        <v>0</v>
      </c>
      <c r="Q96" s="1968">
        <v>0</v>
      </c>
      <c r="R96" s="1968">
        <v>0</v>
      </c>
      <c r="S96" s="1968"/>
      <c r="T96" s="1968"/>
      <c r="U96" s="1969">
        <v>0</v>
      </c>
      <c r="V96" s="1969">
        <f t="shared" si="25"/>
        <v>2.8699999999999998E-4</v>
      </c>
      <c r="W96" s="1969">
        <v>0</v>
      </c>
      <c r="X96" s="55">
        <f>'Energy Effic. Kits Deemed Table'!J260</f>
        <v>12</v>
      </c>
      <c r="Y96" s="55"/>
      <c r="Z96" s="55">
        <f t="shared" si="20"/>
        <v>12</v>
      </c>
      <c r="AA96" s="2581">
        <f>'Energy Effic. Kits Deemed Table'!BB260</f>
        <v>0.47743227482927542</v>
      </c>
      <c r="AB96" s="2091">
        <f>'Energy Effic. Kits Deemed Table'!K260</f>
        <v>2.87</v>
      </c>
      <c r="AC96" s="2582">
        <f t="shared" si="21"/>
        <v>1.2932804424351301</v>
      </c>
      <c r="AD96" s="2582"/>
      <c r="AE96" s="1380">
        <f>'Energy Effic. Kits Deemed Table'!BD260</f>
        <v>1.2932804424351301</v>
      </c>
      <c r="AF96" s="571"/>
      <c r="AG96" s="571"/>
      <c r="AH96" s="571"/>
      <c r="AI96" s="3346" t="str">
        <f>'Energy Effic. Kits Deemed Table'!L260</f>
        <v>per foot</v>
      </c>
      <c r="AJ96" s="1974"/>
      <c r="AM96" s="1596">
        <f t="shared" si="22"/>
        <v>8.8731800000000003E-5</v>
      </c>
      <c r="AN96">
        <f t="shared" si="24"/>
        <v>2.8749103200000005E-4</v>
      </c>
      <c r="AO96" s="1595">
        <f t="shared" si="23"/>
        <v>4.9103200000006784E-7</v>
      </c>
    </row>
    <row r="97" spans="1:48" s="84" customFormat="1" x14ac:dyDescent="0.35">
      <c r="A97" s="103" t="str">
        <f t="shared" si="19"/>
        <v>300760</v>
      </c>
      <c r="B97" s="3346" t="str">
        <f>'Energy Effic. Kits Deemed Table'!C261</f>
        <v>300760_2020_12_</v>
      </c>
      <c r="C97" s="3343" t="str">
        <f>'Energy Effic. Kits Deemed Table'!G261</f>
        <v>Water Heating RES</v>
      </c>
      <c r="D97" s="3343"/>
      <c r="E97" s="3343"/>
      <c r="F97" s="3343"/>
      <c r="G97" s="3343" t="str">
        <f>'Energy Effic. Kits Deemed Table'!E261</f>
        <v>Pipe Insulation - ARP Kits</v>
      </c>
      <c r="H97" s="50" t="str">
        <f>'Energy Effic. Kits Deemed Table'!D261</f>
        <v>ARP</v>
      </c>
      <c r="I97" s="1966">
        <f>'Energy Effic. Kits Deemed Table'!F261</f>
        <v>2.59</v>
      </c>
      <c r="J97" s="1966">
        <v>0</v>
      </c>
      <c r="K97" s="560">
        <v>0</v>
      </c>
      <c r="L97" s="560">
        <v>0</v>
      </c>
      <c r="M97" s="560">
        <v>0</v>
      </c>
      <c r="N97" s="560">
        <v>0</v>
      </c>
      <c r="O97" s="1967">
        <f>'Energy Effic. Kits Deemed Table'!I261</f>
        <v>2.3000000000000001E-4</v>
      </c>
      <c r="P97" s="1967">
        <v>0</v>
      </c>
      <c r="Q97" s="1968">
        <v>0</v>
      </c>
      <c r="R97" s="1968">
        <v>0</v>
      </c>
      <c r="S97" s="1968"/>
      <c r="T97" s="1968"/>
      <c r="U97" s="1969">
        <v>0</v>
      </c>
      <c r="V97" s="1969">
        <f t="shared" si="25"/>
        <v>2.3000000000000001E-4</v>
      </c>
      <c r="W97" s="1969">
        <v>0</v>
      </c>
      <c r="X97" s="55">
        <f>'Energy Effic. Kits Deemed Table'!J261</f>
        <v>12</v>
      </c>
      <c r="Y97" s="55"/>
      <c r="Z97" s="55">
        <f t="shared" si="20"/>
        <v>12</v>
      </c>
      <c r="AA97" s="2581">
        <f>'Energy Effic. Kits Deemed Table'!BB261</f>
        <v>0.38165110858266155</v>
      </c>
      <c r="AB97" s="2091">
        <f>'Energy Effic. Kits Deemed Table'!K261</f>
        <v>2.87</v>
      </c>
      <c r="AC97" s="2582">
        <f t="shared" si="21"/>
        <v>1.0338260326873416</v>
      </c>
      <c r="AD97" s="2582"/>
      <c r="AE97" s="1380">
        <f>'Energy Effic. Kits Deemed Table'!BD261</f>
        <v>1.0338260326873416</v>
      </c>
      <c r="AF97" s="571"/>
      <c r="AG97" s="571"/>
      <c r="AH97" s="571"/>
      <c r="AI97" s="3346" t="str">
        <f>'Energy Effic. Kits Deemed Table'!L261</f>
        <v>per foot</v>
      </c>
      <c r="AJ97" s="1974"/>
      <c r="AM97" s="1961">
        <f t="shared" si="22"/>
        <v>8.8731800000000003E-5</v>
      </c>
      <c r="AN97" s="84">
        <f t="shared" si="24"/>
        <v>2.2981536199999998E-4</v>
      </c>
      <c r="AO97" s="1965">
        <f t="shared" si="23"/>
        <v>-1.8463800000002254E-7</v>
      </c>
    </row>
    <row r="98" spans="1:48" x14ac:dyDescent="0.35">
      <c r="A98" s="103" t="str">
        <f t="shared" si="19"/>
        <v>300800</v>
      </c>
      <c r="B98" s="3346" t="str">
        <f>'Energy Effic. Kits Deemed Table'!C262</f>
        <v>300800_2019_12_</v>
      </c>
      <c r="C98" s="3343" t="str">
        <f>'Energy Effic. Kits Deemed Table'!G262</f>
        <v>Water Heating RES</v>
      </c>
      <c r="D98" s="3343"/>
      <c r="E98" s="3343"/>
      <c r="F98" s="3343"/>
      <c r="G98" s="3343" t="str">
        <f>'Energy Effic. Kits Deemed Table'!E262</f>
        <v>Pipe Insulation</v>
      </c>
      <c r="H98" s="50" t="str">
        <f>'Energy Effic. Kits Deemed Table'!D262</f>
        <v>MF</v>
      </c>
      <c r="I98" s="1966">
        <f>'Energy Effic. Kits Deemed Table'!F262</f>
        <v>15.01</v>
      </c>
      <c r="J98" s="1966">
        <v>0</v>
      </c>
      <c r="K98" s="560">
        <v>0</v>
      </c>
      <c r="L98" s="560">
        <v>0</v>
      </c>
      <c r="M98" s="560">
        <v>0</v>
      </c>
      <c r="N98" s="560">
        <v>0</v>
      </c>
      <c r="O98" s="1967">
        <f>'Energy Effic. Kits Deemed Table'!I262</f>
        <v>1.3320000000000001E-3</v>
      </c>
      <c r="P98" s="1967">
        <v>0</v>
      </c>
      <c r="Q98" s="1968">
        <v>0</v>
      </c>
      <c r="R98" s="1968">
        <v>0</v>
      </c>
      <c r="S98" s="1968"/>
      <c r="T98" s="1968"/>
      <c r="U98" s="1969">
        <v>0</v>
      </c>
      <c r="V98" s="1969">
        <f t="shared" si="25"/>
        <v>1.3320000000000001E-3</v>
      </c>
      <c r="W98" s="1969">
        <v>0</v>
      </c>
      <c r="X98" s="55">
        <f>'Energy Effic. Kits Deemed Table'!J262</f>
        <v>12</v>
      </c>
      <c r="Y98" s="55"/>
      <c r="Z98" s="55">
        <f t="shared" si="20"/>
        <v>12</v>
      </c>
      <c r="AA98" s="2581">
        <f>'Energy Effic. Kits Deemed Table'!BB262</f>
        <v>2.2118081620948842</v>
      </c>
      <c r="AB98" s="2091">
        <f>'Energy Effic. Kits Deemed Table'!K262</f>
        <v>2.87</v>
      </c>
      <c r="AC98" s="2582">
        <f t="shared" si="21"/>
        <v>5.9914010620220068</v>
      </c>
      <c r="AD98" s="2582"/>
      <c r="AE98" s="1380">
        <f>'Energy Effic. Kits Deemed Table'!BD262</f>
        <v>5.9914010620220068</v>
      </c>
      <c r="AF98" s="571"/>
      <c r="AG98" s="571"/>
      <c r="AH98" s="571"/>
      <c r="AI98" s="3346" t="str">
        <f>'Energy Effic. Kits Deemed Table'!L262</f>
        <v>per foot</v>
      </c>
      <c r="AJ98" s="1974"/>
      <c r="AM98" s="1596">
        <f t="shared" si="22"/>
        <v>8.8731800000000003E-5</v>
      </c>
      <c r="AN98">
        <f t="shared" si="24"/>
        <v>1.3318643180000001E-3</v>
      </c>
      <c r="AO98" s="1595">
        <f t="shared" si="23"/>
        <v>-1.3568199999994257E-7</v>
      </c>
    </row>
    <row r="99" spans="1:48" s="84" customFormat="1" x14ac:dyDescent="0.35">
      <c r="A99" s="103" t="str">
        <f t="shared" si="19"/>
        <v>300801</v>
      </c>
      <c r="B99" s="3346" t="str">
        <f>'Energy Effic. Kits Deemed Table'!C263</f>
        <v>300801_2020_12_</v>
      </c>
      <c r="C99" s="3343" t="str">
        <f>'Energy Effic. Kits Deemed Table'!G263</f>
        <v>Water Heating RES</v>
      </c>
      <c r="D99" s="3343"/>
      <c r="E99" s="3343"/>
      <c r="F99" s="3343"/>
      <c r="G99" s="3343" t="str">
        <f>'Energy Effic. Kits Deemed Table'!E263</f>
        <v>Pipe Insulation - SFIE Kits</v>
      </c>
      <c r="H99" s="50" t="str">
        <f>'Energy Effic. Kits Deemed Table'!D263</f>
        <v>IE</v>
      </c>
      <c r="I99" s="1966">
        <f>'Energy Effic. Kits Deemed Table'!F263</f>
        <v>3.4</v>
      </c>
      <c r="J99" s="1966">
        <v>0</v>
      </c>
      <c r="K99" s="560">
        <v>0</v>
      </c>
      <c r="L99" s="560">
        <v>0</v>
      </c>
      <c r="M99" s="560">
        <v>0</v>
      </c>
      <c r="N99" s="560">
        <v>0</v>
      </c>
      <c r="O99" s="1967">
        <f>'Energy Effic. Kits Deemed Table'!I263</f>
        <v>3.0200000000000002E-4</v>
      </c>
      <c r="P99" s="1967">
        <v>0</v>
      </c>
      <c r="Q99" s="1968">
        <v>0</v>
      </c>
      <c r="R99" s="1968">
        <v>0</v>
      </c>
      <c r="S99" s="1968"/>
      <c r="T99" s="1968"/>
      <c r="U99" s="1969">
        <v>0</v>
      </c>
      <c r="V99" s="1969">
        <f t="shared" si="25"/>
        <v>3.0200000000000002E-4</v>
      </c>
      <c r="W99" s="1969">
        <v>0</v>
      </c>
      <c r="X99" s="55">
        <f>'Energy Effic. Kits Deemed Table'!J263</f>
        <v>12</v>
      </c>
      <c r="Y99" s="55"/>
      <c r="Z99" s="55">
        <f t="shared" si="20"/>
        <v>12</v>
      </c>
      <c r="AA99" s="2581">
        <f>'Energy Effic. Kits Deemed Table'!BB263</f>
        <v>0.5010091772899804</v>
      </c>
      <c r="AB99" s="2091">
        <f>'Energy Effic. Kits Deemed Table'!K263</f>
        <v>2.87</v>
      </c>
      <c r="AC99" s="2582">
        <f t="shared" si="21"/>
        <v>1.357146143296124</v>
      </c>
      <c r="AD99" s="2582"/>
      <c r="AE99" s="1380">
        <f>'Energy Effic. Kits Deemed Table'!BD263</f>
        <v>1.357146143296124</v>
      </c>
      <c r="AF99" s="571"/>
      <c r="AG99" s="571"/>
      <c r="AH99" s="571"/>
      <c r="AI99" s="3346" t="str">
        <f>'Energy Effic. Kits Deemed Table'!L263</f>
        <v>per foot</v>
      </c>
      <c r="AJ99" s="1974"/>
      <c r="AM99" s="1961">
        <f t="shared" si="22"/>
        <v>8.8731800000000003E-5</v>
      </c>
      <c r="AN99" s="84">
        <f t="shared" si="24"/>
        <v>3.0168812E-4</v>
      </c>
      <c r="AO99" s="1965">
        <f t="shared" si="23"/>
        <v>-3.1188000000002521E-7</v>
      </c>
    </row>
    <row r="100" spans="1:48" x14ac:dyDescent="0.35">
      <c r="A100" s="103" t="str">
        <f t="shared" si="19"/>
        <v>300850</v>
      </c>
      <c r="B100" s="3346" t="str">
        <f>'Energy Effic. Kits Deemed Table'!C301</f>
        <v>300850_2019_12_</v>
      </c>
      <c r="C100" s="3343" t="str">
        <f>'Energy Effic. Kits Deemed Table'!G301</f>
        <v>Miscellaneous RES</v>
      </c>
      <c r="D100" s="3343"/>
      <c r="E100" s="3343"/>
      <c r="F100" s="3343"/>
      <c r="G100" s="3343" t="str">
        <f>'Energy Effic. Kits Deemed Table'!E301</f>
        <v>Advanced Tier 1 Power Strips -TOS/NC - Home Office</v>
      </c>
      <c r="H100" s="50" t="str">
        <f>'Energy Effic. Kits Deemed Table'!D301</f>
        <v>Unknown</v>
      </c>
      <c r="I100" s="1966">
        <f>'Energy Effic. Kits Deemed Table'!F301</f>
        <v>29.45</v>
      </c>
      <c r="J100" s="1966">
        <v>0</v>
      </c>
      <c r="K100" s="560">
        <v>0</v>
      </c>
      <c r="L100" s="560">
        <v>0</v>
      </c>
      <c r="M100" s="560">
        <v>0</v>
      </c>
      <c r="N100" s="560">
        <v>0</v>
      </c>
      <c r="O100" s="1967">
        <f>'Energy Effic. Kits Deemed Table'!I301</f>
        <v>3.382E-3</v>
      </c>
      <c r="P100" s="1967">
        <v>0</v>
      </c>
      <c r="Q100" s="1968">
        <v>0</v>
      </c>
      <c r="R100" s="1968">
        <v>0</v>
      </c>
      <c r="S100" s="1968"/>
      <c r="T100" s="1968"/>
      <c r="U100" s="1969">
        <v>0</v>
      </c>
      <c r="V100" s="1969">
        <f t="shared" si="25"/>
        <v>3.382E-3</v>
      </c>
      <c r="W100" s="1969">
        <v>0</v>
      </c>
      <c r="X100" s="55">
        <f>'Energy Effic. Kits Deemed Table'!J301</f>
        <v>10</v>
      </c>
      <c r="Y100" s="55"/>
      <c r="Z100" s="55">
        <f t="shared" si="20"/>
        <v>10</v>
      </c>
      <c r="AA100" s="2581">
        <f>'Energy Effic. Kits Deemed Table'!BB301</f>
        <v>0.5393865650555788</v>
      </c>
      <c r="AB100" s="2091">
        <f>'Energy Effic. Kits Deemed Table'!K301</f>
        <v>20</v>
      </c>
      <c r="AC100" s="2582">
        <f t="shared" si="21"/>
        <v>10.181907787740986</v>
      </c>
      <c r="AD100" s="2582"/>
      <c r="AE100" s="1380">
        <f>'Energy Effic. Kits Deemed Table'!BD301</f>
        <v>10.181907787740986</v>
      </c>
      <c r="AF100" s="571"/>
      <c r="AG100" s="571"/>
      <c r="AH100" s="571"/>
      <c r="AI100" s="3346" t="str">
        <f>'Energy Effic. Kits Deemed Table'!L301</f>
        <v>per measure</v>
      </c>
      <c r="AJ100" s="1974"/>
      <c r="AM100" s="1596">
        <f t="shared" si="22"/>
        <v>1.148238E-4</v>
      </c>
      <c r="AN100">
        <f t="shared" si="24"/>
        <v>3.3815609099999999E-3</v>
      </c>
      <c r="AO100" s="1595">
        <f t="shared" si="23"/>
        <v>-4.3909000000015574E-7</v>
      </c>
    </row>
    <row r="101" spans="1:48" x14ac:dyDescent="0.35">
      <c r="A101" s="103" t="str">
        <f t="shared" si="19"/>
        <v>300851</v>
      </c>
      <c r="B101" s="3346" t="str">
        <f>'Energy Effic. Kits Deemed Table'!C302</f>
        <v>300851_2020_12_</v>
      </c>
      <c r="C101" s="3343" t="str">
        <f>'Energy Effic. Kits Deemed Table'!G302</f>
        <v>Miscellaneous RES</v>
      </c>
      <c r="D101" s="3343"/>
      <c r="E101" s="3343"/>
      <c r="F101" s="3343"/>
      <c r="G101" s="3343" t="str">
        <f>'Energy Effic. Kits Deemed Table'!E302</f>
        <v>Advanced Tier 1 Power Strips -DI - Home Office</v>
      </c>
      <c r="H101" s="50" t="str">
        <f>'Energy Effic. Kits Deemed Table'!D302</f>
        <v>Unknown</v>
      </c>
      <c r="I101" s="1966">
        <f>'Energy Effic. Kits Deemed Table'!F302</f>
        <v>29.45</v>
      </c>
      <c r="J101" s="1966">
        <v>0</v>
      </c>
      <c r="K101" s="560">
        <v>0</v>
      </c>
      <c r="L101" s="560">
        <v>0</v>
      </c>
      <c r="M101" s="560">
        <v>0</v>
      </c>
      <c r="N101" s="560">
        <v>0</v>
      </c>
      <c r="O101" s="1967">
        <f>'Energy Effic. Kits Deemed Table'!I302</f>
        <v>3.382E-3</v>
      </c>
      <c r="P101" s="1967">
        <v>0</v>
      </c>
      <c r="Q101" s="1968">
        <v>0</v>
      </c>
      <c r="R101" s="1968">
        <v>0</v>
      </c>
      <c r="S101" s="1968"/>
      <c r="T101" s="1968"/>
      <c r="U101" s="1969">
        <v>0</v>
      </c>
      <c r="V101" s="1969">
        <f t="shared" si="25"/>
        <v>3.382E-3</v>
      </c>
      <c r="W101" s="1969">
        <v>0</v>
      </c>
      <c r="X101" s="55">
        <f>'Energy Effic. Kits Deemed Table'!J302</f>
        <v>10</v>
      </c>
      <c r="Y101" s="55"/>
      <c r="Z101" s="55">
        <f t="shared" si="20"/>
        <v>10</v>
      </c>
      <c r="AA101" s="2581">
        <f>'Energy Effic. Kits Deemed Table'!BB302</f>
        <v>0.35959104337038583</v>
      </c>
      <c r="AB101" s="2091">
        <f>'Energy Effic. Kits Deemed Table'!K302</f>
        <v>30</v>
      </c>
      <c r="AC101" s="2582">
        <f t="shared" si="21"/>
        <v>10.181907787740986</v>
      </c>
      <c r="AD101" s="2582"/>
      <c r="AE101" s="1380">
        <f>'Energy Effic. Kits Deemed Table'!BD302</f>
        <v>10.181907787740986</v>
      </c>
      <c r="AF101" s="571"/>
      <c r="AG101" s="571"/>
      <c r="AH101" s="571"/>
      <c r="AI101" s="3346" t="str">
        <f>'Energy Effic. Kits Deemed Table'!L302</f>
        <v>per measure</v>
      </c>
      <c r="AJ101" s="1974"/>
      <c r="AK101" s="84"/>
      <c r="AL101" s="84"/>
      <c r="AM101" s="1961">
        <f t="shared" si="22"/>
        <v>1.148238E-4</v>
      </c>
      <c r="AN101" s="84">
        <f t="shared" si="24"/>
        <v>3.3815609099999999E-3</v>
      </c>
      <c r="AO101" s="1965">
        <f t="shared" si="23"/>
        <v>-4.3909000000015574E-7</v>
      </c>
      <c r="AP101" s="84"/>
      <c r="AQ101" s="84"/>
      <c r="AR101" s="84"/>
      <c r="AS101" s="84"/>
      <c r="AT101" s="84"/>
      <c r="AU101" s="84"/>
      <c r="AV101" s="84"/>
    </row>
    <row r="102" spans="1:48" s="84" customFormat="1" x14ac:dyDescent="0.35">
      <c r="A102" s="103" t="str">
        <f t="shared" si="19"/>
        <v>300900</v>
      </c>
      <c r="B102" s="3346" t="str">
        <f>'Energy Effic. Kits Deemed Table'!C303</f>
        <v>300900_2019_12_</v>
      </c>
      <c r="C102" s="3343" t="str">
        <f>'Energy Effic. Kits Deemed Table'!G303</f>
        <v>Miscellaneous RES</v>
      </c>
      <c r="D102" s="3343"/>
      <c r="E102" s="3343"/>
      <c r="F102" s="3343"/>
      <c r="G102" s="3343" t="str">
        <f>'Energy Effic. Kits Deemed Table'!E303</f>
        <v>Advanced Tier 1 Power Strips -Kits - Home Office</v>
      </c>
      <c r="H102" s="50" t="str">
        <f>'Energy Effic. Kits Deemed Table'!D303</f>
        <v>Unknown</v>
      </c>
      <c r="I102" s="1966">
        <f>'Energy Effic. Kits Deemed Table'!F303</f>
        <v>29.08</v>
      </c>
      <c r="J102" s="1966">
        <v>0</v>
      </c>
      <c r="K102" s="560">
        <v>0</v>
      </c>
      <c r="L102" s="560">
        <v>0</v>
      </c>
      <c r="M102" s="560">
        <v>0</v>
      </c>
      <c r="N102" s="560">
        <v>0</v>
      </c>
      <c r="O102" s="1967">
        <f>'Energy Effic. Kits Deemed Table'!I303</f>
        <v>3.339E-3</v>
      </c>
      <c r="P102" s="1967">
        <v>0</v>
      </c>
      <c r="Q102" s="1968">
        <v>0</v>
      </c>
      <c r="R102" s="1968">
        <v>0</v>
      </c>
      <c r="S102" s="1968"/>
      <c r="T102" s="1968"/>
      <c r="U102" s="1969">
        <v>0</v>
      </c>
      <c r="V102" s="1969">
        <f t="shared" si="25"/>
        <v>3.339E-3</v>
      </c>
      <c r="W102" s="1969">
        <v>0</v>
      </c>
      <c r="X102" s="55">
        <f>'Energy Effic. Kits Deemed Table'!J303</f>
        <v>10</v>
      </c>
      <c r="Y102" s="55"/>
      <c r="Z102" s="55">
        <f t="shared" si="20"/>
        <v>10</v>
      </c>
      <c r="AA102" s="2581">
        <f>'Energy Effic. Kits Deemed Table'!BB303</f>
        <v>0.53260989174248663</v>
      </c>
      <c r="AB102" s="2091">
        <f>'Energy Effic. Kits Deemed Table'!K303</f>
        <v>20</v>
      </c>
      <c r="AC102" s="2582">
        <f t="shared" si="21"/>
        <v>10.053985686502815</v>
      </c>
      <c r="AD102" s="2582"/>
      <c r="AE102" s="1380">
        <f>'Energy Effic. Kits Deemed Table'!BD303</f>
        <v>10.053985686502815</v>
      </c>
      <c r="AF102" s="571"/>
      <c r="AG102" s="571"/>
      <c r="AH102" s="571"/>
      <c r="AI102" s="3346" t="str">
        <f>'Energy Effic. Kits Deemed Table'!L303</f>
        <v>per measure</v>
      </c>
      <c r="AJ102" s="1974"/>
      <c r="AK102"/>
      <c r="AL102"/>
      <c r="AM102" s="1596">
        <f t="shared" si="22"/>
        <v>1.148238E-4</v>
      </c>
      <c r="AN102">
        <f t="shared" si="24"/>
        <v>3.3390761039999999E-3</v>
      </c>
      <c r="AO102" s="1595">
        <f t="shared" si="23"/>
        <v>7.6103999999913713E-8</v>
      </c>
      <c r="AP102"/>
      <c r="AQ102"/>
      <c r="AR102"/>
      <c r="AS102"/>
      <c r="AT102"/>
      <c r="AU102"/>
      <c r="AV102"/>
    </row>
    <row r="103" spans="1:48" x14ac:dyDescent="0.35">
      <c r="A103" s="103" t="str">
        <f t="shared" si="19"/>
        <v>300950</v>
      </c>
      <c r="B103" s="3346" t="str">
        <f>'Energy Effic. Kits Deemed Table'!C304</f>
        <v>300950_2019_12_</v>
      </c>
      <c r="C103" s="3343" t="str">
        <f>'Energy Effic. Kits Deemed Table'!G304</f>
        <v>Miscellaneous RES</v>
      </c>
      <c r="D103" s="3343"/>
      <c r="E103" s="3343"/>
      <c r="F103" s="3343"/>
      <c r="G103" s="3343" t="str">
        <f>'Energy Effic. Kits Deemed Table'!E304</f>
        <v>Advanced Tier 1 Power Strips -TOS/NC - Home Entertainment</v>
      </c>
      <c r="H103" s="50" t="str">
        <f>'Energy Effic. Kits Deemed Table'!D304</f>
        <v>Unknown</v>
      </c>
      <c r="I103" s="1966">
        <f>'Energy Effic. Kits Deemed Table'!F304</f>
        <v>71.349999999999994</v>
      </c>
      <c r="J103" s="1966">
        <v>0</v>
      </c>
      <c r="K103" s="560">
        <v>0</v>
      </c>
      <c r="L103" s="560">
        <v>0</v>
      </c>
      <c r="M103" s="560">
        <v>0</v>
      </c>
      <c r="N103" s="560">
        <v>0</v>
      </c>
      <c r="O103" s="1967">
        <f>'Energy Effic. Kits Deemed Table'!I304</f>
        <v>8.1930000000000006E-3</v>
      </c>
      <c r="P103" s="1967">
        <v>0</v>
      </c>
      <c r="Q103" s="1968">
        <v>0</v>
      </c>
      <c r="R103" s="1968">
        <v>0</v>
      </c>
      <c r="S103" s="1968"/>
      <c r="T103" s="1968"/>
      <c r="U103" s="1969">
        <v>0</v>
      </c>
      <c r="V103" s="1969">
        <f t="shared" si="25"/>
        <v>8.1930000000000006E-3</v>
      </c>
      <c r="W103" s="1969">
        <v>0</v>
      </c>
      <c r="X103" s="55">
        <f>'Energy Effic. Kits Deemed Table'!J304</f>
        <v>10</v>
      </c>
      <c r="Y103" s="55"/>
      <c r="Z103" s="55">
        <f t="shared" si="20"/>
        <v>10</v>
      </c>
      <c r="AA103" s="2581">
        <f>'Energy Effic. Kits Deemed Table'!BB304</f>
        <v>1.3067990294300695</v>
      </c>
      <c r="AB103" s="2091">
        <f>'Energy Effic. Kits Deemed Table'!K304</f>
        <v>20</v>
      </c>
      <c r="AC103" s="2582">
        <f t="shared" si="21"/>
        <v>24.668221414442083</v>
      </c>
      <c r="AD103" s="2582"/>
      <c r="AE103" s="1380">
        <f>'Energy Effic. Kits Deemed Table'!BD304</f>
        <v>24.668221414442083</v>
      </c>
      <c r="AF103" s="571"/>
      <c r="AG103" s="571"/>
      <c r="AH103" s="571"/>
      <c r="AI103" s="3346" t="str">
        <f>'Energy Effic. Kits Deemed Table'!L304</f>
        <v>per measure</v>
      </c>
      <c r="AJ103" s="1974"/>
      <c r="AM103" s="1596">
        <f t="shared" si="22"/>
        <v>1.148238E-4</v>
      </c>
      <c r="AN103">
        <f t="shared" si="24"/>
        <v>8.1926781299999987E-3</v>
      </c>
      <c r="AO103" s="1595">
        <f t="shared" si="23"/>
        <v>-3.2187000000190313E-7</v>
      </c>
    </row>
    <row r="104" spans="1:48" x14ac:dyDescent="0.35">
      <c r="A104" s="103" t="str">
        <f t="shared" si="19"/>
        <v>300951</v>
      </c>
      <c r="B104" s="3346" t="str">
        <f>'Energy Effic. Kits Deemed Table'!C305</f>
        <v>300951_2020_12_</v>
      </c>
      <c r="C104" s="3343" t="str">
        <f>'Energy Effic. Kits Deemed Table'!G305</f>
        <v>Miscellaneous RES</v>
      </c>
      <c r="D104" s="3343"/>
      <c r="E104" s="3343"/>
      <c r="F104" s="3343"/>
      <c r="G104" s="3343" t="str">
        <f>'Energy Effic. Kits Deemed Table'!E305</f>
        <v>Advanced Tier 1 Power Strips -DI - Home Entertainment</v>
      </c>
      <c r="H104" s="50" t="str">
        <f>'Energy Effic. Kits Deemed Table'!D305</f>
        <v>Unknown</v>
      </c>
      <c r="I104" s="1966">
        <f>'Energy Effic. Kits Deemed Table'!F305</f>
        <v>71.349999999999994</v>
      </c>
      <c r="J104" s="1966">
        <v>0</v>
      </c>
      <c r="K104" s="560">
        <v>0</v>
      </c>
      <c r="L104" s="560">
        <v>0</v>
      </c>
      <c r="M104" s="560">
        <v>0</v>
      </c>
      <c r="N104" s="560">
        <v>0</v>
      </c>
      <c r="O104" s="1967">
        <f>'Energy Effic. Kits Deemed Table'!I305</f>
        <v>8.1930000000000006E-3</v>
      </c>
      <c r="P104" s="1967">
        <v>0</v>
      </c>
      <c r="Q104" s="1968">
        <v>0</v>
      </c>
      <c r="R104" s="1968">
        <v>0</v>
      </c>
      <c r="S104" s="1968"/>
      <c r="T104" s="1968"/>
      <c r="U104" s="1969">
        <v>0</v>
      </c>
      <c r="V104" s="1969">
        <f t="shared" si="25"/>
        <v>8.1930000000000006E-3</v>
      </c>
      <c r="W104" s="1969">
        <v>0</v>
      </c>
      <c r="X104" s="55">
        <f>'Energy Effic. Kits Deemed Table'!J305</f>
        <v>10</v>
      </c>
      <c r="Y104" s="55"/>
      <c r="Z104" s="55">
        <f t="shared" si="20"/>
        <v>10</v>
      </c>
      <c r="AA104" s="2581">
        <f>'Energy Effic. Kits Deemed Table'!BB305</f>
        <v>0.87119935295337969</v>
      </c>
      <c r="AB104" s="2091">
        <f>'Energy Effic. Kits Deemed Table'!K305</f>
        <v>30</v>
      </c>
      <c r="AC104" s="2582">
        <f t="shared" si="21"/>
        <v>24.668221414442083</v>
      </c>
      <c r="AD104" s="2582"/>
      <c r="AE104" s="1380">
        <f>'Energy Effic. Kits Deemed Table'!BD305</f>
        <v>24.668221414442083</v>
      </c>
      <c r="AF104" s="571"/>
      <c r="AG104" s="571"/>
      <c r="AH104" s="571"/>
      <c r="AI104" s="3346" t="str">
        <f>'Energy Effic. Kits Deemed Table'!L305</f>
        <v>per measure</v>
      </c>
      <c r="AJ104" s="1974"/>
      <c r="AK104" s="84"/>
      <c r="AL104" s="84"/>
      <c r="AM104" s="1961">
        <f t="shared" si="22"/>
        <v>1.148238E-4</v>
      </c>
      <c r="AN104" s="84">
        <f t="shared" si="24"/>
        <v>8.1926781299999987E-3</v>
      </c>
      <c r="AO104" s="1965">
        <f t="shared" si="23"/>
        <v>-3.2187000000190313E-7</v>
      </c>
      <c r="AP104" s="84"/>
      <c r="AQ104" s="84"/>
      <c r="AR104" s="84"/>
      <c r="AS104" s="84"/>
      <c r="AT104" s="84"/>
      <c r="AU104" s="84"/>
      <c r="AV104" s="84"/>
    </row>
    <row r="105" spans="1:48" s="84" customFormat="1" x14ac:dyDescent="0.35">
      <c r="A105" s="103" t="str">
        <f t="shared" si="19"/>
        <v>301000</v>
      </c>
      <c r="B105" s="3346" t="str">
        <f>'Energy Effic. Kits Deemed Table'!C306</f>
        <v>301000_2019_12_</v>
      </c>
      <c r="C105" s="3343" t="str">
        <f>'Energy Effic. Kits Deemed Table'!G306</f>
        <v>Miscellaneous RES</v>
      </c>
      <c r="D105" s="3343"/>
      <c r="E105" s="3343"/>
      <c r="F105" s="3343"/>
      <c r="G105" s="3343" t="str">
        <f>'Energy Effic. Kits Deemed Table'!E306</f>
        <v>Advanced Tier 1 Power Strips -Kits - Home Entertainment</v>
      </c>
      <c r="H105" s="50" t="str">
        <f>'Energy Effic. Kits Deemed Table'!D306</f>
        <v>Unknown</v>
      </c>
      <c r="I105" s="1966">
        <f>'Energy Effic. Kits Deemed Table'!F306</f>
        <v>70.44</v>
      </c>
      <c r="J105" s="1966">
        <v>0</v>
      </c>
      <c r="K105" s="560">
        <v>0</v>
      </c>
      <c r="L105" s="560">
        <v>0</v>
      </c>
      <c r="M105" s="560">
        <v>0</v>
      </c>
      <c r="N105" s="560">
        <v>0</v>
      </c>
      <c r="O105" s="1967">
        <f>'Energy Effic. Kits Deemed Table'!I306</f>
        <v>8.0879999999999997E-3</v>
      </c>
      <c r="P105" s="1967">
        <v>0</v>
      </c>
      <c r="Q105" s="1968">
        <v>0</v>
      </c>
      <c r="R105" s="1968">
        <v>0</v>
      </c>
      <c r="S105" s="1968"/>
      <c r="T105" s="1968"/>
      <c r="U105" s="1969">
        <v>0</v>
      </c>
      <c r="V105" s="1969">
        <f t="shared" si="25"/>
        <v>8.0879999999999997E-3</v>
      </c>
      <c r="W105" s="1969">
        <v>0</v>
      </c>
      <c r="X105" s="55">
        <f>'Energy Effic. Kits Deemed Table'!J306</f>
        <v>10</v>
      </c>
      <c r="Y105" s="55"/>
      <c r="Z105" s="55">
        <f t="shared" si="20"/>
        <v>10</v>
      </c>
      <c r="AA105" s="2581">
        <f>'Energy Effic. Kits Deemed Table'!BB306</f>
        <v>1.2901320761465187</v>
      </c>
      <c r="AB105" s="2091">
        <f>'Energy Effic. Kits Deemed Table'!K306</f>
        <v>20</v>
      </c>
      <c r="AC105" s="2582">
        <f t="shared" si="21"/>
        <v>24.353602192477933</v>
      </c>
      <c r="AD105" s="2582"/>
      <c r="AE105" s="1380">
        <f>'Energy Effic. Kits Deemed Table'!BD306</f>
        <v>24.353602192477933</v>
      </c>
      <c r="AF105" s="571"/>
      <c r="AG105" s="571"/>
      <c r="AH105" s="571"/>
      <c r="AI105" s="3346" t="str">
        <f>'Energy Effic. Kits Deemed Table'!L306</f>
        <v>per measure</v>
      </c>
      <c r="AJ105" s="1974"/>
      <c r="AK105"/>
      <c r="AL105"/>
      <c r="AM105" s="1596">
        <f t="shared" ref="AM105:AM136" si="26">VLOOKUP(C105,$AS$10:$AT$33,2,FALSE)</f>
        <v>1.148238E-4</v>
      </c>
      <c r="AN105">
        <f t="shared" si="24"/>
        <v>8.0881884719999995E-3</v>
      </c>
      <c r="AO105" s="1595">
        <f t="shared" ref="AO105:AO136" si="27">AN105-O105</f>
        <v>1.8847199999977304E-7</v>
      </c>
      <c r="AP105"/>
      <c r="AQ105"/>
      <c r="AR105"/>
      <c r="AS105"/>
      <c r="AT105"/>
      <c r="AU105"/>
      <c r="AV105"/>
    </row>
    <row r="106" spans="1:48" x14ac:dyDescent="0.35">
      <c r="A106" s="103" t="str">
        <f t="shared" si="19"/>
        <v>301050</v>
      </c>
      <c r="B106" s="3346" t="str">
        <f>'Energy Effic. Kits Deemed Table'!C307</f>
        <v>301050_2019_12_</v>
      </c>
      <c r="C106" s="3343" t="str">
        <f>'Energy Effic. Kits Deemed Table'!G307</f>
        <v>Miscellaneous RES</v>
      </c>
      <c r="D106" s="3343"/>
      <c r="E106" s="3343"/>
      <c r="F106" s="3343"/>
      <c r="G106" s="3343" t="str">
        <f>'Energy Effic. Kits Deemed Table'!E307</f>
        <v>Advanced Tier 1 Power Strips -TOS/NC - Unknown Location</v>
      </c>
      <c r="H106" s="50" t="str">
        <f>'Energy Effic. Kits Deemed Table'!D307</f>
        <v>Unknown</v>
      </c>
      <c r="I106" s="1966">
        <f>'Energy Effic. Kits Deemed Table'!F307</f>
        <v>56.26</v>
      </c>
      <c r="J106" s="1966">
        <v>0</v>
      </c>
      <c r="K106" s="560">
        <v>0</v>
      </c>
      <c r="L106" s="560">
        <v>0</v>
      </c>
      <c r="M106" s="560">
        <v>0</v>
      </c>
      <c r="N106" s="560">
        <v>0</v>
      </c>
      <c r="O106" s="1967">
        <f>'Energy Effic. Kits Deemed Table'!I307</f>
        <v>6.4599999999999996E-3</v>
      </c>
      <c r="P106" s="1967">
        <v>0</v>
      </c>
      <c r="Q106" s="1968">
        <v>0</v>
      </c>
      <c r="R106" s="1968">
        <v>0</v>
      </c>
      <c r="S106" s="1968"/>
      <c r="T106" s="1968"/>
      <c r="U106" s="1969">
        <v>0</v>
      </c>
      <c r="V106" s="1969">
        <f t="shared" si="25"/>
        <v>6.4599999999999996E-3</v>
      </c>
      <c r="W106" s="1969">
        <v>0</v>
      </c>
      <c r="X106" s="55">
        <f>'Energy Effic. Kits Deemed Table'!J307</f>
        <v>10</v>
      </c>
      <c r="Y106" s="55"/>
      <c r="Z106" s="55">
        <f t="shared" si="20"/>
        <v>10</v>
      </c>
      <c r="AA106" s="2581">
        <f>'Energy Effic. Kits Deemed Table'!BB307</f>
        <v>1.030420650255581</v>
      </c>
      <c r="AB106" s="2091">
        <f>'Energy Effic. Kits Deemed Table'!K307</f>
        <v>20</v>
      </c>
      <c r="AC106" s="2582">
        <f t="shared" si="21"/>
        <v>19.451074096377177</v>
      </c>
      <c r="AD106" s="2582"/>
      <c r="AE106" s="1380">
        <f>'Energy Effic. Kits Deemed Table'!BD307</f>
        <v>19.451074096377177</v>
      </c>
      <c r="AF106" s="571"/>
      <c r="AG106" s="571"/>
      <c r="AH106" s="571"/>
      <c r="AI106" s="3346" t="str">
        <f>'Energy Effic. Kits Deemed Table'!L307</f>
        <v>per measure</v>
      </c>
      <c r="AJ106" s="1974"/>
      <c r="AM106" s="1596">
        <f t="shared" si="26"/>
        <v>1.148238E-4</v>
      </c>
      <c r="AN106">
        <f t="shared" si="24"/>
        <v>6.4599869879999995E-3</v>
      </c>
      <c r="AO106" s="1595">
        <f t="shared" si="27"/>
        <v>-1.3012000000048318E-8</v>
      </c>
    </row>
    <row r="107" spans="1:48" s="84" customFormat="1" x14ac:dyDescent="0.35">
      <c r="A107" s="103" t="str">
        <f t="shared" si="19"/>
        <v>301051</v>
      </c>
      <c r="B107" s="3346" t="str">
        <f>'Energy Effic. Kits Deemed Table'!C308</f>
        <v>301051_2020_12_</v>
      </c>
      <c r="C107" s="3343" t="str">
        <f>'Energy Effic. Kits Deemed Table'!G308</f>
        <v>Miscellaneous RES</v>
      </c>
      <c r="D107" s="3343"/>
      <c r="E107" s="3343"/>
      <c r="F107" s="3343"/>
      <c r="G107" s="3343" t="str">
        <f>'Energy Effic. Kits Deemed Table'!E308</f>
        <v>Advanced Tier 1 Power Strips -DI - Unknown Location</v>
      </c>
      <c r="H107" s="50" t="str">
        <f>'Energy Effic. Kits Deemed Table'!D308</f>
        <v>Unknown</v>
      </c>
      <c r="I107" s="1966">
        <f>'Energy Effic. Kits Deemed Table'!F308</f>
        <v>56.26</v>
      </c>
      <c r="J107" s="1966">
        <v>0</v>
      </c>
      <c r="K107" s="560">
        <v>0</v>
      </c>
      <c r="L107" s="560">
        <v>0</v>
      </c>
      <c r="M107" s="560">
        <v>0</v>
      </c>
      <c r="N107" s="560">
        <v>0</v>
      </c>
      <c r="O107" s="1967">
        <f>'Energy Effic. Kits Deemed Table'!I308</f>
        <v>6.4599999999999996E-3</v>
      </c>
      <c r="P107" s="1967">
        <v>0</v>
      </c>
      <c r="Q107" s="1968">
        <v>0</v>
      </c>
      <c r="R107" s="1968">
        <v>0</v>
      </c>
      <c r="S107" s="1968"/>
      <c r="T107" s="1968"/>
      <c r="U107" s="1969">
        <v>0</v>
      </c>
      <c r="V107" s="1969">
        <f t="shared" si="25"/>
        <v>6.4599999999999996E-3</v>
      </c>
      <c r="W107" s="1969">
        <v>0</v>
      </c>
      <c r="X107" s="55">
        <f>'Energy Effic. Kits Deemed Table'!J308</f>
        <v>10</v>
      </c>
      <c r="Y107" s="55"/>
      <c r="Z107" s="55">
        <f t="shared" si="20"/>
        <v>10</v>
      </c>
      <c r="AA107" s="2581">
        <f>'Energy Effic. Kits Deemed Table'!BB308</f>
        <v>0.6869471001703874</v>
      </c>
      <c r="AB107" s="2091">
        <f>'Energy Effic. Kits Deemed Table'!K308</f>
        <v>30</v>
      </c>
      <c r="AC107" s="2582">
        <f t="shared" si="21"/>
        <v>19.451074096377177</v>
      </c>
      <c r="AD107" s="2582"/>
      <c r="AE107" s="1380">
        <f>'Energy Effic. Kits Deemed Table'!BD308</f>
        <v>19.451074096377177</v>
      </c>
      <c r="AF107" s="571"/>
      <c r="AG107" s="571"/>
      <c r="AH107" s="571"/>
      <c r="AI107" s="3346" t="str">
        <f>'Energy Effic. Kits Deemed Table'!L308</f>
        <v>per measure</v>
      </c>
      <c r="AJ107" s="1974"/>
      <c r="AM107" s="1961">
        <f t="shared" si="26"/>
        <v>1.148238E-4</v>
      </c>
      <c r="AN107" s="84">
        <f t="shared" si="24"/>
        <v>6.4599869879999995E-3</v>
      </c>
      <c r="AO107" s="1965">
        <f t="shared" si="27"/>
        <v>-1.3012000000048318E-8</v>
      </c>
    </row>
    <row r="108" spans="1:48" s="84" customFormat="1" x14ac:dyDescent="0.35">
      <c r="A108" s="103" t="str">
        <f t="shared" si="19"/>
        <v>301100</v>
      </c>
      <c r="B108" s="3346" t="str">
        <f>'Energy Effic. Kits Deemed Table'!C309</f>
        <v>301100_2019_12_</v>
      </c>
      <c r="C108" s="3343" t="str">
        <f>'Energy Effic. Kits Deemed Table'!G309</f>
        <v>Miscellaneous RES</v>
      </c>
      <c r="D108" s="3343"/>
      <c r="E108" s="3343"/>
      <c r="F108" s="3343"/>
      <c r="G108" s="3343" t="str">
        <f>'Energy Effic. Kits Deemed Table'!E309</f>
        <v>Advanced Tier 1 Power Strips -Kits - Unknown Location</v>
      </c>
      <c r="H108" s="50" t="str">
        <f>'Energy Effic. Kits Deemed Table'!D309</f>
        <v>Unknown</v>
      </c>
      <c r="I108" s="1966">
        <f>'Energy Effic. Kits Deemed Table'!F309</f>
        <v>50.59</v>
      </c>
      <c r="J108" s="1966">
        <v>0</v>
      </c>
      <c r="K108" s="560">
        <v>0</v>
      </c>
      <c r="L108" s="560">
        <v>0</v>
      </c>
      <c r="M108" s="560">
        <v>0</v>
      </c>
      <c r="N108" s="560">
        <v>0</v>
      </c>
      <c r="O108" s="1967">
        <f>'Energy Effic. Kits Deemed Table'!I309</f>
        <v>5.8089999999999999E-3</v>
      </c>
      <c r="P108" s="1967">
        <v>0</v>
      </c>
      <c r="Q108" s="1968">
        <v>0</v>
      </c>
      <c r="R108" s="1968">
        <v>0</v>
      </c>
      <c r="S108" s="1968"/>
      <c r="T108" s="1968"/>
      <c r="U108" s="1969">
        <v>0</v>
      </c>
      <c r="V108" s="1969">
        <f t="shared" si="25"/>
        <v>5.8089999999999999E-3</v>
      </c>
      <c r="W108" s="1969">
        <v>0</v>
      </c>
      <c r="X108" s="55">
        <f>'Energy Effic. Kits Deemed Table'!J309</f>
        <v>10</v>
      </c>
      <c r="Y108" s="55"/>
      <c r="Z108" s="55">
        <f t="shared" si="20"/>
        <v>10</v>
      </c>
      <c r="AA108" s="2581">
        <f>'Energy Effic. Kits Deemed Table'!BB309</f>
        <v>0.9265727105657634</v>
      </c>
      <c r="AB108" s="2091">
        <f>'Energy Effic. Kits Deemed Table'!K309</f>
        <v>20</v>
      </c>
      <c r="AC108" s="2582">
        <f t="shared" si="21"/>
        <v>17.490754328754381</v>
      </c>
      <c r="AD108" s="2582"/>
      <c r="AE108" s="1380">
        <f>'Energy Effic. Kits Deemed Table'!BD309</f>
        <v>17.490754328754381</v>
      </c>
      <c r="AF108" s="571"/>
      <c r="AG108" s="571"/>
      <c r="AH108" s="571"/>
      <c r="AI108" s="3346" t="str">
        <f>'Energy Effic. Kits Deemed Table'!L309</f>
        <v>per measure</v>
      </c>
      <c r="AJ108" s="1974"/>
      <c r="AK108"/>
      <c r="AL108"/>
      <c r="AM108" s="1596">
        <f t="shared" si="26"/>
        <v>1.148238E-4</v>
      </c>
      <c r="AN108">
        <f t="shared" si="24"/>
        <v>5.8089360420000005E-3</v>
      </c>
      <c r="AO108" s="1595">
        <f t="shared" si="27"/>
        <v>-6.3957999999440796E-8</v>
      </c>
      <c r="AP108"/>
      <c r="AQ108"/>
      <c r="AR108"/>
      <c r="AS108"/>
      <c r="AT108"/>
      <c r="AU108"/>
      <c r="AV108"/>
    </row>
    <row r="109" spans="1:48" x14ac:dyDescent="0.35">
      <c r="A109" s="103" t="str">
        <f t="shared" si="19"/>
        <v>301149</v>
      </c>
      <c r="B109" s="3346" t="str">
        <f>'Energy Effic. Kits Deemed Table'!C337</f>
        <v>301149_2021_12_</v>
      </c>
      <c r="C109" s="3343" t="str">
        <f>'Energy Effic. Kits Deemed Table'!G337</f>
        <v>Miscellaneous RES</v>
      </c>
      <c r="D109" s="3343"/>
      <c r="E109" s="3343"/>
      <c r="F109" s="3343"/>
      <c r="G109" s="3343" t="str">
        <f>'Energy Effic. Kits Deemed Table'!E337</f>
        <v>Advanced Tier 2 Power Strips - TOS/NC/DI - Unknown Location</v>
      </c>
      <c r="H109" s="50" t="str">
        <f>'Energy Effic. Kits Deemed Table'!D337</f>
        <v>Unknown</v>
      </c>
      <c r="I109" s="1966">
        <f>'Energy Effic. Kits Deemed Table'!F337</f>
        <v>153.9</v>
      </c>
      <c r="J109" s="1966">
        <v>0</v>
      </c>
      <c r="K109" s="560">
        <v>0</v>
      </c>
      <c r="L109" s="560">
        <v>0</v>
      </c>
      <c r="M109" s="560">
        <v>0</v>
      </c>
      <c r="N109" s="560">
        <v>0</v>
      </c>
      <c r="O109" s="1967">
        <f>'Energy Effic. Kits Deemed Table'!I337</f>
        <v>1.7670999999999999E-2</v>
      </c>
      <c r="P109" s="1967">
        <v>0</v>
      </c>
      <c r="Q109" s="1968">
        <v>0</v>
      </c>
      <c r="R109" s="1968">
        <v>0</v>
      </c>
      <c r="S109" s="1968"/>
      <c r="T109" s="1968"/>
      <c r="U109" s="1969">
        <v>0</v>
      </c>
      <c r="V109" s="1969">
        <f t="shared" si="25"/>
        <v>1.7670999999999999E-2</v>
      </c>
      <c r="W109" s="1969">
        <v>0</v>
      </c>
      <c r="X109" s="55">
        <f>'Energy Effic. Kits Deemed Table'!J337</f>
        <v>10</v>
      </c>
      <c r="Y109" s="55"/>
      <c r="Z109" s="55">
        <f t="shared" si="20"/>
        <v>10</v>
      </c>
      <c r="AA109" s="2581">
        <f>'Energy Effic. Kits Deemed Table'!BB337</f>
        <v>5.6374595831615339</v>
      </c>
      <c r="AB109" s="2091">
        <f>'Energy Effic. Kits Deemed Table'!K337</f>
        <v>10</v>
      </c>
      <c r="AC109" s="2582">
        <f t="shared" si="21"/>
        <v>53.208679406904515</v>
      </c>
      <c r="AD109" s="2582"/>
      <c r="AE109" s="1380">
        <f>'Energy Effic. Kits Deemed Table'!BD337</f>
        <v>53.208679406904515</v>
      </c>
      <c r="AF109" s="571"/>
      <c r="AG109" s="571"/>
      <c r="AH109" s="571"/>
      <c r="AI109" s="3346" t="str">
        <f>'Energy Effic. Kits Deemed Table'!L337</f>
        <v>per measure</v>
      </c>
      <c r="AJ109" s="1974"/>
      <c r="AK109" s="84"/>
      <c r="AL109" s="84"/>
      <c r="AM109" s="1961">
        <f t="shared" si="26"/>
        <v>1.148238E-4</v>
      </c>
      <c r="AN109" s="84">
        <f t="shared" si="24"/>
        <v>1.7671382820000001E-2</v>
      </c>
      <c r="AO109" s="1965">
        <f t="shared" si="27"/>
        <v>3.828200000020876E-7</v>
      </c>
      <c r="AP109" s="84"/>
      <c r="AQ109" s="84"/>
      <c r="AR109" s="84"/>
      <c r="AS109" s="84"/>
      <c r="AT109" s="84"/>
      <c r="AU109" s="84"/>
      <c r="AV109" s="84"/>
    </row>
    <row r="110" spans="1:48" x14ac:dyDescent="0.35">
      <c r="A110" s="103" t="str">
        <f t="shared" si="19"/>
        <v>301150</v>
      </c>
      <c r="B110" s="3346" t="str">
        <f>'Energy Effic. Kits Deemed Table'!C338</f>
        <v>301150_2021_12_</v>
      </c>
      <c r="C110" s="3343" t="str">
        <f>'Energy Effic. Kits Deemed Table'!G338</f>
        <v>Miscellaneous RES</v>
      </c>
      <c r="D110" s="3343"/>
      <c r="E110" s="3343"/>
      <c r="F110" s="3343"/>
      <c r="G110" s="3343" t="str">
        <f>'Energy Effic. Kits Deemed Table'!E338</f>
        <v>Advanced Tier 2 Power Strips - SFIE Kits - Unknown Location</v>
      </c>
      <c r="H110" s="50" t="str">
        <f>'Energy Effic. Kits Deemed Table'!D338</f>
        <v>IE</v>
      </c>
      <c r="I110" s="1966">
        <f>'Energy Effic. Kits Deemed Table'!F338</f>
        <v>151.96</v>
      </c>
      <c r="J110" s="1966">
        <v>0</v>
      </c>
      <c r="K110" s="560">
        <v>0</v>
      </c>
      <c r="L110" s="560">
        <v>0</v>
      </c>
      <c r="M110" s="560">
        <v>0</v>
      </c>
      <c r="N110" s="560">
        <v>0</v>
      </c>
      <c r="O110" s="1967">
        <f>'Energy Effic. Kits Deemed Table'!I338</f>
        <v>1.7448999999999999E-2</v>
      </c>
      <c r="P110" s="1967">
        <v>0</v>
      </c>
      <c r="Q110" s="1968">
        <v>0</v>
      </c>
      <c r="R110" s="1968">
        <v>0</v>
      </c>
      <c r="S110" s="1968"/>
      <c r="T110" s="1968"/>
      <c r="U110" s="1969">
        <v>0</v>
      </c>
      <c r="V110" s="1969">
        <f t="shared" si="25"/>
        <v>1.7448999999999999E-2</v>
      </c>
      <c r="W110" s="1969">
        <v>0</v>
      </c>
      <c r="X110" s="55">
        <f>'Energy Effic. Kits Deemed Table'!J338</f>
        <v>10</v>
      </c>
      <c r="Y110" s="55"/>
      <c r="Z110" s="55">
        <f t="shared" si="20"/>
        <v>10</v>
      </c>
      <c r="AA110" s="2581">
        <f>'Energy Effic. Kits Deemed Table'!BB338</f>
        <v>1.8554653633468197</v>
      </c>
      <c r="AB110" s="2091">
        <f>'Energy Effic. Kits Deemed Table'!K338</f>
        <v>30</v>
      </c>
      <c r="AC110" s="2582">
        <f t="shared" si="21"/>
        <v>52.537952713925989</v>
      </c>
      <c r="AD110" s="2582"/>
      <c r="AE110" s="1380">
        <f>'Energy Effic. Kits Deemed Table'!BD338</f>
        <v>52.537952713925989</v>
      </c>
      <c r="AF110" s="571"/>
      <c r="AG110" s="571"/>
      <c r="AH110" s="571"/>
      <c r="AI110" s="3346" t="str">
        <f>'Energy Effic. Kits Deemed Table'!L338</f>
        <v>per measure</v>
      </c>
      <c r="AJ110" s="1974"/>
      <c r="AK110" s="84"/>
      <c r="AL110" s="84"/>
      <c r="AM110" s="1961">
        <f t="shared" si="26"/>
        <v>1.148238E-4</v>
      </c>
      <c r="AN110" s="84">
        <f t="shared" si="24"/>
        <v>1.7448624648E-2</v>
      </c>
      <c r="AO110" s="1965">
        <f t="shared" si="27"/>
        <v>-3.7535199999896851E-7</v>
      </c>
      <c r="AP110" s="84"/>
      <c r="AQ110" s="84"/>
      <c r="AR110" s="84"/>
      <c r="AS110" s="84"/>
      <c r="AT110" s="84"/>
      <c r="AU110" s="84"/>
      <c r="AV110" s="84"/>
    </row>
    <row r="111" spans="1:48" x14ac:dyDescent="0.35">
      <c r="A111" s="103" t="str">
        <f t="shared" si="19"/>
        <v>350050</v>
      </c>
      <c r="B111" s="3346" t="str">
        <f>'HVAC Deemed Table'!C7</f>
        <v>350050_2021_12_</v>
      </c>
      <c r="C111" s="3343" t="str">
        <f>'HVAC Deemed Table'!G7</f>
        <v>HVAC RES</v>
      </c>
      <c r="D111" s="3343"/>
      <c r="E111" s="3343"/>
      <c r="F111" s="3343"/>
      <c r="G111" s="3343" t="str">
        <f>'HVAC Deemed Table'!E7</f>
        <v>ECM Auto Fan ROF-SF</v>
      </c>
      <c r="H111" s="50" t="str">
        <f>'HVAC Deemed Table'!D7</f>
        <v>SF</v>
      </c>
      <c r="I111" s="1966">
        <f>'HVAC Deemed Table'!F7</f>
        <v>0</v>
      </c>
      <c r="J111" s="1966">
        <v>0</v>
      </c>
      <c r="K111" s="560">
        <v>0</v>
      </c>
      <c r="L111" s="560">
        <v>0</v>
      </c>
      <c r="M111" s="560">
        <v>0</v>
      </c>
      <c r="N111" s="560">
        <v>0</v>
      </c>
      <c r="O111" s="1967">
        <f>'HVAC Deemed Table'!M7</f>
        <v>0</v>
      </c>
      <c r="P111" s="1967">
        <v>0</v>
      </c>
      <c r="Q111" s="1968">
        <v>0</v>
      </c>
      <c r="R111" s="1968">
        <v>0</v>
      </c>
      <c r="S111" s="1968"/>
      <c r="T111" s="1968"/>
      <c r="U111" s="1969">
        <v>0</v>
      </c>
      <c r="V111" s="1969"/>
      <c r="W111" s="1969">
        <f t="shared" ref="W111:W118" si="28">O111</f>
        <v>0</v>
      </c>
      <c r="X111" s="55">
        <f>'HVAC Deemed Table'!N7</f>
        <v>20</v>
      </c>
      <c r="Y111" s="55"/>
      <c r="Z111" s="55">
        <f t="shared" si="20"/>
        <v>20</v>
      </c>
      <c r="AA111" s="2587" t="str">
        <f>'HVAC Deemed Table'!BB7</f>
        <v/>
      </c>
      <c r="AB111" s="2091">
        <f>'HVAC Deemed Table'!O7</f>
        <v>0</v>
      </c>
      <c r="AC111" s="2583">
        <f t="shared" si="21"/>
        <v>0</v>
      </c>
      <c r="AD111" s="2583"/>
      <c r="AE111" s="2588">
        <f>'HVAC Deemed Table'!BD7</f>
        <v>0</v>
      </c>
      <c r="AF111" s="571">
        <v>0</v>
      </c>
      <c r="AG111" s="571">
        <v>0</v>
      </c>
      <c r="AH111" s="571">
        <v>0</v>
      </c>
      <c r="AI111" s="2589" t="str">
        <f>AI108</f>
        <v>per measure</v>
      </c>
      <c r="AJ111" s="1974"/>
      <c r="AK111" s="1501"/>
      <c r="AL111" s="1501"/>
      <c r="AM111" s="1596">
        <f t="shared" si="26"/>
        <v>4.6608050000000002E-4</v>
      </c>
      <c r="AN111">
        <f t="shared" si="24"/>
        <v>0</v>
      </c>
      <c r="AO111" s="1595">
        <f t="shared" si="27"/>
        <v>0</v>
      </c>
    </row>
    <row r="112" spans="1:48" x14ac:dyDescent="0.35">
      <c r="A112" s="103" t="str">
        <f t="shared" si="19"/>
        <v>350100</v>
      </c>
      <c r="B112" s="3346" t="str">
        <f>'HVAC Deemed Table'!C8</f>
        <v>350100_2021_12_</v>
      </c>
      <c r="C112" s="3343" t="str">
        <f>'HVAC Deemed Table'!G8</f>
        <v>HVAC RES</v>
      </c>
      <c r="D112" s="3343"/>
      <c r="E112" s="3343"/>
      <c r="F112" s="3343"/>
      <c r="G112" s="3343" t="str">
        <f>'HVAC Deemed Table'!E8</f>
        <v>ECM Auto Fan ROF-MF</v>
      </c>
      <c r="H112" s="50" t="str">
        <f>'HVAC Deemed Table'!D8</f>
        <v>MF</v>
      </c>
      <c r="I112" s="1966">
        <f>'HVAC Deemed Table'!F8</f>
        <v>0</v>
      </c>
      <c r="J112" s="1966">
        <v>0</v>
      </c>
      <c r="K112" s="560">
        <v>0</v>
      </c>
      <c r="L112" s="560">
        <v>0</v>
      </c>
      <c r="M112" s="560">
        <v>0</v>
      </c>
      <c r="N112" s="560">
        <v>0</v>
      </c>
      <c r="O112" s="1967">
        <f>'HVAC Deemed Table'!M8</f>
        <v>0</v>
      </c>
      <c r="P112" s="1967">
        <v>0</v>
      </c>
      <c r="Q112" s="1968">
        <v>0</v>
      </c>
      <c r="R112" s="1968">
        <v>0</v>
      </c>
      <c r="S112" s="1968"/>
      <c r="T112" s="1968"/>
      <c r="U112" s="1969">
        <v>0</v>
      </c>
      <c r="V112" s="1969"/>
      <c r="W112" s="1969">
        <f t="shared" si="28"/>
        <v>0</v>
      </c>
      <c r="X112" s="55">
        <f>'HVAC Deemed Table'!N8</f>
        <v>20</v>
      </c>
      <c r="Y112" s="55"/>
      <c r="Z112" s="55">
        <f t="shared" si="20"/>
        <v>20</v>
      </c>
      <c r="AA112" s="2587" t="str">
        <f>'HVAC Deemed Table'!BB8</f>
        <v/>
      </c>
      <c r="AB112" s="2091">
        <f>'HVAC Deemed Table'!O8</f>
        <v>0</v>
      </c>
      <c r="AC112" s="2583">
        <f t="shared" si="21"/>
        <v>0</v>
      </c>
      <c r="AD112" s="2583"/>
      <c r="AE112" s="2588">
        <f>'HVAC Deemed Table'!BD8</f>
        <v>0</v>
      </c>
      <c r="AF112" s="571">
        <v>0</v>
      </c>
      <c r="AG112" s="571">
        <v>0</v>
      </c>
      <c r="AH112" s="571">
        <v>0</v>
      </c>
      <c r="AI112" s="2589" t="str">
        <f t="shared" ref="AI112:AI143" si="29">AI111</f>
        <v>per measure</v>
      </c>
      <c r="AJ112" s="1974"/>
      <c r="AK112" s="1501"/>
      <c r="AL112" s="1501"/>
      <c r="AM112" s="1596">
        <f t="shared" si="26"/>
        <v>4.6608050000000002E-4</v>
      </c>
      <c r="AN112">
        <f t="shared" ref="AN112:AN142" si="30">AM112*I112</f>
        <v>0</v>
      </c>
      <c r="AO112" s="1595">
        <f t="shared" si="27"/>
        <v>0</v>
      </c>
    </row>
    <row r="113" spans="1:41" x14ac:dyDescent="0.35">
      <c r="A113" s="103" t="str">
        <f t="shared" si="19"/>
        <v>350150</v>
      </c>
      <c r="B113" s="3346" t="str">
        <f>'HVAC Deemed Table'!C9</f>
        <v>350150_2021_12_</v>
      </c>
      <c r="C113" s="3343" t="str">
        <f>'HVAC Deemed Table'!G9</f>
        <v>HVAC RES</v>
      </c>
      <c r="D113" s="3343" t="str">
        <f>'HVAC Deemed Table'!G10</f>
        <v>HVAC RES ER2</v>
      </c>
      <c r="E113" s="3343"/>
      <c r="F113" s="3343"/>
      <c r="G113" s="3343" t="str">
        <f>'HVAC Deemed Table'!E9</f>
        <v>ECM Auto Fan ER1 - SF</v>
      </c>
      <c r="H113" s="50" t="str">
        <f>'HVAC Deemed Table'!D9</f>
        <v>SF</v>
      </c>
      <c r="I113" s="1966">
        <f>'HVAC Deemed Table'!F9</f>
        <v>582</v>
      </c>
      <c r="J113" s="1966">
        <f>'HVAC Deemed Table'!F10</f>
        <v>0</v>
      </c>
      <c r="K113" s="560">
        <v>0</v>
      </c>
      <c r="L113" s="560">
        <v>0</v>
      </c>
      <c r="M113" s="560">
        <v>0</v>
      </c>
      <c r="N113" s="560">
        <v>0</v>
      </c>
      <c r="O113" s="1967">
        <f>'HVAC Deemed Table'!M9</f>
        <v>0.27125899999999997</v>
      </c>
      <c r="P113" s="1967">
        <f>'HVAC Deemed Table'!M10</f>
        <v>0</v>
      </c>
      <c r="Q113" s="1968">
        <v>0</v>
      </c>
      <c r="R113" s="1968">
        <v>0</v>
      </c>
      <c r="S113" s="1968"/>
      <c r="T113" s="1968"/>
      <c r="U113" s="1969">
        <v>0</v>
      </c>
      <c r="V113" s="1969"/>
      <c r="W113" s="1969">
        <f t="shared" si="28"/>
        <v>0.27125899999999997</v>
      </c>
      <c r="X113" s="55">
        <f>'HVAC Deemed Table'!N9</f>
        <v>6</v>
      </c>
      <c r="Y113" s="55">
        <f>'HVAC Deemed Table'!N10</f>
        <v>0</v>
      </c>
      <c r="Z113" s="55">
        <f t="shared" si="20"/>
        <v>6</v>
      </c>
      <c r="AA113" s="2581">
        <f>'HVAC Deemed Table'!BB9</f>
        <v>3.2587072352080275</v>
      </c>
      <c r="AB113" s="2091">
        <f>'HVAC Deemed Table'!O9</f>
        <v>74.327224020150311</v>
      </c>
      <c r="AC113" s="2583">
        <f t="shared" si="21"/>
        <v>228.60845935572598</v>
      </c>
      <c r="AD113" s="2583">
        <f t="shared" ref="AD113:AD176" si="31">AG113+AH113</f>
        <v>0</v>
      </c>
      <c r="AE113" s="2588">
        <f>'HVAC Deemed Table'!BD9</f>
        <v>228.60845935572598</v>
      </c>
      <c r="AF113" s="571">
        <v>0</v>
      </c>
      <c r="AG113" s="2588">
        <f>'HVAC Deemed Table'!BD10</f>
        <v>0</v>
      </c>
      <c r="AH113" s="571">
        <v>0</v>
      </c>
      <c r="AI113" s="2589" t="str">
        <f t="shared" si="29"/>
        <v>per measure</v>
      </c>
      <c r="AJ113" s="1974"/>
      <c r="AK113" s="1501"/>
      <c r="AL113" s="1501"/>
      <c r="AM113" s="1596">
        <f t="shared" si="26"/>
        <v>4.6608050000000002E-4</v>
      </c>
      <c r="AN113">
        <f t="shared" si="30"/>
        <v>0.27125885100000002</v>
      </c>
      <c r="AO113" s="1595">
        <f t="shared" si="27"/>
        <v>-1.4899999994932855E-7</v>
      </c>
    </row>
    <row r="114" spans="1:41" x14ac:dyDescent="0.35">
      <c r="A114" s="103" t="str">
        <f t="shared" si="19"/>
        <v>350175</v>
      </c>
      <c r="B114" s="3346" t="str">
        <f>'HVAC Deemed Table'!C11</f>
        <v>350175_2021_12_</v>
      </c>
      <c r="C114" s="3343" t="str">
        <f>'HVAC Deemed Table'!G11</f>
        <v>HVAC RES</v>
      </c>
      <c r="D114" s="3343" t="str">
        <f>'HVAC Deemed Table'!G12</f>
        <v>HVAC RES ER2</v>
      </c>
      <c r="E114" s="3343"/>
      <c r="F114" s="3343"/>
      <c r="G114" s="3343" t="str">
        <f>'HVAC Deemed Table'!E11</f>
        <v>ECM Auto Fan ER1 - MF</v>
      </c>
      <c r="H114" s="50" t="str">
        <f>'HVAC Deemed Table'!D11</f>
        <v>MF</v>
      </c>
      <c r="I114" s="1966">
        <f>'HVAC Deemed Table'!F11</f>
        <v>582</v>
      </c>
      <c r="J114" s="1966">
        <f>'HVAC Deemed Table'!F12</f>
        <v>0</v>
      </c>
      <c r="K114" s="560">
        <v>0</v>
      </c>
      <c r="L114" s="560">
        <v>0</v>
      </c>
      <c r="M114" s="560">
        <v>0</v>
      </c>
      <c r="N114" s="560">
        <v>0</v>
      </c>
      <c r="O114" s="1967">
        <f>'HVAC Deemed Table'!M11</f>
        <v>0.27125899999999997</v>
      </c>
      <c r="P114" s="1967">
        <f>'HVAC Deemed Table'!M12</f>
        <v>0</v>
      </c>
      <c r="Q114" s="1968">
        <v>0</v>
      </c>
      <c r="R114" s="1968">
        <v>0</v>
      </c>
      <c r="S114" s="1968"/>
      <c r="T114" s="1968"/>
      <c r="U114" s="1969">
        <v>0</v>
      </c>
      <c r="V114" s="1969"/>
      <c r="W114" s="1969">
        <f t="shared" si="28"/>
        <v>0.27125899999999997</v>
      </c>
      <c r="X114" s="55">
        <f>'HVAC Deemed Table'!N11</f>
        <v>6</v>
      </c>
      <c r="Y114" s="55">
        <f>'HVAC Deemed Table'!N12</f>
        <v>0</v>
      </c>
      <c r="Z114" s="55">
        <f t="shared" si="20"/>
        <v>6</v>
      </c>
      <c r="AA114" s="2581">
        <f>'HVAC Deemed Table'!BB11</f>
        <v>3.2587072352080275</v>
      </c>
      <c r="AB114" s="2091">
        <f>'HVAC Deemed Table'!O11</f>
        <v>74.327224020150311</v>
      </c>
      <c r="AC114" s="2583">
        <f t="shared" si="21"/>
        <v>228.60845935572598</v>
      </c>
      <c r="AD114" s="2583">
        <f t="shared" si="31"/>
        <v>0</v>
      </c>
      <c r="AE114" s="2588">
        <f>'HVAC Deemed Table'!BD11</f>
        <v>228.60845935572598</v>
      </c>
      <c r="AF114" s="571">
        <v>0</v>
      </c>
      <c r="AG114" s="2588">
        <f>'HVAC Deemed Table'!BD12</f>
        <v>0</v>
      </c>
      <c r="AH114" s="571">
        <v>0</v>
      </c>
      <c r="AI114" s="2589" t="str">
        <f t="shared" si="29"/>
        <v>per measure</v>
      </c>
      <c r="AJ114" s="1974"/>
      <c r="AK114" s="1501"/>
      <c r="AL114" s="1501"/>
      <c r="AM114" s="1596">
        <f t="shared" si="26"/>
        <v>4.6608050000000002E-4</v>
      </c>
      <c r="AN114">
        <f t="shared" si="30"/>
        <v>0.27125885100000002</v>
      </c>
      <c r="AO114" s="1595">
        <f t="shared" si="27"/>
        <v>-1.4899999994932855E-7</v>
      </c>
    </row>
    <row r="115" spans="1:41" x14ac:dyDescent="0.35">
      <c r="A115" s="103" t="str">
        <f t="shared" si="19"/>
        <v>350200</v>
      </c>
      <c r="B115" s="3346" t="str">
        <f>'HVAC Deemed Table'!C13</f>
        <v>350200_2021_12_</v>
      </c>
      <c r="C115" s="3343" t="str">
        <f>'HVAC Deemed Table'!G13</f>
        <v>HVAC RES</v>
      </c>
      <c r="D115" s="3343"/>
      <c r="E115" s="3343"/>
      <c r="F115" s="3343"/>
      <c r="G115" s="3343" t="str">
        <f>'HVAC Deemed Table'!E13</f>
        <v>ECM Continuous Fan ROF- SF</v>
      </c>
      <c r="H115" s="50" t="str">
        <f>'HVAC Deemed Table'!D13</f>
        <v>SF</v>
      </c>
      <c r="I115" s="1966">
        <f>'HVAC Deemed Table'!F13</f>
        <v>0</v>
      </c>
      <c r="J115" s="1966">
        <v>0</v>
      </c>
      <c r="K115" s="560">
        <v>0</v>
      </c>
      <c r="L115" s="560">
        <v>0</v>
      </c>
      <c r="M115" s="560">
        <v>0</v>
      </c>
      <c r="N115" s="560">
        <v>0</v>
      </c>
      <c r="O115" s="1967">
        <f>'HVAC Deemed Table'!M13</f>
        <v>0</v>
      </c>
      <c r="P115" s="1967">
        <v>0</v>
      </c>
      <c r="Q115" s="1968">
        <v>0</v>
      </c>
      <c r="R115" s="1968">
        <v>0</v>
      </c>
      <c r="S115" s="1968"/>
      <c r="T115" s="1968"/>
      <c r="U115" s="1969">
        <v>0</v>
      </c>
      <c r="V115" s="1969"/>
      <c r="W115" s="1969">
        <f t="shared" si="28"/>
        <v>0</v>
      </c>
      <c r="X115" s="55">
        <f>'HVAC Deemed Table'!N13</f>
        <v>20</v>
      </c>
      <c r="Y115" s="55"/>
      <c r="Z115" s="55">
        <f t="shared" si="20"/>
        <v>20</v>
      </c>
      <c r="AA115" s="2587" t="str">
        <f>'HVAC Deemed Table'!BB13</f>
        <v/>
      </c>
      <c r="AB115" s="2091">
        <f>'HVAC Deemed Table'!O13</f>
        <v>0</v>
      </c>
      <c r="AC115" s="2583">
        <f t="shared" si="21"/>
        <v>0</v>
      </c>
      <c r="AD115" s="2583">
        <f t="shared" si="31"/>
        <v>0</v>
      </c>
      <c r="AE115" s="2588">
        <f>'HVAC Deemed Table'!BD13</f>
        <v>0</v>
      </c>
      <c r="AF115" s="571">
        <v>0</v>
      </c>
      <c r="AG115" s="2588">
        <v>0</v>
      </c>
      <c r="AH115" s="571">
        <v>0</v>
      </c>
      <c r="AI115" s="2589" t="str">
        <f t="shared" si="29"/>
        <v>per measure</v>
      </c>
      <c r="AJ115" s="1974"/>
      <c r="AK115" s="1501"/>
      <c r="AL115" s="1501"/>
      <c r="AM115" s="1596">
        <f t="shared" si="26"/>
        <v>4.6608050000000002E-4</v>
      </c>
      <c r="AN115">
        <f t="shared" si="30"/>
        <v>0</v>
      </c>
      <c r="AO115" s="1595">
        <f t="shared" si="27"/>
        <v>0</v>
      </c>
    </row>
    <row r="116" spans="1:41" x14ac:dyDescent="0.35">
      <c r="A116" s="103" t="str">
        <f t="shared" si="19"/>
        <v>350250</v>
      </c>
      <c r="B116" s="3346" t="str">
        <f>'HVAC Deemed Table'!C14</f>
        <v>350250_2021_12_</v>
      </c>
      <c r="C116" s="3343" t="str">
        <f>'HVAC Deemed Table'!G14</f>
        <v>HVAC RES</v>
      </c>
      <c r="D116" s="3343"/>
      <c r="E116" s="3343"/>
      <c r="F116" s="3343"/>
      <c r="G116" s="3343" t="str">
        <f>'HVAC Deemed Table'!E14</f>
        <v>ECM Continuous Fan ROF- MF</v>
      </c>
      <c r="H116" s="50" t="str">
        <f>'HVAC Deemed Table'!D14</f>
        <v>MF</v>
      </c>
      <c r="I116" s="1966">
        <f>'HVAC Deemed Table'!F14</f>
        <v>0</v>
      </c>
      <c r="J116" s="1966">
        <v>0</v>
      </c>
      <c r="K116" s="560">
        <v>0</v>
      </c>
      <c r="L116" s="560">
        <v>0</v>
      </c>
      <c r="M116" s="560">
        <v>0</v>
      </c>
      <c r="N116" s="560">
        <v>0</v>
      </c>
      <c r="O116" s="1967">
        <f>'HVAC Deemed Table'!M14</f>
        <v>0</v>
      </c>
      <c r="P116" s="1967">
        <v>0</v>
      </c>
      <c r="Q116" s="1968">
        <v>0</v>
      </c>
      <c r="R116" s="1968">
        <v>0</v>
      </c>
      <c r="S116" s="1968"/>
      <c r="T116" s="1968"/>
      <c r="U116" s="1969">
        <v>0</v>
      </c>
      <c r="V116" s="1969"/>
      <c r="W116" s="1969">
        <f t="shared" si="28"/>
        <v>0</v>
      </c>
      <c r="X116" s="55">
        <f>'HVAC Deemed Table'!N14</f>
        <v>20</v>
      </c>
      <c r="Y116" s="55"/>
      <c r="Z116" s="55">
        <f t="shared" si="20"/>
        <v>20</v>
      </c>
      <c r="AA116" s="2587" t="str">
        <f>'HVAC Deemed Table'!BB14</f>
        <v/>
      </c>
      <c r="AB116" s="2091">
        <f>'HVAC Deemed Table'!O14</f>
        <v>0</v>
      </c>
      <c r="AC116" s="2583">
        <f t="shared" si="21"/>
        <v>0</v>
      </c>
      <c r="AD116" s="2583">
        <f t="shared" si="31"/>
        <v>0</v>
      </c>
      <c r="AE116" s="2588">
        <f>'HVAC Deemed Table'!BD14</f>
        <v>0</v>
      </c>
      <c r="AF116" s="571">
        <v>0</v>
      </c>
      <c r="AG116" s="2588">
        <v>0</v>
      </c>
      <c r="AH116" s="571">
        <v>0</v>
      </c>
      <c r="AI116" s="2589" t="str">
        <f t="shared" si="29"/>
        <v>per measure</v>
      </c>
      <c r="AJ116" s="1974"/>
      <c r="AK116" s="1501"/>
      <c r="AL116" s="1501"/>
      <c r="AM116" s="1596">
        <f t="shared" si="26"/>
        <v>4.6608050000000002E-4</v>
      </c>
      <c r="AN116">
        <f t="shared" si="30"/>
        <v>0</v>
      </c>
      <c r="AO116" s="1595">
        <f t="shared" si="27"/>
        <v>0</v>
      </c>
    </row>
    <row r="117" spans="1:41" x14ac:dyDescent="0.35">
      <c r="A117" s="103" t="str">
        <f t="shared" si="19"/>
        <v>350300</v>
      </c>
      <c r="B117" s="3346" t="str">
        <f>'HVAC Deemed Table'!C15</f>
        <v>350300_2021_12_</v>
      </c>
      <c r="C117" s="3343" t="str">
        <f>'HVAC Deemed Table'!G15</f>
        <v>HVAC RES</v>
      </c>
      <c r="D117" s="3343" t="str">
        <f>'HVAC Deemed Table'!G16</f>
        <v>HVAC RES ER2</v>
      </c>
      <c r="E117" s="3343"/>
      <c r="F117" s="3343"/>
      <c r="G117" s="3343" t="str">
        <f>'HVAC Deemed Table'!E15</f>
        <v>ECM Continuous Fan ER1 - SF</v>
      </c>
      <c r="H117" s="50" t="str">
        <f>'HVAC Deemed Table'!D15</f>
        <v>SF</v>
      </c>
      <c r="I117" s="1966">
        <f>'HVAC Deemed Table'!F15</f>
        <v>582</v>
      </c>
      <c r="J117" s="1966">
        <f>'HVAC Deemed Table'!F16</f>
        <v>0</v>
      </c>
      <c r="K117" s="560">
        <v>0</v>
      </c>
      <c r="L117" s="560">
        <v>0</v>
      </c>
      <c r="M117" s="560">
        <v>0</v>
      </c>
      <c r="N117" s="560">
        <v>0</v>
      </c>
      <c r="O117" s="1967">
        <f>'HVAC Deemed Table'!M15</f>
        <v>0.27125899999999997</v>
      </c>
      <c r="P117" s="1967">
        <f>'HVAC Deemed Table'!M16</f>
        <v>0</v>
      </c>
      <c r="Q117" s="1968">
        <v>0</v>
      </c>
      <c r="R117" s="1968">
        <v>0</v>
      </c>
      <c r="S117" s="1968"/>
      <c r="T117" s="1968"/>
      <c r="U117" s="1969">
        <v>0</v>
      </c>
      <c r="V117" s="1969"/>
      <c r="W117" s="1969">
        <f t="shared" si="28"/>
        <v>0.27125899999999997</v>
      </c>
      <c r="X117" s="55">
        <f>'HVAC Deemed Table'!N15</f>
        <v>6</v>
      </c>
      <c r="Y117" s="55">
        <f>'HVAC Deemed Table'!N16</f>
        <v>0</v>
      </c>
      <c r="Z117" s="55">
        <f t="shared" si="20"/>
        <v>6</v>
      </c>
      <c r="AA117" s="2581">
        <f>'HVAC Deemed Table'!BB15</f>
        <v>3.2587072352080275</v>
      </c>
      <c r="AB117" s="2091">
        <f>'HVAC Deemed Table'!O15</f>
        <v>74.327224020150311</v>
      </c>
      <c r="AC117" s="2583">
        <f t="shared" si="21"/>
        <v>228.60845935572598</v>
      </c>
      <c r="AD117" s="2583">
        <f t="shared" si="31"/>
        <v>0</v>
      </c>
      <c r="AE117" s="2588">
        <f>'HVAC Deemed Table'!BD15</f>
        <v>228.60845935572598</v>
      </c>
      <c r="AF117" s="571">
        <v>0</v>
      </c>
      <c r="AG117" s="2588">
        <f>'HVAC Deemed Table'!BD16</f>
        <v>0</v>
      </c>
      <c r="AH117" s="571">
        <v>0</v>
      </c>
      <c r="AI117" s="2589" t="str">
        <f t="shared" si="29"/>
        <v>per measure</v>
      </c>
      <c r="AJ117" s="1974"/>
      <c r="AK117" s="1501"/>
      <c r="AL117" s="1501"/>
      <c r="AM117" s="1596">
        <f t="shared" si="26"/>
        <v>4.6608050000000002E-4</v>
      </c>
      <c r="AN117">
        <f t="shared" si="30"/>
        <v>0.27125885100000002</v>
      </c>
      <c r="AO117" s="1595">
        <f t="shared" si="27"/>
        <v>-1.4899999994932855E-7</v>
      </c>
    </row>
    <row r="118" spans="1:41" x14ac:dyDescent="0.35">
      <c r="A118" s="103" t="str">
        <f t="shared" si="19"/>
        <v>350350</v>
      </c>
      <c r="B118" s="3346" t="str">
        <f>'HVAC Deemed Table'!C17</f>
        <v>350350_2021_12_</v>
      </c>
      <c r="C118" s="3343" t="str">
        <f>'HVAC Deemed Table'!G17</f>
        <v>HVAC RES</v>
      </c>
      <c r="D118" s="3343" t="str">
        <f>'HVAC Deemed Table'!G18</f>
        <v>HVAC RES ER2</v>
      </c>
      <c r="E118" s="3343"/>
      <c r="F118" s="3343"/>
      <c r="G118" s="3343" t="str">
        <f>'HVAC Deemed Table'!E17</f>
        <v>ECM Continuous Fan ER1 - MF</v>
      </c>
      <c r="H118" s="50" t="str">
        <f>'HVAC Deemed Table'!D17</f>
        <v>MF</v>
      </c>
      <c r="I118" s="1966">
        <f>'HVAC Deemed Table'!F17</f>
        <v>582</v>
      </c>
      <c r="J118" s="1966">
        <f>'HVAC Deemed Table'!F18</f>
        <v>0</v>
      </c>
      <c r="K118" s="560">
        <v>0</v>
      </c>
      <c r="L118" s="560">
        <v>0</v>
      </c>
      <c r="M118" s="560">
        <v>0</v>
      </c>
      <c r="N118" s="560">
        <v>0</v>
      </c>
      <c r="O118" s="1967">
        <f>'HVAC Deemed Table'!M17</f>
        <v>0.27125899999999997</v>
      </c>
      <c r="P118" s="1967">
        <f>'HVAC Deemed Table'!M18</f>
        <v>0</v>
      </c>
      <c r="Q118" s="1968">
        <v>0</v>
      </c>
      <c r="R118" s="1968">
        <v>0</v>
      </c>
      <c r="S118" s="1968"/>
      <c r="T118" s="1968"/>
      <c r="U118" s="1969">
        <v>0</v>
      </c>
      <c r="V118" s="1969"/>
      <c r="W118" s="1969">
        <f t="shared" si="28"/>
        <v>0.27125899999999997</v>
      </c>
      <c r="X118" s="55">
        <f>'HVAC Deemed Table'!N17</f>
        <v>6</v>
      </c>
      <c r="Y118" s="55">
        <f>'HVAC Deemed Table'!N18</f>
        <v>0</v>
      </c>
      <c r="Z118" s="55">
        <f t="shared" si="20"/>
        <v>6</v>
      </c>
      <c r="AA118" s="2581">
        <f>'HVAC Deemed Table'!BB17</f>
        <v>3.2587072352080275</v>
      </c>
      <c r="AB118" s="2091">
        <f>'HVAC Deemed Table'!O17</f>
        <v>74.327224020150311</v>
      </c>
      <c r="AC118" s="2583">
        <f t="shared" si="21"/>
        <v>228.60845935572598</v>
      </c>
      <c r="AD118" s="2583">
        <f t="shared" si="31"/>
        <v>0</v>
      </c>
      <c r="AE118" s="2588">
        <f>'HVAC Deemed Table'!BD17</f>
        <v>228.60845935572598</v>
      </c>
      <c r="AF118" s="571">
        <v>0</v>
      </c>
      <c r="AG118" s="2588">
        <f>'HVAC Deemed Table'!BD18</f>
        <v>0</v>
      </c>
      <c r="AH118" s="571">
        <v>0</v>
      </c>
      <c r="AI118" s="2589" t="str">
        <f t="shared" si="29"/>
        <v>per measure</v>
      </c>
      <c r="AJ118" s="1974"/>
      <c r="AK118" s="1501"/>
      <c r="AL118" s="1501"/>
      <c r="AM118" s="1596">
        <f t="shared" si="26"/>
        <v>4.6608050000000002E-4</v>
      </c>
      <c r="AN118">
        <f t="shared" si="30"/>
        <v>0.27125885100000002</v>
      </c>
      <c r="AO118" s="1595">
        <f t="shared" si="27"/>
        <v>-1.4899999994932855E-7</v>
      </c>
    </row>
    <row r="119" spans="1:41" x14ac:dyDescent="0.35">
      <c r="A119" s="103" t="str">
        <f t="shared" si="19"/>
        <v>350400</v>
      </c>
      <c r="B119" s="3346" t="str">
        <f>'HVAC Deemed Table'!C119</f>
        <v>350400_2021_12_</v>
      </c>
      <c r="C119" s="3343" t="str">
        <f>'HVAC Deemed Table'!G119</f>
        <v>Cooling RES</v>
      </c>
      <c r="D119" s="3343" t="str">
        <f>'HVAC Deemed Table'!G120</f>
        <v>Cooling RES ER2</v>
      </c>
      <c r="E119" s="3343"/>
      <c r="F119" s="3343"/>
      <c r="G119" s="3343" t="str">
        <f>'HVAC Deemed Table'!E119</f>
        <v>CAC-SEER14_ER1_SF</v>
      </c>
      <c r="H119" s="50" t="str">
        <f>'HVAC Deemed Table'!D119</f>
        <v>SF</v>
      </c>
      <c r="I119" s="1966">
        <f t="shared" ref="I119:I182" si="32">K119+L119</f>
        <v>1529.78</v>
      </c>
      <c r="J119" s="1966">
        <f t="shared" ref="J119:J182" si="33">M119+N119</f>
        <v>192.34</v>
      </c>
      <c r="K119" s="560">
        <f>'HVAC Deemed Table'!F119</f>
        <v>1529.78</v>
      </c>
      <c r="L119" s="560">
        <v>0</v>
      </c>
      <c r="M119" s="560">
        <f>'HVAC Deemed Table'!F120</f>
        <v>192.34</v>
      </c>
      <c r="N119" s="560">
        <v>0</v>
      </c>
      <c r="O119" s="1967">
        <f t="shared" ref="O119:O182" si="34">Q119+R119</f>
        <v>1.449341</v>
      </c>
      <c r="P119" s="1967">
        <f t="shared" ref="P119:P182" si="35">S119+T119</f>
        <v>0.182226</v>
      </c>
      <c r="Q119" s="1968">
        <f>'HVAC Deemed Table'!I119</f>
        <v>1.449341</v>
      </c>
      <c r="R119" s="1968"/>
      <c r="S119" s="1968">
        <f>'HVAC Deemed Table'!I120</f>
        <v>0.182226</v>
      </c>
      <c r="T119" s="1968"/>
      <c r="U119" s="1969"/>
      <c r="V119" s="1969"/>
      <c r="W119" s="1969">
        <f>P119</f>
        <v>0.182226</v>
      </c>
      <c r="X119" s="55">
        <f>'HVAC Deemed Table'!J119</f>
        <v>6</v>
      </c>
      <c r="Y119" s="55">
        <f>'HVAC Deemed Table'!J120</f>
        <v>12</v>
      </c>
      <c r="Z119" s="55">
        <f t="shared" si="20"/>
        <v>18</v>
      </c>
      <c r="AA119" s="2581">
        <f>'HVAC Deemed Table'!BB119</f>
        <v>2.8203426076588602</v>
      </c>
      <c r="AB119" s="2091">
        <f>'HVAC Deemed Table'!K119</f>
        <v>444.07830140084025</v>
      </c>
      <c r="AC119" s="2583">
        <f t="shared" si="21"/>
        <v>969.28694901151562</v>
      </c>
      <c r="AD119" s="2583">
        <f t="shared" si="31"/>
        <v>212.83004445480154</v>
      </c>
      <c r="AE119" s="571">
        <f>'HVAC Deemed Table'!BD119</f>
        <v>969.28694901151562</v>
      </c>
      <c r="AF119" s="571">
        <v>0</v>
      </c>
      <c r="AG119" s="571">
        <f>'HVAC Deemed Table'!BD120</f>
        <v>212.83004445480154</v>
      </c>
      <c r="AH119" s="571">
        <v>0</v>
      </c>
      <c r="AI119" s="2589" t="str">
        <f t="shared" si="29"/>
        <v>per measure</v>
      </c>
      <c r="AJ119" s="109">
        <f>'HVAC Deemed Table'!L119</f>
        <v>2.98</v>
      </c>
      <c r="AK119" s="1501"/>
      <c r="AL119" s="1501"/>
      <c r="AM119" s="1596">
        <f t="shared" si="26"/>
        <v>9.4741810000000004E-4</v>
      </c>
      <c r="AN119">
        <f t="shared" si="30"/>
        <v>1.4493412610180001</v>
      </c>
      <c r="AO119" s="1595">
        <f t="shared" si="27"/>
        <v>2.610180001028084E-7</v>
      </c>
    </row>
    <row r="120" spans="1:41" x14ac:dyDescent="0.35">
      <c r="A120" s="103" t="str">
        <f t="shared" si="19"/>
        <v>350450</v>
      </c>
      <c r="B120" s="3346" t="str">
        <f>'HVAC Deemed Table'!C121</f>
        <v>350450_2021_12_</v>
      </c>
      <c r="C120" s="3343" t="str">
        <f>'HVAC Deemed Table'!G121</f>
        <v>Cooling RES</v>
      </c>
      <c r="D120" s="3343"/>
      <c r="E120" s="3343"/>
      <c r="F120" s="3343"/>
      <c r="G120" s="3343" t="str">
        <f>'HVAC Deemed Table'!E121</f>
        <v>CAC-SEER14_ROF_SF</v>
      </c>
      <c r="H120" s="50" t="str">
        <f>'HVAC Deemed Table'!D121</f>
        <v>SF</v>
      </c>
      <c r="I120" s="1966">
        <f t="shared" si="32"/>
        <v>191.69</v>
      </c>
      <c r="J120" s="1966">
        <f t="shared" si="33"/>
        <v>0</v>
      </c>
      <c r="K120" s="560">
        <f>'HVAC Deemed Table'!F121</f>
        <v>191.69</v>
      </c>
      <c r="L120" s="560">
        <v>0</v>
      </c>
      <c r="M120" s="560">
        <v>0</v>
      </c>
      <c r="N120" s="560">
        <v>0</v>
      </c>
      <c r="O120" s="1967">
        <f t="shared" si="34"/>
        <v>0.18161099999999999</v>
      </c>
      <c r="P120" s="1967">
        <f t="shared" si="35"/>
        <v>0</v>
      </c>
      <c r="Q120" s="1968">
        <f>'HVAC Deemed Table'!I121</f>
        <v>0.18161099999999999</v>
      </c>
      <c r="R120" s="1968"/>
      <c r="S120" s="1968"/>
      <c r="T120" s="1968"/>
      <c r="U120" s="1969"/>
      <c r="V120" s="1969"/>
      <c r="W120" s="1969">
        <f>Q120</f>
        <v>0.18161099999999999</v>
      </c>
      <c r="X120" s="55">
        <f>'HVAC Deemed Table'!J121</f>
        <v>18</v>
      </c>
      <c r="Y120" s="55"/>
      <c r="Z120" s="55">
        <f t="shared" si="20"/>
        <v>18</v>
      </c>
      <c r="AA120" s="2581" t="str">
        <f>'HVAC Deemed Table'!BB121</f>
        <v/>
      </c>
      <c r="AB120" s="2091">
        <f>'HVAC Deemed Table'!K121</f>
        <v>0</v>
      </c>
      <c r="AC120" s="2583">
        <f t="shared" si="21"/>
        <v>333.56788196910014</v>
      </c>
      <c r="AD120" s="2583">
        <f t="shared" si="31"/>
        <v>0</v>
      </c>
      <c r="AE120" s="571">
        <f>'HVAC Deemed Table'!BD121</f>
        <v>333.56788196910014</v>
      </c>
      <c r="AF120" s="571">
        <v>0</v>
      </c>
      <c r="AG120" s="571">
        <v>0</v>
      </c>
      <c r="AH120" s="571">
        <v>0</v>
      </c>
      <c r="AI120" s="2589" t="str">
        <f t="shared" si="29"/>
        <v>per measure</v>
      </c>
      <c r="AJ120" s="109">
        <f>'HVAC Deemed Table'!L121</f>
        <v>2.97</v>
      </c>
      <c r="AK120" s="1501"/>
      <c r="AL120" s="1501"/>
      <c r="AM120" s="1596">
        <f t="shared" si="26"/>
        <v>9.4741810000000004E-4</v>
      </c>
      <c r="AN120">
        <f t="shared" si="30"/>
        <v>0.18161057558900001</v>
      </c>
      <c r="AO120" s="1595">
        <f t="shared" si="27"/>
        <v>-4.2441099998291598E-7</v>
      </c>
    </row>
    <row r="121" spans="1:41" x14ac:dyDescent="0.35">
      <c r="A121" s="103" t="str">
        <f t="shared" si="19"/>
        <v>350500</v>
      </c>
      <c r="B121" s="3346" t="str">
        <f>'HVAC Deemed Table'!C122</f>
        <v>350500_2021_12_</v>
      </c>
      <c r="C121" s="3343" t="str">
        <f>'HVAC Deemed Table'!G122</f>
        <v>Cooling RES</v>
      </c>
      <c r="D121" s="3343" t="str">
        <f>'HVAC Deemed Table'!G123</f>
        <v>Cooling RES ER2</v>
      </c>
      <c r="E121" s="3343"/>
      <c r="F121" s="3343"/>
      <c r="G121" s="3343" t="str">
        <f>'HVAC Deemed Table'!E122</f>
        <v>CAC-SEER14_ER1_MF</v>
      </c>
      <c r="H121" s="50" t="str">
        <f>'HVAC Deemed Table'!D122</f>
        <v>MF</v>
      </c>
      <c r="I121" s="1966">
        <f t="shared" si="32"/>
        <v>1011.98</v>
      </c>
      <c r="J121" s="1966">
        <f t="shared" si="33"/>
        <v>114.36</v>
      </c>
      <c r="K121" s="560">
        <f>'HVAC Deemed Table'!F122</f>
        <v>1011.98</v>
      </c>
      <c r="L121" s="560">
        <v>0</v>
      </c>
      <c r="M121" s="560">
        <f>'HVAC Deemed Table'!F123</f>
        <v>114.36</v>
      </c>
      <c r="N121" s="560">
        <v>0</v>
      </c>
      <c r="O121" s="1967">
        <f t="shared" si="34"/>
        <v>0.95876799999999995</v>
      </c>
      <c r="P121" s="1967">
        <f t="shared" si="35"/>
        <v>0.108347</v>
      </c>
      <c r="Q121" s="1968">
        <f>'HVAC Deemed Table'!I122</f>
        <v>0.95876799999999995</v>
      </c>
      <c r="R121" s="1968"/>
      <c r="S121" s="1968">
        <f>'HVAC Deemed Table'!I123</f>
        <v>0.108347</v>
      </c>
      <c r="T121" s="1968"/>
      <c r="U121" s="1969"/>
      <c r="V121" s="1969"/>
      <c r="W121" s="1969">
        <f>P121</f>
        <v>0.108347</v>
      </c>
      <c r="X121" s="55">
        <f>'HVAC Deemed Table'!J122</f>
        <v>6</v>
      </c>
      <c r="Y121" s="55">
        <f>'HVAC Deemed Table'!J123</f>
        <v>12</v>
      </c>
      <c r="Z121" s="55">
        <f t="shared" si="20"/>
        <v>18</v>
      </c>
      <c r="AA121" s="2581">
        <f>'HVAC Deemed Table'!BB122</f>
        <v>2.0950285778759956</v>
      </c>
      <c r="AB121" s="2091">
        <f>'HVAC Deemed Table'!K122</f>
        <v>388.26502607230418</v>
      </c>
      <c r="AC121" s="2583">
        <f t="shared" si="21"/>
        <v>641.20266094515137</v>
      </c>
      <c r="AD121" s="2583">
        <f t="shared" si="31"/>
        <v>126.54280900411304</v>
      </c>
      <c r="AE121" s="571">
        <f>'HVAC Deemed Table'!BD122</f>
        <v>641.20266094515137</v>
      </c>
      <c r="AF121" s="571">
        <v>0</v>
      </c>
      <c r="AG121" s="571">
        <f>'HVAC Deemed Table'!BD123</f>
        <v>126.54280900411304</v>
      </c>
      <c r="AH121" s="571">
        <v>0</v>
      </c>
      <c r="AI121" s="2589" t="str">
        <f t="shared" si="29"/>
        <v>per measure</v>
      </c>
      <c r="AJ121" s="109">
        <f>'HVAC Deemed Table'!L122</f>
        <v>2</v>
      </c>
      <c r="AK121" s="1501"/>
      <c r="AL121" s="1501"/>
      <c r="AM121" s="1596">
        <f t="shared" si="26"/>
        <v>9.4741810000000004E-4</v>
      </c>
      <c r="AN121">
        <f t="shared" si="30"/>
        <v>0.95876816883800009</v>
      </c>
      <c r="AO121" s="1595">
        <f t="shared" si="27"/>
        <v>1.6883800013633987E-7</v>
      </c>
    </row>
    <row r="122" spans="1:41" x14ac:dyDescent="0.35">
      <c r="A122" s="103" t="str">
        <f t="shared" si="19"/>
        <v>350501</v>
      </c>
      <c r="B122" s="3346" t="str">
        <f>'HVAC Deemed Table'!C124</f>
        <v>350501_2021_12_</v>
      </c>
      <c r="C122" s="3343" t="str">
        <f>'HVAC Deemed Table'!G124</f>
        <v>Cooling RES</v>
      </c>
      <c r="D122" s="3343" t="str">
        <f>'HVAC Deemed Table'!G125</f>
        <v>Cooling RES ER2</v>
      </c>
      <c r="E122" s="3343"/>
      <c r="F122" s="3343"/>
      <c r="G122" s="3343" t="str">
        <f>'HVAC Deemed Table'!E124</f>
        <v>CAC-SEER14_ER1_MF_CompE</v>
      </c>
      <c r="H122" s="50" t="str">
        <f>'HVAC Deemed Table'!D124</f>
        <v>MFc</v>
      </c>
      <c r="I122" s="1966">
        <f t="shared" si="32"/>
        <v>735.98</v>
      </c>
      <c r="J122" s="1966">
        <f t="shared" si="33"/>
        <v>83.17</v>
      </c>
      <c r="K122" s="560">
        <f>'HVAC Deemed Table'!F124</f>
        <v>735.98</v>
      </c>
      <c r="L122" s="560">
        <v>0</v>
      </c>
      <c r="M122" s="560">
        <f>'HVAC Deemed Table'!F125</f>
        <v>83.17</v>
      </c>
      <c r="N122" s="560">
        <v>0</v>
      </c>
      <c r="O122" s="1967">
        <f t="shared" si="34"/>
        <v>0.69728100000000004</v>
      </c>
      <c r="P122" s="1967">
        <f t="shared" si="35"/>
        <v>7.8797000000000006E-2</v>
      </c>
      <c r="Q122" s="1968">
        <f>'HVAC Deemed Table'!I124</f>
        <v>0.69728100000000004</v>
      </c>
      <c r="R122" s="1968"/>
      <c r="S122" s="1968">
        <f>'HVAC Deemed Table'!I125</f>
        <v>7.8797000000000006E-2</v>
      </c>
      <c r="T122" s="1968"/>
      <c r="U122" s="1969"/>
      <c r="V122" s="1969"/>
      <c r="W122" s="1969">
        <f>P122</f>
        <v>7.8797000000000006E-2</v>
      </c>
      <c r="X122" s="55">
        <f>'HVAC Deemed Table'!J124</f>
        <v>6</v>
      </c>
      <c r="Y122" s="55">
        <f>'HVAC Deemed Table'!J125</f>
        <v>12</v>
      </c>
      <c r="Z122" s="55">
        <f t="shared" si="20"/>
        <v>18</v>
      </c>
      <c r="AA122" s="2581">
        <f>'HVAC Deemed Table'!BB124</f>
        <v>1.9849006326414396</v>
      </c>
      <c r="AB122" s="2091">
        <f>'HVAC Deemed Table'!K124</f>
        <v>298.03912845693981</v>
      </c>
      <c r="AC122" s="2583">
        <f t="shared" si="21"/>
        <v>466.32575189471379</v>
      </c>
      <c r="AD122" s="2583">
        <f t="shared" si="31"/>
        <v>92.030127884505788</v>
      </c>
      <c r="AE122" s="571">
        <f>'HVAC Deemed Table'!BD124</f>
        <v>466.32575189471379</v>
      </c>
      <c r="AF122" s="571">
        <v>0</v>
      </c>
      <c r="AG122" s="571">
        <f>'HVAC Deemed Table'!BD125</f>
        <v>92.030127884505788</v>
      </c>
      <c r="AH122" s="571">
        <v>0</v>
      </c>
      <c r="AI122" s="2589" t="str">
        <f t="shared" si="29"/>
        <v>per measure</v>
      </c>
      <c r="AJ122" s="109">
        <f>'HVAC Deemed Table'!L124</f>
        <v>2</v>
      </c>
      <c r="AK122" s="1501"/>
      <c r="AL122" s="1501"/>
      <c r="AM122" s="1596">
        <f t="shared" si="26"/>
        <v>9.4741810000000004E-4</v>
      </c>
      <c r="AN122">
        <f t="shared" si="30"/>
        <v>0.69728077323800008</v>
      </c>
      <c r="AO122" s="1595">
        <f t="shared" si="27"/>
        <v>-2.2676199995519397E-7</v>
      </c>
    </row>
    <row r="123" spans="1:41" x14ac:dyDescent="0.35">
      <c r="A123" s="103" t="str">
        <f t="shared" si="19"/>
        <v>350550</v>
      </c>
      <c r="B123" s="3346" t="str">
        <f>'HVAC Deemed Table'!C126</f>
        <v>350550_2021_12_</v>
      </c>
      <c r="C123" s="3343" t="str">
        <f>'HVAC Deemed Table'!G126</f>
        <v>Cooling RES</v>
      </c>
      <c r="D123" s="3343"/>
      <c r="E123" s="3343"/>
      <c r="F123" s="3343"/>
      <c r="G123" s="3343" t="str">
        <f>'HVAC Deemed Table'!E126</f>
        <v>CAC-SEER14_ROF_MF</v>
      </c>
      <c r="H123" s="50" t="str">
        <f>'HVAC Deemed Table'!D126</f>
        <v>MF</v>
      </c>
      <c r="I123" s="1966">
        <f t="shared" si="32"/>
        <v>114.36</v>
      </c>
      <c r="J123" s="1966">
        <f t="shared" si="33"/>
        <v>0</v>
      </c>
      <c r="K123" s="560">
        <f>'HVAC Deemed Table'!F126</f>
        <v>114.36</v>
      </c>
      <c r="L123" s="560">
        <v>0</v>
      </c>
      <c r="M123" s="560">
        <v>0</v>
      </c>
      <c r="N123" s="560">
        <v>0</v>
      </c>
      <c r="O123" s="1967">
        <f t="shared" si="34"/>
        <v>0.108347</v>
      </c>
      <c r="P123" s="1967">
        <f t="shared" si="35"/>
        <v>0</v>
      </c>
      <c r="Q123" s="1968">
        <f>'HVAC Deemed Table'!I126</f>
        <v>0.108347</v>
      </c>
      <c r="R123" s="1968"/>
      <c r="S123" s="1968"/>
      <c r="T123" s="1968"/>
      <c r="U123" s="1969"/>
      <c r="V123" s="1969"/>
      <c r="W123" s="1969">
        <f>Q123</f>
        <v>0.108347</v>
      </c>
      <c r="X123" s="55">
        <f>'HVAC Deemed Table'!J126</f>
        <v>18</v>
      </c>
      <c r="Y123" s="55"/>
      <c r="Z123" s="55">
        <f t="shared" si="20"/>
        <v>18</v>
      </c>
      <c r="AA123" s="2587" t="str">
        <f>'HVAC Deemed Table'!BB126</f>
        <v/>
      </c>
      <c r="AB123" s="2091">
        <f>'HVAC Deemed Table'!K126</f>
        <v>0</v>
      </c>
      <c r="AC123" s="2583">
        <f t="shared" si="21"/>
        <v>199.00267610196826</v>
      </c>
      <c r="AD123" s="2583">
        <f t="shared" si="31"/>
        <v>0</v>
      </c>
      <c r="AE123" s="571">
        <f>'HVAC Deemed Table'!BD126</f>
        <v>199.00267610196826</v>
      </c>
      <c r="AF123" s="571">
        <v>0</v>
      </c>
      <c r="AG123" s="571">
        <v>0</v>
      </c>
      <c r="AH123" s="571">
        <v>0</v>
      </c>
      <c r="AI123" s="2589" t="str">
        <f t="shared" si="29"/>
        <v>per measure</v>
      </c>
      <c r="AJ123" s="109">
        <f>'HVAC Deemed Table'!L126</f>
        <v>2</v>
      </c>
      <c r="AK123" s="1501"/>
      <c r="AL123" s="1501"/>
      <c r="AM123" s="1596">
        <f t="shared" si="26"/>
        <v>9.4741810000000004E-4</v>
      </c>
      <c r="AN123">
        <f t="shared" si="30"/>
        <v>0.108346733916</v>
      </c>
      <c r="AO123" s="1595">
        <f t="shared" si="27"/>
        <v>-2.660840000001663E-7</v>
      </c>
    </row>
    <row r="124" spans="1:41" x14ac:dyDescent="0.35">
      <c r="A124" s="103" t="str">
        <f t="shared" si="19"/>
        <v>350551</v>
      </c>
      <c r="B124" s="3346" t="str">
        <f>'HVAC Deemed Table'!C127</f>
        <v>350551_2021_12_</v>
      </c>
      <c r="C124" s="3343" t="str">
        <f>'HVAC Deemed Table'!G127</f>
        <v>Cooling RES</v>
      </c>
      <c r="D124" s="3343"/>
      <c r="E124" s="3343"/>
      <c r="F124" s="3343"/>
      <c r="G124" s="3343" t="str">
        <f>'HVAC Deemed Table'!E127</f>
        <v>CAC-SEER14_ROF_MF_CompE</v>
      </c>
      <c r="H124" s="50" t="str">
        <f>'HVAC Deemed Table'!D127</f>
        <v>MFc</v>
      </c>
      <c r="I124" s="1966">
        <f t="shared" si="32"/>
        <v>83.17</v>
      </c>
      <c r="J124" s="1966">
        <f t="shared" si="33"/>
        <v>0</v>
      </c>
      <c r="K124" s="560">
        <f>'HVAC Deemed Table'!F127</f>
        <v>83.17</v>
      </c>
      <c r="L124" s="560">
        <v>0</v>
      </c>
      <c r="M124" s="560">
        <v>0</v>
      </c>
      <c r="N124" s="560">
        <v>0</v>
      </c>
      <c r="O124" s="1967">
        <f t="shared" si="34"/>
        <v>7.8797000000000006E-2</v>
      </c>
      <c r="P124" s="1967">
        <f t="shared" si="35"/>
        <v>0</v>
      </c>
      <c r="Q124" s="1968">
        <f>'HVAC Deemed Table'!I127</f>
        <v>7.8797000000000006E-2</v>
      </c>
      <c r="R124" s="1968"/>
      <c r="S124" s="1968"/>
      <c r="T124" s="1968"/>
      <c r="U124" s="1969"/>
      <c r="V124" s="1969"/>
      <c r="W124" s="1969">
        <f>Q124</f>
        <v>7.8797000000000006E-2</v>
      </c>
      <c r="X124" s="55">
        <f>'HVAC Deemed Table'!J127</f>
        <v>18</v>
      </c>
      <c r="Y124" s="55"/>
      <c r="Z124" s="55">
        <f t="shared" si="20"/>
        <v>18</v>
      </c>
      <c r="AA124" s="2587" t="str">
        <f>'HVAC Deemed Table'!BB127</f>
        <v/>
      </c>
      <c r="AB124" s="2091">
        <f>'HVAC Deemed Table'!K127</f>
        <v>0</v>
      </c>
      <c r="AC124" s="2583">
        <f t="shared" si="21"/>
        <v>144.72763703568293</v>
      </c>
      <c r="AD124" s="2583">
        <f t="shared" si="31"/>
        <v>0</v>
      </c>
      <c r="AE124" s="571">
        <f>'HVAC Deemed Table'!BD127</f>
        <v>144.72763703568293</v>
      </c>
      <c r="AF124" s="571">
        <v>0</v>
      </c>
      <c r="AG124" s="571">
        <v>0</v>
      </c>
      <c r="AH124" s="571">
        <v>0</v>
      </c>
      <c r="AI124" s="2589" t="str">
        <f t="shared" si="29"/>
        <v>per measure</v>
      </c>
      <c r="AJ124" s="109">
        <f>'HVAC Deemed Table'!L127</f>
        <v>2</v>
      </c>
      <c r="AK124" s="1501"/>
      <c r="AL124" s="1501"/>
      <c r="AM124" s="1596">
        <f t="shared" si="26"/>
        <v>9.4741810000000004E-4</v>
      </c>
      <c r="AN124">
        <f t="shared" si="30"/>
        <v>7.8796763377000006E-2</v>
      </c>
      <c r="AO124" s="1595">
        <f t="shared" si="27"/>
        <v>-2.3662299999949177E-7</v>
      </c>
    </row>
    <row r="125" spans="1:41" x14ac:dyDescent="0.35">
      <c r="A125" s="103" t="str">
        <f t="shared" si="19"/>
        <v>350600</v>
      </c>
      <c r="B125" s="3346" t="str">
        <f>'HVAC Deemed Table'!C128</f>
        <v>350600_2021_12_</v>
      </c>
      <c r="C125" s="3343" t="str">
        <f>'HVAC Deemed Table'!G128</f>
        <v>Cooling RES</v>
      </c>
      <c r="D125" s="3343" t="str">
        <f>'HVAC Deemed Table'!G129</f>
        <v>Cooling RES ER2</v>
      </c>
      <c r="E125" s="3343"/>
      <c r="F125" s="3343"/>
      <c r="G125" s="3343" t="str">
        <f>'HVAC Deemed Table'!E128</f>
        <v>CAC-SEER15_ER1_SF</v>
      </c>
      <c r="H125" s="50" t="str">
        <f>'HVAC Deemed Table'!D128</f>
        <v>SF</v>
      </c>
      <c r="I125" s="1966">
        <f t="shared" si="32"/>
        <v>2221.96</v>
      </c>
      <c r="J125" s="1966">
        <f t="shared" si="33"/>
        <v>350.43</v>
      </c>
      <c r="K125" s="560">
        <f>'HVAC Deemed Table'!F128</f>
        <v>2221.96</v>
      </c>
      <c r="L125" s="560">
        <v>0</v>
      </c>
      <c r="M125" s="560">
        <f>'HVAC Deemed Table'!F129</f>
        <v>350.43</v>
      </c>
      <c r="N125" s="560">
        <v>0</v>
      </c>
      <c r="O125" s="1967">
        <f t="shared" si="34"/>
        <v>2.1051250000000001</v>
      </c>
      <c r="P125" s="1967">
        <f t="shared" si="35"/>
        <v>0.33200400000000002</v>
      </c>
      <c r="Q125" s="1968">
        <f>'HVAC Deemed Table'!I128</f>
        <v>2.1051250000000001</v>
      </c>
      <c r="R125" s="1968"/>
      <c r="S125" s="1968">
        <f>'HVAC Deemed Table'!I129</f>
        <v>0.33200400000000002</v>
      </c>
      <c r="T125" s="1968"/>
      <c r="U125" s="1969"/>
      <c r="V125" s="1969"/>
      <c r="W125" s="1969">
        <f>P125</f>
        <v>0.33200400000000002</v>
      </c>
      <c r="X125" s="55">
        <f>'HVAC Deemed Table'!J128</f>
        <v>6</v>
      </c>
      <c r="Y125" s="55">
        <v>12</v>
      </c>
      <c r="Z125" s="55">
        <f t="shared" si="20"/>
        <v>18</v>
      </c>
      <c r="AA125" s="2581">
        <f>'HVAC Deemed Table'!BB128</f>
        <v>3.3024065313923026</v>
      </c>
      <c r="AB125" s="2091">
        <f>'HVAC Deemed Table'!K128</f>
        <v>576.08335222863298</v>
      </c>
      <c r="AC125" s="2583">
        <f t="shared" si="21"/>
        <v>1407.8604957743121</v>
      </c>
      <c r="AD125" s="2583">
        <f t="shared" si="31"/>
        <v>387.76142496774514</v>
      </c>
      <c r="AE125" s="571">
        <f>'HVAC Deemed Table'!BD128</f>
        <v>1407.8604957743121</v>
      </c>
      <c r="AF125" s="571">
        <v>0</v>
      </c>
      <c r="AG125" s="571">
        <f>'HVAC Deemed Table'!BD129</f>
        <v>387.76142496774514</v>
      </c>
      <c r="AH125" s="571">
        <v>0</v>
      </c>
      <c r="AI125" s="2589" t="str">
        <f t="shared" si="29"/>
        <v>per measure</v>
      </c>
      <c r="AJ125" s="109">
        <f>'HVAC Deemed Table'!L128</f>
        <v>3.1410865724381627</v>
      </c>
      <c r="AK125" s="1501"/>
      <c r="AL125" s="1501"/>
      <c r="AM125" s="1596">
        <f t="shared" si="26"/>
        <v>9.4741810000000004E-4</v>
      </c>
      <c r="AN125">
        <f t="shared" si="30"/>
        <v>2.1051251214760001</v>
      </c>
      <c r="AO125" s="1595">
        <f t="shared" si="27"/>
        <v>1.2147599992573532E-7</v>
      </c>
    </row>
    <row r="126" spans="1:41" x14ac:dyDescent="0.35">
      <c r="A126" s="103" t="str">
        <f t="shared" si="19"/>
        <v>350650</v>
      </c>
      <c r="B126" s="3346" t="str">
        <f>'HVAC Deemed Table'!C130</f>
        <v>350650_2021_12_</v>
      </c>
      <c r="C126" s="3343" t="str">
        <f>'HVAC Deemed Table'!G130</f>
        <v>Cooling RES</v>
      </c>
      <c r="D126" s="3343"/>
      <c r="E126" s="3343"/>
      <c r="F126" s="3343"/>
      <c r="G126" s="3343" t="str">
        <f>'HVAC Deemed Table'!E130</f>
        <v>CAC-SEER15_ROF_SF</v>
      </c>
      <c r="H126" s="50" t="str">
        <f>'HVAC Deemed Table'!D130</f>
        <v>SF</v>
      </c>
      <c r="I126" s="1966">
        <f t="shared" si="32"/>
        <v>340.39</v>
      </c>
      <c r="J126" s="1966">
        <f t="shared" si="33"/>
        <v>0</v>
      </c>
      <c r="K126" s="560">
        <f>'HVAC Deemed Table'!F130</f>
        <v>340.39</v>
      </c>
      <c r="L126" s="560">
        <v>0</v>
      </c>
      <c r="M126" s="560">
        <v>0</v>
      </c>
      <c r="N126" s="560">
        <v>0</v>
      </c>
      <c r="O126" s="1967">
        <f t="shared" si="34"/>
        <v>0.322492</v>
      </c>
      <c r="P126" s="1967">
        <f t="shared" si="35"/>
        <v>0</v>
      </c>
      <c r="Q126" s="1968">
        <f>'HVAC Deemed Table'!I130</f>
        <v>0.322492</v>
      </c>
      <c r="R126" s="1968"/>
      <c r="S126" s="1968"/>
      <c r="T126" s="1968"/>
      <c r="U126" s="1969"/>
      <c r="V126" s="1969"/>
      <c r="W126" s="1969">
        <f>Q126</f>
        <v>0.322492</v>
      </c>
      <c r="X126" s="55">
        <f>'HVAC Deemed Table'!J130</f>
        <v>18</v>
      </c>
      <c r="Y126" s="55"/>
      <c r="Z126" s="55">
        <f t="shared" si="20"/>
        <v>18</v>
      </c>
      <c r="AA126" s="2581">
        <f>'HVAC Deemed Table'!BB130</f>
        <v>5.8108380061170335</v>
      </c>
      <c r="AB126" s="2091">
        <f>'HVAC Deemed Table'!K130</f>
        <v>108</v>
      </c>
      <c r="AC126" s="2583">
        <f t="shared" si="21"/>
        <v>592.32704545600711</v>
      </c>
      <c r="AD126" s="2583">
        <f t="shared" si="31"/>
        <v>0</v>
      </c>
      <c r="AE126" s="571">
        <f>'HVAC Deemed Table'!BD130</f>
        <v>592.32704545600711</v>
      </c>
      <c r="AF126" s="571">
        <v>0</v>
      </c>
      <c r="AG126" s="571">
        <v>0</v>
      </c>
      <c r="AH126" s="571">
        <v>0</v>
      </c>
      <c r="AI126" s="2589" t="str">
        <f t="shared" si="29"/>
        <v>per measure</v>
      </c>
      <c r="AJ126" s="109">
        <f>'HVAC Deemed Table'!L130</f>
        <v>3.0586512524084779</v>
      </c>
      <c r="AK126" s="1501"/>
      <c r="AL126" s="1501"/>
      <c r="AM126" s="1596">
        <f t="shared" si="26"/>
        <v>9.4741810000000004E-4</v>
      </c>
      <c r="AN126">
        <f t="shared" si="30"/>
        <v>0.32249164705900002</v>
      </c>
      <c r="AO126" s="1595">
        <f t="shared" si="27"/>
        <v>-3.5294099998139927E-7</v>
      </c>
    </row>
    <row r="127" spans="1:41" x14ac:dyDescent="0.35">
      <c r="A127" s="103" t="str">
        <f t="shared" si="19"/>
        <v>350700</v>
      </c>
      <c r="B127" s="3346" t="str">
        <f>'HVAC Deemed Table'!C131</f>
        <v>350700_2021_12_</v>
      </c>
      <c r="C127" s="3343" t="str">
        <f>'HVAC Deemed Table'!G131</f>
        <v>Cooling RES</v>
      </c>
      <c r="D127" s="3343" t="str">
        <f>'HVAC Deemed Table'!G132</f>
        <v>Cooling RES ER2</v>
      </c>
      <c r="E127" s="3343"/>
      <c r="F127" s="3343"/>
      <c r="G127" s="3343" t="str">
        <f>'HVAC Deemed Table'!E131</f>
        <v>CAC-SEER15_ER1_MF</v>
      </c>
      <c r="H127" s="50" t="str">
        <f>'HVAC Deemed Table'!D131</f>
        <v>MF</v>
      </c>
      <c r="I127" s="1966">
        <f t="shared" si="32"/>
        <v>1818.89</v>
      </c>
      <c r="J127" s="1966">
        <f t="shared" si="33"/>
        <v>278.45</v>
      </c>
      <c r="K127" s="560">
        <f>'HVAC Deemed Table'!F131</f>
        <v>1818.89</v>
      </c>
      <c r="L127" s="560">
        <v>0</v>
      </c>
      <c r="M127" s="560">
        <f>'HVAC Deemed Table'!F132</f>
        <v>278.45</v>
      </c>
      <c r="N127" s="560">
        <v>0</v>
      </c>
      <c r="O127" s="1967">
        <f t="shared" si="34"/>
        <v>1.723249</v>
      </c>
      <c r="P127" s="1967">
        <f t="shared" si="35"/>
        <v>0.26380900000000002</v>
      </c>
      <c r="Q127" s="1968">
        <f>'HVAC Deemed Table'!I131</f>
        <v>1.723249</v>
      </c>
      <c r="R127" s="1968"/>
      <c r="S127" s="1968">
        <f>'HVAC Deemed Table'!I132</f>
        <v>0.26380900000000002</v>
      </c>
      <c r="T127" s="1968"/>
      <c r="U127" s="1969"/>
      <c r="V127" s="1969"/>
      <c r="W127" s="1969">
        <f>P127</f>
        <v>0.26380900000000002</v>
      </c>
      <c r="X127" s="55">
        <f>'HVAC Deemed Table'!J131</f>
        <v>6</v>
      </c>
      <c r="Y127" s="55">
        <f>'HVAC Deemed Table'!J132</f>
        <v>12</v>
      </c>
      <c r="Z127" s="55">
        <f t="shared" si="20"/>
        <v>18</v>
      </c>
      <c r="AA127" s="2581">
        <f>'HVAC Deemed Table'!BB131</f>
        <v>3.3233088072445511</v>
      </c>
      <c r="AB127" s="2091">
        <f>'HVAC Deemed Table'!K131</f>
        <v>465.6469541483275</v>
      </c>
      <c r="AC127" s="2583">
        <f t="shared" si="21"/>
        <v>1152.470511241849</v>
      </c>
      <c r="AD127" s="2583">
        <f t="shared" si="31"/>
        <v>308.11337152146973</v>
      </c>
      <c r="AE127" s="571">
        <f>'HVAC Deemed Table'!BD131</f>
        <v>1152.470511241849</v>
      </c>
      <c r="AF127" s="571">
        <v>0</v>
      </c>
      <c r="AG127" s="571">
        <f>'HVAC Deemed Table'!BD132</f>
        <v>308.11337152146973</v>
      </c>
      <c r="AH127" s="571">
        <v>0</v>
      </c>
      <c r="AI127" s="2589" t="str">
        <f t="shared" si="29"/>
        <v>per measure</v>
      </c>
      <c r="AJ127" s="109">
        <f>'HVAC Deemed Table'!L131</f>
        <v>2.4</v>
      </c>
      <c r="AK127" s="1501"/>
      <c r="AL127" s="1501"/>
      <c r="AM127" s="1596">
        <f t="shared" si="26"/>
        <v>9.4741810000000004E-4</v>
      </c>
      <c r="AN127">
        <f t="shared" si="30"/>
        <v>1.7232493079090001</v>
      </c>
      <c r="AO127" s="1595">
        <f t="shared" si="27"/>
        <v>3.0790900007460209E-7</v>
      </c>
    </row>
    <row r="128" spans="1:41" x14ac:dyDescent="0.35">
      <c r="A128" s="103" t="str">
        <f t="shared" si="19"/>
        <v>350701</v>
      </c>
      <c r="B128" s="3346" t="str">
        <f>'HVAC Deemed Table'!C133</f>
        <v>350701_2021_12_</v>
      </c>
      <c r="C128" s="3343" t="str">
        <f>'HVAC Deemed Table'!G133</f>
        <v>Cooling RES</v>
      </c>
      <c r="D128" s="3343" t="str">
        <f>'HVAC Deemed Table'!G134</f>
        <v>Cooling RES ER2</v>
      </c>
      <c r="E128" s="3343"/>
      <c r="F128" s="3343"/>
      <c r="G128" s="3343" t="str">
        <f>'HVAC Deemed Table'!E133</f>
        <v>CAC-SEER15_ER1_MF_CompE</v>
      </c>
      <c r="H128" s="50" t="str">
        <f>'HVAC Deemed Table'!D133</f>
        <v>MFc</v>
      </c>
      <c r="I128" s="1966">
        <f t="shared" si="32"/>
        <v>1322.83</v>
      </c>
      <c r="J128" s="1966">
        <f t="shared" si="33"/>
        <v>202.51</v>
      </c>
      <c r="K128" s="560">
        <f>'HVAC Deemed Table'!F133</f>
        <v>1322.83</v>
      </c>
      <c r="L128" s="560">
        <v>0</v>
      </c>
      <c r="M128" s="560">
        <f>'HVAC Deemed Table'!F134</f>
        <v>202.51</v>
      </c>
      <c r="N128" s="560">
        <v>0</v>
      </c>
      <c r="O128" s="1967">
        <f t="shared" si="34"/>
        <v>1.2532730000000001</v>
      </c>
      <c r="P128" s="1967">
        <f t="shared" si="35"/>
        <v>0.191862</v>
      </c>
      <c r="Q128" s="1968">
        <f>'HVAC Deemed Table'!I133</f>
        <v>1.2532730000000001</v>
      </c>
      <c r="R128" s="1968"/>
      <c r="S128" s="1968">
        <f>'HVAC Deemed Table'!I134</f>
        <v>0.191862</v>
      </c>
      <c r="T128" s="1968"/>
      <c r="U128" s="1969"/>
      <c r="V128" s="1969"/>
      <c r="W128" s="1969">
        <f>P128</f>
        <v>0.191862</v>
      </c>
      <c r="X128" s="55">
        <f>'HVAC Deemed Table'!J133</f>
        <v>6</v>
      </c>
      <c r="Y128" s="55">
        <f>'HVAC Deemed Table'!J134</f>
        <v>12</v>
      </c>
      <c r="Z128" s="55">
        <f t="shared" si="20"/>
        <v>18</v>
      </c>
      <c r="AA128" s="2581">
        <f>'HVAC Deemed Table'!BB133</f>
        <v>2.3761325562470041</v>
      </c>
      <c r="AB128" s="2091">
        <f>'HVAC Deemed Table'!K133</f>
        <v>465.6469541483275</v>
      </c>
      <c r="AC128" s="2583">
        <f t="shared" si="21"/>
        <v>838.16094782315304</v>
      </c>
      <c r="AD128" s="2583">
        <f t="shared" si="31"/>
        <v>224.08345795228166</v>
      </c>
      <c r="AE128" s="571">
        <f>'HVAC Deemed Table'!BD133</f>
        <v>838.16094782315304</v>
      </c>
      <c r="AF128" s="571">
        <v>0</v>
      </c>
      <c r="AG128" s="571">
        <f>'HVAC Deemed Table'!BD134</f>
        <v>224.08345795228166</v>
      </c>
      <c r="AH128" s="571">
        <v>0</v>
      </c>
      <c r="AI128" s="2589" t="str">
        <f t="shared" si="29"/>
        <v>per measure</v>
      </c>
      <c r="AJ128" s="109">
        <f>'HVAC Deemed Table'!L133</f>
        <v>2.4</v>
      </c>
      <c r="AK128" s="1501"/>
      <c r="AL128" s="1501"/>
      <c r="AM128" s="1596">
        <f t="shared" si="26"/>
        <v>9.4741810000000004E-4</v>
      </c>
      <c r="AN128">
        <f t="shared" si="30"/>
        <v>1.2532730852230001</v>
      </c>
      <c r="AO128" s="1595">
        <f t="shared" si="27"/>
        <v>8.5222999990364201E-8</v>
      </c>
    </row>
    <row r="129" spans="1:41" x14ac:dyDescent="0.35">
      <c r="A129" s="103" t="str">
        <f t="shared" si="19"/>
        <v>350750</v>
      </c>
      <c r="B129" s="3346" t="str">
        <f>'HVAC Deemed Table'!C135</f>
        <v>350750_2021_12_</v>
      </c>
      <c r="C129" s="3343" t="str">
        <f>'HVAC Deemed Table'!G135</f>
        <v>Cooling RES</v>
      </c>
      <c r="D129" s="3343"/>
      <c r="E129" s="3343"/>
      <c r="F129" s="3343"/>
      <c r="G129" s="3343" t="str">
        <f>'HVAC Deemed Table'!E135</f>
        <v>CAC-SEER15_ROF_MF</v>
      </c>
      <c r="H129" s="50" t="str">
        <f>'HVAC Deemed Table'!D135</f>
        <v>MF</v>
      </c>
      <c r="I129" s="1966">
        <f t="shared" si="32"/>
        <v>161.52000000000001</v>
      </c>
      <c r="J129" s="1966">
        <f t="shared" si="33"/>
        <v>0</v>
      </c>
      <c r="K129" s="560">
        <f>'HVAC Deemed Table'!F135</f>
        <v>161.52000000000001</v>
      </c>
      <c r="L129" s="560">
        <v>0</v>
      </c>
      <c r="M129" s="560">
        <v>0</v>
      </c>
      <c r="N129" s="560">
        <v>0</v>
      </c>
      <c r="O129" s="1967">
        <f t="shared" si="34"/>
        <v>0.153027</v>
      </c>
      <c r="P129" s="1967">
        <f t="shared" si="35"/>
        <v>0</v>
      </c>
      <c r="Q129" s="1968">
        <f>'HVAC Deemed Table'!I135</f>
        <v>0.153027</v>
      </c>
      <c r="R129" s="1968"/>
      <c r="S129" s="1968"/>
      <c r="T129" s="1968"/>
      <c r="U129" s="1969"/>
      <c r="V129" s="1969"/>
      <c r="W129" s="1969">
        <f>Q129</f>
        <v>0.153027</v>
      </c>
      <c r="X129" s="55">
        <f>'HVAC Deemed Table'!J135</f>
        <v>18</v>
      </c>
      <c r="Y129" s="55"/>
      <c r="Z129" s="55">
        <f t="shared" si="20"/>
        <v>18</v>
      </c>
      <c r="AA129" s="2581">
        <f>'HVAC Deemed Table'!BB135</f>
        <v>2.7573270505832235</v>
      </c>
      <c r="AB129" s="2091">
        <f>'HVAC Deemed Table'!K135</f>
        <v>108</v>
      </c>
      <c r="AC129" s="2583">
        <f t="shared" si="21"/>
        <v>281.06778807266454</v>
      </c>
      <c r="AD129" s="2583">
        <f t="shared" si="31"/>
        <v>0</v>
      </c>
      <c r="AE129" s="571">
        <f>'HVAC Deemed Table'!BD135</f>
        <v>281.06778807266454</v>
      </c>
      <c r="AF129" s="571">
        <v>0</v>
      </c>
      <c r="AG129" s="571">
        <v>0</v>
      </c>
      <c r="AH129" s="571">
        <v>0</v>
      </c>
      <c r="AI129" s="2589" t="str">
        <f t="shared" si="29"/>
        <v>per measure</v>
      </c>
      <c r="AJ129" s="109">
        <f>'HVAC Deemed Table'!L135</f>
        <v>1.5132450331125828</v>
      </c>
      <c r="AK129" s="1501"/>
      <c r="AL129" s="1501"/>
      <c r="AM129" s="1596">
        <f t="shared" si="26"/>
        <v>9.4741810000000004E-4</v>
      </c>
      <c r="AN129">
        <f t="shared" si="30"/>
        <v>0.15302697151200001</v>
      </c>
      <c r="AO129" s="1595">
        <f t="shared" si="27"/>
        <v>-2.8487999986781531E-8</v>
      </c>
    </row>
    <row r="130" spans="1:41" x14ac:dyDescent="0.35">
      <c r="A130" s="103" t="str">
        <f t="shared" si="19"/>
        <v>350751</v>
      </c>
      <c r="B130" s="3346" t="str">
        <f>'HVAC Deemed Table'!C136</f>
        <v>350751_2021_12_</v>
      </c>
      <c r="C130" s="3343" t="str">
        <f>'HVAC Deemed Table'!G136</f>
        <v>Cooling RES</v>
      </c>
      <c r="D130" s="3343"/>
      <c r="E130" s="3343"/>
      <c r="F130" s="3343"/>
      <c r="G130" s="3343" t="str">
        <f>'HVAC Deemed Table'!E136</f>
        <v>CAC-SEER15_ROF_MF_CompE</v>
      </c>
      <c r="H130" s="50" t="str">
        <f>'HVAC Deemed Table'!D136</f>
        <v>MFc</v>
      </c>
      <c r="I130" s="1966">
        <f t="shared" si="32"/>
        <v>117.47</v>
      </c>
      <c r="J130" s="1966">
        <f t="shared" si="33"/>
        <v>0</v>
      </c>
      <c r="K130" s="560">
        <f>'HVAC Deemed Table'!F136</f>
        <v>117.47</v>
      </c>
      <c r="L130" s="560">
        <v>0</v>
      </c>
      <c r="M130" s="560">
        <v>0</v>
      </c>
      <c r="N130" s="560">
        <v>0</v>
      </c>
      <c r="O130" s="1967">
        <f t="shared" si="34"/>
        <v>0.111293</v>
      </c>
      <c r="P130" s="1967">
        <f t="shared" si="35"/>
        <v>0</v>
      </c>
      <c r="Q130" s="1968">
        <f>'HVAC Deemed Table'!I136</f>
        <v>0.111293</v>
      </c>
      <c r="R130" s="1968"/>
      <c r="S130" s="1968"/>
      <c r="T130" s="1968"/>
      <c r="U130" s="1969"/>
      <c r="V130" s="1969"/>
      <c r="W130" s="1969">
        <f>Q130</f>
        <v>0.111293</v>
      </c>
      <c r="X130" s="55">
        <f>'HVAC Deemed Table'!J136</f>
        <v>18</v>
      </c>
      <c r="Y130" s="55"/>
      <c r="Z130" s="55">
        <f t="shared" si="20"/>
        <v>18</v>
      </c>
      <c r="AA130" s="2581">
        <f>'HVAC Deemed Table'!BB136</f>
        <v>2.0053442832591086</v>
      </c>
      <c r="AB130" s="2091">
        <f>'HVAC Deemed Table'!K136</f>
        <v>108</v>
      </c>
      <c r="AC130" s="2583">
        <f t="shared" si="21"/>
        <v>204.41451872768636</v>
      </c>
      <c r="AD130" s="2583">
        <f t="shared" si="31"/>
        <v>0</v>
      </c>
      <c r="AE130" s="571">
        <f>'HVAC Deemed Table'!BD136</f>
        <v>204.41451872768636</v>
      </c>
      <c r="AF130" s="571">
        <v>0</v>
      </c>
      <c r="AG130" s="571">
        <v>0</v>
      </c>
      <c r="AH130" s="571">
        <v>0</v>
      </c>
      <c r="AI130" s="2589" t="str">
        <f t="shared" si="29"/>
        <v>per measure</v>
      </c>
      <c r="AJ130" s="109">
        <f>'HVAC Deemed Table'!L136</f>
        <v>1.5132450331125828</v>
      </c>
      <c r="AK130" s="1501"/>
      <c r="AL130" s="1501"/>
      <c r="AM130" s="1596">
        <f t="shared" si="26"/>
        <v>9.4741810000000004E-4</v>
      </c>
      <c r="AN130">
        <f t="shared" si="30"/>
        <v>0.11129320420700001</v>
      </c>
      <c r="AO130" s="1595">
        <f t="shared" si="27"/>
        <v>2.0420700000411962E-7</v>
      </c>
    </row>
    <row r="131" spans="1:41" x14ac:dyDescent="0.35">
      <c r="A131" s="103" t="str">
        <f t="shared" si="19"/>
        <v>350800</v>
      </c>
      <c r="B131" s="3346" t="str">
        <f>'HVAC Deemed Table'!C137</f>
        <v>350800_2021_12_</v>
      </c>
      <c r="C131" s="3343" t="str">
        <f>'HVAC Deemed Table'!G137</f>
        <v>Cooling RES</v>
      </c>
      <c r="D131" s="3343" t="str">
        <f>'HVAC Deemed Table'!G138</f>
        <v>Cooling RES ER2</v>
      </c>
      <c r="E131" s="3343"/>
      <c r="F131" s="3343"/>
      <c r="G131" s="3343" t="str">
        <f>'HVAC Deemed Table'!E137</f>
        <v>CAC-SEER16_ER1_SF</v>
      </c>
      <c r="H131" s="50" t="str">
        <f>'HVAC Deemed Table'!D137</f>
        <v>SF</v>
      </c>
      <c r="I131" s="1966">
        <f t="shared" si="32"/>
        <v>2164.25</v>
      </c>
      <c r="J131" s="1966">
        <f t="shared" si="33"/>
        <v>439.92</v>
      </c>
      <c r="K131" s="560">
        <f>'HVAC Deemed Table'!F137</f>
        <v>2164.25</v>
      </c>
      <c r="L131" s="560">
        <v>0</v>
      </c>
      <c r="M131" s="560">
        <f>'HVAC Deemed Table'!F138</f>
        <v>439.92</v>
      </c>
      <c r="N131" s="560">
        <v>0</v>
      </c>
      <c r="O131" s="1967">
        <f t="shared" si="34"/>
        <v>2.0504500000000001</v>
      </c>
      <c r="P131" s="1967">
        <f t="shared" si="35"/>
        <v>0.41678799999999999</v>
      </c>
      <c r="Q131" s="1968">
        <f>'HVAC Deemed Table'!I137</f>
        <v>2.0504500000000001</v>
      </c>
      <c r="R131" s="1968"/>
      <c r="S131" s="1968">
        <f>'HVAC Deemed Table'!I138</f>
        <v>0.41678799999999999</v>
      </c>
      <c r="T131" s="1968"/>
      <c r="U131" s="1969"/>
      <c r="V131" s="1969"/>
      <c r="W131" s="1969">
        <f>P131</f>
        <v>0.41678799999999999</v>
      </c>
      <c r="X131" s="55">
        <f>'HVAC Deemed Table'!J137</f>
        <v>6</v>
      </c>
      <c r="Y131" s="55">
        <f>'HVAC Deemed Table'!J138</f>
        <v>12</v>
      </c>
      <c r="Z131" s="55">
        <f t="shared" si="20"/>
        <v>18</v>
      </c>
      <c r="AA131" s="2581">
        <f>'HVAC Deemed Table'!BB137</f>
        <v>3.0066622527917173</v>
      </c>
      <c r="AB131" s="2091">
        <f>'HVAC Deemed Table'!K137</f>
        <v>654.75771519284399</v>
      </c>
      <c r="AC131" s="2583">
        <f t="shared" si="21"/>
        <v>1371.2947478710485</v>
      </c>
      <c r="AD131" s="2583">
        <f t="shared" si="31"/>
        <v>486.78482456356602</v>
      </c>
      <c r="AE131" s="571">
        <f>'HVAC Deemed Table'!BD137</f>
        <v>1371.2947478710485</v>
      </c>
      <c r="AF131" s="571">
        <v>0</v>
      </c>
      <c r="AG131" s="571">
        <f>'HVAC Deemed Table'!BD138</f>
        <v>486.78482456356602</v>
      </c>
      <c r="AH131" s="571">
        <v>0</v>
      </c>
      <c r="AI131" s="2589" t="str">
        <f t="shared" si="29"/>
        <v>per measure</v>
      </c>
      <c r="AJ131" s="109">
        <f>'HVAC Deemed Table'!L137</f>
        <v>2.9107434143870319</v>
      </c>
      <c r="AK131" s="1501"/>
      <c r="AL131" s="1501"/>
      <c r="AM131" s="1596">
        <f t="shared" si="26"/>
        <v>9.4741810000000004E-4</v>
      </c>
      <c r="AN131">
        <f t="shared" si="30"/>
        <v>2.050449622925</v>
      </c>
      <c r="AO131" s="1595">
        <f t="shared" si="27"/>
        <v>-3.770750001130807E-7</v>
      </c>
    </row>
    <row r="132" spans="1:41" x14ac:dyDescent="0.35">
      <c r="A132" s="103" t="str">
        <f t="shared" si="19"/>
        <v>350850</v>
      </c>
      <c r="B132" s="3346" t="str">
        <f>'HVAC Deemed Table'!C139</f>
        <v>350850_2021_12_</v>
      </c>
      <c r="C132" s="3343" t="str">
        <f>'HVAC Deemed Table'!G139</f>
        <v>Cooling RES</v>
      </c>
      <c r="D132" s="3343"/>
      <c r="E132" s="3343"/>
      <c r="F132" s="3343"/>
      <c r="G132" s="3343" t="str">
        <f>'HVAC Deemed Table'!E139</f>
        <v>CAC-SEER16_ROF_SF</v>
      </c>
      <c r="H132" s="50" t="str">
        <f>'HVAC Deemed Table'!D139</f>
        <v>SF</v>
      </c>
      <c r="I132" s="1966">
        <f t="shared" si="32"/>
        <v>455.22</v>
      </c>
      <c r="J132" s="1966">
        <f t="shared" si="33"/>
        <v>0</v>
      </c>
      <c r="K132" s="560">
        <f>'HVAC Deemed Table'!F139</f>
        <v>455.22</v>
      </c>
      <c r="L132" s="560">
        <v>0</v>
      </c>
      <c r="M132" s="560"/>
      <c r="N132" s="560">
        <v>0</v>
      </c>
      <c r="O132" s="1967">
        <f t="shared" si="34"/>
        <v>0.431284</v>
      </c>
      <c r="P132" s="1967">
        <f t="shared" si="35"/>
        <v>0</v>
      </c>
      <c r="Q132" s="1968">
        <f>'HVAC Deemed Table'!I139</f>
        <v>0.431284</v>
      </c>
      <c r="R132" s="1968"/>
      <c r="S132" s="1968"/>
      <c r="T132" s="1968"/>
      <c r="U132" s="1969"/>
      <c r="V132" s="1969"/>
      <c r="W132" s="1969">
        <f>Q132</f>
        <v>0.431284</v>
      </c>
      <c r="X132" s="55">
        <f>'HVAC Deemed Table'!J139</f>
        <v>18</v>
      </c>
      <c r="Y132" s="55"/>
      <c r="Z132" s="55">
        <f t="shared" si="20"/>
        <v>18</v>
      </c>
      <c r="AA132" s="2581">
        <f>'HVAC Deemed Table'!BB139</f>
        <v>3.7976487328630673</v>
      </c>
      <c r="AB132" s="2091">
        <f>'HVAC Deemed Table'!K139</f>
        <v>221</v>
      </c>
      <c r="AC132" s="2583">
        <f t="shared" si="21"/>
        <v>792.14758844996493</v>
      </c>
      <c r="AD132" s="2583">
        <f t="shared" si="31"/>
        <v>0</v>
      </c>
      <c r="AE132" s="571">
        <f>'HVAC Deemed Table'!BD139</f>
        <v>792.14758844996493</v>
      </c>
      <c r="AF132" s="571">
        <v>0</v>
      </c>
      <c r="AG132" s="571"/>
      <c r="AH132" s="571">
        <v>0</v>
      </c>
      <c r="AI132" s="2589" t="str">
        <f t="shared" si="29"/>
        <v>per measure</v>
      </c>
      <c r="AJ132" s="109">
        <f>'HVAC Deemed Table'!L139</f>
        <v>3.0022622107969146</v>
      </c>
      <c r="AK132" s="1501"/>
      <c r="AL132" s="1501"/>
      <c r="AM132" s="1596">
        <f t="shared" si="26"/>
        <v>9.4741810000000004E-4</v>
      </c>
      <c r="AN132">
        <f t="shared" si="30"/>
        <v>0.43128366748200003</v>
      </c>
      <c r="AO132" s="1595">
        <f t="shared" si="27"/>
        <v>-3.3251799996802944E-7</v>
      </c>
    </row>
    <row r="133" spans="1:41" x14ac:dyDescent="0.35">
      <c r="A133" s="103" t="str">
        <f t="shared" si="19"/>
        <v>350900</v>
      </c>
      <c r="B133" s="3346" t="str">
        <f>'HVAC Deemed Table'!C140</f>
        <v>350900_2021_12_</v>
      </c>
      <c r="C133" s="3343" t="str">
        <f>'HVAC Deemed Table'!G140</f>
        <v>Cooling RES</v>
      </c>
      <c r="D133" s="3343" t="str">
        <f>'HVAC Deemed Table'!G141</f>
        <v>Cooling RES ER2</v>
      </c>
      <c r="E133" s="3343"/>
      <c r="F133" s="3343"/>
      <c r="G133" s="3343" t="str">
        <f>'HVAC Deemed Table'!E140</f>
        <v>CAC-SEER16_ER1_MF</v>
      </c>
      <c r="H133" s="50" t="str">
        <f>'HVAC Deemed Table'!D140</f>
        <v>MF</v>
      </c>
      <c r="I133" s="1966">
        <f t="shared" si="32"/>
        <v>1566.43</v>
      </c>
      <c r="J133" s="1966">
        <f t="shared" si="33"/>
        <v>327.91</v>
      </c>
      <c r="K133" s="560">
        <f>'HVAC Deemed Table'!F140</f>
        <v>1566.43</v>
      </c>
      <c r="L133" s="560">
        <v>0</v>
      </c>
      <c r="M133" s="560">
        <f>'HVAC Deemed Table'!F141</f>
        <v>327.91</v>
      </c>
      <c r="N133" s="560">
        <v>0</v>
      </c>
      <c r="O133" s="1967">
        <f t="shared" si="34"/>
        <v>1.484064</v>
      </c>
      <c r="P133" s="1967">
        <f t="shared" si="35"/>
        <v>0.310668</v>
      </c>
      <c r="Q133" s="1968">
        <f>'HVAC Deemed Table'!I140</f>
        <v>1.484064</v>
      </c>
      <c r="R133" s="1968"/>
      <c r="S133" s="1968">
        <f>'HVAC Deemed Table'!I141</f>
        <v>0.310668</v>
      </c>
      <c r="T133" s="1968"/>
      <c r="U133" s="1969"/>
      <c r="V133" s="1969"/>
      <c r="W133" s="1969">
        <f>P133</f>
        <v>0.310668</v>
      </c>
      <c r="X133" s="55">
        <f>'HVAC Deemed Table'!J140</f>
        <v>6</v>
      </c>
      <c r="Y133" s="55">
        <f>'HVAC Deemed Table'!J141</f>
        <v>12</v>
      </c>
      <c r="Z133" s="55">
        <f t="shared" si="20"/>
        <v>18</v>
      </c>
      <c r="AA133" s="2581">
        <f>'HVAC Deemed Table'!BB140</f>
        <v>2.629741780794832</v>
      </c>
      <c r="AB133" s="2091">
        <f>'HVAC Deemed Table'!K140</f>
        <v>546.05915933353072</v>
      </c>
      <c r="AC133" s="2583">
        <f t="shared" si="21"/>
        <v>992.50882841984367</v>
      </c>
      <c r="AD133" s="2583">
        <f t="shared" si="31"/>
        <v>362.84236184451481</v>
      </c>
      <c r="AE133" s="571">
        <f>'HVAC Deemed Table'!BD140</f>
        <v>992.50882841984367</v>
      </c>
      <c r="AF133" s="571">
        <v>0</v>
      </c>
      <c r="AG133" s="571">
        <f>'HVAC Deemed Table'!BD141</f>
        <v>362.84236184451481</v>
      </c>
      <c r="AH133" s="571">
        <v>0</v>
      </c>
      <c r="AI133" s="2589" t="str">
        <f t="shared" si="29"/>
        <v>per measure</v>
      </c>
      <c r="AJ133" s="109">
        <f>'HVAC Deemed Table'!L140</f>
        <v>2.1813186813186811</v>
      </c>
      <c r="AK133" s="1501"/>
      <c r="AL133" s="1501"/>
      <c r="AM133" s="1596">
        <f t="shared" si="26"/>
        <v>9.4741810000000004E-4</v>
      </c>
      <c r="AN133">
        <f t="shared" si="30"/>
        <v>1.4840641343830001</v>
      </c>
      <c r="AO133" s="1595">
        <f t="shared" si="27"/>
        <v>1.3438300006107795E-7</v>
      </c>
    </row>
    <row r="134" spans="1:41" x14ac:dyDescent="0.35">
      <c r="A134" s="103" t="str">
        <f t="shared" si="19"/>
        <v>350901</v>
      </c>
      <c r="B134" s="3346" t="str">
        <f>'HVAC Deemed Table'!C142</f>
        <v>350901_2021_12_</v>
      </c>
      <c r="C134" s="3343" t="str">
        <f>'HVAC Deemed Table'!G142</f>
        <v>Cooling RES</v>
      </c>
      <c r="D134" s="3343" t="str">
        <f>'HVAC Deemed Table'!G143</f>
        <v>Cooling RES ER2</v>
      </c>
      <c r="E134" s="3343"/>
      <c r="F134" s="3343"/>
      <c r="G134" s="3343" t="str">
        <f>'HVAC Deemed Table'!E142</f>
        <v>CAC-SEER16_ER1_MF_CompE</v>
      </c>
      <c r="H134" s="50" t="str">
        <f>'HVAC Deemed Table'!D142</f>
        <v>MFc</v>
      </c>
      <c r="I134" s="1966">
        <f t="shared" si="32"/>
        <v>1139.23</v>
      </c>
      <c r="J134" s="1966">
        <f t="shared" si="33"/>
        <v>238.48</v>
      </c>
      <c r="K134" s="560">
        <f>'HVAC Deemed Table'!F142</f>
        <v>1139.23</v>
      </c>
      <c r="L134" s="560">
        <v>0</v>
      </c>
      <c r="M134" s="560">
        <f>'HVAC Deemed Table'!F143</f>
        <v>238.48</v>
      </c>
      <c r="N134" s="560">
        <v>0</v>
      </c>
      <c r="O134" s="1967">
        <f t="shared" si="34"/>
        <v>1.0793269999999999</v>
      </c>
      <c r="P134" s="1967">
        <f t="shared" si="35"/>
        <v>0.22594</v>
      </c>
      <c r="Q134" s="1968">
        <f>'HVAC Deemed Table'!I142</f>
        <v>1.0793269999999999</v>
      </c>
      <c r="R134" s="1968"/>
      <c r="S134" s="1968">
        <f>'HVAC Deemed Table'!I143</f>
        <v>0.22594</v>
      </c>
      <c r="T134" s="1968"/>
      <c r="U134" s="1969"/>
      <c r="V134" s="1969"/>
      <c r="W134" s="1969">
        <f>P134</f>
        <v>0.22594</v>
      </c>
      <c r="X134" s="55">
        <f>'HVAC Deemed Table'!J142</f>
        <v>6</v>
      </c>
      <c r="Y134" s="55">
        <f>'HVAC Deemed Table'!J143</f>
        <v>12</v>
      </c>
      <c r="Z134" s="55">
        <f t="shared" si="20"/>
        <v>18</v>
      </c>
      <c r="AA134" s="2581">
        <f>'HVAC Deemed Table'!BB142</f>
        <v>1.9125495354707711</v>
      </c>
      <c r="AB134" s="2091">
        <f>'HVAC Deemed Table'!K142</f>
        <v>546.05915933353072</v>
      </c>
      <c r="AC134" s="2583">
        <f t="shared" si="21"/>
        <v>721.82978658525337</v>
      </c>
      <c r="AD134" s="2583">
        <f t="shared" si="31"/>
        <v>263.88535406873802</v>
      </c>
      <c r="AE134" s="571">
        <f>'HVAC Deemed Table'!BD142</f>
        <v>721.82978658525337</v>
      </c>
      <c r="AF134" s="571">
        <v>0</v>
      </c>
      <c r="AG134" s="571">
        <f>'HVAC Deemed Table'!BD143</f>
        <v>263.88535406873802</v>
      </c>
      <c r="AH134" s="571">
        <v>0</v>
      </c>
      <c r="AI134" s="2589" t="str">
        <f t="shared" si="29"/>
        <v>per measure</v>
      </c>
      <c r="AJ134" s="109">
        <f>'HVAC Deemed Table'!L142</f>
        <v>2.1813186813186811</v>
      </c>
      <c r="AK134" s="1501"/>
      <c r="AL134" s="1501"/>
      <c r="AM134" s="1596">
        <f t="shared" si="26"/>
        <v>9.4741810000000004E-4</v>
      </c>
      <c r="AN134">
        <f t="shared" si="30"/>
        <v>1.0793271220630001</v>
      </c>
      <c r="AO134" s="1595">
        <f t="shared" si="27"/>
        <v>1.220630001519396E-7</v>
      </c>
    </row>
    <row r="135" spans="1:41" x14ac:dyDescent="0.35">
      <c r="A135" s="103" t="str">
        <f t="shared" si="19"/>
        <v>350950</v>
      </c>
      <c r="B135" s="3346" t="str">
        <f>'HVAC Deemed Table'!C144</f>
        <v>350950_2021_12_</v>
      </c>
      <c r="C135" s="3343" t="str">
        <f>'HVAC Deemed Table'!G144</f>
        <v>Cooling RES</v>
      </c>
      <c r="D135" s="3343"/>
      <c r="E135" s="3343"/>
      <c r="F135" s="3343"/>
      <c r="G135" s="3343" t="str">
        <f>'HVAC Deemed Table'!E144</f>
        <v>CAC-SEER16_ROF_MF</v>
      </c>
      <c r="H135" s="50" t="str">
        <f>'HVAC Deemed Table'!D144</f>
        <v>MF</v>
      </c>
      <c r="I135" s="1966">
        <f t="shared" si="32"/>
        <v>415.11</v>
      </c>
      <c r="J135" s="1966">
        <f t="shared" si="33"/>
        <v>0</v>
      </c>
      <c r="K135" s="560">
        <f>'HVAC Deemed Table'!F144</f>
        <v>415.11</v>
      </c>
      <c r="L135" s="560">
        <v>0</v>
      </c>
      <c r="M135" s="560"/>
      <c r="N135" s="560">
        <v>0</v>
      </c>
      <c r="O135" s="1967">
        <f t="shared" si="34"/>
        <v>0.39328299999999999</v>
      </c>
      <c r="P135" s="1967">
        <f t="shared" si="35"/>
        <v>0</v>
      </c>
      <c r="Q135" s="1968">
        <f>'HVAC Deemed Table'!I144</f>
        <v>0.39328299999999999</v>
      </c>
      <c r="R135" s="1968"/>
      <c r="S135" s="1968"/>
      <c r="T135" s="1968"/>
      <c r="U135" s="1969"/>
      <c r="V135" s="1969"/>
      <c r="W135" s="1969">
        <f>Q135</f>
        <v>0.39328299999999999</v>
      </c>
      <c r="X135" s="55">
        <f>'HVAC Deemed Table'!J144</f>
        <v>18</v>
      </c>
      <c r="Y135" s="55"/>
      <c r="Z135" s="55">
        <f t="shared" si="20"/>
        <v>18</v>
      </c>
      <c r="AA135" s="2581">
        <f>'HVAC Deemed Table'!BB144</f>
        <v>3.463033182853978</v>
      </c>
      <c r="AB135" s="2091">
        <f>'HVAC Deemed Table'!K144</f>
        <v>221</v>
      </c>
      <c r="AC135" s="2583">
        <f t="shared" si="21"/>
        <v>722.35047985911194</v>
      </c>
      <c r="AD135" s="2583">
        <f t="shared" si="31"/>
        <v>0</v>
      </c>
      <c r="AE135" s="571">
        <f>'HVAC Deemed Table'!BD144</f>
        <v>722.35047985911194</v>
      </c>
      <c r="AF135" s="571">
        <v>0</v>
      </c>
      <c r="AG135" s="571"/>
      <c r="AH135" s="571">
        <v>0</v>
      </c>
      <c r="AI135" s="2589" t="str">
        <f t="shared" si="29"/>
        <v>per measure</v>
      </c>
      <c r="AJ135" s="109">
        <f>'HVAC Deemed Table'!L144</f>
        <v>2.75</v>
      </c>
      <c r="AK135" s="1501"/>
      <c r="AL135" s="1501"/>
      <c r="AM135" s="1596">
        <f t="shared" si="26"/>
        <v>9.4741810000000004E-4</v>
      </c>
      <c r="AN135">
        <f t="shared" si="30"/>
        <v>0.39328272749100002</v>
      </c>
      <c r="AO135" s="1595">
        <f t="shared" si="27"/>
        <v>-2.7250899997666167E-7</v>
      </c>
    </row>
    <row r="136" spans="1:41" x14ac:dyDescent="0.35">
      <c r="A136" s="103" t="str">
        <f t="shared" si="19"/>
        <v>350951</v>
      </c>
      <c r="B136" s="3346" t="str">
        <f>'HVAC Deemed Table'!C145</f>
        <v>350951_2021_12_</v>
      </c>
      <c r="C136" s="3343" t="str">
        <f>'HVAC Deemed Table'!G145</f>
        <v>Cooling RES</v>
      </c>
      <c r="D136" s="3343"/>
      <c r="E136" s="3343"/>
      <c r="F136" s="3343"/>
      <c r="G136" s="3343" t="str">
        <f>'HVAC Deemed Table'!E145</f>
        <v>CAC-SEER16_ROF_MF_CompE</v>
      </c>
      <c r="H136" s="50" t="str">
        <f>'HVAC Deemed Table'!D145</f>
        <v>MFc</v>
      </c>
      <c r="I136" s="1966">
        <f t="shared" si="32"/>
        <v>301.89999999999998</v>
      </c>
      <c r="J136" s="1966">
        <f t="shared" si="33"/>
        <v>0</v>
      </c>
      <c r="K136" s="560">
        <f>'HVAC Deemed Table'!F145</f>
        <v>301.89999999999998</v>
      </c>
      <c r="L136" s="560">
        <v>0</v>
      </c>
      <c r="M136" s="560"/>
      <c r="N136" s="560">
        <v>0</v>
      </c>
      <c r="O136" s="1967">
        <f t="shared" si="34"/>
        <v>0.286026</v>
      </c>
      <c r="P136" s="1967">
        <f t="shared" si="35"/>
        <v>0</v>
      </c>
      <c r="Q136" s="1968">
        <f>'HVAC Deemed Table'!I145</f>
        <v>0.286026</v>
      </c>
      <c r="R136" s="1968"/>
      <c r="S136" s="1968"/>
      <c r="T136" s="1968"/>
      <c r="U136" s="1969"/>
      <c r="V136" s="1969"/>
      <c r="W136" s="1969">
        <f>Q136</f>
        <v>0.286026</v>
      </c>
      <c r="X136" s="55">
        <f>'HVAC Deemed Table'!J145</f>
        <v>18</v>
      </c>
      <c r="Y136" s="55"/>
      <c r="Z136" s="55">
        <f t="shared" si="20"/>
        <v>18</v>
      </c>
      <c r="AA136" s="2581">
        <f>'HVAC Deemed Table'!BB145</f>
        <v>2.5185847556156582</v>
      </c>
      <c r="AB136" s="2091">
        <f>'HVAC Deemed Table'!K145</f>
        <v>221</v>
      </c>
      <c r="AC136" s="2583">
        <f t="shared" si="21"/>
        <v>525.348967429033</v>
      </c>
      <c r="AD136" s="2583">
        <f t="shared" si="31"/>
        <v>0</v>
      </c>
      <c r="AE136" s="571">
        <f>'HVAC Deemed Table'!BD145</f>
        <v>525.348967429033</v>
      </c>
      <c r="AF136" s="571">
        <v>0</v>
      </c>
      <c r="AG136" s="571"/>
      <c r="AH136" s="571">
        <v>0</v>
      </c>
      <c r="AI136" s="2589" t="str">
        <f t="shared" si="29"/>
        <v>per measure</v>
      </c>
      <c r="AJ136" s="109">
        <f>'HVAC Deemed Table'!L145</f>
        <v>2.75</v>
      </c>
      <c r="AK136" s="1501"/>
      <c r="AL136" s="1501"/>
      <c r="AM136" s="1596">
        <f t="shared" si="26"/>
        <v>9.4741810000000004E-4</v>
      </c>
      <c r="AN136">
        <f t="shared" si="30"/>
        <v>0.28602552439000001</v>
      </c>
      <c r="AO136" s="1595">
        <f t="shared" si="27"/>
        <v>-4.7560999999474163E-7</v>
      </c>
    </row>
    <row r="137" spans="1:41" x14ac:dyDescent="0.35">
      <c r="A137" s="103" t="str">
        <f t="shared" ref="A137:A200" si="36">LEFT(B137,6)</f>
        <v>351000</v>
      </c>
      <c r="B137" s="3346" t="str">
        <f>'HVAC Deemed Table'!C146</f>
        <v>351000_2021_12_</v>
      </c>
      <c r="C137" s="3343" t="str">
        <f>'HVAC Deemed Table'!G146</f>
        <v>Cooling RES</v>
      </c>
      <c r="D137" s="3343" t="str">
        <f>'HVAC Deemed Table'!G147</f>
        <v>Cooling RES ER2</v>
      </c>
      <c r="E137" s="3343"/>
      <c r="F137" s="3343"/>
      <c r="G137" s="3343" t="str">
        <f>'HVAC Deemed Table'!E146</f>
        <v>CAC-SEER17_ER1_SF</v>
      </c>
      <c r="H137" s="50" t="str">
        <f>'HVAC Deemed Table'!D146</f>
        <v>SF</v>
      </c>
      <c r="I137" s="1966">
        <f t="shared" si="32"/>
        <v>2272.7399999999998</v>
      </c>
      <c r="J137" s="1966">
        <f t="shared" si="33"/>
        <v>562.64</v>
      </c>
      <c r="K137" s="560">
        <f>'HVAC Deemed Table'!F146</f>
        <v>2272.7399999999998</v>
      </c>
      <c r="L137" s="560">
        <v>0</v>
      </c>
      <c r="M137" s="560">
        <f>'HVAC Deemed Table'!F147</f>
        <v>562.64</v>
      </c>
      <c r="N137" s="560">
        <v>0</v>
      </c>
      <c r="O137" s="1967">
        <f t="shared" si="34"/>
        <v>2.153235</v>
      </c>
      <c r="P137" s="1967">
        <f t="shared" si="35"/>
        <v>0.53305499999999995</v>
      </c>
      <c r="Q137" s="1968">
        <f>'HVAC Deemed Table'!I146</f>
        <v>2.153235</v>
      </c>
      <c r="R137" s="1968"/>
      <c r="S137" s="1968">
        <f>'HVAC Deemed Table'!I147</f>
        <v>0.53305499999999995</v>
      </c>
      <c r="T137" s="1968"/>
      <c r="U137" s="1969"/>
      <c r="V137" s="1969"/>
      <c r="W137" s="1969">
        <f>P137</f>
        <v>0.53305499999999995</v>
      </c>
      <c r="X137" s="55">
        <f>'HVAC Deemed Table'!J146</f>
        <v>6</v>
      </c>
      <c r="Y137" s="55">
        <f>'HVAC Deemed Table'!J147</f>
        <v>12</v>
      </c>
      <c r="Z137" s="55">
        <f t="shared" ref="Z137:Z200" si="37">Y137+X137</f>
        <v>18</v>
      </c>
      <c r="AA137" s="2581">
        <f>'HVAC Deemed Table'!BB146</f>
        <v>2.0641268512266664</v>
      </c>
      <c r="AB137" s="2091">
        <f>'HVAC Deemed Table'!K146</f>
        <v>1058.7232291797773</v>
      </c>
      <c r="AC137" s="2583">
        <f t="shared" ref="AC137:AC200" si="38">AE137+AF137</f>
        <v>1440.0353125916351</v>
      </c>
      <c r="AD137" s="2583">
        <f t="shared" si="31"/>
        <v>622.57822716049463</v>
      </c>
      <c r="AE137" s="571">
        <f>'HVAC Deemed Table'!BD146</f>
        <v>1440.0353125916351</v>
      </c>
      <c r="AF137" s="571">
        <v>0</v>
      </c>
      <c r="AG137" s="571">
        <f>'HVAC Deemed Table'!BD147</f>
        <v>622.57822716049463</v>
      </c>
      <c r="AH137" s="571">
        <v>0</v>
      </c>
      <c r="AI137" s="2589" t="str">
        <f t="shared" si="29"/>
        <v>per measure</v>
      </c>
      <c r="AJ137" s="109">
        <f>'HVAC Deemed Table'!L146</f>
        <v>2.9440646364201366</v>
      </c>
      <c r="AK137" s="1501"/>
      <c r="AL137" s="1501"/>
      <c r="AM137" s="1596">
        <f t="shared" ref="AM137:AM142" si="39">VLOOKUP(C137,$AS$10:$AT$33,2,FALSE)</f>
        <v>9.4741810000000004E-4</v>
      </c>
      <c r="AN137">
        <f t="shared" si="30"/>
        <v>2.1532350125940001</v>
      </c>
      <c r="AO137" s="1595">
        <f t="shared" ref="AO137:AO142" si="40">AN137-O137</f>
        <v>1.2594000065035971E-8</v>
      </c>
    </row>
    <row r="138" spans="1:41" x14ac:dyDescent="0.35">
      <c r="A138" s="103" t="str">
        <f t="shared" si="36"/>
        <v>351050</v>
      </c>
      <c r="B138" s="3346" t="str">
        <f>'HVAC Deemed Table'!C148</f>
        <v>351050_2021_12_</v>
      </c>
      <c r="C138" s="3343" t="str">
        <f>'HVAC Deemed Table'!G148</f>
        <v>Cooling RES</v>
      </c>
      <c r="D138" s="3343"/>
      <c r="E138" s="3343"/>
      <c r="F138" s="3343"/>
      <c r="G138" s="3343" t="str">
        <f>'HVAC Deemed Table'!E148</f>
        <v>CAC-SEER17_ROF_SF</v>
      </c>
      <c r="H138" s="50" t="str">
        <f>'HVAC Deemed Table'!D148</f>
        <v>SF</v>
      </c>
      <c r="I138" s="1966">
        <f t="shared" si="32"/>
        <v>559.92999999999995</v>
      </c>
      <c r="J138" s="1966">
        <f t="shared" si="33"/>
        <v>0</v>
      </c>
      <c r="K138" s="560">
        <f>'HVAC Deemed Table'!F148</f>
        <v>559.92999999999995</v>
      </c>
      <c r="L138" s="560">
        <v>0</v>
      </c>
      <c r="M138" s="560"/>
      <c r="N138" s="560">
        <v>0</v>
      </c>
      <c r="O138" s="1967">
        <f t="shared" si="34"/>
        <v>0.53048799999999996</v>
      </c>
      <c r="P138" s="1967">
        <f t="shared" si="35"/>
        <v>0</v>
      </c>
      <c r="Q138" s="1968">
        <f>'HVAC Deemed Table'!I148</f>
        <v>0.53048799999999996</v>
      </c>
      <c r="R138" s="1968"/>
      <c r="S138" s="1968"/>
      <c r="T138" s="1968"/>
      <c r="U138" s="1969"/>
      <c r="V138" s="1969"/>
      <c r="W138" s="1969">
        <f>Q138</f>
        <v>0.53048799999999996</v>
      </c>
      <c r="X138" s="55">
        <f>'HVAC Deemed Table'!J148</f>
        <v>18</v>
      </c>
      <c r="Y138" s="55"/>
      <c r="Z138" s="55">
        <f t="shared" si="37"/>
        <v>18</v>
      </c>
      <c r="AA138" s="2581">
        <f>'HVAC Deemed Table'!BB148</f>
        <v>1.6650519123445304</v>
      </c>
      <c r="AB138" s="2091">
        <f>'HVAC Deemed Table'!K148</f>
        <v>620</v>
      </c>
      <c r="AC138" s="2583">
        <f t="shared" si="38"/>
        <v>974.35789113129658</v>
      </c>
      <c r="AD138" s="2583">
        <f t="shared" si="31"/>
        <v>0</v>
      </c>
      <c r="AE138" s="571">
        <f>'HVAC Deemed Table'!BD148</f>
        <v>974.35789113129658</v>
      </c>
      <c r="AF138" s="571">
        <v>0</v>
      </c>
      <c r="AG138" s="571"/>
      <c r="AH138" s="571">
        <v>0</v>
      </c>
      <c r="AI138" s="2589" t="str">
        <f t="shared" si="29"/>
        <v>per measure</v>
      </c>
      <c r="AJ138" s="109">
        <f>'HVAC Deemed Table'!L148</f>
        <v>2.9290780141843968</v>
      </c>
      <c r="AK138" s="1501"/>
      <c r="AL138" s="1501"/>
      <c r="AM138" s="1596">
        <f t="shared" si="39"/>
        <v>9.4741810000000004E-4</v>
      </c>
      <c r="AN138">
        <f t="shared" si="30"/>
        <v>0.53048781673299994</v>
      </c>
      <c r="AO138" s="1595">
        <f t="shared" si="40"/>
        <v>-1.8326700002013752E-7</v>
      </c>
    </row>
    <row r="139" spans="1:41" x14ac:dyDescent="0.35">
      <c r="A139" s="103" t="str">
        <f t="shared" si="36"/>
        <v>351100</v>
      </c>
      <c r="B139" s="3346" t="str">
        <f>'HVAC Deemed Table'!C149</f>
        <v>351100_2021_12_</v>
      </c>
      <c r="C139" s="3343" t="str">
        <f>'HVAC Deemed Table'!G149</f>
        <v>Cooling RES</v>
      </c>
      <c r="D139" s="3343" t="str">
        <f>'HVAC Deemed Table'!G150</f>
        <v>Cooling RES ER2</v>
      </c>
      <c r="E139" s="3343"/>
      <c r="F139" s="3343"/>
      <c r="G139" s="3343" t="str">
        <f>'HVAC Deemed Table'!E149</f>
        <v>CAC-SEER17_ER1_MF</v>
      </c>
      <c r="H139" s="50" t="str">
        <f>'HVAC Deemed Table'!D149</f>
        <v>MF</v>
      </c>
      <c r="I139" s="1966">
        <f t="shared" si="32"/>
        <v>2166.1999999999998</v>
      </c>
      <c r="J139" s="1966">
        <f t="shared" si="33"/>
        <v>518.20000000000005</v>
      </c>
      <c r="K139" s="560">
        <f>'HVAC Deemed Table'!F149</f>
        <v>2166.1999999999998</v>
      </c>
      <c r="L139" s="560">
        <v>0</v>
      </c>
      <c r="M139" s="560">
        <f>'HVAC Deemed Table'!F150</f>
        <v>518.20000000000005</v>
      </c>
      <c r="N139" s="560">
        <v>0</v>
      </c>
      <c r="O139" s="1967">
        <f t="shared" si="34"/>
        <v>2.0522969999999998</v>
      </c>
      <c r="P139" s="1967">
        <f t="shared" si="35"/>
        <v>0.490952</v>
      </c>
      <c r="Q139" s="1968">
        <f>'HVAC Deemed Table'!I149</f>
        <v>2.0522969999999998</v>
      </c>
      <c r="R139" s="1968"/>
      <c r="S139" s="1968">
        <f>'HVAC Deemed Table'!I150</f>
        <v>0.490952</v>
      </c>
      <c r="T139" s="1968"/>
      <c r="U139" s="1969"/>
      <c r="V139" s="1969"/>
      <c r="W139" s="1969">
        <f>P139</f>
        <v>0.490952</v>
      </c>
      <c r="X139" s="55">
        <f>'HVAC Deemed Table'!J149</f>
        <v>6</v>
      </c>
      <c r="Y139" s="55">
        <f>'HVAC Deemed Table'!J150</f>
        <v>12</v>
      </c>
      <c r="Z139" s="55">
        <f t="shared" si="37"/>
        <v>18</v>
      </c>
      <c r="AA139" s="2581">
        <f>'HVAC Deemed Table'!BB149</f>
        <v>2.010128716142654</v>
      </c>
      <c r="AB139" s="2091">
        <f>'HVAC Deemed Table'!K149</f>
        <v>1025.6643692886123</v>
      </c>
      <c r="AC139" s="2583">
        <f t="shared" si="38"/>
        <v>1372.5302912502091</v>
      </c>
      <c r="AD139" s="2583">
        <f t="shared" si="31"/>
        <v>573.4040191144752</v>
      </c>
      <c r="AE139" s="571">
        <f>'HVAC Deemed Table'!BD149</f>
        <v>1372.5302912502091</v>
      </c>
      <c r="AF139" s="571">
        <v>0</v>
      </c>
      <c r="AG139" s="571">
        <f>'HVAC Deemed Table'!BD150</f>
        <v>573.4040191144752</v>
      </c>
      <c r="AH139" s="571">
        <v>0</v>
      </c>
      <c r="AI139" s="2589" t="str">
        <f t="shared" si="29"/>
        <v>per measure</v>
      </c>
      <c r="AJ139" s="109">
        <f>'HVAC Deemed Table'!L149</f>
        <v>2.7222222222222223</v>
      </c>
      <c r="AK139" s="1501"/>
      <c r="AL139" s="1501"/>
      <c r="AM139" s="1596">
        <f t="shared" si="39"/>
        <v>9.4741810000000004E-4</v>
      </c>
      <c r="AN139">
        <f t="shared" si="30"/>
        <v>2.05229708822</v>
      </c>
      <c r="AO139" s="1595">
        <f t="shared" si="40"/>
        <v>8.8220000193928172E-8</v>
      </c>
    </row>
    <row r="140" spans="1:41" x14ac:dyDescent="0.35">
      <c r="A140" s="103" t="str">
        <f t="shared" si="36"/>
        <v>351101</v>
      </c>
      <c r="B140" s="3346" t="str">
        <f>'HVAC Deemed Table'!C151</f>
        <v>351101_2021_12_</v>
      </c>
      <c r="C140" s="3343" t="str">
        <f>'HVAC Deemed Table'!G151</f>
        <v>Cooling RES</v>
      </c>
      <c r="D140" s="3343" t="str">
        <f>'HVAC Deemed Table'!G152</f>
        <v>Cooling RES ER2</v>
      </c>
      <c r="E140" s="3343"/>
      <c r="F140" s="3343"/>
      <c r="G140" s="3343" t="str">
        <f>'HVAC Deemed Table'!E151</f>
        <v>CAC-SEER17_ER1_MF_CompE</v>
      </c>
      <c r="H140" s="50" t="str">
        <f>'HVAC Deemed Table'!D151</f>
        <v>MFc</v>
      </c>
      <c r="I140" s="1966">
        <f t="shared" si="32"/>
        <v>1575.42</v>
      </c>
      <c r="J140" s="1966">
        <f t="shared" si="33"/>
        <v>376.87</v>
      </c>
      <c r="K140" s="560">
        <f>'HVAC Deemed Table'!F151</f>
        <v>1575.42</v>
      </c>
      <c r="L140" s="560">
        <v>0</v>
      </c>
      <c r="M140" s="560">
        <f>'HVAC Deemed Table'!F152</f>
        <v>376.87</v>
      </c>
      <c r="N140" s="560">
        <v>0</v>
      </c>
      <c r="O140" s="1967">
        <f t="shared" si="34"/>
        <v>1.4925809999999999</v>
      </c>
      <c r="P140" s="1967">
        <f t="shared" si="35"/>
        <v>0.35705300000000001</v>
      </c>
      <c r="Q140" s="1968">
        <f>'HVAC Deemed Table'!I151</f>
        <v>1.4925809999999999</v>
      </c>
      <c r="R140" s="1968"/>
      <c r="S140" s="1968">
        <f>'HVAC Deemed Table'!I152</f>
        <v>0.35705300000000001</v>
      </c>
      <c r="T140" s="1968"/>
      <c r="U140" s="1969"/>
      <c r="V140" s="1969"/>
      <c r="W140" s="1969">
        <f>P140</f>
        <v>0.35705300000000001</v>
      </c>
      <c r="X140" s="55">
        <f>'HVAC Deemed Table'!J151</f>
        <v>6</v>
      </c>
      <c r="Y140" s="55">
        <f>'HVAC Deemed Table'!J152</f>
        <v>12</v>
      </c>
      <c r="Z140" s="55">
        <f t="shared" si="37"/>
        <v>18</v>
      </c>
      <c r="AA140" s="2581">
        <f>'HVAC Deemed Table'!BB151</f>
        <v>1.4619098662196239</v>
      </c>
      <c r="AB140" s="2091">
        <f>'HVAC Deemed Table'!K151</f>
        <v>1025.6643692886123</v>
      </c>
      <c r="AC140" s="2583">
        <f t="shared" si="38"/>
        <v>998.20500020376915</v>
      </c>
      <c r="AD140" s="2583">
        <f t="shared" si="31"/>
        <v>417.01808700052538</v>
      </c>
      <c r="AE140" s="571">
        <f>'HVAC Deemed Table'!BD151</f>
        <v>998.20500020376915</v>
      </c>
      <c r="AF140" s="571">
        <v>0</v>
      </c>
      <c r="AG140" s="571">
        <f>'HVAC Deemed Table'!BD152</f>
        <v>417.01808700052538</v>
      </c>
      <c r="AH140" s="571">
        <v>0</v>
      </c>
      <c r="AI140" s="2589" t="str">
        <f t="shared" si="29"/>
        <v>per measure</v>
      </c>
      <c r="AJ140" s="109">
        <f>'HVAC Deemed Table'!L151</f>
        <v>2.7222222222222223</v>
      </c>
      <c r="AK140" s="1501"/>
      <c r="AL140" s="1501"/>
      <c r="AM140" s="1596">
        <f t="shared" si="39"/>
        <v>9.4741810000000004E-4</v>
      </c>
      <c r="AN140">
        <f t="shared" si="30"/>
        <v>1.492581423102</v>
      </c>
      <c r="AO140" s="1595">
        <f t="shared" si="40"/>
        <v>4.2310200010220456E-7</v>
      </c>
    </row>
    <row r="141" spans="1:41" x14ac:dyDescent="0.35">
      <c r="A141" s="103" t="str">
        <f t="shared" si="36"/>
        <v>351150</v>
      </c>
      <c r="B141" s="3346" t="str">
        <f>'HVAC Deemed Table'!C153</f>
        <v>351150_2021_12_</v>
      </c>
      <c r="C141" s="3343" t="str">
        <f>'HVAC Deemed Table'!G153</f>
        <v>Cooling RES</v>
      </c>
      <c r="D141" s="3343"/>
      <c r="E141" s="3343"/>
      <c r="F141" s="3343"/>
      <c r="G141" s="3343" t="str">
        <f>'HVAC Deemed Table'!E153</f>
        <v>CAC-SEER17_ROF_MF</v>
      </c>
      <c r="H141" s="50" t="str">
        <f>'HVAC Deemed Table'!D153</f>
        <v>MF</v>
      </c>
      <c r="I141" s="1966">
        <f t="shared" si="32"/>
        <v>518</v>
      </c>
      <c r="J141" s="1966">
        <f t="shared" si="33"/>
        <v>0</v>
      </c>
      <c r="K141" s="560">
        <f>'HVAC Deemed Table'!F153</f>
        <v>518</v>
      </c>
      <c r="L141" s="560">
        <v>0</v>
      </c>
      <c r="M141" s="560"/>
      <c r="N141" s="560">
        <v>0</v>
      </c>
      <c r="O141" s="1967">
        <f t="shared" si="34"/>
        <v>0.490763</v>
      </c>
      <c r="P141" s="1967">
        <f t="shared" si="35"/>
        <v>0</v>
      </c>
      <c r="Q141" s="1968">
        <f>'HVAC Deemed Table'!I153</f>
        <v>0.490763</v>
      </c>
      <c r="R141" s="1968"/>
      <c r="S141" s="1968"/>
      <c r="T141" s="1968"/>
      <c r="U141" s="1969"/>
      <c r="V141" s="1969"/>
      <c r="W141" s="1969">
        <f>Q141</f>
        <v>0.490763</v>
      </c>
      <c r="X141" s="55">
        <f>'HVAC Deemed Table'!J153</f>
        <v>18</v>
      </c>
      <c r="Y141" s="55"/>
      <c r="Z141" s="55">
        <f t="shared" si="37"/>
        <v>18</v>
      </c>
      <c r="AA141" s="2581">
        <f>'HVAC Deemed Table'!BB153</f>
        <v>1.5403655646142678</v>
      </c>
      <c r="AB141" s="2091">
        <f>'HVAC Deemed Table'!K153</f>
        <v>620</v>
      </c>
      <c r="AC141" s="2583">
        <f t="shared" si="38"/>
        <v>901.39372351188842</v>
      </c>
      <c r="AD141" s="2583">
        <f t="shared" si="31"/>
        <v>0</v>
      </c>
      <c r="AE141" s="571">
        <f>'HVAC Deemed Table'!BD153</f>
        <v>901.39372351188842</v>
      </c>
      <c r="AF141" s="571">
        <v>0</v>
      </c>
      <c r="AG141" s="571"/>
      <c r="AH141" s="571">
        <v>0</v>
      </c>
      <c r="AI141" s="2589" t="str">
        <f t="shared" si="29"/>
        <v>per measure</v>
      </c>
      <c r="AJ141" s="109">
        <f>'HVAC Deemed Table'!L153</f>
        <v>2.75</v>
      </c>
      <c r="AK141" s="1501"/>
      <c r="AL141" s="1501"/>
      <c r="AM141" s="1596">
        <f t="shared" si="39"/>
        <v>9.4741810000000004E-4</v>
      </c>
      <c r="AN141">
        <f t="shared" si="30"/>
        <v>0.49076257580000004</v>
      </c>
      <c r="AO141" s="1595">
        <f t="shared" si="40"/>
        <v>-4.2419999995990665E-7</v>
      </c>
    </row>
    <row r="142" spans="1:41" x14ac:dyDescent="0.35">
      <c r="A142" s="103" t="str">
        <f t="shared" si="36"/>
        <v>351151</v>
      </c>
      <c r="B142" s="3346" t="str">
        <f>'HVAC Deemed Table'!C154</f>
        <v>351151_2021_12_</v>
      </c>
      <c r="C142" s="3343" t="str">
        <f>'HVAC Deemed Table'!G154</f>
        <v>Cooling RES</v>
      </c>
      <c r="D142" s="3343"/>
      <c r="E142" s="3343"/>
      <c r="F142" s="3343"/>
      <c r="G142" s="3343" t="str">
        <f>'HVAC Deemed Table'!E154</f>
        <v>CAC-SEER17_ROF_MF_CompE</v>
      </c>
      <c r="H142" s="50" t="str">
        <f>'HVAC Deemed Table'!D154</f>
        <v>MFc</v>
      </c>
      <c r="I142" s="1966">
        <f t="shared" si="32"/>
        <v>376.73</v>
      </c>
      <c r="J142" s="1966">
        <f t="shared" si="33"/>
        <v>0</v>
      </c>
      <c r="K142" s="560">
        <f>'HVAC Deemed Table'!F154</f>
        <v>376.73</v>
      </c>
      <c r="L142" s="560">
        <v>0</v>
      </c>
      <c r="M142" s="560"/>
      <c r="N142" s="560">
        <v>0</v>
      </c>
      <c r="O142" s="1967">
        <f t="shared" si="34"/>
        <v>0.35692099999999999</v>
      </c>
      <c r="P142" s="1967">
        <f t="shared" si="35"/>
        <v>0</v>
      </c>
      <c r="Q142" s="1968">
        <f>'HVAC Deemed Table'!I154</f>
        <v>0.35692099999999999</v>
      </c>
      <c r="R142" s="1968"/>
      <c r="S142" s="1968"/>
      <c r="T142" s="1968"/>
      <c r="U142" s="1969"/>
      <c r="V142" s="1969"/>
      <c r="W142" s="1969">
        <f>Q142</f>
        <v>0.35692099999999999</v>
      </c>
      <c r="X142" s="55">
        <f>'HVAC Deemed Table'!J154</f>
        <v>18</v>
      </c>
      <c r="Y142" s="55"/>
      <c r="Z142" s="55">
        <f t="shared" si="37"/>
        <v>18</v>
      </c>
      <c r="AA142" s="2581">
        <f>'HVAC Deemed Table'!BB154</f>
        <v>1.1202739752068207</v>
      </c>
      <c r="AB142" s="2091">
        <f>'HVAC Deemed Table'!K154</f>
        <v>620</v>
      </c>
      <c r="AC142" s="2583">
        <f t="shared" si="38"/>
        <v>655.56381748770991</v>
      </c>
      <c r="AD142" s="2583">
        <f t="shared" si="31"/>
        <v>0</v>
      </c>
      <c r="AE142" s="571">
        <f>'HVAC Deemed Table'!BD154</f>
        <v>655.56381748770991</v>
      </c>
      <c r="AF142" s="571">
        <v>0</v>
      </c>
      <c r="AG142" s="571"/>
      <c r="AH142" s="571">
        <v>0</v>
      </c>
      <c r="AI142" s="2589" t="str">
        <f t="shared" si="29"/>
        <v>per measure</v>
      </c>
      <c r="AJ142" s="109">
        <f>'HVAC Deemed Table'!L154</f>
        <v>2.75</v>
      </c>
      <c r="AK142" s="1501"/>
      <c r="AL142" s="1501"/>
      <c r="AM142" s="1596">
        <f t="shared" si="39"/>
        <v>9.4741810000000004E-4</v>
      </c>
      <c r="AN142">
        <f t="shared" si="30"/>
        <v>0.35692082081300003</v>
      </c>
      <c r="AO142" s="1595">
        <f t="shared" si="40"/>
        <v>-1.7918699996011256E-7</v>
      </c>
    </row>
    <row r="143" spans="1:41" x14ac:dyDescent="0.35">
      <c r="A143" s="103" t="str">
        <f t="shared" si="36"/>
        <v>351160</v>
      </c>
      <c r="B143" s="3346" t="str">
        <f>'HVAC Deemed Table'!C155</f>
        <v>351160_2021_12_</v>
      </c>
      <c r="C143" s="3343" t="str">
        <f>'HVAC Deemed Table'!G155</f>
        <v>Cooling RES</v>
      </c>
      <c r="D143" s="3343" t="str">
        <f>'HVAC Deemed Table'!G156</f>
        <v>Cooling RES ER2</v>
      </c>
      <c r="E143" s="3343"/>
      <c r="F143" s="3343"/>
      <c r="G143" s="3343" t="str">
        <f>'HVAC Deemed Table'!E155</f>
        <v>CAC-SEER18_ER1_SF</v>
      </c>
      <c r="H143" s="50" t="str">
        <f>'HVAC Deemed Table'!D155</f>
        <v>SF</v>
      </c>
      <c r="I143" s="1966">
        <f t="shared" si="32"/>
        <v>2517.94</v>
      </c>
      <c r="J143" s="1966">
        <f t="shared" si="33"/>
        <v>741.82</v>
      </c>
      <c r="K143" s="560">
        <f>'HVAC Deemed Table'!F155</f>
        <v>2517.94</v>
      </c>
      <c r="L143" s="560">
        <v>0</v>
      </c>
      <c r="M143" s="560">
        <f>'HVAC Deemed Table'!F156</f>
        <v>741.82</v>
      </c>
      <c r="N143" s="560">
        <v>0</v>
      </c>
      <c r="O143" s="1967">
        <f t="shared" si="34"/>
        <v>2.3855420000000001</v>
      </c>
      <c r="P143" s="1967">
        <f t="shared" si="35"/>
        <v>0.70281400000000005</v>
      </c>
      <c r="Q143" s="1968">
        <f>'HVAC Deemed Table'!I155</f>
        <v>2.3855420000000001</v>
      </c>
      <c r="R143" s="1968">
        <v>0</v>
      </c>
      <c r="S143" s="1968">
        <f>'HVAC Deemed Table'!I156</f>
        <v>0.70281400000000005</v>
      </c>
      <c r="T143" s="1968">
        <v>0</v>
      </c>
      <c r="U143" s="1969"/>
      <c r="V143" s="1969"/>
      <c r="W143" s="1969">
        <f>P143</f>
        <v>0.70281400000000005</v>
      </c>
      <c r="X143" s="55">
        <f>'HVAC Deemed Table'!J155</f>
        <v>6</v>
      </c>
      <c r="Y143" s="55">
        <f>'HVAC Deemed Table'!J156</f>
        <v>12</v>
      </c>
      <c r="Z143" s="55">
        <f t="shared" si="37"/>
        <v>18</v>
      </c>
      <c r="AA143" s="2581">
        <f>'HVAC Deemed Table'!BB155</f>
        <v>1.9344769027964939</v>
      </c>
      <c r="AB143" s="2091">
        <f>'HVAC Deemed Table'!K155</f>
        <v>1323.3602209074838</v>
      </c>
      <c r="AC143" s="2583">
        <f t="shared" si="38"/>
        <v>1595.3969723712271</v>
      </c>
      <c r="AD143" s="2583">
        <f t="shared" si="31"/>
        <v>820.84633241895017</v>
      </c>
      <c r="AE143" s="571">
        <f>'HVAC Deemed Table'!BD155</f>
        <v>1595.3969723712271</v>
      </c>
      <c r="AF143" s="571"/>
      <c r="AG143" s="571">
        <f>'HVAC Deemed Table'!BD156</f>
        <v>820.84633241895017</v>
      </c>
      <c r="AH143" s="571"/>
      <c r="AI143" s="2589" t="str">
        <f t="shared" si="29"/>
        <v>per measure</v>
      </c>
      <c r="AJ143" s="109">
        <f>'HVAC Deemed Table'!L155</f>
        <v>3.3330761421319792</v>
      </c>
      <c r="AK143" s="1501"/>
      <c r="AL143" s="1501"/>
      <c r="AM143" s="1596"/>
      <c r="AO143" s="1595"/>
    </row>
    <row r="144" spans="1:41" x14ac:dyDescent="0.35">
      <c r="A144" s="103" t="str">
        <f t="shared" si="36"/>
        <v>351161</v>
      </c>
      <c r="B144" s="3346" t="str">
        <f>'HVAC Deemed Table'!C157</f>
        <v>351161_2021_12_</v>
      </c>
      <c r="C144" s="3343" t="str">
        <f>'HVAC Deemed Table'!G157</f>
        <v>Cooling RES</v>
      </c>
      <c r="D144" s="3343"/>
      <c r="E144" s="3343"/>
      <c r="F144" s="3343"/>
      <c r="G144" s="3343" t="str">
        <f>'HVAC Deemed Table'!E157</f>
        <v>CAC-SEER18_ROF_SF</v>
      </c>
      <c r="H144" s="50" t="str">
        <f>'HVAC Deemed Table'!D157</f>
        <v>SF</v>
      </c>
      <c r="I144" s="1966">
        <f t="shared" si="32"/>
        <v>755.44</v>
      </c>
      <c r="J144" s="1966">
        <f t="shared" si="33"/>
        <v>0</v>
      </c>
      <c r="K144" s="560">
        <f>'HVAC Deemed Table'!F157</f>
        <v>755.44</v>
      </c>
      <c r="L144" s="560">
        <v>0</v>
      </c>
      <c r="M144" s="560"/>
      <c r="N144" s="560">
        <v>0</v>
      </c>
      <c r="O144" s="1967">
        <f t="shared" si="34"/>
        <v>0.71571799999999997</v>
      </c>
      <c r="P144" s="1967">
        <f t="shared" si="35"/>
        <v>0</v>
      </c>
      <c r="Q144" s="1968">
        <f>'HVAC Deemed Table'!I157</f>
        <v>0.71571799999999997</v>
      </c>
      <c r="R144" s="1968">
        <v>0</v>
      </c>
      <c r="S144" s="1968"/>
      <c r="T144" s="1968">
        <v>0</v>
      </c>
      <c r="U144" s="1969"/>
      <c r="V144" s="1969"/>
      <c r="W144" s="1969">
        <f>Q144</f>
        <v>0.71571799999999997</v>
      </c>
      <c r="X144" s="55">
        <f>'HVAC Deemed Table'!J157</f>
        <v>18</v>
      </c>
      <c r="Y144" s="55"/>
      <c r="Z144" s="55">
        <f t="shared" si="37"/>
        <v>18</v>
      </c>
      <c r="AA144" s="2581">
        <f>'HVAC Deemed Table'!BB157</f>
        <v>1.6848268756740372</v>
      </c>
      <c r="AB144" s="2091">
        <f>'HVAC Deemed Table'!K157</f>
        <v>826.66666666666708</v>
      </c>
      <c r="AC144" s="2583">
        <f t="shared" si="38"/>
        <v>1314.5731167757162</v>
      </c>
      <c r="AD144" s="2583">
        <f t="shared" si="31"/>
        <v>0</v>
      </c>
      <c r="AE144" s="571">
        <f>'HVAC Deemed Table'!BD157</f>
        <v>1314.5731167757162</v>
      </c>
      <c r="AF144" s="571"/>
      <c r="AG144" s="571"/>
      <c r="AH144" s="571"/>
      <c r="AI144" s="2589" t="str">
        <f t="shared" ref="AI144:AI172" si="41">AI143</f>
        <v>per measure</v>
      </c>
      <c r="AJ144" s="109">
        <f>'HVAC Deemed Table'!L157</f>
        <v>3.3971612903225816</v>
      </c>
      <c r="AK144" s="1501"/>
      <c r="AL144" s="1501"/>
      <c r="AM144" s="1596"/>
      <c r="AO144" s="1595"/>
    </row>
    <row r="145" spans="1:41" x14ac:dyDescent="0.35">
      <c r="A145" s="103" t="str">
        <f t="shared" si="36"/>
        <v>351162</v>
      </c>
      <c r="B145" s="3346" t="str">
        <f>'HVAC Deemed Table'!C158</f>
        <v>351162_2021_12_</v>
      </c>
      <c r="C145" s="3343" t="str">
        <f>'HVAC Deemed Table'!G158</f>
        <v>Cooling RES</v>
      </c>
      <c r="D145" s="3343" t="str">
        <f>'HVAC Deemed Table'!G159</f>
        <v>Cooling RES ER2</v>
      </c>
      <c r="E145" s="3343"/>
      <c r="F145" s="3343"/>
      <c r="G145" s="3343" t="str">
        <f>'HVAC Deemed Table'!E158</f>
        <v>CAC-SEER18_ER1_MF</v>
      </c>
      <c r="H145" s="50" t="str">
        <f>'HVAC Deemed Table'!D158</f>
        <v>MF</v>
      </c>
      <c r="I145" s="1966">
        <f t="shared" si="32"/>
        <v>2128.65</v>
      </c>
      <c r="J145" s="1966">
        <f t="shared" si="33"/>
        <v>555.94000000000005</v>
      </c>
      <c r="K145" s="560">
        <f>'HVAC Deemed Table'!F158</f>
        <v>2128.65</v>
      </c>
      <c r="L145" s="560">
        <v>0</v>
      </c>
      <c r="M145" s="560">
        <f>'HVAC Deemed Table'!F159</f>
        <v>555.94000000000005</v>
      </c>
      <c r="N145" s="560">
        <v>0</v>
      </c>
      <c r="O145" s="1967">
        <f t="shared" si="34"/>
        <v>2.0167220000000001</v>
      </c>
      <c r="P145" s="1967">
        <f t="shared" si="35"/>
        <v>0.52670799999999995</v>
      </c>
      <c r="Q145" s="1968">
        <f>'HVAC Deemed Table'!I158</f>
        <v>2.0167220000000001</v>
      </c>
      <c r="R145" s="1968">
        <v>0</v>
      </c>
      <c r="S145" s="1968">
        <f>'HVAC Deemed Table'!I159</f>
        <v>0.52670799999999995</v>
      </c>
      <c r="T145" s="1968">
        <v>0</v>
      </c>
      <c r="U145" s="1969"/>
      <c r="V145" s="1969"/>
      <c r="W145" s="1969">
        <f>P145</f>
        <v>0.52670799999999995</v>
      </c>
      <c r="X145" s="55">
        <f>'HVAC Deemed Table'!J158</f>
        <v>6</v>
      </c>
      <c r="Y145" s="55">
        <f>'HVAC Deemed Table'!J159</f>
        <v>12</v>
      </c>
      <c r="Z145" s="55">
        <f t="shared" si="37"/>
        <v>18</v>
      </c>
      <c r="AA145" s="2581">
        <f>'HVAC Deemed Table'!BB158</f>
        <v>1.5859436692968549</v>
      </c>
      <c r="AB145" s="2091">
        <f>'HVAC Deemed Table'!K158</f>
        <v>1311.9979492570471</v>
      </c>
      <c r="AC145" s="2583">
        <f t="shared" si="38"/>
        <v>1348.7381610514994</v>
      </c>
      <c r="AD145" s="2583">
        <f t="shared" si="31"/>
        <v>615.16447392223336</v>
      </c>
      <c r="AE145" s="571">
        <f>'HVAC Deemed Table'!BD158</f>
        <v>1348.7381610514994</v>
      </c>
      <c r="AF145" s="571"/>
      <c r="AG145" s="571">
        <f>'HVAC Deemed Table'!BD159</f>
        <v>615.16447392223336</v>
      </c>
      <c r="AH145" s="571"/>
      <c r="AI145" s="2589" t="str">
        <f t="shared" si="41"/>
        <v>per measure</v>
      </c>
      <c r="AJ145" s="109">
        <f>'HVAC Deemed Table'!L158</f>
        <v>2.5</v>
      </c>
      <c r="AK145" s="1501"/>
      <c r="AL145" s="1501"/>
      <c r="AM145" s="1596"/>
      <c r="AO145" s="1595"/>
    </row>
    <row r="146" spans="1:41" x14ac:dyDescent="0.35">
      <c r="A146" s="103" t="str">
        <f t="shared" si="36"/>
        <v>351163</v>
      </c>
      <c r="B146" s="3346" t="str">
        <f>'HVAC Deemed Table'!C160</f>
        <v>351163_2021_12_</v>
      </c>
      <c r="C146" s="3343" t="str">
        <f>'HVAC Deemed Table'!G160</f>
        <v>Cooling RES</v>
      </c>
      <c r="D146" s="3343" t="str">
        <f>'HVAC Deemed Table'!G161</f>
        <v>Cooling RES ER2</v>
      </c>
      <c r="E146" s="3343"/>
      <c r="F146" s="3343"/>
      <c r="G146" s="3343" t="str">
        <f>'HVAC Deemed Table'!E160</f>
        <v>CAC-SEER18_ER1_MF_CompE</v>
      </c>
      <c r="H146" s="50" t="str">
        <f>'HVAC Deemed Table'!D160</f>
        <v>MFc</v>
      </c>
      <c r="I146" s="1966">
        <f t="shared" si="32"/>
        <v>1220.33</v>
      </c>
      <c r="J146" s="1966">
        <f t="shared" si="33"/>
        <v>404.32</v>
      </c>
      <c r="K146" s="560">
        <f>'HVAC Deemed Table'!F160</f>
        <v>1220.33</v>
      </c>
      <c r="L146" s="560">
        <v>0</v>
      </c>
      <c r="M146" s="560">
        <f>'HVAC Deemed Table'!F161</f>
        <v>404.32</v>
      </c>
      <c r="N146" s="560">
        <v>0</v>
      </c>
      <c r="O146" s="1967">
        <f t="shared" si="34"/>
        <v>1.1561630000000001</v>
      </c>
      <c r="P146" s="1967">
        <f t="shared" si="35"/>
        <v>0.38306000000000001</v>
      </c>
      <c r="Q146" s="1968">
        <f>'HVAC Deemed Table'!I160</f>
        <v>1.1561630000000001</v>
      </c>
      <c r="R146" s="1968">
        <v>0</v>
      </c>
      <c r="S146" s="1968">
        <f>'HVAC Deemed Table'!I161</f>
        <v>0.38306000000000001</v>
      </c>
      <c r="T146" s="1968">
        <v>0</v>
      </c>
      <c r="U146" s="1969"/>
      <c r="V146" s="1969"/>
      <c r="W146" s="1969">
        <f>P146</f>
        <v>0.38306000000000001</v>
      </c>
      <c r="X146" s="55">
        <f>'HVAC Deemed Table'!J160</f>
        <v>6</v>
      </c>
      <c r="Y146" s="55">
        <f>'HVAC Deemed Table'!J161</f>
        <v>12</v>
      </c>
      <c r="Z146" s="55">
        <f t="shared" si="37"/>
        <v>18</v>
      </c>
      <c r="AA146" s="2581">
        <f>'HVAC Deemed Table'!BB160</f>
        <v>1.0784001374894918</v>
      </c>
      <c r="AB146" s="2091">
        <f>'HVAC Deemed Table'!K160</f>
        <v>1199.2155772378417</v>
      </c>
      <c r="AC146" s="2583">
        <f t="shared" si="38"/>
        <v>773.21571891855217</v>
      </c>
      <c r="AD146" s="2583">
        <f t="shared" si="31"/>
        <v>447.39234467071515</v>
      </c>
      <c r="AE146" s="571">
        <f>'HVAC Deemed Table'!BD160</f>
        <v>773.21571891855217</v>
      </c>
      <c r="AF146" s="571"/>
      <c r="AG146" s="571">
        <f>'HVAC Deemed Table'!BD161</f>
        <v>447.39234467071515</v>
      </c>
      <c r="AH146" s="571"/>
      <c r="AI146" s="2589" t="str">
        <f t="shared" si="41"/>
        <v>per measure</v>
      </c>
      <c r="AJ146" s="109">
        <f>'HVAC Deemed Table'!L160</f>
        <v>2.5</v>
      </c>
      <c r="AK146" s="1501"/>
      <c r="AL146" s="1501"/>
      <c r="AM146" s="1596"/>
      <c r="AO146" s="1595"/>
    </row>
    <row r="147" spans="1:41" x14ac:dyDescent="0.35">
      <c r="A147" s="103" t="str">
        <f t="shared" si="36"/>
        <v>351164</v>
      </c>
      <c r="B147" s="3346" t="str">
        <f>'HVAC Deemed Table'!C162</f>
        <v>351164_2021_12_</v>
      </c>
      <c r="C147" s="3343" t="str">
        <f>'HVAC Deemed Table'!G162</f>
        <v>Cooling RES</v>
      </c>
      <c r="D147" s="3343"/>
      <c r="E147" s="3343"/>
      <c r="F147" s="3343"/>
      <c r="G147" s="3343" t="str">
        <f>'HVAC Deemed Table'!E162</f>
        <v>CAC-SEER18_ROF_MF</v>
      </c>
      <c r="H147" s="50" t="str">
        <f>'HVAC Deemed Table'!D162</f>
        <v>MF</v>
      </c>
      <c r="I147" s="1966">
        <f t="shared" si="32"/>
        <v>444.75</v>
      </c>
      <c r="J147" s="1966">
        <f t="shared" si="33"/>
        <v>0</v>
      </c>
      <c r="K147" s="560">
        <f>'HVAC Deemed Table'!F162</f>
        <v>444.75</v>
      </c>
      <c r="L147" s="560">
        <v>0</v>
      </c>
      <c r="M147" s="560"/>
      <c r="N147" s="560">
        <v>0</v>
      </c>
      <c r="O147" s="1967">
        <f t="shared" si="34"/>
        <v>0.42136400000000002</v>
      </c>
      <c r="P147" s="1967">
        <f t="shared" si="35"/>
        <v>0</v>
      </c>
      <c r="Q147" s="1968">
        <f>'HVAC Deemed Table'!I162</f>
        <v>0.42136400000000002</v>
      </c>
      <c r="R147" s="1968">
        <v>0</v>
      </c>
      <c r="S147" s="1968"/>
      <c r="T147" s="1968">
        <v>0</v>
      </c>
      <c r="U147" s="1969"/>
      <c r="V147" s="1969"/>
      <c r="W147" s="1969">
        <f>Q147</f>
        <v>0.42136400000000002</v>
      </c>
      <c r="X147" s="55">
        <f>'HVAC Deemed Table'!J162</f>
        <v>18</v>
      </c>
      <c r="Y147" s="55"/>
      <c r="Z147" s="55">
        <f t="shared" si="37"/>
        <v>18</v>
      </c>
      <c r="AA147" s="2581">
        <f>'HVAC Deemed Table'!BB162</f>
        <v>0.9919077000900508</v>
      </c>
      <c r="AB147" s="2091">
        <f>'HVAC Deemed Table'!K162</f>
        <v>826.66666666666708</v>
      </c>
      <c r="AC147" s="2583">
        <f t="shared" si="38"/>
        <v>773.92829832415509</v>
      </c>
      <c r="AD147" s="2583">
        <f t="shared" si="31"/>
        <v>0</v>
      </c>
      <c r="AE147" s="571">
        <f>'HVAC Deemed Table'!BD162</f>
        <v>773.92829832415509</v>
      </c>
      <c r="AF147" s="571"/>
      <c r="AG147" s="571"/>
      <c r="AH147" s="571"/>
      <c r="AI147" s="2589" t="str">
        <f t="shared" si="41"/>
        <v>per measure</v>
      </c>
      <c r="AJ147" s="109">
        <f>'HVAC Deemed Table'!L162</f>
        <v>2</v>
      </c>
      <c r="AK147" s="1501"/>
      <c r="AL147" s="1501"/>
      <c r="AM147" s="1596"/>
      <c r="AO147" s="1595"/>
    </row>
    <row r="148" spans="1:41" x14ac:dyDescent="0.35">
      <c r="A148" s="103" t="str">
        <f t="shared" si="36"/>
        <v>351165</v>
      </c>
      <c r="B148" s="3346" t="str">
        <f>'HVAC Deemed Table'!C163</f>
        <v>351165_2021_12_</v>
      </c>
      <c r="C148" s="3343" t="str">
        <f>'HVAC Deemed Table'!G163</f>
        <v>Cooling RES</v>
      </c>
      <c r="D148" s="3343"/>
      <c r="E148" s="3343"/>
      <c r="F148" s="3343"/>
      <c r="G148" s="3343" t="str">
        <f>'HVAC Deemed Table'!E163</f>
        <v>CAC-SEER18_ROF_MF_CompE</v>
      </c>
      <c r="H148" s="50" t="str">
        <f>'HVAC Deemed Table'!D163</f>
        <v>MFc</v>
      </c>
      <c r="I148" s="1966">
        <f t="shared" si="32"/>
        <v>323.45</v>
      </c>
      <c r="J148" s="1966">
        <f t="shared" si="33"/>
        <v>0</v>
      </c>
      <c r="K148" s="560">
        <f>'HVAC Deemed Table'!F163</f>
        <v>323.45</v>
      </c>
      <c r="L148" s="560">
        <v>0</v>
      </c>
      <c r="M148" s="560"/>
      <c r="N148" s="560">
        <v>0</v>
      </c>
      <c r="O148" s="1967">
        <f t="shared" si="34"/>
        <v>0.30644199999999999</v>
      </c>
      <c r="P148" s="1967">
        <f t="shared" si="35"/>
        <v>0</v>
      </c>
      <c r="Q148" s="1968">
        <f>'HVAC Deemed Table'!I163</f>
        <v>0.30644199999999999</v>
      </c>
      <c r="R148" s="1968">
        <v>0</v>
      </c>
      <c r="S148" s="1968"/>
      <c r="T148" s="1968">
        <v>0</v>
      </c>
      <c r="U148" s="1969"/>
      <c r="V148" s="1969"/>
      <c r="W148" s="1969">
        <f>Q148</f>
        <v>0.30644199999999999</v>
      </c>
      <c r="X148" s="55">
        <f>'HVAC Deemed Table'!J163</f>
        <v>18</v>
      </c>
      <c r="Y148" s="55"/>
      <c r="Z148" s="55">
        <f t="shared" si="37"/>
        <v>18</v>
      </c>
      <c r="AA148" s="2581">
        <f>'HVAC Deemed Table'!BB163</f>
        <v>0.72137728070630003</v>
      </c>
      <c r="AB148" s="2091">
        <f>'HVAC Deemed Table'!K163</f>
        <v>826.66666666666708</v>
      </c>
      <c r="AC148" s="2583">
        <f t="shared" si="38"/>
        <v>562.84903449791557</v>
      </c>
      <c r="AD148" s="2583">
        <f t="shared" si="31"/>
        <v>0</v>
      </c>
      <c r="AE148" s="571">
        <f>'HVAC Deemed Table'!BD163</f>
        <v>562.84903449791557</v>
      </c>
      <c r="AF148" s="571"/>
      <c r="AG148" s="571"/>
      <c r="AH148" s="571"/>
      <c r="AI148" s="2589" t="str">
        <f t="shared" si="41"/>
        <v>per measure</v>
      </c>
      <c r="AJ148" s="109">
        <f>'HVAC Deemed Table'!L163</f>
        <v>2</v>
      </c>
      <c r="AK148" s="1501"/>
      <c r="AL148" s="1501"/>
      <c r="AM148" s="1596"/>
      <c r="AO148" s="1595"/>
    </row>
    <row r="149" spans="1:41" x14ac:dyDescent="0.35">
      <c r="A149" s="103" t="str">
        <f t="shared" si="36"/>
        <v>351170</v>
      </c>
      <c r="B149" s="3346" t="str">
        <f>'HVAC Deemed Table'!C164</f>
        <v>351170_2021_12_</v>
      </c>
      <c r="C149" s="3343" t="str">
        <f>'HVAC Deemed Table'!G164</f>
        <v>Cooling RES</v>
      </c>
      <c r="D149" s="3343" t="str">
        <f>'HVAC Deemed Table'!G165</f>
        <v>Cooling RES ER2</v>
      </c>
      <c r="E149" s="3343"/>
      <c r="F149" s="3343"/>
      <c r="G149" s="3343" t="str">
        <f>'HVAC Deemed Table'!E164</f>
        <v>CAC-SEER19_ER1_SF</v>
      </c>
      <c r="H149" s="50" t="str">
        <f>'HVAC Deemed Table'!D164</f>
        <v>SF</v>
      </c>
      <c r="I149" s="1966">
        <f t="shared" si="32"/>
        <v>3353.86</v>
      </c>
      <c r="J149" s="1966">
        <f t="shared" si="33"/>
        <v>1110.54</v>
      </c>
      <c r="K149" s="560">
        <f>'HVAC Deemed Table'!F164</f>
        <v>3353.86</v>
      </c>
      <c r="L149" s="560">
        <v>0</v>
      </c>
      <c r="M149" s="560">
        <f>'HVAC Deemed Table'!F165</f>
        <v>1110.54</v>
      </c>
      <c r="N149" s="560">
        <v>0</v>
      </c>
      <c r="O149" s="1967">
        <f t="shared" si="34"/>
        <v>3.177508</v>
      </c>
      <c r="P149" s="1967">
        <f t="shared" si="35"/>
        <v>1.052146</v>
      </c>
      <c r="Q149" s="1968">
        <f>'HVAC Deemed Table'!I164</f>
        <v>3.177508</v>
      </c>
      <c r="R149" s="1968">
        <v>0</v>
      </c>
      <c r="S149" s="1968">
        <f>'HVAC Deemed Table'!I165</f>
        <v>1.052146</v>
      </c>
      <c r="T149" s="1968">
        <v>0</v>
      </c>
      <c r="U149" s="1969"/>
      <c r="V149" s="1969"/>
      <c r="W149" s="1969">
        <f>P149</f>
        <v>1.052146</v>
      </c>
      <c r="X149" s="55">
        <f>'HVAC Deemed Table'!J164</f>
        <v>6</v>
      </c>
      <c r="Y149" s="55">
        <f>'HVAC Deemed Table'!J165</f>
        <v>12</v>
      </c>
      <c r="Z149" s="55">
        <f t="shared" si="37"/>
        <v>18</v>
      </c>
      <c r="AA149" s="2581">
        <f>'HVAC Deemed Table'!BB164</f>
        <v>2.1200572378322677</v>
      </c>
      <c r="AB149" s="2091">
        <f>'HVAC Deemed Table'!K164</f>
        <v>1676.1097862983729</v>
      </c>
      <c r="AC149" s="2583">
        <f t="shared" si="38"/>
        <v>2125.0459064779002</v>
      </c>
      <c r="AD149" s="2583">
        <f t="shared" si="31"/>
        <v>1228.8461971968145</v>
      </c>
      <c r="AE149" s="571">
        <f>'HVAC Deemed Table'!BD164</f>
        <v>2125.0459064779002</v>
      </c>
      <c r="AF149" s="571"/>
      <c r="AG149" s="571">
        <f>'HVAC Deemed Table'!BD165</f>
        <v>1228.8461971968145</v>
      </c>
      <c r="AH149" s="571"/>
      <c r="AI149" s="2589" t="str">
        <f t="shared" si="41"/>
        <v>per measure</v>
      </c>
      <c r="AJ149" s="109">
        <f>'HVAC Deemed Table'!L164</f>
        <v>4.3133695652173918</v>
      </c>
      <c r="AK149" s="1501"/>
      <c r="AL149" s="1501"/>
      <c r="AM149" s="1596"/>
      <c r="AO149" s="1595"/>
    </row>
    <row r="150" spans="1:41" x14ac:dyDescent="0.35">
      <c r="A150" s="103" t="str">
        <f t="shared" si="36"/>
        <v>351171</v>
      </c>
      <c r="B150" s="3346" t="str">
        <f>'HVAC Deemed Table'!C166</f>
        <v>351171_2021_12_</v>
      </c>
      <c r="C150" s="3343" t="str">
        <f>'HVAC Deemed Table'!G166</f>
        <v>Cooling RES</v>
      </c>
      <c r="D150" s="3343"/>
      <c r="E150" s="3343"/>
      <c r="F150" s="3343"/>
      <c r="G150" s="3343" t="str">
        <f>'HVAC Deemed Table'!E166</f>
        <v>CAC-SEER19_ROF_SF</v>
      </c>
      <c r="H150" s="50" t="str">
        <f>'HVAC Deemed Table'!D166</f>
        <v>SF</v>
      </c>
      <c r="I150" s="1966">
        <f t="shared" si="32"/>
        <v>1117.5899999999999</v>
      </c>
      <c r="J150" s="1966">
        <f t="shared" si="33"/>
        <v>0</v>
      </c>
      <c r="K150" s="560">
        <f>'HVAC Deemed Table'!F166</f>
        <v>1117.5899999999999</v>
      </c>
      <c r="L150" s="560">
        <v>0</v>
      </c>
      <c r="M150" s="560"/>
      <c r="N150" s="560">
        <v>0</v>
      </c>
      <c r="O150" s="1967">
        <f t="shared" si="34"/>
        <v>1.0588249999999999</v>
      </c>
      <c r="P150" s="1967">
        <f t="shared" si="35"/>
        <v>0</v>
      </c>
      <c r="Q150" s="1968">
        <f>'HVAC Deemed Table'!I166</f>
        <v>1.0588249999999999</v>
      </c>
      <c r="R150" s="1968">
        <v>0</v>
      </c>
      <c r="S150" s="1968"/>
      <c r="T150" s="1968">
        <v>0</v>
      </c>
      <c r="U150" s="1969"/>
      <c r="V150" s="1969"/>
      <c r="W150" s="1969">
        <f>Q150</f>
        <v>1.0588249999999999</v>
      </c>
      <c r="X150" s="55">
        <f>'HVAC Deemed Table'!J166</f>
        <v>18</v>
      </c>
      <c r="Y150" s="55"/>
      <c r="Z150" s="55">
        <f t="shared" si="37"/>
        <v>18</v>
      </c>
      <c r="AA150" s="2581">
        <f>'HVAC Deemed Table'!BB166</f>
        <v>1.9940121444292587</v>
      </c>
      <c r="AB150" s="2091">
        <f>'HVAC Deemed Table'!K166</f>
        <v>1033.3333333333328</v>
      </c>
      <c r="AC150" s="2583">
        <f t="shared" si="38"/>
        <v>1944.7656591885159</v>
      </c>
      <c r="AD150" s="2583">
        <f t="shared" si="31"/>
        <v>0</v>
      </c>
      <c r="AE150" s="571">
        <f>'HVAC Deemed Table'!BD166</f>
        <v>1944.7656591885159</v>
      </c>
      <c r="AF150" s="571"/>
      <c r="AG150" s="571"/>
      <c r="AH150" s="571"/>
      <c r="AI150" s="2589" t="str">
        <f t="shared" si="41"/>
        <v>per measure</v>
      </c>
      <c r="AJ150" s="109">
        <f>'HVAC Deemed Table'!L166</f>
        <v>4.3143750000000001</v>
      </c>
      <c r="AK150" s="1501"/>
      <c r="AL150" s="1501"/>
      <c r="AM150" s="1596"/>
      <c r="AO150" s="1595"/>
    </row>
    <row r="151" spans="1:41" x14ac:dyDescent="0.35">
      <c r="A151" s="103" t="str">
        <f t="shared" si="36"/>
        <v>351172</v>
      </c>
      <c r="B151" s="3346" t="str">
        <f>'HVAC Deemed Table'!C167</f>
        <v>351172_2021_12_</v>
      </c>
      <c r="C151" s="3343" t="str">
        <f>'HVAC Deemed Table'!G167</f>
        <v>Cooling RES</v>
      </c>
      <c r="D151" s="3343" t="str">
        <f>'HVAC Deemed Table'!G168</f>
        <v>Cooling RES ER2</v>
      </c>
      <c r="E151" s="3343"/>
      <c r="F151" s="3343"/>
      <c r="G151" s="3343" t="str">
        <f>'HVAC Deemed Table'!E167</f>
        <v>CAC-SEER19_ER1_MF</v>
      </c>
      <c r="H151" s="50" t="str">
        <f>'HVAC Deemed Table'!D167</f>
        <v>MF</v>
      </c>
      <c r="I151" s="1966">
        <f t="shared" si="32"/>
        <v>1403.23</v>
      </c>
      <c r="J151" s="1966">
        <f t="shared" si="33"/>
        <v>505.61</v>
      </c>
      <c r="K151" s="560">
        <f>'HVAC Deemed Table'!F167</f>
        <v>1403.23</v>
      </c>
      <c r="L151" s="560">
        <v>0</v>
      </c>
      <c r="M151" s="560">
        <f>'HVAC Deemed Table'!F168</f>
        <v>505.61</v>
      </c>
      <c r="N151" s="560">
        <v>0</v>
      </c>
      <c r="O151" s="1967">
        <f t="shared" si="34"/>
        <v>1.3294459999999999</v>
      </c>
      <c r="P151" s="1967">
        <f t="shared" si="35"/>
        <v>0.47902400000000001</v>
      </c>
      <c r="Q151" s="1968">
        <f>'HVAC Deemed Table'!I167</f>
        <v>1.3294459999999999</v>
      </c>
      <c r="R151" s="1968">
        <v>0</v>
      </c>
      <c r="S151" s="1968">
        <f>'HVAC Deemed Table'!I168</f>
        <v>0.47902400000000001</v>
      </c>
      <c r="T151" s="1968">
        <v>0</v>
      </c>
      <c r="U151" s="1969"/>
      <c r="V151" s="1969"/>
      <c r="W151" s="1969">
        <f>P151</f>
        <v>0.47902400000000001</v>
      </c>
      <c r="X151" s="55">
        <f>'HVAC Deemed Table'!J167</f>
        <v>6</v>
      </c>
      <c r="Y151" s="55">
        <f>'HVAC Deemed Table'!J168</f>
        <v>12</v>
      </c>
      <c r="Z151" s="55">
        <f t="shared" si="37"/>
        <v>18</v>
      </c>
      <c r="AA151" s="2581">
        <f>'HVAC Deemed Table'!BB167</f>
        <v>1.1527701519904288</v>
      </c>
      <c r="AB151" s="2091">
        <f>'HVAC Deemed Table'!K167</f>
        <v>1331.3724617902726</v>
      </c>
      <c r="AC151" s="2583">
        <f t="shared" si="38"/>
        <v>889.10335176393278</v>
      </c>
      <c r="AD151" s="2583">
        <f t="shared" si="31"/>
        <v>559.47280220854839</v>
      </c>
      <c r="AE151" s="571">
        <f>'HVAC Deemed Table'!BD167</f>
        <v>889.10335176393278</v>
      </c>
      <c r="AF151" s="571"/>
      <c r="AG151" s="571">
        <f>'HVAC Deemed Table'!BD168</f>
        <v>559.47280220854839</v>
      </c>
      <c r="AH151" s="571"/>
      <c r="AI151" s="2589" t="str">
        <f t="shared" si="41"/>
        <v>per measure</v>
      </c>
      <c r="AJ151" s="109">
        <f>'HVAC Deemed Table'!L167</f>
        <v>2</v>
      </c>
      <c r="AK151" s="1501"/>
      <c r="AL151" s="1501"/>
      <c r="AM151" s="1596"/>
      <c r="AO151" s="1595"/>
    </row>
    <row r="152" spans="1:41" x14ac:dyDescent="0.35">
      <c r="A152" s="103" t="str">
        <f t="shared" si="36"/>
        <v>351173</v>
      </c>
      <c r="B152" s="3346" t="str">
        <f>'HVAC Deemed Table'!C169</f>
        <v>351173_2021_12_</v>
      </c>
      <c r="C152" s="3343" t="str">
        <f>'HVAC Deemed Table'!G169</f>
        <v>Cooling RES</v>
      </c>
      <c r="D152" s="3343" t="str">
        <f>'HVAC Deemed Table'!G170</f>
        <v>Cooling RES ER2</v>
      </c>
      <c r="E152" s="3343"/>
      <c r="F152" s="3343"/>
      <c r="G152" s="3343" t="str">
        <f>'HVAC Deemed Table'!E169</f>
        <v>CAC-SEER19_ER1_MF_CompE</v>
      </c>
      <c r="H152" s="50" t="str">
        <f>'HVAC Deemed Table'!D169</f>
        <v>MFc</v>
      </c>
      <c r="I152" s="1966">
        <f t="shared" si="32"/>
        <v>1020.53</v>
      </c>
      <c r="J152" s="1966">
        <f t="shared" si="33"/>
        <v>367.72</v>
      </c>
      <c r="K152" s="560">
        <f>'HVAC Deemed Table'!F169</f>
        <v>1020.53</v>
      </c>
      <c r="L152" s="560">
        <v>0</v>
      </c>
      <c r="M152" s="560">
        <f>'HVAC Deemed Table'!F170</f>
        <v>367.72</v>
      </c>
      <c r="N152" s="560">
        <v>0</v>
      </c>
      <c r="O152" s="1967">
        <f t="shared" si="34"/>
        <v>0.96686899999999998</v>
      </c>
      <c r="P152" s="1967">
        <f t="shared" si="35"/>
        <v>0.348385</v>
      </c>
      <c r="Q152" s="1968">
        <f>'HVAC Deemed Table'!I169</f>
        <v>0.96686899999999998</v>
      </c>
      <c r="R152" s="1968">
        <v>0</v>
      </c>
      <c r="S152" s="1968">
        <f>'HVAC Deemed Table'!I170</f>
        <v>0.348385</v>
      </c>
      <c r="T152" s="1968">
        <v>0</v>
      </c>
      <c r="U152" s="1969"/>
      <c r="V152" s="1969"/>
      <c r="W152" s="1969">
        <f>P152</f>
        <v>0.348385</v>
      </c>
      <c r="X152" s="55">
        <f>'HVAC Deemed Table'!J169</f>
        <v>6</v>
      </c>
      <c r="Y152" s="55">
        <f>'HVAC Deemed Table'!J170</f>
        <v>12</v>
      </c>
      <c r="Z152" s="55">
        <f t="shared" si="37"/>
        <v>18</v>
      </c>
      <c r="AA152" s="2581">
        <f>'HVAC Deemed Table'!BB169</f>
        <v>0.83838103604873238</v>
      </c>
      <c r="AB152" s="2091">
        <f>'HVAC Deemed Table'!K169</f>
        <v>1331.3724617902726</v>
      </c>
      <c r="AC152" s="2583">
        <f t="shared" si="38"/>
        <v>646.62004345377898</v>
      </c>
      <c r="AD152" s="2583">
        <f t="shared" si="31"/>
        <v>406.89333444379548</v>
      </c>
      <c r="AE152" s="571">
        <f>'HVAC Deemed Table'!BD169</f>
        <v>646.62004345377898</v>
      </c>
      <c r="AF152" s="571"/>
      <c r="AG152" s="571">
        <f>'HVAC Deemed Table'!BD170</f>
        <v>406.89333444379548</v>
      </c>
      <c r="AH152" s="571"/>
      <c r="AI152" s="2589" t="str">
        <f t="shared" si="41"/>
        <v>per measure</v>
      </c>
      <c r="AJ152" s="109">
        <f>'HVAC Deemed Table'!L169</f>
        <v>2</v>
      </c>
      <c r="AK152" s="1501"/>
      <c r="AL152" s="1501"/>
      <c r="AM152" s="1596"/>
      <c r="AO152" s="1595"/>
    </row>
    <row r="153" spans="1:41" x14ac:dyDescent="0.35">
      <c r="A153" s="103" t="str">
        <f t="shared" si="36"/>
        <v>351174</v>
      </c>
      <c r="B153" s="3346" t="str">
        <f>'HVAC Deemed Table'!C171</f>
        <v>351174_2021_12_</v>
      </c>
      <c r="C153" s="3343" t="str">
        <f>'HVAC Deemed Table'!G171</f>
        <v>Cooling RES</v>
      </c>
      <c r="D153" s="3343"/>
      <c r="E153" s="3343"/>
      <c r="F153" s="3343"/>
      <c r="G153" s="3343" t="str">
        <f>'HVAC Deemed Table'!E171</f>
        <v>CAC-SEER19_ROF_MF</v>
      </c>
      <c r="H153" s="50" t="str">
        <f>'HVAC Deemed Table'!D171</f>
        <v>MF</v>
      </c>
      <c r="I153" s="1966">
        <f t="shared" si="32"/>
        <v>505.61</v>
      </c>
      <c r="J153" s="1966">
        <f t="shared" si="33"/>
        <v>0</v>
      </c>
      <c r="K153" s="560">
        <f>'HVAC Deemed Table'!F171</f>
        <v>505.61</v>
      </c>
      <c r="L153" s="560">
        <v>0</v>
      </c>
      <c r="M153" s="560"/>
      <c r="N153" s="560">
        <v>0</v>
      </c>
      <c r="O153" s="1967">
        <f t="shared" si="34"/>
        <v>0.47902400000000001</v>
      </c>
      <c r="P153" s="1967">
        <f t="shared" si="35"/>
        <v>0</v>
      </c>
      <c r="Q153" s="1968">
        <f>'HVAC Deemed Table'!I171</f>
        <v>0.47902400000000001</v>
      </c>
      <c r="R153" s="1968">
        <v>0</v>
      </c>
      <c r="S153" s="1968"/>
      <c r="T153" s="1968">
        <v>0</v>
      </c>
      <c r="U153" s="1969"/>
      <c r="V153" s="1969"/>
      <c r="W153" s="1969">
        <f>Q153</f>
        <v>0.47902400000000001</v>
      </c>
      <c r="X153" s="55">
        <f>'HVAC Deemed Table'!J171</f>
        <v>18</v>
      </c>
      <c r="Y153" s="55"/>
      <c r="Z153" s="55">
        <f t="shared" si="37"/>
        <v>18</v>
      </c>
      <c r="AA153" s="2581">
        <f>'HVAC Deemed Table'!BB171</f>
        <v>0.90211301134125887</v>
      </c>
      <c r="AB153" s="2091">
        <f>'HVAC Deemed Table'!K171</f>
        <v>1033.3333333333328</v>
      </c>
      <c r="AC153" s="2583">
        <f t="shared" si="38"/>
        <v>879.8333601251851</v>
      </c>
      <c r="AD153" s="2583">
        <f t="shared" si="31"/>
        <v>0</v>
      </c>
      <c r="AE153" s="571">
        <f>'HVAC Deemed Table'!BD171</f>
        <v>879.8333601251851</v>
      </c>
      <c r="AF153" s="571"/>
      <c r="AG153" s="571"/>
      <c r="AH153" s="571"/>
      <c r="AI153" s="2589" t="str">
        <f t="shared" si="41"/>
        <v>per measure</v>
      </c>
      <c r="AJ153" s="109">
        <f>'HVAC Deemed Table'!L171</f>
        <v>2</v>
      </c>
      <c r="AK153" s="1501"/>
      <c r="AL153" s="1501"/>
      <c r="AM153" s="1596"/>
      <c r="AO153" s="1595"/>
    </row>
    <row r="154" spans="1:41" x14ac:dyDescent="0.35">
      <c r="A154" s="103" t="str">
        <f t="shared" si="36"/>
        <v>351175</v>
      </c>
      <c r="B154" s="3346" t="str">
        <f>'HVAC Deemed Table'!C172</f>
        <v>351175_2021_12_</v>
      </c>
      <c r="C154" s="3343" t="str">
        <f>'HVAC Deemed Table'!G172</f>
        <v>Cooling RES</v>
      </c>
      <c r="D154" s="3343"/>
      <c r="E154" s="3343"/>
      <c r="F154" s="3343"/>
      <c r="G154" s="3343" t="str">
        <f>'HVAC Deemed Table'!E172</f>
        <v>CAC-SEER19_ROF_MF_CompE</v>
      </c>
      <c r="H154" s="50" t="str">
        <f>'HVAC Deemed Table'!D172</f>
        <v>MFc</v>
      </c>
      <c r="I154" s="1966">
        <f t="shared" si="32"/>
        <v>367.72</v>
      </c>
      <c r="J154" s="1966">
        <f t="shared" si="33"/>
        <v>0</v>
      </c>
      <c r="K154" s="560">
        <f>'HVAC Deemed Table'!F172</f>
        <v>367.72</v>
      </c>
      <c r="L154" s="560">
        <v>0</v>
      </c>
      <c r="M154" s="560"/>
      <c r="N154" s="560">
        <v>0</v>
      </c>
      <c r="O154" s="1967">
        <f t="shared" si="34"/>
        <v>0.348385</v>
      </c>
      <c r="P154" s="1967">
        <f t="shared" si="35"/>
        <v>0</v>
      </c>
      <c r="Q154" s="1968">
        <f>'HVAC Deemed Table'!I172</f>
        <v>0.348385</v>
      </c>
      <c r="R154" s="1968">
        <v>0</v>
      </c>
      <c r="S154" s="1968"/>
      <c r="T154" s="1968">
        <v>0</v>
      </c>
      <c r="U154" s="1969"/>
      <c r="V154" s="1969"/>
      <c r="W154" s="1969">
        <f>Q154</f>
        <v>0.348385</v>
      </c>
      <c r="X154" s="55">
        <f>'HVAC Deemed Table'!J172</f>
        <v>18</v>
      </c>
      <c r="Y154" s="55"/>
      <c r="Z154" s="55">
        <f t="shared" si="37"/>
        <v>18</v>
      </c>
      <c r="AA154" s="2581">
        <f>'HVAC Deemed Table'!BB172</f>
        <v>0.6560886780926164</v>
      </c>
      <c r="AB154" s="2091">
        <f>'HVAC Deemed Table'!K172</f>
        <v>1033.3333333333328</v>
      </c>
      <c r="AC154" s="2583">
        <f t="shared" si="38"/>
        <v>639.88513515403793</v>
      </c>
      <c r="AD154" s="2583">
        <f t="shared" si="31"/>
        <v>0</v>
      </c>
      <c r="AE154" s="571">
        <f>'HVAC Deemed Table'!BD172</f>
        <v>639.88513515403793</v>
      </c>
      <c r="AF154" s="571"/>
      <c r="AG154" s="571"/>
      <c r="AH154" s="571"/>
      <c r="AI154" s="2589" t="str">
        <f t="shared" si="41"/>
        <v>per measure</v>
      </c>
      <c r="AJ154" s="109">
        <f>'HVAC Deemed Table'!L172</f>
        <v>2</v>
      </c>
      <c r="AK154" s="1501"/>
      <c r="AL154" s="1501"/>
      <c r="AM154" s="1596"/>
      <c r="AO154" s="1595"/>
    </row>
    <row r="155" spans="1:41" x14ac:dyDescent="0.35">
      <c r="A155" s="103" t="str">
        <f t="shared" si="36"/>
        <v>351180</v>
      </c>
      <c r="B155" s="3346" t="str">
        <f>'HVAC Deemed Table'!C173</f>
        <v>351180_2021_12_</v>
      </c>
      <c r="C155" s="3343" t="str">
        <f>'HVAC Deemed Table'!G173</f>
        <v>Cooling RES</v>
      </c>
      <c r="D155" s="3343" t="str">
        <f>'HVAC Deemed Table'!G174</f>
        <v>Cooling RES ER2</v>
      </c>
      <c r="E155" s="3343"/>
      <c r="F155" s="3343"/>
      <c r="G155" s="3343" t="str">
        <f>'HVAC Deemed Table'!E173</f>
        <v>CAC-SEER20_ER1_SF</v>
      </c>
      <c r="H155" s="50" t="str">
        <f>'HVAC Deemed Table'!D173</f>
        <v>SF</v>
      </c>
      <c r="I155" s="1966">
        <f t="shared" si="32"/>
        <v>2895.68</v>
      </c>
      <c r="J155" s="1966">
        <f t="shared" si="33"/>
        <v>967.28</v>
      </c>
      <c r="K155" s="560">
        <f>'HVAC Deemed Table'!F173</f>
        <v>2895.68</v>
      </c>
      <c r="L155" s="560">
        <v>0</v>
      </c>
      <c r="M155" s="560">
        <f>'HVAC Deemed Table'!F174</f>
        <v>967.28</v>
      </c>
      <c r="N155" s="560">
        <v>0</v>
      </c>
      <c r="O155" s="1967">
        <f t="shared" si="34"/>
        <v>2.74342</v>
      </c>
      <c r="P155" s="1967">
        <f t="shared" si="35"/>
        <v>0.91641899999999998</v>
      </c>
      <c r="Q155" s="1968">
        <f>'HVAC Deemed Table'!I173</f>
        <v>2.74342</v>
      </c>
      <c r="R155" s="1968">
        <v>0</v>
      </c>
      <c r="S155" s="1968">
        <f>'HVAC Deemed Table'!I174</f>
        <v>0.91641899999999998</v>
      </c>
      <c r="T155" s="1968">
        <v>0</v>
      </c>
      <c r="U155" s="1969"/>
      <c r="V155" s="1969"/>
      <c r="W155" s="1969">
        <f>P155</f>
        <v>0.91641899999999998</v>
      </c>
      <c r="X155" s="55">
        <f>'HVAC Deemed Table'!J173</f>
        <v>6</v>
      </c>
      <c r="Y155" s="55">
        <f>'HVAC Deemed Table'!J174</f>
        <v>12</v>
      </c>
      <c r="Z155" s="55">
        <f t="shared" si="37"/>
        <v>18</v>
      </c>
      <c r="AA155" s="2581">
        <f>'HVAC Deemed Table'!BB173</f>
        <v>1.7607809711599254</v>
      </c>
      <c r="AB155" s="2091">
        <f>'HVAC Deemed Table'!K173</f>
        <v>1748.0387848675346</v>
      </c>
      <c r="AC155" s="2583">
        <f t="shared" si="38"/>
        <v>1834.7375652143874</v>
      </c>
      <c r="AD155" s="2583">
        <f t="shared" si="31"/>
        <v>1070.3246615381117</v>
      </c>
      <c r="AE155" s="571">
        <f>'HVAC Deemed Table'!BD173</f>
        <v>1834.7375652143874</v>
      </c>
      <c r="AF155" s="571"/>
      <c r="AG155" s="571">
        <f>'HVAC Deemed Table'!BD174</f>
        <v>1070.3246615381117</v>
      </c>
      <c r="AH155" s="571"/>
      <c r="AI155" s="2589" t="str">
        <f t="shared" si="41"/>
        <v>per measure</v>
      </c>
      <c r="AJ155" s="109">
        <f>'HVAC Deemed Table'!L173</f>
        <v>3.4092086330935252</v>
      </c>
      <c r="AK155" s="1501"/>
      <c r="AL155" s="1501"/>
      <c r="AM155" s="1596"/>
      <c r="AO155" s="1595"/>
    </row>
    <row r="156" spans="1:41" x14ac:dyDescent="0.35">
      <c r="A156" s="103" t="str">
        <f t="shared" si="36"/>
        <v>351181</v>
      </c>
      <c r="B156" s="3346" t="str">
        <f>'HVAC Deemed Table'!C175</f>
        <v>351181_2021_12_</v>
      </c>
      <c r="C156" s="3343" t="str">
        <f>'HVAC Deemed Table'!G175</f>
        <v>Cooling RES</v>
      </c>
      <c r="D156" s="3343"/>
      <c r="E156" s="3343"/>
      <c r="F156" s="3343"/>
      <c r="G156" s="3343" t="str">
        <f>'HVAC Deemed Table'!E175</f>
        <v>CAC-SEER20_ROF_SF</v>
      </c>
      <c r="H156" s="50" t="str">
        <f>'HVAC Deemed Table'!D175</f>
        <v>SF</v>
      </c>
      <c r="I156" s="1966">
        <f t="shared" si="32"/>
        <v>951.42</v>
      </c>
      <c r="J156" s="1966">
        <f t="shared" si="33"/>
        <v>0</v>
      </c>
      <c r="K156" s="560">
        <f>'HVAC Deemed Table'!F175</f>
        <v>951.42</v>
      </c>
      <c r="L156" s="560">
        <v>0</v>
      </c>
      <c r="M156" s="560"/>
      <c r="N156" s="560">
        <v>0</v>
      </c>
      <c r="O156" s="1967">
        <f t="shared" si="34"/>
        <v>0.901393</v>
      </c>
      <c r="P156" s="1967">
        <f t="shared" si="35"/>
        <v>0</v>
      </c>
      <c r="Q156" s="1968">
        <f>'HVAC Deemed Table'!I175</f>
        <v>0.901393</v>
      </c>
      <c r="R156" s="1968">
        <v>0</v>
      </c>
      <c r="S156" s="1968"/>
      <c r="T156" s="1968">
        <v>0</v>
      </c>
      <c r="U156" s="1969"/>
      <c r="V156" s="1969"/>
      <c r="W156" s="1969">
        <f>Q156</f>
        <v>0.901393</v>
      </c>
      <c r="X156" s="55">
        <f>'HVAC Deemed Table'!J175</f>
        <v>18</v>
      </c>
      <c r="Y156" s="55"/>
      <c r="Z156" s="55">
        <f t="shared" si="37"/>
        <v>18</v>
      </c>
      <c r="AA156" s="2581">
        <f>'HVAC Deemed Table'!BB175</f>
        <v>1.4146086925533849</v>
      </c>
      <c r="AB156" s="2091">
        <f>'HVAC Deemed Table'!K175</f>
        <v>1239.9999999999995</v>
      </c>
      <c r="AC156" s="2583">
        <f t="shared" si="38"/>
        <v>1655.6062093121252</v>
      </c>
      <c r="AD156" s="2583">
        <f t="shared" si="31"/>
        <v>0</v>
      </c>
      <c r="AE156" s="571">
        <f>'HVAC Deemed Table'!BD175</f>
        <v>1655.6062093121252</v>
      </c>
      <c r="AF156" s="571"/>
      <c r="AG156" s="571"/>
      <c r="AH156" s="571"/>
      <c r="AI156" s="2589" t="str">
        <f t="shared" si="41"/>
        <v>per measure</v>
      </c>
      <c r="AJ156" s="109">
        <f>'HVAC Deemed Table'!L175</f>
        <v>3.3611111111111112</v>
      </c>
      <c r="AK156" s="1501"/>
      <c r="AL156" s="1501"/>
      <c r="AM156" s="1596"/>
      <c r="AO156" s="1595"/>
    </row>
    <row r="157" spans="1:41" x14ac:dyDescent="0.35">
      <c r="A157" s="103" t="str">
        <f t="shared" si="36"/>
        <v>351182</v>
      </c>
      <c r="B157" s="3346" t="str">
        <f>'HVAC Deemed Table'!C176</f>
        <v>351182_2021_12_</v>
      </c>
      <c r="C157" s="3343" t="str">
        <f>'HVAC Deemed Table'!G176</f>
        <v>Cooling RES</v>
      </c>
      <c r="D157" s="3343" t="str">
        <f>'HVAC Deemed Table'!G177</f>
        <v>Cooling RES ER2</v>
      </c>
      <c r="E157" s="3343"/>
      <c r="F157" s="3343"/>
      <c r="G157" s="3343" t="str">
        <f>'HVAC Deemed Table'!E176</f>
        <v>CAC-SEER20_ER1_MF</v>
      </c>
      <c r="H157" s="50" t="str">
        <f>'HVAC Deemed Table'!D176</f>
        <v>MF</v>
      </c>
      <c r="I157" s="1966">
        <f t="shared" si="32"/>
        <v>1436.44</v>
      </c>
      <c r="J157" s="1966">
        <f t="shared" si="33"/>
        <v>560.38</v>
      </c>
      <c r="K157" s="560">
        <f>'HVAC Deemed Table'!F176</f>
        <v>1436.44</v>
      </c>
      <c r="L157" s="560">
        <v>0</v>
      </c>
      <c r="M157" s="560">
        <f>'HVAC Deemed Table'!F177</f>
        <v>560.38</v>
      </c>
      <c r="N157" s="560">
        <v>0</v>
      </c>
      <c r="O157" s="1967">
        <f t="shared" si="34"/>
        <v>1.3609089999999999</v>
      </c>
      <c r="P157" s="1967">
        <f t="shared" si="35"/>
        <v>0.530914</v>
      </c>
      <c r="Q157" s="1968">
        <f>'HVAC Deemed Table'!I176</f>
        <v>1.3609089999999999</v>
      </c>
      <c r="R157" s="1968">
        <v>0</v>
      </c>
      <c r="S157" s="1968">
        <f>'HVAC Deemed Table'!I177</f>
        <v>0.530914</v>
      </c>
      <c r="T157" s="1968">
        <v>0</v>
      </c>
      <c r="U157" s="1969"/>
      <c r="V157" s="1969"/>
      <c r="W157" s="1969">
        <f>P157</f>
        <v>0.530914</v>
      </c>
      <c r="X157" s="55">
        <f>'HVAC Deemed Table'!J176</f>
        <v>6</v>
      </c>
      <c r="Y157" s="55">
        <f>'HVAC Deemed Table'!J177</f>
        <v>12</v>
      </c>
      <c r="Z157" s="55">
        <f t="shared" si="37"/>
        <v>18</v>
      </c>
      <c r="AA157" s="2581">
        <f>'HVAC Deemed Table'!BB176</f>
        <v>1.0541158007442186</v>
      </c>
      <c r="AB157" s="2091">
        <f>'HVAC Deemed Table'!K176</f>
        <v>1538.0391284569391</v>
      </c>
      <c r="AC157" s="2583">
        <f t="shared" si="38"/>
        <v>910.14560592902342</v>
      </c>
      <c r="AD157" s="2583">
        <f t="shared" si="31"/>
        <v>620.07746860549901</v>
      </c>
      <c r="AE157" s="571">
        <f>'HVAC Deemed Table'!BD176</f>
        <v>910.14560592902342</v>
      </c>
      <c r="AF157" s="571"/>
      <c r="AG157" s="571">
        <f>'HVAC Deemed Table'!BD177</f>
        <v>620.07746860549901</v>
      </c>
      <c r="AH157" s="571"/>
      <c r="AI157" s="2589" t="str">
        <f t="shared" si="41"/>
        <v>per measure</v>
      </c>
      <c r="AJ157" s="109">
        <f>'HVAC Deemed Table'!L176</f>
        <v>2</v>
      </c>
      <c r="AK157" s="1501"/>
      <c r="AL157" s="1501"/>
      <c r="AM157" s="1596"/>
      <c r="AO157" s="1595"/>
    </row>
    <row r="158" spans="1:41" x14ac:dyDescent="0.35">
      <c r="A158" s="103" t="str">
        <f t="shared" si="36"/>
        <v>351183</v>
      </c>
      <c r="B158" s="3346" t="str">
        <f>'HVAC Deemed Table'!C178</f>
        <v>351183_2021_12_</v>
      </c>
      <c r="C158" s="3343" t="str">
        <f>'HVAC Deemed Table'!G178</f>
        <v>Cooling RES</v>
      </c>
      <c r="D158" s="3343" t="str">
        <f>'HVAC Deemed Table'!G179</f>
        <v>Cooling RES ER2</v>
      </c>
      <c r="E158" s="3343"/>
      <c r="F158" s="3343"/>
      <c r="G158" s="3343" t="str">
        <f>'HVAC Deemed Table'!E178</f>
        <v>CAC-SEER20_ER1_MF_CompE</v>
      </c>
      <c r="H158" s="50" t="str">
        <f>'HVAC Deemed Table'!D178</f>
        <v>MFc</v>
      </c>
      <c r="I158" s="1966">
        <f t="shared" si="32"/>
        <v>1060.3599999999999</v>
      </c>
      <c r="J158" s="1966">
        <f t="shared" si="33"/>
        <v>407.55</v>
      </c>
      <c r="K158" s="560">
        <f>'HVAC Deemed Table'!F178</f>
        <v>1060.3599999999999</v>
      </c>
      <c r="L158" s="560">
        <v>0</v>
      </c>
      <c r="M158" s="560">
        <f>'HVAC Deemed Table'!F179</f>
        <v>407.55</v>
      </c>
      <c r="N158" s="560">
        <v>0</v>
      </c>
      <c r="O158" s="1967">
        <f t="shared" si="34"/>
        <v>1.0046040000000001</v>
      </c>
      <c r="P158" s="1967">
        <f t="shared" si="35"/>
        <v>0.38612000000000002</v>
      </c>
      <c r="Q158" s="1968">
        <f>'HVAC Deemed Table'!I178</f>
        <v>1.0046040000000001</v>
      </c>
      <c r="R158" s="1968">
        <v>0</v>
      </c>
      <c r="S158" s="1968">
        <f>'HVAC Deemed Table'!I179</f>
        <v>0.38612000000000002</v>
      </c>
      <c r="T158" s="1968">
        <v>0</v>
      </c>
      <c r="U158" s="1969"/>
      <c r="V158" s="1969"/>
      <c r="W158" s="1969">
        <f>P158</f>
        <v>0.38612000000000002</v>
      </c>
      <c r="X158" s="55">
        <f>'HVAC Deemed Table'!J178</f>
        <v>6</v>
      </c>
      <c r="Y158" s="55">
        <f>'HVAC Deemed Table'!J179</f>
        <v>12</v>
      </c>
      <c r="Z158" s="55">
        <f t="shared" si="37"/>
        <v>18</v>
      </c>
      <c r="AA158" s="2581">
        <f>'HVAC Deemed Table'!BB178</f>
        <v>0.77347266906424528</v>
      </c>
      <c r="AB158" s="2091">
        <f>'HVAC Deemed Table'!K178</f>
        <v>1538.0391284569391</v>
      </c>
      <c r="AC158" s="2583">
        <f t="shared" si="38"/>
        <v>671.85680898812291</v>
      </c>
      <c r="AD158" s="2583">
        <f t="shared" si="31"/>
        <v>450.96643764975755</v>
      </c>
      <c r="AE158" s="571">
        <f>'HVAC Deemed Table'!BD178</f>
        <v>671.85680898812291</v>
      </c>
      <c r="AF158" s="571"/>
      <c r="AG158" s="571">
        <f>'HVAC Deemed Table'!BD179</f>
        <v>450.96643764975755</v>
      </c>
      <c r="AH158" s="571"/>
      <c r="AI158" s="2589" t="str">
        <f t="shared" si="41"/>
        <v>per measure</v>
      </c>
      <c r="AJ158" s="109">
        <f>'HVAC Deemed Table'!L178</f>
        <v>2</v>
      </c>
      <c r="AK158" s="1501"/>
      <c r="AL158" s="1501"/>
      <c r="AM158" s="1596"/>
      <c r="AO158" s="1595"/>
    </row>
    <row r="159" spans="1:41" x14ac:dyDescent="0.35">
      <c r="A159" s="103" t="str">
        <f t="shared" si="36"/>
        <v>351184</v>
      </c>
      <c r="B159" s="3346" t="str">
        <f>'HVAC Deemed Table'!C180</f>
        <v>351184_2021_12_</v>
      </c>
      <c r="C159" s="3343" t="str">
        <f>'HVAC Deemed Table'!G180</f>
        <v>Cooling RES</v>
      </c>
      <c r="D159" s="3343"/>
      <c r="E159" s="3343"/>
      <c r="F159" s="3343"/>
      <c r="G159" s="3343" t="str">
        <f>'HVAC Deemed Table'!E180</f>
        <v>CAC-SEER20_ROF_MF</v>
      </c>
      <c r="H159" s="50" t="str">
        <f>'HVAC Deemed Table'!D180</f>
        <v>MF</v>
      </c>
      <c r="I159" s="1966">
        <f t="shared" si="32"/>
        <v>560.38</v>
      </c>
      <c r="J159" s="1966">
        <f t="shared" si="33"/>
        <v>0</v>
      </c>
      <c r="K159" s="560">
        <f>'HVAC Deemed Table'!F180</f>
        <v>560.38</v>
      </c>
      <c r="L159" s="560">
        <v>0</v>
      </c>
      <c r="M159" s="560"/>
      <c r="N159" s="560">
        <v>0</v>
      </c>
      <c r="O159" s="1967">
        <f t="shared" si="34"/>
        <v>0.530914</v>
      </c>
      <c r="P159" s="1967">
        <f t="shared" si="35"/>
        <v>0</v>
      </c>
      <c r="Q159" s="1968">
        <f>'HVAC Deemed Table'!I180</f>
        <v>0.530914</v>
      </c>
      <c r="R159" s="1968">
        <v>0</v>
      </c>
      <c r="S159" s="1968"/>
      <c r="T159" s="1968">
        <v>0</v>
      </c>
      <c r="U159" s="1969"/>
      <c r="V159" s="1969"/>
      <c r="W159" s="1969">
        <f>Q159</f>
        <v>0.530914</v>
      </c>
      <c r="X159" s="55">
        <f>'HVAC Deemed Table'!J180</f>
        <v>18</v>
      </c>
      <c r="Y159" s="55"/>
      <c r="Z159" s="55">
        <f t="shared" si="37"/>
        <v>18</v>
      </c>
      <c r="AA159" s="2581">
        <f>'HVAC Deemed Table'!BB180</f>
        <v>0.83319503387890292</v>
      </c>
      <c r="AB159" s="2091">
        <f>'HVAC Deemed Table'!K180</f>
        <v>1239.9999999999995</v>
      </c>
      <c r="AC159" s="2583">
        <f t="shared" si="38"/>
        <v>975.14095517681858</v>
      </c>
      <c r="AD159" s="2583">
        <f t="shared" si="31"/>
        <v>0</v>
      </c>
      <c r="AE159" s="571">
        <f>'HVAC Deemed Table'!BD180</f>
        <v>975.14095517681858</v>
      </c>
      <c r="AF159" s="571"/>
      <c r="AG159" s="571"/>
      <c r="AH159" s="571"/>
      <c r="AI159" s="2589" t="str">
        <f t="shared" si="41"/>
        <v>per measure</v>
      </c>
      <c r="AJ159" s="109">
        <f>'HVAC Deemed Table'!L180</f>
        <v>2</v>
      </c>
      <c r="AK159" s="1501"/>
      <c r="AL159" s="1501"/>
      <c r="AM159" s="1596"/>
      <c r="AO159" s="1595"/>
    </row>
    <row r="160" spans="1:41" x14ac:dyDescent="0.35">
      <c r="A160" s="103" t="str">
        <f t="shared" si="36"/>
        <v>351185</v>
      </c>
      <c r="B160" s="3346" t="str">
        <f>'HVAC Deemed Table'!C181</f>
        <v>351185_2021_12_</v>
      </c>
      <c r="C160" s="3343" t="str">
        <f>'HVAC Deemed Table'!G181</f>
        <v>Cooling RES</v>
      </c>
      <c r="D160" s="3343"/>
      <c r="E160" s="3343"/>
      <c r="F160" s="3343"/>
      <c r="G160" s="3343" t="str">
        <f>'HVAC Deemed Table'!E181</f>
        <v>CAC-SEER20_ROF_MF_CompE</v>
      </c>
      <c r="H160" s="50" t="str">
        <f>'HVAC Deemed Table'!D181</f>
        <v>MFc</v>
      </c>
      <c r="I160" s="1966">
        <f t="shared" si="32"/>
        <v>407.55</v>
      </c>
      <c r="J160" s="1966">
        <f t="shared" si="33"/>
        <v>0</v>
      </c>
      <c r="K160" s="560">
        <f>'HVAC Deemed Table'!F181</f>
        <v>407.55</v>
      </c>
      <c r="L160" s="560">
        <v>0</v>
      </c>
      <c r="M160" s="560"/>
      <c r="N160" s="560">
        <v>0</v>
      </c>
      <c r="O160" s="1967">
        <f t="shared" si="34"/>
        <v>0.38612000000000002</v>
      </c>
      <c r="P160" s="1967">
        <f t="shared" si="35"/>
        <v>0</v>
      </c>
      <c r="Q160" s="1968">
        <f>'HVAC Deemed Table'!I181</f>
        <v>0.38612000000000002</v>
      </c>
      <c r="R160" s="1968">
        <v>0</v>
      </c>
      <c r="S160" s="1968"/>
      <c r="T160" s="1968">
        <v>0</v>
      </c>
      <c r="U160" s="1969"/>
      <c r="V160" s="1969"/>
      <c r="W160" s="1969">
        <f>Q160</f>
        <v>0.38612000000000002</v>
      </c>
      <c r="X160" s="55">
        <f>'HVAC Deemed Table'!J181</f>
        <v>18</v>
      </c>
      <c r="Y160" s="55"/>
      <c r="Z160" s="55">
        <f t="shared" si="37"/>
        <v>18</v>
      </c>
      <c r="AA160" s="2581">
        <f>'HVAC Deemed Table'!BB181</f>
        <v>0.60596137631133673</v>
      </c>
      <c r="AB160" s="2091">
        <f>'HVAC Deemed Table'!K181</f>
        <v>1239.9999999999995</v>
      </c>
      <c r="AC160" s="2583">
        <f t="shared" si="38"/>
        <v>709.19500389434381</v>
      </c>
      <c r="AD160" s="2583">
        <f t="shared" si="31"/>
        <v>0</v>
      </c>
      <c r="AE160" s="571">
        <f>'HVAC Deemed Table'!BD181</f>
        <v>709.19500389434381</v>
      </c>
      <c r="AF160" s="571"/>
      <c r="AG160" s="571"/>
      <c r="AH160" s="571"/>
      <c r="AI160" s="2589" t="str">
        <f t="shared" si="41"/>
        <v>per measure</v>
      </c>
      <c r="AJ160" s="109">
        <f>'HVAC Deemed Table'!L181</f>
        <v>2</v>
      </c>
      <c r="AK160" s="1501"/>
      <c r="AL160" s="1501"/>
      <c r="AM160" s="1596"/>
      <c r="AO160" s="1595"/>
    </row>
    <row r="161" spans="1:41" x14ac:dyDescent="0.35">
      <c r="A161" s="103" t="str">
        <f t="shared" si="36"/>
        <v>351190</v>
      </c>
      <c r="B161" s="3346" t="str">
        <f>'HVAC Deemed Table'!C182</f>
        <v>351190_2021_12_</v>
      </c>
      <c r="C161" s="3343" t="str">
        <f>'HVAC Deemed Table'!G182</f>
        <v>Cooling RES</v>
      </c>
      <c r="D161" s="3343" t="str">
        <f>'HVAC Deemed Table'!G183</f>
        <v>Cooling RES ER2</v>
      </c>
      <c r="E161" s="3343"/>
      <c r="F161" s="3343"/>
      <c r="G161" s="3343" t="str">
        <f>'HVAC Deemed Table'!E182</f>
        <v>CAC-SEER21+_ER1_SF</v>
      </c>
      <c r="H161" s="50" t="str">
        <f>'HVAC Deemed Table'!D182</f>
        <v>SF</v>
      </c>
      <c r="I161" s="1966">
        <f t="shared" si="32"/>
        <v>2849.43</v>
      </c>
      <c r="J161" s="1966">
        <f t="shared" si="33"/>
        <v>1055.1400000000001</v>
      </c>
      <c r="K161" s="560">
        <f>'HVAC Deemed Table'!F182</f>
        <v>2849.43</v>
      </c>
      <c r="L161" s="560">
        <v>0</v>
      </c>
      <c r="M161" s="560">
        <f>'HVAC Deemed Table'!F183</f>
        <v>1055.1400000000001</v>
      </c>
      <c r="N161" s="560">
        <v>0</v>
      </c>
      <c r="O161" s="1967">
        <f t="shared" si="34"/>
        <v>2.6996020000000001</v>
      </c>
      <c r="P161" s="1967">
        <f t="shared" si="35"/>
        <v>0.99965899999999996</v>
      </c>
      <c r="Q161" s="1968">
        <f>'HVAC Deemed Table'!I182</f>
        <v>2.6996020000000001</v>
      </c>
      <c r="R161" s="1968">
        <v>0</v>
      </c>
      <c r="S161" s="1968">
        <f>'HVAC Deemed Table'!I183</f>
        <v>0.99965899999999996</v>
      </c>
      <c r="T161" s="1968">
        <v>0</v>
      </c>
      <c r="U161" s="1969"/>
      <c r="V161" s="1969"/>
      <c r="W161" s="1969">
        <f>P161</f>
        <v>0.99965899999999996</v>
      </c>
      <c r="X161" s="55">
        <f>'HVAC Deemed Table'!J182</f>
        <v>6</v>
      </c>
      <c r="Y161" s="55">
        <f>'HVAC Deemed Table'!J183</f>
        <v>12</v>
      </c>
      <c r="Z161" s="55">
        <f t="shared" si="37"/>
        <v>18</v>
      </c>
      <c r="AA161" s="2581">
        <f>'HVAC Deemed Table'!BB182</f>
        <v>1.6327574603449879</v>
      </c>
      <c r="AB161" s="2091">
        <f>'HVAC Deemed Table'!K182</f>
        <v>1929.1717605520521</v>
      </c>
      <c r="AC161" s="2583">
        <f t="shared" si="38"/>
        <v>1805.4330107086528</v>
      </c>
      <c r="AD161" s="2583">
        <f t="shared" si="31"/>
        <v>1167.5444166894006</v>
      </c>
      <c r="AE161" s="571">
        <f>'HVAC Deemed Table'!BD182</f>
        <v>1805.4330107086528</v>
      </c>
      <c r="AF161" s="571"/>
      <c r="AG161" s="571">
        <f>'HVAC Deemed Table'!BD183</f>
        <v>1167.5444166894006</v>
      </c>
      <c r="AH161" s="571"/>
      <c r="AI161" s="2589" t="str">
        <f t="shared" si="41"/>
        <v>per measure</v>
      </c>
      <c r="AJ161" s="109">
        <f>'HVAC Deemed Table'!L182</f>
        <v>3.237864077669903</v>
      </c>
      <c r="AK161" s="1501"/>
      <c r="AL161" s="1501"/>
      <c r="AM161" s="1596"/>
      <c r="AO161" s="1595"/>
    </row>
    <row r="162" spans="1:41" x14ac:dyDescent="0.35">
      <c r="A162" s="103" t="str">
        <f t="shared" si="36"/>
        <v>351191</v>
      </c>
      <c r="B162" s="3346" t="str">
        <f>'HVAC Deemed Table'!C184</f>
        <v>351191_2021_12_</v>
      </c>
      <c r="C162" s="3343" t="str">
        <f>'HVAC Deemed Table'!G184</f>
        <v>Cooling RES</v>
      </c>
      <c r="D162" s="3343"/>
      <c r="E162" s="3343"/>
      <c r="F162" s="3343"/>
      <c r="G162" s="3343" t="str">
        <f>'HVAC Deemed Table'!E184</f>
        <v>CAC-SEER21+_ROF_SF</v>
      </c>
      <c r="H162" s="50" t="str">
        <f>'HVAC Deemed Table'!D184</f>
        <v>SF</v>
      </c>
      <c r="I162" s="1966">
        <f t="shared" si="32"/>
        <v>1069.17</v>
      </c>
      <c r="J162" s="1966">
        <f t="shared" si="33"/>
        <v>0</v>
      </c>
      <c r="K162" s="560">
        <f>'HVAC Deemed Table'!F184</f>
        <v>1069.17</v>
      </c>
      <c r="L162" s="560">
        <v>0</v>
      </c>
      <c r="M162" s="560"/>
      <c r="N162" s="560">
        <v>0</v>
      </c>
      <c r="O162" s="1967">
        <f t="shared" si="34"/>
        <v>1.0129509999999999</v>
      </c>
      <c r="P162" s="1967">
        <f t="shared" si="35"/>
        <v>0</v>
      </c>
      <c r="Q162" s="1968">
        <f>'HVAC Deemed Table'!I184</f>
        <v>1.0129509999999999</v>
      </c>
      <c r="R162" s="1968">
        <v>0</v>
      </c>
      <c r="S162" s="1968"/>
      <c r="T162" s="1968">
        <v>0</v>
      </c>
      <c r="U162" s="1969"/>
      <c r="V162" s="1969"/>
      <c r="W162" s="1969">
        <f>Q162</f>
        <v>1.0129509999999999</v>
      </c>
      <c r="X162" s="55">
        <f>'HVAC Deemed Table'!J184</f>
        <v>18</v>
      </c>
      <c r="Y162" s="55"/>
      <c r="Z162" s="55">
        <f t="shared" si="37"/>
        <v>18</v>
      </c>
      <c r="AA162" s="2581">
        <f>'HVAC Deemed Table'!BB184</f>
        <v>1.362586307820163</v>
      </c>
      <c r="AB162" s="2091">
        <f>'HVAC Deemed Table'!K184</f>
        <v>1446.6666666666663</v>
      </c>
      <c r="AC162" s="2583">
        <f t="shared" si="38"/>
        <v>1860.5079678903587</v>
      </c>
      <c r="AD162" s="2583">
        <f t="shared" si="31"/>
        <v>0</v>
      </c>
      <c r="AE162" s="571">
        <f>'HVAC Deemed Table'!BD184</f>
        <v>1860.5079678903587</v>
      </c>
      <c r="AF162" s="571"/>
      <c r="AG162" s="571"/>
      <c r="AH162" s="571"/>
      <c r="AI162" s="2589" t="str">
        <f t="shared" si="41"/>
        <v>per measure</v>
      </c>
      <c r="AJ162" s="109">
        <f>'HVAC Deemed Table'!L184</f>
        <v>3.1875</v>
      </c>
      <c r="AK162" s="1501"/>
      <c r="AL162" s="1501"/>
      <c r="AM162" s="1596"/>
      <c r="AO162" s="1595"/>
    </row>
    <row r="163" spans="1:41" x14ac:dyDescent="0.35">
      <c r="A163" s="103" t="str">
        <f t="shared" si="36"/>
        <v>351192</v>
      </c>
      <c r="B163" s="3346" t="str">
        <f>'HVAC Deemed Table'!C185</f>
        <v>351192_2021_12_</v>
      </c>
      <c r="C163" s="3343" t="str">
        <f>'HVAC Deemed Table'!G185</f>
        <v>Cooling RES</v>
      </c>
      <c r="D163" s="3343" t="str">
        <f>'HVAC Deemed Table'!G186</f>
        <v>Cooling RES ER2</v>
      </c>
      <c r="E163" s="3343"/>
      <c r="F163" s="3343"/>
      <c r="G163" s="3343" t="str">
        <f>'HVAC Deemed Table'!E185</f>
        <v>CAC-SEER21+_ER1_MF</v>
      </c>
      <c r="H163" s="50" t="str">
        <f>'HVAC Deemed Table'!D185</f>
        <v>MF</v>
      </c>
      <c r="I163" s="1966">
        <f t="shared" si="32"/>
        <v>1507.56</v>
      </c>
      <c r="J163" s="1966">
        <f t="shared" si="33"/>
        <v>609.94000000000005</v>
      </c>
      <c r="K163" s="560">
        <f>'HVAC Deemed Table'!F185</f>
        <v>1507.56</v>
      </c>
      <c r="L163" s="560">
        <v>0</v>
      </c>
      <c r="M163" s="560">
        <f>'HVAC Deemed Table'!F186</f>
        <v>609.94000000000005</v>
      </c>
      <c r="N163" s="560">
        <v>0</v>
      </c>
      <c r="O163" s="1967">
        <f t="shared" si="34"/>
        <v>1.4282900000000001</v>
      </c>
      <c r="P163" s="1967">
        <f t="shared" si="35"/>
        <v>0.57786800000000005</v>
      </c>
      <c r="Q163" s="1968">
        <f>'HVAC Deemed Table'!I185</f>
        <v>1.4282900000000001</v>
      </c>
      <c r="R163" s="1968">
        <v>0</v>
      </c>
      <c r="S163" s="1968">
        <f>'HVAC Deemed Table'!I186</f>
        <v>0.57786800000000005</v>
      </c>
      <c r="T163" s="1968">
        <v>0</v>
      </c>
      <c r="U163" s="1969"/>
      <c r="V163" s="1969"/>
      <c r="W163" s="1969">
        <f>P163</f>
        <v>0.57786800000000005</v>
      </c>
      <c r="X163" s="55">
        <f>'HVAC Deemed Table'!J185</f>
        <v>6</v>
      </c>
      <c r="Y163" s="55">
        <f>'HVAC Deemed Table'!J186</f>
        <v>12</v>
      </c>
      <c r="Z163" s="55">
        <f t="shared" si="37"/>
        <v>18</v>
      </c>
      <c r="AA163" s="2581">
        <f>'HVAC Deemed Table'!BB185</f>
        <v>0.98991913533567311</v>
      </c>
      <c r="AB163" s="2091">
        <f>'HVAC Deemed Table'!K185</f>
        <v>1744.7057951236061</v>
      </c>
      <c r="AC163" s="2583">
        <f t="shared" si="38"/>
        <v>955.2080906089767</v>
      </c>
      <c r="AD163" s="2583">
        <f t="shared" si="31"/>
        <v>674.91711196195104</v>
      </c>
      <c r="AE163" s="571">
        <f>'HVAC Deemed Table'!BD185</f>
        <v>955.2080906089767</v>
      </c>
      <c r="AF163" s="571"/>
      <c r="AG163" s="571">
        <f>'HVAC Deemed Table'!BD186</f>
        <v>674.91711196195104</v>
      </c>
      <c r="AH163" s="571"/>
      <c r="AI163" s="2589" t="str">
        <f t="shared" si="41"/>
        <v>per measure</v>
      </c>
      <c r="AJ163" s="109">
        <f>'HVAC Deemed Table'!L185</f>
        <v>2</v>
      </c>
      <c r="AK163" s="1501"/>
      <c r="AL163" s="1501"/>
      <c r="AM163" s="1596"/>
      <c r="AO163" s="1595"/>
    </row>
    <row r="164" spans="1:41" x14ac:dyDescent="0.35">
      <c r="A164" s="103" t="str">
        <f t="shared" si="36"/>
        <v>351193</v>
      </c>
      <c r="B164" s="3346" t="str">
        <f>'HVAC Deemed Table'!C187</f>
        <v>351193_2021_12_</v>
      </c>
      <c r="C164" s="3343" t="str">
        <f>'HVAC Deemed Table'!G187</f>
        <v>Cooling RES</v>
      </c>
      <c r="D164" s="3343" t="str">
        <f>'HVAC Deemed Table'!G188</f>
        <v>Cooling RES ER2</v>
      </c>
      <c r="E164" s="3343"/>
      <c r="F164" s="3343"/>
      <c r="G164" s="3343" t="str">
        <f>'HVAC Deemed Table'!E187</f>
        <v>CAC-SEER21+_ER1_MF_CompE</v>
      </c>
      <c r="H164" s="50" t="str">
        <f>'HVAC Deemed Table'!D187</f>
        <v>MFc</v>
      </c>
      <c r="I164" s="1966">
        <f t="shared" si="32"/>
        <v>1096.4100000000001</v>
      </c>
      <c r="J164" s="1966">
        <f t="shared" si="33"/>
        <v>443.59</v>
      </c>
      <c r="K164" s="560">
        <f>'HVAC Deemed Table'!F187</f>
        <v>1096.4100000000001</v>
      </c>
      <c r="L164" s="560">
        <v>0</v>
      </c>
      <c r="M164" s="560">
        <f>'HVAC Deemed Table'!F188</f>
        <v>443.59</v>
      </c>
      <c r="N164" s="560">
        <v>0</v>
      </c>
      <c r="O164" s="1967">
        <f t="shared" si="34"/>
        <v>1.038759</v>
      </c>
      <c r="P164" s="1967">
        <f t="shared" si="35"/>
        <v>0.420265</v>
      </c>
      <c r="Q164" s="1968">
        <f>'HVAC Deemed Table'!I187</f>
        <v>1.038759</v>
      </c>
      <c r="R164" s="1968">
        <v>0</v>
      </c>
      <c r="S164" s="1968">
        <f>'HVAC Deemed Table'!I188</f>
        <v>0.420265</v>
      </c>
      <c r="T164" s="1968">
        <v>0</v>
      </c>
      <c r="U164" s="1969"/>
      <c r="V164" s="1969"/>
      <c r="W164" s="1969">
        <f>P164</f>
        <v>0.420265</v>
      </c>
      <c r="X164" s="55">
        <f>'HVAC Deemed Table'!J187</f>
        <v>6</v>
      </c>
      <c r="Y164" s="55">
        <f>'HVAC Deemed Table'!J188</f>
        <v>12</v>
      </c>
      <c r="Z164" s="55">
        <f t="shared" si="37"/>
        <v>18</v>
      </c>
      <c r="AA164" s="2581">
        <f>'HVAC Deemed Table'!BB187</f>
        <v>0.71994040609750731</v>
      </c>
      <c r="AB164" s="2091">
        <f>'HVAC Deemed Table'!K187</f>
        <v>1744.7057951236061</v>
      </c>
      <c r="AC164" s="2583">
        <f t="shared" si="38"/>
        <v>694.69852120286305</v>
      </c>
      <c r="AD164" s="2583">
        <f t="shared" si="31"/>
        <v>490.84579088959867</v>
      </c>
      <c r="AE164" s="571">
        <f>'HVAC Deemed Table'!BD187</f>
        <v>694.69852120286305</v>
      </c>
      <c r="AF164" s="571"/>
      <c r="AG164" s="571">
        <f>'HVAC Deemed Table'!BD188</f>
        <v>490.84579088959867</v>
      </c>
      <c r="AH164" s="571"/>
      <c r="AI164" s="2589" t="str">
        <f t="shared" si="41"/>
        <v>per measure</v>
      </c>
      <c r="AJ164" s="109">
        <f>'HVAC Deemed Table'!L187</f>
        <v>2</v>
      </c>
      <c r="AK164" s="1501"/>
      <c r="AL164" s="1501"/>
      <c r="AM164" s="1596"/>
      <c r="AO164" s="1595"/>
    </row>
    <row r="165" spans="1:41" x14ac:dyDescent="0.35">
      <c r="A165" s="103" t="str">
        <f t="shared" si="36"/>
        <v>351194</v>
      </c>
      <c r="B165" s="3346" t="str">
        <f>'HVAC Deemed Table'!C189</f>
        <v>351194_2021_12_</v>
      </c>
      <c r="C165" s="3343" t="str">
        <f>'HVAC Deemed Table'!G189</f>
        <v>Cooling RES</v>
      </c>
      <c r="D165" s="3343"/>
      <c r="E165" s="3343"/>
      <c r="F165" s="3343"/>
      <c r="G165" s="3343" t="str">
        <f>'HVAC Deemed Table'!E189</f>
        <v>CAC-SEER21+_ROF_MF</v>
      </c>
      <c r="H165" s="50" t="str">
        <f>'HVAC Deemed Table'!D189</f>
        <v>MF</v>
      </c>
      <c r="I165" s="1966">
        <f t="shared" si="32"/>
        <v>609.94000000000005</v>
      </c>
      <c r="J165" s="1966">
        <f t="shared" si="33"/>
        <v>0</v>
      </c>
      <c r="K165" s="560">
        <f>'HVAC Deemed Table'!F189</f>
        <v>609.94000000000005</v>
      </c>
      <c r="L165" s="560">
        <v>0</v>
      </c>
      <c r="M165" s="560"/>
      <c r="N165" s="560">
        <v>0</v>
      </c>
      <c r="O165" s="1967">
        <f t="shared" si="34"/>
        <v>0.57786800000000005</v>
      </c>
      <c r="P165" s="1967">
        <f t="shared" si="35"/>
        <v>0</v>
      </c>
      <c r="Q165" s="1968">
        <f>'HVAC Deemed Table'!I189</f>
        <v>0.57786800000000005</v>
      </c>
      <c r="R165" s="1968">
        <v>0</v>
      </c>
      <c r="S165" s="1968"/>
      <c r="T165" s="1968">
        <v>0</v>
      </c>
      <c r="U165" s="1969"/>
      <c r="V165" s="1969"/>
      <c r="W165" s="1969">
        <f>Q165</f>
        <v>0.57786800000000005</v>
      </c>
      <c r="X165" s="55">
        <f>'HVAC Deemed Table'!J189</f>
        <v>18</v>
      </c>
      <c r="Y165" s="55"/>
      <c r="Z165" s="55">
        <f t="shared" si="37"/>
        <v>18</v>
      </c>
      <c r="AA165" s="2581">
        <f>'HVAC Deemed Table'!BB189</f>
        <v>0.77732810740277991</v>
      </c>
      <c r="AB165" s="2091">
        <f>'HVAC Deemed Table'!K189</f>
        <v>1446.6666666666663</v>
      </c>
      <c r="AC165" s="2583">
        <f t="shared" si="38"/>
        <v>1061.3824087236317</v>
      </c>
      <c r="AD165" s="2583">
        <f t="shared" si="31"/>
        <v>0</v>
      </c>
      <c r="AE165" s="571">
        <f>'HVAC Deemed Table'!BD189</f>
        <v>1061.3824087236317</v>
      </c>
      <c r="AF165" s="571"/>
      <c r="AG165" s="571"/>
      <c r="AH165" s="571"/>
      <c r="AI165" s="2589" t="str">
        <f t="shared" si="41"/>
        <v>per measure</v>
      </c>
      <c r="AJ165" s="109">
        <f>'HVAC Deemed Table'!L189</f>
        <v>2</v>
      </c>
      <c r="AK165" s="1501"/>
      <c r="AL165" s="1501"/>
      <c r="AM165" s="1596"/>
      <c r="AO165" s="1595"/>
    </row>
    <row r="166" spans="1:41" x14ac:dyDescent="0.35">
      <c r="A166" s="103" t="str">
        <f t="shared" si="36"/>
        <v>351195</v>
      </c>
      <c r="B166" s="3346" t="str">
        <f>'HVAC Deemed Table'!C190</f>
        <v>351195_2021_12_</v>
      </c>
      <c r="C166" s="3343" t="str">
        <f>'HVAC Deemed Table'!G190</f>
        <v>Cooling RES</v>
      </c>
      <c r="D166" s="3343"/>
      <c r="E166" s="3343"/>
      <c r="F166" s="3343"/>
      <c r="G166" s="3343" t="str">
        <f>'HVAC Deemed Table'!E190</f>
        <v>CAC-SEER21+_ROF_MF_CompE</v>
      </c>
      <c r="H166" s="50" t="str">
        <f>'HVAC Deemed Table'!D190</f>
        <v>MFc</v>
      </c>
      <c r="I166" s="1966">
        <f t="shared" si="32"/>
        <v>443.59</v>
      </c>
      <c r="J166" s="1966">
        <f t="shared" si="33"/>
        <v>0</v>
      </c>
      <c r="K166" s="560">
        <f>'HVAC Deemed Table'!F190</f>
        <v>443.59</v>
      </c>
      <c r="L166" s="560">
        <v>0</v>
      </c>
      <c r="M166" s="560"/>
      <c r="N166" s="560">
        <v>0</v>
      </c>
      <c r="O166" s="1967">
        <f t="shared" si="34"/>
        <v>0.420265</v>
      </c>
      <c r="P166" s="1967">
        <f t="shared" si="35"/>
        <v>0</v>
      </c>
      <c r="Q166" s="1968">
        <f>'HVAC Deemed Table'!I190</f>
        <v>0.420265</v>
      </c>
      <c r="R166" s="1968">
        <v>0</v>
      </c>
      <c r="S166" s="1968"/>
      <c r="T166" s="1968">
        <v>0</v>
      </c>
      <c r="U166" s="1969"/>
      <c r="V166" s="1969"/>
      <c r="W166" s="1969">
        <f>Q166</f>
        <v>0.420265</v>
      </c>
      <c r="X166" s="55">
        <f>'HVAC Deemed Table'!J190</f>
        <v>18</v>
      </c>
      <c r="Y166" s="55"/>
      <c r="Z166" s="55">
        <f t="shared" si="37"/>
        <v>18</v>
      </c>
      <c r="AA166" s="2581">
        <f>'HVAC Deemed Table'!BB190</f>
        <v>0.56532605692822102</v>
      </c>
      <c r="AB166" s="2091">
        <f>'HVAC Deemed Table'!K190</f>
        <v>1446.6666666666663</v>
      </c>
      <c r="AC166" s="2583">
        <f t="shared" si="38"/>
        <v>771.90973322903199</v>
      </c>
      <c r="AD166" s="2583">
        <f t="shared" si="31"/>
        <v>0</v>
      </c>
      <c r="AE166" s="571">
        <f>'HVAC Deemed Table'!BD190</f>
        <v>771.90973322903199</v>
      </c>
      <c r="AF166" s="571"/>
      <c r="AG166" s="571"/>
      <c r="AH166" s="571"/>
      <c r="AI166" s="2589" t="str">
        <f t="shared" si="41"/>
        <v>per measure</v>
      </c>
      <c r="AJ166" s="109">
        <f>'HVAC Deemed Table'!L190</f>
        <v>2</v>
      </c>
      <c r="AK166" s="1501"/>
      <c r="AL166" s="1501"/>
      <c r="AM166" s="1596"/>
      <c r="AO166" s="1595"/>
    </row>
    <row r="167" spans="1:41" x14ac:dyDescent="0.35">
      <c r="A167" s="103" t="str">
        <f t="shared" si="36"/>
        <v>351200</v>
      </c>
      <c r="B167" s="3346" t="str">
        <f>'HVAC Deemed Table'!C793</f>
        <v>351200_2021_12_</v>
      </c>
      <c r="C167" s="3343" t="str">
        <f>'HVAC Deemed Table'!G793</f>
        <v>Cooling RES</v>
      </c>
      <c r="D167" s="3343" t="str">
        <f>'HVAC Deemed Table'!G794</f>
        <v>Cooling RES ER2</v>
      </c>
      <c r="E167" s="3343"/>
      <c r="F167" s="3343"/>
      <c r="G167" s="3343" t="str">
        <f>'HVAC Deemed Table'!E793</f>
        <v>Mini/MultiSplitAC_ER1_SF</v>
      </c>
      <c r="H167" s="50" t="str">
        <f>'HVAC Deemed Table'!D793</f>
        <v>SF</v>
      </c>
      <c r="I167" s="1966">
        <f t="shared" si="32"/>
        <v>1227.25</v>
      </c>
      <c r="J167" s="1966">
        <f t="shared" si="33"/>
        <v>353.42</v>
      </c>
      <c r="K167" s="560">
        <f>'HVAC Deemed Table'!F793</f>
        <v>1227.25</v>
      </c>
      <c r="L167" s="560"/>
      <c r="M167" s="560">
        <f>'HVAC Deemed Table'!F794</f>
        <v>353.42</v>
      </c>
      <c r="N167" s="560">
        <v>0</v>
      </c>
      <c r="O167" s="1967">
        <f t="shared" si="34"/>
        <v>1.1627190000000001</v>
      </c>
      <c r="P167" s="1967">
        <f t="shared" si="35"/>
        <v>0.334837</v>
      </c>
      <c r="Q167" s="1968">
        <f>'HVAC Deemed Table'!I793</f>
        <v>1.1627190000000001</v>
      </c>
      <c r="R167" s="1968"/>
      <c r="S167" s="1968">
        <f>'HVAC Deemed Table'!I794</f>
        <v>0.334837</v>
      </c>
      <c r="T167" s="1968"/>
      <c r="U167" s="1969"/>
      <c r="V167" s="1969"/>
      <c r="W167" s="1969">
        <f>P167</f>
        <v>0.334837</v>
      </c>
      <c r="X167" s="55">
        <f>'HVAC Deemed Table'!J793</f>
        <v>6</v>
      </c>
      <c r="Y167" s="55">
        <f>'HVAC Deemed Table'!J794</f>
        <v>12</v>
      </c>
      <c r="Z167" s="55">
        <f t="shared" si="37"/>
        <v>18</v>
      </c>
      <c r="AA167" s="2581">
        <f>'HVAC Deemed Table'!BB793</f>
        <v>0.87878729606476891</v>
      </c>
      <c r="AB167" s="2091">
        <f>'HVAC Deemed Table'!K793</f>
        <v>1408.9941341172375</v>
      </c>
      <c r="AC167" s="2583">
        <f t="shared" si="38"/>
        <v>777.60031388459947</v>
      </c>
      <c r="AD167" s="2583">
        <f t="shared" si="31"/>
        <v>391.06995066661102</v>
      </c>
      <c r="AE167" s="571">
        <f>'HVAC Deemed Table'!BD793</f>
        <v>777.60031388459947</v>
      </c>
      <c r="AF167" s="571"/>
      <c r="AG167" s="571">
        <f>'HVAC Deemed Table'!BD794</f>
        <v>391.06995066661102</v>
      </c>
      <c r="AH167" s="571">
        <v>0</v>
      </c>
      <c r="AI167" s="2589" t="str">
        <f t="shared" si="41"/>
        <v>per measure</v>
      </c>
      <c r="AJ167" s="109">
        <f>'HVAC Deemed Table'!L793</f>
        <v>1.75</v>
      </c>
      <c r="AK167" s="1501"/>
      <c r="AL167" s="1501"/>
      <c r="AM167" s="1596">
        <f t="shared" ref="AM167:AM231" si="42">VLOOKUP(C167,$AS$10:$AT$33,2,FALSE)</f>
        <v>9.4741810000000004E-4</v>
      </c>
      <c r="AN167">
        <f>AM167*I167</f>
        <v>1.1627188632250001</v>
      </c>
      <c r="AO167" s="1595">
        <f t="shared" ref="AO167:AO231" si="43">AN167-O167</f>
        <v>-1.3677499999253939E-7</v>
      </c>
    </row>
    <row r="168" spans="1:41" x14ac:dyDescent="0.35">
      <c r="A168" s="103" t="str">
        <f t="shared" si="36"/>
        <v>351250</v>
      </c>
      <c r="B168" s="3346" t="str">
        <f>'HVAC Deemed Table'!C795</f>
        <v>351250_2021_12_</v>
      </c>
      <c r="C168" s="3343" t="str">
        <f>'HVAC Deemed Table'!G795</f>
        <v>Cooling RES</v>
      </c>
      <c r="D168" s="3343"/>
      <c r="E168" s="3343"/>
      <c r="F168" s="3343"/>
      <c r="G168" s="3343" t="str">
        <f>'HVAC Deemed Table'!E795</f>
        <v>Mini/MultiSplitAC_ROF_SF</v>
      </c>
      <c r="H168" s="50" t="str">
        <f>'HVAC Deemed Table'!D795</f>
        <v>SF</v>
      </c>
      <c r="I168" s="1966">
        <f t="shared" si="32"/>
        <v>258.75</v>
      </c>
      <c r="J168" s="1966">
        <f t="shared" si="33"/>
        <v>0</v>
      </c>
      <c r="K168" s="560">
        <f>'HVAC Deemed Table'!F795</f>
        <v>258.75</v>
      </c>
      <c r="L168" s="560"/>
      <c r="M168" s="560"/>
      <c r="N168" s="560">
        <v>0</v>
      </c>
      <c r="O168" s="1967">
        <f t="shared" si="34"/>
        <v>0.245144</v>
      </c>
      <c r="P168" s="1967">
        <f t="shared" si="35"/>
        <v>0</v>
      </c>
      <c r="Q168" s="1968">
        <f>'HVAC Deemed Table'!I795</f>
        <v>0.245144</v>
      </c>
      <c r="R168" s="1968"/>
      <c r="S168" s="1968"/>
      <c r="T168" s="1968"/>
      <c r="U168" s="1969"/>
      <c r="V168" s="1969"/>
      <c r="W168" s="1969">
        <f>Q168</f>
        <v>0.245144</v>
      </c>
      <c r="X168" s="55">
        <f>'HVAC Deemed Table'!J795</f>
        <v>18</v>
      </c>
      <c r="Y168" s="55"/>
      <c r="Z168" s="55">
        <f t="shared" si="37"/>
        <v>18</v>
      </c>
      <c r="AA168" s="2581">
        <f>'HVAC Deemed Table'!BB795</f>
        <v>1.3082773106409236</v>
      </c>
      <c r="AB168" s="2091">
        <f>'HVAC Deemed Table'!K795</f>
        <v>364.64165582663026</v>
      </c>
      <c r="AC168" s="2583">
        <f t="shared" si="38"/>
        <v>450.26182617509869</v>
      </c>
      <c r="AD168" s="2583">
        <f t="shared" si="31"/>
        <v>0</v>
      </c>
      <c r="AE168" s="571">
        <f>'HVAC Deemed Table'!BD795</f>
        <v>450.26182617509869</v>
      </c>
      <c r="AF168" s="571"/>
      <c r="AG168" s="571"/>
      <c r="AH168" s="571">
        <v>0</v>
      </c>
      <c r="AI168" s="2589" t="str">
        <f t="shared" si="41"/>
        <v>per measure</v>
      </c>
      <c r="AJ168" s="109">
        <f>'HVAC Deemed Table'!L795</f>
        <v>1.0555555555555556</v>
      </c>
      <c r="AK168" s="1501"/>
      <c r="AL168" s="1501"/>
      <c r="AM168" s="1596">
        <f t="shared" si="42"/>
        <v>9.4741810000000004E-4</v>
      </c>
      <c r="AN168">
        <f>AM168*I168</f>
        <v>0.245144433375</v>
      </c>
      <c r="AO168" s="1595">
        <f t="shared" si="43"/>
        <v>4.3337499999740459E-7</v>
      </c>
    </row>
    <row r="169" spans="1:41" x14ac:dyDescent="0.35">
      <c r="A169" s="103" t="str">
        <f t="shared" si="36"/>
        <v>351300</v>
      </c>
      <c r="B169" s="3346" t="str">
        <f>'HVAC Deemed Table'!C796</f>
        <v>351300_2021_12_</v>
      </c>
      <c r="C169" s="3343" t="str">
        <f>'HVAC Deemed Table'!G796</f>
        <v>Cooling RES</v>
      </c>
      <c r="D169" s="3343" t="str">
        <f>'HVAC Deemed Table'!G797</f>
        <v>Heating RES</v>
      </c>
      <c r="E169" s="3343"/>
      <c r="F169" s="3343"/>
      <c r="G169" s="3343" t="str">
        <f>'HVAC Deemed Table'!E796</f>
        <v>Mini/MultiSplitASHP_ROF_SF_NC</v>
      </c>
      <c r="H169" s="50" t="str">
        <f>'HVAC Deemed Table'!D796</f>
        <v>SF</v>
      </c>
      <c r="I169" s="1966">
        <f t="shared" si="32"/>
        <v>1001.8199999999999</v>
      </c>
      <c r="J169" s="1966">
        <f t="shared" si="33"/>
        <v>0</v>
      </c>
      <c r="K169" s="560">
        <f>'HVAC Deemed Table'!F796</f>
        <v>307.27999999999997</v>
      </c>
      <c r="L169" s="560">
        <f>'HVAC Deemed Table'!F797</f>
        <v>694.54</v>
      </c>
      <c r="M169" s="560">
        <v>0</v>
      </c>
      <c r="N169" s="560">
        <v>0</v>
      </c>
      <c r="O169" s="1967">
        <f t="shared" si="34"/>
        <v>0.29112300000000002</v>
      </c>
      <c r="P169" s="1967">
        <f t="shared" si="35"/>
        <v>0</v>
      </c>
      <c r="Q169" s="1968">
        <f>'HVAC Deemed Table'!I796</f>
        <v>0.29112300000000002</v>
      </c>
      <c r="R169" s="1968">
        <f>'HVAC Deemed Table'!I797</f>
        <v>0</v>
      </c>
      <c r="S169" s="1968"/>
      <c r="T169" s="1968"/>
      <c r="U169" s="1969"/>
      <c r="V169" s="1969"/>
      <c r="W169" s="1969">
        <f>O169</f>
        <v>0.29112300000000002</v>
      </c>
      <c r="X169" s="55">
        <f>'HVAC Deemed Table'!J796</f>
        <v>18</v>
      </c>
      <c r="Y169" s="55"/>
      <c r="Z169" s="55">
        <f t="shared" si="37"/>
        <v>18</v>
      </c>
      <c r="AA169" s="2581">
        <f>'HVAC Deemed Table'!BB796</f>
        <v>2.4533870291348232</v>
      </c>
      <c r="AB169" s="2091">
        <f>'HVAC Deemed Table'!K796</f>
        <v>364.64165582663026</v>
      </c>
      <c r="AC169" s="2583">
        <f t="shared" si="38"/>
        <v>844.36725690165076</v>
      </c>
      <c r="AD169" s="2583">
        <f t="shared" si="31"/>
        <v>0</v>
      </c>
      <c r="AE169" s="571">
        <f>'HVAC Deemed Table'!BD796</f>
        <v>534.71093312882829</v>
      </c>
      <c r="AF169" s="571">
        <f>'HVAC Deemed Table'!BD797</f>
        <v>309.65632377282247</v>
      </c>
      <c r="AG169" s="571">
        <v>0</v>
      </c>
      <c r="AH169" s="571">
        <v>0</v>
      </c>
      <c r="AI169" s="2589" t="str">
        <f t="shared" si="41"/>
        <v>per measure</v>
      </c>
      <c r="AJ169" s="109">
        <f>'HVAC Deemed Table'!L796</f>
        <v>1.5323741007194249</v>
      </c>
      <c r="AK169" s="1501"/>
      <c r="AL169" s="1501"/>
      <c r="AM169" s="1596">
        <f t="shared" si="42"/>
        <v>9.4741810000000004E-4</v>
      </c>
      <c r="AN169" s="84">
        <f t="shared" ref="AN169:AN175" si="44">AM169*K169</f>
        <v>0.29112263376799996</v>
      </c>
      <c r="AO169" s="1595">
        <f t="shared" si="43"/>
        <v>-3.6623200005969636E-7</v>
      </c>
    </row>
    <row r="170" spans="1:41" x14ac:dyDescent="0.35">
      <c r="A170" s="103" t="str">
        <f t="shared" si="36"/>
        <v>351350</v>
      </c>
      <c r="B170" s="3346" t="str">
        <f>'HVAC Deemed Table'!C798</f>
        <v>351350_2021_12_</v>
      </c>
      <c r="C170" s="3343" t="str">
        <f>'HVAC Deemed Table'!G798</f>
        <v>Cooling RES</v>
      </c>
      <c r="D170" s="3343" t="str">
        <f>'HVAC Deemed Table'!G799</f>
        <v>Heating RES</v>
      </c>
      <c r="E170" s="3343"/>
      <c r="F170" s="3343"/>
      <c r="G170" s="3343" t="str">
        <f>'HVAC Deemed Table'!E798</f>
        <v>Mini/MultiSplitASHP_ROF_SF</v>
      </c>
      <c r="H170" s="50" t="str">
        <f>'HVAC Deemed Table'!D798</f>
        <v>SF</v>
      </c>
      <c r="I170" s="1966">
        <f t="shared" si="32"/>
        <v>1001.8199999999999</v>
      </c>
      <c r="J170" s="1966">
        <f t="shared" si="33"/>
        <v>0</v>
      </c>
      <c r="K170" s="560">
        <f>'HVAC Deemed Table'!F798</f>
        <v>307.27999999999997</v>
      </c>
      <c r="L170" s="560">
        <f>'HVAC Deemed Table'!F799</f>
        <v>694.54</v>
      </c>
      <c r="M170" s="560">
        <v>0</v>
      </c>
      <c r="N170" s="560">
        <v>0</v>
      </c>
      <c r="O170" s="1967">
        <f t="shared" si="34"/>
        <v>0.29112300000000002</v>
      </c>
      <c r="P170" s="1967">
        <f t="shared" si="35"/>
        <v>0</v>
      </c>
      <c r="Q170" s="1968">
        <f>'HVAC Deemed Table'!I798</f>
        <v>0.29112300000000002</v>
      </c>
      <c r="R170" s="1968">
        <f>'HVAC Deemed Table'!I799</f>
        <v>0</v>
      </c>
      <c r="S170" s="1968"/>
      <c r="T170" s="1968"/>
      <c r="U170" s="1969"/>
      <c r="V170" s="1969"/>
      <c r="W170" s="1969">
        <f>O170</f>
        <v>0.29112300000000002</v>
      </c>
      <c r="X170" s="55">
        <f>'HVAC Deemed Table'!J798</f>
        <v>18</v>
      </c>
      <c r="Y170" s="55"/>
      <c r="Z170" s="55">
        <f t="shared" si="37"/>
        <v>18</v>
      </c>
      <c r="AA170" s="2581">
        <f>'HVAC Deemed Table'!BB798</f>
        <v>2.4533870291348232</v>
      </c>
      <c r="AB170" s="2091">
        <f>'HVAC Deemed Table'!K798</f>
        <v>364.64165582663026</v>
      </c>
      <c r="AC170" s="2583">
        <f t="shared" si="38"/>
        <v>844.36725690165076</v>
      </c>
      <c r="AD170" s="2583">
        <f t="shared" si="31"/>
        <v>0</v>
      </c>
      <c r="AE170" s="571">
        <f>'HVAC Deemed Table'!BD798</f>
        <v>534.71093312882829</v>
      </c>
      <c r="AF170" s="571">
        <f>'HVAC Deemed Table'!BD799</f>
        <v>309.65632377282247</v>
      </c>
      <c r="AG170" s="571">
        <v>0</v>
      </c>
      <c r="AH170" s="571">
        <v>0</v>
      </c>
      <c r="AI170" s="2589" t="str">
        <f t="shared" si="41"/>
        <v>per measure</v>
      </c>
      <c r="AJ170" s="109">
        <f>'HVAC Deemed Table'!L798</f>
        <v>1.75</v>
      </c>
      <c r="AK170" s="1501"/>
      <c r="AL170" s="1501"/>
      <c r="AM170" s="1596">
        <f t="shared" si="42"/>
        <v>9.4741810000000004E-4</v>
      </c>
      <c r="AN170" s="84">
        <f t="shared" si="44"/>
        <v>0.29112263376799996</v>
      </c>
      <c r="AO170" s="1595">
        <f t="shared" si="43"/>
        <v>-3.6623200005969636E-7</v>
      </c>
    </row>
    <row r="171" spans="1:41" x14ac:dyDescent="0.35">
      <c r="A171" s="103" t="str">
        <f t="shared" si="36"/>
        <v>351400</v>
      </c>
      <c r="B171" s="3346" t="str">
        <f>'HVAC Deemed Table'!C800</f>
        <v>351400_2021_12_</v>
      </c>
      <c r="C171" s="3343" t="str">
        <f>'HVAC Deemed Table'!G800</f>
        <v>Cooling RES</v>
      </c>
      <c r="D171" s="3343" t="str">
        <f>'HVAC Deemed Table'!G801</f>
        <v>Heating RES</v>
      </c>
      <c r="E171" s="3343" t="str">
        <f>'HVAC Deemed Table'!G802</f>
        <v>Cooling RES ER2</v>
      </c>
      <c r="F171" s="3343" t="str">
        <f>'HVAC Deemed Table'!G803</f>
        <v>Heating RES ER2</v>
      </c>
      <c r="G171" s="3343" t="str">
        <f>'HVAC Deemed Table'!E800</f>
        <v>Mini/MultiSplitASHP-Replace_CAC_ElectricHeat_ER1_SF</v>
      </c>
      <c r="H171" s="50" t="str">
        <f>'HVAC Deemed Table'!D800</f>
        <v>SF</v>
      </c>
      <c r="I171" s="1966">
        <f t="shared" si="32"/>
        <v>5804.77</v>
      </c>
      <c r="J171" s="1966">
        <f t="shared" si="33"/>
        <v>5132.8900000000003</v>
      </c>
      <c r="K171" s="560">
        <f>'HVAC Deemed Table'!F800</f>
        <v>1085.77</v>
      </c>
      <c r="L171" s="560">
        <f>'HVAC Deemed Table'!F801</f>
        <v>4719</v>
      </c>
      <c r="M171" s="560">
        <f>'HVAC Deemed Table'!F802</f>
        <v>413.89</v>
      </c>
      <c r="N171" s="560">
        <f>'HVAC Deemed Table'!F803</f>
        <v>4719</v>
      </c>
      <c r="O171" s="1967">
        <f t="shared" si="34"/>
        <v>1.028678</v>
      </c>
      <c r="P171" s="1967">
        <f t="shared" si="35"/>
        <v>0.392127</v>
      </c>
      <c r="Q171" s="1968">
        <f>'HVAC Deemed Table'!I800</f>
        <v>1.028678</v>
      </c>
      <c r="R171" s="1968">
        <f>'HVAC Deemed Table'!I801</f>
        <v>0</v>
      </c>
      <c r="S171" s="1968">
        <f>'HVAC Deemed Table'!I802</f>
        <v>0.392127</v>
      </c>
      <c r="T171" s="1968">
        <f>'HVAC Deemed Table'!I803</f>
        <v>0</v>
      </c>
      <c r="U171" s="1969"/>
      <c r="V171" s="1969"/>
      <c r="W171" s="1969">
        <f>P171</f>
        <v>0.392127</v>
      </c>
      <c r="X171" s="55">
        <f>'HVAC Deemed Table'!J800</f>
        <v>6</v>
      </c>
      <c r="Y171" s="55">
        <f>'HVAC Deemed Table'!J802</f>
        <v>12</v>
      </c>
      <c r="Z171" s="55">
        <f t="shared" si="37"/>
        <v>18</v>
      </c>
      <c r="AA171" s="2581">
        <f>'HVAC Deemed Table'!BB800</f>
        <v>1.2435700890713957</v>
      </c>
      <c r="AB171" s="2091">
        <f>'HVAC Deemed Table'!K800</f>
        <v>2768.8371103720847</v>
      </c>
      <c r="AC171" s="2583">
        <f t="shared" si="38"/>
        <v>1456.8763576216713</v>
      </c>
      <c r="AD171" s="2583">
        <f t="shared" si="31"/>
        <v>1792.99906660636</v>
      </c>
      <c r="AE171" s="571">
        <f>'HVAC Deemed Table'!BD800</f>
        <v>687.95688963657085</v>
      </c>
      <c r="AF171" s="571">
        <f>'HVAC Deemed Table'!BD801</f>
        <v>768.91946798510048</v>
      </c>
      <c r="AG171" s="571">
        <f>'HVAC Deemed Table'!BD802</f>
        <v>457.98183996775401</v>
      </c>
      <c r="AH171" s="571">
        <f>'HVAC Deemed Table'!BD803</f>
        <v>1335.017226638606</v>
      </c>
      <c r="AI171" s="2589" t="str">
        <f t="shared" si="41"/>
        <v>per measure</v>
      </c>
      <c r="AJ171" s="109">
        <f>'HVAC Deemed Table'!L800</f>
        <v>1.740909090909091</v>
      </c>
      <c r="AK171" s="1501"/>
      <c r="AL171" s="1501"/>
      <c r="AM171" s="1596">
        <f t="shared" si="42"/>
        <v>9.4741810000000004E-4</v>
      </c>
      <c r="AN171" s="84">
        <f t="shared" si="44"/>
        <v>1.0286781504369999</v>
      </c>
      <c r="AO171" s="1595">
        <f t="shared" si="43"/>
        <v>1.504369999683064E-7</v>
      </c>
    </row>
    <row r="172" spans="1:41" x14ac:dyDescent="0.35">
      <c r="A172" s="1618" t="str">
        <f t="shared" si="36"/>
        <v>351401</v>
      </c>
      <c r="B172" s="1590" t="str">
        <f>'HVAC Deemed Table'!C804</f>
        <v>351401_2022_12_</v>
      </c>
      <c r="C172" s="2609" t="str">
        <f>'HVAC Deemed Table'!G804</f>
        <v>Cooling RES</v>
      </c>
      <c r="D172" s="2609" t="str">
        <f>'HVAC Deemed Table'!G805</f>
        <v>Heating RES</v>
      </c>
      <c r="E172" s="1589" t="str">
        <f>'HVAC Deemed Table'!G806</f>
        <v>Cooling RES ER2</v>
      </c>
      <c r="F172" s="2609" t="str">
        <f>'HVAC Deemed Table'!G807</f>
        <v>Heating RES ER2</v>
      </c>
      <c r="G172" s="1589" t="str">
        <f>'HVAC Deemed Table'!E804</f>
        <v>Mini/MultiSplitASHP-Replace_CAC_NonElectricHeat_ER1_SF</v>
      </c>
      <c r="H172" s="1599" t="str">
        <f>'HVAC Deemed Table'!D804</f>
        <v>SF</v>
      </c>
      <c r="I172" s="1597">
        <f t="shared" si="32"/>
        <v>1085.77</v>
      </c>
      <c r="J172" s="1597">
        <f t="shared" si="33"/>
        <v>413.89</v>
      </c>
      <c r="K172" s="1591">
        <f>'HVAC Deemed Table'!F804</f>
        <v>1085.77</v>
      </c>
      <c r="L172" s="1591">
        <f>'HVAC Deemed Table'!F805</f>
        <v>0</v>
      </c>
      <c r="M172" s="1591">
        <f>'HVAC Deemed Table'!F806</f>
        <v>413.89</v>
      </c>
      <c r="N172" s="1591">
        <f>'HVAC Deemed Table'!F807</f>
        <v>0</v>
      </c>
      <c r="O172" s="1598">
        <f t="shared" si="34"/>
        <v>1.028678</v>
      </c>
      <c r="P172" s="1598">
        <f t="shared" si="35"/>
        <v>0.392127</v>
      </c>
      <c r="Q172" s="1600">
        <f>'HVAC Deemed Table'!I804</f>
        <v>1.028678</v>
      </c>
      <c r="R172" s="1600">
        <f>'HVAC Deemed Table'!I805</f>
        <v>0</v>
      </c>
      <c r="S172" s="1600">
        <f>'HVAC Deemed Table'!I806</f>
        <v>0.392127</v>
      </c>
      <c r="T172" s="1600">
        <f>'HVAC Deemed Table'!I807</f>
        <v>0</v>
      </c>
      <c r="U172" s="1569"/>
      <c r="V172" s="1569"/>
      <c r="W172" s="1569">
        <f>P172</f>
        <v>0.392127</v>
      </c>
      <c r="X172" s="1583">
        <f>'HVAC Deemed Table'!J804</f>
        <v>6</v>
      </c>
      <c r="Y172" s="1583">
        <f>'HVAC Deemed Table'!J806</f>
        <v>12</v>
      </c>
      <c r="Z172" s="1583">
        <f t="shared" si="37"/>
        <v>18</v>
      </c>
      <c r="AA172" s="1959">
        <f>'HVAC Deemed Table'!BB804</f>
        <v>0.43849530890339194</v>
      </c>
      <c r="AB172" s="1671">
        <f>'HVAC Deemed Table'!K804</f>
        <v>2768.8371103720847</v>
      </c>
      <c r="AC172" s="1964">
        <f t="shared" si="38"/>
        <v>687.95688963657085</v>
      </c>
      <c r="AD172" s="1964">
        <f t="shared" si="31"/>
        <v>457.98183996775401</v>
      </c>
      <c r="AE172" s="1604">
        <f>'HVAC Deemed Table'!BD804</f>
        <v>687.95688963657085</v>
      </c>
      <c r="AF172" s="1604">
        <f>'HVAC Deemed Table'!BD805</f>
        <v>0</v>
      </c>
      <c r="AG172" s="1604">
        <f>'HVAC Deemed Table'!BD806</f>
        <v>457.98183996775401</v>
      </c>
      <c r="AH172" s="1604">
        <f>'HVAC Deemed Table'!BD807</f>
        <v>0</v>
      </c>
      <c r="AI172" s="3366" t="str">
        <f t="shared" si="41"/>
        <v>per measure</v>
      </c>
      <c r="AJ172" s="96">
        <f>'HVAC Deemed Table'!L804</f>
        <v>1.740909090909091</v>
      </c>
      <c r="AK172" s="1501"/>
      <c r="AL172" s="1501"/>
      <c r="AM172" s="1596">
        <f t="shared" si="42"/>
        <v>9.4741810000000004E-4</v>
      </c>
      <c r="AN172" s="84">
        <f t="shared" si="44"/>
        <v>1.0286781504369999</v>
      </c>
      <c r="AO172" s="1595">
        <f t="shared" si="43"/>
        <v>1.504369999683064E-7</v>
      </c>
    </row>
    <row r="173" spans="1:41" x14ac:dyDescent="0.35">
      <c r="A173" s="103" t="str">
        <f t="shared" si="36"/>
        <v>351450</v>
      </c>
      <c r="B173" s="3346" t="str">
        <f>'HVAC Deemed Table'!C808</f>
        <v>351450_2021_12_</v>
      </c>
      <c r="C173" s="3343" t="str">
        <f>'HVAC Deemed Table'!G808</f>
        <v>Cooling RES</v>
      </c>
      <c r="D173" s="3343" t="str">
        <f>'HVAC Deemed Table'!G809</f>
        <v>Heating RES</v>
      </c>
      <c r="E173" s="3343"/>
      <c r="F173" s="3343"/>
      <c r="G173" s="3343" t="str">
        <f>'HVAC Deemed Table'!E808</f>
        <v>Mini/MultiSplitASHP-Replace_CAC_ElectricHeat_ROF_SF</v>
      </c>
      <c r="H173" s="50" t="str">
        <f>'HVAC Deemed Table'!D808</f>
        <v>SF</v>
      </c>
      <c r="I173" s="1966">
        <f t="shared" si="32"/>
        <v>4458.4399999999996</v>
      </c>
      <c r="J173" s="1966">
        <f t="shared" si="33"/>
        <v>0</v>
      </c>
      <c r="K173" s="560">
        <f>'HVAC Deemed Table'!F808</f>
        <v>307.27999999999997</v>
      </c>
      <c r="L173" s="560">
        <f>'HVAC Deemed Table'!F809</f>
        <v>4151.16</v>
      </c>
      <c r="M173" s="560"/>
      <c r="N173" s="560"/>
      <c r="O173" s="1967">
        <f t="shared" si="34"/>
        <v>0.29112300000000002</v>
      </c>
      <c r="P173" s="1967">
        <f t="shared" si="35"/>
        <v>0</v>
      </c>
      <c r="Q173" s="1968">
        <f>'HVAC Deemed Table'!I808</f>
        <v>0.29112300000000002</v>
      </c>
      <c r="R173" s="1968">
        <f>'HVAC Deemed Table'!I809</f>
        <v>0</v>
      </c>
      <c r="S173" s="1968"/>
      <c r="T173" s="1968"/>
      <c r="U173" s="1969"/>
      <c r="V173" s="1969"/>
      <c r="W173" s="1969">
        <f>O173</f>
        <v>0.29112300000000002</v>
      </c>
      <c r="X173" s="55">
        <f>'HVAC Deemed Table'!J808</f>
        <v>18</v>
      </c>
      <c r="Y173" s="55"/>
      <c r="Z173" s="55">
        <f t="shared" si="37"/>
        <v>18</v>
      </c>
      <c r="AA173" s="2581">
        <f>'HVAC Deemed Table'!BB808</f>
        <v>6.9312315540018927</v>
      </c>
      <c r="AB173" s="2091">
        <f>'HVAC Deemed Table'!K808</f>
        <v>364.64165582663026</v>
      </c>
      <c r="AC173" s="2583">
        <f t="shared" si="38"/>
        <v>2385.4797081350048</v>
      </c>
      <c r="AD173" s="2583">
        <f t="shared" si="31"/>
        <v>0</v>
      </c>
      <c r="AE173" s="571">
        <f>'HVAC Deemed Table'!BD808</f>
        <v>534.71093312882829</v>
      </c>
      <c r="AF173" s="571">
        <f>'HVAC Deemed Table'!BD809</f>
        <v>1850.7687750061764</v>
      </c>
      <c r="AG173" s="571">
        <v>0</v>
      </c>
      <c r="AH173" s="571">
        <v>0</v>
      </c>
      <c r="AI173" s="2589" t="str">
        <f>AI171</f>
        <v>per measure</v>
      </c>
      <c r="AJ173" s="109">
        <f>'HVAC Deemed Table'!L808</f>
        <v>1.5323741007194249</v>
      </c>
      <c r="AK173" s="1501"/>
      <c r="AL173" s="1501"/>
      <c r="AM173" s="1596">
        <f t="shared" si="42"/>
        <v>9.4741810000000004E-4</v>
      </c>
      <c r="AN173" s="84">
        <f t="shared" si="44"/>
        <v>0.29112263376799996</v>
      </c>
      <c r="AO173" s="1595">
        <f t="shared" si="43"/>
        <v>-3.6623200005969636E-7</v>
      </c>
    </row>
    <row r="174" spans="1:41" s="84" customFormat="1" x14ac:dyDescent="0.35">
      <c r="A174" s="1618" t="str">
        <f t="shared" si="36"/>
        <v>351451</v>
      </c>
      <c r="B174" s="1590" t="str">
        <f>'HVAC Deemed Table'!C810</f>
        <v>351451_2022_12_</v>
      </c>
      <c r="C174" s="2609" t="str">
        <f>'HVAC Deemed Table'!G810</f>
        <v>Cooling RES</v>
      </c>
      <c r="D174" s="2609" t="str">
        <f>'HVAC Deemed Table'!G811</f>
        <v>Heating RES</v>
      </c>
      <c r="E174" s="1589"/>
      <c r="F174" s="1589"/>
      <c r="G174" s="1589" t="str">
        <f>'HVAC Deemed Table'!E810</f>
        <v>Mini/MultiSplitASHP-Replace_CAC_NonElectricHeat_ROF_SF</v>
      </c>
      <c r="H174" s="1599" t="str">
        <f>'HVAC Deemed Table'!D810</f>
        <v>SF</v>
      </c>
      <c r="I174" s="1597">
        <f t="shared" si="32"/>
        <v>307.27999999999997</v>
      </c>
      <c r="J174" s="1597">
        <f t="shared" si="33"/>
        <v>0</v>
      </c>
      <c r="K174" s="1591">
        <f>'HVAC Deemed Table'!F810</f>
        <v>307.27999999999997</v>
      </c>
      <c r="L174" s="1591">
        <f>'HVAC Deemed Table'!F811</f>
        <v>0</v>
      </c>
      <c r="M174" s="1591"/>
      <c r="N174" s="1591"/>
      <c r="O174" s="1598">
        <f t="shared" si="34"/>
        <v>0.29112300000000002</v>
      </c>
      <c r="P174" s="1598">
        <f t="shared" si="35"/>
        <v>0</v>
      </c>
      <c r="Q174" s="1600">
        <f>'HVAC Deemed Table'!I810</f>
        <v>0.29112300000000002</v>
      </c>
      <c r="R174" s="1600">
        <f>'HVAC Deemed Table'!I811</f>
        <v>0</v>
      </c>
      <c r="S174" s="1600"/>
      <c r="T174" s="1600"/>
      <c r="U174" s="1569"/>
      <c r="V174" s="1569"/>
      <c r="W174" s="1569">
        <f>O174</f>
        <v>0.29112300000000002</v>
      </c>
      <c r="X174" s="1583">
        <f>'HVAC Deemed Table'!J810</f>
        <v>18</v>
      </c>
      <c r="Y174" s="1583"/>
      <c r="Z174" s="1583">
        <f t="shared" si="37"/>
        <v>18</v>
      </c>
      <c r="AA174" s="1959">
        <f>'HVAC Deemed Table'!BB810</f>
        <v>1.5536519884589102</v>
      </c>
      <c r="AB174" s="1671">
        <f>'HVAC Deemed Table'!K810</f>
        <v>364.64165582663026</v>
      </c>
      <c r="AC174" s="1964">
        <f t="shared" si="38"/>
        <v>534.71093312882829</v>
      </c>
      <c r="AD174" s="1964">
        <f t="shared" si="31"/>
        <v>0</v>
      </c>
      <c r="AE174" s="1604">
        <f>'HVAC Deemed Table'!BD810</f>
        <v>534.71093312882829</v>
      </c>
      <c r="AF174" s="1604">
        <f>'HVAC Deemed Table'!BD811</f>
        <v>0</v>
      </c>
      <c r="AG174" s="1604">
        <v>0</v>
      </c>
      <c r="AH174" s="1604">
        <v>0</v>
      </c>
      <c r="AI174" s="3366" t="str">
        <f>AI172</f>
        <v>per measure</v>
      </c>
      <c r="AJ174" s="96">
        <f>'HVAC Deemed Table'!L810</f>
        <v>1.5323741007194249</v>
      </c>
      <c r="AK174" s="2610"/>
      <c r="AL174" s="2610"/>
      <c r="AM174" s="1961">
        <f t="shared" si="42"/>
        <v>9.4741810000000004E-4</v>
      </c>
      <c r="AN174" s="84">
        <f t="shared" si="44"/>
        <v>0.29112263376799996</v>
      </c>
      <c r="AO174" s="1965">
        <f t="shared" si="43"/>
        <v>-3.6623200005969636E-7</v>
      </c>
    </row>
    <row r="175" spans="1:41" x14ac:dyDescent="0.35">
      <c r="A175" s="103" t="str">
        <f t="shared" si="36"/>
        <v>351500</v>
      </c>
      <c r="B175" s="3346" t="str">
        <f>'HVAC Deemed Table'!C812</f>
        <v>351500_2021_12_</v>
      </c>
      <c r="C175" s="3343" t="str">
        <f>'HVAC Deemed Table'!G812</f>
        <v>Cooling RES</v>
      </c>
      <c r="D175" s="3343" t="str">
        <f>'HVAC Deemed Table'!G813</f>
        <v>Heating RES</v>
      </c>
      <c r="E175" s="3343" t="str">
        <f>'HVAC Deemed Table'!G814</f>
        <v>Cooling RES ER2</v>
      </c>
      <c r="F175" s="3343" t="str">
        <f>'HVAC Deemed Table'!G815</f>
        <v>Heating RES ER2</v>
      </c>
      <c r="G175" s="3343" t="str">
        <f>'HVAC Deemed Table'!E812</f>
        <v>Mini/MultiSplitASHP_ER1_SF</v>
      </c>
      <c r="H175" s="50" t="str">
        <f>'HVAC Deemed Table'!D812</f>
        <v>SF</v>
      </c>
      <c r="I175" s="1966">
        <f t="shared" si="32"/>
        <v>3261.82</v>
      </c>
      <c r="J175" s="1966">
        <f t="shared" si="33"/>
        <v>1848.6999999999998</v>
      </c>
      <c r="K175" s="560">
        <f>'HVAC Deemed Table'!F812</f>
        <v>1085.77</v>
      </c>
      <c r="L175" s="560">
        <f>'HVAC Deemed Table'!F813</f>
        <v>2176.0500000000002</v>
      </c>
      <c r="M175" s="560">
        <f>'HVAC Deemed Table'!F814</f>
        <v>413.89</v>
      </c>
      <c r="N175" s="560">
        <f>'HVAC Deemed Table'!F815</f>
        <v>1434.81</v>
      </c>
      <c r="O175" s="1967">
        <f t="shared" si="34"/>
        <v>1.028678</v>
      </c>
      <c r="P175" s="1967">
        <f t="shared" si="35"/>
        <v>0.392127</v>
      </c>
      <c r="Q175" s="1968">
        <f>'HVAC Deemed Table'!I812</f>
        <v>1.028678</v>
      </c>
      <c r="R175" s="1968">
        <f>'HVAC Deemed Table'!I813</f>
        <v>0</v>
      </c>
      <c r="S175" s="1968">
        <f>'HVAC Deemed Table'!I814</f>
        <v>0.392127</v>
      </c>
      <c r="T175" s="1968">
        <f>'HVAC Deemed Table'!I815</f>
        <v>0</v>
      </c>
      <c r="U175" s="1969"/>
      <c r="V175" s="1969"/>
      <c r="W175" s="1969">
        <f>P175</f>
        <v>0.392127</v>
      </c>
      <c r="X175" s="55">
        <f>'HVAC Deemed Table'!J812</f>
        <v>6</v>
      </c>
      <c r="Y175" s="55">
        <f>'HVAC Deemed Table'!J814</f>
        <v>12</v>
      </c>
      <c r="Z175" s="55">
        <f t="shared" si="37"/>
        <v>18</v>
      </c>
      <c r="AA175" s="2581">
        <f>'HVAC Deemed Table'!BB812</f>
        <v>2.5587357354086744</v>
      </c>
      <c r="AB175" s="2091">
        <f>'HVAC Deemed Table'!K812</f>
        <v>789.39384082840229</v>
      </c>
      <c r="AC175" s="2583">
        <f t="shared" si="38"/>
        <v>1042.5250626200373</v>
      </c>
      <c r="AD175" s="2583">
        <f t="shared" si="31"/>
        <v>863.89327606721122</v>
      </c>
      <c r="AE175" s="571">
        <f>'HVAC Deemed Table'!BD812</f>
        <v>687.95688963657085</v>
      </c>
      <c r="AF175" s="571">
        <f>'HVAC Deemed Table'!BD813</f>
        <v>354.56817298346647</v>
      </c>
      <c r="AG175" s="571">
        <f>'HVAC Deemed Table'!BD814</f>
        <v>457.98183996775401</v>
      </c>
      <c r="AH175" s="571">
        <f>'HVAC Deemed Table'!BD815</f>
        <v>405.91143609945715</v>
      </c>
      <c r="AI175" s="2589" t="str">
        <f>AI173</f>
        <v>per measure</v>
      </c>
      <c r="AJ175" s="109">
        <f>'HVAC Deemed Table'!L812</f>
        <v>1.740909090909091</v>
      </c>
      <c r="AK175" s="1501"/>
      <c r="AL175" s="1501"/>
      <c r="AM175" s="1596">
        <f t="shared" si="42"/>
        <v>9.4741810000000004E-4</v>
      </c>
      <c r="AN175" s="84">
        <f t="shared" si="44"/>
        <v>1.0286781504369999</v>
      </c>
      <c r="AO175" s="1595">
        <f t="shared" si="43"/>
        <v>1.504369999683064E-7</v>
      </c>
    </row>
    <row r="176" spans="1:41" x14ac:dyDescent="0.35">
      <c r="A176" s="103" t="str">
        <f t="shared" si="36"/>
        <v>351550</v>
      </c>
      <c r="B176" s="3346" t="str">
        <f>'HVAC Deemed Table'!C816</f>
        <v>351550_2021_12_</v>
      </c>
      <c r="C176" s="3343" t="str">
        <f>'HVAC Deemed Table'!G816</f>
        <v>Cooling RES</v>
      </c>
      <c r="D176" s="3343" t="str">
        <f>'HVAC Deemed Table'!G817</f>
        <v>Cooling RES ER2</v>
      </c>
      <c r="E176" s="3343"/>
      <c r="F176" s="3343"/>
      <c r="G176" s="3343" t="str">
        <f>'HVAC Deemed Table'!E816</f>
        <v>Mini/MultiSplitAC_ER1_MF</v>
      </c>
      <c r="H176" s="50" t="str">
        <f>'HVAC Deemed Table'!D816</f>
        <v>MF</v>
      </c>
      <c r="I176" s="1966">
        <f t="shared" si="32"/>
        <v>1402.57</v>
      </c>
      <c r="J176" s="1966">
        <f t="shared" si="33"/>
        <v>403.9</v>
      </c>
      <c r="K176" s="560">
        <f>'HVAC Deemed Table'!F816</f>
        <v>1402.57</v>
      </c>
      <c r="L176" s="560"/>
      <c r="M176" s="560">
        <f>'HVAC Deemed Table'!F817</f>
        <v>403.9</v>
      </c>
      <c r="N176" s="560"/>
      <c r="O176" s="1967">
        <f t="shared" si="34"/>
        <v>1.3288199999999999</v>
      </c>
      <c r="P176" s="1967">
        <f t="shared" si="35"/>
        <v>0.382662</v>
      </c>
      <c r="Q176" s="1968">
        <f>'HVAC Deemed Table'!I816</f>
        <v>1.3288199999999999</v>
      </c>
      <c r="R176" s="1968"/>
      <c r="S176" s="1968">
        <f>'HVAC Deemed Table'!I817</f>
        <v>0.382662</v>
      </c>
      <c r="T176" s="1968"/>
      <c r="U176" s="1969"/>
      <c r="V176" s="1969"/>
      <c r="W176" s="1969">
        <f>P176</f>
        <v>0.382662</v>
      </c>
      <c r="X176" s="55">
        <f>'HVAC Deemed Table'!J816</f>
        <v>6</v>
      </c>
      <c r="Y176" s="55">
        <f>'HVAC Deemed Table'!J817</f>
        <v>12</v>
      </c>
      <c r="Z176" s="55">
        <f t="shared" si="37"/>
        <v>18</v>
      </c>
      <c r="AA176" s="2581">
        <f>'HVAC Deemed Table'!BB816</f>
        <v>0.90815891545408178</v>
      </c>
      <c r="AB176" s="2091">
        <f>'HVAC Deemed Table'!K816</f>
        <v>1558.1873453016101</v>
      </c>
      <c r="AC176" s="2583">
        <f t="shared" si="38"/>
        <v>888.68516785098598</v>
      </c>
      <c r="AD176" s="2583">
        <f t="shared" si="31"/>
        <v>446.92760193040624</v>
      </c>
      <c r="AE176" s="571">
        <f>'HVAC Deemed Table'!BD816</f>
        <v>888.68516785098598</v>
      </c>
      <c r="AF176" s="571"/>
      <c r="AG176" s="571">
        <f>'HVAC Deemed Table'!BD817</f>
        <v>446.92760193040624</v>
      </c>
      <c r="AH176" s="571"/>
      <c r="AI176" s="2589" t="str">
        <f t="shared" ref="AI176:AI187" si="45">AI175</f>
        <v>per measure</v>
      </c>
      <c r="AJ176" s="109">
        <f>'HVAC Deemed Table'!L816</f>
        <v>1.75</v>
      </c>
      <c r="AK176" s="1501"/>
      <c r="AL176" s="1501"/>
      <c r="AM176" s="1596">
        <f t="shared" si="42"/>
        <v>9.4741810000000004E-4</v>
      </c>
      <c r="AN176">
        <f>AM176*I176</f>
        <v>1.3288202045169999</v>
      </c>
      <c r="AO176" s="1595">
        <f t="shared" si="43"/>
        <v>2.0451700000201356E-7</v>
      </c>
    </row>
    <row r="177" spans="1:41" x14ac:dyDescent="0.35">
      <c r="A177" s="103" t="str">
        <f t="shared" si="36"/>
        <v>351551</v>
      </c>
      <c r="B177" s="3346" t="str">
        <f>'HVAC Deemed Table'!C818</f>
        <v>351551_2021_12_</v>
      </c>
      <c r="C177" s="3343" t="str">
        <f>'HVAC Deemed Table'!G818</f>
        <v>Cooling RES</v>
      </c>
      <c r="D177" s="3343" t="str">
        <f>'HVAC Deemed Table'!G819</f>
        <v>Cooling RES ER2</v>
      </c>
      <c r="E177" s="3343"/>
      <c r="F177" s="3343"/>
      <c r="G177" s="3343" t="str">
        <f>'HVAC Deemed Table'!E818</f>
        <v>Mini/MultiSplitAC_ER1_MF_CompE</v>
      </c>
      <c r="H177" s="50" t="str">
        <f>'HVAC Deemed Table'!D818</f>
        <v>MFc</v>
      </c>
      <c r="I177" s="1966">
        <f t="shared" si="32"/>
        <v>937.47</v>
      </c>
      <c r="J177" s="1966">
        <f t="shared" si="33"/>
        <v>281.64999999999998</v>
      </c>
      <c r="K177" s="560">
        <f>'HVAC Deemed Table'!F818</f>
        <v>937.47</v>
      </c>
      <c r="L177" s="560"/>
      <c r="M177" s="560">
        <f>'HVAC Deemed Table'!F819</f>
        <v>281.64999999999998</v>
      </c>
      <c r="N177" s="560"/>
      <c r="O177" s="1967">
        <f t="shared" si="34"/>
        <v>0.88817599999999997</v>
      </c>
      <c r="P177" s="1967">
        <f t="shared" si="35"/>
        <v>0.26684000000000002</v>
      </c>
      <c r="Q177" s="1968">
        <f>'HVAC Deemed Table'!I818</f>
        <v>0.88817599999999997</v>
      </c>
      <c r="R177" s="1968"/>
      <c r="S177" s="1968">
        <f>'HVAC Deemed Table'!I819</f>
        <v>0.26684000000000002</v>
      </c>
      <c r="T177" s="1968"/>
      <c r="U177" s="1969"/>
      <c r="V177" s="1969"/>
      <c r="W177" s="1969">
        <f>P177</f>
        <v>0.26684000000000002</v>
      </c>
      <c r="X177" s="55">
        <f>'HVAC Deemed Table'!J818</f>
        <v>6</v>
      </c>
      <c r="Y177" s="55">
        <f>'HVAC Deemed Table'!J819</f>
        <v>12</v>
      </c>
      <c r="Z177" s="55">
        <f t="shared" si="37"/>
        <v>18</v>
      </c>
      <c r="AA177" s="2581">
        <f>'HVAC Deemed Table'!BB818</f>
        <v>0.61580044907167031</v>
      </c>
      <c r="AB177" s="2091">
        <f>'HVAC Deemed Table'!K818</f>
        <v>1558.1873453016101</v>
      </c>
      <c r="AC177" s="2583">
        <f t="shared" si="38"/>
        <v>593.9922316214263</v>
      </c>
      <c r="AD177" s="2583">
        <f t="shared" ref="AD177:AD242" si="46">AG177+AH177</f>
        <v>311.65426859049001</v>
      </c>
      <c r="AE177" s="571">
        <f>'HVAC Deemed Table'!BD818</f>
        <v>593.9922316214263</v>
      </c>
      <c r="AF177" s="571"/>
      <c r="AG177" s="571">
        <f>'HVAC Deemed Table'!BD819</f>
        <v>311.65426859049001</v>
      </c>
      <c r="AH177" s="571"/>
      <c r="AI177" s="2589" t="str">
        <f t="shared" si="45"/>
        <v>per measure</v>
      </c>
      <c r="AJ177" s="109">
        <f>'HVAC Deemed Table'!L818</f>
        <v>2</v>
      </c>
      <c r="AK177" s="1501"/>
      <c r="AL177" s="1501"/>
      <c r="AM177" s="1596">
        <f t="shared" si="42"/>
        <v>9.4741810000000004E-4</v>
      </c>
      <c r="AN177">
        <f>AM177*I177</f>
        <v>0.88817604620700008</v>
      </c>
      <c r="AO177" s="1595">
        <f t="shared" si="43"/>
        <v>4.6207000115039421E-8</v>
      </c>
    </row>
    <row r="178" spans="1:41" x14ac:dyDescent="0.35">
      <c r="A178" s="103" t="str">
        <f t="shared" si="36"/>
        <v>351600</v>
      </c>
      <c r="B178" s="3346" t="str">
        <f>'HVAC Deemed Table'!C820</f>
        <v>351600_2021_12_</v>
      </c>
      <c r="C178" s="3343" t="str">
        <f>'HVAC Deemed Table'!G820</f>
        <v>Cooling RES</v>
      </c>
      <c r="D178" s="3343"/>
      <c r="E178" s="3343"/>
      <c r="F178" s="3343"/>
      <c r="G178" s="3343" t="str">
        <f>'HVAC Deemed Table'!E820</f>
        <v>Mini/MultiSplitAC_ROF_MF</v>
      </c>
      <c r="H178" s="50" t="str">
        <f>'HVAC Deemed Table'!D820</f>
        <v>MF</v>
      </c>
      <c r="I178" s="1966">
        <f t="shared" si="32"/>
        <v>490.26</v>
      </c>
      <c r="J178" s="1966">
        <f t="shared" si="33"/>
        <v>0</v>
      </c>
      <c r="K178" s="560">
        <f>'HVAC Deemed Table'!F820</f>
        <v>490.26</v>
      </c>
      <c r="L178" s="560"/>
      <c r="M178" s="560"/>
      <c r="N178" s="560"/>
      <c r="O178" s="1967">
        <f t="shared" si="34"/>
        <v>0.46448099999999998</v>
      </c>
      <c r="P178" s="1967">
        <f t="shared" si="35"/>
        <v>0</v>
      </c>
      <c r="Q178" s="1968">
        <f>'HVAC Deemed Table'!I820</f>
        <v>0.46448099999999998</v>
      </c>
      <c r="R178" s="1968"/>
      <c r="S178" s="1968"/>
      <c r="T178" s="1968"/>
      <c r="U178" s="1969"/>
      <c r="V178" s="1969"/>
      <c r="W178" s="1969">
        <f t="shared" ref="W178:W183" si="47">O178</f>
        <v>0.46448099999999998</v>
      </c>
      <c r="X178" s="55">
        <f>'HVAC Deemed Table'!J820</f>
        <v>18</v>
      </c>
      <c r="Y178" s="55"/>
      <c r="Z178" s="55">
        <f t="shared" si="37"/>
        <v>18</v>
      </c>
      <c r="AA178" s="2581">
        <f>'HVAC Deemed Table'!BB820</f>
        <v>2.4788252533906054</v>
      </c>
      <c r="AB178" s="2091">
        <f>'HVAC Deemed Table'!K820</f>
        <v>364.64165582663026</v>
      </c>
      <c r="AC178" s="2583">
        <f t="shared" si="38"/>
        <v>853.12217546127101</v>
      </c>
      <c r="AD178" s="2583">
        <f t="shared" si="46"/>
        <v>0</v>
      </c>
      <c r="AE178" s="571">
        <f>'HVAC Deemed Table'!BD820</f>
        <v>853.12217546127101</v>
      </c>
      <c r="AF178" s="571"/>
      <c r="AG178" s="571"/>
      <c r="AH178" s="571"/>
      <c r="AI178" s="2589" t="str">
        <f t="shared" si="45"/>
        <v>per measure</v>
      </c>
      <c r="AJ178" s="109">
        <f>'HVAC Deemed Table'!L820</f>
        <v>1.0555555555555556</v>
      </c>
      <c r="AK178" s="1501"/>
      <c r="AL178" s="1501"/>
      <c r="AM178" s="1596">
        <f t="shared" si="42"/>
        <v>9.4741810000000004E-4</v>
      </c>
      <c r="AN178">
        <f>AM178*I178</f>
        <v>0.46448119770599999</v>
      </c>
      <c r="AO178" s="1595">
        <f t="shared" si="43"/>
        <v>1.9770600001578487E-7</v>
      </c>
    </row>
    <row r="179" spans="1:41" x14ac:dyDescent="0.35">
      <c r="A179" s="103" t="str">
        <f t="shared" si="36"/>
        <v>351601</v>
      </c>
      <c r="B179" s="3346" t="str">
        <f>'HVAC Deemed Table'!C821</f>
        <v>351601_2021_12_</v>
      </c>
      <c r="C179" s="3343" t="str">
        <f>'HVAC Deemed Table'!G821</f>
        <v>Cooling RES</v>
      </c>
      <c r="D179" s="3343"/>
      <c r="E179" s="3343"/>
      <c r="F179" s="3343"/>
      <c r="G179" s="3343" t="str">
        <f>'HVAC Deemed Table'!E821</f>
        <v>Mini/MultiSplitAC_ROF_MF_CompE</v>
      </c>
      <c r="H179" s="50" t="str">
        <f>'HVAC Deemed Table'!D821</f>
        <v>MFc</v>
      </c>
      <c r="I179" s="1966">
        <f t="shared" si="32"/>
        <v>1100.3800000000001</v>
      </c>
      <c r="J179" s="1966">
        <f t="shared" si="33"/>
        <v>0</v>
      </c>
      <c r="K179" s="560">
        <f>'HVAC Deemed Table'!F821</f>
        <v>1100.3800000000001</v>
      </c>
      <c r="L179" s="560"/>
      <c r="M179" s="560"/>
      <c r="N179" s="560"/>
      <c r="O179" s="1967">
        <f t="shared" si="34"/>
        <v>1.0425199999999999</v>
      </c>
      <c r="P179" s="1967">
        <f t="shared" si="35"/>
        <v>0</v>
      </c>
      <c r="Q179" s="1968">
        <f>'HVAC Deemed Table'!I821</f>
        <v>1.0425199999999999</v>
      </c>
      <c r="R179" s="1968"/>
      <c r="S179" s="1968"/>
      <c r="T179" s="1968"/>
      <c r="U179" s="1969"/>
      <c r="V179" s="1969"/>
      <c r="W179" s="1969">
        <f t="shared" si="47"/>
        <v>1.0425199999999999</v>
      </c>
      <c r="X179" s="55">
        <f>'HVAC Deemed Table'!J821</f>
        <v>18</v>
      </c>
      <c r="Y179" s="55"/>
      <c r="Z179" s="55">
        <f t="shared" si="37"/>
        <v>18</v>
      </c>
      <c r="AA179" s="2581">
        <f>'HVAC Deemed Table'!BB821</f>
        <v>5.5636799500794583</v>
      </c>
      <c r="AB179" s="2091">
        <f>'HVAC Deemed Table'!K821</f>
        <v>364.64165582663026</v>
      </c>
      <c r="AC179" s="2583">
        <f t="shared" si="38"/>
        <v>1914.8178098031117</v>
      </c>
      <c r="AD179" s="2583">
        <f t="shared" si="46"/>
        <v>0</v>
      </c>
      <c r="AE179" s="571">
        <f>'HVAC Deemed Table'!BD821</f>
        <v>1914.8178098031117</v>
      </c>
      <c r="AF179" s="571"/>
      <c r="AG179" s="571"/>
      <c r="AH179" s="571"/>
      <c r="AI179" s="2589" t="str">
        <f t="shared" si="45"/>
        <v>per measure</v>
      </c>
      <c r="AJ179" s="109">
        <f>'HVAC Deemed Table'!L821</f>
        <v>2</v>
      </c>
      <c r="AK179" s="1501"/>
      <c r="AL179" s="1501"/>
      <c r="AM179" s="1596">
        <f t="shared" si="42"/>
        <v>9.4741810000000004E-4</v>
      </c>
      <c r="AN179">
        <f>AM179*I179</f>
        <v>1.042519928878</v>
      </c>
      <c r="AO179" s="1595">
        <f t="shared" si="43"/>
        <v>-7.1121999845047412E-8</v>
      </c>
    </row>
    <row r="180" spans="1:41" x14ac:dyDescent="0.35">
      <c r="A180" s="103" t="str">
        <f t="shared" si="36"/>
        <v>351650</v>
      </c>
      <c r="B180" s="3346" t="str">
        <f>'HVAC Deemed Table'!C822</f>
        <v>351650_2021_12_</v>
      </c>
      <c r="C180" s="3343" t="str">
        <f>'HVAC Deemed Table'!G822</f>
        <v>Cooling RES</v>
      </c>
      <c r="D180" s="3343" t="str">
        <f>'HVAC Deemed Table'!G823</f>
        <v>Heating RES</v>
      </c>
      <c r="E180" s="3343"/>
      <c r="F180" s="3343"/>
      <c r="G180" s="3343" t="str">
        <f>'HVAC Deemed Table'!E822</f>
        <v>Mini/MultiSplitASHP_ROF_MF_NC</v>
      </c>
      <c r="H180" s="50" t="str">
        <f>'HVAC Deemed Table'!D822</f>
        <v>MF</v>
      </c>
      <c r="I180" s="1966">
        <f t="shared" si="32"/>
        <v>1386.22</v>
      </c>
      <c r="J180" s="1966">
        <f t="shared" si="33"/>
        <v>0</v>
      </c>
      <c r="K180" s="560">
        <f>'HVAC Deemed Table'!F822</f>
        <v>345.16</v>
      </c>
      <c r="L180" s="560">
        <f>'HVAC Deemed Table'!F823</f>
        <v>1041.06</v>
      </c>
      <c r="M180" s="560"/>
      <c r="N180" s="560"/>
      <c r="O180" s="1967">
        <f t="shared" si="34"/>
        <v>0.327011</v>
      </c>
      <c r="P180" s="1967">
        <f t="shared" si="35"/>
        <v>0</v>
      </c>
      <c r="Q180" s="1968">
        <f>'HVAC Deemed Table'!I822</f>
        <v>0.327011</v>
      </c>
      <c r="R180" s="1968">
        <f>'HVAC Deemed Table'!I823</f>
        <v>0</v>
      </c>
      <c r="S180" s="1968"/>
      <c r="T180" s="1968"/>
      <c r="U180" s="1969"/>
      <c r="V180" s="1969"/>
      <c r="W180" s="1969">
        <f t="shared" si="47"/>
        <v>0.327011</v>
      </c>
      <c r="X180" s="55">
        <f>'HVAC Deemed Table'!J822</f>
        <v>18</v>
      </c>
      <c r="Y180" s="55"/>
      <c r="Z180" s="55">
        <f t="shared" si="37"/>
        <v>18</v>
      </c>
      <c r="AA180" s="2581">
        <f>'HVAC Deemed Table'!BB822</f>
        <v>3.0938097114519145</v>
      </c>
      <c r="AB180" s="2091">
        <f>'HVAC Deemed Table'!K822</f>
        <v>364.64165582663026</v>
      </c>
      <c r="AC180" s="2583">
        <f t="shared" si="38"/>
        <v>1064.7776271791743</v>
      </c>
      <c r="AD180" s="2583">
        <f t="shared" si="46"/>
        <v>0</v>
      </c>
      <c r="AE180" s="571">
        <f>'HVAC Deemed Table'!BD822</f>
        <v>600.62752433853939</v>
      </c>
      <c r="AF180" s="571">
        <f>'HVAC Deemed Table'!BD823</f>
        <v>464.15010284063487</v>
      </c>
      <c r="AG180" s="571"/>
      <c r="AH180" s="571"/>
      <c r="AI180" s="2589" t="str">
        <f t="shared" si="45"/>
        <v>per measure</v>
      </c>
      <c r="AJ180" s="109">
        <f>'HVAC Deemed Table'!L822</f>
        <v>1.5323741007194249</v>
      </c>
      <c r="AK180" s="1501"/>
      <c r="AL180" s="1501"/>
      <c r="AM180" s="1596">
        <f t="shared" si="42"/>
        <v>9.4741810000000004E-4</v>
      </c>
      <c r="AN180" s="84">
        <f t="shared" ref="AN180:AN245" si="48">AM180*K180</f>
        <v>0.32701083139600001</v>
      </c>
      <c r="AO180" s="1595">
        <f t="shared" si="43"/>
        <v>-1.6860399998375186E-7</v>
      </c>
    </row>
    <row r="181" spans="1:41" x14ac:dyDescent="0.35">
      <c r="A181" s="103" t="str">
        <f t="shared" si="36"/>
        <v>351651</v>
      </c>
      <c r="B181" s="3346" t="str">
        <f>'HVAC Deemed Table'!C824</f>
        <v>351651_2021_12_</v>
      </c>
      <c r="C181" s="3343" t="str">
        <f>'HVAC Deemed Table'!G824</f>
        <v>Cooling RES</v>
      </c>
      <c r="D181" s="3343" t="str">
        <f>'HVAC Deemed Table'!G825</f>
        <v>Heating RES</v>
      </c>
      <c r="E181" s="3343"/>
      <c r="F181" s="3343"/>
      <c r="G181" s="3343" t="str">
        <f>'HVAC Deemed Table'!E824</f>
        <v>Mini/MultiSplitASHP_ROF_MF_NC_CompE</v>
      </c>
      <c r="H181" s="50" t="str">
        <f>'HVAC Deemed Table'!D824</f>
        <v>MFc</v>
      </c>
      <c r="I181" s="1966">
        <f t="shared" si="32"/>
        <v>622.34</v>
      </c>
      <c r="J181" s="1966">
        <f t="shared" si="33"/>
        <v>0</v>
      </c>
      <c r="K181" s="560">
        <f>'HVAC Deemed Table'!F824</f>
        <v>226.66</v>
      </c>
      <c r="L181" s="560">
        <f>'HVAC Deemed Table'!F825</f>
        <v>395.68</v>
      </c>
      <c r="M181" s="560"/>
      <c r="N181" s="560"/>
      <c r="O181" s="1967">
        <f t="shared" si="34"/>
        <v>0.21474199999999999</v>
      </c>
      <c r="P181" s="1967">
        <f t="shared" si="35"/>
        <v>0</v>
      </c>
      <c r="Q181" s="1968">
        <f>'HVAC Deemed Table'!I824</f>
        <v>0.21474199999999999</v>
      </c>
      <c r="R181" s="1968">
        <f>'HVAC Deemed Table'!I825</f>
        <v>0</v>
      </c>
      <c r="S181" s="1968"/>
      <c r="T181" s="1968"/>
      <c r="U181" s="1969"/>
      <c r="V181" s="1969"/>
      <c r="W181" s="1969">
        <f t="shared" si="47"/>
        <v>0.21474199999999999</v>
      </c>
      <c r="X181" s="55">
        <f>'HVAC Deemed Table'!J824</f>
        <v>18</v>
      </c>
      <c r="Y181" s="55"/>
      <c r="Z181" s="55">
        <f t="shared" si="37"/>
        <v>18</v>
      </c>
      <c r="AA181" s="2581">
        <f>'HVAC Deemed Table'!BB824</f>
        <v>1.6586054241109338</v>
      </c>
      <c r="AB181" s="2091">
        <f>'HVAC Deemed Table'!K824</f>
        <v>364.64165582663026</v>
      </c>
      <c r="AC181" s="2583">
        <f t="shared" si="38"/>
        <v>570.8321172353385</v>
      </c>
      <c r="AD181" s="2583">
        <f t="shared" si="46"/>
        <v>0</v>
      </c>
      <c r="AE181" s="571">
        <f>'HVAC Deemed Table'!BD824</f>
        <v>394.42065901776954</v>
      </c>
      <c r="AF181" s="571">
        <f>'HVAC Deemed Table'!BD825</f>
        <v>176.41145821756902</v>
      </c>
      <c r="AG181" s="571"/>
      <c r="AH181" s="571"/>
      <c r="AI181" s="2589" t="str">
        <f t="shared" si="45"/>
        <v>per measure</v>
      </c>
      <c r="AJ181" s="109">
        <f>'HVAC Deemed Table'!L824</f>
        <v>2</v>
      </c>
      <c r="AK181" s="1501"/>
      <c r="AL181" s="1501"/>
      <c r="AM181" s="1596">
        <f t="shared" si="42"/>
        <v>9.4741810000000004E-4</v>
      </c>
      <c r="AN181" s="84">
        <f t="shared" si="48"/>
        <v>0.21474178654600001</v>
      </c>
      <c r="AO181" s="1595">
        <f t="shared" si="43"/>
        <v>-2.1345399997541037E-7</v>
      </c>
    </row>
    <row r="182" spans="1:41" x14ac:dyDescent="0.35">
      <c r="A182" s="103" t="str">
        <f t="shared" si="36"/>
        <v>351700</v>
      </c>
      <c r="B182" s="3346" t="str">
        <f>'HVAC Deemed Table'!C826</f>
        <v>351700_2021_12_</v>
      </c>
      <c r="C182" s="3343" t="str">
        <f>'HVAC Deemed Table'!G826</f>
        <v>Cooling RES</v>
      </c>
      <c r="D182" s="3343" t="str">
        <f>'HVAC Deemed Table'!G827</f>
        <v>Heating RES</v>
      </c>
      <c r="E182" s="3343"/>
      <c r="F182" s="3343"/>
      <c r="G182" s="3343" t="str">
        <f>'HVAC Deemed Table'!E826</f>
        <v>Mini/MultiSplitASHP_ROF_MF</v>
      </c>
      <c r="H182" s="50" t="str">
        <f>'HVAC Deemed Table'!D826</f>
        <v>MF</v>
      </c>
      <c r="I182" s="1966">
        <f t="shared" si="32"/>
        <v>1386.22</v>
      </c>
      <c r="J182" s="1966">
        <f t="shared" si="33"/>
        <v>0</v>
      </c>
      <c r="K182" s="560">
        <f>'HVAC Deemed Table'!F826</f>
        <v>345.16</v>
      </c>
      <c r="L182" s="560">
        <f>'HVAC Deemed Table'!F827</f>
        <v>1041.06</v>
      </c>
      <c r="M182" s="560"/>
      <c r="N182" s="560"/>
      <c r="O182" s="1967">
        <f t="shared" si="34"/>
        <v>0.327011</v>
      </c>
      <c r="P182" s="1967">
        <f t="shared" si="35"/>
        <v>0</v>
      </c>
      <c r="Q182" s="1968">
        <f>'HVAC Deemed Table'!I826</f>
        <v>0.327011</v>
      </c>
      <c r="R182" s="1968">
        <f>'HVAC Deemed Table'!I827</f>
        <v>0</v>
      </c>
      <c r="S182" s="1968"/>
      <c r="T182" s="1968"/>
      <c r="U182" s="1969"/>
      <c r="V182" s="1969"/>
      <c r="W182" s="1969">
        <f t="shared" si="47"/>
        <v>0.327011</v>
      </c>
      <c r="X182" s="55">
        <f>'HVAC Deemed Table'!J826</f>
        <v>18</v>
      </c>
      <c r="Y182" s="55"/>
      <c r="Z182" s="55">
        <f t="shared" si="37"/>
        <v>18</v>
      </c>
      <c r="AA182" s="2581">
        <f>'HVAC Deemed Table'!BB826</f>
        <v>3.0938097114519145</v>
      </c>
      <c r="AB182" s="2091">
        <f>'HVAC Deemed Table'!K826</f>
        <v>364.64165582663026</v>
      </c>
      <c r="AC182" s="2583">
        <f t="shared" si="38"/>
        <v>1064.7776271791743</v>
      </c>
      <c r="AD182" s="2583">
        <f t="shared" si="46"/>
        <v>0</v>
      </c>
      <c r="AE182" s="571">
        <f>'HVAC Deemed Table'!BD826</f>
        <v>600.62752433853939</v>
      </c>
      <c r="AF182" s="571">
        <f>'HVAC Deemed Table'!BD827</f>
        <v>464.15010284063487</v>
      </c>
      <c r="AG182" s="571"/>
      <c r="AH182" s="571"/>
      <c r="AI182" s="2589" t="str">
        <f t="shared" si="45"/>
        <v>per measure</v>
      </c>
      <c r="AJ182" s="109">
        <f>'HVAC Deemed Table'!L826</f>
        <v>1.5323741007194249</v>
      </c>
      <c r="AK182" s="1501"/>
      <c r="AL182" s="1501"/>
      <c r="AM182" s="1596">
        <f t="shared" si="42"/>
        <v>9.4741810000000004E-4</v>
      </c>
      <c r="AN182" s="84">
        <f t="shared" si="48"/>
        <v>0.32701083139600001</v>
      </c>
      <c r="AO182" s="1595">
        <f t="shared" si="43"/>
        <v>-1.6860399998375186E-7</v>
      </c>
    </row>
    <row r="183" spans="1:41" x14ac:dyDescent="0.35">
      <c r="A183" s="103" t="str">
        <f t="shared" si="36"/>
        <v>351701</v>
      </c>
      <c r="B183" s="3346" t="str">
        <f>'HVAC Deemed Table'!C828</f>
        <v>351701_2021_12_</v>
      </c>
      <c r="C183" s="3343" t="str">
        <f>'HVAC Deemed Table'!G828</f>
        <v>Cooling RES</v>
      </c>
      <c r="D183" s="3343" t="str">
        <f>'HVAC Deemed Table'!G829</f>
        <v>Heating RES</v>
      </c>
      <c r="E183" s="3343"/>
      <c r="F183" s="3343"/>
      <c r="G183" s="3343" t="str">
        <f>'HVAC Deemed Table'!E828</f>
        <v>Mini/MultiSplitASHP_ROF_MF_CompE</v>
      </c>
      <c r="H183" s="50" t="str">
        <f>'HVAC Deemed Table'!D828</f>
        <v>MFc</v>
      </c>
      <c r="I183" s="1966">
        <f t="shared" ref="I183:I249" si="49">K183+L183</f>
        <v>622.34</v>
      </c>
      <c r="J183" s="1966">
        <f t="shared" ref="J183:J249" si="50">M183+N183</f>
        <v>0</v>
      </c>
      <c r="K183" s="560">
        <f>'HVAC Deemed Table'!F828</f>
        <v>226.66</v>
      </c>
      <c r="L183" s="560">
        <f>'HVAC Deemed Table'!F829</f>
        <v>395.68</v>
      </c>
      <c r="M183" s="560"/>
      <c r="N183" s="560"/>
      <c r="O183" s="1967">
        <f t="shared" ref="O183:O249" si="51">Q183+R183</f>
        <v>0.21474199999999999</v>
      </c>
      <c r="P183" s="1967">
        <f t="shared" ref="P183:P249" si="52">S183+T183</f>
        <v>0</v>
      </c>
      <c r="Q183" s="1968">
        <f>'HVAC Deemed Table'!I828</f>
        <v>0.21474199999999999</v>
      </c>
      <c r="R183" s="1968">
        <f>'HVAC Deemed Table'!I829</f>
        <v>0</v>
      </c>
      <c r="S183" s="1968"/>
      <c r="T183" s="1968"/>
      <c r="U183" s="1969"/>
      <c r="V183" s="1969"/>
      <c r="W183" s="1969">
        <f t="shared" si="47"/>
        <v>0.21474199999999999</v>
      </c>
      <c r="X183" s="55">
        <f>'HVAC Deemed Table'!J828</f>
        <v>18</v>
      </c>
      <c r="Y183" s="55"/>
      <c r="Z183" s="55">
        <f t="shared" si="37"/>
        <v>18</v>
      </c>
      <c r="AA183" s="2581">
        <f>'HVAC Deemed Table'!BB828</f>
        <v>1.6586054241109338</v>
      </c>
      <c r="AB183" s="2091">
        <f>'HVAC Deemed Table'!K828</f>
        <v>364.64165582663026</v>
      </c>
      <c r="AC183" s="2583">
        <f t="shared" si="38"/>
        <v>570.8321172353385</v>
      </c>
      <c r="AD183" s="2583">
        <f t="shared" si="46"/>
        <v>0</v>
      </c>
      <c r="AE183" s="571">
        <f>'HVAC Deemed Table'!BD828</f>
        <v>394.42065901776954</v>
      </c>
      <c r="AF183" s="571">
        <f>'HVAC Deemed Table'!BD829</f>
        <v>176.41145821756902</v>
      </c>
      <c r="AG183" s="571"/>
      <c r="AH183" s="571"/>
      <c r="AI183" s="2589" t="str">
        <f t="shared" si="45"/>
        <v>per measure</v>
      </c>
      <c r="AJ183" s="109">
        <f>'HVAC Deemed Table'!L828</f>
        <v>2</v>
      </c>
      <c r="AK183" s="1501"/>
      <c r="AL183" s="1501"/>
      <c r="AM183" s="1596">
        <f t="shared" si="42"/>
        <v>9.4741810000000004E-4</v>
      </c>
      <c r="AN183" s="84">
        <f t="shared" si="48"/>
        <v>0.21474178654600001</v>
      </c>
      <c r="AO183" s="1595">
        <f t="shared" si="43"/>
        <v>-2.1345399997541037E-7</v>
      </c>
    </row>
    <row r="184" spans="1:41" x14ac:dyDescent="0.35">
      <c r="A184" s="103" t="str">
        <f t="shared" si="36"/>
        <v>351750</v>
      </c>
      <c r="B184" s="3346" t="str">
        <f>'HVAC Deemed Table'!C830</f>
        <v>351750_2021_12_</v>
      </c>
      <c r="C184" s="3343" t="str">
        <f>'HVAC Deemed Table'!G830</f>
        <v>Cooling RES</v>
      </c>
      <c r="D184" s="3343" t="str">
        <f>'HVAC Deemed Table'!G831</f>
        <v>Heating RES</v>
      </c>
      <c r="E184" s="3343" t="str">
        <f>'HVAC Deemed Table'!G832</f>
        <v>Cooling RES ER2</v>
      </c>
      <c r="F184" s="3343" t="str">
        <f>'HVAC Deemed Table'!G833</f>
        <v>Heating RES ER2</v>
      </c>
      <c r="G184" s="3343" t="str">
        <f>'HVAC Deemed Table'!E830</f>
        <v>Mini/MultiSplitASHP-Replace_CAC_ElectricHeat_ER1_MF</v>
      </c>
      <c r="H184" s="50" t="str">
        <f>'HVAC Deemed Table'!D830</f>
        <v>MF</v>
      </c>
      <c r="I184" s="1966">
        <f t="shared" si="49"/>
        <v>6488.63</v>
      </c>
      <c r="J184" s="1966">
        <f t="shared" si="50"/>
        <v>5716.76</v>
      </c>
      <c r="K184" s="560">
        <f>'HVAC Deemed Table'!F830</f>
        <v>1200.76</v>
      </c>
      <c r="L184" s="560">
        <f>'HVAC Deemed Table'!F831</f>
        <v>5287.87</v>
      </c>
      <c r="M184" s="560">
        <f>'HVAC Deemed Table'!F832</f>
        <v>428.89</v>
      </c>
      <c r="N184" s="560">
        <f>'HVAC Deemed Table'!F833</f>
        <v>5287.87</v>
      </c>
      <c r="O184" s="1967">
        <f t="shared" si="51"/>
        <v>1.1376219999999999</v>
      </c>
      <c r="P184" s="1967">
        <f t="shared" si="52"/>
        <v>0.40633799999999998</v>
      </c>
      <c r="Q184" s="1968">
        <f>'HVAC Deemed Table'!I830</f>
        <v>1.1376219999999999</v>
      </c>
      <c r="R184" s="1968">
        <f>'HVAC Deemed Table'!I831</f>
        <v>0</v>
      </c>
      <c r="S184" s="1968">
        <f>'HVAC Deemed Table'!I832</f>
        <v>0.40633799999999998</v>
      </c>
      <c r="T184" s="1968">
        <f>'HVAC Deemed Table'!I833</f>
        <v>0</v>
      </c>
      <c r="U184" s="1969"/>
      <c r="V184" s="1969"/>
      <c r="W184" s="1969">
        <f>P184</f>
        <v>0.40633799999999998</v>
      </c>
      <c r="X184" s="55">
        <f>'HVAC Deemed Table'!J830</f>
        <v>6</v>
      </c>
      <c r="Y184" s="55">
        <f>'HVAC Deemed Table'!J832</f>
        <v>12</v>
      </c>
      <c r="Z184" s="55">
        <f t="shared" si="37"/>
        <v>18</v>
      </c>
      <c r="AA184" s="2581">
        <f>'HVAC Deemed Table'!BB830</f>
        <v>1.2175174111619076</v>
      </c>
      <c r="AB184" s="2091">
        <f>'HVAC Deemed Table'!K830</f>
        <v>3126.6416558266301</v>
      </c>
      <c r="AC184" s="2583">
        <f t="shared" si="38"/>
        <v>1622.4277541089209</v>
      </c>
      <c r="AD184" s="2583">
        <f t="shared" si="46"/>
        <v>1970.5318064696714</v>
      </c>
      <c r="AE184" s="571">
        <f>'HVAC Deemed Table'!BD830</f>
        <v>760.81593228769327</v>
      </c>
      <c r="AF184" s="571">
        <f>'HVAC Deemed Table'!BD831</f>
        <v>861.61182182122775</v>
      </c>
      <c r="AG184" s="571">
        <f>'HVAC Deemed Table'!BD832</f>
        <v>474.57979497878665</v>
      </c>
      <c r="AH184" s="571">
        <f>'HVAC Deemed Table'!BD833</f>
        <v>1495.9520114908848</v>
      </c>
      <c r="AI184" s="2589" t="str">
        <f t="shared" si="45"/>
        <v>per measure</v>
      </c>
      <c r="AJ184" s="109">
        <f>'HVAC Deemed Table'!L830</f>
        <v>2</v>
      </c>
      <c r="AK184" s="1501"/>
      <c r="AL184" s="1501"/>
      <c r="AM184" s="1596">
        <f t="shared" si="42"/>
        <v>9.4741810000000004E-4</v>
      </c>
      <c r="AN184" s="84">
        <f t="shared" si="48"/>
        <v>1.1376217577559999</v>
      </c>
      <c r="AO184" s="1595">
        <f t="shared" si="43"/>
        <v>-2.4224399997052615E-7</v>
      </c>
    </row>
    <row r="185" spans="1:41" x14ac:dyDescent="0.35">
      <c r="A185" s="103" t="str">
        <f t="shared" si="36"/>
        <v>351751</v>
      </c>
      <c r="B185" s="3346" t="str">
        <f>'HVAC Deemed Table'!C834</f>
        <v>351751_2021_12_</v>
      </c>
      <c r="C185" s="3343" t="str">
        <f>'HVAC Deemed Table'!G834</f>
        <v>Cooling RES</v>
      </c>
      <c r="D185" s="3343" t="str">
        <f>'HVAC Deemed Table'!G835</f>
        <v>Heating RES</v>
      </c>
      <c r="E185" s="3343" t="str">
        <f>'HVAC Deemed Table'!G836</f>
        <v>Cooling RES ER2</v>
      </c>
      <c r="F185" s="3343" t="str">
        <f>'HVAC Deemed Table'!G837</f>
        <v>Heating RES ER2</v>
      </c>
      <c r="G185" s="3343" t="str">
        <f>'HVAC Deemed Table'!E834</f>
        <v>Mini/MultiSplitASHP-Replace_CAC_ElectricHeat_ER1_MF_CompE</v>
      </c>
      <c r="H185" s="50" t="str">
        <f>'HVAC Deemed Table'!D834</f>
        <v>MFc</v>
      </c>
      <c r="I185" s="1966">
        <f t="shared" si="49"/>
        <v>2798.33</v>
      </c>
      <c r="J185" s="1966">
        <f t="shared" si="50"/>
        <v>2291.4499999999998</v>
      </c>
      <c r="K185" s="560">
        <f>'HVAC Deemed Table'!F834</f>
        <v>788.53</v>
      </c>
      <c r="L185" s="560">
        <f>'HVAC Deemed Table'!F835</f>
        <v>2009.8</v>
      </c>
      <c r="M185" s="560">
        <f>'HVAC Deemed Table'!F836</f>
        <v>281.64999999999998</v>
      </c>
      <c r="N185" s="560">
        <f>'HVAC Deemed Table'!F837</f>
        <v>2009.8</v>
      </c>
      <c r="O185" s="1967">
        <f t="shared" si="51"/>
        <v>0.74706799999999995</v>
      </c>
      <c r="P185" s="1967">
        <f t="shared" si="52"/>
        <v>0.26684000000000002</v>
      </c>
      <c r="Q185" s="1968">
        <f>'HVAC Deemed Table'!I834</f>
        <v>0.74706799999999995</v>
      </c>
      <c r="R185" s="1968">
        <f>'HVAC Deemed Table'!I835</f>
        <v>0</v>
      </c>
      <c r="S185" s="1968">
        <f>'HVAC Deemed Table'!I836</f>
        <v>0.26684000000000002</v>
      </c>
      <c r="T185" s="1968">
        <f>'HVAC Deemed Table'!I837</f>
        <v>0</v>
      </c>
      <c r="U185" s="1969"/>
      <c r="V185" s="1969"/>
      <c r="W185" s="1969">
        <f>P185</f>
        <v>0.26684000000000002</v>
      </c>
      <c r="X185" s="55">
        <f>'HVAC Deemed Table'!J834</f>
        <v>6</v>
      </c>
      <c r="Y185" s="55">
        <f>'HVAC Deemed Table'!J836</f>
        <v>12</v>
      </c>
      <c r="Z185" s="55">
        <f t="shared" si="37"/>
        <v>18</v>
      </c>
      <c r="AA185" s="2581">
        <f>'HVAC Deemed Table'!BB834</f>
        <v>0.57855028977337208</v>
      </c>
      <c r="AB185" s="2091">
        <f>'HVAC Deemed Table'!K834</f>
        <v>3126.6416558266301</v>
      </c>
      <c r="AC185" s="2583">
        <f t="shared" si="38"/>
        <v>827.10126234771235</v>
      </c>
      <c r="AD185" s="2583">
        <f t="shared" si="46"/>
        <v>880.23185326908083</v>
      </c>
      <c r="AE185" s="571">
        <f>'HVAC Deemed Table'!BD834</f>
        <v>499.62206193312136</v>
      </c>
      <c r="AF185" s="571">
        <f>'HVAC Deemed Table'!BD835</f>
        <v>327.47920041459099</v>
      </c>
      <c r="AG185" s="571">
        <f>'HVAC Deemed Table'!BD836</f>
        <v>311.65426859049001</v>
      </c>
      <c r="AH185" s="571">
        <f>'HVAC Deemed Table'!BD837</f>
        <v>568.57758467859082</v>
      </c>
      <c r="AI185" s="2589" t="str">
        <f t="shared" si="45"/>
        <v>per measure</v>
      </c>
      <c r="AJ185" s="109">
        <f>'HVAC Deemed Table'!L834</f>
        <v>2</v>
      </c>
      <c r="AK185" s="1501"/>
      <c r="AL185" s="1501"/>
      <c r="AM185" s="1596">
        <f t="shared" si="42"/>
        <v>9.4741810000000004E-4</v>
      </c>
      <c r="AN185" s="84">
        <f t="shared" si="48"/>
        <v>0.74706759439299997</v>
      </c>
      <c r="AO185" s="1595">
        <f t="shared" si="43"/>
        <v>-4.056069999869294E-7</v>
      </c>
    </row>
    <row r="186" spans="1:41" s="84" customFormat="1" x14ac:dyDescent="0.35">
      <c r="A186" s="1618" t="str">
        <f t="shared" si="36"/>
        <v>351752</v>
      </c>
      <c r="B186" s="1590" t="str">
        <f>'HVAC Deemed Table'!C838</f>
        <v>351752_2022_12_</v>
      </c>
      <c r="C186" s="2609" t="str">
        <f>'HVAC Deemed Table'!G838</f>
        <v>Cooling RES</v>
      </c>
      <c r="D186" s="2609" t="str">
        <f>'HVAC Deemed Table'!G839</f>
        <v>Heating RES</v>
      </c>
      <c r="E186" s="1589" t="str">
        <f>'HVAC Deemed Table'!G840</f>
        <v>Cooling RES ER2</v>
      </c>
      <c r="F186" s="2609" t="str">
        <f>'HVAC Deemed Table'!G841</f>
        <v>Heating RES ER2</v>
      </c>
      <c r="G186" s="1589" t="str">
        <f>'HVAC Deemed Table'!E838</f>
        <v>Mini/MultiSplitASHP-Replace_CAC_NonElectricHeat_ER1_MF</v>
      </c>
      <c r="H186" s="1599" t="str">
        <f>'HVAC Deemed Table'!D838</f>
        <v>MF</v>
      </c>
      <c r="I186" s="1597">
        <f t="shared" si="49"/>
        <v>1093.24</v>
      </c>
      <c r="J186" s="1597">
        <f t="shared" si="50"/>
        <v>428.89</v>
      </c>
      <c r="K186" s="1591">
        <f>'HVAC Deemed Table'!F838</f>
        <v>1093.24</v>
      </c>
      <c r="L186" s="1591">
        <f>'HVAC Deemed Table'!F839</f>
        <v>0</v>
      </c>
      <c r="M186" s="1591">
        <f>'HVAC Deemed Table'!F840</f>
        <v>428.89</v>
      </c>
      <c r="N186" s="1591">
        <f>'HVAC Deemed Table'!F841</f>
        <v>0</v>
      </c>
      <c r="O186" s="1598">
        <f t="shared" si="51"/>
        <v>1.035755</v>
      </c>
      <c r="P186" s="1598">
        <f t="shared" si="52"/>
        <v>0.40633799999999998</v>
      </c>
      <c r="Q186" s="1600">
        <f>'HVAC Deemed Table'!I838</f>
        <v>1.035755</v>
      </c>
      <c r="R186" s="1600">
        <f>'HVAC Deemed Table'!I839</f>
        <v>0</v>
      </c>
      <c r="S186" s="1600">
        <f>'HVAC Deemed Table'!I840</f>
        <v>0.40633799999999998</v>
      </c>
      <c r="T186" s="1600">
        <f>'HVAC Deemed Table'!I841</f>
        <v>0</v>
      </c>
      <c r="U186" s="1569"/>
      <c r="V186" s="1569"/>
      <c r="W186" s="1569">
        <f>P186</f>
        <v>0.40633799999999998</v>
      </c>
      <c r="X186" s="1583">
        <f>'HVAC Deemed Table'!J838</f>
        <v>6</v>
      </c>
      <c r="Y186" s="1583">
        <f>'HVAC Deemed Table'!J840</f>
        <v>12</v>
      </c>
      <c r="Z186" s="1583">
        <f t="shared" si="37"/>
        <v>18</v>
      </c>
      <c r="AA186" s="1959">
        <f>'HVAC Deemed Table'!BB838</f>
        <v>0.39554335078926811</v>
      </c>
      <c r="AB186" s="1671">
        <f>'HVAC Deemed Table'!K838</f>
        <v>3126.6416558266301</v>
      </c>
      <c r="AC186" s="1964">
        <f t="shared" si="38"/>
        <v>692.68997119674032</v>
      </c>
      <c r="AD186" s="1964">
        <f t="shared" si="46"/>
        <v>474.57979497878665</v>
      </c>
      <c r="AE186" s="1604">
        <f>'HVAC Deemed Table'!BD838</f>
        <v>692.68997119674032</v>
      </c>
      <c r="AF186" s="1604">
        <f>'HVAC Deemed Table'!BD839</f>
        <v>0</v>
      </c>
      <c r="AG186" s="1604">
        <f>'HVAC Deemed Table'!BD840</f>
        <v>474.57979497878665</v>
      </c>
      <c r="AH186" s="1604">
        <f>'HVAC Deemed Table'!BD841</f>
        <v>0</v>
      </c>
      <c r="AI186" s="3366" t="str">
        <f t="shared" si="45"/>
        <v>per measure</v>
      </c>
      <c r="AJ186" s="96">
        <f>'HVAC Deemed Table'!L838</f>
        <v>2</v>
      </c>
      <c r="AK186" s="2610"/>
      <c r="AL186" s="2610"/>
      <c r="AM186" s="1961">
        <f t="shared" si="42"/>
        <v>9.4741810000000004E-4</v>
      </c>
      <c r="AN186" s="84">
        <f t="shared" si="48"/>
        <v>1.035755363644</v>
      </c>
      <c r="AO186" s="1965">
        <f t="shared" si="43"/>
        <v>3.6364400002319996E-7</v>
      </c>
    </row>
    <row r="187" spans="1:41" s="84" customFormat="1" x14ac:dyDescent="0.35">
      <c r="A187" s="1618" t="str">
        <f t="shared" si="36"/>
        <v>351753</v>
      </c>
      <c r="B187" s="1590" t="str">
        <f>'HVAC Deemed Table'!C842</f>
        <v>351753_2022_12_</v>
      </c>
      <c r="C187" s="2609" t="str">
        <f>'HVAC Deemed Table'!G842</f>
        <v>Cooling RES</v>
      </c>
      <c r="D187" s="2609" t="str">
        <f>'HVAC Deemed Table'!G843</f>
        <v>Heating RES</v>
      </c>
      <c r="E187" s="1589" t="str">
        <f>'HVAC Deemed Table'!G844</f>
        <v>Cooling RES ER2</v>
      </c>
      <c r="F187" s="2609" t="str">
        <f>'HVAC Deemed Table'!G845</f>
        <v>Heating RES ER2</v>
      </c>
      <c r="G187" s="1589" t="str">
        <f>'HVAC Deemed Table'!E842</f>
        <v>Mini/MultiSplitASHP-Replace_CAC_NonElectricHeat_ER1_MF_CompE</v>
      </c>
      <c r="H187" s="1599" t="str">
        <f>'HVAC Deemed Table'!D842</f>
        <v>MFc</v>
      </c>
      <c r="I187" s="1597">
        <f t="shared" si="49"/>
        <v>788.53</v>
      </c>
      <c r="J187" s="1597">
        <f t="shared" si="50"/>
        <v>281.64999999999998</v>
      </c>
      <c r="K187" s="1591">
        <f>'HVAC Deemed Table'!F842</f>
        <v>788.53</v>
      </c>
      <c r="L187" s="1591">
        <f>'HVAC Deemed Table'!F843</f>
        <v>0</v>
      </c>
      <c r="M187" s="1591">
        <f>'HVAC Deemed Table'!F844</f>
        <v>281.64999999999998</v>
      </c>
      <c r="N187" s="1591">
        <f>'HVAC Deemed Table'!F845</f>
        <v>0</v>
      </c>
      <c r="O187" s="1598">
        <f t="shared" si="51"/>
        <v>0.74706799999999995</v>
      </c>
      <c r="P187" s="1598">
        <f t="shared" si="52"/>
        <v>0.26684000000000002</v>
      </c>
      <c r="Q187" s="1600">
        <f>'HVAC Deemed Table'!I842</f>
        <v>0.74706799999999995</v>
      </c>
      <c r="R187" s="1600">
        <f>'HVAC Deemed Table'!I843</f>
        <v>0</v>
      </c>
      <c r="S187" s="1600">
        <f>'HVAC Deemed Table'!I844</f>
        <v>0.26684000000000002</v>
      </c>
      <c r="T187" s="1600">
        <f>'HVAC Deemed Table'!I845</f>
        <v>0</v>
      </c>
      <c r="U187" s="1569"/>
      <c r="V187" s="1569"/>
      <c r="W187" s="1569">
        <f>P187</f>
        <v>0.26684000000000002</v>
      </c>
      <c r="X187" s="1583">
        <f>'HVAC Deemed Table'!J842</f>
        <v>6</v>
      </c>
      <c r="Y187" s="1583">
        <f>'HVAC Deemed Table'!J844</f>
        <v>12</v>
      </c>
      <c r="Z187" s="1583">
        <f t="shared" si="37"/>
        <v>18</v>
      </c>
      <c r="AA187" s="1959">
        <f>'HVAC Deemed Table'!BB842</f>
        <v>0.27491070829558073</v>
      </c>
      <c r="AB187" s="1671">
        <f>'HVAC Deemed Table'!K842</f>
        <v>3126.6416558266301</v>
      </c>
      <c r="AC187" s="1964">
        <f t="shared" si="38"/>
        <v>499.62206193312136</v>
      </c>
      <c r="AD187" s="1964">
        <f t="shared" si="46"/>
        <v>311.65426859049001</v>
      </c>
      <c r="AE187" s="1604">
        <f>'HVAC Deemed Table'!BD842</f>
        <v>499.62206193312136</v>
      </c>
      <c r="AF187" s="1604">
        <f>'HVAC Deemed Table'!BD843</f>
        <v>0</v>
      </c>
      <c r="AG187" s="1604">
        <f>'HVAC Deemed Table'!BD844</f>
        <v>311.65426859049001</v>
      </c>
      <c r="AH187" s="1604">
        <f>'HVAC Deemed Table'!BD845</f>
        <v>0</v>
      </c>
      <c r="AI187" s="3366" t="str">
        <f t="shared" si="45"/>
        <v>per measure</v>
      </c>
      <c r="AJ187" s="96">
        <f>'HVAC Deemed Table'!L842</f>
        <v>2</v>
      </c>
      <c r="AK187" s="2610"/>
      <c r="AL187" s="2610"/>
      <c r="AM187" s="1961">
        <f t="shared" si="42"/>
        <v>9.4741810000000004E-4</v>
      </c>
      <c r="AN187" s="84">
        <f t="shared" si="48"/>
        <v>0.74706759439299997</v>
      </c>
      <c r="AO187" s="1965">
        <f t="shared" si="43"/>
        <v>-4.056069999869294E-7</v>
      </c>
    </row>
    <row r="188" spans="1:41" x14ac:dyDescent="0.35">
      <c r="A188" s="103" t="str">
        <f t="shared" si="36"/>
        <v>351800</v>
      </c>
      <c r="B188" s="3346" t="str">
        <f>'HVAC Deemed Table'!C846</f>
        <v>351800_2021_12_</v>
      </c>
      <c r="C188" s="3343" t="str">
        <f>'HVAC Deemed Table'!G846</f>
        <v>Cooling RES</v>
      </c>
      <c r="D188" s="3343" t="str">
        <f>'HVAC Deemed Table'!G847</f>
        <v>Heating RES</v>
      </c>
      <c r="E188" s="3343"/>
      <c r="F188" s="3343"/>
      <c r="G188" s="3343" t="str">
        <f>'HVAC Deemed Table'!E846</f>
        <v>Mini/MultiSplitASHP-Replace_CAC_ElectricHeat_ROF_MF</v>
      </c>
      <c r="H188" s="50" t="str">
        <f>'HVAC Deemed Table'!D846</f>
        <v>MF</v>
      </c>
      <c r="I188" s="1966">
        <f t="shared" si="49"/>
        <v>4649.13</v>
      </c>
      <c r="J188" s="1966">
        <f t="shared" si="50"/>
        <v>0</v>
      </c>
      <c r="K188" s="560">
        <f>'HVAC Deemed Table'!F846</f>
        <v>345.16</v>
      </c>
      <c r="L188" s="560">
        <f>'HVAC Deemed Table'!F847</f>
        <v>4303.97</v>
      </c>
      <c r="M188" s="560"/>
      <c r="N188" s="560"/>
      <c r="O188" s="1967">
        <f t="shared" si="51"/>
        <v>0.327011</v>
      </c>
      <c r="P188" s="1967">
        <f t="shared" si="52"/>
        <v>0</v>
      </c>
      <c r="Q188" s="1968">
        <f>'HVAC Deemed Table'!I846</f>
        <v>0.327011</v>
      </c>
      <c r="R188" s="1968">
        <f>'HVAC Deemed Table'!I847</f>
        <v>0</v>
      </c>
      <c r="S188" s="1968"/>
      <c r="T188" s="1968"/>
      <c r="U188" s="1969"/>
      <c r="V188" s="1969"/>
      <c r="W188" s="1969">
        <f>O188</f>
        <v>0.327011</v>
      </c>
      <c r="X188" s="55">
        <f>'HVAC Deemed Table'!J846</f>
        <v>18</v>
      </c>
      <c r="Y188" s="55"/>
      <c r="Z188" s="55">
        <f t="shared" si="37"/>
        <v>18</v>
      </c>
      <c r="AA188" s="2581">
        <f>'HVAC Deemed Table'!BB846</f>
        <v>7.3207145140145355</v>
      </c>
      <c r="AB188" s="2091">
        <f>'HVAC Deemed Table'!K846</f>
        <v>364.64165582663026</v>
      </c>
      <c r="AC188" s="2583">
        <f t="shared" si="38"/>
        <v>2519.5256840248276</v>
      </c>
      <c r="AD188" s="2583">
        <f t="shared" si="46"/>
        <v>0</v>
      </c>
      <c r="AE188" s="571">
        <f>'HVAC Deemed Table'!BD846</f>
        <v>600.62752433853939</v>
      </c>
      <c r="AF188" s="571">
        <f>'HVAC Deemed Table'!BD847</f>
        <v>1918.8981596862884</v>
      </c>
      <c r="AG188" s="571"/>
      <c r="AH188" s="571"/>
      <c r="AI188" s="2589" t="str">
        <f>AI185</f>
        <v>per measure</v>
      </c>
      <c r="AJ188" s="109">
        <f>'HVAC Deemed Table'!L846</f>
        <v>2</v>
      </c>
      <c r="AK188" s="1501"/>
      <c r="AL188" s="1501"/>
      <c r="AM188" s="1596">
        <f t="shared" si="42"/>
        <v>9.4741810000000004E-4</v>
      </c>
      <c r="AN188" s="84">
        <f t="shared" si="48"/>
        <v>0.32701083139600001</v>
      </c>
      <c r="AO188" s="1595">
        <f t="shared" si="43"/>
        <v>-1.6860399998375186E-7</v>
      </c>
    </row>
    <row r="189" spans="1:41" x14ac:dyDescent="0.35">
      <c r="A189" s="103" t="str">
        <f t="shared" si="36"/>
        <v>351801</v>
      </c>
      <c r="B189" s="3346" t="str">
        <f>'HVAC Deemed Table'!C848</f>
        <v>351801_2021_12_</v>
      </c>
      <c r="C189" s="3343" t="str">
        <f>'HVAC Deemed Table'!G848</f>
        <v>Cooling RES</v>
      </c>
      <c r="D189" s="3343" t="str">
        <f>'HVAC Deemed Table'!G849</f>
        <v>Heating RES</v>
      </c>
      <c r="E189" s="3343"/>
      <c r="F189" s="3343"/>
      <c r="G189" s="3343" t="str">
        <f>'HVAC Deemed Table'!E848</f>
        <v>Mini/MultiSplitASHP-Replace_CAC_ElectricHeat_ROF_MF_CompE</v>
      </c>
      <c r="H189" s="50" t="str">
        <f>'HVAC Deemed Table'!D848</f>
        <v>MFc</v>
      </c>
      <c r="I189" s="1966">
        <f t="shared" si="49"/>
        <v>2236.46</v>
      </c>
      <c r="J189" s="1966">
        <f t="shared" si="50"/>
        <v>0</v>
      </c>
      <c r="K189" s="560">
        <f>'HVAC Deemed Table'!F848</f>
        <v>226.66</v>
      </c>
      <c r="L189" s="560">
        <f>'HVAC Deemed Table'!F849</f>
        <v>2009.8</v>
      </c>
      <c r="M189" s="560"/>
      <c r="N189" s="560"/>
      <c r="O189" s="1967">
        <f t="shared" si="51"/>
        <v>0.21474199999999999</v>
      </c>
      <c r="P189" s="1967">
        <f t="shared" si="52"/>
        <v>0</v>
      </c>
      <c r="Q189" s="1968">
        <f>'HVAC Deemed Table'!I848</f>
        <v>0.21474199999999999</v>
      </c>
      <c r="R189" s="1968">
        <f>'HVAC Deemed Table'!I849</f>
        <v>0</v>
      </c>
      <c r="S189" s="1968"/>
      <c r="T189" s="1968"/>
      <c r="U189" s="1969"/>
      <c r="V189" s="1969"/>
      <c r="W189" s="1969">
        <f>O189</f>
        <v>0.21474199999999999</v>
      </c>
      <c r="X189" s="55">
        <f>'HVAC Deemed Table'!J848</f>
        <v>18</v>
      </c>
      <c r="Y189" s="55"/>
      <c r="Z189" s="55">
        <f t="shared" si="37"/>
        <v>18</v>
      </c>
      <c r="AA189" s="2581">
        <f>'HVAC Deemed Table'!BB848</f>
        <v>3.7496013694212178</v>
      </c>
      <c r="AB189" s="2091">
        <f>'HVAC Deemed Table'!K848</f>
        <v>364.64165582663026</v>
      </c>
      <c r="AC189" s="2583">
        <f t="shared" si="38"/>
        <v>1290.4774441109514</v>
      </c>
      <c r="AD189" s="2583">
        <f t="shared" si="46"/>
        <v>0</v>
      </c>
      <c r="AE189" s="571">
        <f>'HVAC Deemed Table'!BD848</f>
        <v>394.42065901776954</v>
      </c>
      <c r="AF189" s="571">
        <f>'HVAC Deemed Table'!BD849</f>
        <v>896.05678509318193</v>
      </c>
      <c r="AG189" s="571"/>
      <c r="AH189" s="571"/>
      <c r="AI189" s="2589" t="str">
        <f>AI188</f>
        <v>per measure</v>
      </c>
      <c r="AJ189" s="109">
        <f>'HVAC Deemed Table'!L848</f>
        <v>2</v>
      </c>
      <c r="AK189" s="1501"/>
      <c r="AL189" s="1501"/>
      <c r="AM189" s="1596">
        <f t="shared" si="42"/>
        <v>9.4741810000000004E-4</v>
      </c>
      <c r="AN189" s="84">
        <f t="shared" si="48"/>
        <v>0.21474178654600001</v>
      </c>
      <c r="AO189" s="1595">
        <f t="shared" si="43"/>
        <v>-2.1345399997541037E-7</v>
      </c>
    </row>
    <row r="190" spans="1:41" s="84" customFormat="1" x14ac:dyDescent="0.35">
      <c r="A190" s="1618" t="str">
        <f t="shared" si="36"/>
        <v>351802</v>
      </c>
      <c r="B190" s="1590" t="str">
        <f>'HVAC Deemed Table'!C850</f>
        <v>351802_2022_12_</v>
      </c>
      <c r="C190" s="2609" t="str">
        <f>'HVAC Deemed Table'!G850</f>
        <v>Cooling RES</v>
      </c>
      <c r="D190" s="2609" t="str">
        <f>'HVAC Deemed Table'!G851</f>
        <v>Heating RES</v>
      </c>
      <c r="E190" s="1589"/>
      <c r="F190" s="1589"/>
      <c r="G190" s="1589" t="str">
        <f>'HVAC Deemed Table'!E850</f>
        <v>Mini/MultiSplitASHP-Replace_CAC_NonElectricHeat_ROF_MF</v>
      </c>
      <c r="H190" s="1599" t="str">
        <f>'HVAC Deemed Table'!D850</f>
        <v>MF</v>
      </c>
      <c r="I190" s="1597">
        <f t="shared" si="49"/>
        <v>345.16</v>
      </c>
      <c r="J190" s="1597">
        <f t="shared" si="50"/>
        <v>0</v>
      </c>
      <c r="K190" s="1591">
        <f>'HVAC Deemed Table'!F850</f>
        <v>345.16</v>
      </c>
      <c r="L190" s="1591">
        <f>'HVAC Deemed Table'!F851</f>
        <v>0</v>
      </c>
      <c r="M190" s="1591"/>
      <c r="N190" s="1591"/>
      <c r="O190" s="1598">
        <f t="shared" si="51"/>
        <v>0.327011</v>
      </c>
      <c r="P190" s="1598">
        <f t="shared" si="52"/>
        <v>0</v>
      </c>
      <c r="Q190" s="1600">
        <f>'HVAC Deemed Table'!I850</f>
        <v>0.327011</v>
      </c>
      <c r="R190" s="1600">
        <f>'HVAC Deemed Table'!I851</f>
        <v>0</v>
      </c>
      <c r="S190" s="1600"/>
      <c r="T190" s="1600"/>
      <c r="U190" s="1569"/>
      <c r="V190" s="1569"/>
      <c r="W190" s="1569">
        <f>O190</f>
        <v>0.327011</v>
      </c>
      <c r="X190" s="1583">
        <f>'HVAC Deemed Table'!J850</f>
        <v>18</v>
      </c>
      <c r="Y190" s="1583"/>
      <c r="Z190" s="1583">
        <f t="shared" si="37"/>
        <v>18</v>
      </c>
      <c r="AA190" s="1959">
        <f>'HVAC Deemed Table'!BB850</f>
        <v>1.7451787305925457</v>
      </c>
      <c r="AB190" s="1671">
        <f>'HVAC Deemed Table'!K850</f>
        <v>364.64165582663026</v>
      </c>
      <c r="AC190" s="1964">
        <f t="shared" si="38"/>
        <v>600.62752433853939</v>
      </c>
      <c r="AD190" s="1964">
        <f t="shared" si="46"/>
        <v>0</v>
      </c>
      <c r="AE190" s="1604">
        <f>'HVAC Deemed Table'!BD850</f>
        <v>600.62752433853939</v>
      </c>
      <c r="AF190" s="1604">
        <f>'HVAC Deemed Table'!BD851</f>
        <v>0</v>
      </c>
      <c r="AG190" s="1604"/>
      <c r="AH190" s="1604"/>
      <c r="AI190" s="3366" t="str">
        <f>AI189</f>
        <v>per measure</v>
      </c>
      <c r="AJ190" s="96">
        <f>'HVAC Deemed Table'!L850</f>
        <v>2</v>
      </c>
      <c r="AK190" s="2610"/>
      <c r="AL190" s="2610"/>
      <c r="AM190" s="1961">
        <f t="shared" si="42"/>
        <v>9.4741810000000004E-4</v>
      </c>
      <c r="AN190" s="84">
        <f t="shared" si="48"/>
        <v>0.32701083139600001</v>
      </c>
      <c r="AO190" s="1965">
        <f t="shared" si="43"/>
        <v>-1.6860399998375186E-7</v>
      </c>
    </row>
    <row r="191" spans="1:41" s="84" customFormat="1" x14ac:dyDescent="0.35">
      <c r="A191" s="1618" t="str">
        <f t="shared" si="36"/>
        <v>351803</v>
      </c>
      <c r="B191" s="1590" t="str">
        <f>'HVAC Deemed Table'!C852</f>
        <v>351803_2022_12_</v>
      </c>
      <c r="C191" s="2609" t="str">
        <f>'HVAC Deemed Table'!G852</f>
        <v>Cooling RES</v>
      </c>
      <c r="D191" s="2609" t="str">
        <f>'HVAC Deemed Table'!G853</f>
        <v>Heating RES</v>
      </c>
      <c r="E191" s="1589"/>
      <c r="F191" s="1589"/>
      <c r="G191" s="1589" t="str">
        <f>'HVAC Deemed Table'!E852</f>
        <v>Mini/MultiSplitASHP-Replace_CAC_NonElectricHeat_ROF_MF_CompE</v>
      </c>
      <c r="H191" s="1599" t="str">
        <f>'HVAC Deemed Table'!D852</f>
        <v>MFc</v>
      </c>
      <c r="I191" s="1597">
        <f t="shared" si="49"/>
        <v>226.66</v>
      </c>
      <c r="J191" s="1597">
        <f t="shared" si="50"/>
        <v>0</v>
      </c>
      <c r="K191" s="1591">
        <f>'HVAC Deemed Table'!F852</f>
        <v>226.66</v>
      </c>
      <c r="L191" s="1591">
        <f>'HVAC Deemed Table'!F853</f>
        <v>0</v>
      </c>
      <c r="M191" s="1591"/>
      <c r="N191" s="1591"/>
      <c r="O191" s="1598">
        <f t="shared" si="51"/>
        <v>0.21474199999999999</v>
      </c>
      <c r="P191" s="1598">
        <f t="shared" si="52"/>
        <v>0</v>
      </c>
      <c r="Q191" s="1600">
        <f>'HVAC Deemed Table'!I852</f>
        <v>0.21474199999999999</v>
      </c>
      <c r="R191" s="1600">
        <f>'HVAC Deemed Table'!I853</f>
        <v>0</v>
      </c>
      <c r="S191" s="1600"/>
      <c r="T191" s="1600"/>
      <c r="U191" s="1569"/>
      <c r="V191" s="1569"/>
      <c r="W191" s="1569">
        <f>O191</f>
        <v>0.21474199999999999</v>
      </c>
      <c r="X191" s="1583">
        <f>'HVAC Deemed Table'!J852</f>
        <v>18</v>
      </c>
      <c r="Y191" s="1583"/>
      <c r="Z191" s="1583">
        <f t="shared" si="37"/>
        <v>18</v>
      </c>
      <c r="AA191" s="1959">
        <f>'HVAC Deemed Table'!BB852</f>
        <v>1.1460256434004705</v>
      </c>
      <c r="AB191" s="1671">
        <f>'HVAC Deemed Table'!K852</f>
        <v>364.64165582663026</v>
      </c>
      <c r="AC191" s="1964">
        <f t="shared" si="38"/>
        <v>394.42065901776954</v>
      </c>
      <c r="AD191" s="1964">
        <f t="shared" si="46"/>
        <v>0</v>
      </c>
      <c r="AE191" s="1604">
        <f>'HVAC Deemed Table'!BD852</f>
        <v>394.42065901776954</v>
      </c>
      <c r="AF191" s="1604">
        <f>'HVAC Deemed Table'!BD853</f>
        <v>0</v>
      </c>
      <c r="AG191" s="1604"/>
      <c r="AH191" s="1604"/>
      <c r="AI191" s="3366" t="str">
        <f>AI190</f>
        <v>per measure</v>
      </c>
      <c r="AJ191" s="96">
        <f>'HVAC Deemed Table'!L852</f>
        <v>2</v>
      </c>
      <c r="AK191" s="2610"/>
      <c r="AL191" s="2610"/>
      <c r="AM191" s="1961">
        <f t="shared" si="42"/>
        <v>9.4741810000000004E-4</v>
      </c>
      <c r="AN191" s="84">
        <f t="shared" si="48"/>
        <v>0.21474178654600001</v>
      </c>
      <c r="AO191" s="1965">
        <f t="shared" si="43"/>
        <v>-2.1345399997541037E-7</v>
      </c>
    </row>
    <row r="192" spans="1:41" x14ac:dyDescent="0.35">
      <c r="A192" s="103" t="str">
        <f t="shared" si="36"/>
        <v>351850</v>
      </c>
      <c r="B192" s="3346" t="str">
        <f>'HVAC Deemed Table'!C854</f>
        <v>351850_2021_12_</v>
      </c>
      <c r="C192" s="3343" t="str">
        <f>'HVAC Deemed Table'!G854</f>
        <v>Cooling RES</v>
      </c>
      <c r="D192" s="3343" t="str">
        <f>'HVAC Deemed Table'!G855</f>
        <v>Heating RES</v>
      </c>
      <c r="E192" s="3343" t="str">
        <f>'HVAC Deemed Table'!G856</f>
        <v>Cooling RES ER2</v>
      </c>
      <c r="F192" s="3343" t="str">
        <f>'HVAC Deemed Table'!G857</f>
        <v>Heating RES ER2</v>
      </c>
      <c r="G192" s="3343" t="str">
        <f>'HVAC Deemed Table'!E854</f>
        <v>Mini/MultiSplitASHP_ER1_MF</v>
      </c>
      <c r="H192" s="50" t="str">
        <f>'HVAC Deemed Table'!D854</f>
        <v>MF</v>
      </c>
      <c r="I192" s="1966">
        <f t="shared" si="49"/>
        <v>3777.24</v>
      </c>
      <c r="J192" s="1966">
        <f t="shared" si="50"/>
        <v>1863.6999999999998</v>
      </c>
      <c r="K192" s="560">
        <f>'HVAC Deemed Table'!F854</f>
        <v>1200.76</v>
      </c>
      <c r="L192" s="560">
        <f>'HVAC Deemed Table'!F855</f>
        <v>2576.48</v>
      </c>
      <c r="M192" s="560">
        <f>'HVAC Deemed Table'!F856</f>
        <v>428.89</v>
      </c>
      <c r="N192" s="560">
        <f>'HVAC Deemed Table'!F857</f>
        <v>1434.81</v>
      </c>
      <c r="O192" s="1967">
        <f t="shared" si="51"/>
        <v>1.1376219999999999</v>
      </c>
      <c r="P192" s="1967">
        <f t="shared" si="52"/>
        <v>0.40633799999999998</v>
      </c>
      <c r="Q192" s="1968">
        <f>'HVAC Deemed Table'!I854</f>
        <v>1.1376219999999999</v>
      </c>
      <c r="R192" s="1968">
        <f>'HVAC Deemed Table'!I855</f>
        <v>0</v>
      </c>
      <c r="S192" s="1968">
        <f>'HVAC Deemed Table'!I856</f>
        <v>0.40633799999999998</v>
      </c>
      <c r="T192" s="1968">
        <f>'HVAC Deemed Table'!I857</f>
        <v>0</v>
      </c>
      <c r="U192" s="1969"/>
      <c r="V192" s="1969"/>
      <c r="W192" s="1969">
        <f>P192</f>
        <v>0.40633799999999998</v>
      </c>
      <c r="X192" s="55">
        <f>'HVAC Deemed Table'!J854</f>
        <v>6</v>
      </c>
      <c r="Y192" s="55">
        <f>'HVAC Deemed Table'!J856</f>
        <v>12</v>
      </c>
      <c r="Z192" s="55">
        <f t="shared" si="37"/>
        <v>18</v>
      </c>
      <c r="AA192" s="2581">
        <f>'HVAC Deemed Table'!BB854</f>
        <v>2.5612703852031089</v>
      </c>
      <c r="AB192" s="2091">
        <f>'HVAC Deemed Table'!K854</f>
        <v>852.60761248662948</v>
      </c>
      <c r="AC192" s="2583">
        <f t="shared" si="38"/>
        <v>1180.63064533585</v>
      </c>
      <c r="AD192" s="2583">
        <f t="shared" si="46"/>
        <v>880.4912310782438</v>
      </c>
      <c r="AE192" s="571">
        <f>'HVAC Deemed Table'!BD854</f>
        <v>760.81593228769327</v>
      </c>
      <c r="AF192" s="571">
        <f>'HVAC Deemed Table'!BD855</f>
        <v>419.81471304815676</v>
      </c>
      <c r="AG192" s="571">
        <f>'HVAC Deemed Table'!BD856</f>
        <v>474.57979497878665</v>
      </c>
      <c r="AH192" s="571">
        <f>'HVAC Deemed Table'!BD857</f>
        <v>405.91143609945715</v>
      </c>
      <c r="AI192" s="2589" t="str">
        <f>AI189</f>
        <v>per measure</v>
      </c>
      <c r="AJ192" s="109">
        <f>'HVAC Deemed Table'!L854</f>
        <v>2</v>
      </c>
      <c r="AK192" s="1501"/>
      <c r="AL192" s="1501"/>
      <c r="AM192" s="1596">
        <f t="shared" si="42"/>
        <v>9.4741810000000004E-4</v>
      </c>
      <c r="AN192" s="84">
        <f t="shared" si="48"/>
        <v>1.1376217577559999</v>
      </c>
      <c r="AO192" s="1595">
        <f t="shared" si="43"/>
        <v>-2.4224399997052615E-7</v>
      </c>
    </row>
    <row r="193" spans="1:48" x14ac:dyDescent="0.35">
      <c r="A193" s="103" t="str">
        <f t="shared" si="36"/>
        <v>351851</v>
      </c>
      <c r="B193" s="3346" t="str">
        <f>'HVAC Deemed Table'!C858</f>
        <v>351851_2021_12_</v>
      </c>
      <c r="C193" s="3343" t="str">
        <f>'HVAC Deemed Table'!G858</f>
        <v>Cooling RES</v>
      </c>
      <c r="D193" s="3343" t="str">
        <f>'HVAC Deemed Table'!G859</f>
        <v>Heating RES</v>
      </c>
      <c r="E193" s="3343" t="str">
        <f>'HVAC Deemed Table'!G860</f>
        <v>Cooling RES ER2</v>
      </c>
      <c r="F193" s="3343" t="str">
        <f>'HVAC Deemed Table'!G861</f>
        <v>Heating RES ER2</v>
      </c>
      <c r="G193" s="3343" t="str">
        <f>'HVAC Deemed Table'!E858</f>
        <v>Mini/MultiSplitASHP_ER1_MF_CompE</v>
      </c>
      <c r="H193" s="50" t="str">
        <f>'HVAC Deemed Table'!D858</f>
        <v>MFc</v>
      </c>
      <c r="I193" s="1966">
        <f t="shared" si="49"/>
        <v>1767.79</v>
      </c>
      <c r="J193" s="1966">
        <f t="shared" si="50"/>
        <v>960.52</v>
      </c>
      <c r="K193" s="560">
        <f>'HVAC Deemed Table'!F858</f>
        <v>788.53</v>
      </c>
      <c r="L193" s="560">
        <f>'HVAC Deemed Table'!F859</f>
        <v>979.26</v>
      </c>
      <c r="M193" s="560">
        <f>'HVAC Deemed Table'!F860</f>
        <v>281.64999999999998</v>
      </c>
      <c r="N193" s="560">
        <f>'HVAC Deemed Table'!F861</f>
        <v>678.87</v>
      </c>
      <c r="O193" s="1967">
        <f t="shared" si="51"/>
        <v>0.74706799999999995</v>
      </c>
      <c r="P193" s="1967">
        <f t="shared" si="52"/>
        <v>0.26684000000000002</v>
      </c>
      <c r="Q193" s="1968">
        <f>'HVAC Deemed Table'!I858</f>
        <v>0.74706799999999995</v>
      </c>
      <c r="R193" s="1968">
        <f>'HVAC Deemed Table'!I859</f>
        <v>0</v>
      </c>
      <c r="S193" s="1968">
        <f>'HVAC Deemed Table'!I860</f>
        <v>0.26684000000000002</v>
      </c>
      <c r="T193" s="1968">
        <f>'HVAC Deemed Table'!I861</f>
        <v>0</v>
      </c>
      <c r="U193" s="1969"/>
      <c r="V193" s="1969"/>
      <c r="W193" s="1969">
        <f>P193</f>
        <v>0.26684000000000002</v>
      </c>
      <c r="X193" s="55">
        <f>'HVAC Deemed Table'!J858</f>
        <v>6</v>
      </c>
      <c r="Y193" s="55">
        <f>'HVAC Deemed Table'!J860</f>
        <v>12</v>
      </c>
      <c r="Z193" s="55">
        <f t="shared" si="37"/>
        <v>18</v>
      </c>
      <c r="AA193" s="2581">
        <f>'HVAC Deemed Table'!BB858</f>
        <v>1.4450777276898714</v>
      </c>
      <c r="AB193" s="2091">
        <f>'HVAC Deemed Table'!K858</f>
        <v>852.60761248662948</v>
      </c>
      <c r="AC193" s="2583">
        <f t="shared" si="38"/>
        <v>659.18385007024563</v>
      </c>
      <c r="AD193" s="2583">
        <f t="shared" si="46"/>
        <v>503.70833611499745</v>
      </c>
      <c r="AE193" s="571">
        <f>'HVAC Deemed Table'!BD858</f>
        <v>499.62206193312136</v>
      </c>
      <c r="AF193" s="571">
        <f>'HVAC Deemed Table'!BD859</f>
        <v>159.5617881371243</v>
      </c>
      <c r="AG193" s="571">
        <f>'HVAC Deemed Table'!BD860</f>
        <v>311.65426859049001</v>
      </c>
      <c r="AH193" s="571">
        <f>'HVAC Deemed Table'!BD861</f>
        <v>192.05406752450742</v>
      </c>
      <c r="AI193" s="2589" t="str">
        <f t="shared" ref="AI193:AI256" si="53">AI192</f>
        <v>per measure</v>
      </c>
      <c r="AJ193" s="109">
        <f>'HVAC Deemed Table'!L858</f>
        <v>2</v>
      </c>
      <c r="AK193" s="1501"/>
      <c r="AL193" s="1501"/>
      <c r="AM193" s="1596">
        <f t="shared" si="42"/>
        <v>9.4741810000000004E-4</v>
      </c>
      <c r="AN193" s="84">
        <f t="shared" si="48"/>
        <v>0.74706759439299997</v>
      </c>
      <c r="AO193" s="1595">
        <f t="shared" si="43"/>
        <v>-4.056069999869294E-7</v>
      </c>
    </row>
    <row r="194" spans="1:48" x14ac:dyDescent="0.35">
      <c r="A194" s="103" t="str">
        <f t="shared" si="36"/>
        <v>351900</v>
      </c>
      <c r="B194" s="3346" t="str">
        <f>'HVAC Deemed Table'!C1319</f>
        <v>351900_2019_12_</v>
      </c>
      <c r="C194" s="2564" t="str">
        <f>'HVAC Deemed Table'!G1319</f>
        <v>Cooling Res</v>
      </c>
      <c r="D194" s="2564" t="str">
        <f>'HVAC Deemed Table'!G1320</f>
        <v>Heating Res</v>
      </c>
      <c r="E194" s="3343"/>
      <c r="F194" s="3343"/>
      <c r="G194" s="3343" t="str">
        <f>'HVAC Deemed Table'!E1319</f>
        <v>DFHP-SEER19-ROF_MF</v>
      </c>
      <c r="H194" s="50" t="str">
        <f>'HVAC Deemed Table'!D1319</f>
        <v>MF</v>
      </c>
      <c r="I194" s="1966">
        <f t="shared" si="49"/>
        <v>1084.6099999999999</v>
      </c>
      <c r="J194" s="1966">
        <f t="shared" si="50"/>
        <v>0</v>
      </c>
      <c r="K194" s="560">
        <f>'HVAC Deemed Table'!F1319</f>
        <v>433.19</v>
      </c>
      <c r="L194" s="560">
        <f>'HVAC Deemed Table'!F1320</f>
        <v>651.41999999999996</v>
      </c>
      <c r="M194" s="560"/>
      <c r="N194" s="560"/>
      <c r="O194" s="1967">
        <f t="shared" si="51"/>
        <v>0.410412</v>
      </c>
      <c r="P194" s="1967">
        <f t="shared" si="52"/>
        <v>0</v>
      </c>
      <c r="Q194" s="1968">
        <f>'HVAC Deemed Table'!I1319</f>
        <v>0.410412</v>
      </c>
      <c r="R194" s="1968">
        <f>'HVAC Deemed Table'!I1320</f>
        <v>0</v>
      </c>
      <c r="S194" s="1968"/>
      <c r="T194" s="1968"/>
      <c r="U194" s="1969"/>
      <c r="V194" s="1969"/>
      <c r="W194" s="1969">
        <f t="shared" ref="W194:W200" si="54">O194</f>
        <v>0.410412</v>
      </c>
      <c r="X194" s="55">
        <f>'HVAC Deemed Table'!J1319</f>
        <v>18</v>
      </c>
      <c r="Y194" s="55"/>
      <c r="Z194" s="55">
        <f t="shared" si="37"/>
        <v>18</v>
      </c>
      <c r="AA194" s="2581">
        <f>'HVAC Deemed Table'!BB1319</f>
        <v>0.37675417139900874</v>
      </c>
      <c r="AB194" s="2091">
        <f>'HVAC Deemed Table'!K1319</f>
        <v>2936.6</v>
      </c>
      <c r="AC194" s="2583">
        <f t="shared" si="38"/>
        <v>1044.2437939880406</v>
      </c>
      <c r="AD194" s="2583">
        <f t="shared" si="46"/>
        <v>0</v>
      </c>
      <c r="AE194" s="571">
        <f>'HVAC Deemed Table'!BD1319</f>
        <v>753.81225306585895</v>
      </c>
      <c r="AF194" s="571">
        <f>'HVAC Deemed Table'!BD1320</f>
        <v>290.43154092218157</v>
      </c>
      <c r="AG194" s="571"/>
      <c r="AH194" s="571"/>
      <c r="AI194" s="2589" t="str">
        <f t="shared" si="53"/>
        <v>per measure</v>
      </c>
      <c r="AJ194" s="93">
        <f>'HVAC Deemed Table'!L1319</f>
        <v>3.4</v>
      </c>
      <c r="AK194" s="1501"/>
      <c r="AL194" s="1501"/>
      <c r="AM194" s="1596">
        <f t="shared" si="42"/>
        <v>9.4741810000000004E-4</v>
      </c>
      <c r="AN194" s="84">
        <f t="shared" si="48"/>
        <v>0.410412046739</v>
      </c>
      <c r="AO194" s="1595">
        <f t="shared" si="43"/>
        <v>4.6739000003626074E-8</v>
      </c>
    </row>
    <row r="195" spans="1:48" x14ac:dyDescent="0.35">
      <c r="A195" s="103" t="str">
        <f t="shared" si="36"/>
        <v>351901</v>
      </c>
      <c r="B195" s="3346" t="str">
        <f>'HVAC Deemed Table'!C1321</f>
        <v>351901_2019_12_</v>
      </c>
      <c r="C195" s="2564" t="str">
        <f>'HVAC Deemed Table'!G1321</f>
        <v>Cooling Res</v>
      </c>
      <c r="D195" s="2564" t="str">
        <f>'HVAC Deemed Table'!G1322</f>
        <v>Heating Res</v>
      </c>
      <c r="E195" s="3343"/>
      <c r="F195" s="3343"/>
      <c r="G195" s="3343" t="str">
        <f>'HVAC Deemed Table'!E1321</f>
        <v>DFHP-SEER19-ROF_MF_CompE</v>
      </c>
      <c r="H195" s="50" t="str">
        <f>'HVAC Deemed Table'!D1321</f>
        <v>MFc</v>
      </c>
      <c r="I195" s="1966">
        <f t="shared" si="49"/>
        <v>611.94000000000005</v>
      </c>
      <c r="J195" s="1966">
        <f t="shared" si="50"/>
        <v>0</v>
      </c>
      <c r="K195" s="560">
        <f>'HVAC Deemed Table'!F1321</f>
        <v>315.05</v>
      </c>
      <c r="L195" s="560">
        <f>'HVAC Deemed Table'!F1322</f>
        <v>296.89</v>
      </c>
      <c r="M195" s="560"/>
      <c r="N195" s="560"/>
      <c r="O195" s="1967">
        <f t="shared" si="51"/>
        <v>0.29848400000000003</v>
      </c>
      <c r="P195" s="1967">
        <f t="shared" si="52"/>
        <v>0</v>
      </c>
      <c r="Q195" s="1968">
        <f>'HVAC Deemed Table'!I1321</f>
        <v>0.29848400000000003</v>
      </c>
      <c r="R195" s="1968">
        <f>'HVAC Deemed Table'!I1322</f>
        <v>0</v>
      </c>
      <c r="S195" s="1968"/>
      <c r="T195" s="1968"/>
      <c r="U195" s="1969"/>
      <c r="V195" s="1969"/>
      <c r="W195" s="1969">
        <f t="shared" si="54"/>
        <v>0.29848400000000003</v>
      </c>
      <c r="X195" s="55">
        <f>'HVAC Deemed Table'!J1321</f>
        <v>18</v>
      </c>
      <c r="Y195" s="55"/>
      <c r="Z195" s="55">
        <f t="shared" si="37"/>
        <v>18</v>
      </c>
      <c r="AA195" s="2581">
        <f>'HVAC Deemed Table'!BB1321</f>
        <v>0.24555404095793382</v>
      </c>
      <c r="AB195" s="2091">
        <f>'HVAC Deemed Table'!K1321</f>
        <v>2936.6</v>
      </c>
      <c r="AC195" s="2583">
        <f t="shared" si="38"/>
        <v>680.59839233324055</v>
      </c>
      <c r="AD195" s="2583">
        <f t="shared" si="46"/>
        <v>0</v>
      </c>
      <c r="AE195" s="571">
        <f>'HVAC Deemed Table'!BD1321</f>
        <v>548.2318389815066</v>
      </c>
      <c r="AF195" s="571">
        <f>'HVAC Deemed Table'!BD1322</f>
        <v>132.3665533517339</v>
      </c>
      <c r="AG195" s="571"/>
      <c r="AH195" s="571"/>
      <c r="AI195" s="2589" t="str">
        <f t="shared" si="53"/>
        <v>per measure</v>
      </c>
      <c r="AJ195" s="93">
        <f>'HVAC Deemed Table'!L1321</f>
        <v>3.4</v>
      </c>
      <c r="AK195" s="1501"/>
      <c r="AL195" s="1501"/>
      <c r="AM195" s="1596">
        <f t="shared" si="42"/>
        <v>9.4741810000000004E-4</v>
      </c>
      <c r="AN195" s="84">
        <f t="shared" si="48"/>
        <v>0.29848407240500002</v>
      </c>
      <c r="AO195" s="1595">
        <f t="shared" si="43"/>
        <v>7.2404999995612229E-8</v>
      </c>
    </row>
    <row r="196" spans="1:48" x14ac:dyDescent="0.35">
      <c r="A196" s="103" t="str">
        <f t="shared" si="36"/>
        <v>351950</v>
      </c>
      <c r="B196" s="3346" t="str">
        <f>'HVAC Deemed Table'!C1323</f>
        <v>351950_2019_12_</v>
      </c>
      <c r="C196" s="2564" t="str">
        <f>'HVAC Deemed Table'!G1323</f>
        <v>Cooling Res</v>
      </c>
      <c r="D196" s="2564" t="str">
        <f>'HVAC Deemed Table'!G1324</f>
        <v>Heating Res</v>
      </c>
      <c r="E196" s="3343"/>
      <c r="F196" s="3343"/>
      <c r="G196" s="3343" t="str">
        <f>'HVAC Deemed Table'!E1323</f>
        <v>DFHP-SEER20-ROF_MF</v>
      </c>
      <c r="H196" s="50" t="str">
        <f>'HVAC Deemed Table'!D1323</f>
        <v>MF</v>
      </c>
      <c r="I196" s="1966">
        <f t="shared" si="49"/>
        <v>1629.81</v>
      </c>
      <c r="J196" s="1966">
        <f t="shared" si="50"/>
        <v>0</v>
      </c>
      <c r="K196" s="560">
        <f>'HVAC Deemed Table'!F1323</f>
        <v>639.09</v>
      </c>
      <c r="L196" s="560">
        <f>'HVAC Deemed Table'!F1324</f>
        <v>990.72</v>
      </c>
      <c r="M196" s="560"/>
      <c r="N196" s="560"/>
      <c r="O196" s="1967">
        <f t="shared" si="51"/>
        <v>0.60548500000000005</v>
      </c>
      <c r="P196" s="1967">
        <f t="shared" si="52"/>
        <v>0</v>
      </c>
      <c r="Q196" s="1968">
        <f>'HVAC Deemed Table'!I1323</f>
        <v>0.60548500000000005</v>
      </c>
      <c r="R196" s="1968">
        <f>'HVAC Deemed Table'!I1324</f>
        <v>0</v>
      </c>
      <c r="S196" s="1968"/>
      <c r="T196" s="1968"/>
      <c r="U196" s="1969"/>
      <c r="V196" s="1969"/>
      <c r="W196" s="1969">
        <f t="shared" si="54"/>
        <v>0.60548500000000005</v>
      </c>
      <c r="X196" s="55">
        <f>'HVAC Deemed Table'!J1323</f>
        <v>18</v>
      </c>
      <c r="Y196" s="55"/>
      <c r="Z196" s="55">
        <f t="shared" si="37"/>
        <v>18</v>
      </c>
      <c r="AA196" s="2581">
        <f>'HVAC Deemed Table'!BB1323</f>
        <v>0.51824775284711244</v>
      </c>
      <c r="AB196" s="2091">
        <f>'HVAC Deemed Table'!K1323</f>
        <v>3176.6</v>
      </c>
      <c r="AC196" s="2583">
        <f t="shared" si="38"/>
        <v>1553.8138855065004</v>
      </c>
      <c r="AD196" s="2583">
        <f t="shared" si="46"/>
        <v>0</v>
      </c>
      <c r="AE196" s="571">
        <f>'HVAC Deemed Table'!BD1323</f>
        <v>1112.1075574502177</v>
      </c>
      <c r="AF196" s="571">
        <f>'HVAC Deemed Table'!BD1324</f>
        <v>441.70632805628281</v>
      </c>
      <c r="AG196" s="571"/>
      <c r="AH196" s="571"/>
      <c r="AI196" s="2589" t="str">
        <f t="shared" si="53"/>
        <v>per measure</v>
      </c>
      <c r="AJ196" s="93">
        <f>'HVAC Deemed Table'!L1323</f>
        <v>4.4000000000000004</v>
      </c>
      <c r="AK196" s="1501"/>
      <c r="AL196" s="1501"/>
      <c r="AM196" s="1596">
        <f t="shared" si="42"/>
        <v>9.4741810000000004E-4</v>
      </c>
      <c r="AN196" s="84">
        <f t="shared" si="48"/>
        <v>0.60548543352900008</v>
      </c>
      <c r="AO196" s="1595">
        <f t="shared" si="43"/>
        <v>4.3352900003235106E-7</v>
      </c>
    </row>
    <row r="197" spans="1:48" x14ac:dyDescent="0.35">
      <c r="A197" s="103" t="str">
        <f t="shared" si="36"/>
        <v>351951</v>
      </c>
      <c r="B197" s="3346" t="str">
        <f>'HVAC Deemed Table'!C1325</f>
        <v>351951_2019_12_</v>
      </c>
      <c r="C197" s="2564" t="str">
        <f>'HVAC Deemed Table'!G1325</f>
        <v>Cooling Res</v>
      </c>
      <c r="D197" s="2564" t="str">
        <f>'HVAC Deemed Table'!G1326</f>
        <v>Heating Res</v>
      </c>
      <c r="E197" s="3343"/>
      <c r="F197" s="3343"/>
      <c r="G197" s="3343" t="str">
        <f>'HVAC Deemed Table'!E1325</f>
        <v>DFHP-SEER20-ROF_MF_CompE</v>
      </c>
      <c r="H197" s="50" t="str">
        <f>'HVAC Deemed Table'!D1325</f>
        <v>MFc</v>
      </c>
      <c r="I197" s="1966">
        <f t="shared" si="49"/>
        <v>916.33</v>
      </c>
      <c r="J197" s="1966">
        <f t="shared" si="50"/>
        <v>0</v>
      </c>
      <c r="K197" s="560">
        <f>'HVAC Deemed Table'!F1325</f>
        <v>464.79</v>
      </c>
      <c r="L197" s="560">
        <f>'HVAC Deemed Table'!F1326</f>
        <v>451.54</v>
      </c>
      <c r="M197" s="560"/>
      <c r="N197" s="560"/>
      <c r="O197" s="1967">
        <f t="shared" si="51"/>
        <v>0.44035000000000002</v>
      </c>
      <c r="P197" s="1967">
        <f t="shared" si="52"/>
        <v>0</v>
      </c>
      <c r="Q197" s="1968">
        <f>'HVAC Deemed Table'!I1325</f>
        <v>0.44035000000000002</v>
      </c>
      <c r="R197" s="1968">
        <f>'HVAC Deemed Table'!I1326</f>
        <v>0</v>
      </c>
      <c r="S197" s="1968"/>
      <c r="T197" s="1968"/>
      <c r="U197" s="1969"/>
      <c r="V197" s="1969"/>
      <c r="W197" s="1969">
        <f t="shared" si="54"/>
        <v>0.44035000000000002</v>
      </c>
      <c r="X197" s="55">
        <f>'HVAC Deemed Table'!J1325</f>
        <v>18</v>
      </c>
      <c r="Y197" s="55"/>
      <c r="Z197" s="55">
        <f t="shared" si="37"/>
        <v>18</v>
      </c>
      <c r="AA197" s="2581">
        <f>'HVAC Deemed Table'!BB1325</f>
        <v>0.33690707201816911</v>
      </c>
      <c r="AB197" s="2091">
        <f>'HVAC Deemed Table'!K1325</f>
        <v>3176.6</v>
      </c>
      <c r="AC197" s="2583">
        <f t="shared" si="38"/>
        <v>1010.1170410315392</v>
      </c>
      <c r="AD197" s="2583">
        <f t="shared" si="46"/>
        <v>0</v>
      </c>
      <c r="AE197" s="571">
        <f>'HVAC Deemed Table'!BD1325</f>
        <v>808.80075048473088</v>
      </c>
      <c r="AF197" s="571">
        <f>'HVAC Deemed Table'!BD1326</f>
        <v>201.31629054680835</v>
      </c>
      <c r="AG197" s="571"/>
      <c r="AH197" s="571"/>
      <c r="AI197" s="2589" t="str">
        <f t="shared" si="53"/>
        <v>per measure</v>
      </c>
      <c r="AJ197" s="93">
        <f>'HVAC Deemed Table'!L1325</f>
        <v>4.4000000000000004</v>
      </c>
      <c r="AK197" s="1501"/>
      <c r="AL197" s="1501"/>
      <c r="AM197" s="1596">
        <f t="shared" si="42"/>
        <v>9.4741810000000004E-4</v>
      </c>
      <c r="AN197" s="84">
        <f t="shared" si="48"/>
        <v>0.44035045869900002</v>
      </c>
      <c r="AO197" s="1595">
        <f t="shared" si="43"/>
        <v>4.5869900000550246E-7</v>
      </c>
    </row>
    <row r="198" spans="1:48" x14ac:dyDescent="0.35">
      <c r="A198" s="103" t="str">
        <f t="shared" si="36"/>
        <v>352000</v>
      </c>
      <c r="B198" s="3346" t="str">
        <f>'HVAC Deemed Table'!C1327</f>
        <v>352000_2019_12_</v>
      </c>
      <c r="C198" s="2564" t="str">
        <f>'HVAC Deemed Table'!G1327</f>
        <v>Cooling Res</v>
      </c>
      <c r="D198" s="2564" t="str">
        <f>'HVAC Deemed Table'!G1328</f>
        <v>Heating Res</v>
      </c>
      <c r="E198" s="3343"/>
      <c r="F198" s="3343"/>
      <c r="G198" s="3343" t="str">
        <f>'HVAC Deemed Table'!E1327</f>
        <v>DFHP-SEER21-ROF_MF</v>
      </c>
      <c r="H198" s="50" t="str">
        <f>'HVAC Deemed Table'!D1327</f>
        <v>MF</v>
      </c>
      <c r="I198" s="1966">
        <f t="shared" si="49"/>
        <v>2255.2200000000003</v>
      </c>
      <c r="J198" s="1966">
        <f t="shared" si="50"/>
        <v>0</v>
      </c>
      <c r="K198" s="560">
        <f>'HVAC Deemed Table'!F1327</f>
        <v>871.48</v>
      </c>
      <c r="L198" s="560">
        <f>'HVAC Deemed Table'!F1328</f>
        <v>1383.74</v>
      </c>
      <c r="M198" s="560"/>
      <c r="N198" s="560"/>
      <c r="O198" s="1967">
        <f t="shared" si="51"/>
        <v>0.82565599999999995</v>
      </c>
      <c r="P198" s="1967">
        <f t="shared" si="52"/>
        <v>0</v>
      </c>
      <c r="Q198" s="1968">
        <f>'HVAC Deemed Table'!I1327</f>
        <v>0.82565599999999995</v>
      </c>
      <c r="R198" s="1968">
        <f>'HVAC Deemed Table'!I1328</f>
        <v>0</v>
      </c>
      <c r="S198" s="1968"/>
      <c r="T198" s="1968"/>
      <c r="U198" s="1969"/>
      <c r="V198" s="1969"/>
      <c r="W198" s="1969">
        <f t="shared" si="54"/>
        <v>0.82565599999999995</v>
      </c>
      <c r="X198" s="55">
        <f>'HVAC Deemed Table'!J1327</f>
        <v>18</v>
      </c>
      <c r="Y198" s="55"/>
      <c r="Z198" s="55">
        <f t="shared" si="37"/>
        <v>18</v>
      </c>
      <c r="AA198" s="2581">
        <f>'HVAC Deemed Table'!BB1327</f>
        <v>0.62327530545214527</v>
      </c>
      <c r="AB198" s="2091">
        <f>'HVAC Deemed Table'!K1327</f>
        <v>3626.6</v>
      </c>
      <c r="AC198" s="2583">
        <f t="shared" si="38"/>
        <v>2133.4310738581876</v>
      </c>
      <c r="AD198" s="2583">
        <f t="shared" si="46"/>
        <v>0</v>
      </c>
      <c r="AE198" s="571">
        <f>'HVAC Deemed Table'!BD1327</f>
        <v>1516.4992319809662</v>
      </c>
      <c r="AF198" s="571">
        <f>'HVAC Deemed Table'!BD1328</f>
        <v>616.93184187722147</v>
      </c>
      <c r="AG198" s="571"/>
      <c r="AH198" s="571"/>
      <c r="AI198" s="2589" t="str">
        <f t="shared" si="53"/>
        <v>per measure</v>
      </c>
      <c r="AJ198" s="93">
        <f>'HVAC Deemed Table'!L1327</f>
        <v>5.4</v>
      </c>
      <c r="AK198" s="1501"/>
      <c r="AL198" s="1501"/>
      <c r="AM198" s="1596">
        <f t="shared" si="42"/>
        <v>9.4741810000000004E-4</v>
      </c>
      <c r="AN198" s="84">
        <f t="shared" si="48"/>
        <v>0.82565592578800007</v>
      </c>
      <c r="AO198" s="1595">
        <f t="shared" si="43"/>
        <v>-7.4211999878670554E-8</v>
      </c>
    </row>
    <row r="199" spans="1:48" x14ac:dyDescent="0.35">
      <c r="A199" s="103" t="str">
        <f t="shared" si="36"/>
        <v>352001</v>
      </c>
      <c r="B199" s="3346" t="str">
        <f>'HVAC Deemed Table'!C1329</f>
        <v>352001_2019_12_</v>
      </c>
      <c r="C199" s="2564" t="str">
        <f>'HVAC Deemed Table'!G1329</f>
        <v>Cooling Res</v>
      </c>
      <c r="D199" s="2564" t="str">
        <f>'HVAC Deemed Table'!G1330</f>
        <v>Heating Res</v>
      </c>
      <c r="E199" s="3343"/>
      <c r="F199" s="3343"/>
      <c r="G199" s="3343" t="str">
        <f>'HVAC Deemed Table'!E1329</f>
        <v>DFHP-SEER21-ROF_MF_CompE</v>
      </c>
      <c r="H199" s="50" t="str">
        <f>'HVAC Deemed Table'!D1329</f>
        <v>MFc</v>
      </c>
      <c r="I199" s="1966">
        <f t="shared" si="49"/>
        <v>1264.4699999999998</v>
      </c>
      <c r="J199" s="1966">
        <f t="shared" si="50"/>
        <v>0</v>
      </c>
      <c r="K199" s="560">
        <f>'HVAC Deemed Table'!F1329</f>
        <v>633.80999999999995</v>
      </c>
      <c r="L199" s="560">
        <f>'HVAC Deemed Table'!F1330</f>
        <v>630.66</v>
      </c>
      <c r="M199" s="560"/>
      <c r="N199" s="560"/>
      <c r="O199" s="1967">
        <f t="shared" si="51"/>
        <v>0.60048299999999999</v>
      </c>
      <c r="P199" s="1967">
        <f t="shared" si="52"/>
        <v>0</v>
      </c>
      <c r="Q199" s="1968">
        <f>'HVAC Deemed Table'!I1329</f>
        <v>0.60048299999999999</v>
      </c>
      <c r="R199" s="1968">
        <f>'HVAC Deemed Table'!I1330</f>
        <v>0</v>
      </c>
      <c r="S199" s="1968"/>
      <c r="T199" s="1968"/>
      <c r="U199" s="1969"/>
      <c r="V199" s="1969"/>
      <c r="W199" s="1969">
        <f t="shared" si="54"/>
        <v>0.60048299999999999</v>
      </c>
      <c r="X199" s="55">
        <f>'HVAC Deemed Table'!J1329</f>
        <v>18</v>
      </c>
      <c r="Y199" s="55"/>
      <c r="Z199" s="55">
        <f t="shared" si="37"/>
        <v>18</v>
      </c>
      <c r="AA199" s="2581">
        <f>'HVAC Deemed Table'!BB1329</f>
        <v>0.40435920934209774</v>
      </c>
      <c r="AB199" s="2091">
        <f>'HVAC Deemed Table'!K1329</f>
        <v>3626.6</v>
      </c>
      <c r="AC199" s="2583">
        <f t="shared" si="38"/>
        <v>1384.095430486127</v>
      </c>
      <c r="AD199" s="2583">
        <f t="shared" si="46"/>
        <v>0</v>
      </c>
      <c r="AE199" s="571">
        <f>'HVAC Deemed Table'!BD1329</f>
        <v>1102.9196059827605</v>
      </c>
      <c r="AF199" s="571">
        <f>'HVAC Deemed Table'!BD1330</f>
        <v>281.17582450336658</v>
      </c>
      <c r="AG199" s="571"/>
      <c r="AH199" s="571"/>
      <c r="AI199" s="2589" t="str">
        <f t="shared" si="53"/>
        <v>per measure</v>
      </c>
      <c r="AJ199" s="93">
        <f>'HVAC Deemed Table'!L1329</f>
        <v>5.4</v>
      </c>
      <c r="AK199" s="1501"/>
      <c r="AL199" s="1501"/>
      <c r="AM199" s="1596">
        <f t="shared" si="42"/>
        <v>9.4741810000000004E-4</v>
      </c>
      <c r="AN199" s="84">
        <f t="shared" si="48"/>
        <v>0.60048306596099998</v>
      </c>
      <c r="AO199" s="1595">
        <f t="shared" si="43"/>
        <v>6.596099999534033E-8</v>
      </c>
    </row>
    <row r="200" spans="1:48" x14ac:dyDescent="0.35">
      <c r="A200" s="103" t="str">
        <f t="shared" si="36"/>
        <v>352050</v>
      </c>
      <c r="B200" s="3346" t="str">
        <f>'HVAC Deemed Table'!C1423</f>
        <v>352050_2021_12_</v>
      </c>
      <c r="C200" s="2564" t="str">
        <f>'HVAC Deemed Table'!G1423</f>
        <v>Cooling Res</v>
      </c>
      <c r="D200" s="2564" t="str">
        <f>'HVAC Deemed Table'!G1424</f>
        <v>Heating RES</v>
      </c>
      <c r="E200" s="3343"/>
      <c r="F200" s="3343"/>
      <c r="G200" s="3343" t="str">
        <f>'HVAC Deemed Table'!E1423</f>
        <v>GSHP-EER23-Replace_CAC_ElectricHeat_ROF_SF</v>
      </c>
      <c r="H200" s="50" t="str">
        <f>'HVAC Deemed Table'!D1423</f>
        <v>SF</v>
      </c>
      <c r="I200" s="1966">
        <f t="shared" si="49"/>
        <v>17733.8</v>
      </c>
      <c r="J200" s="1966">
        <f t="shared" si="50"/>
        <v>0</v>
      </c>
      <c r="K200" s="560">
        <f>'HVAC Deemed Table'!F1423</f>
        <v>1510.41</v>
      </c>
      <c r="L200" s="560">
        <f>'HVAC Deemed Table'!F1424</f>
        <v>16223.39</v>
      </c>
      <c r="M200" s="560"/>
      <c r="N200" s="560"/>
      <c r="O200" s="1967">
        <f t="shared" si="51"/>
        <v>1.43099</v>
      </c>
      <c r="P200" s="1967">
        <f t="shared" si="52"/>
        <v>0</v>
      </c>
      <c r="Q200" s="1968">
        <f>'HVAC Deemed Table'!I1423</f>
        <v>1.43099</v>
      </c>
      <c r="R200" s="1968">
        <f>'HVAC Deemed Table'!I1424</f>
        <v>0</v>
      </c>
      <c r="S200" s="1968"/>
      <c r="T200" s="1968"/>
      <c r="U200" s="1969"/>
      <c r="V200" s="1969"/>
      <c r="W200" s="1969">
        <f t="shared" si="54"/>
        <v>1.43099</v>
      </c>
      <c r="X200" s="55">
        <f>'HVAC Deemed Table'!J1423</f>
        <v>18</v>
      </c>
      <c r="Y200" s="55"/>
      <c r="Z200" s="55">
        <f t="shared" si="37"/>
        <v>18</v>
      </c>
      <c r="AA200" s="2581">
        <f>'HVAC Deemed Table'!BB1423</f>
        <v>2.215005374849111</v>
      </c>
      <c r="AB200" s="2091">
        <f>'HVAC Deemed Table'!K1423</f>
        <v>4717</v>
      </c>
      <c r="AC200" s="2583">
        <f t="shared" si="38"/>
        <v>9861.4255338964194</v>
      </c>
      <c r="AD200" s="2583">
        <f t="shared" si="46"/>
        <v>0</v>
      </c>
      <c r="AE200" s="571">
        <f>'HVAC Deemed Table'!BD1423</f>
        <v>2628.328366659443</v>
      </c>
      <c r="AF200" s="571">
        <f>'HVAC Deemed Table'!BD1424</f>
        <v>7233.0971672369769</v>
      </c>
      <c r="AG200" s="571"/>
      <c r="AH200" s="571"/>
      <c r="AI200" s="2589" t="str">
        <f t="shared" si="53"/>
        <v>per measure</v>
      </c>
      <c r="AJ200" s="93">
        <f>'HVAC Deemed Table'!L1423</f>
        <v>3.8698630136986303</v>
      </c>
      <c r="AK200" s="1501"/>
      <c r="AL200" s="1501"/>
      <c r="AM200" s="1596">
        <f t="shared" si="42"/>
        <v>9.4741810000000004E-4</v>
      </c>
      <c r="AN200" s="84">
        <f t="shared" si="48"/>
        <v>1.4309897724210001</v>
      </c>
      <c r="AO200" s="1595">
        <f t="shared" si="43"/>
        <v>-2.2757899986736163E-7</v>
      </c>
    </row>
    <row r="201" spans="1:48" x14ac:dyDescent="0.35">
      <c r="A201" s="103" t="str">
        <f t="shared" ref="A201:A269" si="55">LEFT(B201,6)</f>
        <v>352100</v>
      </c>
      <c r="B201" s="3346" t="str">
        <f>'HVAC Deemed Table'!C1425</f>
        <v>352100_2021_12_</v>
      </c>
      <c r="C201" s="2564" t="str">
        <f>'HVAC Deemed Table'!G1425</f>
        <v>Cooling Res</v>
      </c>
      <c r="D201" s="2564" t="str">
        <f>'HVAC Deemed Table'!G1426</f>
        <v>Heating RES</v>
      </c>
      <c r="E201" s="2564" t="str">
        <f>'HVAC Deemed Table'!G1427</f>
        <v>Cooling Res ER2</v>
      </c>
      <c r="F201" s="2564" t="str">
        <f>'HVAC Deemed Table'!G1428</f>
        <v>Heating RES ER2</v>
      </c>
      <c r="G201" s="3343" t="str">
        <f>'HVAC Deemed Table'!E1425</f>
        <v>GSHP-EER23-Replace_CAC_ElectricHeat_ER1_SF</v>
      </c>
      <c r="H201" s="50" t="str">
        <f>'HVAC Deemed Table'!D1425</f>
        <v>SF</v>
      </c>
      <c r="I201" s="1966">
        <f t="shared" si="49"/>
        <v>20718.29</v>
      </c>
      <c r="J201" s="1966">
        <f t="shared" si="50"/>
        <v>17215.98</v>
      </c>
      <c r="K201" s="560">
        <f>'HVAC Deemed Table'!F1425</f>
        <v>4933.84</v>
      </c>
      <c r="L201" s="560">
        <f>'HVAC Deemed Table'!F1426</f>
        <v>15784.45</v>
      </c>
      <c r="M201" s="560">
        <f>'HVAC Deemed Table'!F1427</f>
        <v>1431.53</v>
      </c>
      <c r="N201" s="560">
        <f>'HVAC Deemed Table'!F1428</f>
        <v>15784.45</v>
      </c>
      <c r="O201" s="1967">
        <f t="shared" si="51"/>
        <v>4.6744089999999998</v>
      </c>
      <c r="P201" s="1967">
        <f t="shared" si="52"/>
        <v>1.356257</v>
      </c>
      <c r="Q201" s="1968">
        <f>'HVAC Deemed Table'!I1425</f>
        <v>4.6744089999999998</v>
      </c>
      <c r="R201" s="1968">
        <f>'HVAC Deemed Table'!I1426</f>
        <v>0</v>
      </c>
      <c r="S201" s="1968">
        <f>'HVAC Deemed Table'!I1427</f>
        <v>1.356257</v>
      </c>
      <c r="T201" s="1968">
        <f>'HVAC Deemed Table'!I1428</f>
        <v>0</v>
      </c>
      <c r="U201" s="1969"/>
      <c r="V201" s="1969"/>
      <c r="W201" s="1969">
        <f>P201</f>
        <v>1.356257</v>
      </c>
      <c r="X201" s="55">
        <f>'HVAC Deemed Table'!J1425</f>
        <v>6</v>
      </c>
      <c r="Y201" s="55">
        <f>'HVAC Deemed Table'!J1427</f>
        <v>12</v>
      </c>
      <c r="Z201" s="55">
        <f t="shared" ref="Z201:Z269" si="56">Y201+X201</f>
        <v>18</v>
      </c>
      <c r="AA201" s="2581">
        <f>'HVAC Deemed Table'!BB1425</f>
        <v>2.3707715186227403</v>
      </c>
      <c r="AB201" s="2091">
        <f>'HVAC Deemed Table'!K1425</f>
        <v>5250</v>
      </c>
      <c r="AC201" s="2583">
        <f t="shared" ref="AC201:AC269" si="57">AE201+AF201</f>
        <v>5698.0772183441259</v>
      </c>
      <c r="AD201" s="2583">
        <f t="shared" si="46"/>
        <v>6049.4928361810125</v>
      </c>
      <c r="AE201" s="571">
        <f>'HVAC Deemed Table'!BD1425</f>
        <v>3126.1401773529374</v>
      </c>
      <c r="AF201" s="571">
        <f>'HVAC Deemed Table'!BD1426</f>
        <v>2571.937040991189</v>
      </c>
      <c r="AG201" s="571">
        <f>'HVAC Deemed Table'!BD1427</f>
        <v>1584.0313691295728</v>
      </c>
      <c r="AH201" s="571">
        <f>'HVAC Deemed Table'!BD1428</f>
        <v>4465.4614670514402</v>
      </c>
      <c r="AI201" s="2589" t="str">
        <f t="shared" si="53"/>
        <v>per measure</v>
      </c>
      <c r="AJ201" s="93">
        <f>'HVAC Deemed Table'!L1425</f>
        <v>3.8698630136986303</v>
      </c>
      <c r="AK201" s="1501"/>
      <c r="AL201" s="1501"/>
      <c r="AM201" s="1596">
        <f t="shared" si="42"/>
        <v>9.4741810000000004E-4</v>
      </c>
      <c r="AN201" s="84">
        <f t="shared" si="48"/>
        <v>4.6744093185039999</v>
      </c>
      <c r="AO201" s="1595">
        <f t="shared" si="43"/>
        <v>3.185040000630579E-7</v>
      </c>
    </row>
    <row r="202" spans="1:48" x14ac:dyDescent="0.35">
      <c r="A202" s="103" t="str">
        <f t="shared" si="55"/>
        <v>352200</v>
      </c>
      <c r="B202" s="3346" t="str">
        <f>'HVAC Deemed Table'!C1429</f>
        <v>352200_2021_12_</v>
      </c>
      <c r="C202" s="2564" t="str">
        <f>'HVAC Deemed Table'!G1429</f>
        <v>Cooling Res</v>
      </c>
      <c r="D202" s="2564" t="str">
        <f>'HVAC Deemed Table'!G1430</f>
        <v>Heating RES</v>
      </c>
      <c r="E202" s="2564" t="str">
        <f>'HVAC Deemed Table'!G1431</f>
        <v>Cooling Res ER2</v>
      </c>
      <c r="F202" s="2564" t="str">
        <f>'HVAC Deemed Table'!G1432</f>
        <v>Heating RES ER2</v>
      </c>
      <c r="G202" s="3343" t="str">
        <f>'HVAC Deemed Table'!E1429</f>
        <v>GSHP-EER23_ER1_SF</v>
      </c>
      <c r="H202" s="50" t="str">
        <f>'HVAC Deemed Table'!D1429</f>
        <v>SF</v>
      </c>
      <c r="I202" s="1966">
        <f t="shared" si="49"/>
        <v>6243.76</v>
      </c>
      <c r="J202" s="1966">
        <f t="shared" si="50"/>
        <v>3409.3599999999997</v>
      </c>
      <c r="K202" s="560">
        <f>'HVAC Deemed Table'!F1429</f>
        <v>3557.73</v>
      </c>
      <c r="L202" s="560">
        <f>'HVAC Deemed Table'!F1430</f>
        <v>2686.03</v>
      </c>
      <c r="M202" s="560">
        <f>'HVAC Deemed Table'!F1431</f>
        <v>1431.53</v>
      </c>
      <c r="N202" s="560">
        <f>'HVAC Deemed Table'!F1432</f>
        <v>1977.83</v>
      </c>
      <c r="O202" s="1967">
        <f t="shared" si="51"/>
        <v>3.3706580000000002</v>
      </c>
      <c r="P202" s="1967">
        <f t="shared" si="52"/>
        <v>1.356257</v>
      </c>
      <c r="Q202" s="1968">
        <f>'HVAC Deemed Table'!I1429</f>
        <v>3.3706580000000002</v>
      </c>
      <c r="R202" s="1968">
        <f>'HVAC Deemed Table'!I1430</f>
        <v>0</v>
      </c>
      <c r="S202" s="1968">
        <f>'HVAC Deemed Table'!I1431</f>
        <v>1.356257</v>
      </c>
      <c r="T202" s="1968">
        <f>'HVAC Deemed Table'!I1432</f>
        <v>0</v>
      </c>
      <c r="U202" s="1969"/>
      <c r="V202" s="1969"/>
      <c r="W202" s="1969">
        <f>P202</f>
        <v>1.356257</v>
      </c>
      <c r="X202" s="55">
        <f>'HVAC Deemed Table'!J1429</f>
        <v>6</v>
      </c>
      <c r="Y202" s="55">
        <f>'HVAC Deemed Table'!J1431</f>
        <v>12</v>
      </c>
      <c r="Z202" s="55">
        <f t="shared" si="56"/>
        <v>18</v>
      </c>
      <c r="AA202" s="2581">
        <f>'HVAC Deemed Table'!BB1429</f>
        <v>1.054364916319209</v>
      </c>
      <c r="AB202" s="2091">
        <f>'HVAC Deemed Table'!K1429</f>
        <v>4859</v>
      </c>
      <c r="AC202" s="2583">
        <f t="shared" si="57"/>
        <v>2691.8853029748252</v>
      </c>
      <c r="AD202" s="2583">
        <f t="shared" si="46"/>
        <v>2143.5645586533351</v>
      </c>
      <c r="AE202" s="571">
        <f>'HVAC Deemed Table'!BD1429</f>
        <v>2254.2203827391777</v>
      </c>
      <c r="AF202" s="571">
        <f>'HVAC Deemed Table'!BD1430</f>
        <v>437.66492023564734</v>
      </c>
      <c r="AG202" s="571">
        <f>'HVAC Deemed Table'!BD1431</f>
        <v>1584.0313691295728</v>
      </c>
      <c r="AH202" s="571">
        <f>'HVAC Deemed Table'!BD1432</f>
        <v>559.53318952376219</v>
      </c>
      <c r="AI202" s="2589" t="str">
        <f t="shared" si="53"/>
        <v>per measure</v>
      </c>
      <c r="AJ202" s="93">
        <f>'HVAC Deemed Table'!L1429</f>
        <v>3.8698630136986303</v>
      </c>
      <c r="AK202" s="1501"/>
      <c r="AL202" s="1501"/>
      <c r="AM202" s="1596">
        <f t="shared" si="42"/>
        <v>9.4741810000000004E-4</v>
      </c>
      <c r="AN202" s="84">
        <f t="shared" si="48"/>
        <v>3.370657796913</v>
      </c>
      <c r="AO202" s="1595">
        <f t="shared" si="43"/>
        <v>-2.0308700010573943E-7</v>
      </c>
    </row>
    <row r="203" spans="1:48" s="84" customFormat="1" ht="14.25" customHeight="1" x14ac:dyDescent="0.35">
      <c r="A203" s="103" t="str">
        <f t="shared" si="55"/>
        <v>352250</v>
      </c>
      <c r="B203" s="3346" t="str">
        <f>'HVAC Deemed Table'!C1433</f>
        <v>352250_2021_12_</v>
      </c>
      <c r="C203" s="2564" t="str">
        <f>'HVAC Deemed Table'!G1433</f>
        <v>Cooling Res</v>
      </c>
      <c r="D203" s="2564" t="str">
        <f>'HVAC Deemed Table'!G1434</f>
        <v>Heating RES</v>
      </c>
      <c r="E203" s="3343"/>
      <c r="F203" s="3343"/>
      <c r="G203" s="3343" t="str">
        <f>'HVAC Deemed Table'!E1433</f>
        <v>GSHP-EER23_ROF_SF</v>
      </c>
      <c r="H203" s="50" t="str">
        <f>'HVAC Deemed Table'!D1433</f>
        <v>SF</v>
      </c>
      <c r="I203" s="1966">
        <f t="shared" si="49"/>
        <v>3543.24</v>
      </c>
      <c r="J203" s="1966">
        <f t="shared" si="50"/>
        <v>0</v>
      </c>
      <c r="K203" s="560">
        <f>'HVAC Deemed Table'!F1433</f>
        <v>1510.41</v>
      </c>
      <c r="L203" s="560">
        <f>'HVAC Deemed Table'!F1434</f>
        <v>2032.83</v>
      </c>
      <c r="M203" s="560"/>
      <c r="N203" s="560"/>
      <c r="O203" s="1967">
        <f t="shared" si="51"/>
        <v>1.43099</v>
      </c>
      <c r="P203" s="1967">
        <f t="shared" si="52"/>
        <v>0</v>
      </c>
      <c r="Q203" s="1968">
        <f>'HVAC Deemed Table'!I1433</f>
        <v>1.43099</v>
      </c>
      <c r="R203" s="1968">
        <f>'HVAC Deemed Table'!I1434</f>
        <v>0</v>
      </c>
      <c r="S203" s="1968"/>
      <c r="T203" s="1968"/>
      <c r="U203" s="1969"/>
      <c r="V203" s="1969"/>
      <c r="W203" s="1969">
        <f>O203</f>
        <v>1.43099</v>
      </c>
      <c r="X203" s="55">
        <f>'HVAC Deemed Table'!J1433</f>
        <v>18</v>
      </c>
      <c r="Y203" s="55"/>
      <c r="Z203" s="55">
        <f t="shared" si="56"/>
        <v>18</v>
      </c>
      <c r="AA203" s="2581">
        <f>'HVAC Deemed Table'!BB1433</f>
        <v>1.17030149470181</v>
      </c>
      <c r="AB203" s="2091">
        <f>'HVAC Deemed Table'!K1433</f>
        <v>3200</v>
      </c>
      <c r="AC203" s="2583">
        <f t="shared" si="57"/>
        <v>3534.6529335023988</v>
      </c>
      <c r="AD203" s="2583">
        <f t="shared" si="46"/>
        <v>0</v>
      </c>
      <c r="AE203" s="571">
        <f>'HVAC Deemed Table'!BD1433</f>
        <v>2628.328366659443</v>
      </c>
      <c r="AF203" s="571">
        <f>'HVAC Deemed Table'!BD1434</f>
        <v>906.32456684295607</v>
      </c>
      <c r="AG203" s="571"/>
      <c r="AH203" s="571"/>
      <c r="AI203" s="2589" t="str">
        <f t="shared" si="53"/>
        <v>per measure</v>
      </c>
      <c r="AJ203" s="93">
        <f>'HVAC Deemed Table'!L1433</f>
        <v>3.977477477477477</v>
      </c>
      <c r="AK203" s="1501"/>
      <c r="AL203" s="1501"/>
      <c r="AM203" s="1596">
        <f t="shared" si="42"/>
        <v>9.4741810000000004E-4</v>
      </c>
      <c r="AN203" s="84">
        <f t="shared" si="48"/>
        <v>1.4309897724210001</v>
      </c>
      <c r="AO203" s="1595">
        <f t="shared" si="43"/>
        <v>-2.2757899986736163E-7</v>
      </c>
      <c r="AP203"/>
      <c r="AQ203"/>
      <c r="AR203"/>
      <c r="AS203"/>
      <c r="AT203"/>
      <c r="AU203"/>
      <c r="AV203"/>
    </row>
    <row r="204" spans="1:48" x14ac:dyDescent="0.35">
      <c r="A204" s="103" t="str">
        <f t="shared" si="55"/>
        <v>352300</v>
      </c>
      <c r="B204" s="3346" t="str">
        <f>'HVAC Deemed Table'!C1534</f>
        <v>352300_2021_12_</v>
      </c>
      <c r="C204" s="2564" t="str">
        <f>'HVAC Deemed Table'!G1534</f>
        <v>Cooling Res</v>
      </c>
      <c r="D204" s="2564" t="str">
        <f>'HVAC Deemed Table'!G1535</f>
        <v>Heating Res</v>
      </c>
      <c r="E204" s="2564" t="str">
        <f>'HVAC Deemed Table'!G1536</f>
        <v>Cooling Res ER2</v>
      </c>
      <c r="F204" s="2564" t="str">
        <f>'HVAC Deemed Table'!G1537</f>
        <v>Heating Res ER2</v>
      </c>
      <c r="G204" s="3343" t="str">
        <f>'HVAC Deemed Table'!E1534</f>
        <v>ASHP-SEER15-Replace_CAC_ElectricHeat_ER1_SF</v>
      </c>
      <c r="H204" s="50" t="str">
        <f>'HVAC Deemed Table'!D1534</f>
        <v>SF</v>
      </c>
      <c r="I204" s="1966">
        <f t="shared" si="49"/>
        <v>10855.13</v>
      </c>
      <c r="J204" s="1966">
        <f t="shared" si="50"/>
        <v>9083.9699999999993</v>
      </c>
      <c r="K204" s="560">
        <f>'HVAC Deemed Table'!F1534</f>
        <v>2105.67</v>
      </c>
      <c r="L204" s="560">
        <f>'HVAC Deemed Table'!F1535</f>
        <v>8749.4599999999991</v>
      </c>
      <c r="M204" s="560">
        <f>'HVAC Deemed Table'!F1536</f>
        <v>334.51</v>
      </c>
      <c r="N204" s="560">
        <f>'HVAC Deemed Table'!F1537</f>
        <v>8749.4599999999991</v>
      </c>
      <c r="O204" s="1967">
        <f t="shared" si="51"/>
        <v>1.99495</v>
      </c>
      <c r="P204" s="1967">
        <f t="shared" si="52"/>
        <v>0.31692100000000001</v>
      </c>
      <c r="Q204" s="1968">
        <f>'HVAC Deemed Table'!I1534</f>
        <v>1.99495</v>
      </c>
      <c r="R204" s="1968">
        <f>'HVAC Deemed Table'!I1535</f>
        <v>0</v>
      </c>
      <c r="S204" s="1968">
        <f>'HVAC Deemed Table'!I1536</f>
        <v>0.31692100000000001</v>
      </c>
      <c r="T204" s="1968">
        <f>'HVAC Deemed Table'!I1537</f>
        <v>0</v>
      </c>
      <c r="U204" s="1969"/>
      <c r="V204" s="1969"/>
      <c r="W204" s="1969">
        <f>P204</f>
        <v>0.31692100000000001</v>
      </c>
      <c r="X204" s="55">
        <f>'HVAC Deemed Table'!J1534</f>
        <v>6</v>
      </c>
      <c r="Y204" s="55">
        <f>'HVAC Deemed Table'!J1536</f>
        <v>12</v>
      </c>
      <c r="Z204" s="55">
        <f t="shared" si="56"/>
        <v>18</v>
      </c>
      <c r="AA204" s="49">
        <f>'HVAC Deemed Table'!BB1534</f>
        <v>6.2352961397515472</v>
      </c>
      <c r="AB204" s="698">
        <f>'HVAC Deemed Table'!K1534</f>
        <v>952.43682540301188</v>
      </c>
      <c r="AC204" s="2583">
        <f t="shared" si="57"/>
        <v>2759.8251676572172</v>
      </c>
      <c r="AD204" s="2583">
        <f t="shared" si="46"/>
        <v>2845.3901799526147</v>
      </c>
      <c r="AE204" s="571">
        <f>'HVAC Deemed Table'!BD1534</f>
        <v>1334.1777575370825</v>
      </c>
      <c r="AF204" s="571">
        <f>'HVAC Deemed Table'!BD1535</f>
        <v>1425.647410120135</v>
      </c>
      <c r="AG204" s="571">
        <f>'HVAC Deemed Table'!BD1536</f>
        <v>370.14546204936914</v>
      </c>
      <c r="AH204" s="571">
        <f>'HVAC Deemed Table'!BD1537</f>
        <v>2475.2447179032456</v>
      </c>
      <c r="AI204" s="2589" t="str">
        <f t="shared" si="53"/>
        <v>per measure</v>
      </c>
      <c r="AJ204" s="93">
        <f>'HVAC Deemed Table'!L1534</f>
        <v>2.7180155017750378</v>
      </c>
      <c r="AK204" s="1501"/>
      <c r="AL204" s="1501"/>
      <c r="AM204" s="1596">
        <f t="shared" si="42"/>
        <v>9.4741810000000004E-4</v>
      </c>
      <c r="AN204" s="84">
        <f t="shared" si="48"/>
        <v>1.9949498706270001</v>
      </c>
      <c r="AO204" s="1595">
        <f t="shared" si="43"/>
        <v>-1.293729998685933E-7</v>
      </c>
    </row>
    <row r="205" spans="1:48" x14ac:dyDescent="0.35">
      <c r="A205" s="103" t="str">
        <f t="shared" si="55"/>
        <v>352310</v>
      </c>
      <c r="B205" s="3346" t="str">
        <f>'HVAC Deemed Table'!C1538</f>
        <v>352310_2021_12_</v>
      </c>
      <c r="C205" s="2564" t="str">
        <f>'HVAC Deemed Table'!G1538</f>
        <v>Cooling Res</v>
      </c>
      <c r="D205" s="2564" t="str">
        <f>'HVAC Deemed Table'!G1539</f>
        <v>Heating Res</v>
      </c>
      <c r="E205" s="2564" t="str">
        <f>'HVAC Deemed Table'!G1540</f>
        <v>Cooling Res ER2</v>
      </c>
      <c r="F205" s="2564" t="str">
        <f>'HVAC Deemed Table'!G1541</f>
        <v>Heating Res ER2</v>
      </c>
      <c r="G205" s="3343" t="str">
        <f>'HVAC Deemed Table'!E1538</f>
        <v>ASHP-SEER15-Replace_CAC_NonElectricHeat_ER1_SF</v>
      </c>
      <c r="H205" s="50" t="str">
        <f>'HVAC Deemed Table'!D1538</f>
        <v>SF</v>
      </c>
      <c r="I205" s="1966">
        <f t="shared" si="49"/>
        <v>2105.67</v>
      </c>
      <c r="J205" s="1966">
        <f t="shared" si="50"/>
        <v>334.51</v>
      </c>
      <c r="K205" s="560">
        <f>'HVAC Deemed Table'!F1538</f>
        <v>2105.67</v>
      </c>
      <c r="L205" s="560">
        <f>'HVAC Deemed Table'!F1539</f>
        <v>0</v>
      </c>
      <c r="M205" s="560">
        <f>'HVAC Deemed Table'!F1540</f>
        <v>334.51</v>
      </c>
      <c r="N205" s="560">
        <f>'HVAC Deemed Table'!F1541</f>
        <v>0</v>
      </c>
      <c r="O205" s="1967">
        <f t="shared" si="51"/>
        <v>1.99495</v>
      </c>
      <c r="P205" s="1967">
        <f t="shared" si="52"/>
        <v>0.31692100000000001</v>
      </c>
      <c r="Q205" s="1968">
        <f>'HVAC Deemed Table'!I1538</f>
        <v>1.99495</v>
      </c>
      <c r="R205" s="1968">
        <f>'HVAC Deemed Table'!I1539</f>
        <v>0</v>
      </c>
      <c r="S205" s="1968">
        <f>'HVAC Deemed Table'!I1540</f>
        <v>0.31692100000000001</v>
      </c>
      <c r="T205" s="1968">
        <f>'HVAC Deemed Table'!I1541</f>
        <v>0</v>
      </c>
      <c r="U205" s="1969"/>
      <c r="V205" s="1969"/>
      <c r="W205" s="1969">
        <f>P205</f>
        <v>0.31692100000000001</v>
      </c>
      <c r="X205" s="55">
        <f>'HVAC Deemed Table'!J1538</f>
        <v>6</v>
      </c>
      <c r="Y205" s="55">
        <f>'HVAC Deemed Table'!J1540</f>
        <v>12</v>
      </c>
      <c r="Z205" s="55">
        <f t="shared" si="56"/>
        <v>18</v>
      </c>
      <c r="AA205" s="49">
        <f>'HVAC Deemed Table'!BB1538</f>
        <v>1.8959057472266188</v>
      </c>
      <c r="AB205" s="698">
        <f>'HVAC Deemed Table'!K1538</f>
        <v>952.43682540301188</v>
      </c>
      <c r="AC205" s="2583">
        <f t="shared" si="57"/>
        <v>1334.1777575370825</v>
      </c>
      <c r="AD205" s="2583">
        <f t="shared" si="46"/>
        <v>370.14546204936914</v>
      </c>
      <c r="AE205" s="571">
        <f>'HVAC Deemed Table'!BD1538</f>
        <v>1334.1777575370825</v>
      </c>
      <c r="AF205" s="571">
        <f>'HVAC Deemed Table'!BD1539</f>
        <v>0</v>
      </c>
      <c r="AG205" s="571">
        <f>'HVAC Deemed Table'!BD1540</f>
        <v>370.14546204936914</v>
      </c>
      <c r="AH205" s="571">
        <f>'HVAC Deemed Table'!BD1541</f>
        <v>0</v>
      </c>
      <c r="AI205" s="2589" t="str">
        <f t="shared" si="53"/>
        <v>per measure</v>
      </c>
      <c r="AJ205" s="93">
        <f>'HVAC Deemed Table'!L1538</f>
        <v>2.7180155017750378</v>
      </c>
      <c r="AK205" s="2610"/>
      <c r="AL205" s="2610"/>
      <c r="AM205" s="1961">
        <f t="shared" si="42"/>
        <v>9.4741810000000004E-4</v>
      </c>
      <c r="AN205" s="84">
        <f t="shared" si="48"/>
        <v>1.9949498706270001</v>
      </c>
      <c r="AO205" s="1965">
        <f t="shared" si="43"/>
        <v>-1.293729998685933E-7</v>
      </c>
      <c r="AP205" s="84"/>
      <c r="AQ205" s="84"/>
      <c r="AR205" s="84"/>
      <c r="AS205" s="84"/>
      <c r="AT205" s="84"/>
      <c r="AU205" s="84"/>
      <c r="AV205" s="84"/>
    </row>
    <row r="206" spans="1:48" s="84" customFormat="1" x14ac:dyDescent="0.35">
      <c r="A206" s="103" t="str">
        <f t="shared" si="55"/>
        <v>352350</v>
      </c>
      <c r="B206" s="3346" t="str">
        <f>'HVAC Deemed Table'!C1542</f>
        <v>352350_2021_12_</v>
      </c>
      <c r="C206" s="2564" t="str">
        <f>'HVAC Deemed Table'!G1542</f>
        <v>Cooling Res</v>
      </c>
      <c r="D206" s="2564" t="str">
        <f>'HVAC Deemed Table'!G1543</f>
        <v>Heating Res</v>
      </c>
      <c r="E206" s="2564" t="str">
        <f>'HVAC Deemed Table'!G1544</f>
        <v>Cooling Res ER2</v>
      </c>
      <c r="F206" s="2564" t="str">
        <f>'HVAC Deemed Table'!G1545</f>
        <v>Heating Res ER2</v>
      </c>
      <c r="G206" s="3343" t="str">
        <f>'HVAC Deemed Table'!E1542</f>
        <v>ASHP-SEER15_ER1_SF</v>
      </c>
      <c r="H206" s="50" t="str">
        <f>'HVAC Deemed Table'!D1542</f>
        <v>SF</v>
      </c>
      <c r="I206" s="1966">
        <f t="shared" si="49"/>
        <v>3961.57</v>
      </c>
      <c r="J206" s="1966">
        <f t="shared" si="50"/>
        <v>555.75</v>
      </c>
      <c r="K206" s="560">
        <f>'HVAC Deemed Table'!F1542</f>
        <v>2105.67</v>
      </c>
      <c r="L206" s="560">
        <f>'HVAC Deemed Table'!F1543</f>
        <v>1855.9</v>
      </c>
      <c r="M206" s="560">
        <f>'HVAC Deemed Table'!F1544</f>
        <v>164.86</v>
      </c>
      <c r="N206" s="560">
        <f>'HVAC Deemed Table'!F1545</f>
        <v>390.89</v>
      </c>
      <c r="O206" s="1967">
        <f t="shared" si="51"/>
        <v>1.99495</v>
      </c>
      <c r="P206" s="1967">
        <f t="shared" si="52"/>
        <v>0.156191</v>
      </c>
      <c r="Q206" s="1968">
        <f>'HVAC Deemed Table'!I1542</f>
        <v>1.99495</v>
      </c>
      <c r="R206" s="1968">
        <f>'HVAC Deemed Table'!I1543</f>
        <v>0</v>
      </c>
      <c r="S206" s="1968">
        <f>'HVAC Deemed Table'!I1544</f>
        <v>0.156191</v>
      </c>
      <c r="T206" s="1968">
        <f>'HVAC Deemed Table'!I1545</f>
        <v>0</v>
      </c>
      <c r="U206" s="1969"/>
      <c r="V206" s="1969"/>
      <c r="W206" s="1969">
        <f>P206</f>
        <v>0.156191</v>
      </c>
      <c r="X206" s="55">
        <f>'HVAC Deemed Table'!J1542</f>
        <v>6</v>
      </c>
      <c r="Y206" s="55">
        <f>'HVAC Deemed Table'!J1544</f>
        <v>12</v>
      </c>
      <c r="Z206" s="55">
        <f t="shared" si="56"/>
        <v>18</v>
      </c>
      <c r="AA206" s="49">
        <f>'HVAC Deemed Table'!BB1542</f>
        <v>2.1464910203783085</v>
      </c>
      <c r="AB206" s="698">
        <f>'HVAC Deemed Table'!K1542</f>
        <v>952.43682540301188</v>
      </c>
      <c r="AC206" s="2583">
        <f t="shared" si="57"/>
        <v>1636.5803090593431</v>
      </c>
      <c r="AD206" s="2583">
        <f t="shared" si="46"/>
        <v>293.00637636320266</v>
      </c>
      <c r="AE206" s="571">
        <f>'HVAC Deemed Table'!BD1542</f>
        <v>1334.1777575370825</v>
      </c>
      <c r="AF206" s="571">
        <f>'HVAC Deemed Table'!BD1543</f>
        <v>302.40255152226069</v>
      </c>
      <c r="AG206" s="571">
        <f>'HVAC Deemed Table'!BD1544</f>
        <v>182.4225908745897</v>
      </c>
      <c r="AH206" s="571">
        <f>'HVAC Deemed Table'!BD1545</f>
        <v>110.58378548861299</v>
      </c>
      <c r="AI206" s="2589" t="str">
        <f t="shared" si="53"/>
        <v>per measure</v>
      </c>
      <c r="AJ206" s="93">
        <f>'HVAC Deemed Table'!L1542</f>
        <v>2.7180155017750378</v>
      </c>
      <c r="AK206" s="1501"/>
      <c r="AL206" s="1501"/>
      <c r="AM206" s="1596">
        <f t="shared" si="42"/>
        <v>9.4741810000000004E-4</v>
      </c>
      <c r="AN206" s="84">
        <f t="shared" si="48"/>
        <v>1.9949498706270001</v>
      </c>
      <c r="AO206" s="1595">
        <f t="shared" si="43"/>
        <v>-1.293729998685933E-7</v>
      </c>
      <c r="AP206"/>
      <c r="AQ206"/>
      <c r="AR206"/>
      <c r="AS206"/>
      <c r="AT206"/>
      <c r="AU206"/>
      <c r="AV206"/>
    </row>
    <row r="207" spans="1:48" x14ac:dyDescent="0.35">
      <c r="A207" s="103" t="str">
        <f t="shared" si="55"/>
        <v>352400</v>
      </c>
      <c r="B207" s="3346" t="str">
        <f>'HVAC Deemed Table'!C1546</f>
        <v>352400_2021_12_</v>
      </c>
      <c r="C207" s="2564" t="str">
        <f>'HVAC Deemed Table'!G1546</f>
        <v>Cooling Res</v>
      </c>
      <c r="D207" s="2564" t="str">
        <f>'HVAC Deemed Table'!G1547</f>
        <v>Heating Res</v>
      </c>
      <c r="E207" s="3343"/>
      <c r="F207" s="3343"/>
      <c r="G207" s="3343" t="str">
        <f>'HVAC Deemed Table'!E1546</f>
        <v>ASHP-SEER15-Replace_CAC_ElectricHeat_ROF_SF</v>
      </c>
      <c r="H207" s="50" t="str">
        <f>'HVAC Deemed Table'!D1546</f>
        <v>SF</v>
      </c>
      <c r="I207" s="1966">
        <f t="shared" si="49"/>
        <v>9397.7999999999993</v>
      </c>
      <c r="J207" s="1966">
        <f t="shared" si="50"/>
        <v>0</v>
      </c>
      <c r="K207" s="560">
        <f>'HVAC Deemed Table'!F1546</f>
        <v>351.14</v>
      </c>
      <c r="L207" s="560">
        <f>'HVAC Deemed Table'!F1547</f>
        <v>9046.66</v>
      </c>
      <c r="M207" s="560"/>
      <c r="N207" s="560"/>
      <c r="O207" s="1967">
        <f t="shared" si="51"/>
        <v>0.33267600000000003</v>
      </c>
      <c r="P207" s="1967">
        <f t="shared" si="52"/>
        <v>0</v>
      </c>
      <c r="Q207" s="1968">
        <f>'HVAC Deemed Table'!I1546</f>
        <v>0.33267600000000003</v>
      </c>
      <c r="R207" s="1968">
        <f>'HVAC Deemed Table'!I1547</f>
        <v>0</v>
      </c>
      <c r="S207" s="1968"/>
      <c r="T207" s="1968"/>
      <c r="U207" s="1969"/>
      <c r="V207" s="1969"/>
      <c r="W207" s="1969">
        <f>O207</f>
        <v>0.33267600000000003</v>
      </c>
      <c r="X207" s="55">
        <f>'HVAC Deemed Table'!J1546</f>
        <v>18</v>
      </c>
      <c r="Y207" s="55"/>
      <c r="Z207" s="55">
        <f t="shared" si="56"/>
        <v>18</v>
      </c>
      <c r="AA207" s="49">
        <f>'HVAC Deemed Table'!BB1546</f>
        <v>16.240178485942788</v>
      </c>
      <c r="AB207" s="698">
        <f>'HVAC Deemed Table'!K1546</f>
        <v>303</v>
      </c>
      <c r="AC207" s="2583">
        <f t="shared" si="57"/>
        <v>4644.4304683725004</v>
      </c>
      <c r="AD207" s="2583">
        <f t="shared" si="46"/>
        <v>0</v>
      </c>
      <c r="AE207" s="571">
        <f>'HVAC Deemed Table'!BD1546</f>
        <v>611.03357543236382</v>
      </c>
      <c r="AF207" s="571">
        <f>'HVAC Deemed Table'!BD1547</f>
        <v>4033.3968929401362</v>
      </c>
      <c r="AG207" s="571"/>
      <c r="AH207" s="571"/>
      <c r="AI207" s="2589" t="str">
        <f t="shared" si="53"/>
        <v>per measure</v>
      </c>
      <c r="AJ207" s="93">
        <f>'HVAC Deemed Table'!L1546</f>
        <v>2.8136754587155961</v>
      </c>
      <c r="AK207" s="1501"/>
      <c r="AL207" s="1501"/>
      <c r="AM207" s="1596">
        <f t="shared" si="42"/>
        <v>9.4741810000000004E-4</v>
      </c>
      <c r="AN207" s="84">
        <f t="shared" si="48"/>
        <v>0.33267639163399998</v>
      </c>
      <c r="AO207" s="1595">
        <f t="shared" si="43"/>
        <v>3.9163399995212345E-7</v>
      </c>
    </row>
    <row r="208" spans="1:48" x14ac:dyDescent="0.35">
      <c r="A208" s="103" t="str">
        <f t="shared" si="55"/>
        <v>352410</v>
      </c>
      <c r="B208" s="3346" t="str">
        <f>'HVAC Deemed Table'!C1548</f>
        <v>352410_2021_12_</v>
      </c>
      <c r="C208" s="2564" t="str">
        <f>'HVAC Deemed Table'!G1548</f>
        <v>Cooling Res</v>
      </c>
      <c r="D208" s="2564" t="str">
        <f>'HVAC Deemed Table'!G1549</f>
        <v>Heating Res</v>
      </c>
      <c r="E208" s="3343"/>
      <c r="F208" s="3343"/>
      <c r="G208" s="3343" t="str">
        <f>'HVAC Deemed Table'!E1548</f>
        <v>ASHP-SEER15-Replace_CAC_NonElectricHeat_ROF_SF</v>
      </c>
      <c r="H208" s="50" t="str">
        <f>'HVAC Deemed Table'!D1548</f>
        <v>SF</v>
      </c>
      <c r="I208" s="1966">
        <f t="shared" si="49"/>
        <v>351.14</v>
      </c>
      <c r="J208" s="1966">
        <f t="shared" si="50"/>
        <v>0</v>
      </c>
      <c r="K208" s="560">
        <f>'HVAC Deemed Table'!F1548</f>
        <v>351.14</v>
      </c>
      <c r="L208" s="560">
        <f>'HVAC Deemed Table'!F1549</f>
        <v>0</v>
      </c>
      <c r="M208" s="560"/>
      <c r="N208" s="560"/>
      <c r="O208" s="1967">
        <f t="shared" si="51"/>
        <v>0.33267600000000003</v>
      </c>
      <c r="P208" s="1967">
        <f t="shared" si="52"/>
        <v>0</v>
      </c>
      <c r="Q208" s="1968">
        <f>'HVAC Deemed Table'!I1548</f>
        <v>0.33267600000000003</v>
      </c>
      <c r="R208" s="1968">
        <f>'HVAC Deemed Table'!I1549</f>
        <v>0</v>
      </c>
      <c r="S208" s="1968"/>
      <c r="T208" s="1968"/>
      <c r="U208" s="1969"/>
      <c r="V208" s="1969"/>
      <c r="W208" s="1969">
        <f>O208</f>
        <v>0.33267600000000003</v>
      </c>
      <c r="X208" s="55">
        <f>'HVAC Deemed Table'!J1548</f>
        <v>18</v>
      </c>
      <c r="Y208" s="55"/>
      <c r="Z208" s="55">
        <f t="shared" si="56"/>
        <v>18</v>
      </c>
      <c r="AA208" s="49">
        <f>'HVAC Deemed Table'!BB1548</f>
        <v>2.1366009015531011</v>
      </c>
      <c r="AB208" s="698">
        <f>'HVAC Deemed Table'!K1548</f>
        <v>303</v>
      </c>
      <c r="AC208" s="2583">
        <f t="shared" si="57"/>
        <v>611.03357543236382</v>
      </c>
      <c r="AD208" s="2583">
        <f t="shared" si="46"/>
        <v>0</v>
      </c>
      <c r="AE208" s="571">
        <f>'HVAC Deemed Table'!BD1548</f>
        <v>611.03357543236382</v>
      </c>
      <c r="AF208" s="571">
        <f>'HVAC Deemed Table'!BD1549</f>
        <v>0</v>
      </c>
      <c r="AG208" s="571"/>
      <c r="AH208" s="571"/>
      <c r="AI208" s="2589" t="str">
        <f t="shared" si="53"/>
        <v>per measure</v>
      </c>
      <c r="AJ208" s="93">
        <f>'HVAC Deemed Table'!L1548</f>
        <v>2.8136754587155961</v>
      </c>
      <c r="AK208" s="2610"/>
      <c r="AL208" s="2610"/>
      <c r="AM208" s="1961">
        <f t="shared" si="42"/>
        <v>9.4741810000000004E-4</v>
      </c>
      <c r="AN208" s="84">
        <f t="shared" si="48"/>
        <v>0.33267639163399998</v>
      </c>
      <c r="AO208" s="1965">
        <f t="shared" si="43"/>
        <v>3.9163399995212345E-7</v>
      </c>
      <c r="AP208" s="84"/>
      <c r="AQ208" s="84"/>
      <c r="AR208" s="84"/>
      <c r="AS208" s="84"/>
      <c r="AT208" s="84"/>
      <c r="AU208" s="84"/>
      <c r="AV208" s="84"/>
    </row>
    <row r="209" spans="1:48" s="84" customFormat="1" x14ac:dyDescent="0.35">
      <c r="A209" s="103" t="str">
        <f t="shared" si="55"/>
        <v>352450</v>
      </c>
      <c r="B209" s="3346" t="str">
        <f>'HVAC Deemed Table'!C1550</f>
        <v>352450_2021_12_</v>
      </c>
      <c r="C209" s="2564" t="str">
        <f>'HVAC Deemed Table'!G1550</f>
        <v>Cooling Res</v>
      </c>
      <c r="D209" s="2564" t="str">
        <f>'HVAC Deemed Table'!G1551</f>
        <v>Heating Res</v>
      </c>
      <c r="E209" s="3343"/>
      <c r="F209" s="3343"/>
      <c r="G209" s="3343" t="str">
        <f>'HVAC Deemed Table'!E1550</f>
        <v>ASHP-SEER15_ROF_SF</v>
      </c>
      <c r="H209" s="50" t="str">
        <f>'HVAC Deemed Table'!D1550</f>
        <v>SF</v>
      </c>
      <c r="I209" s="1966">
        <f t="shared" si="49"/>
        <v>570.79999999999995</v>
      </c>
      <c r="J209" s="1966">
        <f t="shared" si="50"/>
        <v>0</v>
      </c>
      <c r="K209" s="560">
        <f>'HVAC Deemed Table'!F1550</f>
        <v>176.89</v>
      </c>
      <c r="L209" s="560">
        <f>'HVAC Deemed Table'!F1551</f>
        <v>393.91</v>
      </c>
      <c r="M209" s="560"/>
      <c r="N209" s="560"/>
      <c r="O209" s="1967">
        <f t="shared" si="51"/>
        <v>0.16758899999999999</v>
      </c>
      <c r="P209" s="1967">
        <f t="shared" si="52"/>
        <v>0</v>
      </c>
      <c r="Q209" s="1968">
        <f>'HVAC Deemed Table'!I1550</f>
        <v>0.16758899999999999</v>
      </c>
      <c r="R209" s="1968">
        <f>'HVAC Deemed Table'!I1551</f>
        <v>0</v>
      </c>
      <c r="S209" s="1968"/>
      <c r="T209" s="1968"/>
      <c r="U209" s="1969"/>
      <c r="V209" s="1969"/>
      <c r="W209" s="1969">
        <f>O209</f>
        <v>0.16758899999999999</v>
      </c>
      <c r="X209" s="55">
        <f>'HVAC Deemed Table'!J1550</f>
        <v>18</v>
      </c>
      <c r="Y209" s="55"/>
      <c r="Z209" s="55">
        <f t="shared" si="56"/>
        <v>18</v>
      </c>
      <c r="AA209" s="49">
        <f>'HVAC Deemed Table'!BB1550</f>
        <v>1.6904308175725118</v>
      </c>
      <c r="AB209" s="698">
        <f>'HVAC Deemed Table'!K1550</f>
        <v>303</v>
      </c>
      <c r="AC209" s="2583">
        <f t="shared" si="57"/>
        <v>483.43609034872202</v>
      </c>
      <c r="AD209" s="2583">
        <f t="shared" si="46"/>
        <v>0</v>
      </c>
      <c r="AE209" s="571">
        <f>'HVAC Deemed Table'!BD1550</f>
        <v>307.81377558304621</v>
      </c>
      <c r="AF209" s="571">
        <f>'HVAC Deemed Table'!BD1551</f>
        <v>175.62231476567584</v>
      </c>
      <c r="AG209" s="571"/>
      <c r="AH209" s="571"/>
      <c r="AI209" s="2589" t="str">
        <f t="shared" si="53"/>
        <v>per measure</v>
      </c>
      <c r="AJ209" s="93">
        <f>'HVAC Deemed Table'!L1550</f>
        <v>2.8136754587155961</v>
      </c>
      <c r="AK209" s="1501"/>
      <c r="AL209" s="1501"/>
      <c r="AM209" s="1596">
        <f t="shared" si="42"/>
        <v>9.4741810000000004E-4</v>
      </c>
      <c r="AN209" s="84">
        <f t="shared" si="48"/>
        <v>0.16758878770899999</v>
      </c>
      <c r="AO209" s="1595">
        <f t="shared" si="43"/>
        <v>-2.1229100000130785E-7</v>
      </c>
      <c r="AP209"/>
      <c r="AQ209"/>
      <c r="AR209"/>
      <c r="AS209"/>
      <c r="AT209"/>
      <c r="AU209"/>
      <c r="AV209"/>
    </row>
    <row r="210" spans="1:48" x14ac:dyDescent="0.35">
      <c r="A210" s="103" t="str">
        <f t="shared" si="55"/>
        <v>352500</v>
      </c>
      <c r="B210" s="3346" t="str">
        <f>'HVAC Deemed Table'!C1552</f>
        <v>352500_2021_12_</v>
      </c>
      <c r="C210" s="2564" t="str">
        <f>'HVAC Deemed Table'!G1552</f>
        <v>Cooling Res</v>
      </c>
      <c r="D210" s="2564" t="str">
        <f>'HVAC Deemed Table'!G1553</f>
        <v>Heating Res</v>
      </c>
      <c r="E210" s="2564" t="str">
        <f>'HVAC Deemed Table'!G1554</f>
        <v>Cooling Res ER2</v>
      </c>
      <c r="F210" s="2564" t="str">
        <f>'HVAC Deemed Table'!G1555</f>
        <v>Heating Res ER2</v>
      </c>
      <c r="G210" s="3343" t="str">
        <f>'HVAC Deemed Table'!E1552</f>
        <v>ASHP-SEER16-Replace_CAC_ElectricHeat_ER1_SF</v>
      </c>
      <c r="H210" s="50" t="str">
        <f>'HVAC Deemed Table'!D1552</f>
        <v>SF</v>
      </c>
      <c r="I210" s="1966">
        <f t="shared" si="49"/>
        <v>11236.060000000001</v>
      </c>
      <c r="J210" s="1966">
        <f t="shared" si="50"/>
        <v>9493.49</v>
      </c>
      <c r="K210" s="560">
        <f>'HVAC Deemed Table'!F1552</f>
        <v>2194.71</v>
      </c>
      <c r="L210" s="560">
        <f>'HVAC Deemed Table'!F1553</f>
        <v>9041.35</v>
      </c>
      <c r="M210" s="560">
        <f>'HVAC Deemed Table'!F1554</f>
        <v>452.14</v>
      </c>
      <c r="N210" s="560">
        <f>'HVAC Deemed Table'!F1555</f>
        <v>9041.35</v>
      </c>
      <c r="O210" s="1967">
        <f t="shared" si="51"/>
        <v>2.0793080000000002</v>
      </c>
      <c r="P210" s="1967">
        <f t="shared" si="52"/>
        <v>0.42836600000000002</v>
      </c>
      <c r="Q210" s="1968">
        <f>'HVAC Deemed Table'!I1552</f>
        <v>2.0793080000000002</v>
      </c>
      <c r="R210" s="1968">
        <f>'HVAC Deemed Table'!I1553</f>
        <v>0</v>
      </c>
      <c r="S210" s="1968">
        <f>'HVAC Deemed Table'!I1554</f>
        <v>0.42836600000000002</v>
      </c>
      <c r="T210" s="1968">
        <f>'HVAC Deemed Table'!I1555</f>
        <v>0</v>
      </c>
      <c r="U210" s="1969"/>
      <c r="V210" s="1969"/>
      <c r="W210" s="1969">
        <f>P210</f>
        <v>0.42836600000000002</v>
      </c>
      <c r="X210" s="55">
        <f>'HVAC Deemed Table'!J1552</f>
        <v>6</v>
      </c>
      <c r="Y210" s="55">
        <f>'HVAC Deemed Table'!J1554</f>
        <v>12</v>
      </c>
      <c r="Z210" s="55">
        <f t="shared" si="56"/>
        <v>18</v>
      </c>
      <c r="AA210" s="49">
        <f>'HVAC Deemed Table'!BB1552</f>
        <v>5.7242061536934443</v>
      </c>
      <c r="AB210" s="698">
        <f>'HVAC Deemed Table'!K1552</f>
        <v>1096.0970591411706</v>
      </c>
      <c r="AC210" s="2583">
        <f t="shared" si="57"/>
        <v>2863.8028826631312</v>
      </c>
      <c r="AD210" s="2583">
        <f t="shared" si="46"/>
        <v>3058.1277742327402</v>
      </c>
      <c r="AE210" s="571">
        <f>'HVAC Deemed Table'!BD1552</f>
        <v>1390.594569065528</v>
      </c>
      <c r="AF210" s="571">
        <f>'HVAC Deemed Table'!BD1553</f>
        <v>1473.2083135976031</v>
      </c>
      <c r="AG210" s="571">
        <f>'HVAC Deemed Table'!BD1554</f>
        <v>500.30662524588729</v>
      </c>
      <c r="AH210" s="571">
        <f>'HVAC Deemed Table'!BD1555</f>
        <v>2557.8211489868531</v>
      </c>
      <c r="AI210" s="2589" t="str">
        <f t="shared" si="53"/>
        <v>per measure</v>
      </c>
      <c r="AJ210" s="93">
        <f>'HVAC Deemed Table'!L1552</f>
        <v>2.754260212004862</v>
      </c>
      <c r="AK210" s="1501"/>
      <c r="AL210" s="1501"/>
      <c r="AM210" s="1596">
        <f t="shared" si="42"/>
        <v>9.4741810000000004E-4</v>
      </c>
      <c r="AN210" s="84">
        <f t="shared" si="48"/>
        <v>2.0793079782510002</v>
      </c>
      <c r="AO210" s="1595">
        <f t="shared" si="43"/>
        <v>-2.1748999934345647E-8</v>
      </c>
    </row>
    <row r="211" spans="1:48" x14ac:dyDescent="0.35">
      <c r="A211" s="103" t="str">
        <f t="shared" si="55"/>
        <v>352510</v>
      </c>
      <c r="B211" s="3346" t="str">
        <f>'HVAC Deemed Table'!C1556</f>
        <v>352510_2021_12_</v>
      </c>
      <c r="C211" s="2564" t="str">
        <f>'HVAC Deemed Table'!G1556</f>
        <v>Cooling Res</v>
      </c>
      <c r="D211" s="2564" t="str">
        <f>'HVAC Deemed Table'!G1557</f>
        <v>Heating Res</v>
      </c>
      <c r="E211" s="2564" t="str">
        <f>'HVAC Deemed Table'!G1558</f>
        <v>Cooling Res ER2</v>
      </c>
      <c r="F211" s="2564" t="str">
        <f>'HVAC Deemed Table'!G1559</f>
        <v>Heating Res ER2</v>
      </c>
      <c r="G211" s="3343" t="str">
        <f>'HVAC Deemed Table'!E1556</f>
        <v>ASHP-SEER16-Replace_CAC_NonElectricHeat_ER1_SF</v>
      </c>
      <c r="H211" s="50" t="str">
        <f>'HVAC Deemed Table'!D1556</f>
        <v>SF</v>
      </c>
      <c r="I211" s="1966">
        <f t="shared" si="49"/>
        <v>2194.71</v>
      </c>
      <c r="J211" s="1966">
        <f t="shared" si="50"/>
        <v>452.14</v>
      </c>
      <c r="K211" s="560">
        <f>'HVAC Deemed Table'!F1556</f>
        <v>2194.71</v>
      </c>
      <c r="L211" s="560">
        <f>'HVAC Deemed Table'!F1557</f>
        <v>0</v>
      </c>
      <c r="M211" s="560">
        <f>'HVAC Deemed Table'!F1558</f>
        <v>452.14</v>
      </c>
      <c r="N211" s="560">
        <f>'HVAC Deemed Table'!F1559</f>
        <v>0</v>
      </c>
      <c r="O211" s="1967">
        <f t="shared" si="51"/>
        <v>2.0793080000000002</v>
      </c>
      <c r="P211" s="1967">
        <f t="shared" si="52"/>
        <v>0.42836600000000002</v>
      </c>
      <c r="Q211" s="1968">
        <f>'HVAC Deemed Table'!I1556</f>
        <v>2.0793080000000002</v>
      </c>
      <c r="R211" s="1968">
        <f>'HVAC Deemed Table'!I1557</f>
        <v>0</v>
      </c>
      <c r="S211" s="1968">
        <f>'HVAC Deemed Table'!I1558</f>
        <v>0.42836600000000002</v>
      </c>
      <c r="T211" s="1968">
        <f>'HVAC Deemed Table'!I1559</f>
        <v>0</v>
      </c>
      <c r="U211" s="1969"/>
      <c r="V211" s="1969"/>
      <c r="W211" s="1969">
        <f>P211</f>
        <v>0.42836600000000002</v>
      </c>
      <c r="X211" s="55">
        <f>'HVAC Deemed Table'!J1556</f>
        <v>6</v>
      </c>
      <c r="Y211" s="55">
        <f>'HVAC Deemed Table'!J1558</f>
        <v>12</v>
      </c>
      <c r="Z211" s="55">
        <f t="shared" si="56"/>
        <v>18</v>
      </c>
      <c r="AA211" s="49">
        <f>'HVAC Deemed Table'!BB1556</f>
        <v>1.8277668010008936</v>
      </c>
      <c r="AB211" s="698">
        <f>'HVAC Deemed Table'!K1556</f>
        <v>1096.0970591411706</v>
      </c>
      <c r="AC211" s="2583">
        <f t="shared" si="57"/>
        <v>1390.594569065528</v>
      </c>
      <c r="AD211" s="2583">
        <f t="shared" si="46"/>
        <v>500.30662524588729</v>
      </c>
      <c r="AE211" s="571">
        <f>'HVAC Deemed Table'!BD1556</f>
        <v>1390.594569065528</v>
      </c>
      <c r="AF211" s="571">
        <f>'HVAC Deemed Table'!BD1557</f>
        <v>0</v>
      </c>
      <c r="AG211" s="571">
        <f>'HVAC Deemed Table'!BD1558</f>
        <v>500.30662524588729</v>
      </c>
      <c r="AH211" s="571">
        <f>'HVAC Deemed Table'!BD1559</f>
        <v>0</v>
      </c>
      <c r="AI211" s="2589" t="str">
        <f t="shared" si="53"/>
        <v>per measure</v>
      </c>
      <c r="AJ211" s="93">
        <f>'HVAC Deemed Table'!L1556</f>
        <v>2.754260212004862</v>
      </c>
      <c r="AK211" s="2610"/>
      <c r="AL211" s="2610"/>
      <c r="AM211" s="1961">
        <f t="shared" si="42"/>
        <v>9.4741810000000004E-4</v>
      </c>
      <c r="AN211" s="84">
        <f t="shared" si="48"/>
        <v>2.0793079782510002</v>
      </c>
      <c r="AO211" s="1965">
        <f t="shared" si="43"/>
        <v>-2.1748999934345647E-8</v>
      </c>
      <c r="AP211" s="84"/>
      <c r="AQ211" s="84"/>
      <c r="AR211" s="84"/>
      <c r="AS211" s="84"/>
      <c r="AT211" s="84"/>
      <c r="AU211" s="84"/>
      <c r="AV211" s="84"/>
    </row>
    <row r="212" spans="1:48" x14ac:dyDescent="0.35">
      <c r="A212" s="103" t="str">
        <f t="shared" si="55"/>
        <v>352550</v>
      </c>
      <c r="B212" s="3346" t="str">
        <f>'HVAC Deemed Table'!C1560</f>
        <v>352550_2021_12_</v>
      </c>
      <c r="C212" s="2564" t="str">
        <f>'HVAC Deemed Table'!G1560</f>
        <v>Cooling Res</v>
      </c>
      <c r="D212" s="2564" t="str">
        <f>'HVAC Deemed Table'!G1561</f>
        <v>Heating Res</v>
      </c>
      <c r="E212" s="2564" t="str">
        <f>'HVAC Deemed Table'!G1562</f>
        <v>Cooling Res ER2</v>
      </c>
      <c r="F212" s="2564" t="str">
        <f>'HVAC Deemed Table'!G1563</f>
        <v>Heating Res ER2</v>
      </c>
      <c r="G212" s="3343" t="str">
        <f>'HVAC Deemed Table'!E1560</f>
        <v>ASHP-SEER16_ER1_SF</v>
      </c>
      <c r="H212" s="50" t="str">
        <f>'HVAC Deemed Table'!D1560</f>
        <v>SF</v>
      </c>
      <c r="I212" s="1966">
        <f t="shared" si="49"/>
        <v>4250.57</v>
      </c>
      <c r="J212" s="1966">
        <f t="shared" si="50"/>
        <v>854.06000000000006</v>
      </c>
      <c r="K212" s="560">
        <f>'HVAC Deemed Table'!F1560</f>
        <v>2194.71</v>
      </c>
      <c r="L212" s="560">
        <f>'HVAC Deemed Table'!F1561</f>
        <v>2055.86</v>
      </c>
      <c r="M212" s="560">
        <f>'HVAC Deemed Table'!F1562</f>
        <v>282.74</v>
      </c>
      <c r="N212" s="560">
        <f>'HVAC Deemed Table'!F1563</f>
        <v>571.32000000000005</v>
      </c>
      <c r="O212" s="1967">
        <f t="shared" si="51"/>
        <v>2.0793080000000002</v>
      </c>
      <c r="P212" s="1967">
        <f t="shared" si="52"/>
        <v>0.26787300000000003</v>
      </c>
      <c r="Q212" s="1968">
        <f>'HVAC Deemed Table'!I1560</f>
        <v>2.0793080000000002</v>
      </c>
      <c r="R212" s="1968">
        <f>'HVAC Deemed Table'!I1561</f>
        <v>0</v>
      </c>
      <c r="S212" s="1968">
        <f>'HVAC Deemed Table'!I1562</f>
        <v>0.26787300000000003</v>
      </c>
      <c r="T212" s="1968">
        <f>'HVAC Deemed Table'!I1563</f>
        <v>0</v>
      </c>
      <c r="U212" s="1969"/>
      <c r="V212" s="1969"/>
      <c r="W212" s="1969">
        <f>P212</f>
        <v>0.26787300000000003</v>
      </c>
      <c r="X212" s="55">
        <f>'HVAC Deemed Table'!J1560</f>
        <v>6</v>
      </c>
      <c r="Y212" s="55">
        <f>'HVAC Deemed Table'!J1562</f>
        <v>12</v>
      </c>
      <c r="Z212" s="55">
        <f t="shared" si="56"/>
        <v>18</v>
      </c>
      <c r="AA212" s="49">
        <f>'HVAC Deemed Table'!BB1560</f>
        <v>2.1266101371440223</v>
      </c>
      <c r="AB212" s="698">
        <f>'HVAC Deemed Table'!K1560</f>
        <v>1096.0970591411706</v>
      </c>
      <c r="AC212" s="2583">
        <f t="shared" si="57"/>
        <v>1725.5788406170959</v>
      </c>
      <c r="AD212" s="2583">
        <f t="shared" si="46"/>
        <v>474.48828280278536</v>
      </c>
      <c r="AE212" s="571">
        <f>'HVAC Deemed Table'!BD1560</f>
        <v>1390.594569065528</v>
      </c>
      <c r="AF212" s="571">
        <f>'HVAC Deemed Table'!BD1561</f>
        <v>334.98427155156787</v>
      </c>
      <c r="AG212" s="571">
        <f>'HVAC Deemed Table'!BD1562</f>
        <v>312.86038665462507</v>
      </c>
      <c r="AH212" s="571">
        <f>'HVAC Deemed Table'!BD1563</f>
        <v>161.62789614816029</v>
      </c>
      <c r="AI212" s="2589" t="str">
        <f t="shared" si="53"/>
        <v>per measure</v>
      </c>
      <c r="AJ212" s="93">
        <f>'HVAC Deemed Table'!L1560</f>
        <v>2.754260212004862</v>
      </c>
      <c r="AK212" s="1501"/>
      <c r="AL212" s="1501"/>
      <c r="AM212" s="1596">
        <f t="shared" si="42"/>
        <v>9.4741810000000004E-4</v>
      </c>
      <c r="AN212" s="84">
        <f t="shared" si="48"/>
        <v>2.0793079782510002</v>
      </c>
      <c r="AO212" s="1595">
        <f t="shared" si="43"/>
        <v>-2.1748999934345647E-8</v>
      </c>
    </row>
    <row r="213" spans="1:48" x14ac:dyDescent="0.35">
      <c r="A213" s="103" t="str">
        <f t="shared" si="55"/>
        <v>352600</v>
      </c>
      <c r="B213" s="3346" t="str">
        <f>'HVAC Deemed Table'!C1564</f>
        <v>352600_2021_12_</v>
      </c>
      <c r="C213" s="2564" t="str">
        <f>'HVAC Deemed Table'!G1564</f>
        <v>Cooling Res</v>
      </c>
      <c r="D213" s="2564" t="str">
        <f>'HVAC Deemed Table'!G1565</f>
        <v>Heating Res</v>
      </c>
      <c r="E213" s="3343"/>
      <c r="F213" s="3343"/>
      <c r="G213" s="3343" t="str">
        <f>'HVAC Deemed Table'!E1564</f>
        <v>ASHP-SEER16-Replace_CAC_ElectricHeat_ROF_SF</v>
      </c>
      <c r="H213" s="50" t="str">
        <f>'HVAC Deemed Table'!D1564</f>
        <v>SF</v>
      </c>
      <c r="I213" s="1966">
        <f t="shared" si="49"/>
        <v>10292.619999999999</v>
      </c>
      <c r="J213" s="1966">
        <f t="shared" si="50"/>
        <v>0</v>
      </c>
      <c r="K213" s="560">
        <f>'HVAC Deemed Table'!F1564</f>
        <v>480.91</v>
      </c>
      <c r="L213" s="560">
        <f>'HVAC Deemed Table'!F1565</f>
        <v>9811.7099999999991</v>
      </c>
      <c r="M213" s="560"/>
      <c r="N213" s="560"/>
      <c r="O213" s="1967">
        <f t="shared" si="51"/>
        <v>0.455623</v>
      </c>
      <c r="P213" s="1967">
        <f t="shared" si="52"/>
        <v>0</v>
      </c>
      <c r="Q213" s="1968">
        <f>'HVAC Deemed Table'!I1564</f>
        <v>0.455623</v>
      </c>
      <c r="R213" s="1968">
        <f>'HVAC Deemed Table'!I1565</f>
        <v>0</v>
      </c>
      <c r="S213" s="1968"/>
      <c r="T213" s="1968"/>
      <c r="U213" s="1969"/>
      <c r="V213" s="1969"/>
      <c r="W213" s="1969">
        <f>O213</f>
        <v>0.455623</v>
      </c>
      <c r="X213" s="55">
        <f>'HVAC Deemed Table'!J1564</f>
        <v>18</v>
      </c>
      <c r="Y213" s="55"/>
      <c r="Z213" s="55">
        <f t="shared" si="56"/>
        <v>18</v>
      </c>
      <c r="AA213" s="49">
        <f>'HVAC Deemed Table'!BB1564</f>
        <v>12.605973343320201</v>
      </c>
      <c r="AB213" s="698">
        <f>'HVAC Deemed Table'!K1564</f>
        <v>438</v>
      </c>
      <c r="AC213" s="2583">
        <f t="shared" si="57"/>
        <v>5211.3415048364768</v>
      </c>
      <c r="AD213" s="2583">
        <f t="shared" si="46"/>
        <v>0</v>
      </c>
      <c r="AE213" s="571">
        <f>'HVAC Deemed Table'!BD1564</f>
        <v>836.85184473764912</v>
      </c>
      <c r="AF213" s="571">
        <f>'HVAC Deemed Table'!BD1565</f>
        <v>4374.4896600988277</v>
      </c>
      <c r="AG213" s="571"/>
      <c r="AH213" s="571"/>
      <c r="AI213" s="2589" t="str">
        <f t="shared" si="53"/>
        <v>per measure</v>
      </c>
      <c r="AJ213" s="93">
        <f>'HVAC Deemed Table'!L1564</f>
        <v>2.9702472838686789</v>
      </c>
      <c r="AK213" s="1501"/>
      <c r="AL213" s="1501"/>
      <c r="AM213" s="1596">
        <f t="shared" si="42"/>
        <v>9.4741810000000004E-4</v>
      </c>
      <c r="AN213" s="84">
        <f t="shared" si="48"/>
        <v>0.45562283847100005</v>
      </c>
      <c r="AO213" s="1595">
        <f t="shared" si="43"/>
        <v>-1.6152899995347525E-7</v>
      </c>
    </row>
    <row r="214" spans="1:48" s="84" customFormat="1" x14ac:dyDescent="0.35">
      <c r="A214" s="1618" t="str">
        <f t="shared" ref="A214" si="58">LEFT(B214,6)</f>
        <v>352610</v>
      </c>
      <c r="B214" s="1590" t="str">
        <f>'HVAC Deemed Table'!C1566</f>
        <v>352610_2022_12_</v>
      </c>
      <c r="C214" s="2609" t="str">
        <f>'HVAC Deemed Table'!G1566</f>
        <v>Cooling Res</v>
      </c>
      <c r="D214" s="2609" t="str">
        <f>'HVAC Deemed Table'!G1567</f>
        <v>Heating Res</v>
      </c>
      <c r="E214" s="1589"/>
      <c r="F214" s="1589"/>
      <c r="G214" s="1589" t="str">
        <f>'HVAC Deemed Table'!E1566</f>
        <v>ASHP-SEER16-Replace_CAC_NonElectricHeat_ROF_SF</v>
      </c>
      <c r="H214" s="1599" t="str">
        <f>'HVAC Deemed Table'!D1566</f>
        <v>SF</v>
      </c>
      <c r="I214" s="1597">
        <f t="shared" ref="I214" si="59">K214+L214</f>
        <v>480.91</v>
      </c>
      <c r="J214" s="1597">
        <f t="shared" ref="J214" si="60">M214+N214</f>
        <v>0</v>
      </c>
      <c r="K214" s="1591">
        <f>'HVAC Deemed Table'!F1566</f>
        <v>480.91</v>
      </c>
      <c r="L214" s="1591">
        <f>'HVAC Deemed Table'!F1567</f>
        <v>0</v>
      </c>
      <c r="M214" s="1591"/>
      <c r="N214" s="1591"/>
      <c r="O214" s="1598">
        <f t="shared" ref="O214" si="61">Q214+R214</f>
        <v>0.455623</v>
      </c>
      <c r="P214" s="1598">
        <f t="shared" ref="P214" si="62">S214+T214</f>
        <v>0</v>
      </c>
      <c r="Q214" s="1600">
        <f>'HVAC Deemed Table'!I1566</f>
        <v>0.455623</v>
      </c>
      <c r="R214" s="1600">
        <f>'HVAC Deemed Table'!I1567</f>
        <v>0</v>
      </c>
      <c r="S214" s="1600"/>
      <c r="T214" s="1600"/>
      <c r="U214" s="1569"/>
      <c r="V214" s="1569"/>
      <c r="W214" s="1569">
        <f>O214</f>
        <v>0.455623</v>
      </c>
      <c r="X214" s="1583">
        <f>'HVAC Deemed Table'!J1566</f>
        <v>18</v>
      </c>
      <c r="Y214" s="1583"/>
      <c r="Z214" s="1583">
        <f t="shared" ref="Z214" si="63">Y214+X214</f>
        <v>18</v>
      </c>
      <c r="AA214" s="1959">
        <f>'HVAC Deemed Table'!BB1566</f>
        <v>2.0243025787660716</v>
      </c>
      <c r="AB214" s="1671">
        <f>'HVAC Deemed Table'!K1566</f>
        <v>438</v>
      </c>
      <c r="AC214" s="1964">
        <f t="shared" ref="AC214" si="64">AE214+AF214</f>
        <v>836.85184473764912</v>
      </c>
      <c r="AD214" s="1964">
        <f t="shared" ref="AD214" si="65">AG214+AH214</f>
        <v>0</v>
      </c>
      <c r="AE214" s="1604">
        <f>'HVAC Deemed Table'!BD1566</f>
        <v>836.85184473764912</v>
      </c>
      <c r="AF214" s="1604">
        <f>'HVAC Deemed Table'!BD1567</f>
        <v>0</v>
      </c>
      <c r="AG214" s="1604"/>
      <c r="AH214" s="1604"/>
      <c r="AI214" s="3366" t="str">
        <f t="shared" si="53"/>
        <v>per measure</v>
      </c>
      <c r="AJ214" s="96">
        <f>'HVAC Deemed Table'!L1566</f>
        <v>2.9733333333333332</v>
      </c>
      <c r="AK214" s="2610"/>
      <c r="AL214" s="2610"/>
      <c r="AM214" s="1961">
        <f t="shared" ref="AM214" si="66">VLOOKUP(C214,$AS$10:$AT$33,2,FALSE)</f>
        <v>9.4741810000000004E-4</v>
      </c>
      <c r="AN214" s="84">
        <f t="shared" ref="AN214" si="67">AM214*K214</f>
        <v>0.45562283847100005</v>
      </c>
      <c r="AO214" s="1965">
        <f t="shared" ref="AO214" si="68">AN214-O214</f>
        <v>-1.6152899995347525E-7</v>
      </c>
    </row>
    <row r="215" spans="1:48" x14ac:dyDescent="0.35">
      <c r="A215" s="103" t="str">
        <f t="shared" si="55"/>
        <v>352650</v>
      </c>
      <c r="B215" s="3346" t="str">
        <f>'HVAC Deemed Table'!C1568</f>
        <v>352650_2021_12_</v>
      </c>
      <c r="C215" s="2564" t="str">
        <f>'HVAC Deemed Table'!G1568</f>
        <v>Cooling Res</v>
      </c>
      <c r="D215" s="2564" t="str">
        <f>'HVAC Deemed Table'!G1569</f>
        <v>Heating Res</v>
      </c>
      <c r="E215" s="3343"/>
      <c r="F215" s="3343"/>
      <c r="G215" s="3343" t="str">
        <f>'HVAC Deemed Table'!E1568</f>
        <v>ASHP-SEER16_ROF_SF</v>
      </c>
      <c r="H215" s="50" t="str">
        <f>'HVAC Deemed Table'!D1568</f>
        <v>SF</v>
      </c>
      <c r="I215" s="1966">
        <f t="shared" si="49"/>
        <v>978.1</v>
      </c>
      <c r="J215" s="1966">
        <f t="shared" si="50"/>
        <v>0</v>
      </c>
      <c r="K215" s="560">
        <f>'HVAC Deemed Table'!F1568</f>
        <v>300.64</v>
      </c>
      <c r="L215" s="560">
        <f>'HVAC Deemed Table'!F1569</f>
        <v>677.46</v>
      </c>
      <c r="M215" s="560"/>
      <c r="N215" s="560"/>
      <c r="O215" s="1967">
        <f t="shared" si="51"/>
        <v>0.28483199999999997</v>
      </c>
      <c r="P215" s="1967">
        <f t="shared" si="52"/>
        <v>0</v>
      </c>
      <c r="Q215" s="1968">
        <f>'HVAC Deemed Table'!I1568</f>
        <v>0.28483199999999997</v>
      </c>
      <c r="R215" s="1968">
        <f>'HVAC Deemed Table'!I1569</f>
        <v>0</v>
      </c>
      <c r="S215" s="1968"/>
      <c r="T215" s="1968"/>
      <c r="U215" s="1969"/>
      <c r="V215" s="1969"/>
      <c r="W215" s="1969">
        <f>O215</f>
        <v>0.28483199999999997</v>
      </c>
      <c r="X215" s="55">
        <f>'HVAC Deemed Table'!J1568</f>
        <v>18</v>
      </c>
      <c r="Y215" s="55"/>
      <c r="Z215" s="55">
        <f t="shared" si="56"/>
        <v>18</v>
      </c>
      <c r="AA215" s="49">
        <f>'HVAC Deemed Table'!BB1568</f>
        <v>1.9961117891881084</v>
      </c>
      <c r="AB215" s="698">
        <f>'HVAC Deemed Table'!K1568</f>
        <v>438</v>
      </c>
      <c r="AC215" s="2583">
        <f t="shared" si="57"/>
        <v>825.1977004855039</v>
      </c>
      <c r="AD215" s="2583">
        <f t="shared" si="46"/>
        <v>0</v>
      </c>
      <c r="AE215" s="571">
        <f>'HVAC Deemed Table'!BD1568</f>
        <v>523.15638810157168</v>
      </c>
      <c r="AF215" s="571">
        <f>'HVAC Deemed Table'!BD1569</f>
        <v>302.04131238393228</v>
      </c>
      <c r="AG215" s="571"/>
      <c r="AH215" s="571"/>
      <c r="AI215" s="2589" t="str">
        <f t="shared" si="53"/>
        <v>per measure</v>
      </c>
      <c r="AJ215" s="93">
        <f>'HVAC Deemed Table'!L1568</f>
        <v>2.9702472838686789</v>
      </c>
      <c r="AK215" s="1501"/>
      <c r="AL215" s="1501"/>
      <c r="AM215" s="1596">
        <f t="shared" si="42"/>
        <v>9.4741810000000004E-4</v>
      </c>
      <c r="AN215" s="84">
        <f t="shared" si="48"/>
        <v>0.28483177758400002</v>
      </c>
      <c r="AO215" s="1595">
        <f t="shared" si="43"/>
        <v>-2.2241599995087569E-7</v>
      </c>
    </row>
    <row r="216" spans="1:48" x14ac:dyDescent="0.35">
      <c r="A216" s="103" t="str">
        <f t="shared" si="55"/>
        <v>352700</v>
      </c>
      <c r="B216" s="3346" t="str">
        <f>'HVAC Deemed Table'!C1570</f>
        <v>352700_2021_12_</v>
      </c>
      <c r="C216" s="2564" t="str">
        <f>'HVAC Deemed Table'!G1570</f>
        <v>Cooling Res</v>
      </c>
      <c r="D216" s="2564" t="str">
        <f>'HVAC Deemed Table'!G1571</f>
        <v>Heating Res</v>
      </c>
      <c r="E216" s="2564" t="str">
        <f>'HVAC Deemed Table'!G1572</f>
        <v>Cooling Res ER2</v>
      </c>
      <c r="F216" s="2564" t="str">
        <f>'HVAC Deemed Table'!G1573</f>
        <v>Heating Res ER2</v>
      </c>
      <c r="G216" s="3343" t="str">
        <f>'HVAC Deemed Table'!E1570</f>
        <v>ASHP-SEER15_ER1_MF</v>
      </c>
      <c r="H216" s="50" t="str">
        <f>'HVAC Deemed Table'!D1570</f>
        <v>MF</v>
      </c>
      <c r="I216" s="1966">
        <f t="shared" si="49"/>
        <v>4746.95</v>
      </c>
      <c r="J216" s="1966">
        <f t="shared" si="50"/>
        <v>941.42</v>
      </c>
      <c r="K216" s="560">
        <f>'HVAC Deemed Table'!F1570</f>
        <v>2374.39</v>
      </c>
      <c r="L216" s="560">
        <f>'HVAC Deemed Table'!F1571</f>
        <v>2372.56</v>
      </c>
      <c r="M216" s="560">
        <f>'HVAC Deemed Table'!F1572</f>
        <v>171.49</v>
      </c>
      <c r="N216" s="560">
        <f>'HVAC Deemed Table'!F1573</f>
        <v>769.93</v>
      </c>
      <c r="O216" s="1967">
        <f t="shared" si="51"/>
        <v>2.2495400000000001</v>
      </c>
      <c r="P216" s="1967">
        <f t="shared" si="52"/>
        <v>0.16247300000000001</v>
      </c>
      <c r="Q216" s="1968">
        <f>'HVAC Deemed Table'!I1570</f>
        <v>2.2495400000000001</v>
      </c>
      <c r="R216" s="1968">
        <f>'HVAC Deemed Table'!I1571</f>
        <v>0</v>
      </c>
      <c r="S216" s="1968">
        <f>'HVAC Deemed Table'!I1572</f>
        <v>0.16247300000000001</v>
      </c>
      <c r="T216" s="1968">
        <f>'HVAC Deemed Table'!I1573</f>
        <v>0</v>
      </c>
      <c r="U216" s="1969"/>
      <c r="V216" s="1969"/>
      <c r="W216" s="1969">
        <f t="shared" ref="W216:W221" si="69">P216</f>
        <v>0.16247300000000001</v>
      </c>
      <c r="X216" s="55">
        <f>'HVAC Deemed Table'!J1570</f>
        <v>6</v>
      </c>
      <c r="Y216" s="55">
        <f>'HVAC Deemed Table'!J1572</f>
        <v>12</v>
      </c>
      <c r="Z216" s="55">
        <f t="shared" si="56"/>
        <v>18</v>
      </c>
      <c r="AA216" s="49">
        <f>'HVAC Deemed Table'!BB1570</f>
        <v>2.4030688374314648</v>
      </c>
      <c r="AB216" s="698">
        <f>'HVAC Deemed Table'!K1570</f>
        <v>1013.4419233826643</v>
      </c>
      <c r="AC216" s="2583">
        <f t="shared" si="57"/>
        <v>1891.0297172181681</v>
      </c>
      <c r="AD216" s="2583">
        <f t="shared" si="46"/>
        <v>407.57406251518387</v>
      </c>
      <c r="AE216" s="571">
        <f>'HVAC Deemed Table'!BD1570</f>
        <v>1504.4419713053201</v>
      </c>
      <c r="AF216" s="571">
        <f>'HVAC Deemed Table'!BD1571</f>
        <v>386.58774591284811</v>
      </c>
      <c r="AG216" s="571">
        <f>'HVAC Deemed Table'!BD1572</f>
        <v>189.75888698946613</v>
      </c>
      <c r="AH216" s="571">
        <f>'HVAC Deemed Table'!BD1573</f>
        <v>217.81517552571771</v>
      </c>
      <c r="AI216" s="2589" t="str">
        <f t="shared" si="53"/>
        <v>per measure</v>
      </c>
      <c r="AJ216" s="93">
        <f>'HVAC Deemed Table'!L1570</f>
        <v>2.9733333333333332</v>
      </c>
      <c r="AK216" s="1501"/>
      <c r="AL216" s="1501"/>
      <c r="AM216" s="1596">
        <f t="shared" si="42"/>
        <v>9.4741810000000004E-4</v>
      </c>
      <c r="AN216" s="84">
        <f t="shared" si="48"/>
        <v>2.2495400624589998</v>
      </c>
      <c r="AO216" s="1595">
        <f t="shared" si="43"/>
        <v>6.2458999749992472E-8</v>
      </c>
    </row>
    <row r="217" spans="1:48" x14ac:dyDescent="0.35">
      <c r="A217" s="103" t="str">
        <f t="shared" si="55"/>
        <v>352701</v>
      </c>
      <c r="B217" s="3346" t="str">
        <f>'HVAC Deemed Table'!C1574</f>
        <v>352701_2021_12_</v>
      </c>
      <c r="C217" s="2564" t="str">
        <f>'HVAC Deemed Table'!G1574</f>
        <v>Cooling Res</v>
      </c>
      <c r="D217" s="2564" t="str">
        <f>'HVAC Deemed Table'!G1575</f>
        <v>Heating Res</v>
      </c>
      <c r="E217" s="2564" t="str">
        <f>'HVAC Deemed Table'!G1576</f>
        <v>Cooling Res ER2</v>
      </c>
      <c r="F217" s="2564" t="str">
        <f>'HVAC Deemed Table'!G1577</f>
        <v>Heating Res ER2</v>
      </c>
      <c r="G217" s="3343" t="str">
        <f>'HVAC Deemed Table'!E1574</f>
        <v>ASHP-SEER15_ER1_MF_CompE</v>
      </c>
      <c r="H217" s="50" t="str">
        <f>'HVAC Deemed Table'!D1574</f>
        <v>MFc</v>
      </c>
      <c r="I217" s="1966">
        <f t="shared" si="49"/>
        <v>1648.18</v>
      </c>
      <c r="J217" s="1966">
        <f t="shared" si="50"/>
        <v>251.68</v>
      </c>
      <c r="K217" s="560">
        <f>'HVAC Deemed Table'!F1574</f>
        <v>1122.44</v>
      </c>
      <c r="L217" s="560">
        <f>'HVAC Deemed Table'!F1575</f>
        <v>525.74</v>
      </c>
      <c r="M217" s="560">
        <f>'HVAC Deemed Table'!F1576</f>
        <v>81.069999999999993</v>
      </c>
      <c r="N217" s="560">
        <f>'HVAC Deemed Table'!F1577</f>
        <v>170.61</v>
      </c>
      <c r="O217" s="1967">
        <f t="shared" si="51"/>
        <v>1.06342</v>
      </c>
      <c r="P217" s="1967">
        <f t="shared" si="52"/>
        <v>7.6807E-2</v>
      </c>
      <c r="Q217" s="1968">
        <f>'HVAC Deemed Table'!I1574</f>
        <v>1.06342</v>
      </c>
      <c r="R217" s="1968">
        <f>'HVAC Deemed Table'!I1575</f>
        <v>0</v>
      </c>
      <c r="S217" s="1968">
        <f>'HVAC Deemed Table'!I1576</f>
        <v>7.6807E-2</v>
      </c>
      <c r="T217" s="1968">
        <f>'HVAC Deemed Table'!I1577</f>
        <v>0</v>
      </c>
      <c r="U217" s="1969"/>
      <c r="V217" s="1969"/>
      <c r="W217" s="1969">
        <f t="shared" si="69"/>
        <v>7.6807E-2</v>
      </c>
      <c r="X217" s="55">
        <f>'HVAC Deemed Table'!J1574</f>
        <v>6</v>
      </c>
      <c r="Y217" s="55">
        <f>'HVAC Deemed Table'!J1576</f>
        <v>12</v>
      </c>
      <c r="Z217" s="55">
        <f t="shared" si="56"/>
        <v>18</v>
      </c>
      <c r="AA217" s="49">
        <f>'HVAC Deemed Table'!BB1574</f>
        <v>1.2950671739503827</v>
      </c>
      <c r="AB217" s="698">
        <f>'HVAC Deemed Table'!K1574</f>
        <v>764.78725019873173</v>
      </c>
      <c r="AC217" s="2583">
        <f t="shared" si="57"/>
        <v>796.85614166580115</v>
      </c>
      <c r="AD217" s="2583">
        <f t="shared" si="46"/>
        <v>137.97242160758773</v>
      </c>
      <c r="AE217" s="571">
        <f>'HVAC Deemed Table'!BD1574</f>
        <v>711.19144128468508</v>
      </c>
      <c r="AF217" s="571">
        <f>'HVAC Deemed Table'!BD1575</f>
        <v>85.664700381116077</v>
      </c>
      <c r="AG217" s="571">
        <f>'HVAC Deemed Table'!BD1576</f>
        <v>89.706414182961211</v>
      </c>
      <c r="AH217" s="571">
        <f>'HVAC Deemed Table'!BD1577</f>
        <v>48.26600742462653</v>
      </c>
      <c r="AI217" s="2589" t="str">
        <f t="shared" si="53"/>
        <v>per measure</v>
      </c>
      <c r="AJ217" s="93">
        <f>'HVAC Deemed Table'!L1574</f>
        <v>2.9733333333333332</v>
      </c>
      <c r="AK217" s="1501"/>
      <c r="AL217" s="1501"/>
      <c r="AM217" s="1596">
        <f t="shared" si="42"/>
        <v>9.4741810000000004E-4</v>
      </c>
      <c r="AN217" s="84">
        <f t="shared" si="48"/>
        <v>1.0634199721640001</v>
      </c>
      <c r="AO217" s="1500">
        <f t="shared" si="43"/>
        <v>-2.7835999949488155E-8</v>
      </c>
      <c r="AP217" s="144">
        <f>AO217/O217</f>
        <v>-2.6175922918026889E-8</v>
      </c>
      <c r="AQ217" s="1509" t="s">
        <v>3927</v>
      </c>
      <c r="AR217" s="1508"/>
      <c r="AS217" s="1508"/>
      <c r="AT217" s="1508"/>
      <c r="AU217" s="1508"/>
      <c r="AV217" s="1508"/>
    </row>
    <row r="218" spans="1:48" s="84" customFormat="1" x14ac:dyDescent="0.35">
      <c r="A218" s="103" t="str">
        <f t="shared" si="55"/>
        <v>352750</v>
      </c>
      <c r="B218" s="3346" t="str">
        <f>'HVAC Deemed Table'!C1578</f>
        <v>352750_2021_12_</v>
      </c>
      <c r="C218" s="2564" t="str">
        <f>'HVAC Deemed Table'!G1578</f>
        <v>Cooling Res</v>
      </c>
      <c r="D218" s="2564" t="str">
        <f>'HVAC Deemed Table'!G1579</f>
        <v>Heating Res</v>
      </c>
      <c r="E218" s="2564" t="str">
        <f>'HVAC Deemed Table'!G1580</f>
        <v>Cooling Res ER2</v>
      </c>
      <c r="F218" s="2564" t="str">
        <f>'HVAC Deemed Table'!G1581</f>
        <v>Heating Res ER2</v>
      </c>
      <c r="G218" s="3343" t="str">
        <f>'HVAC Deemed Table'!E1578</f>
        <v>ASHP-SEER15-Replace_CAC_ElectricHeat_ER1_MF</v>
      </c>
      <c r="H218" s="50" t="str">
        <f>'HVAC Deemed Table'!D1578</f>
        <v>MF</v>
      </c>
      <c r="I218" s="1966">
        <f t="shared" si="49"/>
        <v>12288.06</v>
      </c>
      <c r="J218" s="1966">
        <f t="shared" si="50"/>
        <v>10274.24</v>
      </c>
      <c r="K218" s="560">
        <f>'HVAC Deemed Table'!F1578</f>
        <v>2374.39</v>
      </c>
      <c r="L218" s="560">
        <f>'HVAC Deemed Table'!F1579</f>
        <v>9913.67</v>
      </c>
      <c r="M218" s="560">
        <f>'HVAC Deemed Table'!F1580</f>
        <v>360.57</v>
      </c>
      <c r="N218" s="560">
        <f>'HVAC Deemed Table'!F1581</f>
        <v>9913.67</v>
      </c>
      <c r="O218" s="1967">
        <f t="shared" si="51"/>
        <v>2.2495400000000001</v>
      </c>
      <c r="P218" s="1967">
        <f t="shared" si="52"/>
        <v>0.341611</v>
      </c>
      <c r="Q218" s="1968">
        <f>'HVAC Deemed Table'!I1578</f>
        <v>2.2495400000000001</v>
      </c>
      <c r="R218" s="1968">
        <f>'HVAC Deemed Table'!I1579</f>
        <v>0</v>
      </c>
      <c r="S218" s="1968">
        <f>'HVAC Deemed Table'!I1580</f>
        <v>0.341611</v>
      </c>
      <c r="T218" s="1968">
        <f>'HVAC Deemed Table'!I1581</f>
        <v>0</v>
      </c>
      <c r="U218" s="1969"/>
      <c r="V218" s="1969"/>
      <c r="W218" s="1969">
        <f t="shared" si="69"/>
        <v>0.341611</v>
      </c>
      <c r="X218" s="55">
        <f>'HVAC Deemed Table'!J1578</f>
        <v>6</v>
      </c>
      <c r="Y218" s="55">
        <f>'HVAC Deemed Table'!J1580</f>
        <v>12</v>
      </c>
      <c r="Z218" s="55">
        <f t="shared" si="56"/>
        <v>18</v>
      </c>
      <c r="AA218" s="49">
        <f>'HVAC Deemed Table'!BB1578</f>
        <v>6.6107509008873944</v>
      </c>
      <c r="AB218" s="698">
        <f>'HVAC Deemed Table'!K1578</f>
        <v>1013.4419233826643</v>
      </c>
      <c r="AC218" s="2583">
        <f t="shared" si="57"/>
        <v>3119.7871423542397</v>
      </c>
      <c r="AD218" s="2583">
        <f t="shared" si="46"/>
        <v>3203.5843611842238</v>
      </c>
      <c r="AE218" s="571">
        <f>'HVAC Deemed Table'!BD1578</f>
        <v>1504.4419713053201</v>
      </c>
      <c r="AF218" s="571">
        <f>'HVAC Deemed Table'!BD1579</f>
        <v>1615.3451710489196</v>
      </c>
      <c r="AG218" s="571">
        <f>'HVAC Deemed Table'!BD1580</f>
        <v>398.98164255520322</v>
      </c>
      <c r="AH218" s="571">
        <f>'HVAC Deemed Table'!BD1581</f>
        <v>2804.6027186290207</v>
      </c>
      <c r="AI218" s="2589" t="str">
        <f t="shared" si="53"/>
        <v>per measure</v>
      </c>
      <c r="AJ218" s="93">
        <f>'HVAC Deemed Table'!L1578</f>
        <v>2.9733333333333332</v>
      </c>
      <c r="AK218" s="1501"/>
      <c r="AL218" s="1501"/>
      <c r="AM218" s="1596">
        <f t="shared" si="42"/>
        <v>9.4741810000000004E-4</v>
      </c>
      <c r="AN218" s="84">
        <f t="shared" si="48"/>
        <v>2.2495400624589998</v>
      </c>
      <c r="AO218" s="1595">
        <f t="shared" si="43"/>
        <v>6.2458999749992472E-8</v>
      </c>
      <c r="AP218"/>
      <c r="AQ218"/>
      <c r="AR218"/>
      <c r="AS218"/>
      <c r="AT218"/>
      <c r="AU218"/>
      <c r="AV218"/>
    </row>
    <row r="219" spans="1:48" s="84" customFormat="1" x14ac:dyDescent="0.35">
      <c r="A219" s="103" t="str">
        <f t="shared" si="55"/>
        <v>352751</v>
      </c>
      <c r="B219" s="3346" t="str">
        <f>'HVAC Deemed Table'!C1582</f>
        <v>352751_2021_12_</v>
      </c>
      <c r="C219" s="2564" t="str">
        <f>'HVAC Deemed Table'!G1582</f>
        <v>Cooling Res</v>
      </c>
      <c r="D219" s="2564" t="str">
        <f>'HVAC Deemed Table'!G1583</f>
        <v>Heating Res</v>
      </c>
      <c r="E219" s="2564" t="str">
        <f>'HVAC Deemed Table'!G1584</f>
        <v>Cooling Res ER2</v>
      </c>
      <c r="F219" s="2564" t="str">
        <f>'HVAC Deemed Table'!G1585</f>
        <v>Heating Res ER2</v>
      </c>
      <c r="G219" s="3343" t="str">
        <f>'HVAC Deemed Table'!E1582</f>
        <v>ASHP-SEER15-Replace_CAC_ElectricHeat_ER1_MF_CompE</v>
      </c>
      <c r="H219" s="50" t="str">
        <f>'HVAC Deemed Table'!D1582</f>
        <v>MFc</v>
      </c>
      <c r="I219" s="1966">
        <f t="shared" si="49"/>
        <v>5106.49</v>
      </c>
      <c r="J219" s="1966">
        <f t="shared" si="50"/>
        <v>3641.89</v>
      </c>
      <c r="K219" s="560">
        <f>'HVAC Deemed Table'!F1582</f>
        <v>1726.83</v>
      </c>
      <c r="L219" s="560">
        <f>'HVAC Deemed Table'!F1583</f>
        <v>3379.66</v>
      </c>
      <c r="M219" s="560">
        <f>'HVAC Deemed Table'!F1584</f>
        <v>262.23</v>
      </c>
      <c r="N219" s="560">
        <f>'HVAC Deemed Table'!F1585</f>
        <v>3379.66</v>
      </c>
      <c r="O219" s="1967">
        <f t="shared" si="51"/>
        <v>1.6360300000000001</v>
      </c>
      <c r="P219" s="1967">
        <f t="shared" si="52"/>
        <v>0.248441</v>
      </c>
      <c r="Q219" s="1968">
        <f>'HVAC Deemed Table'!I1582</f>
        <v>1.6360300000000001</v>
      </c>
      <c r="R219" s="1968">
        <f>'HVAC Deemed Table'!I1583</f>
        <v>0</v>
      </c>
      <c r="S219" s="1968">
        <f>'HVAC Deemed Table'!I1584</f>
        <v>0.248441</v>
      </c>
      <c r="T219" s="1968">
        <f>'HVAC Deemed Table'!I1585</f>
        <v>0</v>
      </c>
      <c r="U219" s="1969"/>
      <c r="V219" s="1969"/>
      <c r="W219" s="1969">
        <f t="shared" si="69"/>
        <v>0.248441</v>
      </c>
      <c r="X219" s="55">
        <f>'HVAC Deemed Table'!J1582</f>
        <v>6</v>
      </c>
      <c r="Y219" s="55">
        <f>'HVAC Deemed Table'!J1584</f>
        <v>12</v>
      </c>
      <c r="Z219" s="55">
        <f t="shared" si="56"/>
        <v>18</v>
      </c>
      <c r="AA219" s="49">
        <f>'HVAC Deemed Table'!BB1582</f>
        <v>3.0224985668746016</v>
      </c>
      <c r="AB219" s="698">
        <f>'HVAC Deemed Table'!K1582</f>
        <v>1013.4419233826643</v>
      </c>
      <c r="AC219" s="2583">
        <f t="shared" si="57"/>
        <v>1644.8260082402664</v>
      </c>
      <c r="AD219" s="2583">
        <f t="shared" si="46"/>
        <v>1246.2799483758188</v>
      </c>
      <c r="AE219" s="571">
        <f>'HVAC Deemed Table'!BD1582</f>
        <v>1094.1401915056776</v>
      </c>
      <c r="AF219" s="571">
        <f>'HVAC Deemed Table'!BD1583</f>
        <v>550.6858167345888</v>
      </c>
      <c r="AG219" s="571">
        <f>'HVAC Deemed Table'!BD1584</f>
        <v>290.16544950287306</v>
      </c>
      <c r="AH219" s="571">
        <f>'HVAC Deemed Table'!BD1585</f>
        <v>956.11449887294577</v>
      </c>
      <c r="AI219" s="2589" t="str">
        <f t="shared" si="53"/>
        <v>per measure</v>
      </c>
      <c r="AJ219" s="93">
        <f>'HVAC Deemed Table'!L1582</f>
        <v>2.9733333333333332</v>
      </c>
      <c r="AK219" s="1501"/>
      <c r="AL219" s="1501"/>
      <c r="AM219" s="1596">
        <f t="shared" si="42"/>
        <v>9.4741810000000004E-4</v>
      </c>
      <c r="AN219" s="84">
        <f t="shared" si="48"/>
        <v>1.6360299976229999</v>
      </c>
      <c r="AO219" s="1500">
        <f t="shared" si="43"/>
        <v>-2.3770001522649409E-9</v>
      </c>
      <c r="AP219" s="144">
        <f>AO219/O219</f>
        <v>-1.452907435844661E-9</v>
      </c>
      <c r="AQ219"/>
      <c r="AR219"/>
      <c r="AS219"/>
      <c r="AT219"/>
      <c r="AU219"/>
      <c r="AV219"/>
    </row>
    <row r="220" spans="1:48" x14ac:dyDescent="0.35">
      <c r="A220" s="103" t="str">
        <f t="shared" si="55"/>
        <v>352760</v>
      </c>
      <c r="B220" s="3346" t="str">
        <f>'HVAC Deemed Table'!C1586</f>
        <v>352760_2021_12_</v>
      </c>
      <c r="C220" s="2564" t="str">
        <f>'HVAC Deemed Table'!G1586</f>
        <v>Cooling Res</v>
      </c>
      <c r="D220" s="2564" t="str">
        <f>'HVAC Deemed Table'!G1587</f>
        <v>Heating Res</v>
      </c>
      <c r="E220" s="2564" t="str">
        <f>'HVAC Deemed Table'!G1588</f>
        <v>Cooling Res ER2</v>
      </c>
      <c r="F220" s="2564" t="str">
        <f>'HVAC Deemed Table'!G1589</f>
        <v>Heating Res ER2</v>
      </c>
      <c r="G220" s="3343" t="str">
        <f>'HVAC Deemed Table'!E1586</f>
        <v>ASHP-SEER15-Replace_CAC_NonElectricHeat_ER1_MF</v>
      </c>
      <c r="H220" s="50" t="str">
        <f>'HVAC Deemed Table'!D1586</f>
        <v>MF</v>
      </c>
      <c r="I220" s="1966">
        <f t="shared" si="49"/>
        <v>2374.39</v>
      </c>
      <c r="J220" s="1966">
        <f t="shared" si="50"/>
        <v>360.57</v>
      </c>
      <c r="K220" s="560">
        <f>'HVAC Deemed Table'!F1586</f>
        <v>2374.39</v>
      </c>
      <c r="L220" s="560">
        <f>'HVAC Deemed Table'!F1587</f>
        <v>0</v>
      </c>
      <c r="M220" s="560">
        <f>'HVAC Deemed Table'!F1588</f>
        <v>360.57</v>
      </c>
      <c r="N220" s="560">
        <f>'HVAC Deemed Table'!F1589</f>
        <v>0</v>
      </c>
      <c r="O220" s="1967">
        <f t="shared" si="51"/>
        <v>2.2495400000000001</v>
      </c>
      <c r="P220" s="1967">
        <f t="shared" si="52"/>
        <v>0.341611</v>
      </c>
      <c r="Q220" s="1968">
        <f>'HVAC Deemed Table'!I1586</f>
        <v>2.2495400000000001</v>
      </c>
      <c r="R220" s="1968">
        <f>'HVAC Deemed Table'!I1587</f>
        <v>0</v>
      </c>
      <c r="S220" s="1968">
        <f>'HVAC Deemed Table'!I1588</f>
        <v>0.341611</v>
      </c>
      <c r="T220" s="1968">
        <f>'HVAC Deemed Table'!I1589</f>
        <v>0</v>
      </c>
      <c r="U220" s="1969"/>
      <c r="V220" s="1969"/>
      <c r="W220" s="1969">
        <f t="shared" si="69"/>
        <v>0.341611</v>
      </c>
      <c r="X220" s="55">
        <f>'HVAC Deemed Table'!J1586</f>
        <v>6</v>
      </c>
      <c r="Y220" s="55">
        <f>'HVAC Deemed Table'!J1588</f>
        <v>12</v>
      </c>
      <c r="Z220" s="55">
        <f t="shared" si="56"/>
        <v>18</v>
      </c>
      <c r="AA220" s="49">
        <f>'HVAC Deemed Table'!BB1586</f>
        <v>1.9899288477764601</v>
      </c>
      <c r="AB220" s="698">
        <f>'HVAC Deemed Table'!K1586</f>
        <v>1013.4419233826643</v>
      </c>
      <c r="AC220" s="2583">
        <f t="shared" si="57"/>
        <v>1504.4419713053201</v>
      </c>
      <c r="AD220" s="2583">
        <f t="shared" si="46"/>
        <v>398.98164255520322</v>
      </c>
      <c r="AE220" s="571">
        <f>'HVAC Deemed Table'!BD1586</f>
        <v>1504.4419713053201</v>
      </c>
      <c r="AF220" s="571">
        <f>'HVAC Deemed Table'!BD1587</f>
        <v>0</v>
      </c>
      <c r="AG220" s="571">
        <f>'HVAC Deemed Table'!BD1588</f>
        <v>398.98164255520322</v>
      </c>
      <c r="AH220" s="571">
        <f>'HVAC Deemed Table'!BD1589</f>
        <v>0</v>
      </c>
      <c r="AI220" s="2589" t="str">
        <f t="shared" si="53"/>
        <v>per measure</v>
      </c>
      <c r="AJ220" s="93">
        <f>'HVAC Deemed Table'!L1586</f>
        <v>2.9733333333333332</v>
      </c>
      <c r="AK220" s="2610"/>
      <c r="AL220" s="2610"/>
      <c r="AM220" s="1961">
        <f t="shared" si="42"/>
        <v>9.4741810000000004E-4</v>
      </c>
      <c r="AN220" s="84">
        <f t="shared" si="48"/>
        <v>2.2495400624589998</v>
      </c>
      <c r="AO220" s="2611">
        <f t="shared" si="43"/>
        <v>6.2458999749992472E-8</v>
      </c>
      <c r="AP220" s="1779">
        <f>AO220/O220</f>
        <v>2.7765231891850097E-8</v>
      </c>
      <c r="AQ220" s="84"/>
      <c r="AR220" s="84"/>
      <c r="AS220" s="84"/>
      <c r="AT220" s="84"/>
      <c r="AU220" s="84"/>
      <c r="AV220" s="84"/>
    </row>
    <row r="221" spans="1:48" x14ac:dyDescent="0.35">
      <c r="A221" s="103" t="str">
        <f t="shared" si="55"/>
        <v>352761</v>
      </c>
      <c r="B221" s="3346" t="str">
        <f>'HVAC Deemed Table'!C1590</f>
        <v>352761_2021_12_</v>
      </c>
      <c r="C221" s="2564" t="str">
        <f>'HVAC Deemed Table'!G1590</f>
        <v>Cooling Res</v>
      </c>
      <c r="D221" s="2564" t="str">
        <f>'HVAC Deemed Table'!G1591</f>
        <v>Heating Res</v>
      </c>
      <c r="E221" s="2564" t="str">
        <f>'HVAC Deemed Table'!G1592</f>
        <v>Cooling Res ER2</v>
      </c>
      <c r="F221" s="2564" t="str">
        <f>'HVAC Deemed Table'!G1593</f>
        <v>Heating Res ER2</v>
      </c>
      <c r="G221" s="3343" t="str">
        <f>'HVAC Deemed Table'!E1590</f>
        <v>ASHP-SEER15-Replace_CAC_NonElectricHeat_ER1_MF_CompE</v>
      </c>
      <c r="H221" s="50" t="str">
        <f>'HVAC Deemed Table'!D1590</f>
        <v>MFc</v>
      </c>
      <c r="I221" s="1966">
        <f t="shared" si="49"/>
        <v>1726.83</v>
      </c>
      <c r="J221" s="1966">
        <f t="shared" si="50"/>
        <v>262.23</v>
      </c>
      <c r="K221" s="560">
        <f>'HVAC Deemed Table'!F1590</f>
        <v>1726.83</v>
      </c>
      <c r="L221" s="560">
        <f>'HVAC Deemed Table'!F1591</f>
        <v>0</v>
      </c>
      <c r="M221" s="560">
        <f>'HVAC Deemed Table'!F1592</f>
        <v>262.23</v>
      </c>
      <c r="N221" s="560">
        <f>'HVAC Deemed Table'!F1593</f>
        <v>0</v>
      </c>
      <c r="O221" s="1967">
        <f t="shared" si="51"/>
        <v>1.6360300000000001</v>
      </c>
      <c r="P221" s="1967">
        <f t="shared" si="52"/>
        <v>0.248441</v>
      </c>
      <c r="Q221" s="1968">
        <f>'HVAC Deemed Table'!I1590</f>
        <v>1.6360300000000001</v>
      </c>
      <c r="R221" s="1968">
        <f>'HVAC Deemed Table'!I1591</f>
        <v>0</v>
      </c>
      <c r="S221" s="1968">
        <f>'HVAC Deemed Table'!I1592</f>
        <v>0.248441</v>
      </c>
      <c r="T221" s="1968">
        <f>'HVAC Deemed Table'!I1593</f>
        <v>0</v>
      </c>
      <c r="U221" s="1969"/>
      <c r="V221" s="1969"/>
      <c r="W221" s="1969">
        <f t="shared" si="69"/>
        <v>0.248441</v>
      </c>
      <c r="X221" s="55">
        <f>'HVAC Deemed Table'!J1590</f>
        <v>6</v>
      </c>
      <c r="Y221" s="55">
        <f>'HVAC Deemed Table'!J1592</f>
        <v>12</v>
      </c>
      <c r="Z221" s="55">
        <f t="shared" si="56"/>
        <v>18</v>
      </c>
      <c r="AA221" s="49">
        <f>'HVAC Deemed Table'!BB1590</f>
        <v>1.447218427429078</v>
      </c>
      <c r="AB221" s="698">
        <f>'HVAC Deemed Table'!K1590</f>
        <v>1013.4419233826643</v>
      </c>
      <c r="AC221" s="2583">
        <f t="shared" si="57"/>
        <v>1094.1401915056776</v>
      </c>
      <c r="AD221" s="2583">
        <f t="shared" si="46"/>
        <v>290.16544950287306</v>
      </c>
      <c r="AE221" s="571">
        <f>'HVAC Deemed Table'!BD1590</f>
        <v>1094.1401915056776</v>
      </c>
      <c r="AF221" s="571">
        <f>'HVAC Deemed Table'!BD1591</f>
        <v>0</v>
      </c>
      <c r="AG221" s="571">
        <f>'HVAC Deemed Table'!BD1592</f>
        <v>290.16544950287306</v>
      </c>
      <c r="AH221" s="571">
        <f>'HVAC Deemed Table'!BD1593</f>
        <v>0</v>
      </c>
      <c r="AI221" s="2589" t="str">
        <f t="shared" si="53"/>
        <v>per measure</v>
      </c>
      <c r="AJ221" s="93">
        <f>'HVAC Deemed Table'!L1590</f>
        <v>2.9733333333333332</v>
      </c>
      <c r="AK221" s="2610"/>
      <c r="AL221" s="2610"/>
      <c r="AM221" s="1961">
        <f t="shared" si="42"/>
        <v>9.4741810000000004E-4</v>
      </c>
      <c r="AN221" s="84">
        <f t="shared" si="48"/>
        <v>1.6360299976229999</v>
      </c>
      <c r="AO221" s="2611">
        <f t="shared" si="43"/>
        <v>-2.3770001522649409E-9</v>
      </c>
      <c r="AP221" s="1779">
        <f>AO221/O221</f>
        <v>-1.452907435844661E-9</v>
      </c>
      <c r="AQ221" s="84"/>
      <c r="AR221" s="84"/>
      <c r="AS221" s="84"/>
      <c r="AT221" s="84"/>
      <c r="AU221" s="84"/>
      <c r="AV221" s="84"/>
    </row>
    <row r="222" spans="1:48" s="84" customFormat="1" x14ac:dyDescent="0.35">
      <c r="A222" s="103" t="str">
        <f t="shared" si="55"/>
        <v>352800</v>
      </c>
      <c r="B222" s="3346" t="str">
        <f>'HVAC Deemed Table'!C1594</f>
        <v>352800_2019_12_</v>
      </c>
      <c r="C222" s="2564" t="str">
        <f>'HVAC Deemed Table'!G1594</f>
        <v>Cooling Res</v>
      </c>
      <c r="D222" s="2564" t="str">
        <f>'HVAC Deemed Table'!G1595</f>
        <v>Heating Res</v>
      </c>
      <c r="E222" s="3343"/>
      <c r="F222" s="3343"/>
      <c r="G222" s="3343" t="str">
        <f>'HVAC Deemed Table'!E1594</f>
        <v>ASHP-SEER15-Replace_CAC_ElectricHeat_ROF_MF</v>
      </c>
      <c r="H222" s="50" t="str">
        <f>'HVAC Deemed Table'!D1594</f>
        <v>MF</v>
      </c>
      <c r="I222" s="1966">
        <f t="shared" si="49"/>
        <v>7150.37</v>
      </c>
      <c r="J222" s="1966">
        <f t="shared" si="50"/>
        <v>0</v>
      </c>
      <c r="K222" s="560">
        <f>'HVAC Deemed Table'!F1594</f>
        <v>267.38</v>
      </c>
      <c r="L222" s="560">
        <f>'HVAC Deemed Table'!F1595</f>
        <v>6882.99</v>
      </c>
      <c r="M222" s="560"/>
      <c r="N222" s="560"/>
      <c r="O222" s="1967">
        <f t="shared" si="51"/>
        <v>0.25332100000000002</v>
      </c>
      <c r="P222" s="1967">
        <f t="shared" si="52"/>
        <v>0</v>
      </c>
      <c r="Q222" s="1968">
        <f>'HVAC Deemed Table'!I1594</f>
        <v>0.25332100000000002</v>
      </c>
      <c r="R222" s="1968">
        <f>'HVAC Deemed Table'!I1595</f>
        <v>0</v>
      </c>
      <c r="S222" s="1968"/>
      <c r="T222" s="1968"/>
      <c r="U222" s="1969"/>
      <c r="V222" s="1969"/>
      <c r="W222" s="1969">
        <f>O222</f>
        <v>0.25332100000000002</v>
      </c>
      <c r="X222" s="55">
        <f>'HVAC Deemed Table'!J1594</f>
        <v>18</v>
      </c>
      <c r="Y222" s="55"/>
      <c r="Z222" s="55">
        <f t="shared" si="56"/>
        <v>18</v>
      </c>
      <c r="AA222" s="49">
        <f>'HVAC Deemed Table'!BB1594</f>
        <v>12.357397417524918</v>
      </c>
      <c r="AB222" s="698">
        <f>'HVAC Deemed Table'!K1594</f>
        <v>303</v>
      </c>
      <c r="AC222" s="2583">
        <f t="shared" si="57"/>
        <v>3534.0173832091077</v>
      </c>
      <c r="AD222" s="2583">
        <f t="shared" si="46"/>
        <v>0</v>
      </c>
      <c r="AE222" s="571">
        <f>'HVAC Deemed Table'!BD1594</f>
        <v>465.27925442588554</v>
      </c>
      <c r="AF222" s="571">
        <f>'HVAC Deemed Table'!BD1595</f>
        <v>3068.7381287832222</v>
      </c>
      <c r="AG222" s="571"/>
      <c r="AH222" s="571"/>
      <c r="AI222" s="2589" t="str">
        <f t="shared" si="53"/>
        <v>per measure</v>
      </c>
      <c r="AJ222" s="93">
        <f>'HVAC Deemed Table'!L1594</f>
        <v>2.1833333333333331</v>
      </c>
      <c r="AK222" s="1501"/>
      <c r="AL222" s="1501"/>
      <c r="AM222" s="1596">
        <f t="shared" si="42"/>
        <v>9.4741810000000004E-4</v>
      </c>
      <c r="AN222" s="84">
        <f t="shared" si="48"/>
        <v>0.25332065157799999</v>
      </c>
      <c r="AO222" s="1595">
        <f t="shared" si="43"/>
        <v>-3.4842200002938029E-7</v>
      </c>
      <c r="AP222"/>
      <c r="AQ222"/>
      <c r="AR222"/>
      <c r="AS222"/>
      <c r="AT222"/>
      <c r="AU222"/>
      <c r="AV222"/>
    </row>
    <row r="223" spans="1:48" s="84" customFormat="1" x14ac:dyDescent="0.35">
      <c r="A223" s="103" t="str">
        <f t="shared" si="55"/>
        <v>352801</v>
      </c>
      <c r="B223" s="3346" t="str">
        <f>'HVAC Deemed Table'!C1596</f>
        <v>352801_2021_12_</v>
      </c>
      <c r="C223" s="2564" t="str">
        <f>'HVAC Deemed Table'!G1596</f>
        <v>Cooling Res</v>
      </c>
      <c r="D223" s="2564" t="str">
        <f>'HVAC Deemed Table'!G1597</f>
        <v>Heating Res</v>
      </c>
      <c r="E223" s="3343"/>
      <c r="F223" s="3343"/>
      <c r="G223" s="3343" t="str">
        <f>'HVAC Deemed Table'!E1596</f>
        <v>ASHP-SEER15-Replace_CAC_ElectricHeat_ROF_MF_CompE</v>
      </c>
      <c r="H223" s="50" t="str">
        <f>'HVAC Deemed Table'!D1596</f>
        <v>MFc</v>
      </c>
      <c r="I223" s="1966">
        <f t="shared" si="49"/>
        <v>2540.94</v>
      </c>
      <c r="J223" s="1966">
        <f t="shared" si="50"/>
        <v>0</v>
      </c>
      <c r="K223" s="560">
        <f>'HVAC Deemed Table'!F1596</f>
        <v>194.46</v>
      </c>
      <c r="L223" s="560">
        <f>'HVAC Deemed Table'!F1597</f>
        <v>2346.48</v>
      </c>
      <c r="M223" s="560"/>
      <c r="N223" s="560"/>
      <c r="O223" s="1967">
        <f t="shared" si="51"/>
        <v>0.18423500000000001</v>
      </c>
      <c r="P223" s="1967">
        <f t="shared" si="52"/>
        <v>0</v>
      </c>
      <c r="Q223" s="1968">
        <f>'HVAC Deemed Table'!I1596</f>
        <v>0.18423500000000001</v>
      </c>
      <c r="R223" s="1968">
        <f>'HVAC Deemed Table'!I1597</f>
        <v>0</v>
      </c>
      <c r="S223" s="1968"/>
      <c r="T223" s="1968"/>
      <c r="U223" s="1969"/>
      <c r="V223" s="1969"/>
      <c r="W223" s="1969">
        <f>O223</f>
        <v>0.18423500000000001</v>
      </c>
      <c r="X223" s="55">
        <f>'HVAC Deemed Table'!J1596</f>
        <v>18</v>
      </c>
      <c r="Y223" s="55"/>
      <c r="Z223" s="55">
        <f t="shared" si="56"/>
        <v>18</v>
      </c>
      <c r="AA223" s="49">
        <f>'HVAC Deemed Table'!BB1596</f>
        <v>4.8413609052280675</v>
      </c>
      <c r="AB223" s="698">
        <f>'HVAC Deemed Table'!K1596</f>
        <v>303</v>
      </c>
      <c r="AC223" s="2583">
        <f t="shared" si="57"/>
        <v>1384.5515377858464</v>
      </c>
      <c r="AD223" s="2583">
        <f t="shared" si="46"/>
        <v>0</v>
      </c>
      <c r="AE223" s="571">
        <f>'HVAC Deemed Table'!BD1596</f>
        <v>338.38807620486836</v>
      </c>
      <c r="AF223" s="571">
        <f>'HVAC Deemed Table'!BD1597</f>
        <v>1046.163461580978</v>
      </c>
      <c r="AG223" s="571"/>
      <c r="AH223" s="571"/>
      <c r="AI223" s="2589" t="str">
        <f t="shared" si="53"/>
        <v>per measure</v>
      </c>
      <c r="AJ223" s="93">
        <f>'HVAC Deemed Table'!L1596</f>
        <v>2.1833333333333331</v>
      </c>
      <c r="AK223" s="1501"/>
      <c r="AL223" s="1501"/>
      <c r="AM223" s="1596">
        <f t="shared" si="42"/>
        <v>9.4741810000000004E-4</v>
      </c>
      <c r="AN223" s="84">
        <f t="shared" si="48"/>
        <v>0.184234923726</v>
      </c>
      <c r="AO223" s="1500">
        <f t="shared" si="43"/>
        <v>-7.6274000004872278E-8</v>
      </c>
      <c r="AP223" s="144">
        <f>AO223/O223</f>
        <v>-4.1400385380015891E-7</v>
      </c>
      <c r="AQ223"/>
      <c r="AR223"/>
      <c r="AS223"/>
      <c r="AT223"/>
      <c r="AU223"/>
      <c r="AV223"/>
    </row>
    <row r="224" spans="1:48" x14ac:dyDescent="0.35">
      <c r="A224" s="103" t="str">
        <f t="shared" si="55"/>
        <v>352810</v>
      </c>
      <c r="B224" s="3346" t="str">
        <f>'HVAC Deemed Table'!C1598</f>
        <v>352810_2021_12_</v>
      </c>
      <c r="C224" s="2564" t="str">
        <f>'HVAC Deemed Table'!G1598</f>
        <v>Cooling Res</v>
      </c>
      <c r="D224" s="2564" t="str">
        <f>'HVAC Deemed Table'!G1599</f>
        <v>Heating Res</v>
      </c>
      <c r="E224" s="3343"/>
      <c r="F224" s="3343"/>
      <c r="G224" s="3343" t="str">
        <f>'HVAC Deemed Table'!E1598</f>
        <v>ASHP-SEER15-Replace_CAC_NonElectricHeat_ROF_MF</v>
      </c>
      <c r="H224" s="50" t="str">
        <f>'HVAC Deemed Table'!D1598</f>
        <v>MF</v>
      </c>
      <c r="I224" s="1966">
        <f t="shared" si="49"/>
        <v>267.38</v>
      </c>
      <c r="J224" s="1966">
        <f t="shared" si="50"/>
        <v>0</v>
      </c>
      <c r="K224" s="560">
        <f>'HVAC Deemed Table'!F1598</f>
        <v>267.38</v>
      </c>
      <c r="L224" s="560">
        <f>'HVAC Deemed Table'!F1599</f>
        <v>0</v>
      </c>
      <c r="M224" s="560"/>
      <c r="N224" s="560"/>
      <c r="O224" s="1967">
        <f t="shared" si="51"/>
        <v>0.25332100000000002</v>
      </c>
      <c r="P224" s="1967">
        <f t="shared" si="52"/>
        <v>0</v>
      </c>
      <c r="Q224" s="1968">
        <f>'HVAC Deemed Table'!I1598</f>
        <v>0.25332100000000002</v>
      </c>
      <c r="R224" s="1968">
        <f>'HVAC Deemed Table'!I1599</f>
        <v>0</v>
      </c>
      <c r="S224" s="1968"/>
      <c r="T224" s="1968"/>
      <c r="U224" s="1969"/>
      <c r="V224" s="1969"/>
      <c r="W224" s="1969">
        <f>O224</f>
        <v>0.25332100000000002</v>
      </c>
      <c r="X224" s="55">
        <f>'HVAC Deemed Table'!J1598</f>
        <v>18</v>
      </c>
      <c r="Y224" s="55"/>
      <c r="Z224" s="55">
        <f t="shared" si="56"/>
        <v>18</v>
      </c>
      <c r="AA224" s="49">
        <f>'HVAC Deemed Table'!BB1598</f>
        <v>1.6269418153934845</v>
      </c>
      <c r="AB224" s="698">
        <f>'HVAC Deemed Table'!K1598</f>
        <v>303</v>
      </c>
      <c r="AC224" s="2583">
        <f t="shared" si="57"/>
        <v>465.27925442588554</v>
      </c>
      <c r="AD224" s="2583">
        <f t="shared" si="46"/>
        <v>0</v>
      </c>
      <c r="AE224" s="571">
        <f>'HVAC Deemed Table'!BD1598</f>
        <v>465.27925442588554</v>
      </c>
      <c r="AF224" s="571">
        <f>'HVAC Deemed Table'!BD1599</f>
        <v>0</v>
      </c>
      <c r="AG224" s="571"/>
      <c r="AH224" s="571"/>
      <c r="AI224" s="2589" t="str">
        <f t="shared" si="53"/>
        <v>per measure</v>
      </c>
      <c r="AJ224" s="93">
        <f>'HVAC Deemed Table'!L1598</f>
        <v>2.1833333333333331</v>
      </c>
      <c r="AK224" s="2610"/>
      <c r="AL224" s="2610"/>
      <c r="AM224" s="1961">
        <f t="shared" si="42"/>
        <v>9.4741810000000004E-4</v>
      </c>
      <c r="AN224" s="84">
        <f t="shared" si="48"/>
        <v>0.25332065157799999</v>
      </c>
      <c r="AO224" s="2611">
        <f t="shared" si="43"/>
        <v>-3.4842200002938029E-7</v>
      </c>
      <c r="AP224" s="1779">
        <f>AO224/O224</f>
        <v>-1.3754169612048755E-6</v>
      </c>
      <c r="AQ224" s="84"/>
      <c r="AR224" s="84"/>
      <c r="AS224" s="84"/>
      <c r="AT224" s="84"/>
      <c r="AU224" s="84"/>
      <c r="AV224" s="84"/>
    </row>
    <row r="225" spans="1:48" x14ac:dyDescent="0.35">
      <c r="A225" s="103" t="str">
        <f t="shared" si="55"/>
        <v>352811</v>
      </c>
      <c r="B225" s="3346" t="str">
        <f>'HVAC Deemed Table'!C1600</f>
        <v>352811_2021_12_</v>
      </c>
      <c r="C225" s="2564" t="str">
        <f>'HVAC Deemed Table'!G1600</f>
        <v>Cooling Res</v>
      </c>
      <c r="D225" s="2564" t="str">
        <f>'HVAC Deemed Table'!G1601</f>
        <v>Heating Res</v>
      </c>
      <c r="E225" s="3343"/>
      <c r="F225" s="3343"/>
      <c r="G225" s="3343" t="str">
        <f>'HVAC Deemed Table'!E1600</f>
        <v>ASHP-SEER15-Replace_CAC_NonElectricHeat_ROF_MF_CompE</v>
      </c>
      <c r="H225" s="50" t="str">
        <f>'HVAC Deemed Table'!D1600</f>
        <v>MFc</v>
      </c>
      <c r="I225" s="1966">
        <f t="shared" si="49"/>
        <v>194.46</v>
      </c>
      <c r="J225" s="1966">
        <f t="shared" si="50"/>
        <v>0</v>
      </c>
      <c r="K225" s="560">
        <f>'HVAC Deemed Table'!F1600</f>
        <v>194.46</v>
      </c>
      <c r="L225" s="560">
        <f>'HVAC Deemed Table'!F1601</f>
        <v>0</v>
      </c>
      <c r="M225" s="560"/>
      <c r="N225" s="560"/>
      <c r="O225" s="1967">
        <f t="shared" si="51"/>
        <v>0.18423500000000001</v>
      </c>
      <c r="P225" s="1967">
        <f t="shared" si="52"/>
        <v>0</v>
      </c>
      <c r="Q225" s="1968">
        <f>'HVAC Deemed Table'!I1600</f>
        <v>0.18423500000000001</v>
      </c>
      <c r="R225" s="1968">
        <f>'HVAC Deemed Table'!I1601</f>
        <v>0</v>
      </c>
      <c r="S225" s="1968"/>
      <c r="T225" s="1968"/>
      <c r="U225" s="1969"/>
      <c r="V225" s="1969"/>
      <c r="W225" s="1969">
        <f>O225</f>
        <v>0.18423500000000001</v>
      </c>
      <c r="X225" s="55">
        <f>'HVAC Deemed Table'!J1600</f>
        <v>18</v>
      </c>
      <c r="Y225" s="55"/>
      <c r="Z225" s="55">
        <f t="shared" si="56"/>
        <v>18</v>
      </c>
      <c r="AA225" s="49">
        <f>'HVAC Deemed Table'!BB1600</f>
        <v>1.1832414743863302</v>
      </c>
      <c r="AB225" s="698">
        <f>'HVAC Deemed Table'!K1600</f>
        <v>303</v>
      </c>
      <c r="AC225" s="2583">
        <f t="shared" si="57"/>
        <v>338.38807620486836</v>
      </c>
      <c r="AD225" s="2583">
        <f t="shared" si="46"/>
        <v>0</v>
      </c>
      <c r="AE225" s="571">
        <f>'HVAC Deemed Table'!BD1600</f>
        <v>338.38807620486836</v>
      </c>
      <c r="AF225" s="571">
        <f>'HVAC Deemed Table'!BD1601</f>
        <v>0</v>
      </c>
      <c r="AG225" s="571"/>
      <c r="AH225" s="571"/>
      <c r="AI225" s="2589" t="str">
        <f t="shared" si="53"/>
        <v>per measure</v>
      </c>
      <c r="AJ225" s="93">
        <f>'HVAC Deemed Table'!L1600</f>
        <v>2.1833333333333331</v>
      </c>
      <c r="AK225" s="2610"/>
      <c r="AL225" s="2610"/>
      <c r="AM225" s="1961">
        <f t="shared" si="42"/>
        <v>9.4741810000000004E-4</v>
      </c>
      <c r="AN225" s="84">
        <f t="shared" si="48"/>
        <v>0.184234923726</v>
      </c>
      <c r="AO225" s="2611">
        <f t="shared" si="43"/>
        <v>-7.6274000004872278E-8</v>
      </c>
      <c r="AP225" s="1779">
        <f>AO225/O225</f>
        <v>-4.1400385380015891E-7</v>
      </c>
      <c r="AQ225" s="84"/>
      <c r="AR225" s="84"/>
      <c r="AS225" s="84"/>
      <c r="AT225" s="84"/>
      <c r="AU225" s="84"/>
      <c r="AV225" s="84"/>
    </row>
    <row r="226" spans="1:48" x14ac:dyDescent="0.35">
      <c r="A226" s="103" t="str">
        <f t="shared" si="55"/>
        <v>352850</v>
      </c>
      <c r="B226" s="3346" t="str">
        <f>'HVAC Deemed Table'!C1602</f>
        <v>352850_2021_12_</v>
      </c>
      <c r="C226" s="2564" t="str">
        <f>'HVAC Deemed Table'!G1602</f>
        <v>Cooling Res</v>
      </c>
      <c r="D226" s="2564" t="str">
        <f>'HVAC Deemed Table'!G1603</f>
        <v>Heating Res</v>
      </c>
      <c r="E226" s="2564" t="str">
        <f>'HVAC Deemed Table'!G1604</f>
        <v>Cooling Res ER2</v>
      </c>
      <c r="F226" s="2564" t="str">
        <f>'HVAC Deemed Table'!G1605</f>
        <v>Heating Res ER2</v>
      </c>
      <c r="G226" s="3343" t="str">
        <f>'HVAC Deemed Table'!E1602</f>
        <v>ASHP-SEER16_ER1_MF</v>
      </c>
      <c r="H226" s="50" t="str">
        <f>'HVAC Deemed Table'!D1602</f>
        <v>MF</v>
      </c>
      <c r="I226" s="1966">
        <f t="shared" si="49"/>
        <v>4333.8500000000004</v>
      </c>
      <c r="J226" s="1966">
        <f t="shared" si="50"/>
        <v>1010.25</v>
      </c>
      <c r="K226" s="560">
        <f>'HVAC Deemed Table'!F1602</f>
        <v>2088.29</v>
      </c>
      <c r="L226" s="560">
        <f>'HVAC Deemed Table'!F1603</f>
        <v>2245.56</v>
      </c>
      <c r="M226" s="560">
        <f>'HVAC Deemed Table'!F1604</f>
        <v>294.83999999999997</v>
      </c>
      <c r="N226" s="560">
        <f>'HVAC Deemed Table'!F1605</f>
        <v>715.41</v>
      </c>
      <c r="O226" s="1967">
        <f t="shared" si="51"/>
        <v>1.9784839999999999</v>
      </c>
      <c r="P226" s="1967">
        <f t="shared" si="52"/>
        <v>0.279337</v>
      </c>
      <c r="Q226" s="1968">
        <f>'HVAC Deemed Table'!I1602</f>
        <v>1.9784839999999999</v>
      </c>
      <c r="R226" s="1968">
        <f>'HVAC Deemed Table'!I1603</f>
        <v>0</v>
      </c>
      <c r="S226" s="1968">
        <f>'HVAC Deemed Table'!I1604</f>
        <v>0.279337</v>
      </c>
      <c r="T226" s="1968">
        <f>'HVAC Deemed Table'!I1605</f>
        <v>0</v>
      </c>
      <c r="U226" s="1969"/>
      <c r="V226" s="1969"/>
      <c r="W226" s="1969">
        <f>P226</f>
        <v>0.279337</v>
      </c>
      <c r="X226" s="55">
        <f>'HVAC Deemed Table'!J1602</f>
        <v>6</v>
      </c>
      <c r="Y226" s="55">
        <f>'HVAC Deemed Table'!J1604</f>
        <v>12</v>
      </c>
      <c r="Z226" s="55">
        <f t="shared" si="56"/>
        <v>18</v>
      </c>
      <c r="AA226" s="49">
        <f>'HVAC Deemed Table'!BB1602</f>
        <v>2.1048246051889397</v>
      </c>
      <c r="AB226" s="698">
        <f>'HVAC Deemed Table'!K1602</f>
        <v>1116.318054649741</v>
      </c>
      <c r="AC226" s="2583">
        <f t="shared" si="57"/>
        <v>1689.0597961508724</v>
      </c>
      <c r="AD226" s="2583">
        <f t="shared" si="46"/>
        <v>528.64073111994026</v>
      </c>
      <c r="AE226" s="571">
        <f>'HVAC Deemed Table'!BD1602</f>
        <v>1323.1655811628193</v>
      </c>
      <c r="AF226" s="571">
        <f>'HVAC Deemed Table'!BD1603</f>
        <v>365.89421498805302</v>
      </c>
      <c r="AG226" s="571">
        <f>'HVAC Deemed Table'!BD1604</f>
        <v>326.24940369685805</v>
      </c>
      <c r="AH226" s="571">
        <f>'HVAC Deemed Table'!BD1605</f>
        <v>202.39132742308223</v>
      </c>
      <c r="AI226" s="2589" t="str">
        <f t="shared" si="53"/>
        <v>per measure</v>
      </c>
      <c r="AJ226" s="93">
        <f>'HVAC Deemed Table'!L1602</f>
        <v>2.8388888888888886</v>
      </c>
      <c r="AK226" s="1501"/>
      <c r="AL226" s="1501"/>
      <c r="AM226" s="1596">
        <f t="shared" si="42"/>
        <v>9.4741810000000004E-4</v>
      </c>
      <c r="AN226" s="84">
        <f t="shared" si="48"/>
        <v>1.978483744049</v>
      </c>
      <c r="AO226" s="1595">
        <f t="shared" si="43"/>
        <v>-2.5595099995001647E-7</v>
      </c>
    </row>
    <row r="227" spans="1:48" x14ac:dyDescent="0.35">
      <c r="A227" s="103" t="str">
        <f t="shared" si="55"/>
        <v>352851</v>
      </c>
      <c r="B227" s="3346" t="str">
        <f>'HVAC Deemed Table'!C1606</f>
        <v>352851_2021_12_</v>
      </c>
      <c r="C227" s="2564" t="str">
        <f>'HVAC Deemed Table'!G1606</f>
        <v>Cooling Res</v>
      </c>
      <c r="D227" s="2564" t="str">
        <f>'HVAC Deemed Table'!G1607</f>
        <v>Heating Res</v>
      </c>
      <c r="E227" s="2564" t="str">
        <f>'HVAC Deemed Table'!G1608</f>
        <v>Cooling Res ER2</v>
      </c>
      <c r="F227" s="2564" t="str">
        <f>'HVAC Deemed Table'!G1609</f>
        <v>Heating Res ER2</v>
      </c>
      <c r="G227" s="3343" t="str">
        <f>'HVAC Deemed Table'!E1606</f>
        <v>ASHP-SEER16_ER1_MF_CompE</v>
      </c>
      <c r="H227" s="50" t="str">
        <f>'HVAC Deemed Table'!D1606</f>
        <v>MFc</v>
      </c>
      <c r="I227" s="1966">
        <f t="shared" si="49"/>
        <v>2284.2799999999997</v>
      </c>
      <c r="J227" s="1966">
        <f t="shared" si="50"/>
        <v>458.32</v>
      </c>
      <c r="K227" s="560">
        <f>'HVAC Deemed Table'!F1606</f>
        <v>1518.75</v>
      </c>
      <c r="L227" s="560">
        <f>'HVAC Deemed Table'!F1607</f>
        <v>765.53</v>
      </c>
      <c r="M227" s="560">
        <f>'HVAC Deemed Table'!F1608</f>
        <v>214.43</v>
      </c>
      <c r="N227" s="560">
        <f>'HVAC Deemed Table'!F1609</f>
        <v>243.89</v>
      </c>
      <c r="O227" s="1967">
        <f t="shared" si="51"/>
        <v>1.4388909999999999</v>
      </c>
      <c r="P227" s="1967">
        <f t="shared" si="52"/>
        <v>0.203155</v>
      </c>
      <c r="Q227" s="1968">
        <f>'HVAC Deemed Table'!I1606</f>
        <v>1.4388909999999999</v>
      </c>
      <c r="R227" s="1968">
        <f>'HVAC Deemed Table'!I1607</f>
        <v>0</v>
      </c>
      <c r="S227" s="1968">
        <f>'HVAC Deemed Table'!I1608</f>
        <v>0.203155</v>
      </c>
      <c r="T227" s="1968">
        <f>'HVAC Deemed Table'!I1609</f>
        <v>0</v>
      </c>
      <c r="U227" s="1969"/>
      <c r="V227" s="1969"/>
      <c r="W227" s="1969">
        <f>P227</f>
        <v>0.203155</v>
      </c>
      <c r="X227" s="55">
        <f>'HVAC Deemed Table'!J1606</f>
        <v>6</v>
      </c>
      <c r="Y227" s="55">
        <f>'HVAC Deemed Table'!J1608</f>
        <v>12</v>
      </c>
      <c r="Z227" s="55">
        <f t="shared" si="56"/>
        <v>18</v>
      </c>
      <c r="AA227" s="49">
        <f>'HVAC Deemed Table'!BB1606</f>
        <v>1.3223889234627209</v>
      </c>
      <c r="AB227" s="698">
        <f>'HVAC Deemed Table'!K1606</f>
        <v>1116.318054649741</v>
      </c>
      <c r="AC227" s="2583">
        <f t="shared" si="57"/>
        <v>1087.0345767131575</v>
      </c>
      <c r="AD227" s="2583">
        <f t="shared" si="46"/>
        <v>306.27040727010802</v>
      </c>
      <c r="AE227" s="571">
        <f>'HVAC Deemed Table'!BD1606</f>
        <v>962.29820876939118</v>
      </c>
      <c r="AF227" s="571">
        <f>'HVAC Deemed Table'!BD1607</f>
        <v>124.73636794376648</v>
      </c>
      <c r="AG227" s="571">
        <f>'HVAC Deemed Table'!BD1608</f>
        <v>237.27329953438232</v>
      </c>
      <c r="AH227" s="571">
        <f>'HVAC Deemed Table'!BD1609</f>
        <v>68.997107735725706</v>
      </c>
      <c r="AI227" s="2589" t="str">
        <f t="shared" si="53"/>
        <v>per measure</v>
      </c>
      <c r="AJ227" s="93">
        <f>'HVAC Deemed Table'!L1606</f>
        <v>2.8388888888888886</v>
      </c>
      <c r="AK227" s="1501"/>
      <c r="AL227" s="1501"/>
      <c r="AM227" s="1596">
        <f t="shared" si="42"/>
        <v>9.4741810000000004E-4</v>
      </c>
      <c r="AN227" s="84">
        <f t="shared" si="48"/>
        <v>1.438891239375</v>
      </c>
      <c r="AO227" s="1500">
        <f t="shared" si="43"/>
        <v>2.3937500004400647E-7</v>
      </c>
      <c r="AP227" s="144">
        <f>AO227/O227</f>
        <v>1.6636075981016387E-7</v>
      </c>
    </row>
    <row r="228" spans="1:48" x14ac:dyDescent="0.35">
      <c r="A228" s="103" t="str">
        <f t="shared" si="55"/>
        <v>352900</v>
      </c>
      <c r="B228" s="3346" t="str">
        <f>'HVAC Deemed Table'!C1610</f>
        <v>352900_2021_12_</v>
      </c>
      <c r="C228" s="2564" t="str">
        <f>'HVAC Deemed Table'!G1610</f>
        <v>Cooling Res</v>
      </c>
      <c r="D228" s="2564" t="str">
        <f>'HVAC Deemed Table'!G1611</f>
        <v>Heating Res</v>
      </c>
      <c r="E228" s="3343"/>
      <c r="F228" s="3343"/>
      <c r="G228" s="3343" t="str">
        <f>'HVAC Deemed Table'!E1610</f>
        <v>ASHP-SEER16_ROF_MF</v>
      </c>
      <c r="H228" s="50" t="str">
        <f>'HVAC Deemed Table'!D1610</f>
        <v>MF</v>
      </c>
      <c r="I228" s="1966">
        <f t="shared" si="49"/>
        <v>644.1</v>
      </c>
      <c r="J228" s="1966">
        <f t="shared" si="50"/>
        <v>0</v>
      </c>
      <c r="K228" s="560">
        <f>'HVAC Deemed Table'!F1610</f>
        <v>209.49</v>
      </c>
      <c r="L228" s="560">
        <f>'HVAC Deemed Table'!F1611</f>
        <v>434.61</v>
      </c>
      <c r="M228" s="560"/>
      <c r="N228" s="560"/>
      <c r="O228" s="1967">
        <f t="shared" si="51"/>
        <v>0.19847500000000001</v>
      </c>
      <c r="P228" s="1967">
        <f t="shared" si="52"/>
        <v>0</v>
      </c>
      <c r="Q228" s="1968">
        <f>'HVAC Deemed Table'!I1610</f>
        <v>0.19847500000000001</v>
      </c>
      <c r="R228" s="1968">
        <f>'HVAC Deemed Table'!I1611</f>
        <v>0</v>
      </c>
      <c r="S228" s="1968"/>
      <c r="T228" s="1968"/>
      <c r="U228" s="1969"/>
      <c r="V228" s="1969"/>
      <c r="W228" s="1969">
        <f t="shared" ref="W228:W233" si="70">O228</f>
        <v>0.19847500000000001</v>
      </c>
      <c r="X228" s="55">
        <f>'HVAC Deemed Table'!J1610</f>
        <v>18</v>
      </c>
      <c r="Y228" s="55"/>
      <c r="Z228" s="55">
        <f t="shared" si="56"/>
        <v>18</v>
      </c>
      <c r="AA228" s="49">
        <f>'HVAC Deemed Table'!BB1610</f>
        <v>1.3505252283658242</v>
      </c>
      <c r="AB228" s="698">
        <f>'HVAC Deemed Table'!K1610</f>
        <v>438</v>
      </c>
      <c r="AC228" s="2583">
        <f t="shared" si="57"/>
        <v>558.31057104693809</v>
      </c>
      <c r="AD228" s="2583">
        <f t="shared" si="46"/>
        <v>0</v>
      </c>
      <c r="AE228" s="571">
        <f>'HVAC Deemed Table'!BD1610</f>
        <v>364.54241532530023</v>
      </c>
      <c r="AF228" s="571">
        <f>'HVAC Deemed Table'!BD1611</f>
        <v>193.7681557216379</v>
      </c>
      <c r="AG228" s="571"/>
      <c r="AH228" s="571"/>
      <c r="AI228" s="2589" t="str">
        <f t="shared" si="53"/>
        <v>per measure</v>
      </c>
      <c r="AJ228" s="93">
        <f>'HVAC Deemed Table'!L1610</f>
        <v>2.2333333333333334</v>
      </c>
      <c r="AK228" s="1501"/>
      <c r="AL228" s="1501"/>
      <c r="AM228" s="1596">
        <f t="shared" si="42"/>
        <v>9.4741810000000004E-4</v>
      </c>
      <c r="AN228" s="84">
        <f t="shared" si="48"/>
        <v>0.19847461776900002</v>
      </c>
      <c r="AO228" s="1595">
        <f t="shared" si="43"/>
        <v>-3.8223099999012966E-7</v>
      </c>
    </row>
    <row r="229" spans="1:48" x14ac:dyDescent="0.35">
      <c r="A229" s="103" t="str">
        <f t="shared" si="55"/>
        <v>352901</v>
      </c>
      <c r="B229" s="3346" t="str">
        <f>'HVAC Deemed Table'!C1612</f>
        <v>352901_2021_12_</v>
      </c>
      <c r="C229" s="2564" t="str">
        <f>'HVAC Deemed Table'!G1612</f>
        <v>Cooling Res</v>
      </c>
      <c r="D229" s="2564" t="str">
        <f>'HVAC Deemed Table'!G1613</f>
        <v>Heating Res</v>
      </c>
      <c r="E229" s="3343"/>
      <c r="F229" s="3343"/>
      <c r="G229" s="3343" t="str">
        <f>'HVAC Deemed Table'!E1612</f>
        <v>ASHP-SEER16_ROF_MF_CompE</v>
      </c>
      <c r="H229" s="50" t="str">
        <f>'HVAC Deemed Table'!D1612</f>
        <v>MFc</v>
      </c>
      <c r="I229" s="1966">
        <f t="shared" si="49"/>
        <v>300.52</v>
      </c>
      <c r="J229" s="1966">
        <f t="shared" si="50"/>
        <v>0</v>
      </c>
      <c r="K229" s="560">
        <f>'HVAC Deemed Table'!F1612</f>
        <v>152.36000000000001</v>
      </c>
      <c r="L229" s="560">
        <f>'HVAC Deemed Table'!F1613</f>
        <v>148.16</v>
      </c>
      <c r="M229" s="560"/>
      <c r="N229" s="560"/>
      <c r="O229" s="1967">
        <f t="shared" si="51"/>
        <v>0.14434900000000001</v>
      </c>
      <c r="P229" s="1967">
        <f t="shared" si="52"/>
        <v>0</v>
      </c>
      <c r="Q229" s="1968">
        <f>'HVAC Deemed Table'!I1612</f>
        <v>0.14434900000000001</v>
      </c>
      <c r="R229" s="1968">
        <f>'HVAC Deemed Table'!I1613</f>
        <v>0</v>
      </c>
      <c r="S229" s="1968"/>
      <c r="T229" s="1968"/>
      <c r="U229" s="1969"/>
      <c r="V229" s="1969"/>
      <c r="W229" s="1969">
        <f t="shared" si="70"/>
        <v>0.14434900000000001</v>
      </c>
      <c r="X229" s="55">
        <f>'HVAC Deemed Table'!J1612</f>
        <v>18</v>
      </c>
      <c r="Y229" s="55"/>
      <c r="Z229" s="55">
        <f t="shared" si="56"/>
        <v>18</v>
      </c>
      <c r="AA229" s="49">
        <f>'HVAC Deemed Table'!BB1612</f>
        <v>0.80111817621736092</v>
      </c>
      <c r="AB229" s="698">
        <f>'HVAC Deemed Table'!K1612</f>
        <v>438</v>
      </c>
      <c r="AC229" s="2583">
        <f t="shared" si="57"/>
        <v>331.1842955952846</v>
      </c>
      <c r="AD229" s="2583">
        <f t="shared" si="46"/>
        <v>0</v>
      </c>
      <c r="AE229" s="571">
        <f>'HVAC Deemed Table'!BD1612</f>
        <v>265.12808439048518</v>
      </c>
      <c r="AF229" s="571">
        <f>'HVAC Deemed Table'!BD1613</f>
        <v>66.056211204799396</v>
      </c>
      <c r="AG229" s="571"/>
      <c r="AH229" s="571"/>
      <c r="AI229" s="2589" t="str">
        <f t="shared" si="53"/>
        <v>per measure</v>
      </c>
      <c r="AJ229" s="93">
        <f>'HVAC Deemed Table'!L1612</f>
        <v>2.2333333333333334</v>
      </c>
      <c r="AK229" s="1501"/>
      <c r="AL229" s="1501"/>
      <c r="AM229" s="1596">
        <f t="shared" si="42"/>
        <v>9.4741810000000004E-4</v>
      </c>
      <c r="AN229" s="84">
        <f t="shared" si="48"/>
        <v>0.14434862171600002</v>
      </c>
      <c r="AO229" s="1595">
        <f t="shared" si="43"/>
        <v>-3.7828399998551809E-7</v>
      </c>
    </row>
    <row r="230" spans="1:48" s="84" customFormat="1" x14ac:dyDescent="0.35">
      <c r="A230" s="103" t="str">
        <f t="shared" si="55"/>
        <v>352950</v>
      </c>
      <c r="B230" s="3346" t="str">
        <f>'HVAC Deemed Table'!C1614</f>
        <v>352950_2019_12_</v>
      </c>
      <c r="C230" s="2564" t="str">
        <f>'HVAC Deemed Table'!G1614</f>
        <v>Cooling Res</v>
      </c>
      <c r="D230" s="2564" t="str">
        <f>'HVAC Deemed Table'!G1615</f>
        <v>Heating Res</v>
      </c>
      <c r="E230" s="3343"/>
      <c r="F230" s="3343"/>
      <c r="G230" s="3343" t="str">
        <f>'HVAC Deemed Table'!E1614</f>
        <v>ASHP-SEER16-Replace_CAC_ElectricHeat_ROF_MF</v>
      </c>
      <c r="H230" s="50" t="str">
        <f>'HVAC Deemed Table'!D1614</f>
        <v>MF</v>
      </c>
      <c r="I230" s="1966">
        <f t="shared" si="49"/>
        <v>7641.07</v>
      </c>
      <c r="J230" s="1966">
        <f t="shared" si="50"/>
        <v>0</v>
      </c>
      <c r="K230" s="560">
        <f>'HVAC Deemed Table'!F1614</f>
        <v>338.41</v>
      </c>
      <c r="L230" s="560">
        <f>'HVAC Deemed Table'!F1615</f>
        <v>7302.66</v>
      </c>
      <c r="M230" s="560"/>
      <c r="N230" s="560"/>
      <c r="O230" s="1967">
        <f t="shared" si="51"/>
        <v>0.32061600000000001</v>
      </c>
      <c r="P230" s="1967">
        <f t="shared" si="52"/>
        <v>0</v>
      </c>
      <c r="Q230" s="1968">
        <f>'HVAC Deemed Table'!I1614</f>
        <v>0.32061600000000001</v>
      </c>
      <c r="R230" s="1968">
        <f>'HVAC Deemed Table'!I1615</f>
        <v>0</v>
      </c>
      <c r="S230" s="1968"/>
      <c r="T230" s="1968"/>
      <c r="U230" s="1969"/>
      <c r="V230" s="1969"/>
      <c r="W230" s="1969">
        <f t="shared" si="70"/>
        <v>0.32061600000000001</v>
      </c>
      <c r="X230" s="55">
        <f>'HVAC Deemed Table'!J1614</f>
        <v>18</v>
      </c>
      <c r="Y230" s="55"/>
      <c r="Z230" s="55">
        <f t="shared" si="56"/>
        <v>18</v>
      </c>
      <c r="AA230" s="49">
        <f>'HVAC Deemed Table'!BB1614</f>
        <v>9.300201359561008</v>
      </c>
      <c r="AB230" s="698">
        <f>'HVAC Deemed Table'!K1614</f>
        <v>438</v>
      </c>
      <c r="AC230" s="2583">
        <f t="shared" si="57"/>
        <v>3844.7269424140832</v>
      </c>
      <c r="AD230" s="2583">
        <f t="shared" si="46"/>
        <v>0</v>
      </c>
      <c r="AE230" s="571">
        <f>'HVAC Deemed Table'!BD1614</f>
        <v>588.88156365571081</v>
      </c>
      <c r="AF230" s="571">
        <f>'HVAC Deemed Table'!BD1615</f>
        <v>3255.8453787583721</v>
      </c>
      <c r="AG230" s="571"/>
      <c r="AH230" s="571"/>
      <c r="AI230" s="2589" t="str">
        <f t="shared" si="53"/>
        <v>per measure</v>
      </c>
      <c r="AJ230" s="93">
        <f>'HVAC Deemed Table'!L1614</f>
        <v>2.2333333333333334</v>
      </c>
      <c r="AK230" s="1501"/>
      <c r="AL230" s="1501"/>
      <c r="AM230" s="1596">
        <f t="shared" si="42"/>
        <v>9.4741810000000004E-4</v>
      </c>
      <c r="AN230" s="84">
        <f t="shared" si="48"/>
        <v>0.32061575922100005</v>
      </c>
      <c r="AO230" s="1595">
        <f t="shared" si="43"/>
        <v>-2.4077899996033381E-7</v>
      </c>
      <c r="AP230"/>
      <c r="AQ230"/>
      <c r="AR230"/>
      <c r="AS230"/>
      <c r="AT230"/>
      <c r="AU230"/>
      <c r="AV230"/>
    </row>
    <row r="231" spans="1:48" s="84" customFormat="1" x14ac:dyDescent="0.35">
      <c r="A231" s="103" t="str">
        <f t="shared" si="55"/>
        <v>352951</v>
      </c>
      <c r="B231" s="3346" t="str">
        <f>'HVAC Deemed Table'!C1616</f>
        <v>352951_2019_12_</v>
      </c>
      <c r="C231" s="2564" t="str">
        <f>'HVAC Deemed Table'!G1616</f>
        <v>Cooling Res</v>
      </c>
      <c r="D231" s="2564" t="str">
        <f>'HVAC Deemed Table'!G1617</f>
        <v>Heating Res</v>
      </c>
      <c r="E231" s="3343"/>
      <c r="F231" s="3343"/>
      <c r="G231" s="3343" t="str">
        <f>'HVAC Deemed Table'!E1616</f>
        <v>ASHP-SEER16-Replace_CAC_ElectricHeat_ROF_MF_CompE</v>
      </c>
      <c r="H231" s="50" t="str">
        <f>'HVAC Deemed Table'!D1616</f>
        <v>MFc</v>
      </c>
      <c r="I231" s="1966">
        <f t="shared" si="49"/>
        <v>2735.66</v>
      </c>
      <c r="J231" s="1966">
        <f t="shared" si="50"/>
        <v>0</v>
      </c>
      <c r="K231" s="560">
        <f>'HVAC Deemed Table'!F1616</f>
        <v>246.12</v>
      </c>
      <c r="L231" s="560">
        <f>'HVAC Deemed Table'!F1617</f>
        <v>2489.54</v>
      </c>
      <c r="M231" s="560"/>
      <c r="N231" s="560"/>
      <c r="O231" s="1967">
        <f t="shared" si="51"/>
        <v>0.233179</v>
      </c>
      <c r="P231" s="1967">
        <f t="shared" si="52"/>
        <v>0</v>
      </c>
      <c r="Q231" s="1968">
        <f>'HVAC Deemed Table'!I1616</f>
        <v>0.233179</v>
      </c>
      <c r="R231" s="1968">
        <f>'HVAC Deemed Table'!I1617</f>
        <v>0</v>
      </c>
      <c r="S231" s="1968"/>
      <c r="T231" s="1968"/>
      <c r="U231" s="1969"/>
      <c r="V231" s="1969"/>
      <c r="W231" s="1969">
        <f t="shared" si="70"/>
        <v>0.233179</v>
      </c>
      <c r="X231" s="55">
        <f>'HVAC Deemed Table'!J1616</f>
        <v>18</v>
      </c>
      <c r="Y231" s="55"/>
      <c r="Z231" s="55">
        <f t="shared" si="56"/>
        <v>18</v>
      </c>
      <c r="AA231" s="49">
        <f>'HVAC Deemed Table'!BB1616</f>
        <v>3.7209003773880589</v>
      </c>
      <c r="AB231" s="698">
        <f>'HVAC Deemed Table'!K1616</f>
        <v>438</v>
      </c>
      <c r="AC231" s="2583">
        <f t="shared" si="57"/>
        <v>1538.2296982500893</v>
      </c>
      <c r="AD231" s="2583">
        <f t="shared" si="46"/>
        <v>0</v>
      </c>
      <c r="AE231" s="571">
        <f>'HVAC Deemed Table'!BD1616</f>
        <v>428.28382863078372</v>
      </c>
      <c r="AF231" s="571">
        <f>'HVAC Deemed Table'!BD1617</f>
        <v>1109.9458696193055</v>
      </c>
      <c r="AG231" s="571"/>
      <c r="AH231" s="571"/>
      <c r="AI231" s="2589" t="str">
        <f t="shared" si="53"/>
        <v>per measure</v>
      </c>
      <c r="AJ231" s="93">
        <f>'HVAC Deemed Table'!L1616</f>
        <v>2.2333333333333334</v>
      </c>
      <c r="AK231" s="1501"/>
      <c r="AL231" s="1501"/>
      <c r="AM231" s="1596">
        <f t="shared" si="42"/>
        <v>9.4741810000000004E-4</v>
      </c>
      <c r="AN231" s="84">
        <f t="shared" si="48"/>
        <v>0.23317854277200001</v>
      </c>
      <c r="AO231" s="1500">
        <f t="shared" si="43"/>
        <v>-4.5722799998926256E-7</v>
      </c>
      <c r="AP231" s="144">
        <f>AO231/O231</f>
        <v>-1.9608455306406776E-6</v>
      </c>
      <c r="AQ231"/>
      <c r="AR231"/>
      <c r="AS231"/>
      <c r="AT231"/>
      <c r="AU231"/>
      <c r="AV231"/>
    </row>
    <row r="232" spans="1:48" x14ac:dyDescent="0.35">
      <c r="A232" s="103" t="str">
        <f t="shared" si="55"/>
        <v>352960</v>
      </c>
      <c r="B232" s="3346" t="str">
        <f>'HVAC Deemed Table'!C1618</f>
        <v>352960_2021_12_</v>
      </c>
      <c r="C232" s="2564" t="str">
        <f>'HVAC Deemed Table'!G1618</f>
        <v>Cooling Res</v>
      </c>
      <c r="D232" s="2564" t="str">
        <f>'HVAC Deemed Table'!G1619</f>
        <v>Heating Res</v>
      </c>
      <c r="E232" s="3343"/>
      <c r="F232" s="3343"/>
      <c r="G232" s="3343" t="str">
        <f>'HVAC Deemed Table'!E1618</f>
        <v>ASHP-SEER16-Replace_CAC_NonElectricHeat_ROF_MF</v>
      </c>
      <c r="H232" s="50" t="str">
        <f>'HVAC Deemed Table'!D1618</f>
        <v>MF</v>
      </c>
      <c r="I232" s="1966">
        <f t="shared" si="49"/>
        <v>338.41</v>
      </c>
      <c r="J232" s="1966">
        <f t="shared" si="50"/>
        <v>0</v>
      </c>
      <c r="K232" s="560">
        <f>'HVAC Deemed Table'!F1618</f>
        <v>338.41</v>
      </c>
      <c r="L232" s="560">
        <f>'HVAC Deemed Table'!F1619</f>
        <v>0</v>
      </c>
      <c r="M232" s="560"/>
      <c r="N232" s="560"/>
      <c r="O232" s="1967">
        <f t="shared" si="51"/>
        <v>0.32061600000000001</v>
      </c>
      <c r="P232" s="1967">
        <f t="shared" si="52"/>
        <v>0</v>
      </c>
      <c r="Q232" s="1968">
        <f>'HVAC Deemed Table'!I1618</f>
        <v>0.32061600000000001</v>
      </c>
      <c r="R232" s="1968">
        <f>'HVAC Deemed Table'!I1619</f>
        <v>0</v>
      </c>
      <c r="S232" s="1968"/>
      <c r="T232" s="1968"/>
      <c r="U232" s="1969"/>
      <c r="V232" s="1969"/>
      <c r="W232" s="1969">
        <f t="shared" si="70"/>
        <v>0.32061600000000001</v>
      </c>
      <c r="X232" s="55">
        <f>'HVAC Deemed Table'!J1618</f>
        <v>18</v>
      </c>
      <c r="Y232" s="55"/>
      <c r="Z232" s="55">
        <f t="shared" si="56"/>
        <v>18</v>
      </c>
      <c r="AA232" s="49">
        <f>'HVAC Deemed Table'!BB1618</f>
        <v>1.4244749239571362</v>
      </c>
      <c r="AB232" s="698">
        <f>'HVAC Deemed Table'!K1618</f>
        <v>438</v>
      </c>
      <c r="AC232" s="2583">
        <f t="shared" si="57"/>
        <v>588.88156365571081</v>
      </c>
      <c r="AD232" s="2583">
        <f t="shared" si="46"/>
        <v>0</v>
      </c>
      <c r="AE232" s="571">
        <f>'HVAC Deemed Table'!BD1618</f>
        <v>588.88156365571081</v>
      </c>
      <c r="AF232" s="571">
        <f>'HVAC Deemed Table'!BD1619</f>
        <v>0</v>
      </c>
      <c r="AG232" s="571"/>
      <c r="AH232" s="571"/>
      <c r="AI232" s="2589" t="str">
        <f t="shared" si="53"/>
        <v>per measure</v>
      </c>
      <c r="AJ232" s="93">
        <f>'HVAC Deemed Table'!L1618</f>
        <v>2.2333333333333334</v>
      </c>
      <c r="AK232" s="2610"/>
      <c r="AL232" s="2610"/>
      <c r="AM232" s="1961">
        <f t="shared" ref="AM232:AM300" si="71">VLOOKUP(C232,$AS$10:$AT$33,2,FALSE)</f>
        <v>9.4741810000000004E-4</v>
      </c>
      <c r="AN232" s="84">
        <f t="shared" si="48"/>
        <v>0.32061575922100005</v>
      </c>
      <c r="AO232" s="2611">
        <f t="shared" ref="AO232:AO300" si="72">AN232-O232</f>
        <v>-2.4077899996033381E-7</v>
      </c>
      <c r="AP232" s="1779">
        <f>AO232/O232</f>
        <v>-7.5098872158698816E-7</v>
      </c>
      <c r="AQ232" s="84"/>
      <c r="AR232" s="84"/>
      <c r="AS232" s="84"/>
      <c r="AT232" s="84"/>
      <c r="AU232" s="84"/>
      <c r="AV232" s="84"/>
    </row>
    <row r="233" spans="1:48" x14ac:dyDescent="0.35">
      <c r="A233" s="103" t="str">
        <f t="shared" si="55"/>
        <v>352961</v>
      </c>
      <c r="B233" s="3346" t="str">
        <f>'HVAC Deemed Table'!C1620</f>
        <v>352961_2021_12_</v>
      </c>
      <c r="C233" s="2564" t="str">
        <f>'HVAC Deemed Table'!G1620</f>
        <v>Cooling Res</v>
      </c>
      <c r="D233" s="2564" t="str">
        <f>'HVAC Deemed Table'!G1621</f>
        <v>Heating Res</v>
      </c>
      <c r="E233" s="3343"/>
      <c r="F233" s="3343"/>
      <c r="G233" s="3343" t="str">
        <f>'HVAC Deemed Table'!E1620</f>
        <v>ASHP-SEER16-Replace_CAC_NonElectricHeat_ROF_MF_CompE</v>
      </c>
      <c r="H233" s="50" t="str">
        <f>'HVAC Deemed Table'!D1620</f>
        <v>MFc</v>
      </c>
      <c r="I233" s="1966">
        <f t="shared" si="49"/>
        <v>246.12</v>
      </c>
      <c r="J233" s="1966">
        <f t="shared" si="50"/>
        <v>0</v>
      </c>
      <c r="K233" s="560">
        <f>'HVAC Deemed Table'!F1620</f>
        <v>246.12</v>
      </c>
      <c r="L233" s="560">
        <f>'HVAC Deemed Table'!F1621</f>
        <v>0</v>
      </c>
      <c r="M233" s="560"/>
      <c r="N233" s="560"/>
      <c r="O233" s="1967">
        <f t="shared" si="51"/>
        <v>0.233179</v>
      </c>
      <c r="P233" s="1967">
        <f t="shared" si="52"/>
        <v>0</v>
      </c>
      <c r="Q233" s="1968">
        <f>'HVAC Deemed Table'!I1620</f>
        <v>0.233179</v>
      </c>
      <c r="R233" s="1968">
        <f>'HVAC Deemed Table'!I1621</f>
        <v>0</v>
      </c>
      <c r="S233" s="1968"/>
      <c r="T233" s="1968"/>
      <c r="U233" s="1969"/>
      <c r="V233" s="1969"/>
      <c r="W233" s="1969">
        <f t="shared" si="70"/>
        <v>0.233179</v>
      </c>
      <c r="X233" s="55">
        <f>'HVAC Deemed Table'!J1620</f>
        <v>18</v>
      </c>
      <c r="Y233" s="55"/>
      <c r="Z233" s="55">
        <f t="shared" si="56"/>
        <v>18</v>
      </c>
      <c r="AA233" s="49">
        <f>'HVAC Deemed Table'!BB1620</f>
        <v>1.0359970694847382</v>
      </c>
      <c r="AB233" s="698">
        <f>'HVAC Deemed Table'!K1620</f>
        <v>438</v>
      </c>
      <c r="AC233" s="2583">
        <f t="shared" si="57"/>
        <v>428.28382863078372</v>
      </c>
      <c r="AD233" s="2583">
        <f t="shared" si="46"/>
        <v>0</v>
      </c>
      <c r="AE233" s="571">
        <f>'HVAC Deemed Table'!BD1620</f>
        <v>428.28382863078372</v>
      </c>
      <c r="AF233" s="571">
        <f>'HVAC Deemed Table'!BD1621</f>
        <v>0</v>
      </c>
      <c r="AG233" s="571"/>
      <c r="AH233" s="571"/>
      <c r="AI233" s="2589" t="str">
        <f t="shared" si="53"/>
        <v>per measure</v>
      </c>
      <c r="AJ233" s="93">
        <f>'HVAC Deemed Table'!L1620</f>
        <v>2.2333333333333334</v>
      </c>
      <c r="AK233" s="2610"/>
      <c r="AL233" s="2610"/>
      <c r="AM233" s="1961">
        <f t="shared" si="71"/>
        <v>9.4741810000000004E-4</v>
      </c>
      <c r="AN233" s="84">
        <f t="shared" si="48"/>
        <v>0.23317854277200001</v>
      </c>
      <c r="AO233" s="2611">
        <f t="shared" si="72"/>
        <v>-4.5722799998926256E-7</v>
      </c>
      <c r="AP233" s="1779">
        <f>AO233/O233</f>
        <v>-1.9608455306406776E-6</v>
      </c>
      <c r="AQ233" s="84"/>
      <c r="AR233" s="84"/>
      <c r="AS233" s="84"/>
      <c r="AT233" s="84"/>
      <c r="AU233" s="84"/>
      <c r="AV233" s="84"/>
    </row>
    <row r="234" spans="1:48" s="84" customFormat="1" x14ac:dyDescent="0.35">
      <c r="A234" s="103" t="str">
        <f t="shared" si="55"/>
        <v>353000</v>
      </c>
      <c r="B234" s="3346" t="str">
        <f>'HVAC Deemed Table'!C1622</f>
        <v>353000_2021_12_</v>
      </c>
      <c r="C234" s="2564" t="str">
        <f>'HVAC Deemed Table'!G1622</f>
        <v>Cooling Res</v>
      </c>
      <c r="D234" s="2564" t="str">
        <f>'HVAC Deemed Table'!G1623</f>
        <v>Heating Res</v>
      </c>
      <c r="E234" s="2564" t="str">
        <f>'HVAC Deemed Table'!G1624</f>
        <v>Cooling Res ER2</v>
      </c>
      <c r="F234" s="2564" t="str">
        <f>'HVAC Deemed Table'!G1625</f>
        <v>Heating Res ER2</v>
      </c>
      <c r="G234" s="3343" t="str">
        <f>'HVAC Deemed Table'!E1622</f>
        <v>ASHP-SEER16-Replace_CAC_ElectricHeat_ER1_MF</v>
      </c>
      <c r="H234" s="50" t="str">
        <f>'HVAC Deemed Table'!D1622</f>
        <v>MF</v>
      </c>
      <c r="I234" s="1966">
        <f t="shared" si="49"/>
        <v>11533.98</v>
      </c>
      <c r="J234" s="1966">
        <f t="shared" si="50"/>
        <v>9921.9700000000012</v>
      </c>
      <c r="K234" s="560">
        <f>'HVAC Deemed Table'!F1622</f>
        <v>2088.29</v>
      </c>
      <c r="L234" s="560">
        <f>'HVAC Deemed Table'!F1623</f>
        <v>9445.69</v>
      </c>
      <c r="M234" s="560">
        <f>'HVAC Deemed Table'!F1624</f>
        <v>476.28</v>
      </c>
      <c r="N234" s="560">
        <f>'HVAC Deemed Table'!F1625</f>
        <v>9445.69</v>
      </c>
      <c r="O234" s="1967">
        <f t="shared" si="51"/>
        <v>1.9784839999999999</v>
      </c>
      <c r="P234" s="1967">
        <f t="shared" si="52"/>
        <v>0.45123600000000003</v>
      </c>
      <c r="Q234" s="1968">
        <f>'HVAC Deemed Table'!I1622</f>
        <v>1.9784839999999999</v>
      </c>
      <c r="R234" s="1968">
        <f>'HVAC Deemed Table'!I1623</f>
        <v>0</v>
      </c>
      <c r="S234" s="1968">
        <f>'HVAC Deemed Table'!I1624</f>
        <v>0.45123600000000003</v>
      </c>
      <c r="T234" s="1968">
        <f>'HVAC Deemed Table'!I1625</f>
        <v>0</v>
      </c>
      <c r="U234" s="1969"/>
      <c r="V234" s="1969"/>
      <c r="W234" s="1969">
        <f>P234</f>
        <v>0.45123600000000003</v>
      </c>
      <c r="X234" s="55">
        <f>'HVAC Deemed Table'!J1622</f>
        <v>6</v>
      </c>
      <c r="Y234" s="55">
        <f>'HVAC Deemed Table'!J1624</f>
        <v>12</v>
      </c>
      <c r="Z234" s="55">
        <f t="shared" si="56"/>
        <v>18</v>
      </c>
      <c r="AA234" s="49">
        <f>'HVAC Deemed Table'!BB1622</f>
        <v>5.7529699115478596</v>
      </c>
      <c r="AB234" s="698">
        <f>'HVAC Deemed Table'!K1622</f>
        <v>1116.318054649741</v>
      </c>
      <c r="AC234" s="2583">
        <f t="shared" si="57"/>
        <v>2862.257534871695</v>
      </c>
      <c r="AD234" s="2583">
        <f t="shared" si="46"/>
        <v>3199.2282415488799</v>
      </c>
      <c r="AE234" s="571">
        <f>'HVAC Deemed Table'!BD1622</f>
        <v>1323.1655811628193</v>
      </c>
      <c r="AF234" s="571">
        <f>'HVAC Deemed Table'!BD1623</f>
        <v>1539.0919537088757</v>
      </c>
      <c r="AG234" s="571">
        <f>'HVAC Deemed Table'!BD1624</f>
        <v>527.01826751030922</v>
      </c>
      <c r="AH234" s="571">
        <f>'HVAC Deemed Table'!BD1625</f>
        <v>2672.2099740385706</v>
      </c>
      <c r="AI234" s="2589" t="str">
        <f t="shared" si="53"/>
        <v>per measure</v>
      </c>
      <c r="AJ234" s="93">
        <f>'HVAC Deemed Table'!L1622</f>
        <v>2.8388888888888886</v>
      </c>
      <c r="AK234" s="1501"/>
      <c r="AL234" s="1501"/>
      <c r="AM234" s="1596">
        <f t="shared" si="71"/>
        <v>9.4741810000000004E-4</v>
      </c>
      <c r="AN234" s="84">
        <f t="shared" si="48"/>
        <v>1.978483744049</v>
      </c>
      <c r="AO234" s="1595">
        <f t="shared" si="72"/>
        <v>-2.5595099995001647E-7</v>
      </c>
      <c r="AP234"/>
      <c r="AQ234"/>
      <c r="AR234"/>
      <c r="AS234"/>
      <c r="AT234"/>
      <c r="AU234"/>
      <c r="AV234"/>
    </row>
    <row r="235" spans="1:48" s="84" customFormat="1" x14ac:dyDescent="0.35">
      <c r="A235" s="103" t="str">
        <f t="shared" si="55"/>
        <v>353001</v>
      </c>
      <c r="B235" s="3346" t="str">
        <f>'HVAC Deemed Table'!C1626</f>
        <v>353001_2021_12_</v>
      </c>
      <c r="C235" s="2564" t="str">
        <f>'HVAC Deemed Table'!G1626</f>
        <v>Cooling Res</v>
      </c>
      <c r="D235" s="2564" t="str">
        <f>'HVAC Deemed Table'!G1627</f>
        <v>Heating Res</v>
      </c>
      <c r="E235" s="2564" t="str">
        <f>'HVAC Deemed Table'!G1628</f>
        <v>Cooling Res ER2</v>
      </c>
      <c r="F235" s="2564" t="str">
        <f>'HVAC Deemed Table'!G1629</f>
        <v>Heating Res ER2</v>
      </c>
      <c r="G235" s="3343" t="str">
        <f>'HVAC Deemed Table'!E1626</f>
        <v>ASHP-SEER16-Replace_CAC_ElectricHeat_ER1_MF_CompE</v>
      </c>
      <c r="H235" s="50" t="str">
        <f>'HVAC Deemed Table'!D1626</f>
        <v>MFc</v>
      </c>
      <c r="I235" s="1966">
        <f t="shared" si="49"/>
        <v>3080.27</v>
      </c>
      <c r="J235" s="1966">
        <f t="shared" si="50"/>
        <v>2318.23</v>
      </c>
      <c r="K235" s="560">
        <f>'HVAC Deemed Table'!F1626</f>
        <v>987.19</v>
      </c>
      <c r="L235" s="560">
        <f>'HVAC Deemed Table'!F1627</f>
        <v>2093.08</v>
      </c>
      <c r="M235" s="560">
        <f>'HVAC Deemed Table'!F1628</f>
        <v>225.15</v>
      </c>
      <c r="N235" s="560">
        <f>'HVAC Deemed Table'!F1629</f>
        <v>2093.08</v>
      </c>
      <c r="O235" s="1967">
        <f t="shared" si="51"/>
        <v>0.93528199999999995</v>
      </c>
      <c r="P235" s="1967">
        <f t="shared" si="52"/>
        <v>0.213311</v>
      </c>
      <c r="Q235" s="1968">
        <f>'HVAC Deemed Table'!I1626</f>
        <v>0.93528199999999995</v>
      </c>
      <c r="R235" s="1968">
        <f>'HVAC Deemed Table'!I1627</f>
        <v>0</v>
      </c>
      <c r="S235" s="1968">
        <f>'HVAC Deemed Table'!I1628</f>
        <v>0.213311</v>
      </c>
      <c r="T235" s="1968">
        <f>'HVAC Deemed Table'!I1629</f>
        <v>0</v>
      </c>
      <c r="U235" s="1969"/>
      <c r="V235" s="1969"/>
      <c r="W235" s="1969">
        <f>P235</f>
        <v>0.213311</v>
      </c>
      <c r="X235" s="55">
        <f>'HVAC Deemed Table'!J1626</f>
        <v>6</v>
      </c>
      <c r="Y235" s="55">
        <f>'HVAC Deemed Table'!J1628</f>
        <v>12</v>
      </c>
      <c r="Z235" s="55">
        <f t="shared" si="56"/>
        <v>18</v>
      </c>
      <c r="AA235" s="49">
        <f>'HVAC Deemed Table'!BB1626</f>
        <v>2.1792784538758507</v>
      </c>
      <c r="AB235" s="698">
        <f>'HVAC Deemed Table'!K1626</f>
        <v>878.90673552233147</v>
      </c>
      <c r="AC235" s="2583">
        <f t="shared" si="57"/>
        <v>966.5443623133059</v>
      </c>
      <c r="AD235" s="2583">
        <f t="shared" si="46"/>
        <v>841.27301540276574</v>
      </c>
      <c r="AE235" s="571">
        <f>'HVAC Deemed Table'!BD1626</f>
        <v>625.49541973007763</v>
      </c>
      <c r="AF235" s="571">
        <f>'HVAC Deemed Table'!BD1627</f>
        <v>341.04894258322827</v>
      </c>
      <c r="AG235" s="571">
        <f>'HVAC Deemed Table'!BD1628</f>
        <v>249.13530471560031</v>
      </c>
      <c r="AH235" s="571">
        <f>'HVAC Deemed Table'!BD1629</f>
        <v>592.1377106871654</v>
      </c>
      <c r="AI235" s="2589" t="str">
        <f t="shared" si="53"/>
        <v>per measure</v>
      </c>
      <c r="AJ235" s="93">
        <f>'HVAC Deemed Table'!L1626</f>
        <v>2.8388888888888886</v>
      </c>
      <c r="AK235" s="1501"/>
      <c r="AL235" s="1501"/>
      <c r="AM235" s="1596">
        <f t="shared" si="71"/>
        <v>9.4741810000000004E-4</v>
      </c>
      <c r="AN235" s="84">
        <f t="shared" si="48"/>
        <v>0.9352816741390001</v>
      </c>
      <c r="AO235" s="1500">
        <f t="shared" si="72"/>
        <v>-3.2586099985021377E-7</v>
      </c>
      <c r="AP235" s="144">
        <f>AO235/O235</f>
        <v>-3.484093565900058E-7</v>
      </c>
      <c r="AQ235"/>
      <c r="AR235"/>
      <c r="AS235"/>
      <c r="AT235"/>
      <c r="AU235"/>
      <c r="AV235"/>
    </row>
    <row r="236" spans="1:48" x14ac:dyDescent="0.35">
      <c r="A236" s="103" t="str">
        <f t="shared" si="55"/>
        <v>353010</v>
      </c>
      <c r="B236" s="3346" t="str">
        <f>'HVAC Deemed Table'!C1630</f>
        <v>353010_2021_12_</v>
      </c>
      <c r="C236" s="2564" t="str">
        <f>'HVAC Deemed Table'!G1630</f>
        <v>Cooling Res</v>
      </c>
      <c r="D236" s="2564" t="str">
        <f>'HVAC Deemed Table'!G1631</f>
        <v>Heating Res</v>
      </c>
      <c r="E236" s="2564" t="str">
        <f>'HVAC Deemed Table'!G1632</f>
        <v>Cooling Res ER2</v>
      </c>
      <c r="F236" s="2564" t="str">
        <f>'HVAC Deemed Table'!G1633</f>
        <v>Heating Res ER2</v>
      </c>
      <c r="G236" s="3343" t="str">
        <f>'HVAC Deemed Table'!E1630</f>
        <v>ASHP-SEER16-Replace_CAC_NonElectricHeat_ER1_MF</v>
      </c>
      <c r="H236" s="50" t="str">
        <f>'HVAC Deemed Table'!D1630</f>
        <v>MF</v>
      </c>
      <c r="I236" s="1966">
        <f t="shared" si="49"/>
        <v>1357.39</v>
      </c>
      <c r="J236" s="1966">
        <f t="shared" si="50"/>
        <v>309.58</v>
      </c>
      <c r="K236" s="560">
        <f>'HVAC Deemed Table'!F1630</f>
        <v>1357.39</v>
      </c>
      <c r="L236" s="560">
        <f>'HVAC Deemed Table'!F1631</f>
        <v>0</v>
      </c>
      <c r="M236" s="560">
        <f>'HVAC Deemed Table'!F1632</f>
        <v>309.58</v>
      </c>
      <c r="N236" s="560">
        <f>'HVAC Deemed Table'!F1633</f>
        <v>0</v>
      </c>
      <c r="O236" s="1967">
        <f t="shared" si="51"/>
        <v>1.286016</v>
      </c>
      <c r="P236" s="1967">
        <f t="shared" si="52"/>
        <v>0.29330200000000001</v>
      </c>
      <c r="Q236" s="1968">
        <f>'HVAC Deemed Table'!I1630</f>
        <v>1.286016</v>
      </c>
      <c r="R236" s="1968">
        <f>'HVAC Deemed Table'!I1631</f>
        <v>0</v>
      </c>
      <c r="S236" s="1968">
        <f>'HVAC Deemed Table'!I1632</f>
        <v>0.29330200000000001</v>
      </c>
      <c r="T236" s="1968">
        <f>'HVAC Deemed Table'!I1633</f>
        <v>0</v>
      </c>
      <c r="U236" s="1969"/>
      <c r="V236" s="1969"/>
      <c r="W236" s="1969">
        <f>P236</f>
        <v>0.29330200000000001</v>
      </c>
      <c r="X236" s="55">
        <f>'HVAC Deemed Table'!J1630</f>
        <v>6</v>
      </c>
      <c r="Y236" s="55">
        <f>'HVAC Deemed Table'!J1632</f>
        <v>12</v>
      </c>
      <c r="Z236" s="55">
        <f t="shared" si="56"/>
        <v>18</v>
      </c>
      <c r="AA236" s="49">
        <f>'HVAC Deemed Table'!BB1630</f>
        <v>1.4497260889209203</v>
      </c>
      <c r="AB236" s="698">
        <f>'HVAC Deemed Table'!K1630</f>
        <v>878.90673552233147</v>
      </c>
      <c r="AC236" s="2583">
        <f t="shared" si="57"/>
        <v>860.05857817381661</v>
      </c>
      <c r="AD236" s="2583">
        <f t="shared" si="46"/>
        <v>342.55966082103282</v>
      </c>
      <c r="AE236" s="571">
        <f>'HVAC Deemed Table'!BD1630</f>
        <v>860.05857817381661</v>
      </c>
      <c r="AF236" s="571">
        <f>'HVAC Deemed Table'!BD1631</f>
        <v>0</v>
      </c>
      <c r="AG236" s="571">
        <f>'HVAC Deemed Table'!BD1632</f>
        <v>342.55966082103282</v>
      </c>
      <c r="AH236" s="571">
        <f>'HVAC Deemed Table'!BD1633</f>
        <v>0</v>
      </c>
      <c r="AI236" s="2589" t="str">
        <f t="shared" si="53"/>
        <v>per measure</v>
      </c>
      <c r="AJ236" s="93">
        <f>'HVAC Deemed Table'!L1630</f>
        <v>2.8388888888888886</v>
      </c>
      <c r="AK236" s="2610"/>
      <c r="AL236" s="2610"/>
      <c r="AM236" s="1961">
        <f t="shared" si="71"/>
        <v>9.4741810000000004E-4</v>
      </c>
      <c r="AN236" s="84">
        <f t="shared" si="48"/>
        <v>1.2860158547590002</v>
      </c>
      <c r="AO236" s="2611">
        <f t="shared" si="72"/>
        <v>-1.452409998936588E-7</v>
      </c>
      <c r="AP236" s="1779">
        <f>AO236/O236</f>
        <v>-1.1293871918674324E-7</v>
      </c>
      <c r="AQ236" s="84"/>
      <c r="AR236" s="84"/>
      <c r="AS236" s="84"/>
      <c r="AT236" s="84"/>
      <c r="AU236" s="84"/>
      <c r="AV236" s="84"/>
    </row>
    <row r="237" spans="1:48" x14ac:dyDescent="0.35">
      <c r="A237" s="103" t="str">
        <f t="shared" si="55"/>
        <v>353011</v>
      </c>
      <c r="B237" s="3346" t="str">
        <f>'HVAC Deemed Table'!C1634</f>
        <v>353011_2021_12_</v>
      </c>
      <c r="C237" s="2564" t="str">
        <f>'HVAC Deemed Table'!G1634</f>
        <v>Cooling Res</v>
      </c>
      <c r="D237" s="2564" t="str">
        <f>'HVAC Deemed Table'!G1635</f>
        <v>Heating Res</v>
      </c>
      <c r="E237" s="2564" t="str">
        <f>'HVAC Deemed Table'!G1636</f>
        <v>Cooling Res ER2</v>
      </c>
      <c r="F237" s="2564" t="str">
        <f>'HVAC Deemed Table'!G1637</f>
        <v>Heating Res ER2</v>
      </c>
      <c r="G237" s="3343" t="str">
        <f>'HVAC Deemed Table'!E1634</f>
        <v>ASHP-SEER16-Replace_CAC_NonElectricHeat_ER1_MF_CompE</v>
      </c>
      <c r="H237" s="50" t="str">
        <f>'HVAC Deemed Table'!D1634</f>
        <v>MFc</v>
      </c>
      <c r="I237" s="1966">
        <f t="shared" si="49"/>
        <v>987.19</v>
      </c>
      <c r="J237" s="1966">
        <f t="shared" si="50"/>
        <v>225.15</v>
      </c>
      <c r="K237" s="560">
        <f>'HVAC Deemed Table'!F1634</f>
        <v>987.19</v>
      </c>
      <c r="L237" s="560">
        <f>'HVAC Deemed Table'!F1635</f>
        <v>0</v>
      </c>
      <c r="M237" s="560">
        <f>'HVAC Deemed Table'!F1636</f>
        <v>225.15</v>
      </c>
      <c r="N237" s="560">
        <f>'HVAC Deemed Table'!F1637</f>
        <v>0</v>
      </c>
      <c r="O237" s="1967">
        <f t="shared" si="51"/>
        <v>0.93528199999999995</v>
      </c>
      <c r="P237" s="1967">
        <f t="shared" si="52"/>
        <v>0.213311</v>
      </c>
      <c r="Q237" s="1968">
        <f>'HVAC Deemed Table'!I1634</f>
        <v>0.93528199999999995</v>
      </c>
      <c r="R237" s="1968">
        <f>'HVAC Deemed Table'!I1635</f>
        <v>0</v>
      </c>
      <c r="S237" s="1968">
        <f>'HVAC Deemed Table'!I1636</f>
        <v>0.213311</v>
      </c>
      <c r="T237" s="1968">
        <f>'HVAC Deemed Table'!I1637</f>
        <v>0</v>
      </c>
      <c r="U237" s="1969"/>
      <c r="V237" s="1969"/>
      <c r="W237" s="1969">
        <f>P237</f>
        <v>0.213311</v>
      </c>
      <c r="X237" s="55">
        <f>'HVAC Deemed Table'!J1634</f>
        <v>6</v>
      </c>
      <c r="Y237" s="55">
        <f>'HVAC Deemed Table'!J1636</f>
        <v>12</v>
      </c>
      <c r="Z237" s="55">
        <f t="shared" si="56"/>
        <v>18</v>
      </c>
      <c r="AA237" s="49">
        <f>'HVAC Deemed Table'!BB1634</f>
        <v>1.0543453760193091</v>
      </c>
      <c r="AB237" s="698">
        <f>'HVAC Deemed Table'!K1634</f>
        <v>878.90673552233147</v>
      </c>
      <c r="AC237" s="2583">
        <f t="shared" si="57"/>
        <v>625.49541973007763</v>
      </c>
      <c r="AD237" s="2583">
        <f t="shared" si="46"/>
        <v>249.13530471560031</v>
      </c>
      <c r="AE237" s="571">
        <f>'HVAC Deemed Table'!BD1634</f>
        <v>625.49541973007763</v>
      </c>
      <c r="AF237" s="571">
        <f>'HVAC Deemed Table'!BD1635</f>
        <v>0</v>
      </c>
      <c r="AG237" s="571">
        <f>'HVAC Deemed Table'!BD1636</f>
        <v>249.13530471560031</v>
      </c>
      <c r="AH237" s="571">
        <f>'HVAC Deemed Table'!BD1637</f>
        <v>0</v>
      </c>
      <c r="AI237" s="2589" t="str">
        <f t="shared" si="53"/>
        <v>per measure</v>
      </c>
      <c r="AJ237" s="93">
        <f>'HVAC Deemed Table'!L1634</f>
        <v>2.8388888888888886</v>
      </c>
      <c r="AK237" s="2610"/>
      <c r="AL237" s="2610"/>
      <c r="AM237" s="1961">
        <f t="shared" si="71"/>
        <v>9.4741810000000004E-4</v>
      </c>
      <c r="AN237" s="84">
        <f t="shared" si="48"/>
        <v>0.9352816741390001</v>
      </c>
      <c r="AO237" s="2611">
        <f t="shared" si="72"/>
        <v>-3.2586099985021377E-7</v>
      </c>
      <c r="AP237" s="1779">
        <f>AO237/O237</f>
        <v>-3.484093565900058E-7</v>
      </c>
      <c r="AQ237" s="84"/>
      <c r="AR237" s="84"/>
      <c r="AS237" s="84"/>
      <c r="AT237" s="84"/>
      <c r="AU237" s="84"/>
      <c r="AV237" s="84"/>
    </row>
    <row r="238" spans="1:48" x14ac:dyDescent="0.35">
      <c r="A238" s="103" t="str">
        <f t="shared" si="55"/>
        <v>353050</v>
      </c>
      <c r="B238" s="3346" t="str">
        <f>'HVAC Deemed Table'!C1638</f>
        <v>353050_2021_12_</v>
      </c>
      <c r="C238" s="2564" t="str">
        <f>'HVAC Deemed Table'!G1638</f>
        <v>Cooling Res</v>
      </c>
      <c r="D238" s="2564" t="str">
        <f>'HVAC Deemed Table'!G1639</f>
        <v>Heating Res</v>
      </c>
      <c r="E238" s="3343"/>
      <c r="F238" s="3343"/>
      <c r="G238" s="3343" t="str">
        <f>'HVAC Deemed Table'!E1638</f>
        <v>ASHP-SEER15_ROF_MF</v>
      </c>
      <c r="H238" s="50" t="str">
        <f>'HVAC Deemed Table'!D1638</f>
        <v>MF</v>
      </c>
      <c r="I238" s="1966">
        <f t="shared" si="49"/>
        <v>292.83999999999997</v>
      </c>
      <c r="J238" s="1966">
        <f t="shared" si="50"/>
        <v>0</v>
      </c>
      <c r="K238" s="560">
        <f>'HVAC Deemed Table'!F1638</f>
        <v>124.14</v>
      </c>
      <c r="L238" s="560">
        <f>'HVAC Deemed Table'!F1639</f>
        <v>168.7</v>
      </c>
      <c r="M238" s="560"/>
      <c r="N238" s="560"/>
      <c r="O238" s="1967">
        <f t="shared" si="51"/>
        <v>0.11761199999999999</v>
      </c>
      <c r="P238" s="1967">
        <f t="shared" si="52"/>
        <v>0</v>
      </c>
      <c r="Q238" s="1968">
        <f>'HVAC Deemed Table'!I1638</f>
        <v>0.11761199999999999</v>
      </c>
      <c r="R238" s="1968">
        <f>'HVAC Deemed Table'!I1639</f>
        <v>0</v>
      </c>
      <c r="S238" s="1968"/>
      <c r="T238" s="1968"/>
      <c r="U238" s="1969"/>
      <c r="V238" s="1969"/>
      <c r="W238" s="1969">
        <f t="shared" ref="W238:W257" si="73">O238</f>
        <v>0.11761199999999999</v>
      </c>
      <c r="X238" s="55">
        <f>'HVAC Deemed Table'!J1638</f>
        <v>18</v>
      </c>
      <c r="Y238" s="55"/>
      <c r="Z238" s="55">
        <f t="shared" si="56"/>
        <v>18</v>
      </c>
      <c r="AA238" s="49">
        <f>'HVAC Deemed Table'!BB1638</f>
        <v>1.0183617130948759</v>
      </c>
      <c r="AB238" s="698">
        <f>'HVAC Deemed Table'!K1638</f>
        <v>303</v>
      </c>
      <c r="AC238" s="2583">
        <f t="shared" si="57"/>
        <v>291.23511002146989</v>
      </c>
      <c r="AD238" s="2583">
        <f t="shared" si="46"/>
        <v>0</v>
      </c>
      <c r="AE238" s="571">
        <f>'HVAC Deemed Table'!BD1638</f>
        <v>216.02126802464446</v>
      </c>
      <c r="AF238" s="571">
        <f>'HVAC Deemed Table'!BD1639</f>
        <v>75.213841996825451</v>
      </c>
      <c r="AG238" s="571"/>
      <c r="AH238" s="571"/>
      <c r="AI238" s="2589" t="str">
        <f t="shared" si="53"/>
        <v>per measure</v>
      </c>
      <c r="AJ238" s="93">
        <f>'HVAC Deemed Table'!L1638</f>
        <v>2.1833333333333331</v>
      </c>
      <c r="AK238" s="1501"/>
      <c r="AL238" s="1501"/>
      <c r="AM238" s="1596">
        <f t="shared" si="71"/>
        <v>9.4741810000000004E-4</v>
      </c>
      <c r="AN238" s="84">
        <f t="shared" si="48"/>
        <v>0.11761248293400001</v>
      </c>
      <c r="AO238" s="1595">
        <f t="shared" si="72"/>
        <v>4.829340000123139E-7</v>
      </c>
    </row>
    <row r="239" spans="1:48" x14ac:dyDescent="0.35">
      <c r="A239" s="103" t="str">
        <f t="shared" si="55"/>
        <v>353051</v>
      </c>
      <c r="B239" s="3346" t="str">
        <f>'HVAC Deemed Table'!C1640</f>
        <v>353051_2021_12_</v>
      </c>
      <c r="C239" s="2564" t="str">
        <f>'HVAC Deemed Table'!G1640</f>
        <v>Cooling Res</v>
      </c>
      <c r="D239" s="2564" t="str">
        <f>'HVAC Deemed Table'!G1641</f>
        <v>Heating Res</v>
      </c>
      <c r="E239" s="3343"/>
      <c r="F239" s="3343"/>
      <c r="G239" s="3343" t="str">
        <f>'HVAC Deemed Table'!E1640</f>
        <v>ASHP-SEER15_ROF_MF_CompE</v>
      </c>
      <c r="H239" s="50" t="str">
        <f>'HVAC Deemed Table'!D1640</f>
        <v>MFc</v>
      </c>
      <c r="I239" s="1966">
        <f t="shared" si="49"/>
        <v>147.80000000000001</v>
      </c>
      <c r="J239" s="1966">
        <f t="shared" si="50"/>
        <v>0</v>
      </c>
      <c r="K239" s="560">
        <f>'HVAC Deemed Table'!F1640</f>
        <v>90.29</v>
      </c>
      <c r="L239" s="560">
        <f>'HVAC Deemed Table'!F1641</f>
        <v>57.51</v>
      </c>
      <c r="M239" s="560"/>
      <c r="N239" s="560"/>
      <c r="O239" s="1967">
        <f t="shared" si="51"/>
        <v>8.5542000000000007E-2</v>
      </c>
      <c r="P239" s="1967">
        <f t="shared" si="52"/>
        <v>0</v>
      </c>
      <c r="Q239" s="1968">
        <f>'HVAC Deemed Table'!I1640</f>
        <v>8.5542000000000007E-2</v>
      </c>
      <c r="R239" s="1968">
        <f>'HVAC Deemed Table'!I1641</f>
        <v>0</v>
      </c>
      <c r="S239" s="1968"/>
      <c r="T239" s="1968"/>
      <c r="U239" s="1969"/>
      <c r="V239" s="1969"/>
      <c r="W239" s="1969">
        <f t="shared" si="73"/>
        <v>8.5542000000000007E-2</v>
      </c>
      <c r="X239" s="55">
        <f>'HVAC Deemed Table'!J1640</f>
        <v>18</v>
      </c>
      <c r="Y239" s="55"/>
      <c r="Z239" s="55">
        <f t="shared" si="56"/>
        <v>18</v>
      </c>
      <c r="AA239" s="49">
        <f>'HVAC Deemed Table'!BB1640</f>
        <v>0.63904957571077448</v>
      </c>
      <c r="AB239" s="698">
        <f>'HVAC Deemed Table'!K1640</f>
        <v>303</v>
      </c>
      <c r="AC239" s="2583">
        <f t="shared" si="57"/>
        <v>182.75792490831961</v>
      </c>
      <c r="AD239" s="2583">
        <f t="shared" si="46"/>
        <v>0</v>
      </c>
      <c r="AE239" s="571">
        <f>'HVAC Deemed Table'!BD1640</f>
        <v>157.11745037816294</v>
      </c>
      <c r="AF239" s="571">
        <f>'HVAC Deemed Table'!BD1641</f>
        <v>25.640474530156677</v>
      </c>
      <c r="AG239" s="571"/>
      <c r="AH239" s="571"/>
      <c r="AI239" s="2589" t="str">
        <f t="shared" si="53"/>
        <v>per measure</v>
      </c>
      <c r="AJ239" s="93">
        <f>'HVAC Deemed Table'!L1640</f>
        <v>2.1833333333333331</v>
      </c>
      <c r="AK239" s="1501"/>
      <c r="AL239" s="1501"/>
      <c r="AM239" s="1596">
        <f t="shared" si="71"/>
        <v>9.4741810000000004E-4</v>
      </c>
      <c r="AN239" s="84">
        <f t="shared" si="48"/>
        <v>8.5542380249000002E-2</v>
      </c>
      <c r="AO239" s="1500">
        <f t="shared" si="72"/>
        <v>3.8024899999544726E-7</v>
      </c>
      <c r="AP239" s="144">
        <f>AO239/O239</f>
        <v>4.4451731312740781E-6</v>
      </c>
    </row>
    <row r="240" spans="1:48" x14ac:dyDescent="0.35">
      <c r="A240" s="103" t="str">
        <f t="shared" si="55"/>
        <v>353100</v>
      </c>
      <c r="B240" s="3346" t="str">
        <f>'HVAC Deemed Table'!C1642</f>
        <v>353100_2021_12_</v>
      </c>
      <c r="C240" s="2564" t="str">
        <f>'HVAC Deemed Table'!G1642</f>
        <v>Cooling Res</v>
      </c>
      <c r="D240" s="2564" t="str">
        <f>'HVAC Deemed Table'!G1643</f>
        <v>Heating Res</v>
      </c>
      <c r="E240" s="3343"/>
      <c r="F240" s="3343"/>
      <c r="G240" s="3343" t="str">
        <f>'HVAC Deemed Table'!E1642</f>
        <v>ASHP-SEER17-Replace_CAC_ElectricHeat_ROF_SF</v>
      </c>
      <c r="H240" s="50" t="str">
        <f>'HVAC Deemed Table'!D1642</f>
        <v>SF</v>
      </c>
      <c r="I240" s="1966">
        <f t="shared" si="49"/>
        <v>10513.609999999999</v>
      </c>
      <c r="J240" s="1966">
        <f t="shared" si="50"/>
        <v>0</v>
      </c>
      <c r="K240" s="560">
        <f>'HVAC Deemed Table'!F1642</f>
        <v>605.63</v>
      </c>
      <c r="L240" s="560">
        <f>'HVAC Deemed Table'!F1643</f>
        <v>9907.98</v>
      </c>
      <c r="M240" s="560"/>
      <c r="N240" s="560"/>
      <c r="O240" s="1967">
        <f t="shared" si="51"/>
        <v>0.57378499999999999</v>
      </c>
      <c r="P240" s="1967">
        <f t="shared" si="52"/>
        <v>0</v>
      </c>
      <c r="Q240" s="1968">
        <f>'HVAC Deemed Table'!I1642</f>
        <v>0.57378499999999999</v>
      </c>
      <c r="R240" s="1968">
        <f>'HVAC Deemed Table'!I1643</f>
        <v>0</v>
      </c>
      <c r="S240" s="1968"/>
      <c r="T240" s="1968"/>
      <c r="U240" s="1969"/>
      <c r="V240" s="1969"/>
      <c r="W240" s="1969">
        <f t="shared" si="73"/>
        <v>0.57378499999999999</v>
      </c>
      <c r="X240" s="55">
        <f>'HVAC Deemed Table'!J1642</f>
        <v>18</v>
      </c>
      <c r="Y240" s="55"/>
      <c r="Z240" s="55">
        <f t="shared" si="56"/>
        <v>18</v>
      </c>
      <c r="AA240" s="49">
        <f>'HVAC Deemed Table'!BB1642</f>
        <v>8.0066787200652847</v>
      </c>
      <c r="AB240" s="698">
        <f>'HVAC Deemed Table'!K1642</f>
        <v>724</v>
      </c>
      <c r="AC240" s="2583">
        <f t="shared" si="57"/>
        <v>5471.2934340040265</v>
      </c>
      <c r="AD240" s="2583">
        <f t="shared" si="46"/>
        <v>0</v>
      </c>
      <c r="AE240" s="571">
        <f>'HVAC Deemed Table'!BD1642</f>
        <v>1053.8823953098552</v>
      </c>
      <c r="AF240" s="571">
        <f>'HVAC Deemed Table'!BD1643</f>
        <v>4417.4110386941711</v>
      </c>
      <c r="AG240" s="571"/>
      <c r="AH240" s="571"/>
      <c r="AI240" s="2589" t="str">
        <f t="shared" si="53"/>
        <v>per measure</v>
      </c>
      <c r="AJ240" s="93">
        <f>'HVAC Deemed Table'!L1642</f>
        <v>2.9502063491666668</v>
      </c>
      <c r="AK240" s="1501"/>
      <c r="AL240" s="1501"/>
      <c r="AM240" s="1596">
        <f t="shared" si="71"/>
        <v>9.4741810000000004E-4</v>
      </c>
      <c r="AN240" s="84">
        <f t="shared" si="48"/>
        <v>0.57378482390300001</v>
      </c>
      <c r="AO240" s="1595">
        <f t="shared" si="72"/>
        <v>-1.7609699998200057E-7</v>
      </c>
    </row>
    <row r="241" spans="1:48" s="84" customFormat="1" x14ac:dyDescent="0.35">
      <c r="A241" s="1618" t="str">
        <f t="shared" ref="A241" si="74">LEFT(B241,6)</f>
        <v>353110</v>
      </c>
      <c r="B241" s="1590" t="str">
        <f>'HVAC Deemed Table'!C1644</f>
        <v>353110_2022_12_</v>
      </c>
      <c r="C241" s="2609" t="str">
        <f>'HVAC Deemed Table'!G1644</f>
        <v>Cooling Res</v>
      </c>
      <c r="D241" s="2609" t="str">
        <f>'HVAC Deemed Table'!G1645</f>
        <v>Heating Res</v>
      </c>
      <c r="E241" s="1589"/>
      <c r="F241" s="1589"/>
      <c r="G241" s="1589" t="str">
        <f>'HVAC Deemed Table'!E1644</f>
        <v>ASHP-SEER17-Replace_CAC_NonElectricHeat_ROF_SF</v>
      </c>
      <c r="H241" s="1599" t="str">
        <f>'HVAC Deemed Table'!D1644</f>
        <v>SF</v>
      </c>
      <c r="I241" s="1597">
        <f t="shared" ref="I241" si="75">K241+L241</f>
        <v>605.63</v>
      </c>
      <c r="J241" s="1597">
        <f t="shared" ref="J241" si="76">M241+N241</f>
        <v>0</v>
      </c>
      <c r="K241" s="1591">
        <f>'HVAC Deemed Table'!F1644</f>
        <v>605.63</v>
      </c>
      <c r="L241" s="1591">
        <f>'HVAC Deemed Table'!F1645</f>
        <v>0</v>
      </c>
      <c r="M241" s="1591"/>
      <c r="N241" s="1591"/>
      <c r="O241" s="1598">
        <f t="shared" ref="O241" si="77">Q241+R241</f>
        <v>0.57378499999999999</v>
      </c>
      <c r="P241" s="1598">
        <f t="shared" ref="P241" si="78">S241+T241</f>
        <v>0</v>
      </c>
      <c r="Q241" s="1600">
        <f>'HVAC Deemed Table'!I1644</f>
        <v>0.57378499999999999</v>
      </c>
      <c r="R241" s="1600">
        <f>'HVAC Deemed Table'!I1645</f>
        <v>0</v>
      </c>
      <c r="S241" s="1600"/>
      <c r="T241" s="1600"/>
      <c r="U241" s="1569"/>
      <c r="V241" s="1569"/>
      <c r="W241" s="1569">
        <f t="shared" ref="W241" si="79">O241</f>
        <v>0.57378499999999999</v>
      </c>
      <c r="X241" s="1583">
        <f>'HVAC Deemed Table'!J1644</f>
        <v>18</v>
      </c>
      <c r="Y241" s="1583"/>
      <c r="Z241" s="1583">
        <f t="shared" ref="Z241" si="80">Y241+X241</f>
        <v>18</v>
      </c>
      <c r="AA241" s="1959">
        <f>'HVAC Deemed Table'!BB1644</f>
        <v>1.542249168274574</v>
      </c>
      <c r="AB241" s="1671">
        <f>'HVAC Deemed Table'!K1644</f>
        <v>724</v>
      </c>
      <c r="AC241" s="1964">
        <f t="shared" ref="AC241" si="81">AE241+AF241</f>
        <v>1053.8823953098552</v>
      </c>
      <c r="AD241" s="1964">
        <f t="shared" ref="AD241" si="82">AG241+AH241</f>
        <v>0</v>
      </c>
      <c r="AE241" s="1604">
        <f>'HVAC Deemed Table'!BD1644</f>
        <v>1053.8823953098552</v>
      </c>
      <c r="AF241" s="1604">
        <f>'HVAC Deemed Table'!BD1645</f>
        <v>0</v>
      </c>
      <c r="AG241" s="1604"/>
      <c r="AH241" s="1604"/>
      <c r="AI241" s="3366" t="str">
        <f t="shared" si="53"/>
        <v>per measure</v>
      </c>
      <c r="AJ241" s="96">
        <f>'HVAC Deemed Table'!L1644</f>
        <v>2.9502063491666668</v>
      </c>
      <c r="AK241" s="2610"/>
      <c r="AL241" s="2610"/>
      <c r="AM241" s="1961">
        <f t="shared" ref="AM241" si="83">VLOOKUP(C241,$AS$10:$AT$33,2,FALSE)</f>
        <v>9.4741810000000004E-4</v>
      </c>
      <c r="AN241" s="84">
        <f t="shared" ref="AN241" si="84">AM241*K241</f>
        <v>0.57378482390300001</v>
      </c>
      <c r="AO241" s="1965">
        <f t="shared" ref="AO241" si="85">AN241-O241</f>
        <v>-1.7609699998200057E-7</v>
      </c>
    </row>
    <row r="242" spans="1:48" s="84" customFormat="1" x14ac:dyDescent="0.35">
      <c r="A242" s="103" t="str">
        <f t="shared" si="55"/>
        <v>353150</v>
      </c>
      <c r="B242" s="3346" t="str">
        <f>'HVAC Deemed Table'!C1646</f>
        <v>353150_2019_12_</v>
      </c>
      <c r="C242" s="2564" t="str">
        <f>'HVAC Deemed Table'!G1646</f>
        <v>Cooling Res</v>
      </c>
      <c r="D242" s="2564" t="str">
        <f>'HVAC Deemed Table'!G1647</f>
        <v>Heating Res</v>
      </c>
      <c r="E242" s="3343"/>
      <c r="F242" s="3343"/>
      <c r="G242" s="3343" t="str">
        <f>'HVAC Deemed Table'!E1646</f>
        <v>ASHP-SEER17-Replace_CAC_ElectricHeat_ROF_MF</v>
      </c>
      <c r="H242" s="50" t="str">
        <f>'HVAC Deemed Table'!D1646</f>
        <v>MF</v>
      </c>
      <c r="I242" s="1966">
        <f t="shared" si="49"/>
        <v>6556.62</v>
      </c>
      <c r="J242" s="1966">
        <f t="shared" si="50"/>
        <v>0</v>
      </c>
      <c r="K242" s="560">
        <f>'HVAC Deemed Table'!F1646</f>
        <v>343.51</v>
      </c>
      <c r="L242" s="560">
        <f>'HVAC Deemed Table'!F1647</f>
        <v>6213.11</v>
      </c>
      <c r="M242" s="560"/>
      <c r="N242" s="560"/>
      <c r="O242" s="1967">
        <f t="shared" si="51"/>
        <v>0.32544800000000002</v>
      </c>
      <c r="P242" s="1967">
        <f t="shared" si="52"/>
        <v>0</v>
      </c>
      <c r="Q242" s="1968">
        <f>'HVAC Deemed Table'!I1646</f>
        <v>0.32544800000000002</v>
      </c>
      <c r="R242" s="1968">
        <f>'HVAC Deemed Table'!I1647</f>
        <v>0</v>
      </c>
      <c r="S242" s="1968"/>
      <c r="T242" s="1968"/>
      <c r="U242" s="1969"/>
      <c r="V242" s="1969"/>
      <c r="W242" s="1969">
        <f t="shared" si="73"/>
        <v>0.32544800000000002</v>
      </c>
      <c r="X242" s="55">
        <f>'HVAC Deemed Table'!J1646</f>
        <v>18</v>
      </c>
      <c r="Y242" s="55"/>
      <c r="Z242" s="55">
        <f t="shared" si="56"/>
        <v>18</v>
      </c>
      <c r="AA242" s="49">
        <f>'HVAC Deemed Table'!BB1646</f>
        <v>4.9284787864441242</v>
      </c>
      <c r="AB242" s="698">
        <f>'HVAC Deemed Table'!K1646</f>
        <v>724</v>
      </c>
      <c r="AC242" s="2583">
        <f t="shared" si="57"/>
        <v>3367.8326015908879</v>
      </c>
      <c r="AD242" s="2583">
        <f t="shared" si="46"/>
        <v>0</v>
      </c>
      <c r="AE242" s="571">
        <f>'HVAC Deemed Table'!BD1646</f>
        <v>597.756289504959</v>
      </c>
      <c r="AF242" s="571">
        <f>'HVAC Deemed Table'!BD1647</f>
        <v>2770.0763120859287</v>
      </c>
      <c r="AG242" s="571"/>
      <c r="AH242" s="571"/>
      <c r="AI242" s="2589" t="str">
        <f t="shared" si="53"/>
        <v>per measure</v>
      </c>
      <c r="AJ242" s="93">
        <f>'HVAC Deemed Table'!L1646</f>
        <v>2.8</v>
      </c>
      <c r="AK242" s="1501"/>
      <c r="AL242" s="1501"/>
      <c r="AM242" s="1596">
        <f t="shared" si="71"/>
        <v>9.4741810000000004E-4</v>
      </c>
      <c r="AN242" s="84">
        <f t="shared" si="48"/>
        <v>0.325447591531</v>
      </c>
      <c r="AO242" s="1595">
        <f t="shared" si="72"/>
        <v>-4.0846900001278996E-7</v>
      </c>
      <c r="AP242"/>
      <c r="AQ242"/>
      <c r="AR242"/>
      <c r="AS242"/>
      <c r="AT242"/>
      <c r="AU242"/>
      <c r="AV242"/>
    </row>
    <row r="243" spans="1:48" s="84" customFormat="1" x14ac:dyDescent="0.35">
      <c r="A243" s="103" t="str">
        <f t="shared" si="55"/>
        <v>353151</v>
      </c>
      <c r="B243" s="3346" t="str">
        <f>'HVAC Deemed Table'!C1648</f>
        <v>353151_2019_12_</v>
      </c>
      <c r="C243" s="2564" t="str">
        <f>'HVAC Deemed Table'!G1648</f>
        <v>Cooling Res</v>
      </c>
      <c r="D243" s="2564" t="str">
        <f>'HVAC Deemed Table'!G1649</f>
        <v>Heating Res</v>
      </c>
      <c r="E243" s="3343"/>
      <c r="F243" s="3343"/>
      <c r="G243" s="3343" t="str">
        <f>'HVAC Deemed Table'!E1648</f>
        <v>ASHP-SEER17-Replace_CAC_ElectricHeat_ROF_MF_CompE</v>
      </c>
      <c r="H243" s="50" t="str">
        <f>'HVAC Deemed Table'!D1648</f>
        <v>MFc</v>
      </c>
      <c r="I243" s="1966">
        <f t="shared" si="49"/>
        <v>2367.9299999999998</v>
      </c>
      <c r="J243" s="1966">
        <f t="shared" si="50"/>
        <v>0</v>
      </c>
      <c r="K243" s="560">
        <f>'HVAC Deemed Table'!F1648</f>
        <v>249.83</v>
      </c>
      <c r="L243" s="560">
        <f>'HVAC Deemed Table'!F1649</f>
        <v>2118.1</v>
      </c>
      <c r="M243" s="560"/>
      <c r="N243" s="560"/>
      <c r="O243" s="1967">
        <f t="shared" si="51"/>
        <v>0.23669299999999999</v>
      </c>
      <c r="P243" s="1967">
        <f t="shared" si="52"/>
        <v>0</v>
      </c>
      <c r="Q243" s="1968">
        <f>'HVAC Deemed Table'!I1648</f>
        <v>0.23669299999999999</v>
      </c>
      <c r="R243" s="1968">
        <f>'HVAC Deemed Table'!I1649</f>
        <v>0</v>
      </c>
      <c r="S243" s="1968"/>
      <c r="T243" s="1968"/>
      <c r="U243" s="1969"/>
      <c r="V243" s="1969"/>
      <c r="W243" s="1969">
        <f t="shared" si="73"/>
        <v>0.23669299999999999</v>
      </c>
      <c r="X243" s="55">
        <f>'HVAC Deemed Table'!J1648</f>
        <v>18</v>
      </c>
      <c r="Y243" s="55"/>
      <c r="Z243" s="55">
        <f t="shared" si="56"/>
        <v>18</v>
      </c>
      <c r="AA243" s="49">
        <f>'HVAC Deemed Table'!BB1648</f>
        <v>2.0181447034308966</v>
      </c>
      <c r="AB243" s="698">
        <f>'HVAC Deemed Table'!K1648</f>
        <v>724</v>
      </c>
      <c r="AC243" s="2583">
        <f t="shared" si="57"/>
        <v>1379.0814207493809</v>
      </c>
      <c r="AD243" s="2583">
        <f t="shared" ref="AD243:AD310" si="86">AG243+AH243</f>
        <v>0</v>
      </c>
      <c r="AE243" s="571">
        <f>'HVAC Deemed Table'!BD1648</f>
        <v>434.73975665053104</v>
      </c>
      <c r="AF243" s="571">
        <f>'HVAC Deemed Table'!BD1649</f>
        <v>944.34166409884995</v>
      </c>
      <c r="AG243" s="571"/>
      <c r="AH243" s="571"/>
      <c r="AI243" s="2589" t="str">
        <f t="shared" si="53"/>
        <v>per measure</v>
      </c>
      <c r="AJ243" s="93">
        <f>'HVAC Deemed Table'!L1648</f>
        <v>2.8</v>
      </c>
      <c r="AK243" s="1501"/>
      <c r="AL243" s="1501"/>
      <c r="AM243" s="1596">
        <f t="shared" si="71"/>
        <v>9.4741810000000004E-4</v>
      </c>
      <c r="AN243" s="84">
        <f t="shared" si="48"/>
        <v>0.23669346392300003</v>
      </c>
      <c r="AO243" s="1500">
        <f t="shared" si="72"/>
        <v>4.6392300004360898E-7</v>
      </c>
      <c r="AP243" s="144">
        <f>AO243/O243</f>
        <v>1.9600199416273779E-6</v>
      </c>
      <c r="AQ243"/>
      <c r="AR243"/>
      <c r="AS243"/>
      <c r="AT243"/>
      <c r="AU243"/>
      <c r="AV243"/>
    </row>
    <row r="244" spans="1:48" x14ac:dyDescent="0.35">
      <c r="A244" s="103" t="str">
        <f t="shared" si="55"/>
        <v>353160</v>
      </c>
      <c r="B244" s="3346" t="str">
        <f>'HVAC Deemed Table'!C1650</f>
        <v>353160_2021_12_</v>
      </c>
      <c r="C244" s="2564" t="str">
        <f>'HVAC Deemed Table'!G1650</f>
        <v>Cooling Res</v>
      </c>
      <c r="D244" s="2564" t="str">
        <f>'HVAC Deemed Table'!G1651</f>
        <v>Heating Res</v>
      </c>
      <c r="E244" s="3343"/>
      <c r="F244" s="3343"/>
      <c r="G244" s="3343" t="str">
        <f>'HVAC Deemed Table'!E1650</f>
        <v>ASHP-SEER17-Replace_CAC_NonElectricHeat_ROF_MF</v>
      </c>
      <c r="H244" s="50" t="str">
        <f>'HVAC Deemed Table'!D1650</f>
        <v>MF</v>
      </c>
      <c r="I244" s="1966">
        <f t="shared" si="49"/>
        <v>343.51</v>
      </c>
      <c r="J244" s="1966">
        <f t="shared" si="50"/>
        <v>0</v>
      </c>
      <c r="K244" s="560">
        <f>'HVAC Deemed Table'!F1650</f>
        <v>343.51</v>
      </c>
      <c r="L244" s="560">
        <f>'HVAC Deemed Table'!F1651</f>
        <v>0</v>
      </c>
      <c r="M244" s="560"/>
      <c r="N244" s="560"/>
      <c r="O244" s="1967">
        <f t="shared" si="51"/>
        <v>0.32544800000000002</v>
      </c>
      <c r="P244" s="1967">
        <f t="shared" si="52"/>
        <v>0</v>
      </c>
      <c r="Q244" s="1968">
        <f>'HVAC Deemed Table'!I1650</f>
        <v>0.32544800000000002</v>
      </c>
      <c r="R244" s="1968">
        <f>'HVAC Deemed Table'!I1651</f>
        <v>0</v>
      </c>
      <c r="S244" s="1968"/>
      <c r="T244" s="1968"/>
      <c r="U244" s="1969"/>
      <c r="V244" s="1969"/>
      <c r="W244" s="1969">
        <f t="shared" si="73"/>
        <v>0.32544800000000002</v>
      </c>
      <c r="X244" s="55">
        <f>'HVAC Deemed Table'!J1650</f>
        <v>18</v>
      </c>
      <c r="Y244" s="55"/>
      <c r="Z244" s="55">
        <f t="shared" si="56"/>
        <v>18</v>
      </c>
      <c r="AA244" s="49">
        <f>'HVAC Deemed Table'!BB1650</f>
        <v>0.87475523305318248</v>
      </c>
      <c r="AB244" s="698">
        <f>'HVAC Deemed Table'!K1650</f>
        <v>724</v>
      </c>
      <c r="AC244" s="2583">
        <f t="shared" si="57"/>
        <v>597.756289504959</v>
      </c>
      <c r="AD244" s="2583">
        <f t="shared" si="86"/>
        <v>0</v>
      </c>
      <c r="AE244" s="571">
        <f>'HVAC Deemed Table'!BD1650</f>
        <v>597.756289504959</v>
      </c>
      <c r="AF244" s="571">
        <f>'HVAC Deemed Table'!BD1651</f>
        <v>0</v>
      </c>
      <c r="AG244" s="571"/>
      <c r="AH244" s="571"/>
      <c r="AI244" s="2589" t="str">
        <f t="shared" si="53"/>
        <v>per measure</v>
      </c>
      <c r="AJ244" s="93">
        <f>'HVAC Deemed Table'!L1650</f>
        <v>2.8</v>
      </c>
      <c r="AK244" s="2610"/>
      <c r="AL244" s="2610"/>
      <c r="AM244" s="1961">
        <f t="shared" si="71"/>
        <v>9.4741810000000004E-4</v>
      </c>
      <c r="AN244" s="84">
        <f t="shared" si="48"/>
        <v>0.325447591531</v>
      </c>
      <c r="AO244" s="2611">
        <f t="shared" si="72"/>
        <v>-4.0846900001278996E-7</v>
      </c>
      <c r="AP244" s="1779">
        <f>AO244/O244</f>
        <v>-1.2550975885941532E-6</v>
      </c>
      <c r="AQ244" s="84"/>
      <c r="AR244" s="84"/>
      <c r="AS244" s="84"/>
      <c r="AT244" s="84"/>
      <c r="AU244" s="84"/>
      <c r="AV244" s="84"/>
    </row>
    <row r="245" spans="1:48" x14ac:dyDescent="0.35">
      <c r="A245" s="103" t="str">
        <f t="shared" si="55"/>
        <v>353161</v>
      </c>
      <c r="B245" s="3346" t="str">
        <f>'HVAC Deemed Table'!C1652</f>
        <v>353161_2021_12_</v>
      </c>
      <c r="C245" s="2564" t="str">
        <f>'HVAC Deemed Table'!G1652</f>
        <v>Cooling Res</v>
      </c>
      <c r="D245" s="2564" t="str">
        <f>'HVAC Deemed Table'!G1653</f>
        <v>Heating Res</v>
      </c>
      <c r="E245" s="3343"/>
      <c r="F245" s="3343"/>
      <c r="G245" s="3343" t="str">
        <f>'HVAC Deemed Table'!E1652</f>
        <v>ASHP-SEER17-Replace_CAC_NonElectricHeat_ROF_MF_CompE</v>
      </c>
      <c r="H245" s="50" t="str">
        <f>'HVAC Deemed Table'!D1652</f>
        <v>MFc</v>
      </c>
      <c r="I245" s="1966">
        <f t="shared" si="49"/>
        <v>249.83</v>
      </c>
      <c r="J245" s="1966">
        <f t="shared" si="50"/>
        <v>0</v>
      </c>
      <c r="K245" s="560">
        <f>'HVAC Deemed Table'!F1652</f>
        <v>249.83</v>
      </c>
      <c r="L245" s="560">
        <f>'HVAC Deemed Table'!F1653</f>
        <v>0</v>
      </c>
      <c r="M245" s="560"/>
      <c r="N245" s="560"/>
      <c r="O245" s="1967">
        <f t="shared" si="51"/>
        <v>0.23669299999999999</v>
      </c>
      <c r="P245" s="1967">
        <f t="shared" si="52"/>
        <v>0</v>
      </c>
      <c r="Q245" s="1968">
        <f>'HVAC Deemed Table'!I1652</f>
        <v>0.23669299999999999</v>
      </c>
      <c r="R245" s="1968">
        <f>'HVAC Deemed Table'!I1653</f>
        <v>0</v>
      </c>
      <c r="S245" s="1968"/>
      <c r="T245" s="1968"/>
      <c r="U245" s="1969"/>
      <c r="V245" s="1969"/>
      <c r="W245" s="1969">
        <f t="shared" si="73"/>
        <v>0.23669299999999999</v>
      </c>
      <c r="X245" s="55">
        <f>'HVAC Deemed Table'!J1652</f>
        <v>18</v>
      </c>
      <c r="Y245" s="55"/>
      <c r="Z245" s="55">
        <f t="shared" si="56"/>
        <v>18</v>
      </c>
      <c r="AA245" s="49">
        <f>'HVAC Deemed Table'!BB1652</f>
        <v>0.63619719913154371</v>
      </c>
      <c r="AB245" s="698">
        <f>'HVAC Deemed Table'!K1652</f>
        <v>724</v>
      </c>
      <c r="AC245" s="2583">
        <f t="shared" si="57"/>
        <v>434.73975665053104</v>
      </c>
      <c r="AD245" s="2583">
        <f t="shared" si="86"/>
        <v>0</v>
      </c>
      <c r="AE245" s="571">
        <f>'HVAC Deemed Table'!BD1652</f>
        <v>434.73975665053104</v>
      </c>
      <c r="AF245" s="571">
        <f>'HVAC Deemed Table'!BD1653</f>
        <v>0</v>
      </c>
      <c r="AG245" s="571"/>
      <c r="AH245" s="571"/>
      <c r="AI245" s="2589" t="str">
        <f t="shared" si="53"/>
        <v>per measure</v>
      </c>
      <c r="AJ245" s="93">
        <f>'HVAC Deemed Table'!L1652</f>
        <v>2.8</v>
      </c>
      <c r="AK245" s="2610"/>
      <c r="AL245" s="2610"/>
      <c r="AM245" s="1961">
        <f t="shared" si="71"/>
        <v>9.4741810000000004E-4</v>
      </c>
      <c r="AN245" s="84">
        <f t="shared" si="48"/>
        <v>0.23669346392300003</v>
      </c>
      <c r="AO245" s="2611">
        <f t="shared" si="72"/>
        <v>4.6392300004360898E-7</v>
      </c>
      <c r="AP245" s="1779">
        <f>AO245/O245</f>
        <v>1.9600199416273779E-6</v>
      </c>
      <c r="AQ245" s="84"/>
      <c r="AR245" s="84"/>
      <c r="AS245" s="84"/>
      <c r="AT245" s="84"/>
      <c r="AU245" s="84"/>
      <c r="AV245" s="84"/>
    </row>
    <row r="246" spans="1:48" x14ac:dyDescent="0.35">
      <c r="A246" s="103" t="str">
        <f t="shared" si="55"/>
        <v>353200</v>
      </c>
      <c r="B246" s="3346" t="str">
        <f>'HVAC Deemed Table'!C1654</f>
        <v>353200_2021_12_</v>
      </c>
      <c r="C246" s="2564" t="str">
        <f>'HVAC Deemed Table'!G1654</f>
        <v>Cooling Res</v>
      </c>
      <c r="D246" s="2564" t="str">
        <f>'HVAC Deemed Table'!G1655</f>
        <v>Heating Res</v>
      </c>
      <c r="E246" s="3343"/>
      <c r="F246" s="3343"/>
      <c r="G246" s="3343" t="str">
        <f>'HVAC Deemed Table'!E1654</f>
        <v>ASHP-SEER18-Replace_CAC_ElectricHeat_ROF_SF</v>
      </c>
      <c r="H246" s="50" t="str">
        <f>'HVAC Deemed Table'!D1654</f>
        <v>SF</v>
      </c>
      <c r="I246" s="1966">
        <f t="shared" si="49"/>
        <v>11624.96</v>
      </c>
      <c r="J246" s="1966">
        <f t="shared" si="50"/>
        <v>0</v>
      </c>
      <c r="K246" s="560">
        <f>'HVAC Deemed Table'!F1654</f>
        <v>707.23</v>
      </c>
      <c r="L246" s="560">
        <f>'HVAC Deemed Table'!F1655</f>
        <v>10917.73</v>
      </c>
      <c r="M246" s="560"/>
      <c r="N246" s="560"/>
      <c r="O246" s="1967">
        <f t="shared" si="51"/>
        <v>0.67004300000000006</v>
      </c>
      <c r="P246" s="1967">
        <f t="shared" si="52"/>
        <v>0</v>
      </c>
      <c r="Q246" s="1968">
        <f>'HVAC Deemed Table'!I1654</f>
        <v>0.67004300000000006</v>
      </c>
      <c r="R246" s="1968">
        <f>'HVAC Deemed Table'!I1655</f>
        <v>0</v>
      </c>
      <c r="S246" s="1968"/>
      <c r="T246" s="1968"/>
      <c r="U246" s="1969"/>
      <c r="V246" s="1969"/>
      <c r="W246" s="1969">
        <f t="shared" si="73"/>
        <v>0.67004300000000006</v>
      </c>
      <c r="X246" s="55">
        <f>'HVAC Deemed Table'!J1654</f>
        <v>18</v>
      </c>
      <c r="Y246" s="55"/>
      <c r="Z246" s="55">
        <f t="shared" si="56"/>
        <v>18</v>
      </c>
      <c r="AA246" s="49">
        <f>'HVAC Deemed Table'!BB1654</f>
        <v>6.709934828696821</v>
      </c>
      <c r="AB246" s="698">
        <f>'HVAC Deemed Table'!K1654</f>
        <v>962.92000000000007</v>
      </c>
      <c r="AC246" s="2583">
        <f t="shared" si="57"/>
        <v>6098.2826288331689</v>
      </c>
      <c r="AD246" s="2583">
        <f t="shared" si="86"/>
        <v>0</v>
      </c>
      <c r="AE246" s="571">
        <f>'HVAC Deemed Table'!BD1654</f>
        <v>1230.6808553654687</v>
      </c>
      <c r="AF246" s="571">
        <f>'HVAC Deemed Table'!BD1655</f>
        <v>4867.6017734677007</v>
      </c>
      <c r="AG246" s="571"/>
      <c r="AH246" s="571"/>
      <c r="AI246" s="2589" t="str">
        <f t="shared" si="53"/>
        <v>per measure</v>
      </c>
      <c r="AJ246" s="93">
        <f>'HVAC Deemed Table'!L1654</f>
        <v>3.1232222977546749</v>
      </c>
      <c r="AK246" s="1501"/>
      <c r="AL246" s="1501"/>
      <c r="AM246" s="1596">
        <f t="shared" si="71"/>
        <v>9.4741810000000004E-4</v>
      </c>
      <c r="AN246" s="84">
        <f t="shared" ref="AN246:AN313" si="87">AM246*K246</f>
        <v>0.67004250286300004</v>
      </c>
      <c r="AO246" s="1595">
        <f t="shared" si="72"/>
        <v>-4.9713700001063899E-7</v>
      </c>
    </row>
    <row r="247" spans="1:48" s="84" customFormat="1" x14ac:dyDescent="0.35">
      <c r="A247" s="1618" t="str">
        <f t="shared" ref="A247" si="88">LEFT(B247,6)</f>
        <v>353210</v>
      </c>
      <c r="B247" s="1590" t="str">
        <f>'HVAC Deemed Table'!C1656</f>
        <v>353210_2022_12_</v>
      </c>
      <c r="C247" s="2609" t="str">
        <f>'HVAC Deemed Table'!G1656</f>
        <v>Cooling Res</v>
      </c>
      <c r="D247" s="2609" t="str">
        <f>'HVAC Deemed Table'!G1657</f>
        <v>Heating Res</v>
      </c>
      <c r="E247" s="1589"/>
      <c r="F247" s="1589"/>
      <c r="G247" s="1589" t="str">
        <f>'HVAC Deemed Table'!E1656</f>
        <v>ASHP-SEER18-Replace_CAC_NonElectricHeat_ROF_SF</v>
      </c>
      <c r="H247" s="1599" t="str">
        <f>'HVAC Deemed Table'!D1656</f>
        <v>SF</v>
      </c>
      <c r="I247" s="1597">
        <f t="shared" ref="I247" si="89">K247+L247</f>
        <v>707.23</v>
      </c>
      <c r="J247" s="1597">
        <f t="shared" ref="J247" si="90">M247+N247</f>
        <v>0</v>
      </c>
      <c r="K247" s="1591">
        <f>'HVAC Deemed Table'!F1656</f>
        <v>707.23</v>
      </c>
      <c r="L247" s="1591">
        <f>'HVAC Deemed Table'!F1657</f>
        <v>0</v>
      </c>
      <c r="M247" s="1591"/>
      <c r="N247" s="1591"/>
      <c r="O247" s="1598">
        <f t="shared" ref="O247" si="91">Q247+R247</f>
        <v>0.67004300000000006</v>
      </c>
      <c r="P247" s="1598">
        <f t="shared" ref="P247" si="92">S247+T247</f>
        <v>0</v>
      </c>
      <c r="Q247" s="1600">
        <f>'HVAC Deemed Table'!I1656</f>
        <v>0.67004300000000006</v>
      </c>
      <c r="R247" s="1600">
        <f>'HVAC Deemed Table'!I1657</f>
        <v>0</v>
      </c>
      <c r="S247" s="1600"/>
      <c r="T247" s="1600"/>
      <c r="U247" s="1569"/>
      <c r="V247" s="1569"/>
      <c r="W247" s="1569">
        <f t="shared" ref="W247" si="93">O247</f>
        <v>0.67004300000000006</v>
      </c>
      <c r="X247" s="1583">
        <f>'HVAC Deemed Table'!J1656</f>
        <v>18</v>
      </c>
      <c r="Y247" s="1583"/>
      <c r="Z247" s="1583">
        <f t="shared" ref="Z247" si="94">Y247+X247</f>
        <v>18</v>
      </c>
      <c r="AA247" s="1959">
        <f>'HVAC Deemed Table'!BB1656</f>
        <v>1.3541170255677668</v>
      </c>
      <c r="AB247" s="1671">
        <f>'HVAC Deemed Table'!K1656</f>
        <v>962.92000000000007</v>
      </c>
      <c r="AC247" s="1964">
        <f t="shared" ref="AC247" si="95">AE247+AF247</f>
        <v>1230.6808553654687</v>
      </c>
      <c r="AD247" s="1964">
        <f t="shared" ref="AD247" si="96">AG247+AH247</f>
        <v>0</v>
      </c>
      <c r="AE247" s="1604">
        <f>'HVAC Deemed Table'!BD1656</f>
        <v>1230.6808553654687</v>
      </c>
      <c r="AF247" s="1604">
        <f>'HVAC Deemed Table'!BD1657</f>
        <v>0</v>
      </c>
      <c r="AG247" s="1604"/>
      <c r="AH247" s="1604"/>
      <c r="AI247" s="3366" t="str">
        <f t="shared" si="53"/>
        <v>per measure</v>
      </c>
      <c r="AJ247" s="96">
        <f>'HVAC Deemed Table'!L1656</f>
        <v>3.1232222977546749</v>
      </c>
      <c r="AK247" s="2610"/>
      <c r="AL247" s="2610"/>
      <c r="AM247" s="1961">
        <f t="shared" ref="AM247" si="97">VLOOKUP(C247,$AS$10:$AT$33,2,FALSE)</f>
        <v>9.4741810000000004E-4</v>
      </c>
      <c r="AN247" s="84">
        <f t="shared" ref="AN247" si="98">AM247*K247</f>
        <v>0.67004250286300004</v>
      </c>
      <c r="AO247" s="1965">
        <f t="shared" ref="AO247" si="99">AN247-O247</f>
        <v>-4.9713700001063899E-7</v>
      </c>
    </row>
    <row r="248" spans="1:48" s="84" customFormat="1" x14ac:dyDescent="0.35">
      <c r="A248" s="103" t="str">
        <f t="shared" si="55"/>
        <v>353250</v>
      </c>
      <c r="B248" s="3346" t="str">
        <f>'HVAC Deemed Table'!C1658</f>
        <v>353250_2021_12_</v>
      </c>
      <c r="C248" s="2564" t="str">
        <f>'HVAC Deemed Table'!G1658</f>
        <v>Cooling Res</v>
      </c>
      <c r="D248" s="2564" t="str">
        <f>'HVAC Deemed Table'!G1659</f>
        <v>Heating Res</v>
      </c>
      <c r="E248" s="3343"/>
      <c r="F248" s="3343"/>
      <c r="G248" s="3343" t="str">
        <f>'HVAC Deemed Table'!E1658</f>
        <v>ASHP-SEER18-Replace_CAC_ElectricHeat_ROF_MF</v>
      </c>
      <c r="H248" s="50" t="str">
        <f>'HVAC Deemed Table'!D1658</f>
        <v>MF</v>
      </c>
      <c r="I248" s="1966">
        <f t="shared" si="49"/>
        <v>10792.96</v>
      </c>
      <c r="J248" s="1966">
        <f t="shared" si="50"/>
        <v>0</v>
      </c>
      <c r="K248" s="560">
        <f>'HVAC Deemed Table'!F1658</f>
        <v>668.46</v>
      </c>
      <c r="L248" s="560">
        <f>'HVAC Deemed Table'!F1659</f>
        <v>10124.5</v>
      </c>
      <c r="M248" s="560"/>
      <c r="N248" s="560"/>
      <c r="O248" s="1967">
        <f t="shared" si="51"/>
        <v>0.63331099999999996</v>
      </c>
      <c r="P248" s="1967">
        <f t="shared" si="52"/>
        <v>0</v>
      </c>
      <c r="Q248" s="1968">
        <f>'HVAC Deemed Table'!I1658</f>
        <v>0.63331099999999996</v>
      </c>
      <c r="R248" s="1968">
        <f>'HVAC Deemed Table'!I1659</f>
        <v>0</v>
      </c>
      <c r="S248" s="1968"/>
      <c r="T248" s="1968"/>
      <c r="U248" s="1969"/>
      <c r="V248" s="1969"/>
      <c r="W248" s="1969">
        <f t="shared" si="73"/>
        <v>0.63331099999999996</v>
      </c>
      <c r="X248" s="55">
        <f>'HVAC Deemed Table'!J1658</f>
        <v>18</v>
      </c>
      <c r="Y248" s="55"/>
      <c r="Z248" s="55">
        <f t="shared" si="56"/>
        <v>18</v>
      </c>
      <c r="AA248" s="49">
        <f>'HVAC Deemed Table'!BB1658</f>
        <v>6.2465747168622787</v>
      </c>
      <c r="AB248" s="698">
        <f>'HVAC Deemed Table'!K1658</f>
        <v>962.92000000000007</v>
      </c>
      <c r="AC248" s="2583">
        <f t="shared" si="57"/>
        <v>5677.1606666928037</v>
      </c>
      <c r="AD248" s="2583">
        <f t="shared" si="86"/>
        <v>0</v>
      </c>
      <c r="AE248" s="571">
        <f>'HVAC Deemed Table'!BD1658</f>
        <v>1163.2155374879478</v>
      </c>
      <c r="AF248" s="571">
        <f>'HVAC Deemed Table'!BD1659</f>
        <v>4513.9451292048561</v>
      </c>
      <c r="AG248" s="571"/>
      <c r="AH248" s="571"/>
      <c r="AI248" s="2589" t="str">
        <f t="shared" si="53"/>
        <v>per measure</v>
      </c>
      <c r="AJ248" s="93">
        <f>'HVAC Deemed Table'!L1658</f>
        <v>3</v>
      </c>
      <c r="AK248" s="1501"/>
      <c r="AL248" s="1501"/>
      <c r="AM248" s="1596">
        <f t="shared" si="71"/>
        <v>9.4741810000000004E-4</v>
      </c>
      <c r="AN248" s="84">
        <f t="shared" si="87"/>
        <v>0.63331110312600003</v>
      </c>
      <c r="AO248" s="1595">
        <f t="shared" si="72"/>
        <v>1.0312600007278405E-7</v>
      </c>
      <c r="AP248"/>
      <c r="AQ248"/>
      <c r="AR248"/>
      <c r="AS248"/>
      <c r="AT248"/>
      <c r="AU248"/>
      <c r="AV248"/>
    </row>
    <row r="249" spans="1:48" s="84" customFormat="1" x14ac:dyDescent="0.35">
      <c r="A249" s="103" t="str">
        <f t="shared" si="55"/>
        <v>353251</v>
      </c>
      <c r="B249" s="3346" t="str">
        <f>'HVAC Deemed Table'!C1660</f>
        <v>353251_2021_12_</v>
      </c>
      <c r="C249" s="2564" t="str">
        <f>'HVAC Deemed Table'!G1660</f>
        <v>Cooling Res</v>
      </c>
      <c r="D249" s="2564" t="str">
        <f>'HVAC Deemed Table'!G1661</f>
        <v>Heating Res</v>
      </c>
      <c r="E249" s="3343"/>
      <c r="F249" s="3343"/>
      <c r="G249" s="3343" t="str">
        <f>'HVAC Deemed Table'!E1660</f>
        <v>ASHP-SEER18-Replace_CAC_ElectricHeat_ROF_MF_CompE</v>
      </c>
      <c r="H249" s="50" t="str">
        <f>'HVAC Deemed Table'!D1660</f>
        <v>MFc</v>
      </c>
      <c r="I249" s="1966">
        <f t="shared" si="49"/>
        <v>3937.6800000000003</v>
      </c>
      <c r="J249" s="1966">
        <f t="shared" si="50"/>
        <v>0</v>
      </c>
      <c r="K249" s="560">
        <f>'HVAC Deemed Table'!F1660</f>
        <v>486.15</v>
      </c>
      <c r="L249" s="560">
        <f>'HVAC Deemed Table'!F1661</f>
        <v>3451.53</v>
      </c>
      <c r="M249" s="560"/>
      <c r="N249" s="560"/>
      <c r="O249" s="1967">
        <f t="shared" si="51"/>
        <v>0.46058700000000002</v>
      </c>
      <c r="P249" s="1967">
        <f t="shared" si="52"/>
        <v>0</v>
      </c>
      <c r="Q249" s="1968">
        <f>'HVAC Deemed Table'!I1660</f>
        <v>0.46058700000000002</v>
      </c>
      <c r="R249" s="1968">
        <f>'HVAC Deemed Table'!I1661</f>
        <v>0</v>
      </c>
      <c r="S249" s="1968"/>
      <c r="T249" s="1968"/>
      <c r="U249" s="1969"/>
      <c r="V249" s="1969"/>
      <c r="W249" s="1969">
        <f t="shared" si="73"/>
        <v>0.46058700000000002</v>
      </c>
      <c r="X249" s="55">
        <f>'HVAC Deemed Table'!J1660</f>
        <v>18</v>
      </c>
      <c r="Y249" s="55"/>
      <c r="Z249" s="55">
        <f t="shared" si="56"/>
        <v>18</v>
      </c>
      <c r="AA249" s="49">
        <f>'HVAC Deemed Table'!BB1660</f>
        <v>2.6240079011642963</v>
      </c>
      <c r="AB249" s="698">
        <f>'HVAC Deemed Table'!K1660</f>
        <v>962.92000000000007</v>
      </c>
      <c r="AC249" s="2583">
        <f t="shared" si="57"/>
        <v>2384.8132970166344</v>
      </c>
      <c r="AD249" s="2583">
        <f t="shared" si="86"/>
        <v>0</v>
      </c>
      <c r="AE249" s="571">
        <f>'HVAC Deemed Table'!BD1660</f>
        <v>845.97019051217092</v>
      </c>
      <c r="AF249" s="571">
        <f>'HVAC Deemed Table'!BD1661</f>
        <v>1538.8431065044633</v>
      </c>
      <c r="AG249" s="571"/>
      <c r="AH249" s="571"/>
      <c r="AI249" s="2589" t="str">
        <f t="shared" si="53"/>
        <v>per measure</v>
      </c>
      <c r="AJ249" s="93">
        <f>'HVAC Deemed Table'!L1660</f>
        <v>3</v>
      </c>
      <c r="AK249" s="1501"/>
      <c r="AL249" s="1501"/>
      <c r="AM249" s="1596">
        <f t="shared" si="71"/>
        <v>9.4741810000000004E-4</v>
      </c>
      <c r="AN249" s="84">
        <f t="shared" si="87"/>
        <v>0.46058730931499997</v>
      </c>
      <c r="AO249" s="1500">
        <f t="shared" si="72"/>
        <v>3.0931499994668599E-7</v>
      </c>
      <c r="AP249" s="144">
        <f>AO249/O249</f>
        <v>6.7156693512123865E-7</v>
      </c>
      <c r="AQ249"/>
      <c r="AR249"/>
      <c r="AS249"/>
      <c r="AT249"/>
      <c r="AU249"/>
      <c r="AV249"/>
    </row>
    <row r="250" spans="1:48" x14ac:dyDescent="0.35">
      <c r="A250" s="103" t="str">
        <f t="shared" si="55"/>
        <v>353260</v>
      </c>
      <c r="B250" s="3346" t="str">
        <f>'HVAC Deemed Table'!C1662</f>
        <v>353260_2021_12_</v>
      </c>
      <c r="C250" s="2564" t="str">
        <f>'HVAC Deemed Table'!G1662</f>
        <v>Cooling Res</v>
      </c>
      <c r="D250" s="2564" t="str">
        <f>'HVAC Deemed Table'!G1663</f>
        <v>Heating Res</v>
      </c>
      <c r="E250" s="3343"/>
      <c r="F250" s="3343"/>
      <c r="G250" s="3343" t="str">
        <f>'HVAC Deemed Table'!E1662</f>
        <v>ASHP-SEER18-Replace_CAC_NonElectricHeat_ROF_MF</v>
      </c>
      <c r="H250" s="50" t="str">
        <f>'HVAC Deemed Table'!D1662</f>
        <v>MF</v>
      </c>
      <c r="I250" s="1966">
        <f t="shared" ref="I250:I316" si="100">K250+L250</f>
        <v>668.46</v>
      </c>
      <c r="J250" s="1966">
        <f t="shared" ref="J250:J316" si="101">M250+N250</f>
        <v>0</v>
      </c>
      <c r="K250" s="560">
        <f>'HVAC Deemed Table'!F1662</f>
        <v>668.46</v>
      </c>
      <c r="L250" s="560">
        <f>'HVAC Deemed Table'!F1663</f>
        <v>0</v>
      </c>
      <c r="M250" s="560"/>
      <c r="N250" s="560"/>
      <c r="O250" s="1967">
        <f t="shared" ref="O250:O316" si="102">Q250+R250</f>
        <v>0.63331099999999996</v>
      </c>
      <c r="P250" s="1967">
        <f t="shared" ref="P250:P316" si="103">S250+T250</f>
        <v>0</v>
      </c>
      <c r="Q250" s="1968">
        <f>'HVAC Deemed Table'!I1662</f>
        <v>0.63331099999999996</v>
      </c>
      <c r="R250" s="1968">
        <f>'HVAC Deemed Table'!I1663</f>
        <v>0</v>
      </c>
      <c r="S250" s="1968"/>
      <c r="T250" s="1968"/>
      <c r="U250" s="1969"/>
      <c r="V250" s="1969"/>
      <c r="W250" s="1969">
        <f t="shared" si="73"/>
        <v>0.63331099999999996</v>
      </c>
      <c r="X250" s="55">
        <f>'HVAC Deemed Table'!J1662</f>
        <v>18</v>
      </c>
      <c r="Y250" s="55"/>
      <c r="Z250" s="55">
        <f t="shared" si="56"/>
        <v>18</v>
      </c>
      <c r="AA250" s="49">
        <f>'HVAC Deemed Table'!BB1662</f>
        <v>1.2798849976825497</v>
      </c>
      <c r="AB250" s="698">
        <f>'HVAC Deemed Table'!K1662</f>
        <v>962.92000000000007</v>
      </c>
      <c r="AC250" s="2583">
        <f t="shared" si="57"/>
        <v>1163.2155374879478</v>
      </c>
      <c r="AD250" s="2583">
        <f t="shared" si="86"/>
        <v>0</v>
      </c>
      <c r="AE250" s="571">
        <f>'HVAC Deemed Table'!BD1662</f>
        <v>1163.2155374879478</v>
      </c>
      <c r="AF250" s="571">
        <f>'HVAC Deemed Table'!BD1663</f>
        <v>0</v>
      </c>
      <c r="AG250" s="571"/>
      <c r="AH250" s="571"/>
      <c r="AI250" s="2589" t="str">
        <f t="shared" si="53"/>
        <v>per measure</v>
      </c>
      <c r="AJ250" s="93">
        <f>'HVAC Deemed Table'!L1662</f>
        <v>3</v>
      </c>
      <c r="AK250" s="2610"/>
      <c r="AL250" s="2610"/>
      <c r="AM250" s="1961">
        <f t="shared" si="71"/>
        <v>9.4741810000000004E-4</v>
      </c>
      <c r="AN250" s="84">
        <f t="shared" si="87"/>
        <v>0.63331110312600003</v>
      </c>
      <c r="AO250" s="2611">
        <f t="shared" si="72"/>
        <v>1.0312600007278405E-7</v>
      </c>
      <c r="AP250" s="1779">
        <f>AO250/O250</f>
        <v>1.6283626855176061E-7</v>
      </c>
      <c r="AQ250" s="84"/>
      <c r="AR250" s="84"/>
      <c r="AS250" s="84"/>
      <c r="AT250" s="84"/>
      <c r="AU250" s="84"/>
      <c r="AV250" s="84"/>
    </row>
    <row r="251" spans="1:48" x14ac:dyDescent="0.35">
      <c r="A251" s="103" t="str">
        <f t="shared" si="55"/>
        <v>353261</v>
      </c>
      <c r="B251" s="3346" t="str">
        <f>'HVAC Deemed Table'!C1664</f>
        <v>353261_2021_12_</v>
      </c>
      <c r="C251" s="2564" t="str">
        <f>'HVAC Deemed Table'!G1664</f>
        <v>Cooling Res</v>
      </c>
      <c r="D251" s="2564" t="str">
        <f>'HVAC Deemed Table'!G1665</f>
        <v>Heating Res</v>
      </c>
      <c r="E251" s="3343"/>
      <c r="F251" s="3343"/>
      <c r="G251" s="3343" t="str">
        <f>'HVAC Deemed Table'!E1664</f>
        <v>ASHP-SEER18-Replace_CAC_NonElectricHeat_ROF_MF_CompE</v>
      </c>
      <c r="H251" s="50" t="str">
        <f>'HVAC Deemed Table'!D1664</f>
        <v>MFc</v>
      </c>
      <c r="I251" s="1966">
        <f t="shared" si="100"/>
        <v>486.15</v>
      </c>
      <c r="J251" s="1966">
        <f t="shared" si="101"/>
        <v>0</v>
      </c>
      <c r="K251" s="560">
        <f>'HVAC Deemed Table'!F1664</f>
        <v>486.15</v>
      </c>
      <c r="L251" s="560">
        <f>'HVAC Deemed Table'!F1665</f>
        <v>0</v>
      </c>
      <c r="M251" s="560"/>
      <c r="N251" s="560"/>
      <c r="O251" s="1967">
        <f t="shared" si="102"/>
        <v>0.46058700000000002</v>
      </c>
      <c r="P251" s="1967">
        <f t="shared" si="103"/>
        <v>0</v>
      </c>
      <c r="Q251" s="1968">
        <f>'HVAC Deemed Table'!I1664</f>
        <v>0.46058700000000002</v>
      </c>
      <c r="R251" s="1968">
        <f>'HVAC Deemed Table'!I1665</f>
        <v>0</v>
      </c>
      <c r="S251" s="1968"/>
      <c r="T251" s="1968"/>
      <c r="U251" s="1969"/>
      <c r="V251" s="1969"/>
      <c r="W251" s="1969">
        <f t="shared" si="73"/>
        <v>0.46058700000000002</v>
      </c>
      <c r="X251" s="55">
        <f>'HVAC Deemed Table'!J1664</f>
        <v>18</v>
      </c>
      <c r="Y251" s="55"/>
      <c r="Z251" s="55">
        <f t="shared" si="56"/>
        <v>18</v>
      </c>
      <c r="AA251" s="49">
        <f>'HVAC Deemed Table'!BB1664</f>
        <v>0.93082023101363054</v>
      </c>
      <c r="AB251" s="698">
        <f>'HVAC Deemed Table'!K1664</f>
        <v>962.92000000000007</v>
      </c>
      <c r="AC251" s="2583">
        <f t="shared" si="57"/>
        <v>845.97019051217092</v>
      </c>
      <c r="AD251" s="2583">
        <f t="shared" si="86"/>
        <v>0</v>
      </c>
      <c r="AE251" s="571">
        <f>'HVAC Deemed Table'!BD1664</f>
        <v>845.97019051217092</v>
      </c>
      <c r="AF251" s="571">
        <f>'HVAC Deemed Table'!BD1665</f>
        <v>0</v>
      </c>
      <c r="AG251" s="571"/>
      <c r="AH251" s="571"/>
      <c r="AI251" s="2589" t="str">
        <f t="shared" si="53"/>
        <v>per measure</v>
      </c>
      <c r="AJ251" s="93">
        <f>'HVAC Deemed Table'!L1664</f>
        <v>3</v>
      </c>
      <c r="AK251" s="2610"/>
      <c r="AL251" s="2610"/>
      <c r="AM251" s="1961">
        <f t="shared" si="71"/>
        <v>9.4741810000000004E-4</v>
      </c>
      <c r="AN251" s="84">
        <f t="shared" si="87"/>
        <v>0.46058730931499997</v>
      </c>
      <c r="AO251" s="2611">
        <f t="shared" si="72"/>
        <v>3.0931499994668599E-7</v>
      </c>
      <c r="AP251" s="1779">
        <f>AO251/O251</f>
        <v>6.7156693512123865E-7</v>
      </c>
      <c r="AQ251" s="84"/>
      <c r="AR251" s="84"/>
      <c r="AS251" s="84"/>
      <c r="AT251" s="84"/>
      <c r="AU251" s="84"/>
      <c r="AV251" s="84"/>
    </row>
    <row r="252" spans="1:48" x14ac:dyDescent="0.35">
      <c r="A252" s="103" t="str">
        <f t="shared" si="55"/>
        <v>353300</v>
      </c>
      <c r="B252" s="3346" t="str">
        <f>'HVAC Deemed Table'!C1666</f>
        <v>353300_2021_12_</v>
      </c>
      <c r="C252" s="2564" t="str">
        <f>'HVAC Deemed Table'!G1666</f>
        <v>Cooling Res</v>
      </c>
      <c r="D252" s="2564" t="str">
        <f>'HVAC Deemed Table'!G1667</f>
        <v>Heating Res</v>
      </c>
      <c r="E252" s="3343"/>
      <c r="F252" s="3343"/>
      <c r="G252" s="3343" t="str">
        <f>'HVAC Deemed Table'!E1666</f>
        <v>ASHP-SEER19-Replace_CAC_ElectricHeat_ROF_SF</v>
      </c>
      <c r="H252" s="50" t="str">
        <f>'HVAC Deemed Table'!D1666</f>
        <v>SF</v>
      </c>
      <c r="I252" s="1966">
        <f t="shared" si="100"/>
        <v>11336.78</v>
      </c>
      <c r="J252" s="1966">
        <f t="shared" si="101"/>
        <v>0</v>
      </c>
      <c r="K252" s="560">
        <f>'HVAC Deemed Table'!F1666</f>
        <v>895.2</v>
      </c>
      <c r="L252" s="560">
        <f>'HVAC Deemed Table'!F1667</f>
        <v>10441.58</v>
      </c>
      <c r="M252" s="560"/>
      <c r="N252" s="560"/>
      <c r="O252" s="1967">
        <f t="shared" si="102"/>
        <v>0.84812900000000002</v>
      </c>
      <c r="P252" s="1967">
        <f t="shared" si="103"/>
        <v>0</v>
      </c>
      <c r="Q252" s="1968">
        <f>'HVAC Deemed Table'!I1666</f>
        <v>0.84812900000000002</v>
      </c>
      <c r="R252" s="1968">
        <f>'HVAC Deemed Table'!I1667</f>
        <v>0</v>
      </c>
      <c r="S252" s="1968"/>
      <c r="T252" s="1968"/>
      <c r="U252" s="1969"/>
      <c r="V252" s="1969"/>
      <c r="W252" s="1969">
        <f t="shared" si="73"/>
        <v>0.84812900000000002</v>
      </c>
      <c r="X252" s="55">
        <f>'HVAC Deemed Table'!J1666</f>
        <v>18</v>
      </c>
      <c r="Y252" s="55"/>
      <c r="Z252" s="55">
        <f t="shared" si="56"/>
        <v>18</v>
      </c>
      <c r="AA252" s="49">
        <f>'HVAC Deemed Table'!BB1666</f>
        <v>5.4690046542951745</v>
      </c>
      <c r="AB252" s="698">
        <f>'HVAC Deemed Table'!K1666</f>
        <v>1203.6500000000003</v>
      </c>
      <c r="AC252" s="2583">
        <f t="shared" si="57"/>
        <v>6213.0886759248579</v>
      </c>
      <c r="AD252" s="2583">
        <f t="shared" si="86"/>
        <v>0</v>
      </c>
      <c r="AE252" s="571">
        <f>'HVAC Deemed Table'!BD1666</f>
        <v>1557.775407891588</v>
      </c>
      <c r="AF252" s="571">
        <f>'HVAC Deemed Table'!BD1667</f>
        <v>4655.3132680332701</v>
      </c>
      <c r="AG252" s="571"/>
      <c r="AH252" s="571"/>
      <c r="AI252" s="2589" t="str">
        <f t="shared" si="53"/>
        <v>per measure</v>
      </c>
      <c r="AJ252" s="93">
        <f>'HVAC Deemed Table'!L1666</f>
        <v>2.9920329673076922</v>
      </c>
      <c r="AK252" s="1501"/>
      <c r="AL252" s="1501"/>
      <c r="AM252" s="1596">
        <f t="shared" si="71"/>
        <v>9.4741810000000004E-4</v>
      </c>
      <c r="AN252" s="84">
        <f t="shared" si="87"/>
        <v>0.84812868312000012</v>
      </c>
      <c r="AO252" s="1595">
        <f t="shared" si="72"/>
        <v>-3.1687999990648308E-7</v>
      </c>
    </row>
    <row r="253" spans="1:48" s="84" customFormat="1" x14ac:dyDescent="0.35">
      <c r="A253" s="1618" t="str">
        <f t="shared" ref="A253" si="104">LEFT(B253,6)</f>
        <v>353310</v>
      </c>
      <c r="B253" s="1590" t="str">
        <f>'HVAC Deemed Table'!C1668</f>
        <v>353310_2022_12_</v>
      </c>
      <c r="C253" s="2609" t="str">
        <f>'HVAC Deemed Table'!G1668</f>
        <v>Cooling Res</v>
      </c>
      <c r="D253" s="2609" t="str">
        <f>'HVAC Deemed Table'!G1669</f>
        <v>Heating Res</v>
      </c>
      <c r="E253" s="1589"/>
      <c r="F253" s="1589"/>
      <c r="G253" s="1589" t="str">
        <f>'HVAC Deemed Table'!E1668</f>
        <v>ASHP-SEER19-Replace_CAC_NonElectricHeat_ROF_SF</v>
      </c>
      <c r="H253" s="1599" t="str">
        <f>'HVAC Deemed Table'!D1668</f>
        <v>SF</v>
      </c>
      <c r="I253" s="1597">
        <f t="shared" ref="I253" si="105">K253+L253</f>
        <v>895.2</v>
      </c>
      <c r="J253" s="1597">
        <f t="shared" ref="J253" si="106">M253+N253</f>
        <v>0</v>
      </c>
      <c r="K253" s="1591">
        <f>'HVAC Deemed Table'!F1668</f>
        <v>895.2</v>
      </c>
      <c r="L253" s="1591">
        <f>'HVAC Deemed Table'!F1669</f>
        <v>0</v>
      </c>
      <c r="M253" s="1591"/>
      <c r="N253" s="1591"/>
      <c r="O253" s="1598">
        <f t="shared" ref="O253" si="107">Q253+R253</f>
        <v>0.84812900000000002</v>
      </c>
      <c r="P253" s="1598">
        <f t="shared" ref="P253" si="108">S253+T253</f>
        <v>0</v>
      </c>
      <c r="Q253" s="1600">
        <f>'HVAC Deemed Table'!I1668</f>
        <v>0.84812900000000002</v>
      </c>
      <c r="R253" s="1600">
        <f>'HVAC Deemed Table'!I1669</f>
        <v>0</v>
      </c>
      <c r="S253" s="1600"/>
      <c r="T253" s="1600"/>
      <c r="U253" s="1569"/>
      <c r="V253" s="1569"/>
      <c r="W253" s="1569">
        <f t="shared" ref="W253" si="109">O253</f>
        <v>0.84812900000000002</v>
      </c>
      <c r="X253" s="1583">
        <f>'HVAC Deemed Table'!J1668</f>
        <v>18</v>
      </c>
      <c r="Y253" s="1583"/>
      <c r="Z253" s="1583">
        <f t="shared" ref="Z253" si="110">Y253+X253</f>
        <v>18</v>
      </c>
      <c r="AA253" s="1959">
        <f>'HVAC Deemed Table'!BB1668</f>
        <v>1.3712150913148651</v>
      </c>
      <c r="AB253" s="1671">
        <f>'HVAC Deemed Table'!K1668</f>
        <v>1203.6500000000003</v>
      </c>
      <c r="AC253" s="1964">
        <f t="shared" ref="AC253" si="111">AE253+AF253</f>
        <v>1557.775407891588</v>
      </c>
      <c r="AD253" s="1964">
        <f t="shared" ref="AD253" si="112">AG253+AH253</f>
        <v>0</v>
      </c>
      <c r="AE253" s="1604">
        <f>'HVAC Deemed Table'!BD1668</f>
        <v>1557.775407891588</v>
      </c>
      <c r="AF253" s="1604">
        <f>'HVAC Deemed Table'!BD1669</f>
        <v>0</v>
      </c>
      <c r="AG253" s="1604"/>
      <c r="AH253" s="1604"/>
      <c r="AI253" s="3366" t="str">
        <f t="shared" si="53"/>
        <v>per measure</v>
      </c>
      <c r="AJ253" s="96">
        <f>'HVAC Deemed Table'!L1668</f>
        <v>2.9920329673076922</v>
      </c>
      <c r="AK253" s="2610"/>
      <c r="AL253" s="2610"/>
      <c r="AM253" s="1961">
        <f t="shared" ref="AM253" si="113">VLOOKUP(C253,$AS$10:$AT$33,2,FALSE)</f>
        <v>9.4741810000000004E-4</v>
      </c>
      <c r="AN253" s="84">
        <f t="shared" ref="AN253" si="114">AM253*K253</f>
        <v>0.84812868312000012</v>
      </c>
      <c r="AO253" s="1965">
        <f t="shared" ref="AO253" si="115">AN253-O253</f>
        <v>-3.1687999990648308E-7</v>
      </c>
    </row>
    <row r="254" spans="1:48" s="84" customFormat="1" x14ac:dyDescent="0.35">
      <c r="A254" s="103" t="str">
        <f t="shared" si="55"/>
        <v>353350</v>
      </c>
      <c r="B254" s="3346" t="str">
        <f>'HVAC Deemed Table'!C1670</f>
        <v>353350_2021_12_</v>
      </c>
      <c r="C254" s="2564" t="str">
        <f>'HVAC Deemed Table'!G1670</f>
        <v>Cooling Res</v>
      </c>
      <c r="D254" s="2564" t="str">
        <f>'HVAC Deemed Table'!G1671</f>
        <v>Heating Res</v>
      </c>
      <c r="E254" s="3343"/>
      <c r="F254" s="3343"/>
      <c r="G254" s="3343" t="str">
        <f>'HVAC Deemed Table'!E1670</f>
        <v>ASHP-SEER19-Replace_CAC_ElectricHeat_ROF_MF</v>
      </c>
      <c r="H254" s="50" t="str">
        <f>'HVAC Deemed Table'!D1670</f>
        <v>MF</v>
      </c>
      <c r="I254" s="1966">
        <f t="shared" si="100"/>
        <v>6699.75</v>
      </c>
      <c r="J254" s="1966">
        <f t="shared" si="101"/>
        <v>0</v>
      </c>
      <c r="K254" s="560">
        <f>'HVAC Deemed Table'!F1670</f>
        <v>486.64</v>
      </c>
      <c r="L254" s="560">
        <f>'HVAC Deemed Table'!F1671</f>
        <v>6213.11</v>
      </c>
      <c r="M254" s="560"/>
      <c r="N254" s="560"/>
      <c r="O254" s="1967">
        <f t="shared" si="102"/>
        <v>0.46105200000000002</v>
      </c>
      <c r="P254" s="1967">
        <f t="shared" si="103"/>
        <v>0</v>
      </c>
      <c r="Q254" s="1968">
        <f>'HVAC Deemed Table'!I1670</f>
        <v>0.46105200000000002</v>
      </c>
      <c r="R254" s="1968">
        <f>'HVAC Deemed Table'!I1671</f>
        <v>0</v>
      </c>
      <c r="S254" s="1968"/>
      <c r="T254" s="1968"/>
      <c r="U254" s="1969"/>
      <c r="V254" s="1969"/>
      <c r="W254" s="1969">
        <f t="shared" si="73"/>
        <v>0.46105200000000002</v>
      </c>
      <c r="X254" s="55">
        <f>'HVAC Deemed Table'!J1670</f>
        <v>18</v>
      </c>
      <c r="Y254" s="55"/>
      <c r="Z254" s="55">
        <f t="shared" si="56"/>
        <v>18</v>
      </c>
      <c r="AA254" s="49">
        <f>'HVAC Deemed Table'!BB1670</f>
        <v>3.1837366951278043</v>
      </c>
      <c r="AB254" s="698">
        <f>'HVAC Deemed Table'!K1670</f>
        <v>1203.6500000000003</v>
      </c>
      <c r="AC254" s="2583">
        <f t="shared" si="57"/>
        <v>3616.8991723365571</v>
      </c>
      <c r="AD254" s="2583">
        <f t="shared" si="86"/>
        <v>0</v>
      </c>
      <c r="AE254" s="571">
        <f>'HVAC Deemed Table'!BD1670</f>
        <v>846.82286025062808</v>
      </c>
      <c r="AF254" s="571">
        <f>'HVAC Deemed Table'!BD1671</f>
        <v>2770.0763120859287</v>
      </c>
      <c r="AG254" s="571"/>
      <c r="AH254" s="571"/>
      <c r="AI254" s="2589" t="str">
        <f t="shared" si="53"/>
        <v>per measure</v>
      </c>
      <c r="AJ254" s="93">
        <f>'HVAC Deemed Table'!L1670</f>
        <v>2.8</v>
      </c>
      <c r="AK254" s="1501"/>
      <c r="AL254" s="1501"/>
      <c r="AM254" s="1596">
        <f t="shared" si="71"/>
        <v>9.4741810000000004E-4</v>
      </c>
      <c r="AN254" s="84">
        <f t="shared" si="87"/>
        <v>0.46105154418400002</v>
      </c>
      <c r="AO254" s="1595">
        <f t="shared" si="72"/>
        <v>-4.558160000001088E-7</v>
      </c>
      <c r="AP254"/>
      <c r="AQ254"/>
      <c r="AR254"/>
      <c r="AS254"/>
      <c r="AT254"/>
      <c r="AU254"/>
      <c r="AV254"/>
    </row>
    <row r="255" spans="1:48" s="84" customFormat="1" x14ac:dyDescent="0.35">
      <c r="A255" s="103" t="str">
        <f t="shared" si="55"/>
        <v>353351</v>
      </c>
      <c r="B255" s="3346" t="str">
        <f>'HVAC Deemed Table'!C1672</f>
        <v>353351_2019_12_</v>
      </c>
      <c r="C255" s="2564" t="str">
        <f>'HVAC Deemed Table'!G1672</f>
        <v>Cooling Res</v>
      </c>
      <c r="D255" s="2564" t="str">
        <f>'HVAC Deemed Table'!G1673</f>
        <v>Heating Res</v>
      </c>
      <c r="E255" s="3343"/>
      <c r="F255" s="3343"/>
      <c r="G255" s="3343" t="str">
        <f>'HVAC Deemed Table'!E1672</f>
        <v>ASHP-SEER19-Replace_CAC_ElectricHeat_ROF_MF_CompE</v>
      </c>
      <c r="H255" s="50" t="str">
        <f>'HVAC Deemed Table'!D1672</f>
        <v>MFc</v>
      </c>
      <c r="I255" s="1966">
        <f t="shared" si="100"/>
        <v>2453.39</v>
      </c>
      <c r="J255" s="1966">
        <f t="shared" si="101"/>
        <v>0</v>
      </c>
      <c r="K255" s="560">
        <f>'HVAC Deemed Table'!F1672</f>
        <v>335.29</v>
      </c>
      <c r="L255" s="560">
        <f>'HVAC Deemed Table'!F1673</f>
        <v>2118.1</v>
      </c>
      <c r="M255" s="560"/>
      <c r="N255" s="560"/>
      <c r="O255" s="1967">
        <f t="shared" si="102"/>
        <v>0.31766</v>
      </c>
      <c r="P255" s="1967">
        <f t="shared" si="103"/>
        <v>0</v>
      </c>
      <c r="Q255" s="1968">
        <f>'HVAC Deemed Table'!I1672</f>
        <v>0.31766</v>
      </c>
      <c r="R255" s="1968">
        <f>'HVAC Deemed Table'!I1673</f>
        <v>0</v>
      </c>
      <c r="S255" s="1968"/>
      <c r="T255" s="1968"/>
      <c r="U255" s="1969"/>
      <c r="V255" s="1969"/>
      <c r="W255" s="1969">
        <f t="shared" si="73"/>
        <v>0.31766</v>
      </c>
      <c r="X255" s="55">
        <f>'HVAC Deemed Table'!J1672</f>
        <v>18</v>
      </c>
      <c r="Y255" s="55"/>
      <c r="Z255" s="55">
        <f t="shared" si="56"/>
        <v>18</v>
      </c>
      <c r="AA255" s="49">
        <f>'HVAC Deemed Table'!BB1672</f>
        <v>1.344824264309469</v>
      </c>
      <c r="AB255" s="698">
        <f>'HVAC Deemed Table'!K1672</f>
        <v>1203.6500000000003</v>
      </c>
      <c r="AC255" s="2583">
        <f t="shared" si="57"/>
        <v>1527.7939837056088</v>
      </c>
      <c r="AD255" s="2583">
        <f t="shared" si="86"/>
        <v>0</v>
      </c>
      <c r="AE255" s="571">
        <f>'HVAC Deemed Table'!BD1672</f>
        <v>583.45231960675881</v>
      </c>
      <c r="AF255" s="571">
        <f>'HVAC Deemed Table'!BD1673</f>
        <v>944.34166409884995</v>
      </c>
      <c r="AG255" s="571"/>
      <c r="AH255" s="571"/>
      <c r="AI255" s="2589" t="str">
        <f t="shared" si="53"/>
        <v>per measure</v>
      </c>
      <c r="AJ255" s="93">
        <f>'HVAC Deemed Table'!L1672</f>
        <v>2.8</v>
      </c>
      <c r="AK255" s="1501"/>
      <c r="AL255" s="1501"/>
      <c r="AM255" s="1596">
        <f t="shared" si="71"/>
        <v>9.4741810000000004E-4</v>
      </c>
      <c r="AN255" s="84">
        <f t="shared" si="87"/>
        <v>0.31765981474900001</v>
      </c>
      <c r="AO255" s="1500">
        <f t="shared" si="72"/>
        <v>-1.8525099998445427E-7</v>
      </c>
      <c r="AP255" s="144">
        <f>AO255/O255</f>
        <v>-5.8317383360969043E-7</v>
      </c>
      <c r="AQ255"/>
      <c r="AR255"/>
      <c r="AS255"/>
      <c r="AT255"/>
      <c r="AU255"/>
      <c r="AV255"/>
    </row>
    <row r="256" spans="1:48" x14ac:dyDescent="0.35">
      <c r="A256" s="103" t="str">
        <f t="shared" si="55"/>
        <v>353360</v>
      </c>
      <c r="B256" s="3346" t="str">
        <f>'HVAC Deemed Table'!C1674</f>
        <v>353360_2021_12_</v>
      </c>
      <c r="C256" s="2564" t="str">
        <f>'HVAC Deemed Table'!G1674</f>
        <v>Cooling Res</v>
      </c>
      <c r="D256" s="2564" t="str">
        <f>'HVAC Deemed Table'!G1675</f>
        <v>Heating Res</v>
      </c>
      <c r="E256" s="3343"/>
      <c r="F256" s="3343"/>
      <c r="G256" s="3343" t="str">
        <f>'HVAC Deemed Table'!E1674</f>
        <v>ASHP-SEER19-Replace_CAC_NonElectricHeat_ROF_MF</v>
      </c>
      <c r="H256" s="50" t="str">
        <f>'HVAC Deemed Table'!D1674</f>
        <v>MF</v>
      </c>
      <c r="I256" s="1966">
        <f t="shared" si="100"/>
        <v>486.64</v>
      </c>
      <c r="J256" s="1966">
        <f t="shared" si="101"/>
        <v>0</v>
      </c>
      <c r="K256" s="560">
        <f>'HVAC Deemed Table'!F1674</f>
        <v>486.64</v>
      </c>
      <c r="L256" s="560">
        <f>'HVAC Deemed Table'!F1675</f>
        <v>0</v>
      </c>
      <c r="M256" s="560"/>
      <c r="N256" s="560"/>
      <c r="O256" s="1967">
        <f t="shared" si="102"/>
        <v>0.46105200000000002</v>
      </c>
      <c r="P256" s="1967">
        <f t="shared" si="103"/>
        <v>0</v>
      </c>
      <c r="Q256" s="1968">
        <f>'HVAC Deemed Table'!I1674</f>
        <v>0.46105200000000002</v>
      </c>
      <c r="R256" s="1968">
        <f>'HVAC Deemed Table'!I1675</f>
        <v>0</v>
      </c>
      <c r="S256" s="1968"/>
      <c r="T256" s="1968"/>
      <c r="U256" s="1969"/>
      <c r="V256" s="1969"/>
      <c r="W256" s="1969">
        <f t="shared" si="73"/>
        <v>0.46105200000000002</v>
      </c>
      <c r="X256" s="55">
        <f>'HVAC Deemed Table'!J1674</f>
        <v>18</v>
      </c>
      <c r="Y256" s="55"/>
      <c r="Z256" s="55">
        <f t="shared" si="56"/>
        <v>18</v>
      </c>
      <c r="AA256" s="49">
        <f>'HVAC Deemed Table'!BB1674</f>
        <v>0.74540673820092251</v>
      </c>
      <c r="AB256" s="698">
        <f>'HVAC Deemed Table'!K1674</f>
        <v>1203.6500000000003</v>
      </c>
      <c r="AC256" s="2583">
        <f t="shared" si="57"/>
        <v>846.82286025062808</v>
      </c>
      <c r="AD256" s="2583">
        <f t="shared" si="86"/>
        <v>0</v>
      </c>
      <c r="AE256" s="571">
        <f>'HVAC Deemed Table'!BD1674</f>
        <v>846.82286025062808</v>
      </c>
      <c r="AF256" s="571">
        <f>'HVAC Deemed Table'!BD1675</f>
        <v>0</v>
      </c>
      <c r="AG256" s="571"/>
      <c r="AH256" s="571"/>
      <c r="AI256" s="2589" t="str">
        <f t="shared" si="53"/>
        <v>per measure</v>
      </c>
      <c r="AJ256" s="93">
        <f>'HVAC Deemed Table'!L1674</f>
        <v>2.8</v>
      </c>
      <c r="AK256" s="2610"/>
      <c r="AL256" s="2610"/>
      <c r="AM256" s="1961">
        <f t="shared" si="71"/>
        <v>9.4741810000000004E-4</v>
      </c>
      <c r="AN256" s="84">
        <f t="shared" si="87"/>
        <v>0.46105154418400002</v>
      </c>
      <c r="AO256" s="2611">
        <f t="shared" si="72"/>
        <v>-4.558160000001088E-7</v>
      </c>
      <c r="AP256" s="1779">
        <f>AO256/O256</f>
        <v>-9.8864336343863327E-7</v>
      </c>
      <c r="AQ256" s="84"/>
      <c r="AR256" s="84"/>
      <c r="AS256" s="84"/>
      <c r="AT256" s="84"/>
      <c r="AU256" s="84"/>
      <c r="AV256" s="84"/>
    </row>
    <row r="257" spans="1:48" s="84" customFormat="1" x14ac:dyDescent="0.35">
      <c r="A257" s="103" t="str">
        <f t="shared" si="55"/>
        <v>353361</v>
      </c>
      <c r="B257" s="3346" t="str">
        <f>'HVAC Deemed Table'!C1676</f>
        <v>353361_2021_12_</v>
      </c>
      <c r="C257" s="2564" t="str">
        <f>'HVAC Deemed Table'!G1676</f>
        <v>Cooling Res</v>
      </c>
      <c r="D257" s="2564" t="str">
        <f>'HVAC Deemed Table'!G1677</f>
        <v>Heating Res</v>
      </c>
      <c r="E257" s="3343"/>
      <c r="F257" s="3343"/>
      <c r="G257" s="3343" t="str">
        <f>'HVAC Deemed Table'!E1676</f>
        <v>ASHP-SEER19-Replace_CAC_NonElectricHeat_ROF_MF_CompE</v>
      </c>
      <c r="H257" s="50" t="str">
        <f>'HVAC Deemed Table'!D1676</f>
        <v>MFc</v>
      </c>
      <c r="I257" s="1966">
        <f t="shared" si="100"/>
        <v>335.29</v>
      </c>
      <c r="J257" s="1966">
        <f t="shared" si="101"/>
        <v>0</v>
      </c>
      <c r="K257" s="560">
        <f>'HVAC Deemed Table'!F1676</f>
        <v>335.29</v>
      </c>
      <c r="L257" s="560">
        <f>'HVAC Deemed Table'!F1677</f>
        <v>0</v>
      </c>
      <c r="M257" s="560"/>
      <c r="N257" s="560"/>
      <c r="O257" s="1967">
        <f t="shared" si="102"/>
        <v>0.31766</v>
      </c>
      <c r="P257" s="1967">
        <f t="shared" si="103"/>
        <v>0</v>
      </c>
      <c r="Q257" s="1968">
        <f>'HVAC Deemed Table'!I1676</f>
        <v>0.31766</v>
      </c>
      <c r="R257" s="1968">
        <f>'HVAC Deemed Table'!I1677</f>
        <v>0</v>
      </c>
      <c r="S257" s="1968"/>
      <c r="T257" s="1968"/>
      <c r="U257" s="1969"/>
      <c r="V257" s="1969"/>
      <c r="W257" s="1969">
        <f t="shared" si="73"/>
        <v>0.31766</v>
      </c>
      <c r="X257" s="55">
        <f>'HVAC Deemed Table'!J1676</f>
        <v>18</v>
      </c>
      <c r="Y257" s="55"/>
      <c r="Z257" s="55">
        <f t="shared" si="56"/>
        <v>18</v>
      </c>
      <c r="AA257" s="49">
        <f>'HVAC Deemed Table'!BB1676</f>
        <v>0.51357764518203874</v>
      </c>
      <c r="AB257" s="698">
        <f>'HVAC Deemed Table'!K1676</f>
        <v>1203.6500000000003</v>
      </c>
      <c r="AC257" s="2583">
        <f t="shared" si="57"/>
        <v>583.45231960675881</v>
      </c>
      <c r="AD257" s="2583">
        <f t="shared" si="86"/>
        <v>0</v>
      </c>
      <c r="AE257" s="571">
        <f>'HVAC Deemed Table'!BD1676</f>
        <v>583.45231960675881</v>
      </c>
      <c r="AF257" s="571">
        <f>'HVAC Deemed Table'!BD1677</f>
        <v>0</v>
      </c>
      <c r="AG257" s="571"/>
      <c r="AH257" s="571"/>
      <c r="AI257" s="2589" t="str">
        <f t="shared" ref="AI257:AI274" si="116">AI256</f>
        <v>per measure</v>
      </c>
      <c r="AJ257" s="93">
        <f>'HVAC Deemed Table'!L1676</f>
        <v>2.8</v>
      </c>
      <c r="AK257" s="2610"/>
      <c r="AL257" s="2610"/>
      <c r="AM257" s="1961">
        <f t="shared" si="71"/>
        <v>9.4741810000000004E-4</v>
      </c>
      <c r="AN257" s="84">
        <f t="shared" si="87"/>
        <v>0.31765981474900001</v>
      </c>
      <c r="AO257" s="2611">
        <f t="shared" si="72"/>
        <v>-1.8525099998445427E-7</v>
      </c>
      <c r="AP257" s="1779">
        <f>AO257/O257</f>
        <v>-5.8317383360969043E-7</v>
      </c>
    </row>
    <row r="258" spans="1:48" x14ac:dyDescent="0.35">
      <c r="A258" s="103" t="str">
        <f t="shared" si="55"/>
        <v>353400</v>
      </c>
      <c r="B258" s="3346" t="str">
        <f>'HVAC Deemed Table'!C1678</f>
        <v>353400_2021_12_</v>
      </c>
      <c r="C258" s="2564" t="str">
        <f>'HVAC Deemed Table'!G1678</f>
        <v>Cooling Res</v>
      </c>
      <c r="D258" s="2564" t="str">
        <f>'HVAC Deemed Table'!G1679</f>
        <v>Heating Res</v>
      </c>
      <c r="E258" s="2564" t="str">
        <f>'HVAC Deemed Table'!G1680</f>
        <v>Cooling Res ER2</v>
      </c>
      <c r="F258" s="2564" t="str">
        <f>'HVAC Deemed Table'!G1681</f>
        <v>Heating Res ER2</v>
      </c>
      <c r="G258" s="3343" t="str">
        <f>'HVAC Deemed Table'!E1678</f>
        <v>ASHP-SEER20-Replace_CAC_ElectricHeat_ER1_SF</v>
      </c>
      <c r="H258" s="50" t="str">
        <f>'HVAC Deemed Table'!D1678</f>
        <v>SF</v>
      </c>
      <c r="I258" s="1966">
        <f t="shared" si="100"/>
        <v>12312.9</v>
      </c>
      <c r="J258" s="1966">
        <f t="shared" si="101"/>
        <v>10580.5</v>
      </c>
      <c r="K258" s="560">
        <f>'HVAC Deemed Table'!F1678</f>
        <v>2594.98</v>
      </c>
      <c r="L258" s="560">
        <f>'HVAC Deemed Table'!F1679</f>
        <v>9717.92</v>
      </c>
      <c r="M258" s="560">
        <f>'HVAC Deemed Table'!F1680</f>
        <v>862.58</v>
      </c>
      <c r="N258" s="560">
        <f>'HVAC Deemed Table'!F1681</f>
        <v>9717.92</v>
      </c>
      <c r="O258" s="1967">
        <f t="shared" si="102"/>
        <v>2.4585309999999998</v>
      </c>
      <c r="P258" s="1967">
        <f t="shared" si="103"/>
        <v>0.81722399999999995</v>
      </c>
      <c r="Q258" s="1968">
        <f>'HVAC Deemed Table'!I1678</f>
        <v>2.4585309999999998</v>
      </c>
      <c r="R258" s="1968">
        <f>'HVAC Deemed Table'!I1679</f>
        <v>0</v>
      </c>
      <c r="S258" s="1968">
        <f>'HVAC Deemed Table'!I1680</f>
        <v>0.81722399999999995</v>
      </c>
      <c r="T258" s="1968">
        <f>'HVAC Deemed Table'!I1681</f>
        <v>0</v>
      </c>
      <c r="U258" s="1969"/>
      <c r="V258" s="1969"/>
      <c r="W258" s="1969">
        <f>P258</f>
        <v>0.81722399999999995</v>
      </c>
      <c r="X258" s="55">
        <f>'HVAC Deemed Table'!J1678</f>
        <v>6</v>
      </c>
      <c r="Y258" s="55">
        <f>'HVAC Deemed Table'!J1680</f>
        <v>12</v>
      </c>
      <c r="Z258" s="55">
        <f t="shared" si="56"/>
        <v>18</v>
      </c>
      <c r="AA258" s="49">
        <f>'HVAC Deemed Table'!BB1678</f>
        <v>3.4819949105236416</v>
      </c>
      <c r="AB258" s="698">
        <f>'HVAC Deemed Table'!K1678</f>
        <v>2109.0699962597669</v>
      </c>
      <c r="AC258" s="2583">
        <f t="shared" si="57"/>
        <v>3227.6598734506242</v>
      </c>
      <c r="AD258" s="2583">
        <f t="shared" si="86"/>
        <v>3703.6954761620455</v>
      </c>
      <c r="AE258" s="571">
        <f>'HVAC Deemed Table'!BD1678</f>
        <v>1644.2104400279143</v>
      </c>
      <c r="AF258" s="571">
        <f>'HVAC Deemed Table'!BD1679</f>
        <v>1583.4494334227099</v>
      </c>
      <c r="AG258" s="571">
        <f>'HVAC Deemed Table'!BD1680</f>
        <v>954.47093556110383</v>
      </c>
      <c r="AH258" s="571">
        <f>'HVAC Deemed Table'!BD1681</f>
        <v>2749.2245406009415</v>
      </c>
      <c r="AI258" s="2589" t="str">
        <f t="shared" si="116"/>
        <v>per measure</v>
      </c>
      <c r="AJ258" s="93">
        <f>'HVAC Deemed Table'!L1678</f>
        <v>2.7818528962962961</v>
      </c>
      <c r="AK258" s="1501"/>
      <c r="AL258" s="1501"/>
      <c r="AM258" s="1596">
        <f t="shared" si="71"/>
        <v>9.4741810000000004E-4</v>
      </c>
      <c r="AN258" s="84">
        <f t="shared" si="87"/>
        <v>2.458531021138</v>
      </c>
      <c r="AO258" s="1595">
        <f t="shared" si="72"/>
        <v>2.1138000239062649E-8</v>
      </c>
    </row>
    <row r="259" spans="1:48" x14ac:dyDescent="0.35">
      <c r="A259" s="103" t="str">
        <f t="shared" si="55"/>
        <v>353410</v>
      </c>
      <c r="B259" s="3346" t="str">
        <f>'HVAC Deemed Table'!C1682</f>
        <v>353410_2021_12_</v>
      </c>
      <c r="C259" s="2564" t="str">
        <f>'HVAC Deemed Table'!G1682</f>
        <v>Cooling Res</v>
      </c>
      <c r="D259" s="2564" t="str">
        <f>'HVAC Deemed Table'!G1683</f>
        <v>Heating Res</v>
      </c>
      <c r="E259" s="2564" t="str">
        <f>'HVAC Deemed Table'!G1684</f>
        <v>Cooling Res ER2</v>
      </c>
      <c r="F259" s="2564" t="str">
        <f>'HVAC Deemed Table'!G1685</f>
        <v>Heating Res ER2</v>
      </c>
      <c r="G259" s="3343" t="str">
        <f>'HVAC Deemed Table'!E1682</f>
        <v>ASHP-SEER20-Replace_CAC_NonElectricHeat_ER1_SF</v>
      </c>
      <c r="H259" s="50" t="str">
        <f>'HVAC Deemed Table'!D1682</f>
        <v>SF</v>
      </c>
      <c r="I259" s="1966">
        <f t="shared" si="100"/>
        <v>2594.98</v>
      </c>
      <c r="J259" s="1966">
        <f t="shared" si="101"/>
        <v>862.58</v>
      </c>
      <c r="K259" s="560">
        <f>'HVAC Deemed Table'!F1682</f>
        <v>2594.98</v>
      </c>
      <c r="L259" s="560">
        <f>'HVAC Deemed Table'!F1683</f>
        <v>0</v>
      </c>
      <c r="M259" s="560">
        <f>'HVAC Deemed Table'!F1684</f>
        <v>862.58</v>
      </c>
      <c r="N259" s="560">
        <f>'HVAC Deemed Table'!F1685</f>
        <v>0</v>
      </c>
      <c r="O259" s="1967">
        <f t="shared" si="102"/>
        <v>2.4585309999999998</v>
      </c>
      <c r="P259" s="1967">
        <f t="shared" si="103"/>
        <v>0.81722399999999995</v>
      </c>
      <c r="Q259" s="1968">
        <f>'HVAC Deemed Table'!I1682</f>
        <v>2.4585309999999998</v>
      </c>
      <c r="R259" s="1968">
        <f>'HVAC Deemed Table'!I1683</f>
        <v>0</v>
      </c>
      <c r="S259" s="1968">
        <f>'HVAC Deemed Table'!I1684</f>
        <v>0.81722399999999995</v>
      </c>
      <c r="T259" s="1968">
        <f>'HVAC Deemed Table'!I1685</f>
        <v>0</v>
      </c>
      <c r="U259" s="1969"/>
      <c r="V259" s="1969"/>
      <c r="W259" s="1969">
        <f>P259</f>
        <v>0.81722399999999995</v>
      </c>
      <c r="X259" s="55">
        <f>'HVAC Deemed Table'!J1682</f>
        <v>6</v>
      </c>
      <c r="Y259" s="55">
        <f>'HVAC Deemed Table'!J1684</f>
        <v>12</v>
      </c>
      <c r="Z259" s="55">
        <f t="shared" si="56"/>
        <v>18</v>
      </c>
      <c r="AA259" s="49">
        <f>'HVAC Deemed Table'!BB1682</f>
        <v>1.3054582931430836</v>
      </c>
      <c r="AB259" s="698">
        <f>'HVAC Deemed Table'!K1682</f>
        <v>2109.0699962597669</v>
      </c>
      <c r="AC259" s="2583">
        <f t="shared" si="57"/>
        <v>1644.2104400279143</v>
      </c>
      <c r="AD259" s="2583">
        <f t="shared" si="86"/>
        <v>954.47093556110383</v>
      </c>
      <c r="AE259" s="571">
        <f>'HVAC Deemed Table'!BD1682</f>
        <v>1644.2104400279143</v>
      </c>
      <c r="AF259" s="571">
        <f>'HVAC Deemed Table'!BD1683</f>
        <v>0</v>
      </c>
      <c r="AG259" s="571">
        <f>'HVAC Deemed Table'!BD1684</f>
        <v>954.47093556110383</v>
      </c>
      <c r="AH259" s="571">
        <f>'HVAC Deemed Table'!BD1685</f>
        <v>0</v>
      </c>
      <c r="AI259" s="2589" t="str">
        <f t="shared" si="116"/>
        <v>per measure</v>
      </c>
      <c r="AJ259" s="93">
        <f>'HVAC Deemed Table'!L1682</f>
        <v>2.7818528962962961</v>
      </c>
      <c r="AK259" s="2610"/>
      <c r="AL259" s="2610"/>
      <c r="AM259" s="1961">
        <f t="shared" si="71"/>
        <v>9.4741810000000004E-4</v>
      </c>
      <c r="AN259" s="84">
        <f t="shared" si="87"/>
        <v>2.458531021138</v>
      </c>
      <c r="AO259" s="1965">
        <f t="shared" si="72"/>
        <v>2.1138000239062649E-8</v>
      </c>
      <c r="AP259" s="84"/>
      <c r="AQ259" s="84"/>
      <c r="AR259" s="84"/>
      <c r="AS259" s="84"/>
      <c r="AT259" s="84"/>
      <c r="AU259" s="84"/>
      <c r="AV259" s="84"/>
    </row>
    <row r="260" spans="1:48" x14ac:dyDescent="0.35">
      <c r="A260" s="103" t="str">
        <f t="shared" si="55"/>
        <v>353450</v>
      </c>
      <c r="B260" s="3346" t="str">
        <f>'HVAC Deemed Table'!C1686</f>
        <v>353450_2021_12_</v>
      </c>
      <c r="C260" s="2564" t="str">
        <f>'HVAC Deemed Table'!G1686</f>
        <v>Cooling Res</v>
      </c>
      <c r="D260" s="2564" t="str">
        <f>'HVAC Deemed Table'!G1687</f>
        <v>Heating Res</v>
      </c>
      <c r="E260" s="3343"/>
      <c r="F260" s="3343"/>
      <c r="G260" s="3343" t="str">
        <f>'HVAC Deemed Table'!E1686</f>
        <v>ASHP-SEER20-Replace_CAC_ElectricHeat_ROF_SF</v>
      </c>
      <c r="H260" s="50" t="str">
        <f>'HVAC Deemed Table'!D1686</f>
        <v>SF</v>
      </c>
      <c r="I260" s="1966">
        <f t="shared" si="100"/>
        <v>11117.02</v>
      </c>
      <c r="J260" s="1966">
        <f t="shared" si="101"/>
        <v>0</v>
      </c>
      <c r="K260" s="560">
        <f>'HVAC Deemed Table'!F1686</f>
        <v>899.76</v>
      </c>
      <c r="L260" s="560">
        <f>'HVAC Deemed Table'!F1687</f>
        <v>10217.26</v>
      </c>
      <c r="M260" s="560"/>
      <c r="N260" s="560"/>
      <c r="O260" s="1967">
        <f t="shared" si="102"/>
        <v>0.85244900000000001</v>
      </c>
      <c r="P260" s="1967">
        <f t="shared" si="103"/>
        <v>0</v>
      </c>
      <c r="Q260" s="1968">
        <f>'HVAC Deemed Table'!I1686</f>
        <v>0.85244900000000001</v>
      </c>
      <c r="R260" s="1968">
        <f>'HVAC Deemed Table'!I1687</f>
        <v>0</v>
      </c>
      <c r="S260" s="1968"/>
      <c r="T260" s="1968"/>
      <c r="U260" s="1969"/>
      <c r="V260" s="1969"/>
      <c r="W260" s="1969">
        <f t="shared" ref="W260:W265" si="117">O260</f>
        <v>0.85244900000000001</v>
      </c>
      <c r="X260" s="55">
        <f>'HVAC Deemed Table'!J1686</f>
        <v>18</v>
      </c>
      <c r="Y260" s="55"/>
      <c r="Z260" s="55">
        <f t="shared" si="56"/>
        <v>18</v>
      </c>
      <c r="AA260" s="49">
        <f>'HVAC Deemed Table'!BB1686</f>
        <v>4.4899626623565441</v>
      </c>
      <c r="AB260" s="698">
        <f>'HVAC Deemed Table'!K1686</f>
        <v>1444.3799999999994</v>
      </c>
      <c r="AC260" s="2583">
        <f t="shared" si="57"/>
        <v>6121.0120530953673</v>
      </c>
      <c r="AD260" s="2583">
        <f t="shared" si="86"/>
        <v>0</v>
      </c>
      <c r="AE260" s="571">
        <f>'HVAC Deemed Table'!BD1686</f>
        <v>1565.7104568862098</v>
      </c>
      <c r="AF260" s="571">
        <f>'HVAC Deemed Table'!BD1687</f>
        <v>4555.3015962091577</v>
      </c>
      <c r="AG260" s="571"/>
      <c r="AH260" s="571"/>
      <c r="AI260" s="2589" t="str">
        <f t="shared" si="116"/>
        <v>per measure</v>
      </c>
      <c r="AJ260" s="93">
        <f>'HVAC Deemed Table'!L1686</f>
        <v>2.8870833333333334</v>
      </c>
      <c r="AK260" s="1501"/>
      <c r="AL260" s="1501"/>
      <c r="AM260" s="1596">
        <f t="shared" si="71"/>
        <v>9.4741810000000004E-4</v>
      </c>
      <c r="AN260" s="84">
        <f t="shared" si="87"/>
        <v>0.85244890965600006</v>
      </c>
      <c r="AO260" s="1595">
        <f t="shared" si="72"/>
        <v>-9.0343999947783971E-8</v>
      </c>
    </row>
    <row r="261" spans="1:48" s="84" customFormat="1" x14ac:dyDescent="0.35">
      <c r="A261" s="1618" t="str">
        <f t="shared" ref="A261" si="118">LEFT(B261,6)</f>
        <v>353460</v>
      </c>
      <c r="B261" s="1590" t="str">
        <f>'HVAC Deemed Table'!C1688</f>
        <v>353460_2022_12_</v>
      </c>
      <c r="C261" s="2609" t="str">
        <f>'HVAC Deemed Table'!G1688</f>
        <v>Cooling Res</v>
      </c>
      <c r="D261" s="2609" t="str">
        <f>'HVAC Deemed Table'!G1689</f>
        <v>Heating Res</v>
      </c>
      <c r="E261" s="1589"/>
      <c r="F261" s="1589"/>
      <c r="G261" s="1589" t="str">
        <f>'HVAC Deemed Table'!E1688</f>
        <v>ASHP-SEER20-Replace_CAC_NonElectricHeat_ROF_SF</v>
      </c>
      <c r="H261" s="1599" t="str">
        <f>'HVAC Deemed Table'!D1688</f>
        <v>SF</v>
      </c>
      <c r="I261" s="1597">
        <f t="shared" ref="I261" si="119">K261+L261</f>
        <v>899.76</v>
      </c>
      <c r="J261" s="1597">
        <f t="shared" ref="J261" si="120">M261+N261</f>
        <v>0</v>
      </c>
      <c r="K261" s="1591">
        <f>'HVAC Deemed Table'!F1688</f>
        <v>899.76</v>
      </c>
      <c r="L261" s="1591">
        <f>'HVAC Deemed Table'!F1689</f>
        <v>0</v>
      </c>
      <c r="M261" s="1591"/>
      <c r="N261" s="1591"/>
      <c r="O261" s="1598">
        <f t="shared" ref="O261" si="121">Q261+R261</f>
        <v>0.85244900000000001</v>
      </c>
      <c r="P261" s="1598">
        <f t="shared" ref="P261" si="122">S261+T261</f>
        <v>0</v>
      </c>
      <c r="Q261" s="1600">
        <f>'HVAC Deemed Table'!I1688</f>
        <v>0.85244900000000001</v>
      </c>
      <c r="R261" s="1600">
        <f>'HVAC Deemed Table'!I1689</f>
        <v>0</v>
      </c>
      <c r="S261" s="1600"/>
      <c r="T261" s="1600"/>
      <c r="U261" s="1569"/>
      <c r="V261" s="1569"/>
      <c r="W261" s="1569">
        <f t="shared" si="117"/>
        <v>0.85244900000000001</v>
      </c>
      <c r="X261" s="1583">
        <f>'HVAC Deemed Table'!J1688</f>
        <v>18</v>
      </c>
      <c r="Y261" s="1583"/>
      <c r="Z261" s="1583">
        <f t="shared" ref="Z261" si="123">Y261+X261</f>
        <v>18</v>
      </c>
      <c r="AA261" s="1959">
        <f>'HVAC Deemed Table'!BB1688</f>
        <v>1.1484998608890598</v>
      </c>
      <c r="AB261" s="1671">
        <f>'HVAC Deemed Table'!K1688</f>
        <v>1444.3799999999994</v>
      </c>
      <c r="AC261" s="1964">
        <f t="shared" ref="AC261" si="124">AE261+AF261</f>
        <v>1565.7104568862098</v>
      </c>
      <c r="AD261" s="1964">
        <f t="shared" ref="AD261" si="125">AG261+AH261</f>
        <v>0</v>
      </c>
      <c r="AE261" s="1604">
        <f>'HVAC Deemed Table'!BD1688</f>
        <v>1565.7104568862098</v>
      </c>
      <c r="AF261" s="1604">
        <f>'HVAC Deemed Table'!BD1689</f>
        <v>0</v>
      </c>
      <c r="AG261" s="1604"/>
      <c r="AH261" s="1604"/>
      <c r="AI261" s="3366" t="str">
        <f t="shared" si="116"/>
        <v>per measure</v>
      </c>
      <c r="AJ261" s="96">
        <f>'HVAC Deemed Table'!L1688</f>
        <v>2.8870833333333334</v>
      </c>
      <c r="AK261" s="2610"/>
      <c r="AL261" s="2610"/>
      <c r="AM261" s="1961">
        <f t="shared" ref="AM261" si="126">VLOOKUP(C261,$AS$10:$AT$33,2,FALSE)</f>
        <v>9.4741810000000004E-4</v>
      </c>
      <c r="AN261" s="84">
        <f t="shared" ref="AN261" si="127">AM261*K261</f>
        <v>0.85244890965600006</v>
      </c>
      <c r="AO261" s="1965">
        <f t="shared" ref="AO261" si="128">AN261-O261</f>
        <v>-9.0343999947783971E-8</v>
      </c>
    </row>
    <row r="262" spans="1:48" s="84" customFormat="1" x14ac:dyDescent="0.35">
      <c r="A262" s="103" t="str">
        <f t="shared" si="55"/>
        <v>353500</v>
      </c>
      <c r="B262" s="3346" t="str">
        <f>'HVAC Deemed Table'!C1690</f>
        <v>353500_2019_12_</v>
      </c>
      <c r="C262" s="2564" t="str">
        <f>'HVAC Deemed Table'!G1690</f>
        <v>Cooling Res</v>
      </c>
      <c r="D262" s="2564" t="str">
        <f>'HVAC Deemed Table'!G1691</f>
        <v>Heating Res</v>
      </c>
      <c r="E262" s="3343"/>
      <c r="F262" s="3343"/>
      <c r="G262" s="3343" t="str">
        <f>'HVAC Deemed Table'!E1690</f>
        <v>ASHP-SEER20-Replace_CAC_ElectricHeat_ROF_MF</v>
      </c>
      <c r="H262" s="50" t="str">
        <f>'HVAC Deemed Table'!D1690</f>
        <v>MF</v>
      </c>
      <c r="I262" s="1966">
        <f t="shared" si="100"/>
        <v>7684.66</v>
      </c>
      <c r="J262" s="1966">
        <f t="shared" si="101"/>
        <v>0</v>
      </c>
      <c r="K262" s="560">
        <f>'HVAC Deemed Table'!F1690</f>
        <v>583.97</v>
      </c>
      <c r="L262" s="560">
        <f>'HVAC Deemed Table'!F1691</f>
        <v>7100.69</v>
      </c>
      <c r="M262" s="560"/>
      <c r="N262" s="560"/>
      <c r="O262" s="1967">
        <f t="shared" si="102"/>
        <v>0.55326399999999998</v>
      </c>
      <c r="P262" s="1967">
        <f t="shared" si="103"/>
        <v>0</v>
      </c>
      <c r="Q262" s="1968">
        <f>'HVAC Deemed Table'!I1690</f>
        <v>0.55326399999999998</v>
      </c>
      <c r="R262" s="1968">
        <f>'HVAC Deemed Table'!I1691</f>
        <v>0</v>
      </c>
      <c r="S262" s="1968"/>
      <c r="T262" s="1968"/>
      <c r="U262" s="1969"/>
      <c r="V262" s="1969"/>
      <c r="W262" s="1969">
        <f t="shared" si="117"/>
        <v>0.55326399999999998</v>
      </c>
      <c r="X262" s="55">
        <f>'HVAC Deemed Table'!J1690</f>
        <v>18</v>
      </c>
      <c r="Y262" s="55"/>
      <c r="Z262" s="55">
        <f t="shared" si="56"/>
        <v>18</v>
      </c>
      <c r="AA262" s="49">
        <f>'HVAC Deemed Table'!BB1690</f>
        <v>3.067625961693587</v>
      </c>
      <c r="AB262" s="698">
        <f>'HVAC Deemed Table'!K1690</f>
        <v>1444.3799999999994</v>
      </c>
      <c r="AC262" s="2583">
        <f t="shared" si="57"/>
        <v>4181.9892275139036</v>
      </c>
      <c r="AD262" s="2583">
        <f t="shared" si="86"/>
        <v>0</v>
      </c>
      <c r="AE262" s="571">
        <f>'HVAC Deemed Table'!BD1690</f>
        <v>1016.1909125854005</v>
      </c>
      <c r="AF262" s="571">
        <f>'HVAC Deemed Table'!BD1691</f>
        <v>3165.7983149285033</v>
      </c>
      <c r="AG262" s="571"/>
      <c r="AH262" s="571"/>
      <c r="AI262" s="2589" t="str">
        <f t="shared" si="116"/>
        <v>per measure</v>
      </c>
      <c r="AJ262" s="93">
        <f>'HVAC Deemed Table'!L1690</f>
        <v>3.2</v>
      </c>
      <c r="AK262" s="1501"/>
      <c r="AL262" s="1501"/>
      <c r="AM262" s="1596">
        <f t="shared" si="71"/>
        <v>9.4741810000000004E-4</v>
      </c>
      <c r="AN262" s="84">
        <f t="shared" si="87"/>
        <v>0.55326374785700005</v>
      </c>
      <c r="AO262" s="1595">
        <f t="shared" si="72"/>
        <v>-2.5214299992359912E-7</v>
      </c>
      <c r="AP262"/>
      <c r="AQ262"/>
      <c r="AR262"/>
      <c r="AS262"/>
      <c r="AT262"/>
      <c r="AU262"/>
      <c r="AV262"/>
    </row>
    <row r="263" spans="1:48" s="84" customFormat="1" x14ac:dyDescent="0.35">
      <c r="A263" s="103" t="str">
        <f t="shared" si="55"/>
        <v>353501</v>
      </c>
      <c r="B263" s="3346" t="str">
        <f>'HVAC Deemed Table'!C1692</f>
        <v>353501_2019_12_</v>
      </c>
      <c r="C263" s="2564" t="str">
        <f>'HVAC Deemed Table'!G1692</f>
        <v>Cooling Res</v>
      </c>
      <c r="D263" s="2564" t="str">
        <f>'HVAC Deemed Table'!G1693</f>
        <v>Heating Res</v>
      </c>
      <c r="E263" s="3343"/>
      <c r="F263" s="3343"/>
      <c r="G263" s="3343" t="str">
        <f>'HVAC Deemed Table'!E1692</f>
        <v>ASHP-SEER20-Replace_CAC_ElectricHeat_ROF_MF_CompE</v>
      </c>
      <c r="H263" s="50" t="str">
        <f>'HVAC Deemed Table'!D1692</f>
        <v>MFc</v>
      </c>
      <c r="I263" s="1966">
        <f t="shared" si="100"/>
        <v>2845.39</v>
      </c>
      <c r="J263" s="1966">
        <f t="shared" si="101"/>
        <v>0</v>
      </c>
      <c r="K263" s="560">
        <f>'HVAC Deemed Table'!F1692</f>
        <v>424.7</v>
      </c>
      <c r="L263" s="560">
        <f>'HVAC Deemed Table'!F1693</f>
        <v>2420.69</v>
      </c>
      <c r="M263" s="560"/>
      <c r="N263" s="560"/>
      <c r="O263" s="1967">
        <f t="shared" si="102"/>
        <v>0.402368</v>
      </c>
      <c r="P263" s="1967">
        <f t="shared" si="103"/>
        <v>0</v>
      </c>
      <c r="Q263" s="1968">
        <f>'HVAC Deemed Table'!I1692</f>
        <v>0.402368</v>
      </c>
      <c r="R263" s="1968">
        <f>'HVAC Deemed Table'!I1693</f>
        <v>0</v>
      </c>
      <c r="S263" s="1968"/>
      <c r="T263" s="1968"/>
      <c r="U263" s="1969"/>
      <c r="V263" s="1969"/>
      <c r="W263" s="1969">
        <f t="shared" si="117"/>
        <v>0.402368</v>
      </c>
      <c r="X263" s="55">
        <f>'HVAC Deemed Table'!J1692</f>
        <v>18</v>
      </c>
      <c r="Y263" s="55"/>
      <c r="Z263" s="55">
        <f t="shared" si="56"/>
        <v>18</v>
      </c>
      <c r="AA263" s="49">
        <f>'HVAC Deemed Table'!BB1692</f>
        <v>1.333773734005741</v>
      </c>
      <c r="AB263" s="698">
        <f>'HVAC Deemed Table'!K1692</f>
        <v>1444.3799999999994</v>
      </c>
      <c r="AC263" s="2583">
        <f t="shared" si="57"/>
        <v>1818.2879716122804</v>
      </c>
      <c r="AD263" s="2583">
        <f t="shared" si="86"/>
        <v>0</v>
      </c>
      <c r="AE263" s="571">
        <f>'HVAC Deemed Table'!BD1692</f>
        <v>739.03844474034554</v>
      </c>
      <c r="AF263" s="571">
        <f>'HVAC Deemed Table'!BD1693</f>
        <v>1079.2495268719349</v>
      </c>
      <c r="AG263" s="571"/>
      <c r="AH263" s="571"/>
      <c r="AI263" s="2589" t="str">
        <f t="shared" si="116"/>
        <v>per measure</v>
      </c>
      <c r="AJ263" s="93">
        <f>'HVAC Deemed Table'!L1692</f>
        <v>3.2</v>
      </c>
      <c r="AK263" s="1501"/>
      <c r="AL263" s="1501"/>
      <c r="AM263" s="1596">
        <f t="shared" si="71"/>
        <v>9.4741810000000004E-4</v>
      </c>
      <c r="AN263" s="84">
        <f t="shared" si="87"/>
        <v>0.40236846707000001</v>
      </c>
      <c r="AO263" s="1500">
        <f t="shared" si="72"/>
        <v>4.6707000000978383E-7</v>
      </c>
      <c r="AP263" s="144">
        <f>AO263/O263</f>
        <v>1.1608030459921859E-6</v>
      </c>
      <c r="AQ263"/>
      <c r="AR263"/>
      <c r="AS263"/>
      <c r="AT263"/>
      <c r="AU263"/>
      <c r="AV263"/>
    </row>
    <row r="264" spans="1:48" x14ac:dyDescent="0.35">
      <c r="A264" s="103" t="str">
        <f t="shared" si="55"/>
        <v>353510</v>
      </c>
      <c r="B264" s="3346" t="str">
        <f>'HVAC Deemed Table'!C1694</f>
        <v>353510_2021_12_</v>
      </c>
      <c r="C264" s="2564" t="str">
        <f>'HVAC Deemed Table'!G1694</f>
        <v>Cooling Res</v>
      </c>
      <c r="D264" s="2564" t="str">
        <f>'HVAC Deemed Table'!G1695</f>
        <v>Heating Res</v>
      </c>
      <c r="E264" s="3343"/>
      <c r="F264" s="3343"/>
      <c r="G264" s="3343" t="str">
        <f>'HVAC Deemed Table'!E1694</f>
        <v>ASHP-SEER20-Replace_CAC_NonElectricHeat_ROF_MF</v>
      </c>
      <c r="H264" s="50" t="str">
        <f>'HVAC Deemed Table'!D1694</f>
        <v>MF</v>
      </c>
      <c r="I264" s="1966">
        <f t="shared" si="100"/>
        <v>583.97</v>
      </c>
      <c r="J264" s="1966">
        <f t="shared" si="101"/>
        <v>0</v>
      </c>
      <c r="K264" s="560">
        <f>'HVAC Deemed Table'!F1694</f>
        <v>583.97</v>
      </c>
      <c r="L264" s="560">
        <f>'HVAC Deemed Table'!F1695</f>
        <v>0</v>
      </c>
      <c r="M264" s="560"/>
      <c r="N264" s="560"/>
      <c r="O264" s="1967">
        <f t="shared" si="102"/>
        <v>0.55326399999999998</v>
      </c>
      <c r="P264" s="1967">
        <f t="shared" si="103"/>
        <v>0</v>
      </c>
      <c r="Q264" s="1968">
        <f>'HVAC Deemed Table'!I1694</f>
        <v>0.55326399999999998</v>
      </c>
      <c r="R264" s="1968">
        <f>'HVAC Deemed Table'!I1695</f>
        <v>0</v>
      </c>
      <c r="S264" s="1968"/>
      <c r="T264" s="1968"/>
      <c r="U264" s="1969"/>
      <c r="V264" s="1969"/>
      <c r="W264" s="1969">
        <f t="shared" si="117"/>
        <v>0.55326399999999998</v>
      </c>
      <c r="X264" s="55">
        <f>'HVAC Deemed Table'!J1694</f>
        <v>18</v>
      </c>
      <c r="Y264" s="55"/>
      <c r="Z264" s="55">
        <f t="shared" si="56"/>
        <v>18</v>
      </c>
      <c r="AA264" s="49">
        <f>'HVAC Deemed Table'!BB1694</f>
        <v>0.74540929110361009</v>
      </c>
      <c r="AB264" s="698">
        <f>'HVAC Deemed Table'!K1694</f>
        <v>1444.3799999999994</v>
      </c>
      <c r="AC264" s="2583">
        <f t="shared" si="57"/>
        <v>1016.1909125854005</v>
      </c>
      <c r="AD264" s="2583">
        <f t="shared" si="86"/>
        <v>0</v>
      </c>
      <c r="AE264" s="571">
        <f>'HVAC Deemed Table'!BD1694</f>
        <v>1016.1909125854005</v>
      </c>
      <c r="AF264" s="571">
        <f>'HVAC Deemed Table'!BD1695</f>
        <v>0</v>
      </c>
      <c r="AG264" s="571"/>
      <c r="AH264" s="571"/>
      <c r="AI264" s="2589" t="str">
        <f t="shared" si="116"/>
        <v>per measure</v>
      </c>
      <c r="AJ264" s="93">
        <f>'HVAC Deemed Table'!L1694</f>
        <v>3.2</v>
      </c>
      <c r="AK264" s="2610"/>
      <c r="AL264" s="2610"/>
      <c r="AM264" s="1961">
        <f t="shared" si="71"/>
        <v>9.4741810000000004E-4</v>
      </c>
      <c r="AN264" s="84">
        <f t="shared" si="87"/>
        <v>0.55326374785700005</v>
      </c>
      <c r="AO264" s="2611">
        <f t="shared" si="72"/>
        <v>-2.5214299992359912E-7</v>
      </c>
      <c r="AP264" s="1779">
        <f>AO264/O264</f>
        <v>-4.5573722476719815E-7</v>
      </c>
      <c r="AQ264" s="84"/>
      <c r="AR264" s="84"/>
      <c r="AS264" s="84"/>
      <c r="AT264" s="84"/>
      <c r="AU264" s="84"/>
      <c r="AV264" s="84"/>
    </row>
    <row r="265" spans="1:48" s="84" customFormat="1" x14ac:dyDescent="0.35">
      <c r="A265" s="103" t="str">
        <f t="shared" si="55"/>
        <v>353511</v>
      </c>
      <c r="B265" s="3346" t="str">
        <f>'HVAC Deemed Table'!C1696</f>
        <v>353511_2021_12_</v>
      </c>
      <c r="C265" s="2564" t="str">
        <f>'HVAC Deemed Table'!G1696</f>
        <v>Cooling Res</v>
      </c>
      <c r="D265" s="2564" t="str">
        <f>'HVAC Deemed Table'!G1697</f>
        <v>Heating Res</v>
      </c>
      <c r="E265" s="3343"/>
      <c r="F265" s="3343"/>
      <c r="G265" s="3343" t="str">
        <f>'HVAC Deemed Table'!E1696</f>
        <v>ASHP-SEER20-Replace_CAC_NonElectricHeat_ROF_MF_CompE</v>
      </c>
      <c r="H265" s="50" t="str">
        <f>'HVAC Deemed Table'!D1696</f>
        <v>MFc</v>
      </c>
      <c r="I265" s="1966">
        <f t="shared" si="100"/>
        <v>424.7</v>
      </c>
      <c r="J265" s="1966">
        <f t="shared" si="101"/>
        <v>0</v>
      </c>
      <c r="K265" s="560">
        <f>'HVAC Deemed Table'!F1696</f>
        <v>424.7</v>
      </c>
      <c r="L265" s="560">
        <f>'HVAC Deemed Table'!F1697</f>
        <v>0</v>
      </c>
      <c r="M265" s="560"/>
      <c r="N265" s="560"/>
      <c r="O265" s="1967">
        <f t="shared" si="102"/>
        <v>0.402368</v>
      </c>
      <c r="P265" s="1967">
        <f t="shared" si="103"/>
        <v>0</v>
      </c>
      <c r="Q265" s="1968">
        <f>'HVAC Deemed Table'!I1696</f>
        <v>0.402368</v>
      </c>
      <c r="R265" s="1968">
        <f>'HVAC Deemed Table'!I1697</f>
        <v>0</v>
      </c>
      <c r="S265" s="1968"/>
      <c r="T265" s="1968"/>
      <c r="U265" s="1969"/>
      <c r="V265" s="1969"/>
      <c r="W265" s="1969">
        <f t="shared" si="117"/>
        <v>0.402368</v>
      </c>
      <c r="X265" s="55">
        <f>'HVAC Deemed Table'!J1696</f>
        <v>18</v>
      </c>
      <c r="Y265" s="55"/>
      <c r="Z265" s="55">
        <f t="shared" si="56"/>
        <v>18</v>
      </c>
      <c r="AA265" s="49">
        <f>'HVAC Deemed Table'!BB1696</f>
        <v>0.54210888561347881</v>
      </c>
      <c r="AB265" s="698">
        <f>'HVAC Deemed Table'!K1696</f>
        <v>1444.3799999999994</v>
      </c>
      <c r="AC265" s="2583">
        <f t="shared" si="57"/>
        <v>739.03844474034554</v>
      </c>
      <c r="AD265" s="2583">
        <f t="shared" si="86"/>
        <v>0</v>
      </c>
      <c r="AE265" s="571">
        <f>'HVAC Deemed Table'!BD1696</f>
        <v>739.03844474034554</v>
      </c>
      <c r="AF265" s="571">
        <f>'HVAC Deemed Table'!BD1697</f>
        <v>0</v>
      </c>
      <c r="AG265" s="571"/>
      <c r="AH265" s="571"/>
      <c r="AI265" s="2589" t="str">
        <f t="shared" si="116"/>
        <v>per measure</v>
      </c>
      <c r="AJ265" s="93">
        <f>'HVAC Deemed Table'!L1696</f>
        <v>3.2</v>
      </c>
      <c r="AK265" s="2610"/>
      <c r="AL265" s="2610"/>
      <c r="AM265" s="1961">
        <f t="shared" si="71"/>
        <v>9.4741810000000004E-4</v>
      </c>
      <c r="AN265" s="84">
        <f t="shared" si="87"/>
        <v>0.40236846707000001</v>
      </c>
      <c r="AO265" s="2611">
        <f t="shared" si="72"/>
        <v>4.6707000000978383E-7</v>
      </c>
      <c r="AP265" s="1779">
        <f>AO265/O265</f>
        <v>1.1608030459921859E-6</v>
      </c>
    </row>
    <row r="266" spans="1:48" x14ac:dyDescent="0.35">
      <c r="A266" s="103" t="str">
        <f t="shared" si="55"/>
        <v>353550</v>
      </c>
      <c r="B266" s="3346" t="str">
        <f>'HVAC Deemed Table'!C1698</f>
        <v>353550_2021_12_</v>
      </c>
      <c r="C266" s="2564" t="str">
        <f>'HVAC Deemed Table'!G1698</f>
        <v>Cooling Res</v>
      </c>
      <c r="D266" s="2564" t="str">
        <f>'HVAC Deemed Table'!G1699</f>
        <v>Heating Res</v>
      </c>
      <c r="E266" s="2564" t="str">
        <f>'HVAC Deemed Table'!G1700</f>
        <v>Cooling Res ER2</v>
      </c>
      <c r="F266" s="2564" t="str">
        <f>'HVAC Deemed Table'!G1701</f>
        <v>Heating Res ER2</v>
      </c>
      <c r="G266" s="3343" t="str">
        <f>'HVAC Deemed Table'!E1698</f>
        <v>ASHP-SEER21-Replace_CAC_ElectricHeat_ER1_SF</v>
      </c>
      <c r="H266" s="50" t="str">
        <f>'HVAC Deemed Table'!D1698</f>
        <v>SF</v>
      </c>
      <c r="I266" s="1966">
        <f t="shared" si="100"/>
        <v>14995.59</v>
      </c>
      <c r="J266" s="1966">
        <f t="shared" si="101"/>
        <v>13107.5</v>
      </c>
      <c r="K266" s="560">
        <f>'HVAC Deemed Table'!F1698</f>
        <v>2958.13</v>
      </c>
      <c r="L266" s="560">
        <f>'HVAC Deemed Table'!F1699</f>
        <v>12037.46</v>
      </c>
      <c r="M266" s="560">
        <f>'HVAC Deemed Table'!F1700</f>
        <v>1070.04</v>
      </c>
      <c r="N266" s="560">
        <f>'HVAC Deemed Table'!F1701</f>
        <v>12037.46</v>
      </c>
      <c r="O266" s="1967">
        <f t="shared" si="102"/>
        <v>2.8025859999999998</v>
      </c>
      <c r="P266" s="1967">
        <f t="shared" si="103"/>
        <v>1.0137750000000001</v>
      </c>
      <c r="Q266" s="1968">
        <f>'HVAC Deemed Table'!I1698</f>
        <v>2.8025859999999998</v>
      </c>
      <c r="R266" s="1968">
        <f>'HVAC Deemed Table'!I1699</f>
        <v>0</v>
      </c>
      <c r="S266" s="1968">
        <f>'HVAC Deemed Table'!I1700</f>
        <v>1.0137750000000001</v>
      </c>
      <c r="T266" s="1968">
        <f>'HVAC Deemed Table'!I1701</f>
        <v>0</v>
      </c>
      <c r="U266" s="1969"/>
      <c r="V266" s="1969"/>
      <c r="W266" s="1969">
        <f t="shared" ref="W266:W271" si="129">P266</f>
        <v>1.0137750000000001</v>
      </c>
      <c r="X266" s="55">
        <f>'HVAC Deemed Table'!J1698</f>
        <v>6</v>
      </c>
      <c r="Y266" s="55">
        <f>'HVAC Deemed Table'!J1700</f>
        <v>12</v>
      </c>
      <c r="Z266" s="55">
        <f t="shared" si="56"/>
        <v>18</v>
      </c>
      <c r="AA266" s="49">
        <f>'HVAC Deemed Table'!BB1698</f>
        <v>3.5836759093227708</v>
      </c>
      <c r="AB266" s="698">
        <f>'HVAC Deemed Table'!K1698</f>
        <v>2490.8675578660959</v>
      </c>
      <c r="AC266" s="2583">
        <f t="shared" si="57"/>
        <v>3835.7046714744224</v>
      </c>
      <c r="AD266" s="2583">
        <f t="shared" si="86"/>
        <v>4589.4600859001584</v>
      </c>
      <c r="AE266" s="571">
        <f>'HVAC Deemed Table'!BD1698</f>
        <v>1874.3066339469956</v>
      </c>
      <c r="AF266" s="571">
        <f>'HVAC Deemed Table'!BD1699</f>
        <v>1961.3980375274268</v>
      </c>
      <c r="AG266" s="571">
        <f>'HVAC Deemed Table'!BD1700</f>
        <v>1184.0317186670261</v>
      </c>
      <c r="AH266" s="571">
        <f>'HVAC Deemed Table'!BD1701</f>
        <v>3405.4283672331326</v>
      </c>
      <c r="AI266" s="2589" t="str">
        <f t="shared" si="116"/>
        <v>per measure</v>
      </c>
      <c r="AJ266" s="93">
        <f>'HVAC Deemed Table'!L1698</f>
        <v>3.3520972177188546</v>
      </c>
      <c r="AK266" s="1501"/>
      <c r="AL266" s="1501"/>
      <c r="AM266" s="1596">
        <f t="shared" si="71"/>
        <v>9.4741810000000004E-4</v>
      </c>
      <c r="AN266" s="84">
        <f t="shared" si="87"/>
        <v>2.8025859041530001</v>
      </c>
      <c r="AO266" s="1595">
        <f t="shared" si="72"/>
        <v>-9.5846999670357036E-8</v>
      </c>
    </row>
    <row r="267" spans="1:48" x14ac:dyDescent="0.35">
      <c r="A267" s="103" t="str">
        <f t="shared" si="55"/>
        <v>353560</v>
      </c>
      <c r="B267" s="3346" t="str">
        <f>'HVAC Deemed Table'!C1702</f>
        <v>353560_2021_12_</v>
      </c>
      <c r="C267" s="2564" t="str">
        <f>'HVAC Deemed Table'!G1702</f>
        <v>Cooling Res</v>
      </c>
      <c r="D267" s="2564" t="str">
        <f>'HVAC Deemed Table'!G1703</f>
        <v>Heating Res</v>
      </c>
      <c r="E267" s="2564" t="str">
        <f>'HVAC Deemed Table'!G1704</f>
        <v>Cooling Res ER2</v>
      </c>
      <c r="F267" s="2564" t="str">
        <f>'HVAC Deemed Table'!G1705</f>
        <v>Heating Res ER2</v>
      </c>
      <c r="G267" s="3343" t="str">
        <f>'HVAC Deemed Table'!E1702</f>
        <v>ASHP-SEER21-Replace_CAC_NonElectricHeat_ER1_SF</v>
      </c>
      <c r="H267" s="50" t="str">
        <f>'HVAC Deemed Table'!D1702</f>
        <v>SF</v>
      </c>
      <c r="I267" s="1966">
        <f t="shared" si="100"/>
        <v>2958.13</v>
      </c>
      <c r="J267" s="1966">
        <f t="shared" si="101"/>
        <v>1070.04</v>
      </c>
      <c r="K267" s="560">
        <f>'HVAC Deemed Table'!F1702</f>
        <v>2958.13</v>
      </c>
      <c r="L267" s="560">
        <f>'HVAC Deemed Table'!F1703</f>
        <v>0</v>
      </c>
      <c r="M267" s="560">
        <f>'HVAC Deemed Table'!F1704</f>
        <v>1070.04</v>
      </c>
      <c r="N267" s="560">
        <f>'HVAC Deemed Table'!F1705</f>
        <v>0</v>
      </c>
      <c r="O267" s="1967">
        <f t="shared" si="102"/>
        <v>2.8025859999999998</v>
      </c>
      <c r="P267" s="1967">
        <f t="shared" si="103"/>
        <v>1.0137750000000001</v>
      </c>
      <c r="Q267" s="1968">
        <f>'HVAC Deemed Table'!I1702</f>
        <v>2.8025859999999998</v>
      </c>
      <c r="R267" s="1968">
        <f>'HVAC Deemed Table'!I1703</f>
        <v>0</v>
      </c>
      <c r="S267" s="1968">
        <f>'HVAC Deemed Table'!I1704</f>
        <v>1.0137750000000001</v>
      </c>
      <c r="T267" s="1968">
        <f>'HVAC Deemed Table'!I1705</f>
        <v>0</v>
      </c>
      <c r="U267" s="1969"/>
      <c r="V267" s="1969"/>
      <c r="W267" s="1969">
        <f t="shared" si="129"/>
        <v>1.0137750000000001</v>
      </c>
      <c r="X267" s="55">
        <f>'HVAC Deemed Table'!J1702</f>
        <v>6</v>
      </c>
      <c r="Y267" s="55">
        <f>'HVAC Deemed Table'!J1704</f>
        <v>12</v>
      </c>
      <c r="Z267" s="55">
        <f t="shared" si="56"/>
        <v>18</v>
      </c>
      <c r="AA267" s="49">
        <f>'HVAC Deemed Table'!BB1702</f>
        <v>1.3008758632556525</v>
      </c>
      <c r="AB267" s="698">
        <f>'HVAC Deemed Table'!K1702</f>
        <v>2490.8675578660959</v>
      </c>
      <c r="AC267" s="2583">
        <f t="shared" si="57"/>
        <v>1874.3066339469956</v>
      </c>
      <c r="AD267" s="2583">
        <f t="shared" si="86"/>
        <v>1184.0317186670261</v>
      </c>
      <c r="AE267" s="571">
        <f>'HVAC Deemed Table'!BD1702</f>
        <v>1874.3066339469956</v>
      </c>
      <c r="AF267" s="571">
        <f>'HVAC Deemed Table'!BD1703</f>
        <v>0</v>
      </c>
      <c r="AG267" s="571">
        <f>'HVAC Deemed Table'!BD1704</f>
        <v>1184.0317186670261</v>
      </c>
      <c r="AH267" s="571">
        <f>'HVAC Deemed Table'!BD1705</f>
        <v>0</v>
      </c>
      <c r="AI267" s="2589" t="str">
        <f t="shared" si="116"/>
        <v>per measure</v>
      </c>
      <c r="AJ267" s="93">
        <f>'HVAC Deemed Table'!L1702</f>
        <v>3.3520972177188546</v>
      </c>
      <c r="AK267" s="2610"/>
      <c r="AL267" s="2610"/>
      <c r="AM267" s="1961">
        <f t="shared" si="71"/>
        <v>9.4741810000000004E-4</v>
      </c>
      <c r="AN267" s="84">
        <f t="shared" si="87"/>
        <v>2.8025859041530001</v>
      </c>
      <c r="AO267" s="1965">
        <f t="shared" si="72"/>
        <v>-9.5846999670357036E-8</v>
      </c>
      <c r="AP267" s="84"/>
      <c r="AQ267" s="84"/>
      <c r="AR267" s="84"/>
      <c r="AS267" s="84"/>
      <c r="AT267" s="84"/>
      <c r="AU267" s="84"/>
      <c r="AV267" s="84"/>
    </row>
    <row r="268" spans="1:48" s="84" customFormat="1" x14ac:dyDescent="0.35">
      <c r="A268" s="103" t="str">
        <f t="shared" si="55"/>
        <v>353600</v>
      </c>
      <c r="B268" s="3346" t="str">
        <f>'HVAC Deemed Table'!C1706</f>
        <v>353600_2019_12_</v>
      </c>
      <c r="C268" s="2564" t="str">
        <f>'HVAC Deemed Table'!G1706</f>
        <v>Cooling Res</v>
      </c>
      <c r="D268" s="2564" t="str">
        <f>'HVAC Deemed Table'!G1707</f>
        <v>Heating Res</v>
      </c>
      <c r="E268" s="2564" t="str">
        <f>'HVAC Deemed Table'!G1708</f>
        <v>Cooling Res ER2</v>
      </c>
      <c r="F268" s="2564" t="str">
        <f>'HVAC Deemed Table'!G1709</f>
        <v>Heating Res ER2</v>
      </c>
      <c r="G268" s="3343" t="str">
        <f>'HVAC Deemed Table'!E1706</f>
        <v>ASHP-SEER21-Replace_CAC_ElectricHeat_ER1_MF</v>
      </c>
      <c r="H268" s="50" t="str">
        <f>'HVAC Deemed Table'!D1706</f>
        <v>MF</v>
      </c>
      <c r="I268" s="1966">
        <f t="shared" si="100"/>
        <v>8281.69</v>
      </c>
      <c r="J268" s="1966">
        <f t="shared" si="101"/>
        <v>7375.53</v>
      </c>
      <c r="K268" s="560">
        <f>'HVAC Deemed Table'!F1706</f>
        <v>1521.91</v>
      </c>
      <c r="L268" s="560">
        <f>'HVAC Deemed Table'!F1707</f>
        <v>6759.78</v>
      </c>
      <c r="M268" s="560">
        <f>'HVAC Deemed Table'!F1708</f>
        <v>615.75</v>
      </c>
      <c r="N268" s="560">
        <f>'HVAC Deemed Table'!F1709</f>
        <v>6759.78</v>
      </c>
      <c r="O268" s="1967">
        <f t="shared" si="102"/>
        <v>1.4418850000000001</v>
      </c>
      <c r="P268" s="1967">
        <f t="shared" si="103"/>
        <v>0.58337300000000003</v>
      </c>
      <c r="Q268" s="1968">
        <f>'HVAC Deemed Table'!I1706</f>
        <v>1.4418850000000001</v>
      </c>
      <c r="R268" s="1968">
        <f>'HVAC Deemed Table'!I1707</f>
        <v>0</v>
      </c>
      <c r="S268" s="1968">
        <f>'HVAC Deemed Table'!I1708</f>
        <v>0.58337300000000003</v>
      </c>
      <c r="T268" s="1968">
        <f>'HVAC Deemed Table'!I1709</f>
        <v>0</v>
      </c>
      <c r="U268" s="1969"/>
      <c r="V268" s="1969"/>
      <c r="W268" s="1969">
        <f t="shared" si="129"/>
        <v>0.58337300000000003</v>
      </c>
      <c r="X268" s="55">
        <f>'HVAC Deemed Table'!J1706</f>
        <v>6</v>
      </c>
      <c r="Y268" s="55">
        <f>'HVAC Deemed Table'!J1708</f>
        <v>12</v>
      </c>
      <c r="Z268" s="55">
        <f t="shared" si="56"/>
        <v>18</v>
      </c>
      <c r="AA268" s="49">
        <f>'HVAC Deemed Table'!BB1706</f>
        <v>2.2735217210052165</v>
      </c>
      <c r="AB268" s="698">
        <f>'HVAC Deemed Table'!K1706</f>
        <v>2171.3844012161662</v>
      </c>
      <c r="AC268" s="2583">
        <f t="shared" si="57"/>
        <v>2065.7470090714551</v>
      </c>
      <c r="AD268" s="2583">
        <f t="shared" si="86"/>
        <v>2593.7051861308664</v>
      </c>
      <c r="AE268" s="571">
        <f>'HVAC Deemed Table'!BD1706</f>
        <v>964.30042265562088</v>
      </c>
      <c r="AF268" s="571">
        <f>'HVAC Deemed Table'!BD1707</f>
        <v>1101.4465864158344</v>
      </c>
      <c r="AG268" s="571">
        <f>'HVAC Deemed Table'!BD1708</f>
        <v>681.34605320289097</v>
      </c>
      <c r="AH268" s="571">
        <f>'HVAC Deemed Table'!BD1709</f>
        <v>1912.3591329279755</v>
      </c>
      <c r="AI268" s="2589" t="str">
        <f t="shared" si="116"/>
        <v>per measure</v>
      </c>
      <c r="AJ268" s="93">
        <f>'HVAC Deemed Table'!L1706</f>
        <v>3.1</v>
      </c>
      <c r="AK268" s="1501"/>
      <c r="AL268" s="1501"/>
      <c r="AM268" s="1596">
        <f t="shared" si="71"/>
        <v>9.4741810000000004E-4</v>
      </c>
      <c r="AN268" s="84">
        <f t="shared" si="87"/>
        <v>1.4418850805710002</v>
      </c>
      <c r="AO268" s="1595">
        <f t="shared" si="72"/>
        <v>8.0571000093954126E-8</v>
      </c>
      <c r="AP268"/>
      <c r="AQ268"/>
      <c r="AR268"/>
      <c r="AS268"/>
      <c r="AT268"/>
      <c r="AU268"/>
      <c r="AV268"/>
    </row>
    <row r="269" spans="1:48" s="84" customFormat="1" x14ac:dyDescent="0.35">
      <c r="A269" s="103" t="str">
        <f t="shared" si="55"/>
        <v>353601</v>
      </c>
      <c r="B269" s="3346" t="str">
        <f>'HVAC Deemed Table'!C1710</f>
        <v>353601_2019_12_</v>
      </c>
      <c r="C269" s="2564" t="str">
        <f>'HVAC Deemed Table'!G1710</f>
        <v>Cooling Res</v>
      </c>
      <c r="D269" s="2564" t="str">
        <f>'HVAC Deemed Table'!G1711</f>
        <v>Heating Res</v>
      </c>
      <c r="E269" s="2564" t="str">
        <f>'HVAC Deemed Table'!G1712</f>
        <v>Cooling Res ER2</v>
      </c>
      <c r="F269" s="2564" t="str">
        <f>'HVAC Deemed Table'!G1713</f>
        <v>Heating Res ER2</v>
      </c>
      <c r="G269" s="3343" t="str">
        <f>'HVAC Deemed Table'!E1710</f>
        <v>ASHP-SEER21-Replace_CAC_ElectricHeat_ER1_MF_CompE</v>
      </c>
      <c r="H269" s="50" t="str">
        <f>'HVAC Deemed Table'!D1710</f>
        <v>MFc</v>
      </c>
      <c r="I269" s="1966">
        <f t="shared" si="100"/>
        <v>3411.3099999999995</v>
      </c>
      <c r="J269" s="1966">
        <f t="shared" si="101"/>
        <v>2752.29</v>
      </c>
      <c r="K269" s="560">
        <f>'HVAC Deemed Table'!F1710</f>
        <v>1106.8399999999999</v>
      </c>
      <c r="L269" s="560">
        <f>'HVAC Deemed Table'!F1711</f>
        <v>2304.4699999999998</v>
      </c>
      <c r="M269" s="560">
        <f>'HVAC Deemed Table'!F1712</f>
        <v>447.82</v>
      </c>
      <c r="N269" s="560">
        <f>'HVAC Deemed Table'!F1713</f>
        <v>2304.4699999999998</v>
      </c>
      <c r="O269" s="1967">
        <f t="shared" si="102"/>
        <v>1.04864</v>
      </c>
      <c r="P269" s="1967">
        <f t="shared" si="103"/>
        <v>0.42427300000000001</v>
      </c>
      <c r="Q269" s="1968">
        <f>'HVAC Deemed Table'!I1710</f>
        <v>1.04864</v>
      </c>
      <c r="R269" s="1968">
        <f>'HVAC Deemed Table'!I1711</f>
        <v>0</v>
      </c>
      <c r="S269" s="1968">
        <f>'HVAC Deemed Table'!I1712</f>
        <v>0.42427300000000001</v>
      </c>
      <c r="T269" s="1968">
        <f>'HVAC Deemed Table'!I1713</f>
        <v>0</v>
      </c>
      <c r="U269" s="1969"/>
      <c r="V269" s="1969"/>
      <c r="W269" s="1969">
        <f t="shared" si="129"/>
        <v>0.42427300000000001</v>
      </c>
      <c r="X269" s="55">
        <f>'HVAC Deemed Table'!J1710</f>
        <v>6</v>
      </c>
      <c r="Y269" s="55">
        <f>'HVAC Deemed Table'!J1712</f>
        <v>12</v>
      </c>
      <c r="Z269" s="55">
        <f t="shared" si="56"/>
        <v>18</v>
      </c>
      <c r="AA269" s="49">
        <f>'HVAC Deemed Table'!BB1710</f>
        <v>1.0853034420457952</v>
      </c>
      <c r="AB269" s="698">
        <f>'HVAC Deemed Table'!K1710</f>
        <v>2171.3844012161662</v>
      </c>
      <c r="AC269" s="2583">
        <f t="shared" si="57"/>
        <v>1076.8001746471664</v>
      </c>
      <c r="AD269" s="2583">
        <f t="shared" si="86"/>
        <v>1147.466899108806</v>
      </c>
      <c r="AE269" s="571">
        <f>'HVAC Deemed Table'!BD1710</f>
        <v>701.30709425139946</v>
      </c>
      <c r="AF269" s="571">
        <f>'HVAC Deemed Table'!BD1711</f>
        <v>375.49308039576698</v>
      </c>
      <c r="AG269" s="571">
        <f>'HVAC Deemed Table'!BD1712</f>
        <v>495.52641420270987</v>
      </c>
      <c r="AH269" s="571">
        <f>'HVAC Deemed Table'!BD1713</f>
        <v>651.94048490609623</v>
      </c>
      <c r="AI269" s="2589" t="str">
        <f t="shared" si="116"/>
        <v>per measure</v>
      </c>
      <c r="AJ269" s="93">
        <f>'HVAC Deemed Table'!L1710</f>
        <v>3.1</v>
      </c>
      <c r="AK269" s="1501"/>
      <c r="AL269" s="1501"/>
      <c r="AM269" s="1596">
        <f t="shared" si="71"/>
        <v>9.4741810000000004E-4</v>
      </c>
      <c r="AN269" s="84">
        <f t="shared" si="87"/>
        <v>1.0486402498039999</v>
      </c>
      <c r="AO269" s="1500">
        <f t="shared" si="72"/>
        <v>2.4980399992990954E-7</v>
      </c>
      <c r="AP269" s="144">
        <f>AO269/O269</f>
        <v>2.3821711924960857E-7</v>
      </c>
      <c r="AQ269"/>
      <c r="AR269"/>
      <c r="AS269"/>
      <c r="AT269"/>
      <c r="AU269"/>
      <c r="AV269"/>
    </row>
    <row r="270" spans="1:48" x14ac:dyDescent="0.35">
      <c r="A270" s="103" t="str">
        <f t="shared" ref="A270:A333" si="130">LEFT(B270,6)</f>
        <v>353610</v>
      </c>
      <c r="B270" s="3346" t="str">
        <f>'HVAC Deemed Table'!C1714</f>
        <v>353610_2021_12_</v>
      </c>
      <c r="C270" s="2564" t="str">
        <f>'HVAC Deemed Table'!G1714</f>
        <v>Cooling Res</v>
      </c>
      <c r="D270" s="2564" t="str">
        <f>'HVAC Deemed Table'!G1715</f>
        <v>Heating Res</v>
      </c>
      <c r="E270" s="2564" t="str">
        <f>'HVAC Deemed Table'!G1716</f>
        <v>Cooling Res ER2</v>
      </c>
      <c r="F270" s="2564" t="str">
        <f>'HVAC Deemed Table'!G1717</f>
        <v>Heating Res ER2</v>
      </c>
      <c r="G270" s="3343" t="str">
        <f>'HVAC Deemed Table'!E1714</f>
        <v>ASHP-SEER21-Replace_CAC_NonElectricHeat_ER1_MF</v>
      </c>
      <c r="H270" s="50" t="str">
        <f>'HVAC Deemed Table'!D1714</f>
        <v>MF</v>
      </c>
      <c r="I270" s="1966">
        <f t="shared" si="100"/>
        <v>1521.91</v>
      </c>
      <c r="J270" s="1966">
        <f t="shared" si="101"/>
        <v>615.75</v>
      </c>
      <c r="K270" s="560">
        <f>'HVAC Deemed Table'!F1714</f>
        <v>1521.91</v>
      </c>
      <c r="L270" s="560">
        <f>'HVAC Deemed Table'!F1715</f>
        <v>0</v>
      </c>
      <c r="M270" s="560">
        <f>'HVAC Deemed Table'!F1716</f>
        <v>615.75</v>
      </c>
      <c r="N270" s="560">
        <f>'HVAC Deemed Table'!F1717</f>
        <v>0</v>
      </c>
      <c r="O270" s="1967">
        <f t="shared" si="102"/>
        <v>1.4418850000000001</v>
      </c>
      <c r="P270" s="1967">
        <f t="shared" si="103"/>
        <v>0.58337300000000003</v>
      </c>
      <c r="Q270" s="1968">
        <f>'HVAC Deemed Table'!I1714</f>
        <v>1.4418850000000001</v>
      </c>
      <c r="R270" s="1968">
        <f>'HVAC Deemed Table'!I1715</f>
        <v>0</v>
      </c>
      <c r="S270" s="1968">
        <f>'HVAC Deemed Table'!I1716</f>
        <v>0.58337300000000003</v>
      </c>
      <c r="T270" s="1968">
        <f>'HVAC Deemed Table'!I1717</f>
        <v>0</v>
      </c>
      <c r="U270" s="1969"/>
      <c r="V270" s="1969"/>
      <c r="W270" s="1969">
        <f t="shared" si="129"/>
        <v>0.58337300000000003</v>
      </c>
      <c r="X270" s="55">
        <f>'HVAC Deemed Table'!J1714</f>
        <v>6</v>
      </c>
      <c r="Y270" s="55">
        <f>'HVAC Deemed Table'!J1716</f>
        <v>12</v>
      </c>
      <c r="Z270" s="55">
        <f t="shared" ref="Z270:Z333" si="131">Y270+X270</f>
        <v>18</v>
      </c>
      <c r="AA270" s="49">
        <f>'HVAC Deemed Table'!BB1714</f>
        <v>0.80297272108777473</v>
      </c>
      <c r="AB270" s="698">
        <f>'HVAC Deemed Table'!K1714</f>
        <v>2171.3844012161662</v>
      </c>
      <c r="AC270" s="2583">
        <f t="shared" ref="AC270:AC333" si="132">AE270+AF270</f>
        <v>964.30042265562088</v>
      </c>
      <c r="AD270" s="2583">
        <f t="shared" si="86"/>
        <v>681.34605320289097</v>
      </c>
      <c r="AE270" s="571">
        <f>'HVAC Deemed Table'!BD1714</f>
        <v>964.30042265562088</v>
      </c>
      <c r="AF270" s="571">
        <f>'HVAC Deemed Table'!BD1715</f>
        <v>0</v>
      </c>
      <c r="AG270" s="571">
        <f>'HVAC Deemed Table'!BD1716</f>
        <v>681.34605320289097</v>
      </c>
      <c r="AH270" s="571">
        <f>'HVAC Deemed Table'!BD1717</f>
        <v>0</v>
      </c>
      <c r="AI270" s="2589" t="str">
        <f t="shared" si="116"/>
        <v>per measure</v>
      </c>
      <c r="AJ270" s="93">
        <f>'HVAC Deemed Table'!L1714</f>
        <v>3.1</v>
      </c>
      <c r="AK270" s="2610"/>
      <c r="AL270" s="2610"/>
      <c r="AM270" s="1961">
        <f t="shared" si="71"/>
        <v>9.4741810000000004E-4</v>
      </c>
      <c r="AN270" s="84">
        <f t="shared" si="87"/>
        <v>1.4418850805710002</v>
      </c>
      <c r="AO270" s="2611">
        <f t="shared" si="72"/>
        <v>8.0571000093954126E-8</v>
      </c>
      <c r="AP270" s="1779">
        <f>AO270/O270</f>
        <v>5.587893631874534E-8</v>
      </c>
      <c r="AQ270" s="84"/>
      <c r="AR270" s="84"/>
      <c r="AS270" s="84"/>
      <c r="AT270" s="84"/>
      <c r="AU270" s="84"/>
      <c r="AV270" s="84"/>
    </row>
    <row r="271" spans="1:48" x14ac:dyDescent="0.35">
      <c r="A271" s="103" t="str">
        <f t="shared" si="130"/>
        <v>353611</v>
      </c>
      <c r="B271" s="3346" t="str">
        <f>'HVAC Deemed Table'!C1718</f>
        <v>353611_2021_12_</v>
      </c>
      <c r="C271" s="2564" t="str">
        <f>'HVAC Deemed Table'!G1718</f>
        <v>Cooling Res</v>
      </c>
      <c r="D271" s="2564" t="str">
        <f>'HVAC Deemed Table'!G1719</f>
        <v>Heating Res</v>
      </c>
      <c r="E271" s="2564" t="str">
        <f>'HVAC Deemed Table'!G1720</f>
        <v>Cooling Res ER2</v>
      </c>
      <c r="F271" s="2564" t="str">
        <f>'HVAC Deemed Table'!G1721</f>
        <v>Heating Res ER2</v>
      </c>
      <c r="G271" s="3343" t="str">
        <f>'HVAC Deemed Table'!E1718</f>
        <v>ASHP-SEER21-Replace_CAC_NonElectricHeat_ER1_MF_CompE</v>
      </c>
      <c r="H271" s="50" t="str">
        <f>'HVAC Deemed Table'!D1718</f>
        <v>MFc</v>
      </c>
      <c r="I271" s="1966">
        <f t="shared" si="100"/>
        <v>1106.8399999999999</v>
      </c>
      <c r="J271" s="1966">
        <f t="shared" si="101"/>
        <v>447.82</v>
      </c>
      <c r="K271" s="560">
        <f>'HVAC Deemed Table'!F1718</f>
        <v>1106.8399999999999</v>
      </c>
      <c r="L271" s="560">
        <f>'HVAC Deemed Table'!F1719</f>
        <v>0</v>
      </c>
      <c r="M271" s="560">
        <f>'HVAC Deemed Table'!F1720</f>
        <v>447.82</v>
      </c>
      <c r="N271" s="560">
        <f>'HVAC Deemed Table'!F1721</f>
        <v>0</v>
      </c>
      <c r="O271" s="1967">
        <f t="shared" si="102"/>
        <v>1.04864</v>
      </c>
      <c r="P271" s="1967">
        <f t="shared" si="103"/>
        <v>0.42427300000000001</v>
      </c>
      <c r="Q271" s="1968">
        <f>'HVAC Deemed Table'!I1718</f>
        <v>1.04864</v>
      </c>
      <c r="R271" s="1968">
        <f>'HVAC Deemed Table'!I1719</f>
        <v>0</v>
      </c>
      <c r="S271" s="1968">
        <f>'HVAC Deemed Table'!I1720</f>
        <v>0.42427300000000001</v>
      </c>
      <c r="T271" s="1968">
        <f>'HVAC Deemed Table'!I1721</f>
        <v>0</v>
      </c>
      <c r="U271" s="1969"/>
      <c r="V271" s="1969"/>
      <c r="W271" s="1969">
        <f t="shared" si="129"/>
        <v>0.42427300000000001</v>
      </c>
      <c r="X271" s="55">
        <f>'HVAC Deemed Table'!J1718</f>
        <v>6</v>
      </c>
      <c r="Y271" s="55">
        <f>'HVAC Deemed Table'!J1720</f>
        <v>12</v>
      </c>
      <c r="Z271" s="55">
        <f t="shared" si="131"/>
        <v>18</v>
      </c>
      <c r="AA271" s="49">
        <f>'HVAC Deemed Table'!BB1718</f>
        <v>0.58398001823026457</v>
      </c>
      <c r="AB271" s="698">
        <f>'HVAC Deemed Table'!K1718</f>
        <v>2171.3844012161662</v>
      </c>
      <c r="AC271" s="2583">
        <f t="shared" si="132"/>
        <v>701.30709425139946</v>
      </c>
      <c r="AD271" s="2583">
        <f t="shared" si="86"/>
        <v>495.52641420270987</v>
      </c>
      <c r="AE271" s="571">
        <f>'HVAC Deemed Table'!BD1718</f>
        <v>701.30709425139946</v>
      </c>
      <c r="AF271" s="571">
        <f>'HVAC Deemed Table'!BD1719</f>
        <v>0</v>
      </c>
      <c r="AG271" s="571">
        <f>'HVAC Deemed Table'!BD1720</f>
        <v>495.52641420270987</v>
      </c>
      <c r="AH271" s="571">
        <f>'HVAC Deemed Table'!BD1721</f>
        <v>0</v>
      </c>
      <c r="AI271" s="2589" t="str">
        <f t="shared" si="116"/>
        <v>per measure</v>
      </c>
      <c r="AJ271" s="93">
        <f>'HVAC Deemed Table'!L1718</f>
        <v>3.1</v>
      </c>
      <c r="AK271" s="2610"/>
      <c r="AL271" s="2610"/>
      <c r="AM271" s="1961">
        <f t="shared" si="71"/>
        <v>9.4741810000000004E-4</v>
      </c>
      <c r="AN271" s="84">
        <f t="shared" si="87"/>
        <v>1.0486402498039999</v>
      </c>
      <c r="AO271" s="2611">
        <f t="shared" si="72"/>
        <v>2.4980399992990954E-7</v>
      </c>
      <c r="AP271" s="1779">
        <f>AO271/O271</f>
        <v>2.3821711924960857E-7</v>
      </c>
      <c r="AQ271" s="84"/>
      <c r="AR271" s="84"/>
      <c r="AS271" s="84"/>
      <c r="AT271" s="84"/>
      <c r="AU271" s="84"/>
      <c r="AV271" s="84"/>
    </row>
    <row r="272" spans="1:48" x14ac:dyDescent="0.35">
      <c r="A272" s="103" t="str">
        <f t="shared" si="130"/>
        <v>353650</v>
      </c>
      <c r="B272" s="3346" t="str">
        <f>'HVAC Deemed Table'!C1722</f>
        <v>353650_2021_12_</v>
      </c>
      <c r="C272" s="2564" t="str">
        <f>'HVAC Deemed Table'!G1722</f>
        <v>Cooling Res</v>
      </c>
      <c r="D272" s="2564" t="str">
        <f>'HVAC Deemed Table'!G1723</f>
        <v>Heating Res</v>
      </c>
      <c r="E272" s="3343"/>
      <c r="F272" s="3343"/>
      <c r="G272" s="3343" t="str">
        <f>'HVAC Deemed Table'!E1722</f>
        <v>ASHP-SEER21-Replace_CAC_ElectricHeat_ROF_SF</v>
      </c>
      <c r="H272" s="50" t="str">
        <f>'HVAC Deemed Table'!D1722</f>
        <v>SF</v>
      </c>
      <c r="I272" s="1966">
        <f t="shared" si="100"/>
        <v>13731.949999999999</v>
      </c>
      <c r="J272" s="1966">
        <f t="shared" si="101"/>
        <v>0</v>
      </c>
      <c r="K272" s="560">
        <f>'HVAC Deemed Table'!F1722</f>
        <v>1127.3</v>
      </c>
      <c r="L272" s="560">
        <f>'HVAC Deemed Table'!F1723</f>
        <v>12604.65</v>
      </c>
      <c r="M272" s="560"/>
      <c r="N272" s="560"/>
      <c r="O272" s="1967">
        <f t="shared" si="102"/>
        <v>1.0680240000000001</v>
      </c>
      <c r="P272" s="1967">
        <f t="shared" si="103"/>
        <v>0</v>
      </c>
      <c r="Q272" s="1968">
        <f>'HVAC Deemed Table'!I1722</f>
        <v>1.0680240000000001</v>
      </c>
      <c r="R272" s="1968">
        <f>'HVAC Deemed Table'!I1723</f>
        <v>0</v>
      </c>
      <c r="S272" s="1968"/>
      <c r="T272" s="1968"/>
      <c r="U272" s="1969"/>
      <c r="V272" s="1969"/>
      <c r="W272" s="1969">
        <f t="shared" ref="W272:W277" si="133">O272</f>
        <v>1.0680240000000001</v>
      </c>
      <c r="X272" s="55">
        <f>'HVAC Deemed Table'!J1722</f>
        <v>18</v>
      </c>
      <c r="Y272" s="55"/>
      <c r="Z272" s="55">
        <f t="shared" si="131"/>
        <v>18</v>
      </c>
      <c r="AA272" s="49">
        <f>'HVAC Deemed Table'!BB1722</f>
        <v>4.7531459697227643</v>
      </c>
      <c r="AB272" s="698">
        <f>'HVAC Deemed Table'!K1722</f>
        <v>1689.9245999999991</v>
      </c>
      <c r="AC272" s="2583">
        <f t="shared" si="132"/>
        <v>7581.3669670838599</v>
      </c>
      <c r="AD272" s="2583">
        <f t="shared" si="86"/>
        <v>0</v>
      </c>
      <c r="AE272" s="571">
        <f>'HVAC Deemed Table'!BD1722</f>
        <v>1961.6624411485554</v>
      </c>
      <c r="AF272" s="571">
        <f>'HVAC Deemed Table'!BD1723</f>
        <v>5619.7045259353044</v>
      </c>
      <c r="AG272" s="571"/>
      <c r="AH272" s="571"/>
      <c r="AI272" s="2589" t="str">
        <f t="shared" si="116"/>
        <v>per measure</v>
      </c>
      <c r="AJ272" s="93">
        <f>'HVAC Deemed Table'!L1722</f>
        <v>3.4699494950520831</v>
      </c>
      <c r="AK272" s="1501"/>
      <c r="AL272" s="1501"/>
      <c r="AM272" s="1596">
        <f t="shared" si="71"/>
        <v>9.4741810000000004E-4</v>
      </c>
      <c r="AN272" s="84">
        <f t="shared" si="87"/>
        <v>1.0680244241300001</v>
      </c>
      <c r="AO272" s="1595">
        <f t="shared" si="72"/>
        <v>4.2413000000962597E-7</v>
      </c>
    </row>
    <row r="273" spans="1:48" s="84" customFormat="1" x14ac:dyDescent="0.35">
      <c r="A273" s="1618" t="str">
        <f t="shared" ref="A273" si="134">LEFT(B273,6)</f>
        <v>353660</v>
      </c>
      <c r="B273" s="1590" t="str">
        <f>'HVAC Deemed Table'!C1724</f>
        <v>353660_2022_12_</v>
      </c>
      <c r="C273" s="2609" t="str">
        <f>'HVAC Deemed Table'!G1724</f>
        <v>Cooling Res</v>
      </c>
      <c r="D273" s="2609" t="str">
        <f>'HVAC Deemed Table'!G1725</f>
        <v>Heating Res</v>
      </c>
      <c r="E273" s="1589"/>
      <c r="F273" s="1589"/>
      <c r="G273" s="1589" t="str">
        <f>'HVAC Deemed Table'!E1724</f>
        <v>ASHP-SEER21-Replace_CAC_NonElectricHeat_ROF_SF</v>
      </c>
      <c r="H273" s="1599" t="str">
        <f>'HVAC Deemed Table'!D1724</f>
        <v>SF</v>
      </c>
      <c r="I273" s="1597">
        <f t="shared" ref="I273" si="135">K273+L273</f>
        <v>1127.3</v>
      </c>
      <c r="J273" s="1597">
        <f t="shared" ref="J273" si="136">M273+N273</f>
        <v>0</v>
      </c>
      <c r="K273" s="1591">
        <f>'HVAC Deemed Table'!F1724</f>
        <v>1127.3</v>
      </c>
      <c r="L273" s="1591">
        <f>'HVAC Deemed Table'!F1725</f>
        <v>0</v>
      </c>
      <c r="M273" s="1591"/>
      <c r="N273" s="1591"/>
      <c r="O273" s="1598">
        <f t="shared" ref="O273" si="137">Q273+R273</f>
        <v>1.0680240000000001</v>
      </c>
      <c r="P273" s="1598">
        <f t="shared" ref="P273" si="138">S273+T273</f>
        <v>0</v>
      </c>
      <c r="Q273" s="1600">
        <f>'HVAC Deemed Table'!I1724</f>
        <v>1.0680240000000001</v>
      </c>
      <c r="R273" s="1600">
        <f>'HVAC Deemed Table'!I1725</f>
        <v>0</v>
      </c>
      <c r="S273" s="1600"/>
      <c r="T273" s="1600"/>
      <c r="U273" s="1569"/>
      <c r="V273" s="1569"/>
      <c r="W273" s="1569">
        <f t="shared" si="133"/>
        <v>1.0680240000000001</v>
      </c>
      <c r="X273" s="1583">
        <f>'HVAC Deemed Table'!J1724</f>
        <v>18</v>
      </c>
      <c r="Y273" s="1583"/>
      <c r="Z273" s="1583">
        <f t="shared" ref="Z273" si="139">Y273+X273</f>
        <v>18</v>
      </c>
      <c r="AA273" s="1959">
        <f>'HVAC Deemed Table'!BB1724</f>
        <v>1.2298663244483783</v>
      </c>
      <c r="AB273" s="1671">
        <f>'HVAC Deemed Table'!K1724</f>
        <v>1689.9245999999991</v>
      </c>
      <c r="AC273" s="1964">
        <f t="shared" ref="AC273" si="140">AE273+AF273</f>
        <v>1961.6624411485554</v>
      </c>
      <c r="AD273" s="1964">
        <f t="shared" ref="AD273" si="141">AG273+AH273</f>
        <v>0</v>
      </c>
      <c r="AE273" s="1604">
        <f>'HVAC Deemed Table'!BD1724</f>
        <v>1961.6624411485554</v>
      </c>
      <c r="AF273" s="1604">
        <f>'HVAC Deemed Table'!BD1725</f>
        <v>0</v>
      </c>
      <c r="AG273" s="1604"/>
      <c r="AH273" s="1604"/>
      <c r="AI273" s="3366" t="str">
        <f t="shared" si="116"/>
        <v>per measure</v>
      </c>
      <c r="AJ273" s="96">
        <f>'HVAC Deemed Table'!L1724</f>
        <v>3.4699494950520831</v>
      </c>
      <c r="AK273" s="2610"/>
      <c r="AL273" s="2610"/>
      <c r="AM273" s="1961">
        <f t="shared" ref="AM273" si="142">VLOOKUP(C273,$AS$10:$AT$33,2,FALSE)</f>
        <v>9.4741810000000004E-4</v>
      </c>
      <c r="AN273" s="84">
        <f t="shared" ref="AN273" si="143">AM273*K273</f>
        <v>1.0680244241300001</v>
      </c>
      <c r="AO273" s="1965">
        <f t="shared" ref="AO273" si="144">AN273-O273</f>
        <v>4.2413000000962597E-7</v>
      </c>
    </row>
    <row r="274" spans="1:48" s="84" customFormat="1" x14ac:dyDescent="0.35">
      <c r="A274" s="103" t="str">
        <f t="shared" si="130"/>
        <v>353700</v>
      </c>
      <c r="B274" s="3346" t="str">
        <f>'HVAC Deemed Table'!C1726</f>
        <v>353700_2019_12_</v>
      </c>
      <c r="C274" s="2564" t="str">
        <f>'HVAC Deemed Table'!G1726</f>
        <v>Cooling Res</v>
      </c>
      <c r="D274" s="2564" t="str">
        <f>'HVAC Deemed Table'!G1727</f>
        <v>Heating Res</v>
      </c>
      <c r="E274" s="3343"/>
      <c r="F274" s="3343"/>
      <c r="G274" s="3343" t="str">
        <f>'HVAC Deemed Table'!E1726</f>
        <v>ASHP-SEER21+-Replace_CAC_ElectricHeat_ROF_MF</v>
      </c>
      <c r="H274" s="50" t="str">
        <f>'HVAC Deemed Table'!D1726</f>
        <v>MF</v>
      </c>
      <c r="I274" s="1966">
        <f t="shared" si="100"/>
        <v>7736.2999999999993</v>
      </c>
      <c r="J274" s="1966">
        <f t="shared" si="101"/>
        <v>0</v>
      </c>
      <c r="K274" s="560">
        <f>'HVAC Deemed Table'!F1726</f>
        <v>635.61</v>
      </c>
      <c r="L274" s="560">
        <f>'HVAC Deemed Table'!F1727</f>
        <v>7100.69</v>
      </c>
      <c r="M274" s="560"/>
      <c r="N274" s="560"/>
      <c r="O274" s="1967">
        <f t="shared" si="102"/>
        <v>0.60218799999999995</v>
      </c>
      <c r="P274" s="1967">
        <f t="shared" si="103"/>
        <v>0</v>
      </c>
      <c r="Q274" s="1968">
        <f>'HVAC Deemed Table'!I1726</f>
        <v>0.60218799999999995</v>
      </c>
      <c r="R274" s="1968">
        <f>'HVAC Deemed Table'!I1727</f>
        <v>0</v>
      </c>
      <c r="S274" s="1968"/>
      <c r="T274" s="1968"/>
      <c r="U274" s="1969"/>
      <c r="V274" s="1969"/>
      <c r="W274" s="1969">
        <f t="shared" si="133"/>
        <v>0.60218799999999995</v>
      </c>
      <c r="X274" s="55">
        <f>'HVAC Deemed Table'!J1726</f>
        <v>18</v>
      </c>
      <c r="Y274" s="55"/>
      <c r="Z274" s="55">
        <f t="shared" si="131"/>
        <v>18</v>
      </c>
      <c r="AA274" s="49">
        <f>'HVAC Deemed Table'!BB1726</f>
        <v>2.6782409479277414</v>
      </c>
      <c r="AB274" s="698">
        <f>'HVAC Deemed Table'!K1726</f>
        <v>1689.9245999999991</v>
      </c>
      <c r="AC274" s="2583">
        <f t="shared" si="132"/>
        <v>4271.8501770933517</v>
      </c>
      <c r="AD274" s="2583">
        <f t="shared" si="86"/>
        <v>0</v>
      </c>
      <c r="AE274" s="571">
        <f>'HVAC Deemed Table'!BD1726</f>
        <v>1106.0518621648482</v>
      </c>
      <c r="AF274" s="571">
        <f>'HVAC Deemed Table'!BD1727</f>
        <v>3165.7983149285033</v>
      </c>
      <c r="AG274" s="571"/>
      <c r="AH274" s="571"/>
      <c r="AI274" s="2589" t="str">
        <f t="shared" si="116"/>
        <v>per measure</v>
      </c>
      <c r="AJ274" s="93">
        <f>'HVAC Deemed Table'!L1726</f>
        <v>3.2</v>
      </c>
      <c r="AK274" s="1501"/>
      <c r="AL274" s="1501"/>
      <c r="AM274" s="1596">
        <f t="shared" si="71"/>
        <v>9.4741810000000004E-4</v>
      </c>
      <c r="AN274" s="84">
        <f t="shared" si="87"/>
        <v>0.60218841854100003</v>
      </c>
      <c r="AO274" s="1595">
        <f t="shared" si="72"/>
        <v>4.1854100008009709E-7</v>
      </c>
      <c r="AP274"/>
      <c r="AQ274"/>
      <c r="AR274"/>
      <c r="AS274"/>
      <c r="AT274"/>
      <c r="AU274"/>
      <c r="AV274"/>
    </row>
    <row r="275" spans="1:48" s="84" customFormat="1" x14ac:dyDescent="0.35">
      <c r="A275" s="103" t="str">
        <f t="shared" si="130"/>
        <v>353701</v>
      </c>
      <c r="B275" s="3346" t="str">
        <f>'HVAC Deemed Table'!C1728</f>
        <v>353701_2019_12_</v>
      </c>
      <c r="C275" s="2564" t="str">
        <f>'HVAC Deemed Table'!G1728</f>
        <v>Cooling Res</v>
      </c>
      <c r="D275" s="2564" t="str">
        <f>'HVAC Deemed Table'!G1729</f>
        <v>Heating Res</v>
      </c>
      <c r="E275" s="3343"/>
      <c r="F275" s="3343"/>
      <c r="G275" s="3343" t="str">
        <f>'HVAC Deemed Table'!E1728</f>
        <v>ASHP-SEER21+-Replace_CAC_ElectricHeat_ROF_MF_CompE</v>
      </c>
      <c r="H275" s="50" t="str">
        <f>'HVAC Deemed Table'!D1728</f>
        <v>MFc</v>
      </c>
      <c r="I275" s="1966">
        <f t="shared" si="100"/>
        <v>2882.95</v>
      </c>
      <c r="J275" s="1966">
        <f t="shared" si="101"/>
        <v>0</v>
      </c>
      <c r="K275" s="560">
        <f>'HVAC Deemed Table'!F1728</f>
        <v>462.26</v>
      </c>
      <c r="L275" s="560">
        <f>'HVAC Deemed Table'!F1729</f>
        <v>2420.69</v>
      </c>
      <c r="M275" s="560"/>
      <c r="N275" s="560"/>
      <c r="O275" s="1967">
        <f t="shared" si="102"/>
        <v>0.43795299999999998</v>
      </c>
      <c r="P275" s="1967">
        <f t="shared" si="103"/>
        <v>0</v>
      </c>
      <c r="Q275" s="1968">
        <f>'HVAC Deemed Table'!I1728</f>
        <v>0.43795299999999998</v>
      </c>
      <c r="R275" s="1968">
        <f>'HVAC Deemed Table'!I1729</f>
        <v>0</v>
      </c>
      <c r="S275" s="1968"/>
      <c r="T275" s="1968"/>
      <c r="U275" s="1969"/>
      <c r="V275" s="1969"/>
      <c r="W275" s="1969">
        <f t="shared" si="133"/>
        <v>0.43795299999999998</v>
      </c>
      <c r="X275" s="55">
        <f>'HVAC Deemed Table'!J1728</f>
        <v>18</v>
      </c>
      <c r="Y275" s="55"/>
      <c r="Z275" s="55">
        <f t="shared" si="131"/>
        <v>18</v>
      </c>
      <c r="AA275" s="49">
        <f>'HVAC Deemed Table'!BB1728</f>
        <v>1.1809549115129645</v>
      </c>
      <c r="AB275" s="698">
        <f>'HVAC Deemed Table'!K1728</f>
        <v>1689.9245999999991</v>
      </c>
      <c r="AC275" s="2583">
        <f t="shared" si="132"/>
        <v>1883.6477172785094</v>
      </c>
      <c r="AD275" s="2583">
        <f t="shared" si="86"/>
        <v>0</v>
      </c>
      <c r="AE275" s="571">
        <f>'HVAC Deemed Table'!BD1728</f>
        <v>804.39819040657437</v>
      </c>
      <c r="AF275" s="571">
        <f>'HVAC Deemed Table'!BD1729</f>
        <v>1079.2495268719349</v>
      </c>
      <c r="AG275" s="571"/>
      <c r="AH275" s="571"/>
      <c r="AI275" s="2589" t="str">
        <f t="shared" ref="AI275:AI288" si="145">AI274</f>
        <v>per measure</v>
      </c>
      <c r="AJ275" s="93">
        <f>'HVAC Deemed Table'!L1728</f>
        <v>3.2</v>
      </c>
      <c r="AK275" s="1501"/>
      <c r="AL275" s="1501"/>
      <c r="AM275" s="1596">
        <f t="shared" si="71"/>
        <v>9.4741810000000004E-4</v>
      </c>
      <c r="AN275" s="84">
        <f t="shared" si="87"/>
        <v>0.437953490906</v>
      </c>
      <c r="AO275" s="1595">
        <f t="shared" si="72"/>
        <v>4.9090600001688856E-7</v>
      </c>
      <c r="AP275"/>
      <c r="AQ275"/>
      <c r="AR275"/>
      <c r="AS275"/>
      <c r="AT275"/>
      <c r="AU275"/>
      <c r="AV275"/>
    </row>
    <row r="276" spans="1:48" x14ac:dyDescent="0.35">
      <c r="A276" s="103" t="str">
        <f t="shared" si="130"/>
        <v>353710</v>
      </c>
      <c r="B276" s="3346" t="str">
        <f>'HVAC Deemed Table'!C1730</f>
        <v>353710_2021_12_</v>
      </c>
      <c r="C276" s="2564" t="str">
        <f>'HVAC Deemed Table'!G1730</f>
        <v>Cooling Res</v>
      </c>
      <c r="D276" s="2564" t="str">
        <f>'HVAC Deemed Table'!G1731</f>
        <v>Heating Res</v>
      </c>
      <c r="E276" s="3343"/>
      <c r="F276" s="3343"/>
      <c r="G276" s="3343" t="str">
        <f>'HVAC Deemed Table'!E1730</f>
        <v>ASHP-SEER21+-Replace_CAC_NonElectricHeat_ROF_MF</v>
      </c>
      <c r="H276" s="50" t="str">
        <f>'HVAC Deemed Table'!D1730</f>
        <v>MF</v>
      </c>
      <c r="I276" s="1966">
        <f t="shared" si="100"/>
        <v>635.61</v>
      </c>
      <c r="J276" s="1966">
        <f t="shared" si="101"/>
        <v>0</v>
      </c>
      <c r="K276" s="560">
        <f>'HVAC Deemed Table'!F1730</f>
        <v>635.61</v>
      </c>
      <c r="L276" s="560">
        <f>'HVAC Deemed Table'!F1731</f>
        <v>0</v>
      </c>
      <c r="M276" s="560"/>
      <c r="N276" s="560"/>
      <c r="O276" s="1967">
        <f t="shared" si="102"/>
        <v>0.60218799999999995</v>
      </c>
      <c r="P276" s="1967">
        <f t="shared" si="103"/>
        <v>0</v>
      </c>
      <c r="Q276" s="1968">
        <f>'HVAC Deemed Table'!I1730</f>
        <v>0.60218799999999995</v>
      </c>
      <c r="R276" s="1968">
        <f>'HVAC Deemed Table'!I1731</f>
        <v>0</v>
      </c>
      <c r="S276" s="1968"/>
      <c r="T276" s="1968"/>
      <c r="U276" s="1969"/>
      <c r="V276" s="1969"/>
      <c r="W276" s="1969">
        <f t="shared" si="133"/>
        <v>0.60218799999999995</v>
      </c>
      <c r="X276" s="55">
        <f>'HVAC Deemed Table'!J1730</f>
        <v>18</v>
      </c>
      <c r="Y276" s="55"/>
      <c r="Z276" s="55">
        <f t="shared" si="131"/>
        <v>18</v>
      </c>
      <c r="AA276" s="49">
        <f>'HVAC Deemed Table'!BB1730</f>
        <v>0.6934403747739144</v>
      </c>
      <c r="AB276" s="698">
        <f>'HVAC Deemed Table'!K1730</f>
        <v>1689.9245999999991</v>
      </c>
      <c r="AC276" s="2583">
        <f t="shared" si="132"/>
        <v>1106.0518621648482</v>
      </c>
      <c r="AD276" s="2583">
        <f t="shared" si="86"/>
        <v>0</v>
      </c>
      <c r="AE276" s="571">
        <f>'HVAC Deemed Table'!BD1730</f>
        <v>1106.0518621648482</v>
      </c>
      <c r="AF276" s="571">
        <f>'HVAC Deemed Table'!BD1731</f>
        <v>0</v>
      </c>
      <c r="AG276" s="571"/>
      <c r="AH276" s="571"/>
      <c r="AI276" s="2589" t="str">
        <f t="shared" si="145"/>
        <v>per measure</v>
      </c>
      <c r="AJ276" s="93">
        <f>'HVAC Deemed Table'!L1730</f>
        <v>3.2</v>
      </c>
      <c r="AK276" s="2610"/>
      <c r="AL276" s="2610"/>
      <c r="AM276" s="1961">
        <f t="shared" si="71"/>
        <v>9.4741810000000004E-4</v>
      </c>
      <c r="AN276" s="84">
        <f t="shared" si="87"/>
        <v>0.60218841854100003</v>
      </c>
      <c r="AO276" s="1965">
        <f t="shared" si="72"/>
        <v>4.1854100008009709E-7</v>
      </c>
      <c r="AP276" s="84"/>
      <c r="AQ276" s="84"/>
      <c r="AR276" s="84"/>
      <c r="AS276" s="84"/>
      <c r="AT276" s="84"/>
      <c r="AU276" s="84"/>
      <c r="AV276" s="84"/>
    </row>
    <row r="277" spans="1:48" x14ac:dyDescent="0.35">
      <c r="A277" s="103" t="str">
        <f t="shared" si="130"/>
        <v>353711</v>
      </c>
      <c r="B277" s="3346" t="str">
        <f>'HVAC Deemed Table'!C1732</f>
        <v>353711_2021_12_</v>
      </c>
      <c r="C277" s="2564" t="str">
        <f>'HVAC Deemed Table'!G1732</f>
        <v>Cooling Res</v>
      </c>
      <c r="D277" s="2564" t="str">
        <f>'HVAC Deemed Table'!G1733</f>
        <v>Heating Res</v>
      </c>
      <c r="E277" s="3343"/>
      <c r="F277" s="3343"/>
      <c r="G277" s="3343" t="str">
        <f>'HVAC Deemed Table'!E1732</f>
        <v>ASHP-SEER21+-Replace_CAC_NonElectricHeat_ROF_MF_CompE</v>
      </c>
      <c r="H277" s="50" t="str">
        <f>'HVAC Deemed Table'!D1732</f>
        <v>MFc</v>
      </c>
      <c r="I277" s="1966">
        <f t="shared" si="100"/>
        <v>462.26</v>
      </c>
      <c r="J277" s="1966">
        <f t="shared" si="101"/>
        <v>0</v>
      </c>
      <c r="K277" s="560">
        <f>'HVAC Deemed Table'!F1732</f>
        <v>462.26</v>
      </c>
      <c r="L277" s="560">
        <f>'HVAC Deemed Table'!F1733</f>
        <v>0</v>
      </c>
      <c r="M277" s="560"/>
      <c r="N277" s="560"/>
      <c r="O277" s="1967">
        <f t="shared" si="102"/>
        <v>0.43795299999999998</v>
      </c>
      <c r="P277" s="1967">
        <f t="shared" si="103"/>
        <v>0</v>
      </c>
      <c r="Q277" s="1968">
        <f>'HVAC Deemed Table'!I1732</f>
        <v>0.43795299999999998</v>
      </c>
      <c r="R277" s="1968">
        <f>'HVAC Deemed Table'!I1733</f>
        <v>0</v>
      </c>
      <c r="S277" s="1968"/>
      <c r="T277" s="1968"/>
      <c r="U277" s="1969"/>
      <c r="V277" s="1969"/>
      <c r="W277" s="1969">
        <f t="shared" si="133"/>
        <v>0.43795299999999998</v>
      </c>
      <c r="X277" s="55">
        <f>'HVAC Deemed Table'!J1732</f>
        <v>18</v>
      </c>
      <c r="Y277" s="55"/>
      <c r="Z277" s="55">
        <f t="shared" si="131"/>
        <v>18</v>
      </c>
      <c r="AA277" s="49">
        <f>'HVAC Deemed Table'!BB1732</f>
        <v>0.50431828895547537</v>
      </c>
      <c r="AB277" s="698">
        <f>'HVAC Deemed Table'!K1732</f>
        <v>1689.9245999999991</v>
      </c>
      <c r="AC277" s="2583">
        <f t="shared" si="132"/>
        <v>804.39819040657437</v>
      </c>
      <c r="AD277" s="2583">
        <f t="shared" si="86"/>
        <v>0</v>
      </c>
      <c r="AE277" s="571">
        <f>'HVAC Deemed Table'!BD1732</f>
        <v>804.39819040657437</v>
      </c>
      <c r="AF277" s="571">
        <f>'HVAC Deemed Table'!BD1733</f>
        <v>0</v>
      </c>
      <c r="AG277" s="571"/>
      <c r="AH277" s="571"/>
      <c r="AI277" s="2589" t="str">
        <f t="shared" si="145"/>
        <v>per measure</v>
      </c>
      <c r="AJ277" s="93">
        <f>'HVAC Deemed Table'!L1732</f>
        <v>3.2</v>
      </c>
      <c r="AK277" s="2610"/>
      <c r="AL277" s="2610"/>
      <c r="AM277" s="1961">
        <f t="shared" si="71"/>
        <v>9.4741810000000004E-4</v>
      </c>
      <c r="AN277" s="84">
        <f t="shared" si="87"/>
        <v>0.437953490906</v>
      </c>
      <c r="AO277" s="1965">
        <f t="shared" si="72"/>
        <v>4.9090600001688856E-7</v>
      </c>
      <c r="AP277" s="84"/>
      <c r="AQ277" s="84"/>
      <c r="AR277" s="84"/>
      <c r="AS277" s="84"/>
      <c r="AT277" s="84"/>
      <c r="AU277" s="84"/>
      <c r="AV277" s="84"/>
    </row>
    <row r="278" spans="1:48" x14ac:dyDescent="0.35">
      <c r="A278" s="103" t="str">
        <f t="shared" si="130"/>
        <v>353750</v>
      </c>
      <c r="B278" s="3346" t="str">
        <f>'HVAC Deemed Table'!C1734</f>
        <v>353750_2021_12_</v>
      </c>
      <c r="C278" s="2564" t="str">
        <f>'HVAC Deemed Table'!G1734</f>
        <v>Cooling Res</v>
      </c>
      <c r="D278" s="2564" t="str">
        <f>'HVAC Deemed Table'!G1735</f>
        <v>Heating Res</v>
      </c>
      <c r="E278" s="2564" t="str">
        <f>'HVAC Deemed Table'!G1736</f>
        <v>Cooling Res ER2</v>
      </c>
      <c r="F278" s="2564" t="str">
        <f>'HVAC Deemed Table'!G1737</f>
        <v>Heating Res ER2</v>
      </c>
      <c r="G278" s="3343" t="str">
        <f>'HVAC Deemed Table'!E1734</f>
        <v>ASHP-SEER17_ER1_SF</v>
      </c>
      <c r="H278" s="50" t="str">
        <f>'HVAC Deemed Table'!D1734</f>
        <v>SF</v>
      </c>
      <c r="I278" s="1966">
        <f t="shared" si="100"/>
        <v>4658.71</v>
      </c>
      <c r="J278" s="1966">
        <f t="shared" si="101"/>
        <v>1285.52</v>
      </c>
      <c r="K278" s="560">
        <f>'HVAC Deemed Table'!F1734</f>
        <v>2219.17</v>
      </c>
      <c r="L278" s="560">
        <f>'HVAC Deemed Table'!F1735</f>
        <v>2439.54</v>
      </c>
      <c r="M278" s="560">
        <f>'HVAC Deemed Table'!F1736</f>
        <v>427.89</v>
      </c>
      <c r="N278" s="560">
        <f>'HVAC Deemed Table'!F1737</f>
        <v>857.63</v>
      </c>
      <c r="O278" s="1967">
        <f t="shared" si="102"/>
        <v>2.1024820000000002</v>
      </c>
      <c r="P278" s="1967">
        <f t="shared" si="103"/>
        <v>0.405391</v>
      </c>
      <c r="Q278" s="1968">
        <f>'HVAC Deemed Table'!I1734</f>
        <v>2.1024820000000002</v>
      </c>
      <c r="R278" s="1968">
        <f>'HVAC Deemed Table'!I1735</f>
        <v>0</v>
      </c>
      <c r="S278" s="1968">
        <f>'HVAC Deemed Table'!I1736</f>
        <v>0.405391</v>
      </c>
      <c r="T278" s="1968">
        <f>'HVAC Deemed Table'!I1737</f>
        <v>0</v>
      </c>
      <c r="U278" s="1969"/>
      <c r="V278" s="1969"/>
      <c r="W278" s="1969">
        <f>P278</f>
        <v>0.405391</v>
      </c>
      <c r="X278" s="55">
        <f>'HVAC Deemed Table'!J1734</f>
        <v>6</v>
      </c>
      <c r="Y278" s="55">
        <f>'HVAC Deemed Table'!J1736</f>
        <v>12</v>
      </c>
      <c r="Z278" s="55">
        <f t="shared" si="131"/>
        <v>18</v>
      </c>
      <c r="AA278" s="49">
        <f>'HVAC Deemed Table'!BB1734</f>
        <v>1.8730755912523813</v>
      </c>
      <c r="AB278" s="698">
        <f>'HVAC Deemed Table'!K1734</f>
        <v>1425.2574866940254</v>
      </c>
      <c r="AC278" s="2583">
        <f t="shared" si="132"/>
        <v>1803.5942650349509</v>
      </c>
      <c r="AD278" s="2583">
        <f t="shared" si="86"/>
        <v>716.09899553729406</v>
      </c>
      <c r="AE278" s="571">
        <f>'HVAC Deemed Table'!BD1734</f>
        <v>1406.0927183241283</v>
      </c>
      <c r="AF278" s="571">
        <f>'HVAC Deemed Table'!BD1735</f>
        <v>397.50154671082265</v>
      </c>
      <c r="AG278" s="571">
        <f>'HVAC Deemed Table'!BD1736</f>
        <v>473.4732646447178</v>
      </c>
      <c r="AH278" s="571">
        <f>'HVAC Deemed Table'!BD1737</f>
        <v>242.62573089257631</v>
      </c>
      <c r="AI278" s="2589" t="str">
        <f t="shared" si="145"/>
        <v>per measure</v>
      </c>
      <c r="AJ278" s="93">
        <f>'HVAC Deemed Table'!L1734</f>
        <v>2.9348947349688164</v>
      </c>
      <c r="AK278" s="1501"/>
      <c r="AL278" s="1501"/>
      <c r="AM278" s="1596">
        <f t="shared" si="71"/>
        <v>9.4741810000000004E-4</v>
      </c>
      <c r="AN278" s="84">
        <f t="shared" si="87"/>
        <v>2.1024818249770001</v>
      </c>
      <c r="AO278" s="1595">
        <f t="shared" si="72"/>
        <v>-1.7502300009297755E-7</v>
      </c>
    </row>
    <row r="279" spans="1:48" x14ac:dyDescent="0.35">
      <c r="A279" s="103" t="str">
        <f t="shared" si="130"/>
        <v>353800</v>
      </c>
      <c r="B279" s="3346" t="str">
        <f>'HVAC Deemed Table'!C1738</f>
        <v>353800_2021_12_</v>
      </c>
      <c r="C279" s="2564" t="str">
        <f>'HVAC Deemed Table'!G1738</f>
        <v>Cooling Res</v>
      </c>
      <c r="D279" s="2564" t="str">
        <f>'HVAC Deemed Table'!G1739</f>
        <v>Heating Res</v>
      </c>
      <c r="E279" s="3343"/>
      <c r="F279" s="3343"/>
      <c r="G279" s="3343" t="str">
        <f>'HVAC Deemed Table'!E1738</f>
        <v>ASHP-SEER17_ROF_SF</v>
      </c>
      <c r="H279" s="50" t="str">
        <f>'HVAC Deemed Table'!D1738</f>
        <v>SF</v>
      </c>
      <c r="I279" s="1966">
        <f t="shared" si="100"/>
        <v>1265.01</v>
      </c>
      <c r="J279" s="1966">
        <f t="shared" si="101"/>
        <v>0</v>
      </c>
      <c r="K279" s="560">
        <f>'HVAC Deemed Table'!F1738</f>
        <v>429.65</v>
      </c>
      <c r="L279" s="560">
        <f>'HVAC Deemed Table'!F1739</f>
        <v>835.36</v>
      </c>
      <c r="M279" s="560"/>
      <c r="N279" s="560"/>
      <c r="O279" s="1967">
        <f t="shared" si="102"/>
        <v>0.40705799999999998</v>
      </c>
      <c r="P279" s="1967">
        <f t="shared" si="103"/>
        <v>0</v>
      </c>
      <c r="Q279" s="1968">
        <f>'HVAC Deemed Table'!I1738</f>
        <v>0.40705799999999998</v>
      </c>
      <c r="R279" s="1968">
        <f>'HVAC Deemed Table'!I1739</f>
        <v>0</v>
      </c>
      <c r="S279" s="1968"/>
      <c r="T279" s="1968"/>
      <c r="U279" s="1969"/>
      <c r="V279" s="1969"/>
      <c r="W279" s="1969">
        <f>O279</f>
        <v>0.40705799999999998</v>
      </c>
      <c r="X279" s="55">
        <f>'HVAC Deemed Table'!J1738</f>
        <v>18</v>
      </c>
      <c r="Y279" s="55"/>
      <c r="Z279" s="55">
        <f t="shared" si="131"/>
        <v>18</v>
      </c>
      <c r="AA279" s="49">
        <f>'HVAC Deemed Table'!BB1738</f>
        <v>1.6391404370173284</v>
      </c>
      <c r="AB279" s="698">
        <f>'HVAC Deemed Table'!K1738</f>
        <v>724</v>
      </c>
      <c r="AC279" s="2583">
        <f t="shared" si="132"/>
        <v>1120.0921910340214</v>
      </c>
      <c r="AD279" s="2583">
        <f t="shared" si="86"/>
        <v>0</v>
      </c>
      <c r="AE279" s="571">
        <f>'HVAC Deemed Table'!BD1738</f>
        <v>747.65214924108648</v>
      </c>
      <c r="AF279" s="571">
        <f>'HVAC Deemed Table'!BD1739</f>
        <v>372.44004179293489</v>
      </c>
      <c r="AG279" s="571"/>
      <c r="AH279" s="571"/>
      <c r="AI279" s="2589" t="str">
        <f t="shared" si="145"/>
        <v>per measure</v>
      </c>
      <c r="AJ279" s="93">
        <f>'HVAC Deemed Table'!L1738</f>
        <v>2.9502063491666668</v>
      </c>
      <c r="AK279" s="1501"/>
      <c r="AL279" s="1501"/>
      <c r="AM279" s="1596">
        <f t="shared" si="71"/>
        <v>9.4741810000000004E-4</v>
      </c>
      <c r="AN279" s="84">
        <f t="shared" si="87"/>
        <v>0.40705818666499999</v>
      </c>
      <c r="AO279" s="1595">
        <f t="shared" si="72"/>
        <v>1.8666500001263131E-7</v>
      </c>
    </row>
    <row r="280" spans="1:48" x14ac:dyDescent="0.35">
      <c r="A280" s="103" t="str">
        <f t="shared" si="130"/>
        <v>353850</v>
      </c>
      <c r="B280" s="3346" t="str">
        <f>'HVAC Deemed Table'!C1740</f>
        <v>353850_2021_12_</v>
      </c>
      <c r="C280" s="2564" t="str">
        <f>'HVAC Deemed Table'!G1740</f>
        <v>Cooling Res</v>
      </c>
      <c r="D280" s="2564" t="str">
        <f>'HVAC Deemed Table'!G1741</f>
        <v>Heating Res</v>
      </c>
      <c r="E280" s="2564" t="str">
        <f>'HVAC Deemed Table'!G1742</f>
        <v>Cooling Res ER2</v>
      </c>
      <c r="F280" s="2564" t="str">
        <f>'HVAC Deemed Table'!G1743</f>
        <v>Heating Res ER2</v>
      </c>
      <c r="G280" s="3343" t="str">
        <f>'HVAC Deemed Table'!E1740</f>
        <v>ASHP-SEER18_ER1_SF</v>
      </c>
      <c r="H280" s="50" t="str">
        <f>'HVAC Deemed Table'!D1740</f>
        <v>SF</v>
      </c>
      <c r="I280" s="1966">
        <f t="shared" si="100"/>
        <v>5241.92</v>
      </c>
      <c r="J280" s="1966">
        <f t="shared" si="101"/>
        <v>1778.15</v>
      </c>
      <c r="K280" s="560">
        <f>'HVAC Deemed Table'!F1740</f>
        <v>2369.3000000000002</v>
      </c>
      <c r="L280" s="560">
        <f>'HVAC Deemed Table'!F1741</f>
        <v>2872.62</v>
      </c>
      <c r="M280" s="560">
        <f>'HVAC Deemed Table'!F1742</f>
        <v>526.57000000000005</v>
      </c>
      <c r="N280" s="560">
        <f>'HVAC Deemed Table'!F1743</f>
        <v>1251.58</v>
      </c>
      <c r="O280" s="1967">
        <f t="shared" si="102"/>
        <v>2.2447180000000002</v>
      </c>
      <c r="P280" s="1967">
        <f t="shared" si="103"/>
        <v>0.49888199999999999</v>
      </c>
      <c r="Q280" s="1968">
        <f>'HVAC Deemed Table'!I1740</f>
        <v>2.2447180000000002</v>
      </c>
      <c r="R280" s="1968">
        <f>'HVAC Deemed Table'!I1741</f>
        <v>0</v>
      </c>
      <c r="S280" s="1968">
        <f>'HVAC Deemed Table'!I1742</f>
        <v>0.49888199999999999</v>
      </c>
      <c r="T280" s="1968">
        <f>'HVAC Deemed Table'!I1743</f>
        <v>0</v>
      </c>
      <c r="U280" s="1969"/>
      <c r="V280" s="1969"/>
      <c r="W280" s="1969">
        <f>P280</f>
        <v>0.49888199999999999</v>
      </c>
      <c r="X280" s="55">
        <f>'HVAC Deemed Table'!J1740</f>
        <v>6</v>
      </c>
      <c r="Y280" s="55">
        <f>'HVAC Deemed Table'!J1742</f>
        <v>12</v>
      </c>
      <c r="Z280" s="55">
        <f t="shared" si="131"/>
        <v>18</v>
      </c>
      <c r="AA280" s="49">
        <f>'HVAC Deemed Table'!BB1740</f>
        <v>1.8310383014727369</v>
      </c>
      <c r="AB280" s="698">
        <f>'HVAC Deemed Table'!K1740</f>
        <v>1681.5237652002679</v>
      </c>
      <c r="AC280" s="2583">
        <f t="shared" si="132"/>
        <v>1969.2850028559737</v>
      </c>
      <c r="AD280" s="2583">
        <f t="shared" si="86"/>
        <v>936.74087625524817</v>
      </c>
      <c r="AE280" s="571">
        <f>'HVAC Deemed Table'!BD1740</f>
        <v>1501.2168862797162</v>
      </c>
      <c r="AF280" s="571">
        <f>'HVAC Deemed Table'!BD1741</f>
        <v>468.06811657625758</v>
      </c>
      <c r="AG280" s="571">
        <f>'HVAC Deemed Table'!BD1742</f>
        <v>582.6656780106315</v>
      </c>
      <c r="AH280" s="571">
        <f>'HVAC Deemed Table'!BD1743</f>
        <v>354.07519824461673</v>
      </c>
      <c r="AI280" s="2589" t="str">
        <f t="shared" si="145"/>
        <v>per measure</v>
      </c>
      <c r="AJ280" s="93">
        <f>'HVAC Deemed Table'!L1740</f>
        <v>3.0074921794528389</v>
      </c>
      <c r="AK280" s="1501"/>
      <c r="AL280" s="1501"/>
      <c r="AM280" s="1596">
        <f t="shared" si="71"/>
        <v>9.4741810000000004E-4</v>
      </c>
      <c r="AN280" s="84">
        <f t="shared" si="87"/>
        <v>2.2447177043300002</v>
      </c>
      <c r="AO280" s="1595">
        <f t="shared" si="72"/>
        <v>-2.9567000003893895E-7</v>
      </c>
    </row>
    <row r="281" spans="1:48" x14ac:dyDescent="0.35">
      <c r="A281" s="103" t="str">
        <f t="shared" si="130"/>
        <v>353950</v>
      </c>
      <c r="B281" s="3346" t="str">
        <f>'HVAC Deemed Table'!C1744</f>
        <v>353950_2021_12_</v>
      </c>
      <c r="C281" s="2564" t="str">
        <f>'HVAC Deemed Table'!G1744</f>
        <v>Cooling Res</v>
      </c>
      <c r="D281" s="2564" t="str">
        <f>'HVAC Deemed Table'!G1745</f>
        <v>Heating Res</v>
      </c>
      <c r="E281" s="3343"/>
      <c r="F281" s="3343"/>
      <c r="G281" s="3343" t="str">
        <f>'HVAC Deemed Table'!E1744</f>
        <v>ASHP-SEER18_ROF_SF</v>
      </c>
      <c r="H281" s="50" t="str">
        <f>'HVAC Deemed Table'!D1744</f>
        <v>SF</v>
      </c>
      <c r="I281" s="1966">
        <f t="shared" si="100"/>
        <v>1834.9699999999998</v>
      </c>
      <c r="J281" s="1966">
        <f t="shared" si="101"/>
        <v>0</v>
      </c>
      <c r="K281" s="560">
        <f>'HVAC Deemed Table'!F1744</f>
        <v>521.92999999999995</v>
      </c>
      <c r="L281" s="560">
        <f>'HVAC Deemed Table'!F1745</f>
        <v>1313.04</v>
      </c>
      <c r="M281" s="560"/>
      <c r="N281" s="560"/>
      <c r="O281" s="1967">
        <f t="shared" si="102"/>
        <v>0.49448599999999998</v>
      </c>
      <c r="P281" s="1967">
        <f t="shared" si="103"/>
        <v>0</v>
      </c>
      <c r="Q281" s="1968">
        <f>'HVAC Deemed Table'!I1744</f>
        <v>0.49448599999999998</v>
      </c>
      <c r="R281" s="1968">
        <f>'HVAC Deemed Table'!I1745</f>
        <v>0</v>
      </c>
      <c r="S281" s="1968"/>
      <c r="T281" s="1968"/>
      <c r="U281" s="1969"/>
      <c r="V281" s="1969"/>
      <c r="W281" s="1969">
        <f>O281</f>
        <v>0.49448599999999998</v>
      </c>
      <c r="X281" s="55">
        <f>'HVAC Deemed Table'!J1744</f>
        <v>18</v>
      </c>
      <c r="Y281" s="55"/>
      <c r="Z281" s="55">
        <f t="shared" si="131"/>
        <v>18</v>
      </c>
      <c r="AA281" s="49">
        <f>'HVAC Deemed Table'!BB1744</f>
        <v>1.643454222257074</v>
      </c>
      <c r="AB281" s="698">
        <f>'HVAC Deemed Table'!K1744</f>
        <v>962.92000000000007</v>
      </c>
      <c r="AC281" s="2583">
        <f t="shared" si="132"/>
        <v>1493.6431710200866</v>
      </c>
      <c r="AD281" s="2583">
        <f t="shared" si="86"/>
        <v>0</v>
      </c>
      <c r="AE281" s="571">
        <f>'HVAC Deemed Table'!BD1744</f>
        <v>908.23248284277963</v>
      </c>
      <c r="AF281" s="571">
        <f>'HVAC Deemed Table'!BD1745</f>
        <v>585.41068817730695</v>
      </c>
      <c r="AG281" s="571"/>
      <c r="AH281" s="571"/>
      <c r="AI281" s="2589" t="str">
        <f t="shared" si="145"/>
        <v>per measure</v>
      </c>
      <c r="AJ281" s="93">
        <f>'HVAC Deemed Table'!L1744</f>
        <v>3.1232222977546749</v>
      </c>
      <c r="AK281" s="1501"/>
      <c r="AL281" s="1501"/>
      <c r="AM281" s="1596">
        <f t="shared" si="71"/>
        <v>9.4741810000000004E-4</v>
      </c>
      <c r="AN281" s="84">
        <f t="shared" si="87"/>
        <v>0.49448592893299997</v>
      </c>
      <c r="AO281" s="1595">
        <f t="shared" si="72"/>
        <v>-7.1067000007030146E-8</v>
      </c>
    </row>
    <row r="282" spans="1:48" x14ac:dyDescent="0.35">
      <c r="A282" s="103" t="str">
        <f t="shared" si="130"/>
        <v>354000</v>
      </c>
      <c r="B282" s="3346" t="str">
        <f>'HVAC Deemed Table'!C1746</f>
        <v>354000_2021_12_</v>
      </c>
      <c r="C282" s="2564" t="str">
        <f>'HVAC Deemed Table'!G1746</f>
        <v>Cooling Res</v>
      </c>
      <c r="D282" s="2564" t="str">
        <f>'HVAC Deemed Table'!G1747</f>
        <v>Heating Res</v>
      </c>
      <c r="E282" s="2564" t="str">
        <f>'HVAC Deemed Table'!G1748</f>
        <v>Cooling Res ER2</v>
      </c>
      <c r="F282" s="2564" t="str">
        <f>'HVAC Deemed Table'!G1749</f>
        <v>Heating Res ER2</v>
      </c>
      <c r="G282" s="3343" t="str">
        <f>'HVAC Deemed Table'!E1746</f>
        <v>ASHP-SEER19_ER1_SF</v>
      </c>
      <c r="H282" s="50" t="str">
        <f>'HVAC Deemed Table'!D1746</f>
        <v>SF</v>
      </c>
      <c r="I282" s="1966">
        <f t="shared" si="100"/>
        <v>6672.14</v>
      </c>
      <c r="J282" s="1966">
        <f t="shared" si="101"/>
        <v>2176.1799999999998</v>
      </c>
      <c r="K282" s="560">
        <f>'HVAC Deemed Table'!F1746</f>
        <v>3279.13</v>
      </c>
      <c r="L282" s="560">
        <f>'HVAC Deemed Table'!F1747</f>
        <v>3393.01</v>
      </c>
      <c r="M282" s="560">
        <f>'HVAC Deemed Table'!F1748</f>
        <v>816.88</v>
      </c>
      <c r="N282" s="560">
        <f>'HVAC Deemed Table'!F1749</f>
        <v>1359.3</v>
      </c>
      <c r="O282" s="1967">
        <f t="shared" si="102"/>
        <v>3.1067070000000001</v>
      </c>
      <c r="P282" s="1967">
        <f t="shared" si="103"/>
        <v>0.77392700000000003</v>
      </c>
      <c r="Q282" s="1968">
        <f>'HVAC Deemed Table'!I1746</f>
        <v>3.1067070000000001</v>
      </c>
      <c r="R282" s="1968">
        <f>'HVAC Deemed Table'!I1747</f>
        <v>0</v>
      </c>
      <c r="S282" s="1968">
        <f>'HVAC Deemed Table'!I1748</f>
        <v>0.77392700000000003</v>
      </c>
      <c r="T282" s="1968">
        <f>'HVAC Deemed Table'!I1749</f>
        <v>0</v>
      </c>
      <c r="U282" s="1969"/>
      <c r="V282" s="1969"/>
      <c r="W282" s="1969">
        <f>P282</f>
        <v>0.77392700000000003</v>
      </c>
      <c r="X282" s="55">
        <f>'HVAC Deemed Table'!J1746</f>
        <v>6</v>
      </c>
      <c r="Y282" s="55">
        <f>'HVAC Deemed Table'!J1748</f>
        <v>12</v>
      </c>
      <c r="Z282" s="55">
        <f t="shared" si="131"/>
        <v>18</v>
      </c>
      <c r="AA282" s="49">
        <f>'HVAC Deemed Table'!BB1746</f>
        <v>1.9723575003462803</v>
      </c>
      <c r="AB282" s="698">
        <f>'HVAC Deemed Table'!K1746</f>
        <v>2105.1914618743731</v>
      </c>
      <c r="AC282" s="2583">
        <f t="shared" si="132"/>
        <v>2630.5571641160441</v>
      </c>
      <c r="AD282" s="2583">
        <f t="shared" si="86"/>
        <v>1288.4519623519786</v>
      </c>
      <c r="AE282" s="571">
        <f>'HVAC Deemed Table'!BD1746</f>
        <v>2077.6960825165261</v>
      </c>
      <c r="AF282" s="571">
        <f>'HVAC Deemed Table'!BD1747</f>
        <v>552.86108159951812</v>
      </c>
      <c r="AG282" s="571">
        <f>'HVAC Deemed Table'!BD1748</f>
        <v>903.90249929415756</v>
      </c>
      <c r="AH282" s="571">
        <f>'HVAC Deemed Table'!BD1749</f>
        <v>384.54946305782096</v>
      </c>
      <c r="AI282" s="2589" t="str">
        <f t="shared" si="145"/>
        <v>per measure</v>
      </c>
      <c r="AJ282" s="93">
        <f>'HVAC Deemed Table'!L1746</f>
        <v>3.7731209149509808</v>
      </c>
      <c r="AK282" s="1501"/>
      <c r="AL282" s="1501"/>
      <c r="AM282" s="1596">
        <f t="shared" si="71"/>
        <v>9.4741810000000004E-4</v>
      </c>
      <c r="AN282" s="84">
        <f t="shared" si="87"/>
        <v>3.1067071142530001</v>
      </c>
      <c r="AO282" s="1595">
        <f t="shared" si="72"/>
        <v>1.1425299994982652E-7</v>
      </c>
    </row>
    <row r="283" spans="1:48" s="84" customFormat="1" x14ac:dyDescent="0.35">
      <c r="A283" s="103" t="str">
        <f t="shared" si="130"/>
        <v>354050</v>
      </c>
      <c r="B283" s="3346" t="str">
        <f>'HVAC Deemed Table'!C1750</f>
        <v>354050_2021_12_</v>
      </c>
      <c r="C283" s="2564" t="str">
        <f>'HVAC Deemed Table'!G1750</f>
        <v>Cooling Res</v>
      </c>
      <c r="D283" s="2564" t="str">
        <f>'HVAC Deemed Table'!G1751</f>
        <v>Heating Res</v>
      </c>
      <c r="E283" s="3343"/>
      <c r="F283" s="3343"/>
      <c r="G283" s="3343" t="str">
        <f>'HVAC Deemed Table'!E1750</f>
        <v>ASHP-SEER19_ROF_SF</v>
      </c>
      <c r="H283" s="50" t="str">
        <f>'HVAC Deemed Table'!D1750</f>
        <v>SF</v>
      </c>
      <c r="I283" s="1966">
        <f t="shared" si="100"/>
        <v>1939.4</v>
      </c>
      <c r="J283" s="1966">
        <f t="shared" si="101"/>
        <v>0</v>
      </c>
      <c r="K283" s="560">
        <f>'HVAC Deemed Table'!F1750</f>
        <v>699.07</v>
      </c>
      <c r="L283" s="560">
        <f>'HVAC Deemed Table'!F1751</f>
        <v>1240.33</v>
      </c>
      <c r="M283" s="560"/>
      <c r="N283" s="560"/>
      <c r="O283" s="1967">
        <f t="shared" si="102"/>
        <v>0.66231200000000001</v>
      </c>
      <c r="P283" s="1967">
        <f t="shared" si="103"/>
        <v>0</v>
      </c>
      <c r="Q283" s="1968">
        <f>'HVAC Deemed Table'!I1750</f>
        <v>0.66231200000000001</v>
      </c>
      <c r="R283" s="1968">
        <f>'HVAC Deemed Table'!I1751</f>
        <v>0</v>
      </c>
      <c r="S283" s="1968"/>
      <c r="T283" s="1968"/>
      <c r="U283" s="1969"/>
      <c r="V283" s="1969"/>
      <c r="W283" s="1969">
        <f>O283</f>
        <v>0.66231200000000001</v>
      </c>
      <c r="X283" s="55">
        <f>'HVAC Deemed Table'!J1750</f>
        <v>18</v>
      </c>
      <c r="Y283" s="55"/>
      <c r="Z283" s="55">
        <f t="shared" si="131"/>
        <v>18</v>
      </c>
      <c r="AA283" s="49">
        <f>'HVAC Deemed Table'!BB1750</f>
        <v>1.5575611067509385</v>
      </c>
      <c r="AB283" s="698">
        <f>'HVAC Deemed Table'!K1750</f>
        <v>1203.6500000000003</v>
      </c>
      <c r="AC283" s="2583">
        <f t="shared" si="132"/>
        <v>1769.4746825302193</v>
      </c>
      <c r="AD283" s="2583">
        <f t="shared" si="86"/>
        <v>0</v>
      </c>
      <c r="AE283" s="571">
        <f>'HVAC Deemed Table'!BD1750</f>
        <v>1216.4812940066715</v>
      </c>
      <c r="AF283" s="571">
        <f>'HVAC Deemed Table'!BD1751</f>
        <v>552.99338852354776</v>
      </c>
      <c r="AG283" s="571"/>
      <c r="AH283" s="571"/>
      <c r="AI283" s="2589" t="str">
        <f t="shared" si="145"/>
        <v>per measure</v>
      </c>
      <c r="AJ283" s="93">
        <f>'HVAC Deemed Table'!L1750</f>
        <v>2.9920329673076922</v>
      </c>
      <c r="AK283" s="1501"/>
      <c r="AL283" s="1501"/>
      <c r="AM283" s="1596">
        <f t="shared" si="71"/>
        <v>9.4741810000000004E-4</v>
      </c>
      <c r="AN283" s="84">
        <f t="shared" si="87"/>
        <v>0.66231157116700012</v>
      </c>
      <c r="AO283" s="1595">
        <f t="shared" si="72"/>
        <v>-4.2883299988805135E-7</v>
      </c>
      <c r="AP283"/>
      <c r="AQ283"/>
      <c r="AR283"/>
      <c r="AS283"/>
      <c r="AT283"/>
      <c r="AU283"/>
      <c r="AV283"/>
    </row>
    <row r="284" spans="1:48" x14ac:dyDescent="0.35">
      <c r="A284" s="103" t="str">
        <f t="shared" si="130"/>
        <v>354100</v>
      </c>
      <c r="B284" s="3346" t="str">
        <f>'HVAC Deemed Table'!C1752</f>
        <v>354100_2021_12_</v>
      </c>
      <c r="C284" s="2564" t="str">
        <f>'HVAC Deemed Table'!G1752</f>
        <v>Cooling Res</v>
      </c>
      <c r="D284" s="2564" t="str">
        <f>'HVAC Deemed Table'!G1753</f>
        <v>Heating Res</v>
      </c>
      <c r="E284" s="2564" t="str">
        <f>'HVAC Deemed Table'!G1754</f>
        <v>Cooling Res ER2</v>
      </c>
      <c r="F284" s="2564" t="str">
        <f>'HVAC Deemed Table'!G1755</f>
        <v>Heating Res ER2</v>
      </c>
      <c r="G284" s="3343" t="str">
        <f>'HVAC Deemed Table'!E1752</f>
        <v>ASHP-SEER17-Replace_CAC_ElectricHeat_ER1_SF</v>
      </c>
      <c r="H284" s="50" t="str">
        <f>'HVAC Deemed Table'!D1752</f>
        <v>SF</v>
      </c>
      <c r="I284" s="1966">
        <f t="shared" si="100"/>
        <v>12102.33</v>
      </c>
      <c r="J284" s="1966">
        <f t="shared" si="101"/>
        <v>10488.19</v>
      </c>
      <c r="K284" s="560">
        <f>'HVAC Deemed Table'!F1752</f>
        <v>2219.17</v>
      </c>
      <c r="L284" s="560">
        <f>'HVAC Deemed Table'!F1753</f>
        <v>9883.16</v>
      </c>
      <c r="M284" s="560">
        <f>'HVAC Deemed Table'!F1754</f>
        <v>605.03</v>
      </c>
      <c r="N284" s="560">
        <f>'HVAC Deemed Table'!F1755</f>
        <v>9883.16</v>
      </c>
      <c r="O284" s="1967">
        <f t="shared" si="102"/>
        <v>2.1024820000000002</v>
      </c>
      <c r="P284" s="1967">
        <f t="shared" si="103"/>
        <v>0.57321599999999995</v>
      </c>
      <c r="Q284" s="1968">
        <f>'HVAC Deemed Table'!I1752</f>
        <v>2.1024820000000002</v>
      </c>
      <c r="R284" s="1968">
        <f>'HVAC Deemed Table'!I1753</f>
        <v>0</v>
      </c>
      <c r="S284" s="1968">
        <f>'HVAC Deemed Table'!I1754</f>
        <v>0.57321599999999995</v>
      </c>
      <c r="T284" s="1968">
        <f>'HVAC Deemed Table'!I1755</f>
        <v>0</v>
      </c>
      <c r="U284" s="1969"/>
      <c r="V284" s="1969"/>
      <c r="W284" s="1969">
        <f t="shared" ref="W284:W308" si="146">P284</f>
        <v>0.57321599999999995</v>
      </c>
      <c r="X284" s="55">
        <f>'HVAC Deemed Table'!J1752</f>
        <v>6</v>
      </c>
      <c r="Y284" s="55">
        <f>'HVAC Deemed Table'!J1754</f>
        <v>12</v>
      </c>
      <c r="Z284" s="55">
        <f t="shared" si="131"/>
        <v>18</v>
      </c>
      <c r="AA284" s="49">
        <f>'HVAC Deemed Table'!BB1752</f>
        <v>4.8184951728892678</v>
      </c>
      <c r="AB284" s="698">
        <f>'HVAC Deemed Table'!K1752</f>
        <v>1425.2574866940254</v>
      </c>
      <c r="AC284" s="2583">
        <f t="shared" si="132"/>
        <v>3016.4665537154456</v>
      </c>
      <c r="AD284" s="2583">
        <f t="shared" si="86"/>
        <v>3465.4554092476965</v>
      </c>
      <c r="AE284" s="571">
        <f>'HVAC Deemed Table'!BD1752</f>
        <v>1406.0927183241283</v>
      </c>
      <c r="AF284" s="571">
        <f>'HVAC Deemed Table'!BD1753</f>
        <v>1610.3738353913172</v>
      </c>
      <c r="AG284" s="571">
        <f>'HVAC Deemed Table'!BD1754</f>
        <v>669.48404802167283</v>
      </c>
      <c r="AH284" s="571">
        <f>'HVAC Deemed Table'!BD1755</f>
        <v>2795.9713612260234</v>
      </c>
      <c r="AI284" s="2589" t="str">
        <f t="shared" si="145"/>
        <v>per measure</v>
      </c>
      <c r="AJ284" s="93">
        <f>'HVAC Deemed Table'!L1752</f>
        <v>2.9348947349688164</v>
      </c>
      <c r="AK284" s="1501"/>
      <c r="AL284" s="1501"/>
      <c r="AM284" s="1596">
        <f t="shared" si="71"/>
        <v>9.4741810000000004E-4</v>
      </c>
      <c r="AN284" s="84">
        <f t="shared" si="87"/>
        <v>2.1024818249770001</v>
      </c>
      <c r="AO284" s="1595">
        <f t="shared" si="72"/>
        <v>-1.7502300009297755E-7</v>
      </c>
    </row>
    <row r="285" spans="1:48" x14ac:dyDescent="0.35">
      <c r="A285" s="103" t="str">
        <f t="shared" si="130"/>
        <v>354110</v>
      </c>
      <c r="B285" s="3346" t="str">
        <f>'HVAC Deemed Table'!C1756</f>
        <v>354110_2021_12_</v>
      </c>
      <c r="C285" s="2564" t="str">
        <f>'HVAC Deemed Table'!G1756</f>
        <v>Cooling Res</v>
      </c>
      <c r="D285" s="2564" t="str">
        <f>'HVAC Deemed Table'!G1757</f>
        <v>Heating Res</v>
      </c>
      <c r="E285" s="2564" t="str">
        <f>'HVAC Deemed Table'!G1758</f>
        <v>Cooling Res ER2</v>
      </c>
      <c r="F285" s="2564" t="str">
        <f>'HVAC Deemed Table'!G1759</f>
        <v>Heating Res ER2</v>
      </c>
      <c r="G285" s="3343" t="str">
        <f>'HVAC Deemed Table'!E1756</f>
        <v>ASHP-SEER17-Replace_CAC_NonElectricHeat_ER1_SF</v>
      </c>
      <c r="H285" s="50" t="str">
        <f>'HVAC Deemed Table'!D1756</f>
        <v>SF</v>
      </c>
      <c r="I285" s="1966">
        <f t="shared" si="100"/>
        <v>2219.17</v>
      </c>
      <c r="J285" s="1966">
        <f t="shared" si="101"/>
        <v>605.03</v>
      </c>
      <c r="K285" s="560">
        <f>'HVAC Deemed Table'!F1756</f>
        <v>2219.17</v>
      </c>
      <c r="L285" s="560">
        <f>'HVAC Deemed Table'!F1757</f>
        <v>0</v>
      </c>
      <c r="M285" s="560">
        <f>'HVAC Deemed Table'!F1758</f>
        <v>605.03</v>
      </c>
      <c r="N285" s="560">
        <f>'HVAC Deemed Table'!F1759</f>
        <v>0</v>
      </c>
      <c r="O285" s="1967">
        <f t="shared" si="102"/>
        <v>2.1024820000000002</v>
      </c>
      <c r="P285" s="1967">
        <f t="shared" si="103"/>
        <v>0.57321599999999995</v>
      </c>
      <c r="Q285" s="1968">
        <f>'HVAC Deemed Table'!I1756</f>
        <v>2.1024820000000002</v>
      </c>
      <c r="R285" s="1968">
        <f>'HVAC Deemed Table'!I1757</f>
        <v>0</v>
      </c>
      <c r="S285" s="1968">
        <f>'HVAC Deemed Table'!I1758</f>
        <v>0.57321599999999995</v>
      </c>
      <c r="T285" s="1968">
        <f>'HVAC Deemed Table'!I1759</f>
        <v>0</v>
      </c>
      <c r="U285" s="1969"/>
      <c r="V285" s="1969"/>
      <c r="W285" s="1969">
        <f t="shared" si="146"/>
        <v>0.57321599999999995</v>
      </c>
      <c r="X285" s="55">
        <f>'HVAC Deemed Table'!J1756</f>
        <v>6</v>
      </c>
      <c r="Y285" s="55">
        <f>'HVAC Deemed Table'!J1758</f>
        <v>12</v>
      </c>
      <c r="Z285" s="55">
        <f t="shared" si="131"/>
        <v>18</v>
      </c>
      <c r="AA285" s="49">
        <f>'HVAC Deemed Table'!BB1756</f>
        <v>1.5429307367079799</v>
      </c>
      <c r="AB285" s="698">
        <f>'HVAC Deemed Table'!K1756</f>
        <v>1425.2574866940254</v>
      </c>
      <c r="AC285" s="2583">
        <f t="shared" si="132"/>
        <v>1406.0927183241283</v>
      </c>
      <c r="AD285" s="2583">
        <f t="shared" si="86"/>
        <v>669.48404802167283</v>
      </c>
      <c r="AE285" s="571">
        <f>'HVAC Deemed Table'!BD1756</f>
        <v>1406.0927183241283</v>
      </c>
      <c r="AF285" s="571">
        <f>'HVAC Deemed Table'!BD1757</f>
        <v>0</v>
      </c>
      <c r="AG285" s="571">
        <f>'HVAC Deemed Table'!BD1758</f>
        <v>669.48404802167283</v>
      </c>
      <c r="AH285" s="571">
        <f>'HVAC Deemed Table'!BD1759</f>
        <v>0</v>
      </c>
      <c r="AI285" s="2589" t="str">
        <f t="shared" si="145"/>
        <v>per measure</v>
      </c>
      <c r="AJ285" s="93">
        <f>'HVAC Deemed Table'!L1756</f>
        <v>2.9348947349688164</v>
      </c>
      <c r="AK285" s="2610"/>
      <c r="AL285" s="2610"/>
      <c r="AM285" s="1961">
        <f t="shared" si="71"/>
        <v>9.4741810000000004E-4</v>
      </c>
      <c r="AN285" s="84">
        <f t="shared" si="87"/>
        <v>2.1024818249770001</v>
      </c>
      <c r="AO285" s="1965">
        <f t="shared" si="72"/>
        <v>-1.7502300009297755E-7</v>
      </c>
      <c r="AP285" s="84"/>
      <c r="AQ285" s="84"/>
      <c r="AR285" s="84"/>
      <c r="AS285" s="84"/>
      <c r="AT285" s="84"/>
      <c r="AU285" s="84"/>
      <c r="AV285" s="84"/>
    </row>
    <row r="286" spans="1:48" s="84" customFormat="1" x14ac:dyDescent="0.35">
      <c r="A286" s="103" t="str">
        <f t="shared" si="130"/>
        <v>354150</v>
      </c>
      <c r="B286" s="3346" t="str">
        <f>'HVAC Deemed Table'!C1760</f>
        <v>354150_2019_12_</v>
      </c>
      <c r="C286" s="2564" t="str">
        <f>'HVAC Deemed Table'!G1760</f>
        <v>Cooling Res</v>
      </c>
      <c r="D286" s="2564" t="str">
        <f>'HVAC Deemed Table'!G1761</f>
        <v>Heating Res</v>
      </c>
      <c r="E286" s="2564" t="str">
        <f>'HVAC Deemed Table'!G1762</f>
        <v>Cooling Res ER2</v>
      </c>
      <c r="F286" s="2564" t="str">
        <f>'HVAC Deemed Table'!G1763</f>
        <v>Heating Res ER2</v>
      </c>
      <c r="G286" s="3343" t="str">
        <f>'HVAC Deemed Table'!E1760</f>
        <v>ASHP-SEER17-Replace_CAC_ElectricHeat_ER1_MF</v>
      </c>
      <c r="H286" s="50" t="str">
        <f>'HVAC Deemed Table'!D1760</f>
        <v>MF</v>
      </c>
      <c r="I286" s="1966">
        <f t="shared" si="100"/>
        <v>8046.25</v>
      </c>
      <c r="J286" s="1966">
        <f t="shared" si="101"/>
        <v>7140.0999999999995</v>
      </c>
      <c r="K286" s="560">
        <f>'HVAC Deemed Table'!F1760</f>
        <v>1286.47</v>
      </c>
      <c r="L286" s="560">
        <f>'HVAC Deemed Table'!F1761</f>
        <v>6759.78</v>
      </c>
      <c r="M286" s="560">
        <f>'HVAC Deemed Table'!F1762</f>
        <v>380.32</v>
      </c>
      <c r="N286" s="560">
        <f>'HVAC Deemed Table'!F1763</f>
        <v>6759.78</v>
      </c>
      <c r="O286" s="1967">
        <f t="shared" si="102"/>
        <v>1.218825</v>
      </c>
      <c r="P286" s="1967">
        <f t="shared" si="103"/>
        <v>0.36032199999999998</v>
      </c>
      <c r="Q286" s="1968">
        <f>'HVAC Deemed Table'!I1760</f>
        <v>1.218825</v>
      </c>
      <c r="R286" s="1968">
        <f>'HVAC Deemed Table'!I1761</f>
        <v>0</v>
      </c>
      <c r="S286" s="1968">
        <f>'HVAC Deemed Table'!I1762</f>
        <v>0.36032199999999998</v>
      </c>
      <c r="T286" s="1968">
        <f>'HVAC Deemed Table'!I1763</f>
        <v>0</v>
      </c>
      <c r="U286" s="1969"/>
      <c r="V286" s="1969"/>
      <c r="W286" s="1969">
        <f t="shared" si="146"/>
        <v>0.36032199999999998</v>
      </c>
      <c r="X286" s="55">
        <f>'HVAC Deemed Table'!J1760</f>
        <v>6</v>
      </c>
      <c r="Y286" s="55">
        <f>'HVAC Deemed Table'!J1762</f>
        <v>12</v>
      </c>
      <c r="Z286" s="55">
        <f t="shared" si="131"/>
        <v>18</v>
      </c>
      <c r="AA286" s="49">
        <f>'HVAC Deemed Table'!BB1760</f>
        <v>3.7351930892953478</v>
      </c>
      <c r="AB286" s="698">
        <f>'HVAC Deemed Table'!K1760</f>
        <v>1205.4598012161669</v>
      </c>
      <c r="AC286" s="2583">
        <f t="shared" si="132"/>
        <v>1916.5694023075603</v>
      </c>
      <c r="AD286" s="2583">
        <f t="shared" si="86"/>
        <v>2333.1947495810382</v>
      </c>
      <c r="AE286" s="571">
        <f>'HVAC Deemed Table'!BD1760</f>
        <v>815.12281589172596</v>
      </c>
      <c r="AF286" s="571">
        <f>'HVAC Deemed Table'!BD1761</f>
        <v>1101.4465864158344</v>
      </c>
      <c r="AG286" s="571">
        <f>'HVAC Deemed Table'!BD1762</f>
        <v>420.83561665306291</v>
      </c>
      <c r="AH286" s="571">
        <f>'HVAC Deemed Table'!BD1763</f>
        <v>1912.3591329279755</v>
      </c>
      <c r="AI286" s="2589" t="str">
        <f t="shared" si="145"/>
        <v>per measure</v>
      </c>
      <c r="AJ286" s="93">
        <f>'HVAC Deemed Table'!L1760</f>
        <v>3.1</v>
      </c>
      <c r="AK286" s="1501"/>
      <c r="AL286" s="1501"/>
      <c r="AM286" s="1596">
        <f t="shared" si="71"/>
        <v>9.4741810000000004E-4</v>
      </c>
      <c r="AN286" s="84">
        <f t="shared" si="87"/>
        <v>1.2188249631070001</v>
      </c>
      <c r="AO286" s="1595">
        <f t="shared" si="72"/>
        <v>-3.6892999988324959E-8</v>
      </c>
      <c r="AP286"/>
      <c r="AQ286"/>
      <c r="AR286"/>
      <c r="AS286"/>
      <c r="AT286"/>
      <c r="AU286"/>
      <c r="AV286"/>
    </row>
    <row r="287" spans="1:48" s="84" customFormat="1" x14ac:dyDescent="0.35">
      <c r="A287" s="103" t="str">
        <f t="shared" si="130"/>
        <v>354151</v>
      </c>
      <c r="B287" s="3346" t="str">
        <f>'HVAC Deemed Table'!C1764</f>
        <v>354151_2019_12_</v>
      </c>
      <c r="C287" s="2564" t="str">
        <f>'HVAC Deemed Table'!G1764</f>
        <v>Cooling Res</v>
      </c>
      <c r="D287" s="2564" t="str">
        <f>'HVAC Deemed Table'!G1765</f>
        <v>Heating Res</v>
      </c>
      <c r="E287" s="2564" t="str">
        <f>'HVAC Deemed Table'!G1766</f>
        <v>Cooling Res ER2</v>
      </c>
      <c r="F287" s="2564" t="str">
        <f>'HVAC Deemed Table'!G1767</f>
        <v>Heating Res ER2</v>
      </c>
      <c r="G287" s="3343" t="str">
        <f>'HVAC Deemed Table'!E1764</f>
        <v>ASHP-SEER17-Replace_CAC_ElectricHeat_ER1_MF_CompE</v>
      </c>
      <c r="H287" s="50" t="str">
        <f>'HVAC Deemed Table'!D1764</f>
        <v>MFc</v>
      </c>
      <c r="I287" s="1966">
        <f t="shared" si="100"/>
        <v>3240.0899999999997</v>
      </c>
      <c r="J287" s="1966">
        <f t="shared" si="101"/>
        <v>2581.06</v>
      </c>
      <c r="K287" s="560">
        <f>'HVAC Deemed Table'!F1764</f>
        <v>935.62</v>
      </c>
      <c r="L287" s="560">
        <f>'HVAC Deemed Table'!F1765</f>
        <v>2304.4699999999998</v>
      </c>
      <c r="M287" s="560">
        <f>'HVAC Deemed Table'!F1766</f>
        <v>276.58999999999997</v>
      </c>
      <c r="N287" s="560">
        <f>'HVAC Deemed Table'!F1767</f>
        <v>2304.4699999999998</v>
      </c>
      <c r="O287" s="1967">
        <f t="shared" si="102"/>
        <v>0.88642299999999996</v>
      </c>
      <c r="P287" s="1967">
        <f t="shared" si="103"/>
        <v>0.262046</v>
      </c>
      <c r="Q287" s="1968">
        <f>'HVAC Deemed Table'!I1764</f>
        <v>0.88642299999999996</v>
      </c>
      <c r="R287" s="1968">
        <f>'HVAC Deemed Table'!I1765</f>
        <v>0</v>
      </c>
      <c r="S287" s="1968">
        <f>'HVAC Deemed Table'!I1766</f>
        <v>0.262046</v>
      </c>
      <c r="T287" s="1968">
        <f>'HVAC Deemed Table'!I1767</f>
        <v>0</v>
      </c>
      <c r="U287" s="1969"/>
      <c r="V287" s="1969"/>
      <c r="W287" s="1969">
        <f t="shared" si="146"/>
        <v>0.262046</v>
      </c>
      <c r="X287" s="55">
        <f>'HVAC Deemed Table'!J1764</f>
        <v>6</v>
      </c>
      <c r="Y287" s="55">
        <f>'HVAC Deemed Table'!J1766</f>
        <v>12</v>
      </c>
      <c r="Z287" s="55">
        <f t="shared" si="131"/>
        <v>18</v>
      </c>
      <c r="AA287" s="49">
        <f>'HVAC Deemed Table'!BB1764</f>
        <v>1.6930670054321</v>
      </c>
      <c r="AB287" s="698">
        <f>'HVAC Deemed Table'!K1764</f>
        <v>1205.4598012161669</v>
      </c>
      <c r="AC287" s="2583">
        <f t="shared" si="132"/>
        <v>968.31312983696398</v>
      </c>
      <c r="AD287" s="2583">
        <f t="shared" si="86"/>
        <v>957.9957100061979</v>
      </c>
      <c r="AE287" s="571">
        <f>'HVAC Deemed Table'!BD1764</f>
        <v>592.82004944119694</v>
      </c>
      <c r="AF287" s="571">
        <f>'HVAC Deemed Table'!BD1765</f>
        <v>375.49308039576698</v>
      </c>
      <c r="AG287" s="571">
        <f>'HVAC Deemed Table'!BD1766</f>
        <v>306.05522510010167</v>
      </c>
      <c r="AH287" s="571">
        <f>'HVAC Deemed Table'!BD1767</f>
        <v>651.94048490609623</v>
      </c>
      <c r="AI287" s="2589" t="str">
        <f t="shared" si="145"/>
        <v>per measure</v>
      </c>
      <c r="AJ287" s="93">
        <f>'HVAC Deemed Table'!L1764</f>
        <v>3.1</v>
      </c>
      <c r="AK287" s="1501"/>
      <c r="AL287" s="1501"/>
      <c r="AM287" s="1596">
        <f t="shared" si="71"/>
        <v>9.4741810000000004E-4</v>
      </c>
      <c r="AN287" s="84">
        <f t="shared" si="87"/>
        <v>0.88642332272200008</v>
      </c>
      <c r="AO287" s="1500">
        <f t="shared" si="72"/>
        <v>3.227220001233988E-7</v>
      </c>
      <c r="AP287" s="144">
        <f>AO287/O287</f>
        <v>3.6407223201947472E-7</v>
      </c>
      <c r="AQ287"/>
      <c r="AR287"/>
      <c r="AS287"/>
      <c r="AT287"/>
      <c r="AU287"/>
      <c r="AV287"/>
    </row>
    <row r="288" spans="1:48" x14ac:dyDescent="0.35">
      <c r="A288" s="103" t="str">
        <f t="shared" si="130"/>
        <v>354160</v>
      </c>
      <c r="B288" s="3346" t="str">
        <f>'HVAC Deemed Table'!C1768</f>
        <v>354160_2021_12_</v>
      </c>
      <c r="C288" s="2564" t="str">
        <f>'HVAC Deemed Table'!G1768</f>
        <v>Cooling Res</v>
      </c>
      <c r="D288" s="2564" t="str">
        <f>'HVAC Deemed Table'!G1769</f>
        <v>Heating Res</v>
      </c>
      <c r="E288" s="2564" t="str">
        <f>'HVAC Deemed Table'!G1770</f>
        <v>Cooling Res ER2</v>
      </c>
      <c r="F288" s="2564" t="str">
        <f>'HVAC Deemed Table'!G1771</f>
        <v>Heating Res ER2</v>
      </c>
      <c r="G288" s="3343" t="str">
        <f>'HVAC Deemed Table'!E1768</f>
        <v>ASHP-SEER17-Replace_CAC_NonElectricHeat_ER1_MF</v>
      </c>
      <c r="H288" s="50" t="str">
        <f>'HVAC Deemed Table'!D1768</f>
        <v>MF</v>
      </c>
      <c r="I288" s="1966">
        <f t="shared" si="100"/>
        <v>1286.47</v>
      </c>
      <c r="J288" s="1966">
        <f t="shared" si="101"/>
        <v>380.32</v>
      </c>
      <c r="K288" s="560">
        <f>'HVAC Deemed Table'!F1768</f>
        <v>1286.47</v>
      </c>
      <c r="L288" s="560">
        <f>'HVAC Deemed Table'!F1769</f>
        <v>0</v>
      </c>
      <c r="M288" s="560">
        <f>'HVAC Deemed Table'!F1770</f>
        <v>380.32</v>
      </c>
      <c r="N288" s="560">
        <f>'HVAC Deemed Table'!F1771</f>
        <v>0</v>
      </c>
      <c r="O288" s="1967">
        <f t="shared" si="102"/>
        <v>1.218825</v>
      </c>
      <c r="P288" s="1967">
        <f t="shared" si="103"/>
        <v>0.36032199999999998</v>
      </c>
      <c r="Q288" s="1968">
        <f>'HVAC Deemed Table'!I1768</f>
        <v>1.218825</v>
      </c>
      <c r="R288" s="1968">
        <f>'HVAC Deemed Table'!I1769</f>
        <v>0</v>
      </c>
      <c r="S288" s="1968">
        <f>'HVAC Deemed Table'!I1770</f>
        <v>0.36032199999999998</v>
      </c>
      <c r="T288" s="1968">
        <f>'HVAC Deemed Table'!I1771</f>
        <v>0</v>
      </c>
      <c r="U288" s="1969"/>
      <c r="V288" s="1969"/>
      <c r="W288" s="1969">
        <f t="shared" si="146"/>
        <v>0.36032199999999998</v>
      </c>
      <c r="X288" s="55">
        <f>'HVAC Deemed Table'!J1768</f>
        <v>6</v>
      </c>
      <c r="Y288" s="55">
        <f>'HVAC Deemed Table'!J1770</f>
        <v>12</v>
      </c>
      <c r="Z288" s="55">
        <f t="shared" si="131"/>
        <v>18</v>
      </c>
      <c r="AA288" s="49">
        <f>'HVAC Deemed Table'!BB1768</f>
        <v>1.0863057880155562</v>
      </c>
      <c r="AB288" s="698">
        <f>'HVAC Deemed Table'!K1768</f>
        <v>1205.4598012161669</v>
      </c>
      <c r="AC288" s="2583">
        <f t="shared" si="132"/>
        <v>815.12281589172596</v>
      </c>
      <c r="AD288" s="2583">
        <f t="shared" si="86"/>
        <v>420.83561665306291</v>
      </c>
      <c r="AE288" s="571">
        <f>'HVAC Deemed Table'!BD1768</f>
        <v>815.12281589172596</v>
      </c>
      <c r="AF288" s="571">
        <f>'HVAC Deemed Table'!BD1769</f>
        <v>0</v>
      </c>
      <c r="AG288" s="571">
        <f>'HVAC Deemed Table'!BD1770</f>
        <v>420.83561665306291</v>
      </c>
      <c r="AH288" s="571">
        <f>'HVAC Deemed Table'!BD1771</f>
        <v>0</v>
      </c>
      <c r="AI288" s="2589" t="str">
        <f t="shared" si="145"/>
        <v>per measure</v>
      </c>
      <c r="AJ288" s="93">
        <f>'HVAC Deemed Table'!L1768</f>
        <v>3.1</v>
      </c>
      <c r="AK288" s="2610"/>
      <c r="AL288" s="2610"/>
      <c r="AM288" s="1961">
        <f t="shared" si="71"/>
        <v>9.4741810000000004E-4</v>
      </c>
      <c r="AN288" s="84">
        <f t="shared" si="87"/>
        <v>1.2188249631070001</v>
      </c>
      <c r="AO288" s="2611">
        <f t="shared" si="72"/>
        <v>-3.6892999988324959E-8</v>
      </c>
      <c r="AP288" s="1779">
        <f>AO288/O288</f>
        <v>-3.0269316750415326E-8</v>
      </c>
      <c r="AQ288" s="84"/>
      <c r="AR288" s="84"/>
      <c r="AS288" s="84"/>
      <c r="AT288" s="84"/>
      <c r="AU288" s="84"/>
      <c r="AV288" s="84"/>
    </row>
    <row r="289" spans="1:48" x14ac:dyDescent="0.35">
      <c r="A289" s="103" t="str">
        <f t="shared" si="130"/>
        <v>354161</v>
      </c>
      <c r="B289" s="3346" t="str">
        <f>'HVAC Deemed Table'!C1772</f>
        <v>354161_2021_12_</v>
      </c>
      <c r="C289" s="2564" t="str">
        <f>'HVAC Deemed Table'!G1772</f>
        <v>Cooling Res</v>
      </c>
      <c r="D289" s="2564" t="str">
        <f>'HVAC Deemed Table'!G1773</f>
        <v>Heating Res</v>
      </c>
      <c r="E289" s="2564" t="str">
        <f>'HVAC Deemed Table'!G1774</f>
        <v>Cooling Res ER2</v>
      </c>
      <c r="F289" s="2564" t="str">
        <f>'HVAC Deemed Table'!G1775</f>
        <v>Heating Res ER2</v>
      </c>
      <c r="G289" s="3343" t="str">
        <f>'HVAC Deemed Table'!E1772</f>
        <v>ASHP-SEER17-Replace_CAC_NonElectricHeat_ER1_MF_CompE</v>
      </c>
      <c r="H289" s="50" t="str">
        <f>'HVAC Deemed Table'!D1772</f>
        <v>MFc</v>
      </c>
      <c r="I289" s="1966">
        <f t="shared" si="100"/>
        <v>935.62</v>
      </c>
      <c r="J289" s="1966">
        <f t="shared" si="101"/>
        <v>276.58999999999997</v>
      </c>
      <c r="K289" s="560">
        <f>'HVAC Deemed Table'!F1772</f>
        <v>935.62</v>
      </c>
      <c r="L289" s="560">
        <f>'HVAC Deemed Table'!F1773</f>
        <v>0</v>
      </c>
      <c r="M289" s="560">
        <f>'HVAC Deemed Table'!F1774</f>
        <v>276.58999999999997</v>
      </c>
      <c r="N289" s="560">
        <f>'HVAC Deemed Table'!F1775</f>
        <v>0</v>
      </c>
      <c r="O289" s="1967">
        <f t="shared" si="102"/>
        <v>0.88642299999999996</v>
      </c>
      <c r="P289" s="1967">
        <f t="shared" si="103"/>
        <v>0.262046</v>
      </c>
      <c r="Q289" s="1968">
        <f>'HVAC Deemed Table'!I1772</f>
        <v>0.88642299999999996</v>
      </c>
      <c r="R289" s="1968">
        <f>'HVAC Deemed Table'!I1773</f>
        <v>0</v>
      </c>
      <c r="S289" s="1968">
        <f>'HVAC Deemed Table'!I1774</f>
        <v>0.262046</v>
      </c>
      <c r="T289" s="1968">
        <f>'HVAC Deemed Table'!I1775</f>
        <v>0</v>
      </c>
      <c r="U289" s="1969"/>
      <c r="V289" s="1969"/>
      <c r="W289" s="1969">
        <f t="shared" si="146"/>
        <v>0.262046</v>
      </c>
      <c r="X289" s="55">
        <f>'HVAC Deemed Table'!J1772</f>
        <v>6</v>
      </c>
      <c r="Y289" s="55">
        <f>'HVAC Deemed Table'!J1774</f>
        <v>12</v>
      </c>
      <c r="Z289" s="55">
        <f t="shared" si="131"/>
        <v>18</v>
      </c>
      <c r="AA289" s="49">
        <f>'HVAC Deemed Table'!BB1772</f>
        <v>0.79003742175034664</v>
      </c>
      <c r="AB289" s="698">
        <f>'HVAC Deemed Table'!K1772</f>
        <v>1205.4598012161669</v>
      </c>
      <c r="AC289" s="2583">
        <f t="shared" si="132"/>
        <v>592.82004944119694</v>
      </c>
      <c r="AD289" s="2583">
        <f t="shared" si="86"/>
        <v>306.05522510010167</v>
      </c>
      <c r="AE289" s="571">
        <f>'HVAC Deemed Table'!BD1772</f>
        <v>592.82004944119694</v>
      </c>
      <c r="AF289" s="571">
        <f>'HVAC Deemed Table'!BD1773</f>
        <v>0</v>
      </c>
      <c r="AG289" s="571">
        <f>'HVAC Deemed Table'!BD1774</f>
        <v>306.05522510010167</v>
      </c>
      <c r="AH289" s="571">
        <f>'HVAC Deemed Table'!BD1775</f>
        <v>0</v>
      </c>
      <c r="AI289" s="2589" t="str">
        <f t="shared" ref="AI289:AI318" si="147">AI288</f>
        <v>per measure</v>
      </c>
      <c r="AJ289" s="93">
        <f>'HVAC Deemed Table'!L1772</f>
        <v>3.1</v>
      </c>
      <c r="AK289" s="2610"/>
      <c r="AL289" s="2610"/>
      <c r="AM289" s="1961">
        <f t="shared" si="71"/>
        <v>9.4741810000000004E-4</v>
      </c>
      <c r="AN289" s="84">
        <f t="shared" si="87"/>
        <v>0.88642332272200008</v>
      </c>
      <c r="AO289" s="2611">
        <f t="shared" si="72"/>
        <v>3.227220001233988E-7</v>
      </c>
      <c r="AP289" s="1779">
        <f>AO289/O289</f>
        <v>3.6407223201947472E-7</v>
      </c>
      <c r="AQ289" s="84"/>
      <c r="AR289" s="84"/>
      <c r="AS289" s="84"/>
      <c r="AT289" s="84"/>
      <c r="AU289" s="84"/>
      <c r="AV289" s="84"/>
    </row>
    <row r="290" spans="1:48" x14ac:dyDescent="0.35">
      <c r="A290" s="103" t="str">
        <f t="shared" si="130"/>
        <v>354200</v>
      </c>
      <c r="B290" s="3346" t="str">
        <f>'HVAC Deemed Table'!C1776</f>
        <v>354200_2019_12_</v>
      </c>
      <c r="C290" s="2564" t="str">
        <f>'HVAC Deemed Table'!G1776</f>
        <v>Cooling Res</v>
      </c>
      <c r="D290" s="2564" t="str">
        <f>'HVAC Deemed Table'!G1777</f>
        <v>Heating Res</v>
      </c>
      <c r="E290" s="2564" t="str">
        <f>'HVAC Deemed Table'!G1778</f>
        <v>Cooling Res ER2</v>
      </c>
      <c r="F290" s="2564" t="str">
        <f>'HVAC Deemed Table'!G1779</f>
        <v>Heating Res ER2</v>
      </c>
      <c r="G290" s="3343" t="str">
        <f>'HVAC Deemed Table'!E1776</f>
        <v>ASHP-SEER17_ER1_MF</v>
      </c>
      <c r="H290" s="50" t="str">
        <f>'HVAC Deemed Table'!D1776</f>
        <v>MF</v>
      </c>
      <c r="I290" s="1966">
        <f t="shared" si="100"/>
        <v>3168.23</v>
      </c>
      <c r="J290" s="1966">
        <f t="shared" si="101"/>
        <v>924.56</v>
      </c>
      <c r="K290" s="560">
        <f>'HVAC Deemed Table'!F1776</f>
        <v>1369.47</v>
      </c>
      <c r="L290" s="560">
        <f>'HVAC Deemed Table'!F1777</f>
        <v>1798.76</v>
      </c>
      <c r="M290" s="560">
        <f>'HVAC Deemed Table'!F1778</f>
        <v>281.95</v>
      </c>
      <c r="N290" s="560">
        <f>'HVAC Deemed Table'!F1779</f>
        <v>642.61</v>
      </c>
      <c r="O290" s="1967">
        <f t="shared" si="102"/>
        <v>1.297461</v>
      </c>
      <c r="P290" s="1967">
        <f t="shared" si="103"/>
        <v>0.267125</v>
      </c>
      <c r="Q290" s="1968">
        <f>'HVAC Deemed Table'!I1776</f>
        <v>1.297461</v>
      </c>
      <c r="R290" s="1968">
        <f>'HVAC Deemed Table'!I1777</f>
        <v>0</v>
      </c>
      <c r="S290" s="1968">
        <f>'HVAC Deemed Table'!I1778</f>
        <v>0.267125</v>
      </c>
      <c r="T290" s="1968">
        <f>'HVAC Deemed Table'!I1779</f>
        <v>0</v>
      </c>
      <c r="U290" s="1969"/>
      <c r="V290" s="1969"/>
      <c r="W290" s="1969">
        <f t="shared" si="146"/>
        <v>0.267125</v>
      </c>
      <c r="X290" s="55">
        <f>'HVAC Deemed Table'!J1776</f>
        <v>6</v>
      </c>
      <c r="Y290" s="55">
        <f>'HVAC Deemed Table'!J1778</f>
        <v>12</v>
      </c>
      <c r="Z290" s="55">
        <f t="shared" si="131"/>
        <v>18</v>
      </c>
      <c r="AA290" s="49">
        <f>'HVAC Deemed Table'!BB1776</f>
        <v>1.4177145785622352</v>
      </c>
      <c r="AB290" s="698">
        <f>'HVAC Deemed Table'!K1776</f>
        <v>1236.5217238752739</v>
      </c>
      <c r="AC290" s="2583">
        <f t="shared" si="132"/>
        <v>1160.8047030227067</v>
      </c>
      <c r="AD290" s="2583">
        <f t="shared" si="86"/>
        <v>493.78224803617252</v>
      </c>
      <c r="AE290" s="571">
        <f>'HVAC Deemed Table'!BD1776</f>
        <v>867.71261100471986</v>
      </c>
      <c r="AF290" s="571">
        <f>'HVAC Deemed Table'!BD1777</f>
        <v>293.09209201798672</v>
      </c>
      <c r="AG290" s="571">
        <f>'HVAC Deemed Table'!BD1778</f>
        <v>311.98622769071068</v>
      </c>
      <c r="AH290" s="571">
        <f>'HVAC Deemed Table'!BD1779</f>
        <v>181.79602034546187</v>
      </c>
      <c r="AI290" s="2589" t="str">
        <f t="shared" si="147"/>
        <v>per measure</v>
      </c>
      <c r="AJ290" s="93">
        <f>'HVAC Deemed Table'!L1776</f>
        <v>3.3</v>
      </c>
      <c r="AK290" s="1501"/>
      <c r="AL290" s="1501"/>
      <c r="AM290" s="1596">
        <f t="shared" si="71"/>
        <v>9.4741810000000004E-4</v>
      </c>
      <c r="AN290" s="84">
        <f t="shared" si="87"/>
        <v>1.297460665407</v>
      </c>
      <c r="AO290" s="1595">
        <f t="shared" si="72"/>
        <v>-3.3459299997318226E-7</v>
      </c>
    </row>
    <row r="291" spans="1:48" s="84" customFormat="1" x14ac:dyDescent="0.35">
      <c r="A291" s="103" t="str">
        <f t="shared" si="130"/>
        <v>354201</v>
      </c>
      <c r="B291" s="3346" t="str">
        <f>'HVAC Deemed Table'!C1780</f>
        <v>354201_2019_12_</v>
      </c>
      <c r="C291" s="2564" t="str">
        <f>'HVAC Deemed Table'!G1780</f>
        <v>Cooling Res</v>
      </c>
      <c r="D291" s="2564" t="str">
        <f>'HVAC Deemed Table'!G1781</f>
        <v>Heating Res</v>
      </c>
      <c r="E291" s="2564" t="str">
        <f>'HVAC Deemed Table'!G1782</f>
        <v>Cooling Res ER2</v>
      </c>
      <c r="F291" s="2564" t="str">
        <f>'HVAC Deemed Table'!G1783</f>
        <v>Heating Res ER2</v>
      </c>
      <c r="G291" s="3343" t="str">
        <f>'HVAC Deemed Table'!E1780</f>
        <v>ASHP-SEER17_ER1_MF_CompE</v>
      </c>
      <c r="H291" s="50" t="str">
        <f>'HVAC Deemed Table'!D1780</f>
        <v>MFc</v>
      </c>
      <c r="I291" s="1966">
        <f t="shared" si="100"/>
        <v>1609.19</v>
      </c>
      <c r="J291" s="1966">
        <f t="shared" si="101"/>
        <v>424.12</v>
      </c>
      <c r="K291" s="560">
        <f>'HVAC Deemed Table'!F1780</f>
        <v>995.98</v>
      </c>
      <c r="L291" s="560">
        <f>'HVAC Deemed Table'!F1781</f>
        <v>613.21</v>
      </c>
      <c r="M291" s="560">
        <f>'HVAC Deemed Table'!F1782</f>
        <v>205.05</v>
      </c>
      <c r="N291" s="560">
        <f>'HVAC Deemed Table'!F1783</f>
        <v>219.07</v>
      </c>
      <c r="O291" s="1967">
        <f t="shared" si="102"/>
        <v>0.94360900000000003</v>
      </c>
      <c r="P291" s="1967">
        <f t="shared" si="103"/>
        <v>0.194268</v>
      </c>
      <c r="Q291" s="1968">
        <f>'HVAC Deemed Table'!I1780</f>
        <v>0.94360900000000003</v>
      </c>
      <c r="R291" s="1968">
        <f>'HVAC Deemed Table'!I1781</f>
        <v>0</v>
      </c>
      <c r="S291" s="1968">
        <f>'HVAC Deemed Table'!I1782</f>
        <v>0.194268</v>
      </c>
      <c r="T291" s="1968">
        <f>'HVAC Deemed Table'!I1783</f>
        <v>0</v>
      </c>
      <c r="U291" s="1969"/>
      <c r="V291" s="1969"/>
      <c r="W291" s="1969">
        <f t="shared" si="146"/>
        <v>0.194268</v>
      </c>
      <c r="X291" s="55">
        <f>'HVAC Deemed Table'!J1780</f>
        <v>6</v>
      </c>
      <c r="Y291" s="55">
        <f>'HVAC Deemed Table'!J1782</f>
        <v>12</v>
      </c>
      <c r="Z291" s="55">
        <f t="shared" si="131"/>
        <v>18</v>
      </c>
      <c r="AA291" s="49">
        <f>'HVAC Deemed Table'!BB1780</f>
        <v>0.87384854817848834</v>
      </c>
      <c r="AB291" s="698">
        <f>'HVAC Deemed Table'!K1780</f>
        <v>1236.5217238752739</v>
      </c>
      <c r="AC291" s="2583">
        <f t="shared" si="132"/>
        <v>730.98203524522364</v>
      </c>
      <c r="AD291" s="2583">
        <f t="shared" si="86"/>
        <v>288.86951095540849</v>
      </c>
      <c r="AE291" s="571">
        <f>'HVAC Deemed Table'!BD1780</f>
        <v>631.06486911614047</v>
      </c>
      <c r="AF291" s="571">
        <f>'HVAC Deemed Table'!BD1781</f>
        <v>99.917166129083185</v>
      </c>
      <c r="AG291" s="571">
        <f>'HVAC Deemed Table'!BD1782</f>
        <v>226.89404500081656</v>
      </c>
      <c r="AH291" s="571">
        <f>'HVAC Deemed Table'!BD1783</f>
        <v>61.975465954591947</v>
      </c>
      <c r="AI291" s="2589" t="str">
        <f t="shared" si="147"/>
        <v>per measure</v>
      </c>
      <c r="AJ291" s="93">
        <f>'HVAC Deemed Table'!L1780</f>
        <v>3.3</v>
      </c>
      <c r="AK291" s="1501"/>
      <c r="AL291" s="1501"/>
      <c r="AM291" s="1596">
        <f t="shared" si="71"/>
        <v>9.4741810000000004E-4</v>
      </c>
      <c r="AN291" s="84">
        <f t="shared" si="87"/>
        <v>0.94360947923800009</v>
      </c>
      <c r="AO291" s="1500">
        <f t="shared" si="72"/>
        <v>4.7923800006177686E-7</v>
      </c>
      <c r="AP291" s="144">
        <f>AO291/O291</f>
        <v>5.0787773332151015E-7</v>
      </c>
      <c r="AQ291"/>
      <c r="AR291"/>
      <c r="AS291"/>
      <c r="AT291"/>
      <c r="AU291"/>
      <c r="AV291"/>
    </row>
    <row r="292" spans="1:48" x14ac:dyDescent="0.35">
      <c r="A292" s="103" t="str">
        <f t="shared" si="130"/>
        <v>354250</v>
      </c>
      <c r="B292" s="3346" t="str">
        <f>'HVAC Deemed Table'!C1784</f>
        <v>354250_2021_12_</v>
      </c>
      <c r="C292" s="2564" t="str">
        <f>'HVAC Deemed Table'!G1784</f>
        <v>Cooling Res</v>
      </c>
      <c r="D292" s="2564" t="str">
        <f>'HVAC Deemed Table'!G1785</f>
        <v>Heating Res</v>
      </c>
      <c r="E292" s="2564" t="str">
        <f>'HVAC Deemed Table'!G1786</f>
        <v>Cooling Res ER2</v>
      </c>
      <c r="F292" s="2564" t="str">
        <f>'HVAC Deemed Table'!G1787</f>
        <v>Heating Res ER2</v>
      </c>
      <c r="G292" s="3343" t="str">
        <f>'HVAC Deemed Table'!E1784</f>
        <v>ASHP-SEER18-Replace_CAC_ElectricHeat_ER1_SF</v>
      </c>
      <c r="H292" s="50" t="str">
        <f>'HVAC Deemed Table'!D1784</f>
        <v>SF</v>
      </c>
      <c r="I292" s="1966">
        <f t="shared" si="100"/>
        <v>12869.670000000002</v>
      </c>
      <c r="J292" s="1966">
        <f t="shared" si="101"/>
        <v>11208.380000000001</v>
      </c>
      <c r="K292" s="560">
        <f>'HVAC Deemed Table'!F1784</f>
        <v>2369.3000000000002</v>
      </c>
      <c r="L292" s="560">
        <f>'HVAC Deemed Table'!F1785</f>
        <v>10500.37</v>
      </c>
      <c r="M292" s="560">
        <f>'HVAC Deemed Table'!F1786</f>
        <v>708.01</v>
      </c>
      <c r="N292" s="560">
        <f>'HVAC Deemed Table'!F1787</f>
        <v>10500.37</v>
      </c>
      <c r="O292" s="1967">
        <f t="shared" si="102"/>
        <v>2.2447180000000002</v>
      </c>
      <c r="P292" s="1967">
        <f t="shared" si="103"/>
        <v>0.67078099999999996</v>
      </c>
      <c r="Q292" s="1968">
        <f>'HVAC Deemed Table'!I1784</f>
        <v>2.2447180000000002</v>
      </c>
      <c r="R292" s="1968">
        <f>'HVAC Deemed Table'!I1785</f>
        <v>0</v>
      </c>
      <c r="S292" s="1968">
        <f>'HVAC Deemed Table'!I1786</f>
        <v>0.67078099999999996</v>
      </c>
      <c r="T292" s="1968">
        <f>'HVAC Deemed Table'!I1787</f>
        <v>0</v>
      </c>
      <c r="U292" s="1969"/>
      <c r="V292" s="1969"/>
      <c r="W292" s="1969">
        <f t="shared" si="146"/>
        <v>0.67078099999999996</v>
      </c>
      <c r="X292" s="55">
        <f>'HVAC Deemed Table'!J1784</f>
        <v>6</v>
      </c>
      <c r="Y292" s="55">
        <f>'HVAC Deemed Table'!J1786</f>
        <v>12</v>
      </c>
      <c r="Z292" s="55">
        <f t="shared" si="131"/>
        <v>18</v>
      </c>
      <c r="AA292" s="49">
        <f>'HVAC Deemed Table'!BB1784</f>
        <v>4.3892708902118462</v>
      </c>
      <c r="AB292" s="698">
        <f>'HVAC Deemed Table'!K1784</f>
        <v>1681.5237652002679</v>
      </c>
      <c r="AC292" s="2583">
        <f t="shared" si="132"/>
        <v>3212.1596525536534</v>
      </c>
      <c r="AD292" s="2583">
        <f t="shared" si="86"/>
        <v>3754.0161981239808</v>
      </c>
      <c r="AE292" s="571">
        <f>'HVAC Deemed Table'!BD1784</f>
        <v>1501.2168862797162</v>
      </c>
      <c r="AF292" s="571">
        <f>'HVAC Deemed Table'!BD1785</f>
        <v>1710.9427662739374</v>
      </c>
      <c r="AG292" s="571">
        <f>'HVAC Deemed Table'!BD1786</f>
        <v>783.43454182408254</v>
      </c>
      <c r="AH292" s="571">
        <f>'HVAC Deemed Table'!BD1787</f>
        <v>2970.5816562998984</v>
      </c>
      <c r="AI292" s="2589" t="str">
        <f t="shared" si="147"/>
        <v>per measure</v>
      </c>
      <c r="AJ292" s="93">
        <f>'HVAC Deemed Table'!L1784</f>
        <v>3.0074921794528389</v>
      </c>
      <c r="AK292" s="1501"/>
      <c r="AL292" s="1501"/>
      <c r="AM292" s="1596">
        <f t="shared" si="71"/>
        <v>9.4741810000000004E-4</v>
      </c>
      <c r="AN292" s="84">
        <f t="shared" si="87"/>
        <v>2.2447177043300002</v>
      </c>
      <c r="AO292" s="1595">
        <f t="shared" si="72"/>
        <v>-2.9567000003893895E-7</v>
      </c>
    </row>
    <row r="293" spans="1:48" x14ac:dyDescent="0.35">
      <c r="A293" s="103" t="str">
        <f t="shared" si="130"/>
        <v>354260</v>
      </c>
      <c r="B293" s="3346" t="str">
        <f>'HVAC Deemed Table'!C1788</f>
        <v>354260_2021_12_</v>
      </c>
      <c r="C293" s="2564" t="str">
        <f>'HVAC Deemed Table'!G1788</f>
        <v>Cooling Res</v>
      </c>
      <c r="D293" s="2564" t="str">
        <f>'HVAC Deemed Table'!G1789</f>
        <v>Heating Res</v>
      </c>
      <c r="E293" s="2564" t="str">
        <f>'HVAC Deemed Table'!G1790</f>
        <v>Cooling Res ER2</v>
      </c>
      <c r="F293" s="2564" t="str">
        <f>'HVAC Deemed Table'!G1791</f>
        <v>Heating Res ER2</v>
      </c>
      <c r="G293" s="3343" t="str">
        <f>'HVAC Deemed Table'!E1788</f>
        <v>ASHP-SEER18-Replace_CAC_NonElectricHeat_ER1_SF</v>
      </c>
      <c r="H293" s="50" t="str">
        <f>'HVAC Deemed Table'!D1788</f>
        <v>SF</v>
      </c>
      <c r="I293" s="1966">
        <f t="shared" si="100"/>
        <v>2369.3000000000002</v>
      </c>
      <c r="J293" s="1966">
        <f t="shared" si="101"/>
        <v>708.01</v>
      </c>
      <c r="K293" s="560">
        <f>'HVAC Deemed Table'!F1788</f>
        <v>2369.3000000000002</v>
      </c>
      <c r="L293" s="560">
        <f>'HVAC Deemed Table'!F1789</f>
        <v>0</v>
      </c>
      <c r="M293" s="560">
        <f>'HVAC Deemed Table'!F1790</f>
        <v>708.01</v>
      </c>
      <c r="N293" s="560">
        <f>'HVAC Deemed Table'!F1791</f>
        <v>0</v>
      </c>
      <c r="O293" s="1967">
        <f t="shared" si="102"/>
        <v>2.2447180000000002</v>
      </c>
      <c r="P293" s="1967">
        <f t="shared" si="103"/>
        <v>0.67078099999999996</v>
      </c>
      <c r="Q293" s="1968">
        <f>'HVAC Deemed Table'!I1788</f>
        <v>2.2447180000000002</v>
      </c>
      <c r="R293" s="1968">
        <f>'HVAC Deemed Table'!I1789</f>
        <v>0</v>
      </c>
      <c r="S293" s="1968">
        <f>'HVAC Deemed Table'!I1790</f>
        <v>0.67078099999999996</v>
      </c>
      <c r="T293" s="1968">
        <f>'HVAC Deemed Table'!I1791</f>
        <v>0</v>
      </c>
      <c r="U293" s="1969"/>
      <c r="V293" s="1969"/>
      <c r="W293" s="1969">
        <f t="shared" si="146"/>
        <v>0.67078099999999996</v>
      </c>
      <c r="X293" s="55">
        <f>'HVAC Deemed Table'!J1788</f>
        <v>6</v>
      </c>
      <c r="Y293" s="55">
        <f>'HVAC Deemed Table'!J1790</f>
        <v>12</v>
      </c>
      <c r="Z293" s="55">
        <f t="shared" si="131"/>
        <v>18</v>
      </c>
      <c r="AA293" s="49">
        <f>'HVAC Deemed Table'!BB1788</f>
        <v>1.4395206527382534</v>
      </c>
      <c r="AB293" s="698">
        <f>'HVAC Deemed Table'!K1788</f>
        <v>1681.5237652002679</v>
      </c>
      <c r="AC293" s="2583">
        <f t="shared" si="132"/>
        <v>1501.2168862797162</v>
      </c>
      <c r="AD293" s="2583">
        <f t="shared" si="86"/>
        <v>783.43454182408254</v>
      </c>
      <c r="AE293" s="571">
        <f>'HVAC Deemed Table'!BD1788</f>
        <v>1501.2168862797162</v>
      </c>
      <c r="AF293" s="571">
        <f>'HVAC Deemed Table'!BD1789</f>
        <v>0</v>
      </c>
      <c r="AG293" s="571">
        <f>'HVAC Deemed Table'!BD1790</f>
        <v>783.43454182408254</v>
      </c>
      <c r="AH293" s="571">
        <f>'HVAC Deemed Table'!BD1791</f>
        <v>0</v>
      </c>
      <c r="AI293" s="2589" t="str">
        <f t="shared" si="147"/>
        <v>per measure</v>
      </c>
      <c r="AJ293" s="93">
        <f>'HVAC Deemed Table'!L1788</f>
        <v>3.0074921794528389</v>
      </c>
      <c r="AK293" s="2610"/>
      <c r="AL293" s="2610"/>
      <c r="AM293" s="1961">
        <f t="shared" si="71"/>
        <v>9.4741810000000004E-4</v>
      </c>
      <c r="AN293" s="84">
        <f t="shared" si="87"/>
        <v>2.2447177043300002</v>
      </c>
      <c r="AO293" s="1965">
        <f t="shared" si="72"/>
        <v>-2.9567000003893895E-7</v>
      </c>
      <c r="AP293" s="84"/>
      <c r="AQ293" s="84"/>
      <c r="AR293" s="84"/>
      <c r="AS293" s="84"/>
      <c r="AT293" s="84"/>
      <c r="AU293" s="84"/>
      <c r="AV293" s="84"/>
    </row>
    <row r="294" spans="1:48" s="84" customFormat="1" x14ac:dyDescent="0.35">
      <c r="A294" s="103" t="str">
        <f t="shared" si="130"/>
        <v>354300</v>
      </c>
      <c r="B294" s="3346" t="str">
        <f>'HVAC Deemed Table'!C1792</f>
        <v>354300_2021_12_</v>
      </c>
      <c r="C294" s="2564" t="str">
        <f>'HVAC Deemed Table'!G1792</f>
        <v>Cooling Res</v>
      </c>
      <c r="D294" s="2564" t="str">
        <f>'HVAC Deemed Table'!G1793</f>
        <v>Heating Res</v>
      </c>
      <c r="E294" s="2564" t="str">
        <f>'HVAC Deemed Table'!G1794</f>
        <v>Cooling Res ER2</v>
      </c>
      <c r="F294" s="2564" t="str">
        <f>'HVAC Deemed Table'!G1795</f>
        <v>Heating Res ER2</v>
      </c>
      <c r="G294" s="3343" t="str">
        <f>'HVAC Deemed Table'!E1792</f>
        <v>ASHP-SEER18-Replace_CAC_ElectricHeat_ER1_MF</v>
      </c>
      <c r="H294" s="50" t="str">
        <f>'HVAC Deemed Table'!D1792</f>
        <v>MF</v>
      </c>
      <c r="I294" s="1966">
        <f t="shared" si="100"/>
        <v>7222.49</v>
      </c>
      <c r="J294" s="1966">
        <f t="shared" si="101"/>
        <v>5538.2000000000007</v>
      </c>
      <c r="K294" s="560">
        <f>'HVAC Deemed Table'!F1792</f>
        <v>2018.52</v>
      </c>
      <c r="L294" s="560">
        <f>'HVAC Deemed Table'!F1793</f>
        <v>5203.97</v>
      </c>
      <c r="M294" s="560">
        <f>'HVAC Deemed Table'!F1794</f>
        <v>334.23</v>
      </c>
      <c r="N294" s="560">
        <f>'HVAC Deemed Table'!F1795</f>
        <v>5203.97</v>
      </c>
      <c r="O294" s="1967">
        <f t="shared" si="102"/>
        <v>1.912382</v>
      </c>
      <c r="P294" s="1967">
        <f t="shared" si="103"/>
        <v>0.31665599999999999</v>
      </c>
      <c r="Q294" s="1968">
        <f>'HVAC Deemed Table'!I1792</f>
        <v>1.912382</v>
      </c>
      <c r="R294" s="1968">
        <f>'HVAC Deemed Table'!I1793</f>
        <v>0</v>
      </c>
      <c r="S294" s="1968">
        <f>'HVAC Deemed Table'!I1794</f>
        <v>0.31665599999999999</v>
      </c>
      <c r="T294" s="1968">
        <f>'HVAC Deemed Table'!I1795</f>
        <v>0</v>
      </c>
      <c r="U294" s="1969"/>
      <c r="V294" s="1969"/>
      <c r="W294" s="1969">
        <f t="shared" si="146"/>
        <v>0.31665599999999999</v>
      </c>
      <c r="X294" s="55">
        <f>'HVAC Deemed Table'!J1792</f>
        <v>6</v>
      </c>
      <c r="Y294" s="55">
        <f>'HVAC Deemed Table'!J1794</f>
        <v>12</v>
      </c>
      <c r="Z294" s="55">
        <f t="shared" si="131"/>
        <v>18</v>
      </c>
      <c r="AA294" s="49">
        <f>'HVAC Deemed Table'!BB1792</f>
        <v>3.1824861734253336</v>
      </c>
      <c r="AB294" s="698">
        <f>'HVAC Deemed Table'!K1792</f>
        <v>1321.3267999127791</v>
      </c>
      <c r="AC294" s="2583">
        <f t="shared" si="132"/>
        <v>2126.8995287842313</v>
      </c>
      <c r="AD294" s="2583">
        <f t="shared" si="86"/>
        <v>1842.0521194448968</v>
      </c>
      <c r="AE294" s="571">
        <f>'HVAC Deemed Table'!BD1792</f>
        <v>1278.9584726684388</v>
      </c>
      <c r="AF294" s="571">
        <f>'HVAC Deemed Table'!BD1793</f>
        <v>847.94105611579232</v>
      </c>
      <c r="AG294" s="571">
        <f>'HVAC Deemed Table'!BD1794</f>
        <v>369.83563355582987</v>
      </c>
      <c r="AH294" s="571">
        <f>'HVAC Deemed Table'!BD1795</f>
        <v>1472.2164858890669</v>
      </c>
      <c r="AI294" s="2589" t="str">
        <f t="shared" si="147"/>
        <v>per measure</v>
      </c>
      <c r="AJ294" s="93">
        <f>'HVAC Deemed Table'!L1792</f>
        <v>1.5</v>
      </c>
      <c r="AK294" s="1501"/>
      <c r="AL294" s="1501"/>
      <c r="AM294" s="1596">
        <f t="shared" si="71"/>
        <v>9.4741810000000004E-4</v>
      </c>
      <c r="AN294" s="84">
        <f t="shared" si="87"/>
        <v>1.9123823832120002</v>
      </c>
      <c r="AO294" s="1595">
        <f t="shared" si="72"/>
        <v>3.8321200013236023E-7</v>
      </c>
      <c r="AP294"/>
      <c r="AQ294"/>
      <c r="AR294"/>
      <c r="AS294"/>
      <c r="AT294"/>
      <c r="AU294"/>
      <c r="AV294"/>
    </row>
    <row r="295" spans="1:48" s="84" customFormat="1" x14ac:dyDescent="0.35">
      <c r="A295" s="103" t="str">
        <f t="shared" si="130"/>
        <v>354301</v>
      </c>
      <c r="B295" s="3346" t="str">
        <f>'HVAC Deemed Table'!C1796</f>
        <v>354301_2021_12_</v>
      </c>
      <c r="C295" s="2564" t="str">
        <f>'HVAC Deemed Table'!G1796</f>
        <v>Cooling Res</v>
      </c>
      <c r="D295" s="2564" t="str">
        <f>'HVAC Deemed Table'!G1797</f>
        <v>Heating Res</v>
      </c>
      <c r="E295" s="2564" t="str">
        <f>'HVAC Deemed Table'!G1798</f>
        <v>Cooling Res ER2</v>
      </c>
      <c r="F295" s="2564" t="str">
        <f>'HVAC Deemed Table'!G1799</f>
        <v>Heating Res ER2</v>
      </c>
      <c r="G295" s="3343" t="str">
        <f>'HVAC Deemed Table'!E1796</f>
        <v>ASHP-SEER18-Replace_CAC_ElectricHeat_ER1_MF_CompE</v>
      </c>
      <c r="H295" s="50" t="str">
        <f>'HVAC Deemed Table'!D1796</f>
        <v>MFc</v>
      </c>
      <c r="I295" s="1966">
        <f t="shared" si="100"/>
        <v>1630.0300000000002</v>
      </c>
      <c r="J295" s="1966">
        <f t="shared" si="101"/>
        <v>1311.15</v>
      </c>
      <c r="K295" s="560">
        <f>'HVAC Deemed Table'!F1796</f>
        <v>476.88</v>
      </c>
      <c r="L295" s="560">
        <f>'HVAC Deemed Table'!F1797</f>
        <v>1153.1500000000001</v>
      </c>
      <c r="M295" s="560">
        <f>'HVAC Deemed Table'!F1798</f>
        <v>158</v>
      </c>
      <c r="N295" s="560">
        <f>'HVAC Deemed Table'!F1799</f>
        <v>1153.1500000000001</v>
      </c>
      <c r="O295" s="1967">
        <f t="shared" si="102"/>
        <v>0.45180500000000001</v>
      </c>
      <c r="P295" s="1967">
        <f t="shared" si="103"/>
        <v>0.14969199999999999</v>
      </c>
      <c r="Q295" s="1968">
        <f>'HVAC Deemed Table'!I1796</f>
        <v>0.45180500000000001</v>
      </c>
      <c r="R295" s="1968">
        <f>'HVAC Deemed Table'!I1797</f>
        <v>0</v>
      </c>
      <c r="S295" s="1968">
        <f>'HVAC Deemed Table'!I1798</f>
        <v>0.14969199999999999</v>
      </c>
      <c r="T295" s="1968">
        <f>'HVAC Deemed Table'!I1799</f>
        <v>0</v>
      </c>
      <c r="U295" s="1969"/>
      <c r="V295" s="1969"/>
      <c r="W295" s="1969">
        <f t="shared" si="146"/>
        <v>0.14969199999999999</v>
      </c>
      <c r="X295" s="55">
        <f>'HVAC Deemed Table'!J1796</f>
        <v>6</v>
      </c>
      <c r="Y295" s="55">
        <f>'HVAC Deemed Table'!J1798</f>
        <v>12</v>
      </c>
      <c r="Z295" s="55">
        <f t="shared" si="131"/>
        <v>18</v>
      </c>
      <c r="AA295" s="49">
        <f>'HVAC Deemed Table'!BB1796</f>
        <v>0.87808206060427829</v>
      </c>
      <c r="AB295" s="698">
        <f>'HVAC Deemed Table'!K1796</f>
        <v>1195.8844199433067</v>
      </c>
      <c r="AC295" s="2583">
        <f t="shared" si="132"/>
        <v>490.05251684892403</v>
      </c>
      <c r="AD295" s="2583">
        <f t="shared" si="86"/>
        <v>501.06089108724456</v>
      </c>
      <c r="AE295" s="571">
        <f>'HVAC Deemed Table'!BD1796</f>
        <v>302.15688546366897</v>
      </c>
      <c r="AF295" s="571">
        <f>'HVAC Deemed Table'!BD1797</f>
        <v>187.89563138525509</v>
      </c>
      <c r="AG295" s="571">
        <f>'HVAC Deemed Table'!BD1798</f>
        <v>174.83179278287741</v>
      </c>
      <c r="AH295" s="571">
        <f>'HVAC Deemed Table'!BD1799</f>
        <v>326.22909830436714</v>
      </c>
      <c r="AI295" s="2589" t="str">
        <f t="shared" si="147"/>
        <v>per measure</v>
      </c>
      <c r="AJ295" s="93">
        <f>'HVAC Deemed Table'!L1796</f>
        <v>1.5</v>
      </c>
      <c r="AK295" s="1501"/>
      <c r="AL295" s="1501"/>
      <c r="AM295" s="1596">
        <f t="shared" si="71"/>
        <v>9.4741810000000004E-4</v>
      </c>
      <c r="AN295" s="84">
        <f t="shared" si="87"/>
        <v>0.45180474352799999</v>
      </c>
      <c r="AO295" s="1500">
        <f t="shared" si="72"/>
        <v>-2.5647200002643089E-7</v>
      </c>
      <c r="AP295" s="144">
        <f>AO295/O295</f>
        <v>-5.6766082718524777E-7</v>
      </c>
      <c r="AQ295"/>
      <c r="AR295"/>
      <c r="AS295"/>
      <c r="AT295"/>
      <c r="AU295"/>
      <c r="AV295"/>
    </row>
    <row r="296" spans="1:48" x14ac:dyDescent="0.35">
      <c r="A296" s="103" t="str">
        <f t="shared" si="130"/>
        <v>354310</v>
      </c>
      <c r="B296" s="3346" t="str">
        <f>'HVAC Deemed Table'!C1800</f>
        <v>354310_2021_12_</v>
      </c>
      <c r="C296" s="2564" t="str">
        <f>'HVAC Deemed Table'!G1800</f>
        <v>Cooling Res</v>
      </c>
      <c r="D296" s="2564" t="str">
        <f>'HVAC Deemed Table'!G1801</f>
        <v>Heating Res</v>
      </c>
      <c r="E296" s="2564" t="str">
        <f>'HVAC Deemed Table'!G1802</f>
        <v>Cooling Res ER2</v>
      </c>
      <c r="F296" s="2564" t="str">
        <f>'HVAC Deemed Table'!G1803</f>
        <v>Heating Res ER2</v>
      </c>
      <c r="G296" s="3343" t="str">
        <f>'HVAC Deemed Table'!E1800</f>
        <v>ASHP-SEER18-Replace_CAC_NonElectricHeat_ER1_MF</v>
      </c>
      <c r="H296" s="50" t="str">
        <f>'HVAC Deemed Table'!D1800</f>
        <v>MF</v>
      </c>
      <c r="I296" s="1966">
        <f t="shared" si="100"/>
        <v>1312.04</v>
      </c>
      <c r="J296" s="1966">
        <f t="shared" si="101"/>
        <v>217.25</v>
      </c>
      <c r="K296" s="560">
        <f>'HVAC Deemed Table'!F1800</f>
        <v>1312.04</v>
      </c>
      <c r="L296" s="560">
        <f>'HVAC Deemed Table'!F1801</f>
        <v>0</v>
      </c>
      <c r="M296" s="560">
        <f>'HVAC Deemed Table'!F1802</f>
        <v>217.25</v>
      </c>
      <c r="N296" s="560">
        <f>'HVAC Deemed Table'!F1803</f>
        <v>0</v>
      </c>
      <c r="O296" s="1967">
        <f t="shared" si="102"/>
        <v>1.24305</v>
      </c>
      <c r="P296" s="1967">
        <f t="shared" si="103"/>
        <v>0.20582700000000001</v>
      </c>
      <c r="Q296" s="1968">
        <f>'HVAC Deemed Table'!I1800</f>
        <v>1.24305</v>
      </c>
      <c r="R296" s="1968">
        <f>'HVAC Deemed Table'!I1801</f>
        <v>0</v>
      </c>
      <c r="S296" s="1968">
        <f>'HVAC Deemed Table'!I1802</f>
        <v>0.20582700000000001</v>
      </c>
      <c r="T296" s="1968">
        <f>'HVAC Deemed Table'!I1803</f>
        <v>0</v>
      </c>
      <c r="U296" s="1969"/>
      <c r="V296" s="1969"/>
      <c r="W296" s="1969">
        <f t="shared" si="146"/>
        <v>0.20582700000000001</v>
      </c>
      <c r="X296" s="55">
        <f>'HVAC Deemed Table'!J1800</f>
        <v>6</v>
      </c>
      <c r="Y296" s="55">
        <f>'HVAC Deemed Table'!J1802</f>
        <v>12</v>
      </c>
      <c r="Z296" s="55">
        <f t="shared" si="131"/>
        <v>18</v>
      </c>
      <c r="AA296" s="49">
        <f>'HVAC Deemed Table'!BB1800</f>
        <v>0.94949410743730422</v>
      </c>
      <c r="AB296" s="698">
        <f>'HVAC Deemed Table'!K1800</f>
        <v>1195.8844199433067</v>
      </c>
      <c r="AC296" s="2583">
        <f t="shared" si="132"/>
        <v>831.32427445846395</v>
      </c>
      <c r="AD296" s="2583">
        <f t="shared" si="86"/>
        <v>240.39371507645643</v>
      </c>
      <c r="AE296" s="571">
        <f>'HVAC Deemed Table'!BD1800</f>
        <v>831.32427445846395</v>
      </c>
      <c r="AF296" s="571">
        <f>'HVAC Deemed Table'!BD1801</f>
        <v>0</v>
      </c>
      <c r="AG296" s="571">
        <f>'HVAC Deemed Table'!BD1802</f>
        <v>240.39371507645643</v>
      </c>
      <c r="AH296" s="571">
        <f>'HVAC Deemed Table'!BD1803</f>
        <v>0</v>
      </c>
      <c r="AI296" s="2589" t="str">
        <f t="shared" si="147"/>
        <v>per measure</v>
      </c>
      <c r="AJ296" s="93">
        <f>'HVAC Deemed Table'!L1800</f>
        <v>1.5</v>
      </c>
      <c r="AK296" s="2610"/>
      <c r="AL296" s="2610"/>
      <c r="AM296" s="1961">
        <f t="shared" si="71"/>
        <v>9.4741810000000004E-4</v>
      </c>
      <c r="AN296" s="84">
        <f t="shared" si="87"/>
        <v>1.243050443924</v>
      </c>
      <c r="AO296" s="2611">
        <f t="shared" si="72"/>
        <v>4.439240000042588E-7</v>
      </c>
      <c r="AP296" s="1779">
        <f>AO296/O296</f>
        <v>3.571248139690751E-7</v>
      </c>
      <c r="AQ296" s="84"/>
      <c r="AR296" s="84"/>
      <c r="AS296" s="84"/>
      <c r="AT296" s="84"/>
      <c r="AU296" s="84"/>
      <c r="AV296" s="84"/>
    </row>
    <row r="297" spans="1:48" x14ac:dyDescent="0.35">
      <c r="A297" s="103" t="str">
        <f t="shared" si="130"/>
        <v>354311</v>
      </c>
      <c r="B297" s="3346" t="str">
        <f>'HVAC Deemed Table'!C1804</f>
        <v>354311_2021_12_</v>
      </c>
      <c r="C297" s="2564" t="str">
        <f>'HVAC Deemed Table'!G1804</f>
        <v>Cooling Res</v>
      </c>
      <c r="D297" s="2564" t="str">
        <f>'HVAC Deemed Table'!G1805</f>
        <v>Heating Res</v>
      </c>
      <c r="E297" s="2564" t="str">
        <f>'HVAC Deemed Table'!G1806</f>
        <v>Cooling Res ER2</v>
      </c>
      <c r="F297" s="2564" t="str">
        <f>'HVAC Deemed Table'!G1807</f>
        <v>Heating Res ER2</v>
      </c>
      <c r="G297" s="3343" t="str">
        <f>'HVAC Deemed Table'!E1804</f>
        <v>ASHP-SEER18-Replace_CAC_NonElectricHeat_ER1_MF_CompE</v>
      </c>
      <c r="H297" s="50" t="str">
        <f>'HVAC Deemed Table'!D1804</f>
        <v>MFc</v>
      </c>
      <c r="I297" s="1966">
        <f t="shared" si="100"/>
        <v>476.88</v>
      </c>
      <c r="J297" s="1966">
        <f t="shared" si="101"/>
        <v>158</v>
      </c>
      <c r="K297" s="560">
        <f>'HVAC Deemed Table'!F1804</f>
        <v>476.88</v>
      </c>
      <c r="L297" s="560">
        <f>'HVAC Deemed Table'!F1805</f>
        <v>0</v>
      </c>
      <c r="M297" s="560">
        <f>'HVAC Deemed Table'!F1806</f>
        <v>158</v>
      </c>
      <c r="N297" s="560">
        <f>'HVAC Deemed Table'!F1807</f>
        <v>0</v>
      </c>
      <c r="O297" s="1967">
        <f t="shared" si="102"/>
        <v>0.45180500000000001</v>
      </c>
      <c r="P297" s="1967">
        <f t="shared" si="103"/>
        <v>0.14969199999999999</v>
      </c>
      <c r="Q297" s="1968">
        <f>'HVAC Deemed Table'!I1804</f>
        <v>0.45180500000000001</v>
      </c>
      <c r="R297" s="1968">
        <f>'HVAC Deemed Table'!I1805</f>
        <v>0</v>
      </c>
      <c r="S297" s="1968">
        <f>'HVAC Deemed Table'!I1806</f>
        <v>0.14969199999999999</v>
      </c>
      <c r="T297" s="1968">
        <f>'HVAC Deemed Table'!I1807</f>
        <v>0</v>
      </c>
      <c r="U297" s="1969"/>
      <c r="V297" s="1969"/>
      <c r="W297" s="1969">
        <f t="shared" si="146"/>
        <v>0.14969199999999999</v>
      </c>
      <c r="X297" s="55">
        <f>'HVAC Deemed Table'!J1804</f>
        <v>6</v>
      </c>
      <c r="Y297" s="55">
        <f>'HVAC Deemed Table'!J1806</f>
        <v>12</v>
      </c>
      <c r="Z297" s="55">
        <f t="shared" si="131"/>
        <v>18</v>
      </c>
      <c r="AA297" s="49">
        <f>'HVAC Deemed Table'!BB1804</f>
        <v>0.42259059167789309</v>
      </c>
      <c r="AB297" s="698">
        <f>'HVAC Deemed Table'!K1804</f>
        <v>1195.8844199433067</v>
      </c>
      <c r="AC297" s="2583">
        <f t="shared" si="132"/>
        <v>302.15688546366897</v>
      </c>
      <c r="AD297" s="2583">
        <f t="shared" si="86"/>
        <v>174.83179278287741</v>
      </c>
      <c r="AE297" s="571">
        <f>'HVAC Deemed Table'!BD1804</f>
        <v>302.15688546366897</v>
      </c>
      <c r="AF297" s="571">
        <f>'HVAC Deemed Table'!BD1805</f>
        <v>0</v>
      </c>
      <c r="AG297" s="571">
        <f>'HVAC Deemed Table'!BD1806</f>
        <v>174.83179278287741</v>
      </c>
      <c r="AH297" s="571">
        <f>'HVAC Deemed Table'!BD1807</f>
        <v>0</v>
      </c>
      <c r="AI297" s="2589" t="str">
        <f t="shared" si="147"/>
        <v>per measure</v>
      </c>
      <c r="AJ297" s="93">
        <f>'HVAC Deemed Table'!L1804</f>
        <v>1.5</v>
      </c>
      <c r="AK297" s="2610"/>
      <c r="AL297" s="2610"/>
      <c r="AM297" s="1961">
        <f t="shared" si="71"/>
        <v>9.4741810000000004E-4</v>
      </c>
      <c r="AN297" s="84">
        <f t="shared" si="87"/>
        <v>0.45180474352799999</v>
      </c>
      <c r="AO297" s="2611">
        <f t="shared" si="72"/>
        <v>-2.5647200002643089E-7</v>
      </c>
      <c r="AP297" s="1779">
        <f>AO297/O297</f>
        <v>-5.6766082718524777E-7</v>
      </c>
      <c r="AQ297" s="84"/>
      <c r="AR297" s="84"/>
      <c r="AS297" s="84"/>
      <c r="AT297" s="84"/>
      <c r="AU297" s="84"/>
      <c r="AV297" s="84"/>
    </row>
    <row r="298" spans="1:48" x14ac:dyDescent="0.35">
      <c r="A298" s="103" t="str">
        <f t="shared" si="130"/>
        <v>354350</v>
      </c>
      <c r="B298" s="3346" t="str">
        <f>'HVAC Deemed Table'!C1808</f>
        <v>354350_2021_12_</v>
      </c>
      <c r="C298" s="2564" t="str">
        <f>'HVAC Deemed Table'!G1808</f>
        <v>Cooling Res</v>
      </c>
      <c r="D298" s="2564" t="str">
        <f>'HVAC Deemed Table'!G1809</f>
        <v>Heating Res</v>
      </c>
      <c r="E298" s="2564" t="str">
        <f>'HVAC Deemed Table'!G1810</f>
        <v>Cooling Res ER2</v>
      </c>
      <c r="F298" s="2564" t="str">
        <f>'HVAC Deemed Table'!G1811</f>
        <v>Heating Res ER2</v>
      </c>
      <c r="G298" s="3343" t="str">
        <f>'HVAC Deemed Table'!E1808</f>
        <v>ASHP-SEER18_ER1_MF</v>
      </c>
      <c r="H298" s="50" t="str">
        <f>'HVAC Deemed Table'!D1808</f>
        <v>MF</v>
      </c>
      <c r="I298" s="1966">
        <f t="shared" si="100"/>
        <v>4797.4400000000005</v>
      </c>
      <c r="J298" s="1966">
        <f t="shared" si="101"/>
        <v>1398.98</v>
      </c>
      <c r="K298" s="560">
        <f>'HVAC Deemed Table'!F1808</f>
        <v>2464.77</v>
      </c>
      <c r="L298" s="560">
        <f>'HVAC Deemed Table'!F1809</f>
        <v>2332.67</v>
      </c>
      <c r="M298" s="560">
        <f>'HVAC Deemed Table'!F1810</f>
        <v>413.81</v>
      </c>
      <c r="N298" s="560">
        <f>'HVAC Deemed Table'!F1811</f>
        <v>985.17</v>
      </c>
      <c r="O298" s="1967">
        <f t="shared" si="102"/>
        <v>2.3351679999999999</v>
      </c>
      <c r="P298" s="1967">
        <f t="shared" si="103"/>
        <v>0.39205099999999998</v>
      </c>
      <c r="Q298" s="1968">
        <f>'HVAC Deemed Table'!I1808</f>
        <v>2.3351679999999999</v>
      </c>
      <c r="R298" s="1968">
        <f>'HVAC Deemed Table'!I1809</f>
        <v>0</v>
      </c>
      <c r="S298" s="1968">
        <f>'HVAC Deemed Table'!I1810</f>
        <v>0.39205099999999998</v>
      </c>
      <c r="T298" s="1968">
        <f>'HVAC Deemed Table'!I1811</f>
        <v>0</v>
      </c>
      <c r="U298" s="1969"/>
      <c r="V298" s="1969"/>
      <c r="W298" s="1969">
        <f t="shared" si="146"/>
        <v>0.39205099999999998</v>
      </c>
      <c r="X298" s="55">
        <f>'HVAC Deemed Table'!J1808</f>
        <v>6</v>
      </c>
      <c r="Y298" s="55">
        <f>'HVAC Deemed Table'!J1810</f>
        <v>12</v>
      </c>
      <c r="Z298" s="55">
        <f t="shared" si="131"/>
        <v>18</v>
      </c>
      <c r="AA298" s="49">
        <f>'HVAC Deemed Table'!BB1808</f>
        <v>1.8187689095014403</v>
      </c>
      <c r="AB298" s="698">
        <f>'HVAC Deemed Table'!K1808</f>
        <v>1560.2646665212983</v>
      </c>
      <c r="AC298" s="2583">
        <f t="shared" si="132"/>
        <v>1941.7958448076472</v>
      </c>
      <c r="AD298" s="2583">
        <f t="shared" si="86"/>
        <v>736.60044217920517</v>
      </c>
      <c r="AE298" s="571">
        <f>'HVAC Deemed Table'!BD1808</f>
        <v>1561.7078228994453</v>
      </c>
      <c r="AF298" s="571">
        <f>'HVAC Deemed Table'!BD1809</f>
        <v>380.08802190820182</v>
      </c>
      <c r="AG298" s="571">
        <f>'HVAC Deemed Table'!BD1810</f>
        <v>457.89331754102852</v>
      </c>
      <c r="AH298" s="571">
        <f>'HVAC Deemed Table'!BD1811</f>
        <v>278.70712463817659</v>
      </c>
      <c r="AI298" s="2589" t="str">
        <f t="shared" si="147"/>
        <v>per measure</v>
      </c>
      <c r="AJ298" s="93">
        <f>'HVAC Deemed Table'!L1808</f>
        <v>2.5</v>
      </c>
      <c r="AK298" s="1501"/>
      <c r="AL298" s="1501"/>
      <c r="AM298" s="1596">
        <f t="shared" si="71"/>
        <v>9.4741810000000004E-4</v>
      </c>
      <c r="AN298" s="84">
        <f t="shared" si="87"/>
        <v>2.3351677103370001</v>
      </c>
      <c r="AO298" s="1595">
        <f t="shared" si="72"/>
        <v>-2.8966299980837107E-7</v>
      </c>
    </row>
    <row r="299" spans="1:48" s="84" customFormat="1" x14ac:dyDescent="0.35">
      <c r="A299" s="103" t="str">
        <f t="shared" si="130"/>
        <v>354351</v>
      </c>
      <c r="B299" s="3346" t="str">
        <f>'HVAC Deemed Table'!C1812</f>
        <v>354351_2021_12_</v>
      </c>
      <c r="C299" s="2564" t="str">
        <f>'HVAC Deemed Table'!G1812</f>
        <v>Cooling Res</v>
      </c>
      <c r="D299" s="2564" t="str">
        <f>'HVAC Deemed Table'!G1813</f>
        <v>Heating Res</v>
      </c>
      <c r="E299" s="2564" t="str">
        <f>'HVAC Deemed Table'!G1814</f>
        <v>Cooling Res ER2</v>
      </c>
      <c r="F299" s="2564" t="str">
        <f>'HVAC Deemed Table'!G1815</f>
        <v>Heating Res ER2</v>
      </c>
      <c r="G299" s="3343" t="str">
        <f>'HVAC Deemed Table'!E1812</f>
        <v>ASHP-SEER18_ER1_MF_CompE</v>
      </c>
      <c r="H299" s="50" t="str">
        <f>'HVAC Deemed Table'!D1812</f>
        <v>MFc</v>
      </c>
      <c r="I299" s="1966">
        <f t="shared" si="100"/>
        <v>2587.79</v>
      </c>
      <c r="J299" s="1966">
        <f t="shared" si="101"/>
        <v>636.79999999999995</v>
      </c>
      <c r="K299" s="560">
        <f>'HVAC Deemed Table'!F1812</f>
        <v>1792.56</v>
      </c>
      <c r="L299" s="560">
        <f>'HVAC Deemed Table'!F1813</f>
        <v>795.23</v>
      </c>
      <c r="M299" s="560">
        <f>'HVAC Deemed Table'!F1814</f>
        <v>300.95</v>
      </c>
      <c r="N299" s="560">
        <f>'HVAC Deemed Table'!F1815</f>
        <v>335.85</v>
      </c>
      <c r="O299" s="1967">
        <f t="shared" si="102"/>
        <v>1.698304</v>
      </c>
      <c r="P299" s="1967">
        <f t="shared" si="103"/>
        <v>0.28512500000000002</v>
      </c>
      <c r="Q299" s="1968">
        <f>'HVAC Deemed Table'!I1812</f>
        <v>1.698304</v>
      </c>
      <c r="R299" s="1968">
        <f>'HVAC Deemed Table'!I1813</f>
        <v>0</v>
      </c>
      <c r="S299" s="1968">
        <f>'HVAC Deemed Table'!I1814</f>
        <v>0.28512500000000002</v>
      </c>
      <c r="T299" s="1968">
        <f>'HVAC Deemed Table'!I1815</f>
        <v>0</v>
      </c>
      <c r="U299" s="1969"/>
      <c r="V299" s="1969"/>
      <c r="W299" s="1969">
        <f t="shared" si="146"/>
        <v>0.28512500000000002</v>
      </c>
      <c r="X299" s="55">
        <f>'HVAC Deemed Table'!J1812</f>
        <v>6</v>
      </c>
      <c r="Y299" s="55">
        <f>'HVAC Deemed Table'!J1814</f>
        <v>12</v>
      </c>
      <c r="Z299" s="55">
        <f t="shared" si="131"/>
        <v>18</v>
      </c>
      <c r="AA299" s="49">
        <f>'HVAC Deemed Table'!BB1812</f>
        <v>1.1498964809366761</v>
      </c>
      <c r="AB299" s="698">
        <f>'HVAC Deemed Table'!K1812</f>
        <v>1560.2646665212983</v>
      </c>
      <c r="AC299" s="2583">
        <f t="shared" si="132"/>
        <v>1265.3632288020103</v>
      </c>
      <c r="AD299" s="2583">
        <f t="shared" si="86"/>
        <v>428.0231320877275</v>
      </c>
      <c r="AE299" s="571">
        <f>'HVAC Deemed Table'!BD1812</f>
        <v>1135.7875075632328</v>
      </c>
      <c r="AF299" s="571">
        <f>'HVAC Deemed Table'!BD1813</f>
        <v>129.57572123877762</v>
      </c>
      <c r="AG299" s="571">
        <f>'HVAC Deemed Table'!BD1814</f>
        <v>333.01030403801872</v>
      </c>
      <c r="AH299" s="571">
        <f>'HVAC Deemed Table'!BD1815</f>
        <v>95.012828049708801</v>
      </c>
      <c r="AI299" s="2589" t="str">
        <f t="shared" si="147"/>
        <v>per measure</v>
      </c>
      <c r="AJ299" s="93">
        <f>'HVAC Deemed Table'!L1812</f>
        <v>2.5</v>
      </c>
      <c r="AK299" s="1501"/>
      <c r="AL299" s="1501"/>
      <c r="AM299" s="1596">
        <f t="shared" si="71"/>
        <v>9.4741810000000004E-4</v>
      </c>
      <c r="AN299" s="84">
        <f t="shared" si="87"/>
        <v>1.698303789336</v>
      </c>
      <c r="AO299" s="1500">
        <f t="shared" si="72"/>
        <v>-2.1066400002212049E-7</v>
      </c>
      <c r="AP299" s="144">
        <f>AO299/O299</f>
        <v>-1.2404375189725778E-7</v>
      </c>
      <c r="AQ299"/>
      <c r="AR299"/>
      <c r="AS299"/>
      <c r="AT299"/>
      <c r="AU299"/>
      <c r="AV299"/>
    </row>
    <row r="300" spans="1:48" x14ac:dyDescent="0.35">
      <c r="A300" s="103" t="str">
        <f t="shared" si="130"/>
        <v>354400</v>
      </c>
      <c r="B300" s="3346" t="str">
        <f>'HVAC Deemed Table'!C1816</f>
        <v>354400_2021_12_</v>
      </c>
      <c r="C300" s="2564" t="str">
        <f>'HVAC Deemed Table'!G1816</f>
        <v>Cooling Res</v>
      </c>
      <c r="D300" s="2564" t="str">
        <f>'HVAC Deemed Table'!G1817</f>
        <v>Heating Res</v>
      </c>
      <c r="E300" s="2564" t="str">
        <f>'HVAC Deemed Table'!G1818</f>
        <v>Cooling Res ER2</v>
      </c>
      <c r="F300" s="2564" t="str">
        <f>'HVAC Deemed Table'!G1819</f>
        <v>Heating Res ER2</v>
      </c>
      <c r="G300" s="3343" t="str">
        <f>'HVAC Deemed Table'!E1816</f>
        <v>ASHP-SEER19-Replace_CAC_ElectricHeat_ER1_SF</v>
      </c>
      <c r="H300" s="50" t="str">
        <f>'HVAC Deemed Table'!D1816</f>
        <v>SF</v>
      </c>
      <c r="I300" s="1966">
        <f t="shared" si="100"/>
        <v>16241.72</v>
      </c>
      <c r="J300" s="1966">
        <f t="shared" si="101"/>
        <v>14013.7</v>
      </c>
      <c r="K300" s="560">
        <f>'HVAC Deemed Table'!F1816</f>
        <v>3279.14</v>
      </c>
      <c r="L300" s="560">
        <f>'HVAC Deemed Table'!F1817</f>
        <v>12962.58</v>
      </c>
      <c r="M300" s="560">
        <f>'HVAC Deemed Table'!F1818</f>
        <v>1051.1199999999999</v>
      </c>
      <c r="N300" s="560">
        <f>'HVAC Deemed Table'!F1819</f>
        <v>12962.58</v>
      </c>
      <c r="O300" s="1967">
        <f t="shared" si="102"/>
        <v>3.1067170000000002</v>
      </c>
      <c r="P300" s="1967">
        <f t="shared" si="103"/>
        <v>0.99585000000000001</v>
      </c>
      <c r="Q300" s="1968">
        <f>'HVAC Deemed Table'!I1816</f>
        <v>3.1067170000000002</v>
      </c>
      <c r="R300" s="1968">
        <f>'HVAC Deemed Table'!I1817</f>
        <v>0</v>
      </c>
      <c r="S300" s="1968">
        <f>'HVAC Deemed Table'!I1818</f>
        <v>0.99585000000000001</v>
      </c>
      <c r="T300" s="1968">
        <f>'HVAC Deemed Table'!I1819</f>
        <v>0</v>
      </c>
      <c r="U300" s="1969"/>
      <c r="V300" s="1969"/>
      <c r="W300" s="1969">
        <f t="shared" si="146"/>
        <v>0.99585000000000001</v>
      </c>
      <c r="X300" s="55">
        <f>'HVAC Deemed Table'!J1816</f>
        <v>6</v>
      </c>
      <c r="Y300" s="55">
        <f>'HVAC Deemed Table'!J1818</f>
        <v>12</v>
      </c>
      <c r="Z300" s="55">
        <f t="shared" si="131"/>
        <v>18</v>
      </c>
      <c r="AA300" s="49">
        <f>'HVAC Deemed Table'!BB1816</f>
        <v>4.5396246064547761</v>
      </c>
      <c r="AB300" s="698">
        <f>'HVAC Deemed Table'!K1816</f>
        <v>2105.1914618743731</v>
      </c>
      <c r="AC300" s="2583">
        <f t="shared" si="132"/>
        <v>4189.8406083618493</v>
      </c>
      <c r="AD300" s="2583">
        <f t="shared" si="86"/>
        <v>4830.2433573044136</v>
      </c>
      <c r="AE300" s="571">
        <f>'HVAC Deemed Table'!BD1816</f>
        <v>2077.7024186364192</v>
      </c>
      <c r="AF300" s="571">
        <f>'HVAC Deemed Table'!BD1817</f>
        <v>2112.13818972543</v>
      </c>
      <c r="AG300" s="571">
        <f>'HVAC Deemed Table'!BD1818</f>
        <v>1163.0961647464435</v>
      </c>
      <c r="AH300" s="571">
        <f>'HVAC Deemed Table'!BD1819</f>
        <v>3667.1471925579704</v>
      </c>
      <c r="AI300" s="2589" t="str">
        <f t="shared" si="147"/>
        <v>per measure</v>
      </c>
      <c r="AJ300" s="93">
        <f>'HVAC Deemed Table'!L1816</f>
        <v>3.7731209149509808</v>
      </c>
      <c r="AK300" s="1501"/>
      <c r="AL300" s="1501"/>
      <c r="AM300" s="1596">
        <f t="shared" si="71"/>
        <v>9.4741810000000004E-4</v>
      </c>
      <c r="AN300" s="84">
        <f t="shared" si="87"/>
        <v>3.1067165884339998</v>
      </c>
      <c r="AO300" s="1595">
        <f t="shared" si="72"/>
        <v>-4.1156600039116142E-7</v>
      </c>
    </row>
    <row r="301" spans="1:48" x14ac:dyDescent="0.35">
      <c r="A301" s="103" t="str">
        <f t="shared" si="130"/>
        <v>354410</v>
      </c>
      <c r="B301" s="3346" t="str">
        <f>'HVAC Deemed Table'!C1820</f>
        <v>354410_2021_12_</v>
      </c>
      <c r="C301" s="2564" t="str">
        <f>'HVAC Deemed Table'!G1820</f>
        <v>Cooling Res</v>
      </c>
      <c r="D301" s="2564" t="str">
        <f>'HVAC Deemed Table'!G1821</f>
        <v>Heating Res</v>
      </c>
      <c r="E301" s="2564" t="str">
        <f>'HVAC Deemed Table'!G1822</f>
        <v>Cooling Res ER2</v>
      </c>
      <c r="F301" s="2564" t="str">
        <f>'HVAC Deemed Table'!G1823</f>
        <v>Heating Res ER2</v>
      </c>
      <c r="G301" s="3343" t="str">
        <f>'HVAC Deemed Table'!E1820</f>
        <v>ASHP-SEER19-Replace_CAC_NonElectricHeat_ER1_SF</v>
      </c>
      <c r="H301" s="50" t="str">
        <f>'HVAC Deemed Table'!D1820</f>
        <v>SF</v>
      </c>
      <c r="I301" s="1966">
        <f t="shared" si="100"/>
        <v>2436.71</v>
      </c>
      <c r="J301" s="1966">
        <f t="shared" si="101"/>
        <v>924.84</v>
      </c>
      <c r="K301" s="560">
        <f>'HVAC Deemed Table'!F1820</f>
        <v>2436.71</v>
      </c>
      <c r="L301" s="560">
        <f>'HVAC Deemed Table'!F1821</f>
        <v>0</v>
      </c>
      <c r="M301" s="560">
        <f>'HVAC Deemed Table'!F1822</f>
        <v>924.84</v>
      </c>
      <c r="N301" s="560">
        <f>'HVAC Deemed Table'!F1823</f>
        <v>0</v>
      </c>
      <c r="O301" s="1967">
        <f t="shared" si="102"/>
        <v>2.3085830000000001</v>
      </c>
      <c r="P301" s="1967">
        <f t="shared" si="103"/>
        <v>0.87621000000000004</v>
      </c>
      <c r="Q301" s="1968">
        <f>'HVAC Deemed Table'!I1820</f>
        <v>2.3085830000000001</v>
      </c>
      <c r="R301" s="1968">
        <f>'HVAC Deemed Table'!I1821</f>
        <v>0</v>
      </c>
      <c r="S301" s="1968">
        <f>'HVAC Deemed Table'!I1822</f>
        <v>0.87621000000000004</v>
      </c>
      <c r="T301" s="1968">
        <f>'HVAC Deemed Table'!I1823</f>
        <v>0</v>
      </c>
      <c r="U301" s="1969"/>
      <c r="V301" s="1969"/>
      <c r="W301" s="1969">
        <f t="shared" si="146"/>
        <v>0.87621000000000004</v>
      </c>
      <c r="X301" s="55">
        <f>'HVAC Deemed Table'!J1820</f>
        <v>6</v>
      </c>
      <c r="Y301" s="55">
        <f>'HVAC Deemed Table'!J1822</f>
        <v>12</v>
      </c>
      <c r="Z301" s="55">
        <f t="shared" si="131"/>
        <v>18</v>
      </c>
      <c r="AA301" s="49">
        <f>'HVAC Deemed Table'!BB1820</f>
        <v>1.317962681036789</v>
      </c>
      <c r="AB301" s="698">
        <f>'HVAC Deemed Table'!K1820</f>
        <v>2063.8263197906699</v>
      </c>
      <c r="AC301" s="2583">
        <f t="shared" si="132"/>
        <v>1543.9286704793174</v>
      </c>
      <c r="AD301" s="2583">
        <f t="shared" si="86"/>
        <v>1023.3635141602301</v>
      </c>
      <c r="AE301" s="571">
        <f>'HVAC Deemed Table'!BD1820</f>
        <v>1543.9286704793174</v>
      </c>
      <c r="AF301" s="571">
        <f>'HVAC Deemed Table'!BD1821</f>
        <v>0</v>
      </c>
      <c r="AG301" s="571">
        <f>'HVAC Deemed Table'!BD1822</f>
        <v>1023.3635141602301</v>
      </c>
      <c r="AH301" s="571">
        <f>'HVAC Deemed Table'!BD1823</f>
        <v>0</v>
      </c>
      <c r="AI301" s="2589" t="str">
        <f t="shared" si="147"/>
        <v>per measure</v>
      </c>
      <c r="AJ301" s="93">
        <f>'HVAC Deemed Table'!L1820</f>
        <v>3.6</v>
      </c>
      <c r="AK301" s="2610"/>
      <c r="AL301" s="2610"/>
      <c r="AM301" s="1961">
        <f t="shared" ref="AM301:AM356" si="148">VLOOKUP(C301,$AS$10:$AT$33,2,FALSE)</f>
        <v>9.4741810000000004E-4</v>
      </c>
      <c r="AN301" s="84">
        <f t="shared" si="87"/>
        <v>2.3085831584509999</v>
      </c>
      <c r="AO301" s="1965">
        <f t="shared" ref="AO301:AO356" si="149">AN301-O301</f>
        <v>1.5845099987643607E-7</v>
      </c>
      <c r="AP301" s="84"/>
      <c r="AQ301" s="84"/>
      <c r="AR301" s="84"/>
      <c r="AS301" s="84"/>
      <c r="AT301" s="84"/>
      <c r="AU301" s="84"/>
      <c r="AV301" s="84"/>
    </row>
    <row r="302" spans="1:48" s="84" customFormat="1" x14ac:dyDescent="0.35">
      <c r="A302" s="103" t="str">
        <f t="shared" si="130"/>
        <v>354450</v>
      </c>
      <c r="B302" s="3346" t="str">
        <f>'HVAC Deemed Table'!C1824</f>
        <v>354450_2019_12_</v>
      </c>
      <c r="C302" s="2564" t="str">
        <f>'HVAC Deemed Table'!G1824</f>
        <v>Cooling Res</v>
      </c>
      <c r="D302" s="2564" t="str">
        <f>'HVAC Deemed Table'!G1825</f>
        <v>Heating Res</v>
      </c>
      <c r="E302" s="2564" t="str">
        <f>'HVAC Deemed Table'!G1826</f>
        <v>Cooling Res ER2</v>
      </c>
      <c r="F302" s="2564" t="str">
        <f>'HVAC Deemed Table'!G1827</f>
        <v>Heating Res ER2</v>
      </c>
      <c r="G302" s="3343" t="str">
        <f>'HVAC Deemed Table'!E1824</f>
        <v>ASHP-SEER19-Replace_CAC_ElectricHeat_ER1_MF</v>
      </c>
      <c r="H302" s="50" t="str">
        <f>'HVAC Deemed Table'!D1824</f>
        <v>MF</v>
      </c>
      <c r="I302" s="1966">
        <f t="shared" si="100"/>
        <v>8176.36</v>
      </c>
      <c r="J302" s="1966">
        <f t="shared" si="101"/>
        <v>7270.2</v>
      </c>
      <c r="K302" s="560">
        <f>'HVAC Deemed Table'!F1824</f>
        <v>1416.58</v>
      </c>
      <c r="L302" s="560">
        <f>'HVAC Deemed Table'!F1825</f>
        <v>6759.78</v>
      </c>
      <c r="M302" s="560">
        <f>'HVAC Deemed Table'!F1826</f>
        <v>510.42</v>
      </c>
      <c r="N302" s="560">
        <f>'HVAC Deemed Table'!F1827</f>
        <v>6759.78</v>
      </c>
      <c r="O302" s="1967">
        <f t="shared" si="102"/>
        <v>1.3420939999999999</v>
      </c>
      <c r="P302" s="1967">
        <f t="shared" si="103"/>
        <v>0.48358099999999998</v>
      </c>
      <c r="Q302" s="1968">
        <f>'HVAC Deemed Table'!I1824</f>
        <v>1.3420939999999999</v>
      </c>
      <c r="R302" s="1968">
        <f>'HVAC Deemed Table'!I1825</f>
        <v>0</v>
      </c>
      <c r="S302" s="1968">
        <f>'HVAC Deemed Table'!I1826</f>
        <v>0.48358099999999998</v>
      </c>
      <c r="T302" s="1968">
        <f>'HVAC Deemed Table'!I1827</f>
        <v>0</v>
      </c>
      <c r="U302" s="1969"/>
      <c r="V302" s="1969"/>
      <c r="W302" s="1969">
        <f t="shared" si="146"/>
        <v>0.48358099999999998</v>
      </c>
      <c r="X302" s="55">
        <f>'HVAC Deemed Table'!J1824</f>
        <v>6</v>
      </c>
      <c r="Y302" s="55">
        <f>'HVAC Deemed Table'!J1826</f>
        <v>12</v>
      </c>
      <c r="Z302" s="55">
        <f t="shared" si="131"/>
        <v>18</v>
      </c>
      <c r="AA302" s="49">
        <f>'HVAC Deemed Table'!BB1824</f>
        <v>2.8143535214218427</v>
      </c>
      <c r="AB302" s="698">
        <f>'HVAC Deemed Table'!K1824</f>
        <v>1685.1098012161674</v>
      </c>
      <c r="AC302" s="2583">
        <f t="shared" si="132"/>
        <v>1999.0086582370982</v>
      </c>
      <c r="AD302" s="2583">
        <f t="shared" si="86"/>
        <v>2477.154346043395</v>
      </c>
      <c r="AE302" s="571">
        <f>'HVAC Deemed Table'!BD1824</f>
        <v>897.56207182126366</v>
      </c>
      <c r="AF302" s="571">
        <f>'HVAC Deemed Table'!BD1825</f>
        <v>1101.4465864158344</v>
      </c>
      <c r="AG302" s="571">
        <f>'HVAC Deemed Table'!BD1826</f>
        <v>564.79521311541953</v>
      </c>
      <c r="AH302" s="571">
        <f>'HVAC Deemed Table'!BD1827</f>
        <v>1912.3591329279755</v>
      </c>
      <c r="AI302" s="2589" t="str">
        <f t="shared" si="147"/>
        <v>per measure</v>
      </c>
      <c r="AJ302" s="93">
        <f>'HVAC Deemed Table'!L1824</f>
        <v>3.1</v>
      </c>
      <c r="AK302" s="1501"/>
      <c r="AL302" s="1501"/>
      <c r="AM302" s="1596">
        <f t="shared" si="148"/>
        <v>9.4741810000000004E-4</v>
      </c>
      <c r="AN302" s="84">
        <f t="shared" si="87"/>
        <v>1.3420935320980001</v>
      </c>
      <c r="AO302" s="1595">
        <f t="shared" si="149"/>
        <v>-4.6790199981217029E-7</v>
      </c>
      <c r="AP302"/>
      <c r="AQ302"/>
      <c r="AR302"/>
      <c r="AS302"/>
      <c r="AT302"/>
      <c r="AU302"/>
      <c r="AV302"/>
    </row>
    <row r="303" spans="1:48" s="84" customFormat="1" x14ac:dyDescent="0.35">
      <c r="A303" s="103" t="str">
        <f t="shared" si="130"/>
        <v>354451</v>
      </c>
      <c r="B303" s="3346" t="str">
        <f>'HVAC Deemed Table'!C1828</f>
        <v>354451_2019_12_</v>
      </c>
      <c r="C303" s="2564" t="str">
        <f>'HVAC Deemed Table'!G1828</f>
        <v>Cooling Res</v>
      </c>
      <c r="D303" s="2564" t="str">
        <f>'HVAC Deemed Table'!G1829</f>
        <v>Heating Res</v>
      </c>
      <c r="E303" s="2564" t="str">
        <f>'HVAC Deemed Table'!G1830</f>
        <v>Cooling Res ER2</v>
      </c>
      <c r="F303" s="2564" t="str">
        <f>'HVAC Deemed Table'!G1831</f>
        <v>Heating Res ER2</v>
      </c>
      <c r="G303" s="3343" t="str">
        <f>'HVAC Deemed Table'!E1828</f>
        <v>ASHP-SEER19-Replace_CAC_ElectricHeat_ER1_MF_CompE</v>
      </c>
      <c r="H303" s="50" t="str">
        <f>'HVAC Deemed Table'!D1828</f>
        <v>MFc</v>
      </c>
      <c r="I303" s="1966">
        <f t="shared" si="100"/>
        <v>3334.71</v>
      </c>
      <c r="J303" s="1966">
        <f t="shared" si="101"/>
        <v>2675.6899999999996</v>
      </c>
      <c r="K303" s="560">
        <f>'HVAC Deemed Table'!F1828</f>
        <v>1030.24</v>
      </c>
      <c r="L303" s="560">
        <f>'HVAC Deemed Table'!F1829</f>
        <v>2304.4699999999998</v>
      </c>
      <c r="M303" s="560">
        <f>'HVAC Deemed Table'!F1830</f>
        <v>371.22</v>
      </c>
      <c r="N303" s="560">
        <f>'HVAC Deemed Table'!F1831</f>
        <v>2304.4699999999998</v>
      </c>
      <c r="O303" s="1967">
        <f t="shared" si="102"/>
        <v>0.97606800000000005</v>
      </c>
      <c r="P303" s="1967">
        <f t="shared" si="103"/>
        <v>0.35170099999999999</v>
      </c>
      <c r="Q303" s="1968">
        <f>'HVAC Deemed Table'!I1828</f>
        <v>0.97606800000000005</v>
      </c>
      <c r="R303" s="1968">
        <f>'HVAC Deemed Table'!I1829</f>
        <v>0</v>
      </c>
      <c r="S303" s="1968">
        <f>'HVAC Deemed Table'!I1830</f>
        <v>0.35170099999999999</v>
      </c>
      <c r="T303" s="1968">
        <f>'HVAC Deemed Table'!I1831</f>
        <v>0</v>
      </c>
      <c r="U303" s="1969"/>
      <c r="V303" s="1969"/>
      <c r="W303" s="1969">
        <f t="shared" si="146"/>
        <v>0.35170099999999999</v>
      </c>
      <c r="X303" s="55">
        <f>'HVAC Deemed Table'!J1828</f>
        <v>6</v>
      </c>
      <c r="Y303" s="55">
        <f>'HVAC Deemed Table'!J1830</f>
        <v>12</v>
      </c>
      <c r="Z303" s="55">
        <f t="shared" si="131"/>
        <v>18</v>
      </c>
      <c r="AA303" s="49">
        <f>'HVAC Deemed Table'!BB1828</f>
        <v>1.314682885594302</v>
      </c>
      <c r="AB303" s="698">
        <f>'HVAC Deemed Table'!K1828</f>
        <v>1685.1098012161674</v>
      </c>
      <c r="AC303" s="2583">
        <f t="shared" si="132"/>
        <v>1028.2654962657768</v>
      </c>
      <c r="AD303" s="2583">
        <f t="shared" si="86"/>
        <v>1062.7066755191327</v>
      </c>
      <c r="AE303" s="571">
        <f>'HVAC Deemed Table'!BD1828</f>
        <v>652.77241587000992</v>
      </c>
      <c r="AF303" s="571">
        <f>'HVAC Deemed Table'!BD1829</f>
        <v>375.49308039576698</v>
      </c>
      <c r="AG303" s="571">
        <f>'HVAC Deemed Table'!BD1830</f>
        <v>410.76619061303643</v>
      </c>
      <c r="AH303" s="571">
        <f>'HVAC Deemed Table'!BD1831</f>
        <v>651.94048490609623</v>
      </c>
      <c r="AI303" s="2589" t="str">
        <f t="shared" si="147"/>
        <v>per measure</v>
      </c>
      <c r="AJ303" s="93">
        <f>'HVAC Deemed Table'!L1828</f>
        <v>3.1</v>
      </c>
      <c r="AK303" s="1501"/>
      <c r="AL303" s="1501"/>
      <c r="AM303" s="1596">
        <f t="shared" si="148"/>
        <v>9.4741810000000004E-4</v>
      </c>
      <c r="AN303" s="84">
        <f t="shared" si="87"/>
        <v>0.976068023344</v>
      </c>
      <c r="AO303" s="1500">
        <f t="shared" si="149"/>
        <v>2.3343999955294237E-8</v>
      </c>
      <c r="AP303" s="144">
        <f>AO303/O303</f>
        <v>2.3916366436861198E-8</v>
      </c>
      <c r="AQ303"/>
      <c r="AR303"/>
      <c r="AS303"/>
      <c r="AT303"/>
      <c r="AU303"/>
      <c r="AV303"/>
    </row>
    <row r="304" spans="1:48" x14ac:dyDescent="0.35">
      <c r="A304" s="103" t="str">
        <f t="shared" si="130"/>
        <v>354460</v>
      </c>
      <c r="B304" s="3346" t="str">
        <f>'HVAC Deemed Table'!C1832</f>
        <v>354460_2021_12_</v>
      </c>
      <c r="C304" s="2564" t="str">
        <f>'HVAC Deemed Table'!G1832</f>
        <v>Cooling Res</v>
      </c>
      <c r="D304" s="2564" t="str">
        <f>'HVAC Deemed Table'!G1833</f>
        <v>Heating Res</v>
      </c>
      <c r="E304" s="2564" t="str">
        <f>'HVAC Deemed Table'!G1834</f>
        <v>Cooling Res ER2</v>
      </c>
      <c r="F304" s="2564" t="str">
        <f>'HVAC Deemed Table'!G1835</f>
        <v>Heating Res ER2</v>
      </c>
      <c r="G304" s="3343" t="str">
        <f>'HVAC Deemed Table'!E1832</f>
        <v>ASHP-SEER19-Replace_CAC_NonElectricHeat_ER1_MF</v>
      </c>
      <c r="H304" s="50" t="str">
        <f>'HVAC Deemed Table'!D1832</f>
        <v>MF</v>
      </c>
      <c r="I304" s="1966">
        <f t="shared" si="100"/>
        <v>1416.58</v>
      </c>
      <c r="J304" s="1966">
        <f t="shared" si="101"/>
        <v>510.42</v>
      </c>
      <c r="K304" s="560">
        <f>'HVAC Deemed Table'!F1832</f>
        <v>1416.58</v>
      </c>
      <c r="L304" s="560">
        <f>'HVAC Deemed Table'!F1833</f>
        <v>0</v>
      </c>
      <c r="M304" s="560">
        <f>'HVAC Deemed Table'!F1834</f>
        <v>510.42</v>
      </c>
      <c r="N304" s="560">
        <f>'HVAC Deemed Table'!F1835</f>
        <v>0</v>
      </c>
      <c r="O304" s="1967">
        <f t="shared" si="102"/>
        <v>1.3420939999999999</v>
      </c>
      <c r="P304" s="1967">
        <f t="shared" si="103"/>
        <v>0.48358099999999998</v>
      </c>
      <c r="Q304" s="1968">
        <f>'HVAC Deemed Table'!I1832</f>
        <v>1.3420939999999999</v>
      </c>
      <c r="R304" s="1968">
        <f>'HVAC Deemed Table'!I1833</f>
        <v>0</v>
      </c>
      <c r="S304" s="1968">
        <f>'HVAC Deemed Table'!I1834</f>
        <v>0.48358099999999998</v>
      </c>
      <c r="T304" s="1968">
        <f>'HVAC Deemed Table'!I1835</f>
        <v>0</v>
      </c>
      <c r="U304" s="1969"/>
      <c r="V304" s="1969"/>
      <c r="W304" s="1969">
        <f t="shared" si="146"/>
        <v>0.48358099999999998</v>
      </c>
      <c r="X304" s="55">
        <f>'HVAC Deemed Table'!J1832</f>
        <v>6</v>
      </c>
      <c r="Y304" s="55">
        <f>'HVAC Deemed Table'!J1834</f>
        <v>12</v>
      </c>
      <c r="Z304" s="55">
        <f t="shared" si="131"/>
        <v>18</v>
      </c>
      <c r="AA304" s="49">
        <f>'HVAC Deemed Table'!BB1832</f>
        <v>0.91944604575453526</v>
      </c>
      <c r="AB304" s="698">
        <f>'HVAC Deemed Table'!K1832</f>
        <v>1685.1098012161674</v>
      </c>
      <c r="AC304" s="2583">
        <f t="shared" si="132"/>
        <v>897.56207182126366</v>
      </c>
      <c r="AD304" s="2583">
        <f t="shared" si="86"/>
        <v>564.79521311541953</v>
      </c>
      <c r="AE304" s="571">
        <f>'HVAC Deemed Table'!BD1832</f>
        <v>897.56207182126366</v>
      </c>
      <c r="AF304" s="571">
        <f>'HVAC Deemed Table'!BD1833</f>
        <v>0</v>
      </c>
      <c r="AG304" s="571">
        <f>'HVAC Deemed Table'!BD1834</f>
        <v>564.79521311541953</v>
      </c>
      <c r="AH304" s="571">
        <f>'HVAC Deemed Table'!BD1835</f>
        <v>0</v>
      </c>
      <c r="AI304" s="2589" t="str">
        <f t="shared" si="147"/>
        <v>per measure</v>
      </c>
      <c r="AJ304" s="93">
        <f>'HVAC Deemed Table'!L1832</f>
        <v>3.1</v>
      </c>
      <c r="AK304" s="2610"/>
      <c r="AL304" s="2610"/>
      <c r="AM304" s="1961">
        <f t="shared" si="148"/>
        <v>9.4741810000000004E-4</v>
      </c>
      <c r="AN304" s="84">
        <f t="shared" si="87"/>
        <v>1.3420935320980001</v>
      </c>
      <c r="AO304" s="2611">
        <f t="shared" si="149"/>
        <v>-4.6790199981217029E-7</v>
      </c>
      <c r="AP304" s="1779">
        <f>AO304/O304</f>
        <v>-3.4863578841137081E-7</v>
      </c>
      <c r="AQ304" s="84"/>
      <c r="AR304" s="84"/>
      <c r="AS304" s="84"/>
      <c r="AT304" s="84"/>
      <c r="AU304" s="84"/>
      <c r="AV304" s="84"/>
    </row>
    <row r="305" spans="1:48" x14ac:dyDescent="0.35">
      <c r="A305" s="103" t="str">
        <f t="shared" si="130"/>
        <v>354461</v>
      </c>
      <c r="B305" s="3346" t="str">
        <f>'HVAC Deemed Table'!C1836</f>
        <v>354461_2021_12_</v>
      </c>
      <c r="C305" s="2564" t="str">
        <f>'HVAC Deemed Table'!G1836</f>
        <v>Cooling Res</v>
      </c>
      <c r="D305" s="2564" t="str">
        <f>'HVAC Deemed Table'!G1837</f>
        <v>Heating Res</v>
      </c>
      <c r="E305" s="2564" t="str">
        <f>'HVAC Deemed Table'!G1838</f>
        <v>Cooling Res ER2</v>
      </c>
      <c r="F305" s="2564" t="str">
        <f>'HVAC Deemed Table'!G1839</f>
        <v>Heating Res ER2</v>
      </c>
      <c r="G305" s="3343" t="str">
        <f>'HVAC Deemed Table'!E1836</f>
        <v>ASHP-SEER19-Replace_CAC_NonElectricHeat_ER1_MF_CompE</v>
      </c>
      <c r="H305" s="50" t="str">
        <f>'HVAC Deemed Table'!D1836</f>
        <v>MFc</v>
      </c>
      <c r="I305" s="1966">
        <f t="shared" si="100"/>
        <v>1030.24</v>
      </c>
      <c r="J305" s="1966">
        <f t="shared" si="101"/>
        <v>371.22</v>
      </c>
      <c r="K305" s="560">
        <f>'HVAC Deemed Table'!F1836</f>
        <v>1030.24</v>
      </c>
      <c r="L305" s="560">
        <f>'HVAC Deemed Table'!F1837</f>
        <v>0</v>
      </c>
      <c r="M305" s="560">
        <f>'HVAC Deemed Table'!F1838</f>
        <v>371.22</v>
      </c>
      <c r="N305" s="560">
        <f>'HVAC Deemed Table'!F1839</f>
        <v>0</v>
      </c>
      <c r="O305" s="1967">
        <f t="shared" si="102"/>
        <v>0.97606800000000005</v>
      </c>
      <c r="P305" s="1967">
        <f t="shared" si="103"/>
        <v>0.35170099999999999</v>
      </c>
      <c r="Q305" s="1968">
        <f>'HVAC Deemed Table'!I1836</f>
        <v>0.97606800000000005</v>
      </c>
      <c r="R305" s="1968">
        <f>'HVAC Deemed Table'!I1837</f>
        <v>0</v>
      </c>
      <c r="S305" s="1968">
        <f>'HVAC Deemed Table'!I1838</f>
        <v>0.35170099999999999</v>
      </c>
      <c r="T305" s="1968">
        <f>'HVAC Deemed Table'!I1839</f>
        <v>0</v>
      </c>
      <c r="U305" s="1969"/>
      <c r="V305" s="1969"/>
      <c r="W305" s="1969">
        <f t="shared" si="146"/>
        <v>0.35170099999999999</v>
      </c>
      <c r="X305" s="55">
        <f>'HVAC Deemed Table'!J1836</f>
        <v>6</v>
      </c>
      <c r="Y305" s="55">
        <f>'HVAC Deemed Table'!J1838</f>
        <v>12</v>
      </c>
      <c r="Z305" s="55">
        <f t="shared" si="131"/>
        <v>18</v>
      </c>
      <c r="AA305" s="49">
        <f>'HVAC Deemed Table'!BB1836</f>
        <v>0.66869182812630157</v>
      </c>
      <c r="AB305" s="698">
        <f>'HVAC Deemed Table'!K1836</f>
        <v>1685.1098012161674</v>
      </c>
      <c r="AC305" s="2583">
        <f t="shared" si="132"/>
        <v>652.77241587000992</v>
      </c>
      <c r="AD305" s="2583">
        <f t="shared" si="86"/>
        <v>410.76619061303643</v>
      </c>
      <c r="AE305" s="571">
        <f>'HVAC Deemed Table'!BD1836</f>
        <v>652.77241587000992</v>
      </c>
      <c r="AF305" s="571">
        <f>'HVAC Deemed Table'!BD1837</f>
        <v>0</v>
      </c>
      <c r="AG305" s="571">
        <f>'HVAC Deemed Table'!BD1838</f>
        <v>410.76619061303643</v>
      </c>
      <c r="AH305" s="571">
        <f>'HVAC Deemed Table'!BD1839</f>
        <v>0</v>
      </c>
      <c r="AI305" s="2589" t="str">
        <f t="shared" si="147"/>
        <v>per measure</v>
      </c>
      <c r="AJ305" s="93">
        <f>'HVAC Deemed Table'!L1836</f>
        <v>3.1</v>
      </c>
      <c r="AK305" s="2610"/>
      <c r="AL305" s="2610"/>
      <c r="AM305" s="1961">
        <f t="shared" si="148"/>
        <v>9.4741810000000004E-4</v>
      </c>
      <c r="AN305" s="84">
        <f t="shared" si="87"/>
        <v>0.976068023344</v>
      </c>
      <c r="AO305" s="2611">
        <f t="shared" si="149"/>
        <v>2.3343999955294237E-8</v>
      </c>
      <c r="AP305" s="1779">
        <f>AO305/O305</f>
        <v>2.3916366436861198E-8</v>
      </c>
      <c r="AQ305" s="84"/>
      <c r="AR305" s="84"/>
      <c r="AS305" s="84"/>
      <c r="AT305" s="84"/>
      <c r="AU305" s="84"/>
      <c r="AV305" s="84"/>
    </row>
    <row r="306" spans="1:48" x14ac:dyDescent="0.35">
      <c r="A306" s="103" t="str">
        <f t="shared" si="130"/>
        <v>354500</v>
      </c>
      <c r="B306" s="3346" t="str">
        <f>'HVAC Deemed Table'!C1840</f>
        <v>354500_2019_12_</v>
      </c>
      <c r="C306" s="2564" t="str">
        <f>'HVAC Deemed Table'!G1840</f>
        <v>Cooling Res</v>
      </c>
      <c r="D306" s="2564" t="str">
        <f>'HVAC Deemed Table'!G1841</f>
        <v>Heating Res</v>
      </c>
      <c r="E306" s="2564" t="str">
        <f>'HVAC Deemed Table'!G1842</f>
        <v>Cooling Res ER2</v>
      </c>
      <c r="F306" s="2564" t="str">
        <f>'HVAC Deemed Table'!G1843</f>
        <v>Heating Res ER2</v>
      </c>
      <c r="G306" s="3343" t="str">
        <f>'HVAC Deemed Table'!E1840</f>
        <v>ASHP-SEER19_ER1_MF</v>
      </c>
      <c r="H306" s="50" t="str">
        <f>'HVAC Deemed Table'!D1840</f>
        <v>MF</v>
      </c>
      <c r="I306" s="1966">
        <f t="shared" si="100"/>
        <v>3306.73</v>
      </c>
      <c r="J306" s="1966">
        <f t="shared" si="101"/>
        <v>1063.06</v>
      </c>
      <c r="K306" s="560">
        <f>'HVAC Deemed Table'!F1840</f>
        <v>1507.97</v>
      </c>
      <c r="L306" s="560">
        <f>'HVAC Deemed Table'!F1841</f>
        <v>1798.76</v>
      </c>
      <c r="M306" s="560">
        <f>'HVAC Deemed Table'!F1842</f>
        <v>420.45</v>
      </c>
      <c r="N306" s="560">
        <f>'HVAC Deemed Table'!F1843</f>
        <v>642.61</v>
      </c>
      <c r="O306" s="1967">
        <f t="shared" si="102"/>
        <v>1.4286779999999999</v>
      </c>
      <c r="P306" s="1967">
        <f t="shared" si="103"/>
        <v>0.39834199999999997</v>
      </c>
      <c r="Q306" s="1968">
        <f>'HVAC Deemed Table'!I1840</f>
        <v>1.4286779999999999</v>
      </c>
      <c r="R306" s="1968">
        <f>'HVAC Deemed Table'!I1841</f>
        <v>0</v>
      </c>
      <c r="S306" s="1968">
        <f>'HVAC Deemed Table'!I1842</f>
        <v>0.39834199999999997</v>
      </c>
      <c r="T306" s="1968">
        <f>'HVAC Deemed Table'!I1843</f>
        <v>0</v>
      </c>
      <c r="U306" s="1969"/>
      <c r="V306" s="1969"/>
      <c r="W306" s="1969">
        <f t="shared" si="146"/>
        <v>0.39834199999999997</v>
      </c>
      <c r="X306" s="55">
        <f>'HVAC Deemed Table'!J1840</f>
        <v>6</v>
      </c>
      <c r="Y306" s="55">
        <f>'HVAC Deemed Table'!J1842</f>
        <v>12</v>
      </c>
      <c r="Z306" s="55">
        <f t="shared" si="131"/>
        <v>18</v>
      </c>
      <c r="AA306" s="49">
        <f>'HVAC Deemed Table'!BB1840</f>
        <v>1.1702702219982886</v>
      </c>
      <c r="AB306" s="698">
        <f>'HVAC Deemed Table'!K1840</f>
        <v>1716.1717238752744</v>
      </c>
      <c r="AC306" s="2583">
        <f t="shared" si="132"/>
        <v>1248.559963542582</v>
      </c>
      <c r="AD306" s="2583">
        <f t="shared" si="86"/>
        <v>647.03669930470744</v>
      </c>
      <c r="AE306" s="571">
        <f>'HVAC Deemed Table'!BD1840</f>
        <v>955.46787152459513</v>
      </c>
      <c r="AF306" s="571">
        <f>'HVAC Deemed Table'!BD1841</f>
        <v>293.09209201798672</v>
      </c>
      <c r="AG306" s="571">
        <f>'HVAC Deemed Table'!BD1842</f>
        <v>465.2406789592456</v>
      </c>
      <c r="AH306" s="571">
        <f>'HVAC Deemed Table'!BD1843</f>
        <v>181.79602034546187</v>
      </c>
      <c r="AI306" s="2589" t="str">
        <f t="shared" si="147"/>
        <v>per measure</v>
      </c>
      <c r="AJ306" s="93">
        <f>'HVAC Deemed Table'!L1840</f>
        <v>3.3</v>
      </c>
      <c r="AK306" s="1501"/>
      <c r="AL306" s="1501"/>
      <c r="AM306" s="1596">
        <f t="shared" si="148"/>
        <v>9.4741810000000004E-4</v>
      </c>
      <c r="AN306" s="84">
        <f t="shared" si="87"/>
        <v>1.4286780722570001</v>
      </c>
      <c r="AO306" s="1595">
        <f t="shared" si="149"/>
        <v>7.2257000161002338E-8</v>
      </c>
    </row>
    <row r="307" spans="1:48" x14ac:dyDescent="0.35">
      <c r="A307" s="103" t="str">
        <f t="shared" si="130"/>
        <v>354501</v>
      </c>
      <c r="B307" s="3346" t="str">
        <f>'HVAC Deemed Table'!C1844</f>
        <v>354501_2019_12_</v>
      </c>
      <c r="C307" s="2564" t="str">
        <f>'HVAC Deemed Table'!G1844</f>
        <v>Cooling Res</v>
      </c>
      <c r="D307" s="2564" t="str">
        <f>'HVAC Deemed Table'!G1845</f>
        <v>Heating Res</v>
      </c>
      <c r="E307" s="2564" t="str">
        <f>'HVAC Deemed Table'!G1846</f>
        <v>Cooling Res ER2</v>
      </c>
      <c r="F307" s="2564" t="str">
        <f>'HVAC Deemed Table'!G1847</f>
        <v>Heating Res ER2</v>
      </c>
      <c r="G307" s="3343" t="str">
        <f>'HVAC Deemed Table'!E1844</f>
        <v>ASHP-SEER19_ER1_MF_CompE</v>
      </c>
      <c r="H307" s="50" t="str">
        <f>'HVAC Deemed Table'!D1844</f>
        <v>MFc</v>
      </c>
      <c r="I307" s="1966">
        <f t="shared" si="100"/>
        <v>1709.92</v>
      </c>
      <c r="J307" s="1966">
        <f t="shared" si="101"/>
        <v>524.84999999999991</v>
      </c>
      <c r="K307" s="560">
        <f>'HVAC Deemed Table'!F1844</f>
        <v>1096.71</v>
      </c>
      <c r="L307" s="560">
        <f>'HVAC Deemed Table'!F1845</f>
        <v>613.21</v>
      </c>
      <c r="M307" s="560">
        <f>'HVAC Deemed Table'!F1846</f>
        <v>305.77999999999997</v>
      </c>
      <c r="N307" s="560">
        <f>'HVAC Deemed Table'!F1847</f>
        <v>219.07</v>
      </c>
      <c r="O307" s="1967">
        <f t="shared" si="102"/>
        <v>1.0390429999999999</v>
      </c>
      <c r="P307" s="1967">
        <f t="shared" si="103"/>
        <v>0.28970200000000002</v>
      </c>
      <c r="Q307" s="1968">
        <f>'HVAC Deemed Table'!I1844</f>
        <v>1.0390429999999999</v>
      </c>
      <c r="R307" s="1968">
        <f>'HVAC Deemed Table'!I1845</f>
        <v>0</v>
      </c>
      <c r="S307" s="1968">
        <f>'HVAC Deemed Table'!I1846</f>
        <v>0.28970200000000002</v>
      </c>
      <c r="T307" s="1968">
        <f>'HVAC Deemed Table'!I1847</f>
        <v>0</v>
      </c>
      <c r="U307" s="1969"/>
      <c r="V307" s="1969"/>
      <c r="W307" s="1969">
        <f t="shared" si="146"/>
        <v>0.28970200000000002</v>
      </c>
      <c r="X307" s="55">
        <f>'HVAC Deemed Table'!J1844</f>
        <v>6</v>
      </c>
      <c r="Y307" s="55">
        <f>'HVAC Deemed Table'!J1846</f>
        <v>12</v>
      </c>
      <c r="Z307" s="55">
        <f t="shared" si="131"/>
        <v>18</v>
      </c>
      <c r="AA307" s="49">
        <f>'HVAC Deemed Table'!BB1844</f>
        <v>0.73783215381295197</v>
      </c>
      <c r="AB307" s="698">
        <f>'HVAC Deemed Table'!K1844</f>
        <v>1716.1717238752744</v>
      </c>
      <c r="AC307" s="2583">
        <f t="shared" si="132"/>
        <v>794.80577092874023</v>
      </c>
      <c r="AD307" s="2583">
        <f t="shared" si="86"/>
        <v>400.33031150616313</v>
      </c>
      <c r="AE307" s="571">
        <f>'HVAC Deemed Table'!BD1844</f>
        <v>694.88860479965706</v>
      </c>
      <c r="AF307" s="571">
        <f>'HVAC Deemed Table'!BD1845</f>
        <v>99.917166129083185</v>
      </c>
      <c r="AG307" s="571">
        <f>'HVAC Deemed Table'!BD1846</f>
        <v>338.3548455515712</v>
      </c>
      <c r="AH307" s="571">
        <f>'HVAC Deemed Table'!BD1847</f>
        <v>61.975465954591947</v>
      </c>
      <c r="AI307" s="2589" t="str">
        <f t="shared" si="147"/>
        <v>per measure</v>
      </c>
      <c r="AJ307" s="93">
        <f>'HVAC Deemed Table'!L1844</f>
        <v>3.3</v>
      </c>
      <c r="AK307" s="1501"/>
      <c r="AL307" s="1501"/>
      <c r="AM307" s="1596">
        <f t="shared" si="148"/>
        <v>9.4741810000000004E-4</v>
      </c>
      <c r="AN307" s="84">
        <f t="shared" si="87"/>
        <v>1.0390429044510001</v>
      </c>
      <c r="AO307" s="1500">
        <f t="shared" si="149"/>
        <v>-9.5548999823336089E-8</v>
      </c>
      <c r="AP307" s="144">
        <f>AO307/O307</f>
        <v>-9.1958657941332645E-8</v>
      </c>
    </row>
    <row r="308" spans="1:48" x14ac:dyDescent="0.35">
      <c r="A308" s="103" t="str">
        <f t="shared" si="130"/>
        <v>354550</v>
      </c>
      <c r="B308" s="3346" t="str">
        <f>'HVAC Deemed Table'!C1848</f>
        <v>354550_2021_12_</v>
      </c>
      <c r="C308" s="2564" t="str">
        <f>'HVAC Deemed Table'!G1848</f>
        <v>Cooling Res</v>
      </c>
      <c r="D308" s="2564" t="str">
        <f>'HVAC Deemed Table'!G1849</f>
        <v>Heating Res</v>
      </c>
      <c r="E308" s="2564" t="str">
        <f>'HVAC Deemed Table'!G1850</f>
        <v>Cooling Res ER2</v>
      </c>
      <c r="F308" s="2564" t="str">
        <f>'HVAC Deemed Table'!G1851</f>
        <v>Heating Res ER2</v>
      </c>
      <c r="G308" s="3343" t="str">
        <f>'HVAC Deemed Table'!E1848</f>
        <v>ASHP-SEER20_ER1_SF</v>
      </c>
      <c r="H308" s="50" t="str">
        <f>'HVAC Deemed Table'!D1848</f>
        <v>SF</v>
      </c>
      <c r="I308" s="1966">
        <f t="shared" si="100"/>
        <v>5257.43</v>
      </c>
      <c r="J308" s="1966">
        <f t="shared" si="101"/>
        <v>1850.1100000000001</v>
      </c>
      <c r="K308" s="560">
        <f>'HVAC Deemed Table'!F1848</f>
        <v>2594.98</v>
      </c>
      <c r="L308" s="560">
        <f>'HVAC Deemed Table'!F1849</f>
        <v>2662.45</v>
      </c>
      <c r="M308" s="560">
        <f>'HVAC Deemed Table'!F1850</f>
        <v>687.08</v>
      </c>
      <c r="N308" s="560">
        <f>'HVAC Deemed Table'!F1851</f>
        <v>1163.03</v>
      </c>
      <c r="O308" s="1967">
        <f t="shared" si="102"/>
        <v>2.4585309999999998</v>
      </c>
      <c r="P308" s="1967">
        <f t="shared" si="103"/>
        <v>0.65095199999999998</v>
      </c>
      <c r="Q308" s="1968">
        <f>'HVAC Deemed Table'!I1848</f>
        <v>2.4585309999999998</v>
      </c>
      <c r="R308" s="1968">
        <f>'HVAC Deemed Table'!I1849</f>
        <v>0</v>
      </c>
      <c r="S308" s="1968">
        <f>'HVAC Deemed Table'!I1850</f>
        <v>0.65095199999999998</v>
      </c>
      <c r="T308" s="1968">
        <f>'HVAC Deemed Table'!I1851</f>
        <v>0</v>
      </c>
      <c r="U308" s="1969"/>
      <c r="V308" s="1969"/>
      <c r="W308" s="1969">
        <f t="shared" si="146"/>
        <v>0.65095199999999998</v>
      </c>
      <c r="X308" s="55">
        <f>'HVAC Deemed Table'!J1848</f>
        <v>6</v>
      </c>
      <c r="Y308" s="55">
        <f>'HVAC Deemed Table'!J1850</f>
        <v>12</v>
      </c>
      <c r="Z308" s="55">
        <f t="shared" si="131"/>
        <v>18</v>
      </c>
      <c r="AA308" s="49">
        <f>'HVAC Deemed Table'!BB1848</f>
        <v>1.59112239952956</v>
      </c>
      <c r="AB308" s="698">
        <f>'HVAC Deemed Table'!K1848</f>
        <v>2109.0699962597669</v>
      </c>
      <c r="AC308" s="2583">
        <f t="shared" si="132"/>
        <v>2078.033207041462</v>
      </c>
      <c r="AD308" s="2583">
        <f t="shared" si="86"/>
        <v>1089.2990376254943</v>
      </c>
      <c r="AE308" s="571">
        <f>'HVAC Deemed Table'!BD1848</f>
        <v>1644.2104400279143</v>
      </c>
      <c r="AF308" s="571">
        <f>'HVAC Deemed Table'!BD1849</f>
        <v>433.82276701354755</v>
      </c>
      <c r="AG308" s="571">
        <f>'HVAC Deemed Table'!BD1850</f>
        <v>760.27486193202162</v>
      </c>
      <c r="AH308" s="571">
        <f>'HVAC Deemed Table'!BD1851</f>
        <v>329.02417569347273</v>
      </c>
      <c r="AI308" s="2589" t="str">
        <f t="shared" si="147"/>
        <v>per measure</v>
      </c>
      <c r="AJ308" s="93">
        <f>'HVAC Deemed Table'!L1848</f>
        <v>2.7818528962962961</v>
      </c>
      <c r="AK308" s="1501"/>
      <c r="AL308" s="1501"/>
      <c r="AM308" s="1596">
        <f t="shared" si="148"/>
        <v>9.4741810000000004E-4</v>
      </c>
      <c r="AN308" s="84">
        <f t="shared" si="87"/>
        <v>2.458531021138</v>
      </c>
      <c r="AO308" s="1595">
        <f t="shared" si="149"/>
        <v>2.1138000239062649E-8</v>
      </c>
    </row>
    <row r="309" spans="1:48" x14ac:dyDescent="0.35">
      <c r="A309" s="103" t="str">
        <f t="shared" si="130"/>
        <v>354600</v>
      </c>
      <c r="B309" s="3346" t="str">
        <f>'HVAC Deemed Table'!C1852</f>
        <v>354600_2021_12_</v>
      </c>
      <c r="C309" s="2564" t="str">
        <f>'HVAC Deemed Table'!G1852</f>
        <v>Cooling Res</v>
      </c>
      <c r="D309" s="2564" t="str">
        <f>'HVAC Deemed Table'!G1853</f>
        <v>Heating Res</v>
      </c>
      <c r="E309" s="3343"/>
      <c r="F309" s="3343"/>
      <c r="G309" s="3343" t="str">
        <f>'HVAC Deemed Table'!E1852</f>
        <v>ASHP-SEER20_ROF_SF</v>
      </c>
      <c r="H309" s="50" t="str">
        <f>'HVAC Deemed Table'!D1852</f>
        <v>SF</v>
      </c>
      <c r="I309" s="1966">
        <f t="shared" si="100"/>
        <v>2056.4</v>
      </c>
      <c r="J309" s="1966">
        <f t="shared" si="101"/>
        <v>0</v>
      </c>
      <c r="K309" s="560">
        <f>'HVAC Deemed Table'!F1852</f>
        <v>717.64</v>
      </c>
      <c r="L309" s="560">
        <f>'HVAC Deemed Table'!F1853</f>
        <v>1338.76</v>
      </c>
      <c r="M309" s="560"/>
      <c r="N309" s="560"/>
      <c r="O309" s="1967">
        <f t="shared" si="102"/>
        <v>0.67990499999999998</v>
      </c>
      <c r="P309" s="1967">
        <f t="shared" si="103"/>
        <v>0</v>
      </c>
      <c r="Q309" s="1968">
        <f>'HVAC Deemed Table'!I1852</f>
        <v>0.67990499999999998</v>
      </c>
      <c r="R309" s="1968">
        <f>'HVAC Deemed Table'!I1853</f>
        <v>0</v>
      </c>
      <c r="S309" s="1968"/>
      <c r="T309" s="1968"/>
      <c r="U309" s="1969"/>
      <c r="V309" s="1969"/>
      <c r="W309" s="1969">
        <f>O309</f>
        <v>0.67990499999999998</v>
      </c>
      <c r="X309" s="55">
        <f>'HVAC Deemed Table'!J1852</f>
        <v>18</v>
      </c>
      <c r="Y309" s="55"/>
      <c r="Z309" s="55">
        <f t="shared" si="131"/>
        <v>18</v>
      </c>
      <c r="AA309" s="49">
        <f>'HVAC Deemed Table'!BB1852</f>
        <v>1.3538619348234799</v>
      </c>
      <c r="AB309" s="698">
        <f>'HVAC Deemed Table'!K1852</f>
        <v>1444.3799999999994</v>
      </c>
      <c r="AC309" s="2583">
        <f t="shared" si="132"/>
        <v>1845.6735265883312</v>
      </c>
      <c r="AD309" s="2583">
        <f t="shared" si="86"/>
        <v>0</v>
      </c>
      <c r="AE309" s="571">
        <f>'HVAC Deemed Table'!BD1852</f>
        <v>1248.7957369518756</v>
      </c>
      <c r="AF309" s="571">
        <f>'HVAC Deemed Table'!BD1853</f>
        <v>596.87778963645553</v>
      </c>
      <c r="AG309" s="571"/>
      <c r="AH309" s="571"/>
      <c r="AI309" s="2589" t="str">
        <f t="shared" si="147"/>
        <v>per measure</v>
      </c>
      <c r="AJ309" s="93">
        <f>'HVAC Deemed Table'!L1852</f>
        <v>2.8870833333333334</v>
      </c>
      <c r="AK309" s="1501"/>
      <c r="AL309" s="1501"/>
      <c r="AM309" s="1596">
        <f t="shared" si="148"/>
        <v>9.4741810000000004E-4</v>
      </c>
      <c r="AN309" s="84">
        <f t="shared" si="87"/>
        <v>0.67990512528400004</v>
      </c>
      <c r="AO309" s="1595">
        <f t="shared" si="149"/>
        <v>1.2528400006317497E-7</v>
      </c>
    </row>
    <row r="310" spans="1:48" s="84" customFormat="1" x14ac:dyDescent="0.35">
      <c r="A310" s="103" t="str">
        <f t="shared" si="130"/>
        <v>354650</v>
      </c>
      <c r="B310" s="3346" t="str">
        <f>'HVAC Deemed Table'!C1854</f>
        <v>354650_2019_12_</v>
      </c>
      <c r="C310" s="2564" t="str">
        <f>'HVAC Deemed Table'!G1854</f>
        <v>Cooling Res</v>
      </c>
      <c r="D310" s="2564" t="str">
        <f>'HVAC Deemed Table'!G1855</f>
        <v>Heating Res</v>
      </c>
      <c r="E310" s="2564" t="str">
        <f>'HVAC Deemed Table'!G1856</f>
        <v>Cooling Res ER2</v>
      </c>
      <c r="F310" s="2564" t="str">
        <f>'HVAC Deemed Table'!G1857</f>
        <v>Heating Res ER2</v>
      </c>
      <c r="G310" s="3343" t="str">
        <f>'HVAC Deemed Table'!E1854</f>
        <v>ASHP-SEER20-Replace_CAC_ElectricHeat_ER1_MF</v>
      </c>
      <c r="H310" s="50" t="str">
        <f>'HVAC Deemed Table'!D1854</f>
        <v>MF</v>
      </c>
      <c r="I310" s="1966">
        <f t="shared" si="100"/>
        <v>8231.66</v>
      </c>
      <c r="J310" s="1966">
        <f t="shared" si="101"/>
        <v>7325.5</v>
      </c>
      <c r="K310" s="560">
        <f>'HVAC Deemed Table'!F1854</f>
        <v>1471.88</v>
      </c>
      <c r="L310" s="560">
        <f>'HVAC Deemed Table'!F1855</f>
        <v>6759.78</v>
      </c>
      <c r="M310" s="560">
        <f>'HVAC Deemed Table'!F1856</f>
        <v>565.72</v>
      </c>
      <c r="N310" s="560">
        <f>'HVAC Deemed Table'!F1857</f>
        <v>6759.78</v>
      </c>
      <c r="O310" s="1967">
        <f t="shared" si="102"/>
        <v>1.3944859999999999</v>
      </c>
      <c r="P310" s="1967">
        <f t="shared" si="103"/>
        <v>0.53597300000000003</v>
      </c>
      <c r="Q310" s="1968">
        <f>'HVAC Deemed Table'!I1854</f>
        <v>1.3944859999999999</v>
      </c>
      <c r="R310" s="1968">
        <f>'HVAC Deemed Table'!I1855</f>
        <v>0</v>
      </c>
      <c r="S310" s="1968">
        <f>'HVAC Deemed Table'!I1856</f>
        <v>0.53597300000000003</v>
      </c>
      <c r="T310" s="1968">
        <f>'HVAC Deemed Table'!I1857</f>
        <v>0</v>
      </c>
      <c r="U310" s="1969"/>
      <c r="V310" s="1969"/>
      <c r="W310" s="1969">
        <f t="shared" ref="W310:W316" si="150">P310</f>
        <v>0.53597300000000003</v>
      </c>
      <c r="X310" s="55">
        <f>'HVAC Deemed Table'!J1854</f>
        <v>6</v>
      </c>
      <c r="Y310" s="55">
        <f>'HVAC Deemed Table'!J1856</f>
        <v>12</v>
      </c>
      <c r="Z310" s="55">
        <f t="shared" si="131"/>
        <v>18</v>
      </c>
      <c r="AA310" s="49">
        <f>'HVAC Deemed Table'!BB1854</f>
        <v>2.5155001198711768</v>
      </c>
      <c r="AB310" s="698">
        <f>'HVAC Deemed Table'!K1854</f>
        <v>1925.8398012161661</v>
      </c>
      <c r="AC310" s="2583">
        <f t="shared" si="132"/>
        <v>2034.047401246117</v>
      </c>
      <c r="AD310" s="2583">
        <f t="shared" si="86"/>
        <v>2538.3454735174018</v>
      </c>
      <c r="AE310" s="571">
        <f>'HVAC Deemed Table'!BD1854</f>
        <v>932.60081483028262</v>
      </c>
      <c r="AF310" s="571">
        <f>'HVAC Deemed Table'!BD1855</f>
        <v>1101.4465864158344</v>
      </c>
      <c r="AG310" s="571">
        <f>'HVAC Deemed Table'!BD1856</f>
        <v>625.98634058942662</v>
      </c>
      <c r="AH310" s="571">
        <f>'HVAC Deemed Table'!BD1857</f>
        <v>1912.3591329279755</v>
      </c>
      <c r="AI310" s="2589" t="str">
        <f t="shared" si="147"/>
        <v>per measure</v>
      </c>
      <c r="AJ310" s="93">
        <f>'HVAC Deemed Table'!L1854</f>
        <v>3.1</v>
      </c>
      <c r="AK310" s="1501"/>
      <c r="AL310" s="1501"/>
      <c r="AM310" s="1596">
        <f t="shared" si="148"/>
        <v>9.4741810000000004E-4</v>
      </c>
      <c r="AN310" s="84">
        <f t="shared" si="87"/>
        <v>1.3944857530280002</v>
      </c>
      <c r="AO310" s="1595">
        <f t="shared" si="149"/>
        <v>-2.4697199973999773E-7</v>
      </c>
      <c r="AP310"/>
      <c r="AQ310"/>
      <c r="AR310"/>
      <c r="AS310"/>
      <c r="AT310"/>
      <c r="AU310"/>
      <c r="AV310"/>
    </row>
    <row r="311" spans="1:48" s="84" customFormat="1" x14ac:dyDescent="0.35">
      <c r="A311" s="103" t="str">
        <f t="shared" si="130"/>
        <v>354651</v>
      </c>
      <c r="B311" s="3346" t="str">
        <f>'HVAC Deemed Table'!C1858</f>
        <v>354651_2019_12_</v>
      </c>
      <c r="C311" s="2564" t="str">
        <f>'HVAC Deemed Table'!G1858</f>
        <v>Cooling Res</v>
      </c>
      <c r="D311" s="2564" t="str">
        <f>'HVAC Deemed Table'!G1859</f>
        <v>Heating Res</v>
      </c>
      <c r="E311" s="2564" t="str">
        <f>'HVAC Deemed Table'!G1860</f>
        <v>Cooling Res ER2</v>
      </c>
      <c r="F311" s="2564" t="str">
        <f>'HVAC Deemed Table'!G1861</f>
        <v>Heating Res ER2</v>
      </c>
      <c r="G311" s="3343" t="str">
        <f>'HVAC Deemed Table'!E1858</f>
        <v>ASHP-SEER20-Replace_CAC_ElectricHeat_ER1_MF_CompE</v>
      </c>
      <c r="H311" s="50" t="str">
        <f>'HVAC Deemed Table'!D1858</f>
        <v>MFc</v>
      </c>
      <c r="I311" s="1966">
        <f t="shared" si="100"/>
        <v>3374.93</v>
      </c>
      <c r="J311" s="1966">
        <f t="shared" si="101"/>
        <v>2715.8999999999996</v>
      </c>
      <c r="K311" s="560">
        <f>'HVAC Deemed Table'!F1858</f>
        <v>1070.46</v>
      </c>
      <c r="L311" s="560">
        <f>'HVAC Deemed Table'!F1859</f>
        <v>2304.4699999999998</v>
      </c>
      <c r="M311" s="560">
        <f>'HVAC Deemed Table'!F1860</f>
        <v>411.43</v>
      </c>
      <c r="N311" s="560">
        <f>'HVAC Deemed Table'!F1861</f>
        <v>2304.4699999999998</v>
      </c>
      <c r="O311" s="1967">
        <f t="shared" si="102"/>
        <v>1.014173</v>
      </c>
      <c r="P311" s="1967">
        <f t="shared" si="103"/>
        <v>0.38979599999999998</v>
      </c>
      <c r="Q311" s="1968">
        <f>'HVAC Deemed Table'!I1858</f>
        <v>1.014173</v>
      </c>
      <c r="R311" s="1968">
        <f>'HVAC Deemed Table'!I1859</f>
        <v>0</v>
      </c>
      <c r="S311" s="1968">
        <f>'HVAC Deemed Table'!I1860</f>
        <v>0.38979599999999998</v>
      </c>
      <c r="T311" s="1968">
        <f>'HVAC Deemed Table'!I1861</f>
        <v>0</v>
      </c>
      <c r="U311" s="1969"/>
      <c r="V311" s="1969"/>
      <c r="W311" s="1969">
        <f t="shared" si="150"/>
        <v>0.38979599999999998</v>
      </c>
      <c r="X311" s="55">
        <f>'HVAC Deemed Table'!J1858</f>
        <v>6</v>
      </c>
      <c r="Y311" s="55">
        <f>'HVAC Deemed Table'!J1860</f>
        <v>12</v>
      </c>
      <c r="Z311" s="55">
        <f t="shared" si="131"/>
        <v>18</v>
      </c>
      <c r="AA311" s="49">
        <f>'HVAC Deemed Table'!BB1858</f>
        <v>1.1888455791133179</v>
      </c>
      <c r="AB311" s="698">
        <f>'HVAC Deemed Table'!K1858</f>
        <v>1925.8398012161661</v>
      </c>
      <c r="AC311" s="2583">
        <f t="shared" si="132"/>
        <v>1053.7493704759531</v>
      </c>
      <c r="AD311" s="2583">
        <f t="shared" ref="AD311:AD364" si="151">AG311+AH311</f>
        <v>1107.2002602520408</v>
      </c>
      <c r="AE311" s="571">
        <f>'HVAC Deemed Table'!BD1858</f>
        <v>678.25629008018609</v>
      </c>
      <c r="AF311" s="571">
        <f>'HVAC Deemed Table'!BD1859</f>
        <v>375.49308039576698</v>
      </c>
      <c r="AG311" s="571">
        <f>'HVAC Deemed Table'!BD1860</f>
        <v>455.25977534594466</v>
      </c>
      <c r="AH311" s="571">
        <f>'HVAC Deemed Table'!BD1861</f>
        <v>651.94048490609623</v>
      </c>
      <c r="AI311" s="2589" t="str">
        <f t="shared" si="147"/>
        <v>per measure</v>
      </c>
      <c r="AJ311" s="93">
        <f>'HVAC Deemed Table'!L1858</f>
        <v>3.1</v>
      </c>
      <c r="AK311" s="1501"/>
      <c r="AL311" s="1501"/>
      <c r="AM311" s="1596">
        <f t="shared" si="148"/>
        <v>9.4741810000000004E-4</v>
      </c>
      <c r="AN311" s="84">
        <f t="shared" si="87"/>
        <v>1.014173179326</v>
      </c>
      <c r="AO311" s="1500">
        <f t="shared" si="149"/>
        <v>1.7932600004932908E-7</v>
      </c>
      <c r="AP311" s="144">
        <f>AO311/O311</f>
        <v>1.7681993116492854E-7</v>
      </c>
      <c r="AQ311"/>
      <c r="AR311"/>
      <c r="AS311"/>
      <c r="AT311"/>
      <c r="AU311"/>
      <c r="AV311"/>
    </row>
    <row r="312" spans="1:48" x14ac:dyDescent="0.35">
      <c r="A312" s="103" t="str">
        <f t="shared" si="130"/>
        <v>354660</v>
      </c>
      <c r="B312" s="3346" t="str">
        <f>'HVAC Deemed Table'!C1862</f>
        <v>354660_2021_12_</v>
      </c>
      <c r="C312" s="2564" t="str">
        <f>'HVAC Deemed Table'!G1862</f>
        <v>Cooling Res</v>
      </c>
      <c r="D312" s="2564" t="str">
        <f>'HVAC Deemed Table'!G1863</f>
        <v>Heating Res</v>
      </c>
      <c r="E312" s="2564" t="str">
        <f>'HVAC Deemed Table'!G1864</f>
        <v>Cooling Res ER2</v>
      </c>
      <c r="F312" s="2564" t="str">
        <f>'HVAC Deemed Table'!G1865</f>
        <v>Heating Res ER2</v>
      </c>
      <c r="G312" s="3343" t="str">
        <f>'HVAC Deemed Table'!E1862</f>
        <v>ASHP-SEER20-Replace_CAC_NonElectricHeat_ER1_MF</v>
      </c>
      <c r="H312" s="50" t="str">
        <f>'HVAC Deemed Table'!D1862</f>
        <v>MF</v>
      </c>
      <c r="I312" s="1966">
        <f t="shared" si="100"/>
        <v>1471.88</v>
      </c>
      <c r="J312" s="1966">
        <f t="shared" si="101"/>
        <v>565.72</v>
      </c>
      <c r="K312" s="560">
        <f>'HVAC Deemed Table'!F1862</f>
        <v>1471.88</v>
      </c>
      <c r="L312" s="560">
        <f>'HVAC Deemed Table'!F1863</f>
        <v>0</v>
      </c>
      <c r="M312" s="560">
        <f>'HVAC Deemed Table'!F1864</f>
        <v>565.72</v>
      </c>
      <c r="N312" s="560">
        <f>'HVAC Deemed Table'!F1865</f>
        <v>0</v>
      </c>
      <c r="O312" s="1967">
        <f t="shared" si="102"/>
        <v>1.3944859999999999</v>
      </c>
      <c r="P312" s="1967">
        <f t="shared" si="103"/>
        <v>0.53597300000000003</v>
      </c>
      <c r="Q312" s="1968">
        <f>'HVAC Deemed Table'!I1862</f>
        <v>1.3944859999999999</v>
      </c>
      <c r="R312" s="1968">
        <f>'HVAC Deemed Table'!I1863</f>
        <v>0</v>
      </c>
      <c r="S312" s="1968">
        <f>'HVAC Deemed Table'!I1864</f>
        <v>0.53597300000000003</v>
      </c>
      <c r="T312" s="1968">
        <f>'HVAC Deemed Table'!I1865</f>
        <v>0</v>
      </c>
      <c r="U312" s="1969"/>
      <c r="V312" s="1969"/>
      <c r="W312" s="1969">
        <f t="shared" si="150"/>
        <v>0.53597300000000003</v>
      </c>
      <c r="X312" s="55">
        <f>'HVAC Deemed Table'!J1862</f>
        <v>6</v>
      </c>
      <c r="Y312" s="55">
        <f>'HVAC Deemed Table'!J1864</f>
        <v>12</v>
      </c>
      <c r="Z312" s="55">
        <f t="shared" si="131"/>
        <v>18</v>
      </c>
      <c r="AA312" s="49">
        <f>'HVAC Deemed Table'!BB1862</f>
        <v>0.85745610311115861</v>
      </c>
      <c r="AB312" s="698">
        <f>'HVAC Deemed Table'!K1862</f>
        <v>1925.8398012161661</v>
      </c>
      <c r="AC312" s="2583">
        <f t="shared" si="132"/>
        <v>932.60081483028262</v>
      </c>
      <c r="AD312" s="2583">
        <f t="shared" si="151"/>
        <v>625.98634058942662</v>
      </c>
      <c r="AE312" s="571">
        <f>'HVAC Deemed Table'!BD1862</f>
        <v>932.60081483028262</v>
      </c>
      <c r="AF312" s="571">
        <f>'HVAC Deemed Table'!BD1863</f>
        <v>0</v>
      </c>
      <c r="AG312" s="571">
        <f>'HVAC Deemed Table'!BD1864</f>
        <v>625.98634058942662</v>
      </c>
      <c r="AH312" s="571">
        <f>'HVAC Deemed Table'!BD1865</f>
        <v>0</v>
      </c>
      <c r="AI312" s="2589" t="str">
        <f t="shared" si="147"/>
        <v>per measure</v>
      </c>
      <c r="AJ312" s="93">
        <f>'HVAC Deemed Table'!L1862</f>
        <v>3.1</v>
      </c>
      <c r="AK312" s="2610"/>
      <c r="AL312" s="2610"/>
      <c r="AM312" s="1961">
        <f t="shared" si="148"/>
        <v>9.4741810000000004E-4</v>
      </c>
      <c r="AN312" s="84">
        <f t="shared" si="87"/>
        <v>1.3944857530280002</v>
      </c>
      <c r="AO312" s="2611">
        <f t="shared" si="149"/>
        <v>-2.4697199973999773E-7</v>
      </c>
      <c r="AP312" s="1779">
        <f>AO312/O312</f>
        <v>-1.7710611633246784E-7</v>
      </c>
      <c r="AQ312" s="84"/>
      <c r="AR312" s="84"/>
      <c r="AS312" s="84"/>
      <c r="AT312" s="84"/>
      <c r="AU312" s="84"/>
      <c r="AV312" s="84"/>
    </row>
    <row r="313" spans="1:48" x14ac:dyDescent="0.35">
      <c r="A313" s="103" t="str">
        <f t="shared" si="130"/>
        <v>354661</v>
      </c>
      <c r="B313" s="3346" t="str">
        <f>'HVAC Deemed Table'!C1866</f>
        <v>354661_2021_12_</v>
      </c>
      <c r="C313" s="2564" t="str">
        <f>'HVAC Deemed Table'!G1866</f>
        <v>Cooling Res</v>
      </c>
      <c r="D313" s="2564" t="str">
        <f>'HVAC Deemed Table'!G1867</f>
        <v>Heating Res</v>
      </c>
      <c r="E313" s="2564" t="str">
        <f>'HVAC Deemed Table'!G1868</f>
        <v>Cooling Res ER2</v>
      </c>
      <c r="F313" s="2564" t="str">
        <f>'HVAC Deemed Table'!G1869</f>
        <v>Heating Res ER2</v>
      </c>
      <c r="G313" s="3343" t="str">
        <f>'HVAC Deemed Table'!E1866</f>
        <v>ASHP-SEER20-Replace_CAC_NonElectricHeat_ER1_MF_CompE</v>
      </c>
      <c r="H313" s="50" t="str">
        <f>'HVAC Deemed Table'!D1866</f>
        <v>MFc</v>
      </c>
      <c r="I313" s="1966">
        <f t="shared" si="100"/>
        <v>1070.46</v>
      </c>
      <c r="J313" s="1966">
        <f t="shared" si="101"/>
        <v>411.43</v>
      </c>
      <c r="K313" s="560">
        <f>'HVAC Deemed Table'!F1866</f>
        <v>1070.46</v>
      </c>
      <c r="L313" s="560">
        <f>'HVAC Deemed Table'!F1867</f>
        <v>0</v>
      </c>
      <c r="M313" s="560">
        <f>'HVAC Deemed Table'!F1868</f>
        <v>411.43</v>
      </c>
      <c r="N313" s="560">
        <f>'HVAC Deemed Table'!F1869</f>
        <v>0</v>
      </c>
      <c r="O313" s="1967">
        <f t="shared" si="102"/>
        <v>1.014173</v>
      </c>
      <c r="P313" s="1967">
        <f t="shared" si="103"/>
        <v>0.38979599999999998</v>
      </c>
      <c r="Q313" s="1968">
        <f>'HVAC Deemed Table'!I1866</f>
        <v>1.014173</v>
      </c>
      <c r="R313" s="1968">
        <f>'HVAC Deemed Table'!I1867</f>
        <v>0</v>
      </c>
      <c r="S313" s="1968">
        <f>'HVAC Deemed Table'!I1868</f>
        <v>0.38979599999999998</v>
      </c>
      <c r="T313" s="1968">
        <f>'HVAC Deemed Table'!I1869</f>
        <v>0</v>
      </c>
      <c r="U313" s="1969"/>
      <c r="V313" s="1969"/>
      <c r="W313" s="1969">
        <f t="shared" si="150"/>
        <v>0.38979599999999998</v>
      </c>
      <c r="X313" s="55">
        <f>'HVAC Deemed Table'!J1866</f>
        <v>6</v>
      </c>
      <c r="Y313" s="55">
        <f>'HVAC Deemed Table'!J1868</f>
        <v>12</v>
      </c>
      <c r="Z313" s="55">
        <f t="shared" si="131"/>
        <v>18</v>
      </c>
      <c r="AA313" s="49">
        <f>'HVAC Deemed Table'!BB1866</f>
        <v>0.62360341216365989</v>
      </c>
      <c r="AB313" s="698">
        <f>'HVAC Deemed Table'!K1866</f>
        <v>1925.8398012161661</v>
      </c>
      <c r="AC313" s="2583">
        <f t="shared" si="132"/>
        <v>678.25629008018609</v>
      </c>
      <c r="AD313" s="2583">
        <f t="shared" si="151"/>
        <v>455.25977534594466</v>
      </c>
      <c r="AE313" s="571">
        <f>'HVAC Deemed Table'!BD1866</f>
        <v>678.25629008018609</v>
      </c>
      <c r="AF313" s="571">
        <f>'HVAC Deemed Table'!BD1867</f>
        <v>0</v>
      </c>
      <c r="AG313" s="571">
        <f>'HVAC Deemed Table'!BD1868</f>
        <v>455.25977534594466</v>
      </c>
      <c r="AH313" s="571">
        <f>'HVAC Deemed Table'!BD1869</f>
        <v>0</v>
      </c>
      <c r="AI313" s="2589" t="str">
        <f t="shared" si="147"/>
        <v>per measure</v>
      </c>
      <c r="AJ313" s="93">
        <f>'HVAC Deemed Table'!L1866</f>
        <v>3.1</v>
      </c>
      <c r="AK313" s="2610"/>
      <c r="AL313" s="2610"/>
      <c r="AM313" s="1961">
        <f t="shared" si="148"/>
        <v>9.4741810000000004E-4</v>
      </c>
      <c r="AN313" s="84">
        <f t="shared" si="87"/>
        <v>1.014173179326</v>
      </c>
      <c r="AO313" s="2611">
        <f t="shared" si="149"/>
        <v>1.7932600004932908E-7</v>
      </c>
      <c r="AP313" s="1779">
        <f>AO313/O313</f>
        <v>1.7681993116492854E-7</v>
      </c>
      <c r="AQ313" s="84"/>
      <c r="AR313" s="84"/>
      <c r="AS313" s="84"/>
      <c r="AT313" s="84"/>
      <c r="AU313" s="84"/>
      <c r="AV313" s="84"/>
    </row>
    <row r="314" spans="1:48" x14ac:dyDescent="0.35">
      <c r="A314" s="103" t="str">
        <f t="shared" si="130"/>
        <v>354700</v>
      </c>
      <c r="B314" s="3346" t="str">
        <f>'HVAC Deemed Table'!C1870</f>
        <v>354700_2019_12_</v>
      </c>
      <c r="C314" s="2564" t="str">
        <f>'HVAC Deemed Table'!G1870</f>
        <v>Cooling Res</v>
      </c>
      <c r="D314" s="2564" t="str">
        <f>'HVAC Deemed Table'!G1871</f>
        <v>Heating Res</v>
      </c>
      <c r="E314" s="2564" t="str">
        <f>'HVAC Deemed Table'!G1872</f>
        <v>Cooling Res ER2</v>
      </c>
      <c r="F314" s="2564" t="str">
        <f>'HVAC Deemed Table'!G1873</f>
        <v>Heating Res ER2</v>
      </c>
      <c r="G314" s="3343" t="str">
        <f>'HVAC Deemed Table'!E1870</f>
        <v>ASHP-SEER20_ER1_MF</v>
      </c>
      <c r="H314" s="50" t="str">
        <f>'HVAC Deemed Table'!D1870</f>
        <v>MF</v>
      </c>
      <c r="I314" s="1966">
        <f t="shared" si="100"/>
        <v>3365.6</v>
      </c>
      <c r="J314" s="1966">
        <f t="shared" si="101"/>
        <v>1121.93</v>
      </c>
      <c r="K314" s="560">
        <f>'HVAC Deemed Table'!F1870</f>
        <v>1566.84</v>
      </c>
      <c r="L314" s="560">
        <f>'HVAC Deemed Table'!F1871</f>
        <v>1798.76</v>
      </c>
      <c r="M314" s="560">
        <f>'HVAC Deemed Table'!F1872</f>
        <v>479.32</v>
      </c>
      <c r="N314" s="560">
        <f>'HVAC Deemed Table'!F1873</f>
        <v>642.61</v>
      </c>
      <c r="O314" s="1967">
        <f t="shared" si="102"/>
        <v>1.484453</v>
      </c>
      <c r="P314" s="1967">
        <f t="shared" si="103"/>
        <v>0.45411600000000002</v>
      </c>
      <c r="Q314" s="1968">
        <f>'HVAC Deemed Table'!I1870</f>
        <v>1.484453</v>
      </c>
      <c r="R314" s="1968">
        <f>'HVAC Deemed Table'!I1871</f>
        <v>0</v>
      </c>
      <c r="S314" s="1968">
        <f>'HVAC Deemed Table'!I1872</f>
        <v>0.45411600000000002</v>
      </c>
      <c r="T314" s="1968">
        <f>'HVAC Deemed Table'!I1873</f>
        <v>0</v>
      </c>
      <c r="U314" s="1969"/>
      <c r="V314" s="1969"/>
      <c r="W314" s="1969">
        <f t="shared" si="150"/>
        <v>0.45411600000000002</v>
      </c>
      <c r="X314" s="55">
        <f>'HVAC Deemed Table'!J1870</f>
        <v>6</v>
      </c>
      <c r="Y314" s="55">
        <f>'HVAC Deemed Table'!J1872</f>
        <v>12</v>
      </c>
      <c r="Z314" s="55">
        <f t="shared" si="131"/>
        <v>18</v>
      </c>
      <c r="AA314" s="49">
        <f>'HVAC Deemed Table'!BB1870</f>
        <v>1.0817723377019675</v>
      </c>
      <c r="AB314" s="698">
        <f>'HVAC Deemed Table'!K1870</f>
        <v>1956.9017238752731</v>
      </c>
      <c r="AC314" s="2583">
        <f t="shared" si="132"/>
        <v>1285.8607013534488</v>
      </c>
      <c r="AD314" s="2583">
        <f t="shared" si="151"/>
        <v>712.17814007134041</v>
      </c>
      <c r="AE314" s="571">
        <f>'HVAC Deemed Table'!BD1870</f>
        <v>992.76860933546197</v>
      </c>
      <c r="AF314" s="571">
        <f>'HVAC Deemed Table'!BD1871</f>
        <v>293.09209201798672</v>
      </c>
      <c r="AG314" s="571">
        <f>'HVAC Deemed Table'!BD1872</f>
        <v>530.38211972587851</v>
      </c>
      <c r="AH314" s="571">
        <f>'HVAC Deemed Table'!BD1873</f>
        <v>181.79602034546187</v>
      </c>
      <c r="AI314" s="2589" t="str">
        <f t="shared" si="147"/>
        <v>per measure</v>
      </c>
      <c r="AJ314" s="93">
        <f>'HVAC Deemed Table'!L1870</f>
        <v>3.3</v>
      </c>
      <c r="AK314" s="1501"/>
      <c r="AL314" s="1501"/>
      <c r="AM314" s="1596">
        <f t="shared" si="148"/>
        <v>9.4741810000000004E-4</v>
      </c>
      <c r="AN314" s="84">
        <f t="shared" ref="AN314:AN364" si="152">AM314*K314</f>
        <v>1.4844525758039999</v>
      </c>
      <c r="AO314" s="1595">
        <f t="shared" si="149"/>
        <v>-4.2419600010390468E-7</v>
      </c>
    </row>
    <row r="315" spans="1:48" x14ac:dyDescent="0.35">
      <c r="A315" s="103" t="str">
        <f t="shared" si="130"/>
        <v>354701</v>
      </c>
      <c r="B315" s="3346" t="str">
        <f>'HVAC Deemed Table'!C1874</f>
        <v>354701_2019_12_</v>
      </c>
      <c r="C315" s="2564" t="str">
        <f>'HVAC Deemed Table'!G1874</f>
        <v>Cooling Res</v>
      </c>
      <c r="D315" s="2564" t="str">
        <f>'HVAC Deemed Table'!G1875</f>
        <v>Heating Res</v>
      </c>
      <c r="E315" s="2564" t="str">
        <f>'HVAC Deemed Table'!G1876</f>
        <v>Cooling Res ER2</v>
      </c>
      <c r="F315" s="2564" t="str">
        <f>'HVAC Deemed Table'!G1877</f>
        <v>Heating Res ER2</v>
      </c>
      <c r="G315" s="3343" t="str">
        <f>'HVAC Deemed Table'!E1874</f>
        <v>ASHP-SEER20_ER1_MF_CompE</v>
      </c>
      <c r="H315" s="50" t="str">
        <f>'HVAC Deemed Table'!D1874</f>
        <v>MFc</v>
      </c>
      <c r="I315" s="1966">
        <f t="shared" si="100"/>
        <v>1752.73</v>
      </c>
      <c r="J315" s="1966">
        <f t="shared" si="101"/>
        <v>567.66</v>
      </c>
      <c r="K315" s="560">
        <f>'HVAC Deemed Table'!F1874</f>
        <v>1139.52</v>
      </c>
      <c r="L315" s="560">
        <f>'HVAC Deemed Table'!F1875</f>
        <v>613.21</v>
      </c>
      <c r="M315" s="560">
        <f>'HVAC Deemed Table'!F1876</f>
        <v>348.59</v>
      </c>
      <c r="N315" s="560">
        <f>'HVAC Deemed Table'!F1877</f>
        <v>219.07</v>
      </c>
      <c r="O315" s="1967">
        <f t="shared" si="102"/>
        <v>1.079602</v>
      </c>
      <c r="P315" s="1967">
        <f t="shared" si="103"/>
        <v>0.33026</v>
      </c>
      <c r="Q315" s="1968">
        <f>'HVAC Deemed Table'!I1874</f>
        <v>1.079602</v>
      </c>
      <c r="R315" s="1968">
        <f>'HVAC Deemed Table'!I1875</f>
        <v>0</v>
      </c>
      <c r="S315" s="1968">
        <f>'HVAC Deemed Table'!I1876</f>
        <v>0.33026</v>
      </c>
      <c r="T315" s="1968">
        <f>'HVAC Deemed Table'!I1877</f>
        <v>0</v>
      </c>
      <c r="U315" s="1969"/>
      <c r="V315" s="1969"/>
      <c r="W315" s="1969">
        <f t="shared" si="150"/>
        <v>0.33026</v>
      </c>
      <c r="X315" s="55">
        <f>'HVAC Deemed Table'!J1874</f>
        <v>6</v>
      </c>
      <c r="Y315" s="55">
        <f>'HVAC Deemed Table'!J1876</f>
        <v>12</v>
      </c>
      <c r="Z315" s="55">
        <f t="shared" si="131"/>
        <v>18</v>
      </c>
      <c r="AA315" s="49">
        <f>'HVAC Deemed Table'!BB1874</f>
        <v>0.68740020902291821</v>
      </c>
      <c r="AB315" s="698">
        <f>'HVAC Deemed Table'!K1874</f>
        <v>1956.9017238752731</v>
      </c>
      <c r="AC315" s="2583">
        <f t="shared" si="132"/>
        <v>821.93070019123741</v>
      </c>
      <c r="AD315" s="2583">
        <f t="shared" si="151"/>
        <v>447.70087510765035</v>
      </c>
      <c r="AE315" s="571">
        <f>'HVAC Deemed Table'!BD1874</f>
        <v>722.01353406215424</v>
      </c>
      <c r="AF315" s="571">
        <f>'HVAC Deemed Table'!BD1875</f>
        <v>99.917166129083185</v>
      </c>
      <c r="AG315" s="571">
        <f>'HVAC Deemed Table'!BD1876</f>
        <v>385.72540915305842</v>
      </c>
      <c r="AH315" s="571">
        <f>'HVAC Deemed Table'!BD1877</f>
        <v>61.975465954591947</v>
      </c>
      <c r="AI315" s="2589" t="str">
        <f t="shared" si="147"/>
        <v>per measure</v>
      </c>
      <c r="AJ315" s="93">
        <f>'HVAC Deemed Table'!L1874</f>
        <v>3.3</v>
      </c>
      <c r="AK315" s="1501"/>
      <c r="AL315" s="1501"/>
      <c r="AM315" s="1596">
        <f t="shared" si="148"/>
        <v>9.4741810000000004E-4</v>
      </c>
      <c r="AN315" s="84">
        <f t="shared" si="152"/>
        <v>1.0796018733120001</v>
      </c>
      <c r="AO315" s="1500">
        <f t="shared" si="149"/>
        <v>-1.2668799986848001E-7</v>
      </c>
      <c r="AP315" s="144">
        <f>AO315/O315</f>
        <v>-1.1734694810539441E-7</v>
      </c>
    </row>
    <row r="316" spans="1:48" x14ac:dyDescent="0.35">
      <c r="A316" s="103" t="str">
        <f t="shared" si="130"/>
        <v>354750</v>
      </c>
      <c r="B316" s="3346" t="str">
        <f>'HVAC Deemed Table'!C1878</f>
        <v>354750_2021_12_</v>
      </c>
      <c r="C316" s="2564" t="str">
        <f>'HVAC Deemed Table'!G1878</f>
        <v>Cooling Res</v>
      </c>
      <c r="D316" s="2564" t="str">
        <f>'HVAC Deemed Table'!G1879</f>
        <v>Heating Res</v>
      </c>
      <c r="E316" s="2564" t="str">
        <f>'HVAC Deemed Table'!G1880</f>
        <v>Cooling Res ER2</v>
      </c>
      <c r="F316" s="2564" t="str">
        <f>'HVAC Deemed Table'!G1881</f>
        <v>Heating Res ER2</v>
      </c>
      <c r="G316" s="3343" t="str">
        <f>'HVAC Deemed Table'!E1878</f>
        <v>ASHP-SEER21_ER1_SF</v>
      </c>
      <c r="H316" s="50" t="str">
        <f>'HVAC Deemed Table'!D1878</f>
        <v>SF</v>
      </c>
      <c r="I316" s="1966">
        <f t="shared" si="100"/>
        <v>6493.84</v>
      </c>
      <c r="J316" s="1966">
        <f t="shared" si="101"/>
        <v>2606.34</v>
      </c>
      <c r="K316" s="560">
        <f>'HVAC Deemed Table'!F1878</f>
        <v>2958.13</v>
      </c>
      <c r="L316" s="560">
        <f>'HVAC Deemed Table'!F1879</f>
        <v>3535.71</v>
      </c>
      <c r="M316" s="560">
        <f>'HVAC Deemed Table'!F1880</f>
        <v>877.41</v>
      </c>
      <c r="N316" s="560">
        <f>'HVAC Deemed Table'!F1881</f>
        <v>1728.93</v>
      </c>
      <c r="O316" s="1967">
        <f t="shared" si="102"/>
        <v>2.8025859999999998</v>
      </c>
      <c r="P316" s="1967">
        <f t="shared" si="103"/>
        <v>0.83127399999999996</v>
      </c>
      <c r="Q316" s="1968">
        <f>'HVAC Deemed Table'!I1878</f>
        <v>2.8025859999999998</v>
      </c>
      <c r="R316" s="1968">
        <f>'HVAC Deemed Table'!I1879</f>
        <v>0</v>
      </c>
      <c r="S316" s="1968">
        <f>'HVAC Deemed Table'!I1880</f>
        <v>0.83127399999999996</v>
      </c>
      <c r="T316" s="1968">
        <f>'HVAC Deemed Table'!I1881</f>
        <v>0</v>
      </c>
      <c r="U316" s="1969"/>
      <c r="V316" s="1969"/>
      <c r="W316" s="1969">
        <f t="shared" si="150"/>
        <v>0.83127399999999996</v>
      </c>
      <c r="X316" s="55">
        <f>'HVAC Deemed Table'!J1878</f>
        <v>6</v>
      </c>
      <c r="Y316" s="55">
        <f>'HVAC Deemed Table'!J1880</f>
        <v>12</v>
      </c>
      <c r="Z316" s="55">
        <f t="shared" si="131"/>
        <v>18</v>
      </c>
      <c r="AA316" s="49">
        <f>'HVAC Deemed Table'!BB1878</f>
        <v>1.6633115869648967</v>
      </c>
      <c r="AB316" s="698">
        <f>'HVAC Deemed Table'!K1878</f>
        <v>2490.8675578660959</v>
      </c>
      <c r="AC316" s="2583">
        <f t="shared" si="132"/>
        <v>2450.4194231289412</v>
      </c>
      <c r="AD316" s="2583">
        <f t="shared" si="151"/>
        <v>1459.9995203289461</v>
      </c>
      <c r="AE316" s="571">
        <f>'HVAC Deemed Table'!BD1878</f>
        <v>1874.3066339469956</v>
      </c>
      <c r="AF316" s="571">
        <f>'HVAC Deemed Table'!BD1879</f>
        <v>576.11278918194535</v>
      </c>
      <c r="AG316" s="571">
        <f>'HVAC Deemed Table'!BD1880</f>
        <v>970.8807804153447</v>
      </c>
      <c r="AH316" s="571">
        <f>'HVAC Deemed Table'!BD1881</f>
        <v>489.11873991360142</v>
      </c>
      <c r="AI316" s="2589" t="str">
        <f t="shared" si="147"/>
        <v>per measure</v>
      </c>
      <c r="AJ316" s="93">
        <f>'HVAC Deemed Table'!L1878</f>
        <v>3.3520972177188546</v>
      </c>
      <c r="AK316" s="1501"/>
      <c r="AL316" s="1501"/>
      <c r="AM316" s="1596">
        <f t="shared" si="148"/>
        <v>9.4741810000000004E-4</v>
      </c>
      <c r="AN316" s="84">
        <f t="shared" si="152"/>
        <v>2.8025859041530001</v>
      </c>
      <c r="AO316" s="1595">
        <f t="shared" si="149"/>
        <v>-9.5846999670357036E-8</v>
      </c>
    </row>
    <row r="317" spans="1:48" x14ac:dyDescent="0.35">
      <c r="A317" s="103" t="str">
        <f t="shared" si="130"/>
        <v>354800</v>
      </c>
      <c r="B317" s="3346" t="str">
        <f>'HVAC Deemed Table'!C1882</f>
        <v>354800_2021_12_</v>
      </c>
      <c r="C317" s="2564" t="str">
        <f>'HVAC Deemed Table'!G1882</f>
        <v>Cooling Res</v>
      </c>
      <c r="D317" s="2564" t="str">
        <f>'HVAC Deemed Table'!G1883</f>
        <v>Heating Res</v>
      </c>
      <c r="E317" s="3343"/>
      <c r="F317" s="3343"/>
      <c r="G317" s="3343" t="str">
        <f>'HVAC Deemed Table'!E1882</f>
        <v>ASHP-SEER21_ROF_SF</v>
      </c>
      <c r="H317" s="50" t="str">
        <f>'HVAC Deemed Table'!D1882</f>
        <v>SF</v>
      </c>
      <c r="I317" s="1966">
        <f t="shared" ref="I317:I364" si="153">K317+L317</f>
        <v>2858.66</v>
      </c>
      <c r="J317" s="1966">
        <f t="shared" ref="J317:J364" si="154">M317+N317</f>
        <v>0</v>
      </c>
      <c r="K317" s="560">
        <f>'HVAC Deemed Table'!F1882</f>
        <v>924.97</v>
      </c>
      <c r="L317" s="560">
        <f>'HVAC Deemed Table'!F1883</f>
        <v>1933.69</v>
      </c>
      <c r="M317" s="560"/>
      <c r="N317" s="560"/>
      <c r="O317" s="1967">
        <f t="shared" ref="O317:O364" si="155">Q317+R317</f>
        <v>0.87633300000000003</v>
      </c>
      <c r="P317" s="1967">
        <f t="shared" ref="P317:P364" si="156">S317+T317</f>
        <v>0</v>
      </c>
      <c r="Q317" s="1968">
        <f>'HVAC Deemed Table'!I1882</f>
        <v>0.87633300000000003</v>
      </c>
      <c r="R317" s="1968">
        <f>'HVAC Deemed Table'!I1883</f>
        <v>0</v>
      </c>
      <c r="S317" s="1968"/>
      <c r="T317" s="1968"/>
      <c r="U317" s="1969"/>
      <c r="V317" s="1969"/>
      <c r="W317" s="1969">
        <f>O317</f>
        <v>0.87633300000000003</v>
      </c>
      <c r="X317" s="55">
        <f>'HVAC Deemed Table'!J1882</f>
        <v>18</v>
      </c>
      <c r="Y317" s="55"/>
      <c r="Z317" s="55">
        <f t="shared" si="131"/>
        <v>18</v>
      </c>
      <c r="AA317" s="49">
        <f>'HVAC Deemed Table'!BB1882</f>
        <v>1.5496368262116036</v>
      </c>
      <c r="AB317" s="698">
        <f>'HVAC Deemed Table'!K1882</f>
        <v>1689.9245999999991</v>
      </c>
      <c r="AC317" s="2583">
        <f t="shared" si="132"/>
        <v>2471.7030615204458</v>
      </c>
      <c r="AD317" s="2583">
        <f t="shared" si="151"/>
        <v>0</v>
      </c>
      <c r="AE317" s="571">
        <f>'HVAC Deemed Table'!BD1882</f>
        <v>1609.5794448586707</v>
      </c>
      <c r="AF317" s="571">
        <f>'HVAC Deemed Table'!BD1883</f>
        <v>862.1236166617748</v>
      </c>
      <c r="AG317" s="571"/>
      <c r="AH317" s="571"/>
      <c r="AI317" s="2589" t="str">
        <f t="shared" si="147"/>
        <v>per measure</v>
      </c>
      <c r="AJ317" s="93">
        <f>'HVAC Deemed Table'!L1882</f>
        <v>3.4699494950520831</v>
      </c>
      <c r="AK317" s="1501"/>
      <c r="AL317" s="1501"/>
      <c r="AM317" s="1596">
        <f t="shared" si="148"/>
        <v>9.4741810000000004E-4</v>
      </c>
      <c r="AN317" s="84">
        <f t="shared" si="152"/>
        <v>0.87633331995700003</v>
      </c>
      <c r="AO317" s="1595">
        <f t="shared" si="149"/>
        <v>3.1995700000564398E-7</v>
      </c>
    </row>
    <row r="318" spans="1:48" s="84" customFormat="1" x14ac:dyDescent="0.35">
      <c r="A318" s="103" t="str">
        <f t="shared" si="130"/>
        <v>354850</v>
      </c>
      <c r="B318" s="3346" t="str">
        <f>'HVAC Deemed Table'!C1884</f>
        <v>354850_2019_12_</v>
      </c>
      <c r="C318" s="2564" t="str">
        <f>'HVAC Deemed Table'!G1884</f>
        <v>Cooling Res</v>
      </c>
      <c r="D318" s="2564" t="str">
        <f>'HVAC Deemed Table'!G1885</f>
        <v>Heating Res</v>
      </c>
      <c r="E318" s="3343"/>
      <c r="F318" s="3343"/>
      <c r="G318" s="3343" t="str">
        <f>'HVAC Deemed Table'!E1884</f>
        <v>ASHP-SEER21-Replace_CAC_ElectricHeat_ROF_MF</v>
      </c>
      <c r="H318" s="50" t="str">
        <f>'HVAC Deemed Table'!D1884</f>
        <v>MF</v>
      </c>
      <c r="I318" s="1966">
        <f t="shared" si="153"/>
        <v>6769.2699999999995</v>
      </c>
      <c r="J318" s="1966">
        <f t="shared" si="154"/>
        <v>0</v>
      </c>
      <c r="K318" s="560">
        <f>'HVAC Deemed Table'!F1884</f>
        <v>556.16</v>
      </c>
      <c r="L318" s="560">
        <f>'HVAC Deemed Table'!F1885</f>
        <v>6213.11</v>
      </c>
      <c r="M318" s="560"/>
      <c r="N318" s="560"/>
      <c r="O318" s="1967">
        <f t="shared" si="155"/>
        <v>0.52691600000000005</v>
      </c>
      <c r="P318" s="1967">
        <f t="shared" si="156"/>
        <v>0</v>
      </c>
      <c r="Q318" s="1968">
        <f>'HVAC Deemed Table'!I1884</f>
        <v>0.52691600000000005</v>
      </c>
      <c r="R318" s="1968">
        <f>'HVAC Deemed Table'!I1885</f>
        <v>0</v>
      </c>
      <c r="S318" s="1968"/>
      <c r="T318" s="1968"/>
      <c r="U318" s="1969"/>
      <c r="V318" s="1969"/>
      <c r="W318" s="1969">
        <f>O318</f>
        <v>0.52691600000000005</v>
      </c>
      <c r="X318" s="55">
        <f>'HVAC Deemed Table'!J1884</f>
        <v>18</v>
      </c>
      <c r="Y318" s="55"/>
      <c r="Z318" s="55">
        <f t="shared" si="131"/>
        <v>18</v>
      </c>
      <c r="AA318" s="49">
        <f>'HVAC Deemed Table'!BB1884</f>
        <v>2.3434639401806643</v>
      </c>
      <c r="AB318" s="698">
        <f>'HVAC Deemed Table'!K1884</f>
        <v>1689.9245999999991</v>
      </c>
      <c r="AC318" s="2583">
        <f t="shared" si="132"/>
        <v>3737.8738666580753</v>
      </c>
      <c r="AD318" s="2583">
        <f t="shared" si="151"/>
        <v>0</v>
      </c>
      <c r="AE318" s="571">
        <f>'HVAC Deemed Table'!BD1884</f>
        <v>967.7975545721464</v>
      </c>
      <c r="AF318" s="571">
        <f>'HVAC Deemed Table'!BD1885</f>
        <v>2770.0763120859287</v>
      </c>
      <c r="AG318" s="571"/>
      <c r="AH318" s="571"/>
      <c r="AI318" s="2589" t="str">
        <f t="shared" si="147"/>
        <v>per measure</v>
      </c>
      <c r="AJ318" s="93">
        <f>'HVAC Deemed Table'!L1884</f>
        <v>2.8</v>
      </c>
      <c r="AK318" s="1501"/>
      <c r="AL318" s="1501"/>
      <c r="AM318" s="1596">
        <f t="shared" si="148"/>
        <v>9.4741810000000004E-4</v>
      </c>
      <c r="AN318" s="84">
        <f t="shared" si="152"/>
        <v>0.52691605049599999</v>
      </c>
      <c r="AO318" s="1595">
        <f t="shared" si="149"/>
        <v>5.049599993700582E-8</v>
      </c>
      <c r="AP318"/>
      <c r="AQ318"/>
      <c r="AR318"/>
      <c r="AS318"/>
      <c r="AT318"/>
      <c r="AU318"/>
      <c r="AV318"/>
    </row>
    <row r="319" spans="1:48" s="84" customFormat="1" x14ac:dyDescent="0.35">
      <c r="A319" s="103" t="str">
        <f t="shared" si="130"/>
        <v>354851</v>
      </c>
      <c r="B319" s="3346" t="str">
        <f>'HVAC Deemed Table'!C1886</f>
        <v>354851_2019_12_</v>
      </c>
      <c r="C319" s="2564" t="str">
        <f>'HVAC Deemed Table'!G1886</f>
        <v>Cooling Res</v>
      </c>
      <c r="D319" s="2564" t="str">
        <f>'HVAC Deemed Table'!G1887</f>
        <v>Heating Res</v>
      </c>
      <c r="E319" s="3343"/>
      <c r="F319" s="3343"/>
      <c r="G319" s="3343" t="str">
        <f>'HVAC Deemed Table'!E1886</f>
        <v>ASHP-SEER21-Replace_CAC_ElectricHeat_ROF_MF_CompE</v>
      </c>
      <c r="H319" s="50" t="str">
        <f>'HVAC Deemed Table'!D1886</f>
        <v>MFc</v>
      </c>
      <c r="I319" s="1966">
        <f t="shared" si="153"/>
        <v>2522.58</v>
      </c>
      <c r="J319" s="1966">
        <f t="shared" si="154"/>
        <v>0</v>
      </c>
      <c r="K319" s="560">
        <f>'HVAC Deemed Table'!F1886</f>
        <v>404.48</v>
      </c>
      <c r="L319" s="560">
        <f>'HVAC Deemed Table'!F1887</f>
        <v>2118.1</v>
      </c>
      <c r="M319" s="560"/>
      <c r="N319" s="560"/>
      <c r="O319" s="1967">
        <f t="shared" si="155"/>
        <v>0.383212</v>
      </c>
      <c r="P319" s="1967">
        <f t="shared" si="156"/>
        <v>0</v>
      </c>
      <c r="Q319" s="1968">
        <f>'HVAC Deemed Table'!I1886</f>
        <v>0.383212</v>
      </c>
      <c r="R319" s="1968">
        <f>'HVAC Deemed Table'!I1887</f>
        <v>0</v>
      </c>
      <c r="S319" s="1968"/>
      <c r="T319" s="1968"/>
      <c r="U319" s="1969"/>
      <c r="V319" s="1969"/>
      <c r="W319" s="1969">
        <f>O319</f>
        <v>0.383212</v>
      </c>
      <c r="X319" s="55">
        <f>'HVAC Deemed Table'!J1886</f>
        <v>18</v>
      </c>
      <c r="Y319" s="55"/>
      <c r="Z319" s="55">
        <f t="shared" si="131"/>
        <v>18</v>
      </c>
      <c r="AA319" s="49">
        <f>'HVAC Deemed Table'!BB1886</f>
        <v>1.033337226825686</v>
      </c>
      <c r="AB319" s="698">
        <f>'HVAC Deemed Table'!K1886</f>
        <v>1689.9245999999991</v>
      </c>
      <c r="AC319" s="2583">
        <f t="shared" si="132"/>
        <v>1648.194431060411</v>
      </c>
      <c r="AD319" s="2583">
        <f t="shared" si="151"/>
        <v>0</v>
      </c>
      <c r="AE319" s="571">
        <f>'HVAC Deemed Table'!BD1886</f>
        <v>703.85276696156109</v>
      </c>
      <c r="AF319" s="571">
        <f>'HVAC Deemed Table'!BD1887</f>
        <v>944.34166409884995</v>
      </c>
      <c r="AG319" s="571"/>
      <c r="AH319" s="571"/>
      <c r="AI319" s="2589" t="str">
        <f t="shared" ref="AI319:AI365" si="157">AI318</f>
        <v>per measure</v>
      </c>
      <c r="AJ319" s="93">
        <f>'HVAC Deemed Table'!L1886</f>
        <v>2.8</v>
      </c>
      <c r="AK319" s="1501"/>
      <c r="AL319" s="1501"/>
      <c r="AM319" s="1596">
        <f t="shared" si="148"/>
        <v>9.4741810000000004E-4</v>
      </c>
      <c r="AN319" s="84">
        <f t="shared" si="152"/>
        <v>0.38321167308800003</v>
      </c>
      <c r="AO319" s="1500">
        <f t="shared" si="149"/>
        <v>-3.2691199997048059E-7</v>
      </c>
      <c r="AP319" s="144">
        <f>AO319/O319</f>
        <v>-8.5308393257643449E-7</v>
      </c>
      <c r="AQ319"/>
      <c r="AR319"/>
      <c r="AS319"/>
      <c r="AT319"/>
      <c r="AU319"/>
      <c r="AV319"/>
    </row>
    <row r="320" spans="1:48" x14ac:dyDescent="0.35">
      <c r="A320" s="103" t="str">
        <f t="shared" si="130"/>
        <v>354860</v>
      </c>
      <c r="B320" s="3346" t="str">
        <f>'HVAC Deemed Table'!C1888</f>
        <v>354860_2021_12_</v>
      </c>
      <c r="C320" s="2564" t="str">
        <f>'HVAC Deemed Table'!G1888</f>
        <v>Cooling Res</v>
      </c>
      <c r="D320" s="2564" t="str">
        <f>'HVAC Deemed Table'!G1889</f>
        <v>Heating Res</v>
      </c>
      <c r="E320" s="3343"/>
      <c r="F320" s="3343"/>
      <c r="G320" s="3343" t="str">
        <f>'HVAC Deemed Table'!E1888</f>
        <v>ASHP-SEER21-Replace_CAC_NonElectricHeat_ROF_MF</v>
      </c>
      <c r="H320" s="50" t="str">
        <f>'HVAC Deemed Table'!D1888</f>
        <v>MF</v>
      </c>
      <c r="I320" s="1966">
        <f t="shared" si="153"/>
        <v>556.16</v>
      </c>
      <c r="J320" s="1966">
        <f t="shared" si="154"/>
        <v>0</v>
      </c>
      <c r="K320" s="560">
        <f>'HVAC Deemed Table'!F1888</f>
        <v>556.16</v>
      </c>
      <c r="L320" s="560">
        <f>'HVAC Deemed Table'!F1889</f>
        <v>0</v>
      </c>
      <c r="M320" s="560"/>
      <c r="N320" s="560"/>
      <c r="O320" s="1967">
        <f t="shared" si="155"/>
        <v>0.52691600000000005</v>
      </c>
      <c r="P320" s="1967">
        <f t="shared" si="156"/>
        <v>0</v>
      </c>
      <c r="Q320" s="1968">
        <f>'HVAC Deemed Table'!I1888</f>
        <v>0.52691600000000005</v>
      </c>
      <c r="R320" s="1968">
        <f>'HVAC Deemed Table'!I1889</f>
        <v>0</v>
      </c>
      <c r="S320" s="1968"/>
      <c r="T320" s="1968"/>
      <c r="U320" s="1969"/>
      <c r="V320" s="1969"/>
      <c r="W320" s="1969">
        <f>O320</f>
        <v>0.52691600000000005</v>
      </c>
      <c r="X320" s="55">
        <f>'HVAC Deemed Table'!J1888</f>
        <v>18</v>
      </c>
      <c r="Y320" s="55"/>
      <c r="Z320" s="55">
        <f t="shared" si="131"/>
        <v>18</v>
      </c>
      <c r="AA320" s="49">
        <f>'HVAC Deemed Table'!BB1888</f>
        <v>0.60676169165724303</v>
      </c>
      <c r="AB320" s="698">
        <f>'HVAC Deemed Table'!K1888</f>
        <v>1689.9245999999991</v>
      </c>
      <c r="AC320" s="2583">
        <f t="shared" si="132"/>
        <v>967.7975545721464</v>
      </c>
      <c r="AD320" s="2583">
        <f t="shared" si="151"/>
        <v>0</v>
      </c>
      <c r="AE320" s="571">
        <f>'HVAC Deemed Table'!BD1888</f>
        <v>967.7975545721464</v>
      </c>
      <c r="AF320" s="571">
        <f>'HVAC Deemed Table'!BD1889</f>
        <v>0</v>
      </c>
      <c r="AG320" s="571"/>
      <c r="AH320" s="571"/>
      <c r="AI320" s="2589" t="str">
        <f t="shared" si="157"/>
        <v>per measure</v>
      </c>
      <c r="AJ320" s="93">
        <f>'HVAC Deemed Table'!L1888</f>
        <v>2.8</v>
      </c>
      <c r="AK320" s="2610"/>
      <c r="AL320" s="2610"/>
      <c r="AM320" s="1961">
        <f t="shared" si="148"/>
        <v>9.4741810000000004E-4</v>
      </c>
      <c r="AN320" s="84">
        <f t="shared" si="152"/>
        <v>0.52691605049599999</v>
      </c>
      <c r="AO320" s="2611">
        <f t="shared" si="149"/>
        <v>5.049599993700582E-8</v>
      </c>
      <c r="AP320" s="1779">
        <f>AO320/O320</f>
        <v>9.5833111799614773E-8</v>
      </c>
      <c r="AQ320" s="84"/>
      <c r="AR320" s="84"/>
      <c r="AS320" s="84"/>
      <c r="AT320" s="84"/>
      <c r="AU320" s="84"/>
      <c r="AV320" s="84"/>
    </row>
    <row r="321" spans="1:48" x14ac:dyDescent="0.35">
      <c r="A321" s="103" t="str">
        <f t="shared" si="130"/>
        <v>354861</v>
      </c>
      <c r="B321" s="3346" t="str">
        <f>'HVAC Deemed Table'!C1890</f>
        <v>354861_2021_12_</v>
      </c>
      <c r="C321" s="2564" t="str">
        <f>'HVAC Deemed Table'!G1890</f>
        <v>Cooling Res</v>
      </c>
      <c r="D321" s="2564" t="str">
        <f>'HVAC Deemed Table'!G1891</f>
        <v>Heating Res</v>
      </c>
      <c r="E321" s="3343"/>
      <c r="F321" s="3343"/>
      <c r="G321" s="3343" t="str">
        <f>'HVAC Deemed Table'!E1890</f>
        <v>ASHP-SEER21-Replace_CAC_NonElectricHeat_ROF_MF_CompE</v>
      </c>
      <c r="H321" s="50" t="str">
        <f>'HVAC Deemed Table'!D1890</f>
        <v>MFc</v>
      </c>
      <c r="I321" s="1966">
        <f t="shared" si="153"/>
        <v>404.48</v>
      </c>
      <c r="J321" s="1966">
        <f t="shared" si="154"/>
        <v>0</v>
      </c>
      <c r="K321" s="560">
        <f>'HVAC Deemed Table'!F1890</f>
        <v>404.48</v>
      </c>
      <c r="L321" s="560">
        <f>'HVAC Deemed Table'!F1891</f>
        <v>0</v>
      </c>
      <c r="M321" s="560"/>
      <c r="N321" s="560"/>
      <c r="O321" s="1967">
        <f t="shared" si="155"/>
        <v>0.383212</v>
      </c>
      <c r="P321" s="1967">
        <f t="shared" si="156"/>
        <v>0</v>
      </c>
      <c r="Q321" s="1968">
        <f>'HVAC Deemed Table'!I1890</f>
        <v>0.383212</v>
      </c>
      <c r="R321" s="1968">
        <f>'HVAC Deemed Table'!I1891</f>
        <v>0</v>
      </c>
      <c r="S321" s="1968"/>
      <c r="T321" s="1968"/>
      <c r="U321" s="1969"/>
      <c r="V321" s="1969"/>
      <c r="W321" s="1969">
        <f>O321</f>
        <v>0.383212</v>
      </c>
      <c r="X321" s="55">
        <f>'HVAC Deemed Table'!J1890</f>
        <v>18</v>
      </c>
      <c r="Y321" s="55"/>
      <c r="Z321" s="55">
        <f t="shared" si="131"/>
        <v>18</v>
      </c>
      <c r="AA321" s="49">
        <f>'HVAC Deemed Table'!BB1890</f>
        <v>0.44128123029617677</v>
      </c>
      <c r="AB321" s="698">
        <f>'HVAC Deemed Table'!K1890</f>
        <v>1689.9245999999991</v>
      </c>
      <c r="AC321" s="2583">
        <f t="shared" si="132"/>
        <v>703.85276696156109</v>
      </c>
      <c r="AD321" s="2583">
        <f t="shared" si="151"/>
        <v>0</v>
      </c>
      <c r="AE321" s="571">
        <f>'HVAC Deemed Table'!BD1890</f>
        <v>703.85276696156109</v>
      </c>
      <c r="AF321" s="571">
        <f>'HVAC Deemed Table'!BD1891</f>
        <v>0</v>
      </c>
      <c r="AG321" s="571"/>
      <c r="AH321" s="571"/>
      <c r="AI321" s="2589" t="str">
        <f t="shared" si="157"/>
        <v>per measure</v>
      </c>
      <c r="AJ321" s="93">
        <f>'HVAC Deemed Table'!L1890</f>
        <v>2.8</v>
      </c>
      <c r="AK321" s="2610"/>
      <c r="AL321" s="2610"/>
      <c r="AM321" s="1961">
        <f t="shared" si="148"/>
        <v>9.4741810000000004E-4</v>
      </c>
      <c r="AN321" s="84">
        <f t="shared" si="152"/>
        <v>0.38321167308800003</v>
      </c>
      <c r="AO321" s="2611">
        <f t="shared" si="149"/>
        <v>-3.2691199997048059E-7</v>
      </c>
      <c r="AP321" s="1779">
        <f>AO321/O321</f>
        <v>-8.5308393257643449E-7</v>
      </c>
      <c r="AQ321" s="84"/>
      <c r="AR321" s="84"/>
      <c r="AS321" s="84"/>
      <c r="AT321" s="84"/>
      <c r="AU321" s="84"/>
      <c r="AV321" s="84"/>
    </row>
    <row r="322" spans="1:48" x14ac:dyDescent="0.35">
      <c r="A322" s="103" t="str">
        <f t="shared" si="130"/>
        <v>354900</v>
      </c>
      <c r="B322" s="3346" t="str">
        <f>'HVAC Deemed Table'!C1892</f>
        <v>354900_2019_12_</v>
      </c>
      <c r="C322" s="2564" t="str">
        <f>'HVAC Deemed Table'!G1892</f>
        <v>Cooling Res</v>
      </c>
      <c r="D322" s="2564" t="str">
        <f>'HVAC Deemed Table'!G1893</f>
        <v>Heating Res</v>
      </c>
      <c r="E322" s="2564" t="str">
        <f>'HVAC Deemed Table'!G1894</f>
        <v>Cooling Res ER2</v>
      </c>
      <c r="F322" s="2564" t="str">
        <f>'HVAC Deemed Table'!G1895</f>
        <v>Heating Res ER2</v>
      </c>
      <c r="G322" s="3343" t="str">
        <f>'HVAC Deemed Table'!E1892</f>
        <v>ASHP-SEER21_ER1_MF</v>
      </c>
      <c r="H322" s="50" t="str">
        <f>'HVAC Deemed Table'!D1892</f>
        <v>MF</v>
      </c>
      <c r="I322" s="1966">
        <f t="shared" si="153"/>
        <v>3418.8599999999997</v>
      </c>
      <c r="J322" s="1966">
        <f t="shared" si="154"/>
        <v>1175.18</v>
      </c>
      <c r="K322" s="560">
        <f>'HVAC Deemed Table'!F1892</f>
        <v>1620.1</v>
      </c>
      <c r="L322" s="560">
        <f>'HVAC Deemed Table'!F1893</f>
        <v>1798.76</v>
      </c>
      <c r="M322" s="560">
        <f>'HVAC Deemed Table'!F1894</f>
        <v>532.57000000000005</v>
      </c>
      <c r="N322" s="560">
        <f>'HVAC Deemed Table'!F1895</f>
        <v>642.61</v>
      </c>
      <c r="O322" s="1967">
        <f t="shared" si="155"/>
        <v>1.5349120000000001</v>
      </c>
      <c r="P322" s="1967">
        <f t="shared" si="156"/>
        <v>0.50456599999999996</v>
      </c>
      <c r="Q322" s="1968">
        <f>'HVAC Deemed Table'!I1892</f>
        <v>1.5349120000000001</v>
      </c>
      <c r="R322" s="1968">
        <f>'HVAC Deemed Table'!I1893</f>
        <v>0</v>
      </c>
      <c r="S322" s="1968">
        <f>'HVAC Deemed Table'!I1894</f>
        <v>0.50456599999999996</v>
      </c>
      <c r="T322" s="1968">
        <f>'HVAC Deemed Table'!I1895</f>
        <v>0</v>
      </c>
      <c r="U322" s="1969"/>
      <c r="V322" s="1969"/>
      <c r="W322" s="1969">
        <f>P322</f>
        <v>0.50456599999999996</v>
      </c>
      <c r="X322" s="55">
        <f>'HVAC Deemed Table'!J1892</f>
        <v>6</v>
      </c>
      <c r="Y322" s="55">
        <f>'HVAC Deemed Table'!J1894</f>
        <v>12</v>
      </c>
      <c r="Z322" s="55">
        <f t="shared" si="131"/>
        <v>18</v>
      </c>
      <c r="AA322" s="49">
        <f>'HVAC Deemed Table'!BB1892</f>
        <v>1.0057474925722516</v>
      </c>
      <c r="AB322" s="698">
        <f>'HVAC Deemed Table'!K1892</f>
        <v>2202.4463238752733</v>
      </c>
      <c r="AC322" s="2583">
        <f t="shared" si="132"/>
        <v>1319.6068759042687</v>
      </c>
      <c r="AD322" s="2583">
        <f t="shared" si="151"/>
        <v>771.10088036050638</v>
      </c>
      <c r="AE322" s="571">
        <f>'HVAC Deemed Table'!BD1892</f>
        <v>1026.514783886282</v>
      </c>
      <c r="AF322" s="571">
        <f>'HVAC Deemed Table'!BD1893</f>
        <v>293.09209201798672</v>
      </c>
      <c r="AG322" s="571">
        <f>'HVAC Deemed Table'!BD1894</f>
        <v>589.30486001504448</v>
      </c>
      <c r="AH322" s="571">
        <f>'HVAC Deemed Table'!BD1895</f>
        <v>181.79602034546187</v>
      </c>
      <c r="AI322" s="2589" t="str">
        <f t="shared" si="157"/>
        <v>per measure</v>
      </c>
      <c r="AJ322" s="93">
        <f>'HVAC Deemed Table'!L1892</f>
        <v>3.3</v>
      </c>
      <c r="AK322" s="1501"/>
      <c r="AL322" s="1501"/>
      <c r="AM322" s="1596">
        <f t="shared" si="148"/>
        <v>9.4741810000000004E-4</v>
      </c>
      <c r="AN322" s="84">
        <f t="shared" si="152"/>
        <v>1.53491206381</v>
      </c>
      <c r="AO322" s="1595">
        <f t="shared" si="149"/>
        <v>6.3809999950592555E-8</v>
      </c>
    </row>
    <row r="323" spans="1:48" x14ac:dyDescent="0.35">
      <c r="A323" s="103" t="str">
        <f t="shared" si="130"/>
        <v>354901</v>
      </c>
      <c r="B323" s="3346" t="str">
        <f>'HVAC Deemed Table'!C1896</f>
        <v>354901_2019_12_</v>
      </c>
      <c r="C323" s="2564" t="str">
        <f>'HVAC Deemed Table'!G1896</f>
        <v>Cooling Res</v>
      </c>
      <c r="D323" s="2564" t="str">
        <f>'HVAC Deemed Table'!G1897</f>
        <v>Heating Res</v>
      </c>
      <c r="E323" s="2564" t="str">
        <f>'HVAC Deemed Table'!G1898</f>
        <v>Cooling Res ER2</v>
      </c>
      <c r="F323" s="2564" t="str">
        <f>'HVAC Deemed Table'!G1899</f>
        <v>Heating Res ER2</v>
      </c>
      <c r="G323" s="3343" t="str">
        <f>'HVAC Deemed Table'!E1896</f>
        <v>ASHP-SEER21_ER1_MF_CompE</v>
      </c>
      <c r="H323" s="50" t="str">
        <f>'HVAC Deemed Table'!D1896</f>
        <v>MFc</v>
      </c>
      <c r="I323" s="1966">
        <f t="shared" si="153"/>
        <v>1791.46</v>
      </c>
      <c r="J323" s="1966">
        <f t="shared" si="154"/>
        <v>606.4</v>
      </c>
      <c r="K323" s="560">
        <f>'HVAC Deemed Table'!F1896</f>
        <v>1178.25</v>
      </c>
      <c r="L323" s="560">
        <f>'HVAC Deemed Table'!F1897</f>
        <v>613.21</v>
      </c>
      <c r="M323" s="560">
        <f>'HVAC Deemed Table'!F1898</f>
        <v>387.33</v>
      </c>
      <c r="N323" s="560">
        <f>'HVAC Deemed Table'!F1899</f>
        <v>219.07</v>
      </c>
      <c r="O323" s="1967">
        <f t="shared" si="155"/>
        <v>1.116295</v>
      </c>
      <c r="P323" s="1967">
        <f t="shared" si="156"/>
        <v>0.36696299999999998</v>
      </c>
      <c r="Q323" s="1968">
        <f>'HVAC Deemed Table'!I1896</f>
        <v>1.116295</v>
      </c>
      <c r="R323" s="1968">
        <f>'HVAC Deemed Table'!I1897</f>
        <v>0</v>
      </c>
      <c r="S323" s="1968">
        <f>'HVAC Deemed Table'!I1898</f>
        <v>0.36696299999999998</v>
      </c>
      <c r="T323" s="1968">
        <f>'HVAC Deemed Table'!I1899</f>
        <v>0</v>
      </c>
      <c r="U323" s="1969"/>
      <c r="V323" s="1969"/>
      <c r="W323" s="1969">
        <f>P323</f>
        <v>0.36696299999999998</v>
      </c>
      <c r="X323" s="55">
        <f>'HVAC Deemed Table'!J1896</f>
        <v>6</v>
      </c>
      <c r="Y323" s="55">
        <f>'HVAC Deemed Table'!J1898</f>
        <v>12</v>
      </c>
      <c r="Z323" s="55">
        <f t="shared" si="131"/>
        <v>18</v>
      </c>
      <c r="AA323" s="49">
        <f>'HVAC Deemed Table'!BB1896</f>
        <v>0.64319031043857255</v>
      </c>
      <c r="AB323" s="698">
        <f>'HVAC Deemed Table'!K1896</f>
        <v>2202.4463238752733</v>
      </c>
      <c r="AC323" s="2583">
        <f t="shared" si="132"/>
        <v>846.47049253733678</v>
      </c>
      <c r="AD323" s="2583">
        <f t="shared" si="151"/>
        <v>490.56786024947741</v>
      </c>
      <c r="AE323" s="571">
        <f>'HVAC Deemed Table'!BD1896</f>
        <v>746.55332640825361</v>
      </c>
      <c r="AF323" s="571">
        <f>'HVAC Deemed Table'!BD1897</f>
        <v>99.917166129083185</v>
      </c>
      <c r="AG323" s="571">
        <f>'HVAC Deemed Table'!BD1898</f>
        <v>428.59239429488548</v>
      </c>
      <c r="AH323" s="571">
        <f>'HVAC Deemed Table'!BD1899</f>
        <v>61.975465954591947</v>
      </c>
      <c r="AI323" s="2589" t="str">
        <f t="shared" si="157"/>
        <v>per measure</v>
      </c>
      <c r="AJ323" s="93">
        <f>'HVAC Deemed Table'!L1896</f>
        <v>3.3</v>
      </c>
      <c r="AK323" s="1501"/>
      <c r="AL323" s="1501"/>
      <c r="AM323" s="1596">
        <f t="shared" si="148"/>
        <v>9.4741810000000004E-4</v>
      </c>
      <c r="AN323" s="84">
        <f t="shared" si="152"/>
        <v>1.1162953763250001</v>
      </c>
      <c r="AO323" s="1500">
        <f t="shared" si="149"/>
        <v>3.7632500005102543E-7</v>
      </c>
      <c r="AP323" s="144">
        <f>AO323/O323</f>
        <v>3.3711966823377819E-7</v>
      </c>
    </row>
    <row r="324" spans="1:48" x14ac:dyDescent="0.35">
      <c r="A324" s="103" t="str">
        <f t="shared" si="130"/>
        <v>354950</v>
      </c>
      <c r="B324" s="3346" t="str">
        <f>'HVAC Deemed Table'!C1900</f>
        <v>354950_2019_12_</v>
      </c>
      <c r="C324" s="2564" t="str">
        <f>'HVAC Deemed Table'!G1900</f>
        <v>Cooling Res</v>
      </c>
      <c r="D324" s="2564" t="str">
        <f>'HVAC Deemed Table'!G1901</f>
        <v>Heating Res</v>
      </c>
      <c r="E324" s="3343"/>
      <c r="F324" s="3343"/>
      <c r="G324" s="3343" t="str">
        <f>'HVAC Deemed Table'!E1900</f>
        <v>ASHP-SEER17_ROF_MF</v>
      </c>
      <c r="H324" s="50" t="str">
        <f>'HVAC Deemed Table'!D1900</f>
        <v>MF</v>
      </c>
      <c r="I324" s="1966">
        <f t="shared" si="153"/>
        <v>1048.6400000000001</v>
      </c>
      <c r="J324" s="1966">
        <f t="shared" si="154"/>
        <v>0</v>
      </c>
      <c r="K324" s="560">
        <f>'HVAC Deemed Table'!F1900</f>
        <v>281.95</v>
      </c>
      <c r="L324" s="560">
        <f>'HVAC Deemed Table'!F1901</f>
        <v>766.69</v>
      </c>
      <c r="M324" s="560"/>
      <c r="N324" s="560"/>
      <c r="O324" s="1967">
        <f t="shared" si="155"/>
        <v>0.267125</v>
      </c>
      <c r="P324" s="1967">
        <f t="shared" si="156"/>
        <v>0</v>
      </c>
      <c r="Q324" s="1968">
        <f>'HVAC Deemed Table'!I1900</f>
        <v>0.267125</v>
      </c>
      <c r="R324" s="1968">
        <f>'HVAC Deemed Table'!I1901</f>
        <v>0</v>
      </c>
      <c r="S324" s="1968"/>
      <c r="T324" s="1968"/>
      <c r="U324" s="1969"/>
      <c r="V324" s="1969"/>
      <c r="W324" s="1969">
        <f t="shared" ref="W324:W333" si="158">O324</f>
        <v>0.267125</v>
      </c>
      <c r="X324" s="55">
        <f>'HVAC Deemed Table'!J1900</f>
        <v>18</v>
      </c>
      <c r="Y324" s="55"/>
      <c r="Z324" s="55">
        <f t="shared" si="131"/>
        <v>18</v>
      </c>
      <c r="AA324" s="49">
        <f>'HVAC Deemed Table'!BB1900</f>
        <v>1.2182158497238469</v>
      </c>
      <c r="AB324" s="698">
        <f>'HVAC Deemed Table'!K1900</f>
        <v>724</v>
      </c>
      <c r="AC324" s="2583">
        <f t="shared" si="132"/>
        <v>832.4570789995895</v>
      </c>
      <c r="AD324" s="2583">
        <f t="shared" si="151"/>
        <v>0</v>
      </c>
      <c r="AE324" s="571">
        <f>'HVAC Deemed Table'!BD1900</f>
        <v>490.63312807756159</v>
      </c>
      <c r="AF324" s="571">
        <f>'HVAC Deemed Table'!BD1901</f>
        <v>341.8239509220279</v>
      </c>
      <c r="AG324" s="571"/>
      <c r="AH324" s="571"/>
      <c r="AI324" s="2589" t="str">
        <f t="shared" si="157"/>
        <v>per measure</v>
      </c>
      <c r="AJ324" s="93">
        <f>'HVAC Deemed Table'!L1900</f>
        <v>3.3</v>
      </c>
      <c r="AK324" s="1501"/>
      <c r="AL324" s="1501"/>
      <c r="AM324" s="1596">
        <f t="shared" si="148"/>
        <v>9.4741810000000004E-4</v>
      </c>
      <c r="AN324" s="84">
        <f t="shared" si="152"/>
        <v>0.26712453329500002</v>
      </c>
      <c r="AO324" s="1595">
        <f t="shared" si="149"/>
        <v>-4.6670499997958359E-7</v>
      </c>
    </row>
    <row r="325" spans="1:48" x14ac:dyDescent="0.35">
      <c r="A325" s="103" t="str">
        <f t="shared" si="130"/>
        <v>354951</v>
      </c>
      <c r="B325" s="3346" t="str">
        <f>'HVAC Deemed Table'!C1902</f>
        <v>354951_2019_12_</v>
      </c>
      <c r="C325" s="2564" t="str">
        <f>'HVAC Deemed Table'!G1902</f>
        <v>Cooling Res</v>
      </c>
      <c r="D325" s="2564" t="str">
        <f>'HVAC Deemed Table'!G1903</f>
        <v>Heating Res</v>
      </c>
      <c r="E325" s="3343"/>
      <c r="F325" s="3343"/>
      <c r="G325" s="3343" t="str">
        <f>'HVAC Deemed Table'!E1902</f>
        <v>ASHP-SEER17_ROF_MF_CompE</v>
      </c>
      <c r="H325" s="50" t="str">
        <f>'HVAC Deemed Table'!D1902</f>
        <v>MFc</v>
      </c>
      <c r="I325" s="1966">
        <f t="shared" si="153"/>
        <v>466.42</v>
      </c>
      <c r="J325" s="1966">
        <f t="shared" si="154"/>
        <v>0</v>
      </c>
      <c r="K325" s="560">
        <f>'HVAC Deemed Table'!F1902</f>
        <v>205.05</v>
      </c>
      <c r="L325" s="560">
        <f>'HVAC Deemed Table'!F1903</f>
        <v>261.37</v>
      </c>
      <c r="M325" s="560"/>
      <c r="N325" s="560"/>
      <c r="O325" s="1967">
        <f t="shared" si="155"/>
        <v>0.194268</v>
      </c>
      <c r="P325" s="1967">
        <f t="shared" si="156"/>
        <v>0</v>
      </c>
      <c r="Q325" s="1968">
        <f>'HVAC Deemed Table'!I1902</f>
        <v>0.194268</v>
      </c>
      <c r="R325" s="1968">
        <f>'HVAC Deemed Table'!I1903</f>
        <v>0</v>
      </c>
      <c r="S325" s="1968"/>
      <c r="T325" s="1968"/>
      <c r="U325" s="1969"/>
      <c r="V325" s="1969"/>
      <c r="W325" s="1969">
        <f t="shared" si="158"/>
        <v>0.194268</v>
      </c>
      <c r="X325" s="55">
        <f>'HVAC Deemed Table'!J1902</f>
        <v>18</v>
      </c>
      <c r="Y325" s="55"/>
      <c r="Z325" s="55">
        <f t="shared" si="131"/>
        <v>18</v>
      </c>
      <c r="AA325" s="49">
        <f>'HVAC Deemed Table'!BB1902</f>
        <v>0.69269402662636037</v>
      </c>
      <c r="AB325" s="698">
        <f>'HVAC Deemed Table'!K1902</f>
        <v>724</v>
      </c>
      <c r="AC325" s="2583">
        <f t="shared" si="132"/>
        <v>473.34636647237835</v>
      </c>
      <c r="AD325" s="2583">
        <f t="shared" si="151"/>
        <v>0</v>
      </c>
      <c r="AE325" s="571">
        <f>'HVAC Deemed Table'!BD1902</f>
        <v>356.81618340948404</v>
      </c>
      <c r="AF325" s="571">
        <f>'HVAC Deemed Table'!BD1903</f>
        <v>116.53018306289431</v>
      </c>
      <c r="AG325" s="571"/>
      <c r="AH325" s="571"/>
      <c r="AI325" s="2589" t="str">
        <f t="shared" si="157"/>
        <v>per measure</v>
      </c>
      <c r="AJ325" s="93">
        <f>'HVAC Deemed Table'!L1902</f>
        <v>3.3</v>
      </c>
      <c r="AK325" s="1501"/>
      <c r="AL325" s="1501"/>
      <c r="AM325" s="1596">
        <f t="shared" si="148"/>
        <v>9.4741810000000004E-4</v>
      </c>
      <c r="AN325" s="84">
        <f t="shared" si="152"/>
        <v>0.19426808140500001</v>
      </c>
      <c r="AO325" s="1500">
        <f t="shared" si="149"/>
        <v>8.1405000018630602E-8</v>
      </c>
      <c r="AP325" s="144">
        <f>AO325/O325</f>
        <v>4.1903452971477858E-7</v>
      </c>
    </row>
    <row r="326" spans="1:48" x14ac:dyDescent="0.35">
      <c r="A326" s="103" t="str">
        <f t="shared" si="130"/>
        <v>355000</v>
      </c>
      <c r="B326" s="3346" t="str">
        <f>'HVAC Deemed Table'!C1904</f>
        <v>355000_2019_12_</v>
      </c>
      <c r="C326" s="2564" t="str">
        <f>'HVAC Deemed Table'!G1904</f>
        <v>Cooling Res</v>
      </c>
      <c r="D326" s="2564" t="str">
        <f>'HVAC Deemed Table'!G1905</f>
        <v>Heating Res</v>
      </c>
      <c r="E326" s="3343"/>
      <c r="F326" s="3343"/>
      <c r="G326" s="3343" t="str">
        <f>'HVAC Deemed Table'!E1904</f>
        <v>ASHP-SEER18_ROF_MF</v>
      </c>
      <c r="H326" s="50" t="str">
        <f>'HVAC Deemed Table'!D1904</f>
        <v>MF</v>
      </c>
      <c r="I326" s="1966">
        <f t="shared" si="153"/>
        <v>1121.74</v>
      </c>
      <c r="J326" s="1966">
        <f t="shared" si="154"/>
        <v>0</v>
      </c>
      <c r="K326" s="560">
        <f>'HVAC Deemed Table'!F1904</f>
        <v>355.05</v>
      </c>
      <c r="L326" s="560">
        <f>'HVAC Deemed Table'!F1905</f>
        <v>766.69</v>
      </c>
      <c r="M326" s="560"/>
      <c r="N326" s="560"/>
      <c r="O326" s="1967">
        <f t="shared" si="155"/>
        <v>0.33638099999999999</v>
      </c>
      <c r="P326" s="1967">
        <f t="shared" si="156"/>
        <v>0</v>
      </c>
      <c r="Q326" s="1968">
        <f>'HVAC Deemed Table'!I1904</f>
        <v>0.33638099999999999</v>
      </c>
      <c r="R326" s="1968">
        <f>'HVAC Deemed Table'!I1905</f>
        <v>0</v>
      </c>
      <c r="S326" s="1968"/>
      <c r="T326" s="1968"/>
      <c r="U326" s="1969"/>
      <c r="V326" s="1969"/>
      <c r="W326" s="1969">
        <f t="shared" si="158"/>
        <v>0.33638099999999999</v>
      </c>
      <c r="X326" s="55">
        <f>'HVAC Deemed Table'!J1904</f>
        <v>18</v>
      </c>
      <c r="Y326" s="55"/>
      <c r="Z326" s="55">
        <f t="shared" si="131"/>
        <v>18</v>
      </c>
      <c r="AA326" s="49">
        <f>'HVAC Deemed Table'!BB1904</f>
        <v>1.0559146565319291</v>
      </c>
      <c r="AB326" s="698">
        <f>'HVAC Deemed Table'!K1904</f>
        <v>962.92000000000007</v>
      </c>
      <c r="AC326" s="2583">
        <f t="shared" si="132"/>
        <v>959.66148283881557</v>
      </c>
      <c r="AD326" s="2583">
        <f t="shared" si="151"/>
        <v>0</v>
      </c>
      <c r="AE326" s="571">
        <f>'HVAC Deemed Table'!BD1904</f>
        <v>617.83753191678761</v>
      </c>
      <c r="AF326" s="571">
        <f>'HVAC Deemed Table'!BD1905</f>
        <v>341.8239509220279</v>
      </c>
      <c r="AG326" s="571"/>
      <c r="AH326" s="571"/>
      <c r="AI326" s="2589" t="str">
        <f t="shared" si="157"/>
        <v>per measure</v>
      </c>
      <c r="AJ326" s="93">
        <f>'HVAC Deemed Table'!L1904</f>
        <v>3.3</v>
      </c>
      <c r="AK326" s="1501"/>
      <c r="AL326" s="1501"/>
      <c r="AM326" s="1596">
        <f t="shared" si="148"/>
        <v>9.4741810000000004E-4</v>
      </c>
      <c r="AN326" s="84">
        <f t="shared" si="152"/>
        <v>0.33638079640500002</v>
      </c>
      <c r="AO326" s="1595">
        <f t="shared" si="149"/>
        <v>-2.0359499997013586E-7</v>
      </c>
    </row>
    <row r="327" spans="1:48" x14ac:dyDescent="0.35">
      <c r="A327" s="103" t="str">
        <f t="shared" si="130"/>
        <v>355001</v>
      </c>
      <c r="B327" s="3346" t="str">
        <f>'HVAC Deemed Table'!C1906</f>
        <v>355001_2021_12_</v>
      </c>
      <c r="C327" s="2564" t="str">
        <f>'HVAC Deemed Table'!G1906</f>
        <v>Cooling Res</v>
      </c>
      <c r="D327" s="2564" t="str">
        <f>'HVAC Deemed Table'!G1907</f>
        <v>Heating Res</v>
      </c>
      <c r="E327" s="3343"/>
      <c r="F327" s="3343"/>
      <c r="G327" s="3343" t="str">
        <f>'HVAC Deemed Table'!E1906</f>
        <v>ASHP-SEER18_ROF_MF_CompE</v>
      </c>
      <c r="H327" s="50" t="str">
        <f>'HVAC Deemed Table'!D1906</f>
        <v>MFc</v>
      </c>
      <c r="I327" s="1966">
        <f t="shared" si="153"/>
        <v>519.59</v>
      </c>
      <c r="J327" s="1966">
        <f t="shared" si="154"/>
        <v>0</v>
      </c>
      <c r="K327" s="560">
        <f>'HVAC Deemed Table'!F1906</f>
        <v>258.22000000000003</v>
      </c>
      <c r="L327" s="560">
        <f>'HVAC Deemed Table'!F1907</f>
        <v>261.37</v>
      </c>
      <c r="M327" s="560"/>
      <c r="N327" s="560"/>
      <c r="O327" s="1967">
        <f t="shared" si="155"/>
        <v>0.244642</v>
      </c>
      <c r="P327" s="1967">
        <f t="shared" si="156"/>
        <v>0</v>
      </c>
      <c r="Q327" s="1968">
        <f>'HVAC Deemed Table'!I1906</f>
        <v>0.244642</v>
      </c>
      <c r="R327" s="1968">
        <f>'HVAC Deemed Table'!I1907</f>
        <v>0</v>
      </c>
      <c r="S327" s="1968"/>
      <c r="T327" s="1968"/>
      <c r="U327" s="1969"/>
      <c r="V327" s="1969"/>
      <c r="W327" s="1969">
        <f t="shared" si="158"/>
        <v>0.244642</v>
      </c>
      <c r="X327" s="55">
        <f>'HVAC Deemed Table'!J1906</f>
        <v>18</v>
      </c>
      <c r="Y327" s="55"/>
      <c r="Z327" s="55">
        <f t="shared" si="131"/>
        <v>18</v>
      </c>
      <c r="AA327" s="49">
        <f>'HVAC Deemed Table'!BB1906</f>
        <v>0.62262595331709103</v>
      </c>
      <c r="AB327" s="698">
        <f>'HVAC Deemed Table'!K1906</f>
        <v>962.92000000000007</v>
      </c>
      <c r="AC327" s="2583">
        <f t="shared" si="132"/>
        <v>565.86973380660061</v>
      </c>
      <c r="AD327" s="2583">
        <f t="shared" si="151"/>
        <v>0</v>
      </c>
      <c r="AE327" s="571">
        <f>'HVAC Deemed Table'!BD1906</f>
        <v>449.33955074370624</v>
      </c>
      <c r="AF327" s="571">
        <f>'HVAC Deemed Table'!BD1907</f>
        <v>116.53018306289431</v>
      </c>
      <c r="AG327" s="571"/>
      <c r="AH327" s="571"/>
      <c r="AI327" s="2589" t="str">
        <f t="shared" si="157"/>
        <v>per measure</v>
      </c>
      <c r="AJ327" s="93">
        <f>'HVAC Deemed Table'!L1906</f>
        <v>3.3</v>
      </c>
      <c r="AK327" s="1501"/>
      <c r="AL327" s="1501"/>
      <c r="AM327" s="1596">
        <f t="shared" si="148"/>
        <v>9.4741810000000004E-4</v>
      </c>
      <c r="AN327" s="84">
        <f t="shared" si="152"/>
        <v>0.24464230178200003</v>
      </c>
      <c r="AO327" s="1500">
        <f t="shared" si="149"/>
        <v>3.0178200002839439E-7</v>
      </c>
      <c r="AP327" s="144">
        <f>AO327/O327</f>
        <v>1.233565781952381E-6</v>
      </c>
    </row>
    <row r="328" spans="1:48" x14ac:dyDescent="0.35">
      <c r="A328" s="103" t="str">
        <f t="shared" si="130"/>
        <v>355050</v>
      </c>
      <c r="B328" s="3346" t="str">
        <f>'HVAC Deemed Table'!C1908</f>
        <v>355050_2019_12_</v>
      </c>
      <c r="C328" s="2564" t="str">
        <f>'HVAC Deemed Table'!G1908</f>
        <v>Cooling Res</v>
      </c>
      <c r="D328" s="2564" t="str">
        <f>'HVAC Deemed Table'!G1909</f>
        <v>Heating Res</v>
      </c>
      <c r="E328" s="3343"/>
      <c r="F328" s="3343"/>
      <c r="G328" s="3343" t="str">
        <f>'HVAC Deemed Table'!E1908</f>
        <v>ASHP-SEER19_ROF_MF</v>
      </c>
      <c r="H328" s="50" t="str">
        <f>'HVAC Deemed Table'!D1908</f>
        <v>MF</v>
      </c>
      <c r="I328" s="1966">
        <f t="shared" si="153"/>
        <v>1187.1400000000001</v>
      </c>
      <c r="J328" s="1966">
        <f t="shared" si="154"/>
        <v>0</v>
      </c>
      <c r="K328" s="560">
        <f>'HVAC Deemed Table'!F1908</f>
        <v>420.45</v>
      </c>
      <c r="L328" s="560">
        <f>'HVAC Deemed Table'!F1909</f>
        <v>766.69</v>
      </c>
      <c r="M328" s="560"/>
      <c r="N328" s="560"/>
      <c r="O328" s="1967">
        <f t="shared" si="155"/>
        <v>0.39834199999999997</v>
      </c>
      <c r="P328" s="1967">
        <f t="shared" si="156"/>
        <v>0</v>
      </c>
      <c r="Q328" s="1968">
        <f>'HVAC Deemed Table'!I1908</f>
        <v>0.39834199999999997</v>
      </c>
      <c r="R328" s="1968">
        <f>'HVAC Deemed Table'!I1909</f>
        <v>0</v>
      </c>
      <c r="S328" s="1968"/>
      <c r="T328" s="1968"/>
      <c r="U328" s="1969"/>
      <c r="V328" s="1969"/>
      <c r="W328" s="1969">
        <f t="shared" si="158"/>
        <v>0.39834199999999997</v>
      </c>
      <c r="X328" s="55">
        <f>'HVAC Deemed Table'!J1908</f>
        <v>18</v>
      </c>
      <c r="Y328" s="55"/>
      <c r="Z328" s="55">
        <f t="shared" si="131"/>
        <v>18</v>
      </c>
      <c r="AA328" s="49">
        <f>'HVAC Deemed Table'!BB1908</f>
        <v>0.94490762666878725</v>
      </c>
      <c r="AB328" s="698">
        <f>'HVAC Deemed Table'!K1908</f>
        <v>1203.6500000000003</v>
      </c>
      <c r="AC328" s="2583">
        <f t="shared" si="132"/>
        <v>1073.4667907879998</v>
      </c>
      <c r="AD328" s="2583">
        <f t="shared" si="151"/>
        <v>0</v>
      </c>
      <c r="AE328" s="571">
        <f>'HVAC Deemed Table'!BD1908</f>
        <v>731.64283986597195</v>
      </c>
      <c r="AF328" s="571">
        <f>'HVAC Deemed Table'!BD1909</f>
        <v>341.8239509220279</v>
      </c>
      <c r="AG328" s="571"/>
      <c r="AH328" s="571"/>
      <c r="AI328" s="2589" t="str">
        <f t="shared" si="157"/>
        <v>per measure</v>
      </c>
      <c r="AJ328" s="93">
        <f>'HVAC Deemed Table'!L1908</f>
        <v>3.3</v>
      </c>
      <c r="AK328" s="1501"/>
      <c r="AL328" s="1501"/>
      <c r="AM328" s="1596">
        <f t="shared" si="148"/>
        <v>9.4741810000000004E-4</v>
      </c>
      <c r="AN328" s="84">
        <f t="shared" si="152"/>
        <v>0.39834194014500002</v>
      </c>
      <c r="AO328" s="1595">
        <f t="shared" si="149"/>
        <v>-5.9854999956421295E-8</v>
      </c>
    </row>
    <row r="329" spans="1:48" x14ac:dyDescent="0.35">
      <c r="A329" s="103" t="str">
        <f t="shared" si="130"/>
        <v>355051</v>
      </c>
      <c r="B329" s="3346" t="str">
        <f>'HVAC Deemed Table'!C1910</f>
        <v>355051_2019_12_</v>
      </c>
      <c r="C329" s="2564" t="str">
        <f>'HVAC Deemed Table'!G1910</f>
        <v>Cooling Res</v>
      </c>
      <c r="D329" s="2564" t="str">
        <f>'HVAC Deemed Table'!G1911</f>
        <v>Heating Res</v>
      </c>
      <c r="E329" s="3343"/>
      <c r="F329" s="3343"/>
      <c r="G329" s="3343" t="str">
        <f>'HVAC Deemed Table'!E1910</f>
        <v>ASHP-SEER19_ROF_MF_CompE</v>
      </c>
      <c r="H329" s="50" t="str">
        <f>'HVAC Deemed Table'!D1910</f>
        <v>MFc</v>
      </c>
      <c r="I329" s="1966">
        <f t="shared" si="153"/>
        <v>567.15</v>
      </c>
      <c r="J329" s="1966">
        <f t="shared" si="154"/>
        <v>0</v>
      </c>
      <c r="K329" s="560">
        <f>'HVAC Deemed Table'!F1910</f>
        <v>305.77999999999997</v>
      </c>
      <c r="L329" s="560">
        <f>'HVAC Deemed Table'!F1911</f>
        <v>261.37</v>
      </c>
      <c r="M329" s="560"/>
      <c r="N329" s="560"/>
      <c r="O329" s="1967">
        <f t="shared" si="155"/>
        <v>0.28970200000000002</v>
      </c>
      <c r="P329" s="1967">
        <f t="shared" si="156"/>
        <v>0</v>
      </c>
      <c r="Q329" s="1968">
        <f>'HVAC Deemed Table'!I1910</f>
        <v>0.28970200000000002</v>
      </c>
      <c r="R329" s="1968">
        <f>'HVAC Deemed Table'!I1911</f>
        <v>0</v>
      </c>
      <c r="S329" s="1968"/>
      <c r="T329" s="1968"/>
      <c r="U329" s="1969"/>
      <c r="V329" s="1969"/>
      <c r="W329" s="1969">
        <f t="shared" si="158"/>
        <v>0.28970200000000002</v>
      </c>
      <c r="X329" s="55">
        <f>'HVAC Deemed Table'!J1910</f>
        <v>18</v>
      </c>
      <c r="Y329" s="55"/>
      <c r="Z329" s="55">
        <f t="shared" si="131"/>
        <v>18</v>
      </c>
      <c r="AA329" s="49">
        <f>'HVAC Deemed Table'!BB1910</f>
        <v>0.57095039373380563</v>
      </c>
      <c r="AB329" s="698">
        <f>'HVAC Deemed Table'!K1910</f>
        <v>1203.6500000000003</v>
      </c>
      <c r="AC329" s="2583">
        <f t="shared" si="132"/>
        <v>648.63090270664952</v>
      </c>
      <c r="AD329" s="2583">
        <f t="shared" si="151"/>
        <v>0</v>
      </c>
      <c r="AE329" s="571">
        <f>'HVAC Deemed Table'!BD1910</f>
        <v>532.10071964375527</v>
      </c>
      <c r="AF329" s="571">
        <f>'HVAC Deemed Table'!BD1911</f>
        <v>116.53018306289431</v>
      </c>
      <c r="AG329" s="571"/>
      <c r="AH329" s="571"/>
      <c r="AI329" s="2589" t="str">
        <f t="shared" si="157"/>
        <v>per measure</v>
      </c>
      <c r="AJ329" s="93">
        <f>'HVAC Deemed Table'!L1910</f>
        <v>3.3</v>
      </c>
      <c r="AK329" s="1501"/>
      <c r="AL329" s="1501"/>
      <c r="AM329" s="1596">
        <f t="shared" si="148"/>
        <v>9.4741810000000004E-4</v>
      </c>
      <c r="AN329" s="84">
        <f t="shared" si="152"/>
        <v>0.28970150661799998</v>
      </c>
      <c r="AO329" s="1500">
        <f t="shared" si="149"/>
        <v>-4.933820000330158E-7</v>
      </c>
      <c r="AP329" s="144">
        <f>AO329/O329</f>
        <v>-1.7030672899497269E-6</v>
      </c>
    </row>
    <row r="330" spans="1:48" x14ac:dyDescent="0.35">
      <c r="A330" s="103" t="str">
        <f t="shared" si="130"/>
        <v>355100</v>
      </c>
      <c r="B330" s="3346" t="str">
        <f>'HVAC Deemed Table'!C1912</f>
        <v>355100_2019_12_</v>
      </c>
      <c r="C330" s="2564" t="str">
        <f>'HVAC Deemed Table'!G1912</f>
        <v>Cooling Res</v>
      </c>
      <c r="D330" s="2564" t="str">
        <f>'HVAC Deemed Table'!G1913</f>
        <v>Heating Res</v>
      </c>
      <c r="E330" s="3343"/>
      <c r="F330" s="3343"/>
      <c r="G330" s="3343" t="str">
        <f>'HVAC Deemed Table'!E1912</f>
        <v>ASHP-SEER20_ROF_MF</v>
      </c>
      <c r="H330" s="50" t="str">
        <f>'HVAC Deemed Table'!D1912</f>
        <v>MF</v>
      </c>
      <c r="I330" s="1966">
        <f t="shared" si="153"/>
        <v>1246.01</v>
      </c>
      <c r="J330" s="1966">
        <f t="shared" si="154"/>
        <v>0</v>
      </c>
      <c r="K330" s="560">
        <f>'HVAC Deemed Table'!F1912</f>
        <v>479.32</v>
      </c>
      <c r="L330" s="560">
        <f>'HVAC Deemed Table'!F1913</f>
        <v>766.69</v>
      </c>
      <c r="M330" s="560"/>
      <c r="N330" s="560"/>
      <c r="O330" s="1967">
        <f t="shared" si="155"/>
        <v>0.45411600000000002</v>
      </c>
      <c r="P330" s="1967">
        <f t="shared" si="156"/>
        <v>0</v>
      </c>
      <c r="Q330" s="1968">
        <f>'HVAC Deemed Table'!I1912</f>
        <v>0.45411600000000002</v>
      </c>
      <c r="R330" s="1968">
        <f>'HVAC Deemed Table'!I1913</f>
        <v>0</v>
      </c>
      <c r="S330" s="1968"/>
      <c r="T330" s="1968"/>
      <c r="U330" s="1969"/>
      <c r="V330" s="1969"/>
      <c r="W330" s="1969">
        <f t="shared" si="158"/>
        <v>0.45411600000000002</v>
      </c>
      <c r="X330" s="55">
        <f>'HVAC Deemed Table'!J1912</f>
        <v>18</v>
      </c>
      <c r="Y330" s="55"/>
      <c r="Z330" s="55">
        <f t="shared" si="131"/>
        <v>18</v>
      </c>
      <c r="AA330" s="49">
        <f>'HVAC Deemed Table'!BB1912</f>
        <v>0.86256771281985867</v>
      </c>
      <c r="AB330" s="698">
        <f>'HVAC Deemed Table'!K1912</f>
        <v>1444.3799999999994</v>
      </c>
      <c r="AC330" s="2583">
        <f t="shared" si="132"/>
        <v>1175.9089693654996</v>
      </c>
      <c r="AD330" s="2583">
        <f t="shared" si="151"/>
        <v>0</v>
      </c>
      <c r="AE330" s="571">
        <f>'HVAC Deemed Table'!BD1912</f>
        <v>834.08501844347165</v>
      </c>
      <c r="AF330" s="571">
        <f>'HVAC Deemed Table'!BD1913</f>
        <v>341.8239509220279</v>
      </c>
      <c r="AG330" s="571"/>
      <c r="AH330" s="571"/>
      <c r="AI330" s="2589" t="str">
        <f t="shared" si="157"/>
        <v>per measure</v>
      </c>
      <c r="AJ330" s="93">
        <f>'HVAC Deemed Table'!L1912</f>
        <v>3.3</v>
      </c>
      <c r="AK330" s="1501"/>
      <c r="AL330" s="1501"/>
      <c r="AM330" s="1596">
        <f t="shared" si="148"/>
        <v>9.4741810000000004E-4</v>
      </c>
      <c r="AN330" s="84">
        <f t="shared" si="152"/>
        <v>0.45411644369199999</v>
      </c>
      <c r="AO330" s="1595">
        <f t="shared" si="149"/>
        <v>4.436919999739608E-7</v>
      </c>
    </row>
    <row r="331" spans="1:48" x14ac:dyDescent="0.35">
      <c r="A331" s="103" t="str">
        <f t="shared" si="130"/>
        <v>355101</v>
      </c>
      <c r="B331" s="3346" t="str">
        <f>'HVAC Deemed Table'!C1914</f>
        <v>355101_2019_12_</v>
      </c>
      <c r="C331" s="2564" t="str">
        <f>'HVAC Deemed Table'!G1914</f>
        <v>Cooling Res</v>
      </c>
      <c r="D331" s="2564" t="str">
        <f>'HVAC Deemed Table'!G1915</f>
        <v>Heating Res</v>
      </c>
      <c r="E331" s="3343"/>
      <c r="F331" s="3343"/>
      <c r="G331" s="3343" t="str">
        <f>'HVAC Deemed Table'!E1914</f>
        <v>ASHP-SEER20_ROF_MF_CompE</v>
      </c>
      <c r="H331" s="50" t="str">
        <f>'HVAC Deemed Table'!D1914</f>
        <v>MFc</v>
      </c>
      <c r="I331" s="1966">
        <f t="shared" si="153"/>
        <v>609.96</v>
      </c>
      <c r="J331" s="1966">
        <f t="shared" si="154"/>
        <v>0</v>
      </c>
      <c r="K331" s="560">
        <f>'HVAC Deemed Table'!F1914</f>
        <v>348.59</v>
      </c>
      <c r="L331" s="560">
        <f>'HVAC Deemed Table'!F1915</f>
        <v>261.37</v>
      </c>
      <c r="M331" s="560"/>
      <c r="N331" s="560"/>
      <c r="O331" s="1967">
        <f t="shared" si="155"/>
        <v>0.33026</v>
      </c>
      <c r="P331" s="1967">
        <f t="shared" si="156"/>
        <v>0</v>
      </c>
      <c r="Q331" s="1968">
        <f>'HVAC Deemed Table'!I1914</f>
        <v>0.33026</v>
      </c>
      <c r="R331" s="1968">
        <f>'HVAC Deemed Table'!I1915</f>
        <v>0</v>
      </c>
      <c r="S331" s="1968"/>
      <c r="T331" s="1968"/>
      <c r="U331" s="1969"/>
      <c r="V331" s="1969"/>
      <c r="W331" s="1969">
        <f t="shared" si="158"/>
        <v>0.33026</v>
      </c>
      <c r="X331" s="55">
        <f>'HVAC Deemed Table'!J1914</f>
        <v>18</v>
      </c>
      <c r="Y331" s="55"/>
      <c r="Z331" s="55">
        <f t="shared" si="131"/>
        <v>18</v>
      </c>
      <c r="AA331" s="49">
        <f>'HVAC Deemed Table'!BB1914</f>
        <v>0.53043687679633278</v>
      </c>
      <c r="AB331" s="698">
        <f>'HVAC Deemed Table'!K1914</f>
        <v>1444.3799999999994</v>
      </c>
      <c r="AC331" s="2583">
        <f t="shared" si="132"/>
        <v>723.12639557063403</v>
      </c>
      <c r="AD331" s="2583">
        <f t="shared" si="151"/>
        <v>0</v>
      </c>
      <c r="AE331" s="571">
        <f>'HVAC Deemed Table'!BD1914</f>
        <v>606.59621250773966</v>
      </c>
      <c r="AF331" s="571">
        <f>'HVAC Deemed Table'!BD1915</f>
        <v>116.53018306289431</v>
      </c>
      <c r="AG331" s="571"/>
      <c r="AH331" s="571"/>
      <c r="AI331" s="2589" t="str">
        <f t="shared" si="157"/>
        <v>per measure</v>
      </c>
      <c r="AJ331" s="93">
        <f>'HVAC Deemed Table'!L1914</f>
        <v>3.3</v>
      </c>
      <c r="AK331" s="1501"/>
      <c r="AL331" s="1501"/>
      <c r="AM331" s="1596">
        <f t="shared" si="148"/>
        <v>9.4741810000000004E-4</v>
      </c>
      <c r="AN331" s="84">
        <f t="shared" si="152"/>
        <v>0.330260475479</v>
      </c>
      <c r="AO331" s="1500">
        <f t="shared" si="149"/>
        <v>4.754790000061071E-7</v>
      </c>
      <c r="AP331" s="144">
        <f>AO331/O331</f>
        <v>1.4397111366986831E-6</v>
      </c>
    </row>
    <row r="332" spans="1:48" x14ac:dyDescent="0.35">
      <c r="A332" s="103" t="str">
        <f t="shared" si="130"/>
        <v>355150</v>
      </c>
      <c r="B332" s="3346" t="str">
        <f>'HVAC Deemed Table'!C1916</f>
        <v>355150_2019_12_</v>
      </c>
      <c r="C332" s="2564" t="str">
        <f>'HVAC Deemed Table'!G1916</f>
        <v>Cooling Res</v>
      </c>
      <c r="D332" s="2564" t="str">
        <f>'HVAC Deemed Table'!G1917</f>
        <v>Heating Res</v>
      </c>
      <c r="E332" s="3343"/>
      <c r="F332" s="3343"/>
      <c r="G332" s="3343" t="str">
        <f>'HVAC Deemed Table'!E1916</f>
        <v>ASHP-SEER21_ROF_MF</v>
      </c>
      <c r="H332" s="50" t="str">
        <f>'HVAC Deemed Table'!D1916</f>
        <v>MF</v>
      </c>
      <c r="I332" s="1966">
        <f t="shared" si="153"/>
        <v>1299.2600000000002</v>
      </c>
      <c r="J332" s="1966">
        <f t="shared" si="154"/>
        <v>0</v>
      </c>
      <c r="K332" s="560">
        <f>'HVAC Deemed Table'!F1916</f>
        <v>532.57000000000005</v>
      </c>
      <c r="L332" s="560">
        <f>'HVAC Deemed Table'!F1917</f>
        <v>766.69</v>
      </c>
      <c r="M332" s="560"/>
      <c r="N332" s="560"/>
      <c r="O332" s="1967">
        <f t="shared" si="155"/>
        <v>0.50456599999999996</v>
      </c>
      <c r="P332" s="1967">
        <f t="shared" si="156"/>
        <v>0</v>
      </c>
      <c r="Q332" s="1968">
        <f>'HVAC Deemed Table'!I1916</f>
        <v>0.50456599999999996</v>
      </c>
      <c r="R332" s="1968">
        <f>'HVAC Deemed Table'!I1917</f>
        <v>0</v>
      </c>
      <c r="S332" s="1968"/>
      <c r="T332" s="1968"/>
      <c r="U332" s="1969"/>
      <c r="V332" s="1969"/>
      <c r="W332" s="1969">
        <f t="shared" si="158"/>
        <v>0.50456599999999996</v>
      </c>
      <c r="X332" s="55">
        <f>'HVAC Deemed Table'!J1916</f>
        <v>18</v>
      </c>
      <c r="Y332" s="55"/>
      <c r="Z332" s="55">
        <f t="shared" si="131"/>
        <v>18</v>
      </c>
      <c r="AA332" s="49">
        <f>'HVAC Deemed Table'!BB1916</f>
        <v>0.79533226227766962</v>
      </c>
      <c r="AB332" s="698">
        <f>'HVAC Deemed Table'!K1916</f>
        <v>1689.9245999999991</v>
      </c>
      <c r="AC332" s="2583">
        <f t="shared" si="132"/>
        <v>1268.5715480855924</v>
      </c>
      <c r="AD332" s="2583">
        <f t="shared" si="151"/>
        <v>0</v>
      </c>
      <c r="AE332" s="571">
        <f>'HVAC Deemed Table'!BD1916</f>
        <v>926.74759716356459</v>
      </c>
      <c r="AF332" s="571">
        <f>'HVAC Deemed Table'!BD1917</f>
        <v>341.8239509220279</v>
      </c>
      <c r="AG332" s="571"/>
      <c r="AH332" s="571"/>
      <c r="AI332" s="2589" t="str">
        <f t="shared" si="157"/>
        <v>per measure</v>
      </c>
      <c r="AJ332" s="93">
        <f>'HVAC Deemed Table'!L1916</f>
        <v>3.3</v>
      </c>
      <c r="AK332" s="1501"/>
      <c r="AL332" s="1501"/>
      <c r="AM332" s="1596">
        <f t="shared" si="148"/>
        <v>9.4741810000000004E-4</v>
      </c>
      <c r="AN332" s="84">
        <f t="shared" si="152"/>
        <v>0.50456645751700002</v>
      </c>
      <c r="AO332" s="1595">
        <f t="shared" si="149"/>
        <v>4.5751700006313456E-7</v>
      </c>
    </row>
    <row r="333" spans="1:48" x14ac:dyDescent="0.35">
      <c r="A333" s="103" t="str">
        <f t="shared" si="130"/>
        <v>355151</v>
      </c>
      <c r="B333" s="3346" t="str">
        <f>'HVAC Deemed Table'!C1918</f>
        <v>355151_2019_12_</v>
      </c>
      <c r="C333" s="2564" t="str">
        <f>'HVAC Deemed Table'!G1918</f>
        <v>Cooling Res</v>
      </c>
      <c r="D333" s="2564" t="str">
        <f>'HVAC Deemed Table'!G1919</f>
        <v>Heating Res</v>
      </c>
      <c r="E333" s="3343"/>
      <c r="F333" s="3343"/>
      <c r="G333" s="3436" t="str">
        <f>'HVAC Deemed Table'!E1918</f>
        <v>ASHP-SEER21_ROF_MF_CompE</v>
      </c>
      <c r="H333" s="50" t="str">
        <f>'HVAC Deemed Table'!D1918</f>
        <v>MFc</v>
      </c>
      <c r="I333" s="1966">
        <f t="shared" si="153"/>
        <v>648.70000000000005</v>
      </c>
      <c r="J333" s="1966">
        <f t="shared" si="154"/>
        <v>0</v>
      </c>
      <c r="K333" s="560">
        <f>'HVAC Deemed Table'!F1918</f>
        <v>387.33</v>
      </c>
      <c r="L333" s="560">
        <f>'HVAC Deemed Table'!F1919</f>
        <v>261.37</v>
      </c>
      <c r="M333" s="560"/>
      <c r="N333" s="560"/>
      <c r="O333" s="1967">
        <f t="shared" si="155"/>
        <v>0.36696299999999998</v>
      </c>
      <c r="P333" s="1967">
        <f t="shared" si="156"/>
        <v>0</v>
      </c>
      <c r="Q333" s="1968">
        <f>'HVAC Deemed Table'!I1918</f>
        <v>0.36696299999999998</v>
      </c>
      <c r="R333" s="1968">
        <f>'HVAC Deemed Table'!I1919</f>
        <v>0</v>
      </c>
      <c r="S333" s="1968"/>
      <c r="T333" s="1968"/>
      <c r="U333" s="1969"/>
      <c r="V333" s="1969"/>
      <c r="W333" s="1969">
        <f t="shared" si="158"/>
        <v>0.36696299999999998</v>
      </c>
      <c r="X333" s="55">
        <f>'HVAC Deemed Table'!J1918</f>
        <v>18</v>
      </c>
      <c r="Y333" s="55"/>
      <c r="Z333" s="55">
        <f t="shared" si="131"/>
        <v>18</v>
      </c>
      <c r="AA333" s="49">
        <f>'HVAC Deemed Table'!BB1918</f>
        <v>0.49562957422749632</v>
      </c>
      <c r="AB333" s="698">
        <f>'HVAC Deemed Table'!K1918</f>
        <v>1689.9245999999991</v>
      </c>
      <c r="AC333" s="2583">
        <f t="shared" si="132"/>
        <v>790.5395091784535</v>
      </c>
      <c r="AD333" s="2583">
        <f t="shared" si="151"/>
        <v>0</v>
      </c>
      <c r="AE333" s="571">
        <f>'HVAC Deemed Table'!BD1918</f>
        <v>674.00932611555925</v>
      </c>
      <c r="AF333" s="571">
        <f>'HVAC Deemed Table'!BD1919</f>
        <v>116.53018306289431</v>
      </c>
      <c r="AG333" s="571"/>
      <c r="AH333" s="571"/>
      <c r="AI333" s="2589" t="str">
        <f t="shared" si="157"/>
        <v>per measure</v>
      </c>
      <c r="AJ333" s="109">
        <f>'HVAC Deemed Table'!L1918</f>
        <v>3.3</v>
      </c>
      <c r="AK333" s="1501"/>
      <c r="AL333" s="1501"/>
      <c r="AM333" s="1596">
        <f t="shared" si="148"/>
        <v>9.4741810000000004E-4</v>
      </c>
      <c r="AN333" s="84">
        <f t="shared" si="152"/>
        <v>0.36696345267300001</v>
      </c>
      <c r="AO333" s="1500">
        <f t="shared" si="149"/>
        <v>4.526730000287138E-7</v>
      </c>
      <c r="AP333" s="144">
        <f>AO333/O333</f>
        <v>1.2335657819145631E-6</v>
      </c>
    </row>
    <row r="334" spans="1:48" s="84" customFormat="1" x14ac:dyDescent="0.35">
      <c r="A334" s="1618" t="str">
        <f t="shared" ref="A334:A374" si="159">LEFT(B334,6)</f>
        <v>356200</v>
      </c>
      <c r="B334" s="1590" t="str">
        <f>'HVAC Deemed Table'!C4457</f>
        <v>356200_2022_12_</v>
      </c>
      <c r="C334" s="2609" t="str">
        <f>'HVAC Deemed Table'!G4457</f>
        <v>Cooling Res</v>
      </c>
      <c r="D334" s="2609" t="str">
        <f>'HVAC Deemed Table'!G4458</f>
        <v>Heating Res</v>
      </c>
      <c r="E334" s="1589" t="str">
        <f>'HVAC Deemed Table'!G4459</f>
        <v>Cooling Res ER2</v>
      </c>
      <c r="F334" s="1589" t="str">
        <f>'HVAC Deemed Table'!G4460</f>
        <v>Heating Res ER2</v>
      </c>
      <c r="G334" s="1590" t="str">
        <f>'HVAC Deemed Table'!E4457</f>
        <v>PTHP-SEER12-ER1_MF</v>
      </c>
      <c r="H334" s="1599" t="str">
        <f>'HVAC Deemed Table'!D4457</f>
        <v>MF</v>
      </c>
      <c r="I334" s="3589">
        <f t="shared" si="153"/>
        <v>1645.81</v>
      </c>
      <c r="J334" s="3589">
        <f t="shared" si="154"/>
        <v>128.07999999999998</v>
      </c>
      <c r="K334" s="3590">
        <f>'HVAC Deemed Table'!F4457</f>
        <v>415.9</v>
      </c>
      <c r="L334" s="3590">
        <f>'HVAC Deemed Table'!F4458</f>
        <v>1229.9100000000001</v>
      </c>
      <c r="M334" s="3590">
        <f>'HVAC Deemed Table'!F4459</f>
        <v>16</v>
      </c>
      <c r="N334" s="3590">
        <f>'HVAC Deemed Table'!F4460</f>
        <v>112.08</v>
      </c>
      <c r="O334" s="3591">
        <f t="shared" si="155"/>
        <v>0.39403100000000002</v>
      </c>
      <c r="P334" s="3591">
        <f t="shared" si="156"/>
        <v>1.5159000000000001E-2</v>
      </c>
      <c r="Q334" s="1600">
        <f>'HVAC Deemed Table'!I4457</f>
        <v>0.39403100000000002</v>
      </c>
      <c r="R334" s="1600">
        <f>'HVAC Deemed Table'!I4458</f>
        <v>0</v>
      </c>
      <c r="S334" s="1600">
        <f>'HVAC Deemed Table'!I4459</f>
        <v>1.5159000000000001E-2</v>
      </c>
      <c r="T334" s="1600">
        <f>'HVAC Deemed Table'!I4460</f>
        <v>0</v>
      </c>
      <c r="U334" s="1569"/>
      <c r="V334" s="1569"/>
      <c r="W334" s="1569">
        <f t="shared" ref="W334:W339" si="160">P334</f>
        <v>1.5159000000000001E-2</v>
      </c>
      <c r="X334" s="1583">
        <f>'HVAC Deemed Table'!J4457</f>
        <v>5</v>
      </c>
      <c r="Y334" s="1583">
        <f>'HVAC Deemed Table'!J4459</f>
        <v>10</v>
      </c>
      <c r="Z334" s="1583">
        <f t="shared" ref="Z334:Z374" si="161">Y334+X334</f>
        <v>15</v>
      </c>
      <c r="AA334" s="322">
        <f>'HVAC Deemed Table'!BB4457</f>
        <v>2.018259346027595</v>
      </c>
      <c r="AB334" s="1955">
        <f>'HVAC Deemed Table'!K4457</f>
        <v>224.93182686576984</v>
      </c>
      <c r="AC334" s="1964">
        <f t="shared" ref="AC334:AC374" si="162">AE334+AF334</f>
        <v>384.85235671928308</v>
      </c>
      <c r="AD334" s="1964">
        <f t="shared" si="151"/>
        <v>43.624058373591744</v>
      </c>
      <c r="AE334" s="1604">
        <f>'HVAC Deemed Table'!BD4457</f>
        <v>217.00743449892764</v>
      </c>
      <c r="AF334" s="1604">
        <f>'HVAC Deemed Table'!BD4458</f>
        <v>167.84492222035544</v>
      </c>
      <c r="AG334" s="1604">
        <f>'HVAC Deemed Table'!BD4459</f>
        <v>15.877494873617207</v>
      </c>
      <c r="AH334" s="1604">
        <f>'HVAC Deemed Table'!BD4460</f>
        <v>27.746563499974538</v>
      </c>
      <c r="AI334" s="3366" t="str">
        <f t="shared" si="157"/>
        <v>per measure</v>
      </c>
      <c r="AJ334" s="96">
        <f>'HVAC Deemed Table'!L4457</f>
        <v>1.0111111111111111</v>
      </c>
      <c r="AK334" s="2610"/>
      <c r="AL334" s="2610"/>
      <c r="AM334" s="1961">
        <f t="shared" si="148"/>
        <v>9.4741810000000004E-4</v>
      </c>
      <c r="AN334" s="84">
        <f t="shared" si="152"/>
        <v>0.39403118779000001</v>
      </c>
      <c r="AO334" s="2611">
        <f t="shared" si="149"/>
        <v>1.8778999999469193E-7</v>
      </c>
      <c r="AP334" s="1779"/>
    </row>
    <row r="335" spans="1:48" s="84" customFormat="1" x14ac:dyDescent="0.35">
      <c r="A335" s="1618" t="str">
        <f t="shared" si="159"/>
        <v>356225</v>
      </c>
      <c r="B335" s="1590" t="str">
        <f>'HVAC Deemed Table'!C4461</f>
        <v>356225_2022_12_</v>
      </c>
      <c r="C335" s="2609" t="str">
        <f>'HVAC Deemed Table'!G4461</f>
        <v>Cooling Res</v>
      </c>
      <c r="D335" s="2609" t="str">
        <f>'HVAC Deemed Table'!G4462</f>
        <v>Heating Res</v>
      </c>
      <c r="E335" s="1589" t="str">
        <f>'HVAC Deemed Table'!G4463</f>
        <v>Cooling Res ER2</v>
      </c>
      <c r="F335" s="1589" t="str">
        <f>'HVAC Deemed Table'!G4464</f>
        <v>Heating Res ER2</v>
      </c>
      <c r="G335" s="1590" t="str">
        <f>'HVAC Deemed Table'!E4461</f>
        <v>PTHP-SEER12-ER1_MF_CompE</v>
      </c>
      <c r="H335" s="1599" t="str">
        <f>'HVAC Deemed Table'!D4461</f>
        <v>MFc</v>
      </c>
      <c r="I335" s="3589">
        <f t="shared" si="153"/>
        <v>722.49</v>
      </c>
      <c r="J335" s="3589">
        <f t="shared" si="154"/>
        <v>49.9</v>
      </c>
      <c r="K335" s="3590">
        <f>'HVAC Deemed Table'!F4461</f>
        <v>302.66000000000003</v>
      </c>
      <c r="L335" s="3590">
        <f>'HVAC Deemed Table'!F4462</f>
        <v>419.83</v>
      </c>
      <c r="M335" s="3590">
        <f>'HVAC Deemed Table'!F4463</f>
        <v>11.64</v>
      </c>
      <c r="N335" s="3590">
        <f>'HVAC Deemed Table'!F4464</f>
        <v>38.26</v>
      </c>
      <c r="O335" s="3591">
        <f t="shared" si="155"/>
        <v>0.286746</v>
      </c>
      <c r="P335" s="3591">
        <f t="shared" si="156"/>
        <v>1.1028E-2</v>
      </c>
      <c r="Q335" s="1600">
        <f>'HVAC Deemed Table'!I4461</f>
        <v>0.286746</v>
      </c>
      <c r="R335" s="1600">
        <f>'HVAC Deemed Table'!I4462</f>
        <v>0</v>
      </c>
      <c r="S335" s="1600">
        <f>'HVAC Deemed Table'!I4463</f>
        <v>1.1028E-2</v>
      </c>
      <c r="T335" s="1600">
        <f>'HVAC Deemed Table'!I4464</f>
        <v>0</v>
      </c>
      <c r="U335" s="1569"/>
      <c r="V335" s="1569"/>
      <c r="W335" s="1569">
        <f t="shared" si="160"/>
        <v>1.1028E-2</v>
      </c>
      <c r="X335" s="1583">
        <f>'HVAC Deemed Table'!J4461</f>
        <v>5</v>
      </c>
      <c r="Y335" s="1583">
        <f>'HVAC Deemed Table'!J4463</f>
        <v>10</v>
      </c>
      <c r="Z335" s="1583">
        <f t="shared" si="161"/>
        <v>15</v>
      </c>
      <c r="AA335" s="322">
        <f>'HVAC Deemed Table'!BB4461</f>
        <v>1.0137316065108126</v>
      </c>
      <c r="AB335" s="1955">
        <f>'HVAC Deemed Table'!K4461</f>
        <v>224.93182686576984</v>
      </c>
      <c r="AC335" s="1964">
        <f t="shared" si="162"/>
        <v>215.21519792737024</v>
      </c>
      <c r="AD335" s="1964">
        <f t="shared" si="151"/>
        <v>21.022536331307997</v>
      </c>
      <c r="AE335" s="1604">
        <f>'HVAC Deemed Table'!BD4461</f>
        <v>157.92130349950818</v>
      </c>
      <c r="AF335" s="1604">
        <f>'HVAC Deemed Table'!BD4462</f>
        <v>57.293894427862057</v>
      </c>
      <c r="AG335" s="1604">
        <f>'HVAC Deemed Table'!BD4463</f>
        <v>11.550877520556519</v>
      </c>
      <c r="AH335" s="1604">
        <f>'HVAC Deemed Table'!BD4464</f>
        <v>9.4716588107514799</v>
      </c>
      <c r="AI335" s="3366" t="str">
        <f t="shared" si="157"/>
        <v>per measure</v>
      </c>
      <c r="AJ335" s="96">
        <f>'HVAC Deemed Table'!L4461</f>
        <v>1.0111111111111111</v>
      </c>
      <c r="AK335" s="2610"/>
      <c r="AL335" s="2610"/>
      <c r="AM335" s="1961">
        <f t="shared" si="148"/>
        <v>9.4741810000000004E-4</v>
      </c>
      <c r="AN335" s="84">
        <f t="shared" si="152"/>
        <v>0.28674556214600005</v>
      </c>
      <c r="AO335" s="2611">
        <f t="shared" si="149"/>
        <v>-4.3785399994611396E-7</v>
      </c>
      <c r="AP335" s="1779"/>
    </row>
    <row r="336" spans="1:48" s="84" customFormat="1" x14ac:dyDescent="0.35">
      <c r="A336" s="1618" t="str">
        <f t="shared" si="159"/>
        <v>356250</v>
      </c>
      <c r="B336" s="1590" t="str">
        <f>'HVAC Deemed Table'!C4465</f>
        <v>356250_2022_12_</v>
      </c>
      <c r="C336" s="2609" t="str">
        <f>'HVAC Deemed Table'!G4465</f>
        <v>Cooling Res</v>
      </c>
      <c r="D336" s="2609" t="str">
        <f>'HVAC Deemed Table'!G4466</f>
        <v>Heating Res</v>
      </c>
      <c r="E336" s="1589" t="str">
        <f>'HVAC Deemed Table'!G4467</f>
        <v>Cooling Res ER2</v>
      </c>
      <c r="F336" s="1589" t="str">
        <f>'HVAC Deemed Table'!G4468</f>
        <v>Heating Res ER2</v>
      </c>
      <c r="G336" s="1590" t="str">
        <f>'HVAC Deemed Table'!E4465</f>
        <v>PTHP-SEER12-Replace_PTAC_ElectricHeat_ER1_MF</v>
      </c>
      <c r="H336" s="1599" t="str">
        <f>'HVAC Deemed Table'!D4465</f>
        <v>MF</v>
      </c>
      <c r="I336" s="3589">
        <f t="shared" si="153"/>
        <v>3087.86</v>
      </c>
      <c r="J336" s="3589">
        <f t="shared" si="154"/>
        <v>2626.79</v>
      </c>
      <c r="K336" s="3590">
        <f>'HVAC Deemed Table'!F4465</f>
        <v>477.07</v>
      </c>
      <c r="L336" s="3590">
        <f>'HVAC Deemed Table'!F4466</f>
        <v>2610.79</v>
      </c>
      <c r="M336" s="3590">
        <f>'HVAC Deemed Table'!F4467</f>
        <v>16</v>
      </c>
      <c r="N336" s="3590">
        <f>'HVAC Deemed Table'!F4468</f>
        <v>2610.79</v>
      </c>
      <c r="O336" s="3591">
        <f t="shared" si="155"/>
        <v>0.45198500000000003</v>
      </c>
      <c r="P336" s="3591">
        <f t="shared" si="156"/>
        <v>1.5159000000000001E-2</v>
      </c>
      <c r="Q336" s="1600">
        <f>'HVAC Deemed Table'!I4465</f>
        <v>0.45198500000000003</v>
      </c>
      <c r="R336" s="1600">
        <f>'HVAC Deemed Table'!I4466</f>
        <v>0</v>
      </c>
      <c r="S336" s="1600">
        <f>'HVAC Deemed Table'!I4467</f>
        <v>1.5159000000000001E-2</v>
      </c>
      <c r="T336" s="1600">
        <f>'HVAC Deemed Table'!I4468</f>
        <v>0</v>
      </c>
      <c r="U336" s="1569"/>
      <c r="V336" s="1569"/>
      <c r="W336" s="1569">
        <f t="shared" si="160"/>
        <v>1.5159000000000001E-2</v>
      </c>
      <c r="X336" s="1583">
        <f>'HVAC Deemed Table'!J4465</f>
        <v>5</v>
      </c>
      <c r="Y336" s="1583">
        <f>'HVAC Deemed Table'!J4467</f>
        <v>10</v>
      </c>
      <c r="Z336" s="1583">
        <f t="shared" si="161"/>
        <v>15</v>
      </c>
      <c r="AA336" s="322">
        <f>'HVAC Deemed Table'!BB4465</f>
        <v>5.9699618418953841</v>
      </c>
      <c r="AB336" s="1955">
        <f>'HVAC Deemed Table'!K4465</f>
        <v>224.93182686576984</v>
      </c>
      <c r="AC336" s="1964">
        <f t="shared" si="162"/>
        <v>605.21719992970509</v>
      </c>
      <c r="AD336" s="1964">
        <f t="shared" si="151"/>
        <v>662.20556875029934</v>
      </c>
      <c r="AE336" s="1604">
        <f>'HVAC Deemed Table'!BD4465</f>
        <v>248.92458950806304</v>
      </c>
      <c r="AF336" s="1604">
        <f>'HVAC Deemed Table'!BD4466</f>
        <v>356.29261042164205</v>
      </c>
      <c r="AG336" s="1604">
        <f>'HVAC Deemed Table'!BD4467</f>
        <v>15.877494873617207</v>
      </c>
      <c r="AH336" s="1604">
        <f>'HVAC Deemed Table'!BD4468</f>
        <v>646.32807387668208</v>
      </c>
      <c r="AI336" s="3366" t="str">
        <f t="shared" si="157"/>
        <v>per measure</v>
      </c>
      <c r="AJ336" s="96">
        <f>'HVAC Deemed Table'!L4465</f>
        <v>1.0111111111111111</v>
      </c>
      <c r="AK336" s="2610"/>
      <c r="AL336" s="2610"/>
      <c r="AM336" s="1961">
        <f t="shared" si="148"/>
        <v>9.4741810000000004E-4</v>
      </c>
      <c r="AN336" s="84">
        <f t="shared" si="152"/>
        <v>0.45198475296700003</v>
      </c>
      <c r="AO336" s="2611">
        <f t="shared" si="149"/>
        <v>-2.4703300000039619E-7</v>
      </c>
      <c r="AP336" s="1779"/>
    </row>
    <row r="337" spans="1:42" s="84" customFormat="1" x14ac:dyDescent="0.35">
      <c r="A337" s="1618" t="str">
        <f t="shared" si="159"/>
        <v>356275</v>
      </c>
      <c r="B337" s="1590" t="str">
        <f>'HVAC Deemed Table'!C4469</f>
        <v>356275_2022_12_</v>
      </c>
      <c r="C337" s="2609" t="str">
        <f>'HVAC Deemed Table'!G4469</f>
        <v>Cooling Res</v>
      </c>
      <c r="D337" s="2609" t="str">
        <f>'HVAC Deemed Table'!G4470</f>
        <v>Heating Res</v>
      </c>
      <c r="E337" s="1589" t="str">
        <f>'HVAC Deemed Table'!G4471</f>
        <v>Cooling Res ER2</v>
      </c>
      <c r="F337" s="1589" t="str">
        <f>'HVAC Deemed Table'!G4472</f>
        <v>Heating Res ER2</v>
      </c>
      <c r="G337" s="1590" t="str">
        <f>'HVAC Deemed Table'!E4469</f>
        <v>PTHP-SEER12-Replace_PTAC_ElectricHeat_ER1_MF_CompE</v>
      </c>
      <c r="H337" s="1599" t="str">
        <f>'HVAC Deemed Table'!D4469</f>
        <v>MFc</v>
      </c>
      <c r="I337" s="3589">
        <f t="shared" si="153"/>
        <v>1238.3499999999999</v>
      </c>
      <c r="J337" s="3589">
        <f t="shared" si="154"/>
        <v>902.81999999999994</v>
      </c>
      <c r="K337" s="3590">
        <f>'HVAC Deemed Table'!F4469</f>
        <v>347.17</v>
      </c>
      <c r="L337" s="3590">
        <f>'HVAC Deemed Table'!F4470</f>
        <v>891.18</v>
      </c>
      <c r="M337" s="3590">
        <f>'HVAC Deemed Table'!F4471</f>
        <v>11.64</v>
      </c>
      <c r="N337" s="3590">
        <f>'HVAC Deemed Table'!F4472</f>
        <v>891.18</v>
      </c>
      <c r="O337" s="3591">
        <f t="shared" si="155"/>
        <v>0.32891500000000001</v>
      </c>
      <c r="P337" s="3591">
        <f t="shared" si="156"/>
        <v>1.1028E-2</v>
      </c>
      <c r="Q337" s="1600">
        <f>'HVAC Deemed Table'!I4469</f>
        <v>0.32891500000000001</v>
      </c>
      <c r="R337" s="1600">
        <f>'HVAC Deemed Table'!I4470</f>
        <v>0</v>
      </c>
      <c r="S337" s="1600">
        <f>'HVAC Deemed Table'!I4471</f>
        <v>1.1028E-2</v>
      </c>
      <c r="T337" s="1600">
        <f>'HVAC Deemed Table'!I4472</f>
        <v>0</v>
      </c>
      <c r="U337" s="1569"/>
      <c r="V337" s="1569"/>
      <c r="W337" s="1569">
        <f t="shared" si="160"/>
        <v>1.1028E-2</v>
      </c>
      <c r="X337" s="1583">
        <f>'HVAC Deemed Table'!J4469</f>
        <v>5</v>
      </c>
      <c r="Y337" s="1583">
        <f>'HVAC Deemed Table'!J4471</f>
        <v>10</v>
      </c>
      <c r="Z337" s="1583">
        <f t="shared" si="161"/>
        <v>15</v>
      </c>
      <c r="AA337" s="322">
        <f>'HVAC Deemed Table'!BB4469</f>
        <v>2.5197177826506469</v>
      </c>
      <c r="AB337" s="1955">
        <f>'HVAC Deemed Table'!K4469</f>
        <v>224.93182686576984</v>
      </c>
      <c r="AC337" s="1964">
        <f t="shared" si="162"/>
        <v>302.76432420350545</v>
      </c>
      <c r="AD337" s="1964">
        <f t="shared" si="151"/>
        <v>232.17170603507569</v>
      </c>
      <c r="AE337" s="1604">
        <f>'HVAC Deemed Table'!BD4469</f>
        <v>181.14563845874662</v>
      </c>
      <c r="AF337" s="1604">
        <f>'HVAC Deemed Table'!BD4470</f>
        <v>121.61868574475884</v>
      </c>
      <c r="AG337" s="1604">
        <f>'HVAC Deemed Table'!BD4471</f>
        <v>11.550877520556519</v>
      </c>
      <c r="AH337" s="1604">
        <f>'HVAC Deemed Table'!BD4472</f>
        <v>220.62082851451916</v>
      </c>
      <c r="AI337" s="3366" t="str">
        <f t="shared" si="157"/>
        <v>per measure</v>
      </c>
      <c r="AJ337" s="96">
        <f>'HVAC Deemed Table'!L4469</f>
        <v>1.0111111111111111</v>
      </c>
      <c r="AK337" s="2610"/>
      <c r="AL337" s="2610"/>
      <c r="AM337" s="1961">
        <f t="shared" si="148"/>
        <v>9.4741810000000004E-4</v>
      </c>
      <c r="AN337" s="84">
        <f t="shared" si="152"/>
        <v>0.32891514177700004</v>
      </c>
      <c r="AO337" s="2611">
        <f t="shared" si="149"/>
        <v>1.417770000289309E-7</v>
      </c>
      <c r="AP337" s="1779"/>
    </row>
    <row r="338" spans="1:42" s="84" customFormat="1" x14ac:dyDescent="0.35">
      <c r="A338" s="1618" t="str">
        <f t="shared" ref="A338" si="163">LEFT(B338,6)</f>
        <v>356300</v>
      </c>
      <c r="B338" s="1590" t="str">
        <f>'HVAC Deemed Table'!C4473</f>
        <v>356300_2022_12_</v>
      </c>
      <c r="C338" s="2609" t="str">
        <f>'HVAC Deemed Table'!G4473</f>
        <v>Cooling Res</v>
      </c>
      <c r="D338" s="2609" t="str">
        <f>'HVAC Deemed Table'!G4474</f>
        <v>Heating Res</v>
      </c>
      <c r="E338" s="1589"/>
      <c r="F338" s="1589"/>
      <c r="G338" s="1590" t="str">
        <f>'HVAC Deemed Table'!E4473</f>
        <v>PTHP-SEER12-ROF_MF</v>
      </c>
      <c r="H338" s="1599" t="str">
        <f>'HVAC Deemed Table'!D4473</f>
        <v>MF</v>
      </c>
      <c r="I338" s="3589">
        <f t="shared" ref="I338" si="164">K338+L338</f>
        <v>128.07999999999998</v>
      </c>
      <c r="J338" s="3589">
        <f t="shared" ref="J338" si="165">M338+N338</f>
        <v>49.9</v>
      </c>
      <c r="K338" s="3590">
        <f>'HVAC Deemed Table'!F4473</f>
        <v>16</v>
      </c>
      <c r="L338" s="3590">
        <f>'HVAC Deemed Table'!F4474</f>
        <v>112.08</v>
      </c>
      <c r="M338" s="3590">
        <f>'HVAC Deemed Table'!F4475</f>
        <v>11.64</v>
      </c>
      <c r="N338" s="3590">
        <f>'HVAC Deemed Table'!F4476</f>
        <v>38.26</v>
      </c>
      <c r="O338" s="3591">
        <f t="shared" ref="O338" si="166">Q338+R338</f>
        <v>1.5159000000000001E-2</v>
      </c>
      <c r="P338" s="3591">
        <f t="shared" ref="P338" si="167">S338+T338</f>
        <v>1.1028E-2</v>
      </c>
      <c r="Q338" s="1600">
        <f>'HVAC Deemed Table'!I4473</f>
        <v>1.5159000000000001E-2</v>
      </c>
      <c r="R338" s="1600">
        <f>'HVAC Deemed Table'!I4474</f>
        <v>0</v>
      </c>
      <c r="S338" s="1600">
        <f>'HVAC Deemed Table'!I4475</f>
        <v>1.1028E-2</v>
      </c>
      <c r="T338" s="1600">
        <f>'HVAC Deemed Table'!I4476</f>
        <v>0</v>
      </c>
      <c r="U338" s="1569"/>
      <c r="V338" s="1569"/>
      <c r="W338" s="1569">
        <f t="shared" si="160"/>
        <v>1.1028E-2</v>
      </c>
      <c r="X338" s="1583">
        <f>'HVAC Deemed Table'!J4473</f>
        <v>15</v>
      </c>
      <c r="Y338" s="1583"/>
      <c r="Z338" s="1583">
        <f t="shared" ref="Z338" si="168">Y338+X338</f>
        <v>15</v>
      </c>
      <c r="AA338" s="322">
        <f>'HVAC Deemed Table'!BB4473</f>
        <v>0.83916667685858082</v>
      </c>
      <c r="AB338" s="1955">
        <f>'HVAC Deemed Table'!K4473</f>
        <v>84.93</v>
      </c>
      <c r="AC338" s="1964">
        <f t="shared" ref="AC338" si="169">AE338+AF338</f>
        <v>67.267980996318329</v>
      </c>
      <c r="AD338" s="1964">
        <f t="shared" ref="AD338" si="170">AG338+AH338</f>
        <v>32.317345595575858</v>
      </c>
      <c r="AE338" s="1604">
        <f>'HVAC Deemed Table'!BD4473</f>
        <v>24.225941500177996</v>
      </c>
      <c r="AF338" s="1604">
        <f>'HVAC Deemed Table'!BD4474</f>
        <v>43.042039496140326</v>
      </c>
      <c r="AG338" s="1604">
        <f>'HVAC Deemed Table'!BD4475</f>
        <v>17.624372441379492</v>
      </c>
      <c r="AH338" s="1604">
        <f>'HVAC Deemed Table'!BD4476</f>
        <v>14.692973154196366</v>
      </c>
      <c r="AI338" s="3366" t="str">
        <f t="shared" si="157"/>
        <v>per measure</v>
      </c>
      <c r="AJ338" s="96">
        <f>'HVAC Deemed Table'!L4473</f>
        <v>1.0111111111111111</v>
      </c>
      <c r="AK338" s="2610"/>
      <c r="AL338" s="2610"/>
      <c r="AM338" s="1961">
        <f t="shared" ref="AM338" si="171">VLOOKUP(C338,$AS$10:$AT$33,2,FALSE)</f>
        <v>9.4741810000000004E-4</v>
      </c>
      <c r="AN338" s="84">
        <f t="shared" ref="AN338" si="172">AM338*K338</f>
        <v>1.5158689600000001E-2</v>
      </c>
      <c r="AO338" s="2611">
        <f t="shared" ref="AO338" si="173">AN338-O338</f>
        <v>-3.104000000000301E-7</v>
      </c>
      <c r="AP338" s="1779"/>
    </row>
    <row r="339" spans="1:42" s="84" customFormat="1" x14ac:dyDescent="0.35">
      <c r="A339" s="1618" t="str">
        <f t="shared" ref="A339" si="174">LEFT(B339,6)</f>
        <v>356325</v>
      </c>
      <c r="B339" s="1590" t="str">
        <f>'HVAC Deemed Table'!C4475</f>
        <v>356325_2022_12_</v>
      </c>
      <c r="C339" s="2609" t="str">
        <f>'HVAC Deemed Table'!G4475</f>
        <v>Cooling Res</v>
      </c>
      <c r="D339" s="2609" t="str">
        <f>'HVAC Deemed Table'!G4476</f>
        <v>Heating Res</v>
      </c>
      <c r="E339" s="1589"/>
      <c r="F339" s="1589"/>
      <c r="G339" s="1590" t="str">
        <f>'HVAC Deemed Table'!E4475</f>
        <v>PTHP-SEER12-ROF_MF_CompE</v>
      </c>
      <c r="H339" s="1599" t="str">
        <f>'HVAC Deemed Table'!D4475</f>
        <v>MFc</v>
      </c>
      <c r="I339" s="3589">
        <f t="shared" ref="I339" si="175">K339+L339</f>
        <v>49.9</v>
      </c>
      <c r="J339" s="3589">
        <f t="shared" ref="J339" si="176">M339+N339</f>
        <v>2626.79</v>
      </c>
      <c r="K339" s="3590">
        <f>'HVAC Deemed Table'!F4475</f>
        <v>11.64</v>
      </c>
      <c r="L339" s="3590">
        <f>'HVAC Deemed Table'!F4476</f>
        <v>38.26</v>
      </c>
      <c r="M339" s="3590">
        <f>'HVAC Deemed Table'!F4477</f>
        <v>16</v>
      </c>
      <c r="N339" s="3590">
        <f>'HVAC Deemed Table'!F4478</f>
        <v>2610.79</v>
      </c>
      <c r="O339" s="3591">
        <f t="shared" ref="O339" si="177">Q339+R339</f>
        <v>1.1028E-2</v>
      </c>
      <c r="P339" s="3591">
        <f t="shared" ref="P339" si="178">S339+T339</f>
        <v>1.5159000000000001E-2</v>
      </c>
      <c r="Q339" s="1600">
        <f>'HVAC Deemed Table'!I4475</f>
        <v>1.1028E-2</v>
      </c>
      <c r="R339" s="1600">
        <f>'HVAC Deemed Table'!I4476</f>
        <v>0</v>
      </c>
      <c r="S339" s="1600">
        <f>'HVAC Deemed Table'!I4477</f>
        <v>1.5159000000000001E-2</v>
      </c>
      <c r="T339" s="1600">
        <f>'HVAC Deemed Table'!I4478</f>
        <v>0</v>
      </c>
      <c r="U339" s="1569"/>
      <c r="V339" s="1569"/>
      <c r="W339" s="1569">
        <f t="shared" si="160"/>
        <v>1.5159000000000001E-2</v>
      </c>
      <c r="X339" s="1583">
        <f>'HVAC Deemed Table'!J4475</f>
        <v>15</v>
      </c>
      <c r="Y339" s="1583"/>
      <c r="Z339" s="1583">
        <f t="shared" ref="Z339" si="179">Y339+X339</f>
        <v>15</v>
      </c>
      <c r="AA339" s="322">
        <f>'HVAC Deemed Table'!BB4475</f>
        <v>0.40315822039930088</v>
      </c>
      <c r="AB339" s="1955">
        <f>'HVAC Deemed Table'!K4475</f>
        <v>84.93</v>
      </c>
      <c r="AC339" s="1964">
        <f t="shared" ref="AC339" si="180">AE339+AF339</f>
        <v>32.317345595575858</v>
      </c>
      <c r="AD339" s="1964">
        <f t="shared" ref="AD339" si="181">AG339+AH339</f>
        <v>1026.8466257982525</v>
      </c>
      <c r="AE339" s="1604">
        <f>'HVAC Deemed Table'!BD4475</f>
        <v>17.624372441379492</v>
      </c>
      <c r="AF339" s="1604">
        <f>'HVAC Deemed Table'!BD4476</f>
        <v>14.692973154196366</v>
      </c>
      <c r="AG339" s="1604">
        <f>'HVAC Deemed Table'!BD4477</f>
        <v>24.225941500177996</v>
      </c>
      <c r="AH339" s="1604">
        <f>'HVAC Deemed Table'!BD4478</f>
        <v>1002.6206842980746</v>
      </c>
      <c r="AI339" s="3366" t="str">
        <f t="shared" si="157"/>
        <v>per measure</v>
      </c>
      <c r="AJ339" s="96">
        <f>'HVAC Deemed Table'!L4475</f>
        <v>1.0111111111111111</v>
      </c>
      <c r="AK339" s="2610"/>
      <c r="AL339" s="2610"/>
      <c r="AM339" s="1961">
        <f t="shared" ref="AM339" si="182">VLOOKUP(C339,$AS$10:$AT$33,2,FALSE)</f>
        <v>9.4741810000000004E-4</v>
      </c>
      <c r="AN339" s="84">
        <f t="shared" ref="AN339" si="183">AM339*K339</f>
        <v>1.1027946684000001E-2</v>
      </c>
      <c r="AO339" s="2611">
        <f t="shared" ref="AO339" si="184">AN339-O339</f>
        <v>-5.3315999998596042E-8</v>
      </c>
      <c r="AP339" s="1779"/>
    </row>
    <row r="340" spans="1:42" s="84" customFormat="1" x14ac:dyDescent="0.35">
      <c r="A340" s="1618" t="str">
        <f t="shared" si="159"/>
        <v>356350</v>
      </c>
      <c r="B340" s="1590" t="str">
        <f>'HVAC Deemed Table'!C4477</f>
        <v>356350_2022_12_</v>
      </c>
      <c r="C340" s="2609" t="str">
        <f>'HVAC Deemed Table'!G4477</f>
        <v>Cooling Res</v>
      </c>
      <c r="D340" s="2609" t="str">
        <f>'HVAC Deemed Table'!G4478</f>
        <v>Heating Res</v>
      </c>
      <c r="E340" s="1589"/>
      <c r="F340" s="1589"/>
      <c r="G340" s="1590" t="str">
        <f>'HVAC Deemed Table'!E4477</f>
        <v>PTHP-SEER12-Replace_PTAC_ElectricHeat_ROF_MF</v>
      </c>
      <c r="H340" s="1599" t="str">
        <f>'HVAC Deemed Table'!D4477</f>
        <v>MF</v>
      </c>
      <c r="I340" s="3589">
        <f t="shared" si="153"/>
        <v>2626.79</v>
      </c>
      <c r="J340" s="3589">
        <f t="shared" si="154"/>
        <v>0</v>
      </c>
      <c r="K340" s="3590">
        <f>'HVAC Deemed Table'!F4477</f>
        <v>16</v>
      </c>
      <c r="L340" s="3590">
        <f>'HVAC Deemed Table'!F4478</f>
        <v>2610.79</v>
      </c>
      <c r="M340" s="3590"/>
      <c r="N340" s="3590"/>
      <c r="O340" s="3591">
        <f t="shared" si="155"/>
        <v>1.5159000000000001E-2</v>
      </c>
      <c r="P340" s="3591">
        <f t="shared" si="156"/>
        <v>0</v>
      </c>
      <c r="Q340" s="1600">
        <f>'HVAC Deemed Table'!I4477</f>
        <v>1.5159000000000001E-2</v>
      </c>
      <c r="R340" s="1600">
        <f>'HVAC Deemed Table'!I4478</f>
        <v>0</v>
      </c>
      <c r="S340" s="1600"/>
      <c r="T340" s="1600"/>
      <c r="U340" s="1569"/>
      <c r="V340" s="1569"/>
      <c r="W340" s="1569">
        <f>O340</f>
        <v>1.5159000000000001E-2</v>
      </c>
      <c r="X340" s="1583">
        <f>'HVAC Deemed Table'!J4477</f>
        <v>15</v>
      </c>
      <c r="Y340" s="1583"/>
      <c r="Z340" s="1583">
        <f t="shared" si="161"/>
        <v>15</v>
      </c>
      <c r="AA340" s="322">
        <f>'HVAC Deemed Table'!BB4477</f>
        <v>12.809890498448706</v>
      </c>
      <c r="AB340" s="1955">
        <f>'HVAC Deemed Table'!K4477</f>
        <v>84.93</v>
      </c>
      <c r="AC340" s="1964">
        <f t="shared" si="162"/>
        <v>1026.8466257982525</v>
      </c>
      <c r="AD340" s="1964">
        <f t="shared" si="151"/>
        <v>0</v>
      </c>
      <c r="AE340" s="1604">
        <f>'HVAC Deemed Table'!BD4477</f>
        <v>24.225941500177996</v>
      </c>
      <c r="AF340" s="1604">
        <f>'HVAC Deemed Table'!BD4478</f>
        <v>1002.6206842980746</v>
      </c>
      <c r="AG340" s="1604"/>
      <c r="AH340" s="1604"/>
      <c r="AI340" s="3366" t="str">
        <f t="shared" si="157"/>
        <v>per measure</v>
      </c>
      <c r="AJ340" s="96">
        <f>'HVAC Deemed Table'!L4477</f>
        <v>1.0111111111111111</v>
      </c>
      <c r="AK340" s="2610"/>
      <c r="AL340" s="2610"/>
      <c r="AM340" s="1961">
        <f t="shared" si="148"/>
        <v>9.4741810000000004E-4</v>
      </c>
      <c r="AN340" s="84">
        <f t="shared" si="152"/>
        <v>1.5158689600000001E-2</v>
      </c>
      <c r="AO340" s="2611">
        <f t="shared" si="149"/>
        <v>-3.104000000000301E-7</v>
      </c>
      <c r="AP340" s="1779"/>
    </row>
    <row r="341" spans="1:42" s="84" customFormat="1" x14ac:dyDescent="0.35">
      <c r="A341" s="1618" t="str">
        <f t="shared" ref="A341" si="185">LEFT(B341,6)</f>
        <v>356375</v>
      </c>
      <c r="B341" s="1590" t="str">
        <f>'HVAC Deemed Table'!C4479</f>
        <v>356375_2022_12_</v>
      </c>
      <c r="C341" s="2609" t="str">
        <f>'HVAC Deemed Table'!G4479</f>
        <v>Cooling Res</v>
      </c>
      <c r="D341" s="2609" t="str">
        <f>'HVAC Deemed Table'!G4480</f>
        <v>Heating Res</v>
      </c>
      <c r="E341" s="1589"/>
      <c r="F341" s="1589"/>
      <c r="G341" s="1590" t="str">
        <f>'HVAC Deemed Table'!E4479</f>
        <v>PTHP-SEER12-Replace_PTAC_ElectricHeat_ROF_MF_CompE</v>
      </c>
      <c r="H341" s="1599" t="str">
        <f>'HVAC Deemed Table'!D4479</f>
        <v>MFc</v>
      </c>
      <c r="I341" s="3589">
        <f t="shared" ref="I341" si="186">K341+L341</f>
        <v>902.81999999999994</v>
      </c>
      <c r="J341" s="3589">
        <f t="shared" ref="J341" si="187">M341+N341</f>
        <v>0</v>
      </c>
      <c r="K341" s="3590">
        <f>'HVAC Deemed Table'!F4479</f>
        <v>11.64</v>
      </c>
      <c r="L341" s="3590">
        <f>'HVAC Deemed Table'!F4480</f>
        <v>891.18</v>
      </c>
      <c r="M341" s="3590"/>
      <c r="N341" s="3590"/>
      <c r="O341" s="3591">
        <f t="shared" ref="O341" si="188">Q341+R341</f>
        <v>1.1028E-2</v>
      </c>
      <c r="P341" s="3591">
        <f t="shared" ref="P341" si="189">S341+T341</f>
        <v>0</v>
      </c>
      <c r="Q341" s="1600">
        <f>'HVAC Deemed Table'!I4479</f>
        <v>1.1028E-2</v>
      </c>
      <c r="R341" s="1600">
        <f>'HVAC Deemed Table'!I4480</f>
        <v>0</v>
      </c>
      <c r="S341" s="1600"/>
      <c r="T341" s="1600"/>
      <c r="U341" s="1569"/>
      <c r="V341" s="1569"/>
      <c r="W341" s="1569">
        <f>O341</f>
        <v>1.1028E-2</v>
      </c>
      <c r="X341" s="1583">
        <f>'HVAC Deemed Table'!J4479</f>
        <v>15</v>
      </c>
      <c r="Y341" s="1583"/>
      <c r="Z341" s="1583">
        <f t="shared" ref="Z341" si="190">Y341+X341</f>
        <v>15</v>
      </c>
      <c r="AA341" s="322">
        <f>'HVAC Deemed Table'!BB4479</f>
        <v>4.4892945715207393</v>
      </c>
      <c r="AB341" s="1955">
        <f>'HVAC Deemed Table'!K4479</f>
        <v>84.93</v>
      </c>
      <c r="AC341" s="1964">
        <f t="shared" ref="AC341" si="191">AE341+AF341</f>
        <v>359.86388670057232</v>
      </c>
      <c r="AD341" s="1964">
        <f t="shared" ref="AD341" si="192">AG341+AH341</f>
        <v>0</v>
      </c>
      <c r="AE341" s="1604">
        <f>'HVAC Deemed Table'!BD4479</f>
        <v>17.624372441379492</v>
      </c>
      <c r="AF341" s="1604">
        <f>'HVAC Deemed Table'!BD4480</f>
        <v>342.23951425919284</v>
      </c>
      <c r="AG341" s="1604"/>
      <c r="AH341" s="1604"/>
      <c r="AI341" s="3366" t="str">
        <f t="shared" si="157"/>
        <v>per measure</v>
      </c>
      <c r="AJ341" s="96">
        <f>'HVAC Deemed Table'!L4479</f>
        <v>1.0111111111111111</v>
      </c>
      <c r="AK341" s="2610"/>
      <c r="AL341" s="2610"/>
      <c r="AM341" s="1961">
        <f t="shared" ref="AM341" si="193">VLOOKUP(C341,$AS$10:$AT$33,2,FALSE)</f>
        <v>9.4741810000000004E-4</v>
      </c>
      <c r="AN341" s="84">
        <f t="shared" ref="AN341" si="194">AM341*K341</f>
        <v>1.1027946684000001E-2</v>
      </c>
      <c r="AO341" s="2611">
        <f t="shared" ref="AO341" si="195">AN341-O341</f>
        <v>-5.3315999998596042E-8</v>
      </c>
      <c r="AP341" s="1779"/>
    </row>
    <row r="342" spans="1:42" s="84" customFormat="1" x14ac:dyDescent="0.35">
      <c r="A342" s="1618" t="str">
        <f t="shared" si="159"/>
        <v>356400</v>
      </c>
      <c r="B342" s="1590" t="str">
        <f>'HVAC Deemed Table'!C4481</f>
        <v>356400_2022_12_</v>
      </c>
      <c r="C342" s="2609" t="str">
        <f>'HVAC Deemed Table'!G4481</f>
        <v>Cooling Res</v>
      </c>
      <c r="D342" s="2609" t="str">
        <f>'HVAC Deemed Table'!G4482</f>
        <v>Heating Res</v>
      </c>
      <c r="E342" s="1589" t="str">
        <f>'HVAC Deemed Table'!G4483</f>
        <v>Cooling Res ER2</v>
      </c>
      <c r="F342" s="1589" t="str">
        <f>'HVAC Deemed Table'!G4484</f>
        <v>Heating Res ER2</v>
      </c>
      <c r="G342" s="1590" t="str">
        <f>'HVAC Deemed Table'!E4481</f>
        <v>PTHP-SEER13-ER1_MF</v>
      </c>
      <c r="H342" s="1599" t="str">
        <f>'HVAC Deemed Table'!D4481</f>
        <v>MF</v>
      </c>
      <c r="I342" s="3589">
        <f t="shared" si="153"/>
        <v>1712.3000000000002</v>
      </c>
      <c r="J342" s="3589">
        <f t="shared" si="154"/>
        <v>194.57000000000002</v>
      </c>
      <c r="K342" s="3590">
        <f>'HVAC Deemed Table'!F4481</f>
        <v>463.89</v>
      </c>
      <c r="L342" s="3590">
        <f>'HVAC Deemed Table'!F4482</f>
        <v>1248.4100000000001</v>
      </c>
      <c r="M342" s="3590">
        <f>'HVAC Deemed Table'!F4483</f>
        <v>63.99</v>
      </c>
      <c r="N342" s="3590">
        <f>'HVAC Deemed Table'!F4484</f>
        <v>130.58000000000001</v>
      </c>
      <c r="O342" s="3591">
        <f t="shared" si="155"/>
        <v>0.439498</v>
      </c>
      <c r="P342" s="3591">
        <f t="shared" si="156"/>
        <v>6.0624999999999998E-2</v>
      </c>
      <c r="Q342" s="1600">
        <f>'HVAC Deemed Table'!I4481</f>
        <v>0.439498</v>
      </c>
      <c r="R342" s="1600">
        <f>'HVAC Deemed Table'!I4482</f>
        <v>0</v>
      </c>
      <c r="S342" s="1600">
        <f>'HVAC Deemed Table'!I4483</f>
        <v>6.0624999999999998E-2</v>
      </c>
      <c r="T342" s="1600">
        <f>'HVAC Deemed Table'!I4484</f>
        <v>0</v>
      </c>
      <c r="U342" s="1569"/>
      <c r="V342" s="1569"/>
      <c r="W342" s="1569">
        <f t="shared" ref="W342:W347" si="196">P342</f>
        <v>6.0624999999999998E-2</v>
      </c>
      <c r="X342" s="1583">
        <f>'HVAC Deemed Table'!J4481</f>
        <v>5</v>
      </c>
      <c r="Y342" s="1583">
        <f>'HVAC Deemed Table'!J4483</f>
        <v>10</v>
      </c>
      <c r="Z342" s="1583">
        <f t="shared" si="161"/>
        <v>15</v>
      </c>
      <c r="AA342" s="322">
        <f>'HVAC Deemed Table'!BB4481</f>
        <v>2.3939882174801994</v>
      </c>
      <c r="AB342" s="1955">
        <f>'HVAC Deemed Table'!K4481</f>
        <v>224.93182686576984</v>
      </c>
      <c r="AC342" s="1964">
        <f t="shared" si="162"/>
        <v>412.41716035021466</v>
      </c>
      <c r="AD342" s="1964">
        <f t="shared" si="151"/>
        <v>95.826485947991131</v>
      </c>
      <c r="AE342" s="1604">
        <f>'HVAC Deemed Table'!BD4481</f>
        <v>242.04755659944109</v>
      </c>
      <c r="AF342" s="1604">
        <f>'HVAC Deemed Table'!BD4482</f>
        <v>170.36960375077359</v>
      </c>
      <c r="AG342" s="1604">
        <f>'HVAC Deemed Table'!BD4483</f>
        <v>63.500056060172824</v>
      </c>
      <c r="AH342" s="1604">
        <f>'HVAC Deemed Table'!BD4484</f>
        <v>32.326429887818307</v>
      </c>
      <c r="AI342" s="3366" t="str">
        <f t="shared" si="157"/>
        <v>per measure</v>
      </c>
      <c r="AJ342" s="96">
        <f>'HVAC Deemed Table'!L4481</f>
        <v>1.0111111111111111</v>
      </c>
      <c r="AK342" s="2610"/>
      <c r="AL342" s="2610"/>
      <c r="AM342" s="1961">
        <f t="shared" si="148"/>
        <v>9.4741810000000004E-4</v>
      </c>
      <c r="AN342" s="84">
        <f t="shared" si="152"/>
        <v>0.439497782409</v>
      </c>
      <c r="AO342" s="2611">
        <f t="shared" si="149"/>
        <v>-2.1759099999574261E-7</v>
      </c>
      <c r="AP342" s="1779"/>
    </row>
    <row r="343" spans="1:42" s="84" customFormat="1" x14ac:dyDescent="0.35">
      <c r="A343" s="1618" t="str">
        <f t="shared" si="159"/>
        <v>356425</v>
      </c>
      <c r="B343" s="1590" t="str">
        <f>'HVAC Deemed Table'!C4485</f>
        <v>356425_2022_12_</v>
      </c>
      <c r="C343" s="2609" t="str">
        <f>'HVAC Deemed Table'!G4485</f>
        <v>Cooling Res</v>
      </c>
      <c r="D343" s="2609" t="str">
        <f>'HVAC Deemed Table'!G4486</f>
        <v>Heating Res</v>
      </c>
      <c r="E343" s="1589" t="str">
        <f>'HVAC Deemed Table'!G4487</f>
        <v>Cooling Res ER2</v>
      </c>
      <c r="F343" s="1589" t="str">
        <f>'HVAC Deemed Table'!G4488</f>
        <v>Heating Res ER2</v>
      </c>
      <c r="G343" s="1590" t="str">
        <f>'HVAC Deemed Table'!E4485</f>
        <v>PTHP-SEER13-ER1_MF_CompE</v>
      </c>
      <c r="H343" s="1599" t="str">
        <f>'HVAC Deemed Table'!D4485</f>
        <v>MFc</v>
      </c>
      <c r="I343" s="3589">
        <f t="shared" si="153"/>
        <v>763.72</v>
      </c>
      <c r="J343" s="3589">
        <f t="shared" si="154"/>
        <v>91.13</v>
      </c>
      <c r="K343" s="3590">
        <f>'HVAC Deemed Table'!F4485</f>
        <v>337.58</v>
      </c>
      <c r="L343" s="3590">
        <f>'HVAC Deemed Table'!F4486</f>
        <v>426.14</v>
      </c>
      <c r="M343" s="3590">
        <f>'HVAC Deemed Table'!F4487</f>
        <v>46.56</v>
      </c>
      <c r="N343" s="3590">
        <f>'HVAC Deemed Table'!F4488</f>
        <v>44.57</v>
      </c>
      <c r="O343" s="3591">
        <f t="shared" si="155"/>
        <v>0.31982899999999997</v>
      </c>
      <c r="P343" s="3591">
        <f t="shared" si="156"/>
        <v>4.4111999999999998E-2</v>
      </c>
      <c r="Q343" s="1600">
        <f>'HVAC Deemed Table'!I4485</f>
        <v>0.31982899999999997</v>
      </c>
      <c r="R343" s="1600">
        <f>'HVAC Deemed Table'!I4486</f>
        <v>0</v>
      </c>
      <c r="S343" s="1600">
        <f>'HVAC Deemed Table'!I4487</f>
        <v>4.4111999999999998E-2</v>
      </c>
      <c r="T343" s="1600">
        <f>'HVAC Deemed Table'!I4488</f>
        <v>0</v>
      </c>
      <c r="U343" s="1569"/>
      <c r="V343" s="1569"/>
      <c r="W343" s="1569">
        <f t="shared" si="196"/>
        <v>4.4111999999999998E-2</v>
      </c>
      <c r="X343" s="1583">
        <f>'HVAC Deemed Table'!J4485</f>
        <v>5</v>
      </c>
      <c r="Y343" s="1583">
        <f>'HVAC Deemed Table'!J4487</f>
        <v>10</v>
      </c>
      <c r="Z343" s="1583">
        <f t="shared" si="161"/>
        <v>15</v>
      </c>
      <c r="AA343" s="322">
        <f>'HVAC Deemed Table'!BB4485</f>
        <v>1.3732176563901048</v>
      </c>
      <c r="AB343" s="1955">
        <f>'HVAC Deemed Table'!K4485</f>
        <v>224.93182686576984</v>
      </c>
      <c r="AC343" s="1964">
        <f t="shared" si="162"/>
        <v>234.29680379559971</v>
      </c>
      <c r="AD343" s="1964">
        <f t="shared" si="151"/>
        <v>57.237274671750214</v>
      </c>
      <c r="AE343" s="1604">
        <f>'HVAC Deemed Table'!BD4485</f>
        <v>176.1417882619572</v>
      </c>
      <c r="AF343" s="1604">
        <f>'HVAC Deemed Table'!BD4486</f>
        <v>58.155015533642512</v>
      </c>
      <c r="AG343" s="1604">
        <f>'HVAC Deemed Table'!BD4487</f>
        <v>46.203510082226074</v>
      </c>
      <c r="AH343" s="1604">
        <f>'HVAC Deemed Table'!BD4488</f>
        <v>11.033764589524138</v>
      </c>
      <c r="AI343" s="3366" t="str">
        <f t="shared" si="157"/>
        <v>per measure</v>
      </c>
      <c r="AJ343" s="96">
        <f>'HVAC Deemed Table'!L4485</f>
        <v>1.0111111111111111</v>
      </c>
      <c r="AK343" s="2610"/>
      <c r="AL343" s="2610"/>
      <c r="AM343" s="1961">
        <f t="shared" si="148"/>
        <v>9.4741810000000004E-4</v>
      </c>
      <c r="AN343" s="84">
        <f t="shared" si="152"/>
        <v>0.31982940219799999</v>
      </c>
      <c r="AO343" s="2611">
        <f t="shared" si="149"/>
        <v>4.0219800001572992E-7</v>
      </c>
      <c r="AP343" s="1779"/>
    </row>
    <row r="344" spans="1:42" s="84" customFormat="1" x14ac:dyDescent="0.35">
      <c r="A344" s="1618" t="str">
        <f t="shared" si="159"/>
        <v>356450</v>
      </c>
      <c r="B344" s="1590" t="str">
        <f>'HVAC Deemed Table'!C4489</f>
        <v>356450_2022_12_</v>
      </c>
      <c r="C344" s="2609" t="str">
        <f>'HVAC Deemed Table'!G4489</f>
        <v>Cooling Res</v>
      </c>
      <c r="D344" s="2609" t="str">
        <f>'HVAC Deemed Table'!G4490</f>
        <v>Heating Res</v>
      </c>
      <c r="E344" s="1589" t="str">
        <f>'HVAC Deemed Table'!G4491</f>
        <v>Cooling Res ER2</v>
      </c>
      <c r="F344" s="1589" t="str">
        <f>'HVAC Deemed Table'!G4492</f>
        <v>Heating Res ER2</v>
      </c>
      <c r="G344" s="1590" t="str">
        <f>'HVAC Deemed Table'!E4489</f>
        <v>PTHP-SEER13-Replace_PTAC_ElectricHeat_ER1_MF</v>
      </c>
      <c r="H344" s="1599" t="str">
        <f>'HVAC Deemed Table'!D4489</f>
        <v>MF</v>
      </c>
      <c r="I344" s="3589">
        <f t="shared" si="153"/>
        <v>3154.34</v>
      </c>
      <c r="J344" s="3589">
        <f t="shared" si="154"/>
        <v>2693.2799999999997</v>
      </c>
      <c r="K344" s="3590">
        <f>'HVAC Deemed Table'!F4489</f>
        <v>525.04999999999995</v>
      </c>
      <c r="L344" s="3590">
        <f>'HVAC Deemed Table'!F4490</f>
        <v>2629.29</v>
      </c>
      <c r="M344" s="3590">
        <f>'HVAC Deemed Table'!F4491</f>
        <v>63.99</v>
      </c>
      <c r="N344" s="3590">
        <f>'HVAC Deemed Table'!F4492</f>
        <v>2629.29</v>
      </c>
      <c r="O344" s="3591">
        <f t="shared" si="155"/>
        <v>0.497442</v>
      </c>
      <c r="P344" s="3591">
        <f t="shared" si="156"/>
        <v>6.0624999999999998E-2</v>
      </c>
      <c r="Q344" s="1600">
        <f>'HVAC Deemed Table'!I4489</f>
        <v>0.497442</v>
      </c>
      <c r="R344" s="1600">
        <f>'HVAC Deemed Table'!I4490</f>
        <v>0</v>
      </c>
      <c r="S344" s="1600">
        <f>'HVAC Deemed Table'!I4491</f>
        <v>6.0624999999999998E-2</v>
      </c>
      <c r="T344" s="1600">
        <f>'HVAC Deemed Table'!I4492</f>
        <v>0</v>
      </c>
      <c r="U344" s="1569"/>
      <c r="V344" s="1569"/>
      <c r="W344" s="1569">
        <f t="shared" si="196"/>
        <v>6.0624999999999998E-2</v>
      </c>
      <c r="X344" s="1583">
        <f>'HVAC Deemed Table'!J4489</f>
        <v>5</v>
      </c>
      <c r="Y344" s="1583">
        <f>'HVAC Deemed Table'!J4491</f>
        <v>10</v>
      </c>
      <c r="Z344" s="1583">
        <f t="shared" si="161"/>
        <v>15</v>
      </c>
      <c r="AA344" s="322">
        <f>'HVAC Deemed Table'!BB4489</f>
        <v>6.345666135959017</v>
      </c>
      <c r="AB344" s="1955">
        <f>'HVAC Deemed Table'!K4489</f>
        <v>224.93182686576984</v>
      </c>
      <c r="AC344" s="1964">
        <f t="shared" si="162"/>
        <v>632.77678578149494</v>
      </c>
      <c r="AD344" s="1964">
        <f t="shared" si="151"/>
        <v>714.40799632469862</v>
      </c>
      <c r="AE344" s="1604">
        <f>'HVAC Deemed Table'!BD4489</f>
        <v>273.95949382943485</v>
      </c>
      <c r="AF344" s="1604">
        <f>'HVAC Deemed Table'!BD4490</f>
        <v>358.81729195206015</v>
      </c>
      <c r="AG344" s="1604">
        <f>'HVAC Deemed Table'!BD4491</f>
        <v>63.500056060172824</v>
      </c>
      <c r="AH344" s="1604">
        <f>'HVAC Deemed Table'!BD4492</f>
        <v>650.90794026452579</v>
      </c>
      <c r="AI344" s="3366" t="str">
        <f t="shared" si="157"/>
        <v>per measure</v>
      </c>
      <c r="AJ344" s="96">
        <f>'HVAC Deemed Table'!L4489</f>
        <v>1.0111111111111111</v>
      </c>
      <c r="AK344" s="2610"/>
      <c r="AL344" s="2610"/>
      <c r="AM344" s="1961">
        <f t="shared" si="148"/>
        <v>9.4741810000000004E-4</v>
      </c>
      <c r="AN344" s="84">
        <f t="shared" si="152"/>
        <v>0.49744187340499996</v>
      </c>
      <c r="AO344" s="2611">
        <f t="shared" si="149"/>
        <v>-1.2659500003842084E-7</v>
      </c>
      <c r="AP344" s="1779"/>
    </row>
    <row r="345" spans="1:42" s="84" customFormat="1" x14ac:dyDescent="0.35">
      <c r="A345" s="1618" t="str">
        <f t="shared" si="159"/>
        <v>356475</v>
      </c>
      <c r="B345" s="1590" t="str">
        <f>'HVAC Deemed Table'!C4493</f>
        <v>356475_2022_12_</v>
      </c>
      <c r="C345" s="2609" t="str">
        <f>'HVAC Deemed Table'!G4493</f>
        <v>Cooling Res</v>
      </c>
      <c r="D345" s="2609" t="str">
        <f>'HVAC Deemed Table'!G4494</f>
        <v>Heating Res</v>
      </c>
      <c r="E345" s="1589" t="str">
        <f>'HVAC Deemed Table'!G4495</f>
        <v>Cooling Res ER2</v>
      </c>
      <c r="F345" s="1589" t="str">
        <f>'HVAC Deemed Table'!G4496</f>
        <v>Heating Res ER2</v>
      </c>
      <c r="G345" s="1590" t="str">
        <f>'HVAC Deemed Table'!E4493</f>
        <v>PTHP-SEER13-Replace_PTAC_ElectricHeat_ER1_MF_CompE</v>
      </c>
      <c r="H345" s="1599" t="str">
        <f>'HVAC Deemed Table'!D4493</f>
        <v>MFc</v>
      </c>
      <c r="I345" s="3589">
        <f t="shared" si="153"/>
        <v>1279.5899999999999</v>
      </c>
      <c r="J345" s="3589">
        <f t="shared" si="154"/>
        <v>944.06</v>
      </c>
      <c r="K345" s="3590">
        <f>'HVAC Deemed Table'!F4493</f>
        <v>382.09</v>
      </c>
      <c r="L345" s="3590">
        <f>'HVAC Deemed Table'!F4494</f>
        <v>897.5</v>
      </c>
      <c r="M345" s="3590">
        <f>'HVAC Deemed Table'!F4495</f>
        <v>46.56</v>
      </c>
      <c r="N345" s="3590">
        <f>'HVAC Deemed Table'!F4496</f>
        <v>897.5</v>
      </c>
      <c r="O345" s="3591">
        <f t="shared" si="155"/>
        <v>0.36199900000000002</v>
      </c>
      <c r="P345" s="3591">
        <f t="shared" si="156"/>
        <v>4.4111999999999998E-2</v>
      </c>
      <c r="Q345" s="1600">
        <f>'HVAC Deemed Table'!I4493</f>
        <v>0.36199900000000002</v>
      </c>
      <c r="R345" s="1600">
        <f>'HVAC Deemed Table'!I4494</f>
        <v>0</v>
      </c>
      <c r="S345" s="1600">
        <f>'HVAC Deemed Table'!I4495</f>
        <v>4.4111999999999998E-2</v>
      </c>
      <c r="T345" s="1600">
        <f>'HVAC Deemed Table'!I4496</f>
        <v>0</v>
      </c>
      <c r="U345" s="1569"/>
      <c r="V345" s="1569"/>
      <c r="W345" s="1569">
        <f t="shared" si="196"/>
        <v>4.4111999999999998E-2</v>
      </c>
      <c r="X345" s="1583">
        <f>'HVAC Deemed Table'!J4493</f>
        <v>5</v>
      </c>
      <c r="Y345" s="1583">
        <f>'HVAC Deemed Table'!J4495</f>
        <v>10</v>
      </c>
      <c r="Z345" s="1583">
        <f t="shared" si="161"/>
        <v>15</v>
      </c>
      <c r="AA345" s="322">
        <f>'HVAC Deemed Table'!BB4493</f>
        <v>1.5160024864175066</v>
      </c>
      <c r="AB345" s="1955">
        <f>'HVAC Deemed Table'!K4493</f>
        <v>224.93182686576984</v>
      </c>
      <c r="AC345" s="1964">
        <f t="shared" si="162"/>
        <v>321.84729476445409</v>
      </c>
      <c r="AD345" s="1964">
        <f t="shared" si="151"/>
        <v>268.38891997897082</v>
      </c>
      <c r="AE345" s="1604">
        <f>'HVAC Deemed Table'!BD4493</f>
        <v>199.36612322119564</v>
      </c>
      <c r="AF345" s="1604">
        <f>'HVAC Deemed Table'!BD4494</f>
        <v>122.48117154325845</v>
      </c>
      <c r="AG345" s="1604">
        <f>'HVAC Deemed Table'!BD4495</f>
        <v>46.203510082226074</v>
      </c>
      <c r="AH345" s="1604">
        <f>'HVAC Deemed Table'!BD4496</f>
        <v>222.18540989674474</v>
      </c>
      <c r="AI345" s="3366" t="str">
        <f t="shared" si="157"/>
        <v>per measure</v>
      </c>
      <c r="AJ345" s="96">
        <f>'HVAC Deemed Table'!L4493</f>
        <v>1.0111111111111111</v>
      </c>
      <c r="AK345" s="2610"/>
      <c r="AL345" s="2610"/>
      <c r="AM345" s="1961">
        <f t="shared" si="148"/>
        <v>9.4741810000000004E-4</v>
      </c>
      <c r="AN345" s="84">
        <f t="shared" si="152"/>
        <v>0.36199898182899998</v>
      </c>
      <c r="AO345" s="2611">
        <f t="shared" si="149"/>
        <v>-1.8171000037980889E-8</v>
      </c>
      <c r="AP345" s="1779"/>
    </row>
    <row r="346" spans="1:42" s="84" customFormat="1" x14ac:dyDescent="0.35">
      <c r="A346" s="1618" t="str">
        <f t="shared" ref="A346" si="197">LEFT(B346,6)</f>
        <v>356500</v>
      </c>
      <c r="B346" s="1590" t="str">
        <f>'HVAC Deemed Table'!C4497</f>
        <v>356500_2022_12_</v>
      </c>
      <c r="C346" s="2609" t="str">
        <f>'HVAC Deemed Table'!G4497</f>
        <v>Cooling Res</v>
      </c>
      <c r="D346" s="2609" t="str">
        <f>'HVAC Deemed Table'!G4498</f>
        <v>Heating Res</v>
      </c>
      <c r="E346" s="1589"/>
      <c r="F346" s="1589"/>
      <c r="G346" s="1590" t="str">
        <f>'HVAC Deemed Table'!E4497</f>
        <v>PTHP-SEER13-ROF_MF</v>
      </c>
      <c r="H346" s="1599" t="str">
        <f>'HVAC Deemed Table'!D4497</f>
        <v>MF</v>
      </c>
      <c r="I346" s="3589">
        <f t="shared" ref="I346" si="198">K346+L346</f>
        <v>194.57000000000002</v>
      </c>
      <c r="J346" s="3589">
        <f t="shared" ref="J346" si="199">M346+N346</f>
        <v>91.13</v>
      </c>
      <c r="K346" s="3590">
        <f>'HVAC Deemed Table'!F4497</f>
        <v>63.99</v>
      </c>
      <c r="L346" s="3590">
        <f>'HVAC Deemed Table'!F4498</f>
        <v>130.58000000000001</v>
      </c>
      <c r="M346" s="3590">
        <f>'HVAC Deemed Table'!F4499</f>
        <v>46.56</v>
      </c>
      <c r="N346" s="3590">
        <f>'HVAC Deemed Table'!F4500</f>
        <v>44.57</v>
      </c>
      <c r="O346" s="3591">
        <f t="shared" ref="O346" si="200">Q346+R346</f>
        <v>6.0624999999999998E-2</v>
      </c>
      <c r="P346" s="3591">
        <f t="shared" ref="P346" si="201">S346+T346</f>
        <v>4.4111999999999998E-2</v>
      </c>
      <c r="Q346" s="1600">
        <f>'HVAC Deemed Table'!I4497</f>
        <v>6.0624999999999998E-2</v>
      </c>
      <c r="R346" s="1600">
        <f>'HVAC Deemed Table'!I4498</f>
        <v>0</v>
      </c>
      <c r="S346" s="1600">
        <f>'HVAC Deemed Table'!I4499</f>
        <v>4.4111999999999998E-2</v>
      </c>
      <c r="T346" s="1600">
        <f>'HVAC Deemed Table'!I4500</f>
        <v>0</v>
      </c>
      <c r="U346" s="1569"/>
      <c r="V346" s="1569"/>
      <c r="W346" s="1569">
        <f t="shared" si="196"/>
        <v>4.4111999999999998E-2</v>
      </c>
      <c r="X346" s="1583">
        <f>'HVAC Deemed Table'!J4497</f>
        <v>15</v>
      </c>
      <c r="Y346" s="1583"/>
      <c r="Z346" s="1583">
        <f t="shared" ref="Z346" si="202">Y346+X346</f>
        <v>15</v>
      </c>
      <c r="AA346" s="322">
        <f>'HVAC Deemed Table'!BB4497</f>
        <v>1.8342612425253093</v>
      </c>
      <c r="AB346" s="1955">
        <f>'HVAC Deemed Table'!K4497</f>
        <v>84.93</v>
      </c>
      <c r="AC346" s="1964">
        <f t="shared" ref="AC346" si="203">AE346+AF346</f>
        <v>147.03521220167485</v>
      </c>
      <c r="AD346" s="1964">
        <f t="shared" ref="AD346" si="204">AG346+AH346</f>
        <v>87.613689804266841</v>
      </c>
      <c r="AE346" s="1604">
        <f>'HVAC Deemed Table'!BD4497</f>
        <v>96.888624787274381</v>
      </c>
      <c r="AF346" s="1604">
        <f>'HVAC Deemed Table'!BD4498</f>
        <v>50.146587414400464</v>
      </c>
      <c r="AG346" s="1604">
        <f>'HVAC Deemed Table'!BD4499</f>
        <v>70.497489765517969</v>
      </c>
      <c r="AH346" s="1604">
        <f>'HVAC Deemed Table'!BD4500</f>
        <v>17.116200038748879</v>
      </c>
      <c r="AI346" s="3366" t="str">
        <f t="shared" si="157"/>
        <v>per measure</v>
      </c>
      <c r="AJ346" s="96">
        <f>'HVAC Deemed Table'!L4497</f>
        <v>1.0111111111111111</v>
      </c>
      <c r="AK346" s="2610"/>
      <c r="AL346" s="2610"/>
      <c r="AM346" s="1961">
        <f t="shared" ref="AM346" si="205">VLOOKUP(C346,$AS$10:$AT$33,2,FALSE)</f>
        <v>9.4741810000000004E-4</v>
      </c>
      <c r="AN346" s="84">
        <f t="shared" ref="AN346" si="206">AM346*K346</f>
        <v>6.0625284219000007E-2</v>
      </c>
      <c r="AO346" s="2611">
        <f t="shared" ref="AO346" si="207">AN346-O346</f>
        <v>2.8421900000880074E-7</v>
      </c>
      <c r="AP346" s="1779"/>
    </row>
    <row r="347" spans="1:42" s="84" customFormat="1" x14ac:dyDescent="0.35">
      <c r="A347" s="1618" t="str">
        <f t="shared" ref="A347" si="208">LEFT(B347,6)</f>
        <v>356525</v>
      </c>
      <c r="B347" s="1590" t="str">
        <f>'HVAC Deemed Table'!C4499</f>
        <v>356525_2022_12_</v>
      </c>
      <c r="C347" s="2609" t="str">
        <f>'HVAC Deemed Table'!G4499</f>
        <v>Cooling Res</v>
      </c>
      <c r="D347" s="2609" t="str">
        <f>'HVAC Deemed Table'!G4500</f>
        <v>Heating Res</v>
      </c>
      <c r="E347" s="1589"/>
      <c r="F347" s="1589"/>
      <c r="G347" s="1590" t="str">
        <f>'HVAC Deemed Table'!E4499</f>
        <v>PTHP-SEER13-ROF_MF_CompE</v>
      </c>
      <c r="H347" s="1599" t="str">
        <f>'HVAC Deemed Table'!D4499</f>
        <v>MFc</v>
      </c>
      <c r="I347" s="3589">
        <f t="shared" ref="I347" si="209">K347+L347</f>
        <v>91.13</v>
      </c>
      <c r="J347" s="3589">
        <f t="shared" ref="J347" si="210">M347+N347</f>
        <v>2693.2799999999997</v>
      </c>
      <c r="K347" s="3590">
        <f>'HVAC Deemed Table'!F4499</f>
        <v>46.56</v>
      </c>
      <c r="L347" s="3590">
        <f>'HVAC Deemed Table'!F4500</f>
        <v>44.57</v>
      </c>
      <c r="M347" s="3590">
        <f>'HVAC Deemed Table'!F4501</f>
        <v>63.99</v>
      </c>
      <c r="N347" s="3590">
        <f>'HVAC Deemed Table'!F4502</f>
        <v>2629.29</v>
      </c>
      <c r="O347" s="3591">
        <f t="shared" ref="O347" si="211">Q347+R347</f>
        <v>4.4111999999999998E-2</v>
      </c>
      <c r="P347" s="3591">
        <f t="shared" ref="P347" si="212">S347+T347</f>
        <v>6.0624999999999998E-2</v>
      </c>
      <c r="Q347" s="1600">
        <f>'HVAC Deemed Table'!I4499</f>
        <v>4.4111999999999998E-2</v>
      </c>
      <c r="R347" s="1600">
        <f>'HVAC Deemed Table'!I4500</f>
        <v>0</v>
      </c>
      <c r="S347" s="1600">
        <f>'HVAC Deemed Table'!I4501</f>
        <v>6.0624999999999998E-2</v>
      </c>
      <c r="T347" s="1600">
        <f>'HVAC Deemed Table'!I4502</f>
        <v>0</v>
      </c>
      <c r="U347" s="1569"/>
      <c r="V347" s="1569"/>
      <c r="W347" s="1569">
        <f t="shared" si="196"/>
        <v>6.0624999999999998E-2</v>
      </c>
      <c r="X347" s="1583">
        <f>'HVAC Deemed Table'!J4499</f>
        <v>15</v>
      </c>
      <c r="Y347" s="1583"/>
      <c r="Z347" s="1583">
        <f t="shared" ref="Z347" si="213">Y347+X347</f>
        <v>15</v>
      </c>
      <c r="AA347" s="322">
        <f>'HVAC Deemed Table'!BB4499</f>
        <v>1.0929789750102523</v>
      </c>
      <c r="AB347" s="1955">
        <f>'HVAC Deemed Table'!K4499</f>
        <v>84.93</v>
      </c>
      <c r="AC347" s="1964">
        <f t="shared" ref="AC347" si="214">AE347+AF347</f>
        <v>87.613689804266841</v>
      </c>
      <c r="AD347" s="1964">
        <f t="shared" ref="AD347" si="215">AG347+AH347</f>
        <v>1106.6138570036092</v>
      </c>
      <c r="AE347" s="1604">
        <f>'HVAC Deemed Table'!BD4499</f>
        <v>70.497489765517969</v>
      </c>
      <c r="AF347" s="1604">
        <f>'HVAC Deemed Table'!BD4500</f>
        <v>17.116200038748879</v>
      </c>
      <c r="AG347" s="1604">
        <f>'HVAC Deemed Table'!BD4501</f>
        <v>96.888624787274381</v>
      </c>
      <c r="AH347" s="1604">
        <f>'HVAC Deemed Table'!BD4502</f>
        <v>1009.7252322163347</v>
      </c>
      <c r="AI347" s="3366" t="str">
        <f t="shared" si="157"/>
        <v>per measure</v>
      </c>
      <c r="AJ347" s="96">
        <f>'HVAC Deemed Table'!L4499</f>
        <v>1.0111111111111111</v>
      </c>
      <c r="AK347" s="2610"/>
      <c r="AL347" s="2610"/>
      <c r="AM347" s="1961">
        <f t="shared" ref="AM347" si="216">VLOOKUP(C347,$AS$10:$AT$33,2,FALSE)</f>
        <v>9.4741810000000004E-4</v>
      </c>
      <c r="AN347" s="84">
        <f t="shared" ref="AN347" si="217">AM347*K347</f>
        <v>4.4111786736000004E-2</v>
      </c>
      <c r="AO347" s="2611">
        <f t="shared" ref="AO347" si="218">AN347-O347</f>
        <v>-2.1326399999438417E-7</v>
      </c>
      <c r="AP347" s="1779"/>
    </row>
    <row r="348" spans="1:42" s="84" customFormat="1" x14ac:dyDescent="0.35">
      <c r="A348" s="1618" t="str">
        <f t="shared" si="159"/>
        <v>356550</v>
      </c>
      <c r="B348" s="1590" t="str">
        <f>'HVAC Deemed Table'!C4501</f>
        <v>356550_2022_12_</v>
      </c>
      <c r="C348" s="2609" t="str">
        <f>'HVAC Deemed Table'!G4501</f>
        <v>Cooling Res</v>
      </c>
      <c r="D348" s="2609" t="str">
        <f>'HVAC Deemed Table'!G4502</f>
        <v>Heating Res</v>
      </c>
      <c r="E348" s="1589"/>
      <c r="F348" s="1589"/>
      <c r="G348" s="1590" t="str">
        <f>'HVAC Deemed Table'!E4501</f>
        <v>PTHP-SEER13-Replace_PTAC_ElectricHeat_ROF_MF</v>
      </c>
      <c r="H348" s="1599" t="str">
        <f>'HVAC Deemed Table'!D4501</f>
        <v>MF</v>
      </c>
      <c r="I348" s="3589">
        <f t="shared" si="153"/>
        <v>2693.2799999999997</v>
      </c>
      <c r="J348" s="3589">
        <f t="shared" si="154"/>
        <v>0</v>
      </c>
      <c r="K348" s="3590">
        <f>'HVAC Deemed Table'!F4501</f>
        <v>63.99</v>
      </c>
      <c r="L348" s="3590">
        <f>'HVAC Deemed Table'!F4502</f>
        <v>2629.29</v>
      </c>
      <c r="M348" s="3590"/>
      <c r="N348" s="3590"/>
      <c r="O348" s="3591">
        <f t="shared" si="155"/>
        <v>6.0624999999999998E-2</v>
      </c>
      <c r="P348" s="3591">
        <f t="shared" si="156"/>
        <v>0</v>
      </c>
      <c r="Q348" s="1600">
        <f>'HVAC Deemed Table'!I4501</f>
        <v>6.0624999999999998E-2</v>
      </c>
      <c r="R348" s="1600">
        <f>'HVAC Deemed Table'!I4502</f>
        <v>0</v>
      </c>
      <c r="S348" s="1600"/>
      <c r="T348" s="1600"/>
      <c r="U348" s="1569"/>
      <c r="V348" s="1569"/>
      <c r="W348" s="1569">
        <f>O348</f>
        <v>6.0624999999999998E-2</v>
      </c>
      <c r="X348" s="1583">
        <f>'HVAC Deemed Table'!J4501</f>
        <v>15</v>
      </c>
      <c r="Y348" s="1583"/>
      <c r="Z348" s="1583">
        <f t="shared" si="161"/>
        <v>15</v>
      </c>
      <c r="AA348" s="322">
        <f>'HVAC Deemed Table'!BB4501</f>
        <v>13.804985064115435</v>
      </c>
      <c r="AB348" s="1955">
        <f>'HVAC Deemed Table'!K4501</f>
        <v>84.93</v>
      </c>
      <c r="AC348" s="1964">
        <f t="shared" si="162"/>
        <v>1106.6138570036092</v>
      </c>
      <c r="AD348" s="1964">
        <f t="shared" si="151"/>
        <v>0</v>
      </c>
      <c r="AE348" s="1604">
        <f>'HVAC Deemed Table'!BD4501</f>
        <v>96.888624787274381</v>
      </c>
      <c r="AF348" s="1604">
        <f>'HVAC Deemed Table'!BD4502</f>
        <v>1009.7252322163347</v>
      </c>
      <c r="AG348" s="1604"/>
      <c r="AH348" s="1604"/>
      <c r="AI348" s="3366" t="str">
        <f t="shared" si="157"/>
        <v>per measure</v>
      </c>
      <c r="AJ348" s="96">
        <f>'HVAC Deemed Table'!L4501</f>
        <v>1.0111111111111111</v>
      </c>
      <c r="AK348" s="2610"/>
      <c r="AL348" s="2610"/>
      <c r="AM348" s="1961">
        <f t="shared" si="148"/>
        <v>9.4741810000000004E-4</v>
      </c>
      <c r="AN348" s="84">
        <f t="shared" si="152"/>
        <v>6.0625284219000007E-2</v>
      </c>
      <c r="AO348" s="2611">
        <f t="shared" si="149"/>
        <v>2.8421900000880074E-7</v>
      </c>
      <c r="AP348" s="1779"/>
    </row>
    <row r="349" spans="1:42" s="84" customFormat="1" x14ac:dyDescent="0.35">
      <c r="A349" s="1618" t="str">
        <f t="shared" ref="A349" si="219">LEFT(B349,6)</f>
        <v>356575</v>
      </c>
      <c r="B349" s="1590" t="str">
        <f>'HVAC Deemed Table'!C4503</f>
        <v>356575_2022_12_</v>
      </c>
      <c r="C349" s="2609" t="str">
        <f>'HVAC Deemed Table'!G4503</f>
        <v>Cooling Res</v>
      </c>
      <c r="D349" s="2609" t="str">
        <f>'HVAC Deemed Table'!G4504</f>
        <v>Heating Res</v>
      </c>
      <c r="E349" s="1589"/>
      <c r="F349" s="1589"/>
      <c r="G349" s="1590" t="str">
        <f>'HVAC Deemed Table'!E4503</f>
        <v>PTHP-SEER13-Replace_PTAC_ElectricHeat_ROF_MF_CompE</v>
      </c>
      <c r="H349" s="1599" t="str">
        <f>'HVAC Deemed Table'!D4503</f>
        <v>MFc</v>
      </c>
      <c r="I349" s="3589">
        <f t="shared" ref="I349" si="220">K349+L349</f>
        <v>944.06</v>
      </c>
      <c r="J349" s="3589">
        <f t="shared" ref="J349" si="221">M349+N349</f>
        <v>0</v>
      </c>
      <c r="K349" s="3590">
        <f>'HVAC Deemed Table'!F4503</f>
        <v>46.56</v>
      </c>
      <c r="L349" s="3590">
        <f>'HVAC Deemed Table'!F4504</f>
        <v>897.5</v>
      </c>
      <c r="M349" s="3590"/>
      <c r="N349" s="3590"/>
      <c r="O349" s="3591">
        <f t="shared" ref="O349" si="222">Q349+R349</f>
        <v>4.4111999999999998E-2</v>
      </c>
      <c r="P349" s="3591">
        <f t="shared" ref="P349" si="223">S349+T349</f>
        <v>0</v>
      </c>
      <c r="Q349" s="1600">
        <f>'HVAC Deemed Table'!I4503</f>
        <v>4.4111999999999998E-2</v>
      </c>
      <c r="R349" s="1600">
        <f>'HVAC Deemed Table'!I4504</f>
        <v>0</v>
      </c>
      <c r="S349" s="1600"/>
      <c r="T349" s="1600"/>
      <c r="U349" s="1569"/>
      <c r="V349" s="1569"/>
      <c r="W349" s="1569">
        <f t="shared" ref="W349" si="224">O349</f>
        <v>4.4111999999999998E-2</v>
      </c>
      <c r="X349" s="1583">
        <f>'HVAC Deemed Table'!J4503</f>
        <v>15</v>
      </c>
      <c r="Y349" s="1583"/>
      <c r="Z349" s="1583">
        <f t="shared" ref="Z349" si="225">Y349+X349</f>
        <v>15</v>
      </c>
      <c r="AA349" s="322">
        <f>'HVAC Deemed Table'!BB4503</f>
        <v>5.1791632337473068</v>
      </c>
      <c r="AB349" s="1955">
        <f>'HVAC Deemed Table'!K4503</f>
        <v>84.93</v>
      </c>
      <c r="AC349" s="1964">
        <f t="shared" ref="AC349" si="226">AE349+AF349</f>
        <v>415.16407120543533</v>
      </c>
      <c r="AD349" s="1964">
        <f t="shared" ref="AD349" si="227">AG349+AH349</f>
        <v>0</v>
      </c>
      <c r="AE349" s="1604">
        <f>'HVAC Deemed Table'!BD4503</f>
        <v>70.497489765517969</v>
      </c>
      <c r="AF349" s="1604">
        <f>'HVAC Deemed Table'!BD4504</f>
        <v>344.66658143991737</v>
      </c>
      <c r="AG349" s="1604"/>
      <c r="AH349" s="1604"/>
      <c r="AI349" s="3366" t="str">
        <f t="shared" si="157"/>
        <v>per measure</v>
      </c>
      <c r="AJ349" s="96">
        <f>'HVAC Deemed Table'!L4503</f>
        <v>1.0111111111111111</v>
      </c>
      <c r="AK349" s="2610"/>
      <c r="AL349" s="2610"/>
      <c r="AM349" s="1961">
        <f t="shared" ref="AM349" si="228">VLOOKUP(C349,$AS$10:$AT$33,2,FALSE)</f>
        <v>9.4741810000000004E-4</v>
      </c>
      <c r="AN349" s="84">
        <f t="shared" ref="AN349" si="229">AM349*K349</f>
        <v>4.4111786736000004E-2</v>
      </c>
      <c r="AO349" s="2611">
        <f t="shared" ref="AO349" si="230">AN349-O349</f>
        <v>-2.1326399999438417E-7</v>
      </c>
      <c r="AP349" s="1779"/>
    </row>
    <row r="350" spans="1:42" s="84" customFormat="1" x14ac:dyDescent="0.35">
      <c r="A350" s="1618" t="str">
        <f t="shared" si="159"/>
        <v>356600</v>
      </c>
      <c r="B350" s="1590" t="str">
        <f>'HVAC Deemed Table'!C4505</f>
        <v>356600_2022_12_</v>
      </c>
      <c r="C350" s="2609" t="str">
        <f>'HVAC Deemed Table'!G4505</f>
        <v>Cooling Res</v>
      </c>
      <c r="D350" s="2609" t="str">
        <f>'HVAC Deemed Table'!G4506</f>
        <v>Heating Res</v>
      </c>
      <c r="E350" s="1589" t="str">
        <f>'HVAC Deemed Table'!G4507</f>
        <v>Cooling Res ER2</v>
      </c>
      <c r="F350" s="1589" t="str">
        <f>'HVAC Deemed Table'!G4508</f>
        <v>Heating Res ER2</v>
      </c>
      <c r="G350" s="1590" t="str">
        <f>'HVAC Deemed Table'!E4505</f>
        <v>PTHP-SEER14-ER1_MF</v>
      </c>
      <c r="H350" s="1599" t="str">
        <f>'HVAC Deemed Table'!D4505</f>
        <v>MF</v>
      </c>
      <c r="I350" s="3589">
        <f t="shared" si="153"/>
        <v>1793.7</v>
      </c>
      <c r="J350" s="3589">
        <f t="shared" si="154"/>
        <v>275.96000000000004</v>
      </c>
      <c r="K350" s="3590">
        <f>'HVAC Deemed Table'!F4505</f>
        <v>505.03</v>
      </c>
      <c r="L350" s="3590">
        <f>'HVAC Deemed Table'!F4506</f>
        <v>1288.67</v>
      </c>
      <c r="M350" s="3590">
        <f>'HVAC Deemed Table'!F4507</f>
        <v>105.12</v>
      </c>
      <c r="N350" s="3590">
        <f>'HVAC Deemed Table'!F4508</f>
        <v>170.84</v>
      </c>
      <c r="O350" s="3591">
        <f t="shared" si="155"/>
        <v>0.47847499999999998</v>
      </c>
      <c r="P350" s="3591">
        <f t="shared" si="156"/>
        <v>9.9593000000000001E-2</v>
      </c>
      <c r="Q350" s="1600">
        <f>'HVAC Deemed Table'!I4505</f>
        <v>0.47847499999999998</v>
      </c>
      <c r="R350" s="1600">
        <f>'HVAC Deemed Table'!I4506</f>
        <v>0</v>
      </c>
      <c r="S350" s="1600">
        <f>'HVAC Deemed Table'!I4507</f>
        <v>9.9593000000000001E-2</v>
      </c>
      <c r="T350" s="1600">
        <f>'HVAC Deemed Table'!I4508</f>
        <v>0</v>
      </c>
      <c r="U350" s="1569"/>
      <c r="V350" s="1569"/>
      <c r="W350" s="1569">
        <f>P350</f>
        <v>9.9593000000000001E-2</v>
      </c>
      <c r="X350" s="1583">
        <f>'HVAC Deemed Table'!J4505</f>
        <v>5</v>
      </c>
      <c r="Y350" s="1583">
        <f>'HVAC Deemed Table'!J4507</f>
        <v>10</v>
      </c>
      <c r="Z350" s="1583">
        <f t="shared" si="161"/>
        <v>15</v>
      </c>
      <c r="AA350" s="322">
        <f>'HVAC Deemed Table'!BB4505</f>
        <v>2.7601778973312974</v>
      </c>
      <c r="AB350" s="1955">
        <f>'HVAC Deemed Table'!K4505</f>
        <v>224.93182686576984</v>
      </c>
      <c r="AC350" s="1964">
        <f t="shared" si="162"/>
        <v>439.37735662601318</v>
      </c>
      <c r="AD350" s="1964">
        <f t="shared" si="151"/>
        <v>146.60835070881254</v>
      </c>
      <c r="AE350" s="1604">
        <f>'HVAC Deemed Table'!BD4505</f>
        <v>263.51349998796206</v>
      </c>
      <c r="AF350" s="1604">
        <f>'HVAC Deemed Table'!BD4506</f>
        <v>175.86385663805112</v>
      </c>
      <c r="AG350" s="1604">
        <f>'HVAC Deemed Table'!BD4507</f>
        <v>104.31514131966506</v>
      </c>
      <c r="AH350" s="1604">
        <f>'HVAC Deemed Table'!BD4508</f>
        <v>42.293209389147485</v>
      </c>
      <c r="AI350" s="3366" t="str">
        <f t="shared" si="157"/>
        <v>per measure</v>
      </c>
      <c r="AJ350" s="96">
        <f>'HVAC Deemed Table'!L4505</f>
        <v>1.0111111111111111</v>
      </c>
      <c r="AK350" s="2610"/>
      <c r="AL350" s="2610"/>
      <c r="AM350" s="1961">
        <f t="shared" si="148"/>
        <v>9.4741810000000004E-4</v>
      </c>
      <c r="AN350" s="84">
        <f t="shared" si="152"/>
        <v>0.47847456304300001</v>
      </c>
      <c r="AO350" s="2611">
        <f t="shared" si="149"/>
        <v>-4.3695699997181592E-7</v>
      </c>
      <c r="AP350" s="1779"/>
    </row>
    <row r="351" spans="1:42" s="84" customFormat="1" x14ac:dyDescent="0.35">
      <c r="A351" s="1618" t="str">
        <f t="shared" si="159"/>
        <v>356625</v>
      </c>
      <c r="B351" s="1590" t="str">
        <f>'HVAC Deemed Table'!C4509</f>
        <v>356625_2022_12_</v>
      </c>
      <c r="C351" s="2609" t="str">
        <f>'HVAC Deemed Table'!G4509</f>
        <v>Cooling Res</v>
      </c>
      <c r="D351" s="2609" t="str">
        <f>'HVAC Deemed Table'!G4510</f>
        <v>Heating Res</v>
      </c>
      <c r="E351" s="1589" t="str">
        <f>'HVAC Deemed Table'!G4511</f>
        <v>Cooling Res ER2</v>
      </c>
      <c r="F351" s="1589" t="str">
        <f>'HVAC Deemed Table'!G4512</f>
        <v>Heating Res ER2</v>
      </c>
      <c r="G351" s="1590" t="str">
        <f>'HVAC Deemed Table'!E4509</f>
        <v>PTHP-SEER14-ER1_MF_CompE</v>
      </c>
      <c r="H351" s="1599" t="str">
        <f>'HVAC Deemed Table'!D4509</f>
        <v>MFc</v>
      </c>
      <c r="I351" s="3589">
        <f t="shared" si="153"/>
        <v>807.39</v>
      </c>
      <c r="J351" s="3589">
        <f t="shared" si="154"/>
        <v>134.82</v>
      </c>
      <c r="K351" s="3590">
        <f>'HVAC Deemed Table'!F4509</f>
        <v>367.51</v>
      </c>
      <c r="L351" s="3590">
        <f>'HVAC Deemed Table'!F4510</f>
        <v>439.88</v>
      </c>
      <c r="M351" s="3590">
        <f>'HVAC Deemed Table'!F4511</f>
        <v>76.5</v>
      </c>
      <c r="N351" s="3590">
        <f>'HVAC Deemed Table'!F4512</f>
        <v>58.32</v>
      </c>
      <c r="O351" s="3591">
        <f t="shared" si="155"/>
        <v>0.348186</v>
      </c>
      <c r="P351" s="3591">
        <f t="shared" si="156"/>
        <v>7.2477E-2</v>
      </c>
      <c r="Q351" s="1600">
        <f>'HVAC Deemed Table'!I4509</f>
        <v>0.348186</v>
      </c>
      <c r="R351" s="1600">
        <f>'HVAC Deemed Table'!I4510</f>
        <v>0</v>
      </c>
      <c r="S351" s="1600">
        <f>'HVAC Deemed Table'!I4511</f>
        <v>7.2477E-2</v>
      </c>
      <c r="T351" s="1600">
        <f>'HVAC Deemed Table'!I4512</f>
        <v>0</v>
      </c>
      <c r="U351" s="1569"/>
      <c r="V351" s="1569"/>
      <c r="W351" s="1569">
        <f>P351</f>
        <v>7.2477E-2</v>
      </c>
      <c r="X351" s="1583">
        <f>'HVAC Deemed Table'!J4509</f>
        <v>5</v>
      </c>
      <c r="Y351" s="1583">
        <f>'HVAC Deemed Table'!J4511</f>
        <v>10</v>
      </c>
      <c r="Z351" s="1583">
        <f t="shared" si="161"/>
        <v>15</v>
      </c>
      <c r="AA351" s="322">
        <f>'HVAC Deemed Table'!BB4509</f>
        <v>1.6115908217304964</v>
      </c>
      <c r="AB351" s="1955">
        <f>'HVAC Deemed Table'!K4509</f>
        <v>224.93182686576984</v>
      </c>
      <c r="AC351" s="1964">
        <f t="shared" si="162"/>
        <v>251.78870456249808</v>
      </c>
      <c r="AD351" s="1964">
        <f t="shared" si="151"/>
        <v>90.351991701728124</v>
      </c>
      <c r="AE351" s="1604">
        <f>'HVAC Deemed Table'!BD4509</f>
        <v>191.75860123275044</v>
      </c>
      <c r="AF351" s="1604">
        <f>'HVAC Deemed Table'!BD4510</f>
        <v>60.030103329747661</v>
      </c>
      <c r="AG351" s="1604">
        <f>'HVAC Deemed Table'!BD4511</f>
        <v>75.914272364482272</v>
      </c>
      <c r="AH351" s="1604">
        <f>'HVAC Deemed Table'!BD4512</f>
        <v>14.437719337245852</v>
      </c>
      <c r="AI351" s="3366" t="str">
        <f t="shared" si="157"/>
        <v>per measure</v>
      </c>
      <c r="AJ351" s="96">
        <f>'HVAC Deemed Table'!L4509</f>
        <v>1.0111111111111111</v>
      </c>
      <c r="AK351" s="2610"/>
      <c r="AL351" s="2610"/>
      <c r="AM351" s="1961">
        <f t="shared" si="148"/>
        <v>9.4741810000000004E-4</v>
      </c>
      <c r="AN351" s="84">
        <f t="shared" si="152"/>
        <v>0.348185625931</v>
      </c>
      <c r="AO351" s="2611">
        <f t="shared" si="149"/>
        <v>-3.7406899999758991E-7</v>
      </c>
      <c r="AP351" s="1779"/>
    </row>
    <row r="352" spans="1:42" s="84" customFormat="1" x14ac:dyDescent="0.35">
      <c r="A352" s="1618" t="str">
        <f t="shared" si="159"/>
        <v>356650</v>
      </c>
      <c r="B352" s="1590" t="str">
        <f>'HVAC Deemed Table'!C4513</f>
        <v>356650_2022_12_</v>
      </c>
      <c r="C352" s="2609" t="str">
        <f>'HVAC Deemed Table'!G4513</f>
        <v>Cooling Res</v>
      </c>
      <c r="D352" s="2609" t="str">
        <f>'HVAC Deemed Table'!G4514</f>
        <v>Heating Res</v>
      </c>
      <c r="E352" s="1589" t="str">
        <f>'HVAC Deemed Table'!G4515</f>
        <v>Cooling Res ER2</v>
      </c>
      <c r="F352" s="1589" t="str">
        <f>'HVAC Deemed Table'!G4516</f>
        <v>Heating Res ER2</v>
      </c>
      <c r="G352" s="1590" t="str">
        <f>'HVAC Deemed Table'!E4513</f>
        <v>PTHP-SEER14-Replace_PTAC_ElectricHeat_ER1_MF</v>
      </c>
      <c r="H352" s="1599" t="str">
        <f>'HVAC Deemed Table'!D4513</f>
        <v>MF</v>
      </c>
      <c r="I352" s="3589">
        <f t="shared" si="153"/>
        <v>3235.7400000000002</v>
      </c>
      <c r="J352" s="3589">
        <f t="shared" si="154"/>
        <v>2774.67</v>
      </c>
      <c r="K352" s="3590">
        <f>'HVAC Deemed Table'!F4513</f>
        <v>566.19000000000005</v>
      </c>
      <c r="L352" s="3590">
        <f>'HVAC Deemed Table'!F4514</f>
        <v>2669.55</v>
      </c>
      <c r="M352" s="3590">
        <f>'HVAC Deemed Table'!F4515</f>
        <v>105.12</v>
      </c>
      <c r="N352" s="3590">
        <f>'HVAC Deemed Table'!F4516</f>
        <v>2669.55</v>
      </c>
      <c r="O352" s="3591">
        <f t="shared" si="155"/>
        <v>0.53641899999999998</v>
      </c>
      <c r="P352" s="3591">
        <f t="shared" si="156"/>
        <v>9.9593000000000001E-2</v>
      </c>
      <c r="Q352" s="1600">
        <f>'HVAC Deemed Table'!I4513</f>
        <v>0.53641899999999998</v>
      </c>
      <c r="R352" s="1600">
        <f>'HVAC Deemed Table'!I4514</f>
        <v>0</v>
      </c>
      <c r="S352" s="1600">
        <f>'HVAC Deemed Table'!I4515</f>
        <v>9.9593000000000001E-2</v>
      </c>
      <c r="T352" s="1600">
        <f>'HVAC Deemed Table'!I4516</f>
        <v>0</v>
      </c>
      <c r="U352" s="1569"/>
      <c r="V352" s="1569"/>
      <c r="W352" s="1569">
        <f>P352</f>
        <v>9.9593000000000001E-2</v>
      </c>
      <c r="X352" s="1583">
        <f>'HVAC Deemed Table'!J4513</f>
        <v>5</v>
      </c>
      <c r="Y352" s="1583">
        <f>'HVAC Deemed Table'!J4515</f>
        <v>10</v>
      </c>
      <c r="Z352" s="1583">
        <f t="shared" si="161"/>
        <v>15</v>
      </c>
      <c r="AA352" s="322">
        <f>'HVAC Deemed Table'!BB4513</f>
        <v>6.7118558158101154</v>
      </c>
      <c r="AB352" s="1955">
        <f>'HVAC Deemed Table'!K4513</f>
        <v>224.93182686576984</v>
      </c>
      <c r="AC352" s="1964">
        <f t="shared" si="162"/>
        <v>659.73698205729363</v>
      </c>
      <c r="AD352" s="1964">
        <f t="shared" si="151"/>
        <v>765.18986108552008</v>
      </c>
      <c r="AE352" s="1604">
        <f>'HVAC Deemed Table'!BD4513</f>
        <v>295.4254372179559</v>
      </c>
      <c r="AF352" s="1604">
        <f>'HVAC Deemed Table'!BD4514</f>
        <v>364.31154483933773</v>
      </c>
      <c r="AG352" s="1604">
        <f>'HVAC Deemed Table'!BD4515</f>
        <v>104.31514131966506</v>
      </c>
      <c r="AH352" s="1604">
        <f>'HVAC Deemed Table'!BD4516</f>
        <v>660.87471976585505</v>
      </c>
      <c r="AI352" s="3366" t="str">
        <f t="shared" si="157"/>
        <v>per measure</v>
      </c>
      <c r="AJ352" s="96">
        <f>'HVAC Deemed Table'!L4513</f>
        <v>1.0111111111111111</v>
      </c>
      <c r="AK352" s="2610"/>
      <c r="AL352" s="2610"/>
      <c r="AM352" s="1961">
        <f t="shared" si="148"/>
        <v>9.4741810000000004E-4</v>
      </c>
      <c r="AN352" s="84">
        <f t="shared" si="152"/>
        <v>0.53641865403900002</v>
      </c>
      <c r="AO352" s="2611">
        <f t="shared" si="149"/>
        <v>-3.45960999958983E-7</v>
      </c>
      <c r="AP352" s="1779"/>
    </row>
    <row r="353" spans="1:42" s="84" customFormat="1" x14ac:dyDescent="0.35">
      <c r="A353" s="1618" t="str">
        <f t="shared" si="159"/>
        <v>356675</v>
      </c>
      <c r="B353" s="1590" t="str">
        <f>'HVAC Deemed Table'!C4517</f>
        <v>356675_2022_12_</v>
      </c>
      <c r="C353" s="2609" t="str">
        <f>'HVAC Deemed Table'!G4517</f>
        <v>Cooling Res</v>
      </c>
      <c r="D353" s="2609" t="str">
        <f>'HVAC Deemed Table'!G4518</f>
        <v>Heating Res</v>
      </c>
      <c r="E353" s="1589" t="str">
        <f>'HVAC Deemed Table'!G4519</f>
        <v>Cooling Res ER2</v>
      </c>
      <c r="F353" s="1589" t="str">
        <f>'HVAC Deemed Table'!G4520</f>
        <v>Heating Res ER2</v>
      </c>
      <c r="G353" s="1590" t="str">
        <f>'HVAC Deemed Table'!E4517</f>
        <v>PTHP-SEER14-Replace_PTAC_ElectricHeat_ER1_MF_CompE</v>
      </c>
      <c r="H353" s="1599" t="str">
        <f>'HVAC Deemed Table'!D4517</f>
        <v>MFc</v>
      </c>
      <c r="I353" s="3589">
        <f t="shared" si="153"/>
        <v>1323.26</v>
      </c>
      <c r="J353" s="3589">
        <f t="shared" si="154"/>
        <v>987.74</v>
      </c>
      <c r="K353" s="3590">
        <f>'HVAC Deemed Table'!F4517</f>
        <v>412.02</v>
      </c>
      <c r="L353" s="3590">
        <f>'HVAC Deemed Table'!F4518</f>
        <v>911.24</v>
      </c>
      <c r="M353" s="3590">
        <f>'HVAC Deemed Table'!F4519</f>
        <v>76.5</v>
      </c>
      <c r="N353" s="3590">
        <f>'HVAC Deemed Table'!F4520</f>
        <v>911.24</v>
      </c>
      <c r="O353" s="3591">
        <f t="shared" si="155"/>
        <v>0.39035500000000001</v>
      </c>
      <c r="P353" s="3591">
        <f t="shared" si="156"/>
        <v>7.2477E-2</v>
      </c>
      <c r="Q353" s="1600">
        <f>'HVAC Deemed Table'!I4517</f>
        <v>0.39035500000000001</v>
      </c>
      <c r="R353" s="1600">
        <f>'HVAC Deemed Table'!I4518</f>
        <v>0</v>
      </c>
      <c r="S353" s="1600">
        <f>'HVAC Deemed Table'!I4519</f>
        <v>7.2477E-2</v>
      </c>
      <c r="T353" s="1600">
        <f>'HVAC Deemed Table'!I4520</f>
        <v>0</v>
      </c>
      <c r="U353" s="1569"/>
      <c r="V353" s="1569"/>
      <c r="W353" s="1569">
        <f>P353</f>
        <v>7.2477E-2</v>
      </c>
      <c r="X353" s="1583">
        <f>'HVAC Deemed Table'!J4517</f>
        <v>5</v>
      </c>
      <c r="Y353" s="1583">
        <f>'HVAC Deemed Table'!J4519</f>
        <v>10</v>
      </c>
      <c r="Z353" s="1583">
        <f t="shared" si="161"/>
        <v>15</v>
      </c>
      <c r="AA353" s="322">
        <f>'HVAC Deemed Table'!BB4517</f>
        <v>3.0185606351731304</v>
      </c>
      <c r="AB353" s="1955">
        <f>'HVAC Deemed Table'!K4517</f>
        <v>224.93182686576984</v>
      </c>
      <c r="AC353" s="1964">
        <f t="shared" si="162"/>
        <v>339.33919553135246</v>
      </c>
      <c r="AD353" s="1964">
        <f t="shared" si="151"/>
        <v>301.50116140549585</v>
      </c>
      <c r="AE353" s="1604">
        <f>'HVAC Deemed Table'!BD4517</f>
        <v>214.98293619198887</v>
      </c>
      <c r="AF353" s="1604">
        <f>'HVAC Deemed Table'!BD4518</f>
        <v>124.3562593393636</v>
      </c>
      <c r="AG353" s="1604">
        <f>'HVAC Deemed Table'!BD4519</f>
        <v>75.914272364482272</v>
      </c>
      <c r="AH353" s="1604">
        <f>'HVAC Deemed Table'!BD4520</f>
        <v>225.58688904101356</v>
      </c>
      <c r="AI353" s="3366" t="str">
        <f t="shared" si="157"/>
        <v>per measure</v>
      </c>
      <c r="AJ353" s="96">
        <f>'HVAC Deemed Table'!L4517</f>
        <v>1.0111111111111111</v>
      </c>
      <c r="AK353" s="2610"/>
      <c r="AL353" s="2610"/>
      <c r="AM353" s="1961">
        <f t="shared" si="148"/>
        <v>9.4741810000000004E-4</v>
      </c>
      <c r="AN353" s="84">
        <f t="shared" si="152"/>
        <v>0.39035520556199998</v>
      </c>
      <c r="AO353" s="2611">
        <f t="shared" si="149"/>
        <v>2.0556199997745495E-7</v>
      </c>
      <c r="AP353" s="1779"/>
    </row>
    <row r="354" spans="1:42" s="84" customFormat="1" x14ac:dyDescent="0.35">
      <c r="A354" s="1618" t="str">
        <f t="shared" ref="A354" si="231">LEFT(B354,6)</f>
        <v>356700</v>
      </c>
      <c r="B354" s="1590" t="str">
        <f>'HVAC Deemed Table'!C4521</f>
        <v>356700_2022_12_</v>
      </c>
      <c r="C354" s="2609" t="str">
        <f>'HVAC Deemed Table'!G4521</f>
        <v>Cooling Res</v>
      </c>
      <c r="D354" s="2609" t="str">
        <f>'HVAC Deemed Table'!G4522</f>
        <v>Heating Res</v>
      </c>
      <c r="E354" s="1589"/>
      <c r="F354" s="1589"/>
      <c r="G354" s="1590" t="str">
        <f>'HVAC Deemed Table'!E4521</f>
        <v>PTHP-SEER14-ROF_MF</v>
      </c>
      <c r="H354" s="1599" t="str">
        <f>'HVAC Deemed Table'!D4521</f>
        <v>MF</v>
      </c>
      <c r="I354" s="3589">
        <f t="shared" ref="I354" si="232">K354+L354</f>
        <v>275.96000000000004</v>
      </c>
      <c r="J354" s="3589">
        <f t="shared" ref="J354" si="233">M354+N354</f>
        <v>134.82</v>
      </c>
      <c r="K354" s="3590">
        <f>'HVAC Deemed Table'!F4521</f>
        <v>105.12</v>
      </c>
      <c r="L354" s="3590">
        <f>'HVAC Deemed Table'!F4522</f>
        <v>170.84</v>
      </c>
      <c r="M354" s="3590">
        <f>'HVAC Deemed Table'!F4523</f>
        <v>76.5</v>
      </c>
      <c r="N354" s="3590">
        <f>'HVAC Deemed Table'!F4524</f>
        <v>58.32</v>
      </c>
      <c r="O354" s="3591">
        <f t="shared" ref="O354" si="234">Q354+R354</f>
        <v>9.9593000000000001E-2</v>
      </c>
      <c r="P354" s="3591">
        <f t="shared" ref="P354" si="235">S354+T354</f>
        <v>7.2477E-2</v>
      </c>
      <c r="Q354" s="1600">
        <f>'HVAC Deemed Table'!I4521</f>
        <v>9.9593000000000001E-2</v>
      </c>
      <c r="R354" s="1600">
        <f>'HVAC Deemed Table'!I4522</f>
        <v>0</v>
      </c>
      <c r="S354" s="1600">
        <f>'HVAC Deemed Table'!I4523</f>
        <v>7.2477E-2</v>
      </c>
      <c r="T354" s="1600">
        <f>'HVAC Deemed Table'!I4524</f>
        <v>0</v>
      </c>
      <c r="U354" s="1569"/>
      <c r="V354" s="1569"/>
      <c r="W354" s="1569">
        <f>P354</f>
        <v>7.2477E-2</v>
      </c>
      <c r="X354" s="1583">
        <f>'HVAC Deemed Table'!J4521</f>
        <v>15</v>
      </c>
      <c r="Y354" s="1583"/>
      <c r="Z354" s="1583">
        <f t="shared" ref="Z354" si="236">Y354+X354</f>
        <v>15</v>
      </c>
      <c r="AA354" s="322">
        <f>'HVAC Deemed Table'!BB4521</f>
        <v>2.8040267603790601</v>
      </c>
      <c r="AB354" s="1955">
        <f>'HVAC Deemed Table'!K4521</f>
        <v>84.93</v>
      </c>
      <c r="AC354" s="1964">
        <f t="shared" ref="AC354" si="237">AE354+AF354</f>
        <v>224.77205545917278</v>
      </c>
      <c r="AD354" s="1964">
        <f t="shared" ref="AD354" si="238">AG354+AH354</f>
        <v>138.2268900730196</v>
      </c>
      <c r="AE354" s="1604">
        <f>'HVAC Deemed Table'!BD4521</f>
        <v>159.16443565616945</v>
      </c>
      <c r="AF354" s="1604">
        <f>'HVAC Deemed Table'!BD4522</f>
        <v>65.607619803003331</v>
      </c>
      <c r="AG354" s="1604">
        <f>'HVAC Deemed Table'!BD4523</f>
        <v>115.83028279772604</v>
      </c>
      <c r="AH354" s="1604">
        <f>'HVAC Deemed Table'!BD4524</f>
        <v>22.396607275293572</v>
      </c>
      <c r="AI354" s="3366" t="str">
        <f t="shared" si="157"/>
        <v>per measure</v>
      </c>
      <c r="AJ354" s="96">
        <f>'HVAC Deemed Table'!L4521</f>
        <v>1.0111111111111111</v>
      </c>
      <c r="AK354" s="2610"/>
      <c r="AL354" s="2610"/>
      <c r="AM354" s="1961">
        <f t="shared" ref="AM354" si="239">VLOOKUP(C354,$AS$10:$AT$33,2,FALSE)</f>
        <v>9.4741810000000004E-4</v>
      </c>
      <c r="AN354" s="84">
        <f t="shared" ref="AN354" si="240">AM354*K354</f>
        <v>9.9592590672000006E-2</v>
      </c>
      <c r="AO354" s="2611">
        <f t="shared" ref="AO354" si="241">AN354-O354</f>
        <v>-4.093279999950461E-7</v>
      </c>
      <c r="AP354" s="1779"/>
    </row>
    <row r="355" spans="1:42" s="84" customFormat="1" x14ac:dyDescent="0.35">
      <c r="A355" s="1618" t="str">
        <f t="shared" ref="A355" si="242">LEFT(B355,6)</f>
        <v>356725</v>
      </c>
      <c r="B355" s="1590" t="str">
        <f>'HVAC Deemed Table'!C4523</f>
        <v>356725_2022_12_</v>
      </c>
      <c r="C355" s="2609" t="str">
        <f>'HVAC Deemed Table'!G4523</f>
        <v>Cooling Res</v>
      </c>
      <c r="D355" s="2609" t="str">
        <f>'HVAC Deemed Table'!G4524</f>
        <v>Heating Res</v>
      </c>
      <c r="E355" s="1589"/>
      <c r="F355" s="1589"/>
      <c r="G355" s="1590" t="str">
        <f>'HVAC Deemed Table'!E4523</f>
        <v>PTHP-SEER14-ROF_MF_CompE</v>
      </c>
      <c r="H355" s="1599" t="str">
        <f>'HVAC Deemed Table'!D4523</f>
        <v>MFc</v>
      </c>
      <c r="I355" s="3589">
        <f t="shared" ref="I355" si="243">K355+L355</f>
        <v>134.82</v>
      </c>
      <c r="J355" s="3589">
        <f t="shared" ref="J355" si="244">M355+N355</f>
        <v>2774.67</v>
      </c>
      <c r="K355" s="3590">
        <f>'HVAC Deemed Table'!F4523</f>
        <v>76.5</v>
      </c>
      <c r="L355" s="3590">
        <f>'HVAC Deemed Table'!F4524</f>
        <v>58.32</v>
      </c>
      <c r="M355" s="3590">
        <f>'HVAC Deemed Table'!F4525</f>
        <v>105.12</v>
      </c>
      <c r="N355" s="3590">
        <f>'HVAC Deemed Table'!F4526</f>
        <v>2669.55</v>
      </c>
      <c r="O355" s="3591">
        <f t="shared" ref="O355" si="245">Q355+R355</f>
        <v>7.2477E-2</v>
      </c>
      <c r="P355" s="3591">
        <f t="shared" ref="P355" si="246">S355+T355</f>
        <v>9.9593000000000001E-2</v>
      </c>
      <c r="Q355" s="1600">
        <f>'HVAC Deemed Table'!I4523</f>
        <v>7.2477E-2</v>
      </c>
      <c r="R355" s="1600">
        <f>'HVAC Deemed Table'!I4524</f>
        <v>0</v>
      </c>
      <c r="S355" s="1600">
        <f>'HVAC Deemed Table'!I4525</f>
        <v>9.9593000000000001E-2</v>
      </c>
      <c r="T355" s="1600">
        <f>'HVAC Deemed Table'!I4526</f>
        <v>0</v>
      </c>
      <c r="U355" s="1569"/>
      <c r="V355" s="1569"/>
      <c r="W355" s="1569">
        <f t="shared" ref="W355" si="247">P355</f>
        <v>9.9593000000000001E-2</v>
      </c>
      <c r="X355" s="1583">
        <f>'HVAC Deemed Table'!J4523</f>
        <v>15</v>
      </c>
      <c r="Y355" s="1583"/>
      <c r="Z355" s="1583">
        <f t="shared" ref="Z355" si="248">Y355+X355</f>
        <v>15</v>
      </c>
      <c r="AA355" s="322">
        <f>'HVAC Deemed Table'!BB4523</f>
        <v>1.7243776054676119</v>
      </c>
      <c r="AB355" s="1955">
        <f>'HVAC Deemed Table'!K4523</f>
        <v>84.93</v>
      </c>
      <c r="AC355" s="1964">
        <f t="shared" ref="AC355" si="249">AE355+AF355</f>
        <v>138.2268900730196</v>
      </c>
      <c r="AD355" s="1964">
        <f t="shared" ref="AD355" si="250">AG355+AH355</f>
        <v>1184.350700261107</v>
      </c>
      <c r="AE355" s="1604">
        <f>'HVAC Deemed Table'!BD4523</f>
        <v>115.83028279772604</v>
      </c>
      <c r="AF355" s="1604">
        <f>'HVAC Deemed Table'!BD4524</f>
        <v>22.396607275293572</v>
      </c>
      <c r="AG355" s="1604">
        <f>'HVAC Deemed Table'!BD4525</f>
        <v>159.16443565616945</v>
      </c>
      <c r="AH355" s="1604">
        <f>'HVAC Deemed Table'!BD4526</f>
        <v>1025.1862646049376</v>
      </c>
      <c r="AI355" s="3366" t="str">
        <f t="shared" si="157"/>
        <v>per measure</v>
      </c>
      <c r="AJ355" s="96">
        <f>'HVAC Deemed Table'!L4523</f>
        <v>1.0111111111111111</v>
      </c>
      <c r="AK355" s="2610"/>
      <c r="AL355" s="2610"/>
      <c r="AM355" s="1961">
        <f t="shared" ref="AM355" si="251">VLOOKUP(C355,$AS$10:$AT$33,2,FALSE)</f>
        <v>9.4741810000000004E-4</v>
      </c>
      <c r="AN355" s="84">
        <f t="shared" ref="AN355" si="252">AM355*K355</f>
        <v>7.2477484650000007E-2</v>
      </c>
      <c r="AO355" s="2611">
        <f t="shared" ref="AO355" si="253">AN355-O355</f>
        <v>4.8465000000719183E-7</v>
      </c>
      <c r="AP355" s="1779"/>
    </row>
    <row r="356" spans="1:42" s="84" customFormat="1" x14ac:dyDescent="0.35">
      <c r="A356" s="1618" t="str">
        <f t="shared" si="159"/>
        <v>356750</v>
      </c>
      <c r="B356" s="1590" t="str">
        <f>'HVAC Deemed Table'!C4525</f>
        <v>356750_2022_12_</v>
      </c>
      <c r="C356" s="2609" t="str">
        <f>'HVAC Deemed Table'!G4525</f>
        <v>Cooling Res</v>
      </c>
      <c r="D356" s="2609" t="str">
        <f>'HVAC Deemed Table'!G4526</f>
        <v>Heating Res</v>
      </c>
      <c r="E356" s="1589"/>
      <c r="F356" s="1589"/>
      <c r="G356" s="1590" t="str">
        <f>'HVAC Deemed Table'!E4525</f>
        <v>PTHP-SEER14-Replace_PTAC_ElectricHeat_ROF_MF</v>
      </c>
      <c r="H356" s="1599" t="str">
        <f>'HVAC Deemed Table'!D4525</f>
        <v>MF</v>
      </c>
      <c r="I356" s="3589">
        <f t="shared" si="153"/>
        <v>2774.67</v>
      </c>
      <c r="J356" s="3589">
        <f t="shared" si="154"/>
        <v>0</v>
      </c>
      <c r="K356" s="3590">
        <f>'HVAC Deemed Table'!F4525</f>
        <v>105.12</v>
      </c>
      <c r="L356" s="3590">
        <f>'HVAC Deemed Table'!F4526</f>
        <v>2669.55</v>
      </c>
      <c r="M356" s="3590"/>
      <c r="N356" s="3590"/>
      <c r="O356" s="3591">
        <f t="shared" si="155"/>
        <v>9.9593000000000001E-2</v>
      </c>
      <c r="P356" s="3591">
        <f t="shared" si="156"/>
        <v>0</v>
      </c>
      <c r="Q356" s="1600">
        <f>'HVAC Deemed Table'!I4525</f>
        <v>9.9593000000000001E-2</v>
      </c>
      <c r="R356" s="1600">
        <f>'HVAC Deemed Table'!I4526</f>
        <v>0</v>
      </c>
      <c r="S356" s="1600"/>
      <c r="T356" s="1600"/>
      <c r="U356" s="1569"/>
      <c r="V356" s="1569"/>
      <c r="W356" s="1569">
        <f>O356</f>
        <v>9.9593000000000001E-2</v>
      </c>
      <c r="X356" s="1583">
        <f>'HVAC Deemed Table'!J4525</f>
        <v>15</v>
      </c>
      <c r="Y356" s="1583"/>
      <c r="Z356" s="1583">
        <f t="shared" si="161"/>
        <v>15</v>
      </c>
      <c r="AA356" s="322">
        <f>'HVAC Deemed Table'!BB4525</f>
        <v>14.774750581969187</v>
      </c>
      <c r="AB356" s="1955">
        <f>'HVAC Deemed Table'!K4525</f>
        <v>84.93</v>
      </c>
      <c r="AC356" s="1964">
        <f t="shared" si="162"/>
        <v>1184.350700261107</v>
      </c>
      <c r="AD356" s="1964">
        <f t="shared" si="151"/>
        <v>0</v>
      </c>
      <c r="AE356" s="1604">
        <f>'HVAC Deemed Table'!BD4525</f>
        <v>159.16443565616945</v>
      </c>
      <c r="AF356" s="1604">
        <f>'HVAC Deemed Table'!BD4526</f>
        <v>1025.1862646049376</v>
      </c>
      <c r="AG356" s="1604"/>
      <c r="AH356" s="1604"/>
      <c r="AI356" s="3366" t="str">
        <f t="shared" si="157"/>
        <v>per measure</v>
      </c>
      <c r="AJ356" s="96">
        <f>'HVAC Deemed Table'!L4525</f>
        <v>1.0111111111111111</v>
      </c>
      <c r="AK356" s="2610"/>
      <c r="AL356" s="2610"/>
      <c r="AM356" s="1961">
        <f t="shared" si="148"/>
        <v>9.4741810000000004E-4</v>
      </c>
      <c r="AN356" s="84">
        <f t="shared" si="152"/>
        <v>9.9592590672000006E-2</v>
      </c>
      <c r="AO356" s="2611">
        <f t="shared" si="149"/>
        <v>-4.093279999950461E-7</v>
      </c>
      <c r="AP356" s="1779"/>
    </row>
    <row r="357" spans="1:42" s="84" customFormat="1" x14ac:dyDescent="0.35">
      <c r="A357" s="1618" t="str">
        <f t="shared" ref="A357" si="254">LEFT(B357,6)</f>
        <v>356775</v>
      </c>
      <c r="B357" s="1590" t="str">
        <f>'HVAC Deemed Table'!C4527</f>
        <v>356775_2022_12_</v>
      </c>
      <c r="C357" s="2609" t="str">
        <f>'HVAC Deemed Table'!G4527</f>
        <v>Cooling Res</v>
      </c>
      <c r="D357" s="2609" t="str">
        <f>'HVAC Deemed Table'!G4528</f>
        <v>Heating Res</v>
      </c>
      <c r="E357" s="1589"/>
      <c r="F357" s="1589"/>
      <c r="G357" s="1590" t="str">
        <f>'HVAC Deemed Table'!E4527</f>
        <v>PTHP-SEER14-Replace_PTAC_ElectricHeat_ROF_MF_CompE</v>
      </c>
      <c r="H357" s="1599" t="str">
        <f>'HVAC Deemed Table'!D4527</f>
        <v>MFc</v>
      </c>
      <c r="I357" s="3589">
        <f t="shared" ref="I357" si="255">K357+L357</f>
        <v>987.74</v>
      </c>
      <c r="J357" s="3589">
        <f t="shared" ref="J357" si="256">M357+N357</f>
        <v>0</v>
      </c>
      <c r="K357" s="3590">
        <f>'HVAC Deemed Table'!F4527</f>
        <v>76.5</v>
      </c>
      <c r="L357" s="3590">
        <f>'HVAC Deemed Table'!F4528</f>
        <v>911.24</v>
      </c>
      <c r="M357" s="3590"/>
      <c r="N357" s="3590"/>
      <c r="O357" s="3591">
        <f t="shared" ref="O357" si="257">Q357+R357</f>
        <v>7.2477E-2</v>
      </c>
      <c r="P357" s="3591">
        <f t="shared" ref="P357" si="258">S357+T357</f>
        <v>0</v>
      </c>
      <c r="Q357" s="1600">
        <f>'HVAC Deemed Table'!I4527</f>
        <v>7.2477E-2</v>
      </c>
      <c r="R357" s="1600">
        <f>'HVAC Deemed Table'!I4528</f>
        <v>0</v>
      </c>
      <c r="S357" s="1600"/>
      <c r="T357" s="1600"/>
      <c r="U357" s="1569"/>
      <c r="V357" s="1569"/>
      <c r="W357" s="1569">
        <f t="shared" ref="W357" si="259">O357</f>
        <v>7.2477E-2</v>
      </c>
      <c r="X357" s="1583">
        <f>'HVAC Deemed Table'!J4527</f>
        <v>15</v>
      </c>
      <c r="Y357" s="1583"/>
      <c r="Z357" s="1583">
        <f t="shared" ref="Z357" si="260">Y357+X357</f>
        <v>15</v>
      </c>
      <c r="AA357" s="322">
        <f>'HVAC Deemed Table'!BB4527</f>
        <v>5.8105139565890509</v>
      </c>
      <c r="AB357" s="1955">
        <f>'HVAC Deemed Table'!K4527</f>
        <v>84.93</v>
      </c>
      <c r="AC357" s="1964">
        <f t="shared" ref="AC357" si="261">AE357+AF357</f>
        <v>465.7734311780161</v>
      </c>
      <c r="AD357" s="1964">
        <f t="shared" ref="AD357" si="262">AG357+AH357</f>
        <v>0</v>
      </c>
      <c r="AE357" s="1604">
        <f>'HVAC Deemed Table'!BD4527</f>
        <v>115.83028279772604</v>
      </c>
      <c r="AF357" s="1604">
        <f>'HVAC Deemed Table'!BD4528</f>
        <v>349.94314838029004</v>
      </c>
      <c r="AG357" s="1604"/>
      <c r="AH357" s="1604"/>
      <c r="AI357" s="3366" t="str">
        <f t="shared" si="157"/>
        <v>per measure</v>
      </c>
      <c r="AJ357" s="96">
        <f>'HVAC Deemed Table'!L4527</f>
        <v>1.0111111111111111</v>
      </c>
      <c r="AK357" s="2610"/>
      <c r="AL357" s="2610"/>
      <c r="AM357" s="1961">
        <f t="shared" ref="AM357" si="263">VLOOKUP(C357,$AS$10:$AT$33,2,FALSE)</f>
        <v>9.4741810000000004E-4</v>
      </c>
      <c r="AN357" s="84">
        <f t="shared" ref="AN357" si="264">AM357*K357</f>
        <v>7.2477484650000007E-2</v>
      </c>
      <c r="AO357" s="2611">
        <f t="shared" ref="AO357" si="265">AN357-O357</f>
        <v>4.8465000000719183E-7</v>
      </c>
      <c r="AP357" s="1779"/>
    </row>
    <row r="358" spans="1:42" s="84" customFormat="1" x14ac:dyDescent="0.35">
      <c r="A358" s="1618" t="str">
        <f t="shared" si="159"/>
        <v>356800</v>
      </c>
      <c r="B358" s="1590" t="str">
        <f>'HVAC Deemed Table'!C4529</f>
        <v>356800_2022_12_</v>
      </c>
      <c r="C358" s="2609" t="str">
        <f>'HVAC Deemed Table'!G4529</f>
        <v>Cooling Res</v>
      </c>
      <c r="D358" s="2609" t="str">
        <f>'HVAC Deemed Table'!G4530</f>
        <v>Heating Res</v>
      </c>
      <c r="E358" s="1589" t="str">
        <f>'HVAC Deemed Table'!G4531</f>
        <v>Cooling Res ER2</v>
      </c>
      <c r="F358" s="1589" t="str">
        <f>'HVAC Deemed Table'!G4532</f>
        <v>Heating Res ER2</v>
      </c>
      <c r="G358" s="1590" t="str">
        <f>'HVAC Deemed Table'!E4529</f>
        <v>PTHP-SEER15-ER1_MF</v>
      </c>
      <c r="H358" s="1599" t="str">
        <f>'HVAC Deemed Table'!D4529</f>
        <v>MF</v>
      </c>
      <c r="I358" s="3589">
        <f t="shared" si="153"/>
        <v>1869.02</v>
      </c>
      <c r="J358" s="3589">
        <f t="shared" si="154"/>
        <v>351.29</v>
      </c>
      <c r="K358" s="3590">
        <f>'HVAC Deemed Table'!F4529</f>
        <v>540.66999999999996</v>
      </c>
      <c r="L358" s="3590">
        <f>'HVAC Deemed Table'!F4530</f>
        <v>1328.35</v>
      </c>
      <c r="M358" s="3590">
        <f>'HVAC Deemed Table'!F4531</f>
        <v>140.77000000000001</v>
      </c>
      <c r="N358" s="3590">
        <f>'HVAC Deemed Table'!F4532</f>
        <v>210.52</v>
      </c>
      <c r="O358" s="3591">
        <f t="shared" si="155"/>
        <v>0.51224099999999995</v>
      </c>
      <c r="P358" s="3591">
        <f t="shared" si="156"/>
        <v>0.13336799999999999</v>
      </c>
      <c r="Q358" s="1600">
        <f>'HVAC Deemed Table'!I4529</f>
        <v>0.51224099999999995</v>
      </c>
      <c r="R358" s="1600">
        <f>'HVAC Deemed Table'!I4530</f>
        <v>0</v>
      </c>
      <c r="S358" s="1600">
        <f>'HVAC Deemed Table'!I4531</f>
        <v>0.13336799999999999</v>
      </c>
      <c r="T358" s="1600">
        <f>'HVAC Deemed Table'!I4532</f>
        <v>0</v>
      </c>
      <c r="U358" s="1569"/>
      <c r="V358" s="1569"/>
      <c r="W358" s="1569">
        <f t="shared" ref="W358:W363" si="266">P358</f>
        <v>0.13336799999999999</v>
      </c>
      <c r="X358" s="1583">
        <f>'HVAC Deemed Table'!J4529</f>
        <v>5</v>
      </c>
      <c r="Y358" s="1583">
        <f>'HVAC Deemed Table'!J4531</f>
        <v>10</v>
      </c>
      <c r="Z358" s="1583">
        <f t="shared" si="161"/>
        <v>15</v>
      </c>
      <c r="AA358" s="322">
        <f>'HVAC Deemed Table'!BB4529</f>
        <v>3.0861859541139225</v>
      </c>
      <c r="AB358" s="1955">
        <f>'HVAC Deemed Table'!K4529</f>
        <v>224.93182686576984</v>
      </c>
      <c r="AC358" s="1964">
        <f t="shared" si="162"/>
        <v>463.38862219622411</v>
      </c>
      <c r="AD358" s="1964">
        <f t="shared" si="151"/>
        <v>191.80858847515253</v>
      </c>
      <c r="AE358" s="1604">
        <f>'HVAC Deemed Table'!BD4529</f>
        <v>282.10966484860592</v>
      </c>
      <c r="AF358" s="1604">
        <f>'HVAC Deemed Table'!BD4530</f>
        <v>181.27895734761822</v>
      </c>
      <c r="AG358" s="1604">
        <f>'HVAC Deemed Table'!BD4531</f>
        <v>139.69218458494339</v>
      </c>
      <c r="AH358" s="1604">
        <f>'HVAC Deemed Table'!BD4532</f>
        <v>52.116403890209142</v>
      </c>
      <c r="AI358" s="3366" t="str">
        <f t="shared" si="157"/>
        <v>per measure</v>
      </c>
      <c r="AJ358" s="96">
        <f>'HVAC Deemed Table'!L4529</f>
        <v>1.0111111111111111</v>
      </c>
      <c r="AK358" s="2610"/>
      <c r="AL358" s="2610"/>
      <c r="AM358" s="1961">
        <f t="shared" ref="AM358:AM405" si="267">VLOOKUP(C358,$AS$10:$AT$33,2,FALSE)</f>
        <v>9.4741810000000004E-4</v>
      </c>
      <c r="AN358" s="84">
        <f t="shared" si="152"/>
        <v>0.51224054412699993</v>
      </c>
      <c r="AO358" s="2611">
        <f t="shared" ref="AO358:AO405" si="268">AN358-O358</f>
        <v>-4.5587300001592723E-7</v>
      </c>
      <c r="AP358" s="1779"/>
    </row>
    <row r="359" spans="1:42" s="84" customFormat="1" x14ac:dyDescent="0.35">
      <c r="A359" s="1618" t="str">
        <f t="shared" si="159"/>
        <v>356825</v>
      </c>
      <c r="B359" s="1590" t="str">
        <f>'HVAC Deemed Table'!C4533</f>
        <v>356825_2022_12_</v>
      </c>
      <c r="C359" s="2609" t="str">
        <f>'HVAC Deemed Table'!G4533</f>
        <v>Cooling Res</v>
      </c>
      <c r="D359" s="2609" t="str">
        <f>'HVAC Deemed Table'!G4534</f>
        <v>Heating Res</v>
      </c>
      <c r="E359" s="1589" t="str">
        <f>'HVAC Deemed Table'!G4535</f>
        <v>Cooling Res ER2</v>
      </c>
      <c r="F359" s="1589" t="str">
        <f>'HVAC Deemed Table'!G4536</f>
        <v>Heating Res ER2</v>
      </c>
      <c r="G359" s="1590" t="str">
        <f>'HVAC Deemed Table'!E4533</f>
        <v>PTHP-SEER15-ER1_MF_CompE</v>
      </c>
      <c r="H359" s="1599" t="str">
        <f>'HVAC Deemed Table'!D4533</f>
        <v>MFc</v>
      </c>
      <c r="I359" s="3589">
        <f t="shared" si="153"/>
        <v>846.89</v>
      </c>
      <c r="J359" s="3589">
        <f t="shared" si="154"/>
        <v>174.3</v>
      </c>
      <c r="K359" s="3590">
        <f>'HVAC Deemed Table'!F4533</f>
        <v>393.46</v>
      </c>
      <c r="L359" s="3590">
        <f>'HVAC Deemed Table'!F4534</f>
        <v>453.43</v>
      </c>
      <c r="M359" s="3590">
        <f>'HVAC Deemed Table'!F4535</f>
        <v>102.44</v>
      </c>
      <c r="N359" s="3590">
        <f>'HVAC Deemed Table'!F4536</f>
        <v>71.86</v>
      </c>
      <c r="O359" s="3591">
        <f t="shared" si="155"/>
        <v>0.37277100000000002</v>
      </c>
      <c r="P359" s="3591">
        <f t="shared" si="156"/>
        <v>9.7054000000000001E-2</v>
      </c>
      <c r="Q359" s="1600">
        <f>'HVAC Deemed Table'!I4533</f>
        <v>0.37277100000000002</v>
      </c>
      <c r="R359" s="1600">
        <f>'HVAC Deemed Table'!I4534</f>
        <v>0</v>
      </c>
      <c r="S359" s="1600">
        <f>'HVAC Deemed Table'!I4535</f>
        <v>9.7054000000000001E-2</v>
      </c>
      <c r="T359" s="1600">
        <f>'HVAC Deemed Table'!I4536</f>
        <v>0</v>
      </c>
      <c r="U359" s="1569"/>
      <c r="V359" s="1569"/>
      <c r="W359" s="1569">
        <f t="shared" si="266"/>
        <v>9.7054000000000001E-2</v>
      </c>
      <c r="X359" s="1583">
        <f>'HVAC Deemed Table'!J4533</f>
        <v>5</v>
      </c>
      <c r="Y359" s="1583">
        <f>'HVAC Deemed Table'!J4535</f>
        <v>10</v>
      </c>
      <c r="Z359" s="1583">
        <f t="shared" si="161"/>
        <v>15</v>
      </c>
      <c r="AA359" s="322">
        <f>'HVAC Deemed Table'!BB4533</f>
        <v>1.8211181685085549</v>
      </c>
      <c r="AB359" s="1955">
        <f>'HVAC Deemed Table'!K4533</f>
        <v>224.93182686576984</v>
      </c>
      <c r="AC359" s="1964">
        <f t="shared" si="162"/>
        <v>267.17800006937796</v>
      </c>
      <c r="AD359" s="1964">
        <f t="shared" si="151"/>
        <v>119.44534734079107</v>
      </c>
      <c r="AE359" s="1604">
        <f>'HVAC Deemed Table'!BD4533</f>
        <v>205.29873810518893</v>
      </c>
      <c r="AF359" s="1604">
        <f>'HVAC Deemed Table'!BD4534</f>
        <v>61.879261964189055</v>
      </c>
      <c r="AG359" s="1604">
        <f>'HVAC Deemed Table'!BD4535</f>
        <v>101.65566092833417</v>
      </c>
      <c r="AH359" s="1604">
        <f>'HVAC Deemed Table'!BD4536</f>
        <v>17.789686412456909</v>
      </c>
      <c r="AI359" s="3366" t="str">
        <f t="shared" si="157"/>
        <v>per measure</v>
      </c>
      <c r="AJ359" s="96">
        <f>'HVAC Deemed Table'!L4533</f>
        <v>1.0111111111111111</v>
      </c>
      <c r="AK359" s="2610"/>
      <c r="AL359" s="2610"/>
      <c r="AM359" s="1961">
        <f t="shared" si="267"/>
        <v>9.4741810000000004E-4</v>
      </c>
      <c r="AN359" s="84">
        <f t="shared" si="152"/>
        <v>0.37277112562600001</v>
      </c>
      <c r="AO359" s="2611">
        <f t="shared" si="268"/>
        <v>1.2562599999155211E-7</v>
      </c>
      <c r="AP359" s="1779"/>
    </row>
    <row r="360" spans="1:42" s="84" customFormat="1" x14ac:dyDescent="0.35">
      <c r="A360" s="1618" t="str">
        <f t="shared" si="159"/>
        <v>356850</v>
      </c>
      <c r="B360" s="1590" t="str">
        <f>'HVAC Deemed Table'!C4537</f>
        <v>356850_2022_12_</v>
      </c>
      <c r="C360" s="2609" t="str">
        <f>'HVAC Deemed Table'!G4537</f>
        <v>Cooling Res</v>
      </c>
      <c r="D360" s="2609" t="str">
        <f>'HVAC Deemed Table'!G4538</f>
        <v>Heating Res</v>
      </c>
      <c r="E360" s="1589" t="str">
        <f>'HVAC Deemed Table'!G4539</f>
        <v>Cooling Res ER2</v>
      </c>
      <c r="F360" s="1589" t="str">
        <f>'HVAC Deemed Table'!G4540</f>
        <v>Heating Res ER2</v>
      </c>
      <c r="G360" s="1590" t="str">
        <f>'HVAC Deemed Table'!E4537</f>
        <v>PTHP-SEER15-Replace_PTAC_ElectricHeat_ER1_MF</v>
      </c>
      <c r="H360" s="1599" t="str">
        <f>'HVAC Deemed Table'!D4537</f>
        <v>MF</v>
      </c>
      <c r="I360" s="3589">
        <f t="shared" si="153"/>
        <v>3311.07</v>
      </c>
      <c r="J360" s="3589">
        <f t="shared" si="154"/>
        <v>2850</v>
      </c>
      <c r="K360" s="3590">
        <f>'HVAC Deemed Table'!F4537</f>
        <v>601.84</v>
      </c>
      <c r="L360" s="3590">
        <f>'HVAC Deemed Table'!F4538</f>
        <v>2709.23</v>
      </c>
      <c r="M360" s="3590">
        <f>'HVAC Deemed Table'!F4539</f>
        <v>140.77000000000001</v>
      </c>
      <c r="N360" s="3590">
        <f>'HVAC Deemed Table'!F4540</f>
        <v>2709.23</v>
      </c>
      <c r="O360" s="3591">
        <f t="shared" si="155"/>
        <v>0.57019399999999998</v>
      </c>
      <c r="P360" s="3591">
        <f t="shared" si="156"/>
        <v>0.13336799999999999</v>
      </c>
      <c r="Q360" s="1600">
        <f>'HVAC Deemed Table'!I4537</f>
        <v>0.57019399999999998</v>
      </c>
      <c r="R360" s="1600">
        <f>'HVAC Deemed Table'!I4538</f>
        <v>0</v>
      </c>
      <c r="S360" s="1600">
        <f>'HVAC Deemed Table'!I4539</f>
        <v>0.13336799999999999</v>
      </c>
      <c r="T360" s="1600">
        <f>'HVAC Deemed Table'!I4540</f>
        <v>0</v>
      </c>
      <c r="U360" s="1569"/>
      <c r="V360" s="1569"/>
      <c r="W360" s="1569">
        <f t="shared" si="266"/>
        <v>0.13336799999999999</v>
      </c>
      <c r="X360" s="1583">
        <f>'HVAC Deemed Table'!J4537</f>
        <v>5</v>
      </c>
      <c r="Y360" s="1583">
        <f>'HVAC Deemed Table'!J4539</f>
        <v>10</v>
      </c>
      <c r="Z360" s="1583">
        <f t="shared" si="161"/>
        <v>15</v>
      </c>
      <c r="AA360" s="322">
        <f>'HVAC Deemed Table'!BB4537</f>
        <v>7.0378884499817111</v>
      </c>
      <c r="AB360" s="1955">
        <f>'HVAC Deemed Table'!K4537</f>
        <v>224.93182686576984</v>
      </c>
      <c r="AC360" s="1964">
        <f t="shared" si="162"/>
        <v>683.75346540664623</v>
      </c>
      <c r="AD360" s="1964">
        <f t="shared" si="151"/>
        <v>810.3900988518601</v>
      </c>
      <c r="AE360" s="1604">
        <f>'HVAC Deemed Table'!BD4537</f>
        <v>314.02681985774137</v>
      </c>
      <c r="AF360" s="1604">
        <f>'HVAC Deemed Table'!BD4538</f>
        <v>369.72664554890486</v>
      </c>
      <c r="AG360" s="1604">
        <f>'HVAC Deemed Table'!BD4539</f>
        <v>139.69218458494339</v>
      </c>
      <c r="AH360" s="1604">
        <f>'HVAC Deemed Table'!BD4540</f>
        <v>670.69791426691665</v>
      </c>
      <c r="AI360" s="3366" t="str">
        <f t="shared" si="157"/>
        <v>per measure</v>
      </c>
      <c r="AJ360" s="96">
        <f>'HVAC Deemed Table'!L4537</f>
        <v>1.0111111111111111</v>
      </c>
      <c r="AK360" s="2610"/>
      <c r="AL360" s="2610"/>
      <c r="AM360" s="1961">
        <f t="shared" si="267"/>
        <v>9.4741810000000004E-4</v>
      </c>
      <c r="AN360" s="84">
        <f t="shared" si="152"/>
        <v>0.57019410930400005</v>
      </c>
      <c r="AO360" s="2611">
        <f t="shared" si="268"/>
        <v>1.0930400007325147E-7</v>
      </c>
      <c r="AP360" s="1779"/>
    </row>
    <row r="361" spans="1:42" s="84" customFormat="1" x14ac:dyDescent="0.35">
      <c r="A361" s="1618" t="str">
        <f t="shared" si="159"/>
        <v>356875</v>
      </c>
      <c r="B361" s="1590" t="str">
        <f>'HVAC Deemed Table'!C4541</f>
        <v>356875_2022_12_</v>
      </c>
      <c r="C361" s="2609" t="str">
        <f>'HVAC Deemed Table'!G4541</f>
        <v>Cooling Res</v>
      </c>
      <c r="D361" s="2609" t="str">
        <f>'HVAC Deemed Table'!G4542</f>
        <v>Heating Res</v>
      </c>
      <c r="E361" s="1589" t="str">
        <f>'HVAC Deemed Table'!G4543</f>
        <v>Cooling Res ER2</v>
      </c>
      <c r="F361" s="1589" t="str">
        <f>'HVAC Deemed Table'!G4544</f>
        <v>Heating Res ER2</v>
      </c>
      <c r="G361" s="1590" t="str">
        <f>'HVAC Deemed Table'!E4541</f>
        <v>PTHP-SEER15-Replace_PTAC_ElectricHeat_ER1_MF_CompE</v>
      </c>
      <c r="H361" s="1599" t="str">
        <f>'HVAC Deemed Table'!D4541</f>
        <v>MFc</v>
      </c>
      <c r="I361" s="3589">
        <f t="shared" si="153"/>
        <v>1362.76</v>
      </c>
      <c r="J361" s="3589">
        <f t="shared" si="154"/>
        <v>1027.23</v>
      </c>
      <c r="K361" s="3590">
        <f>'HVAC Deemed Table'!F4541</f>
        <v>437.97</v>
      </c>
      <c r="L361" s="3590">
        <f>'HVAC Deemed Table'!F4542</f>
        <v>924.79</v>
      </c>
      <c r="M361" s="3590">
        <f>'HVAC Deemed Table'!F4543</f>
        <v>102.44</v>
      </c>
      <c r="N361" s="3590">
        <f>'HVAC Deemed Table'!F4544</f>
        <v>924.79</v>
      </c>
      <c r="O361" s="3591">
        <f t="shared" si="155"/>
        <v>0.414941</v>
      </c>
      <c r="P361" s="3591">
        <f t="shared" si="156"/>
        <v>9.7054000000000001E-2</v>
      </c>
      <c r="Q361" s="1600">
        <f>'HVAC Deemed Table'!I4541</f>
        <v>0.414941</v>
      </c>
      <c r="R361" s="1600">
        <f>'HVAC Deemed Table'!I4542</f>
        <v>0</v>
      </c>
      <c r="S361" s="1600">
        <f>'HVAC Deemed Table'!I4543</f>
        <v>9.7054000000000001E-2</v>
      </c>
      <c r="T361" s="1600">
        <f>'HVAC Deemed Table'!I4544</f>
        <v>0</v>
      </c>
      <c r="U361" s="1569"/>
      <c r="V361" s="1569"/>
      <c r="W361" s="1569">
        <f t="shared" si="266"/>
        <v>9.7054000000000001E-2</v>
      </c>
      <c r="X361" s="1583">
        <f>'HVAC Deemed Table'!J4541</f>
        <v>5</v>
      </c>
      <c r="Y361" s="1583">
        <f>'HVAC Deemed Table'!J4543</f>
        <v>10</v>
      </c>
      <c r="Z361" s="1583">
        <f t="shared" si="161"/>
        <v>15</v>
      </c>
      <c r="AA361" s="322">
        <f>'HVAC Deemed Table'!BB4541</f>
        <v>3.228099642825931</v>
      </c>
      <c r="AB361" s="1955">
        <f>'HVAC Deemed Table'!K4541</f>
        <v>224.93182686576984</v>
      </c>
      <c r="AC361" s="1964">
        <f t="shared" si="162"/>
        <v>354.72849103823239</v>
      </c>
      <c r="AD361" s="1964">
        <f t="shared" si="151"/>
        <v>330.59699264801168</v>
      </c>
      <c r="AE361" s="1604">
        <f>'HVAC Deemed Table'!BD4541</f>
        <v>228.52307306442739</v>
      </c>
      <c r="AF361" s="1604">
        <f>'HVAC Deemed Table'!BD4542</f>
        <v>126.20541797380498</v>
      </c>
      <c r="AG361" s="1604">
        <f>'HVAC Deemed Table'!BD4543</f>
        <v>101.65566092833417</v>
      </c>
      <c r="AH361" s="1604">
        <f>'HVAC Deemed Table'!BD4544</f>
        <v>228.94133171967749</v>
      </c>
      <c r="AI361" s="3366" t="str">
        <f t="shared" si="157"/>
        <v>per measure</v>
      </c>
      <c r="AJ361" s="96">
        <f>'HVAC Deemed Table'!L4541</f>
        <v>1.0111111111111111</v>
      </c>
      <c r="AK361" s="2610"/>
      <c r="AL361" s="2610"/>
      <c r="AM361" s="1961">
        <f t="shared" si="267"/>
        <v>9.4741810000000004E-4</v>
      </c>
      <c r="AN361" s="84">
        <f t="shared" si="152"/>
        <v>0.41494070525700005</v>
      </c>
      <c r="AO361" s="2611">
        <f t="shared" si="268"/>
        <v>-2.947429999511364E-7</v>
      </c>
      <c r="AP361" s="1779"/>
    </row>
    <row r="362" spans="1:42" s="84" customFormat="1" x14ac:dyDescent="0.35">
      <c r="A362" s="1618" t="str">
        <f t="shared" ref="A362" si="269">LEFT(B362,6)</f>
        <v>356900</v>
      </c>
      <c r="B362" s="1590" t="str">
        <f>'HVAC Deemed Table'!C4545</f>
        <v>356900_2022_12_</v>
      </c>
      <c r="C362" s="2609" t="str">
        <f>'HVAC Deemed Table'!G4545</f>
        <v>Cooling Res</v>
      </c>
      <c r="D362" s="2609" t="str">
        <f>'HVAC Deemed Table'!G4546</f>
        <v>Heating Res</v>
      </c>
      <c r="E362" s="1589"/>
      <c r="F362" s="1589"/>
      <c r="G362" s="1590" t="str">
        <f>'HVAC Deemed Table'!E4545</f>
        <v>PTHP-SEER15-ROF_MF</v>
      </c>
      <c r="H362" s="1599" t="str">
        <f>'HVAC Deemed Table'!D4545</f>
        <v>MF</v>
      </c>
      <c r="I362" s="3589">
        <f t="shared" ref="I362" si="270">K362+L362</f>
        <v>351.29</v>
      </c>
      <c r="J362" s="3589">
        <f t="shared" ref="J362" si="271">M362+N362</f>
        <v>174.3</v>
      </c>
      <c r="K362" s="3590">
        <f>'HVAC Deemed Table'!F4545</f>
        <v>140.77000000000001</v>
      </c>
      <c r="L362" s="3590">
        <f>'HVAC Deemed Table'!F4546</f>
        <v>210.52</v>
      </c>
      <c r="M362" s="3590">
        <f>'HVAC Deemed Table'!F4547</f>
        <v>102.44</v>
      </c>
      <c r="N362" s="3590">
        <f>'HVAC Deemed Table'!F4548</f>
        <v>71.86</v>
      </c>
      <c r="O362" s="3591">
        <f t="shared" ref="O362" si="272">Q362+R362</f>
        <v>0.13336799999999999</v>
      </c>
      <c r="P362" s="3591">
        <f t="shared" ref="P362" si="273">S362+T362</f>
        <v>9.7054000000000001E-2</v>
      </c>
      <c r="Q362" s="1600">
        <f>'HVAC Deemed Table'!I4545</f>
        <v>0.13336799999999999</v>
      </c>
      <c r="R362" s="1600">
        <f>'HVAC Deemed Table'!I4546</f>
        <v>0</v>
      </c>
      <c r="S362" s="1600">
        <f>'HVAC Deemed Table'!I4547</f>
        <v>9.7054000000000001E-2</v>
      </c>
      <c r="T362" s="1600">
        <f>'HVAC Deemed Table'!I4548</f>
        <v>0</v>
      </c>
      <c r="U362" s="1569"/>
      <c r="V362" s="1569"/>
      <c r="W362" s="1569">
        <f t="shared" si="266"/>
        <v>9.7054000000000001E-2</v>
      </c>
      <c r="X362" s="1583">
        <f>'HVAC Deemed Table'!J4545</f>
        <v>15</v>
      </c>
      <c r="Y362" s="1583"/>
      <c r="Z362" s="1583">
        <f t="shared" ref="Z362" si="274">Y362+X362</f>
        <v>15</v>
      </c>
      <c r="AA362" s="322">
        <f>'HVAC Deemed Table'!BB4545</f>
        <v>3.667503930072852</v>
      </c>
      <c r="AB362" s="1955">
        <f>'HVAC Deemed Table'!K4545</f>
        <v>84.93</v>
      </c>
      <c r="AC362" s="1964">
        <f t="shared" ref="AC362" si="275">AE362+AF362</f>
        <v>293.98877657488185</v>
      </c>
      <c r="AD362" s="1964">
        <f t="shared" ref="AD362" si="276">AG362+AH362</f>
        <v>182.70295874711519</v>
      </c>
      <c r="AE362" s="1604">
        <f>'HVAC Deemed Table'!BD4545</f>
        <v>213.14286156125354</v>
      </c>
      <c r="AF362" s="1604">
        <f>'HVAC Deemed Table'!BD4546</f>
        <v>80.845915013628314</v>
      </c>
      <c r="AG362" s="1604">
        <f>'HVAC Deemed Table'!BD4547</f>
        <v>155.10659045488961</v>
      </c>
      <c r="AH362" s="1604">
        <f>'HVAC Deemed Table'!BD4548</f>
        <v>27.596368292225584</v>
      </c>
      <c r="AI362" s="3366" t="str">
        <f t="shared" si="157"/>
        <v>per measure</v>
      </c>
      <c r="AJ362" s="96">
        <f>'HVAC Deemed Table'!L4545</f>
        <v>1.0111111111111111</v>
      </c>
      <c r="AK362" s="2610"/>
      <c r="AL362" s="2610"/>
      <c r="AM362" s="1961">
        <f t="shared" ref="AM362" si="277">VLOOKUP(C362,$AS$10:$AT$33,2,FALSE)</f>
        <v>9.4741810000000004E-4</v>
      </c>
      <c r="AN362" s="84">
        <f t="shared" ref="AN362" si="278">AM362*K362</f>
        <v>0.13336804593700002</v>
      </c>
      <c r="AO362" s="2611">
        <f t="shared" ref="AO362" si="279">AN362-O362</f>
        <v>4.5937000037188369E-8</v>
      </c>
      <c r="AP362" s="1779"/>
    </row>
    <row r="363" spans="1:42" s="84" customFormat="1" x14ac:dyDescent="0.35">
      <c r="A363" s="1618" t="str">
        <f t="shared" ref="A363" si="280">LEFT(B363,6)</f>
        <v>356925</v>
      </c>
      <c r="B363" s="1590" t="str">
        <f>'HVAC Deemed Table'!C4547</f>
        <v>356925_2022_12_</v>
      </c>
      <c r="C363" s="2609" t="str">
        <f>'HVAC Deemed Table'!G4547</f>
        <v>Cooling Res</v>
      </c>
      <c r="D363" s="2609" t="str">
        <f>'HVAC Deemed Table'!G4548</f>
        <v>Heating Res</v>
      </c>
      <c r="E363" s="1589"/>
      <c r="F363" s="1589"/>
      <c r="G363" s="1590" t="str">
        <f>'HVAC Deemed Table'!E4547</f>
        <v>PTHP-SEER15-ROF_MF_CompE</v>
      </c>
      <c r="H363" s="1599" t="str">
        <f>'HVAC Deemed Table'!D4547</f>
        <v>MFc</v>
      </c>
      <c r="I363" s="3589">
        <f t="shared" ref="I363" si="281">K363+L363</f>
        <v>174.3</v>
      </c>
      <c r="J363" s="3589">
        <f t="shared" ref="J363" si="282">M363+N363</f>
        <v>2850</v>
      </c>
      <c r="K363" s="3590">
        <f>'HVAC Deemed Table'!F4547</f>
        <v>102.44</v>
      </c>
      <c r="L363" s="3590">
        <f>'HVAC Deemed Table'!F4548</f>
        <v>71.86</v>
      </c>
      <c r="M363" s="3590">
        <f>'HVAC Deemed Table'!F4549</f>
        <v>140.77000000000001</v>
      </c>
      <c r="N363" s="3590">
        <f>'HVAC Deemed Table'!F4550</f>
        <v>2709.23</v>
      </c>
      <c r="O363" s="3591">
        <f t="shared" ref="O363" si="283">Q363+R363</f>
        <v>9.7054000000000001E-2</v>
      </c>
      <c r="P363" s="3591">
        <f t="shared" ref="P363" si="284">S363+T363</f>
        <v>0.13336799999999999</v>
      </c>
      <c r="Q363" s="1600">
        <f>'HVAC Deemed Table'!I4547</f>
        <v>9.7054000000000001E-2</v>
      </c>
      <c r="R363" s="1600">
        <f>'HVAC Deemed Table'!I4548</f>
        <v>0</v>
      </c>
      <c r="S363" s="1600">
        <f>'HVAC Deemed Table'!I4549</f>
        <v>0.13336799999999999</v>
      </c>
      <c r="T363" s="1600">
        <f>'HVAC Deemed Table'!I4550</f>
        <v>0</v>
      </c>
      <c r="U363" s="1569"/>
      <c r="V363" s="1569"/>
      <c r="W363" s="1569">
        <f t="shared" si="266"/>
        <v>0.13336799999999999</v>
      </c>
      <c r="X363" s="1583">
        <f>'HVAC Deemed Table'!J4547</f>
        <v>15</v>
      </c>
      <c r="Y363" s="1583"/>
      <c r="Z363" s="1583">
        <f t="shared" ref="Z363" si="285">Y363+X363</f>
        <v>15</v>
      </c>
      <c r="AA363" s="322">
        <f>'HVAC Deemed Table'!BB4547</f>
        <v>2.2792156457384736</v>
      </c>
      <c r="AB363" s="1955">
        <f>'HVAC Deemed Table'!K4547</f>
        <v>84.93</v>
      </c>
      <c r="AC363" s="1964">
        <f t="shared" ref="AC363" si="286">AE363+AF363</f>
        <v>182.70295874711519</v>
      </c>
      <c r="AD363" s="1964">
        <f t="shared" ref="AD363" si="287">AG363+AH363</f>
        <v>1253.5674213768161</v>
      </c>
      <c r="AE363" s="1604">
        <f>'HVAC Deemed Table'!BD4547</f>
        <v>155.10659045488961</v>
      </c>
      <c r="AF363" s="1604">
        <f>'HVAC Deemed Table'!BD4548</f>
        <v>27.596368292225584</v>
      </c>
      <c r="AG363" s="1604">
        <f>'HVAC Deemed Table'!BD4549</f>
        <v>213.14286156125354</v>
      </c>
      <c r="AH363" s="1604">
        <f>'HVAC Deemed Table'!BD4550</f>
        <v>1040.4245598155626</v>
      </c>
      <c r="AI363" s="3366" t="str">
        <f t="shared" si="157"/>
        <v>per measure</v>
      </c>
      <c r="AJ363" s="96">
        <f>'HVAC Deemed Table'!L4547</f>
        <v>1.0111111111111111</v>
      </c>
      <c r="AK363" s="2610"/>
      <c r="AL363" s="2610"/>
      <c r="AM363" s="1961">
        <f t="shared" ref="AM363" si="288">VLOOKUP(C363,$AS$10:$AT$33,2,FALSE)</f>
        <v>9.4741810000000004E-4</v>
      </c>
      <c r="AN363" s="84">
        <f t="shared" ref="AN363" si="289">AM363*K363</f>
        <v>9.7053510164000004E-2</v>
      </c>
      <c r="AO363" s="2611">
        <f t="shared" ref="AO363" si="290">AN363-O363</f>
        <v>-4.898359999977453E-7</v>
      </c>
      <c r="AP363" s="1779"/>
    </row>
    <row r="364" spans="1:42" s="84" customFormat="1" x14ac:dyDescent="0.35">
      <c r="A364" s="1618" t="str">
        <f t="shared" si="159"/>
        <v>356950</v>
      </c>
      <c r="B364" s="1590" t="str">
        <f>'HVAC Deemed Table'!C4549</f>
        <v>356950_2022_12_</v>
      </c>
      <c r="C364" s="2609" t="str">
        <f>'HVAC Deemed Table'!G4549</f>
        <v>Cooling Res</v>
      </c>
      <c r="D364" s="2609" t="str">
        <f>'HVAC Deemed Table'!G4550</f>
        <v>Heating Res</v>
      </c>
      <c r="E364" s="1589"/>
      <c r="F364" s="1589"/>
      <c r="G364" s="1590" t="str">
        <f>'HVAC Deemed Table'!E4549</f>
        <v>PTHP-SEER15-Replace_PTAC_ElectricHeat_ROF_MF</v>
      </c>
      <c r="H364" s="1599" t="str">
        <f>'HVAC Deemed Table'!D4549</f>
        <v>MF</v>
      </c>
      <c r="I364" s="3589">
        <f t="shared" si="153"/>
        <v>2850</v>
      </c>
      <c r="J364" s="3589">
        <f t="shared" si="154"/>
        <v>0</v>
      </c>
      <c r="K364" s="3590">
        <f>'HVAC Deemed Table'!F4549</f>
        <v>140.77000000000001</v>
      </c>
      <c r="L364" s="3590">
        <f>'HVAC Deemed Table'!F4550</f>
        <v>2709.23</v>
      </c>
      <c r="M364" s="3590"/>
      <c r="N364" s="3590"/>
      <c r="O364" s="3591">
        <f t="shared" si="155"/>
        <v>0.13336799999999999</v>
      </c>
      <c r="P364" s="3591">
        <f t="shared" si="156"/>
        <v>0</v>
      </c>
      <c r="Q364" s="1600">
        <f>'HVAC Deemed Table'!I4549</f>
        <v>0.13336799999999999</v>
      </c>
      <c r="R364" s="1600">
        <f>'HVAC Deemed Table'!I4550</f>
        <v>0</v>
      </c>
      <c r="S364" s="1600"/>
      <c r="T364" s="1600"/>
      <c r="U364" s="1569"/>
      <c r="V364" s="1569"/>
      <c r="W364" s="1569">
        <f>O364</f>
        <v>0.13336799999999999</v>
      </c>
      <c r="X364" s="1583">
        <f>'HVAC Deemed Table'!J4549</f>
        <v>15</v>
      </c>
      <c r="Y364" s="1583"/>
      <c r="Z364" s="1583">
        <f t="shared" si="161"/>
        <v>15</v>
      </c>
      <c r="AA364" s="322">
        <f>'HVAC Deemed Table'!BB4549</f>
        <v>15.638227751662978</v>
      </c>
      <c r="AB364" s="1955">
        <f>'HVAC Deemed Table'!K4549</f>
        <v>84.93</v>
      </c>
      <c r="AC364" s="1964">
        <f t="shared" si="162"/>
        <v>1253.5674213768161</v>
      </c>
      <c r="AD364" s="1964">
        <f t="shared" si="151"/>
        <v>0</v>
      </c>
      <c r="AE364" s="1604">
        <f>'HVAC Deemed Table'!BD4549</f>
        <v>213.14286156125354</v>
      </c>
      <c r="AF364" s="1604">
        <f>'HVAC Deemed Table'!BD4550</f>
        <v>1040.4245598155626</v>
      </c>
      <c r="AG364" s="1604"/>
      <c r="AH364" s="1604"/>
      <c r="AI364" s="3366" t="str">
        <f t="shared" si="157"/>
        <v>per measure</v>
      </c>
      <c r="AJ364" s="96">
        <f>'HVAC Deemed Table'!L4549</f>
        <v>1.0111111111111111</v>
      </c>
      <c r="AK364" s="2610"/>
      <c r="AL364" s="2610"/>
      <c r="AM364" s="1961">
        <f t="shared" si="267"/>
        <v>9.4741810000000004E-4</v>
      </c>
      <c r="AN364" s="84">
        <f t="shared" si="152"/>
        <v>0.13336804593700002</v>
      </c>
      <c r="AO364" s="2611">
        <f t="shared" si="268"/>
        <v>4.5937000037188369E-8</v>
      </c>
      <c r="AP364" s="1779"/>
    </row>
    <row r="365" spans="1:42" s="84" customFormat="1" x14ac:dyDescent="0.35">
      <c r="A365" s="1618" t="str">
        <f t="shared" ref="A365" si="291">LEFT(B365,6)</f>
        <v>356975</v>
      </c>
      <c r="B365" s="1590" t="str">
        <f>'HVAC Deemed Table'!C4551</f>
        <v>356975_2022_12_</v>
      </c>
      <c r="C365" s="2609" t="str">
        <f>'HVAC Deemed Table'!G4551</f>
        <v>Cooling Res</v>
      </c>
      <c r="D365" s="2609" t="str">
        <f>'HVAC Deemed Table'!G4552</f>
        <v>Heating Res</v>
      </c>
      <c r="E365" s="1589"/>
      <c r="F365" s="1589"/>
      <c r="G365" s="1590" t="str">
        <f>'HVAC Deemed Table'!E4551</f>
        <v>PTHP-SEER15-Replace_PTAC_ElectricHeat_ROF_MF_CompE</v>
      </c>
      <c r="H365" s="1599" t="str">
        <f>'HVAC Deemed Table'!D4551</f>
        <v>MFc</v>
      </c>
      <c r="I365" s="3589">
        <f t="shared" ref="I365" si="292">K365+L365</f>
        <v>1027.23</v>
      </c>
      <c r="J365" s="3589">
        <f t="shared" ref="J365" si="293">M365+N365</f>
        <v>0</v>
      </c>
      <c r="K365" s="3590">
        <f>'HVAC Deemed Table'!F4551</f>
        <v>102.44</v>
      </c>
      <c r="L365" s="3590">
        <f>'HVAC Deemed Table'!F4552</f>
        <v>924.79</v>
      </c>
      <c r="M365" s="3590"/>
      <c r="N365" s="3590"/>
      <c r="O365" s="3591">
        <f t="shared" ref="O365" si="294">Q365+R365</f>
        <v>9.7054000000000001E-2</v>
      </c>
      <c r="P365" s="3591">
        <f t="shared" ref="P365" si="295">S365+T365</f>
        <v>0</v>
      </c>
      <c r="Q365" s="1600">
        <f>'HVAC Deemed Table'!I4551</f>
        <v>9.7054000000000001E-2</v>
      </c>
      <c r="R365" s="1600">
        <f>'HVAC Deemed Table'!I4552</f>
        <v>0</v>
      </c>
      <c r="S365" s="1600"/>
      <c r="T365" s="1600"/>
      <c r="U365" s="1569"/>
      <c r="V365" s="1569"/>
      <c r="W365" s="1569">
        <f>O365</f>
        <v>9.7054000000000001E-2</v>
      </c>
      <c r="X365" s="1583">
        <f>'HVAC Deemed Table'!J4551</f>
        <v>15</v>
      </c>
      <c r="Y365" s="1583"/>
      <c r="Z365" s="1583">
        <f t="shared" ref="Z365" si="296">Y365+X365</f>
        <v>15</v>
      </c>
      <c r="AA365" s="322">
        <f>'HVAC Deemed Table'!BB4551</f>
        <v>6.3653999044755283</v>
      </c>
      <c r="AB365" s="1955">
        <f>'HVAC Deemed Table'!K4551</f>
        <v>84.93</v>
      </c>
      <c r="AC365" s="1964">
        <f t="shared" ref="AC365" si="297">AE365+AF365</f>
        <v>510.25334014828371</v>
      </c>
      <c r="AD365" s="1964">
        <f t="shared" ref="AD365" si="298">AG365+AH365</f>
        <v>0</v>
      </c>
      <c r="AE365" s="1604">
        <f>'HVAC Deemed Table'!BD4551</f>
        <v>155.10659045488961</v>
      </c>
      <c r="AF365" s="1604">
        <f>'HVAC Deemed Table'!BD4552</f>
        <v>355.1467496933941</v>
      </c>
      <c r="AG365" s="1604"/>
      <c r="AH365" s="1604"/>
      <c r="AI365" s="3366" t="str">
        <f t="shared" si="157"/>
        <v>per measure</v>
      </c>
      <c r="AJ365" s="96">
        <f>'HVAC Deemed Table'!L4551</f>
        <v>1.0111111111111111</v>
      </c>
      <c r="AK365" s="2610"/>
      <c r="AL365" s="2610"/>
      <c r="AM365" s="1961">
        <f t="shared" ref="AM365" si="299">VLOOKUP(C365,$AS$10:$AT$33,2,FALSE)</f>
        <v>9.4741810000000004E-4</v>
      </c>
      <c r="AN365" s="84">
        <f t="shared" ref="AN365" si="300">AM365*K365</f>
        <v>9.7053510164000004E-2</v>
      </c>
      <c r="AO365" s="2611">
        <f t="shared" ref="AO365" si="301">AN365-O365</f>
        <v>-4.898359999977453E-7</v>
      </c>
      <c r="AP365" s="1779"/>
    </row>
    <row r="366" spans="1:42" x14ac:dyDescent="0.35">
      <c r="A366" s="103" t="str">
        <f t="shared" si="159"/>
        <v>400050</v>
      </c>
      <c r="B366" s="3346" t="str">
        <f>'Income Eligible Deemed Table'!C7</f>
        <v>400050_2019_12_</v>
      </c>
      <c r="C366" s="2564" t="str">
        <f>'Income Eligible Deemed Table'!G7</f>
        <v>Cooling RES</v>
      </c>
      <c r="D366" s="3343"/>
      <c r="E366" s="3343"/>
      <c r="F366" s="3343"/>
      <c r="G366" s="3343" t="str">
        <f>'Income Eligible Deemed Table'!E7</f>
        <v>AC General Tune-Up (no charge or coil clean) SF</v>
      </c>
      <c r="H366" s="50" t="str">
        <f>'Income Eligible Deemed Table'!D7</f>
        <v>SFIE</v>
      </c>
      <c r="I366" s="1966">
        <f t="shared" ref="I366:I380" si="302">K366+L366</f>
        <v>142.62</v>
      </c>
      <c r="J366" s="1966">
        <f t="shared" ref="J366:J421" si="303">M366+N366</f>
        <v>0</v>
      </c>
      <c r="K366" s="560">
        <f>'Income Eligible Deemed Table'!F7</f>
        <v>142.62</v>
      </c>
      <c r="L366" s="560"/>
      <c r="M366" s="560"/>
      <c r="N366" s="560"/>
      <c r="O366" s="1967">
        <f t="shared" ref="O366:O380" si="304">Q366+R366</f>
        <v>0.13512099999999999</v>
      </c>
      <c r="P366" s="1967">
        <f t="shared" ref="P366:P419" si="305">S366+T366</f>
        <v>0</v>
      </c>
      <c r="Q366" s="1968">
        <f>'Income Eligible Deemed Table'!I7</f>
        <v>0.13512099999999999</v>
      </c>
      <c r="R366" s="1968"/>
      <c r="S366" s="1968"/>
      <c r="T366" s="1968"/>
      <c r="U366" s="1969">
        <v>0</v>
      </c>
      <c r="V366" s="1969">
        <v>0</v>
      </c>
      <c r="W366" s="1969">
        <v>0</v>
      </c>
      <c r="X366" s="55">
        <f>'Income Eligible Deemed Table'!J7</f>
        <v>2</v>
      </c>
      <c r="Y366" s="55"/>
      <c r="Z366" s="55">
        <f t="shared" si="161"/>
        <v>2</v>
      </c>
      <c r="AA366" s="49">
        <f>'Income Eligible Deemed Table'!BB7</f>
        <v>0.42184642690645402</v>
      </c>
      <c r="AB366" s="698">
        <f>'Income Eligible Deemed Table'!K7</f>
        <v>70</v>
      </c>
      <c r="AC366" s="2582">
        <f t="shared" si="162"/>
        <v>27.870929573810077</v>
      </c>
      <c r="AD366" s="2582">
        <f t="shared" ref="AD366:AD415" si="306">AG366+AH366</f>
        <v>0</v>
      </c>
      <c r="AE366" s="1380">
        <f>'Income Eligible Deemed Table'!BD7</f>
        <v>27.870929573810077</v>
      </c>
      <c r="AF366" s="571"/>
      <c r="AG366" s="571"/>
      <c r="AH366" s="571"/>
      <c r="AI366" s="3346" t="str">
        <f>'Income Eligible Deemed Table'!L7</f>
        <v>per measure</v>
      </c>
      <c r="AJ366" s="141"/>
      <c r="AM366" s="1596">
        <f t="shared" si="267"/>
        <v>9.4741810000000004E-4</v>
      </c>
      <c r="AN366">
        <f t="shared" ref="AN366:AN398" si="307">AM366*I366</f>
        <v>0.13512076942200002</v>
      </c>
      <c r="AO366" s="1595">
        <f t="shared" si="268"/>
        <v>-2.3057799997117101E-7</v>
      </c>
    </row>
    <row r="367" spans="1:42" x14ac:dyDescent="0.35">
      <c r="A367" s="103" t="str">
        <f t="shared" si="159"/>
        <v>400100</v>
      </c>
      <c r="B367" s="3346" t="str">
        <f>'Income Eligible Deemed Table'!C8</f>
        <v>400100_2019_12_</v>
      </c>
      <c r="C367" s="2564" t="str">
        <f>'Income Eligible Deemed Table'!G8</f>
        <v>Cooling RES</v>
      </c>
      <c r="D367" s="3343"/>
      <c r="E367" s="3343"/>
      <c r="F367" s="3343"/>
      <c r="G367" s="3343" t="str">
        <f>'Income Eligible Deemed Table'!E8</f>
        <v>AC General Tune-Up (no charge or coil clean) MF</v>
      </c>
      <c r="H367" s="50" t="str">
        <f>'Income Eligible Deemed Table'!D8</f>
        <v>MFIE</v>
      </c>
      <c r="I367" s="1966">
        <f t="shared" si="302"/>
        <v>92.71</v>
      </c>
      <c r="J367" s="1966">
        <f t="shared" si="303"/>
        <v>0</v>
      </c>
      <c r="K367" s="560">
        <f>'Income Eligible Deemed Table'!F8</f>
        <v>92.71</v>
      </c>
      <c r="L367" s="560"/>
      <c r="M367" s="560"/>
      <c r="N367" s="560"/>
      <c r="O367" s="1967">
        <f t="shared" si="304"/>
        <v>8.7834999999999996E-2</v>
      </c>
      <c r="P367" s="1967">
        <f t="shared" si="305"/>
        <v>0</v>
      </c>
      <c r="Q367" s="1968">
        <f>'Income Eligible Deemed Table'!I8</f>
        <v>8.7834999999999996E-2</v>
      </c>
      <c r="R367" s="1968"/>
      <c r="S367" s="1968"/>
      <c r="T367" s="1968"/>
      <c r="U367" s="1969">
        <v>0</v>
      </c>
      <c r="V367" s="1969">
        <v>0</v>
      </c>
      <c r="W367" s="1969">
        <v>0</v>
      </c>
      <c r="X367" s="55">
        <f>'Income Eligible Deemed Table'!J8</f>
        <v>2</v>
      </c>
      <c r="Y367" s="55"/>
      <c r="Z367" s="55">
        <f t="shared" si="161"/>
        <v>2</v>
      </c>
      <c r="AA367" s="49">
        <f>'Income Eligible Deemed Table'!BB8</f>
        <v>0.27422088233415609</v>
      </c>
      <c r="AB367" s="698">
        <f>'Income Eligible Deemed Table'!K8</f>
        <v>70</v>
      </c>
      <c r="AC367" s="2582">
        <f t="shared" si="162"/>
        <v>18.117472169316589</v>
      </c>
      <c r="AD367" s="2582">
        <f t="shared" si="306"/>
        <v>0</v>
      </c>
      <c r="AE367" s="1380">
        <f>'Income Eligible Deemed Table'!BD8</f>
        <v>18.117472169316589</v>
      </c>
      <c r="AF367" s="571"/>
      <c r="AG367" s="571"/>
      <c r="AH367" s="571"/>
      <c r="AI367" s="3346" t="str">
        <f>'Income Eligible Deemed Table'!L8</f>
        <v>per measure</v>
      </c>
      <c r="AJ367" s="141"/>
      <c r="AM367" s="1596">
        <f t="shared" si="267"/>
        <v>9.4741810000000004E-4</v>
      </c>
      <c r="AN367">
        <f t="shared" si="307"/>
        <v>8.7835132050999992E-2</v>
      </c>
      <c r="AO367" s="1595">
        <f t="shared" si="268"/>
        <v>1.3205099999580305E-7</v>
      </c>
    </row>
    <row r="368" spans="1:42" x14ac:dyDescent="0.35">
      <c r="A368" s="103" t="str">
        <f t="shared" si="159"/>
        <v>400101</v>
      </c>
      <c r="B368" s="3346" t="str">
        <f>'Income Eligible Deemed Table'!C9</f>
        <v>400101_2019_12_</v>
      </c>
      <c r="C368" s="2564" t="str">
        <f>'Income Eligible Deemed Table'!G9</f>
        <v>Cooling RES</v>
      </c>
      <c r="D368" s="3343"/>
      <c r="E368" s="3343"/>
      <c r="F368" s="3343"/>
      <c r="G368" s="3343" t="str">
        <f>'Income Eligible Deemed Table'!E9</f>
        <v>AC General Tune-Up (no charge or coil clean) MF_CompE</v>
      </c>
      <c r="H368" s="50" t="str">
        <f>'Income Eligible Deemed Table'!D9</f>
        <v>MFIEc</v>
      </c>
      <c r="I368" s="1966">
        <f t="shared" si="302"/>
        <v>67.42</v>
      </c>
      <c r="J368" s="1966">
        <f t="shared" si="303"/>
        <v>0</v>
      </c>
      <c r="K368" s="560">
        <f>'Income Eligible Deemed Table'!F9</f>
        <v>67.42</v>
      </c>
      <c r="L368" s="560"/>
      <c r="M368" s="560"/>
      <c r="N368" s="560"/>
      <c r="O368" s="1967">
        <f t="shared" si="304"/>
        <v>6.3875000000000001E-2</v>
      </c>
      <c r="P368" s="1967">
        <f t="shared" si="305"/>
        <v>0</v>
      </c>
      <c r="Q368" s="1968">
        <f>'Income Eligible Deemed Table'!I9</f>
        <v>6.3875000000000001E-2</v>
      </c>
      <c r="R368" s="1968"/>
      <c r="S368" s="1968"/>
      <c r="T368" s="1968"/>
      <c r="U368" s="1969">
        <v>0</v>
      </c>
      <c r="V368" s="1969">
        <v>0</v>
      </c>
      <c r="W368" s="1969">
        <v>0</v>
      </c>
      <c r="X368" s="55">
        <f>'Income Eligible Deemed Table'!J9</f>
        <v>2</v>
      </c>
      <c r="Y368" s="55"/>
      <c r="Z368" s="55">
        <f t="shared" si="161"/>
        <v>2</v>
      </c>
      <c r="AA368" s="49">
        <f>'Income Eligible Deemed Table'!BB9</f>
        <v>0.19941723532487118</v>
      </c>
      <c r="AB368" s="698">
        <f>'Income Eligible Deemed Table'!K9</f>
        <v>70</v>
      </c>
      <c r="AC368" s="2582">
        <f t="shared" si="162"/>
        <v>13.175277463653593</v>
      </c>
      <c r="AD368" s="2582">
        <f t="shared" si="306"/>
        <v>0</v>
      </c>
      <c r="AE368" s="1380">
        <f>'Income Eligible Deemed Table'!BD9</f>
        <v>13.175277463653593</v>
      </c>
      <c r="AF368" s="571"/>
      <c r="AG368" s="571"/>
      <c r="AH368" s="571"/>
      <c r="AI368" s="3346" t="str">
        <f>'Income Eligible Deemed Table'!L9</f>
        <v>per measure</v>
      </c>
      <c r="AJ368" s="141"/>
      <c r="AM368" s="1596">
        <f t="shared" si="267"/>
        <v>9.4741810000000004E-4</v>
      </c>
      <c r="AN368">
        <f t="shared" si="307"/>
        <v>6.3874928302000006E-2</v>
      </c>
      <c r="AO368" s="1595">
        <f t="shared" si="268"/>
        <v>-7.1697999995401496E-8</v>
      </c>
    </row>
    <row r="369" spans="1:48" x14ac:dyDescent="0.35">
      <c r="A369" s="103" t="str">
        <f t="shared" si="159"/>
        <v>400150</v>
      </c>
      <c r="B369" s="3346" t="str">
        <f>'Income Eligible Deemed Table'!C10</f>
        <v>400150_2019_12_</v>
      </c>
      <c r="C369" s="2564" t="str">
        <f>'Income Eligible Deemed Table'!G10</f>
        <v>Cooling RES</v>
      </c>
      <c r="D369" s="3343"/>
      <c r="E369" s="3343"/>
      <c r="F369" s="3343"/>
      <c r="G369" s="3343" t="str">
        <f>'Income Eligible Deemed Table'!E10</f>
        <v>AC Tune-up / Refrigerant charge SF</v>
      </c>
      <c r="H369" s="50" t="str">
        <f>'Income Eligible Deemed Table'!D10</f>
        <v>SFIE</v>
      </c>
      <c r="I369" s="1966">
        <f t="shared" si="302"/>
        <v>594.87</v>
      </c>
      <c r="J369" s="1966">
        <f t="shared" si="303"/>
        <v>0</v>
      </c>
      <c r="K369" s="560">
        <f>'Income Eligible Deemed Table'!F10</f>
        <v>594.87</v>
      </c>
      <c r="L369" s="560"/>
      <c r="M369" s="560"/>
      <c r="N369" s="560"/>
      <c r="O369" s="1967">
        <f t="shared" si="304"/>
        <v>0.56359099999999995</v>
      </c>
      <c r="P369" s="1967">
        <f t="shared" si="305"/>
        <v>0</v>
      </c>
      <c r="Q369" s="1968">
        <f>'Income Eligible Deemed Table'!I10</f>
        <v>0.56359099999999995</v>
      </c>
      <c r="R369" s="1968"/>
      <c r="S369" s="1968"/>
      <c r="T369" s="1968"/>
      <c r="U369" s="1969">
        <v>0</v>
      </c>
      <c r="V369" s="1969">
        <v>0</v>
      </c>
      <c r="W369" s="1969">
        <v>0</v>
      </c>
      <c r="X369" s="55">
        <f>'Income Eligible Deemed Table'!J10</f>
        <v>2</v>
      </c>
      <c r="Y369" s="55"/>
      <c r="Z369" s="55">
        <f t="shared" si="161"/>
        <v>2</v>
      </c>
      <c r="AA369" s="49">
        <f>'Income Eligible Deemed Table'!BB10</f>
        <v>1.520579150861822</v>
      </c>
      <c r="AB369" s="698">
        <f>'Income Eligible Deemed Table'!K10</f>
        <v>81</v>
      </c>
      <c r="AC369" s="2582">
        <f t="shared" si="162"/>
        <v>116.25003418575515</v>
      </c>
      <c r="AD369" s="2582">
        <f t="shared" si="306"/>
        <v>0</v>
      </c>
      <c r="AE369" s="1380">
        <f>'Income Eligible Deemed Table'!BD10</f>
        <v>116.25003418575515</v>
      </c>
      <c r="AF369" s="571"/>
      <c r="AG369" s="571"/>
      <c r="AH369" s="571"/>
      <c r="AI369" s="3346" t="str">
        <f>'Income Eligible Deemed Table'!L10</f>
        <v>per measure</v>
      </c>
      <c r="AJ369" s="141"/>
      <c r="AM369" s="1596">
        <f t="shared" si="267"/>
        <v>9.4741810000000004E-4</v>
      </c>
      <c r="AN369">
        <f t="shared" si="307"/>
        <v>0.56359060514699999</v>
      </c>
      <c r="AO369" s="1595">
        <f t="shared" si="268"/>
        <v>-3.948529999631134E-7</v>
      </c>
    </row>
    <row r="370" spans="1:48" x14ac:dyDescent="0.35">
      <c r="A370" s="103" t="str">
        <f t="shared" si="159"/>
        <v>400200</v>
      </c>
      <c r="B370" s="3346" t="str">
        <f>'Income Eligible Deemed Table'!C11</f>
        <v>400200_2019_12_</v>
      </c>
      <c r="C370" s="2564" t="str">
        <f>'Income Eligible Deemed Table'!G11</f>
        <v>Cooling RES</v>
      </c>
      <c r="D370" s="3343"/>
      <c r="E370" s="3343"/>
      <c r="F370" s="3343"/>
      <c r="G370" s="3343" t="str">
        <f>'Income Eligible Deemed Table'!E11</f>
        <v>AC Tune-up / Refrigerant charge MF</v>
      </c>
      <c r="H370" s="50" t="str">
        <f>'Income Eligible Deemed Table'!D11</f>
        <v>MFIE</v>
      </c>
      <c r="I370" s="1966">
        <f t="shared" si="302"/>
        <v>386.67</v>
      </c>
      <c r="J370" s="1966">
        <f t="shared" si="303"/>
        <v>0</v>
      </c>
      <c r="K370" s="560">
        <f>'Income Eligible Deemed Table'!F11</f>
        <v>386.67</v>
      </c>
      <c r="L370" s="560"/>
      <c r="M370" s="560"/>
      <c r="N370" s="560"/>
      <c r="O370" s="1967">
        <f t="shared" si="304"/>
        <v>0.366338</v>
      </c>
      <c r="P370" s="1967">
        <f t="shared" si="305"/>
        <v>0</v>
      </c>
      <c r="Q370" s="1968">
        <f>'Income Eligible Deemed Table'!I11</f>
        <v>0.366338</v>
      </c>
      <c r="R370" s="1968"/>
      <c r="S370" s="1968"/>
      <c r="T370" s="1968"/>
      <c r="U370" s="1969">
        <v>0</v>
      </c>
      <c r="V370" s="1969">
        <v>0</v>
      </c>
      <c r="W370" s="1969">
        <v>0</v>
      </c>
      <c r="X370" s="55">
        <f>'Income Eligible Deemed Table'!J11</f>
        <v>2</v>
      </c>
      <c r="Y370" s="55"/>
      <c r="Z370" s="55">
        <f t="shared" si="161"/>
        <v>2</v>
      </c>
      <c r="AA370" s="49">
        <f>'Income Eligible Deemed Table'!BB11</f>
        <v>0.9883879507518295</v>
      </c>
      <c r="AB370" s="698">
        <f>'Income Eligible Deemed Table'!K11</f>
        <v>81</v>
      </c>
      <c r="AC370" s="2582">
        <f t="shared" si="162"/>
        <v>75.563401614816598</v>
      </c>
      <c r="AD370" s="2582">
        <f t="shared" si="306"/>
        <v>0</v>
      </c>
      <c r="AE370" s="1380">
        <f>'Income Eligible Deemed Table'!BD11</f>
        <v>75.563401614816598</v>
      </c>
      <c r="AF370" s="571"/>
      <c r="AG370" s="571"/>
      <c r="AH370" s="571"/>
      <c r="AI370" s="3346" t="str">
        <f>'Income Eligible Deemed Table'!L11</f>
        <v>per measure</v>
      </c>
      <c r="AJ370" s="141"/>
      <c r="AM370" s="1596">
        <f t="shared" si="267"/>
        <v>9.4741810000000004E-4</v>
      </c>
      <c r="AN370">
        <f t="shared" si="307"/>
        <v>0.36633815672700004</v>
      </c>
      <c r="AO370" s="1595">
        <f t="shared" si="268"/>
        <v>1.5672700004465412E-7</v>
      </c>
    </row>
    <row r="371" spans="1:48" x14ac:dyDescent="0.35">
      <c r="A371" s="103" t="str">
        <f t="shared" si="159"/>
        <v>400201</v>
      </c>
      <c r="B371" s="3346" t="str">
        <f>'Income Eligible Deemed Table'!C12</f>
        <v>400201_2019_12_</v>
      </c>
      <c r="C371" s="2564" t="str">
        <f>'Income Eligible Deemed Table'!G12</f>
        <v>Cooling RES</v>
      </c>
      <c r="D371" s="3343"/>
      <c r="E371" s="3343"/>
      <c r="F371" s="3343"/>
      <c r="G371" s="3343" t="str">
        <f>'Income Eligible Deemed Table'!E12</f>
        <v>AC Tune-up / Refrigerant charge MF_CompE</v>
      </c>
      <c r="H371" s="50" t="str">
        <f>'Income Eligible Deemed Table'!D12</f>
        <v>MFIEc</v>
      </c>
      <c r="I371" s="1966">
        <f t="shared" si="302"/>
        <v>281.20999999999998</v>
      </c>
      <c r="J371" s="1966">
        <f t="shared" si="303"/>
        <v>0</v>
      </c>
      <c r="K371" s="560">
        <f>'Income Eligible Deemed Table'!F12</f>
        <v>281.20999999999998</v>
      </c>
      <c r="L371" s="560"/>
      <c r="M371" s="560"/>
      <c r="N371" s="560"/>
      <c r="O371" s="1967">
        <f t="shared" si="304"/>
        <v>0.26642300000000002</v>
      </c>
      <c r="P371" s="1967">
        <f t="shared" si="305"/>
        <v>0</v>
      </c>
      <c r="Q371" s="1968">
        <f>'Income Eligible Deemed Table'!I12</f>
        <v>0.26642300000000002</v>
      </c>
      <c r="R371" s="1968"/>
      <c r="S371" s="1968"/>
      <c r="T371" s="1968"/>
      <c r="U371" s="1969">
        <v>0</v>
      </c>
      <c r="V371" s="1969">
        <v>0</v>
      </c>
      <c r="W371" s="1969">
        <v>0</v>
      </c>
      <c r="X371" s="55">
        <f>'Income Eligible Deemed Table'!J12</f>
        <v>2</v>
      </c>
      <c r="Y371" s="55"/>
      <c r="Z371" s="55">
        <f t="shared" si="161"/>
        <v>2</v>
      </c>
      <c r="AA371" s="49">
        <f>'Income Eligible Deemed Table'!BB12</f>
        <v>0.71881598166633542</v>
      </c>
      <c r="AB371" s="698">
        <f>'Income Eligible Deemed Table'!K12</f>
        <v>81</v>
      </c>
      <c r="AC371" s="2582">
        <f t="shared" si="162"/>
        <v>54.954312897567881</v>
      </c>
      <c r="AD371" s="2582">
        <f t="shared" si="306"/>
        <v>0</v>
      </c>
      <c r="AE371" s="1380">
        <f>'Income Eligible Deemed Table'!BD12</f>
        <v>54.954312897567881</v>
      </c>
      <c r="AF371" s="571"/>
      <c r="AG371" s="571"/>
      <c r="AH371" s="571"/>
      <c r="AI371" s="3346" t="str">
        <f>'Income Eligible Deemed Table'!L12</f>
        <v>per measure</v>
      </c>
      <c r="AJ371" s="141"/>
      <c r="AM371" s="1596">
        <f t="shared" si="267"/>
        <v>9.4741810000000004E-4</v>
      </c>
      <c r="AN371">
        <f t="shared" si="307"/>
        <v>0.26642344390099998</v>
      </c>
      <c r="AO371" s="1595">
        <f t="shared" si="268"/>
        <v>4.4390099995794685E-7</v>
      </c>
    </row>
    <row r="372" spans="1:48" x14ac:dyDescent="0.35">
      <c r="A372" s="103" t="str">
        <f t="shared" si="159"/>
        <v>400250</v>
      </c>
      <c r="B372" s="3346" t="str">
        <f>'Income Eligible Deemed Table'!C13</f>
        <v>400250_2019_12_</v>
      </c>
      <c r="C372" s="2564" t="str">
        <f>'Income Eligible Deemed Table'!G13</f>
        <v>Cooling RES</v>
      </c>
      <c r="D372" s="3343"/>
      <c r="E372" s="3343"/>
      <c r="F372" s="3343"/>
      <c r="G372" s="3343" t="str">
        <f>'Income Eligible Deemed Table'!E13</f>
        <v>AC Tune-up / Indoor Coil (Evaporator) Cleaning SF</v>
      </c>
      <c r="H372" s="50" t="str">
        <f>'Income Eligible Deemed Table'!D13</f>
        <v>SFIE</v>
      </c>
      <c r="I372" s="1966">
        <f t="shared" si="302"/>
        <v>98.46</v>
      </c>
      <c r="J372" s="1966">
        <f t="shared" si="303"/>
        <v>0</v>
      </c>
      <c r="K372" s="560">
        <f>'Income Eligible Deemed Table'!F13</f>
        <v>98.46</v>
      </c>
      <c r="L372" s="560"/>
      <c r="M372" s="560"/>
      <c r="N372" s="560"/>
      <c r="O372" s="1967">
        <f t="shared" si="304"/>
        <v>9.3283000000000005E-2</v>
      </c>
      <c r="P372" s="1967">
        <f t="shared" si="305"/>
        <v>0</v>
      </c>
      <c r="Q372" s="1968">
        <f>'Income Eligible Deemed Table'!I13</f>
        <v>9.3283000000000005E-2</v>
      </c>
      <c r="R372" s="1968"/>
      <c r="S372" s="1968"/>
      <c r="T372" s="1968"/>
      <c r="U372" s="1969">
        <v>0</v>
      </c>
      <c r="V372" s="1969">
        <v>0</v>
      </c>
      <c r="W372" s="1969">
        <v>0</v>
      </c>
      <c r="X372" s="55">
        <f>'Income Eligible Deemed Table'!J13</f>
        <v>2</v>
      </c>
      <c r="Y372" s="55"/>
      <c r="Z372" s="55">
        <f t="shared" si="161"/>
        <v>2</v>
      </c>
      <c r="AA372" s="49">
        <f>'Income Eligible Deemed Table'!BB13</f>
        <v>0.32358714839129199</v>
      </c>
      <c r="AB372" s="698">
        <f>'Income Eligible Deemed Table'!K13</f>
        <v>63</v>
      </c>
      <c r="AC372" s="2582">
        <f t="shared" si="162"/>
        <v>19.241142377207545</v>
      </c>
      <c r="AD372" s="2582">
        <f t="shared" si="306"/>
        <v>0</v>
      </c>
      <c r="AE372" s="1380">
        <f>'Income Eligible Deemed Table'!BD13</f>
        <v>19.241142377207545</v>
      </c>
      <c r="AF372" s="571"/>
      <c r="AG372" s="571"/>
      <c r="AH372" s="571"/>
      <c r="AI372" s="3346" t="str">
        <f>'Income Eligible Deemed Table'!L13</f>
        <v>per measure</v>
      </c>
      <c r="AJ372" s="141"/>
      <c r="AM372" s="1596">
        <f t="shared" si="267"/>
        <v>9.4741810000000004E-4</v>
      </c>
      <c r="AN372">
        <f t="shared" si="307"/>
        <v>9.3282786125999995E-2</v>
      </c>
      <c r="AO372" s="1595">
        <f t="shared" si="268"/>
        <v>-2.1387400001016132E-7</v>
      </c>
    </row>
    <row r="373" spans="1:48" x14ac:dyDescent="0.35">
      <c r="A373" s="103" t="str">
        <f t="shared" si="159"/>
        <v>400300</v>
      </c>
      <c r="B373" s="3346" t="str">
        <f>'Income Eligible Deemed Table'!C14</f>
        <v>400300_2019_12_</v>
      </c>
      <c r="C373" s="2564" t="str">
        <f>'Income Eligible Deemed Table'!G14</f>
        <v>Cooling RES</v>
      </c>
      <c r="D373" s="3343"/>
      <c r="E373" s="3343"/>
      <c r="F373" s="3343"/>
      <c r="G373" s="3343" t="str">
        <f>'Income Eligible Deemed Table'!E14</f>
        <v>AC Tune-up /Indoor Coil (Evaporator) Cleaning MF</v>
      </c>
      <c r="H373" s="50" t="str">
        <f>'Income Eligible Deemed Table'!D14</f>
        <v>MFIE</v>
      </c>
      <c r="I373" s="1966">
        <f t="shared" si="302"/>
        <v>64</v>
      </c>
      <c r="J373" s="1966">
        <f t="shared" si="303"/>
        <v>0</v>
      </c>
      <c r="K373" s="560">
        <f>'Income Eligible Deemed Table'!F14</f>
        <v>64</v>
      </c>
      <c r="L373" s="560"/>
      <c r="M373" s="560"/>
      <c r="N373" s="560"/>
      <c r="O373" s="1967">
        <f t="shared" si="304"/>
        <v>6.0635000000000001E-2</v>
      </c>
      <c r="P373" s="1967">
        <f t="shared" si="305"/>
        <v>0</v>
      </c>
      <c r="Q373" s="1968">
        <f>'Income Eligible Deemed Table'!I14</f>
        <v>6.0635000000000001E-2</v>
      </c>
      <c r="R373" s="1968"/>
      <c r="S373" s="1968"/>
      <c r="T373" s="1968"/>
      <c r="U373" s="1969">
        <v>0</v>
      </c>
      <c r="V373" s="1969">
        <v>0</v>
      </c>
      <c r="W373" s="1969">
        <v>0</v>
      </c>
      <c r="X373" s="55">
        <f>'Income Eligible Deemed Table'!J14</f>
        <v>2</v>
      </c>
      <c r="Y373" s="55"/>
      <c r="Z373" s="55">
        <f t="shared" si="161"/>
        <v>2</v>
      </c>
      <c r="AA373" s="49">
        <f>'Income Eligible Deemed Table'!BB14</f>
        <v>0.21033493293766695</v>
      </c>
      <c r="AB373" s="698">
        <f>'Income Eligible Deemed Table'!K14</f>
        <v>63</v>
      </c>
      <c r="AC373" s="2582">
        <f t="shared" si="162"/>
        <v>12.506937966090625</v>
      </c>
      <c r="AD373" s="2582">
        <f t="shared" si="306"/>
        <v>0</v>
      </c>
      <c r="AE373" s="1380">
        <f>'Income Eligible Deemed Table'!BD14</f>
        <v>12.506937966090625</v>
      </c>
      <c r="AF373" s="571"/>
      <c r="AG373" s="571"/>
      <c r="AH373" s="571"/>
      <c r="AI373" s="3346" t="str">
        <f>'Income Eligible Deemed Table'!L14</f>
        <v>per measure</v>
      </c>
      <c r="AJ373" s="141"/>
      <c r="AM373" s="1596">
        <f t="shared" si="267"/>
        <v>9.4741810000000004E-4</v>
      </c>
      <c r="AN373">
        <f t="shared" si="307"/>
        <v>6.0634758400000002E-2</v>
      </c>
      <c r="AO373" s="1595">
        <f t="shared" si="268"/>
        <v>-2.415999999991203E-7</v>
      </c>
    </row>
    <row r="374" spans="1:48" x14ac:dyDescent="0.35">
      <c r="A374" s="103" t="str">
        <f t="shared" si="159"/>
        <v>400301</v>
      </c>
      <c r="B374" s="3346" t="str">
        <f>'Income Eligible Deemed Table'!C15</f>
        <v>400301_2019_12_</v>
      </c>
      <c r="C374" s="2564" t="str">
        <f>'Income Eligible Deemed Table'!G15</f>
        <v>Cooling RES</v>
      </c>
      <c r="D374" s="3343"/>
      <c r="E374" s="3343"/>
      <c r="F374" s="3343"/>
      <c r="G374" s="3343" t="str">
        <f>'Income Eligible Deemed Table'!E15</f>
        <v>AC Tune-up /Indoor Coil (Evaporator) Cleaning MF_CompE</v>
      </c>
      <c r="H374" s="50" t="str">
        <f>'Income Eligible Deemed Table'!D15</f>
        <v>MFIEc</v>
      </c>
      <c r="I374" s="1966">
        <f t="shared" si="302"/>
        <v>46.54</v>
      </c>
      <c r="J374" s="1966">
        <f t="shared" si="303"/>
        <v>0</v>
      </c>
      <c r="K374" s="560">
        <f>'Income Eligible Deemed Table'!F15</f>
        <v>46.54</v>
      </c>
      <c r="L374" s="560"/>
      <c r="M374" s="560"/>
      <c r="N374" s="560"/>
      <c r="O374" s="1967">
        <f t="shared" si="304"/>
        <v>4.4093E-2</v>
      </c>
      <c r="P374" s="1967">
        <f t="shared" si="305"/>
        <v>0</v>
      </c>
      <c r="Q374" s="1968">
        <f>'Income Eligible Deemed Table'!I15</f>
        <v>4.4093E-2</v>
      </c>
      <c r="R374" s="1968"/>
      <c r="S374" s="1968"/>
      <c r="T374" s="1968"/>
      <c r="U374" s="1969">
        <v>0</v>
      </c>
      <c r="V374" s="1969">
        <v>0</v>
      </c>
      <c r="W374" s="1969">
        <v>0</v>
      </c>
      <c r="X374" s="55">
        <f>'Income Eligible Deemed Table'!J15</f>
        <v>2</v>
      </c>
      <c r="Y374" s="55"/>
      <c r="Z374" s="55">
        <f t="shared" si="161"/>
        <v>2</v>
      </c>
      <c r="AA374" s="49">
        <f>'Income Eligible Deemed Table'!BB15</f>
        <v>0.1529529340456097</v>
      </c>
      <c r="AB374" s="698">
        <f>'Income Eligible Deemed Table'!K15</f>
        <v>63</v>
      </c>
      <c r="AC374" s="2582">
        <f t="shared" si="162"/>
        <v>9.094888952216527</v>
      </c>
      <c r="AD374" s="2582">
        <f t="shared" si="306"/>
        <v>0</v>
      </c>
      <c r="AE374" s="1380">
        <f>'Income Eligible Deemed Table'!BD15</f>
        <v>9.094888952216527</v>
      </c>
      <c r="AF374" s="571"/>
      <c r="AG374" s="571"/>
      <c r="AH374" s="571"/>
      <c r="AI374" s="3346" t="str">
        <f>'Income Eligible Deemed Table'!L15</f>
        <v>per measure</v>
      </c>
      <c r="AJ374" s="141"/>
      <c r="AM374" s="1596">
        <f t="shared" si="267"/>
        <v>9.4741810000000004E-4</v>
      </c>
      <c r="AN374">
        <f t="shared" si="307"/>
        <v>4.4092838374E-2</v>
      </c>
      <c r="AO374" s="1595">
        <f t="shared" si="268"/>
        <v>-1.6162600000035887E-7</v>
      </c>
    </row>
    <row r="375" spans="1:48" x14ac:dyDescent="0.35">
      <c r="A375" s="103" t="str">
        <f t="shared" ref="A375:A439" si="308">LEFT(B375,6)</f>
        <v>400350</v>
      </c>
      <c r="B375" s="3346" t="str">
        <f>'Income Eligible Deemed Table'!C16</f>
        <v>400350_2019_12_</v>
      </c>
      <c r="C375" s="2564" t="str">
        <f>'Income Eligible Deemed Table'!G16</f>
        <v>Cooling RES</v>
      </c>
      <c r="D375" s="3343"/>
      <c r="E375" s="3343"/>
      <c r="F375" s="3343"/>
      <c r="G375" s="3343" t="str">
        <f>'Income Eligible Deemed Table'!E16</f>
        <v>AC Tune-up /Outdoor Coil (Condenser) Cleaning SF</v>
      </c>
      <c r="H375" s="50" t="str">
        <f>'Income Eligible Deemed Table'!D16</f>
        <v>SFIE</v>
      </c>
      <c r="I375" s="1966">
        <f t="shared" si="302"/>
        <v>196.91</v>
      </c>
      <c r="J375" s="1966">
        <f t="shared" si="303"/>
        <v>0</v>
      </c>
      <c r="K375" s="560">
        <f>'Income Eligible Deemed Table'!F16</f>
        <v>196.91</v>
      </c>
      <c r="L375" s="560"/>
      <c r="M375" s="560"/>
      <c r="N375" s="560"/>
      <c r="O375" s="1967">
        <f t="shared" si="304"/>
        <v>0.186556</v>
      </c>
      <c r="P375" s="1967">
        <f t="shared" si="305"/>
        <v>0</v>
      </c>
      <c r="Q375" s="1968">
        <f>'Income Eligible Deemed Table'!I16</f>
        <v>0.186556</v>
      </c>
      <c r="R375" s="1968"/>
      <c r="S375" s="1968"/>
      <c r="T375" s="1968"/>
      <c r="U375" s="1969">
        <v>0</v>
      </c>
      <c r="V375" s="1969">
        <v>0</v>
      </c>
      <c r="W375" s="1969">
        <v>0</v>
      </c>
      <c r="X375" s="55">
        <f>'Income Eligible Deemed Table'!J16</f>
        <v>2</v>
      </c>
      <c r="Y375" s="55"/>
      <c r="Z375" s="55">
        <f t="shared" ref="Z375:Z439" si="309">Y375+X375</f>
        <v>2</v>
      </c>
      <c r="AA375" s="49">
        <f>'Income Eligible Deemed Table'!BB16</f>
        <v>1.3151583939615059</v>
      </c>
      <c r="AB375" s="698">
        <f>'Income Eligible Deemed Table'!K16</f>
        <v>31</v>
      </c>
      <c r="AC375" s="2582">
        <f t="shared" ref="AC375:AC439" si="310">AE375+AF375</f>
        <v>38.480330545357887</v>
      </c>
      <c r="AD375" s="2582">
        <f t="shared" si="306"/>
        <v>0</v>
      </c>
      <c r="AE375" s="1380">
        <f>'Income Eligible Deemed Table'!BD16</f>
        <v>38.480330545357887</v>
      </c>
      <c r="AF375" s="571"/>
      <c r="AG375" s="571"/>
      <c r="AH375" s="571"/>
      <c r="AI375" s="3346" t="str">
        <f>'Income Eligible Deemed Table'!L16</f>
        <v>per measure</v>
      </c>
      <c r="AJ375" s="141"/>
      <c r="AM375" s="1596">
        <f t="shared" si="267"/>
        <v>9.4741810000000004E-4</v>
      </c>
      <c r="AN375">
        <f t="shared" si="307"/>
        <v>0.18655609807100001</v>
      </c>
      <c r="AO375" s="1595">
        <f t="shared" si="268"/>
        <v>9.807100001535396E-8</v>
      </c>
    </row>
    <row r="376" spans="1:48" s="84" customFormat="1" x14ac:dyDescent="0.35">
      <c r="A376" s="103" t="str">
        <f t="shared" si="308"/>
        <v>400400</v>
      </c>
      <c r="B376" s="3346" t="str">
        <f>'Income Eligible Deemed Table'!C17</f>
        <v>400400_2019_12_</v>
      </c>
      <c r="C376" s="2564" t="str">
        <f>'Income Eligible Deemed Table'!G17</f>
        <v>Cooling RES</v>
      </c>
      <c r="D376" s="3343"/>
      <c r="E376" s="3343"/>
      <c r="F376" s="3343"/>
      <c r="G376" s="3343" t="str">
        <f>'Income Eligible Deemed Table'!E17</f>
        <v>AC Tune-up /Outdoor Coil (Condenser) Cleaning MF</v>
      </c>
      <c r="H376" s="50" t="str">
        <f>'Income Eligible Deemed Table'!D17</f>
        <v>MFIE</v>
      </c>
      <c r="I376" s="1966">
        <f t="shared" si="302"/>
        <v>127.99</v>
      </c>
      <c r="J376" s="1966">
        <f t="shared" si="303"/>
        <v>0</v>
      </c>
      <c r="K376" s="560">
        <f>'Income Eligible Deemed Table'!F17</f>
        <v>127.99</v>
      </c>
      <c r="L376" s="560"/>
      <c r="M376" s="560"/>
      <c r="N376" s="560"/>
      <c r="O376" s="1967">
        <f t="shared" si="304"/>
        <v>0.12126000000000001</v>
      </c>
      <c r="P376" s="1967">
        <f t="shared" si="305"/>
        <v>0</v>
      </c>
      <c r="Q376" s="1968">
        <f>'Income Eligible Deemed Table'!I17</f>
        <v>0.12126000000000001</v>
      </c>
      <c r="R376" s="1968"/>
      <c r="S376" s="1968"/>
      <c r="T376" s="1968"/>
      <c r="U376" s="1969">
        <v>0</v>
      </c>
      <c r="V376" s="1969">
        <v>0</v>
      </c>
      <c r="W376" s="1969">
        <v>0</v>
      </c>
      <c r="X376" s="55">
        <f>'Income Eligible Deemed Table'!J17</f>
        <v>2</v>
      </c>
      <c r="Y376" s="55"/>
      <c r="Z376" s="55">
        <f t="shared" si="309"/>
        <v>2</v>
      </c>
      <c r="AA376" s="49">
        <f>'Income Eligible Deemed Table'!BB17</f>
        <v>0.85484293760161068</v>
      </c>
      <c r="AB376" s="698">
        <f>'Income Eligible Deemed Table'!K17</f>
        <v>31</v>
      </c>
      <c r="AC376" s="2582">
        <f t="shared" si="310"/>
        <v>25.011921723124047</v>
      </c>
      <c r="AD376" s="2582">
        <f t="shared" si="306"/>
        <v>0</v>
      </c>
      <c r="AE376" s="1380">
        <f>'Income Eligible Deemed Table'!BD17</f>
        <v>25.011921723124047</v>
      </c>
      <c r="AF376" s="571"/>
      <c r="AG376" s="571"/>
      <c r="AH376" s="571"/>
      <c r="AI376" s="3346" t="str">
        <f>'Income Eligible Deemed Table'!L17</f>
        <v>per measure</v>
      </c>
      <c r="AJ376" s="141"/>
      <c r="AK376"/>
      <c r="AL376"/>
      <c r="AM376" s="1596">
        <f t="shared" si="267"/>
        <v>9.4741810000000004E-4</v>
      </c>
      <c r="AN376">
        <f t="shared" si="307"/>
        <v>0.121260042619</v>
      </c>
      <c r="AO376" s="1595">
        <f t="shared" si="268"/>
        <v>4.2618999995802653E-8</v>
      </c>
      <c r="AP376"/>
      <c r="AQ376"/>
      <c r="AR376"/>
      <c r="AS376"/>
      <c r="AT376"/>
      <c r="AU376"/>
      <c r="AV376"/>
    </row>
    <row r="377" spans="1:48" s="84" customFormat="1" x14ac:dyDescent="0.35">
      <c r="A377" s="103" t="str">
        <f t="shared" si="308"/>
        <v>400401</v>
      </c>
      <c r="B377" s="3346" t="str">
        <f>'Income Eligible Deemed Table'!C18</f>
        <v>400401_2019_12_</v>
      </c>
      <c r="C377" s="2564" t="str">
        <f>'Income Eligible Deemed Table'!G18</f>
        <v>Cooling RES</v>
      </c>
      <c r="D377" s="3343"/>
      <c r="E377" s="3343"/>
      <c r="F377" s="3343"/>
      <c r="G377" s="3343" t="str">
        <f>'Income Eligible Deemed Table'!E18</f>
        <v>AC Tune-up /Outdoor Coil (Condenser) Cleaning MF_CompE</v>
      </c>
      <c r="H377" s="50" t="str">
        <f>'Income Eligible Deemed Table'!D18</f>
        <v>MFIEc</v>
      </c>
      <c r="I377" s="1966">
        <f t="shared" si="302"/>
        <v>93.09</v>
      </c>
      <c r="J377" s="1966">
        <f t="shared" si="303"/>
        <v>0</v>
      </c>
      <c r="K377" s="560">
        <f>'Income Eligible Deemed Table'!F18</f>
        <v>93.09</v>
      </c>
      <c r="L377" s="560"/>
      <c r="M377" s="560"/>
      <c r="N377" s="560"/>
      <c r="O377" s="1967">
        <f t="shared" si="304"/>
        <v>8.8194999999999996E-2</v>
      </c>
      <c r="P377" s="1967">
        <f t="shared" si="305"/>
        <v>0</v>
      </c>
      <c r="Q377" s="1968">
        <f>'Income Eligible Deemed Table'!I18</f>
        <v>8.8194999999999996E-2</v>
      </c>
      <c r="R377" s="1968"/>
      <c r="S377" s="1968"/>
      <c r="T377" s="1968"/>
      <c r="U377" s="1969">
        <v>0</v>
      </c>
      <c r="V377" s="1969">
        <v>0</v>
      </c>
      <c r="W377" s="1969">
        <v>0</v>
      </c>
      <c r="X377" s="55">
        <f>'Income Eligible Deemed Table'!J18</f>
        <v>2</v>
      </c>
      <c r="Y377" s="55"/>
      <c r="Z377" s="55">
        <f t="shared" si="309"/>
        <v>2</v>
      </c>
      <c r="AA377" s="49">
        <f>'Income Eligible Deemed Table'!BB18</f>
        <v>0.62174645723364275</v>
      </c>
      <c r="AB377" s="698">
        <f>'Income Eligible Deemed Table'!K18</f>
        <v>31</v>
      </c>
      <c r="AC377" s="2582">
        <f t="shared" si="310"/>
        <v>18.191732113490254</v>
      </c>
      <c r="AD377" s="2582">
        <f t="shared" si="306"/>
        <v>0</v>
      </c>
      <c r="AE377" s="1380">
        <f>'Income Eligible Deemed Table'!BD18</f>
        <v>18.191732113490254</v>
      </c>
      <c r="AF377" s="571"/>
      <c r="AG377" s="571"/>
      <c r="AH377" s="571"/>
      <c r="AI377" s="3346" t="str">
        <f>'Income Eligible Deemed Table'!L18</f>
        <v>per measure</v>
      </c>
      <c r="AJ377" s="141"/>
      <c r="AK377"/>
      <c r="AL377"/>
      <c r="AM377" s="1596">
        <f t="shared" si="267"/>
        <v>9.4741810000000004E-4</v>
      </c>
      <c r="AN377">
        <f t="shared" si="307"/>
        <v>8.8195150929000002E-2</v>
      </c>
      <c r="AO377" s="1595">
        <f t="shared" si="268"/>
        <v>1.509290000062391E-7</v>
      </c>
      <c r="AP377"/>
      <c r="AQ377"/>
      <c r="AR377"/>
      <c r="AS377"/>
      <c r="AT377"/>
      <c r="AU377"/>
      <c r="AV377"/>
    </row>
    <row r="378" spans="1:48" s="84" customFormat="1" x14ac:dyDescent="0.35">
      <c r="A378" s="103" t="str">
        <f t="shared" si="308"/>
        <v>400410</v>
      </c>
      <c r="B378" s="3346" t="str">
        <f>'Income Eligible Deemed Table'!C19</f>
        <v>400410_2021_12</v>
      </c>
      <c r="C378" s="2564" t="str">
        <f>'Income Eligible Deemed Table'!G19</f>
        <v>Cooling RES</v>
      </c>
      <c r="D378" s="3343"/>
      <c r="E378" s="3343"/>
      <c r="F378" s="3343"/>
      <c r="G378" s="3343" t="str">
        <f>'Income Eligible Deemed Table'!E19</f>
        <v>AC Tune-up / Packaged Service SF</v>
      </c>
      <c r="H378" s="50" t="str">
        <f>'Income Eligible Deemed Table'!D19</f>
        <v>SFIE</v>
      </c>
      <c r="I378" s="1966">
        <f t="shared" si="302"/>
        <v>370.29</v>
      </c>
      <c r="J378" s="1966">
        <f t="shared" si="303"/>
        <v>0</v>
      </c>
      <c r="K378" s="560">
        <f>'Income Eligible Deemed Table'!F19</f>
        <v>370.29</v>
      </c>
      <c r="L378" s="560"/>
      <c r="M378" s="560"/>
      <c r="N378" s="560"/>
      <c r="O378" s="1967">
        <f t="shared" si="304"/>
        <v>0.35081899999999999</v>
      </c>
      <c r="P378" s="1967">
        <f t="shared" si="305"/>
        <v>0</v>
      </c>
      <c r="Q378" s="1968">
        <f>'Income Eligible Deemed Table'!I19</f>
        <v>0.35081899999999999</v>
      </c>
      <c r="R378" s="1968"/>
      <c r="S378" s="1968"/>
      <c r="T378" s="1968"/>
      <c r="U378" s="1969">
        <v>0</v>
      </c>
      <c r="V378" s="1969">
        <v>0</v>
      </c>
      <c r="W378" s="1969">
        <v>0</v>
      </c>
      <c r="X378" s="55">
        <f>'Income Eligible Deemed Table'!J19</f>
        <v>2</v>
      </c>
      <c r="Y378" s="55"/>
      <c r="Z378" s="55">
        <f t="shared" si="309"/>
        <v>2</v>
      </c>
      <c r="AA378" s="49">
        <f>'Income Eligible Deemed Table'!BB19</f>
        <v>0.41442146165555649</v>
      </c>
      <c r="AB378" s="698">
        <f>'Income Eligible Deemed Table'!K19</f>
        <v>185</v>
      </c>
      <c r="AC378" s="2582">
        <f t="shared" si="310"/>
        <v>72.362407179120282</v>
      </c>
      <c r="AD378" s="2582">
        <f t="shared" si="306"/>
        <v>0</v>
      </c>
      <c r="AE378" s="1380">
        <f>'Income Eligible Deemed Table'!BD19</f>
        <v>72.362407179120282</v>
      </c>
      <c r="AF378" s="571"/>
      <c r="AG378" s="571"/>
      <c r="AH378" s="571"/>
      <c r="AI378" s="3346" t="str">
        <f>'Income Eligible Deemed Table'!L19</f>
        <v>per measure</v>
      </c>
      <c r="AJ378" s="1589"/>
      <c r="AM378" s="1961">
        <f t="shared" si="267"/>
        <v>9.4741810000000004E-4</v>
      </c>
      <c r="AN378" s="84">
        <f t="shared" si="307"/>
        <v>0.35081944824900002</v>
      </c>
      <c r="AO378" s="1965">
        <f t="shared" si="268"/>
        <v>4.48249000029044E-7</v>
      </c>
    </row>
    <row r="379" spans="1:48" x14ac:dyDescent="0.35">
      <c r="A379" s="103" t="str">
        <f t="shared" si="308"/>
        <v>400411</v>
      </c>
      <c r="B379" s="3346" t="str">
        <f>'Income Eligible Deemed Table'!C20</f>
        <v>400411_2021_12</v>
      </c>
      <c r="C379" s="2564" t="str">
        <f>'Income Eligible Deemed Table'!G20</f>
        <v>Cooling RES</v>
      </c>
      <c r="D379" s="3343"/>
      <c r="E379" s="3343"/>
      <c r="F379" s="3343"/>
      <c r="G379" s="3343" t="str">
        <f>'Income Eligible Deemed Table'!E20</f>
        <v>AC Tune-up / Packaged Service MF</v>
      </c>
      <c r="H379" s="50" t="str">
        <f>'Income Eligible Deemed Table'!D20</f>
        <v>MFIE</v>
      </c>
      <c r="I379" s="1966">
        <f t="shared" si="302"/>
        <v>240.69</v>
      </c>
      <c r="J379" s="1966">
        <f t="shared" si="303"/>
        <v>0</v>
      </c>
      <c r="K379" s="560">
        <f>'Income Eligible Deemed Table'!F20</f>
        <v>240.69</v>
      </c>
      <c r="L379" s="560"/>
      <c r="M379" s="560"/>
      <c r="N379" s="560"/>
      <c r="O379" s="1967">
        <f t="shared" si="304"/>
        <v>0.22803399999999999</v>
      </c>
      <c r="P379" s="1967">
        <f t="shared" si="305"/>
        <v>0</v>
      </c>
      <c r="Q379" s="1968">
        <f>'Income Eligible Deemed Table'!I20</f>
        <v>0.22803399999999999</v>
      </c>
      <c r="R379" s="1968"/>
      <c r="S379" s="1968"/>
      <c r="T379" s="1968"/>
      <c r="U379" s="1969">
        <v>0</v>
      </c>
      <c r="V379" s="1969">
        <v>0</v>
      </c>
      <c r="W379" s="1969">
        <v>0</v>
      </c>
      <c r="X379" s="55">
        <f>'Income Eligible Deemed Table'!J20</f>
        <v>2</v>
      </c>
      <c r="Y379" s="55"/>
      <c r="Z379" s="55">
        <f t="shared" si="309"/>
        <v>2</v>
      </c>
      <c r="AA379" s="49">
        <f>'Income Eligible Deemed Table'!BB20</f>
        <v>0.26937562884732474</v>
      </c>
      <c r="AB379" s="698">
        <f>'Income Eligible Deemed Table'!K20</f>
        <v>185</v>
      </c>
      <c r="AC379" s="2582">
        <f t="shared" si="310"/>
        <v>47.035857797786761</v>
      </c>
      <c r="AD379" s="2582">
        <f t="shared" si="306"/>
        <v>0</v>
      </c>
      <c r="AE379" s="1380">
        <f>'Income Eligible Deemed Table'!BD20</f>
        <v>47.035857797786761</v>
      </c>
      <c r="AF379" s="571"/>
      <c r="AG379" s="571"/>
      <c r="AH379" s="571"/>
      <c r="AI379" s="3346" t="str">
        <f>'Income Eligible Deemed Table'!L20</f>
        <v>per measure</v>
      </c>
      <c r="AJ379" s="1589"/>
      <c r="AK379" s="84"/>
      <c r="AL379" s="84"/>
      <c r="AM379" s="1961">
        <f t="shared" si="267"/>
        <v>9.4741810000000004E-4</v>
      </c>
      <c r="AN379" s="84">
        <f t="shared" si="307"/>
        <v>0.22803406248900002</v>
      </c>
      <c r="AO379" s="1965">
        <f t="shared" si="268"/>
        <v>6.2489000030030439E-8</v>
      </c>
      <c r="AP379" s="84"/>
      <c r="AQ379" s="84"/>
      <c r="AR379" s="84"/>
      <c r="AS379" s="84"/>
      <c r="AT379" s="84"/>
      <c r="AU379" s="84"/>
      <c r="AV379" s="84"/>
    </row>
    <row r="380" spans="1:48" x14ac:dyDescent="0.35">
      <c r="A380" s="103" t="str">
        <f t="shared" si="308"/>
        <v>400412</v>
      </c>
      <c r="B380" s="3346" t="str">
        <f>'Income Eligible Deemed Table'!C21</f>
        <v>400412_2021_12</v>
      </c>
      <c r="C380" s="2564" t="str">
        <f>'Income Eligible Deemed Table'!G21</f>
        <v>Cooling RES</v>
      </c>
      <c r="D380" s="3343"/>
      <c r="E380" s="3343"/>
      <c r="F380" s="3343"/>
      <c r="G380" s="3343" t="str">
        <f>'Income Eligible Deemed Table'!E21</f>
        <v>AC Tune-up / Packaged Service MF_CompE</v>
      </c>
      <c r="H380" s="50" t="str">
        <f>'Income Eligible Deemed Table'!D21</f>
        <v>MFIEc</v>
      </c>
      <c r="I380" s="1966">
        <f t="shared" si="302"/>
        <v>175.05</v>
      </c>
      <c r="J380" s="1966">
        <f t="shared" si="303"/>
        <v>0</v>
      </c>
      <c r="K380" s="560">
        <f>'Income Eligible Deemed Table'!F21</f>
        <v>175.05</v>
      </c>
      <c r="L380" s="560"/>
      <c r="M380" s="560"/>
      <c r="N380" s="560"/>
      <c r="O380" s="1967">
        <f t="shared" si="304"/>
        <v>0.16584599999999999</v>
      </c>
      <c r="P380" s="1967">
        <f t="shared" si="305"/>
        <v>0</v>
      </c>
      <c r="Q380" s="1968">
        <f>'Income Eligible Deemed Table'!I21</f>
        <v>0.16584599999999999</v>
      </c>
      <c r="R380" s="1968"/>
      <c r="S380" s="1968"/>
      <c r="T380" s="1968"/>
      <c r="U380" s="1969">
        <v>0</v>
      </c>
      <c r="V380" s="1969">
        <v>0</v>
      </c>
      <c r="W380" s="1969">
        <v>0</v>
      </c>
      <c r="X380" s="55">
        <f>'Income Eligible Deemed Table'!J21</f>
        <v>2</v>
      </c>
      <c r="Y380" s="55"/>
      <c r="Z380" s="55">
        <f t="shared" si="309"/>
        <v>2</v>
      </c>
      <c r="AA380" s="49">
        <f>'Income Eligible Deemed Table'!BB21</f>
        <v>0.19591260056389631</v>
      </c>
      <c r="AB380" s="698">
        <f>'Income Eligible Deemed Table'!K21</f>
        <v>185</v>
      </c>
      <c r="AC380" s="2582">
        <f t="shared" si="310"/>
        <v>34.208429546315067</v>
      </c>
      <c r="AD380" s="2582">
        <f t="shared" si="306"/>
        <v>0</v>
      </c>
      <c r="AE380" s="1380">
        <f>'Income Eligible Deemed Table'!BD21</f>
        <v>34.208429546315067</v>
      </c>
      <c r="AF380" s="571"/>
      <c r="AG380" s="571"/>
      <c r="AH380" s="571"/>
      <c r="AI380" s="3346" t="str">
        <f>'Income Eligible Deemed Table'!L21</f>
        <v>per measure</v>
      </c>
      <c r="AJ380" s="1589"/>
      <c r="AK380" s="84"/>
      <c r="AL380" s="84"/>
      <c r="AM380" s="1961">
        <f t="shared" si="267"/>
        <v>9.4741810000000004E-4</v>
      </c>
      <c r="AN380" s="84">
        <f t="shared" si="307"/>
        <v>0.16584553840500002</v>
      </c>
      <c r="AO380" s="1965">
        <f t="shared" si="268"/>
        <v>-4.6159499997311393E-7</v>
      </c>
      <c r="AP380" s="84"/>
      <c r="AQ380" s="84"/>
      <c r="AR380" s="84"/>
      <c r="AS380" s="84"/>
      <c r="AT380" s="84"/>
      <c r="AU380" s="84"/>
      <c r="AV380" s="84"/>
    </row>
    <row r="381" spans="1:48" x14ac:dyDescent="0.35">
      <c r="A381" s="103" t="str">
        <f t="shared" si="308"/>
        <v>400450</v>
      </c>
      <c r="B381" s="3346" t="str">
        <f>'Income Eligible Deemed Table'!C59</f>
        <v>400450_2019_12_</v>
      </c>
      <c r="C381" s="3343" t="str">
        <f>'Income Eligible Deemed Table'!G59</f>
        <v>Building Shell RES</v>
      </c>
      <c r="D381" s="3343"/>
      <c r="E381" s="3343"/>
      <c r="F381" s="3343"/>
      <c r="G381" s="3343" t="str">
        <f>'Income Eligible Deemed Table'!E59</f>
        <v>Air Sealing (Infiltration reduction) - 30% MF IE DI electric furnace base</v>
      </c>
      <c r="H381" s="50" t="str">
        <f>'Income Eligible Deemed Table'!D59</f>
        <v>MFIE</v>
      </c>
      <c r="I381" s="1966">
        <f>'Income Eligible Deemed Table'!F59</f>
        <v>0.33</v>
      </c>
      <c r="J381" s="1966">
        <f t="shared" si="303"/>
        <v>0</v>
      </c>
      <c r="K381" s="2565"/>
      <c r="L381" s="2565"/>
      <c r="M381" s="560"/>
      <c r="N381" s="560"/>
      <c r="O381" s="1967">
        <f>'Income Eligible Deemed Table'!K59</f>
        <v>1.54E-4</v>
      </c>
      <c r="P381" s="1967">
        <f t="shared" si="305"/>
        <v>0</v>
      </c>
      <c r="Q381" s="2566"/>
      <c r="R381" s="2566"/>
      <c r="S381" s="1968"/>
      <c r="T381" s="1968"/>
      <c r="U381" s="1969"/>
      <c r="V381" s="1969"/>
      <c r="W381" s="1969">
        <f t="shared" ref="W381:W413" si="311">O381</f>
        <v>1.54E-4</v>
      </c>
      <c r="X381" s="55">
        <f>'Income Eligible Deemed Table'!L59</f>
        <v>15</v>
      </c>
      <c r="Y381" s="55"/>
      <c r="Z381" s="55">
        <f t="shared" si="309"/>
        <v>15</v>
      </c>
      <c r="AA381" s="49">
        <f>'Income Eligible Deemed Table'!BB59</f>
        <v>2.7271411582675276</v>
      </c>
      <c r="AB381" s="698">
        <f>'Income Eligible Deemed Table'!M59</f>
        <v>0.12</v>
      </c>
      <c r="AC381" s="2582">
        <f t="shared" si="310"/>
        <v>0.30887865879386811</v>
      </c>
      <c r="AD381" s="2582">
        <f t="shared" si="306"/>
        <v>0</v>
      </c>
      <c r="AE381" s="1380">
        <f>'Income Eligible Deemed Table'!BD59</f>
        <v>0.30887865879386811</v>
      </c>
      <c r="AF381" s="571"/>
      <c r="AG381" s="571"/>
      <c r="AH381" s="571"/>
      <c r="AI381" s="2590" t="str">
        <f>'Income Eligible Deemed Table'!N58</f>
        <v>Units (sq. ft)</v>
      </c>
      <c r="AJ381" s="141"/>
      <c r="AM381" s="1596">
        <f t="shared" si="267"/>
        <v>4.6608050000000002E-4</v>
      </c>
      <c r="AN381">
        <f t="shared" si="307"/>
        <v>1.53806565E-4</v>
      </c>
      <c r="AO381" s="1595">
        <f t="shared" si="268"/>
        <v>-1.9343499999999961E-7</v>
      </c>
    </row>
    <row r="382" spans="1:48" x14ac:dyDescent="0.35">
      <c r="A382" s="103" t="str">
        <f t="shared" si="308"/>
        <v>400500</v>
      </c>
      <c r="B382" s="3346" t="str">
        <f>'Income Eligible Deemed Table'!C60</f>
        <v>400500_2019_12_</v>
      </c>
      <c r="C382" s="3343" t="str">
        <f>'Income Eligible Deemed Table'!G60</f>
        <v>Building Shell RES</v>
      </c>
      <c r="D382" s="3343"/>
      <c r="E382" s="3343"/>
      <c r="F382" s="3343"/>
      <c r="G382" s="3343" t="str">
        <f>'Income Eligible Deemed Table'!E60</f>
        <v>Air Sealing (Infiltration reduction) - 30% MF IE DI heat pump base</v>
      </c>
      <c r="H382" s="50"/>
      <c r="I382" s="1966">
        <f>'Income Eligible Deemed Table'!F60</f>
        <v>0.25</v>
      </c>
      <c r="J382" s="1966">
        <f t="shared" si="303"/>
        <v>0</v>
      </c>
      <c r="K382" s="2565"/>
      <c r="L382" s="2565"/>
      <c r="M382" s="560"/>
      <c r="N382" s="560"/>
      <c r="O382" s="1967">
        <f>'Income Eligible Deemed Table'!K60</f>
        <v>1.17E-4</v>
      </c>
      <c r="P382" s="1967">
        <f t="shared" si="305"/>
        <v>0</v>
      </c>
      <c r="Q382" s="2566"/>
      <c r="R382" s="2566"/>
      <c r="S382" s="1968"/>
      <c r="T382" s="1968"/>
      <c r="U382" s="1969"/>
      <c r="V382" s="1969"/>
      <c r="W382" s="1969">
        <f t="shared" si="311"/>
        <v>1.17E-4</v>
      </c>
      <c r="X382" s="55">
        <f>'Income Eligible Deemed Table'!L60</f>
        <v>15</v>
      </c>
      <c r="Y382" s="55"/>
      <c r="Z382" s="55">
        <f t="shared" si="309"/>
        <v>15</v>
      </c>
      <c r="AA382" s="49">
        <f>'Income Eligible Deemed Table'!BB60</f>
        <v>2.0660160289905511</v>
      </c>
      <c r="AB382" s="698">
        <f>'Income Eligible Deemed Table'!M60</f>
        <v>0.12</v>
      </c>
      <c r="AC382" s="2582">
        <f t="shared" si="310"/>
        <v>0.23399898393474858</v>
      </c>
      <c r="AD382" s="2582">
        <f t="shared" si="306"/>
        <v>0</v>
      </c>
      <c r="AE382" s="1380">
        <f>'Income Eligible Deemed Table'!BD60</f>
        <v>0.23399898393474858</v>
      </c>
      <c r="AF382" s="571"/>
      <c r="AG382" s="571"/>
      <c r="AH382" s="571"/>
      <c r="AI382" s="2590" t="str">
        <f t="shared" ref="AI382:AI389" si="312">AI381</f>
        <v>Units (sq. ft)</v>
      </c>
      <c r="AJ382" s="141"/>
      <c r="AM382" s="1596">
        <f t="shared" si="267"/>
        <v>4.6608050000000002E-4</v>
      </c>
      <c r="AN382">
        <f t="shared" si="307"/>
        <v>1.16520125E-4</v>
      </c>
      <c r="AO382" s="1595">
        <f t="shared" si="268"/>
        <v>-4.7987499999999344E-7</v>
      </c>
    </row>
    <row r="383" spans="1:48" s="84" customFormat="1" x14ac:dyDescent="0.35">
      <c r="A383" s="1618" t="str">
        <f t="shared" si="308"/>
        <v>400501</v>
      </c>
      <c r="B383" s="1590" t="str">
        <f>'Income Eligible Deemed Table'!C61</f>
        <v>400501_2022_12_</v>
      </c>
      <c r="C383" s="1589" t="str">
        <f>'Income Eligible Deemed Table'!G61</f>
        <v>Building Shell RES</v>
      </c>
      <c r="D383" s="1589"/>
      <c r="E383" s="1589"/>
      <c r="F383" s="1589"/>
      <c r="G383" s="1589" t="str">
        <f>'Income Eligible Deemed Table'!E61</f>
        <v>Air Sealing (Infiltration reduction) - 30% MF IE DI gas furnace base</v>
      </c>
      <c r="H383" s="1599"/>
      <c r="I383" s="1597">
        <f>'Income Eligible Deemed Table'!F61</f>
        <v>0.05</v>
      </c>
      <c r="J383" s="1597">
        <f t="shared" ref="J383" si="313">M383+N383</f>
        <v>0</v>
      </c>
      <c r="K383" s="3386"/>
      <c r="L383" s="3386"/>
      <c r="M383" s="1591"/>
      <c r="N383" s="1591"/>
      <c r="O383" s="1598">
        <f>'Income Eligible Deemed Table'!K61</f>
        <v>2.3E-5</v>
      </c>
      <c r="P383" s="1598">
        <f t="shared" ref="P383" si="314">S383+T383</f>
        <v>0</v>
      </c>
      <c r="Q383" s="3387"/>
      <c r="R383" s="3387"/>
      <c r="S383" s="1600"/>
      <c r="T383" s="1600"/>
      <c r="U383" s="1569"/>
      <c r="V383" s="1569"/>
      <c r="W383" s="1569">
        <f t="shared" ref="W383" si="315">O383</f>
        <v>2.3E-5</v>
      </c>
      <c r="X383" s="1583">
        <f>'Income Eligible Deemed Table'!L61</f>
        <v>15</v>
      </c>
      <c r="Y383" s="1583"/>
      <c r="Z383" s="1583">
        <f t="shared" ref="Z383" si="316">Y383+X383</f>
        <v>15</v>
      </c>
      <c r="AA383" s="322">
        <f>'Income Eligible Deemed Table'!BB61</f>
        <v>0.41320320579811032</v>
      </c>
      <c r="AB383" s="1955">
        <f>'Income Eligible Deemed Table'!M61</f>
        <v>0.12</v>
      </c>
      <c r="AC383" s="1960">
        <f t="shared" ref="AC383" si="317">AE383+AF383</f>
        <v>4.6799796786949718E-2</v>
      </c>
      <c r="AD383" s="1960">
        <f t="shared" ref="AD383" si="318">AG383+AH383</f>
        <v>0</v>
      </c>
      <c r="AE383" s="1976">
        <f>'Income Eligible Deemed Table'!BD61</f>
        <v>4.6799796786949718E-2</v>
      </c>
      <c r="AF383" s="1604"/>
      <c r="AG383" s="1604"/>
      <c r="AH383" s="1604"/>
      <c r="AI383" s="3388" t="str">
        <f t="shared" ref="AI383" si="319">AI382</f>
        <v>Units (sq. ft)</v>
      </c>
      <c r="AJ383" s="1589"/>
      <c r="AM383" s="1961">
        <f t="shared" ref="AM383" si="320">VLOOKUP(C383,$AS$10:$AT$33,2,FALSE)</f>
        <v>4.6608050000000002E-4</v>
      </c>
      <c r="AN383" s="84">
        <f t="shared" ref="AN383" si="321">AM383*I383</f>
        <v>2.3304025000000001E-5</v>
      </c>
      <c r="AO383" s="1965">
        <f t="shared" ref="AO383" si="322">AN383-O383</f>
        <v>3.0402500000000087E-7</v>
      </c>
    </row>
    <row r="384" spans="1:48" x14ac:dyDescent="0.35">
      <c r="A384" s="103" t="str">
        <f t="shared" si="308"/>
        <v>400550</v>
      </c>
      <c r="B384" s="3346" t="str">
        <f>'Income Eligible Deemed Table'!C62</f>
        <v>400550_2019_12_</v>
      </c>
      <c r="C384" s="3343" t="str">
        <f>'Income Eligible Deemed Table'!G62</f>
        <v>Building Shell RES</v>
      </c>
      <c r="D384" s="3343"/>
      <c r="E384" s="3343"/>
      <c r="F384" s="3343"/>
      <c r="G384" s="3343" t="str">
        <f>'Income Eligible Deemed Table'!E62</f>
        <v>Air Sealing (Infiltration reduction) - 30% SF IE DI electric furnace base</v>
      </c>
      <c r="H384" s="50"/>
      <c r="I384" s="1966">
        <f>'Income Eligible Deemed Table'!F62</f>
        <v>0.36</v>
      </c>
      <c r="J384" s="1966">
        <f t="shared" si="303"/>
        <v>0</v>
      </c>
      <c r="K384" s="2565"/>
      <c r="L384" s="2565"/>
      <c r="M384" s="560"/>
      <c r="N384" s="560"/>
      <c r="O384" s="1967">
        <f>'Income Eligible Deemed Table'!K62</f>
        <v>1.6799999999999999E-4</v>
      </c>
      <c r="P384" s="1967">
        <f t="shared" si="305"/>
        <v>0</v>
      </c>
      <c r="Q384" s="2566"/>
      <c r="R384" s="2566"/>
      <c r="S384" s="1968"/>
      <c r="T384" s="1968"/>
      <c r="U384" s="1969"/>
      <c r="V384" s="1969"/>
      <c r="W384" s="1969">
        <f t="shared" si="311"/>
        <v>1.6799999999999999E-4</v>
      </c>
      <c r="X384" s="55">
        <f>'Income Eligible Deemed Table'!L62</f>
        <v>15</v>
      </c>
      <c r="Y384" s="55"/>
      <c r="Z384" s="55">
        <f t="shared" si="309"/>
        <v>15</v>
      </c>
      <c r="AA384" s="49">
        <f>'Income Eligible Deemed Table'!BB62</f>
        <v>2.9750630817463937</v>
      </c>
      <c r="AB384" s="698">
        <f>'Income Eligible Deemed Table'!M62</f>
        <v>0.12</v>
      </c>
      <c r="AC384" s="2582">
        <f t="shared" si="310"/>
        <v>0.33695853686603794</v>
      </c>
      <c r="AD384" s="2582">
        <f t="shared" si="306"/>
        <v>0</v>
      </c>
      <c r="AE384" s="1380">
        <f>'Income Eligible Deemed Table'!BD62</f>
        <v>0.33695853686603794</v>
      </c>
      <c r="AF384" s="571"/>
      <c r="AG384" s="571"/>
      <c r="AH384" s="571"/>
      <c r="AI384" s="2590" t="str">
        <f>AI382</f>
        <v>Units (sq. ft)</v>
      </c>
      <c r="AJ384" s="141"/>
      <c r="AM384" s="1596">
        <f t="shared" si="267"/>
        <v>4.6608050000000002E-4</v>
      </c>
      <c r="AN384">
        <f t="shared" si="307"/>
        <v>1.6778898E-4</v>
      </c>
      <c r="AO384" s="1595">
        <f t="shared" si="268"/>
        <v>-2.1101999999998972E-7</v>
      </c>
    </row>
    <row r="385" spans="1:41" x14ac:dyDescent="0.35">
      <c r="A385" s="103" t="str">
        <f t="shared" si="308"/>
        <v>400551</v>
      </c>
      <c r="B385" s="3346" t="str">
        <f>'Income Eligible Deemed Table'!C63</f>
        <v>400551_2019_12_</v>
      </c>
      <c r="C385" s="3343" t="str">
        <f>'Income Eligible Deemed Table'!G63</f>
        <v>Building Shell RES</v>
      </c>
      <c r="D385" s="3343"/>
      <c r="E385" s="3343"/>
      <c r="F385" s="3343"/>
      <c r="G385" s="3343" t="str">
        <f>'Income Eligible Deemed Table'!E63</f>
        <v>Air Sealing (Infiltration reduction) - 30% SF IE DI Gas furnace base</v>
      </c>
      <c r="H385" s="50"/>
      <c r="I385" s="1966">
        <f>'Income Eligible Deemed Table'!F63</f>
        <v>0.06</v>
      </c>
      <c r="J385" s="1966">
        <f t="shared" si="303"/>
        <v>0</v>
      </c>
      <c r="K385" s="2565"/>
      <c r="L385" s="2565"/>
      <c r="M385" s="560"/>
      <c r="N385" s="560"/>
      <c r="O385" s="1967">
        <f>'Income Eligible Deemed Table'!K63</f>
        <v>2.8E-5</v>
      </c>
      <c r="P385" s="1967">
        <f t="shared" si="305"/>
        <v>0</v>
      </c>
      <c r="Q385" s="2566"/>
      <c r="R385" s="2566"/>
      <c r="S385" s="1968"/>
      <c r="T385" s="1968"/>
      <c r="U385" s="1969"/>
      <c r="V385" s="1969"/>
      <c r="W385" s="1969">
        <f t="shared" si="311"/>
        <v>2.8E-5</v>
      </c>
      <c r="X385" s="55">
        <f>'Income Eligible Deemed Table'!L63</f>
        <v>15</v>
      </c>
      <c r="Y385" s="55"/>
      <c r="Z385" s="55">
        <f t="shared" si="309"/>
        <v>15</v>
      </c>
      <c r="AA385" s="49">
        <f>'Income Eligible Deemed Table'!BB63</f>
        <v>0.49584384695773231</v>
      </c>
      <c r="AB385" s="698">
        <f>'Income Eligible Deemed Table'!M63</f>
        <v>0.12</v>
      </c>
      <c r="AC385" s="2582">
        <f t="shared" si="310"/>
        <v>5.6159756144339656E-2</v>
      </c>
      <c r="AD385" s="2582">
        <f t="shared" si="306"/>
        <v>0</v>
      </c>
      <c r="AE385" s="1380">
        <f>'Income Eligible Deemed Table'!BD63</f>
        <v>5.6159756144339656E-2</v>
      </c>
      <c r="AF385" s="571"/>
      <c r="AG385" s="571"/>
      <c r="AH385" s="571"/>
      <c r="AI385" s="2590" t="str">
        <f t="shared" si="312"/>
        <v>Units (sq. ft)</v>
      </c>
      <c r="AJ385" s="141"/>
      <c r="AM385" s="1596">
        <f t="shared" si="267"/>
        <v>4.6608050000000002E-4</v>
      </c>
      <c r="AN385">
        <f t="shared" si="307"/>
        <v>2.7964829999999999E-5</v>
      </c>
      <c r="AO385" s="1595">
        <f t="shared" si="268"/>
        <v>-3.5170000000000546E-8</v>
      </c>
    </row>
    <row r="386" spans="1:41" x14ac:dyDescent="0.35">
      <c r="A386" s="103" t="str">
        <f t="shared" si="308"/>
        <v>400600</v>
      </c>
      <c r="B386" s="3346" t="str">
        <f>'Income Eligible Deemed Table'!C64</f>
        <v>400600_2019_12_</v>
      </c>
      <c r="C386" s="3343" t="str">
        <f>'Income Eligible Deemed Table'!G64</f>
        <v>Building Shell RES</v>
      </c>
      <c r="D386" s="3343"/>
      <c r="E386" s="3343"/>
      <c r="F386" s="3343"/>
      <c r="G386" s="3343" t="str">
        <f>'Income Eligible Deemed Table'!E64</f>
        <v>Air Sealing (Infiltration reduction) - 30% SF IE DI heat pump base</v>
      </c>
      <c r="H386" s="50"/>
      <c r="I386" s="1966">
        <f>'Income Eligible Deemed Table'!F64</f>
        <v>0.31</v>
      </c>
      <c r="J386" s="1966">
        <f t="shared" si="303"/>
        <v>0</v>
      </c>
      <c r="K386" s="2565"/>
      <c r="L386" s="2565"/>
      <c r="M386" s="560"/>
      <c r="N386" s="560"/>
      <c r="O386" s="1967">
        <f>'Income Eligible Deemed Table'!K64</f>
        <v>1.44E-4</v>
      </c>
      <c r="P386" s="1967">
        <f t="shared" si="305"/>
        <v>0</v>
      </c>
      <c r="Q386" s="2566"/>
      <c r="R386" s="2566"/>
      <c r="S386" s="1968"/>
      <c r="T386" s="1968"/>
      <c r="U386" s="1969"/>
      <c r="V386" s="1969"/>
      <c r="W386" s="1969">
        <f t="shared" si="311"/>
        <v>1.44E-4</v>
      </c>
      <c r="X386" s="55">
        <f>'Income Eligible Deemed Table'!L64</f>
        <v>15</v>
      </c>
      <c r="Y386" s="55"/>
      <c r="Z386" s="55">
        <f t="shared" si="309"/>
        <v>15</v>
      </c>
      <c r="AA386" s="49">
        <f>'Income Eligible Deemed Table'!BB64</f>
        <v>2.5618598759482838</v>
      </c>
      <c r="AB386" s="698">
        <f>'Income Eligible Deemed Table'!M64</f>
        <v>0.12</v>
      </c>
      <c r="AC386" s="2582">
        <f t="shared" si="310"/>
        <v>0.29015874007908826</v>
      </c>
      <c r="AD386" s="2582">
        <f t="shared" si="306"/>
        <v>0</v>
      </c>
      <c r="AE386" s="1380">
        <f>'Income Eligible Deemed Table'!BD64</f>
        <v>0.29015874007908826</v>
      </c>
      <c r="AF386" s="571"/>
      <c r="AG386" s="571"/>
      <c r="AH386" s="571"/>
      <c r="AI386" s="2590" t="str">
        <f t="shared" si="312"/>
        <v>Units (sq. ft)</v>
      </c>
      <c r="AJ386" s="141"/>
      <c r="AM386" s="1596">
        <f t="shared" si="267"/>
        <v>4.6608050000000002E-4</v>
      </c>
      <c r="AN386">
        <f t="shared" si="307"/>
        <v>1.4448495500000001E-4</v>
      </c>
      <c r="AO386" s="1595">
        <f t="shared" si="268"/>
        <v>4.8495500000001E-7</v>
      </c>
    </row>
    <row r="387" spans="1:41" x14ac:dyDescent="0.35">
      <c r="A387" s="103" t="str">
        <f t="shared" si="308"/>
        <v>400650</v>
      </c>
      <c r="B387" s="3346" t="str">
        <f>'Income Eligible Deemed Table'!C65</f>
        <v>400650_2019_12_</v>
      </c>
      <c r="C387" s="3343" t="str">
        <f>'Income Eligible Deemed Table'!G65</f>
        <v>Building Shell RES</v>
      </c>
      <c r="D387" s="3343"/>
      <c r="E387" s="3343"/>
      <c r="F387" s="3343"/>
      <c r="G387" s="3343" t="str">
        <f>'Income Eligible Deemed Table'!E65</f>
        <v>MH Adjusted Air Sealing (Infiltration reduction) - 30% SF IE DI electric furnace base</v>
      </c>
      <c r="H387" s="50"/>
      <c r="I387" s="1966">
        <f>'Income Eligible Deemed Table'!F65</f>
        <v>0.48</v>
      </c>
      <c r="J387" s="1966">
        <f t="shared" si="303"/>
        <v>0</v>
      </c>
      <c r="K387" s="2565"/>
      <c r="L387" s="2565"/>
      <c r="M387" s="560"/>
      <c r="N387" s="560"/>
      <c r="O387" s="1967">
        <f>'Income Eligible Deemed Table'!K65</f>
        <v>2.24E-4</v>
      </c>
      <c r="P387" s="1967">
        <f t="shared" si="305"/>
        <v>0</v>
      </c>
      <c r="Q387" s="2566"/>
      <c r="R387" s="2566"/>
      <c r="S387" s="1968"/>
      <c r="T387" s="1968"/>
      <c r="U387" s="1969"/>
      <c r="V387" s="1969"/>
      <c r="W387" s="1969">
        <f t="shared" si="311"/>
        <v>2.24E-4</v>
      </c>
      <c r="X387" s="55">
        <f>'Income Eligible Deemed Table'!L65</f>
        <v>15</v>
      </c>
      <c r="Y387" s="55"/>
      <c r="Z387" s="55">
        <f t="shared" si="309"/>
        <v>15</v>
      </c>
      <c r="AA387" s="49">
        <f>'Income Eligible Deemed Table'!BB65</f>
        <v>3.9667507756618585</v>
      </c>
      <c r="AB387" s="698">
        <f>'Income Eligible Deemed Table'!M65</f>
        <v>0.12</v>
      </c>
      <c r="AC387" s="2582">
        <f t="shared" si="310"/>
        <v>0.44927804915471725</v>
      </c>
      <c r="AD387" s="2582">
        <f t="shared" si="306"/>
        <v>0</v>
      </c>
      <c r="AE387" s="1380">
        <f>'Income Eligible Deemed Table'!BD65</f>
        <v>0.44927804915471725</v>
      </c>
      <c r="AF387" s="571"/>
      <c r="AG387" s="571"/>
      <c r="AH387" s="571"/>
      <c r="AI387" s="2590" t="str">
        <f t="shared" si="312"/>
        <v>Units (sq. ft)</v>
      </c>
      <c r="AJ387" s="141"/>
      <c r="AM387" s="1596">
        <f t="shared" si="267"/>
        <v>4.6608050000000002E-4</v>
      </c>
      <c r="AN387">
        <f t="shared" si="307"/>
        <v>2.2371863999999999E-4</v>
      </c>
      <c r="AO387" s="1595">
        <f t="shared" si="268"/>
        <v>-2.8136000000000437E-7</v>
      </c>
    </row>
    <row r="388" spans="1:41" x14ac:dyDescent="0.35">
      <c r="A388" s="103" t="str">
        <f t="shared" si="308"/>
        <v>400651</v>
      </c>
      <c r="B388" s="3346" t="str">
        <f>'Income Eligible Deemed Table'!C66</f>
        <v>400651_2019_12_</v>
      </c>
      <c r="C388" s="3343" t="str">
        <f>'Income Eligible Deemed Table'!G66</f>
        <v>Building Shell RES</v>
      </c>
      <c r="D388" s="3343"/>
      <c r="E388" s="3343"/>
      <c r="F388" s="3343"/>
      <c r="G388" s="3343" t="str">
        <f>'Income Eligible Deemed Table'!E66</f>
        <v>MH Adjusted Air Sealing (Infiltration reduction) - 30% SF IE DI heat pump base</v>
      </c>
      <c r="H388" s="50"/>
      <c r="I388" s="1966">
        <f>'Income Eligible Deemed Table'!F66</f>
        <v>0.45</v>
      </c>
      <c r="J388" s="1966">
        <f t="shared" si="303"/>
        <v>0</v>
      </c>
      <c r="K388" s="2565"/>
      <c r="L388" s="2565"/>
      <c r="M388" s="560"/>
      <c r="N388" s="560"/>
      <c r="O388" s="1967">
        <f>'Income Eligible Deemed Table'!K66</f>
        <v>2.1000000000000001E-4</v>
      </c>
      <c r="P388" s="1967">
        <f t="shared" si="305"/>
        <v>0</v>
      </c>
      <c r="Q388" s="2566"/>
      <c r="R388" s="2566"/>
      <c r="S388" s="1968"/>
      <c r="T388" s="1968"/>
      <c r="U388" s="1969"/>
      <c r="V388" s="1969"/>
      <c r="W388" s="1969">
        <f t="shared" si="311"/>
        <v>2.1000000000000001E-4</v>
      </c>
      <c r="X388" s="55">
        <f>'Income Eligible Deemed Table'!L66</f>
        <v>15</v>
      </c>
      <c r="Y388" s="55"/>
      <c r="Z388" s="55">
        <f t="shared" si="309"/>
        <v>15</v>
      </c>
      <c r="AA388" s="49">
        <f>'Income Eligible Deemed Table'!BB66</f>
        <v>3.7188288521829924</v>
      </c>
      <c r="AB388" s="698">
        <f>'Income Eligible Deemed Table'!M66</f>
        <v>0.12</v>
      </c>
      <c r="AC388" s="2582">
        <f t="shared" si="310"/>
        <v>0.42119817108254742</v>
      </c>
      <c r="AD388" s="2582">
        <f t="shared" si="306"/>
        <v>0</v>
      </c>
      <c r="AE388" s="1380">
        <f>'Income Eligible Deemed Table'!BD66</f>
        <v>0.42119817108254742</v>
      </c>
      <c r="AF388" s="571"/>
      <c r="AG388" s="571"/>
      <c r="AH388" s="571"/>
      <c r="AI388" s="2590" t="str">
        <f t="shared" si="312"/>
        <v>Units (sq. ft)</v>
      </c>
      <c r="AJ388" s="141"/>
      <c r="AM388" s="1596">
        <f t="shared" si="267"/>
        <v>4.6608050000000002E-4</v>
      </c>
      <c r="AN388">
        <f t="shared" si="307"/>
        <v>2.0973622500000002E-4</v>
      </c>
      <c r="AO388" s="1595">
        <f t="shared" si="268"/>
        <v>-2.6377499999998715E-7</v>
      </c>
    </row>
    <row r="389" spans="1:41" x14ac:dyDescent="0.35">
      <c r="A389" s="103" t="str">
        <f t="shared" si="308"/>
        <v>400652</v>
      </c>
      <c r="B389" s="3346" t="str">
        <f>'Income Eligible Deemed Table'!C67</f>
        <v>400652_2019_12_</v>
      </c>
      <c r="C389" s="3343" t="str">
        <f>'Income Eligible Deemed Table'!G67</f>
        <v>Building Shell RES</v>
      </c>
      <c r="D389" s="3343"/>
      <c r="E389" s="3343"/>
      <c r="F389" s="3343"/>
      <c r="G389" s="3343" t="str">
        <f>'Income Eligible Deemed Table'!E67</f>
        <v>MH Adjusted Air Sealing (Infiltration reduction) - 30% SF IE DI gas furnace base</v>
      </c>
      <c r="H389" s="50"/>
      <c r="I389" s="1966">
        <f>'Income Eligible Deemed Table'!F67</f>
        <v>0.08</v>
      </c>
      <c r="J389" s="1966">
        <f t="shared" si="303"/>
        <v>0</v>
      </c>
      <c r="K389" s="2565"/>
      <c r="L389" s="2565"/>
      <c r="M389" s="560"/>
      <c r="N389" s="560"/>
      <c r="O389" s="1967">
        <f>'Income Eligible Deemed Table'!K67</f>
        <v>3.6999999999999998E-5</v>
      </c>
      <c r="P389" s="1967">
        <f t="shared" si="305"/>
        <v>0</v>
      </c>
      <c r="Q389" s="2566"/>
      <c r="R389" s="2566"/>
      <c r="S389" s="1968"/>
      <c r="T389" s="1968"/>
      <c r="U389" s="1969"/>
      <c r="V389" s="1969"/>
      <c r="W389" s="1969">
        <f t="shared" si="311"/>
        <v>3.6999999999999998E-5</v>
      </c>
      <c r="X389" s="55">
        <f>'Income Eligible Deemed Table'!L67</f>
        <v>15</v>
      </c>
      <c r="Y389" s="55"/>
      <c r="Z389" s="55">
        <f t="shared" si="309"/>
        <v>15</v>
      </c>
      <c r="AA389" s="49">
        <f>'Income Eligible Deemed Table'!BB67</f>
        <v>0.66112512927697642</v>
      </c>
      <c r="AB389" s="698">
        <f>'Income Eligible Deemed Table'!M67</f>
        <v>0.12</v>
      </c>
      <c r="AC389" s="2582">
        <f t="shared" si="310"/>
        <v>7.4879674859119547E-2</v>
      </c>
      <c r="AD389" s="2582">
        <f t="shared" si="306"/>
        <v>0</v>
      </c>
      <c r="AE389" s="1380">
        <f>'Income Eligible Deemed Table'!BD67</f>
        <v>7.4879674859119547E-2</v>
      </c>
      <c r="AF389" s="571"/>
      <c r="AG389" s="571"/>
      <c r="AH389" s="571"/>
      <c r="AI389" s="2590" t="str">
        <f t="shared" si="312"/>
        <v>Units (sq. ft)</v>
      </c>
      <c r="AJ389" s="141"/>
      <c r="AM389" s="1596">
        <f t="shared" si="267"/>
        <v>4.6608050000000002E-4</v>
      </c>
      <c r="AN389">
        <f t="shared" si="307"/>
        <v>3.7286440000000005E-5</v>
      </c>
      <c r="AO389" s="1595">
        <f t="shared" si="268"/>
        <v>2.8644000000000737E-7</v>
      </c>
    </row>
    <row r="390" spans="1:41" x14ac:dyDescent="0.35">
      <c r="A390" s="103" t="str">
        <f t="shared" si="308"/>
        <v>400700</v>
      </c>
      <c r="B390" s="3346" t="str">
        <f>'Income Eligible Deemed Table'!C129</f>
        <v>400700_2019_12_</v>
      </c>
      <c r="C390" s="3343" t="str">
        <f>'Income Eligible Deemed Table'!G129</f>
        <v>Building Shell RES</v>
      </c>
      <c r="D390" s="3343"/>
      <c r="E390" s="3343"/>
      <c r="F390" s="3343"/>
      <c r="G390" s="3343" t="str">
        <f>'Income Eligible Deemed Table'!E129</f>
        <v>Ceiling Insulation R11-R49 MF IE DI electric furnace base</v>
      </c>
      <c r="H390" s="50" t="str">
        <f>'Income Eligible Deemed Table'!D129</f>
        <v>MFIE</v>
      </c>
      <c r="I390" s="1966">
        <f>'Income Eligible Deemed Table'!F129</f>
        <v>1.06</v>
      </c>
      <c r="J390" s="1966">
        <f t="shared" si="303"/>
        <v>0</v>
      </c>
      <c r="K390" s="2565"/>
      <c r="L390" s="2565"/>
      <c r="M390" s="560"/>
      <c r="N390" s="560"/>
      <c r="O390" s="1967">
        <f>'Income Eligible Deemed Table'!K129</f>
        <v>4.9399999999999997E-4</v>
      </c>
      <c r="P390" s="1967">
        <f t="shared" si="305"/>
        <v>0</v>
      </c>
      <c r="Q390" s="2566"/>
      <c r="R390" s="2566"/>
      <c r="S390" s="1968"/>
      <c r="T390" s="1968"/>
      <c r="U390" s="1969"/>
      <c r="V390" s="1969"/>
      <c r="W390" s="1969">
        <f t="shared" si="311"/>
        <v>4.9399999999999997E-4</v>
      </c>
      <c r="X390" s="55">
        <f>'Income Eligible Deemed Table'!L129</f>
        <v>25</v>
      </c>
      <c r="Y390" s="55"/>
      <c r="Z390" s="55">
        <f t="shared" si="309"/>
        <v>25</v>
      </c>
      <c r="AA390" s="49">
        <f>'Income Eligible Deemed Table'!BB129</f>
        <v>0.71174377987679005</v>
      </c>
      <c r="AB390" s="698">
        <f>'Income Eligible Deemed Table'!M129</f>
        <v>2.1249043458397576</v>
      </c>
      <c r="AC390" s="2582">
        <f t="shared" si="310"/>
        <v>1.4274539414673024</v>
      </c>
      <c r="AD390" s="2582">
        <f t="shared" si="306"/>
        <v>0</v>
      </c>
      <c r="AE390" s="1380">
        <f>'Income Eligible Deemed Table'!BD129</f>
        <v>1.4274539414673024</v>
      </c>
      <c r="AF390" s="571"/>
      <c r="AG390" s="571"/>
      <c r="AH390" s="571"/>
      <c r="AI390" s="2591" t="str">
        <f>'Income Eligible Deemed Table'!N128</f>
        <v>Units - area of ceiling/attic (ft2)</v>
      </c>
      <c r="AJ390" s="141"/>
      <c r="AM390" s="1596">
        <f t="shared" si="267"/>
        <v>4.6608050000000002E-4</v>
      </c>
      <c r="AN390">
        <f t="shared" si="307"/>
        <v>4.9404533000000001E-4</v>
      </c>
      <c r="AO390" s="1595">
        <f t="shared" si="268"/>
        <v>4.5330000000040442E-8</v>
      </c>
    </row>
    <row r="391" spans="1:41" x14ac:dyDescent="0.35">
      <c r="A391" s="103" t="str">
        <f t="shared" si="308"/>
        <v>400750</v>
      </c>
      <c r="B391" s="3346" t="str">
        <f>'Income Eligible Deemed Table'!C130</f>
        <v>400750_2019_12_</v>
      </c>
      <c r="C391" s="3343" t="str">
        <f>'Income Eligible Deemed Table'!G130</f>
        <v>Building Shell RES</v>
      </c>
      <c r="D391" s="3343"/>
      <c r="E391" s="3343"/>
      <c r="F391" s="3343"/>
      <c r="G391" s="3343" t="str">
        <f>'Income Eligible Deemed Table'!E130</f>
        <v>Ceiling Insulation R11-R49 MF IE DI heat pump base</v>
      </c>
      <c r="H391" s="50" t="str">
        <f>'Income Eligible Deemed Table'!D130</f>
        <v>MFIE</v>
      </c>
      <c r="I391" s="1966">
        <f>'Income Eligible Deemed Table'!F130</f>
        <v>0.66</v>
      </c>
      <c r="J391" s="1966">
        <f t="shared" si="303"/>
        <v>0</v>
      </c>
      <c r="K391" s="2565"/>
      <c r="L391" s="2565"/>
      <c r="M391" s="560"/>
      <c r="N391" s="560"/>
      <c r="O391" s="1967">
        <f>'Income Eligible Deemed Table'!K130</f>
        <v>3.0800000000000001E-4</v>
      </c>
      <c r="P391" s="1967">
        <f t="shared" si="305"/>
        <v>0</v>
      </c>
      <c r="Q391" s="2566"/>
      <c r="R391" s="2566"/>
      <c r="S391" s="1968"/>
      <c r="T391" s="1968"/>
      <c r="U391" s="1969"/>
      <c r="V391" s="1969"/>
      <c r="W391" s="1969">
        <f t="shared" si="311"/>
        <v>3.0800000000000001E-4</v>
      </c>
      <c r="X391" s="55">
        <f>'Income Eligible Deemed Table'!L130</f>
        <v>25</v>
      </c>
      <c r="Y391" s="55"/>
      <c r="Z391" s="55">
        <f t="shared" si="309"/>
        <v>25</v>
      </c>
      <c r="AA391" s="49">
        <f>'Income Eligible Deemed Table'!BB130</f>
        <v>0.44316122143271836</v>
      </c>
      <c r="AB391" s="698">
        <f>'Income Eligible Deemed Table'!M130</f>
        <v>2.1249043458397576</v>
      </c>
      <c r="AC391" s="2582">
        <f t="shared" si="310"/>
        <v>0.88879207676266003</v>
      </c>
      <c r="AD391" s="2582">
        <f t="shared" si="306"/>
        <v>0</v>
      </c>
      <c r="AE391" s="1380">
        <f>'Income Eligible Deemed Table'!BD130</f>
        <v>0.88879207676266003</v>
      </c>
      <c r="AF391" s="571"/>
      <c r="AG391" s="571"/>
      <c r="AH391" s="571"/>
      <c r="AI391" s="2591" t="str">
        <f t="shared" ref="AI391:AI419" si="323">AI390</f>
        <v>Units - area of ceiling/attic (ft2)</v>
      </c>
      <c r="AJ391" s="141"/>
      <c r="AM391" s="1596">
        <f t="shared" si="267"/>
        <v>4.6608050000000002E-4</v>
      </c>
      <c r="AN391">
        <f t="shared" si="307"/>
        <v>3.0761313000000001E-4</v>
      </c>
      <c r="AO391" s="1595">
        <f t="shared" si="268"/>
        <v>-3.8686999999999923E-7</v>
      </c>
    </row>
    <row r="392" spans="1:41" x14ac:dyDescent="0.35">
      <c r="A392" s="103" t="str">
        <f t="shared" si="308"/>
        <v>400800</v>
      </c>
      <c r="B392" s="3346" t="str">
        <f>'Income Eligible Deemed Table'!C131</f>
        <v>400800_2019_12_</v>
      </c>
      <c r="C392" s="3343" t="str">
        <f>'Income Eligible Deemed Table'!G131</f>
        <v>Building Shell RES</v>
      </c>
      <c r="D392" s="3343"/>
      <c r="E392" s="3343"/>
      <c r="F392" s="3343"/>
      <c r="G392" s="3343" t="str">
        <f>'Income Eligible Deemed Table'!E131</f>
        <v>Ceiling Insulation R11-R49 MF IE DI gas heat electric cool base</v>
      </c>
      <c r="H392" s="50" t="str">
        <f>'Income Eligible Deemed Table'!D131</f>
        <v>MFIE</v>
      </c>
      <c r="I392" s="1966">
        <f>'Income Eligible Deemed Table'!F131</f>
        <v>0.14000000000000001</v>
      </c>
      <c r="J392" s="1966">
        <f t="shared" si="303"/>
        <v>0</v>
      </c>
      <c r="K392" s="2565"/>
      <c r="L392" s="2565"/>
      <c r="M392" s="560"/>
      <c r="N392" s="560"/>
      <c r="O392" s="1967">
        <f>'Income Eligible Deemed Table'!K131</f>
        <v>6.4999999999999994E-5</v>
      </c>
      <c r="P392" s="1967">
        <f t="shared" si="305"/>
        <v>0</v>
      </c>
      <c r="Q392" s="2566"/>
      <c r="R392" s="2566"/>
      <c r="S392" s="1968"/>
      <c r="T392" s="1968"/>
      <c r="U392" s="1969"/>
      <c r="V392" s="1969"/>
      <c r="W392" s="1969">
        <f t="shared" si="311"/>
        <v>6.4999999999999994E-5</v>
      </c>
      <c r="X392" s="55">
        <f>'Income Eligible Deemed Table'!L131</f>
        <v>25</v>
      </c>
      <c r="Y392" s="55"/>
      <c r="Z392" s="55">
        <f t="shared" si="309"/>
        <v>25</v>
      </c>
      <c r="AA392" s="49">
        <f>'Income Eligible Deemed Table'!BB131</f>
        <v>9.4003895455425104E-2</v>
      </c>
      <c r="AB392" s="698">
        <f>'Income Eligible Deemed Table'!M131</f>
        <v>2.1249043458397576</v>
      </c>
      <c r="AC392" s="2582">
        <f t="shared" si="310"/>
        <v>0.18853165264662486</v>
      </c>
      <c r="AD392" s="2582">
        <f t="shared" si="306"/>
        <v>0</v>
      </c>
      <c r="AE392" s="1380">
        <f>'Income Eligible Deemed Table'!BD131</f>
        <v>0.18853165264662486</v>
      </c>
      <c r="AF392" s="571"/>
      <c r="AG392" s="571"/>
      <c r="AH392" s="571"/>
      <c r="AI392" s="2591" t="str">
        <f t="shared" si="323"/>
        <v>Units - area of ceiling/attic (ft2)</v>
      </c>
      <c r="AJ392" s="141"/>
      <c r="AM392" s="1596">
        <f t="shared" si="267"/>
        <v>4.6608050000000002E-4</v>
      </c>
      <c r="AN392">
        <f t="shared" si="307"/>
        <v>6.5251270000000008E-5</v>
      </c>
      <c r="AO392" s="1595">
        <f t="shared" si="268"/>
        <v>2.512700000000136E-7</v>
      </c>
    </row>
    <row r="393" spans="1:41" x14ac:dyDescent="0.35">
      <c r="A393" s="103" t="str">
        <f t="shared" si="308"/>
        <v>400850</v>
      </c>
      <c r="B393" s="3346" t="str">
        <f>'Income Eligible Deemed Table'!C132</f>
        <v>400850_2019_12_</v>
      </c>
      <c r="C393" s="3343" t="str">
        <f>'Income Eligible Deemed Table'!G132</f>
        <v>Building Shell RES</v>
      </c>
      <c r="D393" s="3343"/>
      <c r="E393" s="3343"/>
      <c r="F393" s="3343"/>
      <c r="G393" s="3343" t="str">
        <f>'Income Eligible Deemed Table'!E132</f>
        <v>Ceiling Insulation R11-R49 SF IE DI electric furnace base</v>
      </c>
      <c r="H393" s="50" t="str">
        <f>'Income Eligible Deemed Table'!D132</f>
        <v>SFIE</v>
      </c>
      <c r="I393" s="1966">
        <f>'Income Eligible Deemed Table'!F132</f>
        <v>1.06</v>
      </c>
      <c r="J393" s="1966">
        <f t="shared" si="303"/>
        <v>0</v>
      </c>
      <c r="K393" s="2565"/>
      <c r="L393" s="2565"/>
      <c r="M393" s="560"/>
      <c r="N393" s="560"/>
      <c r="O393" s="1967">
        <f>'Income Eligible Deemed Table'!K132</f>
        <v>4.9399999999999997E-4</v>
      </c>
      <c r="P393" s="1967">
        <f t="shared" si="305"/>
        <v>0</v>
      </c>
      <c r="Q393" s="2566"/>
      <c r="R393" s="2566"/>
      <c r="S393" s="1968"/>
      <c r="T393" s="1968"/>
      <c r="U393" s="1969"/>
      <c r="V393" s="1969"/>
      <c r="W393" s="1969">
        <f t="shared" si="311"/>
        <v>4.9399999999999997E-4</v>
      </c>
      <c r="X393" s="55">
        <f>'Income Eligible Deemed Table'!L132</f>
        <v>25</v>
      </c>
      <c r="Y393" s="55"/>
      <c r="Z393" s="55">
        <f t="shared" si="309"/>
        <v>25</v>
      </c>
      <c r="AA393" s="49">
        <f>'Income Eligible Deemed Table'!BB132</f>
        <v>0.71174282346974072</v>
      </c>
      <c r="AB393" s="698">
        <f>'Income Eligible Deemed Table'!M132</f>
        <v>2.1249072011878249</v>
      </c>
      <c r="AC393" s="2582">
        <f t="shared" si="310"/>
        <v>1.4274539414673024</v>
      </c>
      <c r="AD393" s="2582">
        <f t="shared" si="306"/>
        <v>0</v>
      </c>
      <c r="AE393" s="1380">
        <f>'Income Eligible Deemed Table'!BD132</f>
        <v>1.4274539414673024</v>
      </c>
      <c r="AF393" s="571"/>
      <c r="AG393" s="571"/>
      <c r="AH393" s="571"/>
      <c r="AI393" s="2591" t="str">
        <f t="shared" si="323"/>
        <v>Units - area of ceiling/attic (ft2)</v>
      </c>
      <c r="AJ393" s="141"/>
      <c r="AM393" s="1596">
        <f t="shared" si="267"/>
        <v>4.6608050000000002E-4</v>
      </c>
      <c r="AN393">
        <f t="shared" si="307"/>
        <v>4.9404533000000001E-4</v>
      </c>
      <c r="AO393" s="1595">
        <f t="shared" si="268"/>
        <v>4.5330000000040442E-8</v>
      </c>
    </row>
    <row r="394" spans="1:41" x14ac:dyDescent="0.35">
      <c r="A394" s="103" t="str">
        <f t="shared" si="308"/>
        <v>400900</v>
      </c>
      <c r="B394" s="3346" t="str">
        <f>'Income Eligible Deemed Table'!C133</f>
        <v>400900_2019_12_</v>
      </c>
      <c r="C394" s="3343" t="str">
        <f>'Income Eligible Deemed Table'!G133</f>
        <v>Building Shell RES</v>
      </c>
      <c r="D394" s="3343"/>
      <c r="E394" s="3343"/>
      <c r="F394" s="3343"/>
      <c r="G394" s="3343" t="str">
        <f>'Income Eligible Deemed Table'!E133</f>
        <v>Ceiling Insulation R11-R49 SF IE DI heat pump base</v>
      </c>
      <c r="H394" s="50" t="str">
        <f>'Income Eligible Deemed Table'!D133</f>
        <v>SFIE</v>
      </c>
      <c r="I394" s="1966">
        <f>'Income Eligible Deemed Table'!F133</f>
        <v>0.66</v>
      </c>
      <c r="J394" s="1966">
        <f t="shared" si="303"/>
        <v>0</v>
      </c>
      <c r="K394" s="2565"/>
      <c r="L394" s="2565"/>
      <c r="M394" s="560"/>
      <c r="N394" s="560"/>
      <c r="O394" s="1967">
        <f>'Income Eligible Deemed Table'!K133</f>
        <v>3.0800000000000001E-4</v>
      </c>
      <c r="P394" s="1967">
        <f t="shared" si="305"/>
        <v>0</v>
      </c>
      <c r="Q394" s="2566"/>
      <c r="R394" s="2566"/>
      <c r="S394" s="1968"/>
      <c r="T394" s="1968"/>
      <c r="U394" s="1969"/>
      <c r="V394" s="1969"/>
      <c r="W394" s="1969">
        <f t="shared" si="311"/>
        <v>3.0800000000000001E-4</v>
      </c>
      <c r="X394" s="55">
        <f>'Income Eligible Deemed Table'!L133</f>
        <v>25</v>
      </c>
      <c r="Y394" s="55"/>
      <c r="Z394" s="55">
        <f t="shared" si="309"/>
        <v>25</v>
      </c>
      <c r="AA394" s="49">
        <f>'Income Eligible Deemed Table'!BB133</f>
        <v>0.44316062593398953</v>
      </c>
      <c r="AB394" s="698">
        <f>'Income Eligible Deemed Table'!M133</f>
        <v>2.1249072011878249</v>
      </c>
      <c r="AC394" s="2582">
        <f t="shared" si="310"/>
        <v>0.88879207676266003</v>
      </c>
      <c r="AD394" s="2582">
        <f t="shared" si="306"/>
        <v>0</v>
      </c>
      <c r="AE394" s="1380">
        <f>'Income Eligible Deemed Table'!BD133</f>
        <v>0.88879207676266003</v>
      </c>
      <c r="AF394" s="571"/>
      <c r="AG394" s="571"/>
      <c r="AH394" s="571"/>
      <c r="AI394" s="2591" t="str">
        <f t="shared" si="323"/>
        <v>Units - area of ceiling/attic (ft2)</v>
      </c>
      <c r="AJ394" s="141"/>
      <c r="AM394" s="1596">
        <f t="shared" si="267"/>
        <v>4.6608050000000002E-4</v>
      </c>
      <c r="AN394">
        <f t="shared" si="307"/>
        <v>3.0761313000000001E-4</v>
      </c>
      <c r="AO394" s="1595">
        <f t="shared" si="268"/>
        <v>-3.8686999999999923E-7</v>
      </c>
    </row>
    <row r="395" spans="1:41" x14ac:dyDescent="0.35">
      <c r="A395" s="103" t="str">
        <f t="shared" si="308"/>
        <v>400950</v>
      </c>
      <c r="B395" s="3346" t="str">
        <f>'Income Eligible Deemed Table'!C134</f>
        <v>400950_2019_12_</v>
      </c>
      <c r="C395" s="3343" t="str">
        <f>'Income Eligible Deemed Table'!G134</f>
        <v>Building Shell RES</v>
      </c>
      <c r="D395" s="3343"/>
      <c r="E395" s="3343"/>
      <c r="F395" s="3343"/>
      <c r="G395" s="3343" t="str">
        <f>'Income Eligible Deemed Table'!E134</f>
        <v>Ceiling Insulation R11-R49 SF IE DI gas heat electric cool base</v>
      </c>
      <c r="H395" s="50" t="str">
        <f>'Income Eligible Deemed Table'!D134</f>
        <v>SFIE</v>
      </c>
      <c r="I395" s="1966">
        <f>'Income Eligible Deemed Table'!F134</f>
        <v>0.14000000000000001</v>
      </c>
      <c r="J395" s="1966">
        <f t="shared" si="303"/>
        <v>0</v>
      </c>
      <c r="K395" s="2565"/>
      <c r="L395" s="2565"/>
      <c r="M395" s="560"/>
      <c r="N395" s="560"/>
      <c r="O395" s="1967">
        <f>'Income Eligible Deemed Table'!K134</f>
        <v>6.4999999999999994E-5</v>
      </c>
      <c r="P395" s="1967">
        <f t="shared" si="305"/>
        <v>0</v>
      </c>
      <c r="Q395" s="2566"/>
      <c r="R395" s="2566"/>
      <c r="S395" s="1968"/>
      <c r="T395" s="1968"/>
      <c r="U395" s="1969"/>
      <c r="V395" s="1969"/>
      <c r="W395" s="1969">
        <f t="shared" si="311"/>
        <v>6.4999999999999994E-5</v>
      </c>
      <c r="X395" s="55">
        <f>'Income Eligible Deemed Table'!L134</f>
        <v>25</v>
      </c>
      <c r="Y395" s="55"/>
      <c r="Z395" s="55">
        <f t="shared" si="309"/>
        <v>25</v>
      </c>
      <c r="AA395" s="49">
        <f>'Income Eligible Deemed Table'!BB134</f>
        <v>9.4003769137512933E-2</v>
      </c>
      <c r="AB395" s="698">
        <f>'Income Eligible Deemed Table'!M134</f>
        <v>2.1249072011878249</v>
      </c>
      <c r="AC395" s="2582">
        <f t="shared" si="310"/>
        <v>0.18853165264662486</v>
      </c>
      <c r="AD395" s="2582">
        <f t="shared" si="306"/>
        <v>0</v>
      </c>
      <c r="AE395" s="1380">
        <f>'Income Eligible Deemed Table'!BD134</f>
        <v>0.18853165264662486</v>
      </c>
      <c r="AF395" s="571"/>
      <c r="AG395" s="571"/>
      <c r="AH395" s="571"/>
      <c r="AI395" s="2591" t="str">
        <f t="shared" si="323"/>
        <v>Units - area of ceiling/attic (ft2)</v>
      </c>
      <c r="AJ395" s="141"/>
      <c r="AM395" s="1596">
        <f t="shared" si="267"/>
        <v>4.6608050000000002E-4</v>
      </c>
      <c r="AN395">
        <f t="shared" si="307"/>
        <v>6.5251270000000008E-5</v>
      </c>
      <c r="AO395" s="1595">
        <f t="shared" si="268"/>
        <v>2.512700000000136E-7</v>
      </c>
    </row>
    <row r="396" spans="1:41" x14ac:dyDescent="0.35">
      <c r="A396" s="103" t="str">
        <f t="shared" si="308"/>
        <v>401000</v>
      </c>
      <c r="B396" s="3346" t="str">
        <f>'Income Eligible Deemed Table'!C135</f>
        <v>401000_2019_12_</v>
      </c>
      <c r="C396" s="3343" t="str">
        <f>'Income Eligible Deemed Table'!G135</f>
        <v>Building Shell RES</v>
      </c>
      <c r="D396" s="3343"/>
      <c r="E396" s="3343"/>
      <c r="F396" s="3343"/>
      <c r="G396" s="3343" t="str">
        <f>'Income Eligible Deemed Table'!E135</f>
        <v>Ceiling Insulation R5-R30 MF IE DI electric furnace base</v>
      </c>
      <c r="H396" s="50" t="str">
        <f>'Income Eligible Deemed Table'!D135</f>
        <v>MFIE</v>
      </c>
      <c r="I396" s="1966">
        <f>'Income Eligible Deemed Table'!F135</f>
        <v>1.71</v>
      </c>
      <c r="J396" s="1966">
        <f t="shared" si="303"/>
        <v>0</v>
      </c>
      <c r="K396" s="2565"/>
      <c r="L396" s="2565"/>
      <c r="M396" s="560"/>
      <c r="N396" s="560"/>
      <c r="O396" s="1967">
        <f>'Income Eligible Deemed Table'!K135</f>
        <v>7.9699999999999997E-4</v>
      </c>
      <c r="P396" s="1967">
        <f t="shared" si="305"/>
        <v>0</v>
      </c>
      <c r="Q396" s="2566"/>
      <c r="R396" s="2566"/>
      <c r="S396" s="1968"/>
      <c r="T396" s="1968"/>
      <c r="U396" s="1969"/>
      <c r="V396" s="1969"/>
      <c r="W396" s="1969">
        <f t="shared" si="311"/>
        <v>7.9699999999999997E-4</v>
      </c>
      <c r="X396" s="55">
        <f>'Income Eligible Deemed Table'!L135</f>
        <v>25</v>
      </c>
      <c r="Y396" s="55"/>
      <c r="Z396" s="55">
        <f t="shared" si="309"/>
        <v>25</v>
      </c>
      <c r="AA396" s="49">
        <f>'Income Eligible Deemed Table'!BB135</f>
        <v>2.0976470027142793</v>
      </c>
      <c r="AB396" s="698">
        <f>'Income Eligible Deemed Table'!M135</f>
        <v>1.1631103074141049</v>
      </c>
      <c r="AC396" s="2582">
        <f t="shared" si="310"/>
        <v>2.3027794716123462</v>
      </c>
      <c r="AD396" s="2582">
        <f t="shared" si="306"/>
        <v>0</v>
      </c>
      <c r="AE396" s="1380">
        <f>'Income Eligible Deemed Table'!BD135</f>
        <v>2.3027794716123462</v>
      </c>
      <c r="AF396" s="571"/>
      <c r="AG396" s="571"/>
      <c r="AH396" s="571"/>
      <c r="AI396" s="2591" t="str">
        <f t="shared" si="323"/>
        <v>Units - area of ceiling/attic (ft2)</v>
      </c>
      <c r="AJ396" s="141"/>
      <c r="AM396" s="1596">
        <f t="shared" si="267"/>
        <v>4.6608050000000002E-4</v>
      </c>
      <c r="AN396">
        <f t="shared" si="307"/>
        <v>7.9699765500000001E-4</v>
      </c>
      <c r="AO396" s="1595">
        <f t="shared" si="268"/>
        <v>-2.3449999999539811E-9</v>
      </c>
    </row>
    <row r="397" spans="1:41" x14ac:dyDescent="0.35">
      <c r="A397" s="103" t="str">
        <f t="shared" si="308"/>
        <v>401050</v>
      </c>
      <c r="B397" s="3346" t="str">
        <f>'Income Eligible Deemed Table'!C136</f>
        <v>401050_2019_12_</v>
      </c>
      <c r="C397" s="3343" t="str">
        <f>'Income Eligible Deemed Table'!G136</f>
        <v>Building Shell RES</v>
      </c>
      <c r="D397" s="3343"/>
      <c r="E397" s="3343"/>
      <c r="F397" s="3343"/>
      <c r="G397" s="3343" t="str">
        <f>'Income Eligible Deemed Table'!E136</f>
        <v>Ceiling Insulation R5-R30 MF IE DI heat pump base</v>
      </c>
      <c r="H397" s="50" t="str">
        <f>'Income Eligible Deemed Table'!D136</f>
        <v>MFIE</v>
      </c>
      <c r="I397" s="1966">
        <f>'Income Eligible Deemed Table'!F136</f>
        <v>1.07</v>
      </c>
      <c r="J397" s="1966">
        <f t="shared" si="303"/>
        <v>0</v>
      </c>
      <c r="K397" s="2565"/>
      <c r="L397" s="2565"/>
      <c r="M397" s="560"/>
      <c r="N397" s="560"/>
      <c r="O397" s="1967">
        <f>'Income Eligible Deemed Table'!K136</f>
        <v>4.9899999999999999E-4</v>
      </c>
      <c r="P397" s="1967">
        <f t="shared" si="305"/>
        <v>0</v>
      </c>
      <c r="Q397" s="2566"/>
      <c r="R397" s="2566"/>
      <c r="S397" s="1968"/>
      <c r="T397" s="1968"/>
      <c r="U397" s="1969"/>
      <c r="V397" s="1969"/>
      <c r="W397" s="1969">
        <f t="shared" si="311"/>
        <v>4.9899999999999999E-4</v>
      </c>
      <c r="X397" s="55">
        <f>'Income Eligible Deemed Table'!L136</f>
        <v>25</v>
      </c>
      <c r="Y397" s="55"/>
      <c r="Z397" s="55">
        <f t="shared" si="309"/>
        <v>25</v>
      </c>
      <c r="AA397" s="49">
        <f>'Income Eligible Deemed Table'!BB136</f>
        <v>1.3125627443884673</v>
      </c>
      <c r="AB397" s="698">
        <f>'Income Eligible Deemed Table'!M136</f>
        <v>1.1631103074141049</v>
      </c>
      <c r="AC397" s="2582">
        <f t="shared" si="310"/>
        <v>1.4409204880849185</v>
      </c>
      <c r="AD397" s="2582">
        <f t="shared" si="306"/>
        <v>0</v>
      </c>
      <c r="AE397" s="1380">
        <f>'Income Eligible Deemed Table'!BD136</f>
        <v>1.4409204880849185</v>
      </c>
      <c r="AF397" s="571"/>
      <c r="AG397" s="571"/>
      <c r="AH397" s="571"/>
      <c r="AI397" s="2591" t="str">
        <f t="shared" si="323"/>
        <v>Units - area of ceiling/attic (ft2)</v>
      </c>
      <c r="AJ397" s="141"/>
      <c r="AM397" s="1596">
        <f t="shared" si="267"/>
        <v>4.6608050000000002E-4</v>
      </c>
      <c r="AN397">
        <f t="shared" si="307"/>
        <v>4.9870613500000002E-4</v>
      </c>
      <c r="AO397" s="1595">
        <f t="shared" si="268"/>
        <v>-2.9386499999996436E-7</v>
      </c>
    </row>
    <row r="398" spans="1:41" x14ac:dyDescent="0.35">
      <c r="A398" s="103" t="str">
        <f t="shared" si="308"/>
        <v>401100</v>
      </c>
      <c r="B398" s="3346" t="str">
        <f>'Income Eligible Deemed Table'!C137</f>
        <v>401100_2019_12_</v>
      </c>
      <c r="C398" s="3343" t="str">
        <f>'Income Eligible Deemed Table'!G137</f>
        <v>Building Shell RES</v>
      </c>
      <c r="D398" s="3343"/>
      <c r="E398" s="3343"/>
      <c r="F398" s="3343"/>
      <c r="G398" s="3343" t="str">
        <f>'Income Eligible Deemed Table'!E137</f>
        <v>Ceiling Insulation R5-R30 MF IE DI gas heat electric cool base</v>
      </c>
      <c r="H398" s="50" t="str">
        <f>'Income Eligible Deemed Table'!D137</f>
        <v>MFIE</v>
      </c>
      <c r="I398" s="1966">
        <f>'Income Eligible Deemed Table'!F137</f>
        <v>0.23</v>
      </c>
      <c r="J398" s="1966">
        <f t="shared" si="303"/>
        <v>0</v>
      </c>
      <c r="K398" s="2565"/>
      <c r="L398" s="2565"/>
      <c r="M398" s="560"/>
      <c r="N398" s="560"/>
      <c r="O398" s="1967">
        <f>'Income Eligible Deemed Table'!K137</f>
        <v>1.07E-4</v>
      </c>
      <c r="P398" s="1967">
        <f t="shared" si="305"/>
        <v>0</v>
      </c>
      <c r="Q398" s="2566"/>
      <c r="R398" s="2566"/>
      <c r="S398" s="1968"/>
      <c r="T398" s="1968"/>
      <c r="U398" s="1969"/>
      <c r="V398" s="1969"/>
      <c r="W398" s="1969">
        <f t="shared" si="311"/>
        <v>1.07E-4</v>
      </c>
      <c r="X398" s="55">
        <f>'Income Eligible Deemed Table'!L137</f>
        <v>25</v>
      </c>
      <c r="Y398" s="55"/>
      <c r="Z398" s="55">
        <f t="shared" si="309"/>
        <v>25</v>
      </c>
      <c r="AA398" s="49">
        <f>'Income Eligible Deemed Table'!BB137</f>
        <v>0.28213965533583873</v>
      </c>
      <c r="AB398" s="698">
        <f>'Income Eligible Deemed Table'!M137</f>
        <v>1.1631103074141049</v>
      </c>
      <c r="AC398" s="2582">
        <f t="shared" si="310"/>
        <v>0.30973057220516936</v>
      </c>
      <c r="AD398" s="2582">
        <f t="shared" si="306"/>
        <v>0</v>
      </c>
      <c r="AE398" s="1380">
        <f>'Income Eligible Deemed Table'!BD137</f>
        <v>0.30973057220516936</v>
      </c>
      <c r="AF398" s="571"/>
      <c r="AG398" s="571"/>
      <c r="AH398" s="571"/>
      <c r="AI398" s="2591" t="str">
        <f t="shared" si="323"/>
        <v>Units - area of ceiling/attic (ft2)</v>
      </c>
      <c r="AJ398" s="141"/>
      <c r="AM398" s="1596">
        <f t="shared" si="267"/>
        <v>4.6608050000000002E-4</v>
      </c>
      <c r="AN398">
        <f t="shared" si="307"/>
        <v>1.0719851500000001E-4</v>
      </c>
      <c r="AO398" s="1595">
        <f t="shared" si="268"/>
        <v>1.9851500000001617E-7</v>
      </c>
    </row>
    <row r="399" spans="1:41" x14ac:dyDescent="0.35">
      <c r="A399" s="103" t="str">
        <f t="shared" si="308"/>
        <v>401150</v>
      </c>
      <c r="B399" s="3346" t="str">
        <f>'Income Eligible Deemed Table'!C138</f>
        <v>401150_2019_12_</v>
      </c>
      <c r="C399" s="3343" t="str">
        <f>'Income Eligible Deemed Table'!G138</f>
        <v>Building Shell RES</v>
      </c>
      <c r="D399" s="3343"/>
      <c r="E399" s="3343"/>
      <c r="F399" s="3343"/>
      <c r="G399" s="3343" t="str">
        <f>'Income Eligible Deemed Table'!E138</f>
        <v>Ceiling Insulation R5-R30 SF IE DI electric furnace base</v>
      </c>
      <c r="H399" s="50" t="str">
        <f>'Income Eligible Deemed Table'!D138</f>
        <v>SFIE</v>
      </c>
      <c r="I399" s="1966">
        <f>'Income Eligible Deemed Table'!F138</f>
        <v>1.71</v>
      </c>
      <c r="J399" s="1966">
        <f t="shared" si="303"/>
        <v>0</v>
      </c>
      <c r="K399" s="2565"/>
      <c r="L399" s="2565"/>
      <c r="M399" s="560"/>
      <c r="N399" s="560"/>
      <c r="O399" s="1967">
        <f>'Income Eligible Deemed Table'!K138</f>
        <v>7.9699999999999997E-4</v>
      </c>
      <c r="P399" s="1967">
        <f t="shared" si="305"/>
        <v>0</v>
      </c>
      <c r="Q399" s="2566"/>
      <c r="R399" s="2566"/>
      <c r="S399" s="1968"/>
      <c r="T399" s="1968"/>
      <c r="U399" s="1969"/>
      <c r="V399" s="1969"/>
      <c r="W399" s="1969">
        <f t="shared" si="311"/>
        <v>7.9699999999999997E-4</v>
      </c>
      <c r="X399" s="55">
        <f>'Income Eligible Deemed Table'!L138</f>
        <v>25</v>
      </c>
      <c r="Y399" s="55"/>
      <c r="Z399" s="55">
        <f t="shared" si="309"/>
        <v>25</v>
      </c>
      <c r="AA399" s="49">
        <f>'Income Eligible Deemed Table'!BB138</f>
        <v>2.0976633091765708</v>
      </c>
      <c r="AB399" s="698">
        <f>'Income Eligible Deemed Table'!M138</f>
        <v>1.1631012658227848</v>
      </c>
      <c r="AC399" s="2582">
        <f t="shared" si="310"/>
        <v>2.3027794716123462</v>
      </c>
      <c r="AD399" s="2582">
        <f t="shared" si="306"/>
        <v>0</v>
      </c>
      <c r="AE399" s="1380">
        <f>'Income Eligible Deemed Table'!BD138</f>
        <v>2.3027794716123462</v>
      </c>
      <c r="AF399" s="571"/>
      <c r="AG399" s="571"/>
      <c r="AH399" s="571"/>
      <c r="AI399" s="2591" t="str">
        <f t="shared" si="323"/>
        <v>Units - area of ceiling/attic (ft2)</v>
      </c>
      <c r="AJ399" s="141"/>
      <c r="AM399" s="1596">
        <f t="shared" si="267"/>
        <v>4.6608050000000002E-4</v>
      </c>
      <c r="AN399">
        <f t="shared" ref="AN399:AN422" si="324">AM399*I399</f>
        <v>7.9699765500000001E-4</v>
      </c>
      <c r="AO399" s="1595">
        <f t="shared" si="268"/>
        <v>-2.3449999999539811E-9</v>
      </c>
    </row>
    <row r="400" spans="1:41" x14ac:dyDescent="0.35">
      <c r="A400" s="103" t="str">
        <f t="shared" si="308"/>
        <v>401200</v>
      </c>
      <c r="B400" s="3346" t="str">
        <f>'Income Eligible Deemed Table'!C139</f>
        <v>401200_2019_12_</v>
      </c>
      <c r="C400" s="3343" t="str">
        <f>'Income Eligible Deemed Table'!G139</f>
        <v>Building Shell RES</v>
      </c>
      <c r="D400" s="3343"/>
      <c r="E400" s="3343"/>
      <c r="F400" s="3343"/>
      <c r="G400" s="3343" t="str">
        <f>'Income Eligible Deemed Table'!E139</f>
        <v>Ceiling Insulation R5-R30 SF IE DI heat pump base</v>
      </c>
      <c r="H400" s="50" t="str">
        <f>'Income Eligible Deemed Table'!D139</f>
        <v>SFIE</v>
      </c>
      <c r="I400" s="1966">
        <f>'Income Eligible Deemed Table'!F139</f>
        <v>1.07</v>
      </c>
      <c r="J400" s="1966">
        <f t="shared" si="303"/>
        <v>0</v>
      </c>
      <c r="K400" s="2565"/>
      <c r="L400" s="2565"/>
      <c r="M400" s="560"/>
      <c r="N400" s="560"/>
      <c r="O400" s="1967">
        <f>'Income Eligible Deemed Table'!K139</f>
        <v>4.9899999999999999E-4</v>
      </c>
      <c r="P400" s="1967">
        <f t="shared" si="305"/>
        <v>0</v>
      </c>
      <c r="Q400" s="2566"/>
      <c r="R400" s="2566"/>
      <c r="S400" s="1968"/>
      <c r="T400" s="1968"/>
      <c r="U400" s="1969"/>
      <c r="V400" s="1969"/>
      <c r="W400" s="1969">
        <f t="shared" si="311"/>
        <v>4.9899999999999999E-4</v>
      </c>
      <c r="X400" s="55">
        <f>'Income Eligible Deemed Table'!L139</f>
        <v>25</v>
      </c>
      <c r="Y400" s="55"/>
      <c r="Z400" s="55">
        <f t="shared" si="309"/>
        <v>25</v>
      </c>
      <c r="AA400" s="49">
        <f>'Income Eligible Deemed Table'!BB139</f>
        <v>1.312572947847328</v>
      </c>
      <c r="AB400" s="698">
        <f>'Income Eligible Deemed Table'!M139</f>
        <v>1.1631012658227848</v>
      </c>
      <c r="AC400" s="2582">
        <f t="shared" si="310"/>
        <v>1.4409204880849185</v>
      </c>
      <c r="AD400" s="2582">
        <f t="shared" si="306"/>
        <v>0</v>
      </c>
      <c r="AE400" s="1380">
        <f>'Income Eligible Deemed Table'!BD139</f>
        <v>1.4409204880849185</v>
      </c>
      <c r="AF400" s="571"/>
      <c r="AG400" s="571"/>
      <c r="AH400" s="571"/>
      <c r="AI400" s="2591" t="str">
        <f t="shared" si="323"/>
        <v>Units - area of ceiling/attic (ft2)</v>
      </c>
      <c r="AJ400" s="141"/>
      <c r="AM400" s="1596">
        <f t="shared" si="267"/>
        <v>4.6608050000000002E-4</v>
      </c>
      <c r="AN400">
        <f t="shared" si="324"/>
        <v>4.9870613500000002E-4</v>
      </c>
      <c r="AO400" s="1595">
        <f t="shared" si="268"/>
        <v>-2.9386499999996436E-7</v>
      </c>
    </row>
    <row r="401" spans="1:41" x14ac:dyDescent="0.35">
      <c r="A401" s="103" t="str">
        <f t="shared" si="308"/>
        <v>401250</v>
      </c>
      <c r="B401" s="3346" t="str">
        <f>'Income Eligible Deemed Table'!C140</f>
        <v>401250_2019_12_</v>
      </c>
      <c r="C401" s="3343" t="str">
        <f>'Income Eligible Deemed Table'!G140</f>
        <v>Building Shell RES</v>
      </c>
      <c r="D401" s="3343"/>
      <c r="E401" s="3343"/>
      <c r="F401" s="3343"/>
      <c r="G401" s="3343" t="str">
        <f>'Income Eligible Deemed Table'!E140</f>
        <v>Ceiling Insulation R5-R30 SF IE DI gas heat electric cool base</v>
      </c>
      <c r="H401" s="50" t="str">
        <f>'Income Eligible Deemed Table'!D140</f>
        <v>SFIE</v>
      </c>
      <c r="I401" s="1966">
        <f>'Income Eligible Deemed Table'!F140</f>
        <v>0.23</v>
      </c>
      <c r="J401" s="1966">
        <f t="shared" si="303"/>
        <v>0</v>
      </c>
      <c r="K401" s="2565"/>
      <c r="L401" s="2565"/>
      <c r="M401" s="560"/>
      <c r="N401" s="560"/>
      <c r="O401" s="1967">
        <f>'Income Eligible Deemed Table'!K140</f>
        <v>1.07E-4</v>
      </c>
      <c r="P401" s="1967">
        <f t="shared" si="305"/>
        <v>0</v>
      </c>
      <c r="Q401" s="2566"/>
      <c r="R401" s="2566"/>
      <c r="S401" s="1968"/>
      <c r="T401" s="1968"/>
      <c r="U401" s="1969"/>
      <c r="V401" s="1969"/>
      <c r="W401" s="1969">
        <f t="shared" si="311"/>
        <v>1.07E-4</v>
      </c>
      <c r="X401" s="55">
        <f>'Income Eligible Deemed Table'!L140</f>
        <v>25</v>
      </c>
      <c r="Y401" s="55"/>
      <c r="Z401" s="55">
        <f t="shared" si="309"/>
        <v>25</v>
      </c>
      <c r="AA401" s="49">
        <f>'Income Eligible Deemed Table'!BB140</f>
        <v>0.28214184860269664</v>
      </c>
      <c r="AB401" s="698">
        <f>'Income Eligible Deemed Table'!M140</f>
        <v>1.1631012658227848</v>
      </c>
      <c r="AC401" s="2582">
        <f t="shared" si="310"/>
        <v>0.30973057220516936</v>
      </c>
      <c r="AD401" s="2582">
        <f t="shared" si="306"/>
        <v>0</v>
      </c>
      <c r="AE401" s="1380">
        <f>'Income Eligible Deemed Table'!BD140</f>
        <v>0.30973057220516936</v>
      </c>
      <c r="AF401" s="571"/>
      <c r="AG401" s="571"/>
      <c r="AH401" s="571"/>
      <c r="AI401" s="2591" t="str">
        <f t="shared" si="323"/>
        <v>Units - area of ceiling/attic (ft2)</v>
      </c>
      <c r="AJ401" s="141"/>
      <c r="AM401" s="1596">
        <f t="shared" si="267"/>
        <v>4.6608050000000002E-4</v>
      </c>
      <c r="AN401">
        <f t="shared" si="324"/>
        <v>1.0719851500000001E-4</v>
      </c>
      <c r="AO401" s="1595">
        <f t="shared" si="268"/>
        <v>1.9851500000001617E-7</v>
      </c>
    </row>
    <row r="402" spans="1:41" x14ac:dyDescent="0.35">
      <c r="A402" s="103" t="str">
        <f t="shared" si="308"/>
        <v>401300</v>
      </c>
      <c r="B402" s="3346" t="str">
        <f>'Income Eligible Deemed Table'!C141</f>
        <v>401300_2019_12_</v>
      </c>
      <c r="C402" s="3343" t="str">
        <f>'Income Eligible Deemed Table'!G141</f>
        <v>Building Shell RES</v>
      </c>
      <c r="D402" s="3343"/>
      <c r="E402" s="3343"/>
      <c r="F402" s="3343"/>
      <c r="G402" s="3343" t="str">
        <f>'Income Eligible Deemed Table'!E141</f>
        <v>Ceiling Insulation R5-R38 MF IE DI electric furnace base</v>
      </c>
      <c r="H402" s="50" t="str">
        <f>'Income Eligible Deemed Table'!D141</f>
        <v>MFIE</v>
      </c>
      <c r="I402" s="1966">
        <f>'Income Eligible Deemed Table'!F141</f>
        <v>1.84</v>
      </c>
      <c r="J402" s="1966">
        <f t="shared" si="303"/>
        <v>0</v>
      </c>
      <c r="K402" s="2565"/>
      <c r="L402" s="2565"/>
      <c r="M402" s="560"/>
      <c r="N402" s="560"/>
      <c r="O402" s="1967">
        <f>'Income Eligible Deemed Table'!K141</f>
        <v>8.5800000000000004E-4</v>
      </c>
      <c r="P402" s="1967">
        <f t="shared" si="305"/>
        <v>0</v>
      </c>
      <c r="Q402" s="2566"/>
      <c r="R402" s="2566"/>
      <c r="S402" s="1968"/>
      <c r="T402" s="1968"/>
      <c r="U402" s="1969"/>
      <c r="V402" s="1969"/>
      <c r="W402" s="1969">
        <f t="shared" si="311"/>
        <v>8.5800000000000004E-4</v>
      </c>
      <c r="X402" s="55">
        <f>'Income Eligible Deemed Table'!L141</f>
        <v>25</v>
      </c>
      <c r="Y402" s="55"/>
      <c r="Z402" s="55">
        <f t="shared" si="309"/>
        <v>25</v>
      </c>
      <c r="AA402" s="49">
        <f>'Income Eligible Deemed Table'!BB141</f>
        <v>1.5616972723582285</v>
      </c>
      <c r="AB402" s="698">
        <f>'Income Eligible Deemed Table'!M141</f>
        <v>1.6810404785088331</v>
      </c>
      <c r="AC402" s="2582">
        <f t="shared" si="310"/>
        <v>2.4778445776413549</v>
      </c>
      <c r="AD402" s="2582">
        <f t="shared" si="306"/>
        <v>0</v>
      </c>
      <c r="AE402" s="1380">
        <f>'Income Eligible Deemed Table'!BD141</f>
        <v>2.4778445776413549</v>
      </c>
      <c r="AF402" s="571"/>
      <c r="AG402" s="571"/>
      <c r="AH402" s="571"/>
      <c r="AI402" s="2591" t="str">
        <f t="shared" si="323"/>
        <v>Units - area of ceiling/attic (ft2)</v>
      </c>
      <c r="AJ402" s="141"/>
      <c r="AM402" s="1596">
        <f t="shared" si="267"/>
        <v>4.6608050000000002E-4</v>
      </c>
      <c r="AN402">
        <f t="shared" si="324"/>
        <v>8.5758812000000012E-4</v>
      </c>
      <c r="AO402" s="1595">
        <f t="shared" si="268"/>
        <v>-4.1187999999991922E-7</v>
      </c>
    </row>
    <row r="403" spans="1:41" x14ac:dyDescent="0.35">
      <c r="A403" s="103" t="str">
        <f t="shared" si="308"/>
        <v>401350</v>
      </c>
      <c r="B403" s="3346" t="str">
        <f>'Income Eligible Deemed Table'!C142</f>
        <v>401350_2019_12_</v>
      </c>
      <c r="C403" s="3343" t="str">
        <f>'Income Eligible Deemed Table'!G142</f>
        <v>Building Shell RES</v>
      </c>
      <c r="D403" s="3343"/>
      <c r="E403" s="3343"/>
      <c r="F403" s="3343"/>
      <c r="G403" s="3343" t="str">
        <f>'Income Eligible Deemed Table'!E142</f>
        <v>Ceiling Insulation R5-R38 MF IE DI heat pump base</v>
      </c>
      <c r="H403" s="50" t="str">
        <f>'Income Eligible Deemed Table'!D142</f>
        <v>MFIE</v>
      </c>
      <c r="I403" s="1966">
        <f>'Income Eligible Deemed Table'!F142</f>
        <v>1.1499999999999999</v>
      </c>
      <c r="J403" s="1966">
        <f t="shared" si="303"/>
        <v>0</v>
      </c>
      <c r="K403" s="2565"/>
      <c r="L403" s="2565"/>
      <c r="M403" s="560"/>
      <c r="N403" s="560"/>
      <c r="O403" s="1967">
        <f>'Income Eligible Deemed Table'!K142</f>
        <v>5.3600000000000002E-4</v>
      </c>
      <c r="P403" s="1967">
        <f t="shared" si="305"/>
        <v>0</v>
      </c>
      <c r="Q403" s="2566"/>
      <c r="R403" s="2566"/>
      <c r="S403" s="1968"/>
      <c r="T403" s="1968"/>
      <c r="U403" s="1969"/>
      <c r="V403" s="1969"/>
      <c r="W403" s="1969">
        <f t="shared" si="311"/>
        <v>5.3600000000000002E-4</v>
      </c>
      <c r="X403" s="55">
        <f>'Income Eligible Deemed Table'!L142</f>
        <v>25</v>
      </c>
      <c r="Y403" s="55"/>
      <c r="Z403" s="55">
        <f t="shared" si="309"/>
        <v>25</v>
      </c>
      <c r="AA403" s="49">
        <f>'Income Eligible Deemed Table'!BB142</f>
        <v>0.97606079522389277</v>
      </c>
      <c r="AB403" s="698">
        <f>'Income Eligible Deemed Table'!M142</f>
        <v>1.6810404785088331</v>
      </c>
      <c r="AC403" s="2582">
        <f t="shared" si="310"/>
        <v>1.5486528610258468</v>
      </c>
      <c r="AD403" s="2582">
        <f t="shared" si="306"/>
        <v>0</v>
      </c>
      <c r="AE403" s="1380">
        <f>'Income Eligible Deemed Table'!BD142</f>
        <v>1.5486528610258468</v>
      </c>
      <c r="AF403" s="571"/>
      <c r="AG403" s="571"/>
      <c r="AH403" s="571"/>
      <c r="AI403" s="2591" t="str">
        <f t="shared" si="323"/>
        <v>Units - area of ceiling/attic (ft2)</v>
      </c>
      <c r="AJ403" s="141"/>
      <c r="AM403" s="1596">
        <f t="shared" si="267"/>
        <v>4.6608050000000002E-4</v>
      </c>
      <c r="AN403">
        <f t="shared" si="324"/>
        <v>5.3599257499999998E-4</v>
      </c>
      <c r="AO403" s="1595">
        <f t="shared" si="268"/>
        <v>-7.4250000000383037E-9</v>
      </c>
    </row>
    <row r="404" spans="1:41" x14ac:dyDescent="0.35">
      <c r="A404" s="103" t="str">
        <f t="shared" si="308"/>
        <v>401400</v>
      </c>
      <c r="B404" s="3346" t="str">
        <f>'Income Eligible Deemed Table'!C143</f>
        <v>401400_2019_12_</v>
      </c>
      <c r="C404" s="3343" t="str">
        <f>'Income Eligible Deemed Table'!G143</f>
        <v>Building Shell RES</v>
      </c>
      <c r="D404" s="3343"/>
      <c r="E404" s="3343"/>
      <c r="F404" s="3343"/>
      <c r="G404" s="3343" t="str">
        <f>'Income Eligible Deemed Table'!E143</f>
        <v>Ceiling Insulation R5-R38 MF IE DI gas heat electric cool base</v>
      </c>
      <c r="H404" s="50" t="str">
        <f>'Income Eligible Deemed Table'!D143</f>
        <v>MFIE</v>
      </c>
      <c r="I404" s="1966">
        <f>'Income Eligible Deemed Table'!F143</f>
        <v>0.25</v>
      </c>
      <c r="J404" s="1966">
        <f t="shared" si="303"/>
        <v>0</v>
      </c>
      <c r="K404" s="2565"/>
      <c r="L404" s="2565"/>
      <c r="M404" s="560"/>
      <c r="N404" s="560"/>
      <c r="O404" s="1967">
        <f>'Income Eligible Deemed Table'!K143</f>
        <v>1.17E-4</v>
      </c>
      <c r="P404" s="1967">
        <f t="shared" si="305"/>
        <v>0</v>
      </c>
      <c r="Q404" s="2566"/>
      <c r="R404" s="2566"/>
      <c r="S404" s="1968"/>
      <c r="T404" s="1968"/>
      <c r="U404" s="1969"/>
      <c r="V404" s="1969"/>
      <c r="W404" s="1969">
        <f t="shared" si="311"/>
        <v>1.17E-4</v>
      </c>
      <c r="X404" s="55">
        <f>'Income Eligible Deemed Table'!L143</f>
        <v>25</v>
      </c>
      <c r="Y404" s="55"/>
      <c r="Z404" s="55">
        <f t="shared" si="309"/>
        <v>25</v>
      </c>
      <c r="AA404" s="49">
        <f>'Income Eligible Deemed Table'!BB143</f>
        <v>0.21218712939649845</v>
      </c>
      <c r="AB404" s="698">
        <f>'Income Eligible Deemed Table'!M143</f>
        <v>1.6810404785088331</v>
      </c>
      <c r="AC404" s="2582">
        <f t="shared" si="310"/>
        <v>0.33666366544040149</v>
      </c>
      <c r="AD404" s="2582">
        <f t="shared" si="306"/>
        <v>0</v>
      </c>
      <c r="AE404" s="1380">
        <f>'Income Eligible Deemed Table'!BD143</f>
        <v>0.33666366544040149</v>
      </c>
      <c r="AF404" s="571"/>
      <c r="AG404" s="571"/>
      <c r="AH404" s="571"/>
      <c r="AI404" s="2591" t="str">
        <f t="shared" si="323"/>
        <v>Units - area of ceiling/attic (ft2)</v>
      </c>
      <c r="AJ404" s="141"/>
      <c r="AM404" s="1596">
        <f t="shared" si="267"/>
        <v>4.6608050000000002E-4</v>
      </c>
      <c r="AN404">
        <f t="shared" si="324"/>
        <v>1.16520125E-4</v>
      </c>
      <c r="AO404" s="1595">
        <f t="shared" si="268"/>
        <v>-4.7987499999999344E-7</v>
      </c>
    </row>
    <row r="405" spans="1:41" x14ac:dyDescent="0.35">
      <c r="A405" s="103" t="str">
        <f t="shared" si="308"/>
        <v>401450</v>
      </c>
      <c r="B405" s="3346" t="str">
        <f>'Income Eligible Deemed Table'!C144</f>
        <v>401450_2019_12_</v>
      </c>
      <c r="C405" s="3343" t="str">
        <f>'Income Eligible Deemed Table'!G144</f>
        <v>Building Shell RES</v>
      </c>
      <c r="D405" s="3343"/>
      <c r="E405" s="3343"/>
      <c r="F405" s="3343"/>
      <c r="G405" s="3343" t="str">
        <f>'Income Eligible Deemed Table'!E144</f>
        <v>Ceiling Insulation R5-R38 SF IE DI electric furnace base</v>
      </c>
      <c r="H405" s="50" t="str">
        <f>'Income Eligible Deemed Table'!D144</f>
        <v>SFIE</v>
      </c>
      <c r="I405" s="1966">
        <f>'Income Eligible Deemed Table'!F144</f>
        <v>1.84</v>
      </c>
      <c r="J405" s="1966">
        <f t="shared" si="303"/>
        <v>0</v>
      </c>
      <c r="K405" s="2565"/>
      <c r="L405" s="2565"/>
      <c r="M405" s="560"/>
      <c r="N405" s="560"/>
      <c r="O405" s="1967">
        <f>'Income Eligible Deemed Table'!K144</f>
        <v>8.5800000000000004E-4</v>
      </c>
      <c r="P405" s="1967">
        <f t="shared" si="305"/>
        <v>0</v>
      </c>
      <c r="Q405" s="2566"/>
      <c r="R405" s="2566"/>
      <c r="S405" s="1968"/>
      <c r="T405" s="1968"/>
      <c r="U405" s="1969"/>
      <c r="V405" s="1969"/>
      <c r="W405" s="1969">
        <f t="shared" si="311"/>
        <v>8.5800000000000004E-4</v>
      </c>
      <c r="X405" s="55">
        <f>'Income Eligible Deemed Table'!L144</f>
        <v>25</v>
      </c>
      <c r="Y405" s="55"/>
      <c r="Z405" s="55">
        <f t="shared" si="309"/>
        <v>25</v>
      </c>
      <c r="AA405" s="49">
        <f>'Income Eligible Deemed Table'!BB144</f>
        <v>1.5616979184889357</v>
      </c>
      <c r="AB405" s="698">
        <f>'Income Eligible Deemed Table'!M144</f>
        <v>1.6810397830018082</v>
      </c>
      <c r="AC405" s="2582">
        <f t="shared" si="310"/>
        <v>2.4778445776413549</v>
      </c>
      <c r="AD405" s="2582">
        <f t="shared" si="306"/>
        <v>0</v>
      </c>
      <c r="AE405" s="1380">
        <f>'Income Eligible Deemed Table'!BD144</f>
        <v>2.4778445776413549</v>
      </c>
      <c r="AF405" s="571"/>
      <c r="AG405" s="571"/>
      <c r="AH405" s="571"/>
      <c r="AI405" s="2591" t="str">
        <f t="shared" si="323"/>
        <v>Units - area of ceiling/attic (ft2)</v>
      </c>
      <c r="AJ405" s="141"/>
      <c r="AM405" s="1596">
        <f t="shared" si="267"/>
        <v>4.6608050000000002E-4</v>
      </c>
      <c r="AN405">
        <f t="shared" si="324"/>
        <v>8.5758812000000012E-4</v>
      </c>
      <c r="AO405" s="1595">
        <f t="shared" si="268"/>
        <v>-4.1187999999991922E-7</v>
      </c>
    </row>
    <row r="406" spans="1:41" x14ac:dyDescent="0.35">
      <c r="A406" s="103" t="str">
        <f t="shared" si="308"/>
        <v>401500</v>
      </c>
      <c r="B406" s="3346" t="str">
        <f>'Income Eligible Deemed Table'!C145</f>
        <v>401500_2019_12_</v>
      </c>
      <c r="C406" s="3343" t="str">
        <f>'Income Eligible Deemed Table'!G145</f>
        <v>Building Shell RES</v>
      </c>
      <c r="D406" s="3343"/>
      <c r="E406" s="3343"/>
      <c r="F406" s="3343"/>
      <c r="G406" s="3343" t="str">
        <f>'Income Eligible Deemed Table'!E145</f>
        <v>Ceiling Insulation R5-R38 SF IE DI heat pump base</v>
      </c>
      <c r="H406" s="50" t="str">
        <f>'Income Eligible Deemed Table'!D145</f>
        <v>SFIE</v>
      </c>
      <c r="I406" s="1966">
        <f>'Income Eligible Deemed Table'!F145</f>
        <v>1.1499999999999999</v>
      </c>
      <c r="J406" s="1966">
        <f t="shared" si="303"/>
        <v>0</v>
      </c>
      <c r="K406" s="2565"/>
      <c r="L406" s="2565"/>
      <c r="M406" s="560"/>
      <c r="N406" s="560"/>
      <c r="O406" s="1967">
        <f>'Income Eligible Deemed Table'!K145</f>
        <v>5.3600000000000002E-4</v>
      </c>
      <c r="P406" s="1967">
        <f t="shared" si="305"/>
        <v>0</v>
      </c>
      <c r="Q406" s="2566"/>
      <c r="R406" s="2566"/>
      <c r="S406" s="1968"/>
      <c r="T406" s="1968"/>
      <c r="U406" s="1969"/>
      <c r="V406" s="1969"/>
      <c r="W406" s="1969">
        <f t="shared" si="311"/>
        <v>5.3600000000000002E-4</v>
      </c>
      <c r="X406" s="55">
        <f>'Income Eligible Deemed Table'!L145</f>
        <v>25</v>
      </c>
      <c r="Y406" s="55"/>
      <c r="Z406" s="55">
        <f t="shared" si="309"/>
        <v>25</v>
      </c>
      <c r="AA406" s="49">
        <f>'Income Eligible Deemed Table'!BB145</f>
        <v>0.97606119905558475</v>
      </c>
      <c r="AB406" s="698">
        <f>'Income Eligible Deemed Table'!M145</f>
        <v>1.6810397830018082</v>
      </c>
      <c r="AC406" s="2582">
        <f t="shared" si="310"/>
        <v>1.5486528610258468</v>
      </c>
      <c r="AD406" s="2582">
        <f t="shared" si="306"/>
        <v>0</v>
      </c>
      <c r="AE406" s="1380">
        <f>'Income Eligible Deemed Table'!BD145</f>
        <v>1.5486528610258468</v>
      </c>
      <c r="AF406" s="571"/>
      <c r="AG406" s="571"/>
      <c r="AH406" s="571"/>
      <c r="AI406" s="2591" t="str">
        <f t="shared" si="323"/>
        <v>Units - area of ceiling/attic (ft2)</v>
      </c>
      <c r="AJ406" s="141"/>
      <c r="AM406" s="1596">
        <f t="shared" ref="AM406:AM422" si="325">VLOOKUP(C406,$AS$10:$AT$33,2,FALSE)</f>
        <v>4.6608050000000002E-4</v>
      </c>
      <c r="AN406">
        <f t="shared" si="324"/>
        <v>5.3599257499999998E-4</v>
      </c>
      <c r="AO406" s="1595">
        <f t="shared" ref="AO406:AO422" si="326">AN406-O406</f>
        <v>-7.4250000000383037E-9</v>
      </c>
    </row>
    <row r="407" spans="1:41" x14ac:dyDescent="0.35">
      <c r="A407" s="103" t="str">
        <f t="shared" si="308"/>
        <v>401550</v>
      </c>
      <c r="B407" s="3346" t="str">
        <f>'Income Eligible Deemed Table'!C146</f>
        <v>401550_2019_12_</v>
      </c>
      <c r="C407" s="3343" t="str">
        <f>'Income Eligible Deemed Table'!G146</f>
        <v>Building Shell RES</v>
      </c>
      <c r="D407" s="3343"/>
      <c r="E407" s="3343"/>
      <c r="F407" s="3343"/>
      <c r="G407" s="3343" t="str">
        <f>'Income Eligible Deemed Table'!E146</f>
        <v>Ceiling Insulation R5-R38 SF IE DI gas heat electric cool base</v>
      </c>
      <c r="H407" s="50" t="str">
        <f>'Income Eligible Deemed Table'!D146</f>
        <v>SFIE</v>
      </c>
      <c r="I407" s="1966">
        <f>'Income Eligible Deemed Table'!F146</f>
        <v>0.25</v>
      </c>
      <c r="J407" s="1966">
        <f t="shared" si="303"/>
        <v>0</v>
      </c>
      <c r="K407" s="2565"/>
      <c r="L407" s="2565"/>
      <c r="M407" s="560"/>
      <c r="N407" s="560"/>
      <c r="O407" s="1967">
        <f>'Income Eligible Deemed Table'!K146</f>
        <v>1.17E-4</v>
      </c>
      <c r="P407" s="1967">
        <f t="shared" si="305"/>
        <v>0</v>
      </c>
      <c r="Q407" s="2566"/>
      <c r="R407" s="2566"/>
      <c r="S407" s="1968"/>
      <c r="T407" s="1968"/>
      <c r="U407" s="1969"/>
      <c r="V407" s="1969"/>
      <c r="W407" s="1969">
        <f t="shared" si="311"/>
        <v>1.17E-4</v>
      </c>
      <c r="X407" s="55">
        <f>'Income Eligible Deemed Table'!L146</f>
        <v>25</v>
      </c>
      <c r="Y407" s="55"/>
      <c r="Z407" s="55">
        <f t="shared" si="309"/>
        <v>25</v>
      </c>
      <c r="AA407" s="49">
        <f>'Income Eligible Deemed Table'!BB146</f>
        <v>0.2121872171859967</v>
      </c>
      <c r="AB407" s="698">
        <f>'Income Eligible Deemed Table'!M146</f>
        <v>1.6810397830018082</v>
      </c>
      <c r="AC407" s="2582">
        <f t="shared" si="310"/>
        <v>0.33666366544040149</v>
      </c>
      <c r="AD407" s="2582">
        <f t="shared" si="306"/>
        <v>0</v>
      </c>
      <c r="AE407" s="1380">
        <f>'Income Eligible Deemed Table'!BD146</f>
        <v>0.33666366544040149</v>
      </c>
      <c r="AF407" s="571"/>
      <c r="AG407" s="571"/>
      <c r="AH407" s="571"/>
      <c r="AI407" s="2591" t="str">
        <f t="shared" si="323"/>
        <v>Units - area of ceiling/attic (ft2)</v>
      </c>
      <c r="AJ407" s="141"/>
      <c r="AM407" s="1596">
        <f t="shared" si="325"/>
        <v>4.6608050000000002E-4</v>
      </c>
      <c r="AN407">
        <f t="shared" si="324"/>
        <v>1.16520125E-4</v>
      </c>
      <c r="AO407" s="1595">
        <f t="shared" si="326"/>
        <v>-4.7987499999999344E-7</v>
      </c>
    </row>
    <row r="408" spans="1:41" x14ac:dyDescent="0.35">
      <c r="A408" s="103" t="str">
        <f t="shared" si="308"/>
        <v>401600</v>
      </c>
      <c r="B408" s="3346" t="str">
        <f>'Income Eligible Deemed Table'!C147</f>
        <v>401600_2019_12_</v>
      </c>
      <c r="C408" s="3343" t="str">
        <f>'Income Eligible Deemed Table'!G147</f>
        <v>Building Shell RES</v>
      </c>
      <c r="D408" s="3343"/>
      <c r="E408" s="3343"/>
      <c r="F408" s="3343"/>
      <c r="G408" s="3343" t="str">
        <f>'Income Eligible Deemed Table'!E147</f>
        <v>Ceiling Insulation R5-R49 MF IE DI electric furnace base</v>
      </c>
      <c r="H408" s="50" t="str">
        <f>'Income Eligible Deemed Table'!D147</f>
        <v>MFIE</v>
      </c>
      <c r="I408" s="1966">
        <f>'Income Eligible Deemed Table'!F147</f>
        <v>1.96</v>
      </c>
      <c r="J408" s="1966">
        <f t="shared" si="303"/>
        <v>0</v>
      </c>
      <c r="K408" s="2565"/>
      <c r="L408" s="2565"/>
      <c r="M408" s="560"/>
      <c r="N408" s="560"/>
      <c r="O408" s="1967">
        <f>'Income Eligible Deemed Table'!K147</f>
        <v>9.1399999999999999E-4</v>
      </c>
      <c r="P408" s="1967">
        <f t="shared" si="305"/>
        <v>0</v>
      </c>
      <c r="Q408" s="2566"/>
      <c r="R408" s="2566"/>
      <c r="S408" s="1968"/>
      <c r="T408" s="1968"/>
      <c r="U408" s="1969"/>
      <c r="V408" s="1969"/>
      <c r="W408" s="1969">
        <f t="shared" si="311"/>
        <v>9.1399999999999999E-4</v>
      </c>
      <c r="X408" s="55">
        <f>'Income Eligible Deemed Table'!L147</f>
        <v>25</v>
      </c>
      <c r="Y408" s="55"/>
      <c r="Z408" s="55">
        <f t="shared" si="309"/>
        <v>25</v>
      </c>
      <c r="AA408" s="49">
        <f>'Income Eligible Deemed Table'!BB147</f>
        <v>1.0886545929263545</v>
      </c>
      <c r="AB408" s="698">
        <f>'Income Eligible Deemed Table'!M147</f>
        <v>2.568757824454027</v>
      </c>
      <c r="AC408" s="2582">
        <f t="shared" si="310"/>
        <v>2.6394431370527478</v>
      </c>
      <c r="AD408" s="2582">
        <f t="shared" si="306"/>
        <v>0</v>
      </c>
      <c r="AE408" s="1380">
        <f>'Income Eligible Deemed Table'!BD147</f>
        <v>2.6394431370527478</v>
      </c>
      <c r="AF408" s="571"/>
      <c r="AG408" s="571"/>
      <c r="AH408" s="571"/>
      <c r="AI408" s="2591" t="str">
        <f t="shared" si="323"/>
        <v>Units - area of ceiling/attic (ft2)</v>
      </c>
      <c r="AJ408" s="141"/>
      <c r="AM408" s="1596">
        <f t="shared" si="325"/>
        <v>4.6608050000000002E-4</v>
      </c>
      <c r="AN408">
        <f t="shared" si="324"/>
        <v>9.1351778E-4</v>
      </c>
      <c r="AO408" s="1595">
        <f t="shared" si="326"/>
        <v>-4.8221999999998807E-7</v>
      </c>
    </row>
    <row r="409" spans="1:41" x14ac:dyDescent="0.35">
      <c r="A409" s="103" t="str">
        <f t="shared" si="308"/>
        <v>401650</v>
      </c>
      <c r="B409" s="3346" t="str">
        <f>'Income Eligible Deemed Table'!C148</f>
        <v>401650_2019_12_</v>
      </c>
      <c r="C409" s="3343" t="str">
        <f>'Income Eligible Deemed Table'!G148</f>
        <v>Building Shell RES</v>
      </c>
      <c r="D409" s="3343"/>
      <c r="E409" s="3343"/>
      <c r="F409" s="3343"/>
      <c r="G409" s="3343" t="str">
        <f>'Income Eligible Deemed Table'!E148</f>
        <v>Ceiling Insulation R5-R49 MF IE DI heat pump base</v>
      </c>
      <c r="H409" s="50" t="str">
        <f>'Income Eligible Deemed Table'!D148</f>
        <v>MFIE</v>
      </c>
      <c r="I409" s="1966">
        <f>'Income Eligible Deemed Table'!F148</f>
        <v>1.22</v>
      </c>
      <c r="J409" s="1966">
        <f t="shared" si="303"/>
        <v>0</v>
      </c>
      <c r="K409" s="2565"/>
      <c r="L409" s="2565"/>
      <c r="M409" s="560"/>
      <c r="N409" s="560"/>
      <c r="O409" s="1967">
        <f>'Income Eligible Deemed Table'!K148</f>
        <v>5.6899999999999995E-4</v>
      </c>
      <c r="P409" s="1967">
        <f t="shared" si="305"/>
        <v>0</v>
      </c>
      <c r="Q409" s="2566"/>
      <c r="R409" s="2566"/>
      <c r="S409" s="1968"/>
      <c r="T409" s="1968"/>
      <c r="U409" s="1969"/>
      <c r="V409" s="1969"/>
      <c r="W409" s="1969">
        <f t="shared" si="311"/>
        <v>5.6899999999999995E-4</v>
      </c>
      <c r="X409" s="55">
        <f>'Income Eligible Deemed Table'!L148</f>
        <v>25</v>
      </c>
      <c r="Y409" s="55"/>
      <c r="Z409" s="55">
        <f t="shared" si="309"/>
        <v>25</v>
      </c>
      <c r="AA409" s="49">
        <f>'Income Eligible Deemed Table'!BB148</f>
        <v>0.67763194049497577</v>
      </c>
      <c r="AB409" s="698">
        <f>'Income Eligible Deemed Table'!M148</f>
        <v>2.568757824454027</v>
      </c>
      <c r="AC409" s="2582">
        <f t="shared" si="310"/>
        <v>1.6429186873491592</v>
      </c>
      <c r="AD409" s="2582">
        <f t="shared" si="306"/>
        <v>0</v>
      </c>
      <c r="AE409" s="1380">
        <f>'Income Eligible Deemed Table'!BD148</f>
        <v>1.6429186873491592</v>
      </c>
      <c r="AF409" s="571"/>
      <c r="AG409" s="571"/>
      <c r="AH409" s="571"/>
      <c r="AI409" s="2591" t="str">
        <f t="shared" si="323"/>
        <v>Units - area of ceiling/attic (ft2)</v>
      </c>
      <c r="AJ409" s="141"/>
      <c r="AM409" s="1596">
        <f t="shared" si="325"/>
        <v>4.6608050000000002E-4</v>
      </c>
      <c r="AN409">
        <f t="shared" si="324"/>
        <v>5.6861821000000004E-4</v>
      </c>
      <c r="AO409" s="1595">
        <f t="shared" si="326"/>
        <v>-3.8178999999991491E-7</v>
      </c>
    </row>
    <row r="410" spans="1:41" x14ac:dyDescent="0.35">
      <c r="A410" s="103" t="str">
        <f t="shared" si="308"/>
        <v>401700</v>
      </c>
      <c r="B410" s="3346" t="str">
        <f>'Income Eligible Deemed Table'!C149</f>
        <v>401700_2019_12_</v>
      </c>
      <c r="C410" s="3343" t="str">
        <f>'Income Eligible Deemed Table'!G149</f>
        <v>Building Shell RES</v>
      </c>
      <c r="D410" s="3343"/>
      <c r="E410" s="3343"/>
      <c r="F410" s="3343"/>
      <c r="G410" s="3343" t="str">
        <f>'Income Eligible Deemed Table'!E149</f>
        <v>Ceiling Insulation R5-R49 MF IE DI gas heat electric cool base</v>
      </c>
      <c r="H410" s="50" t="str">
        <f>'Income Eligible Deemed Table'!D149</f>
        <v>MFIE</v>
      </c>
      <c r="I410" s="1966">
        <f>'Income Eligible Deemed Table'!F149</f>
        <v>0.26</v>
      </c>
      <c r="J410" s="1966">
        <f t="shared" si="303"/>
        <v>0</v>
      </c>
      <c r="K410" s="2565"/>
      <c r="L410" s="2565"/>
      <c r="M410" s="560"/>
      <c r="N410" s="560"/>
      <c r="O410" s="1967">
        <f>'Income Eligible Deemed Table'!K149</f>
        <v>1.21E-4</v>
      </c>
      <c r="P410" s="1967">
        <f t="shared" si="305"/>
        <v>0</v>
      </c>
      <c r="Q410" s="2566"/>
      <c r="R410" s="2566"/>
      <c r="S410" s="1968"/>
      <c r="T410" s="1968"/>
      <c r="U410" s="1969"/>
      <c r="V410" s="1969"/>
      <c r="W410" s="1969">
        <f t="shared" si="311"/>
        <v>1.21E-4</v>
      </c>
      <c r="X410" s="55">
        <f>'Income Eligible Deemed Table'!L149</f>
        <v>25</v>
      </c>
      <c r="Y410" s="55"/>
      <c r="Z410" s="55">
        <f t="shared" si="309"/>
        <v>25</v>
      </c>
      <c r="AA410" s="49">
        <f>'Income Eligible Deemed Table'!BB149</f>
        <v>0.14441336436778174</v>
      </c>
      <c r="AB410" s="698">
        <f>'Income Eligible Deemed Table'!M149</f>
        <v>2.568757824454027</v>
      </c>
      <c r="AC410" s="2582">
        <f t="shared" si="310"/>
        <v>0.35013021205801759</v>
      </c>
      <c r="AD410" s="2582">
        <f t="shared" si="306"/>
        <v>0</v>
      </c>
      <c r="AE410" s="1380">
        <f>'Income Eligible Deemed Table'!BD149</f>
        <v>0.35013021205801759</v>
      </c>
      <c r="AF410" s="571"/>
      <c r="AG410" s="571"/>
      <c r="AH410" s="571"/>
      <c r="AI410" s="2591" t="str">
        <f t="shared" si="323"/>
        <v>Units - area of ceiling/attic (ft2)</v>
      </c>
      <c r="AJ410" s="141"/>
      <c r="AM410" s="1596">
        <f t="shared" si="325"/>
        <v>4.6608050000000002E-4</v>
      </c>
      <c r="AN410">
        <f t="shared" si="324"/>
        <v>1.2118093000000001E-4</v>
      </c>
      <c r="AO410" s="1595">
        <f t="shared" si="326"/>
        <v>1.8093000000001251E-7</v>
      </c>
    </row>
    <row r="411" spans="1:41" x14ac:dyDescent="0.35">
      <c r="A411" s="103" t="str">
        <f t="shared" si="308"/>
        <v>401750</v>
      </c>
      <c r="B411" s="3346" t="str">
        <f>'Income Eligible Deemed Table'!C150</f>
        <v>401750_2019_12_</v>
      </c>
      <c r="C411" s="3343" t="str">
        <f>'Income Eligible Deemed Table'!G150</f>
        <v>Building Shell RES</v>
      </c>
      <c r="D411" s="3343"/>
      <c r="E411" s="3343"/>
      <c r="F411" s="3343"/>
      <c r="G411" s="3343" t="str">
        <f>'Income Eligible Deemed Table'!E150</f>
        <v>Ceiling Insulation R5-R49 SF IE DI electric furnace base</v>
      </c>
      <c r="H411" s="50" t="str">
        <f>'Income Eligible Deemed Table'!D150</f>
        <v>SFIE</v>
      </c>
      <c r="I411" s="1966">
        <f>'Income Eligible Deemed Table'!F150</f>
        <v>1.96</v>
      </c>
      <c r="J411" s="1966">
        <f t="shared" si="303"/>
        <v>0</v>
      </c>
      <c r="K411" s="2565"/>
      <c r="L411" s="2565"/>
      <c r="M411" s="560"/>
      <c r="N411" s="560"/>
      <c r="O411" s="1967">
        <f>'Income Eligible Deemed Table'!K150</f>
        <v>9.1399999999999999E-4</v>
      </c>
      <c r="P411" s="1967">
        <f t="shared" si="305"/>
        <v>0</v>
      </c>
      <c r="Q411" s="2566"/>
      <c r="R411" s="2566"/>
      <c r="S411" s="1968"/>
      <c r="T411" s="1968"/>
      <c r="U411" s="1969"/>
      <c r="V411" s="1969"/>
      <c r="W411" s="1969">
        <f t="shared" si="311"/>
        <v>9.1399999999999999E-4</v>
      </c>
      <c r="X411" s="55">
        <f>'Income Eligible Deemed Table'!L150</f>
        <v>25</v>
      </c>
      <c r="Y411" s="55"/>
      <c r="Z411" s="55">
        <f t="shared" si="309"/>
        <v>25</v>
      </c>
      <c r="AA411" s="49">
        <f>'Income Eligible Deemed Table'!BB150</f>
        <v>1.0886569510110276</v>
      </c>
      <c r="AB411" s="698">
        <f>'Income Eligible Deemed Table'!M150</f>
        <v>2.5687522603978299</v>
      </c>
      <c r="AC411" s="2582">
        <f t="shared" si="310"/>
        <v>2.6394431370527478</v>
      </c>
      <c r="AD411" s="2582">
        <f t="shared" si="306"/>
        <v>0</v>
      </c>
      <c r="AE411" s="1380">
        <f>'Income Eligible Deemed Table'!BD150</f>
        <v>2.6394431370527478</v>
      </c>
      <c r="AF411" s="571"/>
      <c r="AG411" s="571"/>
      <c r="AH411" s="571"/>
      <c r="AI411" s="2591" t="str">
        <f t="shared" si="323"/>
        <v>Units - area of ceiling/attic (ft2)</v>
      </c>
      <c r="AJ411" s="141"/>
      <c r="AM411" s="1596">
        <f t="shared" si="325"/>
        <v>4.6608050000000002E-4</v>
      </c>
      <c r="AN411">
        <f t="shared" si="324"/>
        <v>9.1351778E-4</v>
      </c>
      <c r="AO411" s="1595">
        <f t="shared" si="326"/>
        <v>-4.8221999999998807E-7</v>
      </c>
    </row>
    <row r="412" spans="1:41" x14ac:dyDescent="0.35">
      <c r="A412" s="103" t="str">
        <f t="shared" si="308"/>
        <v>401800</v>
      </c>
      <c r="B412" s="3346" t="str">
        <f>'Income Eligible Deemed Table'!C151</f>
        <v>401800_2019_12_</v>
      </c>
      <c r="C412" s="3343" t="str">
        <f>'Income Eligible Deemed Table'!G151</f>
        <v>Building Shell RES</v>
      </c>
      <c r="D412" s="3343"/>
      <c r="E412" s="3343"/>
      <c r="F412" s="3343"/>
      <c r="G412" s="3343" t="str">
        <f>'Income Eligible Deemed Table'!E151</f>
        <v>Ceiling Insulation R5-R49 SF IE DI heat pump base</v>
      </c>
      <c r="H412" s="50" t="str">
        <f>'Income Eligible Deemed Table'!D151</f>
        <v>SFIE</v>
      </c>
      <c r="I412" s="1966">
        <f>'Income Eligible Deemed Table'!F151</f>
        <v>1.22</v>
      </c>
      <c r="J412" s="1966">
        <f t="shared" si="303"/>
        <v>0</v>
      </c>
      <c r="K412" s="2565"/>
      <c r="L412" s="2565"/>
      <c r="M412" s="560"/>
      <c r="N412" s="560"/>
      <c r="O412" s="1967">
        <f>'Income Eligible Deemed Table'!K151</f>
        <v>5.6899999999999995E-4</v>
      </c>
      <c r="P412" s="1967">
        <f t="shared" si="305"/>
        <v>0</v>
      </c>
      <c r="Q412" s="2566"/>
      <c r="R412" s="2566"/>
      <c r="S412" s="1968"/>
      <c r="T412" s="1968"/>
      <c r="U412" s="1969"/>
      <c r="V412" s="1969"/>
      <c r="W412" s="1969">
        <f t="shared" si="311"/>
        <v>5.6899999999999995E-4</v>
      </c>
      <c r="X412" s="55">
        <f>'Income Eligible Deemed Table'!L151</f>
        <v>25</v>
      </c>
      <c r="Y412" s="55"/>
      <c r="Z412" s="55">
        <f t="shared" si="309"/>
        <v>25</v>
      </c>
      <c r="AA412" s="49">
        <f>'Income Eligible Deemed Table'!BB151</f>
        <v>0.67763340828237417</v>
      </c>
      <c r="AB412" s="698">
        <f>'Income Eligible Deemed Table'!M151</f>
        <v>2.5687522603978299</v>
      </c>
      <c r="AC412" s="2582">
        <f t="shared" si="310"/>
        <v>1.6429186873491592</v>
      </c>
      <c r="AD412" s="2582">
        <f t="shared" si="306"/>
        <v>0</v>
      </c>
      <c r="AE412" s="1380">
        <f>'Income Eligible Deemed Table'!BD151</f>
        <v>1.6429186873491592</v>
      </c>
      <c r="AF412" s="571"/>
      <c r="AG412" s="571"/>
      <c r="AH412" s="571"/>
      <c r="AI412" s="2591" t="str">
        <f t="shared" si="323"/>
        <v>Units - area of ceiling/attic (ft2)</v>
      </c>
      <c r="AJ412" s="141"/>
      <c r="AM412" s="1596">
        <f t="shared" si="325"/>
        <v>4.6608050000000002E-4</v>
      </c>
      <c r="AN412">
        <f t="shared" si="324"/>
        <v>5.6861821000000004E-4</v>
      </c>
      <c r="AO412" s="1595">
        <f t="shared" si="326"/>
        <v>-3.8178999999991491E-7</v>
      </c>
    </row>
    <row r="413" spans="1:41" x14ac:dyDescent="0.35">
      <c r="A413" s="103" t="str">
        <f t="shared" si="308"/>
        <v>401850</v>
      </c>
      <c r="B413" s="3346" t="str">
        <f>'Income Eligible Deemed Table'!C152</f>
        <v>401850_2019_12_</v>
      </c>
      <c r="C413" s="3343" t="str">
        <f>'Income Eligible Deemed Table'!G152</f>
        <v>Building Shell RES</v>
      </c>
      <c r="D413" s="3343"/>
      <c r="E413" s="3343"/>
      <c r="F413" s="3343"/>
      <c r="G413" s="3343" t="str">
        <f>'Income Eligible Deemed Table'!E152</f>
        <v>Ceiling Insulation R5-R49 SF IE DI gas heat electric cool base</v>
      </c>
      <c r="H413" s="50" t="str">
        <f>'Income Eligible Deemed Table'!D152</f>
        <v>SFIE</v>
      </c>
      <c r="I413" s="1966">
        <f>'Income Eligible Deemed Table'!F152</f>
        <v>0.26</v>
      </c>
      <c r="J413" s="1966">
        <f t="shared" si="303"/>
        <v>0</v>
      </c>
      <c r="K413" s="2565"/>
      <c r="L413" s="2565"/>
      <c r="M413" s="560"/>
      <c r="N413" s="560"/>
      <c r="O413" s="1967">
        <f>'Income Eligible Deemed Table'!K152</f>
        <v>1.21E-4</v>
      </c>
      <c r="P413" s="1967">
        <f t="shared" si="305"/>
        <v>0</v>
      </c>
      <c r="Q413" s="2566"/>
      <c r="R413" s="2566"/>
      <c r="S413" s="1968"/>
      <c r="T413" s="1968"/>
      <c r="U413" s="1969"/>
      <c r="V413" s="1969"/>
      <c r="W413" s="1969">
        <f t="shared" si="311"/>
        <v>1.21E-4</v>
      </c>
      <c r="X413" s="55">
        <f>'Income Eligible Deemed Table'!L152</f>
        <v>25</v>
      </c>
      <c r="Y413" s="55"/>
      <c r="Z413" s="55">
        <f t="shared" si="309"/>
        <v>25</v>
      </c>
      <c r="AA413" s="49">
        <f>'Income Eligible Deemed Table'!BB152</f>
        <v>0.14441367717493223</v>
      </c>
      <c r="AB413" s="698">
        <f>'Income Eligible Deemed Table'!M152</f>
        <v>2.5687522603978299</v>
      </c>
      <c r="AC413" s="2582">
        <f t="shared" si="310"/>
        <v>0.35013021205801759</v>
      </c>
      <c r="AD413" s="2582">
        <f t="shared" si="306"/>
        <v>0</v>
      </c>
      <c r="AE413" s="1380">
        <f>'Income Eligible Deemed Table'!BD152</f>
        <v>0.35013021205801759</v>
      </c>
      <c r="AF413" s="571"/>
      <c r="AG413" s="571"/>
      <c r="AH413" s="571"/>
      <c r="AI413" s="2591" t="str">
        <f t="shared" si="323"/>
        <v>Units - area of ceiling/attic (ft2)</v>
      </c>
      <c r="AJ413" s="141"/>
      <c r="AM413" s="1596">
        <f t="shared" si="325"/>
        <v>4.6608050000000002E-4</v>
      </c>
      <c r="AN413">
        <f t="shared" si="324"/>
        <v>1.2118093000000001E-4</v>
      </c>
      <c r="AO413" s="1595">
        <f t="shared" si="326"/>
        <v>1.8093000000001251E-7</v>
      </c>
    </row>
    <row r="414" spans="1:41" x14ac:dyDescent="0.35">
      <c r="A414" s="103" t="str">
        <f t="shared" si="308"/>
        <v>401900</v>
      </c>
      <c r="B414" s="3346" t="str">
        <f>'Income Eligible Deemed Table'!C153</f>
        <v>401900_2019_12_</v>
      </c>
      <c r="C414" s="3343" t="str">
        <f>'Income Eligible Deemed Table'!G153</f>
        <v>Building Shell RES</v>
      </c>
      <c r="D414" s="3343"/>
      <c r="E414" s="3343"/>
      <c r="F414" s="3343"/>
      <c r="G414" s="3343" t="str">
        <f>'Income Eligible Deemed Table'!E153</f>
        <v>Ceiling Insulation R5-R60 MF IE DI electric furnace base</v>
      </c>
      <c r="H414" s="50" t="str">
        <f>'Income Eligible Deemed Table'!D153</f>
        <v>MFIE</v>
      </c>
      <c r="I414" s="1966">
        <f>'Income Eligible Deemed Table'!F153</f>
        <v>2.0299999999999998</v>
      </c>
      <c r="J414" s="1966">
        <f t="shared" si="303"/>
        <v>0</v>
      </c>
      <c r="K414" s="2565"/>
      <c r="L414" s="2565"/>
      <c r="M414" s="560"/>
      <c r="N414" s="560"/>
      <c r="O414" s="1967">
        <f>'Income Eligible Deemed Table'!K153</f>
        <v>9.4600000000000001E-4</v>
      </c>
      <c r="P414" s="1967">
        <f t="shared" si="305"/>
        <v>0</v>
      </c>
      <c r="Q414" s="2566"/>
      <c r="R414" s="2566"/>
      <c r="S414" s="1968"/>
      <c r="T414" s="1968"/>
      <c r="U414" s="1969"/>
      <c r="V414" s="1969"/>
      <c r="W414" s="1969">
        <f t="shared" ref="W414:W444" si="327">O414</f>
        <v>9.4600000000000001E-4</v>
      </c>
      <c r="X414" s="55">
        <f>'Income Eligible Deemed Table'!L153</f>
        <v>25</v>
      </c>
      <c r="Y414" s="55"/>
      <c r="Z414" s="55">
        <f t="shared" si="309"/>
        <v>25</v>
      </c>
      <c r="AA414" s="49">
        <f>'Income Eligible Deemed Table'!BB153</f>
        <v>0.84582653033046962</v>
      </c>
      <c r="AB414" s="698">
        <f>'Income Eligible Deemed Table'!M153</f>
        <v>3.424301015440256</v>
      </c>
      <c r="AC414" s="2582">
        <f t="shared" si="310"/>
        <v>2.7337089633760598</v>
      </c>
      <c r="AD414" s="2582">
        <f t="shared" si="306"/>
        <v>0</v>
      </c>
      <c r="AE414" s="1380">
        <f>'Income Eligible Deemed Table'!BD153</f>
        <v>2.7337089633760598</v>
      </c>
      <c r="AF414" s="571"/>
      <c r="AG414" s="571"/>
      <c r="AH414" s="571"/>
      <c r="AI414" s="2591" t="str">
        <f t="shared" si="323"/>
        <v>Units - area of ceiling/attic (ft2)</v>
      </c>
      <c r="AJ414" s="141"/>
      <c r="AM414" s="1596">
        <f t="shared" si="325"/>
        <v>4.6608050000000002E-4</v>
      </c>
      <c r="AN414">
        <f t="shared" si="324"/>
        <v>9.4614341499999995E-4</v>
      </c>
      <c r="AO414" s="1595">
        <f t="shared" si="326"/>
        <v>1.4341499999994279E-7</v>
      </c>
    </row>
    <row r="415" spans="1:41" x14ac:dyDescent="0.35">
      <c r="A415" s="103" t="str">
        <f t="shared" si="308"/>
        <v>401950</v>
      </c>
      <c r="B415" s="3346" t="str">
        <f>'Income Eligible Deemed Table'!C154</f>
        <v>401950_2019_12_</v>
      </c>
      <c r="C415" s="3343" t="str">
        <f>'Income Eligible Deemed Table'!G154</f>
        <v>Building Shell RES</v>
      </c>
      <c r="D415" s="3343"/>
      <c r="E415" s="3343"/>
      <c r="F415" s="3343"/>
      <c r="G415" s="3343" t="str">
        <f>'Income Eligible Deemed Table'!E154</f>
        <v>Ceiling Insulation R5-R60 MF IE DI heat pump base</v>
      </c>
      <c r="H415" s="50" t="str">
        <f>'Income Eligible Deemed Table'!D154</f>
        <v>MFIE</v>
      </c>
      <c r="I415" s="1966">
        <f>'Income Eligible Deemed Table'!F154</f>
        <v>1.27</v>
      </c>
      <c r="J415" s="1966">
        <f t="shared" si="303"/>
        <v>0</v>
      </c>
      <c r="K415" s="2565"/>
      <c r="L415" s="2565"/>
      <c r="M415" s="560"/>
      <c r="N415" s="560"/>
      <c r="O415" s="1967">
        <f>'Income Eligible Deemed Table'!K154</f>
        <v>5.9199999999999997E-4</v>
      </c>
      <c r="P415" s="1967">
        <f t="shared" si="305"/>
        <v>0</v>
      </c>
      <c r="Q415" s="2566"/>
      <c r="R415" s="2566"/>
      <c r="S415" s="1968"/>
      <c r="T415" s="1968"/>
      <c r="U415" s="1969"/>
      <c r="V415" s="1969"/>
      <c r="W415" s="1969">
        <f t="shared" si="327"/>
        <v>5.9199999999999997E-4</v>
      </c>
      <c r="X415" s="55">
        <f>'Income Eligible Deemed Table'!L154</f>
        <v>25</v>
      </c>
      <c r="Y415" s="55"/>
      <c r="Z415" s="55">
        <f t="shared" si="309"/>
        <v>25</v>
      </c>
      <c r="AA415" s="49">
        <f>'Income Eligible Deemed Table'!BB154</f>
        <v>0.5291624106008358</v>
      </c>
      <c r="AB415" s="698">
        <f>'Income Eligible Deemed Table'!M154</f>
        <v>3.424301015440256</v>
      </c>
      <c r="AC415" s="2582">
        <f t="shared" si="310"/>
        <v>1.7102514204372397</v>
      </c>
      <c r="AD415" s="2582">
        <f t="shared" si="306"/>
        <v>0</v>
      </c>
      <c r="AE415" s="1380">
        <f>'Income Eligible Deemed Table'!BD154</f>
        <v>1.7102514204372397</v>
      </c>
      <c r="AF415" s="571"/>
      <c r="AG415" s="571"/>
      <c r="AH415" s="571"/>
      <c r="AI415" s="2591" t="str">
        <f t="shared" si="323"/>
        <v>Units - area of ceiling/attic (ft2)</v>
      </c>
      <c r="AJ415" s="141"/>
      <c r="AM415" s="1596">
        <f t="shared" si="325"/>
        <v>4.6608050000000002E-4</v>
      </c>
      <c r="AN415">
        <f t="shared" si="324"/>
        <v>5.9192223500000008E-4</v>
      </c>
      <c r="AO415" s="1595">
        <f t="shared" si="326"/>
        <v>-7.7764999999890318E-8</v>
      </c>
    </row>
    <row r="416" spans="1:41" x14ac:dyDescent="0.35">
      <c r="A416" s="103" t="str">
        <f t="shared" si="308"/>
        <v>402000</v>
      </c>
      <c r="B416" s="3346" t="str">
        <f>'Income Eligible Deemed Table'!C155</f>
        <v>402000_2019_12_</v>
      </c>
      <c r="C416" s="3343" t="str">
        <f>'Income Eligible Deemed Table'!G155</f>
        <v>Building Shell RES</v>
      </c>
      <c r="D416" s="3343"/>
      <c r="E416" s="3343"/>
      <c r="F416" s="3343"/>
      <c r="G416" s="3343" t="str">
        <f>'Income Eligible Deemed Table'!E155</f>
        <v>Ceiling Insulation R5-R60 MF IE DI gas heat electric cool base</v>
      </c>
      <c r="H416" s="50" t="str">
        <f>'Income Eligible Deemed Table'!D155</f>
        <v>MFIE</v>
      </c>
      <c r="I416" s="1966">
        <f>'Income Eligible Deemed Table'!F155</f>
        <v>0.27</v>
      </c>
      <c r="J416" s="1966">
        <f t="shared" si="303"/>
        <v>0</v>
      </c>
      <c r="K416" s="2565"/>
      <c r="L416" s="2565"/>
      <c r="M416" s="560"/>
      <c r="N416" s="560"/>
      <c r="O416" s="1967">
        <f>'Income Eligible Deemed Table'!K155</f>
        <v>1.26E-4</v>
      </c>
      <c r="P416" s="1967">
        <f t="shared" si="305"/>
        <v>0</v>
      </c>
      <c r="Q416" s="2566"/>
      <c r="R416" s="2566"/>
      <c r="S416" s="1968"/>
      <c r="T416" s="1968"/>
      <c r="U416" s="1969"/>
      <c r="V416" s="1969"/>
      <c r="W416" s="1969">
        <f t="shared" si="327"/>
        <v>1.26E-4</v>
      </c>
      <c r="X416" s="55">
        <f>'Income Eligible Deemed Table'!L155</f>
        <v>25</v>
      </c>
      <c r="Y416" s="55"/>
      <c r="Z416" s="55">
        <f t="shared" si="309"/>
        <v>25</v>
      </c>
      <c r="AA416" s="49">
        <f>'Income Eligible Deemed Table'!BB155</f>
        <v>0.11249909516710681</v>
      </c>
      <c r="AB416" s="698">
        <f>'Income Eligible Deemed Table'!M155</f>
        <v>3.424301015440256</v>
      </c>
      <c r="AC416" s="2582">
        <f t="shared" si="310"/>
        <v>0.36359675867563362</v>
      </c>
      <c r="AD416" s="2582">
        <f t="shared" ref="AD416:AD479" si="328">AG416+AH416</f>
        <v>0</v>
      </c>
      <c r="AE416" s="1380">
        <f>'Income Eligible Deemed Table'!BD155</f>
        <v>0.36359675867563362</v>
      </c>
      <c r="AF416" s="571"/>
      <c r="AG416" s="571"/>
      <c r="AH416" s="571"/>
      <c r="AI416" s="2591" t="str">
        <f t="shared" si="323"/>
        <v>Units - area of ceiling/attic (ft2)</v>
      </c>
      <c r="AJ416" s="141"/>
      <c r="AM416" s="1596">
        <f t="shared" si="325"/>
        <v>4.6608050000000002E-4</v>
      </c>
      <c r="AN416">
        <f t="shared" si="324"/>
        <v>1.2584173500000001E-4</v>
      </c>
      <c r="AO416" s="1595">
        <f t="shared" si="326"/>
        <v>-1.5826499999999229E-7</v>
      </c>
    </row>
    <row r="417" spans="1:48" x14ac:dyDescent="0.35">
      <c r="A417" s="103" t="str">
        <f t="shared" si="308"/>
        <v>402050</v>
      </c>
      <c r="B417" s="3346" t="str">
        <f>'Income Eligible Deemed Table'!C156</f>
        <v>402050_2019_12_</v>
      </c>
      <c r="C417" s="3343" t="str">
        <f>'Income Eligible Deemed Table'!G156</f>
        <v>Building Shell RES</v>
      </c>
      <c r="D417" s="3343"/>
      <c r="E417" s="3343"/>
      <c r="F417" s="3343"/>
      <c r="G417" s="3343" t="str">
        <f>'Income Eligible Deemed Table'!E156</f>
        <v>Ceiling Insulation R5-R60 SF IE DI electric furnace base</v>
      </c>
      <c r="H417" s="50" t="str">
        <f>'Income Eligible Deemed Table'!D156</f>
        <v>SFIE</v>
      </c>
      <c r="I417" s="1966">
        <f>'Income Eligible Deemed Table'!F156</f>
        <v>2.0299999999999998</v>
      </c>
      <c r="J417" s="1966">
        <f t="shared" si="303"/>
        <v>0</v>
      </c>
      <c r="K417" s="2565"/>
      <c r="L417" s="2565"/>
      <c r="M417" s="560"/>
      <c r="N417" s="560"/>
      <c r="O417" s="1967">
        <f>'Income Eligible Deemed Table'!K156</f>
        <v>9.4600000000000001E-4</v>
      </c>
      <c r="P417" s="1967">
        <f t="shared" si="305"/>
        <v>0</v>
      </c>
      <c r="Q417" s="2566"/>
      <c r="R417" s="2566"/>
      <c r="S417" s="1968"/>
      <c r="T417" s="1968"/>
      <c r="U417" s="1969"/>
      <c r="V417" s="1969"/>
      <c r="W417" s="1969">
        <f t="shared" si="327"/>
        <v>9.4600000000000001E-4</v>
      </c>
      <c r="X417" s="55">
        <f>'Income Eligible Deemed Table'!L156</f>
        <v>25</v>
      </c>
      <c r="Y417" s="55"/>
      <c r="Z417" s="55">
        <f t="shared" si="309"/>
        <v>25</v>
      </c>
      <c r="AA417" s="49">
        <f>'Income Eligible Deemed Table'!BB156</f>
        <v>0.84582584315044329</v>
      </c>
      <c r="AB417" s="698">
        <f>'Income Eligible Deemed Table'!M156</f>
        <v>3.4243037974683546</v>
      </c>
      <c r="AC417" s="2582">
        <f t="shared" si="310"/>
        <v>2.7337089633760598</v>
      </c>
      <c r="AD417" s="2582">
        <f t="shared" si="328"/>
        <v>0</v>
      </c>
      <c r="AE417" s="1380">
        <f>'Income Eligible Deemed Table'!BD156</f>
        <v>2.7337089633760598</v>
      </c>
      <c r="AF417" s="571"/>
      <c r="AG417" s="571"/>
      <c r="AH417" s="571"/>
      <c r="AI417" s="2591" t="str">
        <f t="shared" si="323"/>
        <v>Units - area of ceiling/attic (ft2)</v>
      </c>
      <c r="AJ417" s="141"/>
      <c r="AM417" s="1596">
        <f t="shared" si="325"/>
        <v>4.6608050000000002E-4</v>
      </c>
      <c r="AN417">
        <f t="shared" si="324"/>
        <v>9.4614341499999995E-4</v>
      </c>
      <c r="AO417" s="1595">
        <f t="shared" si="326"/>
        <v>1.4341499999994279E-7</v>
      </c>
    </row>
    <row r="418" spans="1:48" x14ac:dyDescent="0.35">
      <c r="A418" s="103" t="str">
        <f t="shared" si="308"/>
        <v>402100</v>
      </c>
      <c r="B418" s="3346" t="str">
        <f>'Income Eligible Deemed Table'!C157</f>
        <v>402100_2019_12_</v>
      </c>
      <c r="C418" s="3343" t="str">
        <f>'Income Eligible Deemed Table'!G157</f>
        <v>Building Shell RES</v>
      </c>
      <c r="D418" s="3343"/>
      <c r="E418" s="3343"/>
      <c r="F418" s="3343"/>
      <c r="G418" s="3343" t="str">
        <f>'Income Eligible Deemed Table'!E157</f>
        <v>Ceiling Insulation R5-R60 SF IE DI heat pump base</v>
      </c>
      <c r="H418" s="50" t="str">
        <f>'Income Eligible Deemed Table'!D157</f>
        <v>SFIE</v>
      </c>
      <c r="I418" s="1966">
        <f>'Income Eligible Deemed Table'!F157</f>
        <v>1.27</v>
      </c>
      <c r="J418" s="1966">
        <f t="shared" si="303"/>
        <v>0</v>
      </c>
      <c r="K418" s="2565"/>
      <c r="L418" s="2565"/>
      <c r="M418" s="560"/>
      <c r="N418" s="560"/>
      <c r="O418" s="1967">
        <f>'Income Eligible Deemed Table'!K157</f>
        <v>5.9199999999999997E-4</v>
      </c>
      <c r="P418" s="1967">
        <f t="shared" si="305"/>
        <v>0</v>
      </c>
      <c r="Q418" s="2566"/>
      <c r="R418" s="2566"/>
      <c r="S418" s="1968"/>
      <c r="T418" s="1968"/>
      <c r="U418" s="1969"/>
      <c r="V418" s="1969"/>
      <c r="W418" s="1969">
        <f t="shared" si="327"/>
        <v>5.9199999999999997E-4</v>
      </c>
      <c r="X418" s="55">
        <f>'Income Eligible Deemed Table'!L157</f>
        <v>25</v>
      </c>
      <c r="Y418" s="55"/>
      <c r="Z418" s="55">
        <f t="shared" si="309"/>
        <v>25</v>
      </c>
      <c r="AA418" s="49">
        <f>'Income Eligible Deemed Table'!BB157</f>
        <v>0.52916198069017883</v>
      </c>
      <c r="AB418" s="698">
        <f>'Income Eligible Deemed Table'!M157</f>
        <v>3.4243037974683546</v>
      </c>
      <c r="AC418" s="2582">
        <f t="shared" si="310"/>
        <v>1.7102514204372397</v>
      </c>
      <c r="AD418" s="2582">
        <f t="shared" si="328"/>
        <v>0</v>
      </c>
      <c r="AE418" s="1380">
        <f>'Income Eligible Deemed Table'!BD157</f>
        <v>1.7102514204372397</v>
      </c>
      <c r="AF418" s="571"/>
      <c r="AG418" s="571"/>
      <c r="AH418" s="571"/>
      <c r="AI418" s="2591" t="str">
        <f t="shared" si="323"/>
        <v>Units - area of ceiling/attic (ft2)</v>
      </c>
      <c r="AJ418" s="141"/>
      <c r="AM418" s="1596">
        <f t="shared" si="325"/>
        <v>4.6608050000000002E-4</v>
      </c>
      <c r="AN418">
        <f t="shared" si="324"/>
        <v>5.9192223500000008E-4</v>
      </c>
      <c r="AO418" s="1595">
        <f t="shared" si="326"/>
        <v>-7.7764999999890318E-8</v>
      </c>
    </row>
    <row r="419" spans="1:48" x14ac:dyDescent="0.35">
      <c r="A419" s="103" t="str">
        <f t="shared" si="308"/>
        <v>402150</v>
      </c>
      <c r="B419" s="3346" t="str">
        <f>'Income Eligible Deemed Table'!C158</f>
        <v>402150_2019_12_</v>
      </c>
      <c r="C419" s="3343" t="str">
        <f>'Income Eligible Deemed Table'!G158</f>
        <v>Building Shell RES</v>
      </c>
      <c r="D419" s="3343"/>
      <c r="E419" s="3343"/>
      <c r="F419" s="3343"/>
      <c r="G419" s="3343" t="str">
        <f>'Income Eligible Deemed Table'!E158</f>
        <v>Ceiling Insulation R5-R60 SF IE DI gas heat electric cool base</v>
      </c>
      <c r="H419" s="50" t="str">
        <f>'Income Eligible Deemed Table'!D158</f>
        <v>SFIE</v>
      </c>
      <c r="I419" s="1966">
        <f>'Income Eligible Deemed Table'!F158</f>
        <v>0.27</v>
      </c>
      <c r="J419" s="1966">
        <f t="shared" si="303"/>
        <v>0</v>
      </c>
      <c r="K419" s="2565"/>
      <c r="L419" s="2565"/>
      <c r="M419" s="560"/>
      <c r="N419" s="560"/>
      <c r="O419" s="1967">
        <f>'Income Eligible Deemed Table'!K158</f>
        <v>1.26E-4</v>
      </c>
      <c r="P419" s="1967">
        <f t="shared" si="305"/>
        <v>0</v>
      </c>
      <c r="Q419" s="2566"/>
      <c r="R419" s="2566"/>
      <c r="S419" s="1968"/>
      <c r="T419" s="1968"/>
      <c r="U419" s="1969"/>
      <c r="V419" s="1969"/>
      <c r="W419" s="1969">
        <f t="shared" si="327"/>
        <v>1.26E-4</v>
      </c>
      <c r="X419" s="55">
        <f>'Income Eligible Deemed Table'!L158</f>
        <v>25</v>
      </c>
      <c r="Y419" s="55"/>
      <c r="Z419" s="55">
        <f t="shared" si="309"/>
        <v>25</v>
      </c>
      <c r="AA419" s="49">
        <f>'Income Eligible Deemed Table'!BB158</f>
        <v>0.11249900376877818</v>
      </c>
      <c r="AB419" s="698">
        <f>'Income Eligible Deemed Table'!M158</f>
        <v>3.4243037974683546</v>
      </c>
      <c r="AC419" s="2582">
        <f t="shared" si="310"/>
        <v>0.36359675867563362</v>
      </c>
      <c r="AD419" s="2582">
        <f t="shared" si="328"/>
        <v>0</v>
      </c>
      <c r="AE419" s="1380">
        <f>'Income Eligible Deemed Table'!BD158</f>
        <v>0.36359675867563362</v>
      </c>
      <c r="AF419" s="571"/>
      <c r="AG419" s="571"/>
      <c r="AH419" s="571"/>
      <c r="AI419" s="2591" t="str">
        <f t="shared" si="323"/>
        <v>Units - area of ceiling/attic (ft2)</v>
      </c>
      <c r="AJ419" s="141"/>
      <c r="AM419" s="1596">
        <f t="shared" si="325"/>
        <v>4.6608050000000002E-4</v>
      </c>
      <c r="AN419">
        <f t="shared" si="324"/>
        <v>1.2584173500000001E-4</v>
      </c>
      <c r="AO419" s="1595">
        <f t="shared" si="326"/>
        <v>-1.5826499999999229E-7</v>
      </c>
    </row>
    <row r="420" spans="1:48" x14ac:dyDescent="0.35">
      <c r="A420" s="103" t="str">
        <f t="shared" si="308"/>
        <v>402200</v>
      </c>
      <c r="B420" s="3346" t="str">
        <f>'Income Eligible Deemed Table'!C452</f>
        <v>402200_2019_12_</v>
      </c>
      <c r="C420" s="3343" t="str">
        <f>'Income Eligible Deemed Table'!G452</f>
        <v>Building Shell RES</v>
      </c>
      <c r="D420" s="3343"/>
      <c r="E420" s="3343"/>
      <c r="F420" s="3343"/>
      <c r="G420" s="3343" t="str">
        <f>'Income Eligible Deemed Table'!E452</f>
        <v>Floor Insulation R25 (R-3.96 base) MH electric furnace/baseboard and electric cooling</v>
      </c>
      <c r="H420" s="50" t="str">
        <f>'Income Eligible Deemed Table'!D452</f>
        <v>SFIE</v>
      </c>
      <c r="I420" s="1966">
        <f>'Income Eligible Deemed Table'!F452</f>
        <v>2.4500000000000002</v>
      </c>
      <c r="J420" s="1966">
        <f t="shared" si="303"/>
        <v>0</v>
      </c>
      <c r="K420" s="2565"/>
      <c r="L420" s="2565"/>
      <c r="M420" s="560"/>
      <c r="N420" s="560"/>
      <c r="O420" s="1967">
        <f>'Income Eligible Deemed Table'!K452</f>
        <v>1.142E-3</v>
      </c>
      <c r="P420" s="1967"/>
      <c r="Q420" s="2566"/>
      <c r="R420" s="2566"/>
      <c r="S420" s="1968"/>
      <c r="T420" s="1968"/>
      <c r="U420" s="1969"/>
      <c r="V420" s="1969"/>
      <c r="W420" s="1969">
        <f t="shared" si="327"/>
        <v>1.142E-3</v>
      </c>
      <c r="X420" s="55">
        <f>'Income Eligible Deemed Table'!L452</f>
        <v>25</v>
      </c>
      <c r="Y420" s="55"/>
      <c r="Z420" s="55">
        <f t="shared" si="309"/>
        <v>25</v>
      </c>
      <c r="AA420" s="49">
        <f>'Income Eligible Deemed Table'!BB452</f>
        <v>5.1431277655236389</v>
      </c>
      <c r="AB420" s="698">
        <f>'Income Eligible Deemed Table'!M452</f>
        <v>0.67966666666666664</v>
      </c>
      <c r="AC420" s="2582">
        <f t="shared" si="310"/>
        <v>3.2993039213159348</v>
      </c>
      <c r="AD420" s="2582">
        <f t="shared" si="328"/>
        <v>0</v>
      </c>
      <c r="AE420" s="1380">
        <f>'Income Eligible Deemed Table'!BD452</f>
        <v>3.2993039213159348</v>
      </c>
      <c r="AF420" s="571"/>
      <c r="AG420" s="571"/>
      <c r="AH420" s="571"/>
      <c r="AI420" s="1566" t="str">
        <f>'Income Eligible Deemed Table'!N451</f>
        <v>Units - area of floor (ft2)</v>
      </c>
      <c r="AJ420" s="141"/>
      <c r="AM420" s="1596">
        <f t="shared" si="325"/>
        <v>4.6608050000000002E-4</v>
      </c>
      <c r="AN420">
        <f t="shared" si="324"/>
        <v>1.1418972250000002E-3</v>
      </c>
      <c r="AO420" s="1595">
        <f t="shared" si="326"/>
        <v>-1.0277499999981031E-7</v>
      </c>
    </row>
    <row r="421" spans="1:48" x14ac:dyDescent="0.35">
      <c r="A421" s="103" t="str">
        <f t="shared" si="308"/>
        <v>402201</v>
      </c>
      <c r="B421" s="3346" t="str">
        <f>'Income Eligible Deemed Table'!C453</f>
        <v>402201_2019_12_</v>
      </c>
      <c r="C421" s="3343" t="str">
        <f>'Income Eligible Deemed Table'!G453</f>
        <v>Building Shell RES</v>
      </c>
      <c r="D421" s="3343"/>
      <c r="E421" s="3343"/>
      <c r="F421" s="3343"/>
      <c r="G421" s="3343" t="str">
        <f>'Income Eligible Deemed Table'!E453</f>
        <v>Floor Insulation R25 (R-3.96 base) MH heat pump and electric cooling</v>
      </c>
      <c r="H421" s="50" t="str">
        <f>'Income Eligible Deemed Table'!D453</f>
        <v>SFIE</v>
      </c>
      <c r="I421" s="1966">
        <f>'Income Eligible Deemed Table'!F453</f>
        <v>1.42</v>
      </c>
      <c r="J421" s="1966">
        <f t="shared" si="303"/>
        <v>0</v>
      </c>
      <c r="K421" s="2565"/>
      <c r="L421" s="2565"/>
      <c r="M421" s="560"/>
      <c r="N421" s="560"/>
      <c r="O421" s="1967">
        <f>'Income Eligible Deemed Table'!K453</f>
        <v>6.6200000000000005E-4</v>
      </c>
      <c r="P421" s="1967"/>
      <c r="Q421" s="2566"/>
      <c r="R421" s="2566"/>
      <c r="S421" s="1968"/>
      <c r="T421" s="1968"/>
      <c r="U421" s="1969"/>
      <c r="V421" s="1969"/>
      <c r="W421" s="1969">
        <f t="shared" si="327"/>
        <v>6.6200000000000005E-4</v>
      </c>
      <c r="X421" s="55">
        <f>'Income Eligible Deemed Table'!L453</f>
        <v>25</v>
      </c>
      <c r="Y421" s="55"/>
      <c r="Z421" s="55">
        <f t="shared" si="309"/>
        <v>25</v>
      </c>
      <c r="AA421" s="49">
        <f>'Income Eligible Deemed Table'!BB453</f>
        <v>2.9809148681810478</v>
      </c>
      <c r="AB421" s="698">
        <f>'Income Eligible Deemed Table'!M453</f>
        <v>0.67966666666666664</v>
      </c>
      <c r="AC421" s="2582">
        <f t="shared" si="310"/>
        <v>1.9122496197014804</v>
      </c>
      <c r="AD421" s="2582">
        <f t="shared" si="328"/>
        <v>0</v>
      </c>
      <c r="AE421" s="1380">
        <f>'Income Eligible Deemed Table'!BD453</f>
        <v>1.9122496197014804</v>
      </c>
      <c r="AF421" s="571"/>
      <c r="AG421" s="571"/>
      <c r="AH421" s="571"/>
      <c r="AI421" s="1566" t="str">
        <f>AI420</f>
        <v>Units - area of floor (ft2)</v>
      </c>
      <c r="AJ421" s="141"/>
      <c r="AM421" s="1596">
        <f t="shared" si="325"/>
        <v>4.6608050000000002E-4</v>
      </c>
      <c r="AN421">
        <f t="shared" si="324"/>
        <v>6.6183430999999999E-4</v>
      </c>
      <c r="AO421" s="1595">
        <f t="shared" si="326"/>
        <v>-1.656900000000577E-7</v>
      </c>
    </row>
    <row r="422" spans="1:48" x14ac:dyDescent="0.35">
      <c r="A422" s="103" t="str">
        <f t="shared" si="308"/>
        <v>402202</v>
      </c>
      <c r="B422" s="3346" t="str">
        <f>'Income Eligible Deemed Table'!C454</f>
        <v>402202_2019_12_</v>
      </c>
      <c r="C422" s="3343" t="str">
        <f>'Income Eligible Deemed Table'!G454</f>
        <v>Building Shell RES</v>
      </c>
      <c r="D422" s="3343"/>
      <c r="E422" s="3343"/>
      <c r="F422" s="3343"/>
      <c r="G422" s="3343" t="str">
        <f>'Income Eligible Deemed Table'!E454</f>
        <v>Floor Insulation R25 (R-3.96 base) MH gas furnace/baseboard and electric cooling</v>
      </c>
      <c r="H422" s="50" t="str">
        <f>'Income Eligible Deemed Table'!D454</f>
        <v>SFIE</v>
      </c>
      <c r="I422" s="1966">
        <f>'Income Eligible Deemed Table'!F454</f>
        <v>0.23</v>
      </c>
      <c r="J422" s="1966">
        <f t="shared" ref="J422:J436" si="329">M422+N422</f>
        <v>0</v>
      </c>
      <c r="K422" s="2565"/>
      <c r="L422" s="2565"/>
      <c r="M422" s="560"/>
      <c r="N422" s="560"/>
      <c r="O422" s="1967">
        <f>'Income Eligible Deemed Table'!K454</f>
        <v>1.07E-4</v>
      </c>
      <c r="P422" s="1967"/>
      <c r="Q422" s="2566"/>
      <c r="R422" s="2566"/>
      <c r="S422" s="1968"/>
      <c r="T422" s="1968"/>
      <c r="U422" s="1969"/>
      <c r="V422" s="1969"/>
      <c r="W422" s="1969">
        <f t="shared" si="327"/>
        <v>1.07E-4</v>
      </c>
      <c r="X422" s="55">
        <f>'Income Eligible Deemed Table'!L454</f>
        <v>25</v>
      </c>
      <c r="Y422" s="55"/>
      <c r="Z422" s="55">
        <f t="shared" si="309"/>
        <v>25</v>
      </c>
      <c r="AA422" s="49">
        <f>'Income Eligible Deemed Table'!BB454</f>
        <v>0.48282423921242318</v>
      </c>
      <c r="AB422" s="698">
        <f>'Income Eligible Deemed Table'!M454</f>
        <v>0.67966666666666664</v>
      </c>
      <c r="AC422" s="2582">
        <f t="shared" si="310"/>
        <v>0.30973057220516936</v>
      </c>
      <c r="AD422" s="2582">
        <f t="shared" si="328"/>
        <v>0</v>
      </c>
      <c r="AE422" s="1380">
        <f>'Income Eligible Deemed Table'!BD454</f>
        <v>0.30973057220516936</v>
      </c>
      <c r="AF422" s="571"/>
      <c r="AG422" s="571"/>
      <c r="AH422" s="571"/>
      <c r="AI422" s="1566" t="str">
        <f>AI421</f>
        <v>Units - area of floor (ft2)</v>
      </c>
      <c r="AJ422" s="141"/>
      <c r="AM422" s="1596">
        <f t="shared" si="325"/>
        <v>4.6608050000000002E-4</v>
      </c>
      <c r="AN422">
        <f t="shared" si="324"/>
        <v>1.0719851500000001E-4</v>
      </c>
      <c r="AO422" s="1595">
        <f t="shared" si="326"/>
        <v>1.9851500000001617E-7</v>
      </c>
    </row>
    <row r="423" spans="1:48" x14ac:dyDescent="0.35">
      <c r="A423" s="103" t="str">
        <f t="shared" si="308"/>
        <v>402203</v>
      </c>
      <c r="B423" s="3346" t="str">
        <f>'Income Eligible Deemed Table'!C455</f>
        <v>402203_2020_02_</v>
      </c>
      <c r="C423" s="3343" t="str">
        <f>'Income Eligible Deemed Table'!G455</f>
        <v>Building Shell RES</v>
      </c>
      <c r="D423" s="3343"/>
      <c r="E423" s="3343"/>
      <c r="F423" s="3343"/>
      <c r="G423" s="3343" t="str">
        <f>'Income Eligible Deemed Table'!E455</f>
        <v>Floor Insulation R25 (R-13 base) MH electric furnace/baseboard and electric cooling</v>
      </c>
      <c r="H423" s="50" t="str">
        <f>'Income Eligible Deemed Table'!D455</f>
        <v>SFIE</v>
      </c>
      <c r="I423" s="1966">
        <f>'Income Eligible Deemed Table'!F455</f>
        <v>0.22</v>
      </c>
      <c r="J423" s="1966">
        <f t="shared" si="329"/>
        <v>0</v>
      </c>
      <c r="K423" s="2565"/>
      <c r="L423" s="2565"/>
      <c r="M423" s="560"/>
      <c r="N423" s="560"/>
      <c r="O423" s="1967">
        <f>'Income Eligible Deemed Table'!K455</f>
        <v>1.03E-4</v>
      </c>
      <c r="P423" s="1967"/>
      <c r="Q423" s="2566"/>
      <c r="R423" s="2566"/>
      <c r="S423" s="1968"/>
      <c r="T423" s="1968"/>
      <c r="U423" s="1969"/>
      <c r="V423" s="1969"/>
      <c r="W423" s="1969">
        <f t="shared" si="327"/>
        <v>1.03E-4</v>
      </c>
      <c r="X423" s="55">
        <f>'Income Eligible Deemed Table'!L455</f>
        <v>25</v>
      </c>
      <c r="Y423" s="55"/>
      <c r="Z423" s="55">
        <f t="shared" si="309"/>
        <v>25</v>
      </c>
      <c r="AA423" s="49">
        <f>'Income Eligible Deemed Table'!BB455</f>
        <v>0.46183188098579614</v>
      </c>
      <c r="AB423" s="698">
        <f>'Income Eligible Deemed Table'!M455</f>
        <v>0.67966666666666664</v>
      </c>
      <c r="AC423" s="2582">
        <f t="shared" si="310"/>
        <v>0.29626402558755333</v>
      </c>
      <c r="AD423" s="2582">
        <f t="shared" si="328"/>
        <v>0</v>
      </c>
      <c r="AE423" s="1380">
        <f>'Income Eligible Deemed Table'!BD455</f>
        <v>0.29626402558755333</v>
      </c>
      <c r="AF423" s="571"/>
      <c r="AG423" s="571"/>
      <c r="AH423" s="571"/>
      <c r="AI423" s="1566" t="str">
        <f>AI422</f>
        <v>Units - area of floor (ft2)</v>
      </c>
      <c r="AJ423" s="141"/>
      <c r="AM423" s="1596"/>
      <c r="AO423" s="1595"/>
    </row>
    <row r="424" spans="1:48" x14ac:dyDescent="0.35">
      <c r="A424" s="103" t="str">
        <f t="shared" si="308"/>
        <v>402204</v>
      </c>
      <c r="B424" s="3346" t="str">
        <f>'Income Eligible Deemed Table'!C456</f>
        <v>402204_2020_02_</v>
      </c>
      <c r="C424" s="3343" t="str">
        <f>'Income Eligible Deemed Table'!G456</f>
        <v>Building Shell RES</v>
      </c>
      <c r="D424" s="3343"/>
      <c r="E424" s="3343"/>
      <c r="F424" s="3343"/>
      <c r="G424" s="3343" t="str">
        <f>'Income Eligible Deemed Table'!E456</f>
        <v>Floor Insulation R25 (R-13 base) MH heat pump and electric cooling</v>
      </c>
      <c r="H424" s="50" t="str">
        <f>'Income Eligible Deemed Table'!D456</f>
        <v>SFIE</v>
      </c>
      <c r="I424" s="1966">
        <f>'Income Eligible Deemed Table'!F456</f>
        <v>0.13</v>
      </c>
      <c r="J424" s="1966">
        <f t="shared" si="329"/>
        <v>0</v>
      </c>
      <c r="K424" s="2565"/>
      <c r="L424" s="2565"/>
      <c r="M424" s="560"/>
      <c r="N424" s="560"/>
      <c r="O424" s="1967">
        <f>'Income Eligible Deemed Table'!K456</f>
        <v>6.0999999999999999E-5</v>
      </c>
      <c r="P424" s="1967"/>
      <c r="Q424" s="2566"/>
      <c r="R424" s="2566"/>
      <c r="S424" s="1968"/>
      <c r="T424" s="1968"/>
      <c r="U424" s="1969"/>
      <c r="V424" s="1969"/>
      <c r="W424" s="1969">
        <f t="shared" si="327"/>
        <v>6.0999999999999999E-5</v>
      </c>
      <c r="X424" s="55">
        <f>'Income Eligible Deemed Table'!L456</f>
        <v>25</v>
      </c>
      <c r="Y424" s="55"/>
      <c r="Z424" s="55">
        <f t="shared" si="309"/>
        <v>25</v>
      </c>
      <c r="AA424" s="49">
        <f>'Income Eligible Deemed Table'!BB456</f>
        <v>0.27290065694615229</v>
      </c>
      <c r="AB424" s="698">
        <f>'Income Eligible Deemed Table'!M456</f>
        <v>0.67966666666666664</v>
      </c>
      <c r="AC424" s="2582">
        <f t="shared" si="310"/>
        <v>0.17506510602900879</v>
      </c>
      <c r="AD424" s="2582">
        <f t="shared" si="328"/>
        <v>0</v>
      </c>
      <c r="AE424" s="1380">
        <f>'Income Eligible Deemed Table'!BD456</f>
        <v>0.17506510602900879</v>
      </c>
      <c r="AF424" s="571"/>
      <c r="AG424" s="571"/>
      <c r="AH424" s="571"/>
      <c r="AI424" s="1566" t="str">
        <f>AI423</f>
        <v>Units - area of floor (ft2)</v>
      </c>
      <c r="AJ424" s="141"/>
      <c r="AM424" s="1596"/>
      <c r="AO424" s="1595"/>
    </row>
    <row r="425" spans="1:48" x14ac:dyDescent="0.35">
      <c r="A425" s="103" t="str">
        <f t="shared" si="308"/>
        <v>402205</v>
      </c>
      <c r="B425" s="3346" t="str">
        <f>'Income Eligible Deemed Table'!C457</f>
        <v>402205_2020_02_</v>
      </c>
      <c r="C425" s="3343" t="str">
        <f>'Income Eligible Deemed Table'!G457</f>
        <v>Building Shell RES</v>
      </c>
      <c r="D425" s="3343"/>
      <c r="E425" s="3343"/>
      <c r="F425" s="3343"/>
      <c r="G425" s="3343" t="str">
        <f>'Income Eligible Deemed Table'!E457</f>
        <v>Floor Insulation R25 (R-13 base) MH gas furnace/baseboard and electric cooling</v>
      </c>
      <c r="H425" s="50" t="str">
        <f>'Income Eligible Deemed Table'!D457</f>
        <v>SFIE</v>
      </c>
      <c r="I425" s="1966">
        <f>'Income Eligible Deemed Table'!F457</f>
        <v>0.02</v>
      </c>
      <c r="J425" s="1966">
        <f t="shared" si="329"/>
        <v>0</v>
      </c>
      <c r="K425" s="2565"/>
      <c r="L425" s="2565"/>
      <c r="M425" s="560"/>
      <c r="N425" s="560"/>
      <c r="O425" s="1967">
        <f>'Income Eligible Deemed Table'!K457</f>
        <v>9.0000000000000002E-6</v>
      </c>
      <c r="P425" s="1967"/>
      <c r="Q425" s="2566"/>
      <c r="R425" s="2566"/>
      <c r="S425" s="1968"/>
      <c r="T425" s="1968"/>
      <c r="U425" s="1969"/>
      <c r="V425" s="1969"/>
      <c r="W425" s="1969">
        <f t="shared" si="327"/>
        <v>9.0000000000000002E-6</v>
      </c>
      <c r="X425" s="55">
        <f>'Income Eligible Deemed Table'!L457</f>
        <v>25</v>
      </c>
      <c r="Y425" s="55"/>
      <c r="Z425" s="55">
        <f t="shared" si="309"/>
        <v>25</v>
      </c>
      <c r="AA425" s="49">
        <f>'Income Eligible Deemed Table'!BB457</f>
        <v>4.1984716453254196E-2</v>
      </c>
      <c r="AB425" s="698">
        <f>'Income Eligible Deemed Table'!M457</f>
        <v>0.67966666666666664</v>
      </c>
      <c r="AC425" s="2582">
        <f t="shared" si="310"/>
        <v>2.693309323523212E-2</v>
      </c>
      <c r="AD425" s="2582">
        <f t="shared" si="328"/>
        <v>0</v>
      </c>
      <c r="AE425" s="1380">
        <f>'Income Eligible Deemed Table'!BD457</f>
        <v>2.693309323523212E-2</v>
      </c>
      <c r="AF425" s="571"/>
      <c r="AG425" s="571"/>
      <c r="AH425" s="571"/>
      <c r="AI425" s="1566" t="str">
        <f>AI424</f>
        <v>Units - area of floor (ft2)</v>
      </c>
      <c r="AJ425" s="141"/>
      <c r="AM425" s="1596"/>
      <c r="AO425" s="1595"/>
    </row>
    <row r="426" spans="1:48" x14ac:dyDescent="0.35">
      <c r="A426" s="103" t="str">
        <f t="shared" si="308"/>
        <v>402250</v>
      </c>
      <c r="B426" s="3346" t="str">
        <f>'Income Eligible Deemed Table'!C493</f>
        <v>402250_2019_12_</v>
      </c>
      <c r="C426" s="3343" t="str">
        <f>'Income Eligible Deemed Table'!G493</f>
        <v>HVAC RES</v>
      </c>
      <c r="D426" s="3343"/>
      <c r="E426" s="3343"/>
      <c r="F426" s="3343"/>
      <c r="G426" s="3343" t="str">
        <f>'Income Eligible Deemed Table'!E493</f>
        <v>Dirty Filter Alarm_MFIE</v>
      </c>
      <c r="H426" s="50" t="str">
        <f>'Income Eligible Deemed Table'!D493</f>
        <v>MFIE</v>
      </c>
      <c r="I426" s="1966">
        <f>'Income Eligible Deemed Table'!F493</f>
        <v>102.68</v>
      </c>
      <c r="J426" s="1966">
        <f t="shared" si="329"/>
        <v>0</v>
      </c>
      <c r="K426" s="2565"/>
      <c r="L426" s="2565"/>
      <c r="M426" s="560"/>
      <c r="N426" s="560"/>
      <c r="O426" s="1967">
        <f>'Income Eligible Deemed Table'!K493</f>
        <v>4.7856999999999997E-2</v>
      </c>
      <c r="P426" s="1967"/>
      <c r="Q426" s="2566"/>
      <c r="R426" s="2566"/>
      <c r="S426" s="1968"/>
      <c r="T426" s="1968"/>
      <c r="U426" s="1969"/>
      <c r="V426" s="1969"/>
      <c r="W426" s="1969">
        <f t="shared" si="327"/>
        <v>4.7856999999999997E-2</v>
      </c>
      <c r="X426" s="55">
        <f>'Income Eligible Deemed Table'!L493</f>
        <v>14</v>
      </c>
      <c r="Y426" s="55"/>
      <c r="Z426" s="55">
        <f t="shared" si="309"/>
        <v>14</v>
      </c>
      <c r="AA426" s="49">
        <f>'Income Eligible Deemed Table'!BB493</f>
        <v>19.250899589166856</v>
      </c>
      <c r="AB426" s="698">
        <f>'Income Eligible Deemed Table'!M493</f>
        <v>5</v>
      </c>
      <c r="AC426" s="2582">
        <f t="shared" si="310"/>
        <v>90.848983431651035</v>
      </c>
      <c r="AD426" s="2582">
        <f t="shared" si="328"/>
        <v>0</v>
      </c>
      <c r="AE426" s="1380">
        <f>'Income Eligible Deemed Table'!BD493</f>
        <v>90.848983431651035</v>
      </c>
      <c r="AF426" s="571"/>
      <c r="AG426" s="571"/>
      <c r="AH426" s="571"/>
      <c r="AI426" s="3346" t="str">
        <f>'Income Eligible Deemed Table'!N493</f>
        <v>per measure</v>
      </c>
      <c r="AJ426" s="141"/>
      <c r="AM426" s="1596">
        <f t="shared" ref="AM426:AM457" si="330">VLOOKUP(C426,$AS$10:$AT$33,2,FALSE)</f>
        <v>4.6608050000000002E-4</v>
      </c>
      <c r="AN426">
        <f t="shared" ref="AN426:AN444" si="331">AM426*I426</f>
        <v>4.7857145740000002E-2</v>
      </c>
      <c r="AO426" s="1595">
        <f t="shared" ref="AO426:AO457" si="332">AN426-O426</f>
        <v>1.4574000000572296E-7</v>
      </c>
    </row>
    <row r="427" spans="1:48" x14ac:dyDescent="0.35">
      <c r="A427" s="103" t="str">
        <f t="shared" si="308"/>
        <v>402251</v>
      </c>
      <c r="B427" s="3346" t="str">
        <f>'Income Eligible Deemed Table'!C494</f>
        <v>402251_2019_12_</v>
      </c>
      <c r="C427" s="3343" t="str">
        <f>'Income Eligible Deemed Table'!G494</f>
        <v>HVAC RES</v>
      </c>
      <c r="D427" s="3343"/>
      <c r="E427" s="3343"/>
      <c r="F427" s="3343"/>
      <c r="G427" s="3343" t="str">
        <f>'Income Eligible Deemed Table'!E494</f>
        <v>Dirty Filter Alarm_MFIE_CompE</v>
      </c>
      <c r="H427" s="50" t="str">
        <f>'Income Eligible Deemed Table'!D494</f>
        <v>MFIEc</v>
      </c>
      <c r="I427" s="1966">
        <f>'Income Eligible Deemed Table'!F494</f>
        <v>49.58</v>
      </c>
      <c r="J427" s="1966">
        <f t="shared" si="329"/>
        <v>0</v>
      </c>
      <c r="K427" s="2565"/>
      <c r="L427" s="2565"/>
      <c r="M427" s="560"/>
      <c r="N427" s="560"/>
      <c r="O427" s="1967">
        <f>'Income Eligible Deemed Table'!K494</f>
        <v>2.3108E-2</v>
      </c>
      <c r="P427" s="1967"/>
      <c r="Q427" s="2566"/>
      <c r="R427" s="2566"/>
      <c r="S427" s="1968"/>
      <c r="T427" s="1968"/>
      <c r="U427" s="1969"/>
      <c r="V427" s="1969"/>
      <c r="W427" s="1969">
        <f t="shared" si="327"/>
        <v>2.3108E-2</v>
      </c>
      <c r="X427" s="55">
        <f>'Income Eligible Deemed Table'!L494</f>
        <v>14</v>
      </c>
      <c r="Y427" s="55"/>
      <c r="Z427" s="55">
        <f t="shared" si="309"/>
        <v>14</v>
      </c>
      <c r="AA427" s="49">
        <f>'Income Eligible Deemed Table'!BB494</f>
        <v>9.2954772266351071</v>
      </c>
      <c r="AB427" s="698">
        <f>'Income Eligible Deemed Table'!M494</f>
        <v>5</v>
      </c>
      <c r="AC427" s="2582">
        <f t="shared" si="310"/>
        <v>43.867282806206255</v>
      </c>
      <c r="AD427" s="2582">
        <f t="shared" si="328"/>
        <v>0</v>
      </c>
      <c r="AE427" s="1380">
        <f>'Income Eligible Deemed Table'!BD494</f>
        <v>43.867282806206255</v>
      </c>
      <c r="AF427" s="571"/>
      <c r="AG427" s="571"/>
      <c r="AH427" s="571"/>
      <c r="AI427" s="3346" t="str">
        <f>'Income Eligible Deemed Table'!N494</f>
        <v>per measure</v>
      </c>
      <c r="AJ427" s="141"/>
      <c r="AM427" s="1596">
        <f t="shared" si="330"/>
        <v>4.6608050000000002E-4</v>
      </c>
      <c r="AN427">
        <f t="shared" si="331"/>
        <v>2.3108271190000002E-2</v>
      </c>
      <c r="AO427" s="1595">
        <f t="shared" si="332"/>
        <v>2.7119000000144777E-7</v>
      </c>
    </row>
    <row r="428" spans="1:48" x14ac:dyDescent="0.35">
      <c r="A428" s="103" t="str">
        <f t="shared" si="308"/>
        <v>402300</v>
      </c>
      <c r="B428" s="3346" t="str">
        <f>'Income Eligible Deemed Table'!C523</f>
        <v>402300_2019_12_</v>
      </c>
      <c r="C428" s="3343" t="str">
        <f>'Income Eligible Deemed Table'!G523</f>
        <v>HVAC RES</v>
      </c>
      <c r="D428" s="3343"/>
      <c r="E428" s="3343"/>
      <c r="F428" s="3343"/>
      <c r="G428" s="3343" t="str">
        <f>'Income Eligible Deemed Table'!E523</f>
        <v>Duct Insulation - Electric Heating</v>
      </c>
      <c r="H428" s="50" t="str">
        <f>'Income Eligible Deemed Table'!D523</f>
        <v>SFIE</v>
      </c>
      <c r="I428" s="1966">
        <f>'Income Eligible Deemed Table'!F523</f>
        <v>29.13</v>
      </c>
      <c r="J428" s="1966">
        <f t="shared" si="329"/>
        <v>0</v>
      </c>
      <c r="K428" s="2565"/>
      <c r="L428" s="2565"/>
      <c r="M428" s="560"/>
      <c r="N428" s="560"/>
      <c r="O428" s="1967">
        <f>'Income Eligible Deemed Table'!L523</f>
        <v>1.3577000000000001E-2</v>
      </c>
      <c r="P428" s="1967"/>
      <c r="Q428" s="2566"/>
      <c r="R428" s="2566"/>
      <c r="S428" s="1968"/>
      <c r="T428" s="1968"/>
      <c r="U428" s="1969"/>
      <c r="V428" s="1969"/>
      <c r="W428" s="1969">
        <f t="shared" si="327"/>
        <v>1.3577000000000001E-2</v>
      </c>
      <c r="X428" s="55">
        <f>'Income Eligible Deemed Table'!M523</f>
        <v>20</v>
      </c>
      <c r="Y428" s="55"/>
      <c r="Z428" s="55">
        <f t="shared" si="309"/>
        <v>20</v>
      </c>
      <c r="AA428" s="49">
        <f>'Income Eligible Deemed Table'!BB523</f>
        <v>8.5092390814838961</v>
      </c>
      <c r="AB428" s="698">
        <f>'Income Eligible Deemed Table'!N523</f>
        <v>4.2205065958870298</v>
      </c>
      <c r="AC428" s="2582">
        <f t="shared" si="310"/>
        <v>33.896460282569585</v>
      </c>
      <c r="AD428" s="2582">
        <f t="shared" si="328"/>
        <v>0</v>
      </c>
      <c r="AE428" s="1380">
        <f>'Income Eligible Deemed Table'!BD523</f>
        <v>33.896460282569585</v>
      </c>
      <c r="AF428" s="571"/>
      <c r="AG428" s="571"/>
      <c r="AH428" s="571"/>
      <c r="AI428" s="3346" t="str">
        <f>'Income Eligible Deemed Table'!O522</f>
        <v>Units - DuctLength (ft.)</v>
      </c>
      <c r="AJ428" s="141"/>
      <c r="AM428" s="1596">
        <f t="shared" si="330"/>
        <v>4.6608050000000002E-4</v>
      </c>
      <c r="AN428">
        <f t="shared" si="331"/>
        <v>1.3576924965000001E-2</v>
      </c>
      <c r="AO428" s="1595">
        <f t="shared" si="332"/>
        <v>-7.5034999999848417E-8</v>
      </c>
    </row>
    <row r="429" spans="1:48" x14ac:dyDescent="0.35">
      <c r="A429" s="103" t="str">
        <f t="shared" si="308"/>
        <v>402350</v>
      </c>
      <c r="B429" s="3346" t="str">
        <f>'Income Eligible Deemed Table'!C524</f>
        <v>402350_2019_12_</v>
      </c>
      <c r="C429" s="3343" t="str">
        <f>'Income Eligible Deemed Table'!G524</f>
        <v>HVAC RES</v>
      </c>
      <c r="D429" s="3343"/>
      <c r="E429" s="3343"/>
      <c r="F429" s="3343"/>
      <c r="G429" s="3343" t="str">
        <f>'Income Eligible Deemed Table'!E524</f>
        <v>Mobile Home Adjusted Duct Insulation - Electric Heating </v>
      </c>
      <c r="H429" s="50" t="str">
        <f>'Income Eligible Deemed Table'!D524</f>
        <v>SFIE</v>
      </c>
      <c r="I429" s="1966">
        <f>'Income Eligible Deemed Table'!F524</f>
        <v>29.13</v>
      </c>
      <c r="J429" s="1966">
        <f t="shared" si="329"/>
        <v>0</v>
      </c>
      <c r="K429" s="2565"/>
      <c r="L429" s="2565"/>
      <c r="M429" s="560"/>
      <c r="N429" s="560"/>
      <c r="O429" s="1967">
        <f>'Income Eligible Deemed Table'!L524</f>
        <v>1.3577000000000001E-2</v>
      </c>
      <c r="P429" s="1967"/>
      <c r="Q429" s="2566"/>
      <c r="R429" s="2566"/>
      <c r="S429" s="1968"/>
      <c r="T429" s="1968"/>
      <c r="U429" s="1969"/>
      <c r="V429" s="1969"/>
      <c r="W429" s="1969">
        <f t="shared" si="327"/>
        <v>1.3577000000000001E-2</v>
      </c>
      <c r="X429" s="55">
        <f>'Income Eligible Deemed Table'!M524</f>
        <v>20</v>
      </c>
      <c r="Y429" s="55"/>
      <c r="Z429" s="55">
        <f t="shared" si="309"/>
        <v>20</v>
      </c>
      <c r="AA429" s="49">
        <f>'Income Eligible Deemed Table'!BB524</f>
        <v>8.5092390814838961</v>
      </c>
      <c r="AB429" s="698">
        <f>'Income Eligible Deemed Table'!N524</f>
        <v>4.2205065958870298</v>
      </c>
      <c r="AC429" s="2582">
        <f t="shared" si="310"/>
        <v>33.896460282569585</v>
      </c>
      <c r="AD429" s="2582">
        <f t="shared" si="328"/>
        <v>0</v>
      </c>
      <c r="AE429" s="1380">
        <f>'Income Eligible Deemed Table'!BD524</f>
        <v>33.896460282569585</v>
      </c>
      <c r="AF429" s="571"/>
      <c r="AG429" s="571"/>
      <c r="AH429" s="571"/>
      <c r="AI429" s="2590" t="str">
        <f>AI428</f>
        <v>Units - DuctLength (ft.)</v>
      </c>
      <c r="AJ429" s="141"/>
      <c r="AM429" s="1596">
        <f t="shared" si="330"/>
        <v>4.6608050000000002E-4</v>
      </c>
      <c r="AN429">
        <f t="shared" si="331"/>
        <v>1.3576924965000001E-2</v>
      </c>
      <c r="AO429" s="1595">
        <f t="shared" si="332"/>
        <v>-7.5034999999848417E-8</v>
      </c>
    </row>
    <row r="430" spans="1:48" x14ac:dyDescent="0.35">
      <c r="A430" s="103" t="str">
        <f t="shared" si="308"/>
        <v>402400</v>
      </c>
      <c r="B430" s="3346" t="str">
        <f>'Income Eligible Deemed Table'!C525</f>
        <v>402400_2019_12_</v>
      </c>
      <c r="C430" s="3343" t="str">
        <f>'Income Eligible Deemed Table'!G525</f>
        <v>HVAC RES</v>
      </c>
      <c r="D430" s="3343"/>
      <c r="E430" s="3343"/>
      <c r="F430" s="3343"/>
      <c r="G430" s="3343" t="str">
        <f>'Income Eligible Deemed Table'!E525</f>
        <v>Duct Insulation - Gas Heating</v>
      </c>
      <c r="H430" s="50" t="str">
        <f>'Income Eligible Deemed Table'!D525</f>
        <v>SFIE</v>
      </c>
      <c r="I430" s="1966">
        <f>'Income Eligible Deemed Table'!F525</f>
        <v>2.69</v>
      </c>
      <c r="J430" s="1966">
        <f t="shared" si="329"/>
        <v>0</v>
      </c>
      <c r="K430" s="2565"/>
      <c r="L430" s="2565"/>
      <c r="M430" s="560"/>
      <c r="N430" s="560"/>
      <c r="O430" s="1967">
        <f>'Income Eligible Deemed Table'!L525</f>
        <v>1.2539999999999999E-3</v>
      </c>
      <c r="P430" s="1967"/>
      <c r="Q430" s="2566"/>
      <c r="R430" s="2566"/>
      <c r="S430" s="1968"/>
      <c r="T430" s="1968"/>
      <c r="U430" s="1969"/>
      <c r="V430" s="1969"/>
      <c r="W430" s="1969">
        <f t="shared" si="327"/>
        <v>1.2539999999999999E-3</v>
      </c>
      <c r="X430" s="55">
        <f>'Income Eligible Deemed Table'!M525</f>
        <v>20</v>
      </c>
      <c r="Y430" s="55"/>
      <c r="Z430" s="55">
        <f t="shared" si="309"/>
        <v>20</v>
      </c>
      <c r="AA430" s="49">
        <f>'Income Eligible Deemed Table'!BB525</f>
        <v>0.7857828056708438</v>
      </c>
      <c r="AB430" s="698">
        <f>'Income Eligible Deemed Table'!N525</f>
        <v>4.2205065958870298</v>
      </c>
      <c r="AC430" s="2582">
        <f t="shared" si="310"/>
        <v>3.1301571630659861</v>
      </c>
      <c r="AD430" s="2582">
        <f t="shared" si="328"/>
        <v>0</v>
      </c>
      <c r="AE430" s="1380">
        <f>'Income Eligible Deemed Table'!BD525</f>
        <v>3.1301571630659861</v>
      </c>
      <c r="AF430" s="571"/>
      <c r="AG430" s="571"/>
      <c r="AH430" s="571"/>
      <c r="AI430" s="2590" t="str">
        <f>AI429</f>
        <v>Units - DuctLength (ft.)</v>
      </c>
      <c r="AJ430" s="141"/>
      <c r="AM430" s="1596">
        <f t="shared" si="330"/>
        <v>4.6608050000000002E-4</v>
      </c>
      <c r="AN430">
        <f t="shared" si="331"/>
        <v>1.253756545E-3</v>
      </c>
      <c r="AO430" s="1595">
        <f t="shared" si="332"/>
        <v>-2.4345499999994802E-7</v>
      </c>
    </row>
    <row r="431" spans="1:48" s="84" customFormat="1" x14ac:dyDescent="0.35">
      <c r="A431" s="103" t="str">
        <f t="shared" si="308"/>
        <v>402450</v>
      </c>
      <c r="B431" s="3346" t="str">
        <f>'Income Eligible Deemed Table'!C564</f>
        <v>402450_2019_12_</v>
      </c>
      <c r="C431" s="3343" t="str">
        <f>'Income Eligible Deemed Table'!G564</f>
        <v>HVAC RES</v>
      </c>
      <c r="D431" s="3343"/>
      <c r="E431" s="3343"/>
      <c r="F431" s="3343"/>
      <c r="G431" s="3343" t="str">
        <f>'Income Eligible Deemed Table'!E564</f>
        <v>Duct Repair (Sealing) - Electric Heating SF</v>
      </c>
      <c r="H431" s="50" t="str">
        <f>'Income Eligible Deemed Table'!D564</f>
        <v>SFIE</v>
      </c>
      <c r="I431" s="1966">
        <f>'Income Eligible Deemed Table'!F564</f>
        <v>4.92</v>
      </c>
      <c r="J431" s="1966">
        <f t="shared" si="329"/>
        <v>0</v>
      </c>
      <c r="K431" s="2565"/>
      <c r="L431" s="2565"/>
      <c r="M431" s="560"/>
      <c r="N431" s="560"/>
      <c r="O431" s="1967">
        <f>'Income Eligible Deemed Table'!K564</f>
        <v>2.2929999999999999E-3</v>
      </c>
      <c r="P431" s="1967"/>
      <c r="Q431" s="2566"/>
      <c r="R431" s="2566"/>
      <c r="S431" s="1968"/>
      <c r="T431" s="1968"/>
      <c r="U431" s="1969"/>
      <c r="V431" s="1969"/>
      <c r="W431" s="1969">
        <f t="shared" si="327"/>
        <v>2.2929999999999999E-3</v>
      </c>
      <c r="X431" s="55">
        <f>'Income Eligible Deemed Table'!L564</f>
        <v>20</v>
      </c>
      <c r="Y431" s="55"/>
      <c r="Z431" s="55">
        <f t="shared" si="309"/>
        <v>20</v>
      </c>
      <c r="AA431" s="49">
        <f>'Income Eligible Deemed Table'!BB564</f>
        <v>0.75465770200941129</v>
      </c>
      <c r="AB431" s="698">
        <f>'Income Eligible Deemed Table'!M564</f>
        <v>8.0376653213977498</v>
      </c>
      <c r="AC431" s="2582">
        <f t="shared" si="310"/>
        <v>5.7250458149757071</v>
      </c>
      <c r="AD431" s="2582">
        <f t="shared" si="328"/>
        <v>0</v>
      </c>
      <c r="AE431" s="1380">
        <f>'Income Eligible Deemed Table'!BD564</f>
        <v>5.7250458149757071</v>
      </c>
      <c r="AF431" s="571"/>
      <c r="AG431" s="571"/>
      <c r="AH431" s="571"/>
      <c r="AI431" s="3346" t="str">
        <f>'Income Eligible Deemed Table'!N563</f>
        <v>Units - DuctLength (ft.)</v>
      </c>
      <c r="AJ431" s="141"/>
      <c r="AK431"/>
      <c r="AL431"/>
      <c r="AM431" s="1596">
        <f t="shared" si="330"/>
        <v>4.6608050000000002E-4</v>
      </c>
      <c r="AN431">
        <f t="shared" si="331"/>
        <v>2.2931160600000002E-3</v>
      </c>
      <c r="AO431" s="1595">
        <f t="shared" si="332"/>
        <v>1.1606000000028566E-7</v>
      </c>
      <c r="AP431"/>
      <c r="AQ431"/>
      <c r="AR431"/>
      <c r="AS431"/>
      <c r="AT431"/>
      <c r="AU431"/>
      <c r="AV431"/>
    </row>
    <row r="432" spans="1:48" s="84" customFormat="1" x14ac:dyDescent="0.35">
      <c r="A432" s="103" t="str">
        <f t="shared" si="308"/>
        <v>402451</v>
      </c>
      <c r="B432" s="3346" t="str">
        <f>'Income Eligible Deemed Table'!C565</f>
        <v>402451_2021_12_</v>
      </c>
      <c r="C432" s="3343" t="str">
        <f>'Income Eligible Deemed Table'!G565</f>
        <v>HVAC RES</v>
      </c>
      <c r="D432" s="3343"/>
      <c r="E432" s="3343"/>
      <c r="F432" s="3343"/>
      <c r="G432" s="3343" t="str">
        <f>'Income Eligible Deemed Table'!E565</f>
        <v>Duct Repair (Sealing) - Gas Heating SF</v>
      </c>
      <c r="H432" s="50" t="str">
        <f>'Income Eligible Deemed Table'!D565</f>
        <v>SFIE</v>
      </c>
      <c r="I432" s="1966">
        <f>'Income Eligible Deemed Table'!F565</f>
        <v>1</v>
      </c>
      <c r="J432" s="1966">
        <f t="shared" si="329"/>
        <v>0</v>
      </c>
      <c r="K432" s="2565"/>
      <c r="L432" s="2565"/>
      <c r="M432" s="560"/>
      <c r="N432" s="560"/>
      <c r="O432" s="1967">
        <f>'Income Eligible Deemed Table'!K565</f>
        <v>4.66E-4</v>
      </c>
      <c r="P432" s="1967"/>
      <c r="Q432" s="2566"/>
      <c r="R432" s="2566"/>
      <c r="S432" s="1968"/>
      <c r="T432" s="1968"/>
      <c r="U432" s="1969"/>
      <c r="V432" s="1969"/>
      <c r="W432" s="1969">
        <f t="shared" si="327"/>
        <v>4.66E-4</v>
      </c>
      <c r="X432" s="55">
        <f>'Income Eligible Deemed Table'!L565</f>
        <v>20</v>
      </c>
      <c r="Y432" s="55"/>
      <c r="Z432" s="55">
        <f t="shared" si="309"/>
        <v>20</v>
      </c>
      <c r="AA432" s="49">
        <f>'Income Eligible Deemed Table'!BB565</f>
        <v>0.15338571179053076</v>
      </c>
      <c r="AB432" s="698">
        <f>'Income Eligible Deemed Table'!M565</f>
        <v>8.0376653213977498</v>
      </c>
      <c r="AC432" s="2582">
        <f t="shared" si="310"/>
        <v>1.1636271981657942</v>
      </c>
      <c r="AD432" s="2582">
        <f t="shared" si="328"/>
        <v>0</v>
      </c>
      <c r="AE432" s="1380">
        <f>'Income Eligible Deemed Table'!BD565</f>
        <v>1.1636271981657942</v>
      </c>
      <c r="AF432" s="571"/>
      <c r="AG432" s="571"/>
      <c r="AH432" s="571"/>
      <c r="AI432" s="1566" t="str">
        <f>AI431</f>
        <v>Units - DuctLength (ft.)</v>
      </c>
      <c r="AJ432" s="141"/>
      <c r="AK432"/>
      <c r="AL432"/>
      <c r="AM432" s="1596">
        <f t="shared" si="330"/>
        <v>4.6608050000000002E-4</v>
      </c>
      <c r="AN432">
        <f t="shared" si="331"/>
        <v>4.6608050000000002E-4</v>
      </c>
      <c r="AO432" s="1595">
        <f t="shared" si="332"/>
        <v>8.0500000000020659E-8</v>
      </c>
      <c r="AP432"/>
      <c r="AQ432"/>
      <c r="AR432"/>
      <c r="AS432"/>
      <c r="AT432"/>
      <c r="AU432"/>
      <c r="AV432"/>
    </row>
    <row r="433" spans="1:48" x14ac:dyDescent="0.35">
      <c r="A433" s="103" t="str">
        <f t="shared" si="308"/>
        <v>402452</v>
      </c>
      <c r="B433" s="3346" t="str">
        <f>'Income Eligible Deemed Table'!C566</f>
        <v>402452_2020_12_</v>
      </c>
      <c r="C433" s="3343" t="str">
        <f>'Income Eligible Deemed Table'!G566</f>
        <v>HVAC RES</v>
      </c>
      <c r="D433" s="3343"/>
      <c r="E433" s="3343"/>
      <c r="F433" s="3343"/>
      <c r="G433" s="3343" t="str">
        <f>'Income Eligible Deemed Table'!E566</f>
        <v>Duct Repair (Sealing) - Electric Heating MF Adjusted</v>
      </c>
      <c r="H433" s="50" t="str">
        <f>'Income Eligible Deemed Table'!D566</f>
        <v>MFIE</v>
      </c>
      <c r="I433" s="1966">
        <f>'Income Eligible Deemed Table'!F566</f>
        <v>4.1100000000000003</v>
      </c>
      <c r="J433" s="1966">
        <f t="shared" si="329"/>
        <v>0</v>
      </c>
      <c r="K433" s="2565"/>
      <c r="L433" s="2565"/>
      <c r="M433" s="560"/>
      <c r="N433" s="560"/>
      <c r="O433" s="1967">
        <f>'Income Eligible Deemed Table'!K566</f>
        <v>1.916E-3</v>
      </c>
      <c r="P433" s="1967"/>
      <c r="Q433" s="2566"/>
      <c r="R433" s="2566"/>
      <c r="S433" s="1968"/>
      <c r="T433" s="1968"/>
      <c r="U433" s="1969"/>
      <c r="V433" s="1969"/>
      <c r="W433" s="1969">
        <f t="shared" si="327"/>
        <v>1.916E-3</v>
      </c>
      <c r="X433" s="55">
        <f>'Income Eligible Deemed Table'!L566</f>
        <v>20</v>
      </c>
      <c r="Y433" s="55"/>
      <c r="Z433" s="55">
        <f t="shared" si="309"/>
        <v>20</v>
      </c>
      <c r="AA433" s="49">
        <f>'Income Eligible Deemed Table'!BB566</f>
        <v>0.63041527545908149</v>
      </c>
      <c r="AB433" s="698">
        <f>'Income Eligible Deemed Table'!M566</f>
        <v>8.0376653213977498</v>
      </c>
      <c r="AC433" s="2582">
        <f t="shared" si="310"/>
        <v>4.7825077844614148</v>
      </c>
      <c r="AD433" s="2582">
        <f t="shared" si="328"/>
        <v>0</v>
      </c>
      <c r="AE433" s="1380">
        <f>'Income Eligible Deemed Table'!BD566</f>
        <v>4.7825077844614148</v>
      </c>
      <c r="AF433" s="571"/>
      <c r="AG433" s="571"/>
      <c r="AH433" s="571"/>
      <c r="AI433" s="1566" t="str">
        <f>AI432</f>
        <v>Units - DuctLength (ft.)</v>
      </c>
      <c r="AJ433" s="1589"/>
      <c r="AK433" s="84"/>
      <c r="AL433" s="84"/>
      <c r="AM433" s="1961">
        <f t="shared" si="330"/>
        <v>4.6608050000000002E-4</v>
      </c>
      <c r="AN433" s="84">
        <f t="shared" si="331"/>
        <v>1.9155908550000003E-3</v>
      </c>
      <c r="AO433" s="1965">
        <f t="shared" si="332"/>
        <v>-4.0914499999968046E-7</v>
      </c>
      <c r="AP433" s="84"/>
      <c r="AQ433" s="84"/>
      <c r="AR433" s="84"/>
      <c r="AS433" s="84"/>
      <c r="AT433" s="84"/>
      <c r="AU433" s="84"/>
      <c r="AV433" s="84"/>
    </row>
    <row r="434" spans="1:48" x14ac:dyDescent="0.35">
      <c r="A434" s="103" t="str">
        <f t="shared" si="308"/>
        <v>402453</v>
      </c>
      <c r="B434" s="3346" t="str">
        <f>'Income Eligible Deemed Table'!C567</f>
        <v>402453_2021_12_</v>
      </c>
      <c r="C434" s="3343" t="str">
        <f>'Income Eligible Deemed Table'!G567</f>
        <v>HVAC RES</v>
      </c>
      <c r="D434" s="3343"/>
      <c r="E434" s="3343"/>
      <c r="F434" s="3343"/>
      <c r="G434" s="3343" t="str">
        <f>'Income Eligible Deemed Table'!E567</f>
        <v>Duct Repair (Sealing) - Gas Heating  MF Adjusted</v>
      </c>
      <c r="H434" s="50" t="str">
        <f>'Income Eligible Deemed Table'!D567</f>
        <v>MFIE</v>
      </c>
      <c r="I434" s="1966">
        <f>'Income Eligible Deemed Table'!F567</f>
        <v>0.87</v>
      </c>
      <c r="J434" s="1966">
        <f t="shared" si="329"/>
        <v>0</v>
      </c>
      <c r="K434" s="2565"/>
      <c r="L434" s="2565"/>
      <c r="M434" s="560"/>
      <c r="N434" s="560"/>
      <c r="O434" s="1967">
        <f>'Income Eligible Deemed Table'!K567</f>
        <v>4.0499999999999998E-4</v>
      </c>
      <c r="P434" s="1967"/>
      <c r="Q434" s="2566"/>
      <c r="R434" s="2566"/>
      <c r="S434" s="1968"/>
      <c r="T434" s="1968"/>
      <c r="U434" s="1969"/>
      <c r="V434" s="1969"/>
      <c r="W434" s="1969">
        <f t="shared" si="327"/>
        <v>4.0499999999999998E-4</v>
      </c>
      <c r="X434" s="55">
        <f>'Income Eligible Deemed Table'!L567</f>
        <v>20</v>
      </c>
      <c r="Y434" s="55"/>
      <c r="Z434" s="55">
        <f t="shared" si="309"/>
        <v>20</v>
      </c>
      <c r="AA434" s="49">
        <f>'Income Eligible Deemed Table'!BB567</f>
        <v>0.13344556925776177</v>
      </c>
      <c r="AB434" s="698">
        <f>'Income Eligible Deemed Table'!M567</f>
        <v>8.0376653213977498</v>
      </c>
      <c r="AC434" s="2582">
        <f t="shared" si="310"/>
        <v>1.0123556624042409</v>
      </c>
      <c r="AD434" s="2582">
        <f t="shared" si="328"/>
        <v>0</v>
      </c>
      <c r="AE434" s="1380">
        <f>'Income Eligible Deemed Table'!BD567</f>
        <v>1.0123556624042409</v>
      </c>
      <c r="AF434" s="571"/>
      <c r="AG434" s="571"/>
      <c r="AH434" s="571"/>
      <c r="AI434" s="1566" t="str">
        <f>AI433</f>
        <v>Units - DuctLength (ft.)</v>
      </c>
      <c r="AJ434" s="1589"/>
      <c r="AK434" s="84"/>
      <c r="AL434" s="84"/>
      <c r="AM434" s="1961">
        <f t="shared" si="330"/>
        <v>4.6608050000000002E-4</v>
      </c>
      <c r="AN434" s="84">
        <f t="shared" si="331"/>
        <v>4.0549003500000002E-4</v>
      </c>
      <c r="AO434" s="1965">
        <f t="shared" si="332"/>
        <v>4.9003500000004011E-7</v>
      </c>
      <c r="AP434" s="84"/>
      <c r="AQ434" s="84"/>
      <c r="AR434" s="84"/>
      <c r="AS434" s="84"/>
      <c r="AT434" s="84"/>
      <c r="AU434" s="84"/>
      <c r="AV434" s="84"/>
    </row>
    <row r="435" spans="1:48" x14ac:dyDescent="0.35">
      <c r="A435" s="103" t="str">
        <f t="shared" si="308"/>
        <v>402500</v>
      </c>
      <c r="B435" s="3346" t="str">
        <f>'Income Eligible Deemed Table'!C568</f>
        <v>402500_2019_12_</v>
      </c>
      <c r="C435" s="3343" t="str">
        <f>'Income Eligible Deemed Table'!G568</f>
        <v>HVAC RES</v>
      </c>
      <c r="D435" s="3343"/>
      <c r="E435" s="3343"/>
      <c r="F435" s="3343"/>
      <c r="G435" s="3343" t="str">
        <f>'Income Eligible Deemed Table'!E568</f>
        <v>Duct Repair (Sealing) - Electric Heating MH Adjusted</v>
      </c>
      <c r="H435" s="50" t="str">
        <f>'Income Eligible Deemed Table'!D568</f>
        <v>SFIE</v>
      </c>
      <c r="I435" s="1966">
        <f>'Income Eligible Deemed Table'!F568</f>
        <v>6.01</v>
      </c>
      <c r="J435" s="1966">
        <f t="shared" si="329"/>
        <v>0</v>
      </c>
      <c r="K435" s="2565"/>
      <c r="L435" s="2565"/>
      <c r="M435" s="560"/>
      <c r="N435" s="560"/>
      <c r="O435" s="1967">
        <f>'Income Eligible Deemed Table'!K568</f>
        <v>2.8010000000000001E-3</v>
      </c>
      <c r="P435" s="1967"/>
      <c r="Q435" s="2566"/>
      <c r="R435" s="2566"/>
      <c r="S435" s="1968"/>
      <c r="T435" s="1968"/>
      <c r="U435" s="1969"/>
      <c r="V435" s="1969"/>
      <c r="W435" s="1969">
        <f t="shared" si="327"/>
        <v>2.8010000000000001E-3</v>
      </c>
      <c r="X435" s="55">
        <f>'Income Eligible Deemed Table'!L568</f>
        <v>20</v>
      </c>
      <c r="Y435" s="55"/>
      <c r="Z435" s="55">
        <f t="shared" si="309"/>
        <v>20</v>
      </c>
      <c r="AA435" s="49">
        <f>'Income Eligible Deemed Table'!BB568</f>
        <v>0.92184812786108983</v>
      </c>
      <c r="AB435" s="698">
        <f>'Income Eligible Deemed Table'!M568</f>
        <v>8.0376653213977498</v>
      </c>
      <c r="AC435" s="2582">
        <f t="shared" si="310"/>
        <v>6.9933994609764225</v>
      </c>
      <c r="AD435" s="2582">
        <f t="shared" si="328"/>
        <v>0</v>
      </c>
      <c r="AE435" s="1380">
        <f>'Income Eligible Deemed Table'!BD568</f>
        <v>6.9933994609764225</v>
      </c>
      <c r="AF435" s="571"/>
      <c r="AG435" s="571"/>
      <c r="AH435" s="571"/>
      <c r="AI435" s="1566" t="str">
        <f>AI432</f>
        <v>Units - DuctLength (ft.)</v>
      </c>
      <c r="AJ435" s="141"/>
      <c r="AM435" s="1596">
        <f t="shared" si="330"/>
        <v>4.6608050000000002E-4</v>
      </c>
      <c r="AN435">
        <f t="shared" si="331"/>
        <v>2.8011438050000001E-3</v>
      </c>
      <c r="AO435" s="1595">
        <f t="shared" si="332"/>
        <v>1.4380500000001073E-7</v>
      </c>
    </row>
    <row r="436" spans="1:48" x14ac:dyDescent="0.35">
      <c r="A436" s="103" t="str">
        <f t="shared" si="308"/>
        <v>402501</v>
      </c>
      <c r="B436" s="3346" t="str">
        <f>'Income Eligible Deemed Table'!C569</f>
        <v>402501_2021_12_</v>
      </c>
      <c r="C436" s="3343" t="str">
        <f>'Income Eligible Deemed Table'!G569</f>
        <v>HVAC RES</v>
      </c>
      <c r="D436" s="3343"/>
      <c r="E436" s="3343"/>
      <c r="F436" s="3343"/>
      <c r="G436" s="3343" t="str">
        <f>'Income Eligible Deemed Table'!E569</f>
        <v>Duct Repair (Sealing) - Gas Heating  MH Adjusted</v>
      </c>
      <c r="H436" s="50" t="str">
        <f>'Income Eligible Deemed Table'!D569</f>
        <v>SFIE</v>
      </c>
      <c r="I436" s="1966">
        <f>'Income Eligible Deemed Table'!F569</f>
        <v>1.19</v>
      </c>
      <c r="J436" s="1966">
        <f t="shared" si="329"/>
        <v>0</v>
      </c>
      <c r="K436" s="2565"/>
      <c r="L436" s="2565"/>
      <c r="M436" s="560"/>
      <c r="N436" s="560"/>
      <c r="O436" s="1967">
        <f>'Income Eligible Deemed Table'!K569</f>
        <v>5.5500000000000005E-4</v>
      </c>
      <c r="P436" s="1967"/>
      <c r="Q436" s="2566"/>
      <c r="R436" s="2566"/>
      <c r="S436" s="1968"/>
      <c r="T436" s="1968"/>
      <c r="U436" s="1969"/>
      <c r="V436" s="1969"/>
      <c r="W436" s="1969">
        <f t="shared" si="327"/>
        <v>5.5500000000000005E-4</v>
      </c>
      <c r="X436" s="55">
        <f>'Income Eligible Deemed Table'!L569</f>
        <v>20</v>
      </c>
      <c r="Y436" s="55"/>
      <c r="Z436" s="55">
        <f t="shared" si="309"/>
        <v>20</v>
      </c>
      <c r="AA436" s="49">
        <f>'Income Eligible Deemed Table'!BB569</f>
        <v>0.18252899703073161</v>
      </c>
      <c r="AB436" s="698">
        <f>'Income Eligible Deemed Table'!M569</f>
        <v>8.0376653213977498</v>
      </c>
      <c r="AC436" s="2582">
        <f t="shared" si="310"/>
        <v>1.384716365817295</v>
      </c>
      <c r="AD436" s="2582">
        <f t="shared" si="328"/>
        <v>0</v>
      </c>
      <c r="AE436" s="1380">
        <f>'Income Eligible Deemed Table'!BD569</f>
        <v>1.384716365817295</v>
      </c>
      <c r="AF436" s="571"/>
      <c r="AG436" s="571"/>
      <c r="AH436" s="571"/>
      <c r="AI436" s="1566" t="str">
        <f>AI435</f>
        <v>Units - DuctLength (ft.)</v>
      </c>
      <c r="AJ436" s="141"/>
      <c r="AM436" s="1596">
        <f t="shared" si="330"/>
        <v>4.6608050000000002E-4</v>
      </c>
      <c r="AN436">
        <f t="shared" si="331"/>
        <v>5.5463579500000001E-4</v>
      </c>
      <c r="AO436" s="1595">
        <f t="shared" si="332"/>
        <v>-3.6420500000003322E-7</v>
      </c>
    </row>
    <row r="437" spans="1:48" x14ac:dyDescent="0.35">
      <c r="A437" s="103" t="str">
        <f t="shared" si="308"/>
        <v>402550</v>
      </c>
      <c r="B437" s="3346" t="str">
        <f>'Income Eligible Deemed Table'!C603</f>
        <v>402550_2021_12_</v>
      </c>
      <c r="C437" s="3343" t="str">
        <f>'Income Eligible Deemed Table'!G603</f>
        <v>HVAC RES</v>
      </c>
      <c r="D437" s="3343"/>
      <c r="E437" s="3343"/>
      <c r="F437" s="3343"/>
      <c r="G437" s="3343" t="str">
        <f>'Income Eligible Deemed Table'!E603</f>
        <v>ECM Auto Fan EUL Replacement -SF</v>
      </c>
      <c r="H437" s="50" t="str">
        <f>'Income Eligible Deemed Table'!D603</f>
        <v>SFIE</v>
      </c>
      <c r="I437" s="1966">
        <f>'Income Eligible Deemed Table'!F603</f>
        <v>0</v>
      </c>
      <c r="J437" s="1966"/>
      <c r="K437" s="2565"/>
      <c r="L437" s="2565"/>
      <c r="M437" s="560"/>
      <c r="N437" s="560"/>
      <c r="O437" s="1967">
        <f>'Income Eligible Deemed Table'!M603</f>
        <v>0</v>
      </c>
      <c r="P437" s="1967"/>
      <c r="Q437" s="2566"/>
      <c r="R437" s="2566"/>
      <c r="S437" s="1968"/>
      <c r="T437" s="1968"/>
      <c r="U437" s="1969"/>
      <c r="V437" s="1969"/>
      <c r="W437" s="1969">
        <f t="shared" si="327"/>
        <v>0</v>
      </c>
      <c r="X437" s="55">
        <f>'Income Eligible Deemed Table'!N603</f>
        <v>20</v>
      </c>
      <c r="Y437" s="55"/>
      <c r="Z437" s="55">
        <f t="shared" si="309"/>
        <v>20</v>
      </c>
      <c r="AA437" s="49">
        <f>'Income Eligible Deemed Table'!BB603</f>
        <v>0</v>
      </c>
      <c r="AB437" s="698">
        <f>'Income Eligible Deemed Table'!O603</f>
        <v>74.327224020150311</v>
      </c>
      <c r="AC437" s="2582">
        <f t="shared" si="310"/>
        <v>0</v>
      </c>
      <c r="AD437" s="2582">
        <f t="shared" si="328"/>
        <v>0</v>
      </c>
      <c r="AE437" s="1380">
        <f>'Income Eligible Deemed Table'!BD603</f>
        <v>0</v>
      </c>
      <c r="AF437" s="571"/>
      <c r="AG437" s="571"/>
      <c r="AH437" s="571"/>
      <c r="AI437" s="2592" t="str">
        <f>'Income Eligible Deemed Table'!P603</f>
        <v>per measure</v>
      </c>
      <c r="AJ437" s="141"/>
      <c r="AM437" s="1596">
        <f t="shared" si="330"/>
        <v>4.6608050000000002E-4</v>
      </c>
      <c r="AN437">
        <f t="shared" si="331"/>
        <v>0</v>
      </c>
      <c r="AO437" s="1595">
        <f t="shared" si="332"/>
        <v>0</v>
      </c>
    </row>
    <row r="438" spans="1:48" x14ac:dyDescent="0.35">
      <c r="A438" s="103" t="str">
        <f t="shared" si="308"/>
        <v>402600</v>
      </c>
      <c r="B438" s="3346" t="str">
        <f>'Income Eligible Deemed Table'!C604</f>
        <v>402600_2021_12_</v>
      </c>
      <c r="C438" s="3343" t="str">
        <f>'Income Eligible Deemed Table'!G604</f>
        <v>HVAC RES</v>
      </c>
      <c r="D438" s="3343" t="str">
        <f>'Income Eligible Deemed Table'!G605</f>
        <v>HVAC RES ER2</v>
      </c>
      <c r="E438" s="3343"/>
      <c r="F438" s="3343"/>
      <c r="G438" s="3343" t="str">
        <f>'Income Eligible Deemed Table'!E604</f>
        <v>ECM Auto Fan Early Replacement ER1 (Full Cost) - SF</v>
      </c>
      <c r="H438" s="50" t="str">
        <f>'Income Eligible Deemed Table'!D604</f>
        <v>SFIE</v>
      </c>
      <c r="I438" s="1966">
        <f>'Income Eligible Deemed Table'!F604</f>
        <v>582</v>
      </c>
      <c r="J438" s="1966">
        <f>'Income Eligible Deemed Table'!F605</f>
        <v>0</v>
      </c>
      <c r="K438" s="2565"/>
      <c r="L438" s="2565"/>
      <c r="M438" s="560"/>
      <c r="N438" s="560"/>
      <c r="O438" s="1967">
        <f>'Income Eligible Deemed Table'!M604</f>
        <v>0.27125899999999997</v>
      </c>
      <c r="P438" s="1967">
        <f>'Income Eligible Deemed Table'!M605</f>
        <v>0</v>
      </c>
      <c r="Q438" s="2566"/>
      <c r="R438" s="2566"/>
      <c r="S438" s="1968"/>
      <c r="T438" s="1968"/>
      <c r="U438" s="1969"/>
      <c r="V438" s="1969"/>
      <c r="W438" s="1969">
        <f t="shared" si="327"/>
        <v>0.27125899999999997</v>
      </c>
      <c r="X438" s="55">
        <f>'Income Eligible Deemed Table'!N604</f>
        <v>6</v>
      </c>
      <c r="Y438" s="55">
        <f>'Income Eligible Deemed Table'!N605</f>
        <v>0</v>
      </c>
      <c r="Z438" s="55">
        <f t="shared" si="309"/>
        <v>6</v>
      </c>
      <c r="AA438" s="49">
        <f>'Income Eligible Deemed Table'!BB604</f>
        <v>0.5099171846050351</v>
      </c>
      <c r="AB438" s="698">
        <f>'Income Eligible Deemed Table'!O604</f>
        <v>475</v>
      </c>
      <c r="AC438" s="2582">
        <f t="shared" si="310"/>
        <v>228.60845935572598</v>
      </c>
      <c r="AD438" s="2582">
        <f t="shared" si="328"/>
        <v>0</v>
      </c>
      <c r="AE438" s="1380">
        <f>'Income Eligible Deemed Table'!BD604</f>
        <v>228.60845935572598</v>
      </c>
      <c r="AF438" s="571"/>
      <c r="AG438" s="2588">
        <f>'Income Eligible Deemed Table'!BD605</f>
        <v>0</v>
      </c>
      <c r="AH438" s="571"/>
      <c r="AI438" s="2593" t="str">
        <f>'Income Eligible Deemed Table'!P604</f>
        <v>per measure</v>
      </c>
      <c r="AJ438" s="141"/>
      <c r="AM438" s="1596">
        <f t="shared" si="330"/>
        <v>4.6608050000000002E-4</v>
      </c>
      <c r="AN438">
        <f t="shared" si="331"/>
        <v>0.27125885100000002</v>
      </c>
      <c r="AO438" s="1595">
        <f t="shared" si="332"/>
        <v>-1.4899999994932855E-7</v>
      </c>
    </row>
    <row r="439" spans="1:48" x14ac:dyDescent="0.35">
      <c r="A439" s="103" t="str">
        <f t="shared" si="308"/>
        <v>402650</v>
      </c>
      <c r="B439" s="3346" t="str">
        <f>'Income Eligible Deemed Table'!C606</f>
        <v>402650_2021_12_</v>
      </c>
      <c r="C439" s="3343" t="str">
        <f>'Income Eligible Deemed Table'!G606</f>
        <v>HVAC RES</v>
      </c>
      <c r="D439" s="3343"/>
      <c r="E439" s="3343"/>
      <c r="F439" s="3343"/>
      <c r="G439" s="3343" t="str">
        <f>'Income Eligible Deemed Table'!E606</f>
        <v>ECM Continous Fan EUL Replacement - SF</v>
      </c>
      <c r="H439" s="50" t="str">
        <f>'Income Eligible Deemed Table'!D606</f>
        <v>SFIE</v>
      </c>
      <c r="I439" s="1966">
        <f>'Income Eligible Deemed Table'!F606</f>
        <v>0</v>
      </c>
      <c r="J439" s="1966"/>
      <c r="K439" s="2565"/>
      <c r="L439" s="2565"/>
      <c r="M439" s="560"/>
      <c r="N439" s="560"/>
      <c r="O439" s="1967">
        <f>'Income Eligible Deemed Table'!M606</f>
        <v>0</v>
      </c>
      <c r="P439" s="1967"/>
      <c r="Q439" s="2566"/>
      <c r="R439" s="2566"/>
      <c r="S439" s="1968"/>
      <c r="T439" s="1968"/>
      <c r="U439" s="1969"/>
      <c r="V439" s="1969"/>
      <c r="W439" s="1969">
        <f t="shared" si="327"/>
        <v>0</v>
      </c>
      <c r="X439" s="55">
        <f>'Income Eligible Deemed Table'!N606</f>
        <v>20</v>
      </c>
      <c r="Y439" s="55"/>
      <c r="Z439" s="55">
        <f t="shared" si="309"/>
        <v>20</v>
      </c>
      <c r="AA439" s="49">
        <f>'Income Eligible Deemed Table'!BB606</f>
        <v>0</v>
      </c>
      <c r="AB439" s="698">
        <f>'Income Eligible Deemed Table'!O606</f>
        <v>74.327224020150311</v>
      </c>
      <c r="AC439" s="2582">
        <f t="shared" si="310"/>
        <v>0</v>
      </c>
      <c r="AD439" s="2582">
        <f t="shared" si="328"/>
        <v>0</v>
      </c>
      <c r="AE439" s="1380">
        <f>'Income Eligible Deemed Table'!BD606</f>
        <v>0</v>
      </c>
      <c r="AF439" s="571"/>
      <c r="AG439" s="2588"/>
      <c r="AH439" s="571"/>
      <c r="AI439" s="2593" t="str">
        <f>'Income Eligible Deemed Table'!P606</f>
        <v>per measure</v>
      </c>
      <c r="AJ439" s="141"/>
      <c r="AM439" s="1596">
        <f t="shared" si="330"/>
        <v>4.6608050000000002E-4</v>
      </c>
      <c r="AN439">
        <f t="shared" si="331"/>
        <v>0</v>
      </c>
      <c r="AO439" s="1595">
        <f t="shared" si="332"/>
        <v>0</v>
      </c>
    </row>
    <row r="440" spans="1:48" x14ac:dyDescent="0.35">
      <c r="A440" s="103" t="str">
        <f t="shared" ref="A440:A503" si="333">LEFT(B440,6)</f>
        <v>402700</v>
      </c>
      <c r="B440" s="3346" t="str">
        <f>'Income Eligible Deemed Table'!C607</f>
        <v>402700_2021_12_</v>
      </c>
      <c r="C440" s="3343" t="str">
        <f>'Income Eligible Deemed Table'!G607</f>
        <v>HVAC RES</v>
      </c>
      <c r="D440" s="3343" t="str">
        <f>'Income Eligible Deemed Table'!G608</f>
        <v>HVAC RES ER2</v>
      </c>
      <c r="E440" s="3343"/>
      <c r="F440" s="3343"/>
      <c r="G440" s="3343" t="str">
        <f>'Income Eligible Deemed Table'!E607</f>
        <v>ECM Continous Fan Early Replacement ER1 (Full Cost) - SF</v>
      </c>
      <c r="H440" s="50" t="str">
        <f>'Income Eligible Deemed Table'!D607</f>
        <v>SFIE</v>
      </c>
      <c r="I440" s="1966">
        <f>'Income Eligible Deemed Table'!F607</f>
        <v>582</v>
      </c>
      <c r="J440" s="1966">
        <f>'Income Eligible Deemed Table'!F608</f>
        <v>0</v>
      </c>
      <c r="K440" s="2565"/>
      <c r="L440" s="2565"/>
      <c r="M440" s="560"/>
      <c r="N440" s="560"/>
      <c r="O440" s="1967">
        <f>'Income Eligible Deemed Table'!M607</f>
        <v>0.27125899999999997</v>
      </c>
      <c r="P440" s="1967">
        <f>'Income Eligible Deemed Table'!M608</f>
        <v>0</v>
      </c>
      <c r="Q440" s="2566"/>
      <c r="R440" s="2566"/>
      <c r="S440" s="1968"/>
      <c r="T440" s="1968"/>
      <c r="U440" s="1969"/>
      <c r="V440" s="1969"/>
      <c r="W440" s="1969">
        <f t="shared" si="327"/>
        <v>0.27125899999999997</v>
      </c>
      <c r="X440" s="55">
        <f>'Income Eligible Deemed Table'!N607</f>
        <v>6</v>
      </c>
      <c r="Y440" s="55">
        <f>'Income Eligible Deemed Table'!N608</f>
        <v>0</v>
      </c>
      <c r="Z440" s="55">
        <f t="shared" ref="Z440:Z503" si="334">Y440+X440</f>
        <v>6</v>
      </c>
      <c r="AA440" s="49">
        <f>'Income Eligible Deemed Table'!BB607</f>
        <v>0.5099171846050351</v>
      </c>
      <c r="AB440" s="698">
        <f>'Income Eligible Deemed Table'!O607</f>
        <v>475</v>
      </c>
      <c r="AC440" s="2582">
        <f t="shared" ref="AC440:AC503" si="335">AE440+AF440</f>
        <v>228.60845935572598</v>
      </c>
      <c r="AD440" s="2582">
        <f t="shared" si="328"/>
        <v>0</v>
      </c>
      <c r="AE440" s="1380">
        <f>'Income Eligible Deemed Table'!BD607</f>
        <v>228.60845935572598</v>
      </c>
      <c r="AF440" s="571"/>
      <c r="AG440" s="2588">
        <f>'Income Eligible Deemed Table'!BD608</f>
        <v>0</v>
      </c>
      <c r="AH440" s="571"/>
      <c r="AI440" s="2593" t="str">
        <f>'Income Eligible Deemed Table'!P607</f>
        <v>per measure</v>
      </c>
      <c r="AJ440" s="141"/>
      <c r="AM440" s="1596">
        <f t="shared" si="330"/>
        <v>4.6608050000000002E-4</v>
      </c>
      <c r="AN440">
        <f t="shared" si="331"/>
        <v>0.27125885100000002</v>
      </c>
      <c r="AO440" s="1595">
        <f t="shared" si="332"/>
        <v>-1.4899999994932855E-7</v>
      </c>
    </row>
    <row r="441" spans="1:48" x14ac:dyDescent="0.35">
      <c r="A441" s="103" t="str">
        <f t="shared" si="333"/>
        <v>402750</v>
      </c>
      <c r="B441" s="3346" t="str">
        <f>'Income Eligible Deemed Table'!C609</f>
        <v>402750_2021_12_</v>
      </c>
      <c r="C441" s="3343" t="str">
        <f>'Income Eligible Deemed Table'!G609</f>
        <v>HVAC RES</v>
      </c>
      <c r="D441" s="3343"/>
      <c r="E441" s="3343"/>
      <c r="F441" s="3343"/>
      <c r="G441" s="3343" t="str">
        <f>'Income Eligible Deemed Table'!E609</f>
        <v>ECM Auto Fan EUL Replacement - MF</v>
      </c>
      <c r="H441" s="50" t="str">
        <f>'Income Eligible Deemed Table'!D609</f>
        <v>MFIE</v>
      </c>
      <c r="I441" s="1966">
        <f>'Income Eligible Deemed Table'!F609</f>
        <v>0</v>
      </c>
      <c r="J441" s="1966"/>
      <c r="K441" s="2565"/>
      <c r="L441" s="2565"/>
      <c r="M441" s="560"/>
      <c r="N441" s="560"/>
      <c r="O441" s="1967">
        <f>'Income Eligible Deemed Table'!M609</f>
        <v>0</v>
      </c>
      <c r="P441" s="1967"/>
      <c r="Q441" s="2566"/>
      <c r="R441" s="2566"/>
      <c r="S441" s="1968"/>
      <c r="T441" s="1968"/>
      <c r="U441" s="1969"/>
      <c r="V441" s="1969"/>
      <c r="W441" s="1969">
        <f t="shared" si="327"/>
        <v>0</v>
      </c>
      <c r="X441" s="55">
        <f>'Income Eligible Deemed Table'!N609</f>
        <v>20</v>
      </c>
      <c r="Y441" s="55"/>
      <c r="Z441" s="55">
        <f t="shared" si="334"/>
        <v>20</v>
      </c>
      <c r="AA441" s="49">
        <f>'Income Eligible Deemed Table'!BB609</f>
        <v>0</v>
      </c>
      <c r="AB441" s="698">
        <f>'Income Eligible Deemed Table'!O609</f>
        <v>74.327224020150311</v>
      </c>
      <c r="AC441" s="2582">
        <f t="shared" si="335"/>
        <v>0</v>
      </c>
      <c r="AD441" s="2582">
        <f t="shared" si="328"/>
        <v>0</v>
      </c>
      <c r="AE441" s="1380">
        <f>'Income Eligible Deemed Table'!BD609</f>
        <v>0</v>
      </c>
      <c r="AF441" s="571"/>
      <c r="AG441" s="2588"/>
      <c r="AH441" s="571"/>
      <c r="AI441" s="2593" t="str">
        <f>'Income Eligible Deemed Table'!P609</f>
        <v>per measure</v>
      </c>
      <c r="AJ441" s="141"/>
      <c r="AM441" s="1596">
        <f t="shared" si="330"/>
        <v>4.6608050000000002E-4</v>
      </c>
      <c r="AN441">
        <f t="shared" si="331"/>
        <v>0</v>
      </c>
      <c r="AO441" s="1595">
        <f t="shared" si="332"/>
        <v>0</v>
      </c>
    </row>
    <row r="442" spans="1:48" x14ac:dyDescent="0.35">
      <c r="A442" s="103" t="str">
        <f t="shared" si="333"/>
        <v>402800</v>
      </c>
      <c r="B442" s="3346" t="str">
        <f>'Income Eligible Deemed Table'!C610</f>
        <v>402800_2021_12_</v>
      </c>
      <c r="C442" s="3343" t="str">
        <f>'Income Eligible Deemed Table'!G610</f>
        <v>HVAC RES</v>
      </c>
      <c r="D442" s="3343" t="str">
        <f>'Income Eligible Deemed Table'!G611</f>
        <v>HVAC RES ER2</v>
      </c>
      <c r="E442" s="3343"/>
      <c r="F442" s="3343"/>
      <c r="G442" s="3343" t="str">
        <f>'Income Eligible Deemed Table'!E610</f>
        <v>ECM Auto Fan Early Replacement ER1 (Full Cost) - MF</v>
      </c>
      <c r="H442" s="50" t="str">
        <f>'Income Eligible Deemed Table'!D610</f>
        <v>MFIE</v>
      </c>
      <c r="I442" s="1966">
        <f>'Income Eligible Deemed Table'!F610</f>
        <v>582</v>
      </c>
      <c r="J442" s="1966">
        <f>'Income Eligible Deemed Table'!F611</f>
        <v>0</v>
      </c>
      <c r="K442" s="2565"/>
      <c r="L442" s="2565"/>
      <c r="M442" s="560"/>
      <c r="N442" s="560"/>
      <c r="O442" s="1967">
        <f>'Income Eligible Deemed Table'!M610</f>
        <v>0.27125899999999997</v>
      </c>
      <c r="P442" s="1967">
        <f>'Income Eligible Deemed Table'!M611</f>
        <v>0</v>
      </c>
      <c r="Q442" s="2566"/>
      <c r="R442" s="2566"/>
      <c r="S442" s="1968"/>
      <c r="T442" s="1968"/>
      <c r="U442" s="1969"/>
      <c r="V442" s="1969"/>
      <c r="W442" s="1969">
        <f t="shared" si="327"/>
        <v>0.27125899999999997</v>
      </c>
      <c r="X442" s="55">
        <f>'Income Eligible Deemed Table'!N610</f>
        <v>6</v>
      </c>
      <c r="Y442" s="55">
        <f>'Income Eligible Deemed Table'!N611</f>
        <v>0</v>
      </c>
      <c r="Z442" s="55">
        <f t="shared" si="334"/>
        <v>6</v>
      </c>
      <c r="AA442" s="49">
        <f>'Income Eligible Deemed Table'!BB610</f>
        <v>0.5099171846050351</v>
      </c>
      <c r="AB442" s="698">
        <f>'Income Eligible Deemed Table'!O610</f>
        <v>475</v>
      </c>
      <c r="AC442" s="2582">
        <f t="shared" si="335"/>
        <v>228.60845935572598</v>
      </c>
      <c r="AD442" s="2582">
        <f t="shared" si="328"/>
        <v>0</v>
      </c>
      <c r="AE442" s="1380">
        <f>'Income Eligible Deemed Table'!BD610</f>
        <v>228.60845935572598</v>
      </c>
      <c r="AF442" s="571"/>
      <c r="AG442" s="2588">
        <f>'Income Eligible Deemed Table'!BD611</f>
        <v>0</v>
      </c>
      <c r="AH442" s="571"/>
      <c r="AI442" s="2593" t="str">
        <f>'Income Eligible Deemed Table'!P610</f>
        <v>per measure</v>
      </c>
      <c r="AJ442" s="141"/>
      <c r="AM442" s="1596">
        <f t="shared" si="330"/>
        <v>4.6608050000000002E-4</v>
      </c>
      <c r="AN442">
        <f t="shared" si="331"/>
        <v>0.27125885100000002</v>
      </c>
      <c r="AO442" s="1595">
        <f t="shared" si="332"/>
        <v>-1.4899999994932855E-7</v>
      </c>
    </row>
    <row r="443" spans="1:48" x14ac:dyDescent="0.35">
      <c r="A443" s="103" t="str">
        <f t="shared" si="333"/>
        <v>402850</v>
      </c>
      <c r="B443" s="3346" t="str">
        <f>'Income Eligible Deemed Table'!C612</f>
        <v>402850_2021_12_</v>
      </c>
      <c r="C443" s="3343" t="str">
        <f>'Income Eligible Deemed Table'!G612</f>
        <v>HVAC RES</v>
      </c>
      <c r="D443" s="3343"/>
      <c r="E443" s="3343"/>
      <c r="F443" s="3343"/>
      <c r="G443" s="3343" t="str">
        <f>'Income Eligible Deemed Table'!E612</f>
        <v>ECM Continous Fan EUL Replacement - MF</v>
      </c>
      <c r="H443" s="50" t="str">
        <f>'Income Eligible Deemed Table'!D612</f>
        <v>MFIE</v>
      </c>
      <c r="I443" s="1966">
        <f>'Income Eligible Deemed Table'!F612</f>
        <v>0</v>
      </c>
      <c r="J443" s="1966"/>
      <c r="K443" s="2565"/>
      <c r="L443" s="2565"/>
      <c r="M443" s="560"/>
      <c r="N443" s="560"/>
      <c r="O443" s="1967">
        <f>'Income Eligible Deemed Table'!M612</f>
        <v>0</v>
      </c>
      <c r="P443" s="1967"/>
      <c r="Q443" s="2566"/>
      <c r="R443" s="2566"/>
      <c r="S443" s="1968"/>
      <c r="T443" s="1968"/>
      <c r="U443" s="1969"/>
      <c r="V443" s="1969"/>
      <c r="W443" s="1969">
        <f t="shared" si="327"/>
        <v>0</v>
      </c>
      <c r="X443" s="55">
        <f>'Income Eligible Deemed Table'!N612</f>
        <v>20</v>
      </c>
      <c r="Y443" s="55"/>
      <c r="Z443" s="55">
        <f t="shared" si="334"/>
        <v>20</v>
      </c>
      <c r="AA443" s="49">
        <f>'Income Eligible Deemed Table'!BB612</f>
        <v>0</v>
      </c>
      <c r="AB443" s="698">
        <f>'Income Eligible Deemed Table'!O612</f>
        <v>74.327224020150311</v>
      </c>
      <c r="AC443" s="2582">
        <f t="shared" si="335"/>
        <v>0</v>
      </c>
      <c r="AD443" s="2582">
        <f t="shared" si="328"/>
        <v>0</v>
      </c>
      <c r="AE443" s="1380">
        <f>'Income Eligible Deemed Table'!BD612</f>
        <v>0</v>
      </c>
      <c r="AF443" s="571"/>
      <c r="AG443" s="2588"/>
      <c r="AH443" s="571"/>
      <c r="AI443" s="2593" t="str">
        <f>'Income Eligible Deemed Table'!P612</f>
        <v>per measure</v>
      </c>
      <c r="AJ443" s="141"/>
      <c r="AM443" s="1596">
        <f t="shared" si="330"/>
        <v>4.6608050000000002E-4</v>
      </c>
      <c r="AN443">
        <f t="shared" si="331"/>
        <v>0</v>
      </c>
      <c r="AO443" s="1595">
        <f t="shared" si="332"/>
        <v>0</v>
      </c>
    </row>
    <row r="444" spans="1:48" x14ac:dyDescent="0.35">
      <c r="A444" s="103" t="str">
        <f t="shared" si="333"/>
        <v>402900</v>
      </c>
      <c r="B444" s="3346" t="str">
        <f>'Income Eligible Deemed Table'!C613</f>
        <v>402900_2021_12_</v>
      </c>
      <c r="C444" s="3343" t="str">
        <f>'Income Eligible Deemed Table'!G613</f>
        <v>HVAC RES</v>
      </c>
      <c r="D444" s="3343" t="str">
        <f>'Income Eligible Deemed Table'!G614</f>
        <v>HVAC RES ER2</v>
      </c>
      <c r="E444" s="3343"/>
      <c r="F444" s="3343"/>
      <c r="G444" s="3343" t="str">
        <f>'Income Eligible Deemed Table'!E613</f>
        <v>ECM Continous Fan Early Replacement ER1 (Full Cost) - MF</v>
      </c>
      <c r="H444" s="50" t="str">
        <f>'Income Eligible Deemed Table'!D613</f>
        <v>MFIE</v>
      </c>
      <c r="I444" s="1966">
        <f>'Income Eligible Deemed Table'!F613</f>
        <v>582</v>
      </c>
      <c r="J444" s="1966">
        <f>'Income Eligible Deemed Table'!F614</f>
        <v>0</v>
      </c>
      <c r="K444" s="2565"/>
      <c r="L444" s="2565"/>
      <c r="M444" s="560"/>
      <c r="N444" s="560"/>
      <c r="O444" s="1967">
        <f>'Income Eligible Deemed Table'!M613</f>
        <v>0.27125899999999997</v>
      </c>
      <c r="P444" s="1967">
        <f>'Income Eligible Deemed Table'!M614</f>
        <v>0</v>
      </c>
      <c r="Q444" s="2566"/>
      <c r="R444" s="2566"/>
      <c r="S444" s="1968"/>
      <c r="T444" s="1968"/>
      <c r="U444" s="1969"/>
      <c r="V444" s="1969"/>
      <c r="W444" s="1969">
        <f t="shared" si="327"/>
        <v>0.27125899999999997</v>
      </c>
      <c r="X444" s="55">
        <f>'Income Eligible Deemed Table'!N613</f>
        <v>6</v>
      </c>
      <c r="Y444" s="55">
        <f>'Income Eligible Deemed Table'!N614</f>
        <v>0</v>
      </c>
      <c r="Z444" s="55">
        <f t="shared" si="334"/>
        <v>6</v>
      </c>
      <c r="AA444" s="49">
        <f>'Income Eligible Deemed Table'!BB613</f>
        <v>0.5099171846050351</v>
      </c>
      <c r="AB444" s="698">
        <f>'Income Eligible Deemed Table'!O613</f>
        <v>475</v>
      </c>
      <c r="AC444" s="2582">
        <f t="shared" si="335"/>
        <v>228.60845935572598</v>
      </c>
      <c r="AD444" s="2582">
        <f t="shared" si="328"/>
        <v>0</v>
      </c>
      <c r="AE444" s="1380">
        <f>'Income Eligible Deemed Table'!BD613</f>
        <v>228.60845935572598</v>
      </c>
      <c r="AF444" s="571"/>
      <c r="AG444" s="2588">
        <f>'Income Eligible Deemed Table'!BD614</f>
        <v>0</v>
      </c>
      <c r="AH444" s="571"/>
      <c r="AI444" s="2593" t="str">
        <f>'Income Eligible Deemed Table'!P613</f>
        <v>per measure</v>
      </c>
      <c r="AJ444" s="141"/>
      <c r="AM444" s="1596">
        <f t="shared" si="330"/>
        <v>4.6608050000000002E-4</v>
      </c>
      <c r="AN444">
        <f t="shared" si="331"/>
        <v>0.27125885100000002</v>
      </c>
      <c r="AO444" s="1595">
        <f t="shared" si="332"/>
        <v>-1.4899999994932855E-7</v>
      </c>
    </row>
    <row r="445" spans="1:48" x14ac:dyDescent="0.35">
      <c r="A445" s="103" t="str">
        <f t="shared" si="333"/>
        <v>402950</v>
      </c>
      <c r="B445" s="3346" t="str">
        <f>'Income Eligible Deemed Table'!C682</f>
        <v>402950_2019_12_</v>
      </c>
      <c r="C445" s="3343" t="str">
        <f>'Income Eligible Deemed Table'!G682</f>
        <v>Cooling RES</v>
      </c>
      <c r="D445" s="3343" t="str">
        <f>'Income Eligible Deemed Table'!G683</f>
        <v>Heating RES</v>
      </c>
      <c r="E445" s="3343"/>
      <c r="F445" s="3343"/>
      <c r="G445" s="3343" t="str">
        <f>'Income Eligible Deemed Table'!E682</f>
        <v>General HP tune-up (no charge or coil clean)</v>
      </c>
      <c r="H445" s="50" t="str">
        <f>'Income Eligible Deemed Table'!D682</f>
        <v>SFIE</v>
      </c>
      <c r="I445" s="1966">
        <f t="shared" ref="I445:I458" si="336">K445+L445</f>
        <v>255.78</v>
      </c>
      <c r="J445" s="1966">
        <f t="shared" ref="J445:J458" si="337">M445+N445</f>
        <v>0</v>
      </c>
      <c r="K445" s="560">
        <f>'Income Eligible Deemed Table'!F682</f>
        <v>141.72</v>
      </c>
      <c r="L445" s="560">
        <f>'Income Eligible Deemed Table'!F683</f>
        <v>114.06</v>
      </c>
      <c r="M445" s="560"/>
      <c r="N445" s="560"/>
      <c r="O445" s="1967">
        <f t="shared" ref="O445:O458" si="338">Q445+R445</f>
        <v>0.134268</v>
      </c>
      <c r="P445" s="1967">
        <f t="shared" ref="P445:P458" si="339">S445+T445</f>
        <v>0</v>
      </c>
      <c r="Q445" s="1968">
        <f>'Income Eligible Deemed Table'!I682</f>
        <v>0.134268</v>
      </c>
      <c r="R445" s="1968">
        <f>'Income Eligible Deemed Table'!I683</f>
        <v>0</v>
      </c>
      <c r="S445" s="1968"/>
      <c r="T445" s="1968"/>
      <c r="U445" s="1969">
        <v>0</v>
      </c>
      <c r="V445" s="1969">
        <v>0</v>
      </c>
      <c r="W445" s="1969">
        <v>0</v>
      </c>
      <c r="X445" s="55">
        <f>'Income Eligible Deemed Table'!J682</f>
        <v>2</v>
      </c>
      <c r="Y445" s="55"/>
      <c r="Z445" s="55">
        <f t="shared" si="334"/>
        <v>2</v>
      </c>
      <c r="AA445" s="49">
        <f>'Income Eligible Deemed Table'!BB682</f>
        <v>0.51451458364620928</v>
      </c>
      <c r="AB445" s="698">
        <f>'Income Eligible Deemed Table'!K682</f>
        <v>70</v>
      </c>
      <c r="AC445" s="2582">
        <f t="shared" si="335"/>
        <v>33.993412793992114</v>
      </c>
      <c r="AD445" s="2582">
        <f t="shared" si="328"/>
        <v>0</v>
      </c>
      <c r="AE445" s="1380">
        <f>'Income Eligible Deemed Table'!BD682</f>
        <v>27.695050758661928</v>
      </c>
      <c r="AF445" s="571">
        <f>'Income Eligible Deemed Table'!BD683</f>
        <v>6.2983620353301868</v>
      </c>
      <c r="AG445" s="571"/>
      <c r="AH445" s="571"/>
      <c r="AI445" s="3346" t="str">
        <f>'Income Eligible Deemed Table'!L682</f>
        <v>per measure</v>
      </c>
      <c r="AJ445" s="141"/>
      <c r="AM445" s="1596">
        <f t="shared" si="330"/>
        <v>9.4741810000000004E-4</v>
      </c>
      <c r="AN445" s="84">
        <f t="shared" ref="AN445:AN458" si="340">AM445*K445</f>
        <v>0.134268093132</v>
      </c>
      <c r="AO445" s="1595">
        <f t="shared" si="332"/>
        <v>9.3132000000828441E-8</v>
      </c>
    </row>
    <row r="446" spans="1:48" x14ac:dyDescent="0.35">
      <c r="A446" s="103" t="str">
        <f t="shared" si="333"/>
        <v>403000</v>
      </c>
      <c r="B446" s="3346" t="str">
        <f>'Income Eligible Deemed Table'!C684</f>
        <v>403000_2019_12_</v>
      </c>
      <c r="C446" s="3343" t="str">
        <f>'Income Eligible Deemed Table'!G684</f>
        <v>Cooling RES</v>
      </c>
      <c r="D446" s="3343" t="str">
        <f>'Income Eligible Deemed Table'!G685</f>
        <v>Heating RES</v>
      </c>
      <c r="E446" s="3343"/>
      <c r="F446" s="3343"/>
      <c r="G446" s="3343" t="str">
        <f>'Income Eligible Deemed Table'!E684</f>
        <v>General HP tune-up (no charge or coil clean)</v>
      </c>
      <c r="H446" s="50" t="str">
        <f>'Income Eligible Deemed Table'!D684</f>
        <v>MFIE</v>
      </c>
      <c r="I446" s="1966">
        <f t="shared" si="336"/>
        <v>157.53</v>
      </c>
      <c r="J446" s="1966">
        <f t="shared" si="337"/>
        <v>0</v>
      </c>
      <c r="K446" s="560">
        <f>'Income Eligible Deemed Table'!F684</f>
        <v>87.28</v>
      </c>
      <c r="L446" s="560">
        <f>'Income Eligible Deemed Table'!F685</f>
        <v>70.25</v>
      </c>
      <c r="M446" s="560"/>
      <c r="N446" s="560"/>
      <c r="O446" s="1967">
        <f t="shared" si="338"/>
        <v>8.2691000000000001E-2</v>
      </c>
      <c r="P446" s="1967">
        <f t="shared" si="339"/>
        <v>0</v>
      </c>
      <c r="Q446" s="1968">
        <f>'Income Eligible Deemed Table'!I684</f>
        <v>8.2691000000000001E-2</v>
      </c>
      <c r="R446" s="1968">
        <f>'Income Eligible Deemed Table'!I685</f>
        <v>0</v>
      </c>
      <c r="S446" s="1968"/>
      <c r="T446" s="1968"/>
      <c r="U446" s="1969">
        <v>0</v>
      </c>
      <c r="V446" s="1969">
        <v>0</v>
      </c>
      <c r="W446" s="1969">
        <v>0</v>
      </c>
      <c r="X446" s="55">
        <f>'Income Eligible Deemed Table'!J684</f>
        <v>2</v>
      </c>
      <c r="Y446" s="55"/>
      <c r="Z446" s="55">
        <f t="shared" si="334"/>
        <v>2</v>
      </c>
      <c r="AA446" s="49">
        <f>'Income Eligible Deemed Table'!BB684</f>
        <v>0.31687408632849329</v>
      </c>
      <c r="AB446" s="698">
        <f>'Income Eligible Deemed Table'!K684</f>
        <v>70</v>
      </c>
      <c r="AC446" s="2582">
        <f t="shared" si="335"/>
        <v>20.935522456814091</v>
      </c>
      <c r="AD446" s="2582">
        <f t="shared" si="328"/>
        <v>0</v>
      </c>
      <c r="AE446" s="1380">
        <f>'Income Eligible Deemed Table'!BD684</f>
        <v>17.056336651256089</v>
      </c>
      <c r="AF446" s="571">
        <f>'Income Eligible Deemed Table'!BD685</f>
        <v>3.8791858055580009</v>
      </c>
      <c r="AG446" s="571"/>
      <c r="AH446" s="571"/>
      <c r="AI446" s="3346" t="str">
        <f>'Income Eligible Deemed Table'!L684</f>
        <v>per measure</v>
      </c>
      <c r="AJ446" s="141"/>
      <c r="AM446" s="1596">
        <f t="shared" si="330"/>
        <v>9.4741810000000004E-4</v>
      </c>
      <c r="AN446" s="84">
        <f t="shared" si="340"/>
        <v>8.2690651768000001E-2</v>
      </c>
      <c r="AO446" s="1595">
        <f t="shared" si="332"/>
        <v>-3.4823199999978183E-7</v>
      </c>
    </row>
    <row r="447" spans="1:48" x14ac:dyDescent="0.35">
      <c r="A447" s="103" t="str">
        <f t="shared" si="333"/>
        <v>403050</v>
      </c>
      <c r="B447" s="3346" t="str">
        <f>'Income Eligible Deemed Table'!C686</f>
        <v>403050_2019_12_</v>
      </c>
      <c r="C447" s="3343" t="str">
        <f>'Income Eligible Deemed Table'!G686</f>
        <v>Cooling RES</v>
      </c>
      <c r="D447" s="3343" t="str">
        <f>'Income Eligible Deemed Table'!G687</f>
        <v>Heating RES</v>
      </c>
      <c r="E447" s="3343"/>
      <c r="F447" s="3343"/>
      <c r="G447" s="3343" t="str">
        <f>'Income Eligible Deemed Table'!E686</f>
        <v>HP tune-up / Refrigerant charge SF</v>
      </c>
      <c r="H447" s="50" t="str">
        <f>'Income Eligible Deemed Table'!D686</f>
        <v>SFIE</v>
      </c>
      <c r="I447" s="1966">
        <f t="shared" si="336"/>
        <v>1140.18</v>
      </c>
      <c r="J447" s="1966">
        <f t="shared" si="337"/>
        <v>0</v>
      </c>
      <c r="K447" s="560">
        <f>'Income Eligible Deemed Table'!F686</f>
        <v>591.08000000000004</v>
      </c>
      <c r="L447" s="560">
        <f>'Income Eligible Deemed Table'!F687</f>
        <v>549.1</v>
      </c>
      <c r="M447" s="560"/>
      <c r="N447" s="560"/>
      <c r="O447" s="1967">
        <f t="shared" si="338"/>
        <v>0.56000000000000005</v>
      </c>
      <c r="P447" s="1967">
        <f t="shared" si="339"/>
        <v>0</v>
      </c>
      <c r="Q447" s="1968">
        <f>'Income Eligible Deemed Table'!I686</f>
        <v>0.56000000000000005</v>
      </c>
      <c r="R447" s="1968">
        <f>'Income Eligible Deemed Table'!I687</f>
        <v>0</v>
      </c>
      <c r="S447" s="1968"/>
      <c r="T447" s="1968"/>
      <c r="U447" s="1969">
        <v>0</v>
      </c>
      <c r="V447" s="1969">
        <v>0</v>
      </c>
      <c r="W447" s="1969">
        <v>0</v>
      </c>
      <c r="X447" s="55">
        <f>'Income Eligible Deemed Table'!J686</f>
        <v>2</v>
      </c>
      <c r="Y447" s="55"/>
      <c r="Z447" s="55">
        <f t="shared" si="334"/>
        <v>2</v>
      </c>
      <c r="AA447" s="49">
        <f>'Income Eligible Deemed Table'!BB686</f>
        <v>1.9074994828035157</v>
      </c>
      <c r="AB447" s="698">
        <f>'Income Eligible Deemed Table'!K686</f>
        <v>81</v>
      </c>
      <c r="AC447" s="2582">
        <f t="shared" si="335"/>
        <v>145.83054092221309</v>
      </c>
      <c r="AD447" s="2582">
        <f t="shared" si="328"/>
        <v>0</v>
      </c>
      <c r="AE447" s="1380">
        <f>'Income Eligible Deemed Table'!BD686</f>
        <v>115.50938895307574</v>
      </c>
      <c r="AF447" s="571">
        <f>'Income Eligible Deemed Table'!BD687</f>
        <v>30.321151969137343</v>
      </c>
      <c r="AG447" s="571"/>
      <c r="AH447" s="571"/>
      <c r="AI447" s="3346" t="str">
        <f>'Income Eligible Deemed Table'!L686</f>
        <v>per measure</v>
      </c>
      <c r="AJ447" s="141"/>
      <c r="AM447" s="1596">
        <f t="shared" si="330"/>
        <v>9.4741810000000004E-4</v>
      </c>
      <c r="AN447" s="84">
        <f t="shared" si="340"/>
        <v>0.55999989054800003</v>
      </c>
      <c r="AO447" s="1595">
        <f t="shared" si="332"/>
        <v>-1.0945200001888367E-7</v>
      </c>
    </row>
    <row r="448" spans="1:48" x14ac:dyDescent="0.35">
      <c r="A448" s="103" t="str">
        <f t="shared" si="333"/>
        <v>403100</v>
      </c>
      <c r="B448" s="3346" t="str">
        <f>'Income Eligible Deemed Table'!C688</f>
        <v>403100_2019_12_</v>
      </c>
      <c r="C448" s="3343" t="str">
        <f>'Income Eligible Deemed Table'!G688</f>
        <v>Cooling RES</v>
      </c>
      <c r="D448" s="3343" t="str">
        <f>'Income Eligible Deemed Table'!G689</f>
        <v>Heating RES</v>
      </c>
      <c r="E448" s="3343"/>
      <c r="F448" s="3343"/>
      <c r="G448" s="3343" t="str">
        <f>'Income Eligible Deemed Table'!E688</f>
        <v>HP tune-up / Refrigerant charge MF</v>
      </c>
      <c r="H448" s="50" t="str">
        <f>'Income Eligible Deemed Table'!D688</f>
        <v>MFIE</v>
      </c>
      <c r="I448" s="1966">
        <f t="shared" si="336"/>
        <v>702.21</v>
      </c>
      <c r="J448" s="1966">
        <f t="shared" si="337"/>
        <v>0</v>
      </c>
      <c r="K448" s="560">
        <f>'Income Eligible Deemed Table'!F688</f>
        <v>364.03</v>
      </c>
      <c r="L448" s="560">
        <f>'Income Eligible Deemed Table'!F689</f>
        <v>338.18</v>
      </c>
      <c r="M448" s="560"/>
      <c r="N448" s="560"/>
      <c r="O448" s="1967">
        <f t="shared" si="338"/>
        <v>0.344889</v>
      </c>
      <c r="P448" s="1967">
        <f t="shared" si="339"/>
        <v>0</v>
      </c>
      <c r="Q448" s="1968">
        <f>'Income Eligible Deemed Table'!I688</f>
        <v>0.344889</v>
      </c>
      <c r="R448" s="1968">
        <f>'Income Eligible Deemed Table'!I689</f>
        <v>0</v>
      </c>
      <c r="S448" s="1968"/>
      <c r="T448" s="1968"/>
      <c r="U448" s="1969">
        <v>0</v>
      </c>
      <c r="V448" s="1969">
        <v>0</v>
      </c>
      <c r="W448" s="1969">
        <v>0</v>
      </c>
      <c r="X448" s="55">
        <f>'Income Eligible Deemed Table'!J688</f>
        <v>2</v>
      </c>
      <c r="Y448" s="55"/>
      <c r="Z448" s="55">
        <f t="shared" si="334"/>
        <v>2</v>
      </c>
      <c r="AA448" s="49">
        <f>'Income Eligible Deemed Table'!BB688</f>
        <v>1.1747798720859743</v>
      </c>
      <c r="AB448" s="698">
        <f>'Income Eligible Deemed Table'!K688</f>
        <v>81</v>
      </c>
      <c r="AC448" s="2582">
        <f t="shared" si="335"/>
        <v>89.813279508224554</v>
      </c>
      <c r="AD448" s="2582">
        <f t="shared" si="328"/>
        <v>0</v>
      </c>
      <c r="AE448" s="1380">
        <f>'Income Eligible Deemed Table'!BD688</f>
        <v>71.139072309312027</v>
      </c>
      <c r="AF448" s="571">
        <f>'Income Eligible Deemed Table'!BD689</f>
        <v>18.674207198912523</v>
      </c>
      <c r="AG448" s="571"/>
      <c r="AH448" s="571"/>
      <c r="AI448" s="3346" t="str">
        <f>'Income Eligible Deemed Table'!L688</f>
        <v>per measure</v>
      </c>
      <c r="AJ448" s="141"/>
      <c r="AM448" s="1596">
        <f t="shared" si="330"/>
        <v>9.4741810000000004E-4</v>
      </c>
      <c r="AN448" s="84">
        <f t="shared" si="340"/>
        <v>0.344888610943</v>
      </c>
      <c r="AO448" s="1595">
        <f t="shared" si="332"/>
        <v>-3.8905700000535504E-7</v>
      </c>
    </row>
    <row r="449" spans="1:48" x14ac:dyDescent="0.35">
      <c r="A449" s="103" t="str">
        <f t="shared" si="333"/>
        <v>403101</v>
      </c>
      <c r="B449" s="3346" t="str">
        <f>'Income Eligible Deemed Table'!C690</f>
        <v>403101_2019_12_</v>
      </c>
      <c r="C449" s="3343" t="str">
        <f>'Income Eligible Deemed Table'!G690</f>
        <v>Cooling RES</v>
      </c>
      <c r="D449" s="3343" t="str">
        <f>'Income Eligible Deemed Table'!G691</f>
        <v>Heating RES</v>
      </c>
      <c r="E449" s="3343"/>
      <c r="F449" s="3343"/>
      <c r="G449" s="3343" t="str">
        <f>'Income Eligible Deemed Table'!E690</f>
        <v>HP tune-up / Refrigerant charge MF_CompE</v>
      </c>
      <c r="H449" s="50" t="str">
        <f>'Income Eligible Deemed Table'!D690</f>
        <v>MFIEc</v>
      </c>
      <c r="I449" s="1966">
        <f t="shared" si="336"/>
        <v>380.04</v>
      </c>
      <c r="J449" s="1966">
        <f t="shared" si="337"/>
        <v>0</v>
      </c>
      <c r="K449" s="560">
        <f>'Income Eligible Deemed Table'!F690</f>
        <v>264.75</v>
      </c>
      <c r="L449" s="560">
        <f>'Income Eligible Deemed Table'!F691</f>
        <v>115.29</v>
      </c>
      <c r="M449" s="560"/>
      <c r="N449" s="560"/>
      <c r="O449" s="1967">
        <f t="shared" si="338"/>
        <v>0.25082900000000002</v>
      </c>
      <c r="P449" s="1967">
        <f t="shared" si="339"/>
        <v>0</v>
      </c>
      <c r="Q449" s="1968">
        <f>'Income Eligible Deemed Table'!I690</f>
        <v>0.25082900000000002</v>
      </c>
      <c r="R449" s="1968">
        <f>'Income Eligible Deemed Table'!I691</f>
        <v>0</v>
      </c>
      <c r="S449" s="1968"/>
      <c r="T449" s="1968"/>
      <c r="U449" s="1969">
        <v>0</v>
      </c>
      <c r="V449" s="1969">
        <v>0</v>
      </c>
      <c r="W449" s="1969">
        <v>0</v>
      </c>
      <c r="X449" s="55">
        <f>'Income Eligible Deemed Table'!J690</f>
        <v>2</v>
      </c>
      <c r="Y449" s="55"/>
      <c r="Z449" s="55">
        <f t="shared" si="334"/>
        <v>2</v>
      </c>
      <c r="AA449" s="49">
        <f>'Income Eligible Deemed Table'!BB690</f>
        <v>0.7600142361783524</v>
      </c>
      <c r="AB449" s="698">
        <f>'Income Eligible Deemed Table'!K690</f>
        <v>81</v>
      </c>
      <c r="AC449" s="2582">
        <f t="shared" si="335"/>
        <v>58.103967088670636</v>
      </c>
      <c r="AD449" s="2582">
        <f t="shared" si="328"/>
        <v>0</v>
      </c>
      <c r="AE449" s="1380">
        <f>'Income Eligible Deemed Table'!BD690</f>
        <v>51.737684789413954</v>
      </c>
      <c r="AF449" s="571">
        <f>'Income Eligible Deemed Table'!BD691</f>
        <v>6.3662822992566825</v>
      </c>
      <c r="AG449" s="571"/>
      <c r="AH449" s="571"/>
      <c r="AI449" s="3346" t="str">
        <f>'Income Eligible Deemed Table'!L690</f>
        <v>per measure</v>
      </c>
      <c r="AJ449" s="141"/>
      <c r="AM449" s="1596">
        <f t="shared" si="330"/>
        <v>9.4741810000000004E-4</v>
      </c>
      <c r="AN449" s="84">
        <f t="shared" si="340"/>
        <v>0.250828941975</v>
      </c>
      <c r="AO449" s="1595">
        <f t="shared" si="332"/>
        <v>-5.8025000027051021E-8</v>
      </c>
    </row>
    <row r="450" spans="1:48" x14ac:dyDescent="0.35">
      <c r="A450" s="103" t="str">
        <f t="shared" si="333"/>
        <v>403150</v>
      </c>
      <c r="B450" s="3346" t="str">
        <f>'Income Eligible Deemed Table'!C692</f>
        <v>403150_2019_12_</v>
      </c>
      <c r="C450" s="3343" t="str">
        <f>'Income Eligible Deemed Table'!G692</f>
        <v>Cooling RES</v>
      </c>
      <c r="D450" s="3343" t="str">
        <f>'Income Eligible Deemed Table'!G693</f>
        <v>Heating RES</v>
      </c>
      <c r="E450" s="3343"/>
      <c r="F450" s="3343"/>
      <c r="G450" s="3343" t="str">
        <f>'Income Eligible Deemed Table'!E692</f>
        <v>HP tune-up / Indoor Coil (Evaporator) Cleaning SF</v>
      </c>
      <c r="H450" s="50" t="str">
        <f>'Income Eligible Deemed Table'!D692</f>
        <v>SFIE</v>
      </c>
      <c r="I450" s="1966">
        <f t="shared" si="336"/>
        <v>175.56</v>
      </c>
      <c r="J450" s="1966">
        <f t="shared" si="337"/>
        <v>0</v>
      </c>
      <c r="K450" s="560">
        <f>'Income Eligible Deemed Table'!F692</f>
        <v>97.83</v>
      </c>
      <c r="L450" s="560">
        <f>'Income Eligible Deemed Table'!F693</f>
        <v>77.73</v>
      </c>
      <c r="M450" s="560"/>
      <c r="N450" s="560"/>
      <c r="O450" s="1967">
        <f t="shared" si="338"/>
        <v>9.2686000000000004E-2</v>
      </c>
      <c r="P450" s="1967">
        <f t="shared" si="339"/>
        <v>0</v>
      </c>
      <c r="Q450" s="1968">
        <f>'Income Eligible Deemed Table'!I692</f>
        <v>9.2686000000000004E-2</v>
      </c>
      <c r="R450" s="1968">
        <f>'Income Eligible Deemed Table'!I693</f>
        <v>0</v>
      </c>
      <c r="S450" s="1968"/>
      <c r="T450" s="1968"/>
      <c r="U450" s="1969">
        <v>0</v>
      </c>
      <c r="V450" s="1969">
        <v>0</v>
      </c>
      <c r="W450" s="1969">
        <v>0</v>
      </c>
      <c r="X450" s="55">
        <f>'Income Eligible Deemed Table'!J692</f>
        <v>2</v>
      </c>
      <c r="Y450" s="55"/>
      <c r="Z450" s="55">
        <f t="shared" si="334"/>
        <v>2</v>
      </c>
      <c r="AA450" s="49">
        <f>'Income Eligible Deemed Table'!BB692</f>
        <v>0.39370106086059425</v>
      </c>
      <c r="AB450" s="698">
        <f>'Income Eligible Deemed Table'!K692</f>
        <v>63</v>
      </c>
      <c r="AC450" s="2582">
        <f t="shared" si="335"/>
        <v>23.41025656839777</v>
      </c>
      <c r="AD450" s="2582">
        <f t="shared" si="328"/>
        <v>0</v>
      </c>
      <c r="AE450" s="1380">
        <f>'Income Eligible Deemed Table'!BD692</f>
        <v>19.118027206603841</v>
      </c>
      <c r="AF450" s="571">
        <f>'Income Eligible Deemed Table'!BD693</f>
        <v>4.292229361793928</v>
      </c>
      <c r="AG450" s="571"/>
      <c r="AH450" s="571"/>
      <c r="AI450" s="3346" t="str">
        <f>'Income Eligible Deemed Table'!L692</f>
        <v>per measure</v>
      </c>
      <c r="AJ450" s="141"/>
      <c r="AM450" s="1596">
        <f t="shared" si="330"/>
        <v>9.4741810000000004E-4</v>
      </c>
      <c r="AN450" s="84">
        <f t="shared" si="340"/>
        <v>9.2685912723000002E-2</v>
      </c>
      <c r="AO450" s="1595">
        <f t="shared" si="332"/>
        <v>-8.7277000002106142E-8</v>
      </c>
    </row>
    <row r="451" spans="1:48" x14ac:dyDescent="0.35">
      <c r="A451" s="103" t="str">
        <f t="shared" si="333"/>
        <v>403200</v>
      </c>
      <c r="B451" s="3346" t="str">
        <f>'Income Eligible Deemed Table'!C694</f>
        <v>403200_2019_12_</v>
      </c>
      <c r="C451" s="3343" t="str">
        <f>'Income Eligible Deemed Table'!G694</f>
        <v>Cooling RES</v>
      </c>
      <c r="D451" s="3343" t="str">
        <f>'Income Eligible Deemed Table'!G695</f>
        <v>Heating RES</v>
      </c>
      <c r="E451" s="3343"/>
      <c r="F451" s="3343"/>
      <c r="G451" s="3343" t="str">
        <f>'Income Eligible Deemed Table'!E694</f>
        <v>HP tune-up / Indoor Coil (Evaporator) Cleaning MF</v>
      </c>
      <c r="H451" s="50" t="str">
        <f>'Income Eligible Deemed Table'!D694</f>
        <v>MFIE</v>
      </c>
      <c r="I451" s="1966">
        <f t="shared" si="336"/>
        <v>108.12</v>
      </c>
      <c r="J451" s="1966">
        <f t="shared" si="337"/>
        <v>0</v>
      </c>
      <c r="K451" s="560">
        <f>'Income Eligible Deemed Table'!F694</f>
        <v>60.25</v>
      </c>
      <c r="L451" s="560">
        <f>'Income Eligible Deemed Table'!F695</f>
        <v>47.87</v>
      </c>
      <c r="M451" s="560"/>
      <c r="N451" s="560"/>
      <c r="O451" s="1967">
        <f t="shared" si="338"/>
        <v>5.7082000000000001E-2</v>
      </c>
      <c r="P451" s="1967">
        <f t="shared" si="339"/>
        <v>0</v>
      </c>
      <c r="Q451" s="1968">
        <f>'Income Eligible Deemed Table'!I694</f>
        <v>5.7082000000000001E-2</v>
      </c>
      <c r="R451" s="1968">
        <f>'Income Eligible Deemed Table'!I695</f>
        <v>0</v>
      </c>
      <c r="S451" s="1968"/>
      <c r="T451" s="1968"/>
      <c r="U451" s="1969">
        <v>0</v>
      </c>
      <c r="V451" s="1969">
        <v>0</v>
      </c>
      <c r="W451" s="1969">
        <v>0</v>
      </c>
      <c r="X451" s="55">
        <f>'Income Eligible Deemed Table'!J694</f>
        <v>2</v>
      </c>
      <c r="Y451" s="55"/>
      <c r="Z451" s="55">
        <f t="shared" si="334"/>
        <v>2</v>
      </c>
      <c r="AA451" s="49">
        <f>'Income Eligible Deemed Table'!BB694</f>
        <v>0.24246536229455762</v>
      </c>
      <c r="AB451" s="698">
        <f>'Income Eligible Deemed Table'!K694</f>
        <v>63</v>
      </c>
      <c r="AC451" s="2582">
        <f t="shared" si="335"/>
        <v>14.417477890096393</v>
      </c>
      <c r="AD451" s="2582">
        <f t="shared" si="328"/>
        <v>0</v>
      </c>
      <c r="AE451" s="1380">
        <f>'Income Eligible Deemed Table'!BD694</f>
        <v>11.774109569640002</v>
      </c>
      <c r="AF451" s="571">
        <f>'Income Eligible Deemed Table'!BD695</f>
        <v>2.6433683204563914</v>
      </c>
      <c r="AG451" s="571"/>
      <c r="AH451" s="571"/>
      <c r="AI451" s="3346" t="str">
        <f>'Income Eligible Deemed Table'!L694</f>
        <v>per measure</v>
      </c>
      <c r="AJ451" s="141"/>
      <c r="AM451" s="1596">
        <f t="shared" si="330"/>
        <v>9.4741810000000004E-4</v>
      </c>
      <c r="AN451" s="84">
        <f t="shared" si="340"/>
        <v>5.7081940524999999E-2</v>
      </c>
      <c r="AO451" s="1595">
        <f t="shared" si="332"/>
        <v>-5.9475000001307787E-8</v>
      </c>
    </row>
    <row r="452" spans="1:48" x14ac:dyDescent="0.35">
      <c r="A452" s="103" t="str">
        <f t="shared" si="333"/>
        <v>403201</v>
      </c>
      <c r="B452" s="3346" t="str">
        <f>'Income Eligible Deemed Table'!C696</f>
        <v>403201_2019_12_</v>
      </c>
      <c r="C452" s="3343" t="str">
        <f>'Income Eligible Deemed Table'!G696</f>
        <v>Cooling RES</v>
      </c>
      <c r="D452" s="3343" t="str">
        <f>'Income Eligible Deemed Table'!G697</f>
        <v>Heating RES</v>
      </c>
      <c r="E452" s="3343"/>
      <c r="F452" s="3343"/>
      <c r="G452" s="3343" t="str">
        <f>'Income Eligible Deemed Table'!E696</f>
        <v>HP tune-up / Indoor Coil (Evaporator) Cleaning MF_CompE</v>
      </c>
      <c r="H452" s="50" t="str">
        <f>'Income Eligible Deemed Table'!D696</f>
        <v>MFIEc</v>
      </c>
      <c r="I452" s="1966">
        <f t="shared" si="336"/>
        <v>60.14</v>
      </c>
      <c r="J452" s="1966">
        <f t="shared" si="337"/>
        <v>0</v>
      </c>
      <c r="K452" s="560">
        <f>'Income Eligible Deemed Table'!F696</f>
        <v>43.82</v>
      </c>
      <c r="L452" s="560">
        <f>'Income Eligible Deemed Table'!F697</f>
        <v>16.32</v>
      </c>
      <c r="M452" s="560"/>
      <c r="N452" s="560"/>
      <c r="O452" s="1967">
        <f t="shared" si="338"/>
        <v>4.1515999999999997E-2</v>
      </c>
      <c r="P452" s="1967">
        <f t="shared" si="339"/>
        <v>0</v>
      </c>
      <c r="Q452" s="1968">
        <f>'Income Eligible Deemed Table'!I696</f>
        <v>4.1515999999999997E-2</v>
      </c>
      <c r="R452" s="1968">
        <f>'Income Eligible Deemed Table'!I697</f>
        <v>0</v>
      </c>
      <c r="S452" s="1968"/>
      <c r="T452" s="1968"/>
      <c r="U452" s="1969">
        <v>0</v>
      </c>
      <c r="V452" s="1969">
        <v>0</v>
      </c>
      <c r="W452" s="1969">
        <v>0</v>
      </c>
      <c r="X452" s="55">
        <f>'Income Eligible Deemed Table'!J696</f>
        <v>2</v>
      </c>
      <c r="Y452" s="55"/>
      <c r="Z452" s="55">
        <f t="shared" si="334"/>
        <v>2</v>
      </c>
      <c r="AA452" s="49">
        <f>'Income Eligible Deemed Table'!BB696</f>
        <v>0.15916935819513423</v>
      </c>
      <c r="AB452" s="698">
        <f>'Income Eligible Deemed Table'!K696</f>
        <v>63</v>
      </c>
      <c r="AC452" s="2582">
        <f t="shared" si="335"/>
        <v>9.4645300295360606</v>
      </c>
      <c r="AD452" s="2582">
        <f t="shared" si="328"/>
        <v>0</v>
      </c>
      <c r="AE452" s="1380">
        <f>'Income Eligible Deemed Table'!BD696</f>
        <v>8.5633440886576757</v>
      </c>
      <c r="AF452" s="571">
        <f>'Income Eligible Deemed Table'!BD697</f>
        <v>0.90118594087838544</v>
      </c>
      <c r="AG452" s="571"/>
      <c r="AH452" s="571"/>
      <c r="AI452" s="3346" t="str">
        <f>'Income Eligible Deemed Table'!L696</f>
        <v>per measure</v>
      </c>
      <c r="AJ452" s="141"/>
      <c r="AM452" s="1596">
        <f t="shared" si="330"/>
        <v>9.4741810000000004E-4</v>
      </c>
      <c r="AN452" s="84">
        <f t="shared" si="340"/>
        <v>4.1515861142000003E-2</v>
      </c>
      <c r="AO452" s="1595">
        <f t="shared" si="332"/>
        <v>-1.3885799999419079E-7</v>
      </c>
    </row>
    <row r="453" spans="1:48" x14ac:dyDescent="0.35">
      <c r="A453" s="103" t="str">
        <f t="shared" si="333"/>
        <v>403250</v>
      </c>
      <c r="B453" s="3346" t="str">
        <f>'Income Eligible Deemed Table'!C698</f>
        <v>403250_2019_12_</v>
      </c>
      <c r="C453" s="3343" t="str">
        <f>'Income Eligible Deemed Table'!G698</f>
        <v>Cooling RES</v>
      </c>
      <c r="D453" s="3343" t="str">
        <f>'Income Eligible Deemed Table'!G699</f>
        <v>Heating RES</v>
      </c>
      <c r="E453" s="3343"/>
      <c r="F453" s="3343"/>
      <c r="G453" s="3343" t="str">
        <f>'Income Eligible Deemed Table'!E698</f>
        <v>HP tune-up / Outdoor Coil (Condenser) Cleaning SF</v>
      </c>
      <c r="H453" s="50" t="str">
        <f>'Income Eligible Deemed Table'!D698</f>
        <v>SFIE</v>
      </c>
      <c r="I453" s="1966">
        <f t="shared" si="336"/>
        <v>355.7</v>
      </c>
      <c r="J453" s="1966">
        <f t="shared" si="337"/>
        <v>0</v>
      </c>
      <c r="K453" s="560">
        <f>'Income Eligible Deemed Table'!F698</f>
        <v>195.66</v>
      </c>
      <c r="L453" s="560">
        <f>'Income Eligible Deemed Table'!F699</f>
        <v>160.04</v>
      </c>
      <c r="M453" s="560"/>
      <c r="N453" s="560"/>
      <c r="O453" s="1967">
        <f t="shared" si="338"/>
        <v>0.18537200000000001</v>
      </c>
      <c r="P453" s="1967">
        <f t="shared" si="339"/>
        <v>0</v>
      </c>
      <c r="Q453" s="1968">
        <f>'Income Eligible Deemed Table'!I698</f>
        <v>0.18537200000000001</v>
      </c>
      <c r="R453" s="1968">
        <f>'Income Eligible Deemed Table'!I699</f>
        <v>0</v>
      </c>
      <c r="S453" s="1968"/>
      <c r="T453" s="1968"/>
      <c r="U453" s="1969">
        <v>0</v>
      </c>
      <c r="V453" s="1969">
        <v>0</v>
      </c>
      <c r="W453" s="1969">
        <v>0</v>
      </c>
      <c r="X453" s="55">
        <f>'Income Eligible Deemed Table'!J698</f>
        <v>2</v>
      </c>
      <c r="Y453" s="55"/>
      <c r="Z453" s="55">
        <f t="shared" si="334"/>
        <v>2</v>
      </c>
      <c r="AA453" s="49">
        <f>'Income Eligible Deemed Table'!BB698</f>
        <v>1.608847998218748</v>
      </c>
      <c r="AB453" s="698">
        <f>'Income Eligible Deemed Table'!K698</f>
        <v>31</v>
      </c>
      <c r="AC453" s="2582">
        <f t="shared" si="335"/>
        <v>47.073419485399889</v>
      </c>
      <c r="AD453" s="2582">
        <f t="shared" si="328"/>
        <v>0</v>
      </c>
      <c r="AE453" s="1380">
        <f>'Income Eligible Deemed Table'!BD698</f>
        <v>38.236054413207683</v>
      </c>
      <c r="AF453" s="571">
        <f>'Income Eligible Deemed Table'!BD699</f>
        <v>8.8373650721922061</v>
      </c>
      <c r="AG453" s="571"/>
      <c r="AH453" s="571"/>
      <c r="AI453" s="3346" t="str">
        <f>'Income Eligible Deemed Table'!L698</f>
        <v>per measure</v>
      </c>
      <c r="AJ453" s="141"/>
      <c r="AM453" s="1596">
        <f t="shared" si="330"/>
        <v>9.4741810000000004E-4</v>
      </c>
      <c r="AN453" s="84">
        <f t="shared" si="340"/>
        <v>0.185371825446</v>
      </c>
      <c r="AO453" s="1595">
        <f t="shared" si="332"/>
        <v>-1.7455400000421228E-7</v>
      </c>
    </row>
    <row r="454" spans="1:48" s="84" customFormat="1" x14ac:dyDescent="0.35">
      <c r="A454" s="103" t="str">
        <f t="shared" si="333"/>
        <v>403300</v>
      </c>
      <c r="B454" s="3346" t="str">
        <f>'Income Eligible Deemed Table'!C700</f>
        <v>403300_2019_12_</v>
      </c>
      <c r="C454" s="3343" t="str">
        <f>'Income Eligible Deemed Table'!G700</f>
        <v>Cooling RES</v>
      </c>
      <c r="D454" s="3343" t="str">
        <f>'Income Eligible Deemed Table'!G701</f>
        <v>Heating RES</v>
      </c>
      <c r="E454" s="3343"/>
      <c r="F454" s="3343"/>
      <c r="G454" s="3343" t="str">
        <f>'Income Eligible Deemed Table'!E700</f>
        <v>HP tune-up / Outdoor Coil (Condenser) Cleaning MF</v>
      </c>
      <c r="H454" s="50" t="str">
        <f>'Income Eligible Deemed Table'!D700</f>
        <v>MFIE</v>
      </c>
      <c r="I454" s="1966">
        <f t="shared" si="336"/>
        <v>219.07</v>
      </c>
      <c r="J454" s="1966">
        <f t="shared" si="337"/>
        <v>0</v>
      </c>
      <c r="K454" s="560">
        <f>'Income Eligible Deemed Table'!F700</f>
        <v>120.5</v>
      </c>
      <c r="L454" s="560">
        <f>'Income Eligible Deemed Table'!F701</f>
        <v>98.57</v>
      </c>
      <c r="M454" s="560"/>
      <c r="N454" s="560"/>
      <c r="O454" s="1967">
        <f t="shared" si="338"/>
        <v>0.114164</v>
      </c>
      <c r="P454" s="1967">
        <f t="shared" si="339"/>
        <v>0</v>
      </c>
      <c r="Q454" s="1968">
        <f>'Income Eligible Deemed Table'!I700</f>
        <v>0.114164</v>
      </c>
      <c r="R454" s="1968">
        <f>'Income Eligible Deemed Table'!I701</f>
        <v>0</v>
      </c>
      <c r="S454" s="1968"/>
      <c r="T454" s="1968"/>
      <c r="U454" s="1969">
        <v>0</v>
      </c>
      <c r="V454" s="1969">
        <v>0</v>
      </c>
      <c r="W454" s="1969">
        <v>0</v>
      </c>
      <c r="X454" s="55">
        <f>'Income Eligible Deemed Table'!J700</f>
        <v>2</v>
      </c>
      <c r="Y454" s="55"/>
      <c r="Z454" s="55">
        <f t="shared" si="334"/>
        <v>2</v>
      </c>
      <c r="AA454" s="49">
        <f>'Income Eligible Deemed Table'!BB700</f>
        <v>0.9908453435343243</v>
      </c>
      <c r="AB454" s="698">
        <f>'Income Eligible Deemed Table'!K700</f>
        <v>31</v>
      </c>
      <c r="AC454" s="2582">
        <f t="shared" si="335"/>
        <v>28.991227606950495</v>
      </c>
      <c r="AD454" s="2582">
        <f t="shared" si="328"/>
        <v>0</v>
      </c>
      <c r="AE454" s="1380">
        <f>'Income Eligible Deemed Table'!BD700</f>
        <v>23.548219139280004</v>
      </c>
      <c r="AF454" s="571">
        <f>'Income Eligible Deemed Table'!BD701</f>
        <v>5.4430084676704933</v>
      </c>
      <c r="AG454" s="571"/>
      <c r="AH454" s="571"/>
      <c r="AI454" s="3346" t="str">
        <f>'Income Eligible Deemed Table'!L700</f>
        <v>per measure</v>
      </c>
      <c r="AJ454" s="141"/>
      <c r="AK454"/>
      <c r="AL454"/>
      <c r="AM454" s="1596">
        <f t="shared" si="330"/>
        <v>9.4741810000000004E-4</v>
      </c>
      <c r="AN454" s="84">
        <f t="shared" si="340"/>
        <v>0.11416388105</v>
      </c>
      <c r="AO454" s="1595">
        <f t="shared" si="332"/>
        <v>-1.1895000000261557E-7</v>
      </c>
      <c r="AP454"/>
      <c r="AQ454"/>
      <c r="AR454"/>
      <c r="AS454"/>
      <c r="AT454"/>
      <c r="AU454"/>
      <c r="AV454"/>
    </row>
    <row r="455" spans="1:48" s="84" customFormat="1" x14ac:dyDescent="0.35">
      <c r="A455" s="103" t="str">
        <f t="shared" si="333"/>
        <v>403301</v>
      </c>
      <c r="B455" s="3346" t="str">
        <f>'Income Eligible Deemed Table'!C702</f>
        <v>403301_2019_12_</v>
      </c>
      <c r="C455" s="3343" t="str">
        <f>'Income Eligible Deemed Table'!G702</f>
        <v>Cooling RES</v>
      </c>
      <c r="D455" s="3343" t="str">
        <f>'Income Eligible Deemed Table'!G703</f>
        <v>Heating RES</v>
      </c>
      <c r="E455" s="3343"/>
      <c r="F455" s="3343"/>
      <c r="G455" s="3343" t="str">
        <f>'Income Eligible Deemed Table'!E702</f>
        <v>HP tune-up / Outdoor Coil (Condenser) Cleaning MF_CompE</v>
      </c>
      <c r="H455" s="50" t="str">
        <f>'Income Eligible Deemed Table'!D702</f>
        <v>MFIEc</v>
      </c>
      <c r="I455" s="1966">
        <f t="shared" si="336"/>
        <v>121.24000000000001</v>
      </c>
      <c r="J455" s="1966">
        <f t="shared" si="337"/>
        <v>0</v>
      </c>
      <c r="K455" s="560">
        <f>'Income Eligible Deemed Table'!F702</f>
        <v>87.64</v>
      </c>
      <c r="L455" s="560">
        <f>'Income Eligible Deemed Table'!F703</f>
        <v>33.6</v>
      </c>
      <c r="M455" s="560"/>
      <c r="N455" s="560"/>
      <c r="O455" s="1967">
        <f t="shared" si="338"/>
        <v>8.3031999999999995E-2</v>
      </c>
      <c r="P455" s="1967">
        <f t="shared" si="339"/>
        <v>0</v>
      </c>
      <c r="Q455" s="1968">
        <f>'Income Eligible Deemed Table'!I702</f>
        <v>8.3031999999999995E-2</v>
      </c>
      <c r="R455" s="1968">
        <f>'Income Eligible Deemed Table'!I703</f>
        <v>0</v>
      </c>
      <c r="S455" s="1968"/>
      <c r="T455" s="1968"/>
      <c r="U455" s="1969">
        <v>0</v>
      </c>
      <c r="V455" s="1969">
        <v>0</v>
      </c>
      <c r="W455" s="1969">
        <v>0</v>
      </c>
      <c r="X455" s="55">
        <f>'Income Eligible Deemed Table'!J702</f>
        <v>2</v>
      </c>
      <c r="Y455" s="55"/>
      <c r="Z455" s="55">
        <f t="shared" si="334"/>
        <v>2</v>
      </c>
      <c r="AA455" s="49">
        <f>'Income Eligible Deemed Table'!BB702</f>
        <v>0.64875820067995871</v>
      </c>
      <c r="AB455" s="698">
        <f>'Income Eligible Deemed Table'!K702</f>
        <v>31</v>
      </c>
      <c r="AC455" s="2582">
        <f t="shared" si="335"/>
        <v>18.982070996770851</v>
      </c>
      <c r="AD455" s="2582">
        <f t="shared" si="328"/>
        <v>0</v>
      </c>
      <c r="AE455" s="1380">
        <f>'Income Eligible Deemed Table'!BD702</f>
        <v>17.126688177315351</v>
      </c>
      <c r="AF455" s="571">
        <f>'Income Eligible Deemed Table'!BD703</f>
        <v>1.8553828194554995</v>
      </c>
      <c r="AG455" s="571"/>
      <c r="AH455" s="571"/>
      <c r="AI455" s="3346" t="str">
        <f>'Income Eligible Deemed Table'!L702</f>
        <v>per measure</v>
      </c>
      <c r="AJ455" s="141"/>
      <c r="AK455"/>
      <c r="AL455"/>
      <c r="AM455" s="1596">
        <f t="shared" si="330"/>
        <v>9.4741810000000004E-4</v>
      </c>
      <c r="AN455" s="84">
        <f t="shared" si="340"/>
        <v>8.3031722284000006E-2</v>
      </c>
      <c r="AO455" s="1595">
        <f t="shared" si="332"/>
        <v>-2.7771599998838159E-7</v>
      </c>
      <c r="AP455"/>
      <c r="AQ455"/>
      <c r="AR455"/>
      <c r="AS455"/>
      <c r="AT455"/>
      <c r="AU455"/>
      <c r="AV455"/>
    </row>
    <row r="456" spans="1:48" s="84" customFormat="1" x14ac:dyDescent="0.35">
      <c r="A456" s="103" t="str">
        <f t="shared" si="333"/>
        <v>403310</v>
      </c>
      <c r="B456" s="3346" t="str">
        <f>'Income Eligible Deemed Table'!C704</f>
        <v>403310_2021_12</v>
      </c>
      <c r="C456" s="3343" t="str">
        <f>'Income Eligible Deemed Table'!G704</f>
        <v>Cooling RES</v>
      </c>
      <c r="D456" s="3343" t="str">
        <f>'Income Eligible Deemed Table'!G705</f>
        <v>Heating RES</v>
      </c>
      <c r="E456" s="3343"/>
      <c r="F456" s="3343"/>
      <c r="G456" s="3343" t="str">
        <f>'Income Eligible Deemed Table'!E704</f>
        <v>HP tune-up / Packaged Service SF</v>
      </c>
      <c r="H456" s="50" t="str">
        <f>'Income Eligible Deemed Table'!D704</f>
        <v>SFIE</v>
      </c>
      <c r="I456" s="1966">
        <f t="shared" si="336"/>
        <v>1548.03</v>
      </c>
      <c r="J456" s="1966">
        <f t="shared" si="337"/>
        <v>0</v>
      </c>
      <c r="K456" s="560">
        <f>'Income Eligible Deemed Table'!F704</f>
        <v>367.93</v>
      </c>
      <c r="L456" s="560">
        <f>'Income Eligible Deemed Table'!F705</f>
        <v>1180.0999999999999</v>
      </c>
      <c r="M456" s="560"/>
      <c r="N456" s="560"/>
      <c r="O456" s="1967">
        <f t="shared" si="338"/>
        <v>0.348584</v>
      </c>
      <c r="P456" s="1967">
        <f t="shared" si="339"/>
        <v>0</v>
      </c>
      <c r="Q456" s="1968">
        <f>'Income Eligible Deemed Table'!I704</f>
        <v>0.348584</v>
      </c>
      <c r="R456" s="1968">
        <f>'Income Eligible Deemed Table'!I705</f>
        <v>0</v>
      </c>
      <c r="S456" s="1968"/>
      <c r="T456" s="1968"/>
      <c r="U456" s="1969">
        <v>0</v>
      </c>
      <c r="V456" s="1969">
        <v>0</v>
      </c>
      <c r="W456" s="1969">
        <v>0</v>
      </c>
      <c r="X456" s="55">
        <f>'Income Eligible Deemed Table'!J704</f>
        <v>2</v>
      </c>
      <c r="Y456" s="55"/>
      <c r="Z456" s="55">
        <f t="shared" si="334"/>
        <v>2</v>
      </c>
      <c r="AA456" s="49">
        <f>'Income Eligible Deemed Table'!BB704</f>
        <v>0.78498076324192501</v>
      </c>
      <c r="AB456" s="698">
        <f>'Income Eligible Deemed Table'!K704</f>
        <v>185</v>
      </c>
      <c r="AC456" s="2582">
        <f t="shared" si="335"/>
        <v>137.06601340231816</v>
      </c>
      <c r="AD456" s="2582">
        <f t="shared" si="328"/>
        <v>0</v>
      </c>
      <c r="AE456" s="1380">
        <f>'Income Eligible Deemed Table'!BD704</f>
        <v>71.901213841620688</v>
      </c>
      <c r="AF456" s="571">
        <f>'Income Eligible Deemed Table'!BD705</f>
        <v>65.16479956069746</v>
      </c>
      <c r="AG456" s="571"/>
      <c r="AH456" s="571"/>
      <c r="AI456" s="3346" t="str">
        <f>'Income Eligible Deemed Table'!L704</f>
        <v>per measure</v>
      </c>
      <c r="AJ456" s="1589"/>
      <c r="AM456" s="1961">
        <f t="shared" si="330"/>
        <v>9.4741810000000004E-4</v>
      </c>
      <c r="AN456" s="84">
        <f t="shared" si="340"/>
        <v>0.34858354153300003</v>
      </c>
      <c r="AO456" s="1965">
        <f t="shared" si="332"/>
        <v>-4.5846699997520446E-7</v>
      </c>
    </row>
    <row r="457" spans="1:48" x14ac:dyDescent="0.35">
      <c r="A457" s="103" t="str">
        <f t="shared" si="333"/>
        <v>403311</v>
      </c>
      <c r="B457" s="3346" t="str">
        <f>'Income Eligible Deemed Table'!C706</f>
        <v>403311_2021_12</v>
      </c>
      <c r="C457" s="3343" t="str">
        <f>'Income Eligible Deemed Table'!G706</f>
        <v>Cooling RES</v>
      </c>
      <c r="D457" s="3343" t="str">
        <f>'Income Eligible Deemed Table'!G707</f>
        <v>Heating RES</v>
      </c>
      <c r="E457" s="3343"/>
      <c r="F457" s="3343"/>
      <c r="G457" s="3343" t="str">
        <f>'Income Eligible Deemed Table'!E706</f>
        <v>HP tune-up / Packaged Service MF</v>
      </c>
      <c r="H457" s="50" t="str">
        <f>'Income Eligible Deemed Table'!D706</f>
        <v>MFIE</v>
      </c>
      <c r="I457" s="1966">
        <f t="shared" si="336"/>
        <v>953.4</v>
      </c>
      <c r="J457" s="1966">
        <f t="shared" si="337"/>
        <v>0</v>
      </c>
      <c r="K457" s="560">
        <f>'Income Eligible Deemed Table'!F706</f>
        <v>226.6</v>
      </c>
      <c r="L457" s="560">
        <f>'Income Eligible Deemed Table'!F707</f>
        <v>726.8</v>
      </c>
      <c r="M457" s="560"/>
      <c r="N457" s="560"/>
      <c r="O457" s="1967">
        <f t="shared" si="338"/>
        <v>0.21468499999999999</v>
      </c>
      <c r="P457" s="1967">
        <f t="shared" si="339"/>
        <v>0</v>
      </c>
      <c r="Q457" s="1968">
        <f>'Income Eligible Deemed Table'!I706</f>
        <v>0.21468499999999999</v>
      </c>
      <c r="R457" s="1968">
        <f>'Income Eligible Deemed Table'!I707</f>
        <v>0</v>
      </c>
      <c r="S457" s="1968"/>
      <c r="T457" s="1968"/>
      <c r="U457" s="1969">
        <v>0</v>
      </c>
      <c r="V457" s="1969">
        <v>0</v>
      </c>
      <c r="W457" s="1969">
        <v>0</v>
      </c>
      <c r="X457" s="55">
        <f>'Income Eligible Deemed Table'!J706</f>
        <v>2</v>
      </c>
      <c r="Y457" s="55"/>
      <c r="Z457" s="55">
        <f t="shared" si="334"/>
        <v>2</v>
      </c>
      <c r="AA457" s="49">
        <f>'Income Eligible Deemed Table'!BB706</f>
        <v>0.483453141049074</v>
      </c>
      <c r="AB457" s="698">
        <f>'Income Eligible Deemed Table'!K706</f>
        <v>185</v>
      </c>
      <c r="AC457" s="2582">
        <f t="shared" si="335"/>
        <v>84.416074652268691</v>
      </c>
      <c r="AD457" s="2582">
        <f t="shared" si="328"/>
        <v>0</v>
      </c>
      <c r="AE457" s="1380">
        <f>'Income Eligible Deemed Table'!BD706</f>
        <v>44.282377236189618</v>
      </c>
      <c r="AF457" s="571">
        <f>'Income Eligible Deemed Table'!BD707</f>
        <v>40.133697416079073</v>
      </c>
      <c r="AG457" s="571"/>
      <c r="AH457" s="571"/>
      <c r="AI457" s="3346" t="str">
        <f>'Income Eligible Deemed Table'!L706</f>
        <v>per measure</v>
      </c>
      <c r="AJ457" s="1589"/>
      <c r="AK457" s="84"/>
      <c r="AL457" s="84"/>
      <c r="AM457" s="1961">
        <f t="shared" si="330"/>
        <v>9.4741810000000004E-4</v>
      </c>
      <c r="AN457" s="84">
        <f t="shared" si="340"/>
        <v>0.21468494146</v>
      </c>
      <c r="AO457" s="1965">
        <f t="shared" si="332"/>
        <v>-5.8539999986395586E-8</v>
      </c>
      <c r="AP457" s="84"/>
      <c r="AQ457" s="84"/>
      <c r="AR457" s="84"/>
      <c r="AS457" s="84"/>
      <c r="AT457" s="84"/>
      <c r="AU457" s="84"/>
      <c r="AV457" s="84"/>
    </row>
    <row r="458" spans="1:48" s="84" customFormat="1" x14ac:dyDescent="0.35">
      <c r="A458" s="103" t="str">
        <f t="shared" si="333"/>
        <v>403312</v>
      </c>
      <c r="B458" s="3346" t="str">
        <f>'Income Eligible Deemed Table'!C708</f>
        <v>403312_2021_12</v>
      </c>
      <c r="C458" s="3343" t="str">
        <f>'Income Eligible Deemed Table'!G708</f>
        <v>Cooling RES</v>
      </c>
      <c r="D458" s="3343" t="str">
        <f>'Income Eligible Deemed Table'!G709</f>
        <v>Heating RES</v>
      </c>
      <c r="E458" s="3343"/>
      <c r="F458" s="3343"/>
      <c r="G458" s="3343" t="str">
        <f>'Income Eligible Deemed Table'!E708</f>
        <v>HP tune-up / Packaged Service MF_CompE</v>
      </c>
      <c r="H458" s="50" t="str">
        <f>'Income Eligible Deemed Table'!D708</f>
        <v>MFIEc</v>
      </c>
      <c r="I458" s="1966">
        <f t="shared" si="336"/>
        <v>412.57000000000005</v>
      </c>
      <c r="J458" s="1966">
        <f t="shared" si="337"/>
        <v>0</v>
      </c>
      <c r="K458" s="560">
        <f>'Income Eligible Deemed Table'!F708</f>
        <v>164.8</v>
      </c>
      <c r="L458" s="560">
        <f>'Income Eligible Deemed Table'!F709</f>
        <v>247.77</v>
      </c>
      <c r="M458" s="560"/>
      <c r="N458" s="560"/>
      <c r="O458" s="1967">
        <f t="shared" si="338"/>
        <v>0.156135</v>
      </c>
      <c r="P458" s="1967">
        <f t="shared" si="339"/>
        <v>0</v>
      </c>
      <c r="Q458" s="1968">
        <f>'Income Eligible Deemed Table'!I708</f>
        <v>0.156135</v>
      </c>
      <c r="R458" s="1968">
        <f>'Income Eligible Deemed Table'!I709</f>
        <v>0</v>
      </c>
      <c r="S458" s="1968"/>
      <c r="T458" s="1968"/>
      <c r="U458" s="1969">
        <v>0</v>
      </c>
      <c r="V458" s="1969">
        <v>0</v>
      </c>
      <c r="W458" s="1969">
        <v>0</v>
      </c>
      <c r="X458" s="55">
        <f>'Income Eligible Deemed Table'!J708</f>
        <v>2</v>
      </c>
      <c r="Y458" s="55"/>
      <c r="Z458" s="55">
        <f t="shared" si="334"/>
        <v>2</v>
      </c>
      <c r="AA458" s="49">
        <f>'Income Eligible Deemed Table'!BB708</f>
        <v>0.26279698812834745</v>
      </c>
      <c r="AB458" s="698">
        <f>'Income Eligible Deemed Table'!K708</f>
        <v>185</v>
      </c>
      <c r="AC458" s="2582">
        <f t="shared" si="335"/>
        <v>45.887156964364578</v>
      </c>
      <c r="AD458" s="2582">
        <f t="shared" si="328"/>
        <v>0</v>
      </c>
      <c r="AE458" s="1380">
        <f>'Income Eligible Deemed Table'!BD708</f>
        <v>32.205365262683358</v>
      </c>
      <c r="AF458" s="571">
        <f>'Income Eligible Deemed Table'!BD709</f>
        <v>13.681791701681224</v>
      </c>
      <c r="AG458" s="571"/>
      <c r="AH458" s="571"/>
      <c r="AI458" s="3346" t="str">
        <f>'Income Eligible Deemed Table'!L708</f>
        <v>per measure</v>
      </c>
      <c r="AJ458" s="1589"/>
      <c r="AM458" s="1961">
        <f t="shared" ref="AM458:AM489" si="341">VLOOKUP(C458,$AS$10:$AT$33,2,FALSE)</f>
        <v>9.4741810000000004E-4</v>
      </c>
      <c r="AN458" s="84">
        <f t="shared" si="340"/>
        <v>0.15613450288000003</v>
      </c>
      <c r="AO458" s="1965">
        <f t="shared" ref="AO458:AO489" si="342">AN458-O458</f>
        <v>-4.9711999997037459E-7</v>
      </c>
    </row>
    <row r="459" spans="1:48" x14ac:dyDescent="0.35">
      <c r="A459" s="103" t="str">
        <f t="shared" si="333"/>
        <v>403350</v>
      </c>
      <c r="B459" s="3346" t="str">
        <f>'Income Eligible Deemed Table'!C766</f>
        <v>403350_2019_12_</v>
      </c>
      <c r="C459" s="3343" t="str">
        <f>'Income Eligible Deemed Table'!G766</f>
        <v>Water heating RES</v>
      </c>
      <c r="D459" s="3343"/>
      <c r="E459" s="3343"/>
      <c r="F459" s="3343"/>
      <c r="G459" s="3343" t="str">
        <f>'Income Eligible Deemed Table'!E766</f>
        <v>Low Flow Bathroom Faucet Aerator MFIE</v>
      </c>
      <c r="H459" s="50" t="str">
        <f>'Income Eligible Deemed Table'!D766</f>
        <v>MFIE</v>
      </c>
      <c r="I459" s="1966">
        <f>'Income Eligible Deemed Table'!F766</f>
        <v>17.77</v>
      </c>
      <c r="J459" s="1966"/>
      <c r="K459" s="560"/>
      <c r="L459" s="560"/>
      <c r="M459" s="560"/>
      <c r="N459" s="560"/>
      <c r="O459" s="1967">
        <f>'Income Eligible Deemed Table'!J766</f>
        <v>1.5770000000000001E-3</v>
      </c>
      <c r="P459" s="1967"/>
      <c r="Q459" s="1968"/>
      <c r="R459" s="1968"/>
      <c r="S459" s="1968"/>
      <c r="T459" s="1968"/>
      <c r="U459" s="1969">
        <v>0</v>
      </c>
      <c r="V459" s="1969">
        <f t="shared" ref="V459:V491" si="343">O459</f>
        <v>1.5770000000000001E-3</v>
      </c>
      <c r="W459" s="1969">
        <v>0</v>
      </c>
      <c r="X459" s="55">
        <f>'Income Eligible Deemed Table'!K766</f>
        <v>11</v>
      </c>
      <c r="Y459" s="55"/>
      <c r="Z459" s="55">
        <f t="shared" si="334"/>
        <v>11</v>
      </c>
      <c r="AA459" s="49">
        <f>'Income Eligible Deemed Table'!BB766</f>
        <v>2.3156568839285034</v>
      </c>
      <c r="AB459" s="698">
        <f>'Income Eligible Deemed Table'!L766</f>
        <v>3</v>
      </c>
      <c r="AC459" s="2582">
        <f t="shared" si="335"/>
        <v>6.5568387463761297</v>
      </c>
      <c r="AD459" s="2582">
        <f t="shared" si="328"/>
        <v>0</v>
      </c>
      <c r="AE459" s="1380">
        <f>'Income Eligible Deemed Table'!BD766</f>
        <v>6.5568387463761297</v>
      </c>
      <c r="AF459" s="571"/>
      <c r="AG459" s="571"/>
      <c r="AH459" s="571"/>
      <c r="AI459" s="2594" t="str">
        <f>'Income Eligible Deemed Table'!M766</f>
        <v>per measure</v>
      </c>
      <c r="AJ459" s="141"/>
      <c r="AM459" s="1596">
        <f t="shared" si="341"/>
        <v>8.8731800000000003E-5</v>
      </c>
      <c r="AN459">
        <f t="shared" ref="AN459:AN474" si="344">AM459*I459</f>
        <v>1.5767640860000001E-3</v>
      </c>
      <c r="AO459" s="1595">
        <f t="shared" si="342"/>
        <v>-2.3591399999993955E-7</v>
      </c>
    </row>
    <row r="460" spans="1:48" x14ac:dyDescent="0.35">
      <c r="A460" s="103" t="str">
        <f t="shared" si="333"/>
        <v>403351</v>
      </c>
      <c r="B460" s="3346" t="str">
        <f>'Income Eligible Deemed Table'!C767</f>
        <v>403351_2020_12_</v>
      </c>
      <c r="C460" s="3343" t="str">
        <f>'Income Eligible Deemed Table'!G767</f>
        <v>Water heating RES</v>
      </c>
      <c r="D460" s="3343"/>
      <c r="E460" s="3343"/>
      <c r="F460" s="3343"/>
      <c r="G460" s="3343" t="str">
        <f>'Income Eligible Deemed Table'!E767</f>
        <v>Low Flow Bathroom Faucet Aerator SFIE</v>
      </c>
      <c r="H460" s="50" t="str">
        <f>'Income Eligible Deemed Table'!D767</f>
        <v>SFIE</v>
      </c>
      <c r="I460" s="1966">
        <f>'Income Eligible Deemed Table'!F767</f>
        <v>17.77</v>
      </c>
      <c r="J460" s="1966"/>
      <c r="K460" s="560"/>
      <c r="L460" s="560"/>
      <c r="M460" s="560"/>
      <c r="N460" s="560"/>
      <c r="O460" s="1967">
        <f>'Income Eligible Deemed Table'!J767</f>
        <v>1.5770000000000001E-3</v>
      </c>
      <c r="P460" s="1967"/>
      <c r="Q460" s="1968"/>
      <c r="R460" s="1968"/>
      <c r="S460" s="1968"/>
      <c r="T460" s="1968"/>
      <c r="U460" s="1969">
        <v>0</v>
      </c>
      <c r="V460" s="1969">
        <f t="shared" si="343"/>
        <v>1.5770000000000001E-3</v>
      </c>
      <c r="W460" s="1969">
        <v>0</v>
      </c>
      <c r="X460" s="55">
        <f>'Income Eligible Deemed Table'!K767</f>
        <v>11</v>
      </c>
      <c r="Y460" s="55"/>
      <c r="Z460" s="55">
        <f t="shared" si="334"/>
        <v>11</v>
      </c>
      <c r="AA460" s="49">
        <f>'Income Eligible Deemed Table'!BB767</f>
        <v>2.3156568839285034</v>
      </c>
      <c r="AB460" s="698">
        <f>'Income Eligible Deemed Table'!L767</f>
        <v>3</v>
      </c>
      <c r="AC460" s="2582">
        <f t="shared" si="335"/>
        <v>6.5568387463761297</v>
      </c>
      <c r="AD460" s="2582">
        <f t="shared" si="328"/>
        <v>0</v>
      </c>
      <c r="AE460" s="1380">
        <f>'Income Eligible Deemed Table'!BD767</f>
        <v>6.5568387463761297</v>
      </c>
      <c r="AF460" s="571"/>
      <c r="AG460" s="571"/>
      <c r="AH460" s="571"/>
      <c r="AI460" s="2594" t="str">
        <f>'Income Eligible Deemed Table'!M767</f>
        <v>per measure</v>
      </c>
      <c r="AJ460" s="1589"/>
      <c r="AK460" s="84"/>
      <c r="AL460" s="84"/>
      <c r="AM460" s="1961">
        <f t="shared" si="341"/>
        <v>8.8731800000000003E-5</v>
      </c>
      <c r="AN460" s="84">
        <f t="shared" si="344"/>
        <v>1.5767640860000001E-3</v>
      </c>
      <c r="AO460" s="1965">
        <f t="shared" si="342"/>
        <v>-2.3591399999993955E-7</v>
      </c>
      <c r="AP460" s="84"/>
      <c r="AQ460" s="84"/>
      <c r="AR460" s="84"/>
      <c r="AS460" s="84"/>
      <c r="AT460" s="84"/>
      <c r="AU460" s="84"/>
      <c r="AV460" s="84"/>
    </row>
    <row r="461" spans="1:48" s="84" customFormat="1" x14ac:dyDescent="0.35">
      <c r="A461" s="103" t="str">
        <f t="shared" si="333"/>
        <v>403400</v>
      </c>
      <c r="B461" s="3346" t="str">
        <f>'Income Eligible Deemed Table'!C768</f>
        <v>403400_2019_12_</v>
      </c>
      <c r="C461" s="3343" t="str">
        <f>'Income Eligible Deemed Table'!G768</f>
        <v>Water heating RES</v>
      </c>
      <c r="D461" s="3343"/>
      <c r="E461" s="3343"/>
      <c r="F461" s="3343"/>
      <c r="G461" s="3343" t="str">
        <f>'Income Eligible Deemed Table'!E768</f>
        <v>Low Flow Bathroom Faucet Aerator MFIE DI</v>
      </c>
      <c r="H461" s="50" t="str">
        <f>'Income Eligible Deemed Table'!D768</f>
        <v>MFIE DI</v>
      </c>
      <c r="I461" s="1966">
        <f>'Income Eligible Deemed Table'!F768</f>
        <v>35.17</v>
      </c>
      <c r="J461" s="1966"/>
      <c r="K461" s="560"/>
      <c r="L461" s="560"/>
      <c r="M461" s="560"/>
      <c r="N461" s="560"/>
      <c r="O461" s="1967">
        <f>'Income Eligible Deemed Table'!J768</f>
        <v>3.1210000000000001E-3</v>
      </c>
      <c r="P461" s="1967"/>
      <c r="Q461" s="1968"/>
      <c r="R461" s="1968"/>
      <c r="S461" s="1968"/>
      <c r="T461" s="1968"/>
      <c r="U461" s="1969">
        <v>0</v>
      </c>
      <c r="V461" s="1969">
        <f t="shared" si="343"/>
        <v>3.1210000000000001E-3</v>
      </c>
      <c r="W461" s="1969">
        <v>0</v>
      </c>
      <c r="X461" s="55">
        <f>'Income Eligible Deemed Table'!K768</f>
        <v>11</v>
      </c>
      <c r="Y461" s="55"/>
      <c r="Z461" s="55">
        <f t="shared" si="334"/>
        <v>11</v>
      </c>
      <c r="AA461" s="49">
        <f>'Income Eligible Deemed Table'!BB768</f>
        <v>1.2135299376672726</v>
      </c>
      <c r="AB461" s="698">
        <f>'Income Eligible Deemed Table'!L768</f>
        <v>11.33</v>
      </c>
      <c r="AC461" s="2582">
        <f t="shared" si="335"/>
        <v>12.977153557121468</v>
      </c>
      <c r="AD461" s="2582">
        <f t="shared" si="328"/>
        <v>0</v>
      </c>
      <c r="AE461" s="1380">
        <f>'Income Eligible Deemed Table'!BD768</f>
        <v>12.977153557121468</v>
      </c>
      <c r="AF461" s="571"/>
      <c r="AG461" s="571"/>
      <c r="AH461" s="571"/>
      <c r="AI461" s="2594" t="str">
        <f>'Income Eligible Deemed Table'!M768</f>
        <v>per measure</v>
      </c>
      <c r="AJ461" s="141"/>
      <c r="AK461"/>
      <c r="AL461"/>
      <c r="AM461" s="1596">
        <f t="shared" si="341"/>
        <v>8.8731800000000003E-5</v>
      </c>
      <c r="AN461">
        <f t="shared" si="344"/>
        <v>3.1206974060000001E-3</v>
      </c>
      <c r="AO461" s="1595">
        <f t="shared" si="342"/>
        <v>-3.0259399999999631E-7</v>
      </c>
      <c r="AP461"/>
      <c r="AQ461"/>
      <c r="AR461"/>
      <c r="AS461"/>
      <c r="AT461"/>
      <c r="AU461"/>
      <c r="AV461"/>
    </row>
    <row r="462" spans="1:48" s="84" customFormat="1" x14ac:dyDescent="0.35">
      <c r="A462" s="103" t="str">
        <f t="shared" si="333"/>
        <v>403450</v>
      </c>
      <c r="B462" s="3346" t="str">
        <f>'Income Eligible Deemed Table'!C769</f>
        <v>403450_2019_12_</v>
      </c>
      <c r="C462" s="3343" t="str">
        <f>'Income Eligible Deemed Table'!G769</f>
        <v>Water heating RES</v>
      </c>
      <c r="D462" s="3343"/>
      <c r="E462" s="3343"/>
      <c r="F462" s="3343"/>
      <c r="G462" s="3343" t="str">
        <f>'Income Eligible Deemed Table'!E769</f>
        <v>Low Flow Bathroom Faucet Aerator SFIE DI</v>
      </c>
      <c r="H462" s="50" t="str">
        <f>'Income Eligible Deemed Table'!D769</f>
        <v>SFIE DI</v>
      </c>
      <c r="I462" s="1966">
        <f>'Income Eligible Deemed Table'!F769</f>
        <v>35.17</v>
      </c>
      <c r="J462" s="1966"/>
      <c r="K462" s="560"/>
      <c r="L462" s="560"/>
      <c r="M462" s="560"/>
      <c r="N462" s="560"/>
      <c r="O462" s="1967">
        <f>'Income Eligible Deemed Table'!J769</f>
        <v>3.1210000000000001E-3</v>
      </c>
      <c r="P462" s="1967"/>
      <c r="Q462" s="1968"/>
      <c r="R462" s="1968"/>
      <c r="S462" s="1968"/>
      <c r="T462" s="1968"/>
      <c r="U462" s="1969">
        <v>0</v>
      </c>
      <c r="V462" s="1969">
        <f t="shared" si="343"/>
        <v>3.1210000000000001E-3</v>
      </c>
      <c r="W462" s="1969">
        <v>0</v>
      </c>
      <c r="X462" s="55">
        <f>'Income Eligible Deemed Table'!K769</f>
        <v>11</v>
      </c>
      <c r="Y462" s="55"/>
      <c r="Z462" s="55">
        <f t="shared" si="334"/>
        <v>11</v>
      </c>
      <c r="AA462" s="49">
        <f>'Income Eligible Deemed Table'!BB769</f>
        <v>1.2135299376672726</v>
      </c>
      <c r="AB462" s="698">
        <f>'Income Eligible Deemed Table'!L769</f>
        <v>11.33</v>
      </c>
      <c r="AC462" s="2582">
        <f t="shared" si="335"/>
        <v>12.977153557121468</v>
      </c>
      <c r="AD462" s="2582">
        <f t="shared" si="328"/>
        <v>0</v>
      </c>
      <c r="AE462" s="1380">
        <f>'Income Eligible Deemed Table'!BD769</f>
        <v>12.977153557121468</v>
      </c>
      <c r="AF462" s="571"/>
      <c r="AG462" s="571"/>
      <c r="AH462" s="571"/>
      <c r="AI462" s="2594" t="str">
        <f>'Income Eligible Deemed Table'!M769</f>
        <v>per measure</v>
      </c>
      <c r="AJ462" s="141"/>
      <c r="AK462"/>
      <c r="AL462"/>
      <c r="AM462" s="1596">
        <f t="shared" si="341"/>
        <v>8.8731800000000003E-5</v>
      </c>
      <c r="AN462">
        <f t="shared" si="344"/>
        <v>3.1206974060000001E-3</v>
      </c>
      <c r="AO462" s="1595">
        <f t="shared" si="342"/>
        <v>-3.0259399999999631E-7</v>
      </c>
      <c r="AP462"/>
      <c r="AQ462"/>
      <c r="AR462"/>
      <c r="AS462"/>
      <c r="AT462"/>
      <c r="AU462"/>
      <c r="AV462"/>
    </row>
    <row r="463" spans="1:48" s="84" customFormat="1" x14ac:dyDescent="0.35">
      <c r="A463" s="103" t="str">
        <f t="shared" si="333"/>
        <v>403470</v>
      </c>
      <c r="B463" s="3346" t="str">
        <f>'Income Eligible Deemed Table'!C806</f>
        <v>403470_2020_12_</v>
      </c>
      <c r="C463" s="3343" t="str">
        <f>'Income Eligible Deemed Table'!G806</f>
        <v>Water Heating RES</v>
      </c>
      <c r="D463" s="3343"/>
      <c r="E463" s="3343"/>
      <c r="F463" s="3343"/>
      <c r="G463" s="3343" t="str">
        <f>'Income Eligible Deemed Table'!E806</f>
        <v>Low Flow Kitchen Faucet Aerator MFIE</v>
      </c>
      <c r="H463" s="50" t="str">
        <f>'Income Eligible Deemed Table'!D806</f>
        <v>MFIE</v>
      </c>
      <c r="I463" s="1966">
        <f>'Income Eligible Deemed Table'!F806</f>
        <v>46.75</v>
      </c>
      <c r="J463" s="1966"/>
      <c r="K463" s="560"/>
      <c r="L463" s="560"/>
      <c r="M463" s="560"/>
      <c r="N463" s="560"/>
      <c r="O463" s="1967">
        <f>'Income Eligible Deemed Table'!J806</f>
        <v>4.1479999999999998E-3</v>
      </c>
      <c r="P463" s="1967"/>
      <c r="Q463" s="1968"/>
      <c r="R463" s="1968"/>
      <c r="S463" s="1968"/>
      <c r="T463" s="1968"/>
      <c r="U463" s="1969">
        <v>0</v>
      </c>
      <c r="V463" s="1969">
        <f t="shared" si="343"/>
        <v>4.1479999999999998E-3</v>
      </c>
      <c r="W463" s="1969">
        <v>0</v>
      </c>
      <c r="X463" s="55">
        <f>'Income Eligible Deemed Table'!K806</f>
        <v>11</v>
      </c>
      <c r="Y463" s="55"/>
      <c r="Z463" s="55">
        <f t="shared" si="334"/>
        <v>11</v>
      </c>
      <c r="AA463" s="49">
        <f>'Income Eligible Deemed Table'!BB806</f>
        <v>6.0921192641337942</v>
      </c>
      <c r="AB463" s="698">
        <f>'Income Eligible Deemed Table'!L806</f>
        <v>3</v>
      </c>
      <c r="AC463" s="2582">
        <f t="shared" si="335"/>
        <v>17.249983758755434</v>
      </c>
      <c r="AD463" s="2582">
        <f t="shared" si="328"/>
        <v>0</v>
      </c>
      <c r="AE463" s="1380">
        <f>'Income Eligible Deemed Table'!BD806</f>
        <v>17.249983758755434</v>
      </c>
      <c r="AF463" s="571"/>
      <c r="AG463" s="571"/>
      <c r="AH463" s="571"/>
      <c r="AI463" s="2594" t="str">
        <f>'Income Eligible Deemed Table'!M806</f>
        <v>per measure</v>
      </c>
      <c r="AJ463" s="1589"/>
      <c r="AM463" s="1970">
        <f t="shared" si="341"/>
        <v>8.8731800000000003E-5</v>
      </c>
      <c r="AN463" s="84">
        <f t="shared" si="344"/>
        <v>4.1482116499999997E-3</v>
      </c>
      <c r="AO463" s="1965">
        <f t="shared" si="342"/>
        <v>2.1164999999996603E-7</v>
      </c>
    </row>
    <row r="464" spans="1:48" s="84" customFormat="1" x14ac:dyDescent="0.35">
      <c r="A464" s="103" t="str">
        <f t="shared" si="333"/>
        <v>403471</v>
      </c>
      <c r="B464" s="3346" t="str">
        <f>'Income Eligible Deemed Table'!C807</f>
        <v>403471_2020_12_</v>
      </c>
      <c r="C464" s="3343" t="str">
        <f>'Income Eligible Deemed Table'!G807</f>
        <v>Water Heating RES</v>
      </c>
      <c r="D464" s="3343"/>
      <c r="E464" s="3343"/>
      <c r="F464" s="3343"/>
      <c r="G464" s="3343" t="str">
        <f>'Income Eligible Deemed Table'!E807</f>
        <v>Low Flow Kitchen Faucet Aerator SFIE</v>
      </c>
      <c r="H464" s="50" t="str">
        <f>'Income Eligible Deemed Table'!D807</f>
        <v>SFIE</v>
      </c>
      <c r="I464" s="1966">
        <f>'Income Eligible Deemed Table'!F807</f>
        <v>46.75</v>
      </c>
      <c r="J464" s="1966"/>
      <c r="K464" s="560"/>
      <c r="L464" s="560"/>
      <c r="M464" s="560"/>
      <c r="N464" s="560"/>
      <c r="O464" s="1967">
        <f>'Income Eligible Deemed Table'!J807</f>
        <v>4.1479999999999998E-3</v>
      </c>
      <c r="P464" s="1967"/>
      <c r="Q464" s="1968"/>
      <c r="R464" s="1968"/>
      <c r="S464" s="1968"/>
      <c r="T464" s="1968"/>
      <c r="U464" s="1969">
        <v>0</v>
      </c>
      <c r="V464" s="1969">
        <f t="shared" si="343"/>
        <v>4.1479999999999998E-3</v>
      </c>
      <c r="W464" s="1969">
        <v>0</v>
      </c>
      <c r="X464" s="55">
        <f>'Income Eligible Deemed Table'!K807</f>
        <v>11</v>
      </c>
      <c r="Y464" s="55"/>
      <c r="Z464" s="55">
        <f t="shared" si="334"/>
        <v>11</v>
      </c>
      <c r="AA464" s="49">
        <f>'Income Eligible Deemed Table'!BB807</f>
        <v>6.0921192641337942</v>
      </c>
      <c r="AB464" s="698">
        <f>'Income Eligible Deemed Table'!L807</f>
        <v>3</v>
      </c>
      <c r="AC464" s="2582">
        <f t="shared" si="335"/>
        <v>17.249983758755434</v>
      </c>
      <c r="AD464" s="2582">
        <f t="shared" si="328"/>
        <v>0</v>
      </c>
      <c r="AE464" s="1380">
        <f>'Income Eligible Deemed Table'!BD807</f>
        <v>17.249983758755434</v>
      </c>
      <c r="AF464" s="571"/>
      <c r="AG464" s="571"/>
      <c r="AH464" s="571"/>
      <c r="AI464" s="2594" t="str">
        <f>'Income Eligible Deemed Table'!M807</f>
        <v>per measure</v>
      </c>
      <c r="AJ464" s="1589"/>
      <c r="AM464" s="1970">
        <f t="shared" si="341"/>
        <v>8.8731800000000003E-5</v>
      </c>
      <c r="AN464" s="84">
        <f t="shared" si="344"/>
        <v>4.1482116499999997E-3</v>
      </c>
      <c r="AO464" s="1965">
        <f t="shared" si="342"/>
        <v>2.1164999999996603E-7</v>
      </c>
    </row>
    <row r="465" spans="1:48" x14ac:dyDescent="0.35">
      <c r="A465" s="103" t="str">
        <f t="shared" si="333"/>
        <v>403480</v>
      </c>
      <c r="B465" s="3346" t="str">
        <f>'Income Eligible Deemed Table'!C808</f>
        <v>403480_2020_12_</v>
      </c>
      <c r="C465" s="3343" t="str">
        <f>'Income Eligible Deemed Table'!G808</f>
        <v>Water Heating RES</v>
      </c>
      <c r="D465" s="3343"/>
      <c r="E465" s="3343"/>
      <c r="F465" s="3343"/>
      <c r="G465" s="3343" t="str">
        <f>'Income Eligible Deemed Table'!E808</f>
        <v>Low Flow Kitchen Faucet Aerator MFIE DI</v>
      </c>
      <c r="H465" s="50" t="str">
        <f>'Income Eligible Deemed Table'!D808</f>
        <v>MFIE DI</v>
      </c>
      <c r="I465" s="1966">
        <f>'Income Eligible Deemed Table'!F808</f>
        <v>111.03</v>
      </c>
      <c r="J465" s="1966"/>
      <c r="K465" s="560"/>
      <c r="L465" s="560"/>
      <c r="M465" s="560"/>
      <c r="N465" s="560"/>
      <c r="O465" s="1967">
        <f>'Income Eligible Deemed Table'!J808</f>
        <v>9.8519999999999996E-3</v>
      </c>
      <c r="P465" s="1967"/>
      <c r="Q465" s="1968"/>
      <c r="R465" s="1968"/>
      <c r="S465" s="1968"/>
      <c r="T465" s="1968"/>
      <c r="U465" s="1969">
        <v>0</v>
      </c>
      <c r="V465" s="1969">
        <f t="shared" si="343"/>
        <v>9.8519999999999996E-3</v>
      </c>
      <c r="W465" s="1969">
        <v>0</v>
      </c>
      <c r="X465" s="55">
        <f>'Income Eligible Deemed Table'!K808</f>
        <v>11</v>
      </c>
      <c r="Y465" s="55"/>
      <c r="Z465" s="55">
        <f t="shared" si="334"/>
        <v>11</v>
      </c>
      <c r="AA465" s="49">
        <f>'Income Eligible Deemed Table'!BB808</f>
        <v>3.8310557002899426</v>
      </c>
      <c r="AB465" s="698">
        <f>'Income Eligible Deemed Table'!L808</f>
        <v>11.33</v>
      </c>
      <c r="AC465" s="2582">
        <f t="shared" si="335"/>
        <v>40.968250197531894</v>
      </c>
      <c r="AD465" s="2582">
        <f t="shared" si="328"/>
        <v>0</v>
      </c>
      <c r="AE465" s="1380">
        <f>'Income Eligible Deemed Table'!BD808</f>
        <v>40.968250197531894</v>
      </c>
      <c r="AF465" s="571"/>
      <c r="AG465" s="571"/>
      <c r="AH465" s="571"/>
      <c r="AI465" s="2594" t="str">
        <f>'Income Eligible Deemed Table'!M808</f>
        <v>per measure</v>
      </c>
      <c r="AJ465" s="1589"/>
      <c r="AK465" s="84"/>
      <c r="AL465" s="84"/>
      <c r="AM465" s="1961">
        <f t="shared" si="341"/>
        <v>8.8731800000000003E-5</v>
      </c>
      <c r="AN465" s="84">
        <f t="shared" si="344"/>
        <v>9.8518917540000011E-3</v>
      </c>
      <c r="AO465" s="1965">
        <f t="shared" si="342"/>
        <v>-1.0824599999854911E-7</v>
      </c>
      <c r="AP465" s="84"/>
      <c r="AQ465" s="84"/>
      <c r="AR465" s="84"/>
      <c r="AS465" s="84"/>
      <c r="AT465" s="84"/>
      <c r="AU465" s="84"/>
      <c r="AV465" s="84"/>
    </row>
    <row r="466" spans="1:48" x14ac:dyDescent="0.35">
      <c r="A466" s="103" t="str">
        <f t="shared" si="333"/>
        <v>403481</v>
      </c>
      <c r="B466" s="3346" t="str">
        <f>'Income Eligible Deemed Table'!C809</f>
        <v>403481_2020_12_</v>
      </c>
      <c r="C466" s="3343" t="str">
        <f>'Income Eligible Deemed Table'!G809</f>
        <v>Water Heating RES</v>
      </c>
      <c r="D466" s="3343"/>
      <c r="E466" s="3343"/>
      <c r="F466" s="3343"/>
      <c r="G466" s="3343" t="str">
        <f>'Income Eligible Deemed Table'!E809</f>
        <v>Low Flow Kitchen Faucet Aerator SFIE DI</v>
      </c>
      <c r="H466" s="50" t="str">
        <f>'Income Eligible Deemed Table'!D809</f>
        <v>SFIE DI</v>
      </c>
      <c r="I466" s="1966">
        <f>'Income Eligible Deemed Table'!F809</f>
        <v>111.03</v>
      </c>
      <c r="J466" s="1966"/>
      <c r="K466" s="560"/>
      <c r="L466" s="560"/>
      <c r="M466" s="560"/>
      <c r="N466" s="560"/>
      <c r="O466" s="1967">
        <f>'Income Eligible Deemed Table'!J809</f>
        <v>9.8519999999999996E-3</v>
      </c>
      <c r="P466" s="1967"/>
      <c r="Q466" s="1968"/>
      <c r="R466" s="1968"/>
      <c r="S466" s="1968"/>
      <c r="T466" s="1968"/>
      <c r="U466" s="1969">
        <v>0</v>
      </c>
      <c r="V466" s="1969">
        <f t="shared" si="343"/>
        <v>9.8519999999999996E-3</v>
      </c>
      <c r="W466" s="1969">
        <v>0</v>
      </c>
      <c r="X466" s="55">
        <f>'Income Eligible Deemed Table'!K809</f>
        <v>11</v>
      </c>
      <c r="Y466" s="55"/>
      <c r="Z466" s="55">
        <f t="shared" si="334"/>
        <v>11</v>
      </c>
      <c r="AA466" s="49">
        <f>'Income Eligible Deemed Table'!BB809</f>
        <v>3.8310557002899426</v>
      </c>
      <c r="AB466" s="698">
        <f>'Income Eligible Deemed Table'!L809</f>
        <v>11.33</v>
      </c>
      <c r="AC466" s="2582">
        <f t="shared" si="335"/>
        <v>40.968250197531894</v>
      </c>
      <c r="AD466" s="2582">
        <f t="shared" si="328"/>
        <v>0</v>
      </c>
      <c r="AE466" s="1380">
        <f>'Income Eligible Deemed Table'!BD809</f>
        <v>40.968250197531894</v>
      </c>
      <c r="AF466" s="571"/>
      <c r="AG466" s="571"/>
      <c r="AH466" s="571"/>
      <c r="AI466" s="2594" t="str">
        <f>'Income Eligible Deemed Table'!M809</f>
        <v>per measure</v>
      </c>
      <c r="AJ466" s="1589"/>
      <c r="AK466" s="84"/>
      <c r="AL466" s="84"/>
      <c r="AM466" s="1961">
        <f t="shared" si="341"/>
        <v>8.8731800000000003E-5</v>
      </c>
      <c r="AN466" s="84">
        <f t="shared" si="344"/>
        <v>9.8518917540000011E-3</v>
      </c>
      <c r="AO466" s="1965">
        <f t="shared" si="342"/>
        <v>-1.0824599999854911E-7</v>
      </c>
      <c r="AP466" s="84"/>
      <c r="AQ466" s="84"/>
      <c r="AR466" s="84"/>
      <c r="AS466" s="84"/>
      <c r="AT466" s="84"/>
      <c r="AU466" s="84"/>
      <c r="AV466" s="84"/>
    </row>
    <row r="467" spans="1:48" x14ac:dyDescent="0.35">
      <c r="A467" s="103" t="str">
        <f t="shared" si="333"/>
        <v>403500</v>
      </c>
      <c r="B467" s="3346" t="str">
        <f>'Income Eligible Deemed Table'!C845</f>
        <v>403500_2021_12_</v>
      </c>
      <c r="C467" s="3343" t="str">
        <f>'Income Eligible Deemed Table'!G845</f>
        <v>Water heating RES</v>
      </c>
      <c r="D467" s="3343"/>
      <c r="E467" s="3343"/>
      <c r="F467" s="3343"/>
      <c r="G467" s="3343" t="str">
        <f>'Income Eligible Deemed Table'!E845</f>
        <v>Low Flow Showerhead MFIE</v>
      </c>
      <c r="H467" s="50" t="str">
        <f>'Income Eligible Deemed Table'!D845</f>
        <v>MFIE</v>
      </c>
      <c r="I467" s="1966">
        <f>'Income Eligible Deemed Table'!F845</f>
        <v>220.38</v>
      </c>
      <c r="J467" s="1966"/>
      <c r="K467" s="560"/>
      <c r="L467" s="560"/>
      <c r="M467" s="560"/>
      <c r="N467" s="560"/>
      <c r="O467" s="1967">
        <f>'Income Eligible Deemed Table'!J845</f>
        <v>1.9554999999999999E-2</v>
      </c>
      <c r="P467" s="1967"/>
      <c r="Q467" s="1968"/>
      <c r="R467" s="1968"/>
      <c r="S467" s="1968"/>
      <c r="T467" s="1968"/>
      <c r="U467" s="1969">
        <v>0</v>
      </c>
      <c r="V467" s="1969">
        <f t="shared" si="343"/>
        <v>1.9554999999999999E-2</v>
      </c>
      <c r="W467" s="1969">
        <v>0</v>
      </c>
      <c r="X467" s="55">
        <f>'Income Eligible Deemed Table'!K845</f>
        <v>10</v>
      </c>
      <c r="Y467" s="55"/>
      <c r="Z467" s="55">
        <f t="shared" si="334"/>
        <v>10</v>
      </c>
      <c r="AA467" s="49">
        <f>'Income Eligible Deemed Table'!BB845</f>
        <v>11.252920914827145</v>
      </c>
      <c r="AB467" s="698">
        <f>'Income Eligible Deemed Table'!L845</f>
        <v>7</v>
      </c>
      <c r="AC467" s="2582">
        <f t="shared" si="335"/>
        <v>74.346811140906098</v>
      </c>
      <c r="AD467" s="2582">
        <f t="shared" si="328"/>
        <v>0</v>
      </c>
      <c r="AE467" s="1380">
        <f>'Income Eligible Deemed Table'!BD845</f>
        <v>74.346811140906098</v>
      </c>
      <c r="AF467" s="571"/>
      <c r="AG467" s="571"/>
      <c r="AH467" s="571"/>
      <c r="AI467" s="2594" t="str">
        <f>'Income Eligible Deemed Table'!M845</f>
        <v>per measure</v>
      </c>
      <c r="AJ467" s="141"/>
      <c r="AM467" s="1596">
        <f t="shared" si="341"/>
        <v>8.8731800000000003E-5</v>
      </c>
      <c r="AN467">
        <f t="shared" si="344"/>
        <v>1.9554714083999999E-2</v>
      </c>
      <c r="AO467" s="1595">
        <f t="shared" si="342"/>
        <v>-2.8591600000071882E-7</v>
      </c>
    </row>
    <row r="468" spans="1:48" x14ac:dyDescent="0.35">
      <c r="A468" s="103" t="str">
        <f t="shared" si="333"/>
        <v>403550</v>
      </c>
      <c r="B468" s="3346" t="str">
        <f>'Income Eligible Deemed Table'!C846</f>
        <v>403550_2021_12_</v>
      </c>
      <c r="C468" s="3343" t="str">
        <f>'Income Eligible Deemed Table'!G846</f>
        <v>Water heating RES</v>
      </c>
      <c r="D468" s="3343"/>
      <c r="E468" s="3348"/>
      <c r="F468" s="3343"/>
      <c r="G468" s="3343" t="str">
        <f>'Income Eligible Deemed Table'!E846</f>
        <v>Low Flow Showerhead MFIE DI</v>
      </c>
      <c r="H468" s="50" t="str">
        <f>'Income Eligible Deemed Table'!D846</f>
        <v>MFIE DI</v>
      </c>
      <c r="I468" s="1966">
        <f>'Income Eligible Deemed Table'!F846</f>
        <v>232.58</v>
      </c>
      <c r="J468" s="1966"/>
      <c r="K468" s="560"/>
      <c r="L468" s="560"/>
      <c r="M468" s="560"/>
      <c r="N468" s="560"/>
      <c r="O468" s="1967">
        <f>'Income Eligible Deemed Table'!J846</f>
        <v>2.0636999999999999E-2</v>
      </c>
      <c r="P468" s="1967"/>
      <c r="Q468" s="1968"/>
      <c r="R468" s="1968"/>
      <c r="S468" s="1968"/>
      <c r="T468" s="1968"/>
      <c r="U468" s="1969">
        <v>0</v>
      </c>
      <c r="V468" s="1969">
        <f t="shared" si="343"/>
        <v>2.0636999999999999E-2</v>
      </c>
      <c r="W468" s="1969">
        <v>0</v>
      </c>
      <c r="X468" s="55">
        <f>'Income Eligible Deemed Table'!K846</f>
        <v>10</v>
      </c>
      <c r="Y468" s="55"/>
      <c r="Z468" s="55">
        <f t="shared" si="334"/>
        <v>10</v>
      </c>
      <c r="AA468" s="49">
        <f>'Income Eligible Deemed Table'!BB846</f>
        <v>5.4227719293708496</v>
      </c>
      <c r="AB468" s="698">
        <f>'Income Eligible Deemed Table'!L846</f>
        <v>15.33</v>
      </c>
      <c r="AC468" s="2582">
        <f t="shared" si="335"/>
        <v>78.462570719447967</v>
      </c>
      <c r="AD468" s="2582">
        <f t="shared" si="328"/>
        <v>0</v>
      </c>
      <c r="AE468" s="1380">
        <f>'Income Eligible Deemed Table'!BD846</f>
        <v>78.462570719447967</v>
      </c>
      <c r="AF468" s="571"/>
      <c r="AG468" s="571"/>
      <c r="AH468" s="571"/>
      <c r="AI468" s="2594" t="str">
        <f>'Income Eligible Deemed Table'!M846</f>
        <v>per measure</v>
      </c>
      <c r="AJ468" s="141"/>
      <c r="AM468" s="1596">
        <f t="shared" si="341"/>
        <v>8.8731800000000003E-5</v>
      </c>
      <c r="AN468">
        <f t="shared" si="344"/>
        <v>2.0637242044000002E-2</v>
      </c>
      <c r="AO468" s="1595">
        <f t="shared" si="342"/>
        <v>2.4204400000255033E-7</v>
      </c>
    </row>
    <row r="469" spans="1:48" x14ac:dyDescent="0.35">
      <c r="A469" s="103" t="str">
        <f t="shared" si="333"/>
        <v>403551</v>
      </c>
      <c r="B469" s="3346" t="str">
        <f>'Income Eligible Deemed Table'!C847</f>
        <v>403551_2021_12_</v>
      </c>
      <c r="C469" s="3343" t="str">
        <f>'Income Eligible Deemed Table'!G847</f>
        <v>Water heating RES</v>
      </c>
      <c r="D469" s="3343"/>
      <c r="E469" s="3343"/>
      <c r="F469" s="3343"/>
      <c r="G469" s="3343" t="str">
        <f>'Income Eligible Deemed Table'!E847</f>
        <v>Low Flow Handheld Showerhead MFIE DI</v>
      </c>
      <c r="H469" s="50" t="str">
        <f>'Income Eligible Deemed Table'!D847</f>
        <v>MFIE DI</v>
      </c>
      <c r="I469" s="1966">
        <f>'Income Eligible Deemed Table'!F847</f>
        <v>232.58</v>
      </c>
      <c r="J469" s="1966"/>
      <c r="K469" s="560"/>
      <c r="L469" s="560"/>
      <c r="M469" s="560"/>
      <c r="N469" s="560"/>
      <c r="O469" s="1967">
        <f>'Income Eligible Deemed Table'!J847</f>
        <v>2.0636999999999999E-2</v>
      </c>
      <c r="P469" s="1967"/>
      <c r="Q469" s="1968"/>
      <c r="R469" s="1968"/>
      <c r="S469" s="1968"/>
      <c r="T469" s="1968"/>
      <c r="U469" s="1969">
        <v>0</v>
      </c>
      <c r="V469" s="1969">
        <f t="shared" si="343"/>
        <v>2.0636999999999999E-2</v>
      </c>
      <c r="W469" s="1969">
        <v>0</v>
      </c>
      <c r="X469" s="55">
        <f>'Income Eligible Deemed Table'!K847</f>
        <v>10</v>
      </c>
      <c r="Y469" s="55"/>
      <c r="Z469" s="55">
        <f t="shared" si="334"/>
        <v>10</v>
      </c>
      <c r="AA469" s="49">
        <f>'Income Eligible Deemed Table'!BB847</f>
        <v>3.5602181446361936</v>
      </c>
      <c r="AB469" s="698">
        <f>'Income Eligible Deemed Table'!L847</f>
        <v>23.35</v>
      </c>
      <c r="AC469" s="2582">
        <f t="shared" si="335"/>
        <v>78.462570719447967</v>
      </c>
      <c r="AD469" s="2582">
        <f t="shared" si="328"/>
        <v>0</v>
      </c>
      <c r="AE469" s="1380">
        <f>'Income Eligible Deemed Table'!BD847</f>
        <v>78.462570719447967</v>
      </c>
      <c r="AF469" s="571"/>
      <c r="AG469" s="571"/>
      <c r="AH469" s="571"/>
      <c r="AI469" s="2594" t="str">
        <f>'Income Eligible Deemed Table'!M847</f>
        <v>per measure</v>
      </c>
      <c r="AJ469" s="141"/>
      <c r="AM469" s="1596">
        <f t="shared" si="341"/>
        <v>8.8731800000000003E-5</v>
      </c>
      <c r="AN469">
        <f t="shared" si="344"/>
        <v>2.0637242044000002E-2</v>
      </c>
      <c r="AO469" s="1595">
        <f t="shared" si="342"/>
        <v>2.4204400000255033E-7</v>
      </c>
    </row>
    <row r="470" spans="1:48" x14ac:dyDescent="0.35">
      <c r="A470" s="103" t="str">
        <f t="shared" si="333"/>
        <v>403600</v>
      </c>
      <c r="B470" s="3346" t="str">
        <f>'Income Eligible Deemed Table'!C848</f>
        <v>403600_2021_12_</v>
      </c>
      <c r="C470" s="3343" t="str">
        <f>'Income Eligible Deemed Table'!G848</f>
        <v>Water heating RES</v>
      </c>
      <c r="D470" s="3343"/>
      <c r="E470" s="3343"/>
      <c r="F470" s="3343"/>
      <c r="G470" s="3343" t="str">
        <f>'Income Eligible Deemed Table'!E848</f>
        <v>Low Flow Showerhead SFIE DI</v>
      </c>
      <c r="H470" s="50" t="str">
        <f>'Income Eligible Deemed Table'!D848</f>
        <v>SFIE DI</v>
      </c>
      <c r="I470" s="1966">
        <f>'Income Eligible Deemed Table'!F848</f>
        <v>194.77</v>
      </c>
      <c r="J470" s="1966"/>
      <c r="K470" s="560"/>
      <c r="L470" s="560"/>
      <c r="M470" s="560"/>
      <c r="N470" s="560"/>
      <c r="O470" s="1967">
        <f>'Income Eligible Deemed Table'!J848</f>
        <v>1.7281999999999999E-2</v>
      </c>
      <c r="P470" s="1967"/>
      <c r="Q470" s="1968"/>
      <c r="R470" s="1968"/>
      <c r="S470" s="1968"/>
      <c r="T470" s="1968"/>
      <c r="U470" s="1969">
        <v>0</v>
      </c>
      <c r="V470" s="1969">
        <f t="shared" si="343"/>
        <v>1.7281999999999999E-2</v>
      </c>
      <c r="W470" s="1969">
        <v>0</v>
      </c>
      <c r="X470" s="55">
        <f>'Income Eligible Deemed Table'!K848</f>
        <v>10</v>
      </c>
      <c r="Y470" s="55"/>
      <c r="Z470" s="55">
        <f t="shared" si="334"/>
        <v>10</v>
      </c>
      <c r="AA470" s="49">
        <f>'Income Eligible Deemed Table'!BB848</f>
        <v>4.5412042681381051</v>
      </c>
      <c r="AB470" s="698">
        <f>'Income Eligible Deemed Table'!L848</f>
        <v>15.33</v>
      </c>
      <c r="AC470" s="2582">
        <f t="shared" si="335"/>
        <v>65.707089599393242</v>
      </c>
      <c r="AD470" s="2582">
        <f t="shared" si="328"/>
        <v>0</v>
      </c>
      <c r="AE470" s="1380">
        <f>'Income Eligible Deemed Table'!BD848</f>
        <v>65.707089599393242</v>
      </c>
      <c r="AF470" s="571"/>
      <c r="AG470" s="571"/>
      <c r="AH470" s="571"/>
      <c r="AI470" s="2594" t="str">
        <f>'Income Eligible Deemed Table'!M848</f>
        <v>per measure</v>
      </c>
      <c r="AJ470" s="141"/>
      <c r="AM470" s="1596">
        <f t="shared" si="341"/>
        <v>8.8731800000000003E-5</v>
      </c>
      <c r="AN470">
        <f t="shared" si="344"/>
        <v>1.7282292686000001E-2</v>
      </c>
      <c r="AO470" s="1595">
        <f t="shared" si="342"/>
        <v>2.9268600000229017E-7</v>
      </c>
    </row>
    <row r="471" spans="1:48" x14ac:dyDescent="0.35">
      <c r="A471" s="103" t="str">
        <f t="shared" si="333"/>
        <v>403601</v>
      </c>
      <c r="B471" s="3346" t="str">
        <f>'Income Eligible Deemed Table'!C849</f>
        <v>403601_2021_12_</v>
      </c>
      <c r="C471" s="3343" t="str">
        <f>'Income Eligible Deemed Table'!G849</f>
        <v>Water heating RES</v>
      </c>
      <c r="D471" s="3343"/>
      <c r="E471" s="3343"/>
      <c r="F471" s="3343"/>
      <c r="G471" s="3343" t="str">
        <f>'Income Eligible Deemed Table'!E849</f>
        <v>Low Flow Handheld Showerhead SFIE DI</v>
      </c>
      <c r="H471" s="50" t="str">
        <f>'Income Eligible Deemed Table'!D849</f>
        <v>SFIE DI</v>
      </c>
      <c r="I471" s="1966">
        <f>'Income Eligible Deemed Table'!F849</f>
        <v>194.77</v>
      </c>
      <c r="J471" s="1966"/>
      <c r="K471" s="560"/>
      <c r="L471" s="560"/>
      <c r="M471" s="560"/>
      <c r="N471" s="560"/>
      <c r="O471" s="1967">
        <f>'Income Eligible Deemed Table'!J849</f>
        <v>1.7281999999999999E-2</v>
      </c>
      <c r="P471" s="1967"/>
      <c r="Q471" s="1968"/>
      <c r="R471" s="1968"/>
      <c r="S471" s="1968"/>
      <c r="T471" s="1968"/>
      <c r="U471" s="1969">
        <v>0</v>
      </c>
      <c r="V471" s="1969">
        <f t="shared" si="343"/>
        <v>1.7281999999999999E-2</v>
      </c>
      <c r="W471" s="1969">
        <v>0</v>
      </c>
      <c r="X471" s="55">
        <f>'Income Eligible Deemed Table'!K849</f>
        <v>10</v>
      </c>
      <c r="Y471" s="55"/>
      <c r="Z471" s="55">
        <f t="shared" si="334"/>
        <v>10</v>
      </c>
      <c r="AA471" s="49">
        <f>'Income Eligible Deemed Table'!BB849</f>
        <v>2.981441603021719</v>
      </c>
      <c r="AB471" s="698">
        <f>'Income Eligible Deemed Table'!L849</f>
        <v>23.35</v>
      </c>
      <c r="AC471" s="2582">
        <f t="shared" si="335"/>
        <v>65.707089599393242</v>
      </c>
      <c r="AD471" s="2582">
        <f t="shared" si="328"/>
        <v>0</v>
      </c>
      <c r="AE471" s="1380">
        <f>'Income Eligible Deemed Table'!BD849</f>
        <v>65.707089599393242</v>
      </c>
      <c r="AF471" s="571"/>
      <c r="AG471" s="571"/>
      <c r="AH471" s="571"/>
      <c r="AI471" s="2594" t="str">
        <f>'Income Eligible Deemed Table'!M849</f>
        <v>per measure</v>
      </c>
      <c r="AJ471" s="141"/>
      <c r="AM471" s="1596">
        <f t="shared" si="341"/>
        <v>8.8731800000000003E-5</v>
      </c>
      <c r="AN471">
        <f t="shared" si="344"/>
        <v>1.7282292686000001E-2</v>
      </c>
      <c r="AO471" s="1595">
        <f t="shared" si="342"/>
        <v>2.9268600000229017E-7</v>
      </c>
    </row>
    <row r="472" spans="1:48" x14ac:dyDescent="0.35">
      <c r="A472" s="103" t="str">
        <f t="shared" si="333"/>
        <v>403650</v>
      </c>
      <c r="B472" s="3346" t="str">
        <f>'Income Eligible Deemed Table'!C890</f>
        <v>403650_2019_12_</v>
      </c>
      <c r="C472" s="3343" t="str">
        <f>'Income Eligible Deemed Table'!G890</f>
        <v>Water heating RES</v>
      </c>
      <c r="D472" s="3343"/>
      <c r="E472" s="3343"/>
      <c r="F472" s="3343"/>
      <c r="G472" s="3343" t="str">
        <f>'Income Eligible Deemed Table'!E890</f>
        <v>Pipe Insulation MFIE</v>
      </c>
      <c r="H472" s="50" t="str">
        <f>'Income Eligible Deemed Table'!D890</f>
        <v>MFIE</v>
      </c>
      <c r="I472" s="1966">
        <f>'Income Eligible Deemed Table'!F890</f>
        <v>4.6399999999999997</v>
      </c>
      <c r="J472" s="1966"/>
      <c r="K472" s="560"/>
      <c r="L472" s="560"/>
      <c r="M472" s="560"/>
      <c r="N472" s="560"/>
      <c r="O472" s="1967">
        <f>'Income Eligible Deemed Table'!I890</f>
        <v>4.1199999999999999E-4</v>
      </c>
      <c r="P472" s="1967"/>
      <c r="Q472" s="1968"/>
      <c r="R472" s="1968"/>
      <c r="S472" s="1968"/>
      <c r="T472" s="1968"/>
      <c r="U472" s="1969">
        <v>0</v>
      </c>
      <c r="V472" s="1969">
        <f t="shared" si="343"/>
        <v>4.1199999999999999E-4</v>
      </c>
      <c r="W472" s="1969">
        <v>0</v>
      </c>
      <c r="X472" s="55">
        <f>'Income Eligible Deemed Table'!J890</f>
        <v>12</v>
      </c>
      <c r="Y472" s="55"/>
      <c r="Z472" s="55">
        <f t="shared" si="334"/>
        <v>12</v>
      </c>
      <c r="AA472" s="49">
        <f>'Income Eligible Deemed Table'!BB890</f>
        <v>0.27638106926823569</v>
      </c>
      <c r="AB472" s="698">
        <f>'Income Eligible Deemed Table'!K890</f>
        <v>7.1</v>
      </c>
      <c r="AC472" s="2582">
        <f t="shared" si="335"/>
        <v>1.852105324968828</v>
      </c>
      <c r="AD472" s="2582">
        <f t="shared" si="328"/>
        <v>0</v>
      </c>
      <c r="AE472" s="1380">
        <f>'Income Eligible Deemed Table'!BD890</f>
        <v>1.852105324968828</v>
      </c>
      <c r="AF472" s="571"/>
      <c r="AG472" s="571"/>
      <c r="AH472" s="571"/>
      <c r="AI472" s="3346" t="str">
        <f>'Income Eligible Deemed Table'!L890</f>
        <v>per foot</v>
      </c>
      <c r="AJ472" s="141"/>
      <c r="AM472" s="1596">
        <f t="shared" si="341"/>
        <v>8.8731800000000003E-5</v>
      </c>
      <c r="AN472">
        <f t="shared" si="344"/>
        <v>4.1171555199999996E-4</v>
      </c>
      <c r="AO472" s="1595">
        <f t="shared" si="342"/>
        <v>-2.8444800000002523E-7</v>
      </c>
    </row>
    <row r="473" spans="1:48" x14ac:dyDescent="0.35">
      <c r="A473" s="103" t="str">
        <f t="shared" si="333"/>
        <v>403700</v>
      </c>
      <c r="B473" s="3346" t="str">
        <f>'Income Eligible Deemed Table'!C891</f>
        <v>403700_2019_12_</v>
      </c>
      <c r="C473" s="3343" t="str">
        <f>'Income Eligible Deemed Table'!G891</f>
        <v>Water heating RES</v>
      </c>
      <c r="D473" s="3343"/>
      <c r="E473" s="3343"/>
      <c r="F473" s="3343"/>
      <c r="G473" s="3343" t="str">
        <f>'Income Eligible Deemed Table'!E891</f>
        <v>Pipe Insulation MFIE DI</v>
      </c>
      <c r="H473" s="50" t="str">
        <f>'Income Eligible Deemed Table'!D891</f>
        <v>MFIE DI</v>
      </c>
      <c r="I473" s="1966">
        <f>'Income Eligible Deemed Table'!F891</f>
        <v>4.6399999999999997</v>
      </c>
      <c r="J473" s="1966"/>
      <c r="K473" s="560"/>
      <c r="L473" s="560"/>
      <c r="M473" s="560"/>
      <c r="N473" s="560"/>
      <c r="O473" s="1967">
        <f>'Income Eligible Deemed Table'!I891</f>
        <v>4.1199999999999999E-4</v>
      </c>
      <c r="P473" s="1967"/>
      <c r="Q473" s="1968"/>
      <c r="R473" s="1968"/>
      <c r="S473" s="1968"/>
      <c r="T473" s="1968"/>
      <c r="U473" s="1969">
        <v>0</v>
      </c>
      <c r="V473" s="1969">
        <f t="shared" si="343"/>
        <v>4.1199999999999999E-4</v>
      </c>
      <c r="W473" s="1969">
        <v>0</v>
      </c>
      <c r="X473" s="55">
        <f>'Income Eligible Deemed Table'!J891</f>
        <v>12</v>
      </c>
      <c r="Y473" s="55"/>
      <c r="Z473" s="55">
        <f t="shared" si="334"/>
        <v>12</v>
      </c>
      <c r="AA473" s="49">
        <f>'Income Eligible Deemed Table'!BB891</f>
        <v>0.34669710102552537</v>
      </c>
      <c r="AB473" s="698">
        <f>'Income Eligible Deemed Table'!K891</f>
        <v>5.66</v>
      </c>
      <c r="AC473" s="2582">
        <f t="shared" si="335"/>
        <v>1.852105324968828</v>
      </c>
      <c r="AD473" s="2582">
        <f t="shared" si="328"/>
        <v>0</v>
      </c>
      <c r="AE473" s="1380">
        <f>'Income Eligible Deemed Table'!BD891</f>
        <v>1.852105324968828</v>
      </c>
      <c r="AF473" s="571"/>
      <c r="AG473" s="571"/>
      <c r="AH473" s="571"/>
      <c r="AI473" s="3346" t="str">
        <f>'Income Eligible Deemed Table'!L891</f>
        <v>per foot</v>
      </c>
      <c r="AJ473" s="141"/>
      <c r="AM473" s="1596">
        <f t="shared" si="341"/>
        <v>8.8731800000000003E-5</v>
      </c>
      <c r="AN473">
        <f t="shared" si="344"/>
        <v>4.1171555199999996E-4</v>
      </c>
      <c r="AO473" s="1595">
        <f t="shared" si="342"/>
        <v>-2.8444800000002523E-7</v>
      </c>
    </row>
    <row r="474" spans="1:48" x14ac:dyDescent="0.35">
      <c r="A474" s="103" t="str">
        <f t="shared" si="333"/>
        <v>403750</v>
      </c>
      <c r="B474" s="3346" t="str">
        <f>'Income Eligible Deemed Table'!C892</f>
        <v>403750_2019_12_</v>
      </c>
      <c r="C474" s="3343" t="str">
        <f>'Income Eligible Deemed Table'!G892</f>
        <v>Water heating RES</v>
      </c>
      <c r="D474" s="3343"/>
      <c r="E474" s="3343"/>
      <c r="F474" s="3343"/>
      <c r="G474" s="3343" t="str">
        <f>'Income Eligible Deemed Table'!E892</f>
        <v>Pipe Insulation SFIE DI</v>
      </c>
      <c r="H474" s="50" t="str">
        <f>'Income Eligible Deemed Table'!D892</f>
        <v>SFIE DI</v>
      </c>
      <c r="I474" s="1966">
        <f>'Income Eligible Deemed Table'!F892</f>
        <v>4.6399999999999997</v>
      </c>
      <c r="J474" s="1966"/>
      <c r="K474" s="560"/>
      <c r="L474" s="560"/>
      <c r="M474" s="560"/>
      <c r="N474" s="560"/>
      <c r="O474" s="1967">
        <f>'Income Eligible Deemed Table'!I892</f>
        <v>4.1199999999999999E-4</v>
      </c>
      <c r="P474" s="1967"/>
      <c r="Q474" s="1968"/>
      <c r="R474" s="1968"/>
      <c r="S474" s="1968"/>
      <c r="T474" s="1968"/>
      <c r="U474" s="1969">
        <v>0</v>
      </c>
      <c r="V474" s="1969">
        <f t="shared" si="343"/>
        <v>4.1199999999999999E-4</v>
      </c>
      <c r="W474" s="1969">
        <v>0</v>
      </c>
      <c r="X474" s="55">
        <f>'Income Eligible Deemed Table'!J892</f>
        <v>12</v>
      </c>
      <c r="Y474" s="55"/>
      <c r="Z474" s="55">
        <f t="shared" si="334"/>
        <v>12</v>
      </c>
      <c r="AA474" s="49">
        <f>'Income Eligible Deemed Table'!BB892</f>
        <v>0.34669710102552537</v>
      </c>
      <c r="AB474" s="698">
        <f>'Income Eligible Deemed Table'!K892</f>
        <v>5.66</v>
      </c>
      <c r="AC474" s="2582">
        <f t="shared" si="335"/>
        <v>1.852105324968828</v>
      </c>
      <c r="AD474" s="2582">
        <f t="shared" si="328"/>
        <v>0</v>
      </c>
      <c r="AE474" s="1380">
        <f>'Income Eligible Deemed Table'!BD892</f>
        <v>1.852105324968828</v>
      </c>
      <c r="AF474" s="571"/>
      <c r="AG474" s="571"/>
      <c r="AH474" s="571"/>
      <c r="AI474" s="3346" t="str">
        <f>'Income Eligible Deemed Table'!L892</f>
        <v>per foot</v>
      </c>
      <c r="AJ474" s="141"/>
      <c r="AM474" s="1596">
        <f t="shared" si="341"/>
        <v>8.8731800000000003E-5</v>
      </c>
      <c r="AN474">
        <f t="shared" si="344"/>
        <v>4.1171555199999996E-4</v>
      </c>
      <c r="AO474" s="1595">
        <f t="shared" si="342"/>
        <v>-2.8444800000002523E-7</v>
      </c>
    </row>
    <row r="475" spans="1:48" x14ac:dyDescent="0.35">
      <c r="A475" s="103" t="str">
        <f t="shared" si="333"/>
        <v>403800</v>
      </c>
      <c r="B475" s="3346" t="str">
        <f>'Income Eligible Deemed Table'!C920</f>
        <v>403800_2019_12_</v>
      </c>
      <c r="C475" s="3343" t="str">
        <f>'Income Eligible Deemed Table'!G920</f>
        <v>Cooling RES</v>
      </c>
      <c r="D475" s="3343" t="str">
        <f>'Income Eligible Deemed Table'!G921</f>
        <v>Heating RES</v>
      </c>
      <c r="E475" s="3343"/>
      <c r="F475" s="3343"/>
      <c r="G475" s="3343" t="str">
        <f>'Income Eligible Deemed Table'!E920</f>
        <v>Setback thermostat - full setback - ASHP heating/cooling MF</v>
      </c>
      <c r="H475" s="50" t="str">
        <f>'Income Eligible Deemed Table'!D920</f>
        <v>MFIE</v>
      </c>
      <c r="I475" s="1966">
        <f t="shared" ref="I475:I486" si="345">K475+L475</f>
        <v>231.76</v>
      </c>
      <c r="J475" s="1966">
        <f t="shared" ref="J475:J486" si="346">M475+N475</f>
        <v>0</v>
      </c>
      <c r="K475" s="560">
        <f>'Income Eligible Deemed Table'!F920</f>
        <v>201.39</v>
      </c>
      <c r="L475" s="560">
        <f>'Income Eligible Deemed Table'!F921</f>
        <v>30.37</v>
      </c>
      <c r="M475" s="560"/>
      <c r="N475" s="560"/>
      <c r="O475" s="1967">
        <f t="shared" ref="O475:O486" si="347">Q475+R475</f>
        <v>0.190801</v>
      </c>
      <c r="P475" s="1967">
        <f t="shared" ref="P475:P486" si="348">S475+T475</f>
        <v>0</v>
      </c>
      <c r="Q475" s="1968">
        <f>'Income Eligible Deemed Table'!I920</f>
        <v>0.190801</v>
      </c>
      <c r="R475" s="1968">
        <f>'Income Eligible Deemed Table'!I921</f>
        <v>0</v>
      </c>
      <c r="S475" s="1968"/>
      <c r="T475" s="1968"/>
      <c r="U475" s="1969">
        <v>0</v>
      </c>
      <c r="V475" s="1969">
        <f t="shared" si="343"/>
        <v>0.190801</v>
      </c>
      <c r="W475" s="1969">
        <v>0</v>
      </c>
      <c r="X475" s="55">
        <f>'Income Eligible Deemed Table'!J920</f>
        <v>10</v>
      </c>
      <c r="Y475" s="55"/>
      <c r="Z475" s="55">
        <f t="shared" si="334"/>
        <v>10</v>
      </c>
      <c r="AA475" s="49">
        <f>'Income Eligible Deemed Table'!BB920</f>
        <v>3.3642215802874156</v>
      </c>
      <c r="AB475" s="698">
        <f>'Income Eligible Deemed Table'!K920</f>
        <v>70</v>
      </c>
      <c r="AC475" s="2582">
        <f t="shared" si="335"/>
        <v>222.27042059473249</v>
      </c>
      <c r="AD475" s="2582">
        <f t="shared" si="328"/>
        <v>0</v>
      </c>
      <c r="AE475" s="1380">
        <f>'Income Eligible Deemed Table'!BD920</f>
        <v>214.15916447690813</v>
      </c>
      <c r="AF475" s="571">
        <f>'Income Eligible Deemed Table'!BD921</f>
        <v>8.1112561178243485</v>
      </c>
      <c r="AG475" s="571"/>
      <c r="AH475" s="571"/>
      <c r="AI475" s="3346" t="str">
        <f>'Income Eligible Deemed Table'!L920</f>
        <v>per measure</v>
      </c>
      <c r="AJ475" s="141"/>
      <c r="AM475" s="1596">
        <f t="shared" si="341"/>
        <v>9.4741810000000004E-4</v>
      </c>
      <c r="AN475" s="84">
        <f t="shared" ref="AN475:AN480" si="349">AM475*K475</f>
        <v>0.190800531159</v>
      </c>
      <c r="AO475" s="1595">
        <f t="shared" si="342"/>
        <v>-4.6884099999533468E-7</v>
      </c>
    </row>
    <row r="476" spans="1:48" x14ac:dyDescent="0.35">
      <c r="A476" s="103" t="str">
        <f t="shared" si="333"/>
        <v>403801</v>
      </c>
      <c r="B476" s="3346" t="str">
        <f>'Income Eligible Deemed Table'!C922</f>
        <v>403801_2019_12_</v>
      </c>
      <c r="C476" s="3343" t="str">
        <f>'Income Eligible Deemed Table'!G922</f>
        <v>Cooling RES</v>
      </c>
      <c r="D476" s="3343" t="str">
        <f>'Income Eligible Deemed Table'!G923</f>
        <v>Heating RES</v>
      </c>
      <c r="E476" s="3343"/>
      <c r="F476" s="3343"/>
      <c r="G476" s="3343" t="str">
        <f>'Income Eligible Deemed Table'!E922</f>
        <v>Setback thermostat - full setback - ASHP heating/cooling MF_CompE</v>
      </c>
      <c r="H476" s="50" t="str">
        <f>'Income Eligible Deemed Table'!D922</f>
        <v>MFIEc</v>
      </c>
      <c r="I476" s="1966">
        <f t="shared" si="345"/>
        <v>156.81</v>
      </c>
      <c r="J476" s="1966">
        <f t="shared" si="346"/>
        <v>0</v>
      </c>
      <c r="K476" s="560">
        <f>'Income Eligible Deemed Table'!F922</f>
        <v>146.46</v>
      </c>
      <c r="L476" s="560">
        <f>'Income Eligible Deemed Table'!F923</f>
        <v>10.35</v>
      </c>
      <c r="M476" s="560"/>
      <c r="N476" s="560"/>
      <c r="O476" s="1967">
        <f t="shared" si="347"/>
        <v>0.13875899999999999</v>
      </c>
      <c r="P476" s="1967">
        <f t="shared" si="348"/>
        <v>0</v>
      </c>
      <c r="Q476" s="1968">
        <f>'Income Eligible Deemed Table'!I922</f>
        <v>0.13875899999999999</v>
      </c>
      <c r="R476" s="1968">
        <f>'Income Eligible Deemed Table'!I923</f>
        <v>0</v>
      </c>
      <c r="S476" s="1968"/>
      <c r="T476" s="1968"/>
      <c r="U476" s="1969">
        <v>0</v>
      </c>
      <c r="V476" s="1969">
        <f t="shared" si="343"/>
        <v>0.13875899999999999</v>
      </c>
      <c r="W476" s="1969">
        <v>0</v>
      </c>
      <c r="X476" s="55">
        <f>'Income Eligible Deemed Table'!J922</f>
        <v>10</v>
      </c>
      <c r="Y476" s="55"/>
      <c r="Z476" s="55">
        <f t="shared" si="334"/>
        <v>10</v>
      </c>
      <c r="AA476" s="49">
        <f>'Income Eligible Deemed Table'!BB922</f>
        <v>2.3991712992643883</v>
      </c>
      <c r="AB476" s="698">
        <f>'Income Eligible Deemed Table'!K922</f>
        <v>70</v>
      </c>
      <c r="AC476" s="2582">
        <f t="shared" si="335"/>
        <v>158.5106096729657</v>
      </c>
      <c r="AD476" s="2582">
        <f t="shared" si="328"/>
        <v>0</v>
      </c>
      <c r="AE476" s="1380">
        <f>'Income Eligible Deemed Table'!BD922</f>
        <v>155.74631922780659</v>
      </c>
      <c r="AF476" s="571">
        <f>'Income Eligible Deemed Table'!BD923</f>
        <v>2.7642904451591042</v>
      </c>
      <c r="AG476" s="571"/>
      <c r="AH476" s="571"/>
      <c r="AI476" s="3346" t="str">
        <f>'Income Eligible Deemed Table'!L922</f>
        <v>per measure</v>
      </c>
      <c r="AJ476" s="141"/>
      <c r="AM476" s="1596">
        <f t="shared" si="341"/>
        <v>9.4741810000000004E-4</v>
      </c>
      <c r="AN476" s="84">
        <f t="shared" si="349"/>
        <v>0.13875885492600001</v>
      </c>
      <c r="AO476" s="1595">
        <f t="shared" si="342"/>
        <v>-1.4507399997976123E-7</v>
      </c>
    </row>
    <row r="477" spans="1:48" x14ac:dyDescent="0.35">
      <c r="A477" s="103" t="str">
        <f t="shared" si="333"/>
        <v>403850</v>
      </c>
      <c r="B477" s="3346" t="str">
        <f>'Income Eligible Deemed Table'!C924</f>
        <v>403850_2019_12_</v>
      </c>
      <c r="C477" s="3343" t="str">
        <f>'Income Eligible Deemed Table'!G924</f>
        <v>Cooling RES</v>
      </c>
      <c r="D477" s="3343" t="str">
        <f>'Income Eligible Deemed Table'!G925</f>
        <v>Heating RES</v>
      </c>
      <c r="E477" s="3343"/>
      <c r="F477" s="3343"/>
      <c r="G477" s="3343" t="str">
        <f>'Income Eligible Deemed Table'!E924</f>
        <v>Setback thermostat - full setback - ASHP heating/cooling SF</v>
      </c>
      <c r="H477" s="50" t="str">
        <f>'Income Eligible Deemed Table'!D924</f>
        <v>SFIE</v>
      </c>
      <c r="I477" s="1966">
        <f t="shared" si="345"/>
        <v>445.58</v>
      </c>
      <c r="J477" s="1966">
        <f t="shared" si="346"/>
        <v>0</v>
      </c>
      <c r="K477" s="560">
        <f>'Income Eligible Deemed Table'!F924</f>
        <v>358.2</v>
      </c>
      <c r="L477" s="560">
        <f>'Income Eligible Deemed Table'!F925</f>
        <v>87.38</v>
      </c>
      <c r="M477" s="560"/>
      <c r="N477" s="560"/>
      <c r="O477" s="1967">
        <f t="shared" si="347"/>
        <v>0.33936500000000003</v>
      </c>
      <c r="P477" s="1967">
        <f t="shared" si="348"/>
        <v>0</v>
      </c>
      <c r="Q477" s="1968">
        <f>'Income Eligible Deemed Table'!I924</f>
        <v>0.33936500000000003</v>
      </c>
      <c r="R477" s="1968">
        <f>'Income Eligible Deemed Table'!I925</f>
        <v>0</v>
      </c>
      <c r="S477" s="1968"/>
      <c r="T477" s="1968"/>
      <c r="U477" s="1969">
        <v>0</v>
      </c>
      <c r="V477" s="1969">
        <f t="shared" si="343"/>
        <v>0.33936500000000003</v>
      </c>
      <c r="W477" s="1969">
        <v>0</v>
      </c>
      <c r="X477" s="55">
        <f>'Income Eligible Deemed Table'!J924</f>
        <v>10</v>
      </c>
      <c r="Y477" s="55"/>
      <c r="Z477" s="55">
        <f t="shared" si="334"/>
        <v>10</v>
      </c>
      <c r="AA477" s="49">
        <f>'Income Eligible Deemed Table'!BB924</f>
        <v>6.1186016407815496</v>
      </c>
      <c r="AB477" s="698">
        <f>'Income Eligible Deemed Table'!K924</f>
        <v>70</v>
      </c>
      <c r="AC477" s="2582">
        <f t="shared" si="335"/>
        <v>404.24928254337749</v>
      </c>
      <c r="AD477" s="2582">
        <f t="shared" si="328"/>
        <v>0</v>
      </c>
      <c r="AE477" s="1380">
        <f>'Income Eligible Deemed Table'!BD924</f>
        <v>380.91172707497145</v>
      </c>
      <c r="AF477" s="571">
        <f>'Income Eligible Deemed Table'!BD925</f>
        <v>23.337555468406041</v>
      </c>
      <c r="AG477" s="571"/>
      <c r="AH477" s="571"/>
      <c r="AI477" s="3346" t="str">
        <f>'Income Eligible Deemed Table'!L924</f>
        <v>per measure</v>
      </c>
      <c r="AJ477" s="141"/>
      <c r="AM477" s="1596">
        <f t="shared" si="341"/>
        <v>9.4741810000000004E-4</v>
      </c>
      <c r="AN477" s="84">
        <f t="shared" si="349"/>
        <v>0.33936516342</v>
      </c>
      <c r="AO477" s="1595">
        <f t="shared" si="342"/>
        <v>1.6341999997671053E-7</v>
      </c>
    </row>
    <row r="478" spans="1:48" x14ac:dyDescent="0.35">
      <c r="A478" s="103" t="str">
        <f t="shared" si="333"/>
        <v>403900</v>
      </c>
      <c r="B478" s="3346" t="str">
        <f>'Income Eligible Deemed Table'!C926</f>
        <v>403900_2019_12_</v>
      </c>
      <c r="C478" s="3343" t="str">
        <f>'Income Eligible Deemed Table'!G926</f>
        <v>Cooling RES</v>
      </c>
      <c r="D478" s="3343" t="str">
        <f>'Income Eligible Deemed Table'!G927</f>
        <v>Heating RES</v>
      </c>
      <c r="E478" s="3343"/>
      <c r="F478" s="3343"/>
      <c r="G478" s="3343" t="str">
        <f>'Income Eligible Deemed Table'!E926</f>
        <v>Setback thermostat - full setback - elec furnace heating / central AC MF</v>
      </c>
      <c r="H478" s="50" t="str">
        <f>'Income Eligible Deemed Table'!D926</f>
        <v>MFIE</v>
      </c>
      <c r="I478" s="1966">
        <f t="shared" si="345"/>
        <v>263.71999999999997</v>
      </c>
      <c r="J478" s="1966">
        <f t="shared" si="346"/>
        <v>0</v>
      </c>
      <c r="K478" s="560">
        <f>'Income Eligible Deemed Table'!F926</f>
        <v>201.39</v>
      </c>
      <c r="L478" s="560">
        <f>'Income Eligible Deemed Table'!F927</f>
        <v>62.33</v>
      </c>
      <c r="M478" s="560"/>
      <c r="N478" s="560"/>
      <c r="O478" s="1967">
        <f t="shared" si="347"/>
        <v>0.190801</v>
      </c>
      <c r="P478" s="1967">
        <f t="shared" si="348"/>
        <v>0</v>
      </c>
      <c r="Q478" s="1968">
        <f>'Income Eligible Deemed Table'!I926</f>
        <v>0.190801</v>
      </c>
      <c r="R478" s="1968">
        <f>'Income Eligible Deemed Table'!I927</f>
        <v>0</v>
      </c>
      <c r="S478" s="1968"/>
      <c r="T478" s="1968"/>
      <c r="U478" s="1969">
        <v>0</v>
      </c>
      <c r="V478" s="1969">
        <f t="shared" si="343"/>
        <v>0.190801</v>
      </c>
      <c r="W478" s="1969">
        <v>0</v>
      </c>
      <c r="X478" s="55">
        <f>'Income Eligible Deemed Table'!J926</f>
        <v>10</v>
      </c>
      <c r="Y478" s="55"/>
      <c r="Z478" s="55">
        <f t="shared" si="334"/>
        <v>10</v>
      </c>
      <c r="AA478" s="49">
        <f>'Income Eligible Deemed Table'!BB926</f>
        <v>3.4934187543710706</v>
      </c>
      <c r="AB478" s="698">
        <f>'Income Eligible Deemed Table'!K926</f>
        <v>70</v>
      </c>
      <c r="AC478" s="2582">
        <f t="shared" si="335"/>
        <v>230.80633582442184</v>
      </c>
      <c r="AD478" s="2582">
        <f t="shared" si="328"/>
        <v>0</v>
      </c>
      <c r="AE478" s="1380">
        <f>'Income Eligible Deemed Table'!BD926</f>
        <v>214.15916447690813</v>
      </c>
      <c r="AF478" s="571">
        <f>'Income Eligible Deemed Table'!BD927</f>
        <v>16.647171347513716</v>
      </c>
      <c r="AG478" s="571"/>
      <c r="AH478" s="571"/>
      <c r="AI478" s="3346" t="str">
        <f>'Income Eligible Deemed Table'!L926</f>
        <v>per measure</v>
      </c>
      <c r="AJ478" s="141"/>
      <c r="AM478" s="1596">
        <f t="shared" si="341"/>
        <v>9.4741810000000004E-4</v>
      </c>
      <c r="AN478" s="84">
        <f t="shared" si="349"/>
        <v>0.190800531159</v>
      </c>
      <c r="AO478" s="1595">
        <f t="shared" si="342"/>
        <v>-4.6884099999533468E-7</v>
      </c>
    </row>
    <row r="479" spans="1:48" x14ac:dyDescent="0.35">
      <c r="A479" s="103" t="str">
        <f t="shared" si="333"/>
        <v>403901</v>
      </c>
      <c r="B479" s="3346" t="str">
        <f>'Income Eligible Deemed Table'!C928</f>
        <v>403901_2019_12_</v>
      </c>
      <c r="C479" s="3343" t="str">
        <f>'Income Eligible Deemed Table'!G928</f>
        <v>Cooling RES</v>
      </c>
      <c r="D479" s="3343" t="str">
        <f>'Income Eligible Deemed Table'!G929</f>
        <v>Heating RES</v>
      </c>
      <c r="E479" s="3343"/>
      <c r="F479" s="3343"/>
      <c r="G479" s="3343" t="str">
        <f>'Income Eligible Deemed Table'!E928</f>
        <v>Setback thermostat - full setback - elec furnace heating / central AC MF_CompE</v>
      </c>
      <c r="H479" s="50" t="str">
        <f>'Income Eligible Deemed Table'!D928</f>
        <v>MFIEc</v>
      </c>
      <c r="I479" s="1966">
        <f t="shared" si="345"/>
        <v>167.71</v>
      </c>
      <c r="J479" s="1966">
        <f t="shared" si="346"/>
        <v>0</v>
      </c>
      <c r="K479" s="560">
        <f>'Income Eligible Deemed Table'!F928</f>
        <v>146.46</v>
      </c>
      <c r="L479" s="560">
        <f>'Income Eligible Deemed Table'!F929</f>
        <v>21.25</v>
      </c>
      <c r="M479" s="560"/>
      <c r="N479" s="560"/>
      <c r="O479" s="1967">
        <f t="shared" si="347"/>
        <v>0.13875899999999999</v>
      </c>
      <c r="P479" s="1967">
        <f t="shared" si="348"/>
        <v>0</v>
      </c>
      <c r="Q479" s="1968">
        <f>'Income Eligible Deemed Table'!I928</f>
        <v>0.13875899999999999</v>
      </c>
      <c r="R479" s="1968">
        <f>'Income Eligible Deemed Table'!I929</f>
        <v>0</v>
      </c>
      <c r="S479" s="1968"/>
      <c r="T479" s="1968"/>
      <c r="U479" s="1969">
        <v>0</v>
      </c>
      <c r="V479" s="1969">
        <f t="shared" si="343"/>
        <v>0.13875899999999999</v>
      </c>
      <c r="W479" s="1969">
        <v>0</v>
      </c>
      <c r="X479" s="55">
        <f>'Income Eligible Deemed Table'!J928</f>
        <v>10</v>
      </c>
      <c r="Y479" s="55"/>
      <c r="Z479" s="55">
        <f t="shared" si="334"/>
        <v>10</v>
      </c>
      <c r="AA479" s="49">
        <f>'Income Eligible Deemed Table'!BB928</f>
        <v>2.4432341652691392</v>
      </c>
      <c r="AB479" s="698">
        <f>'Income Eligible Deemed Table'!K928</f>
        <v>70</v>
      </c>
      <c r="AC479" s="2582">
        <f t="shared" si="335"/>
        <v>161.42179477946175</v>
      </c>
      <c r="AD479" s="2582">
        <f t="shared" si="328"/>
        <v>0</v>
      </c>
      <c r="AE479" s="1380">
        <f>'Income Eligible Deemed Table'!BD928</f>
        <v>155.74631922780659</v>
      </c>
      <c r="AF479" s="571">
        <f>'Income Eligible Deemed Table'!BD929</f>
        <v>5.6754755516551656</v>
      </c>
      <c r="AG479" s="571"/>
      <c r="AH479" s="571"/>
      <c r="AI479" s="3346" t="str">
        <f>'Income Eligible Deemed Table'!L928</f>
        <v>per measure</v>
      </c>
      <c r="AJ479" s="141"/>
      <c r="AM479" s="1596">
        <f t="shared" si="341"/>
        <v>9.4741810000000004E-4</v>
      </c>
      <c r="AN479" s="84">
        <f t="shared" si="349"/>
        <v>0.13875885492600001</v>
      </c>
      <c r="AO479" s="1595">
        <f t="shared" si="342"/>
        <v>-1.4507399997976123E-7</v>
      </c>
    </row>
    <row r="480" spans="1:48" x14ac:dyDescent="0.35">
      <c r="A480" s="103" t="str">
        <f t="shared" si="333"/>
        <v>403950</v>
      </c>
      <c r="B480" s="3346" t="str">
        <f>'Income Eligible Deemed Table'!C930</f>
        <v>403950_2019_12_</v>
      </c>
      <c r="C480" s="3343" t="str">
        <f>'Income Eligible Deemed Table'!G930</f>
        <v>Cooling RES</v>
      </c>
      <c r="D480" s="3343" t="str">
        <f>'Income Eligible Deemed Table'!G931</f>
        <v>Heating RES</v>
      </c>
      <c r="E480" s="3343"/>
      <c r="F480" s="3343"/>
      <c r="G480" s="3343" t="str">
        <f>'Income Eligible Deemed Table'!E930</f>
        <v>Setback thermostat - full setback - elec furnace heating / central AC SF</v>
      </c>
      <c r="H480" s="50" t="str">
        <f>'Income Eligible Deemed Table'!D930</f>
        <v>SFIE</v>
      </c>
      <c r="I480" s="1966">
        <f t="shared" si="345"/>
        <v>506.83</v>
      </c>
      <c r="J480" s="1966">
        <f t="shared" si="346"/>
        <v>0</v>
      </c>
      <c r="K480" s="560">
        <f>'Income Eligible Deemed Table'!F930</f>
        <v>358.2</v>
      </c>
      <c r="L480" s="560">
        <f>'Income Eligible Deemed Table'!F931</f>
        <v>148.63</v>
      </c>
      <c r="M480" s="560"/>
      <c r="N480" s="560"/>
      <c r="O480" s="1967">
        <f t="shared" si="347"/>
        <v>0.33936500000000003</v>
      </c>
      <c r="P480" s="1967">
        <f t="shared" si="348"/>
        <v>0</v>
      </c>
      <c r="Q480" s="1968">
        <f>'Income Eligible Deemed Table'!I930</f>
        <v>0.33936500000000003</v>
      </c>
      <c r="R480" s="1968">
        <f>'Income Eligible Deemed Table'!I931</f>
        <v>0</v>
      </c>
      <c r="S480" s="1968"/>
      <c r="T480" s="1968"/>
      <c r="U480" s="1969">
        <v>0</v>
      </c>
      <c r="V480" s="1969">
        <f t="shared" si="343"/>
        <v>0.33936500000000003</v>
      </c>
      <c r="W480" s="1969">
        <v>0</v>
      </c>
      <c r="X480" s="55">
        <f>'Income Eligible Deemed Table'!J930</f>
        <v>10</v>
      </c>
      <c r="Y480" s="55"/>
      <c r="Z480" s="55">
        <f t="shared" si="334"/>
        <v>10</v>
      </c>
      <c r="AA480" s="49">
        <f>'Income Eligible Deemed Table'!BB930</f>
        <v>6.3662026080100826</v>
      </c>
      <c r="AB480" s="698">
        <f>'Income Eligible Deemed Table'!K930</f>
        <v>70</v>
      </c>
      <c r="AC480" s="2582">
        <f t="shared" si="335"/>
        <v>420.60800619226592</v>
      </c>
      <c r="AD480" s="2582">
        <f t="shared" ref="AD480:AD543" si="350">AG480+AH480</f>
        <v>0</v>
      </c>
      <c r="AE480" s="1380">
        <f>'Income Eligible Deemed Table'!BD930</f>
        <v>380.91172707497145</v>
      </c>
      <c r="AF480" s="571">
        <f>'Income Eligible Deemed Table'!BD931</f>
        <v>39.696279117294459</v>
      </c>
      <c r="AG480" s="571"/>
      <c r="AH480" s="571"/>
      <c r="AI480" s="3346" t="str">
        <f>'Income Eligible Deemed Table'!L930</f>
        <v>per measure</v>
      </c>
      <c r="AJ480" s="141"/>
      <c r="AM480" s="1596">
        <f t="shared" si="341"/>
        <v>9.4741810000000004E-4</v>
      </c>
      <c r="AN480" s="84">
        <f t="shared" si="349"/>
        <v>0.33936516342</v>
      </c>
      <c r="AO480" s="1595">
        <f t="shared" si="342"/>
        <v>1.6341999997671053E-7</v>
      </c>
    </row>
    <row r="481" spans="1:48" x14ac:dyDescent="0.35">
      <c r="A481" s="103" t="str">
        <f t="shared" si="333"/>
        <v>404000</v>
      </c>
      <c r="B481" s="3346" t="str">
        <f>'Income Eligible Deemed Table'!C932</f>
        <v>404000_2019_12_</v>
      </c>
      <c r="C481" s="3343" t="str">
        <f>'Income Eligible Deemed Table'!G932</f>
        <v>Cooling RES</v>
      </c>
      <c r="D481" s="3343" t="str">
        <f>'Income Eligible Deemed Table'!G933</f>
        <v>Heating RES</v>
      </c>
      <c r="E481" s="3343"/>
      <c r="F481" s="3343"/>
      <c r="G481" s="3343" t="str">
        <f>'Income Eligible Deemed Table'!E932</f>
        <v>Setback thermostat - full setback - gas heating / central AC MF</v>
      </c>
      <c r="H481" s="50" t="str">
        <f>'Income Eligible Deemed Table'!D932</f>
        <v>MFIE</v>
      </c>
      <c r="I481" s="1966">
        <f t="shared" si="345"/>
        <v>201.38901200000001</v>
      </c>
      <c r="J481" s="1966">
        <f t="shared" si="346"/>
        <v>0</v>
      </c>
      <c r="K481" s="560">
        <f>'Income Eligible Deemed Table'!F932</f>
        <v>201.38901200000001</v>
      </c>
      <c r="L481" s="560">
        <f>'Income Eligible Deemed Table'!F933</f>
        <v>0</v>
      </c>
      <c r="M481" s="560"/>
      <c r="N481" s="560"/>
      <c r="O481" s="1967">
        <f t="shared" si="347"/>
        <v>0.1908</v>
      </c>
      <c r="P481" s="1967">
        <f t="shared" si="348"/>
        <v>0</v>
      </c>
      <c r="Q481" s="1968">
        <f>'Income Eligible Deemed Table'!I932</f>
        <v>0.1908</v>
      </c>
      <c r="R481" s="1968">
        <f>'Income Eligible Deemed Table'!I933</f>
        <v>0</v>
      </c>
      <c r="S481" s="1968"/>
      <c r="T481" s="1968"/>
      <c r="U481" s="1969">
        <v>0</v>
      </c>
      <c r="V481" s="1969">
        <f t="shared" si="343"/>
        <v>0.1908</v>
      </c>
      <c r="W481" s="1969">
        <v>0</v>
      </c>
      <c r="X481" s="55">
        <f>'Income Eligible Deemed Table'!J932</f>
        <v>10</v>
      </c>
      <c r="Y481" s="55"/>
      <c r="Z481" s="55">
        <f t="shared" si="334"/>
        <v>10</v>
      </c>
      <c r="AA481" s="49">
        <f>'Income Eligible Deemed Table'!BB932</f>
        <v>3.2414360229379149</v>
      </c>
      <c r="AB481" s="698">
        <f>'Income Eligible Deemed Table'!K932</f>
        <v>70</v>
      </c>
      <c r="AC481" s="2582">
        <f t="shared" si="335"/>
        <v>214.15811383261351</v>
      </c>
      <c r="AD481" s="2582">
        <f t="shared" si="350"/>
        <v>0</v>
      </c>
      <c r="AE481" s="1380">
        <f>'Income Eligible Deemed Table'!BD932</f>
        <v>214.15811383261351</v>
      </c>
      <c r="AF481" s="571">
        <f>'Income Eligible Deemed Table'!BD933</f>
        <v>0</v>
      </c>
      <c r="AG481" s="571"/>
      <c r="AH481" s="571"/>
      <c r="AI481" s="3346" t="str">
        <f>'Income Eligible Deemed Table'!L932</f>
        <v>per measure</v>
      </c>
      <c r="AJ481" s="141"/>
      <c r="AM481" s="1596">
        <f t="shared" si="341"/>
        <v>9.4741810000000004E-4</v>
      </c>
      <c r="AN481">
        <f>AM481*I481</f>
        <v>0.1907995951099172</v>
      </c>
      <c r="AO481" s="1595">
        <f t="shared" si="342"/>
        <v>-4.0489008279465111E-7</v>
      </c>
    </row>
    <row r="482" spans="1:48" x14ac:dyDescent="0.35">
      <c r="A482" s="103" t="str">
        <f t="shared" si="333"/>
        <v>404001</v>
      </c>
      <c r="B482" s="3346" t="str">
        <f>'Income Eligible Deemed Table'!C934</f>
        <v>404001_2019_12_</v>
      </c>
      <c r="C482" s="3343" t="str">
        <f>'Income Eligible Deemed Table'!G934</f>
        <v>Cooling RES</v>
      </c>
      <c r="D482" s="3343" t="str">
        <f>'Income Eligible Deemed Table'!G935</f>
        <v>Heating RES</v>
      </c>
      <c r="E482" s="3343"/>
      <c r="F482" s="3343"/>
      <c r="G482" s="3343" t="str">
        <f>'Income Eligible Deemed Table'!E934</f>
        <v>Setback thermostat - full setback - gas heating / central AC MF_CompE</v>
      </c>
      <c r="H482" s="50" t="str">
        <f>'Income Eligible Deemed Table'!D934</f>
        <v>MFIEc</v>
      </c>
      <c r="I482" s="1966">
        <f t="shared" si="345"/>
        <v>146.46473600000002</v>
      </c>
      <c r="J482" s="1966">
        <f t="shared" si="346"/>
        <v>0</v>
      </c>
      <c r="K482" s="560">
        <f>'Income Eligible Deemed Table'!F934</f>
        <v>146.46473600000002</v>
      </c>
      <c r="L482" s="560">
        <f>'Income Eligible Deemed Table'!F935</f>
        <v>0</v>
      </c>
      <c r="M482" s="560"/>
      <c r="N482" s="560"/>
      <c r="O482" s="1967">
        <f t="shared" si="347"/>
        <v>0.138763</v>
      </c>
      <c r="P482" s="1967">
        <f t="shared" si="348"/>
        <v>0</v>
      </c>
      <c r="Q482" s="1968">
        <f>'Income Eligible Deemed Table'!I934</f>
        <v>0.138763</v>
      </c>
      <c r="R482" s="1968">
        <f>'Income Eligible Deemed Table'!I935</f>
        <v>0</v>
      </c>
      <c r="S482" s="1968"/>
      <c r="T482" s="1968"/>
      <c r="U482" s="1969">
        <v>0</v>
      </c>
      <c r="V482" s="1969">
        <f t="shared" si="343"/>
        <v>0.138763</v>
      </c>
      <c r="W482" s="1969">
        <v>0</v>
      </c>
      <c r="X482" s="55">
        <f>'Income Eligible Deemed Table'!J934</f>
        <v>10</v>
      </c>
      <c r="Y482" s="55"/>
      <c r="Z482" s="55">
        <f t="shared" si="334"/>
        <v>10</v>
      </c>
      <c r="AA482" s="49">
        <f>'Income Eligible Deemed Table'!BB934</f>
        <v>2.3574080166821201</v>
      </c>
      <c r="AB482" s="698">
        <f>'Income Eligible Deemed Table'!K934</f>
        <v>70</v>
      </c>
      <c r="AC482" s="2582">
        <f t="shared" si="335"/>
        <v>155.75135551462802</v>
      </c>
      <c r="AD482" s="2582">
        <f t="shared" si="350"/>
        <v>0</v>
      </c>
      <c r="AE482" s="1380">
        <f>'Income Eligible Deemed Table'!BD934</f>
        <v>155.75135551462802</v>
      </c>
      <c r="AF482" s="571">
        <f>'Income Eligible Deemed Table'!BD935</f>
        <v>0</v>
      </c>
      <c r="AG482" s="571"/>
      <c r="AH482" s="571"/>
      <c r="AI482" s="3346" t="str">
        <f>'Income Eligible Deemed Table'!L934</f>
        <v>per measure</v>
      </c>
      <c r="AJ482" s="141"/>
      <c r="AM482" s="1596">
        <f t="shared" si="341"/>
        <v>9.4741810000000004E-4</v>
      </c>
      <c r="AN482">
        <f>AM482*I482</f>
        <v>0.13876334189812162</v>
      </c>
      <c r="AO482" s="1595">
        <f t="shared" si="342"/>
        <v>3.4189812161966593E-7</v>
      </c>
    </row>
    <row r="483" spans="1:48" x14ac:dyDescent="0.35">
      <c r="A483" s="103" t="str">
        <f t="shared" si="333"/>
        <v>404050</v>
      </c>
      <c r="B483" s="3346" t="str">
        <f>'Income Eligible Deemed Table'!C936</f>
        <v>404050_2019_12_</v>
      </c>
      <c r="C483" s="3343" t="str">
        <f>'Income Eligible Deemed Table'!G936</f>
        <v>Cooling RES</v>
      </c>
      <c r="D483" s="3343" t="str">
        <f>'Income Eligible Deemed Table'!G937</f>
        <v>Heating RES</v>
      </c>
      <c r="E483" s="3343"/>
      <c r="F483" s="3343"/>
      <c r="G483" s="3343" t="str">
        <f>'Income Eligible Deemed Table'!E936</f>
        <v>Setback thermostat for SF - full setback - gas heating / central AC </v>
      </c>
      <c r="H483" s="50" t="str">
        <f>'Income Eligible Deemed Table'!D936</f>
        <v>SFIE</v>
      </c>
      <c r="I483" s="1966">
        <f t="shared" si="345"/>
        <v>358.2</v>
      </c>
      <c r="J483" s="1966">
        <f t="shared" si="346"/>
        <v>0</v>
      </c>
      <c r="K483" s="560">
        <f>'Income Eligible Deemed Table'!F936</f>
        <v>358.2</v>
      </c>
      <c r="L483" s="560">
        <f>'Income Eligible Deemed Table'!F937</f>
        <v>0</v>
      </c>
      <c r="M483" s="560"/>
      <c r="N483" s="560"/>
      <c r="O483" s="1967">
        <f t="shared" si="347"/>
        <v>0.33936500000000003</v>
      </c>
      <c r="P483" s="1967">
        <f t="shared" si="348"/>
        <v>0</v>
      </c>
      <c r="Q483" s="1968">
        <f>'Income Eligible Deemed Table'!I936</f>
        <v>0.33936500000000003</v>
      </c>
      <c r="R483" s="1968">
        <f>'Income Eligible Deemed Table'!I937</f>
        <v>0</v>
      </c>
      <c r="S483" s="1968"/>
      <c r="T483" s="1968"/>
      <c r="U483" s="1969">
        <v>0</v>
      </c>
      <c r="V483" s="1969">
        <f t="shared" si="343"/>
        <v>0.33936500000000003</v>
      </c>
      <c r="W483" s="1969">
        <v>0</v>
      </c>
      <c r="X483" s="55">
        <f>'Income Eligible Deemed Table'!J936</f>
        <v>10</v>
      </c>
      <c r="Y483" s="55"/>
      <c r="Z483" s="55">
        <f t="shared" si="334"/>
        <v>10</v>
      </c>
      <c r="AA483" s="49">
        <f>'Income Eligible Deemed Table'!BB936</f>
        <v>5.7653710690847468</v>
      </c>
      <c r="AB483" s="698">
        <f>'Income Eligible Deemed Table'!K936</f>
        <v>70</v>
      </c>
      <c r="AC483" s="2582">
        <f t="shared" si="335"/>
        <v>380.91172707497145</v>
      </c>
      <c r="AD483" s="2582">
        <f t="shared" si="350"/>
        <v>0</v>
      </c>
      <c r="AE483" s="1380">
        <f>'Income Eligible Deemed Table'!BD936</f>
        <v>380.91172707497145</v>
      </c>
      <c r="AF483" s="571">
        <f>'Income Eligible Deemed Table'!BD937</f>
        <v>0</v>
      </c>
      <c r="AG483" s="571"/>
      <c r="AH483" s="571"/>
      <c r="AI483" s="3346" t="str">
        <f>'Income Eligible Deemed Table'!L936</f>
        <v>per measure</v>
      </c>
      <c r="AJ483" s="141"/>
      <c r="AM483" s="1596">
        <f t="shared" si="341"/>
        <v>9.4741810000000004E-4</v>
      </c>
      <c r="AN483">
        <f>AM483*I483</f>
        <v>0.33936516342</v>
      </c>
      <c r="AO483" s="1595">
        <f t="shared" si="342"/>
        <v>1.6341999997671053E-7</v>
      </c>
    </row>
    <row r="484" spans="1:48" x14ac:dyDescent="0.35">
      <c r="A484" s="103" t="str">
        <f t="shared" si="333"/>
        <v>404100</v>
      </c>
      <c r="B484" s="3346" t="str">
        <f>'Income Eligible Deemed Table'!C938</f>
        <v>404100_2019_12_</v>
      </c>
      <c r="C484" s="3343" t="str">
        <f>'Income Eligible Deemed Table'!G938</f>
        <v>Cooling RES</v>
      </c>
      <c r="D484" s="3343" t="str">
        <f>'Income Eligible Deemed Table'!G939</f>
        <v>Heating RES</v>
      </c>
      <c r="E484" s="3343"/>
      <c r="F484" s="3343"/>
      <c r="G484" s="3343" t="str">
        <f>'Income Eligible Deemed Table'!E938</f>
        <v>Setback thermostat - full setback - Unknown MF</v>
      </c>
      <c r="H484" s="50" t="str">
        <f>'Income Eligible Deemed Table'!D938</f>
        <v>MFIE</v>
      </c>
      <c r="I484" s="1966">
        <f t="shared" si="345"/>
        <v>216.88</v>
      </c>
      <c r="J484" s="1966">
        <f t="shared" si="346"/>
        <v>0</v>
      </c>
      <c r="K484" s="560">
        <f>'Income Eligible Deemed Table'!F938</f>
        <v>201.39</v>
      </c>
      <c r="L484" s="560">
        <f>'Income Eligible Deemed Table'!F939</f>
        <v>15.49</v>
      </c>
      <c r="M484" s="560"/>
      <c r="N484" s="560"/>
      <c r="O484" s="1967">
        <f t="shared" si="347"/>
        <v>0.190801</v>
      </c>
      <c r="P484" s="1967">
        <f t="shared" si="348"/>
        <v>0</v>
      </c>
      <c r="Q484" s="1968">
        <f>'Income Eligible Deemed Table'!I938</f>
        <v>0.190801</v>
      </c>
      <c r="R484" s="1968">
        <f>'Income Eligible Deemed Table'!I939</f>
        <v>0</v>
      </c>
      <c r="S484" s="1968"/>
      <c r="T484" s="1968"/>
      <c r="U484" s="1969">
        <v>0</v>
      </c>
      <c r="V484" s="1969">
        <f t="shared" si="343"/>
        <v>0.190801</v>
      </c>
      <c r="W484" s="1969">
        <v>0</v>
      </c>
      <c r="X484" s="55">
        <f>'Income Eligible Deemed Table'!J938</f>
        <v>10</v>
      </c>
      <c r="Y484" s="55"/>
      <c r="Z484" s="55">
        <f t="shared" si="334"/>
        <v>10</v>
      </c>
      <c r="AA484" s="49">
        <f>'Income Eligible Deemed Table'!BB938</f>
        <v>3.3040697044937732</v>
      </c>
      <c r="AB484" s="698">
        <f>'Income Eligible Deemed Table'!K938</f>
        <v>70</v>
      </c>
      <c r="AC484" s="2582">
        <f t="shared" si="335"/>
        <v>218.2962523025617</v>
      </c>
      <c r="AD484" s="2582">
        <f t="shared" si="350"/>
        <v>0</v>
      </c>
      <c r="AE484" s="1380">
        <f>'Income Eligible Deemed Table'!BD938</f>
        <v>214.15916447690813</v>
      </c>
      <c r="AF484" s="571">
        <f>'Income Eligible Deemed Table'!BD939</f>
        <v>4.1370878256535777</v>
      </c>
      <c r="AG484" s="571"/>
      <c r="AH484" s="571"/>
      <c r="AI484" s="3346" t="str">
        <f>'Income Eligible Deemed Table'!L938</f>
        <v>per measure</v>
      </c>
      <c r="AJ484" s="141"/>
      <c r="AM484" s="1596">
        <f t="shared" si="341"/>
        <v>9.4741810000000004E-4</v>
      </c>
      <c r="AN484" s="84">
        <f>AM484*K484</f>
        <v>0.190800531159</v>
      </c>
      <c r="AO484" s="1595">
        <f t="shared" si="342"/>
        <v>-4.6884099999533468E-7</v>
      </c>
    </row>
    <row r="485" spans="1:48" x14ac:dyDescent="0.35">
      <c r="A485" s="103" t="str">
        <f t="shared" si="333"/>
        <v>404101</v>
      </c>
      <c r="B485" s="3346" t="str">
        <f>'Income Eligible Deemed Table'!C940</f>
        <v>404101_2019_12_</v>
      </c>
      <c r="C485" s="3343" t="str">
        <f>'Income Eligible Deemed Table'!G940</f>
        <v>Cooling RES</v>
      </c>
      <c r="D485" s="3343" t="str">
        <f>'Income Eligible Deemed Table'!G941</f>
        <v>Heating RES</v>
      </c>
      <c r="E485" s="3343"/>
      <c r="F485" s="3343"/>
      <c r="G485" s="3343" t="str">
        <f>'Income Eligible Deemed Table'!E940</f>
        <v>Setback thermostat - full setback - Unknown MF_CompE</v>
      </c>
      <c r="H485" s="50" t="str">
        <f>'Income Eligible Deemed Table'!D940</f>
        <v>MFIEc</v>
      </c>
      <c r="I485" s="1966">
        <f t="shared" si="345"/>
        <v>151.74</v>
      </c>
      <c r="J485" s="1966">
        <f t="shared" si="346"/>
        <v>0</v>
      </c>
      <c r="K485" s="560">
        <f>'Income Eligible Deemed Table'!F940</f>
        <v>146.46</v>
      </c>
      <c r="L485" s="560">
        <f>'Income Eligible Deemed Table'!F941</f>
        <v>5.28</v>
      </c>
      <c r="M485" s="560"/>
      <c r="N485" s="560"/>
      <c r="O485" s="1967">
        <f t="shared" si="347"/>
        <v>0.13875899999999999</v>
      </c>
      <c r="P485" s="1967">
        <f t="shared" si="348"/>
        <v>0</v>
      </c>
      <c r="Q485" s="1968">
        <f>'Income Eligible Deemed Table'!I940</f>
        <v>0.13875899999999999</v>
      </c>
      <c r="R485" s="1968">
        <f>'Income Eligible Deemed Table'!I941</f>
        <v>0</v>
      </c>
      <c r="S485" s="1968"/>
      <c r="T485" s="1968"/>
      <c r="U485" s="1969">
        <v>0</v>
      </c>
      <c r="V485" s="1969">
        <f t="shared" si="343"/>
        <v>0.13875899999999999</v>
      </c>
      <c r="W485" s="1969">
        <v>0</v>
      </c>
      <c r="X485" s="55">
        <f>'Income Eligible Deemed Table'!J940</f>
        <v>10</v>
      </c>
      <c r="Y485" s="55"/>
      <c r="Z485" s="55">
        <f t="shared" si="334"/>
        <v>10</v>
      </c>
      <c r="AA485" s="49">
        <f>'Income Eligible Deemed Table'!BB940</f>
        <v>2.3786760028750225</v>
      </c>
      <c r="AB485" s="698">
        <f>'Income Eligible Deemed Table'!K940</f>
        <v>70</v>
      </c>
      <c r="AC485" s="2582">
        <f t="shared" si="335"/>
        <v>157.15650797664139</v>
      </c>
      <c r="AD485" s="2582">
        <f t="shared" si="350"/>
        <v>0</v>
      </c>
      <c r="AE485" s="1380">
        <f>'Income Eligible Deemed Table'!BD940</f>
        <v>155.74631922780659</v>
      </c>
      <c r="AF485" s="571">
        <f>'Income Eligible Deemed Table'!BD941</f>
        <v>1.4101887488347895</v>
      </c>
      <c r="AG485" s="571"/>
      <c r="AH485" s="571"/>
      <c r="AI485" s="3346" t="str">
        <f>'Income Eligible Deemed Table'!L940</f>
        <v>per measure</v>
      </c>
      <c r="AJ485" s="141"/>
      <c r="AM485" s="1596">
        <f t="shared" si="341"/>
        <v>9.4741810000000004E-4</v>
      </c>
      <c r="AN485" s="84">
        <f>AM485*K485</f>
        <v>0.13875885492600001</v>
      </c>
      <c r="AO485" s="1595">
        <f t="shared" si="342"/>
        <v>-1.4507399997976123E-7</v>
      </c>
    </row>
    <row r="486" spans="1:48" x14ac:dyDescent="0.35">
      <c r="A486" s="103" t="str">
        <f t="shared" si="333"/>
        <v>404150</v>
      </c>
      <c r="B486" s="3346" t="str">
        <f>'Income Eligible Deemed Table'!C942</f>
        <v>404150_2019_12_</v>
      </c>
      <c r="C486" s="3343" t="str">
        <f>'Income Eligible Deemed Table'!G942</f>
        <v>Cooling RES</v>
      </c>
      <c r="D486" s="3343" t="str">
        <f>'Income Eligible Deemed Table'!G943</f>
        <v>Heating RES</v>
      </c>
      <c r="E486" s="3343"/>
      <c r="F486" s="3343"/>
      <c r="G486" s="3343" t="str">
        <f>'Income Eligible Deemed Table'!E942</f>
        <v>Setback thermostat for SF - full setback - Unknown</v>
      </c>
      <c r="H486" s="50" t="str">
        <f>'Income Eligible Deemed Table'!D942</f>
        <v>SFIE</v>
      </c>
      <c r="I486" s="1966">
        <f t="shared" si="345"/>
        <v>390.53</v>
      </c>
      <c r="J486" s="1966">
        <f t="shared" si="346"/>
        <v>0</v>
      </c>
      <c r="K486" s="560">
        <f>'Income Eligible Deemed Table'!F942</f>
        <v>358.2</v>
      </c>
      <c r="L486" s="560">
        <f>'Income Eligible Deemed Table'!F943</f>
        <v>32.33</v>
      </c>
      <c r="M486" s="560"/>
      <c r="N486" s="560"/>
      <c r="O486" s="1967">
        <f t="shared" si="347"/>
        <v>0.33936500000000003</v>
      </c>
      <c r="P486" s="1967">
        <f t="shared" si="348"/>
        <v>0</v>
      </c>
      <c r="Q486" s="1968">
        <f>'Income Eligible Deemed Table'!I942</f>
        <v>0.33936500000000003</v>
      </c>
      <c r="R486" s="1968">
        <f>'Income Eligible Deemed Table'!I943</f>
        <v>0</v>
      </c>
      <c r="S486" s="1968"/>
      <c r="T486" s="1968"/>
      <c r="U486" s="1969">
        <v>0</v>
      </c>
      <c r="V486" s="1969">
        <f t="shared" si="343"/>
        <v>0.33936500000000003</v>
      </c>
      <c r="W486" s="1969">
        <v>0</v>
      </c>
      <c r="X486" s="55">
        <f>'Income Eligible Deemed Table'!J942</f>
        <v>10</v>
      </c>
      <c r="Y486" s="55"/>
      <c r="Z486" s="55">
        <f t="shared" si="334"/>
        <v>10</v>
      </c>
      <c r="AA486" s="49">
        <f>'Income Eligible Deemed Table'!BB942</f>
        <v>5.8960639551337009</v>
      </c>
      <c r="AB486" s="698">
        <f>'Income Eligible Deemed Table'!K942</f>
        <v>70</v>
      </c>
      <c r="AC486" s="2582">
        <f t="shared" si="335"/>
        <v>389.54646234956022</v>
      </c>
      <c r="AD486" s="2582">
        <f t="shared" si="350"/>
        <v>0</v>
      </c>
      <c r="AE486" s="1380">
        <f>'Income Eligible Deemed Table'!BD942</f>
        <v>380.91172707497145</v>
      </c>
      <c r="AF486" s="571">
        <f>'Income Eligible Deemed Table'!BD943</f>
        <v>8.6347352745887758</v>
      </c>
      <c r="AG486" s="571"/>
      <c r="AH486" s="571"/>
      <c r="AI486" s="3346" t="str">
        <f>'Income Eligible Deemed Table'!L942</f>
        <v>per measure</v>
      </c>
      <c r="AJ486" s="141"/>
      <c r="AM486" s="1596">
        <f t="shared" si="341"/>
        <v>9.4741810000000004E-4</v>
      </c>
      <c r="AN486" s="84">
        <f>AM486*K486</f>
        <v>0.33936516342</v>
      </c>
      <c r="AO486" s="1595">
        <f t="shared" si="342"/>
        <v>1.6341999997671053E-7</v>
      </c>
    </row>
    <row r="487" spans="1:48" x14ac:dyDescent="0.35">
      <c r="A487" s="103" t="str">
        <f t="shared" si="333"/>
        <v>404200</v>
      </c>
      <c r="B487" s="3346" t="str">
        <f>'Income Eligible Deemed Table'!C1005</f>
        <v>404200_2019_12_</v>
      </c>
      <c r="C487" s="3343" t="str">
        <f>'Income Eligible Deemed Table'!G1005</f>
        <v>Water heating RES</v>
      </c>
      <c r="D487" s="3343"/>
      <c r="E487" s="3343"/>
      <c r="F487" s="3343"/>
      <c r="G487" s="3343" t="str">
        <f>'Income Eligible Deemed Table'!E1005</f>
        <v>Shower Start 1.5 gpm electric water heater SFIE DI</v>
      </c>
      <c r="H487" s="50" t="str">
        <f>'Income Eligible Deemed Table'!D1005</f>
        <v>SFIE DI</v>
      </c>
      <c r="I487" s="1966">
        <f>'Income Eligible Deemed Table'!F1005</f>
        <v>41.68</v>
      </c>
      <c r="J487" s="1966"/>
      <c r="K487" s="560"/>
      <c r="L487" s="560"/>
      <c r="M487" s="560"/>
      <c r="N487" s="560"/>
      <c r="O487" s="1967">
        <f>'Income Eligible Deemed Table'!J1005</f>
        <v>3.6979999999999999E-3</v>
      </c>
      <c r="P487" s="1967"/>
      <c r="Q487" s="1968"/>
      <c r="R487" s="1968"/>
      <c r="S487" s="1968"/>
      <c r="T487" s="1968"/>
      <c r="U487" s="1969">
        <v>0</v>
      </c>
      <c r="V487" s="1969">
        <f t="shared" si="343"/>
        <v>3.6979999999999999E-3</v>
      </c>
      <c r="W487" s="1969">
        <v>0</v>
      </c>
      <c r="X487" s="55">
        <f>'Income Eligible Deemed Table'!K1005</f>
        <v>10</v>
      </c>
      <c r="Y487" s="55"/>
      <c r="Z487" s="55">
        <f t="shared" si="334"/>
        <v>10</v>
      </c>
      <c r="AA487" s="49">
        <f>'Income Eligible Deemed Table'!BB1005</f>
        <v>0.2979537350131562</v>
      </c>
      <c r="AB487" s="698">
        <f>'Income Eligible Deemed Table'!L1005</f>
        <v>50</v>
      </c>
      <c r="AC487" s="2582">
        <f t="shared" si="335"/>
        <v>14.061054035543</v>
      </c>
      <c r="AD487" s="2582">
        <f t="shared" si="350"/>
        <v>0</v>
      </c>
      <c r="AE487" s="1380">
        <f>'Income Eligible Deemed Table'!BD1005</f>
        <v>14.061054035543</v>
      </c>
      <c r="AF487" s="571"/>
      <c r="AG487" s="571"/>
      <c r="AH487" s="571"/>
      <c r="AI487" s="2593" t="str">
        <f>'Income Eligible Deemed Table'!M1005</f>
        <v>per measure</v>
      </c>
      <c r="AJ487" s="141"/>
      <c r="AM487" s="1596">
        <f t="shared" si="341"/>
        <v>8.8731800000000003E-5</v>
      </c>
      <c r="AN487">
        <f t="shared" ref="AN487:AN518" si="351">AM487*I487</f>
        <v>3.698341424E-3</v>
      </c>
      <c r="AO487" s="1595">
        <f t="shared" si="342"/>
        <v>3.4142400000009704E-7</v>
      </c>
    </row>
    <row r="488" spans="1:48" x14ac:dyDescent="0.35">
      <c r="A488" s="103" t="str">
        <f t="shared" si="333"/>
        <v>404250</v>
      </c>
      <c r="B488" s="3346" t="str">
        <f>'Income Eligible Deemed Table'!C1006</f>
        <v>404250_2019_12_</v>
      </c>
      <c r="C488" s="3343" t="str">
        <f>'Income Eligible Deemed Table'!G1006</f>
        <v>Water heating RES</v>
      </c>
      <c r="D488" s="3343"/>
      <c r="E488" s="3343"/>
      <c r="F488" s="3343"/>
      <c r="G488" s="3343" t="str">
        <f>'Income Eligible Deemed Table'!E1006</f>
        <v>Shower Start 1.5 gpm electric water heater MFIE DI</v>
      </c>
      <c r="H488" s="50" t="str">
        <f>'Income Eligible Deemed Table'!D1006</f>
        <v>MFIE DI</v>
      </c>
      <c r="I488" s="1966">
        <f>'Income Eligible Deemed Table'!F1006</f>
        <v>47.32</v>
      </c>
      <c r="J488" s="1966"/>
      <c r="K488" s="560"/>
      <c r="L488" s="560"/>
      <c r="M488" s="560"/>
      <c r="N488" s="560"/>
      <c r="O488" s="1967">
        <f>'Income Eligible Deemed Table'!J1006</f>
        <v>4.1989999999999996E-3</v>
      </c>
      <c r="P488" s="1967"/>
      <c r="Q488" s="1968"/>
      <c r="R488" s="1968"/>
      <c r="S488" s="1968"/>
      <c r="T488" s="1968"/>
      <c r="U488" s="1969">
        <v>0</v>
      </c>
      <c r="V488" s="1969">
        <f t="shared" si="343"/>
        <v>4.1989999999999996E-3</v>
      </c>
      <c r="W488" s="1969">
        <v>0</v>
      </c>
      <c r="X488" s="55">
        <f>'Income Eligible Deemed Table'!K1006</f>
        <v>10</v>
      </c>
      <c r="Y488" s="55"/>
      <c r="Z488" s="55">
        <f t="shared" si="334"/>
        <v>10</v>
      </c>
      <c r="AA488" s="49">
        <f>'Income Eligible Deemed Table'!BB1006</f>
        <v>0.33827185078748928</v>
      </c>
      <c r="AB488" s="698">
        <f>'Income Eligible Deemed Table'!L1006</f>
        <v>50</v>
      </c>
      <c r="AC488" s="2582">
        <f t="shared" si="335"/>
        <v>15.963749447262352</v>
      </c>
      <c r="AD488" s="2582">
        <f t="shared" si="350"/>
        <v>0</v>
      </c>
      <c r="AE488" s="1380">
        <f>'Income Eligible Deemed Table'!BD1006</f>
        <v>15.963749447262352</v>
      </c>
      <c r="AF488" s="571"/>
      <c r="AG488" s="571"/>
      <c r="AH488" s="571"/>
      <c r="AI488" s="2593" t="str">
        <f>'Income Eligible Deemed Table'!M1006</f>
        <v>per measure</v>
      </c>
      <c r="AJ488" s="141"/>
      <c r="AM488" s="1596">
        <f t="shared" si="341"/>
        <v>8.8731800000000003E-5</v>
      </c>
      <c r="AN488">
        <f t="shared" si="351"/>
        <v>4.1987887760000005E-3</v>
      </c>
      <c r="AO488" s="1595">
        <f t="shared" si="342"/>
        <v>-2.1122399999906616E-7</v>
      </c>
    </row>
    <row r="489" spans="1:48" x14ac:dyDescent="0.35">
      <c r="A489" s="103" t="str">
        <f t="shared" si="333"/>
        <v>404300</v>
      </c>
      <c r="B489" s="3346" t="str">
        <f>'Income Eligible Deemed Table'!C1040</f>
        <v>404300_2019_12_</v>
      </c>
      <c r="C489" s="3343" t="str">
        <f>'Income Eligible Deemed Table'!G1040</f>
        <v>Water heating RES</v>
      </c>
      <c r="D489" s="3343"/>
      <c r="E489" s="3343"/>
      <c r="F489" s="3343"/>
      <c r="G489" s="3343" t="str">
        <f>'Income Eligible Deemed Table'!E1040</f>
        <v>Water Heater Wrap SFIE</v>
      </c>
      <c r="H489" s="50" t="str">
        <f>'Income Eligible Deemed Table'!D1040</f>
        <v>SFIE</v>
      </c>
      <c r="I489" s="1966">
        <f>'Income Eligible Deemed Table'!F1040</f>
        <v>100.55</v>
      </c>
      <c r="J489" s="1966"/>
      <c r="K489" s="560"/>
      <c r="L489" s="560"/>
      <c r="M489" s="560"/>
      <c r="N489" s="560"/>
      <c r="O489" s="1967">
        <f>'Income Eligible Deemed Table'!I1040</f>
        <v>8.9219999999999994E-3</v>
      </c>
      <c r="P489" s="1967"/>
      <c r="Q489" s="1968"/>
      <c r="R489" s="1968"/>
      <c r="S489" s="1968"/>
      <c r="T489" s="1968"/>
      <c r="U489" s="1969">
        <v>0</v>
      </c>
      <c r="V489" s="1969">
        <f t="shared" si="343"/>
        <v>8.9219999999999994E-3</v>
      </c>
      <c r="W489" s="1969">
        <v>0</v>
      </c>
      <c r="X489" s="55">
        <f>'Income Eligible Deemed Table'!J1040</f>
        <v>12</v>
      </c>
      <c r="Y489" s="55"/>
      <c r="Z489" s="55">
        <f t="shared" si="334"/>
        <v>12</v>
      </c>
      <c r="AA489" s="49">
        <f>'Income Eligible Deemed Table'!BB1040</f>
        <v>0.73316671840048975</v>
      </c>
      <c r="AB489" s="698">
        <f>'Income Eligible Deemed Table'!K1040</f>
        <v>58</v>
      </c>
      <c r="AC489" s="2582">
        <f t="shared" si="335"/>
        <v>40.135601384830963</v>
      </c>
      <c r="AD489" s="2582">
        <f t="shared" si="350"/>
        <v>0</v>
      </c>
      <c r="AE489" s="1380">
        <f>'Income Eligible Deemed Table'!BD1040</f>
        <v>40.135601384830963</v>
      </c>
      <c r="AF489" s="571"/>
      <c r="AG489" s="571"/>
      <c r="AH489" s="571"/>
      <c r="AI489" s="3346" t="str">
        <f>'Income Eligible Deemed Table'!L1040</f>
        <v>per measure</v>
      </c>
      <c r="AJ489" s="141"/>
      <c r="AM489" s="1596">
        <f t="shared" si="341"/>
        <v>8.8731800000000003E-5</v>
      </c>
      <c r="AN489">
        <f t="shared" si="351"/>
        <v>8.9219824900000008E-3</v>
      </c>
      <c r="AO489" s="1595">
        <f t="shared" si="342"/>
        <v>-1.750999999855507E-8</v>
      </c>
    </row>
    <row r="490" spans="1:48" x14ac:dyDescent="0.35">
      <c r="A490" s="103" t="str">
        <f t="shared" si="333"/>
        <v>404350</v>
      </c>
      <c r="B490" s="3346" t="str">
        <f>'Income Eligible Deemed Table'!C1066</f>
        <v>404350_2019_12_</v>
      </c>
      <c r="C490" s="3343" t="str">
        <f>'Income Eligible Deemed Table'!G1066</f>
        <v>Water heating RES</v>
      </c>
      <c r="D490" s="3343"/>
      <c r="E490" s="3343"/>
      <c r="F490" s="3343"/>
      <c r="G490" s="3343" t="str">
        <f>'Income Eligible Deemed Table'!E1066</f>
        <v>Common Area Low Flow Bathroom Faucet Aerator</v>
      </c>
      <c r="H490" s="50" t="str">
        <f>'Income Eligible Deemed Table'!D1066</f>
        <v>MFIE</v>
      </c>
      <c r="I490" s="1966">
        <f>'Income Eligible Deemed Table'!F1066</f>
        <v>28.4</v>
      </c>
      <c r="J490" s="1966"/>
      <c r="K490" s="560"/>
      <c r="L490" s="560"/>
      <c r="M490" s="560"/>
      <c r="N490" s="560"/>
      <c r="O490" s="1967">
        <f>'Income Eligible Deemed Table'!J1066</f>
        <v>2.5200000000000001E-3</v>
      </c>
      <c r="P490" s="1967"/>
      <c r="Q490" s="1968"/>
      <c r="R490" s="1968"/>
      <c r="S490" s="1968"/>
      <c r="T490" s="1968"/>
      <c r="U490" s="1969">
        <v>0</v>
      </c>
      <c r="V490" s="1969">
        <f t="shared" si="343"/>
        <v>2.5200000000000001E-3</v>
      </c>
      <c r="W490" s="1969">
        <v>0</v>
      </c>
      <c r="X490" s="55">
        <f>'Income Eligible Deemed Table'!K1066</f>
        <v>10</v>
      </c>
      <c r="Y490" s="55"/>
      <c r="Z490" s="55">
        <f t="shared" si="334"/>
        <v>10</v>
      </c>
      <c r="AA490" s="49">
        <f>'Income Eligible Deemed Table'!BB1066</f>
        <v>0.89594130312972076</v>
      </c>
      <c r="AB490" s="698">
        <f>'Income Eligible Deemed Table'!L1066</f>
        <v>11.33</v>
      </c>
      <c r="AC490" s="2582">
        <f t="shared" si="335"/>
        <v>9.5809485270974371</v>
      </c>
      <c r="AD490" s="2582">
        <f t="shared" si="350"/>
        <v>0</v>
      </c>
      <c r="AE490" s="1380">
        <f>'Income Eligible Deemed Table'!BD1066</f>
        <v>9.5809485270974371</v>
      </c>
      <c r="AF490" s="571"/>
      <c r="AG490" s="571"/>
      <c r="AH490" s="571"/>
      <c r="AI490" s="3436" t="str">
        <f>'Income Eligible Deemed Table'!M1066</f>
        <v>per measure</v>
      </c>
      <c r="AJ490" s="141"/>
      <c r="AM490" s="1596">
        <f t="shared" ref="AM490:AM521" si="352">VLOOKUP(C490,$AS$10:$AT$33,2,FALSE)</f>
        <v>8.8731800000000003E-5</v>
      </c>
      <c r="AN490">
        <f t="shared" si="351"/>
        <v>2.5199831199999999E-3</v>
      </c>
      <c r="AO490" s="1595">
        <f t="shared" ref="AO490:AO521" si="353">AN490-O490</f>
        <v>-1.6880000000205064E-8</v>
      </c>
    </row>
    <row r="491" spans="1:48" x14ac:dyDescent="0.35">
      <c r="A491" s="103" t="str">
        <f t="shared" si="333"/>
        <v>404400</v>
      </c>
      <c r="B491" s="3346" t="str">
        <f>'Income Eligible Deemed Table'!C1097</f>
        <v>404400_2019_12_</v>
      </c>
      <c r="C491" s="3343" t="str">
        <f>'Income Eligible Deemed Table'!G1097</f>
        <v>Water heating RES</v>
      </c>
      <c r="D491" s="3343"/>
      <c r="E491" s="3343"/>
      <c r="F491" s="3343"/>
      <c r="G491" s="3343" t="str">
        <f>'Income Eligible Deemed Table'!E1097</f>
        <v>Common Area Low Flow Showerhead</v>
      </c>
      <c r="H491" s="50" t="str">
        <f>'Income Eligible Deemed Table'!D1097</f>
        <v>MFIE DI</v>
      </c>
      <c r="I491" s="1966">
        <f>'Income Eligible Deemed Table'!F1097</f>
        <v>213.29</v>
      </c>
      <c r="J491" s="1966"/>
      <c r="K491" s="560"/>
      <c r="L491" s="560"/>
      <c r="M491" s="560"/>
      <c r="N491" s="560"/>
      <c r="O491" s="1967">
        <f>'Income Eligible Deemed Table'!J1097</f>
        <v>1.8925999999999998E-2</v>
      </c>
      <c r="P491" s="1967"/>
      <c r="Q491" s="1968"/>
      <c r="R491" s="1968"/>
      <c r="S491" s="1968"/>
      <c r="T491" s="1968"/>
      <c r="U491" s="1969">
        <v>0</v>
      </c>
      <c r="V491" s="1969">
        <f t="shared" si="343"/>
        <v>1.8925999999999998E-2</v>
      </c>
      <c r="W491" s="1969">
        <v>0</v>
      </c>
      <c r="X491" s="55">
        <f>'Income Eligible Deemed Table'!K1097</f>
        <v>10</v>
      </c>
      <c r="Y491" s="55"/>
      <c r="Z491" s="55">
        <f t="shared" si="334"/>
        <v>10</v>
      </c>
      <c r="AA491" s="49">
        <f>'Income Eligible Deemed Table'!BB1097</f>
        <v>10.890895280531272</v>
      </c>
      <c r="AB491" s="698">
        <f>'Income Eligible Deemed Table'!L1097</f>
        <v>7</v>
      </c>
      <c r="AC491" s="2582">
        <f t="shared" si="335"/>
        <v>71.95494758255677</v>
      </c>
      <c r="AD491" s="2582">
        <f t="shared" si="350"/>
        <v>0</v>
      </c>
      <c r="AE491" s="1380">
        <f>'Income Eligible Deemed Table'!BD1097</f>
        <v>71.95494758255677</v>
      </c>
      <c r="AF491" s="571"/>
      <c r="AG491" s="571"/>
      <c r="AH491" s="571"/>
      <c r="AI491" s="3436" t="str">
        <f>'Income Eligible Deemed Table'!M1097</f>
        <v>per measure</v>
      </c>
      <c r="AJ491" s="141"/>
      <c r="AM491" s="1596">
        <f t="shared" si="352"/>
        <v>8.8731800000000003E-5</v>
      </c>
      <c r="AN491">
        <f t="shared" si="351"/>
        <v>1.8925605621999998E-2</v>
      </c>
      <c r="AO491" s="1595">
        <f t="shared" si="353"/>
        <v>-3.9437800000013956E-7</v>
      </c>
    </row>
    <row r="492" spans="1:48" x14ac:dyDescent="0.35">
      <c r="A492" s="103" t="str">
        <f t="shared" si="333"/>
        <v>404450</v>
      </c>
      <c r="B492" s="3346" t="str">
        <f>'Income Eligible Deemed Table'!C1131</f>
        <v>404450_2019_12_</v>
      </c>
      <c r="C492" s="3343" t="str">
        <f>'Income Eligible Deemed Table'!G1131</f>
        <v>Lighting RES</v>
      </c>
      <c r="D492" s="3343"/>
      <c r="E492" s="3343"/>
      <c r="F492" s="3343"/>
      <c r="G492" s="3343" t="str">
        <f>'Income Eligible Deemed Table'!E1131</f>
        <v>LED - 10.5W Downlight E26 (EISA baseline) IE DI</v>
      </c>
      <c r="H492" s="50" t="str">
        <f>'Income Eligible Deemed Table'!D1131</f>
        <v>SFIE / MFIE</v>
      </c>
      <c r="I492" s="1966">
        <f>'Income Eligible Deemed Table'!F1131</f>
        <v>23.59</v>
      </c>
      <c r="J492" s="1966"/>
      <c r="K492" s="560"/>
      <c r="L492" s="560"/>
      <c r="M492" s="560"/>
      <c r="N492" s="560"/>
      <c r="O492" s="1967">
        <f>'Income Eligible Deemed Table'!M1131</f>
        <v>3.5209999999999998E-3</v>
      </c>
      <c r="P492" s="1967"/>
      <c r="Q492" s="1968"/>
      <c r="R492" s="1968"/>
      <c r="S492" s="1968"/>
      <c r="T492" s="1968"/>
      <c r="U492" s="1969"/>
      <c r="V492" s="1969"/>
      <c r="W492" s="1969">
        <f t="shared" ref="W492:W516" si="354">O492</f>
        <v>3.5209999999999998E-3</v>
      </c>
      <c r="X492" s="55">
        <f>'Income Eligible Deemed Table'!N1131</f>
        <v>19</v>
      </c>
      <c r="Y492" s="55"/>
      <c r="Z492" s="55">
        <f t="shared" si="334"/>
        <v>19</v>
      </c>
      <c r="AA492" s="49">
        <f>'Income Eligible Deemed Table'!BB1131</f>
        <v>2.3648065351015584</v>
      </c>
      <c r="AB492" s="698">
        <f>'Income Eligible Deemed Table'!P1131</f>
        <v>6</v>
      </c>
      <c r="AC492" s="2582">
        <f t="shared" si="335"/>
        <v>13.392014356403351</v>
      </c>
      <c r="AD492" s="2582">
        <f t="shared" si="350"/>
        <v>0</v>
      </c>
      <c r="AE492" s="1380">
        <f>'Income Eligible Deemed Table'!BD1131</f>
        <v>13.392014356403351</v>
      </c>
      <c r="AF492" s="571"/>
      <c r="AG492" s="571"/>
      <c r="AH492" s="571"/>
      <c r="AI492" s="2595" t="str">
        <f>'Income Eligible Deemed Table'!R1131</f>
        <v>per measure</v>
      </c>
      <c r="AJ492" s="141"/>
      <c r="AM492" s="1596">
        <f t="shared" si="352"/>
        <v>1.4925290000000001E-4</v>
      </c>
      <c r="AN492">
        <f t="shared" si="351"/>
        <v>3.5208759110000004E-3</v>
      </c>
      <c r="AO492" s="1595">
        <f t="shared" si="353"/>
        <v>-1.2408899999942838E-7</v>
      </c>
    </row>
    <row r="493" spans="1:48" x14ac:dyDescent="0.35">
      <c r="A493" s="103" t="str">
        <f t="shared" si="333"/>
        <v>404500</v>
      </c>
      <c r="B493" s="3346" t="str">
        <f>'Income Eligible Deemed Table'!C1132</f>
        <v>404500_2019_12_</v>
      </c>
      <c r="C493" s="3343" t="str">
        <f>'Income Eligible Deemed Table'!G1132</f>
        <v>Lighting RES</v>
      </c>
      <c r="D493" s="3343"/>
      <c r="E493" s="3343"/>
      <c r="F493" s="3343"/>
      <c r="G493" s="3343" t="str">
        <f>'Income Eligible Deemed Table'!E1132</f>
        <v>LED - 10W (Halogen baseline) (750-1049 lumens) IEDI</v>
      </c>
      <c r="H493" s="50" t="str">
        <f>'Income Eligible Deemed Table'!D1132</f>
        <v>SFIE / MFIE</v>
      </c>
      <c r="I493" s="1966">
        <f>'Income Eligible Deemed Table'!F1132</f>
        <v>22.22</v>
      </c>
      <c r="J493" s="1966"/>
      <c r="K493" s="560"/>
      <c r="L493" s="560"/>
      <c r="M493" s="560"/>
      <c r="N493" s="560"/>
      <c r="O493" s="1967">
        <f>'Income Eligible Deemed Table'!M1132</f>
        <v>3.3159999999999999E-3</v>
      </c>
      <c r="P493" s="1967"/>
      <c r="Q493" s="1968"/>
      <c r="R493" s="1968"/>
      <c r="S493" s="1968"/>
      <c r="T493" s="1968"/>
      <c r="U493" s="1969"/>
      <c r="V493" s="1969"/>
      <c r="W493" s="1969">
        <f t="shared" si="354"/>
        <v>3.3159999999999999E-3</v>
      </c>
      <c r="X493" s="55">
        <f>'Income Eligible Deemed Table'!N1132</f>
        <v>19</v>
      </c>
      <c r="Y493" s="55"/>
      <c r="Z493" s="55">
        <f t="shared" si="334"/>
        <v>19</v>
      </c>
      <c r="AA493" s="49">
        <f>'Income Eligible Deemed Table'!BB1132</f>
        <v>2.2274693179294887</v>
      </c>
      <c r="AB493" s="698">
        <f>'Income Eligible Deemed Table'!P1132</f>
        <v>6</v>
      </c>
      <c r="AC493" s="2582">
        <f t="shared" si="335"/>
        <v>12.61426701989328</v>
      </c>
      <c r="AD493" s="2582">
        <f t="shared" si="350"/>
        <v>0</v>
      </c>
      <c r="AE493" s="1380">
        <f>'Income Eligible Deemed Table'!BD1132</f>
        <v>12.61426701989328</v>
      </c>
      <c r="AF493" s="571"/>
      <c r="AG493" s="571"/>
      <c r="AH493" s="571"/>
      <c r="AI493" s="2595" t="str">
        <f>'Income Eligible Deemed Table'!R1132</f>
        <v>per measure</v>
      </c>
      <c r="AJ493" s="141"/>
      <c r="AM493" s="1596">
        <f t="shared" si="352"/>
        <v>1.4925290000000001E-4</v>
      </c>
      <c r="AN493">
        <f t="shared" si="351"/>
        <v>3.3163994380000002E-3</v>
      </c>
      <c r="AO493" s="1595">
        <f t="shared" si="353"/>
        <v>3.994380000003038E-7</v>
      </c>
    </row>
    <row r="494" spans="1:48" x14ac:dyDescent="0.35">
      <c r="A494" s="103" t="str">
        <f t="shared" si="333"/>
        <v>404550</v>
      </c>
      <c r="B494" s="3346" t="str">
        <f>'Income Eligible Deemed Table'!C1133</f>
        <v>404550_2019_12_</v>
      </c>
      <c r="C494" s="3343" t="str">
        <f>'Income Eligible Deemed Table'!G1133</f>
        <v>Lighting RES</v>
      </c>
      <c r="D494" s="3343"/>
      <c r="E494" s="3343"/>
      <c r="F494" s="3343"/>
      <c r="G494" s="3343" t="str">
        <f>'Income Eligible Deemed Table'!E1133</f>
        <v>LED - 12W (Halogen baseline) IE DI</v>
      </c>
      <c r="H494" s="50" t="str">
        <f>'Income Eligible Deemed Table'!D1133</f>
        <v>SFIE / MFIE</v>
      </c>
      <c r="I494" s="1966">
        <f>'Income Eligible Deemed Table'!F1133</f>
        <v>22.95</v>
      </c>
      <c r="J494" s="1966"/>
      <c r="K494" s="560"/>
      <c r="L494" s="560"/>
      <c r="M494" s="560"/>
      <c r="N494" s="560"/>
      <c r="O494" s="1967">
        <f>'Income Eligible Deemed Table'!M1133</f>
        <v>3.4250000000000001E-3</v>
      </c>
      <c r="P494" s="1967"/>
      <c r="Q494" s="1968"/>
      <c r="R494" s="1968"/>
      <c r="S494" s="1968"/>
      <c r="T494" s="1968"/>
      <c r="U494" s="1969"/>
      <c r="V494" s="1969"/>
      <c r="W494" s="1969">
        <f t="shared" si="354"/>
        <v>3.4250000000000001E-3</v>
      </c>
      <c r="X494" s="55">
        <f>'Income Eligible Deemed Table'!N1133</f>
        <v>19</v>
      </c>
      <c r="Y494" s="55"/>
      <c r="Z494" s="55">
        <f t="shared" si="334"/>
        <v>19</v>
      </c>
      <c r="AA494" s="49">
        <f>'Income Eligible Deemed Table'!BB1133</f>
        <v>2.3006490029919786</v>
      </c>
      <c r="AB494" s="698">
        <f>'Income Eligible Deemed Table'!P1133</f>
        <v>6</v>
      </c>
      <c r="AC494" s="2582">
        <f t="shared" si="335"/>
        <v>13.028687133508136</v>
      </c>
      <c r="AD494" s="2582">
        <f t="shared" si="350"/>
        <v>0</v>
      </c>
      <c r="AE494" s="1380">
        <f>'Income Eligible Deemed Table'!BD1133</f>
        <v>13.028687133508136</v>
      </c>
      <c r="AF494" s="571"/>
      <c r="AG494" s="571"/>
      <c r="AH494" s="571"/>
      <c r="AI494" s="2595" t="str">
        <f>'Income Eligible Deemed Table'!R1133</f>
        <v>per measure</v>
      </c>
      <c r="AJ494" s="141"/>
      <c r="AM494" s="1596">
        <f t="shared" si="352"/>
        <v>1.4925290000000001E-4</v>
      </c>
      <c r="AN494">
        <f t="shared" si="351"/>
        <v>3.425354055E-3</v>
      </c>
      <c r="AO494" s="1595">
        <f t="shared" si="353"/>
        <v>3.5405499999993303E-7</v>
      </c>
    </row>
    <row r="495" spans="1:48" s="84" customFormat="1" x14ac:dyDescent="0.35">
      <c r="A495" s="103" t="str">
        <f t="shared" si="333"/>
        <v>404600</v>
      </c>
      <c r="B495" s="3346" t="str">
        <f>'Income Eligible Deemed Table'!C1134</f>
        <v>404600_2019_12_</v>
      </c>
      <c r="C495" s="3343" t="str">
        <f>'Income Eligible Deemed Table'!G1134</f>
        <v>Lighting RES</v>
      </c>
      <c r="D495" s="3343"/>
      <c r="E495" s="3343"/>
      <c r="F495" s="3343"/>
      <c r="G495" s="3343" t="str">
        <f>'Income Eligible Deemed Table'!E1134</f>
        <v>LED - 12W Dimmable Light Bulb (Replacing Specialty Incandescent) IE DI</v>
      </c>
      <c r="H495" s="50" t="str">
        <f>'Income Eligible Deemed Table'!D1134</f>
        <v>SFIE / MFIE</v>
      </c>
      <c r="I495" s="1966">
        <f>'Income Eligible Deemed Table'!F1134</f>
        <v>27.52</v>
      </c>
      <c r="J495" s="1966"/>
      <c r="K495" s="560"/>
      <c r="L495" s="560"/>
      <c r="M495" s="560"/>
      <c r="N495" s="560"/>
      <c r="O495" s="1967">
        <f>'Income Eligible Deemed Table'!M1134</f>
        <v>4.1079999999999997E-3</v>
      </c>
      <c r="P495" s="1967"/>
      <c r="Q495" s="1968"/>
      <c r="R495" s="1968"/>
      <c r="S495" s="1968"/>
      <c r="T495" s="1968"/>
      <c r="U495" s="1969"/>
      <c r="V495" s="1969"/>
      <c r="W495" s="1969">
        <f t="shared" si="354"/>
        <v>4.1079999999999997E-3</v>
      </c>
      <c r="X495" s="55">
        <f>'Income Eligible Deemed Table'!N1134</f>
        <v>19</v>
      </c>
      <c r="Y495" s="55"/>
      <c r="Z495" s="55">
        <f t="shared" si="334"/>
        <v>19</v>
      </c>
      <c r="AA495" s="49">
        <f>'Income Eligible Deemed Table'!BB1134</f>
        <v>2.7587738807119497</v>
      </c>
      <c r="AB495" s="698">
        <f>'Income Eligible Deemed Table'!P1134</f>
        <v>6</v>
      </c>
      <c r="AC495" s="2582">
        <f t="shared" si="335"/>
        <v>15.623070584494288</v>
      </c>
      <c r="AD495" s="2582">
        <f t="shared" si="350"/>
        <v>0</v>
      </c>
      <c r="AE495" s="1380">
        <f>'Income Eligible Deemed Table'!BD1134</f>
        <v>15.623070584494288</v>
      </c>
      <c r="AF495" s="571"/>
      <c r="AG495" s="571"/>
      <c r="AH495" s="571"/>
      <c r="AI495" s="2595" t="str">
        <f>'Income Eligible Deemed Table'!R1134</f>
        <v>per measure</v>
      </c>
      <c r="AJ495" s="141"/>
      <c r="AK495"/>
      <c r="AL495"/>
      <c r="AM495" s="1596">
        <f t="shared" si="352"/>
        <v>1.4925290000000001E-4</v>
      </c>
      <c r="AN495">
        <f t="shared" si="351"/>
        <v>4.1074398080000003E-3</v>
      </c>
      <c r="AO495" s="1595">
        <f t="shared" si="353"/>
        <v>-5.6019199999937652E-7</v>
      </c>
      <c r="AP495"/>
      <c r="AQ495"/>
      <c r="AR495"/>
      <c r="AS495"/>
      <c r="AT495"/>
      <c r="AU495"/>
      <c r="AV495"/>
    </row>
    <row r="496" spans="1:48" x14ac:dyDescent="0.35">
      <c r="A496" s="103" t="str">
        <f t="shared" si="333"/>
        <v>404650</v>
      </c>
      <c r="B496" s="3346" t="str">
        <f>'Income Eligible Deemed Table'!C1135</f>
        <v>404650_2019_12_</v>
      </c>
      <c r="C496" s="3343" t="str">
        <f>'Income Eligible Deemed Table'!G1135</f>
        <v>Lighting RES</v>
      </c>
      <c r="D496" s="3343"/>
      <c r="E496" s="3343"/>
      <c r="F496" s="3343"/>
      <c r="G496" s="3343" t="str">
        <f>'Income Eligible Deemed Table'!E1135</f>
        <v>LED - 15W (Halogen baseline) (1050-1489 lumens) IEDI</v>
      </c>
      <c r="H496" s="50" t="str">
        <f>'Income Eligible Deemed Table'!D1135</f>
        <v>SFIE / MFIE</v>
      </c>
      <c r="I496" s="1966">
        <f>'Income Eligible Deemed Table'!F1135</f>
        <v>27.79</v>
      </c>
      <c r="J496" s="1966"/>
      <c r="K496" s="560"/>
      <c r="L496" s="560"/>
      <c r="M496" s="560"/>
      <c r="N496" s="560"/>
      <c r="O496" s="1967">
        <f>'Income Eligible Deemed Table'!M1135</f>
        <v>4.1469999999999996E-3</v>
      </c>
      <c r="P496" s="1967"/>
      <c r="Q496" s="1968"/>
      <c r="R496" s="1968"/>
      <c r="S496" s="1968"/>
      <c r="T496" s="1968"/>
      <c r="U496" s="1969"/>
      <c r="V496" s="1969"/>
      <c r="W496" s="1969">
        <f t="shared" si="354"/>
        <v>4.1469999999999996E-3</v>
      </c>
      <c r="X496" s="55">
        <f>'Income Eligible Deemed Table'!N1135</f>
        <v>19</v>
      </c>
      <c r="Y496" s="55"/>
      <c r="Z496" s="55">
        <f t="shared" si="334"/>
        <v>19</v>
      </c>
      <c r="AA496" s="49">
        <f>'Income Eligible Deemed Table'!BB1135</f>
        <v>2.0893802546780096</v>
      </c>
      <c r="AB496" s="698">
        <f>'Income Eligible Deemed Table'!P1135</f>
        <v>8</v>
      </c>
      <c r="AC496" s="2582">
        <f t="shared" si="335"/>
        <v>15.776349256653207</v>
      </c>
      <c r="AD496" s="2582">
        <f t="shared" si="350"/>
        <v>0</v>
      </c>
      <c r="AE496" s="1380">
        <f>'Income Eligible Deemed Table'!BD1135</f>
        <v>15.776349256653207</v>
      </c>
      <c r="AF496" s="571"/>
      <c r="AG496" s="571"/>
      <c r="AH496" s="571"/>
      <c r="AI496" s="2595" t="str">
        <f>'Income Eligible Deemed Table'!R1135</f>
        <v>per measure</v>
      </c>
      <c r="AJ496" s="141"/>
      <c r="AM496" s="1596">
        <f t="shared" si="352"/>
        <v>1.4925290000000001E-4</v>
      </c>
      <c r="AN496">
        <f t="shared" si="351"/>
        <v>4.1477380909999998E-3</v>
      </c>
      <c r="AO496" s="1595">
        <f t="shared" si="353"/>
        <v>7.3809100000019751E-7</v>
      </c>
    </row>
    <row r="497" spans="1:48" x14ac:dyDescent="0.35">
      <c r="A497" s="103" t="str">
        <f t="shared" si="333"/>
        <v>404651</v>
      </c>
      <c r="B497" s="3346" t="str">
        <f>'Income Eligible Deemed Table'!C1136</f>
        <v>404651_2020_12_</v>
      </c>
      <c r="C497" s="3343" t="str">
        <f>'Income Eligible Deemed Table'!G1136</f>
        <v>Lighting RES</v>
      </c>
      <c r="D497" s="3343"/>
      <c r="E497" s="3343"/>
      <c r="F497" s="3343"/>
      <c r="G497" s="3343" t="str">
        <f>'Income Eligible Deemed Table'!E1136</f>
        <v>LED - 11W Flood Light BR30 Bulb (Halogen baseline) IE DI</v>
      </c>
      <c r="H497" s="50" t="str">
        <f>'Income Eligible Deemed Table'!D1136</f>
        <v>SFIE / MFIE</v>
      </c>
      <c r="I497" s="1966">
        <f>'Income Eligible Deemed Table'!F1136</f>
        <v>35.39</v>
      </c>
      <c r="J497" s="1966"/>
      <c r="K497" s="560"/>
      <c r="L497" s="560"/>
      <c r="M497" s="560"/>
      <c r="N497" s="560"/>
      <c r="O497" s="1967">
        <f>'Income Eligible Deemed Table'!M1136</f>
        <v>5.2820000000000002E-3</v>
      </c>
      <c r="P497" s="1967"/>
      <c r="Q497" s="1968"/>
      <c r="R497" s="1968"/>
      <c r="S497" s="1968"/>
      <c r="T497" s="1968"/>
      <c r="U497" s="1969"/>
      <c r="V497" s="1969"/>
      <c r="W497" s="1969">
        <f t="shared" si="354"/>
        <v>5.2820000000000002E-3</v>
      </c>
      <c r="X497" s="55">
        <f>'Income Eligible Deemed Table'!N1136</f>
        <v>19</v>
      </c>
      <c r="Y497" s="55"/>
      <c r="Z497" s="55">
        <f t="shared" si="334"/>
        <v>19</v>
      </c>
      <c r="AA497" s="49">
        <f>'Income Eligible Deemed Table'!BB1136</f>
        <v>2.1286266200231667</v>
      </c>
      <c r="AB497" s="698">
        <f>'Income Eligible Deemed Table'!P1136</f>
        <v>10</v>
      </c>
      <c r="AC497" s="2582">
        <f t="shared" si="335"/>
        <v>20.090860028533896</v>
      </c>
      <c r="AD497" s="2582">
        <f t="shared" si="350"/>
        <v>0</v>
      </c>
      <c r="AE497" s="1380">
        <f>'Income Eligible Deemed Table'!BD1136</f>
        <v>20.090860028533896</v>
      </c>
      <c r="AF497" s="571"/>
      <c r="AG497" s="571"/>
      <c r="AH497" s="571"/>
      <c r="AI497" s="2595" t="str">
        <f>'Income Eligible Deemed Table'!R1136</f>
        <v>per measure</v>
      </c>
      <c r="AJ497" s="1589"/>
      <c r="AK497" s="84"/>
      <c r="AL497" s="84"/>
      <c r="AM497" s="1961">
        <f t="shared" si="352"/>
        <v>1.4925290000000001E-4</v>
      </c>
      <c r="AN497" s="84">
        <f t="shared" si="351"/>
        <v>5.2820601310000007E-3</v>
      </c>
      <c r="AO497" s="1965">
        <f t="shared" si="353"/>
        <v>6.0131000000421264E-8</v>
      </c>
      <c r="AP497" s="84"/>
      <c r="AQ497" s="84"/>
      <c r="AR497" s="84"/>
      <c r="AS497" s="84"/>
      <c r="AT497" s="84"/>
      <c r="AU497" s="84"/>
      <c r="AV497" s="84"/>
    </row>
    <row r="498" spans="1:48" x14ac:dyDescent="0.35">
      <c r="A498" s="103" t="str">
        <f t="shared" si="333"/>
        <v>404700</v>
      </c>
      <c r="B498" s="3346" t="str">
        <f>'Income Eligible Deemed Table'!C1137</f>
        <v>404700_2019_12_</v>
      </c>
      <c r="C498" s="3343" t="str">
        <f>'Income Eligible Deemed Table'!G1137</f>
        <v>Lighting RES</v>
      </c>
      <c r="D498" s="3343"/>
      <c r="E498" s="3343"/>
      <c r="F498" s="3343"/>
      <c r="G498" s="3343" t="str">
        <f>'Income Eligible Deemed Table'!E1137</f>
        <v>LED - 15W Flood Light PAR30 Bulb (Halogen baseline) IE DI</v>
      </c>
      <c r="H498" s="50" t="str">
        <f>'Income Eligible Deemed Table'!D1137</f>
        <v>SFIE / MFIE</v>
      </c>
      <c r="I498" s="1966">
        <f>'Income Eligible Deemed Table'!F1137</f>
        <v>26.87</v>
      </c>
      <c r="J498" s="1966"/>
      <c r="K498" s="560"/>
      <c r="L498" s="560"/>
      <c r="M498" s="560"/>
      <c r="N498" s="560"/>
      <c r="O498" s="1967">
        <f>'Income Eligible Deemed Table'!M1137</f>
        <v>4.0099999999999997E-3</v>
      </c>
      <c r="P498" s="1967"/>
      <c r="Q498" s="1968"/>
      <c r="R498" s="1968"/>
      <c r="S498" s="1968"/>
      <c r="T498" s="1968"/>
      <c r="U498" s="1969"/>
      <c r="V498" s="1969"/>
      <c r="W498" s="1969">
        <f t="shared" si="354"/>
        <v>4.0099999999999997E-3</v>
      </c>
      <c r="X498" s="55">
        <f>'Income Eligible Deemed Table'!N1137</f>
        <v>19</v>
      </c>
      <c r="Y498" s="55"/>
      <c r="Z498" s="55">
        <f t="shared" si="334"/>
        <v>19</v>
      </c>
      <c r="AA498" s="49">
        <f>'Income Eligible Deemed Table'!BB1137</f>
        <v>1.6161683322978946</v>
      </c>
      <c r="AB498" s="698">
        <f>'Income Eligible Deemed Table'!P1137</f>
        <v>10</v>
      </c>
      <c r="AC498" s="2582">
        <f t="shared" si="335"/>
        <v>15.254066373741335</v>
      </c>
      <c r="AD498" s="2582">
        <f t="shared" si="350"/>
        <v>0</v>
      </c>
      <c r="AE498" s="1380">
        <f>'Income Eligible Deemed Table'!BD1137</f>
        <v>15.254066373741335</v>
      </c>
      <c r="AF498" s="571"/>
      <c r="AG498" s="571"/>
      <c r="AH498" s="571"/>
      <c r="AI498" s="2595" t="str">
        <f>'Income Eligible Deemed Table'!R1137</f>
        <v>per measure</v>
      </c>
      <c r="AJ498" s="141"/>
      <c r="AM498" s="1596">
        <f t="shared" si="352"/>
        <v>1.4925290000000001E-4</v>
      </c>
      <c r="AN498">
        <f t="shared" si="351"/>
        <v>4.0104254230000002E-3</v>
      </c>
      <c r="AO498" s="1595">
        <f t="shared" si="353"/>
        <v>4.2542300000055627E-7</v>
      </c>
    </row>
    <row r="499" spans="1:48" x14ac:dyDescent="0.35">
      <c r="A499" s="103" t="str">
        <f t="shared" si="333"/>
        <v>404750</v>
      </c>
      <c r="B499" s="3346" t="str">
        <f>'Income Eligible Deemed Table'!C1138</f>
        <v>404750_2019_12_</v>
      </c>
      <c r="C499" s="3343" t="str">
        <f>'Income Eligible Deemed Table'!G1138</f>
        <v>Lighting RES</v>
      </c>
      <c r="D499" s="3343"/>
      <c r="E499" s="3343"/>
      <c r="F499" s="3343"/>
      <c r="G499" s="3343" t="str">
        <f>'Income Eligible Deemed Table'!E1138</f>
        <v>LED - 18W Flood Light PAR38 Bulb (Halogen baseline) IE DI</v>
      </c>
      <c r="H499" s="50" t="str">
        <f>'Income Eligible Deemed Table'!D1138</f>
        <v>SFIE / MFIE</v>
      </c>
      <c r="I499" s="1966">
        <f>'Income Eligible Deemed Table'!F1138</f>
        <v>34.729999999999997</v>
      </c>
      <c r="J499" s="1966"/>
      <c r="K499" s="560"/>
      <c r="L499" s="560"/>
      <c r="M499" s="560"/>
      <c r="N499" s="560"/>
      <c r="O499" s="1967">
        <f>'Income Eligible Deemed Table'!M1138</f>
        <v>5.1840000000000002E-3</v>
      </c>
      <c r="P499" s="1967"/>
      <c r="Q499" s="1968"/>
      <c r="R499" s="1968"/>
      <c r="S499" s="1968"/>
      <c r="T499" s="1968"/>
      <c r="U499" s="1969"/>
      <c r="V499" s="1969"/>
      <c r="W499" s="1969">
        <f t="shared" si="354"/>
        <v>5.1840000000000002E-3</v>
      </c>
      <c r="X499" s="55">
        <f>'Income Eligible Deemed Table'!N1138</f>
        <v>19</v>
      </c>
      <c r="Y499" s="55"/>
      <c r="Z499" s="55">
        <f t="shared" si="334"/>
        <v>19</v>
      </c>
      <c r="AA499" s="49">
        <f>'Income Eligible Deemed Table'!BB1138</f>
        <v>1.3926194313535756</v>
      </c>
      <c r="AB499" s="698">
        <f>'Income Eligible Deemed Table'!P1138</f>
        <v>15</v>
      </c>
      <c r="AC499" s="2582">
        <f t="shared" si="335"/>
        <v>19.716178829923201</v>
      </c>
      <c r="AD499" s="2582">
        <f t="shared" si="350"/>
        <v>0</v>
      </c>
      <c r="AE499" s="1380">
        <f>'Income Eligible Deemed Table'!BD1138</f>
        <v>19.716178829923201</v>
      </c>
      <c r="AF499" s="571"/>
      <c r="AG499" s="571"/>
      <c r="AH499" s="571"/>
      <c r="AI499" s="2595" t="str">
        <f>'Income Eligible Deemed Table'!R1138</f>
        <v>per measure</v>
      </c>
      <c r="AJ499" s="141"/>
      <c r="AM499" s="1596">
        <f t="shared" si="352"/>
        <v>1.4925290000000001E-4</v>
      </c>
      <c r="AN499">
        <f t="shared" si="351"/>
        <v>5.183553217E-3</v>
      </c>
      <c r="AO499" s="1595">
        <f t="shared" si="353"/>
        <v>-4.4678300000020738E-7</v>
      </c>
    </row>
    <row r="500" spans="1:48" x14ac:dyDescent="0.35">
      <c r="A500" s="103" t="str">
        <f t="shared" si="333"/>
        <v>404800</v>
      </c>
      <c r="B500" s="3346" t="str">
        <f>'Income Eligible Deemed Table'!C1139</f>
        <v>404800_2019_12_</v>
      </c>
      <c r="C500" s="3343" t="str">
        <f>'Income Eligible Deemed Table'!G1139</f>
        <v>Lighting RES</v>
      </c>
      <c r="D500" s="3343"/>
      <c r="E500" s="3343"/>
      <c r="F500" s="3343"/>
      <c r="G500" s="3343" t="str">
        <f>'Income Eligible Deemed Table'!E1139</f>
        <v>LED - 20W (Halogen baseline) (1490-2600 lumens) IEDI</v>
      </c>
      <c r="H500" s="50" t="str">
        <f>'Income Eligible Deemed Table'!D1139</f>
        <v>SFIE / MFIE</v>
      </c>
      <c r="I500" s="1966">
        <f>'Income Eligible Deemed Table'!F1139</f>
        <v>37.35</v>
      </c>
      <c r="J500" s="1966"/>
      <c r="K500" s="560"/>
      <c r="L500" s="560"/>
      <c r="M500" s="560"/>
      <c r="N500" s="560"/>
      <c r="O500" s="1967">
        <f>'Income Eligible Deemed Table'!M1139</f>
        <v>5.5750000000000001E-3</v>
      </c>
      <c r="P500" s="1967"/>
      <c r="Q500" s="1968"/>
      <c r="R500" s="1968"/>
      <c r="S500" s="1968"/>
      <c r="T500" s="1968"/>
      <c r="U500" s="1969"/>
      <c r="V500" s="1969"/>
      <c r="W500" s="1969">
        <f t="shared" si="354"/>
        <v>5.5750000000000001E-3</v>
      </c>
      <c r="X500" s="55">
        <f>'Income Eligible Deemed Table'!N1139</f>
        <v>19</v>
      </c>
      <c r="Y500" s="55"/>
      <c r="Z500" s="55">
        <f t="shared" si="334"/>
        <v>19</v>
      </c>
      <c r="AA500" s="49">
        <f>'Income Eligible Deemed Table'!BB1139</f>
        <v>2.8081451065931509</v>
      </c>
      <c r="AB500" s="698">
        <f>'Income Eligible Deemed Table'!P1139</f>
        <v>8</v>
      </c>
      <c r="AC500" s="2582">
        <f t="shared" si="335"/>
        <v>21.203549648650498</v>
      </c>
      <c r="AD500" s="2582">
        <f t="shared" si="350"/>
        <v>0</v>
      </c>
      <c r="AE500" s="1380">
        <f>'Income Eligible Deemed Table'!BD1139</f>
        <v>21.203549648650498</v>
      </c>
      <c r="AF500" s="571"/>
      <c r="AG500" s="571"/>
      <c r="AH500" s="571"/>
      <c r="AI500" s="2595" t="str">
        <f>'Income Eligible Deemed Table'!R1139</f>
        <v>per measure</v>
      </c>
      <c r="AJ500" s="141"/>
      <c r="AM500" s="1596">
        <f t="shared" si="352"/>
        <v>1.4925290000000001E-4</v>
      </c>
      <c r="AN500">
        <f t="shared" si="351"/>
        <v>5.5745958150000005E-3</v>
      </c>
      <c r="AO500" s="1595">
        <f t="shared" si="353"/>
        <v>-4.0418499999955032E-7</v>
      </c>
    </row>
    <row r="501" spans="1:48" x14ac:dyDescent="0.35">
      <c r="A501" s="103" t="str">
        <f t="shared" si="333"/>
        <v>404850</v>
      </c>
      <c r="B501" s="3346" t="str">
        <f>'Income Eligible Deemed Table'!C1140</f>
        <v>404850_2019_12_</v>
      </c>
      <c r="C501" s="3343" t="str">
        <f>'Income Eligible Deemed Table'!G1140</f>
        <v>Lighting RES</v>
      </c>
      <c r="D501" s="3343"/>
      <c r="E501" s="3343"/>
      <c r="F501" s="3343"/>
      <c r="G501" s="3343" t="str">
        <f>'Income Eligible Deemed Table'!E1140</f>
        <v>LED - 4W Candelabra (Replacing Specialty Incandescent) IE DI</v>
      </c>
      <c r="H501" s="50" t="str">
        <f>'Income Eligible Deemed Table'!D1140</f>
        <v>SFIE / MFIE</v>
      </c>
      <c r="I501" s="1966">
        <f>'Income Eligible Deemed Table'!F1140</f>
        <v>23.53</v>
      </c>
      <c r="J501" s="1966"/>
      <c r="K501" s="560"/>
      <c r="L501" s="560"/>
      <c r="M501" s="560"/>
      <c r="N501" s="560"/>
      <c r="O501" s="1967">
        <f>'Income Eligible Deemed Table'!M1140</f>
        <v>3.5119999999999999E-3</v>
      </c>
      <c r="P501" s="1967"/>
      <c r="Q501" s="1968"/>
      <c r="R501" s="1968"/>
      <c r="S501" s="1968"/>
      <c r="T501" s="1968"/>
      <c r="U501" s="1969"/>
      <c r="V501" s="1969"/>
      <c r="W501" s="1969">
        <f t="shared" si="354"/>
        <v>3.5119999999999999E-3</v>
      </c>
      <c r="X501" s="55">
        <f>'Income Eligible Deemed Table'!N1140</f>
        <v>19</v>
      </c>
      <c r="Y501" s="55"/>
      <c r="Z501" s="55">
        <f t="shared" si="334"/>
        <v>19</v>
      </c>
      <c r="AA501" s="49">
        <f>'Income Eligible Deemed Table'!BB1140</f>
        <v>2.0218215141139591</v>
      </c>
      <c r="AB501" s="698">
        <f>'Income Eligible Deemed Table'!P1140</f>
        <v>7</v>
      </c>
      <c r="AC501" s="2582">
        <f t="shared" si="335"/>
        <v>13.357952429256926</v>
      </c>
      <c r="AD501" s="2582">
        <f t="shared" si="350"/>
        <v>0</v>
      </c>
      <c r="AE501" s="1380">
        <f>'Income Eligible Deemed Table'!BD1140</f>
        <v>13.357952429256926</v>
      </c>
      <c r="AF501" s="571"/>
      <c r="AG501" s="571"/>
      <c r="AH501" s="571"/>
      <c r="AI501" s="2595" t="str">
        <f>'Income Eligible Deemed Table'!R1140</f>
        <v>per measure</v>
      </c>
      <c r="AJ501" s="141"/>
      <c r="AM501" s="1596">
        <f t="shared" si="352"/>
        <v>1.4925290000000001E-4</v>
      </c>
      <c r="AN501">
        <f t="shared" si="351"/>
        <v>3.5119207370000005E-3</v>
      </c>
      <c r="AO501" s="1595">
        <f t="shared" si="353"/>
        <v>-7.9262999999434036E-8</v>
      </c>
    </row>
    <row r="502" spans="1:48" x14ac:dyDescent="0.35">
      <c r="A502" s="103" t="str">
        <f t="shared" si="333"/>
        <v>404900</v>
      </c>
      <c r="B502" s="3346" t="str">
        <f>'Income Eligible Deemed Table'!C1141</f>
        <v>404900_2019_12_</v>
      </c>
      <c r="C502" s="3343" t="str">
        <f>'Income Eligible Deemed Table'!G1141</f>
        <v>Lighting RES</v>
      </c>
      <c r="D502" s="3343"/>
      <c r="E502" s="3343"/>
      <c r="F502" s="3343"/>
      <c r="G502" s="3343" t="str">
        <f>'Income Eligible Deemed Table'!E1141</f>
        <v>LED - 4W Candelabra (CFL baseline) IEDI</v>
      </c>
      <c r="H502" s="50" t="str">
        <f>'Income Eligible Deemed Table'!D1141</f>
        <v>SFIE / MFIE</v>
      </c>
      <c r="I502" s="1966">
        <f>'Income Eligible Deemed Table'!F1141</f>
        <v>2.95</v>
      </c>
      <c r="J502" s="1966"/>
      <c r="K502" s="560"/>
      <c r="L502" s="560"/>
      <c r="M502" s="560"/>
      <c r="N502" s="560"/>
      <c r="O502" s="1967">
        <f>'Income Eligible Deemed Table'!M1141</f>
        <v>4.4000000000000002E-4</v>
      </c>
      <c r="P502" s="1967"/>
      <c r="Q502" s="1968"/>
      <c r="R502" s="1968"/>
      <c r="S502" s="1968"/>
      <c r="T502" s="1968"/>
      <c r="U502" s="1969"/>
      <c r="V502" s="1969"/>
      <c r="W502" s="1969">
        <f t="shared" si="354"/>
        <v>4.4000000000000002E-4</v>
      </c>
      <c r="X502" s="55">
        <f>'Income Eligible Deemed Table'!N1141</f>
        <v>19</v>
      </c>
      <c r="Y502" s="55"/>
      <c r="Z502" s="55">
        <f t="shared" si="334"/>
        <v>19</v>
      </c>
      <c r="AA502" s="49">
        <f>'Income Eligible Deemed Table'!BB1141</f>
        <v>0.25347953534365403</v>
      </c>
      <c r="AB502" s="698">
        <f>'Income Eligible Deemed Table'!P1141</f>
        <v>7</v>
      </c>
      <c r="AC502" s="2582">
        <f t="shared" si="335"/>
        <v>1.6747114180326363</v>
      </c>
      <c r="AD502" s="2582">
        <f t="shared" si="350"/>
        <v>0</v>
      </c>
      <c r="AE502" s="1380">
        <f>'Income Eligible Deemed Table'!BD1141</f>
        <v>1.6747114180326363</v>
      </c>
      <c r="AF502" s="571"/>
      <c r="AG502" s="571"/>
      <c r="AH502" s="571"/>
      <c r="AI502" s="2595" t="str">
        <f>'Income Eligible Deemed Table'!R1141</f>
        <v>per measure</v>
      </c>
      <c r="AJ502" s="141"/>
      <c r="AM502" s="1596">
        <f t="shared" si="352"/>
        <v>1.4925290000000001E-4</v>
      </c>
      <c r="AN502">
        <f t="shared" si="351"/>
        <v>4.4029605500000007E-4</v>
      </c>
      <c r="AO502" s="1595">
        <f t="shared" si="353"/>
        <v>2.960550000000498E-7</v>
      </c>
    </row>
    <row r="503" spans="1:48" x14ac:dyDescent="0.35">
      <c r="A503" s="103" t="str">
        <f t="shared" si="333"/>
        <v>404950</v>
      </c>
      <c r="B503" s="3346" t="str">
        <f>'Income Eligible Deemed Table'!C1142</f>
        <v>404950_2019_12_</v>
      </c>
      <c r="C503" s="3343" t="str">
        <f>'Income Eligible Deemed Table'!G1142</f>
        <v>Lighting RES</v>
      </c>
      <c r="D503" s="3343"/>
      <c r="E503" s="3343"/>
      <c r="F503" s="3343"/>
      <c r="G503" s="3343" t="str">
        <f>'Income Eligible Deemed Table'!E1142</f>
        <v>LED - 8W Globe Light G25 Bulb (Replacing Specialty Incandescent) IE DI</v>
      </c>
      <c r="H503" s="50" t="str">
        <f>'Income Eligible Deemed Table'!D1142</f>
        <v>SFIE / MFIE</v>
      </c>
      <c r="I503" s="1966">
        <f>'Income Eligible Deemed Table'!F1142</f>
        <v>14.42</v>
      </c>
      <c r="J503" s="1966"/>
      <c r="K503" s="560"/>
      <c r="L503" s="560"/>
      <c r="M503" s="560"/>
      <c r="N503" s="560"/>
      <c r="O503" s="1967">
        <f>'Income Eligible Deemed Table'!M1142</f>
        <v>2.1519999999999998E-3</v>
      </c>
      <c r="P503" s="1967"/>
      <c r="Q503" s="1968"/>
      <c r="R503" s="1968"/>
      <c r="S503" s="1968"/>
      <c r="T503" s="1968"/>
      <c r="U503" s="1969"/>
      <c r="V503" s="1969"/>
      <c r="W503" s="1969">
        <f t="shared" si="354"/>
        <v>2.1519999999999998E-3</v>
      </c>
      <c r="X503" s="55">
        <f>'Income Eligible Deemed Table'!N1142</f>
        <v>19</v>
      </c>
      <c r="Y503" s="55"/>
      <c r="Z503" s="55">
        <f t="shared" si="334"/>
        <v>19</v>
      </c>
      <c r="AA503" s="49">
        <f>'Income Eligible Deemed Table'!BB1142</f>
        <v>1.2390423388662679</v>
      </c>
      <c r="AB503" s="698">
        <f>'Income Eligible Deemed Table'!P1142</f>
        <v>7</v>
      </c>
      <c r="AC503" s="2582">
        <f t="shared" si="335"/>
        <v>8.1862164908578343</v>
      </c>
      <c r="AD503" s="2582">
        <f t="shared" si="350"/>
        <v>0</v>
      </c>
      <c r="AE503" s="1380">
        <f>'Income Eligible Deemed Table'!BD1142</f>
        <v>8.1862164908578343</v>
      </c>
      <c r="AF503" s="571"/>
      <c r="AG503" s="571"/>
      <c r="AH503" s="571"/>
      <c r="AI503" s="2595" t="str">
        <f>'Income Eligible Deemed Table'!R1142</f>
        <v>per measure</v>
      </c>
      <c r="AJ503" s="141"/>
      <c r="AM503" s="1596">
        <f t="shared" si="352"/>
        <v>1.4925290000000001E-4</v>
      </c>
      <c r="AN503">
        <f t="shared" si="351"/>
        <v>2.1522268179999999E-3</v>
      </c>
      <c r="AO503" s="1595">
        <f t="shared" si="353"/>
        <v>2.2681800000007302E-7</v>
      </c>
    </row>
    <row r="504" spans="1:48" x14ac:dyDescent="0.35">
      <c r="A504" s="103" t="str">
        <f t="shared" ref="A504:A565" si="355">LEFT(B504,6)</f>
        <v>405000</v>
      </c>
      <c r="B504" s="3346" t="str">
        <f>'Income Eligible Deemed Table'!C1143</f>
        <v>405000_2019_12_</v>
      </c>
      <c r="C504" s="3343" t="str">
        <f>'Income Eligible Deemed Table'!G1143</f>
        <v>Lighting RES</v>
      </c>
      <c r="D504" s="3343"/>
      <c r="E504" s="3343"/>
      <c r="F504" s="3343"/>
      <c r="G504" s="3343" t="str">
        <f>'Income Eligible Deemed Table'!E1143</f>
        <v>LED - 8W Globe Light G25 Bulb (Replacing CFL) IEDI</v>
      </c>
      <c r="H504" s="50" t="str">
        <f>'Income Eligible Deemed Table'!D1143</f>
        <v>SFIE / MFIE</v>
      </c>
      <c r="I504" s="1966">
        <f>'Income Eligible Deemed Table'!F1143</f>
        <v>2.62</v>
      </c>
      <c r="J504" s="1966"/>
      <c r="K504" s="560"/>
      <c r="L504" s="560"/>
      <c r="M504" s="560"/>
      <c r="N504" s="560"/>
      <c r="O504" s="1967">
        <f>'Income Eligible Deemed Table'!M1143</f>
        <v>3.9100000000000002E-4</v>
      </c>
      <c r="P504" s="1967"/>
      <c r="Q504" s="1968"/>
      <c r="R504" s="1968"/>
      <c r="S504" s="1968"/>
      <c r="T504" s="1968"/>
      <c r="U504" s="1969"/>
      <c r="V504" s="1969"/>
      <c r="W504" s="1969">
        <f t="shared" si="354"/>
        <v>3.9100000000000002E-4</v>
      </c>
      <c r="X504" s="55">
        <f>'Income Eligible Deemed Table'!N1143</f>
        <v>19</v>
      </c>
      <c r="Y504" s="55"/>
      <c r="Z504" s="55">
        <f t="shared" ref="Z504:Z565" si="356">Y504+X504</f>
        <v>19</v>
      </c>
      <c r="AA504" s="49">
        <f>'Income Eligible Deemed Table'!BB1143</f>
        <v>0.22512419749165205</v>
      </c>
      <c r="AB504" s="698">
        <f>'Income Eligible Deemed Table'!P1143</f>
        <v>7</v>
      </c>
      <c r="AC504" s="2582">
        <f t="shared" ref="AC504:AC565" si="357">AE504+AF504</f>
        <v>1.4873708187272905</v>
      </c>
      <c r="AD504" s="2582">
        <f t="shared" si="350"/>
        <v>0</v>
      </c>
      <c r="AE504" s="1380">
        <f>'Income Eligible Deemed Table'!BD1143</f>
        <v>1.4873708187272905</v>
      </c>
      <c r="AF504" s="571"/>
      <c r="AG504" s="571"/>
      <c r="AH504" s="571"/>
      <c r="AI504" s="2595" t="str">
        <f>'Income Eligible Deemed Table'!R1143</f>
        <v>per measure</v>
      </c>
      <c r="AJ504" s="141"/>
      <c r="AM504" s="1596">
        <f t="shared" si="352"/>
        <v>1.4925290000000001E-4</v>
      </c>
      <c r="AN504">
        <f t="shared" si="351"/>
        <v>3.9104259800000002E-4</v>
      </c>
      <c r="AO504" s="1595">
        <f t="shared" si="353"/>
        <v>4.2598000000006533E-8</v>
      </c>
    </row>
    <row r="505" spans="1:48" x14ac:dyDescent="0.35">
      <c r="A505" s="103" t="str">
        <f t="shared" si="355"/>
        <v>405050</v>
      </c>
      <c r="B505" s="3346" t="str">
        <f>'Income Eligible Deemed Table'!C1144</f>
        <v>405050_2019_12_</v>
      </c>
      <c r="C505" s="3343" t="str">
        <f>'Income Eligible Deemed Table'!G1144</f>
        <v>Lighting RES</v>
      </c>
      <c r="D505" s="3343"/>
      <c r="E505" s="3343"/>
      <c r="F505" s="3343"/>
      <c r="G505" s="3343" t="str">
        <f>'Income Eligible Deemed Table'!E1144</f>
        <v>LED - 10W (CFL baseline) (750-1049 lumens) IEDI</v>
      </c>
      <c r="H505" s="50" t="str">
        <f>'Income Eligible Deemed Table'!D1144</f>
        <v>SFIE / MFIE</v>
      </c>
      <c r="I505" s="1966">
        <f>'Income Eligible Deemed Table'!F1144</f>
        <v>2.82</v>
      </c>
      <c r="J505" s="1966"/>
      <c r="K505" s="560"/>
      <c r="L505" s="560"/>
      <c r="M505" s="560"/>
      <c r="N505" s="560"/>
      <c r="O505" s="1967">
        <f>'Income Eligible Deemed Table'!M1144</f>
        <v>4.2099999999999999E-4</v>
      </c>
      <c r="P505" s="1967"/>
      <c r="Q505" s="1968"/>
      <c r="R505" s="1968"/>
      <c r="S505" s="1968"/>
      <c r="T505" s="1968"/>
      <c r="U505" s="1969"/>
      <c r="V505" s="1969"/>
      <c r="W505" s="1969">
        <f t="shared" si="354"/>
        <v>4.2099999999999999E-4</v>
      </c>
      <c r="X505" s="55">
        <f>'Income Eligible Deemed Table'!N1144</f>
        <v>19</v>
      </c>
      <c r="Y505" s="55"/>
      <c r="Z505" s="55">
        <f t="shared" si="356"/>
        <v>19</v>
      </c>
      <c r="AA505" s="49">
        <f>'Income Eligible Deemed Table'!BB1144</f>
        <v>0.28269412585783787</v>
      </c>
      <c r="AB505" s="698">
        <f>'Income Eligible Deemed Table'!P1144</f>
        <v>6</v>
      </c>
      <c r="AC505" s="2582">
        <f t="shared" si="357"/>
        <v>1.6009105758820454</v>
      </c>
      <c r="AD505" s="2582">
        <f t="shared" si="350"/>
        <v>0</v>
      </c>
      <c r="AE505" s="1380">
        <f>'Income Eligible Deemed Table'!BD1144</f>
        <v>1.6009105758820454</v>
      </c>
      <c r="AF505" s="571"/>
      <c r="AG505" s="571"/>
      <c r="AH505" s="571"/>
      <c r="AI505" s="2595" t="str">
        <f>'Income Eligible Deemed Table'!R1144</f>
        <v>per measure</v>
      </c>
      <c r="AJ505" s="141"/>
      <c r="AM505" s="1596">
        <f t="shared" si="352"/>
        <v>1.4925290000000001E-4</v>
      </c>
      <c r="AN505">
        <f t="shared" si="351"/>
        <v>4.2089317799999998E-4</v>
      </c>
      <c r="AO505" s="1595">
        <f t="shared" si="353"/>
        <v>-1.0682200000001075E-7</v>
      </c>
    </row>
    <row r="506" spans="1:48" x14ac:dyDescent="0.35">
      <c r="A506" s="103" t="str">
        <f t="shared" si="355"/>
        <v>405100</v>
      </c>
      <c r="B506" s="3346" t="str">
        <f>'Income Eligible Deemed Table'!C1145</f>
        <v>405100_2019_12_</v>
      </c>
      <c r="C506" s="3343" t="str">
        <f>'Income Eligible Deemed Table'!G1145</f>
        <v>Lighting RES</v>
      </c>
      <c r="D506" s="3343"/>
      <c r="E506" s="3343"/>
      <c r="F506" s="3343"/>
      <c r="G506" s="3343" t="str">
        <f>'Income Eligible Deemed Table'!E1145</f>
        <v>LED - 10.5W Downlight E26 (CFL baseline) IEDI</v>
      </c>
      <c r="H506" s="50" t="str">
        <f>'Income Eligible Deemed Table'!D1145</f>
        <v>SFIE / MFIE</v>
      </c>
      <c r="I506" s="1966">
        <f>'Income Eligible Deemed Table'!F1145</f>
        <v>8.52</v>
      </c>
      <c r="J506" s="1966"/>
      <c r="K506" s="560"/>
      <c r="L506" s="560"/>
      <c r="M506" s="560"/>
      <c r="N506" s="560"/>
      <c r="O506" s="1967">
        <f>'Income Eligible Deemed Table'!M1145</f>
        <v>1.2719999999999999E-3</v>
      </c>
      <c r="P506" s="1967"/>
      <c r="Q506" s="1968"/>
      <c r="R506" s="1968"/>
      <c r="S506" s="1968"/>
      <c r="T506" s="1968"/>
      <c r="U506" s="1969"/>
      <c r="V506" s="1969"/>
      <c r="W506" s="1969">
        <f t="shared" si="354"/>
        <v>1.2719999999999999E-3</v>
      </c>
      <c r="X506" s="55">
        <f>'Income Eligible Deemed Table'!N1145</f>
        <v>19</v>
      </c>
      <c r="Y506" s="55"/>
      <c r="Z506" s="55">
        <f t="shared" si="356"/>
        <v>19</v>
      </c>
      <c r="AA506" s="49">
        <f>'Income Eligible Deemed Table'!BB1145</f>
        <v>0.85409714620878674</v>
      </c>
      <c r="AB506" s="698">
        <f>'Income Eligible Deemed Table'!P1145</f>
        <v>6</v>
      </c>
      <c r="AC506" s="2582">
        <f t="shared" si="357"/>
        <v>4.8367936547925625</v>
      </c>
      <c r="AD506" s="2582">
        <f t="shared" si="350"/>
        <v>0</v>
      </c>
      <c r="AE506" s="1380">
        <f>'Income Eligible Deemed Table'!BD1145</f>
        <v>4.8367936547925625</v>
      </c>
      <c r="AF506" s="571"/>
      <c r="AG506" s="571"/>
      <c r="AH506" s="571"/>
      <c r="AI506" s="2595" t="str">
        <f>'Income Eligible Deemed Table'!R1145</f>
        <v>per measure</v>
      </c>
      <c r="AJ506" s="141"/>
      <c r="AM506" s="1596">
        <f t="shared" si="352"/>
        <v>1.4925290000000001E-4</v>
      </c>
      <c r="AN506">
        <f t="shared" si="351"/>
        <v>1.271634708E-3</v>
      </c>
      <c r="AO506" s="1595">
        <f t="shared" si="353"/>
        <v>-3.6529199999991817E-7</v>
      </c>
    </row>
    <row r="507" spans="1:48" x14ac:dyDescent="0.35">
      <c r="A507" s="103" t="str">
        <f t="shared" si="355"/>
        <v>405150</v>
      </c>
      <c r="B507" s="3346" t="str">
        <f>'Income Eligible Deemed Table'!C1146</f>
        <v>405150_2019_12_</v>
      </c>
      <c r="C507" s="3343" t="str">
        <f>'Income Eligible Deemed Table'!G1146</f>
        <v>Lighting RES</v>
      </c>
      <c r="D507" s="3343"/>
      <c r="E507" s="3343"/>
      <c r="F507" s="3343"/>
      <c r="G507" s="3343" t="str">
        <f>'Income Eligible Deemed Table'!E1146</f>
        <v>LED - 12W Dimmable Light Bulb (Replacing CFL) IEDI</v>
      </c>
      <c r="H507" s="50" t="str">
        <f>'Income Eligible Deemed Table'!D1146</f>
        <v>SFIE / MFIE</v>
      </c>
      <c r="I507" s="1966">
        <f>'Income Eligible Deemed Table'!F1146</f>
        <v>5.57</v>
      </c>
      <c r="J507" s="1966"/>
      <c r="K507" s="560"/>
      <c r="L507" s="560"/>
      <c r="M507" s="560"/>
      <c r="N507" s="560"/>
      <c r="O507" s="1967">
        <f>'Income Eligible Deemed Table'!M1146</f>
        <v>8.3100000000000003E-4</v>
      </c>
      <c r="P507" s="1967"/>
      <c r="Q507" s="1968"/>
      <c r="R507" s="1968"/>
      <c r="S507" s="1968"/>
      <c r="T507" s="1968"/>
      <c r="U507" s="1969"/>
      <c r="V507" s="1969"/>
      <c r="W507" s="1969">
        <f t="shared" si="354"/>
        <v>8.3100000000000003E-4</v>
      </c>
      <c r="X507" s="55">
        <f>'Income Eligible Deemed Table'!N1146</f>
        <v>19</v>
      </c>
      <c r="Y507" s="55"/>
      <c r="Z507" s="55">
        <f t="shared" si="356"/>
        <v>19</v>
      </c>
      <c r="AA507" s="49">
        <f>'Income Eligible Deemed Table'!BB1146</f>
        <v>0.55837102164119046</v>
      </c>
      <c r="AB507" s="698">
        <f>'Income Eligible Deemed Table'!P1146</f>
        <v>6</v>
      </c>
      <c r="AC507" s="2582">
        <f t="shared" si="357"/>
        <v>3.1620822367599266</v>
      </c>
      <c r="AD507" s="2582">
        <f t="shared" si="350"/>
        <v>0</v>
      </c>
      <c r="AE507" s="1380">
        <f>'Income Eligible Deemed Table'!BD1146</f>
        <v>3.1620822367599266</v>
      </c>
      <c r="AF507" s="571"/>
      <c r="AG507" s="571"/>
      <c r="AH507" s="571"/>
      <c r="AI507" s="2595" t="str">
        <f>'Income Eligible Deemed Table'!R1146</f>
        <v>per measure</v>
      </c>
      <c r="AJ507" s="141"/>
      <c r="AM507" s="1596">
        <f t="shared" si="352"/>
        <v>1.4925290000000001E-4</v>
      </c>
      <c r="AN507">
        <f t="shared" si="351"/>
        <v>8.3133865300000014E-4</v>
      </c>
      <c r="AO507" s="1595">
        <f t="shared" si="353"/>
        <v>3.3865300000011055E-7</v>
      </c>
    </row>
    <row r="508" spans="1:48" s="84" customFormat="1" x14ac:dyDescent="0.35">
      <c r="A508" s="103" t="str">
        <f t="shared" si="355"/>
        <v>405200</v>
      </c>
      <c r="B508" s="3346" t="str">
        <f>'Income Eligible Deemed Table'!C1147</f>
        <v>405200_2019_12_</v>
      </c>
      <c r="C508" s="3343" t="str">
        <f>'Income Eligible Deemed Table'!G1147</f>
        <v>Lighting RES</v>
      </c>
      <c r="D508" s="3343"/>
      <c r="E508" s="3343"/>
      <c r="F508" s="3343"/>
      <c r="G508" s="3343" t="str">
        <f>'Income Eligible Deemed Table'!E1147</f>
        <v>LED - 12W (Replacing CFL) IEDI</v>
      </c>
      <c r="H508" s="50" t="str">
        <f>'Income Eligible Deemed Table'!D1147</f>
        <v>SFIE / MFIE</v>
      </c>
      <c r="I508" s="1966">
        <f>'Income Eligible Deemed Table'!F1147</f>
        <v>5.57</v>
      </c>
      <c r="J508" s="1966"/>
      <c r="K508" s="560"/>
      <c r="L508" s="560"/>
      <c r="M508" s="560"/>
      <c r="N508" s="560"/>
      <c r="O508" s="1967">
        <f>'Income Eligible Deemed Table'!M1147</f>
        <v>8.3100000000000003E-4</v>
      </c>
      <c r="P508" s="1967"/>
      <c r="Q508" s="1968"/>
      <c r="R508" s="1968"/>
      <c r="S508" s="1968"/>
      <c r="T508" s="1968"/>
      <c r="U508" s="1969"/>
      <c r="V508" s="1969"/>
      <c r="W508" s="1969">
        <f t="shared" si="354"/>
        <v>8.3100000000000003E-4</v>
      </c>
      <c r="X508" s="55">
        <f>'Income Eligible Deemed Table'!N1147</f>
        <v>19</v>
      </c>
      <c r="Y508" s="55"/>
      <c r="Z508" s="55">
        <f t="shared" si="356"/>
        <v>19</v>
      </c>
      <c r="AA508" s="49">
        <f>'Income Eligible Deemed Table'!BB1147</f>
        <v>0.55837102164119046</v>
      </c>
      <c r="AB508" s="698">
        <f>'Income Eligible Deemed Table'!P1147</f>
        <v>6</v>
      </c>
      <c r="AC508" s="2582">
        <f t="shared" si="357"/>
        <v>3.1620822367599266</v>
      </c>
      <c r="AD508" s="2582">
        <f t="shared" si="350"/>
        <v>0</v>
      </c>
      <c r="AE508" s="1380">
        <f>'Income Eligible Deemed Table'!BD1147</f>
        <v>3.1620822367599266</v>
      </c>
      <c r="AF508" s="571"/>
      <c r="AG508" s="571"/>
      <c r="AH508" s="571"/>
      <c r="AI508" s="2595" t="str">
        <f>'Income Eligible Deemed Table'!R1147</f>
        <v>per measure</v>
      </c>
      <c r="AJ508" s="141"/>
      <c r="AK508"/>
      <c r="AL508"/>
      <c r="AM508" s="1596">
        <f t="shared" si="352"/>
        <v>1.4925290000000001E-4</v>
      </c>
      <c r="AN508">
        <f t="shared" si="351"/>
        <v>8.3133865300000014E-4</v>
      </c>
      <c r="AO508" s="1595">
        <f t="shared" si="353"/>
        <v>3.3865300000011055E-7</v>
      </c>
      <c r="AP508"/>
      <c r="AQ508"/>
      <c r="AR508"/>
      <c r="AS508"/>
      <c r="AT508"/>
      <c r="AU508"/>
      <c r="AV508"/>
    </row>
    <row r="509" spans="1:48" x14ac:dyDescent="0.35">
      <c r="A509" s="103" t="str">
        <f t="shared" si="355"/>
        <v>405250</v>
      </c>
      <c r="B509" s="3346" t="str">
        <f>'Income Eligible Deemed Table'!C1148</f>
        <v>405250_2019_12_</v>
      </c>
      <c r="C509" s="3343" t="str">
        <f>'Income Eligible Deemed Table'!G1148</f>
        <v>Lighting RES</v>
      </c>
      <c r="D509" s="3343"/>
      <c r="E509" s="3343"/>
      <c r="F509" s="3343"/>
      <c r="G509" s="3343" t="str">
        <f>'Income Eligible Deemed Table'!E1148</f>
        <v>LED - 15W (CFL baseline) (1050-1489 lumens) IEDI</v>
      </c>
      <c r="H509" s="50" t="str">
        <f>'Income Eligible Deemed Table'!D1148</f>
        <v>SFIE / MFIE</v>
      </c>
      <c r="I509" s="1966">
        <f>'Income Eligible Deemed Table'!F1148</f>
        <v>5.44</v>
      </c>
      <c r="J509" s="1966"/>
      <c r="K509" s="560"/>
      <c r="L509" s="560"/>
      <c r="M509" s="560"/>
      <c r="N509" s="560"/>
      <c r="O509" s="1967">
        <f>'Income Eligible Deemed Table'!M1148</f>
        <v>8.12E-4</v>
      </c>
      <c r="P509" s="1967"/>
      <c r="Q509" s="1968"/>
      <c r="R509" s="1968"/>
      <c r="S509" s="1968"/>
      <c r="T509" s="1968"/>
      <c r="U509" s="1969"/>
      <c r="V509" s="1969"/>
      <c r="W509" s="1969">
        <f t="shared" si="354"/>
        <v>8.12E-4</v>
      </c>
      <c r="X509" s="55">
        <f>'Income Eligible Deemed Table'!N1148</f>
        <v>19</v>
      </c>
      <c r="Y509" s="55"/>
      <c r="Z509" s="55">
        <f t="shared" si="356"/>
        <v>19</v>
      </c>
      <c r="AA509" s="49">
        <f>'Income Eligible Deemed Table'!BB1148</f>
        <v>0.40900426719857402</v>
      </c>
      <c r="AB509" s="698">
        <f>'Income Eligible Deemed Table'!P1148</f>
        <v>8</v>
      </c>
      <c r="AC509" s="2582">
        <f t="shared" si="357"/>
        <v>3.0882813946093362</v>
      </c>
      <c r="AD509" s="2582">
        <f t="shared" si="350"/>
        <v>0</v>
      </c>
      <c r="AE509" s="1380">
        <f>'Income Eligible Deemed Table'!BD1148</f>
        <v>3.0882813946093362</v>
      </c>
      <c r="AF509" s="571"/>
      <c r="AG509" s="571"/>
      <c r="AH509" s="571"/>
      <c r="AI509" s="2595" t="str">
        <f>'Income Eligible Deemed Table'!R1148</f>
        <v>per measure</v>
      </c>
      <c r="AJ509" s="141"/>
      <c r="AM509" s="1596">
        <f t="shared" si="352"/>
        <v>1.4925290000000001E-4</v>
      </c>
      <c r="AN509">
        <f t="shared" si="351"/>
        <v>8.1193577600000011E-4</v>
      </c>
      <c r="AO509" s="1595">
        <f t="shared" si="353"/>
        <v>-6.4223999999895795E-8</v>
      </c>
    </row>
    <row r="510" spans="1:48" x14ac:dyDescent="0.35">
      <c r="A510" s="103" t="str">
        <f t="shared" si="355"/>
        <v>405251</v>
      </c>
      <c r="B510" s="3346" t="str">
        <f>'Income Eligible Deemed Table'!C1149</f>
        <v>405251_2020_12_</v>
      </c>
      <c r="C510" s="3343" t="str">
        <f>'Income Eligible Deemed Table'!G1149</f>
        <v>Lighting RES</v>
      </c>
      <c r="D510" s="3343"/>
      <c r="E510" s="3343"/>
      <c r="F510" s="3343"/>
      <c r="G510" s="3343" t="str">
        <f>'Income Eligible Deemed Table'!E1149</f>
        <v>LED - 11W Flood Light BR30 Bulb (CFL baseline) IEDI</v>
      </c>
      <c r="H510" s="50" t="str">
        <f>'Income Eligible Deemed Table'!D1149</f>
        <v>SFIE / MFIE</v>
      </c>
      <c r="I510" s="1966">
        <f>'Income Eligible Deemed Table'!F1149</f>
        <v>5.17</v>
      </c>
      <c r="J510" s="1966"/>
      <c r="K510" s="560"/>
      <c r="L510" s="560"/>
      <c r="M510" s="560"/>
      <c r="N510" s="560"/>
      <c r="O510" s="1967">
        <f>'Income Eligible Deemed Table'!M1149</f>
        <v>7.7200000000000001E-4</v>
      </c>
      <c r="P510" s="1967"/>
      <c r="Q510" s="1968"/>
      <c r="R510" s="1968"/>
      <c r="S510" s="1968"/>
      <c r="T510" s="1968"/>
      <c r="U510" s="1969"/>
      <c r="V510" s="1969"/>
      <c r="W510" s="1969">
        <f t="shared" si="354"/>
        <v>7.7200000000000001E-4</v>
      </c>
      <c r="X510" s="55">
        <f>'Income Eligible Deemed Table'!N1149</f>
        <v>19</v>
      </c>
      <c r="Y510" s="55"/>
      <c r="Z510" s="55">
        <f t="shared" si="356"/>
        <v>19</v>
      </c>
      <c r="AA510" s="49">
        <f>'Income Eligible Deemed Table'!BB1149</f>
        <v>0.31096353844362168</v>
      </c>
      <c r="AB510" s="698">
        <f>'Income Eligible Deemed Table'!P1149</f>
        <v>10</v>
      </c>
      <c r="AC510" s="2582">
        <f t="shared" si="357"/>
        <v>2.9350027224504167</v>
      </c>
      <c r="AD510" s="2582">
        <f t="shared" si="350"/>
        <v>0</v>
      </c>
      <c r="AE510" s="1380">
        <f>'Income Eligible Deemed Table'!BD1149</f>
        <v>2.9350027224504167</v>
      </c>
      <c r="AF510" s="571"/>
      <c r="AG510" s="571"/>
      <c r="AH510" s="571"/>
      <c r="AI510" s="2595" t="str">
        <f>'Income Eligible Deemed Table'!R1149</f>
        <v>per measure</v>
      </c>
      <c r="AJ510" s="1589"/>
      <c r="AK510" s="84"/>
      <c r="AL510" s="84"/>
      <c r="AM510" s="1961">
        <f t="shared" si="352"/>
        <v>1.4925290000000001E-4</v>
      </c>
      <c r="AN510" s="84">
        <f t="shared" si="351"/>
        <v>7.7163749300000002E-4</v>
      </c>
      <c r="AO510" s="1965">
        <f t="shared" si="353"/>
        <v>-3.6250699999998762E-7</v>
      </c>
      <c r="AP510" s="84"/>
      <c r="AQ510" s="84"/>
      <c r="AR510" s="84"/>
      <c r="AS510" s="84"/>
      <c r="AT510" s="84"/>
      <c r="AU510" s="84"/>
      <c r="AV510" s="84"/>
    </row>
    <row r="511" spans="1:48" x14ac:dyDescent="0.35">
      <c r="A511" s="103" t="str">
        <f t="shared" si="355"/>
        <v>405300</v>
      </c>
      <c r="B511" s="3346" t="str">
        <f>'Income Eligible Deemed Table'!C1150</f>
        <v>405300_2019_12_</v>
      </c>
      <c r="C511" s="3343" t="str">
        <f>'Income Eligible Deemed Table'!G1150</f>
        <v>Lighting RES</v>
      </c>
      <c r="D511" s="3343"/>
      <c r="E511" s="3343"/>
      <c r="F511" s="3343"/>
      <c r="G511" s="3343" t="str">
        <f>'Income Eligible Deemed Table'!E1150</f>
        <v>LED - 15W Flood Light PAR30 Bulb (CFL baseline) IEDI</v>
      </c>
      <c r="H511" s="50" t="str">
        <f>'Income Eligible Deemed Table'!D1150</f>
        <v>SFIE / MFIE</v>
      </c>
      <c r="I511" s="1966">
        <f>'Income Eligible Deemed Table'!F1150</f>
        <v>3.15</v>
      </c>
      <c r="J511" s="1966"/>
      <c r="K511" s="560"/>
      <c r="L511" s="560"/>
      <c r="M511" s="560"/>
      <c r="N511" s="560"/>
      <c r="O511" s="1967">
        <f>'Income Eligible Deemed Table'!M1150</f>
        <v>4.6900000000000002E-4</v>
      </c>
      <c r="P511" s="1967"/>
      <c r="Q511" s="1968"/>
      <c r="R511" s="1968"/>
      <c r="S511" s="1968"/>
      <c r="T511" s="1968"/>
      <c r="U511" s="1969"/>
      <c r="V511" s="1969"/>
      <c r="W511" s="1969">
        <f t="shared" si="354"/>
        <v>4.6900000000000002E-4</v>
      </c>
      <c r="X511" s="55">
        <f>'Income Eligible Deemed Table'!N1150</f>
        <v>19</v>
      </c>
      <c r="Y511" s="55"/>
      <c r="Z511" s="55">
        <f t="shared" si="356"/>
        <v>19</v>
      </c>
      <c r="AA511" s="49">
        <f>'Income Eligible Deemed Table'!BB1150</f>
        <v>0.18946521201110411</v>
      </c>
      <c r="AB511" s="698">
        <f>'Income Eligible Deemed Table'!P1150</f>
        <v>10</v>
      </c>
      <c r="AC511" s="2582">
        <f t="shared" si="357"/>
        <v>1.7882511751873911</v>
      </c>
      <c r="AD511" s="2582">
        <f t="shared" si="350"/>
        <v>0</v>
      </c>
      <c r="AE511" s="1380">
        <f>'Income Eligible Deemed Table'!BD1150</f>
        <v>1.7882511751873911</v>
      </c>
      <c r="AF511" s="571"/>
      <c r="AG511" s="571"/>
      <c r="AH511" s="571"/>
      <c r="AI511" s="2595" t="str">
        <f>'Income Eligible Deemed Table'!R1150</f>
        <v>per measure</v>
      </c>
      <c r="AJ511" s="141"/>
      <c r="AM511" s="1596">
        <f t="shared" si="352"/>
        <v>1.4925290000000001E-4</v>
      </c>
      <c r="AN511">
        <f t="shared" si="351"/>
        <v>4.7014663500000002E-4</v>
      </c>
      <c r="AO511" s="1595">
        <f t="shared" si="353"/>
        <v>1.1466350000000026E-6</v>
      </c>
    </row>
    <row r="512" spans="1:48" s="84" customFormat="1" x14ac:dyDescent="0.35">
      <c r="A512" s="103" t="str">
        <f t="shared" si="355"/>
        <v>405350</v>
      </c>
      <c r="B512" s="3346" t="str">
        <f>'Income Eligible Deemed Table'!C1151</f>
        <v>405350_2019_12_</v>
      </c>
      <c r="C512" s="3343" t="str">
        <f>'Income Eligible Deemed Table'!G1151</f>
        <v>Lighting RES</v>
      </c>
      <c r="D512" s="3343"/>
      <c r="E512" s="3343"/>
      <c r="F512" s="3343"/>
      <c r="G512" s="3343" t="str">
        <f>'Income Eligible Deemed Table'!E1151</f>
        <v>LED - 18W Flood Light PAR38 Bulb (CFL baseline) IEDI</v>
      </c>
      <c r="H512" s="50" t="str">
        <f>'Income Eligible Deemed Table'!D1151</f>
        <v>SFIE / MFIE</v>
      </c>
      <c r="I512" s="1966">
        <f>'Income Eligible Deemed Table'!F1151</f>
        <v>3.28</v>
      </c>
      <c r="J512" s="1966"/>
      <c r="K512" s="560"/>
      <c r="L512" s="560"/>
      <c r="M512" s="560"/>
      <c r="N512" s="560"/>
      <c r="O512" s="1967">
        <f>'Income Eligible Deemed Table'!M1151</f>
        <v>4.8899999999999996E-4</v>
      </c>
      <c r="P512" s="1967"/>
      <c r="Q512" s="1968"/>
      <c r="R512" s="1968"/>
      <c r="S512" s="1968"/>
      <c r="T512" s="1968"/>
      <c r="U512" s="1969"/>
      <c r="V512" s="1969"/>
      <c r="W512" s="1969">
        <f t="shared" si="354"/>
        <v>4.8899999999999996E-4</v>
      </c>
      <c r="X512" s="55">
        <f>'Income Eligible Deemed Table'!N1151</f>
        <v>19</v>
      </c>
      <c r="Y512" s="55"/>
      <c r="Z512" s="55">
        <f t="shared" si="356"/>
        <v>19</v>
      </c>
      <c r="AA512" s="49">
        <f>'Income Eligible Deemed Table'!BB1151</f>
        <v>0.13152294082463944</v>
      </c>
      <c r="AB512" s="698">
        <f>'Income Eligible Deemed Table'!P1151</f>
        <v>15</v>
      </c>
      <c r="AC512" s="2582">
        <f t="shared" si="357"/>
        <v>1.8620520173379818</v>
      </c>
      <c r="AD512" s="2582">
        <f t="shared" si="350"/>
        <v>0</v>
      </c>
      <c r="AE512" s="1380">
        <f>'Income Eligible Deemed Table'!BD1151</f>
        <v>1.8620520173379818</v>
      </c>
      <c r="AF512" s="571"/>
      <c r="AG512" s="571"/>
      <c r="AH512" s="571"/>
      <c r="AI512" s="2595" t="str">
        <f>'Income Eligible Deemed Table'!R1151</f>
        <v>per measure</v>
      </c>
      <c r="AJ512" s="141"/>
      <c r="AK512"/>
      <c r="AL512"/>
      <c r="AM512" s="1596">
        <f t="shared" si="352"/>
        <v>1.4925290000000001E-4</v>
      </c>
      <c r="AN512">
        <f t="shared" si="351"/>
        <v>4.8954951200000005E-4</v>
      </c>
      <c r="AO512" s="1595">
        <f t="shared" si="353"/>
        <v>5.4951200000009307E-7</v>
      </c>
      <c r="AP512"/>
      <c r="AQ512"/>
      <c r="AR512"/>
      <c r="AS512"/>
      <c r="AT512"/>
      <c r="AU512"/>
      <c r="AV512"/>
    </row>
    <row r="513" spans="1:48" s="84" customFormat="1" x14ac:dyDescent="0.35">
      <c r="A513" s="103" t="str">
        <f t="shared" si="355"/>
        <v>405400</v>
      </c>
      <c r="B513" s="3346" t="str">
        <f>'Income Eligible Deemed Table'!C1152</f>
        <v>405400_2019_12_</v>
      </c>
      <c r="C513" s="3343" t="str">
        <f>'Income Eligible Deemed Table'!G1152</f>
        <v>Lighting RES</v>
      </c>
      <c r="D513" s="3343"/>
      <c r="E513" s="3343"/>
      <c r="F513" s="3343"/>
      <c r="G513" s="3343" t="str">
        <f>'Income Eligible Deemed Table'!E1152</f>
        <v>LED - 20W (CFL baseline) (1490-2600 lumens) IEDI</v>
      </c>
      <c r="H513" s="50" t="str">
        <f>'Income Eligible Deemed Table'!D1152</f>
        <v>SFIE / MFIE</v>
      </c>
      <c r="I513" s="1966">
        <f>'Income Eligible Deemed Table'!F1152</f>
        <v>6.42</v>
      </c>
      <c r="J513" s="1966"/>
      <c r="K513" s="560"/>
      <c r="L513" s="560"/>
      <c r="M513" s="560"/>
      <c r="N513" s="560"/>
      <c r="O513" s="1967">
        <f>'Income Eligible Deemed Table'!M1152</f>
        <v>9.59E-4</v>
      </c>
      <c r="P513" s="1967"/>
      <c r="Q513" s="1968"/>
      <c r="R513" s="1968"/>
      <c r="S513" s="1968"/>
      <c r="T513" s="1968"/>
      <c r="U513" s="1969"/>
      <c r="V513" s="1969"/>
      <c r="W513" s="1969">
        <f t="shared" si="354"/>
        <v>9.59E-4</v>
      </c>
      <c r="X513" s="55">
        <f>'Income Eligible Deemed Table'!N1152</f>
        <v>19</v>
      </c>
      <c r="Y513" s="55"/>
      <c r="Z513" s="55">
        <f t="shared" si="356"/>
        <v>19</v>
      </c>
      <c r="AA513" s="49">
        <f>'Income Eligible Deemed Table'!BB1152</f>
        <v>0.48268518298067004</v>
      </c>
      <c r="AB513" s="698">
        <f>'Income Eligible Deemed Table'!P1152</f>
        <v>8</v>
      </c>
      <c r="AC513" s="2582">
        <f t="shared" si="357"/>
        <v>3.6446262046676354</v>
      </c>
      <c r="AD513" s="2582">
        <f t="shared" si="350"/>
        <v>0</v>
      </c>
      <c r="AE513" s="1380">
        <f>'Income Eligible Deemed Table'!BD1152</f>
        <v>3.6446262046676354</v>
      </c>
      <c r="AF513" s="571"/>
      <c r="AG513" s="571"/>
      <c r="AH513" s="571"/>
      <c r="AI513" s="2595" t="str">
        <f>'Income Eligible Deemed Table'!R1152</f>
        <v>per measure</v>
      </c>
      <c r="AJ513" s="141"/>
      <c r="AK513"/>
      <c r="AL513"/>
      <c r="AM513" s="1596">
        <f t="shared" si="352"/>
        <v>1.4925290000000001E-4</v>
      </c>
      <c r="AN513">
        <f t="shared" si="351"/>
        <v>9.5820361800000005E-4</v>
      </c>
      <c r="AO513" s="1595">
        <f t="shared" si="353"/>
        <v>-7.9638199999994795E-7</v>
      </c>
      <c r="AP513"/>
      <c r="AQ513"/>
      <c r="AR513"/>
      <c r="AS513"/>
      <c r="AT513"/>
      <c r="AU513"/>
      <c r="AV513"/>
    </row>
    <row r="514" spans="1:48" s="84" customFormat="1" x14ac:dyDescent="0.35">
      <c r="A514" s="103" t="str">
        <f t="shared" si="355"/>
        <v>405409</v>
      </c>
      <c r="B514" s="3346" t="str">
        <f>'Income Eligible Deemed Table'!C1153</f>
        <v>405409_2021_12_</v>
      </c>
      <c r="C514" s="3343" t="str">
        <f>'Income Eligible Deemed Table'!G1153</f>
        <v>Lighting RES</v>
      </c>
      <c r="D514" s="3343"/>
      <c r="E514" s="3343"/>
      <c r="F514" s="3343"/>
      <c r="G514" s="3343" t="str">
        <f>'Income Eligible Deemed Table'!E1153</f>
        <v>LED - 6W (CFL baseline) (310-749 lumens) IEDI</v>
      </c>
      <c r="H514" s="50" t="str">
        <f>'Income Eligible Deemed Table'!D1153</f>
        <v>SFIE / MFIE</v>
      </c>
      <c r="I514" s="1966">
        <f>'Income Eligible Deemed Table'!F1153</f>
        <v>3.78</v>
      </c>
      <c r="J514" s="1966"/>
      <c r="K514" s="560"/>
      <c r="L514" s="560"/>
      <c r="M514" s="560"/>
      <c r="N514" s="560"/>
      <c r="O514" s="1967">
        <f>'Income Eligible Deemed Table'!M1153</f>
        <v>5.6400000000000005E-4</v>
      </c>
      <c r="P514" s="1967"/>
      <c r="Q514" s="1968"/>
      <c r="R514" s="1968"/>
      <c r="S514" s="1968"/>
      <c r="T514" s="1968"/>
      <c r="U514" s="1969"/>
      <c r="V514" s="1969"/>
      <c r="W514" s="1969">
        <f t="shared" si="354"/>
        <v>5.6400000000000005E-4</v>
      </c>
      <c r="X514" s="55">
        <f>'Income Eligible Deemed Table'!N1153</f>
        <v>19</v>
      </c>
      <c r="Y514" s="55"/>
      <c r="Z514" s="55">
        <f t="shared" si="356"/>
        <v>19</v>
      </c>
      <c r="AA514" s="49">
        <f>'Income Eligible Deemed Table'!BB1153</f>
        <v>0.32479750630474991</v>
      </c>
      <c r="AB514" s="698">
        <f>'Income Eligible Deemed Table'!P1153</f>
        <v>7</v>
      </c>
      <c r="AC514" s="2582">
        <f t="shared" si="357"/>
        <v>2.1459014102248695</v>
      </c>
      <c r="AD514" s="2582">
        <f t="shared" si="350"/>
        <v>0</v>
      </c>
      <c r="AE514" s="1380">
        <f>'Income Eligible Deemed Table'!BD1153</f>
        <v>2.1459014102248695</v>
      </c>
      <c r="AF514" s="571"/>
      <c r="AG514" s="571"/>
      <c r="AH514" s="571"/>
      <c r="AI514" s="2595" t="str">
        <f>'Income Eligible Deemed Table'!R1153</f>
        <v>per measure</v>
      </c>
      <c r="AJ514" s="1589"/>
      <c r="AM514" s="1961">
        <f t="shared" si="352"/>
        <v>1.4925290000000001E-4</v>
      </c>
      <c r="AN514" s="84">
        <f t="shared" si="351"/>
        <v>5.6417596200000004E-4</v>
      </c>
      <c r="AO514" s="1965">
        <f t="shared" si="353"/>
        <v>1.7596199999999566E-7</v>
      </c>
    </row>
    <row r="515" spans="1:48" x14ac:dyDescent="0.35">
      <c r="A515" s="103" t="str">
        <f t="shared" si="355"/>
        <v>405410</v>
      </c>
      <c r="B515" s="3346" t="str">
        <f>'Income Eligible Deemed Table'!C1154</f>
        <v>405410_2019_12_</v>
      </c>
      <c r="C515" s="3343" t="str">
        <f>'Income Eligible Deemed Table'!G1154</f>
        <v>Lighting RES</v>
      </c>
      <c r="D515" s="3343"/>
      <c r="E515" s="3343"/>
      <c r="F515" s="3343"/>
      <c r="G515" s="3343" t="str">
        <f>'Income Eligible Deemed Table'!E1154</f>
        <v>LED - 6W (Halogen baseline) (310-749 lumens) IEDI</v>
      </c>
      <c r="H515" s="50" t="str">
        <f>'Income Eligible Deemed Table'!D1154</f>
        <v>SFIE / MFIE</v>
      </c>
      <c r="I515" s="1966">
        <f>'Income Eligible Deemed Table'!F1154</f>
        <v>15.07</v>
      </c>
      <c r="J515" s="1966"/>
      <c r="K515" s="560"/>
      <c r="L515" s="560"/>
      <c r="M515" s="560"/>
      <c r="N515" s="560"/>
      <c r="O515" s="1967">
        <f>'Income Eligible Deemed Table'!M1154</f>
        <v>2.2499999999999998E-3</v>
      </c>
      <c r="P515" s="1967"/>
      <c r="Q515" s="1968"/>
      <c r="R515" s="1968"/>
      <c r="S515" s="1968"/>
      <c r="T515" s="1968"/>
      <c r="U515" s="1969"/>
      <c r="V515" s="1969"/>
      <c r="W515" s="1969">
        <f t="shared" si="354"/>
        <v>2.2499999999999998E-3</v>
      </c>
      <c r="X515" s="55">
        <f>'Income Eligible Deemed Table'!N1154</f>
        <v>19</v>
      </c>
      <c r="Y515" s="55"/>
      <c r="Z515" s="55">
        <f t="shared" si="356"/>
        <v>19</v>
      </c>
      <c r="AA515" s="49">
        <f>'Income Eligible Deemed Table'!BB1154</f>
        <v>1.5107093888927721</v>
      </c>
      <c r="AB515" s="698">
        <f>'Income Eligible Deemed Table'!P1154</f>
        <v>6</v>
      </c>
      <c r="AC515" s="2582">
        <f t="shared" si="357"/>
        <v>8.5552207016107893</v>
      </c>
      <c r="AD515" s="2582">
        <f t="shared" si="350"/>
        <v>0</v>
      </c>
      <c r="AE515" s="1380">
        <f>'Income Eligible Deemed Table'!BD1154</f>
        <v>8.5552207016107893</v>
      </c>
      <c r="AF515" s="571"/>
      <c r="AG515" s="571"/>
      <c r="AH515" s="571"/>
      <c r="AI515" s="2595" t="str">
        <f>'Income Eligible Deemed Table'!R1154</f>
        <v>per measure</v>
      </c>
      <c r="AJ515" s="1589"/>
      <c r="AK515" s="84"/>
      <c r="AL515" s="84"/>
      <c r="AM515" s="1961">
        <f t="shared" si="352"/>
        <v>1.4925290000000001E-4</v>
      </c>
      <c r="AN515" s="84">
        <f t="shared" si="351"/>
        <v>2.249241203E-3</v>
      </c>
      <c r="AO515" s="1965">
        <f t="shared" si="353"/>
        <v>-7.5879699999985978E-7</v>
      </c>
      <c r="AP515" s="84"/>
      <c r="AQ515" s="84"/>
      <c r="AR515" s="84"/>
      <c r="AS515" s="84"/>
      <c r="AT515" s="84"/>
      <c r="AU515" s="84"/>
      <c r="AV515" s="84"/>
    </row>
    <row r="516" spans="1:48" s="84" customFormat="1" x14ac:dyDescent="0.35">
      <c r="A516" s="103" t="str">
        <f t="shared" si="355"/>
        <v>405430</v>
      </c>
      <c r="B516" s="3346" t="str">
        <f>'Income Eligible Deemed Table'!C1155</f>
        <v>405430_2021_12_</v>
      </c>
      <c r="C516" s="3343" t="str">
        <f>'Income Eligible Deemed Table'!G1155</f>
        <v>Lighting RES</v>
      </c>
      <c r="D516" s="3343"/>
      <c r="E516" s="3343"/>
      <c r="F516" s="3343"/>
      <c r="G516" s="3343" t="str">
        <f>'Income Eligible Deemed Table'!E1155</f>
        <v>LED Nightlights</v>
      </c>
      <c r="H516" s="50" t="str">
        <f>'Income Eligible Deemed Table'!D1155</f>
        <v>SFIE / MFIE</v>
      </c>
      <c r="I516" s="1966">
        <f>'Income Eligible Deemed Table'!F1155</f>
        <v>28.53</v>
      </c>
      <c r="J516" s="1966"/>
      <c r="K516" s="560"/>
      <c r="L516" s="560"/>
      <c r="M516" s="560"/>
      <c r="N516" s="560"/>
      <c r="O516" s="1967">
        <f>'Income Eligible Deemed Table'!M1155</f>
        <v>4.2579999999999996E-3</v>
      </c>
      <c r="P516" s="1967"/>
      <c r="Q516" s="1968"/>
      <c r="R516" s="1968"/>
      <c r="S516" s="1968"/>
      <c r="T516" s="1968"/>
      <c r="U516" s="1969"/>
      <c r="V516" s="1969"/>
      <c r="W516" s="1969">
        <f t="shared" si="354"/>
        <v>4.2579999999999996E-3</v>
      </c>
      <c r="X516" s="55">
        <f>'Income Eligible Deemed Table'!N1155</f>
        <v>19</v>
      </c>
      <c r="Y516" s="55"/>
      <c r="Z516" s="55">
        <f t="shared" si="356"/>
        <v>19</v>
      </c>
      <c r="AA516" s="49">
        <f>'Income Eligible Deemed Table'!BB1155</f>
        <v>2.8600224860723813</v>
      </c>
      <c r="AB516" s="698">
        <f>'Income Eligible Deemed Table'!P1155</f>
        <v>6</v>
      </c>
      <c r="AC516" s="2582">
        <f t="shared" si="357"/>
        <v>16.196446358125801</v>
      </c>
      <c r="AD516" s="2582">
        <f t="shared" si="350"/>
        <v>0</v>
      </c>
      <c r="AE516" s="1380">
        <f>'Income Eligible Deemed Table'!BD1155</f>
        <v>16.196446358125801</v>
      </c>
      <c r="AF516" s="571"/>
      <c r="AG516" s="571"/>
      <c r="AH516" s="571"/>
      <c r="AI516" s="2595" t="str">
        <f>'Income Eligible Deemed Table'!R1155</f>
        <v>per measure</v>
      </c>
      <c r="AJ516" s="1589"/>
      <c r="AM516" s="1961">
        <f t="shared" si="352"/>
        <v>1.4925290000000001E-4</v>
      </c>
      <c r="AN516" s="84">
        <f t="shared" si="351"/>
        <v>4.2581852370000006E-3</v>
      </c>
      <c r="AO516" s="1965">
        <f t="shared" si="353"/>
        <v>1.8523700000099008E-7</v>
      </c>
    </row>
    <row r="517" spans="1:48" x14ac:dyDescent="0.35">
      <c r="A517" s="103" t="str">
        <f t="shared" si="355"/>
        <v>405450</v>
      </c>
      <c r="B517" s="3346" t="str">
        <f>'Income Eligible Deemed Table'!C1267</f>
        <v>405450_2021_12_</v>
      </c>
      <c r="C517" s="3343" t="str">
        <f>'Income Eligible Deemed Table'!G1267</f>
        <v>Miscellaneous RES</v>
      </c>
      <c r="D517" s="3343"/>
      <c r="E517" s="3343"/>
      <c r="F517" s="3343"/>
      <c r="G517" s="3343" t="str">
        <f>'Income Eligible Deemed Table'!E1267</f>
        <v>Advanced Tier 1 Power Strips / TOS/NC - Home Office</v>
      </c>
      <c r="H517" s="50" t="str">
        <f>'Income Eligible Deemed Table'!D1267</f>
        <v>SFIE / MFIE</v>
      </c>
      <c r="I517" s="1966">
        <f>'Income Eligible Deemed Table'!F1267</f>
        <v>29.45</v>
      </c>
      <c r="J517" s="1966"/>
      <c r="K517" s="560"/>
      <c r="L517" s="560"/>
      <c r="M517" s="560"/>
      <c r="N517" s="560"/>
      <c r="O517" s="1967">
        <f>'Income Eligible Deemed Table'!I1267</f>
        <v>3.382E-3</v>
      </c>
      <c r="P517" s="1967"/>
      <c r="Q517" s="1968"/>
      <c r="R517" s="1968"/>
      <c r="S517" s="1968"/>
      <c r="T517" s="1968"/>
      <c r="U517" s="1969">
        <v>0</v>
      </c>
      <c r="V517" s="1969">
        <f t="shared" ref="V517:V527" si="358">O517</f>
        <v>3.382E-3</v>
      </c>
      <c r="W517" s="1969">
        <v>0</v>
      </c>
      <c r="X517" s="55">
        <f>'Income Eligible Deemed Table'!J1267</f>
        <v>10</v>
      </c>
      <c r="Y517" s="55"/>
      <c r="Z517" s="55">
        <f t="shared" si="356"/>
        <v>10</v>
      </c>
      <c r="AA517" s="49">
        <f>'Income Eligible Deemed Table'!BB1267</f>
        <v>0.5393865650555788</v>
      </c>
      <c r="AB517" s="698">
        <f>'Income Eligible Deemed Table'!K1267</f>
        <v>20</v>
      </c>
      <c r="AC517" s="2582">
        <f t="shared" si="357"/>
        <v>10.181907787740986</v>
      </c>
      <c r="AD517" s="2582">
        <f t="shared" si="350"/>
        <v>0</v>
      </c>
      <c r="AE517" s="1380">
        <f>'Income Eligible Deemed Table'!BD1267</f>
        <v>10.181907787740986</v>
      </c>
      <c r="AF517" s="571"/>
      <c r="AG517" s="571"/>
      <c r="AH517" s="571"/>
      <c r="AI517" s="3346" t="str">
        <f>'Income Eligible Deemed Table'!L1267</f>
        <v>per measure</v>
      </c>
      <c r="AJ517" s="141"/>
      <c r="AM517" s="1596">
        <f t="shared" si="352"/>
        <v>1.148238E-4</v>
      </c>
      <c r="AN517">
        <f t="shared" si="351"/>
        <v>3.3815609099999999E-3</v>
      </c>
      <c r="AO517" s="1595">
        <f t="shared" si="353"/>
        <v>-4.3909000000015574E-7</v>
      </c>
    </row>
    <row r="518" spans="1:48" x14ac:dyDescent="0.35">
      <c r="A518" s="103" t="str">
        <f t="shared" si="355"/>
        <v>405451</v>
      </c>
      <c r="B518" s="3346" t="str">
        <f>'Income Eligible Deemed Table'!C1268</f>
        <v>405451_2021_12_</v>
      </c>
      <c r="C518" s="3343" t="str">
        <f>'Income Eligible Deemed Table'!G1268</f>
        <v>Miscellaneous RES</v>
      </c>
      <c r="D518" s="3343"/>
      <c r="E518" s="3343"/>
      <c r="F518" s="3343"/>
      <c r="G518" s="3343" t="str">
        <f>'Income Eligible Deemed Table'!E1268</f>
        <v>Advanced Tier 1 Power Strips / DI - Home Office</v>
      </c>
      <c r="H518" s="50" t="str">
        <f>'Income Eligible Deemed Table'!D1268</f>
        <v>SFIE / MFIE</v>
      </c>
      <c r="I518" s="1966">
        <f>'Income Eligible Deemed Table'!F1268</f>
        <v>29.45</v>
      </c>
      <c r="J518" s="1966"/>
      <c r="K518" s="560"/>
      <c r="L518" s="560"/>
      <c r="M518" s="560"/>
      <c r="N518" s="560"/>
      <c r="O518" s="1967">
        <f>'Income Eligible Deemed Table'!I1268</f>
        <v>3.382E-3</v>
      </c>
      <c r="P518" s="1967"/>
      <c r="Q518" s="1968"/>
      <c r="R518" s="1968"/>
      <c r="S518" s="1968"/>
      <c r="T518" s="1968"/>
      <c r="U518" s="1969">
        <v>0</v>
      </c>
      <c r="V518" s="1969">
        <f t="shared" si="358"/>
        <v>3.382E-3</v>
      </c>
      <c r="W518" s="1969">
        <v>0</v>
      </c>
      <c r="X518" s="55">
        <f>'Income Eligible Deemed Table'!J1268</f>
        <v>10</v>
      </c>
      <c r="Y518" s="55"/>
      <c r="Z518" s="55">
        <f t="shared" si="356"/>
        <v>10</v>
      </c>
      <c r="AA518" s="49">
        <f>'Income Eligible Deemed Table'!BB1268</f>
        <v>0.35959104337038583</v>
      </c>
      <c r="AB518" s="698">
        <f>'Income Eligible Deemed Table'!K1268</f>
        <v>30</v>
      </c>
      <c r="AC518" s="2582">
        <f t="shared" si="357"/>
        <v>10.181907787740986</v>
      </c>
      <c r="AD518" s="2582">
        <f t="shared" si="350"/>
        <v>0</v>
      </c>
      <c r="AE518" s="1380">
        <f>'Income Eligible Deemed Table'!BD1268</f>
        <v>10.181907787740986</v>
      </c>
      <c r="AF518" s="571"/>
      <c r="AG518" s="571"/>
      <c r="AH518" s="571"/>
      <c r="AI518" s="3346" t="str">
        <f>'Income Eligible Deemed Table'!L1268</f>
        <v>per measure</v>
      </c>
      <c r="AJ518" s="1589"/>
      <c r="AK518" s="84"/>
      <c r="AL518" s="84"/>
      <c r="AM518" s="1961">
        <f t="shared" si="352"/>
        <v>1.148238E-4</v>
      </c>
      <c r="AN518" s="84">
        <f t="shared" si="351"/>
        <v>3.3815609099999999E-3</v>
      </c>
      <c r="AO518" s="1965">
        <f t="shared" si="353"/>
        <v>-4.3909000000015574E-7</v>
      </c>
      <c r="AP518" s="84"/>
      <c r="AQ518" s="84"/>
      <c r="AR518" s="84"/>
      <c r="AS518" s="84"/>
      <c r="AT518" s="84"/>
      <c r="AU518" s="84"/>
      <c r="AV518" s="84"/>
    </row>
    <row r="519" spans="1:48" s="84" customFormat="1" x14ac:dyDescent="0.35">
      <c r="A519" s="103" t="str">
        <f t="shared" si="355"/>
        <v>405500</v>
      </c>
      <c r="B519" s="3346" t="str">
        <f>'Income Eligible Deemed Table'!C1269</f>
        <v>405500_2019_12_</v>
      </c>
      <c r="C519" s="3343" t="str">
        <f>'Income Eligible Deemed Table'!G1269</f>
        <v>Miscellaneous RES</v>
      </c>
      <c r="D519" s="3343"/>
      <c r="E519" s="3343"/>
      <c r="F519" s="3343"/>
      <c r="G519" s="3343" t="str">
        <f>'Income Eligible Deemed Table'!E1269</f>
        <v>Advanced Tier 1 Power Strips / Kits - Home Office</v>
      </c>
      <c r="H519" s="50" t="str">
        <f>'Income Eligible Deemed Table'!D1269</f>
        <v>SFIE / MFIE</v>
      </c>
      <c r="I519" s="1966">
        <f>'Income Eligible Deemed Table'!F1269</f>
        <v>24.18</v>
      </c>
      <c r="J519" s="1966"/>
      <c r="K519" s="560"/>
      <c r="L519" s="560"/>
      <c r="M519" s="560"/>
      <c r="N519" s="560"/>
      <c r="O519" s="1967">
        <f>'Income Eligible Deemed Table'!I1269</f>
        <v>2.7759999999999998E-3</v>
      </c>
      <c r="P519" s="1967"/>
      <c r="Q519" s="1968"/>
      <c r="R519" s="1968"/>
      <c r="S519" s="1968"/>
      <c r="T519" s="1968"/>
      <c r="U519" s="1969">
        <v>0</v>
      </c>
      <c r="V519" s="1969">
        <f t="shared" si="358"/>
        <v>2.7759999999999998E-3</v>
      </c>
      <c r="W519" s="1969">
        <v>0</v>
      </c>
      <c r="X519" s="55">
        <f>'Income Eligible Deemed Table'!J1269</f>
        <v>10</v>
      </c>
      <c r="Y519" s="55"/>
      <c r="Z519" s="55">
        <f t="shared" si="356"/>
        <v>10</v>
      </c>
      <c r="AA519" s="49">
        <f>'Income Eligible Deemed Table'!BB1269</f>
        <v>0.44286475867721203</v>
      </c>
      <c r="AB519" s="698">
        <f>'Income Eligible Deemed Table'!K1269</f>
        <v>20</v>
      </c>
      <c r="AC519" s="2582">
        <f t="shared" si="357"/>
        <v>8.3598821836189146</v>
      </c>
      <c r="AD519" s="2582">
        <f t="shared" si="350"/>
        <v>0</v>
      </c>
      <c r="AE519" s="1380">
        <f>'Income Eligible Deemed Table'!BD1269</f>
        <v>8.3598821836189146</v>
      </c>
      <c r="AF519" s="571"/>
      <c r="AG519" s="571"/>
      <c r="AH519" s="571"/>
      <c r="AI519" s="3346" t="str">
        <f>'Income Eligible Deemed Table'!L1269</f>
        <v>per measure</v>
      </c>
      <c r="AJ519" s="141"/>
      <c r="AK519"/>
      <c r="AL519"/>
      <c r="AM519" s="1596">
        <f t="shared" si="352"/>
        <v>1.148238E-4</v>
      </c>
      <c r="AN519">
        <f t="shared" ref="AN519:AN550" si="359">AM519*I519</f>
        <v>2.7764394839999997E-3</v>
      </c>
      <c r="AO519" s="1595">
        <f t="shared" si="353"/>
        <v>4.3948399999988244E-7</v>
      </c>
      <c r="AP519"/>
      <c r="AQ519"/>
      <c r="AR519"/>
      <c r="AS519"/>
      <c r="AT519"/>
      <c r="AU519"/>
      <c r="AV519"/>
    </row>
    <row r="520" spans="1:48" x14ac:dyDescent="0.35">
      <c r="A520" s="103" t="str">
        <f t="shared" si="355"/>
        <v>405550</v>
      </c>
      <c r="B520" s="3346" t="str">
        <f>'Income Eligible Deemed Table'!C1270</f>
        <v>405550_2021_12_</v>
      </c>
      <c r="C520" s="3343" t="str">
        <f>'Income Eligible Deemed Table'!G1270</f>
        <v>Miscellaneous RES</v>
      </c>
      <c r="D520" s="3343"/>
      <c r="E520" s="3343"/>
      <c r="F520" s="3343"/>
      <c r="G520" s="3343" t="str">
        <f>'Income Eligible Deemed Table'!E1270</f>
        <v>Advanced Tier 1 Power Strips / TOS/NC - Home Entertainment</v>
      </c>
      <c r="H520" s="50" t="str">
        <f>'Income Eligible Deemed Table'!D1270</f>
        <v>SFIE / MFIE</v>
      </c>
      <c r="I520" s="1966">
        <f>'Income Eligible Deemed Table'!F1270</f>
        <v>71.349999999999994</v>
      </c>
      <c r="J520" s="1966"/>
      <c r="K520" s="560"/>
      <c r="L520" s="560"/>
      <c r="M520" s="560"/>
      <c r="N520" s="560"/>
      <c r="O520" s="1967">
        <f>'Income Eligible Deemed Table'!I1270</f>
        <v>8.1930000000000006E-3</v>
      </c>
      <c r="P520" s="1967"/>
      <c r="Q520" s="1968"/>
      <c r="R520" s="1968"/>
      <c r="S520" s="1968"/>
      <c r="T520" s="1968"/>
      <c r="U520" s="1969">
        <v>0</v>
      </c>
      <c r="V520" s="1969">
        <f t="shared" si="358"/>
        <v>8.1930000000000006E-3</v>
      </c>
      <c r="W520" s="1969">
        <v>0</v>
      </c>
      <c r="X520" s="55">
        <f>'Income Eligible Deemed Table'!J1270</f>
        <v>10</v>
      </c>
      <c r="Y520" s="55"/>
      <c r="Z520" s="55">
        <f t="shared" si="356"/>
        <v>10</v>
      </c>
      <c r="AA520" s="49">
        <f>'Income Eligible Deemed Table'!BB1270</f>
        <v>1.3067990294300695</v>
      </c>
      <c r="AB520" s="698">
        <f>'Income Eligible Deemed Table'!K1270</f>
        <v>20</v>
      </c>
      <c r="AC520" s="2582">
        <f t="shared" si="357"/>
        <v>24.668221414442083</v>
      </c>
      <c r="AD520" s="2582">
        <f t="shared" si="350"/>
        <v>0</v>
      </c>
      <c r="AE520" s="1380">
        <f>'Income Eligible Deemed Table'!BD1270</f>
        <v>24.668221414442083</v>
      </c>
      <c r="AF520" s="571"/>
      <c r="AG520" s="571"/>
      <c r="AH520" s="571"/>
      <c r="AI520" s="3346" t="str">
        <f>'Income Eligible Deemed Table'!L1270</f>
        <v>per measure</v>
      </c>
      <c r="AJ520" s="141"/>
      <c r="AM520" s="1596">
        <f t="shared" si="352"/>
        <v>1.148238E-4</v>
      </c>
      <c r="AN520">
        <f t="shared" si="359"/>
        <v>8.1926781299999987E-3</v>
      </c>
      <c r="AO520" s="1595">
        <f t="shared" si="353"/>
        <v>-3.2187000000190313E-7</v>
      </c>
    </row>
    <row r="521" spans="1:48" x14ac:dyDescent="0.35">
      <c r="A521" s="103" t="str">
        <f t="shared" si="355"/>
        <v>405551</v>
      </c>
      <c r="B521" s="3346" t="str">
        <f>'Income Eligible Deemed Table'!C1271</f>
        <v>405551_2021_12_</v>
      </c>
      <c r="C521" s="3343" t="str">
        <f>'Income Eligible Deemed Table'!G1271</f>
        <v>Miscellaneous RES</v>
      </c>
      <c r="D521" s="3343"/>
      <c r="E521" s="3343"/>
      <c r="F521" s="3343"/>
      <c r="G521" s="3343" t="str">
        <f>'Income Eligible Deemed Table'!E1271</f>
        <v>Advanced Tier 1 Power Strips / DI - Home Entertainment</v>
      </c>
      <c r="H521" s="50" t="str">
        <f>'Income Eligible Deemed Table'!D1271</f>
        <v>SFIE / MFIE</v>
      </c>
      <c r="I521" s="1966">
        <f>'Income Eligible Deemed Table'!F1271</f>
        <v>71.349999999999994</v>
      </c>
      <c r="J521" s="1966"/>
      <c r="K521" s="560"/>
      <c r="L521" s="560"/>
      <c r="M521" s="560"/>
      <c r="N521" s="560"/>
      <c r="O521" s="1967">
        <f>'Income Eligible Deemed Table'!I1271</f>
        <v>8.1930000000000006E-3</v>
      </c>
      <c r="P521" s="1967"/>
      <c r="Q521" s="1968"/>
      <c r="R521" s="1968"/>
      <c r="S521" s="1968"/>
      <c r="T521" s="1968"/>
      <c r="U521" s="1969">
        <v>0</v>
      </c>
      <c r="V521" s="1969">
        <f t="shared" si="358"/>
        <v>8.1930000000000006E-3</v>
      </c>
      <c r="W521" s="1969">
        <v>0</v>
      </c>
      <c r="X521" s="55">
        <f>'Income Eligible Deemed Table'!J1271</f>
        <v>10</v>
      </c>
      <c r="Y521" s="55"/>
      <c r="Z521" s="55">
        <f t="shared" si="356"/>
        <v>10</v>
      </c>
      <c r="AA521" s="49">
        <f>'Income Eligible Deemed Table'!BB1271</f>
        <v>0.87119935295337969</v>
      </c>
      <c r="AB521" s="698">
        <f>'Income Eligible Deemed Table'!K1271</f>
        <v>30</v>
      </c>
      <c r="AC521" s="2582">
        <f t="shared" si="357"/>
        <v>24.668221414442083</v>
      </c>
      <c r="AD521" s="2582">
        <f t="shared" si="350"/>
        <v>0</v>
      </c>
      <c r="AE521" s="1380">
        <f>'Income Eligible Deemed Table'!BD1271</f>
        <v>24.668221414442083</v>
      </c>
      <c r="AF521" s="571"/>
      <c r="AG521" s="571"/>
      <c r="AH521" s="571"/>
      <c r="AI521" s="3346" t="str">
        <f>'Income Eligible Deemed Table'!L1271</f>
        <v>per measure</v>
      </c>
      <c r="AJ521" s="1589"/>
      <c r="AK521" s="84"/>
      <c r="AL521" s="84"/>
      <c r="AM521" s="1961">
        <f t="shared" si="352"/>
        <v>1.148238E-4</v>
      </c>
      <c r="AN521" s="84">
        <f t="shared" si="359"/>
        <v>8.1926781299999987E-3</v>
      </c>
      <c r="AO521" s="1965">
        <f t="shared" si="353"/>
        <v>-3.2187000000190313E-7</v>
      </c>
      <c r="AP521" s="84"/>
      <c r="AQ521" s="84"/>
      <c r="AR521" s="84"/>
      <c r="AS521" s="84"/>
      <c r="AT521" s="84"/>
      <c r="AU521" s="84"/>
      <c r="AV521" s="84"/>
    </row>
    <row r="522" spans="1:48" s="84" customFormat="1" x14ac:dyDescent="0.35">
      <c r="A522" s="103" t="str">
        <f t="shared" si="355"/>
        <v>405600</v>
      </c>
      <c r="B522" s="3346" t="str">
        <f>'Income Eligible Deemed Table'!C1272</f>
        <v>405600_2019_12_</v>
      </c>
      <c r="C522" s="3343" t="str">
        <f>'Income Eligible Deemed Table'!G1272</f>
        <v>Miscellaneous RES</v>
      </c>
      <c r="D522" s="3343"/>
      <c r="E522" s="3343"/>
      <c r="F522" s="3343"/>
      <c r="G522" s="3343" t="str">
        <f>'Income Eligible Deemed Table'!E1272</f>
        <v>Advanced Tier 1 Power Strips / Kits - Home Entertainment</v>
      </c>
      <c r="H522" s="50" t="str">
        <f>'Income Eligible Deemed Table'!D1272</f>
        <v>SFIE / MFIE</v>
      </c>
      <c r="I522" s="1966">
        <f>'Income Eligible Deemed Table'!F1272</f>
        <v>58.58</v>
      </c>
      <c r="J522" s="1966"/>
      <c r="K522" s="560"/>
      <c r="L522" s="560"/>
      <c r="M522" s="560"/>
      <c r="N522" s="560"/>
      <c r="O522" s="1967">
        <f>'Income Eligible Deemed Table'!I1272</f>
        <v>6.7260000000000002E-3</v>
      </c>
      <c r="P522" s="1967"/>
      <c r="Q522" s="1968"/>
      <c r="R522" s="1968"/>
      <c r="S522" s="1968"/>
      <c r="T522" s="1968"/>
      <c r="U522" s="1969">
        <v>0</v>
      </c>
      <c r="V522" s="1969">
        <f t="shared" si="358"/>
        <v>6.7260000000000002E-3</v>
      </c>
      <c r="W522" s="1969">
        <v>0</v>
      </c>
      <c r="X522" s="55">
        <f>'Income Eligible Deemed Table'!J1272</f>
        <v>10</v>
      </c>
      <c r="Y522" s="55"/>
      <c r="Z522" s="55">
        <f t="shared" si="356"/>
        <v>10</v>
      </c>
      <c r="AA522" s="49">
        <f>'Income Eligible Deemed Table'!BB1272</f>
        <v>1.0729122234619968</v>
      </c>
      <c r="AB522" s="698">
        <f>'Income Eligible Deemed Table'!K1272</f>
        <v>20</v>
      </c>
      <c r="AC522" s="2582">
        <f t="shared" si="357"/>
        <v>20.253180244681392</v>
      </c>
      <c r="AD522" s="2582">
        <f t="shared" si="350"/>
        <v>0</v>
      </c>
      <c r="AE522" s="1380">
        <f>'Income Eligible Deemed Table'!BD1272</f>
        <v>20.253180244681392</v>
      </c>
      <c r="AF522" s="571"/>
      <c r="AG522" s="571"/>
      <c r="AH522" s="571"/>
      <c r="AI522" s="3346" t="str">
        <f>'Income Eligible Deemed Table'!L1272</f>
        <v>per measure</v>
      </c>
      <c r="AJ522" s="141"/>
      <c r="AK522"/>
      <c r="AL522"/>
      <c r="AM522" s="1596">
        <f t="shared" ref="AM522:AM553" si="360">VLOOKUP(C522,$AS$10:$AT$33,2,FALSE)</f>
        <v>1.148238E-4</v>
      </c>
      <c r="AN522">
        <f t="shared" si="359"/>
        <v>6.7263782039999999E-3</v>
      </c>
      <c r="AO522" s="1595">
        <f t="shared" ref="AO522:AO553" si="361">AN522-O522</f>
        <v>3.7820399999971555E-7</v>
      </c>
      <c r="AP522"/>
      <c r="AQ522"/>
      <c r="AR522"/>
      <c r="AS522"/>
      <c r="AT522"/>
      <c r="AU522"/>
      <c r="AV522"/>
    </row>
    <row r="523" spans="1:48" x14ac:dyDescent="0.35">
      <c r="A523" s="103" t="str">
        <f t="shared" si="355"/>
        <v>405650</v>
      </c>
      <c r="B523" s="3346" t="str">
        <f>'Income Eligible Deemed Table'!C1273</f>
        <v>405650_2021_12_</v>
      </c>
      <c r="C523" s="3343" t="str">
        <f>'Income Eligible Deemed Table'!G1273</f>
        <v>Miscellaneous RES</v>
      </c>
      <c r="D523" s="3343"/>
      <c r="E523" s="3343"/>
      <c r="F523" s="3343"/>
      <c r="G523" s="3343" t="str">
        <f>'Income Eligible Deemed Table'!E1273</f>
        <v>Advanced Tier 1 Power Strips / TOS/NC - Unknown Location</v>
      </c>
      <c r="H523" s="50" t="str">
        <f>'Income Eligible Deemed Table'!D1273</f>
        <v>SFIE / MFIE</v>
      </c>
      <c r="I523" s="1966">
        <f>'Income Eligible Deemed Table'!F1273</f>
        <v>56.26</v>
      </c>
      <c r="J523" s="1966"/>
      <c r="K523" s="560"/>
      <c r="L523" s="560"/>
      <c r="M523" s="560"/>
      <c r="N523" s="560"/>
      <c r="O523" s="1967">
        <f>'Income Eligible Deemed Table'!I1273</f>
        <v>6.4599999999999996E-3</v>
      </c>
      <c r="P523" s="1967"/>
      <c r="Q523" s="1968"/>
      <c r="R523" s="1968"/>
      <c r="S523" s="1968"/>
      <c r="T523" s="1968"/>
      <c r="U523" s="1969">
        <v>0</v>
      </c>
      <c r="V523" s="1969">
        <f t="shared" si="358"/>
        <v>6.4599999999999996E-3</v>
      </c>
      <c r="W523" s="1969">
        <v>0</v>
      </c>
      <c r="X523" s="55">
        <f>'Income Eligible Deemed Table'!J1273</f>
        <v>10</v>
      </c>
      <c r="Y523" s="55"/>
      <c r="Z523" s="55">
        <f t="shared" si="356"/>
        <v>10</v>
      </c>
      <c r="AA523" s="49">
        <f>'Income Eligible Deemed Table'!BB1273</f>
        <v>1.030420650255581</v>
      </c>
      <c r="AB523" s="698">
        <f>'Income Eligible Deemed Table'!K1273</f>
        <v>20</v>
      </c>
      <c r="AC523" s="2582">
        <f t="shared" si="357"/>
        <v>19.451074096377177</v>
      </c>
      <c r="AD523" s="2582">
        <f t="shared" si="350"/>
        <v>0</v>
      </c>
      <c r="AE523" s="1380">
        <f>'Income Eligible Deemed Table'!BD1273</f>
        <v>19.451074096377177</v>
      </c>
      <c r="AF523" s="571"/>
      <c r="AG523" s="571"/>
      <c r="AH523" s="571"/>
      <c r="AI523" s="3346" t="str">
        <f>'Income Eligible Deemed Table'!L1273</f>
        <v>per measure</v>
      </c>
      <c r="AJ523" s="141"/>
      <c r="AM523" s="1596">
        <f t="shared" si="360"/>
        <v>1.148238E-4</v>
      </c>
      <c r="AN523">
        <f t="shared" si="359"/>
        <v>6.4599869879999995E-3</v>
      </c>
      <c r="AO523" s="1595">
        <f t="shared" si="361"/>
        <v>-1.3012000000048318E-8</v>
      </c>
    </row>
    <row r="524" spans="1:48" x14ac:dyDescent="0.35">
      <c r="A524" s="103" t="str">
        <f t="shared" si="355"/>
        <v>405651</v>
      </c>
      <c r="B524" s="3346" t="str">
        <f>'Income Eligible Deemed Table'!C1274</f>
        <v>405651_2021_12_</v>
      </c>
      <c r="C524" s="3343" t="str">
        <f>'Income Eligible Deemed Table'!G1274</f>
        <v>Miscellaneous RES</v>
      </c>
      <c r="D524" s="3343"/>
      <c r="E524" s="3343"/>
      <c r="F524" s="3343"/>
      <c r="G524" s="3343" t="str">
        <f>'Income Eligible Deemed Table'!E1274</f>
        <v>Advanced Tier 1 Power Strips / DI - Unknown Location</v>
      </c>
      <c r="H524" s="50" t="str">
        <f>'Income Eligible Deemed Table'!D1274</f>
        <v>SFIE / MFIE</v>
      </c>
      <c r="I524" s="1966">
        <f>'Income Eligible Deemed Table'!F1274</f>
        <v>56.26</v>
      </c>
      <c r="J524" s="1966"/>
      <c r="K524" s="560"/>
      <c r="L524" s="560"/>
      <c r="M524" s="560"/>
      <c r="N524" s="560"/>
      <c r="O524" s="1967">
        <f>'Income Eligible Deemed Table'!I1274</f>
        <v>6.4599999999999996E-3</v>
      </c>
      <c r="P524" s="1967"/>
      <c r="Q524" s="1968"/>
      <c r="R524" s="1968"/>
      <c r="S524" s="1968"/>
      <c r="T524" s="1968"/>
      <c r="U524" s="1969">
        <v>0</v>
      </c>
      <c r="V524" s="1969">
        <f t="shared" si="358"/>
        <v>6.4599999999999996E-3</v>
      </c>
      <c r="W524" s="1969">
        <v>0</v>
      </c>
      <c r="X524" s="55">
        <f>'Income Eligible Deemed Table'!J1274</f>
        <v>10</v>
      </c>
      <c r="Y524" s="55"/>
      <c r="Z524" s="55">
        <f t="shared" si="356"/>
        <v>10</v>
      </c>
      <c r="AA524" s="49">
        <f>'Income Eligible Deemed Table'!BB1274</f>
        <v>0.6869471001703874</v>
      </c>
      <c r="AB524" s="698">
        <f>'Income Eligible Deemed Table'!K1274</f>
        <v>30</v>
      </c>
      <c r="AC524" s="2582">
        <f t="shared" si="357"/>
        <v>19.451074096377177</v>
      </c>
      <c r="AD524" s="2582">
        <f t="shared" si="350"/>
        <v>0</v>
      </c>
      <c r="AE524" s="1380">
        <f>'Income Eligible Deemed Table'!BD1274</f>
        <v>19.451074096377177</v>
      </c>
      <c r="AF524" s="571"/>
      <c r="AG524" s="571"/>
      <c r="AH524" s="571"/>
      <c r="AI524" s="3346" t="str">
        <f>'Income Eligible Deemed Table'!L1274</f>
        <v>per measure</v>
      </c>
      <c r="AJ524" s="1589"/>
      <c r="AK524" s="84"/>
      <c r="AL524" s="84"/>
      <c r="AM524" s="1961">
        <f t="shared" si="360"/>
        <v>1.148238E-4</v>
      </c>
      <c r="AN524" s="84">
        <f t="shared" si="359"/>
        <v>6.4599869879999995E-3</v>
      </c>
      <c r="AO524" s="1965">
        <f t="shared" si="361"/>
        <v>-1.3012000000048318E-8</v>
      </c>
      <c r="AP524" s="84"/>
      <c r="AQ524" s="84"/>
      <c r="AR524" s="84"/>
      <c r="AS524" s="84"/>
      <c r="AT524" s="84"/>
      <c r="AU524" s="84"/>
      <c r="AV524" s="84"/>
    </row>
    <row r="525" spans="1:48" s="84" customFormat="1" x14ac:dyDescent="0.35">
      <c r="A525" s="103" t="str">
        <f t="shared" si="355"/>
        <v>405700</v>
      </c>
      <c r="B525" s="3346" t="str">
        <f>'Income Eligible Deemed Table'!C1275</f>
        <v>405700_2019_12_</v>
      </c>
      <c r="C525" s="3343" t="str">
        <f>'Income Eligible Deemed Table'!G1275</f>
        <v>Miscellaneous RES</v>
      </c>
      <c r="D525" s="3343"/>
      <c r="E525" s="3343"/>
      <c r="F525" s="3343"/>
      <c r="G525" s="3343" t="str">
        <f>'Income Eligible Deemed Table'!E1275</f>
        <v>Advanced Tier 1 Power  / Kits - Unknown Location</v>
      </c>
      <c r="H525" s="50" t="str">
        <f>'Income Eligible Deemed Table'!D1275</f>
        <v>SFIE / MFIE</v>
      </c>
      <c r="I525" s="1966">
        <f>'Income Eligible Deemed Table'!F1275</f>
        <v>42.07</v>
      </c>
      <c r="J525" s="1966"/>
      <c r="K525" s="560"/>
      <c r="L525" s="560"/>
      <c r="M525" s="560"/>
      <c r="N525" s="560"/>
      <c r="O525" s="1967">
        <f>'Income Eligible Deemed Table'!I1275</f>
        <v>4.8310000000000002E-3</v>
      </c>
      <c r="P525" s="1967"/>
      <c r="Q525" s="1968"/>
      <c r="R525" s="1968"/>
      <c r="S525" s="1968"/>
      <c r="T525" s="1968"/>
      <c r="U525" s="1969">
        <v>0</v>
      </c>
      <c r="V525" s="1969">
        <f t="shared" si="358"/>
        <v>4.8310000000000002E-3</v>
      </c>
      <c r="W525" s="1969">
        <v>0</v>
      </c>
      <c r="X525" s="55">
        <f>'Income Eligible Deemed Table'!J1275</f>
        <v>10</v>
      </c>
      <c r="Y525" s="55"/>
      <c r="Z525" s="55">
        <f t="shared" si="356"/>
        <v>10</v>
      </c>
      <c r="AA525" s="49">
        <f>'Income Eligible Deemed Table'!BB1275</f>
        <v>0.77052607103185744</v>
      </c>
      <c r="AB525" s="698">
        <f>'Income Eligible Deemed Table'!K1275</f>
        <v>20</v>
      </c>
      <c r="AC525" s="2582">
        <f t="shared" si="357"/>
        <v>14.545088646188907</v>
      </c>
      <c r="AD525" s="2582">
        <f t="shared" si="350"/>
        <v>0</v>
      </c>
      <c r="AE525" s="1380">
        <f>'Income Eligible Deemed Table'!BD1275</f>
        <v>14.545088646188907</v>
      </c>
      <c r="AF525" s="571"/>
      <c r="AG525" s="571"/>
      <c r="AH525" s="571"/>
      <c r="AI525" s="3346" t="str">
        <f>'Income Eligible Deemed Table'!L1275</f>
        <v>per measure</v>
      </c>
      <c r="AJ525" s="141"/>
      <c r="AK525"/>
      <c r="AL525"/>
      <c r="AM525" s="1596">
        <f t="shared" si="360"/>
        <v>1.148238E-4</v>
      </c>
      <c r="AN525">
        <f t="shared" si="359"/>
        <v>4.8306372660000003E-3</v>
      </c>
      <c r="AO525" s="1595">
        <f t="shared" si="361"/>
        <v>-3.6273399999994793E-7</v>
      </c>
      <c r="AP525"/>
      <c r="AQ525"/>
      <c r="AR525"/>
      <c r="AS525"/>
      <c r="AT525"/>
      <c r="AU525"/>
      <c r="AV525"/>
    </row>
    <row r="526" spans="1:48" x14ac:dyDescent="0.35">
      <c r="A526" s="103" t="str">
        <f t="shared" si="355"/>
        <v>405750</v>
      </c>
      <c r="B526" s="3346" t="str">
        <f>'Income Eligible Deemed Table'!C1276</f>
        <v>405750_2019_12_</v>
      </c>
      <c r="C526" s="3343" t="str">
        <f>'Income Eligible Deemed Table'!G1276</f>
        <v>Miscellaneous RES</v>
      </c>
      <c r="D526" s="3343"/>
      <c r="E526" s="3343"/>
      <c r="F526" s="3343"/>
      <c r="G526" s="3343" t="str">
        <f>'Income Eligible Deemed Table'!E1276</f>
        <v>Advanced Tier 2 Power Strips / TOS/NC / Average</v>
      </c>
      <c r="H526" s="50" t="str">
        <f>'Income Eligible Deemed Table'!D1276</f>
        <v>SFIE / MFIE</v>
      </c>
      <c r="I526" s="1966">
        <f>'Income Eligible Deemed Table'!F1276</f>
        <v>151.96</v>
      </c>
      <c r="J526" s="1966"/>
      <c r="K526" s="560"/>
      <c r="L526" s="560"/>
      <c r="M526" s="560"/>
      <c r="N526" s="560"/>
      <c r="O526" s="1967">
        <f>'Income Eligible Deemed Table'!I1276</f>
        <v>1.7448999999999999E-2</v>
      </c>
      <c r="P526" s="1967"/>
      <c r="Q526" s="1968"/>
      <c r="R526" s="1968"/>
      <c r="S526" s="1968"/>
      <c r="T526" s="1968"/>
      <c r="U526" s="1969">
        <v>0</v>
      </c>
      <c r="V526" s="1969">
        <f t="shared" si="358"/>
        <v>1.7448999999999999E-2</v>
      </c>
      <c r="W526" s="1969">
        <v>0</v>
      </c>
      <c r="X526" s="55">
        <f>'Income Eligible Deemed Table'!J1276</f>
        <v>10</v>
      </c>
      <c r="Y526" s="55"/>
      <c r="Z526" s="55">
        <f t="shared" si="356"/>
        <v>10</v>
      </c>
      <c r="AA526" s="49">
        <f>'Income Eligible Deemed Table'!BB1276</f>
        <v>1.8554653633468197</v>
      </c>
      <c r="AB526" s="698">
        <f>'Income Eligible Deemed Table'!K1276</f>
        <v>30</v>
      </c>
      <c r="AC526" s="2582">
        <f t="shared" si="357"/>
        <v>52.537952713925989</v>
      </c>
      <c r="AD526" s="2582">
        <f t="shared" si="350"/>
        <v>0</v>
      </c>
      <c r="AE526" s="1380">
        <f>'Income Eligible Deemed Table'!BD1276</f>
        <v>52.537952713925989</v>
      </c>
      <c r="AF526" s="571"/>
      <c r="AG526" s="571"/>
      <c r="AH526" s="571"/>
      <c r="AI526" s="3346" t="str">
        <f>'Income Eligible Deemed Table'!L1276</f>
        <v>per measure</v>
      </c>
      <c r="AJ526" s="141"/>
      <c r="AM526" s="1596">
        <f t="shared" si="360"/>
        <v>1.148238E-4</v>
      </c>
      <c r="AN526">
        <f t="shared" si="359"/>
        <v>1.7448624648E-2</v>
      </c>
      <c r="AO526" s="1595">
        <f t="shared" si="361"/>
        <v>-3.7535199999896851E-7</v>
      </c>
    </row>
    <row r="527" spans="1:48" x14ac:dyDescent="0.35">
      <c r="A527" s="103" t="str">
        <f t="shared" si="355"/>
        <v>405751</v>
      </c>
      <c r="B527" s="3346" t="str">
        <f>'Income Eligible Deemed Table'!C1277</f>
        <v>405751_2020_12_</v>
      </c>
      <c r="C527" s="3343" t="str">
        <f>'Income Eligible Deemed Table'!G1277</f>
        <v>Miscellaneous RES</v>
      </c>
      <c r="D527" s="3343"/>
      <c r="E527" s="3343"/>
      <c r="F527" s="3343"/>
      <c r="G527" s="3343" t="str">
        <f>'Income Eligible Deemed Table'!E1277</f>
        <v>Advanced Tier 2 Power Strips / DI / Average</v>
      </c>
      <c r="H527" s="50" t="str">
        <f>'Income Eligible Deemed Table'!D1277</f>
        <v>SFIE / MFIE</v>
      </c>
      <c r="I527" s="1966">
        <f>'Income Eligible Deemed Table'!F1277</f>
        <v>153.9</v>
      </c>
      <c r="J527" s="1966"/>
      <c r="K527" s="560"/>
      <c r="L527" s="560"/>
      <c r="M527" s="560"/>
      <c r="N527" s="560"/>
      <c r="O527" s="1967">
        <f>'Income Eligible Deemed Table'!I1277</f>
        <v>1.7670999999999999E-2</v>
      </c>
      <c r="P527" s="1967"/>
      <c r="Q527" s="1968"/>
      <c r="R527" s="1968"/>
      <c r="S527" s="1968"/>
      <c r="T527" s="1968"/>
      <c r="U527" s="1969">
        <v>0</v>
      </c>
      <c r="V527" s="1969">
        <f t="shared" si="358"/>
        <v>1.7670999999999999E-2</v>
      </c>
      <c r="W527" s="1969">
        <v>0</v>
      </c>
      <c r="X527" s="55">
        <f>'Income Eligible Deemed Table'!J1277</f>
        <v>10</v>
      </c>
      <c r="Y527" s="55"/>
      <c r="Z527" s="55">
        <f t="shared" si="356"/>
        <v>10</v>
      </c>
      <c r="AA527" s="49">
        <f>'Income Eligible Deemed Table'!BB1277</f>
        <v>0.93957659719358899</v>
      </c>
      <c r="AB527" s="698">
        <f>'Income Eligible Deemed Table'!K1277</f>
        <v>60</v>
      </c>
      <c r="AC527" s="2582">
        <f t="shared" si="357"/>
        <v>53.208679406904515</v>
      </c>
      <c r="AD527" s="2582">
        <f t="shared" si="350"/>
        <v>0</v>
      </c>
      <c r="AE527" s="1380">
        <f>'Income Eligible Deemed Table'!BD1277</f>
        <v>53.208679406904515</v>
      </c>
      <c r="AF527" s="571"/>
      <c r="AG527" s="571"/>
      <c r="AH527" s="571"/>
      <c r="AI527" s="3346" t="str">
        <f>'Income Eligible Deemed Table'!L1277</f>
        <v>per measure</v>
      </c>
      <c r="AJ527" s="1589"/>
      <c r="AK527" s="84"/>
      <c r="AL527" s="84"/>
      <c r="AM527" s="1961">
        <f t="shared" si="360"/>
        <v>1.148238E-4</v>
      </c>
      <c r="AN527" s="84">
        <f t="shared" si="359"/>
        <v>1.7671382820000001E-2</v>
      </c>
      <c r="AO527" s="1965">
        <f t="shared" si="361"/>
        <v>3.828200000020876E-7</v>
      </c>
      <c r="AP527" s="84"/>
      <c r="AQ527" s="84"/>
      <c r="AR527" s="84"/>
      <c r="AS527" s="84"/>
      <c r="AT527" s="84"/>
      <c r="AU527" s="84"/>
      <c r="AV527" s="84"/>
    </row>
    <row r="528" spans="1:48" x14ac:dyDescent="0.35">
      <c r="A528" s="103" t="str">
        <f t="shared" si="355"/>
        <v>405800</v>
      </c>
      <c r="B528" s="3346" t="str">
        <f>'Income Eligible Deemed Table'!C1308</f>
        <v>405800_2019_12_</v>
      </c>
      <c r="C528" s="3343" t="str">
        <f>'Income Eligible Deemed Table'!G1308</f>
        <v>Refrigeration RES</v>
      </c>
      <c r="D528" s="3343" t="str">
        <f>'Income Eligible Deemed Table'!G1309</f>
        <v>Refrigeration RES ER2</v>
      </c>
      <c r="E528" s="3343"/>
      <c r="F528" s="3343"/>
      <c r="G528" s="3343" t="str">
        <f>'Income Eligible Deemed Table'!E1308</f>
        <v>Refrigerator - early replacement ER1</v>
      </c>
      <c r="H528" s="50" t="str">
        <f>'Income Eligible Deemed Table'!D1308</f>
        <v>SFIE / MFIE</v>
      </c>
      <c r="I528" s="1966">
        <f>'Income Eligible Deemed Table'!F1308</f>
        <v>564.66</v>
      </c>
      <c r="J528" s="1966">
        <f>'Income Eligible Deemed Table'!F1309</f>
        <v>46.72</v>
      </c>
      <c r="K528" s="560"/>
      <c r="L528" s="560"/>
      <c r="M528" s="560"/>
      <c r="N528" s="560"/>
      <c r="O528" s="1967">
        <f>'Income Eligible Deemed Table'!I1308</f>
        <v>7.2621000000000005E-2</v>
      </c>
      <c r="P528" s="1967">
        <f>'Income Eligible Deemed Table'!I1309</f>
        <v>6.0089999999999996E-3</v>
      </c>
      <c r="Q528" s="1968"/>
      <c r="R528" s="1968"/>
      <c r="S528" s="1968"/>
      <c r="T528" s="1968"/>
      <c r="U528" s="1969">
        <v>0</v>
      </c>
      <c r="V528" s="1969">
        <f>P528</f>
        <v>6.0089999999999996E-3</v>
      </c>
      <c r="W528" s="1969">
        <v>0</v>
      </c>
      <c r="X528" s="55">
        <f>'Income Eligible Deemed Table'!J1308</f>
        <v>6</v>
      </c>
      <c r="Y528" s="55">
        <f>'Income Eligible Deemed Table'!J1309</f>
        <v>11</v>
      </c>
      <c r="Z528" s="55">
        <f t="shared" si="356"/>
        <v>17</v>
      </c>
      <c r="AA528" s="49">
        <f>'Income Eligible Deemed Table'!BB1308</f>
        <v>0.19025139719991366</v>
      </c>
      <c r="AB528" s="698">
        <f>'Income Eligible Deemed Table'!K1308</f>
        <v>753</v>
      </c>
      <c r="AC528" s="2582">
        <f t="shared" si="357"/>
        <v>119.22703187525887</v>
      </c>
      <c r="AD528" s="2582">
        <f t="shared" si="350"/>
        <v>15.987033336194612</v>
      </c>
      <c r="AE528" s="1380">
        <f>'Income Eligible Deemed Table'!BD1308</f>
        <v>119.22703187525887</v>
      </c>
      <c r="AF528" s="571"/>
      <c r="AG528" s="2588">
        <f>'Income Eligible Deemed Table'!BD1309</f>
        <v>15.987033336194612</v>
      </c>
      <c r="AH528" s="571"/>
      <c r="AI528" s="3346" t="str">
        <f>'Income Eligible Deemed Table'!L1308</f>
        <v>per measure</v>
      </c>
      <c r="AJ528" s="141"/>
      <c r="AM528" s="1596">
        <f t="shared" si="360"/>
        <v>1.286107E-4</v>
      </c>
      <c r="AN528">
        <f t="shared" si="359"/>
        <v>7.262131786199999E-2</v>
      </c>
      <c r="AO528" s="1595">
        <f t="shared" si="361"/>
        <v>3.1786199998495857E-7</v>
      </c>
    </row>
    <row r="529" spans="1:41" x14ac:dyDescent="0.35">
      <c r="A529" s="103" t="str">
        <f t="shared" si="355"/>
        <v>405825</v>
      </c>
      <c r="B529" s="3346" t="str">
        <f>'Income Eligible Deemed Table'!C1310</f>
        <v>405825_2019_12_</v>
      </c>
      <c r="C529" s="3343" t="str">
        <f>'Income Eligible Deemed Table'!G1310</f>
        <v>Refrigeration RES</v>
      </c>
      <c r="D529" s="3343" t="str">
        <f>'Income Eligible Deemed Table'!G1311</f>
        <v>Refrigeration RES ER2</v>
      </c>
      <c r="E529" s="3343"/>
      <c r="F529" s="3343"/>
      <c r="G529" s="3343" t="str">
        <f>'Income Eligible Deemed Table'!E1310</f>
        <v>Refrigerator - Pre 1993 - ER1</v>
      </c>
      <c r="H529" s="50" t="str">
        <f>'Income Eligible Deemed Table'!D1310</f>
        <v>SFIE / MFIE</v>
      </c>
      <c r="I529" s="1966">
        <f>'Income Eligible Deemed Table'!F1310</f>
        <v>1269.9100000000001</v>
      </c>
      <c r="J529" s="1966">
        <f>'Income Eligible Deemed Table'!F1311</f>
        <v>46.72</v>
      </c>
      <c r="K529" s="560"/>
      <c r="L529" s="560"/>
      <c r="M529" s="560"/>
      <c r="N529" s="560"/>
      <c r="O529" s="1967">
        <f>'Income Eligible Deemed Table'!I1310</f>
        <v>0.163324</v>
      </c>
      <c r="P529" s="1967">
        <f>'Income Eligible Deemed Table'!I1311</f>
        <v>6.0089999999999996E-3</v>
      </c>
      <c r="Q529" s="1968"/>
      <c r="R529" s="1968"/>
      <c r="S529" s="1968"/>
      <c r="T529" s="1968"/>
      <c r="U529" s="1969">
        <v>0</v>
      </c>
      <c r="V529" s="1969">
        <f>P529</f>
        <v>6.0089999999999996E-3</v>
      </c>
      <c r="W529" s="1969">
        <v>0</v>
      </c>
      <c r="X529" s="55">
        <f>'Income Eligible Deemed Table'!J1310</f>
        <v>6</v>
      </c>
      <c r="Y529" s="55">
        <f>'Income Eligible Deemed Table'!J1311</f>
        <v>11</v>
      </c>
      <c r="Z529" s="55">
        <f t="shared" si="356"/>
        <v>17</v>
      </c>
      <c r="AA529" s="49">
        <f>'Income Eligible Deemed Table'!BB1310</f>
        <v>0.3997768502154479</v>
      </c>
      <c r="AB529" s="698">
        <f>'Income Eligible Deemed Table'!K1310</f>
        <v>753</v>
      </c>
      <c r="AC529" s="2582">
        <f t="shared" si="357"/>
        <v>268.13941141343469</v>
      </c>
      <c r="AD529" s="2582">
        <f t="shared" si="350"/>
        <v>15.987033336194612</v>
      </c>
      <c r="AE529" s="1380">
        <f>'Income Eligible Deemed Table'!BD1310</f>
        <v>268.13941141343469</v>
      </c>
      <c r="AF529" s="571"/>
      <c r="AG529" s="2588">
        <f>'Income Eligible Deemed Table'!BD1311</f>
        <v>15.987033336194612</v>
      </c>
      <c r="AH529" s="571"/>
      <c r="AI529" s="3346" t="str">
        <f>'Income Eligible Deemed Table'!L1310</f>
        <v>per measure</v>
      </c>
      <c r="AJ529" s="141"/>
      <c r="AM529" s="1596">
        <f t="shared" si="360"/>
        <v>1.286107E-4</v>
      </c>
      <c r="AN529">
        <f t="shared" si="359"/>
        <v>0.163324014037</v>
      </c>
      <c r="AO529" s="1595">
        <f t="shared" si="361"/>
        <v>1.4037000006794642E-8</v>
      </c>
    </row>
    <row r="530" spans="1:41" x14ac:dyDescent="0.35">
      <c r="A530" s="103" t="str">
        <f t="shared" si="355"/>
        <v>405850</v>
      </c>
      <c r="B530" s="3346" t="str">
        <f>'Income Eligible Deemed Table'!C1343</f>
        <v>405850_2021_12_</v>
      </c>
      <c r="C530" s="3343" t="str">
        <f>'Income Eligible Deemed Table'!G1343</f>
        <v>Cooling RES</v>
      </c>
      <c r="D530" s="3343"/>
      <c r="E530" s="3343"/>
      <c r="F530" s="3343"/>
      <c r="G530" s="3343" t="str">
        <f>'Income Eligible Deemed Table'!E1343</f>
        <v>AC - Energy Star Room _unknown size_Thru-Wall_MF</v>
      </c>
      <c r="H530" s="50" t="str">
        <f>'Income Eligible Deemed Table'!D1343</f>
        <v>MFIE</v>
      </c>
      <c r="I530" s="1966">
        <f t="shared" ref="I530:I553" si="362">K530+L530</f>
        <v>190.46</v>
      </c>
      <c r="J530" s="1966">
        <f t="shared" ref="J530:J553" si="363">M530+N530</f>
        <v>0</v>
      </c>
      <c r="K530" s="560">
        <f>'Income Eligible Deemed Table'!F1343</f>
        <v>190.46</v>
      </c>
      <c r="L530" s="560"/>
      <c r="M530" s="560"/>
      <c r="N530" s="560"/>
      <c r="O530" s="1967">
        <f t="shared" ref="O530:O553" si="364">Q530+R530</f>
        <v>0.18044499999999999</v>
      </c>
      <c r="P530" s="1967">
        <f t="shared" ref="P530:P553" si="365">S530+T530</f>
        <v>0</v>
      </c>
      <c r="Q530" s="1968">
        <f>'Income Eligible Deemed Table'!I1343</f>
        <v>0.18044499999999999</v>
      </c>
      <c r="R530" s="1968"/>
      <c r="S530" s="1968"/>
      <c r="T530" s="1968"/>
      <c r="U530" s="1969">
        <f t="shared" ref="U530:U553" si="366">O530</f>
        <v>0.18044499999999999</v>
      </c>
      <c r="V530" s="1969"/>
      <c r="W530" s="1969"/>
      <c r="X530" s="55">
        <f>'Income Eligible Deemed Table'!J1343</f>
        <v>9</v>
      </c>
      <c r="Y530" s="55"/>
      <c r="Z530" s="55">
        <f t="shared" si="356"/>
        <v>9</v>
      </c>
      <c r="AA530" s="49">
        <f>'Income Eligible Deemed Table'!BB1343</f>
        <v>9.68310105623965</v>
      </c>
      <c r="AB530" s="698">
        <f>'Income Eligible Deemed Table'!K1343</f>
        <v>20</v>
      </c>
      <c r="AC530" s="2582">
        <f t="shared" si="357"/>
        <v>182.78623985350919</v>
      </c>
      <c r="AD530" s="2582">
        <f t="shared" si="350"/>
        <v>0</v>
      </c>
      <c r="AE530" s="1380">
        <f>'Income Eligible Deemed Table'!BD1343</f>
        <v>182.78623985350919</v>
      </c>
      <c r="AF530" s="571"/>
      <c r="AG530" s="571"/>
      <c r="AH530" s="571"/>
      <c r="AI530" s="3346" t="str">
        <f>'Income Eligible Deemed Table'!L1343</f>
        <v>per measure</v>
      </c>
      <c r="AJ530" s="141"/>
      <c r="AM530" s="1596">
        <f t="shared" si="360"/>
        <v>9.4741810000000004E-4</v>
      </c>
      <c r="AN530">
        <f t="shared" si="359"/>
        <v>0.18044525132600001</v>
      </c>
      <c r="AO530" s="1595">
        <f t="shared" si="361"/>
        <v>2.5132600001143146E-7</v>
      </c>
    </row>
    <row r="531" spans="1:41" x14ac:dyDescent="0.35">
      <c r="A531" s="103" t="str">
        <f t="shared" si="355"/>
        <v>405851</v>
      </c>
      <c r="B531" s="3346" t="str">
        <f>'Income Eligible Deemed Table'!C1347</f>
        <v>405851_2021_12_</v>
      </c>
      <c r="C531" s="3343" t="str">
        <f>'Income Eligible Deemed Table'!G1347</f>
        <v>Cooling RES</v>
      </c>
      <c r="D531" s="3343"/>
      <c r="E531" s="3343"/>
      <c r="F531" s="3343"/>
      <c r="G531" s="3343" t="str">
        <f>'Income Eligible Deemed Table'!E1347</f>
        <v>AC - Energy Star Room _5kBtu_Thru-Wall_MF</v>
      </c>
      <c r="H531" s="50" t="str">
        <f>'Income Eligible Deemed Table'!D1347</f>
        <v>MFIE</v>
      </c>
      <c r="I531" s="1966">
        <f t="shared" si="362"/>
        <v>81.08</v>
      </c>
      <c r="J531" s="1966">
        <f t="shared" si="363"/>
        <v>0</v>
      </c>
      <c r="K531" s="560">
        <f>'Income Eligible Deemed Table'!F1347</f>
        <v>81.08</v>
      </c>
      <c r="L531" s="560"/>
      <c r="M531" s="560"/>
      <c r="N531" s="560"/>
      <c r="O531" s="1967">
        <f t="shared" si="364"/>
        <v>7.6816999999999996E-2</v>
      </c>
      <c r="P531" s="1967">
        <f t="shared" si="365"/>
        <v>0</v>
      </c>
      <c r="Q531" s="1968">
        <f>'Income Eligible Deemed Table'!I1347</f>
        <v>7.6816999999999996E-2</v>
      </c>
      <c r="R531" s="1968"/>
      <c r="S531" s="1968"/>
      <c r="T531" s="1968"/>
      <c r="U531" s="1969">
        <f t="shared" si="366"/>
        <v>7.6816999999999996E-2</v>
      </c>
      <c r="V531" s="1969"/>
      <c r="W531" s="1969"/>
      <c r="X531" s="55">
        <f>'Income Eligible Deemed Table'!J1347</f>
        <v>9</v>
      </c>
      <c r="Y531" s="55"/>
      <c r="Z531" s="55">
        <f t="shared" si="356"/>
        <v>9</v>
      </c>
      <c r="AA531" s="49">
        <f>'Income Eligible Deemed Table'!BB1347</f>
        <v>4.1221560098703707</v>
      </c>
      <c r="AB531" s="698">
        <f>'Income Eligible Deemed Table'!K1347</f>
        <v>20</v>
      </c>
      <c r="AC531" s="2582">
        <f t="shared" si="357"/>
        <v>77.813232843234928</v>
      </c>
      <c r="AD531" s="2582">
        <f t="shared" si="350"/>
        <v>0</v>
      </c>
      <c r="AE531" s="1380">
        <f>'Income Eligible Deemed Table'!BD1347</f>
        <v>77.813232843234928</v>
      </c>
      <c r="AF531" s="571"/>
      <c r="AG531" s="571"/>
      <c r="AH531" s="571"/>
      <c r="AI531" s="3346" t="str">
        <f>'Income Eligible Deemed Table'!L1347</f>
        <v>per measure</v>
      </c>
      <c r="AJ531" s="141"/>
      <c r="AM531" s="1596">
        <f t="shared" si="360"/>
        <v>9.4741810000000004E-4</v>
      </c>
      <c r="AN531">
        <f t="shared" si="359"/>
        <v>7.6816659548000002E-2</v>
      </c>
      <c r="AO531" s="1595">
        <f t="shared" si="361"/>
        <v>-3.4045199999443998E-7</v>
      </c>
    </row>
    <row r="532" spans="1:41" x14ac:dyDescent="0.35">
      <c r="A532" s="103" t="str">
        <f t="shared" si="355"/>
        <v>405852</v>
      </c>
      <c r="B532" s="3346" t="str">
        <f>'Income Eligible Deemed Table'!C1351</f>
        <v>405852_2021_12_</v>
      </c>
      <c r="C532" s="3343" t="str">
        <f>'Income Eligible Deemed Table'!G1351</f>
        <v>Cooling RES</v>
      </c>
      <c r="D532" s="3343"/>
      <c r="E532" s="3343"/>
      <c r="F532" s="3343"/>
      <c r="G532" s="3343" t="str">
        <f>'Income Eligible Deemed Table'!E1351</f>
        <v>AC - Energy Star Room _8kBtu_Thru-Wall_MF</v>
      </c>
      <c r="H532" s="50" t="str">
        <f>'Income Eligible Deemed Table'!D1351</f>
        <v>MFIE</v>
      </c>
      <c r="I532" s="1966">
        <f t="shared" si="362"/>
        <v>129.72999999999999</v>
      </c>
      <c r="J532" s="1966">
        <f t="shared" si="363"/>
        <v>0</v>
      </c>
      <c r="K532" s="560">
        <f>'Income Eligible Deemed Table'!F1351</f>
        <v>129.72999999999999</v>
      </c>
      <c r="L532" s="560"/>
      <c r="M532" s="560"/>
      <c r="N532" s="560"/>
      <c r="O532" s="1967">
        <f t="shared" si="364"/>
        <v>0.122909</v>
      </c>
      <c r="P532" s="1967">
        <f t="shared" si="365"/>
        <v>0</v>
      </c>
      <c r="Q532" s="1968">
        <f>'Income Eligible Deemed Table'!I1351</f>
        <v>0.122909</v>
      </c>
      <c r="R532" s="1968"/>
      <c r="S532" s="1968"/>
      <c r="T532" s="1968"/>
      <c r="U532" s="1969">
        <f t="shared" si="366"/>
        <v>0.122909</v>
      </c>
      <c r="V532" s="1969"/>
      <c r="W532" s="1969"/>
      <c r="X532" s="55">
        <f>'Income Eligible Deemed Table'!J1351</f>
        <v>9</v>
      </c>
      <c r="Y532" s="55"/>
      <c r="Z532" s="55">
        <f t="shared" si="356"/>
        <v>9</v>
      </c>
      <c r="AA532" s="49">
        <f>'Income Eligible Deemed Table'!BB1351</f>
        <v>6.595551296996585</v>
      </c>
      <c r="AB532" s="698">
        <f>'Income Eligible Deemed Table'!K1351</f>
        <v>20</v>
      </c>
      <c r="AC532" s="2582">
        <f t="shared" si="357"/>
        <v>124.50309196784492</v>
      </c>
      <c r="AD532" s="2582">
        <f t="shared" si="350"/>
        <v>0</v>
      </c>
      <c r="AE532" s="1380">
        <f>'Income Eligible Deemed Table'!BD1351</f>
        <v>124.50309196784492</v>
      </c>
      <c r="AF532" s="571"/>
      <c r="AG532" s="571"/>
      <c r="AH532" s="571"/>
      <c r="AI532" s="3346" t="str">
        <f>'Income Eligible Deemed Table'!L1351</f>
        <v>per measure</v>
      </c>
      <c r="AJ532" s="141"/>
      <c r="AM532" s="1596">
        <f t="shared" si="360"/>
        <v>9.4741810000000004E-4</v>
      </c>
      <c r="AN532">
        <f t="shared" si="359"/>
        <v>0.12290855011299999</v>
      </c>
      <c r="AO532" s="1595">
        <f t="shared" si="361"/>
        <v>-4.4988700001469262E-7</v>
      </c>
    </row>
    <row r="533" spans="1:41" x14ac:dyDescent="0.35">
      <c r="A533" s="103" t="str">
        <f t="shared" si="355"/>
        <v>405853</v>
      </c>
      <c r="B533" s="3346" t="str">
        <f>'Income Eligible Deemed Table'!C1355</f>
        <v>405853_2021_12_</v>
      </c>
      <c r="C533" s="3343" t="str">
        <f>'Income Eligible Deemed Table'!G1355</f>
        <v>Cooling RES</v>
      </c>
      <c r="D533" s="3343"/>
      <c r="E533" s="3343"/>
      <c r="F533" s="3343"/>
      <c r="G533" s="3343" t="str">
        <f>'Income Eligible Deemed Table'!E1355</f>
        <v>AC - Energy Star Room _10kBtu_Thru-Wall_MF</v>
      </c>
      <c r="H533" s="50" t="str">
        <f>'Income Eligible Deemed Table'!D1355</f>
        <v>MFIE</v>
      </c>
      <c r="I533" s="1966">
        <f t="shared" si="362"/>
        <v>162.16</v>
      </c>
      <c r="J533" s="1966">
        <f t="shared" si="363"/>
        <v>0</v>
      </c>
      <c r="K533" s="560">
        <f>'Income Eligible Deemed Table'!F1355</f>
        <v>162.16</v>
      </c>
      <c r="L533" s="560"/>
      <c r="M533" s="560"/>
      <c r="N533" s="560"/>
      <c r="O533" s="1967">
        <f t="shared" si="364"/>
        <v>0.15363299999999999</v>
      </c>
      <c r="P533" s="1967">
        <f t="shared" si="365"/>
        <v>0</v>
      </c>
      <c r="Q533" s="1968">
        <f>'Income Eligible Deemed Table'!I1355</f>
        <v>0.15363299999999999</v>
      </c>
      <c r="R533" s="1968"/>
      <c r="S533" s="1968"/>
      <c r="T533" s="1968"/>
      <c r="U533" s="1969">
        <f t="shared" si="366"/>
        <v>0.15363299999999999</v>
      </c>
      <c r="V533" s="1969"/>
      <c r="W533" s="1969"/>
      <c r="X533" s="55">
        <f>'Income Eligible Deemed Table'!J1355</f>
        <v>9</v>
      </c>
      <c r="Y533" s="55"/>
      <c r="Z533" s="55">
        <f t="shared" si="356"/>
        <v>9</v>
      </c>
      <c r="AA533" s="49">
        <f>'Income Eligible Deemed Table'!BB1355</f>
        <v>8.2443120197407413</v>
      </c>
      <c r="AB533" s="698">
        <f>'Income Eligible Deemed Table'!K1355</f>
        <v>20</v>
      </c>
      <c r="AC533" s="2582">
        <f t="shared" si="357"/>
        <v>155.62646568646986</v>
      </c>
      <c r="AD533" s="2582">
        <f t="shared" si="350"/>
        <v>0</v>
      </c>
      <c r="AE533" s="1380">
        <f>'Income Eligible Deemed Table'!BD1355</f>
        <v>155.62646568646986</v>
      </c>
      <c r="AF533" s="571"/>
      <c r="AG533" s="571"/>
      <c r="AH533" s="571"/>
      <c r="AI533" s="3346" t="str">
        <f>'Income Eligible Deemed Table'!L1355</f>
        <v>per measure</v>
      </c>
      <c r="AJ533" s="141"/>
      <c r="AM533" s="1596">
        <f t="shared" si="360"/>
        <v>9.4741810000000004E-4</v>
      </c>
      <c r="AN533">
        <f t="shared" si="359"/>
        <v>0.153633319096</v>
      </c>
      <c r="AO533" s="1595">
        <f t="shared" si="361"/>
        <v>3.1909600001212013E-7</v>
      </c>
    </row>
    <row r="534" spans="1:41" x14ac:dyDescent="0.35">
      <c r="A534" s="103" t="str">
        <f t="shared" si="355"/>
        <v>405854</v>
      </c>
      <c r="B534" s="3346" t="str">
        <f>'Income Eligible Deemed Table'!C1359</f>
        <v>405854_2021_12_</v>
      </c>
      <c r="C534" s="3343" t="str">
        <f>'Income Eligible Deemed Table'!G1359</f>
        <v>Cooling RES</v>
      </c>
      <c r="D534" s="3343"/>
      <c r="E534" s="3343"/>
      <c r="F534" s="3343"/>
      <c r="G534" s="3343" t="str">
        <f>'Income Eligible Deemed Table'!E1359</f>
        <v>AC - Energy Star Room _12kBtu_Thru-Wall_MF</v>
      </c>
      <c r="H534" s="50" t="str">
        <f>'Income Eligible Deemed Table'!D1359</f>
        <v>MFIE</v>
      </c>
      <c r="I534" s="1966">
        <f t="shared" si="362"/>
        <v>194.59</v>
      </c>
      <c r="J534" s="1966">
        <f t="shared" si="363"/>
        <v>0</v>
      </c>
      <c r="K534" s="560">
        <f>'Income Eligible Deemed Table'!F1359</f>
        <v>194.59</v>
      </c>
      <c r="L534" s="560"/>
      <c r="M534" s="560"/>
      <c r="N534" s="560"/>
      <c r="O534" s="1967">
        <f t="shared" si="364"/>
        <v>0.18435799999999999</v>
      </c>
      <c r="P534" s="1967">
        <f t="shared" si="365"/>
        <v>0</v>
      </c>
      <c r="Q534" s="1968">
        <f>'Income Eligible Deemed Table'!I1359</f>
        <v>0.18435799999999999</v>
      </c>
      <c r="R534" s="1968"/>
      <c r="S534" s="1968"/>
      <c r="T534" s="1968"/>
      <c r="U534" s="1969">
        <f t="shared" si="366"/>
        <v>0.18435799999999999</v>
      </c>
      <c r="V534" s="1969"/>
      <c r="W534" s="1969"/>
      <c r="X534" s="55">
        <f>'Income Eligible Deemed Table'!J1359</f>
        <v>9</v>
      </c>
      <c r="Y534" s="55"/>
      <c r="Z534" s="55">
        <f t="shared" si="356"/>
        <v>9</v>
      </c>
      <c r="AA534" s="49">
        <f>'Income Eligible Deemed Table'!BB1359</f>
        <v>9.8930727424848968</v>
      </c>
      <c r="AB534" s="698">
        <f>'Income Eligible Deemed Table'!K1359</f>
        <v>20</v>
      </c>
      <c r="AC534" s="2582">
        <f t="shared" si="357"/>
        <v>186.74983940509478</v>
      </c>
      <c r="AD534" s="2582">
        <f t="shared" si="350"/>
        <v>0</v>
      </c>
      <c r="AE534" s="1380">
        <f>'Income Eligible Deemed Table'!BD1359</f>
        <v>186.74983940509478</v>
      </c>
      <c r="AF534" s="571"/>
      <c r="AG534" s="571"/>
      <c r="AH534" s="571"/>
      <c r="AI534" s="3346" t="str">
        <f>'Income Eligible Deemed Table'!L1359</f>
        <v>per measure</v>
      </c>
      <c r="AJ534" s="141"/>
      <c r="AM534" s="1596">
        <f t="shared" si="360"/>
        <v>9.4741810000000004E-4</v>
      </c>
      <c r="AN534">
        <f t="shared" si="359"/>
        <v>0.184358088079</v>
      </c>
      <c r="AO534" s="1595">
        <f t="shared" si="361"/>
        <v>8.8079000010177211E-8</v>
      </c>
    </row>
    <row r="535" spans="1:41" x14ac:dyDescent="0.35">
      <c r="A535" s="103" t="str">
        <f t="shared" si="355"/>
        <v>405855</v>
      </c>
      <c r="B535" s="3346" t="str">
        <f>'Income Eligible Deemed Table'!C1363</f>
        <v>405855_2021_12_</v>
      </c>
      <c r="C535" s="3343" t="str">
        <f>'Income Eligible Deemed Table'!G1363</f>
        <v>Cooling RES</v>
      </c>
      <c r="D535" s="3343"/>
      <c r="E535" s="3343"/>
      <c r="F535" s="3343"/>
      <c r="G535" s="3343" t="str">
        <f>'Income Eligible Deemed Table'!E1363</f>
        <v>AC - Energy Star Room _15kBtu_Thru-Wall_MF</v>
      </c>
      <c r="H535" s="50" t="str">
        <f>'Income Eligible Deemed Table'!D1363</f>
        <v>MFIE</v>
      </c>
      <c r="I535" s="1966">
        <f t="shared" si="362"/>
        <v>243.24</v>
      </c>
      <c r="J535" s="1966">
        <f t="shared" si="363"/>
        <v>0</v>
      </c>
      <c r="K535" s="560">
        <f>'Income Eligible Deemed Table'!F1363</f>
        <v>243.24</v>
      </c>
      <c r="L535" s="560"/>
      <c r="M535" s="560"/>
      <c r="N535" s="560"/>
      <c r="O535" s="1967">
        <f t="shared" si="364"/>
        <v>0.23044999999999999</v>
      </c>
      <c r="P535" s="1967">
        <f t="shared" si="365"/>
        <v>0</v>
      </c>
      <c r="Q535" s="1968">
        <f>'Income Eligible Deemed Table'!I1363</f>
        <v>0.23044999999999999</v>
      </c>
      <c r="R535" s="1968"/>
      <c r="S535" s="1968"/>
      <c r="T535" s="1968"/>
      <c r="U535" s="1969">
        <f t="shared" si="366"/>
        <v>0.23044999999999999</v>
      </c>
      <c r="V535" s="1969"/>
      <c r="W535" s="1969"/>
      <c r="X535" s="55">
        <f>'Income Eligible Deemed Table'!J1363</f>
        <v>9</v>
      </c>
      <c r="Y535" s="55"/>
      <c r="Z535" s="55">
        <f t="shared" si="356"/>
        <v>9</v>
      </c>
      <c r="AA535" s="49">
        <f>'Income Eligible Deemed Table'!BB1363</f>
        <v>12.366468029611113</v>
      </c>
      <c r="AB535" s="698">
        <f>'Income Eligible Deemed Table'!K1363</f>
        <v>20</v>
      </c>
      <c r="AC535" s="2582">
        <f t="shared" si="357"/>
        <v>233.4396985297048</v>
      </c>
      <c r="AD535" s="2582">
        <f t="shared" si="350"/>
        <v>0</v>
      </c>
      <c r="AE535" s="1380">
        <f>'Income Eligible Deemed Table'!BD1363</f>
        <v>233.4396985297048</v>
      </c>
      <c r="AF535" s="571"/>
      <c r="AG535" s="571"/>
      <c r="AH535" s="571"/>
      <c r="AI535" s="3346" t="str">
        <f>'Income Eligible Deemed Table'!L1363</f>
        <v>per measure</v>
      </c>
      <c r="AJ535" s="141"/>
      <c r="AM535" s="1596">
        <f t="shared" si="360"/>
        <v>9.4741810000000004E-4</v>
      </c>
      <c r="AN535">
        <f t="shared" si="359"/>
        <v>0.23044997864400002</v>
      </c>
      <c r="AO535" s="1595">
        <f t="shared" si="361"/>
        <v>-2.1355999968442063E-8</v>
      </c>
    </row>
    <row r="536" spans="1:41" x14ac:dyDescent="0.35">
      <c r="A536" s="103" t="str">
        <f t="shared" si="355"/>
        <v>405900</v>
      </c>
      <c r="B536" s="3346" t="str">
        <f>'Income Eligible Deemed Table'!C1344</f>
        <v>405900_2021_12_</v>
      </c>
      <c r="C536" s="3343" t="str">
        <f>'Income Eligible Deemed Table'!G1344</f>
        <v>Cooling RES</v>
      </c>
      <c r="D536" s="3343"/>
      <c r="E536" s="3343"/>
      <c r="F536" s="3343"/>
      <c r="G536" s="3343" t="str">
        <f>'Income Eligible Deemed Table'!E1344</f>
        <v>AC - Energy Star Room  _unknown size_Thru-Wall_SF</v>
      </c>
      <c r="H536" s="50" t="str">
        <f>'Income Eligible Deemed Table'!D1344</f>
        <v>SFIE</v>
      </c>
      <c r="I536" s="1966">
        <f t="shared" si="362"/>
        <v>75.040000000000006</v>
      </c>
      <c r="J536" s="1966">
        <f t="shared" si="363"/>
        <v>0</v>
      </c>
      <c r="K536" s="560">
        <f>'Income Eligible Deemed Table'!F1344</f>
        <v>75.040000000000006</v>
      </c>
      <c r="L536" s="560"/>
      <c r="M536" s="560"/>
      <c r="N536" s="560"/>
      <c r="O536" s="1967">
        <f t="shared" si="364"/>
        <v>7.1094000000000004E-2</v>
      </c>
      <c r="P536" s="1967">
        <f t="shared" si="365"/>
        <v>0</v>
      </c>
      <c r="Q536" s="1968">
        <f>'Income Eligible Deemed Table'!I1344</f>
        <v>7.1094000000000004E-2</v>
      </c>
      <c r="R536" s="1968"/>
      <c r="S536" s="1968"/>
      <c r="T536" s="1968"/>
      <c r="U536" s="1969">
        <f t="shared" si="366"/>
        <v>7.1094000000000004E-2</v>
      </c>
      <c r="V536" s="1969"/>
      <c r="W536" s="1969"/>
      <c r="X536" s="55">
        <f>'Income Eligible Deemed Table'!J1344</f>
        <v>9</v>
      </c>
      <c r="Y536" s="55"/>
      <c r="Z536" s="55">
        <f t="shared" si="356"/>
        <v>9</v>
      </c>
      <c r="AA536" s="49">
        <f>'Income Eligible Deemed Table'!BB1344</f>
        <v>3.8150787738119467</v>
      </c>
      <c r="AB536" s="698">
        <f>'Income Eligible Deemed Table'!K1344</f>
        <v>20</v>
      </c>
      <c r="AC536" s="2582">
        <f t="shared" si="357"/>
        <v>72.016588462707816</v>
      </c>
      <c r="AD536" s="2582">
        <f t="shared" si="350"/>
        <v>0</v>
      </c>
      <c r="AE536" s="1380">
        <f>'Income Eligible Deemed Table'!BD1344</f>
        <v>72.016588462707816</v>
      </c>
      <c r="AF536" s="571"/>
      <c r="AG536" s="571"/>
      <c r="AH536" s="571"/>
      <c r="AI536" s="3346" t="str">
        <f>'Income Eligible Deemed Table'!L1344</f>
        <v>per measure</v>
      </c>
      <c r="AJ536" s="141"/>
      <c r="AM536" s="1596">
        <f t="shared" si="360"/>
        <v>9.4741810000000004E-4</v>
      </c>
      <c r="AN536">
        <f t="shared" si="359"/>
        <v>7.1094254224000009E-2</v>
      </c>
      <c r="AO536" s="1595">
        <f t="shared" si="361"/>
        <v>2.5422400000418843E-7</v>
      </c>
    </row>
    <row r="537" spans="1:41" x14ac:dyDescent="0.35">
      <c r="A537" s="103" t="str">
        <f t="shared" si="355"/>
        <v>405901</v>
      </c>
      <c r="B537" s="3346" t="str">
        <f>'Income Eligible Deemed Table'!C1348</f>
        <v>405901_2021_12_</v>
      </c>
      <c r="C537" s="3343" t="str">
        <f>'Income Eligible Deemed Table'!G1348</f>
        <v>Cooling RES</v>
      </c>
      <c r="D537" s="3343"/>
      <c r="E537" s="3343"/>
      <c r="F537" s="3343"/>
      <c r="G537" s="3343" t="str">
        <f>'Income Eligible Deemed Table'!E1348</f>
        <v>AC - Energy Star Room _5kBtu _Thru-Wall_SF</v>
      </c>
      <c r="H537" s="50" t="str">
        <f>'Income Eligible Deemed Table'!D1348</f>
        <v>SFIE</v>
      </c>
      <c r="I537" s="1966">
        <f t="shared" si="362"/>
        <v>36.35</v>
      </c>
      <c r="J537" s="1966">
        <f t="shared" si="363"/>
        <v>0</v>
      </c>
      <c r="K537" s="560">
        <f>'Income Eligible Deemed Table'!F1348</f>
        <v>36.35</v>
      </c>
      <c r="L537" s="560"/>
      <c r="M537" s="560"/>
      <c r="N537" s="560"/>
      <c r="O537" s="1967">
        <f t="shared" si="364"/>
        <v>3.4438999999999997E-2</v>
      </c>
      <c r="P537" s="1967">
        <f t="shared" si="365"/>
        <v>0</v>
      </c>
      <c r="Q537" s="1968">
        <f>'Income Eligible Deemed Table'!I1348</f>
        <v>3.4438999999999997E-2</v>
      </c>
      <c r="R537" s="1968"/>
      <c r="S537" s="1968"/>
      <c r="T537" s="1968"/>
      <c r="U537" s="1969">
        <f t="shared" si="366"/>
        <v>3.4438999999999997E-2</v>
      </c>
      <c r="V537" s="1969"/>
      <c r="W537" s="1969"/>
      <c r="X537" s="55">
        <f>'Income Eligible Deemed Table'!J1348</f>
        <v>9</v>
      </c>
      <c r="Y537" s="55"/>
      <c r="Z537" s="55">
        <f t="shared" si="356"/>
        <v>9</v>
      </c>
      <c r="AA537" s="49">
        <f>'Income Eligible Deemed Table'!BB1348</f>
        <v>1.848055882570153</v>
      </c>
      <c r="AB537" s="698">
        <f>'Income Eligible Deemed Table'!K1348</f>
        <v>20</v>
      </c>
      <c r="AC537" s="2582">
        <f t="shared" si="357"/>
        <v>34.885434309960409</v>
      </c>
      <c r="AD537" s="2582">
        <f t="shared" si="350"/>
        <v>0</v>
      </c>
      <c r="AE537" s="1380">
        <f>'Income Eligible Deemed Table'!BD1348</f>
        <v>34.885434309960409</v>
      </c>
      <c r="AF537" s="571"/>
      <c r="AG537" s="571"/>
      <c r="AH537" s="571"/>
      <c r="AI537" s="3346" t="str">
        <f>'Income Eligible Deemed Table'!L1348</f>
        <v>per measure</v>
      </c>
      <c r="AJ537" s="141"/>
      <c r="AM537" s="1596">
        <f t="shared" si="360"/>
        <v>9.4741810000000004E-4</v>
      </c>
      <c r="AN537">
        <f t="shared" si="359"/>
        <v>3.4438647935000004E-2</v>
      </c>
      <c r="AO537" s="1595">
        <f t="shared" si="361"/>
        <v>-3.5206499999357321E-7</v>
      </c>
    </row>
    <row r="538" spans="1:41" x14ac:dyDescent="0.35">
      <c r="A538" s="103" t="str">
        <f t="shared" si="355"/>
        <v>405902</v>
      </c>
      <c r="B538" s="3346" t="str">
        <f>'Income Eligible Deemed Table'!C1352</f>
        <v>405902_2021_12_</v>
      </c>
      <c r="C538" s="3343" t="str">
        <f>'Income Eligible Deemed Table'!G1352</f>
        <v>Cooling RES</v>
      </c>
      <c r="D538" s="3343"/>
      <c r="E538" s="3343"/>
      <c r="F538" s="3343"/>
      <c r="G538" s="3343" t="str">
        <f>'Income Eligible Deemed Table'!E1352</f>
        <v>AC - Energy Star Room _8kBtu_Thru-Wall_SF</v>
      </c>
      <c r="H538" s="50" t="str">
        <f>'Income Eligible Deemed Table'!D1352</f>
        <v>SFIE</v>
      </c>
      <c r="I538" s="1966">
        <f t="shared" si="362"/>
        <v>58.16</v>
      </c>
      <c r="J538" s="1966">
        <f t="shared" si="363"/>
        <v>0</v>
      </c>
      <c r="K538" s="560">
        <f>'Income Eligible Deemed Table'!F1352</f>
        <v>58.16</v>
      </c>
      <c r="L538" s="560"/>
      <c r="M538" s="560"/>
      <c r="N538" s="560"/>
      <c r="O538" s="1967">
        <f t="shared" si="364"/>
        <v>5.5101999999999998E-2</v>
      </c>
      <c r="P538" s="1967">
        <f t="shared" si="365"/>
        <v>0</v>
      </c>
      <c r="Q538" s="1968">
        <f>'Income Eligible Deemed Table'!I1352</f>
        <v>5.5101999999999998E-2</v>
      </c>
      <c r="R538" s="1968"/>
      <c r="S538" s="1968"/>
      <c r="T538" s="1968"/>
      <c r="U538" s="1969">
        <f t="shared" si="366"/>
        <v>5.5101999999999998E-2</v>
      </c>
      <c r="V538" s="1969"/>
      <c r="W538" s="1969"/>
      <c r="X538" s="55">
        <f>'Income Eligible Deemed Table'!J1352</f>
        <v>9</v>
      </c>
      <c r="Y538" s="55"/>
      <c r="Z538" s="55">
        <f t="shared" si="356"/>
        <v>9</v>
      </c>
      <c r="AA538" s="49">
        <f>'Income Eligible Deemed Table'!BB1352</f>
        <v>2.9568894121122442</v>
      </c>
      <c r="AB538" s="698">
        <f>'Income Eligible Deemed Table'!K1352</f>
        <v>20</v>
      </c>
      <c r="AC538" s="2582">
        <f t="shared" si="357"/>
        <v>55.816694895936649</v>
      </c>
      <c r="AD538" s="2582">
        <f t="shared" si="350"/>
        <v>0</v>
      </c>
      <c r="AE538" s="1380">
        <f>'Income Eligible Deemed Table'!BD1352</f>
        <v>55.816694895936649</v>
      </c>
      <c r="AF538" s="571"/>
      <c r="AG538" s="571"/>
      <c r="AH538" s="571"/>
      <c r="AI538" s="3346" t="str">
        <f>'Income Eligible Deemed Table'!L1352</f>
        <v>per measure</v>
      </c>
      <c r="AJ538" s="141"/>
      <c r="AM538" s="1596">
        <f t="shared" si="360"/>
        <v>9.4741810000000004E-4</v>
      </c>
      <c r="AN538">
        <f t="shared" si="359"/>
        <v>5.5101836696000002E-2</v>
      </c>
      <c r="AO538" s="1595">
        <f t="shared" si="361"/>
        <v>-1.63303999996256E-7</v>
      </c>
    </row>
    <row r="539" spans="1:41" x14ac:dyDescent="0.35">
      <c r="A539" s="103" t="str">
        <f t="shared" si="355"/>
        <v>405903</v>
      </c>
      <c r="B539" s="3346" t="str">
        <f>'Income Eligible Deemed Table'!C1356</f>
        <v>405903_2021_12_</v>
      </c>
      <c r="C539" s="3343" t="str">
        <f>'Income Eligible Deemed Table'!G1356</f>
        <v>Cooling RES</v>
      </c>
      <c r="D539" s="3343"/>
      <c r="E539" s="3343"/>
      <c r="F539" s="3343"/>
      <c r="G539" s="3343" t="str">
        <f>'Income Eligible Deemed Table'!E1356</f>
        <v>AC - Energy Star Room _10kBtu_Thru-Wall_SF</v>
      </c>
      <c r="H539" s="50" t="str">
        <f>'Income Eligible Deemed Table'!D1356</f>
        <v>SFIE</v>
      </c>
      <c r="I539" s="1966">
        <f t="shared" si="362"/>
        <v>72.7</v>
      </c>
      <c r="J539" s="1966">
        <f t="shared" si="363"/>
        <v>0</v>
      </c>
      <c r="K539" s="560">
        <f>'Income Eligible Deemed Table'!F1356</f>
        <v>72.7</v>
      </c>
      <c r="L539" s="560"/>
      <c r="M539" s="560"/>
      <c r="N539" s="560"/>
      <c r="O539" s="1967">
        <f t="shared" si="364"/>
        <v>6.8876999999999994E-2</v>
      </c>
      <c r="P539" s="1967">
        <f t="shared" si="365"/>
        <v>0</v>
      </c>
      <c r="Q539" s="1968">
        <f>'Income Eligible Deemed Table'!I1356</f>
        <v>6.8876999999999994E-2</v>
      </c>
      <c r="R539" s="1968"/>
      <c r="S539" s="1968"/>
      <c r="T539" s="1968"/>
      <c r="U539" s="1969">
        <f t="shared" si="366"/>
        <v>6.8876999999999994E-2</v>
      </c>
      <c r="V539" s="1969"/>
      <c r="W539" s="1969"/>
      <c r="X539" s="55">
        <f>'Income Eligible Deemed Table'!J1356</f>
        <v>9</v>
      </c>
      <c r="Y539" s="55"/>
      <c r="Z539" s="55">
        <f t="shared" si="356"/>
        <v>9</v>
      </c>
      <c r="AA539" s="49">
        <f>'Income Eligible Deemed Table'!BB1356</f>
        <v>3.6961117651403059</v>
      </c>
      <c r="AB539" s="698">
        <f>'Income Eligible Deemed Table'!K1356</f>
        <v>20</v>
      </c>
      <c r="AC539" s="2582">
        <f t="shared" si="357"/>
        <v>69.770868619920819</v>
      </c>
      <c r="AD539" s="2582">
        <f t="shared" si="350"/>
        <v>0</v>
      </c>
      <c r="AE539" s="1380">
        <f>'Income Eligible Deemed Table'!BD1356</f>
        <v>69.770868619920819</v>
      </c>
      <c r="AF539" s="571"/>
      <c r="AG539" s="571"/>
      <c r="AH539" s="571"/>
      <c r="AI539" s="3346" t="str">
        <f>'Income Eligible Deemed Table'!L1356</f>
        <v>per measure</v>
      </c>
      <c r="AJ539" s="141"/>
      <c r="AM539" s="1596">
        <f t="shared" si="360"/>
        <v>9.4741810000000004E-4</v>
      </c>
      <c r="AN539">
        <f t="shared" si="359"/>
        <v>6.8877295870000008E-2</v>
      </c>
      <c r="AO539" s="1595">
        <f t="shared" si="361"/>
        <v>2.9587000001385366E-7</v>
      </c>
    </row>
    <row r="540" spans="1:41" x14ac:dyDescent="0.35">
      <c r="A540" s="103" t="str">
        <f t="shared" si="355"/>
        <v>405904</v>
      </c>
      <c r="B540" s="3346" t="str">
        <f>'Income Eligible Deemed Table'!C1360</f>
        <v>405904_2021_12_</v>
      </c>
      <c r="C540" s="3343" t="str">
        <f>'Income Eligible Deemed Table'!G1360</f>
        <v>Cooling RES</v>
      </c>
      <c r="D540" s="3343"/>
      <c r="E540" s="3343"/>
      <c r="F540" s="3343"/>
      <c r="G540" s="3343" t="str">
        <f>'Income Eligible Deemed Table'!E1360</f>
        <v>AC - Energy Star Room _12kBtu_Thru-Wall_SF</v>
      </c>
      <c r="H540" s="50" t="str">
        <f>'Income Eligible Deemed Table'!D1360</f>
        <v>SFIE</v>
      </c>
      <c r="I540" s="1966">
        <f t="shared" si="362"/>
        <v>87.24</v>
      </c>
      <c r="J540" s="1966">
        <f t="shared" si="363"/>
        <v>0</v>
      </c>
      <c r="K540" s="560">
        <f>'Income Eligible Deemed Table'!F1360</f>
        <v>87.24</v>
      </c>
      <c r="L540" s="560"/>
      <c r="M540" s="560"/>
      <c r="N540" s="560"/>
      <c r="O540" s="1967">
        <f t="shared" si="364"/>
        <v>8.2653000000000004E-2</v>
      </c>
      <c r="P540" s="1967">
        <f t="shared" si="365"/>
        <v>0</v>
      </c>
      <c r="Q540" s="1968">
        <f>'Income Eligible Deemed Table'!I1360</f>
        <v>8.2653000000000004E-2</v>
      </c>
      <c r="R540" s="1968"/>
      <c r="S540" s="1968"/>
      <c r="T540" s="1968"/>
      <c r="U540" s="1969">
        <f t="shared" si="366"/>
        <v>8.2653000000000004E-2</v>
      </c>
      <c r="V540" s="1969"/>
      <c r="W540" s="1969"/>
      <c r="X540" s="55">
        <f>'Income Eligible Deemed Table'!J1360</f>
        <v>9</v>
      </c>
      <c r="Y540" s="55"/>
      <c r="Z540" s="55">
        <f t="shared" si="356"/>
        <v>9</v>
      </c>
      <c r="AA540" s="49">
        <f>'Income Eligible Deemed Table'!BB1360</f>
        <v>4.4353341181683668</v>
      </c>
      <c r="AB540" s="698">
        <f>'Income Eligible Deemed Table'!K1360</f>
        <v>20</v>
      </c>
      <c r="AC540" s="2582">
        <f t="shared" si="357"/>
        <v>83.725042343904974</v>
      </c>
      <c r="AD540" s="2582">
        <f t="shared" si="350"/>
        <v>0</v>
      </c>
      <c r="AE540" s="1380">
        <f>'Income Eligible Deemed Table'!BD1360</f>
        <v>83.725042343904974</v>
      </c>
      <c r="AF540" s="571"/>
      <c r="AG540" s="571"/>
      <c r="AH540" s="571"/>
      <c r="AI540" s="3346" t="str">
        <f>'Income Eligible Deemed Table'!L1360</f>
        <v>per measure</v>
      </c>
      <c r="AJ540" s="141"/>
      <c r="AM540" s="1596">
        <f t="shared" si="360"/>
        <v>9.4741810000000004E-4</v>
      </c>
      <c r="AN540">
        <f t="shared" si="359"/>
        <v>8.2652755043999993E-2</v>
      </c>
      <c r="AO540" s="1595">
        <f t="shared" si="361"/>
        <v>-2.4495600001173123E-7</v>
      </c>
    </row>
    <row r="541" spans="1:41" x14ac:dyDescent="0.35">
      <c r="A541" s="103" t="str">
        <f t="shared" si="355"/>
        <v>405905</v>
      </c>
      <c r="B541" s="3346" t="str">
        <f>'Income Eligible Deemed Table'!C1364</f>
        <v>405905_2021_12_</v>
      </c>
      <c r="C541" s="3343" t="str">
        <f>'Income Eligible Deemed Table'!G1364</f>
        <v>Cooling RES</v>
      </c>
      <c r="D541" s="3343"/>
      <c r="E541" s="3343"/>
      <c r="F541" s="3343"/>
      <c r="G541" s="3343" t="str">
        <f>'Income Eligible Deemed Table'!E1364</f>
        <v>AC - Energy Star Room _15kBtu_Thru-Wall_SF</v>
      </c>
      <c r="H541" s="50" t="str">
        <f>'Income Eligible Deemed Table'!D1364</f>
        <v>SFIE</v>
      </c>
      <c r="I541" s="1966">
        <f t="shared" si="362"/>
        <v>109.05</v>
      </c>
      <c r="J541" s="1966">
        <f t="shared" si="363"/>
        <v>0</v>
      </c>
      <c r="K541" s="560">
        <f>'Income Eligible Deemed Table'!F1364</f>
        <v>109.05</v>
      </c>
      <c r="L541" s="560"/>
      <c r="M541" s="560"/>
      <c r="N541" s="560"/>
      <c r="O541" s="1967">
        <f t="shared" si="364"/>
        <v>0.10331600000000001</v>
      </c>
      <c r="P541" s="1967">
        <f t="shared" si="365"/>
        <v>0</v>
      </c>
      <c r="Q541" s="1968">
        <f>'Income Eligible Deemed Table'!I1364</f>
        <v>0.10331600000000001</v>
      </c>
      <c r="R541" s="1968"/>
      <c r="S541" s="1968"/>
      <c r="T541" s="1968"/>
      <c r="U541" s="1969">
        <f t="shared" si="366"/>
        <v>0.10331600000000001</v>
      </c>
      <c r="V541" s="1969"/>
      <c r="W541" s="1969"/>
      <c r="X541" s="55">
        <f>'Income Eligible Deemed Table'!J1364</f>
        <v>9</v>
      </c>
      <c r="Y541" s="55"/>
      <c r="Z541" s="55">
        <f t="shared" si="356"/>
        <v>9</v>
      </c>
      <c r="AA541" s="49">
        <f>'Income Eligible Deemed Table'!BB1364</f>
        <v>5.5441676477104584</v>
      </c>
      <c r="AB541" s="698">
        <f>'Income Eligible Deemed Table'!K1364</f>
        <v>20</v>
      </c>
      <c r="AC541" s="2582">
        <f t="shared" si="357"/>
        <v>104.65630292988122</v>
      </c>
      <c r="AD541" s="2582">
        <f t="shared" si="350"/>
        <v>0</v>
      </c>
      <c r="AE541" s="1380">
        <f>'Income Eligible Deemed Table'!BD1364</f>
        <v>104.65630292988122</v>
      </c>
      <c r="AF541" s="571"/>
      <c r="AG541" s="571"/>
      <c r="AH541" s="571"/>
      <c r="AI541" s="3346" t="str">
        <f>'Income Eligible Deemed Table'!L1364</f>
        <v>per measure</v>
      </c>
      <c r="AJ541" s="141"/>
      <c r="AM541" s="1596">
        <f t="shared" si="360"/>
        <v>9.4741810000000004E-4</v>
      </c>
      <c r="AN541">
        <f t="shared" si="359"/>
        <v>0.103315943805</v>
      </c>
      <c r="AO541" s="1595">
        <f t="shared" si="361"/>
        <v>-5.6195000000536233E-8</v>
      </c>
    </row>
    <row r="542" spans="1:41" x14ac:dyDescent="0.35">
      <c r="A542" s="103" t="str">
        <f t="shared" si="355"/>
        <v>405950</v>
      </c>
      <c r="B542" s="3346" t="str">
        <f>'Income Eligible Deemed Table'!C1345</f>
        <v>405950_2021_12_</v>
      </c>
      <c r="C542" s="3343" t="str">
        <f>'Income Eligible Deemed Table'!G1345</f>
        <v>Cooling RES</v>
      </c>
      <c r="D542" s="3343"/>
      <c r="E542" s="3343"/>
      <c r="F542" s="3343"/>
      <c r="G542" s="3343" t="str">
        <f>'Income Eligible Deemed Table'!E1345</f>
        <v>AC - Energy Star Room _unknown size_MF</v>
      </c>
      <c r="H542" s="50" t="str">
        <f>'Income Eligible Deemed Table'!D1345</f>
        <v>MFIE</v>
      </c>
      <c r="I542" s="1966">
        <f t="shared" si="362"/>
        <v>190.46</v>
      </c>
      <c r="J542" s="1966">
        <f t="shared" si="363"/>
        <v>0</v>
      </c>
      <c r="K542" s="560">
        <f>'Income Eligible Deemed Table'!F1345</f>
        <v>190.46</v>
      </c>
      <c r="L542" s="560"/>
      <c r="M542" s="560"/>
      <c r="N542" s="560"/>
      <c r="O542" s="1967">
        <f t="shared" si="364"/>
        <v>0.18044499999999999</v>
      </c>
      <c r="P542" s="1967">
        <f t="shared" si="365"/>
        <v>0</v>
      </c>
      <c r="Q542" s="1968">
        <f>'Income Eligible Deemed Table'!I1345</f>
        <v>0.18044499999999999</v>
      </c>
      <c r="R542" s="1968"/>
      <c r="S542" s="1968"/>
      <c r="T542" s="1968"/>
      <c r="U542" s="1969">
        <f t="shared" si="366"/>
        <v>0.18044499999999999</v>
      </c>
      <c r="V542" s="1969"/>
      <c r="W542" s="1969"/>
      <c r="X542" s="55">
        <f>'Income Eligible Deemed Table'!J1345</f>
        <v>9</v>
      </c>
      <c r="Y542" s="55"/>
      <c r="Z542" s="55">
        <f t="shared" si="356"/>
        <v>9</v>
      </c>
      <c r="AA542" s="49">
        <f>'Income Eligible Deemed Table'!BB1345</f>
        <v>9.68310105623965</v>
      </c>
      <c r="AB542" s="698">
        <f>'Income Eligible Deemed Table'!K1345</f>
        <v>20</v>
      </c>
      <c r="AC542" s="2582">
        <f t="shared" si="357"/>
        <v>182.78623985350919</v>
      </c>
      <c r="AD542" s="2582">
        <f t="shared" si="350"/>
        <v>0</v>
      </c>
      <c r="AE542" s="1380">
        <f>'Income Eligible Deemed Table'!BD1345</f>
        <v>182.78623985350919</v>
      </c>
      <c r="AF542" s="571"/>
      <c r="AG542" s="571"/>
      <c r="AH542" s="571"/>
      <c r="AI542" s="3346" t="str">
        <f>'Income Eligible Deemed Table'!L1345</f>
        <v>per measure</v>
      </c>
      <c r="AJ542" s="141"/>
      <c r="AM542" s="1596">
        <f t="shared" si="360"/>
        <v>9.4741810000000004E-4</v>
      </c>
      <c r="AN542">
        <f t="shared" si="359"/>
        <v>0.18044525132600001</v>
      </c>
      <c r="AO542" s="1595">
        <f t="shared" si="361"/>
        <v>2.5132600001143146E-7</v>
      </c>
    </row>
    <row r="543" spans="1:41" x14ac:dyDescent="0.35">
      <c r="A543" s="103" t="str">
        <f t="shared" si="355"/>
        <v>405951</v>
      </c>
      <c r="B543" s="3346" t="str">
        <f>'Income Eligible Deemed Table'!C1349</f>
        <v>405951_2021_12_</v>
      </c>
      <c r="C543" s="3343" t="str">
        <f>'Income Eligible Deemed Table'!G1349</f>
        <v>Cooling RES</v>
      </c>
      <c r="D543" s="3343"/>
      <c r="E543" s="3343"/>
      <c r="F543" s="3343"/>
      <c r="G543" s="3343" t="str">
        <f>'Income Eligible Deemed Table'!E1349</f>
        <v>AC - Energy Star Room_5kBtu_MF</v>
      </c>
      <c r="H543" s="50" t="str">
        <f>'Income Eligible Deemed Table'!D1349</f>
        <v>MFIE</v>
      </c>
      <c r="I543" s="1966">
        <f t="shared" si="362"/>
        <v>81.08</v>
      </c>
      <c r="J543" s="1966">
        <f t="shared" si="363"/>
        <v>0</v>
      </c>
      <c r="K543" s="560">
        <f>'Income Eligible Deemed Table'!F1349</f>
        <v>81.08</v>
      </c>
      <c r="L543" s="560"/>
      <c r="M543" s="560"/>
      <c r="N543" s="560"/>
      <c r="O543" s="1967">
        <f t="shared" si="364"/>
        <v>7.6816999999999996E-2</v>
      </c>
      <c r="P543" s="1967">
        <f t="shared" si="365"/>
        <v>0</v>
      </c>
      <c r="Q543" s="1968">
        <f>'Income Eligible Deemed Table'!I1349</f>
        <v>7.6816999999999996E-2</v>
      </c>
      <c r="R543" s="1968"/>
      <c r="S543" s="1968"/>
      <c r="T543" s="1968"/>
      <c r="U543" s="1969">
        <f t="shared" si="366"/>
        <v>7.6816999999999996E-2</v>
      </c>
      <c r="V543" s="1969"/>
      <c r="W543" s="1969"/>
      <c r="X543" s="55">
        <f>'Income Eligible Deemed Table'!J1349</f>
        <v>9</v>
      </c>
      <c r="Y543" s="55"/>
      <c r="Z543" s="55">
        <f t="shared" si="356"/>
        <v>9</v>
      </c>
      <c r="AA543" s="49">
        <f>'Income Eligible Deemed Table'!BB1349</f>
        <v>4.1221560098703707</v>
      </c>
      <c r="AB543" s="698">
        <f>'Income Eligible Deemed Table'!K1349</f>
        <v>20</v>
      </c>
      <c r="AC543" s="2582">
        <f t="shared" si="357"/>
        <v>77.813232843234928</v>
      </c>
      <c r="AD543" s="2582">
        <f t="shared" si="350"/>
        <v>0</v>
      </c>
      <c r="AE543" s="1380">
        <f>'Income Eligible Deemed Table'!BD1349</f>
        <v>77.813232843234928</v>
      </c>
      <c r="AF543" s="571"/>
      <c r="AG543" s="571"/>
      <c r="AH543" s="571"/>
      <c r="AI543" s="3346" t="str">
        <f>'Income Eligible Deemed Table'!L1349</f>
        <v>per measure</v>
      </c>
      <c r="AJ543" s="141"/>
      <c r="AM543" s="1596">
        <f t="shared" si="360"/>
        <v>9.4741810000000004E-4</v>
      </c>
      <c r="AN543">
        <f t="shared" si="359"/>
        <v>7.6816659548000002E-2</v>
      </c>
      <c r="AO543" s="1595">
        <f t="shared" si="361"/>
        <v>-3.4045199999443998E-7</v>
      </c>
    </row>
    <row r="544" spans="1:41" x14ac:dyDescent="0.35">
      <c r="A544" s="103" t="str">
        <f t="shared" si="355"/>
        <v>405952</v>
      </c>
      <c r="B544" s="3346" t="str">
        <f>'Income Eligible Deemed Table'!C1353</f>
        <v>405952_2021_12_</v>
      </c>
      <c r="C544" s="3343" t="str">
        <f>'Income Eligible Deemed Table'!G1353</f>
        <v>Cooling RES</v>
      </c>
      <c r="D544" s="3343"/>
      <c r="E544" s="3343"/>
      <c r="F544" s="3343"/>
      <c r="G544" s="3343" t="str">
        <f>'Income Eligible Deemed Table'!E1353</f>
        <v>AC - Energy Star Room_8kBtu_MF</v>
      </c>
      <c r="H544" s="50" t="str">
        <f>'Income Eligible Deemed Table'!D1353</f>
        <v>MFIE</v>
      </c>
      <c r="I544" s="1966">
        <f t="shared" si="362"/>
        <v>129.72999999999999</v>
      </c>
      <c r="J544" s="1966">
        <f t="shared" si="363"/>
        <v>0</v>
      </c>
      <c r="K544" s="560">
        <f>'Income Eligible Deemed Table'!F1353</f>
        <v>129.72999999999999</v>
      </c>
      <c r="L544" s="560"/>
      <c r="M544" s="560"/>
      <c r="N544" s="560"/>
      <c r="O544" s="1967">
        <f t="shared" si="364"/>
        <v>0.122909</v>
      </c>
      <c r="P544" s="1967">
        <f t="shared" si="365"/>
        <v>0</v>
      </c>
      <c r="Q544" s="1968">
        <f>'Income Eligible Deemed Table'!I1353</f>
        <v>0.122909</v>
      </c>
      <c r="R544" s="1968"/>
      <c r="S544" s="1968"/>
      <c r="T544" s="1968"/>
      <c r="U544" s="1969">
        <f t="shared" si="366"/>
        <v>0.122909</v>
      </c>
      <c r="V544" s="1969"/>
      <c r="W544" s="1969"/>
      <c r="X544" s="55">
        <f>'Income Eligible Deemed Table'!J1353</f>
        <v>9</v>
      </c>
      <c r="Y544" s="55"/>
      <c r="Z544" s="55">
        <f t="shared" si="356"/>
        <v>9</v>
      </c>
      <c r="AA544" s="49">
        <f>'Income Eligible Deemed Table'!BB1353</f>
        <v>6.595551296996585</v>
      </c>
      <c r="AB544" s="698">
        <f>'Income Eligible Deemed Table'!K1353</f>
        <v>20</v>
      </c>
      <c r="AC544" s="2582">
        <f t="shared" si="357"/>
        <v>124.50309196784492</v>
      </c>
      <c r="AD544" s="2582">
        <f t="shared" ref="AD544:AD565" si="367">AG544+AH544</f>
        <v>0</v>
      </c>
      <c r="AE544" s="1380">
        <f>'Income Eligible Deemed Table'!BD1353</f>
        <v>124.50309196784492</v>
      </c>
      <c r="AF544" s="571"/>
      <c r="AG544" s="571"/>
      <c r="AH544" s="571"/>
      <c r="AI544" s="3346" t="str">
        <f>'Income Eligible Deemed Table'!L1353</f>
        <v>per measure</v>
      </c>
      <c r="AJ544" s="141"/>
      <c r="AM544" s="1596">
        <f t="shared" si="360"/>
        <v>9.4741810000000004E-4</v>
      </c>
      <c r="AN544">
        <f t="shared" si="359"/>
        <v>0.12290855011299999</v>
      </c>
      <c r="AO544" s="1595">
        <f t="shared" si="361"/>
        <v>-4.4988700001469262E-7</v>
      </c>
    </row>
    <row r="545" spans="1:48" x14ac:dyDescent="0.35">
      <c r="A545" s="103" t="str">
        <f t="shared" si="355"/>
        <v>405953</v>
      </c>
      <c r="B545" s="3346" t="str">
        <f>'Income Eligible Deemed Table'!C1357</f>
        <v>405953_2021_12_</v>
      </c>
      <c r="C545" s="3343" t="str">
        <f>'Income Eligible Deemed Table'!G1357</f>
        <v>Cooling RES</v>
      </c>
      <c r="D545" s="3343"/>
      <c r="E545" s="3343"/>
      <c r="F545" s="3343"/>
      <c r="G545" s="3343" t="str">
        <f>'Income Eligible Deemed Table'!E1357</f>
        <v>AC - Energy Star Room_10kBtu_MF</v>
      </c>
      <c r="H545" s="50" t="str">
        <f>'Income Eligible Deemed Table'!D1357</f>
        <v>MFIE</v>
      </c>
      <c r="I545" s="1966">
        <f t="shared" si="362"/>
        <v>162.16</v>
      </c>
      <c r="J545" s="1966">
        <f t="shared" si="363"/>
        <v>0</v>
      </c>
      <c r="K545" s="560">
        <f>'Income Eligible Deemed Table'!F1357</f>
        <v>162.16</v>
      </c>
      <c r="L545" s="560"/>
      <c r="M545" s="560"/>
      <c r="N545" s="560"/>
      <c r="O545" s="1967">
        <f t="shared" si="364"/>
        <v>0.15363299999999999</v>
      </c>
      <c r="P545" s="1967">
        <f t="shared" si="365"/>
        <v>0</v>
      </c>
      <c r="Q545" s="1968">
        <f>'Income Eligible Deemed Table'!I1357</f>
        <v>0.15363299999999999</v>
      </c>
      <c r="R545" s="1968"/>
      <c r="S545" s="1968"/>
      <c r="T545" s="1968"/>
      <c r="U545" s="1969">
        <f t="shared" si="366"/>
        <v>0.15363299999999999</v>
      </c>
      <c r="V545" s="1969"/>
      <c r="W545" s="1969"/>
      <c r="X545" s="55">
        <f>'Income Eligible Deemed Table'!J1357</f>
        <v>9</v>
      </c>
      <c r="Y545" s="55"/>
      <c r="Z545" s="55">
        <f t="shared" si="356"/>
        <v>9</v>
      </c>
      <c r="AA545" s="49">
        <f>'Income Eligible Deemed Table'!BB1357</f>
        <v>8.2443120197407413</v>
      </c>
      <c r="AB545" s="698">
        <f>'Income Eligible Deemed Table'!K1357</f>
        <v>20</v>
      </c>
      <c r="AC545" s="2582">
        <f t="shared" si="357"/>
        <v>155.62646568646986</v>
      </c>
      <c r="AD545" s="2582">
        <f t="shared" si="367"/>
        <v>0</v>
      </c>
      <c r="AE545" s="1380">
        <f>'Income Eligible Deemed Table'!BD1357</f>
        <v>155.62646568646986</v>
      </c>
      <c r="AF545" s="571"/>
      <c r="AG545" s="571"/>
      <c r="AH545" s="571"/>
      <c r="AI545" s="3346" t="str">
        <f>'Income Eligible Deemed Table'!L1357</f>
        <v>per measure</v>
      </c>
      <c r="AJ545" s="141"/>
      <c r="AM545" s="1596">
        <f t="shared" si="360"/>
        <v>9.4741810000000004E-4</v>
      </c>
      <c r="AN545">
        <f t="shared" si="359"/>
        <v>0.153633319096</v>
      </c>
      <c r="AO545" s="1595">
        <f t="shared" si="361"/>
        <v>3.1909600001212013E-7</v>
      </c>
    </row>
    <row r="546" spans="1:48" x14ac:dyDescent="0.35">
      <c r="A546" s="103" t="str">
        <f t="shared" si="355"/>
        <v>405954</v>
      </c>
      <c r="B546" s="3346" t="str">
        <f>'Income Eligible Deemed Table'!C1361</f>
        <v>405954_2021_12_</v>
      </c>
      <c r="C546" s="3343" t="str">
        <f>'Income Eligible Deemed Table'!G1361</f>
        <v>Cooling RES</v>
      </c>
      <c r="D546" s="3343"/>
      <c r="E546" s="3343"/>
      <c r="F546" s="3343"/>
      <c r="G546" s="3343" t="str">
        <f>'Income Eligible Deemed Table'!E1361</f>
        <v>AC - Energy Star Room_12kBtu_MF</v>
      </c>
      <c r="H546" s="50" t="str">
        <f>'Income Eligible Deemed Table'!D1361</f>
        <v>MFIE</v>
      </c>
      <c r="I546" s="1966">
        <f t="shared" si="362"/>
        <v>194.59</v>
      </c>
      <c r="J546" s="1966">
        <f t="shared" si="363"/>
        <v>0</v>
      </c>
      <c r="K546" s="560">
        <f>'Income Eligible Deemed Table'!F1361</f>
        <v>194.59</v>
      </c>
      <c r="L546" s="560"/>
      <c r="M546" s="560"/>
      <c r="N546" s="560"/>
      <c r="O546" s="1967">
        <f t="shared" si="364"/>
        <v>0.18435799999999999</v>
      </c>
      <c r="P546" s="1967">
        <f t="shared" si="365"/>
        <v>0</v>
      </c>
      <c r="Q546" s="1968">
        <f>'Income Eligible Deemed Table'!I1361</f>
        <v>0.18435799999999999</v>
      </c>
      <c r="R546" s="1968"/>
      <c r="S546" s="1968"/>
      <c r="T546" s="1968"/>
      <c r="U546" s="1969">
        <f t="shared" si="366"/>
        <v>0.18435799999999999</v>
      </c>
      <c r="V546" s="1969"/>
      <c r="W546" s="1969"/>
      <c r="X546" s="55">
        <f>'Income Eligible Deemed Table'!J1361</f>
        <v>9</v>
      </c>
      <c r="Y546" s="55"/>
      <c r="Z546" s="55">
        <f t="shared" si="356"/>
        <v>9</v>
      </c>
      <c r="AA546" s="49">
        <f>'Income Eligible Deemed Table'!BB1361</f>
        <v>9.8930727424848968</v>
      </c>
      <c r="AB546" s="698">
        <f>'Income Eligible Deemed Table'!K1361</f>
        <v>20</v>
      </c>
      <c r="AC546" s="2582">
        <f t="shared" si="357"/>
        <v>186.74983940509478</v>
      </c>
      <c r="AD546" s="2582">
        <f t="shared" si="367"/>
        <v>0</v>
      </c>
      <c r="AE546" s="1380">
        <f>'Income Eligible Deemed Table'!BD1361</f>
        <v>186.74983940509478</v>
      </c>
      <c r="AF546" s="571"/>
      <c r="AG546" s="571"/>
      <c r="AH546" s="571"/>
      <c r="AI546" s="3346" t="str">
        <f>'Income Eligible Deemed Table'!L1361</f>
        <v>per measure</v>
      </c>
      <c r="AJ546" s="141"/>
      <c r="AM546" s="1596">
        <f t="shared" si="360"/>
        <v>9.4741810000000004E-4</v>
      </c>
      <c r="AN546">
        <f t="shared" si="359"/>
        <v>0.184358088079</v>
      </c>
      <c r="AO546" s="1595">
        <f t="shared" si="361"/>
        <v>8.8079000010177211E-8</v>
      </c>
    </row>
    <row r="547" spans="1:48" x14ac:dyDescent="0.35">
      <c r="A547" s="103" t="str">
        <f t="shared" si="355"/>
        <v>405955</v>
      </c>
      <c r="B547" s="3346" t="str">
        <f>'Income Eligible Deemed Table'!C1365</f>
        <v>405955_2021_12_</v>
      </c>
      <c r="C547" s="3343" t="str">
        <f>'Income Eligible Deemed Table'!G1365</f>
        <v>Cooling RES</v>
      </c>
      <c r="D547" s="3343"/>
      <c r="E547" s="3343"/>
      <c r="F547" s="3343"/>
      <c r="G547" s="3343" t="str">
        <f>'Income Eligible Deemed Table'!E1365</f>
        <v>AC - Energy Star Room_15kBtu_MF</v>
      </c>
      <c r="H547" s="50" t="str">
        <f>'Income Eligible Deemed Table'!D1365</f>
        <v>MFIE</v>
      </c>
      <c r="I547" s="1966">
        <f t="shared" si="362"/>
        <v>243.24</v>
      </c>
      <c r="J547" s="1966">
        <f t="shared" si="363"/>
        <v>0</v>
      </c>
      <c r="K547" s="560">
        <f>'Income Eligible Deemed Table'!F1365</f>
        <v>243.24</v>
      </c>
      <c r="L547" s="560"/>
      <c r="M547" s="560"/>
      <c r="N547" s="560"/>
      <c r="O547" s="1967">
        <f t="shared" si="364"/>
        <v>0.23044999999999999</v>
      </c>
      <c r="P547" s="1967">
        <f t="shared" si="365"/>
        <v>0</v>
      </c>
      <c r="Q547" s="1968">
        <f>'Income Eligible Deemed Table'!I1365</f>
        <v>0.23044999999999999</v>
      </c>
      <c r="R547" s="1968"/>
      <c r="S547" s="1968"/>
      <c r="T547" s="1968"/>
      <c r="U547" s="1969">
        <f t="shared" si="366"/>
        <v>0.23044999999999999</v>
      </c>
      <c r="V547" s="1969"/>
      <c r="W547" s="1969"/>
      <c r="X547" s="55">
        <f>'Income Eligible Deemed Table'!J1365</f>
        <v>9</v>
      </c>
      <c r="Y547" s="55"/>
      <c r="Z547" s="55">
        <f t="shared" si="356"/>
        <v>9</v>
      </c>
      <c r="AA547" s="49">
        <f>'Income Eligible Deemed Table'!BB1365</f>
        <v>12.366468029611113</v>
      </c>
      <c r="AB547" s="698">
        <f>'Income Eligible Deemed Table'!K1365</f>
        <v>20</v>
      </c>
      <c r="AC547" s="2582">
        <f t="shared" si="357"/>
        <v>233.4396985297048</v>
      </c>
      <c r="AD547" s="2582">
        <f t="shared" si="367"/>
        <v>0</v>
      </c>
      <c r="AE547" s="1380">
        <f>'Income Eligible Deemed Table'!BD1365</f>
        <v>233.4396985297048</v>
      </c>
      <c r="AF547" s="571"/>
      <c r="AG547" s="571"/>
      <c r="AH547" s="571"/>
      <c r="AI547" s="3346" t="str">
        <f>'Income Eligible Deemed Table'!L1365</f>
        <v>per measure</v>
      </c>
      <c r="AJ547" s="141"/>
      <c r="AM547" s="1596">
        <f t="shared" si="360"/>
        <v>9.4741810000000004E-4</v>
      </c>
      <c r="AN547">
        <f t="shared" si="359"/>
        <v>0.23044997864400002</v>
      </c>
      <c r="AO547" s="1595">
        <f t="shared" si="361"/>
        <v>-2.1355999968442063E-8</v>
      </c>
    </row>
    <row r="548" spans="1:48" x14ac:dyDescent="0.35">
      <c r="A548" s="103" t="str">
        <f t="shared" si="355"/>
        <v>406000</v>
      </c>
      <c r="B548" s="3346" t="str">
        <f>'Income Eligible Deemed Table'!C1346</f>
        <v>406000_2021_12_</v>
      </c>
      <c r="C548" s="3343" t="str">
        <f>'Income Eligible Deemed Table'!G1346</f>
        <v>Cooling RES</v>
      </c>
      <c r="D548" s="3343"/>
      <c r="E548" s="3343"/>
      <c r="F548" s="3343"/>
      <c r="G548" s="3343" t="str">
        <f>'Income Eligible Deemed Table'!E1346</f>
        <v>AC - Energy Star Room _unknown size_SF</v>
      </c>
      <c r="H548" s="50" t="str">
        <f>'Income Eligible Deemed Table'!D1346</f>
        <v>SFIE</v>
      </c>
      <c r="I548" s="1966">
        <f t="shared" si="362"/>
        <v>75.040000000000006</v>
      </c>
      <c r="J548" s="1966">
        <f t="shared" si="363"/>
        <v>0</v>
      </c>
      <c r="K548" s="560">
        <f>'Income Eligible Deemed Table'!F1346</f>
        <v>75.040000000000006</v>
      </c>
      <c r="L548" s="560"/>
      <c r="M548" s="560"/>
      <c r="N548" s="560"/>
      <c r="O548" s="1967">
        <f t="shared" si="364"/>
        <v>7.1094000000000004E-2</v>
      </c>
      <c r="P548" s="1967">
        <f t="shared" si="365"/>
        <v>0</v>
      </c>
      <c r="Q548" s="1968">
        <f>'Income Eligible Deemed Table'!I1346</f>
        <v>7.1094000000000004E-2</v>
      </c>
      <c r="R548" s="1968"/>
      <c r="S548" s="1968"/>
      <c r="T548" s="1968"/>
      <c r="U548" s="1969">
        <f t="shared" si="366"/>
        <v>7.1094000000000004E-2</v>
      </c>
      <c r="V548" s="1969"/>
      <c r="W548" s="1969"/>
      <c r="X548" s="55">
        <f>'Income Eligible Deemed Table'!J1346</f>
        <v>9</v>
      </c>
      <c r="Y548" s="55"/>
      <c r="Z548" s="55">
        <f t="shared" si="356"/>
        <v>9</v>
      </c>
      <c r="AA548" s="49">
        <f>'Income Eligible Deemed Table'!BB1346</f>
        <v>3.8150787738119467</v>
      </c>
      <c r="AB548" s="698">
        <f>'Income Eligible Deemed Table'!K1346</f>
        <v>20</v>
      </c>
      <c r="AC548" s="2582">
        <f t="shared" si="357"/>
        <v>72.016588462707816</v>
      </c>
      <c r="AD548" s="2582">
        <f t="shared" si="367"/>
        <v>0</v>
      </c>
      <c r="AE548" s="1380">
        <f>'Income Eligible Deemed Table'!BD1346</f>
        <v>72.016588462707816</v>
      </c>
      <c r="AF548" s="571"/>
      <c r="AG548" s="571"/>
      <c r="AH548" s="571"/>
      <c r="AI548" s="3346" t="str">
        <f>'Income Eligible Deemed Table'!L1346</f>
        <v>per measure</v>
      </c>
      <c r="AJ548" s="141"/>
      <c r="AM548" s="1596">
        <f t="shared" si="360"/>
        <v>9.4741810000000004E-4</v>
      </c>
      <c r="AN548">
        <f t="shared" si="359"/>
        <v>7.1094254224000009E-2</v>
      </c>
      <c r="AO548" s="1595">
        <f t="shared" si="361"/>
        <v>2.5422400000418843E-7</v>
      </c>
    </row>
    <row r="549" spans="1:48" x14ac:dyDescent="0.35">
      <c r="A549" s="103" t="str">
        <f t="shared" si="355"/>
        <v>406001</v>
      </c>
      <c r="B549" s="3346" t="str">
        <f>'Income Eligible Deemed Table'!C1350</f>
        <v>406001_2021_12_</v>
      </c>
      <c r="C549" s="3343" t="str">
        <f>'Income Eligible Deemed Table'!G1350</f>
        <v>Cooling RES</v>
      </c>
      <c r="D549" s="3343"/>
      <c r="E549" s="3343"/>
      <c r="F549" s="3343"/>
      <c r="G549" s="3343" t="str">
        <f>'Income Eligible Deemed Table'!E1350</f>
        <v>AC - Energy Star Room_5kBtu_SF</v>
      </c>
      <c r="H549" s="50" t="str">
        <f>'Income Eligible Deemed Table'!D1350</f>
        <v>SFIE</v>
      </c>
      <c r="I549" s="1966">
        <f t="shared" si="362"/>
        <v>36.35</v>
      </c>
      <c r="J549" s="1966">
        <f t="shared" si="363"/>
        <v>0</v>
      </c>
      <c r="K549" s="560">
        <f>'Income Eligible Deemed Table'!F1350</f>
        <v>36.35</v>
      </c>
      <c r="L549" s="560"/>
      <c r="M549" s="560"/>
      <c r="N549" s="560"/>
      <c r="O549" s="1967">
        <f t="shared" si="364"/>
        <v>3.4438999999999997E-2</v>
      </c>
      <c r="P549" s="1967">
        <f t="shared" si="365"/>
        <v>0</v>
      </c>
      <c r="Q549" s="1968">
        <f>'Income Eligible Deemed Table'!I1350</f>
        <v>3.4438999999999997E-2</v>
      </c>
      <c r="R549" s="1968"/>
      <c r="S549" s="1968"/>
      <c r="T549" s="1968"/>
      <c r="U549" s="1969">
        <f t="shared" si="366"/>
        <v>3.4438999999999997E-2</v>
      </c>
      <c r="V549" s="1969"/>
      <c r="W549" s="1969"/>
      <c r="X549" s="55">
        <f>'Income Eligible Deemed Table'!J1350</f>
        <v>9</v>
      </c>
      <c r="Y549" s="55"/>
      <c r="Z549" s="55">
        <f t="shared" si="356"/>
        <v>9</v>
      </c>
      <c r="AA549" s="49">
        <f>'Income Eligible Deemed Table'!BB1350</f>
        <v>1.848055882570153</v>
      </c>
      <c r="AB549" s="698">
        <f>'Income Eligible Deemed Table'!K1350</f>
        <v>20</v>
      </c>
      <c r="AC549" s="2582">
        <f t="shared" si="357"/>
        <v>34.885434309960409</v>
      </c>
      <c r="AD549" s="2582">
        <f t="shared" si="367"/>
        <v>0</v>
      </c>
      <c r="AE549" s="1380">
        <f>'Income Eligible Deemed Table'!BD1350</f>
        <v>34.885434309960409</v>
      </c>
      <c r="AF549" s="571"/>
      <c r="AG549" s="571"/>
      <c r="AH549" s="571"/>
      <c r="AI549" s="3346" t="str">
        <f>'Income Eligible Deemed Table'!L1350</f>
        <v>per measure</v>
      </c>
      <c r="AJ549" s="141"/>
      <c r="AM549" s="1596">
        <f t="shared" si="360"/>
        <v>9.4741810000000004E-4</v>
      </c>
      <c r="AN549">
        <f t="shared" si="359"/>
        <v>3.4438647935000004E-2</v>
      </c>
      <c r="AO549" s="1595">
        <f t="shared" si="361"/>
        <v>-3.5206499999357321E-7</v>
      </c>
    </row>
    <row r="550" spans="1:48" x14ac:dyDescent="0.35">
      <c r="A550" s="103" t="str">
        <f t="shared" si="355"/>
        <v>406002</v>
      </c>
      <c r="B550" s="3346" t="str">
        <f>'Income Eligible Deemed Table'!C1354</f>
        <v>406002_2021_12_</v>
      </c>
      <c r="C550" s="3343" t="str">
        <f>'Income Eligible Deemed Table'!G1354</f>
        <v>Cooling RES</v>
      </c>
      <c r="D550" s="3343"/>
      <c r="E550" s="3343"/>
      <c r="F550" s="3343"/>
      <c r="G550" s="3343" t="str">
        <f>'Income Eligible Deemed Table'!E1354</f>
        <v>AC - Energy Star Room_8kBtu_SF</v>
      </c>
      <c r="H550" s="50" t="str">
        <f>'Income Eligible Deemed Table'!D1354</f>
        <v>SFIE</v>
      </c>
      <c r="I550" s="1966">
        <f t="shared" si="362"/>
        <v>58.16</v>
      </c>
      <c r="J550" s="1966">
        <f t="shared" si="363"/>
        <v>0</v>
      </c>
      <c r="K550" s="560">
        <f>'Income Eligible Deemed Table'!F1354</f>
        <v>58.16</v>
      </c>
      <c r="L550" s="560"/>
      <c r="M550" s="560"/>
      <c r="N550" s="560"/>
      <c r="O550" s="1967">
        <f t="shared" si="364"/>
        <v>5.5101999999999998E-2</v>
      </c>
      <c r="P550" s="1967">
        <f t="shared" si="365"/>
        <v>0</v>
      </c>
      <c r="Q550" s="1968">
        <f>'Income Eligible Deemed Table'!I1354</f>
        <v>5.5101999999999998E-2</v>
      </c>
      <c r="R550" s="1968"/>
      <c r="S550" s="1968"/>
      <c r="T550" s="1968"/>
      <c r="U550" s="1969">
        <f t="shared" si="366"/>
        <v>5.5101999999999998E-2</v>
      </c>
      <c r="V550" s="1969"/>
      <c r="W550" s="1969"/>
      <c r="X550" s="55">
        <f>'Income Eligible Deemed Table'!J1354</f>
        <v>9</v>
      </c>
      <c r="Y550" s="55"/>
      <c r="Z550" s="55">
        <f t="shared" si="356"/>
        <v>9</v>
      </c>
      <c r="AA550" s="49">
        <f>'Income Eligible Deemed Table'!BB1354</f>
        <v>2.9568894121122442</v>
      </c>
      <c r="AB550" s="698">
        <f>'Income Eligible Deemed Table'!K1354</f>
        <v>20</v>
      </c>
      <c r="AC550" s="2582">
        <f t="shared" si="357"/>
        <v>55.816694895936649</v>
      </c>
      <c r="AD550" s="2582">
        <f t="shared" si="367"/>
        <v>0</v>
      </c>
      <c r="AE550" s="1380">
        <f>'Income Eligible Deemed Table'!BD1354</f>
        <v>55.816694895936649</v>
      </c>
      <c r="AF550" s="571"/>
      <c r="AG550" s="571"/>
      <c r="AH550" s="571"/>
      <c r="AI550" s="3346" t="str">
        <f>'Income Eligible Deemed Table'!L1354</f>
        <v>per measure</v>
      </c>
      <c r="AJ550" s="141"/>
      <c r="AM550" s="1596">
        <f t="shared" si="360"/>
        <v>9.4741810000000004E-4</v>
      </c>
      <c r="AN550">
        <f t="shared" si="359"/>
        <v>5.5101836696000002E-2</v>
      </c>
      <c r="AO550" s="1595">
        <f t="shared" si="361"/>
        <v>-1.63303999996256E-7</v>
      </c>
    </row>
    <row r="551" spans="1:48" x14ac:dyDescent="0.35">
      <c r="A551" s="103" t="str">
        <f t="shared" si="355"/>
        <v>406003</v>
      </c>
      <c r="B551" s="3346" t="str">
        <f>'Income Eligible Deemed Table'!C1358</f>
        <v>406003_2021_12_</v>
      </c>
      <c r="C551" s="3343" t="str">
        <f>'Income Eligible Deemed Table'!G1358</f>
        <v>Cooling RES</v>
      </c>
      <c r="D551" s="3343"/>
      <c r="E551" s="3343"/>
      <c r="F551" s="3343"/>
      <c r="G551" s="3343" t="str">
        <f>'Income Eligible Deemed Table'!E1358</f>
        <v>AC - Energy Star Room_10kBtu_SF</v>
      </c>
      <c r="H551" s="50" t="str">
        <f>'Income Eligible Deemed Table'!D1358</f>
        <v>SFIE</v>
      </c>
      <c r="I551" s="1966">
        <f t="shared" si="362"/>
        <v>72.7</v>
      </c>
      <c r="J551" s="1966">
        <f t="shared" si="363"/>
        <v>0</v>
      </c>
      <c r="K551" s="560">
        <f>'Income Eligible Deemed Table'!F1358</f>
        <v>72.7</v>
      </c>
      <c r="L551" s="560"/>
      <c r="M551" s="560"/>
      <c r="N551" s="560"/>
      <c r="O551" s="1967">
        <f t="shared" si="364"/>
        <v>6.8876999999999994E-2</v>
      </c>
      <c r="P551" s="1967">
        <f t="shared" si="365"/>
        <v>0</v>
      </c>
      <c r="Q551" s="1968">
        <f>'Income Eligible Deemed Table'!I1358</f>
        <v>6.8876999999999994E-2</v>
      </c>
      <c r="R551" s="1968"/>
      <c r="S551" s="1968"/>
      <c r="T551" s="1968"/>
      <c r="U551" s="1969">
        <f t="shared" si="366"/>
        <v>6.8876999999999994E-2</v>
      </c>
      <c r="V551" s="1969"/>
      <c r="W551" s="1969"/>
      <c r="X551" s="55">
        <f>'Income Eligible Deemed Table'!J1358</f>
        <v>9</v>
      </c>
      <c r="Y551" s="55"/>
      <c r="Z551" s="55">
        <f t="shared" si="356"/>
        <v>9</v>
      </c>
      <c r="AA551" s="49">
        <f>'Income Eligible Deemed Table'!BB1358</f>
        <v>3.6961117651403059</v>
      </c>
      <c r="AB551" s="698">
        <f>'Income Eligible Deemed Table'!K1358</f>
        <v>20</v>
      </c>
      <c r="AC551" s="2582">
        <f t="shared" si="357"/>
        <v>69.770868619920819</v>
      </c>
      <c r="AD551" s="2582">
        <f t="shared" si="367"/>
        <v>0</v>
      </c>
      <c r="AE551" s="1380">
        <f>'Income Eligible Deemed Table'!BD1358</f>
        <v>69.770868619920819</v>
      </c>
      <c r="AF551" s="571"/>
      <c r="AG551" s="571"/>
      <c r="AH551" s="571"/>
      <c r="AI551" s="3346" t="str">
        <f>'Income Eligible Deemed Table'!L1358</f>
        <v>per measure</v>
      </c>
      <c r="AJ551" s="141"/>
      <c r="AM551" s="1596">
        <f t="shared" si="360"/>
        <v>9.4741810000000004E-4</v>
      </c>
      <c r="AN551">
        <f t="shared" ref="AN551:AN565" si="368">AM551*I551</f>
        <v>6.8877295870000008E-2</v>
      </c>
      <c r="AO551" s="1595">
        <f t="shared" si="361"/>
        <v>2.9587000001385366E-7</v>
      </c>
    </row>
    <row r="552" spans="1:48" s="84" customFormat="1" x14ac:dyDescent="0.35">
      <c r="A552" s="103" t="str">
        <f t="shared" si="355"/>
        <v>406004</v>
      </c>
      <c r="B552" s="3346" t="str">
        <f>'Income Eligible Deemed Table'!C1362</f>
        <v>406004_2021_12_</v>
      </c>
      <c r="C552" s="3343" t="str">
        <f>'Income Eligible Deemed Table'!G1362</f>
        <v>Cooling RES</v>
      </c>
      <c r="D552" s="3343"/>
      <c r="E552" s="3343"/>
      <c r="F552" s="3343"/>
      <c r="G552" s="3343" t="str">
        <f>'Income Eligible Deemed Table'!E1362</f>
        <v>AC - Energy Star Room_12kBtu_SF</v>
      </c>
      <c r="H552" s="50" t="str">
        <f>'Income Eligible Deemed Table'!D1362</f>
        <v>SFIE</v>
      </c>
      <c r="I552" s="1966">
        <f t="shared" si="362"/>
        <v>87.24</v>
      </c>
      <c r="J552" s="1966">
        <f t="shared" si="363"/>
        <v>0</v>
      </c>
      <c r="K552" s="560">
        <f>'Income Eligible Deemed Table'!F1362</f>
        <v>87.24</v>
      </c>
      <c r="L552" s="560"/>
      <c r="M552" s="560"/>
      <c r="N552" s="560"/>
      <c r="O552" s="1967">
        <f t="shared" si="364"/>
        <v>8.2653000000000004E-2</v>
      </c>
      <c r="P552" s="1967">
        <f t="shared" si="365"/>
        <v>0</v>
      </c>
      <c r="Q552" s="1968">
        <f>'Income Eligible Deemed Table'!I1362</f>
        <v>8.2653000000000004E-2</v>
      </c>
      <c r="R552" s="1968"/>
      <c r="S552" s="1968"/>
      <c r="T552" s="1968"/>
      <c r="U552" s="1969">
        <f t="shared" si="366"/>
        <v>8.2653000000000004E-2</v>
      </c>
      <c r="V552" s="1969"/>
      <c r="W552" s="1969"/>
      <c r="X552" s="55">
        <f>'Income Eligible Deemed Table'!J1362</f>
        <v>9</v>
      </c>
      <c r="Y552" s="55"/>
      <c r="Z552" s="55">
        <f t="shared" si="356"/>
        <v>9</v>
      </c>
      <c r="AA552" s="49">
        <f>'Income Eligible Deemed Table'!BB1362</f>
        <v>4.4353341181683668</v>
      </c>
      <c r="AB552" s="698">
        <f>'Income Eligible Deemed Table'!K1362</f>
        <v>20</v>
      </c>
      <c r="AC552" s="2582">
        <f t="shared" si="357"/>
        <v>83.725042343904974</v>
      </c>
      <c r="AD552" s="2582">
        <f t="shared" si="367"/>
        <v>0</v>
      </c>
      <c r="AE552" s="1380">
        <f>'Income Eligible Deemed Table'!BD1362</f>
        <v>83.725042343904974</v>
      </c>
      <c r="AF552" s="571"/>
      <c r="AG552" s="571"/>
      <c r="AH552" s="571"/>
      <c r="AI552" s="3346" t="str">
        <f>'Income Eligible Deemed Table'!L1362</f>
        <v>per measure</v>
      </c>
      <c r="AJ552" s="141"/>
      <c r="AK552"/>
      <c r="AL552"/>
      <c r="AM552" s="1596">
        <f t="shared" si="360"/>
        <v>9.4741810000000004E-4</v>
      </c>
      <c r="AN552">
        <f t="shared" si="368"/>
        <v>8.2652755043999993E-2</v>
      </c>
      <c r="AO552" s="1595">
        <f t="shared" si="361"/>
        <v>-2.4495600001173123E-7</v>
      </c>
      <c r="AP552"/>
      <c r="AQ552"/>
      <c r="AR552"/>
      <c r="AS552"/>
      <c r="AT552"/>
      <c r="AU552"/>
      <c r="AV552"/>
    </row>
    <row r="553" spans="1:48" s="84" customFormat="1" x14ac:dyDescent="0.35">
      <c r="A553" s="103" t="str">
        <f t="shared" si="355"/>
        <v>406005</v>
      </c>
      <c r="B553" s="3346" t="str">
        <f>'Income Eligible Deemed Table'!C1366</f>
        <v>406005_2021_12_</v>
      </c>
      <c r="C553" s="3343" t="str">
        <f>'Income Eligible Deemed Table'!G1366</f>
        <v>Cooling RES</v>
      </c>
      <c r="D553" s="3343"/>
      <c r="E553" s="3343"/>
      <c r="F553" s="3343"/>
      <c r="G553" s="3343" t="str">
        <f>'Income Eligible Deemed Table'!E1366</f>
        <v>AC - Energy Star Room_15kBtu_SF</v>
      </c>
      <c r="H553" s="50" t="str">
        <f>'Income Eligible Deemed Table'!D1366</f>
        <v>SFIE</v>
      </c>
      <c r="I553" s="1966">
        <f t="shared" si="362"/>
        <v>109.05</v>
      </c>
      <c r="J553" s="1966">
        <f t="shared" si="363"/>
        <v>0</v>
      </c>
      <c r="K553" s="560">
        <f>'Income Eligible Deemed Table'!F1366</f>
        <v>109.05</v>
      </c>
      <c r="L553" s="560"/>
      <c r="M553" s="560"/>
      <c r="N553" s="560"/>
      <c r="O553" s="1967">
        <f t="shared" si="364"/>
        <v>0.10331600000000001</v>
      </c>
      <c r="P553" s="1967">
        <f t="shared" si="365"/>
        <v>0</v>
      </c>
      <c r="Q553" s="1968">
        <f>'Income Eligible Deemed Table'!I1366</f>
        <v>0.10331600000000001</v>
      </c>
      <c r="R553" s="1968"/>
      <c r="S553" s="1968"/>
      <c r="T553" s="1968"/>
      <c r="U553" s="1969">
        <f t="shared" si="366"/>
        <v>0.10331600000000001</v>
      </c>
      <c r="V553" s="1969"/>
      <c r="W553" s="1969"/>
      <c r="X553" s="55">
        <f>'Income Eligible Deemed Table'!J1366</f>
        <v>9</v>
      </c>
      <c r="Y553" s="55"/>
      <c r="Z553" s="55">
        <f t="shared" si="356"/>
        <v>9</v>
      </c>
      <c r="AA553" s="49">
        <f>'Income Eligible Deemed Table'!BB1366</f>
        <v>5.5441676477104584</v>
      </c>
      <c r="AB553" s="698">
        <f>'Income Eligible Deemed Table'!K1366</f>
        <v>20</v>
      </c>
      <c r="AC553" s="2582">
        <f t="shared" si="357"/>
        <v>104.65630292988122</v>
      </c>
      <c r="AD553" s="2582">
        <f t="shared" si="367"/>
        <v>0</v>
      </c>
      <c r="AE553" s="1380">
        <f>'Income Eligible Deemed Table'!BD1366</f>
        <v>104.65630292988122</v>
      </c>
      <c r="AF553" s="571"/>
      <c r="AG553" s="571"/>
      <c r="AH553" s="571"/>
      <c r="AI553" s="3346" t="str">
        <f>'Income Eligible Deemed Table'!L1366</f>
        <v>per measure</v>
      </c>
      <c r="AJ553" s="141"/>
      <c r="AK553"/>
      <c r="AL553"/>
      <c r="AM553" s="1596">
        <f t="shared" si="360"/>
        <v>9.4741810000000004E-4</v>
      </c>
      <c r="AN553">
        <f t="shared" si="368"/>
        <v>0.103315943805</v>
      </c>
      <c r="AO553" s="1595">
        <f t="shared" si="361"/>
        <v>-5.6195000000536233E-8</v>
      </c>
      <c r="AP553"/>
      <c r="AQ553"/>
      <c r="AR553"/>
      <c r="AS553"/>
      <c r="AT553"/>
      <c r="AU553"/>
      <c r="AV553"/>
    </row>
    <row r="554" spans="1:48" s="84" customFormat="1" x14ac:dyDescent="0.35">
      <c r="A554" s="103" t="str">
        <f t="shared" si="355"/>
        <v>406025</v>
      </c>
      <c r="B554" s="3346" t="str">
        <f>'Income Eligible Deemed Table'!C1397</f>
        <v>406025_2020_12_</v>
      </c>
      <c r="C554" s="3343" t="str">
        <f>'Income Eligible Deemed Table'!G1397</f>
        <v>Building Shell RES</v>
      </c>
      <c r="D554" s="3343"/>
      <c r="E554" s="3343"/>
      <c r="F554" s="3343"/>
      <c r="G554" s="3343" t="str">
        <f>'Income Eligible Deemed Table'!E1397</f>
        <v>Storm Window - Single Pane, Double Hung - Electric Furnace</v>
      </c>
      <c r="H554" s="50" t="str">
        <f>'Income Eligible Deemed Table'!D1397</f>
        <v>SFIE / MFIE</v>
      </c>
      <c r="I554" s="1966">
        <f>'Income Eligible Deemed Table'!F1397</f>
        <v>17.535985292550357</v>
      </c>
      <c r="J554" s="1966"/>
      <c r="K554" s="560"/>
      <c r="L554" s="560"/>
      <c r="M554" s="560"/>
      <c r="N554" s="560"/>
      <c r="O554" s="1967">
        <f>'Income Eligible Deemed Table'!I1397</f>
        <v>8.1729999999999997E-3</v>
      </c>
      <c r="P554" s="1967"/>
      <c r="Q554" s="1968"/>
      <c r="R554" s="1968"/>
      <c r="S554" s="1968"/>
      <c r="T554" s="1968"/>
      <c r="U554" s="1969"/>
      <c r="V554" s="1969"/>
      <c r="W554" s="1969">
        <f t="shared" ref="W554:W565" si="369">O554</f>
        <v>8.1729999999999997E-3</v>
      </c>
      <c r="X554" s="55">
        <f>'Income Eligible Deemed Table'!J1397</f>
        <v>20</v>
      </c>
      <c r="Y554" s="55"/>
      <c r="Z554" s="55">
        <f t="shared" si="356"/>
        <v>20</v>
      </c>
      <c r="AA554" s="49">
        <f>'Income Eligible Deemed Table'!BB1397</f>
        <v>2.3284294802706778</v>
      </c>
      <c r="AB554" s="698">
        <f>'Income Eligible Deemed Table'!K1397</f>
        <v>9.2850000000000001</v>
      </c>
      <c r="AC554" s="2582">
        <f t="shared" si="357"/>
        <v>20.405349433046947</v>
      </c>
      <c r="AD554" s="2582">
        <f t="shared" si="367"/>
        <v>0</v>
      </c>
      <c r="AE554" s="1380">
        <f>'Income Eligible Deemed Table'!BD1397</f>
        <v>20.405349433046947</v>
      </c>
      <c r="AF554" s="571"/>
      <c r="AG554" s="571"/>
      <c r="AH554" s="571"/>
      <c r="AI554" s="3346" t="str">
        <f>'Income Eligible Deemed Table'!L1397</f>
        <v>per sq ft</v>
      </c>
      <c r="AJ554" s="1589"/>
      <c r="AM554" s="1961">
        <f t="shared" ref="AM554:AM565" si="370">VLOOKUP(C554,$AS$10:$AT$33,2,FALSE)</f>
        <v>4.6608050000000002E-4</v>
      </c>
      <c r="AN554" s="84">
        <f t="shared" si="368"/>
        <v>8.1731807931445175E-3</v>
      </c>
      <c r="AO554" s="1965">
        <f t="shared" ref="AO554:AO565" si="371">AN554-O554</f>
        <v>1.8079314451774353E-7</v>
      </c>
    </row>
    <row r="555" spans="1:48" s="84" customFormat="1" x14ac:dyDescent="0.35">
      <c r="A555" s="103" t="str">
        <f t="shared" si="355"/>
        <v>406050</v>
      </c>
      <c r="B555" s="3346" t="str">
        <f>'Income Eligible Deemed Table'!C1398</f>
        <v>406050_2020_12_</v>
      </c>
      <c r="C555" s="3343" t="str">
        <f>'Income Eligible Deemed Table'!G1398</f>
        <v>Building Shell RES</v>
      </c>
      <c r="D555" s="3343"/>
      <c r="E555" s="3343"/>
      <c r="F555" s="3343"/>
      <c r="G555" s="3343" t="str">
        <f>'Income Eligible Deemed Table'!E1398</f>
        <v>Storm Window - Single Pane, Double Hung - Heat Pump</v>
      </c>
      <c r="H555" s="50" t="str">
        <f>'Income Eligible Deemed Table'!D1398</f>
        <v>SFIE / MFIE</v>
      </c>
      <c r="I555" s="1966">
        <f>'Income Eligible Deemed Table'!F1398</f>
        <v>10.4183346394822</v>
      </c>
      <c r="J555" s="1966"/>
      <c r="K555" s="560"/>
      <c r="L555" s="560"/>
      <c r="M555" s="560"/>
      <c r="N555" s="560"/>
      <c r="O555" s="1967">
        <f>'Income Eligible Deemed Table'!I1398</f>
        <v>4.8560000000000001E-3</v>
      </c>
      <c r="P555" s="1967"/>
      <c r="Q555" s="1968"/>
      <c r="R555" s="1968"/>
      <c r="S555" s="1968"/>
      <c r="T555" s="1968"/>
      <c r="U555" s="1969"/>
      <c r="V555" s="1969"/>
      <c r="W555" s="1969">
        <f t="shared" si="369"/>
        <v>4.8560000000000001E-3</v>
      </c>
      <c r="X555" s="55">
        <f>'Income Eligible Deemed Table'!J1398</f>
        <v>20</v>
      </c>
      <c r="Y555" s="55"/>
      <c r="Z555" s="55">
        <f t="shared" si="356"/>
        <v>20</v>
      </c>
      <c r="AA555" s="49">
        <f>'Income Eligible Deemed Table'!BB1398</f>
        <v>1.3833472773383872</v>
      </c>
      <c r="AB555" s="698">
        <f>'Income Eligible Deemed Table'!K1398</f>
        <v>9.2850000000000001</v>
      </c>
      <c r="AC555" s="2582">
        <f t="shared" si="357"/>
        <v>12.123057546094312</v>
      </c>
      <c r="AD555" s="2582">
        <f t="shared" si="367"/>
        <v>0</v>
      </c>
      <c r="AE555" s="1380">
        <f>'Income Eligible Deemed Table'!BD1398</f>
        <v>12.123057546094312</v>
      </c>
      <c r="AF555" s="571"/>
      <c r="AG555" s="571"/>
      <c r="AH555" s="571"/>
      <c r="AI555" s="3346" t="str">
        <f>'Income Eligible Deemed Table'!L1398</f>
        <v>per sq ft</v>
      </c>
      <c r="AJ555" s="1589"/>
      <c r="AM555" s="1961">
        <f t="shared" si="370"/>
        <v>4.6608050000000002E-4</v>
      </c>
      <c r="AN555" s="84">
        <f t="shared" si="368"/>
        <v>4.8557826179371835E-3</v>
      </c>
      <c r="AO555" s="1965">
        <f t="shared" si="371"/>
        <v>-2.1738206281655265E-7</v>
      </c>
    </row>
    <row r="556" spans="1:48" s="84" customFormat="1" x14ac:dyDescent="0.35">
      <c r="A556" s="103" t="str">
        <f t="shared" si="355"/>
        <v>406075</v>
      </c>
      <c r="B556" s="3346" t="str">
        <f>'Income Eligible Deemed Table'!C1399</f>
        <v>406075_2020_12_</v>
      </c>
      <c r="C556" s="3343" t="str">
        <f>'Income Eligible Deemed Table'!G1399</f>
        <v>Building Shell RES</v>
      </c>
      <c r="D556" s="3343"/>
      <c r="E556" s="3343"/>
      <c r="F556" s="3343"/>
      <c r="G556" s="3343" t="str">
        <f>'Income Eligible Deemed Table'!E1399</f>
        <v>Storm Window - Single Pane, Double Hung - Gas Heating</v>
      </c>
      <c r="H556" s="50" t="str">
        <f>'Income Eligible Deemed Table'!D1399</f>
        <v>SFIE / MFIE</v>
      </c>
      <c r="I556" s="1966">
        <f>'Income Eligible Deemed Table'!F1399</f>
        <v>2.3909090909090911</v>
      </c>
      <c r="J556" s="1966"/>
      <c r="K556" s="560"/>
      <c r="L556" s="560"/>
      <c r="M556" s="560"/>
      <c r="N556" s="560"/>
      <c r="O556" s="1967">
        <f>'Income Eligible Deemed Table'!I1399</f>
        <v>1.114E-3</v>
      </c>
      <c r="P556" s="1967"/>
      <c r="Q556" s="1968"/>
      <c r="R556" s="1968"/>
      <c r="S556" s="1968"/>
      <c r="T556" s="1968"/>
      <c r="U556" s="1969"/>
      <c r="V556" s="1969"/>
      <c r="W556" s="1969">
        <f t="shared" si="369"/>
        <v>1.114E-3</v>
      </c>
      <c r="X556" s="55">
        <f>'Income Eligible Deemed Table'!J1399</f>
        <v>20</v>
      </c>
      <c r="Y556" s="55"/>
      <c r="Z556" s="55">
        <f t="shared" si="356"/>
        <v>20</v>
      </c>
      <c r="AA556" s="49">
        <f>'Income Eligible Deemed Table'!BB1399</f>
        <v>0.31746509358016489</v>
      </c>
      <c r="AB556" s="698">
        <f>'Income Eligible Deemed Table'!K1399</f>
        <v>9.2850000000000001</v>
      </c>
      <c r="AC556" s="2582">
        <f t="shared" si="357"/>
        <v>2.7821268465236719</v>
      </c>
      <c r="AD556" s="2582">
        <f t="shared" si="367"/>
        <v>0</v>
      </c>
      <c r="AE556" s="1380">
        <f>'Income Eligible Deemed Table'!BD1399</f>
        <v>2.7821268465236719</v>
      </c>
      <c r="AF556" s="571"/>
      <c r="AG556" s="571"/>
      <c r="AH556" s="571"/>
      <c r="AI556" s="3346" t="str">
        <f>'Income Eligible Deemed Table'!L1399</f>
        <v>per sq ft</v>
      </c>
      <c r="AJ556" s="1589"/>
      <c r="AM556" s="1961">
        <f t="shared" si="370"/>
        <v>4.6608050000000002E-4</v>
      </c>
      <c r="AN556" s="84">
        <f t="shared" si="368"/>
        <v>1.1143561045454547E-3</v>
      </c>
      <c r="AO556" s="1965">
        <f t="shared" si="371"/>
        <v>3.5610454545472597E-7</v>
      </c>
    </row>
    <row r="557" spans="1:48" s="84" customFormat="1" x14ac:dyDescent="0.35">
      <c r="A557" s="103" t="str">
        <f t="shared" si="355"/>
        <v>406100</v>
      </c>
      <c r="B557" s="3346" t="str">
        <f>'Income Eligible Deemed Table'!C1400</f>
        <v>406100_2020_12_</v>
      </c>
      <c r="C557" s="3343" t="str">
        <f>'Income Eligible Deemed Table'!G1400</f>
        <v>Building Shell RES</v>
      </c>
      <c r="D557" s="3343"/>
      <c r="E557" s="3343"/>
      <c r="F557" s="3343"/>
      <c r="G557" s="3343" t="str">
        <f>'Income Eligible Deemed Table'!E1400</f>
        <v>Storm Window - Double Pane, Double Hung - Electric Furnace</v>
      </c>
      <c r="H557" s="50" t="str">
        <f>'Income Eligible Deemed Table'!D1400</f>
        <v>SFIE / MFIE</v>
      </c>
      <c r="I557" s="1966">
        <f>'Income Eligible Deemed Table'!F1400</f>
        <v>5.9024938718959818</v>
      </c>
      <c r="J557" s="1966"/>
      <c r="K557" s="560"/>
      <c r="L557" s="560"/>
      <c r="M557" s="560"/>
      <c r="N557" s="560"/>
      <c r="O557" s="1967">
        <f>'Income Eligible Deemed Table'!I1400</f>
        <v>2.751E-3</v>
      </c>
      <c r="P557" s="1967"/>
      <c r="Q557" s="1968"/>
      <c r="R557" s="1968"/>
      <c r="S557" s="1968"/>
      <c r="T557" s="1968"/>
      <c r="U557" s="1969"/>
      <c r="V557" s="1969"/>
      <c r="W557" s="1969">
        <f t="shared" si="369"/>
        <v>2.751E-3</v>
      </c>
      <c r="X557" s="55">
        <f>'Income Eligible Deemed Table'!J1400</f>
        <v>20</v>
      </c>
      <c r="Y557" s="55"/>
      <c r="Z557" s="55">
        <f t="shared" si="356"/>
        <v>20</v>
      </c>
      <c r="AA557" s="49">
        <f>'Income Eligible Deemed Table'!BB1400</f>
        <v>0.78373359176334145</v>
      </c>
      <c r="AB557" s="698">
        <f>'Income Eligible Deemed Table'!K1400</f>
        <v>9.2850000000000001</v>
      </c>
      <c r="AC557" s="2582">
        <f t="shared" si="357"/>
        <v>6.8683024063450917</v>
      </c>
      <c r="AD557" s="2582">
        <f t="shared" si="367"/>
        <v>0</v>
      </c>
      <c r="AE557" s="1380">
        <f>'Income Eligible Deemed Table'!BD1400</f>
        <v>6.8683024063450917</v>
      </c>
      <c r="AF557" s="571"/>
      <c r="AG557" s="571"/>
      <c r="AH557" s="571"/>
      <c r="AI557" s="3346" t="str">
        <f>'Income Eligible Deemed Table'!L1400</f>
        <v>per sq ft</v>
      </c>
      <c r="AJ557" s="1589"/>
      <c r="AM557" s="1961">
        <f t="shared" si="370"/>
        <v>4.6608050000000002E-4</v>
      </c>
      <c r="AN557" s="84">
        <f t="shared" si="368"/>
        <v>2.7510372950602154E-3</v>
      </c>
      <c r="AO557" s="1965">
        <f t="shared" si="371"/>
        <v>3.7295060215450371E-8</v>
      </c>
    </row>
    <row r="558" spans="1:48" s="84" customFormat="1" x14ac:dyDescent="0.35">
      <c r="A558" s="103" t="str">
        <f t="shared" si="355"/>
        <v>406125</v>
      </c>
      <c r="B558" s="3346" t="str">
        <f>'Income Eligible Deemed Table'!C1401</f>
        <v>406125_2020_12_</v>
      </c>
      <c r="C558" s="3343" t="str">
        <f>'Income Eligible Deemed Table'!G1401</f>
        <v>Building Shell RES</v>
      </c>
      <c r="D558" s="3343"/>
      <c r="E558" s="3343"/>
      <c r="F558" s="3343"/>
      <c r="G558" s="3343" t="str">
        <f>'Income Eligible Deemed Table'!E1401</f>
        <v>Storm Window - Double Pane, Double Hung - Heat Pump</v>
      </c>
      <c r="H558" s="50" t="str">
        <f>'Income Eligible Deemed Table'!D1401</f>
        <v>SFIE / MFIE</v>
      </c>
      <c r="I558" s="1966">
        <f>'Income Eligible Deemed Table'!F1401</f>
        <v>3.6711258877701161</v>
      </c>
      <c r="J558" s="1966"/>
      <c r="K558" s="560"/>
      <c r="L558" s="560"/>
      <c r="M558" s="560"/>
      <c r="N558" s="560"/>
      <c r="O558" s="1967">
        <f>'Income Eligible Deemed Table'!I1401</f>
        <v>1.7110000000000001E-3</v>
      </c>
      <c r="P558" s="1967"/>
      <c r="Q558" s="1968"/>
      <c r="R558" s="1968"/>
      <c r="S558" s="1968"/>
      <c r="T558" s="1968"/>
      <c r="U558" s="1969"/>
      <c r="V558" s="1969"/>
      <c r="W558" s="1969">
        <f t="shared" si="369"/>
        <v>1.7110000000000001E-3</v>
      </c>
      <c r="X558" s="55">
        <f>'Income Eligible Deemed Table'!J1401</f>
        <v>20</v>
      </c>
      <c r="Y558" s="55"/>
      <c r="Z558" s="55">
        <f t="shared" si="356"/>
        <v>20</v>
      </c>
      <c r="AA558" s="49">
        <f>'Income Eligible Deemed Table'!BB1401</f>
        <v>0.48745237865249286</v>
      </c>
      <c r="AB558" s="698">
        <f>'Income Eligible Deemed Table'!K1401</f>
        <v>9.2850000000000001</v>
      </c>
      <c r="AC558" s="2582">
        <f t="shared" si="357"/>
        <v>4.2718219308998542</v>
      </c>
      <c r="AD558" s="2582">
        <f t="shared" si="367"/>
        <v>0</v>
      </c>
      <c r="AE558" s="1380">
        <f>'Income Eligible Deemed Table'!BD1401</f>
        <v>4.2718219308998542</v>
      </c>
      <c r="AF558" s="571"/>
      <c r="AG558" s="571"/>
      <c r="AH558" s="571"/>
      <c r="AI558" s="3346" t="str">
        <f>'Income Eligible Deemed Table'!L1401</f>
        <v>per sq ft</v>
      </c>
      <c r="AJ558" s="1589"/>
      <c r="AM558" s="1961">
        <f t="shared" si="370"/>
        <v>4.6608050000000002E-4</v>
      </c>
      <c r="AN558" s="84">
        <f t="shared" si="368"/>
        <v>1.7110401893348397E-3</v>
      </c>
      <c r="AO558" s="1965">
        <f t="shared" si="371"/>
        <v>4.0189334839669383E-8</v>
      </c>
    </row>
    <row r="559" spans="1:48" s="84" customFormat="1" x14ac:dyDescent="0.35">
      <c r="A559" s="103" t="str">
        <f t="shared" si="355"/>
        <v>406150</v>
      </c>
      <c r="B559" s="3346" t="str">
        <f>'Income Eligible Deemed Table'!C1402</f>
        <v>406150_2020_12_</v>
      </c>
      <c r="C559" s="3343" t="str">
        <f>'Income Eligible Deemed Table'!G1402</f>
        <v>Building Shell RES</v>
      </c>
      <c r="D559" s="3343"/>
      <c r="E559" s="3343"/>
      <c r="F559" s="3343"/>
      <c r="G559" s="3343" t="str">
        <f>'Income Eligible Deemed Table'!E1402</f>
        <v>Storm Window - Double Pane, Double Hung - Gas Heating</v>
      </c>
      <c r="H559" s="50" t="str">
        <f>'Income Eligible Deemed Table'!D1402</f>
        <v>SFIE / MFIE</v>
      </c>
      <c r="I559" s="1966">
        <f>'Income Eligible Deemed Table'!F1402</f>
        <v>1.1545454545454545</v>
      </c>
      <c r="J559" s="1966"/>
      <c r="K559" s="560"/>
      <c r="L559" s="560"/>
      <c r="M559" s="560"/>
      <c r="N559" s="560"/>
      <c r="O559" s="1967">
        <f>'Income Eligible Deemed Table'!I1402</f>
        <v>5.3799999999999996E-4</v>
      </c>
      <c r="P559" s="1967"/>
      <c r="Q559" s="1968"/>
      <c r="R559" s="1968"/>
      <c r="S559" s="1968"/>
      <c r="T559" s="1968"/>
      <c r="U559" s="1969"/>
      <c r="V559" s="1969"/>
      <c r="W559" s="1969">
        <f t="shared" si="369"/>
        <v>5.3799999999999996E-4</v>
      </c>
      <c r="X559" s="55">
        <f>'Income Eligible Deemed Table'!J1402</f>
        <v>20</v>
      </c>
      <c r="Y559" s="55"/>
      <c r="Z559" s="55">
        <f t="shared" si="356"/>
        <v>20</v>
      </c>
      <c r="AA559" s="49">
        <f>'Income Eligible Deemed Table'!BB1402</f>
        <v>0.15330063454251308</v>
      </c>
      <c r="AB559" s="698">
        <f>'Income Eligible Deemed Table'!K1402</f>
        <v>9.2850000000000001</v>
      </c>
      <c r="AC559" s="2582">
        <f t="shared" si="357"/>
        <v>1.3434604924277807</v>
      </c>
      <c r="AD559" s="2582">
        <f t="shared" si="367"/>
        <v>0</v>
      </c>
      <c r="AE559" s="1380">
        <f>'Income Eligible Deemed Table'!BD1402</f>
        <v>1.3434604924277807</v>
      </c>
      <c r="AF559" s="571"/>
      <c r="AG559" s="571"/>
      <c r="AH559" s="571"/>
      <c r="AI559" s="3346" t="str">
        <f>'Income Eligible Deemed Table'!L1402</f>
        <v>per sq ft</v>
      </c>
      <c r="AJ559" s="1589"/>
      <c r="AM559" s="1961">
        <f t="shared" si="370"/>
        <v>4.6608050000000002E-4</v>
      </c>
      <c r="AN559" s="84">
        <f t="shared" si="368"/>
        <v>5.3811112272727276E-4</v>
      </c>
      <c r="AO559" s="1965">
        <f t="shared" si="371"/>
        <v>1.1112272727280183E-7</v>
      </c>
    </row>
    <row r="560" spans="1:48" s="84" customFormat="1" x14ac:dyDescent="0.35">
      <c r="A560" s="103" t="str">
        <f t="shared" si="355"/>
        <v>406175</v>
      </c>
      <c r="B560" s="3346" t="str">
        <f>'Income Eligible Deemed Table'!C1403</f>
        <v>406175_2020_12_</v>
      </c>
      <c r="C560" s="3343" t="str">
        <f>'Income Eligible Deemed Table'!G1403</f>
        <v>Building Shell RES</v>
      </c>
      <c r="D560" s="3343"/>
      <c r="E560" s="3343"/>
      <c r="F560" s="3343"/>
      <c r="G560" s="3343" t="str">
        <f>'Income Eligible Deemed Table'!E1403</f>
        <v>Storm Window - Single Pane, Fixed - Electric Furnace</v>
      </c>
      <c r="H560" s="50" t="str">
        <f>'Income Eligible Deemed Table'!D1403</f>
        <v>SFIE / MFIE</v>
      </c>
      <c r="I560" s="1966">
        <f>'Income Eligible Deemed Table'!F1403</f>
        <v>17.528658211659383</v>
      </c>
      <c r="J560" s="1966"/>
      <c r="K560" s="560"/>
      <c r="L560" s="560"/>
      <c r="M560" s="560"/>
      <c r="N560" s="560"/>
      <c r="O560" s="1967">
        <f>'Income Eligible Deemed Table'!I1403</f>
        <v>8.1700000000000002E-3</v>
      </c>
      <c r="P560" s="1967"/>
      <c r="Q560" s="1968"/>
      <c r="R560" s="1968"/>
      <c r="S560" s="1968"/>
      <c r="T560" s="1968"/>
      <c r="U560" s="1969"/>
      <c r="V560" s="1969"/>
      <c r="W560" s="1969">
        <f t="shared" si="369"/>
        <v>8.1700000000000002E-3</v>
      </c>
      <c r="X560" s="55">
        <f>'Income Eligible Deemed Table'!J1403</f>
        <v>20</v>
      </c>
      <c r="Y560" s="55"/>
      <c r="Z560" s="55">
        <f t="shared" si="356"/>
        <v>20</v>
      </c>
      <c r="AA560" s="49">
        <f>'Income Eligible Deemed Table'!BB1403</f>
        <v>2.3274565899045965</v>
      </c>
      <c r="AB560" s="698">
        <f>'Income Eligible Deemed Table'!K1403</f>
        <v>9.2850000000000001</v>
      </c>
      <c r="AC560" s="2582">
        <f t="shared" si="357"/>
        <v>20.39682344243905</v>
      </c>
      <c r="AD560" s="2582">
        <f t="shared" si="367"/>
        <v>0</v>
      </c>
      <c r="AE560" s="1380">
        <f>'Income Eligible Deemed Table'!BD1403</f>
        <v>20.39682344243905</v>
      </c>
      <c r="AF560" s="571"/>
      <c r="AG560" s="571"/>
      <c r="AH560" s="571"/>
      <c r="AI560" s="3346" t="str">
        <f>'Income Eligible Deemed Table'!L1403</f>
        <v>per sq ft</v>
      </c>
      <c r="AJ560" s="1589"/>
      <c r="AM560" s="1961">
        <f t="shared" si="370"/>
        <v>4.6608050000000002E-4</v>
      </c>
      <c r="AN560" s="84">
        <f t="shared" si="368"/>
        <v>8.1697657836193108E-3</v>
      </c>
      <c r="AO560" s="1965">
        <f t="shared" si="371"/>
        <v>-2.3421638068940598E-7</v>
      </c>
    </row>
    <row r="561" spans="1:48" s="84" customFormat="1" x14ac:dyDescent="0.35">
      <c r="A561" s="103" t="str">
        <f t="shared" si="355"/>
        <v>406200</v>
      </c>
      <c r="B561" s="3346" t="str">
        <f>'Income Eligible Deemed Table'!C1404</f>
        <v>406200_2020_12_</v>
      </c>
      <c r="C561" s="3343" t="str">
        <f>'Income Eligible Deemed Table'!G1404</f>
        <v>Building Shell RES</v>
      </c>
      <c r="D561" s="3343"/>
      <c r="E561" s="3343"/>
      <c r="F561" s="3343"/>
      <c r="G561" s="3343" t="str">
        <f>'Income Eligible Deemed Table'!E1404</f>
        <v>Storm Window - Single Pane, Fixed - Heat Pump</v>
      </c>
      <c r="H561" s="50" t="str">
        <f>'Income Eligible Deemed Table'!D1404</f>
        <v>SFIE / MFIE</v>
      </c>
      <c r="I561" s="1966">
        <f>'Income Eligible Deemed Table'!F1404</f>
        <v>10.414451027702533</v>
      </c>
      <c r="J561" s="1966"/>
      <c r="K561" s="560"/>
      <c r="L561" s="560"/>
      <c r="M561" s="560"/>
      <c r="N561" s="560"/>
      <c r="O561" s="1967">
        <f>'Income Eligible Deemed Table'!I1404</f>
        <v>4.8539999999999998E-3</v>
      </c>
      <c r="P561" s="1967"/>
      <c r="Q561" s="1968"/>
      <c r="R561" s="1968"/>
      <c r="S561" s="1968"/>
      <c r="T561" s="1968"/>
      <c r="U561" s="1969"/>
      <c r="V561" s="1969"/>
      <c r="W561" s="1969">
        <f t="shared" si="369"/>
        <v>4.8539999999999998E-3</v>
      </c>
      <c r="X561" s="55">
        <f>'Income Eligible Deemed Table'!J1404</f>
        <v>20</v>
      </c>
      <c r="Y561" s="55"/>
      <c r="Z561" s="55">
        <f t="shared" si="356"/>
        <v>20</v>
      </c>
      <c r="AA561" s="49">
        <f>'Income Eligible Deemed Table'!BB1404</f>
        <v>1.3828316110666126</v>
      </c>
      <c r="AB561" s="698">
        <f>'Income Eligible Deemed Table'!K1404</f>
        <v>9.2850000000000001</v>
      </c>
      <c r="AC561" s="2582">
        <f t="shared" si="357"/>
        <v>12.118538469800374</v>
      </c>
      <c r="AD561" s="2582">
        <f t="shared" si="367"/>
        <v>0</v>
      </c>
      <c r="AE561" s="1380">
        <f>'Income Eligible Deemed Table'!BD1404</f>
        <v>12.118538469800374</v>
      </c>
      <c r="AF561" s="571"/>
      <c r="AG561" s="571"/>
      <c r="AH561" s="571"/>
      <c r="AI561" s="3346" t="str">
        <f>'Income Eligible Deemed Table'!L1404</f>
        <v>per sq ft</v>
      </c>
      <c r="AJ561" s="1589"/>
      <c r="AM561" s="1961">
        <f t="shared" si="370"/>
        <v>4.6608050000000002E-4</v>
      </c>
      <c r="AN561" s="84">
        <f t="shared" si="368"/>
        <v>4.8539725422171104E-3</v>
      </c>
      <c r="AO561" s="1965">
        <f t="shared" si="371"/>
        <v>-2.7457782889386828E-8</v>
      </c>
    </row>
    <row r="562" spans="1:48" s="84" customFormat="1" x14ac:dyDescent="0.35">
      <c r="A562" s="103" t="str">
        <f t="shared" si="355"/>
        <v>406225</v>
      </c>
      <c r="B562" s="3346" t="str">
        <f>'Income Eligible Deemed Table'!C1405</f>
        <v>406225_2020_12_</v>
      </c>
      <c r="C562" s="3343" t="str">
        <f>'Income Eligible Deemed Table'!G1405</f>
        <v>Building Shell RES</v>
      </c>
      <c r="D562" s="3343"/>
      <c r="E562" s="3343"/>
      <c r="F562" s="3343"/>
      <c r="G562" s="3343" t="str">
        <f>'Income Eligible Deemed Table'!E1405</f>
        <v>Storm Window - Single Pane, Fixed - Gas Heating</v>
      </c>
      <c r="H562" s="50" t="str">
        <f>'Income Eligible Deemed Table'!D1405</f>
        <v>SFIE / MFIE</v>
      </c>
      <c r="I562" s="1966">
        <f>'Income Eligible Deemed Table'!F1405</f>
        <v>2.3909090909090911</v>
      </c>
      <c r="J562" s="1966"/>
      <c r="K562" s="560"/>
      <c r="L562" s="560"/>
      <c r="M562" s="560"/>
      <c r="N562" s="560"/>
      <c r="O562" s="1967">
        <f>'Income Eligible Deemed Table'!I1405</f>
        <v>1.114E-3</v>
      </c>
      <c r="P562" s="1967"/>
      <c r="Q562" s="1968"/>
      <c r="R562" s="1968"/>
      <c r="S562" s="1968"/>
      <c r="T562" s="1968"/>
      <c r="U562" s="1969"/>
      <c r="V562" s="1969"/>
      <c r="W562" s="1969">
        <f t="shared" si="369"/>
        <v>1.114E-3</v>
      </c>
      <c r="X562" s="55">
        <f>'Income Eligible Deemed Table'!J1405</f>
        <v>20</v>
      </c>
      <c r="Y562" s="55"/>
      <c r="Z562" s="55">
        <f t="shared" si="356"/>
        <v>20</v>
      </c>
      <c r="AA562" s="49">
        <f>'Income Eligible Deemed Table'!BB1405</f>
        <v>0.31746509358016489</v>
      </c>
      <c r="AB562" s="698">
        <f>'Income Eligible Deemed Table'!K1405</f>
        <v>9.2850000000000001</v>
      </c>
      <c r="AC562" s="2582">
        <f t="shared" si="357"/>
        <v>2.7821268465236719</v>
      </c>
      <c r="AD562" s="2582">
        <f t="shared" si="367"/>
        <v>0</v>
      </c>
      <c r="AE562" s="1380">
        <f>'Income Eligible Deemed Table'!BD1405</f>
        <v>2.7821268465236719</v>
      </c>
      <c r="AF562" s="571"/>
      <c r="AG562" s="571"/>
      <c r="AH562" s="571"/>
      <c r="AI562" s="3346" t="str">
        <f>'Income Eligible Deemed Table'!L1405</f>
        <v>per sq ft</v>
      </c>
      <c r="AJ562" s="1589"/>
      <c r="AM562" s="1961">
        <f t="shared" si="370"/>
        <v>4.6608050000000002E-4</v>
      </c>
      <c r="AN562" s="84">
        <f t="shared" si="368"/>
        <v>1.1143561045454547E-3</v>
      </c>
      <c r="AO562" s="1965">
        <f t="shared" si="371"/>
        <v>3.5610454545472597E-7</v>
      </c>
    </row>
    <row r="563" spans="1:48" s="84" customFormat="1" x14ac:dyDescent="0.35">
      <c r="A563" s="103" t="str">
        <f t="shared" si="355"/>
        <v>406250</v>
      </c>
      <c r="B563" s="3346" t="str">
        <f>'Income Eligible Deemed Table'!C1406</f>
        <v>406250_2020_12_</v>
      </c>
      <c r="C563" s="3343" t="str">
        <f>'Income Eligible Deemed Table'!G1406</f>
        <v>Building Shell RES</v>
      </c>
      <c r="D563" s="3343"/>
      <c r="E563" s="3343"/>
      <c r="F563" s="3343"/>
      <c r="G563" s="3343" t="str">
        <f>'Income Eligible Deemed Table'!E1406</f>
        <v>Storm Window - Double Pane, Fixed - Electric Furnace</v>
      </c>
      <c r="H563" s="50" t="str">
        <f>'Income Eligible Deemed Table'!D1406</f>
        <v>SFIE / MFIE</v>
      </c>
      <c r="I563" s="1966">
        <f>'Income Eligible Deemed Table'!F1406</f>
        <v>5.5948603858041137</v>
      </c>
      <c r="J563" s="1966"/>
      <c r="K563" s="560"/>
      <c r="L563" s="560"/>
      <c r="M563" s="560"/>
      <c r="N563" s="560"/>
      <c r="O563" s="1967">
        <f>'Income Eligible Deemed Table'!I1406</f>
        <v>2.6080000000000001E-3</v>
      </c>
      <c r="P563" s="1967"/>
      <c r="Q563" s="1968"/>
      <c r="R563" s="1968"/>
      <c r="S563" s="1968"/>
      <c r="T563" s="1968"/>
      <c r="U563" s="1969"/>
      <c r="V563" s="1969"/>
      <c r="W563" s="1969">
        <f t="shared" si="369"/>
        <v>2.6080000000000001E-3</v>
      </c>
      <c r="X563" s="55">
        <f>'Income Eligible Deemed Table'!J1406</f>
        <v>20</v>
      </c>
      <c r="Y563" s="55"/>
      <c r="Z563" s="55">
        <f t="shared" si="356"/>
        <v>20</v>
      </c>
      <c r="AA563" s="49">
        <f>'Income Eligible Deemed Table'!BB1406</f>
        <v>0.7428859937422001</v>
      </c>
      <c r="AB563" s="698">
        <f>'Income Eligible Deemed Table'!K1406</f>
        <v>9.2850000000000001</v>
      </c>
      <c r="AC563" s="2582">
        <f t="shared" si="357"/>
        <v>6.5103317148620352</v>
      </c>
      <c r="AD563" s="2582">
        <f t="shared" si="367"/>
        <v>0</v>
      </c>
      <c r="AE563" s="1380">
        <f>'Income Eligible Deemed Table'!BD1406</f>
        <v>6.5103317148620352</v>
      </c>
      <c r="AF563" s="571"/>
      <c r="AG563" s="571"/>
      <c r="AH563" s="571"/>
      <c r="AI563" s="3346" t="str">
        <f>'Income Eligible Deemed Table'!L1406</f>
        <v>per sq ft</v>
      </c>
      <c r="AJ563" s="1589"/>
      <c r="AM563" s="1961">
        <f t="shared" si="370"/>
        <v>4.6608050000000002E-4</v>
      </c>
      <c r="AN563" s="84">
        <f t="shared" si="368"/>
        <v>2.6076553260457745E-3</v>
      </c>
      <c r="AO563" s="1965">
        <f t="shared" si="371"/>
        <v>-3.4467395422553906E-7</v>
      </c>
    </row>
    <row r="564" spans="1:48" s="84" customFormat="1" x14ac:dyDescent="0.35">
      <c r="A564" s="103" t="str">
        <f t="shared" si="355"/>
        <v>406275</v>
      </c>
      <c r="B564" s="3346" t="str">
        <f>'Income Eligible Deemed Table'!C1407</f>
        <v>406275_2020_12_</v>
      </c>
      <c r="C564" s="3343" t="str">
        <f>'Income Eligible Deemed Table'!G1407</f>
        <v>Building Shell RES</v>
      </c>
      <c r="D564" s="3343"/>
      <c r="E564" s="3343"/>
      <c r="F564" s="3343"/>
      <c r="G564" s="3343" t="str">
        <f>'Income Eligible Deemed Table'!E1407</f>
        <v>Storm Window - Double Pane, Fixed - Heat Pump</v>
      </c>
      <c r="H564" s="50" t="str">
        <f>'Income Eligible Deemed Table'!D1407</f>
        <v>SFIE / MFIE</v>
      </c>
      <c r="I564" s="1966">
        <f>'Income Eligible Deemed Table'!F1407</f>
        <v>3.415144438347828</v>
      </c>
      <c r="J564" s="1966"/>
      <c r="K564" s="560"/>
      <c r="L564" s="560"/>
      <c r="M564" s="560"/>
      <c r="N564" s="560"/>
      <c r="O564" s="1967">
        <f>'Income Eligible Deemed Table'!I1407</f>
        <v>1.5920000000000001E-3</v>
      </c>
      <c r="P564" s="1967"/>
      <c r="Q564" s="1968"/>
      <c r="R564" s="1968"/>
      <c r="S564" s="1968"/>
      <c r="T564" s="1968"/>
      <c r="U564" s="1969"/>
      <c r="V564" s="1969"/>
      <c r="W564" s="1969">
        <f t="shared" si="369"/>
        <v>1.5920000000000001E-3</v>
      </c>
      <c r="X564" s="55">
        <f>'Income Eligible Deemed Table'!J1407</f>
        <v>20</v>
      </c>
      <c r="Y564" s="55"/>
      <c r="Z564" s="55">
        <f t="shared" si="356"/>
        <v>20</v>
      </c>
      <c r="AA564" s="49">
        <f>'Income Eligible Deemed Table'!BB1407</f>
        <v>0.45346314204595439</v>
      </c>
      <c r="AB564" s="698">
        <f>'Income Eligible Deemed Table'!K1407</f>
        <v>9.2850000000000001</v>
      </c>
      <c r="AC564" s="2582">
        <f t="shared" si="357"/>
        <v>3.9739549541261781</v>
      </c>
      <c r="AD564" s="2582">
        <f t="shared" si="367"/>
        <v>0</v>
      </c>
      <c r="AE564" s="1380">
        <f>'Income Eligible Deemed Table'!BD1407</f>
        <v>3.9739549541261781</v>
      </c>
      <c r="AF564" s="571"/>
      <c r="AG564" s="571"/>
      <c r="AH564" s="571"/>
      <c r="AI564" s="3346" t="str">
        <f>'Income Eligible Deemed Table'!L1407</f>
        <v>per sq ft</v>
      </c>
      <c r="AJ564" s="1589"/>
      <c r="AM564" s="1961">
        <f t="shared" si="370"/>
        <v>4.6608050000000002E-4</v>
      </c>
      <c r="AN564" s="84">
        <f t="shared" si="368"/>
        <v>1.5917322273973748E-3</v>
      </c>
      <c r="AO564" s="1965">
        <f t="shared" si="371"/>
        <v>-2.6777260262529808E-7</v>
      </c>
    </row>
    <row r="565" spans="1:48" x14ac:dyDescent="0.35">
      <c r="A565" s="103" t="str">
        <f t="shared" si="355"/>
        <v>406300</v>
      </c>
      <c r="B565" s="3346" t="str">
        <f>'Income Eligible Deemed Table'!C1408</f>
        <v>406300_2020_12_</v>
      </c>
      <c r="C565" s="3343" t="str">
        <f>'Income Eligible Deemed Table'!G1408</f>
        <v>Building Shell RES</v>
      </c>
      <c r="D565" s="3343"/>
      <c r="E565" s="3343"/>
      <c r="F565" s="3343"/>
      <c r="G565" s="3343" t="str">
        <f>'Income Eligible Deemed Table'!E1408</f>
        <v>Storm Window - Double Pane, Fixed - Gas Heating</v>
      </c>
      <c r="H565" s="50" t="str">
        <f>'Income Eligible Deemed Table'!D1408</f>
        <v>SFIE / MFIE</v>
      </c>
      <c r="I565" s="1966">
        <f>'Income Eligible Deemed Table'!F1408</f>
        <v>0.9568181818181819</v>
      </c>
      <c r="J565" s="1966"/>
      <c r="K565" s="560"/>
      <c r="L565" s="560"/>
      <c r="M565" s="560"/>
      <c r="N565" s="560"/>
      <c r="O565" s="1967">
        <f>'Income Eligible Deemed Table'!I1408</f>
        <v>4.46E-4</v>
      </c>
      <c r="P565" s="1967"/>
      <c r="Q565" s="1968"/>
      <c r="R565" s="1968"/>
      <c r="S565" s="1968"/>
      <c r="T565" s="1968"/>
      <c r="U565" s="1969"/>
      <c r="V565" s="1969"/>
      <c r="W565" s="1969">
        <f t="shared" si="369"/>
        <v>4.46E-4</v>
      </c>
      <c r="X565" s="55">
        <f>'Income Eligible Deemed Table'!J1408</f>
        <v>20</v>
      </c>
      <c r="Y565" s="55"/>
      <c r="Z565" s="55">
        <f t="shared" si="356"/>
        <v>20</v>
      </c>
      <c r="AA565" s="49">
        <f>'Income Eligible Deemed Table'!BB1408</f>
        <v>0.12704639201259449</v>
      </c>
      <c r="AB565" s="698">
        <f>'Income Eligible Deemed Table'!K1408</f>
        <v>9.2850000000000001</v>
      </c>
      <c r="AC565" s="2582">
        <f t="shared" si="357"/>
        <v>1.1133796600631805</v>
      </c>
      <c r="AD565" s="2582">
        <f t="shared" si="367"/>
        <v>0</v>
      </c>
      <c r="AE565" s="1380">
        <f>'Income Eligible Deemed Table'!BD1408</f>
        <v>1.1133796600631805</v>
      </c>
      <c r="AF565" s="571"/>
      <c r="AG565" s="571"/>
      <c r="AH565" s="571"/>
      <c r="AI565" s="3346" t="str">
        <f>'Income Eligible Deemed Table'!L1408</f>
        <v>per sq ft</v>
      </c>
      <c r="AJ565" s="1589"/>
      <c r="AK565" s="84"/>
      <c r="AL565" s="84"/>
      <c r="AM565" s="1961">
        <f t="shared" si="370"/>
        <v>4.6608050000000002E-4</v>
      </c>
      <c r="AN565" s="84">
        <f t="shared" si="368"/>
        <v>4.4595429659090915E-4</v>
      </c>
      <c r="AO565" s="1965">
        <f t="shared" si="371"/>
        <v>-4.5703409090852142E-8</v>
      </c>
      <c r="AP565" s="84"/>
      <c r="AQ565" s="84"/>
      <c r="AR565" s="84"/>
      <c r="AS565" s="84"/>
      <c r="AT565" s="84"/>
      <c r="AU565" s="84"/>
      <c r="AV565" s="84"/>
    </row>
    <row r="566" spans="1:48" s="84" customFormat="1" x14ac:dyDescent="0.35">
      <c r="A566" s="1618" t="str">
        <f t="shared" ref="A566:A573" si="372">LEFT(B566,6)</f>
        <v>406500</v>
      </c>
      <c r="B566" s="1590" t="str">
        <f>'Income Eligible Deemed Table'!C1438</f>
        <v>406500_2022_12_</v>
      </c>
      <c r="C566" s="1589" t="str">
        <f>'Income Eligible Deemed Table'!G1438</f>
        <v>Cooling RES</v>
      </c>
      <c r="D566" s="1589" t="str">
        <f>'Income Eligible Deemed Table'!G1439</f>
        <v>Heating RES</v>
      </c>
      <c r="E566" s="1589"/>
      <c r="F566" s="1589"/>
      <c r="G566" s="1589" t="str">
        <f>'Income Eligible Deemed Table'!E1438</f>
        <v>Learning Thermostat - ASHP heating/cooling SF</v>
      </c>
      <c r="H566" s="1599" t="str">
        <f>'Income Eligible Deemed Table'!D1438</f>
        <v>SFIE</v>
      </c>
      <c r="I566" s="1597">
        <f>K566+L566</f>
        <v>749.68</v>
      </c>
      <c r="J566" s="1597">
        <f>M566+N566</f>
        <v>0</v>
      </c>
      <c r="K566" s="1591">
        <f>'Income Eligible Deemed Table'!F1438</f>
        <v>192.52</v>
      </c>
      <c r="L566" s="1591">
        <f>'Income Eligible Deemed Table'!F1439</f>
        <v>557.16</v>
      </c>
      <c r="M566" s="1591">
        <v>0</v>
      </c>
      <c r="N566" s="1591">
        <v>0</v>
      </c>
      <c r="O566" s="1598">
        <f>Q566+R566</f>
        <v>0.182397</v>
      </c>
      <c r="P566" s="1598">
        <f>S566+T566</f>
        <v>0</v>
      </c>
      <c r="Q566" s="1600">
        <f>'Income Eligible Deemed Table'!I1438</f>
        <v>0.182397</v>
      </c>
      <c r="R566" s="1600">
        <v>0</v>
      </c>
      <c r="S566" s="1600"/>
      <c r="T566" s="1600"/>
      <c r="U566" s="1569">
        <v>0</v>
      </c>
      <c r="V566" s="1569">
        <f>Q566</f>
        <v>0.182397</v>
      </c>
      <c r="W566" s="1569">
        <v>0</v>
      </c>
      <c r="X566" s="1583">
        <f>'Income Eligible Deemed Table'!J1438</f>
        <v>10</v>
      </c>
      <c r="Y566" s="1583"/>
      <c r="Z566" s="1583">
        <f t="shared" ref="Z566" si="373">Y566+X566</f>
        <v>10</v>
      </c>
      <c r="AA566" s="1959">
        <f>'Income Eligible Deemed Table'!BB1438</f>
        <v>2.9965518402563376</v>
      </c>
      <c r="AB566" s="1955">
        <f>'Income Eligible Deemed Table'!K1438</f>
        <v>125</v>
      </c>
      <c r="AC566" s="1960">
        <f t="shared" ref="AC566" si="374">AE566+AF566</f>
        <v>353.53372348470236</v>
      </c>
      <c r="AD566" s="1960"/>
      <c r="AE566" s="1976">
        <f>'Income Eligible Deemed Table'!BD1438</f>
        <v>204.72676073834035</v>
      </c>
      <c r="AF566" s="2612">
        <f>'Income Eligible Deemed Table'!BD1439</f>
        <v>148.80696274636199</v>
      </c>
      <c r="AG566" s="1604"/>
      <c r="AH566" s="1604"/>
      <c r="AI566" s="1590" t="str">
        <f>'Income Eligible Deemed Table'!L1438</f>
        <v>per measure</v>
      </c>
      <c r="AJ566" s="1589"/>
      <c r="AM566" s="1961">
        <f t="shared" ref="AM566" si="375">VLOOKUP(C566,$AS$10:$AT$33,2,FALSE)</f>
        <v>9.4741810000000004E-4</v>
      </c>
      <c r="AN566" s="84">
        <f t="shared" ref="AN566" si="376">AM566*I566</f>
        <v>0.71026040120799994</v>
      </c>
      <c r="AO566" s="1965">
        <f t="shared" ref="AO566" si="377">AN566-O566</f>
        <v>0.5278634012079999</v>
      </c>
    </row>
    <row r="567" spans="1:48" s="84" customFormat="1" x14ac:dyDescent="0.35">
      <c r="A567" s="1618" t="str">
        <f t="shared" si="372"/>
        <v>406525</v>
      </c>
      <c r="B567" s="1590" t="str">
        <f>'Income Eligible Deemed Table'!C1440</f>
        <v>406525_2022_12_</v>
      </c>
      <c r="C567" s="1589" t="str">
        <f>'Income Eligible Deemed Table'!G1440</f>
        <v>Cooling RES</v>
      </c>
      <c r="D567" s="1589" t="str">
        <f>'Income Eligible Deemed Table'!G1441</f>
        <v>Heating RES</v>
      </c>
      <c r="E567" s="1589"/>
      <c r="F567" s="1589"/>
      <c r="G567" s="1589" t="str">
        <f>'Income Eligible Deemed Table'!E1440</f>
        <v>Learning Thermostat - ASHP heating/cooling MF</v>
      </c>
      <c r="H567" s="1599" t="str">
        <f>'Income Eligible Deemed Table'!D1440</f>
        <v>MFIE</v>
      </c>
      <c r="I567" s="1597">
        <f t="shared" ref="I567:I573" si="378">K567+L567</f>
        <v>554.68000000000006</v>
      </c>
      <c r="J567" s="1597">
        <f t="shared" ref="J567:J573" si="379">M567+N567</f>
        <v>0</v>
      </c>
      <c r="K567" s="1591">
        <f>'Income Eligible Deemed Table'!F1440</f>
        <v>192.52</v>
      </c>
      <c r="L567" s="1591">
        <f>'Income Eligible Deemed Table'!F1441</f>
        <v>362.16</v>
      </c>
      <c r="M567" s="1591">
        <v>0</v>
      </c>
      <c r="N567" s="1591">
        <v>0</v>
      </c>
      <c r="O567" s="1598">
        <f t="shared" ref="O567:O573" si="380">Q567+R567</f>
        <v>0.182397</v>
      </c>
      <c r="P567" s="1598">
        <f t="shared" ref="P567:P573" si="381">S567+T567</f>
        <v>0</v>
      </c>
      <c r="Q567" s="1600">
        <f>'Income Eligible Deemed Table'!I1440</f>
        <v>0.182397</v>
      </c>
      <c r="R567" s="1600">
        <v>0</v>
      </c>
      <c r="S567" s="1600"/>
      <c r="T567" s="1600"/>
      <c r="U567" s="1569">
        <v>0</v>
      </c>
      <c r="V567" s="1569">
        <f t="shared" ref="V567:V573" si="382">Q567</f>
        <v>0.182397</v>
      </c>
      <c r="W567" s="1569">
        <v>0</v>
      </c>
      <c r="X567" s="1583">
        <f>'Income Eligible Deemed Table'!J1440</f>
        <v>10</v>
      </c>
      <c r="Y567" s="1583"/>
      <c r="Z567" s="1583">
        <f t="shared" ref="Z567:Z573" si="383">Y567+X567</f>
        <v>10</v>
      </c>
      <c r="AA567" s="1959">
        <f>'Income Eligible Deemed Table'!BB1440</f>
        <v>2.5551146872546107</v>
      </c>
      <c r="AB567" s="1955">
        <f>'Income Eligible Deemed Table'!K1440</f>
        <v>125</v>
      </c>
      <c r="AC567" s="1960">
        <f t="shared" ref="AC567:AC573" si="384">AE567+AF567</f>
        <v>301.45288901069023</v>
      </c>
      <c r="AD567" s="1960"/>
      <c r="AE567" s="1976">
        <f>'Income Eligible Deemed Table'!BD1440</f>
        <v>204.72676073834035</v>
      </c>
      <c r="AF567" s="2612">
        <f>'Income Eligible Deemed Table'!BD1441</f>
        <v>96.726128272349882</v>
      </c>
      <c r="AG567" s="1604"/>
      <c r="AH567" s="1604"/>
      <c r="AI567" s="1590" t="str">
        <f>'Income Eligible Deemed Table'!L1440</f>
        <v>per measure</v>
      </c>
      <c r="AJ567" s="1589"/>
      <c r="AM567" s="1961">
        <f t="shared" ref="AM567:AM573" si="385">VLOOKUP(C567,$AS$10:$AT$33,2,FALSE)</f>
        <v>9.4741810000000004E-4</v>
      </c>
      <c r="AN567" s="84">
        <f t="shared" ref="AN567:AN573" si="386">AM567*I567</f>
        <v>0.52551387170800012</v>
      </c>
      <c r="AO567" s="1965">
        <f t="shared" ref="AO567:AO573" si="387">AN567-O567</f>
        <v>0.34311687170800009</v>
      </c>
    </row>
    <row r="568" spans="1:48" s="84" customFormat="1" x14ac:dyDescent="0.35">
      <c r="A568" s="1618" t="str">
        <f t="shared" si="372"/>
        <v>406550</v>
      </c>
      <c r="B568" s="1590" t="str">
        <f>'Income Eligible Deemed Table'!C1442</f>
        <v>406550_2022_12_</v>
      </c>
      <c r="C568" s="1589" t="str">
        <f>'Income Eligible Deemed Table'!G1442</f>
        <v>Cooling RES</v>
      </c>
      <c r="D568" s="1589" t="str">
        <f>'Income Eligible Deemed Table'!G1443</f>
        <v>Heating RES</v>
      </c>
      <c r="E568" s="1589"/>
      <c r="F568" s="1589"/>
      <c r="G568" s="1589" t="str">
        <f>'Income Eligible Deemed Table'!E1442</f>
        <v>Learning Thermostat - electric furnace heating / central AC MF</v>
      </c>
      <c r="H568" s="1599" t="str">
        <f>'Income Eligible Deemed Table'!D1442</f>
        <v>MFIE</v>
      </c>
      <c r="I568" s="1597">
        <f t="shared" si="378"/>
        <v>808.13</v>
      </c>
      <c r="J568" s="1597">
        <f t="shared" si="379"/>
        <v>0</v>
      </c>
      <c r="K568" s="1591">
        <f>'Income Eligible Deemed Table'!F1442</f>
        <v>192.52</v>
      </c>
      <c r="L568" s="1591">
        <f>'Income Eligible Deemed Table'!F1443</f>
        <v>615.61</v>
      </c>
      <c r="M568" s="1591">
        <v>0</v>
      </c>
      <c r="N568" s="1591">
        <v>0</v>
      </c>
      <c r="O568" s="1598">
        <f t="shared" si="380"/>
        <v>0.182397</v>
      </c>
      <c r="P568" s="1598">
        <f t="shared" si="381"/>
        <v>0</v>
      </c>
      <c r="Q568" s="1600">
        <f>'Income Eligible Deemed Table'!I1442</f>
        <v>0.182397</v>
      </c>
      <c r="R568" s="1600">
        <v>0</v>
      </c>
      <c r="S568" s="1600"/>
      <c r="T568" s="1600"/>
      <c r="U568" s="1569">
        <v>0</v>
      </c>
      <c r="V568" s="1569">
        <f t="shared" si="382"/>
        <v>0.182397</v>
      </c>
      <c r="W568" s="1569">
        <v>0</v>
      </c>
      <c r="X568" s="1583">
        <f>'Income Eligible Deemed Table'!J1442</f>
        <v>10</v>
      </c>
      <c r="Y568" s="1583"/>
      <c r="Z568" s="1583">
        <f t="shared" si="383"/>
        <v>10</v>
      </c>
      <c r="AA568" s="1959">
        <f>'Income Eligible Deemed Table'!BB1442</f>
        <v>3.1288697971432651</v>
      </c>
      <c r="AB568" s="1955">
        <f>'Income Eligible Deemed Table'!K1442</f>
        <v>125</v>
      </c>
      <c r="AC568" s="1960">
        <f t="shared" si="384"/>
        <v>369.14461976678444</v>
      </c>
      <c r="AD568" s="1960"/>
      <c r="AE568" s="1976">
        <f>'Income Eligible Deemed Table'!BD1442</f>
        <v>204.72676073834035</v>
      </c>
      <c r="AF568" s="2612">
        <f>'Income Eligible Deemed Table'!BD1443</f>
        <v>164.41785902844407</v>
      </c>
      <c r="AG568" s="1604"/>
      <c r="AH568" s="1604"/>
      <c r="AI568" s="1590" t="str">
        <f>'Income Eligible Deemed Table'!L1442</f>
        <v>per measure</v>
      </c>
      <c r="AJ568" s="1589"/>
      <c r="AM568" s="1961">
        <f t="shared" si="385"/>
        <v>9.4741810000000004E-4</v>
      </c>
      <c r="AN568" s="84">
        <f t="shared" si="386"/>
        <v>0.76563698915300005</v>
      </c>
      <c r="AO568" s="1965">
        <f t="shared" si="387"/>
        <v>0.58323998915300002</v>
      </c>
    </row>
    <row r="569" spans="1:48" s="84" customFormat="1" x14ac:dyDescent="0.35">
      <c r="A569" s="1618" t="str">
        <f t="shared" si="372"/>
        <v>406575</v>
      </c>
      <c r="B569" s="1590" t="str">
        <f>'Income Eligible Deemed Table'!C1444</f>
        <v>406575_2022_12_</v>
      </c>
      <c r="C569" s="1589" t="str">
        <f>'Income Eligible Deemed Table'!G1444</f>
        <v>Cooling RES</v>
      </c>
      <c r="D569" s="1589" t="str">
        <f>'Income Eligible Deemed Table'!G1445</f>
        <v>Heating RES</v>
      </c>
      <c r="E569" s="1589"/>
      <c r="F569" s="1589"/>
      <c r="G569" s="1589" t="str">
        <f>'Income Eligible Deemed Table'!E1444</f>
        <v>Learning Thermostat - electric furnace heating / central AC SF</v>
      </c>
      <c r="H569" s="1599" t="str">
        <f>'Income Eligible Deemed Table'!D1444</f>
        <v>SFIE</v>
      </c>
      <c r="I569" s="1597">
        <f t="shared" si="378"/>
        <v>1139.6100000000001</v>
      </c>
      <c r="J569" s="1597">
        <f t="shared" si="379"/>
        <v>0</v>
      </c>
      <c r="K569" s="1591">
        <f>'Income Eligible Deemed Table'!F1444</f>
        <v>192.52</v>
      </c>
      <c r="L569" s="1591">
        <f>'Income Eligible Deemed Table'!F1445</f>
        <v>947.09</v>
      </c>
      <c r="M569" s="1591">
        <v>0</v>
      </c>
      <c r="N569" s="1591">
        <v>0</v>
      </c>
      <c r="O569" s="1598">
        <f t="shared" si="380"/>
        <v>0.182397</v>
      </c>
      <c r="P569" s="1598">
        <f t="shared" si="381"/>
        <v>0</v>
      </c>
      <c r="Q569" s="1600">
        <f>'Income Eligible Deemed Table'!I1444</f>
        <v>0.182397</v>
      </c>
      <c r="R569" s="1600">
        <v>0</v>
      </c>
      <c r="S569" s="1600"/>
      <c r="T569" s="1600"/>
      <c r="U569" s="1569">
        <v>0</v>
      </c>
      <c r="V569" s="1569">
        <f t="shared" si="382"/>
        <v>0.182397</v>
      </c>
      <c r="W569" s="1569">
        <v>0</v>
      </c>
      <c r="X569" s="1583">
        <f>'Income Eligible Deemed Table'!J1444</f>
        <v>10</v>
      </c>
      <c r="Y569" s="1583"/>
      <c r="Z569" s="1583">
        <f t="shared" si="383"/>
        <v>10</v>
      </c>
      <c r="AA569" s="1959">
        <f>'Income Eligible Deemed Table'!BB1444</f>
        <v>3.8792676816407647</v>
      </c>
      <c r="AB569" s="1955">
        <f>'Income Eligible Deemed Table'!K1444</f>
        <v>125</v>
      </c>
      <c r="AC569" s="1960">
        <f t="shared" si="384"/>
        <v>457.67669674855642</v>
      </c>
      <c r="AD569" s="1960"/>
      <c r="AE569" s="1976">
        <f>'Income Eligible Deemed Table'!BD1444</f>
        <v>204.72676073834035</v>
      </c>
      <c r="AF569" s="2612">
        <f>'Income Eligible Deemed Table'!BD1445</f>
        <v>252.94993601021605</v>
      </c>
      <c r="AG569" s="1604"/>
      <c r="AH569" s="1604"/>
      <c r="AI569" s="1590" t="str">
        <f>'Income Eligible Deemed Table'!L1444</f>
        <v>per measure</v>
      </c>
      <c r="AJ569" s="1589"/>
      <c r="AM569" s="1961">
        <f t="shared" si="385"/>
        <v>9.4741810000000004E-4</v>
      </c>
      <c r="AN569" s="84">
        <f t="shared" si="386"/>
        <v>1.0796871409410003</v>
      </c>
      <c r="AO569" s="1965">
        <f t="shared" si="387"/>
        <v>0.89729014094100024</v>
      </c>
    </row>
    <row r="570" spans="1:48" s="84" customFormat="1" x14ac:dyDescent="0.35">
      <c r="A570" s="1618" t="str">
        <f t="shared" si="372"/>
        <v>406600</v>
      </c>
      <c r="B570" s="1590" t="str">
        <f>'Income Eligible Deemed Table'!C1446</f>
        <v>406600_2022_12_</v>
      </c>
      <c r="C570" s="1589" t="str">
        <f>'Income Eligible Deemed Table'!G1446</f>
        <v>Cooling RES</v>
      </c>
      <c r="D570" s="1589" t="str">
        <f>'Income Eligible Deemed Table'!G1447</f>
        <v>Heating RES</v>
      </c>
      <c r="E570" s="1589"/>
      <c r="F570" s="1589"/>
      <c r="G570" s="1589" t="str">
        <f>'Income Eligible Deemed Table'!E1446</f>
        <v>Learning Thermostat - Gas Heated / central AC SF**</v>
      </c>
      <c r="H570" s="1599" t="str">
        <f>'Income Eligible Deemed Table'!D1446</f>
        <v>SFIE</v>
      </c>
      <c r="I570" s="1597">
        <f t="shared" si="378"/>
        <v>234.37</v>
      </c>
      <c r="J570" s="1597">
        <f t="shared" si="379"/>
        <v>0</v>
      </c>
      <c r="K570" s="1591">
        <f>'Income Eligible Deemed Table'!F1446</f>
        <v>192.52</v>
      </c>
      <c r="L570" s="1591">
        <f>'Income Eligible Deemed Table'!F1447</f>
        <v>41.85</v>
      </c>
      <c r="M570" s="1591">
        <v>0</v>
      </c>
      <c r="N570" s="1591">
        <v>0</v>
      </c>
      <c r="O570" s="1598">
        <f t="shared" si="380"/>
        <v>0.182397</v>
      </c>
      <c r="P570" s="1598">
        <f t="shared" si="381"/>
        <v>0</v>
      </c>
      <c r="Q570" s="1600">
        <f>'Income Eligible Deemed Table'!I1446</f>
        <v>0.182397</v>
      </c>
      <c r="R570" s="1600">
        <v>0</v>
      </c>
      <c r="S570" s="1600"/>
      <c r="T570" s="1600"/>
      <c r="U570" s="1569">
        <v>0</v>
      </c>
      <c r="V570" s="1569">
        <f t="shared" si="382"/>
        <v>0.182397</v>
      </c>
      <c r="W570" s="1569">
        <v>0</v>
      </c>
      <c r="X570" s="1583">
        <f>'Income Eligible Deemed Table'!J1446</f>
        <v>10</v>
      </c>
      <c r="Y570" s="1583"/>
      <c r="Z570" s="1583">
        <f t="shared" si="383"/>
        <v>10</v>
      </c>
      <c r="AA570" s="1959">
        <f>'Income Eligible Deemed Table'!BB1446</f>
        <v>1.8300032283931591</v>
      </c>
      <c r="AB570" s="1955">
        <f>'Income Eligible Deemed Table'!K1446</f>
        <v>125</v>
      </c>
      <c r="AC570" s="1960">
        <f t="shared" si="384"/>
        <v>215.90410906007065</v>
      </c>
      <c r="AD570" s="1960"/>
      <c r="AE570" s="1976">
        <f>'Income Eligible Deemed Table'!BD1446</f>
        <v>204.72676073834035</v>
      </c>
      <c r="AF570" s="2612">
        <f>'Income Eligible Deemed Table'!BD1447</f>
        <v>11.177348321730292</v>
      </c>
      <c r="AG570" s="1604"/>
      <c r="AH570" s="1604"/>
      <c r="AI570" s="1590" t="str">
        <f>'Income Eligible Deemed Table'!L1446</f>
        <v>per measure</v>
      </c>
      <c r="AJ570" s="1589"/>
      <c r="AM570" s="1961">
        <f t="shared" si="385"/>
        <v>9.4741810000000004E-4</v>
      </c>
      <c r="AN570" s="84">
        <f t="shared" si="386"/>
        <v>0.22204638009700001</v>
      </c>
      <c r="AO570" s="1965">
        <f t="shared" si="387"/>
        <v>3.9649380097000003E-2</v>
      </c>
    </row>
    <row r="571" spans="1:48" s="84" customFormat="1" x14ac:dyDescent="0.35">
      <c r="A571" s="1618" t="str">
        <f t="shared" si="372"/>
        <v>406625</v>
      </c>
      <c r="B571" s="1590" t="str">
        <f>'Income Eligible Deemed Table'!C1448</f>
        <v>406625_2022_12_</v>
      </c>
      <c r="C571" s="1589" t="str">
        <f>'Income Eligible Deemed Table'!G1448</f>
        <v>Cooling RES</v>
      </c>
      <c r="D571" s="1589" t="str">
        <f>'Income Eligible Deemed Table'!G1449</f>
        <v>Heating RES</v>
      </c>
      <c r="E571" s="1589"/>
      <c r="F571" s="1589"/>
      <c r="G571" s="1589" t="str">
        <f>'Income Eligible Deemed Table'!E1448</f>
        <v>Learning Thermostat - Gas Heated / central AC MF**</v>
      </c>
      <c r="H571" s="1599" t="str">
        <f>'Income Eligible Deemed Table'!D1448</f>
        <v>MFIE</v>
      </c>
      <c r="I571" s="1597">
        <f t="shared" si="378"/>
        <v>219.72</v>
      </c>
      <c r="J571" s="1597">
        <f t="shared" si="379"/>
        <v>0</v>
      </c>
      <c r="K571" s="1591">
        <f>'Income Eligible Deemed Table'!F1448</f>
        <v>192.52</v>
      </c>
      <c r="L571" s="1591">
        <f>'Income Eligible Deemed Table'!F1449</f>
        <v>27.2</v>
      </c>
      <c r="M571" s="1591">
        <v>0</v>
      </c>
      <c r="N571" s="1591">
        <v>0</v>
      </c>
      <c r="O571" s="1598">
        <f t="shared" si="380"/>
        <v>0.182397</v>
      </c>
      <c r="P571" s="1598">
        <f t="shared" si="381"/>
        <v>0</v>
      </c>
      <c r="Q571" s="1600">
        <f>'Income Eligible Deemed Table'!I1448</f>
        <v>0.182397</v>
      </c>
      <c r="R571" s="1600">
        <v>0</v>
      </c>
      <c r="S571" s="1600"/>
      <c r="T571" s="1600"/>
      <c r="U571" s="1569">
        <v>0</v>
      </c>
      <c r="V571" s="1569">
        <f t="shared" si="382"/>
        <v>0.182397</v>
      </c>
      <c r="W571" s="1569">
        <v>0</v>
      </c>
      <c r="X571" s="1583">
        <f>'Income Eligible Deemed Table'!J1448</f>
        <v>10</v>
      </c>
      <c r="Y571" s="1583"/>
      <c r="Z571" s="1583">
        <f t="shared" si="383"/>
        <v>10</v>
      </c>
      <c r="AA571" s="1959">
        <f>'Income Eligible Deemed Table'!BB1448</f>
        <v>1.7968388474112345</v>
      </c>
      <c r="AB571" s="1955">
        <f>'Income Eligible Deemed Table'!K1448</f>
        <v>125</v>
      </c>
      <c r="AC571" s="1960">
        <f t="shared" si="384"/>
        <v>211.99136944445897</v>
      </c>
      <c r="AD571" s="1960"/>
      <c r="AE571" s="1976">
        <f>'Income Eligible Deemed Table'!BD1448</f>
        <v>204.72676073834035</v>
      </c>
      <c r="AF571" s="2612">
        <f>'Income Eligible Deemed Table'!BD1449</f>
        <v>7.2646087061186124</v>
      </c>
      <c r="AG571" s="1604"/>
      <c r="AH571" s="1604"/>
      <c r="AI571" s="1590" t="str">
        <f>'Income Eligible Deemed Table'!L1448</f>
        <v>per measure</v>
      </c>
      <c r="AJ571" s="1589"/>
      <c r="AM571" s="1961">
        <f t="shared" si="385"/>
        <v>9.4741810000000004E-4</v>
      </c>
      <c r="AN571" s="84">
        <f t="shared" si="386"/>
        <v>0.20816670493200001</v>
      </c>
      <c r="AO571" s="1965">
        <f t="shared" si="387"/>
        <v>2.5769704932000009E-2</v>
      </c>
    </row>
    <row r="572" spans="1:48" s="84" customFormat="1" x14ac:dyDescent="0.35">
      <c r="A572" s="1618" t="str">
        <f t="shared" si="372"/>
        <v>406650</v>
      </c>
      <c r="B572" s="1590" t="str">
        <f>'Income Eligible Deemed Table'!C1450</f>
        <v>406650_2022_12_</v>
      </c>
      <c r="C572" s="1589" t="str">
        <f>'Income Eligible Deemed Table'!G1450</f>
        <v>Cooling RES</v>
      </c>
      <c r="D572" s="1589" t="str">
        <f>'Income Eligible Deemed Table'!G1451</f>
        <v>Heating RES</v>
      </c>
      <c r="E572" s="1589"/>
      <c r="F572" s="1589"/>
      <c r="G572" s="1589" t="str">
        <f>'Income Eligible Deemed Table'!E1450</f>
        <v>Learning Thermostat - Unknown SF**</v>
      </c>
      <c r="H572" s="1599" t="str">
        <f>'Income Eligible Deemed Table'!D1450</f>
        <v>SFIE</v>
      </c>
      <c r="I572" s="1597">
        <f t="shared" si="378"/>
        <v>472.66999999999996</v>
      </c>
      <c r="J572" s="1597">
        <f t="shared" si="379"/>
        <v>0</v>
      </c>
      <c r="K572" s="1591">
        <f>'Income Eligible Deemed Table'!F1450</f>
        <v>192.52</v>
      </c>
      <c r="L572" s="1591">
        <f>'Income Eligible Deemed Table'!F1451</f>
        <v>280.14999999999998</v>
      </c>
      <c r="M572" s="1591">
        <v>0</v>
      </c>
      <c r="N572" s="1591">
        <v>0</v>
      </c>
      <c r="O572" s="1598">
        <f t="shared" si="380"/>
        <v>0.182397</v>
      </c>
      <c r="P572" s="1598">
        <f t="shared" si="381"/>
        <v>0</v>
      </c>
      <c r="Q572" s="1600">
        <f>'Income Eligible Deemed Table'!I1450</f>
        <v>0.182397</v>
      </c>
      <c r="R572" s="1600">
        <v>0</v>
      </c>
      <c r="S572" s="1600"/>
      <c r="T572" s="1600"/>
      <c r="U572" s="1569">
        <v>0</v>
      </c>
      <c r="V572" s="1569">
        <f t="shared" si="382"/>
        <v>0.182397</v>
      </c>
      <c r="W572" s="1569">
        <v>0</v>
      </c>
      <c r="X572" s="1583">
        <f>'Income Eligible Deemed Table'!J1450</f>
        <v>10</v>
      </c>
      <c r="Y572" s="1583"/>
      <c r="Z572" s="1583">
        <f t="shared" si="383"/>
        <v>10</v>
      </c>
      <c r="AA572" s="1959">
        <f>'Income Eligible Deemed Table'!BB1450</f>
        <v>2.3694620671639868</v>
      </c>
      <c r="AB572" s="1955">
        <f>'Income Eligible Deemed Table'!K1450</f>
        <v>125</v>
      </c>
      <c r="AC572" s="1960">
        <f t="shared" si="384"/>
        <v>279.54955959933773</v>
      </c>
      <c r="AD572" s="1960"/>
      <c r="AE572" s="1976">
        <f>'Income Eligible Deemed Table'!BD1450</f>
        <v>204.72676073834035</v>
      </c>
      <c r="AF572" s="2612">
        <f>'Income Eligible Deemed Table'!BD1451</f>
        <v>74.822798860997395</v>
      </c>
      <c r="AG572" s="1604"/>
      <c r="AH572" s="1604"/>
      <c r="AI572" s="1590" t="str">
        <f>'Income Eligible Deemed Table'!L1450</f>
        <v>per measure</v>
      </c>
      <c r="AJ572" s="1589"/>
      <c r="AM572" s="1961">
        <f t="shared" si="385"/>
        <v>9.4741810000000004E-4</v>
      </c>
      <c r="AN572" s="84">
        <f t="shared" si="386"/>
        <v>0.447816113327</v>
      </c>
      <c r="AO572" s="1965">
        <f t="shared" si="387"/>
        <v>0.26541911332699997</v>
      </c>
    </row>
    <row r="573" spans="1:48" s="84" customFormat="1" x14ac:dyDescent="0.35">
      <c r="A573" s="1618" t="str">
        <f t="shared" si="372"/>
        <v>406675</v>
      </c>
      <c r="B573" s="1590" t="str">
        <f>'Income Eligible Deemed Table'!C1452</f>
        <v>406675_2022_12_</v>
      </c>
      <c r="C573" s="1589" t="str">
        <f>'Income Eligible Deemed Table'!G1452</f>
        <v>Cooling RES</v>
      </c>
      <c r="D573" s="1589" t="str">
        <f>'Income Eligible Deemed Table'!G1453</f>
        <v>Heating RES</v>
      </c>
      <c r="E573" s="1589"/>
      <c r="F573" s="1589"/>
      <c r="G573" s="1589" t="str">
        <f>'Income Eligible Deemed Table'!E1452</f>
        <v>Learning Thermostat - Unknown MF**</v>
      </c>
      <c r="H573" s="1599" t="str">
        <f>'Income Eligible Deemed Table'!D1452</f>
        <v>MFIE</v>
      </c>
      <c r="I573" s="1597">
        <f t="shared" si="378"/>
        <v>374.62</v>
      </c>
      <c r="J573" s="1597">
        <f t="shared" si="379"/>
        <v>0</v>
      </c>
      <c r="K573" s="1591">
        <f>'Income Eligible Deemed Table'!F1452</f>
        <v>192.52</v>
      </c>
      <c r="L573" s="1591">
        <f>'Income Eligible Deemed Table'!F1453</f>
        <v>182.1</v>
      </c>
      <c r="M573" s="1591">
        <v>0</v>
      </c>
      <c r="N573" s="1591">
        <v>0</v>
      </c>
      <c r="O573" s="1598">
        <f t="shared" si="380"/>
        <v>0.182397</v>
      </c>
      <c r="P573" s="1598">
        <f t="shared" si="381"/>
        <v>0</v>
      </c>
      <c r="Q573" s="1600">
        <f>'Income Eligible Deemed Table'!I1452</f>
        <v>0.182397</v>
      </c>
      <c r="R573" s="1600">
        <v>0</v>
      </c>
      <c r="S573" s="1600"/>
      <c r="T573" s="1600"/>
      <c r="U573" s="1569">
        <v>0</v>
      </c>
      <c r="V573" s="1569">
        <f t="shared" si="382"/>
        <v>0.182397</v>
      </c>
      <c r="W573" s="1569">
        <v>0</v>
      </c>
      <c r="X573" s="1583">
        <f>'Income Eligible Deemed Table'!J1452</f>
        <v>10</v>
      </c>
      <c r="Y573" s="1583"/>
      <c r="Z573" s="1583">
        <f t="shared" si="383"/>
        <v>10</v>
      </c>
      <c r="AA573" s="1959">
        <f>'Income Eligible Deemed Table'!BB1452</f>
        <v>2.1474984115136313</v>
      </c>
      <c r="AB573" s="1955">
        <f>'Income Eligible Deemed Table'!K1452</f>
        <v>125</v>
      </c>
      <c r="AC573" s="1960">
        <f t="shared" si="384"/>
        <v>253.36224770099471</v>
      </c>
      <c r="AD573" s="1960"/>
      <c r="AE573" s="1976">
        <f>'Income Eligible Deemed Table'!BD1452</f>
        <v>204.72676073834035</v>
      </c>
      <c r="AF573" s="2612">
        <f>'Income Eligible Deemed Table'!BD1453</f>
        <v>48.635486962654383</v>
      </c>
      <c r="AG573" s="1604"/>
      <c r="AH573" s="1604"/>
      <c r="AI573" s="1590" t="str">
        <f>'Income Eligible Deemed Table'!L1452</f>
        <v>per measure</v>
      </c>
      <c r="AJ573" s="1589"/>
      <c r="AM573" s="1961">
        <f t="shared" si="385"/>
        <v>9.4741810000000004E-4</v>
      </c>
      <c r="AN573" s="84">
        <f t="shared" si="386"/>
        <v>0.35492176862200003</v>
      </c>
      <c r="AO573" s="1965">
        <f t="shared" si="387"/>
        <v>0.17252476862200003</v>
      </c>
    </row>
    <row r="574" spans="1:48" x14ac:dyDescent="0.35">
      <c r="A574" s="103" t="str">
        <f t="shared" ref="A574:A637" si="388">LEFT(B574,6)</f>
        <v>450050</v>
      </c>
      <c r="B574" s="3346" t="str">
        <f>'Home Energy Report Deemed Table'!C7</f>
        <v>450050_2021_12_</v>
      </c>
      <c r="C574" s="3343" t="str">
        <f>'Home Energy Report Deemed Table'!G7</f>
        <v>Building Shell RES</v>
      </c>
      <c r="D574" s="3343"/>
      <c r="E574" s="3343"/>
      <c r="F574" s="3343"/>
      <c r="G574" s="3343" t="str">
        <f>'Home Energy Report Deemed Table'!E7</f>
        <v xml:space="preserve">Home Energy Report </v>
      </c>
      <c r="H574" s="50" t="str">
        <f>'Home Energy Report Deemed Table'!D7</f>
        <v>SF</v>
      </c>
      <c r="I574" s="1966">
        <f>'Home Energy Report Deemed Table'!F7</f>
        <v>140.36560205281413</v>
      </c>
      <c r="J574" s="1966"/>
      <c r="K574" s="560"/>
      <c r="L574" s="560"/>
      <c r="M574" s="560"/>
      <c r="N574" s="560"/>
      <c r="O574" s="1967">
        <f>'Home Energy Report Deemed Table'!I7</f>
        <v>6.5421999999999994E-2</v>
      </c>
      <c r="P574" s="1967"/>
      <c r="Q574" s="1968"/>
      <c r="R574" s="1968"/>
      <c r="S574" s="1968"/>
      <c r="T574" s="1968"/>
      <c r="U574" s="1969">
        <f t="shared" ref="U574:U586" si="389">O574</f>
        <v>6.5421999999999994E-2</v>
      </c>
      <c r="V574" s="1969"/>
      <c r="W574" s="1969"/>
      <c r="X574" s="55">
        <f>'Home Energy Report Deemed Table'!J7</f>
        <v>5</v>
      </c>
      <c r="Y574" s="55"/>
      <c r="Z574" s="55">
        <f t="shared" ref="Z574:Z637" si="390">Y574+X574</f>
        <v>5</v>
      </c>
      <c r="AA574" s="49" t="str">
        <f>'Home Energy Report Deemed Table'!BB7</f>
        <v/>
      </c>
      <c r="AB574" s="698">
        <f>'Home Energy Report Deemed Table'!K7</f>
        <v>0</v>
      </c>
      <c r="AC574" s="2582">
        <f t="shared" ref="AC574:AC637" si="391">AE574+AF574</f>
        <v>27.906851468381948</v>
      </c>
      <c r="AD574" s="2582">
        <f t="shared" ref="AD574:AD637" si="392">AG574+AH574</f>
        <v>0</v>
      </c>
      <c r="AE574" s="1380">
        <f>'Home Energy Report Deemed Table'!BD7</f>
        <v>27.906851468381948</v>
      </c>
      <c r="AF574" s="571"/>
      <c r="AG574" s="571"/>
      <c r="AH574" s="571"/>
      <c r="AI574" s="3346" t="str">
        <f>'Home Energy Report Deemed Table'!L7</f>
        <v>per report</v>
      </c>
      <c r="AJ574" s="1589"/>
      <c r="AK574" s="84"/>
      <c r="AL574" s="84"/>
      <c r="AM574" s="1970">
        <f t="shared" ref="AM574" si="393">VLOOKUP(C574,$AS$10:$AT$33,2,FALSE)</f>
        <v>4.6608050000000002E-4</v>
      </c>
      <c r="AN574" s="3344">
        <f t="shared" ref="AN574" si="394">AM574*I574</f>
        <v>6.5421669987576633E-2</v>
      </c>
      <c r="AO574" s="1971">
        <f t="shared" ref="AO574" si="395">AN574-O574</f>
        <v>-3.30012423360726E-7</v>
      </c>
      <c r="AP574" s="84"/>
      <c r="AQ574" s="84"/>
      <c r="AR574" s="84"/>
      <c r="AS574" s="84"/>
      <c r="AT574" s="84"/>
      <c r="AU574" s="84"/>
      <c r="AV574" s="84"/>
    </row>
    <row r="575" spans="1:48" x14ac:dyDescent="0.35">
      <c r="A575" s="103" t="str">
        <f t="shared" si="388"/>
        <v>500050</v>
      </c>
      <c r="B575" s="3346" t="str">
        <f>'MFMR Deemed Table '!C7</f>
        <v>500050_2019_12_</v>
      </c>
      <c r="C575" s="3343" t="str">
        <f>'MFMR Deemed Table '!G7</f>
        <v>Cooling RES</v>
      </c>
      <c r="D575" s="3343"/>
      <c r="E575" s="3343"/>
      <c r="F575" s="3343"/>
      <c r="G575" s="3343" t="str">
        <f>'MFMR Deemed Table '!E7</f>
        <v>General Tune-Up (no charge or coil clean) / MFMR</v>
      </c>
      <c r="H575" s="50" t="str">
        <f>'MFMR Deemed Table '!D7</f>
        <v>MFMR</v>
      </c>
      <c r="I575" s="1966">
        <f t="shared" ref="I575:I586" si="396">K575+L575</f>
        <v>91.43</v>
      </c>
      <c r="J575" s="1966">
        <f t="shared" ref="J575:J586" si="397">M575+N575</f>
        <v>0</v>
      </c>
      <c r="K575" s="560">
        <f>'MFMR Deemed Table '!F7</f>
        <v>91.43</v>
      </c>
      <c r="L575" s="560"/>
      <c r="M575" s="560"/>
      <c r="N575" s="560"/>
      <c r="O575" s="1967">
        <f t="shared" ref="O575:O586" si="398">Q575+R575</f>
        <v>8.6622000000000005E-2</v>
      </c>
      <c r="P575" s="1967">
        <f t="shared" ref="P575:P586" si="399">S575+T575</f>
        <v>0</v>
      </c>
      <c r="Q575" s="1968">
        <f>'MFMR Deemed Table '!I7</f>
        <v>8.6622000000000005E-2</v>
      </c>
      <c r="R575" s="1968"/>
      <c r="S575" s="1968"/>
      <c r="T575" s="1968"/>
      <c r="U575" s="1969">
        <f t="shared" si="389"/>
        <v>8.6622000000000005E-2</v>
      </c>
      <c r="V575" s="1969">
        <v>0</v>
      </c>
      <c r="W575" s="1969">
        <v>0</v>
      </c>
      <c r="X575" s="55">
        <f>'MFMR Deemed Table '!J7</f>
        <v>2</v>
      </c>
      <c r="Y575" s="55"/>
      <c r="Z575" s="55">
        <f t="shared" si="390"/>
        <v>2</v>
      </c>
      <c r="AA575" s="49">
        <f>'MFMR Deemed Table '!BB7</f>
        <v>0.27043485354127816</v>
      </c>
      <c r="AB575" s="698">
        <f>'MFMR Deemed Table '!K7</f>
        <v>70</v>
      </c>
      <c r="AC575" s="2582">
        <f t="shared" si="391"/>
        <v>17.867333409994782</v>
      </c>
      <c r="AD575" s="2582">
        <f t="shared" si="392"/>
        <v>0</v>
      </c>
      <c r="AE575" s="1380">
        <f>'MFMR Deemed Table '!BD7</f>
        <v>17.867333409994782</v>
      </c>
      <c r="AF575" s="571"/>
      <c r="AG575" s="571"/>
      <c r="AH575" s="571"/>
      <c r="AI575" s="3346" t="str">
        <f>'MFMR Deemed Table '!L7</f>
        <v>per measure</v>
      </c>
      <c r="AJ575" s="141"/>
      <c r="AM575" s="1596">
        <f t="shared" ref="AM575:AM606" si="400">VLOOKUP(C575,$AS$10:$AT$33,2,FALSE)</f>
        <v>9.4741810000000004E-4</v>
      </c>
      <c r="AN575">
        <f t="shared" ref="AN575:AN606" si="401">AM575*I575</f>
        <v>8.6622436883000004E-2</v>
      </c>
      <c r="AO575" s="1595">
        <f t="shared" ref="AO575:AO606" si="402">AN575-O575</f>
        <v>4.3688299999899982E-7</v>
      </c>
    </row>
    <row r="576" spans="1:48" x14ac:dyDescent="0.35">
      <c r="A576" s="103" t="str">
        <f t="shared" si="388"/>
        <v>500051</v>
      </c>
      <c r="B576" s="3346" t="str">
        <f>'MFMR Deemed Table '!C8</f>
        <v>500051_2019_12_</v>
      </c>
      <c r="C576" s="3343" t="str">
        <f>'MFMR Deemed Table '!G8</f>
        <v>Cooling RES</v>
      </c>
      <c r="D576" s="3343"/>
      <c r="E576" s="3343"/>
      <c r="F576" s="3343"/>
      <c r="G576" s="3343" t="str">
        <f>'MFMR Deemed Table '!E8</f>
        <v>General Tune-Up (no charge or coil clean) / MFMR_CompE</v>
      </c>
      <c r="H576" s="50" t="str">
        <f>'MFMR Deemed Table '!D8</f>
        <v>MFMRc</v>
      </c>
      <c r="I576" s="1966">
        <f t="shared" si="396"/>
        <v>66.5</v>
      </c>
      <c r="J576" s="1966">
        <f t="shared" si="397"/>
        <v>0</v>
      </c>
      <c r="K576" s="560">
        <f>'MFMR Deemed Table '!F8</f>
        <v>66.5</v>
      </c>
      <c r="L576" s="560"/>
      <c r="M576" s="560"/>
      <c r="N576" s="560"/>
      <c r="O576" s="1967">
        <f t="shared" si="398"/>
        <v>6.3003000000000003E-2</v>
      </c>
      <c r="P576" s="1967">
        <f t="shared" si="399"/>
        <v>0</v>
      </c>
      <c r="Q576" s="1968">
        <f>'MFMR Deemed Table '!I8</f>
        <v>6.3003000000000003E-2</v>
      </c>
      <c r="R576" s="1968"/>
      <c r="S576" s="1968"/>
      <c r="T576" s="1968"/>
      <c r="U576" s="1969">
        <f t="shared" si="389"/>
        <v>6.3003000000000003E-2</v>
      </c>
      <c r="V576" s="1969">
        <v>0</v>
      </c>
      <c r="W576" s="1969">
        <v>0</v>
      </c>
      <c r="X576" s="55">
        <f>'MFMR Deemed Table '!J8</f>
        <v>2</v>
      </c>
      <c r="Y576" s="55"/>
      <c r="Z576" s="55">
        <f t="shared" si="390"/>
        <v>2</v>
      </c>
      <c r="AA576" s="49">
        <f>'MFMR Deemed Table '!BB8</f>
        <v>0.19669602712999013</v>
      </c>
      <c r="AB576" s="698">
        <f>'MFMR Deemed Table '!K8</f>
        <v>70</v>
      </c>
      <c r="AC576" s="2582">
        <f t="shared" si="391"/>
        <v>12.99549023039104</v>
      </c>
      <c r="AD576" s="2582">
        <f t="shared" si="392"/>
        <v>0</v>
      </c>
      <c r="AE576" s="1380">
        <f>'MFMR Deemed Table '!BD8</f>
        <v>12.99549023039104</v>
      </c>
      <c r="AF576" s="571"/>
      <c r="AG576" s="571"/>
      <c r="AH576" s="571"/>
      <c r="AI576" s="3346" t="str">
        <f>'MFMR Deemed Table '!L8</f>
        <v>per measure</v>
      </c>
      <c r="AJ576" s="141"/>
      <c r="AM576" s="1596">
        <f t="shared" si="400"/>
        <v>9.4741810000000004E-4</v>
      </c>
      <c r="AN576">
        <f t="shared" si="401"/>
        <v>6.3003303650000009E-2</v>
      </c>
      <c r="AO576" s="1595">
        <f t="shared" si="402"/>
        <v>3.0365000000531772E-7</v>
      </c>
    </row>
    <row r="577" spans="1:48" x14ac:dyDescent="0.35">
      <c r="A577" s="103" t="str">
        <f t="shared" si="388"/>
        <v>500100</v>
      </c>
      <c r="B577" s="3346" t="str">
        <f>'MFMR Deemed Table '!C9</f>
        <v>500100_2019_12_</v>
      </c>
      <c r="C577" s="3343" t="str">
        <f>'MFMR Deemed Table '!G9</f>
        <v>Cooling RES</v>
      </c>
      <c r="D577" s="3343"/>
      <c r="E577" s="3343"/>
      <c r="F577" s="3343"/>
      <c r="G577" s="3343" t="str">
        <f>'MFMR Deemed Table '!E9</f>
        <v>AC Tune-up / refrigerant charge / MFMR</v>
      </c>
      <c r="H577" s="50" t="str">
        <f>'MFMR Deemed Table '!D9</f>
        <v>MFMR</v>
      </c>
      <c r="I577" s="1966">
        <f t="shared" si="396"/>
        <v>381.36</v>
      </c>
      <c r="J577" s="1966">
        <f t="shared" si="397"/>
        <v>0</v>
      </c>
      <c r="K577" s="560">
        <f>'MFMR Deemed Table '!F9</f>
        <v>381.36</v>
      </c>
      <c r="L577" s="560"/>
      <c r="M577" s="560"/>
      <c r="N577" s="560"/>
      <c r="O577" s="1967">
        <f t="shared" si="398"/>
        <v>0.36130699999999999</v>
      </c>
      <c r="P577" s="1967">
        <f t="shared" si="399"/>
        <v>0</v>
      </c>
      <c r="Q577" s="1968">
        <f>'MFMR Deemed Table '!I9</f>
        <v>0.36130699999999999</v>
      </c>
      <c r="R577" s="1968"/>
      <c r="S577" s="1968"/>
      <c r="T577" s="1968"/>
      <c r="U577" s="1969">
        <f t="shared" si="389"/>
        <v>0.36130699999999999</v>
      </c>
      <c r="V577" s="1969">
        <v>0</v>
      </c>
      <c r="W577" s="1969">
        <v>0</v>
      </c>
      <c r="X577" s="55">
        <f>'MFMR Deemed Table '!J9</f>
        <v>2</v>
      </c>
      <c r="Y577" s="55"/>
      <c r="Z577" s="55">
        <f t="shared" si="390"/>
        <v>2</v>
      </c>
      <c r="AA577" s="49">
        <f>'MFMR Deemed Table '!BB9</f>
        <v>0.97481477461069566</v>
      </c>
      <c r="AB577" s="698">
        <f>'MFMR Deemed Table '!K9</f>
        <v>81</v>
      </c>
      <c r="AC577" s="2582">
        <f t="shared" si="391"/>
        <v>74.525716605442511</v>
      </c>
      <c r="AD577" s="2582">
        <f t="shared" si="392"/>
        <v>0</v>
      </c>
      <c r="AE577" s="1380">
        <f>'MFMR Deemed Table '!BD9</f>
        <v>74.525716605442511</v>
      </c>
      <c r="AF577" s="571"/>
      <c r="AG577" s="571"/>
      <c r="AH577" s="571"/>
      <c r="AI577" s="3346" t="str">
        <f>'MFMR Deemed Table '!L9</f>
        <v>per measure</v>
      </c>
      <c r="AJ577" s="141"/>
      <c r="AM577" s="1596">
        <f t="shared" si="400"/>
        <v>9.4741810000000004E-4</v>
      </c>
      <c r="AN577">
        <f t="shared" si="401"/>
        <v>0.36130736661600005</v>
      </c>
      <c r="AO577" s="1595">
        <f t="shared" si="402"/>
        <v>3.6661600005816197E-7</v>
      </c>
    </row>
    <row r="578" spans="1:48" x14ac:dyDescent="0.35">
      <c r="A578" s="103" t="str">
        <f t="shared" si="388"/>
        <v>500101</v>
      </c>
      <c r="B578" s="3346" t="str">
        <f>'MFMR Deemed Table '!C10</f>
        <v>500101_2019_12_</v>
      </c>
      <c r="C578" s="3343" t="str">
        <f>'MFMR Deemed Table '!G10</f>
        <v>Cooling RES</v>
      </c>
      <c r="D578" s="3343"/>
      <c r="E578" s="3343"/>
      <c r="F578" s="3343"/>
      <c r="G578" s="3343" t="str">
        <f>'MFMR Deemed Table '!E10</f>
        <v>AC Tune-up / refrigerant charge / MFMR_CompE</v>
      </c>
      <c r="H578" s="50" t="str">
        <f>'MFMR Deemed Table '!D10</f>
        <v>MFMRc</v>
      </c>
      <c r="I578" s="1966">
        <f t="shared" si="396"/>
        <v>277.35000000000002</v>
      </c>
      <c r="J578" s="1966">
        <f t="shared" si="397"/>
        <v>0</v>
      </c>
      <c r="K578" s="560">
        <f>'MFMR Deemed Table '!F10</f>
        <v>277.35000000000002</v>
      </c>
      <c r="L578" s="560"/>
      <c r="M578" s="560"/>
      <c r="N578" s="560"/>
      <c r="O578" s="1967">
        <f t="shared" si="398"/>
        <v>0.262766</v>
      </c>
      <c r="P578" s="1967">
        <f t="shared" si="399"/>
        <v>0</v>
      </c>
      <c r="Q578" s="1968">
        <f>'MFMR Deemed Table '!I10</f>
        <v>0.262766</v>
      </c>
      <c r="R578" s="1968"/>
      <c r="S578" s="1968"/>
      <c r="T578" s="1968"/>
      <c r="U578" s="1969">
        <f t="shared" si="389"/>
        <v>0.262766</v>
      </c>
      <c r="V578" s="1969">
        <v>0</v>
      </c>
      <c r="W578" s="1969">
        <v>0</v>
      </c>
      <c r="X578" s="55">
        <f>'MFMR Deemed Table '!J10</f>
        <v>2</v>
      </c>
      <c r="Y578" s="55"/>
      <c r="Z578" s="55">
        <f t="shared" si="390"/>
        <v>2</v>
      </c>
      <c r="AA578" s="49">
        <f>'MFMR Deemed Table '!BB10</f>
        <v>0.70894922838859986</v>
      </c>
      <c r="AB578" s="698">
        <f>'MFMR Deemed Table '!K10</f>
        <v>81</v>
      </c>
      <c r="AC578" s="2582">
        <f t="shared" si="391"/>
        <v>54.199988201488047</v>
      </c>
      <c r="AD578" s="2582">
        <f t="shared" si="392"/>
        <v>0</v>
      </c>
      <c r="AE578" s="1380">
        <f>'MFMR Deemed Table '!BD10</f>
        <v>54.199988201488047</v>
      </c>
      <c r="AF578" s="571"/>
      <c r="AG578" s="571"/>
      <c r="AH578" s="571"/>
      <c r="AI578" s="3346" t="str">
        <f>'MFMR Deemed Table '!L10</f>
        <v>per measure</v>
      </c>
      <c r="AJ578" s="141"/>
      <c r="AM578" s="1596">
        <f t="shared" si="400"/>
        <v>9.4741810000000004E-4</v>
      </c>
      <c r="AN578">
        <f t="shared" si="401"/>
        <v>0.26276641003500001</v>
      </c>
      <c r="AO578" s="1595">
        <f t="shared" si="402"/>
        <v>4.1003500000913462E-7</v>
      </c>
    </row>
    <row r="579" spans="1:48" x14ac:dyDescent="0.35">
      <c r="A579" s="103" t="str">
        <f t="shared" si="388"/>
        <v>500150</v>
      </c>
      <c r="B579" s="3346" t="str">
        <f>'MFMR Deemed Table '!C11</f>
        <v>500150_2019_12_</v>
      </c>
      <c r="C579" s="3343" t="str">
        <f>'MFMR Deemed Table '!G11</f>
        <v>Cooling RES</v>
      </c>
      <c r="D579" s="3343"/>
      <c r="E579" s="3343"/>
      <c r="F579" s="3343"/>
      <c r="G579" s="3343" t="str">
        <f>'MFMR Deemed Table '!E11</f>
        <v>Indoor Coil (Evaporator) Cleaning / MFMR</v>
      </c>
      <c r="H579" s="50" t="str">
        <f>'MFMR Deemed Table '!D11</f>
        <v>MFMR</v>
      </c>
      <c r="I579" s="1966">
        <f t="shared" si="396"/>
        <v>63.12</v>
      </c>
      <c r="J579" s="1966">
        <f t="shared" si="397"/>
        <v>0</v>
      </c>
      <c r="K579" s="560">
        <f>'MFMR Deemed Table '!F11</f>
        <v>63.12</v>
      </c>
      <c r="L579" s="560"/>
      <c r="M579" s="560"/>
      <c r="N579" s="560"/>
      <c r="O579" s="1967">
        <f t="shared" si="398"/>
        <v>5.9801E-2</v>
      </c>
      <c r="P579" s="1967">
        <f t="shared" si="399"/>
        <v>0</v>
      </c>
      <c r="Q579" s="1968">
        <f>'MFMR Deemed Table '!I11</f>
        <v>5.9801E-2</v>
      </c>
      <c r="R579" s="1968"/>
      <c r="S579" s="1968"/>
      <c r="T579" s="1968"/>
      <c r="U579" s="1969">
        <f t="shared" si="389"/>
        <v>5.9801E-2</v>
      </c>
      <c r="V579" s="1969">
        <v>0</v>
      </c>
      <c r="W579" s="1969">
        <v>0</v>
      </c>
      <c r="X579" s="55">
        <f>'MFMR Deemed Table '!J11</f>
        <v>2</v>
      </c>
      <c r="Y579" s="55"/>
      <c r="Z579" s="55">
        <f t="shared" si="390"/>
        <v>2</v>
      </c>
      <c r="AA579" s="49">
        <f>'MFMR Deemed Table '!BB11</f>
        <v>0.20744282760977403</v>
      </c>
      <c r="AB579" s="698">
        <f>'MFMR Deemed Table '!K11</f>
        <v>63</v>
      </c>
      <c r="AC579" s="2582">
        <f t="shared" si="391"/>
        <v>12.334967569056879</v>
      </c>
      <c r="AD579" s="2582">
        <f t="shared" si="392"/>
        <v>0</v>
      </c>
      <c r="AE579" s="1380">
        <f>'MFMR Deemed Table '!BD11</f>
        <v>12.334967569056879</v>
      </c>
      <c r="AF579" s="571"/>
      <c r="AG579" s="571"/>
      <c r="AH579" s="571"/>
      <c r="AI579" s="3346" t="str">
        <f>'MFMR Deemed Table '!L11</f>
        <v>per measure</v>
      </c>
      <c r="AJ579" s="141"/>
      <c r="AM579" s="1596">
        <f t="shared" si="400"/>
        <v>9.4741810000000004E-4</v>
      </c>
      <c r="AN579">
        <f t="shared" si="401"/>
        <v>5.9801030472E-2</v>
      </c>
      <c r="AO579" s="1595">
        <f t="shared" si="402"/>
        <v>3.047199999967054E-8</v>
      </c>
    </row>
    <row r="580" spans="1:48" x14ac:dyDescent="0.35">
      <c r="A580" s="103" t="str">
        <f t="shared" si="388"/>
        <v>500151</v>
      </c>
      <c r="B580" s="3346" t="str">
        <f>'MFMR Deemed Table '!C12</f>
        <v>500151_2019_12_</v>
      </c>
      <c r="C580" s="3343" t="str">
        <f>'MFMR Deemed Table '!G12</f>
        <v>Cooling RES</v>
      </c>
      <c r="D580" s="3343"/>
      <c r="E580" s="3343"/>
      <c r="F580" s="3343"/>
      <c r="G580" s="3343" t="str">
        <f>'MFMR Deemed Table '!E12</f>
        <v>Indoor Coil (Evaporator) Cleaning / MFMR_CompE</v>
      </c>
      <c r="H580" s="50" t="str">
        <f>'MFMR Deemed Table '!D12</f>
        <v>MFMRc</v>
      </c>
      <c r="I580" s="1966">
        <f t="shared" si="396"/>
        <v>45.91</v>
      </c>
      <c r="J580" s="1966">
        <f t="shared" si="397"/>
        <v>0</v>
      </c>
      <c r="K580" s="560">
        <f>'MFMR Deemed Table '!F12</f>
        <v>45.91</v>
      </c>
      <c r="L580" s="560"/>
      <c r="M580" s="560"/>
      <c r="N580" s="560"/>
      <c r="O580" s="1967">
        <f t="shared" si="398"/>
        <v>4.3496E-2</v>
      </c>
      <c r="P580" s="1967">
        <f t="shared" si="399"/>
        <v>0</v>
      </c>
      <c r="Q580" s="1968">
        <f>'MFMR Deemed Table '!I12</f>
        <v>4.3496E-2</v>
      </c>
      <c r="R580" s="1968"/>
      <c r="S580" s="1968"/>
      <c r="T580" s="1968"/>
      <c r="U580" s="1969">
        <f t="shared" si="389"/>
        <v>4.3496E-2</v>
      </c>
      <c r="V580" s="1969">
        <v>0</v>
      </c>
      <c r="W580" s="1969">
        <v>0</v>
      </c>
      <c r="X580" s="55">
        <f>'MFMR Deemed Table '!J12</f>
        <v>2</v>
      </c>
      <c r="Y580" s="55"/>
      <c r="Z580" s="55">
        <f t="shared" si="390"/>
        <v>2</v>
      </c>
      <c r="AA580" s="49">
        <f>'MFMR Deemed Table '!BB12</f>
        <v>0.15088244954950453</v>
      </c>
      <c r="AB580" s="698">
        <f>'MFMR Deemed Table '!K12</f>
        <v>63</v>
      </c>
      <c r="AC580" s="2582">
        <f t="shared" si="391"/>
        <v>8.9717737816128214</v>
      </c>
      <c r="AD580" s="2582">
        <f t="shared" si="392"/>
        <v>0</v>
      </c>
      <c r="AE580" s="1380">
        <f>'MFMR Deemed Table '!BD12</f>
        <v>8.9717737816128214</v>
      </c>
      <c r="AF580" s="571"/>
      <c r="AG580" s="571"/>
      <c r="AH580" s="571"/>
      <c r="AI580" s="3346" t="str">
        <f>'MFMR Deemed Table '!L12</f>
        <v>per measure</v>
      </c>
      <c r="AJ580" s="141"/>
      <c r="AM580" s="1596">
        <f t="shared" si="400"/>
        <v>9.4741810000000004E-4</v>
      </c>
      <c r="AN580">
        <f t="shared" si="401"/>
        <v>4.3495964971000001E-2</v>
      </c>
      <c r="AO580" s="1595">
        <f t="shared" si="402"/>
        <v>-3.5028999999242583E-8</v>
      </c>
    </row>
    <row r="581" spans="1:48" s="84" customFormat="1" x14ac:dyDescent="0.35">
      <c r="A581" s="103" t="str">
        <f t="shared" si="388"/>
        <v>500200</v>
      </c>
      <c r="B581" s="3346" t="str">
        <f>'MFMR Deemed Table '!C13</f>
        <v>500200_2019_12_</v>
      </c>
      <c r="C581" s="3343" t="str">
        <f>'MFMR Deemed Table '!G13</f>
        <v>Cooling RES</v>
      </c>
      <c r="D581" s="3343"/>
      <c r="E581" s="3343"/>
      <c r="F581" s="3343"/>
      <c r="G581" s="3343" t="str">
        <f>'MFMR Deemed Table '!E13</f>
        <v>Outdoor Coil (Condenser) Cleaning / MFMR</v>
      </c>
      <c r="H581" s="50" t="str">
        <f>'MFMR Deemed Table '!D13</f>
        <v>MFMR</v>
      </c>
      <c r="I581" s="1966">
        <f t="shared" si="396"/>
        <v>126.24</v>
      </c>
      <c r="J581" s="1966">
        <f t="shared" si="397"/>
        <v>0</v>
      </c>
      <c r="K581" s="560">
        <f>'MFMR Deemed Table '!F13</f>
        <v>126.24</v>
      </c>
      <c r="L581" s="560"/>
      <c r="M581" s="560"/>
      <c r="N581" s="560"/>
      <c r="O581" s="1967">
        <f t="shared" si="398"/>
        <v>0.119602</v>
      </c>
      <c r="P581" s="1967">
        <f t="shared" si="399"/>
        <v>0</v>
      </c>
      <c r="Q581" s="1968">
        <f>'MFMR Deemed Table '!I13</f>
        <v>0.119602</v>
      </c>
      <c r="R581" s="1968"/>
      <c r="S581" s="1968"/>
      <c r="T581" s="1968"/>
      <c r="U581" s="1969">
        <f t="shared" si="389"/>
        <v>0.119602</v>
      </c>
      <c r="V581" s="1969">
        <v>0</v>
      </c>
      <c r="W581" s="1969">
        <v>0</v>
      </c>
      <c r="X581" s="55">
        <f>'MFMR Deemed Table '!J13</f>
        <v>2</v>
      </c>
      <c r="Y581" s="55"/>
      <c r="Z581" s="55">
        <f t="shared" si="390"/>
        <v>2</v>
      </c>
      <c r="AA581" s="49">
        <f>'MFMR Deemed Table '!BB13</f>
        <v>0.84315471867198477</v>
      </c>
      <c r="AB581" s="698">
        <f>'MFMR Deemed Table '!K13</f>
        <v>31</v>
      </c>
      <c r="AC581" s="2582">
        <f t="shared" si="391"/>
        <v>24.669935138113757</v>
      </c>
      <c r="AD581" s="2582">
        <f t="shared" si="392"/>
        <v>0</v>
      </c>
      <c r="AE581" s="1380">
        <f>'MFMR Deemed Table '!BD13</f>
        <v>24.669935138113757</v>
      </c>
      <c r="AF581" s="571"/>
      <c r="AG581" s="571"/>
      <c r="AH581" s="571"/>
      <c r="AI581" s="3346" t="str">
        <f>'MFMR Deemed Table '!L13</f>
        <v>per measure</v>
      </c>
      <c r="AJ581" s="141"/>
      <c r="AK581"/>
      <c r="AL581"/>
      <c r="AM581" s="1596">
        <f t="shared" si="400"/>
        <v>9.4741810000000004E-4</v>
      </c>
      <c r="AN581">
        <f t="shared" si="401"/>
        <v>0.119602060944</v>
      </c>
      <c r="AO581" s="1595">
        <f t="shared" si="402"/>
        <v>6.0943999999341081E-8</v>
      </c>
      <c r="AP581"/>
      <c r="AQ581"/>
      <c r="AR581"/>
      <c r="AS581"/>
      <c r="AT581"/>
      <c r="AU581"/>
      <c r="AV581"/>
    </row>
    <row r="582" spans="1:48" s="84" customFormat="1" x14ac:dyDescent="0.35">
      <c r="A582" s="103" t="str">
        <f t="shared" si="388"/>
        <v>500201</v>
      </c>
      <c r="B582" s="3346" t="str">
        <f>'MFMR Deemed Table '!C14</f>
        <v>500201_2019_12_</v>
      </c>
      <c r="C582" s="3343" t="str">
        <f>'MFMR Deemed Table '!G14</f>
        <v>Cooling RES</v>
      </c>
      <c r="D582" s="3343"/>
      <c r="E582" s="3343"/>
      <c r="F582" s="3343"/>
      <c r="G582" s="3343" t="str">
        <f>'MFMR Deemed Table '!E14</f>
        <v>Outdoor Coil (Condenser) Cleaning / MFMR_CompE</v>
      </c>
      <c r="H582" s="50" t="str">
        <f>'MFMR Deemed Table '!D14</f>
        <v>MFMRc</v>
      </c>
      <c r="I582" s="1966">
        <f t="shared" si="396"/>
        <v>91.81</v>
      </c>
      <c r="J582" s="1966">
        <f t="shared" si="397"/>
        <v>0</v>
      </c>
      <c r="K582" s="560">
        <f>'MFMR Deemed Table '!F14</f>
        <v>91.81</v>
      </c>
      <c r="L582" s="560"/>
      <c r="M582" s="560"/>
      <c r="N582" s="560"/>
      <c r="O582" s="1967">
        <f t="shared" si="398"/>
        <v>8.6982000000000004E-2</v>
      </c>
      <c r="P582" s="1967">
        <f t="shared" si="399"/>
        <v>0</v>
      </c>
      <c r="Q582" s="1968">
        <f>'MFMR Deemed Table '!I14</f>
        <v>8.6982000000000004E-2</v>
      </c>
      <c r="R582" s="1968"/>
      <c r="S582" s="1968"/>
      <c r="T582" s="1968"/>
      <c r="U582" s="1969">
        <f t="shared" si="389"/>
        <v>8.6982000000000004E-2</v>
      </c>
      <c r="V582" s="1969">
        <v>0</v>
      </c>
      <c r="W582" s="1969">
        <v>0</v>
      </c>
      <c r="X582" s="55">
        <f>'MFMR Deemed Table '!J14</f>
        <v>2</v>
      </c>
      <c r="Y582" s="55"/>
      <c r="Z582" s="55">
        <f t="shared" si="390"/>
        <v>2</v>
      </c>
      <c r="AA582" s="49">
        <f>'MFMR Deemed Table '!BB14</f>
        <v>0.61319735995940217</v>
      </c>
      <c r="AB582" s="698">
        <f>'MFMR Deemed Table '!K14</f>
        <v>31</v>
      </c>
      <c r="AC582" s="2582">
        <f t="shared" si="391"/>
        <v>17.941593354168443</v>
      </c>
      <c r="AD582" s="2582">
        <f t="shared" si="392"/>
        <v>0</v>
      </c>
      <c r="AE582" s="1380">
        <f>'MFMR Deemed Table '!BD14</f>
        <v>17.941593354168443</v>
      </c>
      <c r="AF582" s="571"/>
      <c r="AG582" s="571"/>
      <c r="AH582" s="571"/>
      <c r="AI582" s="3346" t="str">
        <f>'MFMR Deemed Table '!L14</f>
        <v>per measure</v>
      </c>
      <c r="AJ582" s="141"/>
      <c r="AK582"/>
      <c r="AL582"/>
      <c r="AM582" s="1596">
        <f t="shared" si="400"/>
        <v>9.4741810000000004E-4</v>
      </c>
      <c r="AN582">
        <f t="shared" si="401"/>
        <v>8.6982455760999999E-2</v>
      </c>
      <c r="AO582" s="1595">
        <f t="shared" si="402"/>
        <v>4.5576099999555808E-7</v>
      </c>
      <c r="AP582"/>
      <c r="AQ582"/>
      <c r="AR582"/>
      <c r="AS582"/>
      <c r="AT582"/>
      <c r="AU582"/>
      <c r="AV582"/>
    </row>
    <row r="583" spans="1:48" s="84" customFormat="1" x14ac:dyDescent="0.35">
      <c r="A583" s="103" t="str">
        <f t="shared" si="388"/>
        <v>500210</v>
      </c>
      <c r="B583" s="3346" t="str">
        <f>'MFMR Deemed Table '!C15</f>
        <v>500210_2021_12</v>
      </c>
      <c r="C583" s="3343" t="str">
        <f>'MFMR Deemed Table '!G15</f>
        <v>Cooling RES</v>
      </c>
      <c r="D583" s="3343"/>
      <c r="E583" s="3343"/>
      <c r="F583" s="3343"/>
      <c r="G583" s="3343" t="str">
        <f>'MFMR Deemed Table '!E15</f>
        <v>AC Tune-up / Packaged Service / MFMR</v>
      </c>
      <c r="H583" s="50" t="str">
        <f>'MFMR Deemed Table '!D15</f>
        <v>MFMR</v>
      </c>
      <c r="I583" s="1966">
        <f t="shared" si="396"/>
        <v>237.38559042747517</v>
      </c>
      <c r="J583" s="1966">
        <f t="shared" si="397"/>
        <v>0</v>
      </c>
      <c r="K583" s="560">
        <f>'MFMR Deemed Table '!F15</f>
        <v>237.38559042747517</v>
      </c>
      <c r="L583" s="560"/>
      <c r="M583" s="560"/>
      <c r="N583" s="560"/>
      <c r="O583" s="1967">
        <f t="shared" si="398"/>
        <v>0.105069</v>
      </c>
      <c r="P583" s="1967">
        <f t="shared" si="399"/>
        <v>0</v>
      </c>
      <c r="Q583" s="1968">
        <f>'MFMR Deemed Table '!I15</f>
        <v>0.105069</v>
      </c>
      <c r="R583" s="1968"/>
      <c r="S583" s="1968"/>
      <c r="T583" s="1968"/>
      <c r="U583" s="1969">
        <f t="shared" si="389"/>
        <v>0.105069</v>
      </c>
      <c r="V583" s="1969">
        <v>0</v>
      </c>
      <c r="W583" s="1969">
        <v>0</v>
      </c>
      <c r="X583" s="55">
        <f>'MFMR Deemed Table '!J15</f>
        <v>2</v>
      </c>
      <c r="Y583" s="55"/>
      <c r="Z583" s="55">
        <f t="shared" si="390"/>
        <v>2</v>
      </c>
      <c r="AA583" s="49">
        <f>'MFMR Deemed Table '!BB15</f>
        <v>0.26567739706965227</v>
      </c>
      <c r="AB583" s="698">
        <f>'MFMR Deemed Table '!K15</f>
        <v>185</v>
      </c>
      <c r="AC583" s="2582">
        <f t="shared" si="391"/>
        <v>46.390107086253572</v>
      </c>
      <c r="AD583" s="2582">
        <f t="shared" si="392"/>
        <v>0</v>
      </c>
      <c r="AE583" s="1380">
        <f>'MFMR Deemed Table '!BD15</f>
        <v>46.390107086253572</v>
      </c>
      <c r="AF583" s="571"/>
      <c r="AG583" s="571"/>
      <c r="AH583" s="571"/>
      <c r="AI583" s="3346" t="str">
        <f>'MFMR Deemed Table '!L15</f>
        <v>per measure</v>
      </c>
      <c r="AJ583" s="1589"/>
      <c r="AM583" s="1961">
        <f t="shared" si="400"/>
        <v>9.4741810000000004E-4</v>
      </c>
      <c r="AN583" s="84">
        <f t="shared" si="401"/>
        <v>0.22490340505017672</v>
      </c>
      <c r="AO583" s="1965">
        <f t="shared" si="402"/>
        <v>0.11983440505017673</v>
      </c>
    </row>
    <row r="584" spans="1:48" s="84" customFormat="1" x14ac:dyDescent="0.35">
      <c r="A584" s="103" t="str">
        <f t="shared" si="388"/>
        <v>500211</v>
      </c>
      <c r="B584" s="3346" t="str">
        <f>'MFMR Deemed Table '!C16</f>
        <v>500211_2021_12</v>
      </c>
      <c r="C584" s="3343" t="str">
        <f>'MFMR Deemed Table '!G16</f>
        <v>Cooling RES</v>
      </c>
      <c r="D584" s="3343"/>
      <c r="E584" s="3343"/>
      <c r="F584" s="3343"/>
      <c r="G584" s="3343" t="str">
        <f>'MFMR Deemed Table '!E16</f>
        <v>AC Tune-up / Packaged Service / MFMR_CompE</v>
      </c>
      <c r="H584" s="50" t="str">
        <f>'MFMR Deemed Table '!D16</f>
        <v>MFMRc</v>
      </c>
      <c r="I584" s="1966">
        <f t="shared" si="396"/>
        <v>172.64406576543647</v>
      </c>
      <c r="J584" s="1966">
        <f t="shared" si="397"/>
        <v>0</v>
      </c>
      <c r="K584" s="560">
        <f>'MFMR Deemed Table '!F16</f>
        <v>172.64406576543647</v>
      </c>
      <c r="L584" s="560"/>
      <c r="M584" s="560"/>
      <c r="N584" s="560"/>
      <c r="O584" s="1967">
        <f t="shared" si="398"/>
        <v>7.6419000000000001E-2</v>
      </c>
      <c r="P584" s="1967">
        <f t="shared" si="399"/>
        <v>0</v>
      </c>
      <c r="Q584" s="1968">
        <f>'MFMR Deemed Table '!I16</f>
        <v>7.6419000000000001E-2</v>
      </c>
      <c r="R584" s="1968"/>
      <c r="S584" s="1968"/>
      <c r="T584" s="1968"/>
      <c r="U584" s="1969">
        <f t="shared" si="389"/>
        <v>7.6419000000000001E-2</v>
      </c>
      <c r="V584" s="1969">
        <v>0</v>
      </c>
      <c r="W584" s="1969">
        <v>0</v>
      </c>
      <c r="X584" s="55">
        <f>'MFMR Deemed Table '!J16</f>
        <v>2</v>
      </c>
      <c r="Y584" s="55"/>
      <c r="Z584" s="55">
        <f t="shared" si="390"/>
        <v>2</v>
      </c>
      <c r="AA584" s="49">
        <f>'MFMR Deemed Table '!BB16</f>
        <v>0.19321992514156527</v>
      </c>
      <c r="AB584" s="698">
        <f>'MFMR Deemed Table '!K16</f>
        <v>185</v>
      </c>
      <c r="AC584" s="2582">
        <f t="shared" si="391"/>
        <v>33.738259699093504</v>
      </c>
      <c r="AD584" s="2582">
        <f t="shared" si="392"/>
        <v>0</v>
      </c>
      <c r="AE584" s="1380">
        <f>'MFMR Deemed Table '!BD16</f>
        <v>33.738259699093504</v>
      </c>
      <c r="AF584" s="571"/>
      <c r="AG584" s="571"/>
      <c r="AH584" s="571"/>
      <c r="AI584" s="3346" t="str">
        <f>'MFMR Deemed Table '!L16</f>
        <v>per measure</v>
      </c>
      <c r="AJ584" s="1589"/>
      <c r="AM584" s="1961">
        <f t="shared" si="400"/>
        <v>9.4741810000000004E-4</v>
      </c>
      <c r="AN584" s="84">
        <f t="shared" si="401"/>
        <v>0.16356611276376487</v>
      </c>
      <c r="AO584" s="1965">
        <f t="shared" si="402"/>
        <v>8.714711276376487E-2</v>
      </c>
    </row>
    <row r="585" spans="1:48" x14ac:dyDescent="0.35">
      <c r="A585" s="103" t="str">
        <f t="shared" si="388"/>
        <v>500230</v>
      </c>
      <c r="B585" s="3346" t="str">
        <f>'MFMR Deemed Table '!C45</f>
        <v>500230_2021_12</v>
      </c>
      <c r="C585" s="3343" t="str">
        <f>'MFMR Deemed Table '!G45</f>
        <v>Cooling RES</v>
      </c>
      <c r="D585" s="3343" t="str">
        <f>'MFMR Deemed Table '!G46</f>
        <v>Heating RES</v>
      </c>
      <c r="E585" s="3343"/>
      <c r="F585" s="3343"/>
      <c r="G585" s="3343" t="str">
        <f>'MFMR Deemed Table '!E45</f>
        <v>HP Tune-up / Packaged Service / MFMR</v>
      </c>
      <c r="H585" s="50" t="str">
        <f>'MFMR Deemed Table '!D45</f>
        <v>MFMR</v>
      </c>
      <c r="I585" s="1966">
        <f t="shared" si="396"/>
        <v>998.77307543629308</v>
      </c>
      <c r="J585" s="1966">
        <f t="shared" si="397"/>
        <v>0</v>
      </c>
      <c r="K585" s="560">
        <f>'MFMR Deemed Table '!F45</f>
        <v>237.38559042747517</v>
      </c>
      <c r="L585" s="560">
        <f>'MFMR Deemed Table '!F46</f>
        <v>761.38748500881786</v>
      </c>
      <c r="M585" s="560"/>
      <c r="N585" s="560"/>
      <c r="O585" s="1967">
        <f t="shared" si="398"/>
        <v>0.22490340505017672</v>
      </c>
      <c r="P585" s="1967">
        <f t="shared" si="399"/>
        <v>0</v>
      </c>
      <c r="Q585" s="1968">
        <f>'MFMR Deemed Table '!I45</f>
        <v>0.22490340505017672</v>
      </c>
      <c r="R585" s="1968">
        <f>'MFMR Deemed Table '!I46</f>
        <v>0</v>
      </c>
      <c r="S585" s="1968"/>
      <c r="T585" s="1968"/>
      <c r="U585" s="1969">
        <f t="shared" si="389"/>
        <v>0.22490340505017672</v>
      </c>
      <c r="V585" s="1969">
        <v>0</v>
      </c>
      <c r="W585" s="1969">
        <v>0</v>
      </c>
      <c r="X585" s="55">
        <f>'MFMR Deemed Table '!J45</f>
        <v>2</v>
      </c>
      <c r="Y585" s="55"/>
      <c r="Z585" s="55">
        <f t="shared" si="390"/>
        <v>2</v>
      </c>
      <c r="AA585" s="49">
        <f>'MFMR Deemed Table '!BB45</f>
        <v>0.50646228148446937</v>
      </c>
      <c r="AB585" s="698">
        <f>'MFMR Deemed Table '!K45</f>
        <v>185</v>
      </c>
      <c r="AC585" s="2582">
        <f t="shared" si="391"/>
        <v>88.433715974164059</v>
      </c>
      <c r="AD585" s="2582">
        <f t="shared" si="392"/>
        <v>0</v>
      </c>
      <c r="AE585" s="1380">
        <f>'MFMR Deemed Table '!BD45</f>
        <v>46.390107086253572</v>
      </c>
      <c r="AF585" s="3365">
        <f>'MFMR Deemed Table '!BD46</f>
        <v>42.043608887910487</v>
      </c>
      <c r="AG585" s="571"/>
      <c r="AH585" s="571"/>
      <c r="AI585" s="3346" t="str">
        <f>'MFMR Deemed Table '!L45</f>
        <v>per measure</v>
      </c>
      <c r="AJ585" s="1589"/>
      <c r="AK585" s="84"/>
      <c r="AL585" s="84"/>
      <c r="AM585" s="1961">
        <f t="shared" si="400"/>
        <v>9.4741810000000004E-4</v>
      </c>
      <c r="AN585" s="84">
        <f t="shared" si="401"/>
        <v>0.94625568946100946</v>
      </c>
      <c r="AO585" s="1965">
        <f t="shared" si="402"/>
        <v>0.72135228441083277</v>
      </c>
      <c r="AP585" s="84"/>
      <c r="AQ585" s="84"/>
      <c r="AR585" s="84"/>
      <c r="AS585" s="84"/>
      <c r="AT585" s="84"/>
      <c r="AU585" s="84"/>
      <c r="AV585" s="84"/>
    </row>
    <row r="586" spans="1:48" x14ac:dyDescent="0.35">
      <c r="A586" s="103" t="str">
        <f t="shared" si="388"/>
        <v>500231</v>
      </c>
      <c r="B586" s="3346" t="str">
        <f>'MFMR Deemed Table '!C47</f>
        <v>500231_2021_12</v>
      </c>
      <c r="C586" s="3343" t="str">
        <f>'MFMR Deemed Table '!G47</f>
        <v>Cooling RES</v>
      </c>
      <c r="D586" s="3343" t="str">
        <f>'MFMR Deemed Table '!G48</f>
        <v>Heating RES</v>
      </c>
      <c r="E586" s="3343"/>
      <c r="F586" s="3343"/>
      <c r="G586" s="3343" t="str">
        <f>'MFMR Deemed Table '!E47</f>
        <v xml:space="preserve">HP Tune-up / Packaged Service / MFMR_CompE </v>
      </c>
      <c r="H586" s="50" t="str">
        <f>'MFMR Deemed Table '!D47</f>
        <v>MFMRc</v>
      </c>
      <c r="I586" s="1966">
        <f t="shared" si="396"/>
        <v>432.20798110935175</v>
      </c>
      <c r="J586" s="1966">
        <f t="shared" si="397"/>
        <v>0</v>
      </c>
      <c r="K586" s="560">
        <f>'MFMR Deemed Table '!F47</f>
        <v>172.64406576543647</v>
      </c>
      <c r="L586" s="560">
        <f>'MFMR Deemed Table '!F48</f>
        <v>259.56391534391526</v>
      </c>
      <c r="M586" s="560"/>
      <c r="N586" s="560"/>
      <c r="O586" s="1967">
        <f t="shared" si="398"/>
        <v>0.16356611276376487</v>
      </c>
      <c r="P586" s="1967">
        <f t="shared" si="399"/>
        <v>0</v>
      </c>
      <c r="Q586" s="1968">
        <f>'MFMR Deemed Table '!I47</f>
        <v>0.16356611276376487</v>
      </c>
      <c r="R586" s="1968">
        <f>'MFMR Deemed Table '!I48</f>
        <v>0</v>
      </c>
      <c r="S586" s="1968"/>
      <c r="T586" s="1968"/>
      <c r="U586" s="1969">
        <f t="shared" si="389"/>
        <v>0.16356611276376487</v>
      </c>
      <c r="V586" s="1969">
        <v>0</v>
      </c>
      <c r="W586" s="1969">
        <v>0</v>
      </c>
      <c r="X586" s="55">
        <f>'MFMR Deemed Table '!J47</f>
        <v>2</v>
      </c>
      <c r="Y586" s="55"/>
      <c r="Z586" s="55">
        <f t="shared" si="390"/>
        <v>2</v>
      </c>
      <c r="AA586" s="49">
        <f>'MFMR Deemed Table '!BB47</f>
        <v>0.27530568119207111</v>
      </c>
      <c r="AB586" s="698">
        <f>'MFMR Deemed Table '!K47</f>
        <v>185</v>
      </c>
      <c r="AC586" s="2582">
        <f t="shared" si="391"/>
        <v>48.071308183608444</v>
      </c>
      <c r="AD586" s="2582">
        <f t="shared" si="392"/>
        <v>0</v>
      </c>
      <c r="AE586" s="1380">
        <f>'MFMR Deemed Table '!BD47</f>
        <v>33.738259699093504</v>
      </c>
      <c r="AF586" s="3365">
        <f>'MFMR Deemed Table '!BD48</f>
        <v>14.333048484514942</v>
      </c>
      <c r="AG586" s="571"/>
      <c r="AH586" s="571"/>
      <c r="AI586" s="3346" t="str">
        <f>'MFMR Deemed Table '!L47</f>
        <v>per measure</v>
      </c>
      <c r="AJ586" s="1589"/>
      <c r="AK586" s="84"/>
      <c r="AL586" s="84"/>
      <c r="AM586" s="1961">
        <f t="shared" si="400"/>
        <v>9.4741810000000004E-4</v>
      </c>
      <c r="AN586" s="84">
        <f t="shared" si="401"/>
        <v>0.40948166426745797</v>
      </c>
      <c r="AO586" s="1965">
        <f t="shared" si="402"/>
        <v>0.2459155515036931</v>
      </c>
      <c r="AP586" s="84"/>
      <c r="AQ586" s="84"/>
      <c r="AR586" s="84"/>
      <c r="AS586" s="84"/>
      <c r="AT586" s="84"/>
      <c r="AU586" s="84"/>
      <c r="AV586" s="84"/>
    </row>
    <row r="587" spans="1:48" x14ac:dyDescent="0.35">
      <c r="A587" s="103" t="str">
        <f t="shared" si="388"/>
        <v>500250</v>
      </c>
      <c r="B587" s="3346" t="str">
        <f>'MFMR Deemed Table '!C74</f>
        <v>500250_2019_12_</v>
      </c>
      <c r="C587" s="3343" t="str">
        <f>'MFMR Deemed Table '!G74</f>
        <v>Building Shell RES</v>
      </c>
      <c r="D587" s="3343"/>
      <c r="E587" s="3343"/>
      <c r="F587" s="3343"/>
      <c r="G587" s="3343" t="str">
        <f>'MFMR Deemed Table '!E74</f>
        <v>Ceiling Insulation R11-R49 MFMR electric furnace base</v>
      </c>
      <c r="H587" s="50" t="str">
        <f>'MFMR Deemed Table '!D74</f>
        <v>MFMR</v>
      </c>
      <c r="I587" s="1966">
        <f>'MFMR Deemed Table '!F74</f>
        <v>1.06</v>
      </c>
      <c r="J587" s="1966"/>
      <c r="K587" s="560"/>
      <c r="L587" s="560"/>
      <c r="M587" s="560"/>
      <c r="N587" s="560"/>
      <c r="O587" s="1967">
        <f>'MFMR Deemed Table '!K74</f>
        <v>4.9399999999999997E-4</v>
      </c>
      <c r="P587" s="1967"/>
      <c r="Q587" s="1968"/>
      <c r="R587" s="1968"/>
      <c r="S587" s="1968"/>
      <c r="T587" s="1968"/>
      <c r="U587" s="1969"/>
      <c r="V587" s="1969"/>
      <c r="W587" s="1969">
        <f t="shared" ref="W587:W596" si="403">O587</f>
        <v>4.9399999999999997E-4</v>
      </c>
      <c r="X587" s="55">
        <f>'MFMR Deemed Table '!L74</f>
        <v>25</v>
      </c>
      <c r="Y587" s="55"/>
      <c r="Z587" s="55">
        <f t="shared" si="390"/>
        <v>25</v>
      </c>
      <c r="AA587" s="49">
        <f>'MFMR Deemed Table '!BB74</f>
        <v>0.71174377987678994</v>
      </c>
      <c r="AB587" s="698">
        <f>'MFMR Deemed Table '!M74</f>
        <v>2.1249043458397581</v>
      </c>
      <c r="AC587" s="2582">
        <f t="shared" si="391"/>
        <v>1.4274539414673024</v>
      </c>
      <c r="AD587" s="2582">
        <f t="shared" si="392"/>
        <v>0</v>
      </c>
      <c r="AE587" s="1380">
        <f>'MFMR Deemed Table '!BD74</f>
        <v>1.4274539414673024</v>
      </c>
      <c r="AF587" s="571"/>
      <c r="AG587" s="571"/>
      <c r="AH587" s="571"/>
      <c r="AI587" s="3346" t="str">
        <f>'MFMR Deemed Table '!N73</f>
        <v>Units - area of ceiling/attic (ft2)</v>
      </c>
      <c r="AJ587" s="141"/>
      <c r="AM587" s="1596">
        <f t="shared" si="400"/>
        <v>4.6608050000000002E-4</v>
      </c>
      <c r="AN587">
        <f t="shared" si="401"/>
        <v>4.9404533000000001E-4</v>
      </c>
      <c r="AO587" s="1595">
        <f t="shared" si="402"/>
        <v>4.5330000000040442E-8</v>
      </c>
    </row>
    <row r="588" spans="1:48" x14ac:dyDescent="0.35">
      <c r="A588" s="103" t="str">
        <f t="shared" si="388"/>
        <v>500300</v>
      </c>
      <c r="B588" s="3346" t="str">
        <f>'MFMR Deemed Table '!C75</f>
        <v>500300_2019_12_</v>
      </c>
      <c r="C588" s="3343" t="str">
        <f>'MFMR Deemed Table '!G75</f>
        <v>Building Shell RES</v>
      </c>
      <c r="D588" s="3343"/>
      <c r="E588" s="3343"/>
      <c r="F588" s="3343"/>
      <c r="G588" s="3343" t="str">
        <f>'MFMR Deemed Table '!E75</f>
        <v>Ceiling Insulation R11-R49 MFMR gas heat and electric cool base</v>
      </c>
      <c r="H588" s="50" t="str">
        <f>'MFMR Deemed Table '!D75</f>
        <v>MFMR</v>
      </c>
      <c r="I588" s="1966">
        <f>'MFMR Deemed Table '!F75</f>
        <v>0.53</v>
      </c>
      <c r="J588" s="1966"/>
      <c r="K588" s="560"/>
      <c r="L588" s="560"/>
      <c r="M588" s="560"/>
      <c r="N588" s="560"/>
      <c r="O588" s="1967">
        <f>'MFMR Deemed Table '!K75</f>
        <v>2.4699999999999999E-4</v>
      </c>
      <c r="P588" s="1967"/>
      <c r="Q588" s="1968"/>
      <c r="R588" s="1968"/>
      <c r="S588" s="1968"/>
      <c r="T588" s="1968"/>
      <c r="U588" s="1969"/>
      <c r="V588" s="1969"/>
      <c r="W588" s="1969">
        <f t="shared" si="403"/>
        <v>2.4699999999999999E-4</v>
      </c>
      <c r="X588" s="55">
        <f>'MFMR Deemed Table '!L75</f>
        <v>25</v>
      </c>
      <c r="Y588" s="55"/>
      <c r="Z588" s="55">
        <f t="shared" si="390"/>
        <v>25</v>
      </c>
      <c r="AA588" s="49">
        <f>'MFMR Deemed Table '!BB75</f>
        <v>0.35587188993839497</v>
      </c>
      <c r="AB588" s="698">
        <f>'MFMR Deemed Table '!M75</f>
        <v>2.1249043458397581</v>
      </c>
      <c r="AC588" s="2582">
        <f t="shared" si="391"/>
        <v>0.71372697073365121</v>
      </c>
      <c r="AD588" s="2582">
        <f t="shared" si="392"/>
        <v>0</v>
      </c>
      <c r="AE588" s="1380">
        <f>'MFMR Deemed Table '!BD75</f>
        <v>0.71372697073365121</v>
      </c>
      <c r="AF588" s="571"/>
      <c r="AG588" s="571"/>
      <c r="AH588" s="571"/>
      <c r="AI588" s="1566" t="str">
        <f t="shared" ref="AI588:AI596" si="404">AI587</f>
        <v>Units - area of ceiling/attic (ft2)</v>
      </c>
      <c r="AJ588" s="141"/>
      <c r="AM588" s="1596">
        <f t="shared" si="400"/>
        <v>4.6608050000000002E-4</v>
      </c>
      <c r="AN588">
        <f t="shared" si="401"/>
        <v>2.4702266500000001E-4</v>
      </c>
      <c r="AO588" s="1595">
        <f t="shared" si="402"/>
        <v>2.2665000000020221E-8</v>
      </c>
    </row>
    <row r="589" spans="1:48" x14ac:dyDescent="0.35">
      <c r="A589" s="103" t="str">
        <f t="shared" si="388"/>
        <v>500350</v>
      </c>
      <c r="B589" s="3346" t="str">
        <f>'MFMR Deemed Table '!C76</f>
        <v>500350_2019_12_</v>
      </c>
      <c r="C589" s="3343" t="str">
        <f>'MFMR Deemed Table '!G76</f>
        <v>Building Shell RES</v>
      </c>
      <c r="D589" s="3343"/>
      <c r="E589" s="3343"/>
      <c r="F589" s="3343"/>
      <c r="G589" s="3343" t="str">
        <f>'MFMR Deemed Table '!E76</f>
        <v>Ceiling Insulation R5-R30 MFMR electric furnace base</v>
      </c>
      <c r="H589" s="50" t="str">
        <f>'MFMR Deemed Table '!D76</f>
        <v>MFMR</v>
      </c>
      <c r="I589" s="1966">
        <f>'MFMR Deemed Table '!F76</f>
        <v>1.71</v>
      </c>
      <c r="J589" s="1966"/>
      <c r="K589" s="560"/>
      <c r="L589" s="560"/>
      <c r="M589" s="560"/>
      <c r="N589" s="560"/>
      <c r="O589" s="1967">
        <f>'MFMR Deemed Table '!K76</f>
        <v>7.9699999999999997E-4</v>
      </c>
      <c r="P589" s="1967"/>
      <c r="Q589" s="1968"/>
      <c r="R589" s="1968"/>
      <c r="S589" s="1968"/>
      <c r="T589" s="1968"/>
      <c r="U589" s="1969"/>
      <c r="V589" s="1969"/>
      <c r="W589" s="1969">
        <f t="shared" si="403"/>
        <v>7.9699999999999997E-4</v>
      </c>
      <c r="X589" s="55">
        <f>'MFMR Deemed Table '!L76</f>
        <v>25</v>
      </c>
      <c r="Y589" s="55"/>
      <c r="Z589" s="55">
        <f t="shared" si="390"/>
        <v>25</v>
      </c>
      <c r="AA589" s="49">
        <f>'MFMR Deemed Table '!BB76</f>
        <v>2.0976470027142793</v>
      </c>
      <c r="AB589" s="698">
        <f>'MFMR Deemed Table '!M76</f>
        <v>1.1631103074141049</v>
      </c>
      <c r="AC589" s="2582">
        <f t="shared" si="391"/>
        <v>2.3027794716123462</v>
      </c>
      <c r="AD589" s="2582">
        <f t="shared" si="392"/>
        <v>0</v>
      </c>
      <c r="AE589" s="1380">
        <f>'MFMR Deemed Table '!BD76</f>
        <v>2.3027794716123462</v>
      </c>
      <c r="AF589" s="571"/>
      <c r="AG589" s="571"/>
      <c r="AH589" s="571"/>
      <c r="AI589" s="1566" t="str">
        <f t="shared" si="404"/>
        <v>Units - area of ceiling/attic (ft2)</v>
      </c>
      <c r="AJ589" s="141"/>
      <c r="AM589" s="1596">
        <f t="shared" si="400"/>
        <v>4.6608050000000002E-4</v>
      </c>
      <c r="AN589">
        <f t="shared" si="401"/>
        <v>7.9699765500000001E-4</v>
      </c>
      <c r="AO589" s="1595">
        <f t="shared" si="402"/>
        <v>-2.3449999999539811E-9</v>
      </c>
    </row>
    <row r="590" spans="1:48" x14ac:dyDescent="0.35">
      <c r="A590" s="103" t="str">
        <f t="shared" si="388"/>
        <v>500400</v>
      </c>
      <c r="B590" s="3346" t="str">
        <f>'MFMR Deemed Table '!C77</f>
        <v>500400_2019_12_</v>
      </c>
      <c r="C590" s="3343" t="str">
        <f>'MFMR Deemed Table '!G77</f>
        <v>Building Shell RES</v>
      </c>
      <c r="D590" s="3343"/>
      <c r="E590" s="3343"/>
      <c r="F590" s="3343"/>
      <c r="G590" s="3343" t="str">
        <f>'MFMR Deemed Table '!E77</f>
        <v>Ceiling Insulation R5-R30 MFMR gas heat and electric cool base</v>
      </c>
      <c r="H590" s="50" t="str">
        <f>'MFMR Deemed Table '!D77</f>
        <v>MFMR</v>
      </c>
      <c r="I590" s="1966">
        <f>'MFMR Deemed Table '!F77</f>
        <v>0.86</v>
      </c>
      <c r="J590" s="1966"/>
      <c r="K590" s="560"/>
      <c r="L590" s="560"/>
      <c r="M590" s="560"/>
      <c r="N590" s="560"/>
      <c r="O590" s="1967">
        <f>'MFMR Deemed Table '!K77</f>
        <v>4.0099999999999999E-4</v>
      </c>
      <c r="P590" s="1967"/>
      <c r="Q590" s="1968"/>
      <c r="R590" s="1968"/>
      <c r="S590" s="1968"/>
      <c r="T590" s="1968"/>
      <c r="U590" s="1969"/>
      <c r="V590" s="1969"/>
      <c r="W590" s="1969">
        <f t="shared" si="403"/>
        <v>4.0099999999999999E-4</v>
      </c>
      <c r="X590" s="55">
        <f>'MFMR Deemed Table '!L77</f>
        <v>25</v>
      </c>
      <c r="Y590" s="55"/>
      <c r="Z590" s="55">
        <f t="shared" si="390"/>
        <v>25</v>
      </c>
      <c r="AA590" s="49">
        <f>'MFMR Deemed Table '!BB77</f>
        <v>1.0549569721253103</v>
      </c>
      <c r="AB590" s="698">
        <f>'MFMR Deemed Table '!M77</f>
        <v>1.1631103074141049</v>
      </c>
      <c r="AC590" s="2582">
        <f t="shared" si="391"/>
        <v>1.1581230091149812</v>
      </c>
      <c r="AD590" s="2582">
        <f t="shared" si="392"/>
        <v>0</v>
      </c>
      <c r="AE590" s="1380">
        <f>'MFMR Deemed Table '!BD77</f>
        <v>1.1581230091149812</v>
      </c>
      <c r="AF590" s="571"/>
      <c r="AG590" s="571"/>
      <c r="AH590" s="571"/>
      <c r="AI590" s="1566" t="str">
        <f t="shared" si="404"/>
        <v>Units - area of ceiling/attic (ft2)</v>
      </c>
      <c r="AJ590" s="141"/>
      <c r="AM590" s="1596">
        <f t="shared" si="400"/>
        <v>4.6608050000000002E-4</v>
      </c>
      <c r="AN590">
        <f t="shared" si="401"/>
        <v>4.0082923000000001E-4</v>
      </c>
      <c r="AO590" s="1595">
        <f t="shared" si="402"/>
        <v>-1.7076999999997939E-7</v>
      </c>
    </row>
    <row r="591" spans="1:48" x14ac:dyDescent="0.35">
      <c r="A591" s="103" t="str">
        <f t="shared" si="388"/>
        <v>500450</v>
      </c>
      <c r="B591" s="3346" t="str">
        <f>'MFMR Deemed Table '!C78</f>
        <v>500450_2019_12_</v>
      </c>
      <c r="C591" s="3343" t="str">
        <f>'MFMR Deemed Table '!G78</f>
        <v>Building Shell RES</v>
      </c>
      <c r="D591" s="3343"/>
      <c r="E591" s="3343"/>
      <c r="F591" s="3343"/>
      <c r="G591" s="3343" t="str">
        <f>'MFMR Deemed Table '!E78</f>
        <v>Ceiling Insulation R5-R38 MFMR electric furnace base</v>
      </c>
      <c r="H591" s="50" t="str">
        <f>'MFMR Deemed Table '!D78</f>
        <v>MFMR</v>
      </c>
      <c r="I591" s="1966">
        <f>'MFMR Deemed Table '!F78</f>
        <v>1.84</v>
      </c>
      <c r="J591" s="1966"/>
      <c r="K591" s="560"/>
      <c r="L591" s="560"/>
      <c r="M591" s="560"/>
      <c r="N591" s="560"/>
      <c r="O591" s="1967">
        <f>'MFMR Deemed Table '!K78</f>
        <v>8.5800000000000004E-4</v>
      </c>
      <c r="P591" s="1967"/>
      <c r="Q591" s="1968"/>
      <c r="R591" s="1968"/>
      <c r="S591" s="1968"/>
      <c r="T591" s="1968"/>
      <c r="U591" s="1969"/>
      <c r="V591" s="1969"/>
      <c r="W591" s="1969">
        <f t="shared" si="403"/>
        <v>8.5800000000000004E-4</v>
      </c>
      <c r="X591" s="55">
        <f>'MFMR Deemed Table '!L78</f>
        <v>25</v>
      </c>
      <c r="Y591" s="55"/>
      <c r="Z591" s="55">
        <f t="shared" si="390"/>
        <v>25</v>
      </c>
      <c r="AA591" s="49">
        <f>'MFMR Deemed Table '!BB78</f>
        <v>1.5616972723582285</v>
      </c>
      <c r="AB591" s="698">
        <f>'MFMR Deemed Table '!M78</f>
        <v>1.6810404785088331</v>
      </c>
      <c r="AC591" s="2582">
        <f t="shared" si="391"/>
        <v>2.4778445776413549</v>
      </c>
      <c r="AD591" s="2582">
        <f t="shared" si="392"/>
        <v>0</v>
      </c>
      <c r="AE591" s="1380">
        <f>'MFMR Deemed Table '!BD78</f>
        <v>2.4778445776413549</v>
      </c>
      <c r="AF591" s="571"/>
      <c r="AG591" s="571"/>
      <c r="AH591" s="571"/>
      <c r="AI591" s="1566" t="str">
        <f t="shared" si="404"/>
        <v>Units - area of ceiling/attic (ft2)</v>
      </c>
      <c r="AJ591" s="141"/>
      <c r="AM591" s="1596">
        <f t="shared" si="400"/>
        <v>4.6608050000000002E-4</v>
      </c>
      <c r="AN591">
        <f t="shared" si="401"/>
        <v>8.5758812000000012E-4</v>
      </c>
      <c r="AO591" s="1595">
        <f t="shared" si="402"/>
        <v>-4.1187999999991922E-7</v>
      </c>
    </row>
    <row r="592" spans="1:48" x14ac:dyDescent="0.35">
      <c r="A592" s="103" t="str">
        <f t="shared" si="388"/>
        <v>500500</v>
      </c>
      <c r="B592" s="3346" t="str">
        <f>'MFMR Deemed Table '!C79</f>
        <v>500500_2019_12_</v>
      </c>
      <c r="C592" s="3343" t="str">
        <f>'MFMR Deemed Table '!G79</f>
        <v>Building Shell RES</v>
      </c>
      <c r="D592" s="3343"/>
      <c r="E592" s="3343"/>
      <c r="F592" s="3343"/>
      <c r="G592" s="3343" t="str">
        <f>'MFMR Deemed Table '!E79</f>
        <v>Ceiling Insulation R5-R38 MFMR gas heat and electric cool base</v>
      </c>
      <c r="H592" s="50" t="str">
        <f>'MFMR Deemed Table '!D79</f>
        <v>MFMR</v>
      </c>
      <c r="I592" s="1966">
        <f>'MFMR Deemed Table '!F79</f>
        <v>0.93</v>
      </c>
      <c r="J592" s="1966"/>
      <c r="K592" s="560"/>
      <c r="L592" s="560"/>
      <c r="M592" s="560"/>
      <c r="N592" s="560"/>
      <c r="O592" s="1967">
        <f>'MFMR Deemed Table '!K79</f>
        <v>4.3300000000000001E-4</v>
      </c>
      <c r="P592" s="1967"/>
      <c r="Q592" s="1968"/>
      <c r="R592" s="1968"/>
      <c r="S592" s="1968"/>
      <c r="T592" s="1968"/>
      <c r="U592" s="1969"/>
      <c r="V592" s="1969"/>
      <c r="W592" s="1969">
        <f t="shared" si="403"/>
        <v>4.3300000000000001E-4</v>
      </c>
      <c r="X592" s="55">
        <f>'MFMR Deemed Table '!L79</f>
        <v>25</v>
      </c>
      <c r="Y592" s="55"/>
      <c r="Z592" s="55">
        <f t="shared" si="390"/>
        <v>25</v>
      </c>
      <c r="AA592" s="49">
        <f>'MFMR Deemed Table '!BB79</f>
        <v>0.78933612135497433</v>
      </c>
      <c r="AB592" s="698">
        <f>'MFMR Deemed Table '!M79</f>
        <v>1.6810404785088331</v>
      </c>
      <c r="AC592" s="2582">
        <f t="shared" si="391"/>
        <v>1.2523888354382937</v>
      </c>
      <c r="AD592" s="2582">
        <f t="shared" si="392"/>
        <v>0</v>
      </c>
      <c r="AE592" s="1380">
        <f>'MFMR Deemed Table '!BD79</f>
        <v>1.2523888354382937</v>
      </c>
      <c r="AF592" s="571"/>
      <c r="AG592" s="571"/>
      <c r="AH592" s="571"/>
      <c r="AI592" s="1566" t="str">
        <f t="shared" si="404"/>
        <v>Units - area of ceiling/attic (ft2)</v>
      </c>
      <c r="AJ592" s="141"/>
      <c r="AM592" s="1596">
        <f t="shared" si="400"/>
        <v>4.6608050000000002E-4</v>
      </c>
      <c r="AN592">
        <f t="shared" si="401"/>
        <v>4.3345486500000001E-4</v>
      </c>
      <c r="AO592" s="1595">
        <f t="shared" si="402"/>
        <v>4.5486500000000568E-7</v>
      </c>
    </row>
    <row r="593" spans="1:48" x14ac:dyDescent="0.35">
      <c r="A593" s="103" t="str">
        <f t="shared" si="388"/>
        <v>500550</v>
      </c>
      <c r="B593" s="3346" t="str">
        <f>'MFMR Deemed Table '!C80</f>
        <v>500550_2019_12_</v>
      </c>
      <c r="C593" s="3343" t="str">
        <f>'MFMR Deemed Table '!G80</f>
        <v>Building Shell RES</v>
      </c>
      <c r="D593" s="3343"/>
      <c r="E593" s="3343"/>
      <c r="F593" s="3343"/>
      <c r="G593" s="3343" t="str">
        <f>'MFMR Deemed Table '!E80</f>
        <v>Ceiling Insulation R5-R49 MFMR electric furnace base</v>
      </c>
      <c r="H593" s="50" t="str">
        <f>'MFMR Deemed Table '!D80</f>
        <v>MFMR</v>
      </c>
      <c r="I593" s="1966">
        <f>'MFMR Deemed Table '!F80</f>
        <v>1.96</v>
      </c>
      <c r="J593" s="1966"/>
      <c r="K593" s="560"/>
      <c r="L593" s="560"/>
      <c r="M593" s="560"/>
      <c r="N593" s="560"/>
      <c r="O593" s="1967">
        <f>'MFMR Deemed Table '!K80</f>
        <v>9.1399999999999999E-4</v>
      </c>
      <c r="P593" s="1967"/>
      <c r="Q593" s="1968"/>
      <c r="R593" s="1968"/>
      <c r="S593" s="1968"/>
      <c r="T593" s="1968"/>
      <c r="U593" s="1969"/>
      <c r="V593" s="1969"/>
      <c r="W593" s="1969">
        <f t="shared" si="403"/>
        <v>9.1399999999999999E-4</v>
      </c>
      <c r="X593" s="55">
        <f>'MFMR Deemed Table '!L80</f>
        <v>25</v>
      </c>
      <c r="Y593" s="55"/>
      <c r="Z593" s="55">
        <f t="shared" si="390"/>
        <v>25</v>
      </c>
      <c r="AA593" s="49">
        <f>'MFMR Deemed Table '!BB80</f>
        <v>1.0886545929263545</v>
      </c>
      <c r="AB593" s="698">
        <f>'MFMR Deemed Table '!M80</f>
        <v>2.568757824454027</v>
      </c>
      <c r="AC593" s="2582">
        <f t="shared" si="391"/>
        <v>2.6394431370527478</v>
      </c>
      <c r="AD593" s="2582">
        <f t="shared" si="392"/>
        <v>0</v>
      </c>
      <c r="AE593" s="1380">
        <f>'MFMR Deemed Table '!BD80</f>
        <v>2.6394431370527478</v>
      </c>
      <c r="AF593" s="571"/>
      <c r="AG593" s="571"/>
      <c r="AH593" s="571"/>
      <c r="AI593" s="1566" t="str">
        <f t="shared" si="404"/>
        <v>Units - area of ceiling/attic (ft2)</v>
      </c>
      <c r="AJ593" s="141"/>
      <c r="AM593" s="1596">
        <f t="shared" si="400"/>
        <v>4.6608050000000002E-4</v>
      </c>
      <c r="AN593">
        <f t="shared" si="401"/>
        <v>9.1351778E-4</v>
      </c>
      <c r="AO593" s="1595">
        <f t="shared" si="402"/>
        <v>-4.8221999999998807E-7</v>
      </c>
    </row>
    <row r="594" spans="1:48" x14ac:dyDescent="0.35">
      <c r="A594" s="103" t="str">
        <f t="shared" si="388"/>
        <v>500600</v>
      </c>
      <c r="B594" s="3346" t="str">
        <f>'MFMR Deemed Table '!C81</f>
        <v>500600_2019_12_</v>
      </c>
      <c r="C594" s="3343" t="str">
        <f>'MFMR Deemed Table '!G81</f>
        <v>Building Shell RES</v>
      </c>
      <c r="D594" s="3343"/>
      <c r="E594" s="3343"/>
      <c r="F594" s="3343"/>
      <c r="G594" s="3343" t="str">
        <f>'MFMR Deemed Table '!E81</f>
        <v>Ceiling Insulation R5-R49 MFMR gas heat and electric cool base</v>
      </c>
      <c r="H594" s="50" t="str">
        <f>'MFMR Deemed Table '!D81</f>
        <v>MFMR</v>
      </c>
      <c r="I594" s="1966">
        <f>'MFMR Deemed Table '!F81</f>
        <v>0.99</v>
      </c>
      <c r="J594" s="1966"/>
      <c r="K594" s="560"/>
      <c r="L594" s="560"/>
      <c r="M594" s="560"/>
      <c r="N594" s="560"/>
      <c r="O594" s="1967">
        <f>'MFMR Deemed Table '!K81</f>
        <v>4.6099999999999998E-4</v>
      </c>
      <c r="P594" s="1967"/>
      <c r="Q594" s="1968"/>
      <c r="R594" s="1968"/>
      <c r="S594" s="1968"/>
      <c r="T594" s="1968"/>
      <c r="U594" s="1969"/>
      <c r="V594" s="1969"/>
      <c r="W594" s="1969">
        <f t="shared" si="403"/>
        <v>4.6099999999999998E-4</v>
      </c>
      <c r="X594" s="55">
        <f>'MFMR Deemed Table '!L81</f>
        <v>25</v>
      </c>
      <c r="Y594" s="55"/>
      <c r="Z594" s="55">
        <f t="shared" si="390"/>
        <v>25</v>
      </c>
      <c r="AA594" s="49">
        <f>'MFMR Deemed Table '!BB81</f>
        <v>0.54988165663116884</v>
      </c>
      <c r="AB594" s="698">
        <f>'MFMR Deemed Table '!M81</f>
        <v>2.568757824454027</v>
      </c>
      <c r="AC594" s="2582">
        <f t="shared" si="391"/>
        <v>1.3331881151439899</v>
      </c>
      <c r="AD594" s="2582">
        <f t="shared" si="392"/>
        <v>0</v>
      </c>
      <c r="AE594" s="1380">
        <f>'MFMR Deemed Table '!BD81</f>
        <v>1.3331881151439899</v>
      </c>
      <c r="AF594" s="571"/>
      <c r="AG594" s="571"/>
      <c r="AH594" s="571"/>
      <c r="AI594" s="1566" t="str">
        <f t="shared" si="404"/>
        <v>Units - area of ceiling/attic (ft2)</v>
      </c>
      <c r="AJ594" s="141"/>
      <c r="AM594" s="1596">
        <f t="shared" si="400"/>
        <v>4.6608050000000002E-4</v>
      </c>
      <c r="AN594">
        <f t="shared" si="401"/>
        <v>4.6141969500000001E-4</v>
      </c>
      <c r="AO594" s="1595">
        <f t="shared" si="402"/>
        <v>4.1969500000002546E-7</v>
      </c>
    </row>
    <row r="595" spans="1:48" x14ac:dyDescent="0.35">
      <c r="A595" s="103" t="str">
        <f t="shared" si="388"/>
        <v>500650</v>
      </c>
      <c r="B595" s="3346" t="str">
        <f>'MFMR Deemed Table '!C82</f>
        <v>500650_2019_12_</v>
      </c>
      <c r="C595" s="3343" t="str">
        <f>'MFMR Deemed Table '!G82</f>
        <v>Building Shell RES</v>
      </c>
      <c r="D595" s="3343"/>
      <c r="E595" s="3343"/>
      <c r="F595" s="3343"/>
      <c r="G595" s="3343" t="str">
        <f>'MFMR Deemed Table '!E82</f>
        <v>Ceiling Insulation R5-R60 MFMR electric furnace base</v>
      </c>
      <c r="H595" s="50" t="str">
        <f>'MFMR Deemed Table '!D82</f>
        <v>MFMR</v>
      </c>
      <c r="I595" s="1966">
        <f>'MFMR Deemed Table '!F82</f>
        <v>2.0299999999999998</v>
      </c>
      <c r="J595" s="1966"/>
      <c r="K595" s="560"/>
      <c r="L595" s="560"/>
      <c r="M595" s="560"/>
      <c r="N595" s="560"/>
      <c r="O595" s="1967">
        <f>'MFMR Deemed Table '!K82</f>
        <v>9.4600000000000001E-4</v>
      </c>
      <c r="P595" s="1967"/>
      <c r="Q595" s="1968"/>
      <c r="R595" s="1968"/>
      <c r="S595" s="1968"/>
      <c r="T595" s="1968"/>
      <c r="U595" s="1969"/>
      <c r="V595" s="1969"/>
      <c r="W595" s="1969">
        <f t="shared" si="403"/>
        <v>9.4600000000000001E-4</v>
      </c>
      <c r="X595" s="55">
        <f>'MFMR Deemed Table '!L82</f>
        <v>25</v>
      </c>
      <c r="Y595" s="55"/>
      <c r="Z595" s="55">
        <f t="shared" si="390"/>
        <v>25</v>
      </c>
      <c r="AA595" s="49">
        <f>'MFMR Deemed Table '!BB82</f>
        <v>0.84582653033046962</v>
      </c>
      <c r="AB595" s="698">
        <f>'MFMR Deemed Table '!M82</f>
        <v>3.424301015440256</v>
      </c>
      <c r="AC595" s="2582">
        <f t="shared" si="391"/>
        <v>2.7337089633760598</v>
      </c>
      <c r="AD595" s="2582">
        <f t="shared" si="392"/>
        <v>0</v>
      </c>
      <c r="AE595" s="1380">
        <f>'MFMR Deemed Table '!BD82</f>
        <v>2.7337089633760598</v>
      </c>
      <c r="AF595" s="571"/>
      <c r="AG595" s="571"/>
      <c r="AH595" s="571"/>
      <c r="AI595" s="1566" t="str">
        <f t="shared" si="404"/>
        <v>Units - area of ceiling/attic (ft2)</v>
      </c>
      <c r="AJ595" s="141"/>
      <c r="AM595" s="1596">
        <f t="shared" si="400"/>
        <v>4.6608050000000002E-4</v>
      </c>
      <c r="AN595">
        <f t="shared" si="401"/>
        <v>9.4614341499999995E-4</v>
      </c>
      <c r="AO595" s="1595">
        <f t="shared" si="402"/>
        <v>1.4341499999994279E-7</v>
      </c>
    </row>
    <row r="596" spans="1:48" x14ac:dyDescent="0.35">
      <c r="A596" s="103" t="str">
        <f t="shared" si="388"/>
        <v>500700</v>
      </c>
      <c r="B596" s="3346" t="str">
        <f>'MFMR Deemed Table '!C83</f>
        <v>500700_2019_12_</v>
      </c>
      <c r="C596" s="3343" t="str">
        <f>'MFMR Deemed Table '!G83</f>
        <v>Building Shell RES</v>
      </c>
      <c r="D596" s="3343"/>
      <c r="E596" s="3343"/>
      <c r="F596" s="3343"/>
      <c r="G596" s="3343" t="str">
        <f>'MFMR Deemed Table '!E83</f>
        <v>Ceiling Insulation R5-R60 MFMR gas heat and electric cool base</v>
      </c>
      <c r="H596" s="50" t="str">
        <f>'MFMR Deemed Table '!D83</f>
        <v>MFMR</v>
      </c>
      <c r="I596" s="1966">
        <f>'MFMR Deemed Table '!F83</f>
        <v>1.02</v>
      </c>
      <c r="J596" s="1966"/>
      <c r="K596" s="560"/>
      <c r="L596" s="560"/>
      <c r="M596" s="560"/>
      <c r="N596" s="560"/>
      <c r="O596" s="1967">
        <f>'MFMR Deemed Table '!K83</f>
        <v>4.75E-4</v>
      </c>
      <c r="P596" s="1967"/>
      <c r="Q596" s="1968"/>
      <c r="R596" s="1968"/>
      <c r="S596" s="1968"/>
      <c r="T596" s="1968"/>
      <c r="U596" s="1969"/>
      <c r="V596" s="1969"/>
      <c r="W596" s="1969">
        <f t="shared" si="403"/>
        <v>4.75E-4</v>
      </c>
      <c r="X596" s="55">
        <f>'MFMR Deemed Table '!L83</f>
        <v>25</v>
      </c>
      <c r="Y596" s="55"/>
      <c r="Z596" s="55">
        <f t="shared" si="390"/>
        <v>25</v>
      </c>
      <c r="AA596" s="49">
        <f>'MFMR Deemed Table '!BB83</f>
        <v>0.42499658174240351</v>
      </c>
      <c r="AB596" s="698">
        <f>'MFMR Deemed Table '!M83</f>
        <v>3.424301015440256</v>
      </c>
      <c r="AC596" s="2582">
        <f t="shared" si="391"/>
        <v>1.3735877549968381</v>
      </c>
      <c r="AD596" s="2582">
        <f t="shared" si="392"/>
        <v>0</v>
      </c>
      <c r="AE596" s="1380">
        <f>'MFMR Deemed Table '!BD83</f>
        <v>1.3735877549968381</v>
      </c>
      <c r="AF596" s="571"/>
      <c r="AG596" s="571"/>
      <c r="AH596" s="571"/>
      <c r="AI596" s="1566" t="str">
        <f t="shared" si="404"/>
        <v>Units - area of ceiling/attic (ft2)</v>
      </c>
      <c r="AJ596" s="141"/>
      <c r="AM596" s="1596">
        <f t="shared" si="400"/>
        <v>4.6608050000000002E-4</v>
      </c>
      <c r="AN596">
        <f t="shared" si="401"/>
        <v>4.7540211000000003E-4</v>
      </c>
      <c r="AO596" s="1595">
        <f t="shared" si="402"/>
        <v>4.0211000000003536E-7</v>
      </c>
    </row>
    <row r="597" spans="1:48" x14ac:dyDescent="0.35">
      <c r="A597" s="103" t="str">
        <f t="shared" si="388"/>
        <v>500750</v>
      </c>
      <c r="B597" s="3346" t="str">
        <f>'MFMR Deemed Table '!C196</f>
        <v>500750_2019_12_</v>
      </c>
      <c r="C597" s="3343" t="str">
        <f>'MFMR Deemed Table '!G196</f>
        <v>HVAC RES</v>
      </c>
      <c r="D597" s="3343"/>
      <c r="E597" s="3343"/>
      <c r="F597" s="3343"/>
      <c r="G597" s="3343" t="str">
        <f>'MFMR Deemed Table '!E196</f>
        <v>Dirty Filter Alarm_MFMR</v>
      </c>
      <c r="H597" s="50" t="str">
        <f>'MFMR Deemed Table '!D196</f>
        <v>MFMR</v>
      </c>
      <c r="I597" s="1966">
        <f>'MFMR Deemed Table '!F196</f>
        <v>79.2</v>
      </c>
      <c r="J597" s="1966"/>
      <c r="K597" s="560"/>
      <c r="L597" s="560"/>
      <c r="M597" s="560"/>
      <c r="N597" s="560"/>
      <c r="O597" s="1967">
        <f>'MFMR Deemed Table '!K196</f>
        <v>3.6914000000000002E-2</v>
      </c>
      <c r="P597" s="1967"/>
      <c r="Q597" s="1968"/>
      <c r="R597" s="1968"/>
      <c r="S597" s="1968"/>
      <c r="T597" s="1968"/>
      <c r="U597" s="1969"/>
      <c r="V597" s="1969">
        <f>O597</f>
        <v>3.6914000000000002E-2</v>
      </c>
      <c r="W597" s="1969"/>
      <c r="X597" s="55">
        <f>'MFMR Deemed Table '!L196</f>
        <v>14</v>
      </c>
      <c r="Y597" s="55"/>
      <c r="Z597" s="55">
        <f t="shared" si="390"/>
        <v>14</v>
      </c>
      <c r="AA597" s="49">
        <f>'MFMR Deemed Table '!BB196</f>
        <v>14.848765557674476</v>
      </c>
      <c r="AB597" s="698">
        <f>'MFMR Deemed Table '!M196</f>
        <v>5</v>
      </c>
      <c r="AC597" s="2582">
        <f t="shared" si="391"/>
        <v>70.074400932866794</v>
      </c>
      <c r="AD597" s="2582">
        <f t="shared" si="392"/>
        <v>0</v>
      </c>
      <c r="AE597" s="1380">
        <f>'MFMR Deemed Table '!BD196</f>
        <v>70.074400932866794</v>
      </c>
      <c r="AF597" s="571"/>
      <c r="AG597" s="571"/>
      <c r="AH597" s="571"/>
      <c r="AI597" s="2593" t="str">
        <f>'MFMR Deemed Table '!N196</f>
        <v>per measure</v>
      </c>
      <c r="AJ597" s="141"/>
      <c r="AM597" s="1596">
        <f t="shared" si="400"/>
        <v>4.6608050000000002E-4</v>
      </c>
      <c r="AN597">
        <f t="shared" si="401"/>
        <v>3.6913575600000005E-2</v>
      </c>
      <c r="AO597" s="1595">
        <f t="shared" si="402"/>
        <v>-4.243999999972714E-7</v>
      </c>
    </row>
    <row r="598" spans="1:48" x14ac:dyDescent="0.35">
      <c r="A598" s="103" t="str">
        <f t="shared" si="388"/>
        <v>500751</v>
      </c>
      <c r="B598" s="3346" t="str">
        <f>'MFMR Deemed Table '!C197</f>
        <v>500751_2019_12_</v>
      </c>
      <c r="C598" s="3343" t="str">
        <f>'MFMR Deemed Table '!G197</f>
        <v>HVAC RES</v>
      </c>
      <c r="D598" s="3343"/>
      <c r="E598" s="3343"/>
      <c r="F598" s="3343"/>
      <c r="G598" s="3343" t="str">
        <f>'MFMR Deemed Table '!E197</f>
        <v>Dirty Filter Alarm_MFMR_CompE</v>
      </c>
      <c r="H598" s="50" t="str">
        <f>'MFMR Deemed Table '!D197</f>
        <v>MFMRc</v>
      </c>
      <c r="I598" s="1966">
        <f>'MFMR Deemed Table '!F197</f>
        <v>38.24</v>
      </c>
      <c r="J598" s="1966"/>
      <c r="K598" s="560"/>
      <c r="L598" s="560"/>
      <c r="M598" s="560"/>
      <c r="N598" s="560"/>
      <c r="O598" s="1967">
        <f>'MFMR Deemed Table '!K197</f>
        <v>1.7822999999999999E-2</v>
      </c>
      <c r="P598" s="1967"/>
      <c r="Q598" s="1968"/>
      <c r="R598" s="1968"/>
      <c r="S598" s="1968"/>
      <c r="T598" s="1968"/>
      <c r="U598" s="1969"/>
      <c r="V598" s="1969">
        <f>O598</f>
        <v>1.7822999999999999E-2</v>
      </c>
      <c r="W598" s="1969"/>
      <c r="X598" s="55">
        <f>'MFMR Deemed Table '!L197</f>
        <v>14</v>
      </c>
      <c r="Y598" s="55"/>
      <c r="Z598" s="55">
        <f t="shared" si="390"/>
        <v>14</v>
      </c>
      <c r="AA598" s="49">
        <f>'MFMR Deemed Table '!BB197</f>
        <v>7.1694039763317168</v>
      </c>
      <c r="AB598" s="698">
        <f>'MFMR Deemed Table '!M197</f>
        <v>5</v>
      </c>
      <c r="AC598" s="2582">
        <f t="shared" si="391"/>
        <v>33.833902672636697</v>
      </c>
      <c r="AD598" s="2582">
        <f t="shared" si="392"/>
        <v>0</v>
      </c>
      <c r="AE598" s="1380">
        <f>'MFMR Deemed Table '!BD197</f>
        <v>33.833902672636697</v>
      </c>
      <c r="AF598" s="571"/>
      <c r="AG598" s="571"/>
      <c r="AH598" s="571"/>
      <c r="AI598" s="2593" t="str">
        <f>'MFMR Deemed Table '!N197</f>
        <v>per measure</v>
      </c>
      <c r="AJ598" s="141"/>
      <c r="AM598" s="1596">
        <f t="shared" si="400"/>
        <v>4.6608050000000002E-4</v>
      </c>
      <c r="AN598">
        <f t="shared" si="401"/>
        <v>1.7822918320000002E-2</v>
      </c>
      <c r="AO598" s="1595">
        <f t="shared" si="402"/>
        <v>-8.1679999996281394E-8</v>
      </c>
    </row>
    <row r="599" spans="1:48" x14ac:dyDescent="0.35">
      <c r="A599" s="103" t="str">
        <f t="shared" si="388"/>
        <v>500800</v>
      </c>
      <c r="B599" s="3346" t="str">
        <f>'MFMR Deemed Table '!C227</f>
        <v>500800_2021_12_</v>
      </c>
      <c r="C599" s="3343" t="str">
        <f>'MFMR Deemed Table '!G227</f>
        <v>HVAC RES</v>
      </c>
      <c r="D599" s="3343" t="str">
        <f>'MFMR Deemed Table '!G228</f>
        <v>HVAC RES ER2</v>
      </c>
      <c r="E599" s="3343"/>
      <c r="F599" s="3343"/>
      <c r="G599" s="3343" t="str">
        <f>'MFMR Deemed Table '!E227</f>
        <v>ECM Auto Fan Early Replacement ER1 (Full Cost) - MFMR</v>
      </c>
      <c r="H599" s="50" t="str">
        <f>'MFMR Deemed Table '!D227</f>
        <v>MFMR</v>
      </c>
      <c r="I599" s="1966">
        <f>'MFMR Deemed Table '!F227</f>
        <v>582</v>
      </c>
      <c r="J599" s="1966">
        <f>'MFMR Deemed Table '!F228</f>
        <v>0</v>
      </c>
      <c r="K599" s="560"/>
      <c r="L599" s="560"/>
      <c r="M599" s="560"/>
      <c r="N599" s="560"/>
      <c r="O599" s="1967">
        <f>'MFMR Deemed Table '!M227</f>
        <v>0.27125899999999997</v>
      </c>
      <c r="P599" s="1967">
        <f>'MFMR Deemed Table '!M228</f>
        <v>0</v>
      </c>
      <c r="Q599" s="1968"/>
      <c r="R599" s="1968"/>
      <c r="S599" s="1968"/>
      <c r="T599" s="1968"/>
      <c r="U599" s="1969"/>
      <c r="V599" s="1969"/>
      <c r="W599" s="1969">
        <f>P599</f>
        <v>0</v>
      </c>
      <c r="X599" s="55">
        <f>'MFMR Deemed Table '!N227</f>
        <v>6</v>
      </c>
      <c r="Y599" s="55">
        <f>'MFMR Deemed Table '!N228</f>
        <v>0</v>
      </c>
      <c r="Z599" s="55">
        <f t="shared" si="390"/>
        <v>6</v>
      </c>
      <c r="AA599" s="2596">
        <f>'MFMR Deemed Table '!BB227</f>
        <v>3.2587072352080275</v>
      </c>
      <c r="AB599" s="698">
        <f>'MFMR Deemed Table '!O227</f>
        <v>74.327224020150311</v>
      </c>
      <c r="AC599" s="2582">
        <f t="shared" si="391"/>
        <v>228.60845935572598</v>
      </c>
      <c r="AD599" s="2582">
        <f t="shared" si="392"/>
        <v>0</v>
      </c>
      <c r="AE599" s="2597">
        <f>'MFMR Deemed Table '!BD227</f>
        <v>228.60845935572598</v>
      </c>
      <c r="AF599" s="571"/>
      <c r="AG599" s="2588">
        <f>'MFMR Deemed Table '!BD228</f>
        <v>0</v>
      </c>
      <c r="AH599" s="571"/>
      <c r="AI599" s="3436" t="str">
        <f>'MFMR Deemed Table '!P227</f>
        <v>per measure</v>
      </c>
      <c r="AJ599" s="141"/>
      <c r="AM599" s="1596">
        <f t="shared" si="400"/>
        <v>4.6608050000000002E-4</v>
      </c>
      <c r="AN599">
        <f t="shared" si="401"/>
        <v>0.27125885100000002</v>
      </c>
      <c r="AO599" s="1595">
        <f t="shared" si="402"/>
        <v>-1.4899999994932855E-7</v>
      </c>
    </row>
    <row r="600" spans="1:48" x14ac:dyDescent="0.35">
      <c r="A600" s="103" t="str">
        <f t="shared" si="388"/>
        <v>500850</v>
      </c>
      <c r="B600" s="3346" t="str">
        <f>'MFMR Deemed Table '!C275</f>
        <v>500850_2019_12_</v>
      </c>
      <c r="C600" s="3343" t="str">
        <f>'MFMR Deemed Table '!G275</f>
        <v>Lighting RES</v>
      </c>
      <c r="D600" s="3343"/>
      <c r="E600" s="3343"/>
      <c r="F600" s="3343"/>
      <c r="G600" s="3343" t="str">
        <f>'MFMR Deemed Table '!E275</f>
        <v>LED - 10W (CFL baseline) (750-1049 lumens)</v>
      </c>
      <c r="H600" s="50" t="str">
        <f>'MFMR Deemed Table '!D275</f>
        <v>MFMR</v>
      </c>
      <c r="I600" s="1966">
        <f>'MFMR Deemed Table '!F275</f>
        <v>4.18</v>
      </c>
      <c r="J600" s="1966"/>
      <c r="K600" s="560"/>
      <c r="L600" s="560"/>
      <c r="M600" s="560"/>
      <c r="N600" s="560"/>
      <c r="O600" s="1967">
        <f>'MFMR Deemed Table '!M275</f>
        <v>6.2399999999999999E-4</v>
      </c>
      <c r="P600" s="1967"/>
      <c r="Q600" s="1968"/>
      <c r="R600" s="1968"/>
      <c r="S600" s="1968"/>
      <c r="T600" s="1968"/>
      <c r="U600" s="1969"/>
      <c r="V600" s="1969"/>
      <c r="W600" s="1969">
        <f t="shared" ref="W600:W616" si="405">O600</f>
        <v>6.2399999999999999E-4</v>
      </c>
      <c r="X600" s="55">
        <f>'MFMR Deemed Table '!N275</f>
        <v>19</v>
      </c>
      <c r="Y600" s="55"/>
      <c r="Z600" s="55">
        <f t="shared" si="390"/>
        <v>19</v>
      </c>
      <c r="AA600" s="49">
        <f>'MFMR Deemed Table '!BB275</f>
        <v>1.2385090096276725</v>
      </c>
      <c r="AB600" s="698">
        <f>'MFMR Deemed Table '!P275</f>
        <v>2.0299999999999998</v>
      </c>
      <c r="AC600" s="2582">
        <f t="shared" si="391"/>
        <v>2.3729809245343794</v>
      </c>
      <c r="AD600" s="2582">
        <f t="shared" si="392"/>
        <v>0</v>
      </c>
      <c r="AE600" s="1380">
        <f>'MFMR Deemed Table '!BD275</f>
        <v>2.3729809245343794</v>
      </c>
      <c r="AF600" s="571"/>
      <c r="AG600" s="571"/>
      <c r="AH600" s="571"/>
      <c r="AI600" s="2598" t="str">
        <f>'MFMR Deemed Table '!Q275</f>
        <v>per measure</v>
      </c>
      <c r="AJ600" s="141"/>
      <c r="AM600" s="1596">
        <f t="shared" si="400"/>
        <v>1.4925290000000001E-4</v>
      </c>
      <c r="AN600">
        <f t="shared" si="401"/>
        <v>6.2387712199999995E-4</v>
      </c>
      <c r="AO600" s="1595">
        <f t="shared" si="402"/>
        <v>-1.2287800000003891E-7</v>
      </c>
    </row>
    <row r="601" spans="1:48" x14ac:dyDescent="0.35">
      <c r="A601" s="103" t="str">
        <f t="shared" si="388"/>
        <v>500900</v>
      </c>
      <c r="B601" s="3346" t="str">
        <f>'MFMR Deemed Table '!C276</f>
        <v>500900_2019_12_</v>
      </c>
      <c r="C601" s="3343" t="str">
        <f>'MFMR Deemed Table '!G276</f>
        <v>Lighting RES</v>
      </c>
      <c r="D601" s="3343"/>
      <c r="E601" s="3343"/>
      <c r="F601" s="3343"/>
      <c r="G601" s="3343" t="str">
        <f>'MFMR Deemed Table '!E276</f>
        <v>LED - 10W (Halogen baseline) (750-1049 lumens)</v>
      </c>
      <c r="H601" s="50" t="str">
        <f>'MFMR Deemed Table '!D276</f>
        <v>MFMR</v>
      </c>
      <c r="I601" s="1966">
        <f>'MFMR Deemed Table '!F276</f>
        <v>23.51</v>
      </c>
      <c r="J601" s="1966"/>
      <c r="K601" s="560"/>
      <c r="L601" s="560"/>
      <c r="M601" s="560"/>
      <c r="N601" s="560"/>
      <c r="O601" s="1967">
        <f>'MFMR Deemed Table '!M276</f>
        <v>3.509E-3</v>
      </c>
      <c r="P601" s="1967"/>
      <c r="Q601" s="1968"/>
      <c r="R601" s="1968"/>
      <c r="S601" s="1968"/>
      <c r="T601" s="1968"/>
      <c r="U601" s="1969"/>
      <c r="V601" s="1969"/>
      <c r="W601" s="1969">
        <f t="shared" si="405"/>
        <v>3.509E-3</v>
      </c>
      <c r="X601" s="55">
        <f>'MFMR Deemed Table '!N276</f>
        <v>19</v>
      </c>
      <c r="Y601" s="55"/>
      <c r="Z601" s="55">
        <f t="shared" si="390"/>
        <v>19</v>
      </c>
      <c r="AA601" s="49">
        <f>'MFMR Deemed Table '!BB276</f>
        <v>6.9658724441020539</v>
      </c>
      <c r="AB601" s="698">
        <f>'MFMR Deemed Table '!P276</f>
        <v>2.0299999999999998</v>
      </c>
      <c r="AC601" s="2582">
        <f t="shared" si="391"/>
        <v>13.34659845354145</v>
      </c>
      <c r="AD601" s="2582">
        <f t="shared" si="392"/>
        <v>0</v>
      </c>
      <c r="AE601" s="1380">
        <f>'MFMR Deemed Table '!BD276</f>
        <v>13.34659845354145</v>
      </c>
      <c r="AF601" s="571"/>
      <c r="AG601" s="571"/>
      <c r="AH601" s="571"/>
      <c r="AI601" s="2598" t="str">
        <f>'MFMR Deemed Table '!Q276</f>
        <v>per measure</v>
      </c>
      <c r="AJ601" s="141"/>
      <c r="AM601" s="1596">
        <f t="shared" si="400"/>
        <v>1.4925290000000001E-4</v>
      </c>
      <c r="AN601">
        <f t="shared" si="401"/>
        <v>3.5089356790000002E-3</v>
      </c>
      <c r="AO601" s="1595">
        <f t="shared" si="402"/>
        <v>-6.4320999999725043E-8</v>
      </c>
    </row>
    <row r="602" spans="1:48" x14ac:dyDescent="0.35">
      <c r="A602" s="103" t="str">
        <f t="shared" si="388"/>
        <v>500950</v>
      </c>
      <c r="B602" s="3346" t="str">
        <f>'MFMR Deemed Table '!C277</f>
        <v>500950_2019_12_</v>
      </c>
      <c r="C602" s="3343" t="str">
        <f>'MFMR Deemed Table '!G277</f>
        <v>Lighting RES</v>
      </c>
      <c r="D602" s="3343"/>
      <c r="E602" s="3343"/>
      <c r="F602" s="3343"/>
      <c r="G602" s="3343" t="str">
        <f>'MFMR Deemed Table '!E277</f>
        <v>LED - 12W Dimmable Light Bulb (Replacing CFL)</v>
      </c>
      <c r="H602" s="50" t="str">
        <f>'MFMR Deemed Table '!D277</f>
        <v>MFMR</v>
      </c>
      <c r="I602" s="1966">
        <f>'MFMR Deemed Table '!F277</f>
        <v>5.55</v>
      </c>
      <c r="J602" s="1966"/>
      <c r="K602" s="560"/>
      <c r="L602" s="560"/>
      <c r="M602" s="560"/>
      <c r="N602" s="560"/>
      <c r="O602" s="1967">
        <f>'MFMR Deemed Table '!M277</f>
        <v>8.2799999999999996E-4</v>
      </c>
      <c r="P602" s="1967"/>
      <c r="Q602" s="1968"/>
      <c r="R602" s="1968"/>
      <c r="S602" s="1968"/>
      <c r="T602" s="1968"/>
      <c r="U602" s="1969"/>
      <c r="V602" s="1969"/>
      <c r="W602" s="1969">
        <f t="shared" si="405"/>
        <v>8.2799999999999996E-4</v>
      </c>
      <c r="X602" s="55">
        <f>'MFMR Deemed Table '!N277</f>
        <v>19</v>
      </c>
      <c r="Y602" s="55"/>
      <c r="Z602" s="55">
        <f t="shared" si="390"/>
        <v>19</v>
      </c>
      <c r="AA602" s="49">
        <f>'MFMR Deemed Table '!BB277</f>
        <v>0.80632767936632765</v>
      </c>
      <c r="AB602" s="698">
        <f>'MFMR Deemed Table '!P277</f>
        <v>4.1399999999999997</v>
      </c>
      <c r="AC602" s="2582">
        <f t="shared" si="391"/>
        <v>3.1507282610444509</v>
      </c>
      <c r="AD602" s="2582">
        <f t="shared" si="392"/>
        <v>0</v>
      </c>
      <c r="AE602" s="1380">
        <f>'MFMR Deemed Table '!BD277</f>
        <v>3.1507282610444509</v>
      </c>
      <c r="AF602" s="571"/>
      <c r="AG602" s="571"/>
      <c r="AH602" s="571"/>
      <c r="AI602" s="2598" t="str">
        <f>'MFMR Deemed Table '!Q277</f>
        <v>per measure</v>
      </c>
      <c r="AJ602" s="141"/>
      <c r="AM602" s="1596">
        <f t="shared" si="400"/>
        <v>1.4925290000000001E-4</v>
      </c>
      <c r="AN602">
        <f t="shared" si="401"/>
        <v>8.28353595E-4</v>
      </c>
      <c r="AO602" s="1595">
        <f t="shared" si="402"/>
        <v>3.5359500000003638E-7</v>
      </c>
    </row>
    <row r="603" spans="1:48" x14ac:dyDescent="0.35">
      <c r="A603" s="103" t="str">
        <f t="shared" si="388"/>
        <v>501000</v>
      </c>
      <c r="B603" s="3346" t="str">
        <f>'MFMR Deemed Table '!C278</f>
        <v>501000_2019_12_</v>
      </c>
      <c r="C603" s="3343" t="str">
        <f>'MFMR Deemed Table '!G278</f>
        <v>Lighting RES</v>
      </c>
      <c r="D603" s="3343"/>
      <c r="E603" s="3343"/>
      <c r="F603" s="3343"/>
      <c r="G603" s="3343" t="str">
        <f>'MFMR Deemed Table '!E278</f>
        <v>LED - 12W Dimmable Light Bulb (Replacing Specialty Incandescent)</v>
      </c>
      <c r="H603" s="50" t="str">
        <f>'MFMR Deemed Table '!D278</f>
        <v>MFMR</v>
      </c>
      <c r="I603" s="1966">
        <f>'MFMR Deemed Table '!F278</f>
        <v>43.59</v>
      </c>
      <c r="J603" s="1966"/>
      <c r="K603" s="560"/>
      <c r="L603" s="560"/>
      <c r="M603" s="560"/>
      <c r="N603" s="560"/>
      <c r="O603" s="1967">
        <f>'MFMR Deemed Table '!M278</f>
        <v>6.5059999999999996E-3</v>
      </c>
      <c r="P603" s="1967"/>
      <c r="Q603" s="1968"/>
      <c r="R603" s="1968"/>
      <c r="S603" s="1968"/>
      <c r="T603" s="1968"/>
      <c r="U603" s="1969"/>
      <c r="V603" s="1969"/>
      <c r="W603" s="1969">
        <f t="shared" si="405"/>
        <v>6.5059999999999996E-3</v>
      </c>
      <c r="X603" s="55">
        <f>'MFMR Deemed Table '!N278</f>
        <v>19</v>
      </c>
      <c r="Y603" s="55"/>
      <c r="Z603" s="55">
        <f t="shared" si="390"/>
        <v>19</v>
      </c>
      <c r="AA603" s="49">
        <f>'MFMR Deemed Table '!BB278</f>
        <v>6.3329411790231038</v>
      </c>
      <c r="AB603" s="698">
        <f>'MFMR Deemed Table '!P278</f>
        <v>4.1399999999999997</v>
      </c>
      <c r="AC603" s="2582">
        <f t="shared" si="391"/>
        <v>24.745990071878854</v>
      </c>
      <c r="AD603" s="2582">
        <f t="shared" si="392"/>
        <v>0</v>
      </c>
      <c r="AE603" s="1380">
        <f>'MFMR Deemed Table '!BD278</f>
        <v>24.745990071878854</v>
      </c>
      <c r="AF603" s="571"/>
      <c r="AG603" s="571"/>
      <c r="AH603" s="571"/>
      <c r="AI603" s="2598" t="str">
        <f>'MFMR Deemed Table '!Q278</f>
        <v>per measure</v>
      </c>
      <c r="AJ603" s="141"/>
      <c r="AM603" s="1596">
        <f t="shared" si="400"/>
        <v>1.4925290000000001E-4</v>
      </c>
      <c r="AN603">
        <f t="shared" si="401"/>
        <v>6.5059339110000005E-3</v>
      </c>
      <c r="AO603" s="1595">
        <f t="shared" si="402"/>
        <v>-6.6088999999165676E-8</v>
      </c>
    </row>
    <row r="604" spans="1:48" x14ac:dyDescent="0.35">
      <c r="A604" s="103" t="str">
        <f t="shared" si="388"/>
        <v>501050</v>
      </c>
      <c r="B604" s="3346" t="str">
        <f>'MFMR Deemed Table '!C279</f>
        <v>501050_2019_12_</v>
      </c>
      <c r="C604" s="3343" t="str">
        <f>'MFMR Deemed Table '!G279</f>
        <v>Lighting RES</v>
      </c>
      <c r="D604" s="3343"/>
      <c r="E604" s="3343"/>
      <c r="F604" s="3343"/>
      <c r="G604" s="3343" t="str">
        <f>'MFMR Deemed Table '!E279</f>
        <v>LED - 12W (Halogen baseline)</v>
      </c>
      <c r="H604" s="50" t="str">
        <f>'MFMR Deemed Table '!D279</f>
        <v>MFMR</v>
      </c>
      <c r="I604" s="1966">
        <f>'MFMR Deemed Table '!F279</f>
        <v>22.87</v>
      </c>
      <c r="J604" s="1966"/>
      <c r="K604" s="560"/>
      <c r="L604" s="560"/>
      <c r="M604" s="560"/>
      <c r="N604" s="560"/>
      <c r="O604" s="1967">
        <f>'MFMR Deemed Table '!M279</f>
        <v>3.4129999999999998E-3</v>
      </c>
      <c r="P604" s="1967"/>
      <c r="Q604" s="1968"/>
      <c r="R604" s="1968"/>
      <c r="S604" s="1968"/>
      <c r="T604" s="1968"/>
      <c r="U604" s="1969"/>
      <c r="V604" s="1969"/>
      <c r="W604" s="1969">
        <f t="shared" si="405"/>
        <v>3.4129999999999998E-3</v>
      </c>
      <c r="X604" s="55">
        <f>'MFMR Deemed Table '!N279</f>
        <v>19</v>
      </c>
      <c r="Y604" s="55"/>
      <c r="Z604" s="55">
        <f t="shared" si="390"/>
        <v>19</v>
      </c>
      <c r="AA604" s="49">
        <f>'MFMR Deemed Table '!BB279</f>
        <v>2.9143592942520526</v>
      </c>
      <c r="AB604" s="698">
        <f>'MFMR Deemed Table '!P279</f>
        <v>4.72</v>
      </c>
      <c r="AC604" s="2582">
        <f t="shared" si="391"/>
        <v>12.983271230646235</v>
      </c>
      <c r="AD604" s="2582">
        <f t="shared" si="392"/>
        <v>0</v>
      </c>
      <c r="AE604" s="1380">
        <f>'MFMR Deemed Table '!BD279</f>
        <v>12.983271230646235</v>
      </c>
      <c r="AF604" s="571"/>
      <c r="AG604" s="571"/>
      <c r="AH604" s="571"/>
      <c r="AI604" s="2598" t="str">
        <f>'MFMR Deemed Table '!Q279</f>
        <v>per measure</v>
      </c>
      <c r="AJ604" s="141"/>
      <c r="AM604" s="1596">
        <f t="shared" si="400"/>
        <v>1.4925290000000001E-4</v>
      </c>
      <c r="AN604">
        <f t="shared" si="401"/>
        <v>3.4134138230000003E-3</v>
      </c>
      <c r="AO604" s="1595">
        <f t="shared" si="402"/>
        <v>4.1382300000050373E-7</v>
      </c>
    </row>
    <row r="605" spans="1:48" x14ac:dyDescent="0.35">
      <c r="A605" s="103" t="str">
        <f t="shared" si="388"/>
        <v>501100</v>
      </c>
      <c r="B605" s="3346" t="str">
        <f>'MFMR Deemed Table '!C280</f>
        <v>501100_2019_12_</v>
      </c>
      <c r="C605" s="3343" t="str">
        <f>'MFMR Deemed Table '!G280</f>
        <v>Lighting RES</v>
      </c>
      <c r="D605" s="3343"/>
      <c r="E605" s="3343"/>
      <c r="F605" s="3343"/>
      <c r="G605" s="3343" t="str">
        <f>'MFMR Deemed Table '!E280</f>
        <v>LED - 12W (Replacing CFL)</v>
      </c>
      <c r="H605" s="50" t="str">
        <f>'MFMR Deemed Table '!D280</f>
        <v>MFMR</v>
      </c>
      <c r="I605" s="1966">
        <f>'MFMR Deemed Table '!F280</f>
        <v>5.55</v>
      </c>
      <c r="J605" s="1966"/>
      <c r="K605" s="560"/>
      <c r="L605" s="560"/>
      <c r="M605" s="560"/>
      <c r="N605" s="560"/>
      <c r="O605" s="1967">
        <f>'MFMR Deemed Table '!M280</f>
        <v>8.2799999999999996E-4</v>
      </c>
      <c r="P605" s="1967"/>
      <c r="Q605" s="1968"/>
      <c r="R605" s="1968"/>
      <c r="S605" s="1968"/>
      <c r="T605" s="1968"/>
      <c r="U605" s="1969"/>
      <c r="V605" s="1969"/>
      <c r="W605" s="1969">
        <f t="shared" si="405"/>
        <v>8.2799999999999996E-4</v>
      </c>
      <c r="X605" s="55">
        <f>'MFMR Deemed Table '!N280</f>
        <v>19</v>
      </c>
      <c r="Y605" s="55"/>
      <c r="Z605" s="55">
        <f t="shared" si="390"/>
        <v>19</v>
      </c>
      <c r="AA605" s="49">
        <f>'MFMR Deemed Table '!BB280</f>
        <v>0.7072450408001264</v>
      </c>
      <c r="AB605" s="698">
        <f>'MFMR Deemed Table '!P280</f>
        <v>4.72</v>
      </c>
      <c r="AC605" s="2582">
        <f t="shared" si="391"/>
        <v>3.1507282610444509</v>
      </c>
      <c r="AD605" s="2582">
        <f t="shared" si="392"/>
        <v>0</v>
      </c>
      <c r="AE605" s="1380">
        <f>'MFMR Deemed Table '!BD280</f>
        <v>3.1507282610444509</v>
      </c>
      <c r="AF605" s="571"/>
      <c r="AG605" s="571"/>
      <c r="AH605" s="571"/>
      <c r="AI605" s="2598" t="str">
        <f>'MFMR Deemed Table '!Q280</f>
        <v>per measure</v>
      </c>
      <c r="AJ605" s="141"/>
      <c r="AM605" s="1596">
        <f t="shared" si="400"/>
        <v>1.4925290000000001E-4</v>
      </c>
      <c r="AN605">
        <f t="shared" si="401"/>
        <v>8.28353595E-4</v>
      </c>
      <c r="AO605" s="1595">
        <f t="shared" si="402"/>
        <v>3.5359500000003638E-7</v>
      </c>
    </row>
    <row r="606" spans="1:48" x14ac:dyDescent="0.35">
      <c r="A606" s="103" t="str">
        <f t="shared" si="388"/>
        <v>501150</v>
      </c>
      <c r="B606" s="3346" t="str">
        <f>'MFMR Deemed Table '!C281</f>
        <v>501150_2019_12_</v>
      </c>
      <c r="C606" s="3343" t="str">
        <f>'MFMR Deemed Table '!G281</f>
        <v>Lighting RES</v>
      </c>
      <c r="D606" s="3343"/>
      <c r="E606" s="3343"/>
      <c r="F606" s="3343"/>
      <c r="G606" s="3343" t="str">
        <f>'MFMR Deemed Table '!E281</f>
        <v>LED - 15W (Halogen baseline) (1050-1489 lumens)</v>
      </c>
      <c r="H606" s="50" t="str">
        <f>'MFMR Deemed Table '!D281</f>
        <v>MFMR</v>
      </c>
      <c r="I606" s="1966">
        <f>'MFMR Deemed Table '!F281</f>
        <v>27.69</v>
      </c>
      <c r="J606" s="1966"/>
      <c r="K606" s="560"/>
      <c r="L606" s="560"/>
      <c r="M606" s="560"/>
      <c r="N606" s="560"/>
      <c r="O606" s="1967">
        <f>'MFMR Deemed Table '!M281</f>
        <v>4.1330000000000004E-3</v>
      </c>
      <c r="P606" s="1967"/>
      <c r="Q606" s="1968"/>
      <c r="R606" s="1968"/>
      <c r="S606" s="1968"/>
      <c r="T606" s="1968"/>
      <c r="U606" s="1969"/>
      <c r="V606" s="1969"/>
      <c r="W606" s="1969">
        <f t="shared" si="405"/>
        <v>4.1330000000000004E-3</v>
      </c>
      <c r="X606" s="55">
        <f>'MFMR Deemed Table '!N281</f>
        <v>19</v>
      </c>
      <c r="Y606" s="55"/>
      <c r="Z606" s="55">
        <f t="shared" si="390"/>
        <v>19</v>
      </c>
      <c r="AA606" s="49">
        <f>'MFMR Deemed Table '!BB281</f>
        <v>2.6562829906014906</v>
      </c>
      <c r="AB606" s="698">
        <f>'MFMR Deemed Table '!P281</f>
        <v>6.27</v>
      </c>
      <c r="AC606" s="2582">
        <f t="shared" si="391"/>
        <v>15.71957937807583</v>
      </c>
      <c r="AD606" s="2582">
        <f t="shared" si="392"/>
        <v>0</v>
      </c>
      <c r="AE606" s="1380">
        <f>'MFMR Deemed Table '!BD281</f>
        <v>15.71957937807583</v>
      </c>
      <c r="AF606" s="571"/>
      <c r="AG606" s="571"/>
      <c r="AH606" s="571"/>
      <c r="AI606" s="2598" t="str">
        <f>'MFMR Deemed Table '!Q281</f>
        <v>per measure</v>
      </c>
      <c r="AJ606" s="141"/>
      <c r="AM606" s="1596">
        <f t="shared" si="400"/>
        <v>1.4925290000000001E-4</v>
      </c>
      <c r="AN606">
        <f t="shared" si="401"/>
        <v>4.1328128010000003E-3</v>
      </c>
      <c r="AO606" s="1595">
        <f t="shared" si="402"/>
        <v>-1.8719900000008921E-7</v>
      </c>
    </row>
    <row r="607" spans="1:48" x14ac:dyDescent="0.35">
      <c r="A607" s="103" t="str">
        <f t="shared" si="388"/>
        <v>501200</v>
      </c>
      <c r="B607" s="3346" t="str">
        <f>'MFMR Deemed Table '!C282</f>
        <v>501200_2019_12_</v>
      </c>
      <c r="C607" s="3343" t="str">
        <f>'MFMR Deemed Table '!G282</f>
        <v>Lighting RES</v>
      </c>
      <c r="D607" s="3343"/>
      <c r="E607" s="3343"/>
      <c r="F607" s="3343"/>
      <c r="G607" s="3343" t="str">
        <f>'MFMR Deemed Table '!E282</f>
        <v>LED - 15W (CFL baseline) (1050-1489 lumens)</v>
      </c>
      <c r="H607" s="50" t="str">
        <f>'MFMR Deemed Table '!D282</f>
        <v>MFMR</v>
      </c>
      <c r="I607" s="1966">
        <f>'MFMR Deemed Table '!F282</f>
        <v>5.42</v>
      </c>
      <c r="J607" s="1966"/>
      <c r="K607" s="560"/>
      <c r="L607" s="560"/>
      <c r="M607" s="560"/>
      <c r="N607" s="560"/>
      <c r="O607" s="1967">
        <f>'MFMR Deemed Table '!M282</f>
        <v>8.0900000000000004E-4</v>
      </c>
      <c r="P607" s="1967"/>
      <c r="Q607" s="1968"/>
      <c r="R607" s="1968"/>
      <c r="S607" s="1968"/>
      <c r="T607" s="1968"/>
      <c r="U607" s="1969"/>
      <c r="V607" s="1969"/>
      <c r="W607" s="1969">
        <f t="shared" si="405"/>
        <v>8.0900000000000004E-4</v>
      </c>
      <c r="X607" s="55">
        <f>'MFMR Deemed Table '!N282</f>
        <v>19</v>
      </c>
      <c r="Y607" s="55"/>
      <c r="Z607" s="55">
        <f t="shared" si="390"/>
        <v>19</v>
      </c>
      <c r="AA607" s="49">
        <f>'MFMR Deemed Table '!BB282</f>
        <v>0.51993693784976802</v>
      </c>
      <c r="AB607" s="698">
        <f>'MFMR Deemed Table '!P282</f>
        <v>6.27</v>
      </c>
      <c r="AC607" s="2582">
        <f t="shared" si="391"/>
        <v>3.0769274188938605</v>
      </c>
      <c r="AD607" s="2582">
        <f t="shared" si="392"/>
        <v>0</v>
      </c>
      <c r="AE607" s="1380">
        <f>'MFMR Deemed Table '!BD282</f>
        <v>3.0769274188938605</v>
      </c>
      <c r="AF607" s="571"/>
      <c r="AG607" s="571"/>
      <c r="AH607" s="571"/>
      <c r="AI607" s="2598" t="str">
        <f>'MFMR Deemed Table '!Q282</f>
        <v>per measure</v>
      </c>
      <c r="AJ607" s="141"/>
      <c r="AM607" s="1596">
        <f t="shared" ref="AM607:AM643" si="406">VLOOKUP(C607,$AS$10:$AT$33,2,FALSE)</f>
        <v>1.4925290000000001E-4</v>
      </c>
      <c r="AN607">
        <f t="shared" ref="AN607:AN638" si="407">AM607*I607</f>
        <v>8.0895071800000007E-4</v>
      </c>
      <c r="AO607" s="1595">
        <f t="shared" ref="AO607:AO638" si="408">AN607-O607</f>
        <v>-4.9281999999969961E-8</v>
      </c>
    </row>
    <row r="608" spans="1:48" s="84" customFormat="1" x14ac:dyDescent="0.35">
      <c r="A608" s="103" t="str">
        <f t="shared" si="388"/>
        <v>501250</v>
      </c>
      <c r="B608" s="3346" t="str">
        <f>'MFMR Deemed Table '!C283</f>
        <v>501250_2019_12_</v>
      </c>
      <c r="C608" s="3343" t="str">
        <f>'MFMR Deemed Table '!G283</f>
        <v>Lighting RES</v>
      </c>
      <c r="D608" s="3343"/>
      <c r="E608" s="3343"/>
      <c r="F608" s="3343"/>
      <c r="G608" s="3343" t="str">
        <f>'MFMR Deemed Table '!E283</f>
        <v>LED - 20W (Halogen baseline) (1490-2600 lumens)</v>
      </c>
      <c r="H608" s="50" t="str">
        <f>'MFMR Deemed Table '!D283</f>
        <v>MFMR</v>
      </c>
      <c r="I608" s="1966">
        <f>'MFMR Deemed Table '!F283</f>
        <v>37.22</v>
      </c>
      <c r="J608" s="1966"/>
      <c r="K608" s="560"/>
      <c r="L608" s="560"/>
      <c r="M608" s="560"/>
      <c r="N608" s="560"/>
      <c r="O608" s="1967">
        <f>'MFMR Deemed Table '!M283</f>
        <v>5.5560000000000002E-3</v>
      </c>
      <c r="P608" s="1967"/>
      <c r="Q608" s="1968"/>
      <c r="R608" s="1968"/>
      <c r="S608" s="1968"/>
      <c r="T608" s="1968"/>
      <c r="U608" s="1969"/>
      <c r="V608" s="1969"/>
      <c r="W608" s="1969">
        <f t="shared" si="405"/>
        <v>5.5560000000000002E-3</v>
      </c>
      <c r="X608" s="55">
        <f>'MFMR Deemed Table '!N283</f>
        <v>19</v>
      </c>
      <c r="Y608" s="55"/>
      <c r="Z608" s="55">
        <f t="shared" si="390"/>
        <v>19</v>
      </c>
      <c r="AA608" s="49">
        <f>'MFMR Deemed Table '!BB283</f>
        <v>2.8591275683890998</v>
      </c>
      <c r="AB608" s="698">
        <f>'MFMR Deemed Table '!P283</f>
        <v>7.83</v>
      </c>
      <c r="AC608" s="2582">
        <f t="shared" si="391"/>
        <v>21.129748806499904</v>
      </c>
      <c r="AD608" s="2582">
        <f t="shared" si="392"/>
        <v>0</v>
      </c>
      <c r="AE608" s="1380">
        <f>'MFMR Deemed Table '!BD283</f>
        <v>21.129748806499904</v>
      </c>
      <c r="AF608" s="571"/>
      <c r="AG608" s="571"/>
      <c r="AH608" s="571"/>
      <c r="AI608" s="2598" t="str">
        <f>'MFMR Deemed Table '!Q283</f>
        <v>per measure</v>
      </c>
      <c r="AJ608" s="141"/>
      <c r="AK608"/>
      <c r="AL608"/>
      <c r="AM608" s="1596">
        <f t="shared" si="406"/>
        <v>1.4925290000000001E-4</v>
      </c>
      <c r="AN608">
        <f t="shared" si="407"/>
        <v>5.5551929380000002E-3</v>
      </c>
      <c r="AO608" s="1595">
        <f t="shared" si="408"/>
        <v>-8.0706199999999034E-7</v>
      </c>
      <c r="AP608"/>
      <c r="AQ608"/>
      <c r="AR608"/>
      <c r="AS608"/>
      <c r="AT608"/>
      <c r="AU608"/>
      <c r="AV608"/>
    </row>
    <row r="609" spans="1:48" s="84" customFormat="1" x14ac:dyDescent="0.35">
      <c r="A609" s="103" t="str">
        <f t="shared" si="388"/>
        <v>501300</v>
      </c>
      <c r="B609" s="3346" t="str">
        <f>'MFMR Deemed Table '!C284</f>
        <v>501300_2019_12_</v>
      </c>
      <c r="C609" s="3343" t="str">
        <f>'MFMR Deemed Table '!G284</f>
        <v>Lighting RES</v>
      </c>
      <c r="D609" s="3343"/>
      <c r="E609" s="3343"/>
      <c r="F609" s="3343"/>
      <c r="G609" s="3343" t="str">
        <f>'MFMR Deemed Table '!E284</f>
        <v>LED - 20W (CFL baseline) (1490-2600 lumens)</v>
      </c>
      <c r="H609" s="50" t="str">
        <f>'MFMR Deemed Table '!D284</f>
        <v>MFMR</v>
      </c>
      <c r="I609" s="1966">
        <f>'MFMR Deemed Table '!F284</f>
        <v>6.4</v>
      </c>
      <c r="J609" s="1966"/>
      <c r="K609" s="560"/>
      <c r="L609" s="560"/>
      <c r="M609" s="560"/>
      <c r="N609" s="560"/>
      <c r="O609" s="1967">
        <f>'MFMR Deemed Table '!M284</f>
        <v>9.5500000000000001E-4</v>
      </c>
      <c r="P609" s="1967"/>
      <c r="Q609" s="1968"/>
      <c r="R609" s="1968"/>
      <c r="S609" s="1968"/>
      <c r="T609" s="1968"/>
      <c r="U609" s="1969"/>
      <c r="V609" s="1969"/>
      <c r="W609" s="1969">
        <f t="shared" si="405"/>
        <v>9.5500000000000001E-4</v>
      </c>
      <c r="X609" s="55">
        <f>'MFMR Deemed Table '!N284</f>
        <v>19</v>
      </c>
      <c r="Y609" s="55"/>
      <c r="Z609" s="55">
        <f t="shared" si="390"/>
        <v>19</v>
      </c>
      <c r="AA609" s="49">
        <f>'MFMR Deemed Table '!BB284</f>
        <v>0.49162859854084473</v>
      </c>
      <c r="AB609" s="698">
        <f>'MFMR Deemed Table '!P284</f>
        <v>7.83</v>
      </c>
      <c r="AC609" s="2582">
        <f t="shared" si="391"/>
        <v>3.6332722289521602</v>
      </c>
      <c r="AD609" s="2582">
        <f t="shared" si="392"/>
        <v>0</v>
      </c>
      <c r="AE609" s="1380">
        <f>'MFMR Deemed Table '!BD284</f>
        <v>3.6332722289521602</v>
      </c>
      <c r="AF609" s="571"/>
      <c r="AG609" s="571"/>
      <c r="AH609" s="571"/>
      <c r="AI609" s="2598" t="str">
        <f>'MFMR Deemed Table '!Q284</f>
        <v>per measure</v>
      </c>
      <c r="AJ609" s="141"/>
      <c r="AK609"/>
      <c r="AL609"/>
      <c r="AM609" s="1596">
        <f t="shared" si="406"/>
        <v>1.4925290000000001E-4</v>
      </c>
      <c r="AN609">
        <f t="shared" si="407"/>
        <v>9.5521856000000012E-4</v>
      </c>
      <c r="AO609" s="1595">
        <f t="shared" si="408"/>
        <v>2.1856000000011061E-7</v>
      </c>
      <c r="AP609"/>
      <c r="AQ609"/>
      <c r="AR609"/>
      <c r="AS609"/>
      <c r="AT609"/>
      <c r="AU609"/>
      <c r="AV609"/>
    </row>
    <row r="610" spans="1:48" x14ac:dyDescent="0.35">
      <c r="A610" s="103" t="str">
        <f t="shared" si="388"/>
        <v>501310</v>
      </c>
      <c r="B610" s="3346" t="str">
        <f>'MFMR Deemed Table '!C285</f>
        <v>501310_2020_12_</v>
      </c>
      <c r="C610" s="3343" t="str">
        <f>'MFMR Deemed Table '!G285</f>
        <v>Lighting RES</v>
      </c>
      <c r="D610" s="3343"/>
      <c r="E610" s="3343"/>
      <c r="F610" s="3343"/>
      <c r="G610" s="3343" t="str">
        <f>'MFMR Deemed Table '!E285</f>
        <v>LED - 11W Flood Light BR30 Bulb (Halogen baseline)</v>
      </c>
      <c r="H610" s="50" t="str">
        <f>'MFMR Deemed Table '!D285</f>
        <v>MFMR</v>
      </c>
      <c r="I610" s="1966">
        <f>'MFMR Deemed Table '!F285</f>
        <v>35.26</v>
      </c>
      <c r="J610" s="1966"/>
      <c r="K610" s="560"/>
      <c r="L610" s="560"/>
      <c r="M610" s="560"/>
      <c r="N610" s="560"/>
      <c r="O610" s="1967">
        <f>'MFMR Deemed Table '!M285</f>
        <v>5.2630000000000003E-3</v>
      </c>
      <c r="P610" s="1967"/>
      <c r="Q610" s="1968"/>
      <c r="R610" s="1968"/>
      <c r="S610" s="1968"/>
      <c r="T610" s="1968"/>
      <c r="U610" s="1969"/>
      <c r="V610" s="1969"/>
      <c r="W610" s="1969">
        <f t="shared" si="405"/>
        <v>5.2630000000000003E-3</v>
      </c>
      <c r="X610" s="55">
        <f>'MFMR Deemed Table '!N285</f>
        <v>19</v>
      </c>
      <c r="Y610" s="55"/>
      <c r="Z610" s="55">
        <f t="shared" si="390"/>
        <v>19</v>
      </c>
      <c r="AA610" s="49">
        <f>'MFMR Deemed Table '!BB285</f>
        <v>12.775948318056091</v>
      </c>
      <c r="AB610" s="698">
        <f>'MFMR Deemed Table '!P285</f>
        <v>1.66</v>
      </c>
      <c r="AC610" s="2582">
        <f t="shared" si="391"/>
        <v>20.017059186383303</v>
      </c>
      <c r="AD610" s="2582">
        <f t="shared" si="392"/>
        <v>0</v>
      </c>
      <c r="AE610" s="1380">
        <f>'MFMR Deemed Table '!BD285</f>
        <v>20.017059186383303</v>
      </c>
      <c r="AF610" s="571"/>
      <c r="AG610" s="571"/>
      <c r="AH610" s="571"/>
      <c r="AI610" s="2598" t="str">
        <f>'MFMR Deemed Table '!Q285</f>
        <v>per measure</v>
      </c>
      <c r="AJ610" s="1589"/>
      <c r="AK610" s="84"/>
      <c r="AL610" s="84"/>
      <c r="AM610" s="1961">
        <f t="shared" si="406"/>
        <v>1.4925290000000001E-4</v>
      </c>
      <c r="AN610" s="84">
        <f t="shared" si="407"/>
        <v>5.2626572540000003E-3</v>
      </c>
      <c r="AO610" s="1965">
        <f t="shared" si="408"/>
        <v>-3.4274600000001876E-7</v>
      </c>
      <c r="AP610" s="84"/>
      <c r="AQ610" s="84"/>
      <c r="AR610" s="84"/>
      <c r="AS610" s="84"/>
      <c r="AT610" s="84"/>
      <c r="AU610" s="84"/>
      <c r="AV610" s="84"/>
    </row>
    <row r="611" spans="1:48" x14ac:dyDescent="0.35">
      <c r="A611" s="103" t="str">
        <f t="shared" si="388"/>
        <v>501311</v>
      </c>
      <c r="B611" s="3346" t="str">
        <f>'MFMR Deemed Table '!C286</f>
        <v>501311_2020_12_</v>
      </c>
      <c r="C611" s="3343" t="str">
        <f>'MFMR Deemed Table '!G286</f>
        <v>Lighting RES</v>
      </c>
      <c r="D611" s="3343"/>
      <c r="E611" s="3343"/>
      <c r="F611" s="3343"/>
      <c r="G611" s="3343" t="str">
        <f>'MFMR Deemed Table '!E286</f>
        <v>LED - 11W Flood Light BR30 Bulb (CFL baseline)</v>
      </c>
      <c r="H611" s="50" t="str">
        <f>'MFMR Deemed Table '!D286</f>
        <v>MFMR</v>
      </c>
      <c r="I611" s="1966">
        <f>'MFMR Deemed Table '!F286</f>
        <v>5.15</v>
      </c>
      <c r="J611" s="1966"/>
      <c r="K611" s="560"/>
      <c r="L611" s="560"/>
      <c r="M611" s="560"/>
      <c r="N611" s="560"/>
      <c r="O611" s="1967">
        <f>'MFMR Deemed Table '!M286</f>
        <v>7.6900000000000004E-4</v>
      </c>
      <c r="P611" s="1967"/>
      <c r="Q611" s="1968"/>
      <c r="R611" s="1968"/>
      <c r="S611" s="1968"/>
      <c r="T611" s="1968"/>
      <c r="U611" s="1969"/>
      <c r="V611" s="1969"/>
      <c r="W611" s="1969">
        <f t="shared" si="405"/>
        <v>7.6900000000000004E-4</v>
      </c>
      <c r="X611" s="55">
        <f>'MFMR Deemed Table '!N286</f>
        <v>19</v>
      </c>
      <c r="Y611" s="55"/>
      <c r="Z611" s="55">
        <f t="shared" si="390"/>
        <v>19</v>
      </c>
      <c r="AA611" s="49">
        <f>'MFMR Deemed Table '!BB286</f>
        <v>1.8660276187745006</v>
      </c>
      <c r="AB611" s="698">
        <f>'MFMR Deemed Table '!P286</f>
        <v>1.66</v>
      </c>
      <c r="AC611" s="2582">
        <f t="shared" si="391"/>
        <v>2.9236487467349415</v>
      </c>
      <c r="AD611" s="2582">
        <f t="shared" si="392"/>
        <v>0</v>
      </c>
      <c r="AE611" s="1380">
        <f>'MFMR Deemed Table '!BD286</f>
        <v>2.9236487467349415</v>
      </c>
      <c r="AF611" s="571"/>
      <c r="AG611" s="571"/>
      <c r="AH611" s="571"/>
      <c r="AI611" s="2598" t="str">
        <f>'MFMR Deemed Table '!Q286</f>
        <v>per measure</v>
      </c>
      <c r="AJ611" s="1589"/>
      <c r="AK611" s="84"/>
      <c r="AL611" s="84"/>
      <c r="AM611" s="1961">
        <f t="shared" si="406"/>
        <v>1.4925290000000001E-4</v>
      </c>
      <c r="AN611" s="84">
        <f t="shared" si="407"/>
        <v>7.6865243500000009E-4</v>
      </c>
      <c r="AO611" s="1965">
        <f t="shared" si="408"/>
        <v>-3.4756499999995336E-7</v>
      </c>
      <c r="AP611" s="84"/>
      <c r="AQ611" s="84"/>
      <c r="AR611" s="84"/>
      <c r="AS611" s="84"/>
      <c r="AT611" s="84"/>
      <c r="AU611" s="84"/>
      <c r="AV611" s="84"/>
    </row>
    <row r="612" spans="1:48" s="84" customFormat="1" x14ac:dyDescent="0.35">
      <c r="A612" s="103" t="str">
        <f t="shared" si="388"/>
        <v>501350</v>
      </c>
      <c r="B612" s="3346" t="str">
        <f>'MFMR Deemed Table '!C287</f>
        <v>501350_2019_12_</v>
      </c>
      <c r="C612" s="3343" t="str">
        <f>'MFMR Deemed Table '!G287</f>
        <v>Lighting RES</v>
      </c>
      <c r="D612" s="3343"/>
      <c r="E612" s="3343"/>
      <c r="F612" s="3343"/>
      <c r="G612" s="3343" t="str">
        <f>'MFMR Deemed Table '!E287</f>
        <v>LED - 15W Flood Light PAR30 Bulb (Halogen baseline)</v>
      </c>
      <c r="H612" s="50" t="str">
        <f>'MFMR Deemed Table '!D287</f>
        <v>MFMR</v>
      </c>
      <c r="I612" s="1966">
        <f>'MFMR Deemed Table '!F287</f>
        <v>32.85</v>
      </c>
      <c r="J612" s="1966"/>
      <c r="K612" s="560"/>
      <c r="L612" s="560"/>
      <c r="M612" s="560"/>
      <c r="N612" s="560"/>
      <c r="O612" s="1967">
        <f>'MFMR Deemed Table '!M287</f>
        <v>4.9030000000000002E-3</v>
      </c>
      <c r="P612" s="1967"/>
      <c r="Q612" s="1968"/>
      <c r="R612" s="1968"/>
      <c r="S612" s="1968"/>
      <c r="T612" s="1968"/>
      <c r="U612" s="1969"/>
      <c r="V612" s="1969"/>
      <c r="W612" s="1969">
        <f t="shared" si="405"/>
        <v>4.9030000000000002E-3</v>
      </c>
      <c r="X612" s="55">
        <f>'MFMR Deemed Table '!N287</f>
        <v>19</v>
      </c>
      <c r="Y612" s="55"/>
      <c r="Z612" s="55">
        <f t="shared" si="390"/>
        <v>19</v>
      </c>
      <c r="AA612" s="49">
        <f>'MFMR Deemed Table '!BB287</f>
        <v>6.4782016284827177</v>
      </c>
      <c r="AB612" s="698">
        <f>'MFMR Deemed Table '!P287</f>
        <v>3.05</v>
      </c>
      <c r="AC612" s="2582">
        <f t="shared" si="391"/>
        <v>18.648905112668508</v>
      </c>
      <c r="AD612" s="2582">
        <f t="shared" si="392"/>
        <v>0</v>
      </c>
      <c r="AE612" s="1380">
        <f>'MFMR Deemed Table '!BD287</f>
        <v>18.648905112668508</v>
      </c>
      <c r="AF612" s="571"/>
      <c r="AG612" s="571"/>
      <c r="AH612" s="571"/>
      <c r="AI612" s="2598" t="str">
        <f>'MFMR Deemed Table '!Q287</f>
        <v>per measure</v>
      </c>
      <c r="AJ612" s="141"/>
      <c r="AK612"/>
      <c r="AL612"/>
      <c r="AM612" s="1596">
        <f t="shared" si="406"/>
        <v>1.4925290000000001E-4</v>
      </c>
      <c r="AN612">
        <f t="shared" si="407"/>
        <v>4.9029577650000003E-3</v>
      </c>
      <c r="AO612" s="1595">
        <f t="shared" si="408"/>
        <v>-4.2234999999939127E-8</v>
      </c>
      <c r="AP612"/>
      <c r="AQ612"/>
      <c r="AR612"/>
      <c r="AS612"/>
      <c r="AT612"/>
      <c r="AU612"/>
      <c r="AV612"/>
    </row>
    <row r="613" spans="1:48" s="84" customFormat="1" x14ac:dyDescent="0.35">
      <c r="A613" s="103" t="str">
        <f t="shared" si="388"/>
        <v>501400</v>
      </c>
      <c r="B613" s="3346" t="str">
        <f>'MFMR Deemed Table '!C288</f>
        <v>501400_2019_12_</v>
      </c>
      <c r="C613" s="3343" t="str">
        <f>'MFMR Deemed Table '!G288</f>
        <v>Lighting RES</v>
      </c>
      <c r="D613" s="3343"/>
      <c r="E613" s="3343"/>
      <c r="F613" s="3343"/>
      <c r="G613" s="3343" t="str">
        <f>'MFMR Deemed Table '!E288</f>
        <v>LED - 15W Flood Light PAR30 Bulb (CFL baseline)</v>
      </c>
      <c r="H613" s="50" t="str">
        <f>'MFMR Deemed Table '!D288</f>
        <v>MFMR</v>
      </c>
      <c r="I613" s="1966">
        <f>'MFMR Deemed Table '!F288</f>
        <v>3.13</v>
      </c>
      <c r="J613" s="1966"/>
      <c r="K613" s="560"/>
      <c r="L613" s="560"/>
      <c r="M613" s="560"/>
      <c r="N613" s="560"/>
      <c r="O613" s="1967">
        <f>'MFMR Deemed Table '!M288</f>
        <v>4.6799999999999999E-4</v>
      </c>
      <c r="P613" s="1967"/>
      <c r="Q613" s="1968"/>
      <c r="R613" s="1968"/>
      <c r="S613" s="1968"/>
      <c r="T613" s="1968"/>
      <c r="U613" s="1969"/>
      <c r="V613" s="1969"/>
      <c r="W613" s="1969">
        <f t="shared" si="405"/>
        <v>4.6799999999999999E-4</v>
      </c>
      <c r="X613" s="55">
        <f>'MFMR Deemed Table '!N288</f>
        <v>19</v>
      </c>
      <c r="Y613" s="55"/>
      <c r="Z613" s="55">
        <f t="shared" si="390"/>
        <v>19</v>
      </c>
      <c r="AA613" s="49">
        <f>'MFMR Deemed Table '!BB288</f>
        <v>0.61725330584934257</v>
      </c>
      <c r="AB613" s="698">
        <f>'MFMR Deemed Table '!P288</f>
        <v>3.05</v>
      </c>
      <c r="AC613" s="2582">
        <f t="shared" si="391"/>
        <v>1.7768971994719156</v>
      </c>
      <c r="AD613" s="2582">
        <f t="shared" si="392"/>
        <v>0</v>
      </c>
      <c r="AE613" s="1380">
        <f>'MFMR Deemed Table '!BD288</f>
        <v>1.7768971994719156</v>
      </c>
      <c r="AF613" s="571"/>
      <c r="AG613" s="571"/>
      <c r="AH613" s="571"/>
      <c r="AI613" s="2598" t="str">
        <f>'MFMR Deemed Table '!Q288</f>
        <v>per measure</v>
      </c>
      <c r="AJ613" s="141"/>
      <c r="AK613"/>
      <c r="AL613"/>
      <c r="AM613" s="1596">
        <f t="shared" si="406"/>
        <v>1.4925290000000001E-4</v>
      </c>
      <c r="AN613">
        <f t="shared" si="407"/>
        <v>4.6716157700000003E-4</v>
      </c>
      <c r="AO613" s="1595">
        <f t="shared" si="408"/>
        <v>-8.3842299999995753E-7</v>
      </c>
      <c r="AP613"/>
      <c r="AQ613"/>
      <c r="AR613"/>
      <c r="AS613"/>
      <c r="AT613"/>
      <c r="AU613"/>
      <c r="AV613"/>
    </row>
    <row r="614" spans="1:48" x14ac:dyDescent="0.35">
      <c r="A614" s="103" t="str">
        <f t="shared" si="388"/>
        <v>501401</v>
      </c>
      <c r="B614" s="3346" t="str">
        <f>'MFMR Deemed Table '!C289</f>
        <v>501401_2019_12_</v>
      </c>
      <c r="C614" s="3343" t="str">
        <f>'MFMR Deemed Table '!G289</f>
        <v>Lighting RES</v>
      </c>
      <c r="D614" s="3343"/>
      <c r="E614" s="3343"/>
      <c r="F614" s="3343"/>
      <c r="G614" s="3343" t="str">
        <f>'MFMR Deemed Table '!E289</f>
        <v xml:space="preserve">LED - 6W (Halogen baseline) (310-749 lumens) </v>
      </c>
      <c r="H614" s="50" t="str">
        <f>'MFMR Deemed Table '!D289</f>
        <v>MFMR</v>
      </c>
      <c r="I614" s="1966">
        <f>'MFMR Deemed Table '!F289</f>
        <v>15.02</v>
      </c>
      <c r="J614" s="1966"/>
      <c r="K614" s="560"/>
      <c r="L614" s="560"/>
      <c r="M614" s="560"/>
      <c r="N614" s="560"/>
      <c r="O614" s="1967">
        <f>'MFMR Deemed Table '!M289</f>
        <v>2.2420000000000001E-3</v>
      </c>
      <c r="P614" s="1967"/>
      <c r="Q614" s="1968"/>
      <c r="R614" s="1968"/>
      <c r="S614" s="1968"/>
      <c r="T614" s="1968"/>
      <c r="U614" s="1969"/>
      <c r="V614" s="1969"/>
      <c r="W614" s="1969">
        <f t="shared" si="405"/>
        <v>2.2420000000000001E-3</v>
      </c>
      <c r="X614" s="55">
        <f>'MFMR Deemed Table '!N289</f>
        <v>19</v>
      </c>
      <c r="Y614" s="55"/>
      <c r="Z614" s="55">
        <f t="shared" si="390"/>
        <v>19</v>
      </c>
      <c r="AA614" s="49">
        <f>'MFMR Deemed Table '!BB289</f>
        <v>4.450336202059245</v>
      </c>
      <c r="AB614" s="698">
        <f>'MFMR Deemed Table '!P289</f>
        <v>2.0299999999999998</v>
      </c>
      <c r="AC614" s="2582">
        <f t="shared" si="391"/>
        <v>8.5268357623221007</v>
      </c>
      <c r="AD614" s="2582">
        <f t="shared" si="392"/>
        <v>0</v>
      </c>
      <c r="AE614" s="1380">
        <f>'MFMR Deemed Table '!BD289</f>
        <v>8.5268357623221007</v>
      </c>
      <c r="AF614" s="571"/>
      <c r="AG614" s="571"/>
      <c r="AH614" s="571"/>
      <c r="AI614" s="2598" t="str">
        <f>'MFMR Deemed Table '!Q289</f>
        <v>per measure</v>
      </c>
      <c r="AJ614" s="1589"/>
      <c r="AK614" s="84"/>
      <c r="AL614" s="84"/>
      <c r="AM614" s="1961">
        <f t="shared" si="406"/>
        <v>1.4925290000000001E-4</v>
      </c>
      <c r="AN614" s="84">
        <f t="shared" si="407"/>
        <v>2.2417785580000002E-3</v>
      </c>
      <c r="AO614" s="1965">
        <f t="shared" si="408"/>
        <v>-2.2144199999987041E-7</v>
      </c>
      <c r="AP614" s="84"/>
      <c r="AQ614" s="84"/>
      <c r="AR614" s="84"/>
      <c r="AS614" s="84"/>
      <c r="AT614" s="84"/>
      <c r="AU614" s="84"/>
      <c r="AV614" s="84"/>
    </row>
    <row r="615" spans="1:48" x14ac:dyDescent="0.35">
      <c r="A615" s="103" t="str">
        <f t="shared" si="388"/>
        <v>501402</v>
      </c>
      <c r="B615" s="3346" t="str">
        <f>'MFMR Deemed Table '!C290</f>
        <v>501402_2021_12_</v>
      </c>
      <c r="C615" s="3343" t="str">
        <f>'MFMR Deemed Table '!G290</f>
        <v>Lighting RES</v>
      </c>
      <c r="D615" s="3343"/>
      <c r="E615" s="3343"/>
      <c r="F615" s="3343"/>
      <c r="G615" s="3343" t="str">
        <f>'MFMR Deemed Table '!E290</f>
        <v xml:space="preserve">LED - 6W (CFL baseline) (310-749 lumens) </v>
      </c>
      <c r="H615" s="50" t="str">
        <f>'MFMR Deemed Table '!D290</f>
        <v>MFMR</v>
      </c>
      <c r="I615" s="1966">
        <f>'MFMR Deemed Table '!F290</f>
        <v>3.77</v>
      </c>
      <c r="J615" s="1966"/>
      <c r="K615" s="560"/>
      <c r="L615" s="560"/>
      <c r="M615" s="560"/>
      <c r="N615" s="560"/>
      <c r="O615" s="1967">
        <f>'MFMR Deemed Table '!M290</f>
        <v>5.62E-4</v>
      </c>
      <c r="P615" s="1967"/>
      <c r="Q615" s="1968"/>
      <c r="R615" s="1968"/>
      <c r="S615" s="1968"/>
      <c r="T615" s="1968"/>
      <c r="U615" s="1969"/>
      <c r="V615" s="1969"/>
      <c r="W615" s="1969">
        <f t="shared" si="405"/>
        <v>5.62E-4</v>
      </c>
      <c r="X615" s="55">
        <f>'MFMR Deemed Table '!N290</f>
        <v>19</v>
      </c>
      <c r="Y615" s="55"/>
      <c r="Z615" s="55">
        <f t="shared" si="390"/>
        <v>19</v>
      </c>
      <c r="AA615" s="49">
        <f>'MFMR Deemed Table '!BB290</f>
        <v>1.1170284608364416</v>
      </c>
      <c r="AB615" s="698">
        <f>'MFMR Deemed Table '!P290</f>
        <v>2.0299999999999998</v>
      </c>
      <c r="AC615" s="2582">
        <f t="shared" si="391"/>
        <v>2.1402244223671318</v>
      </c>
      <c r="AD615" s="2582">
        <f t="shared" si="392"/>
        <v>0</v>
      </c>
      <c r="AE615" s="1380">
        <f>'MFMR Deemed Table '!BD290</f>
        <v>2.1402244223671318</v>
      </c>
      <c r="AF615" s="571"/>
      <c r="AG615" s="571"/>
      <c r="AH615" s="571"/>
      <c r="AI615" s="2598" t="str">
        <f>'MFMR Deemed Table '!Q290</f>
        <v>per measure</v>
      </c>
      <c r="AJ615" s="1589"/>
      <c r="AK615" s="84"/>
      <c r="AL615" s="84"/>
      <c r="AM615" s="1961">
        <f t="shared" si="406"/>
        <v>1.4925290000000001E-4</v>
      </c>
      <c r="AN615" s="84">
        <f t="shared" si="407"/>
        <v>5.6268343300000002E-4</v>
      </c>
      <c r="AO615" s="1965">
        <f t="shared" si="408"/>
        <v>6.8343300000002494E-7</v>
      </c>
      <c r="AP615" s="84"/>
      <c r="AQ615" s="84"/>
      <c r="AR615" s="84"/>
      <c r="AS615" s="84"/>
      <c r="AT615" s="84"/>
      <c r="AU615" s="84"/>
      <c r="AV615" s="84"/>
    </row>
    <row r="616" spans="1:48" x14ac:dyDescent="0.35">
      <c r="A616" s="103" t="str">
        <f t="shared" si="388"/>
        <v>501450</v>
      </c>
      <c r="B616" s="3346" t="str">
        <f>'MFMR Deemed Table '!C291</f>
        <v>501450_2021_12_</v>
      </c>
      <c r="C616" s="3343" t="str">
        <f>'MFMR Deemed Table '!G291</f>
        <v>Lighting RES</v>
      </c>
      <c r="D616" s="3343"/>
      <c r="E616" s="3343"/>
      <c r="F616" s="3343"/>
      <c r="G616" s="3343" t="str">
        <f>'MFMR Deemed Table '!E291</f>
        <v>LED Nightlights</v>
      </c>
      <c r="H616" s="50" t="str">
        <f>'MFMR Deemed Table '!D291</f>
        <v>MFMR</v>
      </c>
      <c r="I616" s="1966">
        <f>'MFMR Deemed Table '!F291</f>
        <v>27.63</v>
      </c>
      <c r="J616" s="1966"/>
      <c r="K616" s="560"/>
      <c r="L616" s="560"/>
      <c r="M616" s="560"/>
      <c r="N616" s="560"/>
      <c r="O616" s="1967">
        <f>'MFMR Deemed Table '!M291</f>
        <v>4.1250000000000002E-3</v>
      </c>
      <c r="P616" s="1967"/>
      <c r="Q616" s="1968"/>
      <c r="R616" s="1968"/>
      <c r="S616" s="1968"/>
      <c r="T616" s="1968"/>
      <c r="U616" s="1969"/>
      <c r="V616" s="1969"/>
      <c r="W616" s="1969">
        <f t="shared" si="405"/>
        <v>4.1250000000000002E-3</v>
      </c>
      <c r="X616" s="55">
        <f>'MFMR Deemed Table '!N291</f>
        <v>19</v>
      </c>
      <c r="Y616" s="55"/>
      <c r="Z616" s="55">
        <f t="shared" si="390"/>
        <v>19</v>
      </c>
      <c r="AA616" s="49">
        <f>'MFMR Deemed Table '!BB291</f>
        <v>4.9608375341073732</v>
      </c>
      <c r="AB616" s="698">
        <f>'MFMR Deemed Table '!P291</f>
        <v>3.35</v>
      </c>
      <c r="AC616" s="2582">
        <f t="shared" si="391"/>
        <v>15.685517450929401</v>
      </c>
      <c r="AD616" s="2582">
        <f t="shared" si="392"/>
        <v>0</v>
      </c>
      <c r="AE616" s="1380">
        <f>'MFMR Deemed Table '!BD291</f>
        <v>15.685517450929401</v>
      </c>
      <c r="AF616" s="571"/>
      <c r="AG616" s="571"/>
      <c r="AH616" s="571"/>
      <c r="AI616" s="2598" t="str">
        <f>'MFMR Deemed Table '!Q291</f>
        <v>per measure</v>
      </c>
      <c r="AJ616" s="141"/>
      <c r="AM616" s="1596">
        <f t="shared" si="406"/>
        <v>1.4925290000000001E-4</v>
      </c>
      <c r="AN616">
        <f t="shared" si="407"/>
        <v>4.1238576270000004E-3</v>
      </c>
      <c r="AO616" s="1595">
        <f t="shared" si="408"/>
        <v>-1.1423729999997939E-6</v>
      </c>
    </row>
    <row r="617" spans="1:48" x14ac:dyDescent="0.35">
      <c r="A617" s="103" t="str">
        <f t="shared" si="388"/>
        <v>501500</v>
      </c>
      <c r="B617" s="3346" t="str">
        <f>'MFMR Deemed Table '!C371</f>
        <v>501500_2021_12_</v>
      </c>
      <c r="C617" s="3343" t="str">
        <f>'MFMR Deemed Table '!G371</f>
        <v>Water Heating RES</v>
      </c>
      <c r="D617" s="3343"/>
      <c r="E617" s="3343"/>
      <c r="F617" s="3343"/>
      <c r="G617" s="3343" t="str">
        <f>'MFMR Deemed Table '!E371</f>
        <v>Faucet Aerators (Kitchen) MFMR</v>
      </c>
      <c r="H617" s="50" t="str">
        <f>'MFMR Deemed Table '!D371</f>
        <v>MFMR</v>
      </c>
      <c r="I617" s="1966">
        <f>'MFMR Deemed Table '!F371</f>
        <v>110.18</v>
      </c>
      <c r="J617" s="1966"/>
      <c r="K617" s="560"/>
      <c r="L617" s="560"/>
      <c r="M617" s="560"/>
      <c r="N617" s="560"/>
      <c r="O617" s="1967">
        <f>'MFMR Deemed Table '!J371</f>
        <v>9.776E-3</v>
      </c>
      <c r="P617" s="1967"/>
      <c r="Q617" s="1968"/>
      <c r="R617" s="1968"/>
      <c r="S617" s="1968"/>
      <c r="T617" s="1968"/>
      <c r="U617" s="1969"/>
      <c r="V617" s="1969">
        <f t="shared" ref="V617:V636" si="409">O617</f>
        <v>9.776E-3</v>
      </c>
      <c r="W617" s="1969"/>
      <c r="X617" s="55">
        <f>'MFMR Deemed Table '!K371</f>
        <v>10</v>
      </c>
      <c r="Y617" s="55"/>
      <c r="Z617" s="55">
        <f t="shared" si="390"/>
        <v>10</v>
      </c>
      <c r="AA617" s="49">
        <f>'MFMR Deemed Table '!BB371</f>
        <v>4.9227061126063987</v>
      </c>
      <c r="AB617" s="2599">
        <f>'MFMR Deemed Table '!L371</f>
        <v>8</v>
      </c>
      <c r="AC617" s="2582">
        <f t="shared" si="391"/>
        <v>37.170031997028019</v>
      </c>
      <c r="AD617" s="2582">
        <f t="shared" si="392"/>
        <v>0</v>
      </c>
      <c r="AE617" s="1380">
        <f>'MFMR Deemed Table '!BD371</f>
        <v>37.170031997028019</v>
      </c>
      <c r="AF617" s="571"/>
      <c r="AG617" s="571"/>
      <c r="AH617" s="571"/>
      <c r="AI617" s="2600" t="str">
        <f>'MFMR Deemed Table '!M371</f>
        <v>per measure</v>
      </c>
      <c r="AJ617" s="141"/>
      <c r="AM617" s="1596">
        <f t="shared" si="406"/>
        <v>8.8731800000000003E-5</v>
      </c>
      <c r="AN617">
        <f t="shared" si="407"/>
        <v>9.7764697240000017E-3</v>
      </c>
      <c r="AO617" s="1595">
        <f t="shared" si="408"/>
        <v>4.6972400000178105E-7</v>
      </c>
    </row>
    <row r="618" spans="1:48" x14ac:dyDescent="0.35">
      <c r="A618" s="103" t="str">
        <f t="shared" si="388"/>
        <v>501550</v>
      </c>
      <c r="B618" s="3346" t="str">
        <f>'MFMR Deemed Table '!C406</f>
        <v>501550_2021_12_</v>
      </c>
      <c r="C618" s="3343" t="str">
        <f>'MFMR Deemed Table '!G406</f>
        <v>Water Heating RES</v>
      </c>
      <c r="D618" s="3343"/>
      <c r="E618" s="3343"/>
      <c r="F618" s="3343"/>
      <c r="G618" s="3343" t="str">
        <f>'MFMR Deemed Table '!E406</f>
        <v>Faucet Aerators (Bathroom) MFMR</v>
      </c>
      <c r="H618" s="50" t="str">
        <f>'MFMR Deemed Table '!D406</f>
        <v>MFMR</v>
      </c>
      <c r="I618" s="1966">
        <f>'MFMR Deemed Table '!F406</f>
        <v>71.37</v>
      </c>
      <c r="J618" s="1966"/>
      <c r="K618" s="560"/>
      <c r="L618" s="560"/>
      <c r="M618" s="560"/>
      <c r="N618" s="560"/>
      <c r="O618" s="1967">
        <f>'MFMR Deemed Table '!J406</f>
        <v>6.3330000000000001E-3</v>
      </c>
      <c r="P618" s="1967"/>
      <c r="Q618" s="1968"/>
      <c r="R618" s="1968"/>
      <c r="S618" s="1968"/>
      <c r="T618" s="1968"/>
      <c r="U618" s="1969"/>
      <c r="V618" s="1969">
        <f t="shared" si="409"/>
        <v>6.3330000000000001E-3</v>
      </c>
      <c r="W618" s="1969"/>
      <c r="X618" s="55">
        <f>'MFMR Deemed Table '!K406</f>
        <v>10</v>
      </c>
      <c r="Y618" s="55"/>
      <c r="Z618" s="55">
        <f t="shared" si="390"/>
        <v>10</v>
      </c>
      <c r="AA618" s="49">
        <f>'MFMR Deemed Table '!BB406</f>
        <v>3.1887233187213533</v>
      </c>
      <c r="AB618" s="698">
        <f>'MFMR Deemed Table '!L406</f>
        <v>8</v>
      </c>
      <c r="AC618" s="2582">
        <f t="shared" si="391"/>
        <v>24.077193534469867</v>
      </c>
      <c r="AD618" s="2582">
        <f t="shared" si="392"/>
        <v>0</v>
      </c>
      <c r="AE618" s="1380">
        <f>'MFMR Deemed Table '!BD406</f>
        <v>24.077193534469867</v>
      </c>
      <c r="AF618" s="571"/>
      <c r="AG618" s="571"/>
      <c r="AH618" s="571"/>
      <c r="AI618" s="2600" t="str">
        <f>'MFMR Deemed Table '!M406</f>
        <v>per measure</v>
      </c>
      <c r="AJ618" s="141"/>
      <c r="AM618" s="1596">
        <f t="shared" si="406"/>
        <v>8.8731800000000003E-5</v>
      </c>
      <c r="AN618">
        <f t="shared" si="407"/>
        <v>6.332788566000001E-3</v>
      </c>
      <c r="AO618" s="1595">
        <f t="shared" si="408"/>
        <v>-2.114339999990944E-7</v>
      </c>
    </row>
    <row r="619" spans="1:48" x14ac:dyDescent="0.35">
      <c r="A619" s="103" t="str">
        <f t="shared" si="388"/>
        <v>501600</v>
      </c>
      <c r="B619" s="3346" t="str">
        <f>'MFMR Deemed Table '!C441</f>
        <v>501600_2021_12_</v>
      </c>
      <c r="C619" s="3343" t="str">
        <f>'MFMR Deemed Table '!G441</f>
        <v>Water Heating RES</v>
      </c>
      <c r="D619" s="3343"/>
      <c r="E619" s="3343"/>
      <c r="F619" s="3343"/>
      <c r="G619" s="3343" t="str">
        <f>'MFMR Deemed Table '!E441</f>
        <v>Low Flow Showerhead MFMR</v>
      </c>
      <c r="H619" s="50" t="str">
        <f>'MFMR Deemed Table '!D441</f>
        <v>MFMR</v>
      </c>
      <c r="I619" s="1966">
        <f>'MFMR Deemed Table '!F441</f>
        <v>404.92</v>
      </c>
      <c r="J619" s="1966"/>
      <c r="K619" s="560"/>
      <c r="L619" s="560"/>
      <c r="M619" s="560"/>
      <c r="N619" s="560"/>
      <c r="O619" s="1967">
        <f>'MFMR Deemed Table '!J441</f>
        <v>3.5929000000000003E-2</v>
      </c>
      <c r="P619" s="1967"/>
      <c r="Q619" s="1968"/>
      <c r="R619" s="1968"/>
      <c r="S619" s="1968"/>
      <c r="T619" s="1968"/>
      <c r="U619" s="1969"/>
      <c r="V619" s="1969">
        <f t="shared" si="409"/>
        <v>3.5929000000000003E-2</v>
      </c>
      <c r="W619" s="1969"/>
      <c r="X619" s="55">
        <f>'MFMR Deemed Table '!K441</f>
        <v>10</v>
      </c>
      <c r="Y619" s="55"/>
      <c r="Z619" s="55">
        <f t="shared" si="390"/>
        <v>10</v>
      </c>
      <c r="AA619" s="49">
        <f>'MFMR Deemed Table '!BB441</f>
        <v>20.67579969521648</v>
      </c>
      <c r="AB619" s="698">
        <f>'MFMR Deemed Table '!L441</f>
        <v>7</v>
      </c>
      <c r="AC619" s="2582">
        <f t="shared" si="391"/>
        <v>136.60273512648925</v>
      </c>
      <c r="AD619" s="2582">
        <f t="shared" si="392"/>
        <v>0</v>
      </c>
      <c r="AE619" s="1380">
        <f>'MFMR Deemed Table '!BD441</f>
        <v>136.60273512648925</v>
      </c>
      <c r="AF619" s="571"/>
      <c r="AG619" s="571"/>
      <c r="AH619" s="571"/>
      <c r="AI619" s="2600" t="str">
        <f>'MFMR Deemed Table '!M441</f>
        <v>per measure</v>
      </c>
      <c r="AJ619" s="141"/>
      <c r="AM619" s="1596">
        <f t="shared" si="406"/>
        <v>8.8731800000000003E-5</v>
      </c>
      <c r="AN619">
        <f t="shared" si="407"/>
        <v>3.5929280456000003E-2</v>
      </c>
      <c r="AO619" s="1595">
        <f t="shared" si="408"/>
        <v>2.804559999999845E-7</v>
      </c>
    </row>
    <row r="620" spans="1:48" x14ac:dyDescent="0.35">
      <c r="A620" s="103" t="str">
        <f t="shared" si="388"/>
        <v>501650</v>
      </c>
      <c r="B620" s="3346" t="str">
        <f>'MFMR Deemed Table '!C477</f>
        <v>501650_2019_12_</v>
      </c>
      <c r="C620" s="3343" t="str">
        <f>'MFMR Deemed Table '!G477</f>
        <v>Miscellaneous RES</v>
      </c>
      <c r="D620" s="3343"/>
      <c r="E620" s="3343"/>
      <c r="F620" s="3343"/>
      <c r="G620" s="3343" t="str">
        <f>'MFMR Deemed Table '!E477</f>
        <v>Advanced Tier 1 Power Strips / TOS/NC/DI - Home Office</v>
      </c>
      <c r="H620" s="50" t="str">
        <f>'MFMR Deemed Table '!D477</f>
        <v>MFMR</v>
      </c>
      <c r="I620" s="1966">
        <f>'MFMR Deemed Table '!F477</f>
        <v>29.45</v>
      </c>
      <c r="J620" s="1966"/>
      <c r="K620" s="560"/>
      <c r="L620" s="560"/>
      <c r="M620" s="560"/>
      <c r="N620" s="560"/>
      <c r="O620" s="1967">
        <f>'MFMR Deemed Table '!I477</f>
        <v>3.382E-3</v>
      </c>
      <c r="P620" s="1967"/>
      <c r="Q620" s="1968"/>
      <c r="R620" s="1968"/>
      <c r="S620" s="1968"/>
      <c r="T620" s="1968"/>
      <c r="U620" s="1969"/>
      <c r="V620" s="1969">
        <f t="shared" si="409"/>
        <v>3.382E-3</v>
      </c>
      <c r="W620" s="1969"/>
      <c r="X620" s="55">
        <f>'MFMR Deemed Table '!J477</f>
        <v>10</v>
      </c>
      <c r="Y620" s="55"/>
      <c r="Z620" s="55">
        <f t="shared" si="390"/>
        <v>10</v>
      </c>
      <c r="AA620" s="49">
        <f>'MFMR Deemed Table '!BB477</f>
        <v>0.5393865650555788</v>
      </c>
      <c r="AB620" s="698">
        <f>'MFMR Deemed Table '!K477</f>
        <v>20</v>
      </c>
      <c r="AC620" s="2582">
        <f t="shared" si="391"/>
        <v>10.181907787740986</v>
      </c>
      <c r="AD620" s="2582">
        <f t="shared" si="392"/>
        <v>0</v>
      </c>
      <c r="AE620" s="1380">
        <f>'MFMR Deemed Table '!BD477</f>
        <v>10.181907787740986</v>
      </c>
      <c r="AF620" s="571"/>
      <c r="AG620" s="571"/>
      <c r="AH620" s="571"/>
      <c r="AI620" s="3346" t="str">
        <f>'MFMR Deemed Table '!L477</f>
        <v>per measure</v>
      </c>
      <c r="AJ620" s="141"/>
      <c r="AM620" s="1596">
        <f t="shared" si="406"/>
        <v>1.148238E-4</v>
      </c>
      <c r="AN620">
        <f t="shared" si="407"/>
        <v>3.3815609099999999E-3</v>
      </c>
      <c r="AO620" s="1595">
        <f t="shared" si="408"/>
        <v>-4.3909000000015574E-7</v>
      </c>
    </row>
    <row r="621" spans="1:48" x14ac:dyDescent="0.35">
      <c r="A621" s="103" t="str">
        <f t="shared" si="388"/>
        <v>501700</v>
      </c>
      <c r="B621" s="3346" t="str">
        <f>'MFMR Deemed Table '!C478</f>
        <v>501700_2019_12_</v>
      </c>
      <c r="C621" s="3343" t="str">
        <f>'MFMR Deemed Table '!G478</f>
        <v>Miscellaneous RES</v>
      </c>
      <c r="D621" s="3343"/>
      <c r="E621" s="3343"/>
      <c r="F621" s="3343"/>
      <c r="G621" s="3343" t="str">
        <f>'MFMR Deemed Table '!E478</f>
        <v>Advanced Tier 1 Power Strips / Kits - Home Office</v>
      </c>
      <c r="H621" s="50" t="str">
        <f>'MFMR Deemed Table '!D478</f>
        <v>MFMR</v>
      </c>
      <c r="I621" s="1966">
        <f>'MFMR Deemed Table '!F478</f>
        <v>29.08</v>
      </c>
      <c r="J621" s="1966"/>
      <c r="K621" s="560"/>
      <c r="L621" s="560"/>
      <c r="M621" s="560"/>
      <c r="N621" s="560"/>
      <c r="O621" s="1967">
        <f>'MFMR Deemed Table '!I478</f>
        <v>3.339E-3</v>
      </c>
      <c r="P621" s="1967"/>
      <c r="Q621" s="1968"/>
      <c r="R621" s="1968"/>
      <c r="S621" s="1968"/>
      <c r="T621" s="1968"/>
      <c r="U621" s="1969"/>
      <c r="V621" s="1969">
        <f t="shared" si="409"/>
        <v>3.339E-3</v>
      </c>
      <c r="W621" s="1969"/>
      <c r="X621" s="55">
        <f>'MFMR Deemed Table '!J478</f>
        <v>10</v>
      </c>
      <c r="Y621" s="55"/>
      <c r="Z621" s="55">
        <f t="shared" si="390"/>
        <v>10</v>
      </c>
      <c r="AA621" s="49">
        <f>'MFMR Deemed Table '!BB478</f>
        <v>0.53260989174248663</v>
      </c>
      <c r="AB621" s="698">
        <f>'MFMR Deemed Table '!K478</f>
        <v>20</v>
      </c>
      <c r="AC621" s="2582">
        <f t="shared" si="391"/>
        <v>10.053985686502815</v>
      </c>
      <c r="AD621" s="2582">
        <f t="shared" si="392"/>
        <v>0</v>
      </c>
      <c r="AE621" s="1380">
        <f>'MFMR Deemed Table '!BD478</f>
        <v>10.053985686502815</v>
      </c>
      <c r="AF621" s="571"/>
      <c r="AG621" s="571"/>
      <c r="AH621" s="571"/>
      <c r="AI621" s="3346" t="str">
        <f>'MFMR Deemed Table '!L478</f>
        <v>per measure</v>
      </c>
      <c r="AJ621" s="141"/>
      <c r="AM621" s="1596">
        <f t="shared" si="406"/>
        <v>1.148238E-4</v>
      </c>
      <c r="AN621">
        <f t="shared" si="407"/>
        <v>3.3390761039999999E-3</v>
      </c>
      <c r="AO621" s="1595">
        <f t="shared" si="408"/>
        <v>7.6103999999913713E-8</v>
      </c>
    </row>
    <row r="622" spans="1:48" x14ac:dyDescent="0.35">
      <c r="A622" s="103" t="str">
        <f t="shared" si="388"/>
        <v>501750</v>
      </c>
      <c r="B622" s="3346" t="str">
        <f>'MFMR Deemed Table '!C479</f>
        <v>501750_2019_12_</v>
      </c>
      <c r="C622" s="3343" t="str">
        <f>'MFMR Deemed Table '!G479</f>
        <v>Miscellaneous RES</v>
      </c>
      <c r="D622" s="3343"/>
      <c r="E622" s="3343"/>
      <c r="F622" s="3343"/>
      <c r="G622" s="3343" t="str">
        <f>'MFMR Deemed Table '!E479</f>
        <v>Advanced Tier 1 Power Strips / TOS/NC/DI - Home Entertainment</v>
      </c>
      <c r="H622" s="50" t="str">
        <f>'MFMR Deemed Table '!D479</f>
        <v>MFMR</v>
      </c>
      <c r="I622" s="1966">
        <f>'MFMR Deemed Table '!F479</f>
        <v>71.349999999999994</v>
      </c>
      <c r="J622" s="1966"/>
      <c r="K622" s="560"/>
      <c r="L622" s="560"/>
      <c r="M622" s="560"/>
      <c r="N622" s="560"/>
      <c r="O622" s="1967">
        <f>'MFMR Deemed Table '!I479</f>
        <v>8.1930000000000006E-3</v>
      </c>
      <c r="P622" s="1967"/>
      <c r="Q622" s="1968"/>
      <c r="R622" s="1968"/>
      <c r="S622" s="1968"/>
      <c r="T622" s="1968"/>
      <c r="U622" s="1969"/>
      <c r="V622" s="1969">
        <f t="shared" si="409"/>
        <v>8.1930000000000006E-3</v>
      </c>
      <c r="W622" s="1969"/>
      <c r="X622" s="55">
        <f>'MFMR Deemed Table '!J479</f>
        <v>10</v>
      </c>
      <c r="Y622" s="55"/>
      <c r="Z622" s="55">
        <f t="shared" si="390"/>
        <v>10</v>
      </c>
      <c r="AA622" s="49">
        <f>'MFMR Deemed Table '!BB479</f>
        <v>1.3067990294300695</v>
      </c>
      <c r="AB622" s="698">
        <f>'MFMR Deemed Table '!K479</f>
        <v>20</v>
      </c>
      <c r="AC622" s="2582">
        <f t="shared" si="391"/>
        <v>24.668221414442083</v>
      </c>
      <c r="AD622" s="2582">
        <f t="shared" si="392"/>
        <v>0</v>
      </c>
      <c r="AE622" s="1380">
        <f>'MFMR Deemed Table '!BD479</f>
        <v>24.668221414442083</v>
      </c>
      <c r="AF622" s="571"/>
      <c r="AG622" s="571"/>
      <c r="AH622" s="571"/>
      <c r="AI622" s="3346" t="str">
        <f>'MFMR Deemed Table '!L479</f>
        <v>per measure</v>
      </c>
      <c r="AJ622" s="141"/>
      <c r="AM622" s="1596">
        <f t="shared" si="406"/>
        <v>1.148238E-4</v>
      </c>
      <c r="AN622">
        <f t="shared" si="407"/>
        <v>8.1926781299999987E-3</v>
      </c>
      <c r="AO622" s="1595">
        <f t="shared" si="408"/>
        <v>-3.2187000000190313E-7</v>
      </c>
    </row>
    <row r="623" spans="1:48" x14ac:dyDescent="0.35">
      <c r="A623" s="103" t="str">
        <f t="shared" si="388"/>
        <v>501800</v>
      </c>
      <c r="B623" s="3346" t="str">
        <f>'MFMR Deemed Table '!C480</f>
        <v>501800_2019_12_</v>
      </c>
      <c r="C623" s="3343" t="str">
        <f>'MFMR Deemed Table '!G480</f>
        <v>Miscellaneous RES</v>
      </c>
      <c r="D623" s="3343"/>
      <c r="E623" s="3343"/>
      <c r="F623" s="3343"/>
      <c r="G623" s="3343" t="str">
        <f>'MFMR Deemed Table '!E480</f>
        <v>Advanced Tier 1 Power Strips / Kits - Home Entertainment</v>
      </c>
      <c r="H623" s="50" t="str">
        <f>'MFMR Deemed Table '!D480</f>
        <v>MFMR</v>
      </c>
      <c r="I623" s="1966">
        <f>'MFMR Deemed Table '!F480</f>
        <v>70.44</v>
      </c>
      <c r="J623" s="1966"/>
      <c r="K623" s="560"/>
      <c r="L623" s="560"/>
      <c r="M623" s="560"/>
      <c r="N623" s="560"/>
      <c r="O623" s="1967">
        <f>'MFMR Deemed Table '!I480</f>
        <v>8.0879999999999997E-3</v>
      </c>
      <c r="P623" s="1967"/>
      <c r="Q623" s="1968"/>
      <c r="R623" s="1968"/>
      <c r="S623" s="1968"/>
      <c r="T623" s="1968"/>
      <c r="U623" s="1969"/>
      <c r="V623" s="1969">
        <f t="shared" si="409"/>
        <v>8.0879999999999997E-3</v>
      </c>
      <c r="W623" s="1969"/>
      <c r="X623" s="55">
        <f>'MFMR Deemed Table '!J480</f>
        <v>10</v>
      </c>
      <c r="Y623" s="55"/>
      <c r="Z623" s="55">
        <f t="shared" si="390"/>
        <v>10</v>
      </c>
      <c r="AA623" s="49">
        <f>'MFMR Deemed Table '!BB480</f>
        <v>1.2901320761465187</v>
      </c>
      <c r="AB623" s="698">
        <f>'MFMR Deemed Table '!K480</f>
        <v>20</v>
      </c>
      <c r="AC623" s="2582">
        <f t="shared" si="391"/>
        <v>24.353602192477933</v>
      </c>
      <c r="AD623" s="2582">
        <f t="shared" si="392"/>
        <v>0</v>
      </c>
      <c r="AE623" s="1380">
        <f>'MFMR Deemed Table '!BD480</f>
        <v>24.353602192477933</v>
      </c>
      <c r="AF623" s="571"/>
      <c r="AG623" s="571"/>
      <c r="AH623" s="571"/>
      <c r="AI623" s="3346" t="str">
        <f>'MFMR Deemed Table '!L480</f>
        <v>per measure</v>
      </c>
      <c r="AJ623" s="141"/>
      <c r="AM623" s="1596">
        <f t="shared" si="406"/>
        <v>1.148238E-4</v>
      </c>
      <c r="AN623">
        <f t="shared" si="407"/>
        <v>8.0881884719999995E-3</v>
      </c>
      <c r="AO623" s="1595">
        <f t="shared" si="408"/>
        <v>1.8847199999977304E-7</v>
      </c>
    </row>
    <row r="624" spans="1:48" x14ac:dyDescent="0.35">
      <c r="A624" s="103" t="str">
        <f t="shared" si="388"/>
        <v>501850</v>
      </c>
      <c r="B624" s="3346" t="str">
        <f>'MFMR Deemed Table '!C481</f>
        <v>501850_2019_12_</v>
      </c>
      <c r="C624" s="3343" t="str">
        <f>'MFMR Deemed Table '!G481</f>
        <v>Miscellaneous RES</v>
      </c>
      <c r="D624" s="3343"/>
      <c r="E624" s="3343"/>
      <c r="F624" s="3343"/>
      <c r="G624" s="3343" t="str">
        <f>'MFMR Deemed Table '!E481</f>
        <v>Advanced Tier 1 Power Strips / TOS/NC/DI - Unknown Location</v>
      </c>
      <c r="H624" s="50" t="str">
        <f>'MFMR Deemed Table '!D481</f>
        <v>MFMR</v>
      </c>
      <c r="I624" s="1966">
        <f>'MFMR Deemed Table '!F481</f>
        <v>56.26</v>
      </c>
      <c r="J624" s="1966"/>
      <c r="K624" s="560"/>
      <c r="L624" s="560"/>
      <c r="M624" s="560"/>
      <c r="N624" s="560"/>
      <c r="O624" s="1967">
        <f>'MFMR Deemed Table '!I481</f>
        <v>6.4599999999999996E-3</v>
      </c>
      <c r="P624" s="1967"/>
      <c r="Q624" s="1968"/>
      <c r="R624" s="1968"/>
      <c r="S624" s="1968"/>
      <c r="T624" s="1968"/>
      <c r="U624" s="1969"/>
      <c r="V624" s="1969">
        <f t="shared" si="409"/>
        <v>6.4599999999999996E-3</v>
      </c>
      <c r="W624" s="1969"/>
      <c r="X624" s="55">
        <f>'MFMR Deemed Table '!J481</f>
        <v>10</v>
      </c>
      <c r="Y624" s="55"/>
      <c r="Z624" s="55">
        <f t="shared" si="390"/>
        <v>10</v>
      </c>
      <c r="AA624" s="49">
        <f>'MFMR Deemed Table '!BB481</f>
        <v>1.030420650255581</v>
      </c>
      <c r="AB624" s="698">
        <f>'MFMR Deemed Table '!K481</f>
        <v>20</v>
      </c>
      <c r="AC624" s="2582">
        <f t="shared" si="391"/>
        <v>19.451074096377177</v>
      </c>
      <c r="AD624" s="2582">
        <f t="shared" si="392"/>
        <v>0</v>
      </c>
      <c r="AE624" s="1380">
        <f>'MFMR Deemed Table '!BD481</f>
        <v>19.451074096377177</v>
      </c>
      <c r="AF624" s="571"/>
      <c r="AG624" s="571"/>
      <c r="AH624" s="571"/>
      <c r="AI624" s="3346" t="str">
        <f>'MFMR Deemed Table '!L481</f>
        <v>per measure</v>
      </c>
      <c r="AJ624" s="141"/>
      <c r="AM624" s="1596">
        <f t="shared" si="406"/>
        <v>1.148238E-4</v>
      </c>
      <c r="AN624">
        <f t="shared" si="407"/>
        <v>6.4599869879999995E-3</v>
      </c>
      <c r="AO624" s="1595">
        <f t="shared" si="408"/>
        <v>-1.3012000000048318E-8</v>
      </c>
    </row>
    <row r="625" spans="1:48" x14ac:dyDescent="0.35">
      <c r="A625" s="103" t="str">
        <f t="shared" si="388"/>
        <v>501900</v>
      </c>
      <c r="B625" s="3346" t="str">
        <f>'MFMR Deemed Table '!C482</f>
        <v>501900_2019_12_</v>
      </c>
      <c r="C625" s="3343" t="str">
        <f>'MFMR Deemed Table '!G482</f>
        <v>Miscellaneous RES</v>
      </c>
      <c r="D625" s="3343"/>
      <c r="E625" s="3343"/>
      <c r="F625" s="3343"/>
      <c r="G625" s="3343" t="str">
        <f>'MFMR Deemed Table '!E482</f>
        <v>Advanced Tier 1 Power  / Kits - Unknown Location</v>
      </c>
      <c r="H625" s="50" t="str">
        <f>'MFMR Deemed Table '!D482</f>
        <v>MFMR</v>
      </c>
      <c r="I625" s="1966">
        <f>'MFMR Deemed Table '!F482</f>
        <v>50.59</v>
      </c>
      <c r="J625" s="1966"/>
      <c r="K625" s="560"/>
      <c r="L625" s="560"/>
      <c r="M625" s="560"/>
      <c r="N625" s="560"/>
      <c r="O625" s="1967">
        <f>'MFMR Deemed Table '!I482</f>
        <v>5.8089999999999999E-3</v>
      </c>
      <c r="P625" s="1967"/>
      <c r="Q625" s="1968"/>
      <c r="R625" s="1968"/>
      <c r="S625" s="1968"/>
      <c r="T625" s="1968"/>
      <c r="U625" s="1969"/>
      <c r="V625" s="1969">
        <f t="shared" si="409"/>
        <v>5.8089999999999999E-3</v>
      </c>
      <c r="W625" s="1969"/>
      <c r="X625" s="55">
        <f>'MFMR Deemed Table '!J482</f>
        <v>10</v>
      </c>
      <c r="Y625" s="55"/>
      <c r="Z625" s="55">
        <f t="shared" si="390"/>
        <v>10</v>
      </c>
      <c r="AA625" s="49">
        <f>'MFMR Deemed Table '!BB482</f>
        <v>0.9265727105657634</v>
      </c>
      <c r="AB625" s="698">
        <f>'MFMR Deemed Table '!K482</f>
        <v>20</v>
      </c>
      <c r="AC625" s="2582">
        <f t="shared" si="391"/>
        <v>17.490754328754381</v>
      </c>
      <c r="AD625" s="2582">
        <f t="shared" si="392"/>
        <v>0</v>
      </c>
      <c r="AE625" s="1380">
        <f>'MFMR Deemed Table '!BD482</f>
        <v>17.490754328754381</v>
      </c>
      <c r="AF625" s="571"/>
      <c r="AG625" s="571"/>
      <c r="AH625" s="571"/>
      <c r="AI625" s="3346" t="str">
        <f>'MFMR Deemed Table '!L482</f>
        <v>per measure</v>
      </c>
      <c r="AJ625" s="141"/>
      <c r="AM625" s="1596">
        <f t="shared" si="406"/>
        <v>1.148238E-4</v>
      </c>
      <c r="AN625">
        <f t="shared" si="407"/>
        <v>5.8089360420000005E-3</v>
      </c>
      <c r="AO625" s="1595">
        <f t="shared" si="408"/>
        <v>-6.3957999999440796E-8</v>
      </c>
    </row>
    <row r="626" spans="1:48" x14ac:dyDescent="0.35">
      <c r="A626" s="103" t="str">
        <f t="shared" si="388"/>
        <v>501950</v>
      </c>
      <c r="B626" s="3346" t="str">
        <f>'MFMR Deemed Table '!C510</f>
        <v>501950_2019_12_</v>
      </c>
      <c r="C626" s="3343" t="str">
        <f>'MFMR Deemed Table '!G510</f>
        <v>Miscellaneous RES</v>
      </c>
      <c r="D626" s="3343"/>
      <c r="E626" s="3343"/>
      <c r="F626" s="3343"/>
      <c r="G626" s="3343" t="str">
        <f>'MFMR Deemed Table '!E510</f>
        <v>Advanced Tier 2 Power Strips  -  A</v>
      </c>
      <c r="H626" s="50" t="str">
        <f>'MFMR Deemed Table '!D510</f>
        <v>MFMR</v>
      </c>
      <c r="I626" s="1966">
        <f>'MFMR Deemed Table '!F510</f>
        <v>237.6</v>
      </c>
      <c r="J626" s="1966"/>
      <c r="K626" s="560"/>
      <c r="L626" s="560"/>
      <c r="M626" s="560"/>
      <c r="N626" s="560"/>
      <c r="O626" s="1967">
        <f>'MFMR Deemed Table '!I510</f>
        <v>2.7282000000000001E-2</v>
      </c>
      <c r="P626" s="1967"/>
      <c r="Q626" s="1968"/>
      <c r="R626" s="1968"/>
      <c r="S626" s="1968"/>
      <c r="T626" s="1968"/>
      <c r="U626" s="1969"/>
      <c r="V626" s="1969">
        <f t="shared" si="409"/>
        <v>2.7282000000000001E-2</v>
      </c>
      <c r="W626" s="1969"/>
      <c r="X626" s="55">
        <f>'MFMR Deemed Table '!J510</f>
        <v>10</v>
      </c>
      <c r="Y626" s="55"/>
      <c r="Z626" s="55">
        <f t="shared" si="390"/>
        <v>10</v>
      </c>
      <c r="AA626" s="49">
        <f>'MFMR Deemed Table '!BB510</f>
        <v>2.9011487913345904</v>
      </c>
      <c r="AB626" s="698">
        <f>'MFMR Deemed Table '!K510</f>
        <v>30</v>
      </c>
      <c r="AC626" s="2582">
        <f t="shared" si="391"/>
        <v>82.146733119431531</v>
      </c>
      <c r="AD626" s="2582">
        <f t="shared" si="392"/>
        <v>0</v>
      </c>
      <c r="AE626" s="1380">
        <f>'MFMR Deemed Table '!BD510</f>
        <v>82.146733119431531</v>
      </c>
      <c r="AF626" s="571"/>
      <c r="AG626" s="571"/>
      <c r="AH626" s="571"/>
      <c r="AI626" s="3346" t="str">
        <f>'MFMR Deemed Table '!L510</f>
        <v>per measure</v>
      </c>
      <c r="AJ626" s="141"/>
      <c r="AM626" s="1596">
        <f t="shared" si="406"/>
        <v>1.148238E-4</v>
      </c>
      <c r="AN626">
        <f t="shared" si="407"/>
        <v>2.728213488E-2</v>
      </c>
      <c r="AO626" s="1595">
        <f t="shared" si="408"/>
        <v>1.348799999988104E-7</v>
      </c>
    </row>
    <row r="627" spans="1:48" x14ac:dyDescent="0.35">
      <c r="A627" s="103" t="str">
        <f t="shared" si="388"/>
        <v>502000</v>
      </c>
      <c r="B627" s="3346" t="str">
        <f>'MFMR Deemed Table '!C511</f>
        <v>502000_2019_12_</v>
      </c>
      <c r="C627" s="3343" t="str">
        <f>'MFMR Deemed Table '!G511</f>
        <v>Miscellaneous RES</v>
      </c>
      <c r="D627" s="3343"/>
      <c r="E627" s="3343"/>
      <c r="F627" s="3343"/>
      <c r="G627" s="3343" t="str">
        <f>'MFMR Deemed Table '!E511</f>
        <v>Advanced Tier 2 Power Strips -  B</v>
      </c>
      <c r="H627" s="50" t="str">
        <f>'MFMR Deemed Table '!D511</f>
        <v>MFMR</v>
      </c>
      <c r="I627" s="1966">
        <f>'MFMR Deemed Table '!F511</f>
        <v>216</v>
      </c>
      <c r="J627" s="1966"/>
      <c r="K627" s="560"/>
      <c r="L627" s="560"/>
      <c r="M627" s="560"/>
      <c r="N627" s="560"/>
      <c r="O627" s="1967">
        <f>'MFMR Deemed Table '!I511</f>
        <v>2.4802000000000001E-2</v>
      </c>
      <c r="P627" s="1967"/>
      <c r="Q627" s="1968"/>
      <c r="R627" s="1968"/>
      <c r="S627" s="1968"/>
      <c r="T627" s="1968"/>
      <c r="U627" s="1969"/>
      <c r="V627" s="1969">
        <f t="shared" si="409"/>
        <v>2.4802000000000001E-2</v>
      </c>
      <c r="W627" s="1969"/>
      <c r="X627" s="55">
        <f>'MFMR Deemed Table '!J511</f>
        <v>10</v>
      </c>
      <c r="Y627" s="55"/>
      <c r="Z627" s="55">
        <f t="shared" si="390"/>
        <v>10</v>
      </c>
      <c r="AA627" s="49">
        <f>'MFMR Deemed Table '!BB511</f>
        <v>2.637407992122355</v>
      </c>
      <c r="AB627" s="698">
        <f>'MFMR Deemed Table '!K511</f>
        <v>30</v>
      </c>
      <c r="AC627" s="2582">
        <f t="shared" si="391"/>
        <v>74.678848290392295</v>
      </c>
      <c r="AD627" s="2582">
        <f t="shared" si="392"/>
        <v>0</v>
      </c>
      <c r="AE627" s="1380">
        <f>'MFMR Deemed Table '!BD511</f>
        <v>74.678848290392295</v>
      </c>
      <c r="AF627" s="571"/>
      <c r="AG627" s="571"/>
      <c r="AH627" s="571"/>
      <c r="AI627" s="3346" t="str">
        <f>'MFMR Deemed Table '!L511</f>
        <v>per measure</v>
      </c>
      <c r="AJ627" s="141"/>
      <c r="AM627" s="1596">
        <f t="shared" si="406"/>
        <v>1.148238E-4</v>
      </c>
      <c r="AN627">
        <f t="shared" si="407"/>
        <v>2.4801940799999998E-2</v>
      </c>
      <c r="AO627" s="1595">
        <f t="shared" si="408"/>
        <v>-5.9200000002840314E-8</v>
      </c>
    </row>
    <row r="628" spans="1:48" x14ac:dyDescent="0.35">
      <c r="A628" s="103" t="str">
        <f t="shared" si="388"/>
        <v>502050</v>
      </c>
      <c r="B628" s="3346" t="str">
        <f>'MFMR Deemed Table '!C512</f>
        <v>502050_2019_12_</v>
      </c>
      <c r="C628" s="3343" t="str">
        <f>'MFMR Deemed Table '!G512</f>
        <v>Miscellaneous RES</v>
      </c>
      <c r="D628" s="3343"/>
      <c r="E628" s="3343"/>
      <c r="F628" s="3343"/>
      <c r="G628" s="3343" t="str">
        <f>'MFMR Deemed Table '!E512</f>
        <v>Advanced Tier 2 Power Strips -  C</v>
      </c>
      <c r="H628" s="50" t="str">
        <f>'MFMR Deemed Table '!D512</f>
        <v>MFMR</v>
      </c>
      <c r="I628" s="1966">
        <f>'MFMR Deemed Table '!F512</f>
        <v>194.4</v>
      </c>
      <c r="J628" s="1966"/>
      <c r="K628" s="560"/>
      <c r="L628" s="560"/>
      <c r="M628" s="560"/>
      <c r="N628" s="560"/>
      <c r="O628" s="1967">
        <f>'MFMR Deemed Table '!I512</f>
        <v>2.2322000000000002E-2</v>
      </c>
      <c r="P628" s="1967"/>
      <c r="Q628" s="1968"/>
      <c r="R628" s="1968"/>
      <c r="S628" s="1968"/>
      <c r="T628" s="1968"/>
      <c r="U628" s="1969"/>
      <c r="V628" s="1969">
        <f t="shared" si="409"/>
        <v>2.2322000000000002E-2</v>
      </c>
      <c r="W628" s="1969"/>
      <c r="X628" s="55">
        <f>'MFMR Deemed Table '!J512</f>
        <v>10</v>
      </c>
      <c r="Y628" s="55"/>
      <c r="Z628" s="55">
        <f t="shared" si="390"/>
        <v>10</v>
      </c>
      <c r="AA628" s="49">
        <f>'MFMR Deemed Table '!BB512</f>
        <v>2.3736671929101196</v>
      </c>
      <c r="AB628" s="698">
        <f>'MFMR Deemed Table '!K512</f>
        <v>30</v>
      </c>
      <c r="AC628" s="2582">
        <f t="shared" si="391"/>
        <v>67.210963461353074</v>
      </c>
      <c r="AD628" s="2582">
        <f t="shared" si="392"/>
        <v>0</v>
      </c>
      <c r="AE628" s="1380">
        <f>'MFMR Deemed Table '!BD512</f>
        <v>67.210963461353074</v>
      </c>
      <c r="AF628" s="571"/>
      <c r="AG628" s="571"/>
      <c r="AH628" s="571"/>
      <c r="AI628" s="3346" t="str">
        <f>'MFMR Deemed Table '!L512</f>
        <v>per measure</v>
      </c>
      <c r="AJ628" s="141"/>
      <c r="AM628" s="1596">
        <f t="shared" si="406"/>
        <v>1.148238E-4</v>
      </c>
      <c r="AN628">
        <f t="shared" si="407"/>
        <v>2.2321746720000001E-2</v>
      </c>
      <c r="AO628" s="1595">
        <f t="shared" si="408"/>
        <v>-2.5328000000102158E-7</v>
      </c>
    </row>
    <row r="629" spans="1:48" x14ac:dyDescent="0.35">
      <c r="A629" s="103" t="str">
        <f t="shared" si="388"/>
        <v>502100</v>
      </c>
      <c r="B629" s="3346" t="str">
        <f>'MFMR Deemed Table '!C513</f>
        <v>502100_2019_12_</v>
      </c>
      <c r="C629" s="3343" t="str">
        <f>'MFMR Deemed Table '!G513</f>
        <v>Miscellaneous RES</v>
      </c>
      <c r="D629" s="3343"/>
      <c r="E629" s="3343"/>
      <c r="F629" s="3343"/>
      <c r="G629" s="3343" t="str">
        <f>'MFMR Deemed Table '!E513</f>
        <v>Advanced Tier 2 Power Strips -  D</v>
      </c>
      <c r="H629" s="50" t="str">
        <f>'MFMR Deemed Table '!D513</f>
        <v>MFMR</v>
      </c>
      <c r="I629" s="1966">
        <f>'MFMR Deemed Table '!F513</f>
        <v>172.8</v>
      </c>
      <c r="J629" s="1966"/>
      <c r="K629" s="560"/>
      <c r="L629" s="560"/>
      <c r="M629" s="560"/>
      <c r="N629" s="560"/>
      <c r="O629" s="1967">
        <f>'MFMR Deemed Table '!I513</f>
        <v>1.9841999999999999E-2</v>
      </c>
      <c r="P629" s="1967"/>
      <c r="Q629" s="1968"/>
      <c r="R629" s="1968"/>
      <c r="S629" s="1968"/>
      <c r="T629" s="1968"/>
      <c r="U629" s="1969"/>
      <c r="V629" s="1969">
        <f t="shared" si="409"/>
        <v>1.9841999999999999E-2</v>
      </c>
      <c r="W629" s="1969"/>
      <c r="X629" s="55">
        <f>'MFMR Deemed Table '!J513</f>
        <v>10</v>
      </c>
      <c r="Y629" s="55"/>
      <c r="Z629" s="55">
        <f t="shared" si="390"/>
        <v>10</v>
      </c>
      <c r="AA629" s="49">
        <f>'MFMR Deemed Table '!BB513</f>
        <v>2.1099263936978838</v>
      </c>
      <c r="AB629" s="698">
        <f>'MFMR Deemed Table '!K513</f>
        <v>30</v>
      </c>
      <c r="AC629" s="2582">
        <f t="shared" si="391"/>
        <v>59.743078632313839</v>
      </c>
      <c r="AD629" s="2582">
        <f t="shared" si="392"/>
        <v>0</v>
      </c>
      <c r="AE629" s="1380">
        <f>'MFMR Deemed Table '!BD513</f>
        <v>59.743078632313839</v>
      </c>
      <c r="AF629" s="571"/>
      <c r="AG629" s="571"/>
      <c r="AH629" s="571"/>
      <c r="AI629" s="3346" t="str">
        <f>'MFMR Deemed Table '!L513</f>
        <v>per measure</v>
      </c>
      <c r="AJ629" s="141"/>
      <c r="AM629" s="1596">
        <f t="shared" si="406"/>
        <v>1.148238E-4</v>
      </c>
      <c r="AN629">
        <f t="shared" si="407"/>
        <v>1.9841552639999999E-2</v>
      </c>
      <c r="AO629" s="1595">
        <f t="shared" si="408"/>
        <v>-4.4735999999920284E-7</v>
      </c>
    </row>
    <row r="630" spans="1:48" x14ac:dyDescent="0.35">
      <c r="A630" s="103" t="str">
        <f t="shared" si="388"/>
        <v>502150</v>
      </c>
      <c r="B630" s="3346" t="str">
        <f>'MFMR Deemed Table '!C514</f>
        <v>502150_2019_12_</v>
      </c>
      <c r="C630" s="3343" t="str">
        <f>'MFMR Deemed Table '!G514</f>
        <v>Miscellaneous RES</v>
      </c>
      <c r="D630" s="3343"/>
      <c r="E630" s="3343"/>
      <c r="F630" s="3343"/>
      <c r="G630" s="3343" t="str">
        <f>'MFMR Deemed Table '!E514</f>
        <v>Advanced Tier 2 Power Strips -  E</v>
      </c>
      <c r="H630" s="50" t="str">
        <f>'MFMR Deemed Table '!D514</f>
        <v>MFMR</v>
      </c>
      <c r="I630" s="1966">
        <f>'MFMR Deemed Table '!F514</f>
        <v>151.19999999999999</v>
      </c>
      <c r="J630" s="1966"/>
      <c r="K630" s="560"/>
      <c r="L630" s="560"/>
      <c r="M630" s="560"/>
      <c r="N630" s="560"/>
      <c r="O630" s="1967">
        <f>'MFMR Deemed Table '!I514</f>
        <v>1.7361000000000001E-2</v>
      </c>
      <c r="P630" s="1967"/>
      <c r="Q630" s="1968"/>
      <c r="R630" s="1968"/>
      <c r="S630" s="1968"/>
      <c r="T630" s="1968"/>
      <c r="U630" s="1969"/>
      <c r="V630" s="1969">
        <f t="shared" si="409"/>
        <v>1.7361000000000001E-2</v>
      </c>
      <c r="W630" s="1969"/>
      <c r="X630" s="55">
        <f>'MFMR Deemed Table '!J514</f>
        <v>10</v>
      </c>
      <c r="Y630" s="55"/>
      <c r="Z630" s="55">
        <f t="shared" si="390"/>
        <v>10</v>
      </c>
      <c r="AA630" s="49">
        <f>'MFMR Deemed Table '!BB514</f>
        <v>1.8461855944856482</v>
      </c>
      <c r="AB630" s="698">
        <f>'MFMR Deemed Table '!K514</f>
        <v>30</v>
      </c>
      <c r="AC630" s="2582">
        <f t="shared" si="391"/>
        <v>52.275193803274604</v>
      </c>
      <c r="AD630" s="2582">
        <f t="shared" si="392"/>
        <v>0</v>
      </c>
      <c r="AE630" s="1380">
        <f>'MFMR Deemed Table '!BD514</f>
        <v>52.275193803274604</v>
      </c>
      <c r="AF630" s="571"/>
      <c r="AG630" s="571"/>
      <c r="AH630" s="571"/>
      <c r="AI630" s="3346" t="str">
        <f>'MFMR Deemed Table '!L514</f>
        <v>per measure</v>
      </c>
      <c r="AJ630" s="141"/>
      <c r="AM630" s="1596">
        <f t="shared" si="406"/>
        <v>1.148238E-4</v>
      </c>
      <c r="AN630">
        <f t="shared" si="407"/>
        <v>1.7361358559999998E-2</v>
      </c>
      <c r="AO630" s="1595">
        <f t="shared" si="408"/>
        <v>3.5855999999667709E-7</v>
      </c>
    </row>
    <row r="631" spans="1:48" x14ac:dyDescent="0.35">
      <c r="A631" s="103" t="str">
        <f t="shared" si="388"/>
        <v>502200</v>
      </c>
      <c r="B631" s="3346" t="str">
        <f>'MFMR Deemed Table '!C515</f>
        <v>502200_2019_12_</v>
      </c>
      <c r="C631" s="3343" t="str">
        <f>'MFMR Deemed Table '!G515</f>
        <v>Miscellaneous RES</v>
      </c>
      <c r="D631" s="3343"/>
      <c r="E631" s="3343"/>
      <c r="F631" s="3343"/>
      <c r="G631" s="3343" t="str">
        <f>'MFMR Deemed Table '!E515</f>
        <v>Advanced Tier 2 Power Strips -  F</v>
      </c>
      <c r="H631" s="50" t="str">
        <f>'MFMR Deemed Table '!D515</f>
        <v>MFMR</v>
      </c>
      <c r="I631" s="1966">
        <f>'MFMR Deemed Table '!F515</f>
        <v>129.6</v>
      </c>
      <c r="J631" s="1966"/>
      <c r="K631" s="560"/>
      <c r="L631" s="560"/>
      <c r="M631" s="560"/>
      <c r="N631" s="560"/>
      <c r="O631" s="1967">
        <f>'MFMR Deemed Table '!I515</f>
        <v>1.4881E-2</v>
      </c>
      <c r="P631" s="1967"/>
      <c r="Q631" s="1968"/>
      <c r="R631" s="1968"/>
      <c r="S631" s="1968"/>
      <c r="T631" s="1968"/>
      <c r="U631" s="1969"/>
      <c r="V631" s="1969">
        <f t="shared" si="409"/>
        <v>1.4881E-2</v>
      </c>
      <c r="W631" s="1969"/>
      <c r="X631" s="55">
        <f>'MFMR Deemed Table '!J515</f>
        <v>10</v>
      </c>
      <c r="Y631" s="55"/>
      <c r="Z631" s="55">
        <f t="shared" si="390"/>
        <v>10</v>
      </c>
      <c r="AA631" s="49">
        <f>'MFMR Deemed Table '!BB515</f>
        <v>1.5824447952734129</v>
      </c>
      <c r="AB631" s="698">
        <f>'MFMR Deemed Table '!K515</f>
        <v>30</v>
      </c>
      <c r="AC631" s="2582">
        <f t="shared" si="391"/>
        <v>44.807308974235376</v>
      </c>
      <c r="AD631" s="2582">
        <f t="shared" si="392"/>
        <v>0</v>
      </c>
      <c r="AE631" s="1380">
        <f>'MFMR Deemed Table '!BD515</f>
        <v>44.807308974235376</v>
      </c>
      <c r="AF631" s="571"/>
      <c r="AG631" s="571"/>
      <c r="AH631" s="571"/>
      <c r="AI631" s="3346" t="str">
        <f>'MFMR Deemed Table '!L515</f>
        <v>per measure</v>
      </c>
      <c r="AJ631" s="141"/>
      <c r="AM631" s="1596">
        <f t="shared" si="406"/>
        <v>1.148238E-4</v>
      </c>
      <c r="AN631">
        <f t="shared" si="407"/>
        <v>1.4881164479999999E-2</v>
      </c>
      <c r="AO631" s="1595">
        <f t="shared" si="408"/>
        <v>1.6447999999849583E-7</v>
      </c>
    </row>
    <row r="632" spans="1:48" x14ac:dyDescent="0.35">
      <c r="A632" s="103" t="str">
        <f t="shared" si="388"/>
        <v>502250</v>
      </c>
      <c r="B632" s="3346" t="str">
        <f>'MFMR Deemed Table '!C516</f>
        <v>502250_2019_12_</v>
      </c>
      <c r="C632" s="3343" t="str">
        <f>'MFMR Deemed Table '!G516</f>
        <v>Miscellaneous RES</v>
      </c>
      <c r="D632" s="3343"/>
      <c r="E632" s="3343"/>
      <c r="F632" s="3343"/>
      <c r="G632" s="3343" t="str">
        <f>'MFMR Deemed Table '!E516</f>
        <v>Advanced Tier 2 Power Strips -  G</v>
      </c>
      <c r="H632" s="50" t="str">
        <f>'MFMR Deemed Table '!D516</f>
        <v>MFMR</v>
      </c>
      <c r="I632" s="1966">
        <f>'MFMR Deemed Table '!F516</f>
        <v>108</v>
      </c>
      <c r="J632" s="1966"/>
      <c r="K632" s="560"/>
      <c r="L632" s="560"/>
      <c r="M632" s="560"/>
      <c r="N632" s="560"/>
      <c r="O632" s="1967">
        <f>'MFMR Deemed Table '!I516</f>
        <v>1.2401000000000001E-2</v>
      </c>
      <c r="P632" s="1967"/>
      <c r="Q632" s="1968"/>
      <c r="R632" s="1968"/>
      <c r="S632" s="1968"/>
      <c r="T632" s="1968"/>
      <c r="U632" s="1969"/>
      <c r="V632" s="1969">
        <f t="shared" si="409"/>
        <v>1.2401000000000001E-2</v>
      </c>
      <c r="W632" s="1969"/>
      <c r="X632" s="55">
        <f>'MFMR Deemed Table '!J516</f>
        <v>10</v>
      </c>
      <c r="Y632" s="55"/>
      <c r="Z632" s="55">
        <f t="shared" si="390"/>
        <v>10</v>
      </c>
      <c r="AA632" s="49">
        <f>'MFMR Deemed Table '!BB516</f>
        <v>1.3187039960611775</v>
      </c>
      <c r="AB632" s="698">
        <f>'MFMR Deemed Table '!K516</f>
        <v>30</v>
      </c>
      <c r="AC632" s="2582">
        <f t="shared" si="391"/>
        <v>37.339424145196148</v>
      </c>
      <c r="AD632" s="2582">
        <f t="shared" si="392"/>
        <v>0</v>
      </c>
      <c r="AE632" s="1380">
        <f>'MFMR Deemed Table '!BD516</f>
        <v>37.339424145196148</v>
      </c>
      <c r="AF632" s="571"/>
      <c r="AG632" s="571"/>
      <c r="AH632" s="571"/>
      <c r="AI632" s="3346" t="str">
        <f>'MFMR Deemed Table '!L516</f>
        <v>per measure</v>
      </c>
      <c r="AJ632" s="141"/>
      <c r="AM632" s="1596">
        <f t="shared" si="406"/>
        <v>1.148238E-4</v>
      </c>
      <c r="AN632">
        <f t="shared" si="407"/>
        <v>1.2400970399999999E-2</v>
      </c>
      <c r="AO632" s="1595">
        <f t="shared" si="408"/>
        <v>-2.9600000001420157E-8</v>
      </c>
    </row>
    <row r="633" spans="1:48" x14ac:dyDescent="0.35">
      <c r="A633" s="103" t="str">
        <f t="shared" si="388"/>
        <v>502300</v>
      </c>
      <c r="B633" s="3346" t="str">
        <f>'MFMR Deemed Table '!C517</f>
        <v>502300_2019_12_</v>
      </c>
      <c r="C633" s="3343" t="str">
        <f>'MFMR Deemed Table '!G517</f>
        <v>Miscellaneous RES</v>
      </c>
      <c r="D633" s="3343"/>
      <c r="E633" s="3343"/>
      <c r="F633" s="3343"/>
      <c r="G633" s="3343" t="str">
        <f>'MFMR Deemed Table '!E517</f>
        <v>Advanced Tier 2 Power Strips -  H</v>
      </c>
      <c r="H633" s="50" t="str">
        <f>'MFMR Deemed Table '!D517</f>
        <v>MFMR</v>
      </c>
      <c r="I633" s="1966">
        <f>'MFMR Deemed Table '!F517</f>
        <v>86.4</v>
      </c>
      <c r="J633" s="1966"/>
      <c r="K633" s="560"/>
      <c r="L633" s="560"/>
      <c r="M633" s="560"/>
      <c r="N633" s="560"/>
      <c r="O633" s="1967">
        <f>'MFMR Deemed Table '!I517</f>
        <v>9.9209999999999993E-3</v>
      </c>
      <c r="P633" s="1967"/>
      <c r="Q633" s="1968"/>
      <c r="R633" s="1968"/>
      <c r="S633" s="1968"/>
      <c r="T633" s="1968"/>
      <c r="U633" s="1969"/>
      <c r="V633" s="1969">
        <f t="shared" si="409"/>
        <v>9.9209999999999993E-3</v>
      </c>
      <c r="W633" s="1969"/>
      <c r="X633" s="55">
        <f>'MFMR Deemed Table '!J517</f>
        <v>10</v>
      </c>
      <c r="Y633" s="55"/>
      <c r="Z633" s="55">
        <f t="shared" si="390"/>
        <v>10</v>
      </c>
      <c r="AA633" s="49">
        <f>'MFMR Deemed Table '!BB517</f>
        <v>1.0549631968489419</v>
      </c>
      <c r="AB633" s="698">
        <f>'MFMR Deemed Table '!K517</f>
        <v>30</v>
      </c>
      <c r="AC633" s="2582">
        <f t="shared" si="391"/>
        <v>29.87153931615692</v>
      </c>
      <c r="AD633" s="2582">
        <f t="shared" si="392"/>
        <v>0</v>
      </c>
      <c r="AE633" s="1380">
        <f>'MFMR Deemed Table '!BD517</f>
        <v>29.87153931615692</v>
      </c>
      <c r="AF633" s="571"/>
      <c r="AG633" s="571"/>
      <c r="AH633" s="571"/>
      <c r="AI633" s="3346" t="str">
        <f>'MFMR Deemed Table '!L517</f>
        <v>per measure</v>
      </c>
      <c r="AJ633" s="141"/>
      <c r="AM633" s="1596">
        <f t="shared" si="406"/>
        <v>1.148238E-4</v>
      </c>
      <c r="AN633">
        <f t="shared" si="407"/>
        <v>9.9207763199999997E-3</v>
      </c>
      <c r="AO633" s="1595">
        <f t="shared" si="408"/>
        <v>-2.2367999999960142E-7</v>
      </c>
    </row>
    <row r="634" spans="1:48" s="84" customFormat="1" x14ac:dyDescent="0.35">
      <c r="A634" s="103" t="str">
        <f t="shared" si="388"/>
        <v>502350</v>
      </c>
      <c r="B634" s="3346" t="str">
        <f>'MFMR Deemed Table '!C518</f>
        <v>502350_2019_12_</v>
      </c>
      <c r="C634" s="3343" t="str">
        <f>'MFMR Deemed Table '!G518</f>
        <v>Miscellaneous RES</v>
      </c>
      <c r="D634" s="3343"/>
      <c r="E634" s="3343"/>
      <c r="F634" s="3343"/>
      <c r="G634" s="3343" t="str">
        <f>'MFMR Deemed Table '!E518</f>
        <v>Advanced Tier 2 Power Strips / TOS/NC / Average</v>
      </c>
      <c r="H634" s="50" t="str">
        <f>'MFMR Deemed Table '!D518</f>
        <v>MFMR</v>
      </c>
      <c r="I634" s="1966">
        <f>'MFMR Deemed Table '!F518</f>
        <v>162</v>
      </c>
      <c r="J634" s="1966"/>
      <c r="K634" s="560"/>
      <c r="L634" s="560"/>
      <c r="M634" s="560"/>
      <c r="N634" s="560"/>
      <c r="O634" s="1967">
        <f>'MFMR Deemed Table '!I518</f>
        <v>1.8600999999999999E-2</v>
      </c>
      <c r="P634" s="1967"/>
      <c r="Q634" s="1968"/>
      <c r="R634" s="1968"/>
      <c r="S634" s="1968"/>
      <c r="T634" s="1968"/>
      <c r="U634" s="1969"/>
      <c r="V634" s="1969">
        <f t="shared" si="409"/>
        <v>1.8600999999999999E-2</v>
      </c>
      <c r="W634" s="1969"/>
      <c r="X634" s="55">
        <f>'MFMR Deemed Table '!J518</f>
        <v>10</v>
      </c>
      <c r="Y634" s="55"/>
      <c r="Z634" s="55">
        <f t="shared" si="390"/>
        <v>10</v>
      </c>
      <c r="AA634" s="49">
        <f>'MFMR Deemed Table '!BB518</f>
        <v>1.9780559940917661</v>
      </c>
      <c r="AB634" s="698">
        <f>'MFMR Deemed Table '!K518</f>
        <v>30</v>
      </c>
      <c r="AC634" s="2582">
        <f t="shared" si="391"/>
        <v>56.009136217794222</v>
      </c>
      <c r="AD634" s="2582">
        <f t="shared" si="392"/>
        <v>0</v>
      </c>
      <c r="AE634" s="1380">
        <f>'MFMR Deemed Table '!BD518</f>
        <v>56.009136217794222</v>
      </c>
      <c r="AF634" s="571"/>
      <c r="AG634" s="571"/>
      <c r="AH634" s="571"/>
      <c r="AI634" s="3346" t="str">
        <f>'MFMR Deemed Table '!L518</f>
        <v>per measure</v>
      </c>
      <c r="AJ634" s="141"/>
      <c r="AK634"/>
      <c r="AL634"/>
      <c r="AM634" s="1596">
        <f t="shared" si="406"/>
        <v>1.148238E-4</v>
      </c>
      <c r="AN634">
        <f t="shared" si="407"/>
        <v>1.86014556E-2</v>
      </c>
      <c r="AO634" s="1595">
        <f t="shared" si="408"/>
        <v>4.5560000000097189E-7</v>
      </c>
      <c r="AP634"/>
      <c r="AQ634"/>
      <c r="AR634"/>
      <c r="AS634"/>
      <c r="AT634"/>
      <c r="AU634"/>
      <c r="AV634"/>
    </row>
    <row r="635" spans="1:48" x14ac:dyDescent="0.35">
      <c r="A635" s="103" t="str">
        <f t="shared" si="388"/>
        <v>502400</v>
      </c>
      <c r="B635" s="3346" t="str">
        <f>'MFMR Deemed Table '!C543</f>
        <v>502400_2021_12_</v>
      </c>
      <c r="C635" s="3343" t="str">
        <f>'MFMR Deemed Table '!G543</f>
        <v>Pool Spa RES</v>
      </c>
      <c r="D635" s="3343"/>
      <c r="E635" s="3343"/>
      <c r="F635" s="3343"/>
      <c r="G635" s="3343" t="str">
        <f>'MFMR Deemed Table '!E543</f>
        <v>Variable Speed Pool Pump - ROF</v>
      </c>
      <c r="H635" s="50" t="str">
        <f>'MFMR Deemed Table '!D543</f>
        <v>MFMR</v>
      </c>
      <c r="I635" s="1966">
        <f>'MFMR Deemed Table '!F543</f>
        <v>315.20999999999998</v>
      </c>
      <c r="J635" s="1966"/>
      <c r="K635" s="560"/>
      <c r="L635" s="560"/>
      <c r="M635" s="560"/>
      <c r="N635" s="560"/>
      <c r="O635" s="1967">
        <f>'MFMR Deemed Table '!L543</f>
        <v>7.4215000000000003E-2</v>
      </c>
      <c r="P635" s="1967"/>
      <c r="Q635" s="1968"/>
      <c r="R635" s="1968"/>
      <c r="S635" s="1968"/>
      <c r="T635" s="1968"/>
      <c r="U635" s="1969"/>
      <c r="V635" s="1969">
        <f t="shared" si="409"/>
        <v>7.4215000000000003E-2</v>
      </c>
      <c r="W635" s="1969"/>
      <c r="X635" s="55">
        <f>'MFMR Deemed Table '!M543</f>
        <v>10</v>
      </c>
      <c r="Y635" s="55"/>
      <c r="Z635" s="55">
        <f t="shared" si="390"/>
        <v>10</v>
      </c>
      <c r="AA635" s="49">
        <f>'MFMR Deemed Table '!BB543</f>
        <v>0.44818179646507411</v>
      </c>
      <c r="AB635" s="698">
        <f>'MFMR Deemed Table '!N543</f>
        <v>314</v>
      </c>
      <c r="AC635" s="2582">
        <f t="shared" si="391"/>
        <v>132.82594062296673</v>
      </c>
      <c r="AD635" s="2582">
        <f t="shared" si="392"/>
        <v>0</v>
      </c>
      <c r="AE635" s="1380">
        <f>'MFMR Deemed Table '!BD543</f>
        <v>132.82594062296673</v>
      </c>
      <c r="AF635" s="571"/>
      <c r="AG635" s="571"/>
      <c r="AH635" s="571"/>
      <c r="AI635" s="2591" t="str">
        <f>'MFMR Deemed Table '!O543</f>
        <v>per measure</v>
      </c>
      <c r="AJ635" s="141"/>
      <c r="AM635" s="1596">
        <f t="shared" si="406"/>
        <v>2.3544589999999999E-4</v>
      </c>
      <c r="AN635">
        <f t="shared" si="407"/>
        <v>7.4214902138999991E-2</v>
      </c>
      <c r="AO635" s="1595">
        <f t="shared" si="408"/>
        <v>-9.786100001185627E-8</v>
      </c>
    </row>
    <row r="636" spans="1:48" x14ac:dyDescent="0.35">
      <c r="A636" s="103" t="str">
        <f t="shared" si="388"/>
        <v>502401</v>
      </c>
      <c r="B636" s="3346" t="str">
        <f>'MFMR Deemed Table '!C544</f>
        <v>502401_2021_12_</v>
      </c>
      <c r="C636" s="3343" t="str">
        <f>'MFMR Deemed Table '!G544</f>
        <v>Pool Spa RES</v>
      </c>
      <c r="D636" s="3343"/>
      <c r="E636" s="3343"/>
      <c r="F636" s="3343"/>
      <c r="G636" s="3343" t="str">
        <f>'MFMR Deemed Table '!E544</f>
        <v>Variable Speed Pool Pump - ER</v>
      </c>
      <c r="H636" s="50" t="str">
        <f>'MFMR Deemed Table '!D544</f>
        <v>MFMR</v>
      </c>
      <c r="I636" s="1966">
        <f>'MFMR Deemed Table '!F544</f>
        <v>1478.34</v>
      </c>
      <c r="J636" s="1966"/>
      <c r="K636" s="560"/>
      <c r="L636" s="560"/>
      <c r="M636" s="560"/>
      <c r="N636" s="560"/>
      <c r="O636" s="1967">
        <f>'MFMR Deemed Table '!L544</f>
        <v>0.34806900000000002</v>
      </c>
      <c r="P636" s="1967"/>
      <c r="Q636" s="1968"/>
      <c r="R636" s="1968"/>
      <c r="S636" s="1968"/>
      <c r="T636" s="1968"/>
      <c r="U636" s="1969"/>
      <c r="V636" s="1969">
        <f t="shared" si="409"/>
        <v>0.34806900000000002</v>
      </c>
      <c r="W636" s="1969"/>
      <c r="X636" s="55">
        <f>'MFMR Deemed Table '!M544</f>
        <v>10</v>
      </c>
      <c r="Y636" s="55"/>
      <c r="Z636" s="55">
        <f t="shared" si="390"/>
        <v>10</v>
      </c>
      <c r="AA636" s="49">
        <f>'MFMR Deemed Table '!BB544</f>
        <v>1.2022252847635204</v>
      </c>
      <c r="AB636" s="698">
        <f>'MFMR Deemed Table '!N544</f>
        <v>549</v>
      </c>
      <c r="AC636" s="2582">
        <f t="shared" si="391"/>
        <v>622.95581060422148</v>
      </c>
      <c r="AD636" s="2582">
        <f t="shared" si="392"/>
        <v>0</v>
      </c>
      <c r="AE636" s="1380">
        <f>'MFMR Deemed Table '!BD544</f>
        <v>622.95581060422148</v>
      </c>
      <c r="AF636" s="571"/>
      <c r="AG636" s="571"/>
      <c r="AH636" s="571"/>
      <c r="AI636" s="2591" t="str">
        <f>'MFMR Deemed Table '!O544</f>
        <v>per measure</v>
      </c>
      <c r="AJ636" s="1589"/>
      <c r="AK636" s="84"/>
      <c r="AL636" s="84"/>
      <c r="AM636" s="1961">
        <f t="shared" si="406"/>
        <v>2.3544589999999999E-4</v>
      </c>
      <c r="AN636" s="84">
        <f t="shared" si="407"/>
        <v>0.34806909180599999</v>
      </c>
      <c r="AO636" s="1965">
        <f t="shared" si="408"/>
        <v>9.1805999968830321E-8</v>
      </c>
      <c r="AP636" s="84"/>
      <c r="AQ636" s="84"/>
      <c r="AR636" s="84"/>
      <c r="AS636" s="84"/>
      <c r="AT636" s="84"/>
      <c r="AU636" s="84"/>
      <c r="AV636" s="84"/>
    </row>
    <row r="637" spans="1:48" x14ac:dyDescent="0.35">
      <c r="A637" s="103" t="str">
        <f t="shared" si="388"/>
        <v>502450</v>
      </c>
      <c r="B637" s="3346" t="str">
        <f>'MFMR Deemed Table '!C592</f>
        <v>502450_2019_12_</v>
      </c>
      <c r="C637" s="3343" t="str">
        <f>'MFMR Deemed Table '!G592</f>
        <v>Refrigeration RES</v>
      </c>
      <c r="D637" s="3343" t="str">
        <f>'MFMR Deemed Table '!G593</f>
        <v>Refrigeration RES ER2</v>
      </c>
      <c r="E637" s="3343"/>
      <c r="F637" s="3343"/>
      <c r="G637" s="3343" t="str">
        <f>'MFMR Deemed Table '!E592</f>
        <v>Refrigerator - early replacement ER1 (full cost)   -  MFMR</v>
      </c>
      <c r="H637" s="50" t="str">
        <f>'MFMR Deemed Table '!D592</f>
        <v>MFMR</v>
      </c>
      <c r="I637" s="1966">
        <f>'MFMR Deemed Table '!F592</f>
        <v>564.66</v>
      </c>
      <c r="J637" s="1966">
        <f>'MFMR Deemed Table '!F593</f>
        <v>46.72</v>
      </c>
      <c r="K637" s="560"/>
      <c r="L637" s="560"/>
      <c r="M637" s="560"/>
      <c r="N637" s="560"/>
      <c r="O637" s="1967">
        <f>'MFMR Deemed Table '!I592</f>
        <v>7.2621000000000005E-2</v>
      </c>
      <c r="P637" s="1967">
        <f>'MFMR Deemed Table '!I593</f>
        <v>6.0089999999999996E-3</v>
      </c>
      <c r="Q637" s="1968"/>
      <c r="R637" s="1968"/>
      <c r="S637" s="1968"/>
      <c r="T637" s="1968"/>
      <c r="U637" s="1969"/>
      <c r="V637" s="1969"/>
      <c r="W637" s="1969">
        <f>P637</f>
        <v>6.0089999999999996E-3</v>
      </c>
      <c r="X637" s="55">
        <f>'MFMR Deemed Table '!J592</f>
        <v>6</v>
      </c>
      <c r="Y637" s="55">
        <f>'MFMR Deemed Table '!J593</f>
        <v>11</v>
      </c>
      <c r="Z637" s="55">
        <f t="shared" si="390"/>
        <v>17</v>
      </c>
      <c r="AA637" s="49">
        <f>'MFMR Deemed Table '!BB592</f>
        <v>0.19025139719991366</v>
      </c>
      <c r="AB637" s="698">
        <f>'MFMR Deemed Table '!K592</f>
        <v>753</v>
      </c>
      <c r="AC637" s="2582">
        <f t="shared" si="391"/>
        <v>119.22703187525887</v>
      </c>
      <c r="AD637" s="2582">
        <f t="shared" si="392"/>
        <v>15.987033336194612</v>
      </c>
      <c r="AE637" s="1380">
        <f>'MFMR Deemed Table '!BD592</f>
        <v>119.22703187525887</v>
      </c>
      <c r="AF637" s="571"/>
      <c r="AG637" s="2588">
        <f>'MFMR Deemed Table '!BD593</f>
        <v>15.987033336194612</v>
      </c>
      <c r="AH637" s="571"/>
      <c r="AI637" s="3346" t="str">
        <f>'MFMR Deemed Table '!L592</f>
        <v>per measure</v>
      </c>
      <c r="AJ637" s="141"/>
      <c r="AM637" s="1596">
        <f t="shared" si="406"/>
        <v>1.286107E-4</v>
      </c>
      <c r="AN637">
        <f t="shared" si="407"/>
        <v>7.262131786199999E-2</v>
      </c>
      <c r="AO637" s="1595">
        <f t="shared" si="408"/>
        <v>3.1786199998495857E-7</v>
      </c>
    </row>
    <row r="638" spans="1:48" x14ac:dyDescent="0.35">
      <c r="A638" s="103" t="str">
        <f t="shared" ref="A638:A701" si="410">LEFT(B638,6)</f>
        <v>550050</v>
      </c>
      <c r="B638" s="3346" t="str">
        <f>'Appliance Recycle Deemed Table'!C7</f>
        <v>550050_2019_12_</v>
      </c>
      <c r="C638" s="3343" t="str">
        <f>'Appliance Recycle Deemed Table'!G7</f>
        <v>Refrigeration RES</v>
      </c>
      <c r="D638" s="3343"/>
      <c r="E638" s="3343"/>
      <c r="F638" s="3343"/>
      <c r="G638" s="3343" t="str">
        <f>'Appliance Recycle Deemed Table'!E7</f>
        <v>Refrigerator recycling (pre-1990)</v>
      </c>
      <c r="H638" s="50" t="str">
        <f>'Appliance Recycle Deemed Table'!D7</f>
        <v>Appliance Recycling</v>
      </c>
      <c r="I638" s="1966">
        <f>'Appliance Recycle Deemed Table'!F7</f>
        <v>1020.32</v>
      </c>
      <c r="J638" s="1966"/>
      <c r="K638" s="560"/>
      <c r="L638" s="560"/>
      <c r="M638" s="560"/>
      <c r="N638" s="560"/>
      <c r="O638" s="1967">
        <f>'Appliance Recycle Deemed Table'!I7</f>
        <v>0.13122400000000001</v>
      </c>
      <c r="P638" s="1967"/>
      <c r="Q638" s="1968"/>
      <c r="R638" s="1968"/>
      <c r="S638" s="1968"/>
      <c r="T638" s="1968"/>
      <c r="U638" s="1969">
        <f t="shared" ref="U638:U643" si="411">O638</f>
        <v>0.13122400000000001</v>
      </c>
      <c r="V638" s="1969">
        <v>0</v>
      </c>
      <c r="W638" s="1969">
        <v>0</v>
      </c>
      <c r="X638" s="55">
        <f>'Appliance Recycle Deemed Table'!J7</f>
        <v>8</v>
      </c>
      <c r="Y638" s="55"/>
      <c r="Z638" s="55">
        <f t="shared" ref="Z638:Z701" si="412">Y638+X638</f>
        <v>8</v>
      </c>
      <c r="AA638" s="49">
        <f>'Appliance Recycle Deemed Table'!BB7</f>
        <v>2.1678251039950478</v>
      </c>
      <c r="AB638" s="698">
        <f>'Appliance Recycle Deemed Table'!K7</f>
        <v>140</v>
      </c>
      <c r="AC638" s="2582">
        <f t="shared" ref="AC638:AC701" si="413">AE638+AF638</f>
        <v>286.45164186815163</v>
      </c>
      <c r="AD638" s="2582">
        <f t="shared" ref="AD638:AD701" si="414">AG638+AH638</f>
        <v>0</v>
      </c>
      <c r="AE638" s="1380">
        <f>'Appliance Recycle Deemed Table'!BD7</f>
        <v>286.45164186815163</v>
      </c>
      <c r="AF638" s="571"/>
      <c r="AG638" s="571"/>
      <c r="AH638" s="571"/>
      <c r="AI638" s="3346" t="str">
        <f>'Appliance Recycle Deemed Table'!L7</f>
        <v>per measure</v>
      </c>
      <c r="AJ638" s="141"/>
      <c r="AM638" s="1596">
        <f t="shared" si="406"/>
        <v>1.286107E-4</v>
      </c>
      <c r="AN638">
        <f t="shared" si="407"/>
        <v>0.131224069424</v>
      </c>
      <c r="AO638" s="1595">
        <f t="shared" si="408"/>
        <v>6.9423999993212249E-8</v>
      </c>
    </row>
    <row r="639" spans="1:48" x14ac:dyDescent="0.35">
      <c r="A639" s="103" t="str">
        <f t="shared" si="410"/>
        <v>550100</v>
      </c>
      <c r="B639" s="3346" t="str">
        <f>'Appliance Recycle Deemed Table'!C8</f>
        <v>550100_2019_12_</v>
      </c>
      <c r="C639" s="3343" t="str">
        <f>'Appliance Recycle Deemed Table'!G8</f>
        <v>Refrigeration RES</v>
      </c>
      <c r="D639" s="3343"/>
      <c r="E639" s="3343"/>
      <c r="F639" s="3343"/>
      <c r="G639" s="3343" t="str">
        <f>'Appliance Recycle Deemed Table'!E8</f>
        <v>Refrigerator recycling (post-1990)</v>
      </c>
      <c r="H639" s="50" t="str">
        <f>'Appliance Recycle Deemed Table'!D8</f>
        <v>Appliance Recycling</v>
      </c>
      <c r="I639" s="1966">
        <f>'Appliance Recycle Deemed Table'!F8</f>
        <v>520</v>
      </c>
      <c r="J639" s="1966"/>
      <c r="K639" s="560"/>
      <c r="L639" s="560"/>
      <c r="M639" s="560"/>
      <c r="N639" s="560"/>
      <c r="O639" s="1967">
        <f>'Appliance Recycle Deemed Table'!I8</f>
        <v>6.6878000000000007E-2</v>
      </c>
      <c r="P639" s="1967"/>
      <c r="Q639" s="1968"/>
      <c r="R639" s="1968"/>
      <c r="S639" s="1968"/>
      <c r="T639" s="1968"/>
      <c r="U639" s="1969">
        <f t="shared" si="411"/>
        <v>6.6878000000000007E-2</v>
      </c>
      <c r="V639" s="1969">
        <v>0</v>
      </c>
      <c r="W639" s="1969">
        <v>0</v>
      </c>
      <c r="X639" s="55">
        <f>'Appliance Recycle Deemed Table'!J8</f>
        <v>8</v>
      </c>
      <c r="Y639" s="55"/>
      <c r="Z639" s="55">
        <f t="shared" si="412"/>
        <v>8</v>
      </c>
      <c r="AA639" s="49">
        <f>'Appliance Recycle Deemed Table'!BB8</f>
        <v>1.1048191293686538</v>
      </c>
      <c r="AB639" s="698">
        <f>'Appliance Recycle Deemed Table'!K8</f>
        <v>140</v>
      </c>
      <c r="AC639" s="2582">
        <f t="shared" si="413"/>
        <v>145.98837009118594</v>
      </c>
      <c r="AD639" s="2582">
        <f t="shared" si="414"/>
        <v>0</v>
      </c>
      <c r="AE639" s="1380">
        <f>'Appliance Recycle Deemed Table'!BD8</f>
        <v>145.98837009118594</v>
      </c>
      <c r="AF639" s="571"/>
      <c r="AG639" s="571"/>
      <c r="AH639" s="571"/>
      <c r="AI639" s="3346" t="str">
        <f>'Appliance Recycle Deemed Table'!L8</f>
        <v>per measure</v>
      </c>
      <c r="AJ639" s="141"/>
      <c r="AM639" s="1596">
        <f t="shared" si="406"/>
        <v>1.286107E-4</v>
      </c>
      <c r="AN639">
        <f t="shared" ref="AN639:AN643" si="415">AM639*I639</f>
        <v>6.6877564E-2</v>
      </c>
      <c r="AO639" s="1595">
        <f t="shared" ref="AO639:AO643" si="416">AN639-O639</f>
        <v>-4.3600000000643124E-7</v>
      </c>
    </row>
    <row r="640" spans="1:48" x14ac:dyDescent="0.35">
      <c r="A640" s="103" t="str">
        <f t="shared" si="410"/>
        <v>550150</v>
      </c>
      <c r="B640" s="3346" t="str">
        <f>'Appliance Recycle Deemed Table'!C22</f>
        <v>550150_2019_12_</v>
      </c>
      <c r="C640" s="3343" t="str">
        <f>'Appliance Recycle Deemed Table'!G22</f>
        <v>Freezer RES</v>
      </c>
      <c r="D640" s="3343"/>
      <c r="E640" s="3343"/>
      <c r="F640" s="3343"/>
      <c r="G640" s="3343" t="str">
        <f>'Appliance Recycle Deemed Table'!E22</f>
        <v>Freezer recycling</v>
      </c>
      <c r="H640" s="50" t="str">
        <f>'Appliance Recycle Deemed Table'!D22</f>
        <v>Appliance Recycling</v>
      </c>
      <c r="I640" s="1966">
        <f>'Appliance Recycle Deemed Table'!F22</f>
        <v>825.22</v>
      </c>
      <c r="J640" s="1966"/>
      <c r="K640" s="560"/>
      <c r="L640" s="560"/>
      <c r="M640" s="560"/>
      <c r="N640" s="560"/>
      <c r="O640" s="1967">
        <f>'Appliance Recycle Deemed Table'!I22</f>
        <v>0.13910900000000001</v>
      </c>
      <c r="P640" s="1967"/>
      <c r="Q640" s="1968"/>
      <c r="R640" s="1968"/>
      <c r="S640" s="1968"/>
      <c r="T640" s="1968"/>
      <c r="U640" s="1969">
        <f t="shared" si="411"/>
        <v>0.13910900000000001</v>
      </c>
      <c r="V640" s="1969">
        <v>0</v>
      </c>
      <c r="W640" s="1969">
        <v>0</v>
      </c>
      <c r="X640" s="55">
        <f>'Appliance Recycle Deemed Table'!J22</f>
        <v>8</v>
      </c>
      <c r="Y640" s="55"/>
      <c r="Z640" s="55">
        <f t="shared" si="412"/>
        <v>8</v>
      </c>
      <c r="AA640" s="49">
        <f>'Appliance Recycle Deemed Table'!BB22</f>
        <v>1.9193069994182201</v>
      </c>
      <c r="AB640" s="698">
        <f>'Appliance Recycle Deemed Table'!K22</f>
        <v>140</v>
      </c>
      <c r="AC640" s="2582">
        <f t="shared" si="413"/>
        <v>253.61300605809419</v>
      </c>
      <c r="AD640" s="2582">
        <f t="shared" si="414"/>
        <v>0</v>
      </c>
      <c r="AE640" s="1380">
        <f>'Appliance Recycle Deemed Table'!BD22</f>
        <v>253.61300605809419</v>
      </c>
      <c r="AF640" s="571"/>
      <c r="AG640" s="571"/>
      <c r="AH640" s="571"/>
      <c r="AI640" s="3346" t="str">
        <f>'Appliance Recycle Deemed Table'!L22</f>
        <v>per measure</v>
      </c>
      <c r="AJ640" s="141"/>
      <c r="AM640" s="1596">
        <f t="shared" si="406"/>
        <v>1.6857220000000001E-4</v>
      </c>
      <c r="AN640">
        <f t="shared" si="415"/>
        <v>0.13910915088400003</v>
      </c>
      <c r="AO640" s="1595">
        <f t="shared" si="416"/>
        <v>1.5088400001639357E-7</v>
      </c>
    </row>
    <row r="641" spans="1:48" x14ac:dyDescent="0.35">
      <c r="A641" s="103" t="str">
        <f t="shared" si="410"/>
        <v>550200</v>
      </c>
      <c r="B641" s="3346" t="str">
        <f>'Appliance Recycle Deemed Table'!C35</f>
        <v>550200_2019_12_</v>
      </c>
      <c r="C641" s="3343" t="str">
        <f>'Appliance Recycle Deemed Table'!G35</f>
        <v>Cooling RES</v>
      </c>
      <c r="D641" s="3343"/>
      <c r="E641" s="3343"/>
      <c r="F641" s="3343"/>
      <c r="G641" s="3343" t="str">
        <f>'Appliance Recycle Deemed Table'!E35</f>
        <v>Room AC recycling - Primary</v>
      </c>
      <c r="H641" s="50" t="str">
        <f>'Appliance Recycle Deemed Table'!D35</f>
        <v>Appliance Recycling</v>
      </c>
      <c r="I641" s="1966">
        <f>'Appliance Recycle Deemed Table'!F35</f>
        <v>302.52999999999997</v>
      </c>
      <c r="J641" s="1966"/>
      <c r="K641" s="560"/>
      <c r="L641" s="560"/>
      <c r="M641" s="560"/>
      <c r="N641" s="560"/>
      <c r="O641" s="1967">
        <f>'Appliance Recycle Deemed Table'!I35</f>
        <v>0.28662199999999999</v>
      </c>
      <c r="P641" s="1967"/>
      <c r="Q641" s="1968"/>
      <c r="R641" s="1968"/>
      <c r="S641" s="1968"/>
      <c r="T641" s="1968"/>
      <c r="U641" s="1969">
        <f t="shared" si="411"/>
        <v>0.28662199999999999</v>
      </c>
      <c r="V641" s="1969">
        <v>0</v>
      </c>
      <c r="W641" s="1969">
        <v>0</v>
      </c>
      <c r="X641" s="55">
        <f>'Appliance Recycle Deemed Table'!J35</f>
        <v>4</v>
      </c>
      <c r="Y641" s="55"/>
      <c r="Z641" s="55">
        <f t="shared" si="412"/>
        <v>4</v>
      </c>
      <c r="AA641" s="49">
        <f>'Appliance Recycle Deemed Table'!BB35</f>
        <v>2.027119761849578</v>
      </c>
      <c r="AB641" s="698">
        <f>'Appliance Recycle Deemed Table'!K35</f>
        <v>64.887118193891098</v>
      </c>
      <c r="AC641" s="2582">
        <f t="shared" si="413"/>
        <v>124.14720111402164</v>
      </c>
      <c r="AD641" s="2582">
        <f t="shared" si="414"/>
        <v>0</v>
      </c>
      <c r="AE641" s="1380">
        <f>'Appliance Recycle Deemed Table'!BD35</f>
        <v>124.14720111402164</v>
      </c>
      <c r="AF641" s="571"/>
      <c r="AG641" s="571"/>
      <c r="AH641" s="571"/>
      <c r="AI641" s="3346" t="str">
        <f>'Appliance Recycle Deemed Table'!L35</f>
        <v>per measure</v>
      </c>
      <c r="AJ641" s="141"/>
      <c r="AM641" s="1596">
        <f t="shared" si="406"/>
        <v>9.4741810000000004E-4</v>
      </c>
      <c r="AN641">
        <f t="shared" si="415"/>
        <v>0.28662239779299997</v>
      </c>
      <c r="AO641" s="1595">
        <f t="shared" si="416"/>
        <v>3.9779299998432549E-7</v>
      </c>
    </row>
    <row r="642" spans="1:48" x14ac:dyDescent="0.35">
      <c r="A642" s="103" t="str">
        <f t="shared" si="410"/>
        <v>550250</v>
      </c>
      <c r="B642" s="3346" t="str">
        <f>'Appliance Recycle Deemed Table'!C36</f>
        <v>550250_2019_12_</v>
      </c>
      <c r="C642" s="3343" t="str">
        <f>'Appliance Recycle Deemed Table'!G36</f>
        <v>Cooling RES</v>
      </c>
      <c r="D642" s="3343"/>
      <c r="E642" s="3343"/>
      <c r="F642" s="3343"/>
      <c r="G642" s="3343" t="str">
        <f>'Appliance Recycle Deemed Table'!E36</f>
        <v>Room AC recycling - Secondary</v>
      </c>
      <c r="H642" s="50" t="str">
        <f>'Appliance Recycle Deemed Table'!D36</f>
        <v>Appliance Recycling</v>
      </c>
      <c r="I642" s="1966">
        <f>'Appliance Recycle Deemed Table'!F36</f>
        <v>195.59</v>
      </c>
      <c r="J642" s="1966"/>
      <c r="K642" s="560"/>
      <c r="L642" s="560"/>
      <c r="M642" s="560"/>
      <c r="N642" s="560"/>
      <c r="O642" s="1967">
        <f>'Appliance Recycle Deemed Table'!I36</f>
        <v>0.185306</v>
      </c>
      <c r="P642" s="1967"/>
      <c r="Q642" s="1968"/>
      <c r="R642" s="1968"/>
      <c r="S642" s="1968"/>
      <c r="T642" s="1968"/>
      <c r="U642" s="1969">
        <f t="shared" si="411"/>
        <v>0.185306</v>
      </c>
      <c r="V642" s="1969">
        <v>0</v>
      </c>
      <c r="W642" s="1969">
        <v>0</v>
      </c>
      <c r="X642" s="55">
        <f>'Appliance Recycle Deemed Table'!J36</f>
        <v>4</v>
      </c>
      <c r="Y642" s="55"/>
      <c r="Z642" s="55">
        <f t="shared" si="412"/>
        <v>4</v>
      </c>
      <c r="AA642" s="49">
        <f>'Appliance Recycle Deemed Table'!BB36</f>
        <v>1.3105621069651241</v>
      </c>
      <c r="AB642" s="698">
        <f>'Appliance Recycle Deemed Table'!K36</f>
        <v>64.887118193891098</v>
      </c>
      <c r="AC642" s="2582">
        <f t="shared" si="413"/>
        <v>80.26295265227084</v>
      </c>
      <c r="AD642" s="2582">
        <f t="shared" si="414"/>
        <v>0</v>
      </c>
      <c r="AE642" s="1380">
        <f>'Appliance Recycle Deemed Table'!BD36</f>
        <v>80.26295265227084</v>
      </c>
      <c r="AF642" s="571"/>
      <c r="AG642" s="571"/>
      <c r="AH642" s="571"/>
      <c r="AI642" s="3346" t="str">
        <f>'Appliance Recycle Deemed Table'!L36</f>
        <v>per measure</v>
      </c>
      <c r="AJ642" s="141"/>
      <c r="AM642" s="1596">
        <f t="shared" si="406"/>
        <v>9.4741810000000004E-4</v>
      </c>
      <c r="AN642">
        <f t="shared" si="415"/>
        <v>0.18530550617900002</v>
      </c>
      <c r="AO642" s="1595">
        <f t="shared" si="416"/>
        <v>-4.9382099998052098E-7</v>
      </c>
    </row>
    <row r="643" spans="1:48" s="84" customFormat="1" x14ac:dyDescent="0.35">
      <c r="A643" s="103" t="str">
        <f t="shared" si="410"/>
        <v>550300</v>
      </c>
      <c r="B643" s="3346" t="str">
        <f>'Appliance Recycle Deemed Table'!C58</f>
        <v>550300_2019_12_</v>
      </c>
      <c r="C643" s="3343" t="str">
        <f>'Appliance Recycle Deemed Table'!G58</f>
        <v>HVAC RES</v>
      </c>
      <c r="D643" s="3343"/>
      <c r="E643" s="3343"/>
      <c r="F643" s="3343"/>
      <c r="G643" s="3343" t="str">
        <f>'Appliance Recycle Deemed Table'!E58</f>
        <v>Dehumidifier Recycling</v>
      </c>
      <c r="H643" s="50" t="str">
        <f>'Appliance Recycle Deemed Table'!D58</f>
        <v>Appliance Recycling</v>
      </c>
      <c r="I643" s="1966">
        <f>'Appliance Recycle Deemed Table'!F58</f>
        <v>139</v>
      </c>
      <c r="J643" s="1966"/>
      <c r="K643" s="560"/>
      <c r="L643" s="560"/>
      <c r="M643" s="560"/>
      <c r="N643" s="560"/>
      <c r="O643" s="1967">
        <f>'Appliance Recycle Deemed Table'!I58</f>
        <v>6.4784999999999995E-2</v>
      </c>
      <c r="P643" s="1967"/>
      <c r="Q643" s="1968"/>
      <c r="R643" s="1968"/>
      <c r="S643" s="1968"/>
      <c r="T643" s="1968"/>
      <c r="U643" s="1969">
        <f t="shared" si="411"/>
        <v>6.4784999999999995E-2</v>
      </c>
      <c r="V643" s="1969">
        <v>0</v>
      </c>
      <c r="W643" s="1969">
        <v>0</v>
      </c>
      <c r="X643" s="55">
        <f>'Appliance Recycle Deemed Table'!J58</f>
        <v>5</v>
      </c>
      <c r="Y643" s="55"/>
      <c r="Z643" s="55">
        <f t="shared" si="412"/>
        <v>5</v>
      </c>
      <c r="AA643" s="49">
        <f>'Appliance Recycle Deemed Table'!BB58</f>
        <v>1.11792428011422</v>
      </c>
      <c r="AB643" s="698">
        <f>'Appliance Recycle Deemed Table'!K58</f>
        <v>42.762284196547142</v>
      </c>
      <c r="AC643" s="2582">
        <f t="shared" si="413"/>
        <v>45.120335796568803</v>
      </c>
      <c r="AD643" s="2582">
        <f t="shared" si="414"/>
        <v>0</v>
      </c>
      <c r="AE643" s="1380">
        <f>'Appliance Recycle Deemed Table'!BD58</f>
        <v>45.120335796568803</v>
      </c>
      <c r="AF643" s="571"/>
      <c r="AG643" s="571"/>
      <c r="AH643" s="571"/>
      <c r="AI643" s="3346" t="str">
        <f>'Appliance Recycle Deemed Table'!L58</f>
        <v>per measure</v>
      </c>
      <c r="AJ643" s="141"/>
      <c r="AK643"/>
      <c r="AL643"/>
      <c r="AM643" s="1596">
        <f t="shared" si="406"/>
        <v>4.6608050000000002E-4</v>
      </c>
      <c r="AN643">
        <f t="shared" si="415"/>
        <v>6.4785189500000007E-2</v>
      </c>
      <c r="AO643" s="1595">
        <f t="shared" si="416"/>
        <v>1.8950000001127787E-7</v>
      </c>
      <c r="AP643"/>
      <c r="AQ643"/>
      <c r="AR643"/>
      <c r="AS643"/>
      <c r="AT643"/>
      <c r="AU643"/>
      <c r="AV643"/>
    </row>
    <row r="644" spans="1:48" x14ac:dyDescent="0.35">
      <c r="A644" s="103" t="str">
        <f t="shared" si="410"/>
        <v>600050</v>
      </c>
      <c r="B644" s="3346" t="str">
        <f>'Demand Response Deemed Table'!C7</f>
        <v>600050_2020_12_</v>
      </c>
      <c r="C644" s="3343" t="str">
        <f>'Demand Response Deemed Table'!G7</f>
        <v>-</v>
      </c>
      <c r="D644" s="3343"/>
      <c r="E644" s="3343"/>
      <c r="F644" s="3343"/>
      <c r="G644" s="3343" t="str">
        <f>'Demand Response Deemed Table'!E7</f>
        <v>Demand Response Advanced Thermostat - with Program-driven Optimization</v>
      </c>
      <c r="H644" s="50" t="str">
        <f>'Demand Response Deemed Table'!D7</f>
        <v>DR</v>
      </c>
      <c r="I644" s="1966">
        <f>'Demand Response Deemed Table'!F7</f>
        <v>47.86</v>
      </c>
      <c r="J644" s="1966"/>
      <c r="K644" s="560"/>
      <c r="L644" s="560"/>
      <c r="M644" s="560"/>
      <c r="N644" s="560"/>
      <c r="O644" s="1967" t="str">
        <f>'Demand Response Deemed Table'!I7</f>
        <v>-</v>
      </c>
      <c r="P644" s="1967"/>
      <c r="Q644" s="1968"/>
      <c r="R644" s="1968"/>
      <c r="S644" s="1968"/>
      <c r="T644" s="1968"/>
      <c r="U644" s="1969">
        <v>0</v>
      </c>
      <c r="V644" s="1969">
        <v>0</v>
      </c>
      <c r="W644" s="1969">
        <v>0</v>
      </c>
      <c r="X644" s="55">
        <f>'Demand Response Deemed Table'!J7</f>
        <v>11</v>
      </c>
      <c r="Y644" s="55"/>
      <c r="Z644" s="55">
        <f t="shared" si="412"/>
        <v>11</v>
      </c>
      <c r="AA644" s="2601" t="str">
        <f>'Demand Response Deemed Table'!BB7</f>
        <v/>
      </c>
      <c r="AB644" s="698">
        <f>'Demand Response Deemed Table'!K7</f>
        <v>0</v>
      </c>
      <c r="AC644" s="2583">
        <f t="shared" si="413"/>
        <v>0</v>
      </c>
      <c r="AD644" s="2583">
        <f t="shared" si="414"/>
        <v>0</v>
      </c>
      <c r="AE644" s="2597">
        <f>'Demand Response Deemed Table'!BD7</f>
        <v>0</v>
      </c>
      <c r="AF644" s="571"/>
      <c r="AG644" s="571"/>
      <c r="AH644" s="571"/>
      <c r="AI644" s="3346" t="str">
        <f>'Demand Response Deemed Table'!L7</f>
        <v>per thermostat</v>
      </c>
      <c r="AJ644" s="141"/>
      <c r="AM644" s="1596"/>
      <c r="AO644" s="1595"/>
    </row>
    <row r="645" spans="1:48" x14ac:dyDescent="0.35">
      <c r="A645" s="103" t="str">
        <f t="shared" si="410"/>
        <v>600100</v>
      </c>
      <c r="B645" s="3346" t="str">
        <f>'Demand Response Deemed Table'!C8</f>
        <v>600100_2021_12_</v>
      </c>
      <c r="C645" s="3343" t="str">
        <f>'Demand Response Deemed Table'!G8</f>
        <v>-</v>
      </c>
      <c r="D645" s="3343"/>
      <c r="E645" s="3343"/>
      <c r="F645" s="3343"/>
      <c r="G645" s="3343" t="str">
        <f>'Demand Response Deemed Table'!E8</f>
        <v>Demand Response Advanced Thermostat - without Program-Driven Optimization</v>
      </c>
      <c r="H645" s="50" t="str">
        <f>'Demand Response Deemed Table'!D8</f>
        <v>DR</v>
      </c>
      <c r="I645" s="1966">
        <f>'Demand Response Deemed Table'!F8</f>
        <v>0</v>
      </c>
      <c r="J645" s="1966"/>
      <c r="K645" s="560"/>
      <c r="L645" s="560"/>
      <c r="M645" s="560"/>
      <c r="N645" s="560"/>
      <c r="O645" s="1967" t="str">
        <f>'Demand Response Deemed Table'!I8</f>
        <v>-</v>
      </c>
      <c r="P645" s="1967"/>
      <c r="Q645" s="1968"/>
      <c r="R645" s="1968"/>
      <c r="S645" s="1968"/>
      <c r="T645" s="1968"/>
      <c r="U645" s="1969">
        <v>0</v>
      </c>
      <c r="V645" s="1969">
        <v>0</v>
      </c>
      <c r="W645" s="1969">
        <v>0</v>
      </c>
      <c r="X645" s="55">
        <f>'Demand Response Deemed Table'!J8</f>
        <v>11</v>
      </c>
      <c r="Y645" s="55"/>
      <c r="Z645" s="55">
        <f t="shared" si="412"/>
        <v>11</v>
      </c>
      <c r="AA645" s="2601">
        <f>'Demand Response Deemed Table'!BB8</f>
        <v>0</v>
      </c>
      <c r="AB645" s="698">
        <f>'Demand Response Deemed Table'!K8</f>
        <v>0</v>
      </c>
      <c r="AC645" s="2583">
        <f t="shared" si="413"/>
        <v>0</v>
      </c>
      <c r="AD645" s="2583">
        <f t="shared" si="414"/>
        <v>0</v>
      </c>
      <c r="AE645" s="2597">
        <f>'Demand Response Deemed Table'!BD8</f>
        <v>0</v>
      </c>
      <c r="AF645" s="571"/>
      <c r="AG645" s="571"/>
      <c r="AH645" s="571"/>
      <c r="AI645" s="3346" t="str">
        <f>'Demand Response Deemed Table'!L8</f>
        <v>per thermostat</v>
      </c>
      <c r="AJ645" s="1589"/>
      <c r="AK645" s="84"/>
      <c r="AL645" s="84"/>
      <c r="AM645" s="1961"/>
      <c r="AN645" s="84"/>
      <c r="AO645" s="1965"/>
      <c r="AP645" s="84"/>
      <c r="AQ645" s="84"/>
      <c r="AR645" s="84"/>
      <c r="AS645" s="84"/>
      <c r="AT645" s="84"/>
      <c r="AU645" s="84"/>
      <c r="AV645" s="84"/>
    </row>
    <row r="646" spans="1:48" x14ac:dyDescent="0.35">
      <c r="A646" s="103" t="str">
        <f t="shared" si="410"/>
        <v>800050</v>
      </c>
      <c r="B646" s="3346" t="str">
        <f>'BUS Deemed Savings Table'!C9</f>
        <v>800050_2019_12_</v>
      </c>
      <c r="C646" s="3343" t="str">
        <f>'BUS Deemed Savings Table'!G9</f>
        <v>Lighting BUS</v>
      </c>
      <c r="D646" s="3343"/>
      <c r="E646" s="3343"/>
      <c r="F646" s="3343"/>
      <c r="G646" s="3343" t="str">
        <f>'BUS Deemed Savings Table'!E9</f>
        <v>LED &lt;=11 Watt Lamp Replacing Interior Halogen A 28-52 Watt Lamp</v>
      </c>
      <c r="H646" s="50" t="str">
        <f>'BUS Deemed Savings Table'!D9</f>
        <v>C&amp;I</v>
      </c>
      <c r="I646" s="1966">
        <f>'BUS Deemed Savings Table'!F9</f>
        <v>81.45</v>
      </c>
      <c r="J646" s="1966"/>
      <c r="K646" s="560"/>
      <c r="L646" s="560"/>
      <c r="M646" s="560"/>
      <c r="N646" s="560"/>
      <c r="O646" s="1967">
        <f>'BUS Deemed Savings Table'!I9</f>
        <v>1.5968E-2</v>
      </c>
      <c r="P646" s="1967"/>
      <c r="Q646" s="1968"/>
      <c r="R646" s="1968"/>
      <c r="S646" s="1968"/>
      <c r="T646" s="1968"/>
      <c r="U646" s="1969">
        <f t="shared" ref="U646:U677" si="417">IF(V646+W646&gt;0,0,IF(Z646&gt;0,O646,0))</f>
        <v>0</v>
      </c>
      <c r="V646" s="1969">
        <f t="shared" ref="V646:V677" si="418">IF(W646&gt;0,0,IF(Z646&gt;9,O646,0))</f>
        <v>1.5968E-2</v>
      </c>
      <c r="W646" s="1969">
        <f t="shared" ref="W646:W677" si="419">IF(Z646&gt;14,O646,0)</f>
        <v>0</v>
      </c>
      <c r="X646" s="55">
        <f>'BUS Deemed Savings Table'!J9</f>
        <v>10</v>
      </c>
      <c r="Y646" s="55"/>
      <c r="Z646" s="55">
        <f t="shared" si="412"/>
        <v>10</v>
      </c>
      <c r="AA646" s="49">
        <f>'BUS Deemed Savings Table'!DG9</f>
        <v>2.1924077988444024</v>
      </c>
      <c r="AB646" s="698">
        <f>'BUS Deemed Savings Table'!K9</f>
        <v>15.64</v>
      </c>
      <c r="AC646" s="1975">
        <f t="shared" si="413"/>
        <v>32.363622438816847</v>
      </c>
      <c r="AD646" s="1975">
        <f t="shared" si="414"/>
        <v>0</v>
      </c>
      <c r="AE646" s="1380">
        <f>'BUS Deemed Savings Table'!DI9</f>
        <v>32.363622438816847</v>
      </c>
      <c r="AF646" s="571"/>
      <c r="AG646" s="571"/>
      <c r="AH646" s="571"/>
      <c r="AI646" s="3346" t="str">
        <f>'BUS Deemed Savings Table'!L9</f>
        <v>per measure</v>
      </c>
      <c r="AJ646" s="141"/>
      <c r="AM646" s="1596">
        <f t="shared" ref="AM646:AM682" si="420">VLOOKUP(C646,$AS$10:$AT$49,2,FALSE)</f>
        <v>1.899635E-4</v>
      </c>
      <c r="AN646">
        <f t="shared" ref="AN646:AN682" si="421">AM646*I646</f>
        <v>1.5472527075000001E-2</v>
      </c>
      <c r="AO646" s="1595">
        <f t="shared" ref="AO646:AO682" si="422">AN646-O646</f>
        <v>-4.9547292499999875E-4</v>
      </c>
    </row>
    <row r="647" spans="1:48" x14ac:dyDescent="0.35">
      <c r="A647" s="103" t="str">
        <f t="shared" si="410"/>
        <v>800100</v>
      </c>
      <c r="B647" s="3346" t="str">
        <f>'BUS Deemed Savings Table'!C10</f>
        <v>800100_2019_12_</v>
      </c>
      <c r="C647" s="3343" t="str">
        <f>'BUS Deemed Savings Table'!G10</f>
        <v>Lighting BUS</v>
      </c>
      <c r="D647" s="3343"/>
      <c r="E647" s="3343"/>
      <c r="F647" s="3343"/>
      <c r="G647" s="3343" t="str">
        <f>'BUS Deemed Savings Table'!E10</f>
        <v>LED 7-20 Watt Lamp Replacing Interior Halogen 53-70 Watt Lamp</v>
      </c>
      <c r="H647" s="50" t="str">
        <f>'BUS Deemed Savings Table'!D10</f>
        <v>C&amp;I</v>
      </c>
      <c r="I647" s="1966">
        <f>'BUS Deemed Savings Table'!F10</f>
        <v>131.65</v>
      </c>
      <c r="J647" s="1966"/>
      <c r="K647" s="560"/>
      <c r="L647" s="560"/>
      <c r="M647" s="560"/>
      <c r="N647" s="560"/>
      <c r="O647" s="1967">
        <f>'BUS Deemed Savings Table'!I10</f>
        <v>2.5808999999999999E-2</v>
      </c>
      <c r="P647" s="1967"/>
      <c r="Q647" s="1968"/>
      <c r="R647" s="1968"/>
      <c r="S647" s="1968"/>
      <c r="T647" s="1968"/>
      <c r="U647" s="1969">
        <f t="shared" si="417"/>
        <v>0</v>
      </c>
      <c r="V647" s="1969">
        <f t="shared" si="418"/>
        <v>2.5808999999999999E-2</v>
      </c>
      <c r="W647" s="1969">
        <f t="shared" si="419"/>
        <v>0</v>
      </c>
      <c r="X647" s="55">
        <f>'BUS Deemed Savings Table'!J10</f>
        <v>10</v>
      </c>
      <c r="Y647" s="55"/>
      <c r="Z647" s="55">
        <f t="shared" si="412"/>
        <v>10</v>
      </c>
      <c r="AA647" s="49">
        <f>'BUS Deemed Savings Table'!DG10</f>
        <v>2.8219309212650399</v>
      </c>
      <c r="AB647" s="698">
        <f>'BUS Deemed Savings Table'!K10</f>
        <v>19.64</v>
      </c>
      <c r="AC647" s="1975">
        <f t="shared" si="413"/>
        <v>52.310262665073509</v>
      </c>
      <c r="AD647" s="1975">
        <f t="shared" si="414"/>
        <v>0</v>
      </c>
      <c r="AE647" s="1380">
        <f>'BUS Deemed Savings Table'!DI10</f>
        <v>52.310262665073509</v>
      </c>
      <c r="AF647" s="571"/>
      <c r="AG647" s="571"/>
      <c r="AH647" s="571"/>
      <c r="AI647" s="3346" t="str">
        <f>'BUS Deemed Savings Table'!L10</f>
        <v>per measure</v>
      </c>
      <c r="AJ647" s="141"/>
      <c r="AM647" s="1596">
        <f t="shared" si="420"/>
        <v>1.899635E-4</v>
      </c>
      <c r="AN647">
        <f t="shared" si="421"/>
        <v>2.5008694775000003E-2</v>
      </c>
      <c r="AO647" s="1595">
        <f t="shared" si="422"/>
        <v>-8.0030522499999548E-4</v>
      </c>
    </row>
    <row r="648" spans="1:48" x14ac:dyDescent="0.35">
      <c r="A648" s="103" t="str">
        <f t="shared" si="410"/>
        <v>800150</v>
      </c>
      <c r="B648" s="3346" t="str">
        <f>'BUS Deemed Savings Table'!C11</f>
        <v>800150_2019_12_</v>
      </c>
      <c r="C648" s="3343" t="str">
        <f>'BUS Deemed Savings Table'!G11</f>
        <v>Lighting BUS</v>
      </c>
      <c r="D648" s="3343"/>
      <c r="E648" s="3343"/>
      <c r="F648" s="3343"/>
      <c r="G648" s="3343" t="str">
        <f>'BUS Deemed Savings Table'!E11</f>
        <v>LED &lt;=14 Watt Lamp Replacing Interior Halogen BR/R 45-65 Watt Lamp</v>
      </c>
      <c r="H648" s="50" t="str">
        <f>'BUS Deemed Savings Table'!D11</f>
        <v>C&amp;I</v>
      </c>
      <c r="I648" s="1966">
        <f>'BUS Deemed Savings Table'!F11</f>
        <v>232.54</v>
      </c>
      <c r="J648" s="1966"/>
      <c r="K648" s="560"/>
      <c r="L648" s="560"/>
      <c r="M648" s="560"/>
      <c r="N648" s="560"/>
      <c r="O648" s="1967">
        <f>'BUS Deemed Savings Table'!I11</f>
        <v>4.5587999999999997E-2</v>
      </c>
      <c r="P648" s="1967"/>
      <c r="Q648" s="1968"/>
      <c r="R648" s="1968"/>
      <c r="S648" s="1968"/>
      <c r="T648" s="1968"/>
      <c r="U648" s="1969">
        <f t="shared" si="417"/>
        <v>0</v>
      </c>
      <c r="V648" s="1969">
        <f t="shared" si="418"/>
        <v>4.5587999999999997E-2</v>
      </c>
      <c r="W648" s="1969">
        <f t="shared" si="419"/>
        <v>0</v>
      </c>
      <c r="X648" s="55">
        <f>'BUS Deemed Savings Table'!J11</f>
        <v>10</v>
      </c>
      <c r="Y648" s="55"/>
      <c r="Z648" s="55">
        <f t="shared" si="412"/>
        <v>10</v>
      </c>
      <c r="AA648" s="49">
        <f>'BUS Deemed Savings Table'!DG11</f>
        <v>2.0280906725067585</v>
      </c>
      <c r="AB648" s="698">
        <f>'BUS Deemed Savings Table'!K11</f>
        <v>48.27</v>
      </c>
      <c r="AC648" s="1975">
        <f t="shared" si="413"/>
        <v>92.398241398679787</v>
      </c>
      <c r="AD648" s="1975">
        <f t="shared" si="414"/>
        <v>0</v>
      </c>
      <c r="AE648" s="1380">
        <f>'BUS Deemed Savings Table'!DI11</f>
        <v>92.398241398679787</v>
      </c>
      <c r="AF648" s="571"/>
      <c r="AG648" s="571"/>
      <c r="AH648" s="571"/>
      <c r="AI648" s="3346" t="str">
        <f>'BUS Deemed Savings Table'!L11</f>
        <v>per measure</v>
      </c>
      <c r="AJ648" s="141"/>
      <c r="AM648" s="1596">
        <f t="shared" si="420"/>
        <v>1.899635E-4</v>
      </c>
      <c r="AN648">
        <f t="shared" si="421"/>
        <v>4.4174112289999998E-2</v>
      </c>
      <c r="AO648" s="1595">
        <f t="shared" si="422"/>
        <v>-1.4138877099999989E-3</v>
      </c>
    </row>
    <row r="649" spans="1:48" x14ac:dyDescent="0.35">
      <c r="A649" s="103" t="str">
        <f t="shared" si="410"/>
        <v>800200</v>
      </c>
      <c r="B649" s="3346" t="str">
        <f>'BUS Deemed Savings Table'!C12</f>
        <v>800200_2019_12_</v>
      </c>
      <c r="C649" s="3343" t="str">
        <f>'BUS Deemed Savings Table'!G12</f>
        <v>Lighting BUS</v>
      </c>
      <c r="D649" s="3343"/>
      <c r="E649" s="3343"/>
      <c r="F649" s="3343"/>
      <c r="G649" s="3343" t="str">
        <f>'BUS Deemed Savings Table'!E12</f>
        <v>LED &lt;=13 Watt Lamp Replacing Interior Halogen MR-16 35-50 Watt Lamp</v>
      </c>
      <c r="H649" s="50" t="str">
        <f>'BUS Deemed Savings Table'!D12</f>
        <v>C&amp;I</v>
      </c>
      <c r="I649" s="1966">
        <f>'BUS Deemed Savings Table'!F12</f>
        <v>79.69</v>
      </c>
      <c r="J649" s="1966"/>
      <c r="K649" s="560"/>
      <c r="L649" s="560"/>
      <c r="M649" s="560"/>
      <c r="N649" s="560"/>
      <c r="O649" s="1967">
        <f>'BUS Deemed Savings Table'!I12</f>
        <v>1.5623E-2</v>
      </c>
      <c r="P649" s="1967"/>
      <c r="Q649" s="1968"/>
      <c r="R649" s="1968"/>
      <c r="S649" s="1968"/>
      <c r="T649" s="1968"/>
      <c r="U649" s="1969">
        <f t="shared" si="417"/>
        <v>0</v>
      </c>
      <c r="V649" s="1969">
        <f t="shared" si="418"/>
        <v>1.5623E-2</v>
      </c>
      <c r="W649" s="1969">
        <f t="shared" si="419"/>
        <v>0</v>
      </c>
      <c r="X649" s="55">
        <f>'BUS Deemed Savings Table'!J12</f>
        <v>10</v>
      </c>
      <c r="Y649" s="55"/>
      <c r="Z649" s="55">
        <f t="shared" si="412"/>
        <v>10</v>
      </c>
      <c r="AA649" s="49">
        <f>'BUS Deemed Savings Table'!DG12</f>
        <v>0.91562018918235466</v>
      </c>
      <c r="AB649" s="698">
        <f>'BUS Deemed Savings Table'!K12</f>
        <v>36.64</v>
      </c>
      <c r="AC649" s="1975">
        <f t="shared" si="413"/>
        <v>31.664298000605452</v>
      </c>
      <c r="AD649" s="1975">
        <f t="shared" si="414"/>
        <v>0</v>
      </c>
      <c r="AE649" s="1380">
        <f>'BUS Deemed Savings Table'!DI12</f>
        <v>31.664298000605452</v>
      </c>
      <c r="AF649" s="571"/>
      <c r="AG649" s="571"/>
      <c r="AH649" s="571"/>
      <c r="AI649" s="3346" t="str">
        <f>'BUS Deemed Savings Table'!L12</f>
        <v>per measure</v>
      </c>
      <c r="AJ649" s="141"/>
      <c r="AM649" s="1596">
        <f t="shared" si="420"/>
        <v>1.899635E-4</v>
      </c>
      <c r="AN649">
        <f t="shared" si="421"/>
        <v>1.5138191315000001E-2</v>
      </c>
      <c r="AO649" s="1595">
        <f t="shared" si="422"/>
        <v>-4.848086849999992E-4</v>
      </c>
    </row>
    <row r="650" spans="1:48" x14ac:dyDescent="0.35">
      <c r="A650" s="103" t="str">
        <f t="shared" si="410"/>
        <v>800250</v>
      </c>
      <c r="B650" s="3346" t="str">
        <f>'BUS Deemed Savings Table'!C13</f>
        <v>800250_2019_12_</v>
      </c>
      <c r="C650" s="3343" t="str">
        <f>'BUS Deemed Savings Table'!G13</f>
        <v>Lighting BUS</v>
      </c>
      <c r="D650" s="3343"/>
      <c r="E650" s="3343"/>
      <c r="F650" s="3343"/>
      <c r="G650" s="3343" t="str">
        <f>'BUS Deemed Savings Table'!E13</f>
        <v>LED &lt;=20 Watt Lamp Replacing Interior Halogen PAR 48-90 Watt Lamp</v>
      </c>
      <c r="H650" s="50" t="str">
        <f>'BUS Deemed Savings Table'!D13</f>
        <v>C&amp;I</v>
      </c>
      <c r="I650" s="1966">
        <f>'BUS Deemed Savings Table'!F13</f>
        <v>187.8</v>
      </c>
      <c r="J650" s="1966"/>
      <c r="K650" s="560"/>
      <c r="L650" s="560"/>
      <c r="M650" s="560"/>
      <c r="N650" s="560"/>
      <c r="O650" s="1967">
        <f>'BUS Deemed Savings Table'!I13</f>
        <v>3.6817000000000003E-2</v>
      </c>
      <c r="P650" s="1967"/>
      <c r="Q650" s="1968"/>
      <c r="R650" s="1968"/>
      <c r="S650" s="1968"/>
      <c r="T650" s="1968"/>
      <c r="U650" s="1969">
        <f t="shared" si="417"/>
        <v>0</v>
      </c>
      <c r="V650" s="1969">
        <f t="shared" si="418"/>
        <v>3.6817000000000003E-2</v>
      </c>
      <c r="W650" s="1969">
        <f t="shared" si="419"/>
        <v>0</v>
      </c>
      <c r="X650" s="55">
        <f>'BUS Deemed Savings Table'!J13</f>
        <v>10</v>
      </c>
      <c r="Y650" s="55"/>
      <c r="Z650" s="55">
        <f t="shared" si="412"/>
        <v>10</v>
      </c>
      <c r="AA650" s="49">
        <f>'BUS Deemed Savings Table'!DG13</f>
        <v>1.0592316657921415</v>
      </c>
      <c r="AB650" s="698">
        <f>'BUS Deemed Savings Table'!K13</f>
        <v>74.64</v>
      </c>
      <c r="AC650" s="1975">
        <f t="shared" si="413"/>
        <v>74.621096304601636</v>
      </c>
      <c r="AD650" s="1975">
        <f t="shared" si="414"/>
        <v>0</v>
      </c>
      <c r="AE650" s="1380">
        <f>'BUS Deemed Savings Table'!DI13</f>
        <v>74.621096304601636</v>
      </c>
      <c r="AF650" s="571"/>
      <c r="AG650" s="571"/>
      <c r="AH650" s="571"/>
      <c r="AI650" s="3346" t="str">
        <f>'BUS Deemed Savings Table'!L13</f>
        <v>per measure</v>
      </c>
      <c r="AJ650" s="141"/>
      <c r="AM650" s="1596">
        <f t="shared" si="420"/>
        <v>1.899635E-4</v>
      </c>
      <c r="AN650">
        <f t="shared" si="421"/>
        <v>3.5675145300000002E-2</v>
      </c>
      <c r="AO650" s="1595">
        <f t="shared" si="422"/>
        <v>-1.1418547000000001E-3</v>
      </c>
    </row>
    <row r="651" spans="1:48" x14ac:dyDescent="0.35">
      <c r="A651" s="103" t="str">
        <f t="shared" si="410"/>
        <v>800300</v>
      </c>
      <c r="B651" s="3346" t="str">
        <f>'BUS Deemed Savings Table'!C14</f>
        <v>800300_2019_12_</v>
      </c>
      <c r="C651" s="3343" t="str">
        <f>'BUS Deemed Savings Table'!G14</f>
        <v>Lighting BUS</v>
      </c>
      <c r="D651" s="3343"/>
      <c r="E651" s="3343"/>
      <c r="F651" s="3343"/>
      <c r="G651" s="3343" t="str">
        <f>'BUS Deemed Savings Table'!E14</f>
        <v>LED &lt;=80 Watt Lamp or Fixture Replacing Interior HID 100-175 Watt Lamp or Fixture</v>
      </c>
      <c r="H651" s="50" t="str">
        <f>'BUS Deemed Savings Table'!D14</f>
        <v>C&amp;I</v>
      </c>
      <c r="I651" s="1966">
        <f>'BUS Deemed Savings Table'!F14</f>
        <v>1128.77</v>
      </c>
      <c r="J651" s="1966"/>
      <c r="K651" s="560"/>
      <c r="L651" s="560"/>
      <c r="M651" s="560"/>
      <c r="N651" s="560"/>
      <c r="O651" s="1967">
        <f>'BUS Deemed Savings Table'!I14</f>
        <v>0.22128700000000001</v>
      </c>
      <c r="P651" s="1967"/>
      <c r="Q651" s="1968"/>
      <c r="R651" s="1968"/>
      <c r="S651" s="1968"/>
      <c r="T651" s="1968"/>
      <c r="U651" s="1969">
        <f t="shared" si="417"/>
        <v>0</v>
      </c>
      <c r="V651" s="1969">
        <f t="shared" si="418"/>
        <v>0</v>
      </c>
      <c r="W651" s="1969">
        <f t="shared" si="419"/>
        <v>0.22128700000000001</v>
      </c>
      <c r="X651" s="55">
        <f>'BUS Deemed Savings Table'!J14</f>
        <v>15</v>
      </c>
      <c r="Y651" s="55"/>
      <c r="Z651" s="55">
        <f t="shared" si="412"/>
        <v>15</v>
      </c>
      <c r="AA651" s="49">
        <f>'BUS Deemed Savings Table'!DG14</f>
        <v>3.5543493474808261</v>
      </c>
      <c r="AB651" s="698">
        <f>'BUS Deemed Savings Table'!K14</f>
        <v>191.39</v>
      </c>
      <c r="AC651" s="1975">
        <f t="shared" si="413"/>
        <v>642.06410723393594</v>
      </c>
      <c r="AD651" s="1975">
        <f t="shared" si="414"/>
        <v>0</v>
      </c>
      <c r="AE651" s="1380">
        <f>'BUS Deemed Savings Table'!DI14</f>
        <v>642.06410723393594</v>
      </c>
      <c r="AF651" s="571"/>
      <c r="AG651" s="571"/>
      <c r="AH651" s="571"/>
      <c r="AI651" s="3346" t="str">
        <f>'BUS Deemed Savings Table'!L14</f>
        <v>per measure</v>
      </c>
      <c r="AJ651" s="141"/>
      <c r="AM651" s="1596">
        <f t="shared" si="420"/>
        <v>1.899635E-4</v>
      </c>
      <c r="AN651">
        <f t="shared" si="421"/>
        <v>0.214425099895</v>
      </c>
      <c r="AO651" s="1595">
        <f t="shared" si="422"/>
        <v>-6.8619001050000128E-3</v>
      </c>
    </row>
    <row r="652" spans="1:48" x14ac:dyDescent="0.35">
      <c r="A652" s="103" t="str">
        <f t="shared" si="410"/>
        <v>800350</v>
      </c>
      <c r="B652" s="3346" t="str">
        <f>'BUS Deemed Savings Table'!C15</f>
        <v>800350_2019_12_</v>
      </c>
      <c r="C652" s="3343" t="str">
        <f>'BUS Deemed Savings Table'!G15</f>
        <v>Lighting BUS</v>
      </c>
      <c r="D652" s="3343"/>
      <c r="E652" s="3343"/>
      <c r="F652" s="3343"/>
      <c r="G652" s="3343" t="str">
        <f>'BUS Deemed Savings Table'!E15</f>
        <v>LED 62 - 130 Watt Lamp or Fixture Replacing Interior HID 176-300 Watt Lamp or Fixture</v>
      </c>
      <c r="H652" s="50" t="str">
        <f>'BUS Deemed Savings Table'!D15</f>
        <v>C&amp;I</v>
      </c>
      <c r="I652" s="1966">
        <f>'BUS Deemed Savings Table'!F15</f>
        <v>843.64</v>
      </c>
      <c r="J652" s="1966"/>
      <c r="K652" s="560"/>
      <c r="L652" s="560"/>
      <c r="M652" s="560"/>
      <c r="N652" s="560"/>
      <c r="O652" s="1967">
        <f>'BUS Deemed Savings Table'!I15</f>
        <v>0.16538900000000001</v>
      </c>
      <c r="P652" s="1967"/>
      <c r="Q652" s="1968"/>
      <c r="R652" s="1968"/>
      <c r="S652" s="1968"/>
      <c r="T652" s="1968"/>
      <c r="U652" s="1969">
        <f t="shared" si="417"/>
        <v>0</v>
      </c>
      <c r="V652" s="1969">
        <f t="shared" si="418"/>
        <v>0</v>
      </c>
      <c r="W652" s="1969">
        <f t="shared" si="419"/>
        <v>0.16538900000000001</v>
      </c>
      <c r="X652" s="55">
        <f>'BUS Deemed Savings Table'!J15</f>
        <v>15</v>
      </c>
      <c r="Y652" s="55"/>
      <c r="Z652" s="55">
        <f t="shared" si="412"/>
        <v>15</v>
      </c>
      <c r="AA652" s="49">
        <f>'BUS Deemed Savings Table'!DG15</f>
        <v>2.1761251122760159</v>
      </c>
      <c r="AB652" s="698">
        <f>'BUS Deemed Savings Table'!K15</f>
        <v>233.64</v>
      </c>
      <c r="AC652" s="1975">
        <f t="shared" si="413"/>
        <v>479.87717907708191</v>
      </c>
      <c r="AD652" s="1975">
        <f t="shared" si="414"/>
        <v>0</v>
      </c>
      <c r="AE652" s="1380">
        <f>'BUS Deemed Savings Table'!DI15</f>
        <v>479.87717907708191</v>
      </c>
      <c r="AF652" s="571"/>
      <c r="AG652" s="571"/>
      <c r="AH652" s="571"/>
      <c r="AI652" s="3346" t="str">
        <f>'BUS Deemed Savings Table'!L15</f>
        <v>per measure</v>
      </c>
      <c r="AJ652" s="141"/>
      <c r="AM652" s="1596">
        <f t="shared" si="420"/>
        <v>1.899635E-4</v>
      </c>
      <c r="AN652">
        <f t="shared" si="421"/>
        <v>0.16026080713999999</v>
      </c>
      <c r="AO652" s="1595">
        <f t="shared" si="422"/>
        <v>-5.1281928600000193E-3</v>
      </c>
    </row>
    <row r="653" spans="1:48" x14ac:dyDescent="0.35">
      <c r="A653" s="103" t="str">
        <f t="shared" si="410"/>
        <v>800400</v>
      </c>
      <c r="B653" s="3346" t="str">
        <f>'BUS Deemed Savings Table'!C16</f>
        <v>800400_2019_12_</v>
      </c>
      <c r="C653" s="3343" t="str">
        <f>'BUS Deemed Savings Table'!G16</f>
        <v>Lighting BUS</v>
      </c>
      <c r="D653" s="3343"/>
      <c r="E653" s="3343"/>
      <c r="F653" s="3343"/>
      <c r="G653" s="3343" t="str">
        <f>'BUS Deemed Savings Table'!E16</f>
        <v>LED 85 - 225 Watt Lamp or Fixture Replacing Interior HID 301-500 Watt Lamp or Fixture</v>
      </c>
      <c r="H653" s="50" t="str">
        <f>'BUS Deemed Savings Table'!D16</f>
        <v>C&amp;I</v>
      </c>
      <c r="I653" s="1966">
        <f>'BUS Deemed Savings Table'!F16</f>
        <v>1039.76</v>
      </c>
      <c r="J653" s="1966"/>
      <c r="K653" s="560"/>
      <c r="L653" s="560"/>
      <c r="M653" s="560"/>
      <c r="N653" s="560"/>
      <c r="O653" s="1967">
        <f>'BUS Deemed Savings Table'!I16</f>
        <v>0.20383699999999999</v>
      </c>
      <c r="P653" s="1967"/>
      <c r="Q653" s="1968"/>
      <c r="R653" s="1968"/>
      <c r="S653" s="1968"/>
      <c r="T653" s="1968"/>
      <c r="U653" s="1969">
        <f t="shared" si="417"/>
        <v>0</v>
      </c>
      <c r="V653" s="1969">
        <f t="shared" si="418"/>
        <v>0</v>
      </c>
      <c r="W653" s="1969">
        <f t="shared" si="419"/>
        <v>0.20383699999999999</v>
      </c>
      <c r="X653" s="55">
        <f>'BUS Deemed Savings Table'!J16</f>
        <v>15</v>
      </c>
      <c r="Y653" s="55"/>
      <c r="Z653" s="55">
        <f t="shared" si="412"/>
        <v>15</v>
      </c>
      <c r="AA653" s="49">
        <f>'BUS Deemed Savings Table'!DG16</f>
        <v>1.7327285872134763</v>
      </c>
      <c r="AB653" s="698">
        <f>'BUS Deemed Savings Table'!K16</f>
        <v>361.64</v>
      </c>
      <c r="AC653" s="1975">
        <f t="shared" si="413"/>
        <v>591.43366331277161</v>
      </c>
      <c r="AD653" s="1975">
        <f t="shared" si="414"/>
        <v>0</v>
      </c>
      <c r="AE653" s="1380">
        <f>'BUS Deemed Savings Table'!DI16</f>
        <v>591.43366331277161</v>
      </c>
      <c r="AF653" s="571"/>
      <c r="AG653" s="571"/>
      <c r="AH653" s="571"/>
      <c r="AI653" s="3346" t="str">
        <f>'BUS Deemed Savings Table'!L16</f>
        <v>per measure</v>
      </c>
      <c r="AJ653" s="141"/>
      <c r="AM653" s="1596">
        <f t="shared" si="420"/>
        <v>1.899635E-4</v>
      </c>
      <c r="AN653">
        <f t="shared" si="421"/>
        <v>0.19751644875999999</v>
      </c>
      <c r="AO653" s="1595">
        <f t="shared" si="422"/>
        <v>-6.3205512399999997E-3</v>
      </c>
    </row>
    <row r="654" spans="1:48" x14ac:dyDescent="0.35">
      <c r="A654" s="103" t="str">
        <f t="shared" si="410"/>
        <v>800450</v>
      </c>
      <c r="B654" s="3346" t="str">
        <f>'BUS Deemed Savings Table'!C17</f>
        <v>800450_2019_12_</v>
      </c>
      <c r="C654" s="3343" t="str">
        <f>'BUS Deemed Savings Table'!G17</f>
        <v>Ext Lighting BUS</v>
      </c>
      <c r="D654" s="3343"/>
      <c r="E654" s="3343"/>
      <c r="F654" s="3343"/>
      <c r="G654" s="3343" t="str">
        <f>'BUS Deemed Savings Table'!E17</f>
        <v>LED &lt;=80 Watt Lamp or Fixture Replacing Garage or Exterior &lt;24/7 HID 100-175 Watt Lamp or Fixture</v>
      </c>
      <c r="H654" s="50" t="str">
        <f>'BUS Deemed Savings Table'!D17</f>
        <v>C&amp;I</v>
      </c>
      <c r="I654" s="1966">
        <f>'BUS Deemed Savings Table'!F17</f>
        <v>442.06</v>
      </c>
      <c r="J654" s="1966"/>
      <c r="K654" s="560"/>
      <c r="L654" s="560"/>
      <c r="M654" s="560"/>
      <c r="N654" s="560"/>
      <c r="O654" s="1967">
        <f>'BUS Deemed Savings Table'!I17</f>
        <v>2.483E-3</v>
      </c>
      <c r="P654" s="1967"/>
      <c r="Q654" s="1968"/>
      <c r="R654" s="1968"/>
      <c r="S654" s="1968"/>
      <c r="T654" s="1968"/>
      <c r="U654" s="1969">
        <f t="shared" si="417"/>
        <v>0</v>
      </c>
      <c r="V654" s="1969">
        <f t="shared" si="418"/>
        <v>0</v>
      </c>
      <c r="W654" s="1969">
        <f t="shared" si="419"/>
        <v>2.483E-3</v>
      </c>
      <c r="X654" s="55">
        <f>'BUS Deemed Savings Table'!J17</f>
        <v>15</v>
      </c>
      <c r="Y654" s="55"/>
      <c r="Z654" s="55">
        <f t="shared" si="412"/>
        <v>15</v>
      </c>
      <c r="AA654" s="49">
        <f>'BUS Deemed Savings Table'!DG17</f>
        <v>0.78599836866516226</v>
      </c>
      <c r="AB654" s="698">
        <f>'BUS Deemed Savings Table'!K17</f>
        <v>191.39</v>
      </c>
      <c r="AC654" s="1975">
        <f t="shared" si="413"/>
        <v>141.98416968270445</v>
      </c>
      <c r="AD654" s="1975">
        <f t="shared" si="414"/>
        <v>0</v>
      </c>
      <c r="AE654" s="1380">
        <f>'BUS Deemed Savings Table'!DI17</f>
        <v>141.98416968270445</v>
      </c>
      <c r="AF654" s="571"/>
      <c r="AG654" s="571"/>
      <c r="AH654" s="571"/>
      <c r="AI654" s="3346" t="str">
        <f>'BUS Deemed Savings Table'!L17</f>
        <v>per measure</v>
      </c>
      <c r="AJ654" s="141"/>
      <c r="AM654" s="1596">
        <f t="shared" si="420"/>
        <v>5.6160000000000001E-6</v>
      </c>
      <c r="AN654">
        <f t="shared" si="421"/>
        <v>2.4826089599999999E-3</v>
      </c>
      <c r="AO654" s="1595">
        <f t="shared" si="422"/>
        <v>-3.9104000000003344E-7</v>
      </c>
    </row>
    <row r="655" spans="1:48" x14ac:dyDescent="0.35">
      <c r="A655" s="103" t="str">
        <f t="shared" si="410"/>
        <v>800500</v>
      </c>
      <c r="B655" s="3346" t="str">
        <f>'BUS Deemed Savings Table'!C18</f>
        <v>800500_2019_12_</v>
      </c>
      <c r="C655" s="3343" t="str">
        <f>'BUS Deemed Savings Table'!G18</f>
        <v>Ext Lighting BUS</v>
      </c>
      <c r="D655" s="3343"/>
      <c r="E655" s="3343"/>
      <c r="F655" s="3343"/>
      <c r="G655" s="3343" t="str">
        <f>'BUS Deemed Savings Table'!E18</f>
        <v>LED 62 - 130 Watt Lamp or Fixture Replacing Garage or Exterior &lt;24/7 HID 176-300 Watt Lamp or Fixture</v>
      </c>
      <c r="H655" s="50" t="str">
        <f>'BUS Deemed Savings Table'!D18</f>
        <v>C&amp;I</v>
      </c>
      <c r="I655" s="1966">
        <f>'BUS Deemed Savings Table'!F18</f>
        <v>841.83</v>
      </c>
      <c r="J655" s="1966"/>
      <c r="K655" s="560"/>
      <c r="L655" s="560"/>
      <c r="M655" s="560"/>
      <c r="N655" s="560"/>
      <c r="O655" s="1967">
        <f>'BUS Deemed Savings Table'!I18</f>
        <v>4.7280000000000004E-3</v>
      </c>
      <c r="P655" s="1967"/>
      <c r="Q655" s="1968"/>
      <c r="R655" s="1968"/>
      <c r="S655" s="1968"/>
      <c r="T655" s="1968"/>
      <c r="U655" s="1969">
        <f t="shared" si="417"/>
        <v>0</v>
      </c>
      <c r="V655" s="1969">
        <f t="shared" si="418"/>
        <v>0</v>
      </c>
      <c r="W655" s="1969">
        <f t="shared" si="419"/>
        <v>4.7280000000000004E-3</v>
      </c>
      <c r="X655" s="55">
        <f>'BUS Deemed Savings Table'!J18</f>
        <v>15</v>
      </c>
      <c r="Y655" s="55"/>
      <c r="Z655" s="55">
        <f t="shared" si="412"/>
        <v>15</v>
      </c>
      <c r="AA655" s="49">
        <f>'BUS Deemed Savings Table'!DG18</f>
        <v>1.2261309885068892</v>
      </c>
      <c r="AB655" s="698">
        <f>'BUS Deemed Savings Table'!K18</f>
        <v>233.64</v>
      </c>
      <c r="AC655" s="1975">
        <f t="shared" si="413"/>
        <v>270.38531774870177</v>
      </c>
      <c r="AD655" s="1975">
        <f t="shared" si="414"/>
        <v>0</v>
      </c>
      <c r="AE655" s="1380">
        <f>'BUS Deemed Savings Table'!DI18</f>
        <v>270.38531774870177</v>
      </c>
      <c r="AF655" s="571"/>
      <c r="AG655" s="571"/>
      <c r="AH655" s="571"/>
      <c r="AI655" s="3346" t="str">
        <f>'BUS Deemed Savings Table'!L18</f>
        <v>per measure</v>
      </c>
      <c r="AJ655" s="141"/>
      <c r="AM655" s="1596">
        <f t="shared" si="420"/>
        <v>5.6160000000000001E-6</v>
      </c>
      <c r="AN655">
        <f t="shared" si="421"/>
        <v>4.72771728E-3</v>
      </c>
      <c r="AO655" s="1595">
        <f t="shared" si="422"/>
        <v>-2.8272000000047898E-7</v>
      </c>
    </row>
    <row r="656" spans="1:48" x14ac:dyDescent="0.35">
      <c r="A656" s="103" t="str">
        <f t="shared" si="410"/>
        <v>800550</v>
      </c>
      <c r="B656" s="3346" t="str">
        <f>'BUS Deemed Savings Table'!C19</f>
        <v>800550_2019_12_</v>
      </c>
      <c r="C656" s="3343" t="str">
        <f>'BUS Deemed Savings Table'!G19</f>
        <v>Ext Lighting BUS</v>
      </c>
      <c r="D656" s="3343"/>
      <c r="E656" s="3343"/>
      <c r="F656" s="3343"/>
      <c r="G656" s="3343" t="str">
        <f>'BUS Deemed Savings Table'!E19</f>
        <v>LED 85 - 225 Watt Lamp or Fixture Replacing Garage or Exterior &lt;24/7 HID 301-500 Watt Lamp or Fixture</v>
      </c>
      <c r="H656" s="50" t="str">
        <f>'BUS Deemed Savings Table'!D19</f>
        <v>C&amp;I</v>
      </c>
      <c r="I656" s="1966">
        <f>'BUS Deemed Savings Table'!F19</f>
        <v>1540.46</v>
      </c>
      <c r="J656" s="1966"/>
      <c r="K656" s="560"/>
      <c r="L656" s="560"/>
      <c r="M656" s="560"/>
      <c r="N656" s="560"/>
      <c r="O656" s="1967">
        <f>'BUS Deemed Savings Table'!I19</f>
        <v>8.6510000000000007E-3</v>
      </c>
      <c r="P656" s="1967"/>
      <c r="Q656" s="1968"/>
      <c r="R656" s="1968"/>
      <c r="S656" s="1968"/>
      <c r="T656" s="1968"/>
      <c r="U656" s="1969">
        <f t="shared" si="417"/>
        <v>0</v>
      </c>
      <c r="V656" s="1969">
        <f t="shared" si="418"/>
        <v>0</v>
      </c>
      <c r="W656" s="1969">
        <f t="shared" si="419"/>
        <v>8.6510000000000007E-3</v>
      </c>
      <c r="X656" s="55">
        <f>'BUS Deemed Savings Table'!J19</f>
        <v>15</v>
      </c>
      <c r="Y656" s="55"/>
      <c r="Z656" s="55">
        <f t="shared" si="412"/>
        <v>15</v>
      </c>
      <c r="AA656" s="49">
        <f>'BUS Deemed Savings Table'!DG19</f>
        <v>1.449551444232132</v>
      </c>
      <c r="AB656" s="698">
        <f>'BUS Deemed Savings Table'!K19</f>
        <v>361.64</v>
      </c>
      <c r="AC656" s="1975">
        <f t="shared" si="413"/>
        <v>494.77657790666177</v>
      </c>
      <c r="AD656" s="1975">
        <f t="shared" si="414"/>
        <v>0</v>
      </c>
      <c r="AE656" s="1380">
        <f>'BUS Deemed Savings Table'!DI19</f>
        <v>494.77657790666177</v>
      </c>
      <c r="AF656" s="571"/>
      <c r="AG656" s="571"/>
      <c r="AH656" s="571"/>
      <c r="AI656" s="3346" t="str">
        <f>'BUS Deemed Savings Table'!L19</f>
        <v>per measure</v>
      </c>
      <c r="AJ656" s="141"/>
      <c r="AM656" s="1596">
        <f t="shared" si="420"/>
        <v>5.6160000000000001E-6</v>
      </c>
      <c r="AN656">
        <f t="shared" si="421"/>
        <v>8.6512233599999998E-3</v>
      </c>
      <c r="AO656" s="1595">
        <f t="shared" si="422"/>
        <v>2.2335999999914535E-7</v>
      </c>
    </row>
    <row r="657" spans="1:48" x14ac:dyDescent="0.35">
      <c r="A657" s="103" t="str">
        <f t="shared" si="410"/>
        <v>800600</v>
      </c>
      <c r="B657" s="3346" t="str">
        <f>'BUS Deemed Savings Table'!C20</f>
        <v>800600_2019_12_</v>
      </c>
      <c r="C657" s="3343" t="str">
        <f>'BUS Deemed Savings Table'!G20</f>
        <v>Miscellaneous BUS</v>
      </c>
      <c r="D657" s="3343"/>
      <c r="E657" s="3343"/>
      <c r="F657" s="3343"/>
      <c r="G657" s="3343" t="str">
        <f>'BUS Deemed Savings Table'!E20</f>
        <v>LED &lt;=80 Watt Lamp or Fixture Replacing Garage or Exterior 24/7 HID 100-175 Watt Lamp or Fixture Misc.</v>
      </c>
      <c r="H657" s="50" t="str">
        <f>'BUS Deemed Savings Table'!D20</f>
        <v>C&amp;I</v>
      </c>
      <c r="I657" s="1966">
        <f>'BUS Deemed Savings Table'!F20</f>
        <v>694.21</v>
      </c>
      <c r="J657" s="1966"/>
      <c r="K657" s="560"/>
      <c r="L657" s="560"/>
      <c r="M657" s="560"/>
      <c r="N657" s="560"/>
      <c r="O657" s="1967">
        <f>'BUS Deemed Savings Table'!I20</f>
        <v>9.5762E-2</v>
      </c>
      <c r="P657" s="1967"/>
      <c r="Q657" s="1968"/>
      <c r="R657" s="1968"/>
      <c r="S657" s="1968"/>
      <c r="T657" s="1968"/>
      <c r="U657" s="1969">
        <f t="shared" si="417"/>
        <v>0</v>
      </c>
      <c r="V657" s="1969">
        <f t="shared" si="418"/>
        <v>0</v>
      </c>
      <c r="W657" s="1969">
        <f t="shared" si="419"/>
        <v>9.5762E-2</v>
      </c>
      <c r="X657" s="55">
        <f>'BUS Deemed Savings Table'!J20</f>
        <v>15</v>
      </c>
      <c r="Y657" s="55"/>
      <c r="Z657" s="55">
        <f t="shared" si="412"/>
        <v>15</v>
      </c>
      <c r="AA657" s="49">
        <f>'BUS Deemed Savings Table'!DG20</f>
        <v>2.0204183727356391</v>
      </c>
      <c r="AB657" s="698">
        <f>'BUS Deemed Savings Table'!K20</f>
        <v>191.39</v>
      </c>
      <c r="AC657" s="1975">
        <f t="shared" si="413"/>
        <v>364.97203620375069</v>
      </c>
      <c r="AD657" s="1975">
        <f t="shared" si="414"/>
        <v>0</v>
      </c>
      <c r="AE657" s="1380">
        <f>'BUS Deemed Savings Table'!DI20</f>
        <v>364.97203620375069</v>
      </c>
      <c r="AF657" s="571"/>
      <c r="AG657" s="571"/>
      <c r="AH657" s="571"/>
      <c r="AI657" s="3346" t="str">
        <f>'BUS Deemed Savings Table'!L20</f>
        <v>per measure</v>
      </c>
      <c r="AJ657" s="141"/>
      <c r="AM657" s="1596">
        <f t="shared" si="420"/>
        <v>1.379439E-4</v>
      </c>
      <c r="AN657">
        <f t="shared" si="421"/>
        <v>9.5762034819000003E-2</v>
      </c>
      <c r="AO657" s="1595">
        <f t="shared" si="422"/>
        <v>3.4819000002683786E-8</v>
      </c>
    </row>
    <row r="658" spans="1:48" x14ac:dyDescent="0.35">
      <c r="A658" s="103" t="str">
        <f t="shared" si="410"/>
        <v>800650</v>
      </c>
      <c r="B658" s="3346" t="str">
        <f>'BUS Deemed Savings Table'!C21</f>
        <v>800650_2019_12_</v>
      </c>
      <c r="C658" s="3343" t="str">
        <f>'BUS Deemed Savings Table'!G21</f>
        <v>Miscellaneous BUS</v>
      </c>
      <c r="D658" s="3343"/>
      <c r="E658" s="3343"/>
      <c r="F658" s="3343"/>
      <c r="G658" s="3343" t="str">
        <f>'BUS Deemed Savings Table'!E21</f>
        <v>LED 62 - 130 Watt Lamp or Fixture Replacing Garage or Exterior 24/7 HID 176-300 Watt Lamp or Fixture Misc.</v>
      </c>
      <c r="H658" s="50" t="str">
        <f>'BUS Deemed Savings Table'!D21</f>
        <v>C&amp;I</v>
      </c>
      <c r="I658" s="1966">
        <f>'BUS Deemed Savings Table'!F21</f>
        <v>1468.46</v>
      </c>
      <c r="J658" s="1966"/>
      <c r="K658" s="560"/>
      <c r="L658" s="560"/>
      <c r="M658" s="560"/>
      <c r="N658" s="560"/>
      <c r="O658" s="1967">
        <f>'BUS Deemed Savings Table'!I21</f>
        <v>0.202565</v>
      </c>
      <c r="P658" s="1967"/>
      <c r="Q658" s="1968"/>
      <c r="R658" s="1968"/>
      <c r="S658" s="1968"/>
      <c r="T658" s="1968"/>
      <c r="U658" s="1969">
        <f t="shared" si="417"/>
        <v>0</v>
      </c>
      <c r="V658" s="1969">
        <f t="shared" si="418"/>
        <v>0</v>
      </c>
      <c r="W658" s="1969">
        <f t="shared" si="419"/>
        <v>0.202565</v>
      </c>
      <c r="X658" s="55">
        <f>'BUS Deemed Savings Table'!J21</f>
        <v>15</v>
      </c>
      <c r="Y658" s="55"/>
      <c r="Z658" s="55">
        <f t="shared" si="412"/>
        <v>15</v>
      </c>
      <c r="AA658" s="49">
        <f>'BUS Deemed Savings Table'!DG21</f>
        <v>3.5009395322408978</v>
      </c>
      <c r="AB658" s="698">
        <f>'BUS Deemed Savings Table'!K21</f>
        <v>233.64</v>
      </c>
      <c r="AC658" s="1975">
        <f t="shared" si="413"/>
        <v>772.02407957787943</v>
      </c>
      <c r="AD658" s="1975">
        <f t="shared" si="414"/>
        <v>0</v>
      </c>
      <c r="AE658" s="1380">
        <f>'BUS Deemed Savings Table'!DI21</f>
        <v>772.02407957787943</v>
      </c>
      <c r="AF658" s="571"/>
      <c r="AG658" s="571"/>
      <c r="AH658" s="571"/>
      <c r="AI658" s="3346" t="str">
        <f>'BUS Deemed Savings Table'!L21</f>
        <v>per measure</v>
      </c>
      <c r="AJ658" s="141"/>
      <c r="AM658" s="1596">
        <f t="shared" si="420"/>
        <v>1.379439E-4</v>
      </c>
      <c r="AN658">
        <f t="shared" si="421"/>
        <v>0.202565099394</v>
      </c>
      <c r="AO658" s="1595">
        <f t="shared" si="422"/>
        <v>9.9394000002694938E-8</v>
      </c>
    </row>
    <row r="659" spans="1:48" x14ac:dyDescent="0.35">
      <c r="A659" s="103" t="str">
        <f t="shared" si="410"/>
        <v>800700</v>
      </c>
      <c r="B659" s="3346" t="str">
        <f>'BUS Deemed Savings Table'!C22</f>
        <v>800700_2019_12_</v>
      </c>
      <c r="C659" s="3343" t="str">
        <f>'BUS Deemed Savings Table'!G22</f>
        <v>Miscellaneous BUS</v>
      </c>
      <c r="D659" s="3343"/>
      <c r="E659" s="3343"/>
      <c r="F659" s="3343"/>
      <c r="G659" s="3343" t="str">
        <f>'BUS Deemed Savings Table'!E22</f>
        <v xml:space="preserve">LED 85 - 225 Watt Lamp or Fixture Replacing Garage or Exterior 24/7 HID 301-500 Watt Lamp or Fixture Misc. </v>
      </c>
      <c r="H659" s="50" t="str">
        <f>'BUS Deemed Savings Table'!D22</f>
        <v>C&amp;I</v>
      </c>
      <c r="I659" s="1966">
        <f>'BUS Deemed Savings Table'!F22</f>
        <v>2632.74</v>
      </c>
      <c r="J659" s="1966"/>
      <c r="K659" s="560"/>
      <c r="L659" s="560"/>
      <c r="M659" s="560"/>
      <c r="N659" s="560"/>
      <c r="O659" s="1967">
        <f>'BUS Deemed Savings Table'!I22</f>
        <v>0.36316999999999999</v>
      </c>
      <c r="P659" s="1967"/>
      <c r="Q659" s="1968"/>
      <c r="R659" s="1968"/>
      <c r="S659" s="1968"/>
      <c r="T659" s="1968"/>
      <c r="U659" s="1969">
        <f t="shared" si="417"/>
        <v>0</v>
      </c>
      <c r="V659" s="1969">
        <f t="shared" si="418"/>
        <v>0</v>
      </c>
      <c r="W659" s="1969">
        <f t="shared" si="419"/>
        <v>0.36316999999999999</v>
      </c>
      <c r="X659" s="55">
        <f>'BUS Deemed Savings Table'!J22</f>
        <v>15</v>
      </c>
      <c r="Y659" s="55"/>
      <c r="Z659" s="55">
        <f t="shared" si="412"/>
        <v>15</v>
      </c>
      <c r="AA659" s="49">
        <f>'BUS Deemed Savings Table'!DG22</f>
        <v>4.0550965358822815</v>
      </c>
      <c r="AB659" s="698">
        <f>'BUS Deemed Savings Table'!K22</f>
        <v>361.64</v>
      </c>
      <c r="AC659" s="1975">
        <f t="shared" si="413"/>
        <v>1384.1294112661333</v>
      </c>
      <c r="AD659" s="1975">
        <f t="shared" si="414"/>
        <v>0</v>
      </c>
      <c r="AE659" s="1380">
        <f>'BUS Deemed Savings Table'!DI22</f>
        <v>1384.1294112661333</v>
      </c>
      <c r="AF659" s="571"/>
      <c r="AG659" s="571"/>
      <c r="AH659" s="571"/>
      <c r="AI659" s="3346" t="str">
        <f>'BUS Deemed Savings Table'!L22</f>
        <v>per measure</v>
      </c>
      <c r="AJ659" s="141"/>
      <c r="AM659" s="1596">
        <f t="shared" si="420"/>
        <v>1.379439E-4</v>
      </c>
      <c r="AN659">
        <f t="shared" si="421"/>
        <v>0.36317042328599997</v>
      </c>
      <c r="AO659" s="1595">
        <f t="shared" si="422"/>
        <v>4.2328599997309979E-7</v>
      </c>
    </row>
    <row r="660" spans="1:48" s="84" customFormat="1" x14ac:dyDescent="0.35">
      <c r="A660" s="103" t="str">
        <f t="shared" si="410"/>
        <v>800750</v>
      </c>
      <c r="B660" s="3346" t="str">
        <f>'BUS Deemed Savings Table'!C23</f>
        <v>800750_2019_12_</v>
      </c>
      <c r="C660" s="3343" t="str">
        <f>'BUS Deemed Savings Table'!G23</f>
        <v>Lighting BUS</v>
      </c>
      <c r="D660" s="3343"/>
      <c r="E660" s="3343"/>
      <c r="F660" s="3343"/>
      <c r="G660" s="3343" t="str">
        <f>'BUS Deemed Savings Table'!E23</f>
        <v>LED or Electroluminescent Replacing Interior Incandescent/CFL Exit Sign</v>
      </c>
      <c r="H660" s="50" t="str">
        <f>'BUS Deemed Savings Table'!D23</f>
        <v>C&amp;I</v>
      </c>
      <c r="I660" s="1966">
        <f>'BUS Deemed Savings Table'!F23</f>
        <v>309.17</v>
      </c>
      <c r="J660" s="1966"/>
      <c r="K660" s="560"/>
      <c r="L660" s="560"/>
      <c r="M660" s="560"/>
      <c r="N660" s="560"/>
      <c r="O660" s="1967">
        <f>'BUS Deemed Savings Table'!I23</f>
        <v>6.0609999999999997E-2</v>
      </c>
      <c r="P660" s="1967"/>
      <c r="Q660" s="1968"/>
      <c r="R660" s="1968"/>
      <c r="S660" s="1968"/>
      <c r="T660" s="1968"/>
      <c r="U660" s="1969">
        <f t="shared" si="417"/>
        <v>6.0609999999999997E-2</v>
      </c>
      <c r="V660" s="1969">
        <f t="shared" si="418"/>
        <v>0</v>
      </c>
      <c r="W660" s="1969">
        <f t="shared" si="419"/>
        <v>0</v>
      </c>
      <c r="X660" s="55">
        <f>'BUS Deemed Savings Table'!J23</f>
        <v>7</v>
      </c>
      <c r="Y660" s="55"/>
      <c r="Z660" s="55">
        <f t="shared" si="412"/>
        <v>7</v>
      </c>
      <c r="AA660" s="49">
        <f>'BUS Deemed Savings Table'!DG23</f>
        <v>2.0265970143247563</v>
      </c>
      <c r="AB660" s="698">
        <f>'BUS Deemed Savings Table'!K23</f>
        <v>45.25</v>
      </c>
      <c r="AC660" s="1975">
        <f t="shared" si="413"/>
        <v>86.553577062949699</v>
      </c>
      <c r="AD660" s="1975">
        <f t="shared" si="414"/>
        <v>0</v>
      </c>
      <c r="AE660" s="1380">
        <f>'BUS Deemed Savings Table'!DI23</f>
        <v>86.553577062949699</v>
      </c>
      <c r="AF660" s="571"/>
      <c r="AG660" s="571"/>
      <c r="AH660" s="571"/>
      <c r="AI660" s="3346" t="str">
        <f>'BUS Deemed Savings Table'!L23</f>
        <v>per measure</v>
      </c>
      <c r="AJ660" s="141"/>
      <c r="AK660"/>
      <c r="AL660"/>
      <c r="AM660" s="1596">
        <f t="shared" si="420"/>
        <v>1.899635E-4</v>
      </c>
      <c r="AN660">
        <f t="shared" si="421"/>
        <v>5.8731015295000001E-2</v>
      </c>
      <c r="AO660" s="1595">
        <f t="shared" si="422"/>
        <v>-1.8789847049999961E-3</v>
      </c>
      <c r="AP660"/>
      <c r="AQ660"/>
      <c r="AR660"/>
      <c r="AS660"/>
      <c r="AT660"/>
      <c r="AU660"/>
      <c r="AV660"/>
    </row>
    <row r="661" spans="1:48" s="84" customFormat="1" x14ac:dyDescent="0.35">
      <c r="A661" s="103" t="str">
        <f t="shared" si="410"/>
        <v>800800</v>
      </c>
      <c r="B661" s="3346" t="str">
        <f>'BUS Deemed Savings Table'!C24</f>
        <v>800800_2020_12_</v>
      </c>
      <c r="C661" s="3343" t="str">
        <f>'BUS Deemed Savings Table'!G24</f>
        <v>Lighting BUS</v>
      </c>
      <c r="D661" s="3343"/>
      <c r="E661" s="3343"/>
      <c r="F661" s="3343"/>
      <c r="G661" s="3343" t="str">
        <f>'BUS Deemed Savings Table'!E24</f>
        <v xml:space="preserve">LED Replacing Interior T5 Fluorescent (Type A / Hybrid) </v>
      </c>
      <c r="H661" s="50" t="str">
        <f>'BUS Deemed Savings Table'!D24</f>
        <v>C&amp;I</v>
      </c>
      <c r="I661" s="1966">
        <f>'BUS Deemed Savings Table'!F24</f>
        <v>301.77999999999997</v>
      </c>
      <c r="J661" s="1966"/>
      <c r="K661" s="560"/>
      <c r="L661" s="560"/>
      <c r="M661" s="560"/>
      <c r="N661" s="560"/>
      <c r="O661" s="1967">
        <f>'BUS Deemed Savings Table'!I24</f>
        <v>5.9161999999999999E-2</v>
      </c>
      <c r="P661" s="1967"/>
      <c r="Q661" s="1968"/>
      <c r="R661" s="1968"/>
      <c r="S661" s="1968"/>
      <c r="T661" s="1968"/>
      <c r="U661" s="1969">
        <f t="shared" si="417"/>
        <v>0</v>
      </c>
      <c r="V661" s="1969">
        <f t="shared" si="418"/>
        <v>5.9161999999999999E-2</v>
      </c>
      <c r="W661" s="1969">
        <f t="shared" si="419"/>
        <v>0</v>
      </c>
      <c r="X661" s="55">
        <f>'BUS Deemed Savings Table'!J24</f>
        <v>10</v>
      </c>
      <c r="Y661" s="55"/>
      <c r="Z661" s="55">
        <f t="shared" si="412"/>
        <v>10</v>
      </c>
      <c r="AA661" s="49">
        <f>'BUS Deemed Savings Table'!DG24</f>
        <v>4.2862673221989107</v>
      </c>
      <c r="AB661" s="698">
        <f>'BUS Deemed Savings Table'!K24</f>
        <v>29.64</v>
      </c>
      <c r="AC661" s="1975">
        <f t="shared" si="413"/>
        <v>119.9103005474051</v>
      </c>
      <c r="AD661" s="1975">
        <f t="shared" si="414"/>
        <v>0</v>
      </c>
      <c r="AE661" s="1380">
        <f>'BUS Deemed Savings Table'!DI24</f>
        <v>119.9103005474051</v>
      </c>
      <c r="AF661" s="571"/>
      <c r="AG661" s="571"/>
      <c r="AH661" s="571"/>
      <c r="AI661" s="3346" t="str">
        <f>'BUS Deemed Savings Table'!L24</f>
        <v>per measure</v>
      </c>
      <c r="AJ661" s="141"/>
      <c r="AK661"/>
      <c r="AL661"/>
      <c r="AM661" s="1596">
        <f t="shared" si="420"/>
        <v>1.899635E-4</v>
      </c>
      <c r="AN661">
        <f t="shared" si="421"/>
        <v>5.7327185029999998E-2</v>
      </c>
      <c r="AO661" s="1595">
        <f t="shared" si="422"/>
        <v>-1.834814970000001E-3</v>
      </c>
      <c r="AP661"/>
      <c r="AQ661"/>
      <c r="AR661"/>
      <c r="AS661"/>
      <c r="AT661"/>
      <c r="AU661"/>
      <c r="AV661"/>
    </row>
    <row r="662" spans="1:48" x14ac:dyDescent="0.35">
      <c r="A662" s="103" t="str">
        <f t="shared" si="410"/>
        <v>800801</v>
      </c>
      <c r="B662" s="3346" t="str">
        <f>'BUS Deemed Savings Table'!C25</f>
        <v>800801_2020_12_</v>
      </c>
      <c r="C662" s="3343" t="str">
        <f>'BUS Deemed Savings Table'!G25</f>
        <v>Lighting BUS</v>
      </c>
      <c r="D662" s="3343"/>
      <c r="E662" s="3343"/>
      <c r="F662" s="3343"/>
      <c r="G662" s="3343" t="str">
        <f>'BUS Deemed Savings Table'!E25</f>
        <v>LED Replacing Interior T5 Fluorescent (Type B, Kits, and Fixtures)</v>
      </c>
      <c r="H662" s="50" t="str">
        <f>'BUS Deemed Savings Table'!D25</f>
        <v>C&amp;I</v>
      </c>
      <c r="I662" s="1966">
        <f>'BUS Deemed Savings Table'!F25</f>
        <v>545.30999999999995</v>
      </c>
      <c r="J662" s="1966"/>
      <c r="K662" s="560"/>
      <c r="L662" s="560"/>
      <c r="M662" s="560"/>
      <c r="N662" s="560"/>
      <c r="O662" s="1967">
        <f>'BUS Deemed Savings Table'!I25</f>
        <v>0.106904</v>
      </c>
      <c r="P662" s="1967"/>
      <c r="Q662" s="1968"/>
      <c r="R662" s="1968"/>
      <c r="S662" s="1968"/>
      <c r="T662" s="1968"/>
      <c r="U662" s="1969">
        <f t="shared" si="417"/>
        <v>0</v>
      </c>
      <c r="V662" s="1969">
        <f t="shared" si="418"/>
        <v>0</v>
      </c>
      <c r="W662" s="1969">
        <f t="shared" si="419"/>
        <v>0.106904</v>
      </c>
      <c r="X662" s="55">
        <f>'BUS Deemed Savings Table'!J25</f>
        <v>15</v>
      </c>
      <c r="Y662" s="55"/>
      <c r="Z662" s="55">
        <f t="shared" si="412"/>
        <v>15</v>
      </c>
      <c r="AA662" s="49">
        <f>'BUS Deemed Savings Table'!DG25</f>
        <v>11.087641054691193</v>
      </c>
      <c r="AB662" s="698">
        <f>'BUS Deemed Savings Table'!K25</f>
        <v>29.64</v>
      </c>
      <c r="AC662" s="1975">
        <f t="shared" si="413"/>
        <v>310.18186018031804</v>
      </c>
      <c r="AD662" s="1975">
        <f t="shared" si="414"/>
        <v>0</v>
      </c>
      <c r="AE662" s="1380">
        <f>'BUS Deemed Savings Table'!DI25</f>
        <v>310.18186018031804</v>
      </c>
      <c r="AF662" s="571"/>
      <c r="AG662" s="571"/>
      <c r="AH662" s="571"/>
      <c r="AI662" s="3346" t="str">
        <f>'BUS Deemed Savings Table'!L25</f>
        <v>per measure</v>
      </c>
      <c r="AJ662" s="1589"/>
      <c r="AK662" s="84"/>
      <c r="AL662" s="84"/>
      <c r="AM662" s="1961">
        <f t="shared" si="420"/>
        <v>1.899635E-4</v>
      </c>
      <c r="AN662" s="84">
        <f t="shared" si="421"/>
        <v>0.10358899618499999</v>
      </c>
      <c r="AO662" s="1965">
        <f t="shared" si="422"/>
        <v>-3.3150038150000088E-3</v>
      </c>
      <c r="AP662" s="84"/>
      <c r="AQ662" s="84"/>
      <c r="AR662" s="84"/>
      <c r="AS662" s="84"/>
      <c r="AT662" s="84"/>
      <c r="AU662" s="84"/>
      <c r="AV662" s="84"/>
    </row>
    <row r="663" spans="1:48" s="84" customFormat="1" x14ac:dyDescent="0.35">
      <c r="A663" s="103" t="str">
        <f t="shared" si="410"/>
        <v>800802</v>
      </c>
      <c r="B663" s="3346" t="str">
        <f>'BUS Deemed Savings Table'!C26</f>
        <v>800802_2021_12_</v>
      </c>
      <c r="C663" s="3343" t="str">
        <f>'BUS Deemed Savings Table'!G26</f>
        <v>Lighting BUS</v>
      </c>
      <c r="D663" s="3343"/>
      <c r="E663" s="3343"/>
      <c r="F663" s="3343"/>
      <c r="G663" s="3343" t="str">
        <f>'BUS Deemed Savings Table'!E26</f>
        <v>LED Replacing Interior T5 Fluorescent (Type C)</v>
      </c>
      <c r="H663" s="50" t="str">
        <f>'BUS Deemed Savings Table'!D26</f>
        <v>C&amp;I</v>
      </c>
      <c r="I663" s="1966">
        <f>'BUS Deemed Savings Table'!F26</f>
        <v>303.13</v>
      </c>
      <c r="J663" s="1966"/>
      <c r="K663" s="560"/>
      <c r="L663" s="560"/>
      <c r="M663" s="560"/>
      <c r="N663" s="560"/>
      <c r="O663" s="1967">
        <f>'BUS Deemed Savings Table'!I26</f>
        <v>5.9426E-2</v>
      </c>
      <c r="P663" s="1967"/>
      <c r="Q663" s="1968"/>
      <c r="R663" s="1968"/>
      <c r="S663" s="1968"/>
      <c r="T663" s="1968"/>
      <c r="U663" s="1969">
        <f t="shared" si="417"/>
        <v>0</v>
      </c>
      <c r="V663" s="1969">
        <f t="shared" si="418"/>
        <v>5.9426E-2</v>
      </c>
      <c r="W663" s="1969">
        <f t="shared" si="419"/>
        <v>0</v>
      </c>
      <c r="X663" s="55">
        <f>'BUS Deemed Savings Table'!J26</f>
        <v>11</v>
      </c>
      <c r="Y663" s="55"/>
      <c r="Z663" s="55">
        <f t="shared" si="412"/>
        <v>11</v>
      </c>
      <c r="AA663" s="49">
        <f>'BUS Deemed Savings Table'!DG26</f>
        <v>4.70849746099712</v>
      </c>
      <c r="AB663" s="698">
        <f>'BUS Deemed Savings Table'!K26</f>
        <v>29.64</v>
      </c>
      <c r="AC663" s="1975">
        <f t="shared" si="413"/>
        <v>131.72238295795623</v>
      </c>
      <c r="AD663" s="1975">
        <f t="shared" si="414"/>
        <v>0</v>
      </c>
      <c r="AE663" s="1380">
        <f>'BUS Deemed Savings Table'!DI26</f>
        <v>131.72238295795623</v>
      </c>
      <c r="AF663" s="571"/>
      <c r="AG663" s="571"/>
      <c r="AH663" s="571"/>
      <c r="AI663" s="3346" t="str">
        <f>'BUS Deemed Savings Table'!L26</f>
        <v>per measure</v>
      </c>
      <c r="AJ663" s="1589"/>
      <c r="AM663" s="1961">
        <f t="shared" si="420"/>
        <v>1.899635E-4</v>
      </c>
      <c r="AN663" s="84">
        <f t="shared" si="421"/>
        <v>5.7583635755000001E-2</v>
      </c>
      <c r="AO663" s="1965">
        <f t="shared" si="422"/>
        <v>-1.8423642449999986E-3</v>
      </c>
    </row>
    <row r="664" spans="1:48" s="84" customFormat="1" x14ac:dyDescent="0.35">
      <c r="A664" s="103" t="str">
        <f t="shared" si="410"/>
        <v>800850</v>
      </c>
      <c r="B664" s="3346" t="str">
        <f>'BUS Deemed Savings Table'!C27</f>
        <v>800850_2020_12_</v>
      </c>
      <c r="C664" s="3343" t="str">
        <f>'BUS Deemed Savings Table'!G27</f>
        <v>Lighting BUS</v>
      </c>
      <c r="D664" s="3343"/>
      <c r="E664" s="3343"/>
      <c r="F664" s="3343"/>
      <c r="G664" s="3343" t="str">
        <f>'BUS Deemed Savings Table'!E27</f>
        <v xml:space="preserve">LED Replacing Interior T8 Fluorescent (Type A / Hybrid) </v>
      </c>
      <c r="H664" s="50" t="str">
        <f>'BUS Deemed Savings Table'!D27</f>
        <v>C&amp;I</v>
      </c>
      <c r="I664" s="1966">
        <f>'BUS Deemed Savings Table'!F27</f>
        <v>234.31</v>
      </c>
      <c r="J664" s="1966"/>
      <c r="K664" s="560"/>
      <c r="L664" s="560"/>
      <c r="M664" s="560"/>
      <c r="N664" s="560"/>
      <c r="O664" s="1967">
        <f>'BUS Deemed Savings Table'!I27</f>
        <v>4.5934999999999997E-2</v>
      </c>
      <c r="P664" s="1967"/>
      <c r="Q664" s="1968"/>
      <c r="R664" s="1968"/>
      <c r="S664" s="1968"/>
      <c r="T664" s="1968"/>
      <c r="U664" s="1969">
        <f t="shared" si="417"/>
        <v>0</v>
      </c>
      <c r="V664" s="1969">
        <f t="shared" si="418"/>
        <v>4.5934999999999997E-2</v>
      </c>
      <c r="W664" s="1969">
        <f t="shared" si="419"/>
        <v>0</v>
      </c>
      <c r="X664" s="55">
        <f>'BUS Deemed Savings Table'!J27</f>
        <v>10</v>
      </c>
      <c r="Y664" s="55"/>
      <c r="Z664" s="55">
        <f t="shared" si="412"/>
        <v>10</v>
      </c>
      <c r="AA664" s="49">
        <f>'BUS Deemed Savings Table'!DG27</f>
        <v>3.3279716888608486</v>
      </c>
      <c r="AB664" s="698">
        <f>'BUS Deemed Savings Table'!K27</f>
        <v>29.64</v>
      </c>
      <c r="AC664" s="1975">
        <f t="shared" si="413"/>
        <v>93.101539271199201</v>
      </c>
      <c r="AD664" s="1975">
        <f t="shared" si="414"/>
        <v>0</v>
      </c>
      <c r="AE664" s="1380">
        <f>'BUS Deemed Savings Table'!DI27</f>
        <v>93.101539271199201</v>
      </c>
      <c r="AF664" s="571"/>
      <c r="AG664" s="571"/>
      <c r="AH664" s="571"/>
      <c r="AI664" s="3346" t="str">
        <f>'BUS Deemed Savings Table'!L27</f>
        <v>per measure</v>
      </c>
      <c r="AJ664" s="141"/>
      <c r="AK664"/>
      <c r="AL664"/>
      <c r="AM664" s="1596">
        <f t="shared" si="420"/>
        <v>1.899635E-4</v>
      </c>
      <c r="AN664">
        <f t="shared" si="421"/>
        <v>4.4510347685E-2</v>
      </c>
      <c r="AO664" s="1595">
        <f t="shared" si="422"/>
        <v>-1.4246523149999968E-3</v>
      </c>
      <c r="AP664"/>
      <c r="AQ664"/>
      <c r="AR664"/>
      <c r="AS664"/>
      <c r="AT664"/>
      <c r="AU664"/>
      <c r="AV664"/>
    </row>
    <row r="665" spans="1:48" x14ac:dyDescent="0.35">
      <c r="A665" s="103" t="str">
        <f t="shared" si="410"/>
        <v>800851</v>
      </c>
      <c r="B665" s="3346" t="str">
        <f>'BUS Deemed Savings Table'!C28</f>
        <v>800851_2020_12_</v>
      </c>
      <c r="C665" s="3343" t="str">
        <f>'BUS Deemed Savings Table'!G28</f>
        <v>Lighting BUS</v>
      </c>
      <c r="D665" s="3343"/>
      <c r="E665" s="3343"/>
      <c r="F665" s="3343"/>
      <c r="G665" s="3343" t="str">
        <f>'BUS Deemed Savings Table'!E28</f>
        <v>LED Replacting Interior T8 Fluorescent (Type B, Kits, and Fixtures)</v>
      </c>
      <c r="H665" s="50" t="str">
        <f>'BUS Deemed Savings Table'!D28</f>
        <v>C&amp;I</v>
      </c>
      <c r="I665" s="1966">
        <f>'BUS Deemed Savings Table'!F28</f>
        <v>198.81</v>
      </c>
      <c r="J665" s="1966"/>
      <c r="K665" s="560"/>
      <c r="L665" s="560"/>
      <c r="M665" s="560"/>
      <c r="N665" s="560"/>
      <c r="O665" s="1967">
        <f>'BUS Deemed Savings Table'!I28</f>
        <v>3.8975000000000003E-2</v>
      </c>
      <c r="P665" s="1967"/>
      <c r="Q665" s="1968"/>
      <c r="R665" s="1968"/>
      <c r="S665" s="1968"/>
      <c r="T665" s="1968"/>
      <c r="U665" s="1969">
        <f t="shared" si="417"/>
        <v>0</v>
      </c>
      <c r="V665" s="1969">
        <f t="shared" si="418"/>
        <v>0</v>
      </c>
      <c r="W665" s="1969">
        <f t="shared" si="419"/>
        <v>3.8975000000000003E-2</v>
      </c>
      <c r="X665" s="55">
        <f>'BUS Deemed Savings Table'!J28</f>
        <v>15</v>
      </c>
      <c r="Y665" s="55"/>
      <c r="Z665" s="55">
        <f t="shared" si="412"/>
        <v>15</v>
      </c>
      <c r="AA665" s="49">
        <f>'BUS Deemed Savings Table'!DG28</f>
        <v>4.0423500725883557</v>
      </c>
      <c r="AB665" s="698">
        <f>'BUS Deemed Savings Table'!K28</f>
        <v>29.64</v>
      </c>
      <c r="AC665" s="1975">
        <f t="shared" si="413"/>
        <v>113.08660325768652</v>
      </c>
      <c r="AD665" s="1975">
        <f t="shared" si="414"/>
        <v>0</v>
      </c>
      <c r="AE665" s="1380">
        <f>'BUS Deemed Savings Table'!DI28</f>
        <v>113.08660325768652</v>
      </c>
      <c r="AF665" s="571"/>
      <c r="AG665" s="571"/>
      <c r="AH665" s="571"/>
      <c r="AI665" s="3346" t="str">
        <f>'BUS Deemed Savings Table'!L28</f>
        <v>per measure</v>
      </c>
      <c r="AJ665" s="1589"/>
      <c r="AK665" s="84"/>
      <c r="AL665" s="84"/>
      <c r="AM665" s="1961">
        <f t="shared" si="420"/>
        <v>1.899635E-4</v>
      </c>
      <c r="AN665" s="84">
        <f t="shared" si="421"/>
        <v>3.7766643435000004E-2</v>
      </c>
      <c r="AO665" s="1965">
        <f t="shared" si="422"/>
        <v>-1.2083565649999989E-3</v>
      </c>
      <c r="AP665" s="84"/>
      <c r="AQ665" s="84"/>
      <c r="AR665" s="84"/>
      <c r="AS665" s="84"/>
      <c r="AT665" s="84"/>
      <c r="AU665" s="84"/>
      <c r="AV665" s="84"/>
    </row>
    <row r="666" spans="1:48" s="84" customFormat="1" x14ac:dyDescent="0.35">
      <c r="A666" s="103" t="str">
        <f t="shared" si="410"/>
        <v>800852</v>
      </c>
      <c r="B666" s="3346" t="str">
        <f>'BUS Deemed Savings Table'!C29</f>
        <v>800852_2021_12_</v>
      </c>
      <c r="C666" s="3343" t="str">
        <f>'BUS Deemed Savings Table'!G29</f>
        <v>Lighting BUS</v>
      </c>
      <c r="D666" s="3343"/>
      <c r="E666" s="3343"/>
      <c r="F666" s="3343"/>
      <c r="G666" s="3343" t="str">
        <f>'BUS Deemed Savings Table'!E29</f>
        <v>LED Replacting Interior T8 Fluorescent (Type C)</v>
      </c>
      <c r="H666" s="50" t="str">
        <f>'BUS Deemed Savings Table'!D29</f>
        <v>C&amp;I</v>
      </c>
      <c r="I666" s="1966">
        <f>'BUS Deemed Savings Table'!F29</f>
        <v>176.38</v>
      </c>
      <c r="J666" s="1966"/>
      <c r="K666" s="560"/>
      <c r="L666" s="560"/>
      <c r="M666" s="560"/>
      <c r="N666" s="560"/>
      <c r="O666" s="1967">
        <f>'BUS Deemed Savings Table'!I29</f>
        <v>3.4577999999999998E-2</v>
      </c>
      <c r="P666" s="1967"/>
      <c r="Q666" s="1968"/>
      <c r="R666" s="1968"/>
      <c r="S666" s="1968"/>
      <c r="T666" s="1968"/>
      <c r="U666" s="1969">
        <f t="shared" si="417"/>
        <v>0</v>
      </c>
      <c r="V666" s="1969">
        <f t="shared" si="418"/>
        <v>3.4577999999999998E-2</v>
      </c>
      <c r="W666" s="1969">
        <f t="shared" si="419"/>
        <v>0</v>
      </c>
      <c r="X666" s="55">
        <f>'BUS Deemed Savings Table'!J29</f>
        <v>11</v>
      </c>
      <c r="Y666" s="55"/>
      <c r="Z666" s="55">
        <f t="shared" si="412"/>
        <v>11</v>
      </c>
      <c r="AA666" s="49">
        <f>'BUS Deemed Savings Table'!DG29</f>
        <v>2.7396984203829113</v>
      </c>
      <c r="AB666" s="698">
        <f>'BUS Deemed Savings Table'!K29</f>
        <v>29.64</v>
      </c>
      <c r="AC666" s="1975">
        <f t="shared" si="413"/>
        <v>76.644323907644633</v>
      </c>
      <c r="AD666" s="1975">
        <f t="shared" si="414"/>
        <v>0</v>
      </c>
      <c r="AE666" s="1380">
        <f>'BUS Deemed Savings Table'!DI29</f>
        <v>76.644323907644633</v>
      </c>
      <c r="AF666" s="571"/>
      <c r="AG666" s="571"/>
      <c r="AH666" s="571"/>
      <c r="AI666" s="3346" t="str">
        <f>'BUS Deemed Savings Table'!L29</f>
        <v>per measure</v>
      </c>
      <c r="AJ666" s="1589"/>
      <c r="AM666" s="1961">
        <f t="shared" si="420"/>
        <v>1.899635E-4</v>
      </c>
      <c r="AN666" s="84">
        <f t="shared" si="421"/>
        <v>3.3505762129999998E-2</v>
      </c>
      <c r="AO666" s="1965">
        <f t="shared" si="422"/>
        <v>-1.0722378699999993E-3</v>
      </c>
    </row>
    <row r="667" spans="1:48" s="84" customFormat="1" x14ac:dyDescent="0.35">
      <c r="A667" s="103" t="str">
        <f t="shared" si="410"/>
        <v>800900</v>
      </c>
      <c r="B667" s="3346" t="str">
        <f>'BUS Deemed Savings Table'!C30</f>
        <v>800900_2020_12_</v>
      </c>
      <c r="C667" s="3343" t="str">
        <f>'BUS Deemed Savings Table'!G30</f>
        <v>Lighting BUS</v>
      </c>
      <c r="D667" s="3343"/>
      <c r="E667" s="3343"/>
      <c r="F667" s="3343"/>
      <c r="G667" s="3343" t="str">
        <f>'BUS Deemed Savings Table'!E30</f>
        <v xml:space="preserve">LED Replacing Interior T12 Fluorescent (Type A / Hybrid) </v>
      </c>
      <c r="H667" s="50" t="str">
        <f>'BUS Deemed Savings Table'!D30</f>
        <v>C&amp;I</v>
      </c>
      <c r="I667" s="1966">
        <f>'BUS Deemed Savings Table'!F30</f>
        <v>197.53</v>
      </c>
      <c r="J667" s="1966"/>
      <c r="K667" s="560"/>
      <c r="L667" s="560"/>
      <c r="M667" s="560"/>
      <c r="N667" s="560"/>
      <c r="O667" s="1967">
        <f>'BUS Deemed Savings Table'!I30</f>
        <v>3.8724000000000001E-2</v>
      </c>
      <c r="P667" s="1967"/>
      <c r="Q667" s="1968"/>
      <c r="R667" s="1968"/>
      <c r="S667" s="1968"/>
      <c r="T667" s="1968"/>
      <c r="U667" s="1969">
        <f t="shared" si="417"/>
        <v>0</v>
      </c>
      <c r="V667" s="1969">
        <f t="shared" si="418"/>
        <v>3.8724000000000001E-2</v>
      </c>
      <c r="W667" s="1969">
        <f t="shared" si="419"/>
        <v>0</v>
      </c>
      <c r="X667" s="55">
        <f>'BUS Deemed Savings Table'!J30</f>
        <v>10</v>
      </c>
      <c r="Y667" s="55"/>
      <c r="Z667" s="55">
        <f t="shared" si="412"/>
        <v>10</v>
      </c>
      <c r="AA667" s="49">
        <f>'BUS Deemed Savings Table'!DG30</f>
        <v>2.8055748696200906</v>
      </c>
      <c r="AB667" s="698">
        <f>'BUS Deemed Savings Table'!K30</f>
        <v>29.64</v>
      </c>
      <c r="AC667" s="1975">
        <f t="shared" si="413"/>
        <v>78.487247886304374</v>
      </c>
      <c r="AD667" s="1975">
        <f t="shared" si="414"/>
        <v>0</v>
      </c>
      <c r="AE667" s="1380">
        <f>'BUS Deemed Savings Table'!DI30</f>
        <v>78.487247886304374</v>
      </c>
      <c r="AF667" s="571"/>
      <c r="AG667" s="571"/>
      <c r="AH667" s="571"/>
      <c r="AI667" s="3346" t="str">
        <f>'BUS Deemed Savings Table'!L30</f>
        <v>per measure</v>
      </c>
      <c r="AJ667" s="141"/>
      <c r="AK667"/>
      <c r="AL667"/>
      <c r="AM667" s="1596">
        <f t="shared" si="420"/>
        <v>1.899635E-4</v>
      </c>
      <c r="AN667">
        <f t="shared" si="421"/>
        <v>3.7523490154999999E-2</v>
      </c>
      <c r="AO667" s="1595">
        <f t="shared" si="422"/>
        <v>-1.2005098450000029E-3</v>
      </c>
      <c r="AP667"/>
      <c r="AQ667"/>
      <c r="AR667"/>
      <c r="AS667"/>
      <c r="AT667"/>
      <c r="AU667"/>
      <c r="AV667"/>
    </row>
    <row r="668" spans="1:48" x14ac:dyDescent="0.35">
      <c r="A668" s="103" t="str">
        <f t="shared" si="410"/>
        <v>800901</v>
      </c>
      <c r="B668" s="3346" t="str">
        <f>'BUS Deemed Savings Table'!C31</f>
        <v>800901_2020_12_</v>
      </c>
      <c r="C668" s="3343" t="str">
        <f>'BUS Deemed Savings Table'!G31</f>
        <v>Lighting BUS</v>
      </c>
      <c r="D668" s="3343"/>
      <c r="E668" s="3343"/>
      <c r="F668" s="3343"/>
      <c r="G668" s="3343" t="str">
        <f>'BUS Deemed Savings Table'!E31</f>
        <v xml:space="preserve">LED Replacing Interior T12 Fluorescent (Type B, Kits, and Fixtures) </v>
      </c>
      <c r="H668" s="50" t="str">
        <f>'BUS Deemed Savings Table'!D31</f>
        <v>C&amp;I</v>
      </c>
      <c r="I668" s="1966">
        <f>'BUS Deemed Savings Table'!F31</f>
        <v>315.35000000000002</v>
      </c>
      <c r="J668" s="1966"/>
      <c r="K668" s="560"/>
      <c r="L668" s="560"/>
      <c r="M668" s="560"/>
      <c r="N668" s="560"/>
      <c r="O668" s="1967">
        <f>'BUS Deemed Savings Table'!I31</f>
        <v>6.1822000000000002E-2</v>
      </c>
      <c r="P668" s="1967"/>
      <c r="Q668" s="1968"/>
      <c r="R668" s="1968"/>
      <c r="S668" s="1968"/>
      <c r="T668" s="1968"/>
      <c r="U668" s="1969">
        <f t="shared" si="417"/>
        <v>0</v>
      </c>
      <c r="V668" s="1969">
        <f t="shared" si="418"/>
        <v>0</v>
      </c>
      <c r="W668" s="1969">
        <f t="shared" si="419"/>
        <v>6.1822000000000002E-2</v>
      </c>
      <c r="X668" s="55">
        <f>'BUS Deemed Savings Table'!J31</f>
        <v>15</v>
      </c>
      <c r="Y668" s="55"/>
      <c r="Z668" s="55">
        <f t="shared" si="412"/>
        <v>15</v>
      </c>
      <c r="AA668" s="49">
        <f>'BUS Deemed Savings Table'!DG31</f>
        <v>6.4119264392673312</v>
      </c>
      <c r="AB668" s="698">
        <f>'BUS Deemed Savings Table'!K31</f>
        <v>29.64</v>
      </c>
      <c r="AC668" s="1975">
        <f t="shared" si="413"/>
        <v>179.37659241140508</v>
      </c>
      <c r="AD668" s="1975">
        <f t="shared" si="414"/>
        <v>0</v>
      </c>
      <c r="AE668" s="1380">
        <f>'BUS Deemed Savings Table'!DI31</f>
        <v>179.37659241140508</v>
      </c>
      <c r="AF668" s="571"/>
      <c r="AG668" s="571"/>
      <c r="AH668" s="571"/>
      <c r="AI668" s="3346" t="str">
        <f>'BUS Deemed Savings Table'!L31</f>
        <v>per measure</v>
      </c>
      <c r="AJ668" s="1589"/>
      <c r="AK668" s="84"/>
      <c r="AL668" s="84"/>
      <c r="AM668" s="1961">
        <f t="shared" si="420"/>
        <v>1.899635E-4</v>
      </c>
      <c r="AN668" s="84">
        <f t="shared" si="421"/>
        <v>5.9904989725000003E-2</v>
      </c>
      <c r="AO668" s="1965">
        <f t="shared" si="422"/>
        <v>-1.9170102749999987E-3</v>
      </c>
      <c r="AP668" s="84"/>
      <c r="AQ668" s="84"/>
      <c r="AR668" s="84"/>
      <c r="AS668" s="84"/>
      <c r="AT668" s="84"/>
      <c r="AU668" s="84"/>
      <c r="AV668" s="84"/>
    </row>
    <row r="669" spans="1:48" s="84" customFormat="1" x14ac:dyDescent="0.35">
      <c r="A669" s="103" t="str">
        <f t="shared" si="410"/>
        <v>800902</v>
      </c>
      <c r="B669" s="3346" t="str">
        <f>'BUS Deemed Savings Table'!C32</f>
        <v>800902_2021_12_</v>
      </c>
      <c r="C669" s="3343" t="str">
        <f>'BUS Deemed Savings Table'!G32</f>
        <v>Lighting BUS</v>
      </c>
      <c r="D669" s="3343"/>
      <c r="E669" s="3343"/>
      <c r="F669" s="3343"/>
      <c r="G669" s="3343" t="str">
        <f>'BUS Deemed Savings Table'!E32</f>
        <v>LED Replacing Interior T12 Fluorescent (Type C)</v>
      </c>
      <c r="H669" s="50" t="str">
        <f>'BUS Deemed Savings Table'!D32</f>
        <v>C&amp;I</v>
      </c>
      <c r="I669" s="1966">
        <f>'BUS Deemed Savings Table'!F32</f>
        <v>426.61</v>
      </c>
      <c r="J669" s="1966"/>
      <c r="K669" s="560"/>
      <c r="L669" s="560"/>
      <c r="M669" s="560"/>
      <c r="N669" s="560"/>
      <c r="O669" s="1967">
        <f>'BUS Deemed Savings Table'!I32</f>
        <v>8.3634E-2</v>
      </c>
      <c r="P669" s="1967"/>
      <c r="Q669" s="1968"/>
      <c r="R669" s="1968"/>
      <c r="S669" s="1968"/>
      <c r="T669" s="1968"/>
      <c r="U669" s="1969">
        <f t="shared" si="417"/>
        <v>0</v>
      </c>
      <c r="V669" s="1969">
        <f t="shared" si="418"/>
        <v>8.3634E-2</v>
      </c>
      <c r="W669" s="1969">
        <f t="shared" si="419"/>
        <v>0</v>
      </c>
      <c r="X669" s="55">
        <f>'BUS Deemed Savings Table'!J32</f>
        <v>11</v>
      </c>
      <c r="Y669" s="55"/>
      <c r="Z669" s="55">
        <f t="shared" si="412"/>
        <v>11</v>
      </c>
      <c r="AA669" s="49">
        <f>'BUS Deemed Savings Table'!DG32</f>
        <v>6.6265038163031749</v>
      </c>
      <c r="AB669" s="698">
        <f>'BUS Deemed Savings Table'!K32</f>
        <v>29.64</v>
      </c>
      <c r="AC669" s="1975">
        <f t="shared" si="413"/>
        <v>185.37949326590476</v>
      </c>
      <c r="AD669" s="1975">
        <f t="shared" si="414"/>
        <v>0</v>
      </c>
      <c r="AE669" s="1380">
        <f>'BUS Deemed Savings Table'!DI32</f>
        <v>185.37949326590476</v>
      </c>
      <c r="AF669" s="571"/>
      <c r="AG669" s="571"/>
      <c r="AH669" s="571"/>
      <c r="AI669" s="3346" t="str">
        <f>'BUS Deemed Savings Table'!L32</f>
        <v>per measure</v>
      </c>
      <c r="AJ669" s="1589"/>
      <c r="AM669" s="1961">
        <f t="shared" si="420"/>
        <v>1.899635E-4</v>
      </c>
      <c r="AN669" s="84">
        <f t="shared" si="421"/>
        <v>8.1040328735E-2</v>
      </c>
      <c r="AO669" s="1965">
        <f t="shared" si="422"/>
        <v>-2.5936712649999999E-3</v>
      </c>
    </row>
    <row r="670" spans="1:48" s="84" customFormat="1" x14ac:dyDescent="0.35">
      <c r="A670" s="103" t="str">
        <f t="shared" si="410"/>
        <v>800950</v>
      </c>
      <c r="B670" s="3346" t="str">
        <f>'BUS Deemed Savings Table'!C33</f>
        <v>800950_2019_12_</v>
      </c>
      <c r="C670" s="3343" t="str">
        <f>'BUS Deemed Savings Table'!G33</f>
        <v>Lighting BUS</v>
      </c>
      <c r="D670" s="3343"/>
      <c r="E670" s="3343"/>
      <c r="F670" s="3343"/>
      <c r="G670" s="3343" t="str">
        <f>'BUS Deemed Savings Table'!E33</f>
        <v>LED Specialty Lamp</v>
      </c>
      <c r="H670" s="50" t="str">
        <f>'BUS Deemed Savings Table'!D33</f>
        <v>C&amp;I</v>
      </c>
      <c r="I670" s="1966">
        <f>'BUS Deemed Savings Table'!F33</f>
        <v>99.89</v>
      </c>
      <c r="J670" s="1966"/>
      <c r="K670" s="560"/>
      <c r="L670" s="560"/>
      <c r="M670" s="560"/>
      <c r="N670" s="560"/>
      <c r="O670" s="1967">
        <f>'BUS Deemed Savings Table'!I33</f>
        <v>1.9583E-2</v>
      </c>
      <c r="P670" s="1967"/>
      <c r="Q670" s="1968"/>
      <c r="R670" s="1968"/>
      <c r="S670" s="1968"/>
      <c r="T670" s="1968"/>
      <c r="U670" s="1969">
        <f t="shared" si="417"/>
        <v>0</v>
      </c>
      <c r="V670" s="1969">
        <f t="shared" si="418"/>
        <v>1.9583E-2</v>
      </c>
      <c r="W670" s="1969">
        <f t="shared" si="419"/>
        <v>0</v>
      </c>
      <c r="X670" s="55">
        <f>'BUS Deemed Savings Table'!J33</f>
        <v>10</v>
      </c>
      <c r="Y670" s="55"/>
      <c r="Z670" s="55">
        <f t="shared" si="412"/>
        <v>10</v>
      </c>
      <c r="AA670" s="49">
        <f>'BUS Deemed Savings Table'!DG33</f>
        <v>3.52196215270697</v>
      </c>
      <c r="AB670" s="698">
        <f>'BUS Deemed Savings Table'!K33</f>
        <v>11.94</v>
      </c>
      <c r="AC670" s="1975">
        <f t="shared" si="413"/>
        <v>39.690635302804353</v>
      </c>
      <c r="AD670" s="1975">
        <f t="shared" si="414"/>
        <v>0</v>
      </c>
      <c r="AE670" s="1380">
        <f>'BUS Deemed Savings Table'!DI33</f>
        <v>39.690635302804353</v>
      </c>
      <c r="AF670" s="571"/>
      <c r="AG670" s="571"/>
      <c r="AH670" s="571"/>
      <c r="AI670" s="3346" t="str">
        <f>'BUS Deemed Savings Table'!L33</f>
        <v>per measure</v>
      </c>
      <c r="AJ670" s="141"/>
      <c r="AK670"/>
      <c r="AL670"/>
      <c r="AM670" s="1596">
        <f t="shared" si="420"/>
        <v>1.899635E-4</v>
      </c>
      <c r="AN670">
        <f t="shared" si="421"/>
        <v>1.8975454015E-2</v>
      </c>
      <c r="AO670" s="1595">
        <f t="shared" si="422"/>
        <v>-6.0754598499999923E-4</v>
      </c>
      <c r="AP670"/>
      <c r="AQ670"/>
      <c r="AR670"/>
      <c r="AS670"/>
      <c r="AT670"/>
      <c r="AU670"/>
      <c r="AV670"/>
    </row>
    <row r="671" spans="1:48" s="106" customFormat="1" x14ac:dyDescent="0.35">
      <c r="A671" s="103" t="str">
        <f t="shared" si="410"/>
        <v>800980</v>
      </c>
      <c r="B671" s="3346" t="str">
        <f>'BUS Deemed Savings Table'!C34</f>
        <v>800980_2021_12</v>
      </c>
      <c r="C671" s="3343" t="str">
        <f>'BUS Deemed Savings Table'!G34</f>
        <v>Lighting BUS</v>
      </c>
      <c r="D671" s="3343"/>
      <c r="E671" s="3343"/>
      <c r="F671" s="3343"/>
      <c r="G671" s="3343" t="str">
        <f>'BUS Deemed Savings Table'!E34</f>
        <v>LED Lighting Redesign</v>
      </c>
      <c r="H671" s="50" t="str">
        <f>'BUS Deemed Savings Table'!D34</f>
        <v>C&amp;I</v>
      </c>
      <c r="I671" s="1966">
        <f>'BUS Deemed Savings Table'!F34</f>
        <v>46759.28</v>
      </c>
      <c r="J671" s="1966"/>
      <c r="K671" s="560"/>
      <c r="L671" s="560"/>
      <c r="M671" s="560"/>
      <c r="N671" s="560"/>
      <c r="O671" s="1967">
        <f>'BUS Deemed Savings Table'!I34</f>
        <v>9.166798</v>
      </c>
      <c r="P671" s="1967"/>
      <c r="Q671" s="1968"/>
      <c r="R671" s="1968"/>
      <c r="S671" s="1968"/>
      <c r="T671" s="1968"/>
      <c r="U671" s="1969">
        <f t="shared" si="417"/>
        <v>0</v>
      </c>
      <c r="V671" s="1969">
        <f t="shared" si="418"/>
        <v>0</v>
      </c>
      <c r="W671" s="1969">
        <f t="shared" si="419"/>
        <v>9.166798</v>
      </c>
      <c r="X671" s="55">
        <f>'BUS Deemed Savings Table'!J34</f>
        <v>15</v>
      </c>
      <c r="Y671" s="55"/>
      <c r="Z671" s="55">
        <f t="shared" si="412"/>
        <v>15</v>
      </c>
      <c r="AA671" s="49">
        <f>'BUS Deemed Savings Table'!DG34</f>
        <v>2.8180046831953089</v>
      </c>
      <c r="AB671" s="698">
        <f>'BUS Deemed Savings Table'!K34</f>
        <v>10000</v>
      </c>
      <c r="AC671" s="1975">
        <f t="shared" si="413"/>
        <v>26597.495830064261</v>
      </c>
      <c r="AD671" s="1975">
        <f t="shared" si="414"/>
        <v>0</v>
      </c>
      <c r="AE671" s="1380">
        <f>'BUS Deemed Savings Table'!DI34</f>
        <v>26597.495830064261</v>
      </c>
      <c r="AF671" s="571"/>
      <c r="AG671" s="571"/>
      <c r="AH671" s="571"/>
      <c r="AI671" s="3346" t="str">
        <f>'BUS Deemed Savings Table'!L34</f>
        <v>per project</v>
      </c>
      <c r="AJ671" s="1589"/>
      <c r="AK671" s="84"/>
      <c r="AL671" s="84"/>
      <c r="AM671" s="1961">
        <f t="shared" si="420"/>
        <v>1.899635E-4</v>
      </c>
      <c r="AN671" s="84">
        <f t="shared" si="421"/>
        <v>8.8825564862800004</v>
      </c>
      <c r="AO671" s="1965">
        <f t="shared" si="422"/>
        <v>-0.28424151371999962</v>
      </c>
      <c r="AP671" s="84"/>
      <c r="AQ671" s="84"/>
      <c r="AR671" s="84"/>
      <c r="AS671" s="84"/>
      <c r="AT671" s="84"/>
      <c r="AU671" s="84"/>
      <c r="AV671" s="84"/>
    </row>
    <row r="672" spans="1:48" s="106" customFormat="1" x14ac:dyDescent="0.35">
      <c r="A672" s="103" t="str">
        <f t="shared" si="410"/>
        <v>800990</v>
      </c>
      <c r="B672" s="3346" t="str">
        <f>'BUS Deemed Savings Table'!C80</f>
        <v>800990_2021_12</v>
      </c>
      <c r="C672" s="3343" t="str">
        <f>'BUS Deemed Savings Table'!G80</f>
        <v>Lighting BUS</v>
      </c>
      <c r="D672" s="3343"/>
      <c r="E672" s="3343"/>
      <c r="F672" s="3343"/>
      <c r="G672" s="3343" t="str">
        <f>'BUS Deemed Savings Table'!E80</f>
        <v>Lighting Power Density</v>
      </c>
      <c r="H672" s="50" t="str">
        <f>'BUS Deemed Savings Table'!D80</f>
        <v>C&amp;I</v>
      </c>
      <c r="I672" s="1966">
        <f>'BUS Deemed Savings Table'!F80</f>
        <v>0.70799999999999996</v>
      </c>
      <c r="J672" s="1966"/>
      <c r="K672" s="560"/>
      <c r="L672" s="560"/>
      <c r="M672" s="560"/>
      <c r="N672" s="560"/>
      <c r="O672" s="1967">
        <f>'BUS Deemed Savings Table'!I80</f>
        <v>1.3899999999999999E-4</v>
      </c>
      <c r="P672" s="1967"/>
      <c r="Q672" s="1968"/>
      <c r="R672" s="1968"/>
      <c r="S672" s="1968"/>
      <c r="T672" s="1968"/>
      <c r="U672" s="1969">
        <f t="shared" si="417"/>
        <v>0</v>
      </c>
      <c r="V672" s="1969">
        <f t="shared" si="418"/>
        <v>0</v>
      </c>
      <c r="W672" s="1969">
        <f t="shared" si="419"/>
        <v>1.3899999999999999E-4</v>
      </c>
      <c r="X672" s="55">
        <f>'BUS Deemed Savings Table'!J80</f>
        <v>15</v>
      </c>
      <c r="Y672" s="55"/>
      <c r="Z672" s="55">
        <f t="shared" si="412"/>
        <v>15</v>
      </c>
      <c r="AA672" s="49">
        <f>'BUS Deemed Savings Table'!DG80</f>
        <v>1.9394762782939254</v>
      </c>
      <c r="AB672" s="698">
        <f>'BUS Deemed Savings Table'!K80</f>
        <v>0.22</v>
      </c>
      <c r="AC672" s="1975">
        <f t="shared" si="413"/>
        <v>0.40272277604970602</v>
      </c>
      <c r="AD672" s="1975">
        <f t="shared" si="414"/>
        <v>0</v>
      </c>
      <c r="AE672" s="1380">
        <f>'BUS Deemed Savings Table'!DI80</f>
        <v>0.40272277604970602</v>
      </c>
      <c r="AF672" s="571"/>
      <c r="AG672" s="571"/>
      <c r="AH672" s="571"/>
      <c r="AI672" s="3346" t="str">
        <f>'BUS Deemed Savings Table'!L80</f>
        <v>per sqft</v>
      </c>
      <c r="AJ672" s="1589"/>
      <c r="AK672" s="84"/>
      <c r="AL672" s="84"/>
      <c r="AM672" s="1961">
        <f t="shared" si="420"/>
        <v>1.899635E-4</v>
      </c>
      <c r="AN672" s="84">
        <f t="shared" si="421"/>
        <v>1.34494158E-4</v>
      </c>
      <c r="AO672" s="1965">
        <f t="shared" si="422"/>
        <v>-4.5058419999999949E-6</v>
      </c>
      <c r="AP672" s="84"/>
      <c r="AQ672" s="84"/>
      <c r="AR672" s="84"/>
      <c r="AS672" s="84"/>
      <c r="AT672" s="84"/>
      <c r="AU672" s="84"/>
      <c r="AV672" s="84"/>
    </row>
    <row r="673" spans="1:48" s="84" customFormat="1" x14ac:dyDescent="0.35">
      <c r="A673" s="103" t="str">
        <f t="shared" si="410"/>
        <v>801010</v>
      </c>
      <c r="B673" s="3346" t="str">
        <f>'BUS Deemed Savings Table'!C98</f>
        <v>801010_2020_07</v>
      </c>
      <c r="C673" s="3343" t="str">
        <f>'BUS Deemed Savings Table'!G98</f>
        <v>Lighting BUS</v>
      </c>
      <c r="D673" s="3343"/>
      <c r="E673" s="3343"/>
      <c r="F673" s="3343"/>
      <c r="G673" s="3343" t="str">
        <f>'BUS Deemed Savings Table'!E98</f>
        <v>Fixture Mounted Occupancy Sensor Controlling &gt; 60 Watts</v>
      </c>
      <c r="H673" s="50" t="str">
        <f>'BUS Deemed Savings Table'!D98</f>
        <v>C&amp;I</v>
      </c>
      <c r="I673" s="1966">
        <f>'BUS Deemed Savings Table'!F98</f>
        <v>117.2</v>
      </c>
      <c r="J673" s="1966"/>
      <c r="K673" s="560"/>
      <c r="L673" s="560"/>
      <c r="M673" s="560"/>
      <c r="N673" s="560"/>
      <c r="O673" s="1967">
        <f>'BUS Deemed Savings Table'!I98</f>
        <v>2.2976E-2</v>
      </c>
      <c r="P673" s="1967"/>
      <c r="Q673" s="1968"/>
      <c r="R673" s="1968"/>
      <c r="S673" s="1968"/>
      <c r="T673" s="1968"/>
      <c r="U673" s="1969">
        <f t="shared" si="417"/>
        <v>0</v>
      </c>
      <c r="V673" s="1969">
        <f t="shared" si="418"/>
        <v>2.2976E-2</v>
      </c>
      <c r="W673" s="1969">
        <f t="shared" si="419"/>
        <v>0</v>
      </c>
      <c r="X673" s="55">
        <f>'BUS Deemed Savings Table'!J98</f>
        <v>10</v>
      </c>
      <c r="Y673" s="55"/>
      <c r="Z673" s="55">
        <f t="shared" si="412"/>
        <v>10</v>
      </c>
      <c r="AA673" s="49">
        <f>'BUS Deemed Savings Table'!DG98</f>
        <v>1.2307901681992997</v>
      </c>
      <c r="AB673" s="698">
        <f>'BUS Deemed Savings Table'!K98</f>
        <v>45</v>
      </c>
      <c r="AC673" s="1975">
        <f t="shared" si="413"/>
        <v>46.568650089985688</v>
      </c>
      <c r="AD673" s="1975">
        <f t="shared" si="414"/>
        <v>0</v>
      </c>
      <c r="AE673" s="1380">
        <f>'BUS Deemed Savings Table'!DI98</f>
        <v>46.568650089985688</v>
      </c>
      <c r="AF673" s="571"/>
      <c r="AG673" s="571"/>
      <c r="AH673" s="571"/>
      <c r="AI673" s="3346" t="str">
        <f>'BUS Deemed Savings Table'!L98</f>
        <v>per measure</v>
      </c>
      <c r="AJ673" s="3343"/>
      <c r="AK673" s="3344"/>
      <c r="AL673" s="3344"/>
      <c r="AM673" s="1970">
        <f t="shared" si="420"/>
        <v>1.899635E-4</v>
      </c>
      <c r="AN673" s="3344">
        <f t="shared" si="421"/>
        <v>2.2263722200000002E-2</v>
      </c>
      <c r="AO673" s="1971">
        <f t="shared" si="422"/>
        <v>-7.1227779999999755E-4</v>
      </c>
      <c r="AP673" s="3344"/>
      <c r="AQ673" s="3344"/>
      <c r="AR673" s="3344"/>
      <c r="AS673" s="3344"/>
      <c r="AT673" s="3344"/>
      <c r="AU673" s="3344"/>
      <c r="AV673" s="3344"/>
    </row>
    <row r="674" spans="1:48" s="84" customFormat="1" x14ac:dyDescent="0.35">
      <c r="A674" s="103" t="str">
        <f t="shared" si="410"/>
        <v>801020</v>
      </c>
      <c r="B674" s="3346" t="str">
        <f>'BUS Deemed Savings Table'!C99</f>
        <v>801020_2020_07</v>
      </c>
      <c r="C674" s="3343" t="str">
        <f>'BUS Deemed Savings Table'!G99</f>
        <v>Lighting BUS</v>
      </c>
      <c r="D674" s="3343"/>
      <c r="E674" s="3343"/>
      <c r="F674" s="3343"/>
      <c r="G674" s="3343" t="str">
        <f>'BUS Deemed Savings Table'!E99</f>
        <v>Remote Mounted Occupancy Sensor Controlling &gt; 150 Watts</v>
      </c>
      <c r="H674" s="50" t="str">
        <f>'BUS Deemed Savings Table'!D99</f>
        <v>C&amp;I</v>
      </c>
      <c r="I674" s="1966">
        <f>'BUS Deemed Savings Table'!F99</f>
        <v>287.06</v>
      </c>
      <c r="J674" s="1966"/>
      <c r="K674" s="560"/>
      <c r="L674" s="560"/>
      <c r="M674" s="560"/>
      <c r="N674" s="560"/>
      <c r="O674" s="1967">
        <f>'BUS Deemed Savings Table'!I99</f>
        <v>5.6276E-2</v>
      </c>
      <c r="P674" s="1967"/>
      <c r="Q674" s="1968"/>
      <c r="R674" s="1968"/>
      <c r="S674" s="1968"/>
      <c r="T674" s="1968"/>
      <c r="U674" s="1969">
        <f t="shared" si="417"/>
        <v>0</v>
      </c>
      <c r="V674" s="1969">
        <f t="shared" si="418"/>
        <v>5.6276E-2</v>
      </c>
      <c r="W674" s="1969">
        <f t="shared" si="419"/>
        <v>0</v>
      </c>
      <c r="X674" s="55">
        <f>'BUS Deemed Savings Table'!J99</f>
        <v>10</v>
      </c>
      <c r="Y674" s="55"/>
      <c r="Z674" s="55">
        <f t="shared" si="412"/>
        <v>10</v>
      </c>
      <c r="AA674" s="49">
        <f>'BUS Deemed Savings Table'!DG99</f>
        <v>1.150933893887027</v>
      </c>
      <c r="AB674" s="698">
        <f>'BUS Deemed Savings Table'!K99</f>
        <v>105</v>
      </c>
      <c r="AC674" s="1975">
        <f t="shared" si="413"/>
        <v>114.06140524600077</v>
      </c>
      <c r="AD674" s="1975">
        <f t="shared" si="414"/>
        <v>0</v>
      </c>
      <c r="AE674" s="1380">
        <f>'BUS Deemed Savings Table'!DI99</f>
        <v>114.06140524600077</v>
      </c>
      <c r="AF674" s="571"/>
      <c r="AG674" s="571"/>
      <c r="AH674" s="571"/>
      <c r="AI674" s="3346" t="str">
        <f>'BUS Deemed Savings Table'!L99</f>
        <v>per measure</v>
      </c>
      <c r="AJ674" s="3343"/>
      <c r="AK674" s="3344"/>
      <c r="AL674" s="3344"/>
      <c r="AM674" s="1970">
        <f t="shared" si="420"/>
        <v>1.899635E-4</v>
      </c>
      <c r="AN674" s="3344">
        <f t="shared" si="421"/>
        <v>5.453092231E-2</v>
      </c>
      <c r="AO674" s="1971">
        <f t="shared" si="422"/>
        <v>-1.7450776899999992E-3</v>
      </c>
      <c r="AP674" s="3344"/>
      <c r="AQ674" s="3344"/>
      <c r="AR674" s="3344"/>
      <c r="AS674" s="3344"/>
      <c r="AT674" s="3344"/>
      <c r="AU674" s="3344"/>
      <c r="AV674" s="3344"/>
    </row>
    <row r="675" spans="1:48" s="84" customFormat="1" x14ac:dyDescent="0.35">
      <c r="A675" s="103" t="str">
        <f t="shared" si="410"/>
        <v>801225</v>
      </c>
      <c r="B675" s="3346" t="str">
        <f>'BUS Deemed Savings Table'!C119</f>
        <v>801225_2020_12_</v>
      </c>
      <c r="C675" s="3343" t="str">
        <f>'BUS Deemed Savings Table'!G119</f>
        <v>Lighting BUS</v>
      </c>
      <c r="D675" s="3343"/>
      <c r="E675" s="3343"/>
      <c r="F675" s="3343"/>
      <c r="G675" s="3343" t="str">
        <f>'BUS Deemed Savings Table'!E119</f>
        <v>LED Retrofit Kit with Network Controls Replacing Interior T5 Fluorescent</v>
      </c>
      <c r="H675" s="50" t="str">
        <f>'BUS Deemed Savings Table'!D119</f>
        <v>C&amp;I</v>
      </c>
      <c r="I675" s="1966">
        <f>'BUS Deemed Savings Table'!F119</f>
        <v>157.62</v>
      </c>
      <c r="J675" s="1966"/>
      <c r="K675" s="560"/>
      <c r="L675" s="560"/>
      <c r="M675" s="560"/>
      <c r="N675" s="560"/>
      <c r="O675" s="1967">
        <f>'BUS Deemed Savings Table'!I119</f>
        <v>3.09E-2</v>
      </c>
      <c r="P675" s="1967"/>
      <c r="Q675" s="1968"/>
      <c r="R675" s="1968"/>
      <c r="S675" s="1968"/>
      <c r="T675" s="1968"/>
      <c r="U675" s="1969">
        <f t="shared" si="417"/>
        <v>0</v>
      </c>
      <c r="V675" s="1969">
        <f t="shared" si="418"/>
        <v>0</v>
      </c>
      <c r="W675" s="1969">
        <f t="shared" si="419"/>
        <v>3.09E-2</v>
      </c>
      <c r="X675" s="55">
        <f>'BUS Deemed Savings Table'!J119</f>
        <v>15</v>
      </c>
      <c r="Y675" s="55"/>
      <c r="Z675" s="55">
        <f t="shared" si="412"/>
        <v>15</v>
      </c>
      <c r="AA675" s="49">
        <f>'BUS Deemed Savings Table'!DG119</f>
        <v>1.7035796881872542</v>
      </c>
      <c r="AB675" s="698">
        <f>'BUS Deemed Savings Table'!K119</f>
        <v>55.76</v>
      </c>
      <c r="AC675" s="1975">
        <f t="shared" si="413"/>
        <v>89.657011244286252</v>
      </c>
      <c r="AD675" s="1975">
        <f t="shared" si="414"/>
        <v>0</v>
      </c>
      <c r="AE675" s="1380">
        <f>'BUS Deemed Savings Table'!DI119</f>
        <v>89.657011244286252</v>
      </c>
      <c r="AF675" s="571"/>
      <c r="AG675" s="571"/>
      <c r="AH675" s="571"/>
      <c r="AI675" s="3346" t="str">
        <f>'BUS Deemed Savings Table'!L119</f>
        <v>per measure</v>
      </c>
      <c r="AJ675" s="1589"/>
      <c r="AM675" s="1961">
        <f t="shared" si="420"/>
        <v>1.899635E-4</v>
      </c>
      <c r="AN675" s="84">
        <f t="shared" si="421"/>
        <v>2.9942046870000003E-2</v>
      </c>
      <c r="AO675" s="1965">
        <f t="shared" si="422"/>
        <v>-9.5795312999999785E-4</v>
      </c>
    </row>
    <row r="676" spans="1:48" s="84" customFormat="1" x14ac:dyDescent="0.35">
      <c r="A676" s="103" t="str">
        <f t="shared" si="410"/>
        <v>801227</v>
      </c>
      <c r="B676" s="3346" t="str">
        <f>'BUS Deemed Savings Table'!C120</f>
        <v>801227_2020_12_</v>
      </c>
      <c r="C676" s="3343" t="str">
        <f>'BUS Deemed Savings Table'!G120</f>
        <v>Lighting BUS</v>
      </c>
      <c r="D676" s="3343"/>
      <c r="E676" s="3343"/>
      <c r="F676" s="3343"/>
      <c r="G676" s="3343" t="str">
        <f>'BUS Deemed Savings Table'!E120</f>
        <v>LED Fixture with Network Controls Replacing Interior T5 Fluorescent</v>
      </c>
      <c r="H676" s="50" t="str">
        <f>'BUS Deemed Savings Table'!D120</f>
        <v>C&amp;I</v>
      </c>
      <c r="I676" s="1966">
        <f>'BUS Deemed Savings Table'!F120</f>
        <v>157.62</v>
      </c>
      <c r="J676" s="1966"/>
      <c r="K676" s="560"/>
      <c r="L676" s="560"/>
      <c r="M676" s="560"/>
      <c r="N676" s="560"/>
      <c r="O676" s="1967">
        <f>'BUS Deemed Savings Table'!I120</f>
        <v>3.09E-2</v>
      </c>
      <c r="P676" s="1967"/>
      <c r="Q676" s="1968"/>
      <c r="R676" s="1968"/>
      <c r="S676" s="1968"/>
      <c r="T676" s="1968"/>
      <c r="U676" s="1969">
        <f t="shared" si="417"/>
        <v>0</v>
      </c>
      <c r="V676" s="1969">
        <f t="shared" si="418"/>
        <v>0</v>
      </c>
      <c r="W676" s="1969">
        <f t="shared" si="419"/>
        <v>3.09E-2</v>
      </c>
      <c r="X676" s="55">
        <f>'BUS Deemed Savings Table'!J120</f>
        <v>15</v>
      </c>
      <c r="Y676" s="55"/>
      <c r="Z676" s="55">
        <f t="shared" si="412"/>
        <v>15</v>
      </c>
      <c r="AA676" s="49">
        <f>'BUS Deemed Savings Table'!DG120</f>
        <v>1.7035796881872542</v>
      </c>
      <c r="AB676" s="698">
        <f>'BUS Deemed Savings Table'!K120</f>
        <v>55.76</v>
      </c>
      <c r="AC676" s="1975">
        <f t="shared" si="413"/>
        <v>89.657011244286252</v>
      </c>
      <c r="AD676" s="1975">
        <f t="shared" si="414"/>
        <v>0</v>
      </c>
      <c r="AE676" s="1380">
        <f>'BUS Deemed Savings Table'!DI120</f>
        <v>89.657011244286252</v>
      </c>
      <c r="AF676" s="571"/>
      <c r="AG676" s="571"/>
      <c r="AH676" s="571"/>
      <c r="AI676" s="3346" t="str">
        <f>'BUS Deemed Savings Table'!L120</f>
        <v>per measure</v>
      </c>
      <c r="AJ676" s="1589"/>
      <c r="AM676" s="1961">
        <f t="shared" si="420"/>
        <v>1.899635E-4</v>
      </c>
      <c r="AN676" s="84">
        <f t="shared" si="421"/>
        <v>2.9942046870000003E-2</v>
      </c>
      <c r="AO676" s="1965">
        <f t="shared" si="422"/>
        <v>-9.5795312999999785E-4</v>
      </c>
    </row>
    <row r="677" spans="1:48" s="84" customFormat="1" x14ac:dyDescent="0.35">
      <c r="A677" s="103" t="str">
        <f t="shared" si="410"/>
        <v>801229</v>
      </c>
      <c r="B677" s="3346" t="str">
        <f>'BUS Deemed Savings Table'!C121</f>
        <v>801229_2020_12_</v>
      </c>
      <c r="C677" s="3343" t="str">
        <f>'BUS Deemed Savings Table'!G121</f>
        <v>Lighting BUS</v>
      </c>
      <c r="D677" s="3343"/>
      <c r="E677" s="3343"/>
      <c r="F677" s="3343"/>
      <c r="G677" s="3343" t="str">
        <f>'BUS Deemed Savings Table'!E121</f>
        <v>LED Retrofit Kit with Network Controls Replacing Interior T8 Fluorescent</v>
      </c>
      <c r="H677" s="50" t="str">
        <f>'BUS Deemed Savings Table'!D121</f>
        <v>C&amp;I</v>
      </c>
      <c r="I677" s="1966">
        <f>'BUS Deemed Savings Table'!F121</f>
        <v>186.3</v>
      </c>
      <c r="J677" s="1966"/>
      <c r="K677" s="560"/>
      <c r="L677" s="560"/>
      <c r="M677" s="560"/>
      <c r="N677" s="560"/>
      <c r="O677" s="1967">
        <f>'BUS Deemed Savings Table'!I121</f>
        <v>3.6523E-2</v>
      </c>
      <c r="P677" s="1967"/>
      <c r="Q677" s="1968"/>
      <c r="R677" s="1968"/>
      <c r="S677" s="1968"/>
      <c r="T677" s="1968"/>
      <c r="U677" s="1969">
        <f t="shared" si="417"/>
        <v>0</v>
      </c>
      <c r="V677" s="1969">
        <f t="shared" si="418"/>
        <v>0</v>
      </c>
      <c r="W677" s="1969">
        <f t="shared" si="419"/>
        <v>3.6523E-2</v>
      </c>
      <c r="X677" s="55">
        <f>'BUS Deemed Savings Table'!J121</f>
        <v>15</v>
      </c>
      <c r="Y677" s="55"/>
      <c r="Z677" s="55">
        <f t="shared" si="412"/>
        <v>15</v>
      </c>
      <c r="AA677" s="49">
        <f>'BUS Deemed Savings Table'!DG121</f>
        <v>2.0135572637310335</v>
      </c>
      <c r="AB677" s="698">
        <f>'BUS Deemed Savings Table'!K121</f>
        <v>55.76</v>
      </c>
      <c r="AC677" s="1975">
        <f t="shared" si="413"/>
        <v>105.97069657918112</v>
      </c>
      <c r="AD677" s="1975">
        <f t="shared" si="414"/>
        <v>0</v>
      </c>
      <c r="AE677" s="1380">
        <f>'BUS Deemed Savings Table'!DI121</f>
        <v>105.97069657918112</v>
      </c>
      <c r="AF677" s="571"/>
      <c r="AG677" s="571"/>
      <c r="AH677" s="571"/>
      <c r="AI677" s="3346" t="str">
        <f>'BUS Deemed Savings Table'!L121</f>
        <v>per measure</v>
      </c>
      <c r="AJ677" s="1589"/>
      <c r="AM677" s="1961">
        <f t="shared" si="420"/>
        <v>1.899635E-4</v>
      </c>
      <c r="AN677" s="84">
        <f t="shared" si="421"/>
        <v>3.5390200050000001E-2</v>
      </c>
      <c r="AO677" s="1965">
        <f t="shared" si="422"/>
        <v>-1.1327999499999991E-3</v>
      </c>
    </row>
    <row r="678" spans="1:48" s="84" customFormat="1" x14ac:dyDescent="0.35">
      <c r="A678" s="103" t="str">
        <f t="shared" si="410"/>
        <v>801231</v>
      </c>
      <c r="B678" s="3346" t="str">
        <f>'BUS Deemed Savings Table'!C122</f>
        <v>801231_2020_12_</v>
      </c>
      <c r="C678" s="3343" t="str">
        <f>'BUS Deemed Savings Table'!G122</f>
        <v>Lighting BUS</v>
      </c>
      <c r="D678" s="3343"/>
      <c r="E678" s="3343"/>
      <c r="F678" s="3343"/>
      <c r="G678" s="3343" t="str">
        <f>'BUS Deemed Savings Table'!E122</f>
        <v>LED Fixture with Network Controls Replacing Interior T8 Fluorescent</v>
      </c>
      <c r="H678" s="50" t="str">
        <f>'BUS Deemed Savings Table'!D122</f>
        <v>C&amp;I</v>
      </c>
      <c r="I678" s="1966">
        <f>'BUS Deemed Savings Table'!F122</f>
        <v>331.86</v>
      </c>
      <c r="J678" s="1966"/>
      <c r="K678" s="560"/>
      <c r="L678" s="560"/>
      <c r="M678" s="560"/>
      <c r="N678" s="560"/>
      <c r="O678" s="1967">
        <f>'BUS Deemed Savings Table'!I122</f>
        <v>6.5059000000000006E-2</v>
      </c>
      <c r="P678" s="1967"/>
      <c r="Q678" s="1968"/>
      <c r="R678" s="1968"/>
      <c r="S678" s="1968"/>
      <c r="T678" s="1968"/>
      <c r="U678" s="1969">
        <f t="shared" ref="U678:U709" si="423">IF(V678+W678&gt;0,0,IF(Z678&gt;0,O678,0))</f>
        <v>0</v>
      </c>
      <c r="V678" s="1969">
        <f t="shared" ref="V678:V709" si="424">IF(W678&gt;0,0,IF(Z678&gt;9,O678,0))</f>
        <v>0</v>
      </c>
      <c r="W678" s="1969">
        <f t="shared" ref="W678:W709" si="425">IF(Z678&gt;14,O678,0)</f>
        <v>6.5059000000000006E-2</v>
      </c>
      <c r="X678" s="55">
        <f>'BUS Deemed Savings Table'!J122</f>
        <v>15</v>
      </c>
      <c r="Y678" s="55"/>
      <c r="Z678" s="55">
        <f t="shared" si="412"/>
        <v>15</v>
      </c>
      <c r="AA678" s="49">
        <f>'BUS Deemed Savings Table'!DG122</f>
        <v>3.5867907329134767</v>
      </c>
      <c r="AB678" s="698">
        <f>'BUS Deemed Savings Table'!K122</f>
        <v>55.76</v>
      </c>
      <c r="AC678" s="1975">
        <f t="shared" si="413"/>
        <v>188.76776901109525</v>
      </c>
      <c r="AD678" s="1975">
        <f t="shared" si="414"/>
        <v>0</v>
      </c>
      <c r="AE678" s="1380">
        <f>'BUS Deemed Savings Table'!DI122</f>
        <v>188.76776901109525</v>
      </c>
      <c r="AF678" s="571"/>
      <c r="AG678" s="571"/>
      <c r="AH678" s="571"/>
      <c r="AI678" s="3346" t="str">
        <f>'BUS Deemed Savings Table'!L122</f>
        <v>per measure</v>
      </c>
      <c r="AJ678" s="1589"/>
      <c r="AM678" s="1961">
        <f t="shared" si="420"/>
        <v>1.899635E-4</v>
      </c>
      <c r="AN678" s="84">
        <f t="shared" si="421"/>
        <v>6.3041287110000011E-2</v>
      </c>
      <c r="AO678" s="1965">
        <f t="shared" si="422"/>
        <v>-2.0177128899999952E-3</v>
      </c>
    </row>
    <row r="679" spans="1:48" s="84" customFormat="1" x14ac:dyDescent="0.35">
      <c r="A679" s="103" t="str">
        <f t="shared" si="410"/>
        <v>801233</v>
      </c>
      <c r="B679" s="3346" t="str">
        <f>'BUS Deemed Savings Table'!C123</f>
        <v>801233_2020_12_</v>
      </c>
      <c r="C679" s="3343" t="str">
        <f>'BUS Deemed Savings Table'!G123</f>
        <v>Lighting BUS</v>
      </c>
      <c r="D679" s="3343"/>
      <c r="E679" s="3343"/>
      <c r="F679" s="3343"/>
      <c r="G679" s="3343" t="str">
        <f>'BUS Deemed Savings Table'!E123</f>
        <v>LED Retrofit Kit with Network Controls Replacing Interior T12 Fluorescent</v>
      </c>
      <c r="H679" s="50" t="str">
        <f>'BUS Deemed Savings Table'!D123</f>
        <v>C&amp;I</v>
      </c>
      <c r="I679" s="1966">
        <f>'BUS Deemed Savings Table'!F123</f>
        <v>312.86</v>
      </c>
      <c r="J679" s="1966"/>
      <c r="K679" s="560"/>
      <c r="L679" s="560"/>
      <c r="M679" s="560"/>
      <c r="N679" s="560"/>
      <c r="O679" s="1967">
        <f>'BUS Deemed Savings Table'!I123</f>
        <v>6.1334E-2</v>
      </c>
      <c r="P679" s="1967"/>
      <c r="Q679" s="1968"/>
      <c r="R679" s="1968"/>
      <c r="S679" s="1968"/>
      <c r="T679" s="1968"/>
      <c r="U679" s="1969">
        <f t="shared" si="423"/>
        <v>0</v>
      </c>
      <c r="V679" s="1969">
        <f t="shared" si="424"/>
        <v>0</v>
      </c>
      <c r="W679" s="1969">
        <f t="shared" si="425"/>
        <v>6.1334E-2</v>
      </c>
      <c r="X679" s="55">
        <f>'BUS Deemed Savings Table'!J123</f>
        <v>15</v>
      </c>
      <c r="Y679" s="55"/>
      <c r="Z679" s="55">
        <f t="shared" si="412"/>
        <v>15</v>
      </c>
      <c r="AA679" s="49">
        <f>'BUS Deemed Savings Table'!DG123</f>
        <v>3.3814359931878215</v>
      </c>
      <c r="AB679" s="698">
        <f>'BUS Deemed Savings Table'!K123</f>
        <v>55.76</v>
      </c>
      <c r="AC679" s="1975">
        <f t="shared" si="413"/>
        <v>177.96023688546757</v>
      </c>
      <c r="AD679" s="1975">
        <f t="shared" si="414"/>
        <v>0</v>
      </c>
      <c r="AE679" s="1380">
        <f>'BUS Deemed Savings Table'!DI123</f>
        <v>177.96023688546757</v>
      </c>
      <c r="AF679" s="571"/>
      <c r="AG679" s="571"/>
      <c r="AH679" s="571"/>
      <c r="AI679" s="3346" t="str">
        <f>'BUS Deemed Savings Table'!L123</f>
        <v>per measure</v>
      </c>
      <c r="AJ679" s="1589"/>
      <c r="AM679" s="1961">
        <f t="shared" si="420"/>
        <v>1.899635E-4</v>
      </c>
      <c r="AN679" s="84">
        <f t="shared" si="421"/>
        <v>5.9431980610000004E-2</v>
      </c>
      <c r="AO679" s="1965">
        <f t="shared" si="422"/>
        <v>-1.9020193899999954E-3</v>
      </c>
    </row>
    <row r="680" spans="1:48" s="84" customFormat="1" x14ac:dyDescent="0.35">
      <c r="A680" s="103" t="str">
        <f t="shared" si="410"/>
        <v>801235</v>
      </c>
      <c r="B680" s="3346" t="str">
        <f>'BUS Deemed Savings Table'!C124</f>
        <v>801235_2020_12_</v>
      </c>
      <c r="C680" s="3343" t="str">
        <f>'BUS Deemed Savings Table'!G124</f>
        <v>Lighting BUS</v>
      </c>
      <c r="D680" s="3343"/>
      <c r="E680" s="3343"/>
      <c r="F680" s="3343"/>
      <c r="G680" s="3343" t="str">
        <f>'BUS Deemed Savings Table'!E124</f>
        <v>LED Fixture with Network Controls Replacing Interior T12 Fluorescent</v>
      </c>
      <c r="H680" s="50" t="str">
        <f>'BUS Deemed Savings Table'!D124</f>
        <v>C&amp;I</v>
      </c>
      <c r="I680" s="1966">
        <f>'BUS Deemed Savings Table'!F124</f>
        <v>361.42</v>
      </c>
      <c r="J680" s="1966"/>
      <c r="K680" s="560"/>
      <c r="L680" s="560"/>
      <c r="M680" s="560"/>
      <c r="N680" s="560"/>
      <c r="O680" s="1967">
        <f>'BUS Deemed Savings Table'!I124</f>
        <v>7.0854E-2</v>
      </c>
      <c r="P680" s="1967"/>
      <c r="Q680" s="1968"/>
      <c r="R680" s="1968"/>
      <c r="S680" s="1968"/>
      <c r="T680" s="1968"/>
      <c r="U680" s="1969">
        <f t="shared" si="423"/>
        <v>0</v>
      </c>
      <c r="V680" s="1969">
        <f t="shared" si="424"/>
        <v>0</v>
      </c>
      <c r="W680" s="1969">
        <f t="shared" si="425"/>
        <v>7.0854E-2</v>
      </c>
      <c r="X680" s="55">
        <f>'BUS Deemed Savings Table'!J124</f>
        <v>15</v>
      </c>
      <c r="Y680" s="55"/>
      <c r="Z680" s="55">
        <f t="shared" si="412"/>
        <v>15</v>
      </c>
      <c r="AA680" s="49">
        <f>'BUS Deemed Savings Table'!DG124</f>
        <v>3.9062794753498125</v>
      </c>
      <c r="AB680" s="698">
        <f>'BUS Deemed Savings Table'!K124</f>
        <v>55.76</v>
      </c>
      <c r="AC680" s="1975">
        <f t="shared" si="413"/>
        <v>205.58201372865079</v>
      </c>
      <c r="AD680" s="1975">
        <f t="shared" si="414"/>
        <v>0</v>
      </c>
      <c r="AE680" s="1380">
        <f>'BUS Deemed Savings Table'!DI124</f>
        <v>205.58201372865079</v>
      </c>
      <c r="AF680" s="571"/>
      <c r="AG680" s="571"/>
      <c r="AH680" s="571"/>
      <c r="AI680" s="3346" t="str">
        <f>'BUS Deemed Savings Table'!L124</f>
        <v>per measure</v>
      </c>
      <c r="AJ680" s="1589"/>
      <c r="AM680" s="1961">
        <f t="shared" si="420"/>
        <v>1.899635E-4</v>
      </c>
      <c r="AN680" s="84">
        <f t="shared" si="421"/>
        <v>6.8656608170000008E-2</v>
      </c>
      <c r="AO680" s="1965">
        <f t="shared" si="422"/>
        <v>-2.1973918299999923E-3</v>
      </c>
    </row>
    <row r="681" spans="1:48" x14ac:dyDescent="0.35">
      <c r="A681" s="103" t="str">
        <f t="shared" si="410"/>
        <v>801237</v>
      </c>
      <c r="B681" s="3346" t="str">
        <f>'BUS Deemed Savings Table'!C125</f>
        <v>801237_2020_12_</v>
      </c>
      <c r="C681" s="3343" t="str">
        <f>'BUS Deemed Savings Table'!G125</f>
        <v>Lighting BUS</v>
      </c>
      <c r="D681" s="3343"/>
      <c r="E681" s="3343"/>
      <c r="F681" s="3343"/>
      <c r="G681" s="3343" t="str">
        <f>'BUS Deemed Savings Table'!E125</f>
        <v>LED Retrofit Kit with Network Controls Replacing Interior HID</v>
      </c>
      <c r="H681" s="50" t="str">
        <f>'BUS Deemed Savings Table'!D125</f>
        <v>C&amp;I</v>
      </c>
      <c r="I681" s="1966">
        <f>'BUS Deemed Savings Table'!F125</f>
        <v>1054.5999999999999</v>
      </c>
      <c r="J681" s="1966"/>
      <c r="K681" s="560"/>
      <c r="L681" s="560"/>
      <c r="M681" s="560"/>
      <c r="N681" s="560"/>
      <c r="O681" s="1967">
        <f>'BUS Deemed Savings Table'!I125</f>
        <v>0.20674600000000001</v>
      </c>
      <c r="P681" s="1967"/>
      <c r="Q681" s="1968"/>
      <c r="R681" s="1968"/>
      <c r="S681" s="1968"/>
      <c r="T681" s="1968"/>
      <c r="U681" s="1969">
        <f t="shared" si="423"/>
        <v>0</v>
      </c>
      <c r="V681" s="1969">
        <f t="shared" si="424"/>
        <v>0</v>
      </c>
      <c r="W681" s="1969">
        <f t="shared" si="425"/>
        <v>0.20674600000000001</v>
      </c>
      <c r="X681" s="55">
        <f>'BUS Deemed Savings Table'!J125</f>
        <v>15</v>
      </c>
      <c r="Y681" s="55"/>
      <c r="Z681" s="55">
        <f t="shared" si="412"/>
        <v>15</v>
      </c>
      <c r="AA681" s="49">
        <f>'BUS Deemed Savings Table'!DG125</f>
        <v>1.7331137438542457</v>
      </c>
      <c r="AB681" s="698">
        <f>'BUS Deemed Savings Table'!K125</f>
        <v>366.72</v>
      </c>
      <c r="AC681" s="1975">
        <f t="shared" si="413"/>
        <v>599.87491472036709</v>
      </c>
      <c r="AD681" s="1975">
        <f t="shared" si="414"/>
        <v>0</v>
      </c>
      <c r="AE681" s="1380">
        <f>'BUS Deemed Savings Table'!DI125</f>
        <v>599.87491472036709</v>
      </c>
      <c r="AF681" s="571"/>
      <c r="AG681" s="571"/>
      <c r="AH681" s="571"/>
      <c r="AI681" s="3346" t="str">
        <f>'BUS Deemed Savings Table'!L125</f>
        <v>per measure</v>
      </c>
      <c r="AJ681" s="1589"/>
      <c r="AK681" s="84"/>
      <c r="AL681" s="84"/>
      <c r="AM681" s="1961">
        <f t="shared" si="420"/>
        <v>1.899635E-4</v>
      </c>
      <c r="AN681" s="84">
        <f t="shared" si="421"/>
        <v>0.20033550709999998</v>
      </c>
      <c r="AO681" s="1965">
        <f t="shared" si="422"/>
        <v>-6.4104929000000366E-3</v>
      </c>
      <c r="AP681" s="84"/>
      <c r="AQ681" s="84"/>
      <c r="AR681" s="84"/>
      <c r="AS681" s="84"/>
      <c r="AT681" s="84"/>
      <c r="AU681" s="84"/>
      <c r="AV681" s="84"/>
    </row>
    <row r="682" spans="1:48" x14ac:dyDescent="0.35">
      <c r="A682" s="103" t="str">
        <f t="shared" si="410"/>
        <v>801239</v>
      </c>
      <c r="B682" s="3346" t="str">
        <f>'BUS Deemed Savings Table'!C126</f>
        <v>801239_2020_12_</v>
      </c>
      <c r="C682" s="3343" t="str">
        <f>'BUS Deemed Savings Table'!G126</f>
        <v>Lighting BUS</v>
      </c>
      <c r="D682" s="3343"/>
      <c r="E682" s="3343"/>
      <c r="F682" s="3343"/>
      <c r="G682" s="3343" t="str">
        <f>'BUS Deemed Savings Table'!E126</f>
        <v>LED Fixture with Network Controls Replacing Interior HID</v>
      </c>
      <c r="H682" s="50" t="str">
        <f>'BUS Deemed Savings Table'!D126</f>
        <v>C&amp;I</v>
      </c>
      <c r="I682" s="1966">
        <f>'BUS Deemed Savings Table'!F126</f>
        <v>1054.5999999999999</v>
      </c>
      <c r="J682" s="1966"/>
      <c r="K682" s="560"/>
      <c r="L682" s="560"/>
      <c r="M682" s="560"/>
      <c r="N682" s="560"/>
      <c r="O682" s="1967">
        <f>'BUS Deemed Savings Table'!I126</f>
        <v>0.20674600000000001</v>
      </c>
      <c r="P682" s="1967"/>
      <c r="Q682" s="1968"/>
      <c r="R682" s="1968"/>
      <c r="S682" s="1968"/>
      <c r="T682" s="1968"/>
      <c r="U682" s="1969">
        <f t="shared" si="423"/>
        <v>0</v>
      </c>
      <c r="V682" s="1969">
        <f t="shared" si="424"/>
        <v>0</v>
      </c>
      <c r="W682" s="1969">
        <f t="shared" si="425"/>
        <v>0.20674600000000001</v>
      </c>
      <c r="X682" s="55">
        <f>'BUS Deemed Savings Table'!J126</f>
        <v>15</v>
      </c>
      <c r="Y682" s="55"/>
      <c r="Z682" s="55">
        <f t="shared" si="412"/>
        <v>15</v>
      </c>
      <c r="AA682" s="49">
        <f>'BUS Deemed Savings Table'!DG126</f>
        <v>1.7331137438542457</v>
      </c>
      <c r="AB682" s="698">
        <f>'BUS Deemed Savings Table'!K126</f>
        <v>366.72</v>
      </c>
      <c r="AC682" s="1975">
        <f t="shared" si="413"/>
        <v>599.87491472036709</v>
      </c>
      <c r="AD682" s="1975">
        <f t="shared" si="414"/>
        <v>0</v>
      </c>
      <c r="AE682" s="1380">
        <f>'BUS Deemed Savings Table'!DI126</f>
        <v>599.87491472036709</v>
      </c>
      <c r="AF682" s="571"/>
      <c r="AG682" s="571"/>
      <c r="AH682" s="571"/>
      <c r="AI682" s="3346" t="str">
        <f>'BUS Deemed Savings Table'!L126</f>
        <v>per measure</v>
      </c>
      <c r="AJ682" s="1589"/>
      <c r="AK682" s="84"/>
      <c r="AL682" s="84"/>
      <c r="AM682" s="1961">
        <f t="shared" si="420"/>
        <v>1.899635E-4</v>
      </c>
      <c r="AN682" s="84">
        <f t="shared" si="421"/>
        <v>0.20033550709999998</v>
      </c>
      <c r="AO682" s="1965">
        <f t="shared" si="422"/>
        <v>-6.4104929000000366E-3</v>
      </c>
      <c r="AP682" s="84"/>
      <c r="AQ682" s="84"/>
      <c r="AR682" s="84"/>
      <c r="AS682" s="84"/>
      <c r="AT682" s="84"/>
      <c r="AU682" s="84"/>
      <c r="AV682" s="84"/>
    </row>
    <row r="683" spans="1:48" x14ac:dyDescent="0.35">
      <c r="A683" s="1618" t="str">
        <f t="shared" si="410"/>
        <v>801241</v>
      </c>
      <c r="B683" s="1590" t="str">
        <f>'BUS Deemed Savings Table'!C127</f>
        <v>801241_2022_12_</v>
      </c>
      <c r="C683" s="1589" t="str">
        <f>'BUS Deemed Savings Table'!G127</f>
        <v>Lighting BUS</v>
      </c>
      <c r="D683" s="1589"/>
      <c r="E683" s="1589"/>
      <c r="F683" s="1589"/>
      <c r="G683" s="1589" t="str">
        <f>'BUS Deemed Savings Table'!E127</f>
        <v>Lighting Redesign-LED Fixture w/ network controls-Replacing Linear Fluorescent or HID</v>
      </c>
      <c r="H683" s="1599" t="str">
        <f>'BUS Deemed Savings Table'!D127</f>
        <v>C&amp;I</v>
      </c>
      <c r="I683" s="1597">
        <f>'BUS Deemed Savings Table'!F127</f>
        <v>90833.22</v>
      </c>
      <c r="J683" s="1597"/>
      <c r="K683" s="1591"/>
      <c r="L683" s="1591"/>
      <c r="M683" s="1591"/>
      <c r="N683" s="1591"/>
      <c r="O683" s="1598">
        <f>'BUS Deemed Savings Table'!I127</f>
        <v>17.807155999999999</v>
      </c>
      <c r="P683" s="1598"/>
      <c r="Q683" s="1600"/>
      <c r="R683" s="1600"/>
      <c r="S683" s="1600"/>
      <c r="T683" s="1600"/>
      <c r="U683" s="1569">
        <f t="shared" si="423"/>
        <v>0</v>
      </c>
      <c r="V683" s="1569">
        <f t="shared" si="424"/>
        <v>0</v>
      </c>
      <c r="W683" s="1569">
        <f t="shared" si="425"/>
        <v>17.807155999999999</v>
      </c>
      <c r="X683" s="1583">
        <f>'BUS Deemed Savings Table'!J127</f>
        <v>15</v>
      </c>
      <c r="Y683" s="1583"/>
      <c r="Z683" s="1583">
        <f t="shared" si="412"/>
        <v>15</v>
      </c>
      <c r="AA683" s="322">
        <f>'BUS Deemed Savings Table'!DG127</f>
        <v>5.4741740965581549</v>
      </c>
      <c r="AB683" s="1955">
        <f>'BUS Deemed Savings Table'!K127</f>
        <v>10000</v>
      </c>
      <c r="AC683" s="1570">
        <f t="shared" si="413"/>
        <v>51667.523327589945</v>
      </c>
      <c r="AD683" s="1570">
        <f t="shared" si="414"/>
        <v>0</v>
      </c>
      <c r="AE683" s="1976">
        <f>'BUS Deemed Savings Table'!DI127</f>
        <v>51667.523327589945</v>
      </c>
      <c r="AF683" s="1604"/>
      <c r="AG683" s="1604"/>
      <c r="AH683" s="1604"/>
      <c r="AI683" s="1590" t="str">
        <f>'BUS Deemed Savings Table'!L127</f>
        <v>per project</v>
      </c>
      <c r="AJ683" s="1589"/>
      <c r="AK683" s="84"/>
      <c r="AL683" s="84"/>
      <c r="AM683" s="1961"/>
      <c r="AN683" s="84"/>
      <c r="AO683" s="1965"/>
      <c r="AP683" s="84"/>
      <c r="AQ683" s="84"/>
      <c r="AR683" s="84"/>
      <c r="AS683" s="84"/>
      <c r="AT683" s="84"/>
      <c r="AU683" s="84"/>
      <c r="AV683" s="84"/>
    </row>
    <row r="684" spans="1:48" x14ac:dyDescent="0.35">
      <c r="A684" s="103" t="str">
        <f t="shared" si="410"/>
        <v>801250</v>
      </c>
      <c r="B684" s="3346" t="str">
        <f>'BUS Deemed Savings Table'!C154</f>
        <v>801250_2019_12_</v>
      </c>
      <c r="C684" s="3343" t="str">
        <f>'BUS Deemed Savings Table'!G154</f>
        <v>Refrigeration BUS</v>
      </c>
      <c r="D684" s="3343"/>
      <c r="E684" s="3343"/>
      <c r="F684" s="3343"/>
      <c r="G684" s="3343" t="str">
        <f>'BUS Deemed Savings Table'!E154</f>
        <v>0 &lt; V &lt; 15 - Vertical Closed - Solid Door Refrigerator</v>
      </c>
      <c r="H684" s="50" t="str">
        <f>'BUS Deemed Savings Table'!D154</f>
        <v>C&amp;I</v>
      </c>
      <c r="I684" s="1966">
        <f>'BUS Deemed Savings Table'!F154</f>
        <v>379.86</v>
      </c>
      <c r="J684" s="1966"/>
      <c r="K684" s="560"/>
      <c r="L684" s="560"/>
      <c r="M684" s="560"/>
      <c r="N684" s="560"/>
      <c r="O684" s="1967">
        <f>'BUS Deemed Savings Table'!I154</f>
        <v>5.1561999999999997E-2</v>
      </c>
      <c r="P684" s="1967"/>
      <c r="Q684" s="1968"/>
      <c r="R684" s="1968"/>
      <c r="S684" s="1968"/>
      <c r="T684" s="1968"/>
      <c r="U684" s="1969">
        <f t="shared" si="423"/>
        <v>0</v>
      </c>
      <c r="V684" s="1969">
        <f t="shared" si="424"/>
        <v>5.1561999999999997E-2</v>
      </c>
      <c r="W684" s="1969">
        <f t="shared" si="425"/>
        <v>0</v>
      </c>
      <c r="X684" s="55">
        <f>'BUS Deemed Savings Table'!J154</f>
        <v>12</v>
      </c>
      <c r="Y684" s="55"/>
      <c r="Z684" s="55">
        <f t="shared" si="412"/>
        <v>12</v>
      </c>
      <c r="AA684" s="49">
        <f>'BUS Deemed Savings Table'!DG154</f>
        <v>1.158054151883499</v>
      </c>
      <c r="AB684" s="698">
        <f>'BUS Deemed Savings Table'!K154</f>
        <v>150</v>
      </c>
      <c r="AC684" s="1975">
        <f t="shared" si="413"/>
        <v>163.95292381550243</v>
      </c>
      <c r="AD684" s="1975">
        <f t="shared" si="414"/>
        <v>0</v>
      </c>
      <c r="AE684" s="1380">
        <f>'BUS Deemed Savings Table'!DI154</f>
        <v>163.95292381550243</v>
      </c>
      <c r="AF684" s="571"/>
      <c r="AG684" s="571"/>
      <c r="AH684" s="571"/>
      <c r="AI684" s="3346" t="str">
        <f>'BUS Deemed Savings Table'!L154</f>
        <v>per measure</v>
      </c>
      <c r="AJ684" s="141"/>
      <c r="AM684" s="1596">
        <f t="shared" ref="AM684:AM715" si="426">VLOOKUP(C684,$AS$10:$AT$49,2,FALSE)</f>
        <v>1.3573829999999999E-4</v>
      </c>
      <c r="AN684">
        <f t="shared" ref="AN684:AN719" si="427">AM684*I684</f>
        <v>5.1561550637999998E-2</v>
      </c>
      <c r="AO684" s="1595">
        <f t="shared" ref="AO684:AO715" si="428">AN684-O684</f>
        <v>-4.493619999990095E-7</v>
      </c>
    </row>
    <row r="685" spans="1:48" x14ac:dyDescent="0.35">
      <c r="A685" s="103" t="str">
        <f t="shared" si="410"/>
        <v>801300</v>
      </c>
      <c r="B685" s="3346" t="str">
        <f>'BUS Deemed Savings Table'!C155</f>
        <v>801300_2019_12_</v>
      </c>
      <c r="C685" s="3343" t="str">
        <f>'BUS Deemed Savings Table'!G155</f>
        <v>Refrigeration BUS</v>
      </c>
      <c r="D685" s="3343"/>
      <c r="E685" s="3343"/>
      <c r="F685" s="3343"/>
      <c r="G685" s="3343" t="str">
        <f>'BUS Deemed Savings Table'!E155</f>
        <v>15 ≤ V &lt; 30 - Vertical Closed - Solid Door Refrigerator</v>
      </c>
      <c r="H685" s="50" t="str">
        <f>'BUS Deemed Savings Table'!D155</f>
        <v>C&amp;I</v>
      </c>
      <c r="I685" s="1966">
        <f>'BUS Deemed Savings Table'!F155</f>
        <v>626.4</v>
      </c>
      <c r="J685" s="1966"/>
      <c r="K685" s="560"/>
      <c r="L685" s="560"/>
      <c r="M685" s="560"/>
      <c r="N685" s="560"/>
      <c r="O685" s="1967">
        <f>'BUS Deemed Savings Table'!I155</f>
        <v>8.5026000000000004E-2</v>
      </c>
      <c r="P685" s="1967"/>
      <c r="Q685" s="1968"/>
      <c r="R685" s="1968"/>
      <c r="S685" s="1968"/>
      <c r="T685" s="1968"/>
      <c r="U685" s="1969">
        <f t="shared" si="423"/>
        <v>0</v>
      </c>
      <c r="V685" s="1969">
        <f t="shared" si="424"/>
        <v>8.5026000000000004E-2</v>
      </c>
      <c r="W685" s="1969">
        <f t="shared" si="425"/>
        <v>0</v>
      </c>
      <c r="X685" s="55">
        <f>'BUS Deemed Savings Table'!J155</f>
        <v>12</v>
      </c>
      <c r="Y685" s="55"/>
      <c r="Z685" s="55">
        <f t="shared" si="412"/>
        <v>12</v>
      </c>
      <c r="AA685" s="49">
        <f>'BUS Deemed Savings Table'!DG155</f>
        <v>0.7161241517333593</v>
      </c>
      <c r="AB685" s="698">
        <f>'BUS Deemed Savings Table'!K155</f>
        <v>400</v>
      </c>
      <c r="AC685" s="1975">
        <f t="shared" si="413"/>
        <v>270.36305870065473</v>
      </c>
      <c r="AD685" s="1975">
        <f t="shared" si="414"/>
        <v>0</v>
      </c>
      <c r="AE685" s="1380">
        <f>'BUS Deemed Savings Table'!DI155</f>
        <v>270.36305870065473</v>
      </c>
      <c r="AF685" s="571"/>
      <c r="AG685" s="571"/>
      <c r="AH685" s="571"/>
      <c r="AI685" s="3346" t="str">
        <f>'BUS Deemed Savings Table'!L155</f>
        <v>per measure</v>
      </c>
      <c r="AJ685" s="141"/>
      <c r="AM685" s="1596">
        <f t="shared" si="426"/>
        <v>1.3573829999999999E-4</v>
      </c>
      <c r="AN685">
        <f t="shared" si="427"/>
        <v>8.5026471119999988E-2</v>
      </c>
      <c r="AO685" s="1595">
        <f t="shared" si="428"/>
        <v>4.7111999998405985E-7</v>
      </c>
    </row>
    <row r="686" spans="1:48" x14ac:dyDescent="0.35">
      <c r="A686" s="103" t="str">
        <f t="shared" si="410"/>
        <v>801350</v>
      </c>
      <c r="B686" s="3346" t="str">
        <f>'BUS Deemed Savings Table'!C156</f>
        <v>801350_2019_12_</v>
      </c>
      <c r="C686" s="3343" t="str">
        <f>'BUS Deemed Savings Table'!G156</f>
        <v>Refrigeration BUS</v>
      </c>
      <c r="D686" s="3343"/>
      <c r="E686" s="3343"/>
      <c r="F686" s="3343"/>
      <c r="G686" s="3343" t="str">
        <f>'BUS Deemed Savings Table'!E156</f>
        <v>30 ≤ V &lt; 50 - Vertical Closed - Solid Door Refrigerator</v>
      </c>
      <c r="H686" s="50" t="str">
        <f>'BUS Deemed Savings Table'!D156</f>
        <v>C&amp;I</v>
      </c>
      <c r="I686" s="1966">
        <f>'BUS Deemed Savings Table'!F156</f>
        <v>982.52</v>
      </c>
      <c r="J686" s="1966"/>
      <c r="K686" s="560"/>
      <c r="L686" s="560"/>
      <c r="M686" s="560"/>
      <c r="N686" s="560"/>
      <c r="O686" s="1967">
        <f>'BUS Deemed Savings Table'!I156</f>
        <v>0.13336600000000001</v>
      </c>
      <c r="P686" s="1967"/>
      <c r="Q686" s="1968"/>
      <c r="R686" s="1968"/>
      <c r="S686" s="1968"/>
      <c r="T686" s="1968"/>
      <c r="U686" s="1969">
        <f t="shared" si="423"/>
        <v>0</v>
      </c>
      <c r="V686" s="1969">
        <f t="shared" si="424"/>
        <v>0.13336600000000001</v>
      </c>
      <c r="W686" s="1969">
        <f t="shared" si="425"/>
        <v>0</v>
      </c>
      <c r="X686" s="55">
        <f>'BUS Deemed Savings Table'!J156</f>
        <v>12</v>
      </c>
      <c r="Y686" s="55"/>
      <c r="Z686" s="55">
        <f t="shared" si="412"/>
        <v>12</v>
      </c>
      <c r="AA686" s="49">
        <f>'BUS Deemed Savings Table'!DG156</f>
        <v>0.81691199531064695</v>
      </c>
      <c r="AB686" s="698">
        <f>'BUS Deemed Savings Table'!K156</f>
        <v>550</v>
      </c>
      <c r="AC686" s="1975">
        <f t="shared" si="413"/>
        <v>424.06946429528625</v>
      </c>
      <c r="AD686" s="1975">
        <f t="shared" si="414"/>
        <v>0</v>
      </c>
      <c r="AE686" s="1380">
        <f>'BUS Deemed Savings Table'!DI156</f>
        <v>424.06946429528625</v>
      </c>
      <c r="AF686" s="571"/>
      <c r="AG686" s="571"/>
      <c r="AH686" s="571"/>
      <c r="AI686" s="3346" t="str">
        <f>'BUS Deemed Savings Table'!L156</f>
        <v>per measure</v>
      </c>
      <c r="AJ686" s="141"/>
      <c r="AM686" s="1596">
        <f t="shared" si="426"/>
        <v>1.3573829999999999E-4</v>
      </c>
      <c r="AN686">
        <f t="shared" si="427"/>
        <v>0.133365594516</v>
      </c>
      <c r="AO686" s="1595">
        <f t="shared" si="428"/>
        <v>-4.0548400001561014E-7</v>
      </c>
    </row>
    <row r="687" spans="1:48" x14ac:dyDescent="0.35">
      <c r="A687" s="103" t="str">
        <f t="shared" si="410"/>
        <v>801400</v>
      </c>
      <c r="B687" s="3346" t="str">
        <f>'BUS Deemed Savings Table'!C157</f>
        <v>801400_2019_12_</v>
      </c>
      <c r="C687" s="3343" t="str">
        <f>'BUS Deemed Savings Table'!G157</f>
        <v>Refrigeration BUS</v>
      </c>
      <c r="D687" s="3343"/>
      <c r="E687" s="3343"/>
      <c r="F687" s="3343"/>
      <c r="G687" s="3343" t="str">
        <f>'BUS Deemed Savings Table'!E157</f>
        <v>V ≥ 50 - Vertical Closed - Solid Door Refrigerator</v>
      </c>
      <c r="H687" s="50" t="str">
        <f>'BUS Deemed Savings Table'!D157</f>
        <v>C&amp;I</v>
      </c>
      <c r="I687" s="1966">
        <f>'BUS Deemed Savings Table'!F157</f>
        <v>1311.25</v>
      </c>
      <c r="J687" s="1966"/>
      <c r="K687" s="560"/>
      <c r="L687" s="560"/>
      <c r="M687" s="560"/>
      <c r="N687" s="560"/>
      <c r="O687" s="1967">
        <f>'BUS Deemed Savings Table'!I157</f>
        <v>0.17798700000000001</v>
      </c>
      <c r="P687" s="1967"/>
      <c r="Q687" s="1968"/>
      <c r="R687" s="1968"/>
      <c r="S687" s="1968"/>
      <c r="T687" s="1968"/>
      <c r="U687" s="1969">
        <f t="shared" si="423"/>
        <v>0</v>
      </c>
      <c r="V687" s="1969">
        <f t="shared" si="424"/>
        <v>0.17798700000000001</v>
      </c>
      <c r="W687" s="1969">
        <f t="shared" si="425"/>
        <v>0</v>
      </c>
      <c r="X687" s="55">
        <f>'BUS Deemed Savings Table'!J157</f>
        <v>12</v>
      </c>
      <c r="Y687" s="55"/>
      <c r="Z687" s="55">
        <f t="shared" si="412"/>
        <v>12</v>
      </c>
      <c r="AA687" s="49">
        <f>'BUS Deemed Savings Table'!DG157</f>
        <v>0.85661174417110697</v>
      </c>
      <c r="AB687" s="698">
        <f>'BUS Deemed Savings Table'!K157</f>
        <v>700</v>
      </c>
      <c r="AC687" s="1975">
        <f t="shared" si="413"/>
        <v>565.95396028293987</v>
      </c>
      <c r="AD687" s="1975">
        <f t="shared" si="414"/>
        <v>0</v>
      </c>
      <c r="AE687" s="1380">
        <f>'BUS Deemed Savings Table'!DI157</f>
        <v>565.95396028293987</v>
      </c>
      <c r="AF687" s="571"/>
      <c r="AG687" s="571"/>
      <c r="AH687" s="571"/>
      <c r="AI687" s="3346" t="str">
        <f>'BUS Deemed Savings Table'!L157</f>
        <v>per measure</v>
      </c>
      <c r="AJ687" s="141"/>
      <c r="AM687" s="1596">
        <f t="shared" si="426"/>
        <v>1.3573829999999999E-4</v>
      </c>
      <c r="AN687">
        <f t="shared" si="427"/>
        <v>0.17798684587499999</v>
      </c>
      <c r="AO687" s="1595">
        <f t="shared" si="428"/>
        <v>-1.5412500001255047E-7</v>
      </c>
    </row>
    <row r="688" spans="1:48" x14ac:dyDescent="0.35">
      <c r="A688" s="103" t="str">
        <f t="shared" si="410"/>
        <v>801450</v>
      </c>
      <c r="B688" s="3346" t="str">
        <f>'BUS Deemed Savings Table'!C158</f>
        <v>801450_2019_12_</v>
      </c>
      <c r="C688" s="3343" t="str">
        <f>'BUS Deemed Savings Table'!G158</f>
        <v>Refrigeration BUS</v>
      </c>
      <c r="D688" s="3343"/>
      <c r="E688" s="3343"/>
      <c r="F688" s="3343"/>
      <c r="G688" s="3343" t="str">
        <f>'BUS Deemed Savings Table'!E158</f>
        <v>0 &lt; V &lt; 15 - Vertical Closed - Glass Door Refrigerator</v>
      </c>
      <c r="H688" s="50" t="str">
        <f>'BUS Deemed Savings Table'!D158</f>
        <v>C&amp;I</v>
      </c>
      <c r="I688" s="1966">
        <f>'BUS Deemed Savings Table'!F158</f>
        <v>354.29</v>
      </c>
      <c r="J688" s="1966"/>
      <c r="K688" s="560"/>
      <c r="L688" s="560"/>
      <c r="M688" s="560"/>
      <c r="N688" s="560"/>
      <c r="O688" s="1967">
        <f>'BUS Deemed Savings Table'!I158</f>
        <v>4.8091000000000002E-2</v>
      </c>
      <c r="P688" s="1967"/>
      <c r="Q688" s="1968"/>
      <c r="R688" s="1968"/>
      <c r="S688" s="1968"/>
      <c r="T688" s="1968"/>
      <c r="U688" s="1969">
        <f t="shared" si="423"/>
        <v>0</v>
      </c>
      <c r="V688" s="1969">
        <f t="shared" si="424"/>
        <v>4.8091000000000002E-2</v>
      </c>
      <c r="W688" s="1969">
        <f t="shared" si="425"/>
        <v>0</v>
      </c>
      <c r="X688" s="55">
        <f>'BUS Deemed Savings Table'!J158</f>
        <v>12</v>
      </c>
      <c r="Y688" s="55"/>
      <c r="Z688" s="55">
        <f t="shared" si="412"/>
        <v>12</v>
      </c>
      <c r="AA688" s="49">
        <f>'BUS Deemed Savings Table'!DG158</f>
        <v>0.64806034666056678</v>
      </c>
      <c r="AB688" s="698">
        <f>'BUS Deemed Savings Table'!K158</f>
        <v>250</v>
      </c>
      <c r="AC688" s="1975">
        <f t="shared" si="413"/>
        <v>152.9165518311861</v>
      </c>
      <c r="AD688" s="1975">
        <f t="shared" si="414"/>
        <v>0</v>
      </c>
      <c r="AE688" s="1380">
        <f>'BUS Deemed Savings Table'!DI158</f>
        <v>152.9165518311861</v>
      </c>
      <c r="AF688" s="571"/>
      <c r="AG688" s="571"/>
      <c r="AH688" s="571"/>
      <c r="AI688" s="3346" t="str">
        <f>'BUS Deemed Savings Table'!L158</f>
        <v>per measure</v>
      </c>
      <c r="AJ688" s="141"/>
      <c r="AM688" s="1596">
        <f t="shared" si="426"/>
        <v>1.3573829999999999E-4</v>
      </c>
      <c r="AN688">
        <f t="shared" si="427"/>
        <v>4.8090722306999997E-2</v>
      </c>
      <c r="AO688" s="1595">
        <f t="shared" si="428"/>
        <v>-2.7769300000451969E-7</v>
      </c>
    </row>
    <row r="689" spans="1:41" x14ac:dyDescent="0.35">
      <c r="A689" s="103" t="str">
        <f t="shared" si="410"/>
        <v>801500</v>
      </c>
      <c r="B689" s="3346" t="str">
        <f>'BUS Deemed Savings Table'!C159</f>
        <v>801500_2019_12_</v>
      </c>
      <c r="C689" s="3343" t="str">
        <f>'BUS Deemed Savings Table'!G159</f>
        <v>Refrigeration BUS</v>
      </c>
      <c r="D689" s="3343"/>
      <c r="E689" s="3343"/>
      <c r="F689" s="3343"/>
      <c r="G689" s="3343" t="str">
        <f>'BUS Deemed Savings Table'!E159</f>
        <v>15 ≤ V &lt; 30 - Vertical Closed - Glass Door Refrigerator</v>
      </c>
      <c r="H689" s="50" t="str">
        <f>'BUS Deemed Savings Table'!D159</f>
        <v>C&amp;I</v>
      </c>
      <c r="I689" s="1966">
        <f>'BUS Deemed Savings Table'!F159</f>
        <v>217.32</v>
      </c>
      <c r="J689" s="1966"/>
      <c r="K689" s="560"/>
      <c r="L689" s="560"/>
      <c r="M689" s="560"/>
      <c r="N689" s="560"/>
      <c r="O689" s="1967">
        <f>'BUS Deemed Savings Table'!I159</f>
        <v>2.9499000000000001E-2</v>
      </c>
      <c r="P689" s="1967"/>
      <c r="Q689" s="1968"/>
      <c r="R689" s="1968"/>
      <c r="S689" s="1968"/>
      <c r="T689" s="1968"/>
      <c r="U689" s="1969">
        <f t="shared" si="423"/>
        <v>0</v>
      </c>
      <c r="V689" s="1969">
        <f t="shared" si="424"/>
        <v>2.9499000000000001E-2</v>
      </c>
      <c r="W689" s="1969">
        <f t="shared" si="425"/>
        <v>0</v>
      </c>
      <c r="X689" s="55">
        <f>'BUS Deemed Savings Table'!J159</f>
        <v>12</v>
      </c>
      <c r="Y689" s="55"/>
      <c r="Z689" s="55">
        <f t="shared" si="412"/>
        <v>12</v>
      </c>
      <c r="AA689" s="49">
        <f>'BUS Deemed Savings Table'!DG159</f>
        <v>0.19875874923971093</v>
      </c>
      <c r="AB689" s="698">
        <f>'BUS Deemed Savings Table'!K159</f>
        <v>500</v>
      </c>
      <c r="AC689" s="1975">
        <f t="shared" si="413"/>
        <v>93.79837151472907</v>
      </c>
      <c r="AD689" s="1975">
        <f t="shared" si="414"/>
        <v>0</v>
      </c>
      <c r="AE689" s="1380">
        <f>'BUS Deemed Savings Table'!DI159</f>
        <v>93.79837151472907</v>
      </c>
      <c r="AF689" s="571"/>
      <c r="AG689" s="571"/>
      <c r="AH689" s="571"/>
      <c r="AI689" s="3346" t="str">
        <f>'BUS Deemed Savings Table'!L159</f>
        <v>per measure</v>
      </c>
      <c r="AJ689" s="141"/>
      <c r="AM689" s="1596">
        <f t="shared" si="426"/>
        <v>1.3573829999999999E-4</v>
      </c>
      <c r="AN689">
        <f t="shared" si="427"/>
        <v>2.9498647355999996E-2</v>
      </c>
      <c r="AO689" s="1595">
        <f t="shared" si="428"/>
        <v>-3.5264400000470375E-7</v>
      </c>
    </row>
    <row r="690" spans="1:41" x14ac:dyDescent="0.35">
      <c r="A690" s="103" t="str">
        <f t="shared" si="410"/>
        <v>801550</v>
      </c>
      <c r="B690" s="3346" t="str">
        <f>'BUS Deemed Savings Table'!C160</f>
        <v>801550_2019_12_</v>
      </c>
      <c r="C690" s="3343" t="str">
        <f>'BUS Deemed Savings Table'!G160</f>
        <v>Refrigeration BUS</v>
      </c>
      <c r="D690" s="3343"/>
      <c r="E690" s="3343"/>
      <c r="F690" s="3343"/>
      <c r="G690" s="3343" t="str">
        <f>'BUS Deemed Savings Table'!E160</f>
        <v>30 ≤ V &lt; 50 - Vertical Closed - Glass Door Refrigerator</v>
      </c>
      <c r="H690" s="50" t="str">
        <f>'BUS Deemed Savings Table'!D160</f>
        <v>C&amp;I</v>
      </c>
      <c r="I690" s="1966">
        <f>'BUS Deemed Savings Table'!F160</f>
        <v>226.46</v>
      </c>
      <c r="J690" s="1966"/>
      <c r="K690" s="560"/>
      <c r="L690" s="560"/>
      <c r="M690" s="560"/>
      <c r="N690" s="560"/>
      <c r="O690" s="1967">
        <f>'BUS Deemed Savings Table'!I160</f>
        <v>3.0738999999999999E-2</v>
      </c>
      <c r="P690" s="1967"/>
      <c r="Q690" s="1968"/>
      <c r="R690" s="1968"/>
      <c r="S690" s="1968"/>
      <c r="T690" s="1968"/>
      <c r="U690" s="1969">
        <f t="shared" si="423"/>
        <v>0</v>
      </c>
      <c r="V690" s="1969">
        <f t="shared" si="424"/>
        <v>3.0738999999999999E-2</v>
      </c>
      <c r="W690" s="1969">
        <f t="shared" si="425"/>
        <v>0</v>
      </c>
      <c r="X690" s="55">
        <f>'BUS Deemed Savings Table'!J160</f>
        <v>12</v>
      </c>
      <c r="Y690" s="55"/>
      <c r="Z690" s="55">
        <f t="shared" si="412"/>
        <v>12</v>
      </c>
      <c r="AA690" s="49">
        <f>'BUS Deemed Savings Table'!DG160</f>
        <v>7.9234163718857664E-2</v>
      </c>
      <c r="AB690" s="698">
        <f>'BUS Deemed Savings Table'!K160</f>
        <v>1307</v>
      </c>
      <c r="AC690" s="1975">
        <f t="shared" si="413"/>
        <v>97.743324191172221</v>
      </c>
      <c r="AD690" s="1975">
        <f t="shared" si="414"/>
        <v>0</v>
      </c>
      <c r="AE690" s="1380">
        <f>'BUS Deemed Savings Table'!DI160</f>
        <v>97.743324191172221</v>
      </c>
      <c r="AF690" s="571"/>
      <c r="AG690" s="571"/>
      <c r="AH690" s="571"/>
      <c r="AI690" s="3346" t="str">
        <f>'BUS Deemed Savings Table'!L160</f>
        <v>per measure</v>
      </c>
      <c r="AJ690" s="141"/>
      <c r="AM690" s="1596">
        <f t="shared" si="426"/>
        <v>1.3573829999999999E-4</v>
      </c>
      <c r="AN690">
        <f t="shared" si="427"/>
        <v>3.0739295417999999E-2</v>
      </c>
      <c r="AO690" s="1595">
        <f t="shared" si="428"/>
        <v>2.9541800000004725E-7</v>
      </c>
    </row>
    <row r="691" spans="1:41" x14ac:dyDescent="0.35">
      <c r="A691" s="103" t="str">
        <f t="shared" si="410"/>
        <v>801600</v>
      </c>
      <c r="B691" s="3346" t="str">
        <f>'BUS Deemed Savings Table'!C161</f>
        <v>801600_2019_12_</v>
      </c>
      <c r="C691" s="3343" t="str">
        <f>'BUS Deemed Savings Table'!G161</f>
        <v>Refrigeration BUS</v>
      </c>
      <c r="D691" s="3343"/>
      <c r="E691" s="3343"/>
      <c r="F691" s="3343"/>
      <c r="G691" s="3343" t="str">
        <f>'BUS Deemed Savings Table'!E161</f>
        <v>V ≥ 50 - Vertical Closed - Glass Door Refrigerator</v>
      </c>
      <c r="H691" s="50" t="str">
        <f>'BUS Deemed Savings Table'!D161</f>
        <v>C&amp;I</v>
      </c>
      <c r="I691" s="1966">
        <f>'BUS Deemed Savings Table'!F161</f>
        <v>372.56</v>
      </c>
      <c r="J691" s="1966"/>
      <c r="K691" s="560"/>
      <c r="L691" s="560"/>
      <c r="M691" s="560"/>
      <c r="N691" s="560"/>
      <c r="O691" s="1967">
        <f>'BUS Deemed Savings Table'!I161</f>
        <v>5.0570999999999998E-2</v>
      </c>
      <c r="P691" s="1967"/>
      <c r="Q691" s="1968"/>
      <c r="R691" s="1968"/>
      <c r="S691" s="1968"/>
      <c r="T691" s="1968"/>
      <c r="U691" s="1969">
        <f t="shared" si="423"/>
        <v>0</v>
      </c>
      <c r="V691" s="1969">
        <f t="shared" si="424"/>
        <v>5.0570999999999998E-2</v>
      </c>
      <c r="W691" s="1969">
        <f t="shared" si="425"/>
        <v>0</v>
      </c>
      <c r="X691" s="55">
        <f>'BUS Deemed Savings Table'!J161</f>
        <v>12</v>
      </c>
      <c r="Y691" s="55"/>
      <c r="Z691" s="55">
        <f t="shared" si="412"/>
        <v>12</v>
      </c>
      <c r="AA691" s="49">
        <f>'BUS Deemed Savings Table'!DG161</f>
        <v>7.4073855841462699E-2</v>
      </c>
      <c r="AB691" s="698">
        <f>'BUS Deemed Savings Table'!K161</f>
        <v>2300</v>
      </c>
      <c r="AC691" s="1975">
        <f t="shared" si="413"/>
        <v>160.80214104328854</v>
      </c>
      <c r="AD691" s="1975">
        <f t="shared" si="414"/>
        <v>0</v>
      </c>
      <c r="AE691" s="1380">
        <f>'BUS Deemed Savings Table'!DI161</f>
        <v>160.80214104328854</v>
      </c>
      <c r="AF691" s="571"/>
      <c r="AG691" s="571"/>
      <c r="AH691" s="571"/>
      <c r="AI691" s="3346" t="str">
        <f>'BUS Deemed Savings Table'!L161</f>
        <v>per measure</v>
      </c>
      <c r="AJ691" s="141"/>
      <c r="AM691" s="1596">
        <f t="shared" si="426"/>
        <v>1.3573829999999999E-4</v>
      </c>
      <c r="AN691">
        <f t="shared" si="427"/>
        <v>5.0570661047999996E-2</v>
      </c>
      <c r="AO691" s="1595">
        <f t="shared" si="428"/>
        <v>-3.3895200000216841E-7</v>
      </c>
    </row>
    <row r="692" spans="1:41" x14ac:dyDescent="0.35">
      <c r="A692" s="103" t="str">
        <f t="shared" si="410"/>
        <v>801650</v>
      </c>
      <c r="B692" s="3346" t="str">
        <f>'BUS Deemed Savings Table'!C162</f>
        <v>801650_2019_12_</v>
      </c>
      <c r="C692" s="3343" t="str">
        <f>'BUS Deemed Savings Table'!G162</f>
        <v>Refrigeration BUS</v>
      </c>
      <c r="D692" s="3343"/>
      <c r="E692" s="3343"/>
      <c r="F692" s="3343"/>
      <c r="G692" s="3343" t="str">
        <f>'BUS Deemed Savings Table'!E162</f>
        <v>Horizontal Closed - Solid or Glass Door Refrigerator  - All Volumes</v>
      </c>
      <c r="H692" s="50" t="str">
        <f>'BUS Deemed Savings Table'!D162</f>
        <v>C&amp;I</v>
      </c>
      <c r="I692" s="1966">
        <f>'BUS Deemed Savings Table'!F162</f>
        <v>1219.94</v>
      </c>
      <c r="J692" s="1966"/>
      <c r="K692" s="560"/>
      <c r="L692" s="560"/>
      <c r="M692" s="560"/>
      <c r="N692" s="560"/>
      <c r="O692" s="1967">
        <f>'BUS Deemed Savings Table'!I162</f>
        <v>0.16559299999999999</v>
      </c>
      <c r="P692" s="1967"/>
      <c r="Q692" s="1968"/>
      <c r="R692" s="1968"/>
      <c r="S692" s="1968"/>
      <c r="T692" s="1968"/>
      <c r="U692" s="1969">
        <f t="shared" si="423"/>
        <v>0</v>
      </c>
      <c r="V692" s="1969">
        <f t="shared" si="424"/>
        <v>0.16559299999999999</v>
      </c>
      <c r="W692" s="1969">
        <f t="shared" si="425"/>
        <v>0</v>
      </c>
      <c r="X692" s="55">
        <f>'BUS Deemed Savings Table'!J162</f>
        <v>12</v>
      </c>
      <c r="Y692" s="55"/>
      <c r="Z692" s="55">
        <f t="shared" si="412"/>
        <v>12</v>
      </c>
      <c r="AA692" s="49">
        <f>'BUS Deemed Savings Table'!DG162</f>
        <v>1.0626144835681985</v>
      </c>
      <c r="AB692" s="698">
        <f>'BUS Deemed Savings Table'!K162</f>
        <v>525</v>
      </c>
      <c r="AC692" s="1975">
        <f t="shared" si="413"/>
        <v>526.54327878556319</v>
      </c>
      <c r="AD692" s="1975">
        <f t="shared" si="414"/>
        <v>0</v>
      </c>
      <c r="AE692" s="1380">
        <f>'BUS Deemed Savings Table'!DI162</f>
        <v>526.54327878556319</v>
      </c>
      <c r="AF692" s="571"/>
      <c r="AG692" s="571"/>
      <c r="AH692" s="571"/>
      <c r="AI692" s="3346" t="str">
        <f>'BUS Deemed Savings Table'!L162</f>
        <v>per measure</v>
      </c>
      <c r="AJ692" s="141"/>
      <c r="AM692" s="1596">
        <f t="shared" si="426"/>
        <v>1.3573829999999999E-4</v>
      </c>
      <c r="AN692">
        <f t="shared" si="427"/>
        <v>0.165592581702</v>
      </c>
      <c r="AO692" s="1595">
        <f t="shared" si="428"/>
        <v>-4.1829799998782669E-7</v>
      </c>
    </row>
    <row r="693" spans="1:41" x14ac:dyDescent="0.35">
      <c r="A693" s="103" t="str">
        <f t="shared" si="410"/>
        <v>801700</v>
      </c>
      <c r="B693" s="3346" t="str">
        <f>'BUS Deemed Savings Table'!C163</f>
        <v>801700_2019_12_</v>
      </c>
      <c r="C693" s="3343" t="str">
        <f>'BUS Deemed Savings Table'!G163</f>
        <v>Refrigeration BUS</v>
      </c>
      <c r="D693" s="3343"/>
      <c r="E693" s="3343"/>
      <c r="F693" s="3343"/>
      <c r="G693" s="3343" t="str">
        <f>'BUS Deemed Savings Table'!E163</f>
        <v>0 &lt; V &lt; 15 - Vertical Closed - Solid Door Freezer</v>
      </c>
      <c r="H693" s="50" t="str">
        <f>'BUS Deemed Savings Table'!D163</f>
        <v>C&amp;I</v>
      </c>
      <c r="I693" s="1966">
        <f>'BUS Deemed Savings Table'!F163</f>
        <v>348.81</v>
      </c>
      <c r="J693" s="1966"/>
      <c r="K693" s="560"/>
      <c r="L693" s="560"/>
      <c r="M693" s="560"/>
      <c r="N693" s="560"/>
      <c r="O693" s="1967">
        <f>'BUS Deemed Savings Table'!I163</f>
        <v>4.7347E-2</v>
      </c>
      <c r="P693" s="1967"/>
      <c r="Q693" s="1968"/>
      <c r="R693" s="1968"/>
      <c r="S693" s="1968"/>
      <c r="T693" s="1968"/>
      <c r="U693" s="1969">
        <f t="shared" si="423"/>
        <v>0</v>
      </c>
      <c r="V693" s="1969">
        <f t="shared" si="424"/>
        <v>4.7347E-2</v>
      </c>
      <c r="W693" s="1969">
        <f t="shared" si="425"/>
        <v>0</v>
      </c>
      <c r="X693" s="55">
        <f>'BUS Deemed Savings Table'!J163</f>
        <v>12</v>
      </c>
      <c r="Y693" s="55"/>
      <c r="Z693" s="55">
        <f t="shared" si="412"/>
        <v>12</v>
      </c>
      <c r="AA693" s="49">
        <f>'BUS Deemed Savings Table'!DG163</f>
        <v>1.0633940628612732</v>
      </c>
      <c r="AB693" s="698">
        <f>'BUS Deemed Savings Table'!K163</f>
        <v>150</v>
      </c>
      <c r="AC693" s="1975">
        <f t="shared" si="413"/>
        <v>150.55130668163375</v>
      </c>
      <c r="AD693" s="1975">
        <f t="shared" si="414"/>
        <v>0</v>
      </c>
      <c r="AE693" s="1380">
        <f>'BUS Deemed Savings Table'!DI163</f>
        <v>150.55130668163375</v>
      </c>
      <c r="AF693" s="571"/>
      <c r="AG693" s="571"/>
      <c r="AH693" s="571"/>
      <c r="AI693" s="3346" t="str">
        <f>'BUS Deemed Savings Table'!L163</f>
        <v>per measure</v>
      </c>
      <c r="AJ693" s="141"/>
      <c r="AM693" s="1596">
        <f t="shared" si="426"/>
        <v>1.3573829999999999E-4</v>
      </c>
      <c r="AN693">
        <f t="shared" si="427"/>
        <v>4.7346876422999999E-2</v>
      </c>
      <c r="AO693" s="1595">
        <f t="shared" si="428"/>
        <v>-1.2357700000104055E-7</v>
      </c>
    </row>
    <row r="694" spans="1:41" x14ac:dyDescent="0.35">
      <c r="A694" s="103" t="str">
        <f t="shared" si="410"/>
        <v>801750</v>
      </c>
      <c r="B694" s="3346" t="str">
        <f>'BUS Deemed Savings Table'!C164</f>
        <v>801750_2019_12_</v>
      </c>
      <c r="C694" s="3343" t="str">
        <f>'BUS Deemed Savings Table'!G164</f>
        <v>Refrigeration BUS</v>
      </c>
      <c r="D694" s="3343"/>
      <c r="E694" s="3343"/>
      <c r="F694" s="3343"/>
      <c r="G694" s="3343" t="str">
        <f>'BUS Deemed Savings Table'!E164</f>
        <v>15 ≤ V &lt; 30 - Vertical Closed - Solid Door Freezer</v>
      </c>
      <c r="H694" s="50" t="str">
        <f>'BUS Deemed Savings Table'!D164</f>
        <v>C&amp;I</v>
      </c>
      <c r="I694" s="1966">
        <f>'BUS Deemed Savings Table'!F164</f>
        <v>1307.5999999999999</v>
      </c>
      <c r="J694" s="1966"/>
      <c r="K694" s="560"/>
      <c r="L694" s="560"/>
      <c r="M694" s="560"/>
      <c r="N694" s="560"/>
      <c r="O694" s="1967">
        <f>'BUS Deemed Savings Table'!I164</f>
        <v>0.17749100000000001</v>
      </c>
      <c r="P694" s="1967"/>
      <c r="Q694" s="1968"/>
      <c r="R694" s="1968"/>
      <c r="S694" s="1968"/>
      <c r="T694" s="1968"/>
      <c r="U694" s="1969">
        <f t="shared" si="423"/>
        <v>0</v>
      </c>
      <c r="V694" s="1969">
        <f t="shared" si="424"/>
        <v>0.17749100000000001</v>
      </c>
      <c r="W694" s="1969">
        <f t="shared" si="425"/>
        <v>0</v>
      </c>
      <c r="X694" s="55">
        <f>'BUS Deemed Savings Table'!J164</f>
        <v>12</v>
      </c>
      <c r="Y694" s="55"/>
      <c r="Z694" s="55">
        <f t="shared" si="412"/>
        <v>12</v>
      </c>
      <c r="AA694" s="49">
        <f>'BUS Deemed Savings Table'!DG164</f>
        <v>1.4948977343654863</v>
      </c>
      <c r="AB694" s="698">
        <f>'BUS Deemed Savings Table'!K164</f>
        <v>400</v>
      </c>
      <c r="AC694" s="1975">
        <f t="shared" si="413"/>
        <v>564.37856889683292</v>
      </c>
      <c r="AD694" s="1975">
        <f t="shared" si="414"/>
        <v>0</v>
      </c>
      <c r="AE694" s="1380">
        <f>'BUS Deemed Savings Table'!DI164</f>
        <v>564.37856889683292</v>
      </c>
      <c r="AF694" s="571"/>
      <c r="AG694" s="571"/>
      <c r="AH694" s="571"/>
      <c r="AI694" s="3346" t="str">
        <f>'BUS Deemed Savings Table'!L164</f>
        <v>per measure</v>
      </c>
      <c r="AJ694" s="141"/>
      <c r="AM694" s="1596">
        <f t="shared" si="426"/>
        <v>1.3573829999999999E-4</v>
      </c>
      <c r="AN694">
        <f t="shared" si="427"/>
        <v>0.17749140107999997</v>
      </c>
      <c r="AO694" s="1595">
        <f t="shared" si="428"/>
        <v>4.0107999996208399E-7</v>
      </c>
    </row>
    <row r="695" spans="1:41" x14ac:dyDescent="0.35">
      <c r="A695" s="103" t="str">
        <f t="shared" si="410"/>
        <v>801800</v>
      </c>
      <c r="B695" s="3346" t="str">
        <f>'BUS Deemed Savings Table'!C165</f>
        <v>801800_2019_12_</v>
      </c>
      <c r="C695" s="3343" t="str">
        <f>'BUS Deemed Savings Table'!G165</f>
        <v>Refrigeration BUS</v>
      </c>
      <c r="D695" s="3343"/>
      <c r="E695" s="3343"/>
      <c r="F695" s="3343"/>
      <c r="G695" s="3343" t="str">
        <f>'BUS Deemed Savings Table'!E165</f>
        <v>30 ≤ V &lt; 50 - Vertical Closed - Solid Door Freezer</v>
      </c>
      <c r="H695" s="50" t="str">
        <f>'BUS Deemed Savings Table'!D165</f>
        <v>C&amp;I</v>
      </c>
      <c r="I695" s="1966">
        <f>'BUS Deemed Savings Table'!F165</f>
        <v>2403.35</v>
      </c>
      <c r="J695" s="1966"/>
      <c r="K695" s="560"/>
      <c r="L695" s="560"/>
      <c r="M695" s="560"/>
      <c r="N695" s="560"/>
      <c r="O695" s="1967">
        <f>'BUS Deemed Savings Table'!I165</f>
        <v>0.32622699999999999</v>
      </c>
      <c r="P695" s="1967"/>
      <c r="Q695" s="1968"/>
      <c r="R695" s="1968"/>
      <c r="S695" s="1968"/>
      <c r="T695" s="1968"/>
      <c r="U695" s="1969">
        <f t="shared" si="423"/>
        <v>0</v>
      </c>
      <c r="V695" s="1969">
        <f t="shared" si="424"/>
        <v>0.32622699999999999</v>
      </c>
      <c r="W695" s="1969">
        <f t="shared" si="425"/>
        <v>0</v>
      </c>
      <c r="X695" s="55">
        <f>'BUS Deemed Savings Table'!J165</f>
        <v>12</v>
      </c>
      <c r="Y695" s="55"/>
      <c r="Z695" s="55">
        <f t="shared" si="412"/>
        <v>12</v>
      </c>
      <c r="AA695" s="49">
        <f>'BUS Deemed Savings Table'!DG165</f>
        <v>1.9982549402860434</v>
      </c>
      <c r="AB695" s="698">
        <f>'BUS Deemed Savings Table'!K165</f>
        <v>550</v>
      </c>
      <c r="AC695" s="1975">
        <f t="shared" si="413"/>
        <v>1037.3196952877054</v>
      </c>
      <c r="AD695" s="1975">
        <f t="shared" si="414"/>
        <v>0</v>
      </c>
      <c r="AE695" s="1380">
        <f>'BUS Deemed Savings Table'!DI165</f>
        <v>1037.3196952877054</v>
      </c>
      <c r="AF695" s="571"/>
      <c r="AG695" s="571"/>
      <c r="AH695" s="571"/>
      <c r="AI695" s="3346" t="str">
        <f>'BUS Deemed Savings Table'!L165</f>
        <v>per measure</v>
      </c>
      <c r="AJ695" s="141"/>
      <c r="AM695" s="1596">
        <f t="shared" si="426"/>
        <v>1.3573829999999999E-4</v>
      </c>
      <c r="AN695">
        <f t="shared" si="427"/>
        <v>0.32622664330499995</v>
      </c>
      <c r="AO695" s="1595">
        <f t="shared" si="428"/>
        <v>-3.5669500003665533E-7</v>
      </c>
    </row>
    <row r="696" spans="1:41" x14ac:dyDescent="0.35">
      <c r="A696" s="103" t="str">
        <f t="shared" si="410"/>
        <v>801850</v>
      </c>
      <c r="B696" s="3346" t="str">
        <f>'BUS Deemed Savings Table'!C166</f>
        <v>801850_2019_12_</v>
      </c>
      <c r="C696" s="3343" t="str">
        <f>'BUS Deemed Savings Table'!G166</f>
        <v>Refrigeration BUS</v>
      </c>
      <c r="D696" s="3343"/>
      <c r="E696" s="3343"/>
      <c r="F696" s="3343"/>
      <c r="G696" s="3343" t="str">
        <f>'BUS Deemed Savings Table'!E166</f>
        <v>V ≥ 50 - Vertical Closed - Solid Door Freezer</v>
      </c>
      <c r="H696" s="50" t="str">
        <f>'BUS Deemed Savings Table'!D166</f>
        <v>C&amp;I</v>
      </c>
      <c r="I696" s="1966">
        <f>'BUS Deemed Savings Table'!F166</f>
        <v>2951.22</v>
      </c>
      <c r="J696" s="1966"/>
      <c r="K696" s="560"/>
      <c r="L696" s="560"/>
      <c r="M696" s="560"/>
      <c r="N696" s="560"/>
      <c r="O696" s="1967">
        <f>'BUS Deemed Savings Table'!I166</f>
        <v>0.40059400000000001</v>
      </c>
      <c r="P696" s="1967"/>
      <c r="Q696" s="1968"/>
      <c r="R696" s="1968"/>
      <c r="S696" s="1968"/>
      <c r="T696" s="1968"/>
      <c r="U696" s="1969">
        <f t="shared" si="423"/>
        <v>0</v>
      </c>
      <c r="V696" s="1969">
        <f t="shared" si="424"/>
        <v>0.40059400000000001</v>
      </c>
      <c r="W696" s="1969">
        <f t="shared" si="425"/>
        <v>0</v>
      </c>
      <c r="X696" s="55">
        <f>'BUS Deemed Savings Table'!J166</f>
        <v>12</v>
      </c>
      <c r="Y696" s="55"/>
      <c r="Z696" s="55">
        <f t="shared" si="412"/>
        <v>12</v>
      </c>
      <c r="AA696" s="49">
        <f>'BUS Deemed Savings Table'!DG166</f>
        <v>1.927969274839012</v>
      </c>
      <c r="AB696" s="698">
        <f>'BUS Deemed Savings Table'!K166</f>
        <v>700</v>
      </c>
      <c r="AC696" s="1975">
        <f t="shared" si="413"/>
        <v>1273.7881004127496</v>
      </c>
      <c r="AD696" s="1975">
        <f t="shared" si="414"/>
        <v>0</v>
      </c>
      <c r="AE696" s="1380">
        <f>'BUS Deemed Savings Table'!DI166</f>
        <v>1273.7881004127496</v>
      </c>
      <c r="AF696" s="571"/>
      <c r="AG696" s="571"/>
      <c r="AH696" s="571"/>
      <c r="AI696" s="3346" t="str">
        <f>'BUS Deemed Savings Table'!L166</f>
        <v>per measure</v>
      </c>
      <c r="AJ696" s="141"/>
      <c r="AM696" s="1596">
        <f t="shared" si="426"/>
        <v>1.3573829999999999E-4</v>
      </c>
      <c r="AN696">
        <f t="shared" si="427"/>
        <v>0.40059358572599996</v>
      </c>
      <c r="AO696" s="1595">
        <f t="shared" si="428"/>
        <v>-4.1427400004900861E-7</v>
      </c>
    </row>
    <row r="697" spans="1:41" x14ac:dyDescent="0.35">
      <c r="A697" s="103" t="str">
        <f t="shared" si="410"/>
        <v>801900</v>
      </c>
      <c r="B697" s="3346" t="str">
        <f>'BUS Deemed Savings Table'!C167</f>
        <v>801900_2019_12_</v>
      </c>
      <c r="C697" s="3343" t="str">
        <f>'BUS Deemed Savings Table'!G167</f>
        <v>Refrigeration BUS</v>
      </c>
      <c r="D697" s="3343"/>
      <c r="E697" s="3343"/>
      <c r="F697" s="3343"/>
      <c r="G697" s="3343" t="str">
        <f>'BUS Deemed Savings Table'!E167</f>
        <v>0 &lt; V &lt; 15 - Vertical Closed - Glass Door Freezer</v>
      </c>
      <c r="H697" s="50" t="str">
        <f>'BUS Deemed Savings Table'!D167</f>
        <v>C&amp;I</v>
      </c>
      <c r="I697" s="1966">
        <f>'BUS Deemed Savings Table'!F167</f>
        <v>1429.95</v>
      </c>
      <c r="J697" s="1966"/>
      <c r="K697" s="560"/>
      <c r="L697" s="560"/>
      <c r="M697" s="560"/>
      <c r="N697" s="560"/>
      <c r="O697" s="1967">
        <f>'BUS Deemed Savings Table'!I167</f>
        <v>0.19409899999999999</v>
      </c>
      <c r="P697" s="1967"/>
      <c r="Q697" s="1968"/>
      <c r="R697" s="1968"/>
      <c r="S697" s="1968"/>
      <c r="T697" s="1968"/>
      <c r="U697" s="1969">
        <f t="shared" si="423"/>
        <v>0</v>
      </c>
      <c r="V697" s="1969">
        <f t="shared" si="424"/>
        <v>0.19409899999999999</v>
      </c>
      <c r="W697" s="1969">
        <f t="shared" si="425"/>
        <v>0</v>
      </c>
      <c r="X697" s="55">
        <f>'BUS Deemed Savings Table'!J167</f>
        <v>12</v>
      </c>
      <c r="Y697" s="55"/>
      <c r="Z697" s="55">
        <f t="shared" si="412"/>
        <v>12</v>
      </c>
      <c r="AA697" s="49">
        <f>'BUS Deemed Savings Table'!DG167</f>
        <v>2.9723143236129026</v>
      </c>
      <c r="AB697" s="698">
        <f>'BUS Deemed Savings Table'!K167</f>
        <v>220</v>
      </c>
      <c r="AC697" s="1975">
        <f t="shared" si="413"/>
        <v>617.18655138729446</v>
      </c>
      <c r="AD697" s="1975">
        <f t="shared" si="414"/>
        <v>0</v>
      </c>
      <c r="AE697" s="1380">
        <f>'BUS Deemed Savings Table'!DI167</f>
        <v>617.18655138729446</v>
      </c>
      <c r="AF697" s="571"/>
      <c r="AG697" s="571"/>
      <c r="AH697" s="571"/>
      <c r="AI697" s="3346" t="str">
        <f>'BUS Deemed Savings Table'!L167</f>
        <v>per measure</v>
      </c>
      <c r="AJ697" s="141"/>
      <c r="AM697" s="1596">
        <f t="shared" si="426"/>
        <v>1.3573829999999999E-4</v>
      </c>
      <c r="AN697">
        <f t="shared" si="427"/>
        <v>0.19409898208499998</v>
      </c>
      <c r="AO697" s="1595">
        <f t="shared" si="428"/>
        <v>-1.7915000011248239E-8</v>
      </c>
    </row>
    <row r="698" spans="1:41" x14ac:dyDescent="0.35">
      <c r="A698" s="103" t="str">
        <f t="shared" si="410"/>
        <v>801950</v>
      </c>
      <c r="B698" s="3346" t="str">
        <f>'BUS Deemed Savings Table'!C168</f>
        <v>801950_2019_12_</v>
      </c>
      <c r="C698" s="3343" t="str">
        <f>'BUS Deemed Savings Table'!G168</f>
        <v>Refrigeration BUS</v>
      </c>
      <c r="D698" s="3343"/>
      <c r="E698" s="3343"/>
      <c r="F698" s="3343"/>
      <c r="G698" s="3343" t="str">
        <f>'BUS Deemed Savings Table'!E168</f>
        <v>15 ≤ V &lt; 30 - Vertical Closed - Glass Door Freezer</v>
      </c>
      <c r="H698" s="50" t="str">
        <f>'BUS Deemed Savings Table'!D168</f>
        <v>C&amp;I</v>
      </c>
      <c r="I698" s="1966">
        <f>'BUS Deemed Savings Table'!F168</f>
        <v>3186.81</v>
      </c>
      <c r="J698" s="1966"/>
      <c r="K698" s="560"/>
      <c r="L698" s="560"/>
      <c r="M698" s="560"/>
      <c r="N698" s="560"/>
      <c r="O698" s="1967">
        <f>'BUS Deemed Savings Table'!I168</f>
        <v>0.43257200000000001</v>
      </c>
      <c r="P698" s="1967"/>
      <c r="Q698" s="1968"/>
      <c r="R698" s="1968"/>
      <c r="S698" s="1968"/>
      <c r="T698" s="1968"/>
      <c r="U698" s="1969">
        <f t="shared" si="423"/>
        <v>0</v>
      </c>
      <c r="V698" s="1969">
        <f t="shared" si="424"/>
        <v>0.43257200000000001</v>
      </c>
      <c r="W698" s="1969">
        <f t="shared" si="425"/>
        <v>0</v>
      </c>
      <c r="X698" s="55">
        <f>'BUS Deemed Savings Table'!J168</f>
        <v>12</v>
      </c>
      <c r="Y698" s="55"/>
      <c r="Z698" s="55">
        <f t="shared" si="412"/>
        <v>12</v>
      </c>
      <c r="AA698" s="49">
        <f>'BUS Deemed Savings Table'!DG168</f>
        <v>1.5340133145025117</v>
      </c>
      <c r="AB698" s="698">
        <f>'BUS Deemed Savings Table'!K168</f>
        <v>950</v>
      </c>
      <c r="AC698" s="1975">
        <f t="shared" si="413"/>
        <v>1375.472061139581</v>
      </c>
      <c r="AD698" s="1975">
        <f t="shared" si="414"/>
        <v>0</v>
      </c>
      <c r="AE698" s="1380">
        <f>'BUS Deemed Savings Table'!DI168</f>
        <v>1375.472061139581</v>
      </c>
      <c r="AF698" s="571"/>
      <c r="AG698" s="571"/>
      <c r="AH698" s="571"/>
      <c r="AI698" s="3346" t="str">
        <f>'BUS Deemed Savings Table'!L168</f>
        <v>per measure</v>
      </c>
      <c r="AJ698" s="141"/>
      <c r="AM698" s="1596">
        <f t="shared" si="426"/>
        <v>1.3573829999999999E-4</v>
      </c>
      <c r="AN698">
        <f t="shared" si="427"/>
        <v>0.43257217182299995</v>
      </c>
      <c r="AO698" s="1595">
        <f t="shared" si="428"/>
        <v>1.7182299993923067E-7</v>
      </c>
    </row>
    <row r="699" spans="1:41" x14ac:dyDescent="0.35">
      <c r="A699" s="103" t="str">
        <f t="shared" si="410"/>
        <v>802000</v>
      </c>
      <c r="B699" s="3346" t="str">
        <f>'BUS Deemed Savings Table'!C169</f>
        <v>802000_2019_12_</v>
      </c>
      <c r="C699" s="3343" t="str">
        <f>'BUS Deemed Savings Table'!G169</f>
        <v>Refrigeration BUS</v>
      </c>
      <c r="D699" s="3343"/>
      <c r="E699" s="3343"/>
      <c r="F699" s="3343"/>
      <c r="G699" s="3343" t="str">
        <f>'BUS Deemed Savings Table'!E169</f>
        <v>30 ≤ V &lt; 50 - Vertical Closed - Glass Door Freezer</v>
      </c>
      <c r="H699" s="50" t="str">
        <f>'BUS Deemed Savings Table'!D169</f>
        <v>C&amp;I</v>
      </c>
      <c r="I699" s="1966">
        <f>'BUS Deemed Savings Table'!F169</f>
        <v>5150.03</v>
      </c>
      <c r="J699" s="1966"/>
      <c r="K699" s="560"/>
      <c r="L699" s="560"/>
      <c r="M699" s="560"/>
      <c r="N699" s="560"/>
      <c r="O699" s="1967">
        <f>'BUS Deemed Savings Table'!I169</f>
        <v>0.69905600000000001</v>
      </c>
      <c r="P699" s="1967"/>
      <c r="Q699" s="1968"/>
      <c r="R699" s="1968"/>
      <c r="S699" s="1968"/>
      <c r="T699" s="1968"/>
      <c r="U699" s="1969">
        <f t="shared" si="423"/>
        <v>0</v>
      </c>
      <c r="V699" s="1969">
        <f t="shared" si="424"/>
        <v>0.69905600000000001</v>
      </c>
      <c r="W699" s="1969">
        <f t="shared" si="425"/>
        <v>0</v>
      </c>
      <c r="X699" s="55">
        <f>'BUS Deemed Savings Table'!J169</f>
        <v>12</v>
      </c>
      <c r="Y699" s="55"/>
      <c r="Z699" s="55">
        <f t="shared" si="412"/>
        <v>12</v>
      </c>
      <c r="AA699" s="49">
        <f>'BUS Deemed Savings Table'!DG169</f>
        <v>1.8019002039081009</v>
      </c>
      <c r="AB699" s="698">
        <f>'BUS Deemed Savings Table'!K169</f>
        <v>1307</v>
      </c>
      <c r="AC699" s="1975">
        <f t="shared" si="413"/>
        <v>2222.8254521074919</v>
      </c>
      <c r="AD699" s="1975">
        <f t="shared" si="414"/>
        <v>0</v>
      </c>
      <c r="AE699" s="1380">
        <f>'BUS Deemed Savings Table'!DI169</f>
        <v>2222.8254521074919</v>
      </c>
      <c r="AF699" s="571"/>
      <c r="AG699" s="571"/>
      <c r="AH699" s="571"/>
      <c r="AI699" s="3346" t="str">
        <f>'BUS Deemed Savings Table'!L169</f>
        <v>per measure</v>
      </c>
      <c r="AJ699" s="141"/>
      <c r="AM699" s="1596">
        <f t="shared" si="426"/>
        <v>1.3573829999999999E-4</v>
      </c>
      <c r="AN699">
        <f t="shared" si="427"/>
        <v>0.69905631714899985</v>
      </c>
      <c r="AO699" s="1595">
        <f t="shared" si="428"/>
        <v>3.171489998399224E-7</v>
      </c>
    </row>
    <row r="700" spans="1:41" x14ac:dyDescent="0.35">
      <c r="A700" s="103" t="str">
        <f t="shared" si="410"/>
        <v>802050</v>
      </c>
      <c r="B700" s="3346" t="str">
        <f>'BUS Deemed Savings Table'!C170</f>
        <v>802050_2019_12_</v>
      </c>
      <c r="C700" s="3343" t="str">
        <f>'BUS Deemed Savings Table'!G170</f>
        <v>Refrigeration BUS</v>
      </c>
      <c r="D700" s="3343"/>
      <c r="E700" s="3343"/>
      <c r="F700" s="3343"/>
      <c r="G700" s="3343" t="str">
        <f>'BUS Deemed Savings Table'!E170</f>
        <v>V ≥ 50 - Vertical Closed - Glass Door Freezer</v>
      </c>
      <c r="H700" s="50" t="str">
        <f>'BUS Deemed Savings Table'!D170</f>
        <v>C&amp;I</v>
      </c>
      <c r="I700" s="1966">
        <f>'BUS Deemed Savings Table'!F170</f>
        <v>5884.18</v>
      </c>
      <c r="J700" s="1966"/>
      <c r="K700" s="560"/>
      <c r="L700" s="560"/>
      <c r="M700" s="560"/>
      <c r="N700" s="560"/>
      <c r="O700" s="1967">
        <f>'BUS Deemed Savings Table'!I170</f>
        <v>0.798709</v>
      </c>
      <c r="P700" s="1967"/>
      <c r="Q700" s="1968"/>
      <c r="R700" s="1968"/>
      <c r="S700" s="1968"/>
      <c r="T700" s="1968"/>
      <c r="U700" s="1969">
        <f t="shared" si="423"/>
        <v>0</v>
      </c>
      <c r="V700" s="1969">
        <f t="shared" si="424"/>
        <v>0.798709</v>
      </c>
      <c r="W700" s="1969">
        <f t="shared" si="425"/>
        <v>0</v>
      </c>
      <c r="X700" s="55">
        <f>'BUS Deemed Savings Table'!J170</f>
        <v>12</v>
      </c>
      <c r="Y700" s="55"/>
      <c r="Z700" s="55">
        <f t="shared" si="412"/>
        <v>12</v>
      </c>
      <c r="AA700" s="49">
        <f>'BUS Deemed Savings Table'!DG170</f>
        <v>1.1699159895458933</v>
      </c>
      <c r="AB700" s="698">
        <f>'BUS Deemed Savings Table'!K170</f>
        <v>2300</v>
      </c>
      <c r="AC700" s="1975">
        <f t="shared" si="413"/>
        <v>2539.6949277541808</v>
      </c>
      <c r="AD700" s="1975">
        <f t="shared" si="414"/>
        <v>0</v>
      </c>
      <c r="AE700" s="1380">
        <f>'BUS Deemed Savings Table'!DI170</f>
        <v>2539.6949277541808</v>
      </c>
      <c r="AF700" s="571"/>
      <c r="AG700" s="571"/>
      <c r="AH700" s="571"/>
      <c r="AI700" s="3346" t="str">
        <f>'BUS Deemed Savings Table'!L170</f>
        <v>per measure</v>
      </c>
      <c r="AJ700" s="141"/>
      <c r="AM700" s="1596">
        <f t="shared" si="426"/>
        <v>1.3573829999999999E-4</v>
      </c>
      <c r="AN700">
        <f t="shared" si="427"/>
        <v>0.79870859009399997</v>
      </c>
      <c r="AO700" s="1595">
        <f t="shared" si="428"/>
        <v>-4.099060000317678E-7</v>
      </c>
    </row>
    <row r="701" spans="1:41" x14ac:dyDescent="0.35">
      <c r="A701" s="103" t="str">
        <f t="shared" si="410"/>
        <v>802100</v>
      </c>
      <c r="B701" s="3346" t="str">
        <f>'BUS Deemed Savings Table'!C171</f>
        <v>802100_2019_12_</v>
      </c>
      <c r="C701" s="3343" t="str">
        <f>'BUS Deemed Savings Table'!G171</f>
        <v>Refrigeration BUS</v>
      </c>
      <c r="D701" s="3343"/>
      <c r="E701" s="3343"/>
      <c r="F701" s="3343"/>
      <c r="G701" s="3343" t="str">
        <f>'BUS Deemed Savings Table'!E171</f>
        <v>Horizontal Closed - Solid or Glass Door Freezer  - All Volumes</v>
      </c>
      <c r="H701" s="50" t="str">
        <f>'BUS Deemed Savings Table'!D171</f>
        <v>C&amp;I</v>
      </c>
      <c r="I701" s="1966">
        <f>'BUS Deemed Savings Table'!F171</f>
        <v>5265.08</v>
      </c>
      <c r="J701" s="1966"/>
      <c r="K701" s="560"/>
      <c r="L701" s="560"/>
      <c r="M701" s="560"/>
      <c r="N701" s="560"/>
      <c r="O701" s="1967">
        <f>'BUS Deemed Savings Table'!I171</f>
        <v>0.714673</v>
      </c>
      <c r="P701" s="1967"/>
      <c r="Q701" s="1968"/>
      <c r="R701" s="1968"/>
      <c r="S701" s="1968"/>
      <c r="T701" s="1968"/>
      <c r="U701" s="1969">
        <f t="shared" si="423"/>
        <v>0</v>
      </c>
      <c r="V701" s="1969">
        <f t="shared" si="424"/>
        <v>0.714673</v>
      </c>
      <c r="W701" s="1969">
        <f t="shared" si="425"/>
        <v>0</v>
      </c>
      <c r="X701" s="55">
        <f>'BUS Deemed Savings Table'!J171</f>
        <v>12</v>
      </c>
      <c r="Y701" s="55"/>
      <c r="Z701" s="55">
        <f t="shared" si="412"/>
        <v>12</v>
      </c>
      <c r="AA701" s="49">
        <f>'BUS Deemed Savings Table'!DG171</f>
        <v>4.0465468396796158</v>
      </c>
      <c r="AB701" s="698">
        <f>'BUS Deemed Savings Table'!K171</f>
        <v>595</v>
      </c>
      <c r="AC701" s="1975">
        <f t="shared" si="413"/>
        <v>2272.4826518257396</v>
      </c>
      <c r="AD701" s="1975">
        <f t="shared" si="414"/>
        <v>0</v>
      </c>
      <c r="AE701" s="1380">
        <f>'BUS Deemed Savings Table'!DI171</f>
        <v>2272.4826518257396</v>
      </c>
      <c r="AF701" s="571"/>
      <c r="AG701" s="571"/>
      <c r="AH701" s="571"/>
      <c r="AI701" s="3346" t="str">
        <f>'BUS Deemed Savings Table'!L171</f>
        <v>per measure</v>
      </c>
      <c r="AJ701" s="141"/>
      <c r="AM701" s="1596">
        <f t="shared" si="426"/>
        <v>1.3573829999999999E-4</v>
      </c>
      <c r="AN701">
        <f t="shared" si="427"/>
        <v>0.71467300856399996</v>
      </c>
      <c r="AO701" s="1595">
        <f t="shared" si="428"/>
        <v>8.5639999536368805E-9</v>
      </c>
    </row>
    <row r="702" spans="1:41" x14ac:dyDescent="0.35">
      <c r="A702" s="103" t="str">
        <f t="shared" ref="A702:A774" si="429">LEFT(B702,6)</f>
        <v>802150</v>
      </c>
      <c r="B702" s="3346" t="str">
        <f>'BUS Deemed Savings Table'!C199</f>
        <v>802150_2019_12_</v>
      </c>
      <c r="C702" s="3343" t="str">
        <f>'BUS Deemed Savings Table'!G199</f>
        <v>Refrigeration BUS</v>
      </c>
      <c r="D702" s="3343"/>
      <c r="E702" s="3343"/>
      <c r="F702" s="3343"/>
      <c r="G702" s="3343" t="str">
        <f>'BUS Deemed Savings Table'!E199</f>
        <v>Anti-Sweat Heater Controls Refrigerator</v>
      </c>
      <c r="H702" s="50" t="str">
        <f>'BUS Deemed Savings Table'!D199</f>
        <v>C&amp;I</v>
      </c>
      <c r="I702" s="1966">
        <f>'BUS Deemed Savings Table'!F199</f>
        <v>668.14</v>
      </c>
      <c r="J702" s="1966"/>
      <c r="K702" s="560"/>
      <c r="L702" s="560"/>
      <c r="M702" s="560"/>
      <c r="N702" s="560"/>
      <c r="O702" s="1967">
        <f>'BUS Deemed Savings Table'!I199</f>
        <v>9.0691999999999995E-2</v>
      </c>
      <c r="P702" s="1967"/>
      <c r="Q702" s="1968"/>
      <c r="R702" s="1968"/>
      <c r="S702" s="1968"/>
      <c r="T702" s="1968"/>
      <c r="U702" s="1969">
        <f t="shared" si="423"/>
        <v>0</v>
      </c>
      <c r="V702" s="1969">
        <f t="shared" si="424"/>
        <v>9.0691999999999995E-2</v>
      </c>
      <c r="W702" s="1969">
        <f t="shared" si="425"/>
        <v>0</v>
      </c>
      <c r="X702" s="55">
        <f>'BUS Deemed Savings Table'!J199</f>
        <v>12</v>
      </c>
      <c r="Y702" s="55"/>
      <c r="Z702" s="55">
        <f t="shared" ref="Z702:Z774" si="430">Y702+X702</f>
        <v>12</v>
      </c>
      <c r="AA702" s="49">
        <f>'BUS Deemed Savings Table'!DG199</f>
        <v>2.0234248929618919</v>
      </c>
      <c r="AB702" s="698">
        <f>'BUS Deemed Savings Table'!K199</f>
        <v>151</v>
      </c>
      <c r="AC702" s="1975">
        <f t="shared" ref="AC702:AC774" si="431">AE702+AF702</f>
        <v>288.37863033246401</v>
      </c>
      <c r="AD702" s="1975">
        <f t="shared" ref="AD702:AD774" si="432">AG702+AH702</f>
        <v>0</v>
      </c>
      <c r="AE702" s="1380">
        <f>'BUS Deemed Savings Table'!DI199</f>
        <v>288.37863033246401</v>
      </c>
      <c r="AF702" s="571"/>
      <c r="AG702" s="571"/>
      <c r="AH702" s="571"/>
      <c r="AI702" s="3346" t="str">
        <f>'BUS Deemed Savings Table'!L199</f>
        <v>per door</v>
      </c>
      <c r="AJ702" s="141"/>
      <c r="AM702" s="1596">
        <f t="shared" si="426"/>
        <v>1.3573829999999999E-4</v>
      </c>
      <c r="AN702">
        <f t="shared" si="427"/>
        <v>9.0692187761999984E-2</v>
      </c>
      <c r="AO702" s="1595">
        <f t="shared" si="428"/>
        <v>1.8776199998959964E-7</v>
      </c>
    </row>
    <row r="703" spans="1:41" x14ac:dyDescent="0.35">
      <c r="A703" s="103" t="str">
        <f t="shared" si="429"/>
        <v>802200</v>
      </c>
      <c r="B703" s="3346" t="str">
        <f>'BUS Deemed Savings Table'!C200</f>
        <v>802200_2019_12_</v>
      </c>
      <c r="C703" s="3343" t="str">
        <f>'BUS Deemed Savings Table'!G200</f>
        <v>Refrigeration BUS</v>
      </c>
      <c r="D703" s="3343"/>
      <c r="E703" s="3343"/>
      <c r="F703" s="3343"/>
      <c r="G703" s="3343" t="str">
        <f>'BUS Deemed Savings Table'!E200</f>
        <v>Anti-Sweat Heater Controls Freezer</v>
      </c>
      <c r="H703" s="50" t="str">
        <f>'BUS Deemed Savings Table'!D200</f>
        <v>C&amp;I</v>
      </c>
      <c r="I703" s="1966">
        <f>'BUS Deemed Savings Table'!F200</f>
        <v>770.93</v>
      </c>
      <c r="J703" s="1966"/>
      <c r="K703" s="560"/>
      <c r="L703" s="560"/>
      <c r="M703" s="560"/>
      <c r="N703" s="560"/>
      <c r="O703" s="1967">
        <f>'BUS Deemed Savings Table'!I200</f>
        <v>0.104645</v>
      </c>
      <c r="P703" s="1967"/>
      <c r="Q703" s="1968"/>
      <c r="R703" s="1968"/>
      <c r="S703" s="1968"/>
      <c r="T703" s="1968"/>
      <c r="U703" s="1969">
        <f t="shared" si="423"/>
        <v>0</v>
      </c>
      <c r="V703" s="1969">
        <f t="shared" si="424"/>
        <v>0.104645</v>
      </c>
      <c r="W703" s="1969">
        <f t="shared" si="425"/>
        <v>0</v>
      </c>
      <c r="X703" s="55">
        <f>'BUS Deemed Savings Table'!J200</f>
        <v>12</v>
      </c>
      <c r="Y703" s="55"/>
      <c r="Z703" s="55">
        <f t="shared" si="430"/>
        <v>12</v>
      </c>
      <c r="AA703" s="49">
        <f>'BUS Deemed Savings Table'!DG200</f>
        <v>2.3347187007679695</v>
      </c>
      <c r="AB703" s="698">
        <f>'BUS Deemed Savings Table'!K200</f>
        <v>151</v>
      </c>
      <c r="AC703" s="1975">
        <f t="shared" si="431"/>
        <v>332.7442414497059</v>
      </c>
      <c r="AD703" s="1975">
        <f t="shared" si="432"/>
        <v>0</v>
      </c>
      <c r="AE703" s="1380">
        <f>'BUS Deemed Savings Table'!DI200</f>
        <v>332.7442414497059</v>
      </c>
      <c r="AF703" s="571"/>
      <c r="AG703" s="571"/>
      <c r="AH703" s="571"/>
      <c r="AI703" s="3346" t="str">
        <f>'BUS Deemed Savings Table'!L200</f>
        <v>per door</v>
      </c>
      <c r="AJ703" s="141"/>
      <c r="AM703" s="1596">
        <f t="shared" si="426"/>
        <v>1.3573829999999999E-4</v>
      </c>
      <c r="AN703">
        <f t="shared" si="427"/>
        <v>0.10464472761899998</v>
      </c>
      <c r="AO703" s="1595">
        <f t="shared" si="428"/>
        <v>-2.723810000188065E-7</v>
      </c>
    </row>
    <row r="704" spans="1:41" x14ac:dyDescent="0.35">
      <c r="A704" s="103" t="str">
        <f t="shared" si="429"/>
        <v>802250</v>
      </c>
      <c r="B704" s="3346" t="str">
        <f>'BUS Deemed Savings Table'!C219</f>
        <v>802250_2019_12_</v>
      </c>
      <c r="C704" s="3343" t="str">
        <f>'BUS Deemed Savings Table'!G219</f>
        <v>Water Heating BUS</v>
      </c>
      <c r="D704" s="3343"/>
      <c r="E704" s="3343"/>
      <c r="F704" s="3343"/>
      <c r="G704" s="3343" t="str">
        <f>'BUS Deemed Savings Table'!E219</f>
        <v>Heat Pump Water Heater w/ 98% Efficiency 2.9-14.6 kW (10 to 50 MBH)</v>
      </c>
      <c r="H704" s="50" t="str">
        <f>'BUS Deemed Savings Table'!D219</f>
        <v>C&amp;I</v>
      </c>
      <c r="I704" s="1966">
        <f>'BUS Deemed Savings Table'!F219</f>
        <v>21156</v>
      </c>
      <c r="J704" s="1966"/>
      <c r="K704" s="560"/>
      <c r="L704" s="560"/>
      <c r="M704" s="560"/>
      <c r="N704" s="560"/>
      <c r="O704" s="1967">
        <f>'BUS Deemed Savings Table'!I219</f>
        <v>3.8325049999999998</v>
      </c>
      <c r="P704" s="1967"/>
      <c r="Q704" s="1968"/>
      <c r="R704" s="1968"/>
      <c r="S704" s="1968"/>
      <c r="T704" s="1968"/>
      <c r="U704" s="1969">
        <f t="shared" si="423"/>
        <v>0</v>
      </c>
      <c r="V704" s="1969">
        <f t="shared" si="424"/>
        <v>0</v>
      </c>
      <c r="W704" s="1969">
        <f t="shared" si="425"/>
        <v>3.8325049999999998</v>
      </c>
      <c r="X704" s="55">
        <f>'BUS Deemed Savings Table'!J219</f>
        <v>15</v>
      </c>
      <c r="Y704" s="55"/>
      <c r="Z704" s="55">
        <f t="shared" si="430"/>
        <v>15</v>
      </c>
      <c r="AA704" s="49">
        <f>'BUS Deemed Savings Table'!DG219</f>
        <v>3.4829708093921057</v>
      </c>
      <c r="AB704" s="698">
        <f>'BUS Deemed Savings Table'!K219</f>
        <v>4000</v>
      </c>
      <c r="AC704" s="1975">
        <f t="shared" si="431"/>
        <v>13149.488662169346</v>
      </c>
      <c r="AD704" s="1975">
        <f t="shared" si="432"/>
        <v>0</v>
      </c>
      <c r="AE704" s="1380">
        <f>'BUS Deemed Savings Table'!DI219</f>
        <v>13149.488662169346</v>
      </c>
      <c r="AF704" s="571"/>
      <c r="AG704" s="571"/>
      <c r="AH704" s="571"/>
      <c r="AI704" s="3346" t="str">
        <f>'BUS Deemed Savings Table'!L219</f>
        <v>per measure</v>
      </c>
      <c r="AJ704" s="141"/>
      <c r="AM704" s="1596">
        <f t="shared" si="426"/>
        <v>1.811545E-4</v>
      </c>
      <c r="AN704">
        <f t="shared" si="427"/>
        <v>3.8325046020000002</v>
      </c>
      <c r="AO704" s="1595">
        <f t="shared" si="428"/>
        <v>-3.9799999962397692E-7</v>
      </c>
    </row>
    <row r="705" spans="1:41" x14ac:dyDescent="0.35">
      <c r="A705" s="103" t="str">
        <f t="shared" si="429"/>
        <v>802300</v>
      </c>
      <c r="B705" s="3346" t="str">
        <f>'BUS Deemed Savings Table'!C220</f>
        <v>802300_2019_12_</v>
      </c>
      <c r="C705" s="3343" t="str">
        <f>'BUS Deemed Savings Table'!G220</f>
        <v>Water Heating BUS</v>
      </c>
      <c r="D705" s="3343"/>
      <c r="E705" s="3343"/>
      <c r="F705" s="3343"/>
      <c r="G705" s="3343" t="str">
        <f>'BUS Deemed Savings Table'!E220</f>
        <v>Heat Pump Water Heater w/ 98% Efficiency 14.7-29.3 kW (50 to 100 MBH)</v>
      </c>
      <c r="H705" s="50" t="str">
        <f>'BUS Deemed Savings Table'!D220</f>
        <v>C&amp;I</v>
      </c>
      <c r="I705" s="1966">
        <f>'BUS Deemed Savings Table'!F220</f>
        <v>52890</v>
      </c>
      <c r="J705" s="1966"/>
      <c r="K705" s="560"/>
      <c r="L705" s="560"/>
      <c r="M705" s="560"/>
      <c r="N705" s="560"/>
      <c r="O705" s="1967">
        <f>'BUS Deemed Savings Table'!I220</f>
        <v>9.5812620000000006</v>
      </c>
      <c r="P705" s="1967"/>
      <c r="Q705" s="1968"/>
      <c r="R705" s="1968"/>
      <c r="S705" s="1968"/>
      <c r="T705" s="1968"/>
      <c r="U705" s="1969">
        <f t="shared" si="423"/>
        <v>0</v>
      </c>
      <c r="V705" s="1969">
        <f t="shared" si="424"/>
        <v>0</v>
      </c>
      <c r="W705" s="1969">
        <f t="shared" si="425"/>
        <v>9.5812620000000006</v>
      </c>
      <c r="X705" s="55">
        <f>'BUS Deemed Savings Table'!J220</f>
        <v>15</v>
      </c>
      <c r="Y705" s="55"/>
      <c r="Z705" s="55">
        <f t="shared" si="430"/>
        <v>15</v>
      </c>
      <c r="AA705" s="49">
        <f>'BUS Deemed Savings Table'!DG220</f>
        <v>4.9756725848458654</v>
      </c>
      <c r="AB705" s="698">
        <f>'BUS Deemed Savings Table'!K220</f>
        <v>7000</v>
      </c>
      <c r="AC705" s="1975">
        <f t="shared" si="431"/>
        <v>32873.72165542336</v>
      </c>
      <c r="AD705" s="1975">
        <f t="shared" si="432"/>
        <v>0</v>
      </c>
      <c r="AE705" s="1380">
        <f>'BUS Deemed Savings Table'!DI220</f>
        <v>32873.72165542336</v>
      </c>
      <c r="AF705" s="571"/>
      <c r="AG705" s="571"/>
      <c r="AH705" s="571"/>
      <c r="AI705" s="3346" t="str">
        <f>'BUS Deemed Savings Table'!L220</f>
        <v>per measure</v>
      </c>
      <c r="AJ705" s="141"/>
      <c r="AM705" s="1596">
        <f t="shared" si="426"/>
        <v>1.811545E-4</v>
      </c>
      <c r="AN705">
        <f t="shared" si="427"/>
        <v>9.5812615050000005</v>
      </c>
      <c r="AO705" s="1595">
        <f t="shared" si="428"/>
        <v>-4.9500000010027634E-7</v>
      </c>
    </row>
    <row r="706" spans="1:41" x14ac:dyDescent="0.35">
      <c r="A706" s="103" t="str">
        <f t="shared" si="429"/>
        <v>802350</v>
      </c>
      <c r="B706" s="3346" t="str">
        <f>'BUS Deemed Savings Table'!C221</f>
        <v>802350_2019_12_</v>
      </c>
      <c r="C706" s="3343" t="str">
        <f>'BUS Deemed Savings Table'!G221</f>
        <v>Water Heating BUS</v>
      </c>
      <c r="D706" s="3343"/>
      <c r="E706" s="3343"/>
      <c r="F706" s="3343"/>
      <c r="G706" s="3343" t="str">
        <f>'BUS Deemed Savings Table'!E221</f>
        <v>Heat Pump Water Heater w/ 98% Efficiency 29.4-87.9 kW (100 to 300 MBH)</v>
      </c>
      <c r="H706" s="50" t="str">
        <f>'BUS Deemed Savings Table'!D221</f>
        <v>C&amp;I</v>
      </c>
      <c r="I706" s="1966">
        <f>'BUS Deemed Savings Table'!F221</f>
        <v>141041</v>
      </c>
      <c r="J706" s="1966"/>
      <c r="K706" s="560"/>
      <c r="L706" s="560"/>
      <c r="M706" s="560"/>
      <c r="N706" s="560"/>
      <c r="O706" s="1967">
        <f>'BUS Deemed Savings Table'!I221</f>
        <v>25.550211999999998</v>
      </c>
      <c r="P706" s="1967"/>
      <c r="Q706" s="1968"/>
      <c r="R706" s="1968"/>
      <c r="S706" s="1968"/>
      <c r="T706" s="1968"/>
      <c r="U706" s="1969">
        <f t="shared" si="423"/>
        <v>0</v>
      </c>
      <c r="V706" s="1969">
        <f t="shared" si="424"/>
        <v>0</v>
      </c>
      <c r="W706" s="1969">
        <f t="shared" si="425"/>
        <v>25.550211999999998</v>
      </c>
      <c r="X706" s="55">
        <f>'BUS Deemed Savings Table'!J221</f>
        <v>15</v>
      </c>
      <c r="Y706" s="55"/>
      <c r="Z706" s="55">
        <f t="shared" si="430"/>
        <v>15</v>
      </c>
      <c r="AA706" s="49">
        <f>'BUS Deemed Savings Table'!DG221</f>
        <v>9.2879880114855737</v>
      </c>
      <c r="AB706" s="698">
        <f>'BUS Deemed Savings Table'!K221</f>
        <v>10000</v>
      </c>
      <c r="AC706" s="1975">
        <f t="shared" si="431"/>
        <v>87663.879296701954</v>
      </c>
      <c r="AD706" s="1975">
        <f t="shared" si="432"/>
        <v>0</v>
      </c>
      <c r="AE706" s="1380">
        <f>'BUS Deemed Savings Table'!DI221</f>
        <v>87663.879296701954</v>
      </c>
      <c r="AF706" s="571"/>
      <c r="AG706" s="571"/>
      <c r="AH706" s="571"/>
      <c r="AI706" s="3346" t="str">
        <f>'BUS Deemed Savings Table'!L221</f>
        <v>per measure</v>
      </c>
      <c r="AJ706" s="141"/>
      <c r="AM706" s="1596">
        <f t="shared" si="426"/>
        <v>1.811545E-4</v>
      </c>
      <c r="AN706">
        <f t="shared" si="427"/>
        <v>25.550211834500001</v>
      </c>
      <c r="AO706" s="1595">
        <f t="shared" si="428"/>
        <v>-1.6549999770631985E-7</v>
      </c>
    </row>
    <row r="707" spans="1:41" x14ac:dyDescent="0.35">
      <c r="A707" s="103" t="str">
        <f t="shared" si="429"/>
        <v>802400</v>
      </c>
      <c r="B707" s="3346" t="str">
        <f>'BUS Deemed Savings Table'!C222</f>
        <v>802400_2019_12_</v>
      </c>
      <c r="C707" s="3343" t="str">
        <f>'BUS Deemed Savings Table'!G222</f>
        <v>Water Heating BUS</v>
      </c>
      <c r="D707" s="3343"/>
      <c r="E707" s="3343"/>
      <c r="F707" s="3343"/>
      <c r="G707" s="3343" t="str">
        <f>'BUS Deemed Savings Table'!E222</f>
        <v>Heat Pump Water Heater w/ 98% Efficiency 88-146.5 kW (300 to 500 MBH)</v>
      </c>
      <c r="H707" s="50" t="str">
        <f>'BUS Deemed Savings Table'!D222</f>
        <v>C&amp;I</v>
      </c>
      <c r="I707" s="1966">
        <f>'BUS Deemed Savings Table'!F222</f>
        <v>282081</v>
      </c>
      <c r="J707" s="1966"/>
      <c r="K707" s="560"/>
      <c r="L707" s="560"/>
      <c r="M707" s="560"/>
      <c r="N707" s="560"/>
      <c r="O707" s="1967">
        <f>'BUS Deemed Savings Table'!I222</f>
        <v>51.100242999999999</v>
      </c>
      <c r="P707" s="1967"/>
      <c r="Q707" s="1968"/>
      <c r="R707" s="1968"/>
      <c r="S707" s="1968"/>
      <c r="T707" s="1968"/>
      <c r="U707" s="1969">
        <f t="shared" si="423"/>
        <v>0</v>
      </c>
      <c r="V707" s="1969">
        <f t="shared" si="424"/>
        <v>0</v>
      </c>
      <c r="W707" s="1969">
        <f t="shared" si="425"/>
        <v>51.100242999999999</v>
      </c>
      <c r="X707" s="55">
        <f>'BUS Deemed Savings Table'!J222</f>
        <v>15</v>
      </c>
      <c r="Y707" s="55"/>
      <c r="Z707" s="55">
        <f t="shared" si="430"/>
        <v>15</v>
      </c>
      <c r="AA707" s="49">
        <f>'BUS Deemed Savings Table'!DG222</f>
        <v>13.268507264188944</v>
      </c>
      <c r="AB707" s="698">
        <f>'BUS Deemed Savings Table'!K222</f>
        <v>14000</v>
      </c>
      <c r="AC707" s="1975">
        <f t="shared" si="431"/>
        <v>175327.13704449759</v>
      </c>
      <c r="AD707" s="1975">
        <f t="shared" si="432"/>
        <v>0</v>
      </c>
      <c r="AE707" s="1380">
        <f>'BUS Deemed Savings Table'!DI222</f>
        <v>175327.13704449759</v>
      </c>
      <c r="AF707" s="571"/>
      <c r="AG707" s="571"/>
      <c r="AH707" s="571"/>
      <c r="AI707" s="3346" t="str">
        <f>'BUS Deemed Savings Table'!L222</f>
        <v>per measure</v>
      </c>
      <c r="AJ707" s="141"/>
      <c r="AM707" s="1596">
        <f t="shared" si="426"/>
        <v>1.811545E-4</v>
      </c>
      <c r="AN707">
        <f t="shared" si="427"/>
        <v>51.100242514500003</v>
      </c>
      <c r="AO707" s="1595">
        <f t="shared" si="428"/>
        <v>-4.8549999576152914E-7</v>
      </c>
    </row>
    <row r="708" spans="1:41" x14ac:dyDescent="0.35">
      <c r="A708" s="103" t="str">
        <f t="shared" si="429"/>
        <v>802450</v>
      </c>
      <c r="B708" s="3346" t="str">
        <f>'BUS Deemed Savings Table'!C223</f>
        <v>802450_2019_12_</v>
      </c>
      <c r="C708" s="3343" t="str">
        <f>'BUS Deemed Savings Table'!G223</f>
        <v>Water Heating BUS</v>
      </c>
      <c r="D708" s="3343"/>
      <c r="E708" s="3343"/>
      <c r="F708" s="3343"/>
      <c r="G708" s="3343" t="str">
        <f>'BUS Deemed Savings Table'!E223</f>
        <v>Heat Pump Water Heater w/ 98% Efficiency &gt;146.6 kW (above 500 MBH)</v>
      </c>
      <c r="H708" s="50" t="str">
        <f>'BUS Deemed Savings Table'!D223</f>
        <v>C&amp;I</v>
      </c>
      <c r="I708" s="1966">
        <f>'BUS Deemed Savings Table'!F223</f>
        <v>423122</v>
      </c>
      <c r="J708" s="1966"/>
      <c r="K708" s="560"/>
      <c r="L708" s="560"/>
      <c r="M708" s="560"/>
      <c r="N708" s="560"/>
      <c r="O708" s="1967">
        <f>'BUS Deemed Savings Table'!I223</f>
        <v>76.650453999999996</v>
      </c>
      <c r="P708" s="1967"/>
      <c r="Q708" s="1968"/>
      <c r="R708" s="1968"/>
      <c r="S708" s="1968"/>
      <c r="T708" s="1968"/>
      <c r="U708" s="1969">
        <f t="shared" si="423"/>
        <v>0</v>
      </c>
      <c r="V708" s="1969">
        <f t="shared" si="424"/>
        <v>0</v>
      </c>
      <c r="W708" s="1969">
        <f t="shared" si="425"/>
        <v>76.650453999999996</v>
      </c>
      <c r="X708" s="55">
        <f>'BUS Deemed Savings Table'!J223</f>
        <v>15</v>
      </c>
      <c r="Y708" s="55"/>
      <c r="Z708" s="55">
        <f t="shared" si="430"/>
        <v>15</v>
      </c>
      <c r="AA708" s="49">
        <f>'BUS Deemed Savings Table'!DG223</f>
        <v>15.479943434083387</v>
      </c>
      <c r="AB708" s="698">
        <f>'BUS Deemed Savings Table'!K223</f>
        <v>18000</v>
      </c>
      <c r="AC708" s="1975">
        <f t="shared" si="431"/>
        <v>262991.01634119957</v>
      </c>
      <c r="AD708" s="1975">
        <f t="shared" si="432"/>
        <v>0</v>
      </c>
      <c r="AE708" s="1380">
        <f>'BUS Deemed Savings Table'!DI223</f>
        <v>262991.01634119957</v>
      </c>
      <c r="AF708" s="571"/>
      <c r="AG708" s="571"/>
      <c r="AH708" s="571"/>
      <c r="AI708" s="3346" t="str">
        <f>'BUS Deemed Savings Table'!L223</f>
        <v>per measure</v>
      </c>
      <c r="AJ708" s="141"/>
      <c r="AM708" s="1596">
        <f t="shared" si="426"/>
        <v>1.811545E-4</v>
      </c>
      <c r="AN708">
        <f t="shared" si="427"/>
        <v>76.650454349</v>
      </c>
      <c r="AO708" s="1595">
        <f t="shared" si="428"/>
        <v>3.4900000400739373E-7</v>
      </c>
    </row>
    <row r="709" spans="1:41" x14ac:dyDescent="0.35">
      <c r="A709" s="103" t="str">
        <f t="shared" si="429"/>
        <v>802500</v>
      </c>
      <c r="B709" s="3346" t="str">
        <f>'BUS Deemed Savings Table'!C243</f>
        <v>802500_2019_12_</v>
      </c>
      <c r="C709" s="3343" t="str">
        <f>'BUS Deemed Savings Table'!G243</f>
        <v>Water Heating BUS</v>
      </c>
      <c r="D709" s="3343"/>
      <c r="E709" s="3343"/>
      <c r="F709" s="3343"/>
      <c r="G709" s="3343" t="str">
        <f>'BUS Deemed Savings Table'!E243</f>
        <v>Pool Heater Heat Pump (Uncovered)</v>
      </c>
      <c r="H709" s="50" t="str">
        <f>'BUS Deemed Savings Table'!D243</f>
        <v>C&amp;I</v>
      </c>
      <c r="I709" s="1966">
        <f>'BUS Deemed Savings Table'!F243</f>
        <v>35272.879999999997</v>
      </c>
      <c r="J709" s="1966"/>
      <c r="K709" s="560"/>
      <c r="L709" s="560"/>
      <c r="M709" s="560"/>
      <c r="N709" s="560"/>
      <c r="O709" s="1967">
        <f>'BUS Deemed Savings Table'!I243</f>
        <v>6.3898409999999997</v>
      </c>
      <c r="P709" s="1967"/>
      <c r="Q709" s="1968"/>
      <c r="R709" s="1968"/>
      <c r="S709" s="1968"/>
      <c r="T709" s="1968"/>
      <c r="U709" s="1969">
        <f t="shared" si="423"/>
        <v>0</v>
      </c>
      <c r="V709" s="1969">
        <f t="shared" si="424"/>
        <v>0</v>
      </c>
      <c r="W709" s="1969">
        <f t="shared" si="425"/>
        <v>6.3898409999999997</v>
      </c>
      <c r="X709" s="55">
        <f>'BUS Deemed Savings Table'!J243</f>
        <v>15</v>
      </c>
      <c r="Y709" s="55"/>
      <c r="Z709" s="55">
        <f t="shared" si="430"/>
        <v>15</v>
      </c>
      <c r="AA709" s="49">
        <f>'BUS Deemed Savings Table'!DG243</f>
        <v>23.22828727608066</v>
      </c>
      <c r="AB709" s="698">
        <f>'BUS Deemed Savings Table'!K243</f>
        <v>1000</v>
      </c>
      <c r="AC709" s="1975">
        <f t="shared" si="431"/>
        <v>21923.819986862349</v>
      </c>
      <c r="AD709" s="1975">
        <f t="shared" si="432"/>
        <v>0</v>
      </c>
      <c r="AE709" s="1380">
        <f>'BUS Deemed Savings Table'!DI243</f>
        <v>21923.819986862349</v>
      </c>
      <c r="AF709" s="571"/>
      <c r="AG709" s="571"/>
      <c r="AH709" s="571"/>
      <c r="AI709" s="3346" t="str">
        <f>'BUS Deemed Savings Table'!L243</f>
        <v>per measure</v>
      </c>
      <c r="AJ709" s="141"/>
      <c r="AM709" s="1596">
        <f t="shared" si="426"/>
        <v>1.811545E-4</v>
      </c>
      <c r="AN709">
        <f t="shared" si="427"/>
        <v>6.38984093996</v>
      </c>
      <c r="AO709" s="1595">
        <f t="shared" si="428"/>
        <v>-6.0039999638661357E-8</v>
      </c>
    </row>
    <row r="710" spans="1:41" x14ac:dyDescent="0.35">
      <c r="A710" s="103" t="str">
        <f t="shared" si="429"/>
        <v>802550</v>
      </c>
      <c r="B710" s="3346" t="str">
        <f>'BUS Deemed Savings Table'!C244</f>
        <v>802550_2019_12_</v>
      </c>
      <c r="C710" s="3343" t="str">
        <f>'BUS Deemed Savings Table'!G244</f>
        <v>Water Heating BUS</v>
      </c>
      <c r="D710" s="3343"/>
      <c r="E710" s="3343"/>
      <c r="F710" s="3343"/>
      <c r="G710" s="3343" t="str">
        <f>'BUS Deemed Savings Table'!E244</f>
        <v>Pool Heater Heat Pump (Covered)</v>
      </c>
      <c r="H710" s="50" t="str">
        <f>'BUS Deemed Savings Table'!D244</f>
        <v>C&amp;I</v>
      </c>
      <c r="I710" s="1966">
        <f>'BUS Deemed Savings Table'!F244</f>
        <v>6206.88</v>
      </c>
      <c r="J710" s="1966"/>
      <c r="K710" s="560"/>
      <c r="L710" s="560"/>
      <c r="M710" s="560"/>
      <c r="N710" s="560"/>
      <c r="O710" s="1967">
        <f>'BUS Deemed Savings Table'!I244</f>
        <v>1.124404</v>
      </c>
      <c r="P710" s="1967"/>
      <c r="Q710" s="1968"/>
      <c r="R710" s="1968"/>
      <c r="S710" s="1968"/>
      <c r="T710" s="1968"/>
      <c r="U710" s="1969">
        <f t="shared" ref="U710:U743" si="433">IF(V710+W710&gt;0,0,IF(Z710&gt;0,O710,0))</f>
        <v>0</v>
      </c>
      <c r="V710" s="1969">
        <f t="shared" ref="V710:V743" si="434">IF(W710&gt;0,0,IF(Z710&gt;9,O710,0))</f>
        <v>0</v>
      </c>
      <c r="W710" s="1969">
        <f t="shared" ref="W710:W743" si="435">IF(Z710&gt;14,O710,0)</f>
        <v>1.124404</v>
      </c>
      <c r="X710" s="55">
        <f>'BUS Deemed Savings Table'!J244</f>
        <v>15</v>
      </c>
      <c r="Y710" s="55"/>
      <c r="Z710" s="55">
        <f t="shared" si="430"/>
        <v>15</v>
      </c>
      <c r="AA710" s="49">
        <f>'BUS Deemed Savings Table'!DG244</f>
        <v>4.0874233044809367</v>
      </c>
      <c r="AB710" s="698">
        <f>'BUS Deemed Savings Table'!K244</f>
        <v>1000</v>
      </c>
      <c r="AC710" s="1975">
        <f t="shared" si="431"/>
        <v>3857.8794756780899</v>
      </c>
      <c r="AD710" s="1975">
        <f t="shared" si="432"/>
        <v>0</v>
      </c>
      <c r="AE710" s="1380">
        <f>'BUS Deemed Savings Table'!DI244</f>
        <v>3857.8794756780899</v>
      </c>
      <c r="AF710" s="571"/>
      <c r="AG710" s="571"/>
      <c r="AH710" s="571"/>
      <c r="AI710" s="3346" t="str">
        <f>'BUS Deemed Savings Table'!L244</f>
        <v>per measure</v>
      </c>
      <c r="AJ710" s="141"/>
      <c r="AM710" s="1596">
        <f t="shared" si="426"/>
        <v>1.811545E-4</v>
      </c>
      <c r="AN710">
        <f t="shared" si="427"/>
        <v>1.1244042429600001</v>
      </c>
      <c r="AO710" s="1595">
        <f t="shared" si="428"/>
        <v>2.4296000011858609E-7</v>
      </c>
    </row>
    <row r="711" spans="1:41" x14ac:dyDescent="0.35">
      <c r="A711" s="103" t="str">
        <f t="shared" si="429"/>
        <v>802600</v>
      </c>
      <c r="B711" s="3346" t="str">
        <f>'BUS Deemed Savings Table'!C261</f>
        <v>802600_2019_12_</v>
      </c>
      <c r="C711" s="3343" t="str">
        <f>'BUS Deemed Savings Table'!G261</f>
        <v>Motors BUS</v>
      </c>
      <c r="D711" s="3343"/>
      <c r="E711" s="3343"/>
      <c r="F711" s="3343"/>
      <c r="G711" s="3343" t="str">
        <f>'BUS Deemed Savings Table'!E261</f>
        <v>Pool Pump w/ Variable Frequency Drive</v>
      </c>
      <c r="H711" s="50" t="str">
        <f>'BUS Deemed Savings Table'!D261</f>
        <v>C&amp;I</v>
      </c>
      <c r="I711" s="1966">
        <f>'BUS Deemed Savings Table'!F261</f>
        <v>1747</v>
      </c>
      <c r="J711" s="1966"/>
      <c r="K711" s="560"/>
      <c r="L711" s="560"/>
      <c r="M711" s="560"/>
      <c r="N711" s="560"/>
      <c r="O711" s="1967">
        <f>'BUS Deemed Savings Table'!I261</f>
        <v>0.24098800000000001</v>
      </c>
      <c r="P711" s="1967"/>
      <c r="Q711" s="1968"/>
      <c r="R711" s="1968"/>
      <c r="S711" s="1968"/>
      <c r="T711" s="1968"/>
      <c r="U711" s="1969">
        <f t="shared" si="433"/>
        <v>0</v>
      </c>
      <c r="V711" s="1969">
        <f t="shared" si="434"/>
        <v>0.24098800000000001</v>
      </c>
      <c r="W711" s="1969">
        <f t="shared" si="435"/>
        <v>0</v>
      </c>
      <c r="X711" s="55">
        <f>'BUS Deemed Savings Table'!J261</f>
        <v>10</v>
      </c>
      <c r="Y711" s="55"/>
      <c r="Z711" s="55">
        <f t="shared" si="430"/>
        <v>10</v>
      </c>
      <c r="AA711" s="49">
        <f>'BUS Deemed Savings Table'!DG261</f>
        <v>2.7622108030354626</v>
      </c>
      <c r="AB711" s="698">
        <f>'BUS Deemed Savings Table'!K261</f>
        <v>246</v>
      </c>
      <c r="AC711" s="1975">
        <f t="shared" si="431"/>
        <v>641.3438957496212</v>
      </c>
      <c r="AD711" s="1975">
        <f t="shared" si="432"/>
        <v>0</v>
      </c>
      <c r="AE711" s="1380">
        <f>'BUS Deemed Savings Table'!DI261</f>
        <v>641.3438957496212</v>
      </c>
      <c r="AF711" s="571"/>
      <c r="AG711" s="571"/>
      <c r="AH711" s="571"/>
      <c r="AI711" s="3346" t="str">
        <f>'BUS Deemed Savings Table'!L261</f>
        <v>per measure</v>
      </c>
      <c r="AJ711" s="141"/>
      <c r="AM711" s="1596">
        <f t="shared" si="426"/>
        <v>1.379439E-4</v>
      </c>
      <c r="AN711">
        <f t="shared" si="427"/>
        <v>0.24098799330000001</v>
      </c>
      <c r="AO711" s="1595">
        <f t="shared" si="428"/>
        <v>-6.6999999992489734E-9</v>
      </c>
    </row>
    <row r="712" spans="1:41" x14ac:dyDescent="0.35">
      <c r="A712" s="103" t="str">
        <f t="shared" si="429"/>
        <v>802650</v>
      </c>
      <c r="B712" s="3346" t="str">
        <f>'BUS Deemed Savings Table'!C275</f>
        <v>802650_2019_12_</v>
      </c>
      <c r="C712" s="3343" t="str">
        <f>'BUS Deemed Savings Table'!G275</f>
        <v>Motors BUS</v>
      </c>
      <c r="D712" s="3343"/>
      <c r="E712" s="3343"/>
      <c r="F712" s="3343"/>
      <c r="G712" s="3343" t="str">
        <f>'BUS Deemed Savings Table'!E275</f>
        <v>Pool Pump Timer</v>
      </c>
      <c r="H712" s="50" t="str">
        <f>'BUS Deemed Savings Table'!D275</f>
        <v>C&amp;I</v>
      </c>
      <c r="I712" s="1966">
        <f>'BUS Deemed Savings Table'!F275</f>
        <v>601.28</v>
      </c>
      <c r="J712" s="1966"/>
      <c r="K712" s="560"/>
      <c r="L712" s="560"/>
      <c r="M712" s="560"/>
      <c r="N712" s="560"/>
      <c r="O712" s="1967">
        <f>'BUS Deemed Savings Table'!I275</f>
        <v>8.2943000000000003E-2</v>
      </c>
      <c r="P712" s="1967"/>
      <c r="Q712" s="1968"/>
      <c r="R712" s="1968"/>
      <c r="S712" s="1968"/>
      <c r="T712" s="1968"/>
      <c r="U712" s="1969">
        <f t="shared" si="433"/>
        <v>0</v>
      </c>
      <c r="V712" s="1969">
        <f t="shared" si="434"/>
        <v>8.2943000000000003E-2</v>
      </c>
      <c r="W712" s="1969">
        <f t="shared" si="435"/>
        <v>0</v>
      </c>
      <c r="X712" s="55">
        <f>'BUS Deemed Savings Table'!J275</f>
        <v>10</v>
      </c>
      <c r="Y712" s="55"/>
      <c r="Z712" s="55">
        <f t="shared" si="430"/>
        <v>10</v>
      </c>
      <c r="AA712" s="49">
        <f>'BUS Deemed Savings Table'!DG275</f>
        <v>2.3387068086187406</v>
      </c>
      <c r="AB712" s="698">
        <f>'BUS Deemed Savings Table'!K275</f>
        <v>100</v>
      </c>
      <c r="AC712" s="1975">
        <f t="shared" si="431"/>
        <v>220.7368389446664</v>
      </c>
      <c r="AD712" s="1975">
        <f t="shared" si="432"/>
        <v>0</v>
      </c>
      <c r="AE712" s="1380">
        <f>'BUS Deemed Savings Table'!DI275</f>
        <v>220.7368389446664</v>
      </c>
      <c r="AF712" s="571"/>
      <c r="AG712" s="571"/>
      <c r="AH712" s="571"/>
      <c r="AI712" s="3346" t="str">
        <f>'BUS Deemed Savings Table'!L275</f>
        <v>per measure</v>
      </c>
      <c r="AJ712" s="141"/>
      <c r="AM712" s="1596">
        <f t="shared" si="426"/>
        <v>1.379439E-4</v>
      </c>
      <c r="AN712">
        <f t="shared" si="427"/>
        <v>8.2942908191999995E-2</v>
      </c>
      <c r="AO712" s="1595">
        <f t="shared" si="428"/>
        <v>-9.1808000007853607E-8</v>
      </c>
    </row>
    <row r="713" spans="1:41" x14ac:dyDescent="0.35">
      <c r="A713" s="103" t="str">
        <f t="shared" si="429"/>
        <v>802700</v>
      </c>
      <c r="B713" s="3346" t="str">
        <f>'BUS Deemed Savings Table'!C291</f>
        <v>802700_2019_12_</v>
      </c>
      <c r="C713" s="3343" t="str">
        <f>'BUS Deemed Savings Table'!G291</f>
        <v>Cooking BUS</v>
      </c>
      <c r="D713" s="3343"/>
      <c r="E713" s="3343"/>
      <c r="F713" s="3343"/>
      <c r="G713" s="3343" t="str">
        <f>'BUS Deemed Savings Table'!E291</f>
        <v>3 Pan ENERGY STAR Steam Cooker</v>
      </c>
      <c r="H713" s="50" t="str">
        <f>'BUS Deemed Savings Table'!D291</f>
        <v>C&amp;I</v>
      </c>
      <c r="I713" s="1966">
        <f>'BUS Deemed Savings Table'!F291</f>
        <v>7856.31</v>
      </c>
      <c r="J713" s="1966"/>
      <c r="K713" s="560"/>
      <c r="L713" s="560"/>
      <c r="M713" s="560"/>
      <c r="N713" s="560"/>
      <c r="O713" s="1967">
        <f>'BUS Deemed Savings Table'!I291</f>
        <v>1.5704359999999999</v>
      </c>
      <c r="P713" s="1967"/>
      <c r="Q713" s="1968"/>
      <c r="R713" s="1968"/>
      <c r="S713" s="1968"/>
      <c r="T713" s="1968"/>
      <c r="U713" s="1969">
        <f t="shared" si="433"/>
        <v>0</v>
      </c>
      <c r="V713" s="1969">
        <f t="shared" si="434"/>
        <v>1.5704359999999999</v>
      </c>
      <c r="W713" s="1969">
        <f t="shared" si="435"/>
        <v>0</v>
      </c>
      <c r="X713" s="55">
        <f>'BUS Deemed Savings Table'!J291</f>
        <v>12</v>
      </c>
      <c r="Y713" s="55"/>
      <c r="Z713" s="55">
        <f t="shared" si="430"/>
        <v>12</v>
      </c>
      <c r="AA713" s="49">
        <f>'BUS Deemed Savings Table'!DG291</f>
        <v>1.0132014975444408</v>
      </c>
      <c r="AB713" s="698">
        <f>'BUS Deemed Savings Table'!K291</f>
        <v>4150</v>
      </c>
      <c r="AC713" s="1975">
        <f t="shared" si="431"/>
        <v>3968.65145333594</v>
      </c>
      <c r="AD713" s="1975">
        <f t="shared" si="432"/>
        <v>0</v>
      </c>
      <c r="AE713" s="1380">
        <f>'BUS Deemed Savings Table'!DI291</f>
        <v>3968.65145333594</v>
      </c>
      <c r="AF713" s="571"/>
      <c r="AG713" s="571"/>
      <c r="AH713" s="571"/>
      <c r="AI713" s="3346" t="str">
        <f>'BUS Deemed Savings Table'!L291</f>
        <v>per measure</v>
      </c>
      <c r="AJ713" s="141"/>
      <c r="AM713" s="1596">
        <f t="shared" si="426"/>
        <v>1.998949E-4</v>
      </c>
      <c r="AN713">
        <f t="shared" si="427"/>
        <v>1.5704363018190002</v>
      </c>
      <c r="AO713" s="1595">
        <f t="shared" si="428"/>
        <v>3.0181900023684705E-7</v>
      </c>
    </row>
    <row r="714" spans="1:41" x14ac:dyDescent="0.35">
      <c r="A714" s="103" t="str">
        <f t="shared" si="429"/>
        <v>802750</v>
      </c>
      <c r="B714" s="3346" t="str">
        <f>'BUS Deemed Savings Table'!C292</f>
        <v>802750_2019_12_</v>
      </c>
      <c r="C714" s="3343" t="str">
        <f>'BUS Deemed Savings Table'!G292</f>
        <v>Cooking BUS</v>
      </c>
      <c r="D714" s="3343"/>
      <c r="E714" s="3343"/>
      <c r="F714" s="3343"/>
      <c r="G714" s="3343" t="str">
        <f>'BUS Deemed Savings Table'!E292</f>
        <v>4 Pan ENERGY STAR Steam Cooker</v>
      </c>
      <c r="H714" s="50" t="str">
        <f>'BUS Deemed Savings Table'!D292</f>
        <v>C&amp;I</v>
      </c>
      <c r="I714" s="1966">
        <f>'BUS Deemed Savings Table'!F292</f>
        <v>9213.5</v>
      </c>
      <c r="J714" s="1966"/>
      <c r="K714" s="560"/>
      <c r="L714" s="560"/>
      <c r="M714" s="560"/>
      <c r="N714" s="560"/>
      <c r="O714" s="1967">
        <f>'BUS Deemed Savings Table'!I292</f>
        <v>1.8417319999999999</v>
      </c>
      <c r="P714" s="1967"/>
      <c r="Q714" s="1968"/>
      <c r="R714" s="1968"/>
      <c r="S714" s="1968"/>
      <c r="T714" s="1968"/>
      <c r="U714" s="1969">
        <f t="shared" si="433"/>
        <v>0</v>
      </c>
      <c r="V714" s="1969">
        <f t="shared" si="434"/>
        <v>1.8417319999999999</v>
      </c>
      <c r="W714" s="1969">
        <f t="shared" si="435"/>
        <v>0</v>
      </c>
      <c r="X714" s="55">
        <f>'BUS Deemed Savings Table'!J292</f>
        <v>12</v>
      </c>
      <c r="Y714" s="55"/>
      <c r="Z714" s="55">
        <f t="shared" si="430"/>
        <v>12</v>
      </c>
      <c r="AA714" s="49">
        <f>'BUS Deemed Savings Table'!DG292</f>
        <v>1.188233661556851</v>
      </c>
      <c r="AB714" s="698">
        <f>'BUS Deemed Savings Table'!K292</f>
        <v>4150</v>
      </c>
      <c r="AC714" s="1975">
        <f t="shared" si="431"/>
        <v>4654.2422798121106</v>
      </c>
      <c r="AD714" s="1975">
        <f t="shared" si="432"/>
        <v>0</v>
      </c>
      <c r="AE714" s="1380">
        <f>'BUS Deemed Savings Table'!DI292</f>
        <v>4654.2422798121106</v>
      </c>
      <c r="AF714" s="571"/>
      <c r="AG714" s="571"/>
      <c r="AH714" s="571"/>
      <c r="AI714" s="3346" t="str">
        <f>'BUS Deemed Savings Table'!L292</f>
        <v>per measure</v>
      </c>
      <c r="AJ714" s="141"/>
      <c r="AM714" s="1596">
        <f t="shared" si="426"/>
        <v>1.998949E-4</v>
      </c>
      <c r="AN714">
        <f t="shared" si="427"/>
        <v>1.8417316611500001</v>
      </c>
      <c r="AO714" s="1595">
        <f t="shared" si="428"/>
        <v>-3.3884999983690989E-7</v>
      </c>
    </row>
    <row r="715" spans="1:41" x14ac:dyDescent="0.35">
      <c r="A715" s="103" t="str">
        <f t="shared" si="429"/>
        <v>802800</v>
      </c>
      <c r="B715" s="3346" t="str">
        <f>'BUS Deemed Savings Table'!C293</f>
        <v>802800_2019_12_</v>
      </c>
      <c r="C715" s="3343" t="str">
        <f>'BUS Deemed Savings Table'!G293</f>
        <v>Cooking BUS</v>
      </c>
      <c r="D715" s="3343"/>
      <c r="E715" s="3343"/>
      <c r="F715" s="3343"/>
      <c r="G715" s="3343" t="str">
        <f>'BUS Deemed Savings Table'!E293</f>
        <v>5 Pan ENERGY STAR Steam Cooker</v>
      </c>
      <c r="H715" s="50" t="str">
        <f>'BUS Deemed Savings Table'!D293</f>
        <v>C&amp;I</v>
      </c>
      <c r="I715" s="1966">
        <f>'BUS Deemed Savings Table'!F293</f>
        <v>10512.97</v>
      </c>
      <c r="J715" s="1966"/>
      <c r="K715" s="560"/>
      <c r="L715" s="560"/>
      <c r="M715" s="560"/>
      <c r="N715" s="560"/>
      <c r="O715" s="1967">
        <f>'BUS Deemed Savings Table'!I293</f>
        <v>2.1014889999999999</v>
      </c>
      <c r="P715" s="1967"/>
      <c r="Q715" s="1968"/>
      <c r="R715" s="1968"/>
      <c r="S715" s="1968"/>
      <c r="T715" s="1968"/>
      <c r="U715" s="1969">
        <f t="shared" si="433"/>
        <v>0</v>
      </c>
      <c r="V715" s="1969">
        <f t="shared" si="434"/>
        <v>2.1014889999999999</v>
      </c>
      <c r="W715" s="1969">
        <f t="shared" si="435"/>
        <v>0</v>
      </c>
      <c r="X715" s="55">
        <f>'BUS Deemed Savings Table'!J293</f>
        <v>12</v>
      </c>
      <c r="Y715" s="55"/>
      <c r="Z715" s="55">
        <f t="shared" si="430"/>
        <v>12</v>
      </c>
      <c r="AA715" s="49">
        <f>'BUS Deemed Savings Table'!DG293</f>
        <v>1.3558218740909889</v>
      </c>
      <c r="AB715" s="698">
        <f>'BUS Deemed Savings Table'!K293</f>
        <v>4150</v>
      </c>
      <c r="AC715" s="1975">
        <f t="shared" si="431"/>
        <v>5310.6755804413433</v>
      </c>
      <c r="AD715" s="1975">
        <f t="shared" si="432"/>
        <v>0</v>
      </c>
      <c r="AE715" s="1380">
        <f>'BUS Deemed Savings Table'!DI293</f>
        <v>5310.6755804413433</v>
      </c>
      <c r="AF715" s="571"/>
      <c r="AG715" s="571"/>
      <c r="AH715" s="571"/>
      <c r="AI715" s="3346" t="str">
        <f>'BUS Deemed Savings Table'!L293</f>
        <v>per measure</v>
      </c>
      <c r="AJ715" s="141"/>
      <c r="AM715" s="1596">
        <f t="shared" si="426"/>
        <v>1.998949E-4</v>
      </c>
      <c r="AN715">
        <f t="shared" si="427"/>
        <v>2.1014890868529998</v>
      </c>
      <c r="AO715" s="1595">
        <f t="shared" si="428"/>
        <v>8.6852999903186401E-8</v>
      </c>
    </row>
    <row r="716" spans="1:41" x14ac:dyDescent="0.35">
      <c r="A716" s="103" t="str">
        <f t="shared" si="429"/>
        <v>802850</v>
      </c>
      <c r="B716" s="3346" t="str">
        <f>'BUS Deemed Savings Table'!C294</f>
        <v>802850_2019_12_</v>
      </c>
      <c r="C716" s="3343" t="str">
        <f>'BUS Deemed Savings Table'!G294</f>
        <v>Cooking BUS</v>
      </c>
      <c r="D716" s="3343"/>
      <c r="E716" s="3343"/>
      <c r="F716" s="3343"/>
      <c r="G716" s="3343" t="str">
        <f>'BUS Deemed Savings Table'!E294</f>
        <v>6 Pan ENERGY STAR Steam Cooker</v>
      </c>
      <c r="H716" s="50" t="str">
        <f>'BUS Deemed Savings Table'!D294</f>
        <v>C&amp;I</v>
      </c>
      <c r="I716" s="1966">
        <f>'BUS Deemed Savings Table'!F294</f>
        <v>11818.65</v>
      </c>
      <c r="J716" s="1966"/>
      <c r="K716" s="560"/>
      <c r="L716" s="560"/>
      <c r="M716" s="560"/>
      <c r="N716" s="560"/>
      <c r="O716" s="1967">
        <f>'BUS Deemed Savings Table'!I294</f>
        <v>2.3624879999999999</v>
      </c>
      <c r="P716" s="1967"/>
      <c r="Q716" s="1968"/>
      <c r="R716" s="1968"/>
      <c r="S716" s="1968"/>
      <c r="T716" s="1968"/>
      <c r="U716" s="1969">
        <f t="shared" si="433"/>
        <v>0</v>
      </c>
      <c r="V716" s="1969">
        <f t="shared" si="434"/>
        <v>2.3624879999999999</v>
      </c>
      <c r="W716" s="1969">
        <f t="shared" si="435"/>
        <v>0</v>
      </c>
      <c r="X716" s="55">
        <f>'BUS Deemed Savings Table'!J294</f>
        <v>12</v>
      </c>
      <c r="Y716" s="55"/>
      <c r="Z716" s="55">
        <f t="shared" si="430"/>
        <v>12</v>
      </c>
      <c r="AA716" s="49">
        <f>'BUS Deemed Savings Table'!DG294</f>
        <v>1.5242109691386418</v>
      </c>
      <c r="AB716" s="698">
        <f>'BUS Deemed Savings Table'!K294</f>
        <v>4150</v>
      </c>
      <c r="AC716" s="1975">
        <f t="shared" si="431"/>
        <v>5970.245891387789</v>
      </c>
      <c r="AD716" s="1975">
        <f t="shared" si="432"/>
        <v>0</v>
      </c>
      <c r="AE716" s="1380">
        <f>'BUS Deemed Savings Table'!DI294</f>
        <v>5970.245891387789</v>
      </c>
      <c r="AF716" s="571"/>
      <c r="AG716" s="571"/>
      <c r="AH716" s="571"/>
      <c r="AI716" s="3346" t="str">
        <f>'BUS Deemed Savings Table'!L294</f>
        <v>per measure</v>
      </c>
      <c r="AJ716" s="141"/>
      <c r="AM716" s="1596">
        <f t="shared" ref="AM716:AM749" si="436">VLOOKUP(C716,$AS$10:$AT$49,2,FALSE)</f>
        <v>1.998949E-4</v>
      </c>
      <c r="AN716">
        <f t="shared" si="427"/>
        <v>2.3624878598849999</v>
      </c>
      <c r="AO716" s="1595">
        <f t="shared" ref="AO716:AO749" si="437">AN716-O716</f>
        <v>-1.4011500004684763E-7</v>
      </c>
    </row>
    <row r="717" spans="1:41" x14ac:dyDescent="0.35">
      <c r="A717" s="103" t="str">
        <f t="shared" si="429"/>
        <v>802900</v>
      </c>
      <c r="B717" s="3346" t="str">
        <f>'BUS Deemed Savings Table'!C313</f>
        <v>802900_2019_12_</v>
      </c>
      <c r="C717" s="3343" t="str">
        <f>'BUS Deemed Savings Table'!G313</f>
        <v>Cooking BUS</v>
      </c>
      <c r="D717" s="3343"/>
      <c r="E717" s="3343"/>
      <c r="F717" s="3343"/>
      <c r="G717" s="3343" t="str">
        <f>'BUS Deemed Savings Table'!E313</f>
        <v>ENERGY STAR Hot Holding Cabinet (0 &lt; V &lt;13)</v>
      </c>
      <c r="H717" s="50" t="str">
        <f>'BUS Deemed Savings Table'!D313</f>
        <v>C&amp;I</v>
      </c>
      <c r="I717" s="1966">
        <f>'BUS Deemed Savings Table'!F313</f>
        <v>709.5</v>
      </c>
      <c r="J717" s="1966"/>
      <c r="K717" s="560"/>
      <c r="L717" s="560"/>
      <c r="M717" s="560"/>
      <c r="N717" s="560"/>
      <c r="O717" s="1967">
        <f>'BUS Deemed Savings Table'!I313</f>
        <v>0.14182500000000001</v>
      </c>
      <c r="P717" s="1967"/>
      <c r="Q717" s="1968"/>
      <c r="R717" s="1968"/>
      <c r="S717" s="1968"/>
      <c r="T717" s="1968"/>
      <c r="U717" s="1969">
        <f t="shared" si="433"/>
        <v>0</v>
      </c>
      <c r="V717" s="1969">
        <f t="shared" si="434"/>
        <v>0.14182500000000001</v>
      </c>
      <c r="W717" s="1969">
        <f t="shared" si="435"/>
        <v>0</v>
      </c>
      <c r="X717" s="55">
        <f>'BUS Deemed Savings Table'!J313</f>
        <v>12</v>
      </c>
      <c r="Y717" s="55"/>
      <c r="Z717" s="55">
        <f t="shared" si="430"/>
        <v>12</v>
      </c>
      <c r="AA717" s="49">
        <f>'BUS Deemed Savings Table'!DG313</f>
        <v>0.21297389054215146</v>
      </c>
      <c r="AB717" s="698">
        <f>'BUS Deemed Savings Table'!K313</f>
        <v>1783</v>
      </c>
      <c r="AC717" s="1975">
        <f t="shared" si="431"/>
        <v>358.40721740127987</v>
      </c>
      <c r="AD717" s="1975">
        <f t="shared" si="432"/>
        <v>0</v>
      </c>
      <c r="AE717" s="1380">
        <f>'BUS Deemed Savings Table'!DI313</f>
        <v>358.40721740127987</v>
      </c>
      <c r="AF717" s="571"/>
      <c r="AG717" s="571"/>
      <c r="AH717" s="571"/>
      <c r="AI717" s="3346" t="str">
        <f>'BUS Deemed Savings Table'!L313</f>
        <v>per measure</v>
      </c>
      <c r="AJ717" s="141"/>
      <c r="AM717" s="1596">
        <f t="shared" si="436"/>
        <v>1.998949E-4</v>
      </c>
      <c r="AN717">
        <f t="shared" si="427"/>
        <v>0.14182543154999999</v>
      </c>
      <c r="AO717" s="1595">
        <f t="shared" si="437"/>
        <v>4.3154999998518129E-7</v>
      </c>
    </row>
    <row r="718" spans="1:41" x14ac:dyDescent="0.35">
      <c r="A718" s="103" t="str">
        <f t="shared" si="429"/>
        <v>802950</v>
      </c>
      <c r="B718" s="3346" t="str">
        <f>'BUS Deemed Savings Table'!C314</f>
        <v>802950_2019_12_</v>
      </c>
      <c r="C718" s="3343" t="str">
        <f>'BUS Deemed Savings Table'!G314</f>
        <v>Cooking BUS</v>
      </c>
      <c r="D718" s="3343"/>
      <c r="E718" s="3343"/>
      <c r="F718" s="3343"/>
      <c r="G718" s="3343" t="str">
        <f>'BUS Deemed Savings Table'!E314</f>
        <v>ENERGY STAR Hot Holding Cabinet (13 ≤ V &lt;28)</v>
      </c>
      <c r="H718" s="50" t="str">
        <f>'BUS Deemed Savings Table'!D314</f>
        <v>C&amp;I</v>
      </c>
      <c r="I718" s="1966">
        <f>'BUS Deemed Savings Table'!F314</f>
        <v>2772.25</v>
      </c>
      <c r="J718" s="1966"/>
      <c r="K718" s="560"/>
      <c r="L718" s="560"/>
      <c r="M718" s="560"/>
      <c r="N718" s="560"/>
      <c r="O718" s="1967">
        <f>'BUS Deemed Savings Table'!I314</f>
        <v>0.55415899999999996</v>
      </c>
      <c r="P718" s="1967"/>
      <c r="Q718" s="1968"/>
      <c r="R718" s="1968"/>
      <c r="S718" s="1968"/>
      <c r="T718" s="1968"/>
      <c r="U718" s="1969">
        <f t="shared" si="433"/>
        <v>0</v>
      </c>
      <c r="V718" s="1969">
        <f t="shared" si="434"/>
        <v>0.55415899999999996</v>
      </c>
      <c r="W718" s="1969">
        <f t="shared" si="435"/>
        <v>0</v>
      </c>
      <c r="X718" s="55">
        <f>'BUS Deemed Savings Table'!J314</f>
        <v>12</v>
      </c>
      <c r="Y718" s="55"/>
      <c r="Z718" s="55">
        <f t="shared" si="430"/>
        <v>12</v>
      </c>
      <c r="AA718" s="49">
        <f>'BUS Deemed Savings Table'!DG314</f>
        <v>0.83215908112118309</v>
      </c>
      <c r="AB718" s="698">
        <f>'BUS Deemed Savings Table'!K314</f>
        <v>1783</v>
      </c>
      <c r="AC718" s="1975">
        <f t="shared" si="431"/>
        <v>1400.4149519953462</v>
      </c>
      <c r="AD718" s="1975">
        <f t="shared" si="432"/>
        <v>0</v>
      </c>
      <c r="AE718" s="1380">
        <f>'BUS Deemed Savings Table'!DI314</f>
        <v>1400.4149519953462</v>
      </c>
      <c r="AF718" s="571"/>
      <c r="AG718" s="571"/>
      <c r="AH718" s="571"/>
      <c r="AI718" s="3346" t="str">
        <f>'BUS Deemed Savings Table'!L314</f>
        <v>per measure</v>
      </c>
      <c r="AJ718" s="141"/>
      <c r="AM718" s="1596">
        <f t="shared" si="436"/>
        <v>1.998949E-4</v>
      </c>
      <c r="AN718">
        <f t="shared" si="427"/>
        <v>0.55415863652499997</v>
      </c>
      <c r="AO718" s="1595">
        <f t="shared" si="437"/>
        <v>-3.6347499998701238E-7</v>
      </c>
    </row>
    <row r="719" spans="1:41" x14ac:dyDescent="0.35">
      <c r="A719" s="103" t="str">
        <f t="shared" si="429"/>
        <v>803000</v>
      </c>
      <c r="B719" s="3346" t="str">
        <f>'BUS Deemed Savings Table'!C315</f>
        <v>803000_2019_12_</v>
      </c>
      <c r="C719" s="3343" t="str">
        <f>'BUS Deemed Savings Table'!G315</f>
        <v>Cooking BUS</v>
      </c>
      <c r="D719" s="3343"/>
      <c r="E719" s="3343"/>
      <c r="F719" s="3343"/>
      <c r="G719" s="3343" t="str">
        <f>'BUS Deemed Savings Table'!E315</f>
        <v>ENERGY STAR Hot Holding Cabinet (28 ≤ V)</v>
      </c>
      <c r="H719" s="50" t="str">
        <f>'BUS Deemed Savings Table'!D315</f>
        <v>C&amp;I</v>
      </c>
      <c r="I719" s="1966">
        <f>'BUS Deemed Savings Table'!F315</f>
        <v>4438.34</v>
      </c>
      <c r="J719" s="1966"/>
      <c r="K719" s="560"/>
      <c r="L719" s="560"/>
      <c r="M719" s="560"/>
      <c r="N719" s="560"/>
      <c r="O719" s="1967">
        <f>'BUS Deemed Savings Table'!I315</f>
        <v>0.88720200000000005</v>
      </c>
      <c r="P719" s="1967"/>
      <c r="Q719" s="1968"/>
      <c r="R719" s="1968"/>
      <c r="S719" s="1968"/>
      <c r="T719" s="1968"/>
      <c r="U719" s="1969">
        <f t="shared" si="433"/>
        <v>0</v>
      </c>
      <c r="V719" s="1969">
        <f t="shared" si="434"/>
        <v>0.88720200000000005</v>
      </c>
      <c r="W719" s="1969">
        <f t="shared" si="435"/>
        <v>0</v>
      </c>
      <c r="X719" s="55">
        <f>'BUS Deemed Savings Table'!J315</f>
        <v>12</v>
      </c>
      <c r="Y719" s="55"/>
      <c r="Z719" s="55">
        <f t="shared" si="430"/>
        <v>12</v>
      </c>
      <c r="AA719" s="49">
        <f>'BUS Deemed Savings Table'!DG315</f>
        <v>1.3322770082436259</v>
      </c>
      <c r="AB719" s="698">
        <f>'BUS Deemed Savings Table'!K315</f>
        <v>1783</v>
      </c>
      <c r="AC719" s="1975">
        <f t="shared" si="431"/>
        <v>2242.0480469073946</v>
      </c>
      <c r="AD719" s="1975">
        <f t="shared" si="432"/>
        <v>0</v>
      </c>
      <c r="AE719" s="1380">
        <f>'BUS Deemed Savings Table'!DI315</f>
        <v>2242.0480469073946</v>
      </c>
      <c r="AF719" s="571"/>
      <c r="AG719" s="571"/>
      <c r="AH719" s="571"/>
      <c r="AI719" s="3346" t="str">
        <f>'BUS Deemed Savings Table'!L315</f>
        <v>per measure</v>
      </c>
      <c r="AJ719" s="141"/>
      <c r="AM719" s="1596">
        <f t="shared" si="436"/>
        <v>1.998949E-4</v>
      </c>
      <c r="AN719">
        <f t="shared" si="427"/>
        <v>0.88720153046600003</v>
      </c>
      <c r="AO719" s="1595">
        <f t="shared" si="437"/>
        <v>-4.6953400001381596E-7</v>
      </c>
    </row>
    <row r="720" spans="1:41" x14ac:dyDescent="0.35">
      <c r="A720" s="103" t="str">
        <f t="shared" si="429"/>
        <v>803050</v>
      </c>
      <c r="B720" s="3346" t="str">
        <f>'BUS Deemed Savings Table'!C333</f>
        <v>803050_2019_12_</v>
      </c>
      <c r="C720" s="3343" t="str">
        <f>'BUS Deemed Savings Table'!I333</f>
        <v>Cooling BUS</v>
      </c>
      <c r="D720" s="3343" t="str">
        <f>'BUS Deemed Savings Table'!J333</f>
        <v>Heating BUS</v>
      </c>
      <c r="E720" s="3343"/>
      <c r="F720" s="3343"/>
      <c r="G720" s="3343" t="str">
        <f>'BUS Deemed Savings Table'!E333</f>
        <v>Learning Thermostat</v>
      </c>
      <c r="H720" s="50" t="str">
        <f>'BUS Deemed Savings Table'!D333</f>
        <v>C&amp;I</v>
      </c>
      <c r="I720" s="1966">
        <f>K720+L720</f>
        <v>438.34117233294256</v>
      </c>
      <c r="J720" s="1966">
        <f>S720+T720</f>
        <v>0</v>
      </c>
      <c r="K720" s="2567">
        <f>'BUS Deemed Savings Table'!F333</f>
        <v>205.34</v>
      </c>
      <c r="L720" s="3343">
        <f>'BUS Deemed Savings Table'!G333</f>
        <v>233.00117233294256</v>
      </c>
      <c r="M720" s="560"/>
      <c r="N720" s="560"/>
      <c r="O720" s="1967">
        <f>Q720+R720</f>
        <v>0.187</v>
      </c>
      <c r="P720" s="1967">
        <f>S720+T720</f>
        <v>0</v>
      </c>
      <c r="Q720" s="1968">
        <f>'BUS Deemed Savings Table'!L333</f>
        <v>0.187</v>
      </c>
      <c r="R720" s="1968">
        <v>0</v>
      </c>
      <c r="S720" s="1968"/>
      <c r="T720" s="1968"/>
      <c r="U720" s="1969">
        <f t="shared" si="433"/>
        <v>0</v>
      </c>
      <c r="V720" s="1969">
        <f t="shared" si="434"/>
        <v>0.187</v>
      </c>
      <c r="W720" s="1969">
        <f t="shared" si="435"/>
        <v>0</v>
      </c>
      <c r="X720" s="55">
        <f>'BUS Deemed Savings Table'!M333</f>
        <v>10</v>
      </c>
      <c r="Y720" s="55"/>
      <c r="Z720" s="55">
        <f t="shared" si="430"/>
        <v>10</v>
      </c>
      <c r="AA720" s="49">
        <f>'BUS Deemed Savings Table'!DG333</f>
        <v>0.97083868124598272</v>
      </c>
      <c r="AB720" s="698">
        <f>'BUS Deemed Savings Table'!N333</f>
        <v>224</v>
      </c>
      <c r="AC720" s="1975">
        <f t="shared" si="431"/>
        <v>205.25518131109024</v>
      </c>
      <c r="AD720" s="1975">
        <f t="shared" si="432"/>
        <v>0</v>
      </c>
      <c r="AE720" s="1380">
        <f>'BUS Deemed Savings Table'!DI333</f>
        <v>205.25518131109024</v>
      </c>
      <c r="AF720" s="571"/>
      <c r="AG720" s="571"/>
      <c r="AH720" s="571"/>
      <c r="AI720" s="2591" t="str">
        <f>'BUS Deemed Savings Table'!O333</f>
        <v>per measure</v>
      </c>
      <c r="AJ720" s="141"/>
      <c r="AM720" s="1596">
        <f t="shared" si="436"/>
        <v>9.1068400000000004E-4</v>
      </c>
      <c r="AN720" s="1499">
        <f>AM720*K720</f>
        <v>0.18699985256000001</v>
      </c>
      <c r="AO720" s="1595">
        <f t="shared" si="437"/>
        <v>-1.4743999998678703E-7</v>
      </c>
    </row>
    <row r="721" spans="1:48" x14ac:dyDescent="0.35">
      <c r="A721" s="103" t="str">
        <f t="shared" si="429"/>
        <v>803100</v>
      </c>
      <c r="B721" s="3346" t="str">
        <f>'BUS Deemed Savings Table'!C347</f>
        <v>803100_2020_07_</v>
      </c>
      <c r="C721" s="3343" t="str">
        <f>'BUS Deemed Savings Table'!G347</f>
        <v>Cooling BUS</v>
      </c>
      <c r="D721" s="3343"/>
      <c r="E721" s="3343"/>
      <c r="F721" s="3343"/>
      <c r="G721" s="3343" t="str">
        <f>'BUS Deemed Savings Table'!E347</f>
        <v>VFD on Chilled Water Pump &gt;= 1HP</v>
      </c>
      <c r="H721" s="50" t="str">
        <f>'BUS Deemed Savings Table'!D347</f>
        <v>C&amp;I</v>
      </c>
      <c r="I721" s="1966">
        <f>'BUS Deemed Savings Table'!F347</f>
        <v>1289.6400000000001</v>
      </c>
      <c r="J721" s="1966"/>
      <c r="K721" s="560"/>
      <c r="L721" s="560"/>
      <c r="M721" s="560"/>
      <c r="N721" s="560"/>
      <c r="O721" s="1967">
        <f>'BUS Deemed Savings Table'!I347</f>
        <v>1.174455</v>
      </c>
      <c r="P721" s="1967"/>
      <c r="Q721" s="1968"/>
      <c r="R721" s="1968"/>
      <c r="S721" s="1968"/>
      <c r="T721" s="1968"/>
      <c r="U721" s="1969">
        <f t="shared" si="433"/>
        <v>0</v>
      </c>
      <c r="V721" s="1969">
        <f t="shared" si="434"/>
        <v>0</v>
      </c>
      <c r="W721" s="1969">
        <f t="shared" si="435"/>
        <v>1.174455</v>
      </c>
      <c r="X721" s="55">
        <f>'BUS Deemed Savings Table'!J347</f>
        <v>15</v>
      </c>
      <c r="Y721" s="55"/>
      <c r="Z721" s="55">
        <f t="shared" si="430"/>
        <v>15</v>
      </c>
      <c r="AA721" s="49">
        <f>'BUS Deemed Savings Table'!DG347</f>
        <v>10.862720984510501</v>
      </c>
      <c r="AB721" s="698">
        <f>'BUS Deemed Savings Table'!K347</f>
        <v>179</v>
      </c>
      <c r="AC721" s="1975">
        <f t="shared" si="431"/>
        <v>1835.2308223004998</v>
      </c>
      <c r="AD721" s="1975">
        <f t="shared" si="432"/>
        <v>0</v>
      </c>
      <c r="AE721" s="1380">
        <f>'BUS Deemed Savings Table'!DI347</f>
        <v>1835.2308223004998</v>
      </c>
      <c r="AF721" s="571"/>
      <c r="AG721" s="571"/>
      <c r="AH721" s="571"/>
      <c r="AI721" s="2602" t="str">
        <f>'BUS Deemed Savings Table'!L347</f>
        <v>per Hp</v>
      </c>
      <c r="AJ721" s="141"/>
      <c r="AM721" s="1596">
        <f t="shared" si="436"/>
        <v>9.1068400000000004E-4</v>
      </c>
      <c r="AN721">
        <f t="shared" ref="AN721:AN730" si="438">AM721*I721</f>
        <v>1.1744545137600002</v>
      </c>
      <c r="AO721" s="1595">
        <f t="shared" si="437"/>
        <v>-4.862399998195599E-7</v>
      </c>
    </row>
    <row r="722" spans="1:48" x14ac:dyDescent="0.35">
      <c r="A722" s="103" t="str">
        <f t="shared" si="429"/>
        <v>803150</v>
      </c>
      <c r="B722" s="3346" t="str">
        <f>'BUS Deemed Savings Table'!C348</f>
        <v>803150_2020_07_</v>
      </c>
      <c r="C722" s="3343" t="str">
        <f>'BUS Deemed Savings Table'!G348</f>
        <v>HVAC BUS</v>
      </c>
      <c r="D722" s="3343"/>
      <c r="E722" s="3343"/>
      <c r="F722" s="3343"/>
      <c r="G722" s="3343" t="str">
        <f>'BUS Deemed Savings Table'!E348</f>
        <v>VFD on Hot Water Pump &gt;= 1HP</v>
      </c>
      <c r="H722" s="50" t="str">
        <f>'BUS Deemed Savings Table'!D348</f>
        <v>C&amp;I</v>
      </c>
      <c r="I722" s="1966">
        <f>'BUS Deemed Savings Table'!F348</f>
        <v>1696.57</v>
      </c>
      <c r="J722" s="1966"/>
      <c r="K722" s="560"/>
      <c r="L722" s="560"/>
      <c r="M722" s="560"/>
      <c r="N722" s="560"/>
      <c r="O722" s="1967">
        <f>'BUS Deemed Savings Table'!I348</f>
        <v>0.75324800000000003</v>
      </c>
      <c r="P722" s="1967"/>
      <c r="Q722" s="1968"/>
      <c r="R722" s="1968"/>
      <c r="S722" s="1968"/>
      <c r="T722" s="1968"/>
      <c r="U722" s="1969">
        <f t="shared" si="433"/>
        <v>0</v>
      </c>
      <c r="V722" s="1969">
        <f t="shared" si="434"/>
        <v>0</v>
      </c>
      <c r="W722" s="1969">
        <f t="shared" si="435"/>
        <v>0.75324800000000003</v>
      </c>
      <c r="X722" s="55">
        <f>'BUS Deemed Savings Table'!J348</f>
        <v>15</v>
      </c>
      <c r="Y722" s="55"/>
      <c r="Z722" s="55">
        <f t="shared" si="430"/>
        <v>15</v>
      </c>
      <c r="AA722" s="49">
        <f>'BUS Deemed Savings Table'!DG348</f>
        <v>9.0060153182308493</v>
      </c>
      <c r="AB722" s="698">
        <f>'BUS Deemed Savings Table'!K348</f>
        <v>179</v>
      </c>
      <c r="AC722" s="1975">
        <f t="shared" si="431"/>
        <v>1521.5448248827954</v>
      </c>
      <c r="AD722" s="1975">
        <f t="shared" si="432"/>
        <v>0</v>
      </c>
      <c r="AE722" s="1380">
        <f>'BUS Deemed Savings Table'!DI348</f>
        <v>1521.5448248827954</v>
      </c>
      <c r="AF722" s="571"/>
      <c r="AG722" s="571"/>
      <c r="AH722" s="571"/>
      <c r="AI722" s="2602" t="str">
        <f>'BUS Deemed Savings Table'!L348</f>
        <v>per Hp</v>
      </c>
      <c r="AJ722" s="141"/>
      <c r="AM722" s="1596">
        <f t="shared" si="436"/>
        <v>4.4398300000000001E-4</v>
      </c>
      <c r="AN722">
        <f t="shared" si="438"/>
        <v>0.75324823830999998</v>
      </c>
      <c r="AO722" s="1595">
        <f t="shared" si="437"/>
        <v>2.3830999995588797E-7</v>
      </c>
    </row>
    <row r="723" spans="1:48" x14ac:dyDescent="0.35">
      <c r="A723" s="103" t="str">
        <f t="shared" si="429"/>
        <v>803155</v>
      </c>
      <c r="B723" s="3346" t="str">
        <f>'BUS Deemed Savings Table'!C349</f>
        <v>803155_2020_07_</v>
      </c>
      <c r="C723" s="3343" t="str">
        <f>'BUS Deemed Savings Table'!G349</f>
        <v>Cooling BUS</v>
      </c>
      <c r="D723" s="3343"/>
      <c r="E723" s="3343"/>
      <c r="F723" s="3343"/>
      <c r="G723" s="3343" t="str">
        <f>'BUS Deemed Savings Table'!E349</f>
        <v>VFD on Condenser Water Pump &gt;= 1HP</v>
      </c>
      <c r="H723" s="50" t="str">
        <f>'BUS Deemed Savings Table'!D349</f>
        <v>C&amp;I</v>
      </c>
      <c r="I723" s="1966">
        <f>'BUS Deemed Savings Table'!F349</f>
        <v>1289.6400000000001</v>
      </c>
      <c r="J723" s="1966"/>
      <c r="K723" s="560"/>
      <c r="L723" s="560"/>
      <c r="M723" s="560"/>
      <c r="N723" s="560"/>
      <c r="O723" s="1967">
        <f>'BUS Deemed Savings Table'!I349</f>
        <v>1.174455</v>
      </c>
      <c r="P723" s="1967"/>
      <c r="Q723" s="1968"/>
      <c r="R723" s="1968"/>
      <c r="S723" s="1968"/>
      <c r="T723" s="1968"/>
      <c r="U723" s="1969">
        <f t="shared" si="433"/>
        <v>0</v>
      </c>
      <c r="V723" s="1969">
        <f t="shared" si="434"/>
        <v>0</v>
      </c>
      <c r="W723" s="1969">
        <f t="shared" si="435"/>
        <v>1.174455</v>
      </c>
      <c r="X723" s="55">
        <f>'BUS Deemed Savings Table'!J349</f>
        <v>15</v>
      </c>
      <c r="Y723" s="55"/>
      <c r="Z723" s="55">
        <f t="shared" si="430"/>
        <v>15</v>
      </c>
      <c r="AA723" s="49">
        <f>'BUS Deemed Savings Table'!DG349</f>
        <v>10.862720984510501</v>
      </c>
      <c r="AB723" s="698">
        <f>'BUS Deemed Savings Table'!K349</f>
        <v>179</v>
      </c>
      <c r="AC723" s="1975">
        <f t="shared" si="431"/>
        <v>1835.2308223004998</v>
      </c>
      <c r="AD723" s="1975">
        <f t="shared" si="432"/>
        <v>0</v>
      </c>
      <c r="AE723" s="1380">
        <f>'BUS Deemed Savings Table'!DI349</f>
        <v>1835.2308223004998</v>
      </c>
      <c r="AF723" s="571"/>
      <c r="AG723" s="571"/>
      <c r="AH723" s="571"/>
      <c r="AI723" s="2602" t="str">
        <f>'BUS Deemed Savings Table'!L349</f>
        <v>per Hp</v>
      </c>
      <c r="AJ723" s="141"/>
      <c r="AM723" s="1596">
        <f t="shared" si="436"/>
        <v>9.1068400000000004E-4</v>
      </c>
      <c r="AN723">
        <f t="shared" si="438"/>
        <v>1.1744545137600002</v>
      </c>
      <c r="AO723" s="1595">
        <f t="shared" si="437"/>
        <v>-4.862399998195599E-7</v>
      </c>
    </row>
    <row r="724" spans="1:48" x14ac:dyDescent="0.35">
      <c r="A724" s="103" t="str">
        <f t="shared" si="429"/>
        <v>803160</v>
      </c>
      <c r="B724" s="3346" t="str">
        <f>'BUS Deemed Savings Table'!C350</f>
        <v>803160_2020_07_</v>
      </c>
      <c r="C724" s="3343" t="str">
        <f>'BUS Deemed Savings Table'!G350</f>
        <v>HVAC BUS</v>
      </c>
      <c r="D724" s="3343"/>
      <c r="E724" s="3343"/>
      <c r="F724" s="3343"/>
      <c r="G724" s="3343" t="str">
        <f>'BUS Deemed Savings Table'!E350</f>
        <v>VFD on Cooling Tower Fan &gt;= 1HP</v>
      </c>
      <c r="H724" s="50" t="str">
        <f>'BUS Deemed Savings Table'!D350</f>
        <v>C&amp;I</v>
      </c>
      <c r="I724" s="1966">
        <f>'BUS Deemed Savings Table'!F350</f>
        <v>479.48</v>
      </c>
      <c r="J724" s="1966"/>
      <c r="K724" s="560"/>
      <c r="L724" s="560"/>
      <c r="M724" s="560"/>
      <c r="N724" s="560"/>
      <c r="O724" s="1967">
        <f>'BUS Deemed Savings Table'!I350</f>
        <v>0.21288099999999999</v>
      </c>
      <c r="P724" s="1967"/>
      <c r="Q724" s="1968"/>
      <c r="R724" s="1968"/>
      <c r="S724" s="1968"/>
      <c r="T724" s="1968"/>
      <c r="U724" s="1969">
        <f t="shared" si="433"/>
        <v>0</v>
      </c>
      <c r="V724" s="1969">
        <f t="shared" si="434"/>
        <v>0</v>
      </c>
      <c r="W724" s="1969">
        <f t="shared" si="435"/>
        <v>0.21288099999999999</v>
      </c>
      <c r="X724" s="55">
        <f>'BUS Deemed Savings Table'!J350</f>
        <v>15</v>
      </c>
      <c r="Y724" s="55"/>
      <c r="Z724" s="55">
        <f t="shared" si="430"/>
        <v>15</v>
      </c>
      <c r="AA724" s="49">
        <f>'BUS Deemed Savings Table'!DG350</f>
        <v>2.545255559620486</v>
      </c>
      <c r="AB724" s="698">
        <f>'BUS Deemed Savings Table'!K350</f>
        <v>179</v>
      </c>
      <c r="AC724" s="1975">
        <f t="shared" si="431"/>
        <v>430.01486094579229</v>
      </c>
      <c r="AD724" s="1975">
        <f t="shared" si="432"/>
        <v>0</v>
      </c>
      <c r="AE724" s="1380">
        <f>'BUS Deemed Savings Table'!DI350</f>
        <v>430.01486094579229</v>
      </c>
      <c r="AF724" s="571"/>
      <c r="AG724" s="571"/>
      <c r="AH724" s="571"/>
      <c r="AI724" s="2602" t="str">
        <f>'BUS Deemed Savings Table'!L350</f>
        <v>per Hp</v>
      </c>
      <c r="AJ724" s="141"/>
      <c r="AM724" s="1596">
        <f t="shared" si="436"/>
        <v>4.4398300000000001E-4</v>
      </c>
      <c r="AN724">
        <f t="shared" si="438"/>
        <v>0.21288096884000002</v>
      </c>
      <c r="AO724" s="1595">
        <f t="shared" si="437"/>
        <v>-3.1159999969165852E-8</v>
      </c>
    </row>
    <row r="725" spans="1:48" x14ac:dyDescent="0.35">
      <c r="A725" s="103" t="str">
        <f t="shared" si="429"/>
        <v>803200</v>
      </c>
      <c r="B725" s="3346" t="str">
        <f>'BUS Deemed Savings Table'!C367</f>
        <v>803200_2020_07_</v>
      </c>
      <c r="C725" s="3343" t="str">
        <f>'BUS Deemed Savings Table'!G367</f>
        <v>HVAC BUS</v>
      </c>
      <c r="D725" s="3343"/>
      <c r="E725" s="3343"/>
      <c r="F725" s="3343"/>
      <c r="G725" s="3343" t="str">
        <f>'BUS Deemed Savings Table'!E367</f>
        <v xml:space="preserve"> VFD on HVAC Fans &gt;= 1HP </v>
      </c>
      <c r="H725" s="50" t="str">
        <f>'BUS Deemed Savings Table'!D367</f>
        <v>C&amp;I</v>
      </c>
      <c r="I725" s="1966">
        <f>'BUS Deemed Savings Table'!F367</f>
        <v>939.75</v>
      </c>
      <c r="J725" s="1966"/>
      <c r="K725" s="560"/>
      <c r="L725" s="560"/>
      <c r="M725" s="560"/>
      <c r="N725" s="560"/>
      <c r="O725" s="1967">
        <f>'BUS Deemed Savings Table'!I367</f>
        <v>0.41723300000000002</v>
      </c>
      <c r="P725" s="1967"/>
      <c r="Q725" s="1968"/>
      <c r="R725" s="1968"/>
      <c r="S725" s="1968"/>
      <c r="T725" s="1968"/>
      <c r="U725" s="1969">
        <f t="shared" si="433"/>
        <v>0</v>
      </c>
      <c r="V725" s="1969">
        <f t="shared" si="434"/>
        <v>0</v>
      </c>
      <c r="W725" s="1969">
        <f t="shared" si="435"/>
        <v>0.41723300000000002</v>
      </c>
      <c r="X725" s="55">
        <f>'BUS Deemed Savings Table'!J367</f>
        <v>15</v>
      </c>
      <c r="Y725" s="55"/>
      <c r="Z725" s="55">
        <f t="shared" si="430"/>
        <v>15</v>
      </c>
      <c r="AA725" s="49">
        <f>'BUS Deemed Savings Table'!DG367</f>
        <v>5.3151678241141438</v>
      </c>
      <c r="AB725" s="698">
        <f>'BUS Deemed Savings Table'!K367</f>
        <v>168</v>
      </c>
      <c r="AC725" s="1975">
        <f t="shared" si="431"/>
        <v>842.80150490908545</v>
      </c>
      <c r="AD725" s="1975">
        <f t="shared" si="432"/>
        <v>0</v>
      </c>
      <c r="AE725" s="1380">
        <f>'BUS Deemed Savings Table'!DI367</f>
        <v>842.80150490908545</v>
      </c>
      <c r="AF725" s="571"/>
      <c r="AG725" s="571"/>
      <c r="AH725" s="571"/>
      <c r="AI725" s="2602" t="str">
        <f>'BUS Deemed Savings Table'!L367</f>
        <v>per Hp</v>
      </c>
      <c r="AJ725" s="141"/>
      <c r="AM725" s="1596">
        <f t="shared" si="436"/>
        <v>4.4398300000000001E-4</v>
      </c>
      <c r="AN725">
        <f t="shared" si="438"/>
        <v>0.41723302425000003</v>
      </c>
      <c r="AO725" s="1595">
        <f t="shared" si="437"/>
        <v>2.4250000008052552E-8</v>
      </c>
    </row>
    <row r="726" spans="1:48" x14ac:dyDescent="0.35">
      <c r="A726" s="103" t="str">
        <f t="shared" si="429"/>
        <v>803250</v>
      </c>
      <c r="B726" s="3346" t="str">
        <f>'BUS Deemed Savings Table'!C397</f>
        <v>803250_2020_07_</v>
      </c>
      <c r="C726" s="3343" t="str">
        <f>'BUS Deemed Savings Table'!G397</f>
        <v>Cooling BUS</v>
      </c>
      <c r="D726" s="3343"/>
      <c r="E726" s="3343"/>
      <c r="F726" s="3343"/>
      <c r="G726" s="3343" t="str">
        <f>'BUS Deemed Savings Table'!E397</f>
        <v>Single Packag or Split Sytem Unitary AC_DX 135 - 240kbtu</v>
      </c>
      <c r="H726" s="50" t="str">
        <f>'BUS Deemed Savings Table'!D397</f>
        <v>C&amp;I</v>
      </c>
      <c r="I726" s="1966">
        <f t="shared" ref="I726:I738" si="439">K726+L726</f>
        <v>153.77000000000001</v>
      </c>
      <c r="J726" s="1966">
        <f t="shared" ref="J726:J738" si="440">S726+T726</f>
        <v>0</v>
      </c>
      <c r="K726" s="560">
        <f>'BUS Deemed Savings Table'!F397</f>
        <v>153.77000000000001</v>
      </c>
      <c r="L726" s="560"/>
      <c r="M726" s="560"/>
      <c r="N726" s="560"/>
      <c r="O726" s="1967">
        <f t="shared" ref="O726:O738" si="441">Q726+R726</f>
        <v>0.14003599999999999</v>
      </c>
      <c r="P726" s="1967">
        <f t="shared" ref="P726:P738" si="442">S726+T726</f>
        <v>0</v>
      </c>
      <c r="Q726" s="1967">
        <f>'BUS Deemed Savings Table'!I397</f>
        <v>0.14003599999999999</v>
      </c>
      <c r="R726" s="1968">
        <v>0</v>
      </c>
      <c r="S726" s="1968"/>
      <c r="T726" s="1968"/>
      <c r="U726" s="1969">
        <f t="shared" si="433"/>
        <v>0</v>
      </c>
      <c r="V726" s="1969">
        <f t="shared" si="434"/>
        <v>0</v>
      </c>
      <c r="W726" s="1969">
        <f t="shared" si="435"/>
        <v>0.14003599999999999</v>
      </c>
      <c r="X726" s="55">
        <f>'BUS Deemed Savings Table'!J397</f>
        <v>15</v>
      </c>
      <c r="Y726" s="55"/>
      <c r="Z726" s="55">
        <f t="shared" si="430"/>
        <v>15</v>
      </c>
      <c r="AA726" s="49">
        <f>'BUS Deemed Savings Table'!DG397</f>
        <v>2.3184342020725488</v>
      </c>
      <c r="AB726" s="698">
        <f>'BUS Deemed Savings Table'!K397</f>
        <v>100</v>
      </c>
      <c r="AC726" s="1975">
        <f t="shared" si="431"/>
        <v>218.82342634002345</v>
      </c>
      <c r="AD726" s="1975">
        <f t="shared" si="432"/>
        <v>0</v>
      </c>
      <c r="AE726" s="1380">
        <f>'BUS Deemed Savings Table'!DI397</f>
        <v>218.82342634002345</v>
      </c>
      <c r="AF726" s="571"/>
      <c r="AG726" s="571"/>
      <c r="AH726" s="571"/>
      <c r="AI726" s="2602" t="str">
        <f>'BUS Deemed Savings Table'!L397</f>
        <v>per ton</v>
      </c>
      <c r="AJ726" s="141"/>
      <c r="AM726" s="1596">
        <f t="shared" si="436"/>
        <v>9.1068400000000004E-4</v>
      </c>
      <c r="AN726">
        <f t="shared" si="438"/>
        <v>0.14003587868</v>
      </c>
      <c r="AO726" s="1595">
        <f t="shared" si="437"/>
        <v>-1.2131999999054344E-7</v>
      </c>
    </row>
    <row r="727" spans="1:48" x14ac:dyDescent="0.35">
      <c r="A727" s="103" t="str">
        <f t="shared" si="429"/>
        <v>803300</v>
      </c>
      <c r="B727" s="3346" t="str">
        <f>'BUS Deemed Savings Table'!C398</f>
        <v>803300_2020_07_</v>
      </c>
      <c r="C727" s="3343" t="str">
        <f>'BUS Deemed Savings Table'!G398</f>
        <v>Cooling BUS</v>
      </c>
      <c r="D727" s="3343"/>
      <c r="E727" s="3343"/>
      <c r="F727" s="3343"/>
      <c r="G727" s="3343" t="str">
        <f>'BUS Deemed Savings Table'!E398</f>
        <v>Single Packag or Split Sytem Unitary AC_DX 240 - 760kbtu</v>
      </c>
      <c r="H727" s="50" t="str">
        <f>'BUS Deemed Savings Table'!D398</f>
        <v>C&amp;I</v>
      </c>
      <c r="I727" s="1966">
        <f t="shared" si="439"/>
        <v>167.94</v>
      </c>
      <c r="J727" s="1966">
        <f t="shared" si="440"/>
        <v>0</v>
      </c>
      <c r="K727" s="560">
        <f>'BUS Deemed Savings Table'!F398</f>
        <v>167.94</v>
      </c>
      <c r="L727" s="560"/>
      <c r="M727" s="560"/>
      <c r="N727" s="560"/>
      <c r="O727" s="1967">
        <f t="shared" si="441"/>
        <v>0.15293999999999999</v>
      </c>
      <c r="P727" s="1967">
        <f t="shared" si="442"/>
        <v>0</v>
      </c>
      <c r="Q727" s="1967">
        <f>'BUS Deemed Savings Table'!I398</f>
        <v>0.15293999999999999</v>
      </c>
      <c r="R727" s="1968">
        <v>0</v>
      </c>
      <c r="S727" s="1968"/>
      <c r="T727" s="1968"/>
      <c r="U727" s="1969">
        <f t="shared" si="433"/>
        <v>0</v>
      </c>
      <c r="V727" s="1969">
        <f t="shared" si="434"/>
        <v>0</v>
      </c>
      <c r="W727" s="1969">
        <f t="shared" si="435"/>
        <v>0.15293999999999999</v>
      </c>
      <c r="X727" s="55">
        <f>'BUS Deemed Savings Table'!J398</f>
        <v>15</v>
      </c>
      <c r="Y727" s="55"/>
      <c r="Z727" s="55">
        <f t="shared" si="430"/>
        <v>15</v>
      </c>
      <c r="AA727" s="49">
        <f>'BUS Deemed Savings Table'!DG398</f>
        <v>2.5320793385970202</v>
      </c>
      <c r="AB727" s="698">
        <f>'BUS Deemed Savings Table'!K398</f>
        <v>100</v>
      </c>
      <c r="AC727" s="1975">
        <f t="shared" si="431"/>
        <v>238.98813955611325</v>
      </c>
      <c r="AD727" s="1975">
        <f t="shared" si="432"/>
        <v>0</v>
      </c>
      <c r="AE727" s="1380">
        <f>'BUS Deemed Savings Table'!DI398</f>
        <v>238.98813955611325</v>
      </c>
      <c r="AF727" s="571"/>
      <c r="AG727" s="571"/>
      <c r="AH727" s="571"/>
      <c r="AI727" s="2602" t="str">
        <f>'BUS Deemed Savings Table'!L398</f>
        <v>per ton</v>
      </c>
      <c r="AJ727" s="141"/>
      <c r="AM727" s="1596">
        <f t="shared" si="436"/>
        <v>9.1068400000000004E-4</v>
      </c>
      <c r="AN727">
        <f t="shared" si="438"/>
        <v>0.15294027096000001</v>
      </c>
      <c r="AO727" s="1595">
        <f t="shared" si="437"/>
        <v>2.709600000205814E-7</v>
      </c>
    </row>
    <row r="728" spans="1:48" x14ac:dyDescent="0.35">
      <c r="A728" s="103" t="str">
        <f t="shared" si="429"/>
        <v>803350</v>
      </c>
      <c r="B728" s="3346" t="str">
        <f>'BUS Deemed Savings Table'!C399</f>
        <v>803350_2020_07_</v>
      </c>
      <c r="C728" s="3343" t="str">
        <f>'BUS Deemed Savings Table'!G399</f>
        <v>Cooling BUS</v>
      </c>
      <c r="D728" s="3343"/>
      <c r="E728" s="3343"/>
      <c r="F728" s="3343"/>
      <c r="G728" s="3343" t="str">
        <f>'BUS Deemed Savings Table'!E399</f>
        <v>Single Packag or Split Sytem Unitary AC_DX 65 -135kbtu</v>
      </c>
      <c r="H728" s="50" t="str">
        <f>'BUS Deemed Savings Table'!D399</f>
        <v>C&amp;I</v>
      </c>
      <c r="I728" s="1966">
        <f t="shared" si="439"/>
        <v>148.68</v>
      </c>
      <c r="J728" s="1966">
        <f t="shared" si="440"/>
        <v>0</v>
      </c>
      <c r="K728" s="560">
        <f>'BUS Deemed Savings Table'!F399</f>
        <v>148.68</v>
      </c>
      <c r="L728" s="560"/>
      <c r="M728" s="560"/>
      <c r="N728" s="560"/>
      <c r="O728" s="1967">
        <f t="shared" si="441"/>
        <v>0.13539999999999999</v>
      </c>
      <c r="P728" s="1967">
        <f t="shared" si="442"/>
        <v>0</v>
      </c>
      <c r="Q728" s="1967">
        <f>'BUS Deemed Savings Table'!I399</f>
        <v>0.13539999999999999</v>
      </c>
      <c r="R728" s="1968">
        <v>0</v>
      </c>
      <c r="S728" s="1968"/>
      <c r="T728" s="1968"/>
      <c r="U728" s="1969">
        <f t="shared" si="433"/>
        <v>0</v>
      </c>
      <c r="V728" s="1969">
        <f t="shared" si="434"/>
        <v>0</v>
      </c>
      <c r="W728" s="1969">
        <f t="shared" si="435"/>
        <v>0.13539999999999999</v>
      </c>
      <c r="X728" s="55">
        <f>'BUS Deemed Savings Table'!J399</f>
        <v>15</v>
      </c>
      <c r="Y728" s="55"/>
      <c r="Z728" s="55">
        <f t="shared" si="430"/>
        <v>15</v>
      </c>
      <c r="AA728" s="49">
        <f>'BUS Deemed Savings Table'!DG399</f>
        <v>2.2416908185221209</v>
      </c>
      <c r="AB728" s="698">
        <f>'BUS Deemed Savings Table'!K399</f>
        <v>100</v>
      </c>
      <c r="AC728" s="1975">
        <f t="shared" si="431"/>
        <v>211.58006781709491</v>
      </c>
      <c r="AD728" s="1975">
        <f t="shared" si="432"/>
        <v>0</v>
      </c>
      <c r="AE728" s="1380">
        <f>'BUS Deemed Savings Table'!DI399</f>
        <v>211.58006781709491</v>
      </c>
      <c r="AF728" s="571"/>
      <c r="AG728" s="571"/>
      <c r="AH728" s="571"/>
      <c r="AI728" s="2602" t="str">
        <f>'BUS Deemed Savings Table'!L399</f>
        <v>per ton</v>
      </c>
      <c r="AJ728" s="141"/>
      <c r="AM728" s="1596">
        <f t="shared" si="436"/>
        <v>9.1068400000000004E-4</v>
      </c>
      <c r="AN728">
        <f t="shared" si="438"/>
        <v>0.13540049712000002</v>
      </c>
      <c r="AO728" s="1595">
        <f t="shared" si="437"/>
        <v>4.9712000002588574E-7</v>
      </c>
    </row>
    <row r="729" spans="1:48" x14ac:dyDescent="0.35">
      <c r="A729" s="103" t="str">
        <f t="shared" si="429"/>
        <v>803400</v>
      </c>
      <c r="B729" s="3346" t="str">
        <f>'BUS Deemed Savings Table'!C400</f>
        <v>803400_2020_07_</v>
      </c>
      <c r="C729" s="3343" t="str">
        <f>'BUS Deemed Savings Table'!G400</f>
        <v>Cooling BUS</v>
      </c>
      <c r="D729" s="3343"/>
      <c r="E729" s="3343"/>
      <c r="F729" s="3343"/>
      <c r="G729" s="3343" t="str">
        <f>'BUS Deemed Savings Table'!E400</f>
        <v>Single Packag or Split Sytem Unitary AC_DX &gt;760kbtu</v>
      </c>
      <c r="H729" s="50" t="str">
        <f>'BUS Deemed Savings Table'!D400</f>
        <v>C&amp;I</v>
      </c>
      <c r="I729" s="1966">
        <f t="shared" si="439"/>
        <v>167.52</v>
      </c>
      <c r="J729" s="1966">
        <f t="shared" si="440"/>
        <v>0</v>
      </c>
      <c r="K729" s="560">
        <f>'BUS Deemed Savings Table'!F400</f>
        <v>167.52</v>
      </c>
      <c r="L729" s="560"/>
      <c r="M729" s="560"/>
      <c r="N729" s="560"/>
      <c r="O729" s="1967">
        <f t="shared" si="441"/>
        <v>0.152558</v>
      </c>
      <c r="P729" s="1967">
        <f t="shared" si="442"/>
        <v>0</v>
      </c>
      <c r="Q729" s="1967">
        <f>'BUS Deemed Savings Table'!I400</f>
        <v>0.152558</v>
      </c>
      <c r="R729" s="1968">
        <v>0</v>
      </c>
      <c r="S729" s="1968"/>
      <c r="T729" s="1968"/>
      <c r="U729" s="1969">
        <f t="shared" si="433"/>
        <v>0</v>
      </c>
      <c r="V729" s="1969">
        <f t="shared" si="434"/>
        <v>0</v>
      </c>
      <c r="W729" s="1969">
        <f t="shared" si="435"/>
        <v>0.152558</v>
      </c>
      <c r="X729" s="55">
        <f>'BUS Deemed Savings Table'!J400</f>
        <v>15</v>
      </c>
      <c r="Y729" s="55"/>
      <c r="Z729" s="55">
        <f t="shared" si="430"/>
        <v>15</v>
      </c>
      <c r="AA729" s="49">
        <f>'BUS Deemed Savings Table'!DG400</f>
        <v>2.5257468786576922</v>
      </c>
      <c r="AB729" s="698">
        <f>'BUS Deemed Savings Table'!K400</f>
        <v>100</v>
      </c>
      <c r="AC729" s="1975">
        <f t="shared" si="431"/>
        <v>238.39045574872034</v>
      </c>
      <c r="AD729" s="1975">
        <f t="shared" si="432"/>
        <v>0</v>
      </c>
      <c r="AE729" s="1380">
        <f>'BUS Deemed Savings Table'!DI400</f>
        <v>238.39045574872034</v>
      </c>
      <c r="AF729" s="571"/>
      <c r="AG729" s="571"/>
      <c r="AH729" s="571"/>
      <c r="AI729" s="2602" t="str">
        <f>'BUS Deemed Savings Table'!L400</f>
        <v>per ton</v>
      </c>
      <c r="AJ729" s="141"/>
      <c r="AM729" s="1596">
        <f t="shared" si="436"/>
        <v>9.1068400000000004E-4</v>
      </c>
      <c r="AN729">
        <f t="shared" si="438"/>
        <v>0.15255778368</v>
      </c>
      <c r="AO729" s="1595">
        <f t="shared" si="437"/>
        <v>-2.1631999999605078E-7</v>
      </c>
    </row>
    <row r="730" spans="1:48" x14ac:dyDescent="0.35">
      <c r="A730" s="103" t="str">
        <f t="shared" si="429"/>
        <v>803450</v>
      </c>
      <c r="B730" s="3346" t="str">
        <f>'BUS Deemed Savings Table'!C401</f>
        <v>803450_2020_07_</v>
      </c>
      <c r="C730" s="3343" t="str">
        <f>'BUS Deemed Savings Table'!G401</f>
        <v>Cooling BUS</v>
      </c>
      <c r="D730" s="3343"/>
      <c r="E730" s="3343"/>
      <c r="F730" s="3343"/>
      <c r="G730" s="3343" t="str">
        <f>'BUS Deemed Savings Table'!E401</f>
        <v>Single Packag or Split Sytem Unitary AC_DX &lt;65kbtu</v>
      </c>
      <c r="H730" s="50" t="str">
        <f>'BUS Deemed Savings Table'!D401</f>
        <v>C&amp;I</v>
      </c>
      <c r="I730" s="1966">
        <f t="shared" si="439"/>
        <v>129.6</v>
      </c>
      <c r="J730" s="1966">
        <f t="shared" si="440"/>
        <v>0</v>
      </c>
      <c r="K730" s="560">
        <f>'BUS Deemed Savings Table'!F401</f>
        <v>129.6</v>
      </c>
      <c r="L730" s="560"/>
      <c r="M730" s="560"/>
      <c r="N730" s="560"/>
      <c r="O730" s="1967">
        <f t="shared" si="441"/>
        <v>0.118025</v>
      </c>
      <c r="P730" s="1967">
        <f t="shared" si="442"/>
        <v>0</v>
      </c>
      <c r="Q730" s="1967">
        <f>'BUS Deemed Savings Table'!I401</f>
        <v>0.118025</v>
      </c>
      <c r="R730" s="1968">
        <v>0</v>
      </c>
      <c r="S730" s="1968"/>
      <c r="T730" s="1968"/>
      <c r="U730" s="1969">
        <f t="shared" si="433"/>
        <v>0</v>
      </c>
      <c r="V730" s="1969">
        <f t="shared" si="434"/>
        <v>0</v>
      </c>
      <c r="W730" s="1969">
        <f t="shared" si="435"/>
        <v>0.118025</v>
      </c>
      <c r="X730" s="55">
        <f>'BUS Deemed Savings Table'!J401</f>
        <v>15</v>
      </c>
      <c r="Y730" s="55"/>
      <c r="Z730" s="55">
        <f t="shared" si="430"/>
        <v>15</v>
      </c>
      <c r="AA730" s="49">
        <f>'BUS Deemed Savings Table'!DG401</f>
        <v>1.9540162098497904</v>
      </c>
      <c r="AB730" s="698">
        <f>'BUS Deemed Savings Table'!K401</f>
        <v>100</v>
      </c>
      <c r="AC730" s="1975">
        <f t="shared" si="431"/>
        <v>184.42814628124495</v>
      </c>
      <c r="AD730" s="1975">
        <f t="shared" si="432"/>
        <v>0</v>
      </c>
      <c r="AE730" s="1380">
        <f>'BUS Deemed Savings Table'!DI401</f>
        <v>184.42814628124495</v>
      </c>
      <c r="AF730" s="571"/>
      <c r="AG730" s="571"/>
      <c r="AH730" s="571"/>
      <c r="AI730" s="2602" t="str">
        <f>'BUS Deemed Savings Table'!L401</f>
        <v>per ton</v>
      </c>
      <c r="AJ730" s="141"/>
      <c r="AM730" s="1596">
        <f t="shared" si="436"/>
        <v>9.1068400000000004E-4</v>
      </c>
      <c r="AN730">
        <f t="shared" si="438"/>
        <v>0.1180246464</v>
      </c>
      <c r="AO730" s="1595">
        <f t="shared" si="437"/>
        <v>-3.5360000000261849E-7</v>
      </c>
    </row>
    <row r="731" spans="1:48" x14ac:dyDescent="0.35">
      <c r="A731" s="103" t="str">
        <f t="shared" si="429"/>
        <v>803500</v>
      </c>
      <c r="B731" s="3346" t="str">
        <f>'BUS Deemed Savings Table'!C419</f>
        <v>803500_2019_12_</v>
      </c>
      <c r="C731" s="3343" t="str">
        <f>'BUS Deemed Savings Table'!I419</f>
        <v>Cooling BUS</v>
      </c>
      <c r="D731" s="3343" t="str">
        <f>'BUS Deemed Savings Table'!J419</f>
        <v>Heating BUS</v>
      </c>
      <c r="E731" s="3343"/>
      <c r="F731" s="3343"/>
      <c r="G731" s="3343" t="str">
        <f>'BUS Deemed Savings Table'!E419</f>
        <v>GSHP &lt;135kbtu; ≥17EER</v>
      </c>
      <c r="H731" s="50" t="str">
        <f>'BUS Deemed Savings Table'!D419</f>
        <v>C&amp;I</v>
      </c>
      <c r="I731" s="1966">
        <f t="shared" si="439"/>
        <v>64.7</v>
      </c>
      <c r="J731" s="1966">
        <f t="shared" si="440"/>
        <v>0</v>
      </c>
      <c r="K731" s="560">
        <f>'BUS Deemed Savings Table'!F419</f>
        <v>36.71</v>
      </c>
      <c r="L731" s="560">
        <f>'BUS Deemed Savings Table'!G419</f>
        <v>27.99</v>
      </c>
      <c r="M731" s="560"/>
      <c r="N731" s="560"/>
      <c r="O731" s="1967">
        <f t="shared" si="441"/>
        <v>3.3431000000000002E-2</v>
      </c>
      <c r="P731" s="1967">
        <f t="shared" si="442"/>
        <v>0</v>
      </c>
      <c r="Q731" s="1968">
        <f>'BUS Deemed Savings Table'!L419</f>
        <v>3.3431000000000002E-2</v>
      </c>
      <c r="R731" s="1968">
        <v>0</v>
      </c>
      <c r="S731" s="1968"/>
      <c r="T731" s="1968"/>
      <c r="U731" s="1969">
        <f t="shared" si="433"/>
        <v>0</v>
      </c>
      <c r="V731" s="1969">
        <f t="shared" si="434"/>
        <v>0</v>
      </c>
      <c r="W731" s="1969">
        <f t="shared" si="435"/>
        <v>3.3431000000000002E-2</v>
      </c>
      <c r="X731" s="55">
        <f>'BUS Deemed Savings Table'!M419</f>
        <v>15</v>
      </c>
      <c r="Y731" s="55"/>
      <c r="Z731" s="55">
        <f t="shared" si="430"/>
        <v>15</v>
      </c>
      <c r="AA731" s="49">
        <f>'BUS Deemed Savings Table'!DG419</f>
        <v>0.37001235617535433</v>
      </c>
      <c r="AB731" s="698">
        <f>'BUS Deemed Savings Table'!N419</f>
        <v>180</v>
      </c>
      <c r="AC731" s="1975">
        <f t="shared" si="431"/>
        <v>52.240410879510051</v>
      </c>
      <c r="AD731" s="1975">
        <f t="shared" si="432"/>
        <v>0</v>
      </c>
      <c r="AE731" s="1380">
        <f>'BUS Deemed Savings Table'!DI419</f>
        <v>52.240410879510051</v>
      </c>
      <c r="AF731" s="571"/>
      <c r="AG731" s="571"/>
      <c r="AH731" s="571"/>
      <c r="AI731" s="2603" t="str">
        <f>'BUS Deemed Savings Table'!O419</f>
        <v>per ton</v>
      </c>
      <c r="AJ731" s="141"/>
      <c r="AM731" s="1596">
        <f t="shared" si="436"/>
        <v>9.1068400000000004E-4</v>
      </c>
      <c r="AN731" s="1499">
        <f t="shared" ref="AN731:AN736" si="443">AM731*K731</f>
        <v>3.3431209640000001E-2</v>
      </c>
      <c r="AO731" s="1595">
        <f t="shared" si="437"/>
        <v>2.0963999999845662E-7</v>
      </c>
    </row>
    <row r="732" spans="1:48" x14ac:dyDescent="0.35">
      <c r="A732" s="103" t="str">
        <f t="shared" si="429"/>
        <v>803550</v>
      </c>
      <c r="B732" s="3346" t="str">
        <f>'BUS Deemed Savings Table'!C420</f>
        <v>803550_2019_12_</v>
      </c>
      <c r="C732" s="3343" t="str">
        <f>'BUS Deemed Savings Table'!I420</f>
        <v>Cooling BUS</v>
      </c>
      <c r="D732" s="3343" t="str">
        <f>'BUS Deemed Savings Table'!J420</f>
        <v>Heating BUS</v>
      </c>
      <c r="E732" s="3343"/>
      <c r="F732" s="3343"/>
      <c r="G732" s="3343" t="str">
        <f>'BUS Deemed Savings Table'!E420</f>
        <v>GSHP &lt;135kbtu; ≥19EER</v>
      </c>
      <c r="H732" s="50" t="str">
        <f>'BUS Deemed Savings Table'!D420</f>
        <v>C&amp;I</v>
      </c>
      <c r="I732" s="1966">
        <f t="shared" si="439"/>
        <v>142.94</v>
      </c>
      <c r="J732" s="1966">
        <f t="shared" si="440"/>
        <v>0</v>
      </c>
      <c r="K732" s="560">
        <f>'BUS Deemed Savings Table'!F420</f>
        <v>114.95</v>
      </c>
      <c r="L732" s="560">
        <f>'BUS Deemed Savings Table'!G420</f>
        <v>27.99</v>
      </c>
      <c r="M732" s="560"/>
      <c r="N732" s="560"/>
      <c r="O732" s="1967">
        <f t="shared" si="441"/>
        <v>0.104683</v>
      </c>
      <c r="P732" s="1967">
        <f t="shared" si="442"/>
        <v>0</v>
      </c>
      <c r="Q732" s="1968">
        <f>'BUS Deemed Savings Table'!L420</f>
        <v>0.104683</v>
      </c>
      <c r="R732" s="1968">
        <v>0</v>
      </c>
      <c r="S732" s="1968"/>
      <c r="T732" s="1968"/>
      <c r="U732" s="1969">
        <f t="shared" si="433"/>
        <v>0</v>
      </c>
      <c r="V732" s="1969">
        <f t="shared" si="434"/>
        <v>0</v>
      </c>
      <c r="W732" s="1969">
        <f t="shared" si="435"/>
        <v>0.104683</v>
      </c>
      <c r="X732" s="55">
        <f>'BUS Deemed Savings Table'!M420</f>
        <v>15</v>
      </c>
      <c r="Y732" s="55"/>
      <c r="Z732" s="55">
        <f t="shared" si="430"/>
        <v>15</v>
      </c>
      <c r="AA732" s="49">
        <f>'BUS Deemed Savings Table'!DG420</f>
        <v>1.0253717022772388</v>
      </c>
      <c r="AB732" s="698">
        <f>'BUS Deemed Savings Table'!N420</f>
        <v>180</v>
      </c>
      <c r="AC732" s="1975">
        <f t="shared" si="431"/>
        <v>163.58036585670609</v>
      </c>
      <c r="AD732" s="1975">
        <f t="shared" si="432"/>
        <v>0</v>
      </c>
      <c r="AE732" s="1380">
        <f>'BUS Deemed Savings Table'!DI420</f>
        <v>163.58036585670609</v>
      </c>
      <c r="AF732" s="571"/>
      <c r="AG732" s="571"/>
      <c r="AH732" s="571"/>
      <c r="AI732" s="2603" t="str">
        <f>'BUS Deemed Savings Table'!O420</f>
        <v>per ton</v>
      </c>
      <c r="AJ732" s="141"/>
      <c r="AM732" s="1596">
        <f t="shared" si="436"/>
        <v>9.1068400000000004E-4</v>
      </c>
      <c r="AN732" s="1499">
        <f t="shared" si="443"/>
        <v>0.10468312580000001</v>
      </c>
      <c r="AO732" s="1595">
        <f t="shared" si="437"/>
        <v>1.258000000142756E-7</v>
      </c>
    </row>
    <row r="733" spans="1:48" x14ac:dyDescent="0.35">
      <c r="A733" s="103" t="str">
        <f t="shared" si="429"/>
        <v>803600</v>
      </c>
      <c r="B733" s="3346" t="str">
        <f>'BUS Deemed Savings Table'!C421</f>
        <v>803600_2020_07_</v>
      </c>
      <c r="C733" s="3343" t="str">
        <f>'BUS Deemed Savings Table'!I421</f>
        <v>Cooling BUS</v>
      </c>
      <c r="D733" s="3343" t="str">
        <f>'BUS Deemed Savings Table'!J421</f>
        <v>Heating BUS</v>
      </c>
      <c r="E733" s="3343"/>
      <c r="F733" s="3343"/>
      <c r="G733" s="3343" t="str">
        <f>'BUS Deemed Savings Table'!E421</f>
        <v>ASHP 65 - 135kbtu</v>
      </c>
      <c r="H733" s="50" t="str">
        <f>'BUS Deemed Savings Table'!D421</f>
        <v>C&amp;I</v>
      </c>
      <c r="I733" s="1966">
        <f t="shared" si="439"/>
        <v>340.37</v>
      </c>
      <c r="J733" s="1966">
        <f t="shared" si="440"/>
        <v>0</v>
      </c>
      <c r="K733" s="560">
        <f>'BUS Deemed Savings Table'!F421</f>
        <v>117.33</v>
      </c>
      <c r="L733" s="560">
        <f>'BUS Deemed Savings Table'!G421</f>
        <v>223.04</v>
      </c>
      <c r="M733" s="560"/>
      <c r="N733" s="560"/>
      <c r="O733" s="1967">
        <f t="shared" si="441"/>
        <v>0.106851</v>
      </c>
      <c r="P733" s="1967">
        <f t="shared" si="442"/>
        <v>0</v>
      </c>
      <c r="Q733" s="1968">
        <f>'BUS Deemed Savings Table'!L421</f>
        <v>0.106851</v>
      </c>
      <c r="R733" s="1968">
        <v>0</v>
      </c>
      <c r="S733" s="1968"/>
      <c r="T733" s="1968"/>
      <c r="U733" s="1969">
        <f t="shared" si="433"/>
        <v>0</v>
      </c>
      <c r="V733" s="1969">
        <f t="shared" si="434"/>
        <v>0</v>
      </c>
      <c r="W733" s="1969">
        <f t="shared" si="435"/>
        <v>0.106851</v>
      </c>
      <c r="X733" s="55">
        <f>'BUS Deemed Savings Table'!M421</f>
        <v>15</v>
      </c>
      <c r="Y733" s="55"/>
      <c r="Z733" s="55">
        <f t="shared" si="430"/>
        <v>15</v>
      </c>
      <c r="AA733" s="49">
        <f>'BUS Deemed Savings Table'!DG421</f>
        <v>2.6657605380389646</v>
      </c>
      <c r="AB733" s="698">
        <f>'BUS Deemed Savings Table'!N421</f>
        <v>100</v>
      </c>
      <c r="AC733" s="1975">
        <f t="shared" si="431"/>
        <v>166.96724076526598</v>
      </c>
      <c r="AD733" s="1975">
        <f t="shared" si="432"/>
        <v>0</v>
      </c>
      <c r="AE733" s="1380">
        <f>'BUS Deemed Savings Table'!DI421</f>
        <v>166.96724076526598</v>
      </c>
      <c r="AF733" s="571"/>
      <c r="AG733" s="571"/>
      <c r="AH733" s="571"/>
      <c r="AI733" s="2603" t="str">
        <f>'BUS Deemed Savings Table'!O421</f>
        <v>per ton</v>
      </c>
      <c r="AJ733" s="141"/>
      <c r="AM733" s="1596">
        <f t="shared" si="436"/>
        <v>9.1068400000000004E-4</v>
      </c>
      <c r="AN733" s="1499">
        <f t="shared" si="443"/>
        <v>0.10685055372</v>
      </c>
      <c r="AO733" s="1595">
        <f t="shared" si="437"/>
        <v>-4.4627999999657941E-7</v>
      </c>
    </row>
    <row r="734" spans="1:48" x14ac:dyDescent="0.35">
      <c r="A734" s="103" t="str">
        <f t="shared" si="429"/>
        <v>803650</v>
      </c>
      <c r="B734" s="3346" t="str">
        <f>'BUS Deemed Savings Table'!C422</f>
        <v>803650_2020_07_</v>
      </c>
      <c r="C734" s="3343" t="str">
        <f>'BUS Deemed Savings Table'!I422</f>
        <v>Cooling BUS</v>
      </c>
      <c r="D734" s="3343" t="str">
        <f>'BUS Deemed Savings Table'!J422</f>
        <v>Heating BUS</v>
      </c>
      <c r="E734" s="3343"/>
      <c r="F734" s="3343"/>
      <c r="G734" s="3343" t="str">
        <f>'BUS Deemed Savings Table'!E422</f>
        <v>ASHP 135 - 240kbtu</v>
      </c>
      <c r="H734" s="50" t="str">
        <f>'BUS Deemed Savings Table'!D422</f>
        <v>C&amp;I</v>
      </c>
      <c r="I734" s="1966">
        <f t="shared" si="439"/>
        <v>393.13</v>
      </c>
      <c r="J734" s="1966">
        <f t="shared" si="440"/>
        <v>0</v>
      </c>
      <c r="K734" s="560">
        <f>'BUS Deemed Savings Table'!F422</f>
        <v>127.93</v>
      </c>
      <c r="L734" s="560">
        <f>'BUS Deemed Savings Table'!G422</f>
        <v>265.2</v>
      </c>
      <c r="M734" s="560"/>
      <c r="N734" s="560"/>
      <c r="O734" s="1967">
        <f t="shared" si="441"/>
        <v>0.116504</v>
      </c>
      <c r="P734" s="1967">
        <f t="shared" si="442"/>
        <v>0</v>
      </c>
      <c r="Q734" s="1968">
        <f>'BUS Deemed Savings Table'!L422</f>
        <v>0.116504</v>
      </c>
      <c r="R734" s="1968">
        <v>0</v>
      </c>
      <c r="S734" s="1968"/>
      <c r="T734" s="1968"/>
      <c r="U734" s="1969">
        <f t="shared" si="433"/>
        <v>0</v>
      </c>
      <c r="V734" s="1969">
        <f t="shared" si="434"/>
        <v>0</v>
      </c>
      <c r="W734" s="1969">
        <f t="shared" si="435"/>
        <v>0.116504</v>
      </c>
      <c r="X734" s="55">
        <f>'BUS Deemed Savings Table'!M422</f>
        <v>15</v>
      </c>
      <c r="Y734" s="55"/>
      <c r="Z734" s="55">
        <f t="shared" si="430"/>
        <v>15</v>
      </c>
      <c r="AA734" s="49">
        <f>'BUS Deemed Savings Table'!DG422</f>
        <v>2.9950859924331734</v>
      </c>
      <c r="AB734" s="698">
        <f>'BUS Deemed Savings Table'!N422</f>
        <v>100</v>
      </c>
      <c r="AC734" s="1975">
        <f t="shared" si="431"/>
        <v>182.05164161851596</v>
      </c>
      <c r="AD734" s="1975">
        <f t="shared" si="432"/>
        <v>0</v>
      </c>
      <c r="AE734" s="1380">
        <f>'BUS Deemed Savings Table'!DI422</f>
        <v>182.05164161851596</v>
      </c>
      <c r="AF734" s="571"/>
      <c r="AG734" s="571"/>
      <c r="AH734" s="571"/>
      <c r="AI734" s="2603" t="str">
        <f>'BUS Deemed Savings Table'!O422</f>
        <v>per ton</v>
      </c>
      <c r="AJ734" s="141"/>
      <c r="AM734" s="1596">
        <f t="shared" si="436"/>
        <v>9.1068400000000004E-4</v>
      </c>
      <c r="AN734" s="1499">
        <f t="shared" si="443"/>
        <v>0.11650380412000001</v>
      </c>
      <c r="AO734" s="1595">
        <f t="shared" si="437"/>
        <v>-1.9587999998404992E-7</v>
      </c>
    </row>
    <row r="735" spans="1:48" x14ac:dyDescent="0.35">
      <c r="A735" s="103" t="str">
        <f t="shared" si="429"/>
        <v>803700</v>
      </c>
      <c r="B735" s="3346" t="str">
        <f>'BUS Deemed Savings Table'!C423</f>
        <v>803700_2020_07_</v>
      </c>
      <c r="C735" s="3343" t="str">
        <f>'BUS Deemed Savings Table'!I423</f>
        <v>Cooling BUS</v>
      </c>
      <c r="D735" s="3343" t="str">
        <f>'BUS Deemed Savings Table'!J423</f>
        <v>Heating BUS</v>
      </c>
      <c r="E735" s="3343"/>
      <c r="F735" s="3343"/>
      <c r="G735" s="3343" t="str">
        <f>'BUS Deemed Savings Table'!E423</f>
        <v>ASHP &gt;240kbtu</v>
      </c>
      <c r="H735" s="50" t="str">
        <f>'BUS Deemed Savings Table'!D423</f>
        <v>C&amp;I</v>
      </c>
      <c r="I735" s="1966">
        <f t="shared" si="439"/>
        <v>411.45</v>
      </c>
      <c r="J735" s="1966">
        <f t="shared" si="440"/>
        <v>0</v>
      </c>
      <c r="K735" s="560">
        <f>'BUS Deemed Savings Table'!F423</f>
        <v>146.25</v>
      </c>
      <c r="L735" s="560">
        <f>'BUS Deemed Savings Table'!G423</f>
        <v>265.2</v>
      </c>
      <c r="M735" s="560"/>
      <c r="N735" s="560"/>
      <c r="O735" s="1967">
        <f t="shared" si="441"/>
        <v>0.133188</v>
      </c>
      <c r="P735" s="1967">
        <f t="shared" si="442"/>
        <v>0</v>
      </c>
      <c r="Q735" s="1968">
        <f>'BUS Deemed Savings Table'!L423</f>
        <v>0.133188</v>
      </c>
      <c r="R735" s="1968">
        <v>0</v>
      </c>
      <c r="S735" s="1968"/>
      <c r="T735" s="1968"/>
      <c r="U735" s="1969">
        <f t="shared" si="433"/>
        <v>0</v>
      </c>
      <c r="V735" s="1969">
        <f t="shared" si="434"/>
        <v>0</v>
      </c>
      <c r="W735" s="1969">
        <f t="shared" si="435"/>
        <v>0.133188</v>
      </c>
      <c r="X735" s="55">
        <f>'BUS Deemed Savings Table'!M423</f>
        <v>15</v>
      </c>
      <c r="Y735" s="55"/>
      <c r="Z735" s="55">
        <f t="shared" si="430"/>
        <v>15</v>
      </c>
      <c r="AA735" s="49">
        <f>'BUS Deemed Savings Table'!DG423</f>
        <v>3.2713018640724343</v>
      </c>
      <c r="AB735" s="698">
        <f>'BUS Deemed Savings Table'!N423</f>
        <v>100</v>
      </c>
      <c r="AC735" s="1975">
        <f t="shared" si="431"/>
        <v>208.12204007432157</v>
      </c>
      <c r="AD735" s="1975">
        <f t="shared" si="432"/>
        <v>0</v>
      </c>
      <c r="AE735" s="1380">
        <f>'BUS Deemed Savings Table'!DI423</f>
        <v>208.12204007432157</v>
      </c>
      <c r="AF735" s="571"/>
      <c r="AG735" s="571"/>
      <c r="AH735" s="571"/>
      <c r="AI735" s="2603" t="str">
        <f>'BUS Deemed Savings Table'!O423</f>
        <v>per ton</v>
      </c>
      <c r="AJ735" s="141"/>
      <c r="AM735" s="1596">
        <f t="shared" si="436"/>
        <v>9.1068400000000004E-4</v>
      </c>
      <c r="AN735" s="1499">
        <f t="shared" si="443"/>
        <v>0.133187535</v>
      </c>
      <c r="AO735" s="1595">
        <f t="shared" si="437"/>
        <v>-4.6500000000504471E-7</v>
      </c>
    </row>
    <row r="736" spans="1:48" s="84" customFormat="1" x14ac:dyDescent="0.35">
      <c r="A736" s="103" t="str">
        <f t="shared" si="429"/>
        <v>803750</v>
      </c>
      <c r="B736" s="3346" t="str">
        <f>'BUS Deemed Savings Table'!C424</f>
        <v>803750_2020_07_</v>
      </c>
      <c r="C736" s="3343" t="str">
        <f>'BUS Deemed Savings Table'!I424</f>
        <v>Cooling BUS</v>
      </c>
      <c r="D736" s="3343" t="str">
        <f>'BUS Deemed Savings Table'!J424</f>
        <v>Heating BUS</v>
      </c>
      <c r="E736" s="3343"/>
      <c r="F736" s="3343"/>
      <c r="G736" s="3343" t="str">
        <f>'BUS Deemed Savings Table'!E424</f>
        <v>ASHP &lt;65kbtu</v>
      </c>
      <c r="H736" s="50" t="str">
        <f>'BUS Deemed Savings Table'!D424</f>
        <v>C&amp;I</v>
      </c>
      <c r="I736" s="1966">
        <f t="shared" si="439"/>
        <v>329.25</v>
      </c>
      <c r="J736" s="1966">
        <f t="shared" si="440"/>
        <v>0</v>
      </c>
      <c r="K736" s="560">
        <f>'BUS Deemed Savings Table'!F424</f>
        <v>106.52</v>
      </c>
      <c r="L736" s="560">
        <f>'BUS Deemed Savings Table'!G424</f>
        <v>222.73</v>
      </c>
      <c r="M736" s="560"/>
      <c r="N736" s="560"/>
      <c r="O736" s="1967">
        <f t="shared" si="441"/>
        <v>9.7005999999999995E-2</v>
      </c>
      <c r="P736" s="1967">
        <f t="shared" si="442"/>
        <v>0</v>
      </c>
      <c r="Q736" s="1968">
        <f>'BUS Deemed Savings Table'!L424</f>
        <v>9.7005999999999995E-2</v>
      </c>
      <c r="R736" s="1968">
        <v>0</v>
      </c>
      <c r="S736" s="1968"/>
      <c r="T736" s="1968"/>
      <c r="U736" s="1969">
        <f t="shared" si="433"/>
        <v>0</v>
      </c>
      <c r="V736" s="1969">
        <f t="shared" si="434"/>
        <v>0</v>
      </c>
      <c r="W736" s="1969">
        <f t="shared" si="435"/>
        <v>9.7005999999999995E-2</v>
      </c>
      <c r="X736" s="55">
        <f>'BUS Deemed Savings Table'!M424</f>
        <v>15</v>
      </c>
      <c r="Y736" s="55"/>
      <c r="Z736" s="55">
        <f t="shared" si="430"/>
        <v>15</v>
      </c>
      <c r="AA736" s="49">
        <f>'BUS Deemed Savings Table'!DG424</f>
        <v>2.5015287117103377</v>
      </c>
      <c r="AB736" s="698">
        <f>'BUS Deemed Savings Table'!N424</f>
        <v>100</v>
      </c>
      <c r="AC736" s="1975">
        <f t="shared" si="431"/>
        <v>151.58399800831955</v>
      </c>
      <c r="AD736" s="1975">
        <f t="shared" si="432"/>
        <v>0</v>
      </c>
      <c r="AE736" s="1380">
        <f>'BUS Deemed Savings Table'!DI424</f>
        <v>151.58399800831955</v>
      </c>
      <c r="AF736" s="571"/>
      <c r="AG736" s="571"/>
      <c r="AH736" s="571"/>
      <c r="AI736" s="2603" t="str">
        <f>'BUS Deemed Savings Table'!O424</f>
        <v>per ton</v>
      </c>
      <c r="AJ736" s="141"/>
      <c r="AK736"/>
      <c r="AL736"/>
      <c r="AM736" s="1596">
        <f t="shared" si="436"/>
        <v>9.1068400000000004E-4</v>
      </c>
      <c r="AN736" s="1499">
        <f t="shared" si="443"/>
        <v>9.7006059680000006E-2</v>
      </c>
      <c r="AO736" s="1595">
        <f t="shared" si="437"/>
        <v>5.9680000011330669E-8</v>
      </c>
      <c r="AP736"/>
      <c r="AQ736"/>
      <c r="AR736"/>
      <c r="AS736"/>
      <c r="AT736"/>
      <c r="AU736"/>
      <c r="AV736"/>
    </row>
    <row r="737" spans="1:48" x14ac:dyDescent="0.35">
      <c r="A737" s="103" t="str">
        <f t="shared" si="429"/>
        <v>803800</v>
      </c>
      <c r="B737" s="3346" t="str">
        <f>'BUS Deemed Savings Table'!C444</f>
        <v>803800_2019_12_</v>
      </c>
      <c r="C737" s="3343" t="str">
        <f>'BUS Deemed Savings Table'!G444</f>
        <v>Cooling BUS</v>
      </c>
      <c r="D737" s="3343"/>
      <c r="E737" s="3343"/>
      <c r="F737" s="3343"/>
      <c r="G737" s="3343" t="str">
        <f>'BUS Deemed Savings Table'!E444</f>
        <v>Air Cooled Chiller</v>
      </c>
      <c r="H737" s="50" t="str">
        <f>'BUS Deemed Savings Table'!D444</f>
        <v>C&amp;I</v>
      </c>
      <c r="I737" s="1966">
        <f t="shared" si="439"/>
        <v>411</v>
      </c>
      <c r="J737" s="1966">
        <f t="shared" si="440"/>
        <v>0</v>
      </c>
      <c r="K737" s="560">
        <f>'BUS Deemed Savings Table'!F444</f>
        <v>411</v>
      </c>
      <c r="L737" s="560"/>
      <c r="M737" s="560"/>
      <c r="N737" s="560"/>
      <c r="O737" s="1967">
        <f t="shared" si="441"/>
        <v>0.37429099999999998</v>
      </c>
      <c r="P737" s="1967">
        <f t="shared" si="442"/>
        <v>0</v>
      </c>
      <c r="Q737" s="1967">
        <f>'BUS Deemed Savings Table'!I444</f>
        <v>0.37429099999999998</v>
      </c>
      <c r="R737" s="1968">
        <v>0</v>
      </c>
      <c r="S737" s="1968"/>
      <c r="T737" s="1968"/>
      <c r="U737" s="1969">
        <f t="shared" si="433"/>
        <v>0</v>
      </c>
      <c r="V737" s="1969">
        <f t="shared" si="434"/>
        <v>0</v>
      </c>
      <c r="W737" s="1969">
        <f t="shared" si="435"/>
        <v>0.37429099999999998</v>
      </c>
      <c r="X737" s="55">
        <f>'BUS Deemed Savings Table'!J444</f>
        <v>20</v>
      </c>
      <c r="Y737" s="55"/>
      <c r="Z737" s="55">
        <f t="shared" si="430"/>
        <v>20</v>
      </c>
      <c r="AA737" s="49">
        <f>'BUS Deemed Savings Table'!DG444</f>
        <v>7.2242680721638255</v>
      </c>
      <c r="AB737" s="698">
        <f>'BUS Deemed Savings Table'!K444</f>
        <v>106.23</v>
      </c>
      <c r="AC737" s="1975">
        <f t="shared" si="431"/>
        <v>724.33600500798786</v>
      </c>
      <c r="AD737" s="1975">
        <f t="shared" si="432"/>
        <v>0</v>
      </c>
      <c r="AE737" s="1380">
        <f>'BUS Deemed Savings Table'!DI444</f>
        <v>724.33600500798786</v>
      </c>
      <c r="AF737" s="571"/>
      <c r="AG737" s="571"/>
      <c r="AH737" s="571"/>
      <c r="AI737" s="2602" t="str">
        <f>'BUS Deemed Savings Table'!L444</f>
        <v>per ton</v>
      </c>
      <c r="AJ737" s="141"/>
      <c r="AM737" s="1596">
        <f t="shared" si="436"/>
        <v>9.1068400000000004E-4</v>
      </c>
      <c r="AN737">
        <f t="shared" ref="AN737:AN777" si="444">AM737*I737</f>
        <v>0.37429112400000003</v>
      </c>
      <c r="AO737" s="1595">
        <f t="shared" si="437"/>
        <v>1.2400000004575418E-7</v>
      </c>
    </row>
    <row r="738" spans="1:48" x14ac:dyDescent="0.35">
      <c r="A738" s="103" t="str">
        <f t="shared" si="429"/>
        <v>803810</v>
      </c>
      <c r="B738" s="3346" t="str">
        <f>'BUS Deemed Savings Table'!C445</f>
        <v>803810_2021_12_</v>
      </c>
      <c r="C738" s="3343" t="str">
        <f>'BUS Deemed Savings Table'!G445</f>
        <v>Cooling BUS</v>
      </c>
      <c r="D738" s="3343"/>
      <c r="E738" s="3343"/>
      <c r="F738" s="3343"/>
      <c r="G738" s="3343" t="str">
        <f>'BUS Deemed Savings Table'!E445</f>
        <v>Water Cooled Chiller</v>
      </c>
      <c r="H738" s="50" t="str">
        <f>'BUS Deemed Savings Table'!D445</f>
        <v>C&amp;I</v>
      </c>
      <c r="I738" s="1966">
        <f t="shared" si="439"/>
        <v>122.15</v>
      </c>
      <c r="J738" s="1966">
        <f t="shared" si="440"/>
        <v>0</v>
      </c>
      <c r="K738" s="560">
        <f>'BUS Deemed Savings Table'!F445</f>
        <v>122.15</v>
      </c>
      <c r="L738" s="560"/>
      <c r="M738" s="560"/>
      <c r="N738" s="560"/>
      <c r="O738" s="1967">
        <f t="shared" si="441"/>
        <v>0.11124000000000001</v>
      </c>
      <c r="P738" s="1967">
        <f t="shared" si="442"/>
        <v>0</v>
      </c>
      <c r="Q738" s="1967">
        <f>'BUS Deemed Savings Table'!I445</f>
        <v>0.11124000000000001</v>
      </c>
      <c r="R738" s="1968">
        <v>0</v>
      </c>
      <c r="S738" s="1968"/>
      <c r="T738" s="1968"/>
      <c r="U738" s="1969">
        <f t="shared" si="433"/>
        <v>0</v>
      </c>
      <c r="V738" s="1969">
        <f t="shared" si="434"/>
        <v>0</v>
      </c>
      <c r="W738" s="1969">
        <f t="shared" si="435"/>
        <v>0.11124000000000001</v>
      </c>
      <c r="X738" s="55">
        <f>'BUS Deemed Savings Table'!J445</f>
        <v>20</v>
      </c>
      <c r="Y738" s="55"/>
      <c r="Z738" s="55">
        <f t="shared" si="430"/>
        <v>20</v>
      </c>
      <c r="AA738" s="49">
        <f>'BUS Deemed Savings Table'!DG445</f>
        <v>2.1470665328827523</v>
      </c>
      <c r="AB738" s="698">
        <f>'BUS Deemed Savings Table'!K445</f>
        <v>106.23</v>
      </c>
      <c r="AC738" s="1975">
        <f t="shared" si="431"/>
        <v>215.27407058814043</v>
      </c>
      <c r="AD738" s="1975">
        <f t="shared" si="432"/>
        <v>0</v>
      </c>
      <c r="AE738" s="1380">
        <f>'BUS Deemed Savings Table'!DI445</f>
        <v>215.27407058814043</v>
      </c>
      <c r="AF738" s="571"/>
      <c r="AG738" s="571"/>
      <c r="AH738" s="571"/>
      <c r="AI738" s="2602" t="str">
        <f>'BUS Deemed Savings Table'!L445</f>
        <v>per ton</v>
      </c>
      <c r="AJ738" s="1589"/>
      <c r="AK738" s="84"/>
      <c r="AL738" s="84"/>
      <c r="AM738" s="1961">
        <f t="shared" si="436"/>
        <v>9.1068400000000004E-4</v>
      </c>
      <c r="AN738" s="84">
        <f t="shared" si="444"/>
        <v>0.11124005060000001</v>
      </c>
      <c r="AO738" s="1965">
        <f t="shared" si="437"/>
        <v>5.0600000009448642E-8</v>
      </c>
      <c r="AP738" s="84"/>
      <c r="AQ738" s="84"/>
      <c r="AR738" s="84"/>
      <c r="AS738" s="84"/>
      <c r="AT738" s="84"/>
      <c r="AU738" s="84"/>
      <c r="AV738" s="84"/>
    </row>
    <row r="739" spans="1:48" x14ac:dyDescent="0.35">
      <c r="A739" s="1618" t="str">
        <f t="shared" si="429"/>
        <v>803820</v>
      </c>
      <c r="B739" s="1590" t="str">
        <f>'BUS Deemed Savings Table'!C463</f>
        <v>803820_2022_12_</v>
      </c>
      <c r="C739" s="1589" t="str">
        <f>'BUS Deemed Savings Table'!G463</f>
        <v>Cooling BUS</v>
      </c>
      <c r="D739" s="1589"/>
      <c r="E739" s="1589"/>
      <c r="F739" s="1589"/>
      <c r="G739" s="1589" t="str">
        <f>'BUS Deemed Savings Table'!E463</f>
        <v>Air Cooled Chiller Tune up</v>
      </c>
      <c r="H739" s="1599" t="str">
        <f>'BUS Deemed Savings Table'!D463</f>
        <v>C&amp;I</v>
      </c>
      <c r="I739" s="1597">
        <f t="shared" ref="I739" si="445">K739+L739</f>
        <v>80.95</v>
      </c>
      <c r="J739" s="1597">
        <f t="shared" ref="J739" si="446">S739+T739</f>
        <v>0</v>
      </c>
      <c r="K739" s="1591">
        <f>'BUS Deemed Savings Table'!F463</f>
        <v>80.95</v>
      </c>
      <c r="L739" s="1591"/>
      <c r="M739" s="1591"/>
      <c r="N739" s="1591"/>
      <c r="O739" s="1598">
        <f t="shared" ref="O739" si="447">Q739+R739</f>
        <v>7.3719999999999994E-2</v>
      </c>
      <c r="P739" s="1598">
        <f t="shared" ref="P739" si="448">S739+T739</f>
        <v>0</v>
      </c>
      <c r="Q739" s="1598">
        <f>'BUS Deemed Savings Table'!I463</f>
        <v>7.3719999999999994E-2</v>
      </c>
      <c r="R739" s="1600">
        <v>0</v>
      </c>
      <c r="S739" s="1600"/>
      <c r="T739" s="1600"/>
      <c r="U739" s="1569">
        <f t="shared" ref="U739" si="449">IF(V739+W739&gt;0,0,IF(Z739&gt;0,O739,0))</f>
        <v>7.3719999999999994E-2</v>
      </c>
      <c r="V739" s="1569">
        <f t="shared" ref="V739" si="450">IF(W739&gt;0,0,IF(Z739&gt;9,O739,0))</f>
        <v>0</v>
      </c>
      <c r="W739" s="1569">
        <f t="shared" ref="W739" si="451">IF(Z739&gt;14,O739,0)</f>
        <v>0</v>
      </c>
      <c r="X739" s="1583">
        <f>'BUS Deemed Savings Table'!J463</f>
        <v>5</v>
      </c>
      <c r="Y739" s="1583"/>
      <c r="Z739" s="1583">
        <f t="shared" ref="Z739" si="452">Y739+X739</f>
        <v>5</v>
      </c>
      <c r="AA739" s="322">
        <f>'BUS Deemed Savings Table'!DG463</f>
        <v>8.0069548163003503</v>
      </c>
      <c r="AB739" s="1955">
        <f>'BUS Deemed Savings Table'!K463</f>
        <v>5</v>
      </c>
      <c r="AC739" s="1570">
        <f t="shared" ref="AC739" si="453">AE739+AF739</f>
        <v>37.786478604532093</v>
      </c>
      <c r="AD739" s="1570">
        <f t="shared" ref="AD739" si="454">AG739+AH739</f>
        <v>0</v>
      </c>
      <c r="AE739" s="1976">
        <f>'BUS Deemed Savings Table'!DI463</f>
        <v>37.786478604532093</v>
      </c>
      <c r="AF739" s="1604"/>
      <c r="AG739" s="1604"/>
      <c r="AH739" s="1604"/>
      <c r="AI739" s="3619" t="str">
        <f>'BUS Deemed Savings Table'!L463</f>
        <v>per ton</v>
      </c>
      <c r="AJ739" s="1589"/>
      <c r="AK739" s="84"/>
      <c r="AL739" s="84"/>
      <c r="AM739" s="1961"/>
      <c r="AN739" s="84"/>
      <c r="AO739" s="1965"/>
      <c r="AP739" s="84"/>
      <c r="AQ739" s="84"/>
      <c r="AR739" s="84"/>
      <c r="AS739" s="84"/>
      <c r="AT739" s="84"/>
      <c r="AU739" s="84"/>
      <c r="AV739" s="84"/>
    </row>
    <row r="740" spans="1:48" x14ac:dyDescent="0.35">
      <c r="A740" s="1618" t="str">
        <f t="shared" ref="A740" si="455">LEFT(B740,6)</f>
        <v>803825</v>
      </c>
      <c r="B740" s="1590" t="str">
        <f>'BUS Deemed Savings Table'!C464</f>
        <v>803825_2022_12_</v>
      </c>
      <c r="C740" s="1589" t="str">
        <f>'BUS Deemed Savings Table'!G464</f>
        <v>Cooling BUS</v>
      </c>
      <c r="D740" s="1589"/>
      <c r="E740" s="1589"/>
      <c r="F740" s="1589"/>
      <c r="G740" s="1589" t="str">
        <f>'BUS Deemed Savings Table'!E464</f>
        <v>Water Cooled Chiller Tune up</v>
      </c>
      <c r="H740" s="1599" t="str">
        <f>'BUS Deemed Savings Table'!D464</f>
        <v>C&amp;I</v>
      </c>
      <c r="I740" s="1597">
        <f t="shared" ref="I740" si="456">K740+L740</f>
        <v>48.86</v>
      </c>
      <c r="J740" s="1597">
        <f t="shared" ref="J740" si="457">S740+T740</f>
        <v>0</v>
      </c>
      <c r="K740" s="1591">
        <f>'BUS Deemed Savings Table'!F464</f>
        <v>48.86</v>
      </c>
      <c r="L740" s="1591"/>
      <c r="M740" s="1591"/>
      <c r="N740" s="1591"/>
      <c r="O740" s="1598">
        <f t="shared" ref="O740" si="458">Q740+R740</f>
        <v>1.0444960000000001</v>
      </c>
      <c r="P740" s="1598">
        <f t="shared" ref="P740" si="459">S740+T740</f>
        <v>0</v>
      </c>
      <c r="Q740" s="1598">
        <f>'BUS Deemed Savings Table'!I464</f>
        <v>4.4496000000000001E-2</v>
      </c>
      <c r="R740" s="1600">
        <v>1</v>
      </c>
      <c r="S740" s="1600"/>
      <c r="T740" s="1600"/>
      <c r="U740" s="1569">
        <f t="shared" ref="U740" si="460">IF(V740+W740&gt;0,0,IF(Z740&gt;0,O740,0))</f>
        <v>1.0444960000000001</v>
      </c>
      <c r="V740" s="1569">
        <f t="shared" ref="V740" si="461">IF(W740&gt;0,0,IF(Z740&gt;9,O740,0))</f>
        <v>0</v>
      </c>
      <c r="W740" s="1569">
        <f t="shared" ref="W740" si="462">IF(Z740&gt;14,O740,0)</f>
        <v>0</v>
      </c>
      <c r="X740" s="1583">
        <f>'BUS Deemed Savings Table'!J464</f>
        <v>5</v>
      </c>
      <c r="Y740" s="1583"/>
      <c r="Z740" s="1583">
        <f t="shared" ref="Z740" si="463">Y740+X740</f>
        <v>5</v>
      </c>
      <c r="AA740" s="322">
        <f>'BUS Deemed Savings Table'!DG464</f>
        <v>4.8328574715804216</v>
      </c>
      <c r="AB740" s="1955">
        <f>'BUS Deemed Savings Table'!K464</f>
        <v>5</v>
      </c>
      <c r="AC740" s="1570">
        <f t="shared" ref="AC740" si="464">AE740+AF740</f>
        <v>22.807255646910907</v>
      </c>
      <c r="AD740" s="1570">
        <f t="shared" ref="AD740" si="465">AG740+AH740</f>
        <v>0</v>
      </c>
      <c r="AE740" s="1976">
        <f>'BUS Deemed Savings Table'!DI464</f>
        <v>22.807255646910907</v>
      </c>
      <c r="AF740" s="1604"/>
      <c r="AG740" s="1604"/>
      <c r="AH740" s="1604"/>
      <c r="AI740" s="3619" t="str">
        <f>'BUS Deemed Savings Table'!L464</f>
        <v>per ton</v>
      </c>
      <c r="AJ740" s="1589"/>
      <c r="AK740" s="84"/>
      <c r="AL740" s="84"/>
      <c r="AM740" s="1961"/>
      <c r="AN740" s="84"/>
      <c r="AO740" s="1965"/>
      <c r="AP740" s="84"/>
      <c r="AQ740" s="84"/>
      <c r="AR740" s="84"/>
      <c r="AS740" s="84"/>
      <c r="AT740" s="84"/>
      <c r="AU740" s="84"/>
      <c r="AV740" s="84"/>
    </row>
    <row r="741" spans="1:48" x14ac:dyDescent="0.35">
      <c r="A741" s="103" t="str">
        <f t="shared" si="429"/>
        <v>803850</v>
      </c>
      <c r="B741" s="3346" t="str">
        <f>'BUS Deemed Savings Table'!C479</f>
        <v>803850_2019_12_</v>
      </c>
      <c r="C741" s="3343" t="str">
        <f>'BUS Deemed Savings Table'!G479</f>
        <v>Miscellaneous BUS</v>
      </c>
      <c r="D741" s="3343"/>
      <c r="E741" s="3343"/>
      <c r="F741" s="3343"/>
      <c r="G741" s="3343" t="str">
        <f>'BUS Deemed Savings Table'!E479</f>
        <v>Clothes Washer (Electric DHW; Electric Dryer)</v>
      </c>
      <c r="H741" s="50" t="str">
        <f>'BUS Deemed Savings Table'!D479</f>
        <v>C&amp;I</v>
      </c>
      <c r="I741" s="1966">
        <f>'BUS Deemed Savings Table'!F479</f>
        <v>907.62</v>
      </c>
      <c r="J741" s="1966"/>
      <c r="K741" s="560"/>
      <c r="L741" s="560"/>
      <c r="M741" s="560"/>
      <c r="N741" s="560"/>
      <c r="O741" s="1967">
        <f>'BUS Deemed Savings Table'!I479</f>
        <v>0.12520100000000001</v>
      </c>
      <c r="P741" s="1967"/>
      <c r="Q741" s="1968"/>
      <c r="R741" s="1968"/>
      <c r="S741" s="1968"/>
      <c r="T741" s="1968"/>
      <c r="U741" s="1969">
        <f t="shared" si="433"/>
        <v>0</v>
      </c>
      <c r="V741" s="1969">
        <f t="shared" si="434"/>
        <v>0.12520100000000001</v>
      </c>
      <c r="W741" s="1969">
        <f t="shared" si="435"/>
        <v>0</v>
      </c>
      <c r="X741" s="55">
        <f>'BUS Deemed Savings Table'!J479</f>
        <v>11</v>
      </c>
      <c r="Y741" s="55"/>
      <c r="Z741" s="55">
        <f t="shared" si="430"/>
        <v>11</v>
      </c>
      <c r="AA741" s="49">
        <f>'BUS Deemed Savings Table'!DG479</f>
        <v>1.930429645696051</v>
      </c>
      <c r="AB741" s="698">
        <f>'BUS Deemed Savings Table'!K479</f>
        <v>200</v>
      </c>
      <c r="AC741" s="1975">
        <f t="shared" si="431"/>
        <v>364.40389725267596</v>
      </c>
      <c r="AD741" s="1975">
        <f t="shared" si="432"/>
        <v>0</v>
      </c>
      <c r="AE741" s="1380">
        <f>'BUS Deemed Savings Table'!DI479</f>
        <v>364.40389725267596</v>
      </c>
      <c r="AF741" s="571"/>
      <c r="AG741" s="571"/>
      <c r="AH741" s="571"/>
      <c r="AI741" s="2602" t="str">
        <f>'BUS Deemed Savings Table'!L479</f>
        <v>per measure</v>
      </c>
      <c r="AJ741" s="141"/>
      <c r="AM741" s="1596">
        <f t="shared" si="436"/>
        <v>1.379439E-4</v>
      </c>
      <c r="AN741">
        <f t="shared" si="444"/>
        <v>0.125200642518</v>
      </c>
      <c r="AO741" s="1595">
        <f t="shared" si="437"/>
        <v>-3.5748200000185193E-7</v>
      </c>
    </row>
    <row r="742" spans="1:48" x14ac:dyDescent="0.35">
      <c r="A742" s="103" t="str">
        <f t="shared" si="429"/>
        <v>803900</v>
      </c>
      <c r="B742" s="3346" t="str">
        <f>'BUS Deemed Savings Table'!C480</f>
        <v>803900_2019_12_</v>
      </c>
      <c r="C742" s="3343" t="str">
        <f>'BUS Deemed Savings Table'!G480</f>
        <v>Miscellaneous BUS</v>
      </c>
      <c r="D742" s="3343"/>
      <c r="E742" s="3343"/>
      <c r="F742" s="3343"/>
      <c r="G742" s="3343" t="str">
        <f>'BUS Deemed Savings Table'!E480</f>
        <v>Clothes Washer (Gas DHW; Electric Dryer)</v>
      </c>
      <c r="H742" s="50" t="str">
        <f>'BUS Deemed Savings Table'!D480</f>
        <v>C&amp;I</v>
      </c>
      <c r="I742" s="1966">
        <f>'BUS Deemed Savings Table'!F480</f>
        <v>308.41000000000003</v>
      </c>
      <c r="J742" s="1966"/>
      <c r="K742" s="560"/>
      <c r="L742" s="560"/>
      <c r="M742" s="560"/>
      <c r="N742" s="560"/>
      <c r="O742" s="1967">
        <f>'BUS Deemed Savings Table'!I480</f>
        <v>4.2542999999999997E-2</v>
      </c>
      <c r="P742" s="1967"/>
      <c r="Q742" s="1968"/>
      <c r="R742" s="1968"/>
      <c r="S742" s="1968"/>
      <c r="T742" s="1968"/>
      <c r="U742" s="1969">
        <f t="shared" si="433"/>
        <v>0</v>
      </c>
      <c r="V742" s="1969">
        <f t="shared" si="434"/>
        <v>4.2542999999999997E-2</v>
      </c>
      <c r="W742" s="1969">
        <f t="shared" si="435"/>
        <v>0</v>
      </c>
      <c r="X742" s="55">
        <f>'BUS Deemed Savings Table'!J480</f>
        <v>11</v>
      </c>
      <c r="Y742" s="55"/>
      <c r="Z742" s="55">
        <f t="shared" si="430"/>
        <v>11</v>
      </c>
      <c r="AA742" s="49">
        <f>'BUS Deemed Savings Table'!DG480</f>
        <v>0.65596153349322306</v>
      </c>
      <c r="AB742" s="698">
        <f>'BUS Deemed Savings Table'!K480</f>
        <v>200</v>
      </c>
      <c r="AC742" s="1975">
        <f t="shared" si="431"/>
        <v>123.82473496804587</v>
      </c>
      <c r="AD742" s="1975">
        <f t="shared" si="432"/>
        <v>0</v>
      </c>
      <c r="AE742" s="1380">
        <f>'BUS Deemed Savings Table'!DI480</f>
        <v>123.82473496804587</v>
      </c>
      <c r="AF742" s="571"/>
      <c r="AG742" s="571"/>
      <c r="AH742" s="571"/>
      <c r="AI742" s="2602" t="str">
        <f>'BUS Deemed Savings Table'!L480</f>
        <v>per measure</v>
      </c>
      <c r="AJ742" s="141"/>
      <c r="AM742" s="1596">
        <f t="shared" si="436"/>
        <v>1.379439E-4</v>
      </c>
      <c r="AN742">
        <f t="shared" si="444"/>
        <v>4.2543278199000001E-2</v>
      </c>
      <c r="AO742" s="1595">
        <f t="shared" si="437"/>
        <v>2.7819900000336517E-7</v>
      </c>
    </row>
    <row r="743" spans="1:48" x14ac:dyDescent="0.35">
      <c r="A743" s="103" t="str">
        <f t="shared" si="429"/>
        <v>803950</v>
      </c>
      <c r="B743" s="3346" t="str">
        <f>'BUS Deemed Savings Table'!C481</f>
        <v>803950_2019_12_</v>
      </c>
      <c r="C743" s="3343" t="str">
        <f>'BUS Deemed Savings Table'!G481</f>
        <v>Miscellaneous BUS</v>
      </c>
      <c r="D743" s="3343"/>
      <c r="E743" s="3343"/>
      <c r="F743" s="3343"/>
      <c r="G743" s="3343" t="str">
        <f>'BUS Deemed Savings Table'!E481</f>
        <v>Clothes Washer (Electric DHW; Gas Dryer)</v>
      </c>
      <c r="H743" s="50" t="str">
        <f>'BUS Deemed Savings Table'!D481</f>
        <v>C&amp;I</v>
      </c>
      <c r="I743" s="1966">
        <f>'BUS Deemed Savings Table'!F481</f>
        <v>750.78</v>
      </c>
      <c r="J743" s="1966"/>
      <c r="K743" s="560"/>
      <c r="L743" s="560"/>
      <c r="M743" s="560"/>
      <c r="N743" s="560"/>
      <c r="O743" s="1967">
        <f>'BUS Deemed Savings Table'!I481</f>
        <v>0.10356600000000001</v>
      </c>
      <c r="P743" s="1967"/>
      <c r="Q743" s="1968"/>
      <c r="R743" s="1968"/>
      <c r="S743" s="1968"/>
      <c r="T743" s="1968"/>
      <c r="U743" s="1969">
        <f t="shared" si="433"/>
        <v>0</v>
      </c>
      <c r="V743" s="1969">
        <f t="shared" si="434"/>
        <v>0.10356600000000001</v>
      </c>
      <c r="W743" s="1969">
        <f t="shared" si="435"/>
        <v>0</v>
      </c>
      <c r="X743" s="55">
        <f>'BUS Deemed Savings Table'!J481</f>
        <v>11</v>
      </c>
      <c r="Y743" s="55"/>
      <c r="Z743" s="55">
        <f t="shared" si="430"/>
        <v>11</v>
      </c>
      <c r="AA743" s="49">
        <f>'BUS Deemed Savings Table'!DG481</f>
        <v>1.5968444606726173</v>
      </c>
      <c r="AB743" s="698">
        <f>'BUS Deemed Savings Table'!K481</f>
        <v>200</v>
      </c>
      <c r="AC743" s="1975">
        <f t="shared" si="431"/>
        <v>301.43359333131048</v>
      </c>
      <c r="AD743" s="1975">
        <f t="shared" si="432"/>
        <v>0</v>
      </c>
      <c r="AE743" s="1380">
        <f>'BUS Deemed Savings Table'!DI481</f>
        <v>301.43359333131048</v>
      </c>
      <c r="AF743" s="571"/>
      <c r="AG743" s="571"/>
      <c r="AH743" s="571"/>
      <c r="AI743" s="2602" t="str">
        <f>'BUS Deemed Savings Table'!L481</f>
        <v>per measure</v>
      </c>
      <c r="AJ743" s="141"/>
      <c r="AM743" s="1596">
        <f t="shared" si="436"/>
        <v>1.379439E-4</v>
      </c>
      <c r="AN743">
        <f t="shared" si="444"/>
        <v>0.103565521242</v>
      </c>
      <c r="AO743" s="1595">
        <f t="shared" si="437"/>
        <v>-4.7875800000818369E-7</v>
      </c>
    </row>
    <row r="744" spans="1:48" x14ac:dyDescent="0.35">
      <c r="A744" s="103" t="str">
        <f t="shared" si="429"/>
        <v>804000</v>
      </c>
      <c r="B744" s="3346" t="str">
        <f>'BUS Deemed Savings Table'!C482</f>
        <v>804000_2019_12_</v>
      </c>
      <c r="C744" s="3343" t="str">
        <f>'BUS Deemed Savings Table'!G482</f>
        <v>Miscellaneous BUS</v>
      </c>
      <c r="D744" s="3343"/>
      <c r="E744" s="3343"/>
      <c r="F744" s="3343"/>
      <c r="G744" s="3343" t="str">
        <f>'BUS Deemed Savings Table'!E482</f>
        <v>Clothes Washer (Gas DHW; Gas Dryer)</v>
      </c>
      <c r="H744" s="50" t="str">
        <f>'BUS Deemed Savings Table'!D482</f>
        <v>C&amp;I</v>
      </c>
      <c r="I744" s="1966">
        <f>'BUS Deemed Savings Table'!F482</f>
        <v>151.57</v>
      </c>
      <c r="J744" s="1966"/>
      <c r="K744" s="560"/>
      <c r="L744" s="560"/>
      <c r="M744" s="560"/>
      <c r="N744" s="560"/>
      <c r="O744" s="1967">
        <f>'BUS Deemed Savings Table'!I482</f>
        <v>2.0908E-2</v>
      </c>
      <c r="P744" s="1967"/>
      <c r="Q744" s="1968"/>
      <c r="R744" s="1968"/>
      <c r="S744" s="1968"/>
      <c r="T744" s="1968"/>
      <c r="U744" s="1969">
        <f t="shared" ref="U744:U782" si="466">IF(V744+W744&gt;0,0,IF(Z744&gt;0,O744,0))</f>
        <v>0</v>
      </c>
      <c r="V744" s="1969">
        <f t="shared" ref="V744:V782" si="467">IF(W744&gt;0,0,IF(Z744&gt;9,O744,0))</f>
        <v>2.0908E-2</v>
      </c>
      <c r="W744" s="1969">
        <f t="shared" ref="W744:W782" si="468">IF(Z744&gt;14,O744,0)</f>
        <v>0</v>
      </c>
      <c r="X744" s="55">
        <f>'BUS Deemed Savings Table'!J482</f>
        <v>11</v>
      </c>
      <c r="Y744" s="55"/>
      <c r="Z744" s="55">
        <f t="shared" si="430"/>
        <v>11</v>
      </c>
      <c r="AA744" s="49">
        <f>'BUS Deemed Savings Table'!DG482</f>
        <v>0.32237634846978963</v>
      </c>
      <c r="AB744" s="698">
        <f>'BUS Deemed Savings Table'!K482</f>
        <v>200</v>
      </c>
      <c r="AC744" s="1975">
        <f t="shared" si="431"/>
        <v>60.854431046680432</v>
      </c>
      <c r="AD744" s="1975">
        <f t="shared" si="432"/>
        <v>0</v>
      </c>
      <c r="AE744" s="1380">
        <f>'BUS Deemed Savings Table'!DI482</f>
        <v>60.854431046680432</v>
      </c>
      <c r="AF744" s="571"/>
      <c r="AG744" s="571"/>
      <c r="AH744" s="571"/>
      <c r="AI744" s="2602" t="str">
        <f>'BUS Deemed Savings Table'!L482</f>
        <v>per measure</v>
      </c>
      <c r="AJ744" s="141"/>
      <c r="AM744" s="1596">
        <f t="shared" si="436"/>
        <v>1.379439E-4</v>
      </c>
      <c r="AN744">
        <f t="shared" si="444"/>
        <v>2.0908156923E-2</v>
      </c>
      <c r="AO744" s="1595">
        <f t="shared" si="437"/>
        <v>1.5692300000050285E-7</v>
      </c>
    </row>
    <row r="745" spans="1:48" x14ac:dyDescent="0.35">
      <c r="A745" s="103" t="str">
        <f t="shared" si="429"/>
        <v>804050</v>
      </c>
      <c r="B745" s="3346" t="str">
        <f>'BUS Deemed Savings Table'!C499</f>
        <v>804050_2019_12_</v>
      </c>
      <c r="C745" s="3343" t="str">
        <f>'BUS Deemed Savings Table'!G499</f>
        <v>Miscellaneous BUS</v>
      </c>
      <c r="D745" s="3343"/>
      <c r="E745" s="3343"/>
      <c r="F745" s="3343"/>
      <c r="G745" s="3343" t="str">
        <f>'BUS Deemed Savings Table'!E499</f>
        <v>Clothes Dryer Vented Electric, Standard (≥ 4.4 ft3)</v>
      </c>
      <c r="H745" s="50" t="str">
        <f>'BUS Deemed Savings Table'!D499</f>
        <v>C&amp;I</v>
      </c>
      <c r="I745" s="1966">
        <f>'BUS Deemed Savings Table'!F499</f>
        <v>840.73</v>
      </c>
      <c r="J745" s="1966"/>
      <c r="K745" s="560"/>
      <c r="L745" s="560"/>
      <c r="M745" s="560"/>
      <c r="N745" s="560"/>
      <c r="O745" s="1967">
        <f>'BUS Deemed Savings Table'!I499</f>
        <v>0.11597399999999999</v>
      </c>
      <c r="P745" s="1967"/>
      <c r="Q745" s="1968"/>
      <c r="R745" s="1968"/>
      <c r="S745" s="1968"/>
      <c r="T745" s="1968"/>
      <c r="U745" s="1969">
        <f t="shared" si="466"/>
        <v>0</v>
      </c>
      <c r="V745" s="1969">
        <f t="shared" si="467"/>
        <v>0.11597399999999999</v>
      </c>
      <c r="W745" s="1969">
        <f t="shared" si="468"/>
        <v>0</v>
      </c>
      <c r="X745" s="55">
        <f>'BUS Deemed Savings Table'!J499</f>
        <v>14</v>
      </c>
      <c r="Y745" s="55"/>
      <c r="Z745" s="55">
        <f t="shared" si="430"/>
        <v>14</v>
      </c>
      <c r="AA745" s="49">
        <f>'BUS Deemed Savings Table'!DG499</f>
        <v>5.8956139918027262</v>
      </c>
      <c r="AB745" s="698">
        <f>'BUS Deemed Savings Table'!K499</f>
        <v>75</v>
      </c>
      <c r="AC745" s="1975">
        <f t="shared" si="431"/>
        <v>417.33935760755492</v>
      </c>
      <c r="AD745" s="1975">
        <f t="shared" si="432"/>
        <v>0</v>
      </c>
      <c r="AE745" s="1380">
        <f>'BUS Deemed Savings Table'!DI499</f>
        <v>417.33935760755492</v>
      </c>
      <c r="AF745" s="571"/>
      <c r="AG745" s="571"/>
      <c r="AH745" s="571"/>
      <c r="AI745" s="2602" t="str">
        <f>'BUS Deemed Savings Table'!L499</f>
        <v>per measure</v>
      </c>
      <c r="AJ745" s="141"/>
      <c r="AM745" s="1596">
        <f t="shared" si="436"/>
        <v>1.379439E-4</v>
      </c>
      <c r="AN745">
        <f t="shared" si="444"/>
        <v>0.115973575047</v>
      </c>
      <c r="AO745" s="1595">
        <f t="shared" si="437"/>
        <v>-4.2495299999723013E-7</v>
      </c>
    </row>
    <row r="746" spans="1:48" x14ac:dyDescent="0.35">
      <c r="A746" s="103" t="str">
        <f t="shared" si="429"/>
        <v>804100</v>
      </c>
      <c r="B746" s="3346" t="str">
        <f>'BUS Deemed Savings Table'!C500</f>
        <v>804100_2019_12_</v>
      </c>
      <c r="C746" s="3343" t="str">
        <f>'BUS Deemed Savings Table'!G500</f>
        <v>Miscellaneous BUS</v>
      </c>
      <c r="D746" s="3343"/>
      <c r="E746" s="3343"/>
      <c r="F746" s="3343"/>
      <c r="G746" s="3343" t="str">
        <f>'BUS Deemed Savings Table'!E500</f>
        <v>Clothes Dryer Vented Electric, Compact (120V) (&lt; 4.4 ft3)</v>
      </c>
      <c r="H746" s="50" t="str">
        <f>'BUS Deemed Savings Table'!D500</f>
        <v>C&amp;I</v>
      </c>
      <c r="I746" s="1966">
        <f>'BUS Deemed Savings Table'!F500</f>
        <v>307.27999999999997</v>
      </c>
      <c r="J746" s="1966"/>
      <c r="K746" s="560"/>
      <c r="L746" s="560"/>
      <c r="M746" s="560"/>
      <c r="N746" s="560"/>
      <c r="O746" s="1967">
        <f>'BUS Deemed Savings Table'!I500</f>
        <v>4.2387000000000001E-2</v>
      </c>
      <c r="P746" s="1967"/>
      <c r="Q746" s="1968"/>
      <c r="R746" s="1968"/>
      <c r="S746" s="1968"/>
      <c r="T746" s="1968"/>
      <c r="U746" s="1969">
        <f t="shared" si="466"/>
        <v>0</v>
      </c>
      <c r="V746" s="1969">
        <f t="shared" si="467"/>
        <v>4.2387000000000001E-2</v>
      </c>
      <c r="W746" s="1969">
        <f t="shared" si="468"/>
        <v>0</v>
      </c>
      <c r="X746" s="55">
        <f>'BUS Deemed Savings Table'!J500</f>
        <v>14</v>
      </c>
      <c r="Y746" s="55"/>
      <c r="Z746" s="55">
        <f t="shared" si="430"/>
        <v>14</v>
      </c>
      <c r="AA746" s="49">
        <f>'BUS Deemed Savings Table'!DG500</f>
        <v>1.5391422313271474</v>
      </c>
      <c r="AB746" s="698">
        <f>'BUS Deemed Savings Table'!K500</f>
        <v>105</v>
      </c>
      <c r="AC746" s="1975">
        <f t="shared" si="431"/>
        <v>152.53415223157194</v>
      </c>
      <c r="AD746" s="1975">
        <f t="shared" si="432"/>
        <v>0</v>
      </c>
      <c r="AE746" s="1380">
        <f>'BUS Deemed Savings Table'!DI500</f>
        <v>152.53415223157194</v>
      </c>
      <c r="AF746" s="571"/>
      <c r="AG746" s="571"/>
      <c r="AH746" s="571"/>
      <c r="AI746" s="2602" t="str">
        <f>'BUS Deemed Savings Table'!L500</f>
        <v>per measure</v>
      </c>
      <c r="AJ746" s="141"/>
      <c r="AM746" s="1596">
        <f t="shared" si="436"/>
        <v>1.379439E-4</v>
      </c>
      <c r="AN746">
        <f t="shared" si="444"/>
        <v>4.2387401591999996E-2</v>
      </c>
      <c r="AO746" s="1595">
        <f t="shared" si="437"/>
        <v>4.0159199999473261E-7</v>
      </c>
    </row>
    <row r="747" spans="1:48" x14ac:dyDescent="0.35">
      <c r="A747" s="103" t="str">
        <f t="shared" si="429"/>
        <v>804150</v>
      </c>
      <c r="B747" s="3346" t="str">
        <f>'BUS Deemed Savings Table'!C501</f>
        <v>804150_2019_12_</v>
      </c>
      <c r="C747" s="3343" t="str">
        <f>'BUS Deemed Savings Table'!G501</f>
        <v>Miscellaneous BUS</v>
      </c>
      <c r="D747" s="3343"/>
      <c r="E747" s="3343"/>
      <c r="F747" s="3343"/>
      <c r="G747" s="3343" t="str">
        <f>'BUS Deemed Savings Table'!E501</f>
        <v>Clothes Dryer Vented Electric, Compact (240V) (&lt;4.4 ft3)</v>
      </c>
      <c r="H747" s="50" t="str">
        <f>'BUS Deemed Savings Table'!D501</f>
        <v>C&amp;I</v>
      </c>
      <c r="I747" s="1966">
        <f>'BUS Deemed Savings Table'!F501</f>
        <v>340.11</v>
      </c>
      <c r="J747" s="1966"/>
      <c r="K747" s="560"/>
      <c r="L747" s="560"/>
      <c r="M747" s="560"/>
      <c r="N747" s="560"/>
      <c r="O747" s="1967">
        <f>'BUS Deemed Savings Table'!I501</f>
        <v>4.6915999999999999E-2</v>
      </c>
      <c r="P747" s="1967"/>
      <c r="Q747" s="1968"/>
      <c r="R747" s="1968"/>
      <c r="S747" s="1968"/>
      <c r="T747" s="1968"/>
      <c r="U747" s="1969">
        <f t="shared" si="466"/>
        <v>0</v>
      </c>
      <c r="V747" s="1969">
        <f t="shared" si="467"/>
        <v>4.6915999999999999E-2</v>
      </c>
      <c r="W747" s="1969">
        <f t="shared" si="468"/>
        <v>0</v>
      </c>
      <c r="X747" s="55">
        <f>'BUS Deemed Savings Table'!J501</f>
        <v>14</v>
      </c>
      <c r="Y747" s="55"/>
      <c r="Z747" s="55">
        <f t="shared" si="430"/>
        <v>14</v>
      </c>
      <c r="AA747" s="49">
        <f>'BUS Deemed Savings Table'!DG501</f>
        <v>1.7035852131498184</v>
      </c>
      <c r="AB747" s="698">
        <f>'BUS Deemed Savings Table'!K501</f>
        <v>105</v>
      </c>
      <c r="AC747" s="1975">
        <f t="shared" si="431"/>
        <v>168.83100271895319</v>
      </c>
      <c r="AD747" s="1975">
        <f t="shared" si="432"/>
        <v>0</v>
      </c>
      <c r="AE747" s="1380">
        <f>'BUS Deemed Savings Table'!DI501</f>
        <v>168.83100271895319</v>
      </c>
      <c r="AF747" s="571"/>
      <c r="AG747" s="571"/>
      <c r="AH747" s="571"/>
      <c r="AI747" s="2602" t="str">
        <f>'BUS Deemed Savings Table'!L501</f>
        <v>per measure</v>
      </c>
      <c r="AJ747" s="141"/>
      <c r="AM747" s="1596">
        <f t="shared" si="436"/>
        <v>1.379439E-4</v>
      </c>
      <c r="AN747">
        <f t="shared" si="444"/>
        <v>4.6916099829000003E-2</v>
      </c>
      <c r="AO747" s="1595">
        <f t="shared" si="437"/>
        <v>9.982900000399253E-8</v>
      </c>
    </row>
    <row r="748" spans="1:48" x14ac:dyDescent="0.35">
      <c r="A748" s="103" t="str">
        <f t="shared" si="429"/>
        <v>804200</v>
      </c>
      <c r="B748" s="3346" t="str">
        <f>'BUS Deemed Savings Table'!C502</f>
        <v>804200_2019_12_</v>
      </c>
      <c r="C748" s="3343" t="str">
        <f>'BUS Deemed Savings Table'!G502</f>
        <v>Miscellaneous BUS</v>
      </c>
      <c r="D748" s="3343"/>
      <c r="E748" s="3343"/>
      <c r="F748" s="3343"/>
      <c r="G748" s="3343" t="str">
        <f>'BUS Deemed Savings Table'!E502</f>
        <v>Clothes Dryer Ventless Electric, Compact (240V) (&lt;4.4 ft3)</v>
      </c>
      <c r="H748" s="50" t="str">
        <f>'BUS Deemed Savings Table'!D502</f>
        <v>C&amp;I</v>
      </c>
      <c r="I748" s="1966">
        <f>'BUS Deemed Savings Table'!F502</f>
        <v>428.66</v>
      </c>
      <c r="J748" s="1966"/>
      <c r="K748" s="560"/>
      <c r="L748" s="560"/>
      <c r="M748" s="560"/>
      <c r="N748" s="560"/>
      <c r="O748" s="1967">
        <f>'BUS Deemed Savings Table'!I502</f>
        <v>5.9131000000000003E-2</v>
      </c>
      <c r="P748" s="1967"/>
      <c r="Q748" s="1968"/>
      <c r="R748" s="1968"/>
      <c r="S748" s="1968"/>
      <c r="T748" s="1968"/>
      <c r="U748" s="1969">
        <f t="shared" si="466"/>
        <v>0</v>
      </c>
      <c r="V748" s="1969">
        <f t="shared" si="467"/>
        <v>5.9131000000000003E-2</v>
      </c>
      <c r="W748" s="1969">
        <f t="shared" si="468"/>
        <v>0</v>
      </c>
      <c r="X748" s="55">
        <f>'BUS Deemed Savings Table'!J502</f>
        <v>14</v>
      </c>
      <c r="Y748" s="55"/>
      <c r="Z748" s="55">
        <f t="shared" si="430"/>
        <v>14</v>
      </c>
      <c r="AA748" s="49">
        <f>'BUS Deemed Savings Table'!DG502</f>
        <v>2.1471254519678959</v>
      </c>
      <c r="AB748" s="698">
        <f>'BUS Deemed Savings Table'!K502</f>
        <v>105</v>
      </c>
      <c r="AC748" s="1975">
        <f t="shared" si="431"/>
        <v>212.78732652820108</v>
      </c>
      <c r="AD748" s="1975">
        <f t="shared" si="432"/>
        <v>0</v>
      </c>
      <c r="AE748" s="1380">
        <f>'BUS Deemed Savings Table'!DI502</f>
        <v>212.78732652820108</v>
      </c>
      <c r="AF748" s="571"/>
      <c r="AG748" s="571"/>
      <c r="AH748" s="571"/>
      <c r="AI748" s="2602" t="str">
        <f>'BUS Deemed Savings Table'!L502</f>
        <v>per measure</v>
      </c>
      <c r="AJ748" s="141"/>
      <c r="AM748" s="1596">
        <f t="shared" si="436"/>
        <v>1.379439E-4</v>
      </c>
      <c r="AN748">
        <f t="shared" si="444"/>
        <v>5.9131032174000002E-2</v>
      </c>
      <c r="AO748" s="1595">
        <f t="shared" si="437"/>
        <v>3.2173999998941216E-8</v>
      </c>
    </row>
    <row r="749" spans="1:48" x14ac:dyDescent="0.35">
      <c r="A749" s="103" t="str">
        <f t="shared" si="429"/>
        <v>804250</v>
      </c>
      <c r="B749" s="3346" t="str">
        <f>'BUS Deemed Savings Table'!C503</f>
        <v>804250_2019_12_</v>
      </c>
      <c r="C749" s="3343" t="str">
        <f>'BUS Deemed Savings Table'!G503</f>
        <v>Miscellaneous BUS</v>
      </c>
      <c r="D749" s="3343"/>
      <c r="E749" s="3343"/>
      <c r="F749" s="3343"/>
      <c r="G749" s="3343" t="str">
        <f>'BUS Deemed Savings Table'!E503</f>
        <v>Clothes Dryer Vented Gas</v>
      </c>
      <c r="H749" s="50" t="str">
        <f>'BUS Deemed Savings Table'!D503</f>
        <v>C&amp;I</v>
      </c>
      <c r="I749" s="1966">
        <f>'BUS Deemed Savings Table'!F503</f>
        <v>40.57</v>
      </c>
      <c r="J749" s="1966"/>
      <c r="K749" s="560"/>
      <c r="L749" s="560"/>
      <c r="M749" s="560"/>
      <c r="N749" s="560"/>
      <c r="O749" s="1967">
        <f>'BUS Deemed Savings Table'!I503</f>
        <v>5.5960000000000003E-3</v>
      </c>
      <c r="P749" s="1967"/>
      <c r="Q749" s="1968"/>
      <c r="R749" s="1968"/>
      <c r="S749" s="1968"/>
      <c r="T749" s="1968"/>
      <c r="U749" s="1969">
        <f t="shared" si="466"/>
        <v>0</v>
      </c>
      <c r="V749" s="1969">
        <f t="shared" si="467"/>
        <v>5.5960000000000003E-3</v>
      </c>
      <c r="W749" s="1969">
        <f t="shared" si="468"/>
        <v>0</v>
      </c>
      <c r="X749" s="55">
        <f>'BUS Deemed Savings Table'!J503</f>
        <v>14</v>
      </c>
      <c r="Y749" s="55"/>
      <c r="Z749" s="55">
        <f t="shared" si="430"/>
        <v>14</v>
      </c>
      <c r="AA749" s="49">
        <f>'BUS Deemed Savings Table'!DG503</f>
        <v>0.28449687729406187</v>
      </c>
      <c r="AB749" s="698">
        <f>'BUS Deemed Savings Table'!K503</f>
        <v>75</v>
      </c>
      <c r="AC749" s="1975">
        <f t="shared" si="431"/>
        <v>20.138995561165302</v>
      </c>
      <c r="AD749" s="1975">
        <f t="shared" si="432"/>
        <v>0</v>
      </c>
      <c r="AE749" s="1380">
        <f>'BUS Deemed Savings Table'!DI503</f>
        <v>20.138995561165302</v>
      </c>
      <c r="AF749" s="571"/>
      <c r="AG749" s="571"/>
      <c r="AH749" s="571"/>
      <c r="AI749" s="2602" t="str">
        <f>'BUS Deemed Savings Table'!L503</f>
        <v>per measure</v>
      </c>
      <c r="AJ749" s="141"/>
      <c r="AM749" s="1596">
        <f t="shared" si="436"/>
        <v>1.379439E-4</v>
      </c>
      <c r="AN749">
        <f t="shared" si="444"/>
        <v>5.5963840229999997E-3</v>
      </c>
      <c r="AO749" s="1595">
        <f t="shared" si="437"/>
        <v>3.8402299999944906E-7</v>
      </c>
    </row>
    <row r="750" spans="1:48" x14ac:dyDescent="0.35">
      <c r="A750" s="103" t="str">
        <f t="shared" si="429"/>
        <v>804300</v>
      </c>
      <c r="B750" s="3346" t="str">
        <f>'BUS Deemed Savings Table'!C523</f>
        <v>804300_2019_12_</v>
      </c>
      <c r="C750" s="3343" t="str">
        <f>'BUS Deemed Savings Table'!G523</f>
        <v>Air Comp BUS</v>
      </c>
      <c r="D750" s="3343"/>
      <c r="E750" s="3343"/>
      <c r="F750" s="3343"/>
      <c r="G750" s="3343" t="str">
        <f>'BUS Deemed Savings Table'!E523</f>
        <v>No Loss Condensate Drain (Reciprocating - On/off Control)</v>
      </c>
      <c r="H750" s="50" t="str">
        <f>'BUS Deemed Savings Table'!D523</f>
        <v>C&amp;I</v>
      </c>
      <c r="I750" s="1966">
        <f>'BUS Deemed Savings Table'!F523</f>
        <v>3272.26</v>
      </c>
      <c r="J750" s="1966"/>
      <c r="K750" s="560"/>
      <c r="L750" s="560"/>
      <c r="M750" s="560"/>
      <c r="N750" s="560"/>
      <c r="O750" s="1967">
        <f>'BUS Deemed Savings Table'!I523</f>
        <v>0.45138800000000001</v>
      </c>
      <c r="P750" s="1967"/>
      <c r="Q750" s="1968"/>
      <c r="R750" s="1968"/>
      <c r="S750" s="1968"/>
      <c r="T750" s="1968"/>
      <c r="U750" s="1969">
        <f t="shared" si="466"/>
        <v>0</v>
      </c>
      <c r="V750" s="1969">
        <f t="shared" si="467"/>
        <v>0.45138800000000001</v>
      </c>
      <c r="W750" s="1969">
        <f t="shared" si="468"/>
        <v>0</v>
      </c>
      <c r="X750" s="55">
        <f>'BUS Deemed Savings Table'!J523</f>
        <v>13</v>
      </c>
      <c r="Y750" s="55"/>
      <c r="Z750" s="55">
        <f t="shared" si="430"/>
        <v>13</v>
      </c>
      <c r="AA750" s="49">
        <f>'BUS Deemed Savings Table'!DG523</f>
        <v>2.3075524772152844</v>
      </c>
      <c r="AB750" s="698">
        <f>'BUS Deemed Savings Table'!K523</f>
        <v>700</v>
      </c>
      <c r="AC750" s="1975">
        <f t="shared" si="431"/>
        <v>1524.5745484197253</v>
      </c>
      <c r="AD750" s="1975">
        <f t="shared" si="432"/>
        <v>0</v>
      </c>
      <c r="AE750" s="1380">
        <f>'BUS Deemed Savings Table'!DI523</f>
        <v>1524.5745484197253</v>
      </c>
      <c r="AF750" s="571"/>
      <c r="AG750" s="571"/>
      <c r="AH750" s="571"/>
      <c r="AI750" s="2602" t="str">
        <f>'BUS Deemed Savings Table'!L523</f>
        <v>per measure</v>
      </c>
      <c r="AJ750" s="141"/>
      <c r="AM750" s="1596">
        <f t="shared" ref="AM750:AM788" si="469">VLOOKUP(C750,$AS$10:$AT$49,2,FALSE)</f>
        <v>1.379439E-4</v>
      </c>
      <c r="AN750">
        <f t="shared" si="444"/>
        <v>0.451388306214</v>
      </c>
      <c r="AO750" s="1595">
        <f t="shared" ref="AO750:AO788" si="470">AN750-O750</f>
        <v>3.0621399998986831E-7</v>
      </c>
    </row>
    <row r="751" spans="1:48" x14ac:dyDescent="0.35">
      <c r="A751" s="103" t="str">
        <f t="shared" si="429"/>
        <v>804350</v>
      </c>
      <c r="B751" s="3346" t="str">
        <f>'BUS Deemed Savings Table'!C524</f>
        <v>804350_2019_12_</v>
      </c>
      <c r="C751" s="3343" t="str">
        <f>'BUS Deemed Savings Table'!G524</f>
        <v>Air Comp BUS</v>
      </c>
      <c r="D751" s="3343"/>
      <c r="E751" s="3343"/>
      <c r="F751" s="3343"/>
      <c r="G751" s="3343" t="str">
        <f>'BUS Deemed Savings Table'!E524</f>
        <v>No Loss Condensate Drain (Reciprocating - Load/Unload)</v>
      </c>
      <c r="H751" s="50" t="str">
        <f>'BUS Deemed Savings Table'!D524</f>
        <v>C&amp;I</v>
      </c>
      <c r="I751" s="1966">
        <f>'BUS Deemed Savings Table'!F524</f>
        <v>2418.62</v>
      </c>
      <c r="J751" s="1966"/>
      <c r="K751" s="560"/>
      <c r="L751" s="560"/>
      <c r="M751" s="560"/>
      <c r="N751" s="560"/>
      <c r="O751" s="1967">
        <f>'BUS Deemed Savings Table'!I524</f>
        <v>0.33363399999999999</v>
      </c>
      <c r="P751" s="1967"/>
      <c r="Q751" s="1968"/>
      <c r="R751" s="1968"/>
      <c r="S751" s="1968"/>
      <c r="T751" s="1968"/>
      <c r="U751" s="1969">
        <f t="shared" si="466"/>
        <v>0</v>
      </c>
      <c r="V751" s="1969">
        <f t="shared" si="467"/>
        <v>0.33363399999999999</v>
      </c>
      <c r="W751" s="1969">
        <f t="shared" si="468"/>
        <v>0</v>
      </c>
      <c r="X751" s="55">
        <f>'BUS Deemed Savings Table'!J524</f>
        <v>13</v>
      </c>
      <c r="Y751" s="55"/>
      <c r="Z751" s="55">
        <f t="shared" si="430"/>
        <v>13</v>
      </c>
      <c r="AA751" s="49">
        <f>'BUS Deemed Savings Table'!DG524</f>
        <v>1.7055773601249384</v>
      </c>
      <c r="AB751" s="698">
        <f>'BUS Deemed Savings Table'!K524</f>
        <v>700</v>
      </c>
      <c r="AC751" s="1975">
        <f t="shared" si="431"/>
        <v>1126.8562077276608</v>
      </c>
      <c r="AD751" s="1975">
        <f t="shared" si="432"/>
        <v>0</v>
      </c>
      <c r="AE751" s="1380">
        <f>'BUS Deemed Savings Table'!DI524</f>
        <v>1126.8562077276608</v>
      </c>
      <c r="AF751" s="571"/>
      <c r="AG751" s="571"/>
      <c r="AH751" s="571"/>
      <c r="AI751" s="2602" t="str">
        <f>'BUS Deemed Savings Table'!L524</f>
        <v>per measure</v>
      </c>
      <c r="AJ751" s="141"/>
      <c r="AM751" s="1596">
        <f t="shared" si="469"/>
        <v>1.379439E-4</v>
      </c>
      <c r="AN751">
        <f t="shared" si="444"/>
        <v>0.33363387541799999</v>
      </c>
      <c r="AO751" s="1595">
        <f t="shared" si="470"/>
        <v>-1.24581999993989E-7</v>
      </c>
    </row>
    <row r="752" spans="1:48" x14ac:dyDescent="0.35">
      <c r="A752" s="103" t="str">
        <f t="shared" si="429"/>
        <v>804400</v>
      </c>
      <c r="B752" s="3346" t="str">
        <f>'BUS Deemed Savings Table'!C525</f>
        <v>804400_2019_12_</v>
      </c>
      <c r="C752" s="3343" t="str">
        <f>'BUS Deemed Savings Table'!G525</f>
        <v>Air Comp BUS</v>
      </c>
      <c r="D752" s="3343"/>
      <c r="E752" s="3343"/>
      <c r="F752" s="3343"/>
      <c r="G752" s="3343" t="str">
        <f>'BUS Deemed Savings Table'!E525</f>
        <v>No Loss Condensate Drain (Screw - Load/Unload)</v>
      </c>
      <c r="H752" s="50" t="str">
        <f>'BUS Deemed Savings Table'!D525</f>
        <v>C&amp;I</v>
      </c>
      <c r="I752" s="1966">
        <f>'BUS Deemed Savings Table'!F525</f>
        <v>2703.17</v>
      </c>
      <c r="J752" s="1966"/>
      <c r="K752" s="560"/>
      <c r="L752" s="560"/>
      <c r="M752" s="560"/>
      <c r="N752" s="560"/>
      <c r="O752" s="1967">
        <f>'BUS Deemed Savings Table'!I525</f>
        <v>0.372886</v>
      </c>
      <c r="P752" s="1967"/>
      <c r="Q752" s="1968"/>
      <c r="R752" s="1968"/>
      <c r="S752" s="1968"/>
      <c r="T752" s="1968"/>
      <c r="U752" s="1969">
        <f t="shared" si="466"/>
        <v>0</v>
      </c>
      <c r="V752" s="1969">
        <f t="shared" si="467"/>
        <v>0.372886</v>
      </c>
      <c r="W752" s="1969">
        <f t="shared" si="468"/>
        <v>0</v>
      </c>
      <c r="X752" s="55">
        <f>'BUS Deemed Savings Table'!J525</f>
        <v>13</v>
      </c>
      <c r="Y752" s="55"/>
      <c r="Z752" s="55">
        <f t="shared" si="430"/>
        <v>13</v>
      </c>
      <c r="AA752" s="49">
        <f>'BUS Deemed Savings Table'!DG525</f>
        <v>1.9062380831089343</v>
      </c>
      <c r="AB752" s="698">
        <f>'BUS Deemed Savings Table'!K525</f>
        <v>700</v>
      </c>
      <c r="AC752" s="1975">
        <f t="shared" si="431"/>
        <v>1259.4305409874976</v>
      </c>
      <c r="AD752" s="1975">
        <f t="shared" si="432"/>
        <v>0</v>
      </c>
      <c r="AE752" s="1380">
        <f>'BUS Deemed Savings Table'!DI525</f>
        <v>1259.4305409874976</v>
      </c>
      <c r="AF752" s="571"/>
      <c r="AG752" s="571"/>
      <c r="AH752" s="571"/>
      <c r="AI752" s="2602" t="str">
        <f>'BUS Deemed Savings Table'!L525</f>
        <v>per measure</v>
      </c>
      <c r="AJ752" s="141"/>
      <c r="AM752" s="1596">
        <f t="shared" si="469"/>
        <v>1.379439E-4</v>
      </c>
      <c r="AN752">
        <f t="shared" si="444"/>
        <v>0.37288581216299999</v>
      </c>
      <c r="AO752" s="1595">
        <f t="shared" si="470"/>
        <v>-1.8783700000968295E-7</v>
      </c>
    </row>
    <row r="753" spans="1:41" x14ac:dyDescent="0.35">
      <c r="A753" s="103" t="str">
        <f t="shared" si="429"/>
        <v>804450</v>
      </c>
      <c r="B753" s="3346" t="str">
        <f>'BUS Deemed Savings Table'!C526</f>
        <v>804450_2019_12_</v>
      </c>
      <c r="C753" s="3343" t="str">
        <f>'BUS Deemed Savings Table'!G526</f>
        <v>Air Comp BUS</v>
      </c>
      <c r="D753" s="3343"/>
      <c r="E753" s="3343"/>
      <c r="F753" s="3343"/>
      <c r="G753" s="3343" t="str">
        <f>'BUS Deemed Savings Table'!E526</f>
        <v>No Loss Condensate Drain (Screw - Inlet Modulation)</v>
      </c>
      <c r="H753" s="50" t="str">
        <f>'BUS Deemed Savings Table'!D526</f>
        <v>C&amp;I</v>
      </c>
      <c r="I753" s="1966">
        <f>'BUS Deemed Savings Table'!F526</f>
        <v>978.12</v>
      </c>
      <c r="J753" s="1966"/>
      <c r="K753" s="560"/>
      <c r="L753" s="560"/>
      <c r="M753" s="560"/>
      <c r="N753" s="560"/>
      <c r="O753" s="1967">
        <f>'BUS Deemed Savings Table'!I526</f>
        <v>0.13492599999999999</v>
      </c>
      <c r="P753" s="1967"/>
      <c r="Q753" s="1968"/>
      <c r="R753" s="1968"/>
      <c r="S753" s="1968"/>
      <c r="T753" s="1968"/>
      <c r="U753" s="1969">
        <f t="shared" si="466"/>
        <v>0</v>
      </c>
      <c r="V753" s="1969">
        <f t="shared" si="467"/>
        <v>0.13492599999999999</v>
      </c>
      <c r="W753" s="1969">
        <f t="shared" si="468"/>
        <v>0</v>
      </c>
      <c r="X753" s="55">
        <f>'BUS Deemed Savings Table'!J526</f>
        <v>13</v>
      </c>
      <c r="Y753" s="55"/>
      <c r="Z753" s="55">
        <f t="shared" si="430"/>
        <v>13</v>
      </c>
      <c r="AA753" s="49">
        <f>'BUS Deemed Savings Table'!DG526</f>
        <v>0.68975669079285085</v>
      </c>
      <c r="AB753" s="698">
        <f>'BUS Deemed Savings Table'!K526</f>
        <v>700</v>
      </c>
      <c r="AC753" s="1975">
        <f t="shared" si="431"/>
        <v>455.71466121283197</v>
      </c>
      <c r="AD753" s="1975">
        <f t="shared" si="432"/>
        <v>0</v>
      </c>
      <c r="AE753" s="1380">
        <f>'BUS Deemed Savings Table'!DI526</f>
        <v>455.71466121283197</v>
      </c>
      <c r="AF753" s="571"/>
      <c r="AG753" s="571"/>
      <c r="AH753" s="571"/>
      <c r="AI753" s="2602" t="str">
        <f>'BUS Deemed Savings Table'!L526</f>
        <v>per measure</v>
      </c>
      <c r="AJ753" s="141"/>
      <c r="AM753" s="1596">
        <f t="shared" si="469"/>
        <v>1.379439E-4</v>
      </c>
      <c r="AN753">
        <f t="shared" si="444"/>
        <v>0.13492568746799999</v>
      </c>
      <c r="AO753" s="1595">
        <f t="shared" si="470"/>
        <v>-3.1253200000191939E-7</v>
      </c>
    </row>
    <row r="754" spans="1:41" x14ac:dyDescent="0.35">
      <c r="A754" s="103" t="str">
        <f t="shared" si="429"/>
        <v>804500</v>
      </c>
      <c r="B754" s="3346" t="str">
        <f>'BUS Deemed Savings Table'!C527</f>
        <v>804500_2019_12_</v>
      </c>
      <c r="C754" s="3343" t="str">
        <f>'BUS Deemed Savings Table'!G527</f>
        <v>Air Comp BUS</v>
      </c>
      <c r="D754" s="3343"/>
      <c r="E754" s="3343"/>
      <c r="F754" s="3343"/>
      <c r="G754" s="3343" t="str">
        <f>'BUS Deemed Savings Table'!E527</f>
        <v>No Loss Condensate Drain (Screw - Inlet Modulation w/ Unloading)</v>
      </c>
      <c r="H754" s="50" t="str">
        <f>'BUS Deemed Savings Table'!D527</f>
        <v>C&amp;I</v>
      </c>
      <c r="I754" s="1966">
        <f>'BUS Deemed Savings Table'!F527</f>
        <v>978.12</v>
      </c>
      <c r="J754" s="1966"/>
      <c r="K754" s="560"/>
      <c r="L754" s="560"/>
      <c r="M754" s="560"/>
      <c r="N754" s="560"/>
      <c r="O754" s="1967">
        <f>'BUS Deemed Savings Table'!I527</f>
        <v>0.13492599999999999</v>
      </c>
      <c r="P754" s="1967"/>
      <c r="Q754" s="1968"/>
      <c r="R754" s="1968"/>
      <c r="S754" s="1968"/>
      <c r="T754" s="1968"/>
      <c r="U754" s="1969">
        <f t="shared" si="466"/>
        <v>0</v>
      </c>
      <c r="V754" s="1969">
        <f t="shared" si="467"/>
        <v>0.13492599999999999</v>
      </c>
      <c r="W754" s="1969">
        <f t="shared" si="468"/>
        <v>0</v>
      </c>
      <c r="X754" s="55">
        <f>'BUS Deemed Savings Table'!J527</f>
        <v>13</v>
      </c>
      <c r="Y754" s="55"/>
      <c r="Z754" s="55">
        <f t="shared" si="430"/>
        <v>13</v>
      </c>
      <c r="AA754" s="49">
        <f>'BUS Deemed Savings Table'!DG527</f>
        <v>0.68975669079285085</v>
      </c>
      <c r="AB754" s="698">
        <f>'BUS Deemed Savings Table'!K527</f>
        <v>700</v>
      </c>
      <c r="AC754" s="1975">
        <f t="shared" si="431"/>
        <v>455.71466121283197</v>
      </c>
      <c r="AD754" s="1975">
        <f t="shared" si="432"/>
        <v>0</v>
      </c>
      <c r="AE754" s="1380">
        <f>'BUS Deemed Savings Table'!DI527</f>
        <v>455.71466121283197</v>
      </c>
      <c r="AF754" s="571"/>
      <c r="AG754" s="571"/>
      <c r="AH754" s="571"/>
      <c r="AI754" s="2602" t="str">
        <f>'BUS Deemed Savings Table'!L527</f>
        <v>per measure</v>
      </c>
      <c r="AJ754" s="141"/>
      <c r="AM754" s="1596">
        <f t="shared" si="469"/>
        <v>1.379439E-4</v>
      </c>
      <c r="AN754">
        <f t="shared" si="444"/>
        <v>0.13492568746799999</v>
      </c>
      <c r="AO754" s="1595">
        <f t="shared" si="470"/>
        <v>-3.1253200000191939E-7</v>
      </c>
    </row>
    <row r="755" spans="1:41" x14ac:dyDescent="0.35">
      <c r="A755" s="103" t="str">
        <f t="shared" si="429"/>
        <v>804550</v>
      </c>
      <c r="B755" s="3346" t="str">
        <f>'BUS Deemed Savings Table'!C528</f>
        <v>804550_2019_12_</v>
      </c>
      <c r="C755" s="3343" t="str">
        <f>'BUS Deemed Savings Table'!G528</f>
        <v>Air Comp BUS</v>
      </c>
      <c r="D755" s="3343"/>
      <c r="E755" s="3343"/>
      <c r="F755" s="3343"/>
      <c r="G755" s="3343" t="str">
        <f>'BUS Deemed Savings Table'!E528</f>
        <v>No Loss Condensate Drain (Screw - Variable Displacement)</v>
      </c>
      <c r="H755" s="50" t="str">
        <f>'BUS Deemed Savings Table'!D528</f>
        <v>C&amp;I</v>
      </c>
      <c r="I755" s="1966">
        <f>'BUS Deemed Savings Table'!F528</f>
        <v>2720.95</v>
      </c>
      <c r="J755" s="1966"/>
      <c r="K755" s="560"/>
      <c r="L755" s="560"/>
      <c r="M755" s="560"/>
      <c r="N755" s="560"/>
      <c r="O755" s="1967">
        <f>'BUS Deemed Savings Table'!I528</f>
        <v>0.375338</v>
      </c>
      <c r="P755" s="1967"/>
      <c r="Q755" s="1968"/>
      <c r="R755" s="1968"/>
      <c r="S755" s="1968"/>
      <c r="T755" s="1968"/>
      <c r="U755" s="1969">
        <f t="shared" si="466"/>
        <v>0</v>
      </c>
      <c r="V755" s="1969">
        <f t="shared" si="467"/>
        <v>0.375338</v>
      </c>
      <c r="W755" s="1969">
        <f t="shared" si="468"/>
        <v>0</v>
      </c>
      <c r="X755" s="55">
        <f>'BUS Deemed Savings Table'!J528</f>
        <v>13</v>
      </c>
      <c r="Y755" s="55"/>
      <c r="Z755" s="55">
        <f t="shared" si="430"/>
        <v>13</v>
      </c>
      <c r="AA755" s="49">
        <f>'BUS Deemed Savings Table'!DG528</f>
        <v>1.9187762931059658</v>
      </c>
      <c r="AB755" s="698">
        <f>'BUS Deemed Savings Table'!K528</f>
        <v>700</v>
      </c>
      <c r="AC755" s="1975">
        <f t="shared" si="431"/>
        <v>1267.7143984654797</v>
      </c>
      <c r="AD755" s="1975">
        <f t="shared" si="432"/>
        <v>0</v>
      </c>
      <c r="AE755" s="1380">
        <f>'BUS Deemed Savings Table'!DI528</f>
        <v>1267.7143984654797</v>
      </c>
      <c r="AF755" s="571"/>
      <c r="AG755" s="571"/>
      <c r="AH755" s="571"/>
      <c r="AI755" s="2602" t="str">
        <f>'BUS Deemed Savings Table'!L528</f>
        <v>per measure</v>
      </c>
      <c r="AJ755" s="141"/>
      <c r="AM755" s="1596">
        <f t="shared" si="469"/>
        <v>1.379439E-4</v>
      </c>
      <c r="AN755">
        <f t="shared" si="444"/>
        <v>0.37533845470499999</v>
      </c>
      <c r="AO755" s="1595">
        <f t="shared" si="470"/>
        <v>4.5470499998589986E-7</v>
      </c>
    </row>
    <row r="756" spans="1:41" x14ac:dyDescent="0.35">
      <c r="A756" s="103" t="str">
        <f t="shared" si="429"/>
        <v>804600</v>
      </c>
      <c r="B756" s="3346" t="str">
        <f>'BUS Deemed Savings Table'!C529</f>
        <v>804600_2019_12_</v>
      </c>
      <c r="C756" s="3343" t="str">
        <f>'BUS Deemed Savings Table'!G529</f>
        <v>Air Comp BUS</v>
      </c>
      <c r="D756" s="3343"/>
      <c r="E756" s="3343"/>
      <c r="F756" s="3343"/>
      <c r="G756" s="3343" t="str">
        <f>'BUS Deemed Savings Table'!E529</f>
        <v>No Loss Condensate Drain (Screw - VFD)</v>
      </c>
      <c r="H756" s="50" t="str">
        <f>'BUS Deemed Savings Table'!D529</f>
        <v>C&amp;I</v>
      </c>
      <c r="I756" s="1966">
        <f>'BUS Deemed Savings Table'!F529</f>
        <v>3165.55</v>
      </c>
      <c r="J756" s="1966"/>
      <c r="K756" s="560"/>
      <c r="L756" s="560"/>
      <c r="M756" s="560"/>
      <c r="N756" s="560"/>
      <c r="O756" s="1967">
        <f>'BUS Deemed Savings Table'!I529</f>
        <v>0.436668</v>
      </c>
      <c r="P756" s="1967"/>
      <c r="Q756" s="1968"/>
      <c r="R756" s="1968"/>
      <c r="S756" s="1968"/>
      <c r="T756" s="1968"/>
      <c r="U756" s="1969">
        <f t="shared" si="466"/>
        <v>0</v>
      </c>
      <c r="V756" s="1969">
        <f t="shared" si="467"/>
        <v>0.436668</v>
      </c>
      <c r="W756" s="1969">
        <f t="shared" si="468"/>
        <v>0</v>
      </c>
      <c r="X756" s="55">
        <f>'BUS Deemed Savings Table'!J529</f>
        <v>13</v>
      </c>
      <c r="Y756" s="55"/>
      <c r="Z756" s="55">
        <f t="shared" si="430"/>
        <v>13</v>
      </c>
      <c r="AA756" s="49">
        <f>'BUS Deemed Savings Table'!DG529</f>
        <v>2.2323020616481708</v>
      </c>
      <c r="AB756" s="698">
        <f>'BUS Deemed Savings Table'!K529</f>
        <v>700</v>
      </c>
      <c r="AC756" s="1975">
        <f t="shared" si="431"/>
        <v>1474.8574262894945</v>
      </c>
      <c r="AD756" s="1975">
        <f t="shared" si="432"/>
        <v>0</v>
      </c>
      <c r="AE756" s="1380">
        <f>'BUS Deemed Savings Table'!DI529</f>
        <v>1474.8574262894945</v>
      </c>
      <c r="AF756" s="571"/>
      <c r="AG756" s="571"/>
      <c r="AH756" s="571"/>
      <c r="AI756" s="2602" t="str">
        <f>'BUS Deemed Savings Table'!L529</f>
        <v>per measure</v>
      </c>
      <c r="AJ756" s="141"/>
      <c r="AM756" s="1596">
        <f t="shared" si="469"/>
        <v>1.379439E-4</v>
      </c>
      <c r="AN756">
        <f t="shared" si="444"/>
        <v>0.436668312645</v>
      </c>
      <c r="AO756" s="1595">
        <f t="shared" si="470"/>
        <v>3.1264500000016682E-7</v>
      </c>
    </row>
    <row r="757" spans="1:41" x14ac:dyDescent="0.35">
      <c r="A757" s="103" t="str">
        <f t="shared" si="429"/>
        <v>804650</v>
      </c>
      <c r="B757" s="3346" t="str">
        <f>'BUS Deemed Savings Table'!C549</f>
        <v>804650_2019_12_</v>
      </c>
      <c r="C757" s="3343" t="str">
        <f>'BUS Deemed Savings Table'!G549</f>
        <v>Air Comp BUS</v>
      </c>
      <c r="D757" s="3343"/>
      <c r="E757" s="3343"/>
      <c r="F757" s="3343"/>
      <c r="G757" s="3343" t="str">
        <f>'BUS Deemed Savings Table'!E549</f>
        <v>Compressed Air Nozzle (Reciprocating - On/off Control)</v>
      </c>
      <c r="H757" s="50" t="str">
        <f>'BUS Deemed Savings Table'!D549</f>
        <v>C&amp;I</v>
      </c>
      <c r="I757" s="1966">
        <f>'BUS Deemed Savings Table'!F549</f>
        <v>1547.21</v>
      </c>
      <c r="J757" s="1966"/>
      <c r="K757" s="560"/>
      <c r="L757" s="560"/>
      <c r="M757" s="560"/>
      <c r="N757" s="560"/>
      <c r="O757" s="1967">
        <f>'BUS Deemed Savings Table'!I549</f>
        <v>0.21342800000000001</v>
      </c>
      <c r="P757" s="1967"/>
      <c r="Q757" s="1968"/>
      <c r="R757" s="1968"/>
      <c r="S757" s="1968"/>
      <c r="T757" s="1968"/>
      <c r="U757" s="1969">
        <f t="shared" si="466"/>
        <v>0</v>
      </c>
      <c r="V757" s="1969">
        <f t="shared" si="467"/>
        <v>0</v>
      </c>
      <c r="W757" s="1969">
        <f t="shared" si="468"/>
        <v>0.21342800000000001</v>
      </c>
      <c r="X757" s="55">
        <f>'BUS Deemed Savings Table'!J549</f>
        <v>15</v>
      </c>
      <c r="Y757" s="55"/>
      <c r="Z757" s="55">
        <f t="shared" si="430"/>
        <v>15</v>
      </c>
      <c r="AA757" s="49">
        <f>'BUS Deemed Savings Table'!DG549</f>
        <v>11.192528908237206</v>
      </c>
      <c r="AB757" s="698">
        <f>'BUS Deemed Savings Table'!K549</f>
        <v>77</v>
      </c>
      <c r="AC757" s="1975">
        <f t="shared" si="431"/>
        <v>813.42588573314288</v>
      </c>
      <c r="AD757" s="1975">
        <f t="shared" si="432"/>
        <v>0</v>
      </c>
      <c r="AE757" s="1380">
        <f>'BUS Deemed Savings Table'!DI549</f>
        <v>813.42588573314288</v>
      </c>
      <c r="AF757" s="571"/>
      <c r="AG757" s="571"/>
      <c r="AH757" s="571"/>
      <c r="AI757" s="2602" t="str">
        <f>'BUS Deemed Savings Table'!L549</f>
        <v>per measure</v>
      </c>
      <c r="AJ757" s="141"/>
      <c r="AM757" s="1596">
        <f t="shared" si="469"/>
        <v>1.379439E-4</v>
      </c>
      <c r="AN757">
        <f t="shared" si="444"/>
        <v>0.213428181519</v>
      </c>
      <c r="AO757" s="1595">
        <f t="shared" si="470"/>
        <v>1.8151899999763188E-7</v>
      </c>
    </row>
    <row r="758" spans="1:41" x14ac:dyDescent="0.35">
      <c r="A758" s="103" t="str">
        <f t="shared" si="429"/>
        <v>804700</v>
      </c>
      <c r="B758" s="3346" t="str">
        <f>'BUS Deemed Savings Table'!C550</f>
        <v>804700_2019_12_</v>
      </c>
      <c r="C758" s="3343" t="str">
        <f>'BUS Deemed Savings Table'!G550</f>
        <v>Air Comp BUS</v>
      </c>
      <c r="D758" s="3343"/>
      <c r="E758" s="3343"/>
      <c r="F758" s="3343"/>
      <c r="G758" s="3343" t="str">
        <f>'BUS Deemed Savings Table'!E550</f>
        <v>Compressed Air Nozzle (Reciprocating - Load/Unload)</v>
      </c>
      <c r="H758" s="50" t="str">
        <f>'BUS Deemed Savings Table'!D550</f>
        <v>C&amp;I</v>
      </c>
      <c r="I758" s="1966">
        <f>'BUS Deemed Savings Table'!F550</f>
        <v>1203.3800000000001</v>
      </c>
      <c r="J758" s="1966"/>
      <c r="K758" s="560"/>
      <c r="L758" s="560"/>
      <c r="M758" s="560"/>
      <c r="N758" s="560"/>
      <c r="O758" s="1967">
        <f>'BUS Deemed Savings Table'!I550</f>
        <v>0.16599900000000001</v>
      </c>
      <c r="P758" s="1967"/>
      <c r="Q758" s="1968"/>
      <c r="R758" s="1968"/>
      <c r="S758" s="1968"/>
      <c r="T758" s="1968"/>
      <c r="U758" s="1969">
        <f t="shared" si="466"/>
        <v>0</v>
      </c>
      <c r="V758" s="1969">
        <f t="shared" si="467"/>
        <v>0</v>
      </c>
      <c r="W758" s="1969">
        <f t="shared" si="468"/>
        <v>0.16599900000000001</v>
      </c>
      <c r="X758" s="55">
        <f>'BUS Deemed Savings Table'!J550</f>
        <v>15</v>
      </c>
      <c r="Y758" s="55"/>
      <c r="Z758" s="55">
        <f t="shared" si="430"/>
        <v>15</v>
      </c>
      <c r="AA758" s="49">
        <f>'BUS Deemed Savings Table'!DG550</f>
        <v>8.7052600730311269</v>
      </c>
      <c r="AB758" s="698">
        <f>'BUS Deemed Savings Table'!K550</f>
        <v>77</v>
      </c>
      <c r="AC758" s="1975">
        <f t="shared" si="431"/>
        <v>632.66165703010552</v>
      </c>
      <c r="AD758" s="1975">
        <f t="shared" si="432"/>
        <v>0</v>
      </c>
      <c r="AE758" s="1380">
        <f>'BUS Deemed Savings Table'!DI550</f>
        <v>632.66165703010552</v>
      </c>
      <c r="AF758" s="571"/>
      <c r="AG758" s="571"/>
      <c r="AH758" s="571"/>
      <c r="AI758" s="2602" t="str">
        <f>'BUS Deemed Savings Table'!L550</f>
        <v>per measure</v>
      </c>
      <c r="AJ758" s="141"/>
      <c r="AM758" s="1596">
        <f t="shared" si="469"/>
        <v>1.379439E-4</v>
      </c>
      <c r="AN758">
        <f t="shared" si="444"/>
        <v>0.165998930382</v>
      </c>
      <c r="AO758" s="1595">
        <f t="shared" si="470"/>
        <v>-6.9618000003712766E-8</v>
      </c>
    </row>
    <row r="759" spans="1:41" x14ac:dyDescent="0.35">
      <c r="A759" s="103" t="str">
        <f t="shared" si="429"/>
        <v>804750</v>
      </c>
      <c r="B759" s="3346" t="str">
        <f>'BUS Deemed Savings Table'!C551</f>
        <v>804750_2019_12_</v>
      </c>
      <c r="C759" s="3343" t="str">
        <f>'BUS Deemed Savings Table'!G551</f>
        <v>Air Comp BUS</v>
      </c>
      <c r="D759" s="3343"/>
      <c r="E759" s="3343"/>
      <c r="F759" s="3343"/>
      <c r="G759" s="3343" t="str">
        <f>'BUS Deemed Savings Table'!E551</f>
        <v>Compressed Air Nozzle (Screw - Load/Unload)</v>
      </c>
      <c r="H759" s="50" t="str">
        <f>'BUS Deemed Savings Table'!D551</f>
        <v>C&amp;I</v>
      </c>
      <c r="I759" s="1966">
        <f>'BUS Deemed Savings Table'!F551</f>
        <v>1289.3399999999999</v>
      </c>
      <c r="J759" s="1966"/>
      <c r="K759" s="560"/>
      <c r="L759" s="560"/>
      <c r="M759" s="560"/>
      <c r="N759" s="560"/>
      <c r="O759" s="1967">
        <f>'BUS Deemed Savings Table'!I551</f>
        <v>0.17785699999999999</v>
      </c>
      <c r="P759" s="1967"/>
      <c r="Q759" s="1968"/>
      <c r="R759" s="1968"/>
      <c r="S759" s="1968"/>
      <c r="T759" s="1968"/>
      <c r="U759" s="1969">
        <f t="shared" si="466"/>
        <v>0</v>
      </c>
      <c r="V759" s="1969">
        <f t="shared" si="467"/>
        <v>0</v>
      </c>
      <c r="W759" s="1969">
        <f t="shared" si="468"/>
        <v>0.17785699999999999</v>
      </c>
      <c r="X759" s="55">
        <f>'BUS Deemed Savings Table'!J551</f>
        <v>15</v>
      </c>
      <c r="Y759" s="55"/>
      <c r="Z759" s="55">
        <f t="shared" si="430"/>
        <v>15</v>
      </c>
      <c r="AA759" s="49">
        <f>'BUS Deemed Savings Table'!DG551</f>
        <v>9.3270953668516619</v>
      </c>
      <c r="AB759" s="698">
        <f>'BUS Deemed Savings Table'!K551</f>
        <v>77</v>
      </c>
      <c r="AC759" s="1975">
        <f t="shared" si="431"/>
        <v>677.85402854891731</v>
      </c>
      <c r="AD759" s="1975">
        <f t="shared" si="432"/>
        <v>0</v>
      </c>
      <c r="AE759" s="1380">
        <f>'BUS Deemed Savings Table'!DI551</f>
        <v>677.85402854891731</v>
      </c>
      <c r="AF759" s="571"/>
      <c r="AG759" s="571"/>
      <c r="AH759" s="571"/>
      <c r="AI759" s="2602" t="str">
        <f>'BUS Deemed Savings Table'!L551</f>
        <v>per measure</v>
      </c>
      <c r="AJ759" s="141"/>
      <c r="AM759" s="1596">
        <f t="shared" si="469"/>
        <v>1.379439E-4</v>
      </c>
      <c r="AN759">
        <f t="shared" si="444"/>
        <v>0.17785658802599999</v>
      </c>
      <c r="AO759" s="1595">
        <f t="shared" si="470"/>
        <v>-4.1197399999748363E-7</v>
      </c>
    </row>
    <row r="760" spans="1:41" x14ac:dyDescent="0.35">
      <c r="A760" s="103" t="str">
        <f t="shared" si="429"/>
        <v>804800</v>
      </c>
      <c r="B760" s="3346" t="str">
        <f>'BUS Deemed Savings Table'!C552</f>
        <v>804800_2019_12_</v>
      </c>
      <c r="C760" s="3343" t="str">
        <f>'BUS Deemed Savings Table'!G552</f>
        <v>Air Comp BUS</v>
      </c>
      <c r="D760" s="3343"/>
      <c r="E760" s="3343"/>
      <c r="F760" s="3343"/>
      <c r="G760" s="3343" t="str">
        <f>'BUS Deemed Savings Table'!E552</f>
        <v>Compressed Air Nozzle (Screw - Inlet Modulation)</v>
      </c>
      <c r="H760" s="50" t="str">
        <f>'BUS Deemed Savings Table'!D552</f>
        <v>C&amp;I</v>
      </c>
      <c r="I760" s="1966">
        <f>'BUS Deemed Savings Table'!F552</f>
        <v>515.74</v>
      </c>
      <c r="J760" s="1966"/>
      <c r="K760" s="560"/>
      <c r="L760" s="560"/>
      <c r="M760" s="560"/>
      <c r="N760" s="560"/>
      <c r="O760" s="1967">
        <f>'BUS Deemed Savings Table'!I552</f>
        <v>7.1142999999999998E-2</v>
      </c>
      <c r="P760" s="1967"/>
      <c r="Q760" s="1968"/>
      <c r="R760" s="1968"/>
      <c r="S760" s="1968"/>
      <c r="T760" s="1968"/>
      <c r="U760" s="1969">
        <f t="shared" si="466"/>
        <v>0</v>
      </c>
      <c r="V760" s="1969">
        <f t="shared" si="467"/>
        <v>0</v>
      </c>
      <c r="W760" s="1969">
        <f t="shared" si="468"/>
        <v>7.1142999999999998E-2</v>
      </c>
      <c r="X760" s="55">
        <f>'BUS Deemed Savings Table'!J552</f>
        <v>15</v>
      </c>
      <c r="Y760" s="55"/>
      <c r="Z760" s="55">
        <f t="shared" si="430"/>
        <v>15</v>
      </c>
      <c r="AA760" s="49">
        <f>'BUS Deemed Savings Table'!DG552</f>
        <v>3.730867082771089</v>
      </c>
      <c r="AB760" s="698">
        <f>'BUS Deemed Savings Table'!K552</f>
        <v>77</v>
      </c>
      <c r="AC760" s="1975">
        <f t="shared" si="431"/>
        <v>271.14371436845101</v>
      </c>
      <c r="AD760" s="1975">
        <f t="shared" si="432"/>
        <v>0</v>
      </c>
      <c r="AE760" s="1380">
        <f>'BUS Deemed Savings Table'!DI552</f>
        <v>271.14371436845101</v>
      </c>
      <c r="AF760" s="571"/>
      <c r="AG760" s="571"/>
      <c r="AH760" s="571"/>
      <c r="AI760" s="2602" t="str">
        <f>'BUS Deemed Savings Table'!L552</f>
        <v>per measure</v>
      </c>
      <c r="AJ760" s="141"/>
      <c r="AM760" s="1596">
        <f t="shared" si="469"/>
        <v>1.379439E-4</v>
      </c>
      <c r="AN760">
        <f t="shared" si="444"/>
        <v>7.1143186986000001E-2</v>
      </c>
      <c r="AO760" s="1595">
        <f t="shared" si="470"/>
        <v>1.8698600000310872E-7</v>
      </c>
    </row>
    <row r="761" spans="1:41" x14ac:dyDescent="0.35">
      <c r="A761" s="103" t="str">
        <f t="shared" si="429"/>
        <v>804850</v>
      </c>
      <c r="B761" s="3346" t="str">
        <f>'BUS Deemed Savings Table'!C553</f>
        <v>804850_2019_12_</v>
      </c>
      <c r="C761" s="3343" t="str">
        <f>'BUS Deemed Savings Table'!G553</f>
        <v>Air Comp BUS</v>
      </c>
      <c r="D761" s="3343"/>
      <c r="E761" s="3343"/>
      <c r="F761" s="3343"/>
      <c r="G761" s="3343" t="str">
        <f>'BUS Deemed Savings Table'!E553</f>
        <v>Compressed Air Nozzle (Screw - Inlet Modulation w/ Unloading)</v>
      </c>
      <c r="H761" s="50" t="str">
        <f>'BUS Deemed Savings Table'!D553</f>
        <v>C&amp;I</v>
      </c>
      <c r="I761" s="1966">
        <f>'BUS Deemed Savings Table'!F553</f>
        <v>515.74</v>
      </c>
      <c r="J761" s="1966"/>
      <c r="K761" s="560"/>
      <c r="L761" s="560"/>
      <c r="M761" s="560"/>
      <c r="N761" s="560"/>
      <c r="O761" s="1967">
        <f>'BUS Deemed Savings Table'!I553</f>
        <v>7.1142999999999998E-2</v>
      </c>
      <c r="P761" s="1967"/>
      <c r="Q761" s="1968"/>
      <c r="R761" s="1968"/>
      <c r="S761" s="1968"/>
      <c r="T761" s="1968"/>
      <c r="U761" s="1969">
        <f t="shared" si="466"/>
        <v>0</v>
      </c>
      <c r="V761" s="1969">
        <f t="shared" si="467"/>
        <v>0</v>
      </c>
      <c r="W761" s="1969">
        <f t="shared" si="468"/>
        <v>7.1142999999999998E-2</v>
      </c>
      <c r="X761" s="55">
        <f>'BUS Deemed Savings Table'!J553</f>
        <v>15</v>
      </c>
      <c r="Y761" s="55"/>
      <c r="Z761" s="55">
        <f t="shared" si="430"/>
        <v>15</v>
      </c>
      <c r="AA761" s="49">
        <f>'BUS Deemed Savings Table'!DG553</f>
        <v>3.730867082771089</v>
      </c>
      <c r="AB761" s="698">
        <f>'BUS Deemed Savings Table'!K553</f>
        <v>77</v>
      </c>
      <c r="AC761" s="1975">
        <f t="shared" si="431"/>
        <v>271.14371436845101</v>
      </c>
      <c r="AD761" s="1975">
        <f t="shared" si="432"/>
        <v>0</v>
      </c>
      <c r="AE761" s="1380">
        <f>'BUS Deemed Savings Table'!DI553</f>
        <v>271.14371436845101</v>
      </c>
      <c r="AF761" s="571"/>
      <c r="AG761" s="571"/>
      <c r="AH761" s="571"/>
      <c r="AI761" s="2602" t="str">
        <f>'BUS Deemed Savings Table'!L553</f>
        <v>per measure</v>
      </c>
      <c r="AJ761" s="141"/>
      <c r="AM761" s="1596">
        <f t="shared" si="469"/>
        <v>1.379439E-4</v>
      </c>
      <c r="AN761">
        <f t="shared" si="444"/>
        <v>7.1143186986000001E-2</v>
      </c>
      <c r="AO761" s="1595">
        <f t="shared" si="470"/>
        <v>1.8698600000310872E-7</v>
      </c>
    </row>
    <row r="762" spans="1:41" x14ac:dyDescent="0.35">
      <c r="A762" s="103" t="str">
        <f t="shared" si="429"/>
        <v>804900</v>
      </c>
      <c r="B762" s="3346" t="str">
        <f>'BUS Deemed Savings Table'!C554</f>
        <v>804900_2019_12_</v>
      </c>
      <c r="C762" s="3343" t="str">
        <f>'BUS Deemed Savings Table'!G554</f>
        <v>Air Comp BUS</v>
      </c>
      <c r="D762" s="3343"/>
      <c r="E762" s="3343"/>
      <c r="F762" s="3343"/>
      <c r="G762" s="3343" t="str">
        <f>'BUS Deemed Savings Table'!E554</f>
        <v>Compressed Air Nozzle (Screw - Variable Displacement)</v>
      </c>
      <c r="H762" s="50" t="str">
        <f>'BUS Deemed Savings Table'!D554</f>
        <v>C&amp;I</v>
      </c>
      <c r="I762" s="1966">
        <f>'BUS Deemed Savings Table'!F554</f>
        <v>1289.3399999999999</v>
      </c>
      <c r="J762" s="1966"/>
      <c r="K762" s="560"/>
      <c r="L762" s="560"/>
      <c r="M762" s="560"/>
      <c r="N762" s="560"/>
      <c r="O762" s="1967">
        <f>'BUS Deemed Savings Table'!I554</f>
        <v>0.17785699999999999</v>
      </c>
      <c r="P762" s="1967"/>
      <c r="Q762" s="1968"/>
      <c r="R762" s="1968"/>
      <c r="S762" s="1968"/>
      <c r="T762" s="1968"/>
      <c r="U762" s="1969">
        <f t="shared" si="466"/>
        <v>0</v>
      </c>
      <c r="V762" s="1969">
        <f t="shared" si="467"/>
        <v>0</v>
      </c>
      <c r="W762" s="1969">
        <f t="shared" si="468"/>
        <v>0.17785699999999999</v>
      </c>
      <c r="X762" s="55">
        <f>'BUS Deemed Savings Table'!J554</f>
        <v>15</v>
      </c>
      <c r="Y762" s="55"/>
      <c r="Z762" s="55">
        <f t="shared" si="430"/>
        <v>15</v>
      </c>
      <c r="AA762" s="49">
        <f>'BUS Deemed Savings Table'!DG554</f>
        <v>9.3270953668516619</v>
      </c>
      <c r="AB762" s="698">
        <f>'BUS Deemed Savings Table'!K554</f>
        <v>77</v>
      </c>
      <c r="AC762" s="1975">
        <f t="shared" si="431"/>
        <v>677.85402854891731</v>
      </c>
      <c r="AD762" s="1975">
        <f t="shared" si="432"/>
        <v>0</v>
      </c>
      <c r="AE762" s="1380">
        <f>'BUS Deemed Savings Table'!DI554</f>
        <v>677.85402854891731</v>
      </c>
      <c r="AF762" s="571"/>
      <c r="AG762" s="571"/>
      <c r="AH762" s="571"/>
      <c r="AI762" s="2602" t="str">
        <f>'BUS Deemed Savings Table'!L554</f>
        <v>per measure</v>
      </c>
      <c r="AJ762" s="141"/>
      <c r="AM762" s="1596">
        <f t="shared" si="469"/>
        <v>1.379439E-4</v>
      </c>
      <c r="AN762">
        <f t="shared" si="444"/>
        <v>0.17785658802599999</v>
      </c>
      <c r="AO762" s="1595">
        <f t="shared" si="470"/>
        <v>-4.1197399999748363E-7</v>
      </c>
    </row>
    <row r="763" spans="1:41" x14ac:dyDescent="0.35">
      <c r="A763" s="103" t="str">
        <f t="shared" si="429"/>
        <v>804950</v>
      </c>
      <c r="B763" s="3346" t="str">
        <f>'BUS Deemed Savings Table'!C555</f>
        <v>804950_2019_12_</v>
      </c>
      <c r="C763" s="3343" t="str">
        <f>'BUS Deemed Savings Table'!G555</f>
        <v>Air Comp BUS</v>
      </c>
      <c r="D763" s="3343"/>
      <c r="E763" s="3343"/>
      <c r="F763" s="3343"/>
      <c r="G763" s="3343" t="str">
        <f>'BUS Deemed Savings Table'!E555</f>
        <v>Compressed Air Nozzle (Screw - VFD)</v>
      </c>
      <c r="H763" s="50" t="str">
        <f>'BUS Deemed Savings Table'!D555</f>
        <v>C&amp;I</v>
      </c>
      <c r="I763" s="1966">
        <f>'BUS Deemed Savings Table'!F555</f>
        <v>1547.21</v>
      </c>
      <c r="J763" s="1966"/>
      <c r="K763" s="560"/>
      <c r="L763" s="560"/>
      <c r="M763" s="560"/>
      <c r="N763" s="560"/>
      <c r="O763" s="1967">
        <f>'BUS Deemed Savings Table'!I555</f>
        <v>0.21342800000000001</v>
      </c>
      <c r="P763" s="1967"/>
      <c r="Q763" s="1968"/>
      <c r="R763" s="1968"/>
      <c r="S763" s="1968"/>
      <c r="T763" s="1968"/>
      <c r="U763" s="1969">
        <f t="shared" si="466"/>
        <v>0</v>
      </c>
      <c r="V763" s="1969">
        <f t="shared" si="467"/>
        <v>0</v>
      </c>
      <c r="W763" s="1969">
        <f t="shared" si="468"/>
        <v>0.21342800000000001</v>
      </c>
      <c r="X763" s="55">
        <f>'BUS Deemed Savings Table'!J555</f>
        <v>15</v>
      </c>
      <c r="Y763" s="55"/>
      <c r="Z763" s="55">
        <f t="shared" si="430"/>
        <v>15</v>
      </c>
      <c r="AA763" s="49">
        <f>'BUS Deemed Savings Table'!DG555</f>
        <v>11.192528908237206</v>
      </c>
      <c r="AB763" s="698">
        <f>'BUS Deemed Savings Table'!K555</f>
        <v>77</v>
      </c>
      <c r="AC763" s="1975">
        <f t="shared" si="431"/>
        <v>813.42588573314288</v>
      </c>
      <c r="AD763" s="1975">
        <f t="shared" si="432"/>
        <v>0</v>
      </c>
      <c r="AE763" s="1380">
        <f>'BUS Deemed Savings Table'!DI555</f>
        <v>813.42588573314288</v>
      </c>
      <c r="AF763" s="571"/>
      <c r="AG763" s="571"/>
      <c r="AH763" s="571"/>
      <c r="AI763" s="2602" t="str">
        <f>'BUS Deemed Savings Table'!L555</f>
        <v>per measure</v>
      </c>
      <c r="AJ763" s="141"/>
      <c r="AM763" s="1596">
        <f t="shared" si="469"/>
        <v>1.379439E-4</v>
      </c>
      <c r="AN763">
        <f t="shared" si="444"/>
        <v>0.213428181519</v>
      </c>
      <c r="AO763" s="1595">
        <f t="shared" si="470"/>
        <v>1.8151899999763188E-7</v>
      </c>
    </row>
    <row r="764" spans="1:41" x14ac:dyDescent="0.35">
      <c r="A764" s="103" t="str">
        <f t="shared" si="429"/>
        <v>805000</v>
      </c>
      <c r="B764" s="3346" t="str">
        <f>'BUS Deemed Savings Table'!C575</f>
        <v>805000_2020_07_</v>
      </c>
      <c r="C764" s="3343" t="str">
        <f>'BUS Deemed Savings Table'!G575</f>
        <v>Air Comp BUS</v>
      </c>
      <c r="D764" s="3343"/>
      <c r="E764" s="3343"/>
      <c r="F764" s="3343"/>
      <c r="G764" s="3343" t="str">
        <f>'BUS Deemed Savings Table'!E575</f>
        <v>VSD Air Compressor 5-40 HP</v>
      </c>
      <c r="H764" s="50" t="str">
        <f>'BUS Deemed Savings Table'!D575</f>
        <v>C&amp;I</v>
      </c>
      <c r="I764" s="1966">
        <f>'BUS Deemed Savings Table'!F575</f>
        <v>987.01</v>
      </c>
      <c r="J764" s="1966"/>
      <c r="K764" s="560"/>
      <c r="L764" s="560"/>
      <c r="M764" s="560"/>
      <c r="N764" s="560"/>
      <c r="O764" s="1967">
        <f>'BUS Deemed Savings Table'!I575</f>
        <v>0.136152</v>
      </c>
      <c r="P764" s="1967"/>
      <c r="Q764" s="1968"/>
      <c r="R764" s="1968"/>
      <c r="S764" s="1968"/>
      <c r="T764" s="1968"/>
      <c r="U764" s="1969">
        <f t="shared" si="466"/>
        <v>0</v>
      </c>
      <c r="V764" s="1969">
        <f t="shared" si="467"/>
        <v>0.136152</v>
      </c>
      <c r="W764" s="1969">
        <f t="shared" si="468"/>
        <v>0</v>
      </c>
      <c r="X764" s="55">
        <f>'BUS Deemed Savings Table'!J575</f>
        <v>10</v>
      </c>
      <c r="Y764" s="55"/>
      <c r="Z764" s="55">
        <f t="shared" si="430"/>
        <v>10</v>
      </c>
      <c r="AA764" s="49">
        <f>'BUS Deemed Savings Table'!DG575</f>
        <v>1.0432124362839275</v>
      </c>
      <c r="AB764" s="698" t="str">
        <f>'BUS Deemed Savings Table'!K575</f>
        <v>"=(127*HPcomp)+1446"</v>
      </c>
      <c r="AC764" s="1975">
        <f t="shared" si="431"/>
        <v>2174.0566864699495</v>
      </c>
      <c r="AD764" s="1975">
        <f t="shared" si="432"/>
        <v>0</v>
      </c>
      <c r="AE764" s="1380">
        <f>'BUS Deemed Savings Table'!DI575</f>
        <v>2174.0566864699495</v>
      </c>
      <c r="AF764" s="571"/>
      <c r="AG764" s="571"/>
      <c r="AH764" s="571"/>
      <c r="AI764" s="2602" t="str">
        <f>'BUS Deemed Savings Table'!L575</f>
        <v>per HP</v>
      </c>
      <c r="AJ764" s="141"/>
      <c r="AM764" s="1596">
        <f t="shared" si="469"/>
        <v>1.379439E-4</v>
      </c>
      <c r="AN764">
        <f t="shared" si="444"/>
        <v>0.13615200873899999</v>
      </c>
      <c r="AO764" s="1595">
        <f t="shared" si="470"/>
        <v>8.738999995872021E-9</v>
      </c>
    </row>
    <row r="765" spans="1:41" x14ac:dyDescent="0.35">
      <c r="A765" s="1618" t="str">
        <f t="shared" ref="A765" si="471">LEFT(B765,6)</f>
        <v>805020</v>
      </c>
      <c r="B765" s="1590" t="str">
        <f>'BUS Deemed Savings Table'!C589</f>
        <v>805020_2022_12_</v>
      </c>
      <c r="C765" s="1589" t="str">
        <f>'BUS Deemed Savings Table'!G589</f>
        <v>Air Comp BUS</v>
      </c>
      <c r="D765" s="1589"/>
      <c r="E765" s="1589"/>
      <c r="F765" s="1589"/>
      <c r="G765" s="1589" t="str">
        <f>'BUS Deemed Savings Table'!E589</f>
        <v>Leak Repair  (Reciprocating - On/off Control)</v>
      </c>
      <c r="H765" s="1599" t="str">
        <f>'BUS Deemed Savings Table'!D589</f>
        <v>C&amp;I</v>
      </c>
      <c r="I765" s="1597">
        <f>'BUS Deemed Savings Table'!F589</f>
        <v>1090.75</v>
      </c>
      <c r="J765" s="1597"/>
      <c r="K765" s="1591"/>
      <c r="L765" s="1591"/>
      <c r="M765" s="1591"/>
      <c r="N765" s="1591"/>
      <c r="O765" s="1598">
        <f>'BUS Deemed Savings Table'!I589</f>
        <v>0.15046200000000001</v>
      </c>
      <c r="P765" s="1598"/>
      <c r="Q765" s="1600"/>
      <c r="R765" s="1600"/>
      <c r="S765" s="1600"/>
      <c r="T765" s="1600"/>
      <c r="U765" s="1569">
        <f t="shared" ref="U765" si="472">IF(V765+W765&gt;0,0,IF(Z765&gt;0,O765,0))</f>
        <v>0.15046200000000001</v>
      </c>
      <c r="V765" s="1569">
        <f t="shared" ref="V765" si="473">IF(W765&gt;0,0,IF(Z765&gt;9,O765,0))</f>
        <v>0</v>
      </c>
      <c r="W765" s="1569">
        <f t="shared" ref="W765" si="474">IF(Z765&gt;14,O765,0)</f>
        <v>0</v>
      </c>
      <c r="X765" s="1583">
        <f>'BUS Deemed Savings Table'!J589</f>
        <v>2</v>
      </c>
      <c r="Y765" s="1583"/>
      <c r="Z765" s="1583">
        <f t="shared" ref="Z765" si="475">Y765+X765</f>
        <v>2</v>
      </c>
      <c r="AA765" s="2604"/>
      <c r="AB765" s="1955" t="str">
        <f>'BUS Deemed Savings Table'!K589</f>
        <v>Actual</v>
      </c>
      <c r="AC765" s="1570">
        <f t="shared" ref="AC765" si="476">AE765+AF765</f>
        <v>78.995651498144284</v>
      </c>
      <c r="AD765" s="1570">
        <f t="shared" ref="AD765" si="477">AG765+AH765</f>
        <v>0</v>
      </c>
      <c r="AE765" s="1976">
        <f>'BUS Deemed Savings Table'!DI589</f>
        <v>78.995651498144284</v>
      </c>
      <c r="AF765" s="1604"/>
      <c r="AG765" s="1604"/>
      <c r="AH765" s="1604"/>
      <c r="AI765" s="3619" t="str">
        <f>'BUS Deemed Savings Table'!L589</f>
        <v>per CFM Reduced</v>
      </c>
      <c r="AJ765" s="1589"/>
      <c r="AM765" s="1596">
        <f t="shared" ref="AM765" si="478">VLOOKUP(C765,$AS$10:$AT$49,2,FALSE)</f>
        <v>1.379439E-4</v>
      </c>
      <c r="AN765">
        <f t="shared" ref="AN765" si="479">AM765*I765</f>
        <v>0.15046230892500001</v>
      </c>
      <c r="AO765" s="1595">
        <f t="shared" ref="AO765" si="480">AN765-O765</f>
        <v>3.0892499999768397E-7</v>
      </c>
    </row>
    <row r="766" spans="1:41" x14ac:dyDescent="0.35">
      <c r="A766" s="1618" t="str">
        <f t="shared" ref="A766:A771" si="481">LEFT(B766,6)</f>
        <v>805022</v>
      </c>
      <c r="B766" s="1590" t="str">
        <f>'BUS Deemed Savings Table'!C590</f>
        <v>805022_2022_12_</v>
      </c>
      <c r="C766" s="1589" t="str">
        <f>'BUS Deemed Savings Table'!G590</f>
        <v>Air Comp BUS</v>
      </c>
      <c r="D766" s="1589"/>
      <c r="E766" s="1589"/>
      <c r="F766" s="1589"/>
      <c r="G766" s="1589" t="str">
        <f>'BUS Deemed Savings Table'!E590</f>
        <v>Leak Repair (Reciprocating - Load/Unload)</v>
      </c>
      <c r="H766" s="1599" t="str">
        <f>'BUS Deemed Savings Table'!D590</f>
        <v>C&amp;I</v>
      </c>
      <c r="I766" s="1597">
        <f>'BUS Deemed Savings Table'!F590</f>
        <v>806.21</v>
      </c>
      <c r="J766" s="1597"/>
      <c r="K766" s="1591"/>
      <c r="L766" s="1591"/>
      <c r="M766" s="1591"/>
      <c r="N766" s="1591"/>
      <c r="O766" s="1598">
        <f>'BUS Deemed Savings Table'!I590</f>
        <v>0.11121200000000001</v>
      </c>
      <c r="P766" s="1598"/>
      <c r="Q766" s="1600"/>
      <c r="R766" s="1600"/>
      <c r="S766" s="1600"/>
      <c r="T766" s="1600"/>
      <c r="U766" s="1569">
        <f t="shared" ref="U766:U771" si="482">IF(V766+W766&gt;0,0,IF(Z766&gt;0,O766,0))</f>
        <v>0.11121200000000001</v>
      </c>
      <c r="V766" s="1569">
        <f t="shared" ref="V766:V771" si="483">IF(W766&gt;0,0,IF(Z766&gt;9,O766,0))</f>
        <v>0</v>
      </c>
      <c r="W766" s="1569">
        <f t="shared" ref="W766:W771" si="484">IF(Z766&gt;14,O766,0)</f>
        <v>0</v>
      </c>
      <c r="X766" s="1583">
        <f>'BUS Deemed Savings Table'!J590</f>
        <v>2</v>
      </c>
      <c r="Y766" s="1583"/>
      <c r="Z766" s="1583">
        <f t="shared" ref="Z766:Z771" si="485">Y766+X766</f>
        <v>2</v>
      </c>
      <c r="AA766" s="2604"/>
      <c r="AB766" s="1955" t="str">
        <f>'BUS Deemed Savings Table'!K590</f>
        <v>Actual</v>
      </c>
      <c r="AC766" s="1570">
        <f t="shared" ref="AC766:AC771" si="486">AE766+AF766</f>
        <v>58.388342144688437</v>
      </c>
      <c r="AD766" s="1570">
        <f t="shared" ref="AD766:AD771" si="487">AG766+AH766</f>
        <v>0</v>
      </c>
      <c r="AE766" s="1976">
        <f>'BUS Deemed Savings Table'!DI590</f>
        <v>58.388342144688437</v>
      </c>
      <c r="AF766" s="1604"/>
      <c r="AG766" s="1604"/>
      <c r="AH766" s="1604"/>
      <c r="AI766" s="3619" t="str">
        <f>'BUS Deemed Savings Table'!L590</f>
        <v>per CFM Reduced</v>
      </c>
      <c r="AJ766" s="1589"/>
      <c r="AM766" s="1596">
        <f t="shared" ref="AM766:AM771" si="488">VLOOKUP(C766,$AS$10:$AT$49,2,FALSE)</f>
        <v>1.379439E-4</v>
      </c>
      <c r="AN766">
        <f t="shared" ref="AN766:AN771" si="489">AM766*I766</f>
        <v>0.111211751619</v>
      </c>
      <c r="AO766" s="1595">
        <f t="shared" ref="AO766:AO771" si="490">AN766-O766</f>
        <v>-2.4838100000368346E-7</v>
      </c>
    </row>
    <row r="767" spans="1:41" x14ac:dyDescent="0.35">
      <c r="A767" s="1618" t="str">
        <f t="shared" si="481"/>
        <v>805024</v>
      </c>
      <c r="B767" s="1590" t="str">
        <f>'BUS Deemed Savings Table'!C591</f>
        <v>805024_2022_12_</v>
      </c>
      <c r="C767" s="1589" t="str">
        <f>'BUS Deemed Savings Table'!G591</f>
        <v>Air Comp BUS</v>
      </c>
      <c r="D767" s="1589"/>
      <c r="E767" s="1589"/>
      <c r="F767" s="1589"/>
      <c r="G767" s="1589" t="str">
        <f>'BUS Deemed Savings Table'!E591</f>
        <v>Leak Repair (Screw - Load/Unload)</v>
      </c>
      <c r="H767" s="1599" t="str">
        <f>'BUS Deemed Savings Table'!D591</f>
        <v>C&amp;I</v>
      </c>
      <c r="I767" s="1597">
        <f>'BUS Deemed Savings Table'!F591</f>
        <v>901.06</v>
      </c>
      <c r="J767" s="1597"/>
      <c r="K767" s="1591"/>
      <c r="L767" s="1591"/>
      <c r="M767" s="1591"/>
      <c r="N767" s="1591"/>
      <c r="O767" s="1598">
        <f>'BUS Deemed Savings Table'!I591</f>
        <v>0.124296</v>
      </c>
      <c r="P767" s="1598"/>
      <c r="Q767" s="1600"/>
      <c r="R767" s="1600"/>
      <c r="S767" s="1600"/>
      <c r="T767" s="1600"/>
      <c r="U767" s="1569">
        <f t="shared" si="482"/>
        <v>0.124296</v>
      </c>
      <c r="V767" s="1569">
        <f t="shared" si="483"/>
        <v>0</v>
      </c>
      <c r="W767" s="1569">
        <f t="shared" si="484"/>
        <v>0</v>
      </c>
      <c r="X767" s="1583">
        <f>'BUS Deemed Savings Table'!J591</f>
        <v>2</v>
      </c>
      <c r="Y767" s="1583"/>
      <c r="Z767" s="1583">
        <f t="shared" si="485"/>
        <v>2</v>
      </c>
      <c r="AA767" s="2604"/>
      <c r="AB767" s="1955" t="str">
        <f>'BUS Deemed Savings Table'!K591</f>
        <v>Actual</v>
      </c>
      <c r="AC767" s="1570">
        <f t="shared" si="486"/>
        <v>65.257686673314595</v>
      </c>
      <c r="AD767" s="1570">
        <f t="shared" si="487"/>
        <v>0</v>
      </c>
      <c r="AE767" s="1976">
        <f>'BUS Deemed Savings Table'!DI591</f>
        <v>65.257686673314595</v>
      </c>
      <c r="AF767" s="1604"/>
      <c r="AG767" s="1604"/>
      <c r="AH767" s="1604"/>
      <c r="AI767" s="3619" t="str">
        <f>'BUS Deemed Savings Table'!L591</f>
        <v>per CFM Reduced</v>
      </c>
      <c r="AJ767" s="1589"/>
      <c r="AM767" s="1596">
        <f t="shared" si="488"/>
        <v>1.379439E-4</v>
      </c>
      <c r="AN767">
        <f t="shared" si="489"/>
        <v>0.12429573053399999</v>
      </c>
      <c r="AO767" s="1595">
        <f t="shared" si="490"/>
        <v>-2.6946600001354071E-7</v>
      </c>
    </row>
    <row r="768" spans="1:41" x14ac:dyDescent="0.35">
      <c r="A768" s="1618" t="str">
        <f t="shared" si="481"/>
        <v>805026</v>
      </c>
      <c r="B768" s="1590" t="str">
        <f>'BUS Deemed Savings Table'!C592</f>
        <v>805026_2022_12_</v>
      </c>
      <c r="C768" s="1589" t="str">
        <f>'BUS Deemed Savings Table'!G592</f>
        <v>Air Comp BUS</v>
      </c>
      <c r="D768" s="1589"/>
      <c r="E768" s="1589"/>
      <c r="F768" s="1589"/>
      <c r="G768" s="1589" t="str">
        <f>'BUS Deemed Savings Table'!E592</f>
        <v>Leak Repair (Screw - Inlet Modulation)</v>
      </c>
      <c r="H768" s="1599" t="str">
        <f>'BUS Deemed Savings Table'!D592</f>
        <v>C&amp;I</v>
      </c>
      <c r="I768" s="1597">
        <f>'BUS Deemed Savings Table'!F592</f>
        <v>326.04000000000002</v>
      </c>
      <c r="J768" s="1597"/>
      <c r="K768" s="1591"/>
      <c r="L768" s="1591"/>
      <c r="M768" s="1591"/>
      <c r="N768" s="1591"/>
      <c r="O768" s="1598">
        <f>'BUS Deemed Savings Table'!I592</f>
        <v>4.4975000000000001E-2</v>
      </c>
      <c r="P768" s="1598"/>
      <c r="Q768" s="1600"/>
      <c r="R768" s="1600"/>
      <c r="S768" s="1600"/>
      <c r="T768" s="1600"/>
      <c r="U768" s="1569">
        <f t="shared" si="482"/>
        <v>4.4975000000000001E-2</v>
      </c>
      <c r="V768" s="1569">
        <f t="shared" si="483"/>
        <v>0</v>
      </c>
      <c r="W768" s="1569">
        <f t="shared" si="484"/>
        <v>0</v>
      </c>
      <c r="X768" s="1583">
        <f>'BUS Deemed Savings Table'!J592</f>
        <v>2</v>
      </c>
      <c r="Y768" s="1583"/>
      <c r="Z768" s="1583">
        <f t="shared" si="485"/>
        <v>2</v>
      </c>
      <c r="AA768" s="2604"/>
      <c r="AB768" s="1955" t="str">
        <f>'BUS Deemed Savings Table'!K592</f>
        <v>Actual</v>
      </c>
      <c r="AC768" s="1570">
        <f t="shared" si="486"/>
        <v>23.612873907361877</v>
      </c>
      <c r="AD768" s="1570">
        <f t="shared" si="487"/>
        <v>0</v>
      </c>
      <c r="AE768" s="1976">
        <f>'BUS Deemed Savings Table'!DI592</f>
        <v>23.612873907361877</v>
      </c>
      <c r="AF768" s="1604"/>
      <c r="AG768" s="1604"/>
      <c r="AH768" s="1604"/>
      <c r="AI768" s="3619" t="str">
        <f>'BUS Deemed Savings Table'!L592</f>
        <v>per CFM Reduced</v>
      </c>
      <c r="AJ768" s="1589"/>
      <c r="AM768" s="1596">
        <f t="shared" si="488"/>
        <v>1.379439E-4</v>
      </c>
      <c r="AN768">
        <f t="shared" si="489"/>
        <v>4.4975229156000003E-2</v>
      </c>
      <c r="AO768" s="1595">
        <f t="shared" si="490"/>
        <v>2.2915600000200653E-7</v>
      </c>
    </row>
    <row r="769" spans="1:41" x14ac:dyDescent="0.35">
      <c r="A769" s="1618" t="str">
        <f t="shared" si="481"/>
        <v>805028</v>
      </c>
      <c r="B769" s="1590" t="str">
        <f>'BUS Deemed Savings Table'!C593</f>
        <v>805028_2022_12_</v>
      </c>
      <c r="C769" s="1589" t="str">
        <f>'BUS Deemed Savings Table'!G593</f>
        <v>Air Comp BUS</v>
      </c>
      <c r="D769" s="1589"/>
      <c r="E769" s="1589"/>
      <c r="F769" s="1589"/>
      <c r="G769" s="1589" t="str">
        <f>'BUS Deemed Savings Table'!E593</f>
        <v>Leak Repair (Screw - Inlet Modulation w/ Unloading)</v>
      </c>
      <c r="H769" s="1599" t="str">
        <f>'BUS Deemed Savings Table'!D593</f>
        <v>C&amp;I</v>
      </c>
      <c r="I769" s="1597">
        <f>'BUS Deemed Savings Table'!F593</f>
        <v>326.04000000000002</v>
      </c>
      <c r="J769" s="1597"/>
      <c r="K769" s="1591"/>
      <c r="L769" s="1591"/>
      <c r="M769" s="1591"/>
      <c r="N769" s="1591"/>
      <c r="O769" s="1598">
        <f>'BUS Deemed Savings Table'!I593</f>
        <v>4.4975000000000001E-2</v>
      </c>
      <c r="P769" s="1598"/>
      <c r="Q769" s="1600"/>
      <c r="R769" s="1600"/>
      <c r="S769" s="1600"/>
      <c r="T769" s="1600"/>
      <c r="U769" s="1569">
        <f t="shared" si="482"/>
        <v>4.4975000000000001E-2</v>
      </c>
      <c r="V769" s="1569">
        <f t="shared" si="483"/>
        <v>0</v>
      </c>
      <c r="W769" s="1569">
        <f t="shared" si="484"/>
        <v>0</v>
      </c>
      <c r="X769" s="1583">
        <f>'BUS Deemed Savings Table'!J593</f>
        <v>2</v>
      </c>
      <c r="Y769" s="1583"/>
      <c r="Z769" s="1583">
        <f t="shared" si="485"/>
        <v>2</v>
      </c>
      <c r="AA769" s="2604"/>
      <c r="AB769" s="1955" t="str">
        <f>'BUS Deemed Savings Table'!K593</f>
        <v>Actual</v>
      </c>
      <c r="AC769" s="1570">
        <f t="shared" si="486"/>
        <v>23.612873907361877</v>
      </c>
      <c r="AD769" s="1570">
        <f t="shared" si="487"/>
        <v>0</v>
      </c>
      <c r="AE769" s="1976">
        <f>'BUS Deemed Savings Table'!DI593</f>
        <v>23.612873907361877</v>
      </c>
      <c r="AF769" s="1604"/>
      <c r="AG769" s="1604"/>
      <c r="AH769" s="1604"/>
      <c r="AI769" s="3619" t="str">
        <f>'BUS Deemed Savings Table'!L593</f>
        <v>per CFM Reduced</v>
      </c>
      <c r="AJ769" s="1589"/>
      <c r="AM769" s="1596">
        <f t="shared" si="488"/>
        <v>1.379439E-4</v>
      </c>
      <c r="AN769">
        <f t="shared" si="489"/>
        <v>4.4975229156000003E-2</v>
      </c>
      <c r="AO769" s="1595">
        <f t="shared" si="490"/>
        <v>2.2915600000200653E-7</v>
      </c>
    </row>
    <row r="770" spans="1:41" x14ac:dyDescent="0.35">
      <c r="A770" s="1618" t="str">
        <f t="shared" si="481"/>
        <v>805030</v>
      </c>
      <c r="B770" s="1590" t="str">
        <f>'BUS Deemed Savings Table'!C594</f>
        <v>805030_2022_12_</v>
      </c>
      <c r="C770" s="1589" t="str">
        <f>'BUS Deemed Savings Table'!G594</f>
        <v>Air Comp BUS</v>
      </c>
      <c r="D770" s="1589"/>
      <c r="E770" s="1589"/>
      <c r="F770" s="1589"/>
      <c r="G770" s="1589" t="str">
        <f>'BUS Deemed Savings Table'!E594</f>
        <v>Leak Repair (Screw - Variable Displacement)</v>
      </c>
      <c r="H770" s="1599" t="str">
        <f>'BUS Deemed Savings Table'!D594</f>
        <v>C&amp;I</v>
      </c>
      <c r="I770" s="1597">
        <f>'BUS Deemed Savings Table'!F594</f>
        <v>906.98</v>
      </c>
      <c r="J770" s="1597"/>
      <c r="K770" s="1591"/>
      <c r="L770" s="1591"/>
      <c r="M770" s="1591"/>
      <c r="N770" s="1591"/>
      <c r="O770" s="1598">
        <f>'BUS Deemed Savings Table'!I594</f>
        <v>0.125112</v>
      </c>
      <c r="P770" s="1598"/>
      <c r="Q770" s="1600"/>
      <c r="R770" s="1600"/>
      <c r="S770" s="1600"/>
      <c r="T770" s="1600"/>
      <c r="U770" s="1569">
        <f t="shared" si="482"/>
        <v>0.125112</v>
      </c>
      <c r="V770" s="1569">
        <f t="shared" si="483"/>
        <v>0</v>
      </c>
      <c r="W770" s="1569">
        <f t="shared" si="484"/>
        <v>0</v>
      </c>
      <c r="X770" s="1583">
        <f>'BUS Deemed Savings Table'!J594</f>
        <v>2</v>
      </c>
      <c r="Y770" s="1583"/>
      <c r="Z770" s="1583">
        <f t="shared" si="485"/>
        <v>2</v>
      </c>
      <c r="AA770" s="2604"/>
      <c r="AB770" s="1955" t="str">
        <f>'BUS Deemed Savings Table'!K594</f>
        <v>Actual</v>
      </c>
      <c r="AC770" s="1570">
        <f t="shared" si="486"/>
        <v>65.686432267510341</v>
      </c>
      <c r="AD770" s="1570">
        <f t="shared" si="487"/>
        <v>0</v>
      </c>
      <c r="AE770" s="1976">
        <f>'BUS Deemed Savings Table'!DI594</f>
        <v>65.686432267510341</v>
      </c>
      <c r="AF770" s="1604"/>
      <c r="AG770" s="1604"/>
      <c r="AH770" s="1604"/>
      <c r="AI770" s="3619" t="str">
        <f>'BUS Deemed Savings Table'!L594</f>
        <v>per CFM Reduced</v>
      </c>
      <c r="AJ770" s="1589"/>
      <c r="AM770" s="1596">
        <f t="shared" si="488"/>
        <v>1.379439E-4</v>
      </c>
      <c r="AN770">
        <f t="shared" si="489"/>
        <v>0.125112358422</v>
      </c>
      <c r="AO770" s="1595">
        <f t="shared" si="490"/>
        <v>3.5842199999636115E-7</v>
      </c>
    </row>
    <row r="771" spans="1:41" x14ac:dyDescent="0.35">
      <c r="A771" s="1618" t="str">
        <f t="shared" si="481"/>
        <v>805032</v>
      </c>
      <c r="B771" s="1590" t="str">
        <f>'BUS Deemed Savings Table'!C595</f>
        <v>805032_2022_12_</v>
      </c>
      <c r="C771" s="1589" t="str">
        <f>'BUS Deemed Savings Table'!G595</f>
        <v>Air Comp BUS</v>
      </c>
      <c r="D771" s="1589"/>
      <c r="E771" s="1589"/>
      <c r="F771" s="1589"/>
      <c r="G771" s="1589" t="str">
        <f>'BUS Deemed Savings Table'!E595</f>
        <v>Leak Repair  (Screw - VFD)</v>
      </c>
      <c r="H771" s="1599" t="str">
        <f>'BUS Deemed Savings Table'!D595</f>
        <v>C&amp;I</v>
      </c>
      <c r="I771" s="1597">
        <f>'BUS Deemed Savings Table'!F595</f>
        <v>1055.18</v>
      </c>
      <c r="J771" s="1597"/>
      <c r="K771" s="1591"/>
      <c r="L771" s="1591"/>
      <c r="M771" s="1591"/>
      <c r="N771" s="1591"/>
      <c r="O771" s="1598">
        <f>'BUS Deemed Savings Table'!I595</f>
        <v>0.14555599999999999</v>
      </c>
      <c r="P771" s="1598"/>
      <c r="Q771" s="1600"/>
      <c r="R771" s="1600"/>
      <c r="S771" s="1600"/>
      <c r="T771" s="1600"/>
      <c r="U771" s="1569">
        <f t="shared" si="482"/>
        <v>0.14555599999999999</v>
      </c>
      <c r="V771" s="1569">
        <f t="shared" si="483"/>
        <v>0</v>
      </c>
      <c r="W771" s="1569">
        <f t="shared" si="484"/>
        <v>0</v>
      </c>
      <c r="X771" s="1583">
        <f>'BUS Deemed Savings Table'!J595</f>
        <v>2</v>
      </c>
      <c r="Y771" s="1583"/>
      <c r="Z771" s="1583">
        <f t="shared" si="485"/>
        <v>2</v>
      </c>
      <c r="AA771" s="2604"/>
      <c r="AB771" s="1955" t="str">
        <f>'BUS Deemed Savings Table'!K595</f>
        <v>Actual</v>
      </c>
      <c r="AC771" s="1570">
        <f t="shared" si="486"/>
        <v>76.419556770856659</v>
      </c>
      <c r="AD771" s="1570">
        <f t="shared" si="487"/>
        <v>0</v>
      </c>
      <c r="AE771" s="1976">
        <f>'BUS Deemed Savings Table'!DI595</f>
        <v>76.419556770856659</v>
      </c>
      <c r="AF771" s="1604"/>
      <c r="AG771" s="1604"/>
      <c r="AH771" s="1604"/>
      <c r="AI771" s="3619" t="str">
        <f>'BUS Deemed Savings Table'!L595</f>
        <v>per CFM Reduced</v>
      </c>
      <c r="AJ771" s="1589"/>
      <c r="AM771" s="1596">
        <f t="shared" si="488"/>
        <v>1.379439E-4</v>
      </c>
      <c r="AN771">
        <f t="shared" si="489"/>
        <v>0.145555644402</v>
      </c>
      <c r="AO771" s="1595">
        <f t="shared" si="490"/>
        <v>-3.5559799999029806E-7</v>
      </c>
    </row>
    <row r="772" spans="1:41" x14ac:dyDescent="0.35">
      <c r="A772" s="103" t="str">
        <f t="shared" si="429"/>
        <v>805050</v>
      </c>
      <c r="B772" s="3346" t="str">
        <f>'BUS Deemed Savings Table'!C618</f>
        <v>805050_2019_12_</v>
      </c>
      <c r="C772" s="3343" t="str">
        <f>'BUS Deemed Savings Table'!G618</f>
        <v>Cooking BUS</v>
      </c>
      <c r="D772" s="3343"/>
      <c r="E772" s="3343"/>
      <c r="F772" s="3343"/>
      <c r="G772" s="3343" t="str">
        <f>'BUS Deemed Savings Table'!E618</f>
        <v>Combination Oven (Pan Capacity &lt; 15)</v>
      </c>
      <c r="H772" s="50" t="str">
        <f>'BUS Deemed Savings Table'!D618</f>
        <v>C&amp;I</v>
      </c>
      <c r="I772" s="1966">
        <f>'BUS Deemed Savings Table'!F618</f>
        <v>6372.3</v>
      </c>
      <c r="J772" s="1966"/>
      <c r="K772" s="560"/>
      <c r="L772" s="560"/>
      <c r="M772" s="560"/>
      <c r="N772" s="560"/>
      <c r="O772" s="1967">
        <f>'BUS Deemed Savings Table'!I618</f>
        <v>1.27379</v>
      </c>
      <c r="P772" s="1967"/>
      <c r="Q772" s="1968"/>
      <c r="R772" s="1968"/>
      <c r="S772" s="1968"/>
      <c r="T772" s="1968"/>
      <c r="U772" s="1969">
        <f t="shared" si="466"/>
        <v>0</v>
      </c>
      <c r="V772" s="1969">
        <f t="shared" si="467"/>
        <v>1.27379</v>
      </c>
      <c r="W772" s="1969">
        <f t="shared" si="468"/>
        <v>0</v>
      </c>
      <c r="X772" s="55">
        <f>'BUS Deemed Savings Table'!J618</f>
        <v>12</v>
      </c>
      <c r="Y772" s="55"/>
      <c r="Z772" s="55">
        <f t="shared" si="430"/>
        <v>12</v>
      </c>
      <c r="AA772" s="49">
        <f>'BUS Deemed Savings Table'!DG618</f>
        <v>0.79314586786542229</v>
      </c>
      <c r="AB772" s="698">
        <f>'BUS Deemed Savings Table'!K618</f>
        <v>4300</v>
      </c>
      <c r="AC772" s="1975">
        <f t="shared" si="431"/>
        <v>3218.9969153575416</v>
      </c>
      <c r="AD772" s="1975">
        <f t="shared" si="432"/>
        <v>0</v>
      </c>
      <c r="AE772" s="1380">
        <f>'BUS Deemed Savings Table'!DI618</f>
        <v>3218.9969153575416</v>
      </c>
      <c r="AF772" s="571"/>
      <c r="AG772" s="571"/>
      <c r="AH772" s="571"/>
      <c r="AI772" s="2602" t="str">
        <f>'BUS Deemed Savings Table'!L618</f>
        <v>per measure</v>
      </c>
      <c r="AJ772" s="141"/>
      <c r="AM772" s="1596">
        <f t="shared" si="469"/>
        <v>1.998949E-4</v>
      </c>
      <c r="AN772">
        <f t="shared" si="444"/>
        <v>1.27379027127</v>
      </c>
      <c r="AO772" s="1595">
        <f t="shared" si="470"/>
        <v>2.7127000001847534E-7</v>
      </c>
    </row>
    <row r="773" spans="1:41" x14ac:dyDescent="0.35">
      <c r="A773" s="103" t="str">
        <f t="shared" si="429"/>
        <v>805100</v>
      </c>
      <c r="B773" s="3346" t="str">
        <f>'BUS Deemed Savings Table'!C619</f>
        <v>805100_2019_12_</v>
      </c>
      <c r="C773" s="3343" t="str">
        <f>'BUS Deemed Savings Table'!G619</f>
        <v>Cooking BUS</v>
      </c>
      <c r="D773" s="3343"/>
      <c r="E773" s="3343"/>
      <c r="F773" s="3343"/>
      <c r="G773" s="3343" t="str">
        <f>'BUS Deemed Savings Table'!E619</f>
        <v>Combination Oven (Pan Capacity ≥ 15)</v>
      </c>
      <c r="H773" s="50" t="str">
        <f>'BUS Deemed Savings Table'!D619</f>
        <v>C&amp;I</v>
      </c>
      <c r="I773" s="1966">
        <f>'BUS Deemed Savings Table'!F619</f>
        <v>11743.62</v>
      </c>
      <c r="J773" s="1966"/>
      <c r="K773" s="560"/>
      <c r="L773" s="560"/>
      <c r="M773" s="560"/>
      <c r="N773" s="560"/>
      <c r="O773" s="1967">
        <f>'BUS Deemed Savings Table'!I619</f>
        <v>2.3474900000000001</v>
      </c>
      <c r="P773" s="1967"/>
      <c r="Q773" s="1968"/>
      <c r="R773" s="1968"/>
      <c r="S773" s="1968"/>
      <c r="T773" s="1968"/>
      <c r="U773" s="1969">
        <f t="shared" si="466"/>
        <v>0</v>
      </c>
      <c r="V773" s="1969">
        <f t="shared" si="467"/>
        <v>2.3474900000000001</v>
      </c>
      <c r="W773" s="1969">
        <f t="shared" si="468"/>
        <v>0</v>
      </c>
      <c r="X773" s="55">
        <f>'BUS Deemed Savings Table'!J619</f>
        <v>12</v>
      </c>
      <c r="Y773" s="55"/>
      <c r="Z773" s="55">
        <f t="shared" si="430"/>
        <v>12</v>
      </c>
      <c r="AA773" s="49">
        <f>'BUS Deemed Savings Table'!DG619</f>
        <v>1.4617020034809616</v>
      </c>
      <c r="AB773" s="698">
        <f>'BUS Deemed Savings Table'!K619</f>
        <v>4300</v>
      </c>
      <c r="AC773" s="1975">
        <f t="shared" si="431"/>
        <v>5932.344138714614</v>
      </c>
      <c r="AD773" s="1975">
        <f t="shared" si="432"/>
        <v>0</v>
      </c>
      <c r="AE773" s="1380">
        <f>'BUS Deemed Savings Table'!DI619</f>
        <v>5932.344138714614</v>
      </c>
      <c r="AF773" s="571"/>
      <c r="AG773" s="571"/>
      <c r="AH773" s="571"/>
      <c r="AI773" s="2602" t="str">
        <f>'BUS Deemed Savings Table'!L619</f>
        <v>per measure</v>
      </c>
      <c r="AJ773" s="141"/>
      <c r="AM773" s="1596">
        <f t="shared" si="469"/>
        <v>1.998949E-4</v>
      </c>
      <c r="AN773">
        <f t="shared" si="444"/>
        <v>2.3474897455380002</v>
      </c>
      <c r="AO773" s="1595">
        <f t="shared" si="470"/>
        <v>-2.544619999156339E-7</v>
      </c>
    </row>
    <row r="774" spans="1:41" x14ac:dyDescent="0.35">
      <c r="A774" s="103" t="str">
        <f t="shared" si="429"/>
        <v>805150</v>
      </c>
      <c r="B774" s="3346" t="str">
        <f>'BUS Deemed Savings Table'!C641</f>
        <v>805150_2019_12_</v>
      </c>
      <c r="C774" s="3343" t="str">
        <f>'BUS Deemed Savings Table'!G641</f>
        <v>Cooking BUS</v>
      </c>
      <c r="D774" s="3343"/>
      <c r="E774" s="3343"/>
      <c r="F774" s="3343"/>
      <c r="G774" s="3343" t="str">
        <f>'BUS Deemed Savings Table'!E641</f>
        <v>Standard Open Deep-Fat Fryer</v>
      </c>
      <c r="H774" s="50" t="str">
        <f>'BUS Deemed Savings Table'!D641</f>
        <v>C&amp;I</v>
      </c>
      <c r="I774" s="1966">
        <f>'BUS Deemed Savings Table'!F641</f>
        <v>952.31</v>
      </c>
      <c r="J774" s="1966"/>
      <c r="K774" s="560"/>
      <c r="L774" s="560"/>
      <c r="M774" s="560"/>
      <c r="N774" s="560"/>
      <c r="O774" s="1967">
        <f>'BUS Deemed Savings Table'!I641</f>
        <v>0.190362</v>
      </c>
      <c r="P774" s="1967"/>
      <c r="Q774" s="1968"/>
      <c r="R774" s="1968"/>
      <c r="S774" s="1968"/>
      <c r="T774" s="1968"/>
      <c r="U774" s="1969">
        <f t="shared" si="466"/>
        <v>0</v>
      </c>
      <c r="V774" s="1969">
        <f t="shared" si="467"/>
        <v>0.190362</v>
      </c>
      <c r="W774" s="1969">
        <f t="shared" si="468"/>
        <v>0</v>
      </c>
      <c r="X774" s="55">
        <f>'BUS Deemed Savings Table'!J641</f>
        <v>12</v>
      </c>
      <c r="Y774" s="55"/>
      <c r="Z774" s="55">
        <f t="shared" si="430"/>
        <v>12</v>
      </c>
      <c r="AA774" s="49">
        <f>'BUS Deemed Savings Table'!DG641</f>
        <v>2.4270814889561123</v>
      </c>
      <c r="AB774" s="698">
        <f>'BUS Deemed Savings Table'!K641</f>
        <v>210</v>
      </c>
      <c r="AC774" s="1975">
        <f t="shared" si="431"/>
        <v>481.0638156496305</v>
      </c>
      <c r="AD774" s="1975">
        <f t="shared" si="432"/>
        <v>0</v>
      </c>
      <c r="AE774" s="1380">
        <f>'BUS Deemed Savings Table'!DI641</f>
        <v>481.0638156496305</v>
      </c>
      <c r="AF774" s="571"/>
      <c r="AG774" s="571"/>
      <c r="AH774" s="571"/>
      <c r="AI774" s="2602" t="str">
        <f>'BUS Deemed Savings Table'!L641</f>
        <v>per measure</v>
      </c>
      <c r="AJ774" s="141"/>
      <c r="AM774" s="1596">
        <f t="shared" si="469"/>
        <v>1.998949E-4</v>
      </c>
      <c r="AN774">
        <f t="shared" si="444"/>
        <v>0.19036191221899998</v>
      </c>
      <c r="AO774" s="1595">
        <f t="shared" si="470"/>
        <v>-8.7781000024378386E-8</v>
      </c>
    </row>
    <row r="775" spans="1:41" x14ac:dyDescent="0.35">
      <c r="A775" s="103" t="str">
        <f t="shared" ref="A775:A797" si="491">LEFT(B775,6)</f>
        <v>805200</v>
      </c>
      <c r="B775" s="3346" t="str">
        <f>'BUS Deemed Savings Table'!C642</f>
        <v>805200_2019_12_</v>
      </c>
      <c r="C775" s="3343" t="str">
        <f>'BUS Deemed Savings Table'!G642</f>
        <v>Cooking BUS</v>
      </c>
      <c r="D775" s="3343"/>
      <c r="E775" s="3343"/>
      <c r="F775" s="3343"/>
      <c r="G775" s="3343" t="str">
        <f>'BUS Deemed Savings Table'!E642</f>
        <v>Large Vat Open Deep-Fat Fryer</v>
      </c>
      <c r="H775" s="50" t="str">
        <f>'BUS Deemed Savings Table'!D642</f>
        <v>C&amp;I</v>
      </c>
      <c r="I775" s="1966">
        <f>'BUS Deemed Savings Table'!F642</f>
        <v>2537.84</v>
      </c>
      <c r="J775" s="1966"/>
      <c r="K775" s="560"/>
      <c r="L775" s="560"/>
      <c r="M775" s="560"/>
      <c r="N775" s="560"/>
      <c r="O775" s="1967">
        <f>'BUS Deemed Savings Table'!I642</f>
        <v>0.507301</v>
      </c>
      <c r="P775" s="1967"/>
      <c r="Q775" s="1968"/>
      <c r="R775" s="1968"/>
      <c r="S775" s="1968"/>
      <c r="T775" s="1968"/>
      <c r="U775" s="1969">
        <f t="shared" si="466"/>
        <v>0</v>
      </c>
      <c r="V775" s="1969">
        <f t="shared" si="467"/>
        <v>0.507301</v>
      </c>
      <c r="W775" s="1969">
        <f t="shared" si="468"/>
        <v>0</v>
      </c>
      <c r="X775" s="55">
        <f>'BUS Deemed Savings Table'!J642</f>
        <v>12</v>
      </c>
      <c r="Y775" s="55"/>
      <c r="Z775" s="55">
        <f t="shared" ref="Z775:Z796" si="492">Y775+X775</f>
        <v>12</v>
      </c>
      <c r="AA775" s="2604"/>
      <c r="AB775" s="698">
        <f>'BUS Deemed Savings Table'!K642</f>
        <v>0</v>
      </c>
      <c r="AC775" s="1975">
        <f t="shared" ref="AC775:AC796" si="493">AE775+AF775</f>
        <v>1282.0016527267994</v>
      </c>
      <c r="AD775" s="1975">
        <f t="shared" ref="AD775:AD796" si="494">AG775+AH775</f>
        <v>0</v>
      </c>
      <c r="AE775" s="1380">
        <f>'BUS Deemed Savings Table'!DI642</f>
        <v>1282.0016527267994</v>
      </c>
      <c r="AF775" s="571"/>
      <c r="AG775" s="571"/>
      <c r="AH775" s="571"/>
      <c r="AI775" s="2602" t="str">
        <f>'BUS Deemed Savings Table'!L642</f>
        <v>per measure</v>
      </c>
      <c r="AJ775" s="141"/>
      <c r="AM775" s="1596">
        <f t="shared" si="469"/>
        <v>1.998949E-4</v>
      </c>
      <c r="AN775">
        <f t="shared" si="444"/>
        <v>0.50730127301600003</v>
      </c>
      <c r="AO775" s="1595">
        <f t="shared" si="470"/>
        <v>2.7301600002971327E-7</v>
      </c>
    </row>
    <row r="776" spans="1:41" x14ac:dyDescent="0.35">
      <c r="A776" s="103" t="str">
        <f t="shared" si="491"/>
        <v>805250</v>
      </c>
      <c r="B776" s="3346" t="str">
        <f>'BUS Deemed Savings Table'!C659</f>
        <v>805250_2019_12_</v>
      </c>
      <c r="C776" s="3343" t="str">
        <f>'BUS Deemed Savings Table'!G659</f>
        <v>Cooking BUS</v>
      </c>
      <c r="D776" s="3343"/>
      <c r="E776" s="3343"/>
      <c r="F776" s="3343"/>
      <c r="G776" s="3343" t="str">
        <f>'BUS Deemed Savings Table'!E659</f>
        <v>Convection Oven (Full Size)</v>
      </c>
      <c r="H776" s="50" t="str">
        <f>'BUS Deemed Savings Table'!D659</f>
        <v>C&amp;I</v>
      </c>
      <c r="I776" s="1966">
        <f>'BUS Deemed Savings Table'!F659</f>
        <v>1938.47</v>
      </c>
      <c r="J776" s="1966"/>
      <c r="K776" s="560"/>
      <c r="L776" s="560"/>
      <c r="M776" s="560"/>
      <c r="N776" s="560"/>
      <c r="O776" s="1967">
        <f>'BUS Deemed Savings Table'!I659</f>
        <v>0.38749</v>
      </c>
      <c r="P776" s="1967"/>
      <c r="Q776" s="1968"/>
      <c r="R776" s="1968"/>
      <c r="S776" s="1968"/>
      <c r="T776" s="1968"/>
      <c r="U776" s="1969">
        <f t="shared" si="466"/>
        <v>0</v>
      </c>
      <c r="V776" s="1969">
        <f t="shared" si="467"/>
        <v>0.38749</v>
      </c>
      <c r="W776" s="1969">
        <f t="shared" si="468"/>
        <v>0</v>
      </c>
      <c r="X776" s="55">
        <f>'BUS Deemed Savings Table'!J659</f>
        <v>12</v>
      </c>
      <c r="Y776" s="55"/>
      <c r="Z776" s="55">
        <f t="shared" si="492"/>
        <v>12</v>
      </c>
      <c r="AA776" s="2604"/>
      <c r="AB776" s="698">
        <f>'BUS Deemed Savings Table'!K659</f>
        <v>0</v>
      </c>
      <c r="AC776" s="1975">
        <f t="shared" si="493"/>
        <v>979.22711587858919</v>
      </c>
      <c r="AD776" s="1975">
        <f t="shared" si="494"/>
        <v>0</v>
      </c>
      <c r="AE776" s="1380">
        <f>'BUS Deemed Savings Table'!DI659</f>
        <v>979.22711587858919</v>
      </c>
      <c r="AF776" s="571"/>
      <c r="AG776" s="571"/>
      <c r="AH776" s="571"/>
      <c r="AI776" s="2602" t="str">
        <f>'BUS Deemed Savings Table'!L659</f>
        <v>per measure</v>
      </c>
      <c r="AJ776" s="141"/>
      <c r="AM776" s="1596">
        <f t="shared" si="469"/>
        <v>1.998949E-4</v>
      </c>
      <c r="AN776">
        <f t="shared" si="444"/>
        <v>0.38749026680300003</v>
      </c>
      <c r="AO776" s="1595">
        <f t="shared" si="470"/>
        <v>2.6680300002634993E-7</v>
      </c>
    </row>
    <row r="777" spans="1:41" x14ac:dyDescent="0.35">
      <c r="A777" s="103" t="str">
        <f t="shared" si="491"/>
        <v>805300</v>
      </c>
      <c r="B777" s="3346" t="str">
        <f>'BUS Deemed Savings Table'!C660</f>
        <v>805300_2019_12_</v>
      </c>
      <c r="C777" s="3343" t="str">
        <f>'BUS Deemed Savings Table'!G660</f>
        <v>Cooking BUS</v>
      </c>
      <c r="D777" s="3343"/>
      <c r="E777" s="3343"/>
      <c r="F777" s="3343"/>
      <c r="G777" s="3343" t="str">
        <f>'BUS Deemed Savings Table'!E660</f>
        <v>Convection Oven (Half Size)</v>
      </c>
      <c r="H777" s="50" t="str">
        <f>'BUS Deemed Savings Table'!D660</f>
        <v>C&amp;I</v>
      </c>
      <c r="I777" s="1966">
        <f>'BUS Deemed Savings Table'!F660</f>
        <v>192.11</v>
      </c>
      <c r="J777" s="1966"/>
      <c r="K777" s="560"/>
      <c r="L777" s="560"/>
      <c r="M777" s="560"/>
      <c r="N777" s="560"/>
      <c r="O777" s="1967">
        <f>'BUS Deemed Savings Table'!I660</f>
        <v>3.8401999999999999E-2</v>
      </c>
      <c r="P777" s="1967"/>
      <c r="Q777" s="1968"/>
      <c r="R777" s="1968"/>
      <c r="S777" s="1968"/>
      <c r="T777" s="1968"/>
      <c r="U777" s="1969">
        <f t="shared" si="466"/>
        <v>0</v>
      </c>
      <c r="V777" s="1969">
        <f t="shared" si="467"/>
        <v>3.8401999999999999E-2</v>
      </c>
      <c r="W777" s="1969">
        <f t="shared" si="468"/>
        <v>0</v>
      </c>
      <c r="X777" s="55">
        <f>'BUS Deemed Savings Table'!J660</f>
        <v>12</v>
      </c>
      <c r="Y777" s="55"/>
      <c r="Z777" s="55">
        <f t="shared" si="492"/>
        <v>12</v>
      </c>
      <c r="AA777" s="2604"/>
      <c r="AB777" s="698">
        <f>'BUS Deemed Savings Table'!K660</f>
        <v>0</v>
      </c>
      <c r="AC777" s="1975">
        <f t="shared" si="493"/>
        <v>97.045257977392367</v>
      </c>
      <c r="AD777" s="1975">
        <f t="shared" si="494"/>
        <v>0</v>
      </c>
      <c r="AE777" s="1380">
        <f>'BUS Deemed Savings Table'!DI660</f>
        <v>97.045257977392367</v>
      </c>
      <c r="AF777" s="571"/>
      <c r="AG777" s="571"/>
      <c r="AH777" s="571"/>
      <c r="AI777" s="2602" t="str">
        <f>'BUS Deemed Savings Table'!L660</f>
        <v>per measure</v>
      </c>
      <c r="AJ777" s="141"/>
      <c r="AM777" s="1596">
        <f t="shared" si="469"/>
        <v>1.998949E-4</v>
      </c>
      <c r="AN777">
        <f t="shared" si="444"/>
        <v>3.8401809239000002E-2</v>
      </c>
      <c r="AO777" s="1595">
        <f t="shared" si="470"/>
        <v>-1.907609999962645E-7</v>
      </c>
    </row>
    <row r="778" spans="1:41" x14ac:dyDescent="0.35">
      <c r="A778" s="103" t="str">
        <f t="shared" si="491"/>
        <v>805350</v>
      </c>
      <c r="B778" s="3346" t="str">
        <f>'BUS Deemed Savings Table'!C677</f>
        <v>805350_2019_12_</v>
      </c>
      <c r="C778" s="3343" t="str">
        <f>'BUS Deemed Savings Table'!G677</f>
        <v>Cooking BUS</v>
      </c>
      <c r="D778" s="3343"/>
      <c r="E778" s="3343"/>
      <c r="F778" s="3343"/>
      <c r="G778" s="3343" t="str">
        <f>'BUS Deemed Savings Table'!E677</f>
        <v>Griddle</v>
      </c>
      <c r="H778" s="50" t="str">
        <f>'BUS Deemed Savings Table'!D677</f>
        <v>C&amp;I</v>
      </c>
      <c r="I778" s="1966">
        <f>'BUS Deemed Savings Table'!F677</f>
        <v>1910.38</v>
      </c>
      <c r="J778" s="1966"/>
      <c r="K778" s="560"/>
      <c r="L778" s="560"/>
      <c r="M778" s="560"/>
      <c r="N778" s="560"/>
      <c r="O778" s="1967">
        <f>'BUS Deemed Savings Table'!I677</f>
        <v>0.38187500000000002</v>
      </c>
      <c r="P778" s="1967"/>
      <c r="Q778" s="1968"/>
      <c r="R778" s="1968"/>
      <c r="S778" s="1968"/>
      <c r="T778" s="1968"/>
      <c r="U778" s="1969">
        <f t="shared" si="466"/>
        <v>0</v>
      </c>
      <c r="V778" s="1969">
        <f t="shared" si="467"/>
        <v>0.38187500000000002</v>
      </c>
      <c r="W778" s="1969">
        <f t="shared" si="468"/>
        <v>0</v>
      </c>
      <c r="X778" s="55">
        <f>'BUS Deemed Savings Table'!J677</f>
        <v>12</v>
      </c>
      <c r="Y778" s="55"/>
      <c r="Z778" s="55">
        <f t="shared" si="492"/>
        <v>12</v>
      </c>
      <c r="AA778" s="2604"/>
      <c r="AB778" s="698">
        <f>'BUS Deemed Savings Table'!K677</f>
        <v>0</v>
      </c>
      <c r="AC778" s="1975">
        <f t="shared" si="493"/>
        <v>965.03732202826939</v>
      </c>
      <c r="AD778" s="1975">
        <f t="shared" si="494"/>
        <v>0</v>
      </c>
      <c r="AE778" s="1380">
        <f>'BUS Deemed Savings Table'!DI677</f>
        <v>965.03732202826939</v>
      </c>
      <c r="AF778" s="571"/>
      <c r="AG778" s="571"/>
      <c r="AH778" s="571"/>
      <c r="AI778" s="2602" t="str">
        <f>'BUS Deemed Savings Table'!L677</f>
        <v>per measure</v>
      </c>
      <c r="AJ778" s="141"/>
      <c r="AM778" s="1596">
        <f t="shared" si="469"/>
        <v>1.998949E-4</v>
      </c>
      <c r="AN778">
        <f t="shared" ref="AN778:AN797" si="495">AM778*I778</f>
        <v>0.381875219062</v>
      </c>
      <c r="AO778" s="1595">
        <f t="shared" si="470"/>
        <v>2.1906199998422693E-7</v>
      </c>
    </row>
    <row r="779" spans="1:41" x14ac:dyDescent="0.35">
      <c r="A779" s="103" t="str">
        <f t="shared" si="491"/>
        <v>805405</v>
      </c>
      <c r="B779" s="3346" t="str">
        <f>'BUS Deemed Savings Table'!C693</f>
        <v>805405_2020_07_</v>
      </c>
      <c r="C779" s="3343" t="str">
        <f>'BUS Deemed Savings Table'!G693</f>
        <v>Cooking BUS</v>
      </c>
      <c r="D779" s="3343"/>
      <c r="E779" s="3343"/>
      <c r="F779" s="3343"/>
      <c r="G779" s="3343" t="str">
        <f>'BUS Deemed Savings Table'!E693</f>
        <v>Kitchen Demand Ventilation Controls, Retrofit</v>
      </c>
      <c r="H779" s="50" t="str">
        <f>'BUS Deemed Savings Table'!D693</f>
        <v>C&amp;I</v>
      </c>
      <c r="I779" s="1966">
        <f>'BUS Deemed Savings Table'!F693</f>
        <v>4197</v>
      </c>
      <c r="J779" s="1966"/>
      <c r="K779" s="560"/>
      <c r="L779" s="560"/>
      <c r="M779" s="560"/>
      <c r="N779" s="560"/>
      <c r="O779" s="1967">
        <f>'BUS Deemed Savings Table'!I693</f>
        <v>0.83895889530000001</v>
      </c>
      <c r="P779" s="1967"/>
      <c r="Q779" s="1968"/>
      <c r="R779" s="1968"/>
      <c r="S779" s="1968"/>
      <c r="T779" s="1968"/>
      <c r="U779" s="1969">
        <f t="shared" si="466"/>
        <v>0</v>
      </c>
      <c r="V779" s="1969">
        <f t="shared" si="467"/>
        <v>0</v>
      </c>
      <c r="W779" s="1969">
        <f t="shared" si="468"/>
        <v>0.83895889530000001</v>
      </c>
      <c r="X779" s="55">
        <f>'BUS Deemed Savings Table'!J693</f>
        <v>15</v>
      </c>
      <c r="Y779" s="55"/>
      <c r="Z779" s="55">
        <f t="shared" si="492"/>
        <v>15</v>
      </c>
      <c r="AA779" s="49">
        <f>'BUS Deemed Savings Table'!DG693</f>
        <v>1.3650432164307413</v>
      </c>
      <c r="AB779" s="698">
        <f>'BUS Deemed Savings Table'!K693</f>
        <v>1991</v>
      </c>
      <c r="AC779" s="1975">
        <f t="shared" si="493"/>
        <v>2565.1732363507372</v>
      </c>
      <c r="AD779" s="1975">
        <f t="shared" si="494"/>
        <v>0</v>
      </c>
      <c r="AE779" s="1380">
        <f>'BUS Deemed Savings Table'!DI693</f>
        <v>2565.1732363507372</v>
      </c>
      <c r="AF779" s="571"/>
      <c r="AG779" s="571"/>
      <c r="AH779" s="571"/>
      <c r="AI779" s="2602" t="str">
        <f>'BUS Deemed Savings Table'!L693</f>
        <v>per HP</v>
      </c>
      <c r="AJ779" s="141"/>
      <c r="AM779" s="1596">
        <f t="shared" si="469"/>
        <v>1.998949E-4</v>
      </c>
      <c r="AN779">
        <f t="shared" si="495"/>
        <v>0.83895889530000001</v>
      </c>
      <c r="AO779" s="1595">
        <f t="shared" si="470"/>
        <v>0</v>
      </c>
    </row>
    <row r="780" spans="1:41" x14ac:dyDescent="0.35">
      <c r="A780" s="103" t="str">
        <f t="shared" si="491"/>
        <v>805410</v>
      </c>
      <c r="B780" s="3346" t="str">
        <f>'BUS Deemed Savings Table'!C694</f>
        <v>805410_2020_07_</v>
      </c>
      <c r="C780" s="3343" t="str">
        <f>'BUS Deemed Savings Table'!G694</f>
        <v>Cooking BUS</v>
      </c>
      <c r="D780" s="3343"/>
      <c r="E780" s="3343"/>
      <c r="F780" s="3343"/>
      <c r="G780" s="3343" t="str">
        <f>'BUS Deemed Savings Table'!E694</f>
        <v>Kitchen Demand Ventilation Controls, New</v>
      </c>
      <c r="H780" s="50" t="str">
        <f>'BUS Deemed Savings Table'!D694</f>
        <v>C&amp;I</v>
      </c>
      <c r="I780" s="1966">
        <f>'BUS Deemed Savings Table'!F694</f>
        <v>4197</v>
      </c>
      <c r="J780" s="1966"/>
      <c r="K780" s="560"/>
      <c r="L780" s="560"/>
      <c r="M780" s="560"/>
      <c r="N780" s="560"/>
      <c r="O780" s="1967">
        <f>'BUS Deemed Savings Table'!I694</f>
        <v>0.83895889530000001</v>
      </c>
      <c r="P780" s="1967"/>
      <c r="Q780" s="1968"/>
      <c r="R780" s="1968"/>
      <c r="S780" s="1968"/>
      <c r="T780" s="1968"/>
      <c r="U780" s="1969">
        <f t="shared" si="466"/>
        <v>0</v>
      </c>
      <c r="V780" s="1969">
        <f t="shared" si="467"/>
        <v>0</v>
      </c>
      <c r="W780" s="1969">
        <f t="shared" si="468"/>
        <v>0.83895889530000001</v>
      </c>
      <c r="X780" s="55">
        <f>'BUS Deemed Savings Table'!J694</f>
        <v>15</v>
      </c>
      <c r="Y780" s="55"/>
      <c r="Z780" s="55">
        <f t="shared" si="492"/>
        <v>15</v>
      </c>
      <c r="AA780" s="49">
        <f>'BUS Deemed Savings Table'!DG694</f>
        <v>1.3650432164307413</v>
      </c>
      <c r="AB780" s="698">
        <f>'BUS Deemed Savings Table'!K694</f>
        <v>1991</v>
      </c>
      <c r="AC780" s="1975">
        <f t="shared" si="493"/>
        <v>2565.1732363507372</v>
      </c>
      <c r="AD780" s="1975">
        <f t="shared" si="494"/>
        <v>0</v>
      </c>
      <c r="AE780" s="1380">
        <f>'BUS Deemed Savings Table'!DI694</f>
        <v>2565.1732363507372</v>
      </c>
      <c r="AF780" s="571"/>
      <c r="AG780" s="571"/>
      <c r="AH780" s="571"/>
      <c r="AI780" s="2602" t="str">
        <f>'BUS Deemed Savings Table'!L694</f>
        <v>per HP</v>
      </c>
      <c r="AJ780" s="141"/>
      <c r="AM780" s="1596">
        <f t="shared" si="469"/>
        <v>1.998949E-4</v>
      </c>
      <c r="AN780">
        <f t="shared" si="495"/>
        <v>0.83895889530000001</v>
      </c>
      <c r="AO780" s="1595">
        <f t="shared" si="470"/>
        <v>0</v>
      </c>
    </row>
    <row r="781" spans="1:41" x14ac:dyDescent="0.35">
      <c r="A781" s="103" t="str">
        <f t="shared" si="491"/>
        <v>805450</v>
      </c>
      <c r="B781" s="3346" t="str">
        <f>'BUS Deemed Savings Table'!C711</f>
        <v>805450_2019_12_</v>
      </c>
      <c r="C781" s="3343" t="str">
        <f>'BUS Deemed Savings Table'!G711</f>
        <v>Cooking BUS</v>
      </c>
      <c r="D781" s="3343"/>
      <c r="E781" s="3343"/>
      <c r="F781" s="3343"/>
      <c r="G781" s="3343" t="str">
        <f>'BUS Deemed Savings Table'!E711</f>
        <v>Pre-Rinse Spray Valve</v>
      </c>
      <c r="H781" s="50" t="str">
        <f>'BUS Deemed Savings Table'!D711</f>
        <v>C&amp;I</v>
      </c>
      <c r="I781" s="1966">
        <f>'BUS Deemed Savings Table'!F711</f>
        <v>5786.53</v>
      </c>
      <c r="J781" s="1966"/>
      <c r="K781" s="560"/>
      <c r="L781" s="560"/>
      <c r="M781" s="560"/>
      <c r="N781" s="560"/>
      <c r="O781" s="1967">
        <f>'BUS Deemed Savings Table'!I711</f>
        <v>1.156698</v>
      </c>
      <c r="P781" s="1967"/>
      <c r="Q781" s="1968"/>
      <c r="R781" s="1968"/>
      <c r="S781" s="1968"/>
      <c r="T781" s="1968"/>
      <c r="U781" s="1969">
        <f t="shared" si="466"/>
        <v>1.156698</v>
      </c>
      <c r="V781" s="1969">
        <f t="shared" si="467"/>
        <v>0</v>
      </c>
      <c r="W781" s="1969">
        <f t="shared" si="468"/>
        <v>0</v>
      </c>
      <c r="X781" s="55">
        <f>'BUS Deemed Savings Table'!J711</f>
        <v>5</v>
      </c>
      <c r="Y781" s="55"/>
      <c r="Z781" s="55">
        <f t="shared" si="492"/>
        <v>5</v>
      </c>
      <c r="AA781" s="49">
        <f>'BUS Deemed Savings Table'!DG711</f>
        <v>14.124931095538681</v>
      </c>
      <c r="AB781" s="698">
        <f>'BUS Deemed Savings Table'!K711</f>
        <v>92.9</v>
      </c>
      <c r="AC781" s="1975">
        <f t="shared" si="493"/>
        <v>1238.5144868103289</v>
      </c>
      <c r="AD781" s="1975">
        <f t="shared" si="494"/>
        <v>0</v>
      </c>
      <c r="AE781" s="1380">
        <f>'BUS Deemed Savings Table'!DI711</f>
        <v>1238.5144868103289</v>
      </c>
      <c r="AF781" s="571"/>
      <c r="AG781" s="571"/>
      <c r="AH781" s="571"/>
      <c r="AI781" s="2602" t="str">
        <f>'BUS Deemed Savings Table'!L711</f>
        <v>per measure</v>
      </c>
      <c r="AJ781" s="141"/>
      <c r="AM781" s="1596">
        <f t="shared" si="469"/>
        <v>1.998949E-4</v>
      </c>
      <c r="AN781">
        <f t="shared" si="495"/>
        <v>1.1566978356969999</v>
      </c>
      <c r="AO781" s="1595">
        <f t="shared" si="470"/>
        <v>-1.643030000941792E-7</v>
      </c>
    </row>
    <row r="782" spans="1:41" x14ac:dyDescent="0.35">
      <c r="A782" s="103" t="str">
        <f t="shared" si="491"/>
        <v>805500</v>
      </c>
      <c r="B782" s="3346" t="str">
        <f>'BUS Deemed Savings Table'!C727</f>
        <v>805500_2019_12_</v>
      </c>
      <c r="C782" s="3343" t="str">
        <f>'BUS Deemed Savings Table'!G727</f>
        <v>Water Heating BUS</v>
      </c>
      <c r="D782" s="3343"/>
      <c r="E782" s="3343"/>
      <c r="F782" s="3343"/>
      <c r="G782" s="3343" t="str">
        <f>'BUS Deemed Savings Table'!E727</f>
        <v>Low Flow Faucet Aerator</v>
      </c>
      <c r="H782" s="50" t="str">
        <f>'BUS Deemed Savings Table'!D727</f>
        <v>C&amp;I</v>
      </c>
      <c r="I782" s="1966">
        <f>'BUS Deemed Savings Table'!F727</f>
        <v>86.63</v>
      </c>
      <c r="J782" s="1966"/>
      <c r="K782" s="560"/>
      <c r="L782" s="560"/>
      <c r="M782" s="560"/>
      <c r="N782" s="560"/>
      <c r="O782" s="1967">
        <f>'BUS Deemed Savings Table'!I727</f>
        <v>1.5692999999999999E-2</v>
      </c>
      <c r="P782" s="1967"/>
      <c r="Q782" s="1968"/>
      <c r="R782" s="1968"/>
      <c r="S782" s="1968"/>
      <c r="T782" s="1968"/>
      <c r="U782" s="1969">
        <f t="shared" si="466"/>
        <v>1.5692999999999999E-2</v>
      </c>
      <c r="V782" s="1969">
        <f t="shared" si="467"/>
        <v>0</v>
      </c>
      <c r="W782" s="1969">
        <f t="shared" si="468"/>
        <v>0</v>
      </c>
      <c r="X782" s="55">
        <f>'BUS Deemed Savings Table'!J727</f>
        <v>9</v>
      </c>
      <c r="Y782" s="55"/>
      <c r="Z782" s="55">
        <f t="shared" si="492"/>
        <v>9</v>
      </c>
      <c r="AA782" s="49">
        <f>'BUS Deemed Savings Table'!DG727</f>
        <v>4.4955507840519857</v>
      </c>
      <c r="AB782" s="698">
        <f>'BUS Deemed Savings Table'!K727</f>
        <v>8</v>
      </c>
      <c r="AC782" s="1975">
        <f t="shared" si="493"/>
        <v>33.944696812096161</v>
      </c>
      <c r="AD782" s="1975">
        <f t="shared" si="494"/>
        <v>0</v>
      </c>
      <c r="AE782" s="1380">
        <f>'BUS Deemed Savings Table'!DI727</f>
        <v>33.944696812096161</v>
      </c>
      <c r="AF782" s="571"/>
      <c r="AG782" s="571"/>
      <c r="AH782" s="571"/>
      <c r="AI782" s="2602" t="str">
        <f>'BUS Deemed Savings Table'!L727</f>
        <v>per measure</v>
      </c>
      <c r="AJ782" s="141"/>
      <c r="AM782" s="1596">
        <f t="shared" si="469"/>
        <v>1.811545E-4</v>
      </c>
      <c r="AN782">
        <f t="shared" si="495"/>
        <v>1.5693414334999999E-2</v>
      </c>
      <c r="AO782" s="1595">
        <f t="shared" si="470"/>
        <v>4.1433500000062629E-7</v>
      </c>
    </row>
    <row r="783" spans="1:41" x14ac:dyDescent="0.35">
      <c r="A783" s="103" t="str">
        <f t="shared" si="491"/>
        <v>805550</v>
      </c>
      <c r="B783" s="3346" t="str">
        <f>'BUS Deemed Savings Table'!C743</f>
        <v>805550_2019_12_</v>
      </c>
      <c r="C783" s="3343" t="str">
        <f>'BUS Deemed Savings Table'!G743</f>
        <v>Miscellaneous BUS</v>
      </c>
      <c r="D783" s="3343"/>
      <c r="E783" s="3343"/>
      <c r="F783" s="3343"/>
      <c r="G783" s="3343" t="str">
        <f>'BUS Deemed Savings Table'!E743</f>
        <v>Circulator Pump</v>
      </c>
      <c r="H783" s="50" t="str">
        <f>'BUS Deemed Savings Table'!D743</f>
        <v>C&amp;I</v>
      </c>
      <c r="I783" s="1966">
        <f>'BUS Deemed Savings Table'!F743</f>
        <v>651</v>
      </c>
      <c r="J783" s="1966"/>
      <c r="K783" s="560"/>
      <c r="L783" s="560"/>
      <c r="M783" s="560"/>
      <c r="N783" s="560"/>
      <c r="O783" s="1967">
        <f>'BUS Deemed Savings Table'!I743</f>
        <v>8.9801000000000006E-2</v>
      </c>
      <c r="P783" s="1967"/>
      <c r="Q783" s="1968"/>
      <c r="R783" s="1968"/>
      <c r="S783" s="1968"/>
      <c r="T783" s="1968"/>
      <c r="U783" s="1969">
        <f t="shared" ref="U783:U788" si="496">IF(V783+W783&gt;0,0,IF(Z783&gt;0,O783,0))</f>
        <v>0</v>
      </c>
      <c r="V783" s="1969">
        <f t="shared" ref="V783:V788" si="497">IF(W783&gt;0,0,IF(Z783&gt;9,O783,0))</f>
        <v>0</v>
      </c>
      <c r="W783" s="1969">
        <f t="shared" ref="W783:W788" si="498">IF(Z783&gt;14,O783,0)</f>
        <v>8.9801000000000006E-2</v>
      </c>
      <c r="X783" s="55">
        <f>'BUS Deemed Savings Table'!J743</f>
        <v>15</v>
      </c>
      <c r="Y783" s="55"/>
      <c r="Z783" s="55">
        <f t="shared" si="492"/>
        <v>15</v>
      </c>
      <c r="AA783" s="49">
        <f>'BUS Deemed Savings Table'!DG743</f>
        <v>0.30218258272589937</v>
      </c>
      <c r="AB783" s="698">
        <f>'BUS Deemed Savings Table'!K743</f>
        <v>1200</v>
      </c>
      <c r="AC783" s="1975">
        <f t="shared" si="493"/>
        <v>342.25493088351033</v>
      </c>
      <c r="AD783" s="1975">
        <f t="shared" si="494"/>
        <v>0</v>
      </c>
      <c r="AE783" s="1380">
        <f>'BUS Deemed Savings Table'!DI743</f>
        <v>342.25493088351033</v>
      </c>
      <c r="AF783" s="571"/>
      <c r="AG783" s="571"/>
      <c r="AH783" s="571"/>
      <c r="AI783" s="2602" t="str">
        <f>'BUS Deemed Savings Table'!L743</f>
        <v>per measure</v>
      </c>
      <c r="AJ783" s="141"/>
      <c r="AM783" s="1596">
        <f t="shared" si="469"/>
        <v>1.379439E-4</v>
      </c>
      <c r="AN783">
        <f t="shared" si="495"/>
        <v>8.9801478899999995E-2</v>
      </c>
      <c r="AO783" s="1595">
        <f t="shared" si="470"/>
        <v>4.7889999998940169E-7</v>
      </c>
    </row>
    <row r="784" spans="1:41" x14ac:dyDescent="0.35">
      <c r="A784" s="103" t="str">
        <f t="shared" si="491"/>
        <v>805600</v>
      </c>
      <c r="B784" s="3346" t="str">
        <f>'BUS Deemed Savings Table'!C759</f>
        <v>805600_2019_12_</v>
      </c>
      <c r="C784" s="3343" t="str">
        <f>'BUS Deemed Savings Table'!G759</f>
        <v>Cooling BUS</v>
      </c>
      <c r="D784" s="3343"/>
      <c r="E784" s="3343"/>
      <c r="F784" s="3343"/>
      <c r="G784" s="3343" t="str">
        <f>'BUS Deemed Savings Table'!E759</f>
        <v>Small Commercial Programmable Thermostats</v>
      </c>
      <c r="H784" s="50" t="str">
        <f>'BUS Deemed Savings Table'!D759</f>
        <v>C&amp;I</v>
      </c>
      <c r="I784" s="1966">
        <f>'BUS Deemed Savings Table'!F759</f>
        <v>0.03</v>
      </c>
      <c r="J784" s="1966"/>
      <c r="K784" s="2565"/>
      <c r="L784" s="560"/>
      <c r="M784" s="560"/>
      <c r="N784" s="560"/>
      <c r="O784" s="1967">
        <f>'BUS Deemed Savings Table'!I759</f>
        <v>2.6999999999999999E-5</v>
      </c>
      <c r="P784" s="1967"/>
      <c r="Q784" s="1968"/>
      <c r="R784" s="1968"/>
      <c r="S784" s="1968"/>
      <c r="T784" s="1968"/>
      <c r="U784" s="1969">
        <f t="shared" si="496"/>
        <v>2.6999999999999999E-5</v>
      </c>
      <c r="V784" s="1969">
        <f t="shared" si="497"/>
        <v>0</v>
      </c>
      <c r="W784" s="1969">
        <f t="shared" si="498"/>
        <v>0</v>
      </c>
      <c r="X784" s="55">
        <f>'BUS Deemed Savings Table'!J759</f>
        <v>8</v>
      </c>
      <c r="Y784" s="55"/>
      <c r="Z784" s="55">
        <f t="shared" si="492"/>
        <v>8</v>
      </c>
      <c r="AA784" s="49">
        <f>'BUS Deemed Savings Table'!DG759</f>
        <v>1.4086694140997354E-4</v>
      </c>
      <c r="AB784" s="698">
        <f>'BUS Deemed Savings Table'!K759</f>
        <v>181</v>
      </c>
      <c r="AC784" s="1975">
        <f t="shared" si="493"/>
        <v>2.4065046149320632E-2</v>
      </c>
      <c r="AD784" s="1975">
        <f t="shared" si="494"/>
        <v>0</v>
      </c>
      <c r="AE784" s="1380">
        <f>'BUS Deemed Savings Table'!DI759</f>
        <v>2.4065046149320632E-2</v>
      </c>
      <c r="AF784" s="571"/>
      <c r="AG784" s="571"/>
      <c r="AH784" s="571"/>
      <c r="AI784" s="2602" t="str">
        <f>'BUS Deemed Savings Table'!L759</f>
        <v>per measure</v>
      </c>
      <c r="AJ784" s="141"/>
      <c r="AM784" s="1596">
        <f t="shared" si="469"/>
        <v>9.1068400000000004E-4</v>
      </c>
      <c r="AN784">
        <f t="shared" si="495"/>
        <v>2.7320520000000002E-5</v>
      </c>
      <c r="AO784" s="1595">
        <f t="shared" si="470"/>
        <v>3.2052000000000282E-7</v>
      </c>
    </row>
    <row r="785" spans="1:42" x14ac:dyDescent="0.35">
      <c r="A785" s="103" t="str">
        <f t="shared" si="491"/>
        <v>805650</v>
      </c>
      <c r="B785" s="3346" t="str">
        <f>'BUS Deemed Savings Table'!C775</f>
        <v>805650_2019_12_</v>
      </c>
      <c r="C785" s="3343" t="str">
        <f>'BUS Deemed Savings Table'!G775</f>
        <v>Cooling BUS</v>
      </c>
      <c r="D785" s="3343"/>
      <c r="E785" s="3343"/>
      <c r="F785" s="3343"/>
      <c r="G785" s="3343" t="str">
        <f>'BUS Deemed Savings Table'!E775</f>
        <v>Demand Controlled Ventillation (Gas Heat)</v>
      </c>
      <c r="H785" s="50" t="str">
        <f>'BUS Deemed Savings Table'!D775</f>
        <v>C&amp;I</v>
      </c>
      <c r="I785" s="1966">
        <f>'BUS Deemed Savings Table'!F775</f>
        <v>0.67</v>
      </c>
      <c r="J785" s="1966"/>
      <c r="K785" s="2565"/>
      <c r="L785" s="560"/>
      <c r="M785" s="560"/>
      <c r="N785" s="560"/>
      <c r="O785" s="1967">
        <f>'BUS Deemed Savings Table'!I775</f>
        <v>6.0999999999999997E-4</v>
      </c>
      <c r="P785" s="1967"/>
      <c r="Q785" s="1968"/>
      <c r="R785" s="1968"/>
      <c r="S785" s="1968"/>
      <c r="T785" s="1968"/>
      <c r="U785" s="1969">
        <f t="shared" si="496"/>
        <v>0</v>
      </c>
      <c r="V785" s="1969">
        <f t="shared" si="497"/>
        <v>6.0999999999999997E-4</v>
      </c>
      <c r="W785" s="1969">
        <f t="shared" si="498"/>
        <v>0</v>
      </c>
      <c r="X785" s="55">
        <f>'BUS Deemed Savings Table'!J775</f>
        <v>10</v>
      </c>
      <c r="Y785" s="55"/>
      <c r="Z785" s="55">
        <f t="shared" si="492"/>
        <v>10</v>
      </c>
      <c r="AA785" s="2604"/>
      <c r="AB785" s="698" t="str">
        <f>'BUS Deemed Savings Table'!K775</f>
        <v>Actual</v>
      </c>
      <c r="AC785" s="1975">
        <f t="shared" si="493"/>
        <v>0.66972324670512551</v>
      </c>
      <c r="AD785" s="1975">
        <f t="shared" si="494"/>
        <v>0</v>
      </c>
      <c r="AE785" s="1380">
        <f>'BUS Deemed Savings Table'!DI775</f>
        <v>0.66972324670512551</v>
      </c>
      <c r="AF785" s="571"/>
      <c r="AG785" s="571"/>
      <c r="AH785" s="571"/>
      <c r="AI785" s="2602" t="str">
        <f>'BUS Deemed Savings Table'!L775</f>
        <v>per sq. ft.</v>
      </c>
      <c r="AJ785" s="141"/>
      <c r="AM785" s="1596">
        <f t="shared" si="469"/>
        <v>9.1068400000000004E-4</v>
      </c>
      <c r="AN785">
        <f t="shared" si="495"/>
        <v>6.1015828000000004E-4</v>
      </c>
      <c r="AO785" s="1595">
        <f t="shared" si="470"/>
        <v>1.5828000000006788E-7</v>
      </c>
    </row>
    <row r="786" spans="1:42" x14ac:dyDescent="0.35">
      <c r="A786" s="103" t="str">
        <f t="shared" si="491"/>
        <v>805700</v>
      </c>
      <c r="B786" s="3346" t="str">
        <f>'BUS Deemed Savings Table'!C776</f>
        <v>805700_2019_12_</v>
      </c>
      <c r="C786" s="3343" t="str">
        <f>'BUS Deemed Savings Table'!G776</f>
        <v>Cooling BUS</v>
      </c>
      <c r="D786" s="3343"/>
      <c r="E786" s="3343"/>
      <c r="F786" s="3343"/>
      <c r="G786" s="3343" t="str">
        <f>'BUS Deemed Savings Table'!E776</f>
        <v>Demand Controlled Ventillation (Electric Heat)</v>
      </c>
      <c r="H786" s="50" t="str">
        <f>'BUS Deemed Savings Table'!D776</f>
        <v>C&amp;I</v>
      </c>
      <c r="I786" s="1966">
        <f>'BUS Deemed Savings Table'!F776</f>
        <v>1.9</v>
      </c>
      <c r="J786" s="1966"/>
      <c r="K786" s="2565"/>
      <c r="L786" s="560"/>
      <c r="M786" s="560"/>
      <c r="N786" s="560"/>
      <c r="O786" s="1967">
        <f>'BUS Deemed Savings Table'!I776</f>
        <v>1.73E-3</v>
      </c>
      <c r="P786" s="1967"/>
      <c r="Q786" s="1968"/>
      <c r="R786" s="1968"/>
      <c r="S786" s="1968"/>
      <c r="T786" s="1968"/>
      <c r="U786" s="1969">
        <f t="shared" si="496"/>
        <v>0</v>
      </c>
      <c r="V786" s="1969">
        <f t="shared" si="497"/>
        <v>1.73E-3</v>
      </c>
      <c r="W786" s="1969">
        <f t="shared" si="498"/>
        <v>0</v>
      </c>
      <c r="X786" s="55">
        <f>'BUS Deemed Savings Table'!J776</f>
        <v>10</v>
      </c>
      <c r="Y786" s="55"/>
      <c r="Z786" s="55">
        <f t="shared" si="492"/>
        <v>10</v>
      </c>
      <c r="AA786" s="2604"/>
      <c r="AB786" s="698" t="str">
        <f>'BUS Deemed Savings Table'!K776</f>
        <v>Actual</v>
      </c>
      <c r="AC786" s="1975">
        <f t="shared" si="493"/>
        <v>1.89921517722349</v>
      </c>
      <c r="AD786" s="1975">
        <f t="shared" si="494"/>
        <v>0</v>
      </c>
      <c r="AE786" s="1380">
        <f>'BUS Deemed Savings Table'!DI776</f>
        <v>1.89921517722349</v>
      </c>
      <c r="AF786" s="571"/>
      <c r="AG786" s="571"/>
      <c r="AH786" s="571"/>
      <c r="AI786" s="2602" t="str">
        <f>'BUS Deemed Savings Table'!L776</f>
        <v>per sq. ft.</v>
      </c>
      <c r="AJ786" s="141"/>
      <c r="AM786" s="1596">
        <f t="shared" si="469"/>
        <v>9.1068400000000004E-4</v>
      </c>
      <c r="AN786">
        <f t="shared" si="495"/>
        <v>1.7302996E-3</v>
      </c>
      <c r="AO786" s="1595">
        <f t="shared" si="470"/>
        <v>2.9960000000003352E-7</v>
      </c>
    </row>
    <row r="787" spans="1:42" x14ac:dyDescent="0.35">
      <c r="A787" s="103" t="str">
        <f t="shared" si="491"/>
        <v>805750</v>
      </c>
      <c r="B787" s="3346" t="str">
        <f>'BUS Deemed Savings Table'!C777</f>
        <v>805750_2019_12_</v>
      </c>
      <c r="C787" s="3343" t="str">
        <f>'BUS Deemed Savings Table'!G777</f>
        <v>Cooling BUS</v>
      </c>
      <c r="D787" s="3343"/>
      <c r="E787" s="3343"/>
      <c r="F787" s="3343"/>
      <c r="G787" s="3343" t="str">
        <f>'BUS Deemed Savings Table'!E777</f>
        <v>Demand Controlled Ventillation (Heat Pump)</v>
      </c>
      <c r="H787" s="50" t="str">
        <f>'BUS Deemed Savings Table'!D777</f>
        <v>C&amp;I</v>
      </c>
      <c r="I787" s="1966">
        <f>'BUS Deemed Savings Table'!F777</f>
        <v>1.08</v>
      </c>
      <c r="J787" s="1966"/>
      <c r="K787" s="2565"/>
      <c r="L787" s="560"/>
      <c r="M787" s="560"/>
      <c r="N787" s="560"/>
      <c r="O787" s="1967">
        <f>'BUS Deemed Savings Table'!I777</f>
        <v>9.8400000000000007E-4</v>
      </c>
      <c r="P787" s="1967"/>
      <c r="Q787" s="1968"/>
      <c r="R787" s="1968"/>
      <c r="S787" s="1968"/>
      <c r="T787" s="1968"/>
      <c r="U787" s="1969">
        <f t="shared" si="496"/>
        <v>0</v>
      </c>
      <c r="V787" s="1969">
        <f t="shared" si="497"/>
        <v>9.8400000000000007E-4</v>
      </c>
      <c r="W787" s="1969">
        <f t="shared" si="498"/>
        <v>0</v>
      </c>
      <c r="X787" s="55">
        <f>'BUS Deemed Savings Table'!J777</f>
        <v>10</v>
      </c>
      <c r="Y787" s="55"/>
      <c r="Z787" s="55">
        <f t="shared" si="492"/>
        <v>10</v>
      </c>
      <c r="AA787" s="2604"/>
      <c r="AB787" s="698" t="str">
        <f>'BUS Deemed Savings Table'!K777</f>
        <v>Actual</v>
      </c>
      <c r="AC787" s="1975">
        <f t="shared" si="493"/>
        <v>1.0795538902112471</v>
      </c>
      <c r="AD787" s="1975">
        <f t="shared" si="494"/>
        <v>0</v>
      </c>
      <c r="AE787" s="1380">
        <f>'BUS Deemed Savings Table'!DI777</f>
        <v>1.0795538902112471</v>
      </c>
      <c r="AF787" s="571"/>
      <c r="AG787" s="571"/>
      <c r="AH787" s="571"/>
      <c r="AI787" s="2602" t="str">
        <f>'BUS Deemed Savings Table'!L777</f>
        <v>per sq. ft.</v>
      </c>
      <c r="AJ787" s="141"/>
      <c r="AM787" s="1596">
        <f t="shared" si="469"/>
        <v>9.1068400000000004E-4</v>
      </c>
      <c r="AN787">
        <f t="shared" si="495"/>
        <v>9.8353872000000011E-4</v>
      </c>
      <c r="AO787" s="1595">
        <f t="shared" si="470"/>
        <v>-4.6127999999995978E-7</v>
      </c>
    </row>
    <row r="788" spans="1:42" x14ac:dyDescent="0.35">
      <c r="A788" s="103" t="str">
        <f t="shared" si="491"/>
        <v>805800</v>
      </c>
      <c r="B788" s="3346" t="str">
        <f>'BUS Deemed Savings Table'!C795</f>
        <v>805800_2019_12_</v>
      </c>
      <c r="C788" s="3343" t="str">
        <f>'BUS Deemed Savings Table'!G795</f>
        <v>HVAC BUS</v>
      </c>
      <c r="D788" s="3343"/>
      <c r="E788" s="3343"/>
      <c r="F788" s="3343"/>
      <c r="G788" s="3343" t="str">
        <f>'BUS Deemed Savings Table'!E795</f>
        <v>Advanced RTU Controls</v>
      </c>
      <c r="H788" s="50" t="str">
        <f>'BUS Deemed Savings Table'!D795</f>
        <v>C&amp;I</v>
      </c>
      <c r="I788" s="1966">
        <f>'BUS Deemed Savings Table'!F795</f>
        <v>3779.33</v>
      </c>
      <c r="J788" s="1966"/>
      <c r="K788" s="560"/>
      <c r="L788" s="560"/>
      <c r="M788" s="560"/>
      <c r="N788" s="560"/>
      <c r="O788" s="1967">
        <f>'BUS Deemed Savings Table'!I795</f>
        <v>1.6779580000000001</v>
      </c>
      <c r="P788" s="1967"/>
      <c r="Q788" s="1968"/>
      <c r="R788" s="1968"/>
      <c r="S788" s="1968"/>
      <c r="T788" s="1968"/>
      <c r="U788" s="1969">
        <f t="shared" si="496"/>
        <v>0</v>
      </c>
      <c r="V788" s="1969">
        <f t="shared" si="497"/>
        <v>0</v>
      </c>
      <c r="W788" s="1969">
        <f t="shared" si="498"/>
        <v>1.6779580000000001</v>
      </c>
      <c r="X788" s="55">
        <f>'BUS Deemed Savings Table'!J795</f>
        <v>15</v>
      </c>
      <c r="Y788" s="55"/>
      <c r="Z788" s="55">
        <f t="shared" si="492"/>
        <v>15</v>
      </c>
      <c r="AA788" s="49">
        <f>'BUS Deemed Savings Table'!DG795</f>
        <v>0.88932894873934742</v>
      </c>
      <c r="AB788" s="698">
        <f>'BUS Deemed Savings Table'!K795</f>
        <v>4038</v>
      </c>
      <c r="AC788" s="1975">
        <f t="shared" si="493"/>
        <v>3389.4386927885648</v>
      </c>
      <c r="AD788" s="1975">
        <f t="shared" si="494"/>
        <v>0</v>
      </c>
      <c r="AE788" s="1380">
        <f>'BUS Deemed Savings Table'!DI795</f>
        <v>3389.4386927885648</v>
      </c>
      <c r="AF788" s="571"/>
      <c r="AG788" s="571"/>
      <c r="AH788" s="571"/>
      <c r="AI788" s="2602" t="str">
        <f>'BUS Deemed Savings Table'!L795</f>
        <v>per measure</v>
      </c>
      <c r="AJ788" s="141"/>
      <c r="AM788" s="1596">
        <f t="shared" si="469"/>
        <v>4.4398300000000001E-4</v>
      </c>
      <c r="AN788">
        <f t="shared" si="495"/>
        <v>1.6779582713900001</v>
      </c>
      <c r="AO788" s="1595">
        <f t="shared" si="470"/>
        <v>2.7139000002840419E-7</v>
      </c>
    </row>
    <row r="789" spans="1:42" x14ac:dyDescent="0.35">
      <c r="A789" s="103" t="str">
        <f t="shared" si="491"/>
        <v>805850</v>
      </c>
      <c r="B789" s="3346" t="str">
        <f>'BUS Deemed Savings Table'!C811</f>
        <v>805850_2019_12_</v>
      </c>
      <c r="C789" s="3343" t="str">
        <f>'BUS Deemed Savings Table'!H811</f>
        <v>Cooling BUS</v>
      </c>
      <c r="D789" s="3343"/>
      <c r="E789" s="3343"/>
      <c r="F789" s="3343"/>
      <c r="G789" s="3343" t="str">
        <f>'BUS Deemed Savings Table'!E811</f>
        <v>PTAC</v>
      </c>
      <c r="H789" s="50" t="str">
        <f>'BUS Deemed Savings Table'!D811</f>
        <v>C&amp;I</v>
      </c>
      <c r="I789" s="1966">
        <f>'BUS Deemed Savings Table'!F811</f>
        <v>411.27</v>
      </c>
      <c r="J789" s="1966">
        <f>'BUS Deemed Savings Table'!G811</f>
        <v>10.53878231859869</v>
      </c>
      <c r="K789" s="560"/>
      <c r="L789" s="560"/>
      <c r="M789" s="560"/>
      <c r="N789" s="560"/>
      <c r="O789" s="1967">
        <f>'BUS Deemed Savings Table'!J811</f>
        <v>0.37453700000000001</v>
      </c>
      <c r="P789" s="1967">
        <f>'BUS Deemed Savings Table'!K811</f>
        <v>9.5969999999999996E-3</v>
      </c>
      <c r="Q789" s="1968"/>
      <c r="R789" s="1968"/>
      <c r="S789" s="1968"/>
      <c r="T789" s="1968"/>
      <c r="U789" s="1969">
        <f>IF(V789+W789&gt;0,0,IF(Z789&gt;0,P789,0))</f>
        <v>0</v>
      </c>
      <c r="V789" s="1969">
        <f>IF(W789&gt;0,0,IF(Z789&gt;9,P789,0))</f>
        <v>0</v>
      </c>
      <c r="W789" s="1969">
        <f>IF(Z789&gt;14,P789,0)</f>
        <v>9.5969999999999996E-3</v>
      </c>
      <c r="X789" s="55">
        <f>'BUS Deemed Savings Table'!L811</f>
        <v>15</v>
      </c>
      <c r="Y789" s="55"/>
      <c r="Z789" s="55">
        <f t="shared" si="492"/>
        <v>15</v>
      </c>
      <c r="AA789" s="49">
        <f>'BUS Deemed Savings Table'!DG811</f>
        <v>0.59224787357243758</v>
      </c>
      <c r="AB789" s="698">
        <f>'BUS Deemed Savings Table'!M811</f>
        <v>1047</v>
      </c>
      <c r="AC789" s="1975">
        <f t="shared" si="493"/>
        <v>585.26052253925627</v>
      </c>
      <c r="AD789" s="1975">
        <f t="shared" si="494"/>
        <v>0</v>
      </c>
      <c r="AE789" s="1380">
        <f>'BUS Deemed Savings Table'!DI811</f>
        <v>585.26052253925627</v>
      </c>
      <c r="AF789" s="571"/>
      <c r="AG789" s="571"/>
      <c r="AH789" s="571"/>
      <c r="AI789" s="2605" t="str">
        <f>'BUS Deemed Savings Table'!N811</f>
        <v>per ton</v>
      </c>
      <c r="AJ789" s="141"/>
      <c r="AM789" s="1504">
        <f t="shared" ref="AM789:AM797" si="499">VLOOKUP(C789,$AS$10:$AT$49,2,FALSE)</f>
        <v>9.1068400000000004E-4</v>
      </c>
      <c r="AN789" s="1505">
        <f t="shared" si="495"/>
        <v>0.37453700868000001</v>
      </c>
      <c r="AO789" s="1503">
        <f t="shared" ref="AO789" si="500">AN789-O789</f>
        <v>8.6799999965414543E-9</v>
      </c>
    </row>
    <row r="790" spans="1:42" x14ac:dyDescent="0.35">
      <c r="A790" s="103" t="str">
        <f t="shared" si="491"/>
        <v>805900</v>
      </c>
      <c r="B790" s="3346" t="str">
        <f>'BUS Deemed Savings Table'!C812</f>
        <v>805900_2019_12_</v>
      </c>
      <c r="C790" s="3343" t="str">
        <f>'BUS Deemed Savings Table'!H812</f>
        <v>Cooling BUS</v>
      </c>
      <c r="D790" s="3343"/>
      <c r="E790" s="3343"/>
      <c r="F790" s="3343"/>
      <c r="G790" s="3343" t="str">
        <f>'BUS Deemed Savings Table'!E812</f>
        <v>PTHP</v>
      </c>
      <c r="H790" s="50" t="str">
        <f>'BUS Deemed Savings Table'!D812</f>
        <v>C&amp;I</v>
      </c>
      <c r="I790" s="1966">
        <f>'BUS Deemed Savings Table'!F812</f>
        <v>715.42</v>
      </c>
      <c r="J790" s="1966">
        <f>'BUS Deemed Savings Table'!G812</f>
        <v>177.09378296037951</v>
      </c>
      <c r="K790" s="560"/>
      <c r="L790" s="560"/>
      <c r="M790" s="560"/>
      <c r="N790" s="560"/>
      <c r="O790" s="1967">
        <f>'BUS Deemed Savings Table'!J812</f>
        <v>0.37453599999999998</v>
      </c>
      <c r="P790" s="1967">
        <f>'BUS Deemed Savings Table'!K812</f>
        <v>1.9373000000000001E-2</v>
      </c>
      <c r="Q790" s="1968"/>
      <c r="R790" s="1968"/>
      <c r="S790" s="1968"/>
      <c r="T790" s="1968"/>
      <c r="U790" s="1969">
        <f>IF(V790+W790&gt;0,0,IF(Z790&gt;0,P790,0))</f>
        <v>0</v>
      </c>
      <c r="V790" s="1969">
        <f>IF(W790&gt;0,0,IF(Z790&gt;9,P790,0))</f>
        <v>0</v>
      </c>
      <c r="W790" s="1969">
        <f>IF(Z790&gt;14,P790,0)</f>
        <v>1.9373000000000001E-2</v>
      </c>
      <c r="X790" s="55">
        <f>'BUS Deemed Savings Table'!L812</f>
        <v>15</v>
      </c>
      <c r="Y790" s="55"/>
      <c r="Z790" s="55">
        <f t="shared" si="492"/>
        <v>15</v>
      </c>
      <c r="AA790" s="49">
        <f>'BUS Deemed Savings Table'!DG812</f>
        <v>1.0302379792136389</v>
      </c>
      <c r="AB790" s="698">
        <f>'BUS Deemed Savings Table'!M812</f>
        <v>1047</v>
      </c>
      <c r="AC790" s="1975">
        <f t="shared" si="493"/>
        <v>1018.0832130596317</v>
      </c>
      <c r="AD790" s="1975">
        <f t="shared" si="494"/>
        <v>0</v>
      </c>
      <c r="AE790" s="1380">
        <f>'BUS Deemed Savings Table'!DI812</f>
        <v>1018.0832130596317</v>
      </c>
      <c r="AF790" s="571"/>
      <c r="AG790" s="571"/>
      <c r="AH790" s="571"/>
      <c r="AI790" s="2605" t="str">
        <f>'BUS Deemed Savings Table'!N812</f>
        <v>per ton</v>
      </c>
      <c r="AJ790" s="141"/>
      <c r="AM790" s="1504">
        <f t="shared" si="499"/>
        <v>9.1068400000000004E-4</v>
      </c>
      <c r="AN790" s="1505">
        <f t="shared" si="495"/>
        <v>0.65152154728</v>
      </c>
      <c r="AO790" s="1503">
        <f>AN790-P790</f>
        <v>0.63214854728000003</v>
      </c>
      <c r="AP790" t="s">
        <v>3928</v>
      </c>
    </row>
    <row r="791" spans="1:42" x14ac:dyDescent="0.35">
      <c r="A791" s="103" t="str">
        <f t="shared" si="491"/>
        <v>805950</v>
      </c>
      <c r="B791" s="3346" t="str">
        <f>'BUS Deemed Savings Table'!C829</f>
        <v>805950_2019_12_</v>
      </c>
      <c r="C791" s="3343" t="str">
        <f>'BUS Deemed Savings Table'!G829</f>
        <v>Refrigeration BUS</v>
      </c>
      <c r="D791" s="3343"/>
      <c r="E791" s="3343"/>
      <c r="F791" s="3343"/>
      <c r="G791" s="3343" t="str">
        <f>'BUS Deemed Savings Table'!E829</f>
        <v>Refrigerated Beverage Vending Machine (Class A)</v>
      </c>
      <c r="H791" s="50" t="str">
        <f>'BUS Deemed Savings Table'!D829</f>
        <v>C&amp;I</v>
      </c>
      <c r="I791" s="1966">
        <f>'BUS Deemed Savings Table'!F829</f>
        <v>0.13</v>
      </c>
      <c r="J791" s="1966"/>
      <c r="K791" s="560"/>
      <c r="L791" s="560"/>
      <c r="M791" s="560"/>
      <c r="N791" s="560"/>
      <c r="O791" s="1967">
        <f>'BUS Deemed Savings Table'!I829</f>
        <v>1.8E-5</v>
      </c>
      <c r="P791" s="1967"/>
      <c r="Q791" s="1968"/>
      <c r="R791" s="1968"/>
      <c r="S791" s="1968"/>
      <c r="T791" s="1968"/>
      <c r="U791" s="1969">
        <f t="shared" ref="U791:U797" si="501">IF(V791+W791&gt;0,0,IF(Z791&gt;0,O791,0))</f>
        <v>0</v>
      </c>
      <c r="V791" s="1969">
        <f t="shared" ref="V791:V797" si="502">IF(W791&gt;0,0,IF(Z791&gt;9,O791,0))</f>
        <v>1.8E-5</v>
      </c>
      <c r="W791" s="1969">
        <f t="shared" ref="W791:W797" si="503">IF(Z791&gt;14,O791,0)</f>
        <v>0</v>
      </c>
      <c r="X791" s="55">
        <f>'BUS Deemed Savings Table'!J829</f>
        <v>12</v>
      </c>
      <c r="Y791" s="55"/>
      <c r="Z791" s="55">
        <f t="shared" si="492"/>
        <v>12</v>
      </c>
      <c r="AA791" s="49">
        <f>'BUS Deemed Savings Table'!DG829</f>
        <v>4.2463117918872795E-4</v>
      </c>
      <c r="AB791" s="698">
        <f>'BUS Deemed Savings Table'!K829</f>
        <v>140</v>
      </c>
      <c r="AC791" s="1975">
        <f t="shared" si="493"/>
        <v>5.6109830190110344E-2</v>
      </c>
      <c r="AD791" s="1975">
        <f t="shared" si="494"/>
        <v>0</v>
      </c>
      <c r="AE791" s="1380">
        <f>'BUS Deemed Savings Table'!DI829</f>
        <v>5.6109830190110344E-2</v>
      </c>
      <c r="AF791" s="571"/>
      <c r="AG791" s="571"/>
      <c r="AH791" s="571"/>
      <c r="AI791" s="2602" t="str">
        <f>'BUS Deemed Savings Table'!L829</f>
        <v>per measure</v>
      </c>
      <c r="AJ791" s="141"/>
      <c r="AM791" s="1596">
        <f t="shared" si="499"/>
        <v>1.3573829999999999E-4</v>
      </c>
      <c r="AN791" s="84">
        <f t="shared" si="495"/>
        <v>1.7645978999999999E-5</v>
      </c>
      <c r="AO791" s="1595">
        <f t="shared" ref="AO791:AO797" si="504">AN791-O791</f>
        <v>-3.5402100000000113E-7</v>
      </c>
    </row>
    <row r="792" spans="1:42" x14ac:dyDescent="0.35">
      <c r="A792" s="103" t="str">
        <f t="shared" si="491"/>
        <v>806000</v>
      </c>
      <c r="B792" s="3346" t="str">
        <f>'BUS Deemed Savings Table'!C830</f>
        <v>806000_2019_12_</v>
      </c>
      <c r="C792" s="3343" t="str">
        <f>'BUS Deemed Savings Table'!G830</f>
        <v>Refrigeration BUS</v>
      </c>
      <c r="D792" s="3343"/>
      <c r="E792" s="3343"/>
      <c r="F792" s="3343"/>
      <c r="G792" s="3343" t="str">
        <f>'BUS Deemed Savings Table'!E830</f>
        <v>Refrigerated Beverage Vending Machine (Class B)</v>
      </c>
      <c r="H792" s="50" t="str">
        <f>'BUS Deemed Savings Table'!D830</f>
        <v>C&amp;I</v>
      </c>
      <c r="I792" s="1966">
        <f>'BUS Deemed Savings Table'!F830</f>
        <v>0.32</v>
      </c>
      <c r="J792" s="1966"/>
      <c r="K792" s="560"/>
      <c r="L792" s="560"/>
      <c r="M792" s="560"/>
      <c r="N792" s="560"/>
      <c r="O792" s="1967">
        <f>'BUS Deemed Savings Table'!I830</f>
        <v>4.3000000000000002E-5</v>
      </c>
      <c r="P792" s="1967"/>
      <c r="Q792" s="1968"/>
      <c r="R792" s="1968"/>
      <c r="S792" s="1968"/>
      <c r="T792" s="1968"/>
      <c r="U792" s="1969">
        <f t="shared" si="501"/>
        <v>0</v>
      </c>
      <c r="V792" s="1969">
        <f t="shared" si="502"/>
        <v>4.3000000000000002E-5</v>
      </c>
      <c r="W792" s="1969">
        <f t="shared" si="503"/>
        <v>0</v>
      </c>
      <c r="X792" s="55">
        <f>'BUS Deemed Savings Table'!J830</f>
        <v>12</v>
      </c>
      <c r="Y792" s="55"/>
      <c r="Z792" s="55">
        <f t="shared" si="492"/>
        <v>12</v>
      </c>
      <c r="AA792" s="49">
        <f>'BUS Deemed Savings Table'!DG830</f>
        <v>1.0452459795414844E-3</v>
      </c>
      <c r="AB792" s="698">
        <f>'BUS Deemed Savings Table'!K830</f>
        <v>140</v>
      </c>
      <c r="AC792" s="1975">
        <f t="shared" si="493"/>
        <v>0.13811650508334855</v>
      </c>
      <c r="AD792" s="1975">
        <f t="shared" si="494"/>
        <v>0</v>
      </c>
      <c r="AE792" s="1380">
        <f>'BUS Deemed Savings Table'!DI830</f>
        <v>0.13811650508334855</v>
      </c>
      <c r="AF792" s="571"/>
      <c r="AG792" s="571"/>
      <c r="AH792" s="571"/>
      <c r="AI792" s="2602" t="str">
        <f>'BUS Deemed Savings Table'!L830</f>
        <v>per measure</v>
      </c>
      <c r="AJ792" s="141"/>
      <c r="AM792" s="1596">
        <f t="shared" si="499"/>
        <v>1.3573829999999999E-4</v>
      </c>
      <c r="AN792">
        <f t="shared" si="495"/>
        <v>4.3436255999999996E-5</v>
      </c>
      <c r="AO792" s="1595">
        <f t="shared" si="504"/>
        <v>4.3625599999999408E-7</v>
      </c>
    </row>
    <row r="793" spans="1:42" x14ac:dyDescent="0.35">
      <c r="A793" s="103" t="str">
        <f t="shared" si="491"/>
        <v>806050</v>
      </c>
      <c r="B793" s="3346" t="str">
        <f>'BUS Deemed Savings Table'!C847</f>
        <v>806050_2019_12_</v>
      </c>
      <c r="C793" s="3343" t="str">
        <f>'BUS Deemed Savings Table'!G847</f>
        <v>Miscellaneous BUS</v>
      </c>
      <c r="D793" s="3343"/>
      <c r="E793" s="3343"/>
      <c r="F793" s="3343"/>
      <c r="G793" s="3343" t="str">
        <f>'BUS Deemed Savings Table'!E847</f>
        <v>ECM for Walk-in &amp; Reach-in Coolers/Freezers</v>
      </c>
      <c r="H793" s="50" t="str">
        <f>'BUS Deemed Savings Table'!D847</f>
        <v>C&amp;I</v>
      </c>
      <c r="I793" s="1966">
        <f>'BUS Deemed Savings Table'!F847</f>
        <v>1409</v>
      </c>
      <c r="J793" s="1966"/>
      <c r="K793" s="560"/>
      <c r="L793" s="560"/>
      <c r="M793" s="560"/>
      <c r="N793" s="560"/>
      <c r="O793" s="1967">
        <f>'BUS Deemed Savings Table'!I847</f>
        <v>0.19436300000000001</v>
      </c>
      <c r="P793" s="1967"/>
      <c r="Q793" s="1968"/>
      <c r="R793" s="1968"/>
      <c r="S793" s="1968"/>
      <c r="T793" s="1968"/>
      <c r="U793" s="1969">
        <f t="shared" si="501"/>
        <v>0</v>
      </c>
      <c r="V793" s="1969">
        <f t="shared" si="502"/>
        <v>0</v>
      </c>
      <c r="W793" s="1969">
        <f t="shared" si="503"/>
        <v>0.19436300000000001</v>
      </c>
      <c r="X793" s="55">
        <f>'BUS Deemed Savings Table'!J847</f>
        <v>15</v>
      </c>
      <c r="Y793" s="55"/>
      <c r="Z793" s="55">
        <f t="shared" si="492"/>
        <v>15</v>
      </c>
      <c r="AA793" s="49">
        <f>'BUS Deemed Savings Table'!DG847</f>
        <v>4.4341197017448222</v>
      </c>
      <c r="AB793" s="698">
        <f>'BUS Deemed Savings Table'!K847</f>
        <v>177</v>
      </c>
      <c r="AC793" s="1975">
        <f t="shared" si="493"/>
        <v>740.76374441607686</v>
      </c>
      <c r="AD793" s="1975">
        <f t="shared" si="494"/>
        <v>0</v>
      </c>
      <c r="AE793" s="1380">
        <f>'BUS Deemed Savings Table'!DI847</f>
        <v>740.76374441607686</v>
      </c>
      <c r="AF793" s="571"/>
      <c r="AG793" s="571"/>
      <c r="AH793" s="571"/>
      <c r="AI793" s="2602" t="str">
        <f>'BUS Deemed Savings Table'!L847</f>
        <v>per motor</v>
      </c>
      <c r="AJ793" s="141"/>
      <c r="AM793" s="1596">
        <f t="shared" si="499"/>
        <v>1.379439E-4</v>
      </c>
      <c r="AN793">
        <f t="shared" si="495"/>
        <v>0.19436295510000001</v>
      </c>
      <c r="AO793" s="1595">
        <f t="shared" si="504"/>
        <v>-4.4899999995795525E-8</v>
      </c>
    </row>
    <row r="794" spans="1:42" x14ac:dyDescent="0.35">
      <c r="A794" s="103" t="str">
        <f t="shared" si="491"/>
        <v>806100</v>
      </c>
      <c r="B794" s="3346" t="str">
        <f>'BUS Deemed Savings Table'!C863</f>
        <v>806100_2020_07_</v>
      </c>
      <c r="C794" s="3343" t="str">
        <f>'BUS Deemed Savings Table'!G863</f>
        <v>HVAC BUS</v>
      </c>
      <c r="D794" s="3343"/>
      <c r="E794" s="3343"/>
      <c r="F794" s="3343"/>
      <c r="G794" s="3343" t="str">
        <f>'BUS Deemed Savings Table'!E863</f>
        <v>High Volume Low Speed Fan, 20</v>
      </c>
      <c r="H794" s="50" t="str">
        <f>'BUS Deemed Savings Table'!D863</f>
        <v>C&amp;I</v>
      </c>
      <c r="I794" s="1966">
        <f>'BUS Deemed Savings Table'!F863</f>
        <v>6577</v>
      </c>
      <c r="J794" s="1966"/>
      <c r="K794" s="560"/>
      <c r="L794" s="560"/>
      <c r="M794" s="560"/>
      <c r="N794" s="560"/>
      <c r="O794" s="1967">
        <f>'BUS Deemed Savings Table'!I863</f>
        <v>2.9200761910000002</v>
      </c>
      <c r="P794" s="1967"/>
      <c r="Q794" s="1968"/>
      <c r="R794" s="1968"/>
      <c r="S794" s="1968"/>
      <c r="T794" s="1968"/>
      <c r="U794" s="1969">
        <f t="shared" si="501"/>
        <v>0</v>
      </c>
      <c r="V794" s="1969">
        <f t="shared" si="502"/>
        <v>2.9200761910000002</v>
      </c>
      <c r="W794" s="1969">
        <f t="shared" si="503"/>
        <v>0</v>
      </c>
      <c r="X794" s="55">
        <f>'BUS Deemed Savings Table'!J863</f>
        <v>10</v>
      </c>
      <c r="Y794" s="55"/>
      <c r="Z794" s="55">
        <f t="shared" si="492"/>
        <v>10</v>
      </c>
      <c r="AA794" s="49">
        <f>'BUS Deemed Savings Table'!DG863</f>
        <v>1.055401580677761</v>
      </c>
      <c r="AB794" s="698">
        <f>'BUS Deemed Savings Table'!K863</f>
        <v>4150</v>
      </c>
      <c r="AC794" s="1975">
        <f t="shared" si="493"/>
        <v>4133.9467294126543</v>
      </c>
      <c r="AD794" s="1975">
        <f t="shared" si="494"/>
        <v>0</v>
      </c>
      <c r="AE794" s="1380">
        <f>'BUS Deemed Savings Table'!DI863</f>
        <v>4133.9467294126543</v>
      </c>
      <c r="AF794" s="571"/>
      <c r="AG794" s="571"/>
      <c r="AH794" s="571"/>
      <c r="AI794" s="2602" t="str">
        <f>'BUS Deemed Savings Table'!L863</f>
        <v>per measure</v>
      </c>
      <c r="AJ794" s="141"/>
      <c r="AM794" s="1596">
        <f t="shared" si="499"/>
        <v>4.4398300000000001E-4</v>
      </c>
      <c r="AN794">
        <f t="shared" si="495"/>
        <v>2.9200761910000002</v>
      </c>
      <c r="AO794" s="1595">
        <f t="shared" si="504"/>
        <v>0</v>
      </c>
    </row>
    <row r="795" spans="1:42" x14ac:dyDescent="0.35">
      <c r="A795" s="103" t="str">
        <f t="shared" si="491"/>
        <v>806110</v>
      </c>
      <c r="B795" s="3346" t="str">
        <f>'BUS Deemed Savings Table'!C864</f>
        <v>806110_2020_07_</v>
      </c>
      <c r="C795" s="3343" t="str">
        <f>'BUS Deemed Savings Table'!G864</f>
        <v>HVAC BUS</v>
      </c>
      <c r="D795" s="3343"/>
      <c r="E795" s="3343"/>
      <c r="F795" s="3343"/>
      <c r="G795" s="3343" t="str">
        <f>'BUS Deemed Savings Table'!E864</f>
        <v>High Volume Low Speed Fan, 22</v>
      </c>
      <c r="H795" s="50" t="str">
        <f>'BUS Deemed Savings Table'!D864</f>
        <v>C&amp;I</v>
      </c>
      <c r="I795" s="1966">
        <f>'BUS Deemed Savings Table'!F864</f>
        <v>8543</v>
      </c>
      <c r="J795" s="1966"/>
      <c r="K795" s="560"/>
      <c r="L795" s="560"/>
      <c r="M795" s="560"/>
      <c r="N795" s="560"/>
      <c r="O795" s="1967">
        <f>'BUS Deemed Savings Table'!I864</f>
        <v>3.7929467690000003</v>
      </c>
      <c r="P795" s="1967"/>
      <c r="Q795" s="1968"/>
      <c r="R795" s="1968"/>
      <c r="S795" s="1968"/>
      <c r="T795" s="1968"/>
      <c r="U795" s="1969">
        <f t="shared" si="501"/>
        <v>0</v>
      </c>
      <c r="V795" s="1969">
        <f t="shared" si="502"/>
        <v>3.7929467690000003</v>
      </c>
      <c r="W795" s="1969">
        <f t="shared" si="503"/>
        <v>0</v>
      </c>
      <c r="X795" s="55">
        <f>'BUS Deemed Savings Table'!J864</f>
        <v>10</v>
      </c>
      <c r="Y795" s="55"/>
      <c r="Z795" s="55">
        <f t="shared" si="492"/>
        <v>10</v>
      </c>
      <c r="AA795" s="49">
        <f>'BUS Deemed Savings Table'!DG864</f>
        <v>1.3610438569991248</v>
      </c>
      <c r="AB795" s="698">
        <f>'BUS Deemed Savings Table'!K864</f>
        <v>4180</v>
      </c>
      <c r="AC795" s="1975">
        <f t="shared" si="493"/>
        <v>5369.6680719738943</v>
      </c>
      <c r="AD795" s="1975">
        <f t="shared" si="494"/>
        <v>0</v>
      </c>
      <c r="AE795" s="1380">
        <f>'BUS Deemed Savings Table'!DI864</f>
        <v>5369.6680719738943</v>
      </c>
      <c r="AF795" s="571"/>
      <c r="AG795" s="571"/>
      <c r="AH795" s="571"/>
      <c r="AI795" s="2602" t="str">
        <f>'BUS Deemed Savings Table'!L864</f>
        <v>per measure</v>
      </c>
      <c r="AJ795" s="141"/>
      <c r="AM795" s="1596">
        <f t="shared" si="499"/>
        <v>4.4398300000000001E-4</v>
      </c>
      <c r="AN795">
        <f t="shared" si="495"/>
        <v>3.7929467690000003</v>
      </c>
      <c r="AO795" s="1595">
        <f t="shared" si="504"/>
        <v>0</v>
      </c>
    </row>
    <row r="796" spans="1:42" x14ac:dyDescent="0.35">
      <c r="A796" s="103" t="str">
        <f t="shared" si="491"/>
        <v>806120</v>
      </c>
      <c r="B796" s="3346" t="str">
        <f>'BUS Deemed Savings Table'!C865</f>
        <v>806120_2020_07_</v>
      </c>
      <c r="C796" s="3343" t="str">
        <f>'BUS Deemed Savings Table'!G865</f>
        <v>HVAC BUS</v>
      </c>
      <c r="D796" s="3343"/>
      <c r="E796" s="3343"/>
      <c r="F796" s="3343"/>
      <c r="G796" s="3343" t="str">
        <f>'BUS Deemed Savings Table'!E865</f>
        <v>High Volume Low Speed Fan, 24</v>
      </c>
      <c r="H796" s="50" t="str">
        <f>'BUS Deemed Savings Table'!D865</f>
        <v>C&amp;I</v>
      </c>
      <c r="I796" s="1966">
        <f>'BUS Deemed Savings Table'!F865</f>
        <v>10018</v>
      </c>
      <c r="J796" s="1966"/>
      <c r="K796" s="560"/>
      <c r="L796" s="560"/>
      <c r="M796" s="560"/>
      <c r="N796" s="560"/>
      <c r="O796" s="1967">
        <f>'BUS Deemed Savings Table'!I865</f>
        <v>4.4478216939999999</v>
      </c>
      <c r="P796" s="1967"/>
      <c r="Q796" s="1968"/>
      <c r="R796" s="1968"/>
      <c r="S796" s="1968"/>
      <c r="T796" s="1968"/>
      <c r="U796" s="1969">
        <f t="shared" si="501"/>
        <v>0</v>
      </c>
      <c r="V796" s="1969">
        <f t="shared" si="502"/>
        <v>4.4478216939999999</v>
      </c>
      <c r="W796" s="1969">
        <f t="shared" si="503"/>
        <v>0</v>
      </c>
      <c r="X796" s="55">
        <f>'BUS Deemed Savings Table'!J865</f>
        <v>10</v>
      </c>
      <c r="Y796" s="55"/>
      <c r="Z796" s="55">
        <f t="shared" si="492"/>
        <v>10</v>
      </c>
      <c r="AA796" s="49">
        <f>'BUS Deemed Savings Table'!DG865</f>
        <v>1.5790370097768971</v>
      </c>
      <c r="AB796" s="698">
        <f>'BUS Deemed Savings Table'!K865</f>
        <v>4225</v>
      </c>
      <c r="AC796" s="1975">
        <f t="shared" si="493"/>
        <v>6296.7733518710611</v>
      </c>
      <c r="AD796" s="1975">
        <f t="shared" si="494"/>
        <v>0</v>
      </c>
      <c r="AE796" s="1380">
        <f>'BUS Deemed Savings Table'!DI865</f>
        <v>6296.7733518710611</v>
      </c>
      <c r="AF796" s="571"/>
      <c r="AG796" s="571"/>
      <c r="AH796" s="571"/>
      <c r="AI796" s="2602" t="str">
        <f>'BUS Deemed Savings Table'!L865</f>
        <v>per measure</v>
      </c>
      <c r="AJ796" s="141"/>
      <c r="AM796" s="1596">
        <f t="shared" si="499"/>
        <v>4.4398300000000001E-4</v>
      </c>
      <c r="AN796">
        <f t="shared" si="495"/>
        <v>4.4478216939999999</v>
      </c>
      <c r="AO796" s="1595">
        <f t="shared" si="504"/>
        <v>0</v>
      </c>
    </row>
    <row r="797" spans="1:42" x14ac:dyDescent="0.35">
      <c r="A797" s="103" t="str">
        <f t="shared" si="491"/>
        <v>999999</v>
      </c>
      <c r="B797" s="3346" t="str">
        <f>'BUS Deemed Savings Table'!C878</f>
        <v>999999_2019_12</v>
      </c>
      <c r="C797" s="3343" t="str">
        <f>'BUS Deemed Savings Table'!G878</f>
        <v>Variable</v>
      </c>
      <c r="D797" s="3343"/>
      <c r="E797" s="3343"/>
      <c r="F797" s="3343"/>
      <c r="G797" s="3343" t="str">
        <f>'BUS Deemed Savings Table'!E878</f>
        <v>Custom</v>
      </c>
      <c r="H797" s="50" t="str">
        <f>'BUS Deemed Savings Table'!D878</f>
        <v>C&amp;I</v>
      </c>
      <c r="I797" s="1966" t="str">
        <f>'BUS Deemed Savings Table'!F878</f>
        <v>Custom</v>
      </c>
      <c r="J797" s="1966"/>
      <c r="K797" s="560"/>
      <c r="L797" s="560"/>
      <c r="M797" s="560"/>
      <c r="N797" s="560"/>
      <c r="O797" s="1967" t="str">
        <f>'BUS Deemed Savings Table'!I878</f>
        <v>Custom</v>
      </c>
      <c r="P797" s="1967"/>
      <c r="Q797" s="1968"/>
      <c r="R797" s="1968"/>
      <c r="S797" s="1968"/>
      <c r="T797" s="1968"/>
      <c r="U797" s="1969" t="e">
        <f t="shared" si="501"/>
        <v>#VALUE!</v>
      </c>
      <c r="V797" s="1969">
        <f t="shared" si="502"/>
        <v>0</v>
      </c>
      <c r="W797" s="1969" t="str">
        <f t="shared" si="503"/>
        <v>Custom</v>
      </c>
      <c r="X797" s="55" t="str">
        <f>'BUS Deemed Savings Table'!J878</f>
        <v>Custom</v>
      </c>
      <c r="Y797" s="55"/>
      <c r="Z797" s="55" t="s">
        <v>3929</v>
      </c>
      <c r="AA797" s="49" t="s">
        <v>3929</v>
      </c>
      <c r="AB797" s="698" t="s">
        <v>3929</v>
      </c>
      <c r="AC797" s="2606" t="s">
        <v>3929</v>
      </c>
      <c r="AD797" s="1975" t="s">
        <v>3929</v>
      </c>
      <c r="AE797" s="1380"/>
      <c r="AF797" s="571"/>
      <c r="AG797" s="571"/>
      <c r="AH797" s="571"/>
      <c r="AI797" s="2602" t="str">
        <f>'BUS Deemed Savings Table'!L878</f>
        <v>Custom</v>
      </c>
      <c r="AJ797" s="141"/>
      <c r="AM797" s="1596" t="e">
        <f t="shared" si="499"/>
        <v>#N/A</v>
      </c>
      <c r="AN797" t="e">
        <f t="shared" si="495"/>
        <v>#N/A</v>
      </c>
      <c r="AO797" s="1595" t="e">
        <f t="shared" si="504"/>
        <v>#N/A</v>
      </c>
    </row>
    <row r="798" spans="1:42" x14ac:dyDescent="0.35">
      <c r="AA798" s="2607"/>
    </row>
    <row r="799" spans="1:42" x14ac:dyDescent="0.35">
      <c r="AA799" s="2607"/>
    </row>
    <row r="931" spans="2:2" x14ac:dyDescent="0.35">
      <c r="B931"/>
    </row>
    <row r="932" spans="2:2" x14ac:dyDescent="0.35">
      <c r="B932"/>
    </row>
    <row r="933" spans="2:2" x14ac:dyDescent="0.35">
      <c r="B933"/>
    </row>
    <row r="934" spans="2:2" x14ac:dyDescent="0.35">
      <c r="B934"/>
    </row>
    <row r="935" spans="2:2" x14ac:dyDescent="0.35">
      <c r="B935"/>
    </row>
    <row r="936" spans="2:2" x14ac:dyDescent="0.35">
      <c r="B936"/>
    </row>
    <row r="937" spans="2:2" x14ac:dyDescent="0.35">
      <c r="B937"/>
    </row>
    <row r="938" spans="2:2" x14ac:dyDescent="0.35">
      <c r="B938"/>
    </row>
    <row r="939" spans="2:2" x14ac:dyDescent="0.35">
      <c r="B939"/>
    </row>
    <row r="940" spans="2:2" x14ac:dyDescent="0.35">
      <c r="B940"/>
    </row>
    <row r="941" spans="2:2" x14ac:dyDescent="0.35">
      <c r="B941"/>
    </row>
    <row r="942" spans="2:2" x14ac:dyDescent="0.35">
      <c r="B942"/>
    </row>
    <row r="943" spans="2:2" x14ac:dyDescent="0.35">
      <c r="B943"/>
    </row>
    <row r="944" spans="2:2" x14ac:dyDescent="0.35">
      <c r="B944"/>
    </row>
    <row r="945" spans="2:2" x14ac:dyDescent="0.35">
      <c r="B945"/>
    </row>
    <row r="946" spans="2:2" x14ac:dyDescent="0.35">
      <c r="B946"/>
    </row>
    <row r="947" spans="2:2" x14ac:dyDescent="0.35">
      <c r="B947"/>
    </row>
    <row r="948" spans="2:2" x14ac:dyDescent="0.35">
      <c r="B948"/>
    </row>
    <row r="949" spans="2:2" x14ac:dyDescent="0.35">
      <c r="B949"/>
    </row>
    <row r="950" spans="2:2" x14ac:dyDescent="0.35">
      <c r="B950"/>
    </row>
    <row r="951" spans="2:2" x14ac:dyDescent="0.35">
      <c r="B951"/>
    </row>
    <row r="952" spans="2:2" x14ac:dyDescent="0.35">
      <c r="B952"/>
    </row>
    <row r="953" spans="2:2" x14ac:dyDescent="0.35">
      <c r="B953"/>
    </row>
    <row r="954" spans="2:2" x14ac:dyDescent="0.35">
      <c r="B954"/>
    </row>
    <row r="955" spans="2:2" x14ac:dyDescent="0.35">
      <c r="B955"/>
    </row>
    <row r="956" spans="2:2" x14ac:dyDescent="0.35">
      <c r="B956"/>
    </row>
    <row r="957" spans="2:2" x14ac:dyDescent="0.35">
      <c r="B957"/>
    </row>
    <row r="958" spans="2:2" x14ac:dyDescent="0.35">
      <c r="B958"/>
    </row>
    <row r="959" spans="2:2" x14ac:dyDescent="0.35">
      <c r="B959"/>
    </row>
    <row r="960" spans="2:2" x14ac:dyDescent="0.35">
      <c r="B960"/>
    </row>
    <row r="961" spans="2:2" x14ac:dyDescent="0.35">
      <c r="B961"/>
    </row>
    <row r="962" spans="2:2" x14ac:dyDescent="0.35">
      <c r="B962"/>
    </row>
    <row r="963" spans="2:2" x14ac:dyDescent="0.35">
      <c r="B963"/>
    </row>
    <row r="964" spans="2:2" x14ac:dyDescent="0.35">
      <c r="B964"/>
    </row>
    <row r="965" spans="2:2" x14ac:dyDescent="0.35">
      <c r="B965"/>
    </row>
    <row r="966" spans="2:2" x14ac:dyDescent="0.35">
      <c r="B966"/>
    </row>
    <row r="967" spans="2:2" x14ac:dyDescent="0.35">
      <c r="B967"/>
    </row>
    <row r="968" spans="2:2" x14ac:dyDescent="0.35">
      <c r="B968"/>
    </row>
    <row r="969" spans="2:2" x14ac:dyDescent="0.35">
      <c r="B969"/>
    </row>
    <row r="970" spans="2:2" x14ac:dyDescent="0.35">
      <c r="B970"/>
    </row>
    <row r="971" spans="2:2" x14ac:dyDescent="0.35">
      <c r="B971"/>
    </row>
    <row r="972" spans="2:2" x14ac:dyDescent="0.35">
      <c r="B972"/>
    </row>
    <row r="973" spans="2:2" x14ac:dyDescent="0.35">
      <c r="B973"/>
    </row>
    <row r="974" spans="2:2" x14ac:dyDescent="0.35">
      <c r="B974"/>
    </row>
    <row r="975" spans="2:2" x14ac:dyDescent="0.35">
      <c r="B975"/>
    </row>
    <row r="976" spans="2:2" x14ac:dyDescent="0.35">
      <c r="B976"/>
    </row>
    <row r="977" spans="2:2" x14ac:dyDescent="0.35">
      <c r="B977"/>
    </row>
    <row r="978" spans="2:2" x14ac:dyDescent="0.35">
      <c r="B978"/>
    </row>
    <row r="979" spans="2:2" x14ac:dyDescent="0.35">
      <c r="B979"/>
    </row>
    <row r="980" spans="2:2" x14ac:dyDescent="0.35">
      <c r="B980"/>
    </row>
    <row r="981" spans="2:2" x14ac:dyDescent="0.35">
      <c r="B981"/>
    </row>
    <row r="982" spans="2:2" x14ac:dyDescent="0.35">
      <c r="B982"/>
    </row>
    <row r="983" spans="2:2" x14ac:dyDescent="0.35">
      <c r="B983"/>
    </row>
    <row r="984" spans="2:2" x14ac:dyDescent="0.35">
      <c r="B984"/>
    </row>
    <row r="985" spans="2:2" x14ac:dyDescent="0.35">
      <c r="B985"/>
    </row>
    <row r="986" spans="2:2" x14ac:dyDescent="0.35">
      <c r="B986"/>
    </row>
    <row r="987" spans="2:2" x14ac:dyDescent="0.35">
      <c r="B987"/>
    </row>
    <row r="988" spans="2:2" x14ac:dyDescent="0.35">
      <c r="B988"/>
    </row>
    <row r="989" spans="2:2" x14ac:dyDescent="0.35">
      <c r="B989"/>
    </row>
    <row r="990" spans="2:2" x14ac:dyDescent="0.35">
      <c r="B990"/>
    </row>
    <row r="991" spans="2:2" x14ac:dyDescent="0.35">
      <c r="B991"/>
    </row>
    <row r="992" spans="2:2" x14ac:dyDescent="0.35">
      <c r="B992"/>
    </row>
    <row r="993" spans="2:2" x14ac:dyDescent="0.35">
      <c r="B993"/>
    </row>
    <row r="994" spans="2:2" x14ac:dyDescent="0.35">
      <c r="B994"/>
    </row>
    <row r="995" spans="2:2" x14ac:dyDescent="0.35">
      <c r="B995"/>
    </row>
    <row r="996" spans="2:2" x14ac:dyDescent="0.35">
      <c r="B996"/>
    </row>
    <row r="997" spans="2:2" x14ac:dyDescent="0.35">
      <c r="B997"/>
    </row>
    <row r="998" spans="2:2" x14ac:dyDescent="0.35">
      <c r="B998"/>
    </row>
    <row r="999" spans="2:2" x14ac:dyDescent="0.35">
      <c r="B999"/>
    </row>
    <row r="1000" spans="2:2" x14ac:dyDescent="0.35">
      <c r="B1000"/>
    </row>
    <row r="1001" spans="2:2" x14ac:dyDescent="0.35">
      <c r="B1001"/>
    </row>
    <row r="1002" spans="2:2" x14ac:dyDescent="0.35">
      <c r="B1002"/>
    </row>
    <row r="1003" spans="2:2" x14ac:dyDescent="0.35">
      <c r="B1003"/>
    </row>
    <row r="1004" spans="2:2" x14ac:dyDescent="0.35">
      <c r="B1004"/>
    </row>
    <row r="1005" spans="2:2" x14ac:dyDescent="0.35">
      <c r="B1005"/>
    </row>
    <row r="1006" spans="2:2" x14ac:dyDescent="0.35">
      <c r="B1006"/>
    </row>
    <row r="1007" spans="2:2" x14ac:dyDescent="0.35">
      <c r="B1007"/>
    </row>
    <row r="1008" spans="2:2" x14ac:dyDescent="0.35">
      <c r="B1008"/>
    </row>
    <row r="1009" spans="2:2" x14ac:dyDescent="0.35">
      <c r="B1009"/>
    </row>
    <row r="1010" spans="2:2" x14ac:dyDescent="0.35">
      <c r="B1010"/>
    </row>
    <row r="1011" spans="2:2" x14ac:dyDescent="0.35">
      <c r="B1011"/>
    </row>
    <row r="1012" spans="2:2" x14ac:dyDescent="0.35">
      <c r="B1012"/>
    </row>
    <row r="1013" spans="2:2" x14ac:dyDescent="0.35">
      <c r="B1013"/>
    </row>
    <row r="1014" spans="2:2" x14ac:dyDescent="0.35">
      <c r="B1014"/>
    </row>
    <row r="1015" spans="2:2" x14ac:dyDescent="0.35">
      <c r="B1015"/>
    </row>
    <row r="1016" spans="2:2" x14ac:dyDescent="0.35">
      <c r="B1016"/>
    </row>
    <row r="1017" spans="2:2" x14ac:dyDescent="0.35">
      <c r="B1017"/>
    </row>
    <row r="1018" spans="2:2" x14ac:dyDescent="0.35">
      <c r="B1018"/>
    </row>
    <row r="1019" spans="2:2" x14ac:dyDescent="0.35">
      <c r="B1019"/>
    </row>
    <row r="1020" spans="2:2" x14ac:dyDescent="0.35">
      <c r="B1020"/>
    </row>
    <row r="1021" spans="2:2" x14ac:dyDescent="0.35">
      <c r="B1021"/>
    </row>
    <row r="1022" spans="2:2" x14ac:dyDescent="0.35">
      <c r="B1022"/>
    </row>
    <row r="1023" spans="2:2" x14ac:dyDescent="0.35">
      <c r="B1023"/>
    </row>
    <row r="1024" spans="2:2" x14ac:dyDescent="0.35">
      <c r="B1024"/>
    </row>
    <row r="1025" spans="2:2" x14ac:dyDescent="0.35">
      <c r="B1025"/>
    </row>
    <row r="1026" spans="2:2" x14ac:dyDescent="0.35">
      <c r="B1026"/>
    </row>
    <row r="1027" spans="2:2" x14ac:dyDescent="0.35">
      <c r="B1027"/>
    </row>
    <row r="1028" spans="2:2" x14ac:dyDescent="0.35">
      <c r="B1028"/>
    </row>
    <row r="1029" spans="2:2" x14ac:dyDescent="0.35">
      <c r="B1029"/>
    </row>
    <row r="1030" spans="2:2" x14ac:dyDescent="0.35">
      <c r="B1030"/>
    </row>
    <row r="1031" spans="2:2" x14ac:dyDescent="0.35">
      <c r="B1031"/>
    </row>
    <row r="1032" spans="2:2" x14ac:dyDescent="0.35">
      <c r="B1032"/>
    </row>
    <row r="1033" spans="2:2" x14ac:dyDescent="0.35">
      <c r="B1033"/>
    </row>
    <row r="1034" spans="2:2" x14ac:dyDescent="0.35">
      <c r="B1034"/>
    </row>
    <row r="1035" spans="2:2" x14ac:dyDescent="0.35">
      <c r="B1035"/>
    </row>
    <row r="1036" spans="2:2" x14ac:dyDescent="0.35">
      <c r="B1036"/>
    </row>
    <row r="1037" spans="2:2" x14ac:dyDescent="0.35">
      <c r="B1037"/>
    </row>
    <row r="1038" spans="2:2" x14ac:dyDescent="0.35">
      <c r="B1038"/>
    </row>
    <row r="1039" spans="2:2" x14ac:dyDescent="0.35">
      <c r="B1039"/>
    </row>
    <row r="1040" spans="2:2" x14ac:dyDescent="0.35">
      <c r="B1040"/>
    </row>
    <row r="1041" spans="2:2" x14ac:dyDescent="0.35">
      <c r="B1041"/>
    </row>
    <row r="1042" spans="2:2" x14ac:dyDescent="0.35">
      <c r="B1042"/>
    </row>
  </sheetData>
  <autoFilter ref="A8:AV797" xr:uid="{00000000-0001-0000-0C00-000000000000}"/>
  <sortState xmlns:xlrd2="http://schemas.microsoft.com/office/spreadsheetml/2017/richdata2" ref="A334:AV364">
    <sortCondition ref="A334:A364"/>
  </sortState>
  <mergeCells count="18">
    <mergeCell ref="B1:AH3"/>
    <mergeCell ref="AE6:AE7"/>
    <mergeCell ref="AF6:AF7"/>
    <mergeCell ref="AG6:AG7"/>
    <mergeCell ref="AH6:AH7"/>
    <mergeCell ref="AC6:AC7"/>
    <mergeCell ref="AD6:AD7"/>
    <mergeCell ref="B6:B7"/>
    <mergeCell ref="AB6:AB7"/>
    <mergeCell ref="W6:W7"/>
    <mergeCell ref="AA6:AA7"/>
    <mergeCell ref="V6:V7"/>
    <mergeCell ref="X6:Z6"/>
    <mergeCell ref="H6:H7"/>
    <mergeCell ref="U6:U7"/>
    <mergeCell ref="C6:F6"/>
    <mergeCell ref="K6:N6"/>
    <mergeCell ref="Q6:T6"/>
  </mergeCells>
  <conditionalFormatting sqref="A796:A797">
    <cfRule type="duplicateValues" dxfId="2" priority="4"/>
  </conditionalFormatting>
  <conditionalFormatting sqref="B1043:B1048576 B1:B930">
    <cfRule type="duplicateValues" dxfId="1" priority="2"/>
  </conditionalFormatting>
  <conditionalFormatting sqref="A9:A795">
    <cfRule type="duplicateValues" dxfId="0" priority="214"/>
  </conditionalFormatting>
  <pageMargins left="0.7" right="0.7" top="0.75" bottom="0.75" header="0.3" footer="0.3"/>
  <pageSetup orientation="portrait"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1"/>
    <pageSetUpPr fitToPage="1"/>
  </sheetPr>
  <dimension ref="A1:AF859"/>
  <sheetViews>
    <sheetView zoomScaleNormal="100" workbookViewId="0">
      <selection sqref="A1:H1"/>
    </sheetView>
  </sheetViews>
  <sheetFormatPr defaultRowHeight="14.5" x14ac:dyDescent="0.35"/>
  <cols>
    <col min="1" max="1" width="53.1796875" style="370" customWidth="1"/>
    <col min="2" max="9" width="9.1796875" style="370"/>
  </cols>
  <sheetData>
    <row r="1" spans="1:32" x14ac:dyDescent="0.35">
      <c r="A1" s="3645"/>
      <c r="B1" s="3645"/>
      <c r="C1" s="3645"/>
      <c r="D1" s="3645"/>
      <c r="E1" s="3645"/>
      <c r="F1" s="3645"/>
      <c r="G1" s="3645"/>
      <c r="H1" s="3645"/>
      <c r="I1"/>
      <c r="J1" s="87"/>
      <c r="K1" s="370" t="s">
        <v>840</v>
      </c>
      <c r="AF1" s="1059"/>
    </row>
    <row r="2" spans="1:32" s="370" customFormat="1" x14ac:dyDescent="0.35">
      <c r="A2" s="370" t="s">
        <v>549</v>
      </c>
      <c r="B2" s="4608" t="s">
        <v>3031</v>
      </c>
      <c r="C2" s="4608"/>
      <c r="D2" s="4608"/>
      <c r="E2" s="4608"/>
      <c r="F2" s="4608"/>
      <c r="G2" s="4608"/>
      <c r="K2" s="1068">
        <v>1.0595E-2</v>
      </c>
    </row>
    <row r="3" spans="1:32" s="370" customFormat="1" x14ac:dyDescent="0.35">
      <c r="B3" s="3401">
        <v>2019</v>
      </c>
      <c r="C3" s="3401">
        <v>2020</v>
      </c>
      <c r="D3" s="3401">
        <v>2021</v>
      </c>
      <c r="E3" s="3401">
        <v>2022</v>
      </c>
      <c r="F3" s="3401">
        <v>2023</v>
      </c>
      <c r="G3" s="3401">
        <v>2024</v>
      </c>
    </row>
    <row r="4" spans="1:32" s="370" customFormat="1" x14ac:dyDescent="0.35">
      <c r="A4" s="1069" t="s">
        <v>3032</v>
      </c>
      <c r="B4" s="370">
        <v>3.5014999700269167E-2</v>
      </c>
      <c r="C4" s="370">
        <v>3.5102422286076608E-2</v>
      </c>
      <c r="D4" s="370">
        <v>3.5109104017373043E-2</v>
      </c>
      <c r="E4" s="370">
        <v>3.5730994133360415E-2</v>
      </c>
      <c r="F4" s="370">
        <v>3.6692248129435182E-2</v>
      </c>
      <c r="G4" s="370">
        <v>3.6765213204623164E-2</v>
      </c>
    </row>
    <row r="5" spans="1:32" s="370" customFormat="1" x14ac:dyDescent="0.35">
      <c r="A5" s="1069" t="s">
        <v>3033</v>
      </c>
      <c r="B5" s="370">
        <v>0.3639934789573992</v>
      </c>
      <c r="C5" s="370">
        <v>0.36534163510475237</v>
      </c>
      <c r="D5" s="370">
        <v>0.36624340227805086</v>
      </c>
      <c r="E5" s="370">
        <v>0.3671115602459194</v>
      </c>
      <c r="F5" s="370">
        <v>0.36576290998144079</v>
      </c>
      <c r="G5" s="370">
        <v>0.36186476173270998</v>
      </c>
    </row>
    <row r="6" spans="1:32" s="370" customFormat="1" x14ac:dyDescent="0.35">
      <c r="A6" s="1069" t="s">
        <v>3034</v>
      </c>
      <c r="B6" s="370">
        <v>0.40035663480502154</v>
      </c>
      <c r="C6" s="370">
        <v>0.40134582456412754</v>
      </c>
      <c r="D6" s="370">
        <v>0.4022206642632925</v>
      </c>
      <c r="E6" s="370">
        <v>0.40149390411480129</v>
      </c>
      <c r="F6" s="370">
        <v>0.39855700986214526</v>
      </c>
      <c r="G6" s="370">
        <v>0.39348550228064694</v>
      </c>
    </row>
    <row r="7" spans="1:32" s="370" customFormat="1" x14ac:dyDescent="0.35">
      <c r="A7" s="1069" t="s">
        <v>3035</v>
      </c>
      <c r="B7" s="370">
        <v>0.43636082426439682</v>
      </c>
      <c r="C7" s="370">
        <v>0.43732308654936936</v>
      </c>
      <c r="D7" s="370">
        <v>0.43660300813217434</v>
      </c>
      <c r="E7" s="370">
        <v>0.43428800399550566</v>
      </c>
      <c r="F7" s="370">
        <v>0.43017775041008216</v>
      </c>
      <c r="G7" s="370">
        <v>0.42397793006072676</v>
      </c>
    </row>
    <row r="8" spans="1:32" s="370" customFormat="1" x14ac:dyDescent="0.35">
      <c r="A8" s="1069" t="s">
        <v>3036</v>
      </c>
      <c r="B8" s="370">
        <v>0.47233808624963858</v>
      </c>
      <c r="C8" s="370">
        <v>0.47170543041825108</v>
      </c>
      <c r="D8" s="370">
        <v>0.46939710801287859</v>
      </c>
      <c r="E8" s="370">
        <v>0.4659087445434425</v>
      </c>
      <c r="F8" s="370">
        <v>0.46067017819016187</v>
      </c>
      <c r="G8" s="370">
        <v>0.45331397875642143</v>
      </c>
    </row>
    <row r="9" spans="1:32" s="370" customFormat="1" x14ac:dyDescent="0.35">
      <c r="A9" s="1069" t="s">
        <v>3037</v>
      </c>
      <c r="B9" s="370">
        <v>0.50672043011852042</v>
      </c>
      <c r="C9" s="370">
        <v>0.50449953029895567</v>
      </c>
      <c r="D9" s="370">
        <v>0.50101784856081555</v>
      </c>
      <c r="E9" s="370">
        <v>0.49640117232352232</v>
      </c>
      <c r="F9" s="370">
        <v>0.49000622688585671</v>
      </c>
      <c r="G9" s="370">
        <v>0.48164200473963714</v>
      </c>
    </row>
    <row r="10" spans="1:32" s="370" customFormat="1" x14ac:dyDescent="0.35">
      <c r="A10" s="1069" t="s">
        <v>3038</v>
      </c>
      <c r="B10" s="370">
        <v>0.53951452999922478</v>
      </c>
      <c r="C10" s="370">
        <v>0.53612027084689251</v>
      </c>
      <c r="D10" s="370">
        <v>0.53151027634089532</v>
      </c>
      <c r="E10" s="370">
        <v>0.52573722101921705</v>
      </c>
      <c r="F10" s="370">
        <v>0.51833425286907242</v>
      </c>
      <c r="G10" s="370">
        <v>0.50899876952210266</v>
      </c>
    </row>
    <row r="11" spans="1:32" s="370" customFormat="1" x14ac:dyDescent="0.35">
      <c r="A11" s="1069" t="s">
        <v>3039</v>
      </c>
      <c r="B11" s="370">
        <v>0.57113527054716173</v>
      </c>
      <c r="C11" s="370">
        <v>0.56661269862697239</v>
      </c>
      <c r="D11" s="370">
        <v>0.56084632503659015</v>
      </c>
      <c r="E11" s="370">
        <v>0.55406524700243276</v>
      </c>
      <c r="F11" s="370">
        <v>0.54569101765153794</v>
      </c>
      <c r="G11" s="370">
        <v>0.53541960218170159</v>
      </c>
    </row>
    <row r="12" spans="1:32" s="370" customFormat="1" x14ac:dyDescent="0.35">
      <c r="A12" s="1069" t="s">
        <v>3040</v>
      </c>
      <c r="B12" s="370">
        <v>0.60162769832724172</v>
      </c>
      <c r="C12" s="370">
        <v>0.59594874732266723</v>
      </c>
      <c r="D12" s="370">
        <v>0.58917435101980575</v>
      </c>
      <c r="E12" s="370">
        <v>0.58142201178489827</v>
      </c>
      <c r="F12" s="370">
        <v>0.57211185031113665</v>
      </c>
      <c r="G12" s="370">
        <v>0.56093845893074112</v>
      </c>
    </row>
    <row r="13" spans="1:32" s="370" customFormat="1" x14ac:dyDescent="0.35">
      <c r="A13" s="1069" t="s">
        <v>3041</v>
      </c>
      <c r="B13" s="370">
        <v>0.63096374702293623</v>
      </c>
      <c r="C13" s="370">
        <v>0.62427677330588272</v>
      </c>
      <c r="D13" s="370">
        <v>0.61653111580227149</v>
      </c>
      <c r="E13" s="370">
        <v>0.60784284444449721</v>
      </c>
      <c r="F13" s="370">
        <v>0.59763070706017662</v>
      </c>
      <c r="G13" s="370">
        <v>0.58558798006281754</v>
      </c>
    </row>
    <row r="14" spans="1:32" s="370" customFormat="1" x14ac:dyDescent="0.35">
      <c r="A14" s="1069" t="s">
        <v>3042</v>
      </c>
      <c r="B14" s="370">
        <v>0.65929177300615205</v>
      </c>
      <c r="C14" s="370">
        <v>0.65163353808834845</v>
      </c>
      <c r="D14" s="370">
        <v>0.6429519484618702</v>
      </c>
      <c r="E14" s="370">
        <v>0.63336170119353685</v>
      </c>
      <c r="F14" s="370">
        <v>0.62228022819225259</v>
      </c>
      <c r="G14" s="370">
        <v>0.60939954439885236</v>
      </c>
    </row>
    <row r="15" spans="1:32" s="370" customFormat="1" x14ac:dyDescent="0.35">
      <c r="A15" s="1069" t="s">
        <v>3043</v>
      </c>
      <c r="B15" s="370">
        <v>7.0117421986345782E-2</v>
      </c>
      <c r="C15" s="370">
        <v>7.0211526303449664E-2</v>
      </c>
      <c r="D15" s="370">
        <v>7.0840098150733485E-2</v>
      </c>
      <c r="E15" s="370">
        <v>7.242324226279559E-2</v>
      </c>
      <c r="F15" s="370">
        <v>7.3457461334058338E-2</v>
      </c>
      <c r="G15" s="370">
        <v>7.44997656753595E-2</v>
      </c>
    </row>
    <row r="16" spans="1:32" s="370" customFormat="1" x14ac:dyDescent="0.35">
      <c r="A16" s="1069" t="s">
        <v>3044</v>
      </c>
      <c r="B16" s="370">
        <v>0.68664853778861767</v>
      </c>
      <c r="C16" s="370">
        <v>0.67805437074794728</v>
      </c>
      <c r="D16" s="370">
        <v>0.66847080521090985</v>
      </c>
      <c r="E16" s="370">
        <v>0.65801122232561315</v>
      </c>
      <c r="F16" s="370">
        <v>0.64609179252828741</v>
      </c>
      <c r="G16" s="370">
        <v>0.63240332134715693</v>
      </c>
    </row>
    <row r="17" spans="1:7" s="370" customFormat="1" x14ac:dyDescent="0.35">
      <c r="A17" s="1069" t="s">
        <v>3045</v>
      </c>
      <c r="B17" s="370">
        <v>0.71306937044821639</v>
      </c>
      <c r="C17" s="370">
        <v>0.70357322749698692</v>
      </c>
      <c r="D17" s="370">
        <v>0.69312032634298604</v>
      </c>
      <c r="E17" s="370">
        <v>0.68182278666164786</v>
      </c>
      <c r="F17" s="370">
        <v>0.6690955694765921</v>
      </c>
      <c r="G17" s="370">
        <v>0.65411523918415981</v>
      </c>
    </row>
    <row r="18" spans="1:7" s="370" customFormat="1" x14ac:dyDescent="0.35">
      <c r="A18" s="1069" t="s">
        <v>3046</v>
      </c>
      <c r="B18" s="370">
        <v>0.73858822719725603</v>
      </c>
      <c r="C18" s="370">
        <v>0.72822274862906344</v>
      </c>
      <c r="D18" s="370">
        <v>0.71693189067902097</v>
      </c>
      <c r="E18" s="370">
        <v>0.70482656360995255</v>
      </c>
      <c r="F18" s="370">
        <v>0.69080748731359487</v>
      </c>
      <c r="G18" s="370">
        <v>0.67460784686420039</v>
      </c>
    </row>
    <row r="19" spans="1:7" s="370" customFormat="1" x14ac:dyDescent="0.35">
      <c r="A19" s="1069" t="s">
        <v>3047</v>
      </c>
      <c r="B19" s="370">
        <v>0.76323774832933233</v>
      </c>
      <c r="C19" s="370">
        <v>0.75203431296509815</v>
      </c>
      <c r="D19" s="370">
        <v>0.73993566762732554</v>
      </c>
      <c r="E19" s="370">
        <v>0.72653848144695543</v>
      </c>
      <c r="F19" s="370">
        <v>0.71130009499363567</v>
      </c>
      <c r="G19" s="370">
        <v>0.69394961909642372</v>
      </c>
    </row>
    <row r="20" spans="1:7" s="370" customFormat="1" x14ac:dyDescent="0.35">
      <c r="A20" s="1069" t="s">
        <v>3048</v>
      </c>
      <c r="B20" s="370">
        <v>0.78704931266536726</v>
      </c>
      <c r="C20" s="370">
        <v>0.77503808991340262</v>
      </c>
      <c r="D20" s="370">
        <v>0.76164758546432854</v>
      </c>
      <c r="E20" s="370">
        <v>0.74703108912699612</v>
      </c>
      <c r="F20" s="370">
        <v>0.730641867225859</v>
      </c>
      <c r="G20" s="370">
        <v>0.71220518514854569</v>
      </c>
    </row>
    <row r="21" spans="1:7" s="370" customFormat="1" x14ac:dyDescent="0.35">
      <c r="A21" s="1069" t="s">
        <v>3049</v>
      </c>
      <c r="B21" s="370">
        <v>0.81005308961367184</v>
      </c>
      <c r="C21" s="370">
        <v>0.79675000775040572</v>
      </c>
      <c r="D21" s="370">
        <v>0.782140193144369</v>
      </c>
      <c r="E21" s="370">
        <v>0.76637286135921945</v>
      </c>
      <c r="F21" s="370">
        <v>0.74889743327798086</v>
      </c>
      <c r="G21" s="370">
        <v>0.72943554480132711</v>
      </c>
    </row>
    <row r="22" spans="1:7" s="370" customFormat="1" x14ac:dyDescent="0.35">
      <c r="A22" s="1069" t="s">
        <v>3050</v>
      </c>
      <c r="B22" s="370">
        <v>0.83176500745067472</v>
      </c>
      <c r="C22" s="370">
        <v>0.81724261543044641</v>
      </c>
      <c r="D22" s="370">
        <v>0.80148196537659211</v>
      </c>
      <c r="E22" s="370">
        <v>0.78462842741134131</v>
      </c>
      <c r="F22" s="370">
        <v>0.76612779293076227</v>
      </c>
      <c r="G22" s="370">
        <v>0.74569827217535378</v>
      </c>
    </row>
    <row r="23" spans="1:7" s="370" customFormat="1" x14ac:dyDescent="0.35">
      <c r="A23" s="1069" t="s">
        <v>3051</v>
      </c>
      <c r="B23" s="370">
        <v>0.85225761513071552</v>
      </c>
      <c r="C23" s="370">
        <v>0.83658438766266952</v>
      </c>
      <c r="D23" s="370">
        <v>0.81973753142871408</v>
      </c>
      <c r="E23" s="370">
        <v>0.80185878706412284</v>
      </c>
      <c r="F23" s="370">
        <v>0.78239052030478906</v>
      </c>
      <c r="G23" s="370">
        <v>0.76104770811119804</v>
      </c>
    </row>
    <row r="24" spans="1:7" s="370" customFormat="1" x14ac:dyDescent="0.35">
      <c r="A24" s="1069" t="s">
        <v>3052</v>
      </c>
      <c r="B24" s="370">
        <v>0.87159938736293863</v>
      </c>
      <c r="C24" s="370">
        <v>0.85483995371479149</v>
      </c>
      <c r="D24" s="370">
        <v>0.83696789108149583</v>
      </c>
      <c r="E24" s="370">
        <v>0.8181215144381494</v>
      </c>
      <c r="F24" s="370">
        <v>0.79773995624063332</v>
      </c>
      <c r="G24" s="370">
        <v>0.77553514174578453</v>
      </c>
    </row>
    <row r="25" spans="1:7" s="370" customFormat="1" x14ac:dyDescent="0.35">
      <c r="A25" s="1069" t="s">
        <v>3053</v>
      </c>
      <c r="B25" s="370">
        <v>0.88985495341506049</v>
      </c>
      <c r="C25" s="370">
        <v>0.8720703133675729</v>
      </c>
      <c r="D25" s="370">
        <v>0.85323061845552273</v>
      </c>
      <c r="E25" s="370">
        <v>0.83347095037399377</v>
      </c>
      <c r="F25" s="370">
        <v>0.8122273898752197</v>
      </c>
      <c r="G25" s="370">
        <v>0.78920898189168953</v>
      </c>
    </row>
    <row r="26" spans="1:7" s="370" customFormat="1" x14ac:dyDescent="0.35">
      <c r="A26" s="1069" t="s">
        <v>3054</v>
      </c>
      <c r="B26" s="370">
        <v>0.10522652600371882</v>
      </c>
      <c r="C26" s="370">
        <v>0.10594252043681002</v>
      </c>
      <c r="D26" s="370">
        <v>0.10753234628016867</v>
      </c>
      <c r="E26" s="370">
        <v>0.1091884554674188</v>
      </c>
      <c r="F26" s="370">
        <v>0.11119201380479471</v>
      </c>
      <c r="G26" s="370">
        <v>0.11208641015990928</v>
      </c>
    </row>
    <row r="27" spans="1:7" s="370" customFormat="1" x14ac:dyDescent="0.35">
      <c r="A27" s="1069" t="s">
        <v>3055</v>
      </c>
      <c r="B27" s="370">
        <v>0.90708531306784213</v>
      </c>
      <c r="C27" s="370">
        <v>0.8883330407415998</v>
      </c>
      <c r="D27" s="370">
        <v>0.86858005439136687</v>
      </c>
      <c r="E27" s="370">
        <v>0.84795838400857992</v>
      </c>
      <c r="F27" s="370">
        <v>0.82590123002112459</v>
      </c>
      <c r="G27" s="370">
        <v>0.80211491879202435</v>
      </c>
    </row>
    <row r="28" spans="1:7" s="370" customFormat="1" x14ac:dyDescent="0.35">
      <c r="A28" s="1069" t="s">
        <v>3056</v>
      </c>
      <c r="B28" s="370">
        <v>0.14095752013707916</v>
      </c>
      <c r="C28" s="370">
        <v>0.14263476856624518</v>
      </c>
      <c r="D28" s="370">
        <v>0.14429755948479178</v>
      </c>
      <c r="E28" s="370">
        <v>0.1469230079381551</v>
      </c>
      <c r="F28" s="370">
        <v>0.14877865828934445</v>
      </c>
      <c r="G28" s="370">
        <v>0.14938848076454975</v>
      </c>
    </row>
    <row r="29" spans="1:7" s="370" customFormat="1" x14ac:dyDescent="0.35">
      <c r="A29" s="1069" t="s">
        <v>3057</v>
      </c>
      <c r="B29" s="370">
        <v>0.17764976826651435</v>
      </c>
      <c r="C29" s="370">
        <v>0.17939998177086824</v>
      </c>
      <c r="D29" s="370">
        <v>0.18203211195552818</v>
      </c>
      <c r="E29" s="370">
        <v>0.1845096524227049</v>
      </c>
      <c r="F29" s="370">
        <v>0.18608072889398491</v>
      </c>
      <c r="G29" s="370">
        <v>0.18634371069088468</v>
      </c>
    </row>
    <row r="30" spans="1:7" s="370" customFormat="1" x14ac:dyDescent="0.35">
      <c r="A30" s="1069" t="s">
        <v>3058</v>
      </c>
      <c r="B30" s="370">
        <v>0.21441498147113744</v>
      </c>
      <c r="C30" s="370">
        <v>0.21713453424160467</v>
      </c>
      <c r="D30" s="370">
        <v>0.21961875644007792</v>
      </c>
      <c r="E30" s="370">
        <v>0.22181172302734531</v>
      </c>
      <c r="F30" s="370">
        <v>0.22303595882031985</v>
      </c>
      <c r="G30" s="370">
        <v>0.2227068665385068</v>
      </c>
    </row>
    <row r="31" spans="1:7" s="370" customFormat="1" x14ac:dyDescent="0.35">
      <c r="A31" s="1069" t="s">
        <v>3059</v>
      </c>
      <c r="B31" s="370">
        <v>0.25214953394187384</v>
      </c>
      <c r="C31" s="370">
        <v>0.25472117872615457</v>
      </c>
      <c r="D31" s="370">
        <v>0.25692082704471841</v>
      </c>
      <c r="E31" s="370">
        <v>0.2587669529536803</v>
      </c>
      <c r="F31" s="370">
        <v>0.25939911466794202</v>
      </c>
      <c r="G31" s="370">
        <v>0.25871105599788213</v>
      </c>
    </row>
    <row r="32" spans="1:7" s="370" customFormat="1" x14ac:dyDescent="0.35">
      <c r="A32" s="1069" t="s">
        <v>3060</v>
      </c>
      <c r="B32" s="370">
        <v>0.28973617842642374</v>
      </c>
      <c r="C32" s="370">
        <v>0.2920232493307951</v>
      </c>
      <c r="D32" s="370">
        <v>0.29387605697105329</v>
      </c>
      <c r="E32" s="370">
        <v>0.29513010880130247</v>
      </c>
      <c r="F32" s="370">
        <v>0.2954033041273173</v>
      </c>
      <c r="G32" s="370">
        <v>0.29468831798312378</v>
      </c>
    </row>
    <row r="33" spans="1:7" s="370" customFormat="1" x14ac:dyDescent="0.35">
      <c r="A33" s="1069" t="s">
        <v>3061</v>
      </c>
      <c r="B33" s="370">
        <v>0.32703824903106427</v>
      </c>
      <c r="C33" s="370">
        <v>0.32897847925713014</v>
      </c>
      <c r="D33" s="370">
        <v>0.33023921281867546</v>
      </c>
      <c r="E33" s="370">
        <v>0.3311342982606777</v>
      </c>
      <c r="F33" s="370">
        <v>0.33138056611255901</v>
      </c>
      <c r="G33" s="370">
        <v>0.32907066185200567</v>
      </c>
    </row>
    <row r="34" spans="1:7" s="370" customFormat="1" x14ac:dyDescent="0.35">
      <c r="A34" s="1069" t="s">
        <v>3062</v>
      </c>
      <c r="B34" s="370">
        <v>3.3438309176011372E-2</v>
      </c>
      <c r="C34" s="370">
        <v>3.3456327221288204E-2</v>
      </c>
      <c r="D34" s="370">
        <v>3.3400128686320647E-2</v>
      </c>
      <c r="E34" s="370">
        <v>3.3860491055699923E-2</v>
      </c>
      <c r="F34" s="370">
        <v>3.4672211900371966E-2</v>
      </c>
      <c r="G34" s="370">
        <v>3.4646614766468235E-2</v>
      </c>
    </row>
    <row r="35" spans="1:7" s="370" customFormat="1" x14ac:dyDescent="0.35">
      <c r="A35" s="1069" t="s">
        <v>3063</v>
      </c>
      <c r="B35" s="370">
        <v>0.3441075622907816</v>
      </c>
      <c r="C35" s="370">
        <v>0.34483538449492207</v>
      </c>
      <c r="D35" s="370">
        <v>0.34524136521337867</v>
      </c>
      <c r="E35" s="370">
        <v>0.34573540875181619</v>
      </c>
      <c r="F35" s="370">
        <v>0.34427037989480286</v>
      </c>
      <c r="G35" s="370">
        <v>0.34050294590337671</v>
      </c>
    </row>
    <row r="36" spans="1:7" s="370" customFormat="1" x14ac:dyDescent="0.35">
      <c r="A36" s="1069" t="s">
        <v>3064</v>
      </c>
      <c r="B36" s="370">
        <v>0.37827369367093355</v>
      </c>
      <c r="C36" s="370">
        <v>0.37869769243466694</v>
      </c>
      <c r="D36" s="370">
        <v>0.37913553743813688</v>
      </c>
      <c r="E36" s="370">
        <v>0.37813087095050268</v>
      </c>
      <c r="F36" s="370">
        <v>0.37517515780374866</v>
      </c>
      <c r="G36" s="370">
        <v>0.37032190793101255</v>
      </c>
    </row>
    <row r="37" spans="1:7" s="370" customFormat="1" x14ac:dyDescent="0.35">
      <c r="A37" s="1069" t="s">
        <v>3065</v>
      </c>
      <c r="B37" s="370">
        <v>0.41213600161067826</v>
      </c>
      <c r="C37" s="370">
        <v>0.4125918646594251</v>
      </c>
      <c r="D37" s="370">
        <v>0.41153099963682338</v>
      </c>
      <c r="E37" s="370">
        <v>0.40903564885944849</v>
      </c>
      <c r="F37" s="370">
        <v>0.4049941198313845</v>
      </c>
      <c r="G37" s="370">
        <v>0.39909549705204023</v>
      </c>
    </row>
    <row r="38" spans="1:7" s="370" customFormat="1" x14ac:dyDescent="0.35">
      <c r="A38" s="1069" t="s">
        <v>3066</v>
      </c>
      <c r="B38" s="370">
        <v>0.44603017383543647</v>
      </c>
      <c r="C38" s="370">
        <v>0.4449873268581116</v>
      </c>
      <c r="D38" s="370">
        <v>0.44243577754576929</v>
      </c>
      <c r="E38" s="370">
        <v>0.43885461088708444</v>
      </c>
      <c r="F38" s="370">
        <v>0.43376770895241218</v>
      </c>
      <c r="G38" s="370">
        <v>0.42679128770801916</v>
      </c>
    </row>
    <row r="39" spans="1:7" s="370" customFormat="1" x14ac:dyDescent="0.35">
      <c r="A39" s="1069" t="s">
        <v>3067</v>
      </c>
      <c r="B39" s="370">
        <v>0.47842563603412297</v>
      </c>
      <c r="C39" s="370">
        <v>0.47589210476705757</v>
      </c>
      <c r="D39" s="370">
        <v>0.47225473957340514</v>
      </c>
      <c r="E39" s="370">
        <v>0.46762820000811206</v>
      </c>
      <c r="F39" s="370">
        <v>0.46146349960839117</v>
      </c>
      <c r="G39" s="370">
        <v>0.45354919387381853</v>
      </c>
    </row>
    <row r="40" spans="1:7" s="370" customFormat="1" x14ac:dyDescent="0.35">
      <c r="A40" s="1069" t="s">
        <v>3068</v>
      </c>
      <c r="B40" s="370">
        <v>0.50933041394306877</v>
      </c>
      <c r="C40" s="370">
        <v>0.50571106679469324</v>
      </c>
      <c r="D40" s="370">
        <v>0.5010283286944327</v>
      </c>
      <c r="E40" s="370">
        <v>0.49532399066409105</v>
      </c>
      <c r="F40" s="370">
        <v>0.48822140577419049</v>
      </c>
      <c r="G40" s="370">
        <v>0.47940283772104697</v>
      </c>
    </row>
    <row r="41" spans="1:7" s="370" customFormat="1" x14ac:dyDescent="0.35">
      <c r="A41" s="1069" t="s">
        <v>3069</v>
      </c>
      <c r="B41" s="370">
        <v>0.53914937597070456</v>
      </c>
      <c r="C41" s="370">
        <v>0.53448465591572092</v>
      </c>
      <c r="D41" s="370">
        <v>0.52872411935041186</v>
      </c>
      <c r="E41" s="370">
        <v>0.52208189682989037</v>
      </c>
      <c r="F41" s="370">
        <v>0.51407504962141903</v>
      </c>
      <c r="G41" s="370">
        <v>0.50438455457787157</v>
      </c>
    </row>
    <row r="42" spans="1:7" s="370" customFormat="1" x14ac:dyDescent="0.35">
      <c r="A42" s="1069" t="s">
        <v>3070</v>
      </c>
      <c r="B42" s="370">
        <v>0.56792296509173235</v>
      </c>
      <c r="C42" s="370">
        <v>0.56218044657169997</v>
      </c>
      <c r="D42" s="370">
        <v>0.55548202551621106</v>
      </c>
      <c r="E42" s="370">
        <v>0.54793554067711892</v>
      </c>
      <c r="F42" s="370">
        <v>0.53905676647824341</v>
      </c>
      <c r="G42" s="370">
        <v>0.52852544556765302</v>
      </c>
    </row>
    <row r="43" spans="1:7" s="370" customFormat="1" x14ac:dyDescent="0.35">
      <c r="A43" s="1069" t="s">
        <v>3071</v>
      </c>
      <c r="B43" s="370">
        <v>0.59561875574771128</v>
      </c>
      <c r="C43" s="370">
        <v>0.58893835273749928</v>
      </c>
      <c r="D43" s="370">
        <v>0.58133566936343961</v>
      </c>
      <c r="E43" s="370">
        <v>0.5729172575339434</v>
      </c>
      <c r="F43" s="370">
        <v>0.56319765746802497</v>
      </c>
      <c r="G43" s="370">
        <v>0.55185542796208786</v>
      </c>
    </row>
    <row r="44" spans="1:7" s="370" customFormat="1" x14ac:dyDescent="0.35">
      <c r="A44" s="1069" t="s">
        <v>3072</v>
      </c>
      <c r="B44" s="370">
        <v>0.62237666191351071</v>
      </c>
      <c r="C44" s="370">
        <v>0.61479199658472794</v>
      </c>
      <c r="D44" s="370">
        <v>0.6063173862202641</v>
      </c>
      <c r="E44" s="370">
        <v>0.59705814852372485</v>
      </c>
      <c r="F44" s="370">
        <v>0.58652763986245982</v>
      </c>
      <c r="G44" s="370">
        <v>0.57440328335294677</v>
      </c>
    </row>
    <row r="45" spans="1:7" s="370" customFormat="1" x14ac:dyDescent="0.35">
      <c r="A45" s="1069" t="s">
        <v>3073</v>
      </c>
      <c r="B45" s="370">
        <v>6.6894636397299589E-2</v>
      </c>
      <c r="C45" s="370">
        <v>6.6856455907608858E-2</v>
      </c>
      <c r="D45" s="370">
        <v>6.7260619742020578E-2</v>
      </c>
      <c r="E45" s="370">
        <v>6.8532702956071889E-2</v>
      </c>
      <c r="F45" s="370">
        <v>6.931882666684018E-2</v>
      </c>
      <c r="G45" s="370">
        <v>7.0181337018230414E-2</v>
      </c>
    </row>
    <row r="46" spans="1:7" s="370" customFormat="1" x14ac:dyDescent="0.35">
      <c r="A46" s="1069" t="s">
        <v>3074</v>
      </c>
      <c r="B46" s="370">
        <v>0.64823030576073903</v>
      </c>
      <c r="C46" s="370">
        <v>0.63977371344155232</v>
      </c>
      <c r="D46" s="370">
        <v>0.63045827721004566</v>
      </c>
      <c r="E46" s="370">
        <v>0.6203881309181597</v>
      </c>
      <c r="F46" s="370">
        <v>0.6090754952533185</v>
      </c>
      <c r="G46" s="370">
        <v>0.5961967037415864</v>
      </c>
    </row>
    <row r="47" spans="1:7" s="370" customFormat="1" x14ac:dyDescent="0.35">
      <c r="A47" s="1069" t="s">
        <v>3075</v>
      </c>
      <c r="B47" s="370">
        <v>0.67321202261756374</v>
      </c>
      <c r="C47" s="370">
        <v>0.66391460443133388</v>
      </c>
      <c r="D47" s="370">
        <v>0.65378825960448017</v>
      </c>
      <c r="E47" s="370">
        <v>0.64293598630901849</v>
      </c>
      <c r="F47" s="370">
        <v>0.63086891564195835</v>
      </c>
      <c r="G47" s="370">
        <v>0.61676623690689059</v>
      </c>
    </row>
    <row r="48" spans="1:7" s="370" customFormat="1" x14ac:dyDescent="0.35">
      <c r="A48" s="1069" t="s">
        <v>3076</v>
      </c>
      <c r="B48" s="370">
        <v>0.69735291360734497</v>
      </c>
      <c r="C48" s="370">
        <v>0.68724458682576861</v>
      </c>
      <c r="D48" s="370">
        <v>0.67633611499533919</v>
      </c>
      <c r="E48" s="370">
        <v>0.66472940669765823</v>
      </c>
      <c r="F48" s="370">
        <v>0.65143844880726254</v>
      </c>
      <c r="G48" s="370">
        <v>0.63618061459948549</v>
      </c>
    </row>
    <row r="49" spans="1:7" s="370" customFormat="1" x14ac:dyDescent="0.35">
      <c r="A49" s="1069" t="s">
        <v>3077</v>
      </c>
      <c r="B49" s="370">
        <v>0.72068289600177993</v>
      </c>
      <c r="C49" s="370">
        <v>0.70979244221662741</v>
      </c>
      <c r="D49" s="370">
        <v>0.69812953538397893</v>
      </c>
      <c r="E49" s="370">
        <v>0.68529893986296231</v>
      </c>
      <c r="F49" s="370">
        <v>0.67085282649985722</v>
      </c>
      <c r="G49" s="370">
        <v>0.65450470869348698</v>
      </c>
    </row>
    <row r="50" spans="1:7" s="370" customFormat="1" x14ac:dyDescent="0.35">
      <c r="A50" s="1069" t="s">
        <v>3078</v>
      </c>
      <c r="B50" s="370">
        <v>0.74323075139263894</v>
      </c>
      <c r="C50" s="370">
        <v>0.73158586260526703</v>
      </c>
      <c r="D50" s="370">
        <v>0.71869906854928312</v>
      </c>
      <c r="E50" s="370">
        <v>0.70471331755555722</v>
      </c>
      <c r="F50" s="370">
        <v>0.68917692059385882</v>
      </c>
      <c r="G50" s="370">
        <v>0.67179974795162922</v>
      </c>
    </row>
    <row r="51" spans="1:7" s="370" customFormat="1" x14ac:dyDescent="0.35">
      <c r="A51" s="1069" t="s">
        <v>3079</v>
      </c>
      <c r="B51" s="370">
        <v>0.76502417178127868</v>
      </c>
      <c r="C51" s="370">
        <v>0.75215539577057122</v>
      </c>
      <c r="D51" s="370">
        <v>0.73811344624187769</v>
      </c>
      <c r="E51" s="370">
        <v>0.72303741164955881</v>
      </c>
      <c r="F51" s="370">
        <v>0.70647195985200117</v>
      </c>
      <c r="G51" s="370">
        <v>0.68812352261717158</v>
      </c>
    </row>
    <row r="52" spans="1:7" s="370" customFormat="1" x14ac:dyDescent="0.35">
      <c r="A52" s="1069" t="s">
        <v>3080</v>
      </c>
      <c r="B52" s="370">
        <v>0.10029476508362022</v>
      </c>
      <c r="C52" s="370">
        <v>0.10071694696330878</v>
      </c>
      <c r="D52" s="370">
        <v>0.10193283164239253</v>
      </c>
      <c r="E52" s="370">
        <v>0.10317931772254012</v>
      </c>
      <c r="F52" s="370">
        <v>0.10485354891860241</v>
      </c>
      <c r="G52" s="370">
        <v>0.10552170156561409</v>
      </c>
    </row>
    <row r="53" spans="1:7" s="370" customFormat="1" x14ac:dyDescent="0.35">
      <c r="A53" s="1069" t="s">
        <v>3081</v>
      </c>
      <c r="B53" s="370">
        <v>0.13415525613932014</v>
      </c>
      <c r="C53" s="370">
        <v>0.13538915886368075</v>
      </c>
      <c r="D53" s="370">
        <v>0.13657944640886077</v>
      </c>
      <c r="E53" s="370">
        <v>0.13871403997430234</v>
      </c>
      <c r="F53" s="370">
        <v>0.14019391346598606</v>
      </c>
      <c r="G53" s="370">
        <v>0.14056579402639685</v>
      </c>
    </row>
    <row r="54" spans="1:7" s="370" customFormat="1" x14ac:dyDescent="0.35">
      <c r="A54" s="1069" t="s">
        <v>3082</v>
      </c>
      <c r="B54" s="370">
        <v>0.16882746803969206</v>
      </c>
      <c r="C54" s="370">
        <v>0.17003577363014899</v>
      </c>
      <c r="D54" s="370">
        <v>0.17211416866062296</v>
      </c>
      <c r="E54" s="370">
        <v>0.174054404521686</v>
      </c>
      <c r="F54" s="370">
        <v>0.17523800592676886</v>
      </c>
      <c r="G54" s="370">
        <v>0.17528009425108945</v>
      </c>
    </row>
    <row r="55" spans="1:7" s="370" customFormat="1" x14ac:dyDescent="0.35">
      <c r="A55" s="1069" t="s">
        <v>3083</v>
      </c>
      <c r="B55" s="370">
        <v>0.20347408280616033</v>
      </c>
      <c r="C55" s="370">
        <v>0.2055704958819112</v>
      </c>
      <c r="D55" s="370">
        <v>0.20745453320800664</v>
      </c>
      <c r="E55" s="370">
        <v>0.20909849698246874</v>
      </c>
      <c r="F55" s="370">
        <v>0.20995230615146143</v>
      </c>
      <c r="G55" s="370">
        <v>0.2094462256312413</v>
      </c>
    </row>
    <row r="56" spans="1:7" s="370" customFormat="1" x14ac:dyDescent="0.35">
      <c r="A56" s="1069" t="s">
        <v>3084</v>
      </c>
      <c r="B56" s="370">
        <v>0.2390088050579226</v>
      </c>
      <c r="C56" s="370">
        <v>0.24091086042929485</v>
      </c>
      <c r="D56" s="370">
        <v>0.24249862566878938</v>
      </c>
      <c r="E56" s="370">
        <v>0.24381279720716137</v>
      </c>
      <c r="F56" s="370">
        <v>0.24411843753161333</v>
      </c>
      <c r="G56" s="370">
        <v>0.24330853357098611</v>
      </c>
    </row>
    <row r="57" spans="1:7" s="370" customFormat="1" x14ac:dyDescent="0.35">
      <c r="A57" s="1069" t="s">
        <v>3085</v>
      </c>
      <c r="B57" s="370">
        <v>0.27434916960530625</v>
      </c>
      <c r="C57" s="370">
        <v>0.27595495289007765</v>
      </c>
      <c r="D57" s="370">
        <v>0.27721292589348207</v>
      </c>
      <c r="E57" s="370">
        <v>0.27797892858731316</v>
      </c>
      <c r="F57" s="370">
        <v>0.27798074547135815</v>
      </c>
      <c r="G57" s="370">
        <v>0.2772027057957443</v>
      </c>
    </row>
    <row r="58" spans="1:7" s="370" customFormat="1" x14ac:dyDescent="0.35">
      <c r="A58" s="1069" t="s">
        <v>3086</v>
      </c>
      <c r="B58" s="370">
        <v>0.30939326206608897</v>
      </c>
      <c r="C58" s="370">
        <v>0.31066925311477023</v>
      </c>
      <c r="D58" s="370">
        <v>0.31137905727363385</v>
      </c>
      <c r="E58" s="370">
        <v>0.31184123652705803</v>
      </c>
      <c r="F58" s="370">
        <v>0.31187491769611625</v>
      </c>
      <c r="G58" s="370">
        <v>0.30959816799443096</v>
      </c>
    </row>
    <row r="59" spans="1:7" s="370" customFormat="1" x14ac:dyDescent="0.35">
      <c r="A59" s="1069" t="s">
        <v>3087</v>
      </c>
      <c r="B59" s="370">
        <v>5.2302450723593706E-2</v>
      </c>
      <c r="C59" s="370">
        <v>5.3516434947454998E-2</v>
      </c>
      <c r="D59" s="370">
        <v>5.4562013278680065E-2</v>
      </c>
      <c r="E59" s="370">
        <v>5.7700578563194146E-2</v>
      </c>
      <c r="F59" s="370">
        <v>6.0894682043841263E-2</v>
      </c>
      <c r="G59" s="370">
        <v>6.2580360976253677E-2</v>
      </c>
    </row>
    <row r="60" spans="1:7" s="370" customFormat="1" x14ac:dyDescent="0.35">
      <c r="A60" s="1069" t="s">
        <v>3088</v>
      </c>
      <c r="B60" s="370">
        <v>0.60155069553984886</v>
      </c>
      <c r="C60" s="370">
        <v>0.61282548167836104</v>
      </c>
      <c r="D60" s="370">
        <v>0.62170504347935851</v>
      </c>
      <c r="E60" s="370">
        <v>0.62854595247265532</v>
      </c>
      <c r="F60" s="370">
        <v>0.6294623146341648</v>
      </c>
      <c r="G60" s="370">
        <v>0.62438122055082956</v>
      </c>
    </row>
    <row r="61" spans="1:7" s="370" customFormat="1" x14ac:dyDescent="0.35">
      <c r="A61" s="1069" t="s">
        <v>3089</v>
      </c>
      <c r="B61" s="370">
        <v>0.66512793240195489</v>
      </c>
      <c r="C61" s="370">
        <v>0.67522147842681346</v>
      </c>
      <c r="D61" s="370">
        <v>0.68310796575133537</v>
      </c>
      <c r="E61" s="370">
        <v>0.68716289319735879</v>
      </c>
      <c r="F61" s="370">
        <v>0.68527590259467086</v>
      </c>
      <c r="G61" s="370">
        <v>0.67786777245521912</v>
      </c>
    </row>
    <row r="62" spans="1:7" s="370" customFormat="1" x14ac:dyDescent="0.35">
      <c r="A62" s="1069" t="s">
        <v>3090</v>
      </c>
      <c r="B62" s="370">
        <v>0.7275239291504072</v>
      </c>
      <c r="C62" s="370">
        <v>0.73662440069879043</v>
      </c>
      <c r="D62" s="370">
        <v>0.74172490647603895</v>
      </c>
      <c r="E62" s="370">
        <v>0.74297648115786497</v>
      </c>
      <c r="F62" s="370">
        <v>0.73876245449906031</v>
      </c>
      <c r="G62" s="370">
        <v>0.72913719067073757</v>
      </c>
    </row>
    <row r="63" spans="1:7" s="370" customFormat="1" x14ac:dyDescent="0.35">
      <c r="A63" s="1069" t="s">
        <v>3091</v>
      </c>
      <c r="B63" s="370">
        <v>0.78892685142238417</v>
      </c>
      <c r="C63" s="370">
        <v>0.7952413414234939</v>
      </c>
      <c r="D63" s="370">
        <v>0.79753849443654512</v>
      </c>
      <c r="E63" s="370">
        <v>0.79646303306225463</v>
      </c>
      <c r="F63" s="370">
        <v>0.79003187271457864</v>
      </c>
      <c r="G63" s="370">
        <v>0.7782406052180092</v>
      </c>
    </row>
    <row r="64" spans="1:7" s="370" customFormat="1" x14ac:dyDescent="0.35">
      <c r="A64" s="1069" t="s">
        <v>3092</v>
      </c>
      <c r="B64" s="370">
        <v>0.84754379214708753</v>
      </c>
      <c r="C64" s="370">
        <v>0.85105492938400007</v>
      </c>
      <c r="D64" s="370">
        <v>0.85102504634093468</v>
      </c>
      <c r="E64" s="370">
        <v>0.84773245127777275</v>
      </c>
      <c r="F64" s="370">
        <v>0.83913528726185049</v>
      </c>
      <c r="G64" s="370">
        <v>0.82542877780438428</v>
      </c>
    </row>
    <row r="65" spans="1:7" s="370" customFormat="1" x14ac:dyDescent="0.35">
      <c r="A65" s="1069" t="s">
        <v>3093</v>
      </c>
      <c r="B65" s="370">
        <v>0.90335738010759381</v>
      </c>
      <c r="C65" s="370">
        <v>0.90454148128838974</v>
      </c>
      <c r="D65" s="370">
        <v>0.90229446455645279</v>
      </c>
      <c r="E65" s="370">
        <v>0.89683586582504438</v>
      </c>
      <c r="F65" s="370">
        <v>0.88632345984822536</v>
      </c>
      <c r="G65" s="370">
        <v>0.87078117780645814</v>
      </c>
    </row>
    <row r="66" spans="1:7" s="370" customFormat="1" x14ac:dyDescent="0.35">
      <c r="A66" s="1069" t="s">
        <v>3094</v>
      </c>
      <c r="B66" s="370">
        <v>0.95684393201198348</v>
      </c>
      <c r="C66" s="370">
        <v>0.95581089950390785</v>
      </c>
      <c r="D66" s="370">
        <v>0.95139787910372442</v>
      </c>
      <c r="E66" s="370">
        <v>0.9440240384114198</v>
      </c>
      <c r="F66" s="370">
        <v>0.93167585985029933</v>
      </c>
      <c r="G66" s="370">
        <v>0.91437379304180677</v>
      </c>
    </row>
    <row r="67" spans="1:7" s="370" customFormat="1" x14ac:dyDescent="0.35">
      <c r="A67" s="1069" t="s">
        <v>3095</v>
      </c>
      <c r="B67" s="370">
        <v>1.0081133502275017</v>
      </c>
      <c r="C67" s="370">
        <v>1.0049143140511796</v>
      </c>
      <c r="D67" s="370">
        <v>0.99858605169009973</v>
      </c>
      <c r="E67" s="370">
        <v>0.98937643841349354</v>
      </c>
      <c r="F67" s="370">
        <v>0.97526847508564818</v>
      </c>
      <c r="G67" s="370">
        <v>0.95627928903422388</v>
      </c>
    </row>
    <row r="68" spans="1:7" s="370" customFormat="1" x14ac:dyDescent="0.35">
      <c r="A68" s="1069" t="s">
        <v>3096</v>
      </c>
      <c r="B68" s="370">
        <v>1.0572167647747732</v>
      </c>
      <c r="C68" s="370">
        <v>1.0521024866375548</v>
      </c>
      <c r="D68" s="370">
        <v>1.0439384516921737</v>
      </c>
      <c r="E68" s="370">
        <v>1.0329690536488423</v>
      </c>
      <c r="F68" s="370">
        <v>1.0171739710780652</v>
      </c>
      <c r="G68" s="370">
        <v>0.99656716075785778</v>
      </c>
    </row>
    <row r="69" spans="1:7" s="370" customFormat="1" x14ac:dyDescent="0.35">
      <c r="A69" s="1069" t="s">
        <v>3097</v>
      </c>
      <c r="B69" s="370">
        <v>1.1044049373611484</v>
      </c>
      <c r="C69" s="370">
        <v>1.0974548866396285</v>
      </c>
      <c r="D69" s="370">
        <v>1.0875310669275224</v>
      </c>
      <c r="E69" s="370">
        <v>1.0748745496412593</v>
      </c>
      <c r="F69" s="370">
        <v>1.0574618428016991</v>
      </c>
      <c r="G69" s="370">
        <v>1.0353038772233758</v>
      </c>
    </row>
    <row r="70" spans="1:7" s="370" customFormat="1" x14ac:dyDescent="0.35">
      <c r="A70" s="1069" t="s">
        <v>3098</v>
      </c>
      <c r="B70" s="370">
        <v>0.1058188856710487</v>
      </c>
      <c r="C70" s="370">
        <v>0.10807844822613502</v>
      </c>
      <c r="D70" s="370">
        <v>0.1122625918418742</v>
      </c>
      <c r="E70" s="370">
        <v>0.1185952606070354</v>
      </c>
      <c r="F70" s="370">
        <v>0.12347504302009493</v>
      </c>
      <c r="G70" s="370">
        <v>0.12723058958792277</v>
      </c>
    </row>
    <row r="71" spans="1:7" s="370" customFormat="1" x14ac:dyDescent="0.35">
      <c r="A71" s="1069" t="s">
        <v>3099</v>
      </c>
      <c r="B71" s="370">
        <v>1.1497573373632222</v>
      </c>
      <c r="C71" s="370">
        <v>1.1410475018749775</v>
      </c>
      <c r="D71" s="370">
        <v>1.1294365629199394</v>
      </c>
      <c r="E71" s="370">
        <v>1.115162421364893</v>
      </c>
      <c r="F71" s="370">
        <v>1.096198559267217</v>
      </c>
      <c r="G71" s="370">
        <v>1.0725530192514849</v>
      </c>
    </row>
    <row r="72" spans="1:7" s="370" customFormat="1" x14ac:dyDescent="0.35">
      <c r="A72" s="1069" t="s">
        <v>3100</v>
      </c>
      <c r="B72" s="370">
        <v>1.1933499525985711</v>
      </c>
      <c r="C72" s="370">
        <v>1.1829529978673945</v>
      </c>
      <c r="D72" s="370">
        <v>1.1697244346435731</v>
      </c>
      <c r="E72" s="370">
        <v>1.1538991378304113</v>
      </c>
      <c r="F72" s="370">
        <v>1.1334477012953259</v>
      </c>
      <c r="G72" s="370">
        <v>1.1077103029023665</v>
      </c>
    </row>
    <row r="73" spans="1:7" s="370" customFormat="1" x14ac:dyDescent="0.35">
      <c r="A73" s="1069" t="s">
        <v>3101</v>
      </c>
      <c r="B73" s="370">
        <v>1.2352554485909883</v>
      </c>
      <c r="C73" s="370">
        <v>1.2232408695910282</v>
      </c>
      <c r="D73" s="370">
        <v>1.2084611511090912</v>
      </c>
      <c r="E73" s="370">
        <v>1.19114827985852</v>
      </c>
      <c r="F73" s="370">
        <v>1.1686049849462075</v>
      </c>
      <c r="G73" s="370">
        <v>1.1408932039414241</v>
      </c>
    </row>
    <row r="74" spans="1:7" s="370" customFormat="1" x14ac:dyDescent="0.35">
      <c r="A74" s="1069" t="s">
        <v>3102</v>
      </c>
      <c r="B74" s="370">
        <v>1.275543320314622</v>
      </c>
      <c r="C74" s="370">
        <v>1.2619775860565463</v>
      </c>
      <c r="D74" s="370">
        <v>1.2457102931372002</v>
      </c>
      <c r="E74" s="370">
        <v>1.2263055635094018</v>
      </c>
      <c r="F74" s="370">
        <v>1.2017878859852655</v>
      </c>
      <c r="G74" s="370">
        <v>1.1722126008636116</v>
      </c>
    </row>
    <row r="75" spans="1:7" s="370" customFormat="1" x14ac:dyDescent="0.35">
      <c r="A75" s="1069" t="s">
        <v>3103</v>
      </c>
      <c r="B75" s="370">
        <v>1.3142800367801399</v>
      </c>
      <c r="C75" s="370">
        <v>1.2992267280846554</v>
      </c>
      <c r="D75" s="370">
        <v>1.2808675767880819</v>
      </c>
      <c r="E75" s="370">
        <v>1.2594884645484596</v>
      </c>
      <c r="F75" s="370">
        <v>1.233107282907453</v>
      </c>
      <c r="G75" s="370">
        <v>1.2017731453866769</v>
      </c>
    </row>
    <row r="76" spans="1:7" s="370" customFormat="1" x14ac:dyDescent="0.35">
      <c r="A76" s="1069" t="s">
        <v>3104</v>
      </c>
      <c r="B76" s="370">
        <v>1.3515291788082491</v>
      </c>
      <c r="C76" s="370">
        <v>1.3343840117355372</v>
      </c>
      <c r="D76" s="370">
        <v>1.3140504778271396</v>
      </c>
      <c r="E76" s="370">
        <v>1.2908078614706471</v>
      </c>
      <c r="F76" s="370">
        <v>1.2626678274305183</v>
      </c>
      <c r="G76" s="370">
        <v>1.2296736121380365</v>
      </c>
    </row>
    <row r="77" spans="1:7" s="370" customFormat="1" x14ac:dyDescent="0.35">
      <c r="A77" s="1069" t="s">
        <v>3105</v>
      </c>
      <c r="B77" s="370">
        <v>1.3866864624591311</v>
      </c>
      <c r="C77" s="370">
        <v>1.3675669127745949</v>
      </c>
      <c r="D77" s="370">
        <v>1.3453698747493275</v>
      </c>
      <c r="E77" s="370">
        <v>1.3203684059937124</v>
      </c>
      <c r="F77" s="370">
        <v>1.2905682941818775</v>
      </c>
      <c r="G77" s="370">
        <v>1.256007228703736</v>
      </c>
    </row>
    <row r="78" spans="1:7" s="370" customFormat="1" x14ac:dyDescent="0.35">
      <c r="A78" s="1069" t="s">
        <v>3106</v>
      </c>
      <c r="B78" s="370">
        <v>1.4198693634981883</v>
      </c>
      <c r="C78" s="370">
        <v>1.3988863096967821</v>
      </c>
      <c r="D78" s="370">
        <v>1.3749304192723923</v>
      </c>
      <c r="E78" s="370">
        <v>1.3482688727450713</v>
      </c>
      <c r="F78" s="370">
        <v>1.3169019107475775</v>
      </c>
      <c r="G78" s="370">
        <v>1.2808619871423395</v>
      </c>
    </row>
    <row r="79" spans="1:7" s="370" customFormat="1" x14ac:dyDescent="0.35">
      <c r="A79" s="1069" t="s">
        <v>3107</v>
      </c>
      <c r="B79" s="370">
        <v>1.4511887604203759</v>
      </c>
      <c r="C79" s="370">
        <v>1.4284468542198472</v>
      </c>
      <c r="D79" s="370">
        <v>1.4028308860237515</v>
      </c>
      <c r="E79" s="370">
        <v>1.3746024893107718</v>
      </c>
      <c r="F79" s="370">
        <v>1.3417566691861809</v>
      </c>
      <c r="G79" s="370">
        <v>1.3043209380046363</v>
      </c>
    </row>
    <row r="80" spans="1:7" s="370" customFormat="1" x14ac:dyDescent="0.35">
      <c r="A80" s="1069" t="s">
        <v>3108</v>
      </c>
      <c r="B80" s="370">
        <v>1.480749304943441</v>
      </c>
      <c r="C80" s="370">
        <v>1.4563473209712066</v>
      </c>
      <c r="D80" s="370">
        <v>1.4291645025894519</v>
      </c>
      <c r="E80" s="370">
        <v>1.399457247749375</v>
      </c>
      <c r="F80" s="370">
        <v>1.3652156200484775</v>
      </c>
      <c r="G80" s="370">
        <v>1.3264624678416315</v>
      </c>
    </row>
    <row r="81" spans="1:7" s="370" customFormat="1" x14ac:dyDescent="0.35">
      <c r="A81" s="1069" t="s">
        <v>3109</v>
      </c>
      <c r="B81" s="370">
        <v>0.16038089894972868</v>
      </c>
      <c r="C81" s="370">
        <v>0.1657790267893291</v>
      </c>
      <c r="D81" s="370">
        <v>0.17315727388571547</v>
      </c>
      <c r="E81" s="370">
        <v>0.18117562158328909</v>
      </c>
      <c r="F81" s="370">
        <v>0.18812527163176401</v>
      </c>
      <c r="G81" s="370">
        <v>0.19253877659377019</v>
      </c>
    </row>
    <row r="82" spans="1:7" s="370" customFormat="1" x14ac:dyDescent="0.35">
      <c r="A82" s="1069" t="s">
        <v>3110</v>
      </c>
      <c r="B82" s="370">
        <v>1.5086497716948006</v>
      </c>
      <c r="C82" s="370">
        <v>1.482680937536907</v>
      </c>
      <c r="D82" s="370">
        <v>1.4540192610280549</v>
      </c>
      <c r="E82" s="370">
        <v>1.4229161986116714</v>
      </c>
      <c r="F82" s="370">
        <v>1.3873571498854729</v>
      </c>
      <c r="G82" s="370">
        <v>1.3473605611280832</v>
      </c>
    </row>
    <row r="83" spans="1:7" s="370" customFormat="1" x14ac:dyDescent="0.35">
      <c r="A83" s="1069" t="s">
        <v>3111</v>
      </c>
      <c r="B83" s="370">
        <v>0.21808147751292284</v>
      </c>
      <c r="C83" s="370">
        <v>0.22667370883317028</v>
      </c>
      <c r="D83" s="370">
        <v>0.23573763486196914</v>
      </c>
      <c r="E83" s="370">
        <v>0.24582585019495815</v>
      </c>
      <c r="F83" s="370">
        <v>0.25343345863761141</v>
      </c>
      <c r="G83" s="370">
        <v>0.25782753372878886</v>
      </c>
    </row>
    <row r="84" spans="1:7" s="370" customFormat="1" x14ac:dyDescent="0.35">
      <c r="A84" s="1069" t="s">
        <v>3112</v>
      </c>
      <c r="B84" s="370">
        <v>0.27897615955676403</v>
      </c>
      <c r="C84" s="370">
        <v>0.28925406980942386</v>
      </c>
      <c r="D84" s="370">
        <v>0.30038786347363822</v>
      </c>
      <c r="E84" s="370">
        <v>0.31113403720080557</v>
      </c>
      <c r="F84" s="370">
        <v>0.31872221577263016</v>
      </c>
      <c r="G84" s="370">
        <v>0.32257453598308466</v>
      </c>
    </row>
    <row r="85" spans="1:7" s="370" customFormat="1" x14ac:dyDescent="0.35">
      <c r="A85" s="1069" t="s">
        <v>3113</v>
      </c>
      <c r="B85" s="370">
        <v>0.34155652053301766</v>
      </c>
      <c r="C85" s="370">
        <v>0.35390429842109306</v>
      </c>
      <c r="D85" s="370">
        <v>0.36569605047948561</v>
      </c>
      <c r="E85" s="370">
        <v>0.37642279433582426</v>
      </c>
      <c r="F85" s="370">
        <v>0.38346921802692591</v>
      </c>
      <c r="G85" s="370">
        <v>0.38615177284519064</v>
      </c>
    </row>
    <row r="86" spans="1:7" s="370" customFormat="1" x14ac:dyDescent="0.35">
      <c r="A86" s="1069" t="s">
        <v>3114</v>
      </c>
      <c r="B86" s="370">
        <v>0.40620674914468674</v>
      </c>
      <c r="C86" s="370">
        <v>0.41921248542694051</v>
      </c>
      <c r="D86" s="370">
        <v>0.43098480761450442</v>
      </c>
      <c r="E86" s="370">
        <v>0.44116979659012001</v>
      </c>
      <c r="F86" s="370">
        <v>0.44704645488903194</v>
      </c>
      <c r="G86" s="370">
        <v>0.44854776959364301</v>
      </c>
    </row>
    <row r="87" spans="1:7" s="370" customFormat="1" x14ac:dyDescent="0.35">
      <c r="A87" s="1069" t="s">
        <v>3115</v>
      </c>
      <c r="B87" s="370">
        <v>0.47151493615053425</v>
      </c>
      <c r="C87" s="370">
        <v>0.48450124256195926</v>
      </c>
      <c r="D87" s="370">
        <v>0.49573180986880017</v>
      </c>
      <c r="E87" s="370">
        <v>0.50474703345222605</v>
      </c>
      <c r="F87" s="370">
        <v>0.50944245163748425</v>
      </c>
      <c r="G87" s="370">
        <v>0.50995069186561981</v>
      </c>
    </row>
    <row r="88" spans="1:7" s="370" customFormat="1" x14ac:dyDescent="0.35">
      <c r="A88" s="1069" t="s">
        <v>3116</v>
      </c>
      <c r="B88" s="370">
        <v>0.536803693285553</v>
      </c>
      <c r="C88" s="370">
        <v>0.54924824481625512</v>
      </c>
      <c r="D88" s="370">
        <v>0.5593090467309062</v>
      </c>
      <c r="E88" s="370">
        <v>0.56714303020067847</v>
      </c>
      <c r="F88" s="370">
        <v>0.57084537390946111</v>
      </c>
      <c r="G88" s="370">
        <v>0.5685676325903235</v>
      </c>
    </row>
    <row r="89" spans="1:7" s="370" customFormat="1" x14ac:dyDescent="0.35">
      <c r="A89" s="1069" t="s">
        <v>3117</v>
      </c>
      <c r="B89" s="370">
        <v>5.4354218725356576E-2</v>
      </c>
      <c r="C89" s="370">
        <v>5.5654468775423134E-2</v>
      </c>
      <c r="D89" s="370">
        <v>5.6778001557869384E-2</v>
      </c>
      <c r="E89" s="370">
        <v>6.0118502402044444E-2</v>
      </c>
      <c r="F89" s="370">
        <v>6.3500620567258331E-2</v>
      </c>
      <c r="G89" s="370">
        <v>6.5308663997247496E-2</v>
      </c>
    </row>
    <row r="90" spans="1:7" s="370" customFormat="1" x14ac:dyDescent="0.35">
      <c r="A90" s="1069" t="s">
        <v>3118</v>
      </c>
      <c r="B90" s="370">
        <v>0.62721218525158584</v>
      </c>
      <c r="C90" s="370">
        <v>0.63925958985862807</v>
      </c>
      <c r="D90" s="370">
        <v>0.64875615811663234</v>
      </c>
      <c r="E90" s="370">
        <v>0.65606317567893235</v>
      </c>
      <c r="F90" s="370">
        <v>0.65712002330777652</v>
      </c>
      <c r="G90" s="370">
        <v>0.65186605583539525</v>
      </c>
    </row>
    <row r="91" spans="1:7" s="370" customFormat="1" x14ac:dyDescent="0.35">
      <c r="A91" s="1069" t="s">
        <v>3119</v>
      </c>
      <c r="B91" s="370">
        <v>0.69361380858398469</v>
      </c>
      <c r="C91" s="370">
        <v>0.70441062689205547</v>
      </c>
      <c r="D91" s="370">
        <v>0.71284117723680196</v>
      </c>
      <c r="E91" s="370">
        <v>0.71723852570982105</v>
      </c>
      <c r="F91" s="370">
        <v>0.7153666764026535</v>
      </c>
      <c r="G91" s="370">
        <v>0.70767389920934209</v>
      </c>
    </row>
    <row r="92" spans="1:7" s="370" customFormat="1" x14ac:dyDescent="0.35">
      <c r="A92" s="1069" t="s">
        <v>3120</v>
      </c>
      <c r="B92" s="370">
        <v>0.75876484561741186</v>
      </c>
      <c r="C92" s="370">
        <v>0.76849564601222509</v>
      </c>
      <c r="D92" s="370">
        <v>0.77401652726769044</v>
      </c>
      <c r="E92" s="370">
        <v>0.77548517880469769</v>
      </c>
      <c r="F92" s="370">
        <v>0.77117451977660034</v>
      </c>
      <c r="G92" s="370">
        <v>0.76115866658709597</v>
      </c>
    </row>
    <row r="93" spans="1:7" s="370" customFormat="1" x14ac:dyDescent="0.35">
      <c r="A93" s="1069" t="s">
        <v>3121</v>
      </c>
      <c r="B93" s="370">
        <v>0.82284986473758159</v>
      </c>
      <c r="C93" s="370">
        <v>0.82967099604311367</v>
      </c>
      <c r="D93" s="370">
        <v>0.83226318036256719</v>
      </c>
      <c r="E93" s="370">
        <v>0.83129302217864487</v>
      </c>
      <c r="F93" s="370">
        <v>0.82465928715435433</v>
      </c>
      <c r="G93" s="370">
        <v>0.8123768127696912</v>
      </c>
    </row>
    <row r="94" spans="1:7" s="370" customFormat="1" x14ac:dyDescent="0.35">
      <c r="A94" s="1069" t="s">
        <v>3122</v>
      </c>
      <c r="B94" s="370">
        <v>0.88402521476847018</v>
      </c>
      <c r="C94" s="370">
        <v>0.88791764913799043</v>
      </c>
      <c r="D94" s="370">
        <v>0.88807102373651414</v>
      </c>
      <c r="E94" s="370">
        <v>0.88477778955639885</v>
      </c>
      <c r="F94" s="370">
        <v>0.87587743333694978</v>
      </c>
      <c r="G94" s="370">
        <v>0.86158997662867232</v>
      </c>
    </row>
    <row r="95" spans="1:7" s="370" customFormat="1" x14ac:dyDescent="0.35">
      <c r="A95" s="1069" t="s">
        <v>3123</v>
      </c>
      <c r="B95" s="370">
        <v>0.94227186786334705</v>
      </c>
      <c r="C95" s="370">
        <v>0.94372549251193749</v>
      </c>
      <c r="D95" s="370">
        <v>0.94155579111426835</v>
      </c>
      <c r="E95" s="370">
        <v>0.93599593573899431</v>
      </c>
      <c r="F95" s="370">
        <v>0.92509059719593068</v>
      </c>
      <c r="G95" s="370">
        <v>0.90888162097355174</v>
      </c>
    </row>
    <row r="96" spans="1:7" s="370" customFormat="1" x14ac:dyDescent="0.35">
      <c r="A96" s="1069" t="s">
        <v>3124</v>
      </c>
      <c r="B96" s="370">
        <v>0.99807971123729389</v>
      </c>
      <c r="C96" s="370">
        <v>0.99721025988969125</v>
      </c>
      <c r="D96" s="370">
        <v>0.99277393729686347</v>
      </c>
      <c r="E96" s="370">
        <v>0.9852090995979752</v>
      </c>
      <c r="F96" s="370">
        <v>0.97238224154080999</v>
      </c>
      <c r="G96" s="370">
        <v>0.95433154261399855</v>
      </c>
    </row>
    <row r="97" spans="1:7" s="370" customFormat="1" x14ac:dyDescent="0.35">
      <c r="A97" s="1069" t="s">
        <v>3125</v>
      </c>
      <c r="B97" s="370">
        <v>1.051564478615048</v>
      </c>
      <c r="C97" s="370">
        <v>1.0484284060722866</v>
      </c>
      <c r="D97" s="370">
        <v>1.0419871011558446</v>
      </c>
      <c r="E97" s="370">
        <v>1.0325007439428546</v>
      </c>
      <c r="F97" s="370">
        <v>1.0178321631812568</v>
      </c>
      <c r="G97" s="370">
        <v>0.99801604037986824</v>
      </c>
    </row>
    <row r="98" spans="1:7" s="370" customFormat="1" x14ac:dyDescent="0.35">
      <c r="A98" s="1069" t="s">
        <v>3126</v>
      </c>
      <c r="B98" s="370">
        <v>1.1027826247976433</v>
      </c>
      <c r="C98" s="370">
        <v>1.0976415699312678</v>
      </c>
      <c r="D98" s="370">
        <v>1.089278745500724</v>
      </c>
      <c r="E98" s="370">
        <v>1.0779506655833015</v>
      </c>
      <c r="F98" s="370">
        <v>1.0615166609471267</v>
      </c>
      <c r="G98" s="370">
        <v>1.0400080751964915</v>
      </c>
    </row>
    <row r="99" spans="1:7" s="370" customFormat="1" x14ac:dyDescent="0.35">
      <c r="A99" s="1069" t="s">
        <v>3127</v>
      </c>
      <c r="B99" s="370">
        <v>1.1519957886566243</v>
      </c>
      <c r="C99" s="370">
        <v>1.144933214276147</v>
      </c>
      <c r="D99" s="370">
        <v>1.1347286671411707</v>
      </c>
      <c r="E99" s="370">
        <v>1.121635163349171</v>
      </c>
      <c r="F99" s="370">
        <v>1.1035086957637499</v>
      </c>
      <c r="G99" s="370">
        <v>1.0803774225991196</v>
      </c>
    </row>
    <row r="100" spans="1:7" s="370" customFormat="1" x14ac:dyDescent="0.35">
      <c r="A100" s="1069" t="s">
        <v>3128</v>
      </c>
      <c r="B100" s="370">
        <v>0.11000868750077969</v>
      </c>
      <c r="C100" s="370">
        <v>0.11243247033329253</v>
      </c>
      <c r="D100" s="370">
        <v>0.11689650395991383</v>
      </c>
      <c r="E100" s="370">
        <v>0.12361912296930279</v>
      </c>
      <c r="F100" s="370">
        <v>0.12880928456450585</v>
      </c>
      <c r="G100" s="370">
        <v>0.13279057791867291</v>
      </c>
    </row>
    <row r="101" spans="1:7" s="370" customFormat="1" x14ac:dyDescent="0.35">
      <c r="A101" s="1069" t="s">
        <v>3129</v>
      </c>
      <c r="B101" s="370">
        <v>1.1992874330015035</v>
      </c>
      <c r="C101" s="370">
        <v>1.1903831359165937</v>
      </c>
      <c r="D101" s="370">
        <v>1.1784131649070404</v>
      </c>
      <c r="E101" s="370">
        <v>1.1636271981657942</v>
      </c>
      <c r="F101" s="370">
        <v>1.143878043166378</v>
      </c>
      <c r="G101" s="370">
        <v>1.1191908180515968</v>
      </c>
    </row>
    <row r="102" spans="1:7" s="370" customFormat="1" x14ac:dyDescent="0.35">
      <c r="A102" s="1069" t="s">
        <v>3130</v>
      </c>
      <c r="B102" s="370">
        <v>1.2447373546419505</v>
      </c>
      <c r="C102" s="370">
        <v>1.2340676336824634</v>
      </c>
      <c r="D102" s="370">
        <v>1.220405199723664</v>
      </c>
      <c r="E102" s="370">
        <v>1.2039965455684223</v>
      </c>
      <c r="F102" s="370">
        <v>1.1826914386188552</v>
      </c>
      <c r="G102" s="370">
        <v>1.1558245088986727</v>
      </c>
    </row>
    <row r="103" spans="1:7" s="370" customFormat="1" x14ac:dyDescent="0.35">
      <c r="A103" s="1069" t="s">
        <v>3131</v>
      </c>
      <c r="B103" s="370">
        <v>1.2884218524078201</v>
      </c>
      <c r="C103" s="370">
        <v>1.2760596684990868</v>
      </c>
      <c r="D103" s="370">
        <v>1.2607745471262919</v>
      </c>
      <c r="E103" s="370">
        <v>1.2428099410208997</v>
      </c>
      <c r="F103" s="370">
        <v>1.2193251294659313</v>
      </c>
      <c r="G103" s="370">
        <v>1.1904009042238981</v>
      </c>
    </row>
    <row r="104" spans="1:7" s="370" customFormat="1" x14ac:dyDescent="0.35">
      <c r="A104" s="1069" t="s">
        <v>3132</v>
      </c>
      <c r="B104" s="370">
        <v>1.3304138872244435</v>
      </c>
      <c r="C104" s="370">
        <v>1.3164290159017149</v>
      </c>
      <c r="D104" s="370">
        <v>1.2995879425787691</v>
      </c>
      <c r="E104" s="370">
        <v>1.2794436318679758</v>
      </c>
      <c r="F104" s="370">
        <v>1.2539015247911565</v>
      </c>
      <c r="G104" s="370">
        <v>1.2230355387923033</v>
      </c>
    </row>
    <row r="105" spans="1:7" s="370" customFormat="1" x14ac:dyDescent="0.35">
      <c r="A105" s="1069" t="s">
        <v>3133</v>
      </c>
      <c r="B105" s="370">
        <v>1.3707832346270716</v>
      </c>
      <c r="C105" s="370">
        <v>1.3552424113541923</v>
      </c>
      <c r="D105" s="370">
        <v>1.3362216334258448</v>
      </c>
      <c r="E105" s="370">
        <v>1.3140200271932008</v>
      </c>
      <c r="F105" s="370">
        <v>1.2865361593595614</v>
      </c>
      <c r="G105" s="370">
        <v>1.2538374591022652</v>
      </c>
    </row>
    <row r="106" spans="1:7" s="370" customFormat="1" x14ac:dyDescent="0.35">
      <c r="A106" s="1069" t="s">
        <v>3134</v>
      </c>
      <c r="B106" s="370">
        <v>1.4095966300795486</v>
      </c>
      <c r="C106" s="370">
        <v>1.391876102201268</v>
      </c>
      <c r="D106" s="370">
        <v>1.3707980287510704</v>
      </c>
      <c r="E106" s="370">
        <v>1.346654661761606</v>
      </c>
      <c r="F106" s="370">
        <v>1.3173380796695238</v>
      </c>
      <c r="G106" s="370">
        <v>1.2829095877572558</v>
      </c>
    </row>
    <row r="107" spans="1:7" s="370" customFormat="1" x14ac:dyDescent="0.35">
      <c r="A107" s="1069" t="s">
        <v>3135</v>
      </c>
      <c r="B107" s="370">
        <v>0.16678668905864907</v>
      </c>
      <c r="C107" s="370">
        <v>0.17255097273533698</v>
      </c>
      <c r="D107" s="370">
        <v>0.18039712452717216</v>
      </c>
      <c r="E107" s="370">
        <v>0.18892778696655027</v>
      </c>
      <c r="F107" s="370">
        <v>0.19629119848593124</v>
      </c>
      <c r="G107" s="370">
        <v>0.20098760938011298</v>
      </c>
    </row>
    <row r="108" spans="1:7" s="370" customFormat="1" x14ac:dyDescent="0.35">
      <c r="A108" s="1069" t="s">
        <v>3136</v>
      </c>
      <c r="B108" s="370">
        <v>0.22690519146069354</v>
      </c>
      <c r="C108" s="370">
        <v>0.23605159330259531</v>
      </c>
      <c r="D108" s="370">
        <v>0.24570578852441965</v>
      </c>
      <c r="E108" s="370">
        <v>0.25640970088797571</v>
      </c>
      <c r="F108" s="370">
        <v>0.26448822994737131</v>
      </c>
      <c r="G108" s="370">
        <v>0.2691789171608106</v>
      </c>
    </row>
    <row r="109" spans="1:7" s="370" customFormat="1" x14ac:dyDescent="0.35">
      <c r="A109" s="1069" t="s">
        <v>3137</v>
      </c>
      <c r="B109" s="370">
        <v>0.2904058120279519</v>
      </c>
      <c r="C109" s="370">
        <v>0.30136025729984284</v>
      </c>
      <c r="D109" s="370">
        <v>0.31318770244584504</v>
      </c>
      <c r="E109" s="370">
        <v>0.32460673234941584</v>
      </c>
      <c r="F109" s="370">
        <v>0.33267953772806891</v>
      </c>
      <c r="G109" s="370">
        <v>0.33680637322363394</v>
      </c>
    </row>
    <row r="110" spans="1:7" s="370" customFormat="1" x14ac:dyDescent="0.35">
      <c r="A110" s="1069" t="s">
        <v>3138</v>
      </c>
      <c r="B110" s="370">
        <v>0.35571447602519934</v>
      </c>
      <c r="C110" s="370">
        <v>0.36884217122126828</v>
      </c>
      <c r="D110" s="370">
        <v>0.38138473390728506</v>
      </c>
      <c r="E110" s="370">
        <v>0.39279804013011338</v>
      </c>
      <c r="F110" s="370">
        <v>0.40030699379089241</v>
      </c>
      <c r="G110" s="370">
        <v>0.40320799655603273</v>
      </c>
    </row>
    <row r="111" spans="1:7" s="370" customFormat="1" x14ac:dyDescent="0.35">
      <c r="A111" s="1069" t="s">
        <v>3139</v>
      </c>
      <c r="B111" s="370">
        <v>0.42319638994662484</v>
      </c>
      <c r="C111" s="370">
        <v>0.43703920268270829</v>
      </c>
      <c r="D111" s="370">
        <v>0.44957604168798271</v>
      </c>
      <c r="E111" s="370">
        <v>0.46042549619293677</v>
      </c>
      <c r="F111" s="370">
        <v>0.46670861712329109</v>
      </c>
      <c r="G111" s="370">
        <v>0.46835903358946002</v>
      </c>
    </row>
    <row r="112" spans="1:7" s="370" customFormat="1" x14ac:dyDescent="0.35">
      <c r="A112" s="1069" t="s">
        <v>3140</v>
      </c>
      <c r="B112" s="370">
        <v>0.49139342140806486</v>
      </c>
      <c r="C112" s="370">
        <v>0.50523051046340595</v>
      </c>
      <c r="D112" s="370">
        <v>0.5172034977508061</v>
      </c>
      <c r="E112" s="370">
        <v>0.52682711952533567</v>
      </c>
      <c r="F112" s="370">
        <v>0.53185965415671843</v>
      </c>
      <c r="G112" s="370">
        <v>0.53244405270962969</v>
      </c>
    </row>
    <row r="113" spans="1:7" s="370" customFormat="1" x14ac:dyDescent="0.35">
      <c r="A113" s="1069" t="s">
        <v>3141</v>
      </c>
      <c r="B113" s="370">
        <v>0.55958472918876256</v>
      </c>
      <c r="C113" s="370">
        <v>0.57285796652622933</v>
      </c>
      <c r="D113" s="370">
        <v>0.58360512108320495</v>
      </c>
      <c r="E113" s="370">
        <v>0.59197815655876285</v>
      </c>
      <c r="F113" s="370">
        <v>0.59594467327688805</v>
      </c>
      <c r="G113" s="370">
        <v>0.59361940274051828</v>
      </c>
    </row>
    <row r="114" spans="1:7" s="370" customFormat="1" x14ac:dyDescent="0.35">
      <c r="A114" s="1069" t="s">
        <v>3142</v>
      </c>
      <c r="B114" s="370">
        <v>3.91956813789721E-2</v>
      </c>
      <c r="C114" s="370">
        <v>3.937304636582889E-2</v>
      </c>
      <c r="D114" s="370">
        <v>3.945652237943411E-2</v>
      </c>
      <c r="E114" s="370">
        <v>4.0314816762107873E-2</v>
      </c>
      <c r="F114" s="370">
        <v>4.1519870228215142E-2</v>
      </c>
      <c r="G114" s="370">
        <v>4.1717251220526781E-2</v>
      </c>
    </row>
    <row r="115" spans="1:7" s="370" customFormat="1" x14ac:dyDescent="0.35">
      <c r="A115" s="1069" t="s">
        <v>3143</v>
      </c>
      <c r="B115" s="370">
        <v>0.41169829046887413</v>
      </c>
      <c r="C115" s="370">
        <v>0.41388702505649649</v>
      </c>
      <c r="D115" s="370">
        <v>0.41544923259055555</v>
      </c>
      <c r="E115" s="370">
        <v>0.41682789726854408</v>
      </c>
      <c r="F115" s="370">
        <v>0.41553330132338623</v>
      </c>
      <c r="G115" s="370">
        <v>0.41122415031182757</v>
      </c>
    </row>
    <row r="116" spans="1:7" s="370" customFormat="1" x14ac:dyDescent="0.35">
      <c r="A116" s="1069" t="s">
        <v>3144</v>
      </c>
      <c r="B116" s="370">
        <v>0.45308270643546861</v>
      </c>
      <c r="C116" s="370">
        <v>0.45482227895638461</v>
      </c>
      <c r="D116" s="370">
        <v>0.45628441964797811</v>
      </c>
      <c r="E116" s="370">
        <v>0.45584811808549408</v>
      </c>
      <c r="F116" s="370">
        <v>0.45274402054004259</v>
      </c>
      <c r="G116" s="370">
        <v>0.44707926500537787</v>
      </c>
    </row>
    <row r="117" spans="1:7" s="370" customFormat="1" x14ac:dyDescent="0.35">
      <c r="A117" s="1069" t="s">
        <v>3145</v>
      </c>
      <c r="B117" s="370">
        <v>0.49401796033535661</v>
      </c>
      <c r="C117" s="370">
        <v>0.49565746601380695</v>
      </c>
      <c r="D117" s="370">
        <v>0.49530464046492817</v>
      </c>
      <c r="E117" s="370">
        <v>0.4930588373021505</v>
      </c>
      <c r="F117" s="370">
        <v>0.488599135233593</v>
      </c>
      <c r="G117" s="370">
        <v>0.48163232747227369</v>
      </c>
    </row>
    <row r="118" spans="1:7" s="370" customFormat="1" x14ac:dyDescent="0.35">
      <c r="A118" s="1069" t="s">
        <v>3146</v>
      </c>
      <c r="B118" s="370">
        <v>0.53485314739277912</v>
      </c>
      <c r="C118" s="370">
        <v>0.53467768683075712</v>
      </c>
      <c r="D118" s="370">
        <v>0.53251535968158459</v>
      </c>
      <c r="E118" s="370">
        <v>0.5289139519957009</v>
      </c>
      <c r="F118" s="370">
        <v>0.52315219770048882</v>
      </c>
      <c r="G118" s="370">
        <v>0.5148587489932428</v>
      </c>
    </row>
    <row r="119" spans="1:7" s="370" customFormat="1" x14ac:dyDescent="0.35">
      <c r="A119" s="1069" t="s">
        <v>3147</v>
      </c>
      <c r="B119" s="370">
        <v>0.57387336820972912</v>
      </c>
      <c r="C119" s="370">
        <v>0.57188840604741364</v>
      </c>
      <c r="D119" s="370">
        <v>0.5683704743751351</v>
      </c>
      <c r="E119" s="370">
        <v>0.56346701446259673</v>
      </c>
      <c r="F119" s="370">
        <v>0.55637861922145804</v>
      </c>
      <c r="G119" s="370">
        <v>0.54692673907309586</v>
      </c>
    </row>
    <row r="120" spans="1:7" s="370" customFormat="1" x14ac:dyDescent="0.35">
      <c r="A120" s="1069" t="s">
        <v>3148</v>
      </c>
      <c r="B120" s="370">
        <v>0.61108408742638565</v>
      </c>
      <c r="C120" s="370">
        <v>0.60774352074096383</v>
      </c>
      <c r="D120" s="370">
        <v>0.60292353684203093</v>
      </c>
      <c r="E120" s="370">
        <v>0.59669343598356595</v>
      </c>
      <c r="F120" s="370">
        <v>0.5884466093013111</v>
      </c>
      <c r="G120" s="370">
        <v>0.57787925061217049</v>
      </c>
    </row>
    <row r="121" spans="1:7" s="370" customFormat="1" x14ac:dyDescent="0.35">
      <c r="A121" s="1069" t="s">
        <v>3149</v>
      </c>
      <c r="B121" s="370">
        <v>0.64693920211993594</v>
      </c>
      <c r="C121" s="370">
        <v>0.64229658320785965</v>
      </c>
      <c r="D121" s="370">
        <v>0.63614995836300003</v>
      </c>
      <c r="E121" s="370">
        <v>0.628761426063419</v>
      </c>
      <c r="F121" s="370">
        <v>0.61939912084038573</v>
      </c>
      <c r="G121" s="370">
        <v>0.6077575345738262</v>
      </c>
    </row>
    <row r="122" spans="1:7" s="370" customFormat="1" x14ac:dyDescent="0.35">
      <c r="A122" s="1069" t="s">
        <v>3150</v>
      </c>
      <c r="B122" s="370">
        <v>0.68149226458683165</v>
      </c>
      <c r="C122" s="370">
        <v>0.67552300472882898</v>
      </c>
      <c r="D122" s="370">
        <v>0.66821794844285298</v>
      </c>
      <c r="E122" s="370">
        <v>0.65971393760249353</v>
      </c>
      <c r="F122" s="370">
        <v>0.64927740480204121</v>
      </c>
      <c r="G122" s="370">
        <v>0.63660121182294571</v>
      </c>
    </row>
    <row r="123" spans="1:7" s="370" customFormat="1" x14ac:dyDescent="0.35">
      <c r="A123" s="1069" t="s">
        <v>3151</v>
      </c>
      <c r="B123" s="370">
        <v>0.7147186861078012</v>
      </c>
      <c r="C123" s="370">
        <v>0.70759099480868204</v>
      </c>
      <c r="D123" s="370">
        <v>0.69917045998192762</v>
      </c>
      <c r="E123" s="370">
        <v>0.68959222156414912</v>
      </c>
      <c r="F123" s="370">
        <v>0.67812108205116084</v>
      </c>
      <c r="G123" s="370">
        <v>0.66444834176546363</v>
      </c>
    </row>
    <row r="124" spans="1:7" s="370" customFormat="1" x14ac:dyDescent="0.35">
      <c r="A124" s="1069" t="s">
        <v>3152</v>
      </c>
      <c r="B124" s="370">
        <v>0.74678667618765404</v>
      </c>
      <c r="C124" s="370">
        <v>0.73854350634775678</v>
      </c>
      <c r="D124" s="370">
        <v>0.7290487439435831</v>
      </c>
      <c r="E124" s="370">
        <v>0.71843589881326897</v>
      </c>
      <c r="F124" s="370">
        <v>0.70596821199367887</v>
      </c>
      <c r="G124" s="370">
        <v>0.69133548793732025</v>
      </c>
    </row>
    <row r="125" spans="1:7" s="370" customFormat="1" x14ac:dyDescent="0.35">
      <c r="A125" s="1069" t="s">
        <v>3153</v>
      </c>
      <c r="B125" s="370">
        <v>7.8568727744800976E-2</v>
      </c>
      <c r="C125" s="370">
        <v>7.8829568745263007E-2</v>
      </c>
      <c r="D125" s="370">
        <v>7.9771339141541983E-2</v>
      </c>
      <c r="E125" s="370">
        <v>8.1834686990323036E-2</v>
      </c>
      <c r="F125" s="370">
        <v>8.323712144874193E-2</v>
      </c>
      <c r="G125" s="370">
        <v>8.4565219123947266E-2</v>
      </c>
    </row>
    <row r="126" spans="1:7" s="370" customFormat="1" x14ac:dyDescent="0.35">
      <c r="A126" s="1069" t="s">
        <v>3154</v>
      </c>
      <c r="B126" s="370">
        <v>0.77773918772672868</v>
      </c>
      <c r="C126" s="370">
        <v>0.76842179030941193</v>
      </c>
      <c r="D126" s="370">
        <v>0.75789242119270284</v>
      </c>
      <c r="E126" s="370">
        <v>0.74628302875578667</v>
      </c>
      <c r="F126" s="370">
        <v>0.73285535816553538</v>
      </c>
      <c r="G126" s="370">
        <v>0.71729778068416283</v>
      </c>
    </row>
    <row r="127" spans="1:7" s="370" customFormat="1" x14ac:dyDescent="0.35">
      <c r="A127" s="1069" t="s">
        <v>3155</v>
      </c>
      <c r="B127" s="370">
        <v>0.80761747168838416</v>
      </c>
      <c r="C127" s="370">
        <v>0.79726546755853167</v>
      </c>
      <c r="D127" s="370">
        <v>0.78573955113522076</v>
      </c>
      <c r="E127" s="370">
        <v>0.77317017492764328</v>
      </c>
      <c r="F127" s="370">
        <v>0.75881765091237807</v>
      </c>
      <c r="G127" s="370">
        <v>0.74180206831686035</v>
      </c>
    </row>
    <row r="128" spans="1:7" s="370" customFormat="1" x14ac:dyDescent="0.35">
      <c r="A128" s="1069" t="s">
        <v>3156</v>
      </c>
      <c r="B128" s="370">
        <v>0.83646114893750378</v>
      </c>
      <c r="C128" s="370">
        <v>0.82511259750104959</v>
      </c>
      <c r="D128" s="370">
        <v>0.81262669730707726</v>
      </c>
      <c r="E128" s="370">
        <v>0.79913246767448598</v>
      </c>
      <c r="F128" s="370">
        <v>0.78332193854507537</v>
      </c>
      <c r="G128" s="370">
        <v>0.76493023031091145</v>
      </c>
    </row>
    <row r="129" spans="1:7" s="370" customFormat="1" x14ac:dyDescent="0.35">
      <c r="A129" s="1069" t="s">
        <v>3157</v>
      </c>
      <c r="B129" s="370">
        <v>0.86430827888002193</v>
      </c>
      <c r="C129" s="370">
        <v>0.85199974367290632</v>
      </c>
      <c r="D129" s="370">
        <v>0.83858899005392029</v>
      </c>
      <c r="E129" s="370">
        <v>0.8236367553071835</v>
      </c>
      <c r="F129" s="370">
        <v>0.8064501005391268</v>
      </c>
      <c r="G129" s="370">
        <v>0.78675954790793956</v>
      </c>
    </row>
    <row r="130" spans="1:7" s="370" customFormat="1" x14ac:dyDescent="0.35">
      <c r="A130" s="1069" t="s">
        <v>3158</v>
      </c>
      <c r="B130" s="370">
        <v>0.8911954250518781</v>
      </c>
      <c r="C130" s="370">
        <v>0.87796203641974901</v>
      </c>
      <c r="D130" s="370">
        <v>0.86309327768661737</v>
      </c>
      <c r="E130" s="370">
        <v>0.8467649173012346</v>
      </c>
      <c r="F130" s="370">
        <v>0.82827941813615458</v>
      </c>
      <c r="G130" s="370">
        <v>0.80736296234590843</v>
      </c>
    </row>
    <row r="131" spans="1:7" s="370" customFormat="1" x14ac:dyDescent="0.35">
      <c r="A131" s="1069" t="s">
        <v>3159</v>
      </c>
      <c r="B131" s="370">
        <v>0.91715771779872124</v>
      </c>
      <c r="C131" s="370">
        <v>0.90246632405244631</v>
      </c>
      <c r="D131" s="370">
        <v>0.88622143968066858</v>
      </c>
      <c r="E131" s="370">
        <v>0.86859423489826248</v>
      </c>
      <c r="F131" s="370">
        <v>0.84888283257412334</v>
      </c>
      <c r="G131" s="370">
        <v>0.8268093185875024</v>
      </c>
    </row>
    <row r="132" spans="1:7" s="370" customFormat="1" x14ac:dyDescent="0.35">
      <c r="A132" s="1069" t="s">
        <v>3160</v>
      </c>
      <c r="B132" s="370">
        <v>0.11802525012423508</v>
      </c>
      <c r="C132" s="370">
        <v>0.11914438550737085</v>
      </c>
      <c r="D132" s="370">
        <v>0.12129120936975714</v>
      </c>
      <c r="E132" s="370">
        <v>0.12355193821084981</v>
      </c>
      <c r="F132" s="370">
        <v>0.12608508935216239</v>
      </c>
      <c r="G132" s="370">
        <v>0.12731211598657674</v>
      </c>
    </row>
    <row r="133" spans="1:7" s="370" customFormat="1" x14ac:dyDescent="0.35">
      <c r="A133" s="1069" t="s">
        <v>3161</v>
      </c>
      <c r="B133" s="370">
        <v>0.15834006688634297</v>
      </c>
      <c r="C133" s="370">
        <v>0.16066425573558599</v>
      </c>
      <c r="D133" s="370">
        <v>0.16300846059028393</v>
      </c>
      <c r="E133" s="370">
        <v>0.16639990611427022</v>
      </c>
      <c r="F133" s="370">
        <v>0.1688319862147919</v>
      </c>
      <c r="G133" s="370">
        <v>0.16977022948918605</v>
      </c>
    </row>
    <row r="134" spans="1:7" s="370" customFormat="1" x14ac:dyDescent="0.35">
      <c r="A134" s="1069" t="s">
        <v>3162</v>
      </c>
      <c r="B134" s="370">
        <v>0.19985993711455813</v>
      </c>
      <c r="C134" s="370">
        <v>0.20238150695611282</v>
      </c>
      <c r="D134" s="370">
        <v>0.20585642849370434</v>
      </c>
      <c r="E134" s="370">
        <v>0.20914680297689972</v>
      </c>
      <c r="F134" s="370">
        <v>0.21129009971740118</v>
      </c>
      <c r="G134" s="370">
        <v>0.21183835335431597</v>
      </c>
    </row>
    <row r="135" spans="1:7" s="370" customFormat="1" x14ac:dyDescent="0.35">
      <c r="A135" s="1069" t="s">
        <v>3163</v>
      </c>
      <c r="B135" s="370">
        <v>0.2415771883350849</v>
      </c>
      <c r="C135" s="370">
        <v>0.24522947485953325</v>
      </c>
      <c r="D135" s="370">
        <v>0.24860332535633384</v>
      </c>
      <c r="E135" s="370">
        <v>0.25160491647950911</v>
      </c>
      <c r="F135" s="370">
        <v>0.25335822358253113</v>
      </c>
      <c r="G135" s="370">
        <v>0.25322276932091048</v>
      </c>
    </row>
    <row r="136" spans="1:7" s="370" customFormat="1" x14ac:dyDescent="0.35">
      <c r="A136" s="1069" t="s">
        <v>3164</v>
      </c>
      <c r="B136" s="370">
        <v>0.28442515623850539</v>
      </c>
      <c r="C136" s="370">
        <v>0.28797637172216278</v>
      </c>
      <c r="D136" s="370">
        <v>0.2910614388589432</v>
      </c>
      <c r="E136" s="370">
        <v>0.29367304034463904</v>
      </c>
      <c r="F136" s="370">
        <v>0.29474263954912561</v>
      </c>
      <c r="G136" s="370">
        <v>0.29415802322079854</v>
      </c>
    </row>
    <row r="137" spans="1:7" s="370" customFormat="1" x14ac:dyDescent="0.35">
      <c r="A137" s="1069" t="s">
        <v>3165</v>
      </c>
      <c r="B137" s="370">
        <v>0.3271720531011349</v>
      </c>
      <c r="C137" s="370">
        <v>0.33043448522477203</v>
      </c>
      <c r="D137" s="370">
        <v>0.33312956272407307</v>
      </c>
      <c r="E137" s="370">
        <v>0.33505745631123346</v>
      </c>
      <c r="F137" s="370">
        <v>0.33567789344901366</v>
      </c>
      <c r="G137" s="370">
        <v>0.33499321027822099</v>
      </c>
    </row>
    <row r="138" spans="1:7" s="370" customFormat="1" x14ac:dyDescent="0.35">
      <c r="A138" s="1069" t="s">
        <v>3166</v>
      </c>
      <c r="B138" s="370">
        <v>0.36963016660374426</v>
      </c>
      <c r="C138" s="370">
        <v>0.37250260908990196</v>
      </c>
      <c r="D138" s="370">
        <v>0.3745139786906676</v>
      </c>
      <c r="E138" s="370">
        <v>0.37599271021112152</v>
      </c>
      <c r="F138" s="370">
        <v>0.37651308050643623</v>
      </c>
      <c r="G138" s="370">
        <v>0.37401343109517099</v>
      </c>
    </row>
    <row r="139" spans="1:7" s="370" customFormat="1" x14ac:dyDescent="0.35">
      <c r="A139" s="1069" t="s">
        <v>3167</v>
      </c>
      <c r="B139" s="370">
        <v>3.717270026740057E-2</v>
      </c>
      <c r="C139" s="370">
        <v>3.7260788802700673E-2</v>
      </c>
      <c r="D139" s="370">
        <v>3.7263369366945936E-2</v>
      </c>
      <c r="E139" s="370">
        <v>3.7913952583004541E-2</v>
      </c>
      <c r="F139" s="370">
        <v>3.8926779014634247E-2</v>
      </c>
      <c r="G139" s="370">
        <v>3.8997369484853335E-2</v>
      </c>
    </row>
    <row r="140" spans="1:7" s="370" customFormat="1" x14ac:dyDescent="0.35">
      <c r="A140" s="1069" t="s">
        <v>3168</v>
      </c>
      <c r="B140" s="370">
        <v>0.3861714612897893</v>
      </c>
      <c r="C140" s="370">
        <v>0.38756233622430547</v>
      </c>
      <c r="D140" s="370">
        <v>0.3884868469165455</v>
      </c>
      <c r="E140" s="370">
        <v>0.38938434256491317</v>
      </c>
      <c r="F140" s="370">
        <v>0.38793981347271622</v>
      </c>
      <c r="G140" s="370">
        <v>0.38379822097069716</v>
      </c>
    </row>
    <row r="141" spans="1:7" s="370" customFormat="1" x14ac:dyDescent="0.35">
      <c r="A141" s="1069" t="s">
        <v>3169</v>
      </c>
      <c r="B141" s="370">
        <v>0.42473503649170596</v>
      </c>
      <c r="C141" s="370">
        <v>0.42574763571924618</v>
      </c>
      <c r="D141" s="370">
        <v>0.42664771193185913</v>
      </c>
      <c r="E141" s="370">
        <v>0.42585376605572084</v>
      </c>
      <c r="F141" s="370">
        <v>0.42272499998533136</v>
      </c>
      <c r="G141" s="370">
        <v>0.41734024617586168</v>
      </c>
    </row>
    <row r="142" spans="1:7" s="370" customFormat="1" x14ac:dyDescent="0.35">
      <c r="A142" s="1069" t="s">
        <v>3170</v>
      </c>
      <c r="B142" s="370">
        <v>0.46292033598664667</v>
      </c>
      <c r="C142" s="370">
        <v>0.46390850073455975</v>
      </c>
      <c r="D142" s="370">
        <v>0.46311713542266691</v>
      </c>
      <c r="E142" s="370">
        <v>0.46063895256833587</v>
      </c>
      <c r="F142" s="370">
        <v>0.456267025190496</v>
      </c>
      <c r="G142" s="370">
        <v>0.44968674679638199</v>
      </c>
    </row>
    <row r="143" spans="1:7" s="370" customFormat="1" x14ac:dyDescent="0.35">
      <c r="A143" s="1069" t="s">
        <v>3171</v>
      </c>
      <c r="B143" s="370">
        <v>0.5010812010019603</v>
      </c>
      <c r="C143" s="370">
        <v>0.50037792422536753</v>
      </c>
      <c r="D143" s="370">
        <v>0.49790232193528189</v>
      </c>
      <c r="E143" s="370">
        <v>0.49418097777350051</v>
      </c>
      <c r="F143" s="370">
        <v>0.48861352581101619</v>
      </c>
      <c r="G143" s="370">
        <v>0.48080752150290035</v>
      </c>
    </row>
    <row r="144" spans="1:7" s="370" customFormat="1" x14ac:dyDescent="0.35">
      <c r="A144" s="1069" t="s">
        <v>3172</v>
      </c>
      <c r="B144" s="370">
        <v>0.53755062449276803</v>
      </c>
      <c r="C144" s="370">
        <v>0.53516311073798262</v>
      </c>
      <c r="D144" s="370">
        <v>0.53144434714044642</v>
      </c>
      <c r="E144" s="370">
        <v>0.5265274783940207</v>
      </c>
      <c r="F144" s="370">
        <v>0.51973430051753466</v>
      </c>
      <c r="G144" s="370">
        <v>0.51085994163948656</v>
      </c>
    </row>
    <row r="145" spans="1:7" x14ac:dyDescent="0.35">
      <c r="A145" s="1069" t="s">
        <v>3173</v>
      </c>
      <c r="B145" s="370">
        <v>0.57233581100538333</v>
      </c>
      <c r="C145" s="370">
        <v>0.56870513594314709</v>
      </c>
      <c r="D145" s="370">
        <v>0.56379084776096666</v>
      </c>
      <c r="E145" s="370">
        <v>0.55764825310053912</v>
      </c>
      <c r="F145" s="370">
        <v>0.54978672065412093</v>
      </c>
      <c r="G145" s="370">
        <v>0.53988292702330209</v>
      </c>
    </row>
    <row r="146" spans="1:7" x14ac:dyDescent="0.35">
      <c r="A146" s="1069" t="s">
        <v>3174</v>
      </c>
      <c r="B146" s="370">
        <v>0.6058778362105478</v>
      </c>
      <c r="C146" s="370">
        <v>0.60105163656366745</v>
      </c>
      <c r="D146" s="370">
        <v>0.59491162246748508</v>
      </c>
      <c r="E146" s="370">
        <v>0.58770067323712538</v>
      </c>
      <c r="F146" s="370">
        <v>0.57880970603793647</v>
      </c>
      <c r="G146" s="370">
        <v>0.56791388261572229</v>
      </c>
    </row>
    <row r="147" spans="1:7" x14ac:dyDescent="0.35">
      <c r="A147" s="1069" t="s">
        <v>3175</v>
      </c>
      <c r="B147" s="370">
        <v>0.63822433683106805</v>
      </c>
      <c r="C147" s="370">
        <v>0.63217241127018586</v>
      </c>
      <c r="D147" s="370">
        <v>0.62496404260407135</v>
      </c>
      <c r="E147" s="370">
        <v>0.61672365862094092</v>
      </c>
      <c r="F147" s="370">
        <v>0.60684066163035666</v>
      </c>
      <c r="G147" s="370">
        <v>0.5949887614550351</v>
      </c>
    </row>
    <row r="148" spans="1:7" x14ac:dyDescent="0.35">
      <c r="A148" s="1069" t="s">
        <v>3176</v>
      </c>
      <c r="B148" s="370">
        <v>0.66934511153758625</v>
      </c>
      <c r="C148" s="370">
        <v>0.66222483140677191</v>
      </c>
      <c r="D148" s="370">
        <v>0.65398702798788677</v>
      </c>
      <c r="E148" s="370">
        <v>0.644754614213361</v>
      </c>
      <c r="F148" s="370">
        <v>0.63391554046966936</v>
      </c>
      <c r="G148" s="370">
        <v>0.621142124821912</v>
      </c>
    </row>
    <row r="149" spans="1:7" x14ac:dyDescent="0.35">
      <c r="A149" s="1069" t="s">
        <v>3177</v>
      </c>
      <c r="B149" s="370">
        <v>0.69939753167417273</v>
      </c>
      <c r="C149" s="370">
        <v>0.69124781679058778</v>
      </c>
      <c r="D149" s="370">
        <v>0.68201798358030696</v>
      </c>
      <c r="E149" s="370">
        <v>0.67182949305267381</v>
      </c>
      <c r="F149" s="370">
        <v>0.66006890383654637</v>
      </c>
      <c r="G149" s="370">
        <v>0.64640719976485861</v>
      </c>
    </row>
    <row r="150" spans="1:7" x14ac:dyDescent="0.35">
      <c r="A150" s="1069" t="s">
        <v>3178</v>
      </c>
      <c r="B150" s="370">
        <v>7.4433489070101222E-2</v>
      </c>
      <c r="C150" s="370">
        <v>7.4524158169646623E-2</v>
      </c>
      <c r="D150" s="370">
        <v>7.5177321949950485E-2</v>
      </c>
      <c r="E150" s="370">
        <v>7.6840731597638795E-2</v>
      </c>
      <c r="F150" s="370">
        <v>7.7924148499487575E-2</v>
      </c>
      <c r="G150" s="370">
        <v>7.9021100708241657E-2</v>
      </c>
    </row>
    <row r="151" spans="1:7" x14ac:dyDescent="0.35">
      <c r="A151" s="1069" t="s">
        <v>3179</v>
      </c>
      <c r="B151" s="370">
        <v>0.72842051705798827</v>
      </c>
      <c r="C151" s="370">
        <v>0.71927877238300764</v>
      </c>
      <c r="D151" s="370">
        <v>0.70909286241961988</v>
      </c>
      <c r="E151" s="370">
        <v>0.69798285641955082</v>
      </c>
      <c r="F151" s="370">
        <v>0.68533397877949287</v>
      </c>
      <c r="G151" s="370">
        <v>0.67081593410681906</v>
      </c>
    </row>
    <row r="152" spans="1:7" x14ac:dyDescent="0.35">
      <c r="A152" s="1069" t="s">
        <v>3180</v>
      </c>
      <c r="B152" s="370">
        <v>0.75645147265040824</v>
      </c>
      <c r="C152" s="370">
        <v>0.74635365122232056</v>
      </c>
      <c r="D152" s="370">
        <v>0.73524622578649668</v>
      </c>
      <c r="E152" s="370">
        <v>0.72324793136249765</v>
      </c>
      <c r="F152" s="370">
        <v>0.70974271312145332</v>
      </c>
      <c r="G152" s="370">
        <v>0.69385390894585697</v>
      </c>
    </row>
    <row r="153" spans="1:7" x14ac:dyDescent="0.35">
      <c r="A153" s="1069" t="s">
        <v>3181</v>
      </c>
      <c r="B153" s="370">
        <v>0.78352635148972105</v>
      </c>
      <c r="C153" s="370">
        <v>0.77250701458919735</v>
      </c>
      <c r="D153" s="370">
        <v>0.76051130072944328</v>
      </c>
      <c r="E153" s="370">
        <v>0.7476566657044581</v>
      </c>
      <c r="F153" s="370">
        <v>0.73278068796049112</v>
      </c>
      <c r="G153" s="370">
        <v>0.71559810416911107</v>
      </c>
    </row>
    <row r="154" spans="1:7" x14ac:dyDescent="0.35">
      <c r="A154" s="1069" t="s">
        <v>3182</v>
      </c>
      <c r="B154" s="370">
        <v>0.80967971485659784</v>
      </c>
      <c r="C154" s="370">
        <v>0.79777208953214385</v>
      </c>
      <c r="D154" s="370">
        <v>0.78492003507140373</v>
      </c>
      <c r="E154" s="370">
        <v>0.77069464054349546</v>
      </c>
      <c r="F154" s="370">
        <v>0.75452488318374522</v>
      </c>
      <c r="G154" s="370">
        <v>0.73612117658369736</v>
      </c>
    </row>
    <row r="155" spans="1:7" x14ac:dyDescent="0.35">
      <c r="A155" s="1069" t="s">
        <v>3183</v>
      </c>
      <c r="B155" s="370">
        <v>0.83494478979954445</v>
      </c>
      <c r="C155" s="370">
        <v>0.82218082387410441</v>
      </c>
      <c r="D155" s="370">
        <v>0.80795800991044153</v>
      </c>
      <c r="E155" s="370">
        <v>0.79243883576674967</v>
      </c>
      <c r="F155" s="370">
        <v>0.7750479555983314</v>
      </c>
      <c r="G155" s="370">
        <v>0.75549170269468002</v>
      </c>
    </row>
    <row r="156" spans="1:7" x14ac:dyDescent="0.35">
      <c r="A156" s="1069" t="s">
        <v>3184</v>
      </c>
      <c r="B156" s="370">
        <v>0.85935352414150512</v>
      </c>
      <c r="C156" s="370">
        <v>0.84521879871314221</v>
      </c>
      <c r="D156" s="370">
        <v>0.82970220513369575</v>
      </c>
      <c r="E156" s="370">
        <v>0.81296190818133596</v>
      </c>
      <c r="F156" s="370">
        <v>0.79441848170931428</v>
      </c>
      <c r="G156" s="370">
        <v>0.77377440784898199</v>
      </c>
    </row>
    <row r="157" spans="1:7" x14ac:dyDescent="0.35">
      <c r="A157" s="1069" t="s">
        <v>3185</v>
      </c>
      <c r="B157" s="370">
        <v>0.11169685843704717</v>
      </c>
      <c r="C157" s="370">
        <v>0.11243811075265117</v>
      </c>
      <c r="D157" s="370">
        <v>0.11410410096458473</v>
      </c>
      <c r="E157" s="370">
        <v>0.1158381010824921</v>
      </c>
      <c r="F157" s="370">
        <v>0.11794787972287593</v>
      </c>
      <c r="G157" s="370">
        <v>0.11888397951768309</v>
      </c>
    </row>
    <row r="158" spans="1:7" x14ac:dyDescent="0.35">
      <c r="A158" s="1069" t="s">
        <v>3186</v>
      </c>
      <c r="B158" s="370">
        <v>0.14961081102005172</v>
      </c>
      <c r="C158" s="370">
        <v>0.15136488976728543</v>
      </c>
      <c r="D158" s="370">
        <v>0.15310147044943806</v>
      </c>
      <c r="E158" s="370">
        <v>0.15586183230588047</v>
      </c>
      <c r="F158" s="370">
        <v>0.15781075853231735</v>
      </c>
      <c r="G158" s="370">
        <v>0.15844298068256429</v>
      </c>
    </row>
    <row r="159" spans="1:7" x14ac:dyDescent="0.35">
      <c r="A159" s="1069" t="s">
        <v>3187</v>
      </c>
      <c r="B159" s="370">
        <v>0.18853759003468595</v>
      </c>
      <c r="C159" s="370">
        <v>0.19036225925213873</v>
      </c>
      <c r="D159" s="370">
        <v>0.19312520167282637</v>
      </c>
      <c r="E159" s="370">
        <v>0.19572471111532189</v>
      </c>
      <c r="F159" s="370">
        <v>0.19736975969719855</v>
      </c>
      <c r="G159" s="370">
        <v>0.19763387125510329</v>
      </c>
    </row>
    <row r="160" spans="1:7" x14ac:dyDescent="0.35">
      <c r="A160" s="1069" t="s">
        <v>3188</v>
      </c>
      <c r="B160" s="370">
        <v>0.22753495951953934</v>
      </c>
      <c r="C160" s="370">
        <v>0.23038599047552705</v>
      </c>
      <c r="D160" s="370">
        <v>0.23298808048226788</v>
      </c>
      <c r="E160" s="370">
        <v>0.23528371228020312</v>
      </c>
      <c r="F160" s="370">
        <v>0.23656065026973755</v>
      </c>
      <c r="G160" s="370">
        <v>0.23619744645701998</v>
      </c>
    </row>
    <row r="161" spans="1:8" x14ac:dyDescent="0.35">
      <c r="A161" s="1069" t="s">
        <v>3189</v>
      </c>
      <c r="B161" s="370">
        <v>0.26755869074292765</v>
      </c>
      <c r="C161" s="370">
        <v>0.27024886928496861</v>
      </c>
      <c r="D161" s="370">
        <v>0.27254708164714903</v>
      </c>
      <c r="E161" s="370">
        <v>0.27447460285274217</v>
      </c>
      <c r="F161" s="370">
        <v>0.27512422547165422</v>
      </c>
      <c r="G161" s="370">
        <v>0.27438274595196077</v>
      </c>
    </row>
    <row r="162" spans="1:8" x14ac:dyDescent="0.35">
      <c r="A162" s="1069" t="s">
        <v>3190</v>
      </c>
      <c r="B162" s="370">
        <v>0.3074215695523691</v>
      </c>
      <c r="C162" s="370">
        <v>0.3098078704498497</v>
      </c>
      <c r="D162" s="370">
        <v>0.31173797221968808</v>
      </c>
      <c r="E162" s="370">
        <v>0.31303817805465872</v>
      </c>
      <c r="F162" s="370">
        <v>0.31330952496659503</v>
      </c>
      <c r="G162" s="370">
        <v>0.3125436109672744</v>
      </c>
    </row>
    <row r="163" spans="1:8" x14ac:dyDescent="0.35">
      <c r="A163" s="1069" t="s">
        <v>3191</v>
      </c>
      <c r="B163" s="370">
        <v>0.34698057071725025</v>
      </c>
      <c r="C163" s="370">
        <v>0.34899876102238869</v>
      </c>
      <c r="D163" s="370">
        <v>0.35030154742160469</v>
      </c>
      <c r="E163" s="370">
        <v>0.35122347754959954</v>
      </c>
      <c r="F163" s="370">
        <v>0.3514703899819086</v>
      </c>
      <c r="G163" s="370">
        <v>0.34901303445808202</v>
      </c>
    </row>
    <row r="164" spans="1:8" x14ac:dyDescent="0.35">
      <c r="A164" s="1070" t="s">
        <v>3192</v>
      </c>
      <c r="B164" s="1071">
        <v>3.4451814216411712E-2</v>
      </c>
      <c r="C164" s="1071">
        <v>3.450926719767191E-2</v>
      </c>
      <c r="D164" s="1071">
        <v>3.4488538255103847E-2</v>
      </c>
      <c r="E164" s="1071">
        <v>3.5042169404842165E-2</v>
      </c>
      <c r="F164" s="1071">
        <v>3.5941606421003816E-2</v>
      </c>
      <c r="G164" s="1071">
        <v>3.5971828991200987E-2</v>
      </c>
      <c r="H164" s="1071"/>
    </row>
    <row r="165" spans="1:8" x14ac:dyDescent="0.35">
      <c r="A165" s="1069" t="s">
        <v>3193</v>
      </c>
      <c r="B165" s="370">
        <v>0.35661382075334941</v>
      </c>
      <c r="C165" s="370">
        <v>0.35769612903942405</v>
      </c>
      <c r="D165" s="370">
        <v>0.35838479805823353</v>
      </c>
      <c r="E165" s="370">
        <v>0.35909282330252068</v>
      </c>
      <c r="F165" s="370">
        <v>0.35768859364680061</v>
      </c>
      <c r="G165" s="370">
        <v>0.35383359082802979</v>
      </c>
    </row>
    <row r="166" spans="1:8" x14ac:dyDescent="0.35">
      <c r="A166" s="1069" t="s">
        <v>3194</v>
      </c>
      <c r="B166" s="370">
        <v>0.39214794325583574</v>
      </c>
      <c r="C166" s="370">
        <v>0.39289406525590542</v>
      </c>
      <c r="D166" s="370">
        <v>0.39358136155762441</v>
      </c>
      <c r="E166" s="370">
        <v>0.39273076305164278</v>
      </c>
      <c r="F166" s="370">
        <v>0.38977519724903359</v>
      </c>
      <c r="G166" s="370">
        <v>0.38478085065742612</v>
      </c>
    </row>
    <row r="167" spans="1:8" x14ac:dyDescent="0.35">
      <c r="A167" s="1069" t="s">
        <v>3195</v>
      </c>
      <c r="B167" s="370">
        <v>0.42734587947231717</v>
      </c>
      <c r="C167" s="370">
        <v>0.42809062875529635</v>
      </c>
      <c r="D167" s="370">
        <v>0.42721930130674657</v>
      </c>
      <c r="E167" s="370">
        <v>0.42481736665387571</v>
      </c>
      <c r="F167" s="370">
        <v>0.42072245707842998</v>
      </c>
      <c r="G167" s="370">
        <v>0.41463196519749235</v>
      </c>
    </row>
    <row r="168" spans="1:8" x14ac:dyDescent="0.35">
      <c r="A168" s="1069" t="s">
        <v>3196</v>
      </c>
      <c r="B168" s="370">
        <v>0.4625424429717081</v>
      </c>
      <c r="C168" s="370">
        <v>0.46172856850441851</v>
      </c>
      <c r="D168" s="370">
        <v>0.4593059049089796</v>
      </c>
      <c r="E168" s="370">
        <v>0.45576462648327204</v>
      </c>
      <c r="F168" s="370">
        <v>0.45057357161849637</v>
      </c>
      <c r="G168" s="370">
        <v>0.4433568662379942</v>
      </c>
    </row>
    <row r="169" spans="1:8" x14ac:dyDescent="0.35">
      <c r="A169" s="1069" t="s">
        <v>3197</v>
      </c>
      <c r="B169" s="370">
        <v>0.49618038272083015</v>
      </c>
      <c r="C169" s="370">
        <v>0.49381517210665155</v>
      </c>
      <c r="D169" s="370">
        <v>0.49025316473837588</v>
      </c>
      <c r="E169" s="370">
        <v>0.48561574102333843</v>
      </c>
      <c r="F169" s="370">
        <v>0.47929847265899805</v>
      </c>
      <c r="G169" s="370">
        <v>0.47110075518856426</v>
      </c>
    </row>
    <row r="170" spans="1:8" x14ac:dyDescent="0.35">
      <c r="A170" s="1069" t="s">
        <v>3198</v>
      </c>
      <c r="B170" s="370">
        <v>0.52826698632306313</v>
      </c>
      <c r="C170" s="370">
        <v>0.52476243193604788</v>
      </c>
      <c r="D170" s="370">
        <v>0.52010427927844227</v>
      </c>
      <c r="E170" s="370">
        <v>0.51434064206384011</v>
      </c>
      <c r="F170" s="370">
        <v>0.50704236160956806</v>
      </c>
      <c r="G170" s="370">
        <v>0.49789915481696817</v>
      </c>
    </row>
    <row r="171" spans="1:8" x14ac:dyDescent="0.35">
      <c r="A171" s="1069" t="s">
        <v>3199</v>
      </c>
      <c r="B171" s="370">
        <v>0.55921424615245952</v>
      </c>
      <c r="C171" s="370">
        <v>0.55461354647611438</v>
      </c>
      <c r="D171" s="370">
        <v>0.54882918031894401</v>
      </c>
      <c r="E171" s="370">
        <v>0.54208453101441034</v>
      </c>
      <c r="F171" s="370">
        <v>0.53384076123797186</v>
      </c>
      <c r="G171" s="370">
        <v>0.52378621387560098</v>
      </c>
    </row>
    <row r="172" spans="1:8" x14ac:dyDescent="0.35">
      <c r="A172" s="1069" t="s">
        <v>3200</v>
      </c>
      <c r="B172" s="370">
        <v>0.58906536069252591</v>
      </c>
      <c r="C172" s="370">
        <v>0.58333844751661612</v>
      </c>
      <c r="D172" s="370">
        <v>0.57657306926951413</v>
      </c>
      <c r="E172" s="370">
        <v>0.56888293064281392</v>
      </c>
      <c r="F172" s="370">
        <v>0.55972782029660473</v>
      </c>
      <c r="G172" s="370">
        <v>0.54879476385855519</v>
      </c>
    </row>
    <row r="173" spans="1:8" x14ac:dyDescent="0.35">
      <c r="A173" s="1069" t="s">
        <v>3201</v>
      </c>
      <c r="B173" s="370">
        <v>0.61779026173302753</v>
      </c>
      <c r="C173" s="370">
        <v>0.61108233646718579</v>
      </c>
      <c r="D173" s="370">
        <v>0.60337146889791793</v>
      </c>
      <c r="E173" s="370">
        <v>0.59476998970144701</v>
      </c>
      <c r="F173" s="370">
        <v>0.58473637027955894</v>
      </c>
      <c r="G173" s="370">
        <v>0.57295637327450188</v>
      </c>
    </row>
    <row r="174" spans="1:8" x14ac:dyDescent="0.35">
      <c r="A174" s="1069" t="s">
        <v>3202</v>
      </c>
      <c r="B174" s="370">
        <v>0.64553415068359787</v>
      </c>
      <c r="C174" s="370">
        <v>0.63788073609558982</v>
      </c>
      <c r="D174" s="370">
        <v>0.62925852795655079</v>
      </c>
      <c r="E174" s="370">
        <v>0.61977853968440122</v>
      </c>
      <c r="F174" s="370">
        <v>0.60889797969550563</v>
      </c>
      <c r="G174" s="370">
        <v>0.59630139954920203</v>
      </c>
    </row>
    <row r="175" spans="1:8" x14ac:dyDescent="0.35">
      <c r="A175" s="1069" t="s">
        <v>3203</v>
      </c>
      <c r="B175" s="370">
        <v>6.8961081414083608E-2</v>
      </c>
      <c r="C175" s="370">
        <v>6.8997805452775743E-2</v>
      </c>
      <c r="D175" s="370">
        <v>6.9530707659946026E-2</v>
      </c>
      <c r="E175" s="370">
        <v>7.0983775825845988E-2</v>
      </c>
      <c r="F175" s="370">
        <v>7.191343541220481E-2</v>
      </c>
      <c r="G175" s="370">
        <v>7.288100875276475E-2</v>
      </c>
    </row>
    <row r="176" spans="1:8" x14ac:dyDescent="0.35">
      <c r="A176" s="1069" t="s">
        <v>3204</v>
      </c>
      <c r="B176" s="370">
        <v>0.67233255031200145</v>
      </c>
      <c r="C176" s="370">
        <v>0.66376779515422257</v>
      </c>
      <c r="D176" s="370">
        <v>0.654267077939505</v>
      </c>
      <c r="E176" s="370">
        <v>0.64394014910034791</v>
      </c>
      <c r="F176" s="370">
        <v>0.63224300597020566</v>
      </c>
      <c r="G176" s="370">
        <v>0.61885903866606806</v>
      </c>
    </row>
    <row r="177" spans="1:7" x14ac:dyDescent="0.35">
      <c r="A177" s="1069" t="s">
        <v>3205</v>
      </c>
      <c r="B177" s="370">
        <v>0.69821960937063443</v>
      </c>
      <c r="C177" s="370">
        <v>0.68877634513717689</v>
      </c>
      <c r="D177" s="370">
        <v>0.67842868735545148</v>
      </c>
      <c r="E177" s="370">
        <v>0.66728517537504783</v>
      </c>
      <c r="F177" s="370">
        <v>0.6548006450870717</v>
      </c>
      <c r="G177" s="370">
        <v>0.64014987313219929</v>
      </c>
    </row>
    <row r="178" spans="1:7" x14ac:dyDescent="0.35">
      <c r="A178" s="1069" t="s">
        <v>3206</v>
      </c>
      <c r="B178" s="370">
        <v>0.72322815935358853</v>
      </c>
      <c r="C178" s="370">
        <v>0.71293795455312359</v>
      </c>
      <c r="D178" s="370">
        <v>0.70177371363015173</v>
      </c>
      <c r="E178" s="370">
        <v>0.68984281449191398</v>
      </c>
      <c r="F178" s="370">
        <v>0.67609147955320326</v>
      </c>
      <c r="G178" s="370">
        <v>0.66024504487937385</v>
      </c>
    </row>
    <row r="179" spans="1:7" x14ac:dyDescent="0.35">
      <c r="A179" s="1069" t="s">
        <v>3207</v>
      </c>
      <c r="B179" s="370">
        <v>0.74738976876953522</v>
      </c>
      <c r="C179" s="370">
        <v>0.73628298082782373</v>
      </c>
      <c r="D179" s="370">
        <v>0.72433135274701788</v>
      </c>
      <c r="E179" s="370">
        <v>0.71113364895804543</v>
      </c>
      <c r="F179" s="370">
        <v>0.69618665130037771</v>
      </c>
      <c r="G179" s="370">
        <v>0.67921170061054381</v>
      </c>
    </row>
    <row r="180" spans="1:7" x14ac:dyDescent="0.35">
      <c r="A180" s="1069" t="s">
        <v>3208</v>
      </c>
      <c r="B180" s="370">
        <v>0.77073479504423537</v>
      </c>
      <c r="C180" s="370">
        <v>0.75884061994468976</v>
      </c>
      <c r="D180" s="370">
        <v>0.7456221872131491</v>
      </c>
      <c r="E180" s="370">
        <v>0.73122882070521944</v>
      </c>
      <c r="F180" s="370">
        <v>0.71515330703154745</v>
      </c>
      <c r="G180" s="370">
        <v>0.69711321616615474</v>
      </c>
    </row>
    <row r="181" spans="1:7" x14ac:dyDescent="0.35">
      <c r="A181" s="1069" t="s">
        <v>3209</v>
      </c>
      <c r="B181" s="370">
        <v>0.79329243416110162</v>
      </c>
      <c r="C181" s="370">
        <v>0.78013145441082132</v>
      </c>
      <c r="D181" s="370">
        <v>0.765717358960324</v>
      </c>
      <c r="E181" s="370">
        <v>0.75019547643638984</v>
      </c>
      <c r="F181" s="370">
        <v>0.73305482258715848</v>
      </c>
      <c r="G181" s="370">
        <v>0.7140094082903744</v>
      </c>
    </row>
    <row r="182" spans="1:7" x14ac:dyDescent="0.35">
      <c r="A182" s="1069" t="s">
        <v>3210</v>
      </c>
      <c r="B182" s="370">
        <v>0.10344961966918746</v>
      </c>
      <c r="C182" s="370">
        <v>0.10403997485761787</v>
      </c>
      <c r="D182" s="370">
        <v>0.10547231408094981</v>
      </c>
      <c r="E182" s="370">
        <v>0.10695560481704697</v>
      </c>
      <c r="F182" s="370">
        <v>0.10882261517376859</v>
      </c>
      <c r="G182" s="370">
        <v>0.10962148782058445</v>
      </c>
    </row>
    <row r="183" spans="1:7" x14ac:dyDescent="0.35">
      <c r="A183" s="1069" t="s">
        <v>3211</v>
      </c>
      <c r="B183" s="370">
        <v>0.13849178907402962</v>
      </c>
      <c r="C183" s="370">
        <v>0.13998158127862173</v>
      </c>
      <c r="D183" s="370">
        <v>0.14144414307215081</v>
      </c>
      <c r="E183" s="370">
        <v>0.14386478457861074</v>
      </c>
      <c r="F183" s="370">
        <v>0.14556309424158825</v>
      </c>
      <c r="G183" s="370">
        <v>0.14607127549206472</v>
      </c>
    </row>
    <row r="184" spans="1:7" x14ac:dyDescent="0.35">
      <c r="A184" s="1069" t="s">
        <v>3212</v>
      </c>
      <c r="B184" s="370">
        <v>0.17443339549503337</v>
      </c>
      <c r="C184" s="370">
        <v>0.17595341026982272</v>
      </c>
      <c r="D184" s="370">
        <v>0.17835332283371463</v>
      </c>
      <c r="E184" s="370">
        <v>0.18060526364643043</v>
      </c>
      <c r="F184" s="370">
        <v>0.18201288191306847</v>
      </c>
      <c r="G184" s="370">
        <v>0.1821804252583159</v>
      </c>
    </row>
    <row r="185" spans="1:7" x14ac:dyDescent="0.35">
      <c r="A185" s="1069" t="s">
        <v>3213</v>
      </c>
      <c r="B185" s="370">
        <v>0.21040522448623444</v>
      </c>
      <c r="C185" s="370">
        <v>0.21286259003138655</v>
      </c>
      <c r="D185" s="370">
        <v>0.21509380190153429</v>
      </c>
      <c r="E185" s="370">
        <v>0.2170550513179107</v>
      </c>
      <c r="F185" s="370">
        <v>0.21812203167931971</v>
      </c>
      <c r="G185" s="370">
        <v>0.21771454776080226</v>
      </c>
    </row>
    <row r="186" spans="1:7" x14ac:dyDescent="0.35">
      <c r="A186" s="1069" t="s">
        <v>3214</v>
      </c>
      <c r="B186" s="370">
        <v>0.24731440424779824</v>
      </c>
      <c r="C186" s="370">
        <v>0.24960306909920615</v>
      </c>
      <c r="D186" s="370">
        <v>0.25154358957301454</v>
      </c>
      <c r="E186" s="370">
        <v>0.25316420108416182</v>
      </c>
      <c r="F186" s="370">
        <v>0.25365615418180615</v>
      </c>
      <c r="G186" s="370">
        <v>0.25291248397728372</v>
      </c>
    </row>
    <row r="187" spans="1:7" x14ac:dyDescent="0.35">
      <c r="A187" s="1069" t="s">
        <v>3215</v>
      </c>
      <c r="B187" s="370">
        <v>0.28405488331561796</v>
      </c>
      <c r="C187" s="370">
        <v>0.28605285677068643</v>
      </c>
      <c r="D187" s="370">
        <v>0.28765273933926566</v>
      </c>
      <c r="E187" s="370">
        <v>0.28869832358664838</v>
      </c>
      <c r="F187" s="370">
        <v>0.28885409039828752</v>
      </c>
      <c r="G187" s="370">
        <v>0.28810904747667471</v>
      </c>
    </row>
    <row r="188" spans="1:7" x14ac:dyDescent="0.35">
      <c r="A188" s="1069" t="s">
        <v>3216</v>
      </c>
      <c r="B188" s="370">
        <v>0.32050467098709806</v>
      </c>
      <c r="C188" s="370">
        <v>0.32216200653693755</v>
      </c>
      <c r="D188" s="370">
        <v>0.32318686184175222</v>
      </c>
      <c r="E188" s="370">
        <v>0.32389625980312975</v>
      </c>
      <c r="F188" s="370">
        <v>0.3240506538976784</v>
      </c>
      <c r="G188" s="370">
        <v>0.32174698722579675</v>
      </c>
    </row>
    <row r="189" spans="1:7" x14ac:dyDescent="0.35">
      <c r="A189" s="1069" t="s">
        <v>3217</v>
      </c>
      <c r="B189" s="370">
        <v>3.9747968207380593E-2</v>
      </c>
      <c r="C189" s="370">
        <v>3.9986997605038738E-2</v>
      </c>
      <c r="D189" s="370">
        <v>4.0128204583551298E-2</v>
      </c>
      <c r="E189" s="370">
        <v>4.1119262723228071E-2</v>
      </c>
      <c r="F189" s="370">
        <v>4.2437316042793924E-2</v>
      </c>
      <c r="G189" s="370">
        <v>4.2723582414039327E-2</v>
      </c>
    </row>
    <row r="190" spans="1:7" x14ac:dyDescent="0.35">
      <c r="A190" s="1069" t="s">
        <v>3218</v>
      </c>
      <c r="B190" s="370">
        <v>0.42065844549038622</v>
      </c>
      <c r="C190" s="370">
        <v>0.42338377172833563</v>
      </c>
      <c r="D190" s="370">
        <v>0.42537935112783859</v>
      </c>
      <c r="E190" s="370">
        <v>0.42708021074596592</v>
      </c>
      <c r="F190" s="370">
        <v>0.42592742980660664</v>
      </c>
      <c r="G190" s="370">
        <v>0.42159806168680364</v>
      </c>
    </row>
    <row r="191" spans="1:7" x14ac:dyDescent="0.35">
      <c r="A191" s="1069" t="s">
        <v>3219</v>
      </c>
      <c r="B191" s="370">
        <v>0.46313173993571627</v>
      </c>
      <c r="C191" s="370">
        <v>0.4653663487328773</v>
      </c>
      <c r="D191" s="370">
        <v>0.46720841532951723</v>
      </c>
      <c r="E191" s="370">
        <v>0.46704669252983477</v>
      </c>
      <c r="F191" s="370">
        <v>0.46403537772959763</v>
      </c>
      <c r="G191" s="370">
        <v>0.45829993712331796</v>
      </c>
    </row>
    <row r="192" spans="1:7" x14ac:dyDescent="0.35">
      <c r="A192" s="1069" t="s">
        <v>3220</v>
      </c>
      <c r="B192" s="370">
        <v>0.50511431694025788</v>
      </c>
      <c r="C192" s="370">
        <v>0.50719541293455606</v>
      </c>
      <c r="D192" s="370">
        <v>0.50717489711338604</v>
      </c>
      <c r="E192" s="370">
        <v>0.50515464045282576</v>
      </c>
      <c r="F192" s="370">
        <v>0.50073725316611173</v>
      </c>
      <c r="G192" s="370">
        <v>0.49365237421811492</v>
      </c>
    </row>
    <row r="193" spans="1:7" x14ac:dyDescent="0.35">
      <c r="A193" s="1069" t="s">
        <v>3221</v>
      </c>
      <c r="B193" s="370">
        <v>0.54694338114193664</v>
      </c>
      <c r="C193" s="370">
        <v>0.54716189471842491</v>
      </c>
      <c r="D193" s="370">
        <v>0.54528284503637681</v>
      </c>
      <c r="E193" s="370">
        <v>0.54185651588933981</v>
      </c>
      <c r="F193" s="370">
        <v>0.5360896902609088</v>
      </c>
      <c r="G193" s="370">
        <v>0.52763551948290255</v>
      </c>
    </row>
    <row r="194" spans="1:7" x14ac:dyDescent="0.35">
      <c r="A194" s="1069" t="s">
        <v>3222</v>
      </c>
      <c r="B194" s="370">
        <v>0.5869098629258056</v>
      </c>
      <c r="C194" s="370">
        <v>0.58526984264141579</v>
      </c>
      <c r="D194" s="370">
        <v>0.58198472047289118</v>
      </c>
      <c r="E194" s="370">
        <v>0.57720895298413677</v>
      </c>
      <c r="F194" s="370">
        <v>0.57007283552569654</v>
      </c>
      <c r="G194" s="370">
        <v>0.56042154499944608</v>
      </c>
    </row>
    <row r="195" spans="1:7" x14ac:dyDescent="0.35">
      <c r="A195" s="1069" t="s">
        <v>3223</v>
      </c>
      <c r="B195" s="370">
        <v>0.62501781084879626</v>
      </c>
      <c r="C195" s="370">
        <v>0.62197171807793006</v>
      </c>
      <c r="D195" s="370">
        <v>0.61733715756768814</v>
      </c>
      <c r="E195" s="370">
        <v>0.61119209824892473</v>
      </c>
      <c r="F195" s="370">
        <v>0.60285886104224007</v>
      </c>
      <c r="G195" s="370">
        <v>0.59205535003357623</v>
      </c>
    </row>
    <row r="196" spans="1:7" x14ac:dyDescent="0.35">
      <c r="A196" s="1069" t="s">
        <v>3224</v>
      </c>
      <c r="B196" s="370">
        <v>0.66171968628531075</v>
      </c>
      <c r="C196" s="370">
        <v>0.65732415517272702</v>
      </c>
      <c r="D196" s="370">
        <v>0.65132030283247588</v>
      </c>
      <c r="E196" s="370">
        <v>0.64397812376546804</v>
      </c>
      <c r="F196" s="370">
        <v>0.63449266607637023</v>
      </c>
      <c r="G196" s="370">
        <v>0.62258003465030165</v>
      </c>
    </row>
    <row r="197" spans="1:7" x14ac:dyDescent="0.35">
      <c r="A197" s="1069" t="s">
        <v>3225</v>
      </c>
      <c r="B197" s="370">
        <v>0.69707212338010771</v>
      </c>
      <c r="C197" s="370">
        <v>0.69130730043751465</v>
      </c>
      <c r="D197" s="370">
        <v>0.6841063283490193</v>
      </c>
      <c r="E197" s="370">
        <v>0.67561192879959819</v>
      </c>
      <c r="F197" s="370">
        <v>0.66501735069309564</v>
      </c>
      <c r="G197" s="370">
        <v>0.65203697640298741</v>
      </c>
    </row>
    <row r="198" spans="1:7" x14ac:dyDescent="0.35">
      <c r="A198" s="1069" t="s">
        <v>3226</v>
      </c>
      <c r="B198" s="370">
        <v>0.73105526864489523</v>
      </c>
      <c r="C198" s="370">
        <v>0.72409332595405829</v>
      </c>
      <c r="D198" s="370">
        <v>0.71574013338314946</v>
      </c>
      <c r="E198" s="370">
        <v>0.70613661341632361</v>
      </c>
      <c r="F198" s="370">
        <v>0.6944742924457814</v>
      </c>
      <c r="G198" s="370">
        <v>0.68046590358158343</v>
      </c>
    </row>
    <row r="199" spans="1:7" x14ac:dyDescent="0.35">
      <c r="A199" s="1069" t="s">
        <v>3227</v>
      </c>
      <c r="B199" s="370">
        <v>0.76384129416143864</v>
      </c>
      <c r="C199" s="370">
        <v>0.75572713098818833</v>
      </c>
      <c r="D199" s="370">
        <v>0.74626481799987499</v>
      </c>
      <c r="E199" s="370">
        <v>0.73559355516900948</v>
      </c>
      <c r="F199" s="370">
        <v>0.72290321962437731</v>
      </c>
      <c r="G199" s="370">
        <v>0.70790496518039636</v>
      </c>
    </row>
    <row r="200" spans="1:7" x14ac:dyDescent="0.35">
      <c r="A200" s="1069" t="s">
        <v>3228</v>
      </c>
      <c r="B200" s="370">
        <v>7.9734965812419331E-2</v>
      </c>
      <c r="C200" s="370">
        <v>8.0115202188590015E-2</v>
      </c>
      <c r="D200" s="370">
        <v>8.124746730677937E-2</v>
      </c>
      <c r="E200" s="370">
        <v>8.3556578766021988E-2</v>
      </c>
      <c r="F200" s="370">
        <v>8.5160898456833251E-2</v>
      </c>
      <c r="G200" s="370">
        <v>8.6627779044681399E-2</v>
      </c>
    </row>
    <row r="201" spans="1:7" x14ac:dyDescent="0.35">
      <c r="A201" s="1069" t="s">
        <v>3229</v>
      </c>
      <c r="B201" s="370">
        <v>0.79547509919556902</v>
      </c>
      <c r="C201" s="370">
        <v>0.78625181560491408</v>
      </c>
      <c r="D201" s="370">
        <v>0.77572175975256064</v>
      </c>
      <c r="E201" s="370">
        <v>0.76402248234760517</v>
      </c>
      <c r="F201" s="370">
        <v>0.75034228122319047</v>
      </c>
      <c r="G201" s="370">
        <v>0.73439079773820126</v>
      </c>
    </row>
    <row r="202" spans="1:7" x14ac:dyDescent="0.35">
      <c r="A202" s="1069" t="s">
        <v>3230</v>
      </c>
      <c r="B202" s="370">
        <v>0.82599978381229433</v>
      </c>
      <c r="C202" s="370">
        <v>0.81570875735759962</v>
      </c>
      <c r="D202" s="370">
        <v>0.80415068693115688</v>
      </c>
      <c r="E202" s="370">
        <v>0.79146154394641832</v>
      </c>
      <c r="F202" s="370">
        <v>0.77682811378099503</v>
      </c>
      <c r="G202" s="370">
        <v>0.75938922393716757</v>
      </c>
    </row>
    <row r="203" spans="1:7" x14ac:dyDescent="0.35">
      <c r="A203" s="1069" t="s">
        <v>3231</v>
      </c>
      <c r="B203" s="370">
        <v>0.85545672556498031</v>
      </c>
      <c r="C203" s="370">
        <v>0.84413768453619575</v>
      </c>
      <c r="D203" s="370">
        <v>0.83158974852996992</v>
      </c>
      <c r="E203" s="370">
        <v>0.81794737650422322</v>
      </c>
      <c r="F203" s="370">
        <v>0.80182653997996156</v>
      </c>
      <c r="G203" s="370">
        <v>0.7829837743845165</v>
      </c>
    </row>
    <row r="204" spans="1:7" x14ac:dyDescent="0.35">
      <c r="A204" s="1069" t="s">
        <v>3232</v>
      </c>
      <c r="B204" s="370">
        <v>0.88388565274357611</v>
      </c>
      <c r="C204" s="370">
        <v>0.87157674613500846</v>
      </c>
      <c r="D204" s="370">
        <v>0.85807558108777449</v>
      </c>
      <c r="E204" s="370">
        <v>0.84294580270318931</v>
      </c>
      <c r="F204" s="370">
        <v>0.82542109042731049</v>
      </c>
      <c r="G204" s="370">
        <v>0.80525328872840429</v>
      </c>
    </row>
    <row r="205" spans="1:7" x14ac:dyDescent="0.35">
      <c r="A205" s="1069" t="s">
        <v>3233</v>
      </c>
      <c r="B205" s="370">
        <v>0.91132471434238915</v>
      </c>
      <c r="C205" s="370">
        <v>0.89806257869281325</v>
      </c>
      <c r="D205" s="370">
        <v>0.88307400728674101</v>
      </c>
      <c r="E205" s="370">
        <v>0.86654035315053868</v>
      </c>
      <c r="F205" s="370">
        <v>0.84769060477119818</v>
      </c>
      <c r="G205" s="370">
        <v>0.82627217909545281</v>
      </c>
    </row>
    <row r="206" spans="1:7" x14ac:dyDescent="0.35">
      <c r="A206" s="1069" t="s">
        <v>3234</v>
      </c>
      <c r="B206" s="370">
        <v>0.93781054690019405</v>
      </c>
      <c r="C206" s="370">
        <v>0.92306100489177967</v>
      </c>
      <c r="D206" s="370">
        <v>0.90666855773408983</v>
      </c>
      <c r="E206" s="370">
        <v>0.88880986749442636</v>
      </c>
      <c r="F206" s="370">
        <v>0.86870949513824658</v>
      </c>
      <c r="G206" s="370">
        <v>0.84611067873400714</v>
      </c>
    </row>
    <row r="207" spans="1:7" x14ac:dyDescent="0.35">
      <c r="A207" s="1069" t="s">
        <v>3235</v>
      </c>
      <c r="B207" s="370">
        <v>0.96280897309916025</v>
      </c>
      <c r="C207" s="370">
        <v>0.94665555533912871</v>
      </c>
      <c r="D207" s="370">
        <v>0.92893807207797763</v>
      </c>
      <c r="E207" s="370">
        <v>0.90982875786147455</v>
      </c>
      <c r="F207" s="370">
        <v>0.88854799477680102</v>
      </c>
      <c r="G207" s="370">
        <v>0.8648350766939451</v>
      </c>
    </row>
    <row r="208" spans="1:7" x14ac:dyDescent="0.35">
      <c r="A208" s="1069" t="s">
        <v>3236</v>
      </c>
      <c r="B208" s="370">
        <v>0.98640352354650918</v>
      </c>
      <c r="C208" s="370">
        <v>0.96892506968301639</v>
      </c>
      <c r="D208" s="370">
        <v>0.94995696244502603</v>
      </c>
      <c r="E208" s="370">
        <v>0.92966725750002888</v>
      </c>
      <c r="F208" s="370">
        <v>0.90727239273673899</v>
      </c>
      <c r="G208" s="370">
        <v>0.88250793932720406</v>
      </c>
    </row>
    <row r="209" spans="1:7" x14ac:dyDescent="0.35">
      <c r="A209" s="1069" t="s">
        <v>3237</v>
      </c>
      <c r="B209" s="370">
        <v>1.0086730378903972</v>
      </c>
      <c r="C209" s="370">
        <v>0.98994396005006446</v>
      </c>
      <c r="D209" s="370">
        <v>0.96979546208358014</v>
      </c>
      <c r="E209" s="370">
        <v>0.94839165545996695</v>
      </c>
      <c r="F209" s="370">
        <v>0.92494525536999816</v>
      </c>
      <c r="G209" s="370">
        <v>0.89918831934915688</v>
      </c>
    </row>
    <row r="210" spans="1:7" x14ac:dyDescent="0.35">
      <c r="A210" s="1069" t="s">
        <v>3238</v>
      </c>
      <c r="B210" s="370">
        <v>1.0296919282574455</v>
      </c>
      <c r="C210" s="370">
        <v>1.0097824596886191</v>
      </c>
      <c r="D210" s="370">
        <v>0.98851986004351822</v>
      </c>
      <c r="E210" s="370">
        <v>0.96606451809322613</v>
      </c>
      <c r="F210" s="370">
        <v>0.94162563539195132</v>
      </c>
      <c r="G210" s="370">
        <v>0.91493195315940068</v>
      </c>
    </row>
    <row r="211" spans="1:7" x14ac:dyDescent="0.35">
      <c r="A211" s="1069" t="s">
        <v>3239</v>
      </c>
      <c r="B211" s="370">
        <v>0.11986317039597059</v>
      </c>
      <c r="C211" s="370">
        <v>0.12123446491181801</v>
      </c>
      <c r="D211" s="370">
        <v>0.12368478334957329</v>
      </c>
      <c r="E211" s="370">
        <v>0.12628016118006133</v>
      </c>
      <c r="F211" s="370">
        <v>0.1290650950874753</v>
      </c>
      <c r="G211" s="370">
        <v>0.13047747736266463</v>
      </c>
    </row>
    <row r="212" spans="1:7" x14ac:dyDescent="0.35">
      <c r="A212" s="1069" t="s">
        <v>3240</v>
      </c>
      <c r="B212" s="370">
        <v>1.0495304278959998</v>
      </c>
      <c r="C212" s="370">
        <v>1.028506857648557</v>
      </c>
      <c r="D212" s="370">
        <v>1.0061927226767775</v>
      </c>
      <c r="E212" s="370">
        <v>0.98274489811517918</v>
      </c>
      <c r="F212" s="370">
        <v>0.95736926920219445</v>
      </c>
      <c r="G212" s="370">
        <v>0.9297914470812918</v>
      </c>
    </row>
    <row r="213" spans="1:7" x14ac:dyDescent="0.35">
      <c r="A213" s="1069" t="s">
        <v>3241</v>
      </c>
      <c r="B213" s="370">
        <v>0.16098243311919863</v>
      </c>
      <c r="C213" s="370">
        <v>0.16367178095461191</v>
      </c>
      <c r="D213" s="370">
        <v>0.16640836576361262</v>
      </c>
      <c r="E213" s="370">
        <v>0.17018435781070335</v>
      </c>
      <c r="F213" s="370">
        <v>0.17291479340545857</v>
      </c>
      <c r="G213" s="370">
        <v>0.1740564756541832</v>
      </c>
    </row>
    <row r="214" spans="1:7" x14ac:dyDescent="0.35">
      <c r="A214" s="1069" t="s">
        <v>3242</v>
      </c>
      <c r="B214" s="370">
        <v>0.20341974916199249</v>
      </c>
      <c r="C214" s="370">
        <v>0.20639536336865105</v>
      </c>
      <c r="D214" s="370">
        <v>0.21031256239425467</v>
      </c>
      <c r="E214" s="370">
        <v>0.21403405612868662</v>
      </c>
      <c r="F214" s="370">
        <v>0.21649379169697711</v>
      </c>
      <c r="G214" s="370">
        <v>0.21723869632839363</v>
      </c>
    </row>
    <row r="215" spans="1:7" x14ac:dyDescent="0.35">
      <c r="A215" s="1069" t="s">
        <v>3243</v>
      </c>
      <c r="B215" s="370">
        <v>0.24614333157603172</v>
      </c>
      <c r="C215" s="370">
        <v>0.25029955999929321</v>
      </c>
      <c r="D215" s="370">
        <v>0.25416226071223796</v>
      </c>
      <c r="E215" s="370">
        <v>0.25761305442020521</v>
      </c>
      <c r="F215" s="370">
        <v>0.25967601237118748</v>
      </c>
      <c r="G215" s="370">
        <v>0.25971199077372353</v>
      </c>
    </row>
    <row r="216" spans="1:7" x14ac:dyDescent="0.35">
      <c r="A216" s="1069" t="s">
        <v>3244</v>
      </c>
      <c r="B216" s="370">
        <v>0.29004752820667379</v>
      </c>
      <c r="C216" s="370">
        <v>0.29414925831727651</v>
      </c>
      <c r="D216" s="370">
        <v>0.29774125900375653</v>
      </c>
      <c r="E216" s="370">
        <v>0.30079527509441562</v>
      </c>
      <c r="F216" s="370">
        <v>0.30214930681651736</v>
      </c>
      <c r="G216" s="370">
        <v>0.30169456777826531</v>
      </c>
    </row>
    <row r="217" spans="1:7" x14ac:dyDescent="0.35">
      <c r="A217" s="1069" t="s">
        <v>3245</v>
      </c>
      <c r="B217" s="370">
        <v>0.33389722652465709</v>
      </c>
      <c r="C217" s="370">
        <v>0.33772825660879519</v>
      </c>
      <c r="D217" s="370">
        <v>0.34092347967796688</v>
      </c>
      <c r="E217" s="370">
        <v>0.34326856953974549</v>
      </c>
      <c r="F217" s="370">
        <v>0.34413188382105919</v>
      </c>
      <c r="G217" s="370">
        <v>0.34352363197994401</v>
      </c>
    </row>
    <row r="218" spans="1:7" x14ac:dyDescent="0.35">
      <c r="A218" s="1069" t="s">
        <v>3246</v>
      </c>
      <c r="B218" s="370">
        <v>0.37747622481617576</v>
      </c>
      <c r="C218" s="370">
        <v>0.38091047728300559</v>
      </c>
      <c r="D218" s="370">
        <v>0.38339677412329681</v>
      </c>
      <c r="E218" s="370">
        <v>0.38525114654428738</v>
      </c>
      <c r="F218" s="370">
        <v>0.38596094802273795</v>
      </c>
      <c r="G218" s="370">
        <v>0.38349011376381276</v>
      </c>
    </row>
    <row r="219" spans="1:7" x14ac:dyDescent="0.35">
      <c r="A219" s="1069" t="s">
        <v>3247</v>
      </c>
      <c r="B219" s="370">
        <v>3.7885285092751478E-2</v>
      </c>
      <c r="C219" s="370">
        <v>3.8072136295361297E-2</v>
      </c>
      <c r="D219" s="370">
        <v>3.816755725143825E-2</v>
      </c>
      <c r="E219" s="370">
        <v>3.9028598382114157E-2</v>
      </c>
      <c r="F219" s="370">
        <v>4.0218382987637122E-2</v>
      </c>
      <c r="G219" s="370">
        <v>4.043160014055372E-2</v>
      </c>
    </row>
    <row r="220" spans="1:7" x14ac:dyDescent="0.35">
      <c r="A220" s="1069" t="s">
        <v>3248</v>
      </c>
      <c r="B220" s="370">
        <v>0.39875745757589326</v>
      </c>
      <c r="C220" s="370">
        <v>0.40100479499457614</v>
      </c>
      <c r="D220" s="370">
        <v>0.40262195710814502</v>
      </c>
      <c r="E220" s="370">
        <v>0.40403341854635999</v>
      </c>
      <c r="F220" s="370">
        <v>0.40282380755898056</v>
      </c>
      <c r="G220" s="370">
        <v>0.39866927358368565</v>
      </c>
    </row>
    <row r="221" spans="1:7" x14ac:dyDescent="0.35">
      <c r="A221" s="1069" t="s">
        <v>3249</v>
      </c>
      <c r="B221" s="370">
        <v>0.43889008008732766</v>
      </c>
      <c r="C221" s="370">
        <v>0.44069409340350629</v>
      </c>
      <c r="D221" s="370">
        <v>0.44220097579779816</v>
      </c>
      <c r="E221" s="370">
        <v>0.44185240594109476</v>
      </c>
      <c r="F221" s="370">
        <v>0.43888765657132284</v>
      </c>
      <c r="G221" s="370">
        <v>0.43341466602184309</v>
      </c>
    </row>
    <row r="222" spans="1:7" x14ac:dyDescent="0.35">
      <c r="A222" s="1069" t="s">
        <v>3250</v>
      </c>
      <c r="B222" s="370">
        <v>0.47857937849625781</v>
      </c>
      <c r="C222" s="370">
        <v>0.48027311209315959</v>
      </c>
      <c r="D222" s="370">
        <v>0.48001996319253293</v>
      </c>
      <c r="E222" s="370">
        <v>0.47791625495343698</v>
      </c>
      <c r="F222" s="370">
        <v>0.47363304900948017</v>
      </c>
      <c r="G222" s="370">
        <v>0.46689397019933465</v>
      </c>
    </row>
    <row r="223" spans="1:7" x14ac:dyDescent="0.35">
      <c r="A223" s="1069" t="s">
        <v>3251</v>
      </c>
      <c r="B223" s="370">
        <v>0.51815839718591117</v>
      </c>
      <c r="C223" s="370">
        <v>0.51809209948789436</v>
      </c>
      <c r="D223" s="370">
        <v>0.5160838122048752</v>
      </c>
      <c r="E223" s="370">
        <v>0.51266164739159437</v>
      </c>
      <c r="F223" s="370">
        <v>0.5071123531869719</v>
      </c>
      <c r="G223" s="370">
        <v>0.49908474352215476</v>
      </c>
    </row>
    <row r="224" spans="1:7" x14ac:dyDescent="0.35">
      <c r="A224" s="1069" t="s">
        <v>3252</v>
      </c>
      <c r="B224" s="370">
        <v>0.55597738458064583</v>
      </c>
      <c r="C224" s="370">
        <v>0.55415594850023642</v>
      </c>
      <c r="D224" s="370">
        <v>0.55082920464303264</v>
      </c>
      <c r="E224" s="370">
        <v>0.54614095156908582</v>
      </c>
      <c r="F224" s="370">
        <v>0.53930312650979184</v>
      </c>
      <c r="G224" s="370">
        <v>0.53014998680413183</v>
      </c>
    </row>
    <row r="225" spans="1:8" x14ac:dyDescent="0.35">
      <c r="A225" s="1069" t="s">
        <v>3253</v>
      </c>
      <c r="B225" s="370">
        <v>0.59204123359298799</v>
      </c>
      <c r="C225" s="370">
        <v>0.58890134093839386</v>
      </c>
      <c r="D225" s="370">
        <v>0.58430850882052443</v>
      </c>
      <c r="E225" s="370">
        <v>0.57833172489190598</v>
      </c>
      <c r="F225" s="370">
        <v>0.57036836979176886</v>
      </c>
      <c r="G225" s="370">
        <v>0.56013156637993844</v>
      </c>
    </row>
    <row r="226" spans="1:8" x14ac:dyDescent="0.35">
      <c r="A226" s="1069" t="s">
        <v>3254</v>
      </c>
      <c r="B226" s="370">
        <v>0.62678662603114543</v>
      </c>
      <c r="C226" s="370">
        <v>0.62238064511588553</v>
      </c>
      <c r="D226" s="370">
        <v>0.61649928214334415</v>
      </c>
      <c r="E226" s="370">
        <v>0.60939696817388289</v>
      </c>
      <c r="F226" s="370">
        <v>0.60034994936757546</v>
      </c>
      <c r="G226" s="370">
        <v>0.5890696844523895</v>
      </c>
    </row>
    <row r="227" spans="1:8" x14ac:dyDescent="0.35">
      <c r="A227" s="1069" t="s">
        <v>3255</v>
      </c>
      <c r="B227" s="370">
        <v>0.66026593020863711</v>
      </c>
      <c r="C227" s="370">
        <v>0.65457141843870559</v>
      </c>
      <c r="D227" s="370">
        <v>0.64756452542532128</v>
      </c>
      <c r="E227" s="370">
        <v>0.6393785477496895</v>
      </c>
      <c r="F227" s="370">
        <v>0.62928806744002652</v>
      </c>
      <c r="G227" s="370">
        <v>0.61700294952935908</v>
      </c>
    </row>
    <row r="228" spans="1:8" x14ac:dyDescent="0.35">
      <c r="A228" s="1069" t="s">
        <v>3256</v>
      </c>
      <c r="B228" s="370">
        <v>0.69245670353145705</v>
      </c>
      <c r="C228" s="370">
        <v>0.68563666172068272</v>
      </c>
      <c r="D228" s="370">
        <v>0.67754610500112789</v>
      </c>
      <c r="E228" s="370">
        <v>0.66831666582214055</v>
      </c>
      <c r="F228" s="370">
        <v>0.65722133251699633</v>
      </c>
      <c r="G228" s="370">
        <v>0.64396844371736806</v>
      </c>
    </row>
    <row r="229" spans="1:8" x14ac:dyDescent="0.35">
      <c r="A229" s="1069" t="s">
        <v>3257</v>
      </c>
      <c r="B229" s="370">
        <v>0.72352194681343429</v>
      </c>
      <c r="C229" s="370">
        <v>0.7156182412964891</v>
      </c>
      <c r="D229" s="370">
        <v>0.70648422307357883</v>
      </c>
      <c r="E229" s="370">
        <v>0.69624993089911058</v>
      </c>
      <c r="F229" s="370">
        <v>0.68418682670500519</v>
      </c>
      <c r="G229" s="370">
        <v>0.67000178701788615</v>
      </c>
    </row>
    <row r="230" spans="1:8" x14ac:dyDescent="0.35">
      <c r="A230" s="1069" t="s">
        <v>3258</v>
      </c>
      <c r="B230" s="370">
        <v>7.5957421388112789E-2</v>
      </c>
      <c r="C230" s="370">
        <v>7.6239693546799547E-2</v>
      </c>
      <c r="D230" s="370">
        <v>7.7196155633552394E-2</v>
      </c>
      <c r="E230" s="370">
        <v>7.9246981369751279E-2</v>
      </c>
      <c r="F230" s="370">
        <v>8.0649983128190841E-2</v>
      </c>
      <c r="G230" s="370">
        <v>8.1964964519931155E-2</v>
      </c>
    </row>
    <row r="231" spans="1:8" x14ac:dyDescent="0.35">
      <c r="A231" s="1069" t="s">
        <v>3259</v>
      </c>
      <c r="B231" s="370">
        <v>0.75350352638924067</v>
      </c>
      <c r="C231" s="370">
        <v>0.74455635936894016</v>
      </c>
      <c r="D231" s="370">
        <v>0.73441748815054886</v>
      </c>
      <c r="E231" s="370">
        <v>0.72321542508711922</v>
      </c>
      <c r="F231" s="370">
        <v>0.71022017000552329</v>
      </c>
      <c r="G231" s="370">
        <v>0.69513719876541846</v>
      </c>
    </row>
    <row r="232" spans="1:8" x14ac:dyDescent="0.35">
      <c r="A232" s="1069" t="s">
        <v>3260</v>
      </c>
      <c r="B232" s="370">
        <v>0.78244164446169184</v>
      </c>
      <c r="C232" s="370">
        <v>0.77248962444590996</v>
      </c>
      <c r="D232" s="370">
        <v>0.76138298233855761</v>
      </c>
      <c r="E232" s="370">
        <v>0.74924876838763743</v>
      </c>
      <c r="F232" s="370">
        <v>0.7353555817530556</v>
      </c>
      <c r="G232" s="370">
        <v>0.71886104184945065</v>
      </c>
    </row>
    <row r="233" spans="1:8" x14ac:dyDescent="0.35">
      <c r="A233" s="1069" t="s">
        <v>3261</v>
      </c>
      <c r="B233" s="370">
        <v>0.81037490953866143</v>
      </c>
      <c r="C233" s="370">
        <v>0.79945511863391916</v>
      </c>
      <c r="D233" s="370">
        <v>0.78741632563907571</v>
      </c>
      <c r="E233" s="370">
        <v>0.77438418013516985</v>
      </c>
      <c r="F233" s="370">
        <v>0.7590794248370879</v>
      </c>
      <c r="G233" s="370">
        <v>0.74125258794103388</v>
      </c>
    </row>
    <row r="234" spans="1:8" x14ac:dyDescent="0.35">
      <c r="A234" s="1069" t="s">
        <v>3262</v>
      </c>
      <c r="B234" s="370">
        <v>0.83734040372667051</v>
      </c>
      <c r="C234" s="370">
        <v>0.82548846193443692</v>
      </c>
      <c r="D234" s="370">
        <v>0.81255173738660791</v>
      </c>
      <c r="E234" s="370">
        <v>0.79810802321920193</v>
      </c>
      <c r="F234" s="370">
        <v>0.78147097092867124</v>
      </c>
      <c r="G234" s="370">
        <v>0.76238665692789864</v>
      </c>
    </row>
    <row r="235" spans="1:8" x14ac:dyDescent="0.35">
      <c r="A235" s="1069" t="s">
        <v>3263</v>
      </c>
      <c r="B235" s="370">
        <v>0.86337374702718861</v>
      </c>
      <c r="C235" s="370">
        <v>0.85062387368196934</v>
      </c>
      <c r="D235" s="370">
        <v>0.83627558047064043</v>
      </c>
      <c r="E235" s="370">
        <v>0.82049956931078527</v>
      </c>
      <c r="F235" s="370">
        <v>0.80260503991553578</v>
      </c>
      <c r="G235" s="370">
        <v>0.78233386692022011</v>
      </c>
    </row>
    <row r="236" spans="1:8" x14ac:dyDescent="0.35">
      <c r="A236" s="1069" t="s">
        <v>3264</v>
      </c>
      <c r="B236" s="370">
        <v>0.8885091587747207</v>
      </c>
      <c r="C236" s="370">
        <v>0.87434771676600165</v>
      </c>
      <c r="D236" s="370">
        <v>0.85866712656222344</v>
      </c>
      <c r="E236" s="370">
        <v>0.84163363829764992</v>
      </c>
      <c r="F236" s="370">
        <v>0.82255224990785736</v>
      </c>
      <c r="G236" s="370">
        <v>0.80116087021641791</v>
      </c>
      <c r="H236" s="370" t="s">
        <v>3265</v>
      </c>
    </row>
    <row r="237" spans="1:8" x14ac:dyDescent="0.35">
      <c r="A237" s="1069" t="s">
        <v>3266</v>
      </c>
      <c r="B237" s="370">
        <v>0.11412497863955105</v>
      </c>
      <c r="C237" s="370">
        <v>0.1152682919289137</v>
      </c>
      <c r="D237" s="370">
        <v>0.11741453862118954</v>
      </c>
      <c r="E237" s="370">
        <v>0.119678581510305</v>
      </c>
      <c r="F237" s="370">
        <v>0.12218334750756828</v>
      </c>
      <c r="G237" s="370">
        <v>0.12341314279445373</v>
      </c>
    </row>
    <row r="238" spans="1:8" x14ac:dyDescent="0.35">
      <c r="A238" s="1069" t="s">
        <v>3267</v>
      </c>
      <c r="B238" s="370">
        <v>0.15315357702166515</v>
      </c>
      <c r="C238" s="370">
        <v>0.15548667491655083</v>
      </c>
      <c r="D238" s="370">
        <v>0.15784613876174325</v>
      </c>
      <c r="E238" s="370">
        <v>0.16121194588968243</v>
      </c>
      <c r="F238" s="370">
        <v>0.16363152578209084</v>
      </c>
      <c r="G238" s="370">
        <v>0.16458796432916326</v>
      </c>
    </row>
    <row r="239" spans="1:8" x14ac:dyDescent="0.35">
      <c r="A239" s="1069" t="s">
        <v>3268</v>
      </c>
      <c r="B239" s="370">
        <v>0.19337196000930229</v>
      </c>
      <c r="C239" s="370">
        <v>0.19591827505710455</v>
      </c>
      <c r="D239" s="370">
        <v>0.19937950314112074</v>
      </c>
      <c r="E239" s="370">
        <v>0.20266012416420504</v>
      </c>
      <c r="F239" s="370">
        <v>0.20480634731680036</v>
      </c>
      <c r="G239" s="370">
        <v>0.20538549756659102</v>
      </c>
    </row>
    <row r="240" spans="1:8" x14ac:dyDescent="0.35">
      <c r="A240" s="1069" t="s">
        <v>3269</v>
      </c>
      <c r="B240" s="370">
        <v>0.23380356014985601</v>
      </c>
      <c r="C240" s="370">
        <v>0.23745163943648198</v>
      </c>
      <c r="D240" s="370">
        <v>0.24082768141564323</v>
      </c>
      <c r="E240" s="370">
        <v>0.24383494569891451</v>
      </c>
      <c r="F240" s="370">
        <v>0.24560388055422808</v>
      </c>
      <c r="G240" s="370">
        <v>0.24551812007802537</v>
      </c>
    </row>
    <row r="241" spans="1:7" x14ac:dyDescent="0.35">
      <c r="A241" s="1069" t="s">
        <v>3270</v>
      </c>
      <c r="B241" s="370">
        <v>0.27533692452923347</v>
      </c>
      <c r="C241" s="370">
        <v>0.27889981771100458</v>
      </c>
      <c r="D241" s="370">
        <v>0.28200250295035278</v>
      </c>
      <c r="E241" s="370">
        <v>0.28463247893634225</v>
      </c>
      <c r="F241" s="370">
        <v>0.28573650306566239</v>
      </c>
      <c r="G241" s="370">
        <v>0.28520741848695552</v>
      </c>
    </row>
    <row r="242" spans="1:7" x14ac:dyDescent="0.35">
      <c r="A242" s="1069" t="s">
        <v>3271</v>
      </c>
      <c r="B242" s="370">
        <v>0.31678510280375605</v>
      </c>
      <c r="C242" s="370">
        <v>0.32007463924571405</v>
      </c>
      <c r="D242" s="370">
        <v>0.32280003618778047</v>
      </c>
      <c r="E242" s="370">
        <v>0.32476510144777654</v>
      </c>
      <c r="F242" s="370">
        <v>0.3254258014745926</v>
      </c>
      <c r="G242" s="370">
        <v>0.32478643717660877</v>
      </c>
    </row>
    <row r="243" spans="1:7" x14ac:dyDescent="0.35">
      <c r="A243" s="1070" t="s">
        <v>3272</v>
      </c>
      <c r="B243" s="1071">
        <v>0.35795992433846552</v>
      </c>
      <c r="C243" s="1071">
        <v>0.36087217248314174</v>
      </c>
      <c r="D243" s="1071">
        <v>0.36293265869921482</v>
      </c>
      <c r="E243" s="1071">
        <v>0.36445439985670675</v>
      </c>
      <c r="F243" s="1071">
        <v>0.36500482016424585</v>
      </c>
      <c r="G243" s="1071">
        <v>0.36260542457134348</v>
      </c>
    </row>
    <row r="244" spans="1:7" x14ac:dyDescent="0.35">
      <c r="A244" s="1069" t="s">
        <v>3273</v>
      </c>
      <c r="B244" s="370">
        <v>7.576844372977809E-2</v>
      </c>
      <c r="C244" s="370">
        <v>7.8730095978199272E-2</v>
      </c>
      <c r="D244" s="370">
        <v>8.1394706267130079E-2</v>
      </c>
      <c r="E244" s="370">
        <v>8.8394991704787609E-2</v>
      </c>
      <c r="F244" s="370">
        <v>9.497452830336614E-2</v>
      </c>
      <c r="G244" s="370">
        <v>9.916725281861194E-2</v>
      </c>
    </row>
    <row r="245" spans="1:7" x14ac:dyDescent="0.35">
      <c r="A245" s="1069" t="s">
        <v>3274</v>
      </c>
      <c r="B245" s="370">
        <v>0.93567627915464513</v>
      </c>
      <c r="C245" s="370">
        <v>0.96229300722268374</v>
      </c>
      <c r="D245" s="370">
        <v>0.98352061150802861</v>
      </c>
      <c r="E245" s="370">
        <v>0.99958693538078425</v>
      </c>
      <c r="F245" s="370">
        <v>1.0041688488469895</v>
      </c>
      <c r="G245" s="370">
        <v>0.99763157703030902</v>
      </c>
    </row>
    <row r="246" spans="1:7" x14ac:dyDescent="0.35">
      <c r="A246" s="1069" t="s">
        <v>3275</v>
      </c>
      <c r="B246" s="370">
        <v>1.0380614509524619</v>
      </c>
      <c r="C246" s="370">
        <v>1.062250707486228</v>
      </c>
      <c r="D246" s="370">
        <v>1.0809816416479143</v>
      </c>
      <c r="E246" s="370">
        <v>1.0925638405517772</v>
      </c>
      <c r="F246" s="370">
        <v>1.0926061053336753</v>
      </c>
      <c r="G246" s="370">
        <v>1.0820599715315462</v>
      </c>
    </row>
    <row r="247" spans="1:7" x14ac:dyDescent="0.35">
      <c r="A247" s="1069" t="s">
        <v>3276</v>
      </c>
      <c r="B247" s="370">
        <v>1.1380191512160058</v>
      </c>
      <c r="C247" s="370">
        <v>1.1597117376261135</v>
      </c>
      <c r="D247" s="370">
        <v>1.1739585468189073</v>
      </c>
      <c r="E247" s="370">
        <v>1.1810010970384628</v>
      </c>
      <c r="F247" s="370">
        <v>1.1770344998349125</v>
      </c>
      <c r="G247" s="370">
        <v>1.162686035351127</v>
      </c>
    </row>
    <row r="248" spans="1:7" x14ac:dyDescent="0.35">
      <c r="A248" s="1069" t="s">
        <v>3277</v>
      </c>
      <c r="B248" s="370">
        <v>1.2354801813558915</v>
      </c>
      <c r="C248" s="370">
        <v>1.2526886427971062</v>
      </c>
      <c r="D248" s="370">
        <v>1.2623958033055929</v>
      </c>
      <c r="E248" s="370">
        <v>1.2654294915397</v>
      </c>
      <c r="F248" s="370">
        <v>1.2576605636544933</v>
      </c>
      <c r="G248" s="370">
        <v>1.2396871642607117</v>
      </c>
    </row>
    <row r="249" spans="1:7" x14ac:dyDescent="0.35">
      <c r="A249" s="1069" t="s">
        <v>3278</v>
      </c>
      <c r="B249" s="370">
        <v>1.3284570865268843</v>
      </c>
      <c r="C249" s="370">
        <v>1.3411258992837918</v>
      </c>
      <c r="D249" s="370">
        <v>1.3468241978068298</v>
      </c>
      <c r="E249" s="370">
        <v>1.346055555359281</v>
      </c>
      <c r="F249" s="370">
        <v>1.334661692564078</v>
      </c>
      <c r="G249" s="370">
        <v>1.313459005162168</v>
      </c>
    </row>
    <row r="250" spans="1:7" x14ac:dyDescent="0.35">
      <c r="A250" s="1069" t="s">
        <v>3279</v>
      </c>
      <c r="B250" s="370">
        <v>1.4168943430135703</v>
      </c>
      <c r="C250" s="370">
        <v>1.4255542937850292</v>
      </c>
      <c r="D250" s="370">
        <v>1.4274502616264111</v>
      </c>
      <c r="E250" s="370">
        <v>1.4230566842688654</v>
      </c>
      <c r="F250" s="370">
        <v>1.408433533465534</v>
      </c>
      <c r="G250" s="370">
        <v>1.3841439513716194</v>
      </c>
    </row>
    <row r="251" spans="1:7" x14ac:dyDescent="0.35">
      <c r="A251" s="1069" t="s">
        <v>3280</v>
      </c>
      <c r="B251" s="370">
        <v>1.5013227375148073</v>
      </c>
      <c r="C251" s="370">
        <v>1.5061803576046104</v>
      </c>
      <c r="D251" s="370">
        <v>1.5044513905359957</v>
      </c>
      <c r="E251" s="370">
        <v>1.4968285251703217</v>
      </c>
      <c r="F251" s="370">
        <v>1.4791184796749859</v>
      </c>
      <c r="G251" s="370">
        <v>1.4518778625601338</v>
      </c>
    </row>
    <row r="252" spans="1:7" x14ac:dyDescent="0.35">
      <c r="A252" s="1069" t="s">
        <v>3281</v>
      </c>
      <c r="B252" s="370">
        <v>1.5819488013343883</v>
      </c>
      <c r="C252" s="370">
        <v>1.5831814865141947</v>
      </c>
      <c r="D252" s="370">
        <v>1.5782232314374518</v>
      </c>
      <c r="E252" s="370">
        <v>1.5675134713797731</v>
      </c>
      <c r="F252" s="370">
        <v>1.5468523908635001</v>
      </c>
      <c r="G252" s="370">
        <v>1.5167903735214132</v>
      </c>
    </row>
    <row r="253" spans="1:7" x14ac:dyDescent="0.35">
      <c r="A253" s="1069" t="s">
        <v>3282</v>
      </c>
      <c r="B253" s="370">
        <v>1.658949930243973</v>
      </c>
      <c r="C253" s="370">
        <v>1.6569533274156509</v>
      </c>
      <c r="D253" s="370">
        <v>1.6489081776469035</v>
      </c>
      <c r="E253" s="370">
        <v>1.6352473825682876</v>
      </c>
      <c r="F253" s="370">
        <v>1.6117649018247793</v>
      </c>
      <c r="G253" s="370">
        <v>1.5790051880404785</v>
      </c>
    </row>
    <row r="254" spans="1:7" x14ac:dyDescent="0.35">
      <c r="A254" s="1069" t="s">
        <v>3283</v>
      </c>
      <c r="B254" s="370">
        <v>1.732721771145429</v>
      </c>
      <c r="C254" s="370">
        <v>1.7276382736251024</v>
      </c>
      <c r="D254" s="370">
        <v>1.7166420888354179</v>
      </c>
      <c r="E254" s="370">
        <v>1.7001598935295665</v>
      </c>
      <c r="F254" s="370">
        <v>1.6739797163438448</v>
      </c>
      <c r="G254" s="370">
        <v>1.6386403585926184</v>
      </c>
    </row>
    <row r="255" spans="1:7" x14ac:dyDescent="0.35">
      <c r="A255" s="1069" t="s">
        <v>3284</v>
      </c>
      <c r="B255" s="370">
        <v>0.15449853970797733</v>
      </c>
      <c r="C255" s="370">
        <v>0.1601248022453293</v>
      </c>
      <c r="D255" s="370">
        <v>0.16978969797191767</v>
      </c>
      <c r="E255" s="370">
        <v>0.18336952000815376</v>
      </c>
      <c r="F255" s="370">
        <v>0.19414178112197811</v>
      </c>
      <c r="G255" s="370">
        <v>0.20202365024765728</v>
      </c>
    </row>
    <row r="256" spans="1:7" x14ac:dyDescent="0.35">
      <c r="A256" s="1069" t="s">
        <v>3285</v>
      </c>
      <c r="B256" s="370">
        <v>1.8034067173548805</v>
      </c>
      <c r="C256" s="370">
        <v>1.795372184813617</v>
      </c>
      <c r="D256" s="370">
        <v>1.7815545997966968</v>
      </c>
      <c r="E256" s="370">
        <v>1.7623747080486323</v>
      </c>
      <c r="F256" s="370">
        <v>1.7336148868959846</v>
      </c>
      <c r="G256" s="370">
        <v>1.6958085525658135</v>
      </c>
    </row>
    <row r="257" spans="1:7" x14ac:dyDescent="0.35">
      <c r="A257" s="1069" t="s">
        <v>3286</v>
      </c>
      <c r="B257" s="370">
        <v>1.8711406285433951</v>
      </c>
      <c r="C257" s="370">
        <v>1.8602846957748964</v>
      </c>
      <c r="D257" s="370">
        <v>1.8437694143157621</v>
      </c>
      <c r="E257" s="370">
        <v>1.8220098786007719</v>
      </c>
      <c r="F257" s="370">
        <v>1.7907830808691798</v>
      </c>
      <c r="G257" s="370">
        <v>1.7497662627811938</v>
      </c>
    </row>
    <row r="258" spans="1:7" x14ac:dyDescent="0.35">
      <c r="A258" s="1069" t="s">
        <v>3287</v>
      </c>
      <c r="B258" s="370">
        <v>1.9360531395046743</v>
      </c>
      <c r="C258" s="370">
        <v>1.9224995102939615</v>
      </c>
      <c r="D258" s="370">
        <v>1.9034045848679022</v>
      </c>
      <c r="E258" s="370">
        <v>1.8791780725739675</v>
      </c>
      <c r="F258" s="370">
        <v>1.8447407910845599</v>
      </c>
      <c r="G258" s="370">
        <v>1.8006937854007128</v>
      </c>
    </row>
    <row r="259" spans="1:7" x14ac:dyDescent="0.35">
      <c r="A259" s="1069" t="s">
        <v>3288</v>
      </c>
      <c r="B259" s="370">
        <v>1.9982679540237398</v>
      </c>
      <c r="C259" s="370">
        <v>1.9821346808461016</v>
      </c>
      <c r="D259" s="370">
        <v>1.9605727788410976</v>
      </c>
      <c r="E259" s="370">
        <v>1.9331357827893476</v>
      </c>
      <c r="F259" s="370">
        <v>1.8956683137040791</v>
      </c>
      <c r="G259" s="370">
        <v>1.8487612914125287</v>
      </c>
    </row>
    <row r="260" spans="1:7" x14ac:dyDescent="0.35">
      <c r="A260" s="1069" t="s">
        <v>3289</v>
      </c>
      <c r="B260" s="370">
        <v>2.0579031245758794</v>
      </c>
      <c r="C260" s="370">
        <v>2.0393028748192963</v>
      </c>
      <c r="D260" s="370">
        <v>2.0145304890564777</v>
      </c>
      <c r="E260" s="370">
        <v>1.9840633054088663</v>
      </c>
      <c r="F260" s="370">
        <v>1.9437358197158947</v>
      </c>
      <c r="G260" s="370">
        <v>1.8941293952462388</v>
      </c>
    </row>
    <row r="261" spans="1:7" x14ac:dyDescent="0.35">
      <c r="A261" s="1069" t="s">
        <v>3290</v>
      </c>
      <c r="B261" s="370">
        <v>2.1150713185490746</v>
      </c>
      <c r="C261" s="370">
        <v>2.093260585034677</v>
      </c>
      <c r="D261" s="370">
        <v>2.0654580116759966</v>
      </c>
      <c r="E261" s="370">
        <v>2.0321308114206822</v>
      </c>
      <c r="F261" s="370">
        <v>1.9891039235496049</v>
      </c>
      <c r="G261" s="370">
        <v>1.9369496914554978</v>
      </c>
    </row>
    <row r="262" spans="1:7" x14ac:dyDescent="0.35">
      <c r="A262" s="1069" t="s">
        <v>3291</v>
      </c>
      <c r="B262" s="370">
        <v>2.1690290287644549</v>
      </c>
      <c r="C262" s="370">
        <v>2.144188107654196</v>
      </c>
      <c r="D262" s="370">
        <v>2.1135255176878123</v>
      </c>
      <c r="E262" s="370">
        <v>2.0774989152543926</v>
      </c>
      <c r="F262" s="370">
        <v>2.0319242197588636</v>
      </c>
      <c r="G262" s="370">
        <v>1.9773652612613111</v>
      </c>
    </row>
    <row r="263" spans="1:7" x14ac:dyDescent="0.35">
      <c r="A263" s="1069" t="s">
        <v>3292</v>
      </c>
      <c r="B263" s="370">
        <v>2.2199565513839739</v>
      </c>
      <c r="C263" s="370">
        <v>2.1922556136660116</v>
      </c>
      <c r="D263" s="370">
        <v>2.1588936215215226</v>
      </c>
      <c r="E263" s="370">
        <v>2.1203192114636518</v>
      </c>
      <c r="F263" s="370">
        <v>2.0723397895646771</v>
      </c>
      <c r="G263" s="370">
        <v>2.0155111506485817</v>
      </c>
    </row>
    <row r="264" spans="1:7" x14ac:dyDescent="0.35">
      <c r="A264" s="1069" t="s">
        <v>3293</v>
      </c>
      <c r="B264" s="370">
        <v>2.2680240573957895</v>
      </c>
      <c r="C264" s="370">
        <v>2.2376237174997216</v>
      </c>
      <c r="D264" s="370">
        <v>2.2017139177307818</v>
      </c>
      <c r="E264" s="370">
        <v>2.1607347812694648</v>
      </c>
      <c r="F264" s="370">
        <v>2.1104856789519477</v>
      </c>
      <c r="G264" s="370">
        <v>2.0515148216134431</v>
      </c>
    </row>
    <row r="265" spans="1:7" x14ac:dyDescent="0.35">
      <c r="A265" s="1069" t="s">
        <v>3294</v>
      </c>
      <c r="B265" s="370">
        <v>2.3133921612294994</v>
      </c>
      <c r="C265" s="370">
        <v>2.2804440137089808</v>
      </c>
      <c r="D265" s="370">
        <v>2.2421294875365949</v>
      </c>
      <c r="E265" s="370">
        <v>2.1988806706567354</v>
      </c>
      <c r="F265" s="370">
        <v>2.1464893499168092</v>
      </c>
      <c r="G265" s="370">
        <v>2.0854965780691876</v>
      </c>
    </row>
    <row r="266" spans="1:7" x14ac:dyDescent="0.35">
      <c r="A266" s="1069" t="s">
        <v>3295</v>
      </c>
      <c r="B266" s="370">
        <v>0.23589324597510736</v>
      </c>
      <c r="C266" s="370">
        <v>0.24851979395011686</v>
      </c>
      <c r="D266" s="370">
        <v>0.26476422627528384</v>
      </c>
      <c r="E266" s="370">
        <v>0.2825367728267657</v>
      </c>
      <c r="F266" s="370">
        <v>0.29699817855102345</v>
      </c>
      <c r="G266" s="370">
        <v>0.3068091220162622</v>
      </c>
    </row>
    <row r="267" spans="1:7" x14ac:dyDescent="0.35">
      <c r="A267" s="1069" t="s">
        <v>3296</v>
      </c>
      <c r="B267" s="370">
        <v>2.3562124574387582</v>
      </c>
      <c r="C267" s="370">
        <v>2.3208595835147943</v>
      </c>
      <c r="D267" s="370">
        <v>2.2802753769238655</v>
      </c>
      <c r="E267" s="370">
        <v>2.2348843416215969</v>
      </c>
      <c r="F267" s="370">
        <v>2.1804711063725541</v>
      </c>
      <c r="G267" s="370">
        <v>2.1175699678339299</v>
      </c>
    </row>
    <row r="268" spans="1:7" x14ac:dyDescent="0.35">
      <c r="A268" s="1069" t="s">
        <v>3297</v>
      </c>
      <c r="B268" s="370">
        <v>0.32428823767989495</v>
      </c>
      <c r="C268" s="370">
        <v>0.34349432225348292</v>
      </c>
      <c r="D268" s="370">
        <v>0.36393147909389578</v>
      </c>
      <c r="E268" s="370">
        <v>0.38539317025581105</v>
      </c>
      <c r="F268" s="370">
        <v>0.40178365031962837</v>
      </c>
      <c r="G268" s="370">
        <v>0.41201687028616152</v>
      </c>
    </row>
    <row r="269" spans="1:7" x14ac:dyDescent="0.35">
      <c r="A269" s="1069" t="s">
        <v>3298</v>
      </c>
      <c r="B269" s="370">
        <v>0.41926276598326107</v>
      </c>
      <c r="C269" s="370">
        <v>0.44266157507209475</v>
      </c>
      <c r="D269" s="370">
        <v>0.46678787652294118</v>
      </c>
      <c r="E269" s="370">
        <v>0.49017864202441591</v>
      </c>
      <c r="F269" s="370">
        <v>0.50699139858952769</v>
      </c>
      <c r="G269" s="370">
        <v>0.51641351317138429</v>
      </c>
    </row>
    <row r="270" spans="1:7" x14ac:dyDescent="0.35">
      <c r="A270" s="1069" t="s">
        <v>3299</v>
      </c>
      <c r="B270" s="370">
        <v>0.51843001880187289</v>
      </c>
      <c r="C270" s="370">
        <v>0.54551797250114009</v>
      </c>
      <c r="D270" s="370">
        <v>0.57157334829154605</v>
      </c>
      <c r="E270" s="370">
        <v>0.59538639029431528</v>
      </c>
      <c r="F270" s="370">
        <v>0.61138804147475023</v>
      </c>
      <c r="G270" s="370">
        <v>0.61879868496920065</v>
      </c>
    </row>
    <row r="271" spans="1:7" x14ac:dyDescent="0.35">
      <c r="A271" s="1069" t="s">
        <v>3300</v>
      </c>
      <c r="B271" s="370">
        <v>0.62128641623091818</v>
      </c>
      <c r="C271" s="370">
        <v>0.65030344426974507</v>
      </c>
      <c r="D271" s="370">
        <v>0.67678109656144536</v>
      </c>
      <c r="E271" s="370">
        <v>0.69978303317953794</v>
      </c>
      <c r="F271" s="370">
        <v>0.71377321327256671</v>
      </c>
      <c r="G271" s="370">
        <v>0.71875638523274488</v>
      </c>
    </row>
    <row r="272" spans="1:7" x14ac:dyDescent="0.35">
      <c r="A272" s="1069" t="s">
        <v>3301</v>
      </c>
      <c r="B272" s="370">
        <v>0.72607188799952316</v>
      </c>
      <c r="C272" s="370">
        <v>0.75551119253964449</v>
      </c>
      <c r="D272" s="370">
        <v>0.78117773944666802</v>
      </c>
      <c r="E272" s="370">
        <v>0.80216820497735442</v>
      </c>
      <c r="F272" s="370">
        <v>0.81373091353611104</v>
      </c>
      <c r="G272" s="370">
        <v>0.81621741537263048</v>
      </c>
    </row>
    <row r="273" spans="1:8" x14ac:dyDescent="0.35">
      <c r="A273" s="1069" t="s">
        <v>3302</v>
      </c>
      <c r="B273" s="370">
        <v>0.83127963626942269</v>
      </c>
      <c r="C273" s="370">
        <v>0.85990783542486715</v>
      </c>
      <c r="D273" s="370">
        <v>0.88356291124448449</v>
      </c>
      <c r="E273" s="370">
        <v>0.90212590524089853</v>
      </c>
      <c r="F273" s="370">
        <v>0.91119194367599665</v>
      </c>
      <c r="G273" s="370">
        <v>0.90919432054362337</v>
      </c>
    </row>
    <row r="274" spans="1:8" x14ac:dyDescent="0.35">
      <c r="A274" s="1069" t="s">
        <v>3303</v>
      </c>
      <c r="B274" s="370">
        <v>8.1093085955725827E-2</v>
      </c>
      <c r="C274" s="370">
        <v>8.4176020041897531E-2</v>
      </c>
      <c r="D274" s="370">
        <v>8.6944869452387677E-2</v>
      </c>
      <c r="E274" s="370">
        <v>9.4259969511387903E-2</v>
      </c>
      <c r="F274" s="370">
        <v>0.10116093620877811</v>
      </c>
      <c r="G274" s="370">
        <v>0.1055219126631208</v>
      </c>
    </row>
    <row r="275" spans="1:8" x14ac:dyDescent="0.35">
      <c r="A275" s="1069" t="s">
        <v>3304</v>
      </c>
      <c r="B275" s="370">
        <v>0.99679383169168057</v>
      </c>
      <c r="C275" s="370">
        <v>1.0245386616514565</v>
      </c>
      <c r="D275" s="370">
        <v>1.0466542039767455</v>
      </c>
      <c r="E275" s="370">
        <v>1.0634051565465423</v>
      </c>
      <c r="F275" s="370">
        <v>1.0680741174237278</v>
      </c>
      <c r="G275" s="370">
        <v>1.0610179860153881</v>
      </c>
    </row>
    <row r="276" spans="1:8" x14ac:dyDescent="0.35">
      <c r="A276" s="1069" t="s">
        <v>3305</v>
      </c>
      <c r="B276" s="370">
        <v>1.1056317476071822</v>
      </c>
      <c r="C276" s="370">
        <v>1.1308302240186432</v>
      </c>
      <c r="D276" s="370">
        <v>1.1503500259989301</v>
      </c>
      <c r="E276" s="370">
        <v>1.162334086935116</v>
      </c>
      <c r="F276" s="370">
        <v>1.1621789222241665</v>
      </c>
      <c r="G276" s="370">
        <v>1.1508782487149734</v>
      </c>
    </row>
    <row r="277" spans="1:8" x14ac:dyDescent="0.35">
      <c r="A277" s="1069" t="s">
        <v>3306</v>
      </c>
      <c r="B277" s="370">
        <v>1.2119233099743689</v>
      </c>
      <c r="C277" s="370">
        <v>1.2345260460408276</v>
      </c>
      <c r="D277" s="370">
        <v>1.2492789563875035</v>
      </c>
      <c r="E277" s="370">
        <v>1.2564388917355542</v>
      </c>
      <c r="F277" s="370">
        <v>1.2520391849237515</v>
      </c>
      <c r="G277" s="370">
        <v>1.2367115984390566</v>
      </c>
    </row>
    <row r="278" spans="1:8" x14ac:dyDescent="0.35">
      <c r="A278" s="1069" t="s">
        <v>3307</v>
      </c>
      <c r="B278" s="370">
        <v>1.3156191319965536</v>
      </c>
      <c r="C278" s="370">
        <v>1.3334549764294008</v>
      </c>
      <c r="D278" s="370">
        <v>1.3433837611879418</v>
      </c>
      <c r="E278" s="370">
        <v>1.3462991544351395</v>
      </c>
      <c r="F278" s="370">
        <v>1.3378725346478348</v>
      </c>
      <c r="G278" s="370">
        <v>1.3187004380409586</v>
      </c>
    </row>
    <row r="279" spans="1:8" x14ac:dyDescent="0.35">
      <c r="A279" s="1069" t="s">
        <v>3308</v>
      </c>
      <c r="B279" s="370">
        <v>1.4145480623851268</v>
      </c>
      <c r="C279" s="370">
        <v>1.4275597812298395</v>
      </c>
      <c r="D279" s="370">
        <v>1.433244023887527</v>
      </c>
      <c r="E279" s="370">
        <v>1.4321325041592228</v>
      </c>
      <c r="F279" s="370">
        <v>1.4198613742497368</v>
      </c>
      <c r="G279" s="370">
        <v>1.3972658810669263</v>
      </c>
    </row>
    <row r="280" spans="1:8" x14ac:dyDescent="0.35">
      <c r="A280" s="1069" t="s">
        <v>3309</v>
      </c>
      <c r="B280" s="370">
        <v>1.5086528671855652</v>
      </c>
      <c r="C280" s="370">
        <v>1.5174200439294245</v>
      </c>
      <c r="D280" s="370">
        <v>1.5190773736116105</v>
      </c>
      <c r="E280" s="370">
        <v>1.5141213437611247</v>
      </c>
      <c r="F280" s="370">
        <v>1.4984268172757043</v>
      </c>
      <c r="G280" s="370">
        <v>1.4725583588912452</v>
      </c>
    </row>
    <row r="281" spans="1:8" x14ac:dyDescent="0.35">
      <c r="A281" s="1069" t="s">
        <v>3310</v>
      </c>
      <c r="B281" s="370">
        <v>1.5985131298851507</v>
      </c>
      <c r="C281" s="370">
        <v>1.6032533936535081</v>
      </c>
      <c r="D281" s="370">
        <v>1.6010662132135123</v>
      </c>
      <c r="E281" s="370">
        <v>1.5926867867870924</v>
      </c>
      <c r="F281" s="370">
        <v>1.5737192951000234</v>
      </c>
      <c r="G281" s="370">
        <v>1.5447214176618578</v>
      </c>
    </row>
    <row r="282" spans="1:8" x14ac:dyDescent="0.35">
      <c r="A282" s="1069" t="s">
        <v>3311</v>
      </c>
      <c r="B282" s="370">
        <v>1.6843464796092338</v>
      </c>
      <c r="C282" s="370">
        <v>1.6852422332554098</v>
      </c>
      <c r="D282" s="370">
        <v>1.6796316562394802</v>
      </c>
      <c r="E282" s="370">
        <v>1.6679792646114113</v>
      </c>
      <c r="F282" s="370">
        <v>1.6458823538706358</v>
      </c>
      <c r="G282" s="370">
        <v>1.6138920431323149</v>
      </c>
    </row>
    <row r="283" spans="1:8" x14ac:dyDescent="0.35">
      <c r="A283" s="1069" t="s">
        <v>3312</v>
      </c>
      <c r="B283" s="370">
        <v>1.7663353192111355</v>
      </c>
      <c r="C283" s="370">
        <v>1.7638076762813775</v>
      </c>
      <c r="D283" s="370">
        <v>1.7549241340637989</v>
      </c>
      <c r="E283" s="370">
        <v>1.7401423233820239</v>
      </c>
      <c r="F283" s="370">
        <v>1.7150529793410931</v>
      </c>
      <c r="G283" s="370">
        <v>1.6802009698367157</v>
      </c>
    </row>
    <row r="284" spans="1:8" x14ac:dyDescent="0.35">
      <c r="A284" s="1069" t="s">
        <v>3313</v>
      </c>
      <c r="B284" s="300">
        <v>1.8449007622371034</v>
      </c>
      <c r="C284" s="300">
        <v>1.8391001541056962</v>
      </c>
      <c r="D284" s="300">
        <v>1.8270871928344115</v>
      </c>
      <c r="E284" s="300">
        <v>1.8093129488524808</v>
      </c>
      <c r="F284" s="300">
        <v>1.7813619060454939</v>
      </c>
      <c r="G284" s="300">
        <v>1.7437729753734845</v>
      </c>
      <c r="H284" s="370" t="s">
        <v>3265</v>
      </c>
    </row>
    <row r="285" spans="1:8" x14ac:dyDescent="0.35">
      <c r="A285" s="1069" t="s">
        <v>3314</v>
      </c>
      <c r="B285" s="300">
        <v>0.16526910599762337</v>
      </c>
      <c r="C285" s="300">
        <v>0.17112088949428522</v>
      </c>
      <c r="D285" s="300">
        <v>0.18120483896377559</v>
      </c>
      <c r="E285" s="300">
        <v>0.19542090572016602</v>
      </c>
      <c r="F285" s="300">
        <v>0.20668284887189892</v>
      </c>
      <c r="G285" s="300">
        <v>0.21494236772055608</v>
      </c>
    </row>
    <row r="286" spans="1:8" x14ac:dyDescent="0.35">
      <c r="A286" s="1070" t="s">
        <v>3315</v>
      </c>
      <c r="B286" s="300">
        <v>1.9201932400614221</v>
      </c>
      <c r="C286" s="300">
        <v>1.911263212876309</v>
      </c>
      <c r="D286" s="300">
        <v>1.8962578183048684</v>
      </c>
      <c r="E286" s="300">
        <v>1.8756218755568814</v>
      </c>
      <c r="F286" s="300">
        <v>1.8449339115822627</v>
      </c>
      <c r="G286" s="300">
        <v>1.8047271605259847</v>
      </c>
    </row>
    <row r="287" spans="1:8" x14ac:dyDescent="0.35">
      <c r="A287" s="1069" t="s">
        <v>3316</v>
      </c>
      <c r="B287" s="370">
        <v>1.9923562988320351</v>
      </c>
      <c r="C287" s="370">
        <v>1.9804338383467663</v>
      </c>
      <c r="D287" s="370">
        <v>1.9625667450092694</v>
      </c>
      <c r="E287" s="370">
        <v>1.9391938810936504</v>
      </c>
      <c r="F287" s="370">
        <v>1.9058880967347627</v>
      </c>
      <c r="G287" s="370">
        <v>1.8622582460875707</v>
      </c>
    </row>
    <row r="288" spans="1:8" x14ac:dyDescent="0.35">
      <c r="A288" s="1069" t="s">
        <v>3317</v>
      </c>
      <c r="B288" s="370">
        <v>2.0615269243024921</v>
      </c>
      <c r="C288" s="370">
        <v>2.0467427650511669</v>
      </c>
      <c r="D288" s="370">
        <v>2.0261387505460378</v>
      </c>
      <c r="E288" s="370">
        <v>2.0001480662461506</v>
      </c>
      <c r="F288" s="370">
        <v>1.9634191822963487</v>
      </c>
      <c r="G288" s="370">
        <v>1.916558468420356</v>
      </c>
    </row>
    <row r="289" spans="1:9" x14ac:dyDescent="0.35">
      <c r="A289" s="1069" t="s">
        <v>3318</v>
      </c>
      <c r="B289" s="370">
        <v>2.1278358510068931</v>
      </c>
      <c r="C289" s="370">
        <v>2.1103147705879359</v>
      </c>
      <c r="D289" s="370">
        <v>2.0870929356985379</v>
      </c>
      <c r="E289" s="370">
        <v>2.0576791518077369</v>
      </c>
      <c r="F289" s="370">
        <v>2.0177194046291342</v>
      </c>
      <c r="G289" s="370">
        <v>1.9678092681681478</v>
      </c>
    </row>
    <row r="290" spans="1:9" x14ac:dyDescent="0.35">
      <c r="A290" s="1069" t="s">
        <v>3319</v>
      </c>
      <c r="B290" s="370">
        <v>2.1914078565436617</v>
      </c>
      <c r="C290" s="370">
        <v>2.1712689557404357</v>
      </c>
      <c r="D290" s="370">
        <v>2.1446240212601246</v>
      </c>
      <c r="E290" s="370">
        <v>2.1119793741405219</v>
      </c>
      <c r="F290" s="370">
        <v>2.0689702043769258</v>
      </c>
      <c r="G290" s="370">
        <v>2.0161818965284986</v>
      </c>
    </row>
    <row r="291" spans="1:9" x14ac:dyDescent="0.35">
      <c r="A291" s="1069" t="s">
        <v>3320</v>
      </c>
      <c r="B291" s="370">
        <v>2.2523620416961618</v>
      </c>
      <c r="C291" s="370">
        <v>2.2288000413020219</v>
      </c>
      <c r="D291" s="370">
        <v>2.1989242435929097</v>
      </c>
      <c r="E291" s="370">
        <v>2.1632301738883135</v>
      </c>
      <c r="F291" s="370">
        <v>2.1173428327372767</v>
      </c>
      <c r="G291" s="370">
        <v>2.0618379874773907</v>
      </c>
    </row>
    <row r="292" spans="1:9" x14ac:dyDescent="0.35">
      <c r="A292" s="1069" t="s">
        <v>3321</v>
      </c>
      <c r="B292" s="370">
        <v>0.25221397545001101</v>
      </c>
      <c r="C292" s="370">
        <v>0.2653808590056731</v>
      </c>
      <c r="D292" s="370">
        <v>0.28236577517255373</v>
      </c>
      <c r="E292" s="370">
        <v>0.30094281838328679</v>
      </c>
      <c r="F292" s="370">
        <v>0.31610330392933417</v>
      </c>
      <c r="G292" s="370">
        <v>0.32635700843931365</v>
      </c>
    </row>
    <row r="293" spans="1:9" x14ac:dyDescent="0.35">
      <c r="A293" s="1069" t="s">
        <v>3322</v>
      </c>
      <c r="B293" s="370">
        <v>0.34647394496139894</v>
      </c>
      <c r="C293" s="370">
        <v>0.36654179521445124</v>
      </c>
      <c r="D293" s="370">
        <v>0.38788768783567457</v>
      </c>
      <c r="E293" s="370">
        <v>0.4103632734407221</v>
      </c>
      <c r="F293" s="370">
        <v>0.42751794464809179</v>
      </c>
      <c r="G293" s="370">
        <v>0.43819108359301318</v>
      </c>
    </row>
    <row r="294" spans="1:9" x14ac:dyDescent="0.35">
      <c r="A294" s="1069" t="s">
        <v>3323</v>
      </c>
      <c r="B294" s="370">
        <v>0.44763488117017702</v>
      </c>
      <c r="C294" s="370">
        <v>0.47206370787757213</v>
      </c>
      <c r="D294" s="370">
        <v>0.49730814289310982</v>
      </c>
      <c r="E294" s="370">
        <v>0.52177791415947983</v>
      </c>
      <c r="F294" s="370">
        <v>0.53935201980179137</v>
      </c>
      <c r="G294" s="370">
        <v>0.54915895052150332</v>
      </c>
    </row>
    <row r="295" spans="1:9" x14ac:dyDescent="0.35">
      <c r="A295" s="1069" t="s">
        <v>3324</v>
      </c>
      <c r="B295" s="370">
        <v>0.55315679383329786</v>
      </c>
      <c r="C295" s="370">
        <v>0.58148416293500738</v>
      </c>
      <c r="D295" s="370">
        <v>0.60872278361186738</v>
      </c>
      <c r="E295" s="370">
        <v>0.63361198931317941</v>
      </c>
      <c r="F295" s="370">
        <v>0.65031988673028129</v>
      </c>
      <c r="G295" s="370">
        <v>0.65799686643700528</v>
      </c>
    </row>
    <row r="296" spans="1:9" x14ac:dyDescent="0.35">
      <c r="A296" s="1069" t="s">
        <v>3325</v>
      </c>
      <c r="B296" s="370">
        <v>0.66257724889073311</v>
      </c>
      <c r="C296" s="370">
        <v>0.69289880365376488</v>
      </c>
      <c r="D296" s="370">
        <v>0.72055685876556685</v>
      </c>
      <c r="E296" s="370">
        <v>0.74457985624166934</v>
      </c>
      <c r="F296" s="370">
        <v>0.75915780264578336</v>
      </c>
      <c r="G296" s="370">
        <v>0.76428842880419179</v>
      </c>
    </row>
    <row r="297" spans="1:9" x14ac:dyDescent="0.35">
      <c r="A297" s="1069" t="s">
        <v>3326</v>
      </c>
      <c r="B297" s="370">
        <v>0.77399188960949084</v>
      </c>
      <c r="C297" s="370">
        <v>0.80473287880746436</v>
      </c>
      <c r="D297" s="370">
        <v>0.831524725694057</v>
      </c>
      <c r="E297" s="370">
        <v>0.85341777215717118</v>
      </c>
      <c r="F297" s="370">
        <v>0.86544936501296987</v>
      </c>
      <c r="G297" s="370">
        <v>0.86798425082637642</v>
      </c>
    </row>
    <row r="298" spans="1:9" x14ac:dyDescent="0.35">
      <c r="A298" s="1069" t="s">
        <v>3327</v>
      </c>
      <c r="B298" s="370">
        <v>0.88582596476319042</v>
      </c>
      <c r="C298" s="370">
        <v>0.9157007457359545</v>
      </c>
      <c r="D298" s="370">
        <v>0.94036264160955885</v>
      </c>
      <c r="E298" s="370">
        <v>0.9597093345243578</v>
      </c>
      <c r="F298" s="370">
        <v>0.96914518703515451</v>
      </c>
      <c r="G298" s="370">
        <v>0.96691318121494974</v>
      </c>
    </row>
    <row r="299" spans="1:9" x14ac:dyDescent="0.35">
      <c r="A299" s="3592" t="s">
        <v>4524</v>
      </c>
      <c r="B299" s="300">
        <v>1.0610179860153881</v>
      </c>
      <c r="C299" s="300">
        <v>1.0453563360512605</v>
      </c>
      <c r="D299" s="300">
        <v>1.0217692307179198</v>
      </c>
      <c r="E299" s="300">
        <v>0.99234342960107547</v>
      </c>
      <c r="F299" s="300">
        <v>0.95907479747335578</v>
      </c>
      <c r="G299" s="300">
        <v>0.92339940836919732</v>
      </c>
      <c r="H299" s="300" t="s">
        <v>4525</v>
      </c>
      <c r="I299" s="3410"/>
    </row>
    <row r="300" spans="1:9" x14ac:dyDescent="0.35">
      <c r="A300" s="1069" t="s">
        <v>3328</v>
      </c>
      <c r="B300" s="370">
        <v>1.213178525377838</v>
      </c>
      <c r="C300" s="370">
        <v>1.1823235133463703</v>
      </c>
      <c r="D300" s="370">
        <v>1.1462013504519315</v>
      </c>
      <c r="E300" s="370">
        <v>1.1065303340688444</v>
      </c>
      <c r="F300" s="370">
        <v>1.0647330926108114</v>
      </c>
      <c r="G300" s="370">
        <v>1.0222041033997105</v>
      </c>
    </row>
    <row r="301" spans="1:9" x14ac:dyDescent="0.35">
      <c r="A301" s="1069" t="s">
        <v>3329</v>
      </c>
      <c r="B301" s="370">
        <v>3.4458099003643931E-2</v>
      </c>
      <c r="C301" s="370">
        <v>3.4364822096079328E-2</v>
      </c>
      <c r="D301" s="370">
        <v>3.4200000004807309E-2</v>
      </c>
      <c r="E301" s="370">
        <v>3.4446290967585627E-2</v>
      </c>
      <c r="F301" s="370">
        <v>3.5101253573201846E-2</v>
      </c>
      <c r="G301" s="370">
        <v>3.4912106662713001E-2</v>
      </c>
    </row>
    <row r="302" spans="1:9" x14ac:dyDescent="0.35">
      <c r="A302" s="1069" t="s">
        <v>3330</v>
      </c>
      <c r="B302" s="370">
        <v>0.34863011618912554</v>
      </c>
      <c r="C302" s="370">
        <v>0.34842407608228865</v>
      </c>
      <c r="D302" s="370">
        <v>0.34806481472394191</v>
      </c>
      <c r="E302" s="370">
        <v>0.34800157898010498</v>
      </c>
      <c r="F302" s="370">
        <v>0.34618930348356497</v>
      </c>
      <c r="G302" s="370">
        <v>0.34223040957906609</v>
      </c>
    </row>
    <row r="303" spans="1:9" x14ac:dyDescent="0.35">
      <c r="A303" s="1069" t="s">
        <v>3331</v>
      </c>
      <c r="B303" s="370">
        <v>0.3828821750859327</v>
      </c>
      <c r="C303" s="370">
        <v>0.38242963682002129</v>
      </c>
      <c r="D303" s="370">
        <v>0.38220157898491236</v>
      </c>
      <c r="E303" s="370">
        <v>0.38063559445115053</v>
      </c>
      <c r="F303" s="370">
        <v>0.37733166315226796</v>
      </c>
      <c r="G303" s="370">
        <v>0.372313133552655</v>
      </c>
    </row>
    <row r="304" spans="1:9" x14ac:dyDescent="0.35">
      <c r="A304" s="1069" t="s">
        <v>3332</v>
      </c>
      <c r="B304" s="370">
        <v>0.41688773582366528</v>
      </c>
      <c r="C304" s="370">
        <v>0.41656640108099174</v>
      </c>
      <c r="D304" s="370">
        <v>0.41483559445595791</v>
      </c>
      <c r="E304" s="370">
        <v>0.41177795411985363</v>
      </c>
      <c r="F304" s="370">
        <v>0.40741438712585676</v>
      </c>
      <c r="G304" s="370">
        <v>0.40137349881113132</v>
      </c>
    </row>
    <row r="305" spans="1:7" x14ac:dyDescent="0.35">
      <c r="A305" s="1069" t="s">
        <v>3333</v>
      </c>
      <c r="B305" s="370">
        <v>0.45102450008463563</v>
      </c>
      <c r="C305" s="370">
        <v>0.44920041655203713</v>
      </c>
      <c r="D305" s="370">
        <v>0.44597795412466085</v>
      </c>
      <c r="E305" s="370">
        <v>0.44186067809344232</v>
      </c>
      <c r="F305" s="370">
        <v>0.43647475238433314</v>
      </c>
      <c r="G305" s="370">
        <v>0.4293684845811977</v>
      </c>
    </row>
    <row r="306" spans="1:7" x14ac:dyDescent="0.35">
      <c r="A306" s="1069" t="s">
        <v>3334</v>
      </c>
      <c r="B306" s="370">
        <v>0.48365851555568123</v>
      </c>
      <c r="C306" s="370">
        <v>0.48034277622074023</v>
      </c>
      <c r="D306" s="370">
        <v>0.47606067809824965</v>
      </c>
      <c r="E306" s="370">
        <v>0.47092104335191876</v>
      </c>
      <c r="F306" s="370">
        <v>0.4644697381543994</v>
      </c>
      <c r="G306" s="370">
        <v>0.45643926161426579</v>
      </c>
    </row>
    <row r="307" spans="1:7" x14ac:dyDescent="0.35">
      <c r="A307" s="1069" t="s">
        <v>3335</v>
      </c>
      <c r="B307" s="370">
        <v>0.51480087522438422</v>
      </c>
      <c r="C307" s="370">
        <v>0.51042550019432897</v>
      </c>
      <c r="D307" s="370">
        <v>0.50512104335672603</v>
      </c>
      <c r="E307" s="370">
        <v>0.49891602912198524</v>
      </c>
      <c r="F307" s="370">
        <v>0.49154051518746772</v>
      </c>
      <c r="G307" s="370">
        <v>0.48261794222728632</v>
      </c>
    </row>
    <row r="308" spans="1:7" x14ac:dyDescent="0.35">
      <c r="A308" s="1069" t="s">
        <v>3336</v>
      </c>
      <c r="B308" s="370">
        <v>0.54488359919797291</v>
      </c>
      <c r="C308" s="370">
        <v>0.53948586545280541</v>
      </c>
      <c r="D308" s="370">
        <v>0.53311602912679246</v>
      </c>
      <c r="E308" s="370">
        <v>0.52598680615505311</v>
      </c>
      <c r="F308" s="370">
        <v>0.51771919580048809</v>
      </c>
      <c r="G308" s="370">
        <v>0.50793545117978722</v>
      </c>
    </row>
    <row r="309" spans="1:7" x14ac:dyDescent="0.35">
      <c r="A309" s="1069" t="s">
        <v>3337</v>
      </c>
      <c r="B309" s="370">
        <v>0.57394396445644924</v>
      </c>
      <c r="C309" s="370">
        <v>0.56748085122287195</v>
      </c>
      <c r="D309" s="370">
        <v>0.56018680615986061</v>
      </c>
      <c r="E309" s="370">
        <v>0.55216548676807375</v>
      </c>
      <c r="F309" s="370">
        <v>0.54303670475298915</v>
      </c>
      <c r="G309" s="370">
        <v>0.53242157266178769</v>
      </c>
    </row>
    <row r="310" spans="1:7" x14ac:dyDescent="0.35">
      <c r="A310" s="1069" t="s">
        <v>3338</v>
      </c>
      <c r="B310" s="370">
        <v>0.60193895022651567</v>
      </c>
      <c r="C310" s="370">
        <v>0.59455162825593999</v>
      </c>
      <c r="D310" s="370">
        <v>0.58636548677288114</v>
      </c>
      <c r="E310" s="370">
        <v>0.57748299572057471</v>
      </c>
      <c r="F310" s="370">
        <v>0.56752282623498973</v>
      </c>
      <c r="G310" s="370">
        <v>0.55610499529872426</v>
      </c>
    </row>
    <row r="311" spans="1:7" x14ac:dyDescent="0.35">
      <c r="A311" s="1069" t="s">
        <v>3339</v>
      </c>
      <c r="B311" s="370">
        <v>0.62900972725958393</v>
      </c>
      <c r="C311" s="370">
        <v>0.62073030886896041</v>
      </c>
      <c r="D311" s="370">
        <v>0.61168299572538232</v>
      </c>
      <c r="E311" s="370">
        <v>0.60196911720257529</v>
      </c>
      <c r="F311" s="370">
        <v>0.59120624887192608</v>
      </c>
      <c r="G311" s="370">
        <v>0.57901335526176034</v>
      </c>
    </row>
    <row r="312" spans="1:7" x14ac:dyDescent="0.35">
      <c r="A312" s="1069" t="s">
        <v>3340</v>
      </c>
      <c r="B312" s="370">
        <v>6.8822921099723267E-2</v>
      </c>
      <c r="C312" s="370">
        <v>6.8564822100886644E-2</v>
      </c>
      <c r="D312" s="370">
        <v>6.8646290972392943E-2</v>
      </c>
      <c r="E312" s="370">
        <v>6.9547544540787459E-2</v>
      </c>
      <c r="F312" s="370">
        <v>7.001336023591484E-2</v>
      </c>
      <c r="G312" s="370">
        <v>7.0675199123869048E-2</v>
      </c>
    </row>
    <row r="313" spans="1:7" x14ac:dyDescent="0.35">
      <c r="A313" s="1069" t="s">
        <v>3341</v>
      </c>
      <c r="B313" s="370">
        <v>0.65518840787260424</v>
      </c>
      <c r="C313" s="370">
        <v>0.64604781782146148</v>
      </c>
      <c r="D313" s="370">
        <v>0.63616911720738256</v>
      </c>
      <c r="E313" s="370">
        <v>0.62565253983951186</v>
      </c>
      <c r="F313" s="370">
        <v>0.61411460883496216</v>
      </c>
      <c r="G313" s="370">
        <v>0.60117327756774575</v>
      </c>
    </row>
    <row r="314" spans="1:7" x14ac:dyDescent="0.35">
      <c r="A314" s="1069" t="s">
        <v>3342</v>
      </c>
      <c r="B314" s="370">
        <v>0.68050591682510531</v>
      </c>
      <c r="C314" s="370">
        <v>0.67053393930346195</v>
      </c>
      <c r="D314" s="370">
        <v>0.65985253984431924</v>
      </c>
      <c r="E314" s="370">
        <v>0.64856089980254772</v>
      </c>
      <c r="F314" s="370">
        <v>0.63627453114094767</v>
      </c>
      <c r="G314" s="370">
        <v>0.62208873042851542</v>
      </c>
    </row>
    <row r="315" spans="1:7" x14ac:dyDescent="0.35">
      <c r="A315" s="1069" t="s">
        <v>3343</v>
      </c>
      <c r="B315" s="370">
        <v>0.70499203830710588</v>
      </c>
      <c r="C315" s="370">
        <v>0.69421736194039818</v>
      </c>
      <c r="D315" s="370">
        <v>0.68276089980735521</v>
      </c>
      <c r="E315" s="370">
        <v>0.67072082210853323</v>
      </c>
      <c r="F315" s="370">
        <v>0.65718998400171724</v>
      </c>
      <c r="G315" s="370">
        <v>0.64182960146274826</v>
      </c>
    </row>
    <row r="316" spans="1:7" x14ac:dyDescent="0.35">
      <c r="A316" s="1069" t="s">
        <v>3344</v>
      </c>
      <c r="B316" s="370">
        <v>0.72867546094404223</v>
      </c>
      <c r="C316" s="370">
        <v>0.7171257219034346</v>
      </c>
      <c r="D316" s="370">
        <v>0.70492082211334051</v>
      </c>
      <c r="E316" s="370">
        <v>0.69163627496930291</v>
      </c>
      <c r="F316" s="370">
        <v>0.6769308550359503</v>
      </c>
      <c r="G316" s="370">
        <v>0.66046185350072162</v>
      </c>
    </row>
    <row r="317" spans="1:7" x14ac:dyDescent="0.35">
      <c r="A317" s="1069" t="s">
        <v>3345</v>
      </c>
      <c r="B317" s="370">
        <v>0.75158382090707831</v>
      </c>
      <c r="C317" s="370">
        <v>0.73928564420942</v>
      </c>
      <c r="D317" s="370">
        <v>0.72583627497411041</v>
      </c>
      <c r="E317" s="370">
        <v>0.71137714600353574</v>
      </c>
      <c r="F317" s="370">
        <v>0.69556310707392333</v>
      </c>
      <c r="G317" s="370">
        <v>0.67804774499479747</v>
      </c>
    </row>
    <row r="318" spans="1:7" x14ac:dyDescent="0.35">
      <c r="A318" s="1069" t="s">
        <v>3346</v>
      </c>
      <c r="B318" s="370">
        <v>0.77374374321306372</v>
      </c>
      <c r="C318" s="370">
        <v>0.76020109707018957</v>
      </c>
      <c r="D318" s="370">
        <v>0.74557714600834302</v>
      </c>
      <c r="E318" s="370">
        <v>0.73000939804150911</v>
      </c>
      <c r="F318" s="370">
        <v>0.71314899856799951</v>
      </c>
      <c r="G318" s="370">
        <v>0.69464603805197145</v>
      </c>
    </row>
    <row r="319" spans="1:7" x14ac:dyDescent="0.35">
      <c r="A319" s="1069" t="s">
        <v>3347</v>
      </c>
      <c r="B319" s="370">
        <v>0.10302292110453058</v>
      </c>
      <c r="C319" s="370">
        <v>0.10301111306847227</v>
      </c>
      <c r="D319" s="370">
        <v>0.1037475445455948</v>
      </c>
      <c r="E319" s="370">
        <v>0.10445965120350051</v>
      </c>
      <c r="F319" s="370">
        <v>0.10577645269707089</v>
      </c>
      <c r="G319" s="370">
        <v>0.1061472743827464</v>
      </c>
    </row>
    <row r="320" spans="1:7" x14ac:dyDescent="0.35">
      <c r="A320" s="1069" t="s">
        <v>3348</v>
      </c>
      <c r="B320" s="370">
        <v>0.13746921207211618</v>
      </c>
      <c r="C320" s="370">
        <v>0.13811236664167414</v>
      </c>
      <c r="D320" s="370">
        <v>0.13865965120830778</v>
      </c>
      <c r="E320" s="370">
        <v>0.14022274366465656</v>
      </c>
      <c r="F320" s="370">
        <v>0.14124852795594828</v>
      </c>
      <c r="G320" s="370">
        <v>0.14127216555901961</v>
      </c>
    </row>
    <row r="321" spans="1:7" x14ac:dyDescent="0.35">
      <c r="A321" s="1069" t="s">
        <v>3349</v>
      </c>
      <c r="B321" s="370">
        <v>0.17257046564531808</v>
      </c>
      <c r="C321" s="370">
        <v>0.17302447330438708</v>
      </c>
      <c r="D321" s="370">
        <v>0.17442274366946389</v>
      </c>
      <c r="E321" s="370">
        <v>0.17569481892353386</v>
      </c>
      <c r="F321" s="370">
        <v>0.17637341913222152</v>
      </c>
      <c r="G321" s="370">
        <v>0.17605965054380748</v>
      </c>
    </row>
    <row r="322" spans="1:7" x14ac:dyDescent="0.35">
      <c r="A322" s="1069" t="s">
        <v>3350</v>
      </c>
      <c r="B322" s="370">
        <v>0.2074825723080311</v>
      </c>
      <c r="C322" s="370">
        <v>0.20878756576554319</v>
      </c>
      <c r="D322" s="370">
        <v>0.20989481892834119</v>
      </c>
      <c r="E322" s="370">
        <v>0.2108197100998071</v>
      </c>
      <c r="F322" s="370">
        <v>0.21116090411700933</v>
      </c>
      <c r="G322" s="370">
        <v>0.2103117094406145</v>
      </c>
    </row>
    <row r="323" spans="1:7" x14ac:dyDescent="0.35">
      <c r="A323" s="1069" t="s">
        <v>3351</v>
      </c>
      <c r="B323" s="370">
        <v>0.2432456647691871</v>
      </c>
      <c r="C323" s="370">
        <v>0.24425964102442063</v>
      </c>
      <c r="D323" s="370">
        <v>0.2450197101046144</v>
      </c>
      <c r="E323" s="370">
        <v>0.24560719508459494</v>
      </c>
      <c r="F323" s="370">
        <v>0.24541296301381629</v>
      </c>
      <c r="G323" s="370">
        <v>0.24431727017834717</v>
      </c>
    </row>
    <row r="324" spans="1:7" x14ac:dyDescent="0.35">
      <c r="A324" s="1069" t="s">
        <v>3352</v>
      </c>
      <c r="B324" s="370">
        <v>0.27871774002806443</v>
      </c>
      <c r="C324" s="370">
        <v>0.2793845322006937</v>
      </c>
      <c r="D324" s="370">
        <v>0.27980719508940227</v>
      </c>
      <c r="E324" s="370">
        <v>0.2798592539814021</v>
      </c>
      <c r="F324" s="370">
        <v>0.27941852375154902</v>
      </c>
      <c r="G324" s="370">
        <v>0.2784540344393176</v>
      </c>
    </row>
    <row r="325" spans="1:7" x14ac:dyDescent="0.35">
      <c r="A325" s="1069" t="s">
        <v>3353</v>
      </c>
      <c r="B325" s="370">
        <v>0.31384263120433775</v>
      </c>
      <c r="C325" s="370">
        <v>0.3141720171854816</v>
      </c>
      <c r="D325" s="370">
        <v>0.31405925398620937</v>
      </c>
      <c r="E325" s="370">
        <v>0.31386481471913469</v>
      </c>
      <c r="F325" s="370">
        <v>0.31355528801251942</v>
      </c>
      <c r="G325" s="370">
        <v>0.3110880499103631</v>
      </c>
    </row>
    <row r="326" spans="1:7" x14ac:dyDescent="0.35">
      <c r="A326" s="1069" t="s">
        <v>3354</v>
      </c>
      <c r="B326" s="370">
        <v>2.4213665561361217E-2</v>
      </c>
      <c r="C326" s="370">
        <v>2.3862537816079953E-2</v>
      </c>
      <c r="D326" s="370">
        <v>2.3473735878724866E-2</v>
      </c>
      <c r="E326" s="370">
        <v>2.3064347665253428E-2</v>
      </c>
      <c r="F326" s="370">
        <v>2.3061114129068354E-2</v>
      </c>
      <c r="G326" s="370">
        <v>2.2512588281626368E-2</v>
      </c>
    </row>
    <row r="327" spans="1:7" x14ac:dyDescent="0.35">
      <c r="A327" s="1069" t="s">
        <v>3355</v>
      </c>
      <c r="B327" s="370">
        <v>0.22973335540982898</v>
      </c>
      <c r="C327" s="370">
        <v>0.22714738236709153</v>
      </c>
      <c r="D327" s="370">
        <v>0.22490935615039021</v>
      </c>
      <c r="E327" s="370">
        <v>0.22340349858875491</v>
      </c>
      <c r="F327" s="370">
        <v>0.22135744490103995</v>
      </c>
      <c r="G327" s="370">
        <v>0.21838004233566516</v>
      </c>
    </row>
    <row r="328" spans="1:7" x14ac:dyDescent="0.35">
      <c r="A328" s="1069" t="s">
        <v>3356</v>
      </c>
      <c r="B328" s="370">
        <v>0.25136104792845276</v>
      </c>
      <c r="C328" s="370">
        <v>0.24877189396647018</v>
      </c>
      <c r="D328" s="370">
        <v>0.24687723446747981</v>
      </c>
      <c r="E328" s="370">
        <v>0.24442179256629337</v>
      </c>
      <c r="F328" s="370">
        <v>0.24144115646473349</v>
      </c>
      <c r="G328" s="370">
        <v>0.23787055226309756</v>
      </c>
    </row>
    <row r="329" spans="1:7" x14ac:dyDescent="0.35">
      <c r="A329" s="1069" t="s">
        <v>3357</v>
      </c>
      <c r="B329" s="370">
        <v>0.27298555952783149</v>
      </c>
      <c r="C329" s="370">
        <v>0.27073977228355989</v>
      </c>
      <c r="D329" s="370">
        <v>0.26789552844501835</v>
      </c>
      <c r="E329" s="370">
        <v>0.26450550412998686</v>
      </c>
      <c r="F329" s="370">
        <v>0.26093166639216581</v>
      </c>
      <c r="G329" s="370">
        <v>0.25678282164775501</v>
      </c>
    </row>
    <row r="330" spans="1:7" x14ac:dyDescent="0.35">
      <c r="A330" s="1069" t="s">
        <v>3358</v>
      </c>
      <c r="B330" s="370">
        <v>0.29495343784492112</v>
      </c>
      <c r="C330" s="370">
        <v>0.29175806626109818</v>
      </c>
      <c r="D330" s="370">
        <v>0.28797924000871183</v>
      </c>
      <c r="E330" s="370">
        <v>0.28399601405741925</v>
      </c>
      <c r="F330" s="370">
        <v>0.27984393577682332</v>
      </c>
      <c r="G330" s="370">
        <v>0.27506209121365105</v>
      </c>
    </row>
    <row r="331" spans="1:7" x14ac:dyDescent="0.35">
      <c r="A331" s="1069" t="s">
        <v>3359</v>
      </c>
      <c r="B331" s="370">
        <v>0.31597173182245941</v>
      </c>
      <c r="C331" s="370">
        <v>0.31184177782479172</v>
      </c>
      <c r="D331" s="370">
        <v>0.30746974993614429</v>
      </c>
      <c r="E331" s="370">
        <v>0.30290828344207676</v>
      </c>
      <c r="F331" s="370">
        <v>0.29812320534271936</v>
      </c>
      <c r="G331" s="370">
        <v>0.29279987509564936</v>
      </c>
    </row>
    <row r="332" spans="1:7" x14ac:dyDescent="0.35">
      <c r="A332" s="1069" t="s">
        <v>3360</v>
      </c>
      <c r="B332" s="370">
        <v>0.33605544338615312</v>
      </c>
      <c r="C332" s="370">
        <v>0.33133228775222429</v>
      </c>
      <c r="D332" s="370">
        <v>0.32638201932080174</v>
      </c>
      <c r="E332" s="370">
        <v>0.3211875530079728</v>
      </c>
      <c r="F332" s="370">
        <v>0.31586098922471778</v>
      </c>
      <c r="G332" s="370">
        <v>0.31001226510234819</v>
      </c>
    </row>
    <row r="333" spans="1:7" x14ac:dyDescent="0.35">
      <c r="A333" s="1069" t="s">
        <v>3361</v>
      </c>
      <c r="B333" s="370">
        <v>0.35554595331358563</v>
      </c>
      <c r="C333" s="370">
        <v>0.3502445571368818</v>
      </c>
      <c r="D333" s="370">
        <v>0.34466128888669778</v>
      </c>
      <c r="E333" s="370">
        <v>0.33892533688997123</v>
      </c>
      <c r="F333" s="370">
        <v>0.33307337923141639</v>
      </c>
      <c r="G333" s="370">
        <v>0.32671487227221091</v>
      </c>
    </row>
    <row r="334" spans="1:7" x14ac:dyDescent="0.35">
      <c r="A334" s="1069" t="s">
        <v>3362</v>
      </c>
      <c r="B334" s="370">
        <v>0.37445822269824308</v>
      </c>
      <c r="C334" s="370">
        <v>0.36852382670277778</v>
      </c>
      <c r="D334" s="370">
        <v>0.3623990727686961</v>
      </c>
      <c r="E334" s="370">
        <v>0.35613772689666995</v>
      </c>
      <c r="F334" s="370">
        <v>0.34977598640127916</v>
      </c>
      <c r="G334" s="370">
        <v>0.34292284136434625</v>
      </c>
    </row>
    <row r="335" spans="1:7" x14ac:dyDescent="0.35">
      <c r="A335" s="1069" t="s">
        <v>3363</v>
      </c>
      <c r="B335" s="370">
        <v>0.39273749226413884</v>
      </c>
      <c r="C335" s="370">
        <v>0.38626161058477615</v>
      </c>
      <c r="D335" s="370">
        <v>0.37961146277539481</v>
      </c>
      <c r="E335" s="370">
        <v>0.37284033406653266</v>
      </c>
      <c r="F335" s="370">
        <v>0.36598395549341456</v>
      </c>
      <c r="G335" s="370">
        <v>0.35865086490623926</v>
      </c>
    </row>
    <row r="336" spans="1:7" x14ac:dyDescent="0.35">
      <c r="A336" s="1069" t="s">
        <v>3364</v>
      </c>
      <c r="B336" s="370">
        <v>0.41047527614613755</v>
      </c>
      <c r="C336" s="370">
        <v>0.40347400059147465</v>
      </c>
      <c r="D336" s="370">
        <v>0.39631406994525747</v>
      </c>
      <c r="E336" s="370">
        <v>0.38904830315866806</v>
      </c>
      <c r="F336" s="370">
        <v>0.38171197903530768</v>
      </c>
      <c r="G336" s="370">
        <v>0.37391319681228774</v>
      </c>
    </row>
    <row r="337" spans="1:7" x14ac:dyDescent="0.35">
      <c r="A337" s="1069" t="s">
        <v>3365</v>
      </c>
      <c r="B337" s="370">
        <v>4.8076203377441173E-2</v>
      </c>
      <c r="C337" s="370">
        <v>4.7336273694804809E-2</v>
      </c>
      <c r="D337" s="370">
        <v>4.6538083543978287E-2</v>
      </c>
      <c r="E337" s="370">
        <v>4.6125461794321788E-2</v>
      </c>
      <c r="F337" s="370">
        <v>4.5573702410694736E-2</v>
      </c>
      <c r="G337" s="370">
        <v>4.5459218286158967E-2</v>
      </c>
    </row>
    <row r="338" spans="1:7" x14ac:dyDescent="0.35">
      <c r="A338" s="1069" t="s">
        <v>3366</v>
      </c>
      <c r="B338" s="370">
        <v>0.4276876661528361</v>
      </c>
      <c r="C338" s="370">
        <v>0.42017660776133764</v>
      </c>
      <c r="D338" s="370">
        <v>0.41252203903739282</v>
      </c>
      <c r="E338" s="370">
        <v>0.40477632670056096</v>
      </c>
      <c r="F338" s="370">
        <v>0.39697431094135621</v>
      </c>
      <c r="G338" s="370">
        <v>0.38872366558655463</v>
      </c>
    </row>
    <row r="339" spans="1:7" x14ac:dyDescent="0.35">
      <c r="A339" s="1069" t="s">
        <v>3367</v>
      </c>
      <c r="B339" s="370">
        <v>0.4443902733226987</v>
      </c>
      <c r="C339" s="370">
        <v>0.43638457685347321</v>
      </c>
      <c r="D339" s="370">
        <v>0.42825006257928594</v>
      </c>
      <c r="E339" s="370">
        <v>0.42003865860660949</v>
      </c>
      <c r="F339" s="370">
        <v>0.41178477971562299</v>
      </c>
      <c r="G339" s="370">
        <v>0.40270239968213462</v>
      </c>
    </row>
    <row r="340" spans="1:7" x14ac:dyDescent="0.35">
      <c r="A340" s="1069" t="s">
        <v>3368</v>
      </c>
      <c r="B340" s="370">
        <v>0.46059824241483427</v>
      </c>
      <c r="C340" s="370">
        <v>0.45211260039536594</v>
      </c>
      <c r="D340" s="370">
        <v>0.44351239448533442</v>
      </c>
      <c r="E340" s="370">
        <v>0.4348491273808765</v>
      </c>
      <c r="F340" s="370">
        <v>0.42576351381120303</v>
      </c>
      <c r="G340" s="370">
        <v>0.41589610812534356</v>
      </c>
    </row>
    <row r="341" spans="1:7" x14ac:dyDescent="0.35">
      <c r="A341" s="1069" t="s">
        <v>3369</v>
      </c>
      <c r="B341" s="370">
        <v>0.47632626595672722</v>
      </c>
      <c r="C341" s="370">
        <v>0.46737493230141458</v>
      </c>
      <c r="D341" s="370">
        <v>0.45832286325960131</v>
      </c>
      <c r="E341" s="370">
        <v>0.44882786147645637</v>
      </c>
      <c r="F341" s="370">
        <v>0.43895722225441203</v>
      </c>
      <c r="G341" s="370">
        <v>0.42834887683059031</v>
      </c>
    </row>
    <row r="342" spans="1:7" x14ac:dyDescent="0.35">
      <c r="A342" s="1069" t="s">
        <v>3370</v>
      </c>
      <c r="B342" s="370">
        <v>0.4915885978627757</v>
      </c>
      <c r="C342" s="370">
        <v>0.48218540107568147</v>
      </c>
      <c r="D342" s="370">
        <v>0.47230159735518118</v>
      </c>
      <c r="E342" s="370">
        <v>0.46202156991966536</v>
      </c>
      <c r="F342" s="370">
        <v>0.45140999095965856</v>
      </c>
      <c r="G342" s="370">
        <v>0.44010231591057786</v>
      </c>
    </row>
    <row r="343" spans="1:7" x14ac:dyDescent="0.35">
      <c r="A343" s="1069" t="s">
        <v>3371</v>
      </c>
      <c r="B343" s="370">
        <v>0.50639906663704248</v>
      </c>
      <c r="C343" s="370">
        <v>0.4961641351712614</v>
      </c>
      <c r="D343" s="370">
        <v>0.48549530579839018</v>
      </c>
      <c r="E343" s="370">
        <v>0.47447433862491212</v>
      </c>
      <c r="F343" s="370">
        <v>0.46316343003964611</v>
      </c>
      <c r="G343" s="370">
        <v>0.45119569871377502</v>
      </c>
    </row>
    <row r="344" spans="1:7" x14ac:dyDescent="0.35">
      <c r="A344" s="1069" t="s">
        <v>3372</v>
      </c>
      <c r="B344" s="370">
        <v>0.52037780073262263</v>
      </c>
      <c r="C344" s="370">
        <v>0.50935784361447012</v>
      </c>
      <c r="D344" s="370">
        <v>0.49794807450363693</v>
      </c>
      <c r="E344" s="370">
        <v>0.48622777770489967</v>
      </c>
      <c r="F344" s="370">
        <v>0.47425681284284354</v>
      </c>
      <c r="G344" s="370">
        <v>0.46166609305374423</v>
      </c>
    </row>
    <row r="345" spans="1:7" x14ac:dyDescent="0.35">
      <c r="A345" s="1069" t="s">
        <v>3373</v>
      </c>
      <c r="B345" s="370">
        <v>0.53357150917583163</v>
      </c>
      <c r="C345" s="370">
        <v>0.52181061231971715</v>
      </c>
      <c r="D345" s="370">
        <v>0.50970151358362437</v>
      </c>
      <c r="E345" s="370">
        <v>0.49732116050809699</v>
      </c>
      <c r="F345" s="370">
        <v>0.48472720718281281</v>
      </c>
      <c r="G345" s="370">
        <v>0.47154848506881664</v>
      </c>
    </row>
    <row r="346" spans="1:7" x14ac:dyDescent="0.35">
      <c r="A346" s="1069" t="s">
        <v>3374</v>
      </c>
      <c r="B346" s="370">
        <v>0.54602427788107832</v>
      </c>
      <c r="C346" s="370">
        <v>0.53356405139970464</v>
      </c>
      <c r="D346" s="370">
        <v>0.52079489638682186</v>
      </c>
      <c r="E346" s="370">
        <v>0.50779155484806615</v>
      </c>
      <c r="F346" s="370">
        <v>0.49460959919788494</v>
      </c>
      <c r="G346" s="370">
        <v>0.48087589612598725</v>
      </c>
    </row>
    <row r="347" spans="1:7" x14ac:dyDescent="0.35">
      <c r="A347" s="1069" t="s">
        <v>3375</v>
      </c>
      <c r="B347" s="370">
        <v>0.55777771696106582</v>
      </c>
      <c r="C347" s="370">
        <v>0.54465743420290191</v>
      </c>
      <c r="D347" s="370">
        <v>0.53126529072679085</v>
      </c>
      <c r="E347" s="370">
        <v>0.51767394686313828</v>
      </c>
      <c r="F347" s="370">
        <v>0.50393701025505555</v>
      </c>
      <c r="G347" s="370">
        <v>0.48967949315965464</v>
      </c>
    </row>
    <row r="348" spans="1:7" x14ac:dyDescent="0.35">
      <c r="A348" s="1069" t="s">
        <v>3376</v>
      </c>
      <c r="B348" s="370">
        <v>7.1549939256166026E-2</v>
      </c>
      <c r="C348" s="370">
        <v>7.0400621360058174E-2</v>
      </c>
      <c r="D348" s="370">
        <v>6.9599197673046648E-2</v>
      </c>
      <c r="E348" s="370">
        <v>6.8638050075948157E-2</v>
      </c>
      <c r="F348" s="370">
        <v>6.85203324152273E-2</v>
      </c>
      <c r="G348" s="370">
        <v>6.7969676838309095E-2</v>
      </c>
    </row>
    <row r="349" spans="1:7" x14ac:dyDescent="0.35">
      <c r="A349" s="1069" t="s">
        <v>3377</v>
      </c>
      <c r="B349" s="370">
        <v>0.56887109976426309</v>
      </c>
      <c r="C349" s="370">
        <v>0.55512782854287079</v>
      </c>
      <c r="D349" s="370">
        <v>0.5411476827418632</v>
      </c>
      <c r="E349" s="370">
        <v>0.527001357920309</v>
      </c>
      <c r="F349" s="370">
        <v>0.51274060728872306</v>
      </c>
      <c r="G349" s="370">
        <v>0.49798869281389502</v>
      </c>
    </row>
    <row r="350" spans="1:7" x14ac:dyDescent="0.35">
      <c r="A350" s="1069" t="s">
        <v>3378</v>
      </c>
      <c r="B350" s="370">
        <v>9.4614286921419377E-2</v>
      </c>
      <c r="C350" s="370">
        <v>9.346173548912648E-2</v>
      </c>
      <c r="D350" s="370">
        <v>9.2111785954672981E-2</v>
      </c>
      <c r="E350" s="370">
        <v>9.1584680080480749E-2</v>
      </c>
      <c r="F350" s="370">
        <v>9.1030790967377442E-2</v>
      </c>
      <c r="G350" s="370">
        <v>9.0129242912776131E-2</v>
      </c>
    </row>
    <row r="351" spans="1:7" x14ac:dyDescent="0.35">
      <c r="A351" s="1069" t="s">
        <v>3379</v>
      </c>
      <c r="B351" s="370">
        <v>0.1176754010504877</v>
      </c>
      <c r="C351" s="370">
        <v>0.11597432377075274</v>
      </c>
      <c r="D351" s="370">
        <v>0.1150584159592056</v>
      </c>
      <c r="E351" s="370">
        <v>0.11409513863263079</v>
      </c>
      <c r="F351" s="370">
        <v>0.11319035704184451</v>
      </c>
      <c r="G351" s="370">
        <v>0.1120579543593411</v>
      </c>
    </row>
    <row r="352" spans="1:7" x14ac:dyDescent="0.35">
      <c r="A352" s="1069" t="s">
        <v>3380</v>
      </c>
      <c r="B352" s="370">
        <v>0.14018798933211396</v>
      </c>
      <c r="C352" s="370">
        <v>0.13892095377528541</v>
      </c>
      <c r="D352" s="370">
        <v>0.13756887451135569</v>
      </c>
      <c r="E352" s="370">
        <v>0.13625470470709797</v>
      </c>
      <c r="F352" s="370">
        <v>0.13511906848840938</v>
      </c>
      <c r="G352" s="370">
        <v>0.13368564687796483</v>
      </c>
    </row>
    <row r="353" spans="1:7" x14ac:dyDescent="0.35">
      <c r="A353" s="1069" t="s">
        <v>3381</v>
      </c>
      <c r="B353" s="370">
        <v>0.16313461933664658</v>
      </c>
      <c r="C353" s="370">
        <v>0.16143141232743555</v>
      </c>
      <c r="D353" s="370">
        <v>0.15972844058582283</v>
      </c>
      <c r="E353" s="370">
        <v>0.15818341615366283</v>
      </c>
      <c r="F353" s="370">
        <v>0.15674676100703316</v>
      </c>
      <c r="G353" s="370">
        <v>0.15531015847734356</v>
      </c>
    </row>
    <row r="354" spans="1:7" x14ac:dyDescent="0.35">
      <c r="A354" s="1069" t="s">
        <v>3382</v>
      </c>
      <c r="B354" s="370">
        <v>0.18564507788879681</v>
      </c>
      <c r="C354" s="370">
        <v>0.18359097840190275</v>
      </c>
      <c r="D354" s="370">
        <v>0.18165715203238769</v>
      </c>
      <c r="E354" s="370">
        <v>0.17981110867228667</v>
      </c>
      <c r="F354" s="370">
        <v>0.17837127260641186</v>
      </c>
      <c r="G354" s="370">
        <v>0.17727803679443313</v>
      </c>
    </row>
    <row r="355" spans="1:7" x14ac:dyDescent="0.35">
      <c r="A355" s="1069" t="s">
        <v>3383</v>
      </c>
      <c r="B355" s="370">
        <v>0.20780464396326398</v>
      </c>
      <c r="C355" s="370">
        <v>0.20551968984846772</v>
      </c>
      <c r="D355" s="370">
        <v>0.20328484455101151</v>
      </c>
      <c r="E355" s="370">
        <v>0.20143562027166542</v>
      </c>
      <c r="F355" s="370">
        <v>0.20033915092350146</v>
      </c>
      <c r="G355" s="370">
        <v>0.19829633077197154</v>
      </c>
    </row>
    <row r="356" spans="1:7" x14ac:dyDescent="0.35">
      <c r="A356" s="1069" t="s">
        <v>3384</v>
      </c>
      <c r="B356" s="370">
        <v>3.6122076649032366E-2</v>
      </c>
      <c r="C356" s="370">
        <v>3.626085779504358E-2</v>
      </c>
      <c r="D356" s="370">
        <v>3.6314201187105023E-2</v>
      </c>
      <c r="E356" s="370">
        <v>3.7054864222734227E-2</v>
      </c>
      <c r="F356" s="370">
        <v>3.8125375039845942E-2</v>
      </c>
      <c r="G356" s="370">
        <v>3.8271367462228589E-2</v>
      </c>
    </row>
    <row r="357" spans="1:7" x14ac:dyDescent="0.35">
      <c r="A357" s="1069" t="s">
        <v>3385</v>
      </c>
      <c r="B357" s="370">
        <v>0.37809663680705019</v>
      </c>
      <c r="C357" s="370">
        <v>0.37990280922825781</v>
      </c>
      <c r="D357" s="370">
        <v>0.38117095186879191</v>
      </c>
      <c r="E357" s="370">
        <v>0.3823152332993317</v>
      </c>
      <c r="F357" s="370">
        <v>0.38105540250885189</v>
      </c>
      <c r="G357" s="370">
        <v>0.3770672705400111</v>
      </c>
    </row>
    <row r="358" spans="1:7" x14ac:dyDescent="0.35">
      <c r="A358" s="1069" t="s">
        <v>3386</v>
      </c>
      <c r="B358" s="370">
        <v>0.4160248858772902</v>
      </c>
      <c r="C358" s="370">
        <v>0.41743180966383553</v>
      </c>
      <c r="D358" s="370">
        <v>0.41862943448643675</v>
      </c>
      <c r="E358" s="370">
        <v>0.41811026673158613</v>
      </c>
      <c r="F358" s="370">
        <v>0.41519264557985691</v>
      </c>
      <c r="G358" s="370">
        <v>0.40996829324908513</v>
      </c>
    </row>
    <row r="359" spans="1:7" x14ac:dyDescent="0.35">
      <c r="A359" s="1069" t="s">
        <v>3387</v>
      </c>
      <c r="B359" s="370">
        <v>0.45355388631286792</v>
      </c>
      <c r="C359" s="370">
        <v>0.45489029228148031</v>
      </c>
      <c r="D359" s="370">
        <v>0.45442446791869112</v>
      </c>
      <c r="E359" s="370">
        <v>0.4522475098025911</v>
      </c>
      <c r="F359" s="370">
        <v>0.44809366828893121</v>
      </c>
      <c r="G359" s="370">
        <v>0.44168147787668149</v>
      </c>
    </row>
    <row r="360" spans="1:7" x14ac:dyDescent="0.35">
      <c r="A360" s="1069" t="s">
        <v>3388</v>
      </c>
      <c r="B360" s="370">
        <v>0.4910123689305127</v>
      </c>
      <c r="C360" s="370">
        <v>0.49068532571373458</v>
      </c>
      <c r="D360" s="370">
        <v>0.48856171098969609</v>
      </c>
      <c r="E360" s="370">
        <v>0.48514853251166534</v>
      </c>
      <c r="F360" s="370">
        <v>0.47980685291652736</v>
      </c>
      <c r="G360" s="370">
        <v>0.47218204450506895</v>
      </c>
    </row>
    <row r="361" spans="1:7" x14ac:dyDescent="0.35">
      <c r="A361" s="1069" t="s">
        <v>3389</v>
      </c>
      <c r="B361" s="370">
        <v>0.52680740236276702</v>
      </c>
      <c r="C361" s="370">
        <v>0.52482256878473954</v>
      </c>
      <c r="D361" s="370">
        <v>0.52146273369877028</v>
      </c>
      <c r="E361" s="370">
        <v>0.51686171713926177</v>
      </c>
      <c r="F361" s="370">
        <v>0.51030741954491499</v>
      </c>
      <c r="G361" s="370">
        <v>0.5016243480332645</v>
      </c>
    </row>
    <row r="362" spans="1:7" x14ac:dyDescent="0.35">
      <c r="A362" s="1069" t="s">
        <v>3390</v>
      </c>
      <c r="B362" s="370">
        <v>0.56094464543377209</v>
      </c>
      <c r="C362" s="370">
        <v>0.5577235914938139</v>
      </c>
      <c r="D362" s="370">
        <v>0.5531759183263667</v>
      </c>
      <c r="E362" s="370">
        <v>0.54736228376764906</v>
      </c>
      <c r="F362" s="370">
        <v>0.53974972307311053</v>
      </c>
      <c r="G362" s="370">
        <v>0.53004741379327502</v>
      </c>
    </row>
    <row r="363" spans="1:7" x14ac:dyDescent="0.35">
      <c r="A363" s="1069" t="s">
        <v>3391</v>
      </c>
      <c r="B363" s="370">
        <v>0.59384566814284634</v>
      </c>
      <c r="C363" s="370">
        <v>0.58943677612141032</v>
      </c>
      <c r="D363" s="370">
        <v>0.58367648495475422</v>
      </c>
      <c r="E363" s="370">
        <v>0.57680458729584472</v>
      </c>
      <c r="F363" s="370">
        <v>0.56817278883312117</v>
      </c>
      <c r="G363" s="370">
        <v>0.55748872920402937</v>
      </c>
    </row>
    <row r="364" spans="1:7" x14ac:dyDescent="0.35">
      <c r="A364" s="1069" t="s">
        <v>3392</v>
      </c>
      <c r="B364" s="370">
        <v>0.62555885277044265</v>
      </c>
      <c r="C364" s="370">
        <v>0.61993734274979784</v>
      </c>
      <c r="D364" s="370">
        <v>0.61311878848294965</v>
      </c>
      <c r="E364" s="370">
        <v>0.60522765305585535</v>
      </c>
      <c r="F364" s="370">
        <v>0.5956141042438754</v>
      </c>
      <c r="G364" s="370">
        <v>0.58398430837566984</v>
      </c>
    </row>
    <row r="365" spans="1:7" x14ac:dyDescent="0.35">
      <c r="A365" s="1069" t="s">
        <v>3393</v>
      </c>
      <c r="B365" s="370">
        <v>0.65605941939883017</v>
      </c>
      <c r="C365" s="370">
        <v>0.64937964627799316</v>
      </c>
      <c r="D365" s="370">
        <v>0.64154185424296029</v>
      </c>
      <c r="E365" s="370">
        <v>0.63266896846660947</v>
      </c>
      <c r="F365" s="370">
        <v>0.62210968341551576</v>
      </c>
      <c r="G365" s="370">
        <v>0.60956875384784248</v>
      </c>
    </row>
    <row r="366" spans="1:7" x14ac:dyDescent="0.35">
      <c r="A366" s="1069" t="s">
        <v>3394</v>
      </c>
      <c r="B366" s="370">
        <v>0.68550172292702571</v>
      </c>
      <c r="C366" s="370">
        <v>0.6778027120380038</v>
      </c>
      <c r="D366" s="370">
        <v>0.6689831696537144</v>
      </c>
      <c r="E366" s="370">
        <v>0.65916454763824994</v>
      </c>
      <c r="F366" s="370">
        <v>0.64769412888768862</v>
      </c>
      <c r="G366" s="370">
        <v>0.6342753155945805</v>
      </c>
    </row>
    <row r="367" spans="1:7" x14ac:dyDescent="0.35">
      <c r="A367" s="1069" t="s">
        <v>3395</v>
      </c>
      <c r="B367" s="370">
        <v>7.2382934444075953E-2</v>
      </c>
      <c r="C367" s="370">
        <v>7.2575058982148583E-2</v>
      </c>
      <c r="D367" s="370">
        <v>7.3369065409839257E-2</v>
      </c>
      <c r="E367" s="370">
        <v>7.5180239262580176E-2</v>
      </c>
      <c r="F367" s="370">
        <v>7.6396742502074538E-2</v>
      </c>
      <c r="G367" s="370">
        <v>7.7570618791081722E-2</v>
      </c>
    </row>
    <row r="368" spans="1:7" x14ac:dyDescent="0.35">
      <c r="A368" s="1069" t="s">
        <v>3396</v>
      </c>
      <c r="B368" s="370">
        <v>0.71392478868703624</v>
      </c>
      <c r="C368" s="370">
        <v>0.70524402744875803</v>
      </c>
      <c r="D368" s="370">
        <v>0.69547874882535488</v>
      </c>
      <c r="E368" s="370">
        <v>0.68474899311042281</v>
      </c>
      <c r="F368" s="370">
        <v>0.67240069063442631</v>
      </c>
      <c r="G368" s="370">
        <v>0.65813594742205828</v>
      </c>
    </row>
    <row r="369" spans="1:7" x14ac:dyDescent="0.35">
      <c r="A369" s="1069" t="s">
        <v>3397</v>
      </c>
      <c r="B369" s="370">
        <v>0.74136610409779047</v>
      </c>
      <c r="C369" s="370">
        <v>0.73173960662039839</v>
      </c>
      <c r="D369" s="370">
        <v>0.72106319429752774</v>
      </c>
      <c r="E369" s="370">
        <v>0.70945555485716061</v>
      </c>
      <c r="F369" s="370">
        <v>0.69626132246190409</v>
      </c>
      <c r="G369" s="370">
        <v>0.6806566003974972</v>
      </c>
    </row>
    <row r="370" spans="1:7" x14ac:dyDescent="0.35">
      <c r="A370" s="1069" t="s">
        <v>3398</v>
      </c>
      <c r="B370" s="370">
        <v>0.76786168326943083</v>
      </c>
      <c r="C370" s="370">
        <v>0.75732405209257114</v>
      </c>
      <c r="D370" s="370">
        <v>0.74576975604426576</v>
      </c>
      <c r="E370" s="370">
        <v>0.73331618668463827</v>
      </c>
      <c r="F370" s="370">
        <v>0.71878197543734301</v>
      </c>
      <c r="G370" s="370">
        <v>0.70191252581084207</v>
      </c>
    </row>
    <row r="371" spans="1:7" x14ac:dyDescent="0.35">
      <c r="A371" s="1069" t="s">
        <v>3399</v>
      </c>
      <c r="B371" s="370">
        <v>0.7934461287416037</v>
      </c>
      <c r="C371" s="370">
        <v>0.78203061383930916</v>
      </c>
      <c r="D371" s="370">
        <v>0.76963038787174332</v>
      </c>
      <c r="E371" s="370">
        <v>0.75583683966007731</v>
      </c>
      <c r="F371" s="370">
        <v>0.7400379008506881</v>
      </c>
      <c r="G371" s="370">
        <v>0.72197474894755254</v>
      </c>
    </row>
    <row r="372" spans="1:7" x14ac:dyDescent="0.35">
      <c r="A372" s="1069" t="s">
        <v>3400</v>
      </c>
      <c r="B372" s="370">
        <v>0.81815269048834172</v>
      </c>
      <c r="C372" s="370">
        <v>0.80589124566678694</v>
      </c>
      <c r="D372" s="370">
        <v>0.79215104084718213</v>
      </c>
      <c r="E372" s="370">
        <v>0.77709276507342218</v>
      </c>
      <c r="F372" s="370">
        <v>0.76010012398739857</v>
      </c>
      <c r="G372" s="370">
        <v>0.7409103064149527</v>
      </c>
    </row>
    <row r="373" spans="1:7" x14ac:dyDescent="0.35">
      <c r="A373" s="1069" t="s">
        <v>3401</v>
      </c>
      <c r="B373" s="370">
        <v>0.84201332231581927</v>
      </c>
      <c r="C373" s="370">
        <v>0.82841189864222564</v>
      </c>
      <c r="D373" s="370">
        <v>0.81340696626052711</v>
      </c>
      <c r="E373" s="370">
        <v>0.79715498821013298</v>
      </c>
      <c r="F373" s="370">
        <v>0.77903568145479873</v>
      </c>
      <c r="G373" s="370">
        <v>0.7587824701406729</v>
      </c>
    </row>
    <row r="374" spans="1:7" x14ac:dyDescent="0.35">
      <c r="A374" s="1069" t="s">
        <v>3402</v>
      </c>
      <c r="B374" s="370">
        <v>0.10869713563118096</v>
      </c>
      <c r="C374" s="370">
        <v>0.10962992320488282</v>
      </c>
      <c r="D374" s="370">
        <v>0.11149444044968521</v>
      </c>
      <c r="E374" s="370">
        <v>0.11345160672480875</v>
      </c>
      <c r="F374" s="370">
        <v>0.11569599383092767</v>
      </c>
      <c r="G374" s="370">
        <v>0.11675670721259412</v>
      </c>
    </row>
    <row r="375" spans="1:7" x14ac:dyDescent="0.35">
      <c r="A375" s="1069" t="s">
        <v>3403</v>
      </c>
      <c r="B375" s="370">
        <v>0.14575199985391521</v>
      </c>
      <c r="C375" s="370">
        <v>0.1477552982447288</v>
      </c>
      <c r="D375" s="370">
        <v>0.14976580791191382</v>
      </c>
      <c r="E375" s="370">
        <v>0.15275085805366193</v>
      </c>
      <c r="F375" s="370">
        <v>0.15488208225244007</v>
      </c>
      <c r="G375" s="370">
        <v>0.15566741889451516</v>
      </c>
    </row>
    <row r="376" spans="1:7" x14ac:dyDescent="0.35">
      <c r="A376" s="1069" t="s">
        <v>3404</v>
      </c>
      <c r="B376" s="370">
        <v>0.18387737489376116</v>
      </c>
      <c r="C376" s="370">
        <v>0.18602666570695736</v>
      </c>
      <c r="D376" s="370">
        <v>0.18906505924076694</v>
      </c>
      <c r="E376" s="370">
        <v>0.19193694647517426</v>
      </c>
      <c r="F376" s="370">
        <v>0.19379279393436108</v>
      </c>
      <c r="G376" s="370">
        <v>0.19421926191328903</v>
      </c>
    </row>
    <row r="377" spans="1:7" x14ac:dyDescent="0.35">
      <c r="A377" s="1069" t="s">
        <v>3405</v>
      </c>
      <c r="B377" s="370">
        <v>0.22214874235598975</v>
      </c>
      <c r="C377" s="370">
        <v>0.22532591703581051</v>
      </c>
      <c r="D377" s="370">
        <v>0.22825114766227927</v>
      </c>
      <c r="E377" s="370">
        <v>0.23084765815709535</v>
      </c>
      <c r="F377" s="370">
        <v>0.23234463695313495</v>
      </c>
      <c r="G377" s="370">
        <v>0.23214751098352907</v>
      </c>
    </row>
    <row r="378" spans="1:7" x14ac:dyDescent="0.35">
      <c r="A378" s="1069" t="s">
        <v>3406</v>
      </c>
      <c r="B378" s="370">
        <v>0.26144799368484289</v>
      </c>
      <c r="C378" s="370">
        <v>0.26451200545732279</v>
      </c>
      <c r="D378" s="370">
        <v>0.26716185934420034</v>
      </c>
      <c r="E378" s="370">
        <v>0.26939950117586919</v>
      </c>
      <c r="F378" s="370">
        <v>0.27027288602337496</v>
      </c>
      <c r="G378" s="370">
        <v>0.2696765114191067</v>
      </c>
    </row>
    <row r="379" spans="1:7" x14ac:dyDescent="0.35">
      <c r="A379" s="1069" t="s">
        <v>3407</v>
      </c>
      <c r="B379" s="370">
        <v>0.30063408210635523</v>
      </c>
      <c r="C379" s="370">
        <v>0.3034227171392439</v>
      </c>
      <c r="D379" s="370">
        <v>0.30571370236297429</v>
      </c>
      <c r="E379" s="370">
        <v>0.30732775024610914</v>
      </c>
      <c r="F379" s="370">
        <v>0.30780188645895262</v>
      </c>
      <c r="G379" s="370">
        <v>0.30713499403675149</v>
      </c>
    </row>
    <row r="380" spans="1:7" x14ac:dyDescent="0.35">
      <c r="A380" s="1069" t="s">
        <v>3408</v>
      </c>
      <c r="B380" s="370">
        <v>0.33954479378827634</v>
      </c>
      <c r="C380" s="370">
        <v>0.3419745601580178</v>
      </c>
      <c r="D380" s="370">
        <v>0.34364195143321419</v>
      </c>
      <c r="E380" s="370">
        <v>0.34485675068168692</v>
      </c>
      <c r="F380" s="370">
        <v>0.34526036907659746</v>
      </c>
      <c r="G380" s="370">
        <v>0.34293002746900586</v>
      </c>
    </row>
    <row r="381" spans="1:7" x14ac:dyDescent="0.35">
      <c r="A381" s="1069" t="s">
        <v>3409</v>
      </c>
      <c r="B381" s="370">
        <v>2.8711085945445445E-2</v>
      </c>
      <c r="C381" s="370">
        <v>2.8281444308629423E-2</v>
      </c>
      <c r="D381" s="370">
        <v>2.7807717555929819E-2</v>
      </c>
      <c r="E381" s="370">
        <v>2.7295172683934162E-2</v>
      </c>
      <c r="F381" s="370">
        <v>2.7269760630525015E-2</v>
      </c>
      <c r="G381" s="370">
        <v>2.6600002578003462E-2</v>
      </c>
    </row>
    <row r="382" spans="1:7" x14ac:dyDescent="0.35">
      <c r="A382" s="1069" t="s">
        <v>3410</v>
      </c>
      <c r="B382" s="370">
        <v>0.27169385635865551</v>
      </c>
      <c r="C382" s="370">
        <v>0.26851391344104353</v>
      </c>
      <c r="D382" s="370">
        <v>0.26576775661917879</v>
      </c>
      <c r="E382" s="370">
        <v>0.26391416352010849</v>
      </c>
      <c r="F382" s="370">
        <v>0.26145210960725412</v>
      </c>
      <c r="G382" s="370">
        <v>0.25791258595960698</v>
      </c>
    </row>
    <row r="383" spans="1:7" x14ac:dyDescent="0.35">
      <c r="A383" s="1069" t="s">
        <v>3411</v>
      </c>
      <c r="B383" s="370">
        <v>0.29722499938648905</v>
      </c>
      <c r="C383" s="370">
        <v>0.29404920092780823</v>
      </c>
      <c r="D383" s="370">
        <v>0.29172188107603836</v>
      </c>
      <c r="E383" s="370">
        <v>0.28874728229118829</v>
      </c>
      <c r="F383" s="370">
        <v>0.28518234659013203</v>
      </c>
      <c r="G383" s="370">
        <v>0.28094648951617002</v>
      </c>
    </row>
    <row r="384" spans="1:7" x14ac:dyDescent="0.35">
      <c r="A384" s="1069" t="s">
        <v>3412</v>
      </c>
      <c r="B384" s="370">
        <v>0.32276028687325375</v>
      </c>
      <c r="C384" s="370">
        <v>0.32000332538466797</v>
      </c>
      <c r="D384" s="370">
        <v>0.31655499984711805</v>
      </c>
      <c r="E384" s="370">
        <v>0.31247751927406614</v>
      </c>
      <c r="F384" s="370">
        <v>0.30821625014669518</v>
      </c>
      <c r="G384" s="370">
        <v>0.3033012766061654</v>
      </c>
    </row>
    <row r="385" spans="1:8" x14ac:dyDescent="0.35">
      <c r="A385" s="1069" t="s">
        <v>3413</v>
      </c>
      <c r="B385" s="370">
        <v>0.34871441133011333</v>
      </c>
      <c r="C385" s="370">
        <v>0.34483644415574755</v>
      </c>
      <c r="D385" s="370">
        <v>0.3402852368299959</v>
      </c>
      <c r="E385" s="370">
        <v>0.33551142283062924</v>
      </c>
      <c r="F385" s="370">
        <v>0.33057103723669046</v>
      </c>
      <c r="G385" s="370">
        <v>0.32491087504907085</v>
      </c>
    </row>
    <row r="386" spans="1:8" x14ac:dyDescent="0.35">
      <c r="A386" s="1069" t="s">
        <v>3414</v>
      </c>
      <c r="B386" s="370">
        <v>0.37354753010119307</v>
      </c>
      <c r="C386" s="370">
        <v>0.36856668113862551</v>
      </c>
      <c r="D386" s="370">
        <v>0.36331914038655916</v>
      </c>
      <c r="E386" s="370">
        <v>0.35786620992062462</v>
      </c>
      <c r="F386" s="370">
        <v>0.35218063567959584</v>
      </c>
      <c r="G386" s="370">
        <v>0.34588343886371914</v>
      </c>
    </row>
    <row r="387" spans="1:8" x14ac:dyDescent="0.35">
      <c r="A387" s="1069" t="s">
        <v>3415</v>
      </c>
      <c r="B387" s="370">
        <v>0.39727776708407081</v>
      </c>
      <c r="C387" s="370">
        <v>0.39160058469518882</v>
      </c>
      <c r="D387" s="370">
        <v>0.38567392747655449</v>
      </c>
      <c r="E387" s="370">
        <v>0.37947580836353006</v>
      </c>
      <c r="F387" s="370">
        <v>0.37315319949424419</v>
      </c>
      <c r="G387" s="370">
        <v>0.3662377473494422</v>
      </c>
    </row>
    <row r="388" spans="1:8" x14ac:dyDescent="0.35">
      <c r="A388" s="1069" t="s">
        <v>3416</v>
      </c>
      <c r="B388" s="370">
        <v>0.42031167064063413</v>
      </c>
      <c r="C388" s="370">
        <v>0.4139553717851841</v>
      </c>
      <c r="D388" s="370">
        <v>0.40728352591945988</v>
      </c>
      <c r="E388" s="370">
        <v>0.40044837217817836</v>
      </c>
      <c r="F388" s="370">
        <v>0.39350750797996725</v>
      </c>
      <c r="G388" s="370">
        <v>0.38599202620602174</v>
      </c>
    </row>
    <row r="389" spans="1:8" x14ac:dyDescent="0.35">
      <c r="A389" s="1069" t="s">
        <v>3417</v>
      </c>
      <c r="B389" s="370">
        <v>0.44266645773062946</v>
      </c>
      <c r="C389" s="370">
        <v>0.4355649702280896</v>
      </c>
      <c r="D389" s="370">
        <v>0.42825608973410823</v>
      </c>
      <c r="E389" s="370">
        <v>0.42080268066390142</v>
      </c>
      <c r="F389" s="370">
        <v>0.41326178683654691</v>
      </c>
      <c r="G389" s="370">
        <v>0.40516396385338671</v>
      </c>
    </row>
    <row r="390" spans="1:8" x14ac:dyDescent="0.35">
      <c r="A390" s="1069" t="s">
        <v>3418</v>
      </c>
      <c r="B390" s="300">
        <v>0.46427605617353479</v>
      </c>
      <c r="C390" s="300">
        <v>0.45653753404273772</v>
      </c>
      <c r="D390" s="300">
        <v>0.44861039821983112</v>
      </c>
      <c r="E390" s="300">
        <v>0.44055695952048096</v>
      </c>
      <c r="F390" s="300">
        <v>0.43243372448391182</v>
      </c>
      <c r="G390" s="300">
        <v>0.42377072727021586</v>
      </c>
      <c r="H390" s="370" t="s">
        <v>3265</v>
      </c>
    </row>
    <row r="391" spans="1:8" x14ac:dyDescent="0.35">
      <c r="A391" s="1072" t="s">
        <v>3419</v>
      </c>
      <c r="B391" s="1073">
        <v>0.48524861998818325</v>
      </c>
      <c r="C391" s="1073">
        <v>0.47689184252846067</v>
      </c>
      <c r="D391" s="1073">
        <v>0.46836467707641088</v>
      </c>
      <c r="E391" s="1073">
        <v>0.45972889716784593</v>
      </c>
      <c r="F391" s="1073">
        <v>0.45104048790074092</v>
      </c>
      <c r="G391" s="1073">
        <v>0.44182897736563265</v>
      </c>
      <c r="H391" s="370" t="s">
        <v>3420</v>
      </c>
    </row>
    <row r="392" spans="1:8" x14ac:dyDescent="0.35">
      <c r="A392" s="1069" t="s">
        <v>3421</v>
      </c>
      <c r="B392" s="370">
        <v>5.6992530254074879E-2</v>
      </c>
      <c r="C392" s="370">
        <v>5.6089161864559249E-2</v>
      </c>
      <c r="D392" s="370">
        <v>5.5102890239863971E-2</v>
      </c>
      <c r="E392" s="370">
        <v>5.4564933314459177E-2</v>
      </c>
      <c r="F392" s="370">
        <v>5.3869763208528473E-2</v>
      </c>
      <c r="G392" s="370">
        <v>5.3707032566663537E-2</v>
      </c>
    </row>
    <row r="393" spans="1:8" x14ac:dyDescent="0.35">
      <c r="A393" s="1069" t="s">
        <v>3422</v>
      </c>
      <c r="B393" s="370">
        <v>0.50560292847390609</v>
      </c>
      <c r="C393" s="370">
        <v>0.49664612138504061</v>
      </c>
      <c r="D393" s="370">
        <v>0.48753661472377574</v>
      </c>
      <c r="E393" s="370">
        <v>0.47833566058467514</v>
      </c>
      <c r="F393" s="370">
        <v>0.4690987379961577</v>
      </c>
      <c r="G393" s="370">
        <v>0.4593548838977527</v>
      </c>
    </row>
    <row r="394" spans="1:8" x14ac:dyDescent="0.35">
      <c r="A394" s="1069" t="s">
        <v>3423</v>
      </c>
      <c r="B394" s="370">
        <v>0.52535720733048585</v>
      </c>
      <c r="C394" s="370">
        <v>0.5158180590324053</v>
      </c>
      <c r="D394" s="370">
        <v>0.50614337814060484</v>
      </c>
      <c r="E394" s="370">
        <v>0.4963939106800917</v>
      </c>
      <c r="F394" s="370">
        <v>0.48662464452827758</v>
      </c>
      <c r="G394" s="370">
        <v>0.4758965606623774</v>
      </c>
    </row>
    <row r="395" spans="1:8" x14ac:dyDescent="0.35">
      <c r="A395" s="1069" t="s">
        <v>3424</v>
      </c>
      <c r="B395" s="370">
        <v>0.54452914497785099</v>
      </c>
      <c r="C395" s="370">
        <v>0.5344248224492345</v>
      </c>
      <c r="D395" s="370">
        <v>0.52420162823602146</v>
      </c>
      <c r="E395" s="370">
        <v>0.51391981721221169</v>
      </c>
      <c r="F395" s="370">
        <v>0.5031663212929024</v>
      </c>
      <c r="G395" s="370">
        <v>0.49150928059123522</v>
      </c>
    </row>
    <row r="396" spans="1:8" x14ac:dyDescent="0.35">
      <c r="A396" s="1069" t="s">
        <v>3425</v>
      </c>
      <c r="B396" s="370">
        <v>0.56313590839467997</v>
      </c>
      <c r="C396" s="370">
        <v>0.55248307254465123</v>
      </c>
      <c r="D396" s="370">
        <v>0.54172753476814151</v>
      </c>
      <c r="E396" s="370">
        <v>0.53046149397683651</v>
      </c>
      <c r="F396" s="370">
        <v>0.51877904122176022</v>
      </c>
      <c r="G396" s="370">
        <v>0.50624521256750488</v>
      </c>
    </row>
    <row r="397" spans="1:8" x14ac:dyDescent="0.35">
      <c r="A397" s="1069" t="s">
        <v>3426</v>
      </c>
      <c r="B397" s="370">
        <v>0.58119415849009659</v>
      </c>
      <c r="C397" s="370">
        <v>0.57000897907677106</v>
      </c>
      <c r="D397" s="370">
        <v>0.55826921153276621</v>
      </c>
      <c r="E397" s="370">
        <v>0.54607421390569455</v>
      </c>
      <c r="F397" s="370">
        <v>0.53351497319802976</v>
      </c>
      <c r="G397" s="370">
        <v>0.52015359574472975</v>
      </c>
    </row>
    <row r="398" spans="1:8" x14ac:dyDescent="0.35">
      <c r="A398" s="1069" t="s">
        <v>3427</v>
      </c>
      <c r="B398" s="370">
        <v>0.59872006502221653</v>
      </c>
      <c r="C398" s="370">
        <v>0.58655065584139598</v>
      </c>
      <c r="D398" s="370">
        <v>0.57388193146162425</v>
      </c>
      <c r="E398" s="370">
        <v>0.56081014588196421</v>
      </c>
      <c r="F398" s="370">
        <v>0.54742335637525474</v>
      </c>
      <c r="G398" s="370">
        <v>0.5332809040762303</v>
      </c>
    </row>
    <row r="399" spans="1:8" x14ac:dyDescent="0.35">
      <c r="A399" s="1069" t="s">
        <v>3428</v>
      </c>
      <c r="B399" s="370">
        <v>0.61526174178684134</v>
      </c>
      <c r="C399" s="370">
        <v>0.60216337577025403</v>
      </c>
      <c r="D399" s="370">
        <v>0.58861786343789391</v>
      </c>
      <c r="E399" s="370">
        <v>0.57471852905918897</v>
      </c>
      <c r="F399" s="370">
        <v>0.56055066470675541</v>
      </c>
      <c r="G399" s="370">
        <v>0.54567100160478232</v>
      </c>
    </row>
    <row r="400" spans="1:8" x14ac:dyDescent="0.35">
      <c r="A400" s="1069" t="s">
        <v>3429</v>
      </c>
      <c r="B400" s="370">
        <v>0.63087446171569928</v>
      </c>
      <c r="C400" s="370">
        <v>0.61689930774652346</v>
      </c>
      <c r="D400" s="370">
        <v>0.60252624661511889</v>
      </c>
      <c r="E400" s="370">
        <v>0.58784583739068952</v>
      </c>
      <c r="F400" s="370">
        <v>0.57294076223530732</v>
      </c>
      <c r="G400" s="370">
        <v>0.55736528903144733</v>
      </c>
    </row>
    <row r="401" spans="1:7" x14ac:dyDescent="0.35">
      <c r="A401" s="1069" t="s">
        <v>3430</v>
      </c>
      <c r="B401" s="370">
        <v>0.64561039369196904</v>
      </c>
      <c r="C401" s="370">
        <v>0.63080769092374833</v>
      </c>
      <c r="D401" s="370">
        <v>0.61565355494661944</v>
      </c>
      <c r="E401" s="370">
        <v>0.60023593491924132</v>
      </c>
      <c r="F401" s="370">
        <v>0.58463504966197233</v>
      </c>
      <c r="G401" s="370">
        <v>0.56840284205331149</v>
      </c>
    </row>
    <row r="402" spans="1:7" x14ac:dyDescent="0.35">
      <c r="A402" s="1069" t="s">
        <v>3431</v>
      </c>
      <c r="B402" s="370">
        <v>0.65951877686919391</v>
      </c>
      <c r="C402" s="370">
        <v>0.643934999255249</v>
      </c>
      <c r="D402" s="370">
        <v>0.62804365247517124</v>
      </c>
      <c r="E402" s="370">
        <v>0.61193022234590644</v>
      </c>
      <c r="F402" s="370">
        <v>0.59567260268383648</v>
      </c>
      <c r="G402" s="370">
        <v>0.57882054193237165</v>
      </c>
    </row>
    <row r="403" spans="1:7" x14ac:dyDescent="0.35">
      <c r="A403" s="1069" t="s">
        <v>3432</v>
      </c>
      <c r="B403" s="370">
        <v>8.4800247810004684E-2</v>
      </c>
      <c r="C403" s="370">
        <v>8.3384334548493325E-2</v>
      </c>
      <c r="D403" s="370">
        <v>8.2372650870389003E-2</v>
      </c>
      <c r="E403" s="370">
        <v>8.1164935892462653E-2</v>
      </c>
      <c r="F403" s="370">
        <v>8.0976793197188576E-2</v>
      </c>
      <c r="G403" s="370">
        <v>8.0286091077043709E-2</v>
      </c>
    </row>
    <row r="404" spans="1:7" x14ac:dyDescent="0.35">
      <c r="A404" s="1069" t="s">
        <v>3433</v>
      </c>
      <c r="B404" s="370">
        <v>0.67264608520069447</v>
      </c>
      <c r="C404" s="370">
        <v>0.6563250967838008</v>
      </c>
      <c r="D404" s="370">
        <v>0.63973793990183647</v>
      </c>
      <c r="E404" s="370">
        <v>0.62296777536777093</v>
      </c>
      <c r="F404" s="370">
        <v>0.60609030256289664</v>
      </c>
      <c r="G404" s="370">
        <v>0.58865319873186228</v>
      </c>
    </row>
    <row r="405" spans="1:7" x14ac:dyDescent="0.35">
      <c r="A405" s="370" t="s">
        <v>3434</v>
      </c>
      <c r="B405" s="370">
        <v>0.11209542049393874</v>
      </c>
      <c r="C405" s="370">
        <v>0.11065409517901832</v>
      </c>
      <c r="D405" s="370">
        <v>0.10897265344839244</v>
      </c>
      <c r="E405" s="370">
        <v>0.10827196588112273</v>
      </c>
      <c r="F405" s="370">
        <v>0.10755585170756872</v>
      </c>
      <c r="G405" s="370">
        <v>0.10644410455120169</v>
      </c>
    </row>
    <row r="406" spans="1:7" x14ac:dyDescent="0.35">
      <c r="A406" s="370" t="s">
        <v>3435</v>
      </c>
      <c r="B406" s="370">
        <v>0.13936518112446378</v>
      </c>
      <c r="C406" s="370">
        <v>0.13725409775702166</v>
      </c>
      <c r="D406" s="370">
        <v>0.13607968343705262</v>
      </c>
      <c r="E406" s="370">
        <v>0.1348510243915029</v>
      </c>
      <c r="F406" s="370">
        <v>0.13371386518172676</v>
      </c>
      <c r="G406" s="370">
        <v>0.13232867523419153</v>
      </c>
    </row>
    <row r="407" spans="1:7" x14ac:dyDescent="0.35">
      <c r="A407" s="370" t="s">
        <v>3436</v>
      </c>
      <c r="B407" s="370">
        <v>0.1659651837024671</v>
      </c>
      <c r="C407" s="370">
        <v>0.16436112774568185</v>
      </c>
      <c r="D407" s="370">
        <v>0.16265874194743268</v>
      </c>
      <c r="E407" s="370">
        <v>0.1610090378656609</v>
      </c>
      <c r="F407" s="370">
        <v>0.15959843586471653</v>
      </c>
      <c r="G407" s="370">
        <v>0.15785981826202503</v>
      </c>
    </row>
    <row r="408" spans="1:7" x14ac:dyDescent="0.35">
      <c r="A408" s="370" t="s">
        <v>3437</v>
      </c>
      <c r="B408" s="370">
        <v>0.19307221369112723</v>
      </c>
      <c r="C408" s="370">
        <v>0.19094018625606199</v>
      </c>
      <c r="D408" s="370">
        <v>0.18881675542159071</v>
      </c>
      <c r="E408" s="370">
        <v>0.18689360854865067</v>
      </c>
      <c r="F408" s="370">
        <v>0.18512957889255005</v>
      </c>
      <c r="G408" s="370">
        <v>0.18339510574878973</v>
      </c>
    </row>
    <row r="409" spans="1:7" x14ac:dyDescent="0.35">
      <c r="A409" s="370" t="s">
        <v>3438</v>
      </c>
      <c r="B409" s="370">
        <v>0.21965127220150746</v>
      </c>
      <c r="C409" s="370">
        <v>0.2170981997302201</v>
      </c>
      <c r="D409" s="370">
        <v>0.21470132610458045</v>
      </c>
      <c r="E409" s="370">
        <v>0.21242475157648424</v>
      </c>
      <c r="F409" s="370">
        <v>0.21066486637931484</v>
      </c>
      <c r="G409" s="370">
        <v>0.20934923020564936</v>
      </c>
    </row>
    <row r="410" spans="1:7" x14ac:dyDescent="0.35">
      <c r="A410" s="1069" t="s">
        <v>3439</v>
      </c>
      <c r="B410" s="370">
        <v>0.24580928567566562</v>
      </c>
      <c r="C410" s="370">
        <v>0.24298277041321004</v>
      </c>
      <c r="D410" s="370">
        <v>0.24023246913241403</v>
      </c>
      <c r="E410" s="370">
        <v>0.23796003906324886</v>
      </c>
      <c r="F410" s="370">
        <v>0.23661899083617441</v>
      </c>
      <c r="G410" s="370">
        <v>0.23418234897672904</v>
      </c>
    </row>
    <row r="411" spans="1:7" x14ac:dyDescent="0.35">
      <c r="A411" s="1069" t="s">
        <v>3440</v>
      </c>
      <c r="B411" s="370">
        <v>2.9055626477660589E-2</v>
      </c>
      <c r="C411" s="370">
        <v>2.8620829028957427E-2</v>
      </c>
      <c r="D411" s="370">
        <v>2.8141417431462687E-2</v>
      </c>
      <c r="E411" s="370">
        <v>2.7622721887098967E-2</v>
      </c>
      <c r="F411" s="370">
        <v>2.7597004882409931E-2</v>
      </c>
      <c r="G411" s="370">
        <v>2.6919209558281518E-2</v>
      </c>
    </row>
    <row r="412" spans="1:7" x14ac:dyDescent="0.35">
      <c r="A412" s="1069" t="s">
        <v>3441</v>
      </c>
      <c r="B412" s="370">
        <v>0.2749542536159123</v>
      </c>
      <c r="C412" s="370">
        <v>0.27173615055251799</v>
      </c>
      <c r="D412" s="370">
        <v>0.268957039131348</v>
      </c>
      <c r="E412" s="370">
        <v>0.26708120243083133</v>
      </c>
      <c r="F412" s="370">
        <v>0.26458960322780262</v>
      </c>
      <c r="G412" s="370">
        <v>0.26100760437167103</v>
      </c>
    </row>
    <row r="413" spans="1:7" x14ac:dyDescent="0.35">
      <c r="A413" s="1069" t="s">
        <v>3442</v>
      </c>
      <c r="B413" s="370">
        <v>0.30079177703017845</v>
      </c>
      <c r="C413" s="370">
        <v>0.2975778681603054</v>
      </c>
      <c r="D413" s="370">
        <v>0.29522261986229409</v>
      </c>
      <c r="E413" s="370">
        <v>0.29221232511490164</v>
      </c>
      <c r="F413" s="370">
        <v>0.28860460925408093</v>
      </c>
      <c r="G413" s="370">
        <v>0.28431792078859941</v>
      </c>
    </row>
    <row r="414" spans="1:7" x14ac:dyDescent="0.35">
      <c r="A414" s="1069" t="s">
        <v>3443</v>
      </c>
      <c r="B414" s="370">
        <v>0.32663349463796604</v>
      </c>
      <c r="C414" s="370">
        <v>0.32384344889125144</v>
      </c>
      <c r="D414" s="370">
        <v>0.32035374254636423</v>
      </c>
      <c r="E414" s="370">
        <v>0.31622733114117996</v>
      </c>
      <c r="F414" s="370">
        <v>0.31191492567100926</v>
      </c>
      <c r="G414" s="370">
        <v>0.30694097116393948</v>
      </c>
    </row>
    <row r="415" spans="1:7" x14ac:dyDescent="0.35">
      <c r="A415" s="1069" t="s">
        <v>3444</v>
      </c>
      <c r="B415" s="370">
        <v>0.35289907536891207</v>
      </c>
      <c r="C415" s="370">
        <v>0.34897457157532158</v>
      </c>
      <c r="D415" s="370">
        <v>0.34436874857264271</v>
      </c>
      <c r="E415" s="370">
        <v>0.33953764755810834</v>
      </c>
      <c r="F415" s="370">
        <v>0.33453797604634949</v>
      </c>
      <c r="G415" s="370">
        <v>0.32880989043374165</v>
      </c>
    </row>
    <row r="416" spans="1:7" x14ac:dyDescent="0.35">
      <c r="A416" s="1069" t="s">
        <v>3445</v>
      </c>
      <c r="B416" s="370">
        <v>0.37803019805298216</v>
      </c>
      <c r="C416" s="370">
        <v>0.37298957760160001</v>
      </c>
      <c r="D416" s="370">
        <v>0.36767906498957093</v>
      </c>
      <c r="E416" s="370">
        <v>0.36216069793344846</v>
      </c>
      <c r="F416" s="370">
        <v>0.35640689531615144</v>
      </c>
      <c r="G416" s="370">
        <v>0.35003413049331999</v>
      </c>
    </row>
    <row r="417" spans="1:7" x14ac:dyDescent="0.35">
      <c r="A417" s="370" t="s">
        <v>3446</v>
      </c>
      <c r="B417" s="370">
        <v>0.40204520407926059</v>
      </c>
      <c r="C417" s="370">
        <v>0.3962998940185285</v>
      </c>
      <c r="D417" s="370">
        <v>0.39030211536491116</v>
      </c>
      <c r="E417" s="370">
        <v>0.38402961720325057</v>
      </c>
      <c r="F417" s="370">
        <v>0.3776311353757299</v>
      </c>
      <c r="G417" s="370">
        <v>0.37063269599850462</v>
      </c>
    </row>
    <row r="418" spans="1:7" x14ac:dyDescent="0.35">
      <c r="A418" s="370" t="s">
        <v>3447</v>
      </c>
      <c r="B418" s="370">
        <v>0.42535552049618897</v>
      </c>
      <c r="C418" s="370">
        <v>0.41892294439386862</v>
      </c>
      <c r="D418" s="370">
        <v>0.41217103463471311</v>
      </c>
      <c r="E418" s="370">
        <v>0.4052538572628287</v>
      </c>
      <c r="F418" s="370">
        <v>0.39822970088091458</v>
      </c>
      <c r="G418" s="370">
        <v>0.39062403136223656</v>
      </c>
    </row>
    <row r="419" spans="1:7" x14ac:dyDescent="0.35">
      <c r="A419" s="370" t="s">
        <v>3448</v>
      </c>
      <c r="B419" s="370">
        <v>0.44797857087152915</v>
      </c>
      <c r="C419" s="370">
        <v>0.44079186366367057</v>
      </c>
      <c r="D419" s="370">
        <v>0.43339527469429173</v>
      </c>
      <c r="E419" s="370">
        <v>0.42585242276801349</v>
      </c>
      <c r="F419" s="370">
        <v>0.41822103624464635</v>
      </c>
      <c r="G419" s="370">
        <v>0.41002603727010439</v>
      </c>
    </row>
    <row r="420" spans="1:7" x14ac:dyDescent="0.35">
      <c r="A420" s="370" t="s">
        <v>3449</v>
      </c>
      <c r="B420" s="370">
        <v>0.46984749014133109</v>
      </c>
      <c r="C420" s="370">
        <v>0.46201610372324903</v>
      </c>
      <c r="D420" s="370">
        <v>0.4539938401994762</v>
      </c>
      <c r="E420" s="370">
        <v>0.44584375813174543</v>
      </c>
      <c r="F420" s="370">
        <v>0.43762304215251413</v>
      </c>
      <c r="G420" s="370">
        <v>0.42885608670901615</v>
      </c>
    </row>
    <row r="421" spans="1:7" x14ac:dyDescent="0.35">
      <c r="A421" s="370" t="s">
        <v>3450</v>
      </c>
      <c r="B421" s="370">
        <v>0.4910717302009095</v>
      </c>
      <c r="C421" s="370">
        <v>0.4826146692284336</v>
      </c>
      <c r="D421" s="370">
        <v>0.47398517556320813</v>
      </c>
      <c r="E421" s="370">
        <v>0.46524576403961321</v>
      </c>
      <c r="F421" s="370">
        <v>0.45645309159142616</v>
      </c>
      <c r="G421" s="370">
        <v>0.44713104052335778</v>
      </c>
    </row>
    <row r="422" spans="1:7" x14ac:dyDescent="0.35">
      <c r="A422" s="370" t="s">
        <v>3451</v>
      </c>
      <c r="B422" s="370">
        <v>5.7676455506617999E-2</v>
      </c>
      <c r="C422" s="370">
        <v>5.6762246460420121E-2</v>
      </c>
      <c r="D422" s="370">
        <v>5.5764139318561647E-2</v>
      </c>
      <c r="E422" s="370">
        <v>5.5219726769508912E-2</v>
      </c>
      <c r="F422" s="370">
        <v>5.4516214440691442E-2</v>
      </c>
      <c r="G422" s="370">
        <v>5.435153098861021E-2</v>
      </c>
    </row>
    <row r="423" spans="1:7" x14ac:dyDescent="0.35">
      <c r="A423" s="370" t="s">
        <v>3452</v>
      </c>
      <c r="B423" s="370">
        <v>0.51167029570609424</v>
      </c>
      <c r="C423" s="370">
        <v>0.50260600459216553</v>
      </c>
      <c r="D423" s="370">
        <v>0.4933871814710758</v>
      </c>
      <c r="E423" s="370">
        <v>0.48407581347852524</v>
      </c>
      <c r="F423" s="370">
        <v>0.47472804540576774</v>
      </c>
      <c r="G423" s="370">
        <v>0.46486726251256638</v>
      </c>
    </row>
    <row r="424" spans="1:7" x14ac:dyDescent="0.35">
      <c r="A424" s="370" t="s">
        <v>3453</v>
      </c>
      <c r="B424" s="370">
        <v>0.53166163106982622</v>
      </c>
      <c r="C424" s="370">
        <v>0.5220080105000332</v>
      </c>
      <c r="D424" s="370">
        <v>0.51221723090998783</v>
      </c>
      <c r="E424" s="370">
        <v>0.50235076729286665</v>
      </c>
      <c r="F424" s="370">
        <v>0.4924642673949764</v>
      </c>
      <c r="G424" s="370">
        <v>0.48160744371993669</v>
      </c>
    </row>
    <row r="425" spans="1:7" x14ac:dyDescent="0.35">
      <c r="A425" s="370" t="s">
        <v>3454</v>
      </c>
      <c r="B425" s="370">
        <v>0.551063636977694</v>
      </c>
      <c r="C425" s="370">
        <v>0.54083805993894529</v>
      </c>
      <c r="D425" s="370">
        <v>0.53049218472432957</v>
      </c>
      <c r="E425" s="370">
        <v>0.52008698928207531</v>
      </c>
      <c r="F425" s="370">
        <v>0.5092044486023467</v>
      </c>
      <c r="G425" s="370">
        <v>0.49740752036681746</v>
      </c>
    </row>
    <row r="426" spans="1:7" x14ac:dyDescent="0.35">
      <c r="A426" s="370" t="s">
        <v>3455</v>
      </c>
      <c r="B426" s="370">
        <v>0.56989368641660609</v>
      </c>
      <c r="C426" s="370">
        <v>0.55911301375328681</v>
      </c>
      <c r="D426" s="370">
        <v>0.54822840671353801</v>
      </c>
      <c r="E426" s="370">
        <v>0.53682717048944562</v>
      </c>
      <c r="F426" s="370">
        <v>0.52500452524922736</v>
      </c>
      <c r="G426" s="370">
        <v>0.51232028737661528</v>
      </c>
    </row>
    <row r="427" spans="1:7" x14ac:dyDescent="0.35">
      <c r="A427" s="370" t="s">
        <v>3456</v>
      </c>
      <c r="B427" s="370">
        <v>0.58816864023094728</v>
      </c>
      <c r="C427" s="370">
        <v>0.57684923574249547</v>
      </c>
      <c r="D427" s="370">
        <v>0.56496858792090832</v>
      </c>
      <c r="E427" s="370">
        <v>0.5526272471363266</v>
      </c>
      <c r="F427" s="370">
        <v>0.53991729225902529</v>
      </c>
      <c r="G427" s="370">
        <v>0.52639557478557975</v>
      </c>
    </row>
    <row r="428" spans="1:7" x14ac:dyDescent="0.35">
      <c r="A428" s="370" t="s">
        <v>3457</v>
      </c>
      <c r="B428" s="370">
        <v>0.60590486222015605</v>
      </c>
      <c r="C428" s="370">
        <v>0.59358941694986567</v>
      </c>
      <c r="D428" s="370">
        <v>0.58076866456778919</v>
      </c>
      <c r="E428" s="370">
        <v>0.56754001414612409</v>
      </c>
      <c r="F428" s="370">
        <v>0.55399257966798954</v>
      </c>
      <c r="G428" s="370">
        <v>0.53968041424661273</v>
      </c>
    </row>
    <row r="429" spans="1:7" x14ac:dyDescent="0.35">
      <c r="A429" s="370" t="s">
        <v>3458</v>
      </c>
      <c r="B429" s="370">
        <v>8.5817872938080728E-2</v>
      </c>
      <c r="C429" s="370">
        <v>8.438496834751906E-2</v>
      </c>
      <c r="D429" s="370">
        <v>8.3361144200971585E-2</v>
      </c>
      <c r="E429" s="370">
        <v>8.2138936327790416E-2</v>
      </c>
      <c r="F429" s="370">
        <v>8.1948535871020148E-2</v>
      </c>
      <c r="G429" s="370">
        <v>8.1249545144985225E-2</v>
      </c>
    </row>
    <row r="430" spans="1:7" x14ac:dyDescent="0.35">
      <c r="A430" s="370" t="s">
        <v>3459</v>
      </c>
      <c r="B430" s="370">
        <v>0.11344059482517968</v>
      </c>
      <c r="C430" s="370">
        <v>0.11198197322992906</v>
      </c>
      <c r="D430" s="370">
        <v>0.1102803537592531</v>
      </c>
      <c r="E430" s="370">
        <v>0.1095712577581191</v>
      </c>
      <c r="F430" s="370">
        <v>0.10884655002739518</v>
      </c>
      <c r="G430" s="370">
        <v>0.10772146161470397</v>
      </c>
    </row>
    <row r="431" spans="1:7" x14ac:dyDescent="0.35">
      <c r="A431" s="370" t="s">
        <v>3460</v>
      </c>
      <c r="B431" s="370">
        <v>0.14103759970758961</v>
      </c>
      <c r="C431" s="370">
        <v>0.13890118278821054</v>
      </c>
      <c r="D431" s="370">
        <v>0.13771267518958183</v>
      </c>
      <c r="E431" s="370">
        <v>0.13646927191449409</v>
      </c>
      <c r="F431" s="370">
        <v>0.1353184664971139</v>
      </c>
      <c r="G431" s="370">
        <v>0.13391665390832266</v>
      </c>
    </row>
    <row r="432" spans="1:7" x14ac:dyDescent="0.35">
      <c r="A432" s="370" t="s">
        <v>3461</v>
      </c>
      <c r="B432" s="370">
        <v>0.16795680926587117</v>
      </c>
      <c r="C432" s="370">
        <v>0.16633350421853921</v>
      </c>
      <c r="D432" s="370">
        <v>0.16461068934595682</v>
      </c>
      <c r="E432" s="370">
        <v>0.16294118838421287</v>
      </c>
      <c r="F432" s="370">
        <v>0.16151365879073259</v>
      </c>
      <c r="G432" s="370">
        <v>0.15975417732258898</v>
      </c>
    </row>
    <row r="433" spans="1:9" x14ac:dyDescent="0.35">
      <c r="A433" s="370" t="s">
        <v>3462</v>
      </c>
      <c r="B433" s="370">
        <v>0.19538913069619981</v>
      </c>
      <c r="C433" s="370">
        <v>0.19323151837491434</v>
      </c>
      <c r="D433" s="370">
        <v>0.19108260581567552</v>
      </c>
      <c r="E433" s="370">
        <v>0.18913638067783153</v>
      </c>
      <c r="F433" s="370">
        <v>0.18735118220499888</v>
      </c>
      <c r="G433" s="370">
        <v>0.18559589493037651</v>
      </c>
    </row>
    <row r="434" spans="1:9" x14ac:dyDescent="0.35">
      <c r="A434" s="370" t="s">
        <v>3463</v>
      </c>
      <c r="B434" s="370">
        <v>0.22228714485257492</v>
      </c>
      <c r="C434" s="370">
        <v>0.21970343484463309</v>
      </c>
      <c r="D434" s="370">
        <v>0.21727779810929429</v>
      </c>
      <c r="E434" s="370">
        <v>0.21497390409209788</v>
      </c>
      <c r="F434" s="370">
        <v>0.2131928998127863</v>
      </c>
      <c r="G434" s="370">
        <v>0.21186147566132246</v>
      </c>
    </row>
    <row r="435" spans="1:9" x14ac:dyDescent="0.35">
      <c r="A435" s="370" t="s">
        <v>3464</v>
      </c>
      <c r="B435" s="370">
        <v>0.24875906132229367</v>
      </c>
      <c r="C435" s="370">
        <v>0.24589862713825164</v>
      </c>
      <c r="D435" s="370">
        <v>0.24311532152356055</v>
      </c>
      <c r="E435" s="370">
        <v>0.24081562169988532</v>
      </c>
      <c r="F435" s="370">
        <v>0.23945848054373245</v>
      </c>
      <c r="G435" s="370">
        <v>0.23699259834539271</v>
      </c>
    </row>
    <row r="436" spans="1:9" x14ac:dyDescent="0.35">
      <c r="A436" s="3592" t="s">
        <v>4526</v>
      </c>
      <c r="B436" s="300">
        <v>0.26100760437167103</v>
      </c>
      <c r="C436" s="300">
        <v>0.25739871123041741</v>
      </c>
      <c r="D436" s="300">
        <v>0.25258944017542695</v>
      </c>
      <c r="E436" s="300">
        <v>0.24756034528885207</v>
      </c>
      <c r="F436" s="300">
        <v>0.2423126688787097</v>
      </c>
      <c r="G436" s="300">
        <v>0.2367160420902735</v>
      </c>
      <c r="H436" s="300" t="s">
        <v>4525</v>
      </c>
      <c r="I436" s="3410"/>
    </row>
    <row r="437" spans="1:9" x14ac:dyDescent="0.35">
      <c r="A437" s="370" t="s">
        <v>3465</v>
      </c>
      <c r="B437" s="370">
        <v>0.30189068087546012</v>
      </c>
      <c r="C437" s="370">
        <v>0.29568259950470982</v>
      </c>
      <c r="D437" s="370">
        <v>0.28938315085351951</v>
      </c>
      <c r="E437" s="370">
        <v>0.28290256974753253</v>
      </c>
      <c r="F437" s="370">
        <v>0.2761093833617817</v>
      </c>
      <c r="G437" s="370">
        <v>0.26910190938642736</v>
      </c>
    </row>
    <row r="438" spans="1:9" x14ac:dyDescent="0.35">
      <c r="A438" s="370" t="s">
        <v>3466</v>
      </c>
      <c r="B438" s="370">
        <v>5.2302450723593706E-2</v>
      </c>
      <c r="C438" s="370">
        <v>5.3516434947454998E-2</v>
      </c>
      <c r="D438" s="370">
        <v>5.4562013278680065E-2</v>
      </c>
      <c r="E438" s="370">
        <v>5.7700578563194146E-2</v>
      </c>
      <c r="F438" s="370">
        <v>6.0894682043841263E-2</v>
      </c>
      <c r="G438" s="370">
        <v>6.2580360976253677E-2</v>
      </c>
    </row>
    <row r="439" spans="1:9" x14ac:dyDescent="0.35">
      <c r="A439" s="370" t="s">
        <v>3467</v>
      </c>
      <c r="B439" s="370">
        <v>0.60155069553984886</v>
      </c>
      <c r="C439" s="370">
        <v>0.61282548167836104</v>
      </c>
      <c r="D439" s="370">
        <v>0.62170504347935851</v>
      </c>
      <c r="E439" s="370">
        <v>0.62854595247265532</v>
      </c>
      <c r="F439" s="370">
        <v>0.6294623146341648</v>
      </c>
      <c r="G439" s="370">
        <v>0.62438122055082956</v>
      </c>
    </row>
    <row r="440" spans="1:9" x14ac:dyDescent="0.35">
      <c r="A440" s="370" t="s">
        <v>3468</v>
      </c>
      <c r="B440" s="370">
        <v>0.66512793240195489</v>
      </c>
      <c r="C440" s="370">
        <v>0.67522147842681346</v>
      </c>
      <c r="D440" s="370">
        <v>0.68310796575133537</v>
      </c>
      <c r="E440" s="370">
        <v>0.68716289319735879</v>
      </c>
      <c r="F440" s="370">
        <v>0.68527590259467086</v>
      </c>
      <c r="G440" s="370">
        <v>0.67786777245521912</v>
      </c>
    </row>
    <row r="441" spans="1:9" x14ac:dyDescent="0.35">
      <c r="A441" s="370" t="s">
        <v>3469</v>
      </c>
      <c r="B441" s="370">
        <v>0.7275239291504072</v>
      </c>
      <c r="C441" s="370">
        <v>0.73662440069879043</v>
      </c>
      <c r="D441" s="370">
        <v>0.74172490647603895</v>
      </c>
      <c r="E441" s="370">
        <v>0.74297648115786497</v>
      </c>
      <c r="F441" s="370">
        <v>0.73876245449906031</v>
      </c>
      <c r="G441" s="370">
        <v>0.72913719067073757</v>
      </c>
    </row>
    <row r="442" spans="1:9" x14ac:dyDescent="0.35">
      <c r="A442" s="370" t="s">
        <v>3470</v>
      </c>
      <c r="B442" s="370">
        <v>0.78892685142238417</v>
      </c>
      <c r="C442" s="370">
        <v>0.7952413414234939</v>
      </c>
      <c r="D442" s="370">
        <v>0.79753849443654512</v>
      </c>
      <c r="E442" s="370">
        <v>0.79646303306225463</v>
      </c>
      <c r="F442" s="370">
        <v>0.79003187271457864</v>
      </c>
      <c r="G442" s="370">
        <v>0.7782406052180092</v>
      </c>
    </row>
    <row r="443" spans="1:9" x14ac:dyDescent="0.35">
      <c r="A443" s="370" t="s">
        <v>3471</v>
      </c>
      <c r="B443" s="370">
        <v>0.84754379214708753</v>
      </c>
      <c r="C443" s="370">
        <v>0.85105492938400007</v>
      </c>
      <c r="D443" s="370">
        <v>0.85102504634093468</v>
      </c>
      <c r="E443" s="370">
        <v>0.84773245127777275</v>
      </c>
      <c r="F443" s="370">
        <v>0.83913528726185049</v>
      </c>
      <c r="G443" s="370">
        <v>0.82542877780438428</v>
      </c>
    </row>
    <row r="444" spans="1:9" x14ac:dyDescent="0.35">
      <c r="A444" s="370" t="s">
        <v>3472</v>
      </c>
      <c r="B444" s="370">
        <v>0.90335738010759381</v>
      </c>
      <c r="C444" s="370">
        <v>0.90454148128838974</v>
      </c>
      <c r="D444" s="370">
        <v>0.90229446455645279</v>
      </c>
      <c r="E444" s="370">
        <v>0.89683586582504438</v>
      </c>
      <c r="F444" s="370">
        <v>0.88632345984822536</v>
      </c>
      <c r="G444" s="370">
        <v>0.87078117780645814</v>
      </c>
    </row>
    <row r="445" spans="1:9" x14ac:dyDescent="0.35">
      <c r="A445" s="370" t="s">
        <v>3473</v>
      </c>
      <c r="B445" s="370">
        <v>0.95684393201198348</v>
      </c>
      <c r="C445" s="370">
        <v>0.95581089950390785</v>
      </c>
      <c r="D445" s="370">
        <v>0.95139787910372442</v>
      </c>
      <c r="E445" s="370">
        <v>0.9440240384114198</v>
      </c>
      <c r="F445" s="370">
        <v>0.93167585985029933</v>
      </c>
      <c r="G445" s="370">
        <v>0.91437379304180677</v>
      </c>
    </row>
    <row r="446" spans="1:9" x14ac:dyDescent="0.35">
      <c r="A446" s="370" t="s">
        <v>3474</v>
      </c>
      <c r="B446" s="370">
        <v>1.0081133502275017</v>
      </c>
      <c r="C446" s="370">
        <v>1.0049143140511796</v>
      </c>
      <c r="D446" s="370">
        <v>0.99858605169009973</v>
      </c>
      <c r="E446" s="370">
        <v>0.98937643841349354</v>
      </c>
      <c r="F446" s="370">
        <v>0.97526847508564818</v>
      </c>
      <c r="G446" s="370">
        <v>0.95627928903422388</v>
      </c>
    </row>
    <row r="447" spans="1:9" x14ac:dyDescent="0.35">
      <c r="A447" s="370" t="s">
        <v>3475</v>
      </c>
      <c r="B447" s="370">
        <v>1.0572167647747732</v>
      </c>
      <c r="C447" s="370">
        <v>1.0521024866375548</v>
      </c>
      <c r="D447" s="370">
        <v>1.0439384516921737</v>
      </c>
      <c r="E447" s="370">
        <v>1.0329690536488423</v>
      </c>
      <c r="F447" s="370">
        <v>1.0171739710780652</v>
      </c>
      <c r="G447" s="370">
        <v>0.99656716075785778</v>
      </c>
    </row>
    <row r="448" spans="1:9" x14ac:dyDescent="0.35">
      <c r="A448" s="370" t="s">
        <v>3476</v>
      </c>
      <c r="B448" s="370">
        <v>1.1044049373611484</v>
      </c>
      <c r="C448" s="370">
        <v>1.0974548866396285</v>
      </c>
      <c r="D448" s="370">
        <v>1.0875310669275224</v>
      </c>
      <c r="E448" s="370">
        <v>1.0748745496412593</v>
      </c>
      <c r="F448" s="370">
        <v>1.0574618428016991</v>
      </c>
      <c r="G448" s="370">
        <v>1.0353038772233758</v>
      </c>
    </row>
    <row r="449" spans="1:7" x14ac:dyDescent="0.35">
      <c r="A449" s="370" t="s">
        <v>3477</v>
      </c>
      <c r="B449" s="370">
        <v>0.1058188856710487</v>
      </c>
      <c r="C449" s="370">
        <v>0.10807844822613502</v>
      </c>
      <c r="D449" s="370">
        <v>0.1122625918418742</v>
      </c>
      <c r="E449" s="370">
        <v>0.1185952606070354</v>
      </c>
      <c r="F449" s="370">
        <v>0.12347504302009493</v>
      </c>
      <c r="G449" s="370">
        <v>0.12723058958792277</v>
      </c>
    </row>
    <row r="450" spans="1:7" x14ac:dyDescent="0.35">
      <c r="A450" s="370" t="s">
        <v>3478</v>
      </c>
      <c r="B450" s="370">
        <v>1.1497573373632222</v>
      </c>
      <c r="C450" s="370">
        <v>1.1410475018749775</v>
      </c>
      <c r="D450" s="370">
        <v>1.1294365629199394</v>
      </c>
      <c r="E450" s="370">
        <v>1.115162421364893</v>
      </c>
      <c r="F450" s="370">
        <v>1.096198559267217</v>
      </c>
      <c r="G450" s="370">
        <v>1.0725530192514849</v>
      </c>
    </row>
    <row r="451" spans="1:7" x14ac:dyDescent="0.35">
      <c r="A451" s="370" t="s">
        <v>3479</v>
      </c>
      <c r="B451" s="370">
        <v>1.1933499525985711</v>
      </c>
      <c r="C451" s="370">
        <v>1.1829529978673945</v>
      </c>
      <c r="D451" s="370">
        <v>1.1697244346435731</v>
      </c>
      <c r="E451" s="370">
        <v>1.1538991378304113</v>
      </c>
      <c r="F451" s="370">
        <v>1.1334477012953259</v>
      </c>
      <c r="G451" s="370">
        <v>1.1077103029023665</v>
      </c>
    </row>
    <row r="452" spans="1:7" x14ac:dyDescent="0.35">
      <c r="A452" s="370" t="s">
        <v>3480</v>
      </c>
      <c r="B452" s="370">
        <v>1.2352554485909883</v>
      </c>
      <c r="C452" s="370">
        <v>1.2232408695910282</v>
      </c>
      <c r="D452" s="370">
        <v>1.2084611511090912</v>
      </c>
      <c r="E452" s="370">
        <v>1.19114827985852</v>
      </c>
      <c r="F452" s="370">
        <v>1.1686049849462075</v>
      </c>
      <c r="G452" s="370">
        <v>1.1408932039414241</v>
      </c>
    </row>
    <row r="453" spans="1:7" x14ac:dyDescent="0.35">
      <c r="A453" s="370" t="s">
        <v>3481</v>
      </c>
      <c r="B453" s="370">
        <v>1.275543320314622</v>
      </c>
      <c r="C453" s="370">
        <v>1.2619775860565463</v>
      </c>
      <c r="D453" s="370">
        <v>1.2457102931372002</v>
      </c>
      <c r="E453" s="370">
        <v>1.2263055635094018</v>
      </c>
      <c r="F453" s="370">
        <v>1.2017878859852655</v>
      </c>
      <c r="G453" s="370">
        <v>1.1722126008636116</v>
      </c>
    </row>
    <row r="454" spans="1:7" x14ac:dyDescent="0.35">
      <c r="A454" s="370" t="s">
        <v>3482</v>
      </c>
      <c r="B454" s="370">
        <v>1.3142800367801399</v>
      </c>
      <c r="C454" s="370">
        <v>1.2992267280846554</v>
      </c>
      <c r="D454" s="370">
        <v>1.2808675767880819</v>
      </c>
      <c r="E454" s="370">
        <v>1.2594884645484596</v>
      </c>
      <c r="F454" s="370">
        <v>1.233107282907453</v>
      </c>
      <c r="G454" s="370">
        <v>1.2017731453866769</v>
      </c>
    </row>
    <row r="455" spans="1:7" x14ac:dyDescent="0.35">
      <c r="A455" s="370" t="s">
        <v>3483</v>
      </c>
      <c r="B455" s="370">
        <v>1.3515291788082491</v>
      </c>
      <c r="C455" s="370">
        <v>1.3343840117355372</v>
      </c>
      <c r="D455" s="370">
        <v>1.3140504778271396</v>
      </c>
      <c r="E455" s="370">
        <v>1.2908078614706471</v>
      </c>
      <c r="F455" s="370">
        <v>1.2626678274305183</v>
      </c>
      <c r="G455" s="370">
        <v>1.2296736121380365</v>
      </c>
    </row>
    <row r="456" spans="1:7" x14ac:dyDescent="0.35">
      <c r="A456" s="370" t="s">
        <v>3484</v>
      </c>
      <c r="B456" s="370">
        <v>1.3866864624591311</v>
      </c>
      <c r="C456" s="370">
        <v>1.3675669127745949</v>
      </c>
      <c r="D456" s="370">
        <v>1.3453698747493275</v>
      </c>
      <c r="E456" s="370">
        <v>1.3203684059937124</v>
      </c>
      <c r="F456" s="370">
        <v>1.2905682941818775</v>
      </c>
      <c r="G456" s="370">
        <v>1.256007228703736</v>
      </c>
    </row>
    <row r="457" spans="1:7" x14ac:dyDescent="0.35">
      <c r="A457" s="370" t="s">
        <v>3485</v>
      </c>
      <c r="B457" s="370">
        <v>1.4198693634981883</v>
      </c>
      <c r="C457" s="370">
        <v>1.3988863096967821</v>
      </c>
      <c r="D457" s="370">
        <v>1.3749304192723923</v>
      </c>
      <c r="E457" s="370">
        <v>1.3482688727450713</v>
      </c>
      <c r="F457" s="370">
        <v>1.3169019107475775</v>
      </c>
      <c r="G457" s="370">
        <v>1.2808619871423395</v>
      </c>
    </row>
    <row r="458" spans="1:7" x14ac:dyDescent="0.35">
      <c r="A458" s="370" t="s">
        <v>3486</v>
      </c>
      <c r="B458" s="370">
        <v>1.4511887604203759</v>
      </c>
      <c r="C458" s="370">
        <v>1.4284468542198472</v>
      </c>
      <c r="D458" s="370">
        <v>1.4028308860237515</v>
      </c>
      <c r="E458" s="370">
        <v>1.3746024893107718</v>
      </c>
      <c r="F458" s="370">
        <v>1.3417566691861809</v>
      </c>
      <c r="G458" s="370">
        <v>1.3043209380046363</v>
      </c>
    </row>
    <row r="459" spans="1:7" x14ac:dyDescent="0.35">
      <c r="A459" s="370" t="s">
        <v>3487</v>
      </c>
      <c r="B459" s="370">
        <v>1.480749304943441</v>
      </c>
      <c r="C459" s="370">
        <v>1.4563473209712066</v>
      </c>
      <c r="D459" s="370">
        <v>1.4291645025894519</v>
      </c>
      <c r="E459" s="370">
        <v>1.399457247749375</v>
      </c>
      <c r="F459" s="370">
        <v>1.3652156200484775</v>
      </c>
      <c r="G459" s="370">
        <v>1.3264624678416315</v>
      </c>
    </row>
    <row r="460" spans="1:7" x14ac:dyDescent="0.35">
      <c r="A460" s="370" t="s">
        <v>3488</v>
      </c>
      <c r="B460" s="370">
        <v>0.16038089894972868</v>
      </c>
      <c r="C460" s="370">
        <v>0.1657790267893291</v>
      </c>
      <c r="D460" s="370">
        <v>0.17315727388571547</v>
      </c>
      <c r="E460" s="370">
        <v>0.18117562158328909</v>
      </c>
      <c r="F460" s="370">
        <v>0.18812527163176401</v>
      </c>
      <c r="G460" s="370">
        <v>0.19253877659377019</v>
      </c>
    </row>
    <row r="461" spans="1:7" x14ac:dyDescent="0.35">
      <c r="A461" s="370" t="s">
        <v>3489</v>
      </c>
      <c r="B461" s="370">
        <v>1.5086497716948006</v>
      </c>
      <c r="C461" s="370">
        <v>1.482680937536907</v>
      </c>
      <c r="D461" s="370">
        <v>1.4540192610280549</v>
      </c>
      <c r="E461" s="370">
        <v>1.4229161986116714</v>
      </c>
      <c r="F461" s="370">
        <v>1.3873571498854729</v>
      </c>
      <c r="G461" s="370">
        <v>1.3473605611280832</v>
      </c>
    </row>
    <row r="462" spans="1:7" x14ac:dyDescent="0.35">
      <c r="A462" s="370" t="s">
        <v>3490</v>
      </c>
      <c r="B462" s="370">
        <v>0.21808147751292284</v>
      </c>
      <c r="C462" s="370">
        <v>0.22667370883317028</v>
      </c>
      <c r="D462" s="370">
        <v>0.23573763486196914</v>
      </c>
      <c r="E462" s="370">
        <v>0.24582585019495815</v>
      </c>
      <c r="F462" s="370">
        <v>0.25343345863761141</v>
      </c>
      <c r="G462" s="370">
        <v>0.25782753372878886</v>
      </c>
    </row>
    <row r="463" spans="1:7" x14ac:dyDescent="0.35">
      <c r="A463" s="370" t="s">
        <v>3491</v>
      </c>
      <c r="B463" s="370">
        <v>0.27897615955676403</v>
      </c>
      <c r="C463" s="370">
        <v>0.28925406980942386</v>
      </c>
      <c r="D463" s="370">
        <v>0.30038786347363822</v>
      </c>
      <c r="E463" s="370">
        <v>0.31113403720080557</v>
      </c>
      <c r="F463" s="370">
        <v>0.31872221577263016</v>
      </c>
      <c r="G463" s="370">
        <v>0.32257453598308466</v>
      </c>
    </row>
    <row r="464" spans="1:7" x14ac:dyDescent="0.35">
      <c r="A464" s="370" t="s">
        <v>3492</v>
      </c>
      <c r="B464" s="370">
        <v>0.34155652053301766</v>
      </c>
      <c r="C464" s="370">
        <v>0.35390429842109306</v>
      </c>
      <c r="D464" s="370">
        <v>0.36569605047948561</v>
      </c>
      <c r="E464" s="370">
        <v>0.37642279433582426</v>
      </c>
      <c r="F464" s="370">
        <v>0.38346921802692591</v>
      </c>
      <c r="G464" s="370">
        <v>0.38615177284519064</v>
      </c>
    </row>
    <row r="465" spans="1:7" x14ac:dyDescent="0.35">
      <c r="A465" s="370" t="s">
        <v>3493</v>
      </c>
      <c r="B465" s="370">
        <v>0.40620674914468674</v>
      </c>
      <c r="C465" s="370">
        <v>0.41921248542694051</v>
      </c>
      <c r="D465" s="370">
        <v>0.43098480761450442</v>
      </c>
      <c r="E465" s="370">
        <v>0.44116979659012001</v>
      </c>
      <c r="F465" s="370">
        <v>0.44704645488903194</v>
      </c>
      <c r="G465" s="370">
        <v>0.44854776959364301</v>
      </c>
    </row>
    <row r="466" spans="1:7" x14ac:dyDescent="0.35">
      <c r="A466" s="370" t="s">
        <v>3494</v>
      </c>
      <c r="B466" s="370">
        <v>0.47151493615053425</v>
      </c>
      <c r="C466" s="370">
        <v>0.48450124256195926</v>
      </c>
      <c r="D466" s="370">
        <v>0.49573180986880017</v>
      </c>
      <c r="E466" s="370">
        <v>0.50474703345222605</v>
      </c>
      <c r="F466" s="370">
        <v>0.50944245163748425</v>
      </c>
      <c r="G466" s="370">
        <v>0.50995069186561981</v>
      </c>
    </row>
    <row r="467" spans="1:7" x14ac:dyDescent="0.35">
      <c r="A467" s="370" t="s">
        <v>3495</v>
      </c>
      <c r="B467" s="370">
        <v>0.536803693285553</v>
      </c>
      <c r="C467" s="370">
        <v>0.54924824481625512</v>
      </c>
      <c r="D467" s="370">
        <v>0.5593090467309062</v>
      </c>
      <c r="E467" s="370">
        <v>0.56714303020067847</v>
      </c>
      <c r="F467" s="370">
        <v>0.57084537390946111</v>
      </c>
      <c r="G467" s="370">
        <v>0.5685676325903235</v>
      </c>
    </row>
    <row r="468" spans="1:7" x14ac:dyDescent="0.35">
      <c r="A468" s="370" t="s">
        <v>3496</v>
      </c>
      <c r="B468" s="370">
        <v>5.4354218725356576E-2</v>
      </c>
      <c r="C468" s="370">
        <v>5.5654468775423134E-2</v>
      </c>
      <c r="D468" s="370">
        <v>5.6778001557869384E-2</v>
      </c>
      <c r="E468" s="370">
        <v>6.0118502402044444E-2</v>
      </c>
      <c r="F468" s="370">
        <v>6.3500620567258331E-2</v>
      </c>
      <c r="G468" s="370">
        <v>6.5308663997247496E-2</v>
      </c>
    </row>
    <row r="469" spans="1:7" x14ac:dyDescent="0.35">
      <c r="A469" s="370" t="s">
        <v>3497</v>
      </c>
      <c r="B469" s="370">
        <v>0.62721218525158584</v>
      </c>
      <c r="C469" s="370">
        <v>0.63925958985862807</v>
      </c>
      <c r="D469" s="370">
        <v>0.64875615811663234</v>
      </c>
      <c r="E469" s="370">
        <v>0.65606317567893235</v>
      </c>
      <c r="F469" s="370">
        <v>0.65712002330777652</v>
      </c>
      <c r="G469" s="370">
        <v>0.65186605583539525</v>
      </c>
    </row>
    <row r="470" spans="1:7" x14ac:dyDescent="0.35">
      <c r="A470" s="370" t="s">
        <v>3498</v>
      </c>
      <c r="B470" s="370">
        <v>0.69361380858398469</v>
      </c>
      <c r="C470" s="370">
        <v>0.70441062689205547</v>
      </c>
      <c r="D470" s="370">
        <v>0.71284117723680196</v>
      </c>
      <c r="E470" s="370">
        <v>0.71723852570982105</v>
      </c>
      <c r="F470" s="370">
        <v>0.7153666764026535</v>
      </c>
      <c r="G470" s="370">
        <v>0.70767389920934209</v>
      </c>
    </row>
    <row r="471" spans="1:7" x14ac:dyDescent="0.35">
      <c r="A471" s="370" t="s">
        <v>3499</v>
      </c>
      <c r="B471" s="370">
        <v>0.75876484561741186</v>
      </c>
      <c r="C471" s="370">
        <v>0.76849564601222509</v>
      </c>
      <c r="D471" s="370">
        <v>0.77401652726769044</v>
      </c>
      <c r="E471" s="370">
        <v>0.77548517880469769</v>
      </c>
      <c r="F471" s="370">
        <v>0.77117451977660034</v>
      </c>
      <c r="G471" s="370">
        <v>0.76115866658709597</v>
      </c>
    </row>
    <row r="472" spans="1:7" x14ac:dyDescent="0.35">
      <c r="A472" s="370" t="s">
        <v>3500</v>
      </c>
      <c r="B472" s="370">
        <v>0.82284986473758159</v>
      </c>
      <c r="C472" s="370">
        <v>0.82967099604311367</v>
      </c>
      <c r="D472" s="370">
        <v>0.83226318036256719</v>
      </c>
      <c r="E472" s="370">
        <v>0.83129302217864487</v>
      </c>
      <c r="F472" s="370">
        <v>0.82465928715435433</v>
      </c>
      <c r="G472" s="370">
        <v>0.8123768127696912</v>
      </c>
    </row>
    <row r="473" spans="1:7" x14ac:dyDescent="0.35">
      <c r="A473" s="370" t="s">
        <v>3501</v>
      </c>
      <c r="B473" s="370">
        <v>0.88402521476847018</v>
      </c>
      <c r="C473" s="370">
        <v>0.88791764913799043</v>
      </c>
      <c r="D473" s="370">
        <v>0.88807102373651414</v>
      </c>
      <c r="E473" s="370">
        <v>0.88477778955639885</v>
      </c>
      <c r="F473" s="370">
        <v>0.87587743333694978</v>
      </c>
      <c r="G473" s="370">
        <v>0.86158997662867232</v>
      </c>
    </row>
    <row r="474" spans="1:7" x14ac:dyDescent="0.35">
      <c r="A474" s="370" t="s">
        <v>3502</v>
      </c>
      <c r="B474" s="370">
        <v>0.94227186786334705</v>
      </c>
      <c r="C474" s="370">
        <v>0.94372549251193749</v>
      </c>
      <c r="D474" s="370">
        <v>0.94155579111426835</v>
      </c>
      <c r="E474" s="370">
        <v>0.93599593573899431</v>
      </c>
      <c r="F474" s="370">
        <v>0.92509059719593068</v>
      </c>
      <c r="G474" s="370">
        <v>0.90888162097355174</v>
      </c>
    </row>
    <row r="475" spans="1:7" x14ac:dyDescent="0.35">
      <c r="A475" s="370" t="s">
        <v>3503</v>
      </c>
      <c r="B475" s="370">
        <v>0.99807971123729389</v>
      </c>
      <c r="C475" s="370">
        <v>0.99721025988969125</v>
      </c>
      <c r="D475" s="370">
        <v>0.99277393729686347</v>
      </c>
      <c r="E475" s="370">
        <v>0.9852090995979752</v>
      </c>
      <c r="F475" s="370">
        <v>0.97238224154080999</v>
      </c>
      <c r="G475" s="370">
        <v>0.95433154261399855</v>
      </c>
    </row>
    <row r="476" spans="1:7" x14ac:dyDescent="0.35">
      <c r="A476" s="370" t="s">
        <v>3504</v>
      </c>
      <c r="B476" s="370">
        <v>1.051564478615048</v>
      </c>
      <c r="C476" s="370">
        <v>1.0484284060722866</v>
      </c>
      <c r="D476" s="370">
        <v>1.0419871011558446</v>
      </c>
      <c r="E476" s="370">
        <v>1.0325007439428546</v>
      </c>
      <c r="F476" s="370">
        <v>1.0178321631812568</v>
      </c>
      <c r="G476" s="370">
        <v>0.99801604037986824</v>
      </c>
    </row>
    <row r="477" spans="1:7" x14ac:dyDescent="0.35">
      <c r="A477" s="370" t="s">
        <v>3505</v>
      </c>
      <c r="B477" s="370">
        <v>1.1027826247976433</v>
      </c>
      <c r="C477" s="370">
        <v>1.0976415699312678</v>
      </c>
      <c r="D477" s="370">
        <v>1.089278745500724</v>
      </c>
      <c r="E477" s="370">
        <v>1.0779506655833015</v>
      </c>
      <c r="F477" s="370">
        <v>1.0615166609471267</v>
      </c>
      <c r="G477" s="370">
        <v>1.0400080751964915</v>
      </c>
    </row>
    <row r="478" spans="1:7" x14ac:dyDescent="0.35">
      <c r="A478" s="370" t="s">
        <v>3506</v>
      </c>
      <c r="B478" s="370">
        <v>1.1519957886566243</v>
      </c>
      <c r="C478" s="370">
        <v>1.144933214276147</v>
      </c>
      <c r="D478" s="370">
        <v>1.1347286671411707</v>
      </c>
      <c r="E478" s="370">
        <v>1.121635163349171</v>
      </c>
      <c r="F478" s="370">
        <v>1.1035086957637499</v>
      </c>
      <c r="G478" s="370">
        <v>1.0803774225991196</v>
      </c>
    </row>
    <row r="479" spans="1:7" x14ac:dyDescent="0.35">
      <c r="A479" s="370" t="s">
        <v>3507</v>
      </c>
      <c r="B479" s="370">
        <v>0.11000868750077969</v>
      </c>
      <c r="C479" s="370">
        <v>0.11243247033329253</v>
      </c>
      <c r="D479" s="370">
        <v>0.11689650395991383</v>
      </c>
      <c r="E479" s="370">
        <v>0.12361912296930279</v>
      </c>
      <c r="F479" s="370">
        <v>0.12880928456450585</v>
      </c>
      <c r="G479" s="370">
        <v>0.13279057791867291</v>
      </c>
    </row>
    <row r="480" spans="1:7" x14ac:dyDescent="0.35">
      <c r="A480" s="370" t="s">
        <v>3508</v>
      </c>
      <c r="B480" s="370">
        <v>1.1992874330015035</v>
      </c>
      <c r="C480" s="370">
        <v>1.1903831359165937</v>
      </c>
      <c r="D480" s="370">
        <v>1.1784131649070404</v>
      </c>
      <c r="E480" s="370">
        <v>1.1636271981657942</v>
      </c>
      <c r="F480" s="370">
        <v>1.143878043166378</v>
      </c>
      <c r="G480" s="370">
        <v>1.1191908180515968</v>
      </c>
    </row>
    <row r="481" spans="1:7" x14ac:dyDescent="0.35">
      <c r="A481" s="370" t="s">
        <v>3509</v>
      </c>
      <c r="B481" s="370">
        <v>1.2447373546419505</v>
      </c>
      <c r="C481" s="370">
        <v>1.2340676336824634</v>
      </c>
      <c r="D481" s="370">
        <v>1.220405199723664</v>
      </c>
      <c r="E481" s="370">
        <v>1.2039965455684223</v>
      </c>
      <c r="F481" s="370">
        <v>1.1826914386188552</v>
      </c>
      <c r="G481" s="370">
        <v>1.1558245088986727</v>
      </c>
    </row>
    <row r="482" spans="1:7" x14ac:dyDescent="0.35">
      <c r="A482" s="370" t="s">
        <v>3510</v>
      </c>
      <c r="B482" s="370">
        <v>1.2884218524078201</v>
      </c>
      <c r="C482" s="370">
        <v>1.2760596684990868</v>
      </c>
      <c r="D482" s="370">
        <v>1.2607745471262919</v>
      </c>
      <c r="E482" s="370">
        <v>1.2428099410208997</v>
      </c>
      <c r="F482" s="370">
        <v>1.2193251294659313</v>
      </c>
      <c r="G482" s="370">
        <v>1.1904009042238981</v>
      </c>
    </row>
    <row r="483" spans="1:7" x14ac:dyDescent="0.35">
      <c r="A483" s="370" t="s">
        <v>3511</v>
      </c>
      <c r="B483" s="370">
        <v>1.3304138872244435</v>
      </c>
      <c r="C483" s="370">
        <v>1.3164290159017149</v>
      </c>
      <c r="D483" s="370">
        <v>1.2995879425787691</v>
      </c>
      <c r="E483" s="370">
        <v>1.2794436318679758</v>
      </c>
      <c r="F483" s="370">
        <v>1.2539015247911565</v>
      </c>
      <c r="G483" s="370">
        <v>1.2230355387923033</v>
      </c>
    </row>
    <row r="484" spans="1:7" x14ac:dyDescent="0.35">
      <c r="A484" s="370" t="s">
        <v>3512</v>
      </c>
      <c r="B484" s="370">
        <v>1.3707832346270716</v>
      </c>
      <c r="C484" s="370">
        <v>1.3552424113541923</v>
      </c>
      <c r="D484" s="370">
        <v>1.3362216334258448</v>
      </c>
      <c r="E484" s="370">
        <v>1.3140200271932008</v>
      </c>
      <c r="F484" s="370">
        <v>1.2865361593595614</v>
      </c>
      <c r="G484" s="370">
        <v>1.2538374591022652</v>
      </c>
    </row>
    <row r="485" spans="1:7" x14ac:dyDescent="0.35">
      <c r="A485" s="370" t="s">
        <v>3513</v>
      </c>
      <c r="B485" s="370">
        <v>1.4095966300795486</v>
      </c>
      <c r="C485" s="370">
        <v>1.391876102201268</v>
      </c>
      <c r="D485" s="370">
        <v>1.3707980287510704</v>
      </c>
      <c r="E485" s="370">
        <v>1.346654661761606</v>
      </c>
      <c r="F485" s="370">
        <v>1.3173380796695238</v>
      </c>
      <c r="G485" s="370">
        <v>1.2829095877572558</v>
      </c>
    </row>
    <row r="486" spans="1:7" x14ac:dyDescent="0.35">
      <c r="A486" s="370" t="s">
        <v>3514</v>
      </c>
      <c r="B486" s="370">
        <v>0.16678668905864907</v>
      </c>
      <c r="C486" s="370">
        <v>0.17255097273533698</v>
      </c>
      <c r="D486" s="370">
        <v>0.18039712452717216</v>
      </c>
      <c r="E486" s="370">
        <v>0.18892778696655027</v>
      </c>
      <c r="F486" s="370">
        <v>0.19629119848593124</v>
      </c>
      <c r="G486" s="370">
        <v>0.20098760938011298</v>
      </c>
    </row>
    <row r="487" spans="1:7" x14ac:dyDescent="0.35">
      <c r="A487" s="370" t="s">
        <v>3515</v>
      </c>
      <c r="B487" s="370">
        <v>0.22690519146069354</v>
      </c>
      <c r="C487" s="370">
        <v>0.23605159330259531</v>
      </c>
      <c r="D487" s="370">
        <v>0.24570578852441965</v>
      </c>
      <c r="E487" s="370">
        <v>0.25640970088797571</v>
      </c>
      <c r="F487" s="370">
        <v>0.26448822994737131</v>
      </c>
      <c r="G487" s="370">
        <v>0.2691789171608106</v>
      </c>
    </row>
    <row r="488" spans="1:7" x14ac:dyDescent="0.35">
      <c r="A488" s="370" t="s">
        <v>3516</v>
      </c>
      <c r="B488" s="370">
        <v>0.2904058120279519</v>
      </c>
      <c r="C488" s="370">
        <v>0.30136025729984284</v>
      </c>
      <c r="D488" s="370">
        <v>0.31318770244584504</v>
      </c>
      <c r="E488" s="370">
        <v>0.32460673234941584</v>
      </c>
      <c r="F488" s="370">
        <v>0.33267953772806891</v>
      </c>
      <c r="G488" s="370">
        <v>0.33680637322363394</v>
      </c>
    </row>
    <row r="489" spans="1:7" x14ac:dyDescent="0.35">
      <c r="A489" s="370" t="s">
        <v>3517</v>
      </c>
      <c r="B489" s="370">
        <v>0.35571447602519934</v>
      </c>
      <c r="C489" s="370">
        <v>0.36884217122126828</v>
      </c>
      <c r="D489" s="370">
        <v>0.38138473390728506</v>
      </c>
      <c r="E489" s="370">
        <v>0.39279804013011338</v>
      </c>
      <c r="F489" s="370">
        <v>0.40030699379089241</v>
      </c>
      <c r="G489" s="370">
        <v>0.40320799655603273</v>
      </c>
    </row>
    <row r="490" spans="1:7" x14ac:dyDescent="0.35">
      <c r="A490" s="370" t="s">
        <v>3518</v>
      </c>
      <c r="B490" s="370">
        <v>0.42319638994662484</v>
      </c>
      <c r="C490" s="370">
        <v>0.43703920268270829</v>
      </c>
      <c r="D490" s="370">
        <v>0.44957604168798271</v>
      </c>
      <c r="E490" s="370">
        <v>0.46042549619293677</v>
      </c>
      <c r="F490" s="370">
        <v>0.46670861712329109</v>
      </c>
      <c r="G490" s="370">
        <v>0.46835903358946002</v>
      </c>
    </row>
    <row r="491" spans="1:7" x14ac:dyDescent="0.35">
      <c r="A491" s="370" t="s">
        <v>3519</v>
      </c>
      <c r="B491" s="370">
        <v>0.49139342140806486</v>
      </c>
      <c r="C491" s="370">
        <v>0.50523051046340595</v>
      </c>
      <c r="D491" s="370">
        <v>0.5172034977508061</v>
      </c>
      <c r="E491" s="370">
        <v>0.52682711952533567</v>
      </c>
      <c r="F491" s="370">
        <v>0.53185965415671843</v>
      </c>
      <c r="G491" s="370">
        <v>0.53244405270962969</v>
      </c>
    </row>
    <row r="492" spans="1:7" x14ac:dyDescent="0.35">
      <c r="A492" s="370" t="s">
        <v>3520</v>
      </c>
      <c r="B492" s="370">
        <v>0.55958472918876256</v>
      </c>
      <c r="C492" s="370">
        <v>0.57285796652622933</v>
      </c>
      <c r="D492" s="370">
        <v>0.58360512108320495</v>
      </c>
      <c r="E492" s="370">
        <v>0.59197815655876285</v>
      </c>
      <c r="F492" s="370">
        <v>0.59594467327688805</v>
      </c>
      <c r="G492" s="370">
        <v>0.59361940274051828</v>
      </c>
    </row>
    <row r="493" spans="1:7" x14ac:dyDescent="0.35">
      <c r="A493" s="370" t="s">
        <v>3521</v>
      </c>
      <c r="B493" s="370">
        <v>0.74706814877244387</v>
      </c>
      <c r="C493" s="370">
        <v>0.72879939870999932</v>
      </c>
      <c r="D493" s="370">
        <v>0.7078940115934389</v>
      </c>
      <c r="E493" s="370">
        <v>0.685152625453188</v>
      </c>
      <c r="F493" s="370">
        <v>0.66120966715623419</v>
      </c>
      <c r="G493" s="370">
        <v>0.63680007864045907</v>
      </c>
    </row>
    <row r="494" spans="1:7" x14ac:dyDescent="0.35">
      <c r="A494" s="370" t="s">
        <v>3522</v>
      </c>
      <c r="B494" s="370">
        <v>3.7401184561200604E-2</v>
      </c>
      <c r="C494" s="370">
        <v>3.7565013643518552E-2</v>
      </c>
      <c r="D494" s="370">
        <v>3.7639491222037802E-2</v>
      </c>
      <c r="E494" s="370">
        <v>3.8447444955417055E-2</v>
      </c>
      <c r="F494" s="370">
        <v>3.9588538384301125E-2</v>
      </c>
      <c r="G494" s="370">
        <v>3.9769001265501015E-2</v>
      </c>
    </row>
    <row r="495" spans="1:7" x14ac:dyDescent="0.35">
      <c r="A495" s="370" t="s">
        <v>3523</v>
      </c>
      <c r="B495" s="370">
        <v>0.39256033270699014</v>
      </c>
      <c r="C495" s="370">
        <v>0.39460256724931114</v>
      </c>
      <c r="D495" s="370">
        <v>0.39605559903905296</v>
      </c>
      <c r="E495" s="370">
        <v>0.39734343080192563</v>
      </c>
      <c r="F495" s="370">
        <v>0.39609345484980274</v>
      </c>
      <c r="G495" s="370">
        <v>0.39197788260661648</v>
      </c>
    </row>
    <row r="496" spans="1:7" x14ac:dyDescent="0.35">
      <c r="A496" s="370" t="s">
        <v>3524</v>
      </c>
      <c r="B496" s="370">
        <v>0.43200375181051187</v>
      </c>
      <c r="C496" s="370">
        <v>0.43362061268257174</v>
      </c>
      <c r="D496" s="370">
        <v>0.43498292202396349</v>
      </c>
      <c r="E496" s="370">
        <v>0.43454089980521965</v>
      </c>
      <c r="F496" s="370">
        <v>0.43156642099091774</v>
      </c>
      <c r="G496" s="370">
        <v>0.42616017901157899</v>
      </c>
    </row>
    <row r="497" spans="1:7" x14ac:dyDescent="0.35">
      <c r="A497" s="370" t="s">
        <v>3525</v>
      </c>
      <c r="B497" s="370">
        <v>0.47102179724377224</v>
      </c>
      <c r="C497" s="370">
        <v>0.47254793566748216</v>
      </c>
      <c r="D497" s="370">
        <v>0.47218039102725751</v>
      </c>
      <c r="E497" s="370">
        <v>0.47001386594633465</v>
      </c>
      <c r="F497" s="370">
        <v>0.46574871739588014</v>
      </c>
      <c r="G497" s="370">
        <v>0.45910269316776953</v>
      </c>
    </row>
    <row r="498" spans="1:7" x14ac:dyDescent="0.35">
      <c r="A498" s="370" t="s">
        <v>3526</v>
      </c>
      <c r="B498" s="370">
        <v>0.50994912022868277</v>
      </c>
      <c r="C498" s="370">
        <v>0.50974540467077611</v>
      </c>
      <c r="D498" s="370">
        <v>0.50765335716837245</v>
      </c>
      <c r="E498" s="370">
        <v>0.50419616235129705</v>
      </c>
      <c r="F498" s="370">
        <v>0.49869123155207062</v>
      </c>
      <c r="G498" s="370">
        <v>0.49078149695647688</v>
      </c>
    </row>
    <row r="499" spans="1:7" x14ac:dyDescent="0.35">
      <c r="A499" s="370" t="s">
        <v>3527</v>
      </c>
      <c r="B499" s="370">
        <v>0.54714658923197657</v>
      </c>
      <c r="C499" s="370">
        <v>0.54521837081189128</v>
      </c>
      <c r="D499" s="370">
        <v>0.54183565357333496</v>
      </c>
      <c r="E499" s="370">
        <v>0.5371386765074877</v>
      </c>
      <c r="F499" s="370">
        <v>0.53037003534077787</v>
      </c>
      <c r="G499" s="370">
        <v>0.52135695298298779</v>
      </c>
    </row>
    <row r="500" spans="1:7" x14ac:dyDescent="0.35">
      <c r="A500" s="370" t="s">
        <v>3528</v>
      </c>
      <c r="B500" s="370">
        <v>0.58261955537309196</v>
      </c>
      <c r="C500" s="370">
        <v>0.57940066721685368</v>
      </c>
      <c r="D500" s="370">
        <v>0.57477816772952561</v>
      </c>
      <c r="E500" s="370">
        <v>0.56881748029619494</v>
      </c>
      <c r="F500" s="370">
        <v>0.56094549136728877</v>
      </c>
      <c r="G500" s="370">
        <v>0.55086992487503483</v>
      </c>
    </row>
    <row r="501" spans="1:7" x14ac:dyDescent="0.35">
      <c r="A501" s="370" t="s">
        <v>3529</v>
      </c>
      <c r="B501" s="370">
        <v>0.61680185177805436</v>
      </c>
      <c r="C501" s="370">
        <v>0.61234318137304433</v>
      </c>
      <c r="D501" s="370">
        <v>0.60645697151823286</v>
      </c>
      <c r="E501" s="370">
        <v>0.59939293632270596</v>
      </c>
      <c r="F501" s="370">
        <v>0.59045846325933593</v>
      </c>
      <c r="G501" s="370">
        <v>0.57935965895101105</v>
      </c>
    </row>
    <row r="502" spans="1:7" x14ac:dyDescent="0.35">
      <c r="A502" s="370" t="s">
        <v>3530</v>
      </c>
      <c r="B502" s="370">
        <v>0.64974436593424489</v>
      </c>
      <c r="C502" s="370">
        <v>0.64402198516175146</v>
      </c>
      <c r="D502" s="370">
        <v>0.63703242754474354</v>
      </c>
      <c r="E502" s="370">
        <v>0.62890590821475323</v>
      </c>
      <c r="F502" s="370">
        <v>0.61894819733531237</v>
      </c>
      <c r="G502" s="370">
        <v>0.60686385241814378</v>
      </c>
    </row>
    <row r="503" spans="1:7" x14ac:dyDescent="0.35">
      <c r="A503" s="370" t="s">
        <v>3531</v>
      </c>
      <c r="B503" s="370">
        <v>0.68142316972295203</v>
      </c>
      <c r="C503" s="370">
        <v>0.67459744118826248</v>
      </c>
      <c r="D503" s="370">
        <v>0.66654539943679081</v>
      </c>
      <c r="E503" s="370">
        <v>0.65739564229072922</v>
      </c>
      <c r="F503" s="370">
        <v>0.6464523908024451</v>
      </c>
      <c r="G503" s="370">
        <v>0.63341871853617371</v>
      </c>
    </row>
    <row r="504" spans="1:7" x14ac:dyDescent="0.35">
      <c r="A504" s="370" t="s">
        <v>3532</v>
      </c>
      <c r="B504" s="370">
        <v>0.71199862574946293</v>
      </c>
      <c r="C504" s="370">
        <v>0.70411041308030953</v>
      </c>
      <c r="D504" s="370">
        <v>0.69503513351276702</v>
      </c>
      <c r="E504" s="370">
        <v>0.68489983575786195</v>
      </c>
      <c r="F504" s="370">
        <v>0.67300725692047481</v>
      </c>
      <c r="G504" s="370">
        <v>0.65905904888723477</v>
      </c>
    </row>
    <row r="505" spans="1:7" x14ac:dyDescent="0.35">
      <c r="A505" s="370" t="s">
        <v>3533</v>
      </c>
      <c r="B505" s="370">
        <v>7.496619820471917E-2</v>
      </c>
      <c r="C505" s="370">
        <v>7.5204504865556299E-2</v>
      </c>
      <c r="D505" s="370">
        <v>7.6086936177454836E-2</v>
      </c>
      <c r="E505" s="370">
        <v>7.8035983339718173E-2</v>
      </c>
      <c r="F505" s="370">
        <v>7.9357539649802133E-2</v>
      </c>
      <c r="G505" s="370">
        <v>8.0613842636113278E-2</v>
      </c>
    </row>
    <row r="506" spans="1:7" x14ac:dyDescent="0.35">
      <c r="A506" s="370" t="s">
        <v>3534</v>
      </c>
      <c r="B506" s="370">
        <v>0.74151159764151009</v>
      </c>
      <c r="C506" s="370">
        <v>0.73260014715628574</v>
      </c>
      <c r="D506" s="370">
        <v>0.72253932697989987</v>
      </c>
      <c r="E506" s="370">
        <v>0.71145470187589188</v>
      </c>
      <c r="F506" s="370">
        <v>0.69864758727153575</v>
      </c>
      <c r="G506" s="370">
        <v>0.68381827288591346</v>
      </c>
    </row>
    <row r="507" spans="1:7" x14ac:dyDescent="0.35">
      <c r="A507" s="370" t="s">
        <v>3535</v>
      </c>
      <c r="B507" s="370">
        <v>0.77000133171748653</v>
      </c>
      <c r="C507" s="370">
        <v>0.76010434062341881</v>
      </c>
      <c r="D507" s="370">
        <v>0.74909419309792957</v>
      </c>
      <c r="E507" s="370">
        <v>0.73709503222695272</v>
      </c>
      <c r="F507" s="370">
        <v>0.72340681127021456</v>
      </c>
      <c r="G507" s="370">
        <v>0.70718705438537466</v>
      </c>
    </row>
    <row r="508" spans="1:7" x14ac:dyDescent="0.35">
      <c r="A508" s="370" t="s">
        <v>3536</v>
      </c>
      <c r="B508" s="370">
        <v>0.79750552518461915</v>
      </c>
      <c r="C508" s="370">
        <v>0.78665920674144829</v>
      </c>
      <c r="D508" s="370">
        <v>0.77473452344899074</v>
      </c>
      <c r="E508" s="370">
        <v>0.76185425622563185</v>
      </c>
      <c r="F508" s="370">
        <v>0.74677559276967576</v>
      </c>
      <c r="G508" s="370">
        <v>0.72924347864159078</v>
      </c>
    </row>
    <row r="509" spans="1:7" x14ac:dyDescent="0.35">
      <c r="A509" s="370" t="s">
        <v>3537</v>
      </c>
      <c r="B509" s="370">
        <v>0.82406039130264908</v>
      </c>
      <c r="C509" s="370">
        <v>0.81229953709250946</v>
      </c>
      <c r="D509" s="370">
        <v>0.79949374744766954</v>
      </c>
      <c r="E509" s="370">
        <v>0.78522303772509283</v>
      </c>
      <c r="F509" s="370">
        <v>0.76883201702589199</v>
      </c>
      <c r="G509" s="370">
        <v>0.75006124575458377</v>
      </c>
    </row>
    <row r="510" spans="1:7" x14ac:dyDescent="0.35">
      <c r="A510" s="370" t="s">
        <v>3538</v>
      </c>
      <c r="B510" s="370">
        <v>0.84970072165370991</v>
      </c>
      <c r="C510" s="370">
        <v>0.83705876109118826</v>
      </c>
      <c r="D510" s="370">
        <v>0.82286252894713074</v>
      </c>
      <c r="E510" s="370">
        <v>0.80727946198130907</v>
      </c>
      <c r="F510" s="370">
        <v>0.78964978413888509</v>
      </c>
      <c r="G510" s="370">
        <v>0.76970991693249158</v>
      </c>
    </row>
    <row r="511" spans="1:7" x14ac:dyDescent="0.35">
      <c r="A511" s="370" t="s">
        <v>3539</v>
      </c>
      <c r="B511" s="370">
        <v>0.87445994565238916</v>
      </c>
      <c r="C511" s="370">
        <v>0.86042754259064935</v>
      </c>
      <c r="D511" s="370">
        <v>0.84491895320334665</v>
      </c>
      <c r="E511" s="370">
        <v>0.82809722909430206</v>
      </c>
      <c r="F511" s="370">
        <v>0.80929845531679256</v>
      </c>
      <c r="G511" s="370">
        <v>0.78825514692579723</v>
      </c>
    </row>
    <row r="512" spans="1:7" x14ac:dyDescent="0.35">
      <c r="A512" s="370" t="s">
        <v>3540</v>
      </c>
      <c r="B512" s="370">
        <v>0.89782872715185003</v>
      </c>
      <c r="C512" s="370">
        <v>0.88248396684686559</v>
      </c>
      <c r="D512" s="370">
        <v>0.86573672031633986</v>
      </c>
      <c r="E512" s="370">
        <v>0.84774590027220942</v>
      </c>
      <c r="F512" s="370">
        <v>0.82784368531009844</v>
      </c>
      <c r="G512" s="370">
        <v>0.80575890340838918</v>
      </c>
    </row>
    <row r="513" spans="1:7" x14ac:dyDescent="0.35">
      <c r="A513" s="370" t="s">
        <v>3541</v>
      </c>
      <c r="B513" s="370">
        <v>0.91988515140806626</v>
      </c>
      <c r="C513" s="370">
        <v>0.90330173395985858</v>
      </c>
      <c r="D513" s="370">
        <v>0.88538539149424755</v>
      </c>
      <c r="E513" s="370">
        <v>0.86629113026551563</v>
      </c>
      <c r="F513" s="370">
        <v>0.84534744179269006</v>
      </c>
      <c r="G513" s="370">
        <v>0.82227967403848967</v>
      </c>
    </row>
    <row r="514" spans="1:7" x14ac:dyDescent="0.35">
      <c r="A514" s="370" t="s">
        <v>3542</v>
      </c>
      <c r="B514" s="370">
        <v>0.94070291852105925</v>
      </c>
      <c r="C514" s="370">
        <v>0.92295040513776605</v>
      </c>
      <c r="D514" s="370">
        <v>0.90393062148755354</v>
      </c>
      <c r="E514" s="370">
        <v>0.88379488674810736</v>
      </c>
      <c r="F514" s="370">
        <v>0.86186821242279088</v>
      </c>
      <c r="G514" s="370">
        <v>0.83787266189134557</v>
      </c>
    </row>
    <row r="515" spans="1:7" x14ac:dyDescent="0.35">
      <c r="A515" s="370" t="s">
        <v>3543</v>
      </c>
      <c r="B515" s="370">
        <v>0.96035158969896706</v>
      </c>
      <c r="C515" s="370">
        <v>0.94149563513107204</v>
      </c>
      <c r="D515" s="370">
        <v>0.92143437797014494</v>
      </c>
      <c r="E515" s="370">
        <v>0.90031565737820796</v>
      </c>
      <c r="F515" s="370">
        <v>0.87746120027564645</v>
      </c>
      <c r="G515" s="370">
        <v>0.852589969916693</v>
      </c>
    </row>
    <row r="516" spans="1:7" x14ac:dyDescent="0.35">
      <c r="A516" s="370" t="s">
        <v>3544</v>
      </c>
      <c r="B516" s="370">
        <v>0.1126056894267569</v>
      </c>
      <c r="C516" s="370">
        <v>0.11365194982097329</v>
      </c>
      <c r="D516" s="370">
        <v>0.11567547456175596</v>
      </c>
      <c r="E516" s="370">
        <v>0.1178049846052192</v>
      </c>
      <c r="F516" s="370">
        <v>0.12020238102041439</v>
      </c>
      <c r="G516" s="370">
        <v>0.12135784698494112</v>
      </c>
    </row>
    <row r="517" spans="1:7" x14ac:dyDescent="0.35">
      <c r="A517" s="370" t="s">
        <v>3545</v>
      </c>
      <c r="B517" s="370">
        <v>0.97889681969227271</v>
      </c>
      <c r="C517" s="370">
        <v>0.95899939161366365</v>
      </c>
      <c r="D517" s="370">
        <v>0.93795514860024587</v>
      </c>
      <c r="E517" s="370">
        <v>0.91590864523106363</v>
      </c>
      <c r="F517" s="370">
        <v>0.89217850830099421</v>
      </c>
      <c r="G517" s="370">
        <v>0.86648077503736121</v>
      </c>
    </row>
    <row r="518" spans="1:7" x14ac:dyDescent="0.35">
      <c r="A518" s="370" t="s">
        <v>3546</v>
      </c>
      <c r="B518" s="370">
        <v>0.15105313438217394</v>
      </c>
      <c r="C518" s="370">
        <v>0.15324048820527439</v>
      </c>
      <c r="D518" s="370">
        <v>0.15544447582725698</v>
      </c>
      <c r="E518" s="370">
        <v>0.15864982597583144</v>
      </c>
      <c r="F518" s="370">
        <v>0.16094638536924225</v>
      </c>
      <c r="G518" s="370">
        <v>0.1618242616604246</v>
      </c>
    </row>
    <row r="519" spans="1:7" x14ac:dyDescent="0.35">
      <c r="A519" s="370" t="s">
        <v>3547</v>
      </c>
      <c r="B519" s="370">
        <v>0.19064167276647506</v>
      </c>
      <c r="C519" s="370">
        <v>0.19300948947077526</v>
      </c>
      <c r="D519" s="370">
        <v>0.19628931719786924</v>
      </c>
      <c r="E519" s="370">
        <v>0.19939383032465932</v>
      </c>
      <c r="F519" s="370">
        <v>0.20141280004472573</v>
      </c>
      <c r="G519" s="370">
        <v>0.201918659940515</v>
      </c>
    </row>
    <row r="520" spans="1:7" x14ac:dyDescent="0.35">
      <c r="A520" s="370" t="s">
        <v>3548</v>
      </c>
      <c r="B520" s="370">
        <v>0.2304106740319759</v>
      </c>
      <c r="C520" s="370">
        <v>0.23385433084138757</v>
      </c>
      <c r="D520" s="370">
        <v>0.23703332154669715</v>
      </c>
      <c r="E520" s="370">
        <v>0.23986024500014275</v>
      </c>
      <c r="F520" s="370">
        <v>0.2415071983248161</v>
      </c>
      <c r="G520" s="370">
        <v>0.24136207904403642</v>
      </c>
    </row>
    <row r="521" spans="1:7" x14ac:dyDescent="0.35">
      <c r="A521" s="370" t="s">
        <v>3549</v>
      </c>
      <c r="B521" s="370">
        <v>0.27125551540258819</v>
      </c>
      <c r="C521" s="370">
        <v>0.27459833519021559</v>
      </c>
      <c r="D521" s="370">
        <v>0.27749973622218049</v>
      </c>
      <c r="E521" s="370">
        <v>0.27995464328023317</v>
      </c>
      <c r="F521" s="370">
        <v>0.28095061742833755</v>
      </c>
      <c r="G521" s="370">
        <v>0.28038012447729704</v>
      </c>
    </row>
    <row r="522" spans="1:7" x14ac:dyDescent="0.35">
      <c r="A522" s="370" t="s">
        <v>3550</v>
      </c>
      <c r="B522" s="370">
        <v>0.31199951975141604</v>
      </c>
      <c r="C522" s="370">
        <v>0.3150647498656991</v>
      </c>
      <c r="D522" s="370">
        <v>0.31759413450227097</v>
      </c>
      <c r="E522" s="370">
        <v>0.31939806238375468</v>
      </c>
      <c r="F522" s="370">
        <v>0.31996866286159814</v>
      </c>
      <c r="G522" s="370">
        <v>0.31930744746220746</v>
      </c>
    </row>
    <row r="523" spans="1:7" x14ac:dyDescent="0.35">
      <c r="A523" s="370" t="s">
        <v>3551</v>
      </c>
      <c r="B523" s="370">
        <v>0.35246593442689972</v>
      </c>
      <c r="C523" s="370">
        <v>0.35515914814578964</v>
      </c>
      <c r="D523" s="370">
        <v>0.35703755360579248</v>
      </c>
      <c r="E523" s="370">
        <v>0.35841610781701533</v>
      </c>
      <c r="F523" s="370">
        <v>0.35889598584650861</v>
      </c>
      <c r="G523" s="370">
        <v>0.35650491646550153</v>
      </c>
    </row>
    <row r="524" spans="1:7" x14ac:dyDescent="0.35">
      <c r="A524" s="370" t="s">
        <v>3552</v>
      </c>
      <c r="B524" s="370">
        <v>3.2834156147711076E-2</v>
      </c>
      <c r="C524" s="370">
        <v>3.269564623937065E-2</v>
      </c>
      <c r="D524" s="370">
        <v>3.2491152672673523E-2</v>
      </c>
      <c r="E524" s="370">
        <v>3.2624616121028641E-2</v>
      </c>
      <c r="F524" s="370">
        <v>3.3168168141949235E-2</v>
      </c>
      <c r="G524" s="370">
        <v>3.2915709497118646E-2</v>
      </c>
    </row>
    <row r="525" spans="1:7" x14ac:dyDescent="0.35">
      <c r="A525" s="370" t="s">
        <v>3553</v>
      </c>
      <c r="B525" s="370">
        <v>0.32954992955223872</v>
      </c>
      <c r="C525" s="370">
        <v>0.3289293657235462</v>
      </c>
      <c r="D525" s="370">
        <v>0.32824197925468562</v>
      </c>
      <c r="E525" s="370">
        <v>0.32792775529022916</v>
      </c>
      <c r="F525" s="370">
        <v>0.32606663028678556</v>
      </c>
      <c r="G525" s="370">
        <v>0.32226033829535183</v>
      </c>
    </row>
    <row r="526" spans="1:7" x14ac:dyDescent="0.35">
      <c r="A526" s="370" t="s">
        <v>3554</v>
      </c>
      <c r="B526" s="370">
        <v>0.36176352187125727</v>
      </c>
      <c r="C526" s="370">
        <v>0.36093762549405639</v>
      </c>
      <c r="D526" s="370">
        <v>0.36041890796290266</v>
      </c>
      <c r="E526" s="370">
        <v>0.35869124640781413</v>
      </c>
      <c r="F526" s="370">
        <v>0.35542850643730112</v>
      </c>
      <c r="G526" s="370">
        <v>0.35063882840314808</v>
      </c>
    </row>
    <row r="527" spans="1:7" x14ac:dyDescent="0.35">
      <c r="A527" s="370" t="s">
        <v>3555</v>
      </c>
      <c r="B527" s="370">
        <v>0.39377178164176735</v>
      </c>
      <c r="C527" s="370">
        <v>0.39311455420227326</v>
      </c>
      <c r="D527" s="370">
        <v>0.39118239908048763</v>
      </c>
      <c r="E527" s="370">
        <v>0.38805312255832969</v>
      </c>
      <c r="F527" s="370">
        <v>0.3838069965450972</v>
      </c>
      <c r="G527" s="370">
        <v>0.37806750049814319</v>
      </c>
    </row>
    <row r="528" spans="1:7" x14ac:dyDescent="0.35">
      <c r="A528" s="370" t="s">
        <v>3556</v>
      </c>
      <c r="B528" s="370">
        <v>0.42594871034998438</v>
      </c>
      <c r="C528" s="370">
        <v>0.42387804531985829</v>
      </c>
      <c r="D528" s="370">
        <v>0.42054427523100324</v>
      </c>
      <c r="E528" s="370">
        <v>0.41643161266612594</v>
      </c>
      <c r="F528" s="370">
        <v>0.41123566864009237</v>
      </c>
      <c r="G528" s="370">
        <v>0.40450109866478257</v>
      </c>
    </row>
    <row r="529" spans="1:7" x14ac:dyDescent="0.35">
      <c r="A529" s="370" t="s">
        <v>3557</v>
      </c>
      <c r="B529" s="370">
        <v>0.45671220146756952</v>
      </c>
      <c r="C529" s="370">
        <v>0.45323992147037401</v>
      </c>
      <c r="D529" s="370">
        <v>0.44892276533879932</v>
      </c>
      <c r="E529" s="370">
        <v>0.44386028476112099</v>
      </c>
      <c r="F529" s="370">
        <v>0.43766926680673163</v>
      </c>
      <c r="G529" s="370">
        <v>0.43007280479959997</v>
      </c>
    </row>
    <row r="530" spans="1:7" x14ac:dyDescent="0.35">
      <c r="A530" s="370" t="s">
        <v>3558</v>
      </c>
      <c r="B530" s="370">
        <v>0.48607407761808508</v>
      </c>
      <c r="C530" s="370">
        <v>0.48161841157817004</v>
      </c>
      <c r="D530" s="370">
        <v>0.47635143743379449</v>
      </c>
      <c r="E530" s="370">
        <v>0.47029388292776036</v>
      </c>
      <c r="F530" s="370">
        <v>0.4632409729415492</v>
      </c>
      <c r="G530" s="370">
        <v>0.45481209285659896</v>
      </c>
    </row>
    <row r="531" spans="1:7" x14ac:dyDescent="0.35">
      <c r="A531" s="370" t="s">
        <v>3559</v>
      </c>
      <c r="B531" s="370">
        <v>0.5144525677258811</v>
      </c>
      <c r="C531" s="370">
        <v>0.5090470836731652</v>
      </c>
      <c r="D531" s="370">
        <v>0.50278503560043397</v>
      </c>
      <c r="E531" s="370">
        <v>0.49586558906257805</v>
      </c>
      <c r="F531" s="370">
        <v>0.4879802609985483</v>
      </c>
      <c r="G531" s="370">
        <v>0.47874736667056927</v>
      </c>
    </row>
    <row r="532" spans="1:7" x14ac:dyDescent="0.35">
      <c r="A532" s="370" t="s">
        <v>3560</v>
      </c>
      <c r="B532" s="370">
        <v>0.54188123982087633</v>
      </c>
      <c r="C532" s="370">
        <v>0.53548068183980446</v>
      </c>
      <c r="D532" s="370">
        <v>0.52835674173525138</v>
      </c>
      <c r="E532" s="370">
        <v>0.52060487711957681</v>
      </c>
      <c r="F532" s="370">
        <v>0.5119155348125185</v>
      </c>
      <c r="G532" s="370">
        <v>0.50190600151079723</v>
      </c>
    </row>
    <row r="533" spans="1:7" x14ac:dyDescent="0.35">
      <c r="A533" s="370" t="s">
        <v>3561</v>
      </c>
      <c r="B533" s="370">
        <v>0.56831483798751581</v>
      </c>
      <c r="C533" s="370">
        <v>0.56105238797462198</v>
      </c>
      <c r="D533" s="370">
        <v>0.55309602979225048</v>
      </c>
      <c r="E533" s="370">
        <v>0.54454015093354713</v>
      </c>
      <c r="F533" s="370">
        <v>0.53507416965274646</v>
      </c>
      <c r="G533" s="370">
        <v>0.52431438391040741</v>
      </c>
    </row>
    <row r="534" spans="1:7" x14ac:dyDescent="0.35">
      <c r="A534" s="370" t="s">
        <v>3562</v>
      </c>
      <c r="B534" s="370">
        <v>0.59388654412233322</v>
      </c>
      <c r="C534" s="370">
        <v>0.58579167603162108</v>
      </c>
      <c r="D534" s="370">
        <v>0.57703130360622046</v>
      </c>
      <c r="E534" s="370">
        <v>0.56769878577377497</v>
      </c>
      <c r="F534" s="370">
        <v>0.55748255205235664</v>
      </c>
      <c r="G534" s="370">
        <v>0.54599794984715255</v>
      </c>
    </row>
    <row r="535" spans="1:7" x14ac:dyDescent="0.35">
      <c r="A535" s="370" t="s">
        <v>3563</v>
      </c>
      <c r="B535" s="370">
        <v>6.552980238708174E-2</v>
      </c>
      <c r="C535" s="370">
        <v>6.518679891204418E-2</v>
      </c>
      <c r="D535" s="370">
        <v>6.511576879370215E-2</v>
      </c>
      <c r="E535" s="370">
        <v>6.5792784262977855E-2</v>
      </c>
      <c r="F535" s="370">
        <v>6.6083877639067867E-2</v>
      </c>
      <c r="G535" s="370">
        <v>6.661380885325402E-2</v>
      </c>
    </row>
    <row r="536" spans="1:7" x14ac:dyDescent="0.35">
      <c r="A536" s="370" t="s">
        <v>3564</v>
      </c>
      <c r="B536" s="370">
        <v>0.6186258321793322</v>
      </c>
      <c r="C536" s="370">
        <v>0.60972694984559139</v>
      </c>
      <c r="D536" s="370">
        <v>0.60018993844644875</v>
      </c>
      <c r="E536" s="370">
        <v>0.59010716817338538</v>
      </c>
      <c r="F536" s="370">
        <v>0.57916611798910189</v>
      </c>
      <c r="G536" s="370">
        <v>0.56698122134798834</v>
      </c>
    </row>
    <row r="537" spans="1:7" x14ac:dyDescent="0.35">
      <c r="A537" s="370" t="s">
        <v>3565</v>
      </c>
      <c r="B537" s="370">
        <v>0.6425611059933023</v>
      </c>
      <c r="C537" s="370">
        <v>0.63288558468581912</v>
      </c>
      <c r="D537" s="370">
        <v>0.62259832084605882</v>
      </c>
      <c r="E537" s="370">
        <v>0.61179073411013041</v>
      </c>
      <c r="F537" s="370">
        <v>0.60014938948993768</v>
      </c>
      <c r="G537" s="370">
        <v>0.58678610242475637</v>
      </c>
    </row>
    <row r="538" spans="1:7" x14ac:dyDescent="0.35">
      <c r="A538" s="370" t="s">
        <v>3566</v>
      </c>
      <c r="B538" s="370">
        <v>0.66571974083353047</v>
      </c>
      <c r="C538" s="370">
        <v>0.65529396708542964</v>
      </c>
      <c r="D538" s="370">
        <v>0.64428188678280396</v>
      </c>
      <c r="E538" s="370">
        <v>0.63277400561096631</v>
      </c>
      <c r="F538" s="370">
        <v>0.61995427056670571</v>
      </c>
      <c r="G538" s="370">
        <v>0.60547876979310777</v>
      </c>
    </row>
    <row r="539" spans="1:7" x14ac:dyDescent="0.35">
      <c r="A539" s="370" t="s">
        <v>3567</v>
      </c>
      <c r="B539" s="370">
        <v>0.68812812323314054</v>
      </c>
      <c r="C539" s="370">
        <v>0.67697753302217467</v>
      </c>
      <c r="D539" s="370">
        <v>0.66526515828363975</v>
      </c>
      <c r="E539" s="370">
        <v>0.65257888668773456</v>
      </c>
      <c r="F539" s="370">
        <v>0.63864693793505689</v>
      </c>
      <c r="G539" s="370">
        <v>0.62312168377928157</v>
      </c>
    </row>
    <row r="540" spans="1:7" x14ac:dyDescent="0.35">
      <c r="A540" s="370" t="s">
        <v>3568</v>
      </c>
      <c r="B540" s="370">
        <v>0.7098116891698858</v>
      </c>
      <c r="C540" s="370">
        <v>0.69796080452301046</v>
      </c>
      <c r="D540" s="370">
        <v>0.68507003936040778</v>
      </c>
      <c r="E540" s="370">
        <v>0.67127155405608552</v>
      </c>
      <c r="F540" s="370">
        <v>0.65628985192123068</v>
      </c>
      <c r="G540" s="370">
        <v>0.63977379702720416</v>
      </c>
    </row>
    <row r="541" spans="1:7" x14ac:dyDescent="0.35">
      <c r="A541" s="370" t="s">
        <v>3569</v>
      </c>
      <c r="B541" s="370">
        <v>0.73079496067072158</v>
      </c>
      <c r="C541" s="370">
        <v>0.7177656855997786</v>
      </c>
      <c r="D541" s="370">
        <v>0.70376270672875929</v>
      </c>
      <c r="E541" s="370">
        <v>0.68891446804225931</v>
      </c>
      <c r="F541" s="370">
        <v>0.67294196516915328</v>
      </c>
      <c r="G541" s="370">
        <v>0.655490751484894</v>
      </c>
    </row>
    <row r="542" spans="1:7" x14ac:dyDescent="0.35">
      <c r="A542" s="370" t="s">
        <v>3570</v>
      </c>
      <c r="B542" s="370">
        <v>9.8020955059755235E-2</v>
      </c>
      <c r="C542" s="370">
        <v>9.7811415033072779E-2</v>
      </c>
      <c r="D542" s="370">
        <v>9.8283936935651378E-2</v>
      </c>
      <c r="E542" s="370">
        <v>9.8708493760096522E-2</v>
      </c>
      <c r="F542" s="370">
        <v>9.9781976995203248E-2</v>
      </c>
      <c r="G542" s="370">
        <v>9.9994345373185856E-2</v>
      </c>
    </row>
    <row r="543" spans="1:7" x14ac:dyDescent="0.35">
      <c r="A543" s="370" t="s">
        <v>3571</v>
      </c>
      <c r="B543" s="370">
        <v>0.1306455711807839</v>
      </c>
      <c r="C543" s="370">
        <v>0.13097958317502204</v>
      </c>
      <c r="D543" s="370">
        <v>0.13119964643277005</v>
      </c>
      <c r="E543" s="370">
        <v>0.13240659311623187</v>
      </c>
      <c r="F543" s="370">
        <v>0.13316251351513506</v>
      </c>
      <c r="G543" s="370">
        <v>0.13302547802445883</v>
      </c>
    </row>
    <row r="544" spans="1:7" x14ac:dyDescent="0.35">
      <c r="A544" s="370" t="s">
        <v>3572</v>
      </c>
      <c r="B544" s="370">
        <v>0.16381373932273313</v>
      </c>
      <c r="C544" s="370">
        <v>0.16389529267214067</v>
      </c>
      <c r="D544" s="370">
        <v>0.16489774578890545</v>
      </c>
      <c r="E544" s="370">
        <v>0.16578712963616371</v>
      </c>
      <c r="F544" s="370">
        <v>0.16619364616640805</v>
      </c>
      <c r="G544" s="370">
        <v>0.1657361902295055</v>
      </c>
    </row>
    <row r="545" spans="1:7" x14ac:dyDescent="0.35">
      <c r="A545" s="370" t="s">
        <v>3573</v>
      </c>
      <c r="B545" s="370">
        <v>0.19672944881985172</v>
      </c>
      <c r="C545" s="370">
        <v>0.19759339202827608</v>
      </c>
      <c r="D545" s="370">
        <v>0.19827828230883729</v>
      </c>
      <c r="E545" s="370">
        <v>0.19881826228743668</v>
      </c>
      <c r="F545" s="370">
        <v>0.19890435837145476</v>
      </c>
      <c r="G545" s="370">
        <v>0.19794978254852416</v>
      </c>
    </row>
    <row r="546" spans="1:7" x14ac:dyDescent="0.35">
      <c r="A546" s="370" t="s">
        <v>3574</v>
      </c>
      <c r="B546" s="370">
        <v>0.23042754817598715</v>
      </c>
      <c r="C546" s="370">
        <v>0.23097392854820789</v>
      </c>
      <c r="D546" s="370">
        <v>0.23130941496011023</v>
      </c>
      <c r="E546" s="370">
        <v>0.23152897449248339</v>
      </c>
      <c r="F546" s="370">
        <v>0.23111795069047331</v>
      </c>
      <c r="G546" s="370">
        <v>0.22995804231903422</v>
      </c>
    </row>
    <row r="547" spans="1:7" x14ac:dyDescent="0.35">
      <c r="A547" s="370" t="s">
        <v>3575</v>
      </c>
      <c r="B547" s="370">
        <v>0.26380808469591893</v>
      </c>
      <c r="C547" s="370">
        <v>0.26400506119948086</v>
      </c>
      <c r="D547" s="370">
        <v>0.26402012716515688</v>
      </c>
      <c r="E547" s="370">
        <v>0.26374256681150199</v>
      </c>
      <c r="F547" s="370">
        <v>0.26312621046098345</v>
      </c>
      <c r="G547" s="370">
        <v>0.2621349710272512</v>
      </c>
    </row>
    <row r="548" spans="1:7" x14ac:dyDescent="0.35">
      <c r="A548" s="370" t="s">
        <v>3576</v>
      </c>
      <c r="B548" s="370">
        <v>0.29683921734719193</v>
      </c>
      <c r="C548" s="370">
        <v>0.29671577340452754</v>
      </c>
      <c r="D548" s="370">
        <v>0.29623371948417543</v>
      </c>
      <c r="E548" s="370">
        <v>0.29575082658201213</v>
      </c>
      <c r="F548" s="370">
        <v>0.29530313916920042</v>
      </c>
      <c r="G548" s="370">
        <v>0.29289846214483622</v>
      </c>
    </row>
    <row r="549" spans="1:7" x14ac:dyDescent="0.35">
      <c r="A549" s="370" t="s">
        <v>3577</v>
      </c>
      <c r="B549" s="370">
        <v>3.5014999700269167E-2</v>
      </c>
      <c r="C549" s="370">
        <v>3.5102422286076608E-2</v>
      </c>
      <c r="D549" s="370">
        <v>3.5109104017373043E-2</v>
      </c>
      <c r="E549" s="370">
        <v>3.5730994133360415E-2</v>
      </c>
      <c r="F549" s="370">
        <v>3.6692248129435182E-2</v>
      </c>
      <c r="G549" s="370">
        <v>3.6765213204623164E-2</v>
      </c>
    </row>
    <row r="550" spans="1:7" x14ac:dyDescent="0.35">
      <c r="A550" s="370" t="s">
        <v>3578</v>
      </c>
      <c r="B550" s="370">
        <v>0.3639934789573992</v>
      </c>
      <c r="C550" s="370">
        <v>0.36534163510475237</v>
      </c>
      <c r="D550" s="370">
        <v>0.36624340227805086</v>
      </c>
      <c r="E550" s="370">
        <v>0.3671115602459194</v>
      </c>
      <c r="F550" s="370">
        <v>0.36576290998144079</v>
      </c>
      <c r="G550" s="370">
        <v>0.36186476173270998</v>
      </c>
    </row>
    <row r="551" spans="1:7" x14ac:dyDescent="0.35">
      <c r="A551" s="370" t="s">
        <v>3579</v>
      </c>
      <c r="B551" s="370">
        <v>0.40035663480502154</v>
      </c>
      <c r="C551" s="370">
        <v>0.40134582456412754</v>
      </c>
      <c r="D551" s="370">
        <v>0.4022206642632925</v>
      </c>
      <c r="E551" s="370">
        <v>0.40149390411480129</v>
      </c>
      <c r="F551" s="370">
        <v>0.39855700986214526</v>
      </c>
      <c r="G551" s="370">
        <v>0.39348550228064694</v>
      </c>
    </row>
    <row r="552" spans="1:7" x14ac:dyDescent="0.35">
      <c r="A552" s="370" t="s">
        <v>3580</v>
      </c>
      <c r="B552" s="370">
        <v>0.43636082426439682</v>
      </c>
      <c r="C552" s="370">
        <v>0.43732308654936936</v>
      </c>
      <c r="D552" s="370">
        <v>0.43660300813217434</v>
      </c>
      <c r="E552" s="370">
        <v>0.43428800399550566</v>
      </c>
      <c r="F552" s="370">
        <v>0.43017775041008216</v>
      </c>
      <c r="G552" s="370">
        <v>0.42397793006072676</v>
      </c>
    </row>
    <row r="553" spans="1:7" x14ac:dyDescent="0.35">
      <c r="A553" s="370" t="s">
        <v>3581</v>
      </c>
      <c r="B553" s="370">
        <v>0.47233808624963858</v>
      </c>
      <c r="C553" s="370">
        <v>0.47170543041825108</v>
      </c>
      <c r="D553" s="370">
        <v>0.46939710801287859</v>
      </c>
      <c r="E553" s="370">
        <v>0.4659087445434425</v>
      </c>
      <c r="F553" s="370">
        <v>0.46067017819016187</v>
      </c>
      <c r="G553" s="370">
        <v>0.45331397875642143</v>
      </c>
    </row>
    <row r="554" spans="1:7" x14ac:dyDescent="0.35">
      <c r="A554" s="370" t="s">
        <v>3582</v>
      </c>
      <c r="B554" s="370">
        <v>0.50672043011852042</v>
      </c>
      <c r="C554" s="370">
        <v>0.50449953029895567</v>
      </c>
      <c r="D554" s="370">
        <v>0.50101784856081555</v>
      </c>
      <c r="E554" s="370">
        <v>0.49640117232352232</v>
      </c>
      <c r="F554" s="370">
        <v>0.49000622688585671</v>
      </c>
      <c r="G554" s="370">
        <v>0.48164200473963714</v>
      </c>
    </row>
    <row r="555" spans="1:7" x14ac:dyDescent="0.35">
      <c r="A555" s="370" t="s">
        <v>3583</v>
      </c>
      <c r="B555" s="370">
        <v>0.53951452999922478</v>
      </c>
      <c r="C555" s="370">
        <v>0.53612027084689251</v>
      </c>
      <c r="D555" s="370">
        <v>0.53151027634089532</v>
      </c>
      <c r="E555" s="370">
        <v>0.52573722101921705</v>
      </c>
      <c r="F555" s="370">
        <v>0.51833425286907242</v>
      </c>
      <c r="G555" s="370">
        <v>0.50899876952210266</v>
      </c>
    </row>
    <row r="556" spans="1:7" x14ac:dyDescent="0.35">
      <c r="A556" s="370" t="s">
        <v>3584</v>
      </c>
      <c r="B556" s="370">
        <v>0.57113527054716173</v>
      </c>
      <c r="C556" s="370">
        <v>0.56661269862697239</v>
      </c>
      <c r="D556" s="370">
        <v>0.56084632503659015</v>
      </c>
      <c r="E556" s="370">
        <v>0.55406524700243276</v>
      </c>
      <c r="F556" s="370">
        <v>0.54569101765153794</v>
      </c>
      <c r="G556" s="370">
        <v>0.53541960218170159</v>
      </c>
    </row>
    <row r="557" spans="1:7" x14ac:dyDescent="0.35">
      <c r="A557" s="370" t="s">
        <v>3585</v>
      </c>
      <c r="B557" s="370">
        <v>0.60162769832724172</v>
      </c>
      <c r="C557" s="370">
        <v>0.59594874732266723</v>
      </c>
      <c r="D557" s="370">
        <v>0.58917435101980575</v>
      </c>
      <c r="E557" s="370">
        <v>0.58142201178489827</v>
      </c>
      <c r="F557" s="370">
        <v>0.57211185031113665</v>
      </c>
      <c r="G557" s="370">
        <v>0.56093845893074112</v>
      </c>
    </row>
    <row r="558" spans="1:7" x14ac:dyDescent="0.35">
      <c r="A558" s="370" t="s">
        <v>3586</v>
      </c>
      <c r="B558" s="370">
        <v>0.63096374702293623</v>
      </c>
      <c r="C558" s="370">
        <v>0.62427677330588272</v>
      </c>
      <c r="D558" s="370">
        <v>0.61653111580227149</v>
      </c>
      <c r="E558" s="370">
        <v>0.60784284444449721</v>
      </c>
      <c r="F558" s="370">
        <v>0.59763070706017662</v>
      </c>
      <c r="G558" s="370">
        <v>0.58558798006281754</v>
      </c>
    </row>
    <row r="559" spans="1:7" x14ac:dyDescent="0.35">
      <c r="A559" s="370" t="s">
        <v>3587</v>
      </c>
      <c r="B559" s="370">
        <v>0.65929177300615205</v>
      </c>
      <c r="C559" s="370">
        <v>0.65163353808834845</v>
      </c>
      <c r="D559" s="370">
        <v>0.6429519484618702</v>
      </c>
      <c r="E559" s="370">
        <v>0.63336170119353685</v>
      </c>
      <c r="F559" s="370">
        <v>0.62228022819225259</v>
      </c>
      <c r="G559" s="370">
        <v>0.60939954439885236</v>
      </c>
    </row>
    <row r="560" spans="1:7" x14ac:dyDescent="0.35">
      <c r="A560" s="370" t="s">
        <v>3588</v>
      </c>
      <c r="B560" s="370">
        <v>7.0117421986345782E-2</v>
      </c>
      <c r="C560" s="370">
        <v>7.0211526303449664E-2</v>
      </c>
      <c r="D560" s="370">
        <v>7.0840098150733485E-2</v>
      </c>
      <c r="E560" s="370">
        <v>7.242324226279559E-2</v>
      </c>
      <c r="F560" s="370">
        <v>7.3457461334058338E-2</v>
      </c>
      <c r="G560" s="370">
        <v>7.44997656753595E-2</v>
      </c>
    </row>
    <row r="561" spans="1:7" x14ac:dyDescent="0.35">
      <c r="A561" s="370" t="s">
        <v>3589</v>
      </c>
      <c r="B561" s="370">
        <v>0.68664853778861767</v>
      </c>
      <c r="C561" s="370">
        <v>0.67805437074794728</v>
      </c>
      <c r="D561" s="370">
        <v>0.66847080521090985</v>
      </c>
      <c r="E561" s="370">
        <v>0.65801122232561315</v>
      </c>
      <c r="F561" s="370">
        <v>0.64609179252828741</v>
      </c>
      <c r="G561" s="370">
        <v>0.63240332134715693</v>
      </c>
    </row>
    <row r="562" spans="1:7" x14ac:dyDescent="0.35">
      <c r="A562" s="370" t="s">
        <v>3590</v>
      </c>
      <c r="B562" s="370">
        <v>0.71306937044821639</v>
      </c>
      <c r="C562" s="370">
        <v>0.70357322749698692</v>
      </c>
      <c r="D562" s="370">
        <v>0.69312032634298604</v>
      </c>
      <c r="E562" s="370">
        <v>0.68182278666164786</v>
      </c>
      <c r="F562" s="370">
        <v>0.6690955694765921</v>
      </c>
      <c r="G562" s="370">
        <v>0.65411523918415981</v>
      </c>
    </row>
    <row r="563" spans="1:7" x14ac:dyDescent="0.35">
      <c r="A563" s="370" t="s">
        <v>3591</v>
      </c>
      <c r="B563" s="370">
        <v>0.73858822719725603</v>
      </c>
      <c r="C563" s="370">
        <v>0.72822274862906344</v>
      </c>
      <c r="D563" s="370">
        <v>0.71693189067902097</v>
      </c>
      <c r="E563" s="370">
        <v>0.70482656360995255</v>
      </c>
      <c r="F563" s="370">
        <v>0.69080748731359487</v>
      </c>
      <c r="G563" s="370">
        <v>0.67460784686420039</v>
      </c>
    </row>
    <row r="564" spans="1:7" x14ac:dyDescent="0.35">
      <c r="A564" s="370" t="s">
        <v>3592</v>
      </c>
      <c r="B564" s="370">
        <v>0.76323774832933233</v>
      </c>
      <c r="C564" s="370">
        <v>0.75203431296509815</v>
      </c>
      <c r="D564" s="370">
        <v>0.73993566762732554</v>
      </c>
      <c r="E564" s="370">
        <v>0.72653848144695543</v>
      </c>
      <c r="F564" s="370">
        <v>0.71130009499363567</v>
      </c>
      <c r="G564" s="370">
        <v>0.69394961909642372</v>
      </c>
    </row>
    <row r="565" spans="1:7" x14ac:dyDescent="0.35">
      <c r="A565" s="370" t="s">
        <v>3593</v>
      </c>
      <c r="B565" s="370">
        <v>0.78704931266536726</v>
      </c>
      <c r="C565" s="370">
        <v>0.77503808991340262</v>
      </c>
      <c r="D565" s="370">
        <v>0.76164758546432854</v>
      </c>
      <c r="E565" s="370">
        <v>0.74703108912699612</v>
      </c>
      <c r="F565" s="370">
        <v>0.730641867225859</v>
      </c>
      <c r="G565" s="370">
        <v>0.71220518514854569</v>
      </c>
    </row>
    <row r="566" spans="1:7" x14ac:dyDescent="0.35">
      <c r="A566" s="370" t="s">
        <v>3594</v>
      </c>
      <c r="B566" s="370">
        <v>0.81005308961367184</v>
      </c>
      <c r="C566" s="370">
        <v>0.79675000775040572</v>
      </c>
      <c r="D566" s="370">
        <v>0.782140193144369</v>
      </c>
      <c r="E566" s="370">
        <v>0.76637286135921945</v>
      </c>
      <c r="F566" s="370">
        <v>0.74889743327798086</v>
      </c>
      <c r="G566" s="370">
        <v>0.72943554480132711</v>
      </c>
    </row>
    <row r="567" spans="1:7" x14ac:dyDescent="0.35">
      <c r="A567" s="370" t="s">
        <v>3595</v>
      </c>
      <c r="B567" s="370">
        <v>0.83176500745067472</v>
      </c>
      <c r="C567" s="370">
        <v>0.81724261543044641</v>
      </c>
      <c r="D567" s="370">
        <v>0.80148196537659211</v>
      </c>
      <c r="E567" s="370">
        <v>0.78462842741134131</v>
      </c>
      <c r="F567" s="370">
        <v>0.76612779293076227</v>
      </c>
      <c r="G567" s="370">
        <v>0.74569827217535378</v>
      </c>
    </row>
    <row r="568" spans="1:7" x14ac:dyDescent="0.35">
      <c r="A568" s="370" t="s">
        <v>3596</v>
      </c>
      <c r="B568" s="370">
        <v>0.85225761513071552</v>
      </c>
      <c r="C568" s="370">
        <v>0.83658438766266952</v>
      </c>
      <c r="D568" s="370">
        <v>0.81973753142871408</v>
      </c>
      <c r="E568" s="370">
        <v>0.80185878706412284</v>
      </c>
      <c r="F568" s="370">
        <v>0.78239052030478906</v>
      </c>
      <c r="G568" s="370">
        <v>0.76104770811119804</v>
      </c>
    </row>
    <row r="569" spans="1:7" x14ac:dyDescent="0.35">
      <c r="A569" s="370" t="s">
        <v>3597</v>
      </c>
      <c r="B569" s="370">
        <v>0.87159938736293863</v>
      </c>
      <c r="C569" s="370">
        <v>0.85483995371479149</v>
      </c>
      <c r="D569" s="370">
        <v>0.83696789108149583</v>
      </c>
      <c r="E569" s="370">
        <v>0.8181215144381494</v>
      </c>
      <c r="F569" s="370">
        <v>0.79773995624063332</v>
      </c>
      <c r="G569" s="370">
        <v>0.77553514174578453</v>
      </c>
    </row>
    <row r="570" spans="1:7" x14ac:dyDescent="0.35">
      <c r="A570" s="370" t="s">
        <v>3598</v>
      </c>
      <c r="B570" s="370">
        <v>0.88985495341506049</v>
      </c>
      <c r="C570" s="370">
        <v>0.8720703133675729</v>
      </c>
      <c r="D570" s="370">
        <v>0.85323061845552273</v>
      </c>
      <c r="E570" s="370">
        <v>0.83347095037399377</v>
      </c>
      <c r="F570" s="370">
        <v>0.8122273898752197</v>
      </c>
      <c r="G570" s="370">
        <v>0.78920898189168953</v>
      </c>
    </row>
    <row r="571" spans="1:7" x14ac:dyDescent="0.35">
      <c r="A571" s="370" t="s">
        <v>3599</v>
      </c>
      <c r="B571" s="370">
        <v>0.10522652600371882</v>
      </c>
      <c r="C571" s="370">
        <v>0.10594252043681002</v>
      </c>
      <c r="D571" s="370">
        <v>0.10753234628016867</v>
      </c>
      <c r="E571" s="370">
        <v>0.1091884554674188</v>
      </c>
      <c r="F571" s="370">
        <v>0.11119201380479471</v>
      </c>
      <c r="G571" s="370">
        <v>0.11208641015990928</v>
      </c>
    </row>
    <row r="572" spans="1:7" x14ac:dyDescent="0.35">
      <c r="A572" s="370" t="s">
        <v>3600</v>
      </c>
      <c r="B572" s="370">
        <v>0.90708531306784213</v>
      </c>
      <c r="C572" s="370">
        <v>0.8883330407415998</v>
      </c>
      <c r="D572" s="370">
        <v>0.86858005439136687</v>
      </c>
      <c r="E572" s="370">
        <v>0.84795838400857992</v>
      </c>
      <c r="F572" s="370">
        <v>0.82590123002112459</v>
      </c>
      <c r="G572" s="370">
        <v>0.80211491879202435</v>
      </c>
    </row>
    <row r="573" spans="1:7" x14ac:dyDescent="0.35">
      <c r="A573" s="370" t="s">
        <v>3601</v>
      </c>
      <c r="B573" s="370">
        <v>0.14095752013707916</v>
      </c>
      <c r="C573" s="370">
        <v>0.14263476856624518</v>
      </c>
      <c r="D573" s="370">
        <v>0.14429755948479178</v>
      </c>
      <c r="E573" s="370">
        <v>0.1469230079381551</v>
      </c>
      <c r="F573" s="370">
        <v>0.14877865828934445</v>
      </c>
      <c r="G573" s="370">
        <v>0.14938848076454975</v>
      </c>
    </row>
    <row r="574" spans="1:7" x14ac:dyDescent="0.35">
      <c r="A574" s="370" t="s">
        <v>3602</v>
      </c>
      <c r="B574" s="370">
        <v>0.17764976826651435</v>
      </c>
      <c r="C574" s="370">
        <v>0.17939998177086824</v>
      </c>
      <c r="D574" s="370">
        <v>0.18203211195552818</v>
      </c>
      <c r="E574" s="370">
        <v>0.1845096524227049</v>
      </c>
      <c r="F574" s="370">
        <v>0.18608072889398491</v>
      </c>
      <c r="G574" s="370">
        <v>0.18634371069088468</v>
      </c>
    </row>
    <row r="575" spans="1:7" x14ac:dyDescent="0.35">
      <c r="A575" s="370" t="s">
        <v>3603</v>
      </c>
      <c r="B575" s="370">
        <v>0.21441498147113744</v>
      </c>
      <c r="C575" s="370">
        <v>0.21713453424160467</v>
      </c>
      <c r="D575" s="370">
        <v>0.21961875644007792</v>
      </c>
      <c r="E575" s="370">
        <v>0.22181172302734531</v>
      </c>
      <c r="F575" s="370">
        <v>0.22303595882031985</v>
      </c>
      <c r="G575" s="370">
        <v>0.2227068665385068</v>
      </c>
    </row>
    <row r="576" spans="1:7" x14ac:dyDescent="0.35">
      <c r="A576" s="370" t="s">
        <v>3604</v>
      </c>
      <c r="B576" s="370">
        <v>0.25214953394187384</v>
      </c>
      <c r="C576" s="370">
        <v>0.25472117872615457</v>
      </c>
      <c r="D576" s="370">
        <v>0.25692082704471841</v>
      </c>
      <c r="E576" s="370">
        <v>0.2587669529536803</v>
      </c>
      <c r="F576" s="370">
        <v>0.25939911466794202</v>
      </c>
      <c r="G576" s="370">
        <v>0.25871105599788213</v>
      </c>
    </row>
    <row r="577" spans="1:7" x14ac:dyDescent="0.35">
      <c r="A577" s="370" t="s">
        <v>3605</v>
      </c>
      <c r="B577" s="370">
        <v>0.28973617842642374</v>
      </c>
      <c r="C577" s="370">
        <v>0.2920232493307951</v>
      </c>
      <c r="D577" s="370">
        <v>0.29387605697105329</v>
      </c>
      <c r="E577" s="370">
        <v>0.29513010880130247</v>
      </c>
      <c r="F577" s="370">
        <v>0.2954033041273173</v>
      </c>
      <c r="G577" s="370">
        <v>0.29468831798312378</v>
      </c>
    </row>
    <row r="578" spans="1:7" x14ac:dyDescent="0.35">
      <c r="A578" s="370" t="s">
        <v>3606</v>
      </c>
      <c r="B578" s="370">
        <v>0.32703824903106427</v>
      </c>
      <c r="C578" s="370">
        <v>0.32897847925713014</v>
      </c>
      <c r="D578" s="370">
        <v>0.33023921281867546</v>
      </c>
      <c r="E578" s="370">
        <v>0.3311342982606777</v>
      </c>
      <c r="F578" s="370">
        <v>0.33138056611255901</v>
      </c>
      <c r="G578" s="370">
        <v>0.32907066185200567</v>
      </c>
    </row>
    <row r="579" spans="1:7" x14ac:dyDescent="0.35">
      <c r="A579" s="370" t="s">
        <v>3607</v>
      </c>
      <c r="B579" s="370">
        <v>3.3438309176011372E-2</v>
      </c>
      <c r="C579" s="370">
        <v>3.3456327221288204E-2</v>
      </c>
      <c r="D579" s="370">
        <v>3.3400128686320647E-2</v>
      </c>
      <c r="E579" s="370">
        <v>3.3860491055699923E-2</v>
      </c>
      <c r="F579" s="370">
        <v>3.4672211900371966E-2</v>
      </c>
      <c r="G579" s="370">
        <v>3.4646614766468235E-2</v>
      </c>
    </row>
    <row r="580" spans="1:7" x14ac:dyDescent="0.35">
      <c r="A580" s="370" t="s">
        <v>3608</v>
      </c>
      <c r="B580" s="370">
        <v>0.3441075622907816</v>
      </c>
      <c r="C580" s="370">
        <v>0.34483538449492207</v>
      </c>
      <c r="D580" s="370">
        <v>0.34524136521337867</v>
      </c>
      <c r="E580" s="370">
        <v>0.34573540875181619</v>
      </c>
      <c r="F580" s="370">
        <v>0.34427037989480286</v>
      </c>
      <c r="G580" s="370">
        <v>0.34050294590337671</v>
      </c>
    </row>
    <row r="581" spans="1:7" x14ac:dyDescent="0.35">
      <c r="A581" s="370" t="s">
        <v>3609</v>
      </c>
      <c r="B581" s="370">
        <v>0.37827369367093355</v>
      </c>
      <c r="C581" s="370">
        <v>0.37869769243466694</v>
      </c>
      <c r="D581" s="370">
        <v>0.37913553743813688</v>
      </c>
      <c r="E581" s="370">
        <v>0.37813087095050268</v>
      </c>
      <c r="F581" s="370">
        <v>0.37517515780374866</v>
      </c>
      <c r="G581" s="370">
        <v>0.37032190793101255</v>
      </c>
    </row>
    <row r="582" spans="1:7" x14ac:dyDescent="0.35">
      <c r="A582" s="370" t="s">
        <v>3610</v>
      </c>
      <c r="B582" s="370">
        <v>0.41213600161067826</v>
      </c>
      <c r="C582" s="370">
        <v>0.4125918646594251</v>
      </c>
      <c r="D582" s="370">
        <v>0.41153099963682338</v>
      </c>
      <c r="E582" s="370">
        <v>0.40903564885944849</v>
      </c>
      <c r="F582" s="370">
        <v>0.4049941198313845</v>
      </c>
      <c r="G582" s="370">
        <v>0.39909549705204023</v>
      </c>
    </row>
    <row r="583" spans="1:7" x14ac:dyDescent="0.35">
      <c r="A583" s="370" t="s">
        <v>3611</v>
      </c>
      <c r="B583" s="370">
        <v>0.44603017383543647</v>
      </c>
      <c r="C583" s="370">
        <v>0.4449873268581116</v>
      </c>
      <c r="D583" s="370">
        <v>0.44243577754576929</v>
      </c>
      <c r="E583" s="370">
        <v>0.43885461088708444</v>
      </c>
      <c r="F583" s="370">
        <v>0.43376770895241218</v>
      </c>
      <c r="G583" s="370">
        <v>0.42679128770801916</v>
      </c>
    </row>
    <row r="584" spans="1:7" x14ac:dyDescent="0.35">
      <c r="A584" s="370" t="s">
        <v>3612</v>
      </c>
      <c r="B584" s="370">
        <v>0.47842563603412297</v>
      </c>
      <c r="C584" s="370">
        <v>0.47589210476705757</v>
      </c>
      <c r="D584" s="370">
        <v>0.47225473957340514</v>
      </c>
      <c r="E584" s="370">
        <v>0.46762820000811206</v>
      </c>
      <c r="F584" s="370">
        <v>0.46146349960839117</v>
      </c>
      <c r="G584" s="370">
        <v>0.45354919387381853</v>
      </c>
    </row>
    <row r="585" spans="1:7" x14ac:dyDescent="0.35">
      <c r="A585" s="370" t="s">
        <v>3613</v>
      </c>
      <c r="B585" s="370">
        <v>0.50933041394306877</v>
      </c>
      <c r="C585" s="370">
        <v>0.50571106679469324</v>
      </c>
      <c r="D585" s="370">
        <v>0.5010283286944327</v>
      </c>
      <c r="E585" s="370">
        <v>0.49532399066409105</v>
      </c>
      <c r="F585" s="370">
        <v>0.48822140577419049</v>
      </c>
      <c r="G585" s="370">
        <v>0.47940283772104697</v>
      </c>
    </row>
    <row r="586" spans="1:7" x14ac:dyDescent="0.35">
      <c r="A586" s="370" t="s">
        <v>3614</v>
      </c>
      <c r="B586" s="370">
        <v>0.53914937597070456</v>
      </c>
      <c r="C586" s="370">
        <v>0.53448465591572092</v>
      </c>
      <c r="D586" s="370">
        <v>0.52872411935041186</v>
      </c>
      <c r="E586" s="370">
        <v>0.52208189682989037</v>
      </c>
      <c r="F586" s="370">
        <v>0.51407504962141903</v>
      </c>
      <c r="G586" s="370">
        <v>0.50438455457787157</v>
      </c>
    </row>
    <row r="587" spans="1:7" x14ac:dyDescent="0.35">
      <c r="A587" s="370" t="s">
        <v>3615</v>
      </c>
      <c r="B587" s="370">
        <v>0.56792296509173235</v>
      </c>
      <c r="C587" s="370">
        <v>0.56218044657169997</v>
      </c>
      <c r="D587" s="370">
        <v>0.55548202551621106</v>
      </c>
      <c r="E587" s="370">
        <v>0.54793554067711892</v>
      </c>
      <c r="F587" s="370">
        <v>0.53905676647824341</v>
      </c>
      <c r="G587" s="370">
        <v>0.52852544556765302</v>
      </c>
    </row>
    <row r="588" spans="1:7" x14ac:dyDescent="0.35">
      <c r="A588" s="370" t="s">
        <v>3616</v>
      </c>
      <c r="B588" s="370">
        <v>0.59561875574771128</v>
      </c>
      <c r="C588" s="370">
        <v>0.58893835273749928</v>
      </c>
      <c r="D588" s="370">
        <v>0.58133566936343961</v>
      </c>
      <c r="E588" s="370">
        <v>0.5729172575339434</v>
      </c>
      <c r="F588" s="370">
        <v>0.56319765746802497</v>
      </c>
      <c r="G588" s="370">
        <v>0.55185542796208786</v>
      </c>
    </row>
    <row r="589" spans="1:7" x14ac:dyDescent="0.35">
      <c r="A589" s="370" t="s">
        <v>3617</v>
      </c>
      <c r="B589" s="370">
        <v>0.62237666191351071</v>
      </c>
      <c r="C589" s="370">
        <v>0.61479199658472794</v>
      </c>
      <c r="D589" s="370">
        <v>0.6063173862202641</v>
      </c>
      <c r="E589" s="370">
        <v>0.59705814852372485</v>
      </c>
      <c r="F589" s="370">
        <v>0.58652763986245982</v>
      </c>
      <c r="G589" s="370">
        <v>0.57440328335294677</v>
      </c>
    </row>
    <row r="590" spans="1:7" x14ac:dyDescent="0.35">
      <c r="A590" s="370" t="s">
        <v>3618</v>
      </c>
      <c r="B590" s="370">
        <v>6.6894636397299589E-2</v>
      </c>
      <c r="C590" s="370">
        <v>6.6856455907608858E-2</v>
      </c>
      <c r="D590" s="370">
        <v>6.7260619742020578E-2</v>
      </c>
      <c r="E590" s="370">
        <v>6.8532702956071889E-2</v>
      </c>
      <c r="F590" s="370">
        <v>6.931882666684018E-2</v>
      </c>
      <c r="G590" s="370">
        <v>7.0181337018230414E-2</v>
      </c>
    </row>
    <row r="591" spans="1:7" x14ac:dyDescent="0.35">
      <c r="A591" s="370" t="s">
        <v>3619</v>
      </c>
      <c r="B591" s="370">
        <v>0.64823030576073903</v>
      </c>
      <c r="C591" s="370">
        <v>0.63977371344155232</v>
      </c>
      <c r="D591" s="370">
        <v>0.63045827721004566</v>
      </c>
      <c r="E591" s="370">
        <v>0.6203881309181597</v>
      </c>
      <c r="F591" s="370">
        <v>0.6090754952533185</v>
      </c>
      <c r="G591" s="370">
        <v>0.5961967037415864</v>
      </c>
    </row>
    <row r="592" spans="1:7" x14ac:dyDescent="0.35">
      <c r="A592" s="370" t="s">
        <v>3620</v>
      </c>
      <c r="B592" s="370">
        <v>0.67321202261756374</v>
      </c>
      <c r="C592" s="370">
        <v>0.66391460443133388</v>
      </c>
      <c r="D592" s="370">
        <v>0.65378825960448017</v>
      </c>
      <c r="E592" s="370">
        <v>0.64293598630901849</v>
      </c>
      <c r="F592" s="370">
        <v>0.63086891564195835</v>
      </c>
      <c r="G592" s="370">
        <v>0.61676623690689059</v>
      </c>
    </row>
    <row r="593" spans="1:7" x14ac:dyDescent="0.35">
      <c r="A593" s="370" t="s">
        <v>3621</v>
      </c>
      <c r="B593" s="370">
        <v>0.69735291360734497</v>
      </c>
      <c r="C593" s="370">
        <v>0.68724458682576861</v>
      </c>
      <c r="D593" s="370">
        <v>0.67633611499533919</v>
      </c>
      <c r="E593" s="370">
        <v>0.66472940669765823</v>
      </c>
      <c r="F593" s="370">
        <v>0.65143844880726254</v>
      </c>
      <c r="G593" s="370">
        <v>0.63618061459948549</v>
      </c>
    </row>
    <row r="594" spans="1:7" x14ac:dyDescent="0.35">
      <c r="A594" s="370" t="s">
        <v>3622</v>
      </c>
      <c r="B594" s="370">
        <v>0.72068289600177993</v>
      </c>
      <c r="C594" s="370">
        <v>0.70979244221662741</v>
      </c>
      <c r="D594" s="370">
        <v>0.69812953538397893</v>
      </c>
      <c r="E594" s="370">
        <v>0.68529893986296231</v>
      </c>
      <c r="F594" s="370">
        <v>0.67085282649985722</v>
      </c>
      <c r="G594" s="370">
        <v>0.65450470869348698</v>
      </c>
    </row>
    <row r="595" spans="1:7" x14ac:dyDescent="0.35">
      <c r="A595" s="370" t="s">
        <v>3623</v>
      </c>
      <c r="B595" s="370">
        <v>0.74323075139263894</v>
      </c>
      <c r="C595" s="370">
        <v>0.73158586260526703</v>
      </c>
      <c r="D595" s="370">
        <v>0.71869906854928312</v>
      </c>
      <c r="E595" s="370">
        <v>0.70471331755555722</v>
      </c>
      <c r="F595" s="370">
        <v>0.68917692059385882</v>
      </c>
      <c r="G595" s="370">
        <v>0.67179974795162922</v>
      </c>
    </row>
    <row r="596" spans="1:7" x14ac:dyDescent="0.35">
      <c r="A596" s="370" t="s">
        <v>3624</v>
      </c>
      <c r="B596" s="370">
        <v>0.76502417178127868</v>
      </c>
      <c r="C596" s="370">
        <v>0.75215539577057122</v>
      </c>
      <c r="D596" s="370">
        <v>0.73811344624187769</v>
      </c>
      <c r="E596" s="370">
        <v>0.72303741164955881</v>
      </c>
      <c r="F596" s="370">
        <v>0.70647195985200117</v>
      </c>
      <c r="G596" s="370">
        <v>0.68812352261717158</v>
      </c>
    </row>
    <row r="597" spans="1:7" x14ac:dyDescent="0.35">
      <c r="A597" s="370" t="s">
        <v>3625</v>
      </c>
      <c r="B597" s="370">
        <v>0.10029476508362022</v>
      </c>
      <c r="C597" s="370">
        <v>0.10071694696330878</v>
      </c>
      <c r="D597" s="370">
        <v>0.10193283164239253</v>
      </c>
      <c r="E597" s="370">
        <v>0.10317931772254012</v>
      </c>
      <c r="F597" s="370">
        <v>0.10485354891860241</v>
      </c>
      <c r="G597" s="370">
        <v>0.10552170156561409</v>
      </c>
    </row>
    <row r="598" spans="1:7" x14ac:dyDescent="0.35">
      <c r="A598" s="370" t="s">
        <v>3626</v>
      </c>
      <c r="B598" s="370">
        <v>0.13415525613932014</v>
      </c>
      <c r="C598" s="370">
        <v>0.13538915886368075</v>
      </c>
      <c r="D598" s="370">
        <v>0.13657944640886077</v>
      </c>
      <c r="E598" s="370">
        <v>0.13871403997430234</v>
      </c>
      <c r="F598" s="370">
        <v>0.14019391346598606</v>
      </c>
      <c r="G598" s="370">
        <v>0.14056579402639685</v>
      </c>
    </row>
    <row r="599" spans="1:7" x14ac:dyDescent="0.35">
      <c r="A599" s="370" t="s">
        <v>3627</v>
      </c>
      <c r="B599" s="370">
        <v>0.16882746803969206</v>
      </c>
      <c r="C599" s="370">
        <v>0.17003577363014899</v>
      </c>
      <c r="D599" s="370">
        <v>0.17211416866062296</v>
      </c>
      <c r="E599" s="370">
        <v>0.174054404521686</v>
      </c>
      <c r="F599" s="370">
        <v>0.17523800592676886</v>
      </c>
      <c r="G599" s="370">
        <v>0.17528009425108945</v>
      </c>
    </row>
    <row r="600" spans="1:7" x14ac:dyDescent="0.35">
      <c r="A600" s="370" t="s">
        <v>3628</v>
      </c>
      <c r="B600" s="370">
        <v>0.20347408280616033</v>
      </c>
      <c r="C600" s="370">
        <v>0.2055704958819112</v>
      </c>
      <c r="D600" s="370">
        <v>0.20745453320800664</v>
      </c>
      <c r="E600" s="370">
        <v>0.20909849698246874</v>
      </c>
      <c r="F600" s="370">
        <v>0.20995230615146143</v>
      </c>
      <c r="G600" s="370">
        <v>0.2094462256312413</v>
      </c>
    </row>
    <row r="601" spans="1:7" x14ac:dyDescent="0.35">
      <c r="A601" s="370" t="s">
        <v>3629</v>
      </c>
      <c r="B601" s="370">
        <v>0.2390088050579226</v>
      </c>
      <c r="C601" s="370">
        <v>0.24091086042929485</v>
      </c>
      <c r="D601" s="370">
        <v>0.24249862566878938</v>
      </c>
      <c r="E601" s="370">
        <v>0.24381279720716137</v>
      </c>
      <c r="F601" s="370">
        <v>0.24411843753161333</v>
      </c>
      <c r="G601" s="370">
        <v>0.24330853357098611</v>
      </c>
    </row>
    <row r="602" spans="1:7" x14ac:dyDescent="0.35">
      <c r="A602" s="370" t="s">
        <v>3630</v>
      </c>
      <c r="B602" s="370">
        <v>0.27434916960530625</v>
      </c>
      <c r="C602" s="370">
        <v>0.27595495289007765</v>
      </c>
      <c r="D602" s="370">
        <v>0.27721292589348207</v>
      </c>
      <c r="E602" s="370">
        <v>0.27797892858731316</v>
      </c>
      <c r="F602" s="370">
        <v>0.27798074547135815</v>
      </c>
      <c r="G602" s="370">
        <v>0.2772027057957443</v>
      </c>
    </row>
    <row r="603" spans="1:7" x14ac:dyDescent="0.35">
      <c r="A603" s="370" t="s">
        <v>3631</v>
      </c>
      <c r="B603" s="370">
        <v>0.30939326206608897</v>
      </c>
      <c r="C603" s="370">
        <v>0.31066925311477023</v>
      </c>
      <c r="D603" s="370">
        <v>0.31137905727363385</v>
      </c>
      <c r="E603" s="370">
        <v>0.31184123652705803</v>
      </c>
      <c r="F603" s="370">
        <v>0.31187491769611625</v>
      </c>
      <c r="G603" s="370">
        <v>0.30959816799443096</v>
      </c>
    </row>
    <row r="604" spans="1:7" x14ac:dyDescent="0.35">
      <c r="A604" s="370" t="s">
        <v>3632</v>
      </c>
      <c r="B604" s="370">
        <v>3.5014999700269167E-2</v>
      </c>
      <c r="C604" s="370">
        <v>3.5102422286076608E-2</v>
      </c>
      <c r="D604" s="370">
        <v>3.5109104017373043E-2</v>
      </c>
      <c r="E604" s="370">
        <v>3.5730994133360415E-2</v>
      </c>
      <c r="F604" s="370">
        <v>3.6692248129435182E-2</v>
      </c>
      <c r="G604" s="370">
        <v>3.6765213204623164E-2</v>
      </c>
    </row>
    <row r="605" spans="1:7" x14ac:dyDescent="0.35">
      <c r="A605" s="370" t="s">
        <v>3633</v>
      </c>
      <c r="B605" s="370">
        <v>0.3639934789573992</v>
      </c>
      <c r="C605" s="370">
        <v>0.36534163510475237</v>
      </c>
      <c r="D605" s="370">
        <v>0.36624340227805086</v>
      </c>
      <c r="E605" s="370">
        <v>0.3671115602459194</v>
      </c>
      <c r="F605" s="370">
        <v>0.36576290998144079</v>
      </c>
      <c r="G605" s="370">
        <v>0.36186476173270998</v>
      </c>
    </row>
    <row r="606" spans="1:7" x14ac:dyDescent="0.35">
      <c r="A606" s="370" t="s">
        <v>3634</v>
      </c>
      <c r="B606" s="370">
        <v>0.40035663480502154</v>
      </c>
      <c r="C606" s="370">
        <v>0.40134582456412754</v>
      </c>
      <c r="D606" s="370">
        <v>0.4022206642632925</v>
      </c>
      <c r="E606" s="370">
        <v>0.40149390411480129</v>
      </c>
      <c r="F606" s="370">
        <v>0.39855700986214526</v>
      </c>
      <c r="G606" s="370">
        <v>0.39348550228064694</v>
      </c>
    </row>
    <row r="607" spans="1:7" x14ac:dyDescent="0.35">
      <c r="A607" s="370" t="s">
        <v>3635</v>
      </c>
      <c r="B607" s="370">
        <v>0.43636082426439682</v>
      </c>
      <c r="C607" s="370">
        <v>0.43732308654936936</v>
      </c>
      <c r="D607" s="370">
        <v>0.43660300813217434</v>
      </c>
      <c r="E607" s="370">
        <v>0.43428800399550566</v>
      </c>
      <c r="F607" s="370">
        <v>0.43017775041008216</v>
      </c>
      <c r="G607" s="370">
        <v>0.42397793006072676</v>
      </c>
    </row>
    <row r="608" spans="1:7" x14ac:dyDescent="0.35">
      <c r="A608" s="370" t="s">
        <v>3636</v>
      </c>
      <c r="B608" s="370">
        <v>0.47233808624963858</v>
      </c>
      <c r="C608" s="370">
        <v>0.47170543041825108</v>
      </c>
      <c r="D608" s="370">
        <v>0.46939710801287859</v>
      </c>
      <c r="E608" s="370">
        <v>0.4659087445434425</v>
      </c>
      <c r="F608" s="370">
        <v>0.46067017819016187</v>
      </c>
      <c r="G608" s="370">
        <v>0.45331397875642143</v>
      </c>
    </row>
    <row r="609" spans="1:7" x14ac:dyDescent="0.35">
      <c r="A609" s="370" t="s">
        <v>3637</v>
      </c>
      <c r="B609" s="370">
        <v>0.50672043011852042</v>
      </c>
      <c r="C609" s="370">
        <v>0.50449953029895567</v>
      </c>
      <c r="D609" s="370">
        <v>0.50101784856081555</v>
      </c>
      <c r="E609" s="370">
        <v>0.49640117232352232</v>
      </c>
      <c r="F609" s="370">
        <v>0.49000622688585671</v>
      </c>
      <c r="G609" s="370">
        <v>0.48164200473963714</v>
      </c>
    </row>
    <row r="610" spans="1:7" x14ac:dyDescent="0.35">
      <c r="A610" s="370" t="s">
        <v>3638</v>
      </c>
      <c r="B610" s="370">
        <v>0.53951452999922478</v>
      </c>
      <c r="C610" s="370">
        <v>0.53612027084689251</v>
      </c>
      <c r="D610" s="370">
        <v>0.53151027634089532</v>
      </c>
      <c r="E610" s="370">
        <v>0.52573722101921705</v>
      </c>
      <c r="F610" s="370">
        <v>0.51833425286907242</v>
      </c>
      <c r="G610" s="370">
        <v>0.50899876952210266</v>
      </c>
    </row>
    <row r="611" spans="1:7" x14ac:dyDescent="0.35">
      <c r="A611" s="370" t="s">
        <v>3639</v>
      </c>
      <c r="B611" s="370">
        <v>0.57113527054716173</v>
      </c>
      <c r="C611" s="370">
        <v>0.56661269862697239</v>
      </c>
      <c r="D611" s="370">
        <v>0.56084632503659015</v>
      </c>
      <c r="E611" s="370">
        <v>0.55406524700243276</v>
      </c>
      <c r="F611" s="370">
        <v>0.54569101765153794</v>
      </c>
      <c r="G611" s="370">
        <v>0.53541960218170159</v>
      </c>
    </row>
    <row r="612" spans="1:7" x14ac:dyDescent="0.35">
      <c r="A612" s="370" t="s">
        <v>3640</v>
      </c>
      <c r="B612" s="370">
        <v>0.60162769832724172</v>
      </c>
      <c r="C612" s="370">
        <v>0.59594874732266723</v>
      </c>
      <c r="D612" s="370">
        <v>0.58917435101980575</v>
      </c>
      <c r="E612" s="370">
        <v>0.58142201178489827</v>
      </c>
      <c r="F612" s="370">
        <v>0.57211185031113665</v>
      </c>
      <c r="G612" s="370">
        <v>0.56093845893074112</v>
      </c>
    </row>
    <row r="613" spans="1:7" x14ac:dyDescent="0.35">
      <c r="A613" s="370" t="s">
        <v>3641</v>
      </c>
      <c r="B613" s="370">
        <v>0.63096374702293623</v>
      </c>
      <c r="C613" s="370">
        <v>0.62427677330588272</v>
      </c>
      <c r="D613" s="370">
        <v>0.61653111580227149</v>
      </c>
      <c r="E613" s="370">
        <v>0.60784284444449721</v>
      </c>
      <c r="F613" s="370">
        <v>0.59763070706017662</v>
      </c>
      <c r="G613" s="370">
        <v>0.58558798006281754</v>
      </c>
    </row>
    <row r="614" spans="1:7" x14ac:dyDescent="0.35">
      <c r="A614" s="370" t="s">
        <v>3642</v>
      </c>
      <c r="B614" s="370">
        <v>0.65929177300615205</v>
      </c>
      <c r="C614" s="370">
        <v>0.65163353808834845</v>
      </c>
      <c r="D614" s="370">
        <v>0.6429519484618702</v>
      </c>
      <c r="E614" s="370">
        <v>0.63336170119353685</v>
      </c>
      <c r="F614" s="370">
        <v>0.62228022819225259</v>
      </c>
      <c r="G614" s="370">
        <v>0.60939954439885236</v>
      </c>
    </row>
    <row r="615" spans="1:7" x14ac:dyDescent="0.35">
      <c r="A615" s="370" t="s">
        <v>3643</v>
      </c>
      <c r="B615" s="370">
        <v>7.0117421986345782E-2</v>
      </c>
      <c r="C615" s="370">
        <v>7.0211526303449664E-2</v>
      </c>
      <c r="D615" s="370">
        <v>7.0840098150733485E-2</v>
      </c>
      <c r="E615" s="370">
        <v>7.242324226279559E-2</v>
      </c>
      <c r="F615" s="370">
        <v>7.3457461334058338E-2</v>
      </c>
      <c r="G615" s="370">
        <v>7.44997656753595E-2</v>
      </c>
    </row>
    <row r="616" spans="1:7" x14ac:dyDescent="0.35">
      <c r="A616" s="370" t="s">
        <v>3644</v>
      </c>
      <c r="B616" s="370">
        <v>0.68664853778861767</v>
      </c>
      <c r="C616" s="370">
        <v>0.67805437074794728</v>
      </c>
      <c r="D616" s="370">
        <v>0.66847080521090985</v>
      </c>
      <c r="E616" s="370">
        <v>0.65801122232561315</v>
      </c>
      <c r="F616" s="370">
        <v>0.64609179252828741</v>
      </c>
      <c r="G616" s="370">
        <v>0.63240332134715693</v>
      </c>
    </row>
    <row r="617" spans="1:7" x14ac:dyDescent="0.35">
      <c r="A617" s="370" t="s">
        <v>3645</v>
      </c>
      <c r="B617" s="370">
        <v>0.71306937044821639</v>
      </c>
      <c r="C617" s="370">
        <v>0.70357322749698692</v>
      </c>
      <c r="D617" s="370">
        <v>0.69312032634298604</v>
      </c>
      <c r="E617" s="370">
        <v>0.68182278666164786</v>
      </c>
      <c r="F617" s="370">
        <v>0.6690955694765921</v>
      </c>
      <c r="G617" s="370">
        <v>0.65411523918415981</v>
      </c>
    </row>
    <row r="618" spans="1:7" x14ac:dyDescent="0.35">
      <c r="A618" s="370" t="s">
        <v>3646</v>
      </c>
      <c r="B618" s="370">
        <v>0.73858822719725603</v>
      </c>
      <c r="C618" s="370">
        <v>0.72822274862906344</v>
      </c>
      <c r="D618" s="370">
        <v>0.71693189067902097</v>
      </c>
      <c r="E618" s="370">
        <v>0.70482656360995255</v>
      </c>
      <c r="F618" s="370">
        <v>0.69080748731359487</v>
      </c>
      <c r="G618" s="370">
        <v>0.67460784686420039</v>
      </c>
    </row>
    <row r="619" spans="1:7" x14ac:dyDescent="0.35">
      <c r="A619" s="370" t="s">
        <v>3647</v>
      </c>
      <c r="B619" s="370">
        <v>0.76323774832933233</v>
      </c>
      <c r="C619" s="370">
        <v>0.75203431296509815</v>
      </c>
      <c r="D619" s="370">
        <v>0.73993566762732554</v>
      </c>
      <c r="E619" s="370">
        <v>0.72653848144695543</v>
      </c>
      <c r="F619" s="370">
        <v>0.71130009499363567</v>
      </c>
      <c r="G619" s="370">
        <v>0.69394961909642372</v>
      </c>
    </row>
    <row r="620" spans="1:7" x14ac:dyDescent="0.35">
      <c r="A620" s="370" t="s">
        <v>3648</v>
      </c>
      <c r="B620" s="370">
        <v>0.78704931266536726</v>
      </c>
      <c r="C620" s="370">
        <v>0.77503808991340262</v>
      </c>
      <c r="D620" s="370">
        <v>0.76164758546432854</v>
      </c>
      <c r="E620" s="370">
        <v>0.74703108912699612</v>
      </c>
      <c r="F620" s="370">
        <v>0.730641867225859</v>
      </c>
      <c r="G620" s="370">
        <v>0.71220518514854569</v>
      </c>
    </row>
    <row r="621" spans="1:7" x14ac:dyDescent="0.35">
      <c r="A621" s="370" t="s">
        <v>3649</v>
      </c>
      <c r="B621" s="370">
        <v>0.81005308961367184</v>
      </c>
      <c r="C621" s="370">
        <v>0.79675000775040572</v>
      </c>
      <c r="D621" s="370">
        <v>0.782140193144369</v>
      </c>
      <c r="E621" s="370">
        <v>0.76637286135921945</v>
      </c>
      <c r="F621" s="370">
        <v>0.74889743327798086</v>
      </c>
      <c r="G621" s="370">
        <v>0.72943554480132711</v>
      </c>
    </row>
    <row r="622" spans="1:7" x14ac:dyDescent="0.35">
      <c r="A622" s="370" t="s">
        <v>3650</v>
      </c>
      <c r="B622" s="370">
        <v>0.83176500745067472</v>
      </c>
      <c r="C622" s="370">
        <v>0.81724261543044641</v>
      </c>
      <c r="D622" s="370">
        <v>0.80148196537659211</v>
      </c>
      <c r="E622" s="370">
        <v>0.78462842741134131</v>
      </c>
      <c r="F622" s="370">
        <v>0.76612779293076227</v>
      </c>
      <c r="G622" s="370">
        <v>0.74569827217535378</v>
      </c>
    </row>
    <row r="623" spans="1:7" x14ac:dyDescent="0.35">
      <c r="A623" s="370" t="s">
        <v>3651</v>
      </c>
      <c r="B623" s="370">
        <v>0.85225761513071552</v>
      </c>
      <c r="C623" s="370">
        <v>0.83658438766266952</v>
      </c>
      <c r="D623" s="370">
        <v>0.81973753142871408</v>
      </c>
      <c r="E623" s="370">
        <v>0.80185878706412284</v>
      </c>
      <c r="F623" s="370">
        <v>0.78239052030478906</v>
      </c>
      <c r="G623" s="370">
        <v>0.76104770811119804</v>
      </c>
    </row>
    <row r="624" spans="1:7" x14ac:dyDescent="0.35">
      <c r="A624" s="370" t="s">
        <v>3652</v>
      </c>
      <c r="B624" s="370">
        <v>0.87159938736293863</v>
      </c>
      <c r="C624" s="370">
        <v>0.85483995371479149</v>
      </c>
      <c r="D624" s="370">
        <v>0.83696789108149583</v>
      </c>
      <c r="E624" s="370">
        <v>0.8181215144381494</v>
      </c>
      <c r="F624" s="370">
        <v>0.79773995624063332</v>
      </c>
      <c r="G624" s="370">
        <v>0.77553514174578453</v>
      </c>
    </row>
    <row r="625" spans="1:7" x14ac:dyDescent="0.35">
      <c r="A625" s="370" t="s">
        <v>3653</v>
      </c>
      <c r="B625" s="370">
        <v>0.88985495341506049</v>
      </c>
      <c r="C625" s="370">
        <v>0.8720703133675729</v>
      </c>
      <c r="D625" s="370">
        <v>0.85323061845552273</v>
      </c>
      <c r="E625" s="370">
        <v>0.83347095037399377</v>
      </c>
      <c r="F625" s="370">
        <v>0.8122273898752197</v>
      </c>
      <c r="G625" s="370">
        <v>0.78920898189168953</v>
      </c>
    </row>
    <row r="626" spans="1:7" x14ac:dyDescent="0.35">
      <c r="A626" s="370" t="s">
        <v>3654</v>
      </c>
      <c r="B626" s="370">
        <v>0.10522652600371882</v>
      </c>
      <c r="C626" s="370">
        <v>0.10594252043681002</v>
      </c>
      <c r="D626" s="370">
        <v>0.10753234628016867</v>
      </c>
      <c r="E626" s="370">
        <v>0.1091884554674188</v>
      </c>
      <c r="F626" s="370">
        <v>0.11119201380479471</v>
      </c>
      <c r="G626" s="370">
        <v>0.11208641015990928</v>
      </c>
    </row>
    <row r="627" spans="1:7" x14ac:dyDescent="0.35">
      <c r="A627" s="370" t="s">
        <v>3655</v>
      </c>
      <c r="B627" s="370">
        <v>0.90708531306784213</v>
      </c>
      <c r="C627" s="370">
        <v>0.8883330407415998</v>
      </c>
      <c r="D627" s="370">
        <v>0.86858005439136687</v>
      </c>
      <c r="E627" s="370">
        <v>0.84795838400857992</v>
      </c>
      <c r="F627" s="370">
        <v>0.82590123002112459</v>
      </c>
      <c r="G627" s="370">
        <v>0.80211491879202435</v>
      </c>
    </row>
    <row r="628" spans="1:7" x14ac:dyDescent="0.35">
      <c r="A628" s="370" t="s">
        <v>3656</v>
      </c>
      <c r="B628" s="370">
        <v>0.14095752013707916</v>
      </c>
      <c r="C628" s="370">
        <v>0.14263476856624518</v>
      </c>
      <c r="D628" s="370">
        <v>0.14429755948479178</v>
      </c>
      <c r="E628" s="370">
        <v>0.1469230079381551</v>
      </c>
      <c r="F628" s="370">
        <v>0.14877865828934445</v>
      </c>
      <c r="G628" s="370">
        <v>0.14938848076454975</v>
      </c>
    </row>
    <row r="629" spans="1:7" x14ac:dyDescent="0.35">
      <c r="A629" s="370" t="s">
        <v>3657</v>
      </c>
      <c r="B629" s="370">
        <v>0.17764976826651435</v>
      </c>
      <c r="C629" s="370">
        <v>0.17939998177086824</v>
      </c>
      <c r="D629" s="370">
        <v>0.18203211195552818</v>
      </c>
      <c r="E629" s="370">
        <v>0.1845096524227049</v>
      </c>
      <c r="F629" s="370">
        <v>0.18608072889398491</v>
      </c>
      <c r="G629" s="370">
        <v>0.18634371069088468</v>
      </c>
    </row>
    <row r="630" spans="1:7" x14ac:dyDescent="0.35">
      <c r="A630" s="370" t="s">
        <v>3658</v>
      </c>
      <c r="B630" s="370">
        <v>0.21441498147113744</v>
      </c>
      <c r="C630" s="370">
        <v>0.21713453424160467</v>
      </c>
      <c r="D630" s="370">
        <v>0.21961875644007792</v>
      </c>
      <c r="E630" s="370">
        <v>0.22181172302734531</v>
      </c>
      <c r="F630" s="370">
        <v>0.22303595882031985</v>
      </c>
      <c r="G630" s="370">
        <v>0.2227068665385068</v>
      </c>
    </row>
    <row r="631" spans="1:7" x14ac:dyDescent="0.35">
      <c r="A631" s="370" t="s">
        <v>3659</v>
      </c>
      <c r="B631" s="370">
        <v>0.25214953394187384</v>
      </c>
      <c r="C631" s="370">
        <v>0.25472117872615457</v>
      </c>
      <c r="D631" s="370">
        <v>0.25692082704471841</v>
      </c>
      <c r="E631" s="370">
        <v>0.2587669529536803</v>
      </c>
      <c r="F631" s="370">
        <v>0.25939911466794202</v>
      </c>
      <c r="G631" s="370">
        <v>0.25871105599788213</v>
      </c>
    </row>
    <row r="632" spans="1:7" x14ac:dyDescent="0.35">
      <c r="A632" s="370" t="s">
        <v>3660</v>
      </c>
      <c r="B632" s="370">
        <v>0.28973617842642374</v>
      </c>
      <c r="C632" s="370">
        <v>0.2920232493307951</v>
      </c>
      <c r="D632" s="370">
        <v>0.29387605697105329</v>
      </c>
      <c r="E632" s="370">
        <v>0.29513010880130247</v>
      </c>
      <c r="F632" s="370">
        <v>0.2954033041273173</v>
      </c>
      <c r="G632" s="370">
        <v>0.29468831798312378</v>
      </c>
    </row>
    <row r="633" spans="1:7" x14ac:dyDescent="0.35">
      <c r="A633" s="370" t="s">
        <v>3661</v>
      </c>
      <c r="B633" s="370">
        <v>0.32703824903106427</v>
      </c>
      <c r="C633" s="370">
        <v>0.32897847925713014</v>
      </c>
      <c r="D633" s="370">
        <v>0.33023921281867546</v>
      </c>
      <c r="E633" s="370">
        <v>0.3311342982606777</v>
      </c>
      <c r="F633" s="370">
        <v>0.33138056611255901</v>
      </c>
      <c r="G633" s="370">
        <v>0.32907066185200567</v>
      </c>
    </row>
    <row r="634" spans="1:7" x14ac:dyDescent="0.35">
      <c r="A634" s="370" t="s">
        <v>3662</v>
      </c>
      <c r="B634" s="370">
        <v>3.419975326308685E-2</v>
      </c>
      <c r="C634" s="370">
        <v>3.4254719537800668E-2</v>
      </c>
      <c r="D634" s="370">
        <v>3.423216706618025E-2</v>
      </c>
      <c r="E634" s="370">
        <v>3.4777533236919358E-2</v>
      </c>
      <c r="F634" s="370">
        <v>3.566703614762113E-2</v>
      </c>
      <c r="G634" s="370">
        <v>3.5694030388953836E-2</v>
      </c>
    </row>
    <row r="635" spans="1:7" x14ac:dyDescent="0.35">
      <c r="A635" s="370" t="s">
        <v>3663</v>
      </c>
      <c r="B635" s="370">
        <v>0.35389438215467883</v>
      </c>
      <c r="C635" s="370">
        <v>0.35495110842039379</v>
      </c>
      <c r="D635" s="370">
        <v>0.3556203720692</v>
      </c>
      <c r="E635" s="370">
        <v>0.35631264288523662</v>
      </c>
      <c r="F635" s="370">
        <v>0.35491309702715612</v>
      </c>
      <c r="G635" s="370">
        <v>0.35108488418613637</v>
      </c>
    </row>
    <row r="636" spans="1:7" x14ac:dyDescent="0.35">
      <c r="A636" s="370" t="s">
        <v>3664</v>
      </c>
      <c r="B636" s="370">
        <v>0.38915086168348056</v>
      </c>
      <c r="C636" s="370">
        <v>0.38987509160700057</v>
      </c>
      <c r="D636" s="370">
        <v>0.39054480995141694</v>
      </c>
      <c r="E636" s="370">
        <v>0.38969063026407541</v>
      </c>
      <c r="F636" s="370">
        <v>0.3867519203337576</v>
      </c>
      <c r="G636" s="370">
        <v>0.38179379503261507</v>
      </c>
    </row>
    <row r="637" spans="1:7" x14ac:dyDescent="0.35">
      <c r="A637" s="370" t="s">
        <v>3665</v>
      </c>
      <c r="B637" s="370">
        <v>0.42407484487008734</v>
      </c>
      <c r="C637" s="370">
        <v>0.4247995294892174</v>
      </c>
      <c r="D637" s="370">
        <v>0.42392279733025562</v>
      </c>
      <c r="E637" s="370">
        <v>0.42152945357067712</v>
      </c>
      <c r="F637" s="370">
        <v>0.41746083118023619</v>
      </c>
      <c r="G637" s="370">
        <v>0.41141559456749488</v>
      </c>
    </row>
    <row r="638" spans="1:7" x14ac:dyDescent="0.35">
      <c r="A638" s="370" t="s">
        <v>3666</v>
      </c>
      <c r="B638" s="370">
        <v>0.45899928275230439</v>
      </c>
      <c r="C638" s="370">
        <v>0.45817751686805613</v>
      </c>
      <c r="D638" s="370">
        <v>0.45576162063685732</v>
      </c>
      <c r="E638" s="370">
        <v>0.4522383644171557</v>
      </c>
      <c r="F638" s="370">
        <v>0.447082630715116</v>
      </c>
      <c r="G638" s="370">
        <v>0.43992025708997695</v>
      </c>
    </row>
    <row r="639" spans="1:7" x14ac:dyDescent="0.35">
      <c r="A639" s="370" t="s">
        <v>3667</v>
      </c>
      <c r="B639" s="370">
        <v>0.49237727013114296</v>
      </c>
      <c r="C639" s="370">
        <v>0.49001634017465767</v>
      </c>
      <c r="D639" s="370">
        <v>0.48647053148333591</v>
      </c>
      <c r="E639" s="370">
        <v>0.48186016395203529</v>
      </c>
      <c r="F639" s="370">
        <v>0.47558729323759813</v>
      </c>
      <c r="G639" s="370">
        <v>0.46745186605210109</v>
      </c>
    </row>
    <row r="640" spans="1:7" x14ac:dyDescent="0.35">
      <c r="A640" s="370" t="s">
        <v>3668</v>
      </c>
      <c r="B640" s="370">
        <v>0.52421609343774445</v>
      </c>
      <c r="C640" s="370">
        <v>0.5207252510211362</v>
      </c>
      <c r="D640" s="370">
        <v>0.5160923310182155</v>
      </c>
      <c r="E640" s="370">
        <v>0.51036482647451753</v>
      </c>
      <c r="F640" s="370">
        <v>0.50311890219972222</v>
      </c>
      <c r="G640" s="370">
        <v>0.49404563748565544</v>
      </c>
    </row>
    <row r="641" spans="1:7" x14ac:dyDescent="0.35">
      <c r="A641" s="370" t="s">
        <v>3669</v>
      </c>
      <c r="B641" s="370">
        <v>0.55492500428422309</v>
      </c>
      <c r="C641" s="370">
        <v>0.55034705055601607</v>
      </c>
      <c r="D641" s="370">
        <v>0.54459699354069768</v>
      </c>
      <c r="E641" s="370">
        <v>0.53789643543664156</v>
      </c>
      <c r="F641" s="370">
        <v>0.52971267363327657</v>
      </c>
      <c r="G641" s="370">
        <v>0.51973542601922906</v>
      </c>
    </row>
    <row r="642" spans="1:7" x14ac:dyDescent="0.35">
      <c r="A642" s="370" t="s">
        <v>3670</v>
      </c>
      <c r="B642" s="370">
        <v>0.58454680381910273</v>
      </c>
      <c r="C642" s="370">
        <v>0.57885171307849803</v>
      </c>
      <c r="D642" s="370">
        <v>0.57212860250282194</v>
      </c>
      <c r="E642" s="370">
        <v>0.56449020687019591</v>
      </c>
      <c r="F642" s="370">
        <v>0.5554024621668503</v>
      </c>
      <c r="G642" s="370">
        <v>0.54455378108596753</v>
      </c>
    </row>
    <row r="643" spans="1:7" x14ac:dyDescent="0.35">
      <c r="A643" s="370" t="s">
        <v>3671</v>
      </c>
      <c r="B643" s="370">
        <v>0.61305146634158503</v>
      </c>
      <c r="C643" s="370">
        <v>0.60638332204062217</v>
      </c>
      <c r="D643" s="370">
        <v>0.59872237393637617</v>
      </c>
      <c r="E643" s="370">
        <v>0.59017999540376964</v>
      </c>
      <c r="F643" s="370">
        <v>0.58022081723358887</v>
      </c>
      <c r="G643" s="370">
        <v>0.56853200067219434</v>
      </c>
    </row>
    <row r="644" spans="1:7" x14ac:dyDescent="0.35">
      <c r="A644" s="370" t="s">
        <v>3672</v>
      </c>
      <c r="B644" s="370">
        <v>0.64058307530370906</v>
      </c>
      <c r="C644" s="370">
        <v>0.63297709347417652</v>
      </c>
      <c r="D644" s="370">
        <v>0.62441216246994979</v>
      </c>
      <c r="E644" s="370">
        <v>0.61499835047050799</v>
      </c>
      <c r="F644" s="370">
        <v>0.60419903681981546</v>
      </c>
      <c r="G644" s="370">
        <v>0.5917001827195314</v>
      </c>
    </row>
    <row r="645" spans="1:7" x14ac:dyDescent="0.35">
      <c r="A645" s="370" t="s">
        <v>3673</v>
      </c>
      <c r="B645" s="370">
        <v>6.8454472800887511E-2</v>
      </c>
      <c r="C645" s="370">
        <v>6.8486886603980904E-2</v>
      </c>
      <c r="D645" s="370">
        <v>6.9009700303099636E-2</v>
      </c>
      <c r="E645" s="370">
        <v>7.0444569384540495E-2</v>
      </c>
      <c r="F645" s="370">
        <v>7.136106653657498E-2</v>
      </c>
      <c r="G645" s="370">
        <v>7.2317367335536786E-2</v>
      </c>
    </row>
    <row r="646" spans="1:7" x14ac:dyDescent="0.35">
      <c r="A646" s="370" t="s">
        <v>3674</v>
      </c>
      <c r="B646" s="370">
        <v>0.6671768467372633</v>
      </c>
      <c r="C646" s="370">
        <v>0.65866688200775014</v>
      </c>
      <c r="D646" s="370">
        <v>0.64923051753668826</v>
      </c>
      <c r="E646" s="370">
        <v>0.63897657005673458</v>
      </c>
      <c r="F646" s="370">
        <v>0.62736721886715263</v>
      </c>
      <c r="G646" s="370">
        <v>0.61408727428781762</v>
      </c>
    </row>
    <row r="647" spans="1:7" x14ac:dyDescent="0.35">
      <c r="A647" s="370" t="s">
        <v>3675</v>
      </c>
      <c r="B647" s="370">
        <v>0.69286663527083692</v>
      </c>
      <c r="C647" s="370">
        <v>0.68348523707448861</v>
      </c>
      <c r="D647" s="370">
        <v>0.67320873712291496</v>
      </c>
      <c r="E647" s="370">
        <v>0.66214475210407187</v>
      </c>
      <c r="F647" s="370">
        <v>0.64975431043543874</v>
      </c>
      <c r="G647" s="370">
        <v>0.63521713891102283</v>
      </c>
    </row>
    <row r="648" spans="1:7" x14ac:dyDescent="0.35">
      <c r="A648" s="370" t="s">
        <v>3676</v>
      </c>
      <c r="B648" s="370">
        <v>0.71768499033757549</v>
      </c>
      <c r="C648" s="370">
        <v>0.70746345666071531</v>
      </c>
      <c r="D648" s="370">
        <v>0.69637691917025246</v>
      </c>
      <c r="E648" s="370">
        <v>0.6845318436723582</v>
      </c>
      <c r="F648" s="370">
        <v>0.67088417505864417</v>
      </c>
      <c r="G648" s="370">
        <v>0.65516038065071658</v>
      </c>
    </row>
    <row r="649" spans="1:7" x14ac:dyDescent="0.35">
      <c r="A649" s="370" t="s">
        <v>3677</v>
      </c>
      <c r="B649" s="370">
        <v>0.74166320992380208</v>
      </c>
      <c r="C649" s="370">
        <v>0.73063163870805248</v>
      </c>
      <c r="D649" s="370">
        <v>0.71876401073853824</v>
      </c>
      <c r="E649" s="370">
        <v>0.70566170829556341</v>
      </c>
      <c r="F649" s="370">
        <v>0.69082741679833792</v>
      </c>
      <c r="G649" s="370">
        <v>0.67398363854566112</v>
      </c>
    </row>
    <row r="650" spans="1:7" x14ac:dyDescent="0.35">
      <c r="A650" s="370" t="s">
        <v>3678</v>
      </c>
      <c r="B650" s="370">
        <v>0.76483139197113936</v>
      </c>
      <c r="C650" s="370">
        <v>0.75301873027633859</v>
      </c>
      <c r="D650" s="370">
        <v>0.73989387536174367</v>
      </c>
      <c r="E650" s="370">
        <v>0.72560495003525727</v>
      </c>
      <c r="F650" s="370">
        <v>0.70965067469328236</v>
      </c>
      <c r="G650" s="370">
        <v>0.69174980928180496</v>
      </c>
    </row>
    <row r="651" spans="1:7" x14ac:dyDescent="0.35">
      <c r="A651" s="370" t="s">
        <v>3679</v>
      </c>
      <c r="B651" s="370">
        <v>0.78721848353942536</v>
      </c>
      <c r="C651" s="370">
        <v>0.77414859489954402</v>
      </c>
      <c r="D651" s="370">
        <v>0.75983711710143742</v>
      </c>
      <c r="E651" s="370">
        <v>0.74442820793020159</v>
      </c>
      <c r="F651" s="370">
        <v>0.72741684542942597</v>
      </c>
      <c r="G651" s="370">
        <v>0.70851825735744811</v>
      </c>
    </row>
    <row r="652" spans="1:7" x14ac:dyDescent="0.35">
      <c r="A652" s="370" t="s">
        <v>3680</v>
      </c>
      <c r="B652" s="370">
        <v>0.8083483481626309</v>
      </c>
      <c r="C652" s="370">
        <v>0.79409183663923766</v>
      </c>
      <c r="D652" s="370">
        <v>0.77866037499638197</v>
      </c>
      <c r="E652" s="370">
        <v>0.76219437866634543</v>
      </c>
      <c r="F652" s="370">
        <v>0.74418529350506923</v>
      </c>
      <c r="G652" s="370">
        <v>0.72434501344583224</v>
      </c>
    </row>
    <row r="653" spans="1:7" x14ac:dyDescent="0.35">
      <c r="A653" s="370" t="s">
        <v>3681</v>
      </c>
      <c r="B653" s="370">
        <v>0.82829158990232432</v>
      </c>
      <c r="C653" s="370">
        <v>0.81291509453418187</v>
      </c>
      <c r="D653" s="370">
        <v>0.79642654573252569</v>
      </c>
      <c r="E653" s="370">
        <v>0.77896282674198858</v>
      </c>
      <c r="F653" s="370">
        <v>0.76001204959345348</v>
      </c>
      <c r="G653" s="370">
        <v>0.73928296161797402</v>
      </c>
    </row>
    <row r="654" spans="1:7" x14ac:dyDescent="0.35">
      <c r="A654" s="370" t="s">
        <v>3682</v>
      </c>
      <c r="B654" s="370">
        <v>0.84711484779726887</v>
      </c>
      <c r="C654" s="370">
        <v>0.83068126527032593</v>
      </c>
      <c r="D654" s="370">
        <v>0.81319499380816884</v>
      </c>
      <c r="E654" s="370">
        <v>0.79478958283037282</v>
      </c>
      <c r="F654" s="370">
        <v>0.77494999776559526</v>
      </c>
      <c r="G654" s="370">
        <v>0.75338201605133115</v>
      </c>
    </row>
    <row r="655" spans="1:7" x14ac:dyDescent="0.35">
      <c r="A655" s="370" t="s">
        <v>3683</v>
      </c>
      <c r="B655" s="370">
        <v>0.8648810185334127</v>
      </c>
      <c r="C655" s="370">
        <v>0.84744971334596897</v>
      </c>
      <c r="D655" s="370">
        <v>0.82902174989655308</v>
      </c>
      <c r="E655" s="370">
        <v>0.80972753100251482</v>
      </c>
      <c r="F655" s="370">
        <v>0.78904905219895238</v>
      </c>
      <c r="G655" s="370">
        <v>0.76668928781476409</v>
      </c>
    </row>
    <row r="656" spans="1:7" x14ac:dyDescent="0.35">
      <c r="A656" s="370" t="s">
        <v>3684</v>
      </c>
      <c r="B656" s="370">
        <v>0.10268663986706771</v>
      </c>
      <c r="C656" s="370">
        <v>0.10326441984090018</v>
      </c>
      <c r="D656" s="370">
        <v>0.10467673645072074</v>
      </c>
      <c r="E656" s="370">
        <v>0.10613859977349435</v>
      </c>
      <c r="F656" s="370">
        <v>0.1079844034831579</v>
      </c>
      <c r="G656" s="370">
        <v>0.108771561555967</v>
      </c>
    </row>
    <row r="657" spans="1:7" x14ac:dyDescent="0.35">
      <c r="A657" s="370" t="s">
        <v>3685</v>
      </c>
      <c r="B657" s="370">
        <v>0.88164946660905597</v>
      </c>
      <c r="C657" s="370">
        <v>0.86327646943435321</v>
      </c>
      <c r="D657" s="370">
        <v>0.84395969806869475</v>
      </c>
      <c r="E657" s="370">
        <v>0.82382658543587173</v>
      </c>
      <c r="F657" s="370">
        <v>0.80235632396238521</v>
      </c>
      <c r="G657" s="370">
        <v>0.77924924228709347</v>
      </c>
    </row>
    <row r="658" spans="1:7" x14ac:dyDescent="0.35">
      <c r="A658" s="370" t="s">
        <v>3686</v>
      </c>
      <c r="B658" s="370">
        <v>0.13746417310398698</v>
      </c>
      <c r="C658" s="370">
        <v>0.13893145598852119</v>
      </c>
      <c r="D658" s="370">
        <v>0.14037076683967459</v>
      </c>
      <c r="E658" s="370">
        <v>0.14276193672007728</v>
      </c>
      <c r="F658" s="370">
        <v>0.14443859770358808</v>
      </c>
      <c r="G658" s="370">
        <v>0.14493641749571073</v>
      </c>
    </row>
    <row r="659" spans="1:7" x14ac:dyDescent="0.35">
      <c r="A659" s="370" t="s">
        <v>3687</v>
      </c>
      <c r="B659" s="370">
        <v>0.17313120925160808</v>
      </c>
      <c r="C659" s="370">
        <v>0.17462548637747491</v>
      </c>
      <c r="D659" s="370">
        <v>0.17699410378625755</v>
      </c>
      <c r="E659" s="370">
        <v>0.17921613094050742</v>
      </c>
      <c r="F659" s="370">
        <v>0.18060345364333186</v>
      </c>
      <c r="G659" s="370">
        <v>0.18076317290307087</v>
      </c>
    </row>
    <row r="660" spans="1:7" x14ac:dyDescent="0.35">
      <c r="A660" s="370" t="s">
        <v>3688</v>
      </c>
      <c r="B660" s="370">
        <v>0.20882523964056179</v>
      </c>
      <c r="C660" s="370">
        <v>0.21124882332405787</v>
      </c>
      <c r="D660" s="370">
        <v>0.2134482980066878</v>
      </c>
      <c r="E660" s="370">
        <v>0.21538098688025126</v>
      </c>
      <c r="F660" s="370">
        <v>0.21643020905069196</v>
      </c>
      <c r="G660" s="370">
        <v>0.21601965243187246</v>
      </c>
    </row>
    <row r="661" spans="1:7" x14ac:dyDescent="0.35">
      <c r="A661" s="370" t="s">
        <v>3689</v>
      </c>
      <c r="B661" s="370">
        <v>0.24544857658714475</v>
      </c>
      <c r="C661" s="370">
        <v>0.24770301754448815</v>
      </c>
      <c r="D661" s="370">
        <v>0.24961315394643147</v>
      </c>
      <c r="E661" s="370">
        <v>0.25120774228761128</v>
      </c>
      <c r="F661" s="370">
        <v>0.25168668857949361</v>
      </c>
      <c r="G661" s="370">
        <v>0.25094363561847932</v>
      </c>
    </row>
    <row r="662" spans="1:7" x14ac:dyDescent="0.35">
      <c r="A662" s="370" t="s">
        <v>3690</v>
      </c>
      <c r="B662" s="370">
        <v>0.28190277080757492</v>
      </c>
      <c r="C662" s="370">
        <v>0.28386787348423193</v>
      </c>
      <c r="D662" s="370">
        <v>0.28543990935379154</v>
      </c>
      <c r="E662" s="370">
        <v>0.28646422181641296</v>
      </c>
      <c r="F662" s="370">
        <v>0.28661067176610039</v>
      </c>
      <c r="G662" s="370">
        <v>0.28586807350069621</v>
      </c>
    </row>
    <row r="663" spans="1:7" x14ac:dyDescent="0.35">
      <c r="A663" s="370" t="s">
        <v>3691</v>
      </c>
      <c r="B663" s="370">
        <v>0.31806762674731881</v>
      </c>
      <c r="C663" s="370">
        <v>0.319694628891592</v>
      </c>
      <c r="D663" s="370">
        <v>0.32069638888259322</v>
      </c>
      <c r="E663" s="370">
        <v>0.32138820500301973</v>
      </c>
      <c r="F663" s="370">
        <v>0.32153510964831716</v>
      </c>
      <c r="G663" s="370">
        <v>0.31924606087953494</v>
      </c>
    </row>
    <row r="664" spans="1:7" x14ac:dyDescent="0.35">
      <c r="A664" s="370" t="s">
        <v>3692</v>
      </c>
      <c r="B664" s="370">
        <v>3.900450834593347E-2</v>
      </c>
      <c r="C664" s="370">
        <v>3.9270098870587293E-2</v>
      </c>
      <c r="D664" s="370">
        <v>3.9438327478778568E-2</v>
      </c>
      <c r="E664" s="370">
        <v>4.0474139594376582E-2</v>
      </c>
      <c r="F664" s="370">
        <v>4.1817901843913111E-2</v>
      </c>
      <c r="G664" s="370">
        <v>4.2143975204004147E-2</v>
      </c>
    </row>
    <row r="665" spans="1:7" x14ac:dyDescent="0.35">
      <c r="A665" s="370" t="s">
        <v>3693</v>
      </c>
      <c r="B665" s="370">
        <v>0.41444725295697593</v>
      </c>
      <c r="C665" s="370">
        <v>0.41738686894792187</v>
      </c>
      <c r="D665" s="370">
        <v>0.41956087934135144</v>
      </c>
      <c r="E665" s="370">
        <v>0.42138872695335411</v>
      </c>
      <c r="F665" s="370">
        <v>0.42034145724711219</v>
      </c>
      <c r="G665" s="370">
        <v>0.4161143098020455</v>
      </c>
    </row>
    <row r="666" spans="1:7" x14ac:dyDescent="0.35">
      <c r="A666" s="370" t="s">
        <v>3694</v>
      </c>
      <c r="B666" s="370">
        <v>0.45639137729385548</v>
      </c>
      <c r="C666" s="370">
        <v>0.4588309782119388</v>
      </c>
      <c r="D666" s="370">
        <v>0.46082705443213251</v>
      </c>
      <c r="E666" s="370">
        <v>0.46081559684148887</v>
      </c>
      <c r="F666" s="370">
        <v>0.4579322116459586</v>
      </c>
      <c r="G666" s="370">
        <v>0.45230883957333001</v>
      </c>
    </row>
    <row r="667" spans="1:7" x14ac:dyDescent="0.35">
      <c r="A667" s="370" t="s">
        <v>3695</v>
      </c>
      <c r="B667" s="370">
        <v>0.49783548655787219</v>
      </c>
      <c r="C667" s="370">
        <v>0.50009715330271987</v>
      </c>
      <c r="D667" s="370">
        <v>0.50025392432026738</v>
      </c>
      <c r="E667" s="370">
        <v>0.49840635124033528</v>
      </c>
      <c r="F667" s="370">
        <v>0.49412674141724311</v>
      </c>
      <c r="G667" s="370">
        <v>0.48716394020372888</v>
      </c>
    </row>
    <row r="668" spans="1:7" x14ac:dyDescent="0.35">
      <c r="A668" s="370" t="s">
        <v>3696</v>
      </c>
      <c r="B668" s="370">
        <v>0.53910166164865336</v>
      </c>
      <c r="C668" s="370">
        <v>0.53952402319085457</v>
      </c>
      <c r="D668" s="370">
        <v>0.53784467871911379</v>
      </c>
      <c r="E668" s="370">
        <v>0.53460088101161984</v>
      </c>
      <c r="F668" s="370">
        <v>0.5289818420476422</v>
      </c>
      <c r="G668" s="370">
        <v>0.52066279488884148</v>
      </c>
    </row>
    <row r="669" spans="1:7" x14ac:dyDescent="0.35">
      <c r="A669" s="370" t="s">
        <v>3697</v>
      </c>
      <c r="B669" s="370">
        <v>0.57852853153678818</v>
      </c>
      <c r="C669" s="370">
        <v>0.57711477758970109</v>
      </c>
      <c r="D669" s="370">
        <v>0.57403920849039813</v>
      </c>
      <c r="E669" s="370">
        <v>0.56945598164201872</v>
      </c>
      <c r="F669" s="370">
        <v>0.5624806967327548</v>
      </c>
      <c r="G669" s="370">
        <v>0.5529751905641348</v>
      </c>
    </row>
    <row r="670" spans="1:7" x14ac:dyDescent="0.35">
      <c r="A670" s="370" t="s">
        <v>3698</v>
      </c>
      <c r="B670" s="370">
        <v>0.61611928593563459</v>
      </c>
      <c r="C670" s="370">
        <v>0.61330930736098555</v>
      </c>
      <c r="D670" s="370">
        <v>0.60889430912079712</v>
      </c>
      <c r="E670" s="370">
        <v>0.60295483632713109</v>
      </c>
      <c r="F670" s="370">
        <v>0.59479309240804779</v>
      </c>
      <c r="G670" s="370">
        <v>0.58414589010700479</v>
      </c>
    </row>
    <row r="671" spans="1:7" x14ac:dyDescent="0.35">
      <c r="A671" s="370" t="s">
        <v>3699</v>
      </c>
      <c r="B671" s="370">
        <v>0.65231381570691882</v>
      </c>
      <c r="C671" s="370">
        <v>0.64816440799138453</v>
      </c>
      <c r="D671" s="370">
        <v>0.64239316380590972</v>
      </c>
      <c r="E671" s="370">
        <v>0.6352672320024243</v>
      </c>
      <c r="F671" s="370">
        <v>0.62596379195091811</v>
      </c>
      <c r="G671" s="370">
        <v>0.61421785241032634</v>
      </c>
    </row>
    <row r="672" spans="1:7" x14ac:dyDescent="0.35">
      <c r="A672" s="370" t="s">
        <v>3700</v>
      </c>
      <c r="B672" s="370">
        <v>0.68716891633731791</v>
      </c>
      <c r="C672" s="370">
        <v>0.68166326267649713</v>
      </c>
      <c r="D672" s="370">
        <v>0.67470555948120303</v>
      </c>
      <c r="E672" s="370">
        <v>0.66643793154529463</v>
      </c>
      <c r="F672" s="370">
        <v>0.65603575425423943</v>
      </c>
      <c r="G672" s="370">
        <v>0.64323230965045641</v>
      </c>
    </row>
    <row r="673" spans="1:7" x14ac:dyDescent="0.35">
      <c r="A673" s="370" t="s">
        <v>3701</v>
      </c>
      <c r="B673" s="370">
        <v>0.72066777102243063</v>
      </c>
      <c r="C673" s="370">
        <v>0.71397565835179011</v>
      </c>
      <c r="D673" s="370">
        <v>0.70587625902407325</v>
      </c>
      <c r="E673" s="370">
        <v>0.69650989384861606</v>
      </c>
      <c r="F673" s="370">
        <v>0.68505021149436962</v>
      </c>
      <c r="G673" s="370">
        <v>0.67122884107538128</v>
      </c>
    </row>
    <row r="674" spans="1:7" x14ac:dyDescent="0.35">
      <c r="A674" s="370" t="s">
        <v>3702</v>
      </c>
      <c r="B674" s="370">
        <v>0.75298016669772361</v>
      </c>
      <c r="C674" s="370">
        <v>0.74514635789466044</v>
      </c>
      <c r="D674" s="370">
        <v>0.73594822132739468</v>
      </c>
      <c r="E674" s="370">
        <v>0.72552435108874624</v>
      </c>
      <c r="F674" s="370">
        <v>0.71304674291929449</v>
      </c>
      <c r="G674" s="370">
        <v>0.69824544347573214</v>
      </c>
    </row>
    <row r="675" spans="1:7" x14ac:dyDescent="0.35">
      <c r="A675" s="370" t="s">
        <v>3703</v>
      </c>
      <c r="B675" s="370">
        <v>7.8274607216520756E-2</v>
      </c>
      <c r="C675" s="370">
        <v>7.8708426349365868E-2</v>
      </c>
      <c r="D675" s="370">
        <v>7.991246707315515E-2</v>
      </c>
      <c r="E675" s="370">
        <v>8.2292041438289693E-2</v>
      </c>
      <c r="F675" s="370">
        <v>8.3961877047917258E-2</v>
      </c>
      <c r="G675" s="370">
        <v>8.5464296645025264E-2</v>
      </c>
    </row>
    <row r="676" spans="1:7" x14ac:dyDescent="0.35">
      <c r="A676" s="370" t="s">
        <v>3704</v>
      </c>
      <c r="B676" s="370">
        <v>0.78415086624059394</v>
      </c>
      <c r="C676" s="370">
        <v>0.77521832019798176</v>
      </c>
      <c r="D676" s="370">
        <v>0.76496267856752476</v>
      </c>
      <c r="E676" s="370">
        <v>0.753520882513671</v>
      </c>
      <c r="F676" s="370">
        <v>0.74006334531964524</v>
      </c>
      <c r="G676" s="370">
        <v>0.72431859849359037</v>
      </c>
    </row>
    <row r="677" spans="1:7" x14ac:dyDescent="0.35">
      <c r="A677" s="370" t="s">
        <v>3705</v>
      </c>
      <c r="B677" s="370">
        <v>0.81422282854391537</v>
      </c>
      <c r="C677" s="370">
        <v>0.80423277743811217</v>
      </c>
      <c r="D677" s="370">
        <v>0.79295920999244962</v>
      </c>
      <c r="E677" s="370">
        <v>0.78053748491402175</v>
      </c>
      <c r="F677" s="370">
        <v>0.7661365003375038</v>
      </c>
      <c r="G677" s="370">
        <v>0.7489275225312102</v>
      </c>
    </row>
    <row r="678" spans="1:7" x14ac:dyDescent="0.35">
      <c r="A678" s="370" t="s">
        <v>3706</v>
      </c>
      <c r="B678" s="370">
        <v>0.84323728578404544</v>
      </c>
      <c r="C678" s="370">
        <v>0.83222930886303692</v>
      </c>
      <c r="D678" s="370">
        <v>0.81997581239280048</v>
      </c>
      <c r="E678" s="370">
        <v>0.80661063993188009</v>
      </c>
      <c r="F678" s="370">
        <v>0.79074542437512363</v>
      </c>
      <c r="G678" s="370">
        <v>0.77215444469979932</v>
      </c>
    </row>
    <row r="679" spans="1:7" x14ac:dyDescent="0.35">
      <c r="A679" s="370" t="s">
        <v>3707</v>
      </c>
      <c r="B679" s="370">
        <v>0.87123381720897042</v>
      </c>
      <c r="C679" s="370">
        <v>0.85924591126338767</v>
      </c>
      <c r="D679" s="370">
        <v>0.84604896741065871</v>
      </c>
      <c r="E679" s="370">
        <v>0.83121956396950003</v>
      </c>
      <c r="F679" s="370">
        <v>0.81397234654371231</v>
      </c>
      <c r="G679" s="370">
        <v>0.79407697624164797</v>
      </c>
    </row>
    <row r="680" spans="1:7" x14ac:dyDescent="0.35">
      <c r="A680" s="370" t="s">
        <v>3708</v>
      </c>
      <c r="B680" s="370">
        <v>0.89825041960932117</v>
      </c>
      <c r="C680" s="370">
        <v>0.88531906628124613</v>
      </c>
      <c r="D680" s="370">
        <v>0.87065789144827854</v>
      </c>
      <c r="E680" s="370">
        <v>0.85444648613808882</v>
      </c>
      <c r="F680" s="370">
        <v>0.83589487808556129</v>
      </c>
      <c r="G680" s="370">
        <v>0.81476836986302503</v>
      </c>
    </row>
    <row r="681" spans="1:7" x14ac:dyDescent="0.35">
      <c r="A681" s="370" t="s">
        <v>3709</v>
      </c>
      <c r="B681" s="370">
        <v>0.92432357462717929</v>
      </c>
      <c r="C681" s="370">
        <v>0.90992799031886595</v>
      </c>
      <c r="D681" s="370">
        <v>0.89388481361686745</v>
      </c>
      <c r="E681" s="370">
        <v>0.8763690176799378</v>
      </c>
      <c r="F681" s="370">
        <v>0.85658627170693824</v>
      </c>
      <c r="G681" s="370">
        <v>0.83429776450330517</v>
      </c>
    </row>
    <row r="682" spans="1:7" x14ac:dyDescent="0.35">
      <c r="A682" s="370" t="s">
        <v>3710</v>
      </c>
      <c r="B682" s="370">
        <v>0.11771293469529932</v>
      </c>
      <c r="C682" s="370">
        <v>0.11918256594374244</v>
      </c>
      <c r="D682" s="370">
        <v>0.12173036891706826</v>
      </c>
      <c r="E682" s="370">
        <v>0.12443601664229383</v>
      </c>
      <c r="F682" s="370">
        <v>0.1272821984889384</v>
      </c>
      <c r="G682" s="370">
        <v>0.12875631335976317</v>
      </c>
    </row>
    <row r="683" spans="1:7" x14ac:dyDescent="0.35">
      <c r="A683" s="370" t="s">
        <v>3711</v>
      </c>
      <c r="B683" s="370">
        <v>0.15818707428967593</v>
      </c>
      <c r="C683" s="370">
        <v>0.16100046778765553</v>
      </c>
      <c r="D683" s="370">
        <v>0.16387434412107243</v>
      </c>
      <c r="E683" s="370">
        <v>0.16775633808331503</v>
      </c>
      <c r="F683" s="370">
        <v>0.17057421520367627</v>
      </c>
      <c r="G683" s="370">
        <v>0.17179431220971925</v>
      </c>
    </row>
    <row r="684" spans="1:7" x14ac:dyDescent="0.35">
      <c r="A684" s="370" t="s">
        <v>3712</v>
      </c>
      <c r="B684" s="370">
        <v>0.200004976133589</v>
      </c>
      <c r="C684" s="370">
        <v>0.20314444299165971</v>
      </c>
      <c r="D684" s="370">
        <v>0.20719466556209354</v>
      </c>
      <c r="E684" s="370">
        <v>0.21104835479805287</v>
      </c>
      <c r="F684" s="370">
        <v>0.21361221405363237</v>
      </c>
      <c r="G684" s="370">
        <v>0.21444227682338704</v>
      </c>
    </row>
    <row r="685" spans="1:7" x14ac:dyDescent="0.35">
      <c r="A685" s="370" t="s">
        <v>3713</v>
      </c>
      <c r="B685" s="370">
        <v>0.24214895133759318</v>
      </c>
      <c r="C685" s="370">
        <v>0.24646476443268087</v>
      </c>
      <c r="D685" s="370">
        <v>0.25048668227683146</v>
      </c>
      <c r="E685" s="370">
        <v>0.25408635364800891</v>
      </c>
      <c r="F685" s="370">
        <v>0.25626017866730016</v>
      </c>
      <c r="G685" s="370">
        <v>0.25638640116026629</v>
      </c>
    </row>
    <row r="686" spans="1:7" x14ac:dyDescent="0.35">
      <c r="A686" s="370" t="s">
        <v>3714</v>
      </c>
      <c r="B686" s="370">
        <v>0.28546927277861428</v>
      </c>
      <c r="C686" s="370">
        <v>0.28975678114741871</v>
      </c>
      <c r="D686" s="370">
        <v>0.29352468112678753</v>
      </c>
      <c r="E686" s="370">
        <v>0.29673431826167673</v>
      </c>
      <c r="F686" s="370">
        <v>0.29820430300417944</v>
      </c>
      <c r="G686" s="370">
        <v>0.29783051042428321</v>
      </c>
    </row>
    <row r="687" spans="1:7" x14ac:dyDescent="0.35">
      <c r="A687" s="370" t="s">
        <v>3715</v>
      </c>
      <c r="B687" s="370">
        <v>0.32876128949335226</v>
      </c>
      <c r="C687" s="370">
        <v>0.33279477999737483</v>
      </c>
      <c r="D687" s="370">
        <v>0.33617264574045524</v>
      </c>
      <c r="E687" s="370">
        <v>0.33867844259855601</v>
      </c>
      <c r="F687" s="370">
        <v>0.33964841226819631</v>
      </c>
      <c r="G687" s="370">
        <v>0.33909668551506428</v>
      </c>
    </row>
    <row r="688" spans="1:7" x14ac:dyDescent="0.35">
      <c r="A688" s="370" t="s">
        <v>3716</v>
      </c>
      <c r="B688" s="370">
        <v>0.37179928834330833</v>
      </c>
      <c r="C688" s="370">
        <v>0.37544274461104254</v>
      </c>
      <c r="D688" s="370">
        <v>0.37811677007733457</v>
      </c>
      <c r="E688" s="370">
        <v>0.38012255186257293</v>
      </c>
      <c r="F688" s="370">
        <v>0.38091458735897743</v>
      </c>
      <c r="G688" s="370">
        <v>0.37852355540319915</v>
      </c>
    </row>
    <row r="689" spans="1:7" x14ac:dyDescent="0.35">
      <c r="A689" s="370" t="s">
        <v>3717</v>
      </c>
      <c r="B689" s="370">
        <v>3.419975326308685E-2</v>
      </c>
      <c r="C689" s="370">
        <v>3.4254719537800668E-2</v>
      </c>
      <c r="D689" s="370">
        <v>3.423216706618025E-2</v>
      </c>
      <c r="E689" s="370">
        <v>3.4777533236919358E-2</v>
      </c>
      <c r="F689" s="370">
        <v>3.566703614762113E-2</v>
      </c>
      <c r="G689" s="370">
        <v>3.5694030388953836E-2</v>
      </c>
    </row>
    <row r="690" spans="1:7" x14ac:dyDescent="0.35">
      <c r="A690" s="370" t="s">
        <v>3718</v>
      </c>
      <c r="B690" s="370">
        <v>0.3639934789573992</v>
      </c>
      <c r="C690" s="370">
        <v>0.36534163510475237</v>
      </c>
      <c r="D690" s="370">
        <v>0.36624340227805086</v>
      </c>
      <c r="E690" s="370">
        <v>0.3671115602459194</v>
      </c>
      <c r="F690" s="370">
        <v>0.36576290998144079</v>
      </c>
      <c r="G690" s="370">
        <v>0.36186476173270998</v>
      </c>
    </row>
    <row r="691" spans="1:7" x14ac:dyDescent="0.35">
      <c r="A691" s="370" t="s">
        <v>3719</v>
      </c>
      <c r="B691" s="370">
        <v>0.40035663480502154</v>
      </c>
      <c r="C691" s="370">
        <v>0.40134582456412754</v>
      </c>
      <c r="D691" s="370">
        <v>0.4022206642632925</v>
      </c>
      <c r="E691" s="370">
        <v>0.40149390411480129</v>
      </c>
      <c r="F691" s="370">
        <v>0.39855700986214526</v>
      </c>
      <c r="G691" s="370">
        <v>0.39348550228064694</v>
      </c>
    </row>
    <row r="692" spans="1:7" x14ac:dyDescent="0.35">
      <c r="A692" s="370" t="s">
        <v>3720</v>
      </c>
      <c r="B692" s="370">
        <v>0.43636082426439682</v>
      </c>
      <c r="C692" s="370">
        <v>0.43732308654936936</v>
      </c>
      <c r="D692" s="370">
        <v>0.43660300813217434</v>
      </c>
      <c r="E692" s="370">
        <v>0.43428800399550566</v>
      </c>
      <c r="F692" s="370">
        <v>0.43017775041008216</v>
      </c>
      <c r="G692" s="370">
        <v>0.42397793006072676</v>
      </c>
    </row>
    <row r="693" spans="1:7" x14ac:dyDescent="0.35">
      <c r="A693" s="370" t="s">
        <v>3721</v>
      </c>
      <c r="B693" s="370">
        <v>0.47233808624963858</v>
      </c>
      <c r="C693" s="370">
        <v>0.47170543041825108</v>
      </c>
      <c r="D693" s="370">
        <v>0.46939710801287859</v>
      </c>
      <c r="E693" s="370">
        <v>0.4659087445434425</v>
      </c>
      <c r="F693" s="370">
        <v>0.46067017819016187</v>
      </c>
      <c r="G693" s="370">
        <v>0.45331397875642143</v>
      </c>
    </row>
    <row r="694" spans="1:7" x14ac:dyDescent="0.35">
      <c r="A694" s="370" t="s">
        <v>3722</v>
      </c>
      <c r="B694" s="370">
        <v>0.50672043011852042</v>
      </c>
      <c r="C694" s="370">
        <v>0.50449953029895567</v>
      </c>
      <c r="D694" s="370">
        <v>0.50101784856081555</v>
      </c>
      <c r="E694" s="370">
        <v>0.49640117232352232</v>
      </c>
      <c r="F694" s="370">
        <v>0.49000622688585671</v>
      </c>
      <c r="G694" s="370">
        <v>0.48164200473963714</v>
      </c>
    </row>
    <row r="695" spans="1:7" x14ac:dyDescent="0.35">
      <c r="A695" s="370" t="s">
        <v>3723</v>
      </c>
      <c r="B695" s="370">
        <v>0.53951452999922478</v>
      </c>
      <c r="C695" s="370">
        <v>0.53612027084689251</v>
      </c>
      <c r="D695" s="370">
        <v>0.53151027634089532</v>
      </c>
      <c r="E695" s="370">
        <v>0.52573722101921705</v>
      </c>
      <c r="F695" s="370">
        <v>0.51833425286907242</v>
      </c>
      <c r="G695" s="370">
        <v>0.50899876952210266</v>
      </c>
    </row>
    <row r="696" spans="1:7" x14ac:dyDescent="0.35">
      <c r="A696" s="370" t="s">
        <v>3724</v>
      </c>
      <c r="B696" s="370">
        <v>0.57113527054716173</v>
      </c>
      <c r="C696" s="370">
        <v>0.56661269862697239</v>
      </c>
      <c r="D696" s="370">
        <v>0.56084632503659015</v>
      </c>
      <c r="E696" s="370">
        <v>0.55406524700243276</v>
      </c>
      <c r="F696" s="370">
        <v>0.54569101765153794</v>
      </c>
      <c r="G696" s="370">
        <v>0.53541960218170159</v>
      </c>
    </row>
    <row r="697" spans="1:7" x14ac:dyDescent="0.35">
      <c r="A697" s="370" t="s">
        <v>3725</v>
      </c>
      <c r="B697" s="370">
        <v>0.60162769832724172</v>
      </c>
      <c r="C697" s="370">
        <v>0.59594874732266723</v>
      </c>
      <c r="D697" s="370">
        <v>0.58917435101980575</v>
      </c>
      <c r="E697" s="370">
        <v>0.58142201178489827</v>
      </c>
      <c r="F697" s="370">
        <v>0.57211185031113665</v>
      </c>
      <c r="G697" s="370">
        <v>0.56093845893074112</v>
      </c>
    </row>
    <row r="698" spans="1:7" x14ac:dyDescent="0.35">
      <c r="A698" s="370" t="s">
        <v>3726</v>
      </c>
      <c r="B698" s="370">
        <v>0.63096374702293623</v>
      </c>
      <c r="C698" s="370">
        <v>0.62427677330588272</v>
      </c>
      <c r="D698" s="370">
        <v>0.61653111580227149</v>
      </c>
      <c r="E698" s="370">
        <v>0.60784284444449721</v>
      </c>
      <c r="F698" s="370">
        <v>0.59763070706017662</v>
      </c>
      <c r="G698" s="370">
        <v>0.58558798006281754</v>
      </c>
    </row>
    <row r="699" spans="1:7" x14ac:dyDescent="0.35">
      <c r="A699" s="370" t="s">
        <v>3727</v>
      </c>
      <c r="B699" s="370">
        <v>0.65929177300615205</v>
      </c>
      <c r="C699" s="370">
        <v>0.65163353808834845</v>
      </c>
      <c r="D699" s="370">
        <v>0.6429519484618702</v>
      </c>
      <c r="E699" s="370">
        <v>0.63336170119353685</v>
      </c>
      <c r="F699" s="370">
        <v>0.62228022819225259</v>
      </c>
      <c r="G699" s="370">
        <v>0.60939954439885236</v>
      </c>
    </row>
    <row r="700" spans="1:7" x14ac:dyDescent="0.35">
      <c r="A700" s="370" t="s">
        <v>3728</v>
      </c>
      <c r="B700" s="370">
        <v>7.0117421986345782E-2</v>
      </c>
      <c r="C700" s="370">
        <v>7.0211526303449664E-2</v>
      </c>
      <c r="D700" s="370">
        <v>7.0840098150733485E-2</v>
      </c>
      <c r="E700" s="370">
        <v>7.242324226279559E-2</v>
      </c>
      <c r="F700" s="370">
        <v>7.3457461334058338E-2</v>
      </c>
      <c r="G700" s="370">
        <v>7.44997656753595E-2</v>
      </c>
    </row>
    <row r="701" spans="1:7" x14ac:dyDescent="0.35">
      <c r="A701" s="370" t="s">
        <v>3729</v>
      </c>
      <c r="B701" s="370">
        <v>0.68664853778861767</v>
      </c>
      <c r="C701" s="370">
        <v>0.67805437074794728</v>
      </c>
      <c r="D701" s="370">
        <v>0.66847080521090985</v>
      </c>
      <c r="E701" s="370">
        <v>0.65801122232561315</v>
      </c>
      <c r="F701" s="370">
        <v>0.64609179252828741</v>
      </c>
      <c r="G701" s="370">
        <v>0.63240332134715693</v>
      </c>
    </row>
    <row r="702" spans="1:7" x14ac:dyDescent="0.35">
      <c r="A702" s="370" t="s">
        <v>3730</v>
      </c>
      <c r="B702" s="370">
        <v>0.71306937044821639</v>
      </c>
      <c r="C702" s="370">
        <v>0.70357322749698692</v>
      </c>
      <c r="D702" s="370">
        <v>0.69312032634298604</v>
      </c>
      <c r="E702" s="370">
        <v>0.68182278666164786</v>
      </c>
      <c r="F702" s="370">
        <v>0.6690955694765921</v>
      </c>
      <c r="G702" s="370">
        <v>0.65411523918415981</v>
      </c>
    </row>
    <row r="703" spans="1:7" x14ac:dyDescent="0.35">
      <c r="A703" s="370" t="s">
        <v>3731</v>
      </c>
      <c r="B703" s="370">
        <v>0.73858822719725603</v>
      </c>
      <c r="C703" s="370">
        <v>0.72822274862906344</v>
      </c>
      <c r="D703" s="370">
        <v>0.71693189067902097</v>
      </c>
      <c r="E703" s="370">
        <v>0.70482656360995255</v>
      </c>
      <c r="F703" s="370">
        <v>0.69080748731359487</v>
      </c>
      <c r="G703" s="370">
        <v>0.67460784686420039</v>
      </c>
    </row>
    <row r="704" spans="1:7" x14ac:dyDescent="0.35">
      <c r="A704" s="370" t="s">
        <v>3732</v>
      </c>
      <c r="B704" s="370">
        <v>0.76323774832933233</v>
      </c>
      <c r="C704" s="370">
        <v>0.75203431296509815</v>
      </c>
      <c r="D704" s="370">
        <v>0.73993566762732554</v>
      </c>
      <c r="E704" s="370">
        <v>0.72653848144695543</v>
      </c>
      <c r="F704" s="370">
        <v>0.71130009499363567</v>
      </c>
      <c r="G704" s="370">
        <v>0.69394961909642372</v>
      </c>
    </row>
    <row r="705" spans="1:7" x14ac:dyDescent="0.35">
      <c r="A705" s="370" t="s">
        <v>3733</v>
      </c>
      <c r="B705" s="370">
        <v>0.78704931266536726</v>
      </c>
      <c r="C705" s="370">
        <v>0.77503808991340262</v>
      </c>
      <c r="D705" s="370">
        <v>0.76164758546432854</v>
      </c>
      <c r="E705" s="370">
        <v>0.74703108912699612</v>
      </c>
      <c r="F705" s="370">
        <v>0.730641867225859</v>
      </c>
      <c r="G705" s="370">
        <v>0.71220518514854569</v>
      </c>
    </row>
    <row r="706" spans="1:7" x14ac:dyDescent="0.35">
      <c r="A706" s="370" t="s">
        <v>3734</v>
      </c>
      <c r="B706" s="370">
        <v>0.81005308961367184</v>
      </c>
      <c r="C706" s="370">
        <v>0.79675000775040572</v>
      </c>
      <c r="D706" s="370">
        <v>0.782140193144369</v>
      </c>
      <c r="E706" s="370">
        <v>0.76637286135921945</v>
      </c>
      <c r="F706" s="370">
        <v>0.74889743327798086</v>
      </c>
      <c r="G706" s="370">
        <v>0.72943554480132711</v>
      </c>
    </row>
    <row r="707" spans="1:7" x14ac:dyDescent="0.35">
      <c r="A707" s="370" t="s">
        <v>3735</v>
      </c>
      <c r="B707" s="370">
        <v>0.83176500745067472</v>
      </c>
      <c r="C707" s="370">
        <v>0.81724261543044641</v>
      </c>
      <c r="D707" s="370">
        <v>0.80148196537659211</v>
      </c>
      <c r="E707" s="370">
        <v>0.78462842741134131</v>
      </c>
      <c r="F707" s="370">
        <v>0.76612779293076227</v>
      </c>
      <c r="G707" s="370">
        <v>0.74569827217535378</v>
      </c>
    </row>
    <row r="708" spans="1:7" x14ac:dyDescent="0.35">
      <c r="A708" s="370" t="s">
        <v>3736</v>
      </c>
      <c r="B708" s="370">
        <v>0.85225761513071552</v>
      </c>
      <c r="C708" s="370">
        <v>0.83658438766266952</v>
      </c>
      <c r="D708" s="370">
        <v>0.81973753142871408</v>
      </c>
      <c r="E708" s="370">
        <v>0.80185878706412284</v>
      </c>
      <c r="F708" s="370">
        <v>0.78239052030478906</v>
      </c>
      <c r="G708" s="370">
        <v>0.76104770811119804</v>
      </c>
    </row>
    <row r="709" spans="1:7" x14ac:dyDescent="0.35">
      <c r="A709" s="370" t="s">
        <v>3737</v>
      </c>
      <c r="B709" s="370">
        <v>0.87159938736293863</v>
      </c>
      <c r="C709" s="370">
        <v>0.85483995371479149</v>
      </c>
      <c r="D709" s="370">
        <v>0.83696789108149583</v>
      </c>
      <c r="E709" s="370">
        <v>0.8181215144381494</v>
      </c>
      <c r="F709" s="370">
        <v>0.79773995624063332</v>
      </c>
      <c r="G709" s="370">
        <v>0.77553514174578453</v>
      </c>
    </row>
    <row r="710" spans="1:7" x14ac:dyDescent="0.35">
      <c r="A710" s="370" t="s">
        <v>3738</v>
      </c>
      <c r="B710" s="370">
        <v>0.88985495341506049</v>
      </c>
      <c r="C710" s="370">
        <v>0.8720703133675729</v>
      </c>
      <c r="D710" s="370">
        <v>0.85323061845552273</v>
      </c>
      <c r="E710" s="370">
        <v>0.83347095037399377</v>
      </c>
      <c r="F710" s="370">
        <v>0.8122273898752197</v>
      </c>
      <c r="G710" s="370">
        <v>0.78920898189168953</v>
      </c>
    </row>
    <row r="711" spans="1:7" x14ac:dyDescent="0.35">
      <c r="A711" s="370" t="s">
        <v>3739</v>
      </c>
      <c r="B711" s="370">
        <v>0.10522652600371882</v>
      </c>
      <c r="C711" s="370">
        <v>0.10594252043681002</v>
      </c>
      <c r="D711" s="370">
        <v>0.10753234628016867</v>
      </c>
      <c r="E711" s="370">
        <v>0.1091884554674188</v>
      </c>
      <c r="F711" s="370">
        <v>0.11119201380479471</v>
      </c>
      <c r="G711" s="370">
        <v>0.11208641015990928</v>
      </c>
    </row>
    <row r="712" spans="1:7" x14ac:dyDescent="0.35">
      <c r="A712" s="370" t="s">
        <v>3740</v>
      </c>
      <c r="B712" s="370">
        <v>0.90708531306784213</v>
      </c>
      <c r="C712" s="370">
        <v>0.8883330407415998</v>
      </c>
      <c r="D712" s="370">
        <v>0.86858005439136687</v>
      </c>
      <c r="E712" s="370">
        <v>0.84795838400857992</v>
      </c>
      <c r="F712" s="370">
        <v>0.82590123002112459</v>
      </c>
      <c r="G712" s="370">
        <v>0.80211491879202435</v>
      </c>
    </row>
    <row r="713" spans="1:7" x14ac:dyDescent="0.35">
      <c r="A713" s="370" t="s">
        <v>3741</v>
      </c>
      <c r="B713" s="370">
        <v>0.14095752013707916</v>
      </c>
      <c r="C713" s="370">
        <v>0.14263476856624518</v>
      </c>
      <c r="D713" s="370">
        <v>0.14429755948479178</v>
      </c>
      <c r="E713" s="370">
        <v>0.1469230079381551</v>
      </c>
      <c r="F713" s="370">
        <v>0.14877865828934445</v>
      </c>
      <c r="G713" s="370">
        <v>0.14938848076454975</v>
      </c>
    </row>
    <row r="714" spans="1:7" x14ac:dyDescent="0.35">
      <c r="A714" s="370" t="s">
        <v>3742</v>
      </c>
      <c r="B714" s="370">
        <v>0.17764976826651435</v>
      </c>
      <c r="C714" s="370">
        <v>0.17939998177086824</v>
      </c>
      <c r="D714" s="370">
        <v>0.18203211195552818</v>
      </c>
      <c r="E714" s="370">
        <v>0.1845096524227049</v>
      </c>
      <c r="F714" s="370">
        <v>0.18608072889398491</v>
      </c>
      <c r="G714" s="370">
        <v>0.18634371069088468</v>
      </c>
    </row>
    <row r="715" spans="1:7" x14ac:dyDescent="0.35">
      <c r="A715" s="370" t="s">
        <v>3743</v>
      </c>
      <c r="B715" s="370">
        <v>0.21441498147113744</v>
      </c>
      <c r="C715" s="370">
        <v>0.21713453424160467</v>
      </c>
      <c r="D715" s="370">
        <v>0.21961875644007792</v>
      </c>
      <c r="E715" s="370">
        <v>0.22181172302734531</v>
      </c>
      <c r="F715" s="370">
        <v>0.22303595882031985</v>
      </c>
      <c r="G715" s="370">
        <v>0.2227068665385068</v>
      </c>
    </row>
    <row r="716" spans="1:7" x14ac:dyDescent="0.35">
      <c r="A716" s="370" t="s">
        <v>3744</v>
      </c>
      <c r="B716" s="370">
        <v>0.25214953394187384</v>
      </c>
      <c r="C716" s="370">
        <v>0.25472117872615457</v>
      </c>
      <c r="D716" s="370">
        <v>0.25692082704471841</v>
      </c>
      <c r="E716" s="370">
        <v>0.2587669529536803</v>
      </c>
      <c r="F716" s="370">
        <v>0.25939911466794202</v>
      </c>
      <c r="G716" s="370">
        <v>0.25871105599788213</v>
      </c>
    </row>
    <row r="717" spans="1:7" x14ac:dyDescent="0.35">
      <c r="A717" s="370" t="s">
        <v>3745</v>
      </c>
      <c r="B717" s="370">
        <v>0.28973617842642374</v>
      </c>
      <c r="C717" s="370">
        <v>0.2920232493307951</v>
      </c>
      <c r="D717" s="370">
        <v>0.29387605697105329</v>
      </c>
      <c r="E717" s="370">
        <v>0.29513010880130247</v>
      </c>
      <c r="F717" s="370">
        <v>0.2954033041273173</v>
      </c>
      <c r="G717" s="370">
        <v>0.29468831798312378</v>
      </c>
    </row>
    <row r="718" spans="1:7" x14ac:dyDescent="0.35">
      <c r="A718" s="370" t="s">
        <v>3746</v>
      </c>
      <c r="B718" s="370">
        <v>0.32703824903106427</v>
      </c>
      <c r="C718" s="370">
        <v>0.32897847925713014</v>
      </c>
      <c r="D718" s="370">
        <v>0.33023921281867546</v>
      </c>
      <c r="E718" s="370">
        <v>0.3311342982606777</v>
      </c>
      <c r="F718" s="370">
        <v>0.33138056611255901</v>
      </c>
      <c r="G718" s="370">
        <v>0.32907066185200567</v>
      </c>
    </row>
    <row r="719" spans="1:7" x14ac:dyDescent="0.35">
      <c r="A719" s="370" t="s">
        <v>3747</v>
      </c>
      <c r="B719" s="370">
        <v>3.4832681869390612E-2</v>
      </c>
      <c r="C719" s="370">
        <v>3.4914907019592337E-2</v>
      </c>
      <c r="D719" s="370">
        <v>3.4917020958962319E-2</v>
      </c>
      <c r="E719" s="370">
        <v>3.5526000994584785E-2</v>
      </c>
      <c r="F719" s="370">
        <v>3.6474553644474342E-2</v>
      </c>
      <c r="G719" s="370">
        <v>3.6540237340830194E-2</v>
      </c>
    </row>
    <row r="720" spans="1:7" x14ac:dyDescent="0.35">
      <c r="A720" s="370" t="s">
        <v>3748</v>
      </c>
      <c r="B720" s="370">
        <v>0.36184500857750701</v>
      </c>
      <c r="C720" s="370">
        <v>0.36314560787713029</v>
      </c>
      <c r="D720" s="370">
        <v>0.36400970820873269</v>
      </c>
      <c r="E720" s="370">
        <v>0.36484907814421835</v>
      </c>
      <c r="F720" s="370">
        <v>0.36349462117778608</v>
      </c>
      <c r="G720" s="370">
        <v>0.35961352374640493</v>
      </c>
    </row>
    <row r="721" spans="1:7" x14ac:dyDescent="0.35">
      <c r="A721" s="370" t="s">
        <v>3749</v>
      </c>
      <c r="B721" s="370">
        <v>0.39797828974652089</v>
      </c>
      <c r="C721" s="370">
        <v>0.39892461522832473</v>
      </c>
      <c r="D721" s="370">
        <v>0.39976609910318073</v>
      </c>
      <c r="E721" s="370">
        <v>0.39902062217237083</v>
      </c>
      <c r="F721" s="370">
        <v>0.39608807739087926</v>
      </c>
      <c r="G721" s="370">
        <v>0.39104224425900752</v>
      </c>
    </row>
    <row r="722" spans="1:7" x14ac:dyDescent="0.35">
      <c r="A722" s="370" t="s">
        <v>3750</v>
      </c>
      <c r="B722" s="370">
        <v>0.43375729709771543</v>
      </c>
      <c r="C722" s="370">
        <v>0.43468100612277266</v>
      </c>
      <c r="D722" s="370">
        <v>0.43393764313133315</v>
      </c>
      <c r="E722" s="370">
        <v>0.43161407838546417</v>
      </c>
      <c r="F722" s="370">
        <v>0.42751679790348196</v>
      </c>
      <c r="G722" s="370">
        <v>0.42135085454900384</v>
      </c>
    </row>
    <row r="723" spans="1:7" x14ac:dyDescent="0.35">
      <c r="A723" s="370" t="s">
        <v>3751</v>
      </c>
      <c r="B723" s="370">
        <v>0.46951368799216342</v>
      </c>
      <c r="C723" s="370">
        <v>0.4688525501509252</v>
      </c>
      <c r="D723" s="370">
        <v>0.46653109934442633</v>
      </c>
      <c r="E723" s="370">
        <v>0.4630427988980666</v>
      </c>
      <c r="F723" s="370">
        <v>0.45782540819347822</v>
      </c>
      <c r="G723" s="370">
        <v>0.45051102712640084</v>
      </c>
    </row>
    <row r="724" spans="1:7" x14ac:dyDescent="0.35">
      <c r="A724" s="370" t="s">
        <v>3752</v>
      </c>
      <c r="B724" s="370">
        <v>0.50368523202031568</v>
      </c>
      <c r="C724" s="370">
        <v>0.50144600636401837</v>
      </c>
      <c r="D724" s="370">
        <v>0.49795981985702881</v>
      </c>
      <c r="E724" s="370">
        <v>0.49335140918806297</v>
      </c>
      <c r="F724" s="370">
        <v>0.48698558077087523</v>
      </c>
      <c r="G724" s="370">
        <v>0.47867021825741257</v>
      </c>
    </row>
    <row r="725" spans="1:7" x14ac:dyDescent="0.35">
      <c r="A725" s="370" t="s">
        <v>3753</v>
      </c>
      <c r="B725" s="370">
        <v>0.53627868823340907</v>
      </c>
      <c r="C725" s="370">
        <v>0.53287472687662096</v>
      </c>
      <c r="D725" s="370">
        <v>0.5282684301470254</v>
      </c>
      <c r="E725" s="370">
        <v>0.52251158176545998</v>
      </c>
      <c r="F725" s="370">
        <v>0.51514477190188679</v>
      </c>
      <c r="G725" s="370">
        <v>0.50586489054665695</v>
      </c>
    </row>
    <row r="726" spans="1:7" x14ac:dyDescent="0.35">
      <c r="A726" s="370" t="s">
        <v>3754</v>
      </c>
      <c r="B726" s="370">
        <v>0.56770740874601167</v>
      </c>
      <c r="C726" s="370">
        <v>0.56318333716661717</v>
      </c>
      <c r="D726" s="370">
        <v>0.5574286027244223</v>
      </c>
      <c r="E726" s="370">
        <v>0.55067077289647159</v>
      </c>
      <c r="F726" s="370">
        <v>0.54233944419113134</v>
      </c>
      <c r="G726" s="370">
        <v>0.53213008749716184</v>
      </c>
    </row>
    <row r="727" spans="1:7" x14ac:dyDescent="0.35">
      <c r="A727" s="370" t="s">
        <v>3755</v>
      </c>
      <c r="B727" s="370">
        <v>0.59801601903600787</v>
      </c>
      <c r="C727" s="370">
        <v>0.59234350974401428</v>
      </c>
      <c r="D727" s="370">
        <v>0.58558779385543402</v>
      </c>
      <c r="E727" s="370">
        <v>0.57786544518571614</v>
      </c>
      <c r="F727" s="370">
        <v>0.56860464114163634</v>
      </c>
      <c r="G727" s="370">
        <v>0.55749949246081054</v>
      </c>
    </row>
    <row r="728" spans="1:7" x14ac:dyDescent="0.35">
      <c r="A728" s="370" t="s">
        <v>3756</v>
      </c>
      <c r="B728" s="370">
        <v>0.62717619161340488</v>
      </c>
      <c r="C728" s="370">
        <v>0.62050270087502579</v>
      </c>
      <c r="D728" s="370">
        <v>0.61278246614467824</v>
      </c>
      <c r="E728" s="370">
        <v>0.60413064213622114</v>
      </c>
      <c r="F728" s="370">
        <v>0.59397404610528504</v>
      </c>
      <c r="G728" s="370">
        <v>0.58200548499681415</v>
      </c>
    </row>
    <row r="729" spans="1:7" x14ac:dyDescent="0.35">
      <c r="A729" s="370" t="s">
        <v>3757</v>
      </c>
      <c r="B729" s="370">
        <v>0.65533538274441638</v>
      </c>
      <c r="C729" s="370">
        <v>0.64769737316427034</v>
      </c>
      <c r="D729" s="370">
        <v>0.63904766309518335</v>
      </c>
      <c r="E729" s="370">
        <v>0.62950004709986962</v>
      </c>
      <c r="F729" s="370">
        <v>0.61848003864128853</v>
      </c>
      <c r="G729" s="370">
        <v>0.60567919475736076</v>
      </c>
    </row>
    <row r="730" spans="1:7" x14ac:dyDescent="0.35">
      <c r="A730" s="370" t="s">
        <v>3758</v>
      </c>
      <c r="B730" s="370">
        <v>6.9747588888982956E-2</v>
      </c>
      <c r="C730" s="370">
        <v>6.9831927978554628E-2</v>
      </c>
      <c r="D730" s="370">
        <v>7.0443021953547111E-2</v>
      </c>
      <c r="E730" s="370">
        <v>7.2000554639059119E-2</v>
      </c>
      <c r="F730" s="370">
        <v>7.3014790985304542E-2</v>
      </c>
      <c r="G730" s="370">
        <v>7.4042044352924177E-2</v>
      </c>
    </row>
    <row r="731" spans="1:7" x14ac:dyDescent="0.35">
      <c r="A731" s="370" t="s">
        <v>3759</v>
      </c>
      <c r="B731" s="370">
        <v>0.68253005503366104</v>
      </c>
      <c r="C731" s="370">
        <v>0.67396257011477534</v>
      </c>
      <c r="D731" s="370">
        <v>0.66441706805883183</v>
      </c>
      <c r="E731" s="370">
        <v>0.65400603963587334</v>
      </c>
      <c r="F731" s="370">
        <v>0.64215374840183514</v>
      </c>
      <c r="G731" s="370">
        <v>0.62855055301393103</v>
      </c>
    </row>
    <row r="732" spans="1:7" x14ac:dyDescent="0.35">
      <c r="A732" s="370" t="s">
        <v>3760</v>
      </c>
      <c r="B732" s="370">
        <v>0.70879525198416593</v>
      </c>
      <c r="C732" s="370">
        <v>0.69933197507842404</v>
      </c>
      <c r="D732" s="370">
        <v>0.68892306059483555</v>
      </c>
      <c r="E732" s="370">
        <v>0.67767974939641984</v>
      </c>
      <c r="F732" s="370">
        <v>0.66502510665840542</v>
      </c>
      <c r="G732" s="370">
        <v>0.65013748860295462</v>
      </c>
    </row>
    <row r="733" spans="1:7" x14ac:dyDescent="0.35">
      <c r="A733" s="370" t="s">
        <v>3761</v>
      </c>
      <c r="B733" s="370">
        <v>0.73416465694781452</v>
      </c>
      <c r="C733" s="370">
        <v>0.72383796761442754</v>
      </c>
      <c r="D733" s="370">
        <v>0.71259677035538227</v>
      </c>
      <c r="E733" s="370">
        <v>0.70055110765299011</v>
      </c>
      <c r="F733" s="370">
        <v>0.686612042247429</v>
      </c>
      <c r="G733" s="370">
        <v>0.67051213285875788</v>
      </c>
    </row>
    <row r="734" spans="1:7" x14ac:dyDescent="0.35">
      <c r="A734" s="370" t="s">
        <v>3762</v>
      </c>
      <c r="B734" s="370">
        <v>0.75867064948381802</v>
      </c>
      <c r="C734" s="370">
        <v>0.74751167737497415</v>
      </c>
      <c r="D734" s="370">
        <v>0.73546812861195265</v>
      </c>
      <c r="E734" s="370">
        <v>0.72213804324201381</v>
      </c>
      <c r="F734" s="370">
        <v>0.70698668650323204</v>
      </c>
      <c r="G734" s="370">
        <v>0.6897425663234138</v>
      </c>
    </row>
    <row r="735" spans="1:7" x14ac:dyDescent="0.35">
      <c r="A735" s="370" t="s">
        <v>3763</v>
      </c>
      <c r="B735" s="370">
        <v>0.78234435924436463</v>
      </c>
      <c r="C735" s="370">
        <v>0.77038303563154431</v>
      </c>
      <c r="D735" s="370">
        <v>0.75705506420097601</v>
      </c>
      <c r="E735" s="370">
        <v>0.74251268749781696</v>
      </c>
      <c r="F735" s="370">
        <v>0.72621711996788829</v>
      </c>
      <c r="G735" s="370">
        <v>0.70789304623342431</v>
      </c>
    </row>
    <row r="736" spans="1:7" x14ac:dyDescent="0.35">
      <c r="A736" s="370" t="s">
        <v>3764</v>
      </c>
      <c r="B736" s="370">
        <v>0.80521571750093501</v>
      </c>
      <c r="C736" s="370">
        <v>0.79196997122056767</v>
      </c>
      <c r="D736" s="370">
        <v>0.77742970845677917</v>
      </c>
      <c r="E736" s="370">
        <v>0.76174312096247299</v>
      </c>
      <c r="F736" s="370">
        <v>0.74436759987789869</v>
      </c>
      <c r="G736" s="370">
        <v>0.72502422123107468</v>
      </c>
    </row>
    <row r="737" spans="1:7" x14ac:dyDescent="0.35">
      <c r="A737" s="370" t="s">
        <v>3765</v>
      </c>
      <c r="B737" s="370">
        <v>0.82680265308995826</v>
      </c>
      <c r="C737" s="370">
        <v>0.81234461547637093</v>
      </c>
      <c r="D737" s="370">
        <v>0.79666014192143531</v>
      </c>
      <c r="E737" s="370">
        <v>0.77989360087248349</v>
      </c>
      <c r="F737" s="370">
        <v>0.76149877487554885</v>
      </c>
      <c r="G737" s="370">
        <v>0.74119333401790843</v>
      </c>
    </row>
    <row r="738" spans="1:7" x14ac:dyDescent="0.35">
      <c r="A738" s="370" t="s">
        <v>3766</v>
      </c>
      <c r="B738" s="370">
        <v>0.84717729734576153</v>
      </c>
      <c r="C738" s="370">
        <v>0.83157504894102685</v>
      </c>
      <c r="D738" s="370">
        <v>0.8148106218314457</v>
      </c>
      <c r="E738" s="370">
        <v>0.79702477587013376</v>
      </c>
      <c r="F738" s="370">
        <v>0.77766788766238282</v>
      </c>
      <c r="G738" s="370">
        <v>0.75645441262747282</v>
      </c>
    </row>
    <row r="739" spans="1:7" x14ac:dyDescent="0.35">
      <c r="A739" s="370" t="s">
        <v>3767</v>
      </c>
      <c r="B739" s="370">
        <v>0.86640773081041755</v>
      </c>
      <c r="C739" s="370">
        <v>0.84972552885103758</v>
      </c>
      <c r="D739" s="370">
        <v>0.83194179682909597</v>
      </c>
      <c r="E739" s="370">
        <v>0.81319388865696751</v>
      </c>
      <c r="F739" s="370">
        <v>0.7929289662719472</v>
      </c>
      <c r="G739" s="370">
        <v>0.77085845095646266</v>
      </c>
    </row>
    <row r="740" spans="1:7" x14ac:dyDescent="0.35">
      <c r="A740" s="370" t="s">
        <v>3768</v>
      </c>
      <c r="B740" s="370">
        <v>0.88455821072042828</v>
      </c>
      <c r="C740" s="370">
        <v>0.86685670384868752</v>
      </c>
      <c r="D740" s="370">
        <v>0.84811090961593005</v>
      </c>
      <c r="E740" s="370">
        <v>0.82845496726653201</v>
      </c>
      <c r="F740" s="370">
        <v>0.80733300460093715</v>
      </c>
      <c r="G740" s="370">
        <v>0.78445357915749114</v>
      </c>
    </row>
    <row r="741" spans="1:7" x14ac:dyDescent="0.35">
      <c r="A741" s="370" t="s">
        <v>3769</v>
      </c>
      <c r="B741" s="370">
        <v>0.10466460984794526</v>
      </c>
      <c r="C741" s="370">
        <v>0.10535792897313929</v>
      </c>
      <c r="D741" s="370">
        <v>0.10691757559802147</v>
      </c>
      <c r="E741" s="370">
        <v>0.10854079197988929</v>
      </c>
      <c r="F741" s="370">
        <v>0.11051659799739849</v>
      </c>
      <c r="G741" s="370">
        <v>0.11139286644698047</v>
      </c>
    </row>
    <row r="742" spans="1:7" x14ac:dyDescent="0.35">
      <c r="A742" s="370" t="s">
        <v>3770</v>
      </c>
      <c r="B742" s="370">
        <v>0.90168938571807833</v>
      </c>
      <c r="C742" s="370">
        <v>0.88302581663552149</v>
      </c>
      <c r="D742" s="370">
        <v>0.86337198822549432</v>
      </c>
      <c r="E742" s="370">
        <v>0.84285900559552207</v>
      </c>
      <c r="F742" s="370">
        <v>0.82092813280196542</v>
      </c>
      <c r="G742" s="370">
        <v>0.79728522446285099</v>
      </c>
    </row>
    <row r="743" spans="1:7" x14ac:dyDescent="0.35">
      <c r="A743" s="370" t="s">
        <v>3771</v>
      </c>
      <c r="B743" s="370">
        <v>0.1401906108425299</v>
      </c>
      <c r="C743" s="370">
        <v>0.14183248261761353</v>
      </c>
      <c r="D743" s="370">
        <v>0.14345781293885163</v>
      </c>
      <c r="E743" s="370">
        <v>0.14604259899198327</v>
      </c>
      <c r="F743" s="370">
        <v>0.14786742009145482</v>
      </c>
      <c r="G743" s="370">
        <v>0.14845882082255765</v>
      </c>
    </row>
    <row r="744" spans="1:7" x14ac:dyDescent="0.35">
      <c r="A744" s="370" t="s">
        <v>3772</v>
      </c>
      <c r="B744" s="370">
        <v>0.17666516448700414</v>
      </c>
      <c r="C744" s="370">
        <v>0.17837271995844364</v>
      </c>
      <c r="D744" s="370">
        <v>0.18095961995094559</v>
      </c>
      <c r="E744" s="370">
        <v>0.18339342108603959</v>
      </c>
      <c r="F744" s="370">
        <v>0.18493337446703201</v>
      </c>
      <c r="G744" s="370">
        <v>0.18517984409050295</v>
      </c>
    </row>
    <row r="745" spans="1:7" x14ac:dyDescent="0.35">
      <c r="A745" s="370" t="s">
        <v>3773</v>
      </c>
      <c r="B745" s="370">
        <v>0.21320540182783423</v>
      </c>
      <c r="C745" s="370">
        <v>0.21587452697053766</v>
      </c>
      <c r="D745" s="370">
        <v>0.21831044204500191</v>
      </c>
      <c r="E745" s="370">
        <v>0.22045937546161681</v>
      </c>
      <c r="F745" s="370">
        <v>0.2216543977349773</v>
      </c>
      <c r="G745" s="370">
        <v>0.22131312525951677</v>
      </c>
    </row>
    <row r="746" spans="1:7" x14ac:dyDescent="0.35">
      <c r="A746" s="370" t="s">
        <v>3774</v>
      </c>
      <c r="B746" s="370">
        <v>0.25070720883992825</v>
      </c>
      <c r="C746" s="370">
        <v>0.25322534906459393</v>
      </c>
      <c r="D746" s="370">
        <v>0.25537639642057913</v>
      </c>
      <c r="E746" s="370">
        <v>0.25718039872956211</v>
      </c>
      <c r="F746" s="370">
        <v>0.25778767890399107</v>
      </c>
      <c r="G746" s="370">
        <v>0.25709213261071129</v>
      </c>
    </row>
    <row r="747" spans="1:7" x14ac:dyDescent="0.35">
      <c r="A747" s="370" t="s">
        <v>3775</v>
      </c>
      <c r="B747" s="370">
        <v>0.28805803093398458</v>
      </c>
      <c r="C747" s="370">
        <v>0.29029130344017112</v>
      </c>
      <c r="D747" s="370">
        <v>0.29209741968852437</v>
      </c>
      <c r="E747" s="370">
        <v>0.29331367989857587</v>
      </c>
      <c r="F747" s="370">
        <v>0.29356668625518562</v>
      </c>
      <c r="G747" s="370">
        <v>0.29284852350515933</v>
      </c>
    </row>
    <row r="748" spans="1:7" x14ac:dyDescent="0.35">
      <c r="A748" s="370" t="s">
        <v>3776</v>
      </c>
      <c r="B748" s="370">
        <v>0.32512398530956177</v>
      </c>
      <c r="C748" s="370">
        <v>0.32701232670811653</v>
      </c>
      <c r="D748" s="370">
        <v>0.32823070085753825</v>
      </c>
      <c r="E748" s="370">
        <v>0.32909268724977037</v>
      </c>
      <c r="F748" s="370">
        <v>0.32932307714963355</v>
      </c>
      <c r="G748" s="370">
        <v>0.32702006753331175</v>
      </c>
    </row>
    <row r="749" spans="1:7" x14ac:dyDescent="0.35">
      <c r="A749" s="370" t="s">
        <v>3777</v>
      </c>
      <c r="B749" s="370">
        <v>3.3687956244040036E-2</v>
      </c>
      <c r="C749" s="370">
        <v>3.3717849925273644E-2</v>
      </c>
      <c r="D749" s="370">
        <v>3.3672454888449589E-2</v>
      </c>
      <c r="E749" s="370">
        <v>3.416020076406074E-2</v>
      </c>
      <c r="F749" s="370">
        <v>3.4997036642161562E-2</v>
      </c>
      <c r="G749" s="370">
        <v>3.498833544471501E-2</v>
      </c>
    </row>
    <row r="750" spans="1:7" x14ac:dyDescent="0.35">
      <c r="A750" s="370" t="s">
        <v>3778</v>
      </c>
      <c r="B750" s="370">
        <v>0.34730354993461748</v>
      </c>
      <c r="C750" s="370">
        <v>0.34813717037369624</v>
      </c>
      <c r="D750" s="370">
        <v>0.34862781482187805</v>
      </c>
      <c r="E750" s="370">
        <v>0.34918563015063553</v>
      </c>
      <c r="F750" s="370">
        <v>0.34774142613125231</v>
      </c>
      <c r="G750" s="370">
        <v>0.34395390212040783</v>
      </c>
    </row>
    <row r="751" spans="1:7" x14ac:dyDescent="0.35">
      <c r="A751" s="370" t="s">
        <v>3779</v>
      </c>
      <c r="B751" s="370">
        <v>0.38182512661773627</v>
      </c>
      <c r="C751" s="370">
        <v>0.3823456647471517</v>
      </c>
      <c r="D751" s="370">
        <v>0.38285808503908497</v>
      </c>
      <c r="E751" s="370">
        <v>0.38190162689531304</v>
      </c>
      <c r="F751" s="370">
        <v>0.37895093876256952</v>
      </c>
      <c r="G751" s="370">
        <v>0.37406326765453884</v>
      </c>
    </row>
    <row r="752" spans="1:7" x14ac:dyDescent="0.35">
      <c r="A752" s="370" t="s">
        <v>3780</v>
      </c>
      <c r="B752" s="370">
        <v>0.41603362099119173</v>
      </c>
      <c r="C752" s="370">
        <v>0.41657593496435857</v>
      </c>
      <c r="D752" s="370">
        <v>0.41557408178376265</v>
      </c>
      <c r="E752" s="370">
        <v>0.41311113952663014</v>
      </c>
      <c r="F752" s="370">
        <v>0.40906030429670037</v>
      </c>
      <c r="G752" s="370">
        <v>0.40311369284703641</v>
      </c>
    </row>
    <row r="753" spans="1:7" x14ac:dyDescent="0.35">
      <c r="A753" s="370" t="s">
        <v>3781</v>
      </c>
      <c r="B753" s="370">
        <v>0.45026389120839871</v>
      </c>
      <c r="C753" s="370">
        <v>0.44929193170903631</v>
      </c>
      <c r="D753" s="370">
        <v>0.44678359441507981</v>
      </c>
      <c r="E753" s="370">
        <v>0.44322050506076116</v>
      </c>
      <c r="F753" s="370">
        <v>0.43811072948919788</v>
      </c>
      <c r="G753" s="370">
        <v>0.43107351849689213</v>
      </c>
    </row>
    <row r="754" spans="1:7" x14ac:dyDescent="0.35">
      <c r="A754" s="370" t="s">
        <v>3782</v>
      </c>
      <c r="B754" s="370">
        <v>0.48297988795307628</v>
      </c>
      <c r="C754" s="370">
        <v>0.48050144434035347</v>
      </c>
      <c r="D754" s="370">
        <v>0.47689295994921072</v>
      </c>
      <c r="E754" s="370">
        <v>0.47227093025325856</v>
      </c>
      <c r="F754" s="370">
        <v>0.46607055513905365</v>
      </c>
      <c r="G754" s="370">
        <v>0.45808401917241226</v>
      </c>
    </row>
    <row r="755" spans="1:7" x14ac:dyDescent="0.35">
      <c r="A755" s="370" t="s">
        <v>3783</v>
      </c>
      <c r="B755" s="370">
        <v>0.51418940058439333</v>
      </c>
      <c r="C755" s="370">
        <v>0.51061080987448426</v>
      </c>
      <c r="D755" s="370">
        <v>0.50594338514170822</v>
      </c>
      <c r="E755" s="370">
        <v>0.50023075590311439</v>
      </c>
      <c r="F755" s="370">
        <v>0.49308105581457384</v>
      </c>
      <c r="G755" s="370">
        <v>0.48417933420853904</v>
      </c>
    </row>
    <row r="756" spans="1:7" x14ac:dyDescent="0.35">
      <c r="A756" s="370" t="s">
        <v>3784</v>
      </c>
      <c r="B756" s="370">
        <v>0.54429876611852446</v>
      </c>
      <c r="C756" s="370">
        <v>0.53966123506698183</v>
      </c>
      <c r="D756" s="370">
        <v>0.533903210791564</v>
      </c>
      <c r="E756" s="370">
        <v>0.52724125657863463</v>
      </c>
      <c r="F756" s="370">
        <v>0.51917637085070067</v>
      </c>
      <c r="G756" s="370">
        <v>0.5093922919466598</v>
      </c>
    </row>
    <row r="757" spans="1:7" x14ac:dyDescent="0.35">
      <c r="A757" s="370" t="s">
        <v>3785</v>
      </c>
      <c r="B757" s="370">
        <v>0.5733491913110218</v>
      </c>
      <c r="C757" s="370">
        <v>0.56762106071683771</v>
      </c>
      <c r="D757" s="370">
        <v>0.56091371146708435</v>
      </c>
      <c r="E757" s="370">
        <v>0.55333657161476135</v>
      </c>
      <c r="F757" s="370">
        <v>0.5443893285888215</v>
      </c>
      <c r="G757" s="370">
        <v>0.53375446352796163</v>
      </c>
    </row>
    <row r="758" spans="1:7" x14ac:dyDescent="0.35">
      <c r="A758" s="370" t="s">
        <v>3786</v>
      </c>
      <c r="B758" s="370">
        <v>0.60130901696087757</v>
      </c>
      <c r="C758" s="370">
        <v>0.59463156139235784</v>
      </c>
      <c r="D758" s="370">
        <v>0.58700902650321107</v>
      </c>
      <c r="E758" s="370">
        <v>0.57854952935288229</v>
      </c>
      <c r="F758" s="370">
        <v>0.5687515001701231</v>
      </c>
      <c r="G758" s="370">
        <v>0.55729621434515197</v>
      </c>
    </row>
    <row r="759" spans="1:7" x14ac:dyDescent="0.35">
      <c r="A759" s="370" t="s">
        <v>3787</v>
      </c>
      <c r="B759" s="370">
        <v>0.62831951763639782</v>
      </c>
      <c r="C759" s="370">
        <v>0.62072687642848445</v>
      </c>
      <c r="D759" s="370">
        <v>0.61222198424133178</v>
      </c>
      <c r="E759" s="370">
        <v>0.602911700934184</v>
      </c>
      <c r="F759" s="370">
        <v>0.59229325098731356</v>
      </c>
      <c r="G759" s="370">
        <v>0.58004675325940269</v>
      </c>
    </row>
    <row r="760" spans="1:7" x14ac:dyDescent="0.35">
      <c r="A760" s="370" t="s">
        <v>3788</v>
      </c>
      <c r="B760" s="370">
        <v>6.7405806169313687E-2</v>
      </c>
      <c r="C760" s="370">
        <v>6.739030481372324E-2</v>
      </c>
      <c r="D760" s="370">
        <v>6.7832655652510301E-2</v>
      </c>
      <c r="E760" s="370">
        <v>6.9157237406222274E-2</v>
      </c>
      <c r="F760" s="370">
        <v>6.9985372086876552E-2</v>
      </c>
      <c r="G760" s="370">
        <v>7.0878149152606165E-2</v>
      </c>
    </row>
    <row r="761" spans="1:7" x14ac:dyDescent="0.35">
      <c r="A761" s="370" t="s">
        <v>3789</v>
      </c>
      <c r="B761" s="370">
        <v>0.65441483267252465</v>
      </c>
      <c r="C761" s="370">
        <v>0.64593983416660572</v>
      </c>
      <c r="D761" s="370">
        <v>0.6365841558226335</v>
      </c>
      <c r="E761" s="370">
        <v>0.62645345175137424</v>
      </c>
      <c r="F761" s="370">
        <v>0.61504378990156428</v>
      </c>
      <c r="G761" s="370">
        <v>0.60203417968431328</v>
      </c>
    </row>
    <row r="762" spans="1:7" x14ac:dyDescent="0.35">
      <c r="A762" s="370" t="s">
        <v>3790</v>
      </c>
      <c r="B762" s="370">
        <v>0.67962779041064547</v>
      </c>
      <c r="C762" s="370">
        <v>0.67030200574790699</v>
      </c>
      <c r="D762" s="370">
        <v>0.66012590663982385</v>
      </c>
      <c r="E762" s="370">
        <v>0.64920399066562495</v>
      </c>
      <c r="F762" s="370">
        <v>0.63703121632647486</v>
      </c>
      <c r="G762" s="370">
        <v>0.6227868237852201</v>
      </c>
    </row>
    <row r="763" spans="1:7" x14ac:dyDescent="0.35">
      <c r="A763" s="370" t="s">
        <v>3791</v>
      </c>
      <c r="B763" s="370">
        <v>0.7039899619919473</v>
      </c>
      <c r="C763" s="370">
        <v>0.69384375656509745</v>
      </c>
      <c r="D763" s="370">
        <v>0.68287644555407445</v>
      </c>
      <c r="E763" s="370">
        <v>0.67119141709053542</v>
      </c>
      <c r="F763" s="370">
        <v>0.65778386042738146</v>
      </c>
      <c r="G763" s="370">
        <v>0.64237402916597186</v>
      </c>
    </row>
    <row r="764" spans="1:7" x14ac:dyDescent="0.35">
      <c r="A764" s="370" t="s">
        <v>3792</v>
      </c>
      <c r="B764" s="370">
        <v>0.72753171280913753</v>
      </c>
      <c r="C764" s="370">
        <v>0.71659429547934816</v>
      </c>
      <c r="D764" s="370">
        <v>0.70486387197898515</v>
      </c>
      <c r="E764" s="370">
        <v>0.69194406119144214</v>
      </c>
      <c r="F764" s="370">
        <v>0.67737106580813355</v>
      </c>
      <c r="G764" s="370">
        <v>0.66086124519310918</v>
      </c>
    </row>
    <row r="765" spans="1:7" x14ac:dyDescent="0.35">
      <c r="A765" s="370" t="s">
        <v>3793</v>
      </c>
      <c r="B765" s="370">
        <v>0.75028225172338836</v>
      </c>
      <c r="C765" s="370">
        <v>0.73858172190425864</v>
      </c>
      <c r="D765" s="370">
        <v>0.72561651607989175</v>
      </c>
      <c r="E765" s="370">
        <v>0.71153126657219423</v>
      </c>
      <c r="F765" s="370">
        <v>0.69585828183527054</v>
      </c>
      <c r="G765" s="370">
        <v>0.67831024569064313</v>
      </c>
    </row>
    <row r="766" spans="1:7" x14ac:dyDescent="0.35">
      <c r="A766" s="370" t="s">
        <v>3794</v>
      </c>
      <c r="B766" s="370">
        <v>0.77226967814829861</v>
      </c>
      <c r="C766" s="370">
        <v>0.75933436600516546</v>
      </c>
      <c r="D766" s="370">
        <v>0.74520372146064373</v>
      </c>
      <c r="E766" s="370">
        <v>0.73001848259933144</v>
      </c>
      <c r="F766" s="370">
        <v>0.71330728233280483</v>
      </c>
      <c r="G766" s="370">
        <v>0.69477933535325187</v>
      </c>
    </row>
    <row r="767" spans="1:7" x14ac:dyDescent="0.35">
      <c r="A767" s="370" t="s">
        <v>3795</v>
      </c>
      <c r="B767" s="370">
        <v>0.10107826105776327</v>
      </c>
      <c r="C767" s="370">
        <v>0.10155050557778397</v>
      </c>
      <c r="D767" s="370">
        <v>0.10282969229467191</v>
      </c>
      <c r="E767" s="370">
        <v>0.1041455728509373</v>
      </c>
      <c r="F767" s="370">
        <v>0.10587518579476769</v>
      </c>
      <c r="G767" s="370">
        <v>0.10658167889429235</v>
      </c>
    </row>
    <row r="768" spans="1:7" x14ac:dyDescent="0.35">
      <c r="A768" s="370" t="s">
        <v>3796</v>
      </c>
      <c r="B768" s="370">
        <v>0.13523846182182403</v>
      </c>
      <c r="C768" s="370">
        <v>0.13654754221994553</v>
      </c>
      <c r="D768" s="370">
        <v>0.13781802773938687</v>
      </c>
      <c r="E768" s="370">
        <v>0.14003538655882844</v>
      </c>
      <c r="F768" s="370">
        <v>0.14157871553645393</v>
      </c>
      <c r="G768" s="370">
        <v>0.14199112067697625</v>
      </c>
    </row>
    <row r="769" spans="1:7" x14ac:dyDescent="0.35">
      <c r="A769" s="370" t="s">
        <v>3797</v>
      </c>
      <c r="B769" s="370">
        <v>0.17023549846398559</v>
      </c>
      <c r="C769" s="370">
        <v>0.17153587766466052</v>
      </c>
      <c r="D769" s="370">
        <v>0.17370784144727805</v>
      </c>
      <c r="E769" s="370">
        <v>0.17573891630051464</v>
      </c>
      <c r="F769" s="370">
        <v>0.17698815731913781</v>
      </c>
      <c r="G769" s="370">
        <v>0.17706805147063187</v>
      </c>
    </row>
    <row r="770" spans="1:7" x14ac:dyDescent="0.35">
      <c r="A770" s="370" t="s">
        <v>3798</v>
      </c>
      <c r="B770" s="370">
        <v>0.20522383390870055</v>
      </c>
      <c r="C770" s="370">
        <v>0.20742569137255165</v>
      </c>
      <c r="D770" s="370">
        <v>0.20941137118896425</v>
      </c>
      <c r="E770" s="370">
        <v>0.21114835808319854</v>
      </c>
      <c r="F770" s="370">
        <v>0.21206508811279348</v>
      </c>
      <c r="G770" s="370">
        <v>0.21158962815375068</v>
      </c>
    </row>
    <row r="771" spans="1:7" x14ac:dyDescent="0.35">
      <c r="A771" s="370" t="s">
        <v>3799</v>
      </c>
      <c r="B771" s="370">
        <v>0.24111364761659171</v>
      </c>
      <c r="C771" s="370">
        <v>0.2431292211142379</v>
      </c>
      <c r="D771" s="370">
        <v>0.24482081297164804</v>
      </c>
      <c r="E771" s="370">
        <v>0.24622528887685416</v>
      </c>
      <c r="F771" s="370">
        <v>0.24658666479591218</v>
      </c>
      <c r="G771" s="370">
        <v>0.24579812252720615</v>
      </c>
    </row>
    <row r="772" spans="1:7" x14ac:dyDescent="0.35">
      <c r="A772" s="370" t="s">
        <v>3800</v>
      </c>
      <c r="B772" s="370">
        <v>0.27681717735827788</v>
      </c>
      <c r="C772" s="370">
        <v>0.27853866289692175</v>
      </c>
      <c r="D772" s="370">
        <v>0.2798977437653038</v>
      </c>
      <c r="E772" s="370">
        <v>0.28074686555997297</v>
      </c>
      <c r="F772" s="370">
        <v>0.28079515916936776</v>
      </c>
      <c r="G772" s="370">
        <v>0.28002839274441305</v>
      </c>
    </row>
    <row r="773" spans="1:7" x14ac:dyDescent="0.35">
      <c r="A773" s="370" t="s">
        <v>3801</v>
      </c>
      <c r="B773" s="370">
        <v>0.31222661914096178</v>
      </c>
      <c r="C773" s="370">
        <v>0.31361559369057745</v>
      </c>
      <c r="D773" s="370">
        <v>0.31441932044842252</v>
      </c>
      <c r="E773" s="370">
        <v>0.31495535993342844</v>
      </c>
      <c r="F773" s="370">
        <v>0.31502542938657468</v>
      </c>
      <c r="G773" s="370">
        <v>0.31274438948909072</v>
      </c>
    </row>
    <row r="774" spans="1:7" x14ac:dyDescent="0.35">
      <c r="A774" s="370" t="s">
        <v>3802</v>
      </c>
      <c r="B774" s="370">
        <v>0.36812535740232122</v>
      </c>
      <c r="C774" s="370">
        <v>0.36019536934428592</v>
      </c>
      <c r="D774" s="370">
        <v>0.35150234027811994</v>
      </c>
      <c r="E774" s="370">
        <v>0.34218821353156276</v>
      </c>
      <c r="F774" s="370">
        <v>0.33232424047602804</v>
      </c>
      <c r="G774" s="370">
        <v>0.32216483537421087</v>
      </c>
    </row>
    <row r="775" spans="1:7" x14ac:dyDescent="0.35">
      <c r="A775" s="370" t="s">
        <v>3803</v>
      </c>
      <c r="B775" s="370">
        <v>3.3642126884338625E-2</v>
      </c>
      <c r="C775" s="370">
        <v>3.3682164238705396E-2</v>
      </c>
      <c r="D775" s="370">
        <v>3.3646565942484233E-2</v>
      </c>
      <c r="E775" s="370">
        <v>3.4154419666460295E-2</v>
      </c>
      <c r="F775" s="370">
        <v>3.5006645404279141E-2</v>
      </c>
      <c r="G775" s="370">
        <v>3.5012777486289962E-2</v>
      </c>
    </row>
    <row r="776" spans="1:7" x14ac:dyDescent="0.35">
      <c r="A776" s="370" t="s">
        <v>3804</v>
      </c>
      <c r="B776" s="370">
        <v>0.34737486677795454</v>
      </c>
      <c r="C776" s="370">
        <v>0.34829441005661699</v>
      </c>
      <c r="D776" s="370">
        <v>0.34885519592636727</v>
      </c>
      <c r="E776" s="370">
        <v>0.3494643691617057</v>
      </c>
      <c r="F776" s="370">
        <v>0.34804968098878541</v>
      </c>
      <c r="G776" s="370">
        <v>0.34427428114617648</v>
      </c>
    </row>
    <row r="777" spans="1:7" x14ac:dyDescent="0.35">
      <c r="A777" s="370" t="s">
        <v>3805</v>
      </c>
      <c r="B777" s="370">
        <v>0.38193653694095564</v>
      </c>
      <c r="C777" s="370">
        <v>0.38253736016507262</v>
      </c>
      <c r="D777" s="370">
        <v>0.38311093510418998</v>
      </c>
      <c r="E777" s="370">
        <v>0.38220410065524574</v>
      </c>
      <c r="F777" s="370">
        <v>0.37928092655045548</v>
      </c>
      <c r="G777" s="370">
        <v>0.374401476969485</v>
      </c>
    </row>
    <row r="778" spans="1:7" x14ac:dyDescent="0.35">
      <c r="A778" s="370" t="s">
        <v>3806</v>
      </c>
      <c r="B778" s="370">
        <v>0.41617948704941138</v>
      </c>
      <c r="C778" s="370">
        <v>0.41679309934289527</v>
      </c>
      <c r="D778" s="370">
        <v>0.41585066659773001</v>
      </c>
      <c r="E778" s="370">
        <v>0.4134353462169158</v>
      </c>
      <c r="F778" s="370">
        <v>0.40940812237376412</v>
      </c>
      <c r="G778" s="370">
        <v>0.40346617435380761</v>
      </c>
    </row>
    <row r="779" spans="1:7" x14ac:dyDescent="0.35">
      <c r="A779" s="370" t="s">
        <v>3807</v>
      </c>
      <c r="B779" s="370">
        <v>0.45043522622723398</v>
      </c>
      <c r="C779" s="370">
        <v>0.44953283083643519</v>
      </c>
      <c r="D779" s="370">
        <v>0.44708191215940013</v>
      </c>
      <c r="E779" s="370">
        <v>0.44356254204022438</v>
      </c>
      <c r="F779" s="370">
        <v>0.43847281975808694</v>
      </c>
      <c r="G779" s="370">
        <v>0.43143763189974932</v>
      </c>
    </row>
    <row r="780" spans="1:7" x14ac:dyDescent="0.35">
      <c r="A780" s="370" t="s">
        <v>3808</v>
      </c>
      <c r="B780" s="370">
        <v>0.48317495772077396</v>
      </c>
      <c r="C780" s="370">
        <v>0.48076407639810537</v>
      </c>
      <c r="D780" s="370">
        <v>0.47720910798270877</v>
      </c>
      <c r="E780" s="370">
        <v>0.47262723942454704</v>
      </c>
      <c r="F780" s="370">
        <v>0.46644427730402843</v>
      </c>
      <c r="G780" s="370">
        <v>0.4584572060940349</v>
      </c>
    </row>
    <row r="781" spans="1:7" x14ac:dyDescent="0.35">
      <c r="A781" s="370" t="s">
        <v>3809</v>
      </c>
      <c r="B781" s="370">
        <v>0.51440620328244413</v>
      </c>
      <c r="C781" s="370">
        <v>0.51089127222141384</v>
      </c>
      <c r="D781" s="370">
        <v>0.50627380536703126</v>
      </c>
      <c r="E781" s="370">
        <v>0.50059869697048864</v>
      </c>
      <c r="F781" s="370">
        <v>0.49346385149831395</v>
      </c>
      <c r="G781" s="370">
        <v>0.4845592206833283</v>
      </c>
    </row>
    <row r="782" spans="1:7" x14ac:dyDescent="0.35">
      <c r="A782" s="370" t="s">
        <v>3810</v>
      </c>
      <c r="B782" s="370">
        <v>0.54453339910575249</v>
      </c>
      <c r="C782" s="370">
        <v>0.53995596960573666</v>
      </c>
      <c r="D782" s="370">
        <v>0.53424526291297292</v>
      </c>
      <c r="E782" s="370">
        <v>0.52761827116477433</v>
      </c>
      <c r="F782" s="370">
        <v>0.51956586608760746</v>
      </c>
      <c r="G782" s="370">
        <v>0.50977667758979428</v>
      </c>
    </row>
    <row r="783" spans="1:7" x14ac:dyDescent="0.35">
      <c r="A783" s="370" t="s">
        <v>3811</v>
      </c>
      <c r="B783" s="370">
        <v>0.5735980964900752</v>
      </c>
      <c r="C783" s="370">
        <v>0.56792742715167832</v>
      </c>
      <c r="D783" s="370">
        <v>0.56126483710725861</v>
      </c>
      <c r="E783" s="370">
        <v>0.55372028575406773</v>
      </c>
      <c r="F783" s="370">
        <v>0.54478332299407339</v>
      </c>
      <c r="G783" s="370">
        <v>0.53414131129199438</v>
      </c>
    </row>
    <row r="784" spans="1:7" x14ac:dyDescent="0.35">
      <c r="A784" s="370" t="s">
        <v>3812</v>
      </c>
      <c r="B784" s="370">
        <v>0.60156955403601686</v>
      </c>
      <c r="C784" s="370">
        <v>0.59494700134596357</v>
      </c>
      <c r="D784" s="370">
        <v>0.58736685169655189</v>
      </c>
      <c r="E784" s="370">
        <v>0.57893774266053355</v>
      </c>
      <c r="F784" s="370">
        <v>0.56914795669627349</v>
      </c>
      <c r="G784" s="370">
        <v>0.55768364083344701</v>
      </c>
    </row>
    <row r="785" spans="1:7" x14ac:dyDescent="0.35">
      <c r="A785" s="370" t="s">
        <v>3813</v>
      </c>
      <c r="B785" s="370">
        <v>0.62858912823030244</v>
      </c>
      <c r="C785" s="370">
        <v>0.62104901593525708</v>
      </c>
      <c r="D785" s="370">
        <v>0.61258430860301782</v>
      </c>
      <c r="E785" s="370">
        <v>0.60330237636273365</v>
      </c>
      <c r="F785" s="370">
        <v>0.59269028623772613</v>
      </c>
      <c r="G785" s="370">
        <v>0.58043301956727289</v>
      </c>
    </row>
    <row r="786" spans="1:7" x14ac:dyDescent="0.35">
      <c r="A786" s="370" t="s">
        <v>3814</v>
      </c>
      <c r="B786" s="370">
        <v>6.7324291123044028E-2</v>
      </c>
      <c r="C786" s="370">
        <v>6.7328730181189594E-2</v>
      </c>
      <c r="D786" s="370">
        <v>6.7800985608944528E-2</v>
      </c>
      <c r="E786" s="370">
        <v>6.9161065070739436E-2</v>
      </c>
      <c r="F786" s="370">
        <v>7.0019422890569089E-2</v>
      </c>
      <c r="G786" s="370">
        <v>7.0931653411999487E-2</v>
      </c>
    </row>
    <row r="787" spans="1:7" x14ac:dyDescent="0.35">
      <c r="A787" s="370" t="s">
        <v>3815</v>
      </c>
      <c r="B787" s="370">
        <v>0.65469114281959573</v>
      </c>
      <c r="C787" s="370">
        <v>0.64626647284172312</v>
      </c>
      <c r="D787" s="370">
        <v>0.63694894230521804</v>
      </c>
      <c r="E787" s="370">
        <v>0.62684470590418639</v>
      </c>
      <c r="F787" s="370">
        <v>0.615439664971552</v>
      </c>
      <c r="G787" s="370">
        <v>0.60241768274022744</v>
      </c>
    </row>
    <row r="788" spans="1:7" x14ac:dyDescent="0.35">
      <c r="A788" s="370" t="s">
        <v>3816</v>
      </c>
      <c r="B788" s="370">
        <v>0.67990859972606177</v>
      </c>
      <c r="C788" s="370">
        <v>0.67063110654392311</v>
      </c>
      <c r="D788" s="370">
        <v>0.66049127184667067</v>
      </c>
      <c r="E788" s="370">
        <v>0.64959408463801227</v>
      </c>
      <c r="F788" s="370">
        <v>0.63742432814450645</v>
      </c>
      <c r="G788" s="370">
        <v>0.62316771876944366</v>
      </c>
    </row>
    <row r="789" spans="1:7" x14ac:dyDescent="0.35">
      <c r="A789" s="370" t="s">
        <v>3817</v>
      </c>
      <c r="B789" s="370">
        <v>0.70427323342826198</v>
      </c>
      <c r="C789" s="370">
        <v>0.69417343608537596</v>
      </c>
      <c r="D789" s="370">
        <v>0.68324065058049643</v>
      </c>
      <c r="E789" s="370">
        <v>0.67157874781096683</v>
      </c>
      <c r="F789" s="370">
        <v>0.65817436417372266</v>
      </c>
      <c r="G789" s="370">
        <v>0.64275246254406959</v>
      </c>
    </row>
    <row r="790" spans="1:7" x14ac:dyDescent="0.35">
      <c r="A790" s="370" t="s">
        <v>3818</v>
      </c>
      <c r="B790" s="370">
        <v>0.72781556296971439</v>
      </c>
      <c r="C790" s="370">
        <v>0.71692281481920173</v>
      </c>
      <c r="D790" s="370">
        <v>0.7052253137534511</v>
      </c>
      <c r="E790" s="370">
        <v>0.69232878384018304</v>
      </c>
      <c r="F790" s="370">
        <v>0.6777591079483487</v>
      </c>
      <c r="G790" s="370">
        <v>0.66123735520534932</v>
      </c>
    </row>
    <row r="791" spans="1:7" x14ac:dyDescent="0.35">
      <c r="A791" s="370" t="s">
        <v>3819</v>
      </c>
      <c r="B791" s="370">
        <v>0.75056494170354016</v>
      </c>
      <c r="C791" s="370">
        <v>0.73890747799215606</v>
      </c>
      <c r="D791" s="370">
        <v>0.72597534978266731</v>
      </c>
      <c r="E791" s="370">
        <v>0.71191352761480897</v>
      </c>
      <c r="F791" s="370">
        <v>0.69624400060962865</v>
      </c>
      <c r="G791" s="370">
        <v>0.67868416281391952</v>
      </c>
    </row>
    <row r="792" spans="1:7" x14ac:dyDescent="0.35">
      <c r="A792" s="370" t="s">
        <v>3820</v>
      </c>
      <c r="B792" s="370">
        <v>0.77254960487649482</v>
      </c>
      <c r="C792" s="370">
        <v>0.75965751402137249</v>
      </c>
      <c r="D792" s="370">
        <v>0.74556009355729314</v>
      </c>
      <c r="E792" s="370">
        <v>0.73039842027608881</v>
      </c>
      <c r="F792" s="370">
        <v>0.71369080821819852</v>
      </c>
      <c r="G792" s="370">
        <v>0.69515118273706233</v>
      </c>
    </row>
    <row r="793" spans="1:7" x14ac:dyDescent="0.35">
      <c r="A793" s="370" t="s">
        <v>3821</v>
      </c>
      <c r="B793" s="370">
        <v>0.79329964090571115</v>
      </c>
      <c r="C793" s="370">
        <v>0.77924225779599843</v>
      </c>
      <c r="D793" s="370">
        <v>0.76404498621857309</v>
      </c>
      <c r="E793" s="370">
        <v>0.74784522788465879</v>
      </c>
      <c r="F793" s="370">
        <v>0.73015782814134156</v>
      </c>
      <c r="G793" s="370">
        <v>0.71069343844555022</v>
      </c>
    </row>
    <row r="794" spans="1:7" x14ac:dyDescent="0.35">
      <c r="A794" s="370" t="s">
        <v>3822</v>
      </c>
      <c r="B794" s="370">
        <v>0.81288438468033719</v>
      </c>
      <c r="C794" s="370">
        <v>0.79772715045727827</v>
      </c>
      <c r="D794" s="370">
        <v>0.78149179382714296</v>
      </c>
      <c r="E794" s="370">
        <v>0.76431224780780183</v>
      </c>
      <c r="F794" s="370">
        <v>0.74570008384982944</v>
      </c>
      <c r="G794" s="370">
        <v>0.72536286337097533</v>
      </c>
    </row>
    <row r="795" spans="1:7" x14ac:dyDescent="0.35">
      <c r="A795" s="370" t="s">
        <v>3823</v>
      </c>
      <c r="B795" s="370">
        <v>0.83136927734161703</v>
      </c>
      <c r="C795" s="370">
        <v>0.81517395806584825</v>
      </c>
      <c r="D795" s="370">
        <v>0.7979588137502861</v>
      </c>
      <c r="E795" s="370">
        <v>0.77985450351628982</v>
      </c>
      <c r="F795" s="370">
        <v>0.76036950877525455</v>
      </c>
      <c r="G795" s="370">
        <v>0.73920847443791748</v>
      </c>
    </row>
    <row r="796" spans="1:7" x14ac:dyDescent="0.35">
      <c r="A796" s="370" t="s">
        <v>3824</v>
      </c>
      <c r="B796" s="370">
        <v>0.8488160849501869</v>
      </c>
      <c r="C796" s="370">
        <v>0.83164097798899128</v>
      </c>
      <c r="D796" s="370">
        <v>0.81350106945877398</v>
      </c>
      <c r="E796" s="370">
        <v>0.79452392844171504</v>
      </c>
      <c r="F796" s="370">
        <v>0.77421511984219671</v>
      </c>
      <c r="G796" s="370">
        <v>0.75227653585079346</v>
      </c>
    </row>
    <row r="797" spans="1:7" x14ac:dyDescent="0.35">
      <c r="A797" s="370" t="s">
        <v>3825</v>
      </c>
      <c r="B797" s="370">
        <v>0.10097085706552822</v>
      </c>
      <c r="C797" s="370">
        <v>0.10148314984764982</v>
      </c>
      <c r="D797" s="370">
        <v>0.10280763101322364</v>
      </c>
      <c r="E797" s="370">
        <v>0.10417384255702938</v>
      </c>
      <c r="F797" s="370">
        <v>0.1059382988162786</v>
      </c>
      <c r="G797" s="370">
        <v>0.10667276067854461</v>
      </c>
    </row>
    <row r="798" spans="1:7" x14ac:dyDescent="0.35">
      <c r="A798" s="370" t="s">
        <v>3826</v>
      </c>
      <c r="B798" s="370">
        <v>0.86528310487332993</v>
      </c>
      <c r="C798" s="370">
        <v>0.84718323369747928</v>
      </c>
      <c r="D798" s="370">
        <v>0.82817049438419921</v>
      </c>
      <c r="E798" s="370">
        <v>0.80836953950865675</v>
      </c>
      <c r="F798" s="370">
        <v>0.78728318125507268</v>
      </c>
      <c r="G798" s="370">
        <v>0.76461071368267253</v>
      </c>
    </row>
    <row r="799" spans="1:7" x14ac:dyDescent="0.35">
      <c r="A799" s="370" t="s">
        <v>3827</v>
      </c>
      <c r="B799" s="370">
        <v>0.13512527673198846</v>
      </c>
      <c r="C799" s="370">
        <v>0.13648979525192889</v>
      </c>
      <c r="D799" s="370">
        <v>0.13782040849951363</v>
      </c>
      <c r="E799" s="370">
        <v>0.14009271848273891</v>
      </c>
      <c r="F799" s="370">
        <v>0.14167940608282376</v>
      </c>
      <c r="G799" s="370">
        <v>0.14212399324924369</v>
      </c>
    </row>
    <row r="800" spans="1:7" x14ac:dyDescent="0.35">
      <c r="A800" s="370" t="s">
        <v>3828</v>
      </c>
      <c r="B800" s="370">
        <v>0.17013192213626752</v>
      </c>
      <c r="C800" s="370">
        <v>0.17150257273821873</v>
      </c>
      <c r="D800" s="370">
        <v>0.17373928442522313</v>
      </c>
      <c r="E800" s="370">
        <v>0.17583382574928397</v>
      </c>
      <c r="F800" s="370">
        <v>0.17713063865352285</v>
      </c>
      <c r="G800" s="370">
        <v>0.17724294464168699</v>
      </c>
    </row>
    <row r="801" spans="1:7" x14ac:dyDescent="0.35">
      <c r="A801" s="370" t="s">
        <v>3829</v>
      </c>
      <c r="B801" s="370">
        <v>0.20514469962255735</v>
      </c>
      <c r="C801" s="370">
        <v>0.20742144866392834</v>
      </c>
      <c r="D801" s="370">
        <v>0.20948039169176827</v>
      </c>
      <c r="E801" s="370">
        <v>0.21128505831998315</v>
      </c>
      <c r="F801" s="370">
        <v>0.21224959004596614</v>
      </c>
      <c r="G801" s="370">
        <v>0.21180461480468793</v>
      </c>
    </row>
    <row r="802" spans="1:7" x14ac:dyDescent="0.35">
      <c r="A802" s="370" t="s">
        <v>3830</v>
      </c>
      <c r="B802" s="370">
        <v>0.24106357554826691</v>
      </c>
      <c r="C802" s="370">
        <v>0.24316255593047345</v>
      </c>
      <c r="D802" s="370">
        <v>0.24493162426246737</v>
      </c>
      <c r="E802" s="370">
        <v>0.24640400971242638</v>
      </c>
      <c r="F802" s="370">
        <v>0.24681126020896704</v>
      </c>
      <c r="G802" s="370">
        <v>0.24604756491314367</v>
      </c>
    </row>
    <row r="803" spans="1:7" x14ac:dyDescent="0.35">
      <c r="A803" s="370" t="s">
        <v>3831</v>
      </c>
      <c r="B803" s="370">
        <v>0.27680468281481213</v>
      </c>
      <c r="C803" s="370">
        <v>0.27861378850117258</v>
      </c>
      <c r="D803" s="370">
        <v>0.28005057565491065</v>
      </c>
      <c r="E803" s="370">
        <v>0.28096567987542748</v>
      </c>
      <c r="F803" s="370">
        <v>0.28105421031742273</v>
      </c>
      <c r="G803" s="370">
        <v>0.28030330409096632</v>
      </c>
    </row>
    <row r="804" spans="1:7" x14ac:dyDescent="0.35">
      <c r="A804" s="370" t="s">
        <v>3832</v>
      </c>
      <c r="B804" s="370">
        <v>0.31225591538551123</v>
      </c>
      <c r="C804" s="370">
        <v>0.31373273989361589</v>
      </c>
      <c r="D804" s="370">
        <v>0.31461224581791164</v>
      </c>
      <c r="E804" s="370">
        <v>0.31520862998388299</v>
      </c>
      <c r="F804" s="370">
        <v>0.31530994949524543</v>
      </c>
      <c r="G804" s="370">
        <v>0.3130430355845063</v>
      </c>
    </row>
    <row r="805" spans="1:7" x14ac:dyDescent="0.35">
      <c r="A805" s="370" t="s">
        <v>3833</v>
      </c>
      <c r="B805" s="370">
        <v>4.0238415609106792E-2</v>
      </c>
      <c r="C805" s="370">
        <v>4.0507741653339889E-2</v>
      </c>
      <c r="D805" s="370">
        <v>4.0676831631293209E-2</v>
      </c>
      <c r="E805" s="370">
        <v>4.1735894269171271E-2</v>
      </c>
      <c r="F805" s="370">
        <v>4.3114593208887275E-2</v>
      </c>
      <c r="G805" s="370">
        <v>4.3444190756547277E-2</v>
      </c>
    </row>
    <row r="806" spans="1:7" x14ac:dyDescent="0.35">
      <c r="A806" s="370" t="s">
        <v>3834</v>
      </c>
      <c r="B806" s="370">
        <v>0.42730912445516639</v>
      </c>
      <c r="C806" s="370">
        <v>0.43030184596024279</v>
      </c>
      <c r="D806" s="370">
        <v>0.4325121867287901</v>
      </c>
      <c r="E806" s="370">
        <v>0.43437397853950965</v>
      </c>
      <c r="F806" s="370">
        <v>0.43328095461642402</v>
      </c>
      <c r="G806" s="370">
        <v>0.42891688703883707</v>
      </c>
    </row>
    <row r="807" spans="1:7" x14ac:dyDescent="0.35">
      <c r="A807" s="370" t="s">
        <v>3835</v>
      </c>
      <c r="B807" s="370">
        <v>0.47054026156934958</v>
      </c>
      <c r="C807" s="370">
        <v>0.47301992838212992</v>
      </c>
      <c r="D807" s="370">
        <v>0.47505081017080281</v>
      </c>
      <c r="E807" s="370">
        <v>0.47501684888559531</v>
      </c>
      <c r="F807" s="370">
        <v>0.47203148024772412</v>
      </c>
      <c r="G807" s="370">
        <v>0.46622949242767298</v>
      </c>
    </row>
    <row r="808" spans="1:7" x14ac:dyDescent="0.35">
      <c r="A808" s="370" t="s">
        <v>3836</v>
      </c>
      <c r="B808" s="370">
        <v>0.51325834399123682</v>
      </c>
      <c r="C808" s="370">
        <v>0.51555855182414267</v>
      </c>
      <c r="D808" s="370">
        <v>0.51569368051688858</v>
      </c>
      <c r="E808" s="370">
        <v>0.51376737451689547</v>
      </c>
      <c r="F808" s="370">
        <v>0.50934408563656031</v>
      </c>
      <c r="G808" s="370">
        <v>0.50216258623087562</v>
      </c>
    </row>
    <row r="809" spans="1:7" x14ac:dyDescent="0.35">
      <c r="A809" s="370" t="s">
        <v>3837</v>
      </c>
      <c r="B809" s="370">
        <v>0.55579696743324936</v>
      </c>
      <c r="C809" s="370">
        <v>0.55620142217022828</v>
      </c>
      <c r="D809" s="370">
        <v>0.55444420614818868</v>
      </c>
      <c r="E809" s="370">
        <v>0.55107997990573143</v>
      </c>
      <c r="F809" s="370">
        <v>0.54527717943976295</v>
      </c>
      <c r="G809" s="370">
        <v>0.53669841884493941</v>
      </c>
    </row>
    <row r="810" spans="1:7" x14ac:dyDescent="0.35">
      <c r="A810" s="370" t="s">
        <v>3838</v>
      </c>
      <c r="B810" s="370">
        <v>0.59643983777933496</v>
      </c>
      <c r="C810" s="370">
        <v>0.5949519478015286</v>
      </c>
      <c r="D810" s="370">
        <v>0.59175681153702475</v>
      </c>
      <c r="E810" s="370">
        <v>0.58701307370893419</v>
      </c>
      <c r="F810" s="370">
        <v>0.57981301205382652</v>
      </c>
      <c r="G810" s="370">
        <v>0.5700120228173513</v>
      </c>
    </row>
    <row r="811" spans="1:7" x14ac:dyDescent="0.35">
      <c r="A811" s="370" t="s">
        <v>3839</v>
      </c>
      <c r="B811" s="370">
        <v>0.63519036341063528</v>
      </c>
      <c r="C811" s="370">
        <v>0.63226455319036456</v>
      </c>
      <c r="D811" s="370">
        <v>0.62768990534022739</v>
      </c>
      <c r="E811" s="370">
        <v>0.62154890632299797</v>
      </c>
      <c r="F811" s="370">
        <v>0.61312661602623852</v>
      </c>
      <c r="G811" s="370">
        <v>0.60214947132159358</v>
      </c>
    </row>
    <row r="812" spans="1:7" x14ac:dyDescent="0.35">
      <c r="A812" s="370" t="s">
        <v>3840</v>
      </c>
      <c r="B812" s="370">
        <v>0.67250296879947125</v>
      </c>
      <c r="C812" s="370">
        <v>0.6681976469935671</v>
      </c>
      <c r="D812" s="370">
        <v>0.66222573795429107</v>
      </c>
      <c r="E812" s="370">
        <v>0.65486251029540976</v>
      </c>
      <c r="F812" s="370">
        <v>0.64526406453048069</v>
      </c>
      <c r="G812" s="370">
        <v>0.63315498225748601</v>
      </c>
    </row>
    <row r="813" spans="1:7" x14ac:dyDescent="0.35">
      <c r="A813" s="370" t="s">
        <v>3841</v>
      </c>
      <c r="B813" s="370">
        <v>0.70843606260267378</v>
      </c>
      <c r="C813" s="370">
        <v>0.70273347960763066</v>
      </c>
      <c r="D813" s="370">
        <v>0.69553934192670297</v>
      </c>
      <c r="E813" s="370">
        <v>0.68699995879965203</v>
      </c>
      <c r="F813" s="370">
        <v>0.67626957546637323</v>
      </c>
      <c r="G813" s="370">
        <v>0.66307099766082334</v>
      </c>
    </row>
    <row r="814" spans="1:7" x14ac:dyDescent="0.35">
      <c r="A814" s="370" t="s">
        <v>3842</v>
      </c>
      <c r="B814" s="370">
        <v>0.74297189521673745</v>
      </c>
      <c r="C814" s="370">
        <v>0.73604708358004267</v>
      </c>
      <c r="D814" s="370">
        <v>0.72767679043094535</v>
      </c>
      <c r="E814" s="370">
        <v>0.71800546973554447</v>
      </c>
      <c r="F814" s="370">
        <v>0.70618559086971044</v>
      </c>
      <c r="G814" s="370">
        <v>0.69193825953859489</v>
      </c>
    </row>
    <row r="815" spans="1:7" x14ac:dyDescent="0.35">
      <c r="A815" s="370" t="s">
        <v>3843</v>
      </c>
      <c r="B815" s="370">
        <v>0.77628549918914946</v>
      </c>
      <c r="C815" s="370">
        <v>0.76818453208428472</v>
      </c>
      <c r="D815" s="370">
        <v>0.75868230136683779</v>
      </c>
      <c r="E815" s="370">
        <v>0.7479214851388819</v>
      </c>
      <c r="F815" s="370">
        <v>0.73505285274748222</v>
      </c>
      <c r="G815" s="370">
        <v>0.71979588229687996</v>
      </c>
    </row>
    <row r="816" spans="1:7" x14ac:dyDescent="0.35">
      <c r="A816" s="370" t="s">
        <v>3844</v>
      </c>
      <c r="B816" s="370">
        <v>8.0746157262446661E-2</v>
      </c>
      <c r="C816" s="370">
        <v>8.1184573284633049E-2</v>
      </c>
      <c r="D816" s="370">
        <v>8.2412725900464501E-2</v>
      </c>
      <c r="E816" s="370">
        <v>8.4850487478058539E-2</v>
      </c>
      <c r="F816" s="370">
        <v>8.6558783965434538E-2</v>
      </c>
      <c r="G816" s="370">
        <v>8.809926257893555E-2</v>
      </c>
    </row>
    <row r="817" spans="1:7" x14ac:dyDescent="0.35">
      <c r="A817" s="370" t="s">
        <v>3845</v>
      </c>
      <c r="B817" s="370">
        <v>0.80842294769339174</v>
      </c>
      <c r="C817" s="370">
        <v>0.79919004302017727</v>
      </c>
      <c r="D817" s="370">
        <v>0.78859831677017533</v>
      </c>
      <c r="E817" s="370">
        <v>0.77678874701665324</v>
      </c>
      <c r="F817" s="370">
        <v>0.7629104755057674</v>
      </c>
      <c r="G817" s="370">
        <v>0.74668142192048792</v>
      </c>
    </row>
    <row r="818" spans="1:7" x14ac:dyDescent="0.35">
      <c r="A818" s="370" t="s">
        <v>3846</v>
      </c>
      <c r="B818" s="370">
        <v>0.83942845862928406</v>
      </c>
      <c r="C818" s="370">
        <v>0.82910605842351448</v>
      </c>
      <c r="D818" s="370">
        <v>0.81746557864794656</v>
      </c>
      <c r="E818" s="370">
        <v>0.80464636977493853</v>
      </c>
      <c r="F818" s="370">
        <v>0.78979601512937525</v>
      </c>
      <c r="G818" s="370">
        <v>0.77205710820987739</v>
      </c>
    </row>
    <row r="819" spans="1:7" x14ac:dyDescent="0.35">
      <c r="A819" s="370" t="s">
        <v>3847</v>
      </c>
      <c r="B819" s="370">
        <v>0.86934447403262138</v>
      </c>
      <c r="C819" s="370">
        <v>0.85797332030128637</v>
      </c>
      <c r="D819" s="370">
        <v>0.84532320140623152</v>
      </c>
      <c r="E819" s="370">
        <v>0.83153190939854649</v>
      </c>
      <c r="F819" s="370">
        <v>0.81517170141876438</v>
      </c>
      <c r="G819" s="370">
        <v>0.79600773236220312</v>
      </c>
    </row>
    <row r="820" spans="1:7" x14ac:dyDescent="0.35">
      <c r="A820" s="370" t="s">
        <v>3848</v>
      </c>
      <c r="B820" s="370">
        <v>0.89821173591039305</v>
      </c>
      <c r="C820" s="370">
        <v>0.88583094305957144</v>
      </c>
      <c r="D820" s="370">
        <v>0.87220874102983981</v>
      </c>
      <c r="E820" s="370">
        <v>0.85690759568793595</v>
      </c>
      <c r="F820" s="370">
        <v>0.83912232557109057</v>
      </c>
      <c r="G820" s="370">
        <v>0.81861332382263352</v>
      </c>
    </row>
    <row r="821" spans="1:7" x14ac:dyDescent="0.35">
      <c r="A821" s="370" t="s">
        <v>3849</v>
      </c>
      <c r="B821" s="370">
        <v>0.92606935866867823</v>
      </c>
      <c r="C821" s="370">
        <v>0.91271648268317918</v>
      </c>
      <c r="D821" s="370">
        <v>0.89758442731922905</v>
      </c>
      <c r="E821" s="370">
        <v>0.88085821984026169</v>
      </c>
      <c r="F821" s="370">
        <v>0.86172791703152085</v>
      </c>
      <c r="G821" s="370">
        <v>0.83994941769750875</v>
      </c>
    </row>
    <row r="822" spans="1:7" x14ac:dyDescent="0.35">
      <c r="A822" s="370" t="s">
        <v>3850</v>
      </c>
      <c r="B822" s="370">
        <v>0.95295489829228619</v>
      </c>
      <c r="C822" s="370">
        <v>0.93809216897256864</v>
      </c>
      <c r="D822" s="370">
        <v>0.9215350514715549</v>
      </c>
      <c r="E822" s="370">
        <v>0.90346381130069209</v>
      </c>
      <c r="F822" s="370">
        <v>0.88306401090639619</v>
      </c>
      <c r="G822" s="370">
        <v>0.86008730714996295</v>
      </c>
    </row>
    <row r="823" spans="1:7" x14ac:dyDescent="0.35">
      <c r="A823" s="370" t="s">
        <v>3851</v>
      </c>
      <c r="B823" s="370">
        <v>0.97833058458167532</v>
      </c>
      <c r="C823" s="370">
        <v>0.96204279312489449</v>
      </c>
      <c r="D823" s="370">
        <v>0.94414064293198519</v>
      </c>
      <c r="E823" s="370">
        <v>0.92479990517556732</v>
      </c>
      <c r="F823" s="370">
        <v>0.90320190035885006</v>
      </c>
      <c r="G823" s="370">
        <v>0.87909428162136871</v>
      </c>
    </row>
    <row r="824" spans="1:7" x14ac:dyDescent="0.35">
      <c r="A824" s="370" t="s">
        <v>3852</v>
      </c>
      <c r="B824" s="370">
        <v>1.0022812087340012</v>
      </c>
      <c r="C824" s="370">
        <v>0.98464838458532522</v>
      </c>
      <c r="D824" s="370">
        <v>0.96547673680686064</v>
      </c>
      <c r="E824" s="370">
        <v>0.94493779462802152</v>
      </c>
      <c r="F824" s="370">
        <v>0.92220887483025549</v>
      </c>
      <c r="G824" s="370">
        <v>0.89703385167460636</v>
      </c>
    </row>
    <row r="825" spans="1:7" x14ac:dyDescent="0.35">
      <c r="A825" s="370" t="s">
        <v>3853</v>
      </c>
      <c r="B825" s="370">
        <v>1.0248868001944316</v>
      </c>
      <c r="C825" s="370">
        <v>1.0059844784602001</v>
      </c>
      <c r="D825" s="370">
        <v>0.98561462625931462</v>
      </c>
      <c r="E825" s="370">
        <v>0.96394476909942695</v>
      </c>
      <c r="F825" s="370">
        <v>0.94014844488349369</v>
      </c>
      <c r="G825" s="370">
        <v>0.91396596121046114</v>
      </c>
    </row>
    <row r="826" spans="1:7" x14ac:dyDescent="0.35">
      <c r="A826" s="370" t="s">
        <v>3854</v>
      </c>
      <c r="B826" s="370">
        <v>1.0462228940693068</v>
      </c>
      <c r="C826" s="370">
        <v>1.0261223679126543</v>
      </c>
      <c r="D826" s="370">
        <v>1.0046216007307203</v>
      </c>
      <c r="E826" s="370">
        <v>0.98188433915266504</v>
      </c>
      <c r="F826" s="370">
        <v>0.95708055441934847</v>
      </c>
      <c r="G826" s="370">
        <v>0.92994718776624641</v>
      </c>
    </row>
    <row r="827" spans="1:7" x14ac:dyDescent="0.35">
      <c r="A827" s="370" t="s">
        <v>3855</v>
      </c>
      <c r="B827" s="370">
        <v>0.12142298889373983</v>
      </c>
      <c r="C827" s="370">
        <v>0.1229204675538042</v>
      </c>
      <c r="D827" s="370">
        <v>0.12552731910935175</v>
      </c>
      <c r="E827" s="370">
        <v>0.1282946782346058</v>
      </c>
      <c r="F827" s="370">
        <v>0.1312138557878228</v>
      </c>
      <c r="G827" s="370">
        <v>0.13272134868453681</v>
      </c>
    </row>
    <row r="828" spans="1:7" x14ac:dyDescent="0.35">
      <c r="A828" s="370" t="s">
        <v>3856</v>
      </c>
      <c r="B828" s="370">
        <v>1.066360783521761</v>
      </c>
      <c r="C828" s="370">
        <v>1.04512934238406</v>
      </c>
      <c r="D828" s="370">
        <v>1.0225611707839584</v>
      </c>
      <c r="E828" s="370">
        <v>0.99881644868851949</v>
      </c>
      <c r="F828" s="370">
        <v>0.97306178097513374</v>
      </c>
      <c r="G828" s="370">
        <v>0.94503093156594964</v>
      </c>
    </row>
    <row r="829" spans="1:7" x14ac:dyDescent="0.35">
      <c r="A829" s="370" t="s">
        <v>3857</v>
      </c>
      <c r="B829" s="370">
        <v>0.16315888316291102</v>
      </c>
      <c r="C829" s="370">
        <v>0.16603506076269145</v>
      </c>
      <c r="D829" s="370">
        <v>0.16897150986589901</v>
      </c>
      <c r="E829" s="370">
        <v>0.17294975005699409</v>
      </c>
      <c r="F829" s="370">
        <v>0.17583594189342405</v>
      </c>
      <c r="G829" s="370">
        <v>0.17707963388330847</v>
      </c>
    </row>
    <row r="830" spans="1:7" x14ac:dyDescent="0.35">
      <c r="A830" s="370" t="s">
        <v>3858</v>
      </c>
      <c r="B830" s="370">
        <v>0.20627347637179821</v>
      </c>
      <c r="C830" s="370">
        <v>0.20947925151923863</v>
      </c>
      <c r="D830" s="370">
        <v>0.21362658168828733</v>
      </c>
      <c r="E830" s="370">
        <v>0.21757183616259529</v>
      </c>
      <c r="F830" s="370">
        <v>0.22019422709219577</v>
      </c>
      <c r="G830" s="370">
        <v>0.22103564808336817</v>
      </c>
    </row>
    <row r="831" spans="1:7" x14ac:dyDescent="0.35">
      <c r="A831" s="370" t="s">
        <v>3859</v>
      </c>
      <c r="B831" s="370">
        <v>0.24971766712834534</v>
      </c>
      <c r="C831" s="370">
        <v>0.25413432334162683</v>
      </c>
      <c r="D831" s="370">
        <v>0.25824866779388855</v>
      </c>
      <c r="E831" s="370">
        <v>0.26193012136136701</v>
      </c>
      <c r="F831" s="370">
        <v>0.26415024129225545</v>
      </c>
      <c r="G831" s="370">
        <v>0.26426678519755115</v>
      </c>
    </row>
    <row r="832" spans="1:7" x14ac:dyDescent="0.35">
      <c r="A832" s="370" t="s">
        <v>3860</v>
      </c>
      <c r="B832" s="370">
        <v>0.29437273895073368</v>
      </c>
      <c r="C832" s="370">
        <v>0.2987564094472282</v>
      </c>
      <c r="D832" s="370">
        <v>0.30260695299266022</v>
      </c>
      <c r="E832" s="370">
        <v>0.30588613556142674</v>
      </c>
      <c r="F832" s="370">
        <v>0.30738137840643842</v>
      </c>
      <c r="G832" s="370">
        <v>0.30698486761943855</v>
      </c>
    </row>
    <row r="833" spans="1:7" x14ac:dyDescent="0.35">
      <c r="A833" s="370" t="s">
        <v>3861</v>
      </c>
      <c r="B833" s="370">
        <v>0.33899482505633494</v>
      </c>
      <c r="C833" s="370">
        <v>0.34311469464599997</v>
      </c>
      <c r="D833" s="370">
        <v>0.3465629671927199</v>
      </c>
      <c r="E833" s="370">
        <v>0.34911727267560977</v>
      </c>
      <c r="F833" s="370">
        <v>0.35009946082832571</v>
      </c>
      <c r="G833" s="370">
        <v>0.34952349106145109</v>
      </c>
    </row>
    <row r="834" spans="1:7" x14ac:dyDescent="0.35">
      <c r="A834" s="370" t="s">
        <v>3862</v>
      </c>
      <c r="B834" s="370">
        <v>0.38335311025510665</v>
      </c>
      <c r="C834" s="370">
        <v>0.38707070884605971</v>
      </c>
      <c r="D834" s="370">
        <v>0.38979410430690292</v>
      </c>
      <c r="E834" s="370">
        <v>0.39183535509749701</v>
      </c>
      <c r="F834" s="370">
        <v>0.39263808427033831</v>
      </c>
      <c r="G834" s="370">
        <v>0.39016636140753685</v>
      </c>
    </row>
    <row r="835" spans="1:7" x14ac:dyDescent="0.35">
      <c r="A835" s="370" t="s">
        <v>3863</v>
      </c>
      <c r="B835" s="370">
        <v>3.3111544014171858E-2</v>
      </c>
      <c r="C835" s="370">
        <v>3.3061837364456552E-2</v>
      </c>
      <c r="D835" s="370">
        <v>3.2941619788421007E-2</v>
      </c>
      <c r="E835" s="370">
        <v>3.3259715227322087E-2</v>
      </c>
      <c r="F835" s="370">
        <v>3.3953878265273962E-2</v>
      </c>
      <c r="G835" s="370">
        <v>3.3830226629728219E-2</v>
      </c>
    </row>
    <row r="836" spans="1:7" x14ac:dyDescent="0.35">
      <c r="A836" s="370" t="s">
        <v>3864</v>
      </c>
      <c r="B836" s="370">
        <v>0.33713813320463493</v>
      </c>
      <c r="C836" s="370">
        <v>0.33728142971492575</v>
      </c>
      <c r="D836" s="370">
        <v>0.33721379628980003</v>
      </c>
      <c r="E836" s="370">
        <v>0.33735734250343091</v>
      </c>
      <c r="F836" s="370">
        <v>0.33572389458562846</v>
      </c>
      <c r="G836" s="370">
        <v>0.33194703688861693</v>
      </c>
    </row>
    <row r="837" spans="1:7" x14ac:dyDescent="0.35">
      <c r="A837" s="370" t="s">
        <v>3865</v>
      </c>
      <c r="B837" s="370">
        <v>0.37039297372909763</v>
      </c>
      <c r="C837" s="370">
        <v>0.37027563365425659</v>
      </c>
      <c r="D837" s="370">
        <v>0.37029896229185194</v>
      </c>
      <c r="E837" s="370">
        <v>0.36898360981295047</v>
      </c>
      <c r="F837" s="370">
        <v>0.36590091515389095</v>
      </c>
      <c r="G837" s="370">
        <v>0.36108466367295894</v>
      </c>
    </row>
    <row r="838" spans="1:7" x14ac:dyDescent="0.35">
      <c r="A838" s="370" t="s">
        <v>3866</v>
      </c>
      <c r="B838" s="370">
        <v>0.40338717766842863</v>
      </c>
      <c r="C838" s="370">
        <v>0.4033607996563085</v>
      </c>
      <c r="D838" s="370">
        <v>0.4019252296013715</v>
      </c>
      <c r="E838" s="370">
        <v>0.39916063038121297</v>
      </c>
      <c r="F838" s="370">
        <v>0.39503854193823279</v>
      </c>
      <c r="G838" s="370">
        <v>0.38922028740199688</v>
      </c>
    </row>
    <row r="839" spans="1:7" x14ac:dyDescent="0.35">
      <c r="A839" s="370" t="s">
        <v>3867</v>
      </c>
      <c r="B839" s="370">
        <v>0.43647234367048032</v>
      </c>
      <c r="C839" s="370">
        <v>0.43498706696582806</v>
      </c>
      <c r="D839" s="370">
        <v>0.43210225016963411</v>
      </c>
      <c r="E839" s="370">
        <v>0.42829825716555503</v>
      </c>
      <c r="F839" s="370">
        <v>0.4231741656672709</v>
      </c>
      <c r="G839" s="370">
        <v>0.41631599764030375</v>
      </c>
    </row>
    <row r="840" spans="1:7" x14ac:dyDescent="0.35">
      <c r="A840" s="370" t="s">
        <v>3868</v>
      </c>
      <c r="B840" s="370">
        <v>0.46809861097999994</v>
      </c>
      <c r="C840" s="370">
        <v>0.4651640875340905</v>
      </c>
      <c r="D840" s="370">
        <v>0.46123987695397595</v>
      </c>
      <c r="E840" s="370">
        <v>0.45643388089459291</v>
      </c>
      <c r="F840" s="370">
        <v>0.45026987590557765</v>
      </c>
      <c r="G840" s="370">
        <v>0.44250852304097849</v>
      </c>
    </row>
    <row r="841" spans="1:7" x14ac:dyDescent="0.35">
      <c r="A841" s="370" t="s">
        <v>3869</v>
      </c>
      <c r="B841" s="370">
        <v>0.49827563154826243</v>
      </c>
      <c r="C841" s="370">
        <v>0.49430171431843239</v>
      </c>
      <c r="D841" s="370">
        <v>0.48937550068301394</v>
      </c>
      <c r="E841" s="370">
        <v>0.48352959113289967</v>
      </c>
      <c r="F841" s="370">
        <v>0.4764624013062525</v>
      </c>
      <c r="G841" s="370">
        <v>0.46782962604480671</v>
      </c>
    </row>
    <row r="842" spans="1:7" x14ac:dyDescent="0.35">
      <c r="A842" s="370" t="s">
        <v>3870</v>
      </c>
      <c r="B842" s="370">
        <v>0.52741325833260433</v>
      </c>
      <c r="C842" s="370">
        <v>0.5224373380474705</v>
      </c>
      <c r="D842" s="370">
        <v>0.51647121092132076</v>
      </c>
      <c r="E842" s="370">
        <v>0.50972211653357458</v>
      </c>
      <c r="F842" s="370">
        <v>0.50178350431008079</v>
      </c>
      <c r="G842" s="370">
        <v>0.49230987849082442</v>
      </c>
    </row>
    <row r="843" spans="1:7" x14ac:dyDescent="0.35">
      <c r="A843" s="370" t="s">
        <v>3871</v>
      </c>
      <c r="B843" s="370">
        <v>0.55554888206164232</v>
      </c>
      <c r="C843" s="370">
        <v>0.54953304828577731</v>
      </c>
      <c r="D843" s="370">
        <v>0.54266373632199572</v>
      </c>
      <c r="E843" s="370">
        <v>0.53504321953740286</v>
      </c>
      <c r="F843" s="370">
        <v>0.52626375675609838</v>
      </c>
      <c r="G843" s="370">
        <v>0.51597870935824064</v>
      </c>
    </row>
    <row r="844" spans="1:7" x14ac:dyDescent="0.35">
      <c r="A844" s="370" t="s">
        <v>3872</v>
      </c>
      <c r="B844" s="370">
        <v>0.58264459229994925</v>
      </c>
      <c r="C844" s="370">
        <v>0.57572557368645205</v>
      </c>
      <c r="D844" s="370">
        <v>0.56798483932582389</v>
      </c>
      <c r="E844" s="370">
        <v>0.55952347198342045</v>
      </c>
      <c r="F844" s="370">
        <v>0.5499325876235146</v>
      </c>
      <c r="G844" s="370">
        <v>0.53886445046999887</v>
      </c>
    </row>
    <row r="845" spans="1:7" x14ac:dyDescent="0.35">
      <c r="A845" s="370" t="s">
        <v>3873</v>
      </c>
      <c r="B845" s="370">
        <v>0.6088371177006241</v>
      </c>
      <c r="C845" s="370">
        <v>0.60104667669028056</v>
      </c>
      <c r="D845" s="370">
        <v>0.59246509177184159</v>
      </c>
      <c r="E845" s="370">
        <v>0.58319230285083679</v>
      </c>
      <c r="F845" s="370">
        <v>0.57281832873527305</v>
      </c>
      <c r="G845" s="370">
        <v>0.56099438024963522</v>
      </c>
    </row>
    <row r="846" spans="1:7" x14ac:dyDescent="0.35">
      <c r="A846" s="370" t="s">
        <v>3874</v>
      </c>
      <c r="B846" s="370">
        <v>6.617338137862841E-2</v>
      </c>
      <c r="C846" s="370">
        <v>6.6003457152877559E-2</v>
      </c>
      <c r="D846" s="370">
        <v>6.6201335015743101E-2</v>
      </c>
      <c r="E846" s="370">
        <v>6.7213593492596063E-2</v>
      </c>
      <c r="F846" s="370">
        <v>6.7784104895002195E-2</v>
      </c>
      <c r="G846" s="370">
        <v>6.8501104164964646E-2</v>
      </c>
    </row>
    <row r="847" spans="1:7" x14ac:dyDescent="0.35">
      <c r="A847" s="370" t="s">
        <v>3875</v>
      </c>
      <c r="B847" s="370">
        <v>0.63415822070445216</v>
      </c>
      <c r="C847" s="370">
        <v>0.62552692913629793</v>
      </c>
      <c r="D847" s="370">
        <v>0.6161339226392577</v>
      </c>
      <c r="E847" s="370">
        <v>0.60607804396259501</v>
      </c>
      <c r="F847" s="370">
        <v>0.59494825851490929</v>
      </c>
      <c r="G847" s="370">
        <v>0.58239476561881054</v>
      </c>
    </row>
    <row r="848" spans="1:7" x14ac:dyDescent="0.35">
      <c r="A848" s="370" t="s">
        <v>3876</v>
      </c>
      <c r="B848" s="370">
        <v>0.65863847315046975</v>
      </c>
      <c r="C848" s="370">
        <v>0.64919576000371437</v>
      </c>
      <c r="D848" s="370">
        <v>0.63901966375101593</v>
      </c>
      <c r="E848" s="370">
        <v>0.62820797374223114</v>
      </c>
      <c r="F848" s="370">
        <v>0.61634864388408439</v>
      </c>
      <c r="G848" s="370">
        <v>0.60259333604747989</v>
      </c>
    </row>
    <row r="849" spans="1:7" x14ac:dyDescent="0.35">
      <c r="A849" s="370" t="s">
        <v>3877</v>
      </c>
      <c r="B849" s="370">
        <v>0.68230730401788631</v>
      </c>
      <c r="C849" s="370">
        <v>0.6720815011154726</v>
      </c>
      <c r="D849" s="370">
        <v>0.66114959353065228</v>
      </c>
      <c r="E849" s="370">
        <v>0.64960835911140657</v>
      </c>
      <c r="F849" s="370">
        <v>0.63654721431275385</v>
      </c>
      <c r="G849" s="370">
        <v>0.62165758373853175</v>
      </c>
    </row>
    <row r="850" spans="1:7" x14ac:dyDescent="0.35">
      <c r="A850" s="370" t="s">
        <v>3878</v>
      </c>
      <c r="B850" s="370">
        <v>0.70519304512964431</v>
      </c>
      <c r="C850" s="370">
        <v>0.69421143089510862</v>
      </c>
      <c r="D850" s="370">
        <v>0.68254997889982771</v>
      </c>
      <c r="E850" s="370">
        <v>0.66980692954007615</v>
      </c>
      <c r="F850" s="370">
        <v>0.6556114620038056</v>
      </c>
      <c r="G850" s="370">
        <v>0.6396512106295672</v>
      </c>
    </row>
    <row r="851" spans="1:7" x14ac:dyDescent="0.35">
      <c r="A851" s="370" t="s">
        <v>3879</v>
      </c>
      <c r="B851" s="370">
        <v>0.72732297490928066</v>
      </c>
      <c r="C851" s="370">
        <v>0.71561181626428405</v>
      </c>
      <c r="D851" s="370">
        <v>0.70274854932849729</v>
      </c>
      <c r="E851" s="370">
        <v>0.68887117723112801</v>
      </c>
      <c r="F851" s="370">
        <v>0.67360508889484105</v>
      </c>
      <c r="G851" s="370">
        <v>0.65663434124876041</v>
      </c>
    </row>
    <row r="852" spans="1:7" x14ac:dyDescent="0.35">
      <c r="A852" s="370" t="s">
        <v>3880</v>
      </c>
      <c r="B852" s="370">
        <v>0.74872336027845598</v>
      </c>
      <c r="C852" s="370">
        <v>0.73581038669295362</v>
      </c>
      <c r="D852" s="370">
        <v>0.72181279701954881</v>
      </c>
      <c r="E852" s="370">
        <v>0.70686480412216302</v>
      </c>
      <c r="F852" s="370">
        <v>0.69058821951403426</v>
      </c>
      <c r="G852" s="370">
        <v>0.67266372361704097</v>
      </c>
    </row>
    <row r="853" spans="1:7" x14ac:dyDescent="0.35">
      <c r="A853" s="370" t="s">
        <v>3881</v>
      </c>
      <c r="B853" s="370">
        <v>9.9115001167049438E-2</v>
      </c>
      <c r="C853" s="370">
        <v>9.9263172380199632E-2</v>
      </c>
      <c r="D853" s="370">
        <v>0.10015521328101706</v>
      </c>
      <c r="E853" s="370">
        <v>0.10104382012232425</v>
      </c>
      <c r="F853" s="370">
        <v>0.10245498243023865</v>
      </c>
      <c r="G853" s="370">
        <v>0.10292472554817378</v>
      </c>
    </row>
    <row r="854" spans="1:7" x14ac:dyDescent="0.35">
      <c r="A854" s="370" t="s">
        <v>3882</v>
      </c>
      <c r="B854" s="370">
        <v>0.13237471639437151</v>
      </c>
      <c r="C854" s="370">
        <v>0.13321705064547357</v>
      </c>
      <c r="D854" s="370">
        <v>0.1339854399107453</v>
      </c>
      <c r="E854" s="370">
        <v>0.13571469765756072</v>
      </c>
      <c r="F854" s="370">
        <v>0.13687860381344774</v>
      </c>
      <c r="G854" s="370">
        <v>0.1370296787618929</v>
      </c>
    </row>
    <row r="855" spans="1:7" x14ac:dyDescent="0.35">
      <c r="A855" s="370" t="s">
        <v>3883</v>
      </c>
      <c r="B855" s="370">
        <v>0.16632859465964545</v>
      </c>
      <c r="C855" s="370">
        <v>0.1670472772752018</v>
      </c>
      <c r="D855" s="370">
        <v>0.16865631744598175</v>
      </c>
      <c r="E855" s="370">
        <v>0.17013831904076981</v>
      </c>
      <c r="F855" s="370">
        <v>0.17098355702716683</v>
      </c>
      <c r="G855" s="370">
        <v>0.17080953854498937</v>
      </c>
    </row>
    <row r="856" spans="1:7" x14ac:dyDescent="0.35">
      <c r="A856" s="370" t="s">
        <v>3884</v>
      </c>
      <c r="B856" s="370">
        <v>0.20015882128937373</v>
      </c>
      <c r="C856" s="370">
        <v>0.20171815481043828</v>
      </c>
      <c r="D856" s="370">
        <v>0.2030799388291909</v>
      </c>
      <c r="E856" s="370">
        <v>0.20424327225448893</v>
      </c>
      <c r="F856" s="370">
        <v>0.20476341681026339</v>
      </c>
      <c r="G856" s="370">
        <v>0.20406437906945218</v>
      </c>
    </row>
    <row r="857" spans="1:7" x14ac:dyDescent="0.35">
      <c r="A857" s="370" t="s">
        <v>3885</v>
      </c>
      <c r="B857" s="370">
        <v>0.23482969882461013</v>
      </c>
      <c r="C857" s="370">
        <v>0.2361417761936474</v>
      </c>
      <c r="D857" s="370">
        <v>0.23718489204290993</v>
      </c>
      <c r="E857" s="370">
        <v>0.23802313203758543</v>
      </c>
      <c r="F857" s="370">
        <v>0.23801825733472615</v>
      </c>
      <c r="G857" s="370">
        <v>0.23705858300878302</v>
      </c>
    </row>
    <row r="858" spans="1:7" x14ac:dyDescent="0.35">
      <c r="A858" s="370" t="s">
        <v>3886</v>
      </c>
      <c r="B858" s="370">
        <v>0.26925332020781934</v>
      </c>
      <c r="C858" s="370">
        <v>0.27024672940736649</v>
      </c>
      <c r="D858" s="370">
        <v>0.27096475182600654</v>
      </c>
      <c r="E858" s="370">
        <v>0.27127797256204822</v>
      </c>
      <c r="F858" s="370">
        <v>0.27101246127405704</v>
      </c>
      <c r="G858" s="370">
        <v>0.27014374901083482</v>
      </c>
    </row>
    <row r="859" spans="1:7" x14ac:dyDescent="0.35">
      <c r="A859" s="370" t="s">
        <v>3887</v>
      </c>
      <c r="B859" s="370">
        <v>0.30335827342153832</v>
      </c>
      <c r="C859" s="370">
        <v>0.30402658919046305</v>
      </c>
      <c r="D859" s="370">
        <v>0.30421959235046925</v>
      </c>
      <c r="E859" s="370">
        <v>0.30427217650137905</v>
      </c>
      <c r="F859" s="370">
        <v>0.30409762727610889</v>
      </c>
      <c r="G859" s="370">
        <v>0.30177001632035449</v>
      </c>
    </row>
  </sheetData>
  <autoFilter ref="A3:G859" xr:uid="{00000000-0009-0000-0000-00000D000000}"/>
  <mergeCells count="2">
    <mergeCell ref="A1:H1"/>
    <mergeCell ref="B2:G2"/>
  </mergeCells>
  <pageMargins left="0.7" right="0.7" top="0.75" bottom="0.75" header="0.3" footer="0.3"/>
  <pageSetup scale="26"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1"/>
    <pageSetUpPr fitToPage="1"/>
  </sheetPr>
  <dimension ref="A1:AF38"/>
  <sheetViews>
    <sheetView zoomScaleNormal="100" workbookViewId="0">
      <selection sqref="A1:H1"/>
    </sheetView>
  </sheetViews>
  <sheetFormatPr defaultRowHeight="14.5" x14ac:dyDescent="0.35"/>
  <cols>
    <col min="1" max="1" width="20.1796875" bestFit="1" customWidth="1"/>
    <col min="2" max="2" width="27.1796875" style="1067" customWidth="1"/>
  </cols>
  <sheetData>
    <row r="1" spans="1:32" x14ac:dyDescent="0.35">
      <c r="A1" s="3645"/>
      <c r="B1" s="3645"/>
      <c r="C1" s="3645"/>
      <c r="D1" s="3645"/>
      <c r="E1" s="3645"/>
      <c r="F1" s="3645"/>
      <c r="G1" s="3645"/>
      <c r="H1" s="3645"/>
      <c r="J1" s="87"/>
      <c r="AF1" s="1059"/>
    </row>
    <row r="2" spans="1:32" x14ac:dyDescent="0.35">
      <c r="A2" s="1060" t="s">
        <v>2479</v>
      </c>
      <c r="B2" s="1061"/>
    </row>
    <row r="3" spans="1:32" x14ac:dyDescent="0.35">
      <c r="A3" s="1062" t="s">
        <v>3888</v>
      </c>
      <c r="B3" s="1063">
        <v>1.148238E-4</v>
      </c>
    </row>
    <row r="4" spans="1:32" x14ac:dyDescent="0.35">
      <c r="A4" s="1062" t="s">
        <v>1558</v>
      </c>
      <c r="B4" s="1063">
        <v>4.6608050000000002E-4</v>
      </c>
    </row>
    <row r="5" spans="1:32" x14ac:dyDescent="0.35">
      <c r="A5" s="1062" t="s">
        <v>3889</v>
      </c>
      <c r="B5" s="1063">
        <v>1.3539039999999999E-4</v>
      </c>
    </row>
    <row r="6" spans="1:32" x14ac:dyDescent="0.35">
      <c r="A6" s="1062" t="s">
        <v>3890</v>
      </c>
      <c r="B6" s="1063">
        <v>1.1954749999999999E-4</v>
      </c>
    </row>
    <row r="7" spans="1:32" x14ac:dyDescent="0.35">
      <c r="A7" s="1062" t="s">
        <v>3891</v>
      </c>
      <c r="B7" s="1063">
        <v>1.4008870000000001E-4</v>
      </c>
    </row>
    <row r="8" spans="1:32" x14ac:dyDescent="0.35">
      <c r="A8" s="1062" t="s">
        <v>3892</v>
      </c>
      <c r="B8" s="1063">
        <v>2.053256E-4</v>
      </c>
    </row>
    <row r="9" spans="1:32" x14ac:dyDescent="0.35">
      <c r="A9" s="1062" t="s">
        <v>257</v>
      </c>
      <c r="B9" s="1063">
        <v>9.4741810000000004E-4</v>
      </c>
    </row>
    <row r="10" spans="1:32" x14ac:dyDescent="0.35">
      <c r="A10" s="1062" t="s">
        <v>848</v>
      </c>
      <c r="B10" s="1063">
        <v>9.4741810000000004E-4</v>
      </c>
    </row>
    <row r="11" spans="1:32" x14ac:dyDescent="0.35">
      <c r="A11" s="1062" t="s">
        <v>3893</v>
      </c>
      <c r="B11" s="1063">
        <v>8.4921199999999996E-5</v>
      </c>
    </row>
    <row r="12" spans="1:32" x14ac:dyDescent="0.35">
      <c r="A12" s="1062" t="s">
        <v>2434</v>
      </c>
      <c r="B12" s="1063">
        <v>1.6857220000000001E-4</v>
      </c>
    </row>
    <row r="13" spans="1:32" x14ac:dyDescent="0.35">
      <c r="A13" s="1062" t="s">
        <v>3894</v>
      </c>
      <c r="B13" s="1063">
        <v>1.6857220000000001E-4</v>
      </c>
    </row>
    <row r="14" spans="1:32" x14ac:dyDescent="0.35">
      <c r="A14" s="1062" t="s">
        <v>258</v>
      </c>
      <c r="B14" s="1063">
        <v>0</v>
      </c>
    </row>
    <row r="15" spans="1:32" x14ac:dyDescent="0.35">
      <c r="A15" s="1062" t="s">
        <v>997</v>
      </c>
      <c r="B15" s="1063">
        <v>0</v>
      </c>
    </row>
    <row r="16" spans="1:32" x14ac:dyDescent="0.35">
      <c r="A16" s="1062" t="s">
        <v>425</v>
      </c>
      <c r="B16" s="1063">
        <v>4.6608050000000002E-4</v>
      </c>
    </row>
    <row r="17" spans="1:2" x14ac:dyDescent="0.35">
      <c r="A17" s="1062" t="s">
        <v>2321</v>
      </c>
      <c r="B17" s="1063">
        <v>4.6608050000000002E-4</v>
      </c>
    </row>
    <row r="18" spans="1:2" x14ac:dyDescent="0.35">
      <c r="A18" s="1062" t="s">
        <v>53</v>
      </c>
      <c r="B18" s="1063">
        <v>1.4925290000000001E-4</v>
      </c>
    </row>
    <row r="19" spans="1:2" x14ac:dyDescent="0.35">
      <c r="A19" s="1062" t="s">
        <v>375</v>
      </c>
      <c r="B19" s="1063">
        <v>1.148238E-4</v>
      </c>
    </row>
    <row r="20" spans="1:2" x14ac:dyDescent="0.35">
      <c r="A20" s="1062" t="s">
        <v>335</v>
      </c>
      <c r="B20" s="1063">
        <v>2.3544589999999999E-4</v>
      </c>
    </row>
    <row r="21" spans="1:2" x14ac:dyDescent="0.35">
      <c r="A21" s="1062" t="s">
        <v>2070</v>
      </c>
      <c r="B21" s="1063">
        <v>1.286107E-4</v>
      </c>
    </row>
    <row r="22" spans="1:2" x14ac:dyDescent="0.35">
      <c r="A22" s="1062" t="s">
        <v>2072</v>
      </c>
      <c r="B22" s="1063">
        <v>1.286107E-4</v>
      </c>
    </row>
    <row r="23" spans="1:2" x14ac:dyDescent="0.35">
      <c r="A23" s="1062" t="s">
        <v>183</v>
      </c>
      <c r="B23" s="1063">
        <v>8.8731800000000003E-5</v>
      </c>
    </row>
    <row r="25" spans="1:2" x14ac:dyDescent="0.35">
      <c r="A25" s="1064" t="s">
        <v>3895</v>
      </c>
      <c r="B25" s="1065"/>
    </row>
    <row r="26" spans="1:2" x14ac:dyDescent="0.35">
      <c r="A26" s="141" t="s">
        <v>2853</v>
      </c>
      <c r="B26" s="1066">
        <v>1.379439E-4</v>
      </c>
    </row>
    <row r="27" spans="1:2" x14ac:dyDescent="0.35">
      <c r="A27" s="141" t="s">
        <v>3896</v>
      </c>
      <c r="B27" s="1066">
        <v>4.4398300000000001E-4</v>
      </c>
    </row>
    <row r="28" spans="1:2" x14ac:dyDescent="0.35">
      <c r="A28" s="141" t="s">
        <v>2683</v>
      </c>
      <c r="B28" s="1066">
        <v>1.998949E-4</v>
      </c>
    </row>
    <row r="29" spans="1:2" x14ac:dyDescent="0.35">
      <c r="A29" s="141" t="s">
        <v>2720</v>
      </c>
      <c r="B29" s="1066">
        <v>9.1068400000000004E-4</v>
      </c>
    </row>
    <row r="30" spans="1:2" x14ac:dyDescent="0.35">
      <c r="A30" s="141" t="s">
        <v>2503</v>
      </c>
      <c r="B30" s="1066">
        <v>5.6160000000000001E-6</v>
      </c>
    </row>
    <row r="31" spans="1:2" x14ac:dyDescent="0.35">
      <c r="A31" s="141" t="s">
        <v>2721</v>
      </c>
      <c r="B31" s="1066">
        <v>0</v>
      </c>
    </row>
    <row r="32" spans="1:2" x14ac:dyDescent="0.35">
      <c r="A32" s="141" t="s">
        <v>2736</v>
      </c>
      <c r="B32" s="1066">
        <v>4.4398300000000001E-4</v>
      </c>
    </row>
    <row r="33" spans="1:2" x14ac:dyDescent="0.35">
      <c r="A33" s="141" t="s">
        <v>54</v>
      </c>
      <c r="B33" s="1066">
        <v>1.899635E-4</v>
      </c>
    </row>
    <row r="34" spans="1:2" x14ac:dyDescent="0.35">
      <c r="A34" s="141" t="s">
        <v>2510</v>
      </c>
      <c r="B34" s="1066">
        <v>1.379439E-4</v>
      </c>
    </row>
    <row r="35" spans="1:2" x14ac:dyDescent="0.35">
      <c r="A35" s="141" t="s">
        <v>2674</v>
      </c>
      <c r="B35" s="1066">
        <v>1.379439E-4</v>
      </c>
    </row>
    <row r="36" spans="1:2" x14ac:dyDescent="0.35">
      <c r="A36" s="141" t="s">
        <v>3897</v>
      </c>
      <c r="B36" s="1066">
        <v>1.379439E-4</v>
      </c>
    </row>
    <row r="37" spans="1:2" x14ac:dyDescent="0.35">
      <c r="A37" s="141" t="s">
        <v>2561</v>
      </c>
      <c r="B37" s="1066">
        <v>1.3573829999999999E-4</v>
      </c>
    </row>
    <row r="38" spans="1:2" x14ac:dyDescent="0.35">
      <c r="A38" s="141" t="s">
        <v>2637</v>
      </c>
      <c r="B38" s="1066">
        <v>1.811545E-4</v>
      </c>
    </row>
  </sheetData>
  <mergeCells count="1">
    <mergeCell ref="A1:H1"/>
  </mergeCells>
  <pageMargins left="0.7" right="0.7" top="0.75" bottom="0.75" header="0.3" footer="0.3"/>
  <pageSetup scale="88"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662"/>
  <sheetViews>
    <sheetView workbookViewId="0"/>
  </sheetViews>
  <sheetFormatPr defaultRowHeight="14.5" x14ac:dyDescent="0.35"/>
  <cols>
    <col min="1" max="1" width="22.26953125" bestFit="1" customWidth="1"/>
    <col min="3" max="4" width="22.26953125" bestFit="1" customWidth="1"/>
    <col min="7" max="8" width="22.26953125" bestFit="1" customWidth="1"/>
    <col min="9" max="9" width="9" customWidth="1"/>
    <col min="10" max="10" width="22.26953125" bestFit="1" customWidth="1"/>
  </cols>
  <sheetData>
    <row r="1" spans="1:12" x14ac:dyDescent="0.35">
      <c r="A1" s="104">
        <f>COUNTA(A3:A1048576)</f>
        <v>660</v>
      </c>
      <c r="C1">
        <f>COUNTA(C3:C1048576)</f>
        <v>136</v>
      </c>
      <c r="D1">
        <f t="shared" ref="D1:K1" si="0">COUNTA(D3:D1048576)</f>
        <v>24</v>
      </c>
      <c r="E1">
        <f t="shared" si="0"/>
        <v>29</v>
      </c>
      <c r="F1">
        <f t="shared" si="0"/>
        <v>43</v>
      </c>
      <c r="G1">
        <f>COUNTA(G3:G1048576)</f>
        <v>173</v>
      </c>
      <c r="H1">
        <f t="shared" si="0"/>
        <v>191</v>
      </c>
      <c r="I1">
        <f t="shared" si="0"/>
        <v>1</v>
      </c>
      <c r="J1">
        <f t="shared" si="0"/>
        <v>57</v>
      </c>
      <c r="K1">
        <f t="shared" si="0"/>
        <v>6</v>
      </c>
      <c r="L1">
        <f>COUNTA(L3:L1048576)</f>
        <v>1</v>
      </c>
    </row>
    <row r="2" spans="1:12" x14ac:dyDescent="0.35">
      <c r="A2" t="s">
        <v>27</v>
      </c>
      <c r="C2" t="s">
        <v>27</v>
      </c>
      <c r="D2" t="s">
        <v>27</v>
      </c>
      <c r="E2" t="s">
        <v>27</v>
      </c>
      <c r="F2" t="s">
        <v>27</v>
      </c>
      <c r="G2" t="s">
        <v>27</v>
      </c>
      <c r="H2" t="s">
        <v>27</v>
      </c>
      <c r="I2" t="s">
        <v>27</v>
      </c>
      <c r="J2" t="s">
        <v>27</v>
      </c>
      <c r="K2" t="s">
        <v>27</v>
      </c>
    </row>
    <row r="3" spans="1:12" x14ac:dyDescent="0.35">
      <c r="A3" t="s">
        <v>2484</v>
      </c>
      <c r="B3" t="str">
        <f>VLOOKUP(A3,' Measure INDEX'!$B$9:$B$795,1,FALSE)</f>
        <v>800050_2019_12_</v>
      </c>
      <c r="C3" t="s">
        <v>2484</v>
      </c>
      <c r="D3" t="s">
        <v>50</v>
      </c>
      <c r="E3" t="s">
        <v>181</v>
      </c>
      <c r="F3" t="s">
        <v>495</v>
      </c>
      <c r="G3" t="s">
        <v>3930</v>
      </c>
      <c r="H3" t="s">
        <v>1520</v>
      </c>
      <c r="I3" t="s">
        <v>3931</v>
      </c>
      <c r="J3" t="s">
        <v>2253</v>
      </c>
      <c r="K3" t="s">
        <v>2421</v>
      </c>
      <c r="L3" t="s">
        <v>2467</v>
      </c>
    </row>
    <row r="4" spans="1:12" x14ac:dyDescent="0.35">
      <c r="A4" t="s">
        <v>2487</v>
      </c>
      <c r="B4" t="str">
        <f>VLOOKUP(A4,' Measure INDEX'!$B$9:$B$795,1,FALSE)</f>
        <v>800100_2019_12_</v>
      </c>
      <c r="C4" t="s">
        <v>2487</v>
      </c>
      <c r="D4" t="s">
        <v>56</v>
      </c>
      <c r="E4" t="s">
        <v>3932</v>
      </c>
      <c r="F4" t="s">
        <v>498</v>
      </c>
      <c r="G4" t="s">
        <v>3933</v>
      </c>
      <c r="H4" t="s">
        <v>1522</v>
      </c>
      <c r="J4" t="s">
        <v>2256</v>
      </c>
      <c r="K4" t="s">
        <v>2424</v>
      </c>
    </row>
    <row r="5" spans="1:12" x14ac:dyDescent="0.35">
      <c r="A5" t="s">
        <v>2489</v>
      </c>
      <c r="B5" t="str">
        <f>VLOOKUP(A5,' Measure INDEX'!$B$9:$B$795,1,FALSE)</f>
        <v>800150_2019_12_</v>
      </c>
      <c r="C5" t="s">
        <v>2489</v>
      </c>
      <c r="D5" t="s">
        <v>58</v>
      </c>
      <c r="E5" t="s">
        <v>3934</v>
      </c>
      <c r="F5" t="s">
        <v>3935</v>
      </c>
      <c r="G5" t="s">
        <v>3936</v>
      </c>
      <c r="H5" t="s">
        <v>1524</v>
      </c>
      <c r="J5" t="s">
        <v>2258</v>
      </c>
      <c r="K5" t="s">
        <v>2432</v>
      </c>
    </row>
    <row r="6" spans="1:12" x14ac:dyDescent="0.35">
      <c r="A6" t="s">
        <v>2491</v>
      </c>
      <c r="B6" t="str">
        <f>VLOOKUP(A6,' Measure INDEX'!$B$9:$B$795,1,FALSE)</f>
        <v>800200_2019_12_</v>
      </c>
      <c r="C6" t="s">
        <v>2491</v>
      </c>
      <c r="D6" t="s">
        <v>60</v>
      </c>
      <c r="E6" t="s">
        <v>3937</v>
      </c>
      <c r="F6" t="s">
        <v>502</v>
      </c>
      <c r="G6" t="s">
        <v>3938</v>
      </c>
      <c r="H6" t="s">
        <v>1525</v>
      </c>
      <c r="J6" t="s">
        <v>2260</v>
      </c>
      <c r="K6" t="s">
        <v>2436</v>
      </c>
    </row>
    <row r="7" spans="1:12" x14ac:dyDescent="0.35">
      <c r="A7" t="s">
        <v>2493</v>
      </c>
      <c r="B7" t="str">
        <f>VLOOKUP(A7,' Measure INDEX'!$B$9:$B$795,1,FALSE)</f>
        <v>800250_2019_12_</v>
      </c>
      <c r="C7" t="s">
        <v>2493</v>
      </c>
      <c r="D7" t="s">
        <v>62</v>
      </c>
      <c r="E7" t="s">
        <v>3939</v>
      </c>
      <c r="F7" t="s">
        <v>504</v>
      </c>
      <c r="G7" t="s">
        <v>3940</v>
      </c>
      <c r="H7" t="s">
        <v>1527</v>
      </c>
      <c r="J7" t="s">
        <v>2261</v>
      </c>
      <c r="K7" t="s">
        <v>2438</v>
      </c>
    </row>
    <row r="8" spans="1:12" x14ac:dyDescent="0.35">
      <c r="A8" t="s">
        <v>2495</v>
      </c>
      <c r="B8" t="str">
        <f>VLOOKUP(A8,' Measure INDEX'!$B$9:$B$795,1,FALSE)</f>
        <v>800300_2019_12_</v>
      </c>
      <c r="C8" t="s">
        <v>2495</v>
      </c>
      <c r="D8" t="s">
        <v>64</v>
      </c>
      <c r="E8" t="s">
        <v>3941</v>
      </c>
      <c r="F8" t="s">
        <v>532</v>
      </c>
      <c r="G8" t="s">
        <v>3942</v>
      </c>
      <c r="H8" t="s">
        <v>1529</v>
      </c>
      <c r="J8" t="s">
        <v>2263</v>
      </c>
      <c r="K8" t="s">
        <v>2454</v>
      </c>
    </row>
    <row r="9" spans="1:12" x14ac:dyDescent="0.35">
      <c r="A9" t="s">
        <v>2497</v>
      </c>
      <c r="B9" t="str">
        <f>VLOOKUP(A9,' Measure INDEX'!$B$9:$B$795,1,FALSE)</f>
        <v>800350_2019_12_</v>
      </c>
      <c r="C9" t="s">
        <v>2497</v>
      </c>
      <c r="D9" t="s">
        <v>66</v>
      </c>
      <c r="E9" t="s">
        <v>3943</v>
      </c>
      <c r="F9" t="s">
        <v>533</v>
      </c>
      <c r="G9" t="s">
        <v>3944</v>
      </c>
      <c r="H9" t="s">
        <v>1530</v>
      </c>
      <c r="J9" t="s">
        <v>2264</v>
      </c>
    </row>
    <row r="10" spans="1:12" x14ac:dyDescent="0.35">
      <c r="A10" t="s">
        <v>2499</v>
      </c>
      <c r="B10" t="str">
        <f>VLOOKUP(A10,' Measure INDEX'!$B$9:$B$795,1,FALSE)</f>
        <v>800400_2019_12_</v>
      </c>
      <c r="C10" t="s">
        <v>2499</v>
      </c>
      <c r="D10" t="s">
        <v>68</v>
      </c>
      <c r="E10" t="s">
        <v>3945</v>
      </c>
      <c r="F10" t="s">
        <v>534</v>
      </c>
      <c r="G10" t="s">
        <v>3946</v>
      </c>
      <c r="H10" t="s">
        <v>1532</v>
      </c>
      <c r="J10" t="s">
        <v>2266</v>
      </c>
    </row>
    <row r="11" spans="1:12" x14ac:dyDescent="0.35">
      <c r="A11" t="s">
        <v>2501</v>
      </c>
      <c r="B11" t="str">
        <f>VLOOKUP(A11,' Measure INDEX'!$B$9:$B$795,1,FALSE)</f>
        <v>800450_2019_12_</v>
      </c>
      <c r="C11" t="s">
        <v>2501</v>
      </c>
      <c r="D11" t="s">
        <v>3947</v>
      </c>
      <c r="E11" t="s">
        <v>3948</v>
      </c>
      <c r="F11" t="s">
        <v>535</v>
      </c>
      <c r="G11" t="s">
        <v>3949</v>
      </c>
      <c r="H11" t="s">
        <v>1534</v>
      </c>
      <c r="J11" t="s">
        <v>2272</v>
      </c>
    </row>
    <row r="12" spans="1:12" x14ac:dyDescent="0.35">
      <c r="A12" t="s">
        <v>2504</v>
      </c>
      <c r="B12" t="str">
        <f>VLOOKUP(A12,' Measure INDEX'!$B$9:$B$795,1,FALSE)</f>
        <v>800500_2019_12_</v>
      </c>
      <c r="C12" t="s">
        <v>2504</v>
      </c>
      <c r="D12" t="s">
        <v>3950</v>
      </c>
      <c r="E12" t="s">
        <v>3951</v>
      </c>
      <c r="F12" t="s">
        <v>536</v>
      </c>
      <c r="G12" t="s">
        <v>3952</v>
      </c>
      <c r="H12" t="s">
        <v>1535</v>
      </c>
      <c r="J12" t="s">
        <v>2274</v>
      </c>
    </row>
    <row r="13" spans="1:12" x14ac:dyDescent="0.35">
      <c r="A13" t="s">
        <v>2506</v>
      </c>
      <c r="B13" t="str">
        <f>VLOOKUP(A13,' Measure INDEX'!$B$9:$B$795,1,FALSE)</f>
        <v>800550_2019_12_</v>
      </c>
      <c r="C13" t="s">
        <v>2506</v>
      </c>
      <c r="D13" t="s">
        <v>74</v>
      </c>
      <c r="E13" t="s">
        <v>3953</v>
      </c>
      <c r="F13" t="s">
        <v>538</v>
      </c>
      <c r="G13" t="s">
        <v>3954</v>
      </c>
      <c r="H13" t="s">
        <v>1537</v>
      </c>
      <c r="J13" t="s">
        <v>2276</v>
      </c>
    </row>
    <row r="14" spans="1:12" x14ac:dyDescent="0.35">
      <c r="A14" t="s">
        <v>2508</v>
      </c>
      <c r="B14" t="str">
        <f>VLOOKUP(A14,' Measure INDEX'!$B$9:$B$795,1,FALSE)</f>
        <v>800600_2019_12_</v>
      </c>
      <c r="C14" t="s">
        <v>2508</v>
      </c>
      <c r="D14" t="s">
        <v>76</v>
      </c>
      <c r="E14" t="s">
        <v>3955</v>
      </c>
      <c r="F14" t="s">
        <v>539</v>
      </c>
      <c r="G14" t="s">
        <v>3956</v>
      </c>
      <c r="H14" t="s">
        <v>1539</v>
      </c>
      <c r="J14" t="s">
        <v>2278</v>
      </c>
    </row>
    <row r="15" spans="1:12" x14ac:dyDescent="0.35">
      <c r="A15" t="s">
        <v>2511</v>
      </c>
      <c r="B15" t="str">
        <f>VLOOKUP(A15,' Measure INDEX'!$B$9:$B$795,1,FALSE)</f>
        <v>800650_2019_12_</v>
      </c>
      <c r="C15" t="s">
        <v>2511</v>
      </c>
      <c r="D15" t="s">
        <v>78</v>
      </c>
      <c r="E15" t="s">
        <v>3957</v>
      </c>
      <c r="F15" t="s">
        <v>540</v>
      </c>
      <c r="G15" t="s">
        <v>3958</v>
      </c>
      <c r="H15" t="s">
        <v>1557</v>
      </c>
      <c r="J15" t="s">
        <v>2280</v>
      </c>
    </row>
    <row r="16" spans="1:12" x14ac:dyDescent="0.35">
      <c r="A16" t="s">
        <v>2513</v>
      </c>
      <c r="B16" t="str">
        <f>VLOOKUP(A16,' Measure INDEX'!$B$9:$B$795,1,FALSE)</f>
        <v>800700_2019_12_</v>
      </c>
      <c r="C16" t="s">
        <v>2513</v>
      </c>
      <c r="D16" t="s">
        <v>80</v>
      </c>
      <c r="E16" t="s">
        <v>3959</v>
      </c>
      <c r="F16" t="s">
        <v>541</v>
      </c>
      <c r="G16" t="s">
        <v>3960</v>
      </c>
      <c r="H16" t="s">
        <v>1559</v>
      </c>
      <c r="J16" t="s">
        <v>2282</v>
      </c>
    </row>
    <row r="17" spans="1:10" x14ac:dyDescent="0.35">
      <c r="A17" t="s">
        <v>2515</v>
      </c>
      <c r="B17" t="str">
        <f>VLOOKUP(A17,' Measure INDEX'!$B$9:$B$795,1,FALSE)</f>
        <v>800750_2019_12_</v>
      </c>
      <c r="C17" t="s">
        <v>2515</v>
      </c>
      <c r="D17" t="s">
        <v>82</v>
      </c>
      <c r="E17" t="s">
        <v>3961</v>
      </c>
      <c r="F17" t="s">
        <v>543</v>
      </c>
      <c r="G17" t="s">
        <v>3962</v>
      </c>
      <c r="H17" t="s">
        <v>1560</v>
      </c>
      <c r="J17" t="s">
        <v>2284</v>
      </c>
    </row>
    <row r="18" spans="1:10" x14ac:dyDescent="0.35">
      <c r="A18" t="s">
        <v>2517</v>
      </c>
      <c r="B18" t="str">
        <f>VLOOKUP(A18,' Measure INDEX'!$B$9:$B$795,1,FALSE)</f>
        <v>800800_2020_12_</v>
      </c>
      <c r="C18" t="s">
        <v>2517</v>
      </c>
      <c r="D18" t="s">
        <v>84</v>
      </c>
      <c r="E18" t="s">
        <v>373</v>
      </c>
      <c r="F18" t="s">
        <v>545</v>
      </c>
      <c r="G18" t="s">
        <v>3963</v>
      </c>
      <c r="H18" t="s">
        <v>1561</v>
      </c>
      <c r="J18" t="s">
        <v>2286</v>
      </c>
    </row>
    <row r="19" spans="1:10" x14ac:dyDescent="0.35">
      <c r="A19" t="s">
        <v>2519</v>
      </c>
      <c r="B19" t="str">
        <f>VLOOKUP(A19,' Measure INDEX'!$B$9:$B$795,1,FALSE)</f>
        <v>800801_2020_12_</v>
      </c>
      <c r="C19" t="s">
        <v>2519</v>
      </c>
      <c r="D19" t="s">
        <v>86</v>
      </c>
      <c r="E19" t="s">
        <v>376</v>
      </c>
      <c r="F19" t="s">
        <v>589</v>
      </c>
      <c r="G19" t="s">
        <v>3964</v>
      </c>
      <c r="H19" t="s">
        <v>1562</v>
      </c>
      <c r="J19" t="s">
        <v>2288</v>
      </c>
    </row>
    <row r="20" spans="1:10" x14ac:dyDescent="0.35">
      <c r="A20" t="s">
        <v>2520</v>
      </c>
      <c r="B20" t="str">
        <f>VLOOKUP(A20,' Measure INDEX'!$B$9:$B$795,1,FALSE)</f>
        <v>800850_2020_12_</v>
      </c>
      <c r="C20" t="s">
        <v>2520</v>
      </c>
      <c r="D20" t="s">
        <v>88</v>
      </c>
      <c r="E20" t="s">
        <v>378</v>
      </c>
      <c r="F20" t="s">
        <v>591</v>
      </c>
      <c r="G20" t="s">
        <v>3965</v>
      </c>
      <c r="H20" t="s">
        <v>1563</v>
      </c>
      <c r="J20" t="s">
        <v>2290</v>
      </c>
    </row>
    <row r="21" spans="1:10" x14ac:dyDescent="0.35">
      <c r="A21" t="s">
        <v>2522</v>
      </c>
      <c r="B21" t="str">
        <f>VLOOKUP(A21,' Measure INDEX'!$B$9:$B$795,1,FALSE)</f>
        <v>800851_2020_12_</v>
      </c>
      <c r="C21" t="s">
        <v>2522</v>
      </c>
      <c r="D21" t="s">
        <v>90</v>
      </c>
      <c r="E21" t="s">
        <v>380</v>
      </c>
      <c r="F21" t="s">
        <v>593</v>
      </c>
      <c r="G21" t="s">
        <v>3966</v>
      </c>
      <c r="H21" t="s">
        <v>1564</v>
      </c>
      <c r="J21" t="s">
        <v>2308</v>
      </c>
    </row>
    <row r="22" spans="1:10" x14ac:dyDescent="0.35">
      <c r="A22" t="s">
        <v>2523</v>
      </c>
      <c r="B22" t="str">
        <f>VLOOKUP(A22,' Measure INDEX'!$B$9:$B$795,1,FALSE)</f>
        <v>800900_2020_12_</v>
      </c>
      <c r="C22" t="s">
        <v>2523</v>
      </c>
      <c r="D22" t="s">
        <v>92</v>
      </c>
      <c r="E22" t="s">
        <v>382</v>
      </c>
      <c r="F22" t="s">
        <v>594</v>
      </c>
      <c r="G22" t="s">
        <v>3967</v>
      </c>
      <c r="H22" t="s">
        <v>1565</v>
      </c>
      <c r="J22" t="s">
        <v>2310</v>
      </c>
    </row>
    <row r="23" spans="1:10" x14ac:dyDescent="0.35">
      <c r="A23" t="s">
        <v>2525</v>
      </c>
      <c r="B23" t="str">
        <f>VLOOKUP(A23,' Measure INDEX'!$B$9:$B$795,1,FALSE)</f>
        <v>800901_2020_12_</v>
      </c>
      <c r="C23" t="s">
        <v>2525</v>
      </c>
      <c r="D23" t="s">
        <v>94</v>
      </c>
      <c r="E23" t="s">
        <v>384</v>
      </c>
      <c r="F23" t="s">
        <v>643</v>
      </c>
      <c r="G23" t="s">
        <v>3968</v>
      </c>
      <c r="H23" t="s">
        <v>1581</v>
      </c>
      <c r="J23" t="s">
        <v>3969</v>
      </c>
    </row>
    <row r="24" spans="1:10" x14ac:dyDescent="0.35">
      <c r="A24" t="s">
        <v>2526</v>
      </c>
      <c r="B24" t="str">
        <f>VLOOKUP(A24,' Measure INDEX'!$B$9:$B$795,1,FALSE)</f>
        <v>800950_2019_12_</v>
      </c>
      <c r="C24" t="s">
        <v>2526</v>
      </c>
      <c r="D24" t="s">
        <v>96</v>
      </c>
      <c r="E24" t="s">
        <v>386</v>
      </c>
      <c r="F24" t="s">
        <v>645</v>
      </c>
      <c r="G24" t="s">
        <v>3970</v>
      </c>
      <c r="H24" t="s">
        <v>1582</v>
      </c>
      <c r="J24" t="s">
        <v>2334</v>
      </c>
    </row>
    <row r="25" spans="1:10" x14ac:dyDescent="0.35">
      <c r="A25" t="s">
        <v>2534</v>
      </c>
      <c r="B25" t="str">
        <f>VLOOKUP(A25,' Measure INDEX'!$B$9:$B$795,1,FALSE)</f>
        <v>801010_2020_07</v>
      </c>
      <c r="C25" t="s">
        <v>2534</v>
      </c>
      <c r="D25" t="s">
        <v>98</v>
      </c>
      <c r="E25" t="s">
        <v>388</v>
      </c>
      <c r="F25" t="s">
        <v>647</v>
      </c>
      <c r="G25" t="s">
        <v>3971</v>
      </c>
      <c r="H25" t="s">
        <v>1583</v>
      </c>
      <c r="J25" t="s">
        <v>2335</v>
      </c>
    </row>
    <row r="26" spans="1:10" x14ac:dyDescent="0.35">
      <c r="A26" t="s">
        <v>2536</v>
      </c>
      <c r="B26" t="str">
        <f>VLOOKUP(A26,' Measure INDEX'!$B$9:$B$795,1,FALSE)</f>
        <v>801020_2020_07</v>
      </c>
      <c r="C26" t="s">
        <v>2536</v>
      </c>
      <c r="D26" t="s">
        <v>102</v>
      </c>
      <c r="E26" t="s">
        <v>390</v>
      </c>
      <c r="F26" t="s">
        <v>648</v>
      </c>
      <c r="G26" t="s">
        <v>3972</v>
      </c>
      <c r="H26" t="s">
        <v>1584</v>
      </c>
      <c r="J26" t="s">
        <v>2336</v>
      </c>
    </row>
    <row r="27" spans="1:10" x14ac:dyDescent="0.35">
      <c r="A27" t="s">
        <v>2542</v>
      </c>
      <c r="B27" t="str">
        <f>VLOOKUP(A27,' Measure INDEX'!$B$9:$B$795,1,FALSE)</f>
        <v>801225_2020_12_</v>
      </c>
      <c r="C27" t="s">
        <v>2542</v>
      </c>
      <c r="E27" t="s">
        <v>392</v>
      </c>
      <c r="F27" t="s">
        <v>661</v>
      </c>
      <c r="G27" t="s">
        <v>3973</v>
      </c>
      <c r="H27" t="s">
        <v>1585</v>
      </c>
      <c r="J27" t="s">
        <v>2337</v>
      </c>
    </row>
    <row r="28" spans="1:10" x14ac:dyDescent="0.35">
      <c r="A28" t="s">
        <v>2544</v>
      </c>
      <c r="B28" t="str">
        <f>VLOOKUP(A28,' Measure INDEX'!$B$9:$B$795,1,FALSE)</f>
        <v>801227_2020_12_</v>
      </c>
      <c r="C28" t="s">
        <v>2544</v>
      </c>
      <c r="E28" t="s">
        <v>423</v>
      </c>
      <c r="F28" t="s">
        <v>663</v>
      </c>
      <c r="G28" t="s">
        <v>3974</v>
      </c>
      <c r="H28" t="s">
        <v>1586</v>
      </c>
      <c r="J28" t="s">
        <v>2338</v>
      </c>
    </row>
    <row r="29" spans="1:10" x14ac:dyDescent="0.35">
      <c r="A29" t="s">
        <v>2546</v>
      </c>
      <c r="B29" t="str">
        <f>VLOOKUP(A29,' Measure INDEX'!$B$9:$B$795,1,FALSE)</f>
        <v>801229_2020_12_</v>
      </c>
      <c r="C29" t="s">
        <v>2546</v>
      </c>
      <c r="E29" t="s">
        <v>443</v>
      </c>
      <c r="F29" t="s">
        <v>665</v>
      </c>
      <c r="G29" t="s">
        <v>3975</v>
      </c>
      <c r="H29" t="s">
        <v>1587</v>
      </c>
      <c r="J29" t="s">
        <v>2340</v>
      </c>
    </row>
    <row r="30" spans="1:10" x14ac:dyDescent="0.35">
      <c r="A30" t="s">
        <v>2548</v>
      </c>
      <c r="B30" t="str">
        <f>VLOOKUP(A30,' Measure INDEX'!$B$9:$B$795,1,FALSE)</f>
        <v>801231_2020_12_</v>
      </c>
      <c r="C30" t="s">
        <v>2548</v>
      </c>
      <c r="E30" t="s">
        <v>464</v>
      </c>
      <c r="F30" t="s">
        <v>3976</v>
      </c>
      <c r="G30" t="s">
        <v>3977</v>
      </c>
      <c r="H30" t="s">
        <v>1588</v>
      </c>
      <c r="J30" t="s">
        <v>2342</v>
      </c>
    </row>
    <row r="31" spans="1:10" x14ac:dyDescent="0.35">
      <c r="A31" t="s">
        <v>2550</v>
      </c>
      <c r="B31" t="str">
        <f>VLOOKUP(A31,' Measure INDEX'!$B$9:$B$795,1,FALSE)</f>
        <v>801233_2020_12_</v>
      </c>
      <c r="C31" t="s">
        <v>2550</v>
      </c>
      <c r="E31" t="s">
        <v>466</v>
      </c>
      <c r="F31" t="s">
        <v>694</v>
      </c>
      <c r="G31" t="s">
        <v>3978</v>
      </c>
      <c r="H31" t="s">
        <v>1589</v>
      </c>
      <c r="J31" t="s">
        <v>2343</v>
      </c>
    </row>
    <row r="32" spans="1:10" x14ac:dyDescent="0.35">
      <c r="A32" t="s">
        <v>2552</v>
      </c>
      <c r="B32" t="str">
        <f>VLOOKUP(A32,' Measure INDEX'!$B$9:$B$795,1,FALSE)</f>
        <v>801235_2020_12_</v>
      </c>
      <c r="C32" t="s">
        <v>2552</v>
      </c>
      <c r="F32" t="s">
        <v>696</v>
      </c>
      <c r="G32" t="s">
        <v>3979</v>
      </c>
      <c r="H32" t="s">
        <v>1590</v>
      </c>
      <c r="J32" t="s">
        <v>2344</v>
      </c>
    </row>
    <row r="33" spans="1:10" x14ac:dyDescent="0.35">
      <c r="A33" t="s">
        <v>2554</v>
      </c>
      <c r="B33" t="str">
        <f>VLOOKUP(A33,' Measure INDEX'!$B$9:$B$795,1,FALSE)</f>
        <v>801237_2020_12_</v>
      </c>
      <c r="C33" t="s">
        <v>2554</v>
      </c>
      <c r="F33" t="s">
        <v>698</v>
      </c>
      <c r="G33" t="s">
        <v>3980</v>
      </c>
      <c r="H33" t="s">
        <v>1591</v>
      </c>
      <c r="J33" t="s">
        <v>2345</v>
      </c>
    </row>
    <row r="34" spans="1:10" x14ac:dyDescent="0.35">
      <c r="A34" t="s">
        <v>2556</v>
      </c>
      <c r="B34" t="str">
        <f>VLOOKUP(A34,' Measure INDEX'!$B$9:$B$795,1,FALSE)</f>
        <v>801239_2020_12_</v>
      </c>
      <c r="C34" t="s">
        <v>2556</v>
      </c>
      <c r="F34" t="s">
        <v>699</v>
      </c>
      <c r="G34" t="s">
        <v>3981</v>
      </c>
      <c r="H34" t="s">
        <v>1592</v>
      </c>
      <c r="J34" t="s">
        <v>2346</v>
      </c>
    </row>
    <row r="35" spans="1:10" x14ac:dyDescent="0.35">
      <c r="A35" t="s">
        <v>2559</v>
      </c>
      <c r="B35" t="str">
        <f>VLOOKUP(A35,' Measure INDEX'!$B$9:$B$795,1,FALSE)</f>
        <v>801250_2019_12_</v>
      </c>
      <c r="C35" t="s">
        <v>2559</v>
      </c>
      <c r="F35" t="s">
        <v>738</v>
      </c>
      <c r="G35" t="s">
        <v>3982</v>
      </c>
      <c r="H35" t="s">
        <v>1593</v>
      </c>
      <c r="J35" t="s">
        <v>2348</v>
      </c>
    </row>
    <row r="36" spans="1:10" x14ac:dyDescent="0.35">
      <c r="A36" t="s">
        <v>2562</v>
      </c>
      <c r="B36" t="str">
        <f>VLOOKUP(A36,' Measure INDEX'!$B$9:$B$795,1,FALSE)</f>
        <v>801300_2019_12_</v>
      </c>
      <c r="C36" t="s">
        <v>2562</v>
      </c>
      <c r="F36" t="s">
        <v>741</v>
      </c>
      <c r="G36" t="s">
        <v>3983</v>
      </c>
      <c r="H36" t="s">
        <v>1594</v>
      </c>
      <c r="J36" t="s">
        <v>2349</v>
      </c>
    </row>
    <row r="37" spans="1:10" x14ac:dyDescent="0.35">
      <c r="A37" t="s">
        <v>2564</v>
      </c>
      <c r="B37" t="str">
        <f>VLOOKUP(A37,' Measure INDEX'!$B$9:$B$795,1,FALSE)</f>
        <v>801350_2019_12_</v>
      </c>
      <c r="C37" t="s">
        <v>2564</v>
      </c>
      <c r="F37" t="s">
        <v>743</v>
      </c>
      <c r="G37" t="s">
        <v>3984</v>
      </c>
      <c r="H37" t="s">
        <v>1595</v>
      </c>
      <c r="J37" t="s">
        <v>2350</v>
      </c>
    </row>
    <row r="38" spans="1:10" x14ac:dyDescent="0.35">
      <c r="A38" t="s">
        <v>2566</v>
      </c>
      <c r="B38" t="str">
        <f>VLOOKUP(A38,' Measure INDEX'!$B$9:$B$795,1,FALSE)</f>
        <v>801400_2019_12_</v>
      </c>
      <c r="C38" t="s">
        <v>2566</v>
      </c>
      <c r="F38" t="s">
        <v>745</v>
      </c>
      <c r="G38" t="s">
        <v>3985</v>
      </c>
      <c r="H38" t="s">
        <v>1596</v>
      </c>
      <c r="J38" t="s">
        <v>2351</v>
      </c>
    </row>
    <row r="39" spans="1:10" x14ac:dyDescent="0.35">
      <c r="A39" t="s">
        <v>2568</v>
      </c>
      <c r="B39" t="str">
        <f>VLOOKUP(A39,' Measure INDEX'!$B$9:$B$795,1,FALSE)</f>
        <v>801450_2019_12_</v>
      </c>
      <c r="C39" t="s">
        <v>2568</v>
      </c>
      <c r="F39" t="s">
        <v>747</v>
      </c>
      <c r="G39" t="s">
        <v>3986</v>
      </c>
      <c r="H39" t="s">
        <v>1597</v>
      </c>
      <c r="J39" t="s">
        <v>3987</v>
      </c>
    </row>
    <row r="40" spans="1:10" x14ac:dyDescent="0.35">
      <c r="A40" t="s">
        <v>2570</v>
      </c>
      <c r="B40" t="str">
        <f>VLOOKUP(A40,' Measure INDEX'!$B$9:$B$795,1,FALSE)</f>
        <v>801500_2019_12_</v>
      </c>
      <c r="C40" t="s">
        <v>2570</v>
      </c>
      <c r="F40" t="s">
        <v>749</v>
      </c>
      <c r="G40" t="s">
        <v>3988</v>
      </c>
      <c r="H40" t="s">
        <v>1598</v>
      </c>
      <c r="J40" t="s">
        <v>3989</v>
      </c>
    </row>
    <row r="41" spans="1:10" x14ac:dyDescent="0.35">
      <c r="A41" t="s">
        <v>2572</v>
      </c>
      <c r="B41" t="str">
        <f>VLOOKUP(A41,' Measure INDEX'!$B$9:$B$795,1,FALSE)</f>
        <v>801550_2019_12_</v>
      </c>
      <c r="C41" t="s">
        <v>2572</v>
      </c>
      <c r="F41" t="s">
        <v>751</v>
      </c>
      <c r="G41" t="s">
        <v>3990</v>
      </c>
      <c r="H41" t="s">
        <v>1599</v>
      </c>
      <c r="J41" t="s">
        <v>3991</v>
      </c>
    </row>
    <row r="42" spans="1:10" x14ac:dyDescent="0.35">
      <c r="A42" t="s">
        <v>2574</v>
      </c>
      <c r="B42" t="str">
        <f>VLOOKUP(A42,' Measure INDEX'!$B$9:$B$795,1,FALSE)</f>
        <v>801600_2019_12_</v>
      </c>
      <c r="C42" t="s">
        <v>2574</v>
      </c>
      <c r="F42" t="s">
        <v>753</v>
      </c>
      <c r="G42" t="s">
        <v>3992</v>
      </c>
      <c r="H42" t="s">
        <v>1600</v>
      </c>
      <c r="J42" t="s">
        <v>3993</v>
      </c>
    </row>
    <row r="43" spans="1:10" x14ac:dyDescent="0.35">
      <c r="A43" t="s">
        <v>2576</v>
      </c>
      <c r="B43" t="str">
        <f>VLOOKUP(A43,' Measure INDEX'!$B$9:$B$795,1,FALSE)</f>
        <v>801650_2019_12_</v>
      </c>
      <c r="C43" t="s">
        <v>2576</v>
      </c>
      <c r="F43" t="s">
        <v>755</v>
      </c>
      <c r="G43" t="s">
        <v>3994</v>
      </c>
      <c r="H43" t="s">
        <v>1601</v>
      </c>
      <c r="J43" t="s">
        <v>2379</v>
      </c>
    </row>
    <row r="44" spans="1:10" x14ac:dyDescent="0.35">
      <c r="A44" t="s">
        <v>2578</v>
      </c>
      <c r="B44" t="str">
        <f>VLOOKUP(A44,' Measure INDEX'!$B$9:$B$795,1,FALSE)</f>
        <v>801700_2019_12_</v>
      </c>
      <c r="C44" t="s">
        <v>2578</v>
      </c>
      <c r="F44" t="s">
        <v>3995</v>
      </c>
      <c r="G44" t="s">
        <v>3996</v>
      </c>
      <c r="H44" t="s">
        <v>1602</v>
      </c>
      <c r="J44" t="s">
        <v>2381</v>
      </c>
    </row>
    <row r="45" spans="1:10" x14ac:dyDescent="0.35">
      <c r="A45" t="s">
        <v>2580</v>
      </c>
      <c r="B45" t="str">
        <f>VLOOKUP(A45,' Measure INDEX'!$B$9:$B$795,1,FALSE)</f>
        <v>801750_2019_12_</v>
      </c>
      <c r="C45" t="s">
        <v>2580</v>
      </c>
      <c r="F45" t="s">
        <v>3997</v>
      </c>
      <c r="G45" t="s">
        <v>3998</v>
      </c>
      <c r="H45" t="s">
        <v>1603</v>
      </c>
      <c r="J45" t="s">
        <v>2382</v>
      </c>
    </row>
    <row r="46" spans="1:10" x14ac:dyDescent="0.35">
      <c r="A46" t="s">
        <v>2582</v>
      </c>
      <c r="B46" t="str">
        <f>VLOOKUP(A46,' Measure INDEX'!$B$9:$B$795,1,FALSE)</f>
        <v>801800_2019_12_</v>
      </c>
      <c r="C46" t="s">
        <v>2582</v>
      </c>
      <c r="G46" t="s">
        <v>3999</v>
      </c>
      <c r="H46" t="s">
        <v>1604</v>
      </c>
      <c r="J46" t="s">
        <v>2384</v>
      </c>
    </row>
    <row r="47" spans="1:10" x14ac:dyDescent="0.35">
      <c r="A47" t="s">
        <v>2584</v>
      </c>
      <c r="B47" t="str">
        <f>VLOOKUP(A47,' Measure INDEX'!$B$9:$B$795,1,FALSE)</f>
        <v>801850_2019_12_</v>
      </c>
      <c r="C47" t="s">
        <v>2584</v>
      </c>
      <c r="G47" t="s">
        <v>4000</v>
      </c>
      <c r="H47" t="s">
        <v>1605</v>
      </c>
      <c r="J47" t="s">
        <v>2385</v>
      </c>
    </row>
    <row r="48" spans="1:10" x14ac:dyDescent="0.35">
      <c r="A48" t="s">
        <v>2586</v>
      </c>
      <c r="B48" t="str">
        <f>VLOOKUP(A48,' Measure INDEX'!$B$9:$B$795,1,FALSE)</f>
        <v>801900_2019_12_</v>
      </c>
      <c r="C48" t="s">
        <v>2586</v>
      </c>
      <c r="G48" t="s">
        <v>4001</v>
      </c>
      <c r="H48" t="s">
        <v>1606</v>
      </c>
      <c r="J48" t="s">
        <v>2387</v>
      </c>
    </row>
    <row r="49" spans="1:10" x14ac:dyDescent="0.35">
      <c r="A49" t="s">
        <v>2588</v>
      </c>
      <c r="B49" t="str">
        <f>VLOOKUP(A49,' Measure INDEX'!$B$9:$B$795,1,FALSE)</f>
        <v>801950_2019_12_</v>
      </c>
      <c r="C49" t="s">
        <v>2588</v>
      </c>
      <c r="G49" t="s">
        <v>4002</v>
      </c>
      <c r="H49" t="s">
        <v>1607</v>
      </c>
      <c r="J49" t="s">
        <v>2389</v>
      </c>
    </row>
    <row r="50" spans="1:10" x14ac:dyDescent="0.35">
      <c r="A50" t="s">
        <v>2590</v>
      </c>
      <c r="B50" t="str">
        <f>VLOOKUP(A50,' Measure INDEX'!$B$9:$B$795,1,FALSE)</f>
        <v>802000_2019_12_</v>
      </c>
      <c r="C50" t="s">
        <v>2590</v>
      </c>
      <c r="G50" t="s">
        <v>4003</v>
      </c>
      <c r="H50" t="s">
        <v>1608</v>
      </c>
      <c r="J50" t="s">
        <v>2390</v>
      </c>
    </row>
    <row r="51" spans="1:10" x14ac:dyDescent="0.35">
      <c r="A51" t="s">
        <v>2592</v>
      </c>
      <c r="B51" t="str">
        <f>VLOOKUP(A51,' Measure INDEX'!$B$9:$B$795,1,FALSE)</f>
        <v>802050_2019_12_</v>
      </c>
      <c r="C51" t="s">
        <v>2592</v>
      </c>
      <c r="G51" t="s">
        <v>4004</v>
      </c>
      <c r="H51" t="s">
        <v>1609</v>
      </c>
      <c r="J51" t="s">
        <v>2391</v>
      </c>
    </row>
    <row r="52" spans="1:10" x14ac:dyDescent="0.35">
      <c r="A52" t="s">
        <v>2594</v>
      </c>
      <c r="B52" t="str">
        <f>VLOOKUP(A52,' Measure INDEX'!$B$9:$B$795,1,FALSE)</f>
        <v>802100_2019_12_</v>
      </c>
      <c r="C52" t="s">
        <v>2594</v>
      </c>
      <c r="G52" t="s">
        <v>4005</v>
      </c>
      <c r="H52" t="s">
        <v>1610</v>
      </c>
      <c r="J52" t="s">
        <v>2392</v>
      </c>
    </row>
    <row r="53" spans="1:10" x14ac:dyDescent="0.35">
      <c r="A53" t="s">
        <v>2624</v>
      </c>
      <c r="B53" t="str">
        <f>VLOOKUP(A53,' Measure INDEX'!$B$9:$B$795,1,FALSE)</f>
        <v>802150_2019_12_</v>
      </c>
      <c r="C53" t="s">
        <v>2624</v>
      </c>
      <c r="G53" t="s">
        <v>4006</v>
      </c>
      <c r="H53" t="s">
        <v>1638</v>
      </c>
      <c r="J53" t="s">
        <v>2393</v>
      </c>
    </row>
    <row r="54" spans="1:10" x14ac:dyDescent="0.35">
      <c r="A54" t="s">
        <v>2627</v>
      </c>
      <c r="B54" t="str">
        <f>VLOOKUP(A54,' Measure INDEX'!$B$9:$B$795,1,FALSE)</f>
        <v>802200_2019_12_</v>
      </c>
      <c r="C54" t="s">
        <v>2627</v>
      </c>
      <c r="G54" t="s">
        <v>4007</v>
      </c>
      <c r="H54" t="s">
        <v>1640</v>
      </c>
      <c r="J54" t="s">
        <v>2394</v>
      </c>
    </row>
    <row r="55" spans="1:10" x14ac:dyDescent="0.35">
      <c r="A55" t="s">
        <v>2635</v>
      </c>
      <c r="B55" t="str">
        <f>VLOOKUP(A55,' Measure INDEX'!$B$9:$B$795,1,FALSE)</f>
        <v>802250_2019_12_</v>
      </c>
      <c r="C55" t="s">
        <v>2635</v>
      </c>
      <c r="G55" t="s">
        <v>4008</v>
      </c>
      <c r="H55" t="s">
        <v>1642</v>
      </c>
      <c r="J55" t="s">
        <v>2395</v>
      </c>
    </row>
    <row r="56" spans="1:10" x14ac:dyDescent="0.35">
      <c r="A56" t="s">
        <v>2638</v>
      </c>
      <c r="B56" t="str">
        <f>VLOOKUP(A56,' Measure INDEX'!$B$9:$B$795,1,FALSE)</f>
        <v>802300_2019_12_</v>
      </c>
      <c r="C56" t="s">
        <v>2638</v>
      </c>
      <c r="G56" t="s">
        <v>4009</v>
      </c>
      <c r="H56" t="s">
        <v>1644</v>
      </c>
      <c r="J56" t="s">
        <v>2396</v>
      </c>
    </row>
    <row r="57" spans="1:10" x14ac:dyDescent="0.35">
      <c r="A57" t="s">
        <v>2640</v>
      </c>
      <c r="B57" t="str">
        <f>VLOOKUP(A57,' Measure INDEX'!$B$9:$B$795,1,FALSE)</f>
        <v>802350_2019_12_</v>
      </c>
      <c r="C57" t="s">
        <v>2640</v>
      </c>
      <c r="G57" t="s">
        <v>4010</v>
      </c>
      <c r="H57" t="s">
        <v>1646</v>
      </c>
      <c r="J57" t="s">
        <v>2397</v>
      </c>
    </row>
    <row r="58" spans="1:10" x14ac:dyDescent="0.35">
      <c r="A58" t="s">
        <v>2642</v>
      </c>
      <c r="B58" t="str">
        <f>VLOOKUP(A58,' Measure INDEX'!$B$9:$B$795,1,FALSE)</f>
        <v>802400_2019_12_</v>
      </c>
      <c r="C58" t="s">
        <v>2642</v>
      </c>
      <c r="G58" t="s">
        <v>4011</v>
      </c>
      <c r="H58" t="s">
        <v>1648</v>
      </c>
      <c r="J58" t="s">
        <v>2404</v>
      </c>
    </row>
    <row r="59" spans="1:10" x14ac:dyDescent="0.35">
      <c r="A59" t="s">
        <v>2644</v>
      </c>
      <c r="B59" t="str">
        <f>VLOOKUP(A59,' Measure INDEX'!$B$9:$B$795,1,FALSE)</f>
        <v>802450_2019_12_</v>
      </c>
      <c r="C59" t="s">
        <v>2644</v>
      </c>
      <c r="G59" t="s">
        <v>4012</v>
      </c>
      <c r="H59" t="s">
        <v>1664</v>
      </c>
      <c r="J59" t="s">
        <v>2414</v>
      </c>
    </row>
    <row r="60" spans="1:10" x14ac:dyDescent="0.35">
      <c r="A60" t="s">
        <v>2660</v>
      </c>
      <c r="B60" t="str">
        <f>VLOOKUP(A60,' Measure INDEX'!$B$9:$B$795,1,FALSE)</f>
        <v>802500_2019_12_</v>
      </c>
      <c r="C60" t="s">
        <v>2660</v>
      </c>
      <c r="G60" t="s">
        <v>4013</v>
      </c>
      <c r="H60" t="s">
        <v>1665</v>
      </c>
    </row>
    <row r="61" spans="1:10" x14ac:dyDescent="0.35">
      <c r="A61" t="s">
        <v>2662</v>
      </c>
      <c r="B61" t="str">
        <f>VLOOKUP(A61,' Measure INDEX'!$B$9:$B$795,1,FALSE)</f>
        <v>802550_2019_12_</v>
      </c>
      <c r="C61" t="s">
        <v>2662</v>
      </c>
      <c r="G61" t="s">
        <v>4014</v>
      </c>
      <c r="H61" t="s">
        <v>1675</v>
      </c>
    </row>
    <row r="62" spans="1:10" x14ac:dyDescent="0.35">
      <c r="A62" t="s">
        <v>2672</v>
      </c>
      <c r="B62" t="str">
        <f>VLOOKUP(A62,' Measure INDEX'!$B$9:$B$795,1,FALSE)</f>
        <v>802600_2019_12_</v>
      </c>
      <c r="C62" t="s">
        <v>2672</v>
      </c>
      <c r="G62" t="s">
        <v>4015</v>
      </c>
      <c r="H62" t="s">
        <v>1677</v>
      </c>
    </row>
    <row r="63" spans="1:10" x14ac:dyDescent="0.35">
      <c r="A63" t="s">
        <v>2676</v>
      </c>
      <c r="B63" t="str">
        <f>VLOOKUP(A63,' Measure INDEX'!$B$9:$B$795,1,FALSE)</f>
        <v>802650_2019_12_</v>
      </c>
      <c r="C63" t="s">
        <v>2676</v>
      </c>
      <c r="G63" t="s">
        <v>4016</v>
      </c>
      <c r="H63" t="s">
        <v>1679</v>
      </c>
    </row>
    <row r="64" spans="1:10" x14ac:dyDescent="0.35">
      <c r="A64" t="s">
        <v>2681</v>
      </c>
      <c r="B64" t="str">
        <f>VLOOKUP(A64,' Measure INDEX'!$B$9:$B$795,1,FALSE)</f>
        <v>802700_2019_12_</v>
      </c>
      <c r="C64" t="s">
        <v>2681</v>
      </c>
      <c r="G64" t="s">
        <v>4017</v>
      </c>
      <c r="H64" t="s">
        <v>1726</v>
      </c>
    </row>
    <row r="65" spans="1:8" x14ac:dyDescent="0.35">
      <c r="A65" t="s">
        <v>2684</v>
      </c>
      <c r="B65" t="str">
        <f>VLOOKUP(A65,' Measure INDEX'!$B$9:$B$795,1,FALSE)</f>
        <v>802750_2019_12_</v>
      </c>
      <c r="C65" t="s">
        <v>2684</v>
      </c>
      <c r="G65" t="s">
        <v>4018</v>
      </c>
      <c r="H65" t="s">
        <v>4019</v>
      </c>
    </row>
    <row r="66" spans="1:8" x14ac:dyDescent="0.35">
      <c r="A66" t="s">
        <v>2686</v>
      </c>
      <c r="B66" t="str">
        <f>VLOOKUP(A66,' Measure INDEX'!$B$9:$B$795,1,FALSE)</f>
        <v>802800_2019_12_</v>
      </c>
      <c r="C66" t="s">
        <v>2686</v>
      </c>
      <c r="G66" t="s">
        <v>4020</v>
      </c>
      <c r="H66" t="s">
        <v>1730</v>
      </c>
    </row>
    <row r="67" spans="1:8" x14ac:dyDescent="0.35">
      <c r="A67" t="s">
        <v>2688</v>
      </c>
      <c r="B67" t="str">
        <f>VLOOKUP(A67,' Measure INDEX'!$B$9:$B$795,1,FALSE)</f>
        <v>802850_2019_12_</v>
      </c>
      <c r="C67" t="s">
        <v>2688</v>
      </c>
      <c r="G67" t="s">
        <v>4021</v>
      </c>
      <c r="H67" t="s">
        <v>4022</v>
      </c>
    </row>
    <row r="68" spans="1:8" x14ac:dyDescent="0.35">
      <c r="A68" t="s">
        <v>2702</v>
      </c>
      <c r="B68" t="str">
        <f>VLOOKUP(A68,' Measure INDEX'!$B$9:$B$795,1,FALSE)</f>
        <v>802900_2019_12_</v>
      </c>
      <c r="C68" t="s">
        <v>2702</v>
      </c>
      <c r="G68" t="s">
        <v>4023</v>
      </c>
      <c r="H68" t="s">
        <v>1734</v>
      </c>
    </row>
    <row r="69" spans="1:8" x14ac:dyDescent="0.35">
      <c r="A69" t="s">
        <v>2704</v>
      </c>
      <c r="B69" t="str">
        <f>VLOOKUP(A69,' Measure INDEX'!$B$9:$B$795,1,FALSE)</f>
        <v>802950_2019_12_</v>
      </c>
      <c r="C69" t="s">
        <v>2704</v>
      </c>
      <c r="G69" t="s">
        <v>4024</v>
      </c>
      <c r="H69" t="s">
        <v>4025</v>
      </c>
    </row>
    <row r="70" spans="1:8" x14ac:dyDescent="0.35">
      <c r="A70" t="s">
        <v>2706</v>
      </c>
      <c r="B70" t="str">
        <f>VLOOKUP(A70,' Measure INDEX'!$B$9:$B$795,1,FALSE)</f>
        <v>803000_2019_12_</v>
      </c>
      <c r="C70" t="s">
        <v>2706</v>
      </c>
      <c r="G70" t="s">
        <v>4026</v>
      </c>
      <c r="H70" t="s">
        <v>4027</v>
      </c>
    </row>
    <row r="71" spans="1:8" x14ac:dyDescent="0.35">
      <c r="A71" t="s">
        <v>2718</v>
      </c>
      <c r="B71" t="str">
        <f>VLOOKUP(A71,' Measure INDEX'!$B$9:$B$795,1,FALSE)</f>
        <v>803050_2019_12_</v>
      </c>
      <c r="C71" t="s">
        <v>2718</v>
      </c>
      <c r="G71" t="s">
        <v>4028</v>
      </c>
      <c r="H71" t="s">
        <v>4029</v>
      </c>
    </row>
    <row r="72" spans="1:8" x14ac:dyDescent="0.35">
      <c r="A72" t="s">
        <v>2731</v>
      </c>
      <c r="B72" t="str">
        <f>VLOOKUP(A72,' Measure INDEX'!$B$9:$B$795,1,FALSE)</f>
        <v>803100_2020_07_</v>
      </c>
      <c r="C72" t="s">
        <v>2731</v>
      </c>
      <c r="G72" t="s">
        <v>4030</v>
      </c>
      <c r="H72" t="s">
        <v>4031</v>
      </c>
    </row>
    <row r="73" spans="1:8" x14ac:dyDescent="0.35">
      <c r="A73" t="s">
        <v>2734</v>
      </c>
      <c r="B73" t="str">
        <f>VLOOKUP(A73,' Measure INDEX'!$B$9:$B$795,1,FALSE)</f>
        <v>803150_2020_07_</v>
      </c>
      <c r="C73" t="s">
        <v>2734</v>
      </c>
      <c r="G73" t="s">
        <v>4032</v>
      </c>
      <c r="H73" t="s">
        <v>4033</v>
      </c>
    </row>
    <row r="74" spans="1:8" x14ac:dyDescent="0.35">
      <c r="A74" t="s">
        <v>2737</v>
      </c>
      <c r="B74" t="str">
        <f>VLOOKUP(A74,' Measure INDEX'!$B$9:$B$795,1,FALSE)</f>
        <v>803155_2020_07_</v>
      </c>
      <c r="C74" t="s">
        <v>2737</v>
      </c>
      <c r="G74" t="s">
        <v>4034</v>
      </c>
      <c r="H74" t="s">
        <v>4035</v>
      </c>
    </row>
    <row r="75" spans="1:8" x14ac:dyDescent="0.35">
      <c r="A75" t="s">
        <v>2739</v>
      </c>
      <c r="B75" t="str">
        <f>VLOOKUP(A75,' Measure INDEX'!$B$9:$B$795,1,FALSE)</f>
        <v>803160_2020_07_</v>
      </c>
      <c r="C75" t="s">
        <v>2739</v>
      </c>
      <c r="G75" t="s">
        <v>4036</v>
      </c>
      <c r="H75" t="s">
        <v>4037</v>
      </c>
    </row>
    <row r="76" spans="1:8" x14ac:dyDescent="0.35">
      <c r="A76" t="s">
        <v>2743</v>
      </c>
      <c r="B76" t="str">
        <f>VLOOKUP(A76,' Measure INDEX'!$B$9:$B$795,1,FALSE)</f>
        <v>803200_2020_07_</v>
      </c>
      <c r="C76" t="s">
        <v>2743</v>
      </c>
      <c r="G76" t="s">
        <v>4038</v>
      </c>
      <c r="H76" t="s">
        <v>4039</v>
      </c>
    </row>
    <row r="77" spans="1:8" x14ac:dyDescent="0.35">
      <c r="A77" t="s">
        <v>2764</v>
      </c>
      <c r="B77" t="str">
        <f>VLOOKUP(A77,' Measure INDEX'!$B$9:$B$795,1,FALSE)</f>
        <v>803250_2020_07_</v>
      </c>
      <c r="C77" t="s">
        <v>2764</v>
      </c>
      <c r="G77" t="s">
        <v>4040</v>
      </c>
      <c r="H77" t="s">
        <v>4041</v>
      </c>
    </row>
    <row r="78" spans="1:8" x14ac:dyDescent="0.35">
      <c r="A78" t="s">
        <v>2767</v>
      </c>
      <c r="B78" t="str">
        <f>VLOOKUP(A78,' Measure INDEX'!$B$9:$B$795,1,FALSE)</f>
        <v>803300_2020_07_</v>
      </c>
      <c r="C78" t="s">
        <v>2767</v>
      </c>
      <c r="G78" t="s">
        <v>4042</v>
      </c>
      <c r="H78" t="s">
        <v>1793</v>
      </c>
    </row>
    <row r="79" spans="1:8" x14ac:dyDescent="0.35">
      <c r="A79" t="s">
        <v>2769</v>
      </c>
      <c r="B79" t="str">
        <f>VLOOKUP(A79,' Measure INDEX'!$B$9:$B$795,1,FALSE)</f>
        <v>803350_2020_07_</v>
      </c>
      <c r="C79" t="s">
        <v>2769</v>
      </c>
      <c r="G79" t="s">
        <v>4043</v>
      </c>
      <c r="H79" t="s">
        <v>1795</v>
      </c>
    </row>
    <row r="80" spans="1:8" x14ac:dyDescent="0.35">
      <c r="A80" t="s">
        <v>2771</v>
      </c>
      <c r="B80" t="str">
        <f>VLOOKUP(A80,' Measure INDEX'!$B$9:$B$795,1,FALSE)</f>
        <v>803400_2020_07_</v>
      </c>
      <c r="C80" t="s">
        <v>2771</v>
      </c>
      <c r="G80" t="s">
        <v>1089</v>
      </c>
      <c r="H80" t="s">
        <v>1796</v>
      </c>
    </row>
    <row r="81" spans="1:8" x14ac:dyDescent="0.35">
      <c r="A81" t="s">
        <v>2773</v>
      </c>
      <c r="B81" t="str">
        <f>VLOOKUP(A81,' Measure INDEX'!$B$9:$B$795,1,FALSE)</f>
        <v>803450_2020_07_</v>
      </c>
      <c r="C81" t="s">
        <v>2773</v>
      </c>
      <c r="G81" t="s">
        <v>1093</v>
      </c>
      <c r="H81" t="s">
        <v>1798</v>
      </c>
    </row>
    <row r="82" spans="1:8" x14ac:dyDescent="0.35">
      <c r="A82" t="s">
        <v>2785</v>
      </c>
      <c r="B82" t="str">
        <f>VLOOKUP(A82,' Measure INDEX'!$B$9:$B$795,1,FALSE)</f>
        <v>803500_2019_12_</v>
      </c>
      <c r="C82" t="s">
        <v>2785</v>
      </c>
      <c r="G82" t="s">
        <v>1095</v>
      </c>
      <c r="H82" t="s">
        <v>1800</v>
      </c>
    </row>
    <row r="83" spans="1:8" x14ac:dyDescent="0.35">
      <c r="A83" t="s">
        <v>2787</v>
      </c>
      <c r="B83" t="str">
        <f>VLOOKUP(A83,' Measure INDEX'!$B$9:$B$795,1,FALSE)</f>
        <v>803550_2019_12_</v>
      </c>
      <c r="C83" t="s">
        <v>2787</v>
      </c>
      <c r="G83" t="s">
        <v>1097</v>
      </c>
      <c r="H83" t="s">
        <v>1801</v>
      </c>
    </row>
    <row r="84" spans="1:8" x14ac:dyDescent="0.35">
      <c r="A84" t="s">
        <v>2789</v>
      </c>
      <c r="B84" t="str">
        <f>VLOOKUP(A84,' Measure INDEX'!$B$9:$B$795,1,FALSE)</f>
        <v>803600_2020_07_</v>
      </c>
      <c r="C84" t="s">
        <v>2789</v>
      </c>
      <c r="G84" t="s">
        <v>1099</v>
      </c>
      <c r="H84" t="s">
        <v>1803</v>
      </c>
    </row>
    <row r="85" spans="1:8" x14ac:dyDescent="0.35">
      <c r="A85" t="s">
        <v>2791</v>
      </c>
      <c r="B85" t="str">
        <f>VLOOKUP(A85,' Measure INDEX'!$B$9:$B$795,1,FALSE)</f>
        <v>803650_2020_07_</v>
      </c>
      <c r="C85" t="s">
        <v>2791</v>
      </c>
      <c r="G85" t="s">
        <v>1101</v>
      </c>
      <c r="H85" t="s">
        <v>1805</v>
      </c>
    </row>
    <row r="86" spans="1:8" x14ac:dyDescent="0.35">
      <c r="A86" t="s">
        <v>2793</v>
      </c>
      <c r="B86" t="str">
        <f>VLOOKUP(A86,' Measure INDEX'!$B$9:$B$795,1,FALSE)</f>
        <v>803700_2020_07_</v>
      </c>
      <c r="C86" t="s">
        <v>2793</v>
      </c>
      <c r="G86" t="s">
        <v>4044</v>
      </c>
      <c r="H86" t="s">
        <v>1806</v>
      </c>
    </row>
    <row r="87" spans="1:8" x14ac:dyDescent="0.35">
      <c r="A87" t="s">
        <v>2795</v>
      </c>
      <c r="B87" t="str">
        <f>VLOOKUP(A87,' Measure INDEX'!$B$9:$B$795,1,FALSE)</f>
        <v>803750_2020_07_</v>
      </c>
      <c r="C87" t="s">
        <v>2795</v>
      </c>
      <c r="G87" t="s">
        <v>4045</v>
      </c>
      <c r="H87" t="s">
        <v>1808</v>
      </c>
    </row>
    <row r="88" spans="1:8" x14ac:dyDescent="0.35">
      <c r="A88" t="s">
        <v>2810</v>
      </c>
      <c r="B88" t="str">
        <f>VLOOKUP(A88,' Measure INDEX'!$B$9:$B$795,1,FALSE)</f>
        <v>803800_2019_12_</v>
      </c>
      <c r="C88" t="s">
        <v>2810</v>
      </c>
      <c r="G88" t="s">
        <v>4046</v>
      </c>
      <c r="H88" t="s">
        <v>1810</v>
      </c>
    </row>
    <row r="89" spans="1:8" x14ac:dyDescent="0.35">
      <c r="A89" t="s">
        <v>2816</v>
      </c>
      <c r="B89" t="str">
        <f>VLOOKUP(A89,' Measure INDEX'!$B$9:$B$795,1,FALSE)</f>
        <v>803850_2019_12_</v>
      </c>
      <c r="C89" t="s">
        <v>2816</v>
      </c>
      <c r="G89" t="s">
        <v>4047</v>
      </c>
      <c r="H89" t="s">
        <v>1829</v>
      </c>
    </row>
    <row r="90" spans="1:8" x14ac:dyDescent="0.35">
      <c r="A90" t="s">
        <v>2818</v>
      </c>
      <c r="B90" t="str">
        <f>VLOOKUP(A90,' Measure INDEX'!$B$9:$B$795,1,FALSE)</f>
        <v>803900_2019_12_</v>
      </c>
      <c r="C90" t="s">
        <v>2818</v>
      </c>
      <c r="G90" t="s">
        <v>1146</v>
      </c>
      <c r="H90" t="s">
        <v>4048</v>
      </c>
    </row>
    <row r="91" spans="1:8" x14ac:dyDescent="0.35">
      <c r="A91" t="s">
        <v>2820</v>
      </c>
      <c r="B91" t="str">
        <f>VLOOKUP(A91,' Measure INDEX'!$B$9:$B$795,1,FALSE)</f>
        <v>803950_2019_12_</v>
      </c>
      <c r="C91" t="s">
        <v>2820</v>
      </c>
      <c r="G91" t="s">
        <v>1154</v>
      </c>
      <c r="H91" t="s">
        <v>1832</v>
      </c>
    </row>
    <row r="92" spans="1:8" x14ac:dyDescent="0.35">
      <c r="A92" t="s">
        <v>2822</v>
      </c>
      <c r="B92" t="str">
        <f>VLOOKUP(A92,' Measure INDEX'!$B$9:$B$795,1,FALSE)</f>
        <v>804000_2019_12_</v>
      </c>
      <c r="C92" t="s">
        <v>2822</v>
      </c>
      <c r="G92" t="s">
        <v>1158</v>
      </c>
      <c r="H92" t="s">
        <v>1833</v>
      </c>
    </row>
    <row r="93" spans="1:8" x14ac:dyDescent="0.35">
      <c r="A93" t="s">
        <v>2836</v>
      </c>
      <c r="B93" t="str">
        <f>VLOOKUP(A93,' Measure INDEX'!$B$9:$B$795,1,FALSE)</f>
        <v>804050_2019_12_</v>
      </c>
      <c r="C93" t="s">
        <v>2836</v>
      </c>
      <c r="G93" t="s">
        <v>1163</v>
      </c>
      <c r="H93" t="s">
        <v>1850</v>
      </c>
    </row>
    <row r="94" spans="1:8" x14ac:dyDescent="0.35">
      <c r="A94" t="s">
        <v>2838</v>
      </c>
      <c r="B94" t="str">
        <f>VLOOKUP(A94,' Measure INDEX'!$B$9:$B$795,1,FALSE)</f>
        <v>804100_2019_12_</v>
      </c>
      <c r="C94" t="s">
        <v>2838</v>
      </c>
      <c r="G94" t="s">
        <v>1166</v>
      </c>
      <c r="H94" t="s">
        <v>1851</v>
      </c>
    </row>
    <row r="95" spans="1:8" x14ac:dyDescent="0.35">
      <c r="A95" t="s">
        <v>2840</v>
      </c>
      <c r="B95" t="str">
        <f>VLOOKUP(A95,' Measure INDEX'!$B$9:$B$795,1,FALSE)</f>
        <v>804150_2019_12_</v>
      </c>
      <c r="C95" t="s">
        <v>2840</v>
      </c>
      <c r="G95" t="s">
        <v>1173</v>
      </c>
      <c r="H95" t="s">
        <v>1852</v>
      </c>
    </row>
    <row r="96" spans="1:8" x14ac:dyDescent="0.35">
      <c r="A96" t="s">
        <v>2842</v>
      </c>
      <c r="B96" t="str">
        <f>VLOOKUP(A96,' Measure INDEX'!$B$9:$B$795,1,FALSE)</f>
        <v>804200_2019_12_</v>
      </c>
      <c r="C96" t="s">
        <v>2842</v>
      </c>
      <c r="G96" t="s">
        <v>1177</v>
      </c>
      <c r="H96" t="s">
        <v>1853</v>
      </c>
    </row>
    <row r="97" spans="1:8" x14ac:dyDescent="0.35">
      <c r="A97" t="s">
        <v>2844</v>
      </c>
      <c r="B97" t="str">
        <f>VLOOKUP(A97,' Measure INDEX'!$B$9:$B$795,1,FALSE)</f>
        <v>804250_2019_12_</v>
      </c>
      <c r="C97" t="s">
        <v>2844</v>
      </c>
      <c r="G97" t="s">
        <v>1180</v>
      </c>
      <c r="H97" t="s">
        <v>4049</v>
      </c>
    </row>
    <row r="98" spans="1:8" x14ac:dyDescent="0.35">
      <c r="A98" t="s">
        <v>2851</v>
      </c>
      <c r="B98" t="str">
        <f>VLOOKUP(A98,' Measure INDEX'!$B$9:$B$795,1,FALSE)</f>
        <v>804300_2019_12_</v>
      </c>
      <c r="C98" t="s">
        <v>2851</v>
      </c>
      <c r="G98" t="s">
        <v>1183</v>
      </c>
      <c r="H98" t="s">
        <v>4050</v>
      </c>
    </row>
    <row r="99" spans="1:8" x14ac:dyDescent="0.35">
      <c r="A99" t="s">
        <v>2854</v>
      </c>
      <c r="B99" t="str">
        <f>VLOOKUP(A99,' Measure INDEX'!$B$9:$B$795,1,FALSE)</f>
        <v>804350_2019_12_</v>
      </c>
      <c r="C99" t="s">
        <v>2854</v>
      </c>
      <c r="G99" t="s">
        <v>1187</v>
      </c>
      <c r="H99" t="s">
        <v>4051</v>
      </c>
    </row>
    <row r="100" spans="1:8" x14ac:dyDescent="0.35">
      <c r="A100" t="s">
        <v>2856</v>
      </c>
      <c r="B100" t="str">
        <f>VLOOKUP(A100,' Measure INDEX'!$B$9:$B$795,1,FALSE)</f>
        <v>804400_2019_12_</v>
      </c>
      <c r="C100" t="s">
        <v>2856</v>
      </c>
      <c r="G100" t="s">
        <v>1191</v>
      </c>
      <c r="H100" t="s">
        <v>4052</v>
      </c>
    </row>
    <row r="101" spans="1:8" x14ac:dyDescent="0.35">
      <c r="A101" t="s">
        <v>2858</v>
      </c>
      <c r="B101" t="str">
        <f>VLOOKUP(A101,' Measure INDEX'!$B$9:$B$795,1,FALSE)</f>
        <v>804450_2019_12_</v>
      </c>
      <c r="C101" t="s">
        <v>2858</v>
      </c>
      <c r="G101" t="s">
        <v>1195</v>
      </c>
      <c r="H101" t="s">
        <v>4053</v>
      </c>
    </row>
    <row r="102" spans="1:8" x14ac:dyDescent="0.35">
      <c r="A102" t="s">
        <v>2860</v>
      </c>
      <c r="B102" t="str">
        <f>VLOOKUP(A102,' Measure INDEX'!$B$9:$B$795,1,FALSE)</f>
        <v>804500_2019_12_</v>
      </c>
      <c r="C102" t="s">
        <v>2860</v>
      </c>
      <c r="G102" t="s">
        <v>1205</v>
      </c>
      <c r="H102" t="s">
        <v>1877</v>
      </c>
    </row>
    <row r="103" spans="1:8" x14ac:dyDescent="0.35">
      <c r="A103" t="s">
        <v>2862</v>
      </c>
      <c r="B103" t="str">
        <f>VLOOKUP(A103,' Measure INDEX'!$B$9:$B$795,1,FALSE)</f>
        <v>804550_2019_12_</v>
      </c>
      <c r="C103" t="s">
        <v>2862</v>
      </c>
      <c r="G103" t="s">
        <v>1207</v>
      </c>
      <c r="H103" t="s">
        <v>1878</v>
      </c>
    </row>
    <row r="104" spans="1:8" x14ac:dyDescent="0.35">
      <c r="A104" t="s">
        <v>2864</v>
      </c>
      <c r="B104" t="str">
        <f>VLOOKUP(A104,' Measure INDEX'!$B$9:$B$795,1,FALSE)</f>
        <v>804600_2019_12_</v>
      </c>
      <c r="C104" t="s">
        <v>2864</v>
      </c>
      <c r="G104" t="s">
        <v>1213</v>
      </c>
      <c r="H104" t="s">
        <v>1879</v>
      </c>
    </row>
    <row r="105" spans="1:8" x14ac:dyDescent="0.35">
      <c r="A105" t="s">
        <v>2868</v>
      </c>
      <c r="B105" t="str">
        <f>VLOOKUP(A105,' Measure INDEX'!$B$9:$B$795,1,FALSE)</f>
        <v>804650_2019_12_</v>
      </c>
      <c r="C105" t="s">
        <v>2868</v>
      </c>
      <c r="G105" t="s">
        <v>1217</v>
      </c>
      <c r="H105" t="s">
        <v>1892</v>
      </c>
    </row>
    <row r="106" spans="1:8" x14ac:dyDescent="0.35">
      <c r="A106" t="s">
        <v>2870</v>
      </c>
      <c r="B106" t="str">
        <f>VLOOKUP(A106,' Measure INDEX'!$B$9:$B$795,1,FALSE)</f>
        <v>804700_2019_12_</v>
      </c>
      <c r="C106" t="s">
        <v>2870</v>
      </c>
      <c r="G106" t="s">
        <v>1221</v>
      </c>
      <c r="H106" t="s">
        <v>1894</v>
      </c>
    </row>
    <row r="107" spans="1:8" x14ac:dyDescent="0.35">
      <c r="A107" t="s">
        <v>2872</v>
      </c>
      <c r="B107" t="str">
        <f>VLOOKUP(A107,' Measure INDEX'!$B$9:$B$795,1,FALSE)</f>
        <v>804750_2019_12_</v>
      </c>
      <c r="C107" t="s">
        <v>2872</v>
      </c>
      <c r="G107" t="s">
        <v>1224</v>
      </c>
      <c r="H107" t="s">
        <v>1895</v>
      </c>
    </row>
    <row r="108" spans="1:8" x14ac:dyDescent="0.35">
      <c r="A108" t="s">
        <v>2874</v>
      </c>
      <c r="B108" t="str">
        <f>VLOOKUP(A108,' Measure INDEX'!$B$9:$B$795,1,FALSE)</f>
        <v>804800_2019_12_</v>
      </c>
      <c r="C108" t="s">
        <v>2874</v>
      </c>
      <c r="G108" t="s">
        <v>1227</v>
      </c>
      <c r="H108" t="s">
        <v>1897</v>
      </c>
    </row>
    <row r="109" spans="1:8" x14ac:dyDescent="0.35">
      <c r="A109" t="s">
        <v>2876</v>
      </c>
      <c r="B109" t="str">
        <f>VLOOKUP(A109,' Measure INDEX'!$B$9:$B$795,1,FALSE)</f>
        <v>804850_2019_12_</v>
      </c>
      <c r="C109" t="s">
        <v>2876</v>
      </c>
      <c r="G109" t="s">
        <v>1229</v>
      </c>
      <c r="H109" t="s">
        <v>1899</v>
      </c>
    </row>
    <row r="110" spans="1:8" x14ac:dyDescent="0.35">
      <c r="A110" t="s">
        <v>2878</v>
      </c>
      <c r="B110" t="str">
        <f>VLOOKUP(A110,' Measure INDEX'!$B$9:$B$795,1,FALSE)</f>
        <v>804900_2019_12_</v>
      </c>
      <c r="C110" t="s">
        <v>2878</v>
      </c>
      <c r="G110" t="s">
        <v>1235</v>
      </c>
      <c r="H110" t="s">
        <v>1900</v>
      </c>
    </row>
    <row r="111" spans="1:8" x14ac:dyDescent="0.35">
      <c r="A111" t="s">
        <v>2880</v>
      </c>
      <c r="B111" t="str">
        <f>VLOOKUP(A111,' Measure INDEX'!$B$9:$B$795,1,FALSE)</f>
        <v>804950_2019_12_</v>
      </c>
      <c r="C111" t="s">
        <v>2880</v>
      </c>
      <c r="G111" t="s">
        <v>1239</v>
      </c>
      <c r="H111" t="s">
        <v>1902</v>
      </c>
    </row>
    <row r="112" spans="1:8" x14ac:dyDescent="0.35">
      <c r="A112" t="s">
        <v>2886</v>
      </c>
      <c r="B112" t="str">
        <f>VLOOKUP(A112,' Measure INDEX'!$B$9:$B$795,1,FALSE)</f>
        <v>805000_2020_07_</v>
      </c>
      <c r="C112" t="s">
        <v>2886</v>
      </c>
      <c r="G112" t="s">
        <v>1249</v>
      </c>
      <c r="H112" t="s">
        <v>1904</v>
      </c>
    </row>
    <row r="113" spans="1:8" x14ac:dyDescent="0.35">
      <c r="A113" t="s">
        <v>2894</v>
      </c>
      <c r="B113" t="str">
        <f>VLOOKUP(A113,' Measure INDEX'!$B$9:$B$795,1,FALSE)</f>
        <v>805050_2019_12_</v>
      </c>
      <c r="C113" t="s">
        <v>2894</v>
      </c>
      <c r="G113" t="s">
        <v>1252</v>
      </c>
      <c r="H113" t="s">
        <v>1905</v>
      </c>
    </row>
    <row r="114" spans="1:8" x14ac:dyDescent="0.35">
      <c r="A114" t="s">
        <v>2896</v>
      </c>
      <c r="B114" t="str">
        <f>VLOOKUP(A114,' Measure INDEX'!$B$9:$B$795,1,FALSE)</f>
        <v>805100_2019_12_</v>
      </c>
      <c r="C114" t="s">
        <v>2896</v>
      </c>
      <c r="G114" t="s">
        <v>1255</v>
      </c>
      <c r="H114" t="s">
        <v>1907</v>
      </c>
    </row>
    <row r="115" spans="1:8" x14ac:dyDescent="0.35">
      <c r="A115" t="s">
        <v>2918</v>
      </c>
      <c r="B115" t="str">
        <f>VLOOKUP(A115,' Measure INDEX'!$B$9:$B$795,1,FALSE)</f>
        <v>805150_2019_12_</v>
      </c>
      <c r="C115" t="s">
        <v>2918</v>
      </c>
      <c r="G115" t="s">
        <v>1258</v>
      </c>
      <c r="H115" t="s">
        <v>1909</v>
      </c>
    </row>
    <row r="116" spans="1:8" x14ac:dyDescent="0.35">
      <c r="A116" t="s">
        <v>2920</v>
      </c>
      <c r="B116" t="str">
        <f>VLOOKUP(A116,' Measure INDEX'!$B$9:$B$795,1,FALSE)</f>
        <v>805200_2019_12_</v>
      </c>
      <c r="C116" t="s">
        <v>2920</v>
      </c>
      <c r="G116" t="s">
        <v>1260</v>
      </c>
      <c r="H116" t="s">
        <v>1910</v>
      </c>
    </row>
    <row r="117" spans="1:8" x14ac:dyDescent="0.35">
      <c r="A117" t="s">
        <v>2931</v>
      </c>
      <c r="B117" t="str">
        <f>VLOOKUP(A117,' Measure INDEX'!$B$9:$B$795,1,FALSE)</f>
        <v>805250_2019_12_</v>
      </c>
      <c r="C117" t="s">
        <v>2931</v>
      </c>
      <c r="G117" t="s">
        <v>1266</v>
      </c>
      <c r="H117" t="s">
        <v>1929</v>
      </c>
    </row>
    <row r="118" spans="1:8" x14ac:dyDescent="0.35">
      <c r="A118" t="s">
        <v>2933</v>
      </c>
      <c r="B118" t="str">
        <f>VLOOKUP(A118,' Measure INDEX'!$B$9:$B$795,1,FALSE)</f>
        <v>805300_2019_12_</v>
      </c>
      <c r="C118" t="s">
        <v>2933</v>
      </c>
      <c r="G118" t="s">
        <v>1269</v>
      </c>
      <c r="H118" t="s">
        <v>1930</v>
      </c>
    </row>
    <row r="119" spans="1:8" x14ac:dyDescent="0.35">
      <c r="A119" t="s">
        <v>2936</v>
      </c>
      <c r="B119" t="str">
        <f>VLOOKUP(A119,' Measure INDEX'!$B$9:$B$795,1,FALSE)</f>
        <v>805350_2019_12_</v>
      </c>
      <c r="C119" t="s">
        <v>2936</v>
      </c>
      <c r="G119" t="s">
        <v>1272</v>
      </c>
      <c r="H119" t="s">
        <v>1942</v>
      </c>
    </row>
    <row r="120" spans="1:8" x14ac:dyDescent="0.35">
      <c r="A120" t="s">
        <v>2944</v>
      </c>
      <c r="B120" t="str">
        <f>VLOOKUP(A120,' Measure INDEX'!$B$9:$B$795,1,FALSE)</f>
        <v>805405_2020_07_</v>
      </c>
      <c r="C120" t="s">
        <v>2944</v>
      </c>
      <c r="G120" t="s">
        <v>1279</v>
      </c>
      <c r="H120" t="s">
        <v>1956</v>
      </c>
    </row>
    <row r="121" spans="1:8" x14ac:dyDescent="0.35">
      <c r="A121" t="s">
        <v>2946</v>
      </c>
      <c r="B121" t="str">
        <f>VLOOKUP(A121,' Measure INDEX'!$B$9:$B$795,1,FALSE)</f>
        <v>805410_2020_07_</v>
      </c>
      <c r="C121" t="s">
        <v>2946</v>
      </c>
      <c r="G121" t="s">
        <v>1282</v>
      </c>
      <c r="H121" t="s">
        <v>1968</v>
      </c>
    </row>
    <row r="122" spans="1:8" x14ac:dyDescent="0.35">
      <c r="A122" t="s">
        <v>2951</v>
      </c>
      <c r="B122" t="str">
        <f>VLOOKUP(A122,' Measure INDEX'!$B$9:$B$795,1,FALSE)</f>
        <v>805450_2019_12_</v>
      </c>
      <c r="C122" t="s">
        <v>2951</v>
      </c>
      <c r="G122" t="s">
        <v>1285</v>
      </c>
      <c r="H122" t="s">
        <v>1979</v>
      </c>
    </row>
    <row r="123" spans="1:8" x14ac:dyDescent="0.35">
      <c r="A123" t="s">
        <v>2960</v>
      </c>
      <c r="B123" t="str">
        <f>VLOOKUP(A123,' Measure INDEX'!$B$9:$B$795,1,FALSE)</f>
        <v>805500_2019_12_</v>
      </c>
      <c r="C123" t="s">
        <v>2960</v>
      </c>
      <c r="G123" t="s">
        <v>1291</v>
      </c>
      <c r="H123" t="s">
        <v>1980</v>
      </c>
    </row>
    <row r="124" spans="1:8" x14ac:dyDescent="0.35">
      <c r="A124" t="s">
        <v>2969</v>
      </c>
      <c r="B124" t="str">
        <f>VLOOKUP(A124,' Measure INDEX'!$B$9:$B$795,1,FALSE)</f>
        <v>805550_2019_12_</v>
      </c>
      <c r="C124" t="s">
        <v>2969</v>
      </c>
      <c r="G124" t="s">
        <v>1298</v>
      </c>
      <c r="H124" t="s">
        <v>1981</v>
      </c>
    </row>
    <row r="125" spans="1:8" x14ac:dyDescent="0.35">
      <c r="A125" t="s">
        <v>2972</v>
      </c>
      <c r="B125" t="str">
        <f>VLOOKUP(A125,' Measure INDEX'!$B$9:$B$795,1,FALSE)</f>
        <v>805600_2019_12_</v>
      </c>
      <c r="C125" t="s">
        <v>2972</v>
      </c>
      <c r="G125" t="s">
        <v>1301</v>
      </c>
      <c r="H125" t="s">
        <v>1982</v>
      </c>
    </row>
    <row r="126" spans="1:8" x14ac:dyDescent="0.35">
      <c r="A126" t="s">
        <v>2976</v>
      </c>
      <c r="B126" t="str">
        <f>VLOOKUP(A126,' Measure INDEX'!$B$9:$B$795,1,FALSE)</f>
        <v>805650_2019_12_</v>
      </c>
      <c r="C126" t="s">
        <v>2976</v>
      </c>
      <c r="G126" t="s">
        <v>1303</v>
      </c>
      <c r="H126" t="s">
        <v>1983</v>
      </c>
    </row>
    <row r="127" spans="1:8" x14ac:dyDescent="0.35">
      <c r="A127" t="s">
        <v>2979</v>
      </c>
      <c r="B127" t="str">
        <f>VLOOKUP(A127,' Measure INDEX'!$B$9:$B$795,1,FALSE)</f>
        <v>805700_2019_12_</v>
      </c>
      <c r="C127" t="s">
        <v>2979</v>
      </c>
      <c r="G127" t="s">
        <v>1309</v>
      </c>
      <c r="H127" t="s">
        <v>4054</v>
      </c>
    </row>
    <row r="128" spans="1:8" x14ac:dyDescent="0.35">
      <c r="A128" t="s">
        <v>2981</v>
      </c>
      <c r="B128" t="str">
        <f>VLOOKUP(A128,' Measure INDEX'!$B$9:$B$795,1,FALSE)</f>
        <v>805750_2019_12_</v>
      </c>
      <c r="C128" t="s">
        <v>2981</v>
      </c>
      <c r="G128" t="s">
        <v>1316</v>
      </c>
      <c r="H128" t="s">
        <v>1985</v>
      </c>
    </row>
    <row r="129" spans="1:8" x14ac:dyDescent="0.35">
      <c r="A129" t="s">
        <v>2987</v>
      </c>
      <c r="B129" t="str">
        <f>VLOOKUP(A129,' Measure INDEX'!$B$9:$B$795,1,FALSE)</f>
        <v>805800_2019_12_</v>
      </c>
      <c r="C129" t="s">
        <v>2987</v>
      </c>
      <c r="G129" t="s">
        <v>1319</v>
      </c>
      <c r="H129" t="s">
        <v>1986</v>
      </c>
    </row>
    <row r="130" spans="1:8" x14ac:dyDescent="0.35">
      <c r="A130" t="s">
        <v>2996</v>
      </c>
      <c r="B130" t="str">
        <f>VLOOKUP(A130,' Measure INDEX'!$B$9:$B$795,1,FALSE)</f>
        <v>805850_2019_12_</v>
      </c>
      <c r="C130" t="s">
        <v>2996</v>
      </c>
      <c r="G130" t="s">
        <v>1328</v>
      </c>
      <c r="H130" t="s">
        <v>1987</v>
      </c>
    </row>
    <row r="131" spans="1:8" x14ac:dyDescent="0.35">
      <c r="A131" t="s">
        <v>2998</v>
      </c>
      <c r="B131" t="str">
        <f>VLOOKUP(A131,' Measure INDEX'!$B$9:$B$795,1,FALSE)</f>
        <v>805900_2019_12_</v>
      </c>
      <c r="C131" t="s">
        <v>2998</v>
      </c>
      <c r="G131" t="s">
        <v>1331</v>
      </c>
      <c r="H131" t="s">
        <v>1988</v>
      </c>
    </row>
    <row r="132" spans="1:8" x14ac:dyDescent="0.35">
      <c r="A132" t="s">
        <v>3006</v>
      </c>
      <c r="B132" t="str">
        <f>VLOOKUP(A132,' Measure INDEX'!$B$9:$B$795,1,FALSE)</f>
        <v>805950_2019_12_</v>
      </c>
      <c r="C132" t="s">
        <v>3006</v>
      </c>
      <c r="G132" t="s">
        <v>1333</v>
      </c>
      <c r="H132" t="s">
        <v>1989</v>
      </c>
    </row>
    <row r="133" spans="1:8" x14ac:dyDescent="0.35">
      <c r="A133" t="s">
        <v>3008</v>
      </c>
      <c r="B133" t="str">
        <f>VLOOKUP(A133,' Measure INDEX'!$B$9:$B$795,1,FALSE)</f>
        <v>806000_2019_12_</v>
      </c>
      <c r="C133" t="s">
        <v>3008</v>
      </c>
      <c r="G133" t="s">
        <v>1339</v>
      </c>
      <c r="H133" t="s">
        <v>1990</v>
      </c>
    </row>
    <row r="134" spans="1:8" x14ac:dyDescent="0.35">
      <c r="A134" t="s">
        <v>3013</v>
      </c>
      <c r="B134" t="str">
        <f>VLOOKUP(A134,' Measure INDEX'!$B$9:$B$795,1,FALSE)</f>
        <v>806050_2019_12_</v>
      </c>
      <c r="C134" t="s">
        <v>3013</v>
      </c>
      <c r="G134" t="s">
        <v>1343</v>
      </c>
      <c r="H134" t="s">
        <v>1991</v>
      </c>
    </row>
    <row r="135" spans="1:8" x14ac:dyDescent="0.35">
      <c r="A135" t="s">
        <v>3019</v>
      </c>
      <c r="B135" t="str">
        <f>VLOOKUP(A135,' Measure INDEX'!$B$9:$B$795,1,FALSE)</f>
        <v>806100_2020_07_</v>
      </c>
      <c r="C135" t="s">
        <v>3019</v>
      </c>
      <c r="G135" t="s">
        <v>1346</v>
      </c>
      <c r="H135" t="s">
        <v>1992</v>
      </c>
    </row>
    <row r="136" spans="1:8" x14ac:dyDescent="0.35">
      <c r="A136" t="s">
        <v>3021</v>
      </c>
      <c r="B136" t="str">
        <f>VLOOKUP(A136,' Measure INDEX'!$B$9:$B$795,1,FALSE)</f>
        <v>806110_2020_07_</v>
      </c>
      <c r="C136" t="s">
        <v>3021</v>
      </c>
      <c r="G136" t="s">
        <v>1350</v>
      </c>
      <c r="H136" t="s">
        <v>1993</v>
      </c>
    </row>
    <row r="137" spans="1:8" x14ac:dyDescent="0.35">
      <c r="A137" t="s">
        <v>3023</v>
      </c>
      <c r="B137" t="e">
        <f>VLOOKUP(A137,' Measure INDEX'!$B$9:$B$795,1,FALSE)</f>
        <v>#N/A</v>
      </c>
      <c r="C137" t="s">
        <v>3023</v>
      </c>
      <c r="G137" t="s">
        <v>1353</v>
      </c>
      <c r="H137" t="s">
        <v>1994</v>
      </c>
    </row>
    <row r="138" spans="1:8" x14ac:dyDescent="0.35">
      <c r="A138" t="s">
        <v>3028</v>
      </c>
      <c r="B138" t="e">
        <f>VLOOKUP(A138,' Measure INDEX'!$B$9:$B$795,1,FALSE)</f>
        <v>#N/A</v>
      </c>
      <c r="C138" t="s">
        <v>3028</v>
      </c>
      <c r="G138" t="s">
        <v>1357</v>
      </c>
      <c r="H138" t="s">
        <v>1995</v>
      </c>
    </row>
    <row r="139" spans="1:8" x14ac:dyDescent="0.35">
      <c r="A139" t="s">
        <v>50</v>
      </c>
      <c r="B139" t="str">
        <f>VLOOKUP(A139,' Measure INDEX'!$B$9:$B$795,1,FALSE)</f>
        <v>200050_2019_12_</v>
      </c>
      <c r="G139" t="s">
        <v>1360</v>
      </c>
      <c r="H139" t="s">
        <v>1996</v>
      </c>
    </row>
    <row r="140" spans="1:8" x14ac:dyDescent="0.35">
      <c r="A140" t="s">
        <v>56</v>
      </c>
      <c r="B140" t="str">
        <f>VLOOKUP(A140,' Measure INDEX'!$B$9:$B$795,1,FALSE)</f>
        <v>200100_2019_12_</v>
      </c>
      <c r="G140" t="s">
        <v>1367</v>
      </c>
      <c r="H140" t="s">
        <v>4055</v>
      </c>
    </row>
    <row r="141" spans="1:8" x14ac:dyDescent="0.35">
      <c r="A141" t="s">
        <v>58</v>
      </c>
      <c r="B141" t="str">
        <f>VLOOKUP(A141,' Measure INDEX'!$B$9:$B$795,1,FALSE)</f>
        <v>200150_2019_12_</v>
      </c>
      <c r="G141" t="s">
        <v>1370</v>
      </c>
      <c r="H141" t="s">
        <v>1998</v>
      </c>
    </row>
    <row r="142" spans="1:8" x14ac:dyDescent="0.35">
      <c r="A142" t="s">
        <v>60</v>
      </c>
      <c r="B142" t="str">
        <f>VLOOKUP(A142,' Measure INDEX'!$B$9:$B$795,1,FALSE)</f>
        <v>200200_2019_12_</v>
      </c>
      <c r="G142" t="s">
        <v>1379</v>
      </c>
      <c r="H142" t="s">
        <v>1999</v>
      </c>
    </row>
    <row r="143" spans="1:8" x14ac:dyDescent="0.35">
      <c r="A143" t="s">
        <v>62</v>
      </c>
      <c r="B143" t="str">
        <f>VLOOKUP(A143,' Measure INDEX'!$B$9:$B$795,1,FALSE)</f>
        <v>200250_2019_12_</v>
      </c>
      <c r="G143" t="s">
        <v>1382</v>
      </c>
      <c r="H143" t="s">
        <v>2000</v>
      </c>
    </row>
    <row r="144" spans="1:8" x14ac:dyDescent="0.35">
      <c r="A144" t="s">
        <v>64</v>
      </c>
      <c r="B144" t="str">
        <f>VLOOKUP(A144,' Measure INDEX'!$B$9:$B$795,1,FALSE)</f>
        <v>200300_2019_12_</v>
      </c>
      <c r="G144" t="s">
        <v>1385</v>
      </c>
      <c r="H144" t="s">
        <v>2004</v>
      </c>
    </row>
    <row r="145" spans="1:8" x14ac:dyDescent="0.35">
      <c r="A145" t="s">
        <v>66</v>
      </c>
      <c r="B145" t="str">
        <f>VLOOKUP(A145,' Measure INDEX'!$B$9:$B$795,1,FALSE)</f>
        <v>200350_2019_12_</v>
      </c>
      <c r="G145" t="s">
        <v>1392</v>
      </c>
      <c r="H145" t="s">
        <v>4056</v>
      </c>
    </row>
    <row r="146" spans="1:8" x14ac:dyDescent="0.35">
      <c r="A146" t="s">
        <v>68</v>
      </c>
      <c r="B146" t="str">
        <f>VLOOKUP(A146,' Measure INDEX'!$B$9:$B$795,1,FALSE)</f>
        <v>200400_2019_12_</v>
      </c>
      <c r="G146" t="s">
        <v>1396</v>
      </c>
      <c r="H146" t="s">
        <v>4057</v>
      </c>
    </row>
    <row r="147" spans="1:8" x14ac:dyDescent="0.35">
      <c r="A147" t="s">
        <v>3947</v>
      </c>
      <c r="B147" t="e">
        <f>VLOOKUP(A147,' Measure INDEX'!$B$9:$B$795,1,FALSE)</f>
        <v>#N/A</v>
      </c>
      <c r="G147" t="s">
        <v>1406</v>
      </c>
      <c r="H147" t="s">
        <v>2039</v>
      </c>
    </row>
    <row r="148" spans="1:8" x14ac:dyDescent="0.35">
      <c r="A148" t="s">
        <v>3950</v>
      </c>
      <c r="B148" t="e">
        <f>VLOOKUP(A148,' Measure INDEX'!$B$9:$B$795,1,FALSE)</f>
        <v>#N/A</v>
      </c>
      <c r="G148" t="s">
        <v>1410</v>
      </c>
      <c r="H148" t="s">
        <v>4058</v>
      </c>
    </row>
    <row r="149" spans="1:8" x14ac:dyDescent="0.35">
      <c r="A149" t="s">
        <v>74</v>
      </c>
      <c r="B149" t="str">
        <f>VLOOKUP(A149,' Measure INDEX'!$B$9:$B$795,1,FALSE)</f>
        <v>200450_2019_12_</v>
      </c>
      <c r="G149" t="s">
        <v>1414</v>
      </c>
      <c r="H149" t="s">
        <v>4059</v>
      </c>
    </row>
    <row r="150" spans="1:8" x14ac:dyDescent="0.35">
      <c r="A150" t="s">
        <v>76</v>
      </c>
      <c r="B150" t="str">
        <f>VLOOKUP(A150,' Measure INDEX'!$B$9:$B$795,1,FALSE)</f>
        <v>200500_2019_12_</v>
      </c>
      <c r="G150" t="s">
        <v>1421</v>
      </c>
      <c r="H150" t="s">
        <v>2045</v>
      </c>
    </row>
    <row r="151" spans="1:8" x14ac:dyDescent="0.35">
      <c r="A151" t="s">
        <v>78</v>
      </c>
      <c r="B151" t="str">
        <f>VLOOKUP(A151,' Measure INDEX'!$B$9:$B$795,1,FALSE)</f>
        <v>200550_2019_12_</v>
      </c>
      <c r="G151" t="s">
        <v>1424</v>
      </c>
      <c r="H151" t="s">
        <v>4060</v>
      </c>
    </row>
    <row r="152" spans="1:8" x14ac:dyDescent="0.35">
      <c r="A152" t="s">
        <v>80</v>
      </c>
      <c r="B152" t="str">
        <f>VLOOKUP(A152,' Measure INDEX'!$B$9:$B$795,1,FALSE)</f>
        <v>200600_2019_12_</v>
      </c>
      <c r="G152" t="s">
        <v>1433</v>
      </c>
      <c r="H152" t="s">
        <v>4061</v>
      </c>
    </row>
    <row r="153" spans="1:8" x14ac:dyDescent="0.35">
      <c r="A153" t="s">
        <v>82</v>
      </c>
      <c r="B153" t="str">
        <f>VLOOKUP(A153,' Measure INDEX'!$B$9:$B$795,1,FALSE)</f>
        <v>200650_2019_12_</v>
      </c>
      <c r="G153" t="s">
        <v>1436</v>
      </c>
      <c r="H153" t="s">
        <v>2051</v>
      </c>
    </row>
    <row r="154" spans="1:8" x14ac:dyDescent="0.35">
      <c r="A154" t="s">
        <v>84</v>
      </c>
      <c r="B154" t="str">
        <f>VLOOKUP(A154,' Measure INDEX'!$B$9:$B$795,1,FALSE)</f>
        <v>200700_2019_12_</v>
      </c>
      <c r="G154" t="s">
        <v>1439</v>
      </c>
      <c r="H154" t="s">
        <v>2053</v>
      </c>
    </row>
    <row r="155" spans="1:8" x14ac:dyDescent="0.35">
      <c r="A155" t="s">
        <v>86</v>
      </c>
      <c r="B155" t="str">
        <f>VLOOKUP(A155,' Measure INDEX'!$B$9:$B$795,1,FALSE)</f>
        <v>200750_2019_12_</v>
      </c>
      <c r="G155" t="s">
        <v>1443</v>
      </c>
      <c r="H155" t="s">
        <v>2054</v>
      </c>
    </row>
    <row r="156" spans="1:8" x14ac:dyDescent="0.35">
      <c r="A156" t="s">
        <v>88</v>
      </c>
      <c r="B156" t="str">
        <f>VLOOKUP(A156,' Measure INDEX'!$B$9:$B$795,1,FALSE)</f>
        <v>200800_2019_12_</v>
      </c>
      <c r="G156" t="s">
        <v>1446</v>
      </c>
      <c r="H156" t="s">
        <v>2068</v>
      </c>
    </row>
    <row r="157" spans="1:8" x14ac:dyDescent="0.35">
      <c r="A157" t="s">
        <v>90</v>
      </c>
      <c r="B157" t="str">
        <f>VLOOKUP(A157,' Measure INDEX'!$B$9:$B$795,1,FALSE)</f>
        <v>200850_2019_12_</v>
      </c>
      <c r="G157" t="s">
        <v>1449</v>
      </c>
      <c r="H157" t="s">
        <v>2073</v>
      </c>
    </row>
    <row r="158" spans="1:8" x14ac:dyDescent="0.35">
      <c r="A158" t="s">
        <v>92</v>
      </c>
      <c r="B158" t="str">
        <f>VLOOKUP(A158,' Measure INDEX'!$B$9:$B$795,1,FALSE)</f>
        <v>200900_2019_12_</v>
      </c>
      <c r="G158" t="s">
        <v>1458</v>
      </c>
      <c r="H158" t="s">
        <v>4062</v>
      </c>
    </row>
    <row r="159" spans="1:8" x14ac:dyDescent="0.35">
      <c r="A159" t="s">
        <v>94</v>
      </c>
      <c r="B159" t="str">
        <f>VLOOKUP(A159,' Measure INDEX'!$B$9:$B$795,1,FALSE)</f>
        <v>200950_2019_12_</v>
      </c>
      <c r="G159" t="s">
        <v>1461</v>
      </c>
      <c r="H159" t="s">
        <v>4063</v>
      </c>
    </row>
    <row r="160" spans="1:8" x14ac:dyDescent="0.35">
      <c r="A160" t="s">
        <v>96</v>
      </c>
      <c r="B160" t="str">
        <f>VLOOKUP(A160,' Measure INDEX'!$B$9:$B$795,1,FALSE)</f>
        <v>201000_2019_12_</v>
      </c>
      <c r="G160" t="s">
        <v>1464</v>
      </c>
      <c r="H160" t="s">
        <v>4064</v>
      </c>
    </row>
    <row r="161" spans="1:8" x14ac:dyDescent="0.35">
      <c r="A161" t="s">
        <v>98</v>
      </c>
      <c r="B161" t="str">
        <f>VLOOKUP(A161,' Measure INDEX'!$B$9:$B$795,1,FALSE)</f>
        <v>201050_2019_12_</v>
      </c>
      <c r="G161" t="s">
        <v>1468</v>
      </c>
      <c r="H161" t="s">
        <v>4065</v>
      </c>
    </row>
    <row r="162" spans="1:8" x14ac:dyDescent="0.35">
      <c r="A162" t="s">
        <v>102</v>
      </c>
      <c r="B162" t="str">
        <f>VLOOKUP(A162,' Measure INDEX'!$B$9:$B$795,1,FALSE)</f>
        <v>201100_2019_12_</v>
      </c>
      <c r="G162" t="s">
        <v>1471</v>
      </c>
      <c r="H162" t="s">
        <v>4066</v>
      </c>
    </row>
    <row r="163" spans="1:8" x14ac:dyDescent="0.35">
      <c r="A163" t="s">
        <v>181</v>
      </c>
      <c r="B163" t="str">
        <f>VLOOKUP(A163,' Measure INDEX'!$B$9:$B$795,1,FALSE)</f>
        <v>250050_2019_12_</v>
      </c>
      <c r="G163" t="s">
        <v>1473</v>
      </c>
      <c r="H163" t="s">
        <v>4067</v>
      </c>
    </row>
    <row r="164" spans="1:8" x14ac:dyDescent="0.35">
      <c r="A164" t="s">
        <v>3932</v>
      </c>
      <c r="B164" t="e">
        <f>VLOOKUP(A164,' Measure INDEX'!$B$9:$B$795,1,FALSE)</f>
        <v>#N/A</v>
      </c>
      <c r="G164" t="s">
        <v>1479</v>
      </c>
      <c r="H164" t="s">
        <v>4068</v>
      </c>
    </row>
    <row r="165" spans="1:8" x14ac:dyDescent="0.35">
      <c r="A165" t="s">
        <v>3934</v>
      </c>
      <c r="B165" t="e">
        <f>VLOOKUP(A165,' Measure INDEX'!$B$9:$B$795,1,FALSE)</f>
        <v>#N/A</v>
      </c>
      <c r="G165" t="s">
        <v>1482</v>
      </c>
      <c r="H165" t="s">
        <v>4069</v>
      </c>
    </row>
    <row r="166" spans="1:8" x14ac:dyDescent="0.35">
      <c r="A166" t="s">
        <v>3937</v>
      </c>
      <c r="B166" t="e">
        <f>VLOOKUP(A166,' Measure INDEX'!$B$9:$B$795,1,FALSE)</f>
        <v>#N/A</v>
      </c>
      <c r="G166" t="s">
        <v>1485</v>
      </c>
      <c r="H166" t="s">
        <v>4070</v>
      </c>
    </row>
    <row r="167" spans="1:8" x14ac:dyDescent="0.35">
      <c r="A167" t="s">
        <v>3939</v>
      </c>
      <c r="B167" t="e">
        <f>VLOOKUP(A167,' Measure INDEX'!$B$9:$B$795,1,FALSE)</f>
        <v>#N/A</v>
      </c>
      <c r="G167" t="s">
        <v>1487</v>
      </c>
      <c r="H167" t="s">
        <v>4071</v>
      </c>
    </row>
    <row r="168" spans="1:8" x14ac:dyDescent="0.35">
      <c r="A168" t="s">
        <v>3941</v>
      </c>
      <c r="B168" t="e">
        <f>VLOOKUP(A168,' Measure INDEX'!$B$9:$B$795,1,FALSE)</f>
        <v>#N/A</v>
      </c>
      <c r="G168" t="s">
        <v>1489</v>
      </c>
      <c r="H168" t="s">
        <v>4072</v>
      </c>
    </row>
    <row r="169" spans="1:8" x14ac:dyDescent="0.35">
      <c r="A169" t="s">
        <v>3943</v>
      </c>
      <c r="B169" t="e">
        <f>VLOOKUP(A169,' Measure INDEX'!$B$9:$B$795,1,FALSE)</f>
        <v>#N/A</v>
      </c>
      <c r="G169" t="s">
        <v>1491</v>
      </c>
      <c r="H169" t="s">
        <v>4073</v>
      </c>
    </row>
    <row r="170" spans="1:8" x14ac:dyDescent="0.35">
      <c r="A170" t="s">
        <v>3945</v>
      </c>
      <c r="B170" t="e">
        <f>VLOOKUP(A170,' Measure INDEX'!$B$9:$B$795,1,FALSE)</f>
        <v>#N/A</v>
      </c>
      <c r="G170" t="s">
        <v>1493</v>
      </c>
      <c r="H170" t="s">
        <v>4074</v>
      </c>
    </row>
    <row r="171" spans="1:8" x14ac:dyDescent="0.35">
      <c r="A171" t="s">
        <v>3948</v>
      </c>
      <c r="B171" t="e">
        <f>VLOOKUP(A171,' Measure INDEX'!$B$9:$B$795,1,FALSE)</f>
        <v>#N/A</v>
      </c>
      <c r="G171" t="s">
        <v>1495</v>
      </c>
      <c r="H171" t="s">
        <v>4075</v>
      </c>
    </row>
    <row r="172" spans="1:8" x14ac:dyDescent="0.35">
      <c r="A172" t="s">
        <v>3951</v>
      </c>
      <c r="B172" t="e">
        <f>VLOOKUP(A172,' Measure INDEX'!$B$9:$B$795,1,FALSE)</f>
        <v>#N/A</v>
      </c>
      <c r="G172" t="s">
        <v>1497</v>
      </c>
      <c r="H172" t="s">
        <v>4076</v>
      </c>
    </row>
    <row r="173" spans="1:8" x14ac:dyDescent="0.35">
      <c r="A173" t="s">
        <v>3953</v>
      </c>
      <c r="B173" t="e">
        <f>VLOOKUP(A173,' Measure INDEX'!$B$9:$B$795,1,FALSE)</f>
        <v>#N/A</v>
      </c>
      <c r="G173" t="s">
        <v>1499</v>
      </c>
      <c r="H173" t="s">
        <v>4077</v>
      </c>
    </row>
    <row r="174" spans="1:8" x14ac:dyDescent="0.35">
      <c r="A174" t="s">
        <v>3955</v>
      </c>
      <c r="B174" t="e">
        <f>VLOOKUP(A174,' Measure INDEX'!$B$9:$B$795,1,FALSE)</f>
        <v>#N/A</v>
      </c>
      <c r="G174" t="s">
        <v>1501</v>
      </c>
      <c r="H174" t="s">
        <v>4078</v>
      </c>
    </row>
    <row r="175" spans="1:8" x14ac:dyDescent="0.35">
      <c r="A175" t="s">
        <v>3957</v>
      </c>
      <c r="B175" t="e">
        <f>VLOOKUP(A175,' Measure INDEX'!$B$9:$B$795,1,FALSE)</f>
        <v>#N/A</v>
      </c>
      <c r="G175" t="s">
        <v>1503</v>
      </c>
      <c r="H175" t="s">
        <v>4079</v>
      </c>
    </row>
    <row r="176" spans="1:8" x14ac:dyDescent="0.35">
      <c r="A176" t="s">
        <v>3959</v>
      </c>
      <c r="B176" t="e">
        <f>VLOOKUP(A176,' Measure INDEX'!$B$9:$B$795,1,FALSE)</f>
        <v>#N/A</v>
      </c>
      <c r="H176" t="s">
        <v>4080</v>
      </c>
    </row>
    <row r="177" spans="1:8" x14ac:dyDescent="0.35">
      <c r="A177" t="s">
        <v>3961</v>
      </c>
      <c r="B177" t="e">
        <f>VLOOKUP(A177,' Measure INDEX'!$B$9:$B$795,1,FALSE)</f>
        <v>#N/A</v>
      </c>
      <c r="H177" t="s">
        <v>4081</v>
      </c>
    </row>
    <row r="178" spans="1:8" x14ac:dyDescent="0.35">
      <c r="A178" t="s">
        <v>373</v>
      </c>
      <c r="B178" t="str">
        <f>VLOOKUP(A178,' Measure INDEX'!$B$9:$B$795,1,FALSE)</f>
        <v>250600_2019_12_</v>
      </c>
      <c r="H178" t="s">
        <v>4082</v>
      </c>
    </row>
    <row r="179" spans="1:8" x14ac:dyDescent="0.35">
      <c r="A179" t="s">
        <v>376</v>
      </c>
      <c r="B179" t="str">
        <f>VLOOKUP(A179,' Measure INDEX'!$B$9:$B$795,1,FALSE)</f>
        <v>250650_2019_12_</v>
      </c>
      <c r="H179" t="s">
        <v>4083</v>
      </c>
    </row>
    <row r="180" spans="1:8" x14ac:dyDescent="0.35">
      <c r="A180" t="s">
        <v>378</v>
      </c>
      <c r="B180" t="str">
        <f>VLOOKUP(A180,' Measure INDEX'!$B$9:$B$795,1,FALSE)</f>
        <v>250700_2019_12_</v>
      </c>
      <c r="H180" t="s">
        <v>4084</v>
      </c>
    </row>
    <row r="181" spans="1:8" x14ac:dyDescent="0.35">
      <c r="A181" t="s">
        <v>380</v>
      </c>
      <c r="B181" t="str">
        <f>VLOOKUP(A181,' Measure INDEX'!$B$9:$B$795,1,FALSE)</f>
        <v>250750_2019_12_</v>
      </c>
      <c r="H181" t="s">
        <v>4085</v>
      </c>
    </row>
    <row r="182" spans="1:8" x14ac:dyDescent="0.35">
      <c r="A182" t="s">
        <v>382</v>
      </c>
      <c r="B182" t="str">
        <f>VLOOKUP(A182,' Measure INDEX'!$B$9:$B$795,1,FALSE)</f>
        <v>250800_2019_12_</v>
      </c>
      <c r="H182" t="s">
        <v>2188</v>
      </c>
    </row>
    <row r="183" spans="1:8" x14ac:dyDescent="0.35">
      <c r="A183" t="s">
        <v>384</v>
      </c>
      <c r="B183" t="str">
        <f>VLOOKUP(A183,' Measure INDEX'!$B$9:$B$795,1,FALSE)</f>
        <v>250850_2019_12_</v>
      </c>
      <c r="H183" t="s">
        <v>2191</v>
      </c>
    </row>
    <row r="184" spans="1:8" x14ac:dyDescent="0.35">
      <c r="A184" t="s">
        <v>386</v>
      </c>
      <c r="B184" t="str">
        <f>VLOOKUP(A184,' Measure INDEX'!$B$9:$B$795,1,FALSE)</f>
        <v>250900_2019_12_</v>
      </c>
      <c r="H184" t="s">
        <v>2193</v>
      </c>
    </row>
    <row r="185" spans="1:8" x14ac:dyDescent="0.35">
      <c r="A185" t="s">
        <v>388</v>
      </c>
      <c r="B185" t="str">
        <f>VLOOKUP(A185,' Measure INDEX'!$B$9:$B$795,1,FALSE)</f>
        <v>250950_2019_12_</v>
      </c>
      <c r="H185" t="s">
        <v>2195</v>
      </c>
    </row>
    <row r="186" spans="1:8" x14ac:dyDescent="0.35">
      <c r="A186" t="s">
        <v>390</v>
      </c>
      <c r="B186" t="str">
        <f>VLOOKUP(A186,' Measure INDEX'!$B$9:$B$795,1,FALSE)</f>
        <v>251000_2019_12_</v>
      </c>
      <c r="H186" t="s">
        <v>2197</v>
      </c>
    </row>
    <row r="187" spans="1:8" x14ac:dyDescent="0.35">
      <c r="A187" t="s">
        <v>392</v>
      </c>
      <c r="B187" t="str">
        <f>VLOOKUP(A187,' Measure INDEX'!$B$9:$B$795,1,FALSE)</f>
        <v>251001_2020_12_</v>
      </c>
      <c r="H187" t="s">
        <v>2199</v>
      </c>
    </row>
    <row r="188" spans="1:8" x14ac:dyDescent="0.35">
      <c r="A188" t="s">
        <v>423</v>
      </c>
      <c r="B188" t="str">
        <f>VLOOKUP(A188,' Measure INDEX'!$B$9:$B$795,1,FALSE)</f>
        <v>251050_2019_12_</v>
      </c>
      <c r="H188" t="s">
        <v>2201</v>
      </c>
    </row>
    <row r="189" spans="1:8" x14ac:dyDescent="0.35">
      <c r="A189" t="s">
        <v>443</v>
      </c>
      <c r="B189" t="str">
        <f>VLOOKUP(A189,' Measure INDEX'!$B$9:$B$795,1,FALSE)</f>
        <v>251100_2019_12_</v>
      </c>
      <c r="H189" t="s">
        <v>2203</v>
      </c>
    </row>
    <row r="190" spans="1:8" x14ac:dyDescent="0.35">
      <c r="A190" t="s">
        <v>464</v>
      </c>
      <c r="B190" t="str">
        <f>VLOOKUP(A190,' Measure INDEX'!$B$9:$B$795,1,FALSE)</f>
        <v>251150_2019_12_</v>
      </c>
      <c r="H190" t="s">
        <v>2205</v>
      </c>
    </row>
    <row r="191" spans="1:8" x14ac:dyDescent="0.35">
      <c r="A191" t="s">
        <v>466</v>
      </c>
      <c r="B191" t="str">
        <f>VLOOKUP(A191,' Measure INDEX'!$B$9:$B$795,1,FALSE)</f>
        <v>251200_2019_12_</v>
      </c>
      <c r="H191" t="s">
        <v>2207</v>
      </c>
    </row>
    <row r="192" spans="1:8" x14ac:dyDescent="0.35">
      <c r="A192" t="s">
        <v>495</v>
      </c>
      <c r="B192" t="str">
        <f>VLOOKUP(A192,' Measure INDEX'!$B$9:$B$795,1,FALSE)</f>
        <v>300050_2019_12_</v>
      </c>
      <c r="H192" t="s">
        <v>2209</v>
      </c>
    </row>
    <row r="193" spans="1:8" x14ac:dyDescent="0.35">
      <c r="A193" t="s">
        <v>498</v>
      </c>
      <c r="B193" t="str">
        <f>VLOOKUP(A193,' Measure INDEX'!$B$9:$B$795,1,FALSE)</f>
        <v>300051_2020_12_</v>
      </c>
      <c r="H193" t="s">
        <v>2211</v>
      </c>
    </row>
    <row r="194" spans="1:8" x14ac:dyDescent="0.35">
      <c r="A194" t="s">
        <v>3935</v>
      </c>
      <c r="B194" t="e">
        <f>VLOOKUP(A194,' Measure INDEX'!$B$9:$B$795,1,FALSE)</f>
        <v>#N/A</v>
      </c>
    </row>
    <row r="195" spans="1:8" x14ac:dyDescent="0.35">
      <c r="A195" t="s">
        <v>502</v>
      </c>
      <c r="B195" t="str">
        <f>VLOOKUP(A195,' Measure INDEX'!$B$9:$B$795,1,FALSE)</f>
        <v>300100_2019_12_</v>
      </c>
    </row>
    <row r="196" spans="1:8" x14ac:dyDescent="0.35">
      <c r="A196" t="s">
        <v>504</v>
      </c>
      <c r="B196" t="str">
        <f>VLOOKUP(A196,' Measure INDEX'!$B$9:$B$795,1,FALSE)</f>
        <v>300101_2019_12_</v>
      </c>
    </row>
    <row r="197" spans="1:8" x14ac:dyDescent="0.35">
      <c r="A197" t="s">
        <v>532</v>
      </c>
      <c r="B197" t="str">
        <f>VLOOKUP(A197,' Measure INDEX'!$B$9:$B$795,1,FALSE)</f>
        <v>300150_2019_12_</v>
      </c>
    </row>
    <row r="198" spans="1:8" x14ac:dyDescent="0.35">
      <c r="A198" t="s">
        <v>533</v>
      </c>
      <c r="B198" t="str">
        <f>VLOOKUP(A198,' Measure INDEX'!$B$9:$B$795,1,FALSE)</f>
        <v>300200_2019_12_</v>
      </c>
    </row>
    <row r="199" spans="1:8" x14ac:dyDescent="0.35">
      <c r="A199" t="s">
        <v>534</v>
      </c>
      <c r="B199" t="str">
        <f>VLOOKUP(A199,' Measure INDEX'!$B$9:$B$795,1,FALSE)</f>
        <v>300250_2019_12_</v>
      </c>
    </row>
    <row r="200" spans="1:8" x14ac:dyDescent="0.35">
      <c r="A200" t="s">
        <v>535</v>
      </c>
      <c r="B200" t="str">
        <f>VLOOKUP(A200,' Measure INDEX'!$B$9:$B$795,1,FALSE)</f>
        <v>300251_2020_12_</v>
      </c>
    </row>
    <row r="201" spans="1:8" x14ac:dyDescent="0.35">
      <c r="A201" t="s">
        <v>536</v>
      </c>
      <c r="B201" t="str">
        <f>VLOOKUP(A201,' Measure INDEX'!$B$9:$B$795,1,FALSE)</f>
        <v>300260_2020_12_</v>
      </c>
    </row>
    <row r="202" spans="1:8" x14ac:dyDescent="0.35">
      <c r="A202" t="s">
        <v>538</v>
      </c>
      <c r="B202" t="str">
        <f>VLOOKUP(A202,' Measure INDEX'!$B$9:$B$795,1,FALSE)</f>
        <v>300300_2019_12_</v>
      </c>
    </row>
    <row r="203" spans="1:8" x14ac:dyDescent="0.35">
      <c r="A203" t="s">
        <v>539</v>
      </c>
      <c r="B203" t="str">
        <f>VLOOKUP(A203,' Measure INDEX'!$B$9:$B$795,1,FALSE)</f>
        <v>300350_2019_12_</v>
      </c>
    </row>
    <row r="204" spans="1:8" x14ac:dyDescent="0.35">
      <c r="A204" t="s">
        <v>540</v>
      </c>
      <c r="B204" t="str">
        <f>VLOOKUP(A204,' Measure INDEX'!$B$9:$B$795,1,FALSE)</f>
        <v>300400_2019_12_</v>
      </c>
    </row>
    <row r="205" spans="1:8" x14ac:dyDescent="0.35">
      <c r="A205" t="s">
        <v>541</v>
      </c>
      <c r="B205" t="str">
        <f>VLOOKUP(A205,' Measure INDEX'!$B$9:$B$795,1,FALSE)</f>
        <v>300401_2020_12_</v>
      </c>
    </row>
    <row r="206" spans="1:8" x14ac:dyDescent="0.35">
      <c r="A206" t="s">
        <v>543</v>
      </c>
      <c r="B206" t="str">
        <f>VLOOKUP(A206,' Measure INDEX'!$B$9:$B$795,1,FALSE)</f>
        <v>300402_2020_12_</v>
      </c>
    </row>
    <row r="207" spans="1:8" x14ac:dyDescent="0.35">
      <c r="A207" t="s">
        <v>545</v>
      </c>
      <c r="B207" t="str">
        <f>VLOOKUP(A207,' Measure INDEX'!$B$9:$B$795,1,FALSE)</f>
        <v>300403_2020_12_</v>
      </c>
    </row>
    <row r="208" spans="1:8" x14ac:dyDescent="0.35">
      <c r="A208" t="s">
        <v>589</v>
      </c>
      <c r="B208" t="str">
        <f>VLOOKUP(A208,' Measure INDEX'!$B$9:$B$795,1,FALSE)</f>
        <v>300450_2019_12_</v>
      </c>
    </row>
    <row r="209" spans="1:2" x14ac:dyDescent="0.35">
      <c r="A209" t="s">
        <v>591</v>
      </c>
      <c r="B209" t="str">
        <f>VLOOKUP(A209,' Measure INDEX'!$B$9:$B$795,1,FALSE)</f>
        <v>300460_2020_12_</v>
      </c>
    </row>
    <row r="210" spans="1:2" x14ac:dyDescent="0.35">
      <c r="A210" t="s">
        <v>593</v>
      </c>
      <c r="B210" t="str">
        <f>VLOOKUP(A210,' Measure INDEX'!$B$9:$B$795,1,FALSE)</f>
        <v>300500_2019_12_</v>
      </c>
    </row>
    <row r="211" spans="1:2" x14ac:dyDescent="0.35">
      <c r="A211" t="s">
        <v>594</v>
      </c>
      <c r="B211" t="str">
        <f>VLOOKUP(A211,' Measure INDEX'!$B$9:$B$795,1,FALSE)</f>
        <v>300501_2020_12_</v>
      </c>
    </row>
    <row r="212" spans="1:2" x14ac:dyDescent="0.35">
      <c r="A212" t="s">
        <v>643</v>
      </c>
      <c r="B212" t="str">
        <f>VLOOKUP(A212,' Measure INDEX'!$B$9:$B$795,1,FALSE)</f>
        <v>300550_2019_12_</v>
      </c>
    </row>
    <row r="213" spans="1:2" x14ac:dyDescent="0.35">
      <c r="A213" t="s">
        <v>645</v>
      </c>
      <c r="B213" t="str">
        <f>VLOOKUP(A213,' Measure INDEX'!$B$9:$B$795,1,FALSE)</f>
        <v>300560_2020_12_</v>
      </c>
    </row>
    <row r="214" spans="1:2" x14ac:dyDescent="0.35">
      <c r="A214" t="s">
        <v>647</v>
      </c>
      <c r="B214" t="str">
        <f>VLOOKUP(A214,' Measure INDEX'!$B$9:$B$795,1,FALSE)</f>
        <v>300600_2019_12_</v>
      </c>
    </row>
    <row r="215" spans="1:2" x14ac:dyDescent="0.35">
      <c r="A215" t="s">
        <v>648</v>
      </c>
      <c r="B215" t="str">
        <f>VLOOKUP(A215,' Measure INDEX'!$B$9:$B$795,1,FALSE)</f>
        <v>300601_2020_12_</v>
      </c>
    </row>
    <row r="216" spans="1:2" x14ac:dyDescent="0.35">
      <c r="A216" t="s">
        <v>661</v>
      </c>
      <c r="B216" t="str">
        <f>VLOOKUP(A216,' Measure INDEX'!$B$9:$B$795,1,FALSE)</f>
        <v>300650_2019_12_</v>
      </c>
    </row>
    <row r="217" spans="1:2" x14ac:dyDescent="0.35">
      <c r="A217" t="s">
        <v>663</v>
      </c>
      <c r="B217" t="str">
        <f>VLOOKUP(A217,' Measure INDEX'!$B$9:$B$795,1,FALSE)</f>
        <v>300660_2020_12_</v>
      </c>
    </row>
    <row r="218" spans="1:2" x14ac:dyDescent="0.35">
      <c r="A218" t="s">
        <v>665</v>
      </c>
      <c r="B218" t="str">
        <f>VLOOKUP(A218,' Measure INDEX'!$B$9:$B$795,1,FALSE)</f>
        <v>300700_2019_12_</v>
      </c>
    </row>
    <row r="219" spans="1:2" x14ac:dyDescent="0.35">
      <c r="A219" t="s">
        <v>3976</v>
      </c>
      <c r="B219" t="e">
        <f>VLOOKUP(A219,' Measure INDEX'!$B$9:$B$795,1,FALSE)</f>
        <v>#N/A</v>
      </c>
    </row>
    <row r="220" spans="1:2" x14ac:dyDescent="0.35">
      <c r="A220" t="s">
        <v>694</v>
      </c>
      <c r="B220" t="str">
        <f>VLOOKUP(A220,' Measure INDEX'!$B$9:$B$795,1,FALSE)</f>
        <v>300750_2019_12_</v>
      </c>
    </row>
    <row r="221" spans="1:2" x14ac:dyDescent="0.35">
      <c r="A221" t="s">
        <v>696</v>
      </c>
      <c r="B221" t="str">
        <f>VLOOKUP(A221,' Measure INDEX'!$B$9:$B$795,1,FALSE)</f>
        <v>300760_2020_12_</v>
      </c>
    </row>
    <row r="222" spans="1:2" x14ac:dyDescent="0.35">
      <c r="A222" t="s">
        <v>698</v>
      </c>
      <c r="B222" t="str">
        <f>VLOOKUP(A222,' Measure INDEX'!$B$9:$B$795,1,FALSE)</f>
        <v>300800_2019_12_</v>
      </c>
    </row>
    <row r="223" spans="1:2" x14ac:dyDescent="0.35">
      <c r="A223" t="s">
        <v>699</v>
      </c>
      <c r="B223" t="str">
        <f>VLOOKUP(A223,' Measure INDEX'!$B$9:$B$795,1,FALSE)</f>
        <v>300801_2020_12_</v>
      </c>
    </row>
    <row r="224" spans="1:2" x14ac:dyDescent="0.35">
      <c r="A224" t="s">
        <v>738</v>
      </c>
      <c r="B224" t="str">
        <f>VLOOKUP(A224,' Measure INDEX'!$B$9:$B$795,1,FALSE)</f>
        <v>300850_2019_12_</v>
      </c>
    </row>
    <row r="225" spans="1:2" x14ac:dyDescent="0.35">
      <c r="A225" t="s">
        <v>741</v>
      </c>
      <c r="B225" t="str">
        <f>VLOOKUP(A225,' Measure INDEX'!$B$9:$B$795,1,FALSE)</f>
        <v>300851_2020_12_</v>
      </c>
    </row>
    <row r="226" spans="1:2" x14ac:dyDescent="0.35">
      <c r="A226" t="s">
        <v>743</v>
      </c>
      <c r="B226" t="str">
        <f>VLOOKUP(A226,' Measure INDEX'!$B$9:$B$795,1,FALSE)</f>
        <v>300900_2019_12_</v>
      </c>
    </row>
    <row r="227" spans="1:2" x14ac:dyDescent="0.35">
      <c r="A227" t="s">
        <v>745</v>
      </c>
      <c r="B227" t="str">
        <f>VLOOKUP(A227,' Measure INDEX'!$B$9:$B$795,1,FALSE)</f>
        <v>300950_2019_12_</v>
      </c>
    </row>
    <row r="228" spans="1:2" x14ac:dyDescent="0.35">
      <c r="A228" t="s">
        <v>747</v>
      </c>
      <c r="B228" t="str">
        <f>VLOOKUP(A228,' Measure INDEX'!$B$9:$B$795,1,FALSE)</f>
        <v>300951_2020_12_</v>
      </c>
    </row>
    <row r="229" spans="1:2" x14ac:dyDescent="0.35">
      <c r="A229" t="s">
        <v>749</v>
      </c>
      <c r="B229" t="str">
        <f>VLOOKUP(A229,' Measure INDEX'!$B$9:$B$795,1,FALSE)</f>
        <v>301000_2019_12_</v>
      </c>
    </row>
    <row r="230" spans="1:2" x14ac:dyDescent="0.35">
      <c r="A230" t="s">
        <v>751</v>
      </c>
      <c r="B230" t="str">
        <f>VLOOKUP(A230,' Measure INDEX'!$B$9:$B$795,1,FALSE)</f>
        <v>301050_2019_12_</v>
      </c>
    </row>
    <row r="231" spans="1:2" x14ac:dyDescent="0.35">
      <c r="A231" t="s">
        <v>753</v>
      </c>
      <c r="B231" t="str">
        <f>VLOOKUP(A231,' Measure INDEX'!$B$9:$B$795,1,FALSE)</f>
        <v>301051_2020_12_</v>
      </c>
    </row>
    <row r="232" spans="1:2" x14ac:dyDescent="0.35">
      <c r="A232" t="s">
        <v>755</v>
      </c>
      <c r="B232" t="str">
        <f>VLOOKUP(A232,' Measure INDEX'!$B$9:$B$795,1,FALSE)</f>
        <v>301100_2019_12_</v>
      </c>
    </row>
    <row r="233" spans="1:2" x14ac:dyDescent="0.35">
      <c r="A233" t="s">
        <v>3997</v>
      </c>
      <c r="B233" t="e">
        <f>VLOOKUP(A233,' Measure INDEX'!$B$9:$B$795,1,FALSE)</f>
        <v>#N/A</v>
      </c>
    </row>
    <row r="234" spans="1:2" x14ac:dyDescent="0.35">
      <c r="A234" t="s">
        <v>3930</v>
      </c>
      <c r="B234" t="e">
        <f>VLOOKUP(A234,' Measure INDEX'!$B$9:$B$795,1,FALSE)</f>
        <v>#N/A</v>
      </c>
    </row>
    <row r="235" spans="1:2" x14ac:dyDescent="0.35">
      <c r="A235" t="s">
        <v>3933</v>
      </c>
      <c r="B235" t="e">
        <f>VLOOKUP(A235,' Measure INDEX'!$B$9:$B$795,1,FALSE)</f>
        <v>#N/A</v>
      </c>
    </row>
    <row r="236" spans="1:2" x14ac:dyDescent="0.35">
      <c r="A236" t="s">
        <v>3936</v>
      </c>
      <c r="B236" t="e">
        <f>VLOOKUP(A236,' Measure INDEX'!$B$9:$B$795,1,FALSE)</f>
        <v>#N/A</v>
      </c>
    </row>
    <row r="237" spans="1:2" x14ac:dyDescent="0.35">
      <c r="A237" t="s">
        <v>3938</v>
      </c>
      <c r="B237" t="e">
        <f>VLOOKUP(A237,' Measure INDEX'!$B$9:$B$795,1,FALSE)</f>
        <v>#N/A</v>
      </c>
    </row>
    <row r="238" spans="1:2" x14ac:dyDescent="0.35">
      <c r="A238" t="s">
        <v>3940</v>
      </c>
      <c r="B238" t="e">
        <f>VLOOKUP(A238,' Measure INDEX'!$B$9:$B$795,1,FALSE)</f>
        <v>#N/A</v>
      </c>
    </row>
    <row r="239" spans="1:2" x14ac:dyDescent="0.35">
      <c r="A239" t="s">
        <v>3942</v>
      </c>
      <c r="B239" t="e">
        <f>VLOOKUP(A239,' Measure INDEX'!$B$9:$B$795,1,FALSE)</f>
        <v>#N/A</v>
      </c>
    </row>
    <row r="240" spans="1:2" x14ac:dyDescent="0.35">
      <c r="A240" t="s">
        <v>3944</v>
      </c>
      <c r="B240" t="e">
        <f>VLOOKUP(A240,' Measure INDEX'!$B$9:$B$795,1,FALSE)</f>
        <v>#N/A</v>
      </c>
    </row>
    <row r="241" spans="1:2" x14ac:dyDescent="0.35">
      <c r="A241" t="s">
        <v>3946</v>
      </c>
      <c r="B241" t="e">
        <f>VLOOKUP(A241,' Measure INDEX'!$B$9:$B$795,1,FALSE)</f>
        <v>#N/A</v>
      </c>
    </row>
    <row r="242" spans="1:2" x14ac:dyDescent="0.35">
      <c r="A242" t="s">
        <v>3949</v>
      </c>
      <c r="B242" t="e">
        <f>VLOOKUP(A242,' Measure INDEX'!$B$9:$B$795,1,FALSE)</f>
        <v>#N/A</v>
      </c>
    </row>
    <row r="243" spans="1:2" x14ac:dyDescent="0.35">
      <c r="A243" t="s">
        <v>3952</v>
      </c>
      <c r="B243" t="e">
        <f>VLOOKUP(A243,' Measure INDEX'!$B$9:$B$795,1,FALSE)</f>
        <v>#N/A</v>
      </c>
    </row>
    <row r="244" spans="1:2" x14ac:dyDescent="0.35">
      <c r="A244" t="s">
        <v>3954</v>
      </c>
      <c r="B244" t="e">
        <f>VLOOKUP(A244,' Measure INDEX'!$B$9:$B$795,1,FALSE)</f>
        <v>#N/A</v>
      </c>
    </row>
    <row r="245" spans="1:2" x14ac:dyDescent="0.35">
      <c r="A245" t="s">
        <v>3956</v>
      </c>
      <c r="B245" t="e">
        <f>VLOOKUP(A245,' Measure INDEX'!$B$9:$B$795,1,FALSE)</f>
        <v>#N/A</v>
      </c>
    </row>
    <row r="246" spans="1:2" x14ac:dyDescent="0.35">
      <c r="A246" t="s">
        <v>3958</v>
      </c>
      <c r="B246" t="e">
        <f>VLOOKUP(A246,' Measure INDEX'!$B$9:$B$795,1,FALSE)</f>
        <v>#N/A</v>
      </c>
    </row>
    <row r="247" spans="1:2" x14ac:dyDescent="0.35">
      <c r="A247" t="s">
        <v>3960</v>
      </c>
      <c r="B247" t="e">
        <f>VLOOKUP(A247,' Measure INDEX'!$B$9:$B$795,1,FALSE)</f>
        <v>#N/A</v>
      </c>
    </row>
    <row r="248" spans="1:2" x14ac:dyDescent="0.35">
      <c r="A248" t="s">
        <v>3962</v>
      </c>
      <c r="B248" t="e">
        <f>VLOOKUP(A248,' Measure INDEX'!$B$9:$B$795,1,FALSE)</f>
        <v>#N/A</v>
      </c>
    </row>
    <row r="249" spans="1:2" x14ac:dyDescent="0.35">
      <c r="A249" t="s">
        <v>3963</v>
      </c>
      <c r="B249" t="e">
        <f>VLOOKUP(A249,' Measure INDEX'!$B$9:$B$795,1,FALSE)</f>
        <v>#N/A</v>
      </c>
    </row>
    <row r="250" spans="1:2" x14ac:dyDescent="0.35">
      <c r="A250" t="s">
        <v>3964</v>
      </c>
      <c r="B250" t="e">
        <f>VLOOKUP(A250,' Measure INDEX'!$B$9:$B$795,1,FALSE)</f>
        <v>#N/A</v>
      </c>
    </row>
    <row r="251" spans="1:2" x14ac:dyDescent="0.35">
      <c r="A251" t="s">
        <v>3965</v>
      </c>
      <c r="B251" t="e">
        <f>VLOOKUP(A251,' Measure INDEX'!$B$9:$B$795,1,FALSE)</f>
        <v>#N/A</v>
      </c>
    </row>
    <row r="252" spans="1:2" x14ac:dyDescent="0.35">
      <c r="A252" t="s">
        <v>3966</v>
      </c>
      <c r="B252" t="e">
        <f>VLOOKUP(A252,' Measure INDEX'!$B$9:$B$795,1,FALSE)</f>
        <v>#N/A</v>
      </c>
    </row>
    <row r="253" spans="1:2" x14ac:dyDescent="0.35">
      <c r="A253" t="s">
        <v>3967</v>
      </c>
      <c r="B253" t="e">
        <f>VLOOKUP(A253,' Measure INDEX'!$B$9:$B$795,1,FALSE)</f>
        <v>#N/A</v>
      </c>
    </row>
    <row r="254" spans="1:2" x14ac:dyDescent="0.35">
      <c r="A254" t="s">
        <v>3968</v>
      </c>
      <c r="B254" t="e">
        <f>VLOOKUP(A254,' Measure INDEX'!$B$9:$B$795,1,FALSE)</f>
        <v>#N/A</v>
      </c>
    </row>
    <row r="255" spans="1:2" x14ac:dyDescent="0.35">
      <c r="A255" t="s">
        <v>3970</v>
      </c>
      <c r="B255" t="e">
        <f>VLOOKUP(A255,' Measure INDEX'!$B$9:$B$795,1,FALSE)</f>
        <v>#N/A</v>
      </c>
    </row>
    <row r="256" spans="1:2" x14ac:dyDescent="0.35">
      <c r="A256" t="s">
        <v>3971</v>
      </c>
      <c r="B256" t="e">
        <f>VLOOKUP(A256,' Measure INDEX'!$B$9:$B$795,1,FALSE)</f>
        <v>#N/A</v>
      </c>
    </row>
    <row r="257" spans="1:2" x14ac:dyDescent="0.35">
      <c r="A257" t="s">
        <v>3972</v>
      </c>
      <c r="B257" t="e">
        <f>VLOOKUP(A257,' Measure INDEX'!$B$9:$B$795,1,FALSE)</f>
        <v>#N/A</v>
      </c>
    </row>
    <row r="258" spans="1:2" x14ac:dyDescent="0.35">
      <c r="A258" t="s">
        <v>3973</v>
      </c>
      <c r="B258" t="e">
        <f>VLOOKUP(A258,' Measure INDEX'!$B$9:$B$795,1,FALSE)</f>
        <v>#N/A</v>
      </c>
    </row>
    <row r="259" spans="1:2" x14ac:dyDescent="0.35">
      <c r="A259" t="s">
        <v>3974</v>
      </c>
      <c r="B259" t="e">
        <f>VLOOKUP(A259,' Measure INDEX'!$B$9:$B$795,1,FALSE)</f>
        <v>#N/A</v>
      </c>
    </row>
    <row r="260" spans="1:2" x14ac:dyDescent="0.35">
      <c r="A260" t="s">
        <v>3975</v>
      </c>
      <c r="B260" t="e">
        <f>VLOOKUP(A260,' Measure INDEX'!$B$9:$B$795,1,FALSE)</f>
        <v>#N/A</v>
      </c>
    </row>
    <row r="261" spans="1:2" x14ac:dyDescent="0.35">
      <c r="A261" t="s">
        <v>3977</v>
      </c>
      <c r="B261" t="e">
        <f>VLOOKUP(A261,' Measure INDEX'!$B$9:$B$795,1,FALSE)</f>
        <v>#N/A</v>
      </c>
    </row>
    <row r="262" spans="1:2" x14ac:dyDescent="0.35">
      <c r="A262" t="s">
        <v>3978</v>
      </c>
      <c r="B262" t="e">
        <f>VLOOKUP(A262,' Measure INDEX'!$B$9:$B$795,1,FALSE)</f>
        <v>#N/A</v>
      </c>
    </row>
    <row r="263" spans="1:2" x14ac:dyDescent="0.35">
      <c r="A263" t="s">
        <v>3979</v>
      </c>
      <c r="B263" t="e">
        <f>VLOOKUP(A263,' Measure INDEX'!$B$9:$B$795,1,FALSE)</f>
        <v>#N/A</v>
      </c>
    </row>
    <row r="264" spans="1:2" x14ac:dyDescent="0.35">
      <c r="A264" t="s">
        <v>3980</v>
      </c>
      <c r="B264" t="e">
        <f>VLOOKUP(A264,' Measure INDEX'!$B$9:$B$795,1,FALSE)</f>
        <v>#N/A</v>
      </c>
    </row>
    <row r="265" spans="1:2" x14ac:dyDescent="0.35">
      <c r="A265" t="s">
        <v>3981</v>
      </c>
      <c r="B265" t="e">
        <f>VLOOKUP(A265,' Measure INDEX'!$B$9:$B$795,1,FALSE)</f>
        <v>#N/A</v>
      </c>
    </row>
    <row r="266" spans="1:2" x14ac:dyDescent="0.35">
      <c r="A266" t="s">
        <v>3982</v>
      </c>
      <c r="B266" t="e">
        <f>VLOOKUP(A266,' Measure INDEX'!$B$9:$B$795,1,FALSE)</f>
        <v>#N/A</v>
      </c>
    </row>
    <row r="267" spans="1:2" x14ac:dyDescent="0.35">
      <c r="A267" t="s">
        <v>3983</v>
      </c>
      <c r="B267" t="e">
        <f>VLOOKUP(A267,' Measure INDEX'!$B$9:$B$795,1,FALSE)</f>
        <v>#N/A</v>
      </c>
    </row>
    <row r="268" spans="1:2" x14ac:dyDescent="0.35">
      <c r="A268" t="s">
        <v>3984</v>
      </c>
      <c r="B268" t="e">
        <f>VLOOKUP(A268,' Measure INDEX'!$B$9:$B$795,1,FALSE)</f>
        <v>#N/A</v>
      </c>
    </row>
    <row r="269" spans="1:2" x14ac:dyDescent="0.35">
      <c r="A269" t="s">
        <v>3985</v>
      </c>
      <c r="B269" t="e">
        <f>VLOOKUP(A269,' Measure INDEX'!$B$9:$B$795,1,FALSE)</f>
        <v>#N/A</v>
      </c>
    </row>
    <row r="270" spans="1:2" x14ac:dyDescent="0.35">
      <c r="A270" t="s">
        <v>3986</v>
      </c>
      <c r="B270" t="e">
        <f>VLOOKUP(A270,' Measure INDEX'!$B$9:$B$795,1,FALSE)</f>
        <v>#N/A</v>
      </c>
    </row>
    <row r="271" spans="1:2" x14ac:dyDescent="0.35">
      <c r="A271" t="s">
        <v>3988</v>
      </c>
      <c r="B271" t="e">
        <f>VLOOKUP(A271,' Measure INDEX'!$B$9:$B$795,1,FALSE)</f>
        <v>#N/A</v>
      </c>
    </row>
    <row r="272" spans="1:2" x14ac:dyDescent="0.35">
      <c r="A272" t="s">
        <v>3990</v>
      </c>
      <c r="B272" t="e">
        <f>VLOOKUP(A272,' Measure INDEX'!$B$9:$B$795,1,FALSE)</f>
        <v>#N/A</v>
      </c>
    </row>
    <row r="273" spans="1:2" x14ac:dyDescent="0.35">
      <c r="A273" t="s">
        <v>3992</v>
      </c>
      <c r="B273" t="e">
        <f>VLOOKUP(A273,' Measure INDEX'!$B$9:$B$795,1,FALSE)</f>
        <v>#N/A</v>
      </c>
    </row>
    <row r="274" spans="1:2" x14ac:dyDescent="0.35">
      <c r="A274" t="s">
        <v>3994</v>
      </c>
      <c r="B274" t="e">
        <f>VLOOKUP(A274,' Measure INDEX'!$B$9:$B$795,1,FALSE)</f>
        <v>#N/A</v>
      </c>
    </row>
    <row r="275" spans="1:2" x14ac:dyDescent="0.35">
      <c r="A275" t="s">
        <v>3996</v>
      </c>
      <c r="B275" t="e">
        <f>VLOOKUP(A275,' Measure INDEX'!$B$9:$B$795,1,FALSE)</f>
        <v>#N/A</v>
      </c>
    </row>
    <row r="276" spans="1:2" x14ac:dyDescent="0.35">
      <c r="A276" t="s">
        <v>3998</v>
      </c>
      <c r="B276" t="e">
        <f>VLOOKUP(A276,' Measure INDEX'!$B$9:$B$795,1,FALSE)</f>
        <v>#N/A</v>
      </c>
    </row>
    <row r="277" spans="1:2" x14ac:dyDescent="0.35">
      <c r="A277" t="s">
        <v>3999</v>
      </c>
      <c r="B277" t="e">
        <f>VLOOKUP(A277,' Measure INDEX'!$B$9:$B$795,1,FALSE)</f>
        <v>#N/A</v>
      </c>
    </row>
    <row r="278" spans="1:2" x14ac:dyDescent="0.35">
      <c r="A278" t="s">
        <v>4000</v>
      </c>
      <c r="B278" t="e">
        <f>VLOOKUP(A278,' Measure INDEX'!$B$9:$B$795,1,FALSE)</f>
        <v>#N/A</v>
      </c>
    </row>
    <row r="279" spans="1:2" x14ac:dyDescent="0.35">
      <c r="A279" t="s">
        <v>4001</v>
      </c>
      <c r="B279" t="e">
        <f>VLOOKUP(A279,' Measure INDEX'!$B$9:$B$795,1,FALSE)</f>
        <v>#N/A</v>
      </c>
    </row>
    <row r="280" spans="1:2" x14ac:dyDescent="0.35">
      <c r="A280" t="s">
        <v>4002</v>
      </c>
      <c r="B280" t="e">
        <f>VLOOKUP(A280,' Measure INDEX'!$B$9:$B$795,1,FALSE)</f>
        <v>#N/A</v>
      </c>
    </row>
    <row r="281" spans="1:2" x14ac:dyDescent="0.35">
      <c r="A281" t="s">
        <v>4003</v>
      </c>
      <c r="B281" t="e">
        <f>VLOOKUP(A281,' Measure INDEX'!$B$9:$B$795,1,FALSE)</f>
        <v>#N/A</v>
      </c>
    </row>
    <row r="282" spans="1:2" x14ac:dyDescent="0.35">
      <c r="A282" t="s">
        <v>4004</v>
      </c>
      <c r="B282" t="e">
        <f>VLOOKUP(A282,' Measure INDEX'!$B$9:$B$795,1,FALSE)</f>
        <v>#N/A</v>
      </c>
    </row>
    <row r="283" spans="1:2" x14ac:dyDescent="0.35">
      <c r="A283" t="s">
        <v>4005</v>
      </c>
      <c r="B283" t="e">
        <f>VLOOKUP(A283,' Measure INDEX'!$B$9:$B$795,1,FALSE)</f>
        <v>#N/A</v>
      </c>
    </row>
    <row r="284" spans="1:2" x14ac:dyDescent="0.35">
      <c r="A284" t="s">
        <v>4006</v>
      </c>
      <c r="B284" t="e">
        <f>VLOOKUP(A284,' Measure INDEX'!$B$9:$B$795,1,FALSE)</f>
        <v>#N/A</v>
      </c>
    </row>
    <row r="285" spans="1:2" x14ac:dyDescent="0.35">
      <c r="A285" t="s">
        <v>4007</v>
      </c>
      <c r="B285" t="e">
        <f>VLOOKUP(A285,' Measure INDEX'!$B$9:$B$795,1,FALSE)</f>
        <v>#N/A</v>
      </c>
    </row>
    <row r="286" spans="1:2" x14ac:dyDescent="0.35">
      <c r="A286" t="s">
        <v>4008</v>
      </c>
      <c r="B286" t="e">
        <f>VLOOKUP(A286,' Measure INDEX'!$B$9:$B$795,1,FALSE)</f>
        <v>#N/A</v>
      </c>
    </row>
    <row r="287" spans="1:2" x14ac:dyDescent="0.35">
      <c r="A287" t="s">
        <v>4009</v>
      </c>
      <c r="B287" t="e">
        <f>VLOOKUP(A287,' Measure INDEX'!$B$9:$B$795,1,FALSE)</f>
        <v>#N/A</v>
      </c>
    </row>
    <row r="288" spans="1:2" x14ac:dyDescent="0.35">
      <c r="A288" t="s">
        <v>4010</v>
      </c>
      <c r="B288" t="e">
        <f>VLOOKUP(A288,' Measure INDEX'!$B$9:$B$795,1,FALSE)</f>
        <v>#N/A</v>
      </c>
    </row>
    <row r="289" spans="1:2" x14ac:dyDescent="0.35">
      <c r="A289" t="s">
        <v>4011</v>
      </c>
      <c r="B289" t="e">
        <f>VLOOKUP(A289,' Measure INDEX'!$B$9:$B$795,1,FALSE)</f>
        <v>#N/A</v>
      </c>
    </row>
    <row r="290" spans="1:2" x14ac:dyDescent="0.35">
      <c r="A290" t="s">
        <v>4012</v>
      </c>
      <c r="B290" t="e">
        <f>VLOOKUP(A290,' Measure INDEX'!$B$9:$B$795,1,FALSE)</f>
        <v>#N/A</v>
      </c>
    </row>
    <row r="291" spans="1:2" x14ac:dyDescent="0.35">
      <c r="A291" t="s">
        <v>4013</v>
      </c>
      <c r="B291" t="e">
        <f>VLOOKUP(A291,' Measure INDEX'!$B$9:$B$795,1,FALSE)</f>
        <v>#N/A</v>
      </c>
    </row>
    <row r="292" spans="1:2" x14ac:dyDescent="0.35">
      <c r="A292" t="s">
        <v>4014</v>
      </c>
      <c r="B292" t="e">
        <f>VLOOKUP(A292,' Measure INDEX'!$B$9:$B$795,1,FALSE)</f>
        <v>#N/A</v>
      </c>
    </row>
    <row r="293" spans="1:2" x14ac:dyDescent="0.35">
      <c r="A293" t="s">
        <v>4015</v>
      </c>
      <c r="B293" t="e">
        <f>VLOOKUP(A293,' Measure INDEX'!$B$9:$B$795,1,FALSE)</f>
        <v>#N/A</v>
      </c>
    </row>
    <row r="294" spans="1:2" x14ac:dyDescent="0.35">
      <c r="A294" t="s">
        <v>4016</v>
      </c>
      <c r="B294" t="e">
        <f>VLOOKUP(A294,' Measure INDEX'!$B$9:$B$795,1,FALSE)</f>
        <v>#N/A</v>
      </c>
    </row>
    <row r="295" spans="1:2" x14ac:dyDescent="0.35">
      <c r="A295" t="s">
        <v>4017</v>
      </c>
      <c r="B295" t="e">
        <f>VLOOKUP(A295,' Measure INDEX'!$B$9:$B$795,1,FALSE)</f>
        <v>#N/A</v>
      </c>
    </row>
    <row r="296" spans="1:2" x14ac:dyDescent="0.35">
      <c r="A296" t="s">
        <v>4018</v>
      </c>
      <c r="B296" t="e">
        <f>VLOOKUP(A296,' Measure INDEX'!$B$9:$B$795,1,FALSE)</f>
        <v>#N/A</v>
      </c>
    </row>
    <row r="297" spans="1:2" x14ac:dyDescent="0.35">
      <c r="A297" t="s">
        <v>4020</v>
      </c>
      <c r="B297" t="e">
        <f>VLOOKUP(A297,' Measure INDEX'!$B$9:$B$795,1,FALSE)</f>
        <v>#N/A</v>
      </c>
    </row>
    <row r="298" spans="1:2" x14ac:dyDescent="0.35">
      <c r="A298" t="s">
        <v>4021</v>
      </c>
      <c r="B298" t="e">
        <f>VLOOKUP(A298,' Measure INDEX'!$B$9:$B$795,1,FALSE)</f>
        <v>#N/A</v>
      </c>
    </row>
    <row r="299" spans="1:2" x14ac:dyDescent="0.35">
      <c r="A299" t="s">
        <v>4023</v>
      </c>
      <c r="B299" t="e">
        <f>VLOOKUP(A299,' Measure INDEX'!$B$9:$B$795,1,FALSE)</f>
        <v>#N/A</v>
      </c>
    </row>
    <row r="300" spans="1:2" x14ac:dyDescent="0.35">
      <c r="A300" t="s">
        <v>4024</v>
      </c>
      <c r="B300" t="e">
        <f>VLOOKUP(A300,' Measure INDEX'!$B$9:$B$795,1,FALSE)</f>
        <v>#N/A</v>
      </c>
    </row>
    <row r="301" spans="1:2" x14ac:dyDescent="0.35">
      <c r="A301" t="s">
        <v>4026</v>
      </c>
      <c r="B301" t="e">
        <f>VLOOKUP(A301,' Measure INDEX'!$B$9:$B$795,1,FALSE)</f>
        <v>#N/A</v>
      </c>
    </row>
    <row r="302" spans="1:2" x14ac:dyDescent="0.35">
      <c r="A302" t="s">
        <v>4028</v>
      </c>
      <c r="B302" t="e">
        <f>VLOOKUP(A302,' Measure INDEX'!$B$9:$B$795,1,FALSE)</f>
        <v>#N/A</v>
      </c>
    </row>
    <row r="303" spans="1:2" x14ac:dyDescent="0.35">
      <c r="A303" t="s">
        <v>4030</v>
      </c>
      <c r="B303" t="e">
        <f>VLOOKUP(A303,' Measure INDEX'!$B$9:$B$795,1,FALSE)</f>
        <v>#N/A</v>
      </c>
    </row>
    <row r="304" spans="1:2" x14ac:dyDescent="0.35">
      <c r="A304" t="s">
        <v>4032</v>
      </c>
      <c r="B304" t="e">
        <f>VLOOKUP(A304,' Measure INDEX'!$B$9:$B$795,1,FALSE)</f>
        <v>#N/A</v>
      </c>
    </row>
    <row r="305" spans="1:2" x14ac:dyDescent="0.35">
      <c r="A305" t="s">
        <v>4034</v>
      </c>
      <c r="B305" t="e">
        <f>VLOOKUP(A305,' Measure INDEX'!$B$9:$B$795,1,FALSE)</f>
        <v>#N/A</v>
      </c>
    </row>
    <row r="306" spans="1:2" x14ac:dyDescent="0.35">
      <c r="A306" t="s">
        <v>4036</v>
      </c>
      <c r="B306" t="e">
        <f>VLOOKUP(A306,' Measure INDEX'!$B$9:$B$795,1,FALSE)</f>
        <v>#N/A</v>
      </c>
    </row>
    <row r="307" spans="1:2" x14ac:dyDescent="0.35">
      <c r="A307" t="s">
        <v>4038</v>
      </c>
      <c r="B307" t="e">
        <f>VLOOKUP(A307,' Measure INDEX'!$B$9:$B$795,1,FALSE)</f>
        <v>#N/A</v>
      </c>
    </row>
    <row r="308" spans="1:2" x14ac:dyDescent="0.35">
      <c r="A308" t="s">
        <v>4040</v>
      </c>
      <c r="B308" t="e">
        <f>VLOOKUP(A308,' Measure INDEX'!$B$9:$B$795,1,FALSE)</f>
        <v>#N/A</v>
      </c>
    </row>
    <row r="309" spans="1:2" x14ac:dyDescent="0.35">
      <c r="A309" t="s">
        <v>4042</v>
      </c>
      <c r="B309" t="e">
        <f>VLOOKUP(A309,' Measure INDEX'!$B$9:$B$795,1,FALSE)</f>
        <v>#N/A</v>
      </c>
    </row>
    <row r="310" spans="1:2" x14ac:dyDescent="0.35">
      <c r="A310" t="s">
        <v>4043</v>
      </c>
      <c r="B310" t="e">
        <f>VLOOKUP(A310,' Measure INDEX'!$B$9:$B$795,1,FALSE)</f>
        <v>#N/A</v>
      </c>
    </row>
    <row r="311" spans="1:2" x14ac:dyDescent="0.35">
      <c r="A311" t="s">
        <v>1089</v>
      </c>
      <c r="B311" t="str">
        <f>VLOOKUP(A311,' Measure INDEX'!$B$9:$B$795,1,FALSE)</f>
        <v>351900_2019_12_</v>
      </c>
    </row>
    <row r="312" spans="1:2" x14ac:dyDescent="0.35">
      <c r="A312" t="s">
        <v>1093</v>
      </c>
      <c r="B312" t="str">
        <f>VLOOKUP(A312,' Measure INDEX'!$B$9:$B$795,1,FALSE)</f>
        <v>351901_2019_12_</v>
      </c>
    </row>
    <row r="313" spans="1:2" x14ac:dyDescent="0.35">
      <c r="A313" t="s">
        <v>1095</v>
      </c>
      <c r="B313" t="str">
        <f>VLOOKUP(A313,' Measure INDEX'!$B$9:$B$795,1,FALSE)</f>
        <v>351950_2019_12_</v>
      </c>
    </row>
    <row r="314" spans="1:2" x14ac:dyDescent="0.35">
      <c r="A314" t="s">
        <v>1097</v>
      </c>
      <c r="B314" t="str">
        <f>VLOOKUP(A314,' Measure INDEX'!$B$9:$B$795,1,FALSE)</f>
        <v>351951_2019_12_</v>
      </c>
    </row>
    <row r="315" spans="1:2" x14ac:dyDescent="0.35">
      <c r="A315" t="s">
        <v>1099</v>
      </c>
      <c r="B315" t="str">
        <f>VLOOKUP(A315,' Measure INDEX'!$B$9:$B$795,1,FALSE)</f>
        <v>352000_2019_12_</v>
      </c>
    </row>
    <row r="316" spans="1:2" x14ac:dyDescent="0.35">
      <c r="A316" t="s">
        <v>1101</v>
      </c>
      <c r="B316" t="str">
        <f>VLOOKUP(A316,' Measure INDEX'!$B$9:$B$795,1,FALSE)</f>
        <v>352001_2019_12_</v>
      </c>
    </row>
    <row r="317" spans="1:2" x14ac:dyDescent="0.35">
      <c r="A317" t="s">
        <v>4044</v>
      </c>
      <c r="B317" t="e">
        <f>VLOOKUP(A317,' Measure INDEX'!$B$9:$B$795,1,FALSE)</f>
        <v>#N/A</v>
      </c>
    </row>
    <row r="318" spans="1:2" x14ac:dyDescent="0.35">
      <c r="A318" t="s">
        <v>4045</v>
      </c>
      <c r="B318" t="e">
        <f>VLOOKUP(A318,' Measure INDEX'!$B$9:$B$795,1,FALSE)</f>
        <v>#N/A</v>
      </c>
    </row>
    <row r="319" spans="1:2" x14ac:dyDescent="0.35">
      <c r="A319" t="s">
        <v>4046</v>
      </c>
      <c r="B319" t="e">
        <f>VLOOKUP(A319,' Measure INDEX'!$B$9:$B$795,1,FALSE)</f>
        <v>#N/A</v>
      </c>
    </row>
    <row r="320" spans="1:2" x14ac:dyDescent="0.35">
      <c r="A320" t="s">
        <v>4047</v>
      </c>
      <c r="B320" t="e">
        <f>VLOOKUP(A320,' Measure INDEX'!$B$9:$B$795,1,FALSE)</f>
        <v>#N/A</v>
      </c>
    </row>
    <row r="321" spans="1:2" x14ac:dyDescent="0.35">
      <c r="A321" t="s">
        <v>1146</v>
      </c>
      <c r="B321" t="e">
        <f>VLOOKUP(A321,' Measure INDEX'!$B$9:$B$795,1,FALSE)</f>
        <v>#N/A</v>
      </c>
    </row>
    <row r="322" spans="1:2" x14ac:dyDescent="0.35">
      <c r="A322" t="s">
        <v>1154</v>
      </c>
      <c r="B322" t="e">
        <f>VLOOKUP(A322,' Measure INDEX'!$B$9:$B$795,1,FALSE)</f>
        <v>#N/A</v>
      </c>
    </row>
    <row r="323" spans="1:2" x14ac:dyDescent="0.35">
      <c r="A323" t="s">
        <v>1158</v>
      </c>
      <c r="B323" t="e">
        <f>VLOOKUP(A323,' Measure INDEX'!$B$9:$B$795,1,FALSE)</f>
        <v>#N/A</v>
      </c>
    </row>
    <row r="324" spans="1:2" x14ac:dyDescent="0.35">
      <c r="A324" t="s">
        <v>1163</v>
      </c>
      <c r="B324" t="e">
        <f>VLOOKUP(A324,' Measure INDEX'!$B$9:$B$795,1,FALSE)</f>
        <v>#N/A</v>
      </c>
    </row>
    <row r="325" spans="1:2" x14ac:dyDescent="0.35">
      <c r="A325" t="s">
        <v>1166</v>
      </c>
      <c r="B325" t="e">
        <f>VLOOKUP(A325,' Measure INDEX'!$B$9:$B$795,1,FALSE)</f>
        <v>#N/A</v>
      </c>
    </row>
    <row r="326" spans="1:2" x14ac:dyDescent="0.35">
      <c r="A326" t="s">
        <v>1173</v>
      </c>
      <c r="B326" t="e">
        <f>VLOOKUP(A326,' Measure INDEX'!$B$9:$B$795,1,FALSE)</f>
        <v>#N/A</v>
      </c>
    </row>
    <row r="327" spans="1:2" x14ac:dyDescent="0.35">
      <c r="A327" t="s">
        <v>1177</v>
      </c>
      <c r="B327" t="e">
        <f>VLOOKUP(A327,' Measure INDEX'!$B$9:$B$795,1,FALSE)</f>
        <v>#N/A</v>
      </c>
    </row>
    <row r="328" spans="1:2" x14ac:dyDescent="0.35">
      <c r="A328" t="s">
        <v>1180</v>
      </c>
      <c r="B328" t="e">
        <f>VLOOKUP(A328,' Measure INDEX'!$B$9:$B$795,1,FALSE)</f>
        <v>#N/A</v>
      </c>
    </row>
    <row r="329" spans="1:2" x14ac:dyDescent="0.35">
      <c r="A329" t="s">
        <v>1183</v>
      </c>
      <c r="B329" t="e">
        <f>VLOOKUP(A329,' Measure INDEX'!$B$9:$B$795,1,FALSE)</f>
        <v>#N/A</v>
      </c>
    </row>
    <row r="330" spans="1:2" x14ac:dyDescent="0.35">
      <c r="A330" t="s">
        <v>1187</v>
      </c>
      <c r="B330" t="e">
        <f>VLOOKUP(A330,' Measure INDEX'!$B$9:$B$795,1,FALSE)</f>
        <v>#N/A</v>
      </c>
    </row>
    <row r="331" spans="1:2" x14ac:dyDescent="0.35">
      <c r="A331" t="s">
        <v>1191</v>
      </c>
      <c r="B331" t="e">
        <f>VLOOKUP(A331,' Measure INDEX'!$B$9:$B$795,1,FALSE)</f>
        <v>#N/A</v>
      </c>
    </row>
    <row r="332" spans="1:2" x14ac:dyDescent="0.35">
      <c r="A332" t="s">
        <v>1195</v>
      </c>
      <c r="B332" t="e">
        <f>VLOOKUP(A332,' Measure INDEX'!$B$9:$B$795,1,FALSE)</f>
        <v>#N/A</v>
      </c>
    </row>
    <row r="333" spans="1:2" x14ac:dyDescent="0.35">
      <c r="A333" t="s">
        <v>1205</v>
      </c>
      <c r="B333" t="str">
        <f>VLOOKUP(A333,' Measure INDEX'!$B$9:$B$795,1,FALSE)</f>
        <v>352800_2019_12_</v>
      </c>
    </row>
    <row r="334" spans="1:2" x14ac:dyDescent="0.35">
      <c r="A334" t="s">
        <v>1207</v>
      </c>
      <c r="B334" t="e">
        <f>VLOOKUP(A334,' Measure INDEX'!$B$9:$B$795,1,FALSE)</f>
        <v>#N/A</v>
      </c>
    </row>
    <row r="335" spans="1:2" x14ac:dyDescent="0.35">
      <c r="A335" t="s">
        <v>1213</v>
      </c>
      <c r="B335" t="e">
        <f>VLOOKUP(A335,' Measure INDEX'!$B$9:$B$795,1,FALSE)</f>
        <v>#N/A</v>
      </c>
    </row>
    <row r="336" spans="1:2" x14ac:dyDescent="0.35">
      <c r="A336" t="s">
        <v>1217</v>
      </c>
      <c r="B336" t="e">
        <f>VLOOKUP(A336,' Measure INDEX'!$B$9:$B$795,1,FALSE)</f>
        <v>#N/A</v>
      </c>
    </row>
    <row r="337" spans="1:2" x14ac:dyDescent="0.35">
      <c r="A337" t="s">
        <v>1221</v>
      </c>
      <c r="B337" t="e">
        <f>VLOOKUP(A337,' Measure INDEX'!$B$9:$B$795,1,FALSE)</f>
        <v>#N/A</v>
      </c>
    </row>
    <row r="338" spans="1:2" x14ac:dyDescent="0.35">
      <c r="A338" t="s">
        <v>1224</v>
      </c>
      <c r="B338" t="e">
        <f>VLOOKUP(A338,' Measure INDEX'!$B$9:$B$795,1,FALSE)</f>
        <v>#N/A</v>
      </c>
    </row>
    <row r="339" spans="1:2" x14ac:dyDescent="0.35">
      <c r="A339" t="s">
        <v>1227</v>
      </c>
      <c r="B339" t="str">
        <f>VLOOKUP(A339,' Measure INDEX'!$B$9:$B$795,1,FALSE)</f>
        <v>352950_2019_12_</v>
      </c>
    </row>
    <row r="340" spans="1:2" x14ac:dyDescent="0.35">
      <c r="A340" t="s">
        <v>1229</v>
      </c>
      <c r="B340" t="str">
        <f>VLOOKUP(A340,' Measure INDEX'!$B$9:$B$795,1,FALSE)</f>
        <v>352951_2019_12_</v>
      </c>
    </row>
    <row r="341" spans="1:2" x14ac:dyDescent="0.35">
      <c r="A341" t="s">
        <v>1235</v>
      </c>
      <c r="B341" t="e">
        <f>VLOOKUP(A341,' Measure INDEX'!$B$9:$B$795,1,FALSE)</f>
        <v>#N/A</v>
      </c>
    </row>
    <row r="342" spans="1:2" x14ac:dyDescent="0.35">
      <c r="A342" t="s">
        <v>1239</v>
      </c>
      <c r="B342" t="e">
        <f>VLOOKUP(A342,' Measure INDEX'!$B$9:$B$795,1,FALSE)</f>
        <v>#N/A</v>
      </c>
    </row>
    <row r="343" spans="1:2" x14ac:dyDescent="0.35">
      <c r="A343" t="s">
        <v>1249</v>
      </c>
      <c r="B343" t="e">
        <f>VLOOKUP(A343,' Measure INDEX'!$B$9:$B$795,1,FALSE)</f>
        <v>#N/A</v>
      </c>
    </row>
    <row r="344" spans="1:2" x14ac:dyDescent="0.35">
      <c r="A344" t="s">
        <v>1252</v>
      </c>
      <c r="B344" t="e">
        <f>VLOOKUP(A344,' Measure INDEX'!$B$9:$B$795,1,FALSE)</f>
        <v>#N/A</v>
      </c>
    </row>
    <row r="345" spans="1:2" x14ac:dyDescent="0.35">
      <c r="A345" t="s">
        <v>1255</v>
      </c>
      <c r="B345" t="e">
        <f>VLOOKUP(A345,' Measure INDEX'!$B$9:$B$795,1,FALSE)</f>
        <v>#N/A</v>
      </c>
    </row>
    <row r="346" spans="1:2" x14ac:dyDescent="0.35">
      <c r="A346" t="s">
        <v>1258</v>
      </c>
      <c r="B346" t="str">
        <f>VLOOKUP(A346,' Measure INDEX'!$B$9:$B$795,1,FALSE)</f>
        <v>353150_2019_12_</v>
      </c>
    </row>
    <row r="347" spans="1:2" x14ac:dyDescent="0.35">
      <c r="A347" t="s">
        <v>1260</v>
      </c>
      <c r="B347" t="str">
        <f>VLOOKUP(A347,' Measure INDEX'!$B$9:$B$795,1,FALSE)</f>
        <v>353151_2019_12_</v>
      </c>
    </row>
    <row r="348" spans="1:2" x14ac:dyDescent="0.35">
      <c r="A348" t="s">
        <v>1266</v>
      </c>
      <c r="B348" t="e">
        <f>VLOOKUP(A348,' Measure INDEX'!$B$9:$B$795,1,FALSE)</f>
        <v>#N/A</v>
      </c>
    </row>
    <row r="349" spans="1:2" x14ac:dyDescent="0.35">
      <c r="A349" t="s">
        <v>1269</v>
      </c>
      <c r="B349" t="e">
        <f>VLOOKUP(A349,' Measure INDEX'!$B$9:$B$795,1,FALSE)</f>
        <v>#N/A</v>
      </c>
    </row>
    <row r="350" spans="1:2" x14ac:dyDescent="0.35">
      <c r="A350" t="s">
        <v>1272</v>
      </c>
      <c r="B350" t="e">
        <f>VLOOKUP(A350,' Measure INDEX'!$B$9:$B$795,1,FALSE)</f>
        <v>#N/A</v>
      </c>
    </row>
    <row r="351" spans="1:2" x14ac:dyDescent="0.35">
      <c r="A351" t="s">
        <v>1279</v>
      </c>
      <c r="B351" t="e">
        <f>VLOOKUP(A351,' Measure INDEX'!$B$9:$B$795,1,FALSE)</f>
        <v>#N/A</v>
      </c>
    </row>
    <row r="352" spans="1:2" x14ac:dyDescent="0.35">
      <c r="A352" t="s">
        <v>1282</v>
      </c>
      <c r="B352" t="e">
        <f>VLOOKUP(A352,' Measure INDEX'!$B$9:$B$795,1,FALSE)</f>
        <v>#N/A</v>
      </c>
    </row>
    <row r="353" spans="1:2" x14ac:dyDescent="0.35">
      <c r="A353" t="s">
        <v>1285</v>
      </c>
      <c r="B353" t="str">
        <f>VLOOKUP(A353,' Measure INDEX'!$B$9:$B$795,1,FALSE)</f>
        <v>353351_2019_12_</v>
      </c>
    </row>
    <row r="354" spans="1:2" x14ac:dyDescent="0.35">
      <c r="A354" t="s">
        <v>1291</v>
      </c>
      <c r="B354" t="e">
        <f>VLOOKUP(A354,' Measure INDEX'!$B$9:$B$795,1,FALSE)</f>
        <v>#N/A</v>
      </c>
    </row>
    <row r="355" spans="1:2" x14ac:dyDescent="0.35">
      <c r="A355" t="s">
        <v>1298</v>
      </c>
      <c r="B355" t="e">
        <f>VLOOKUP(A355,' Measure INDEX'!$B$9:$B$795,1,FALSE)</f>
        <v>#N/A</v>
      </c>
    </row>
    <row r="356" spans="1:2" x14ac:dyDescent="0.35">
      <c r="A356" t="s">
        <v>1301</v>
      </c>
      <c r="B356" t="str">
        <f>VLOOKUP(A356,' Measure INDEX'!$B$9:$B$795,1,FALSE)</f>
        <v>353500_2019_12_</v>
      </c>
    </row>
    <row r="357" spans="1:2" x14ac:dyDescent="0.35">
      <c r="A357" t="s">
        <v>1303</v>
      </c>
      <c r="B357" t="str">
        <f>VLOOKUP(A357,' Measure INDEX'!$B$9:$B$795,1,FALSE)</f>
        <v>353501_2019_12_</v>
      </c>
    </row>
    <row r="358" spans="1:2" x14ac:dyDescent="0.35">
      <c r="A358" t="s">
        <v>1309</v>
      </c>
      <c r="B358" t="e">
        <f>VLOOKUP(A358,' Measure INDEX'!$B$9:$B$795,1,FALSE)</f>
        <v>#N/A</v>
      </c>
    </row>
    <row r="359" spans="1:2" x14ac:dyDescent="0.35">
      <c r="A359" t="s">
        <v>1316</v>
      </c>
      <c r="B359" t="str">
        <f>VLOOKUP(A359,' Measure INDEX'!$B$9:$B$795,1,FALSE)</f>
        <v>353600_2019_12_</v>
      </c>
    </row>
    <row r="360" spans="1:2" x14ac:dyDescent="0.35">
      <c r="A360" t="s">
        <v>1319</v>
      </c>
      <c r="B360" t="str">
        <f>VLOOKUP(A360,' Measure INDEX'!$B$9:$B$795,1,FALSE)</f>
        <v>353601_2019_12_</v>
      </c>
    </row>
    <row r="361" spans="1:2" x14ac:dyDescent="0.35">
      <c r="A361" t="s">
        <v>1328</v>
      </c>
      <c r="B361" t="e">
        <f>VLOOKUP(A361,' Measure INDEX'!$B$9:$B$795,1,FALSE)</f>
        <v>#N/A</v>
      </c>
    </row>
    <row r="362" spans="1:2" x14ac:dyDescent="0.35">
      <c r="A362" t="s">
        <v>1331</v>
      </c>
      <c r="B362" t="str">
        <f>VLOOKUP(A362,' Measure INDEX'!$B$9:$B$795,1,FALSE)</f>
        <v>353700_2019_12_</v>
      </c>
    </row>
    <row r="363" spans="1:2" x14ac:dyDescent="0.35">
      <c r="A363" t="s">
        <v>1333</v>
      </c>
      <c r="B363" t="str">
        <f>VLOOKUP(A363,' Measure INDEX'!$B$9:$B$795,1,FALSE)</f>
        <v>353701_2019_12_</v>
      </c>
    </row>
    <row r="364" spans="1:2" x14ac:dyDescent="0.35">
      <c r="A364" t="s">
        <v>1339</v>
      </c>
      <c r="B364" t="e">
        <f>VLOOKUP(A364,' Measure INDEX'!$B$9:$B$795,1,FALSE)</f>
        <v>#N/A</v>
      </c>
    </row>
    <row r="365" spans="1:2" x14ac:dyDescent="0.35">
      <c r="A365" t="s">
        <v>1343</v>
      </c>
      <c r="B365" t="e">
        <f>VLOOKUP(A365,' Measure INDEX'!$B$9:$B$795,1,FALSE)</f>
        <v>#N/A</v>
      </c>
    </row>
    <row r="366" spans="1:2" x14ac:dyDescent="0.35">
      <c r="A366" t="s">
        <v>1346</v>
      </c>
      <c r="B366" t="e">
        <f>VLOOKUP(A366,' Measure INDEX'!$B$9:$B$795,1,FALSE)</f>
        <v>#N/A</v>
      </c>
    </row>
    <row r="367" spans="1:2" x14ac:dyDescent="0.35">
      <c r="A367" t="s">
        <v>1350</v>
      </c>
      <c r="B367" t="e">
        <f>VLOOKUP(A367,' Measure INDEX'!$B$9:$B$795,1,FALSE)</f>
        <v>#N/A</v>
      </c>
    </row>
    <row r="368" spans="1:2" x14ac:dyDescent="0.35">
      <c r="A368" t="s">
        <v>1353</v>
      </c>
      <c r="B368" t="e">
        <f>VLOOKUP(A368,' Measure INDEX'!$B$9:$B$795,1,FALSE)</f>
        <v>#N/A</v>
      </c>
    </row>
    <row r="369" spans="1:2" x14ac:dyDescent="0.35">
      <c r="A369" t="s">
        <v>1357</v>
      </c>
      <c r="B369" t="e">
        <f>VLOOKUP(A369,' Measure INDEX'!$B$9:$B$795,1,FALSE)</f>
        <v>#N/A</v>
      </c>
    </row>
    <row r="370" spans="1:2" x14ac:dyDescent="0.35">
      <c r="A370" t="s">
        <v>1360</v>
      </c>
      <c r="B370" t="e">
        <f>VLOOKUP(A370,' Measure INDEX'!$B$9:$B$795,1,FALSE)</f>
        <v>#N/A</v>
      </c>
    </row>
    <row r="371" spans="1:2" x14ac:dyDescent="0.35">
      <c r="A371" t="s">
        <v>1367</v>
      </c>
      <c r="B371" t="str">
        <f>VLOOKUP(A371,' Measure INDEX'!$B$9:$B$795,1,FALSE)</f>
        <v>354150_2019_12_</v>
      </c>
    </row>
    <row r="372" spans="1:2" x14ac:dyDescent="0.35">
      <c r="A372" t="s">
        <v>1370</v>
      </c>
      <c r="B372" t="str">
        <f>VLOOKUP(A372,' Measure INDEX'!$B$9:$B$795,1,FALSE)</f>
        <v>354151_2019_12_</v>
      </c>
    </row>
    <row r="373" spans="1:2" x14ac:dyDescent="0.35">
      <c r="A373" t="s">
        <v>1379</v>
      </c>
      <c r="B373" t="str">
        <f>VLOOKUP(A373,' Measure INDEX'!$B$9:$B$795,1,FALSE)</f>
        <v>354200_2019_12_</v>
      </c>
    </row>
    <row r="374" spans="1:2" x14ac:dyDescent="0.35">
      <c r="A374" t="s">
        <v>1382</v>
      </c>
      <c r="B374" t="str">
        <f>VLOOKUP(A374,' Measure INDEX'!$B$9:$B$795,1,FALSE)</f>
        <v>354201_2019_12_</v>
      </c>
    </row>
    <row r="375" spans="1:2" x14ac:dyDescent="0.35">
      <c r="A375" t="s">
        <v>1385</v>
      </c>
      <c r="B375" t="e">
        <f>VLOOKUP(A375,' Measure INDEX'!$B$9:$B$795,1,FALSE)</f>
        <v>#N/A</v>
      </c>
    </row>
    <row r="376" spans="1:2" x14ac:dyDescent="0.35">
      <c r="A376" t="s">
        <v>1392</v>
      </c>
      <c r="B376" t="e">
        <f>VLOOKUP(A376,' Measure INDEX'!$B$9:$B$795,1,FALSE)</f>
        <v>#N/A</v>
      </c>
    </row>
    <row r="377" spans="1:2" x14ac:dyDescent="0.35">
      <c r="A377" t="s">
        <v>1396</v>
      </c>
      <c r="B377" t="e">
        <f>VLOOKUP(A377,' Measure INDEX'!$B$9:$B$795,1,FALSE)</f>
        <v>#N/A</v>
      </c>
    </row>
    <row r="378" spans="1:2" x14ac:dyDescent="0.35">
      <c r="A378" t="s">
        <v>1406</v>
      </c>
      <c r="B378" t="e">
        <f>VLOOKUP(A378,' Measure INDEX'!$B$9:$B$795,1,FALSE)</f>
        <v>#N/A</v>
      </c>
    </row>
    <row r="379" spans="1:2" x14ac:dyDescent="0.35">
      <c r="A379" t="s">
        <v>1410</v>
      </c>
      <c r="B379" t="e">
        <f>VLOOKUP(A379,' Measure INDEX'!$B$9:$B$795,1,FALSE)</f>
        <v>#N/A</v>
      </c>
    </row>
    <row r="380" spans="1:2" x14ac:dyDescent="0.35">
      <c r="A380" t="s">
        <v>1414</v>
      </c>
      <c r="B380" t="e">
        <f>VLOOKUP(A380,' Measure INDEX'!$B$9:$B$795,1,FALSE)</f>
        <v>#N/A</v>
      </c>
    </row>
    <row r="381" spans="1:2" x14ac:dyDescent="0.35">
      <c r="A381" t="s">
        <v>1421</v>
      </c>
      <c r="B381" t="str">
        <f>VLOOKUP(A381,' Measure INDEX'!$B$9:$B$795,1,FALSE)</f>
        <v>354450_2019_12_</v>
      </c>
    </row>
    <row r="382" spans="1:2" x14ac:dyDescent="0.35">
      <c r="A382" t="s">
        <v>1424</v>
      </c>
      <c r="B382" t="str">
        <f>VLOOKUP(A382,' Measure INDEX'!$B$9:$B$795,1,FALSE)</f>
        <v>354451_2019_12_</v>
      </c>
    </row>
    <row r="383" spans="1:2" x14ac:dyDescent="0.35">
      <c r="A383" t="s">
        <v>1433</v>
      </c>
      <c r="B383" t="str">
        <f>VLOOKUP(A383,' Measure INDEX'!$B$9:$B$795,1,FALSE)</f>
        <v>354500_2019_12_</v>
      </c>
    </row>
    <row r="384" spans="1:2" x14ac:dyDescent="0.35">
      <c r="A384" t="s">
        <v>1436</v>
      </c>
      <c r="B384" t="str">
        <f>VLOOKUP(A384,' Measure INDEX'!$B$9:$B$795,1,FALSE)</f>
        <v>354501_2019_12_</v>
      </c>
    </row>
    <row r="385" spans="1:2" x14ac:dyDescent="0.35">
      <c r="A385" t="s">
        <v>1439</v>
      </c>
      <c r="B385" t="e">
        <f>VLOOKUP(A385,' Measure INDEX'!$B$9:$B$795,1,FALSE)</f>
        <v>#N/A</v>
      </c>
    </row>
    <row r="386" spans="1:2" x14ac:dyDescent="0.35">
      <c r="A386" t="s">
        <v>1443</v>
      </c>
      <c r="B386" t="e">
        <f>VLOOKUP(A386,' Measure INDEX'!$B$9:$B$795,1,FALSE)</f>
        <v>#N/A</v>
      </c>
    </row>
    <row r="387" spans="1:2" x14ac:dyDescent="0.35">
      <c r="A387" t="s">
        <v>1446</v>
      </c>
      <c r="B387" t="str">
        <f>VLOOKUP(A387,' Measure INDEX'!$B$9:$B$795,1,FALSE)</f>
        <v>354650_2019_12_</v>
      </c>
    </row>
    <row r="388" spans="1:2" x14ac:dyDescent="0.35">
      <c r="A388" t="s">
        <v>1449</v>
      </c>
      <c r="B388" t="str">
        <f>VLOOKUP(A388,' Measure INDEX'!$B$9:$B$795,1,FALSE)</f>
        <v>354651_2019_12_</v>
      </c>
    </row>
    <row r="389" spans="1:2" x14ac:dyDescent="0.35">
      <c r="A389" t="s">
        <v>1458</v>
      </c>
      <c r="B389" t="str">
        <f>VLOOKUP(A389,' Measure INDEX'!$B$9:$B$795,1,FALSE)</f>
        <v>354700_2019_12_</v>
      </c>
    </row>
    <row r="390" spans="1:2" x14ac:dyDescent="0.35">
      <c r="A390" t="s">
        <v>1461</v>
      </c>
      <c r="B390" t="str">
        <f>VLOOKUP(A390,' Measure INDEX'!$B$9:$B$795,1,FALSE)</f>
        <v>354701_2019_12_</v>
      </c>
    </row>
    <row r="391" spans="1:2" x14ac:dyDescent="0.35">
      <c r="A391" t="s">
        <v>1464</v>
      </c>
      <c r="B391" t="e">
        <f>VLOOKUP(A391,' Measure INDEX'!$B$9:$B$795,1,FALSE)</f>
        <v>#N/A</v>
      </c>
    </row>
    <row r="392" spans="1:2" x14ac:dyDescent="0.35">
      <c r="A392" t="s">
        <v>1468</v>
      </c>
      <c r="B392" t="e">
        <f>VLOOKUP(A392,' Measure INDEX'!$B$9:$B$795,1,FALSE)</f>
        <v>#N/A</v>
      </c>
    </row>
    <row r="393" spans="1:2" x14ac:dyDescent="0.35">
      <c r="A393" t="s">
        <v>1471</v>
      </c>
      <c r="B393" t="str">
        <f>VLOOKUP(A393,' Measure INDEX'!$B$9:$B$795,1,FALSE)</f>
        <v>354850_2019_12_</v>
      </c>
    </row>
    <row r="394" spans="1:2" x14ac:dyDescent="0.35">
      <c r="A394" t="s">
        <v>1473</v>
      </c>
      <c r="B394" t="str">
        <f>VLOOKUP(A394,' Measure INDEX'!$B$9:$B$795,1,FALSE)</f>
        <v>354851_2019_12_</v>
      </c>
    </row>
    <row r="395" spans="1:2" x14ac:dyDescent="0.35">
      <c r="A395" t="s">
        <v>1479</v>
      </c>
      <c r="B395" t="str">
        <f>VLOOKUP(A395,' Measure INDEX'!$B$9:$B$795,1,FALSE)</f>
        <v>354900_2019_12_</v>
      </c>
    </row>
    <row r="396" spans="1:2" x14ac:dyDescent="0.35">
      <c r="A396" t="s">
        <v>1482</v>
      </c>
      <c r="B396" t="str">
        <f>VLOOKUP(A396,' Measure INDEX'!$B$9:$B$795,1,FALSE)</f>
        <v>354901_2019_12_</v>
      </c>
    </row>
    <row r="397" spans="1:2" x14ac:dyDescent="0.35">
      <c r="A397" t="s">
        <v>1485</v>
      </c>
      <c r="B397" t="str">
        <f>VLOOKUP(A397,' Measure INDEX'!$B$9:$B$795,1,FALSE)</f>
        <v>354950_2019_12_</v>
      </c>
    </row>
    <row r="398" spans="1:2" x14ac:dyDescent="0.35">
      <c r="A398" t="s">
        <v>1487</v>
      </c>
      <c r="B398" t="str">
        <f>VLOOKUP(A398,' Measure INDEX'!$B$9:$B$795,1,FALSE)</f>
        <v>354951_2019_12_</v>
      </c>
    </row>
    <row r="399" spans="1:2" x14ac:dyDescent="0.35">
      <c r="A399" t="s">
        <v>1489</v>
      </c>
      <c r="B399" t="str">
        <f>VLOOKUP(A399,' Measure INDEX'!$B$9:$B$795,1,FALSE)</f>
        <v>355000_2019_12_</v>
      </c>
    </row>
    <row r="400" spans="1:2" x14ac:dyDescent="0.35">
      <c r="A400" t="s">
        <v>1491</v>
      </c>
      <c r="B400" t="e">
        <f>VLOOKUP(A400,' Measure INDEX'!$B$9:$B$795,1,FALSE)</f>
        <v>#N/A</v>
      </c>
    </row>
    <row r="401" spans="1:2" x14ac:dyDescent="0.35">
      <c r="A401" t="s">
        <v>1493</v>
      </c>
      <c r="B401" t="str">
        <f>VLOOKUP(A401,' Measure INDEX'!$B$9:$B$795,1,FALSE)</f>
        <v>355050_2019_12_</v>
      </c>
    </row>
    <row r="402" spans="1:2" x14ac:dyDescent="0.35">
      <c r="A402" t="s">
        <v>1495</v>
      </c>
      <c r="B402" t="str">
        <f>VLOOKUP(A402,' Measure INDEX'!$B$9:$B$795,1,FALSE)</f>
        <v>355051_2019_12_</v>
      </c>
    </row>
    <row r="403" spans="1:2" x14ac:dyDescent="0.35">
      <c r="A403" t="s">
        <v>1497</v>
      </c>
      <c r="B403" t="str">
        <f>VLOOKUP(A403,' Measure INDEX'!$B$9:$B$795,1,FALSE)</f>
        <v>355100_2019_12_</v>
      </c>
    </row>
    <row r="404" spans="1:2" x14ac:dyDescent="0.35">
      <c r="A404" t="s">
        <v>1499</v>
      </c>
      <c r="B404" t="str">
        <f>VLOOKUP(A404,' Measure INDEX'!$B$9:$B$795,1,FALSE)</f>
        <v>355101_2019_12_</v>
      </c>
    </row>
    <row r="405" spans="1:2" x14ac:dyDescent="0.35">
      <c r="A405" t="s">
        <v>1501</v>
      </c>
      <c r="B405" t="str">
        <f>VLOOKUP(A405,' Measure INDEX'!$B$9:$B$795,1,FALSE)</f>
        <v>355150_2019_12_</v>
      </c>
    </row>
    <row r="406" spans="1:2" x14ac:dyDescent="0.35">
      <c r="A406" t="s">
        <v>1503</v>
      </c>
      <c r="B406" t="str">
        <f>VLOOKUP(A406,' Measure INDEX'!$B$9:$B$795,1,FALSE)</f>
        <v>355151_2019_12_</v>
      </c>
    </row>
    <row r="407" spans="1:2" x14ac:dyDescent="0.35">
      <c r="A407" t="s">
        <v>1520</v>
      </c>
      <c r="B407" t="str">
        <f>VLOOKUP(A407,' Measure INDEX'!$B$9:$B$795,1,FALSE)</f>
        <v>400050_2019_12_</v>
      </c>
    </row>
    <row r="408" spans="1:2" x14ac:dyDescent="0.35">
      <c r="A408" t="s">
        <v>1522</v>
      </c>
      <c r="B408" t="str">
        <f>VLOOKUP(A408,' Measure INDEX'!$B$9:$B$795,1,FALSE)</f>
        <v>400100_2019_12_</v>
      </c>
    </row>
    <row r="409" spans="1:2" x14ac:dyDescent="0.35">
      <c r="A409" t="s">
        <v>1524</v>
      </c>
      <c r="B409" t="str">
        <f>VLOOKUP(A409,' Measure INDEX'!$B$9:$B$795,1,FALSE)</f>
        <v>400101_2019_12_</v>
      </c>
    </row>
    <row r="410" spans="1:2" x14ac:dyDescent="0.35">
      <c r="A410" t="s">
        <v>1525</v>
      </c>
      <c r="B410" t="str">
        <f>VLOOKUP(A410,' Measure INDEX'!$B$9:$B$795,1,FALSE)</f>
        <v>400150_2019_12_</v>
      </c>
    </row>
    <row r="411" spans="1:2" x14ac:dyDescent="0.35">
      <c r="A411" t="s">
        <v>1527</v>
      </c>
      <c r="B411" t="str">
        <f>VLOOKUP(A411,' Measure INDEX'!$B$9:$B$795,1,FALSE)</f>
        <v>400200_2019_12_</v>
      </c>
    </row>
    <row r="412" spans="1:2" x14ac:dyDescent="0.35">
      <c r="A412" t="s">
        <v>1529</v>
      </c>
      <c r="B412" t="str">
        <f>VLOOKUP(A412,' Measure INDEX'!$B$9:$B$795,1,FALSE)</f>
        <v>400201_2019_12_</v>
      </c>
    </row>
    <row r="413" spans="1:2" x14ac:dyDescent="0.35">
      <c r="A413" t="s">
        <v>1530</v>
      </c>
      <c r="B413" t="str">
        <f>VLOOKUP(A413,' Measure INDEX'!$B$9:$B$795,1,FALSE)</f>
        <v>400250_2019_12_</v>
      </c>
    </row>
    <row r="414" spans="1:2" x14ac:dyDescent="0.35">
      <c r="A414" t="s">
        <v>1532</v>
      </c>
      <c r="B414" t="str">
        <f>VLOOKUP(A414,' Measure INDEX'!$B$9:$B$795,1,FALSE)</f>
        <v>400300_2019_12_</v>
      </c>
    </row>
    <row r="415" spans="1:2" x14ac:dyDescent="0.35">
      <c r="A415" t="s">
        <v>1534</v>
      </c>
      <c r="B415" t="str">
        <f>VLOOKUP(A415,' Measure INDEX'!$B$9:$B$795,1,FALSE)</f>
        <v>400301_2019_12_</v>
      </c>
    </row>
    <row r="416" spans="1:2" x14ac:dyDescent="0.35">
      <c r="A416" t="s">
        <v>1535</v>
      </c>
      <c r="B416" t="str">
        <f>VLOOKUP(A416,' Measure INDEX'!$B$9:$B$795,1,FALSE)</f>
        <v>400350_2019_12_</v>
      </c>
    </row>
    <row r="417" spans="1:2" x14ac:dyDescent="0.35">
      <c r="A417" t="s">
        <v>1537</v>
      </c>
      <c r="B417" t="str">
        <f>VLOOKUP(A417,' Measure INDEX'!$B$9:$B$795,1,FALSE)</f>
        <v>400400_2019_12_</v>
      </c>
    </row>
    <row r="418" spans="1:2" x14ac:dyDescent="0.35">
      <c r="A418" t="s">
        <v>1539</v>
      </c>
      <c r="B418" t="str">
        <f>VLOOKUP(A418,' Measure INDEX'!$B$9:$B$795,1,FALSE)</f>
        <v>400401_2019_12_</v>
      </c>
    </row>
    <row r="419" spans="1:2" x14ac:dyDescent="0.35">
      <c r="A419" t="s">
        <v>1557</v>
      </c>
      <c r="B419" t="str">
        <f>VLOOKUP(A419,' Measure INDEX'!$B$9:$B$795,1,FALSE)</f>
        <v>400450_2019_12_</v>
      </c>
    </row>
    <row r="420" spans="1:2" x14ac:dyDescent="0.35">
      <c r="A420" t="s">
        <v>1559</v>
      </c>
      <c r="B420" t="str">
        <f>VLOOKUP(A420,' Measure INDEX'!$B$9:$B$795,1,FALSE)</f>
        <v>400500_2019_12_</v>
      </c>
    </row>
    <row r="421" spans="1:2" x14ac:dyDescent="0.35">
      <c r="A421" t="s">
        <v>1560</v>
      </c>
      <c r="B421" t="str">
        <f>VLOOKUP(A421,' Measure INDEX'!$B$9:$B$795,1,FALSE)</f>
        <v>400550_2019_12_</v>
      </c>
    </row>
    <row r="422" spans="1:2" x14ac:dyDescent="0.35">
      <c r="A422" t="s">
        <v>1561</v>
      </c>
      <c r="B422" t="str">
        <f>VLOOKUP(A422,' Measure INDEX'!$B$9:$B$795,1,FALSE)</f>
        <v>400551_2019_12_</v>
      </c>
    </row>
    <row r="423" spans="1:2" x14ac:dyDescent="0.35">
      <c r="A423" t="s">
        <v>1562</v>
      </c>
      <c r="B423" t="str">
        <f>VLOOKUP(A423,' Measure INDEX'!$B$9:$B$795,1,FALSE)</f>
        <v>400600_2019_12_</v>
      </c>
    </row>
    <row r="424" spans="1:2" x14ac:dyDescent="0.35">
      <c r="A424" t="s">
        <v>1563</v>
      </c>
      <c r="B424" t="str">
        <f>VLOOKUP(A424,' Measure INDEX'!$B$9:$B$795,1,FALSE)</f>
        <v>400650_2019_12_</v>
      </c>
    </row>
    <row r="425" spans="1:2" x14ac:dyDescent="0.35">
      <c r="A425" t="s">
        <v>1564</v>
      </c>
      <c r="B425" t="str">
        <f>VLOOKUP(A425,' Measure INDEX'!$B$9:$B$795,1,FALSE)</f>
        <v>400651_2019_12_</v>
      </c>
    </row>
    <row r="426" spans="1:2" x14ac:dyDescent="0.35">
      <c r="A426" t="s">
        <v>1565</v>
      </c>
      <c r="B426" t="str">
        <f>VLOOKUP(A426,' Measure INDEX'!$B$9:$B$795,1,FALSE)</f>
        <v>400652_2019_12_</v>
      </c>
    </row>
    <row r="427" spans="1:2" x14ac:dyDescent="0.35">
      <c r="A427" t="s">
        <v>1581</v>
      </c>
      <c r="B427" t="str">
        <f>VLOOKUP(A427,' Measure INDEX'!$B$9:$B$795,1,FALSE)</f>
        <v>400700_2019_12_</v>
      </c>
    </row>
    <row r="428" spans="1:2" x14ac:dyDescent="0.35">
      <c r="A428" t="s">
        <v>1582</v>
      </c>
      <c r="B428" t="str">
        <f>VLOOKUP(A428,' Measure INDEX'!$B$9:$B$795,1,FALSE)</f>
        <v>400750_2019_12_</v>
      </c>
    </row>
    <row r="429" spans="1:2" x14ac:dyDescent="0.35">
      <c r="A429" t="s">
        <v>1583</v>
      </c>
      <c r="B429" t="str">
        <f>VLOOKUP(A429,' Measure INDEX'!$B$9:$B$795,1,FALSE)</f>
        <v>400800_2019_12_</v>
      </c>
    </row>
    <row r="430" spans="1:2" x14ac:dyDescent="0.35">
      <c r="A430" t="s">
        <v>1584</v>
      </c>
      <c r="B430" t="str">
        <f>VLOOKUP(A430,' Measure INDEX'!$B$9:$B$795,1,FALSE)</f>
        <v>400850_2019_12_</v>
      </c>
    </row>
    <row r="431" spans="1:2" x14ac:dyDescent="0.35">
      <c r="A431" t="s">
        <v>1585</v>
      </c>
      <c r="B431" t="str">
        <f>VLOOKUP(A431,' Measure INDEX'!$B$9:$B$795,1,FALSE)</f>
        <v>400900_2019_12_</v>
      </c>
    </row>
    <row r="432" spans="1:2" x14ac:dyDescent="0.35">
      <c r="A432" t="s">
        <v>1586</v>
      </c>
      <c r="B432" t="str">
        <f>VLOOKUP(A432,' Measure INDEX'!$B$9:$B$795,1,FALSE)</f>
        <v>400950_2019_12_</v>
      </c>
    </row>
    <row r="433" spans="1:2" x14ac:dyDescent="0.35">
      <c r="A433" t="s">
        <v>1587</v>
      </c>
      <c r="B433" t="str">
        <f>VLOOKUP(A433,' Measure INDEX'!$B$9:$B$795,1,FALSE)</f>
        <v>401000_2019_12_</v>
      </c>
    </row>
    <row r="434" spans="1:2" x14ac:dyDescent="0.35">
      <c r="A434" t="s">
        <v>1588</v>
      </c>
      <c r="B434" t="str">
        <f>VLOOKUP(A434,' Measure INDEX'!$B$9:$B$795,1,FALSE)</f>
        <v>401050_2019_12_</v>
      </c>
    </row>
    <row r="435" spans="1:2" x14ac:dyDescent="0.35">
      <c r="A435" t="s">
        <v>1589</v>
      </c>
      <c r="B435" t="str">
        <f>VLOOKUP(A435,' Measure INDEX'!$B$9:$B$795,1,FALSE)</f>
        <v>401100_2019_12_</v>
      </c>
    </row>
    <row r="436" spans="1:2" x14ac:dyDescent="0.35">
      <c r="A436" t="s">
        <v>1590</v>
      </c>
      <c r="B436" t="str">
        <f>VLOOKUP(A436,' Measure INDEX'!$B$9:$B$795,1,FALSE)</f>
        <v>401150_2019_12_</v>
      </c>
    </row>
    <row r="437" spans="1:2" x14ac:dyDescent="0.35">
      <c r="A437" t="s">
        <v>1591</v>
      </c>
      <c r="B437" t="str">
        <f>VLOOKUP(A437,' Measure INDEX'!$B$9:$B$795,1,FALSE)</f>
        <v>401200_2019_12_</v>
      </c>
    </row>
    <row r="438" spans="1:2" x14ac:dyDescent="0.35">
      <c r="A438" t="s">
        <v>1592</v>
      </c>
      <c r="B438" t="str">
        <f>VLOOKUP(A438,' Measure INDEX'!$B$9:$B$795,1,FALSE)</f>
        <v>401250_2019_12_</v>
      </c>
    </row>
    <row r="439" spans="1:2" x14ac:dyDescent="0.35">
      <c r="A439" t="s">
        <v>1593</v>
      </c>
      <c r="B439" t="str">
        <f>VLOOKUP(A439,' Measure INDEX'!$B$9:$B$795,1,FALSE)</f>
        <v>401300_2019_12_</v>
      </c>
    </row>
    <row r="440" spans="1:2" x14ac:dyDescent="0.35">
      <c r="A440" t="s">
        <v>1594</v>
      </c>
      <c r="B440" t="str">
        <f>VLOOKUP(A440,' Measure INDEX'!$B$9:$B$795,1,FALSE)</f>
        <v>401350_2019_12_</v>
      </c>
    </row>
    <row r="441" spans="1:2" x14ac:dyDescent="0.35">
      <c r="A441" t="s">
        <v>1595</v>
      </c>
      <c r="B441" t="str">
        <f>VLOOKUP(A441,' Measure INDEX'!$B$9:$B$795,1,FALSE)</f>
        <v>401400_2019_12_</v>
      </c>
    </row>
    <row r="442" spans="1:2" x14ac:dyDescent="0.35">
      <c r="A442" t="s">
        <v>1596</v>
      </c>
      <c r="B442" t="str">
        <f>VLOOKUP(A442,' Measure INDEX'!$B$9:$B$795,1,FALSE)</f>
        <v>401450_2019_12_</v>
      </c>
    </row>
    <row r="443" spans="1:2" x14ac:dyDescent="0.35">
      <c r="A443" t="s">
        <v>1597</v>
      </c>
      <c r="B443" t="str">
        <f>VLOOKUP(A443,' Measure INDEX'!$B$9:$B$795,1,FALSE)</f>
        <v>401500_2019_12_</v>
      </c>
    </row>
    <row r="444" spans="1:2" x14ac:dyDescent="0.35">
      <c r="A444" t="s">
        <v>1598</v>
      </c>
      <c r="B444" t="str">
        <f>VLOOKUP(A444,' Measure INDEX'!$B$9:$B$795,1,FALSE)</f>
        <v>401550_2019_12_</v>
      </c>
    </row>
    <row r="445" spans="1:2" x14ac:dyDescent="0.35">
      <c r="A445" t="s">
        <v>1599</v>
      </c>
      <c r="B445" t="str">
        <f>VLOOKUP(A445,' Measure INDEX'!$B$9:$B$795,1,FALSE)</f>
        <v>401600_2019_12_</v>
      </c>
    </row>
    <row r="446" spans="1:2" x14ac:dyDescent="0.35">
      <c r="A446" t="s">
        <v>1600</v>
      </c>
      <c r="B446" t="str">
        <f>VLOOKUP(A446,' Measure INDEX'!$B$9:$B$795,1,FALSE)</f>
        <v>401650_2019_12_</v>
      </c>
    </row>
    <row r="447" spans="1:2" x14ac:dyDescent="0.35">
      <c r="A447" t="s">
        <v>1601</v>
      </c>
      <c r="B447" t="str">
        <f>VLOOKUP(A447,' Measure INDEX'!$B$9:$B$795,1,FALSE)</f>
        <v>401700_2019_12_</v>
      </c>
    </row>
    <row r="448" spans="1:2" x14ac:dyDescent="0.35">
      <c r="A448" t="s">
        <v>1602</v>
      </c>
      <c r="B448" t="str">
        <f>VLOOKUP(A448,' Measure INDEX'!$B$9:$B$795,1,FALSE)</f>
        <v>401750_2019_12_</v>
      </c>
    </row>
    <row r="449" spans="1:2" x14ac:dyDescent="0.35">
      <c r="A449" t="s">
        <v>1603</v>
      </c>
      <c r="B449" t="str">
        <f>VLOOKUP(A449,' Measure INDEX'!$B$9:$B$795,1,FALSE)</f>
        <v>401800_2019_12_</v>
      </c>
    </row>
    <row r="450" spans="1:2" x14ac:dyDescent="0.35">
      <c r="A450" t="s">
        <v>1604</v>
      </c>
      <c r="B450" t="str">
        <f>VLOOKUP(A450,' Measure INDEX'!$B$9:$B$795,1,FALSE)</f>
        <v>401850_2019_12_</v>
      </c>
    </row>
    <row r="451" spans="1:2" x14ac:dyDescent="0.35">
      <c r="A451" t="s">
        <v>1605</v>
      </c>
      <c r="B451" t="str">
        <f>VLOOKUP(A451,' Measure INDEX'!$B$9:$B$795,1,FALSE)</f>
        <v>401900_2019_12_</v>
      </c>
    </row>
    <row r="452" spans="1:2" x14ac:dyDescent="0.35">
      <c r="A452" t="s">
        <v>1606</v>
      </c>
      <c r="B452" t="str">
        <f>VLOOKUP(A452,' Measure INDEX'!$B$9:$B$795,1,FALSE)</f>
        <v>401950_2019_12_</v>
      </c>
    </row>
    <row r="453" spans="1:2" x14ac:dyDescent="0.35">
      <c r="A453" t="s">
        <v>1607</v>
      </c>
      <c r="B453" t="str">
        <f>VLOOKUP(A453,' Measure INDEX'!$B$9:$B$795,1,FALSE)</f>
        <v>402000_2019_12_</v>
      </c>
    </row>
    <row r="454" spans="1:2" x14ac:dyDescent="0.35">
      <c r="A454" t="s">
        <v>1608</v>
      </c>
      <c r="B454" t="str">
        <f>VLOOKUP(A454,' Measure INDEX'!$B$9:$B$795,1,FALSE)</f>
        <v>402050_2019_12_</v>
      </c>
    </row>
    <row r="455" spans="1:2" x14ac:dyDescent="0.35">
      <c r="A455" t="s">
        <v>1609</v>
      </c>
      <c r="B455" t="str">
        <f>VLOOKUP(A455,' Measure INDEX'!$B$9:$B$795,1,FALSE)</f>
        <v>402100_2019_12_</v>
      </c>
    </row>
    <row r="456" spans="1:2" x14ac:dyDescent="0.35">
      <c r="A456" t="s">
        <v>1610</v>
      </c>
      <c r="B456" t="str">
        <f>VLOOKUP(A456,' Measure INDEX'!$B$9:$B$795,1,FALSE)</f>
        <v>402150_2019_12_</v>
      </c>
    </row>
    <row r="457" spans="1:2" x14ac:dyDescent="0.35">
      <c r="A457" t="s">
        <v>1638</v>
      </c>
      <c r="B457" t="str">
        <f>VLOOKUP(A457,' Measure INDEX'!$B$9:$B$795,1,FALSE)</f>
        <v>402200_2019_12_</v>
      </c>
    </row>
    <row r="458" spans="1:2" x14ac:dyDescent="0.35">
      <c r="A458" t="s">
        <v>1640</v>
      </c>
      <c r="B458" t="str">
        <f>VLOOKUP(A458,' Measure INDEX'!$B$9:$B$795,1,FALSE)</f>
        <v>402201_2019_12_</v>
      </c>
    </row>
    <row r="459" spans="1:2" x14ac:dyDescent="0.35">
      <c r="A459" t="s">
        <v>1642</v>
      </c>
      <c r="B459" t="str">
        <f>VLOOKUP(A459,' Measure INDEX'!$B$9:$B$795,1,FALSE)</f>
        <v>402202_2019_12_</v>
      </c>
    </row>
    <row r="460" spans="1:2" x14ac:dyDescent="0.35">
      <c r="A460" t="s">
        <v>1644</v>
      </c>
      <c r="B460" t="str">
        <f>VLOOKUP(A460,' Measure INDEX'!$B$9:$B$795,1,FALSE)</f>
        <v>402203_2020_02_</v>
      </c>
    </row>
    <row r="461" spans="1:2" x14ac:dyDescent="0.35">
      <c r="A461" t="s">
        <v>1646</v>
      </c>
      <c r="B461" t="str">
        <f>VLOOKUP(A461,' Measure INDEX'!$B$9:$B$795,1,FALSE)</f>
        <v>402204_2020_02_</v>
      </c>
    </row>
    <row r="462" spans="1:2" x14ac:dyDescent="0.35">
      <c r="A462" t="s">
        <v>1648</v>
      </c>
      <c r="B462" t="str">
        <f>VLOOKUP(A462,' Measure INDEX'!$B$9:$B$795,1,FALSE)</f>
        <v>402205_2020_02_</v>
      </c>
    </row>
    <row r="463" spans="1:2" x14ac:dyDescent="0.35">
      <c r="A463" t="s">
        <v>1664</v>
      </c>
      <c r="B463" t="str">
        <f>VLOOKUP(A463,' Measure INDEX'!$B$9:$B$795,1,FALSE)</f>
        <v>402250_2019_12_</v>
      </c>
    </row>
    <row r="464" spans="1:2" x14ac:dyDescent="0.35">
      <c r="A464" t="s">
        <v>1665</v>
      </c>
      <c r="B464" t="str">
        <f>VLOOKUP(A464,' Measure INDEX'!$B$9:$B$795,1,FALSE)</f>
        <v>402251_2019_12_</v>
      </c>
    </row>
    <row r="465" spans="1:2" x14ac:dyDescent="0.35">
      <c r="A465" t="s">
        <v>1675</v>
      </c>
      <c r="B465" t="str">
        <f>VLOOKUP(A465,' Measure INDEX'!$B$9:$B$795,1,FALSE)</f>
        <v>402300_2019_12_</v>
      </c>
    </row>
    <row r="466" spans="1:2" x14ac:dyDescent="0.35">
      <c r="A466" t="s">
        <v>1677</v>
      </c>
      <c r="B466" t="str">
        <f>VLOOKUP(A466,' Measure INDEX'!$B$9:$B$795,1,FALSE)</f>
        <v>402350_2019_12_</v>
      </c>
    </row>
    <row r="467" spans="1:2" x14ac:dyDescent="0.35">
      <c r="A467" t="s">
        <v>1679</v>
      </c>
      <c r="B467" t="str">
        <f>VLOOKUP(A467,' Measure INDEX'!$B$9:$B$795,1,FALSE)</f>
        <v>402400_2019_12_</v>
      </c>
    </row>
    <row r="468" spans="1:2" x14ac:dyDescent="0.35">
      <c r="A468" t="s">
        <v>1726</v>
      </c>
      <c r="B468" t="str">
        <f>VLOOKUP(A468,' Measure INDEX'!$B$9:$B$795,1,FALSE)</f>
        <v>402450_2019_12_</v>
      </c>
    </row>
    <row r="469" spans="1:2" x14ac:dyDescent="0.35">
      <c r="A469" t="s">
        <v>4019</v>
      </c>
      <c r="B469" t="e">
        <f>VLOOKUP(A469,' Measure INDEX'!$B$9:$B$795,1,FALSE)</f>
        <v>#N/A</v>
      </c>
    </row>
    <row r="470" spans="1:2" x14ac:dyDescent="0.35">
      <c r="A470" t="s">
        <v>1730</v>
      </c>
      <c r="B470" t="str">
        <f>VLOOKUP(A470,' Measure INDEX'!$B$9:$B$795,1,FALSE)</f>
        <v>402452_2020_12_</v>
      </c>
    </row>
    <row r="471" spans="1:2" x14ac:dyDescent="0.35">
      <c r="A471" t="s">
        <v>4022</v>
      </c>
      <c r="B471" t="e">
        <f>VLOOKUP(A471,' Measure INDEX'!$B$9:$B$795,1,FALSE)</f>
        <v>#N/A</v>
      </c>
    </row>
    <row r="472" spans="1:2" x14ac:dyDescent="0.35">
      <c r="A472" t="s">
        <v>1734</v>
      </c>
      <c r="B472" t="str">
        <f>VLOOKUP(A472,' Measure INDEX'!$B$9:$B$795,1,FALSE)</f>
        <v>402500_2019_12_</v>
      </c>
    </row>
    <row r="473" spans="1:2" x14ac:dyDescent="0.35">
      <c r="A473" t="s">
        <v>4025</v>
      </c>
      <c r="B473" t="e">
        <f>VLOOKUP(A473,' Measure INDEX'!$B$9:$B$795,1,FALSE)</f>
        <v>#N/A</v>
      </c>
    </row>
    <row r="474" spans="1:2" x14ac:dyDescent="0.35">
      <c r="A474" t="s">
        <v>4027</v>
      </c>
      <c r="B474" t="e">
        <f>VLOOKUP(A474,' Measure INDEX'!$B$9:$B$795,1,FALSE)</f>
        <v>#N/A</v>
      </c>
    </row>
    <row r="475" spans="1:2" x14ac:dyDescent="0.35">
      <c r="A475" t="s">
        <v>4029</v>
      </c>
      <c r="B475" t="e">
        <f>VLOOKUP(A475,' Measure INDEX'!$B$9:$B$795,1,FALSE)</f>
        <v>#N/A</v>
      </c>
    </row>
    <row r="476" spans="1:2" x14ac:dyDescent="0.35">
      <c r="A476" t="s">
        <v>4031</v>
      </c>
      <c r="B476" t="e">
        <f>VLOOKUP(A476,' Measure INDEX'!$B$9:$B$795,1,FALSE)</f>
        <v>#N/A</v>
      </c>
    </row>
    <row r="477" spans="1:2" x14ac:dyDescent="0.35">
      <c r="A477" t="s">
        <v>4033</v>
      </c>
      <c r="B477" t="e">
        <f>VLOOKUP(A477,' Measure INDEX'!$B$9:$B$795,1,FALSE)</f>
        <v>#N/A</v>
      </c>
    </row>
    <row r="478" spans="1:2" x14ac:dyDescent="0.35">
      <c r="A478" t="s">
        <v>4035</v>
      </c>
      <c r="B478" t="e">
        <f>VLOOKUP(A478,' Measure INDEX'!$B$9:$B$795,1,FALSE)</f>
        <v>#N/A</v>
      </c>
    </row>
    <row r="479" spans="1:2" x14ac:dyDescent="0.35">
      <c r="A479" t="s">
        <v>4037</v>
      </c>
      <c r="B479" t="e">
        <f>VLOOKUP(A479,' Measure INDEX'!$B$9:$B$795,1,FALSE)</f>
        <v>#N/A</v>
      </c>
    </row>
    <row r="480" spans="1:2" x14ac:dyDescent="0.35">
      <c r="A480" t="s">
        <v>4039</v>
      </c>
      <c r="B480" t="e">
        <f>VLOOKUP(A480,' Measure INDEX'!$B$9:$B$795,1,FALSE)</f>
        <v>#N/A</v>
      </c>
    </row>
    <row r="481" spans="1:2" x14ac:dyDescent="0.35">
      <c r="A481" t="s">
        <v>4041</v>
      </c>
      <c r="B481" t="e">
        <f>VLOOKUP(A481,' Measure INDEX'!$B$9:$B$795,1,FALSE)</f>
        <v>#N/A</v>
      </c>
    </row>
    <row r="482" spans="1:2" x14ac:dyDescent="0.35">
      <c r="A482" t="s">
        <v>1793</v>
      </c>
      <c r="B482" t="str">
        <f>VLOOKUP(A482,' Measure INDEX'!$B$9:$B$795,1,FALSE)</f>
        <v>402950_2019_12_</v>
      </c>
    </row>
    <row r="483" spans="1:2" x14ac:dyDescent="0.35">
      <c r="A483" t="s">
        <v>1795</v>
      </c>
      <c r="B483" t="str">
        <f>VLOOKUP(A483,' Measure INDEX'!$B$9:$B$795,1,FALSE)</f>
        <v>403000_2019_12_</v>
      </c>
    </row>
    <row r="484" spans="1:2" x14ac:dyDescent="0.35">
      <c r="A484" t="s">
        <v>1796</v>
      </c>
      <c r="B484" t="str">
        <f>VLOOKUP(A484,' Measure INDEX'!$B$9:$B$795,1,FALSE)</f>
        <v>403050_2019_12_</v>
      </c>
    </row>
    <row r="485" spans="1:2" x14ac:dyDescent="0.35">
      <c r="A485" t="s">
        <v>1798</v>
      </c>
      <c r="B485" t="str">
        <f>VLOOKUP(A485,' Measure INDEX'!$B$9:$B$795,1,FALSE)</f>
        <v>403100_2019_12_</v>
      </c>
    </row>
    <row r="486" spans="1:2" x14ac:dyDescent="0.35">
      <c r="A486" t="s">
        <v>1800</v>
      </c>
      <c r="B486" t="str">
        <f>VLOOKUP(A486,' Measure INDEX'!$B$9:$B$795,1,FALSE)</f>
        <v>403101_2019_12_</v>
      </c>
    </row>
    <row r="487" spans="1:2" x14ac:dyDescent="0.35">
      <c r="A487" t="s">
        <v>1801</v>
      </c>
      <c r="B487" t="str">
        <f>VLOOKUP(A487,' Measure INDEX'!$B$9:$B$795,1,FALSE)</f>
        <v>403150_2019_12_</v>
      </c>
    </row>
    <row r="488" spans="1:2" x14ac:dyDescent="0.35">
      <c r="A488" t="s">
        <v>1803</v>
      </c>
      <c r="B488" t="str">
        <f>VLOOKUP(A488,' Measure INDEX'!$B$9:$B$795,1,FALSE)</f>
        <v>403200_2019_12_</v>
      </c>
    </row>
    <row r="489" spans="1:2" x14ac:dyDescent="0.35">
      <c r="A489" t="s">
        <v>1805</v>
      </c>
      <c r="B489" t="str">
        <f>VLOOKUP(A489,' Measure INDEX'!$B$9:$B$795,1,FALSE)</f>
        <v>403201_2019_12_</v>
      </c>
    </row>
    <row r="490" spans="1:2" x14ac:dyDescent="0.35">
      <c r="A490" t="s">
        <v>1806</v>
      </c>
      <c r="B490" t="str">
        <f>VLOOKUP(A490,' Measure INDEX'!$B$9:$B$795,1,FALSE)</f>
        <v>403250_2019_12_</v>
      </c>
    </row>
    <row r="491" spans="1:2" x14ac:dyDescent="0.35">
      <c r="A491" t="s">
        <v>1808</v>
      </c>
      <c r="B491" t="str">
        <f>VLOOKUP(A491,' Measure INDEX'!$B$9:$B$795,1,FALSE)</f>
        <v>403300_2019_12_</v>
      </c>
    </row>
    <row r="492" spans="1:2" x14ac:dyDescent="0.35">
      <c r="A492" t="s">
        <v>1810</v>
      </c>
      <c r="B492" t="str">
        <f>VLOOKUP(A492,' Measure INDEX'!$B$9:$B$795,1,FALSE)</f>
        <v>403301_2019_12_</v>
      </c>
    </row>
    <row r="493" spans="1:2" x14ac:dyDescent="0.35">
      <c r="A493" t="s">
        <v>1829</v>
      </c>
      <c r="B493" t="str">
        <f>VLOOKUP(A493,' Measure INDEX'!$B$9:$B$795,1,FALSE)</f>
        <v>403350_2019_12_</v>
      </c>
    </row>
    <row r="494" spans="1:2" x14ac:dyDescent="0.35">
      <c r="A494" t="s">
        <v>4048</v>
      </c>
      <c r="B494" t="e">
        <f>VLOOKUP(A494,' Measure INDEX'!$B$9:$B$795,1,FALSE)</f>
        <v>#N/A</v>
      </c>
    </row>
    <row r="495" spans="1:2" x14ac:dyDescent="0.35">
      <c r="A495" t="s">
        <v>1832</v>
      </c>
      <c r="B495" t="str">
        <f>VLOOKUP(A495,' Measure INDEX'!$B$9:$B$795,1,FALSE)</f>
        <v>403400_2019_12_</v>
      </c>
    </row>
    <row r="496" spans="1:2" x14ac:dyDescent="0.35">
      <c r="A496" t="s">
        <v>1833</v>
      </c>
      <c r="B496" t="str">
        <f>VLOOKUP(A496,' Measure INDEX'!$B$9:$B$795,1,FALSE)</f>
        <v>403450_2019_12_</v>
      </c>
    </row>
    <row r="497" spans="1:2" x14ac:dyDescent="0.35">
      <c r="A497" t="s">
        <v>1850</v>
      </c>
      <c r="B497" t="str">
        <f>VLOOKUP(A497,' Measure INDEX'!$B$9:$B$795,1,FALSE)</f>
        <v>403470_2020_12_</v>
      </c>
    </row>
    <row r="498" spans="1:2" x14ac:dyDescent="0.35">
      <c r="A498" t="s">
        <v>1851</v>
      </c>
      <c r="B498" t="str">
        <f>VLOOKUP(A498,' Measure INDEX'!$B$9:$B$795,1,FALSE)</f>
        <v>403471_2020_12_</v>
      </c>
    </row>
    <row r="499" spans="1:2" x14ac:dyDescent="0.35">
      <c r="A499" t="s">
        <v>1852</v>
      </c>
      <c r="B499" t="str">
        <f>VLOOKUP(A499,' Measure INDEX'!$B$9:$B$795,1,FALSE)</f>
        <v>403480_2020_12_</v>
      </c>
    </row>
    <row r="500" spans="1:2" x14ac:dyDescent="0.35">
      <c r="A500" t="s">
        <v>1853</v>
      </c>
      <c r="B500" t="str">
        <f>VLOOKUP(A500,' Measure INDEX'!$B$9:$B$795,1,FALSE)</f>
        <v>403481_2020_12_</v>
      </c>
    </row>
    <row r="501" spans="1:2" x14ac:dyDescent="0.35">
      <c r="A501" t="s">
        <v>4049</v>
      </c>
      <c r="B501" t="e">
        <f>VLOOKUP(A501,' Measure INDEX'!$B$9:$B$795,1,FALSE)</f>
        <v>#N/A</v>
      </c>
    </row>
    <row r="502" spans="1:2" x14ac:dyDescent="0.35">
      <c r="A502" t="s">
        <v>4050</v>
      </c>
      <c r="B502" t="e">
        <f>VLOOKUP(A502,' Measure INDEX'!$B$9:$B$795,1,FALSE)</f>
        <v>#N/A</v>
      </c>
    </row>
    <row r="503" spans="1:2" x14ac:dyDescent="0.35">
      <c r="A503" t="s">
        <v>4051</v>
      </c>
      <c r="B503" t="e">
        <f>VLOOKUP(A503,' Measure INDEX'!$B$9:$B$795,1,FALSE)</f>
        <v>#N/A</v>
      </c>
    </row>
    <row r="504" spans="1:2" x14ac:dyDescent="0.35">
      <c r="A504" t="s">
        <v>4052</v>
      </c>
      <c r="B504" t="e">
        <f>VLOOKUP(A504,' Measure INDEX'!$B$9:$B$795,1,FALSE)</f>
        <v>#N/A</v>
      </c>
    </row>
    <row r="505" spans="1:2" x14ac:dyDescent="0.35">
      <c r="A505" t="s">
        <v>4053</v>
      </c>
      <c r="B505" t="e">
        <f>VLOOKUP(A505,' Measure INDEX'!$B$9:$B$795,1,FALSE)</f>
        <v>#N/A</v>
      </c>
    </row>
    <row r="506" spans="1:2" x14ac:dyDescent="0.35">
      <c r="A506" t="s">
        <v>1877</v>
      </c>
      <c r="B506" t="str">
        <f>VLOOKUP(A506,' Measure INDEX'!$B$9:$B$795,1,FALSE)</f>
        <v>403650_2019_12_</v>
      </c>
    </row>
    <row r="507" spans="1:2" x14ac:dyDescent="0.35">
      <c r="A507" t="s">
        <v>1878</v>
      </c>
      <c r="B507" t="str">
        <f>VLOOKUP(A507,' Measure INDEX'!$B$9:$B$795,1,FALSE)</f>
        <v>403700_2019_12_</v>
      </c>
    </row>
    <row r="508" spans="1:2" x14ac:dyDescent="0.35">
      <c r="A508" t="s">
        <v>1879</v>
      </c>
      <c r="B508" t="str">
        <f>VLOOKUP(A508,' Measure INDEX'!$B$9:$B$795,1,FALSE)</f>
        <v>403750_2019_12_</v>
      </c>
    </row>
    <row r="509" spans="1:2" x14ac:dyDescent="0.35">
      <c r="A509" t="s">
        <v>1892</v>
      </c>
      <c r="B509" t="str">
        <f>VLOOKUP(A509,' Measure INDEX'!$B$9:$B$795,1,FALSE)</f>
        <v>403800_2019_12_</v>
      </c>
    </row>
    <row r="510" spans="1:2" x14ac:dyDescent="0.35">
      <c r="A510" t="s">
        <v>1894</v>
      </c>
      <c r="B510" t="str">
        <f>VLOOKUP(A510,' Measure INDEX'!$B$9:$B$795,1,FALSE)</f>
        <v>403801_2019_12_</v>
      </c>
    </row>
    <row r="511" spans="1:2" x14ac:dyDescent="0.35">
      <c r="A511" t="s">
        <v>1895</v>
      </c>
      <c r="B511" t="str">
        <f>VLOOKUP(A511,' Measure INDEX'!$B$9:$B$795,1,FALSE)</f>
        <v>403850_2019_12_</v>
      </c>
    </row>
    <row r="512" spans="1:2" x14ac:dyDescent="0.35">
      <c r="A512" t="s">
        <v>1897</v>
      </c>
      <c r="B512" t="str">
        <f>VLOOKUP(A512,' Measure INDEX'!$B$9:$B$795,1,FALSE)</f>
        <v>403900_2019_12_</v>
      </c>
    </row>
    <row r="513" spans="1:2" x14ac:dyDescent="0.35">
      <c r="A513" t="s">
        <v>1899</v>
      </c>
      <c r="B513" t="str">
        <f>VLOOKUP(A513,' Measure INDEX'!$B$9:$B$795,1,FALSE)</f>
        <v>403901_2019_12_</v>
      </c>
    </row>
    <row r="514" spans="1:2" x14ac:dyDescent="0.35">
      <c r="A514" t="s">
        <v>1900</v>
      </c>
      <c r="B514" t="str">
        <f>VLOOKUP(A514,' Measure INDEX'!$B$9:$B$795,1,FALSE)</f>
        <v>403950_2019_12_</v>
      </c>
    </row>
    <row r="515" spans="1:2" x14ac:dyDescent="0.35">
      <c r="A515" t="s">
        <v>1902</v>
      </c>
      <c r="B515" t="str">
        <f>VLOOKUP(A515,' Measure INDEX'!$B$9:$B$795,1,FALSE)</f>
        <v>404000_2019_12_</v>
      </c>
    </row>
    <row r="516" spans="1:2" x14ac:dyDescent="0.35">
      <c r="A516" t="s">
        <v>1904</v>
      </c>
      <c r="B516" t="str">
        <f>VLOOKUP(A516,' Measure INDEX'!$B$9:$B$795,1,FALSE)</f>
        <v>404001_2019_12_</v>
      </c>
    </row>
    <row r="517" spans="1:2" x14ac:dyDescent="0.35">
      <c r="A517" t="s">
        <v>1905</v>
      </c>
      <c r="B517" t="str">
        <f>VLOOKUP(A517,' Measure INDEX'!$B$9:$B$795,1,FALSE)</f>
        <v>404050_2019_12_</v>
      </c>
    </row>
    <row r="518" spans="1:2" x14ac:dyDescent="0.35">
      <c r="A518" t="s">
        <v>1907</v>
      </c>
      <c r="B518" t="str">
        <f>VLOOKUP(A518,' Measure INDEX'!$B$9:$B$795,1,FALSE)</f>
        <v>404100_2019_12_</v>
      </c>
    </row>
    <row r="519" spans="1:2" x14ac:dyDescent="0.35">
      <c r="A519" t="s">
        <v>1909</v>
      </c>
      <c r="B519" t="str">
        <f>VLOOKUP(A519,' Measure INDEX'!$B$9:$B$795,1,FALSE)</f>
        <v>404101_2019_12_</v>
      </c>
    </row>
    <row r="520" spans="1:2" x14ac:dyDescent="0.35">
      <c r="A520" t="s">
        <v>1910</v>
      </c>
      <c r="B520" t="str">
        <f>VLOOKUP(A520,' Measure INDEX'!$B$9:$B$795,1,FALSE)</f>
        <v>404150_2019_12_</v>
      </c>
    </row>
    <row r="521" spans="1:2" x14ac:dyDescent="0.35">
      <c r="A521" t="s">
        <v>1929</v>
      </c>
      <c r="B521" t="str">
        <f>VLOOKUP(A521,' Measure INDEX'!$B$9:$B$795,1,FALSE)</f>
        <v>404200_2019_12_</v>
      </c>
    </row>
    <row r="522" spans="1:2" x14ac:dyDescent="0.35">
      <c r="A522" t="s">
        <v>1930</v>
      </c>
      <c r="B522" t="str">
        <f>VLOOKUP(A522,' Measure INDEX'!$B$9:$B$795,1,FALSE)</f>
        <v>404250_2019_12_</v>
      </c>
    </row>
    <row r="523" spans="1:2" x14ac:dyDescent="0.35">
      <c r="A523" t="s">
        <v>1942</v>
      </c>
      <c r="B523" t="str">
        <f>VLOOKUP(A523,' Measure INDEX'!$B$9:$B$795,1,FALSE)</f>
        <v>404300_2019_12_</v>
      </c>
    </row>
    <row r="524" spans="1:2" x14ac:dyDescent="0.35">
      <c r="A524" t="s">
        <v>1956</v>
      </c>
      <c r="B524" t="str">
        <f>VLOOKUP(A524,' Measure INDEX'!$B$9:$B$795,1,FALSE)</f>
        <v>404350_2019_12_</v>
      </c>
    </row>
    <row r="525" spans="1:2" x14ac:dyDescent="0.35">
      <c r="A525" t="s">
        <v>1968</v>
      </c>
      <c r="B525" t="str">
        <f>VLOOKUP(A525,' Measure INDEX'!$B$9:$B$795,1,FALSE)</f>
        <v>404400_2019_12_</v>
      </c>
    </row>
    <row r="526" spans="1:2" x14ac:dyDescent="0.35">
      <c r="A526" t="s">
        <v>1979</v>
      </c>
      <c r="B526" t="str">
        <f>VLOOKUP(A526,' Measure INDEX'!$B$9:$B$795,1,FALSE)</f>
        <v>404450_2019_12_</v>
      </c>
    </row>
    <row r="527" spans="1:2" x14ac:dyDescent="0.35">
      <c r="A527" t="s">
        <v>1980</v>
      </c>
      <c r="B527" t="str">
        <f>VLOOKUP(A527,' Measure INDEX'!$B$9:$B$795,1,FALSE)</f>
        <v>404500_2019_12_</v>
      </c>
    </row>
    <row r="528" spans="1:2" x14ac:dyDescent="0.35">
      <c r="A528" t="s">
        <v>1981</v>
      </c>
      <c r="B528" t="str">
        <f>VLOOKUP(A528,' Measure INDEX'!$B$9:$B$795,1,FALSE)</f>
        <v>404550_2019_12_</v>
      </c>
    </row>
    <row r="529" spans="1:2" x14ac:dyDescent="0.35">
      <c r="A529" t="s">
        <v>1982</v>
      </c>
      <c r="B529" t="str">
        <f>VLOOKUP(A529,' Measure INDEX'!$B$9:$B$795,1,FALSE)</f>
        <v>404600_2019_12_</v>
      </c>
    </row>
    <row r="530" spans="1:2" x14ac:dyDescent="0.35">
      <c r="A530" t="s">
        <v>1983</v>
      </c>
      <c r="B530" t="str">
        <f>VLOOKUP(A530,' Measure INDEX'!$B$9:$B$795,1,FALSE)</f>
        <v>404650_2019_12_</v>
      </c>
    </row>
    <row r="531" spans="1:2" x14ac:dyDescent="0.35">
      <c r="A531" t="s">
        <v>4054</v>
      </c>
      <c r="B531" t="e">
        <f>VLOOKUP(A531,' Measure INDEX'!$B$9:$B$795,1,FALSE)</f>
        <v>#N/A</v>
      </c>
    </row>
    <row r="532" spans="1:2" x14ac:dyDescent="0.35">
      <c r="A532" t="s">
        <v>1985</v>
      </c>
      <c r="B532" t="str">
        <f>VLOOKUP(A532,' Measure INDEX'!$B$9:$B$795,1,FALSE)</f>
        <v>404700_2019_12_</v>
      </c>
    </row>
    <row r="533" spans="1:2" x14ac:dyDescent="0.35">
      <c r="A533" t="s">
        <v>1986</v>
      </c>
      <c r="B533" t="str">
        <f>VLOOKUP(A533,' Measure INDEX'!$B$9:$B$795,1,FALSE)</f>
        <v>404750_2019_12_</v>
      </c>
    </row>
    <row r="534" spans="1:2" x14ac:dyDescent="0.35">
      <c r="A534" t="s">
        <v>1987</v>
      </c>
      <c r="B534" t="str">
        <f>VLOOKUP(A534,' Measure INDEX'!$B$9:$B$795,1,FALSE)</f>
        <v>404800_2019_12_</v>
      </c>
    </row>
    <row r="535" spans="1:2" x14ac:dyDescent="0.35">
      <c r="A535" t="s">
        <v>1988</v>
      </c>
      <c r="B535" t="str">
        <f>VLOOKUP(A535,' Measure INDEX'!$B$9:$B$795,1,FALSE)</f>
        <v>404850_2019_12_</v>
      </c>
    </row>
    <row r="536" spans="1:2" x14ac:dyDescent="0.35">
      <c r="A536" t="s">
        <v>1989</v>
      </c>
      <c r="B536" t="str">
        <f>VLOOKUP(A536,' Measure INDEX'!$B$9:$B$795,1,FALSE)</f>
        <v>404900_2019_12_</v>
      </c>
    </row>
    <row r="537" spans="1:2" x14ac:dyDescent="0.35">
      <c r="A537" t="s">
        <v>1990</v>
      </c>
      <c r="B537" t="str">
        <f>VLOOKUP(A537,' Measure INDEX'!$B$9:$B$795,1,FALSE)</f>
        <v>404950_2019_12_</v>
      </c>
    </row>
    <row r="538" spans="1:2" x14ac:dyDescent="0.35">
      <c r="A538" t="s">
        <v>1991</v>
      </c>
      <c r="B538" t="str">
        <f>VLOOKUP(A538,' Measure INDEX'!$B$9:$B$795,1,FALSE)</f>
        <v>405000_2019_12_</v>
      </c>
    </row>
    <row r="539" spans="1:2" x14ac:dyDescent="0.35">
      <c r="A539" t="s">
        <v>1992</v>
      </c>
      <c r="B539" t="str">
        <f>VLOOKUP(A539,' Measure INDEX'!$B$9:$B$795,1,FALSE)</f>
        <v>405050_2019_12_</v>
      </c>
    </row>
    <row r="540" spans="1:2" x14ac:dyDescent="0.35">
      <c r="A540" t="s">
        <v>1993</v>
      </c>
      <c r="B540" t="str">
        <f>VLOOKUP(A540,' Measure INDEX'!$B$9:$B$795,1,FALSE)</f>
        <v>405100_2019_12_</v>
      </c>
    </row>
    <row r="541" spans="1:2" x14ac:dyDescent="0.35">
      <c r="A541" t="s">
        <v>1994</v>
      </c>
      <c r="B541" t="str">
        <f>VLOOKUP(A541,' Measure INDEX'!$B$9:$B$795,1,FALSE)</f>
        <v>405150_2019_12_</v>
      </c>
    </row>
    <row r="542" spans="1:2" x14ac:dyDescent="0.35">
      <c r="A542" t="s">
        <v>1995</v>
      </c>
      <c r="B542" t="str">
        <f>VLOOKUP(A542,' Measure INDEX'!$B$9:$B$795,1,FALSE)</f>
        <v>405200_2019_12_</v>
      </c>
    </row>
    <row r="543" spans="1:2" x14ac:dyDescent="0.35">
      <c r="A543" t="s">
        <v>1996</v>
      </c>
      <c r="B543" t="str">
        <f>VLOOKUP(A543,' Measure INDEX'!$B$9:$B$795,1,FALSE)</f>
        <v>405250_2019_12_</v>
      </c>
    </row>
    <row r="544" spans="1:2" x14ac:dyDescent="0.35">
      <c r="A544" t="s">
        <v>4055</v>
      </c>
      <c r="B544" t="e">
        <f>VLOOKUP(A544,' Measure INDEX'!$B$9:$B$795,1,FALSE)</f>
        <v>#N/A</v>
      </c>
    </row>
    <row r="545" spans="1:2" x14ac:dyDescent="0.35">
      <c r="A545" t="s">
        <v>1998</v>
      </c>
      <c r="B545" t="str">
        <f>VLOOKUP(A545,' Measure INDEX'!$B$9:$B$795,1,FALSE)</f>
        <v>405300_2019_12_</v>
      </c>
    </row>
    <row r="546" spans="1:2" x14ac:dyDescent="0.35">
      <c r="A546" t="s">
        <v>1999</v>
      </c>
      <c r="B546" t="str">
        <f>VLOOKUP(A546,' Measure INDEX'!$B$9:$B$795,1,FALSE)</f>
        <v>405350_2019_12_</v>
      </c>
    </row>
    <row r="547" spans="1:2" x14ac:dyDescent="0.35">
      <c r="A547" t="s">
        <v>2000</v>
      </c>
      <c r="B547" t="str">
        <f>VLOOKUP(A547,' Measure INDEX'!$B$9:$B$795,1,FALSE)</f>
        <v>405400_2019_12_</v>
      </c>
    </row>
    <row r="548" spans="1:2" x14ac:dyDescent="0.35">
      <c r="A548" t="s">
        <v>2004</v>
      </c>
      <c r="B548" t="str">
        <f>VLOOKUP(A548,' Measure INDEX'!$B$9:$B$795,1,FALSE)</f>
        <v>405410_2019_12_</v>
      </c>
    </row>
    <row r="549" spans="1:2" x14ac:dyDescent="0.35">
      <c r="A549" t="s">
        <v>4056</v>
      </c>
      <c r="B549" t="e">
        <f>VLOOKUP(A549,' Measure INDEX'!$B$9:$B$795,1,FALSE)</f>
        <v>#N/A</v>
      </c>
    </row>
    <row r="550" spans="1:2" x14ac:dyDescent="0.35">
      <c r="A550" t="s">
        <v>4057</v>
      </c>
      <c r="B550" t="e">
        <f>VLOOKUP(A550,' Measure INDEX'!$B$9:$B$795,1,FALSE)</f>
        <v>#N/A</v>
      </c>
    </row>
    <row r="551" spans="1:2" x14ac:dyDescent="0.35">
      <c r="A551" t="s">
        <v>2039</v>
      </c>
      <c r="B551" t="str">
        <f>VLOOKUP(A551,' Measure INDEX'!$B$9:$B$795,1,FALSE)</f>
        <v>405500_2019_12_</v>
      </c>
    </row>
    <row r="552" spans="1:2" x14ac:dyDescent="0.35">
      <c r="A552" t="s">
        <v>4058</v>
      </c>
      <c r="B552" t="e">
        <f>VLOOKUP(A552,' Measure INDEX'!$B$9:$B$795,1,FALSE)</f>
        <v>#N/A</v>
      </c>
    </row>
    <row r="553" spans="1:2" x14ac:dyDescent="0.35">
      <c r="A553" t="s">
        <v>4059</v>
      </c>
      <c r="B553" t="e">
        <f>VLOOKUP(A553,' Measure INDEX'!$B$9:$B$795,1,FALSE)</f>
        <v>#N/A</v>
      </c>
    </row>
    <row r="554" spans="1:2" x14ac:dyDescent="0.35">
      <c r="A554" t="s">
        <v>2045</v>
      </c>
      <c r="B554" t="str">
        <f>VLOOKUP(A554,' Measure INDEX'!$B$9:$B$795,1,FALSE)</f>
        <v>405600_2019_12_</v>
      </c>
    </row>
    <row r="555" spans="1:2" x14ac:dyDescent="0.35">
      <c r="A555" t="s">
        <v>4060</v>
      </c>
      <c r="B555" t="e">
        <f>VLOOKUP(A555,' Measure INDEX'!$B$9:$B$795,1,FALSE)</f>
        <v>#N/A</v>
      </c>
    </row>
    <row r="556" spans="1:2" x14ac:dyDescent="0.35">
      <c r="A556" t="s">
        <v>4061</v>
      </c>
      <c r="B556" t="e">
        <f>VLOOKUP(A556,' Measure INDEX'!$B$9:$B$795,1,FALSE)</f>
        <v>#N/A</v>
      </c>
    </row>
    <row r="557" spans="1:2" x14ac:dyDescent="0.35">
      <c r="A557" t="s">
        <v>2051</v>
      </c>
      <c r="B557" t="str">
        <f>VLOOKUP(A557,' Measure INDEX'!$B$9:$B$795,1,FALSE)</f>
        <v>405700_2019_12_</v>
      </c>
    </row>
    <row r="558" spans="1:2" x14ac:dyDescent="0.35">
      <c r="A558" t="s">
        <v>2053</v>
      </c>
      <c r="B558" t="str">
        <f>VLOOKUP(A558,' Measure INDEX'!$B$9:$B$795,1,FALSE)</f>
        <v>405750_2019_12_</v>
      </c>
    </row>
    <row r="559" spans="1:2" x14ac:dyDescent="0.35">
      <c r="A559" t="s">
        <v>2054</v>
      </c>
      <c r="B559" t="str">
        <f>VLOOKUP(A559,' Measure INDEX'!$B$9:$B$795,1,FALSE)</f>
        <v>405751_2020_12_</v>
      </c>
    </row>
    <row r="560" spans="1:2" x14ac:dyDescent="0.35">
      <c r="A560" t="s">
        <v>2068</v>
      </c>
      <c r="B560" t="str">
        <f>VLOOKUP(A560,' Measure INDEX'!$B$9:$B$795,1,FALSE)</f>
        <v>405800_2019_12_</v>
      </c>
    </row>
    <row r="561" spans="1:2" x14ac:dyDescent="0.35">
      <c r="A561" t="s">
        <v>2073</v>
      </c>
      <c r="B561" t="str">
        <f>VLOOKUP(A561,' Measure INDEX'!$B$9:$B$795,1,FALSE)</f>
        <v>405825_2019_12_</v>
      </c>
    </row>
    <row r="562" spans="1:2" x14ac:dyDescent="0.35">
      <c r="A562" t="s">
        <v>4062</v>
      </c>
      <c r="B562" t="e">
        <f>VLOOKUP(A562,' Measure INDEX'!$B$9:$B$795,1,FALSE)</f>
        <v>#N/A</v>
      </c>
    </row>
    <row r="563" spans="1:2" x14ac:dyDescent="0.35">
      <c r="A563" t="s">
        <v>4063</v>
      </c>
      <c r="B563" t="e">
        <f>VLOOKUP(A563,' Measure INDEX'!$B$9:$B$795,1,FALSE)</f>
        <v>#N/A</v>
      </c>
    </row>
    <row r="564" spans="1:2" x14ac:dyDescent="0.35">
      <c r="A564" t="s">
        <v>4064</v>
      </c>
      <c r="B564" t="e">
        <f>VLOOKUP(A564,' Measure INDEX'!$B$9:$B$795,1,FALSE)</f>
        <v>#N/A</v>
      </c>
    </row>
    <row r="565" spans="1:2" x14ac:dyDescent="0.35">
      <c r="A565" t="s">
        <v>4065</v>
      </c>
      <c r="B565" t="e">
        <f>VLOOKUP(A565,' Measure INDEX'!$B$9:$B$795,1,FALSE)</f>
        <v>#N/A</v>
      </c>
    </row>
    <row r="566" spans="1:2" x14ac:dyDescent="0.35">
      <c r="A566" t="s">
        <v>4066</v>
      </c>
      <c r="B566" t="e">
        <f>VLOOKUP(A566,' Measure INDEX'!$B$9:$B$795,1,FALSE)</f>
        <v>#N/A</v>
      </c>
    </row>
    <row r="567" spans="1:2" x14ac:dyDescent="0.35">
      <c r="A567" t="s">
        <v>4067</v>
      </c>
      <c r="B567" t="e">
        <f>VLOOKUP(A567,' Measure INDEX'!$B$9:$B$795,1,FALSE)</f>
        <v>#N/A</v>
      </c>
    </row>
    <row r="568" spans="1:2" x14ac:dyDescent="0.35">
      <c r="A568" t="s">
        <v>4068</v>
      </c>
      <c r="B568" t="e">
        <f>VLOOKUP(A568,' Measure INDEX'!$B$9:$B$795,1,FALSE)</f>
        <v>#N/A</v>
      </c>
    </row>
    <row r="569" spans="1:2" x14ac:dyDescent="0.35">
      <c r="A569" t="s">
        <v>4069</v>
      </c>
      <c r="B569" t="e">
        <f>VLOOKUP(A569,' Measure INDEX'!$B$9:$B$795,1,FALSE)</f>
        <v>#N/A</v>
      </c>
    </row>
    <row r="570" spans="1:2" x14ac:dyDescent="0.35">
      <c r="A570" t="s">
        <v>4070</v>
      </c>
      <c r="B570" t="e">
        <f>VLOOKUP(A570,' Measure INDEX'!$B$9:$B$795,1,FALSE)</f>
        <v>#N/A</v>
      </c>
    </row>
    <row r="571" spans="1:2" x14ac:dyDescent="0.35">
      <c r="A571" t="s">
        <v>4071</v>
      </c>
      <c r="B571" t="e">
        <f>VLOOKUP(A571,' Measure INDEX'!$B$9:$B$795,1,FALSE)</f>
        <v>#N/A</v>
      </c>
    </row>
    <row r="572" spans="1:2" x14ac:dyDescent="0.35">
      <c r="A572" t="s">
        <v>4072</v>
      </c>
      <c r="B572" t="e">
        <f>VLOOKUP(A572,' Measure INDEX'!$B$9:$B$795,1,FALSE)</f>
        <v>#N/A</v>
      </c>
    </row>
    <row r="573" spans="1:2" x14ac:dyDescent="0.35">
      <c r="A573" t="s">
        <v>4073</v>
      </c>
      <c r="B573" t="e">
        <f>VLOOKUP(A573,' Measure INDEX'!$B$9:$B$795,1,FALSE)</f>
        <v>#N/A</v>
      </c>
    </row>
    <row r="574" spans="1:2" x14ac:dyDescent="0.35">
      <c r="A574" t="s">
        <v>4074</v>
      </c>
      <c r="B574" t="e">
        <f>VLOOKUP(A574,' Measure INDEX'!$B$9:$B$795,1,FALSE)</f>
        <v>#N/A</v>
      </c>
    </row>
    <row r="575" spans="1:2" x14ac:dyDescent="0.35">
      <c r="A575" t="s">
        <v>4075</v>
      </c>
      <c r="B575" t="e">
        <f>VLOOKUP(A575,' Measure INDEX'!$B$9:$B$795,1,FALSE)</f>
        <v>#N/A</v>
      </c>
    </row>
    <row r="576" spans="1:2" x14ac:dyDescent="0.35">
      <c r="A576" t="s">
        <v>4076</v>
      </c>
      <c r="B576" t="e">
        <f>VLOOKUP(A576,' Measure INDEX'!$B$9:$B$795,1,FALSE)</f>
        <v>#N/A</v>
      </c>
    </row>
    <row r="577" spans="1:2" x14ac:dyDescent="0.35">
      <c r="A577" t="s">
        <v>4077</v>
      </c>
      <c r="B577" t="e">
        <f>VLOOKUP(A577,' Measure INDEX'!$B$9:$B$795,1,FALSE)</f>
        <v>#N/A</v>
      </c>
    </row>
    <row r="578" spans="1:2" x14ac:dyDescent="0.35">
      <c r="A578" t="s">
        <v>4078</v>
      </c>
      <c r="B578" t="e">
        <f>VLOOKUP(A578,' Measure INDEX'!$B$9:$B$795,1,FALSE)</f>
        <v>#N/A</v>
      </c>
    </row>
    <row r="579" spans="1:2" x14ac:dyDescent="0.35">
      <c r="A579" t="s">
        <v>4079</v>
      </c>
      <c r="B579" t="e">
        <f>VLOOKUP(A579,' Measure INDEX'!$B$9:$B$795,1,FALSE)</f>
        <v>#N/A</v>
      </c>
    </row>
    <row r="580" spans="1:2" x14ac:dyDescent="0.35">
      <c r="A580" t="s">
        <v>4080</v>
      </c>
      <c r="B580" t="e">
        <f>VLOOKUP(A580,' Measure INDEX'!$B$9:$B$795,1,FALSE)</f>
        <v>#N/A</v>
      </c>
    </row>
    <row r="581" spans="1:2" x14ac:dyDescent="0.35">
      <c r="A581" t="s">
        <v>4081</v>
      </c>
      <c r="B581" t="e">
        <f>VLOOKUP(A581,' Measure INDEX'!$B$9:$B$795,1,FALSE)</f>
        <v>#N/A</v>
      </c>
    </row>
    <row r="582" spans="1:2" x14ac:dyDescent="0.35">
      <c r="A582" t="s">
        <v>4082</v>
      </c>
      <c r="B582" t="e">
        <f>VLOOKUP(A582,' Measure INDEX'!$B$9:$B$795,1,FALSE)</f>
        <v>#N/A</v>
      </c>
    </row>
    <row r="583" spans="1:2" x14ac:dyDescent="0.35">
      <c r="A583" t="s">
        <v>4083</v>
      </c>
      <c r="B583" t="e">
        <f>VLOOKUP(A583,' Measure INDEX'!$B$9:$B$795,1,FALSE)</f>
        <v>#N/A</v>
      </c>
    </row>
    <row r="584" spans="1:2" x14ac:dyDescent="0.35">
      <c r="A584" t="s">
        <v>4084</v>
      </c>
      <c r="B584" t="e">
        <f>VLOOKUP(A584,' Measure INDEX'!$B$9:$B$795,1,FALSE)</f>
        <v>#N/A</v>
      </c>
    </row>
    <row r="585" spans="1:2" x14ac:dyDescent="0.35">
      <c r="A585" t="s">
        <v>4085</v>
      </c>
      <c r="B585" t="e">
        <f>VLOOKUP(A585,' Measure INDEX'!$B$9:$B$795,1,FALSE)</f>
        <v>#N/A</v>
      </c>
    </row>
    <row r="586" spans="1:2" x14ac:dyDescent="0.35">
      <c r="A586" t="s">
        <v>2188</v>
      </c>
      <c r="B586" t="str">
        <f>VLOOKUP(A586,' Measure INDEX'!$B$9:$B$795,1,FALSE)</f>
        <v>406025_2020_12_</v>
      </c>
    </row>
    <row r="587" spans="1:2" x14ac:dyDescent="0.35">
      <c r="A587" t="s">
        <v>2191</v>
      </c>
      <c r="B587" t="str">
        <f>VLOOKUP(A587,' Measure INDEX'!$B$9:$B$795,1,FALSE)</f>
        <v>406050_2020_12_</v>
      </c>
    </row>
    <row r="588" spans="1:2" x14ac:dyDescent="0.35">
      <c r="A588" t="s">
        <v>2193</v>
      </c>
      <c r="B588" t="str">
        <f>VLOOKUP(A588,' Measure INDEX'!$B$9:$B$795,1,FALSE)</f>
        <v>406075_2020_12_</v>
      </c>
    </row>
    <row r="589" spans="1:2" x14ac:dyDescent="0.35">
      <c r="A589" t="s">
        <v>2195</v>
      </c>
      <c r="B589" t="str">
        <f>VLOOKUP(A589,' Measure INDEX'!$B$9:$B$795,1,FALSE)</f>
        <v>406100_2020_12_</v>
      </c>
    </row>
    <row r="590" spans="1:2" x14ac:dyDescent="0.35">
      <c r="A590" t="s">
        <v>2197</v>
      </c>
      <c r="B590" t="str">
        <f>VLOOKUP(A590,' Measure INDEX'!$B$9:$B$795,1,FALSE)</f>
        <v>406125_2020_12_</v>
      </c>
    </row>
    <row r="591" spans="1:2" x14ac:dyDescent="0.35">
      <c r="A591" t="s">
        <v>2199</v>
      </c>
      <c r="B591" t="str">
        <f>VLOOKUP(A591,' Measure INDEX'!$B$9:$B$795,1,FALSE)</f>
        <v>406150_2020_12_</v>
      </c>
    </row>
    <row r="592" spans="1:2" x14ac:dyDescent="0.35">
      <c r="A592" t="s">
        <v>2201</v>
      </c>
      <c r="B592" t="str">
        <f>VLOOKUP(A592,' Measure INDEX'!$B$9:$B$795,1,FALSE)</f>
        <v>406175_2020_12_</v>
      </c>
    </row>
    <row r="593" spans="1:2" x14ac:dyDescent="0.35">
      <c r="A593" t="s">
        <v>2203</v>
      </c>
      <c r="B593" t="str">
        <f>VLOOKUP(A593,' Measure INDEX'!$B$9:$B$795,1,FALSE)</f>
        <v>406200_2020_12_</v>
      </c>
    </row>
    <row r="594" spans="1:2" x14ac:dyDescent="0.35">
      <c r="A594" t="s">
        <v>2205</v>
      </c>
      <c r="B594" t="str">
        <f>VLOOKUP(A594,' Measure INDEX'!$B$9:$B$795,1,FALSE)</f>
        <v>406225_2020_12_</v>
      </c>
    </row>
    <row r="595" spans="1:2" x14ac:dyDescent="0.35">
      <c r="A595" t="s">
        <v>2207</v>
      </c>
      <c r="B595" t="str">
        <f>VLOOKUP(A595,' Measure INDEX'!$B$9:$B$795,1,FALSE)</f>
        <v>406250_2020_12_</v>
      </c>
    </row>
    <row r="596" spans="1:2" x14ac:dyDescent="0.35">
      <c r="A596" t="s">
        <v>2209</v>
      </c>
      <c r="B596" t="str">
        <f>VLOOKUP(A596,' Measure INDEX'!$B$9:$B$795,1,FALSE)</f>
        <v>406275_2020_12_</v>
      </c>
    </row>
    <row r="597" spans="1:2" x14ac:dyDescent="0.35">
      <c r="A597" t="s">
        <v>2211</v>
      </c>
      <c r="B597" t="str">
        <f>VLOOKUP(A597,' Measure INDEX'!$B$9:$B$795,1,FALSE)</f>
        <v>406300_2020_12_</v>
      </c>
    </row>
    <row r="598" spans="1:2" x14ac:dyDescent="0.35">
      <c r="A598" t="s">
        <v>3931</v>
      </c>
      <c r="B598" t="e">
        <f>VLOOKUP(A598,' Measure INDEX'!$B$9:$B$795,1,FALSE)</f>
        <v>#N/A</v>
      </c>
    </row>
    <row r="599" spans="1:2" x14ac:dyDescent="0.35">
      <c r="A599" t="s">
        <v>2253</v>
      </c>
      <c r="B599" t="str">
        <f>VLOOKUP(A599,' Measure INDEX'!$B$9:$B$795,1,FALSE)</f>
        <v>500050_2019_12_</v>
      </c>
    </row>
    <row r="600" spans="1:2" x14ac:dyDescent="0.35">
      <c r="A600" t="s">
        <v>2256</v>
      </c>
      <c r="B600" t="str">
        <f>VLOOKUP(A600,' Measure INDEX'!$B$9:$B$795,1,FALSE)</f>
        <v>500051_2019_12_</v>
      </c>
    </row>
    <row r="601" spans="1:2" x14ac:dyDescent="0.35">
      <c r="A601" t="s">
        <v>2258</v>
      </c>
      <c r="B601" t="str">
        <f>VLOOKUP(A601,' Measure INDEX'!$B$9:$B$795,1,FALSE)</f>
        <v>500100_2019_12_</v>
      </c>
    </row>
    <row r="602" spans="1:2" x14ac:dyDescent="0.35">
      <c r="A602" t="s">
        <v>2260</v>
      </c>
      <c r="B602" t="str">
        <f>VLOOKUP(A602,' Measure INDEX'!$B$9:$B$795,1,FALSE)</f>
        <v>500101_2019_12_</v>
      </c>
    </row>
    <row r="603" spans="1:2" x14ac:dyDescent="0.35">
      <c r="A603" t="s">
        <v>2261</v>
      </c>
      <c r="B603" t="str">
        <f>VLOOKUP(A603,' Measure INDEX'!$B$9:$B$795,1,FALSE)</f>
        <v>500150_2019_12_</v>
      </c>
    </row>
    <row r="604" spans="1:2" x14ac:dyDescent="0.35">
      <c r="A604" t="s">
        <v>2263</v>
      </c>
      <c r="B604" t="str">
        <f>VLOOKUP(A604,' Measure INDEX'!$B$9:$B$795,1,FALSE)</f>
        <v>500151_2019_12_</v>
      </c>
    </row>
    <row r="605" spans="1:2" x14ac:dyDescent="0.35">
      <c r="A605" t="s">
        <v>2264</v>
      </c>
      <c r="B605" t="str">
        <f>VLOOKUP(A605,' Measure INDEX'!$B$9:$B$795,1,FALSE)</f>
        <v>500200_2019_12_</v>
      </c>
    </row>
    <row r="606" spans="1:2" x14ac:dyDescent="0.35">
      <c r="A606" t="s">
        <v>2266</v>
      </c>
      <c r="B606" t="str">
        <f>VLOOKUP(A606,' Measure INDEX'!$B$9:$B$795,1,FALSE)</f>
        <v>500201_2019_12_</v>
      </c>
    </row>
    <row r="607" spans="1:2" x14ac:dyDescent="0.35">
      <c r="A607" t="s">
        <v>2272</v>
      </c>
      <c r="B607" t="str">
        <f>VLOOKUP(A607,' Measure INDEX'!$B$9:$B$795,1,FALSE)</f>
        <v>500250_2019_12_</v>
      </c>
    </row>
    <row r="608" spans="1:2" x14ac:dyDescent="0.35">
      <c r="A608" t="s">
        <v>2274</v>
      </c>
      <c r="B608" t="str">
        <f>VLOOKUP(A608,' Measure INDEX'!$B$9:$B$795,1,FALSE)</f>
        <v>500300_2019_12_</v>
      </c>
    </row>
    <row r="609" spans="1:2" x14ac:dyDescent="0.35">
      <c r="A609" t="s">
        <v>2276</v>
      </c>
      <c r="B609" t="str">
        <f>VLOOKUP(A609,' Measure INDEX'!$B$9:$B$795,1,FALSE)</f>
        <v>500350_2019_12_</v>
      </c>
    </row>
    <row r="610" spans="1:2" x14ac:dyDescent="0.35">
      <c r="A610" t="s">
        <v>2278</v>
      </c>
      <c r="B610" t="str">
        <f>VLOOKUP(A610,' Measure INDEX'!$B$9:$B$795,1,FALSE)</f>
        <v>500400_2019_12_</v>
      </c>
    </row>
    <row r="611" spans="1:2" x14ac:dyDescent="0.35">
      <c r="A611" t="s">
        <v>2280</v>
      </c>
      <c r="B611" t="str">
        <f>VLOOKUP(A611,' Measure INDEX'!$B$9:$B$795,1,FALSE)</f>
        <v>500450_2019_12_</v>
      </c>
    </row>
    <row r="612" spans="1:2" x14ac:dyDescent="0.35">
      <c r="A612" t="s">
        <v>2282</v>
      </c>
      <c r="B612" t="str">
        <f>VLOOKUP(A612,' Measure INDEX'!$B$9:$B$795,1,FALSE)</f>
        <v>500500_2019_12_</v>
      </c>
    </row>
    <row r="613" spans="1:2" x14ac:dyDescent="0.35">
      <c r="A613" t="s">
        <v>2284</v>
      </c>
      <c r="B613" t="str">
        <f>VLOOKUP(A613,' Measure INDEX'!$B$9:$B$795,1,FALSE)</f>
        <v>500550_2019_12_</v>
      </c>
    </row>
    <row r="614" spans="1:2" x14ac:dyDescent="0.35">
      <c r="A614" t="s">
        <v>2286</v>
      </c>
      <c r="B614" t="str">
        <f>VLOOKUP(A614,' Measure INDEX'!$B$9:$B$795,1,FALSE)</f>
        <v>500600_2019_12_</v>
      </c>
    </row>
    <row r="615" spans="1:2" x14ac:dyDescent="0.35">
      <c r="A615" t="s">
        <v>2288</v>
      </c>
      <c r="B615" t="str">
        <f>VLOOKUP(A615,' Measure INDEX'!$B$9:$B$795,1,FALSE)</f>
        <v>500650_2019_12_</v>
      </c>
    </row>
    <row r="616" spans="1:2" x14ac:dyDescent="0.35">
      <c r="A616" t="s">
        <v>2290</v>
      </c>
      <c r="B616" t="str">
        <f>VLOOKUP(A616,' Measure INDEX'!$B$9:$B$795,1,FALSE)</f>
        <v>500700_2019_12_</v>
      </c>
    </row>
    <row r="617" spans="1:2" x14ac:dyDescent="0.35">
      <c r="A617" t="s">
        <v>2308</v>
      </c>
      <c r="B617" t="str">
        <f>VLOOKUP(A617,' Measure INDEX'!$B$9:$B$795,1,FALSE)</f>
        <v>500750_2019_12_</v>
      </c>
    </row>
    <row r="618" spans="1:2" x14ac:dyDescent="0.35">
      <c r="A618" t="s">
        <v>2310</v>
      </c>
      <c r="B618" t="str">
        <f>VLOOKUP(A618,' Measure INDEX'!$B$9:$B$795,1,FALSE)</f>
        <v>500751_2019_12_</v>
      </c>
    </row>
    <row r="619" spans="1:2" x14ac:dyDescent="0.35">
      <c r="A619" t="s">
        <v>3969</v>
      </c>
      <c r="B619" t="e">
        <f>VLOOKUP(A619,' Measure INDEX'!$B$9:$B$795,1,FALSE)</f>
        <v>#N/A</v>
      </c>
    </row>
    <row r="620" spans="1:2" x14ac:dyDescent="0.35">
      <c r="A620" t="s">
        <v>2334</v>
      </c>
      <c r="B620" t="str">
        <f>VLOOKUP(A620,' Measure INDEX'!$B$9:$B$795,1,FALSE)</f>
        <v>500850_2019_12_</v>
      </c>
    </row>
    <row r="621" spans="1:2" x14ac:dyDescent="0.35">
      <c r="A621" t="s">
        <v>2335</v>
      </c>
      <c r="B621" t="str">
        <f>VLOOKUP(A621,' Measure INDEX'!$B$9:$B$795,1,FALSE)</f>
        <v>500900_2019_12_</v>
      </c>
    </row>
    <row r="622" spans="1:2" x14ac:dyDescent="0.35">
      <c r="A622" t="s">
        <v>2336</v>
      </c>
      <c r="B622" t="str">
        <f>VLOOKUP(A622,' Measure INDEX'!$B$9:$B$795,1,FALSE)</f>
        <v>500950_2019_12_</v>
      </c>
    </row>
    <row r="623" spans="1:2" x14ac:dyDescent="0.35">
      <c r="A623" t="s">
        <v>2337</v>
      </c>
      <c r="B623" t="str">
        <f>VLOOKUP(A623,' Measure INDEX'!$B$9:$B$795,1,FALSE)</f>
        <v>501000_2019_12_</v>
      </c>
    </row>
    <row r="624" spans="1:2" x14ac:dyDescent="0.35">
      <c r="A624" t="s">
        <v>2338</v>
      </c>
      <c r="B624" t="str">
        <f>VLOOKUP(A624,' Measure INDEX'!$B$9:$B$795,1,FALSE)</f>
        <v>501050_2019_12_</v>
      </c>
    </row>
    <row r="625" spans="1:2" x14ac:dyDescent="0.35">
      <c r="A625" t="s">
        <v>2340</v>
      </c>
      <c r="B625" t="str">
        <f>VLOOKUP(A625,' Measure INDEX'!$B$9:$B$795,1,FALSE)</f>
        <v>501100_2019_12_</v>
      </c>
    </row>
    <row r="626" spans="1:2" x14ac:dyDescent="0.35">
      <c r="A626" t="s">
        <v>2342</v>
      </c>
      <c r="B626" t="str">
        <f>VLOOKUP(A626,' Measure INDEX'!$B$9:$B$795,1,FALSE)</f>
        <v>501150_2019_12_</v>
      </c>
    </row>
    <row r="627" spans="1:2" x14ac:dyDescent="0.35">
      <c r="A627" t="s">
        <v>2343</v>
      </c>
      <c r="B627" t="str">
        <f>VLOOKUP(A627,' Measure INDEX'!$B$9:$B$795,1,FALSE)</f>
        <v>501200_2019_12_</v>
      </c>
    </row>
    <row r="628" spans="1:2" x14ac:dyDescent="0.35">
      <c r="A628" t="s">
        <v>2344</v>
      </c>
      <c r="B628" t="str">
        <f>VLOOKUP(A628,' Measure INDEX'!$B$9:$B$795,1,FALSE)</f>
        <v>501250_2019_12_</v>
      </c>
    </row>
    <row r="629" spans="1:2" x14ac:dyDescent="0.35">
      <c r="A629" t="s">
        <v>2345</v>
      </c>
      <c r="B629" t="str">
        <f>VLOOKUP(A629,' Measure INDEX'!$B$9:$B$795,1,FALSE)</f>
        <v>501300_2019_12_</v>
      </c>
    </row>
    <row r="630" spans="1:2" x14ac:dyDescent="0.35">
      <c r="A630" t="s">
        <v>2346</v>
      </c>
      <c r="B630" t="str">
        <f>VLOOKUP(A630,' Measure INDEX'!$B$9:$B$795,1,FALSE)</f>
        <v>501310_2020_12_</v>
      </c>
    </row>
    <row r="631" spans="1:2" x14ac:dyDescent="0.35">
      <c r="A631" t="s">
        <v>2348</v>
      </c>
      <c r="B631" t="str">
        <f>VLOOKUP(A631,' Measure INDEX'!$B$9:$B$795,1,FALSE)</f>
        <v>501311_2020_12_</v>
      </c>
    </row>
    <row r="632" spans="1:2" x14ac:dyDescent="0.35">
      <c r="A632" t="s">
        <v>2349</v>
      </c>
      <c r="B632" t="str">
        <f>VLOOKUP(A632,' Measure INDEX'!$B$9:$B$795,1,FALSE)</f>
        <v>501350_2019_12_</v>
      </c>
    </row>
    <row r="633" spans="1:2" x14ac:dyDescent="0.35">
      <c r="A633" t="s">
        <v>2350</v>
      </c>
      <c r="B633" t="str">
        <f>VLOOKUP(A633,' Measure INDEX'!$B$9:$B$795,1,FALSE)</f>
        <v>501400_2019_12_</v>
      </c>
    </row>
    <row r="634" spans="1:2" x14ac:dyDescent="0.35">
      <c r="A634" t="s">
        <v>2351</v>
      </c>
      <c r="B634" t="str">
        <f>VLOOKUP(A634,' Measure INDEX'!$B$9:$B$795,1,FALSE)</f>
        <v>501401_2019_12_</v>
      </c>
    </row>
    <row r="635" spans="1:2" x14ac:dyDescent="0.35">
      <c r="A635" t="s">
        <v>3987</v>
      </c>
      <c r="B635" t="e">
        <f>VLOOKUP(A635,' Measure INDEX'!$B$9:$B$795,1,FALSE)</f>
        <v>#N/A</v>
      </c>
    </row>
    <row r="636" spans="1:2" x14ac:dyDescent="0.35">
      <c r="A636" t="s">
        <v>3989</v>
      </c>
      <c r="B636" t="e">
        <f>VLOOKUP(A636,' Measure INDEX'!$B$9:$B$795,1,FALSE)</f>
        <v>#N/A</v>
      </c>
    </row>
    <row r="637" spans="1:2" x14ac:dyDescent="0.35">
      <c r="A637" t="s">
        <v>3991</v>
      </c>
      <c r="B637" t="e">
        <f>VLOOKUP(A637,' Measure INDEX'!$B$9:$B$795,1,FALSE)</f>
        <v>#N/A</v>
      </c>
    </row>
    <row r="638" spans="1:2" x14ac:dyDescent="0.35">
      <c r="A638" t="s">
        <v>3993</v>
      </c>
      <c r="B638" t="e">
        <f>VLOOKUP(A638,' Measure INDEX'!$B$9:$B$795,1,FALSE)</f>
        <v>#N/A</v>
      </c>
    </row>
    <row r="639" spans="1:2" x14ac:dyDescent="0.35">
      <c r="A639" t="s">
        <v>2379</v>
      </c>
      <c r="B639" t="str">
        <f>VLOOKUP(A639,' Measure INDEX'!$B$9:$B$795,1,FALSE)</f>
        <v>501650_2019_12_</v>
      </c>
    </row>
    <row r="640" spans="1:2" x14ac:dyDescent="0.35">
      <c r="A640" t="s">
        <v>2381</v>
      </c>
      <c r="B640" t="str">
        <f>VLOOKUP(A640,' Measure INDEX'!$B$9:$B$795,1,FALSE)</f>
        <v>501700_2019_12_</v>
      </c>
    </row>
    <row r="641" spans="1:2" x14ac:dyDescent="0.35">
      <c r="A641" t="s">
        <v>2382</v>
      </c>
      <c r="B641" t="str">
        <f>VLOOKUP(A641,' Measure INDEX'!$B$9:$B$795,1,FALSE)</f>
        <v>501750_2019_12_</v>
      </c>
    </row>
    <row r="642" spans="1:2" x14ac:dyDescent="0.35">
      <c r="A642" t="s">
        <v>2384</v>
      </c>
      <c r="B642" t="str">
        <f>VLOOKUP(A642,' Measure INDEX'!$B$9:$B$795,1,FALSE)</f>
        <v>501800_2019_12_</v>
      </c>
    </row>
    <row r="643" spans="1:2" x14ac:dyDescent="0.35">
      <c r="A643" t="s">
        <v>2385</v>
      </c>
      <c r="B643" t="str">
        <f>VLOOKUP(A643,' Measure INDEX'!$B$9:$B$795,1,FALSE)</f>
        <v>501850_2019_12_</v>
      </c>
    </row>
    <row r="644" spans="1:2" x14ac:dyDescent="0.35">
      <c r="A644" t="s">
        <v>2387</v>
      </c>
      <c r="B644" t="str">
        <f>VLOOKUP(A644,' Measure INDEX'!$B$9:$B$795,1,FALSE)</f>
        <v>501900_2019_12_</v>
      </c>
    </row>
    <row r="645" spans="1:2" x14ac:dyDescent="0.35">
      <c r="A645" t="s">
        <v>2389</v>
      </c>
      <c r="B645" t="str">
        <f>VLOOKUP(A645,' Measure INDEX'!$B$9:$B$795,1,FALSE)</f>
        <v>501950_2019_12_</v>
      </c>
    </row>
    <row r="646" spans="1:2" x14ac:dyDescent="0.35">
      <c r="A646" t="s">
        <v>2390</v>
      </c>
      <c r="B646" t="str">
        <f>VLOOKUP(A646,' Measure INDEX'!$B$9:$B$795,1,FALSE)</f>
        <v>502000_2019_12_</v>
      </c>
    </row>
    <row r="647" spans="1:2" x14ac:dyDescent="0.35">
      <c r="A647" t="s">
        <v>2391</v>
      </c>
      <c r="B647" t="str">
        <f>VLOOKUP(A647,' Measure INDEX'!$B$9:$B$795,1,FALSE)</f>
        <v>502050_2019_12_</v>
      </c>
    </row>
    <row r="648" spans="1:2" x14ac:dyDescent="0.35">
      <c r="A648" t="s">
        <v>2392</v>
      </c>
      <c r="B648" t="str">
        <f>VLOOKUP(A648,' Measure INDEX'!$B$9:$B$795,1,FALSE)</f>
        <v>502100_2019_12_</v>
      </c>
    </row>
    <row r="649" spans="1:2" x14ac:dyDescent="0.35">
      <c r="A649" t="s">
        <v>2393</v>
      </c>
      <c r="B649" t="str">
        <f>VLOOKUP(A649,' Measure INDEX'!$B$9:$B$795,1,FALSE)</f>
        <v>502150_2019_12_</v>
      </c>
    </row>
    <row r="650" spans="1:2" x14ac:dyDescent="0.35">
      <c r="A650" t="s">
        <v>2394</v>
      </c>
      <c r="B650" t="str">
        <f>VLOOKUP(A650,' Measure INDEX'!$B$9:$B$795,1,FALSE)</f>
        <v>502200_2019_12_</v>
      </c>
    </row>
    <row r="651" spans="1:2" x14ac:dyDescent="0.35">
      <c r="A651" t="s">
        <v>2395</v>
      </c>
      <c r="B651" t="str">
        <f>VLOOKUP(A651,' Measure INDEX'!$B$9:$B$795,1,FALSE)</f>
        <v>502250_2019_12_</v>
      </c>
    </row>
    <row r="652" spans="1:2" x14ac:dyDescent="0.35">
      <c r="A652" t="s">
        <v>2396</v>
      </c>
      <c r="B652" t="str">
        <f>VLOOKUP(A652,' Measure INDEX'!$B$9:$B$795,1,FALSE)</f>
        <v>502300_2019_12_</v>
      </c>
    </row>
    <row r="653" spans="1:2" x14ac:dyDescent="0.35">
      <c r="A653" t="s">
        <v>2397</v>
      </c>
      <c r="B653" t="str">
        <f>VLOOKUP(A653,' Measure INDEX'!$B$9:$B$795,1,FALSE)</f>
        <v>502350_2019_12_</v>
      </c>
    </row>
    <row r="654" spans="1:2" x14ac:dyDescent="0.35">
      <c r="A654" t="s">
        <v>2404</v>
      </c>
      <c r="B654" t="e">
        <f>VLOOKUP(A654,' Measure INDEX'!$B$9:$B$795,1,FALSE)</f>
        <v>#N/A</v>
      </c>
    </row>
    <row r="655" spans="1:2" x14ac:dyDescent="0.35">
      <c r="A655" t="s">
        <v>2414</v>
      </c>
      <c r="B655" t="str">
        <f>VLOOKUP(A655,' Measure INDEX'!$B$9:$B$795,1,FALSE)</f>
        <v>502450_2019_12_</v>
      </c>
    </row>
    <row r="656" spans="1:2" x14ac:dyDescent="0.35">
      <c r="A656" t="s">
        <v>2421</v>
      </c>
      <c r="B656" t="str">
        <f>VLOOKUP(A656,' Measure INDEX'!$B$9:$B$795,1,FALSE)</f>
        <v>550050_2019_12_</v>
      </c>
    </row>
    <row r="657" spans="1:2" x14ac:dyDescent="0.35">
      <c r="A657" t="s">
        <v>2424</v>
      </c>
      <c r="B657" t="str">
        <f>VLOOKUP(A657,' Measure INDEX'!$B$9:$B$795,1,FALSE)</f>
        <v>550100_2019_12_</v>
      </c>
    </row>
    <row r="658" spans="1:2" x14ac:dyDescent="0.35">
      <c r="A658" t="s">
        <v>2432</v>
      </c>
      <c r="B658" t="str">
        <f>VLOOKUP(A658,' Measure INDEX'!$B$9:$B$795,1,FALSE)</f>
        <v>550150_2019_12_</v>
      </c>
    </row>
    <row r="659" spans="1:2" x14ac:dyDescent="0.35">
      <c r="A659" t="s">
        <v>2436</v>
      </c>
      <c r="B659" t="str">
        <f>VLOOKUP(A659,' Measure INDEX'!$B$9:$B$795,1,FALSE)</f>
        <v>550200_2019_12_</v>
      </c>
    </row>
    <row r="660" spans="1:2" x14ac:dyDescent="0.35">
      <c r="A660" t="s">
        <v>2438</v>
      </c>
      <c r="B660" t="str">
        <f>VLOOKUP(A660,' Measure INDEX'!$B$9:$B$795,1,FALSE)</f>
        <v>550250_2019_12_</v>
      </c>
    </row>
    <row r="661" spans="1:2" x14ac:dyDescent="0.35">
      <c r="A661" t="s">
        <v>2454</v>
      </c>
      <c r="B661" t="str">
        <f>VLOOKUP(A661,' Measure INDEX'!$B$9:$B$795,1,FALSE)</f>
        <v>550300_2019_12_</v>
      </c>
    </row>
    <row r="662" spans="1:2" x14ac:dyDescent="0.35">
      <c r="A662" t="s">
        <v>2467</v>
      </c>
      <c r="B662" t="str">
        <f>VLOOKUP(A662,' Measure INDEX'!$B$9:$B$795,1,FALSE)</f>
        <v>600050_2020_12_</v>
      </c>
    </row>
  </sheetData>
  <autoFilter ref="A1:L662" xr:uid="{00000000-0009-0000-0000-00000F000000}"/>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5"/>
  </sheetPr>
  <dimension ref="A2:E13"/>
  <sheetViews>
    <sheetView workbookViewId="0"/>
  </sheetViews>
  <sheetFormatPr defaultRowHeight="14.5" x14ac:dyDescent="0.35"/>
  <cols>
    <col min="1" max="1" width="3" style="87" customWidth="1"/>
    <col min="2" max="2" width="20.54296875" style="1497" customWidth="1"/>
    <col min="3" max="3" width="27.26953125" style="1497" customWidth="1"/>
    <col min="4" max="4" width="19.1796875" style="1497" bestFit="1" customWidth="1"/>
    <col min="5" max="5" width="68.26953125" style="1007" customWidth="1"/>
  </cols>
  <sheetData>
    <row r="2" spans="1:5" x14ac:dyDescent="0.35">
      <c r="B2" s="1497" t="s">
        <v>4086</v>
      </c>
    </row>
    <row r="4" spans="1:5" x14ac:dyDescent="0.35">
      <c r="A4" s="1515" t="s">
        <v>4087</v>
      </c>
      <c r="B4" s="1542" t="s">
        <v>4088</v>
      </c>
      <c r="C4" s="1542" t="s">
        <v>4089</v>
      </c>
      <c r="D4" s="1542" t="s">
        <v>4090</v>
      </c>
      <c r="E4" s="1543" t="s">
        <v>15</v>
      </c>
    </row>
    <row r="5" spans="1:5" x14ac:dyDescent="0.35">
      <c r="A5" s="1546">
        <v>1</v>
      </c>
      <c r="B5" s="1541" t="s">
        <v>4091</v>
      </c>
      <c r="C5" s="1541" t="s">
        <v>4092</v>
      </c>
      <c r="D5" s="1541" t="s">
        <v>4093</v>
      </c>
      <c r="E5" s="2354" t="s">
        <v>4094</v>
      </c>
    </row>
    <row r="6" spans="1:5" x14ac:dyDescent="0.35">
      <c r="A6" s="1546">
        <v>2</v>
      </c>
      <c r="B6" s="1541" t="s">
        <v>2714</v>
      </c>
      <c r="C6" s="1541" t="s">
        <v>4095</v>
      </c>
      <c r="D6" s="1541" t="s">
        <v>4096</v>
      </c>
      <c r="E6" s="2354" t="s">
        <v>4097</v>
      </c>
    </row>
    <row r="7" spans="1:5" x14ac:dyDescent="0.35">
      <c r="A7" s="1546">
        <v>3</v>
      </c>
      <c r="B7" s="1541" t="s">
        <v>2714</v>
      </c>
      <c r="C7" s="1541" t="s">
        <v>4092</v>
      </c>
      <c r="D7" s="1541" t="s">
        <v>4098</v>
      </c>
      <c r="E7" s="2354" t="s">
        <v>4099</v>
      </c>
    </row>
    <row r="8" spans="1:5" ht="81.75" customHeight="1" x14ac:dyDescent="0.35">
      <c r="A8" s="1546">
        <v>4</v>
      </c>
      <c r="B8" s="1541" t="s">
        <v>2714</v>
      </c>
      <c r="C8" s="1541" t="s">
        <v>4092</v>
      </c>
      <c r="D8" s="1541" t="s">
        <v>4100</v>
      </c>
      <c r="E8" s="2354" t="s">
        <v>4101</v>
      </c>
    </row>
    <row r="9" spans="1:5" x14ac:dyDescent="0.35">
      <c r="A9" s="1546">
        <v>5</v>
      </c>
      <c r="B9" s="1541" t="s">
        <v>4102</v>
      </c>
      <c r="C9" s="1541" t="s">
        <v>4092</v>
      </c>
      <c r="D9" s="1541" t="s">
        <v>4103</v>
      </c>
      <c r="E9" s="2354" t="s">
        <v>4099</v>
      </c>
    </row>
    <row r="10" spans="1:5" ht="29" x14ac:dyDescent="0.35">
      <c r="A10" s="1546">
        <v>6</v>
      </c>
      <c r="B10" s="1541" t="s">
        <v>4102</v>
      </c>
      <c r="C10" s="1541" t="s">
        <v>4095</v>
      </c>
      <c r="D10" s="1541" t="s">
        <v>4104</v>
      </c>
      <c r="E10" s="2354" t="s">
        <v>4105</v>
      </c>
    </row>
    <row r="11" spans="1:5" ht="29" x14ac:dyDescent="0.35">
      <c r="A11" s="1546">
        <v>7</v>
      </c>
      <c r="B11" s="1541" t="s">
        <v>4102</v>
      </c>
      <c r="C11" s="1541" t="s">
        <v>4092</v>
      </c>
      <c r="D11" s="1541" t="s">
        <v>4106</v>
      </c>
      <c r="E11" s="2354" t="s">
        <v>4107</v>
      </c>
    </row>
    <row r="12" spans="1:5" x14ac:dyDescent="0.35">
      <c r="A12" s="1546">
        <v>8</v>
      </c>
      <c r="B12" s="1541" t="s">
        <v>2254</v>
      </c>
      <c r="C12" s="1541" t="s">
        <v>4092</v>
      </c>
      <c r="D12" s="1541" t="s">
        <v>4108</v>
      </c>
      <c r="E12" s="2354" t="s">
        <v>4094</v>
      </c>
    </row>
    <row r="13" spans="1:5" x14ac:dyDescent="0.35">
      <c r="A13" s="1546">
        <v>9</v>
      </c>
      <c r="B13" s="1541" t="s">
        <v>2254</v>
      </c>
      <c r="C13" s="1541" t="s">
        <v>4092</v>
      </c>
      <c r="D13" s="1541" t="s">
        <v>4109</v>
      </c>
      <c r="E13" s="2354" t="s">
        <v>4099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N39"/>
  <sheetViews>
    <sheetView zoomScale="70" zoomScaleNormal="70" workbookViewId="0">
      <selection activeCell="C15" sqref="C15"/>
    </sheetView>
  </sheetViews>
  <sheetFormatPr defaultRowHeight="14.5" x14ac:dyDescent="0.35"/>
  <cols>
    <col min="1" max="1" width="5.453125" customWidth="1"/>
    <col min="2" max="2" width="20.7265625" customWidth="1"/>
    <col min="3" max="3" width="14.1796875" customWidth="1"/>
    <col min="4" max="6" width="20.7265625" customWidth="1"/>
    <col min="7" max="7" width="72.26953125" customWidth="1"/>
    <col min="8" max="8" width="3" customWidth="1"/>
  </cols>
  <sheetData>
    <row r="1" spans="2:14" x14ac:dyDescent="0.35">
      <c r="E1" s="3645"/>
      <c r="F1" s="3645"/>
      <c r="G1" s="3646"/>
      <c r="H1" s="3646"/>
    </row>
    <row r="3" spans="2:14" ht="46" x14ac:dyDescent="1">
      <c r="B3" s="3647" t="s">
        <v>11</v>
      </c>
      <c r="C3" s="3647"/>
      <c r="D3" s="3647"/>
      <c r="E3" s="3647"/>
      <c r="F3" s="3647"/>
      <c r="G3" s="3647"/>
      <c r="H3" s="1"/>
      <c r="I3" s="1"/>
      <c r="J3" s="1"/>
      <c r="K3" s="1"/>
      <c r="L3" s="1"/>
      <c r="M3" s="1"/>
      <c r="N3" s="1"/>
    </row>
    <row r="4" spans="2:14" ht="18.75" customHeight="1" thickBot="1" x14ac:dyDescent="0.85">
      <c r="E4" s="3648"/>
      <c r="F4" s="3648"/>
      <c r="G4" s="3649"/>
      <c r="H4" s="3649"/>
    </row>
    <row r="5" spans="2:14" ht="17.5" x14ac:dyDescent="0.35">
      <c r="B5" s="3650" t="s">
        <v>12</v>
      </c>
      <c r="C5" s="3650" t="s">
        <v>13</v>
      </c>
      <c r="D5" s="3654" t="s">
        <v>14</v>
      </c>
      <c r="E5" s="3655"/>
      <c r="F5" s="3656"/>
      <c r="G5" s="3650" t="s">
        <v>15</v>
      </c>
    </row>
    <row r="6" spans="2:14" ht="77.25" customHeight="1" x14ac:dyDescent="0.35">
      <c r="B6" s="3651"/>
      <c r="C6" s="3652"/>
      <c r="D6" s="2" t="s">
        <v>16</v>
      </c>
      <c r="E6" s="3" t="s">
        <v>17</v>
      </c>
      <c r="F6" s="4" t="s">
        <v>18</v>
      </c>
      <c r="G6" s="3652"/>
    </row>
    <row r="7" spans="2:14" ht="15" thickBot="1" x14ac:dyDescent="0.4">
      <c r="B7" s="5" t="s">
        <v>19</v>
      </c>
      <c r="C7" s="3653"/>
      <c r="D7" s="6" t="s">
        <v>19</v>
      </c>
      <c r="E7" s="7" t="s">
        <v>19</v>
      </c>
      <c r="F7" s="8" t="s">
        <v>19</v>
      </c>
      <c r="G7" s="3653"/>
    </row>
    <row r="8" spans="2:14" ht="35.15" customHeight="1" x14ac:dyDescent="0.35">
      <c r="B8" s="9">
        <v>1</v>
      </c>
      <c r="C8" s="10">
        <v>43250</v>
      </c>
      <c r="D8" s="11">
        <v>1</v>
      </c>
      <c r="E8" s="11">
        <v>1</v>
      </c>
      <c r="F8" s="11">
        <v>1</v>
      </c>
      <c r="G8" s="12" t="s">
        <v>20</v>
      </c>
    </row>
    <row r="9" spans="2:14" ht="47.25" customHeight="1" x14ac:dyDescent="0.35">
      <c r="B9" s="2126">
        <v>2</v>
      </c>
      <c r="C9" s="2130">
        <v>43465</v>
      </c>
      <c r="D9" s="2127">
        <v>1</v>
      </c>
      <c r="E9" s="2127">
        <v>1</v>
      </c>
      <c r="F9" s="2127">
        <v>2</v>
      </c>
      <c r="G9" s="2128" t="s">
        <v>21</v>
      </c>
    </row>
    <row r="10" spans="2:14" ht="41.25" customHeight="1" x14ac:dyDescent="0.35">
      <c r="B10" s="2126">
        <v>3</v>
      </c>
      <c r="C10" s="2130">
        <v>43831</v>
      </c>
      <c r="D10" s="2127">
        <v>1</v>
      </c>
      <c r="E10" s="2127">
        <v>1</v>
      </c>
      <c r="F10" s="2127">
        <v>3</v>
      </c>
      <c r="G10" s="2128" t="s">
        <v>4358</v>
      </c>
    </row>
    <row r="11" spans="2:14" ht="35.15" customHeight="1" x14ac:dyDescent="0.35">
      <c r="B11" s="13">
        <v>3.1</v>
      </c>
      <c r="C11" s="1565">
        <v>43867</v>
      </c>
      <c r="D11" s="15">
        <v>1</v>
      </c>
      <c r="E11" s="15">
        <v>1</v>
      </c>
      <c r="F11" s="15">
        <v>3</v>
      </c>
      <c r="G11" s="16" t="s">
        <v>4471</v>
      </c>
    </row>
    <row r="12" spans="2:14" ht="35.15" customHeight="1" x14ac:dyDescent="0.35">
      <c r="B12" s="13">
        <v>3.2</v>
      </c>
      <c r="C12" s="1565">
        <v>44000</v>
      </c>
      <c r="D12" s="15">
        <v>1</v>
      </c>
      <c r="E12" s="15">
        <v>1.1000000000000001</v>
      </c>
      <c r="F12" s="15">
        <v>3</v>
      </c>
      <c r="G12" s="16" t="s">
        <v>22</v>
      </c>
    </row>
    <row r="13" spans="2:14" ht="40.5" customHeight="1" x14ac:dyDescent="0.35">
      <c r="B13" s="2126">
        <v>4</v>
      </c>
      <c r="C13" s="2130">
        <v>44197</v>
      </c>
      <c r="D13" s="2127">
        <v>1</v>
      </c>
      <c r="E13" s="2127">
        <v>2</v>
      </c>
      <c r="F13" s="2127">
        <v>4</v>
      </c>
      <c r="G13" s="2128" t="s">
        <v>23</v>
      </c>
    </row>
    <row r="14" spans="2:14" ht="44.25" customHeight="1" x14ac:dyDescent="0.35">
      <c r="B14" s="2126">
        <v>5</v>
      </c>
      <c r="C14" s="2130">
        <v>44454</v>
      </c>
      <c r="D14" s="2127">
        <v>2</v>
      </c>
      <c r="E14" s="2127">
        <v>3</v>
      </c>
      <c r="F14" s="2127">
        <v>5</v>
      </c>
      <c r="G14" s="2128" t="s">
        <v>4454</v>
      </c>
    </row>
    <row r="15" spans="2:14" ht="73.5" customHeight="1" x14ac:dyDescent="0.35">
      <c r="B15" s="3405">
        <v>6</v>
      </c>
      <c r="C15" s="3406">
        <v>44830</v>
      </c>
      <c r="D15" s="3407">
        <v>2</v>
      </c>
      <c r="E15" s="3407">
        <v>4</v>
      </c>
      <c r="F15" s="3407">
        <v>6</v>
      </c>
      <c r="G15" s="3408" t="s">
        <v>4470</v>
      </c>
    </row>
    <row r="16" spans="2:14" ht="35.15" customHeight="1" x14ac:dyDescent="0.35">
      <c r="B16" s="13"/>
      <c r="C16" s="14"/>
      <c r="D16" s="15"/>
      <c r="E16" s="15"/>
      <c r="F16" s="15"/>
      <c r="G16" s="16"/>
    </row>
    <row r="17" spans="2:7" ht="35.15" customHeight="1" x14ac:dyDescent="0.35">
      <c r="B17" s="13"/>
      <c r="C17" s="14"/>
      <c r="D17" s="15"/>
      <c r="E17" s="15"/>
      <c r="F17" s="15"/>
      <c r="G17" s="16"/>
    </row>
    <row r="18" spans="2:7" ht="35.15" customHeight="1" x14ac:dyDescent="0.35">
      <c r="B18" s="13"/>
      <c r="C18" s="14"/>
      <c r="D18" s="15"/>
      <c r="E18" s="15"/>
      <c r="F18" s="15"/>
      <c r="G18" s="16"/>
    </row>
    <row r="19" spans="2:7" ht="35.15" customHeight="1" x14ac:dyDescent="0.35">
      <c r="B19" s="13"/>
      <c r="C19" s="14"/>
      <c r="D19" s="15"/>
      <c r="E19" s="15"/>
      <c r="F19" s="15"/>
      <c r="G19" s="16"/>
    </row>
    <row r="20" spans="2:7" ht="35.15" customHeight="1" x14ac:dyDescent="0.35">
      <c r="B20" s="13"/>
      <c r="C20" s="14"/>
      <c r="D20" s="15"/>
      <c r="E20" s="15"/>
      <c r="F20" s="15"/>
      <c r="G20" s="16"/>
    </row>
    <row r="21" spans="2:7" ht="35.15" customHeight="1" x14ac:dyDescent="0.35">
      <c r="B21" s="13"/>
      <c r="C21" s="14"/>
      <c r="D21" s="15"/>
      <c r="E21" s="15"/>
      <c r="F21" s="15"/>
      <c r="G21" s="16"/>
    </row>
    <row r="22" spans="2:7" ht="35.15" customHeight="1" x14ac:dyDescent="0.35">
      <c r="B22" s="13"/>
      <c r="C22" s="14"/>
      <c r="D22" s="15"/>
      <c r="E22" s="15"/>
      <c r="F22" s="15"/>
      <c r="G22" s="16"/>
    </row>
    <row r="23" spans="2:7" ht="35.15" customHeight="1" x14ac:dyDescent="0.35">
      <c r="B23" s="13"/>
      <c r="C23" s="14"/>
      <c r="D23" s="15"/>
      <c r="E23" s="15"/>
      <c r="F23" s="15"/>
      <c r="G23" s="16"/>
    </row>
    <row r="24" spans="2:7" ht="35.15" customHeight="1" x14ac:dyDescent="0.35">
      <c r="B24" s="13"/>
      <c r="C24" s="14"/>
      <c r="D24" s="15"/>
      <c r="E24" s="15"/>
      <c r="F24" s="15"/>
      <c r="G24" s="16"/>
    </row>
    <row r="25" spans="2:7" ht="35.15" customHeight="1" x14ac:dyDescent="0.35">
      <c r="B25" s="13"/>
      <c r="C25" s="14"/>
      <c r="D25" s="15"/>
      <c r="E25" s="15"/>
      <c r="F25" s="15"/>
      <c r="G25" s="16"/>
    </row>
    <row r="26" spans="2:7" ht="35.15" customHeight="1" x14ac:dyDescent="0.35">
      <c r="B26" s="13"/>
      <c r="C26" s="14"/>
      <c r="D26" s="15"/>
      <c r="E26" s="15"/>
      <c r="F26" s="15"/>
      <c r="G26" s="16"/>
    </row>
    <row r="27" spans="2:7" ht="35.15" customHeight="1" x14ac:dyDescent="0.35">
      <c r="B27" s="13"/>
      <c r="C27" s="14"/>
      <c r="D27" s="15"/>
      <c r="E27" s="15"/>
      <c r="F27" s="15"/>
      <c r="G27" s="16"/>
    </row>
    <row r="28" spans="2:7" ht="35.15" customHeight="1" x14ac:dyDescent="0.35">
      <c r="B28" s="13"/>
      <c r="C28" s="14"/>
      <c r="D28" s="15"/>
      <c r="E28" s="15"/>
      <c r="F28" s="15"/>
      <c r="G28" s="16"/>
    </row>
    <row r="29" spans="2:7" ht="35.15" customHeight="1" x14ac:dyDescent="0.35">
      <c r="B29" s="13"/>
      <c r="C29" s="14"/>
      <c r="D29" s="15"/>
      <c r="E29" s="15"/>
      <c r="F29" s="15"/>
      <c r="G29" s="16"/>
    </row>
    <row r="30" spans="2:7" ht="35.15" customHeight="1" x14ac:dyDescent="0.35">
      <c r="B30" s="13"/>
      <c r="C30" s="14"/>
      <c r="D30" s="15"/>
      <c r="E30" s="15"/>
      <c r="F30" s="15"/>
      <c r="G30" s="16"/>
    </row>
    <row r="31" spans="2:7" ht="35.15" customHeight="1" x14ac:dyDescent="0.35">
      <c r="B31" s="13"/>
      <c r="C31" s="14"/>
      <c r="D31" s="15"/>
      <c r="E31" s="15"/>
      <c r="F31" s="15"/>
      <c r="G31" s="16"/>
    </row>
    <row r="32" spans="2:7" ht="35.15" customHeight="1" x14ac:dyDescent="0.35">
      <c r="B32" s="13"/>
      <c r="C32" s="14"/>
      <c r="D32" s="15"/>
      <c r="E32" s="15"/>
      <c r="F32" s="15"/>
      <c r="G32" s="16"/>
    </row>
    <row r="33" spans="2:7" ht="35.15" customHeight="1" x14ac:dyDescent="0.35">
      <c r="B33" s="13"/>
      <c r="C33" s="14"/>
      <c r="D33" s="15"/>
      <c r="E33" s="15"/>
      <c r="F33" s="15"/>
      <c r="G33" s="16"/>
    </row>
    <row r="34" spans="2:7" ht="35.15" customHeight="1" x14ac:dyDescent="0.35">
      <c r="B34" s="13"/>
      <c r="C34" s="14"/>
      <c r="D34" s="15"/>
      <c r="E34" s="15"/>
      <c r="F34" s="15"/>
      <c r="G34" s="16"/>
    </row>
    <row r="35" spans="2:7" ht="35.15" customHeight="1" x14ac:dyDescent="0.35">
      <c r="B35" s="13"/>
      <c r="C35" s="14"/>
      <c r="D35" s="15"/>
      <c r="E35" s="15"/>
      <c r="F35" s="15"/>
      <c r="G35" s="16"/>
    </row>
    <row r="36" spans="2:7" ht="35.15" customHeight="1" x14ac:dyDescent="0.35">
      <c r="B36" s="13"/>
      <c r="C36" s="14"/>
      <c r="D36" s="15"/>
      <c r="E36" s="15"/>
      <c r="F36" s="15"/>
      <c r="G36" s="16"/>
    </row>
    <row r="37" spans="2:7" ht="35.15" customHeight="1" x14ac:dyDescent="0.35">
      <c r="B37" s="13"/>
      <c r="C37" s="14"/>
      <c r="D37" s="15"/>
      <c r="E37" s="15"/>
      <c r="F37" s="15"/>
      <c r="G37" s="16"/>
    </row>
    <row r="38" spans="2:7" ht="35.15" customHeight="1" x14ac:dyDescent="0.35">
      <c r="B38" s="13"/>
      <c r="C38" s="14"/>
      <c r="D38" s="15"/>
      <c r="E38" s="15"/>
      <c r="F38" s="15"/>
      <c r="G38" s="16"/>
    </row>
    <row r="39" spans="2:7" ht="35.15" customHeight="1" thickBot="1" x14ac:dyDescent="0.4">
      <c r="B39" s="17"/>
      <c r="C39" s="18"/>
      <c r="D39" s="19"/>
      <c r="E39" s="19"/>
      <c r="F39" s="19"/>
      <c r="G39" s="20"/>
    </row>
  </sheetData>
  <mergeCells count="7">
    <mergeCell ref="E1:H1"/>
    <mergeCell ref="B3:G3"/>
    <mergeCell ref="E4:H4"/>
    <mergeCell ref="B5:B6"/>
    <mergeCell ref="C5:C7"/>
    <mergeCell ref="D5:F5"/>
    <mergeCell ref="G5:G7"/>
  </mergeCells>
  <printOptions horizontalCentered="1"/>
  <pageMargins left="0.7" right="0.7" top="0.75" bottom="0.75" header="0.3" footer="0.3"/>
  <pageSetup scale="5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BE120"/>
  <sheetViews>
    <sheetView zoomScale="70" zoomScaleNormal="70" workbookViewId="0">
      <selection sqref="A1:P1"/>
    </sheetView>
  </sheetViews>
  <sheetFormatPr defaultRowHeight="14.5" outlineLevelRow="1" x14ac:dyDescent="0.35"/>
  <cols>
    <col min="1" max="1" width="5.81640625" style="106" customWidth="1"/>
    <col min="2" max="2" width="9.1796875" style="106"/>
    <col min="3" max="3" width="20.453125" style="103" bestFit="1" customWidth="1"/>
    <col min="4" max="4" width="14" style="106" customWidth="1"/>
    <col min="5" max="5" width="75" style="106" customWidth="1"/>
    <col min="6" max="6" width="20.453125" style="106" customWidth="1"/>
    <col min="7" max="7" width="15.54296875" style="106" customWidth="1"/>
    <col min="8" max="8" width="20.81640625" style="106" customWidth="1"/>
    <col min="9" max="9" width="17.453125" style="106" customWidth="1"/>
    <col min="10" max="11" width="16.81640625" style="106" customWidth="1"/>
    <col min="12" max="13" width="12.7265625" style="106" customWidth="1"/>
    <col min="14" max="14" width="11.7265625" style="106" customWidth="1"/>
    <col min="15" max="15" width="11.453125" style="106" customWidth="1"/>
    <col min="16" max="17" width="9.1796875" style="106" customWidth="1"/>
    <col min="18" max="18" width="15.453125" style="106" customWidth="1"/>
    <col min="19" max="19" width="13.453125" style="106" customWidth="1"/>
    <col min="20" max="21" width="9.1796875" style="106" customWidth="1"/>
    <col min="22" max="22" width="23.81640625" customWidth="1"/>
    <col min="23" max="27" width="19.26953125" customWidth="1"/>
    <col min="28" max="28" width="16.81640625" bestFit="1" customWidth="1"/>
    <col min="29" max="29" width="16.7265625" bestFit="1" customWidth="1"/>
    <col min="30" max="30" width="11.7265625" bestFit="1" customWidth="1"/>
    <col min="34" max="34" width="14.453125" bestFit="1" customWidth="1"/>
    <col min="35" max="35" width="22.54296875" bestFit="1" customWidth="1"/>
    <col min="36" max="36" width="11.1796875" bestFit="1" customWidth="1"/>
    <col min="37" max="37" width="14" bestFit="1" customWidth="1"/>
    <col min="48" max="48" width="22.54296875" bestFit="1" customWidth="1"/>
    <col min="49" max="49" width="11.1796875" bestFit="1" customWidth="1"/>
    <col min="50" max="50" width="14" bestFit="1" customWidth="1"/>
    <col min="54" max="54" width="13.1796875" bestFit="1" customWidth="1"/>
    <col min="55" max="55" width="25.453125" bestFit="1" customWidth="1"/>
    <col min="57" max="57" width="16.1796875" bestFit="1" customWidth="1"/>
    <col min="61" max="61" width="29.81640625" customWidth="1"/>
    <col min="62" max="62" width="11.1796875" bestFit="1" customWidth="1"/>
    <col min="63" max="63" width="14" bestFit="1" customWidth="1"/>
  </cols>
  <sheetData>
    <row r="1" spans="1:57" s="21" customFormat="1" ht="18.5" x14ac:dyDescent="0.45">
      <c r="A1" s="3657" t="s">
        <v>24</v>
      </c>
      <c r="B1" s="3658"/>
      <c r="C1" s="3658"/>
      <c r="D1" s="3658"/>
      <c r="E1" s="3658"/>
      <c r="F1" s="3658"/>
      <c r="G1" s="3658"/>
      <c r="H1" s="3658"/>
      <c r="I1" s="3658"/>
      <c r="J1" s="3658"/>
      <c r="K1" s="3658"/>
      <c r="L1" s="3658"/>
      <c r="M1" s="3658"/>
      <c r="N1" s="3658"/>
      <c r="O1" s="3658"/>
      <c r="P1" s="3658"/>
      <c r="Q1" s="3659"/>
      <c r="R1" s="3660"/>
      <c r="S1" s="3660"/>
      <c r="T1" s="725"/>
      <c r="U1" s="725"/>
      <c r="V1" s="26"/>
      <c r="W1" s="27"/>
      <c r="X1" s="27"/>
      <c r="Y1" s="28"/>
      <c r="Z1" s="28"/>
      <c r="AA1" s="28"/>
      <c r="AB1" s="28"/>
      <c r="AC1" s="28"/>
      <c r="AD1" s="28"/>
      <c r="AE1" s="28"/>
      <c r="AF1" s="28"/>
      <c r="AG1" s="28"/>
      <c r="AH1" s="28"/>
    </row>
    <row r="2" spans="1:57" s="21" customFormat="1" ht="30" hidden="1" customHeight="1" outlineLevel="1" x14ac:dyDescent="0.5">
      <c r="A2" s="725"/>
      <c r="B2" s="1081"/>
      <c r="C2" s="126"/>
      <c r="D2" s="3661" t="s">
        <v>2243</v>
      </c>
      <c r="E2" s="3662"/>
      <c r="F2" s="3663"/>
      <c r="G2" s="3663"/>
      <c r="H2" s="3663"/>
      <c r="I2" s="3663"/>
      <c r="J2" s="3663"/>
      <c r="K2" s="724"/>
      <c r="L2" s="724"/>
      <c r="M2" s="725"/>
      <c r="N2" s="725"/>
      <c r="O2" s="725"/>
      <c r="P2" s="725"/>
      <c r="Q2" s="725"/>
      <c r="R2" s="725"/>
      <c r="S2" s="725"/>
      <c r="T2" s="725"/>
      <c r="U2" s="725"/>
    </row>
    <row r="3" spans="1:57" s="21" customFormat="1" ht="33.75" customHeight="1" collapsed="1" x14ac:dyDescent="0.35">
      <c r="A3" s="725"/>
      <c r="B3" s="725"/>
      <c r="C3" s="127"/>
      <c r="D3" s="127"/>
      <c r="E3" s="127"/>
      <c r="F3" s="127"/>
      <c r="G3" s="127"/>
      <c r="H3" s="127"/>
      <c r="I3" s="127"/>
      <c r="J3" s="127"/>
      <c r="K3" s="725"/>
      <c r="L3" s="725"/>
      <c r="M3" s="725"/>
      <c r="N3" s="725"/>
      <c r="O3" s="725"/>
      <c r="P3" s="725"/>
      <c r="Q3" s="725"/>
      <c r="R3" s="725"/>
      <c r="S3" s="725"/>
      <c r="T3" s="725"/>
      <c r="U3" s="725"/>
    </row>
    <row r="4" spans="1:57" x14ac:dyDescent="0.35">
      <c r="B4" s="3664" t="s">
        <v>25</v>
      </c>
      <c r="C4" s="3665"/>
      <c r="D4" s="3665"/>
      <c r="E4" s="3665"/>
      <c r="F4" s="3665"/>
      <c r="G4" s="3665"/>
      <c r="H4" s="3665"/>
      <c r="I4" s="3666"/>
      <c r="J4" s="3666"/>
      <c r="K4" s="3666"/>
      <c r="L4" s="3666"/>
      <c r="M4" s="3666"/>
      <c r="N4" s="3666"/>
      <c r="O4" s="3666"/>
      <c r="P4" s="3666"/>
      <c r="Q4" s="3666"/>
      <c r="R4" s="3666"/>
      <c r="S4" s="3667"/>
      <c r="V4" s="3664" t="str">
        <f>B4</f>
        <v>Lighting Program</v>
      </c>
      <c r="W4" s="3665"/>
      <c r="X4" s="3665"/>
      <c r="Y4" s="3665"/>
      <c r="Z4" s="3665"/>
      <c r="AA4" s="3665"/>
      <c r="AB4" s="3665"/>
      <c r="AC4" s="3680"/>
      <c r="AD4" s="3680"/>
      <c r="AE4" s="3680"/>
      <c r="AF4" s="3680"/>
      <c r="AG4" s="3680"/>
      <c r="AH4" s="3680"/>
      <c r="AI4" s="3681"/>
      <c r="BD4" s="21"/>
    </row>
    <row r="5" spans="1:57" x14ac:dyDescent="0.35">
      <c r="E5" s="452" t="s">
        <v>26</v>
      </c>
      <c r="BD5" s="21"/>
    </row>
    <row r="6" spans="1:57" ht="29" x14ac:dyDescent="0.35">
      <c r="C6" s="2331" t="s">
        <v>27</v>
      </c>
      <c r="D6" s="2331" t="s">
        <v>28</v>
      </c>
      <c r="E6" s="2331" t="s">
        <v>29</v>
      </c>
      <c r="F6" s="2331" t="s">
        <v>30</v>
      </c>
      <c r="G6" s="2331" t="s">
        <v>31</v>
      </c>
      <c r="H6" s="2331" t="s">
        <v>32</v>
      </c>
      <c r="I6" s="2331" t="s">
        <v>33</v>
      </c>
      <c r="J6" s="2331" t="s">
        <v>34</v>
      </c>
      <c r="K6" s="2331" t="s">
        <v>35</v>
      </c>
      <c r="L6" s="2331" t="s">
        <v>36</v>
      </c>
      <c r="M6" s="2331" t="s">
        <v>37</v>
      </c>
      <c r="N6" s="2331" t="s">
        <v>38</v>
      </c>
      <c r="O6" s="2331" t="s">
        <v>39</v>
      </c>
      <c r="P6" s="2331" t="s">
        <v>40</v>
      </c>
      <c r="Q6" s="2331" t="s">
        <v>41</v>
      </c>
      <c r="R6" s="2331" t="s">
        <v>42</v>
      </c>
      <c r="S6" s="2331" t="s">
        <v>43</v>
      </c>
      <c r="V6" s="1572" t="s">
        <v>44</v>
      </c>
      <c r="W6" s="1573">
        <v>43252</v>
      </c>
      <c r="X6" s="1573">
        <v>43435</v>
      </c>
      <c r="Y6" s="1573">
        <v>43800</v>
      </c>
      <c r="Z6" s="1573">
        <v>43862</v>
      </c>
      <c r="AA6" s="1573">
        <v>44013</v>
      </c>
      <c r="AB6" s="1573">
        <v>44166</v>
      </c>
      <c r="AC6" s="1573">
        <v>44531</v>
      </c>
      <c r="AD6" s="1573">
        <v>44774</v>
      </c>
      <c r="AE6" s="1573" t="s">
        <v>45</v>
      </c>
      <c r="AF6" s="1573" t="s">
        <v>45</v>
      </c>
      <c r="AG6" s="1573" t="s">
        <v>45</v>
      </c>
      <c r="BB6" s="1584" t="s">
        <v>4472</v>
      </c>
      <c r="BC6" s="38" t="s">
        <v>47</v>
      </c>
      <c r="BD6" s="39" t="s">
        <v>48</v>
      </c>
      <c r="BE6" s="39" t="s">
        <v>49</v>
      </c>
    </row>
    <row r="7" spans="1:57" x14ac:dyDescent="0.35">
      <c r="C7" s="50" t="s">
        <v>50</v>
      </c>
      <c r="D7" s="88" t="s">
        <v>51</v>
      </c>
      <c r="E7" s="2333" t="s">
        <v>52</v>
      </c>
      <c r="F7" s="461">
        <f>ROUND(L7+M7,2)</f>
        <v>9.68</v>
      </c>
      <c r="G7" s="90">
        <f t="shared" ref="G7:G14" si="0">ROUND(((L7/F7)*I7+(M7/F7)*K7)*F7,6)</f>
        <v>1.5009999999999999E-3</v>
      </c>
      <c r="H7" s="91" t="s">
        <v>53</v>
      </c>
      <c r="I7" s="393">
        <f>VLOOKUP(H7,'CP FACTORS'!$A$3:$B$38, 2, FALSE)</f>
        <v>1.4925290000000001E-4</v>
      </c>
      <c r="J7" s="91" t="s">
        <v>54</v>
      </c>
      <c r="K7" s="393">
        <f>VLOOKUP(J7,'CP FACTORS'!$A$3:$B$38, 2, FALSE)</f>
        <v>1.899635E-4</v>
      </c>
      <c r="L7" s="1635">
        <f>((G44-G70)*$G$112*$G$96*(1-$G$103)*($G$106*$G$108)/1000)</f>
        <v>8.290220325649365</v>
      </c>
      <c r="M7" s="1684">
        <f t="shared" ref="M7:M31" si="1">((G44-G70)*(1-$G$112)*$G$96*(1-$G$103)*($G$109*$G$111)/1000)</f>
        <v>1.3873010057369219</v>
      </c>
      <c r="N7" s="1685">
        <f>L7*I7</f>
        <v>1.2373394252421122E-3</v>
      </c>
      <c r="O7" s="1685">
        <f>M7*K7</f>
        <v>2.635365546033058E-4</v>
      </c>
      <c r="P7" s="92">
        <f t="shared" ref="P7:P14" si="2">$G$115</f>
        <v>19</v>
      </c>
      <c r="Q7" s="92">
        <f t="shared" ref="Q7:Q14" si="3">$G$117</f>
        <v>6</v>
      </c>
      <c r="R7" s="1686">
        <v>9.9999999999999995E-7</v>
      </c>
      <c r="S7" s="50" t="s">
        <v>55</v>
      </c>
      <c r="V7" s="88" t="s">
        <v>30</v>
      </c>
      <c r="W7" s="110">
        <v>12.91958407191729</v>
      </c>
      <c r="X7" s="112">
        <v>12.018748359511475</v>
      </c>
      <c r="Y7" s="1575">
        <v>9.52</v>
      </c>
      <c r="Z7" s="112">
        <v>9.52</v>
      </c>
      <c r="AA7" s="112">
        <v>9.52</v>
      </c>
      <c r="AB7" s="1575">
        <v>9.68</v>
      </c>
      <c r="AC7" s="141">
        <v>9.68</v>
      </c>
      <c r="AD7" s="3087">
        <v>9.68</v>
      </c>
      <c r="AE7" s="141"/>
      <c r="AF7" s="141"/>
      <c r="AG7" s="141"/>
      <c r="AH7" s="1696"/>
      <c r="BB7" s="94">
        <f>(BD7)/(BE7)</f>
        <v>22092.935257913439</v>
      </c>
      <c r="BC7" s="2381" t="str">
        <f>CONCATENATE(H7," ",P7," Year EUL")</f>
        <v>Lighting RES 19 Year EUL</v>
      </c>
      <c r="BD7" s="95">
        <f>(INDEX('Avoided Cost Benefits'!$E$4:$E$859,MATCH(BC7,'Avoided Cost Benefits'!$A$4:$A$859,0)))*F7</f>
        <v>5.4953242462901413</v>
      </c>
      <c r="BE7" s="1579">
        <f>O7/(1.0595^(2020-2019))</f>
        <v>2.4873671977659819E-4</v>
      </c>
    </row>
    <row r="8" spans="1:57" x14ac:dyDescent="0.35">
      <c r="C8" s="50" t="s">
        <v>56</v>
      </c>
      <c r="D8" s="88" t="s">
        <v>51</v>
      </c>
      <c r="E8" s="2333" t="s">
        <v>57</v>
      </c>
      <c r="F8" s="461">
        <f t="shared" ref="F8:F29" si="4">ROUND(L8+M8,2)</f>
        <v>39.74</v>
      </c>
      <c r="G8" s="90">
        <f t="shared" si="0"/>
        <v>6.1640000000000002E-3</v>
      </c>
      <c r="H8" s="91" t="s">
        <v>53</v>
      </c>
      <c r="I8" s="393">
        <f>VLOOKUP(H8,'CP FACTORS'!$A$3:$B$38, 2, FALSE)</f>
        <v>1.4925290000000001E-4</v>
      </c>
      <c r="J8" s="91" t="s">
        <v>54</v>
      </c>
      <c r="K8" s="393">
        <f>VLOOKUP(J8,'CP FACTORS'!$A$3:$B$38, 2, FALSE)</f>
        <v>1.899635E-4</v>
      </c>
      <c r="L8" s="1635">
        <f>((G45-G71)*$G$112*$G$96*(1-$G$103)*($G$106*$G$108)/1000)</f>
        <v>34.046244638346423</v>
      </c>
      <c r="M8" s="1684">
        <f t="shared" si="1"/>
        <v>5.6973623827836688</v>
      </c>
      <c r="N8" s="1685">
        <f t="shared" ref="N8:N31" si="5">L8*I8</f>
        <v>5.0815007463826554E-3</v>
      </c>
      <c r="O8" s="1685">
        <f t="shared" ref="O8:O31" si="6">M8*K8</f>
        <v>1.0822908990019255E-3</v>
      </c>
      <c r="P8" s="92">
        <f t="shared" si="2"/>
        <v>19</v>
      </c>
      <c r="Q8" s="92">
        <f t="shared" si="3"/>
        <v>6</v>
      </c>
      <c r="R8" s="1686">
        <v>9.9999999999999995E-7</v>
      </c>
      <c r="S8" s="50" t="s">
        <v>55</v>
      </c>
      <c r="V8" s="88" t="s">
        <v>30</v>
      </c>
      <c r="W8" s="110">
        <v>33.221787613501611</v>
      </c>
      <c r="X8" s="112">
        <v>25.609179196805226</v>
      </c>
      <c r="Y8" s="1575">
        <v>39.11</v>
      </c>
      <c r="Z8" s="112">
        <v>39.11</v>
      </c>
      <c r="AA8" s="112">
        <v>39.11</v>
      </c>
      <c r="AB8" s="1575">
        <v>39.74</v>
      </c>
      <c r="AC8" s="141">
        <v>39.74</v>
      </c>
      <c r="AD8" s="3087">
        <v>39.74</v>
      </c>
      <c r="AE8" s="141"/>
      <c r="AF8" s="141"/>
      <c r="AG8" s="141"/>
      <c r="AH8" s="1696"/>
      <c r="BB8" s="97">
        <f t="shared" ref="BB8:BB29" si="7">(BD8)/(BE8)</f>
        <v>22085.273542093197</v>
      </c>
      <c r="BC8" s="1580" t="str">
        <f t="shared" ref="BC8:BC29" si="8">CONCATENATE(H8," ",P8," Year EUL")</f>
        <v>Lighting RES 19 Year EUL</v>
      </c>
      <c r="BD8" s="98">
        <f>(INDEX('Avoided Cost Benefits'!$E$4:$E$859,MATCH(BC8,'Avoided Cost Benefits'!$A$4:$A$859,0)))*F8</f>
        <v>22.56034974664982</v>
      </c>
      <c r="BE8" s="1581">
        <f t="shared" ref="BE8:BE29" si="9">O8/(1.0595^(2020-2019))</f>
        <v>1.0215109948106893E-3</v>
      </c>
    </row>
    <row r="9" spans="1:57" x14ac:dyDescent="0.35">
      <c r="C9" s="50" t="s">
        <v>58</v>
      </c>
      <c r="D9" s="88" t="s">
        <v>51</v>
      </c>
      <c r="E9" s="2333" t="s">
        <v>59</v>
      </c>
      <c r="F9" s="461">
        <f t="shared" si="4"/>
        <v>4.7</v>
      </c>
      <c r="G9" s="90">
        <f t="shared" si="0"/>
        <v>7.2900000000000005E-4</v>
      </c>
      <c r="H9" s="91" t="s">
        <v>53</v>
      </c>
      <c r="I9" s="393">
        <f>VLOOKUP(H9,'CP FACTORS'!$A$3:$B$38, 2, FALSE)</f>
        <v>1.4925290000000001E-4</v>
      </c>
      <c r="J9" s="91" t="s">
        <v>54</v>
      </c>
      <c r="K9" s="393">
        <f>VLOOKUP(J9,'CP FACTORS'!$A$3:$B$38, 2, FALSE)</f>
        <v>1.899635E-4</v>
      </c>
      <c r="L9" s="1635">
        <f>((G46-G72)*$G$112*$G$96*(1-$G$103)*($G$106*$G$108)/1000)</f>
        <v>4.0243787988589146</v>
      </c>
      <c r="M9" s="1684">
        <f t="shared" si="1"/>
        <v>0.67344709016355431</v>
      </c>
      <c r="N9" s="1685">
        <f t="shared" si="5"/>
        <v>6.0065020642820969E-4</v>
      </c>
      <c r="O9" s="1685">
        <f t="shared" si="6"/>
        <v>1.2793036631228436E-4</v>
      </c>
      <c r="P9" s="92">
        <f t="shared" si="2"/>
        <v>19</v>
      </c>
      <c r="Q9" s="92">
        <f t="shared" si="3"/>
        <v>6</v>
      </c>
      <c r="R9" s="1686">
        <v>9.9999999999999995E-7</v>
      </c>
      <c r="S9" s="50" t="s">
        <v>55</v>
      </c>
      <c r="V9" s="88" t="s">
        <v>30</v>
      </c>
      <c r="W9" s="110">
        <v>3.9681579649460259</v>
      </c>
      <c r="X9" s="112">
        <v>3.9754321496845653</v>
      </c>
      <c r="Y9" s="1575">
        <v>4.62</v>
      </c>
      <c r="Z9" s="112">
        <v>4.62</v>
      </c>
      <c r="AA9" s="112">
        <v>4.62</v>
      </c>
      <c r="AB9" s="1575">
        <v>4.7</v>
      </c>
      <c r="AC9" s="141">
        <v>4.7</v>
      </c>
      <c r="AD9" s="3087">
        <v>4.7</v>
      </c>
      <c r="AE9" s="141"/>
      <c r="AF9" s="141"/>
      <c r="AG9" s="141"/>
      <c r="AH9" s="1696"/>
      <c r="BB9" s="97">
        <f t="shared" si="7"/>
        <v>22097.499913958469</v>
      </c>
      <c r="BC9" s="1580" t="str">
        <f t="shared" si="8"/>
        <v>Lighting RES 19 Year EUL</v>
      </c>
      <c r="BD9" s="98">
        <f>(INDEX('Avoided Cost Benefits'!$E$4:$E$859,MATCH(BC9,'Avoided Cost Benefits'!$A$4:$A$859,0)))*F9</f>
        <v>2.6681842931367425</v>
      </c>
      <c r="BE9" s="1581">
        <f t="shared" si="9"/>
        <v>1.2074598047407678E-4</v>
      </c>
    </row>
    <row r="10" spans="1:57" x14ac:dyDescent="0.35">
      <c r="C10" s="50" t="s">
        <v>60</v>
      </c>
      <c r="D10" s="88" t="s">
        <v>51</v>
      </c>
      <c r="E10" s="2333" t="s">
        <v>61</v>
      </c>
      <c r="F10" s="461">
        <f t="shared" si="4"/>
        <v>32.51</v>
      </c>
      <c r="G10" s="90">
        <f t="shared" si="0"/>
        <v>5.0419999999999996E-3</v>
      </c>
      <c r="H10" s="91" t="s">
        <v>53</v>
      </c>
      <c r="I10" s="393">
        <f>VLOOKUP(H10,'CP FACTORS'!$A$3:$B$38, 2, FALSE)</f>
        <v>1.4925290000000001E-4</v>
      </c>
      <c r="J10" s="91" t="s">
        <v>54</v>
      </c>
      <c r="K10" s="393">
        <f>VLOOKUP(J10,'CP FACTORS'!$A$3:$B$38, 2, FALSE)</f>
        <v>1.899635E-4</v>
      </c>
      <c r="L10" s="1635">
        <f>(($G$47-$G$73)*$G$112*$G$96*(1-$G$103)*($G$106*$G$108)/1000)</f>
        <v>27.848701288103694</v>
      </c>
      <c r="M10" s="1684">
        <f t="shared" si="1"/>
        <v>4.6602538639317963</v>
      </c>
      <c r="N10" s="1685">
        <f t="shared" si="5"/>
        <v>4.1564994284832117E-3</v>
      </c>
      <c r="O10" s="1685">
        <f t="shared" si="6"/>
        <v>8.8527813488100781E-4</v>
      </c>
      <c r="P10" s="92">
        <f t="shared" si="2"/>
        <v>19</v>
      </c>
      <c r="Q10" s="92">
        <f t="shared" si="3"/>
        <v>6</v>
      </c>
      <c r="R10" s="1686">
        <v>9.9999999999999995E-7</v>
      </c>
      <c r="S10" s="50" t="s">
        <v>55</v>
      </c>
      <c r="V10" s="88" t="s">
        <v>30</v>
      </c>
      <c r="W10" s="110">
        <v>29.733499914083939</v>
      </c>
      <c r="X10" s="112">
        <v>29.677063256947569</v>
      </c>
      <c r="Y10" s="1575">
        <v>28.75</v>
      </c>
      <c r="Z10" s="112">
        <v>28.75</v>
      </c>
      <c r="AA10" s="112">
        <v>28.75</v>
      </c>
      <c r="AB10" s="1575">
        <v>32.51</v>
      </c>
      <c r="AC10" s="141">
        <v>32.51</v>
      </c>
      <c r="AD10" s="3087">
        <v>32.51</v>
      </c>
      <c r="AE10" s="141"/>
      <c r="AF10" s="141"/>
      <c r="AG10" s="141"/>
      <c r="AH10" s="1696"/>
      <c r="BB10" s="97">
        <f t="shared" si="7"/>
        <v>22087.988015090079</v>
      </c>
      <c r="BC10" s="1580" t="str">
        <f t="shared" si="8"/>
        <v>Lighting RES 19 Year EUL</v>
      </c>
      <c r="BD10" s="98">
        <f>(INDEX('Avoided Cost Benefits'!$E$4:$E$859,MATCH(BC10,'Avoided Cost Benefits'!$A$4:$A$859,0)))*F10</f>
        <v>18.455887525505425</v>
      </c>
      <c r="BE10" s="1581">
        <f t="shared" si="9"/>
        <v>8.3556218488061134E-4</v>
      </c>
    </row>
    <row r="11" spans="1:57" x14ac:dyDescent="0.35">
      <c r="C11" s="50" t="s">
        <v>62</v>
      </c>
      <c r="D11" s="88" t="s">
        <v>51</v>
      </c>
      <c r="E11" s="2333" t="s">
        <v>63</v>
      </c>
      <c r="F11" s="461">
        <f t="shared" si="4"/>
        <v>2.44</v>
      </c>
      <c r="G11" s="90">
        <f t="shared" si="0"/>
        <v>3.79E-4</v>
      </c>
      <c r="H11" s="91" t="s">
        <v>53</v>
      </c>
      <c r="I11" s="393">
        <f>VLOOKUP(H11,'CP FACTORS'!$A$3:$B$38, 2, FALSE)</f>
        <v>1.4925290000000001E-4</v>
      </c>
      <c r="J11" s="91" t="s">
        <v>54</v>
      </c>
      <c r="K11" s="393">
        <f>VLOOKUP(J11,'CP FACTORS'!$A$3:$B$38, 2, FALSE)</f>
        <v>1.899635E-4</v>
      </c>
      <c r="L11" s="1635">
        <f t="shared" ref="L11:L31" si="10">((G48-G74)*$G$112*$G$96*(1-$G$103)*($G$106*$G$108)/1000)</f>
        <v>2.0926769754066354</v>
      </c>
      <c r="M11" s="1684">
        <f t="shared" si="1"/>
        <v>0.35019248688504817</v>
      </c>
      <c r="N11" s="1685">
        <f t="shared" si="5"/>
        <v>3.1233810734266905E-4</v>
      </c>
      <c r="O11" s="1685">
        <f t="shared" si="6"/>
        <v>6.6523790482387853E-5</v>
      </c>
      <c r="P11" s="92">
        <f t="shared" si="2"/>
        <v>19</v>
      </c>
      <c r="Q11" s="92">
        <f t="shared" si="3"/>
        <v>6</v>
      </c>
      <c r="R11" s="1686">
        <v>9.9999999999999995E-7</v>
      </c>
      <c r="S11" s="50" t="s">
        <v>55</v>
      </c>
      <c r="V11" s="88" t="s">
        <v>30</v>
      </c>
      <c r="W11" s="110">
        <v>7.8440331865212132</v>
      </c>
      <c r="X11" s="112">
        <v>7.8584123889113489</v>
      </c>
      <c r="Y11" s="1575">
        <v>2.4</v>
      </c>
      <c r="Z11" s="112">
        <v>2.4</v>
      </c>
      <c r="AA11" s="112">
        <v>2.4</v>
      </c>
      <c r="AB11" s="1575">
        <v>2.44</v>
      </c>
      <c r="AC11" s="141">
        <v>2.44</v>
      </c>
      <c r="AD11" s="3087">
        <v>2.44</v>
      </c>
      <c r="AE11" s="141"/>
      <c r="AF11" s="141"/>
      <c r="AG11" s="141"/>
      <c r="AH11" s="1696"/>
      <c r="BB11" s="97">
        <f t="shared" si="7"/>
        <v>22061.333792986366</v>
      </c>
      <c r="BC11" s="1580" t="str">
        <f t="shared" si="8"/>
        <v>Lighting RES 19 Year EUL</v>
      </c>
      <c r="BD11" s="98">
        <f>(INDEX('Avoided Cost Benefits'!$E$4:$E$859,MATCH(BC11,'Avoided Cost Benefits'!$A$4:$A$859,0)))*F11</f>
        <v>1.385185037288011</v>
      </c>
      <c r="BE11" s="1581">
        <f t="shared" si="9"/>
        <v>6.278790984651991E-5</v>
      </c>
    </row>
    <row r="12" spans="1:57" x14ac:dyDescent="0.35">
      <c r="C12" s="50" t="s">
        <v>64</v>
      </c>
      <c r="D12" s="88" t="s">
        <v>51</v>
      </c>
      <c r="E12" s="2333" t="s">
        <v>65</v>
      </c>
      <c r="F12" s="461">
        <f t="shared" si="4"/>
        <v>72.16</v>
      </c>
      <c r="G12" s="90">
        <f t="shared" si="0"/>
        <v>1.1191E-2</v>
      </c>
      <c r="H12" s="91" t="s">
        <v>53</v>
      </c>
      <c r="I12" s="393">
        <f>VLOOKUP(H12,'CP FACTORS'!$A$3:$B$38, 2, FALSE)</f>
        <v>1.4925290000000001E-4</v>
      </c>
      <c r="J12" s="91" t="s">
        <v>54</v>
      </c>
      <c r="K12" s="393">
        <f>VLOOKUP(J12,'CP FACTORS'!$A$3:$B$38, 2, FALSE)</f>
        <v>1.899635E-4</v>
      </c>
      <c r="L12" s="1635">
        <f t="shared" si="10"/>
        <v>61.814458350472925</v>
      </c>
      <c r="M12" s="1684">
        <f t="shared" si="1"/>
        <v>10.344147304912193</v>
      </c>
      <c r="N12" s="1685">
        <f t="shared" si="5"/>
        <v>9.2259871707373008E-3</v>
      </c>
      <c r="O12" s="1685">
        <f t="shared" si="6"/>
        <v>1.9650104265566872E-3</v>
      </c>
      <c r="P12" s="92">
        <f t="shared" si="2"/>
        <v>19</v>
      </c>
      <c r="Q12" s="92">
        <f t="shared" si="3"/>
        <v>6</v>
      </c>
      <c r="R12" s="1686">
        <v>9.9999999999999995E-7</v>
      </c>
      <c r="S12" s="50" t="s">
        <v>55</v>
      </c>
      <c r="V12" s="88" t="s">
        <v>30</v>
      </c>
      <c r="W12" s="110">
        <v>61.59873120003423</v>
      </c>
      <c r="X12" s="112">
        <v>47.335378154383655</v>
      </c>
      <c r="Y12" s="1575">
        <v>71</v>
      </c>
      <c r="Z12" s="112">
        <v>71</v>
      </c>
      <c r="AA12" s="112">
        <v>71</v>
      </c>
      <c r="AB12" s="1575">
        <v>72.16</v>
      </c>
      <c r="AC12" s="141">
        <v>72.16</v>
      </c>
      <c r="AD12" s="3087">
        <v>72.16</v>
      </c>
      <c r="AE12" s="141"/>
      <c r="AF12" s="141"/>
      <c r="AG12" s="141"/>
      <c r="AH12" s="1696"/>
      <c r="BB12" s="97">
        <f t="shared" si="7"/>
        <v>22087.70492286186</v>
      </c>
      <c r="BC12" s="1580" t="str">
        <f t="shared" si="8"/>
        <v>Lighting RES 19 Year EUL</v>
      </c>
      <c r="BD12" s="98">
        <f>(INDEX('Avoided Cost Benefits'!$E$4:$E$859,MATCH(BC12,'Avoided Cost Benefits'!$A$4:$A$859,0)))*F12</f>
        <v>40.9651443814356</v>
      </c>
      <c r="BE12" s="1581">
        <f t="shared" si="9"/>
        <v>1.8546582600818188E-3</v>
      </c>
    </row>
    <row r="13" spans="1:57" x14ac:dyDescent="0.35">
      <c r="C13" s="50" t="s">
        <v>66</v>
      </c>
      <c r="D13" s="88" t="s">
        <v>51</v>
      </c>
      <c r="E13" s="2333" t="s">
        <v>67</v>
      </c>
      <c r="F13" s="461">
        <f t="shared" si="4"/>
        <v>38.43</v>
      </c>
      <c r="G13" s="90">
        <f t="shared" si="0"/>
        <v>5.96E-3</v>
      </c>
      <c r="H13" s="91" t="s">
        <v>53</v>
      </c>
      <c r="I13" s="393">
        <f>VLOOKUP(H13,'CP FACTORS'!$A$3:$B$38, 2, FALSE)</f>
        <v>1.4925290000000001E-4</v>
      </c>
      <c r="J13" s="91" t="s">
        <v>54</v>
      </c>
      <c r="K13" s="393">
        <f>VLOOKUP(J13,'CP FACTORS'!$A$3:$B$38, 2, FALSE)</f>
        <v>1.899635E-4</v>
      </c>
      <c r="L13" s="1635">
        <f t="shared" si="10"/>
        <v>32.919418574665919</v>
      </c>
      <c r="M13" s="1684">
        <f t="shared" si="1"/>
        <v>5.5087971975378736</v>
      </c>
      <c r="N13" s="1685">
        <f t="shared" si="5"/>
        <v>4.9133186885827549E-3</v>
      </c>
      <c r="O13" s="1685">
        <f t="shared" si="6"/>
        <v>1.0464703964344858E-3</v>
      </c>
      <c r="P13" s="92">
        <f t="shared" si="2"/>
        <v>19</v>
      </c>
      <c r="Q13" s="92">
        <f t="shared" si="3"/>
        <v>6</v>
      </c>
      <c r="R13" s="1686">
        <v>9.9999999999999995E-7</v>
      </c>
      <c r="S13" s="50" t="s">
        <v>55</v>
      </c>
      <c r="V13" s="88" t="s">
        <v>30</v>
      </c>
      <c r="W13" s="110">
        <v>39.127883189235227</v>
      </c>
      <c r="X13" s="112">
        <v>38.275090929521156</v>
      </c>
      <c r="Y13" s="1575">
        <v>37.81</v>
      </c>
      <c r="Z13" s="112">
        <v>37.81</v>
      </c>
      <c r="AA13" s="112">
        <v>37.81</v>
      </c>
      <c r="AB13" s="1575">
        <v>38.43</v>
      </c>
      <c r="AC13" s="141">
        <v>38.43</v>
      </c>
      <c r="AD13" s="3087">
        <v>38.43</v>
      </c>
      <c r="AE13" s="141"/>
      <c r="AF13" s="141"/>
      <c r="AG13" s="141"/>
      <c r="AH13" s="1696"/>
      <c r="BB13" s="97">
        <f t="shared" si="7"/>
        <v>22088.303638699064</v>
      </c>
      <c r="BC13" s="1580" t="str">
        <f t="shared" si="8"/>
        <v>Lighting RES 19 Year EUL</v>
      </c>
      <c r="BD13" s="98">
        <f>(INDEX('Avoided Cost Benefits'!$E$4:$E$859,MATCH(BC13,'Avoided Cost Benefits'!$A$4:$A$859,0)))*F13</f>
        <v>21.816664337286173</v>
      </c>
      <c r="BE13" s="1581">
        <f t="shared" si="9"/>
        <v>9.8770212027794778E-4</v>
      </c>
    </row>
    <row r="14" spans="1:57" x14ac:dyDescent="0.35">
      <c r="C14" s="50" t="s">
        <v>68</v>
      </c>
      <c r="D14" s="88" t="s">
        <v>51</v>
      </c>
      <c r="E14" s="2333" t="s">
        <v>69</v>
      </c>
      <c r="F14" s="461">
        <f t="shared" si="4"/>
        <v>6.39</v>
      </c>
      <c r="G14" s="90">
        <f t="shared" si="0"/>
        <v>9.9099999999999991E-4</v>
      </c>
      <c r="H14" s="91" t="s">
        <v>53</v>
      </c>
      <c r="I14" s="393">
        <f>VLOOKUP(H14,'CP FACTORS'!$A$3:$B$38, 2, FALSE)</f>
        <v>1.4925290000000001E-4</v>
      </c>
      <c r="J14" s="91" t="s">
        <v>54</v>
      </c>
      <c r="K14" s="393">
        <f>VLOOKUP(J14,'CP FACTORS'!$A$3:$B$38, 2, FALSE)</f>
        <v>1.899635E-4</v>
      </c>
      <c r="L14" s="1635">
        <f t="shared" si="10"/>
        <v>5.4731551664481231</v>
      </c>
      <c r="M14" s="1684">
        <f t="shared" si="1"/>
        <v>0.91588804262243373</v>
      </c>
      <c r="N14" s="1685">
        <f t="shared" si="5"/>
        <v>8.1688428074236515E-4</v>
      </c>
      <c r="O14" s="1685">
        <f t="shared" si="6"/>
        <v>1.739852981847067E-4</v>
      </c>
      <c r="P14" s="92">
        <f t="shared" si="2"/>
        <v>19</v>
      </c>
      <c r="Q14" s="92">
        <f t="shared" si="3"/>
        <v>6</v>
      </c>
      <c r="R14" s="1686">
        <v>9.9999999999999995E-7</v>
      </c>
      <c r="S14" s="50" t="s">
        <v>55</v>
      </c>
      <c r="V14" s="88" t="s">
        <v>30</v>
      </c>
      <c r="W14" s="110">
        <v>7.6594676997795368</v>
      </c>
      <c r="X14" s="112">
        <v>7.6735085679957855</v>
      </c>
      <c r="Y14" s="1575">
        <v>6.29</v>
      </c>
      <c r="Z14" s="112">
        <v>6.29</v>
      </c>
      <c r="AA14" s="112">
        <v>6.29</v>
      </c>
      <c r="AB14" s="1575">
        <v>6.39</v>
      </c>
      <c r="AC14" s="141">
        <v>6.39</v>
      </c>
      <c r="AD14" s="3087">
        <v>6.39</v>
      </c>
      <c r="AE14" s="141"/>
      <c r="AF14" s="141"/>
      <c r="AG14" s="141"/>
      <c r="AH14" s="1696"/>
      <c r="BB14" s="97">
        <f t="shared" si="7"/>
        <v>22090.585802596157</v>
      </c>
      <c r="BC14" s="1580" t="str">
        <f t="shared" si="8"/>
        <v>Lighting RES 19 Year EUL</v>
      </c>
      <c r="BD14" s="98">
        <f>(INDEX('Avoided Cost Benefits'!$E$4:$E$859,MATCH(BC14,'Avoided Cost Benefits'!$A$4:$A$859,0)))*F14</f>
        <v>3.6275952410944221</v>
      </c>
      <c r="BE14" s="1581">
        <f t="shared" si="9"/>
        <v>1.6421453344474439E-4</v>
      </c>
    </row>
    <row r="15" spans="1:57" x14ac:dyDescent="0.35">
      <c r="C15" s="50" t="s">
        <v>70</v>
      </c>
      <c r="D15" s="88" t="s">
        <v>51</v>
      </c>
      <c r="E15" s="2333" t="s">
        <v>71</v>
      </c>
      <c r="F15" s="461">
        <f t="shared" ref="F15:F16" si="11">ROUND(L15+M15,2)</f>
        <v>7.41</v>
      </c>
      <c r="G15" s="90">
        <f t="shared" ref="G15:G16" si="12">ROUND(((L15/F15)*I15+(M15/F15)*K15)*F15,6)</f>
        <v>1.15E-3</v>
      </c>
      <c r="H15" s="91" t="s">
        <v>53</v>
      </c>
      <c r="I15" s="393">
        <f>VLOOKUP(H15,'CP FACTORS'!$A$3:$B$38, 2, FALSE)</f>
        <v>1.4925290000000001E-4</v>
      </c>
      <c r="J15" s="91" t="s">
        <v>54</v>
      </c>
      <c r="K15" s="393">
        <f>VLOOKUP(J15,'CP FACTORS'!$A$3:$B$38, 2, FALSE)</f>
        <v>1.899635E-4</v>
      </c>
      <c r="L15" s="1635">
        <f t="shared" si="10"/>
        <v>6.3495754381996212</v>
      </c>
      <c r="M15" s="1684">
        <f t="shared" si="1"/>
        <v>1.0625498533691635</v>
      </c>
      <c r="N15" s="1685">
        <f t="shared" ref="N15:N16" si="13">L15*I15</f>
        <v>9.4769254792006433E-4</v>
      </c>
      <c r="O15" s="1685">
        <f t="shared" ref="O15:O16" si="14">M15*K15</f>
        <v>2.0184568907049311E-4</v>
      </c>
      <c r="P15" s="92">
        <f t="shared" ref="P15:P16" si="15">$G$115</f>
        <v>19</v>
      </c>
      <c r="Q15" s="92">
        <f t="shared" ref="Q15:Q16" si="16">$G$117</f>
        <v>6</v>
      </c>
      <c r="R15" s="1686">
        <v>9.9999999999999995E-7</v>
      </c>
      <c r="S15" s="50" t="s">
        <v>55</v>
      </c>
      <c r="V15" s="88" t="s">
        <v>30</v>
      </c>
      <c r="W15" s="110"/>
      <c r="X15" s="112"/>
      <c r="Y15" s="1575"/>
      <c r="Z15" s="112"/>
      <c r="AA15" s="112"/>
      <c r="AB15" s="1575">
        <v>7.41</v>
      </c>
      <c r="AC15" s="141">
        <v>7.41</v>
      </c>
      <c r="AD15" s="3087">
        <v>7.41</v>
      </c>
      <c r="AE15" s="141"/>
      <c r="AF15" s="141"/>
      <c r="AG15" s="141"/>
      <c r="AH15" s="1696"/>
      <c r="BB15" s="97">
        <f t="shared" ref="BB15:BB16" si="17">(BD15)/(BE15)</f>
        <v>22080.944999428979</v>
      </c>
      <c r="BC15" s="1580" t="str">
        <f t="shared" ref="BC15:BC16" si="18">CONCATENATE(H15," ",P15," Year EUL")</f>
        <v>Lighting RES 19 Year EUL</v>
      </c>
      <c r="BD15" s="98">
        <f>(INDEX('Avoided Cost Benefits'!$E$4:$E$859,MATCH(BC15,'Avoided Cost Benefits'!$A$4:$A$859,0)))*F15</f>
        <v>4.2066480025836723</v>
      </c>
      <c r="BE15" s="1581">
        <f t="shared" ref="BE15:BE16" si="19">O15/(1.0595^(2020-2019))</f>
        <v>1.9051032474798782E-4</v>
      </c>
    </row>
    <row r="16" spans="1:57" x14ac:dyDescent="0.35">
      <c r="C16" s="50" t="s">
        <v>72</v>
      </c>
      <c r="D16" s="88" t="s">
        <v>51</v>
      </c>
      <c r="E16" s="2333" t="s">
        <v>73</v>
      </c>
      <c r="F16" s="461">
        <f t="shared" si="11"/>
        <v>50.74</v>
      </c>
      <c r="G16" s="90">
        <f t="shared" si="12"/>
        <v>7.8689999999999993E-3</v>
      </c>
      <c r="H16" s="91" t="s">
        <v>53</v>
      </c>
      <c r="I16" s="393">
        <f>VLOOKUP(H16,'CP FACTORS'!$A$3:$B$38, 2, FALSE)</f>
        <v>1.4925290000000001E-4</v>
      </c>
      <c r="J16" s="91" t="s">
        <v>54</v>
      </c>
      <c r="K16" s="393">
        <f>VLOOKUP(J16,'CP FACTORS'!$A$3:$B$38, 2, FALSE)</f>
        <v>1.899635E-4</v>
      </c>
      <c r="L16" s="1635">
        <f t="shared" si="10"/>
        <v>43.463291027676277</v>
      </c>
      <c r="M16" s="1684">
        <f t="shared" si="1"/>
        <v>7.2732285737663869</v>
      </c>
      <c r="N16" s="1685">
        <f t="shared" si="13"/>
        <v>6.4870222294246653E-3</v>
      </c>
      <c r="O16" s="1685">
        <f t="shared" si="14"/>
        <v>1.3816479561726712E-3</v>
      </c>
      <c r="P16" s="92">
        <f t="shared" si="15"/>
        <v>19</v>
      </c>
      <c r="Q16" s="92">
        <f t="shared" si="16"/>
        <v>6</v>
      </c>
      <c r="R16" s="1686">
        <v>9.9999999999999995E-7</v>
      </c>
      <c r="S16" s="50" t="s">
        <v>55</v>
      </c>
      <c r="V16" s="88" t="s">
        <v>30</v>
      </c>
      <c r="W16" s="110"/>
      <c r="X16" s="112"/>
      <c r="Y16" s="1575"/>
      <c r="Z16" s="112"/>
      <c r="AA16" s="112"/>
      <c r="AB16" s="1575">
        <v>50.74</v>
      </c>
      <c r="AC16" s="141">
        <v>50.74</v>
      </c>
      <c r="AD16" s="3087">
        <v>50.74</v>
      </c>
      <c r="AE16" s="141"/>
      <c r="AF16" s="141"/>
      <c r="AG16" s="141"/>
      <c r="AH16" s="1696"/>
      <c r="BB16" s="97">
        <f t="shared" si="17"/>
        <v>22088.793255205925</v>
      </c>
      <c r="BC16" s="1580" t="str">
        <f t="shared" si="18"/>
        <v>Lighting RES 19 Year EUL</v>
      </c>
      <c r="BD16" s="98">
        <f>(INDEX('Avoided Cost Benefits'!$E$4:$E$859,MATCH(BC16,'Avoided Cost Benefits'!$A$4:$A$859,0)))*F16</f>
        <v>28.805036390161344</v>
      </c>
      <c r="BE16" s="1581">
        <f t="shared" si="19"/>
        <v>1.3040565891200293E-3</v>
      </c>
    </row>
    <row r="17" spans="3:57" x14ac:dyDescent="0.35">
      <c r="C17" s="50" t="s">
        <v>74</v>
      </c>
      <c r="D17" s="88" t="s">
        <v>51</v>
      </c>
      <c r="E17" s="2333" t="s">
        <v>75</v>
      </c>
      <c r="F17" s="461">
        <f t="shared" si="4"/>
        <v>5.64</v>
      </c>
      <c r="G17" s="90">
        <f t="shared" ref="G17:G29" si="20">ROUND(((L17/F17)*I17+(M17/F17)*K17)*F17,6)</f>
        <v>8.7399999999999999E-4</v>
      </c>
      <c r="H17" s="91" t="s">
        <v>53</v>
      </c>
      <c r="I17" s="393">
        <f>VLOOKUP(H17,'CP FACTORS'!$A$3:$B$38, 2, FALSE)</f>
        <v>1.4925290000000001E-4</v>
      </c>
      <c r="J17" s="91" t="s">
        <v>54</v>
      </c>
      <c r="K17" s="393">
        <f>VLOOKUP(J17,'CP FACTORS'!$A$3:$B$38, 2, FALSE)</f>
        <v>1.899635E-4</v>
      </c>
      <c r="L17" s="1635">
        <f t="shared" si="10"/>
        <v>4.8292545586306987</v>
      </c>
      <c r="M17" s="1684">
        <f t="shared" si="1"/>
        <v>0.80813650819626515</v>
      </c>
      <c r="N17" s="1685">
        <f t="shared" si="5"/>
        <v>7.2078024771385189E-4</v>
      </c>
      <c r="O17" s="1685">
        <f t="shared" si="6"/>
        <v>1.5351643957474122E-4</v>
      </c>
      <c r="P17" s="92">
        <f t="shared" ref="P17:P30" si="21">$G$115</f>
        <v>19</v>
      </c>
      <c r="Q17" s="92">
        <f t="shared" ref="Q17:Q30" si="22">$G$117</f>
        <v>6</v>
      </c>
      <c r="R17" s="1686">
        <v>9.9999999999999995E-7</v>
      </c>
      <c r="S17" s="50" t="s">
        <v>55</v>
      </c>
      <c r="V17" s="88" t="s">
        <v>30</v>
      </c>
      <c r="W17" s="110">
        <v>4.4295716818002155</v>
      </c>
      <c r="X17" s="112">
        <v>4.4376917019734679</v>
      </c>
      <c r="Y17" s="1575">
        <v>5.55</v>
      </c>
      <c r="Z17" s="112">
        <v>5.55</v>
      </c>
      <c r="AA17" s="112">
        <v>5.55</v>
      </c>
      <c r="AB17" s="1575">
        <v>5.64</v>
      </c>
      <c r="AC17" s="141">
        <v>5.64</v>
      </c>
      <c r="AD17" s="3087">
        <v>5.64</v>
      </c>
      <c r="AE17" s="141"/>
      <c r="AF17" s="141"/>
      <c r="AG17" s="141"/>
      <c r="AH17" s="1696"/>
      <c r="BB17" s="97">
        <f t="shared" si="7"/>
        <v>22097.499913958469</v>
      </c>
      <c r="BC17" s="1580" t="str">
        <f t="shared" si="8"/>
        <v>Lighting RES 19 Year EUL</v>
      </c>
      <c r="BD17" s="98">
        <f>(INDEX('Avoided Cost Benefits'!$E$4:$E$859,MATCH(BC17,'Avoided Cost Benefits'!$A$4:$A$859,0)))*F17</f>
        <v>3.2018211517640909</v>
      </c>
      <c r="BE17" s="1581">
        <f t="shared" si="9"/>
        <v>1.4489517656889213E-4</v>
      </c>
    </row>
    <row r="18" spans="3:57" x14ac:dyDescent="0.35">
      <c r="C18" s="50" t="s">
        <v>76</v>
      </c>
      <c r="D18" s="88" t="s">
        <v>51</v>
      </c>
      <c r="E18" s="2333" t="s">
        <v>77</v>
      </c>
      <c r="F18" s="461">
        <f t="shared" si="4"/>
        <v>48.2</v>
      </c>
      <c r="G18" s="90">
        <f t="shared" si="20"/>
        <v>7.4749999999999999E-3</v>
      </c>
      <c r="H18" s="91" t="s">
        <v>53</v>
      </c>
      <c r="I18" s="393">
        <f>VLOOKUP(H18,'CP FACTORS'!$A$3:$B$38, 2, FALSE)</f>
        <v>1.4925290000000001E-4</v>
      </c>
      <c r="J18" s="91" t="s">
        <v>54</v>
      </c>
      <c r="K18" s="393">
        <f>VLOOKUP(J18,'CP FACTORS'!$A$3:$B$38, 2, FALSE)</f>
        <v>1.899635E-4</v>
      </c>
      <c r="L18" s="1635">
        <f t="shared" si="10"/>
        <v>41.290126476292464</v>
      </c>
      <c r="M18" s="1684">
        <f t="shared" si="1"/>
        <v>6.9095671450780678</v>
      </c>
      <c r="N18" s="1685">
        <f t="shared" si="5"/>
        <v>6.1626711179534315E-3</v>
      </c>
      <c r="O18" s="1685">
        <f t="shared" si="6"/>
        <v>1.3125655583640376E-3</v>
      </c>
      <c r="P18" s="92">
        <f t="shared" si="21"/>
        <v>19</v>
      </c>
      <c r="Q18" s="92">
        <f t="shared" si="22"/>
        <v>6</v>
      </c>
      <c r="R18" s="1686">
        <v>9.9999999999999995E-7</v>
      </c>
      <c r="S18" s="50" t="s">
        <v>55</v>
      </c>
      <c r="V18" s="88" t="s">
        <v>30</v>
      </c>
      <c r="W18" s="110">
        <v>46.971916375756443</v>
      </c>
      <c r="X18" s="112">
        <v>46.503310960263626</v>
      </c>
      <c r="Y18" s="1575">
        <v>47.43</v>
      </c>
      <c r="Z18" s="112">
        <v>47.43</v>
      </c>
      <c r="AA18" s="112">
        <v>47.43</v>
      </c>
      <c r="AB18" s="1575">
        <v>48.2</v>
      </c>
      <c r="AC18" s="141">
        <v>48.2</v>
      </c>
      <c r="AD18" s="3087">
        <v>48.2</v>
      </c>
      <c r="AE18" s="141"/>
      <c r="AF18" s="141"/>
      <c r="AG18" s="141"/>
      <c r="AH18" s="1696"/>
      <c r="BB18" s="97">
        <f t="shared" si="7"/>
        <v>22087.418519613413</v>
      </c>
      <c r="BC18" s="1580" t="str">
        <f t="shared" si="8"/>
        <v>Lighting RES 19 Year EUL</v>
      </c>
      <c r="BD18" s="98">
        <f>(INDEX('Avoided Cost Benefits'!$E$4:$E$859,MATCH(BC18,'Avoided Cost Benefits'!$A$4:$A$859,0)))*F18</f>
        <v>27.363081474295956</v>
      </c>
      <c r="BE18" s="1581">
        <f t="shared" si="9"/>
        <v>1.2388537596640279E-3</v>
      </c>
    </row>
    <row r="19" spans="3:57" x14ac:dyDescent="0.35">
      <c r="C19" s="50" t="s">
        <v>78</v>
      </c>
      <c r="D19" s="88" t="s">
        <v>51</v>
      </c>
      <c r="E19" s="2333" t="s">
        <v>79</v>
      </c>
      <c r="F19" s="461">
        <f t="shared" si="4"/>
        <v>4.7</v>
      </c>
      <c r="G19" s="90">
        <f t="shared" si="20"/>
        <v>7.2900000000000005E-4</v>
      </c>
      <c r="H19" s="91" t="s">
        <v>53</v>
      </c>
      <c r="I19" s="393">
        <f>VLOOKUP(H19,'CP FACTORS'!$A$3:$B$38, 2, FALSE)</f>
        <v>1.4925290000000001E-4</v>
      </c>
      <c r="J19" s="91" t="s">
        <v>54</v>
      </c>
      <c r="K19" s="393">
        <f>VLOOKUP(J19,'CP FACTORS'!$A$3:$B$38, 2, FALSE)</f>
        <v>1.899635E-4</v>
      </c>
      <c r="L19" s="1635">
        <f t="shared" si="10"/>
        <v>4.0243787988589146</v>
      </c>
      <c r="M19" s="1684">
        <f t="shared" si="1"/>
        <v>0.67344709016355431</v>
      </c>
      <c r="N19" s="1685">
        <f t="shared" si="5"/>
        <v>6.0065020642820969E-4</v>
      </c>
      <c r="O19" s="1685">
        <f t="shared" si="6"/>
        <v>1.2793036631228436E-4</v>
      </c>
      <c r="P19" s="92">
        <f t="shared" si="21"/>
        <v>19</v>
      </c>
      <c r="Q19" s="92">
        <f t="shared" si="22"/>
        <v>6</v>
      </c>
      <c r="R19" s="1686">
        <v>9.9999999999999995E-7</v>
      </c>
      <c r="S19" s="50" t="s">
        <v>55</v>
      </c>
      <c r="V19" s="88" t="s">
        <v>30</v>
      </c>
      <c r="W19" s="110">
        <v>4.6141371685418902</v>
      </c>
      <c r="X19" s="112">
        <v>4.6225955228890285</v>
      </c>
      <c r="Y19" s="112">
        <v>4.62</v>
      </c>
      <c r="Z19" s="112">
        <v>4.62</v>
      </c>
      <c r="AA19" s="112">
        <v>4.62</v>
      </c>
      <c r="AB19" s="1575">
        <v>4.7</v>
      </c>
      <c r="AC19" s="141">
        <v>4.7</v>
      </c>
      <c r="AD19" s="3087">
        <v>4.7</v>
      </c>
      <c r="AE19" s="141"/>
      <c r="AF19" s="141"/>
      <c r="AG19" s="141"/>
      <c r="AH19" s="1696"/>
      <c r="BB19" s="97">
        <f t="shared" si="7"/>
        <v>22097.499913958469</v>
      </c>
      <c r="BC19" s="1580" t="str">
        <f t="shared" si="8"/>
        <v>Lighting RES 19 Year EUL</v>
      </c>
      <c r="BD19" s="98">
        <f>(INDEX('Avoided Cost Benefits'!$E$4:$E$859,MATCH(BC19,'Avoided Cost Benefits'!$A$4:$A$859,0)))*F19</f>
        <v>2.6681842931367425</v>
      </c>
      <c r="BE19" s="1581">
        <f t="shared" si="9"/>
        <v>1.2074598047407678E-4</v>
      </c>
    </row>
    <row r="20" spans="3:57" x14ac:dyDescent="0.35">
      <c r="C20" s="50" t="s">
        <v>80</v>
      </c>
      <c r="D20" s="88" t="s">
        <v>51</v>
      </c>
      <c r="E20" s="2333" t="s">
        <v>81</v>
      </c>
      <c r="F20" s="461">
        <f t="shared" si="4"/>
        <v>77.040000000000006</v>
      </c>
      <c r="G20" s="90">
        <f t="shared" si="20"/>
        <v>1.1949E-2</v>
      </c>
      <c r="H20" s="91" t="s">
        <v>53</v>
      </c>
      <c r="I20" s="393">
        <f>VLOOKUP(H20,'CP FACTORS'!$A$3:$B$38, 2, FALSE)</f>
        <v>1.4925290000000001E-4</v>
      </c>
      <c r="J20" s="91" t="s">
        <v>54</v>
      </c>
      <c r="K20" s="393">
        <f>VLOOKUP(J20,'CP FACTORS'!$A$3:$B$38, 2, FALSE)</f>
        <v>1.899635E-4</v>
      </c>
      <c r="L20" s="1635">
        <f t="shared" si="10"/>
        <v>65.999812301286198</v>
      </c>
      <c r="M20" s="1684">
        <f t="shared" si="1"/>
        <v>11.04453227868229</v>
      </c>
      <c r="N20" s="1685">
        <f t="shared" si="5"/>
        <v>9.8506633854226391E-3</v>
      </c>
      <c r="O20" s="1685">
        <f t="shared" si="6"/>
        <v>2.0980580075214634E-3</v>
      </c>
      <c r="P20" s="92">
        <f t="shared" si="21"/>
        <v>19</v>
      </c>
      <c r="Q20" s="92">
        <f t="shared" si="22"/>
        <v>6</v>
      </c>
      <c r="R20" s="1686">
        <v>9.9999999999999995E-7</v>
      </c>
      <c r="S20" s="50" t="s">
        <v>55</v>
      </c>
      <c r="V20" s="88" t="s">
        <v>30</v>
      </c>
      <c r="W20" s="110">
        <v>75.671849564086983</v>
      </c>
      <c r="X20" s="112">
        <v>75.810566575380079</v>
      </c>
      <c r="Y20" s="112">
        <v>75.81</v>
      </c>
      <c r="Z20" s="112">
        <v>75.81</v>
      </c>
      <c r="AA20" s="112">
        <v>75.81</v>
      </c>
      <c r="AB20" s="1575">
        <v>77.040000000000006</v>
      </c>
      <c r="AC20" s="141">
        <v>77.040000000000006</v>
      </c>
      <c r="AD20" s="3087">
        <v>77.040000000000006</v>
      </c>
      <c r="AE20" s="141"/>
      <c r="AF20" s="141"/>
      <c r="AG20" s="141"/>
      <c r="AH20" s="1696"/>
      <c r="BB20" s="97">
        <f t="shared" si="7"/>
        <v>22086.032607308778</v>
      </c>
      <c r="BC20" s="1580" t="str">
        <f t="shared" si="8"/>
        <v>Lighting RES 19 Year EUL</v>
      </c>
      <c r="BD20" s="98">
        <f>(INDEX('Avoided Cost Benefits'!$E$4:$E$859,MATCH(BC20,'Avoided Cost Benefits'!$A$4:$A$859,0)))*F20</f>
        <v>43.735514456011629</v>
      </c>
      <c r="BE20" s="1581">
        <f t="shared" si="9"/>
        <v>1.980234079774859E-3</v>
      </c>
    </row>
    <row r="21" spans="3:57" x14ac:dyDescent="0.35">
      <c r="C21" s="50" t="s">
        <v>82</v>
      </c>
      <c r="D21" s="88" t="s">
        <v>51</v>
      </c>
      <c r="E21" s="2333" t="s">
        <v>83</v>
      </c>
      <c r="F21" s="461">
        <f t="shared" si="4"/>
        <v>9.02</v>
      </c>
      <c r="G21" s="90">
        <f t="shared" si="20"/>
        <v>1.3990000000000001E-3</v>
      </c>
      <c r="H21" s="91" t="s">
        <v>53</v>
      </c>
      <c r="I21" s="393">
        <f>VLOOKUP(H21,'CP FACTORS'!$A$3:$B$38, 2, FALSE)</f>
        <v>1.4925290000000001E-4</v>
      </c>
      <c r="J21" s="91" t="s">
        <v>54</v>
      </c>
      <c r="K21" s="393">
        <f>VLOOKUP(J21,'CP FACTORS'!$A$3:$B$38, 2, FALSE)</f>
        <v>1.899635E-4</v>
      </c>
      <c r="L21" s="1635">
        <f t="shared" si="10"/>
        <v>7.7268072938091175</v>
      </c>
      <c r="M21" s="1684">
        <f t="shared" si="1"/>
        <v>1.2930184131140243</v>
      </c>
      <c r="N21" s="1685">
        <f t="shared" si="5"/>
        <v>1.1532483963421628E-3</v>
      </c>
      <c r="O21" s="1685">
        <f t="shared" si="6"/>
        <v>2.4562630331958596E-4</v>
      </c>
      <c r="P21" s="92">
        <f t="shared" si="21"/>
        <v>19</v>
      </c>
      <c r="Q21" s="92">
        <f t="shared" si="22"/>
        <v>6</v>
      </c>
      <c r="R21" s="1686">
        <v>9.9999999999999995E-7</v>
      </c>
      <c r="S21" s="50" t="s">
        <v>55</v>
      </c>
      <c r="V21" s="88" t="s">
        <v>30</v>
      </c>
      <c r="W21" s="110">
        <v>9.043708850342103</v>
      </c>
      <c r="X21" s="112">
        <v>9.0602872248624973</v>
      </c>
      <c r="Y21" s="1575">
        <v>8.8800000000000008</v>
      </c>
      <c r="Z21" s="112">
        <v>8.8800000000000008</v>
      </c>
      <c r="AA21" s="112">
        <v>8.8800000000000008</v>
      </c>
      <c r="AB21" s="1575">
        <v>9.02</v>
      </c>
      <c r="AC21" s="141">
        <v>9.02</v>
      </c>
      <c r="AD21" s="3087">
        <v>9.02</v>
      </c>
      <c r="AE21" s="141"/>
      <c r="AF21" s="141"/>
      <c r="AG21" s="141"/>
      <c r="AH21" s="1696"/>
      <c r="BB21" s="97">
        <f t="shared" si="7"/>
        <v>22087.704922861853</v>
      </c>
      <c r="BC21" s="1580" t="str">
        <f t="shared" si="8"/>
        <v>Lighting RES 19 Year EUL</v>
      </c>
      <c r="BD21" s="98">
        <f>(INDEX('Avoided Cost Benefits'!$E$4:$E$859,MATCH(BC21,'Avoided Cost Benefits'!$A$4:$A$859,0)))*F21</f>
        <v>5.12064304767945</v>
      </c>
      <c r="BE21" s="1581">
        <f t="shared" si="9"/>
        <v>2.3183228251022741E-4</v>
      </c>
    </row>
    <row r="22" spans="3:57" x14ac:dyDescent="0.35">
      <c r="C22" s="50" t="s">
        <v>84</v>
      </c>
      <c r="D22" s="88" t="s">
        <v>51</v>
      </c>
      <c r="E22" s="2333" t="s">
        <v>85</v>
      </c>
      <c r="F22" s="461">
        <f t="shared" si="4"/>
        <v>53.37</v>
      </c>
      <c r="G22" s="90">
        <f t="shared" si="20"/>
        <v>8.2769999999999996E-3</v>
      </c>
      <c r="H22" s="91" t="s">
        <v>53</v>
      </c>
      <c r="I22" s="393">
        <f>VLOOKUP(H22,'CP FACTORS'!$A$3:$B$38, 2, FALSE)</f>
        <v>1.4925290000000001E-4</v>
      </c>
      <c r="J22" s="91" t="s">
        <v>54</v>
      </c>
      <c r="K22" s="393">
        <f>VLOOKUP(J22,'CP FACTORS'!$A$3:$B$38, 2, FALSE)</f>
        <v>1.899635E-4</v>
      </c>
      <c r="L22" s="1635">
        <f t="shared" si="10"/>
        <v>45.716943155037271</v>
      </c>
      <c r="M22" s="1684">
        <f t="shared" si="1"/>
        <v>7.6503589442579765</v>
      </c>
      <c r="N22" s="1685">
        <f t="shared" si="5"/>
        <v>6.8233863450244629E-3</v>
      </c>
      <c r="O22" s="1685">
        <f t="shared" si="6"/>
        <v>1.4532889613075501E-3</v>
      </c>
      <c r="P22" s="92">
        <f t="shared" si="21"/>
        <v>19</v>
      </c>
      <c r="Q22" s="92">
        <f t="shared" si="22"/>
        <v>6</v>
      </c>
      <c r="R22" s="1686">
        <v>9.9999999999999995E-7</v>
      </c>
      <c r="S22" s="50" t="s">
        <v>55</v>
      </c>
      <c r="V22" s="88" t="s">
        <v>30</v>
      </c>
      <c r="W22" s="110">
        <v>52.601163721377539</v>
      </c>
      <c r="X22" s="112">
        <v>52.512685140019379</v>
      </c>
      <c r="Y22" s="112">
        <v>52.51</v>
      </c>
      <c r="Z22" s="112">
        <v>52.51</v>
      </c>
      <c r="AA22" s="112">
        <v>52.51</v>
      </c>
      <c r="AB22" s="1575">
        <v>53.37</v>
      </c>
      <c r="AC22" s="141">
        <v>53.37</v>
      </c>
      <c r="AD22" s="3087">
        <v>53.37</v>
      </c>
      <c r="AE22" s="141"/>
      <c r="AF22" s="141"/>
      <c r="AG22" s="141"/>
      <c r="AH22" s="1696"/>
      <c r="BB22" s="97">
        <f t="shared" si="7"/>
        <v>22088.394710967252</v>
      </c>
      <c r="BC22" s="1580" t="str">
        <f t="shared" si="8"/>
        <v>Lighting RES 19 Year EUL</v>
      </c>
      <c r="BD22" s="98">
        <f>(INDEX('Avoided Cost Benefits'!$E$4:$E$859,MATCH(BC22,'Avoided Cost Benefits'!$A$4:$A$859,0)))*F22</f>
        <v>30.29808419674637</v>
      </c>
      <c r="BE22" s="1581">
        <f t="shared" si="9"/>
        <v>1.371674338185512E-3</v>
      </c>
    </row>
    <row r="23" spans="3:57" x14ac:dyDescent="0.35">
      <c r="C23" s="50" t="s">
        <v>86</v>
      </c>
      <c r="D23" s="88" t="s">
        <v>51</v>
      </c>
      <c r="E23" s="2333" t="s">
        <v>87</v>
      </c>
      <c r="F23" s="461">
        <f t="shared" si="4"/>
        <v>4.7</v>
      </c>
      <c r="G23" s="90">
        <f t="shared" si="20"/>
        <v>7.2900000000000005E-4</v>
      </c>
      <c r="H23" s="91" t="s">
        <v>53</v>
      </c>
      <c r="I23" s="393">
        <f>VLOOKUP(H23,'CP FACTORS'!$A$3:$B$38, 2, FALSE)</f>
        <v>1.4925290000000001E-4</v>
      </c>
      <c r="J23" s="91" t="s">
        <v>54</v>
      </c>
      <c r="K23" s="393">
        <f>VLOOKUP(J23,'CP FACTORS'!$A$3:$B$38, 2, FALSE)</f>
        <v>1.899635E-4</v>
      </c>
      <c r="L23" s="1635">
        <f t="shared" si="10"/>
        <v>4.0243787988589146</v>
      </c>
      <c r="M23" s="1684">
        <f t="shared" si="1"/>
        <v>0.67344709016355431</v>
      </c>
      <c r="N23" s="1685">
        <f t="shared" si="5"/>
        <v>6.0065020642820969E-4</v>
      </c>
      <c r="O23" s="1685">
        <f t="shared" si="6"/>
        <v>1.2793036631228436E-4</v>
      </c>
      <c r="P23" s="92">
        <f t="shared" si="21"/>
        <v>19</v>
      </c>
      <c r="Q23" s="92">
        <f t="shared" si="22"/>
        <v>6</v>
      </c>
      <c r="R23" s="1686">
        <v>9.9999999999999995E-7</v>
      </c>
      <c r="S23" s="50" t="s">
        <v>55</v>
      </c>
      <c r="V23" s="88" t="s">
        <v>30</v>
      </c>
      <c r="W23" s="110">
        <v>4.1527234516877014</v>
      </c>
      <c r="X23" s="112">
        <v>4.1603359706001255</v>
      </c>
      <c r="Y23" s="1575">
        <v>4.62</v>
      </c>
      <c r="Z23" s="112">
        <v>4.62</v>
      </c>
      <c r="AA23" s="112">
        <v>4.62</v>
      </c>
      <c r="AB23" s="1575">
        <v>4.7</v>
      </c>
      <c r="AC23" s="141">
        <v>4.7</v>
      </c>
      <c r="AD23" s="3087">
        <v>4.7</v>
      </c>
      <c r="AE23" s="141"/>
      <c r="AF23" s="141"/>
      <c r="AG23" s="141"/>
      <c r="AH23" s="1696"/>
      <c r="BB23" s="97">
        <f t="shared" si="7"/>
        <v>22097.499913958469</v>
      </c>
      <c r="BC23" s="1580" t="str">
        <f t="shared" si="8"/>
        <v>Lighting RES 19 Year EUL</v>
      </c>
      <c r="BD23" s="98">
        <f>(INDEX('Avoided Cost Benefits'!$E$4:$E$859,MATCH(BC23,'Avoided Cost Benefits'!$A$4:$A$859,0)))*F23</f>
        <v>2.6681842931367425</v>
      </c>
      <c r="BE23" s="1581">
        <f t="shared" si="9"/>
        <v>1.2074598047407678E-4</v>
      </c>
    </row>
    <row r="24" spans="3:57" x14ac:dyDescent="0.35">
      <c r="C24" s="50" t="s">
        <v>88</v>
      </c>
      <c r="D24" s="88" t="s">
        <v>51</v>
      </c>
      <c r="E24" s="2333" t="s">
        <v>89</v>
      </c>
      <c r="F24" s="461">
        <f t="shared" si="4"/>
        <v>32.880000000000003</v>
      </c>
      <c r="G24" s="90">
        <f t="shared" si="20"/>
        <v>5.1000000000000004E-3</v>
      </c>
      <c r="H24" s="91" t="s">
        <v>53</v>
      </c>
      <c r="I24" s="393">
        <f>VLOOKUP(H24,'CP FACTORS'!$A$3:$B$38, 2, FALSE)</f>
        <v>1.4925290000000001E-4</v>
      </c>
      <c r="J24" s="91" t="s">
        <v>54</v>
      </c>
      <c r="K24" s="393">
        <f>VLOOKUP(J24,'CP FACTORS'!$A$3:$B$38, 2, FALSE)</f>
        <v>1.899635E-4</v>
      </c>
      <c r="L24" s="1635">
        <f t="shared" si="10"/>
        <v>28.170651592012405</v>
      </c>
      <c r="M24" s="1684">
        <f t="shared" si="1"/>
        <v>4.7141296311448802</v>
      </c>
      <c r="N24" s="1685">
        <f t="shared" si="5"/>
        <v>4.2045514449974685E-3</v>
      </c>
      <c r="O24" s="1685">
        <f t="shared" si="6"/>
        <v>8.9551256418599046E-4</v>
      </c>
      <c r="P24" s="92">
        <f t="shared" si="21"/>
        <v>19</v>
      </c>
      <c r="Q24" s="92">
        <f t="shared" si="22"/>
        <v>6</v>
      </c>
      <c r="R24" s="1686">
        <v>9.9999999999999995E-7</v>
      </c>
      <c r="S24" s="50" t="s">
        <v>55</v>
      </c>
      <c r="V24" s="88" t="s">
        <v>30</v>
      </c>
      <c r="W24" s="110">
        <v>33.138733144467849</v>
      </c>
      <c r="X24" s="112">
        <v>33.652495406632127</v>
      </c>
      <c r="Y24" s="1575">
        <v>32.36</v>
      </c>
      <c r="Z24" s="112">
        <v>32.36</v>
      </c>
      <c r="AA24" s="112">
        <v>32.36</v>
      </c>
      <c r="AB24" s="1575">
        <v>32.880000000000003</v>
      </c>
      <c r="AC24" s="141">
        <v>32.880000000000003</v>
      </c>
      <c r="AD24" s="3087">
        <v>32.880000000000003</v>
      </c>
      <c r="AE24" s="141"/>
      <c r="AF24" s="141"/>
      <c r="AG24" s="141"/>
      <c r="AH24" s="1696"/>
      <c r="BB24" s="97">
        <f t="shared" si="7"/>
        <v>22084.066783311686</v>
      </c>
      <c r="BC24" s="1580" t="str">
        <f t="shared" si="8"/>
        <v>Lighting RES 19 Year EUL</v>
      </c>
      <c r="BD24" s="98">
        <f>(INDEX('Avoided Cost Benefits'!$E$4:$E$859,MATCH(BC24,'Avoided Cost Benefits'!$A$4:$A$859,0)))*F24</f>
        <v>18.665936076241721</v>
      </c>
      <c r="BE24" s="1581">
        <f t="shared" si="9"/>
        <v>8.4522186331853738E-4</v>
      </c>
    </row>
    <row r="25" spans="3:57" x14ac:dyDescent="0.35">
      <c r="C25" s="50" t="s">
        <v>90</v>
      </c>
      <c r="D25" s="88" t="s">
        <v>51</v>
      </c>
      <c r="E25" s="2333" t="s">
        <v>91</v>
      </c>
      <c r="F25" s="461">
        <f t="shared" si="4"/>
        <v>5.45</v>
      </c>
      <c r="G25" s="90">
        <f t="shared" si="20"/>
        <v>8.4500000000000005E-4</v>
      </c>
      <c r="H25" s="91" t="s">
        <v>53</v>
      </c>
      <c r="I25" s="393">
        <f>VLOOKUP(H25,'CP FACTORS'!$A$3:$B$38, 2, FALSE)</f>
        <v>1.4925290000000001E-4</v>
      </c>
      <c r="J25" s="91" t="s">
        <v>54</v>
      </c>
      <c r="K25" s="393">
        <f>VLOOKUP(J25,'CP FACTORS'!$A$3:$B$38, 2, FALSE)</f>
        <v>1.899635E-4</v>
      </c>
      <c r="L25" s="1635">
        <f t="shared" si="10"/>
        <v>4.6682794066763398</v>
      </c>
      <c r="M25" s="1684">
        <f t="shared" si="1"/>
        <v>0.781198624589723</v>
      </c>
      <c r="N25" s="1685">
        <f t="shared" si="5"/>
        <v>6.9675423945672306E-4</v>
      </c>
      <c r="O25" s="1685">
        <f t="shared" si="6"/>
        <v>1.4839922492224984E-4</v>
      </c>
      <c r="P25" s="92">
        <f t="shared" si="21"/>
        <v>19</v>
      </c>
      <c r="Q25" s="92">
        <f t="shared" si="22"/>
        <v>6</v>
      </c>
      <c r="R25" s="1686">
        <v>9.9999999999999995E-7</v>
      </c>
      <c r="S25" s="50" t="s">
        <v>55</v>
      </c>
      <c r="V25" s="88" t="s">
        <v>30</v>
      </c>
      <c r="W25" s="110">
        <v>4.706419911912727</v>
      </c>
      <c r="X25" s="112">
        <v>4.7150474333468093</v>
      </c>
      <c r="Y25" s="1575">
        <v>5.36</v>
      </c>
      <c r="Z25" s="112">
        <v>5.36</v>
      </c>
      <c r="AA25" s="112">
        <v>5.36</v>
      </c>
      <c r="AB25" s="1575">
        <v>5.45</v>
      </c>
      <c r="AC25" s="141">
        <v>5.45</v>
      </c>
      <c r="AD25" s="3087">
        <v>5.45</v>
      </c>
      <c r="AE25" s="141"/>
      <c r="AF25" s="141"/>
      <c r="AG25" s="141"/>
      <c r="AH25" s="1696"/>
      <c r="BB25" s="97">
        <f t="shared" si="7"/>
        <v>22089.393714430244</v>
      </c>
      <c r="BC25" s="1580" t="str">
        <f t="shared" si="8"/>
        <v>Lighting RES 19 Year EUL</v>
      </c>
      <c r="BD25" s="98">
        <f>(INDEX('Avoided Cost Benefits'!$E$4:$E$859,MATCH(BC25,'Avoided Cost Benefits'!$A$4:$A$859,0)))*F25</f>
        <v>3.0939583824670738</v>
      </c>
      <c r="BE25" s="1581">
        <f t="shared" si="9"/>
        <v>1.4006533734992903E-4</v>
      </c>
    </row>
    <row r="26" spans="3:57" x14ac:dyDescent="0.35">
      <c r="C26" s="50" t="s">
        <v>92</v>
      </c>
      <c r="D26" s="88" t="s">
        <v>51</v>
      </c>
      <c r="E26" s="2333" t="s">
        <v>93</v>
      </c>
      <c r="F26" s="461">
        <f t="shared" si="4"/>
        <v>34.01</v>
      </c>
      <c r="G26" s="90">
        <f t="shared" si="20"/>
        <v>5.2750000000000002E-3</v>
      </c>
      <c r="H26" s="91" t="s">
        <v>53</v>
      </c>
      <c r="I26" s="393">
        <f>VLOOKUP(H26,'CP FACTORS'!$A$3:$B$38, 2, FALSE)</f>
        <v>1.4925290000000001E-4</v>
      </c>
      <c r="J26" s="91" t="s">
        <v>54</v>
      </c>
      <c r="K26" s="393">
        <f>VLOOKUP(J26,'CP FACTORS'!$A$3:$B$38, 2, FALSE)</f>
        <v>1.899635E-4</v>
      </c>
      <c r="L26" s="1635">
        <f t="shared" si="10"/>
        <v>29.136502503738537</v>
      </c>
      <c r="M26" s="1684">
        <f t="shared" si="1"/>
        <v>4.8757569327841326</v>
      </c>
      <c r="N26" s="1685">
        <f t="shared" si="5"/>
        <v>4.348707494540238E-3</v>
      </c>
      <c r="O26" s="1685">
        <f t="shared" si="6"/>
        <v>9.2621585210093862E-4</v>
      </c>
      <c r="P26" s="92">
        <f t="shared" si="21"/>
        <v>19</v>
      </c>
      <c r="Q26" s="92">
        <f t="shared" si="22"/>
        <v>6</v>
      </c>
      <c r="R26" s="1686">
        <v>9.9999999999999995E-7</v>
      </c>
      <c r="S26" s="50" t="s">
        <v>55</v>
      </c>
      <c r="V26" s="88" t="s">
        <v>30</v>
      </c>
      <c r="W26" s="110">
        <v>33.350983454220781</v>
      </c>
      <c r="X26" s="112">
        <v>32.173264839307649</v>
      </c>
      <c r="Y26" s="1575">
        <v>33.47</v>
      </c>
      <c r="Z26" s="112">
        <v>33.47</v>
      </c>
      <c r="AA26" s="112">
        <v>33.47</v>
      </c>
      <c r="AB26" s="1575">
        <v>34.01</v>
      </c>
      <c r="AC26" s="141">
        <v>34.01</v>
      </c>
      <c r="AD26" s="3087">
        <v>34.01</v>
      </c>
      <c r="AE26" s="141"/>
      <c r="AF26" s="141"/>
      <c r="AG26" s="141"/>
      <c r="AH26" s="1696"/>
      <c r="BB26" s="97">
        <f t="shared" si="7"/>
        <v>22085.810863810028</v>
      </c>
      <c r="BC26" s="1580" t="str">
        <f t="shared" si="8"/>
        <v>Lighting RES 19 Year EUL</v>
      </c>
      <c r="BD26" s="98">
        <f>(INDEX('Avoided Cost Benefits'!$E$4:$E$859,MATCH(BC26,'Avoided Cost Benefits'!$A$4:$A$859,0)))*F26</f>
        <v>19.307435704166085</v>
      </c>
      <c r="BE26" s="1581">
        <f t="shared" si="9"/>
        <v>8.7420089863231569E-4</v>
      </c>
    </row>
    <row r="27" spans="3:57" x14ac:dyDescent="0.35">
      <c r="C27" s="50" t="s">
        <v>94</v>
      </c>
      <c r="D27" s="88" t="s">
        <v>51</v>
      </c>
      <c r="E27" s="2333" t="s">
        <v>95</v>
      </c>
      <c r="F27" s="461">
        <f t="shared" si="4"/>
        <v>29.22</v>
      </c>
      <c r="G27" s="90">
        <f t="shared" si="20"/>
        <v>4.5319999999999996E-3</v>
      </c>
      <c r="H27" s="91" t="s">
        <v>53</v>
      </c>
      <c r="I27" s="393">
        <f>VLOOKUP(H27,'CP FACTORS'!$A$3:$B$38, 2, FALSE)</f>
        <v>1.4925290000000001E-4</v>
      </c>
      <c r="J27" s="91" t="s">
        <v>54</v>
      </c>
      <c r="K27" s="393">
        <f>VLOOKUP(J27,'CP FACTORS'!$A$3:$B$38, 2, FALSE)</f>
        <v>1.899635E-4</v>
      </c>
      <c r="L27" s="1635">
        <f t="shared" si="10"/>
        <v>25.031636128902452</v>
      </c>
      <c r="M27" s="1684">
        <f t="shared" si="1"/>
        <v>4.1888409008173086</v>
      </c>
      <c r="N27" s="1685">
        <f t="shared" si="5"/>
        <v>3.7360442839834652E-3</v>
      </c>
      <c r="O27" s="1685">
        <f t="shared" si="6"/>
        <v>7.9572687846240879E-4</v>
      </c>
      <c r="P27" s="92">
        <f t="shared" si="21"/>
        <v>19</v>
      </c>
      <c r="Q27" s="92">
        <f t="shared" si="22"/>
        <v>6</v>
      </c>
      <c r="R27" s="1686">
        <v>9.9999999999999995E-7</v>
      </c>
      <c r="S27" s="50" t="s">
        <v>55</v>
      </c>
      <c r="V27" s="88" t="s">
        <v>30</v>
      </c>
      <c r="W27" s="110">
        <v>29.733499914083939</v>
      </c>
      <c r="X27" s="112">
        <v>29.677063256947569</v>
      </c>
      <c r="Y27" s="1575">
        <v>28.75</v>
      </c>
      <c r="Z27" s="112">
        <v>28.75</v>
      </c>
      <c r="AA27" s="112">
        <v>28.75</v>
      </c>
      <c r="AB27" s="1575">
        <v>29.22</v>
      </c>
      <c r="AC27" s="141">
        <v>29.22</v>
      </c>
      <c r="AD27" s="3087">
        <v>29.22</v>
      </c>
      <c r="AE27" s="141"/>
      <c r="AF27" s="141"/>
      <c r="AG27" s="141"/>
      <c r="AH27" s="1696"/>
      <c r="BB27" s="97">
        <f t="shared" si="7"/>
        <v>22086.917544156335</v>
      </c>
      <c r="BC27" s="1580" t="str">
        <f t="shared" si="8"/>
        <v>Lighting RES 19 Year EUL</v>
      </c>
      <c r="BD27" s="98">
        <f>(INDEX('Avoided Cost Benefits'!$E$4:$E$859,MATCH(BC27,'Avoided Cost Benefits'!$A$4:$A$859,0)))*F27</f>
        <v>16.588158520309705</v>
      </c>
      <c r="BE27" s="1581">
        <f t="shared" si="9"/>
        <v>7.5103999854875768E-4</v>
      </c>
    </row>
    <row r="28" spans="3:57" x14ac:dyDescent="0.35">
      <c r="C28" s="50" t="s">
        <v>96</v>
      </c>
      <c r="D28" s="88" t="s">
        <v>51</v>
      </c>
      <c r="E28" s="2333" t="s">
        <v>97</v>
      </c>
      <c r="F28" s="461">
        <f t="shared" si="4"/>
        <v>38.43</v>
      </c>
      <c r="G28" s="90">
        <f t="shared" si="20"/>
        <v>5.96E-3</v>
      </c>
      <c r="H28" s="91" t="s">
        <v>53</v>
      </c>
      <c r="I28" s="393">
        <f>VLOOKUP(H28,'CP FACTORS'!$A$3:$B$38, 2, FALSE)</f>
        <v>1.4925290000000001E-4</v>
      </c>
      <c r="J28" s="91" t="s">
        <v>54</v>
      </c>
      <c r="K28" s="393">
        <f>VLOOKUP(J28,'CP FACTORS'!$A$3:$B$38, 2, FALSE)</f>
        <v>1.899635E-4</v>
      </c>
      <c r="L28" s="1635">
        <f t="shared" si="10"/>
        <v>32.919418574665919</v>
      </c>
      <c r="M28" s="1684">
        <f t="shared" si="1"/>
        <v>5.5087971975378736</v>
      </c>
      <c r="N28" s="1685">
        <f t="shared" si="5"/>
        <v>4.9133186885827549E-3</v>
      </c>
      <c r="O28" s="1685">
        <f t="shared" si="6"/>
        <v>1.0464703964344858E-3</v>
      </c>
      <c r="P28" s="92">
        <f t="shared" si="21"/>
        <v>19</v>
      </c>
      <c r="Q28" s="92">
        <f t="shared" si="22"/>
        <v>6</v>
      </c>
      <c r="R28" s="1686">
        <v>9.9999999999999995E-7</v>
      </c>
      <c r="S28" s="50" t="s">
        <v>55</v>
      </c>
      <c r="V28" s="88" t="s">
        <v>30</v>
      </c>
      <c r="W28" s="110">
        <v>39.127883189235227</v>
      </c>
      <c r="X28" s="112">
        <v>38.275090929521156</v>
      </c>
      <c r="Y28" s="1575">
        <v>37.81</v>
      </c>
      <c r="Z28" s="112">
        <v>37.81</v>
      </c>
      <c r="AA28" s="112">
        <v>37.81</v>
      </c>
      <c r="AB28" s="1575">
        <v>38.43</v>
      </c>
      <c r="AC28" s="141">
        <v>38.43</v>
      </c>
      <c r="AD28" s="3087">
        <v>38.43</v>
      </c>
      <c r="AE28" s="141"/>
      <c r="AF28" s="141"/>
      <c r="AG28" s="141"/>
      <c r="AH28" s="1696"/>
      <c r="BB28" s="97">
        <f t="shared" si="7"/>
        <v>22088.303638699064</v>
      </c>
      <c r="BC28" s="1580" t="str">
        <f t="shared" si="8"/>
        <v>Lighting RES 19 Year EUL</v>
      </c>
      <c r="BD28" s="98">
        <f>(INDEX('Avoided Cost Benefits'!$E$4:$E$859,MATCH(BC28,'Avoided Cost Benefits'!$A$4:$A$859,0)))*F28</f>
        <v>21.816664337286173</v>
      </c>
      <c r="BE28" s="1581">
        <f t="shared" si="9"/>
        <v>9.8770212027794778E-4</v>
      </c>
    </row>
    <row r="29" spans="3:57" x14ac:dyDescent="0.35">
      <c r="C29" s="50" t="s">
        <v>98</v>
      </c>
      <c r="D29" s="88" t="s">
        <v>51</v>
      </c>
      <c r="E29" s="2333" t="s">
        <v>99</v>
      </c>
      <c r="F29" s="461">
        <f t="shared" si="4"/>
        <v>46.23</v>
      </c>
      <c r="G29" s="90">
        <f t="shared" si="20"/>
        <v>7.169E-3</v>
      </c>
      <c r="H29" s="91" t="s">
        <v>53</v>
      </c>
      <c r="I29" s="393">
        <f>VLOOKUP(H29,'CP FACTORS'!$A$3:$B$38, 2, FALSE)</f>
        <v>1.4925290000000001E-4</v>
      </c>
      <c r="J29" s="91" t="s">
        <v>54</v>
      </c>
      <c r="K29" s="393">
        <f>VLOOKUP(J29,'CP FACTORS'!$A$3:$B$38, 2, FALSE)</f>
        <v>1.899635E-4</v>
      </c>
      <c r="L29" s="1635">
        <f t="shared" si="10"/>
        <v>39.599887380771726</v>
      </c>
      <c r="M29" s="1684">
        <f t="shared" si="1"/>
        <v>6.6267193672093745</v>
      </c>
      <c r="N29" s="1685">
        <f t="shared" si="5"/>
        <v>5.9103980312535847E-3</v>
      </c>
      <c r="O29" s="1685">
        <f t="shared" si="6"/>
        <v>1.2588348045128781E-3</v>
      </c>
      <c r="P29" s="92">
        <f t="shared" si="21"/>
        <v>19</v>
      </c>
      <c r="Q29" s="92">
        <f t="shared" si="22"/>
        <v>6</v>
      </c>
      <c r="R29" s="1686">
        <v>9.9999999999999995E-7</v>
      </c>
      <c r="S29" s="50" t="s">
        <v>55</v>
      </c>
      <c r="V29" s="88" t="s">
        <v>30</v>
      </c>
      <c r="W29" s="110">
        <v>46.971916375756443</v>
      </c>
      <c r="X29" s="112">
        <v>46.503310960263626</v>
      </c>
      <c r="Y29" s="1575">
        <v>45.49</v>
      </c>
      <c r="Z29" s="112">
        <v>45.49</v>
      </c>
      <c r="AA29" s="112">
        <v>45.49</v>
      </c>
      <c r="AB29" s="1575">
        <v>46.23</v>
      </c>
      <c r="AC29" s="141">
        <v>46.23</v>
      </c>
      <c r="AD29" s="3087">
        <v>46.23</v>
      </c>
      <c r="AE29" s="141"/>
      <c r="AF29" s="141"/>
      <c r="AG29" s="141"/>
      <c r="AH29" s="1696"/>
      <c r="BB29" s="97">
        <f t="shared" si="7"/>
        <v>22088.899433971194</v>
      </c>
      <c r="BC29" s="1580" t="str">
        <f t="shared" si="8"/>
        <v>Lighting RES 19 Year EUL</v>
      </c>
      <c r="BD29" s="98">
        <f>(INDEX('Avoided Cost Benefits'!$E$4:$E$859,MATCH(BC29,'Avoided Cost Benefits'!$A$4:$A$859,0)))*F29</f>
        <v>26.244714866321615</v>
      </c>
      <c r="BE29" s="1581">
        <f t="shared" si="9"/>
        <v>1.1881404478649156E-3</v>
      </c>
    </row>
    <row r="30" spans="3:57" x14ac:dyDescent="0.35">
      <c r="C30" s="50" t="s">
        <v>100</v>
      </c>
      <c r="D30" s="88" t="s">
        <v>51</v>
      </c>
      <c r="E30" s="2333" t="s">
        <v>101</v>
      </c>
      <c r="F30" s="461">
        <f t="shared" ref="F30:F32" si="23">ROUND(L30+M30,2)</f>
        <v>5.42</v>
      </c>
      <c r="G30" s="90">
        <f t="shared" ref="G30:G32" si="24">ROUND(((L30/F30)*I30+(M30/F30)*K30)*F30,6)</f>
        <v>8.4000000000000003E-4</v>
      </c>
      <c r="H30" s="91" t="s">
        <v>53</v>
      </c>
      <c r="I30" s="393">
        <f>VLOOKUP(H30,'CP FACTORS'!$A$3:$B$38, 2, FALSE)</f>
        <v>1.4925290000000001E-4</v>
      </c>
      <c r="J30" s="91" t="s">
        <v>54</v>
      </c>
      <c r="K30" s="393">
        <f>VLOOKUP(J30,'CP FACTORS'!$A$3:$B$38, 2, FALSE)</f>
        <v>1.899635E-4</v>
      </c>
      <c r="L30" s="1635">
        <f t="shared" si="10"/>
        <v>4.6414502146839496</v>
      </c>
      <c r="M30" s="1684">
        <f t="shared" si="1"/>
        <v>0.77670897732196598</v>
      </c>
      <c r="N30" s="1685">
        <f t="shared" ref="N30" si="25">L30*I30</f>
        <v>6.9274990474720206E-4</v>
      </c>
      <c r="O30" s="1685">
        <f t="shared" ref="O30" si="26">M30*K30</f>
        <v>1.4754635581350128E-4</v>
      </c>
      <c r="P30" s="92">
        <f t="shared" si="21"/>
        <v>19</v>
      </c>
      <c r="Q30" s="92">
        <f t="shared" si="22"/>
        <v>6</v>
      </c>
      <c r="R30" s="1686">
        <v>9.9999999999999995E-7</v>
      </c>
      <c r="S30" s="50" t="s">
        <v>55</v>
      </c>
      <c r="V30" s="293" t="s">
        <v>30</v>
      </c>
      <c r="W30" s="110"/>
      <c r="X30" s="112"/>
      <c r="Y30" s="1575"/>
      <c r="Z30" s="112"/>
      <c r="AA30" s="112"/>
      <c r="AB30" s="1575"/>
      <c r="AC30" s="1589">
        <v>5.42</v>
      </c>
      <c r="AD30" s="3087">
        <v>5.42</v>
      </c>
      <c r="AE30" s="141"/>
      <c r="AF30" s="141"/>
      <c r="AG30" s="141"/>
      <c r="AH30" s="1696"/>
      <c r="BB30" s="97">
        <f t="shared" ref="BB30:BB32" si="27">(BD30)/(BE30)</f>
        <v>22094.782228567503</v>
      </c>
      <c r="BC30" s="1580" t="str">
        <f t="shared" ref="BC30:BC32" si="28">CONCATENATE(H30," ",P30," Year EUL")</f>
        <v>Lighting RES 19 Year EUL</v>
      </c>
      <c r="BD30" s="98">
        <f>(INDEX('Avoided Cost Benefits'!$E$4:$E$859,MATCH(BC30,'Avoided Cost Benefits'!$A$4:$A$859,0)))*F30</f>
        <v>3.0769274188938605</v>
      </c>
      <c r="BE30" s="1581">
        <f t="shared" ref="BE30:BE32" si="29">O30/(1.0595^(2020-2019))</f>
        <v>1.3926036414676853E-4</v>
      </c>
    </row>
    <row r="31" spans="3:57" x14ac:dyDescent="0.35">
      <c r="C31" s="50" t="s">
        <v>102</v>
      </c>
      <c r="D31" s="88" t="s">
        <v>51</v>
      </c>
      <c r="E31" s="2333" t="s">
        <v>103</v>
      </c>
      <c r="F31" s="461">
        <f t="shared" si="23"/>
        <v>21.61</v>
      </c>
      <c r="G31" s="90">
        <f t="shared" si="24"/>
        <v>3.3509999999999998E-3</v>
      </c>
      <c r="H31" s="91" t="s">
        <v>53</v>
      </c>
      <c r="I31" s="393">
        <f>VLOOKUP(H31,'CP FACTORS'!$A$3:$B$38, 2, FALSE)</f>
        <v>1.4925290000000001E-4</v>
      </c>
      <c r="J31" s="91" t="s">
        <v>54</v>
      </c>
      <c r="K31" s="393">
        <f>VLOOKUP(J31,'CP FACTORS'!$A$3:$B$38, 2, FALSE)</f>
        <v>1.899635E-4</v>
      </c>
      <c r="L31" s="1635">
        <f t="shared" si="10"/>
        <v>18.512142474751005</v>
      </c>
      <c r="M31" s="1684">
        <f t="shared" si="1"/>
        <v>3.0978566147523492</v>
      </c>
      <c r="N31" s="1685">
        <f t="shared" si="5"/>
        <v>2.7629909495697647E-3</v>
      </c>
      <c r="O31" s="1685">
        <f t="shared" si="6"/>
        <v>5.8847968503650792E-4</v>
      </c>
      <c r="P31" s="92">
        <f>$G$115</f>
        <v>19</v>
      </c>
      <c r="Q31" s="92">
        <f>$G$117</f>
        <v>6</v>
      </c>
      <c r="R31" s="1686">
        <v>9.9999999999999995E-7</v>
      </c>
      <c r="S31" s="50" t="s">
        <v>55</v>
      </c>
      <c r="V31" s="88" t="s">
        <v>30</v>
      </c>
      <c r="W31" s="110"/>
      <c r="X31" s="112"/>
      <c r="Y31" s="1575">
        <v>21.26</v>
      </c>
      <c r="Z31" s="112">
        <v>21.26</v>
      </c>
      <c r="AA31" s="112">
        <v>21.26</v>
      </c>
      <c r="AB31" s="1575">
        <v>21.61</v>
      </c>
      <c r="AC31" s="141">
        <v>21.61</v>
      </c>
      <c r="AD31" s="3087">
        <v>21.61</v>
      </c>
      <c r="AE31" s="141"/>
      <c r="AF31" s="141"/>
      <c r="AG31" s="141"/>
      <c r="AH31" s="1696"/>
      <c r="BB31" s="97">
        <f t="shared" si="27"/>
        <v>22087.279053683749</v>
      </c>
      <c r="BC31" s="1580" t="str">
        <f t="shared" si="28"/>
        <v>Lighting RES 19 Year EUL</v>
      </c>
      <c r="BD31" s="98">
        <f>(INDEX('Avoided Cost Benefits'!$E$4:$E$859,MATCH(BC31,'Avoided Cost Benefits'!$A$4:$A$859,0)))*F31</f>
        <v>12.267970760571277</v>
      </c>
      <c r="BE31" s="1581">
        <f t="shared" si="29"/>
        <v>5.5543151018075301E-4</v>
      </c>
    </row>
    <row r="32" spans="3:57" x14ac:dyDescent="0.35">
      <c r="C32" s="50" t="s">
        <v>4222</v>
      </c>
      <c r="D32" s="88" t="s">
        <v>51</v>
      </c>
      <c r="E32" s="2333" t="s">
        <v>104</v>
      </c>
      <c r="F32" s="461">
        <f t="shared" si="23"/>
        <v>24.83</v>
      </c>
      <c r="G32" s="90">
        <f t="shared" si="24"/>
        <v>3.7499999999999999E-3</v>
      </c>
      <c r="H32" s="91" t="s">
        <v>53</v>
      </c>
      <c r="I32" s="393">
        <f>VLOOKUP(H32,'CP FACTORS'!$A$3:$B$38, 2, FALSE)</f>
        <v>1.4925290000000001E-4</v>
      </c>
      <c r="J32" s="91" t="s">
        <v>54</v>
      </c>
      <c r="K32" s="393">
        <f>VLOOKUP(J32,'CP FACTORS'!$A$3:$B$38, 2, FALSE)</f>
        <v>1.899635E-4</v>
      </c>
      <c r="L32" s="1635">
        <f>((G69-G95)*$G$112*$G$96*(1-$G$103)*($G$107*$G$108)/1000)</f>
        <v>23.734288061577161</v>
      </c>
      <c r="M32" s="1684">
        <f>((G69-G95)*(1-$G$112)*$G$96*(1-$G$103)*($G$110*$G$111)/1000)</f>
        <v>1.0942955873720746</v>
      </c>
      <c r="N32" s="1685">
        <f t="shared" ref="N32" si="30">L32*I32</f>
        <v>3.5424113226257699E-3</v>
      </c>
      <c r="O32" s="1685">
        <f t="shared" ref="O32" si="31">M32*K32</f>
        <v>2.078762198117551E-4</v>
      </c>
      <c r="P32" s="92">
        <f>$G$116</f>
        <v>19</v>
      </c>
      <c r="Q32" s="92">
        <f>$G$117</f>
        <v>6</v>
      </c>
      <c r="R32" s="1686">
        <v>9.9999999999999995E-7</v>
      </c>
      <c r="S32" s="50" t="s">
        <v>55</v>
      </c>
      <c r="V32" s="293" t="s">
        <v>30</v>
      </c>
      <c r="W32" s="110"/>
      <c r="X32" s="112"/>
      <c r="Y32" s="1575"/>
      <c r="Z32" s="112"/>
      <c r="AA32" s="112"/>
      <c r="AB32" s="1575"/>
      <c r="AC32" s="1589">
        <v>24.83</v>
      </c>
      <c r="AD32" s="3087">
        <v>24.83</v>
      </c>
      <c r="AE32" s="141"/>
      <c r="AF32" s="141"/>
      <c r="AG32" s="141"/>
      <c r="AH32" s="1696"/>
      <c r="BB32" s="101">
        <f t="shared" si="27"/>
        <v>71844.054769263646</v>
      </c>
      <c r="BC32" s="1580" t="str">
        <f t="shared" si="28"/>
        <v>Lighting RES 19 Year EUL</v>
      </c>
      <c r="BD32" s="102">
        <f>(INDEX('Avoided Cost Benefits'!$E$4:$E$859,MATCH(BC32,'Avoided Cost Benefits'!$A$4:$A$859,0)))*F32</f>
        <v>14.095960850762832</v>
      </c>
      <c r="BE32" s="1582">
        <f t="shared" si="29"/>
        <v>1.96202189534455E-4</v>
      </c>
    </row>
    <row r="33" spans="4:33" x14ac:dyDescent="0.35">
      <c r="D33" s="2378"/>
      <c r="E33" s="942"/>
      <c r="F33" s="1930" t="s">
        <v>105</v>
      </c>
      <c r="H33" s="1482"/>
      <c r="I33" s="1482"/>
      <c r="J33" s="1482"/>
      <c r="K33" s="1482"/>
      <c r="L33" s="1482"/>
      <c r="M33" s="1482"/>
      <c r="N33" s="1482"/>
      <c r="O33" s="1482"/>
      <c r="P33" s="1482"/>
      <c r="Q33" s="1482"/>
      <c r="R33" s="1482"/>
      <c r="S33" s="292"/>
      <c r="U33" s="129"/>
      <c r="V33" s="616"/>
    </row>
    <row r="34" spans="4:33" x14ac:dyDescent="0.35">
      <c r="E34" s="942"/>
      <c r="F34" s="105" t="s">
        <v>106</v>
      </c>
    </row>
    <row r="35" spans="4:33" hidden="1" outlineLevel="1" x14ac:dyDescent="0.35">
      <c r="D35" s="154" t="s">
        <v>107</v>
      </c>
      <c r="H35" s="3684"/>
      <c r="I35" s="3684"/>
      <c r="J35" s="3684"/>
      <c r="K35" s="3684"/>
      <c r="L35" s="3684"/>
      <c r="M35" s="3684"/>
      <c r="N35" s="3684"/>
      <c r="O35" s="3684"/>
      <c r="P35" s="3684"/>
      <c r="Q35" s="3684"/>
      <c r="R35" s="3684"/>
      <c r="S35" s="3684"/>
    </row>
    <row r="36" spans="4:33" hidden="1" outlineLevel="1" x14ac:dyDescent="0.35"/>
    <row r="37" spans="4:33" hidden="1" outlineLevel="1" x14ac:dyDescent="0.35"/>
    <row r="38" spans="4:33" hidden="1" outlineLevel="1" x14ac:dyDescent="0.35"/>
    <row r="39" spans="4:33" hidden="1" outlineLevel="1" x14ac:dyDescent="0.35"/>
    <row r="40" spans="4:33" hidden="1" outlineLevel="1" x14ac:dyDescent="0.35"/>
    <row r="41" spans="4:33" hidden="1" outlineLevel="1" x14ac:dyDescent="0.35"/>
    <row r="42" spans="4:33" hidden="1" outlineLevel="1" x14ac:dyDescent="0.35"/>
    <row r="43" spans="4:33" ht="48.75" hidden="1" customHeight="1" outlineLevel="1" thickBot="1" x14ac:dyDescent="0.4">
      <c r="D43" s="2327" t="s">
        <v>108</v>
      </c>
      <c r="E43" s="2327" t="s">
        <v>109</v>
      </c>
      <c r="F43" s="2327" t="s">
        <v>110</v>
      </c>
      <c r="G43" s="2327" t="s">
        <v>111</v>
      </c>
      <c r="H43" s="2327" t="str">
        <f t="shared" ref="H43:H69" si="32">C6</f>
        <v>Measure Reference No.</v>
      </c>
      <c r="I43" s="3682" t="s">
        <v>112</v>
      </c>
      <c r="J43" s="3682"/>
      <c r="K43" s="3682"/>
      <c r="L43" s="3682"/>
      <c r="V43" s="1572" t="s">
        <v>44</v>
      </c>
      <c r="W43" s="1573">
        <v>43252</v>
      </c>
      <c r="X43" s="1573">
        <f>$Y$6</f>
        <v>43800</v>
      </c>
      <c r="Y43" s="1573">
        <f>$Y$6</f>
        <v>43800</v>
      </c>
      <c r="Z43" s="1573">
        <f>$Z$6</f>
        <v>43862</v>
      </c>
      <c r="AA43" s="1573">
        <f>$AA$6</f>
        <v>44013</v>
      </c>
      <c r="AB43" s="1573">
        <f>$AB$6</f>
        <v>44166</v>
      </c>
      <c r="AC43" s="1573">
        <f>$AC$6</f>
        <v>44531</v>
      </c>
      <c r="AD43" s="1573">
        <f>$AD$6</f>
        <v>44774</v>
      </c>
      <c r="AE43" s="1573" t="str">
        <f>$AE$6</f>
        <v>-</v>
      </c>
      <c r="AF43" s="1573" t="str">
        <f>$AF$6</f>
        <v>-</v>
      </c>
      <c r="AG43" s="1573" t="str">
        <f>$AG$6</f>
        <v>-</v>
      </c>
    </row>
    <row r="44" spans="4:33" ht="29" hidden="1" outlineLevel="1" x14ac:dyDescent="0.35">
      <c r="D44" s="3668" t="s">
        <v>113</v>
      </c>
      <c r="E44" s="3671" t="s">
        <v>114</v>
      </c>
      <c r="F44" s="1212" t="str">
        <f t="shared" ref="F44:F66" si="33">E7</f>
        <v>LED - 10.5W Downlight E26 (CFL baseline)</v>
      </c>
      <c r="G44" s="107">
        <v>21</v>
      </c>
      <c r="H44" s="115" t="str">
        <f t="shared" si="32"/>
        <v>200050_2019_12_</v>
      </c>
      <c r="I44" s="3683"/>
      <c r="J44" s="3683"/>
      <c r="K44" s="3683"/>
      <c r="L44" s="3683"/>
      <c r="V44" s="3685" t="s">
        <v>113</v>
      </c>
      <c r="W44" s="107">
        <v>21</v>
      </c>
      <c r="X44" s="108">
        <v>21</v>
      </c>
      <c r="Y44" s="108">
        <v>21</v>
      </c>
      <c r="Z44" s="115">
        <v>21</v>
      </c>
      <c r="AA44" s="115">
        <v>21</v>
      </c>
      <c r="AB44" s="108">
        <v>21</v>
      </c>
      <c r="AC44" s="108">
        <v>21</v>
      </c>
      <c r="AD44" s="115">
        <v>21</v>
      </c>
      <c r="AE44" s="108"/>
      <c r="AF44" s="108"/>
      <c r="AG44" s="108"/>
    </row>
    <row r="45" spans="4:33" ht="29" hidden="1" outlineLevel="1" x14ac:dyDescent="0.35">
      <c r="D45" s="3669"/>
      <c r="E45" s="3672"/>
      <c r="F45" s="1645" t="str">
        <f t="shared" si="33"/>
        <v>LED - 10.5W Downlight E26 (Halogen baseline)</v>
      </c>
      <c r="G45" s="93">
        <v>53</v>
      </c>
      <c r="H45" s="112" t="str">
        <f t="shared" si="32"/>
        <v>200100_2019_12_</v>
      </c>
      <c r="I45" s="3678" t="s">
        <v>115</v>
      </c>
      <c r="J45" s="3678"/>
      <c r="K45" s="3678"/>
      <c r="L45" s="3678"/>
      <c r="V45" s="3686"/>
      <c r="W45" s="93">
        <v>43</v>
      </c>
      <c r="X45" s="1575">
        <v>34.200000000000003</v>
      </c>
      <c r="Y45" s="1575">
        <v>53</v>
      </c>
      <c r="Z45" s="112">
        <v>53</v>
      </c>
      <c r="AA45" s="112">
        <v>53</v>
      </c>
      <c r="AB45" s="110">
        <v>53</v>
      </c>
      <c r="AC45" s="110">
        <v>53</v>
      </c>
      <c r="AD45" s="112">
        <v>53</v>
      </c>
      <c r="AE45" s="110"/>
      <c r="AF45" s="110"/>
      <c r="AG45" s="110"/>
    </row>
    <row r="46" spans="4:33" ht="43.5" hidden="1" outlineLevel="1" x14ac:dyDescent="0.35">
      <c r="D46" s="3669"/>
      <c r="E46" s="3672"/>
      <c r="F46" s="1645" t="str">
        <f t="shared" si="33"/>
        <v>LED - 10W (CFL baseline) (750-1049 lumens)</v>
      </c>
      <c r="G46" s="93">
        <v>13.4</v>
      </c>
      <c r="H46" s="112" t="str">
        <f t="shared" si="32"/>
        <v>200150_2019_12_</v>
      </c>
      <c r="I46" s="3679" t="s">
        <v>116</v>
      </c>
      <c r="J46" s="3679"/>
      <c r="K46" s="3679"/>
      <c r="L46" s="3679"/>
      <c r="V46" s="3686"/>
      <c r="W46" s="93">
        <v>13.4</v>
      </c>
      <c r="X46" s="110">
        <v>13.4</v>
      </c>
      <c r="Y46" s="110">
        <v>13.4</v>
      </c>
      <c r="Z46" s="112">
        <v>13.4</v>
      </c>
      <c r="AA46" s="112">
        <v>13.4</v>
      </c>
      <c r="AB46" s="110">
        <v>13.4</v>
      </c>
      <c r="AC46" s="110">
        <v>13.4</v>
      </c>
      <c r="AD46" s="112">
        <v>13.4</v>
      </c>
      <c r="AE46" s="110"/>
      <c r="AF46" s="110"/>
      <c r="AG46" s="110"/>
    </row>
    <row r="47" spans="4:33" ht="14.5" hidden="1" customHeight="1" outlineLevel="1" x14ac:dyDescent="0.35">
      <c r="D47" s="3669"/>
      <c r="E47" s="3672"/>
      <c r="F47" s="1645" t="str">
        <f t="shared" si="33"/>
        <v>LED - 10W (Halogen baseline) (750-1049 lumens)</v>
      </c>
      <c r="G47" s="112">
        <v>43</v>
      </c>
      <c r="H47" s="112" t="str">
        <f t="shared" si="32"/>
        <v>200200_2019_12_</v>
      </c>
      <c r="I47" s="3678" t="s">
        <v>117</v>
      </c>
      <c r="J47" s="3678"/>
      <c r="K47" s="3678"/>
      <c r="L47" s="3678"/>
      <c r="V47" s="3686"/>
      <c r="W47" s="93">
        <v>41.32</v>
      </c>
      <c r="X47" s="111">
        <v>41.1</v>
      </c>
      <c r="Y47" s="1575">
        <v>39.5</v>
      </c>
      <c r="Z47" s="112">
        <v>39.5</v>
      </c>
      <c r="AA47" s="112">
        <v>39.5</v>
      </c>
      <c r="AB47" s="110">
        <v>43</v>
      </c>
      <c r="AC47" s="110">
        <v>43</v>
      </c>
      <c r="AD47" s="112">
        <v>43</v>
      </c>
      <c r="AE47" s="110"/>
      <c r="AF47" s="110"/>
      <c r="AG47" s="110"/>
    </row>
    <row r="48" spans="4:33" ht="43.5" hidden="1" outlineLevel="1" x14ac:dyDescent="0.35">
      <c r="D48" s="3669"/>
      <c r="E48" s="3672"/>
      <c r="F48" s="1645" t="str">
        <f t="shared" si="33"/>
        <v>LED - 12W Dimmable Light Bulb (Replacing CFL)</v>
      </c>
      <c r="G48" s="93">
        <v>18</v>
      </c>
      <c r="H48" s="112" t="str">
        <f t="shared" si="32"/>
        <v>200250_2019_12_</v>
      </c>
      <c r="I48" s="3679"/>
      <c r="J48" s="3679"/>
      <c r="K48" s="3679"/>
      <c r="L48" s="3679"/>
      <c r="V48" s="3686"/>
      <c r="W48" s="93">
        <v>18</v>
      </c>
      <c r="X48" s="109">
        <v>18</v>
      </c>
      <c r="Y48" s="109">
        <v>18</v>
      </c>
      <c r="Z48" s="112">
        <v>18</v>
      </c>
      <c r="AA48" s="112">
        <v>18</v>
      </c>
      <c r="AB48" s="110">
        <v>18</v>
      </c>
      <c r="AC48" s="110">
        <v>18</v>
      </c>
      <c r="AD48" s="112">
        <v>18</v>
      </c>
      <c r="AE48" s="109"/>
      <c r="AF48" s="109"/>
      <c r="AG48" s="109"/>
    </row>
    <row r="49" spans="4:33" ht="43.5" hidden="1" outlineLevel="1" x14ac:dyDescent="0.35">
      <c r="D49" s="3669"/>
      <c r="E49" s="3672"/>
      <c r="F49" s="1645" t="str">
        <f t="shared" si="33"/>
        <v>LED - 12W Dimmable Light Bulb (Replacing Specialty Incandescent)</v>
      </c>
      <c r="G49" s="93">
        <v>92.2</v>
      </c>
      <c r="H49" s="112" t="str">
        <f t="shared" si="32"/>
        <v>200300_2019_12_</v>
      </c>
      <c r="I49" s="3678" t="s">
        <v>115</v>
      </c>
      <c r="J49" s="3678"/>
      <c r="K49" s="3678"/>
      <c r="L49" s="3678"/>
      <c r="V49" s="3686"/>
      <c r="W49" s="93">
        <v>76.25</v>
      </c>
      <c r="X49" s="96">
        <v>60</v>
      </c>
      <c r="Y49" s="96">
        <v>92.2</v>
      </c>
      <c r="Z49" s="112">
        <v>92.2</v>
      </c>
      <c r="AA49" s="112">
        <v>92.2</v>
      </c>
      <c r="AB49" s="110">
        <v>92.2</v>
      </c>
      <c r="AC49" s="110">
        <v>92.2</v>
      </c>
      <c r="AD49" s="112">
        <v>92.2</v>
      </c>
      <c r="AE49" s="109"/>
      <c r="AF49" s="109"/>
      <c r="AG49" s="109"/>
    </row>
    <row r="50" spans="4:33" ht="43.5" hidden="1" outlineLevel="1" x14ac:dyDescent="0.35">
      <c r="D50" s="3669"/>
      <c r="E50" s="3672"/>
      <c r="F50" s="1645" t="str">
        <f t="shared" si="33"/>
        <v>LED - 15W (Halogen baseline) (1050-1489 lumens)</v>
      </c>
      <c r="G50" s="93">
        <v>53</v>
      </c>
      <c r="H50" s="112" t="str">
        <f t="shared" si="32"/>
        <v>200350_2019_12_</v>
      </c>
      <c r="I50" s="3679" t="s">
        <v>115</v>
      </c>
      <c r="J50" s="3679"/>
      <c r="K50" s="3679"/>
      <c r="L50" s="3679"/>
      <c r="V50" s="3686"/>
      <c r="W50" s="93">
        <v>53</v>
      </c>
      <c r="X50" s="112">
        <v>53</v>
      </c>
      <c r="Y50" s="112">
        <v>53</v>
      </c>
      <c r="Z50" s="112">
        <v>53</v>
      </c>
      <c r="AA50" s="112">
        <v>53</v>
      </c>
      <c r="AB50" s="112">
        <v>53</v>
      </c>
      <c r="AC50" s="112">
        <v>53</v>
      </c>
      <c r="AD50" s="112">
        <v>53</v>
      </c>
      <c r="AE50" s="112"/>
      <c r="AF50" s="112"/>
      <c r="AG50" s="112"/>
    </row>
    <row r="51" spans="4:33" ht="43.5" hidden="1" outlineLevel="1" x14ac:dyDescent="0.35">
      <c r="D51" s="3669"/>
      <c r="E51" s="3672"/>
      <c r="F51" s="1645" t="str">
        <f t="shared" si="33"/>
        <v>LED - 15W (CFL baseline) (1050-1489 lumens)</v>
      </c>
      <c r="G51" s="93">
        <v>18.899999999999999</v>
      </c>
      <c r="H51" s="112" t="str">
        <f t="shared" si="32"/>
        <v>200400_2019_12_</v>
      </c>
      <c r="I51" s="3679" t="s">
        <v>118</v>
      </c>
      <c r="J51" s="3679"/>
      <c r="K51" s="3679"/>
      <c r="L51" s="3679"/>
      <c r="V51" s="3686"/>
      <c r="W51" s="93">
        <v>18.899999999999999</v>
      </c>
      <c r="X51" s="112">
        <v>18.899999999999999</v>
      </c>
      <c r="Y51" s="112">
        <v>18.899999999999999</v>
      </c>
      <c r="Z51" s="112">
        <v>18.899999999999999</v>
      </c>
      <c r="AA51" s="112">
        <v>18.899999999999999</v>
      </c>
      <c r="AB51" s="112">
        <v>18.899999999999999</v>
      </c>
      <c r="AC51" s="112">
        <v>18.899999999999999</v>
      </c>
      <c r="AD51" s="112">
        <v>18.899999999999999</v>
      </c>
      <c r="AE51" s="112"/>
      <c r="AF51" s="112"/>
      <c r="AG51" s="112"/>
    </row>
    <row r="52" spans="4:33" ht="43.5" hidden="1" outlineLevel="1" x14ac:dyDescent="0.35">
      <c r="D52" s="3669"/>
      <c r="E52" s="3672"/>
      <c r="F52" s="1645" t="str">
        <f t="shared" si="33"/>
        <v>LED - 11W Flood Light BR30 Bulb (CFL baseline)</v>
      </c>
      <c r="G52" s="112">
        <f>850/45</f>
        <v>18.888888888888889</v>
      </c>
      <c r="H52" s="112" t="str">
        <f t="shared" si="32"/>
        <v>200401_2020_12_</v>
      </c>
      <c r="I52" s="3688" t="s">
        <v>119</v>
      </c>
      <c r="J52" s="3689"/>
      <c r="K52" s="3689"/>
      <c r="L52" s="3690"/>
      <c r="V52" s="3686"/>
      <c r="W52" s="93"/>
      <c r="X52" s="112"/>
      <c r="Y52" s="112"/>
      <c r="Z52" s="112"/>
      <c r="AA52" s="112"/>
      <c r="AB52" s="1575">
        <v>18.888888888888889</v>
      </c>
      <c r="AC52" s="112">
        <v>18.888888888888889</v>
      </c>
      <c r="AD52" s="112">
        <v>18.888888888888889</v>
      </c>
      <c r="AE52" s="112"/>
      <c r="AF52" s="112"/>
      <c r="AG52" s="112"/>
    </row>
    <row r="53" spans="4:33" ht="43.5" hidden="1" outlineLevel="1" x14ac:dyDescent="0.35">
      <c r="D53" s="3669"/>
      <c r="E53" s="3672"/>
      <c r="F53" s="1645" t="str">
        <f t="shared" si="33"/>
        <v xml:space="preserve">LED - 11W Flood Light BR30 Bulb (Halogen baseline) </v>
      </c>
      <c r="G53" s="112">
        <v>65</v>
      </c>
      <c r="H53" s="112" t="str">
        <f t="shared" si="32"/>
        <v>200402_2020_12_</v>
      </c>
      <c r="I53" s="3688" t="s">
        <v>120</v>
      </c>
      <c r="J53" s="3689"/>
      <c r="K53" s="3689"/>
      <c r="L53" s="3690"/>
      <c r="V53" s="3686"/>
      <c r="W53" s="93"/>
      <c r="X53" s="112"/>
      <c r="Y53" s="112"/>
      <c r="Z53" s="112"/>
      <c r="AA53" s="112"/>
      <c r="AB53" s="1575">
        <v>65</v>
      </c>
      <c r="AC53" s="112">
        <v>65</v>
      </c>
      <c r="AD53" s="112">
        <v>65</v>
      </c>
      <c r="AE53" s="112"/>
      <c r="AF53" s="112"/>
      <c r="AG53" s="112"/>
    </row>
    <row r="54" spans="4:33" ht="43.5" hidden="1" outlineLevel="1" x14ac:dyDescent="0.35">
      <c r="D54" s="3669"/>
      <c r="E54" s="3672"/>
      <c r="F54" s="1645" t="str">
        <f t="shared" si="33"/>
        <v>LED - 15W Flood Light PAR30 Bulb (CFL baseline)</v>
      </c>
      <c r="G54" s="113">
        <v>16</v>
      </c>
      <c r="H54" s="112" t="str">
        <f t="shared" si="32"/>
        <v>200450_2019_12_</v>
      </c>
      <c r="I54" s="3679"/>
      <c r="J54" s="3679"/>
      <c r="K54" s="3679"/>
      <c r="L54" s="3679"/>
      <c r="V54" s="3686"/>
      <c r="W54" s="113">
        <v>16</v>
      </c>
      <c r="X54" s="113">
        <v>16</v>
      </c>
      <c r="Y54" s="113">
        <v>16</v>
      </c>
      <c r="Z54" s="114">
        <v>16</v>
      </c>
      <c r="AA54" s="114">
        <v>16</v>
      </c>
      <c r="AB54" s="114">
        <v>16</v>
      </c>
      <c r="AC54" s="114">
        <v>16</v>
      </c>
      <c r="AD54" s="114">
        <v>16</v>
      </c>
      <c r="AE54" s="113"/>
      <c r="AF54" s="113"/>
      <c r="AG54" s="113"/>
    </row>
    <row r="55" spans="4:33" ht="43.5" hidden="1" outlineLevel="1" x14ac:dyDescent="0.35">
      <c r="D55" s="3669"/>
      <c r="E55" s="3672"/>
      <c r="F55" s="1645" t="str">
        <f t="shared" si="33"/>
        <v>LED - 15W Flood Light PAR30 Bulb (Halogen baseline)</v>
      </c>
      <c r="G55" s="93">
        <v>61.3</v>
      </c>
      <c r="H55" s="112" t="str">
        <f t="shared" si="32"/>
        <v>200500_2019_12_</v>
      </c>
      <c r="I55" s="3678" t="s">
        <v>115</v>
      </c>
      <c r="J55" s="3678"/>
      <c r="K55" s="3678"/>
      <c r="L55" s="3678"/>
      <c r="V55" s="3686"/>
      <c r="W55" s="93">
        <v>62.1</v>
      </c>
      <c r="X55" s="1575">
        <v>60.9</v>
      </c>
      <c r="Y55" s="1575">
        <v>61.3</v>
      </c>
      <c r="Z55" s="112">
        <v>61.3</v>
      </c>
      <c r="AA55" s="112">
        <v>61.3</v>
      </c>
      <c r="AB55" s="110">
        <v>61.3</v>
      </c>
      <c r="AC55" s="110">
        <v>61.3</v>
      </c>
      <c r="AD55" s="112">
        <v>61.3</v>
      </c>
      <c r="AE55" s="110"/>
      <c r="AF55" s="110"/>
      <c r="AG55" s="110"/>
    </row>
    <row r="56" spans="4:33" ht="43.5" hidden="1" outlineLevel="1" x14ac:dyDescent="0.35">
      <c r="D56" s="3669"/>
      <c r="E56" s="3672"/>
      <c r="F56" s="1645" t="str">
        <f t="shared" si="33"/>
        <v>LED - 18W Flood Light PAR30 Bulb (CFL baseline)</v>
      </c>
      <c r="G56" s="113">
        <v>23</v>
      </c>
      <c r="H56" s="112" t="str">
        <f t="shared" si="32"/>
        <v>200550_2019_12_</v>
      </c>
      <c r="I56" s="3679" t="s">
        <v>121</v>
      </c>
      <c r="J56" s="3679"/>
      <c r="K56" s="3679"/>
      <c r="L56" s="3679"/>
      <c r="V56" s="3686"/>
      <c r="W56" s="113">
        <v>23</v>
      </c>
      <c r="X56" s="114">
        <v>23</v>
      </c>
      <c r="Y56" s="114">
        <v>23</v>
      </c>
      <c r="Z56" s="114">
        <v>23</v>
      </c>
      <c r="AA56" s="114">
        <v>23</v>
      </c>
      <c r="AB56" s="114">
        <v>23</v>
      </c>
      <c r="AC56" s="114">
        <v>23</v>
      </c>
      <c r="AD56" s="114">
        <v>23</v>
      </c>
      <c r="AE56" s="114"/>
      <c r="AF56" s="114"/>
      <c r="AG56" s="114"/>
    </row>
    <row r="57" spans="4:33" ht="43.5" hidden="1" outlineLevel="1" x14ac:dyDescent="0.35">
      <c r="D57" s="3669"/>
      <c r="E57" s="3672"/>
      <c r="F57" s="1645" t="str">
        <f t="shared" si="33"/>
        <v>LED - 18W Flood Light PAR38 Bulb (Halogen baseline)</v>
      </c>
      <c r="G57" s="93">
        <v>100</v>
      </c>
      <c r="H57" s="112" t="str">
        <f t="shared" si="32"/>
        <v>200600_2019_12_</v>
      </c>
      <c r="I57" s="3678" t="s">
        <v>122</v>
      </c>
      <c r="J57" s="3678"/>
      <c r="K57" s="3678"/>
      <c r="L57" s="3678"/>
      <c r="V57" s="3686"/>
      <c r="W57" s="93">
        <v>100</v>
      </c>
      <c r="X57" s="110">
        <v>100</v>
      </c>
      <c r="Y57" s="112">
        <v>100</v>
      </c>
      <c r="Z57" s="112">
        <v>100</v>
      </c>
      <c r="AA57" s="112">
        <v>100</v>
      </c>
      <c r="AB57" s="110">
        <v>100</v>
      </c>
      <c r="AC57" s="110">
        <v>100</v>
      </c>
      <c r="AD57" s="112">
        <v>100</v>
      </c>
      <c r="AE57" s="110"/>
      <c r="AF57" s="110"/>
      <c r="AG57" s="110"/>
    </row>
    <row r="58" spans="4:33" ht="43.5" hidden="1" outlineLevel="1" x14ac:dyDescent="0.35">
      <c r="D58" s="3669"/>
      <c r="E58" s="3672"/>
      <c r="F58" s="1645" t="str">
        <f t="shared" si="33"/>
        <v>LED - 20W (CFL baseline) (1490-2600 lumens)</v>
      </c>
      <c r="G58" s="93">
        <v>24.8</v>
      </c>
      <c r="H58" s="112" t="str">
        <f t="shared" si="32"/>
        <v>200650_2019_12_</v>
      </c>
      <c r="I58" s="3679" t="s">
        <v>123</v>
      </c>
      <c r="J58" s="3679"/>
      <c r="K58" s="3679"/>
      <c r="L58" s="3679"/>
      <c r="V58" s="3686"/>
      <c r="W58" s="93">
        <v>24.8</v>
      </c>
      <c r="X58" s="110">
        <v>24.8</v>
      </c>
      <c r="Y58" s="112">
        <v>24.8</v>
      </c>
      <c r="Z58" s="112">
        <v>24.8</v>
      </c>
      <c r="AA58" s="112">
        <v>24.8</v>
      </c>
      <c r="AB58" s="110">
        <v>24.8</v>
      </c>
      <c r="AC58" s="110">
        <v>24.8</v>
      </c>
      <c r="AD58" s="112">
        <v>24.8</v>
      </c>
      <c r="AE58" s="110"/>
      <c r="AF58" s="110"/>
      <c r="AG58" s="110"/>
    </row>
    <row r="59" spans="4:33" ht="43.5" hidden="1" outlineLevel="1" x14ac:dyDescent="0.35">
      <c r="D59" s="3669"/>
      <c r="E59" s="3672"/>
      <c r="F59" s="1645" t="str">
        <f t="shared" si="33"/>
        <v>LED - 20W (Halogen baseline) (1490-2600 lumens)</v>
      </c>
      <c r="G59" s="93">
        <v>72</v>
      </c>
      <c r="H59" s="112" t="str">
        <f t="shared" si="32"/>
        <v>200700_2019_12_</v>
      </c>
      <c r="I59" s="3678" t="s">
        <v>115</v>
      </c>
      <c r="J59" s="3678"/>
      <c r="K59" s="3678"/>
      <c r="L59" s="3678"/>
      <c r="V59" s="3686"/>
      <c r="W59" s="93">
        <v>72</v>
      </c>
      <c r="X59" s="1575">
        <v>71.7</v>
      </c>
      <c r="Y59" s="1575">
        <v>72</v>
      </c>
      <c r="Z59" s="112">
        <v>72</v>
      </c>
      <c r="AA59" s="112">
        <v>72</v>
      </c>
      <c r="AB59" s="110">
        <v>72</v>
      </c>
      <c r="AC59" s="110">
        <v>72</v>
      </c>
      <c r="AD59" s="112">
        <v>72</v>
      </c>
      <c r="AE59" s="110"/>
      <c r="AF59" s="110"/>
      <c r="AG59" s="110"/>
    </row>
    <row r="60" spans="4:33" ht="29" hidden="1" outlineLevel="1" x14ac:dyDescent="0.35">
      <c r="D60" s="3669"/>
      <c r="E60" s="3672"/>
      <c r="F60" s="1645" t="str">
        <f t="shared" si="33"/>
        <v>LED - 4W Candelabra (CFL baseline)</v>
      </c>
      <c r="G60" s="93">
        <v>9</v>
      </c>
      <c r="H60" s="112" t="str">
        <f t="shared" si="32"/>
        <v>200750_2019_12_</v>
      </c>
      <c r="I60" s="3679" t="s">
        <v>124</v>
      </c>
      <c r="J60" s="3679"/>
      <c r="K60" s="3679"/>
      <c r="L60" s="3679"/>
      <c r="V60" s="3686"/>
      <c r="W60" s="93">
        <v>9</v>
      </c>
      <c r="X60" s="110">
        <v>9</v>
      </c>
      <c r="Y60" s="112">
        <v>9</v>
      </c>
      <c r="Z60" s="112">
        <v>9</v>
      </c>
      <c r="AA60" s="112">
        <v>9</v>
      </c>
      <c r="AB60" s="110">
        <v>9</v>
      </c>
      <c r="AC60" s="110">
        <v>9</v>
      </c>
      <c r="AD60" s="112">
        <v>9</v>
      </c>
      <c r="AE60" s="110"/>
      <c r="AF60" s="110"/>
      <c r="AG60" s="110"/>
    </row>
    <row r="61" spans="4:33" ht="43.5" hidden="1" outlineLevel="1" x14ac:dyDescent="0.35">
      <c r="D61" s="3669"/>
      <c r="E61" s="3672"/>
      <c r="F61" s="1645" t="str">
        <f t="shared" si="33"/>
        <v>LED - 4W Candelabra (Replacing Specialty Incandescent)</v>
      </c>
      <c r="G61" s="93">
        <v>39</v>
      </c>
      <c r="H61" s="112" t="str">
        <f t="shared" si="32"/>
        <v>200800_2019_12_</v>
      </c>
      <c r="I61" s="3678" t="s">
        <v>115</v>
      </c>
      <c r="J61" s="3678"/>
      <c r="K61" s="3678"/>
      <c r="L61" s="3678"/>
      <c r="V61" s="3686"/>
      <c r="W61" s="93">
        <v>40.409999999999997</v>
      </c>
      <c r="X61" s="1575">
        <v>41</v>
      </c>
      <c r="Y61" s="1575">
        <v>39</v>
      </c>
      <c r="Z61" s="112">
        <v>39</v>
      </c>
      <c r="AA61" s="112">
        <v>39</v>
      </c>
      <c r="AB61" s="112">
        <v>39</v>
      </c>
      <c r="AC61" s="112">
        <v>39</v>
      </c>
      <c r="AD61" s="112">
        <v>39</v>
      </c>
      <c r="AE61" s="112"/>
      <c r="AF61" s="112"/>
      <c r="AG61" s="112"/>
    </row>
    <row r="62" spans="4:33" ht="43.5" hidden="1" outlineLevel="1" x14ac:dyDescent="0.35">
      <c r="D62" s="3669"/>
      <c r="E62" s="3672"/>
      <c r="F62" s="1645" t="str">
        <f t="shared" si="33"/>
        <v>LED - 8W Globe Light G25 Bulb (Replacing CFL)</v>
      </c>
      <c r="G62" s="93">
        <v>11</v>
      </c>
      <c r="H62" s="112" t="str">
        <f t="shared" si="32"/>
        <v>200850_2019_12_</v>
      </c>
      <c r="I62" s="3679" t="s">
        <v>125</v>
      </c>
      <c r="J62" s="3679"/>
      <c r="K62" s="3679"/>
      <c r="L62" s="3679"/>
      <c r="V62" s="3686"/>
      <c r="W62" s="93">
        <v>11</v>
      </c>
      <c r="X62" s="112">
        <v>11</v>
      </c>
      <c r="Y62" s="112">
        <v>11</v>
      </c>
      <c r="Z62" s="112">
        <v>11</v>
      </c>
      <c r="AA62" s="112">
        <v>11</v>
      </c>
      <c r="AB62" s="112">
        <v>11</v>
      </c>
      <c r="AC62" s="112">
        <v>11</v>
      </c>
      <c r="AD62" s="112">
        <v>11</v>
      </c>
      <c r="AE62" s="112"/>
      <c r="AF62" s="112"/>
      <c r="AG62" s="112"/>
    </row>
    <row r="63" spans="4:33" ht="43.5" hidden="1" outlineLevel="1" x14ac:dyDescent="0.35">
      <c r="D63" s="3669"/>
      <c r="E63" s="3672"/>
      <c r="F63" s="1645" t="str">
        <f t="shared" si="33"/>
        <v>LED - 8W Globe Light G25 Bulb (Replacing Specialty Incandescent)</v>
      </c>
      <c r="G63" s="93">
        <v>41.4</v>
      </c>
      <c r="H63" s="112" t="str">
        <f t="shared" si="32"/>
        <v>200900_2019_12_</v>
      </c>
      <c r="I63" s="3678" t="s">
        <v>115</v>
      </c>
      <c r="J63" s="3678"/>
      <c r="K63" s="3678"/>
      <c r="L63" s="3678"/>
      <c r="V63" s="3686"/>
      <c r="W63" s="93">
        <v>42.04</v>
      </c>
      <c r="X63" s="1575">
        <v>40.6</v>
      </c>
      <c r="Y63" s="1575">
        <v>41.4</v>
      </c>
      <c r="Z63" s="112">
        <v>41.4</v>
      </c>
      <c r="AA63" s="112">
        <v>41.4</v>
      </c>
      <c r="AB63" s="112">
        <v>41.4</v>
      </c>
      <c r="AC63" s="112">
        <v>41.4</v>
      </c>
      <c r="AD63" s="112">
        <v>41.4</v>
      </c>
      <c r="AE63" s="112"/>
      <c r="AF63" s="112"/>
      <c r="AG63" s="112"/>
    </row>
    <row r="64" spans="4:33" ht="58" hidden="1" outlineLevel="1" x14ac:dyDescent="0.35">
      <c r="D64" s="3669"/>
      <c r="E64" s="3672"/>
      <c r="F64" s="1645" t="str">
        <f t="shared" si="33"/>
        <v>LED - 10W (Halogen baseline) (750-1049 lumens) - Specialty Connected Light</v>
      </c>
      <c r="G64" s="93">
        <v>39.5</v>
      </c>
      <c r="H64" s="112" t="str">
        <f t="shared" si="32"/>
        <v>200950_2019_12_</v>
      </c>
      <c r="I64" s="3679" t="str">
        <f>I47</f>
        <v>EISA Baseline for Lumen Range (reference IL TRM)</v>
      </c>
      <c r="J64" s="3679"/>
      <c r="K64" s="3679"/>
      <c r="L64" s="3679"/>
      <c r="V64" s="3686"/>
      <c r="W64" s="93">
        <f>W47</f>
        <v>41.32</v>
      </c>
      <c r="X64" s="112">
        <f>X47</f>
        <v>41.1</v>
      </c>
      <c r="Y64" s="1575">
        <v>39.5</v>
      </c>
      <c r="Z64" s="112">
        <v>39.5</v>
      </c>
      <c r="AA64" s="112">
        <v>39.5</v>
      </c>
      <c r="AB64" s="112">
        <v>39.5</v>
      </c>
      <c r="AC64" s="112">
        <v>39.5</v>
      </c>
      <c r="AD64" s="112">
        <v>39.5</v>
      </c>
      <c r="AE64" s="112"/>
      <c r="AF64" s="112"/>
      <c r="AG64" s="112"/>
    </row>
    <row r="65" spans="4:33" ht="58" hidden="1" outlineLevel="1" x14ac:dyDescent="0.35">
      <c r="D65" s="3669"/>
      <c r="E65" s="3672"/>
      <c r="F65" s="1645" t="str">
        <f t="shared" si="33"/>
        <v>LED - 15W (Halogen baseline) (1050-1489 lumens) - Specialty Connected Light</v>
      </c>
      <c r="G65" s="93">
        <v>53</v>
      </c>
      <c r="H65" s="112" t="str">
        <f t="shared" si="32"/>
        <v>201000_2019_12_</v>
      </c>
      <c r="I65" s="3679" t="str">
        <f>I50</f>
        <v>Ameren Missouri Lighting Evaluation PY2018</v>
      </c>
      <c r="J65" s="3679"/>
      <c r="K65" s="3679"/>
      <c r="L65" s="3679"/>
      <c r="V65" s="3686"/>
      <c r="W65" s="93">
        <f>W50</f>
        <v>53</v>
      </c>
      <c r="X65" s="112">
        <f>X50</f>
        <v>53</v>
      </c>
      <c r="Y65" s="112">
        <v>53</v>
      </c>
      <c r="Z65" s="112">
        <v>53</v>
      </c>
      <c r="AA65" s="112">
        <v>53</v>
      </c>
      <c r="AB65" s="112">
        <v>53</v>
      </c>
      <c r="AC65" s="112">
        <v>53</v>
      </c>
      <c r="AD65" s="112">
        <v>53</v>
      </c>
      <c r="AE65" s="112"/>
      <c r="AF65" s="112"/>
      <c r="AG65" s="112"/>
    </row>
    <row r="66" spans="4:33" ht="58" hidden="1" outlineLevel="1" x14ac:dyDescent="0.35">
      <c r="D66" s="3669"/>
      <c r="E66" s="3672"/>
      <c r="F66" s="1645" t="str">
        <f t="shared" si="33"/>
        <v>LED - 15W Flood Light PAR30 Bulb (Halogen baseline) - Specialty Connected Light</v>
      </c>
      <c r="G66" s="93">
        <v>61.3</v>
      </c>
      <c r="H66" s="112" t="str">
        <f t="shared" si="32"/>
        <v>201050_2019_12_</v>
      </c>
      <c r="I66" s="3674" t="s">
        <v>115</v>
      </c>
      <c r="J66" s="3666"/>
      <c r="K66" s="3666"/>
      <c r="L66" s="3667"/>
      <c r="V66" s="3686"/>
      <c r="W66" s="93">
        <f>W55</f>
        <v>62.1</v>
      </c>
      <c r="X66" s="1575">
        <f>X55</f>
        <v>60.9</v>
      </c>
      <c r="Y66" s="1575">
        <v>61.3</v>
      </c>
      <c r="Z66" s="112">
        <v>61.3</v>
      </c>
      <c r="AA66" s="112">
        <v>61.3</v>
      </c>
      <c r="AB66" s="112">
        <v>61.3</v>
      </c>
      <c r="AC66" s="112">
        <v>61.3</v>
      </c>
      <c r="AD66" s="112">
        <v>61.3</v>
      </c>
      <c r="AE66" s="112"/>
      <c r="AF66" s="112"/>
      <c r="AG66" s="112"/>
    </row>
    <row r="67" spans="4:33" ht="29" hidden="1" outlineLevel="1" x14ac:dyDescent="0.35">
      <c r="D67" s="3669"/>
      <c r="E67" s="3672"/>
      <c r="F67" s="2333" t="s">
        <v>101</v>
      </c>
      <c r="G67" s="2148">
        <f>AVERAGE(310,749)/45</f>
        <v>11.766666666666667</v>
      </c>
      <c r="H67" s="2063" t="str">
        <f t="shared" si="32"/>
        <v>201099_2021_12_</v>
      </c>
      <c r="I67" s="3674" t="s">
        <v>117</v>
      </c>
      <c r="J67" s="3666"/>
      <c r="K67" s="3666"/>
      <c r="L67" s="3667"/>
      <c r="V67" s="3686"/>
      <c r="W67" s="2148"/>
      <c r="X67" s="2149"/>
      <c r="Y67" s="2149"/>
      <c r="Z67" s="2063"/>
      <c r="AA67" s="2063"/>
      <c r="AB67" s="2063"/>
      <c r="AC67" s="2149">
        <v>11.766666666666667</v>
      </c>
      <c r="AD67" s="2063">
        <v>11.766666666666667</v>
      </c>
      <c r="AE67" s="2063"/>
      <c r="AF67" s="2063"/>
      <c r="AG67" s="2063"/>
    </row>
    <row r="68" spans="4:33" ht="15" hidden="1" customHeight="1" outlineLevel="1" x14ac:dyDescent="0.35">
      <c r="D68" s="3669"/>
      <c r="E68" s="3672"/>
      <c r="F68" s="2330" t="str">
        <f t="shared" ref="F68" si="34">E31</f>
        <v>LED - 6W (Halogen baseline) (310-749 lumens)</v>
      </c>
      <c r="G68" s="93">
        <v>29</v>
      </c>
      <c r="H68" s="112" t="str">
        <f t="shared" si="32"/>
        <v>201100_2019_12_</v>
      </c>
      <c r="I68" s="3688" t="s">
        <v>126</v>
      </c>
      <c r="J68" s="3689"/>
      <c r="K68" s="3689"/>
      <c r="L68" s="3690"/>
      <c r="V68" s="3686"/>
      <c r="W68" s="93"/>
      <c r="X68" s="112"/>
      <c r="Y68" s="1575">
        <v>29</v>
      </c>
      <c r="Z68" s="112">
        <v>29</v>
      </c>
      <c r="AA68" s="112">
        <v>29</v>
      </c>
      <c r="AB68" s="112">
        <v>29</v>
      </c>
      <c r="AC68" s="112">
        <v>29</v>
      </c>
      <c r="AD68" s="112">
        <v>29</v>
      </c>
      <c r="AE68" s="112"/>
      <c r="AF68" s="112"/>
      <c r="AG68" s="112"/>
    </row>
    <row r="69" spans="4:33" ht="15" hidden="1" customHeight="1" outlineLevel="1" thickBot="1" x14ac:dyDescent="0.4">
      <c r="D69" s="3670"/>
      <c r="E69" s="3673"/>
      <c r="F69" s="2547" t="s">
        <v>104</v>
      </c>
      <c r="G69" s="2150">
        <v>7</v>
      </c>
      <c r="H69" s="2065" t="str">
        <f t="shared" si="32"/>
        <v>201130_2021_12_</v>
      </c>
      <c r="I69" s="3675" t="s">
        <v>127</v>
      </c>
      <c r="J69" s="3676"/>
      <c r="K69" s="3676"/>
      <c r="L69" s="3677"/>
      <c r="V69" s="3687"/>
      <c r="W69" s="2150"/>
      <c r="X69" s="2065"/>
      <c r="Y69" s="2151"/>
      <c r="Z69" s="2065"/>
      <c r="AA69" s="2065"/>
      <c r="AB69" s="2065"/>
      <c r="AC69" s="2151">
        <v>7</v>
      </c>
      <c r="AD69" s="2065">
        <v>7</v>
      </c>
      <c r="AE69" s="2065"/>
      <c r="AF69" s="2065"/>
      <c r="AG69" s="2065"/>
    </row>
    <row r="70" spans="4:33" ht="29" hidden="1" outlineLevel="1" x14ac:dyDescent="0.35">
      <c r="D70" s="3668" t="s">
        <v>128</v>
      </c>
      <c r="E70" s="3671" t="s">
        <v>129</v>
      </c>
      <c r="F70" s="1212" t="str">
        <f t="shared" ref="F70:F92" si="35">E7</f>
        <v>LED - 10.5W Downlight E26 (CFL baseline)</v>
      </c>
      <c r="G70" s="107">
        <v>10.7</v>
      </c>
      <c r="H70" s="115" t="str">
        <f t="shared" ref="H70:H79" si="36">C7</f>
        <v>200050_2019_12_</v>
      </c>
      <c r="I70" s="3695" t="s">
        <v>115</v>
      </c>
      <c r="J70" s="3696"/>
      <c r="K70" s="3696"/>
      <c r="L70" s="3697"/>
      <c r="V70" s="3685" t="s">
        <v>128</v>
      </c>
      <c r="W70" s="107">
        <v>7</v>
      </c>
      <c r="X70" s="115">
        <v>8</v>
      </c>
      <c r="Y70" s="116">
        <v>10.7</v>
      </c>
      <c r="Z70" s="115">
        <v>10.7</v>
      </c>
      <c r="AA70" s="115">
        <v>10.7</v>
      </c>
      <c r="AB70" s="115">
        <v>10.7</v>
      </c>
      <c r="AC70" s="115">
        <v>10.7</v>
      </c>
      <c r="AD70" s="115">
        <v>10.7</v>
      </c>
      <c r="AE70" s="115"/>
      <c r="AF70" s="115"/>
      <c r="AG70" s="115"/>
    </row>
    <row r="71" spans="4:33" ht="15" hidden="1" customHeight="1" outlineLevel="1" x14ac:dyDescent="0.35">
      <c r="D71" s="3669"/>
      <c r="E71" s="3672"/>
      <c r="F71" s="1645" t="str">
        <f t="shared" si="35"/>
        <v>LED - 10.5W Downlight E26 (Halogen baseline)</v>
      </c>
      <c r="G71" s="93">
        <v>10.7</v>
      </c>
      <c r="H71" s="112" t="str">
        <f t="shared" si="36"/>
        <v>200100_2019_12_</v>
      </c>
      <c r="I71" s="3688" t="s">
        <v>115</v>
      </c>
      <c r="J71" s="3689"/>
      <c r="K71" s="3689"/>
      <c r="L71" s="3690"/>
      <c r="V71" s="3686"/>
      <c r="W71" s="93">
        <v>7</v>
      </c>
      <c r="X71" s="1575">
        <v>6.5</v>
      </c>
      <c r="Y71" s="1575">
        <v>10.7</v>
      </c>
      <c r="Z71" s="112">
        <v>10.7</v>
      </c>
      <c r="AA71" s="112">
        <v>10.7</v>
      </c>
      <c r="AB71" s="112">
        <v>10.7</v>
      </c>
      <c r="AC71" s="112">
        <v>10.7</v>
      </c>
      <c r="AD71" s="112">
        <v>10.7</v>
      </c>
      <c r="AE71" s="112"/>
      <c r="AF71" s="112"/>
      <c r="AG71" s="112"/>
    </row>
    <row r="72" spans="4:33" ht="15" hidden="1" customHeight="1" outlineLevel="1" x14ac:dyDescent="0.35">
      <c r="D72" s="3669"/>
      <c r="E72" s="3672"/>
      <c r="F72" s="1645" t="str">
        <f t="shared" si="35"/>
        <v>LED - 10W (CFL baseline) (750-1049 lumens)</v>
      </c>
      <c r="G72" s="113">
        <v>8.4</v>
      </c>
      <c r="H72" s="112" t="str">
        <f t="shared" si="36"/>
        <v>200150_2019_12_</v>
      </c>
      <c r="I72" s="3688" t="s">
        <v>115</v>
      </c>
      <c r="J72" s="3689"/>
      <c r="K72" s="3689"/>
      <c r="L72" s="3690"/>
      <c r="V72" s="3686"/>
      <c r="W72" s="113">
        <v>9.1</v>
      </c>
      <c r="X72" s="113">
        <v>9.1</v>
      </c>
      <c r="Y72" s="117">
        <v>8.4</v>
      </c>
      <c r="Z72" s="114">
        <v>8.4</v>
      </c>
      <c r="AA72" s="114">
        <v>8.4</v>
      </c>
      <c r="AB72" s="114">
        <v>8.4</v>
      </c>
      <c r="AC72" s="114">
        <v>8.4</v>
      </c>
      <c r="AD72" s="114">
        <v>8.4</v>
      </c>
      <c r="AE72" s="113"/>
      <c r="AF72" s="113"/>
      <c r="AG72" s="113"/>
    </row>
    <row r="73" spans="4:33" ht="15" hidden="1" customHeight="1" outlineLevel="1" x14ac:dyDescent="0.35">
      <c r="D73" s="3669"/>
      <c r="E73" s="3672"/>
      <c r="F73" s="1645" t="str">
        <f t="shared" si="35"/>
        <v>LED - 10W (Halogen baseline) (750-1049 lumens)</v>
      </c>
      <c r="G73" s="113">
        <v>8.4</v>
      </c>
      <c r="H73" s="112" t="str">
        <f t="shared" si="36"/>
        <v>200200_2019_12_</v>
      </c>
      <c r="I73" s="3688" t="s">
        <v>115</v>
      </c>
      <c r="J73" s="3689"/>
      <c r="K73" s="3689"/>
      <c r="L73" s="3690"/>
      <c r="V73" s="3686"/>
      <c r="W73" s="113">
        <v>9.1</v>
      </c>
      <c r="X73" s="117">
        <v>9</v>
      </c>
      <c r="Y73" s="117">
        <v>8.4</v>
      </c>
      <c r="Z73" s="114">
        <v>8.4</v>
      </c>
      <c r="AA73" s="114">
        <v>8.4</v>
      </c>
      <c r="AB73" s="114">
        <v>8.4</v>
      </c>
      <c r="AC73" s="114">
        <v>8.4</v>
      </c>
      <c r="AD73" s="114">
        <v>8.4</v>
      </c>
      <c r="AE73" s="113"/>
      <c r="AF73" s="113"/>
      <c r="AG73" s="113"/>
    </row>
    <row r="74" spans="4:33" ht="15" hidden="1" customHeight="1" outlineLevel="1" x14ac:dyDescent="0.35">
      <c r="D74" s="3669"/>
      <c r="E74" s="3672"/>
      <c r="F74" s="1645" t="str">
        <f t="shared" si="35"/>
        <v>LED - 12W Dimmable Light Bulb (Replacing CFL)</v>
      </c>
      <c r="G74" s="93">
        <v>15.4</v>
      </c>
      <c r="H74" s="112" t="str">
        <f t="shared" si="36"/>
        <v>200250_2019_12_</v>
      </c>
      <c r="I74" s="3688" t="s">
        <v>115</v>
      </c>
      <c r="J74" s="3689"/>
      <c r="K74" s="3689"/>
      <c r="L74" s="3690"/>
      <c r="V74" s="3686"/>
      <c r="W74" s="93">
        <v>9.5</v>
      </c>
      <c r="X74" s="93">
        <v>9.5</v>
      </c>
      <c r="Y74" s="96">
        <v>15.4</v>
      </c>
      <c r="Z74" s="112">
        <v>15.4</v>
      </c>
      <c r="AA74" s="112">
        <v>15.4</v>
      </c>
      <c r="AB74" s="112">
        <v>15.4</v>
      </c>
      <c r="AC74" s="112">
        <v>15.4</v>
      </c>
      <c r="AD74" s="112">
        <v>15.4</v>
      </c>
      <c r="AE74" s="93"/>
      <c r="AF74" s="93"/>
      <c r="AG74" s="93"/>
    </row>
    <row r="75" spans="4:33" ht="15" hidden="1" customHeight="1" outlineLevel="1" x14ac:dyDescent="0.35">
      <c r="D75" s="3669"/>
      <c r="E75" s="3672"/>
      <c r="F75" s="1645" t="str">
        <f t="shared" si="35"/>
        <v>LED - 12W Dimmable Light Bulb (Replacing Specialty Incandescent)</v>
      </c>
      <c r="G75" s="93">
        <v>15.4</v>
      </c>
      <c r="H75" s="112" t="str">
        <f t="shared" si="36"/>
        <v>200300_2019_12_</v>
      </c>
      <c r="I75" s="3688" t="s">
        <v>115</v>
      </c>
      <c r="J75" s="3689"/>
      <c r="K75" s="3689"/>
      <c r="L75" s="3690"/>
      <c r="V75" s="3686"/>
      <c r="W75" s="93">
        <v>9.5</v>
      </c>
      <c r="X75" s="96">
        <v>8.8000000000000007</v>
      </c>
      <c r="Y75" s="96">
        <v>15.4</v>
      </c>
      <c r="Z75" s="112">
        <v>15.4</v>
      </c>
      <c r="AA75" s="112">
        <v>15.4</v>
      </c>
      <c r="AB75" s="112">
        <v>15.4</v>
      </c>
      <c r="AC75" s="112">
        <v>15.4</v>
      </c>
      <c r="AD75" s="112">
        <v>15.4</v>
      </c>
      <c r="AE75" s="93"/>
      <c r="AF75" s="93"/>
      <c r="AG75" s="93"/>
    </row>
    <row r="76" spans="4:33" ht="15" hidden="1" customHeight="1" outlineLevel="1" x14ac:dyDescent="0.35">
      <c r="D76" s="3669"/>
      <c r="E76" s="3672"/>
      <c r="F76" s="1645" t="str">
        <f t="shared" si="35"/>
        <v>LED - 15W (Halogen baseline) (1050-1489 lumens)</v>
      </c>
      <c r="G76" s="114">
        <v>12.1</v>
      </c>
      <c r="H76" s="112" t="str">
        <f t="shared" si="36"/>
        <v>200350_2019_12_</v>
      </c>
      <c r="I76" s="3688" t="s">
        <v>115</v>
      </c>
      <c r="J76" s="3689"/>
      <c r="K76" s="3689"/>
      <c r="L76" s="3690"/>
      <c r="V76" s="3686"/>
      <c r="W76" s="113">
        <v>10.6</v>
      </c>
      <c r="X76" s="117">
        <v>11.6</v>
      </c>
      <c r="Y76" s="117">
        <v>12.1</v>
      </c>
      <c r="Z76" s="114">
        <v>12.1</v>
      </c>
      <c r="AA76" s="114">
        <v>12.1</v>
      </c>
      <c r="AB76" s="114">
        <v>12.1</v>
      </c>
      <c r="AC76" s="114">
        <v>12.1</v>
      </c>
      <c r="AD76" s="114">
        <v>12.1</v>
      </c>
      <c r="AE76" s="113"/>
      <c r="AF76" s="113"/>
      <c r="AG76" s="113"/>
    </row>
    <row r="77" spans="4:33" ht="15" hidden="1" customHeight="1" outlineLevel="1" x14ac:dyDescent="0.35">
      <c r="D77" s="3669"/>
      <c r="E77" s="3672"/>
      <c r="F77" s="1645" t="str">
        <f t="shared" si="35"/>
        <v>LED - 15W (CFL baseline) (1050-1489 lumens)</v>
      </c>
      <c r="G77" s="114">
        <v>12.1</v>
      </c>
      <c r="H77" s="112" t="str">
        <f t="shared" si="36"/>
        <v>200400_2019_12_</v>
      </c>
      <c r="I77" s="3688" t="s">
        <v>115</v>
      </c>
      <c r="J77" s="3689"/>
      <c r="K77" s="3689"/>
      <c r="L77" s="3690"/>
      <c r="V77" s="3686"/>
      <c r="W77" s="113">
        <v>10.6</v>
      </c>
      <c r="X77" s="113">
        <v>10.6</v>
      </c>
      <c r="Y77" s="117">
        <v>12.1</v>
      </c>
      <c r="Z77" s="114">
        <v>12.1</v>
      </c>
      <c r="AA77" s="114">
        <v>12.1</v>
      </c>
      <c r="AB77" s="114">
        <v>12.1</v>
      </c>
      <c r="AC77" s="114">
        <v>12.1</v>
      </c>
      <c r="AD77" s="114">
        <v>12.1</v>
      </c>
      <c r="AE77" s="113"/>
      <c r="AF77" s="113"/>
      <c r="AG77" s="113"/>
    </row>
    <row r="78" spans="4:33" ht="15" hidden="1" customHeight="1" outlineLevel="1" x14ac:dyDescent="0.35">
      <c r="D78" s="3669"/>
      <c r="E78" s="3672"/>
      <c r="F78" s="1645" t="str">
        <f t="shared" si="35"/>
        <v>LED - 11W Flood Light BR30 Bulb (CFL baseline)</v>
      </c>
      <c r="G78" s="112">
        <v>11</v>
      </c>
      <c r="H78" s="112" t="str">
        <f t="shared" si="36"/>
        <v>200401_2020_12_</v>
      </c>
      <c r="I78" s="3688" t="s">
        <v>130</v>
      </c>
      <c r="J78" s="3689"/>
      <c r="K78" s="3689"/>
      <c r="L78" s="3690"/>
      <c r="V78" s="3686"/>
      <c r="W78" s="113"/>
      <c r="X78" s="113"/>
      <c r="Y78" s="117"/>
      <c r="Z78" s="114"/>
      <c r="AA78" s="114"/>
      <c r="AB78" s="1702">
        <v>11</v>
      </c>
      <c r="AC78" s="114">
        <v>11</v>
      </c>
      <c r="AD78" s="114">
        <v>11</v>
      </c>
      <c r="AE78" s="113"/>
      <c r="AF78" s="113"/>
      <c r="AG78" s="113"/>
    </row>
    <row r="79" spans="4:33" ht="15" hidden="1" customHeight="1" outlineLevel="1" x14ac:dyDescent="0.35">
      <c r="D79" s="3669"/>
      <c r="E79" s="3672"/>
      <c r="F79" s="1645" t="str">
        <f t="shared" si="35"/>
        <v xml:space="preserve">LED - 11W Flood Light BR30 Bulb (Halogen baseline) </v>
      </c>
      <c r="G79" s="112">
        <v>11</v>
      </c>
      <c r="H79" s="112" t="str">
        <f t="shared" si="36"/>
        <v>200402_2020_12_</v>
      </c>
      <c r="I79" s="3688" t="s">
        <v>130</v>
      </c>
      <c r="J79" s="3689"/>
      <c r="K79" s="3689"/>
      <c r="L79" s="3690"/>
      <c r="V79" s="3686"/>
      <c r="W79" s="113"/>
      <c r="X79" s="113"/>
      <c r="Y79" s="117"/>
      <c r="Z79" s="114"/>
      <c r="AA79" s="114"/>
      <c r="AB79" s="1702">
        <v>11</v>
      </c>
      <c r="AC79" s="114">
        <v>11</v>
      </c>
      <c r="AD79" s="114">
        <v>11</v>
      </c>
      <c r="AE79" s="113"/>
      <c r="AF79" s="113"/>
      <c r="AG79" s="113"/>
    </row>
    <row r="80" spans="4:33" ht="15" hidden="1" customHeight="1" outlineLevel="1" x14ac:dyDescent="0.35">
      <c r="D80" s="3669"/>
      <c r="E80" s="3672"/>
      <c r="F80" s="1645" t="str">
        <f t="shared" si="35"/>
        <v>LED - 15W Flood Light PAR30 Bulb (CFL baseline)</v>
      </c>
      <c r="G80" s="112">
        <v>10</v>
      </c>
      <c r="H80" s="112" t="str">
        <f t="shared" ref="H80:H95" si="37">C17</f>
        <v>200450_2019_12_</v>
      </c>
      <c r="I80" s="3688" t="s">
        <v>115</v>
      </c>
      <c r="J80" s="3689"/>
      <c r="K80" s="3689"/>
      <c r="L80" s="3690"/>
      <c r="V80" s="3686"/>
      <c r="W80" s="93">
        <v>11.2</v>
      </c>
      <c r="X80" s="112">
        <v>11.2</v>
      </c>
      <c r="Y80" s="1575">
        <v>10</v>
      </c>
      <c r="Z80" s="112">
        <v>10</v>
      </c>
      <c r="AA80" s="112">
        <v>10</v>
      </c>
      <c r="AB80" s="112">
        <v>10</v>
      </c>
      <c r="AC80" s="112">
        <v>10</v>
      </c>
      <c r="AD80" s="112">
        <v>10</v>
      </c>
      <c r="AE80" s="112"/>
      <c r="AF80" s="112"/>
      <c r="AG80" s="112"/>
    </row>
    <row r="81" spans="4:33" ht="15" hidden="1" customHeight="1" outlineLevel="1" x14ac:dyDescent="0.35">
      <c r="D81" s="3669"/>
      <c r="E81" s="3672"/>
      <c r="F81" s="1645" t="str">
        <f t="shared" si="35"/>
        <v>LED - 15W Flood Light PAR30 Bulb (Halogen baseline)</v>
      </c>
      <c r="G81" s="112">
        <v>10</v>
      </c>
      <c r="H81" s="112" t="str">
        <f t="shared" si="37"/>
        <v>200500_2019_12_</v>
      </c>
      <c r="I81" s="3688" t="s">
        <v>115</v>
      </c>
      <c r="J81" s="3689"/>
      <c r="K81" s="3689"/>
      <c r="L81" s="3690"/>
      <c r="V81" s="3686"/>
      <c r="W81" s="93">
        <v>11.2</v>
      </c>
      <c r="X81" s="1575">
        <v>10.6</v>
      </c>
      <c r="Y81" s="1575">
        <v>10</v>
      </c>
      <c r="Z81" s="112">
        <v>10</v>
      </c>
      <c r="AA81" s="112">
        <v>10</v>
      </c>
      <c r="AB81" s="112">
        <v>10</v>
      </c>
      <c r="AC81" s="112">
        <v>10</v>
      </c>
      <c r="AD81" s="112">
        <v>10</v>
      </c>
      <c r="AE81" s="112"/>
      <c r="AF81" s="112"/>
      <c r="AG81" s="112"/>
    </row>
    <row r="82" spans="4:33" ht="43.5" hidden="1" outlineLevel="1" x14ac:dyDescent="0.35">
      <c r="D82" s="3669"/>
      <c r="E82" s="3672"/>
      <c r="F82" s="1645" t="str">
        <f t="shared" si="35"/>
        <v>LED - 18W Flood Light PAR30 Bulb (CFL baseline)</v>
      </c>
      <c r="G82" s="93">
        <v>18</v>
      </c>
      <c r="H82" s="112" t="str">
        <f t="shared" si="37"/>
        <v>200550_2019_12_</v>
      </c>
      <c r="I82" s="3678" t="s">
        <v>122</v>
      </c>
      <c r="J82" s="3678"/>
      <c r="K82" s="3678"/>
      <c r="L82" s="3678"/>
      <c r="V82" s="3686"/>
      <c r="W82" s="93">
        <v>18</v>
      </c>
      <c r="X82" s="112">
        <v>18</v>
      </c>
      <c r="Y82" s="112">
        <v>18</v>
      </c>
      <c r="Z82" s="112">
        <v>18</v>
      </c>
      <c r="AA82" s="112">
        <v>18</v>
      </c>
      <c r="AB82" s="112">
        <v>18</v>
      </c>
      <c r="AC82" s="112">
        <v>18</v>
      </c>
      <c r="AD82" s="112">
        <v>18</v>
      </c>
      <c r="AE82" s="112"/>
      <c r="AF82" s="112"/>
      <c r="AG82" s="112"/>
    </row>
    <row r="83" spans="4:33" ht="43.5" hidden="1" outlineLevel="1" x14ac:dyDescent="0.35">
      <c r="D83" s="3669"/>
      <c r="E83" s="3672"/>
      <c r="F83" s="1645" t="str">
        <f t="shared" si="35"/>
        <v>LED - 18W Flood Light PAR38 Bulb (Halogen baseline)</v>
      </c>
      <c r="G83" s="93">
        <v>18</v>
      </c>
      <c r="H83" s="112" t="str">
        <f t="shared" si="37"/>
        <v>200600_2019_12_</v>
      </c>
      <c r="I83" s="3678" t="s">
        <v>122</v>
      </c>
      <c r="J83" s="3678"/>
      <c r="K83" s="3678"/>
      <c r="L83" s="3678"/>
      <c r="V83" s="3686"/>
      <c r="W83" s="93">
        <v>18</v>
      </c>
      <c r="X83" s="112">
        <v>18</v>
      </c>
      <c r="Y83" s="112">
        <v>18</v>
      </c>
      <c r="Z83" s="112">
        <v>18</v>
      </c>
      <c r="AA83" s="112">
        <v>18</v>
      </c>
      <c r="AB83" s="112">
        <v>18</v>
      </c>
      <c r="AC83" s="112">
        <v>18</v>
      </c>
      <c r="AD83" s="112">
        <v>18</v>
      </c>
      <c r="AE83" s="112"/>
      <c r="AF83" s="112"/>
      <c r="AG83" s="112"/>
    </row>
    <row r="84" spans="4:33" ht="43.5" hidden="1" outlineLevel="1" x14ac:dyDescent="0.35">
      <c r="D84" s="3669"/>
      <c r="E84" s="3672"/>
      <c r="F84" s="1645" t="str">
        <f t="shared" si="35"/>
        <v>LED - 20W (CFL baseline) (1490-2600 lumens)</v>
      </c>
      <c r="G84" s="93">
        <v>15.2</v>
      </c>
      <c r="H84" s="112" t="str">
        <f t="shared" si="37"/>
        <v>200650_2019_12_</v>
      </c>
      <c r="I84" s="3688" t="s">
        <v>115</v>
      </c>
      <c r="J84" s="3689"/>
      <c r="K84" s="3689"/>
      <c r="L84" s="3690"/>
      <c r="V84" s="3686"/>
      <c r="W84" s="93">
        <v>15</v>
      </c>
      <c r="X84" s="112">
        <v>15</v>
      </c>
      <c r="Y84" s="118">
        <v>15.2</v>
      </c>
      <c r="Z84" s="1703">
        <v>15.2</v>
      </c>
      <c r="AA84" s="1703">
        <v>15.2</v>
      </c>
      <c r="AB84" s="112">
        <v>15.2</v>
      </c>
      <c r="AC84" s="112">
        <v>15.2</v>
      </c>
      <c r="AD84" s="112">
        <v>15.2</v>
      </c>
      <c r="AE84" s="112"/>
      <c r="AF84" s="112"/>
      <c r="AG84" s="112"/>
    </row>
    <row r="85" spans="4:33" ht="43.5" hidden="1" outlineLevel="1" x14ac:dyDescent="0.35">
      <c r="D85" s="3669"/>
      <c r="E85" s="3672"/>
      <c r="F85" s="1645" t="str">
        <f t="shared" si="35"/>
        <v>LED - 20W (Halogen baseline) (1490-2600 lumens)</v>
      </c>
      <c r="G85" s="93">
        <v>15.2</v>
      </c>
      <c r="H85" s="112" t="str">
        <f t="shared" si="37"/>
        <v>200700_2019_12_</v>
      </c>
      <c r="I85" s="3678" t="s">
        <v>115</v>
      </c>
      <c r="J85" s="3678"/>
      <c r="K85" s="3678"/>
      <c r="L85" s="3678"/>
      <c r="V85" s="3686"/>
      <c r="W85" s="93">
        <v>15</v>
      </c>
      <c r="X85" s="1575">
        <v>14.9</v>
      </c>
      <c r="Y85" s="118">
        <v>15.2</v>
      </c>
      <c r="Z85" s="1703">
        <v>15.2</v>
      </c>
      <c r="AA85" s="1703">
        <v>15.2</v>
      </c>
      <c r="AB85" s="112">
        <v>15.2</v>
      </c>
      <c r="AC85" s="112">
        <v>15.2</v>
      </c>
      <c r="AD85" s="112">
        <v>15.2</v>
      </c>
      <c r="AE85" s="112"/>
      <c r="AF85" s="112"/>
      <c r="AG85" s="112"/>
    </row>
    <row r="86" spans="4:33" ht="29" hidden="1" outlineLevel="1" x14ac:dyDescent="0.35">
      <c r="D86" s="3669"/>
      <c r="E86" s="3672"/>
      <c r="F86" s="1645" t="str">
        <f t="shared" si="35"/>
        <v>LED - 4W Candelabra (CFL baseline)</v>
      </c>
      <c r="G86" s="93">
        <v>4</v>
      </c>
      <c r="H86" s="112" t="str">
        <f t="shared" si="37"/>
        <v>200750_2019_12_</v>
      </c>
      <c r="I86" s="3688" t="s">
        <v>115</v>
      </c>
      <c r="J86" s="3689"/>
      <c r="K86" s="3689"/>
      <c r="L86" s="3690"/>
      <c r="V86" s="3686"/>
      <c r="W86" s="93">
        <v>4.5</v>
      </c>
      <c r="X86" s="112">
        <v>4.5</v>
      </c>
      <c r="Y86" s="1575">
        <v>4</v>
      </c>
      <c r="Z86" s="112">
        <v>4</v>
      </c>
      <c r="AA86" s="112">
        <v>4</v>
      </c>
      <c r="AB86" s="112">
        <v>4</v>
      </c>
      <c r="AC86" s="112">
        <v>4</v>
      </c>
      <c r="AD86" s="112">
        <v>4</v>
      </c>
      <c r="AE86" s="112"/>
      <c r="AF86" s="112"/>
      <c r="AG86" s="112"/>
    </row>
    <row r="87" spans="4:33" ht="43.5" hidden="1" outlineLevel="1" x14ac:dyDescent="0.35">
      <c r="D87" s="3669"/>
      <c r="E87" s="3672"/>
      <c r="F87" s="1645" t="str">
        <f t="shared" si="35"/>
        <v>LED - 4W Candelabra (Replacing Specialty Incandescent)</v>
      </c>
      <c r="G87" s="93">
        <v>4</v>
      </c>
      <c r="H87" s="112" t="str">
        <f t="shared" si="37"/>
        <v>200800_2019_12_</v>
      </c>
      <c r="I87" s="3678" t="s">
        <v>115</v>
      </c>
      <c r="J87" s="3678"/>
      <c r="K87" s="3678"/>
      <c r="L87" s="3678"/>
      <c r="V87" s="3686"/>
      <c r="W87" s="93">
        <v>4.5</v>
      </c>
      <c r="X87" s="1575">
        <v>4.5999999999999996</v>
      </c>
      <c r="Y87" s="1575">
        <v>4</v>
      </c>
      <c r="Z87" s="112">
        <v>4</v>
      </c>
      <c r="AA87" s="112">
        <v>4</v>
      </c>
      <c r="AB87" s="112">
        <v>4</v>
      </c>
      <c r="AC87" s="112">
        <v>4</v>
      </c>
      <c r="AD87" s="112">
        <v>4</v>
      </c>
      <c r="AE87" s="112"/>
      <c r="AF87" s="112"/>
      <c r="AG87" s="112"/>
    </row>
    <row r="88" spans="4:33" ht="43.5" hidden="1" outlineLevel="1" x14ac:dyDescent="0.35">
      <c r="D88" s="3669"/>
      <c r="E88" s="3672"/>
      <c r="F88" s="1645" t="str">
        <f t="shared" si="35"/>
        <v>LED - 8W Globe Light G25 Bulb (Replacing CFL)</v>
      </c>
      <c r="G88" s="93">
        <v>5.2</v>
      </c>
      <c r="H88" s="112" t="str">
        <f t="shared" si="37"/>
        <v>200850_2019_12_</v>
      </c>
      <c r="I88" s="3688" t="s">
        <v>115</v>
      </c>
      <c r="J88" s="3689"/>
      <c r="K88" s="3689"/>
      <c r="L88" s="3690"/>
      <c r="V88" s="3686"/>
      <c r="W88" s="93">
        <v>5.9</v>
      </c>
      <c r="X88" s="112">
        <v>5.9</v>
      </c>
      <c r="Y88" s="1575">
        <v>5.2</v>
      </c>
      <c r="Z88" s="112">
        <v>5.2</v>
      </c>
      <c r="AA88" s="112">
        <v>5.2</v>
      </c>
      <c r="AB88" s="112">
        <v>5.2</v>
      </c>
      <c r="AC88" s="112">
        <v>5.2</v>
      </c>
      <c r="AD88" s="112">
        <v>5.2</v>
      </c>
      <c r="AE88" s="112"/>
      <c r="AF88" s="112"/>
      <c r="AG88" s="112"/>
    </row>
    <row r="89" spans="4:33" ht="43.5" hidden="1" outlineLevel="1" x14ac:dyDescent="0.35">
      <c r="D89" s="3669"/>
      <c r="E89" s="3672"/>
      <c r="F89" s="1645" t="str">
        <f t="shared" si="35"/>
        <v>LED - 8W Globe Light G25 Bulb (Replacing Specialty Incandescent)</v>
      </c>
      <c r="G89" s="93">
        <v>5.2</v>
      </c>
      <c r="H89" s="112" t="str">
        <f t="shared" si="37"/>
        <v>200900_2019_12_</v>
      </c>
      <c r="I89" s="3678" t="s">
        <v>115</v>
      </c>
      <c r="J89" s="3678"/>
      <c r="K89" s="3678"/>
      <c r="L89" s="3678"/>
      <c r="V89" s="3686"/>
      <c r="W89" s="93">
        <v>5.9</v>
      </c>
      <c r="X89" s="1575">
        <v>5.8</v>
      </c>
      <c r="Y89" s="1575">
        <v>5.2</v>
      </c>
      <c r="Z89" s="112">
        <v>5.2</v>
      </c>
      <c r="AA89" s="112">
        <v>5.2</v>
      </c>
      <c r="AB89" s="112">
        <v>5.2</v>
      </c>
      <c r="AC89" s="112">
        <v>5.2</v>
      </c>
      <c r="AD89" s="112">
        <v>5.2</v>
      </c>
      <c r="AE89" s="112"/>
      <c r="AF89" s="112"/>
      <c r="AG89" s="112"/>
    </row>
    <row r="90" spans="4:33" ht="15" hidden="1" customHeight="1" outlineLevel="1" x14ac:dyDescent="0.35">
      <c r="D90" s="3669"/>
      <c r="E90" s="3672"/>
      <c r="F90" s="1645" t="str">
        <f t="shared" si="35"/>
        <v>LED - 10W (Halogen baseline) (750-1049 lumens) - Specialty Connected Light</v>
      </c>
      <c r="G90" s="93">
        <v>8.4</v>
      </c>
      <c r="H90" s="112" t="str">
        <f t="shared" si="37"/>
        <v>200950_2019_12_</v>
      </c>
      <c r="I90" s="3678" t="s">
        <v>115</v>
      </c>
      <c r="J90" s="3678"/>
      <c r="K90" s="3678"/>
      <c r="L90" s="3678"/>
      <c r="V90" s="3686"/>
      <c r="W90" s="93">
        <f>W73</f>
        <v>9.1</v>
      </c>
      <c r="X90" s="1575">
        <f>X73</f>
        <v>9</v>
      </c>
      <c r="Y90" s="1575">
        <v>8.4</v>
      </c>
      <c r="Z90" s="112">
        <v>8.4</v>
      </c>
      <c r="AA90" s="112">
        <v>8.4</v>
      </c>
      <c r="AB90" s="112">
        <v>8.4</v>
      </c>
      <c r="AC90" s="112">
        <v>8.4</v>
      </c>
      <c r="AD90" s="112">
        <v>8.4</v>
      </c>
      <c r="AE90" s="112"/>
      <c r="AF90" s="112"/>
      <c r="AG90" s="112"/>
    </row>
    <row r="91" spans="4:33" ht="15" hidden="1" customHeight="1" outlineLevel="1" x14ac:dyDescent="0.35">
      <c r="D91" s="3669"/>
      <c r="E91" s="3672"/>
      <c r="F91" s="1645" t="str">
        <f t="shared" si="35"/>
        <v>LED - 15W (Halogen baseline) (1050-1489 lumens) - Specialty Connected Light</v>
      </c>
      <c r="G91" s="93">
        <v>12.1</v>
      </c>
      <c r="H91" s="112" t="str">
        <f t="shared" si="37"/>
        <v>201000_2019_12_</v>
      </c>
      <c r="I91" s="3678" t="s">
        <v>115</v>
      </c>
      <c r="J91" s="3678"/>
      <c r="K91" s="3678"/>
      <c r="L91" s="3678"/>
      <c r="V91" s="3686"/>
      <c r="W91" s="93">
        <f>W76</f>
        <v>10.6</v>
      </c>
      <c r="X91" s="1575">
        <f>X76</f>
        <v>11.6</v>
      </c>
      <c r="Y91" s="1575">
        <v>12.1</v>
      </c>
      <c r="Z91" s="112">
        <v>12.1</v>
      </c>
      <c r="AA91" s="112">
        <v>12.1</v>
      </c>
      <c r="AB91" s="112">
        <v>12.1</v>
      </c>
      <c r="AC91" s="112">
        <v>12.1</v>
      </c>
      <c r="AD91" s="112">
        <v>12.1</v>
      </c>
      <c r="AE91" s="112"/>
      <c r="AF91" s="112"/>
      <c r="AG91" s="112"/>
    </row>
    <row r="92" spans="4:33" ht="15" hidden="1" customHeight="1" outlineLevel="1" x14ac:dyDescent="0.35">
      <c r="D92" s="3669"/>
      <c r="E92" s="3672"/>
      <c r="F92" s="1645" t="str">
        <f t="shared" si="35"/>
        <v>LED - 15W Flood Light PAR30 Bulb (Halogen baseline) - Specialty Connected Light</v>
      </c>
      <c r="G92" s="93">
        <v>12.1</v>
      </c>
      <c r="H92" s="112" t="str">
        <f t="shared" si="37"/>
        <v>201050_2019_12_</v>
      </c>
      <c r="I92" s="3678" t="s">
        <v>115</v>
      </c>
      <c r="J92" s="3678"/>
      <c r="K92" s="3678"/>
      <c r="L92" s="3678"/>
      <c r="V92" s="3686"/>
      <c r="W92" s="93">
        <f>W81</f>
        <v>11.2</v>
      </c>
      <c r="X92" s="1575">
        <f>X81</f>
        <v>10.6</v>
      </c>
      <c r="Y92" s="1575">
        <v>12.1</v>
      </c>
      <c r="Z92" s="112">
        <v>12.1</v>
      </c>
      <c r="AA92" s="112">
        <v>12.1</v>
      </c>
      <c r="AB92" s="112">
        <v>12.1</v>
      </c>
      <c r="AC92" s="112">
        <v>12.1</v>
      </c>
      <c r="AD92" s="112">
        <v>12.1</v>
      </c>
      <c r="AE92" s="112"/>
      <c r="AF92" s="112"/>
      <c r="AG92" s="112"/>
    </row>
    <row r="93" spans="4:33" ht="15" hidden="1" customHeight="1" outlineLevel="1" x14ac:dyDescent="0.35">
      <c r="D93" s="3669"/>
      <c r="E93" s="3672"/>
      <c r="F93" s="2629" t="str">
        <f t="shared" ref="F93:F95" si="38">E30</f>
        <v>LED - 6W (CFL baseline) (310-749 lumens)</v>
      </c>
      <c r="G93" s="2148">
        <v>6</v>
      </c>
      <c r="H93" s="2063" t="str">
        <f t="shared" si="37"/>
        <v>201099_2021_12_</v>
      </c>
      <c r="I93" s="3691" t="s">
        <v>131</v>
      </c>
      <c r="J93" s="3692"/>
      <c r="K93" s="3692"/>
      <c r="L93" s="3693"/>
      <c r="V93" s="3686"/>
      <c r="W93" s="2148"/>
      <c r="X93" s="2149"/>
      <c r="Y93" s="2149"/>
      <c r="Z93" s="2063"/>
      <c r="AA93" s="2063"/>
      <c r="AB93" s="2063"/>
      <c r="AC93" s="2149">
        <v>6</v>
      </c>
      <c r="AD93" s="2063">
        <v>6</v>
      </c>
      <c r="AE93" s="2063"/>
      <c r="AF93" s="2063"/>
      <c r="AG93" s="2063"/>
    </row>
    <row r="94" spans="4:33" ht="15" hidden="1" customHeight="1" outlineLevel="1" x14ac:dyDescent="0.35">
      <c r="D94" s="3669"/>
      <c r="E94" s="3672"/>
      <c r="F94" s="2330" t="str">
        <f t="shared" si="38"/>
        <v>LED - 6W (Halogen baseline) (310-749 lumens)</v>
      </c>
      <c r="G94" s="112">
        <v>6</v>
      </c>
      <c r="H94" s="112" t="str">
        <f t="shared" si="37"/>
        <v>201100_2019_12_</v>
      </c>
      <c r="I94" s="3691" t="s">
        <v>131</v>
      </c>
      <c r="J94" s="3692"/>
      <c r="K94" s="3692"/>
      <c r="L94" s="3693"/>
      <c r="V94" s="3686"/>
      <c r="W94" s="93"/>
      <c r="X94" s="112"/>
      <c r="Y94" s="1575">
        <v>6</v>
      </c>
      <c r="Z94" s="112">
        <v>6</v>
      </c>
      <c r="AA94" s="112">
        <v>6</v>
      </c>
      <c r="AB94" s="112">
        <v>6</v>
      </c>
      <c r="AC94" s="112">
        <v>6</v>
      </c>
      <c r="AD94" s="112">
        <v>6</v>
      </c>
      <c r="AE94" s="112"/>
      <c r="AF94" s="112"/>
      <c r="AG94" s="112"/>
    </row>
    <row r="95" spans="4:33" ht="15" hidden="1" outlineLevel="1" thickBot="1" x14ac:dyDescent="0.4">
      <c r="D95" s="3670"/>
      <c r="E95" s="3673"/>
      <c r="F95" s="2547" t="str">
        <f t="shared" si="38"/>
        <v>LED Nightlights</v>
      </c>
      <c r="G95" s="2150">
        <v>0.3</v>
      </c>
      <c r="H95" s="2065" t="str">
        <f t="shared" si="37"/>
        <v>201130_2021_12_</v>
      </c>
      <c r="I95" s="3691" t="s">
        <v>131</v>
      </c>
      <c r="J95" s="3692"/>
      <c r="K95" s="3692"/>
      <c r="L95" s="3693"/>
      <c r="V95" s="3687"/>
      <c r="W95" s="2173"/>
      <c r="X95" s="2152"/>
      <c r="Y95" s="2174"/>
      <c r="Z95" s="2152"/>
      <c r="AA95" s="2152"/>
      <c r="AB95" s="2152"/>
      <c r="AC95" s="2174">
        <v>0.3</v>
      </c>
      <c r="AD95" s="2152">
        <v>0.3</v>
      </c>
      <c r="AE95" s="2152"/>
      <c r="AF95" s="2152"/>
      <c r="AG95" s="2152"/>
    </row>
    <row r="96" spans="4:33" ht="14.5" hidden="1" customHeight="1" outlineLevel="1" x14ac:dyDescent="0.35">
      <c r="D96" s="3668" t="s">
        <v>132</v>
      </c>
      <c r="E96" s="3715" t="s">
        <v>133</v>
      </c>
      <c r="F96" s="1697" t="s">
        <v>134</v>
      </c>
      <c r="G96" s="1619">
        <f>SUMPRODUCT(G97:G102,M97:M102)/SUM(M97:M102)</f>
        <v>0.8861492875353153</v>
      </c>
      <c r="H96" s="1619"/>
      <c r="I96" s="3703" t="s">
        <v>135</v>
      </c>
      <c r="J96" s="3704"/>
      <c r="K96" s="3704"/>
      <c r="L96" s="3705"/>
      <c r="M96" s="1316" t="s">
        <v>136</v>
      </c>
      <c r="V96" s="3712" t="s">
        <v>132</v>
      </c>
      <c r="W96" s="2175">
        <v>0.95118909047730049</v>
      </c>
      <c r="X96" s="2176">
        <v>0.91918787238999333</v>
      </c>
      <c r="Y96" s="2177">
        <v>0.91918787238999333</v>
      </c>
      <c r="Z96" s="2177">
        <v>0.91918787238999333</v>
      </c>
      <c r="AA96" s="2177">
        <v>0.91918787238999333</v>
      </c>
      <c r="AB96" s="2176">
        <v>0.8861492875353153</v>
      </c>
      <c r="AC96" s="2177">
        <v>0.8861492875353153</v>
      </c>
      <c r="AD96" s="2177">
        <v>0.8861492875353153</v>
      </c>
      <c r="AE96" s="119"/>
      <c r="AF96" s="119"/>
      <c r="AG96" s="119"/>
    </row>
    <row r="97" spans="4:33" ht="29" hidden="1" outlineLevel="1" x14ac:dyDescent="0.35">
      <c r="D97" s="3669"/>
      <c r="E97" s="3716"/>
      <c r="F97" s="1997" t="s">
        <v>137</v>
      </c>
      <c r="G97" s="1998">
        <v>0.8</v>
      </c>
      <c r="H97" s="119"/>
      <c r="I97" s="3706"/>
      <c r="J97" s="3707"/>
      <c r="K97" s="3707"/>
      <c r="L97" s="3708"/>
      <c r="M97" s="1999">
        <v>7728</v>
      </c>
      <c r="V97" s="3713"/>
      <c r="W97" s="2175"/>
      <c r="X97" s="2176"/>
      <c r="Y97" s="2177"/>
      <c r="Z97" s="2177"/>
      <c r="AA97" s="2177"/>
      <c r="AB97" s="2176">
        <v>0.8</v>
      </c>
      <c r="AC97" s="2177">
        <v>0.8</v>
      </c>
      <c r="AD97" s="2177">
        <v>0.8</v>
      </c>
      <c r="AE97" s="119"/>
      <c r="AF97" s="119"/>
      <c r="AG97" s="119"/>
    </row>
    <row r="98" spans="4:33" ht="29" hidden="1" outlineLevel="1" x14ac:dyDescent="0.35">
      <c r="D98" s="3669"/>
      <c r="E98" s="3716"/>
      <c r="F98" s="1997" t="s">
        <v>138</v>
      </c>
      <c r="G98" s="1998">
        <v>0.8</v>
      </c>
      <c r="H98" s="119"/>
      <c r="I98" s="3706"/>
      <c r="J98" s="3707"/>
      <c r="K98" s="3707"/>
      <c r="L98" s="3708"/>
      <c r="M98" s="1999">
        <v>2026</v>
      </c>
      <c r="V98" s="3713"/>
      <c r="W98" s="2175"/>
      <c r="X98" s="2176"/>
      <c r="Y98" s="2177"/>
      <c r="Z98" s="2177"/>
      <c r="AA98" s="2177"/>
      <c r="AB98" s="2176">
        <v>0.8</v>
      </c>
      <c r="AC98" s="2177">
        <v>0.8</v>
      </c>
      <c r="AD98" s="2177">
        <v>0.8</v>
      </c>
      <c r="AE98" s="119"/>
      <c r="AF98" s="119"/>
      <c r="AG98" s="119"/>
    </row>
    <row r="99" spans="4:33" ht="29" hidden="1" outlineLevel="1" x14ac:dyDescent="0.35">
      <c r="D99" s="3669"/>
      <c r="E99" s="3716"/>
      <c r="F99" s="1997" t="s">
        <v>139</v>
      </c>
      <c r="G99" s="1998">
        <v>0.84</v>
      </c>
      <c r="H99" s="119"/>
      <c r="I99" s="3706"/>
      <c r="J99" s="3707"/>
      <c r="K99" s="3707"/>
      <c r="L99" s="3708"/>
      <c r="M99" s="1999">
        <v>1002</v>
      </c>
      <c r="V99" s="3713"/>
      <c r="W99" s="2175"/>
      <c r="X99" s="2176"/>
      <c r="Y99" s="2177"/>
      <c r="Z99" s="2177"/>
      <c r="AA99" s="2177"/>
      <c r="AB99" s="2176">
        <v>0.84</v>
      </c>
      <c r="AC99" s="2177">
        <v>0.84</v>
      </c>
      <c r="AD99" s="2177">
        <v>0.84</v>
      </c>
      <c r="AE99" s="119"/>
      <c r="AF99" s="119"/>
      <c r="AG99" s="119"/>
    </row>
    <row r="100" spans="4:33" hidden="1" outlineLevel="1" x14ac:dyDescent="0.35">
      <c r="D100" s="3669"/>
      <c r="E100" s="3716"/>
      <c r="F100" s="1997" t="s">
        <v>140</v>
      </c>
      <c r="G100" s="1998">
        <v>0.88</v>
      </c>
      <c r="H100" s="119"/>
      <c r="I100" s="3706"/>
      <c r="J100" s="3707"/>
      <c r="K100" s="3707"/>
      <c r="L100" s="3708"/>
      <c r="M100" s="1999">
        <v>2152115</v>
      </c>
      <c r="V100" s="3713"/>
      <c r="W100" s="2175"/>
      <c r="X100" s="2176"/>
      <c r="Y100" s="2177"/>
      <c r="Z100" s="2177"/>
      <c r="AA100" s="2177"/>
      <c r="AB100" s="2176">
        <v>0.88</v>
      </c>
      <c r="AC100" s="2177">
        <v>0.88</v>
      </c>
      <c r="AD100" s="2177">
        <v>0.88</v>
      </c>
      <c r="AE100" s="119"/>
      <c r="AF100" s="119"/>
      <c r="AG100" s="119"/>
    </row>
    <row r="101" spans="4:33" hidden="1" outlineLevel="1" x14ac:dyDescent="0.35">
      <c r="D101" s="3669"/>
      <c r="E101" s="3716"/>
      <c r="F101" s="1997" t="s">
        <v>141</v>
      </c>
      <c r="G101" s="1998">
        <v>0.9</v>
      </c>
      <c r="H101" s="119"/>
      <c r="I101" s="3706"/>
      <c r="J101" s="3707"/>
      <c r="K101" s="3707"/>
      <c r="L101" s="3708"/>
      <c r="M101" s="1999">
        <v>353711</v>
      </c>
      <c r="V101" s="3713"/>
      <c r="W101" s="2175"/>
      <c r="X101" s="2176"/>
      <c r="Y101" s="2177"/>
      <c r="Z101" s="2177"/>
      <c r="AA101" s="2177"/>
      <c r="AB101" s="2176">
        <v>0.9</v>
      </c>
      <c r="AC101" s="2177">
        <v>0.9</v>
      </c>
      <c r="AD101" s="2177">
        <v>0.9</v>
      </c>
      <c r="AE101" s="119"/>
      <c r="AF101" s="119"/>
      <c r="AG101" s="119"/>
    </row>
    <row r="102" spans="4:33" ht="15" hidden="1" outlineLevel="1" thickBot="1" x14ac:dyDescent="0.4">
      <c r="D102" s="3670"/>
      <c r="E102" s="3717"/>
      <c r="F102" s="1698" t="s">
        <v>142</v>
      </c>
      <c r="G102" s="2000">
        <v>0.93</v>
      </c>
      <c r="H102" s="1631"/>
      <c r="I102" s="3709"/>
      <c r="J102" s="3710"/>
      <c r="K102" s="3710"/>
      <c r="L102" s="3711"/>
      <c r="M102" s="1999">
        <v>210290</v>
      </c>
      <c r="V102" s="3714"/>
      <c r="W102" s="2178"/>
      <c r="X102" s="2179"/>
      <c r="Y102" s="2180"/>
      <c r="Z102" s="2180"/>
      <c r="AA102" s="2180"/>
      <c r="AB102" s="2179">
        <v>0.93</v>
      </c>
      <c r="AC102" s="2180">
        <v>0.93</v>
      </c>
      <c r="AD102" s="2180">
        <v>0.93</v>
      </c>
      <c r="AE102" s="1631"/>
      <c r="AF102" s="1631"/>
      <c r="AG102" s="1631"/>
    </row>
    <row r="103" spans="4:33" ht="15" hidden="1" customHeight="1" outlineLevel="1" x14ac:dyDescent="0.35">
      <c r="D103" s="3668" t="s">
        <v>143</v>
      </c>
      <c r="E103" s="3715" t="s">
        <v>144</v>
      </c>
      <c r="F103" s="1697" t="s">
        <v>134</v>
      </c>
      <c r="G103" s="1619">
        <f>(G104*SUM(M97:M99)+G105*SUM(M100:M102))/SUM(M97:M102)</f>
        <v>3.9842222150507978E-2</v>
      </c>
      <c r="H103" s="1619"/>
      <c r="I103" s="3703" t="s">
        <v>135</v>
      </c>
      <c r="J103" s="3704"/>
      <c r="K103" s="3704"/>
      <c r="L103" s="3705"/>
      <c r="V103" s="3713" t="s">
        <v>143</v>
      </c>
      <c r="W103" s="2175">
        <v>1.6525893496695268E-2</v>
      </c>
      <c r="X103" s="2176">
        <v>2.1860522990637464E-3</v>
      </c>
      <c r="Y103" s="2177">
        <v>2.1860522990637464E-3</v>
      </c>
      <c r="Z103" s="2177">
        <v>2.1860522990637464E-3</v>
      </c>
      <c r="AA103" s="2177">
        <v>2.1860522990637464E-3</v>
      </c>
      <c r="AB103" s="2176">
        <v>3.9842222150507978E-2</v>
      </c>
      <c r="AC103" s="2181">
        <v>3.9842222150507978E-2</v>
      </c>
      <c r="AD103" s="2177">
        <v>3.9842222150507978E-2</v>
      </c>
      <c r="AE103" s="1629"/>
      <c r="AF103" s="1629"/>
      <c r="AG103" s="1629"/>
    </row>
    <row r="104" spans="4:33" ht="15" hidden="1" customHeight="1" outlineLevel="1" x14ac:dyDescent="0.35">
      <c r="D104" s="3669"/>
      <c r="E104" s="3716"/>
      <c r="F104" s="1997" t="s">
        <v>145</v>
      </c>
      <c r="G104" s="1998">
        <v>0</v>
      </c>
      <c r="H104" s="119"/>
      <c r="I104" s="3706"/>
      <c r="J104" s="3707"/>
      <c r="K104" s="3707"/>
      <c r="L104" s="3708"/>
      <c r="V104" s="3713"/>
      <c r="W104" s="2182"/>
      <c r="X104" s="2183"/>
      <c r="Y104" s="2184"/>
      <c r="Z104" s="2184"/>
      <c r="AA104" s="2184"/>
      <c r="AB104" s="2183">
        <v>0</v>
      </c>
      <c r="AC104" s="2185">
        <v>0</v>
      </c>
      <c r="AD104" s="2184">
        <v>0</v>
      </c>
      <c r="AE104" s="120"/>
      <c r="AF104" s="120"/>
      <c r="AG104" s="120"/>
    </row>
    <row r="105" spans="4:33" ht="15" hidden="1" customHeight="1" outlineLevel="1" thickBot="1" x14ac:dyDescent="0.4">
      <c r="D105" s="3670"/>
      <c r="E105" s="3717"/>
      <c r="F105" s="1698" t="s">
        <v>146</v>
      </c>
      <c r="G105" s="2000">
        <v>0.04</v>
      </c>
      <c r="H105" s="1631"/>
      <c r="I105" s="3709"/>
      <c r="J105" s="3710"/>
      <c r="K105" s="3710"/>
      <c r="L105" s="3711"/>
      <c r="V105" s="3718"/>
      <c r="W105" s="2182"/>
      <c r="X105" s="2183"/>
      <c r="Y105" s="2184"/>
      <c r="Z105" s="2184"/>
      <c r="AA105" s="2184"/>
      <c r="AB105" s="2183">
        <v>0.04</v>
      </c>
      <c r="AC105" s="2185">
        <v>0.04</v>
      </c>
      <c r="AD105" s="2184">
        <v>0.04</v>
      </c>
      <c r="AE105" s="120"/>
      <c r="AF105" s="120"/>
      <c r="AG105" s="120"/>
    </row>
    <row r="106" spans="4:33" ht="15" hidden="1" customHeight="1" outlineLevel="1" x14ac:dyDescent="0.35">
      <c r="D106" s="3668" t="s">
        <v>147</v>
      </c>
      <c r="E106" s="3671" t="s">
        <v>148</v>
      </c>
      <c r="F106" s="2630" t="s">
        <v>149</v>
      </c>
      <c r="G106" s="2154">
        <f>2.72652*365</f>
        <v>995.17979999999989</v>
      </c>
      <c r="H106" s="2154"/>
      <c r="I106" s="3694" t="s">
        <v>150</v>
      </c>
      <c r="J106" s="3694"/>
      <c r="K106" s="3694"/>
      <c r="L106" s="3694"/>
      <c r="V106" s="3722" t="s">
        <v>147</v>
      </c>
      <c r="W106" s="2158">
        <f>2.73*365</f>
        <v>996.45</v>
      </c>
      <c r="X106" s="2159">
        <f>2.72652*365</f>
        <v>995.17979999999989</v>
      </c>
      <c r="Y106" s="2160">
        <f>2.72652*365</f>
        <v>995.17979999999989</v>
      </c>
      <c r="Z106" s="2160">
        <f t="shared" ref="Z106:AA106" si="39">2.72652*365</f>
        <v>995.17979999999989</v>
      </c>
      <c r="AA106" s="2160">
        <f t="shared" si="39"/>
        <v>995.17979999999989</v>
      </c>
      <c r="AB106" s="2161">
        <v>995.17979999999989</v>
      </c>
      <c r="AC106" s="2161">
        <v>995.17979999999989</v>
      </c>
      <c r="AD106" s="2160">
        <v>995.17979999999989</v>
      </c>
      <c r="AE106" s="2155"/>
      <c r="AF106" s="2155"/>
      <c r="AG106" s="2155"/>
    </row>
    <row r="107" spans="4:33" ht="15" hidden="1" customHeight="1" outlineLevel="1" thickBot="1" x14ac:dyDescent="0.4">
      <c r="D107" s="3670"/>
      <c r="E107" s="3673"/>
      <c r="F107" s="1698" t="s">
        <v>151</v>
      </c>
      <c r="G107" s="1626">
        <v>4380</v>
      </c>
      <c r="H107" s="1626"/>
      <c r="I107" s="3719" t="s">
        <v>127</v>
      </c>
      <c r="J107" s="3720"/>
      <c r="K107" s="3720"/>
      <c r="L107" s="3721"/>
      <c r="V107" s="3714"/>
      <c r="W107" s="2162"/>
      <c r="X107" s="2163"/>
      <c r="Y107" s="2164"/>
      <c r="Z107" s="2164"/>
      <c r="AA107" s="2164"/>
      <c r="AB107" s="2165"/>
      <c r="AC107" s="2163">
        <v>4380</v>
      </c>
      <c r="AD107" s="2164">
        <v>4380</v>
      </c>
      <c r="AE107" s="2153"/>
      <c r="AF107" s="2153"/>
      <c r="AG107" s="2153"/>
    </row>
    <row r="108" spans="4:33" ht="44" hidden="1" outlineLevel="1" thickBot="1" x14ac:dyDescent="0.4">
      <c r="D108" s="1625" t="s">
        <v>152</v>
      </c>
      <c r="E108" s="2366" t="s">
        <v>153</v>
      </c>
      <c r="F108" s="1698" t="s">
        <v>154</v>
      </c>
      <c r="G108" s="1626">
        <v>0.99</v>
      </c>
      <c r="H108" s="1626"/>
      <c r="I108" s="3699" t="s">
        <v>155</v>
      </c>
      <c r="J108" s="3699"/>
      <c r="K108" s="3699"/>
      <c r="L108" s="3699"/>
      <c r="V108" s="1632" t="s">
        <v>152</v>
      </c>
      <c r="W108" s="2162">
        <v>0.99</v>
      </c>
      <c r="X108" s="2166">
        <v>0.99</v>
      </c>
      <c r="Y108" s="2164">
        <v>0.99</v>
      </c>
      <c r="Z108" s="2164">
        <v>0.99</v>
      </c>
      <c r="AA108" s="2164">
        <v>0.99</v>
      </c>
      <c r="AB108" s="2166">
        <v>0.99</v>
      </c>
      <c r="AC108" s="2166">
        <v>0.99</v>
      </c>
      <c r="AD108" s="2164">
        <v>0.99</v>
      </c>
      <c r="AE108" s="1633"/>
      <c r="AF108" s="1633"/>
      <c r="AG108" s="1633"/>
    </row>
    <row r="109" spans="4:33" ht="75" hidden="1" customHeight="1" outlineLevel="1" x14ac:dyDescent="0.35">
      <c r="D109" s="3668" t="s">
        <v>156</v>
      </c>
      <c r="E109" s="3671" t="s">
        <v>157</v>
      </c>
      <c r="F109" s="2630" t="s">
        <v>149</v>
      </c>
      <c r="G109" s="2154">
        <v>3612</v>
      </c>
      <c r="H109" s="2154"/>
      <c r="I109" s="3683" t="s">
        <v>158</v>
      </c>
      <c r="J109" s="3683"/>
      <c r="K109" s="3683"/>
      <c r="L109" s="3683"/>
      <c r="V109" s="3712" t="s">
        <v>156</v>
      </c>
      <c r="W109" s="2167">
        <v>3613</v>
      </c>
      <c r="X109" s="2168">
        <v>3612</v>
      </c>
      <c r="Y109" s="2169">
        <v>3612</v>
      </c>
      <c r="Z109" s="2169">
        <v>3612</v>
      </c>
      <c r="AA109" s="2169">
        <v>3612</v>
      </c>
      <c r="AB109" s="2170">
        <v>3612</v>
      </c>
      <c r="AC109" s="2170">
        <v>3612</v>
      </c>
      <c r="AD109" s="2169">
        <v>3612</v>
      </c>
      <c r="AE109" s="2157"/>
      <c r="AF109" s="2157"/>
      <c r="AG109" s="2157"/>
    </row>
    <row r="110" spans="4:33" ht="15" hidden="1" outlineLevel="1" thickBot="1" x14ac:dyDescent="0.4">
      <c r="D110" s="3670"/>
      <c r="E110" s="3673"/>
      <c r="F110" s="1698" t="s">
        <v>151</v>
      </c>
      <c r="G110" s="1626">
        <v>4380</v>
      </c>
      <c r="H110" s="1626"/>
      <c r="I110" s="3719" t="s">
        <v>127</v>
      </c>
      <c r="J110" s="3720"/>
      <c r="K110" s="3720"/>
      <c r="L110" s="3721"/>
      <c r="V110" s="3714"/>
      <c r="W110" s="2162"/>
      <c r="X110" s="2163"/>
      <c r="Y110" s="2164"/>
      <c r="Z110" s="2164"/>
      <c r="AA110" s="2164"/>
      <c r="AB110" s="2166"/>
      <c r="AC110" s="2163">
        <v>4380</v>
      </c>
      <c r="AD110" s="2164">
        <v>4380</v>
      </c>
      <c r="AE110" s="1633"/>
      <c r="AF110" s="1633"/>
      <c r="AG110" s="1633"/>
    </row>
    <row r="111" spans="4:33" ht="44" hidden="1" outlineLevel="1" thickBot="1" x14ac:dyDescent="0.4">
      <c r="D111" s="1625" t="s">
        <v>159</v>
      </c>
      <c r="E111" s="2366" t="s">
        <v>153</v>
      </c>
      <c r="F111" s="1698" t="s">
        <v>160</v>
      </c>
      <c r="G111" s="1626">
        <v>1.1000000000000001</v>
      </c>
      <c r="H111" s="1626"/>
      <c r="I111" s="3699" t="s">
        <v>161</v>
      </c>
      <c r="J111" s="3699"/>
      <c r="K111" s="3699"/>
      <c r="L111" s="3699"/>
      <c r="V111" s="1632" t="s">
        <v>159</v>
      </c>
      <c r="W111" s="2162">
        <v>1.1000000000000001</v>
      </c>
      <c r="X111" s="2166">
        <v>1.1000000000000001</v>
      </c>
      <c r="Y111" s="2164">
        <v>1.1000000000000001</v>
      </c>
      <c r="Z111" s="2164">
        <v>1.1000000000000001</v>
      </c>
      <c r="AA111" s="2164">
        <v>1.1000000000000001</v>
      </c>
      <c r="AB111" s="2166">
        <v>1.1000000000000001</v>
      </c>
      <c r="AC111" s="2166">
        <v>1.1000000000000001</v>
      </c>
      <c r="AD111" s="2164">
        <v>1.1000000000000001</v>
      </c>
      <c r="AE111" s="1633"/>
      <c r="AF111" s="1633"/>
      <c r="AG111" s="1633"/>
    </row>
    <row r="112" spans="4:33" ht="15" hidden="1" customHeight="1" outlineLevel="1" x14ac:dyDescent="0.35">
      <c r="D112" s="3668" t="s">
        <v>162</v>
      </c>
      <c r="E112" s="3715" t="s">
        <v>163</v>
      </c>
      <c r="F112" s="1697" t="s">
        <v>134</v>
      </c>
      <c r="G112" s="1619">
        <f>(G113*SUM(M97:M99)+G114*SUM(M100:M102))/SUM(M97:M102)</f>
        <v>0.96015777784949197</v>
      </c>
      <c r="H112" s="1624"/>
      <c r="I112" s="3703" t="s">
        <v>164</v>
      </c>
      <c r="J112" s="3704"/>
      <c r="K112" s="3704"/>
      <c r="L112" s="3705"/>
      <c r="V112" s="3713" t="s">
        <v>162</v>
      </c>
      <c r="W112" s="2186">
        <v>1</v>
      </c>
      <c r="X112" s="2187">
        <v>0.99237761136046199</v>
      </c>
      <c r="Y112" s="2188">
        <v>0.99237761136046199</v>
      </c>
      <c r="Z112" s="2188">
        <v>0.99237761136046199</v>
      </c>
      <c r="AA112" s="2188">
        <v>0.99237761136046199</v>
      </c>
      <c r="AB112" s="2187">
        <v>0.96015777784949197</v>
      </c>
      <c r="AC112" s="2188">
        <v>0.96015777784949197</v>
      </c>
      <c r="AD112" s="2188">
        <v>0.96015777784949197</v>
      </c>
      <c r="AE112" s="1620"/>
      <c r="AF112" s="1620"/>
      <c r="AG112" s="1620"/>
    </row>
    <row r="113" spans="4:33" ht="15" hidden="1" customHeight="1" outlineLevel="1" x14ac:dyDescent="0.35">
      <c r="D113" s="3669"/>
      <c r="E113" s="3716"/>
      <c r="F113" s="1699" t="s">
        <v>145</v>
      </c>
      <c r="G113" s="1998">
        <v>1</v>
      </c>
      <c r="H113" s="123"/>
      <c r="I113" s="3706"/>
      <c r="J113" s="3707"/>
      <c r="K113" s="3707"/>
      <c r="L113" s="3708"/>
      <c r="V113" s="3713"/>
      <c r="W113" s="2189"/>
      <c r="X113" s="2190"/>
      <c r="Y113" s="2191"/>
      <c r="Z113" s="2191"/>
      <c r="AA113" s="2191"/>
      <c r="AB113" s="2190">
        <v>1</v>
      </c>
      <c r="AC113" s="2191">
        <v>1</v>
      </c>
      <c r="AD113" s="2191">
        <v>1</v>
      </c>
      <c r="AE113" s="123"/>
      <c r="AF113" s="123"/>
      <c r="AG113" s="123"/>
    </row>
    <row r="114" spans="4:33" ht="15" hidden="1" customHeight="1" outlineLevel="1" thickBot="1" x14ac:dyDescent="0.4">
      <c r="D114" s="3670"/>
      <c r="E114" s="3717"/>
      <c r="F114" s="1700" t="s">
        <v>146</v>
      </c>
      <c r="G114" s="2000">
        <v>0.96</v>
      </c>
      <c r="H114" s="1634"/>
      <c r="I114" s="3709"/>
      <c r="J114" s="3710"/>
      <c r="K114" s="3710"/>
      <c r="L114" s="3711"/>
      <c r="V114" s="3714"/>
      <c r="W114" s="2192"/>
      <c r="X114" s="2193"/>
      <c r="Y114" s="2194"/>
      <c r="Z114" s="2194"/>
      <c r="AA114" s="2194"/>
      <c r="AB114" s="2193">
        <v>0.96</v>
      </c>
      <c r="AC114" s="2194">
        <v>0.96</v>
      </c>
      <c r="AD114" s="2194">
        <v>0.96</v>
      </c>
      <c r="AE114" s="1634"/>
      <c r="AF114" s="1634"/>
      <c r="AG114" s="1634"/>
    </row>
    <row r="115" spans="4:33" ht="93" hidden="1" customHeight="1" outlineLevel="1" x14ac:dyDescent="0.35">
      <c r="D115" s="3723" t="s">
        <v>165</v>
      </c>
      <c r="E115" s="3723" t="s">
        <v>166</v>
      </c>
      <c r="F115" s="2630" t="s">
        <v>149</v>
      </c>
      <c r="G115" s="2432">
        <v>19</v>
      </c>
      <c r="H115" s="1624"/>
      <c r="I115" s="3700" t="s">
        <v>4226</v>
      </c>
      <c r="J115" s="3701"/>
      <c r="K115" s="3701"/>
      <c r="L115" s="3701"/>
      <c r="V115" s="3725" t="s">
        <v>165</v>
      </c>
      <c r="W115" s="2195">
        <v>19</v>
      </c>
      <c r="X115" s="2195">
        <v>19</v>
      </c>
      <c r="Y115" s="2195">
        <v>19</v>
      </c>
      <c r="Z115" s="2196">
        <v>19</v>
      </c>
      <c r="AA115" s="2196">
        <v>19</v>
      </c>
      <c r="AB115" s="2196">
        <v>19</v>
      </c>
      <c r="AC115" s="2196">
        <v>19</v>
      </c>
      <c r="AD115" s="2196">
        <v>19</v>
      </c>
      <c r="AE115" s="2156"/>
      <c r="AF115" s="2156"/>
      <c r="AG115" s="2156"/>
    </row>
    <row r="116" spans="4:33" ht="67.5" hidden="1" customHeight="1" outlineLevel="1" thickBot="1" x14ac:dyDescent="0.4">
      <c r="D116" s="3724"/>
      <c r="E116" s="3724"/>
      <c r="F116" s="1698" t="s">
        <v>151</v>
      </c>
      <c r="G116" s="2431">
        <v>19</v>
      </c>
      <c r="H116" s="1701"/>
      <c r="I116" s="3699" t="s">
        <v>167</v>
      </c>
      <c r="J116" s="3699"/>
      <c r="K116" s="3699"/>
      <c r="L116" s="3699"/>
      <c r="V116" s="3726"/>
      <c r="W116" s="2197"/>
      <c r="X116" s="2197"/>
      <c r="Y116" s="2197"/>
      <c r="Z116" s="2198"/>
      <c r="AA116" s="2198"/>
      <c r="AB116" s="2198"/>
      <c r="AC116" s="2199">
        <v>19</v>
      </c>
      <c r="AD116" s="2198">
        <v>19</v>
      </c>
      <c r="AE116" s="1628"/>
      <c r="AF116" s="1628"/>
      <c r="AG116" s="1628"/>
    </row>
    <row r="117" spans="4:33" ht="87" hidden="1" customHeight="1" outlineLevel="1" thickBot="1" x14ac:dyDescent="0.4">
      <c r="D117" s="1627" t="s">
        <v>168</v>
      </c>
      <c r="E117" s="1627" t="s">
        <v>166</v>
      </c>
      <c r="F117" s="1698" t="s">
        <v>134</v>
      </c>
      <c r="G117" s="2431">
        <v>6</v>
      </c>
      <c r="H117" s="1701"/>
      <c r="I117" s="3702" t="s">
        <v>4227</v>
      </c>
      <c r="J117" s="3702"/>
      <c r="K117" s="3702"/>
      <c r="L117" s="3702"/>
      <c r="V117" s="1627" t="s">
        <v>168</v>
      </c>
      <c r="W117" s="2197">
        <v>6</v>
      </c>
      <c r="X117" s="2197">
        <v>6</v>
      </c>
      <c r="Y117" s="2197">
        <v>6</v>
      </c>
      <c r="Z117" s="2198">
        <v>6</v>
      </c>
      <c r="AA117" s="2198">
        <v>6</v>
      </c>
      <c r="AB117" s="2198">
        <v>6</v>
      </c>
      <c r="AC117" s="2198">
        <v>6</v>
      </c>
      <c r="AD117" s="2198">
        <v>6</v>
      </c>
      <c r="AE117" s="1628"/>
      <c r="AF117" s="1628"/>
      <c r="AG117" s="1628"/>
    </row>
    <row r="118" spans="4:33" ht="37.5" hidden="1" customHeight="1" outlineLevel="1" x14ac:dyDescent="0.35">
      <c r="D118" s="2350" t="s">
        <v>169</v>
      </c>
      <c r="E118" s="1621" t="s">
        <v>170</v>
      </c>
      <c r="F118" s="1622" t="s">
        <v>134</v>
      </c>
      <c r="G118" s="1994">
        <v>9.9999999999999995E-7</v>
      </c>
      <c r="H118" s="1623"/>
      <c r="I118" s="3698" t="s">
        <v>171</v>
      </c>
      <c r="J118" s="3698"/>
      <c r="K118" s="3698"/>
      <c r="L118" s="3698"/>
      <c r="V118" s="2350" t="s">
        <v>169</v>
      </c>
      <c r="W118" s="2171">
        <v>9.9999999999999995E-7</v>
      </c>
      <c r="X118" s="2171">
        <v>9.9999999999999995E-7</v>
      </c>
      <c r="Y118" s="2171">
        <v>9.9999999999999995E-7</v>
      </c>
      <c r="Z118" s="2172">
        <v>9.9999999999999995E-7</v>
      </c>
      <c r="AA118" s="2172">
        <v>9.9999999999999995E-7</v>
      </c>
      <c r="AB118" s="2172">
        <v>9.9999999999999995E-7</v>
      </c>
      <c r="AC118" s="2172">
        <v>9.9999999999999995E-7</v>
      </c>
      <c r="AD118" s="2172">
        <v>9.9999999999999995E-7</v>
      </c>
      <c r="AE118" s="1630"/>
      <c r="AF118" s="1630"/>
      <c r="AG118" s="1630"/>
    </row>
    <row r="119" spans="4:33" hidden="1" outlineLevel="1" x14ac:dyDescent="0.35"/>
    <row r="120" spans="4:33" collapsed="1" x14ac:dyDescent="0.35"/>
  </sheetData>
  <mergeCells count="96">
    <mergeCell ref="E106:E107"/>
    <mergeCell ref="D106:D107"/>
    <mergeCell ref="I107:L107"/>
    <mergeCell ref="V106:V107"/>
    <mergeCell ref="E115:E116"/>
    <mergeCell ref="D115:D116"/>
    <mergeCell ref="I116:L116"/>
    <mergeCell ref="V115:V116"/>
    <mergeCell ref="E109:E110"/>
    <mergeCell ref="D109:D110"/>
    <mergeCell ref="I110:L110"/>
    <mergeCell ref="V109:V110"/>
    <mergeCell ref="E112:E114"/>
    <mergeCell ref="D112:D114"/>
    <mergeCell ref="I112:L114"/>
    <mergeCell ref="V112:V114"/>
    <mergeCell ref="D96:D102"/>
    <mergeCell ref="I96:L102"/>
    <mergeCell ref="V96:V102"/>
    <mergeCell ref="D103:D105"/>
    <mergeCell ref="E103:E105"/>
    <mergeCell ref="I103:L105"/>
    <mergeCell ref="V103:V105"/>
    <mergeCell ref="E96:E102"/>
    <mergeCell ref="V70:V95"/>
    <mergeCell ref="I78:L78"/>
    <mergeCell ref="I79:L79"/>
    <mergeCell ref="I84:L84"/>
    <mergeCell ref="I85:L85"/>
    <mergeCell ref="I86:L86"/>
    <mergeCell ref="I87:L87"/>
    <mergeCell ref="I88:L88"/>
    <mergeCell ref="I89:L89"/>
    <mergeCell ref="I118:L118"/>
    <mergeCell ref="I108:L108"/>
    <mergeCell ref="I109:L109"/>
    <mergeCell ref="I111:L111"/>
    <mergeCell ref="I115:L115"/>
    <mergeCell ref="I117:L117"/>
    <mergeCell ref="I106:L106"/>
    <mergeCell ref="D70:D95"/>
    <mergeCell ref="I93:L93"/>
    <mergeCell ref="I95:L95"/>
    <mergeCell ref="I71:L71"/>
    <mergeCell ref="I72:L72"/>
    <mergeCell ref="I73:L73"/>
    <mergeCell ref="I74:L74"/>
    <mergeCell ref="I75:L75"/>
    <mergeCell ref="I76:L76"/>
    <mergeCell ref="I77:L77"/>
    <mergeCell ref="I80:L80"/>
    <mergeCell ref="I81:L81"/>
    <mergeCell ref="I70:L70"/>
    <mergeCell ref="I82:L82"/>
    <mergeCell ref="I83:L83"/>
    <mergeCell ref="E70:E95"/>
    <mergeCell ref="I66:L66"/>
    <mergeCell ref="I56:L56"/>
    <mergeCell ref="I57:L57"/>
    <mergeCell ref="I58:L58"/>
    <mergeCell ref="I59:L59"/>
    <mergeCell ref="I60:L60"/>
    <mergeCell ref="I68:L68"/>
    <mergeCell ref="I61:L61"/>
    <mergeCell ref="I90:L90"/>
    <mergeCell ref="I91:L91"/>
    <mergeCell ref="I92:L92"/>
    <mergeCell ref="I94:L94"/>
    <mergeCell ref="V4:AI4"/>
    <mergeCell ref="I43:L43"/>
    <mergeCell ref="I44:L44"/>
    <mergeCell ref="I45:L45"/>
    <mergeCell ref="I46:L46"/>
    <mergeCell ref="H35:S35"/>
    <mergeCell ref="V44:V69"/>
    <mergeCell ref="I62:L62"/>
    <mergeCell ref="I64:L64"/>
    <mergeCell ref="I65:L65"/>
    <mergeCell ref="I52:L52"/>
    <mergeCell ref="I53:L53"/>
    <mergeCell ref="A1:P1"/>
    <mergeCell ref="Q1:S1"/>
    <mergeCell ref="D2:J2"/>
    <mergeCell ref="B4:S4"/>
    <mergeCell ref="D44:D69"/>
    <mergeCell ref="E44:E69"/>
    <mergeCell ref="I67:L67"/>
    <mergeCell ref="I69:L69"/>
    <mergeCell ref="I47:L47"/>
    <mergeCell ref="I48:L48"/>
    <mergeCell ref="I49:L49"/>
    <mergeCell ref="I63:L63"/>
    <mergeCell ref="I50:L50"/>
    <mergeCell ref="I51:L51"/>
    <mergeCell ref="I54:L54"/>
    <mergeCell ref="I55:L55"/>
  </mergeCells>
  <conditionalFormatting sqref="AH7:AH30">
    <cfRule type="cellIs" dxfId="398" priority="5" operator="lessThan">
      <formula>-0.1</formula>
    </cfRule>
    <cfRule type="cellIs" dxfId="397" priority="6" operator="greaterThan">
      <formula>0.1</formula>
    </cfRule>
  </conditionalFormatting>
  <conditionalFormatting sqref="B1:B30 B33:B1048576">
    <cfRule type="containsText" dxfId="396" priority="4" operator="containsText" text="x">
      <formula>NOT(ISERROR(SEARCH("x",B1)))</formula>
    </cfRule>
  </conditionalFormatting>
  <conditionalFormatting sqref="AH31:AH32">
    <cfRule type="cellIs" dxfId="395" priority="2" operator="lessThan">
      <formula>-0.1</formula>
    </cfRule>
    <cfRule type="cellIs" dxfId="394" priority="3" operator="greaterThan">
      <formula>0.1</formula>
    </cfRule>
  </conditionalFormatting>
  <conditionalFormatting sqref="B31:B32">
    <cfRule type="containsText" dxfId="393" priority="1" operator="containsText" text="x">
      <formula>NOT(ISERROR(SEARCH("x",B31)))</formula>
    </cfRule>
  </conditionalFormatting>
  <hyperlinks>
    <hyperlink ref="I78" r:id="rId1" display="https://amerenmissouristore.com/led-11-watt-flood-br30-65w-eqv/" xr:uid="{00000000-0004-0000-0200-000000000000}"/>
    <hyperlink ref="I79" r:id="rId2" display="https://amerenmissouristore.com/led-11-watt-flood-br30-65w-eqv/" xr:uid="{00000000-0004-0000-0200-000001000000}"/>
  </hyperlinks>
  <pageMargins left="0.7" right="0.7" top="0.75" bottom="0.75" header="0.3" footer="0.3"/>
  <pageSetup scale="10" fitToHeight="0" orientation="portrait" r:id="rId3"/>
  <drawing r:id="rId4"/>
  <legacyDrawing r:id="rId5"/>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BE367"/>
  <sheetViews>
    <sheetView zoomScale="70" zoomScaleNormal="70" workbookViewId="0">
      <selection sqref="A1:P1"/>
    </sheetView>
  </sheetViews>
  <sheetFormatPr defaultColWidth="9.1796875" defaultRowHeight="14.5" outlineLevelRow="1" x14ac:dyDescent="0.35"/>
  <cols>
    <col min="1" max="1" width="4.453125" style="132" customWidth="1"/>
    <col min="2" max="2" width="9.1796875" style="132"/>
    <col min="3" max="3" width="24.26953125" style="130" customWidth="1"/>
    <col min="4" max="4" width="39.26953125" style="131" customWidth="1"/>
    <col min="5" max="5" width="67.453125" style="131" customWidth="1"/>
    <col min="6" max="6" width="22.26953125" style="132" customWidth="1"/>
    <col min="7" max="7" width="22" style="132" customWidth="1"/>
    <col min="8" max="8" width="18" style="132" customWidth="1"/>
    <col min="9" max="9" width="17.26953125" style="132" customWidth="1"/>
    <col min="10" max="10" width="11.7265625" style="132" customWidth="1"/>
    <col min="11" max="12" width="14.54296875" style="132" customWidth="1"/>
    <col min="13" max="13" width="12.26953125" style="132" bestFit="1" customWidth="1"/>
    <col min="14" max="14" width="10.54296875" style="132" customWidth="1"/>
    <col min="15" max="15" width="14.81640625" style="132" customWidth="1"/>
    <col min="16" max="16" width="14.1796875" style="132" customWidth="1"/>
    <col min="17" max="17" width="21.1796875" style="132" customWidth="1"/>
    <col min="18" max="21" width="9.1796875" style="132" customWidth="1"/>
    <col min="22" max="22" width="26.54296875" style="31" customWidth="1"/>
    <col min="23" max="23" width="13.81640625" style="31" customWidth="1"/>
    <col min="24" max="24" width="18.453125" style="31" customWidth="1"/>
    <col min="25" max="25" width="16.81640625" style="31" customWidth="1"/>
    <col min="26" max="26" width="19.1796875" style="31" bestFit="1" customWidth="1"/>
    <col min="27" max="27" width="13.81640625" style="31" customWidth="1"/>
    <col min="28" max="28" width="18.54296875" style="31" bestFit="1" customWidth="1"/>
    <col min="29" max="29" width="17.7265625" style="31" customWidth="1"/>
    <col min="30" max="33" width="13.81640625" style="31" customWidth="1"/>
    <col min="34" max="34" width="9.1796875" style="31" customWidth="1"/>
    <col min="35" max="35" width="15.54296875" style="31" customWidth="1"/>
    <col min="36" max="37" width="20" style="31" bestFit="1" customWidth="1"/>
    <col min="38" max="39" width="15.54296875" style="31" customWidth="1"/>
    <col min="40" max="40" width="16.81640625" style="31" bestFit="1" customWidth="1"/>
    <col min="41" max="41" width="17.1796875" style="31" bestFit="1" customWidth="1"/>
    <col min="42" max="45" width="15.54296875" style="31" customWidth="1"/>
    <col min="46" max="52" width="9.1796875" style="31" customWidth="1"/>
    <col min="53" max="53" width="18.26953125" style="31" customWidth="1"/>
    <col min="54" max="54" width="12" style="134" bestFit="1" customWidth="1"/>
    <col min="55" max="55" width="39.26953125" style="31" customWidth="1"/>
    <col min="56" max="56" width="10.26953125" style="31" bestFit="1" customWidth="1"/>
    <col min="57" max="57" width="17.54296875" style="31" bestFit="1" customWidth="1"/>
    <col min="58" max="16384" width="9.1796875" style="31"/>
  </cols>
  <sheetData>
    <row r="1" spans="1:57" s="21" customFormat="1" ht="18.5" x14ac:dyDescent="0.45">
      <c r="A1" s="3657" t="s">
        <v>172</v>
      </c>
      <c r="B1" s="3658"/>
      <c r="C1" s="3658"/>
      <c r="D1" s="3658"/>
      <c r="E1" s="3658"/>
      <c r="F1" s="3658"/>
      <c r="G1" s="3658"/>
      <c r="H1" s="3658"/>
      <c r="I1" s="3658"/>
      <c r="J1" s="3658"/>
      <c r="K1" s="3658"/>
      <c r="L1" s="3658"/>
      <c r="M1" s="3658"/>
      <c r="N1" s="3658"/>
      <c r="O1" s="3658"/>
      <c r="P1" s="3658"/>
      <c r="Q1" s="3437"/>
      <c r="R1" s="725"/>
      <c r="S1" s="725"/>
      <c r="T1" s="725"/>
      <c r="U1" s="725"/>
      <c r="V1" s="26"/>
      <c r="W1" s="27"/>
      <c r="X1" s="27"/>
      <c r="Y1" s="28"/>
      <c r="Z1" s="28"/>
      <c r="AA1" s="28"/>
      <c r="AB1" s="28"/>
      <c r="AC1" s="28"/>
      <c r="AD1" s="28"/>
      <c r="AE1" s="28"/>
      <c r="AF1" s="28"/>
      <c r="AG1" s="28"/>
      <c r="AH1" s="28"/>
      <c r="BB1" s="125"/>
    </row>
    <row r="2" spans="1:57" s="21" customFormat="1" ht="30" hidden="1" customHeight="1" outlineLevel="1" x14ac:dyDescent="0.5">
      <c r="A2" s="725"/>
      <c r="B2" s="1081"/>
      <c r="C2" s="126"/>
      <c r="D2" s="3768" t="s">
        <v>4577</v>
      </c>
      <c r="E2" s="3769"/>
      <c r="F2" s="3770"/>
      <c r="G2" s="3770"/>
      <c r="H2" s="3770"/>
      <c r="I2" s="3770"/>
      <c r="J2" s="3770"/>
      <c r="K2" s="724"/>
      <c r="L2" s="724"/>
      <c r="M2" s="725"/>
      <c r="N2" s="725"/>
      <c r="O2" s="725"/>
      <c r="P2" s="725"/>
      <c r="Q2" s="725"/>
      <c r="R2" s="725"/>
      <c r="S2" s="725"/>
      <c r="T2" s="725"/>
      <c r="U2" s="725"/>
      <c r="V2" s="42"/>
      <c r="W2" s="42"/>
      <c r="X2" s="42"/>
      <c r="Y2" s="42"/>
      <c r="Z2" s="42"/>
      <c r="AA2" s="42"/>
      <c r="AB2" s="42"/>
      <c r="AC2" s="42"/>
      <c r="AD2" s="42"/>
      <c r="AE2" s="42"/>
      <c r="AF2" s="42"/>
      <c r="AG2" s="42"/>
      <c r="AH2" s="42"/>
      <c r="AI2" s="42"/>
      <c r="BB2" s="125"/>
    </row>
    <row r="3" spans="1:57" s="21" customFormat="1" ht="33.75" customHeight="1" collapsed="1" x14ac:dyDescent="0.35">
      <c r="A3" s="725"/>
      <c r="B3" s="725"/>
      <c r="C3" s="127"/>
      <c r="D3" s="128"/>
      <c r="E3" s="128"/>
      <c r="F3" s="127"/>
      <c r="G3" s="127"/>
      <c r="H3" s="127"/>
      <c r="I3" s="127"/>
      <c r="J3" s="127"/>
      <c r="K3" s="725"/>
      <c r="L3" s="725"/>
      <c r="M3" s="725"/>
      <c r="N3" s="725"/>
      <c r="O3" s="725"/>
      <c r="P3" s="725"/>
      <c r="Q3" s="725"/>
      <c r="R3" s="725"/>
      <c r="S3" s="725"/>
      <c r="T3" s="725"/>
      <c r="U3" s="725"/>
      <c r="V3" s="42"/>
      <c r="W3" s="42"/>
      <c r="X3" s="42"/>
      <c r="Y3" s="42"/>
      <c r="Z3" s="42"/>
      <c r="AA3" s="42"/>
      <c r="AB3" s="42"/>
      <c r="AC3" s="42"/>
      <c r="AD3" s="42"/>
      <c r="AE3" s="42"/>
      <c r="AF3" s="42"/>
      <c r="AG3" s="42"/>
      <c r="AH3" s="42"/>
      <c r="AI3" s="42"/>
      <c r="BB3" s="125"/>
    </row>
    <row r="4" spans="1:57" s="106" customFormat="1" x14ac:dyDescent="0.35">
      <c r="A4" s="3462"/>
      <c r="B4" s="3664" t="s">
        <v>173</v>
      </c>
      <c r="C4" s="3665"/>
      <c r="D4" s="3665"/>
      <c r="E4" s="3665"/>
      <c r="F4" s="3665"/>
      <c r="G4" s="3665"/>
      <c r="H4" s="3665"/>
      <c r="I4" s="3666"/>
      <c r="J4" s="3666"/>
      <c r="K4" s="3666"/>
      <c r="L4" s="3666"/>
      <c r="M4" s="3666"/>
      <c r="N4" s="3666"/>
      <c r="O4" s="3667"/>
      <c r="P4" s="3462"/>
      <c r="Q4" s="3462"/>
      <c r="R4" s="3462"/>
      <c r="V4" s="3664" t="str">
        <f>B4</f>
        <v>Heat Pump Hot Water Heater</v>
      </c>
      <c r="W4" s="3665"/>
      <c r="X4" s="3665"/>
      <c r="Y4" s="3665"/>
      <c r="Z4" s="3665"/>
      <c r="AA4" s="3665"/>
      <c r="AB4" s="3665"/>
      <c r="AC4" s="3680"/>
      <c r="AD4" s="3680"/>
      <c r="AE4" s="3680"/>
      <c r="AF4" s="3680"/>
      <c r="AG4" s="3680"/>
      <c r="AH4" s="3680"/>
      <c r="AI4" s="3681"/>
      <c r="BB4" s="129"/>
      <c r="BD4" s="21"/>
    </row>
    <row r="5" spans="1:57" x14ac:dyDescent="0.35">
      <c r="BD5" s="21"/>
    </row>
    <row r="6" spans="1:57" s="34" customFormat="1" ht="45.5" x14ac:dyDescent="0.35">
      <c r="A6" s="350"/>
      <c r="B6" s="350"/>
      <c r="C6" s="3438" t="s">
        <v>27</v>
      </c>
      <c r="D6" s="3438" t="s">
        <v>174</v>
      </c>
      <c r="E6" s="3438" t="s">
        <v>29</v>
      </c>
      <c r="F6" s="3438" t="s">
        <v>30</v>
      </c>
      <c r="G6" s="3438" t="s">
        <v>175</v>
      </c>
      <c r="H6" s="3438" t="s">
        <v>176</v>
      </c>
      <c r="I6" s="3438" t="s">
        <v>177</v>
      </c>
      <c r="J6" s="3438" t="s">
        <v>178</v>
      </c>
      <c r="K6" s="3438" t="s">
        <v>179</v>
      </c>
      <c r="L6" s="3438" t="s">
        <v>31</v>
      </c>
      <c r="M6" s="3438" t="s">
        <v>180</v>
      </c>
      <c r="N6" s="3438" t="s">
        <v>169</v>
      </c>
      <c r="O6" s="3438" t="s">
        <v>43</v>
      </c>
      <c r="P6" s="350"/>
      <c r="Q6" s="350"/>
      <c r="R6" s="350"/>
      <c r="S6" s="350"/>
      <c r="T6" s="350"/>
      <c r="U6" s="350"/>
      <c r="V6" s="1572" t="s">
        <v>44</v>
      </c>
      <c r="W6" s="1573">
        <v>43252</v>
      </c>
      <c r="X6" s="1573">
        <v>43465</v>
      </c>
      <c r="Y6" s="1573">
        <v>43800</v>
      </c>
      <c r="Z6" s="1573">
        <v>43862</v>
      </c>
      <c r="AA6" s="1573">
        <v>44013</v>
      </c>
      <c r="AB6" s="1573">
        <v>44166</v>
      </c>
      <c r="AC6" s="1573">
        <v>44531</v>
      </c>
      <c r="AD6" s="1573">
        <v>44774</v>
      </c>
      <c r="AE6" s="1573" t="s">
        <v>45</v>
      </c>
      <c r="AF6" s="1573" t="s">
        <v>45</v>
      </c>
      <c r="AG6" s="1573" t="s">
        <v>45</v>
      </c>
      <c r="BB6" s="1584" t="s">
        <v>46</v>
      </c>
      <c r="BC6" s="38" t="s">
        <v>47</v>
      </c>
      <c r="BD6" s="39" t="s">
        <v>48</v>
      </c>
      <c r="BE6" s="39" t="s">
        <v>49</v>
      </c>
    </row>
    <row r="7" spans="1:57" ht="15.75" customHeight="1" x14ac:dyDescent="0.35">
      <c r="A7" s="1215"/>
      <c r="C7" s="135" t="s">
        <v>181</v>
      </c>
      <c r="D7" s="3475" t="s">
        <v>182</v>
      </c>
      <c r="E7" s="135" t="s">
        <v>173</v>
      </c>
      <c r="F7" s="2001">
        <f>ROUND((((((1/F27)-(1/F28))*F29*F30*F31*F32*(F33-F34)*F35)/F36)-(J7+K7)+I7)*F49,2)</f>
        <v>2276.14</v>
      </c>
      <c r="G7" s="3465" t="s">
        <v>183</v>
      </c>
      <c r="H7" s="136">
        <f>VLOOKUP(G7,'CP FACTORS'!$A$3:$B$38, 2, FALSE)</f>
        <v>8.8731800000000003E-5</v>
      </c>
      <c r="I7" s="137">
        <f>(((1-1/F28)*F29*F30*F31*F32*(F33-F34)*F35)*F37*F38*F45/(F40*F36))*F46</f>
        <v>383.38412702395192</v>
      </c>
      <c r="J7" s="137">
        <f>(((1-1/F28)*F29*F30*F31*F32*(F33-F34)*F35)*F37*F39/(F41*F36))*F47</f>
        <v>153.81117612979111</v>
      </c>
      <c r="K7" s="137">
        <f>(((1-1/F28)*F29*F30*F31*F32*(F33-F34)*F35)*F37*F39/(F43*F36)*F48)</f>
        <v>96.428688738777211</v>
      </c>
      <c r="L7" s="138">
        <f>ROUND(F7*H7,6)</f>
        <v>0.20196600000000001</v>
      </c>
      <c r="M7" s="139">
        <f>F50</f>
        <v>13</v>
      </c>
      <c r="N7" s="140">
        <f>F51</f>
        <v>588</v>
      </c>
      <c r="O7" s="1435" t="s">
        <v>184</v>
      </c>
      <c r="R7" s="1214"/>
      <c r="V7" s="141" t="str">
        <f>F6</f>
        <v>kWh Annual Savings</v>
      </c>
      <c r="W7" s="142">
        <v>3736.4662164914935</v>
      </c>
      <c r="X7" s="139">
        <v>2506.58000131569</v>
      </c>
      <c r="Y7" s="143">
        <v>2296.31</v>
      </c>
      <c r="Z7" s="141">
        <v>2296.31</v>
      </c>
      <c r="AA7" s="141">
        <v>2296.31</v>
      </c>
      <c r="AB7" s="1589">
        <v>2276.14</v>
      </c>
      <c r="AC7" s="141">
        <v>2276.14</v>
      </c>
      <c r="AD7" s="141">
        <v>2276.14</v>
      </c>
      <c r="AE7" s="141"/>
      <c r="AF7" s="141"/>
      <c r="AG7" s="141"/>
      <c r="AH7" s="144"/>
      <c r="AU7" s="145"/>
      <c r="BB7" s="146">
        <f>(BD7)/(BE7)</f>
        <v>1.7565839615155825</v>
      </c>
      <c r="BC7" s="2381" t="str">
        <f>CONCATENATE(G7," ",M7," Year EUL")</f>
        <v>Water Heating RES 13 Year EUL</v>
      </c>
      <c r="BD7" s="147">
        <f>(INDEX('Avoided Cost Benefits'!$E$4:$E$859,MATCH(BC7,'Avoided Cost Benefits'!$A$4:$A$859,0)))*F7</f>
        <v>974.86679506480641</v>
      </c>
      <c r="BE7" s="1587">
        <f>N7/(1.0595^(2020-2019))</f>
        <v>554.97876356772053</v>
      </c>
    </row>
    <row r="8" spans="1:57" hidden="1" outlineLevel="1" x14ac:dyDescent="0.35">
      <c r="D8" s="148"/>
      <c r="E8" s="148"/>
      <c r="F8" s="149"/>
      <c r="L8" s="350"/>
      <c r="AU8" s="145"/>
    </row>
    <row r="9" spans="1:57" hidden="1" outlineLevel="1" x14ac:dyDescent="0.35">
      <c r="A9" s="154"/>
      <c r="B9" s="154"/>
      <c r="C9" s="151"/>
      <c r="D9" s="152" t="s">
        <v>107</v>
      </c>
      <c r="E9" s="152"/>
      <c r="F9" s="153"/>
      <c r="G9" s="154"/>
      <c r="H9" s="155"/>
      <c r="I9" s="3462"/>
      <c r="J9" s="3462"/>
      <c r="K9" s="3462"/>
      <c r="L9" s="350"/>
      <c r="AU9" s="145"/>
    </row>
    <row r="10" spans="1:57" hidden="1" outlineLevel="1" x14ac:dyDescent="0.35">
      <c r="A10" s="154"/>
      <c r="B10" s="154"/>
      <c r="C10" s="151"/>
      <c r="D10" s="155"/>
      <c r="E10" s="157"/>
      <c r="F10" s="153"/>
      <c r="G10" s="154"/>
      <c r="H10" s="154"/>
      <c r="I10" s="154"/>
      <c r="L10" s="1216"/>
      <c r="AU10" s="145"/>
    </row>
    <row r="11" spans="1:57" hidden="1" outlineLevel="1" x14ac:dyDescent="0.35">
      <c r="A11" s="154"/>
      <c r="B11" s="154"/>
      <c r="C11" s="151"/>
      <c r="D11" s="157"/>
      <c r="E11" s="157"/>
      <c r="F11" s="153"/>
      <c r="G11" s="154"/>
      <c r="H11" s="154"/>
      <c r="I11" s="154"/>
      <c r="L11" s="350"/>
      <c r="AU11" s="145"/>
    </row>
    <row r="12" spans="1:57" hidden="1" outlineLevel="1" x14ac:dyDescent="0.35">
      <c r="A12" s="154"/>
      <c r="B12" s="154"/>
      <c r="C12" s="151"/>
      <c r="D12" s="157"/>
      <c r="E12" s="157"/>
      <c r="F12" s="153"/>
      <c r="G12" s="154"/>
      <c r="H12" s="154"/>
      <c r="I12" s="154"/>
      <c r="L12" s="350"/>
      <c r="AU12" s="145"/>
    </row>
    <row r="13" spans="1:57" hidden="1" outlineLevel="1" x14ac:dyDescent="0.35">
      <c r="A13" s="154"/>
      <c r="B13" s="154"/>
      <c r="C13" s="151"/>
      <c r="D13" s="157"/>
      <c r="E13" s="157"/>
      <c r="F13" s="153"/>
      <c r="G13" s="154"/>
      <c r="H13" s="154"/>
      <c r="I13" s="154"/>
      <c r="L13" s="350"/>
      <c r="AU13" s="145"/>
    </row>
    <row r="14" spans="1:57" hidden="1" outlineLevel="1" x14ac:dyDescent="0.35">
      <c r="A14" s="154"/>
      <c r="B14" s="154"/>
      <c r="C14" s="151"/>
      <c r="D14" s="157"/>
      <c r="E14" s="157"/>
      <c r="F14" s="153"/>
      <c r="G14" s="154"/>
      <c r="H14" s="154"/>
      <c r="I14" s="154"/>
      <c r="L14" s="350"/>
      <c r="AU14" s="145"/>
    </row>
    <row r="15" spans="1:57" hidden="1" outlineLevel="1" x14ac:dyDescent="0.35">
      <c r="A15" s="154"/>
      <c r="B15" s="154"/>
      <c r="C15" s="151"/>
      <c r="D15" s="157"/>
      <c r="E15" s="157"/>
      <c r="F15" s="153"/>
      <c r="G15" s="154"/>
      <c r="H15" s="154"/>
      <c r="I15" s="154"/>
      <c r="L15" s="350"/>
      <c r="AU15" s="145"/>
    </row>
    <row r="16" spans="1:57" hidden="1" outlineLevel="1" x14ac:dyDescent="0.35">
      <c r="A16" s="154"/>
      <c r="B16" s="154"/>
      <c r="C16" s="151"/>
      <c r="D16" s="157"/>
      <c r="E16" s="157"/>
      <c r="F16" s="153"/>
      <c r="G16" s="154"/>
      <c r="H16" s="154"/>
      <c r="I16" s="154"/>
      <c r="L16" s="350"/>
      <c r="AU16" s="145"/>
    </row>
    <row r="17" spans="1:57" hidden="1" outlineLevel="1" x14ac:dyDescent="0.35">
      <c r="A17" s="154"/>
      <c r="B17" s="154"/>
      <c r="C17" s="151"/>
      <c r="D17" s="157"/>
      <c r="E17" s="157"/>
      <c r="F17" s="153"/>
      <c r="G17" s="154"/>
      <c r="H17" s="154"/>
      <c r="I17" s="154"/>
      <c r="L17" s="350"/>
      <c r="AU17" s="145"/>
    </row>
    <row r="18" spans="1:57" hidden="1" outlineLevel="1" x14ac:dyDescent="0.35">
      <c r="A18" s="154"/>
      <c r="B18" s="154"/>
      <c r="C18" s="151"/>
      <c r="D18" s="157"/>
      <c r="E18" s="157"/>
      <c r="F18" s="153"/>
      <c r="G18" s="154"/>
      <c r="H18" s="154"/>
      <c r="I18" s="154"/>
      <c r="L18" s="350"/>
      <c r="AU18" s="145"/>
    </row>
    <row r="19" spans="1:57" hidden="1" outlineLevel="1" x14ac:dyDescent="0.35">
      <c r="A19" s="154"/>
      <c r="B19" s="154"/>
      <c r="C19" s="151"/>
      <c r="D19" s="157"/>
      <c r="E19" s="157"/>
      <c r="F19" s="153"/>
      <c r="G19" s="154"/>
      <c r="H19" s="154"/>
      <c r="I19" s="154"/>
      <c r="L19" s="350"/>
      <c r="AU19" s="145"/>
    </row>
    <row r="20" spans="1:57" hidden="1" outlineLevel="1" x14ac:dyDescent="0.35">
      <c r="A20" s="154"/>
      <c r="B20" s="154"/>
      <c r="C20" s="151"/>
      <c r="D20" s="157"/>
      <c r="E20" s="157"/>
      <c r="F20" s="153"/>
      <c r="G20" s="154"/>
      <c r="H20" s="154"/>
      <c r="I20" s="154"/>
      <c r="L20" s="350"/>
      <c r="AU20" s="145"/>
    </row>
    <row r="21" spans="1:57" hidden="1" outlineLevel="1" x14ac:dyDescent="0.35">
      <c r="A21" s="154"/>
      <c r="B21" s="154"/>
      <c r="C21" s="151"/>
      <c r="D21" s="157"/>
      <c r="E21" s="157"/>
      <c r="F21" s="153"/>
      <c r="G21" s="154"/>
      <c r="H21" s="154"/>
      <c r="I21" s="154"/>
      <c r="L21" s="350"/>
      <c r="AU21" s="145"/>
    </row>
    <row r="22" spans="1:57" hidden="1" outlineLevel="1" x14ac:dyDescent="0.35">
      <c r="A22" s="154"/>
      <c r="B22" s="154"/>
      <c r="C22" s="151"/>
      <c r="D22" s="157"/>
      <c r="E22" s="157"/>
      <c r="F22" s="153"/>
      <c r="G22" s="154"/>
      <c r="H22" s="154"/>
      <c r="I22" s="154"/>
      <c r="L22" s="350"/>
      <c r="W22" s="133"/>
      <c r="AU22" s="145"/>
    </row>
    <row r="23" spans="1:57" hidden="1" outlineLevel="1" x14ac:dyDescent="0.35">
      <c r="A23" s="154"/>
      <c r="B23" s="154"/>
      <c r="C23" s="151"/>
      <c r="D23" s="157"/>
      <c r="E23" s="157"/>
      <c r="F23" s="153"/>
      <c r="G23" s="154"/>
      <c r="H23" s="154"/>
      <c r="I23" s="154"/>
      <c r="L23" s="350"/>
      <c r="AU23" s="145"/>
    </row>
    <row r="24" spans="1:57" hidden="1" outlineLevel="1" x14ac:dyDescent="0.35">
      <c r="A24" s="154"/>
      <c r="B24" s="154"/>
      <c r="C24" s="151"/>
      <c r="D24" s="157"/>
      <c r="E24" s="157"/>
      <c r="F24" s="153"/>
      <c r="G24" s="154"/>
      <c r="H24" s="154"/>
      <c r="I24" s="154"/>
      <c r="L24" s="350"/>
      <c r="AU24" s="145"/>
    </row>
    <row r="25" spans="1:57" hidden="1" outlineLevel="1" x14ac:dyDescent="0.35">
      <c r="A25" s="154"/>
      <c r="B25" s="154"/>
      <c r="C25" s="151"/>
      <c r="D25" s="157"/>
      <c r="E25" s="157"/>
      <c r="F25" s="153"/>
      <c r="G25" s="154"/>
      <c r="H25" s="154"/>
      <c r="I25" s="154"/>
      <c r="L25" s="350"/>
      <c r="AU25" s="145"/>
    </row>
    <row r="26" spans="1:57" s="34" customFormat="1" ht="15" hidden="1" customHeight="1" outlineLevel="1" x14ac:dyDescent="0.35">
      <c r="A26" s="350"/>
      <c r="B26" s="350"/>
      <c r="C26" s="130"/>
      <c r="D26" s="3474" t="s">
        <v>109</v>
      </c>
      <c r="E26" s="3474" t="s">
        <v>185</v>
      </c>
      <c r="F26" s="3438" t="s">
        <v>111</v>
      </c>
      <c r="G26" s="3741" t="s">
        <v>186</v>
      </c>
      <c r="H26" s="3741"/>
      <c r="I26" s="3469" t="s">
        <v>112</v>
      </c>
      <c r="J26" s="350"/>
      <c r="K26" s="350"/>
      <c r="L26" s="350"/>
      <c r="M26" s="350"/>
      <c r="N26" s="350"/>
      <c r="O26" s="350"/>
      <c r="P26" s="350"/>
      <c r="Q26" s="350"/>
      <c r="R26" s="350"/>
      <c r="S26" s="350"/>
      <c r="T26" s="350"/>
      <c r="U26" s="350"/>
      <c r="V26" s="1572" t="s">
        <v>44</v>
      </c>
      <c r="W26" s="1573">
        <v>43252</v>
      </c>
      <c r="X26" s="1573">
        <f>$X$6</f>
        <v>43465</v>
      </c>
      <c r="Y26" s="1573">
        <f>$Y$6</f>
        <v>43800</v>
      </c>
      <c r="Z26" s="1573">
        <f>$Z$6</f>
        <v>43862</v>
      </c>
      <c r="AA26" s="1573">
        <f>$AA$6</f>
        <v>44013</v>
      </c>
      <c r="AB26" s="1573">
        <f>$AB$6</f>
        <v>44166</v>
      </c>
      <c r="AC26" s="1573">
        <f>$AC$6</f>
        <v>44531</v>
      </c>
      <c r="AD26" s="1573">
        <f>$AD$6</f>
        <v>44774</v>
      </c>
      <c r="AE26" s="1573" t="str">
        <f>$AE$6</f>
        <v>-</v>
      </c>
      <c r="AF26" s="1573" t="str">
        <f>$AF$6</f>
        <v>-</v>
      </c>
      <c r="AG26" s="1573" t="str">
        <f>$AG$6</f>
        <v>-</v>
      </c>
      <c r="AU26" s="145"/>
      <c r="BB26" s="134"/>
      <c r="BC26" s="31"/>
      <c r="BD26" s="31"/>
      <c r="BE26" s="31"/>
    </row>
    <row r="27" spans="1:57" ht="39.65" hidden="1" customHeight="1" outlineLevel="1" x14ac:dyDescent="0.35">
      <c r="D27" s="3440" t="s">
        <v>187</v>
      </c>
      <c r="E27" s="3440" t="s">
        <v>188</v>
      </c>
      <c r="F27" s="158">
        <v>0.94451470457134135</v>
      </c>
      <c r="G27" s="3728" t="s">
        <v>189</v>
      </c>
      <c r="H27" s="3728"/>
      <c r="I27" s="159" t="s">
        <v>190</v>
      </c>
      <c r="V27" s="1636" t="str">
        <f t="shared" ref="V27:V51" si="0">D27</f>
        <v>EFBASE</v>
      </c>
      <c r="W27" s="158">
        <v>0.9</v>
      </c>
      <c r="X27" s="160">
        <v>0.94358243626061789</v>
      </c>
      <c r="Y27" s="161">
        <v>0.94451470457134135</v>
      </c>
      <c r="Z27" s="162">
        <v>0.94451470457134135</v>
      </c>
      <c r="AA27" s="162">
        <v>0.94451470457134135</v>
      </c>
      <c r="AB27" s="162">
        <v>0.94451470457134135</v>
      </c>
      <c r="AC27" s="162">
        <v>0.94451470457134135</v>
      </c>
      <c r="AD27" s="162">
        <v>0.94451470457134135</v>
      </c>
      <c r="AE27" s="162"/>
      <c r="AF27" s="162"/>
      <c r="AG27" s="162"/>
      <c r="AU27" s="145"/>
    </row>
    <row r="28" spans="1:57" ht="29" hidden="1" outlineLevel="1" x14ac:dyDescent="0.35">
      <c r="D28" s="3440" t="s">
        <v>191</v>
      </c>
      <c r="E28" s="3440" t="s">
        <v>192</v>
      </c>
      <c r="F28" s="163">
        <v>3.4379630138240294</v>
      </c>
      <c r="G28" s="3728" t="s">
        <v>193</v>
      </c>
      <c r="H28" s="3728"/>
      <c r="I28" s="159" t="s">
        <v>194</v>
      </c>
      <c r="J28" s="350"/>
      <c r="V28" s="1636" t="str">
        <f t="shared" si="0"/>
        <v>EFEE</v>
      </c>
      <c r="W28" s="164">
        <v>3.14</v>
      </c>
      <c r="X28" s="165">
        <v>3.255169603721936</v>
      </c>
      <c r="Y28" s="166">
        <v>3.4379630138240294</v>
      </c>
      <c r="Z28" s="168">
        <v>3.4379630138240294</v>
      </c>
      <c r="AA28" s="168">
        <v>3.4379630138240294</v>
      </c>
      <c r="AB28" s="167">
        <v>3.4379630138240294</v>
      </c>
      <c r="AC28" s="168">
        <v>3.4379630138240294</v>
      </c>
      <c r="AD28" s="168">
        <v>3.4379630138240294</v>
      </c>
      <c r="AE28" s="167"/>
      <c r="AF28" s="167"/>
      <c r="AG28" s="167"/>
      <c r="AU28" s="145"/>
    </row>
    <row r="29" spans="1:57" ht="116" hidden="1" outlineLevel="1" x14ac:dyDescent="0.35">
      <c r="D29" s="3440" t="s">
        <v>195</v>
      </c>
      <c r="E29" s="3440" t="s">
        <v>196</v>
      </c>
      <c r="F29" s="163">
        <v>17.600000000000001</v>
      </c>
      <c r="G29" s="3728" t="s">
        <v>197</v>
      </c>
      <c r="H29" s="3728"/>
      <c r="I29" s="159" t="s">
        <v>198</v>
      </c>
      <c r="J29" s="350"/>
      <c r="V29" s="1636" t="str">
        <f t="shared" si="0"/>
        <v>GPD</v>
      </c>
      <c r="W29" s="163">
        <f>64/W30</f>
        <v>23.970037453183522</v>
      </c>
      <c r="X29" s="165">
        <v>17.600000000000001</v>
      </c>
      <c r="Y29" s="164">
        <v>17.600000000000001</v>
      </c>
      <c r="Z29" s="168">
        <v>17.600000000000001</v>
      </c>
      <c r="AA29" s="168">
        <v>17.600000000000001</v>
      </c>
      <c r="AB29" s="168">
        <v>17.600000000000001</v>
      </c>
      <c r="AC29" s="168">
        <v>17.600000000000001</v>
      </c>
      <c r="AD29" s="168">
        <v>17.600000000000001</v>
      </c>
      <c r="AE29" s="168"/>
      <c r="AF29" s="168"/>
      <c r="AG29" s="168"/>
      <c r="AU29" s="145"/>
    </row>
    <row r="30" spans="1:57" ht="33.75" hidden="1" customHeight="1" outlineLevel="1" x14ac:dyDescent="0.35">
      <c r="D30" s="3440" t="s">
        <v>199</v>
      </c>
      <c r="E30" s="3440" t="s">
        <v>200</v>
      </c>
      <c r="F30" s="163">
        <v>2.6500604229607121</v>
      </c>
      <c r="G30" s="3728" t="s">
        <v>201</v>
      </c>
      <c r="H30" s="3728"/>
      <c r="I30" s="159" t="s">
        <v>202</v>
      </c>
      <c r="J30" s="350"/>
      <c r="V30" s="1636" t="str">
        <f t="shared" si="0"/>
        <v>Household</v>
      </c>
      <c r="W30" s="163">
        <v>2.67</v>
      </c>
      <c r="X30" s="165">
        <v>2.6599441340781969</v>
      </c>
      <c r="Y30" s="166">
        <v>2.6500604229607121</v>
      </c>
      <c r="Z30" s="168">
        <v>2.6500604229607121</v>
      </c>
      <c r="AA30" s="168">
        <v>2.6500604229607121</v>
      </c>
      <c r="AB30" s="168">
        <v>2.6500604229607121</v>
      </c>
      <c r="AC30" s="168">
        <v>2.6500604229607121</v>
      </c>
      <c r="AD30" s="168">
        <v>2.6500604229607121</v>
      </c>
      <c r="AE30" s="168"/>
      <c r="AF30" s="168"/>
      <c r="AG30" s="168"/>
      <c r="AU30" s="145"/>
    </row>
    <row r="31" spans="1:57" ht="29" hidden="1" outlineLevel="1" x14ac:dyDescent="0.35">
      <c r="D31" s="169">
        <v>365.25</v>
      </c>
      <c r="E31" s="3440" t="s">
        <v>203</v>
      </c>
      <c r="F31" s="170">
        <v>365.25</v>
      </c>
      <c r="G31" s="3728" t="s">
        <v>204</v>
      </c>
      <c r="H31" s="3728"/>
      <c r="I31" s="159" t="s">
        <v>194</v>
      </c>
      <c r="J31" s="350"/>
      <c r="V31" s="1636">
        <f t="shared" si="0"/>
        <v>365.25</v>
      </c>
      <c r="W31" s="171">
        <v>365</v>
      </c>
      <c r="X31" s="2413">
        <v>365.25</v>
      </c>
      <c r="Y31" s="2413">
        <v>365.25</v>
      </c>
      <c r="Z31" s="2413">
        <v>365.25</v>
      </c>
      <c r="AA31" s="2413">
        <v>365.25</v>
      </c>
      <c r="AB31" s="172">
        <v>365.25</v>
      </c>
      <c r="AC31" s="2413">
        <v>365.25</v>
      </c>
      <c r="AD31" s="2975">
        <v>365.25</v>
      </c>
      <c r="AE31" s="172"/>
      <c r="AF31" s="172"/>
      <c r="AG31" s="172"/>
      <c r="AU31" s="145"/>
    </row>
    <row r="32" spans="1:57" ht="29" hidden="1" outlineLevel="1" x14ac:dyDescent="0.35">
      <c r="D32" s="3440" t="s">
        <v>205</v>
      </c>
      <c r="E32" s="3440" t="s">
        <v>206</v>
      </c>
      <c r="F32" s="163">
        <v>8.33</v>
      </c>
      <c r="G32" s="3728" t="s">
        <v>207</v>
      </c>
      <c r="H32" s="3728"/>
      <c r="I32" s="159" t="s">
        <v>194</v>
      </c>
      <c r="J32" s="130"/>
      <c r="V32" s="1636" t="str">
        <f t="shared" si="0"/>
        <v>Den</v>
      </c>
      <c r="W32" s="164">
        <v>8.33</v>
      </c>
      <c r="X32" s="172">
        <v>8.33</v>
      </c>
      <c r="Y32" s="172">
        <v>8.33</v>
      </c>
      <c r="Z32" s="2413">
        <v>8.33</v>
      </c>
      <c r="AA32" s="2413">
        <v>8.33</v>
      </c>
      <c r="AB32" s="167">
        <v>8.33</v>
      </c>
      <c r="AC32" s="168">
        <v>8.33</v>
      </c>
      <c r="AD32" s="168">
        <v>8.33</v>
      </c>
      <c r="AE32" s="167"/>
      <c r="AF32" s="167"/>
      <c r="AG32" s="167"/>
      <c r="AU32" s="145"/>
    </row>
    <row r="33" spans="4:47" ht="29" hidden="1" outlineLevel="1" x14ac:dyDescent="0.35">
      <c r="D33" s="3440" t="s">
        <v>208</v>
      </c>
      <c r="E33" s="3440" t="s">
        <v>209</v>
      </c>
      <c r="F33" s="170">
        <v>125</v>
      </c>
      <c r="G33" s="3728" t="s">
        <v>210</v>
      </c>
      <c r="H33" s="3728"/>
      <c r="I33" s="159" t="s">
        <v>194</v>
      </c>
      <c r="J33" s="130"/>
      <c r="V33" s="1636" t="str">
        <f t="shared" si="0"/>
        <v>HWT</v>
      </c>
      <c r="W33" s="171">
        <v>135</v>
      </c>
      <c r="X33" s="174">
        <v>125</v>
      </c>
      <c r="Y33" s="172">
        <v>125</v>
      </c>
      <c r="Z33" s="2413">
        <v>125</v>
      </c>
      <c r="AA33" s="2413">
        <v>125</v>
      </c>
      <c r="AB33" s="172">
        <v>125</v>
      </c>
      <c r="AC33" s="2413">
        <v>125</v>
      </c>
      <c r="AD33" s="2975">
        <v>125</v>
      </c>
      <c r="AE33" s="172"/>
      <c r="AF33" s="172"/>
      <c r="AG33" s="172"/>
      <c r="AU33" s="145"/>
    </row>
    <row r="34" spans="4:47" ht="29" hidden="1" outlineLevel="1" x14ac:dyDescent="0.35">
      <c r="D34" s="3440" t="s">
        <v>211</v>
      </c>
      <c r="E34" s="3440" t="s">
        <v>212</v>
      </c>
      <c r="F34" s="170">
        <v>57.898000000000003</v>
      </c>
      <c r="G34" s="3728" t="s">
        <v>213</v>
      </c>
      <c r="H34" s="3728"/>
      <c r="I34" s="159" t="s">
        <v>194</v>
      </c>
      <c r="J34" s="130"/>
      <c r="V34" s="1636" t="str">
        <f t="shared" si="0"/>
        <v>CWT</v>
      </c>
      <c r="W34" s="171">
        <v>61.3</v>
      </c>
      <c r="X34" s="174">
        <v>57.898000000000003</v>
      </c>
      <c r="Y34" s="172">
        <v>57.898000000000003</v>
      </c>
      <c r="Z34" s="2413">
        <v>57.898000000000003</v>
      </c>
      <c r="AA34" s="2413">
        <v>57.898000000000003</v>
      </c>
      <c r="AB34" s="172">
        <v>57.898000000000003</v>
      </c>
      <c r="AC34" s="2413">
        <v>57.898000000000003</v>
      </c>
      <c r="AD34" s="2975">
        <v>57.898000000000003</v>
      </c>
      <c r="AE34" s="172"/>
      <c r="AF34" s="172"/>
      <c r="AG34" s="172"/>
      <c r="AU34" s="145"/>
    </row>
    <row r="35" spans="4:47" ht="29" hidden="1" outlineLevel="1" x14ac:dyDescent="0.35">
      <c r="D35" s="3440" t="s">
        <v>214</v>
      </c>
      <c r="E35" s="3440" t="s">
        <v>215</v>
      </c>
      <c r="F35" s="170">
        <v>1</v>
      </c>
      <c r="G35" s="3728" t="s">
        <v>216</v>
      </c>
      <c r="H35" s="3728"/>
      <c r="I35" s="159" t="s">
        <v>194</v>
      </c>
      <c r="V35" s="1636" t="str">
        <f t="shared" si="0"/>
        <v>CP</v>
      </c>
      <c r="W35" s="171">
        <v>1</v>
      </c>
      <c r="X35" s="172">
        <v>1</v>
      </c>
      <c r="Y35" s="171">
        <v>1</v>
      </c>
      <c r="Z35" s="2413">
        <v>1</v>
      </c>
      <c r="AA35" s="2413">
        <v>1</v>
      </c>
      <c r="AB35" s="172">
        <v>1</v>
      </c>
      <c r="AC35" s="2413">
        <v>1</v>
      </c>
      <c r="AD35" s="2975">
        <v>1</v>
      </c>
      <c r="AE35" s="172"/>
      <c r="AF35" s="172"/>
      <c r="AG35" s="172"/>
      <c r="AU35" s="145"/>
    </row>
    <row r="36" spans="4:47" ht="29" hidden="1" outlineLevel="1" x14ac:dyDescent="0.35">
      <c r="D36" s="3440">
        <v>3412</v>
      </c>
      <c r="E36" s="3440"/>
      <c r="F36" s="175">
        <v>3412</v>
      </c>
      <c r="G36" s="3728" t="s">
        <v>217</v>
      </c>
      <c r="H36" s="3728"/>
      <c r="I36" s="159" t="s">
        <v>218</v>
      </c>
      <c r="V36" s="1636">
        <f t="shared" si="0"/>
        <v>3412</v>
      </c>
      <c r="W36" s="176">
        <v>3412</v>
      </c>
      <c r="X36" s="177">
        <v>3412</v>
      </c>
      <c r="Y36" s="176">
        <v>3412</v>
      </c>
      <c r="Z36" s="1368">
        <v>3412</v>
      </c>
      <c r="AA36" s="1368">
        <v>3412</v>
      </c>
      <c r="AB36" s="177">
        <v>3412</v>
      </c>
      <c r="AC36" s="1368">
        <v>3412</v>
      </c>
      <c r="AD36" s="1368">
        <v>3412</v>
      </c>
      <c r="AE36" s="177"/>
      <c r="AF36" s="177"/>
      <c r="AG36" s="177"/>
      <c r="AU36" s="145"/>
    </row>
    <row r="37" spans="4:47" ht="43.5" hidden="1" outlineLevel="1" x14ac:dyDescent="0.35">
      <c r="D37" s="178" t="s">
        <v>219</v>
      </c>
      <c r="E37" s="3440" t="s">
        <v>220</v>
      </c>
      <c r="F37" s="2129">
        <v>0.81</v>
      </c>
      <c r="G37" s="3728" t="s">
        <v>221</v>
      </c>
      <c r="H37" s="3728"/>
      <c r="I37" s="159" t="s">
        <v>222</v>
      </c>
      <c r="V37" s="1636" t="str">
        <f t="shared" si="0"/>
        <v>LF</v>
      </c>
      <c r="W37" s="1637">
        <v>1</v>
      </c>
      <c r="X37" s="1638">
        <v>0.5</v>
      </c>
      <c r="Y37" s="1638">
        <v>0.81</v>
      </c>
      <c r="Z37" s="831">
        <v>0.81</v>
      </c>
      <c r="AA37" s="831">
        <v>0.81</v>
      </c>
      <c r="AB37" s="1639">
        <v>0.81</v>
      </c>
      <c r="AC37" s="831">
        <v>0.81</v>
      </c>
      <c r="AD37" s="831">
        <v>0.81</v>
      </c>
      <c r="AE37" s="1639"/>
      <c r="AF37" s="1639"/>
      <c r="AG37" s="1639"/>
      <c r="AU37" s="145"/>
    </row>
    <row r="38" spans="4:47" ht="87" hidden="1" outlineLevel="1" x14ac:dyDescent="0.45">
      <c r="D38" s="1217" t="s">
        <v>223</v>
      </c>
      <c r="E38" s="3440" t="s">
        <v>224</v>
      </c>
      <c r="F38" s="179">
        <v>0.53</v>
      </c>
      <c r="G38" s="3728" t="s">
        <v>225</v>
      </c>
      <c r="H38" s="3728"/>
      <c r="I38" s="159" t="s">
        <v>226</v>
      </c>
      <c r="V38" s="1636" t="str">
        <f t="shared" si="0"/>
        <v>WHFC</v>
      </c>
      <c r="W38" s="1640">
        <v>0.4</v>
      </c>
      <c r="X38" s="180">
        <v>0.53</v>
      </c>
      <c r="Y38" s="181">
        <v>0.53</v>
      </c>
      <c r="Z38" s="1711">
        <v>0.53</v>
      </c>
      <c r="AA38" s="1711">
        <v>0.53</v>
      </c>
      <c r="AB38" s="1641">
        <v>0.53</v>
      </c>
      <c r="AC38" s="1711">
        <v>0.53</v>
      </c>
      <c r="AD38" s="1711">
        <v>0.53</v>
      </c>
      <c r="AE38" s="1641"/>
      <c r="AF38" s="1641"/>
      <c r="AG38" s="1641"/>
      <c r="AU38" s="145"/>
    </row>
    <row r="39" spans="4:47" ht="409.5" hidden="1" outlineLevel="1" x14ac:dyDescent="0.35">
      <c r="D39" s="184" t="s">
        <v>227</v>
      </c>
      <c r="E39" s="3440" t="s">
        <v>228</v>
      </c>
      <c r="F39" s="179">
        <v>0.43</v>
      </c>
      <c r="G39" s="3728" t="s">
        <v>225</v>
      </c>
      <c r="H39" s="3728"/>
      <c r="I39" s="3440" t="s">
        <v>229</v>
      </c>
      <c r="V39" s="1636" t="str">
        <f t="shared" si="0"/>
        <v>WHFH</v>
      </c>
      <c r="W39" s="1640">
        <v>0.57999999999999996</v>
      </c>
      <c r="X39" s="180">
        <v>0.43</v>
      </c>
      <c r="Y39" s="181">
        <v>0.43</v>
      </c>
      <c r="Z39" s="1711">
        <v>0.43</v>
      </c>
      <c r="AA39" s="1711">
        <v>0.43</v>
      </c>
      <c r="AB39" s="1641">
        <v>0.43</v>
      </c>
      <c r="AC39" s="1711">
        <v>0.43</v>
      </c>
      <c r="AD39" s="1711">
        <v>0.43</v>
      </c>
      <c r="AE39" s="1641"/>
      <c r="AF39" s="1641"/>
      <c r="AG39" s="1641"/>
      <c r="AU39" s="145"/>
    </row>
    <row r="40" spans="4:47" ht="348" hidden="1" outlineLevel="1" x14ac:dyDescent="0.35">
      <c r="D40" s="182" t="s">
        <v>230</v>
      </c>
      <c r="E40" s="3440" t="s">
        <v>231</v>
      </c>
      <c r="F40" s="183">
        <v>2.8</v>
      </c>
      <c r="G40" s="3728" t="s">
        <v>225</v>
      </c>
      <c r="H40" s="3728"/>
      <c r="I40" s="3440" t="s">
        <v>232</v>
      </c>
      <c r="V40" s="1636" t="str">
        <f t="shared" si="0"/>
        <v>COPcool</v>
      </c>
      <c r="W40" s="1637">
        <v>2.8</v>
      </c>
      <c r="X40" s="1639">
        <v>2.8</v>
      </c>
      <c r="Y40" s="1637">
        <v>2.8</v>
      </c>
      <c r="Z40" s="831">
        <v>2.8</v>
      </c>
      <c r="AA40" s="831">
        <v>2.8</v>
      </c>
      <c r="AB40" s="1639">
        <v>2.8</v>
      </c>
      <c r="AC40" s="831">
        <v>2.8</v>
      </c>
      <c r="AD40" s="831">
        <v>2.8</v>
      </c>
      <c r="AE40" s="1639"/>
      <c r="AF40" s="1639"/>
      <c r="AG40" s="1639"/>
      <c r="AU40" s="145"/>
    </row>
    <row r="41" spans="4:47" hidden="1" outlineLevel="1" x14ac:dyDescent="0.35">
      <c r="D41" s="3771" t="s">
        <v>233</v>
      </c>
      <c r="E41" s="1704" t="s">
        <v>234</v>
      </c>
      <c r="F41" s="831">
        <v>1</v>
      </c>
      <c r="G41" s="3763" t="s">
        <v>225</v>
      </c>
      <c r="H41" s="3763"/>
      <c r="I41" s="3765" t="s">
        <v>235</v>
      </c>
      <c r="V41" s="3760" t="str">
        <f t="shared" si="0"/>
        <v>COPheat</v>
      </c>
      <c r="W41" s="1637">
        <v>1</v>
      </c>
      <c r="X41" s="1639">
        <v>1</v>
      </c>
      <c r="Y41" s="1637">
        <v>1</v>
      </c>
      <c r="Z41" s="831">
        <v>1</v>
      </c>
      <c r="AA41" s="831">
        <v>1</v>
      </c>
      <c r="AB41" s="1639">
        <v>1</v>
      </c>
      <c r="AC41" s="831">
        <v>1</v>
      </c>
      <c r="AD41" s="831">
        <v>1</v>
      </c>
      <c r="AE41" s="1639"/>
      <c r="AF41" s="1639"/>
      <c r="AG41" s="1639"/>
      <c r="AU41" s="145"/>
    </row>
    <row r="42" spans="4:47" hidden="1" outlineLevel="1" x14ac:dyDescent="0.35">
      <c r="D42" s="3772"/>
      <c r="E42" s="1704" t="s">
        <v>236</v>
      </c>
      <c r="F42" s="1324">
        <v>1.7</v>
      </c>
      <c r="G42" s="3763" t="s">
        <v>225</v>
      </c>
      <c r="H42" s="3763"/>
      <c r="I42" s="3766"/>
      <c r="V42" s="3761">
        <f t="shared" si="0"/>
        <v>0</v>
      </c>
      <c r="W42" s="1642">
        <v>1.7</v>
      </c>
      <c r="X42" s="1642">
        <v>1.7</v>
      </c>
      <c r="Y42" s="1642">
        <v>1.7</v>
      </c>
      <c r="Z42" s="1324">
        <v>1.7</v>
      </c>
      <c r="AA42" s="1324">
        <v>1.7</v>
      </c>
      <c r="AB42" s="1643">
        <v>1.7</v>
      </c>
      <c r="AC42" s="1324">
        <v>1.7</v>
      </c>
      <c r="AD42" s="1324">
        <v>1.7</v>
      </c>
      <c r="AE42" s="1642"/>
      <c r="AF42" s="1642"/>
      <c r="AG42" s="1642"/>
      <c r="AU42" s="145"/>
    </row>
    <row r="43" spans="4:47" ht="15" hidden="1" customHeight="1" outlineLevel="1" x14ac:dyDescent="0.35">
      <c r="D43" s="3772"/>
      <c r="E43" s="1704" t="s">
        <v>237</v>
      </c>
      <c r="F43" s="1324">
        <v>1.92</v>
      </c>
      <c r="G43" s="3763" t="s">
        <v>225</v>
      </c>
      <c r="H43" s="3763"/>
      <c r="I43" s="3766"/>
      <c r="V43" s="3761">
        <f t="shared" si="0"/>
        <v>0</v>
      </c>
      <c r="W43" s="1642">
        <v>1.92</v>
      </c>
      <c r="X43" s="185">
        <v>1.92</v>
      </c>
      <c r="Y43" s="185">
        <v>1.92</v>
      </c>
      <c r="Z43" s="1324">
        <v>1.92</v>
      </c>
      <c r="AA43" s="1324">
        <v>1.92</v>
      </c>
      <c r="AB43" s="1643">
        <v>1.92</v>
      </c>
      <c r="AC43" s="1324">
        <v>1.92</v>
      </c>
      <c r="AD43" s="1324">
        <v>1.92</v>
      </c>
      <c r="AE43" s="1643"/>
      <c r="AF43" s="1643"/>
      <c r="AG43" s="1643"/>
      <c r="AU43" s="145"/>
    </row>
    <row r="44" spans="4:47" ht="15" hidden="1" customHeight="1" outlineLevel="1" thickBot="1" x14ac:dyDescent="0.4">
      <c r="D44" s="3773"/>
      <c r="E44" s="1705" t="s">
        <v>238</v>
      </c>
      <c r="F44" s="1706">
        <v>2.04</v>
      </c>
      <c r="G44" s="3764" t="s">
        <v>225</v>
      </c>
      <c r="H44" s="3764"/>
      <c r="I44" s="3767"/>
      <c r="V44" s="3762">
        <f t="shared" si="0"/>
        <v>0</v>
      </c>
      <c r="W44" s="1642">
        <v>2.04</v>
      </c>
      <c r="X44" s="1643">
        <v>2.04</v>
      </c>
      <c r="Y44" s="1643">
        <v>2.04</v>
      </c>
      <c r="Z44" s="1324">
        <v>2.04</v>
      </c>
      <c r="AA44" s="1324">
        <v>2.04</v>
      </c>
      <c r="AB44" s="1643">
        <v>2.04</v>
      </c>
      <c r="AC44" s="1324">
        <v>2.04</v>
      </c>
      <c r="AD44" s="1324">
        <v>2.04</v>
      </c>
      <c r="AE44" s="1643"/>
      <c r="AF44" s="1643"/>
      <c r="AG44" s="1643"/>
      <c r="AU44" s="145"/>
    </row>
    <row r="45" spans="4:47" ht="54.75" hidden="1" customHeight="1" outlineLevel="1" x14ac:dyDescent="0.35">
      <c r="D45" s="1707" t="s">
        <v>239</v>
      </c>
      <c r="E45" s="3442" t="s">
        <v>240</v>
      </c>
      <c r="F45" s="1708">
        <v>1.33</v>
      </c>
      <c r="G45" s="3780" t="s">
        <v>241</v>
      </c>
      <c r="H45" s="3780"/>
      <c r="I45" s="1218" t="s">
        <v>222</v>
      </c>
      <c r="V45" s="1636" t="str">
        <f t="shared" si="0"/>
        <v>LM</v>
      </c>
      <c r="W45" s="1637">
        <v>3</v>
      </c>
      <c r="X45" s="733">
        <v>3.52039106145252</v>
      </c>
      <c r="Y45" s="1644">
        <v>1.3299999999999965</v>
      </c>
      <c r="Z45" s="831">
        <v>1.3299999999999965</v>
      </c>
      <c r="AA45" s="831">
        <v>1.3299999999999965</v>
      </c>
      <c r="AB45" s="1639">
        <v>1.33</v>
      </c>
      <c r="AC45" s="831">
        <v>1.33</v>
      </c>
      <c r="AD45" s="831">
        <v>1.33</v>
      </c>
      <c r="AE45" s="1639"/>
      <c r="AF45" s="1639"/>
      <c r="AG45" s="1639"/>
      <c r="AU45" s="145"/>
    </row>
    <row r="46" spans="4:47" ht="15" hidden="1" customHeight="1" outlineLevel="1" x14ac:dyDescent="0.35">
      <c r="D46" s="1449" t="s">
        <v>242</v>
      </c>
      <c r="E46" s="3441" t="s">
        <v>243</v>
      </c>
      <c r="F46" s="1711">
        <v>0.95</v>
      </c>
      <c r="G46" s="3763" t="s">
        <v>244</v>
      </c>
      <c r="H46" s="3763"/>
      <c r="I46" s="159"/>
      <c r="V46" s="1636" t="str">
        <f t="shared" si="0"/>
        <v>%Cool</v>
      </c>
      <c r="W46" s="1640">
        <v>0.91</v>
      </c>
      <c r="X46" s="1641">
        <v>1</v>
      </c>
      <c r="Y46" s="1640">
        <v>1</v>
      </c>
      <c r="Z46" s="1711">
        <v>1</v>
      </c>
      <c r="AA46" s="1711">
        <v>1</v>
      </c>
      <c r="AB46" s="1709">
        <v>0.95</v>
      </c>
      <c r="AC46" s="1711">
        <v>0.95</v>
      </c>
      <c r="AD46" s="1711">
        <v>0.95</v>
      </c>
      <c r="AE46" s="1641"/>
      <c r="AF46" s="1641"/>
      <c r="AG46" s="1641"/>
      <c r="AU46" s="145"/>
    </row>
    <row r="47" spans="4:47" ht="30" hidden="1" customHeight="1" outlineLevel="1" x14ac:dyDescent="0.35">
      <c r="D47" s="3441" t="s">
        <v>245</v>
      </c>
      <c r="E47" s="3441" t="s">
        <v>246</v>
      </c>
      <c r="F47" s="1710">
        <v>0.2231404958677686</v>
      </c>
      <c r="G47" s="3763" t="s">
        <v>247</v>
      </c>
      <c r="H47" s="3763"/>
      <c r="I47" s="159" t="s">
        <v>194</v>
      </c>
      <c r="V47" s="1636" t="str">
        <f t="shared" si="0"/>
        <v xml:space="preserve">%ElectricHeat - Electric Resistance Saturation </v>
      </c>
      <c r="W47" s="186">
        <v>0.375</v>
      </c>
      <c r="X47" s="187">
        <v>0.375</v>
      </c>
      <c r="Y47" s="161">
        <v>0.2231404958677686</v>
      </c>
      <c r="Z47" s="162">
        <v>0.2231404958677686</v>
      </c>
      <c r="AA47" s="162">
        <v>0.2231404958677686</v>
      </c>
      <c r="AB47" s="187">
        <v>0.2231404958677686</v>
      </c>
      <c r="AC47" s="162">
        <v>0.2231404958677686</v>
      </c>
      <c r="AD47" s="162">
        <v>0.2231404958677686</v>
      </c>
      <c r="AE47" s="187"/>
      <c r="AF47" s="187"/>
      <c r="AG47" s="187"/>
      <c r="AU47" s="145"/>
    </row>
    <row r="48" spans="4:47" ht="30.75" hidden="1" customHeight="1" outlineLevel="1" x14ac:dyDescent="0.35">
      <c r="D48" s="3441" t="s">
        <v>248</v>
      </c>
      <c r="E48" s="3441" t="s">
        <v>249</v>
      </c>
      <c r="F48" s="1710">
        <v>0.26859504132231404</v>
      </c>
      <c r="G48" s="3763" t="s">
        <v>247</v>
      </c>
      <c r="H48" s="3763"/>
      <c r="I48" s="159" t="s">
        <v>250</v>
      </c>
      <c r="V48" s="1636" t="str">
        <f t="shared" si="0"/>
        <v>%ElectricHeat - Heat Pump Saturation</v>
      </c>
      <c r="W48" s="186">
        <v>0.42199999999999999</v>
      </c>
      <c r="X48" s="187">
        <v>0.42199999999999999</v>
      </c>
      <c r="Y48" s="161">
        <v>0.26859504132231404</v>
      </c>
      <c r="Z48" s="162">
        <v>0.26859504132231404</v>
      </c>
      <c r="AA48" s="162">
        <v>0.26859504132231404</v>
      </c>
      <c r="AB48" s="187">
        <v>0.26859504132231404</v>
      </c>
      <c r="AC48" s="162">
        <v>0.26859504132231404</v>
      </c>
      <c r="AD48" s="162">
        <v>0.26859504132231404</v>
      </c>
      <c r="AE48" s="187"/>
      <c r="AF48" s="187"/>
      <c r="AG48" s="187"/>
      <c r="AU48" s="145"/>
    </row>
    <row r="49" spans="2:57" ht="15" hidden="1" customHeight="1" outlineLevel="1" x14ac:dyDescent="0.35">
      <c r="D49" s="3441" t="s">
        <v>132</v>
      </c>
      <c r="E49" s="3441" t="s">
        <v>251</v>
      </c>
      <c r="F49" s="287">
        <v>1</v>
      </c>
      <c r="G49" s="3763" t="s">
        <v>252</v>
      </c>
      <c r="H49" s="3763"/>
      <c r="I49" s="159" t="s">
        <v>194</v>
      </c>
      <c r="V49" s="1636" t="str">
        <f t="shared" si="0"/>
        <v>ISR</v>
      </c>
      <c r="W49" s="189">
        <v>1</v>
      </c>
      <c r="X49" s="190">
        <v>1</v>
      </c>
      <c r="Y49" s="190">
        <v>1</v>
      </c>
      <c r="Z49" s="287">
        <v>1</v>
      </c>
      <c r="AA49" s="287">
        <v>1</v>
      </c>
      <c r="AB49" s="190">
        <v>1</v>
      </c>
      <c r="AC49" s="287">
        <v>1</v>
      </c>
      <c r="AD49" s="287">
        <v>1</v>
      </c>
      <c r="AE49" s="190"/>
      <c r="AF49" s="190"/>
      <c r="AG49" s="190"/>
      <c r="AU49" s="145"/>
    </row>
    <row r="50" spans="2:57" ht="15" hidden="1" customHeight="1" outlineLevel="1" x14ac:dyDescent="0.35">
      <c r="D50" s="3441" t="str">
        <f>M6</f>
        <v>EUL</v>
      </c>
      <c r="E50" s="3441" t="str">
        <f>'Energy Effic. Kits Deemed Table'!E38</f>
        <v>Effective Useful Life</v>
      </c>
      <c r="F50" s="289">
        <v>13</v>
      </c>
      <c r="G50" s="3763"/>
      <c r="H50" s="3763"/>
      <c r="I50" s="159"/>
      <c r="V50" s="1636" t="str">
        <f t="shared" si="0"/>
        <v>EUL</v>
      </c>
      <c r="W50" s="191">
        <v>13</v>
      </c>
      <c r="X50" s="191">
        <v>13</v>
      </c>
      <c r="Y50" s="191">
        <v>13</v>
      </c>
      <c r="Z50" s="289">
        <v>13</v>
      </c>
      <c r="AA50" s="289">
        <v>13</v>
      </c>
      <c r="AB50" s="71">
        <v>13</v>
      </c>
      <c r="AC50" s="289">
        <v>13</v>
      </c>
      <c r="AD50" s="289">
        <v>13</v>
      </c>
      <c r="AE50" s="191"/>
      <c r="AF50" s="191"/>
      <c r="AG50" s="191"/>
      <c r="AU50" s="145"/>
    </row>
    <row r="51" spans="2:57" ht="15" hidden="1" customHeight="1" outlineLevel="1" x14ac:dyDescent="0.35">
      <c r="D51" s="3441" t="str">
        <f>N6</f>
        <v>Inc. Cost</v>
      </c>
      <c r="E51" s="3441" t="str">
        <f>'HVAC Deemed Table'!E101</f>
        <v>Incremental Cost ($)</v>
      </c>
      <c r="F51" s="389">
        <v>588</v>
      </c>
      <c r="G51" s="3763"/>
      <c r="H51" s="3763"/>
      <c r="I51" s="159" t="s">
        <v>184</v>
      </c>
      <c r="V51" s="1636" t="str">
        <f t="shared" si="0"/>
        <v>Inc. Cost</v>
      </c>
      <c r="W51" s="193">
        <v>588</v>
      </c>
      <c r="X51" s="193">
        <v>588</v>
      </c>
      <c r="Y51" s="193">
        <v>588</v>
      </c>
      <c r="Z51" s="389">
        <v>588</v>
      </c>
      <c r="AA51" s="389">
        <v>588</v>
      </c>
      <c r="AB51" s="1712">
        <v>588</v>
      </c>
      <c r="AC51" s="389">
        <v>588</v>
      </c>
      <c r="AD51" s="389">
        <v>588</v>
      </c>
      <c r="AE51" s="193"/>
      <c r="AF51" s="193"/>
      <c r="AG51" s="193"/>
      <c r="AU51" s="145"/>
    </row>
    <row r="52" spans="2:57" collapsed="1" x14ac:dyDescent="0.35">
      <c r="D52" s="194"/>
      <c r="E52" s="194"/>
      <c r="F52" s="195"/>
      <c r="G52" s="195"/>
      <c r="H52" s="195"/>
      <c r="I52" s="195"/>
      <c r="J52" s="195"/>
      <c r="K52" s="195"/>
      <c r="L52" s="195"/>
      <c r="M52" s="195"/>
      <c r="N52" s="195"/>
      <c r="O52" s="195"/>
      <c r="X52" s="30"/>
      <c r="Y52" s="30"/>
      <c r="Z52" s="30"/>
      <c r="AA52" s="30"/>
      <c r="AU52" s="145"/>
    </row>
    <row r="53" spans="2:57" x14ac:dyDescent="0.35">
      <c r="X53" s="30"/>
      <c r="Y53" s="30"/>
      <c r="Z53" s="30"/>
      <c r="AA53" s="30"/>
      <c r="AU53" s="145"/>
    </row>
    <row r="54" spans="2:57" x14ac:dyDescent="0.35">
      <c r="B54" s="3664" t="s">
        <v>253</v>
      </c>
      <c r="C54" s="3665"/>
      <c r="D54" s="3665"/>
      <c r="E54" s="3665"/>
      <c r="F54" s="3665"/>
      <c r="G54" s="3665"/>
      <c r="H54" s="3665"/>
      <c r="I54" s="3666"/>
      <c r="J54" s="3666"/>
      <c r="K54" s="3666"/>
      <c r="L54" s="3666"/>
      <c r="M54" s="3666"/>
      <c r="N54" s="3666"/>
      <c r="O54" s="3667"/>
      <c r="P54" s="199"/>
      <c r="Q54" s="199"/>
      <c r="V54" s="3664" t="str">
        <f>B54</f>
        <v>Learning Thermostat / Advanced Thermostat</v>
      </c>
      <c r="W54" s="3665"/>
      <c r="X54" s="3665"/>
      <c r="Y54" s="3665"/>
      <c r="Z54" s="3665"/>
      <c r="AA54" s="3665"/>
      <c r="AB54" s="3665"/>
      <c r="AC54" s="3680"/>
      <c r="AD54" s="3680"/>
      <c r="AE54" s="3680"/>
      <c r="AF54" s="3680"/>
      <c r="AG54" s="3680"/>
      <c r="AH54" s="3680"/>
      <c r="AI54" s="3681"/>
      <c r="AU54" s="145"/>
    </row>
    <row r="55" spans="2:57" x14ac:dyDescent="0.35">
      <c r="B55" s="1040"/>
      <c r="C55" s="197"/>
      <c r="E55" s="292" t="s">
        <v>254</v>
      </c>
      <c r="F55" s="198"/>
      <c r="G55" s="198"/>
      <c r="H55" s="198"/>
      <c r="I55" s="198"/>
      <c r="J55" s="198"/>
      <c r="K55" s="198"/>
      <c r="L55" s="1219"/>
      <c r="M55" s="199"/>
      <c r="N55" s="199"/>
      <c r="O55" s="199"/>
      <c r="P55" s="199"/>
      <c r="Q55" s="199"/>
      <c r="AU55" s="145"/>
    </row>
    <row r="56" spans="2:57" ht="29" x14ac:dyDescent="0.35">
      <c r="B56" s="1040"/>
      <c r="C56" s="3438" t="s">
        <v>27</v>
      </c>
      <c r="D56" s="3438" t="s">
        <v>174</v>
      </c>
      <c r="E56" s="3438" t="s">
        <v>29</v>
      </c>
      <c r="F56" s="3438" t="s">
        <v>30</v>
      </c>
      <c r="G56" s="3438" t="s">
        <v>175</v>
      </c>
      <c r="H56" s="3438" t="s">
        <v>176</v>
      </c>
      <c r="I56" s="3438" t="s">
        <v>31</v>
      </c>
      <c r="J56" s="3451" t="s">
        <v>180</v>
      </c>
      <c r="K56" s="3438" t="s">
        <v>169</v>
      </c>
      <c r="L56" s="3438" t="s">
        <v>43</v>
      </c>
      <c r="M56" s="3462"/>
      <c r="N56" s="3462"/>
      <c r="O56" s="199"/>
      <c r="P56" s="199"/>
      <c r="Q56" s="199"/>
      <c r="V56" s="1572" t="s">
        <v>44</v>
      </c>
      <c r="W56" s="1573">
        <v>43252</v>
      </c>
      <c r="X56" s="1573">
        <f>$X$6</f>
        <v>43465</v>
      </c>
      <c r="Y56" s="1573">
        <f>$Y$6</f>
        <v>43800</v>
      </c>
      <c r="Z56" s="1573">
        <f>$Z$6</f>
        <v>43862</v>
      </c>
      <c r="AA56" s="1573">
        <f>$AA$6</f>
        <v>44013</v>
      </c>
      <c r="AB56" s="1573">
        <f>$AB$6</f>
        <v>44166</v>
      </c>
      <c r="AC56" s="1573">
        <f>$AC$6</f>
        <v>44531</v>
      </c>
      <c r="AD56" s="1573">
        <f>$AD$6</f>
        <v>44774</v>
      </c>
      <c r="AE56" s="1573" t="str">
        <f>$AE$6</f>
        <v>-</v>
      </c>
      <c r="AF56" s="1573" t="str">
        <f>$AF$6</f>
        <v>-</v>
      </c>
      <c r="AG56" s="1573" t="str">
        <f>$AG$6</f>
        <v>-</v>
      </c>
      <c r="AU56" s="145"/>
      <c r="BB56" s="1584" t="str">
        <f>$BB$6</f>
        <v>TRC (2020)</v>
      </c>
      <c r="BC56" s="1584" t="str">
        <f>$BC$6</f>
        <v>Benefit Lookup</v>
      </c>
      <c r="BD56" s="200" t="str">
        <f>$BD$6</f>
        <v>Benefits (2019 $)</v>
      </c>
      <c r="BE56" s="200" t="str">
        <f>$BE$6</f>
        <v>Incremental Cost (2019 $)</v>
      </c>
    </row>
    <row r="57" spans="2:57" x14ac:dyDescent="0.35">
      <c r="B57" s="1040"/>
      <c r="C57" s="135" t="s">
        <v>255</v>
      </c>
      <c r="D57" s="3465" t="s">
        <v>182</v>
      </c>
      <c r="E57" s="3249" t="s">
        <v>256</v>
      </c>
      <c r="F57" s="3250">
        <f>ROUND($F$142*(($F$150*$F$152*1/$F$154)/1000)*$F$155*$F$131,2)</f>
        <v>190.21</v>
      </c>
      <c r="G57" s="1849" t="s">
        <v>257</v>
      </c>
      <c r="H57" s="136">
        <f>VLOOKUP(G57,'CP FACTORS'!$A$3:$B$38, 2, FALSE)</f>
        <v>9.4741810000000004E-4</v>
      </c>
      <c r="I57" s="3251">
        <f t="shared" ref="I57:I80" si="1">ROUND(H57*F57,6)</f>
        <v>0.18020800000000001</v>
      </c>
      <c r="J57" s="1020">
        <f t="shared" ref="J57:J80" si="2">$F$165</f>
        <v>10</v>
      </c>
      <c r="K57" s="3252">
        <f>$F$166</f>
        <v>125</v>
      </c>
      <c r="L57" s="3253" t="s">
        <v>184</v>
      </c>
      <c r="M57" s="199"/>
      <c r="N57" s="205"/>
      <c r="O57" s="3462"/>
      <c r="P57" s="3462"/>
      <c r="Q57" s="1215"/>
      <c r="R57" s="1214"/>
      <c r="V57" s="141" t="str">
        <f>$F$56</f>
        <v>kWh Annual Savings</v>
      </c>
      <c r="W57" s="206">
        <v>192.51692307692309</v>
      </c>
      <c r="X57" s="207">
        <v>187.92922225947771</v>
      </c>
      <c r="Y57" s="208">
        <v>187.46</v>
      </c>
      <c r="Z57" s="1684">
        <v>187.46</v>
      </c>
      <c r="AA57" s="1684">
        <v>187.46</v>
      </c>
      <c r="AB57" s="1599">
        <v>185.21</v>
      </c>
      <c r="AC57" s="2138">
        <v>190.21</v>
      </c>
      <c r="AD57" s="3254">
        <f>ROUND($F$142*(($F$150*$F$152*1/$F$154)/1000)*$F$155*$F$131,2)</f>
        <v>190.21</v>
      </c>
      <c r="AE57" s="141"/>
      <c r="AF57" s="141"/>
      <c r="AG57" s="141"/>
      <c r="AH57" s="144"/>
      <c r="AU57" s="145"/>
      <c r="BB57" s="209">
        <f>(BD57+BD58)/(BE57+BE58)</f>
        <v>2.9606087829737757</v>
      </c>
      <c r="BC57" s="201" t="str">
        <f t="shared" ref="BC57:BC80" si="3">CONCATENATE(G57," ",J57," Year EUL")</f>
        <v>Cooling RES 10 Year EUL</v>
      </c>
      <c r="BD57" s="95">
        <f>(INDEX('Avoided Cost Benefits'!$E$4:$E$859,MATCH(BC57,'Avoided Cost Benefits'!$A$4:$A$859,0)))*F57</f>
        <v>202.27029482671782</v>
      </c>
      <c r="BE57" s="1579">
        <f t="shared" ref="BE57:BE80" si="4">K57/(1.0595^(2020-2019))</f>
        <v>117.98017932987257</v>
      </c>
    </row>
    <row r="58" spans="2:57" x14ac:dyDescent="0.35">
      <c r="B58" s="1040"/>
      <c r="C58" s="135" t="s">
        <v>255</v>
      </c>
      <c r="D58" s="3465" t="s">
        <v>182</v>
      </c>
      <c r="E58" s="1621" t="s">
        <v>256</v>
      </c>
      <c r="F58" s="3250">
        <f>ROUND($F$99*$F$107*$F$119*$F$127*$F$131+$F$133*$F$141*29.3,2)</f>
        <v>550.48</v>
      </c>
      <c r="G58" s="1849" t="s">
        <v>258</v>
      </c>
      <c r="H58" s="136">
        <f>VLOOKUP(G58,'CP FACTORS'!$A$3:$B$38, 2, FALSE)</f>
        <v>0</v>
      </c>
      <c r="I58" s="3251">
        <f t="shared" si="1"/>
        <v>0</v>
      </c>
      <c r="J58" s="1020">
        <f t="shared" si="2"/>
        <v>10</v>
      </c>
      <c r="K58" s="3252"/>
      <c r="L58" s="3253" t="s">
        <v>184</v>
      </c>
      <c r="M58" s="199"/>
      <c r="N58" s="205"/>
      <c r="O58" s="3462"/>
      <c r="P58" s="211"/>
      <c r="Q58" s="1215"/>
      <c r="R58" s="1214"/>
      <c r="V58" s="141" t="str">
        <f t="shared" ref="V58:V80" si="5">$F$56</f>
        <v>kWh Annual Savings</v>
      </c>
      <c r="W58" s="206">
        <v>661.9754064</v>
      </c>
      <c r="X58" s="207">
        <v>552.61606399999994</v>
      </c>
      <c r="Y58" s="208">
        <v>557.16</v>
      </c>
      <c r="Z58" s="1684">
        <v>557.16</v>
      </c>
      <c r="AA58" s="1684">
        <v>557.16</v>
      </c>
      <c r="AB58" s="1599">
        <v>550.48</v>
      </c>
      <c r="AC58" s="202">
        <v>550.48</v>
      </c>
      <c r="AD58" s="3254">
        <f>ROUND($F$99*$F$107*$F$119*$F$127*$F$131+$F$133*$F$141*29.3,2)</f>
        <v>550.48</v>
      </c>
      <c r="AE58" s="141"/>
      <c r="AF58" s="141"/>
      <c r="AG58" s="141"/>
      <c r="AH58" s="144"/>
      <c r="AU58" s="145"/>
      <c r="BB58" s="212"/>
      <c r="BC58" s="210" t="str">
        <f t="shared" si="3"/>
        <v>Heating RES 10 Year EUL</v>
      </c>
      <c r="BD58" s="98">
        <f>(INDEX('Avoided Cost Benefits'!$E$4:$E$859,MATCH(BC58,'Avoided Cost Benefits'!$A$4:$A$859,0)))*F58</f>
        <v>147.02286031412405</v>
      </c>
      <c r="BE58" s="1581">
        <f t="shared" si="4"/>
        <v>0</v>
      </c>
    </row>
    <row r="59" spans="2:57" x14ac:dyDescent="0.35">
      <c r="B59" s="1040"/>
      <c r="C59" s="135" t="s">
        <v>259</v>
      </c>
      <c r="D59" s="3465" t="s">
        <v>182</v>
      </c>
      <c r="E59" s="3249" t="s">
        <v>260</v>
      </c>
      <c r="F59" s="3250">
        <f>ROUND($F$143*(($F$150*$F$153*1/$F$154)/1000)*$F$155*$F$131,2)</f>
        <v>190.21</v>
      </c>
      <c r="G59" s="1849" t="s">
        <v>257</v>
      </c>
      <c r="H59" s="136">
        <f>VLOOKUP(G59,'CP FACTORS'!$A$3:$B$38, 2, FALSE)</f>
        <v>9.4741810000000004E-4</v>
      </c>
      <c r="I59" s="3251">
        <f t="shared" si="1"/>
        <v>0.18020800000000001</v>
      </c>
      <c r="J59" s="1020">
        <f t="shared" si="2"/>
        <v>10</v>
      </c>
      <c r="K59" s="3252">
        <f>$F$166</f>
        <v>125</v>
      </c>
      <c r="L59" s="3253" t="s">
        <v>184</v>
      </c>
      <c r="M59" s="199"/>
      <c r="N59" s="205"/>
      <c r="O59" s="3462"/>
      <c r="P59" s="211"/>
      <c r="Q59" s="1215"/>
      <c r="R59" s="1214"/>
      <c r="V59" s="141" t="str">
        <f t="shared" si="5"/>
        <v>kWh Annual Savings</v>
      </c>
      <c r="W59" s="206"/>
      <c r="X59" s="207"/>
      <c r="Y59" s="208">
        <v>187.46</v>
      </c>
      <c r="Z59" s="1684">
        <v>187.46</v>
      </c>
      <c r="AA59" s="1684">
        <v>187.46</v>
      </c>
      <c r="AB59" s="1599">
        <v>185.21</v>
      </c>
      <c r="AC59" s="2138">
        <v>190.21</v>
      </c>
      <c r="AD59" s="3254">
        <f>ROUND($F$143*(($F$150*$F$153*1/$F$154)/1000)*$F$155*$F$131,2)</f>
        <v>190.21</v>
      </c>
      <c r="AE59" s="141"/>
      <c r="AF59" s="141"/>
      <c r="AG59" s="141"/>
      <c r="AH59" s="144"/>
      <c r="AU59" s="145"/>
      <c r="BB59" s="214">
        <f>(BD59+BD60)/(BE59+BE60)</f>
        <v>2.5244688758080698</v>
      </c>
      <c r="BC59" s="201" t="str">
        <f t="shared" si="3"/>
        <v>Cooling RES 10 Year EUL</v>
      </c>
      <c r="BD59" s="98">
        <f>(INDEX('Avoided Cost Benefits'!$E$4:$E$859,MATCH(BC59,'Avoided Cost Benefits'!$A$4:$A$859,0)))*F59</f>
        <v>202.27029482671782</v>
      </c>
      <c r="BE59" s="1581">
        <f t="shared" si="4"/>
        <v>117.98017932987257</v>
      </c>
    </row>
    <row r="60" spans="2:57" x14ac:dyDescent="0.35">
      <c r="B60" s="1040"/>
      <c r="C60" s="135" t="s">
        <v>259</v>
      </c>
      <c r="D60" s="3465" t="s">
        <v>182</v>
      </c>
      <c r="E60" s="1621" t="s">
        <v>260</v>
      </c>
      <c r="F60" s="3254">
        <f>ROUND($F$100*$F$108*$F$120*$F$127*$F$131+$F$133*$F$141*29.3,2)</f>
        <v>357.82</v>
      </c>
      <c r="G60" s="1849" t="s">
        <v>258</v>
      </c>
      <c r="H60" s="136">
        <f>VLOOKUP(G60,'CP FACTORS'!$A$3:$B$38, 2, FALSE)</f>
        <v>0</v>
      </c>
      <c r="I60" s="3251">
        <f t="shared" si="1"/>
        <v>0</v>
      </c>
      <c r="J60" s="1020">
        <f t="shared" si="2"/>
        <v>10</v>
      </c>
      <c r="K60" s="3252"/>
      <c r="L60" s="3253" t="s">
        <v>184</v>
      </c>
      <c r="M60" s="199"/>
      <c r="N60" s="205"/>
      <c r="O60" s="3462"/>
      <c r="P60" s="211"/>
      <c r="Q60" s="1215"/>
      <c r="R60" s="1214"/>
      <c r="V60" s="141" t="str">
        <f t="shared" si="5"/>
        <v>kWh Annual Savings</v>
      </c>
      <c r="W60" s="206"/>
      <c r="X60" s="207"/>
      <c r="Y60" s="208">
        <v>362.16</v>
      </c>
      <c r="Z60" s="1684">
        <v>362.16</v>
      </c>
      <c r="AA60" s="1684">
        <v>362.16</v>
      </c>
      <c r="AB60" s="1599">
        <v>357.82</v>
      </c>
      <c r="AC60" s="202">
        <v>357.82</v>
      </c>
      <c r="AD60" s="3254">
        <f>ROUND($F$100*$F$108*$F$120*$F$127*$F$131+$F$133*$F$141*29.3,2)</f>
        <v>357.82</v>
      </c>
      <c r="AE60" s="141"/>
      <c r="AF60" s="141"/>
      <c r="AG60" s="141"/>
      <c r="AH60" s="144"/>
      <c r="AU60" s="145"/>
      <c r="BB60" s="212"/>
      <c r="BC60" s="210" t="str">
        <f t="shared" si="3"/>
        <v>Heating RES 10 Year EUL</v>
      </c>
      <c r="BD60" s="98">
        <f>(INDEX('Avoided Cost Benefits'!$E$4:$E$859,MATCH(BC60,'Avoided Cost Benefits'!$A$4:$A$859,0)))*F60</f>
        <v>95.566995853800066</v>
      </c>
      <c r="BE60" s="1581">
        <f t="shared" si="4"/>
        <v>0</v>
      </c>
    </row>
    <row r="61" spans="2:57" x14ac:dyDescent="0.35">
      <c r="B61" s="1040"/>
      <c r="C61" s="135" t="s">
        <v>261</v>
      </c>
      <c r="D61" s="1545" t="str">
        <f>CONCATENATE(D59,"_CompE")</f>
        <v>Efficient Products_CompE</v>
      </c>
      <c r="E61" s="3448" t="str">
        <f>CONCATENATE(E59,"_CompE")</f>
        <v>Learning Thermostat - ASHP heating/cooling MF_CompE</v>
      </c>
      <c r="F61" s="3250">
        <f>ROUND($F$143*(($F$151*$F$153*1/$F$154)/1000)*$F$155*$F$131,2)</f>
        <v>138.33000000000001</v>
      </c>
      <c r="G61" s="1849" t="s">
        <v>257</v>
      </c>
      <c r="H61" s="136">
        <f>VLOOKUP(G61,'CP FACTORS'!$A$3:$B$38, 2, FALSE)</f>
        <v>9.4741810000000004E-4</v>
      </c>
      <c r="I61" s="3251">
        <f t="shared" si="1"/>
        <v>0.13105600000000001</v>
      </c>
      <c r="J61" s="1020">
        <f t="shared" si="2"/>
        <v>10</v>
      </c>
      <c r="K61" s="3252">
        <f>$F$166</f>
        <v>125</v>
      </c>
      <c r="L61" s="3253" t="s">
        <v>184</v>
      </c>
      <c r="M61" s="199"/>
      <c r="N61" s="205"/>
      <c r="O61" s="3462"/>
      <c r="P61" s="211"/>
      <c r="Q61" s="1215"/>
      <c r="R61" s="1214"/>
      <c r="V61" s="141" t="str">
        <f t="shared" si="5"/>
        <v>kWh Annual Savings</v>
      </c>
      <c r="W61" s="206"/>
      <c r="X61" s="207"/>
      <c r="Y61" s="208">
        <v>136.33000000000001</v>
      </c>
      <c r="Z61" s="1684">
        <v>136.33000000000001</v>
      </c>
      <c r="AA61" s="1684">
        <v>136.33000000000001</v>
      </c>
      <c r="AB61" s="1599">
        <v>134.69999999999999</v>
      </c>
      <c r="AC61" s="2138">
        <v>138.33000000000001</v>
      </c>
      <c r="AD61" s="3254">
        <f>ROUND($F$143*(($F$151*$F$153*1/$F$154)/1000)*$F$155*$F$131,2)</f>
        <v>138.33000000000001</v>
      </c>
      <c r="AE61" s="141"/>
      <c r="AF61" s="141"/>
      <c r="AG61" s="141"/>
      <c r="AH61" s="144"/>
      <c r="AU61" s="145"/>
      <c r="BA61" s="69"/>
      <c r="BB61" s="214">
        <f>(BD61+BD62)/(BE61+BE62)</f>
        <v>1.5224192903352713</v>
      </c>
      <c r="BC61" s="201" t="str">
        <f t="shared" si="3"/>
        <v>Cooling RES 10 Year EUL</v>
      </c>
      <c r="BD61" s="98">
        <f>(INDEX('Avoided Cost Benefits'!$E$4:$E$859,MATCH(BC61,'Avoided Cost Benefits'!$A$4:$A$859,0)))*F61</f>
        <v>147.10083530508322</v>
      </c>
      <c r="BE61" s="1581">
        <f t="shared" si="4"/>
        <v>117.98017932987257</v>
      </c>
    </row>
    <row r="62" spans="2:57" x14ac:dyDescent="0.35">
      <c r="B62" s="1040"/>
      <c r="C62" s="135" t="s">
        <v>261</v>
      </c>
      <c r="D62" s="1545" t="str">
        <f>CONCATENATE(D60,"_CompE")</f>
        <v>Efficient Products_CompE</v>
      </c>
      <c r="E62" s="3449" t="str">
        <f>CONCATENATE(E60,"_CompE")</f>
        <v>Learning Thermostat - ASHP heating/cooling MF_CompE</v>
      </c>
      <c r="F62" s="3250">
        <f>ROUND($F$100*$F$109*$F$120*$F$127*$F$131+$F$133*$F$141*29.3,2)</f>
        <v>121.74</v>
      </c>
      <c r="G62" s="1849" t="s">
        <v>258</v>
      </c>
      <c r="H62" s="136">
        <f>VLOOKUP(G62,'CP FACTORS'!$A$3:$B$38, 2, FALSE)</f>
        <v>0</v>
      </c>
      <c r="I62" s="3251">
        <f t="shared" si="1"/>
        <v>0</v>
      </c>
      <c r="J62" s="1020">
        <f t="shared" si="2"/>
        <v>10</v>
      </c>
      <c r="K62" s="3252"/>
      <c r="L62" s="3253" t="s">
        <v>184</v>
      </c>
      <c r="M62" s="199"/>
      <c r="N62" s="205"/>
      <c r="O62" s="3462"/>
      <c r="P62" s="211"/>
      <c r="Q62" s="1215"/>
      <c r="R62" s="1214"/>
      <c r="V62" s="141" t="str">
        <f t="shared" si="5"/>
        <v>kWh Annual Savings</v>
      </c>
      <c r="W62" s="206"/>
      <c r="X62" s="207"/>
      <c r="Y62" s="208">
        <v>123.22</v>
      </c>
      <c r="Z62" s="1684">
        <v>123.22</v>
      </c>
      <c r="AA62" s="1684">
        <v>123.22</v>
      </c>
      <c r="AB62" s="1599">
        <v>121.74</v>
      </c>
      <c r="AC62" s="202">
        <v>121.74</v>
      </c>
      <c r="AD62" s="3254">
        <f>ROUND($F$100*$F$109*$F$120*$F$127*$F$131+$F$133*$F$141*29.3,2)</f>
        <v>121.74</v>
      </c>
      <c r="AE62" s="141"/>
      <c r="AF62" s="141"/>
      <c r="AG62" s="141"/>
      <c r="AH62" s="144"/>
      <c r="AU62" s="145"/>
      <c r="BB62" s="212"/>
      <c r="BC62" s="210" t="str">
        <f t="shared" si="3"/>
        <v>Heating RES 10 Year EUL</v>
      </c>
      <c r="BD62" s="98">
        <f>(INDEX('Avoided Cost Benefits'!$E$4:$E$859,MATCH(BC62,'Avoided Cost Benefits'!$A$4:$A$859,0)))*F62</f>
        <v>32.514465583929407</v>
      </c>
      <c r="BE62" s="1581">
        <f t="shared" si="4"/>
        <v>0</v>
      </c>
    </row>
    <row r="63" spans="2:57" x14ac:dyDescent="0.35">
      <c r="B63" s="1040"/>
      <c r="C63" s="135" t="s">
        <v>262</v>
      </c>
      <c r="D63" s="3465" t="s">
        <v>182</v>
      </c>
      <c r="E63" s="3249" t="s">
        <v>263</v>
      </c>
      <c r="F63" s="3250">
        <f>ROUND($F$144*(($F$150*$F$153*1/$F$154)/1000)*$F$155*$F$131,2)</f>
        <v>190.21</v>
      </c>
      <c r="G63" s="1849" t="s">
        <v>257</v>
      </c>
      <c r="H63" s="136">
        <f>VLOOKUP(G63,'CP FACTORS'!$A$3:$B$38, 2, FALSE)</f>
        <v>9.4741810000000004E-4</v>
      </c>
      <c r="I63" s="3251">
        <f t="shared" si="1"/>
        <v>0.18020800000000001</v>
      </c>
      <c r="J63" s="1020">
        <f t="shared" si="2"/>
        <v>10</v>
      </c>
      <c r="K63" s="3252">
        <f>$F$166</f>
        <v>125</v>
      </c>
      <c r="L63" s="3253" t="s">
        <v>184</v>
      </c>
      <c r="M63" s="199"/>
      <c r="N63" s="205"/>
      <c r="O63" s="3462"/>
      <c r="P63" s="215"/>
      <c r="Q63" s="1215"/>
      <c r="R63" s="1214"/>
      <c r="V63" s="141" t="str">
        <f t="shared" si="5"/>
        <v>kWh Annual Savings</v>
      </c>
      <c r="W63" s="206">
        <v>192.51692307692309</v>
      </c>
      <c r="X63" s="207">
        <v>122.15399446866051</v>
      </c>
      <c r="Y63" s="208">
        <v>187.46</v>
      </c>
      <c r="Z63" s="1684">
        <v>187.46</v>
      </c>
      <c r="AA63" s="1684">
        <v>187.46</v>
      </c>
      <c r="AB63" s="1599">
        <v>185.21</v>
      </c>
      <c r="AC63" s="2138">
        <v>190.21</v>
      </c>
      <c r="AD63" s="3254">
        <f>ROUND($F$144*(($F$150*$F$153*1/$F$154)/1000)*$F$155*$F$131,2)</f>
        <v>190.21</v>
      </c>
      <c r="AE63" s="141"/>
      <c r="AF63" s="141"/>
      <c r="AG63" s="141"/>
      <c r="AH63" s="144"/>
      <c r="AU63" s="145"/>
      <c r="BB63" s="214">
        <f>(BD63+BD64)/(BE63+BE64)</f>
        <v>3.0913194558677231</v>
      </c>
      <c r="BC63" s="201" t="str">
        <f t="shared" si="3"/>
        <v>Cooling RES 10 Year EUL</v>
      </c>
      <c r="BD63" s="98">
        <f>(INDEX('Avoided Cost Benefits'!$E$4:$E$859,MATCH(BC63,'Avoided Cost Benefits'!$A$4:$A$859,0)))*F63</f>
        <v>202.27029482671782</v>
      </c>
      <c r="BE63" s="1581">
        <f t="shared" si="4"/>
        <v>117.98017932987257</v>
      </c>
    </row>
    <row r="64" spans="2:57" x14ac:dyDescent="0.35">
      <c r="B64" s="1040"/>
      <c r="C64" s="135" t="s">
        <v>262</v>
      </c>
      <c r="D64" s="3465" t="s">
        <v>182</v>
      </c>
      <c r="E64" s="1621" t="s">
        <v>263</v>
      </c>
      <c r="F64" s="3250">
        <f>ROUND($F$101*$F$110*$F$121*$F$127*$F$131+$F$135*$F$141*29.3,2)</f>
        <v>608.22</v>
      </c>
      <c r="G64" s="1849" t="s">
        <v>258</v>
      </c>
      <c r="H64" s="136">
        <f>VLOOKUP(G64,'CP FACTORS'!$A$3:$B$38, 2, FALSE)</f>
        <v>0</v>
      </c>
      <c r="I64" s="3251">
        <f t="shared" si="1"/>
        <v>0</v>
      </c>
      <c r="J64" s="1020">
        <f t="shared" si="2"/>
        <v>10</v>
      </c>
      <c r="K64" s="3252"/>
      <c r="L64" s="3253" t="s">
        <v>184</v>
      </c>
      <c r="M64" s="199"/>
      <c r="N64" s="205"/>
      <c r="O64" s="3462"/>
      <c r="P64" s="3462"/>
      <c r="Q64" s="1215"/>
      <c r="R64" s="1214"/>
      <c r="V64" s="141" t="str">
        <f t="shared" si="5"/>
        <v>kWh Annual Savings</v>
      </c>
      <c r="W64" s="206">
        <v>710.41841416</v>
      </c>
      <c r="X64" s="207">
        <v>617.03664664150949</v>
      </c>
      <c r="Y64" s="208">
        <v>615.61</v>
      </c>
      <c r="Z64" s="1684">
        <v>615.61</v>
      </c>
      <c r="AA64" s="1684">
        <v>615.61</v>
      </c>
      <c r="AB64" s="1599">
        <v>608.22</v>
      </c>
      <c r="AC64" s="202">
        <v>608.22</v>
      </c>
      <c r="AD64" s="3254">
        <f>ROUND($F$101*$F$110*$F$121*$F$127*$F$131+$F$135*$F$141*29.3,2)</f>
        <v>608.22</v>
      </c>
      <c r="AE64" s="141"/>
      <c r="AF64" s="141"/>
      <c r="AG64" s="141"/>
      <c r="AH64" s="144"/>
      <c r="AU64" s="145"/>
      <c r="BB64" s="212"/>
      <c r="BC64" s="210" t="str">
        <f t="shared" si="3"/>
        <v>Heating RES 10 Year EUL</v>
      </c>
      <c r="BD64" s="98">
        <f>(INDEX('Avoided Cost Benefits'!$E$4:$E$859,MATCH(BC64,'Avoided Cost Benefits'!$A$4:$A$859,0)))*F64</f>
        <v>162.44412894248023</v>
      </c>
      <c r="BE64" s="1581">
        <f t="shared" si="4"/>
        <v>0</v>
      </c>
    </row>
    <row r="65" spans="2:57" x14ac:dyDescent="0.35">
      <c r="B65" s="1040"/>
      <c r="C65" s="135" t="s">
        <v>264</v>
      </c>
      <c r="D65" s="1545" t="str">
        <f>CONCATENATE(D63,"_CompE")</f>
        <v>Efficient Products_CompE</v>
      </c>
      <c r="E65" s="3448" t="str">
        <f>CONCATENATE(E63,"_CompE")</f>
        <v>Learning Thermostat - electric furnace heating / central AC MF_CompE</v>
      </c>
      <c r="F65" s="3250">
        <f>ROUND($F$144*(($F$151*$F$153*1/$F$154)/1000)*$F$155*$F$131,2)</f>
        <v>138.33000000000001</v>
      </c>
      <c r="G65" s="1849" t="s">
        <v>257</v>
      </c>
      <c r="H65" s="136">
        <f>VLOOKUP(G65,'CP FACTORS'!$A$3:$B$38, 2, FALSE)</f>
        <v>9.4741810000000004E-4</v>
      </c>
      <c r="I65" s="3251">
        <f t="shared" si="1"/>
        <v>0.13105600000000001</v>
      </c>
      <c r="J65" s="1020">
        <f t="shared" si="2"/>
        <v>10</v>
      </c>
      <c r="K65" s="3252">
        <f>$F$166</f>
        <v>125</v>
      </c>
      <c r="L65" s="3253" t="s">
        <v>184</v>
      </c>
      <c r="M65" s="199"/>
      <c r="N65" s="205"/>
      <c r="O65" s="3462"/>
      <c r="P65" s="3462"/>
      <c r="Q65" s="1215"/>
      <c r="R65" s="1214"/>
      <c r="V65" s="141" t="str">
        <f t="shared" si="5"/>
        <v>kWh Annual Savings</v>
      </c>
      <c r="W65" s="206"/>
      <c r="X65" s="207"/>
      <c r="Y65" s="208">
        <v>136.33000000000001</v>
      </c>
      <c r="Z65" s="1684">
        <v>136.33000000000001</v>
      </c>
      <c r="AA65" s="1684">
        <v>136.33000000000001</v>
      </c>
      <c r="AB65" s="1599">
        <v>134.69999999999999</v>
      </c>
      <c r="AC65" s="2138">
        <v>138.33000000000001</v>
      </c>
      <c r="AD65" s="3254">
        <f>ROUND($F$144*(($F$151*$F$153*1/$F$154)/1000)*$F$155*$F$131,2)</f>
        <v>138.33000000000001</v>
      </c>
      <c r="AE65" s="141"/>
      <c r="AF65" s="141"/>
      <c r="AG65" s="141"/>
      <c r="AH65" s="144"/>
      <c r="AU65" s="145"/>
      <c r="BA65" s="69"/>
      <c r="BB65" s="214">
        <f>(BD65+BD66)/(BE65+BE66)</f>
        <v>1.7152933694929486</v>
      </c>
      <c r="BC65" s="201" t="str">
        <f t="shared" si="3"/>
        <v>Cooling RES 10 Year EUL</v>
      </c>
      <c r="BD65" s="98">
        <f>(INDEX('Avoided Cost Benefits'!$E$4:$E$859,MATCH(BC65,'Avoided Cost Benefits'!$A$4:$A$859,0)))*F65</f>
        <v>147.10083530508322</v>
      </c>
      <c r="BE65" s="1581">
        <f t="shared" si="4"/>
        <v>117.98017932987257</v>
      </c>
    </row>
    <row r="66" spans="2:57" x14ac:dyDescent="0.35">
      <c r="B66" s="1040"/>
      <c r="C66" s="135" t="s">
        <v>264</v>
      </c>
      <c r="D66" s="1545" t="str">
        <f>CONCATENATE(D64,"_CompE")</f>
        <v>Efficient Products_CompE</v>
      </c>
      <c r="E66" s="3449" t="str">
        <f>CONCATENATE(E64,"_CompE")</f>
        <v>Learning Thermostat - electric furnace heating / central AC MF_CompE</v>
      </c>
      <c r="F66" s="3250">
        <f>ROUND($F$101*$F$111*$F$121*$F$127*$F$131+$F$135*$F$141*29.3,2)</f>
        <v>206.94</v>
      </c>
      <c r="G66" s="1849" t="s">
        <v>258</v>
      </c>
      <c r="H66" s="136">
        <f>VLOOKUP(G66,'CP FACTORS'!$A$3:$B$38, 2, FALSE)</f>
        <v>0</v>
      </c>
      <c r="I66" s="3251">
        <f t="shared" si="1"/>
        <v>0</v>
      </c>
      <c r="J66" s="1020">
        <f t="shared" si="2"/>
        <v>10</v>
      </c>
      <c r="K66" s="3252"/>
      <c r="L66" s="3253" t="s">
        <v>184</v>
      </c>
      <c r="M66" s="199"/>
      <c r="N66" s="205"/>
      <c r="O66" s="3462"/>
      <c r="P66" s="3462"/>
      <c r="Q66" s="1215"/>
      <c r="R66" s="1214"/>
      <c r="V66" s="141" t="str">
        <f t="shared" si="5"/>
        <v>kWh Annual Savings</v>
      </c>
      <c r="W66" s="206"/>
      <c r="X66" s="207"/>
      <c r="Y66" s="208">
        <v>209.45</v>
      </c>
      <c r="Z66" s="1684">
        <v>209.45</v>
      </c>
      <c r="AA66" s="1684">
        <v>209.45</v>
      </c>
      <c r="AB66" s="1599">
        <v>206.94</v>
      </c>
      <c r="AC66" s="202">
        <v>206.94</v>
      </c>
      <c r="AD66" s="3254">
        <f>ROUND($F$101*$F$111*$F$121*$F$127*$F$131+$F$135*$F$141*29.3,2)</f>
        <v>206.94</v>
      </c>
      <c r="AE66" s="141"/>
      <c r="AF66" s="141"/>
      <c r="AG66" s="141"/>
      <c r="AH66" s="144"/>
      <c r="AU66" s="145"/>
      <c r="BB66" s="212"/>
      <c r="BC66" s="210" t="str">
        <f t="shared" si="3"/>
        <v>Heating RES 10 Year EUL</v>
      </c>
      <c r="BD66" s="98">
        <f>(INDEX('Avoided Cost Benefits'!$E$4:$E$859,MATCH(BC66,'Avoided Cost Benefits'!$A$4:$A$859,0)))*F66</f>
        <v>55.269784031036238</v>
      </c>
      <c r="BE66" s="1581">
        <f t="shared" si="4"/>
        <v>0</v>
      </c>
    </row>
    <row r="67" spans="2:57" x14ac:dyDescent="0.35">
      <c r="B67" s="1040"/>
      <c r="C67" s="135" t="s">
        <v>265</v>
      </c>
      <c r="D67" s="3465" t="s">
        <v>182</v>
      </c>
      <c r="E67" s="3249" t="s">
        <v>266</v>
      </c>
      <c r="F67" s="3250">
        <f>ROUND($F$145*(($F$150*$F$152*1/$F$154)/1000)*$F$155*$F$131,2)</f>
        <v>190.21</v>
      </c>
      <c r="G67" s="1849" t="s">
        <v>257</v>
      </c>
      <c r="H67" s="136">
        <f>VLOOKUP(G67,'CP FACTORS'!$A$3:$B$38, 2, FALSE)</f>
        <v>9.4741810000000004E-4</v>
      </c>
      <c r="I67" s="3251">
        <f t="shared" si="1"/>
        <v>0.18020800000000001</v>
      </c>
      <c r="J67" s="1020">
        <f t="shared" si="2"/>
        <v>10</v>
      </c>
      <c r="K67" s="3252">
        <f>$F$166</f>
        <v>125</v>
      </c>
      <c r="L67" s="3253" t="s">
        <v>184</v>
      </c>
      <c r="M67" s="199"/>
      <c r="N67" s="205"/>
      <c r="O67" s="3462"/>
      <c r="P67" s="3462"/>
      <c r="Q67" s="1215"/>
      <c r="R67" s="1214"/>
      <c r="V67" s="141" t="str">
        <f t="shared" si="5"/>
        <v>kWh Annual Savings</v>
      </c>
      <c r="W67" s="206">
        <v>192.51692307692309</v>
      </c>
      <c r="X67" s="207">
        <v>187.92922225947771</v>
      </c>
      <c r="Y67" s="208">
        <v>187.46</v>
      </c>
      <c r="Z67" s="1684">
        <v>187.46</v>
      </c>
      <c r="AA67" s="1684">
        <v>187.46</v>
      </c>
      <c r="AB67" s="1599">
        <v>185.21</v>
      </c>
      <c r="AC67" s="2138">
        <v>190.21</v>
      </c>
      <c r="AD67" s="3254">
        <f>ROUND($F$145*(($F$150*$F$152*1/$F$154)/1000)*$F$155*$F$131,2)</f>
        <v>190.21</v>
      </c>
      <c r="AE67" s="141"/>
      <c r="AF67" s="141"/>
      <c r="AG67" s="141"/>
      <c r="AH67" s="144"/>
      <c r="AU67" s="145"/>
      <c r="BB67" s="214">
        <f>(BD67+BD68)/(BE67+BE68)</f>
        <v>3.8327074948834436</v>
      </c>
      <c r="BC67" s="201" t="str">
        <f t="shared" si="3"/>
        <v>Cooling RES 10 Year EUL</v>
      </c>
      <c r="BD67" s="98">
        <f>(INDEX('Avoided Cost Benefits'!$E$4:$E$859,MATCH(BC67,'Avoided Cost Benefits'!$A$4:$A$859,0)))*F67</f>
        <v>202.27029482671782</v>
      </c>
      <c r="BE67" s="1581">
        <f t="shared" si="4"/>
        <v>117.98017932987257</v>
      </c>
    </row>
    <row r="68" spans="2:57" x14ac:dyDescent="0.35">
      <c r="B68" s="1040"/>
      <c r="C68" s="135" t="s">
        <v>265</v>
      </c>
      <c r="D68" s="3465" t="s">
        <v>182</v>
      </c>
      <c r="E68" s="1621" t="s">
        <v>266</v>
      </c>
      <c r="F68" s="3250">
        <f>ROUND($F$102*$F$112*$F$122*$F$127*$F$131+$F$136*$F$141*29.3,2)</f>
        <v>935.72</v>
      </c>
      <c r="G68" s="1849" t="s">
        <v>258</v>
      </c>
      <c r="H68" s="136">
        <f>VLOOKUP(G68,'CP FACTORS'!$A$3:$B$38, 2, FALSE)</f>
        <v>0</v>
      </c>
      <c r="I68" s="3251">
        <f t="shared" si="1"/>
        <v>0</v>
      </c>
      <c r="J68" s="1020">
        <f t="shared" si="2"/>
        <v>10</v>
      </c>
      <c r="K68" s="3252"/>
      <c r="L68" s="3253" t="s">
        <v>184</v>
      </c>
      <c r="M68" s="199"/>
      <c r="N68" s="205"/>
      <c r="O68" s="3462"/>
      <c r="P68" s="3462"/>
      <c r="Q68" s="1215"/>
      <c r="R68" s="1214"/>
      <c r="V68" s="141" t="str">
        <f t="shared" si="5"/>
        <v>kWh Annual Savings</v>
      </c>
      <c r="W68" s="206">
        <v>1092.9514064</v>
      </c>
      <c r="X68" s="207">
        <v>949.28714867924521</v>
      </c>
      <c r="Y68" s="208">
        <v>947.09</v>
      </c>
      <c r="Z68" s="1684">
        <v>947.09</v>
      </c>
      <c r="AA68" s="1684">
        <v>947.09</v>
      </c>
      <c r="AB68" s="1599">
        <v>935.72</v>
      </c>
      <c r="AC68" s="202">
        <v>935.72</v>
      </c>
      <c r="AD68" s="3254">
        <f>ROUND($F$102*$F$112*$F$122*$F$127*$F$131+$F$136*$F$141*29.3,2)</f>
        <v>935.72</v>
      </c>
      <c r="AE68" s="141"/>
      <c r="AF68" s="141"/>
      <c r="AG68" s="141"/>
      <c r="AH68" s="144"/>
      <c r="AU68" s="145"/>
      <c r="BB68" s="212"/>
      <c r="BC68" s="210" t="str">
        <f t="shared" si="3"/>
        <v>Heating RES 10 Year EUL</v>
      </c>
      <c r="BD68" s="98">
        <f>(INDEX('Avoided Cost Benefits'!$E$4:$E$859,MATCH(BC68,'Avoided Cost Benefits'!$A$4:$A$859,0)))*F68</f>
        <v>249.9132227385775</v>
      </c>
      <c r="BE68" s="1581">
        <f t="shared" si="4"/>
        <v>0</v>
      </c>
    </row>
    <row r="69" spans="2:57" x14ac:dyDescent="0.35">
      <c r="B69" s="1040"/>
      <c r="C69" s="135" t="s">
        <v>267</v>
      </c>
      <c r="D69" s="3465" t="s">
        <v>182</v>
      </c>
      <c r="E69" s="3249" t="s">
        <v>268</v>
      </c>
      <c r="F69" s="3250">
        <f>ROUND($F$146*(($F$150*$F$152*1/$F$154)/1000)*$F$155*$F$131,2)</f>
        <v>190.21</v>
      </c>
      <c r="G69" s="1849" t="s">
        <v>257</v>
      </c>
      <c r="H69" s="136">
        <f>VLOOKUP(G69,'CP FACTORS'!$A$3:$B$38, 2, FALSE)</f>
        <v>9.4741810000000004E-4</v>
      </c>
      <c r="I69" s="3251">
        <f t="shared" si="1"/>
        <v>0.18020800000000001</v>
      </c>
      <c r="J69" s="1020">
        <f t="shared" si="2"/>
        <v>10</v>
      </c>
      <c r="K69" s="3252">
        <f>$F$166</f>
        <v>125</v>
      </c>
      <c r="L69" s="3253" t="s">
        <v>184</v>
      </c>
      <c r="M69" s="199"/>
      <c r="N69" s="205"/>
      <c r="O69" s="3462"/>
      <c r="P69" s="211"/>
      <c r="Q69" s="1215"/>
      <c r="R69" s="1214"/>
      <c r="V69" s="141" t="str">
        <f t="shared" si="5"/>
        <v>kWh Annual Savings</v>
      </c>
      <c r="W69" s="206">
        <v>192.51692307692309</v>
      </c>
      <c r="X69" s="207">
        <v>187.92922225947771</v>
      </c>
      <c r="Y69" s="208">
        <v>187.46</v>
      </c>
      <c r="Z69" s="1684">
        <v>187.46</v>
      </c>
      <c r="AA69" s="1684">
        <v>187.46</v>
      </c>
      <c r="AB69" s="1599">
        <v>185.21</v>
      </c>
      <c r="AC69" s="2138">
        <v>190.21</v>
      </c>
      <c r="AD69" s="3254">
        <f>ROUND($F$146*(($F$150*$F$152*1/$F$154)/1000)*$F$155*$F$131,2)</f>
        <v>190.21</v>
      </c>
      <c r="AE69" s="141"/>
      <c r="AF69" s="141"/>
      <c r="AG69" s="141"/>
      <c r="AH69" s="144"/>
      <c r="AU69" s="145"/>
      <c r="BB69" s="214">
        <f>(BD69+BD70)/(BE69+BE70)</f>
        <v>1.8080503331903446</v>
      </c>
      <c r="BC69" s="201" t="str">
        <f t="shared" si="3"/>
        <v>Cooling RES 10 Year EUL</v>
      </c>
      <c r="BD69" s="98">
        <f>(INDEX('Avoided Cost Benefits'!$E$4:$E$859,MATCH(BC69,'Avoided Cost Benefits'!$A$4:$A$859,0)))*F69</f>
        <v>202.27029482671782</v>
      </c>
      <c r="BE69" s="1581">
        <f t="shared" si="4"/>
        <v>117.98017932987257</v>
      </c>
    </row>
    <row r="70" spans="2:57" x14ac:dyDescent="0.35">
      <c r="B70" s="1040"/>
      <c r="C70" s="135" t="s">
        <v>267</v>
      </c>
      <c r="D70" s="3465" t="s">
        <v>182</v>
      </c>
      <c r="E70" s="1621" t="s">
        <v>268</v>
      </c>
      <c r="F70" s="3250">
        <f>ROUND($F$103*$F$113*$F$123*$F$127*$F$131+$F$137*$F$141*29.3,2)</f>
        <v>41.35</v>
      </c>
      <c r="G70" s="1849" t="s">
        <v>258</v>
      </c>
      <c r="H70" s="136">
        <f>VLOOKUP(G70,'CP FACTORS'!$A$3:$B$38, 2, FALSE)</f>
        <v>0</v>
      </c>
      <c r="I70" s="3251">
        <f t="shared" si="1"/>
        <v>0</v>
      </c>
      <c r="J70" s="1020">
        <f t="shared" si="2"/>
        <v>10</v>
      </c>
      <c r="K70" s="3252"/>
      <c r="L70" s="3253" t="s">
        <v>184</v>
      </c>
      <c r="M70" s="199"/>
      <c r="N70" s="205"/>
      <c r="O70" s="3462"/>
      <c r="P70" s="215"/>
      <c r="Q70" s="1215"/>
      <c r="R70" s="1214"/>
      <c r="V70" s="141" t="str">
        <f t="shared" si="5"/>
        <v>kWh Annual Savings</v>
      </c>
      <c r="W70" s="206">
        <v>46.295406399999997</v>
      </c>
      <c r="X70" s="206">
        <v>41.992474552808346</v>
      </c>
      <c r="Y70" s="208">
        <v>41.85</v>
      </c>
      <c r="Z70" s="1684">
        <v>41.85</v>
      </c>
      <c r="AA70" s="1684">
        <v>41.85</v>
      </c>
      <c r="AB70" s="1599">
        <v>41.35</v>
      </c>
      <c r="AC70" s="202">
        <v>41.35</v>
      </c>
      <c r="AD70" s="3254">
        <f>ROUND($F$103*$F$113*$F$123*$F$127*$F$131+$F$137*$F$141*29.3,2)</f>
        <v>41.35</v>
      </c>
      <c r="AE70" s="141"/>
      <c r="AF70" s="141"/>
      <c r="AG70" s="141"/>
      <c r="AH70" s="144"/>
      <c r="AU70" s="145"/>
      <c r="BB70" s="212"/>
      <c r="BC70" s="210" t="str">
        <f t="shared" si="3"/>
        <v>Heating RES 10 Year EUL</v>
      </c>
      <c r="BD70" s="98">
        <f>(INDEX('Avoided Cost Benefits'!$E$4:$E$859,MATCH(BC70,'Avoided Cost Benefits'!$A$4:$A$859,0)))*F70</f>
        <v>11.043807720514875</v>
      </c>
      <c r="BE70" s="1581">
        <f t="shared" si="4"/>
        <v>0</v>
      </c>
    </row>
    <row r="71" spans="2:57" x14ac:dyDescent="0.35">
      <c r="B71" s="1040"/>
      <c r="C71" s="135" t="s">
        <v>269</v>
      </c>
      <c r="D71" s="3465" t="s">
        <v>182</v>
      </c>
      <c r="E71" s="3249" t="s">
        <v>270</v>
      </c>
      <c r="F71" s="3250">
        <f>ROUND($F$147*(($F$150*$F$153*1/$F$154)/1000)*$F$155*$F$131,2)</f>
        <v>190.21</v>
      </c>
      <c r="G71" s="1849" t="s">
        <v>257</v>
      </c>
      <c r="H71" s="136">
        <f>VLOOKUP(G71,'CP FACTORS'!$A$3:$B$38, 2, FALSE)</f>
        <v>9.4741810000000004E-4</v>
      </c>
      <c r="I71" s="3251">
        <f t="shared" si="1"/>
        <v>0.18020800000000001</v>
      </c>
      <c r="J71" s="1020">
        <f t="shared" si="2"/>
        <v>10</v>
      </c>
      <c r="K71" s="3252">
        <f>$F$166</f>
        <v>125</v>
      </c>
      <c r="L71" s="3253" t="s">
        <v>184</v>
      </c>
      <c r="M71" s="199"/>
      <c r="N71" s="205"/>
      <c r="O71" s="3462"/>
      <c r="P71" s="215"/>
      <c r="Q71" s="1215"/>
      <c r="R71" s="1214"/>
      <c r="V71" s="141" t="str">
        <f t="shared" si="5"/>
        <v>kWh Annual Savings</v>
      </c>
      <c r="W71" s="206"/>
      <c r="X71" s="206"/>
      <c r="Y71" s="208">
        <v>136.33000000000001</v>
      </c>
      <c r="Z71" s="1684">
        <v>136.33000000000001</v>
      </c>
      <c r="AA71" s="1684">
        <v>136.33000000000001</v>
      </c>
      <c r="AB71" s="1599">
        <v>185.21</v>
      </c>
      <c r="AC71" s="2138">
        <v>190.21</v>
      </c>
      <c r="AD71" s="3254">
        <f>ROUND($F$147*(($F$150*$F$153*1/$F$154)/1000)*$F$155*$F$131,2)</f>
        <v>190.21</v>
      </c>
      <c r="AE71" s="141"/>
      <c r="AF71" s="141"/>
      <c r="AG71" s="141"/>
      <c r="AH71" s="144"/>
      <c r="AU71" s="145"/>
      <c r="BA71" s="69"/>
      <c r="BB71" s="214">
        <f>(BD71+BD72)/(BE71+BE72)</f>
        <v>1.7752934326573446</v>
      </c>
      <c r="BC71" s="201" t="str">
        <f t="shared" si="3"/>
        <v>Cooling RES 10 Year EUL</v>
      </c>
      <c r="BD71" s="98">
        <f>(INDEX('Avoided Cost Benefits'!$E$4:$E$859,MATCH(BC71,'Avoided Cost Benefits'!$A$4:$A$859,0)))*F71</f>
        <v>202.27029482671782</v>
      </c>
      <c r="BE71" s="1581">
        <f t="shared" si="4"/>
        <v>117.98017932987257</v>
      </c>
    </row>
    <row r="72" spans="2:57" x14ac:dyDescent="0.35">
      <c r="B72" s="1040"/>
      <c r="C72" s="135" t="s">
        <v>269</v>
      </c>
      <c r="D72" s="3465" t="s">
        <v>182</v>
      </c>
      <c r="E72" s="1621" t="s">
        <v>270</v>
      </c>
      <c r="F72" s="3250">
        <f>ROUND($F$104*$F$114*$F$124*$F$127*$F$131+$F$138*$F$141*29.3,2)</f>
        <v>26.88</v>
      </c>
      <c r="G72" s="1849" t="s">
        <v>258</v>
      </c>
      <c r="H72" s="136">
        <f>VLOOKUP(G72,'CP FACTORS'!$A$3:$B$38, 2, FALSE)</f>
        <v>0</v>
      </c>
      <c r="I72" s="3251">
        <f t="shared" si="1"/>
        <v>0</v>
      </c>
      <c r="J72" s="1020">
        <f t="shared" si="2"/>
        <v>10</v>
      </c>
      <c r="K72" s="3252"/>
      <c r="L72" s="3253" t="s">
        <v>184</v>
      </c>
      <c r="M72" s="199"/>
      <c r="N72" s="205"/>
      <c r="O72" s="3462"/>
      <c r="P72" s="215"/>
      <c r="Q72" s="1215"/>
      <c r="R72" s="1214"/>
      <c r="V72" s="141" t="str">
        <f t="shared" si="5"/>
        <v>kWh Annual Savings</v>
      </c>
      <c r="W72" s="206"/>
      <c r="X72" s="206"/>
      <c r="Y72" s="208">
        <v>27.2</v>
      </c>
      <c r="Z72" s="1684">
        <v>27.2</v>
      </c>
      <c r="AA72" s="1684">
        <v>27.2</v>
      </c>
      <c r="AB72" s="1599">
        <v>26.88</v>
      </c>
      <c r="AC72" s="202">
        <v>26.88</v>
      </c>
      <c r="AD72" s="3254">
        <f>ROUND($F$104*$F$114*$F$124*$F$127*$F$131+$F$138*$F$141*29.3,2)</f>
        <v>26.88</v>
      </c>
      <c r="AE72" s="141"/>
      <c r="AF72" s="141"/>
      <c r="AG72" s="141"/>
      <c r="AH72" s="144"/>
      <c r="AU72" s="145"/>
      <c r="BB72" s="212"/>
      <c r="BC72" s="210" t="str">
        <f t="shared" si="3"/>
        <v>Heating RES 10 Year EUL</v>
      </c>
      <c r="BD72" s="98">
        <f>(INDEX('Avoided Cost Benefits'!$E$4:$E$859,MATCH(BC72,'Avoided Cost Benefits'!$A$4:$A$859,0)))*F72</f>
        <v>7.1791427213407459</v>
      </c>
      <c r="BE72" s="1581">
        <f t="shared" si="4"/>
        <v>0</v>
      </c>
    </row>
    <row r="73" spans="2:57" x14ac:dyDescent="0.35">
      <c r="B73" s="1040"/>
      <c r="C73" s="135" t="s">
        <v>271</v>
      </c>
      <c r="D73" s="1545" t="str">
        <f>CONCATENATE(D71,"_CompE")</f>
        <v>Efficient Products_CompE</v>
      </c>
      <c r="E73" s="3448" t="s">
        <v>272</v>
      </c>
      <c r="F73" s="3250">
        <f>ROUND($F$147*(($F$151*$F$153*1/$F$154)/1000)*$F$155*$F$131,2)</f>
        <v>138.33000000000001</v>
      </c>
      <c r="G73" s="1849" t="s">
        <v>257</v>
      </c>
      <c r="H73" s="136">
        <f>VLOOKUP(G73,'CP FACTORS'!$A$3:$B$38, 2, FALSE)</f>
        <v>9.4741810000000004E-4</v>
      </c>
      <c r="I73" s="3251">
        <f t="shared" si="1"/>
        <v>0.13105600000000001</v>
      </c>
      <c r="J73" s="1020">
        <f t="shared" si="2"/>
        <v>10</v>
      </c>
      <c r="K73" s="3252">
        <f>$F$166</f>
        <v>125</v>
      </c>
      <c r="L73" s="3253" t="s">
        <v>184</v>
      </c>
      <c r="M73" s="199"/>
      <c r="N73" s="205"/>
      <c r="O73" s="3462"/>
      <c r="P73" s="215"/>
      <c r="Q73" s="1215"/>
      <c r="R73" s="1214"/>
      <c r="V73" s="141" t="str">
        <f t="shared" si="5"/>
        <v>kWh Annual Savings</v>
      </c>
      <c r="W73" s="206"/>
      <c r="X73" s="206"/>
      <c r="Y73" s="208">
        <v>136.33000000000001</v>
      </c>
      <c r="Z73" s="1684">
        <v>136.33000000000001</v>
      </c>
      <c r="AA73" s="1684">
        <v>136.33000000000001</v>
      </c>
      <c r="AB73" s="1599">
        <v>134.69999999999999</v>
      </c>
      <c r="AC73" s="2138">
        <v>138.33000000000001</v>
      </c>
      <c r="AD73" s="3254">
        <f>ROUND($F$147*(($F$151*$F$153*1/$F$154)/1000)*$F$155*$F$131,2)</f>
        <v>138.33000000000001</v>
      </c>
      <c r="AE73" s="141"/>
      <c r="AF73" s="141"/>
      <c r="AG73" s="141"/>
      <c r="AH73" s="144"/>
      <c r="AU73" s="145"/>
      <c r="BA73" s="69"/>
      <c r="BB73" s="214">
        <f>(BD73+BD74)/(BE73+BE74)</f>
        <v>1.3076770937519697</v>
      </c>
      <c r="BC73" s="201" t="str">
        <f t="shared" si="3"/>
        <v>Cooling RES 10 Year EUL</v>
      </c>
      <c r="BD73" s="98">
        <f>(INDEX('Avoided Cost Benefits'!$E$4:$E$859,MATCH(BC73,'Avoided Cost Benefits'!$A$4:$A$859,0)))*F73</f>
        <v>147.10083530508322</v>
      </c>
      <c r="BE73" s="1581">
        <f t="shared" si="4"/>
        <v>117.98017932987257</v>
      </c>
    </row>
    <row r="74" spans="2:57" x14ac:dyDescent="0.35">
      <c r="B74" s="1040"/>
      <c r="C74" s="135" t="s">
        <v>271</v>
      </c>
      <c r="D74" s="1545" t="str">
        <f>CONCATENATE(D72,"_CompE")</f>
        <v>Efficient Products_CompE</v>
      </c>
      <c r="E74" s="3449" t="s">
        <v>272</v>
      </c>
      <c r="F74" s="3250">
        <f>ROUND($F$104*$F$115*$F$124*$F$127*$F$131+$F$138*$F$141*29.3,2)</f>
        <v>26.88</v>
      </c>
      <c r="G74" s="1849" t="s">
        <v>258</v>
      </c>
      <c r="H74" s="136">
        <f>VLOOKUP(G74,'CP FACTORS'!$A$3:$B$38, 2, FALSE)</f>
        <v>0</v>
      </c>
      <c r="I74" s="3251">
        <f t="shared" si="1"/>
        <v>0</v>
      </c>
      <c r="J74" s="1020">
        <f t="shared" si="2"/>
        <v>10</v>
      </c>
      <c r="K74" s="3252"/>
      <c r="L74" s="3253" t="s">
        <v>184</v>
      </c>
      <c r="M74" s="199"/>
      <c r="N74" s="205"/>
      <c r="O74" s="3462"/>
      <c r="P74" s="215"/>
      <c r="Q74" s="1215"/>
      <c r="R74" s="1214"/>
      <c r="V74" s="141" t="str">
        <f t="shared" si="5"/>
        <v>kWh Annual Savings</v>
      </c>
      <c r="W74" s="206"/>
      <c r="X74" s="206"/>
      <c r="Y74" s="208">
        <v>27.2</v>
      </c>
      <c r="Z74" s="1684">
        <v>27.2</v>
      </c>
      <c r="AA74" s="1684">
        <v>27.2</v>
      </c>
      <c r="AB74" s="1599">
        <v>26.88</v>
      </c>
      <c r="AC74" s="202">
        <v>26.88</v>
      </c>
      <c r="AD74" s="3254">
        <f>ROUND($F$104*$F$115*$F$124*$F$127*$F$131+$F$138*$F$141*29.3,2)</f>
        <v>26.88</v>
      </c>
      <c r="AE74" s="141"/>
      <c r="AF74" s="141"/>
      <c r="AG74" s="141"/>
      <c r="AH74" s="144"/>
      <c r="AU74" s="145"/>
      <c r="BB74" s="212"/>
      <c r="BC74" s="210" t="str">
        <f t="shared" si="3"/>
        <v>Heating RES 10 Year EUL</v>
      </c>
      <c r="BD74" s="98">
        <f>(INDEX('Avoided Cost Benefits'!$E$4:$E$859,MATCH(BC74,'Avoided Cost Benefits'!$A$4:$A$859,0)))*F74</f>
        <v>7.1791427213407459</v>
      </c>
      <c r="BE74" s="1581">
        <f t="shared" si="4"/>
        <v>0</v>
      </c>
    </row>
    <row r="75" spans="2:57" x14ac:dyDescent="0.35">
      <c r="B75" s="1040"/>
      <c r="C75" s="135" t="s">
        <v>273</v>
      </c>
      <c r="D75" s="3465" t="s">
        <v>182</v>
      </c>
      <c r="E75" s="3249" t="s">
        <v>274</v>
      </c>
      <c r="F75" s="3250">
        <f>ROUND($F$148*(($F$150*$F$152*1/$F$154)/1000)*$F$155*$F$131,2)</f>
        <v>190.21</v>
      </c>
      <c r="G75" s="1849" t="s">
        <v>257</v>
      </c>
      <c r="H75" s="136">
        <f>VLOOKUP(G75,'CP FACTORS'!$A$3:$B$38, 2, FALSE)</f>
        <v>9.4741810000000004E-4</v>
      </c>
      <c r="I75" s="3251">
        <f t="shared" si="1"/>
        <v>0.18020800000000001</v>
      </c>
      <c r="J75" s="1020">
        <f t="shared" si="2"/>
        <v>10</v>
      </c>
      <c r="K75" s="3252">
        <f>$F$166</f>
        <v>125</v>
      </c>
      <c r="L75" s="3253" t="s">
        <v>184</v>
      </c>
      <c r="M75" s="199"/>
      <c r="N75" s="205"/>
      <c r="O75" s="3462"/>
      <c r="P75" s="3462"/>
      <c r="Q75" s="1215"/>
      <c r="R75" s="1214"/>
      <c r="V75" s="141" t="str">
        <f t="shared" si="5"/>
        <v>kWh Annual Savings</v>
      </c>
      <c r="W75" s="206">
        <v>192.51692307692309</v>
      </c>
      <c r="X75" s="207">
        <v>187.92922225947771</v>
      </c>
      <c r="Y75" s="208">
        <v>187.46</v>
      </c>
      <c r="Z75" s="1684">
        <v>187.46</v>
      </c>
      <c r="AA75" s="1684">
        <v>187.46</v>
      </c>
      <c r="AB75" s="1599">
        <v>185.21</v>
      </c>
      <c r="AC75" s="2138">
        <v>190.21</v>
      </c>
      <c r="AD75" s="3254">
        <f>ROUND($F$148*(($F$150*$F$152*1/$F$154)/1000)*$F$155*$F$131,2)</f>
        <v>190.21</v>
      </c>
      <c r="AE75" s="141"/>
      <c r="AF75" s="141"/>
      <c r="AG75" s="141"/>
      <c r="AH75" s="144"/>
      <c r="AU75" s="145"/>
      <c r="BB75" s="214">
        <f>(BD75+BD76)/(BE75+BE76)</f>
        <v>2.3410347603838142</v>
      </c>
      <c r="BC75" s="201" t="str">
        <f t="shared" si="3"/>
        <v>Cooling RES 10 Year EUL</v>
      </c>
      <c r="BD75" s="98">
        <f>(INDEX('Avoided Cost Benefits'!$E$4:$E$859,MATCH(BC75,'Avoided Cost Benefits'!$A$4:$A$859,0)))*F75</f>
        <v>202.27029482671782</v>
      </c>
      <c r="BE75" s="1581">
        <f t="shared" si="4"/>
        <v>117.98017932987257</v>
      </c>
    </row>
    <row r="76" spans="2:57" x14ac:dyDescent="0.35">
      <c r="B76" s="1040"/>
      <c r="C76" s="135" t="s">
        <v>273</v>
      </c>
      <c r="D76" s="3465" t="s">
        <v>182</v>
      </c>
      <c r="E76" s="1621" t="s">
        <v>274</v>
      </c>
      <c r="F76" s="3250">
        <f>ROUND($F$105*$F$116*$F$125*$F$127*$F$131+$F$139*$F$141*29.3,2)</f>
        <v>276.79000000000002</v>
      </c>
      <c r="G76" s="1849" t="s">
        <v>258</v>
      </c>
      <c r="H76" s="136">
        <f>VLOOKUP(G76,'CP FACTORS'!$A$3:$B$38, 2, FALSE)</f>
        <v>0</v>
      </c>
      <c r="I76" s="3251">
        <f t="shared" si="1"/>
        <v>0</v>
      </c>
      <c r="J76" s="1020">
        <f t="shared" si="2"/>
        <v>10</v>
      </c>
      <c r="K76" s="3252"/>
      <c r="L76" s="3253" t="s">
        <v>184</v>
      </c>
      <c r="M76" s="199"/>
      <c r="N76" s="205"/>
      <c r="O76" s="199"/>
      <c r="P76" s="199"/>
      <c r="Q76" s="1215"/>
      <c r="R76" s="1214"/>
      <c r="V76" s="141" t="str">
        <f t="shared" si="5"/>
        <v>kWh Annual Savings</v>
      </c>
      <c r="W76" s="206">
        <v>377.56641415999997</v>
      </c>
      <c r="X76" s="207">
        <v>226.28150936736847</v>
      </c>
      <c r="Y76" s="208">
        <v>160.49</v>
      </c>
      <c r="Z76" s="1684">
        <v>160.49</v>
      </c>
      <c r="AA76" s="1684">
        <v>160.49</v>
      </c>
      <c r="AB76" s="1599">
        <v>158.56</v>
      </c>
      <c r="AC76" s="2138">
        <v>276.79000000000002</v>
      </c>
      <c r="AD76" s="3254">
        <f>ROUND($F$105*$F$116*$F$125*$F$127*$F$131+$F$139*$F$141*29.3,2)</f>
        <v>276.79000000000002</v>
      </c>
      <c r="AE76" s="141"/>
      <c r="AF76" s="141"/>
      <c r="AG76" s="141"/>
      <c r="AH76" s="144"/>
      <c r="AU76" s="145"/>
      <c r="BB76" s="212"/>
      <c r="BC76" s="210" t="str">
        <f t="shared" si="3"/>
        <v>Heating RES 10 Year EUL</v>
      </c>
      <c r="BD76" s="98">
        <f>(INDEX('Avoided Cost Benefits'!$E$4:$E$859,MATCH(BC76,'Avoided Cost Benefits'!$A$4:$A$859,0)))*F76</f>
        <v>73.925406020829811</v>
      </c>
      <c r="BE76" s="1581">
        <f t="shared" si="4"/>
        <v>0</v>
      </c>
    </row>
    <row r="77" spans="2:57" x14ac:dyDescent="0.35">
      <c r="B77" s="1040"/>
      <c r="C77" s="135" t="s">
        <v>275</v>
      </c>
      <c r="D77" s="3465" t="s">
        <v>182</v>
      </c>
      <c r="E77" s="3249" t="s">
        <v>276</v>
      </c>
      <c r="F77" s="3250">
        <f>ROUND($F$149*(($F$150*$F$153*1/$F$154)/1000)*$F$155*$F$131,2)</f>
        <v>190.21</v>
      </c>
      <c r="G77" s="1849" t="s">
        <v>257</v>
      </c>
      <c r="H77" s="136">
        <f>VLOOKUP(G77,'CP FACTORS'!$A$3:$B$38, 2, FALSE)</f>
        <v>9.4741810000000004E-4</v>
      </c>
      <c r="I77" s="3251">
        <f t="shared" si="1"/>
        <v>0.18020800000000001</v>
      </c>
      <c r="J77" s="1020">
        <f t="shared" si="2"/>
        <v>10</v>
      </c>
      <c r="K77" s="3252">
        <f>$F$166</f>
        <v>125</v>
      </c>
      <c r="L77" s="3253" t="s">
        <v>184</v>
      </c>
      <c r="M77" s="199"/>
      <c r="N77" s="205"/>
      <c r="O77" s="199"/>
      <c r="P77" s="199"/>
      <c r="Q77" s="1215"/>
      <c r="R77" s="1214"/>
      <c r="V77" s="141" t="str">
        <f t="shared" si="5"/>
        <v>kWh Annual Savings</v>
      </c>
      <c r="W77" s="206"/>
      <c r="X77" s="207"/>
      <c r="Y77" s="208">
        <v>136.33000000000001</v>
      </c>
      <c r="Z77" s="1684">
        <v>136.33000000000001</v>
      </c>
      <c r="AA77" s="1684">
        <v>136.33000000000001</v>
      </c>
      <c r="AB77" s="1599">
        <v>185.21</v>
      </c>
      <c r="AC77" s="2138">
        <v>190.21</v>
      </c>
      <c r="AD77" s="3254">
        <f>ROUND($F$149*(($F$150*$F$153*1/$F$154)/1000)*$F$155*$F$131,2)</f>
        <v>190.21</v>
      </c>
      <c r="AE77" s="141"/>
      <c r="AF77" s="141"/>
      <c r="AG77" s="141"/>
      <c r="AH77" s="144"/>
      <c r="AU77" s="145"/>
      <c r="BA77" s="69"/>
      <c r="BB77" s="214">
        <f>(BD77+BD78)/(BE77+BE78)</f>
        <v>2.1217197276514685</v>
      </c>
      <c r="BC77" s="201" t="str">
        <f t="shared" si="3"/>
        <v>Cooling RES 10 Year EUL</v>
      </c>
      <c r="BD77" s="98">
        <f>(INDEX('Avoided Cost Benefits'!$E$4:$E$859,MATCH(BC77,'Avoided Cost Benefits'!$A$4:$A$859,0)))*F77</f>
        <v>202.27029482671782</v>
      </c>
      <c r="BE77" s="1581">
        <f t="shared" si="4"/>
        <v>117.98017932987257</v>
      </c>
    </row>
    <row r="78" spans="2:57" x14ac:dyDescent="0.35">
      <c r="B78" s="1040"/>
      <c r="C78" s="135" t="s">
        <v>275</v>
      </c>
      <c r="D78" s="3465" t="s">
        <v>182</v>
      </c>
      <c r="E78" s="1621" t="s">
        <v>276</v>
      </c>
      <c r="F78" s="3250">
        <f>ROUND($F$106*$F$117*$F$126*$F$127*$F$131+$F$140*$F$141*29.3,2)</f>
        <v>179.91</v>
      </c>
      <c r="G78" s="1849" t="s">
        <v>258</v>
      </c>
      <c r="H78" s="136">
        <f>VLOOKUP(G78,'CP FACTORS'!$A$3:$B$38, 2, FALSE)</f>
        <v>0</v>
      </c>
      <c r="I78" s="3251">
        <f t="shared" si="1"/>
        <v>0</v>
      </c>
      <c r="J78" s="1020">
        <f t="shared" si="2"/>
        <v>10</v>
      </c>
      <c r="K78" s="3252"/>
      <c r="L78" s="3253" t="s">
        <v>184</v>
      </c>
      <c r="M78" s="199"/>
      <c r="N78" s="205"/>
      <c r="O78" s="199"/>
      <c r="P78" s="199"/>
      <c r="Q78" s="1215"/>
      <c r="R78" s="1214"/>
      <c r="V78" s="141" t="str">
        <f t="shared" si="5"/>
        <v>kWh Annual Savings</v>
      </c>
      <c r="W78" s="206"/>
      <c r="X78" s="207"/>
      <c r="Y78" s="208">
        <v>104.32</v>
      </c>
      <c r="Z78" s="1684">
        <v>104.32</v>
      </c>
      <c r="AA78" s="1684">
        <v>104.32</v>
      </c>
      <c r="AB78" s="1599">
        <v>103.06</v>
      </c>
      <c r="AC78" s="2138">
        <v>179.91</v>
      </c>
      <c r="AD78" s="3254">
        <f>ROUND($F$106*$F$117*$F$126*$F$127*$F$131+$F$140*$F$141*29.3,2)</f>
        <v>179.91</v>
      </c>
      <c r="AE78" s="141"/>
      <c r="AF78" s="141"/>
      <c r="AG78" s="141"/>
      <c r="AH78" s="144"/>
      <c r="AU78" s="145"/>
      <c r="BB78" s="212"/>
      <c r="BC78" s="210" t="str">
        <f t="shared" si="3"/>
        <v>Heating RES 10 Year EUL</v>
      </c>
      <c r="BD78" s="98">
        <f>(INDEX('Avoided Cost Benefits'!$E$4:$E$859,MATCH(BC78,'Avoided Cost Benefits'!$A$4:$A$859,0)))*F78</f>
        <v>48.050579129330863</v>
      </c>
      <c r="BE78" s="1581">
        <f t="shared" si="4"/>
        <v>0</v>
      </c>
    </row>
    <row r="79" spans="2:57" x14ac:dyDescent="0.35">
      <c r="B79" s="1040"/>
      <c r="C79" s="135" t="s">
        <v>277</v>
      </c>
      <c r="D79" s="1545" t="str">
        <f>CONCATENATE(D77,"_CompE")</f>
        <v>Efficient Products_CompE</v>
      </c>
      <c r="E79" s="3448" t="s">
        <v>278</v>
      </c>
      <c r="F79" s="3250">
        <f>ROUND($F$149*(($F$151*$F$153*1/$F$154)/1000)*$F$155*$F$131,2)</f>
        <v>138.33000000000001</v>
      </c>
      <c r="G79" s="1849" t="s">
        <v>257</v>
      </c>
      <c r="H79" s="136">
        <f>VLOOKUP(G79,'CP FACTORS'!$A$3:$B$38, 2, FALSE)</f>
        <v>9.4741810000000004E-4</v>
      </c>
      <c r="I79" s="3251">
        <f t="shared" si="1"/>
        <v>0.13105600000000001</v>
      </c>
      <c r="J79" s="1020">
        <f t="shared" si="2"/>
        <v>10</v>
      </c>
      <c r="K79" s="3252">
        <f>$F$166</f>
        <v>125</v>
      </c>
      <c r="L79" s="3253" t="s">
        <v>184</v>
      </c>
      <c r="M79" s="199"/>
      <c r="N79" s="205"/>
      <c r="O79" s="199"/>
      <c r="P79" s="199"/>
      <c r="Q79" s="1215"/>
      <c r="R79" s="1214"/>
      <c r="V79" s="141" t="str">
        <f t="shared" si="5"/>
        <v>kWh Annual Savings</v>
      </c>
      <c r="W79" s="206"/>
      <c r="X79" s="207"/>
      <c r="Y79" s="208">
        <v>136.33000000000001</v>
      </c>
      <c r="Z79" s="1684">
        <v>136.33000000000001</v>
      </c>
      <c r="AA79" s="1684">
        <v>136.33000000000001</v>
      </c>
      <c r="AB79" s="1599">
        <v>134.69999999999999</v>
      </c>
      <c r="AC79" s="2138">
        <v>138.33000000000001</v>
      </c>
      <c r="AD79" s="3254">
        <f>ROUND($F$149*(($F$151*$F$153*1/$F$154)/1000)*$F$155*$F$131,2)</f>
        <v>138.33000000000001</v>
      </c>
      <c r="AE79" s="141"/>
      <c r="AF79" s="141"/>
      <c r="AG79" s="141"/>
      <c r="AH79" s="144"/>
      <c r="AU79" s="145"/>
      <c r="BA79" s="69"/>
      <c r="BB79" s="214">
        <f>(BD79+BD80)/(BE79+BE80)</f>
        <v>1.41228638011202</v>
      </c>
      <c r="BC79" s="201" t="str">
        <f t="shared" si="3"/>
        <v>Cooling RES 10 Year EUL</v>
      </c>
      <c r="BD79" s="98">
        <f>(INDEX('Avoided Cost Benefits'!$E$4:$E$859,MATCH(BC79,'Avoided Cost Benefits'!$A$4:$A$859,0)))*F79</f>
        <v>147.10083530508322</v>
      </c>
      <c r="BE79" s="1581">
        <f t="shared" si="4"/>
        <v>117.98017932987257</v>
      </c>
    </row>
    <row r="80" spans="2:57" x14ac:dyDescent="0.35">
      <c r="B80" s="1040"/>
      <c r="C80" s="135" t="s">
        <v>277</v>
      </c>
      <c r="D80" s="3465" t="str">
        <f>CONCATENATE(D78,"_CompE")</f>
        <v>Efficient Products_CompE</v>
      </c>
      <c r="E80" s="3449" t="s">
        <v>278</v>
      </c>
      <c r="F80" s="3250">
        <f>ROUND($F$106*$F$118*$F$126*$F$127*$F$131+$F$140*$F$141*29.3,2)</f>
        <v>73.09</v>
      </c>
      <c r="G80" s="1849" t="s">
        <v>258</v>
      </c>
      <c r="H80" s="136">
        <f>VLOOKUP(G80,'CP FACTORS'!$A$3:$B$38, 2, FALSE)</f>
        <v>0</v>
      </c>
      <c r="I80" s="3251">
        <f t="shared" si="1"/>
        <v>0</v>
      </c>
      <c r="J80" s="1020">
        <f t="shared" si="2"/>
        <v>10</v>
      </c>
      <c r="K80" s="3252"/>
      <c r="L80" s="3253" t="s">
        <v>184</v>
      </c>
      <c r="M80" s="199"/>
      <c r="N80" s="205"/>
      <c r="O80" s="199"/>
      <c r="P80" s="199"/>
      <c r="Q80" s="1215"/>
      <c r="R80" s="1214"/>
      <c r="V80" s="141" t="str">
        <f t="shared" si="5"/>
        <v>kWh Annual Savings</v>
      </c>
      <c r="W80" s="206"/>
      <c r="X80" s="207"/>
      <c r="Y80" s="208">
        <v>50.49</v>
      </c>
      <c r="Z80" s="1684">
        <v>50.49</v>
      </c>
      <c r="AA80" s="1684">
        <v>50.49</v>
      </c>
      <c r="AB80" s="1599">
        <v>49.89</v>
      </c>
      <c r="AC80" s="2138">
        <v>73.09</v>
      </c>
      <c r="AD80" s="3254">
        <f>ROUND($F$106*$F$118*$F$126*$F$127*$F$131+$F$140*$F$141*29.3,2)</f>
        <v>73.09</v>
      </c>
      <c r="AE80" s="141"/>
      <c r="AF80" s="141"/>
      <c r="AG80" s="141"/>
      <c r="AH80" s="144"/>
      <c r="AU80" s="145"/>
      <c r="BB80" s="216"/>
      <c r="BC80" s="210" t="str">
        <f t="shared" si="3"/>
        <v>Heating RES 10 Year EUL</v>
      </c>
      <c r="BD80" s="102">
        <f>(INDEX('Avoided Cost Benefits'!$E$4:$E$859,MATCH(BC80,'Avoided Cost Benefits'!$A$4:$A$859,0)))*F80</f>
        <v>19.520965085669463</v>
      </c>
      <c r="BE80" s="1582">
        <f t="shared" si="4"/>
        <v>0</v>
      </c>
    </row>
    <row r="81" spans="1:54" hidden="1" outlineLevel="1" x14ac:dyDescent="0.35">
      <c r="B81" s="1040"/>
      <c r="C81" s="197"/>
      <c r="D81" s="217"/>
      <c r="E81" s="217" t="s">
        <v>279</v>
      </c>
      <c r="F81" s="218"/>
      <c r="G81" s="199"/>
      <c r="H81" s="199"/>
      <c r="I81" s="199"/>
      <c r="J81" s="199"/>
      <c r="K81" s="199"/>
      <c r="L81" s="199"/>
      <c r="M81" s="199"/>
      <c r="N81" s="205"/>
      <c r="O81" s="199"/>
      <c r="P81" s="199"/>
      <c r="Q81" s="1215"/>
      <c r="AU81" s="145"/>
    </row>
    <row r="82" spans="1:54" s="150" customFormat="1" hidden="1" outlineLevel="1" x14ac:dyDescent="0.35">
      <c r="A82" s="154"/>
      <c r="B82" s="1040"/>
      <c r="C82" s="197"/>
      <c r="D82" s="152" t="s">
        <v>107</v>
      </c>
      <c r="E82" s="217"/>
      <c r="F82" s="218"/>
      <c r="G82" s="199"/>
      <c r="H82" s="199"/>
      <c r="I82" s="199"/>
      <c r="J82" s="199"/>
      <c r="K82" s="199"/>
      <c r="L82" s="199"/>
      <c r="M82" s="199"/>
      <c r="N82" s="205"/>
      <c r="O82" s="199"/>
      <c r="P82" s="199"/>
      <c r="Q82" s="154"/>
      <c r="R82" s="154"/>
      <c r="S82" s="154"/>
      <c r="T82" s="154"/>
      <c r="U82" s="154"/>
      <c r="V82" s="219"/>
      <c r="AU82" s="145"/>
      <c r="BB82" s="220"/>
    </row>
    <row r="83" spans="1:54" s="150" customFormat="1" ht="18" hidden="1" customHeight="1" outlineLevel="1" x14ac:dyDescent="0.35">
      <c r="A83" s="154"/>
      <c r="B83" s="1040"/>
      <c r="C83" s="197"/>
      <c r="D83" s="222" t="s">
        <v>280</v>
      </c>
      <c r="E83" s="222"/>
      <c r="F83" s="223"/>
      <c r="G83" s="223"/>
      <c r="H83" s="223"/>
      <c r="I83" s="223"/>
      <c r="J83" s="223"/>
      <c r="K83" s="223"/>
      <c r="L83" s="223"/>
      <c r="M83" s="199"/>
      <c r="N83" s="205"/>
      <c r="O83" s="199"/>
      <c r="P83" s="224"/>
      <c r="Q83" s="154"/>
      <c r="R83" s="154"/>
      <c r="S83" s="154"/>
      <c r="T83" s="154"/>
      <c r="U83" s="154"/>
      <c r="AU83" s="145"/>
      <c r="BB83" s="220"/>
    </row>
    <row r="84" spans="1:54" s="150" customFormat="1" ht="18" hidden="1" customHeight="1" outlineLevel="1" x14ac:dyDescent="0.35">
      <c r="A84" s="154"/>
      <c r="B84" s="1040"/>
      <c r="C84" s="197"/>
      <c r="D84" s="222"/>
      <c r="E84" s="222"/>
      <c r="F84" s="223"/>
      <c r="G84" s="223"/>
      <c r="H84" s="223"/>
      <c r="I84" s="223"/>
      <c r="J84" s="223"/>
      <c r="K84" s="223"/>
      <c r="L84" s="223"/>
      <c r="M84" s="199"/>
      <c r="N84" s="205"/>
      <c r="O84" s="199"/>
      <c r="P84" s="224"/>
      <c r="Q84" s="154"/>
      <c r="R84" s="154"/>
      <c r="S84" s="154"/>
      <c r="T84" s="154"/>
      <c r="U84" s="154"/>
      <c r="AU84" s="145"/>
      <c r="BB84" s="220"/>
    </row>
    <row r="85" spans="1:54" s="150" customFormat="1" ht="18" hidden="1" customHeight="1" outlineLevel="1" x14ac:dyDescent="0.35">
      <c r="A85" s="154"/>
      <c r="B85" s="1040"/>
      <c r="C85" s="197"/>
      <c r="D85" s="222"/>
      <c r="E85" s="222"/>
      <c r="F85" s="223"/>
      <c r="G85" s="223"/>
      <c r="H85" s="223"/>
      <c r="I85" s="223"/>
      <c r="J85" s="223"/>
      <c r="K85" s="223"/>
      <c r="L85" s="223"/>
      <c r="M85" s="199"/>
      <c r="N85" s="205"/>
      <c r="O85" s="199"/>
      <c r="P85" s="224"/>
      <c r="Q85" s="154"/>
      <c r="R85" s="154"/>
      <c r="S85" s="154"/>
      <c r="T85" s="154"/>
      <c r="U85" s="154"/>
      <c r="AU85" s="145"/>
      <c r="BB85" s="220"/>
    </row>
    <row r="86" spans="1:54" s="150" customFormat="1" ht="18" hidden="1" customHeight="1" outlineLevel="1" x14ac:dyDescent="0.35">
      <c r="A86" s="154"/>
      <c r="B86" s="1040"/>
      <c r="C86" s="197"/>
      <c r="D86" s="222"/>
      <c r="E86" s="222"/>
      <c r="F86" s="223"/>
      <c r="G86" s="223"/>
      <c r="H86" s="223"/>
      <c r="I86" s="223"/>
      <c r="J86" s="223"/>
      <c r="K86" s="223"/>
      <c r="L86" s="223"/>
      <c r="M86" s="199"/>
      <c r="N86" s="205"/>
      <c r="O86" s="199"/>
      <c r="P86" s="224"/>
      <c r="Q86" s="154"/>
      <c r="R86" s="154"/>
      <c r="S86" s="154"/>
      <c r="T86" s="154"/>
      <c r="U86" s="154"/>
      <c r="AU86" s="145"/>
      <c r="BB86" s="220"/>
    </row>
    <row r="87" spans="1:54" s="150" customFormat="1" ht="18" hidden="1" customHeight="1" outlineLevel="1" x14ac:dyDescent="0.35">
      <c r="A87" s="154"/>
      <c r="B87" s="1040"/>
      <c r="C87" s="197"/>
      <c r="D87" s="222"/>
      <c r="E87" s="222"/>
      <c r="F87" s="223"/>
      <c r="G87" s="223"/>
      <c r="H87" s="223"/>
      <c r="I87" s="223"/>
      <c r="J87" s="223"/>
      <c r="K87" s="223"/>
      <c r="L87" s="223"/>
      <c r="M87" s="199"/>
      <c r="N87" s="205"/>
      <c r="O87" s="199"/>
      <c r="P87" s="224"/>
      <c r="Q87" s="154"/>
      <c r="R87" s="154"/>
      <c r="S87" s="154"/>
      <c r="T87" s="154"/>
      <c r="U87" s="154"/>
      <c r="AU87" s="145"/>
      <c r="BB87" s="220"/>
    </row>
    <row r="88" spans="1:54" s="150" customFormat="1" ht="18" hidden="1" customHeight="1" outlineLevel="1" x14ac:dyDescent="0.35">
      <c r="A88" s="154"/>
      <c r="B88" s="1040"/>
      <c r="C88" s="197"/>
      <c r="D88" s="222"/>
      <c r="E88" s="222"/>
      <c r="F88" s="223"/>
      <c r="G88" s="223"/>
      <c r="H88" s="223"/>
      <c r="I88" s="223"/>
      <c r="J88" s="223"/>
      <c r="K88" s="223"/>
      <c r="L88" s="223"/>
      <c r="M88" s="199"/>
      <c r="N88" s="205"/>
      <c r="O88" s="199"/>
      <c r="P88" s="224"/>
      <c r="Q88" s="154"/>
      <c r="R88" s="154"/>
      <c r="S88" s="154"/>
      <c r="T88" s="154"/>
      <c r="U88" s="154"/>
      <c r="AU88" s="145"/>
      <c r="BB88" s="220"/>
    </row>
    <row r="89" spans="1:54" s="150" customFormat="1" ht="18" hidden="1" customHeight="1" outlineLevel="1" x14ac:dyDescent="0.35">
      <c r="A89" s="154"/>
      <c r="B89" s="1040"/>
      <c r="C89" s="197"/>
      <c r="D89" s="222"/>
      <c r="E89" s="222"/>
      <c r="F89" s="223"/>
      <c r="G89" s="223"/>
      <c r="H89" s="223"/>
      <c r="I89" s="154"/>
      <c r="J89" s="223"/>
      <c r="K89" s="223"/>
      <c r="L89" s="223"/>
      <c r="M89" s="199"/>
      <c r="N89" s="205"/>
      <c r="O89" s="199"/>
      <c r="P89" s="224"/>
      <c r="Q89" s="154"/>
      <c r="R89" s="154"/>
      <c r="S89" s="154"/>
      <c r="T89" s="154"/>
      <c r="U89" s="154"/>
      <c r="X89" s="225" t="s">
        <v>281</v>
      </c>
      <c r="AU89" s="145"/>
      <c r="BB89" s="220"/>
    </row>
    <row r="90" spans="1:54" s="225" customFormat="1" ht="40.5" hidden="1" customHeight="1" outlineLevel="1" x14ac:dyDescent="0.35">
      <c r="A90" s="1220"/>
      <c r="B90" s="1221"/>
      <c r="C90" s="197"/>
      <c r="D90" s="222"/>
      <c r="E90" s="222"/>
      <c r="F90" s="223"/>
      <c r="G90" s="223"/>
      <c r="H90" s="223"/>
      <c r="I90" s="223"/>
      <c r="J90" s="223"/>
      <c r="K90" s="223"/>
      <c r="L90" s="223"/>
      <c r="M90" s="226"/>
      <c r="N90" s="205"/>
      <c r="O90" s="226"/>
      <c r="P90" s="227"/>
      <c r="Q90" s="1220"/>
      <c r="R90" s="1220"/>
      <c r="S90" s="1220"/>
      <c r="T90" s="1220"/>
      <c r="U90" s="1220"/>
      <c r="X90" s="1573">
        <f>$X$6</f>
        <v>43465</v>
      </c>
      <c r="Y90" s="1573">
        <f>$Y$6</f>
        <v>43800</v>
      </c>
      <c r="Z90" s="1573">
        <f>$Z$6</f>
        <v>43862</v>
      </c>
      <c r="AA90" s="1573">
        <f>$AA$6</f>
        <v>44013</v>
      </c>
      <c r="AB90" s="1573">
        <f>$AB$6</f>
        <v>44166</v>
      </c>
      <c r="AC90" s="1573">
        <f>$AC$6</f>
        <v>44531</v>
      </c>
      <c r="AD90" s="1573">
        <f>$AD$6</f>
        <v>44774</v>
      </c>
      <c r="AE90" s="1573" t="str">
        <f>$AE$6</f>
        <v>-</v>
      </c>
      <c r="AF90" s="1573" t="str">
        <f>$AF$6</f>
        <v>-</v>
      </c>
      <c r="AG90" s="1573" t="str">
        <f>$AG$6</f>
        <v>-</v>
      </c>
      <c r="AU90" s="228"/>
      <c r="BB90" s="229"/>
    </row>
    <row r="91" spans="1:54" s="150" customFormat="1" ht="18" hidden="1" customHeight="1" outlineLevel="1" x14ac:dyDescent="0.35">
      <c r="A91" s="154"/>
      <c r="B91" s="1040"/>
      <c r="C91" s="197"/>
      <c r="D91" s="222"/>
      <c r="E91" s="222"/>
      <c r="F91" s="223"/>
      <c r="G91" s="223"/>
      <c r="H91" s="223"/>
      <c r="I91" s="154"/>
      <c r="J91" s="223"/>
      <c r="K91" s="223"/>
      <c r="L91" s="223"/>
      <c r="M91" s="199"/>
      <c r="N91" s="205"/>
      <c r="O91" s="199"/>
      <c r="P91" s="224"/>
      <c r="Q91" s="154"/>
      <c r="R91" s="154"/>
      <c r="S91" s="154"/>
      <c r="T91" s="154"/>
      <c r="U91" s="154"/>
      <c r="X91" s="231">
        <v>0.41</v>
      </c>
      <c r="Y91" s="232">
        <v>0.42820512820512818</v>
      </c>
      <c r="Z91" s="1713">
        <v>0.42820512820512818</v>
      </c>
      <c r="AA91" s="1713">
        <v>0.42820512820512818</v>
      </c>
      <c r="AB91" s="1714">
        <v>0.42820512820512818</v>
      </c>
      <c r="AC91" s="1714">
        <v>0.42820512820512818</v>
      </c>
      <c r="AD91" s="1714">
        <v>0.42820512820512818</v>
      </c>
      <c r="AE91" s="233"/>
      <c r="AF91" s="233"/>
      <c r="AG91" s="233"/>
      <c r="AU91" s="145"/>
      <c r="BB91" s="220"/>
    </row>
    <row r="92" spans="1:54" s="150" customFormat="1" ht="18" hidden="1" customHeight="1" outlineLevel="1" x14ac:dyDescent="0.35">
      <c r="A92" s="154"/>
      <c r="B92" s="1040"/>
      <c r="C92" s="197"/>
      <c r="D92" s="222"/>
      <c r="E92" s="222"/>
      <c r="F92" s="223"/>
      <c r="G92" s="223"/>
      <c r="H92" s="223"/>
      <c r="I92" s="223"/>
      <c r="J92" s="223"/>
      <c r="K92" s="223"/>
      <c r="L92" s="223"/>
      <c r="M92" s="199"/>
      <c r="N92" s="205"/>
      <c r="O92" s="199"/>
      <c r="P92" s="224"/>
      <c r="Q92" s="154"/>
      <c r="R92" s="154"/>
      <c r="S92" s="154"/>
      <c r="T92" s="154"/>
      <c r="U92" s="154"/>
      <c r="X92" s="231">
        <v>0.55000000000000004</v>
      </c>
      <c r="Y92" s="232">
        <v>0.517948717948718</v>
      </c>
      <c r="Z92" s="1713">
        <v>0.517948717948718</v>
      </c>
      <c r="AA92" s="1713">
        <v>0.517948717948718</v>
      </c>
      <c r="AB92" s="230">
        <v>0.517948717948718</v>
      </c>
      <c r="AC92" s="230">
        <v>0.517948717948718</v>
      </c>
      <c r="AD92" s="230">
        <v>0.517948717948718</v>
      </c>
      <c r="AE92" s="233"/>
      <c r="AF92" s="233"/>
      <c r="AG92" s="233"/>
      <c r="AU92" s="145"/>
      <c r="BB92" s="220"/>
    </row>
    <row r="93" spans="1:54" s="150" customFormat="1" ht="18" hidden="1" customHeight="1" outlineLevel="1" x14ac:dyDescent="0.35">
      <c r="A93" s="154"/>
      <c r="B93" s="1040"/>
      <c r="C93" s="197"/>
      <c r="D93" s="222"/>
      <c r="E93" s="222"/>
      <c r="F93" s="223"/>
      <c r="G93" s="223"/>
      <c r="H93" s="223"/>
      <c r="I93" s="154"/>
      <c r="J93" s="223"/>
      <c r="K93" s="223"/>
      <c r="L93" s="223"/>
      <c r="M93" s="199"/>
      <c r="N93" s="205"/>
      <c r="O93" s="199"/>
      <c r="P93" s="224"/>
      <c r="Q93" s="154"/>
      <c r="R93" s="154"/>
      <c r="S93" s="154"/>
      <c r="T93" s="154"/>
      <c r="U93" s="154"/>
      <c r="X93" s="231">
        <v>0</v>
      </c>
      <c r="Y93" s="231">
        <v>0</v>
      </c>
      <c r="Z93" s="1713">
        <v>0</v>
      </c>
      <c r="AA93" s="1713">
        <v>0</v>
      </c>
      <c r="AB93" s="230">
        <v>0</v>
      </c>
      <c r="AC93" s="230">
        <v>0</v>
      </c>
      <c r="AD93" s="230">
        <v>0</v>
      </c>
      <c r="AE93" s="233"/>
      <c r="AF93" s="233"/>
      <c r="AG93" s="233"/>
      <c r="AU93" s="145"/>
      <c r="BB93" s="220"/>
    </row>
    <row r="94" spans="1:54" s="150" customFormat="1" hidden="1" outlineLevel="1" x14ac:dyDescent="0.35">
      <c r="A94" s="154"/>
      <c r="B94" s="1040"/>
      <c r="C94" s="197"/>
      <c r="D94" s="222"/>
      <c r="E94" s="222"/>
      <c r="F94" s="223"/>
      <c r="G94" s="223"/>
      <c r="H94" s="223"/>
      <c r="I94" s="223"/>
      <c r="J94" s="223"/>
      <c r="K94" s="223"/>
      <c r="L94" s="223"/>
      <c r="M94" s="199"/>
      <c r="N94" s="205"/>
      <c r="O94" s="199"/>
      <c r="P94" s="199"/>
      <c r="Q94" s="154"/>
      <c r="R94" s="154"/>
      <c r="S94" s="154"/>
      <c r="T94" s="154"/>
      <c r="U94" s="154"/>
      <c r="X94" s="231">
        <v>0.04</v>
      </c>
      <c r="Y94" s="232">
        <v>5.3846153846153849E-2</v>
      </c>
      <c r="Z94" s="1713">
        <v>5.3846153846153849E-2</v>
      </c>
      <c r="AA94" s="1713">
        <v>5.3846153846153849E-2</v>
      </c>
      <c r="AB94" s="230">
        <v>5.3846153846153849E-2</v>
      </c>
      <c r="AC94" s="230">
        <v>5.3846153846153849E-2</v>
      </c>
      <c r="AD94" s="230">
        <v>5.3846153846153849E-2</v>
      </c>
      <c r="AE94" s="233"/>
      <c r="AF94" s="233"/>
      <c r="AG94" s="233"/>
      <c r="AU94" s="145"/>
      <c r="BB94" s="220"/>
    </row>
    <row r="95" spans="1:54" s="150" customFormat="1" ht="15" hidden="1" customHeight="1" outlineLevel="1" x14ac:dyDescent="0.35">
      <c r="A95" s="154"/>
      <c r="B95" s="1040"/>
      <c r="C95" s="197"/>
      <c r="D95" s="222"/>
      <c r="E95" s="222"/>
      <c r="F95" s="223"/>
      <c r="G95" s="223"/>
      <c r="H95" s="223"/>
      <c r="I95" s="223"/>
      <c r="J95" s="223"/>
      <c r="K95" s="223"/>
      <c r="L95" s="223"/>
      <c r="M95" s="199"/>
      <c r="N95" s="205"/>
      <c r="O95" s="199"/>
      <c r="P95" s="199"/>
      <c r="Q95" s="154"/>
      <c r="R95" s="154"/>
      <c r="S95" s="154"/>
      <c r="T95" s="154"/>
      <c r="U95" s="154"/>
      <c r="AU95" s="145"/>
      <c r="BB95" s="220"/>
    </row>
    <row r="96" spans="1:54" s="150" customFormat="1" ht="15" hidden="1" customHeight="1" outlineLevel="1" x14ac:dyDescent="0.35">
      <c r="A96" s="154"/>
      <c r="B96" s="1040"/>
      <c r="C96" s="197"/>
      <c r="D96" s="222"/>
      <c r="E96" s="222"/>
      <c r="F96" s="223"/>
      <c r="G96" s="223"/>
      <c r="H96" s="223"/>
      <c r="I96" s="223"/>
      <c r="J96" s="223"/>
      <c r="K96" s="223"/>
      <c r="L96" s="223"/>
      <c r="M96" s="199"/>
      <c r="N96" s="205"/>
      <c r="O96" s="199"/>
      <c r="P96" s="199"/>
      <c r="Q96" s="154"/>
      <c r="R96" s="154"/>
      <c r="S96" s="154"/>
      <c r="T96" s="154"/>
      <c r="U96" s="154"/>
      <c r="AU96" s="145"/>
      <c r="BB96" s="220"/>
    </row>
    <row r="97" spans="1:54" s="150" customFormat="1" hidden="1" outlineLevel="1" x14ac:dyDescent="0.35">
      <c r="A97" s="154"/>
      <c r="B97" s="1040"/>
      <c r="C97" s="197"/>
      <c r="D97" s="217"/>
      <c r="E97" s="217"/>
      <c r="F97" s="199"/>
      <c r="G97" s="199"/>
      <c r="H97" s="199"/>
      <c r="I97" s="199"/>
      <c r="J97" s="199"/>
      <c r="K97" s="199"/>
      <c r="L97" s="199"/>
      <c r="M97" s="199"/>
      <c r="N97" s="205"/>
      <c r="O97" s="199"/>
      <c r="P97" s="199"/>
      <c r="Q97" s="199"/>
      <c r="R97" s="154"/>
      <c r="S97" s="154"/>
      <c r="T97" s="154"/>
      <c r="U97" s="154"/>
      <c r="AU97" s="145"/>
      <c r="BB97" s="220"/>
    </row>
    <row r="98" spans="1:54" hidden="1" outlineLevel="1" x14ac:dyDescent="0.35">
      <c r="B98" s="1040"/>
      <c r="C98" s="197"/>
      <c r="D98" s="3474" t="s">
        <v>108</v>
      </c>
      <c r="E98" s="3474" t="s">
        <v>109</v>
      </c>
      <c r="F98" s="3438" t="s">
        <v>111</v>
      </c>
      <c r="G98" s="3438" t="s">
        <v>186</v>
      </c>
      <c r="H98" s="3438" t="s">
        <v>282</v>
      </c>
      <c r="I98" s="3438" t="s">
        <v>282</v>
      </c>
      <c r="J98" s="199"/>
      <c r="M98" s="3462"/>
      <c r="N98" s="205"/>
      <c r="O98" s="199"/>
      <c r="P98" s="199"/>
      <c r="Q98" s="199"/>
      <c r="V98" s="1572" t="s">
        <v>44</v>
      </c>
      <c r="W98" s="1573">
        <v>43252</v>
      </c>
      <c r="X98" s="1573">
        <f>$X$6</f>
        <v>43465</v>
      </c>
      <c r="Y98" s="1573">
        <f>$Y$6</f>
        <v>43800</v>
      </c>
      <c r="Z98" s="1573">
        <f>$Z$6</f>
        <v>43862</v>
      </c>
      <c r="AA98" s="1573">
        <f>$AA$6</f>
        <v>44013</v>
      </c>
      <c r="AB98" s="1573">
        <f>$AB$6</f>
        <v>44166</v>
      </c>
      <c r="AC98" s="1573">
        <f>$AC$6</f>
        <v>44531</v>
      </c>
      <c r="AD98" s="1573">
        <f>$AD$6</f>
        <v>44774</v>
      </c>
      <c r="AE98" s="1573" t="str">
        <f>$AE$6</f>
        <v>-</v>
      </c>
      <c r="AF98" s="1573" t="str">
        <f>$AF$6</f>
        <v>-</v>
      </c>
      <c r="AG98" s="1573" t="str">
        <f>$AG$6</f>
        <v>-</v>
      </c>
      <c r="AH98" s="150"/>
      <c r="AU98" s="145"/>
    </row>
    <row r="99" spans="1:54" hidden="1" outlineLevel="1" x14ac:dyDescent="0.35">
      <c r="B99" s="1040"/>
      <c r="C99" s="197"/>
      <c r="D99" s="3774" t="s">
        <v>283</v>
      </c>
      <c r="E99" s="277" t="str">
        <f>E57</f>
        <v>Learning Thermostat - ASHP heating/cooling SF</v>
      </c>
      <c r="F99" s="236">
        <v>1</v>
      </c>
      <c r="G99" s="3755" t="s">
        <v>284</v>
      </c>
      <c r="H99" s="3756"/>
      <c r="I99" s="3455"/>
      <c r="J99" s="199"/>
      <c r="N99" s="205"/>
      <c r="O99" s="199"/>
      <c r="P99" s="199"/>
      <c r="Q99" s="199"/>
      <c r="V99" s="3777" t="str">
        <f>D99</f>
        <v>%ElectricHeat</v>
      </c>
      <c r="W99" s="238">
        <v>1</v>
      </c>
      <c r="X99" s="238">
        <v>1</v>
      </c>
      <c r="Y99" s="238">
        <v>1</v>
      </c>
      <c r="Z99" s="379">
        <v>1</v>
      </c>
      <c r="AA99" s="379">
        <v>1</v>
      </c>
      <c r="AB99" s="379">
        <v>1</v>
      </c>
      <c r="AC99" s="236">
        <v>1</v>
      </c>
      <c r="AD99" s="236">
        <v>1</v>
      </c>
      <c r="AE99" s="238"/>
      <c r="AF99" s="238"/>
      <c r="AG99" s="238"/>
      <c r="AH99" s="150"/>
      <c r="AU99" s="145"/>
    </row>
    <row r="100" spans="1:54" hidden="1" outlineLevel="1" x14ac:dyDescent="0.35">
      <c r="B100" s="1040"/>
      <c r="C100" s="197"/>
      <c r="D100" s="3775"/>
      <c r="E100" s="277" t="str">
        <f>E59</f>
        <v>Learning Thermostat - ASHP heating/cooling MF</v>
      </c>
      <c r="F100" s="236">
        <v>1</v>
      </c>
      <c r="G100" s="3755" t="s">
        <v>284</v>
      </c>
      <c r="H100" s="3756"/>
      <c r="I100" s="3455"/>
      <c r="J100" s="199"/>
      <c r="N100" s="205"/>
      <c r="O100" s="199"/>
      <c r="P100" s="199"/>
      <c r="Q100" s="199"/>
      <c r="V100" s="3778"/>
      <c r="W100" s="238"/>
      <c r="X100" s="238"/>
      <c r="Y100" s="238">
        <v>1</v>
      </c>
      <c r="Z100" s="379">
        <v>1</v>
      </c>
      <c r="AA100" s="379">
        <v>1</v>
      </c>
      <c r="AB100" s="379">
        <v>1</v>
      </c>
      <c r="AC100" s="236">
        <v>1</v>
      </c>
      <c r="AD100" s="236">
        <v>1</v>
      </c>
      <c r="AE100" s="238"/>
      <c r="AF100" s="238"/>
      <c r="AG100" s="238"/>
      <c r="AH100" s="150"/>
      <c r="AU100" s="145"/>
    </row>
    <row r="101" spans="1:54" hidden="1" outlineLevel="1" x14ac:dyDescent="0.35">
      <c r="B101" s="1040"/>
      <c r="C101" s="197"/>
      <c r="D101" s="3775"/>
      <c r="E101" s="277" t="str">
        <f>E63</f>
        <v>Learning Thermostat - electric furnace heating / central AC MF</v>
      </c>
      <c r="F101" s="236">
        <v>1</v>
      </c>
      <c r="G101" s="3755" t="s">
        <v>284</v>
      </c>
      <c r="H101" s="3756"/>
      <c r="I101" s="3455"/>
      <c r="J101" s="199"/>
      <c r="N101" s="205"/>
      <c r="O101" s="199"/>
      <c r="P101" s="199"/>
      <c r="Q101" s="199"/>
      <c r="V101" s="3778"/>
      <c r="W101" s="238">
        <v>1</v>
      </c>
      <c r="X101" s="238">
        <v>1</v>
      </c>
      <c r="Y101" s="238">
        <v>1</v>
      </c>
      <c r="Z101" s="379">
        <v>1</v>
      </c>
      <c r="AA101" s="379">
        <v>1</v>
      </c>
      <c r="AB101" s="379">
        <v>1</v>
      </c>
      <c r="AC101" s="236">
        <v>1</v>
      </c>
      <c r="AD101" s="236">
        <v>1</v>
      </c>
      <c r="AE101" s="238"/>
      <c r="AF101" s="238"/>
      <c r="AG101" s="238"/>
      <c r="AH101" s="150"/>
      <c r="AU101" s="145"/>
    </row>
    <row r="102" spans="1:54" hidden="1" outlineLevel="1" x14ac:dyDescent="0.35">
      <c r="B102" s="1040"/>
      <c r="C102" s="197"/>
      <c r="D102" s="3775"/>
      <c r="E102" s="3463" t="str">
        <f>E67</f>
        <v>Learning Thermostat - electric furnace heating / central AC SF</v>
      </c>
      <c r="F102" s="236">
        <v>1</v>
      </c>
      <c r="G102" s="3755" t="s">
        <v>284</v>
      </c>
      <c r="H102" s="3756"/>
      <c r="I102" s="3455"/>
      <c r="J102" s="199"/>
      <c r="N102" s="205"/>
      <c r="O102" s="199"/>
      <c r="P102" s="199"/>
      <c r="Q102" s="199"/>
      <c r="V102" s="3778"/>
      <c r="W102" s="238">
        <v>1</v>
      </c>
      <c r="X102" s="238">
        <v>1</v>
      </c>
      <c r="Y102" s="238">
        <v>1</v>
      </c>
      <c r="Z102" s="379">
        <v>1</v>
      </c>
      <c r="AA102" s="379">
        <v>1</v>
      </c>
      <c r="AB102" s="379">
        <v>1</v>
      </c>
      <c r="AC102" s="236">
        <v>1</v>
      </c>
      <c r="AD102" s="236">
        <v>1</v>
      </c>
      <c r="AE102" s="238"/>
      <c r="AF102" s="238"/>
      <c r="AG102" s="238"/>
      <c r="AH102" s="150"/>
      <c r="AU102" s="145"/>
    </row>
    <row r="103" spans="1:54" hidden="1" outlineLevel="1" x14ac:dyDescent="0.35">
      <c r="B103" s="1040"/>
      <c r="C103" s="197"/>
      <c r="D103" s="3775"/>
      <c r="E103" s="3463" t="str">
        <f>E69</f>
        <v>Learning Thermostat - Gas Heated / central AC SF**</v>
      </c>
      <c r="F103" s="236">
        <v>0</v>
      </c>
      <c r="G103" s="3755" t="s">
        <v>284</v>
      </c>
      <c r="H103" s="3756"/>
      <c r="I103" s="3455"/>
      <c r="J103" s="199"/>
      <c r="N103" s="205"/>
      <c r="O103" s="199"/>
      <c r="P103" s="199"/>
      <c r="Q103" s="199"/>
      <c r="V103" s="3778"/>
      <c r="W103" s="238">
        <v>0</v>
      </c>
      <c r="X103" s="238">
        <v>0</v>
      </c>
      <c r="Y103" s="238">
        <v>0</v>
      </c>
      <c r="Z103" s="379">
        <v>0</v>
      </c>
      <c r="AA103" s="379">
        <v>0</v>
      </c>
      <c r="AB103" s="379">
        <v>0</v>
      </c>
      <c r="AC103" s="236">
        <v>0</v>
      </c>
      <c r="AD103" s="236">
        <v>0</v>
      </c>
      <c r="AE103" s="238"/>
      <c r="AF103" s="238"/>
      <c r="AG103" s="238"/>
      <c r="AH103" s="150"/>
      <c r="AU103" s="145"/>
    </row>
    <row r="104" spans="1:54" hidden="1" outlineLevel="1" x14ac:dyDescent="0.35">
      <c r="B104" s="1040"/>
      <c r="C104" s="197"/>
      <c r="D104" s="3775"/>
      <c r="E104" s="3463" t="str">
        <f>E71</f>
        <v>Learning Thermostat - Gas Heated / central AC MF**</v>
      </c>
      <c r="F104" s="236">
        <v>0</v>
      </c>
      <c r="G104" s="3755" t="s">
        <v>284</v>
      </c>
      <c r="H104" s="3756"/>
      <c r="I104" s="3455"/>
      <c r="J104" s="199"/>
      <c r="N104" s="205"/>
      <c r="O104" s="199"/>
      <c r="P104" s="199"/>
      <c r="Q104" s="199"/>
      <c r="V104" s="3778"/>
      <c r="W104" s="238"/>
      <c r="X104" s="238"/>
      <c r="Y104" s="241">
        <v>0</v>
      </c>
      <c r="Z104" s="379">
        <v>0</v>
      </c>
      <c r="AA104" s="379">
        <v>0</v>
      </c>
      <c r="AB104" s="379">
        <v>0</v>
      </c>
      <c r="AC104" s="236">
        <v>0</v>
      </c>
      <c r="AD104" s="236">
        <v>0</v>
      </c>
      <c r="AE104" s="238"/>
      <c r="AF104" s="238"/>
      <c r="AG104" s="238"/>
      <c r="AH104" s="150"/>
      <c r="AU104" s="145"/>
    </row>
    <row r="105" spans="1:54" hidden="1" outlineLevel="1" x14ac:dyDescent="0.35">
      <c r="B105" s="1040"/>
      <c r="C105" s="197"/>
      <c r="D105" s="3775"/>
      <c r="E105" s="3463" t="str">
        <f>E75</f>
        <v>Learning Thermostat - Unknown SF**</v>
      </c>
      <c r="F105" s="236">
        <v>0.33</v>
      </c>
      <c r="G105" s="3751" t="s">
        <v>285</v>
      </c>
      <c r="H105" s="3752"/>
      <c r="I105" s="3455"/>
      <c r="J105" s="199"/>
      <c r="N105" s="205"/>
      <c r="O105" s="199"/>
      <c r="P105" s="199"/>
      <c r="Q105" s="199"/>
      <c r="V105" s="3778"/>
      <c r="W105" s="238">
        <v>0.35</v>
      </c>
      <c r="X105" s="240">
        <v>0.2446317798632098</v>
      </c>
      <c r="Y105" s="242">
        <v>0.16428797970187123</v>
      </c>
      <c r="Z105" s="1715">
        <v>0.16428797970187123</v>
      </c>
      <c r="AA105" s="1715">
        <v>0.16428797970187123</v>
      </c>
      <c r="AB105" s="379">
        <v>0.16428797970187123</v>
      </c>
      <c r="AC105" s="240">
        <v>0.33</v>
      </c>
      <c r="AD105" s="236">
        <v>0.33</v>
      </c>
      <c r="AE105" s="238"/>
      <c r="AF105" s="238"/>
      <c r="AG105" s="238"/>
      <c r="AH105" s="150"/>
      <c r="AU105" s="145"/>
    </row>
    <row r="106" spans="1:54" hidden="1" outlineLevel="1" x14ac:dyDescent="0.35">
      <c r="B106" s="1040"/>
      <c r="C106" s="197"/>
      <c r="D106" s="3776"/>
      <c r="E106" s="3463" t="str">
        <f>E77</f>
        <v>Learning Thermostat - Unknown MF**</v>
      </c>
      <c r="F106" s="236">
        <v>0.33</v>
      </c>
      <c r="G106" s="3753"/>
      <c r="H106" s="3754"/>
      <c r="I106" s="3455"/>
      <c r="J106" s="199"/>
      <c r="N106" s="205"/>
      <c r="O106" s="199"/>
      <c r="P106" s="199"/>
      <c r="Q106" s="199"/>
      <c r="V106" s="3779"/>
      <c r="W106" s="238"/>
      <c r="X106" s="240"/>
      <c r="Y106" s="242">
        <v>0.16428797970187123</v>
      </c>
      <c r="Z106" s="1715">
        <v>0.16428797970187123</v>
      </c>
      <c r="AA106" s="1715">
        <v>0.16428797970187123</v>
      </c>
      <c r="AB106" s="379">
        <v>0.16428797970187123</v>
      </c>
      <c r="AC106" s="240">
        <v>0.33</v>
      </c>
      <c r="AD106" s="236">
        <v>0.33</v>
      </c>
      <c r="AE106" s="238"/>
      <c r="AF106" s="238"/>
      <c r="AG106" s="238"/>
      <c r="AH106" s="150"/>
      <c r="AU106" s="145"/>
    </row>
    <row r="107" spans="1:54" hidden="1" outlineLevel="1" x14ac:dyDescent="0.35">
      <c r="B107" s="1040"/>
      <c r="C107" s="197"/>
      <c r="D107" s="3774" t="s">
        <v>286</v>
      </c>
      <c r="E107" s="277" t="str">
        <f>$E$99</f>
        <v>Learning Thermostat - ASHP heating/cooling SF</v>
      </c>
      <c r="F107" s="383">
        <v>8354.8764478764479</v>
      </c>
      <c r="G107" s="3745" t="s">
        <v>287</v>
      </c>
      <c r="H107" s="3746"/>
      <c r="I107" s="3784" t="s">
        <v>288</v>
      </c>
      <c r="J107" s="199"/>
      <c r="N107" s="205"/>
      <c r="O107" s="199"/>
      <c r="P107" s="199"/>
      <c r="Q107" s="199"/>
      <c r="V107" s="3777" t="str">
        <f>D107</f>
        <v>HeatingConsumption_Electric</v>
      </c>
      <c r="W107" s="244">
        <v>8320</v>
      </c>
      <c r="X107" s="245">
        <f>206570/25</f>
        <v>8262.7999999999993</v>
      </c>
      <c r="Y107" s="245">
        <v>8354.8764478764479</v>
      </c>
      <c r="Z107" s="383">
        <v>8354.8764478764479</v>
      </c>
      <c r="AA107" s="383">
        <v>8354.8764478764479</v>
      </c>
      <c r="AB107" s="383">
        <v>8354.8764478764479</v>
      </c>
      <c r="AC107" s="383">
        <v>8354.8764478764479</v>
      </c>
      <c r="AD107" s="383">
        <v>8354.8764478764479</v>
      </c>
      <c r="AE107" s="244"/>
      <c r="AF107" s="244"/>
      <c r="AG107" s="244"/>
      <c r="AH107" s="150"/>
      <c r="AU107" s="145"/>
    </row>
    <row r="108" spans="1:54" hidden="1" outlineLevel="1" x14ac:dyDescent="0.35">
      <c r="B108" s="1040"/>
      <c r="C108" s="197"/>
      <c r="D108" s="3775"/>
      <c r="E108" s="277" t="str">
        <f>$E$100</f>
        <v>Learning Thermostat - ASHP heating/cooling MF</v>
      </c>
      <c r="F108" s="383">
        <v>8355</v>
      </c>
      <c r="G108" s="3747"/>
      <c r="H108" s="3748"/>
      <c r="I108" s="3785"/>
      <c r="J108" s="199"/>
      <c r="N108" s="205"/>
      <c r="O108" s="199"/>
      <c r="P108" s="199"/>
      <c r="Q108" s="199"/>
      <c r="V108" s="3778"/>
      <c r="W108" s="244"/>
      <c r="X108" s="245"/>
      <c r="Y108" s="245">
        <v>8355</v>
      </c>
      <c r="Z108" s="383">
        <v>8355</v>
      </c>
      <c r="AA108" s="383">
        <v>8355</v>
      </c>
      <c r="AB108" s="383">
        <v>8355</v>
      </c>
      <c r="AC108" s="383">
        <v>8355</v>
      </c>
      <c r="AD108" s="383">
        <v>8355</v>
      </c>
      <c r="AE108" s="244"/>
      <c r="AF108" s="244"/>
      <c r="AG108" s="244"/>
      <c r="AH108" s="150"/>
      <c r="AU108" s="145"/>
    </row>
    <row r="109" spans="1:54" hidden="1" outlineLevel="1" x14ac:dyDescent="0.35">
      <c r="B109" s="1040"/>
      <c r="C109" s="197"/>
      <c r="D109" s="3775"/>
      <c r="E109" s="3446" t="str">
        <f>E61</f>
        <v>Learning Thermostat - ASHP heating/cooling MF_CompE</v>
      </c>
      <c r="F109" s="383">
        <f>(509/1496)*F108</f>
        <v>2842.7105614973266</v>
      </c>
      <c r="G109" s="3747"/>
      <c r="H109" s="3748"/>
      <c r="I109" s="3785"/>
      <c r="J109" s="199"/>
      <c r="N109" s="205"/>
      <c r="O109" s="199"/>
      <c r="P109" s="199"/>
      <c r="Q109" s="199"/>
      <c r="V109" s="3778"/>
      <c r="W109" s="244"/>
      <c r="X109" s="245"/>
      <c r="Y109" s="245">
        <v>2842.7105614973266</v>
      </c>
      <c r="Z109" s="383">
        <v>2842.7105614973266</v>
      </c>
      <c r="AA109" s="383">
        <v>2842.7105614973266</v>
      </c>
      <c r="AB109" s="383">
        <v>2842.7105614973266</v>
      </c>
      <c r="AC109" s="383">
        <f>(509/1496)*AC108</f>
        <v>2842.7105614973266</v>
      </c>
      <c r="AD109" s="383">
        <v>2842.7105614973266</v>
      </c>
      <c r="AE109" s="244"/>
      <c r="AF109" s="244"/>
      <c r="AG109" s="244"/>
      <c r="AH109" s="150"/>
      <c r="AU109" s="145"/>
    </row>
    <row r="110" spans="1:54" hidden="1" outlineLevel="1" x14ac:dyDescent="0.35">
      <c r="B110" s="1040"/>
      <c r="C110" s="197"/>
      <c r="D110" s="3775"/>
      <c r="E110" s="277" t="str">
        <f>$E$101</f>
        <v>Learning Thermostat - electric furnace heating / central AC MF</v>
      </c>
      <c r="F110" s="383">
        <v>14201.965811965812</v>
      </c>
      <c r="G110" s="3747"/>
      <c r="H110" s="3748"/>
      <c r="I110" s="3766"/>
      <c r="J110" s="199"/>
      <c r="N110" s="205"/>
      <c r="O110" s="199"/>
      <c r="P110" s="199"/>
      <c r="Q110" s="199"/>
      <c r="V110" s="3778"/>
      <c r="W110" s="244">
        <f>14144</f>
        <v>14144</v>
      </c>
      <c r="X110" s="245">
        <f>X112</f>
        <v>14193.886792452829</v>
      </c>
      <c r="Y110" s="245">
        <v>14201.965811965812</v>
      </c>
      <c r="Z110" s="383">
        <v>14201.965811965812</v>
      </c>
      <c r="AA110" s="383">
        <v>14201.965811965812</v>
      </c>
      <c r="AB110" s="383">
        <v>14201.965811965812</v>
      </c>
      <c r="AC110" s="383">
        <v>14201.965811965812</v>
      </c>
      <c r="AD110" s="383">
        <v>14201.965811965812</v>
      </c>
      <c r="AE110" s="244"/>
      <c r="AF110" s="244"/>
      <c r="AG110" s="244"/>
      <c r="AH110" s="150"/>
      <c r="AI110" s="247" t="s">
        <v>289</v>
      </c>
      <c r="AJ110" s="248">
        <v>17940</v>
      </c>
      <c r="AK110" s="248">
        <v>10553</v>
      </c>
      <c r="AL110" s="248">
        <v>17017</v>
      </c>
      <c r="AU110" s="145"/>
    </row>
    <row r="111" spans="1:54" hidden="1" outlineLevel="1" x14ac:dyDescent="0.35">
      <c r="B111" s="1040"/>
      <c r="C111" s="197"/>
      <c r="D111" s="3775"/>
      <c r="E111" s="3446" t="str">
        <f>E65</f>
        <v>Learning Thermostat - electric furnace heating / central AC MF_CompE</v>
      </c>
      <c r="F111" s="383">
        <f>(509/1496)*F110</f>
        <v>4832.0859614241972</v>
      </c>
      <c r="G111" s="3747"/>
      <c r="H111" s="3748"/>
      <c r="I111" s="3766"/>
      <c r="J111" s="199"/>
      <c r="N111" s="205"/>
      <c r="O111" s="199"/>
      <c r="P111" s="199"/>
      <c r="Q111" s="199"/>
      <c r="V111" s="3778"/>
      <c r="W111" s="244"/>
      <c r="X111" s="245"/>
      <c r="Y111" s="245">
        <v>4832.0859614241972</v>
      </c>
      <c r="Z111" s="383">
        <v>4832.0859614241972</v>
      </c>
      <c r="AA111" s="383">
        <v>4832.0859614241972</v>
      </c>
      <c r="AB111" s="383">
        <v>4832.0859614241972</v>
      </c>
      <c r="AC111" s="383">
        <f>(509/1496)*AC110</f>
        <v>4832.0859614241972</v>
      </c>
      <c r="AD111" s="383">
        <v>4832.0859614241972</v>
      </c>
      <c r="AE111" s="244"/>
      <c r="AF111" s="244"/>
      <c r="AG111" s="244"/>
      <c r="AH111" s="150"/>
      <c r="AI111" s="247"/>
      <c r="AJ111" s="248"/>
      <c r="AK111" s="248"/>
      <c r="AL111" s="248"/>
      <c r="AU111" s="145"/>
    </row>
    <row r="112" spans="1:54" hidden="1" outlineLevel="1" x14ac:dyDescent="0.35">
      <c r="B112" s="1040"/>
      <c r="C112" s="197"/>
      <c r="D112" s="3775"/>
      <c r="E112" s="277" t="str">
        <f>$E$102</f>
        <v>Learning Thermostat - electric furnace heating / central AC SF</v>
      </c>
      <c r="F112" s="383">
        <v>14201.965811965812</v>
      </c>
      <c r="G112" s="3747"/>
      <c r="H112" s="3748"/>
      <c r="I112" s="3766"/>
      <c r="J112" s="199"/>
      <c r="N112" s="205"/>
      <c r="O112" s="199"/>
      <c r="P112" s="199"/>
      <c r="Q112" s="199"/>
      <c r="V112" s="3778"/>
      <c r="W112" s="244">
        <v>14144</v>
      </c>
      <c r="X112" s="245">
        <f>752276/53</f>
        <v>14193.886792452829</v>
      </c>
      <c r="Y112" s="245">
        <v>14201.965811965812</v>
      </c>
      <c r="Z112" s="383">
        <v>14201.965811965812</v>
      </c>
      <c r="AA112" s="383">
        <v>14201.965811965812</v>
      </c>
      <c r="AB112" s="383">
        <v>14201.965811965812</v>
      </c>
      <c r="AC112" s="383">
        <v>14201.965811965812</v>
      </c>
      <c r="AD112" s="383">
        <v>14201.965811965812</v>
      </c>
      <c r="AE112" s="244"/>
      <c r="AF112" s="244"/>
      <c r="AG112" s="244"/>
      <c r="AH112" s="150"/>
      <c r="AI112" s="247" t="s">
        <v>290</v>
      </c>
      <c r="AJ112" s="247">
        <v>19664</v>
      </c>
      <c r="AK112" s="247">
        <v>11567</v>
      </c>
      <c r="AL112" s="247">
        <v>18652</v>
      </c>
      <c r="AU112" s="145"/>
    </row>
    <row r="113" spans="2:47" hidden="1" outlineLevel="1" x14ac:dyDescent="0.35">
      <c r="B113" s="1040"/>
      <c r="C113" s="197"/>
      <c r="D113" s="3775"/>
      <c r="E113" s="277" t="str">
        <f>$E$103</f>
        <v>Learning Thermostat - Gas Heated / central AC SF**</v>
      </c>
      <c r="F113" s="383">
        <v>0</v>
      </c>
      <c r="G113" s="3747"/>
      <c r="H113" s="3748"/>
      <c r="I113" s="3766"/>
      <c r="J113" s="199"/>
      <c r="N113" s="205"/>
      <c r="O113" s="199"/>
      <c r="P113" s="199"/>
      <c r="Q113" s="199"/>
      <c r="V113" s="3778"/>
      <c r="W113" s="244">
        <v>0</v>
      </c>
      <c r="X113" s="246">
        <v>0</v>
      </c>
      <c r="Y113" s="243">
        <v>0</v>
      </c>
      <c r="Z113" s="383">
        <v>0</v>
      </c>
      <c r="AA113" s="383">
        <v>0</v>
      </c>
      <c r="AB113" s="383">
        <v>0</v>
      </c>
      <c r="AC113" s="383">
        <v>0</v>
      </c>
      <c r="AD113" s="383">
        <v>0</v>
      </c>
      <c r="AE113" s="244"/>
      <c r="AF113" s="244"/>
      <c r="AG113" s="244"/>
      <c r="AH113" s="150"/>
      <c r="AI113" s="247" t="s">
        <v>291</v>
      </c>
      <c r="AJ113" s="248">
        <v>13502</v>
      </c>
      <c r="AK113" s="248">
        <v>7943</v>
      </c>
      <c r="AL113" s="248">
        <v>12807</v>
      </c>
      <c r="AU113" s="145"/>
    </row>
    <row r="114" spans="2:47" hidden="1" outlineLevel="1" x14ac:dyDescent="0.35">
      <c r="B114" s="1040"/>
      <c r="C114" s="197"/>
      <c r="D114" s="3775"/>
      <c r="E114" s="277" t="str">
        <f>$E$104</f>
        <v>Learning Thermostat - Gas Heated / central AC MF**</v>
      </c>
      <c r="F114" s="383">
        <v>0</v>
      </c>
      <c r="G114" s="3747"/>
      <c r="H114" s="3748"/>
      <c r="I114" s="3766"/>
      <c r="J114" s="199"/>
      <c r="N114" s="205"/>
      <c r="O114" s="199"/>
      <c r="P114" s="199"/>
      <c r="Q114" s="199"/>
      <c r="V114" s="3778"/>
      <c r="W114" s="244"/>
      <c r="X114" s="246"/>
      <c r="Y114" s="245">
        <v>0</v>
      </c>
      <c r="Z114" s="383">
        <v>0</v>
      </c>
      <c r="AA114" s="383">
        <v>0</v>
      </c>
      <c r="AB114" s="383">
        <v>0</v>
      </c>
      <c r="AC114" s="383">
        <v>0</v>
      </c>
      <c r="AD114" s="383">
        <v>0</v>
      </c>
      <c r="AE114" s="244"/>
      <c r="AF114" s="244"/>
      <c r="AG114" s="244"/>
      <c r="AH114" s="150"/>
      <c r="AI114" s="247"/>
      <c r="AJ114" s="248"/>
      <c r="AK114" s="248"/>
      <c r="AL114" s="248"/>
      <c r="AU114" s="145"/>
    </row>
    <row r="115" spans="2:47" hidden="1" outlineLevel="1" x14ac:dyDescent="0.35">
      <c r="B115" s="1040"/>
      <c r="C115" s="197"/>
      <c r="D115" s="3775"/>
      <c r="E115" s="3446" t="str">
        <f>E73</f>
        <v>Learning Thermostat - Gas Heated / central AC MF_CompE**</v>
      </c>
      <c r="F115" s="383">
        <f>(509/1496)*F114</f>
        <v>0</v>
      </c>
      <c r="G115" s="3747"/>
      <c r="H115" s="3748"/>
      <c r="I115" s="3766"/>
      <c r="J115" s="199"/>
      <c r="N115" s="205"/>
      <c r="O115" s="199"/>
      <c r="P115" s="199"/>
      <c r="Q115" s="199"/>
      <c r="V115" s="3778"/>
      <c r="W115" s="244"/>
      <c r="X115" s="246"/>
      <c r="Y115" s="245">
        <v>0</v>
      </c>
      <c r="Z115" s="383">
        <v>0</v>
      </c>
      <c r="AA115" s="383">
        <v>0</v>
      </c>
      <c r="AB115" s="383">
        <v>0</v>
      </c>
      <c r="AC115" s="383">
        <f>(509/1496)*AC114</f>
        <v>0</v>
      </c>
      <c r="AD115" s="383">
        <v>0</v>
      </c>
      <c r="AE115" s="244"/>
      <c r="AF115" s="244"/>
      <c r="AG115" s="244"/>
      <c r="AH115" s="150"/>
      <c r="AI115" s="247"/>
      <c r="AJ115" s="248"/>
      <c r="AK115" s="248"/>
      <c r="AL115" s="248"/>
      <c r="AU115" s="145"/>
    </row>
    <row r="116" spans="2:47" hidden="1" outlineLevel="1" x14ac:dyDescent="0.35">
      <c r="B116" s="1040"/>
      <c r="C116" s="197"/>
      <c r="D116" s="3775"/>
      <c r="E116" s="277" t="str">
        <f>$E$105</f>
        <v>Learning Thermostat - Unknown SF**</v>
      </c>
      <c r="F116" s="383">
        <v>11456.0072529465</v>
      </c>
      <c r="G116" s="3747"/>
      <c r="H116" s="3748"/>
      <c r="I116" s="3766"/>
      <c r="J116" s="199"/>
      <c r="N116" s="205"/>
      <c r="O116" s="199"/>
      <c r="P116" s="199"/>
      <c r="Q116" s="199"/>
      <c r="V116" s="3778"/>
      <c r="W116" s="246">
        <v>13416</v>
      </c>
      <c r="X116" s="249">
        <v>12382.71</v>
      </c>
      <c r="Y116" s="245">
        <v>11456.0072529465</v>
      </c>
      <c r="Z116" s="383">
        <v>11456.0072529465</v>
      </c>
      <c r="AA116" s="383">
        <v>11456.0072529465</v>
      </c>
      <c r="AB116" s="383">
        <v>11456.0072529465</v>
      </c>
      <c r="AC116" s="383">
        <v>11456.0072529465</v>
      </c>
      <c r="AD116" s="383">
        <v>11456.0072529465</v>
      </c>
      <c r="AE116" s="244"/>
      <c r="AF116" s="244"/>
      <c r="AG116" s="244"/>
      <c r="AH116" s="150"/>
      <c r="AI116" s="247" t="s">
        <v>292</v>
      </c>
      <c r="AJ116" s="248">
        <v>14276</v>
      </c>
      <c r="AK116" s="248">
        <v>8398</v>
      </c>
      <c r="AL116" s="248">
        <v>13541</v>
      </c>
      <c r="AU116" s="145"/>
    </row>
    <row r="117" spans="2:47" hidden="1" outlineLevel="1" x14ac:dyDescent="0.35">
      <c r="B117" s="1040"/>
      <c r="C117" s="197"/>
      <c r="D117" s="3716"/>
      <c r="E117" s="277" t="str">
        <f>$E$106</f>
        <v>Learning Thermostat - Unknown MF**</v>
      </c>
      <c r="F117" s="383">
        <v>11456.0072529465</v>
      </c>
      <c r="G117" s="3747"/>
      <c r="H117" s="3748"/>
      <c r="I117" s="3766"/>
      <c r="J117" s="199"/>
      <c r="N117" s="205"/>
      <c r="O117" s="199"/>
      <c r="P117" s="199"/>
      <c r="Q117" s="199"/>
      <c r="V117" s="3781"/>
      <c r="W117" s="246"/>
      <c r="X117" s="249"/>
      <c r="Y117" s="245">
        <v>11456.0072529465</v>
      </c>
      <c r="Z117" s="383">
        <v>11456.0072529465</v>
      </c>
      <c r="AA117" s="383">
        <v>11456.0072529465</v>
      </c>
      <c r="AB117" s="383">
        <v>11456.0072529465</v>
      </c>
      <c r="AC117" s="383">
        <v>11456.0072529465</v>
      </c>
      <c r="AD117" s="383">
        <v>11456.0072529465</v>
      </c>
      <c r="AE117" s="244"/>
      <c r="AF117" s="244"/>
      <c r="AG117" s="244"/>
      <c r="AH117" s="150"/>
      <c r="AI117" s="247"/>
      <c r="AJ117" s="248"/>
      <c r="AK117" s="248"/>
      <c r="AL117" s="248"/>
      <c r="AU117" s="145"/>
    </row>
    <row r="118" spans="2:47" hidden="1" outlineLevel="1" x14ac:dyDescent="0.35">
      <c r="B118" s="1040"/>
      <c r="C118" s="197"/>
      <c r="D118" s="3776"/>
      <c r="E118" s="3446" t="str">
        <f>E79</f>
        <v>Learning Thermostat - Unknown MF_CompE**</v>
      </c>
      <c r="F118" s="383">
        <f>(509/1496)*F117</f>
        <v>3897.799259191022</v>
      </c>
      <c r="G118" s="3749"/>
      <c r="H118" s="3750"/>
      <c r="I118" s="3767"/>
      <c r="J118" s="199"/>
      <c r="N118" s="205"/>
      <c r="O118" s="199"/>
      <c r="P118" s="199"/>
      <c r="Q118" s="199"/>
      <c r="V118" s="3779"/>
      <c r="W118" s="246"/>
      <c r="X118" s="249"/>
      <c r="Y118" s="245">
        <v>3897.799259191022</v>
      </c>
      <c r="Z118" s="383">
        <v>3897.799259191022</v>
      </c>
      <c r="AA118" s="383">
        <v>3897.799259191022</v>
      </c>
      <c r="AB118" s="383">
        <v>3897.799259191022</v>
      </c>
      <c r="AC118" s="383">
        <f>(509/1496)*AC117</f>
        <v>3897.799259191022</v>
      </c>
      <c r="AD118" s="383">
        <v>3897.799259191022</v>
      </c>
      <c r="AE118" s="244"/>
      <c r="AF118" s="244"/>
      <c r="AG118" s="244"/>
      <c r="AH118" s="150"/>
      <c r="AI118" s="247"/>
      <c r="AJ118" s="248"/>
      <c r="AK118" s="248"/>
      <c r="AL118" s="248"/>
      <c r="AU118" s="145"/>
    </row>
    <row r="119" spans="2:47" hidden="1" outlineLevel="1" x14ac:dyDescent="0.35">
      <c r="B119" s="1040"/>
      <c r="C119" s="197"/>
      <c r="D119" s="3774" t="s">
        <v>293</v>
      </c>
      <c r="E119" s="277" t="str">
        <f>$E$99</f>
        <v>Learning Thermostat - ASHP heating/cooling SF</v>
      </c>
      <c r="F119" s="379">
        <v>1</v>
      </c>
      <c r="G119" s="3755" t="s">
        <v>284</v>
      </c>
      <c r="H119" s="3756"/>
      <c r="I119" s="3455"/>
      <c r="J119" s="199"/>
      <c r="N119" s="205"/>
      <c r="O119" s="199"/>
      <c r="P119" s="199"/>
      <c r="Q119" s="199"/>
      <c r="V119" s="3777" t="str">
        <f>D119</f>
        <v>HF</v>
      </c>
      <c r="W119" s="238">
        <v>1</v>
      </c>
      <c r="X119" s="238">
        <v>1</v>
      </c>
      <c r="Y119" s="239">
        <v>1</v>
      </c>
      <c r="Z119" s="379">
        <v>1</v>
      </c>
      <c r="AA119" s="379">
        <v>1</v>
      </c>
      <c r="AB119" s="379">
        <v>1</v>
      </c>
      <c r="AC119" s="379">
        <v>1</v>
      </c>
      <c r="AD119" s="379">
        <v>1</v>
      </c>
      <c r="AE119" s="238"/>
      <c r="AF119" s="238"/>
      <c r="AG119" s="238"/>
      <c r="AH119" s="150"/>
      <c r="AI119" s="247" t="s">
        <v>294</v>
      </c>
      <c r="AJ119" s="248">
        <v>14144</v>
      </c>
      <c r="AK119" s="248">
        <v>8320</v>
      </c>
      <c r="AL119" s="248">
        <v>13416</v>
      </c>
      <c r="AU119" s="145"/>
    </row>
    <row r="120" spans="2:47" hidden="1" outlineLevel="1" x14ac:dyDescent="0.35">
      <c r="B120" s="1040"/>
      <c r="C120" s="197"/>
      <c r="D120" s="3775"/>
      <c r="E120" s="277" t="str">
        <f>$E$100</f>
        <v>Learning Thermostat - ASHP heating/cooling MF</v>
      </c>
      <c r="F120" s="379">
        <v>0.65</v>
      </c>
      <c r="G120" s="3755" t="s">
        <v>284</v>
      </c>
      <c r="H120" s="3756"/>
      <c r="I120" s="3455"/>
      <c r="J120" s="199"/>
      <c r="N120" s="205"/>
      <c r="O120" s="199"/>
      <c r="P120" s="199"/>
      <c r="Q120" s="199"/>
      <c r="V120" s="3778"/>
      <c r="W120" s="238"/>
      <c r="X120" s="238"/>
      <c r="Y120" s="240">
        <v>0.65</v>
      </c>
      <c r="Z120" s="379">
        <v>0.65</v>
      </c>
      <c r="AA120" s="379">
        <v>0.65</v>
      </c>
      <c r="AB120" s="379">
        <v>0.65</v>
      </c>
      <c r="AC120" s="379">
        <v>0.65</v>
      </c>
      <c r="AD120" s="379">
        <v>0.65</v>
      </c>
      <c r="AE120" s="238"/>
      <c r="AF120" s="238"/>
      <c r="AG120" s="238"/>
      <c r="AH120" s="150"/>
      <c r="AI120" s="247"/>
      <c r="AJ120" s="248"/>
      <c r="AK120" s="248"/>
      <c r="AL120" s="248"/>
      <c r="AU120" s="145"/>
    </row>
    <row r="121" spans="2:47" hidden="1" outlineLevel="1" x14ac:dyDescent="0.35">
      <c r="B121" s="1040"/>
      <c r="C121" s="197"/>
      <c r="D121" s="3775"/>
      <c r="E121" s="277" t="str">
        <f>$E$101</f>
        <v>Learning Thermostat - electric furnace heating / central AC MF</v>
      </c>
      <c r="F121" s="379">
        <v>0.65</v>
      </c>
      <c r="G121" s="3755" t="s">
        <v>284</v>
      </c>
      <c r="H121" s="3756"/>
      <c r="I121" s="3455"/>
      <c r="J121" s="199"/>
      <c r="N121" s="205"/>
      <c r="O121" s="199"/>
      <c r="P121" s="199"/>
      <c r="Q121" s="199"/>
      <c r="V121" s="3778"/>
      <c r="W121" s="238">
        <v>0.65</v>
      </c>
      <c r="X121" s="238">
        <v>0.65</v>
      </c>
      <c r="Y121" s="239">
        <v>0.65</v>
      </c>
      <c r="Z121" s="379">
        <v>0.65</v>
      </c>
      <c r="AA121" s="379">
        <v>0.65</v>
      </c>
      <c r="AB121" s="379">
        <v>0.65</v>
      </c>
      <c r="AC121" s="379">
        <v>0.65</v>
      </c>
      <c r="AD121" s="379">
        <v>0.65</v>
      </c>
      <c r="AE121" s="238"/>
      <c r="AF121" s="238"/>
      <c r="AG121" s="238"/>
      <c r="AH121" s="150"/>
      <c r="AI121" s="247" t="s">
        <v>295</v>
      </c>
      <c r="AJ121" s="248">
        <v>16272</v>
      </c>
      <c r="AK121" s="248">
        <v>9572</v>
      </c>
      <c r="AL121" s="248">
        <v>15435</v>
      </c>
      <c r="AU121" s="145"/>
    </row>
    <row r="122" spans="2:47" hidden="1" outlineLevel="1" x14ac:dyDescent="0.35">
      <c r="B122" s="1040"/>
      <c r="C122" s="197"/>
      <c r="D122" s="3775"/>
      <c r="E122" s="277" t="str">
        <f>$E$102</f>
        <v>Learning Thermostat - electric furnace heating / central AC SF</v>
      </c>
      <c r="F122" s="379">
        <v>1</v>
      </c>
      <c r="G122" s="3755" t="s">
        <v>284</v>
      </c>
      <c r="H122" s="3756"/>
      <c r="I122" s="3455"/>
      <c r="J122" s="199"/>
      <c r="N122" s="205"/>
      <c r="O122" s="199"/>
      <c r="P122" s="199"/>
      <c r="Q122" s="199"/>
      <c r="V122" s="3778"/>
      <c r="W122" s="238">
        <v>1</v>
      </c>
      <c r="X122" s="238">
        <v>1</v>
      </c>
      <c r="Y122" s="239">
        <v>1</v>
      </c>
      <c r="Z122" s="379">
        <v>1</v>
      </c>
      <c r="AA122" s="379">
        <v>1</v>
      </c>
      <c r="AB122" s="379">
        <v>1</v>
      </c>
      <c r="AC122" s="379">
        <v>1</v>
      </c>
      <c r="AD122" s="379">
        <v>1</v>
      </c>
      <c r="AE122" s="238"/>
      <c r="AF122" s="238"/>
      <c r="AG122" s="238"/>
      <c r="AH122" s="150"/>
      <c r="AI122" s="247" t="s">
        <v>296</v>
      </c>
      <c r="AJ122" s="248">
        <v>16184</v>
      </c>
      <c r="AK122" s="248">
        <v>9520</v>
      </c>
      <c r="AL122" s="248">
        <v>15351</v>
      </c>
      <c r="AU122" s="145"/>
    </row>
    <row r="123" spans="2:47" hidden="1" outlineLevel="1" x14ac:dyDescent="0.35">
      <c r="B123" s="1040"/>
      <c r="C123" s="197"/>
      <c r="D123" s="3775"/>
      <c r="E123" s="277" t="str">
        <f>$E$103</f>
        <v>Learning Thermostat - Gas Heated / central AC SF**</v>
      </c>
      <c r="F123" s="379">
        <v>1</v>
      </c>
      <c r="G123" s="3755" t="s">
        <v>284</v>
      </c>
      <c r="H123" s="3756"/>
      <c r="I123" s="3455"/>
      <c r="J123" s="199"/>
      <c r="N123" s="205"/>
      <c r="O123" s="199"/>
      <c r="P123" s="199"/>
      <c r="Q123" s="199"/>
      <c r="V123" s="3778"/>
      <c r="W123" s="238">
        <v>1</v>
      </c>
      <c r="X123" s="238">
        <v>1</v>
      </c>
      <c r="Y123" s="238">
        <v>1</v>
      </c>
      <c r="Z123" s="379">
        <v>1</v>
      </c>
      <c r="AA123" s="379">
        <v>1</v>
      </c>
      <c r="AB123" s="379">
        <v>1</v>
      </c>
      <c r="AC123" s="379">
        <v>1</v>
      </c>
      <c r="AD123" s="379">
        <v>1</v>
      </c>
      <c r="AE123" s="238"/>
      <c r="AF123" s="238"/>
      <c r="AG123" s="238"/>
      <c r="AH123" s="150"/>
      <c r="AU123" s="145"/>
    </row>
    <row r="124" spans="2:47" hidden="1" outlineLevel="1" x14ac:dyDescent="0.35">
      <c r="B124" s="1040"/>
      <c r="C124" s="197"/>
      <c r="D124" s="3775"/>
      <c r="E124" s="277" t="str">
        <f>$E$104</f>
        <v>Learning Thermostat - Gas Heated / central AC MF**</v>
      </c>
      <c r="F124" s="379">
        <v>0.65</v>
      </c>
      <c r="G124" s="3755"/>
      <c r="H124" s="3756"/>
      <c r="I124" s="3455"/>
      <c r="J124" s="199"/>
      <c r="N124" s="205"/>
      <c r="O124" s="199"/>
      <c r="P124" s="199"/>
      <c r="Q124" s="199"/>
      <c r="V124" s="3778"/>
      <c r="W124" s="238"/>
      <c r="X124" s="238"/>
      <c r="Y124" s="241">
        <v>0.65</v>
      </c>
      <c r="Z124" s="379">
        <v>0.65</v>
      </c>
      <c r="AA124" s="379">
        <v>0.65</v>
      </c>
      <c r="AB124" s="379">
        <v>0.65</v>
      </c>
      <c r="AC124" s="379">
        <v>0.65</v>
      </c>
      <c r="AD124" s="379">
        <v>0.65</v>
      </c>
      <c r="AE124" s="238"/>
      <c r="AF124" s="238"/>
      <c r="AG124" s="238"/>
      <c r="AH124" s="150"/>
      <c r="AU124" s="145"/>
    </row>
    <row r="125" spans="2:47" hidden="1" outlineLevel="1" x14ac:dyDescent="0.35">
      <c r="B125" s="1040"/>
      <c r="C125" s="197"/>
      <c r="D125" s="3775"/>
      <c r="E125" s="277" t="str">
        <f>$E$105</f>
        <v>Learning Thermostat - Unknown SF**</v>
      </c>
      <c r="F125" s="1716">
        <v>1</v>
      </c>
      <c r="G125" s="3751" t="s">
        <v>201</v>
      </c>
      <c r="H125" s="3752"/>
      <c r="I125" s="3455"/>
      <c r="J125" s="199"/>
      <c r="N125" s="205"/>
      <c r="O125" s="199"/>
      <c r="P125" s="199"/>
      <c r="Q125" s="199"/>
      <c r="V125" s="3778"/>
      <c r="W125" s="238">
        <v>1</v>
      </c>
      <c r="X125" s="251">
        <v>0.96572336230188205</v>
      </c>
      <c r="Y125" s="250">
        <v>1</v>
      </c>
      <c r="Z125" s="1716">
        <v>1</v>
      </c>
      <c r="AA125" s="1716">
        <v>1</v>
      </c>
      <c r="AB125" s="1716">
        <v>1</v>
      </c>
      <c r="AC125" s="1716">
        <v>1</v>
      </c>
      <c r="AD125" s="1716">
        <v>1</v>
      </c>
      <c r="AE125" s="238"/>
      <c r="AF125" s="238"/>
      <c r="AG125" s="238"/>
      <c r="AH125" s="150"/>
      <c r="AJ125" s="252"/>
      <c r="AU125" s="145"/>
    </row>
    <row r="126" spans="2:47" hidden="1" outlineLevel="1" x14ac:dyDescent="0.35">
      <c r="B126" s="1040"/>
      <c r="C126" s="197"/>
      <c r="D126" s="3776"/>
      <c r="E126" s="277" t="str">
        <f>$E$106</f>
        <v>Learning Thermostat - Unknown MF**</v>
      </c>
      <c r="F126" s="1716">
        <v>0.65</v>
      </c>
      <c r="G126" s="3753"/>
      <c r="H126" s="3754"/>
      <c r="I126" s="3455"/>
      <c r="J126" s="199"/>
      <c r="N126" s="205"/>
      <c r="O126" s="199"/>
      <c r="P126" s="199"/>
      <c r="Q126" s="199"/>
      <c r="V126" s="3779"/>
      <c r="W126" s="238"/>
      <c r="X126" s="251"/>
      <c r="Y126" s="250">
        <v>0.65</v>
      </c>
      <c r="Z126" s="1716">
        <v>0.65</v>
      </c>
      <c r="AA126" s="1716">
        <v>0.65</v>
      </c>
      <c r="AB126" s="1716">
        <v>0.65</v>
      </c>
      <c r="AC126" s="1716">
        <v>0.65</v>
      </c>
      <c r="AD126" s="1716">
        <v>0.65</v>
      </c>
      <c r="AE126" s="238"/>
      <c r="AF126" s="238"/>
      <c r="AG126" s="238"/>
      <c r="AH126" s="150"/>
      <c r="AJ126" s="252"/>
      <c r="AU126" s="145"/>
    </row>
    <row r="127" spans="2:47" ht="43.5" hidden="1" outlineLevel="1" x14ac:dyDescent="0.35">
      <c r="B127" s="1040"/>
      <c r="C127" s="197"/>
      <c r="D127" s="3774" t="s">
        <v>297</v>
      </c>
      <c r="E127" s="277" t="s">
        <v>298</v>
      </c>
      <c r="F127" s="1716">
        <f>SUMPRODUCT(F128:F130,I128:I130)</f>
        <v>6.668717948717949E-2</v>
      </c>
      <c r="G127" s="3745" t="s">
        <v>299</v>
      </c>
      <c r="H127" s="3746"/>
      <c r="I127" s="1942" t="s">
        <v>300</v>
      </c>
      <c r="J127" s="199"/>
      <c r="N127" s="205"/>
      <c r="O127" s="199"/>
      <c r="P127" s="199"/>
      <c r="Q127" s="199"/>
      <c r="V127" s="3777" t="str">
        <f>D127</f>
        <v>HeatingReduction</v>
      </c>
      <c r="W127" s="253">
        <v>7.3999999999999996E-2</v>
      </c>
      <c r="X127" s="254">
        <v>6.6879999999999995E-2</v>
      </c>
      <c r="Y127" s="254">
        <v>6.668717948717949E-2</v>
      </c>
      <c r="Z127" s="1717">
        <v>6.668717948717949E-2</v>
      </c>
      <c r="AA127" s="1717">
        <v>6.668717948717949E-2</v>
      </c>
      <c r="AB127" s="1716">
        <v>6.668717948717949E-2</v>
      </c>
      <c r="AC127" s="1716">
        <f>SUMPRODUCT(AC128:AC130,AF128:AF130)</f>
        <v>0</v>
      </c>
      <c r="AD127" s="1716">
        <v>0</v>
      </c>
      <c r="AE127" s="253"/>
      <c r="AF127" s="253"/>
      <c r="AG127" s="253"/>
      <c r="AH127" s="150"/>
      <c r="AJ127" s="252"/>
      <c r="AU127" s="145"/>
    </row>
    <row r="128" spans="2:47" hidden="1" outlineLevel="1" x14ac:dyDescent="0.35">
      <c r="B128" s="1040"/>
      <c r="C128" s="197"/>
      <c r="D128" s="3775"/>
      <c r="E128" s="277" t="s">
        <v>301</v>
      </c>
      <c r="F128" s="1716">
        <v>8.7999999999999995E-2</v>
      </c>
      <c r="G128" s="3747"/>
      <c r="H128" s="3748"/>
      <c r="I128" s="256">
        <v>0.42820512820512818</v>
      </c>
      <c r="J128" s="199"/>
      <c r="N128" s="205"/>
      <c r="O128" s="199"/>
      <c r="P128" s="199"/>
      <c r="Q128" s="199"/>
      <c r="V128" s="3778"/>
      <c r="W128" s="253"/>
      <c r="X128" s="254"/>
      <c r="Y128" s="254"/>
      <c r="Z128" s="1717"/>
      <c r="AA128" s="1717"/>
      <c r="AB128" s="1718">
        <v>8.7999999999999995E-2</v>
      </c>
      <c r="AC128" s="1716">
        <v>8.7999999999999995E-2</v>
      </c>
      <c r="AD128" s="1716">
        <v>8.7999999999999995E-2</v>
      </c>
      <c r="AE128" s="253"/>
      <c r="AF128" s="253"/>
      <c r="AG128" s="253"/>
      <c r="AH128" s="150"/>
      <c r="AJ128" s="252"/>
      <c r="AU128" s="145"/>
    </row>
    <row r="129" spans="2:47" hidden="1" outlineLevel="1" x14ac:dyDescent="0.35">
      <c r="B129" s="1040"/>
      <c r="C129" s="197"/>
      <c r="D129" s="3775"/>
      <c r="E129" s="277" t="s">
        <v>302</v>
      </c>
      <c r="F129" s="1716">
        <v>5.6000000000000001E-2</v>
      </c>
      <c r="G129" s="3747"/>
      <c r="H129" s="3748"/>
      <c r="I129" s="256">
        <v>0.517948717948718</v>
      </c>
      <c r="J129" s="199"/>
      <c r="N129" s="205"/>
      <c r="O129" s="199"/>
      <c r="P129" s="199"/>
      <c r="Q129" s="199"/>
      <c r="V129" s="3778"/>
      <c r="W129" s="253"/>
      <c r="X129" s="254"/>
      <c r="Y129" s="254"/>
      <c r="Z129" s="1717"/>
      <c r="AA129" s="1717"/>
      <c r="AB129" s="1718">
        <v>5.6000000000000001E-2</v>
      </c>
      <c r="AC129" s="1716">
        <v>5.6000000000000001E-2</v>
      </c>
      <c r="AD129" s="1716">
        <v>5.6000000000000001E-2</v>
      </c>
      <c r="AE129" s="253"/>
      <c r="AF129" s="253"/>
      <c r="AG129" s="253"/>
      <c r="AH129" s="150"/>
      <c r="AJ129" s="252"/>
      <c r="AU129" s="145"/>
    </row>
    <row r="130" spans="2:47" hidden="1" outlineLevel="1" x14ac:dyDescent="0.35">
      <c r="B130" s="1040"/>
      <c r="C130" s="197"/>
      <c r="D130" s="3782"/>
      <c r="E130" s="277" t="s">
        <v>303</v>
      </c>
      <c r="F130" s="1716">
        <v>0</v>
      </c>
      <c r="G130" s="3749"/>
      <c r="H130" s="3750"/>
      <c r="I130" s="256">
        <v>5.3846153846153849E-2</v>
      </c>
      <c r="J130" s="199"/>
      <c r="N130" s="205"/>
      <c r="O130" s="199"/>
      <c r="P130" s="199"/>
      <c r="Q130" s="199"/>
      <c r="V130" s="3783"/>
      <c r="W130" s="253"/>
      <c r="X130" s="254"/>
      <c r="Y130" s="254"/>
      <c r="Z130" s="1717"/>
      <c r="AA130" s="1717"/>
      <c r="AB130" s="1718">
        <v>0</v>
      </c>
      <c r="AC130" s="1716">
        <v>0</v>
      </c>
      <c r="AD130" s="1716">
        <v>0</v>
      </c>
      <c r="AE130" s="253"/>
      <c r="AF130" s="253"/>
      <c r="AG130" s="253"/>
      <c r="AH130" s="150"/>
      <c r="AJ130" s="252"/>
      <c r="AU130" s="145"/>
    </row>
    <row r="131" spans="2:47" ht="43.5" hidden="1" outlineLevel="1" x14ac:dyDescent="0.35">
      <c r="B131" s="1040"/>
      <c r="C131" s="197"/>
      <c r="D131" s="3774" t="s">
        <v>304</v>
      </c>
      <c r="E131" s="277" t="s">
        <v>134</v>
      </c>
      <c r="F131" s="1716">
        <v>0.98799999999999999</v>
      </c>
      <c r="G131" s="3755" t="s">
        <v>252</v>
      </c>
      <c r="H131" s="3756"/>
      <c r="I131" s="3470" t="s">
        <v>305</v>
      </c>
      <c r="J131" s="199"/>
      <c r="L131" s="1222"/>
      <c r="N131" s="205"/>
      <c r="O131" s="199"/>
      <c r="P131" s="199"/>
      <c r="Q131" s="199"/>
      <c r="V131" s="3777" t="str">
        <f>D131</f>
        <v>Eff_ISR</v>
      </c>
      <c r="W131" s="238">
        <v>1</v>
      </c>
      <c r="X131" s="239">
        <v>1</v>
      </c>
      <c r="Y131" s="256">
        <v>1</v>
      </c>
      <c r="Z131" s="379">
        <v>1</v>
      </c>
      <c r="AA131" s="379">
        <v>1</v>
      </c>
      <c r="AB131" s="1718">
        <v>0.98799999999999999</v>
      </c>
      <c r="AC131" s="1716">
        <v>0.98799999999999999</v>
      </c>
      <c r="AD131" s="1716">
        <v>0.98799999999999999</v>
      </c>
      <c r="AE131" s="238"/>
      <c r="AF131" s="238"/>
      <c r="AG131" s="238"/>
      <c r="AH131" s="150"/>
      <c r="AJ131" s="252"/>
      <c r="AU131" s="145"/>
    </row>
    <row r="132" spans="2:47" ht="36.75" hidden="1" customHeight="1" outlineLevel="1" x14ac:dyDescent="0.35">
      <c r="B132" s="1040"/>
      <c r="C132" s="197"/>
      <c r="D132" s="3782"/>
      <c r="E132" s="277" t="s">
        <v>306</v>
      </c>
      <c r="F132" s="379">
        <v>1</v>
      </c>
      <c r="G132" s="3755" t="s">
        <v>4228</v>
      </c>
      <c r="H132" s="3756"/>
      <c r="I132" s="3455"/>
      <c r="J132" s="199"/>
      <c r="L132" s="1222"/>
      <c r="N132" s="205"/>
      <c r="O132" s="199"/>
      <c r="P132" s="199"/>
      <c r="Q132" s="199"/>
      <c r="V132" s="3783"/>
      <c r="W132" s="238"/>
      <c r="X132" s="239"/>
      <c r="Y132" s="256"/>
      <c r="Z132" s="379"/>
      <c r="AA132" s="379"/>
      <c r="AB132" s="1719">
        <v>1</v>
      </c>
      <c r="AC132" s="379">
        <v>1</v>
      </c>
      <c r="AD132" s="379">
        <v>1</v>
      </c>
      <c r="AE132" s="238"/>
      <c r="AF132" s="238"/>
      <c r="AG132" s="238"/>
      <c r="AH132" s="150"/>
      <c r="AJ132" s="252"/>
      <c r="AU132" s="145"/>
    </row>
    <row r="133" spans="2:47" hidden="1" outlineLevel="1" x14ac:dyDescent="0.35">
      <c r="B133" s="1040"/>
      <c r="C133" s="197"/>
      <c r="D133" s="3774" t="s">
        <v>307</v>
      </c>
      <c r="E133" s="277" t="str">
        <f>$E$99</f>
        <v>Learning Thermostat - ASHP heating/cooling SF</v>
      </c>
      <c r="F133" s="1720">
        <f t="shared" ref="F133:F140" si="6">F156*$F$164*F119*$F$127*$F$131</f>
        <v>0</v>
      </c>
      <c r="G133" s="3745" t="s">
        <v>308</v>
      </c>
      <c r="H133" s="3746"/>
      <c r="I133" s="3455"/>
      <c r="J133" s="199"/>
      <c r="N133" s="205"/>
      <c r="O133" s="199"/>
      <c r="P133" s="199"/>
      <c r="Q133" s="199"/>
      <c r="V133" s="3777" t="str">
        <f>D133</f>
        <v>∆Therms</v>
      </c>
      <c r="W133" s="259">
        <f>W156*W$164*W119*W$127*W$131</f>
        <v>50.32</v>
      </c>
      <c r="X133" s="259">
        <f>X156*X$164*X119*X$127*X$131</f>
        <v>0</v>
      </c>
      <c r="Y133" s="259">
        <v>0</v>
      </c>
      <c r="Z133" s="1720">
        <v>0</v>
      </c>
      <c r="AA133" s="1720">
        <v>0</v>
      </c>
      <c r="AB133" s="1720">
        <v>0</v>
      </c>
      <c r="AC133" s="1720">
        <f t="shared" ref="AC133:AC140" si="7">AC156*$F$164*AC119*$F$127*$F$131</f>
        <v>0</v>
      </c>
      <c r="AD133" s="1720">
        <v>0</v>
      </c>
      <c r="AE133" s="259"/>
      <c r="AF133" s="259"/>
      <c r="AG133" s="259"/>
      <c r="AH133" s="150"/>
      <c r="AU133" s="145"/>
    </row>
    <row r="134" spans="2:47" hidden="1" outlineLevel="1" x14ac:dyDescent="0.35">
      <c r="B134" s="1040"/>
      <c r="C134" s="197"/>
      <c r="D134" s="3775"/>
      <c r="E134" s="277" t="str">
        <f>$E$100</f>
        <v>Learning Thermostat - ASHP heating/cooling MF</v>
      </c>
      <c r="F134" s="1720">
        <f t="shared" si="6"/>
        <v>0</v>
      </c>
      <c r="G134" s="3747"/>
      <c r="H134" s="3748"/>
      <c r="I134" s="3455"/>
      <c r="J134" s="199"/>
      <c r="N134" s="205"/>
      <c r="O134" s="199"/>
      <c r="P134" s="199"/>
      <c r="Q134" s="199"/>
      <c r="V134" s="3778"/>
      <c r="W134" s="259"/>
      <c r="X134" s="259"/>
      <c r="Y134" s="261">
        <v>0</v>
      </c>
      <c r="Z134" s="1720">
        <v>0</v>
      </c>
      <c r="AA134" s="1720">
        <v>0</v>
      </c>
      <c r="AB134" s="1720">
        <v>0</v>
      </c>
      <c r="AC134" s="1720">
        <f t="shared" si="7"/>
        <v>0</v>
      </c>
      <c r="AD134" s="1720">
        <v>0</v>
      </c>
      <c r="AE134" s="259"/>
      <c r="AF134" s="259"/>
      <c r="AG134" s="259"/>
      <c r="AH134" s="150"/>
      <c r="AU134" s="145"/>
    </row>
    <row r="135" spans="2:47" hidden="1" outlineLevel="1" x14ac:dyDescent="0.35">
      <c r="B135" s="1040"/>
      <c r="C135" s="197"/>
      <c r="D135" s="3775"/>
      <c r="E135" s="277" t="str">
        <f>$E$101</f>
        <v>Learning Thermostat - electric furnace heating / central AC MF</v>
      </c>
      <c r="F135" s="1720">
        <f t="shared" si="6"/>
        <v>0</v>
      </c>
      <c r="G135" s="3747"/>
      <c r="H135" s="3748"/>
      <c r="I135" s="3455"/>
      <c r="J135" s="199"/>
      <c r="N135" s="205"/>
      <c r="O135" s="199"/>
      <c r="P135" s="199"/>
      <c r="Q135" s="199"/>
      <c r="V135" s="3778"/>
      <c r="W135" s="259">
        <f t="shared" ref="W135:X137" si="8">W158*W$164*W121*W$127*W$131</f>
        <v>32.707999999999998</v>
      </c>
      <c r="X135" s="259">
        <f t="shared" si="8"/>
        <v>0</v>
      </c>
      <c r="Y135" s="259">
        <v>0</v>
      </c>
      <c r="Z135" s="1720">
        <v>0</v>
      </c>
      <c r="AA135" s="1720">
        <v>0</v>
      </c>
      <c r="AB135" s="1720">
        <v>0</v>
      </c>
      <c r="AC135" s="1720">
        <f t="shared" si="7"/>
        <v>0</v>
      </c>
      <c r="AD135" s="1720">
        <v>0</v>
      </c>
      <c r="AE135" s="259"/>
      <c r="AF135" s="259"/>
      <c r="AG135" s="259"/>
      <c r="AH135" s="150"/>
      <c r="AJ135" s="252"/>
      <c r="AU135" s="145"/>
    </row>
    <row r="136" spans="2:47" hidden="1" outlineLevel="1" x14ac:dyDescent="0.35">
      <c r="B136" s="1040"/>
      <c r="C136" s="197"/>
      <c r="D136" s="3775"/>
      <c r="E136" s="277" t="str">
        <f>$E$102</f>
        <v>Learning Thermostat - electric furnace heating / central AC SF</v>
      </c>
      <c r="F136" s="1720">
        <f t="shared" si="6"/>
        <v>0</v>
      </c>
      <c r="G136" s="3747"/>
      <c r="H136" s="3748"/>
      <c r="I136" s="3455"/>
      <c r="J136" s="199"/>
      <c r="N136" s="205"/>
      <c r="O136" s="199"/>
      <c r="P136" s="199"/>
      <c r="Q136" s="199"/>
      <c r="V136" s="3778"/>
      <c r="W136" s="259">
        <f t="shared" si="8"/>
        <v>50.32</v>
      </c>
      <c r="X136" s="259">
        <f t="shared" si="8"/>
        <v>0</v>
      </c>
      <c r="Y136" s="259">
        <v>0</v>
      </c>
      <c r="Z136" s="1720">
        <v>0</v>
      </c>
      <c r="AA136" s="1720">
        <v>0</v>
      </c>
      <c r="AB136" s="1720">
        <v>0</v>
      </c>
      <c r="AC136" s="1720">
        <f t="shared" si="7"/>
        <v>0</v>
      </c>
      <c r="AD136" s="1720">
        <v>0</v>
      </c>
      <c r="AE136" s="259"/>
      <c r="AF136" s="259"/>
      <c r="AG136" s="259"/>
      <c r="AH136" s="150"/>
      <c r="AJ136" s="252"/>
      <c r="AU136" s="145"/>
    </row>
    <row r="137" spans="2:47" hidden="1" outlineLevel="1" x14ac:dyDescent="0.35">
      <c r="B137" s="1040"/>
      <c r="C137" s="197"/>
      <c r="D137" s="3775"/>
      <c r="E137" s="277" t="str">
        <f>$E$103</f>
        <v>Learning Thermostat - Gas Heated / central AC SF**</v>
      </c>
      <c r="F137" s="1720">
        <f t="shared" si="6"/>
        <v>44.944257776146785</v>
      </c>
      <c r="G137" s="3747"/>
      <c r="H137" s="3748"/>
      <c r="I137" s="3455"/>
      <c r="J137" s="199"/>
      <c r="N137" s="205"/>
      <c r="O137" s="199"/>
      <c r="P137" s="199"/>
      <c r="Q137" s="199"/>
      <c r="V137" s="3778"/>
      <c r="W137" s="259">
        <f t="shared" si="8"/>
        <v>50.32</v>
      </c>
      <c r="X137" s="259">
        <f t="shared" si="8"/>
        <v>45.643001839969074</v>
      </c>
      <c r="Y137" s="257">
        <v>45.490139449541282</v>
      </c>
      <c r="Z137" s="1720">
        <v>45.490139449541282</v>
      </c>
      <c r="AA137" s="1720">
        <v>45.490139449541282</v>
      </c>
      <c r="AB137" s="1720">
        <v>44.944257776146785</v>
      </c>
      <c r="AC137" s="1720">
        <f t="shared" si="7"/>
        <v>44.944257776146785</v>
      </c>
      <c r="AD137" s="1720">
        <v>44.944257776146785</v>
      </c>
      <c r="AE137" s="259"/>
      <c r="AF137" s="259"/>
      <c r="AG137" s="259"/>
      <c r="AH137" s="150"/>
      <c r="AJ137" s="252"/>
      <c r="AU137" s="145"/>
    </row>
    <row r="138" spans="2:47" hidden="1" outlineLevel="1" x14ac:dyDescent="0.35">
      <c r="B138" s="1040"/>
      <c r="C138" s="197"/>
      <c r="D138" s="3775"/>
      <c r="E138" s="277" t="str">
        <f>$E$104</f>
        <v>Learning Thermostat - Gas Heated / central AC MF**</v>
      </c>
      <c r="F138" s="1720">
        <f t="shared" si="6"/>
        <v>29.213767554495412</v>
      </c>
      <c r="G138" s="3747"/>
      <c r="H138" s="3748"/>
      <c r="I138" s="3455"/>
      <c r="J138" s="199"/>
      <c r="N138" s="205"/>
      <c r="O138" s="199"/>
      <c r="P138" s="199"/>
      <c r="Q138" s="199"/>
      <c r="V138" s="3778"/>
      <c r="W138" s="259"/>
      <c r="X138" s="259"/>
      <c r="Y138" s="257">
        <v>29.568590642201833</v>
      </c>
      <c r="Z138" s="1720">
        <v>29.568590642201833</v>
      </c>
      <c r="AA138" s="1720">
        <v>29.568590642201833</v>
      </c>
      <c r="AB138" s="1720">
        <v>29.213767554495412</v>
      </c>
      <c r="AC138" s="1720">
        <f t="shared" si="7"/>
        <v>29.213767554495412</v>
      </c>
      <c r="AD138" s="1720">
        <v>29.213767554495412</v>
      </c>
      <c r="AE138" s="259"/>
      <c r="AF138" s="259"/>
      <c r="AG138" s="259"/>
      <c r="AH138" s="150"/>
      <c r="AJ138" s="252"/>
      <c r="AU138" s="145"/>
    </row>
    <row r="139" spans="2:47" hidden="1" outlineLevel="1" x14ac:dyDescent="0.35">
      <c r="B139" s="1040"/>
      <c r="C139" s="197"/>
      <c r="D139" s="3775"/>
      <c r="E139" s="277" t="str">
        <f>$E$105</f>
        <v>Learning Thermostat - Unknown SF**</v>
      </c>
      <c r="F139" s="1720">
        <f t="shared" si="6"/>
        <v>30.112652710018352</v>
      </c>
      <c r="G139" s="3747"/>
      <c r="H139" s="3748"/>
      <c r="I139" s="3455"/>
      <c r="J139" s="199"/>
      <c r="N139" s="205"/>
      <c r="O139" s="199"/>
      <c r="P139" s="199"/>
      <c r="Q139" s="199"/>
      <c r="V139" s="3778"/>
      <c r="W139" s="259">
        <f>W162*W$164*W125*W$127*W$131</f>
        <v>32.707999999999998</v>
      </c>
      <c r="X139" s="259">
        <f>X162*X$164*X125*X$127*X$131</f>
        <v>33.295508064007585</v>
      </c>
      <c r="Y139" s="257">
        <v>37.134317317128989</v>
      </c>
      <c r="Z139" s="1720">
        <v>37.134317317128989</v>
      </c>
      <c r="AA139" s="1720">
        <v>37.134317317128989</v>
      </c>
      <c r="AB139" s="1720">
        <v>37.56045646690351</v>
      </c>
      <c r="AC139" s="1720">
        <f t="shared" si="7"/>
        <v>30.112652710018352</v>
      </c>
      <c r="AD139" s="1720">
        <v>30.112652710018352</v>
      </c>
      <c r="AE139" s="259"/>
      <c r="AF139" s="259"/>
      <c r="AG139" s="259"/>
      <c r="AH139" s="150"/>
      <c r="AU139" s="145"/>
    </row>
    <row r="140" spans="2:47" hidden="1" outlineLevel="1" x14ac:dyDescent="0.35">
      <c r="B140" s="1040"/>
      <c r="C140" s="197"/>
      <c r="D140" s="3776"/>
      <c r="E140" s="277" t="str">
        <f>$E$106</f>
        <v>Learning Thermostat - Unknown MF**</v>
      </c>
      <c r="F140" s="1720">
        <f t="shared" si="6"/>
        <v>19.573224261511925</v>
      </c>
      <c r="G140" s="3749"/>
      <c r="H140" s="3750"/>
      <c r="I140" s="3455"/>
      <c r="J140" s="199"/>
      <c r="N140" s="205"/>
      <c r="O140" s="199"/>
      <c r="P140" s="199"/>
      <c r="Q140" s="199"/>
      <c r="V140" s="3779"/>
      <c r="W140" s="259"/>
      <c r="X140" s="259"/>
      <c r="Y140" s="257">
        <v>24.137306256133844</v>
      </c>
      <c r="Z140" s="1720">
        <v>24.137306256133844</v>
      </c>
      <c r="AA140" s="1720">
        <v>24.137306256133844</v>
      </c>
      <c r="AB140" s="1720">
        <v>24.414296703487285</v>
      </c>
      <c r="AC140" s="1720">
        <f t="shared" si="7"/>
        <v>19.573224261511925</v>
      </c>
      <c r="AD140" s="1720">
        <v>19.573224261511925</v>
      </c>
      <c r="AE140" s="259"/>
      <c r="AF140" s="259"/>
      <c r="AG140" s="259"/>
      <c r="AH140" s="150"/>
      <c r="AU140" s="145"/>
    </row>
    <row r="141" spans="2:47" hidden="1" outlineLevel="1" x14ac:dyDescent="0.35">
      <c r="B141" s="1040"/>
      <c r="C141" s="197"/>
      <c r="D141" s="1680" t="s">
        <v>309</v>
      </c>
      <c r="E141" s="3439" t="s">
        <v>134</v>
      </c>
      <c r="F141" s="1721">
        <v>3.1399999999999997E-2</v>
      </c>
      <c r="G141" s="3755" t="s">
        <v>284</v>
      </c>
      <c r="H141" s="3756"/>
      <c r="I141" s="3455" t="s">
        <v>310</v>
      </c>
      <c r="J141" s="199"/>
      <c r="N141" s="205"/>
      <c r="O141" s="199"/>
      <c r="P141" s="199"/>
      <c r="Q141" s="199"/>
      <c r="V141" s="1022" t="str">
        <f>D141</f>
        <v>Fe</v>
      </c>
      <c r="W141" s="262">
        <v>3.1399999999999997E-2</v>
      </c>
      <c r="X141" s="262">
        <v>3.1399999999999997E-2</v>
      </c>
      <c r="Y141" s="263">
        <v>3.1399999999999997E-2</v>
      </c>
      <c r="Z141" s="1721">
        <v>3.1399999999999997E-2</v>
      </c>
      <c r="AA141" s="1721">
        <v>3.1399999999999997E-2</v>
      </c>
      <c r="AB141" s="1721">
        <v>3.1399999999999997E-2</v>
      </c>
      <c r="AC141" s="1721">
        <v>3.1399999999999997E-2</v>
      </c>
      <c r="AD141" s="1721">
        <v>3.1399999999999997E-2</v>
      </c>
      <c r="AE141" s="262"/>
      <c r="AF141" s="262"/>
      <c r="AG141" s="262"/>
      <c r="AH141" s="150"/>
      <c r="AJ141" s="252"/>
      <c r="AU141" s="145"/>
    </row>
    <row r="142" spans="2:47" hidden="1" outlineLevel="1" x14ac:dyDescent="0.35">
      <c r="B142" s="1040"/>
      <c r="C142" s="197"/>
      <c r="D142" s="3774" t="s">
        <v>311</v>
      </c>
      <c r="E142" s="277" t="str">
        <f>$E$99</f>
        <v>Learning Thermostat - ASHP heating/cooling SF</v>
      </c>
      <c r="F142" s="379">
        <v>1</v>
      </c>
      <c r="G142" s="3755" t="s">
        <v>284</v>
      </c>
      <c r="H142" s="3756"/>
      <c r="I142" s="3455"/>
      <c r="J142" s="199"/>
      <c r="N142" s="205"/>
      <c r="O142" s="199"/>
      <c r="P142" s="199"/>
      <c r="Q142" s="199"/>
      <c r="V142" s="3777" t="str">
        <f>D142</f>
        <v>%AC</v>
      </c>
      <c r="W142" s="238">
        <v>1</v>
      </c>
      <c r="X142" s="238">
        <v>1</v>
      </c>
      <c r="Y142" s="238">
        <v>1</v>
      </c>
      <c r="Z142" s="379">
        <v>1</v>
      </c>
      <c r="AA142" s="379">
        <v>1</v>
      </c>
      <c r="AB142" s="379">
        <v>1</v>
      </c>
      <c r="AC142" s="379">
        <v>1</v>
      </c>
      <c r="AD142" s="379">
        <v>1</v>
      </c>
      <c r="AE142" s="238"/>
      <c r="AF142" s="238"/>
      <c r="AG142" s="238"/>
      <c r="AH142" s="150"/>
      <c r="AJ142" s="252"/>
      <c r="AU142" s="145"/>
    </row>
    <row r="143" spans="2:47" hidden="1" outlineLevel="1" x14ac:dyDescent="0.35">
      <c r="B143" s="1040"/>
      <c r="C143" s="197"/>
      <c r="D143" s="3775"/>
      <c r="E143" s="277" t="str">
        <f>$E$100</f>
        <v>Learning Thermostat - ASHP heating/cooling MF</v>
      </c>
      <c r="F143" s="379">
        <v>1</v>
      </c>
      <c r="G143" s="3755"/>
      <c r="H143" s="3756"/>
      <c r="I143" s="3455"/>
      <c r="J143" s="199"/>
      <c r="N143" s="205"/>
      <c r="O143" s="199"/>
      <c r="P143" s="199"/>
      <c r="Q143" s="199"/>
      <c r="V143" s="3778"/>
      <c r="W143" s="238"/>
      <c r="X143" s="238"/>
      <c r="Y143" s="241">
        <v>1</v>
      </c>
      <c r="Z143" s="379">
        <v>1</v>
      </c>
      <c r="AA143" s="379">
        <v>1</v>
      </c>
      <c r="AB143" s="379">
        <v>1</v>
      </c>
      <c r="AC143" s="379">
        <v>1</v>
      </c>
      <c r="AD143" s="379">
        <v>1</v>
      </c>
      <c r="AE143" s="238"/>
      <c r="AF143" s="238"/>
      <c r="AG143" s="238"/>
      <c r="AH143" s="150"/>
      <c r="AJ143" s="252"/>
      <c r="AU143" s="145"/>
    </row>
    <row r="144" spans="2:47" hidden="1" outlineLevel="1" x14ac:dyDescent="0.35">
      <c r="B144" s="1040"/>
      <c r="C144" s="197"/>
      <c r="D144" s="3775"/>
      <c r="E144" s="277" t="str">
        <f>$E$101</f>
        <v>Learning Thermostat - electric furnace heating / central AC MF</v>
      </c>
      <c r="F144" s="379">
        <v>1</v>
      </c>
      <c r="G144" s="3755" t="s">
        <v>284</v>
      </c>
      <c r="H144" s="3756"/>
      <c r="I144" s="3455"/>
      <c r="J144" s="199"/>
      <c r="N144" s="205"/>
      <c r="O144" s="199"/>
      <c r="P144" s="199"/>
      <c r="Q144" s="199"/>
      <c r="V144" s="3778"/>
      <c r="W144" s="238">
        <v>1</v>
      </c>
      <c r="X144" s="238">
        <v>1</v>
      </c>
      <c r="Y144" s="238">
        <v>1</v>
      </c>
      <c r="Z144" s="379">
        <v>1</v>
      </c>
      <c r="AA144" s="379">
        <v>1</v>
      </c>
      <c r="AB144" s="379">
        <v>1</v>
      </c>
      <c r="AC144" s="379">
        <v>1</v>
      </c>
      <c r="AD144" s="379">
        <v>1</v>
      </c>
      <c r="AE144" s="238"/>
      <c r="AF144" s="238"/>
      <c r="AG144" s="238"/>
      <c r="AH144" s="150"/>
      <c r="AJ144" s="252"/>
      <c r="AU144" s="145"/>
    </row>
    <row r="145" spans="2:47" hidden="1" outlineLevel="1" x14ac:dyDescent="0.35">
      <c r="B145" s="1040"/>
      <c r="C145" s="197"/>
      <c r="D145" s="3775"/>
      <c r="E145" s="277" t="str">
        <f>$E$102</f>
        <v>Learning Thermostat - electric furnace heating / central AC SF</v>
      </c>
      <c r="F145" s="379">
        <v>1</v>
      </c>
      <c r="G145" s="3755" t="s">
        <v>284</v>
      </c>
      <c r="H145" s="3756"/>
      <c r="I145" s="3455"/>
      <c r="J145" s="199"/>
      <c r="N145" s="205"/>
      <c r="O145" s="199"/>
      <c r="P145" s="199"/>
      <c r="Q145" s="199"/>
      <c r="V145" s="3778"/>
      <c r="W145" s="238">
        <v>1</v>
      </c>
      <c r="X145" s="238">
        <v>1</v>
      </c>
      <c r="Y145" s="238">
        <v>1</v>
      </c>
      <c r="Z145" s="379">
        <v>1</v>
      </c>
      <c r="AA145" s="379">
        <v>1</v>
      </c>
      <c r="AB145" s="379">
        <v>1</v>
      </c>
      <c r="AC145" s="379">
        <v>1</v>
      </c>
      <c r="AD145" s="379">
        <v>1</v>
      </c>
      <c r="AE145" s="238"/>
      <c r="AF145" s="238"/>
      <c r="AG145" s="238"/>
      <c r="AH145" s="150"/>
      <c r="AU145" s="145"/>
    </row>
    <row r="146" spans="2:47" hidden="1" outlineLevel="1" x14ac:dyDescent="0.35">
      <c r="B146" s="1040"/>
      <c r="C146" s="197"/>
      <c r="D146" s="3775"/>
      <c r="E146" s="277" t="str">
        <f>$E$103</f>
        <v>Learning Thermostat - Gas Heated / central AC SF**</v>
      </c>
      <c r="F146" s="379">
        <v>1</v>
      </c>
      <c r="G146" s="3755" t="s">
        <v>284</v>
      </c>
      <c r="H146" s="3756"/>
      <c r="I146" s="3455"/>
      <c r="J146" s="199"/>
      <c r="N146" s="205"/>
      <c r="O146" s="199"/>
      <c r="P146" s="199"/>
      <c r="Q146" s="199"/>
      <c r="V146" s="3778"/>
      <c r="W146" s="238">
        <v>1</v>
      </c>
      <c r="X146" s="238">
        <v>1</v>
      </c>
      <c r="Y146" s="238">
        <v>1</v>
      </c>
      <c r="Z146" s="379">
        <v>1</v>
      </c>
      <c r="AA146" s="379">
        <v>1</v>
      </c>
      <c r="AB146" s="379">
        <v>1</v>
      </c>
      <c r="AC146" s="379">
        <v>1</v>
      </c>
      <c r="AD146" s="379">
        <v>1</v>
      </c>
      <c r="AE146" s="238"/>
      <c r="AF146" s="238"/>
      <c r="AG146" s="238"/>
      <c r="AH146" s="150"/>
      <c r="AJ146" s="252"/>
      <c r="AU146" s="145"/>
    </row>
    <row r="147" spans="2:47" hidden="1" outlineLevel="1" x14ac:dyDescent="0.35">
      <c r="B147" s="1040"/>
      <c r="C147" s="197"/>
      <c r="D147" s="3775"/>
      <c r="E147" s="277" t="str">
        <f>$E$104</f>
        <v>Learning Thermostat - Gas Heated / central AC MF**</v>
      </c>
      <c r="F147" s="379">
        <v>1</v>
      </c>
      <c r="G147" s="3755"/>
      <c r="H147" s="3756"/>
      <c r="I147" s="3455"/>
      <c r="J147" s="199"/>
      <c r="N147" s="205"/>
      <c r="O147" s="199"/>
      <c r="P147" s="199"/>
      <c r="Q147" s="199"/>
      <c r="V147" s="3778"/>
      <c r="W147" s="238"/>
      <c r="X147" s="238"/>
      <c r="Y147" s="241">
        <v>1</v>
      </c>
      <c r="Z147" s="379">
        <v>1</v>
      </c>
      <c r="AA147" s="379">
        <v>1</v>
      </c>
      <c r="AB147" s="379">
        <v>1</v>
      </c>
      <c r="AC147" s="379">
        <v>1</v>
      </c>
      <c r="AD147" s="379">
        <v>1</v>
      </c>
      <c r="AE147" s="238"/>
      <c r="AF147" s="238"/>
      <c r="AG147" s="238"/>
      <c r="AH147" s="150"/>
      <c r="AJ147" s="252"/>
      <c r="AU147" s="145"/>
    </row>
    <row r="148" spans="2:47" hidden="1" outlineLevel="1" x14ac:dyDescent="0.35">
      <c r="B148" s="1040"/>
      <c r="C148" s="197"/>
      <c r="D148" s="3775"/>
      <c r="E148" s="277" t="str">
        <f>$E$105</f>
        <v>Learning Thermostat - Unknown SF**</v>
      </c>
      <c r="F148" s="379">
        <v>1</v>
      </c>
      <c r="G148" s="3755" t="s">
        <v>284</v>
      </c>
      <c r="H148" s="3756"/>
      <c r="I148" s="3455"/>
      <c r="J148" s="199"/>
      <c r="N148" s="205"/>
      <c r="O148" s="199"/>
      <c r="P148" s="199"/>
      <c r="Q148" s="199"/>
      <c r="V148" s="3778"/>
      <c r="W148" s="238">
        <v>1</v>
      </c>
      <c r="X148" s="238">
        <v>1</v>
      </c>
      <c r="Y148" s="238">
        <v>1</v>
      </c>
      <c r="Z148" s="379">
        <v>1</v>
      </c>
      <c r="AA148" s="379">
        <v>1</v>
      </c>
      <c r="AB148" s="379">
        <v>1</v>
      </c>
      <c r="AC148" s="379">
        <v>1</v>
      </c>
      <c r="AD148" s="379">
        <v>1</v>
      </c>
      <c r="AE148" s="238"/>
      <c r="AF148" s="238"/>
      <c r="AG148" s="238"/>
      <c r="AH148" s="150"/>
      <c r="AJ148" s="252"/>
      <c r="AU148" s="145"/>
    </row>
    <row r="149" spans="2:47" hidden="1" outlineLevel="1" x14ac:dyDescent="0.35">
      <c r="B149" s="1040"/>
      <c r="C149" s="197"/>
      <c r="D149" s="3776"/>
      <c r="E149" s="277" t="str">
        <f>$E$106</f>
        <v>Learning Thermostat - Unknown MF**</v>
      </c>
      <c r="F149" s="379">
        <v>1</v>
      </c>
      <c r="G149" s="3755"/>
      <c r="H149" s="3756"/>
      <c r="I149" s="3455"/>
      <c r="J149" s="199"/>
      <c r="N149" s="205"/>
      <c r="O149" s="199"/>
      <c r="P149" s="199"/>
      <c r="Q149" s="199"/>
      <c r="V149" s="3779"/>
      <c r="W149" s="238"/>
      <c r="X149" s="238"/>
      <c r="Y149" s="241">
        <v>1</v>
      </c>
      <c r="Z149" s="379">
        <v>1</v>
      </c>
      <c r="AA149" s="379">
        <v>1</v>
      </c>
      <c r="AB149" s="379">
        <v>1</v>
      </c>
      <c r="AC149" s="379">
        <v>1</v>
      </c>
      <c r="AD149" s="379">
        <v>1</v>
      </c>
      <c r="AE149" s="238"/>
      <c r="AF149" s="238"/>
      <c r="AG149" s="238"/>
      <c r="AH149" s="150"/>
      <c r="AJ149" s="252"/>
      <c r="AU149" s="145"/>
    </row>
    <row r="150" spans="2:47" hidden="1" outlineLevel="1" x14ac:dyDescent="0.35">
      <c r="B150" s="1040"/>
      <c r="C150" s="197"/>
      <c r="D150" s="3774" t="s">
        <v>312</v>
      </c>
      <c r="E150" s="3439" t="s">
        <v>313</v>
      </c>
      <c r="F150" s="1722">
        <v>869</v>
      </c>
      <c r="G150" s="3755" t="s">
        <v>284</v>
      </c>
      <c r="H150" s="3756"/>
      <c r="I150" s="3455" t="s">
        <v>314</v>
      </c>
      <c r="J150" s="199"/>
      <c r="N150" s="205"/>
      <c r="O150" s="199"/>
      <c r="P150" s="199"/>
      <c r="Q150" s="199"/>
      <c r="V150" s="3777" t="str">
        <f>D150</f>
        <v>EFLH cool</v>
      </c>
      <c r="W150" s="264">
        <v>869</v>
      </c>
      <c r="X150" s="264">
        <v>869</v>
      </c>
      <c r="Y150" s="265">
        <v>869</v>
      </c>
      <c r="Z150" s="1722">
        <v>869</v>
      </c>
      <c r="AA150" s="1722">
        <v>869</v>
      </c>
      <c r="AB150" s="1722">
        <v>869</v>
      </c>
      <c r="AC150" s="1722">
        <v>869</v>
      </c>
      <c r="AD150" s="1722">
        <v>869</v>
      </c>
      <c r="AE150" s="264"/>
      <c r="AF150" s="264"/>
      <c r="AG150" s="264"/>
      <c r="AH150" s="150"/>
      <c r="AJ150" s="252"/>
      <c r="AU150" s="145"/>
    </row>
    <row r="151" spans="2:47" hidden="1" outlineLevel="1" x14ac:dyDescent="0.35">
      <c r="B151" s="1040"/>
      <c r="C151" s="197"/>
      <c r="D151" s="3776"/>
      <c r="E151" s="3439" t="s">
        <v>315</v>
      </c>
      <c r="F151" s="1722">
        <v>632</v>
      </c>
      <c r="G151" s="3755" t="s">
        <v>316</v>
      </c>
      <c r="H151" s="3756"/>
      <c r="I151" s="3455"/>
      <c r="J151" s="199"/>
      <c r="N151" s="205"/>
      <c r="O151" s="199"/>
      <c r="P151" s="199"/>
      <c r="Q151" s="199"/>
      <c r="V151" s="3779"/>
      <c r="W151" s="264"/>
      <c r="X151" s="264"/>
      <c r="Y151" s="265">
        <v>632</v>
      </c>
      <c r="Z151" s="1722">
        <v>632</v>
      </c>
      <c r="AA151" s="1722">
        <v>632</v>
      </c>
      <c r="AB151" s="1722">
        <v>632</v>
      </c>
      <c r="AC151" s="1722">
        <v>632</v>
      </c>
      <c r="AD151" s="1722">
        <v>632</v>
      </c>
      <c r="AE151" s="264"/>
      <c r="AF151" s="264"/>
      <c r="AG151" s="264"/>
      <c r="AH151" s="150"/>
      <c r="AJ151" s="252"/>
      <c r="AU151" s="145"/>
    </row>
    <row r="152" spans="2:47" hidden="1" outlineLevel="1" x14ac:dyDescent="0.35">
      <c r="B152" s="1040"/>
      <c r="C152" s="197"/>
      <c r="D152" s="1681" t="s">
        <v>317</v>
      </c>
      <c r="E152" s="3439" t="s">
        <v>318</v>
      </c>
      <c r="F152" s="1722">
        <v>36000</v>
      </c>
      <c r="G152" s="3755" t="s">
        <v>284</v>
      </c>
      <c r="H152" s="3756"/>
      <c r="I152" s="3455" t="s">
        <v>319</v>
      </c>
      <c r="J152" s="199"/>
      <c r="N152" s="205"/>
      <c r="O152" s="199"/>
      <c r="P152" s="199"/>
      <c r="Q152" s="199"/>
      <c r="V152" s="266" t="str">
        <f>D152</f>
        <v>CapacityCool</v>
      </c>
      <c r="W152" s="264">
        <v>36000</v>
      </c>
      <c r="X152" s="265">
        <v>36065.201197692251</v>
      </c>
      <c r="Y152" s="265">
        <v>36552.308373947715</v>
      </c>
      <c r="Z152" s="1722">
        <v>36552.308373947715</v>
      </c>
      <c r="AA152" s="1722">
        <v>36552.308373947715</v>
      </c>
      <c r="AB152" s="1722">
        <v>36552.308373947715</v>
      </c>
      <c r="AC152" s="2140">
        <v>36000</v>
      </c>
      <c r="AD152" s="1722">
        <v>36000</v>
      </c>
      <c r="AE152" s="264"/>
      <c r="AF152" s="264"/>
      <c r="AG152" s="264"/>
      <c r="AH152" s="150"/>
      <c r="AU152" s="145"/>
    </row>
    <row r="153" spans="2:47" hidden="1" outlineLevel="1" x14ac:dyDescent="0.35">
      <c r="B153" s="1040"/>
      <c r="C153" s="197"/>
      <c r="D153" s="1681" t="s">
        <v>317</v>
      </c>
      <c r="E153" s="3439" t="s">
        <v>320</v>
      </c>
      <c r="F153" s="1722">
        <v>36000</v>
      </c>
      <c r="G153" s="3755" t="s">
        <v>284</v>
      </c>
      <c r="H153" s="3756"/>
      <c r="I153" s="3455" t="s">
        <v>319</v>
      </c>
      <c r="J153" s="199"/>
      <c r="N153" s="205"/>
      <c r="O153" s="199"/>
      <c r="P153" s="199"/>
      <c r="Q153" s="199"/>
      <c r="V153" s="266" t="str">
        <f>D153</f>
        <v>CapacityCool</v>
      </c>
      <c r="W153" s="264" t="s">
        <v>321</v>
      </c>
      <c r="X153" s="265">
        <f>X152*0.65</f>
        <v>23442.380778499963</v>
      </c>
      <c r="Y153" s="265">
        <v>36552.308373947715</v>
      </c>
      <c r="Z153" s="1722">
        <v>36552.308373947715</v>
      </c>
      <c r="AA153" s="1722">
        <v>36552.308373947715</v>
      </c>
      <c r="AB153" s="1722">
        <v>36552</v>
      </c>
      <c r="AC153" s="2140">
        <v>36000</v>
      </c>
      <c r="AD153" s="1722">
        <v>36000</v>
      </c>
      <c r="AE153" s="264"/>
      <c r="AF153" s="264"/>
      <c r="AG153" s="264"/>
      <c r="AH153" s="150"/>
      <c r="AJ153" s="252"/>
      <c r="AU153" s="145"/>
    </row>
    <row r="154" spans="2:47" ht="72.5" hidden="1" outlineLevel="1" x14ac:dyDescent="0.35">
      <c r="B154" s="1040"/>
      <c r="C154" s="197"/>
      <c r="D154" s="1681" t="s">
        <v>322</v>
      </c>
      <c r="E154" s="3439" t="s">
        <v>134</v>
      </c>
      <c r="F154" s="1724">
        <v>13</v>
      </c>
      <c r="G154" s="3755" t="s">
        <v>323</v>
      </c>
      <c r="H154" s="3756"/>
      <c r="I154" s="3470" t="s">
        <v>288</v>
      </c>
      <c r="J154" s="199"/>
      <c r="N154" s="205"/>
      <c r="O154" s="199"/>
      <c r="P154" s="199"/>
      <c r="Q154" s="199"/>
      <c r="V154" s="266" t="str">
        <f>D154</f>
        <v>SEER</v>
      </c>
      <c r="W154" s="264">
        <v>13</v>
      </c>
      <c r="X154" s="264">
        <v>13.148148689111222</v>
      </c>
      <c r="Y154" s="268">
        <v>13.555486634175161</v>
      </c>
      <c r="Z154" s="1723">
        <v>13.555486634175161</v>
      </c>
      <c r="AA154" s="1723">
        <v>13.555486634175161</v>
      </c>
      <c r="AB154" s="1724">
        <v>13.555486634175161</v>
      </c>
      <c r="AC154" s="2139">
        <v>13</v>
      </c>
      <c r="AD154" s="1724">
        <v>13</v>
      </c>
      <c r="AE154" s="264"/>
      <c r="AF154" s="264"/>
      <c r="AG154" s="264"/>
      <c r="AH154" s="150"/>
      <c r="AJ154" s="252"/>
      <c r="AU154" s="145"/>
    </row>
    <row r="155" spans="2:47" hidden="1" outlineLevel="1" x14ac:dyDescent="0.35">
      <c r="B155" s="1040"/>
      <c r="C155" s="197"/>
      <c r="D155" s="1680" t="s">
        <v>324</v>
      </c>
      <c r="E155" s="3439" t="s">
        <v>134</v>
      </c>
      <c r="F155" s="1716">
        <v>0.08</v>
      </c>
      <c r="G155" s="3755" t="s">
        <v>284</v>
      </c>
      <c r="H155" s="3756"/>
      <c r="I155" s="3455" t="s">
        <v>310</v>
      </c>
      <c r="J155" s="199"/>
      <c r="N155" s="205"/>
      <c r="O155" s="199"/>
      <c r="P155" s="199"/>
      <c r="Q155" s="199"/>
      <c r="V155" s="1022" t="str">
        <f>D155</f>
        <v>CoolingReduction</v>
      </c>
      <c r="W155" s="253">
        <v>0.08</v>
      </c>
      <c r="X155" s="253">
        <v>0.08</v>
      </c>
      <c r="Y155" s="269">
        <v>0.08</v>
      </c>
      <c r="Z155" s="1716">
        <v>0.08</v>
      </c>
      <c r="AA155" s="1716">
        <v>0.08</v>
      </c>
      <c r="AB155" s="1716">
        <v>0.08</v>
      </c>
      <c r="AC155" s="1716">
        <v>0.08</v>
      </c>
      <c r="AD155" s="1716">
        <v>0.08</v>
      </c>
      <c r="AE155" s="253"/>
      <c r="AF155" s="253"/>
      <c r="AG155" s="253"/>
      <c r="AH155" s="150"/>
      <c r="AJ155" s="252"/>
      <c r="AU155" s="145"/>
    </row>
    <row r="156" spans="2:47" hidden="1" outlineLevel="1" x14ac:dyDescent="0.35">
      <c r="B156" s="1040"/>
      <c r="C156" s="197"/>
      <c r="D156" s="3774" t="s">
        <v>325</v>
      </c>
      <c r="E156" s="277" t="str">
        <f>$E$99</f>
        <v>Learning Thermostat - ASHP heating/cooling SF</v>
      </c>
      <c r="F156" s="379">
        <v>0</v>
      </c>
      <c r="G156" s="3755" t="s">
        <v>284</v>
      </c>
      <c r="H156" s="3756"/>
      <c r="I156" s="3455"/>
      <c r="J156" s="199"/>
      <c r="N156" s="205"/>
      <c r="O156" s="199"/>
      <c r="P156" s="199"/>
      <c r="Q156" s="199"/>
      <c r="V156" s="3777" t="str">
        <f>D156</f>
        <v>%FossilHeat</v>
      </c>
      <c r="W156" s="238">
        <v>1</v>
      </c>
      <c r="X156" s="241">
        <v>0</v>
      </c>
      <c r="Y156" s="256">
        <v>0</v>
      </c>
      <c r="Z156" s="379">
        <v>0</v>
      </c>
      <c r="AA156" s="379">
        <v>0</v>
      </c>
      <c r="AB156" s="379">
        <v>0</v>
      </c>
      <c r="AC156" s="379">
        <v>0</v>
      </c>
      <c r="AD156" s="379">
        <v>0</v>
      </c>
      <c r="AE156" s="238"/>
      <c r="AF156" s="238"/>
      <c r="AG156" s="238"/>
      <c r="AH156" s="150"/>
      <c r="AU156" s="145"/>
    </row>
    <row r="157" spans="2:47" hidden="1" outlineLevel="1" x14ac:dyDescent="0.35">
      <c r="B157" s="1040"/>
      <c r="C157" s="197"/>
      <c r="D157" s="3775"/>
      <c r="E157" s="277" t="str">
        <f>$E$100</f>
        <v>Learning Thermostat - ASHP heating/cooling MF</v>
      </c>
      <c r="F157" s="379">
        <v>0</v>
      </c>
      <c r="G157" s="3757"/>
      <c r="H157" s="3758"/>
      <c r="I157" s="3455"/>
      <c r="J157" s="199"/>
      <c r="N157" s="205"/>
      <c r="O157" s="199"/>
      <c r="P157" s="199"/>
      <c r="Q157" s="199"/>
      <c r="V157" s="3778"/>
      <c r="W157" s="238"/>
      <c r="X157" s="241"/>
      <c r="Y157" s="241">
        <v>0</v>
      </c>
      <c r="Z157" s="379">
        <v>0</v>
      </c>
      <c r="AA157" s="379">
        <v>0</v>
      </c>
      <c r="AB157" s="379">
        <v>0</v>
      </c>
      <c r="AC157" s="379">
        <v>0</v>
      </c>
      <c r="AD157" s="379">
        <v>0</v>
      </c>
      <c r="AE157" s="238"/>
      <c r="AF157" s="238"/>
      <c r="AG157" s="238"/>
      <c r="AH157" s="150"/>
      <c r="AU157" s="145"/>
    </row>
    <row r="158" spans="2:47" hidden="1" outlineLevel="1" x14ac:dyDescent="0.35">
      <c r="B158" s="1040"/>
      <c r="C158" s="197"/>
      <c r="D158" s="3775"/>
      <c r="E158" s="277" t="str">
        <f>$E$101</f>
        <v>Learning Thermostat - electric furnace heating / central AC MF</v>
      </c>
      <c r="F158" s="379">
        <v>0</v>
      </c>
      <c r="G158" s="3755" t="s">
        <v>284</v>
      </c>
      <c r="H158" s="3756"/>
      <c r="I158" s="3455"/>
      <c r="J158" s="199"/>
      <c r="N158" s="205"/>
      <c r="O158" s="199"/>
      <c r="P158" s="199"/>
      <c r="Q158" s="199"/>
      <c r="V158" s="3778"/>
      <c r="W158" s="238">
        <v>1</v>
      </c>
      <c r="X158" s="241">
        <v>0</v>
      </c>
      <c r="Y158" s="256">
        <v>0</v>
      </c>
      <c r="Z158" s="379">
        <v>0</v>
      </c>
      <c r="AA158" s="379">
        <v>0</v>
      </c>
      <c r="AB158" s="379">
        <v>0</v>
      </c>
      <c r="AC158" s="379">
        <v>0</v>
      </c>
      <c r="AD158" s="379">
        <v>0</v>
      </c>
      <c r="AE158" s="238"/>
      <c r="AF158" s="238"/>
      <c r="AG158" s="238"/>
      <c r="AH158" s="150"/>
      <c r="AU158" s="145"/>
    </row>
    <row r="159" spans="2:47" hidden="1" outlineLevel="1" x14ac:dyDescent="0.35">
      <c r="B159" s="1040"/>
      <c r="C159" s="197"/>
      <c r="D159" s="3775"/>
      <c r="E159" s="277" t="str">
        <f>$E$102</f>
        <v>Learning Thermostat - electric furnace heating / central AC SF</v>
      </c>
      <c r="F159" s="379">
        <v>0</v>
      </c>
      <c r="G159" s="3755" t="s">
        <v>284</v>
      </c>
      <c r="H159" s="3756"/>
      <c r="I159" s="3455"/>
      <c r="J159" s="199"/>
      <c r="N159" s="205"/>
      <c r="O159" s="199"/>
      <c r="P159" s="199"/>
      <c r="Q159" s="199"/>
      <c r="V159" s="3778"/>
      <c r="W159" s="238">
        <v>1</v>
      </c>
      <c r="X159" s="241">
        <v>0</v>
      </c>
      <c r="Y159" s="256">
        <v>0</v>
      </c>
      <c r="Z159" s="379">
        <v>0</v>
      </c>
      <c r="AA159" s="379">
        <v>0</v>
      </c>
      <c r="AB159" s="379">
        <v>0</v>
      </c>
      <c r="AC159" s="379">
        <v>0</v>
      </c>
      <c r="AD159" s="379">
        <v>0</v>
      </c>
      <c r="AE159" s="238"/>
      <c r="AF159" s="238"/>
      <c r="AG159" s="238"/>
      <c r="AH159" s="150"/>
      <c r="AU159" s="145"/>
    </row>
    <row r="160" spans="2:47" hidden="1" outlineLevel="1" x14ac:dyDescent="0.35">
      <c r="B160" s="1040"/>
      <c r="C160" s="197"/>
      <c r="D160" s="3775"/>
      <c r="E160" s="277" t="str">
        <f>$E$103</f>
        <v>Learning Thermostat - Gas Heated / central AC SF**</v>
      </c>
      <c r="F160" s="379">
        <v>1</v>
      </c>
      <c r="G160" s="3755" t="s">
        <v>284</v>
      </c>
      <c r="H160" s="3756"/>
      <c r="I160" s="3455"/>
      <c r="J160" s="199"/>
      <c r="N160" s="205"/>
      <c r="O160" s="199"/>
      <c r="P160" s="199"/>
      <c r="Q160" s="199"/>
      <c r="V160" s="3778"/>
      <c r="W160" s="238">
        <v>1</v>
      </c>
      <c r="X160" s="238">
        <v>1</v>
      </c>
      <c r="Y160" s="256">
        <v>1</v>
      </c>
      <c r="Z160" s="379">
        <v>1</v>
      </c>
      <c r="AA160" s="379">
        <v>1</v>
      </c>
      <c r="AB160" s="379">
        <v>1</v>
      </c>
      <c r="AC160" s="379">
        <v>1</v>
      </c>
      <c r="AD160" s="379">
        <v>1</v>
      </c>
      <c r="AE160" s="238"/>
      <c r="AF160" s="238"/>
      <c r="AG160" s="238"/>
      <c r="AH160" s="150"/>
      <c r="AU160" s="145"/>
    </row>
    <row r="161" spans="1:57" hidden="1" outlineLevel="1" x14ac:dyDescent="0.35">
      <c r="B161" s="1040"/>
      <c r="C161" s="197"/>
      <c r="D161" s="3775"/>
      <c r="E161" s="277" t="str">
        <f>$E$104</f>
        <v>Learning Thermostat - Gas Heated / central AC MF**</v>
      </c>
      <c r="F161" s="379">
        <v>1</v>
      </c>
      <c r="G161" s="3759" t="s">
        <v>326</v>
      </c>
      <c r="H161" s="3759"/>
      <c r="I161" s="3455"/>
      <c r="J161" s="199"/>
      <c r="N161" s="205"/>
      <c r="O161" s="199"/>
      <c r="P161" s="199"/>
      <c r="Q161" s="199"/>
      <c r="V161" s="3778"/>
      <c r="W161" s="238"/>
      <c r="X161" s="238"/>
      <c r="Y161" s="241">
        <v>1</v>
      </c>
      <c r="Z161" s="379">
        <v>1</v>
      </c>
      <c r="AA161" s="379">
        <v>1</v>
      </c>
      <c r="AB161" s="379">
        <v>1</v>
      </c>
      <c r="AC161" s="379">
        <v>1</v>
      </c>
      <c r="AD161" s="379">
        <v>1</v>
      </c>
      <c r="AE161" s="238"/>
      <c r="AF161" s="238"/>
      <c r="AG161" s="238"/>
      <c r="AH161" s="150"/>
      <c r="AU161" s="145"/>
    </row>
    <row r="162" spans="1:57" hidden="1" outlineLevel="1" x14ac:dyDescent="0.35">
      <c r="B162" s="1040"/>
      <c r="C162" s="197"/>
      <c r="D162" s="3775"/>
      <c r="E162" s="277" t="str">
        <f>$E$105</f>
        <v>Learning Thermostat - Unknown SF**</v>
      </c>
      <c r="F162" s="379">
        <v>0.67</v>
      </c>
      <c r="G162" s="3759" t="s">
        <v>285</v>
      </c>
      <c r="H162" s="3759"/>
      <c r="I162" s="3455"/>
      <c r="J162" s="199"/>
      <c r="N162" s="205"/>
      <c r="O162" s="199"/>
      <c r="P162" s="199"/>
      <c r="Q162" s="199"/>
      <c r="V162" s="3778"/>
      <c r="W162" s="238">
        <v>0.65</v>
      </c>
      <c r="X162" s="241">
        <v>0.75536822013679017</v>
      </c>
      <c r="Y162" s="241">
        <v>0.83571202029812874</v>
      </c>
      <c r="Z162" s="379">
        <v>0.83571202029812874</v>
      </c>
      <c r="AA162" s="379">
        <v>0.83571202029812874</v>
      </c>
      <c r="AB162" s="379">
        <v>0.83571202029812874</v>
      </c>
      <c r="AC162" s="1719">
        <v>0.67</v>
      </c>
      <c r="AD162" s="379">
        <v>0.67</v>
      </c>
      <c r="AE162" s="238"/>
      <c r="AF162" s="238"/>
      <c r="AG162" s="238"/>
      <c r="AH162" s="150"/>
      <c r="AU162" s="145"/>
    </row>
    <row r="163" spans="1:57" ht="14.5" hidden="1" customHeight="1" outlineLevel="1" x14ac:dyDescent="0.35">
      <c r="B163" s="1040"/>
      <c r="C163" s="197"/>
      <c r="D163" s="3776"/>
      <c r="E163" s="277" t="str">
        <f>$E$106</f>
        <v>Learning Thermostat - Unknown MF**</v>
      </c>
      <c r="F163" s="379">
        <v>0.67</v>
      </c>
      <c r="G163" s="3759" t="s">
        <v>285</v>
      </c>
      <c r="H163" s="3759"/>
      <c r="I163" s="3455"/>
      <c r="J163" s="199"/>
      <c r="N163" s="205"/>
      <c r="O163" s="199"/>
      <c r="P163" s="199"/>
      <c r="Q163" s="199"/>
      <c r="V163" s="3779"/>
      <c r="W163" s="238"/>
      <c r="X163" s="241"/>
      <c r="Y163" s="241">
        <v>0.83571202029812874</v>
      </c>
      <c r="Z163" s="379">
        <v>0.83571202029812874</v>
      </c>
      <c r="AA163" s="379">
        <v>0.83571202029812874</v>
      </c>
      <c r="AB163" s="379">
        <v>0.83571202029812874</v>
      </c>
      <c r="AC163" s="1719">
        <v>0.67</v>
      </c>
      <c r="AD163" s="379">
        <v>0.67</v>
      </c>
      <c r="AE163" s="238"/>
      <c r="AF163" s="238"/>
      <c r="AG163" s="238"/>
      <c r="AH163" s="150"/>
      <c r="AU163" s="145"/>
    </row>
    <row r="164" spans="1:57" hidden="1" outlineLevel="1" x14ac:dyDescent="0.35">
      <c r="B164" s="1040"/>
      <c r="C164" s="197"/>
      <c r="D164" s="1680" t="s">
        <v>327</v>
      </c>
      <c r="E164" s="277" t="s">
        <v>134</v>
      </c>
      <c r="F164" s="383">
        <v>682.14220183486236</v>
      </c>
      <c r="G164" s="3755" t="s">
        <v>328</v>
      </c>
      <c r="H164" s="3756"/>
      <c r="I164" s="3455" t="s">
        <v>329</v>
      </c>
      <c r="J164" s="199"/>
      <c r="N164" s="205"/>
      <c r="O164" s="199"/>
      <c r="P164" s="199"/>
      <c r="Q164" s="199"/>
      <c r="V164" s="1022" t="str">
        <f>D164</f>
        <v>HeatingConsumption_Gas</v>
      </c>
      <c r="W164" s="244">
        <v>680</v>
      </c>
      <c r="X164" s="270">
        <v>682.46115191341323</v>
      </c>
      <c r="Y164" s="270">
        <v>682.14220183486236</v>
      </c>
      <c r="Z164" s="383">
        <v>682.14220183486236</v>
      </c>
      <c r="AA164" s="383">
        <v>682.14220183486236</v>
      </c>
      <c r="AB164" s="383">
        <v>682.14220183486236</v>
      </c>
      <c r="AC164" s="383">
        <v>682.14220183486236</v>
      </c>
      <c r="AD164" s="383">
        <v>682.14220183486236</v>
      </c>
      <c r="AE164" s="244"/>
      <c r="AF164" s="244"/>
      <c r="AG164" s="244"/>
      <c r="AH164" s="150"/>
      <c r="AU164" s="145"/>
    </row>
    <row r="165" spans="1:57" hidden="1" outlineLevel="1" x14ac:dyDescent="0.35">
      <c r="B165" s="1040"/>
      <c r="C165" s="197"/>
      <c r="D165" s="1682" t="str">
        <f>$D$50</f>
        <v>EUL</v>
      </c>
      <c r="E165" s="1682" t="str">
        <f>$E$50</f>
        <v>Effective Useful Life</v>
      </c>
      <c r="F165" s="383">
        <v>10</v>
      </c>
      <c r="G165" s="3755"/>
      <c r="H165" s="3756"/>
      <c r="I165" s="3455"/>
      <c r="J165" s="199"/>
      <c r="N165" s="205"/>
      <c r="O165" s="199"/>
      <c r="P165" s="199"/>
      <c r="Q165" s="199"/>
      <c r="V165" s="271" t="str">
        <f>D165</f>
        <v>EUL</v>
      </c>
      <c r="W165" s="272">
        <v>10</v>
      </c>
      <c r="X165" s="272">
        <v>10</v>
      </c>
      <c r="Y165" s="272">
        <v>10</v>
      </c>
      <c r="Z165" s="383">
        <v>10</v>
      </c>
      <c r="AA165" s="383">
        <v>10</v>
      </c>
      <c r="AB165" s="383">
        <v>10</v>
      </c>
      <c r="AC165" s="383">
        <v>10</v>
      </c>
      <c r="AD165" s="383">
        <v>10</v>
      </c>
      <c r="AE165" s="272"/>
      <c r="AF165" s="272"/>
      <c r="AG165" s="272"/>
      <c r="AH165" s="150"/>
      <c r="AU165" s="145"/>
    </row>
    <row r="166" spans="1:57" ht="145" hidden="1" outlineLevel="1" x14ac:dyDescent="0.35">
      <c r="B166" s="1040"/>
      <c r="C166" s="197"/>
      <c r="D166" s="1682" t="str">
        <f>$D$51</f>
        <v>Inc. Cost</v>
      </c>
      <c r="E166" s="1682" t="str">
        <f>$E$51</f>
        <v>Incremental Cost ($)</v>
      </c>
      <c r="F166" s="273">
        <v>125</v>
      </c>
      <c r="G166" s="3755" t="s">
        <v>330</v>
      </c>
      <c r="H166" s="3756"/>
      <c r="I166" s="3470" t="s">
        <v>331</v>
      </c>
      <c r="J166" s="199"/>
      <c r="N166" s="205"/>
      <c r="O166" s="199"/>
      <c r="P166" s="199"/>
      <c r="Q166" s="199"/>
      <c r="V166" s="271" t="str">
        <f>D166</f>
        <v>Inc. Cost</v>
      </c>
      <c r="W166" s="273">
        <v>175</v>
      </c>
      <c r="X166" s="273">
        <v>175</v>
      </c>
      <c r="Y166" s="273">
        <v>175</v>
      </c>
      <c r="Z166" s="273">
        <v>175</v>
      </c>
      <c r="AA166" s="273">
        <v>175</v>
      </c>
      <c r="AB166" s="1725">
        <v>125</v>
      </c>
      <c r="AC166" s="273">
        <v>125</v>
      </c>
      <c r="AD166" s="273">
        <v>125</v>
      </c>
      <c r="AE166" s="273"/>
      <c r="AF166" s="273"/>
      <c r="AG166" s="273"/>
      <c r="AH166" s="150"/>
      <c r="AU166" s="145"/>
    </row>
    <row r="167" spans="1:57" collapsed="1" x14ac:dyDescent="0.35">
      <c r="B167" s="1040"/>
      <c r="C167" s="197"/>
      <c r="D167" s="217"/>
      <c r="E167" s="3466"/>
      <c r="F167" s="199"/>
      <c r="G167" s="199"/>
      <c r="H167" s="199"/>
      <c r="I167" s="199"/>
      <c r="J167" s="199"/>
      <c r="K167" s="199"/>
      <c r="L167" s="199"/>
      <c r="M167" s="199"/>
      <c r="N167" s="199"/>
      <c r="O167" s="199"/>
      <c r="P167" s="199"/>
      <c r="Q167" s="199"/>
      <c r="AH167" s="150"/>
      <c r="AU167" s="145"/>
    </row>
    <row r="168" spans="1:57" x14ac:dyDescent="0.35">
      <c r="AH168" s="150"/>
      <c r="AU168" s="145"/>
    </row>
    <row r="169" spans="1:57" s="106" customFormat="1" x14ac:dyDescent="0.35">
      <c r="A169" s="3462"/>
      <c r="B169" s="3664" t="s">
        <v>4229</v>
      </c>
      <c r="C169" s="3665"/>
      <c r="D169" s="3665"/>
      <c r="E169" s="3665"/>
      <c r="F169" s="3665"/>
      <c r="G169" s="3665"/>
      <c r="H169" s="3665"/>
      <c r="I169" s="3666"/>
      <c r="J169" s="3666"/>
      <c r="K169" s="3666"/>
      <c r="L169" s="3666"/>
      <c r="M169" s="3666"/>
      <c r="N169" s="3666"/>
      <c r="O169" s="3667"/>
      <c r="P169" s="3462"/>
      <c r="Q169" s="3462"/>
      <c r="R169" s="3462"/>
      <c r="V169" s="3664" t="str">
        <f>B169</f>
        <v>High Efficiency Pool Pumps</v>
      </c>
      <c r="W169" s="3665"/>
      <c r="X169" s="3665"/>
      <c r="Y169" s="3665"/>
      <c r="Z169" s="3665"/>
      <c r="AA169" s="3665"/>
      <c r="AB169" s="3665"/>
      <c r="AC169" s="3680"/>
      <c r="AD169" s="3680"/>
      <c r="AE169" s="3680"/>
      <c r="AF169" s="3680"/>
      <c r="AG169" s="3680"/>
      <c r="AH169" s="3680"/>
      <c r="AI169" s="3681"/>
      <c r="AU169" s="145"/>
      <c r="BB169" s="129"/>
    </row>
    <row r="170" spans="1:57" x14ac:dyDescent="0.35">
      <c r="AH170" s="150"/>
      <c r="AU170" s="145"/>
    </row>
    <row r="171" spans="1:57" s="34" customFormat="1" ht="48.75" customHeight="1" x14ac:dyDescent="0.35">
      <c r="A171" s="350"/>
      <c r="B171" s="350"/>
      <c r="C171" s="3438" t="s">
        <v>27</v>
      </c>
      <c r="D171" s="3438" t="s">
        <v>174</v>
      </c>
      <c r="E171" s="3438" t="s">
        <v>29</v>
      </c>
      <c r="F171" s="3438" t="s">
        <v>30</v>
      </c>
      <c r="G171" s="3438" t="s">
        <v>175</v>
      </c>
      <c r="H171" s="3438" t="s">
        <v>176</v>
      </c>
      <c r="I171" s="3438" t="s">
        <v>332</v>
      </c>
      <c r="J171" s="3438" t="s">
        <v>180</v>
      </c>
      <c r="K171" s="3438" t="s">
        <v>169</v>
      </c>
      <c r="L171" s="3438" t="s">
        <v>43</v>
      </c>
      <c r="M171" s="350"/>
      <c r="N171" s="350"/>
      <c r="O171" s="350"/>
      <c r="P171" s="350"/>
      <c r="Q171" s="350"/>
      <c r="R171" s="350"/>
      <c r="S171" s="350"/>
      <c r="T171" s="350"/>
      <c r="U171" s="350"/>
      <c r="V171" s="1572" t="s">
        <v>44</v>
      </c>
      <c r="W171" s="1573">
        <v>43252</v>
      </c>
      <c r="X171" s="1573">
        <f>$X$6</f>
        <v>43465</v>
      </c>
      <c r="Y171" s="1573">
        <f>$Y$6</f>
        <v>43800</v>
      </c>
      <c r="Z171" s="1573">
        <f>$Z$6</f>
        <v>43862</v>
      </c>
      <c r="AA171" s="1573">
        <f>$AA$6</f>
        <v>44013</v>
      </c>
      <c r="AB171" s="1573">
        <f>$AB$6</f>
        <v>44166</v>
      </c>
      <c r="AC171" s="1573">
        <f>$AC$6</f>
        <v>44531</v>
      </c>
      <c r="AD171" s="1573">
        <f>$AD$6</f>
        <v>44774</v>
      </c>
      <c r="AE171" s="1573" t="str">
        <f>$AE$6</f>
        <v>-</v>
      </c>
      <c r="AF171" s="1573" t="str">
        <f>$AF$6</f>
        <v>-</v>
      </c>
      <c r="AG171" s="1573" t="str">
        <f>$AG$6</f>
        <v>-</v>
      </c>
      <c r="AH171" s="150"/>
      <c r="AU171" s="145"/>
      <c r="BB171" s="1584" t="str">
        <f>$BB$6</f>
        <v>TRC (2020)</v>
      </c>
      <c r="BC171" s="1584" t="str">
        <f>$BC$6</f>
        <v>Benefit Lookup</v>
      </c>
      <c r="BD171" s="200" t="str">
        <f>$BD$6</f>
        <v>Benefits (2019 $)</v>
      </c>
      <c r="BE171" s="200" t="str">
        <f>$BE$6</f>
        <v>Incremental Cost (2019 $)</v>
      </c>
    </row>
    <row r="172" spans="1:57" x14ac:dyDescent="0.35">
      <c r="C172" s="301" t="s">
        <v>333</v>
      </c>
      <c r="D172" s="3475" t="s">
        <v>182</v>
      </c>
      <c r="E172" s="274" t="s">
        <v>334</v>
      </c>
      <c r="F172" s="202">
        <f>0</f>
        <v>0</v>
      </c>
      <c r="G172" s="3465" t="s">
        <v>335</v>
      </c>
      <c r="H172" s="136">
        <f>VLOOKUP(G172,'CP FACTORS'!$A$3:$B$38, 2, FALSE)</f>
        <v>2.3544589999999999E-4</v>
      </c>
      <c r="I172" s="204">
        <f>ROUND(H172*F172,6)</f>
        <v>0</v>
      </c>
      <c r="J172" s="289">
        <f>F212</f>
        <v>10</v>
      </c>
      <c r="K172" s="273">
        <v>0</v>
      </c>
      <c r="L172" s="301" t="s">
        <v>184</v>
      </c>
      <c r="R172" s="1214"/>
      <c r="V172" s="247" t="s">
        <v>30</v>
      </c>
      <c r="W172" s="1977">
        <v>1799.7340444444444</v>
      </c>
      <c r="X172" s="1980">
        <v>1799.7340444444444</v>
      </c>
      <c r="Y172" s="1981">
        <v>1799.73</v>
      </c>
      <c r="Z172" s="1981">
        <v>1799.73</v>
      </c>
      <c r="AA172" s="1981">
        <v>1799.73</v>
      </c>
      <c r="AB172" s="1981">
        <v>1799.73</v>
      </c>
      <c r="AC172" s="2138">
        <v>0</v>
      </c>
      <c r="AD172" s="202">
        <v>0</v>
      </c>
      <c r="AE172" s="247"/>
      <c r="AF172" s="247"/>
      <c r="AG172" s="247"/>
      <c r="AH172" s="144"/>
      <c r="AU172" s="145"/>
      <c r="BB172" s="146" t="e">
        <f>(BD172)/(BE172)</f>
        <v>#DIV/0!</v>
      </c>
      <c r="BC172" s="277" t="str">
        <f>CONCATENATE(G172," ",J172," Year EUL")</f>
        <v>Pool Spa RES 10 Year EUL</v>
      </c>
      <c r="BD172" s="147">
        <f>(INDEX('Avoided Cost Benefits'!$E$4:$E$859,MATCH(BC172,'Avoided Cost Benefits'!$A$4:$A$859,0)))*F172</f>
        <v>0</v>
      </c>
      <c r="BE172" s="1587">
        <f>K172/(1.0595^(2020-2019))</f>
        <v>0</v>
      </c>
    </row>
    <row r="173" spans="1:57" x14ac:dyDescent="0.35">
      <c r="C173" s="301" t="s">
        <v>336</v>
      </c>
      <c r="D173" s="3475" t="s">
        <v>182</v>
      </c>
      <c r="E173" s="3443" t="s">
        <v>4230</v>
      </c>
      <c r="F173" s="202">
        <f>ROUND(($G$196*$G$197*(1/$G$198-1/$G$199)*$G$201)/1000*$G$211,2)</f>
        <v>315.20999999999998</v>
      </c>
      <c r="G173" s="3465" t="s">
        <v>335</v>
      </c>
      <c r="H173" s="136">
        <f>VLOOKUP(G173,'CP FACTORS'!$A$3:$B$38, 2, FALSE)</f>
        <v>2.3544589999999999E-4</v>
      </c>
      <c r="I173" s="204">
        <f>ROUND(H173*F173,6)</f>
        <v>7.4215000000000003E-2</v>
      </c>
      <c r="J173" s="289">
        <f>$G$212</f>
        <v>10</v>
      </c>
      <c r="K173" s="273">
        <f>G213</f>
        <v>314</v>
      </c>
      <c r="L173" s="301" t="s">
        <v>184</v>
      </c>
      <c r="R173" s="1214"/>
      <c r="V173" s="247" t="s">
        <v>30</v>
      </c>
      <c r="W173" s="1977">
        <v>2052.8492712328771</v>
      </c>
      <c r="X173" s="1980">
        <v>2052.8492712328771</v>
      </c>
      <c r="Y173" s="1981">
        <v>2052.85</v>
      </c>
      <c r="Z173" s="1981">
        <v>2052.85</v>
      </c>
      <c r="AA173" s="1981">
        <v>2052.85</v>
      </c>
      <c r="AB173" s="1981">
        <v>2052.85</v>
      </c>
      <c r="AC173" s="2138">
        <v>315.20999999999998</v>
      </c>
      <c r="AD173" s="202">
        <v>315.20999999999998</v>
      </c>
      <c r="AE173" s="247"/>
      <c r="AF173" s="247"/>
      <c r="AG173" s="247"/>
      <c r="AH173" s="144"/>
      <c r="AU173" s="145"/>
      <c r="BB173" s="276">
        <f>(BD173)/(BE173)</f>
        <v>0.44818179646507411</v>
      </c>
      <c r="BC173" s="210" t="str">
        <f>CONCATENATE(G173," ",J173," Year EUL")</f>
        <v>Pool Spa RES 10 Year EUL</v>
      </c>
      <c r="BD173" s="102">
        <f>(INDEX('Avoided Cost Benefits'!$E$4:$E$859,MATCH(BC173,'Avoided Cost Benefits'!$A$4:$A$859,0)))*F173</f>
        <v>132.82594062296673</v>
      </c>
      <c r="BE173" s="1582">
        <f>K173/(1.0595^(2020-2019))</f>
        <v>296.36621047663988</v>
      </c>
    </row>
    <row r="174" spans="1:57" x14ac:dyDescent="0.35">
      <c r="C174" s="301" t="s">
        <v>337</v>
      </c>
      <c r="D174" s="3475" t="s">
        <v>182</v>
      </c>
      <c r="E174" s="3443" t="s">
        <v>338</v>
      </c>
      <c r="F174" s="202">
        <f>ROUND(($G$196*$G$197*(1/$G$200-1/$G$199)*$G$201)/1000*$G$211,2)</f>
        <v>1478.34</v>
      </c>
      <c r="G174" s="3465" t="s">
        <v>335</v>
      </c>
      <c r="H174" s="136">
        <f>VLOOKUP(G174,'CP FACTORS'!$A$3:$B$38, 2, FALSE)</f>
        <v>2.3544589999999999E-4</v>
      </c>
      <c r="I174" s="204">
        <f>ROUND(H174*F174,6)</f>
        <v>0.34806900000000002</v>
      </c>
      <c r="J174" s="289">
        <f>$G$212</f>
        <v>10</v>
      </c>
      <c r="K174" s="273">
        <f>G214</f>
        <v>549</v>
      </c>
      <c r="L174" s="301" t="s">
        <v>184</v>
      </c>
      <c r="R174" s="1214"/>
      <c r="V174" s="1683" t="s">
        <v>30</v>
      </c>
      <c r="W174" s="2531"/>
      <c r="X174" s="2532"/>
      <c r="Y174" s="2533"/>
      <c r="Z174" s="2533"/>
      <c r="AA174" s="2533"/>
      <c r="AB174" s="2533"/>
      <c r="AC174" s="2138">
        <v>1478.34</v>
      </c>
      <c r="AD174" s="202">
        <v>1478.34</v>
      </c>
      <c r="AE174" s="247"/>
      <c r="AF174" s="247"/>
      <c r="AG174" s="247"/>
      <c r="AH174" s="144"/>
      <c r="AU174" s="145"/>
      <c r="BB174" s="276">
        <f>(BD174)/(BE174)</f>
        <v>1.2022252847635204</v>
      </c>
      <c r="BC174" s="277" t="str">
        <f>CONCATENATE(G174," ",J174," Year EUL")</f>
        <v>Pool Spa RES 10 Year EUL</v>
      </c>
      <c r="BD174" s="102">
        <f>(INDEX('Avoided Cost Benefits'!$E$4:$E$859,MATCH(BC174,'Avoided Cost Benefits'!$A$4:$A$859,0)))*F174</f>
        <v>622.95581060422148</v>
      </c>
      <c r="BE174" s="1582">
        <f>K174/(1.0595^(2020-2019))</f>
        <v>518.16894761680032</v>
      </c>
    </row>
    <row r="175" spans="1:57" hidden="1" outlineLevel="1" x14ac:dyDescent="0.35">
      <c r="E175" s="278"/>
      <c r="F175" s="279"/>
      <c r="I175" s="3462"/>
      <c r="J175" s="3462"/>
      <c r="K175" s="3462"/>
      <c r="AF175" s="133"/>
      <c r="AH175" s="150"/>
      <c r="AU175" s="145"/>
    </row>
    <row r="176" spans="1:57" s="150" customFormat="1" hidden="1" outlineLevel="1" x14ac:dyDescent="0.35">
      <c r="A176" s="154"/>
      <c r="B176" s="154"/>
      <c r="C176" s="151"/>
      <c r="D176" s="152" t="s">
        <v>107</v>
      </c>
      <c r="E176" s="280"/>
      <c r="F176" s="154"/>
      <c r="G176" s="154"/>
      <c r="H176" s="154"/>
      <c r="I176" s="154"/>
      <c r="J176" s="154"/>
      <c r="K176" s="154"/>
      <c r="L176" s="154"/>
      <c r="M176" s="154"/>
      <c r="N176" s="154"/>
      <c r="O176" s="154"/>
      <c r="P176" s="154"/>
      <c r="Q176" s="154"/>
      <c r="R176" s="154"/>
      <c r="S176" s="154"/>
      <c r="T176" s="154"/>
      <c r="U176" s="154"/>
      <c r="AU176" s="145"/>
      <c r="BB176" s="134"/>
      <c r="BC176" s="31"/>
      <c r="BD176" s="31"/>
      <c r="BE176" s="31"/>
    </row>
    <row r="177" spans="1:57" s="150" customFormat="1" hidden="1" outlineLevel="1" x14ac:dyDescent="0.35">
      <c r="A177" s="154"/>
      <c r="B177" s="154"/>
      <c r="C177" s="151"/>
      <c r="D177" s="281"/>
      <c r="E177" s="278"/>
      <c r="F177" s="282"/>
      <c r="G177" s="154"/>
      <c r="H177" s="154"/>
      <c r="I177" s="154"/>
      <c r="J177" s="154"/>
      <c r="K177" s="154"/>
      <c r="L177" s="154"/>
      <c r="M177" s="154"/>
      <c r="N177" s="154"/>
      <c r="O177" s="154"/>
      <c r="P177" s="154"/>
      <c r="Q177" s="154"/>
      <c r="R177" s="154"/>
      <c r="S177" s="154"/>
      <c r="T177" s="154"/>
      <c r="U177" s="154"/>
      <c r="AU177" s="145"/>
      <c r="BB177" s="134"/>
      <c r="BC177" s="31"/>
      <c r="BD177" s="31"/>
      <c r="BE177" s="31"/>
    </row>
    <row r="178" spans="1:57" s="150" customFormat="1" hidden="1" outlineLevel="1" x14ac:dyDescent="0.35">
      <c r="A178" s="154"/>
      <c r="B178" s="154"/>
      <c r="C178" s="151"/>
      <c r="D178" s="281"/>
      <c r="E178" s="278"/>
      <c r="F178" s="282"/>
      <c r="G178" s="154"/>
      <c r="H178" s="154"/>
      <c r="I178" s="154"/>
      <c r="J178" s="154"/>
      <c r="K178" s="154"/>
      <c r="L178" s="3462"/>
      <c r="M178" s="3462"/>
      <c r="N178" s="3462"/>
      <c r="O178" s="3462"/>
      <c r="P178" s="3462"/>
      <c r="Q178" s="154"/>
      <c r="R178" s="154"/>
      <c r="S178" s="154"/>
      <c r="T178" s="154"/>
      <c r="U178" s="154"/>
      <c r="AU178" s="145"/>
      <c r="BB178" s="134"/>
      <c r="BC178" s="31"/>
      <c r="BD178" s="31"/>
      <c r="BE178" s="31"/>
    </row>
    <row r="179" spans="1:57" s="150" customFormat="1" hidden="1" outlineLevel="1" x14ac:dyDescent="0.35">
      <c r="A179" s="154"/>
      <c r="B179" s="154"/>
      <c r="C179" s="151"/>
      <c r="D179" s="157"/>
      <c r="E179" s="157"/>
      <c r="F179" s="282"/>
      <c r="G179" s="154"/>
      <c r="H179" s="154"/>
      <c r="I179" s="154"/>
      <c r="J179" s="154"/>
      <c r="K179" s="154"/>
      <c r="L179" s="3462"/>
      <c r="M179" s="3462"/>
      <c r="N179" s="3462"/>
      <c r="O179" s="3462"/>
      <c r="P179" s="3462"/>
      <c r="Q179" s="154"/>
      <c r="R179" s="154"/>
      <c r="S179" s="154"/>
      <c r="T179" s="154"/>
      <c r="U179" s="154"/>
      <c r="AU179" s="145"/>
      <c r="BB179" s="134"/>
      <c r="BC179" s="31"/>
      <c r="BD179" s="31"/>
      <c r="BE179" s="31"/>
    </row>
    <row r="180" spans="1:57" s="150" customFormat="1" hidden="1" outlineLevel="1" x14ac:dyDescent="0.35">
      <c r="A180" s="154"/>
      <c r="B180" s="154"/>
      <c r="C180" s="151"/>
      <c r="D180" s="157"/>
      <c r="E180" s="157"/>
      <c r="F180" s="282"/>
      <c r="G180" s="154"/>
      <c r="H180" s="154"/>
      <c r="I180" s="154"/>
      <c r="J180" s="154"/>
      <c r="K180" s="154"/>
      <c r="L180" s="3462"/>
      <c r="M180" s="3462"/>
      <c r="N180" s="3462"/>
      <c r="O180" s="3462"/>
      <c r="P180" s="3462"/>
      <c r="Q180" s="154"/>
      <c r="R180" s="154"/>
      <c r="S180" s="154"/>
      <c r="T180" s="154"/>
      <c r="U180" s="154"/>
      <c r="AU180" s="145"/>
      <c r="BB180" s="134"/>
      <c r="BC180" s="31"/>
      <c r="BD180" s="31"/>
      <c r="BE180" s="31"/>
    </row>
    <row r="181" spans="1:57" s="150" customFormat="1" hidden="1" outlineLevel="1" x14ac:dyDescent="0.35">
      <c r="A181" s="154"/>
      <c r="B181" s="154"/>
      <c r="C181" s="151"/>
      <c r="D181" s="157"/>
      <c r="E181" s="157"/>
      <c r="F181" s="282"/>
      <c r="G181" s="154"/>
      <c r="H181" s="154"/>
      <c r="I181" s="154"/>
      <c r="J181" s="154"/>
      <c r="K181" s="154"/>
      <c r="L181" s="3462"/>
      <c r="M181" s="3462"/>
      <c r="N181" s="3462"/>
      <c r="O181" s="3462"/>
      <c r="P181" s="3462"/>
      <c r="Q181" s="154"/>
      <c r="R181" s="154"/>
      <c r="S181" s="154"/>
      <c r="T181" s="154"/>
      <c r="U181" s="154"/>
      <c r="AU181" s="145"/>
      <c r="BB181" s="134"/>
      <c r="BC181" s="31"/>
      <c r="BD181" s="31"/>
      <c r="BE181" s="31"/>
    </row>
    <row r="182" spans="1:57" s="150" customFormat="1" hidden="1" outlineLevel="1" x14ac:dyDescent="0.35">
      <c r="A182" s="154"/>
      <c r="B182" s="154"/>
      <c r="C182" s="151"/>
      <c r="D182" s="157"/>
      <c r="E182" s="157"/>
      <c r="F182" s="282"/>
      <c r="G182" s="154"/>
      <c r="H182" s="154"/>
      <c r="I182" s="154"/>
      <c r="J182" s="154"/>
      <c r="K182" s="154"/>
      <c r="L182" s="3462"/>
      <c r="M182" s="3462"/>
      <c r="N182" s="3462"/>
      <c r="O182" s="3462"/>
      <c r="P182" s="3462"/>
      <c r="Q182" s="154"/>
      <c r="R182" s="154"/>
      <c r="S182" s="154"/>
      <c r="T182" s="154"/>
      <c r="U182" s="154"/>
      <c r="AU182" s="145"/>
      <c r="BB182" s="134"/>
      <c r="BC182" s="31"/>
      <c r="BD182" s="31"/>
      <c r="BE182" s="31"/>
    </row>
    <row r="183" spans="1:57" s="150" customFormat="1" hidden="1" outlineLevel="1" x14ac:dyDescent="0.35">
      <c r="A183" s="154"/>
      <c r="B183" s="154"/>
      <c r="C183" s="151"/>
      <c r="D183" s="157"/>
      <c r="E183" s="157"/>
      <c r="F183" s="282"/>
      <c r="G183" s="154"/>
      <c r="H183" s="154"/>
      <c r="I183" s="154"/>
      <c r="J183" s="154"/>
      <c r="K183" s="154"/>
      <c r="L183" s="3462"/>
      <c r="M183" s="3462"/>
      <c r="N183" s="3462"/>
      <c r="O183" s="3462"/>
      <c r="P183" s="3462"/>
      <c r="Q183" s="154"/>
      <c r="R183" s="154"/>
      <c r="S183" s="154"/>
      <c r="T183" s="154"/>
      <c r="U183" s="154"/>
      <c r="AU183" s="145"/>
      <c r="BB183" s="134"/>
      <c r="BC183" s="31"/>
      <c r="BD183" s="31"/>
      <c r="BE183" s="31"/>
    </row>
    <row r="184" spans="1:57" s="150" customFormat="1" hidden="1" outlineLevel="1" x14ac:dyDescent="0.35">
      <c r="A184" s="154"/>
      <c r="B184" s="154"/>
      <c r="C184" s="151"/>
      <c r="D184" s="157"/>
      <c r="E184" s="157"/>
      <c r="F184" s="282"/>
      <c r="G184" s="154"/>
      <c r="H184" s="154"/>
      <c r="I184" s="154"/>
      <c r="J184" s="154"/>
      <c r="K184" s="154"/>
      <c r="L184" s="3462"/>
      <c r="M184" s="3462"/>
      <c r="N184" s="3462"/>
      <c r="O184" s="3462"/>
      <c r="P184" s="3462"/>
      <c r="Q184" s="154"/>
      <c r="R184" s="154"/>
      <c r="S184" s="154"/>
      <c r="T184" s="154"/>
      <c r="U184" s="154"/>
      <c r="AU184" s="145"/>
      <c r="BB184" s="134"/>
      <c r="BC184" s="31"/>
      <c r="BD184" s="31"/>
      <c r="BE184" s="31"/>
    </row>
    <row r="185" spans="1:57" s="150" customFormat="1" hidden="1" outlineLevel="1" x14ac:dyDescent="0.35">
      <c r="A185" s="154"/>
      <c r="B185" s="154"/>
      <c r="C185" s="151"/>
      <c r="D185" s="157"/>
      <c r="E185" s="157"/>
      <c r="F185" s="282"/>
      <c r="G185" s="154"/>
      <c r="H185" s="154"/>
      <c r="I185" s="154"/>
      <c r="J185" s="154"/>
      <c r="K185" s="154"/>
      <c r="L185" s="3462"/>
      <c r="M185" s="3462"/>
      <c r="N185" s="3462"/>
      <c r="O185" s="3462"/>
      <c r="P185" s="3462"/>
      <c r="Q185" s="154"/>
      <c r="R185" s="154"/>
      <c r="S185" s="154"/>
      <c r="T185" s="154"/>
      <c r="U185" s="154"/>
      <c r="AU185" s="145"/>
      <c r="BB185" s="134"/>
      <c r="BC185" s="31"/>
      <c r="BD185" s="31"/>
      <c r="BE185" s="31"/>
    </row>
    <row r="186" spans="1:57" s="150" customFormat="1" hidden="1" outlineLevel="1" x14ac:dyDescent="0.35">
      <c r="A186" s="154"/>
      <c r="B186" s="154"/>
      <c r="C186" s="151"/>
      <c r="D186" s="157"/>
      <c r="E186" s="157"/>
      <c r="F186" s="282"/>
      <c r="G186" s="154"/>
      <c r="H186" s="154"/>
      <c r="I186" s="154"/>
      <c r="J186" s="154"/>
      <c r="K186" s="154"/>
      <c r="L186" s="3462"/>
      <c r="M186" s="3462"/>
      <c r="N186" s="3462"/>
      <c r="O186" s="3462"/>
      <c r="P186" s="3462"/>
      <c r="Q186" s="154"/>
      <c r="R186" s="154"/>
      <c r="S186" s="154"/>
      <c r="T186" s="154"/>
      <c r="U186" s="154"/>
      <c r="AU186" s="145"/>
      <c r="BB186" s="134"/>
      <c r="BC186" s="31"/>
      <c r="BD186" s="31"/>
      <c r="BE186" s="31"/>
    </row>
    <row r="187" spans="1:57" s="150" customFormat="1" hidden="1" outlineLevel="1" x14ac:dyDescent="0.35">
      <c r="A187" s="154"/>
      <c r="B187" s="154"/>
      <c r="C187" s="151"/>
      <c r="D187" s="155" t="s">
        <v>339</v>
      </c>
      <c r="E187" s="157"/>
      <c r="F187" s="2634" t="s">
        <v>340</v>
      </c>
      <c r="G187" s="154"/>
      <c r="H187" s="154"/>
      <c r="I187" s="154"/>
      <c r="J187" s="154"/>
      <c r="K187" s="154"/>
      <c r="L187" s="3462"/>
      <c r="M187" s="3462"/>
      <c r="N187" s="3462"/>
      <c r="O187" s="3462"/>
      <c r="P187" s="3462"/>
      <c r="Q187" s="154"/>
      <c r="R187" s="154"/>
      <c r="S187" s="154"/>
      <c r="T187" s="154"/>
      <c r="U187" s="154"/>
      <c r="AU187" s="145"/>
      <c r="BB187" s="134"/>
      <c r="BC187" s="31"/>
      <c r="BD187" s="31"/>
      <c r="BE187" s="31"/>
    </row>
    <row r="188" spans="1:57" s="150" customFormat="1" hidden="1" outlineLevel="1" x14ac:dyDescent="0.35">
      <c r="A188" s="154"/>
      <c r="B188" s="154"/>
      <c r="C188" s="151"/>
      <c r="D188" s="157"/>
      <c r="E188" s="157"/>
      <c r="F188" s="282"/>
      <c r="G188" s="154"/>
      <c r="H188" s="154"/>
      <c r="I188" s="154"/>
      <c r="J188" s="154"/>
      <c r="K188" s="154"/>
      <c r="L188" s="3462"/>
      <c r="M188" s="3462"/>
      <c r="N188" s="3462"/>
      <c r="O188" s="3462"/>
      <c r="P188" s="3462"/>
      <c r="Q188" s="154"/>
      <c r="R188" s="154"/>
      <c r="S188" s="154"/>
      <c r="T188" s="154"/>
      <c r="U188" s="154"/>
      <c r="AU188" s="145"/>
      <c r="BB188" s="134"/>
      <c r="BC188" s="31"/>
      <c r="BD188" s="31"/>
      <c r="BE188" s="31"/>
    </row>
    <row r="189" spans="1:57" s="150" customFormat="1" hidden="1" outlineLevel="1" x14ac:dyDescent="0.35">
      <c r="A189" s="154"/>
      <c r="B189" s="154"/>
      <c r="C189" s="151"/>
      <c r="D189" s="157"/>
      <c r="E189" s="157"/>
      <c r="F189" s="282"/>
      <c r="G189" s="154"/>
      <c r="H189" s="154"/>
      <c r="I189" s="154"/>
      <c r="J189" s="154"/>
      <c r="K189" s="154"/>
      <c r="L189" s="3462"/>
      <c r="M189" s="3462"/>
      <c r="N189" s="3462"/>
      <c r="O189" s="3462"/>
      <c r="P189" s="3462"/>
      <c r="Q189" s="154"/>
      <c r="R189" s="154"/>
      <c r="S189" s="154"/>
      <c r="T189" s="154"/>
      <c r="U189" s="154"/>
      <c r="AU189" s="145"/>
      <c r="BB189" s="134"/>
      <c r="BC189" s="31"/>
      <c r="BD189" s="31"/>
      <c r="BE189" s="31"/>
    </row>
    <row r="190" spans="1:57" s="150" customFormat="1" hidden="1" outlineLevel="1" x14ac:dyDescent="0.35">
      <c r="A190" s="154"/>
      <c r="B190" s="154"/>
      <c r="C190" s="151"/>
      <c r="D190" s="157"/>
      <c r="E190" s="157"/>
      <c r="F190" s="282"/>
      <c r="G190" s="154"/>
      <c r="H190" s="154"/>
      <c r="I190" s="154"/>
      <c r="J190" s="154"/>
      <c r="K190" s="154"/>
      <c r="L190" s="3462"/>
      <c r="M190" s="3462"/>
      <c r="N190" s="3462"/>
      <c r="O190" s="3462"/>
      <c r="P190" s="3462"/>
      <c r="Q190" s="154"/>
      <c r="R190" s="154"/>
      <c r="S190" s="154"/>
      <c r="T190" s="154"/>
      <c r="U190" s="154"/>
      <c r="AU190" s="145"/>
      <c r="BB190" s="134"/>
      <c r="BC190" s="31"/>
      <c r="BD190" s="31"/>
      <c r="BE190" s="31"/>
    </row>
    <row r="191" spans="1:57" s="150" customFormat="1" hidden="1" outlineLevel="1" x14ac:dyDescent="0.35">
      <c r="A191" s="154"/>
      <c r="B191" s="154"/>
      <c r="C191" s="151"/>
      <c r="D191" s="157"/>
      <c r="E191" s="157"/>
      <c r="F191" s="282"/>
      <c r="G191" s="154"/>
      <c r="H191" s="154"/>
      <c r="I191" s="154"/>
      <c r="J191" s="154"/>
      <c r="K191" s="154"/>
      <c r="L191" s="3462"/>
      <c r="M191" s="3462"/>
      <c r="N191" s="3462"/>
      <c r="O191" s="3462"/>
      <c r="P191" s="3462"/>
      <c r="Q191" s="154"/>
      <c r="R191" s="154"/>
      <c r="S191" s="154"/>
      <c r="T191" s="154"/>
      <c r="U191" s="154"/>
      <c r="AU191" s="145"/>
      <c r="BB191" s="134"/>
      <c r="BC191" s="31"/>
      <c r="BD191" s="31"/>
      <c r="BE191" s="31"/>
    </row>
    <row r="192" spans="1:57" s="150" customFormat="1" hidden="1" outlineLevel="1" x14ac:dyDescent="0.35">
      <c r="A192" s="154"/>
      <c r="B192" s="154"/>
      <c r="C192" s="151"/>
      <c r="D192" s="157"/>
      <c r="E192" s="157"/>
      <c r="F192" s="282"/>
      <c r="G192" s="154"/>
      <c r="H192" s="154"/>
      <c r="I192" s="154"/>
      <c r="J192" s="154"/>
      <c r="K192" s="154"/>
      <c r="L192" s="3462"/>
      <c r="M192" s="3462"/>
      <c r="N192" s="3462"/>
      <c r="O192" s="3462"/>
      <c r="P192" s="3462"/>
      <c r="Q192" s="154"/>
      <c r="R192" s="154"/>
      <c r="S192" s="154"/>
      <c r="T192" s="154"/>
      <c r="U192" s="154"/>
      <c r="AU192" s="145"/>
      <c r="BB192" s="134"/>
      <c r="BC192" s="31"/>
      <c r="BD192" s="31"/>
      <c r="BE192" s="31"/>
    </row>
    <row r="193" spans="1:57" s="150" customFormat="1" hidden="1" outlineLevel="1" x14ac:dyDescent="0.35">
      <c r="A193" s="154"/>
      <c r="B193" s="154"/>
      <c r="C193" s="151"/>
      <c r="D193" s="157"/>
      <c r="E193" s="157"/>
      <c r="F193" s="282"/>
      <c r="G193" s="154"/>
      <c r="H193" s="154"/>
      <c r="I193" s="154"/>
      <c r="J193" s="154"/>
      <c r="K193" s="154"/>
      <c r="L193" s="3462"/>
      <c r="M193" s="3462"/>
      <c r="N193" s="3462"/>
      <c r="O193" s="3462"/>
      <c r="P193" s="3462"/>
      <c r="Q193" s="154"/>
      <c r="R193" s="154"/>
      <c r="S193" s="154"/>
      <c r="T193" s="154"/>
      <c r="U193" s="154"/>
      <c r="AU193" s="145"/>
      <c r="BB193" s="134"/>
      <c r="BC193" s="31"/>
      <c r="BD193" s="31"/>
      <c r="BE193" s="31"/>
    </row>
    <row r="194" spans="1:57" s="150" customFormat="1" hidden="1" outlineLevel="1" x14ac:dyDescent="0.35">
      <c r="A194" s="154"/>
      <c r="B194" s="154"/>
      <c r="C194" s="151"/>
      <c r="D194" s="283"/>
      <c r="E194" s="157"/>
      <c r="F194" s="132" t="s">
        <v>4231</v>
      </c>
      <c r="G194" s="154"/>
      <c r="H194" s="154"/>
      <c r="I194" s="154"/>
      <c r="J194" s="154"/>
      <c r="K194" s="154"/>
      <c r="L194" s="3462"/>
      <c r="M194" s="3461"/>
      <c r="N194" s="3461"/>
      <c r="O194" s="3461"/>
      <c r="P194" s="3461"/>
      <c r="Q194" s="154"/>
      <c r="R194" s="154"/>
      <c r="S194" s="154"/>
      <c r="T194" s="154"/>
      <c r="U194" s="154"/>
      <c r="V194" s="1572" t="s">
        <v>44</v>
      </c>
      <c r="W194" s="2635">
        <v>43252</v>
      </c>
      <c r="X194" s="2635">
        <f>$X$6</f>
        <v>43465</v>
      </c>
      <c r="Y194" s="2635">
        <f>$Y$6</f>
        <v>43800</v>
      </c>
      <c r="Z194" s="2635">
        <f>$Z$6</f>
        <v>43862</v>
      </c>
      <c r="AA194" s="2635">
        <f>$AA$6</f>
        <v>44013</v>
      </c>
      <c r="AB194" s="2635">
        <f>$AB$6</f>
        <v>44166</v>
      </c>
      <c r="AC194" s="2635">
        <f>$AC$6</f>
        <v>44531</v>
      </c>
      <c r="AD194" s="2635">
        <f>$AD$6</f>
        <v>44774</v>
      </c>
      <c r="AE194" s="2635" t="str">
        <f>$AE$6</f>
        <v>-</v>
      </c>
      <c r="AF194" s="2635" t="str">
        <f>$AF$6</f>
        <v>-</v>
      </c>
      <c r="AG194" s="2635" t="str">
        <f>$AG$6</f>
        <v>-</v>
      </c>
      <c r="AI194" s="1573">
        <v>43252</v>
      </c>
      <c r="AJ194" s="1573">
        <f>$Y$6</f>
        <v>43800</v>
      </c>
      <c r="AK194" s="1573">
        <f>$Y$6</f>
        <v>43800</v>
      </c>
      <c r="AL194" s="1573">
        <f>$Z$6</f>
        <v>43862</v>
      </c>
      <c r="AM194" s="1573">
        <f>$AA$6</f>
        <v>44013</v>
      </c>
      <c r="AN194" s="1573">
        <f>$AB$6</f>
        <v>44166</v>
      </c>
      <c r="AO194" s="1573">
        <f>$AC$6</f>
        <v>44531</v>
      </c>
      <c r="AP194" s="1573">
        <f>$AD$6</f>
        <v>44774</v>
      </c>
      <c r="AQ194" s="1573" t="str">
        <f>$AE$6</f>
        <v>-</v>
      </c>
      <c r="AR194" s="1573" t="str">
        <f>$AF$6</f>
        <v>-</v>
      </c>
      <c r="AS194" s="1573" t="str">
        <f>$AG$6</f>
        <v>-</v>
      </c>
      <c r="AU194" s="145"/>
      <c r="BB194" s="134"/>
      <c r="BC194" s="31"/>
      <c r="BD194" s="31"/>
      <c r="BE194" s="31"/>
    </row>
    <row r="195" spans="1:57" s="34" customFormat="1" ht="29" hidden="1" outlineLevel="1" x14ac:dyDescent="0.35">
      <c r="A195" s="350"/>
      <c r="B195" s="350"/>
      <c r="C195" s="130"/>
      <c r="D195" s="3474" t="s">
        <v>108</v>
      </c>
      <c r="E195" s="3474" t="s">
        <v>109</v>
      </c>
      <c r="F195" s="3629" t="s">
        <v>341</v>
      </c>
      <c r="G195" s="3438" t="s">
        <v>4578</v>
      </c>
      <c r="H195" s="3741" t="s">
        <v>186</v>
      </c>
      <c r="I195" s="3741"/>
      <c r="J195" s="3741" t="s">
        <v>112</v>
      </c>
      <c r="K195" s="3741"/>
      <c r="L195" s="350"/>
      <c r="M195" s="3462"/>
      <c r="N195" s="3462"/>
      <c r="O195" s="3462"/>
      <c r="P195" s="3462"/>
      <c r="Q195" s="350"/>
      <c r="R195" s="350"/>
      <c r="S195" s="350"/>
      <c r="T195" s="350"/>
      <c r="U195" s="350"/>
      <c r="V195" s="43"/>
      <c r="W195" s="2636" t="s">
        <v>341</v>
      </c>
      <c r="X195" s="2636" t="s">
        <v>341</v>
      </c>
      <c r="Y195" s="2636" t="s">
        <v>341</v>
      </c>
      <c r="Z195" s="2636" t="s">
        <v>341</v>
      </c>
      <c r="AA195" s="2636" t="s">
        <v>341</v>
      </c>
      <c r="AB195" s="2636" t="s">
        <v>341</v>
      </c>
      <c r="AC195" s="2636" t="s">
        <v>341</v>
      </c>
      <c r="AD195" s="2636" t="s">
        <v>341</v>
      </c>
      <c r="AE195" s="2636" t="s">
        <v>341</v>
      </c>
      <c r="AF195" s="2636" t="s">
        <v>341</v>
      </c>
      <c r="AG195" s="2636" t="s">
        <v>341</v>
      </c>
      <c r="AH195" s="150"/>
      <c r="AI195" s="44" t="s">
        <v>342</v>
      </c>
      <c r="AJ195" s="44" t="s">
        <v>342</v>
      </c>
      <c r="AK195" s="44" t="s">
        <v>342</v>
      </c>
      <c r="AL195" s="44" t="s">
        <v>342</v>
      </c>
      <c r="AM195" s="44" t="s">
        <v>342</v>
      </c>
      <c r="AN195" s="44" t="s">
        <v>342</v>
      </c>
      <c r="AO195" s="44" t="s">
        <v>342</v>
      </c>
      <c r="AP195" s="44" t="s">
        <v>342</v>
      </c>
      <c r="AQ195" s="44" t="s">
        <v>342</v>
      </c>
      <c r="AR195" s="44" t="s">
        <v>342</v>
      </c>
      <c r="AS195" s="44" t="s">
        <v>342</v>
      </c>
      <c r="AT195" s="150"/>
      <c r="AU195" s="145"/>
      <c r="BB195" s="134"/>
      <c r="BC195" s="31"/>
      <c r="BD195" s="31"/>
      <c r="BE195" s="31"/>
    </row>
    <row r="196" spans="1:57" hidden="1" outlineLevel="1" x14ac:dyDescent="0.35">
      <c r="D196" s="3443" t="s">
        <v>343</v>
      </c>
      <c r="E196" s="3443" t="s">
        <v>344</v>
      </c>
      <c r="F196" s="2631"/>
      <c r="G196" s="2632">
        <v>22000</v>
      </c>
      <c r="H196" s="3786" t="s">
        <v>345</v>
      </c>
      <c r="I196" s="3786"/>
      <c r="J196" s="3789"/>
      <c r="K196" s="3790"/>
      <c r="M196" s="1225"/>
      <c r="N196" s="1225"/>
      <c r="O196" s="1225"/>
      <c r="P196" s="1224"/>
      <c r="V196" s="288" t="str">
        <f>D196</f>
        <v>Gallons</v>
      </c>
      <c r="W196" s="2637"/>
      <c r="X196" s="2637"/>
      <c r="Y196" s="2637"/>
      <c r="Z196" s="2637"/>
      <c r="AA196" s="2637"/>
      <c r="AB196" s="2637"/>
      <c r="AC196" s="2637"/>
      <c r="AD196" s="2637"/>
      <c r="AE196" s="2637"/>
      <c r="AF196" s="2637"/>
      <c r="AG196" s="2637"/>
      <c r="AI196" s="2536"/>
      <c r="AJ196" s="2536"/>
      <c r="AK196" s="2536"/>
      <c r="AL196" s="2536"/>
      <c r="AM196" s="2536"/>
      <c r="AN196" s="2537"/>
      <c r="AO196" s="2302">
        <v>22000</v>
      </c>
      <c r="AP196" s="2632">
        <v>22000</v>
      </c>
      <c r="AQ196" s="190"/>
      <c r="AR196" s="190"/>
      <c r="AS196" s="190"/>
      <c r="AT196" s="150"/>
      <c r="AU196" s="145"/>
    </row>
    <row r="197" spans="1:57" hidden="1" outlineLevel="1" x14ac:dyDescent="0.35">
      <c r="D197" s="3443" t="s">
        <v>346</v>
      </c>
      <c r="E197" s="3443" t="s">
        <v>347</v>
      </c>
      <c r="F197" s="2631"/>
      <c r="G197" s="2632">
        <v>2</v>
      </c>
      <c r="H197" s="3786" t="s">
        <v>345</v>
      </c>
      <c r="I197" s="3786"/>
      <c r="J197" s="3789"/>
      <c r="K197" s="3790"/>
      <c r="M197" s="1225"/>
      <c r="N197" s="1225"/>
      <c r="O197" s="1225"/>
      <c r="P197" s="1224"/>
      <c r="V197" s="288" t="str">
        <f>D197</f>
        <v>Turnovers</v>
      </c>
      <c r="W197" s="2637"/>
      <c r="X197" s="2637"/>
      <c r="Y197" s="2637"/>
      <c r="Z197" s="2637"/>
      <c r="AA197" s="2637"/>
      <c r="AB197" s="2637"/>
      <c r="AC197" s="2637"/>
      <c r="AD197" s="2637"/>
      <c r="AE197" s="2637"/>
      <c r="AF197" s="2637"/>
      <c r="AG197" s="2637"/>
      <c r="AI197" s="2536"/>
      <c r="AJ197" s="2536"/>
      <c r="AK197" s="2536"/>
      <c r="AL197" s="2536"/>
      <c r="AM197" s="2536"/>
      <c r="AN197" s="2537"/>
      <c r="AO197" s="2302">
        <v>2</v>
      </c>
      <c r="AP197" s="2632">
        <v>2</v>
      </c>
      <c r="AQ197" s="190"/>
      <c r="AR197" s="190"/>
      <c r="AS197" s="190"/>
      <c r="AT197" s="150"/>
      <c r="AU197" s="145"/>
    </row>
    <row r="198" spans="1:57" hidden="1" outlineLevel="1" x14ac:dyDescent="0.35">
      <c r="D198" s="3443" t="s">
        <v>348</v>
      </c>
      <c r="E198" s="3443" t="s">
        <v>349</v>
      </c>
      <c r="F198" s="2631"/>
      <c r="G198" s="2633">
        <v>4.5999999999999996</v>
      </c>
      <c r="H198" s="3786" t="s">
        <v>350</v>
      </c>
      <c r="I198" s="3786"/>
      <c r="J198" s="3789"/>
      <c r="K198" s="3790"/>
      <c r="M198" s="1225"/>
      <c r="N198" s="1225"/>
      <c r="O198" s="1225"/>
      <c r="P198" s="1224"/>
      <c r="V198" s="288" t="str">
        <f>D198</f>
        <v>WEFbase</v>
      </c>
      <c r="W198" s="2637"/>
      <c r="X198" s="2637"/>
      <c r="Y198" s="2637"/>
      <c r="Z198" s="2637"/>
      <c r="AA198" s="2637"/>
      <c r="AB198" s="2637"/>
      <c r="AC198" s="2637"/>
      <c r="AD198" s="2637"/>
      <c r="AE198" s="2637"/>
      <c r="AF198" s="2637"/>
      <c r="AG198" s="2637"/>
      <c r="AI198" s="2536"/>
      <c r="AJ198" s="2536"/>
      <c r="AK198" s="2536"/>
      <c r="AL198" s="2536"/>
      <c r="AM198" s="2536"/>
      <c r="AN198" s="2537"/>
      <c r="AO198" s="2303">
        <v>4.5999999999999996</v>
      </c>
      <c r="AP198" s="2633">
        <v>4.5999999999999996</v>
      </c>
      <c r="AQ198" s="190"/>
      <c r="AR198" s="190"/>
      <c r="AS198" s="190"/>
      <c r="AT198" s="150"/>
      <c r="AU198" s="145"/>
    </row>
    <row r="199" spans="1:57" hidden="1" outlineLevel="1" x14ac:dyDescent="0.35">
      <c r="D199" s="3443" t="s">
        <v>351</v>
      </c>
      <c r="E199" s="3443" t="s">
        <v>352</v>
      </c>
      <c r="F199" s="2631"/>
      <c r="G199" s="2633">
        <v>6.31</v>
      </c>
      <c r="H199" s="3786" t="s">
        <v>353</v>
      </c>
      <c r="I199" s="3786"/>
      <c r="J199" s="3789"/>
      <c r="K199" s="3790"/>
      <c r="M199" s="1225"/>
      <c r="N199" s="1225"/>
      <c r="O199" s="1225"/>
      <c r="P199" s="1224"/>
      <c r="V199" s="288" t="str">
        <f>D199</f>
        <v>WEFee</v>
      </c>
      <c r="W199" s="2637"/>
      <c r="X199" s="2637"/>
      <c r="Y199" s="2637"/>
      <c r="Z199" s="2637"/>
      <c r="AA199" s="2637"/>
      <c r="AB199" s="2637"/>
      <c r="AC199" s="2637"/>
      <c r="AD199" s="2637"/>
      <c r="AE199" s="2637"/>
      <c r="AF199" s="2637"/>
      <c r="AG199" s="2637"/>
      <c r="AI199" s="2536"/>
      <c r="AJ199" s="2536"/>
      <c r="AK199" s="2536"/>
      <c r="AL199" s="2536"/>
      <c r="AM199" s="2536"/>
      <c r="AN199" s="2537"/>
      <c r="AO199" s="2303">
        <v>6.31</v>
      </c>
      <c r="AP199" s="2633">
        <v>6.31</v>
      </c>
      <c r="AQ199" s="190"/>
      <c r="AR199" s="190"/>
      <c r="AS199" s="190"/>
      <c r="AT199" s="150"/>
      <c r="AU199" s="145"/>
    </row>
    <row r="200" spans="1:57" ht="48" hidden="1" customHeight="1" outlineLevel="1" x14ac:dyDescent="0.35">
      <c r="D200" s="3443" t="s">
        <v>354</v>
      </c>
      <c r="E200" s="3443" t="s">
        <v>355</v>
      </c>
      <c r="F200" s="2631"/>
      <c r="G200" s="2633">
        <v>2.2999999999999998</v>
      </c>
      <c r="H200" s="3786" t="s">
        <v>356</v>
      </c>
      <c r="I200" s="3786"/>
      <c r="J200" s="3789"/>
      <c r="K200" s="3790"/>
      <c r="M200" s="1225"/>
      <c r="N200" s="1225"/>
      <c r="O200" s="1225"/>
      <c r="P200" s="1224"/>
      <c r="V200" s="288" t="str">
        <f>D200</f>
        <v>EFexist</v>
      </c>
      <c r="W200" s="2637"/>
      <c r="X200" s="2637"/>
      <c r="Y200" s="2637"/>
      <c r="Z200" s="2637"/>
      <c r="AA200" s="2637"/>
      <c r="AB200" s="2637"/>
      <c r="AC200" s="2637"/>
      <c r="AD200" s="2637"/>
      <c r="AE200" s="2637"/>
      <c r="AF200" s="2637"/>
      <c r="AG200" s="2637"/>
      <c r="AI200" s="2536"/>
      <c r="AJ200" s="2536"/>
      <c r="AK200" s="2536"/>
      <c r="AL200" s="2536"/>
      <c r="AM200" s="2536"/>
      <c r="AN200" s="2537"/>
      <c r="AO200" s="2303">
        <v>2.2999999999999998</v>
      </c>
      <c r="AP200" s="2633">
        <v>2.2999999999999998</v>
      </c>
      <c r="AQ200" s="190"/>
      <c r="AR200" s="190"/>
      <c r="AS200" s="190"/>
      <c r="AT200" s="150"/>
      <c r="AU200" s="145"/>
    </row>
    <row r="201" spans="1:57" ht="16.5" hidden="1" outlineLevel="1" x14ac:dyDescent="0.35">
      <c r="D201" s="3443" t="s">
        <v>4579</v>
      </c>
      <c r="E201" s="3443" t="s">
        <v>357</v>
      </c>
      <c r="F201" s="3630">
        <v>121.6</v>
      </c>
      <c r="G201" s="284">
        <v>121.6</v>
      </c>
      <c r="H201" s="3786" t="s">
        <v>4580</v>
      </c>
      <c r="I201" s="3786"/>
      <c r="J201" s="3787" t="s">
        <v>194</v>
      </c>
      <c r="K201" s="3787"/>
      <c r="M201" s="1224"/>
      <c r="N201" s="1224"/>
      <c r="O201" s="1224"/>
      <c r="P201" s="1224"/>
      <c r="V201" s="288" t="str">
        <f t="shared" ref="V201:V213" si="9">D201</f>
        <v>Daysoper</v>
      </c>
      <c r="W201" s="2638">
        <v>121.6</v>
      </c>
      <c r="X201" s="2638">
        <v>121.6</v>
      </c>
      <c r="Y201" s="2639">
        <v>121.6</v>
      </c>
      <c r="Z201" s="2639">
        <v>121.6</v>
      </c>
      <c r="AA201" s="2639">
        <v>121.6</v>
      </c>
      <c r="AB201" s="2638">
        <v>121.6</v>
      </c>
      <c r="AC201" s="2638"/>
      <c r="AD201" s="2638"/>
      <c r="AE201" s="2638"/>
      <c r="AF201" s="2638"/>
      <c r="AG201" s="2638"/>
      <c r="AH201" s="150"/>
      <c r="AI201" s="286">
        <v>121.6</v>
      </c>
      <c r="AJ201" s="286">
        <v>121.6</v>
      </c>
      <c r="AK201" s="172">
        <v>121.6</v>
      </c>
      <c r="AL201" s="172">
        <v>121.6</v>
      </c>
      <c r="AM201" s="172">
        <v>121.6</v>
      </c>
      <c r="AN201" s="284">
        <v>121.6</v>
      </c>
      <c r="AO201" s="286">
        <v>121.6</v>
      </c>
      <c r="AP201" s="284">
        <v>121.6</v>
      </c>
      <c r="AQ201" s="286"/>
      <c r="AR201" s="286"/>
      <c r="AS201" s="286"/>
      <c r="AT201" s="150"/>
      <c r="AU201" s="145"/>
    </row>
    <row r="202" spans="1:57" ht="16.5" hidden="1" outlineLevel="1" x14ac:dyDescent="0.35">
      <c r="D202" s="3631" t="s">
        <v>4581</v>
      </c>
      <c r="E202" s="3631" t="s">
        <v>358</v>
      </c>
      <c r="F202" s="3630">
        <v>11.4</v>
      </c>
      <c r="G202" s="3630">
        <v>11.4</v>
      </c>
      <c r="H202" s="3788" t="s">
        <v>359</v>
      </c>
      <c r="I202" s="3788"/>
      <c r="J202" s="3787" t="s">
        <v>194</v>
      </c>
      <c r="K202" s="3787"/>
      <c r="M202" s="1224"/>
      <c r="N202" s="1224"/>
      <c r="O202" s="1224"/>
      <c r="P202" s="1224"/>
      <c r="V202" s="288" t="str">
        <f t="shared" si="9"/>
        <v>RTss</v>
      </c>
      <c r="W202" s="2638">
        <v>11.4</v>
      </c>
      <c r="X202" s="2638">
        <v>11.4</v>
      </c>
      <c r="Y202" s="2638">
        <v>11.4</v>
      </c>
      <c r="Z202" s="2638">
        <v>11.4</v>
      </c>
      <c r="AA202" s="2638">
        <v>11.4</v>
      </c>
      <c r="AB202" s="2638">
        <v>11.4</v>
      </c>
      <c r="AC202" s="2638"/>
      <c r="AD202" s="2638"/>
      <c r="AE202" s="2638"/>
      <c r="AF202" s="2638"/>
      <c r="AG202" s="2638"/>
      <c r="AH202" s="150"/>
      <c r="AI202" s="286">
        <v>11.4</v>
      </c>
      <c r="AJ202" s="286">
        <v>11.4</v>
      </c>
      <c r="AK202" s="286">
        <v>11.4</v>
      </c>
      <c r="AL202" s="286">
        <v>11.4</v>
      </c>
      <c r="AM202" s="286">
        <v>11.4</v>
      </c>
      <c r="AN202" s="284">
        <v>11.4</v>
      </c>
      <c r="AO202" s="286"/>
      <c r="AP202" s="284"/>
      <c r="AQ202" s="286"/>
      <c r="AR202" s="286"/>
      <c r="AS202" s="286"/>
      <c r="AT202" s="150"/>
      <c r="AU202" s="145"/>
    </row>
    <row r="203" spans="1:57" ht="16.5" hidden="1" outlineLevel="1" x14ac:dyDescent="0.35">
      <c r="D203" s="3631" t="s">
        <v>4582</v>
      </c>
      <c r="E203" s="3631" t="s">
        <v>360</v>
      </c>
      <c r="F203" s="3630">
        <v>9.8000000000000007</v>
      </c>
      <c r="G203" s="3630">
        <v>10</v>
      </c>
      <c r="H203" s="3788" t="s">
        <v>359</v>
      </c>
      <c r="I203" s="3788"/>
      <c r="J203" s="3787" t="s">
        <v>194</v>
      </c>
      <c r="K203" s="3787"/>
      <c r="M203" s="1224"/>
      <c r="N203" s="1224"/>
      <c r="O203" s="1224"/>
      <c r="P203" s="1224"/>
      <c r="V203" s="288" t="str">
        <f t="shared" si="9"/>
        <v>RTls</v>
      </c>
      <c r="W203" s="2638">
        <v>9.8000000000000007</v>
      </c>
      <c r="X203" s="2638">
        <v>9.8000000000000007</v>
      </c>
      <c r="Y203" s="2638">
        <v>9.8000000000000007</v>
      </c>
      <c r="Z203" s="2638">
        <v>9.8000000000000007</v>
      </c>
      <c r="AA203" s="2638">
        <v>9.8000000000000007</v>
      </c>
      <c r="AB203" s="2638">
        <v>9.8000000000000007</v>
      </c>
      <c r="AC203" s="2638"/>
      <c r="AD203" s="2638"/>
      <c r="AE203" s="2638"/>
      <c r="AF203" s="2638"/>
      <c r="AG203" s="2638"/>
      <c r="AH203" s="150"/>
      <c r="AI203" s="286">
        <v>10</v>
      </c>
      <c r="AJ203" s="286">
        <v>10</v>
      </c>
      <c r="AK203" s="286">
        <v>10</v>
      </c>
      <c r="AL203" s="286">
        <v>10</v>
      </c>
      <c r="AM203" s="286">
        <v>10</v>
      </c>
      <c r="AN203" s="284">
        <v>10</v>
      </c>
      <c r="AO203" s="286"/>
      <c r="AP203" s="284"/>
      <c r="AQ203" s="286"/>
      <c r="AR203" s="286"/>
      <c r="AS203" s="286"/>
      <c r="AT203" s="150"/>
      <c r="AU203" s="145"/>
    </row>
    <row r="204" spans="1:57" ht="16.5" hidden="1" outlineLevel="1" x14ac:dyDescent="0.35">
      <c r="D204" s="3631" t="s">
        <v>4583</v>
      </c>
      <c r="E204" s="3631" t="s">
        <v>361</v>
      </c>
      <c r="F204" s="3630">
        <v>2</v>
      </c>
      <c r="G204" s="3630">
        <v>2</v>
      </c>
      <c r="H204" s="3788" t="s">
        <v>359</v>
      </c>
      <c r="I204" s="3788"/>
      <c r="J204" s="3787" t="s">
        <v>194</v>
      </c>
      <c r="K204" s="3787"/>
      <c r="M204" s="1224"/>
      <c r="N204" s="1224"/>
      <c r="O204" s="1224"/>
      <c r="P204" s="1224"/>
      <c r="V204" s="288" t="str">
        <f t="shared" si="9"/>
        <v>RThs</v>
      </c>
      <c r="W204" s="2638">
        <v>2</v>
      </c>
      <c r="X204" s="2638">
        <v>2</v>
      </c>
      <c r="Y204" s="2639">
        <v>2</v>
      </c>
      <c r="Z204" s="2639">
        <v>2</v>
      </c>
      <c r="AA204" s="2639">
        <v>2</v>
      </c>
      <c r="AB204" s="2638">
        <v>2</v>
      </c>
      <c r="AC204" s="2638"/>
      <c r="AD204" s="2638"/>
      <c r="AE204" s="2638"/>
      <c r="AF204" s="2638"/>
      <c r="AG204" s="2638"/>
      <c r="AI204" s="286">
        <v>2</v>
      </c>
      <c r="AJ204" s="286">
        <v>2</v>
      </c>
      <c r="AK204" s="172">
        <v>2</v>
      </c>
      <c r="AL204" s="172">
        <v>2</v>
      </c>
      <c r="AM204" s="172">
        <v>2</v>
      </c>
      <c r="AN204" s="284">
        <v>2</v>
      </c>
      <c r="AO204" s="286"/>
      <c r="AP204" s="284"/>
      <c r="AQ204" s="286"/>
      <c r="AR204" s="286"/>
      <c r="AS204" s="286"/>
      <c r="AT204" s="150"/>
      <c r="AU204" s="145"/>
    </row>
    <row r="205" spans="1:57" ht="16.5" hidden="1" outlineLevel="1" x14ac:dyDescent="0.35">
      <c r="D205" s="3631" t="s">
        <v>4584</v>
      </c>
      <c r="E205" s="3631" t="s">
        <v>362</v>
      </c>
      <c r="F205" s="3630">
        <v>64.400000000000006</v>
      </c>
      <c r="G205" s="3630">
        <v>64.400000000000006</v>
      </c>
      <c r="H205" s="3788" t="s">
        <v>359</v>
      </c>
      <c r="I205" s="3788"/>
      <c r="J205" s="3787" t="s">
        <v>194</v>
      </c>
      <c r="K205" s="3787"/>
      <c r="M205" s="1224"/>
      <c r="N205" s="1224"/>
      <c r="O205" s="1224"/>
      <c r="P205" s="1224"/>
      <c r="V205" s="288" t="str">
        <f t="shared" si="9"/>
        <v>GPMss</v>
      </c>
      <c r="W205" s="2638">
        <v>64.400000000000006</v>
      </c>
      <c r="X205" s="2638">
        <v>64.400000000000006</v>
      </c>
      <c r="Y205" s="2639">
        <v>64.400000000000006</v>
      </c>
      <c r="Z205" s="2639">
        <v>64.400000000000006</v>
      </c>
      <c r="AA205" s="2639">
        <v>64.400000000000006</v>
      </c>
      <c r="AB205" s="2638">
        <v>64.400000000000006</v>
      </c>
      <c r="AC205" s="2638"/>
      <c r="AD205" s="2638"/>
      <c r="AE205" s="2638"/>
      <c r="AF205" s="2638"/>
      <c r="AG205" s="2638"/>
      <c r="AI205" s="286">
        <v>64.400000000000006</v>
      </c>
      <c r="AJ205" s="286">
        <v>64.400000000000006</v>
      </c>
      <c r="AK205" s="172">
        <v>64.400000000000006</v>
      </c>
      <c r="AL205" s="172">
        <v>64.400000000000006</v>
      </c>
      <c r="AM205" s="172">
        <v>64.400000000000006</v>
      </c>
      <c r="AN205" s="284">
        <v>64.400000000000006</v>
      </c>
      <c r="AO205" s="286"/>
      <c r="AP205" s="284"/>
      <c r="AQ205" s="286"/>
      <c r="AR205" s="286"/>
      <c r="AS205" s="286"/>
      <c r="AT205" s="150"/>
      <c r="AU205" s="145"/>
    </row>
    <row r="206" spans="1:57" ht="16.5" hidden="1" outlineLevel="1" x14ac:dyDescent="0.35">
      <c r="D206" s="3631" t="s">
        <v>4585</v>
      </c>
      <c r="E206" s="3631" t="s">
        <v>363</v>
      </c>
      <c r="F206" s="3630">
        <v>31</v>
      </c>
      <c r="G206" s="3630">
        <v>30.6</v>
      </c>
      <c r="H206" s="3788" t="s">
        <v>359</v>
      </c>
      <c r="I206" s="3788"/>
      <c r="J206" s="3787" t="s">
        <v>194</v>
      </c>
      <c r="K206" s="3787"/>
      <c r="M206" s="1224"/>
      <c r="N206" s="1224"/>
      <c r="O206" s="1224"/>
      <c r="P206" s="1224"/>
      <c r="V206" s="288" t="str">
        <f t="shared" si="9"/>
        <v>GPMls</v>
      </c>
      <c r="W206" s="2638">
        <v>31</v>
      </c>
      <c r="X206" s="2638">
        <v>31</v>
      </c>
      <c r="Y206" s="2639">
        <v>31</v>
      </c>
      <c r="Z206" s="2639">
        <v>31</v>
      </c>
      <c r="AA206" s="2639">
        <v>31</v>
      </c>
      <c r="AB206" s="2638">
        <v>31</v>
      </c>
      <c r="AC206" s="2638"/>
      <c r="AD206" s="2638"/>
      <c r="AE206" s="2638"/>
      <c r="AF206" s="2638"/>
      <c r="AG206" s="2638"/>
      <c r="AI206" s="286">
        <v>30.6</v>
      </c>
      <c r="AJ206" s="286">
        <v>30.6</v>
      </c>
      <c r="AK206" s="172">
        <v>30.6</v>
      </c>
      <c r="AL206" s="172">
        <v>30.6</v>
      </c>
      <c r="AM206" s="172">
        <v>30.6</v>
      </c>
      <c r="AN206" s="284">
        <v>30.6</v>
      </c>
      <c r="AO206" s="286"/>
      <c r="AP206" s="284"/>
      <c r="AQ206" s="286"/>
      <c r="AR206" s="286"/>
      <c r="AS206" s="286"/>
      <c r="AT206" s="150"/>
      <c r="AU206" s="145"/>
    </row>
    <row r="207" spans="1:57" ht="16.5" hidden="1" outlineLevel="1" x14ac:dyDescent="0.35">
      <c r="D207" s="3631" t="s">
        <v>4586</v>
      </c>
      <c r="E207" s="3631" t="s">
        <v>364</v>
      </c>
      <c r="F207" s="3630">
        <v>56</v>
      </c>
      <c r="G207" s="3630">
        <v>50</v>
      </c>
      <c r="H207" s="3788" t="s">
        <v>359</v>
      </c>
      <c r="I207" s="3788"/>
      <c r="J207" s="3787" t="s">
        <v>194</v>
      </c>
      <c r="K207" s="3787"/>
      <c r="M207" s="1224"/>
      <c r="N207" s="1224"/>
      <c r="O207" s="1224"/>
      <c r="P207" s="1224"/>
      <c r="V207" s="288" t="str">
        <f t="shared" si="9"/>
        <v>GPMhs</v>
      </c>
      <c r="W207" s="2638">
        <v>56</v>
      </c>
      <c r="X207" s="2638">
        <v>56</v>
      </c>
      <c r="Y207" s="2639">
        <v>56</v>
      </c>
      <c r="Z207" s="2639">
        <v>56</v>
      </c>
      <c r="AA207" s="2639">
        <v>56</v>
      </c>
      <c r="AB207" s="2638">
        <v>56</v>
      </c>
      <c r="AC207" s="2638"/>
      <c r="AD207" s="2638"/>
      <c r="AE207" s="2638"/>
      <c r="AF207" s="2638"/>
      <c r="AG207" s="2638"/>
      <c r="AI207" s="286">
        <v>50</v>
      </c>
      <c r="AJ207" s="286">
        <v>50</v>
      </c>
      <c r="AK207" s="172">
        <v>50</v>
      </c>
      <c r="AL207" s="172">
        <v>50</v>
      </c>
      <c r="AM207" s="172">
        <v>50</v>
      </c>
      <c r="AN207" s="284">
        <v>50</v>
      </c>
      <c r="AO207" s="286"/>
      <c r="AP207" s="284"/>
      <c r="AQ207" s="286"/>
      <c r="AR207" s="286"/>
      <c r="AS207" s="286"/>
      <c r="AT207" s="150"/>
      <c r="AU207" s="145"/>
    </row>
    <row r="208" spans="1:57" hidden="1" outlineLevel="1" x14ac:dyDescent="0.35">
      <c r="D208" s="3631" t="s">
        <v>365</v>
      </c>
      <c r="E208" s="3631" t="s">
        <v>366</v>
      </c>
      <c r="F208" s="3630">
        <v>2.1</v>
      </c>
      <c r="G208" s="3630">
        <v>2.1</v>
      </c>
      <c r="H208" s="3788" t="s">
        <v>359</v>
      </c>
      <c r="I208" s="3788"/>
      <c r="J208" s="3787" t="s">
        <v>194</v>
      </c>
      <c r="K208" s="3787"/>
      <c r="M208" s="1224"/>
      <c r="N208" s="1224"/>
      <c r="O208" s="1224"/>
      <c r="P208" s="1224"/>
      <c r="V208" s="288" t="str">
        <f t="shared" si="9"/>
        <v>Efss</v>
      </c>
      <c r="W208" s="2638">
        <v>2.1</v>
      </c>
      <c r="X208" s="2638">
        <v>2.1</v>
      </c>
      <c r="Y208" s="2639">
        <v>2.1</v>
      </c>
      <c r="Z208" s="2639">
        <v>2.1</v>
      </c>
      <c r="AA208" s="2639">
        <v>2.1</v>
      </c>
      <c r="AB208" s="2638">
        <v>2.1</v>
      </c>
      <c r="AC208" s="2638"/>
      <c r="AD208" s="2638"/>
      <c r="AE208" s="2638"/>
      <c r="AF208" s="2638"/>
      <c r="AG208" s="2638"/>
      <c r="AI208" s="286">
        <v>2.1</v>
      </c>
      <c r="AJ208" s="286">
        <v>2.1</v>
      </c>
      <c r="AK208" s="172">
        <v>2.1</v>
      </c>
      <c r="AL208" s="172">
        <v>2.1</v>
      </c>
      <c r="AM208" s="172">
        <v>2.1</v>
      </c>
      <c r="AN208" s="284">
        <v>2.1</v>
      </c>
      <c r="AO208" s="286"/>
      <c r="AP208" s="284"/>
      <c r="AQ208" s="286"/>
      <c r="AR208" s="286"/>
      <c r="AS208" s="286"/>
      <c r="AT208" s="150"/>
      <c r="AU208" s="145"/>
    </row>
    <row r="209" spans="1:57" hidden="1" outlineLevel="1" x14ac:dyDescent="0.35">
      <c r="D209" s="3631" t="s">
        <v>367</v>
      </c>
      <c r="E209" s="3631" t="s">
        <v>368</v>
      </c>
      <c r="F209" s="3630">
        <v>5.4</v>
      </c>
      <c r="G209" s="3630">
        <v>7.3</v>
      </c>
      <c r="H209" s="3788" t="s">
        <v>359</v>
      </c>
      <c r="I209" s="3788"/>
      <c r="J209" s="3788" t="s">
        <v>194</v>
      </c>
      <c r="K209" s="3788"/>
      <c r="M209" s="1224"/>
      <c r="N209" s="1224"/>
      <c r="O209" s="1224"/>
      <c r="P209" s="1224"/>
      <c r="V209" s="288" t="str">
        <f t="shared" si="9"/>
        <v>Efls</v>
      </c>
      <c r="W209" s="2638">
        <v>5.4</v>
      </c>
      <c r="X209" s="2638">
        <v>5.4</v>
      </c>
      <c r="Y209" s="2639">
        <v>5.4</v>
      </c>
      <c r="Z209" s="2639">
        <v>5.4</v>
      </c>
      <c r="AA209" s="2639">
        <v>5.4</v>
      </c>
      <c r="AB209" s="2638">
        <v>5.4</v>
      </c>
      <c r="AC209" s="2638"/>
      <c r="AD209" s="2638"/>
      <c r="AE209" s="2638"/>
      <c r="AF209" s="2638"/>
      <c r="AG209" s="2638"/>
      <c r="AI209" s="286">
        <v>7.3</v>
      </c>
      <c r="AJ209" s="286">
        <v>7.3</v>
      </c>
      <c r="AK209" s="172">
        <v>7.3</v>
      </c>
      <c r="AL209" s="172">
        <v>7.3</v>
      </c>
      <c r="AM209" s="172">
        <v>7.3</v>
      </c>
      <c r="AN209" s="284">
        <v>7.3</v>
      </c>
      <c r="AO209" s="286"/>
      <c r="AP209" s="284"/>
      <c r="AQ209" s="286"/>
      <c r="AR209" s="286"/>
      <c r="AS209" s="286"/>
      <c r="AT209" s="150"/>
      <c r="AU209" s="145"/>
    </row>
    <row r="210" spans="1:57" hidden="1" outlineLevel="1" x14ac:dyDescent="0.35">
      <c r="D210" s="3631" t="s">
        <v>369</v>
      </c>
      <c r="E210" s="3631" t="s">
        <v>370</v>
      </c>
      <c r="F210" s="3630">
        <v>2.4</v>
      </c>
      <c r="G210" s="3630">
        <v>3.8</v>
      </c>
      <c r="H210" s="3788" t="s">
        <v>359</v>
      </c>
      <c r="I210" s="3788"/>
      <c r="J210" s="3788" t="s">
        <v>194</v>
      </c>
      <c r="K210" s="3788"/>
      <c r="M210" s="1224"/>
      <c r="N210" s="1224"/>
      <c r="O210" s="1224"/>
      <c r="P210" s="1224"/>
      <c r="V210" s="288" t="str">
        <f t="shared" si="9"/>
        <v>Efhs</v>
      </c>
      <c r="W210" s="2638">
        <v>2.4</v>
      </c>
      <c r="X210" s="2638">
        <v>2.4</v>
      </c>
      <c r="Y210" s="2639">
        <v>2.4</v>
      </c>
      <c r="Z210" s="2639">
        <v>2.4</v>
      </c>
      <c r="AA210" s="2639">
        <v>2.4</v>
      </c>
      <c r="AB210" s="2638">
        <v>2.4</v>
      </c>
      <c r="AC210" s="2638"/>
      <c r="AD210" s="2638"/>
      <c r="AE210" s="2638"/>
      <c r="AF210" s="2638"/>
      <c r="AG210" s="2638"/>
      <c r="AI210" s="286">
        <v>3.8</v>
      </c>
      <c r="AJ210" s="286">
        <v>3.8</v>
      </c>
      <c r="AK210" s="172">
        <v>3.8</v>
      </c>
      <c r="AL210" s="172">
        <v>3.8</v>
      </c>
      <c r="AM210" s="172">
        <v>3.8</v>
      </c>
      <c r="AN210" s="284">
        <v>3.8</v>
      </c>
      <c r="AO210" s="286"/>
      <c r="AP210" s="284"/>
      <c r="AQ210" s="286"/>
      <c r="AR210" s="286"/>
      <c r="AS210" s="286"/>
      <c r="AT210" s="150"/>
      <c r="AU210" s="145"/>
    </row>
    <row r="211" spans="1:57" ht="45" hidden="1" customHeight="1" outlineLevel="1" x14ac:dyDescent="0.35">
      <c r="D211" s="3443" t="s">
        <v>132</v>
      </c>
      <c r="E211" s="3443" t="s">
        <v>251</v>
      </c>
      <c r="F211" s="2631">
        <v>1</v>
      </c>
      <c r="G211" s="287">
        <v>1</v>
      </c>
      <c r="H211" s="3786" t="s">
        <v>252</v>
      </c>
      <c r="I211" s="3786"/>
      <c r="J211" s="3786" t="s">
        <v>194</v>
      </c>
      <c r="K211" s="3786"/>
      <c r="M211" s="1225"/>
      <c r="N211" s="1225"/>
      <c r="O211" s="1225"/>
      <c r="P211" s="1224"/>
      <c r="V211" s="288" t="str">
        <f t="shared" si="9"/>
        <v>ISR</v>
      </c>
      <c r="W211" s="2637">
        <v>1</v>
      </c>
      <c r="X211" s="2637">
        <v>1</v>
      </c>
      <c r="Y211" s="2637">
        <v>1</v>
      </c>
      <c r="Z211" s="2637">
        <v>1</v>
      </c>
      <c r="AA211" s="2637">
        <v>1</v>
      </c>
      <c r="AB211" s="2637">
        <v>1</v>
      </c>
      <c r="AC211" s="2637"/>
      <c r="AD211" s="2637"/>
      <c r="AE211" s="2637"/>
      <c r="AF211" s="2637"/>
      <c r="AG211" s="2637"/>
      <c r="AI211" s="190">
        <v>1</v>
      </c>
      <c r="AJ211" s="190">
        <v>1</v>
      </c>
      <c r="AK211" s="190">
        <v>1</v>
      </c>
      <c r="AL211" s="190">
        <v>1</v>
      </c>
      <c r="AM211" s="190">
        <v>1</v>
      </c>
      <c r="AN211" s="287">
        <v>1</v>
      </c>
      <c r="AO211" s="287">
        <v>1</v>
      </c>
      <c r="AP211" s="287">
        <v>1</v>
      </c>
      <c r="AQ211" s="190"/>
      <c r="AR211" s="190"/>
      <c r="AS211" s="190"/>
      <c r="AT211" s="150"/>
      <c r="AU211" s="145"/>
    </row>
    <row r="212" spans="1:57" hidden="1" outlineLevel="1" x14ac:dyDescent="0.35">
      <c r="D212" s="271" t="str">
        <f>$D$50</f>
        <v>EUL</v>
      </c>
      <c r="E212" s="271" t="str">
        <f>$E$50</f>
        <v>Effective Useful Life</v>
      </c>
      <c r="F212" s="3632">
        <v>10</v>
      </c>
      <c r="G212" s="289">
        <v>10</v>
      </c>
      <c r="H212" s="3786"/>
      <c r="I212" s="3786"/>
      <c r="J212" s="3786" t="s">
        <v>184</v>
      </c>
      <c r="K212" s="3786"/>
      <c r="M212" s="1225"/>
      <c r="N212" s="1225"/>
      <c r="O212" s="1225"/>
      <c r="P212" s="1224"/>
      <c r="V212" s="290" t="str">
        <f t="shared" si="9"/>
        <v>EUL</v>
      </c>
      <c r="W212" s="2640">
        <v>10</v>
      </c>
      <c r="X212" s="2640">
        <v>10</v>
      </c>
      <c r="Y212" s="2640">
        <v>10</v>
      </c>
      <c r="Z212" s="2641">
        <v>10</v>
      </c>
      <c r="AA212" s="2641">
        <v>10</v>
      </c>
      <c r="AB212" s="2641">
        <v>10</v>
      </c>
      <c r="AC212" s="2641"/>
      <c r="AD212" s="2641"/>
      <c r="AE212" s="2641"/>
      <c r="AF212" s="2641"/>
      <c r="AG212" s="2641"/>
      <c r="AI212" s="71">
        <v>10</v>
      </c>
      <c r="AJ212" s="71">
        <v>10</v>
      </c>
      <c r="AK212" s="71">
        <v>10</v>
      </c>
      <c r="AL212" s="71">
        <v>10</v>
      </c>
      <c r="AM212" s="71">
        <v>10</v>
      </c>
      <c r="AN212" s="289">
        <v>10</v>
      </c>
      <c r="AO212" s="286">
        <v>10</v>
      </c>
      <c r="AP212" s="284">
        <v>10</v>
      </c>
      <c r="AQ212" s="191"/>
      <c r="AR212" s="191"/>
      <c r="AS212" s="191"/>
      <c r="AT212" s="150"/>
      <c r="AU212" s="145"/>
    </row>
    <row r="213" spans="1:57" hidden="1" outlineLevel="1" x14ac:dyDescent="0.35">
      <c r="D213" s="3799" t="str">
        <f>$D$51</f>
        <v>Inc. Cost</v>
      </c>
      <c r="E213" s="3799" t="str">
        <f>$E$51</f>
        <v>Incremental Cost ($)</v>
      </c>
      <c r="F213" s="3633">
        <v>235</v>
      </c>
      <c r="G213" s="273">
        <v>314</v>
      </c>
      <c r="H213" s="3786" t="s">
        <v>371</v>
      </c>
      <c r="I213" s="3786"/>
      <c r="J213" s="3786" t="s">
        <v>184</v>
      </c>
      <c r="K213" s="3786"/>
      <c r="M213" s="1225"/>
      <c r="N213" s="1225"/>
      <c r="O213" s="1225"/>
      <c r="P213" s="1224"/>
      <c r="V213" s="3795" t="str">
        <f t="shared" si="9"/>
        <v>Inc. Cost</v>
      </c>
      <c r="W213" s="2642">
        <v>235</v>
      </c>
      <c r="X213" s="2642">
        <v>235</v>
      </c>
      <c r="Y213" s="2642">
        <v>235</v>
      </c>
      <c r="Z213" s="2643">
        <v>235</v>
      </c>
      <c r="AA213" s="2643">
        <v>235</v>
      </c>
      <c r="AB213" s="2643">
        <v>235</v>
      </c>
      <c r="AC213" s="2643"/>
      <c r="AD213" s="2643"/>
      <c r="AE213" s="2643"/>
      <c r="AF213" s="2643"/>
      <c r="AG213" s="2643"/>
      <c r="AI213" s="1726">
        <v>549</v>
      </c>
      <c r="AJ213" s="1726">
        <v>549</v>
      </c>
      <c r="AK213" s="1726">
        <v>549</v>
      </c>
      <c r="AL213" s="1726">
        <v>549</v>
      </c>
      <c r="AM213" s="1726">
        <v>549</v>
      </c>
      <c r="AN213" s="273">
        <v>549</v>
      </c>
      <c r="AO213" s="1725">
        <v>314</v>
      </c>
      <c r="AP213" s="273">
        <v>314</v>
      </c>
      <c r="AQ213" s="291"/>
      <c r="AR213" s="291"/>
      <c r="AS213" s="291"/>
      <c r="AT213" s="150"/>
      <c r="AU213" s="145"/>
    </row>
    <row r="214" spans="1:57" hidden="1" outlineLevel="1" x14ac:dyDescent="0.35">
      <c r="D214" s="3800"/>
      <c r="E214" s="3800"/>
      <c r="F214" s="3633">
        <v>235</v>
      </c>
      <c r="G214" s="273">
        <v>549</v>
      </c>
      <c r="H214" s="3786" t="s">
        <v>4199</v>
      </c>
      <c r="I214" s="3786"/>
      <c r="J214" s="3786" t="s">
        <v>184</v>
      </c>
      <c r="K214" s="3786"/>
      <c r="M214" s="1225"/>
      <c r="N214" s="1225"/>
      <c r="O214" s="1225"/>
      <c r="P214" s="1224"/>
      <c r="V214" s="3796"/>
      <c r="W214" s="2644"/>
      <c r="X214" s="2644"/>
      <c r="Y214" s="2644"/>
      <c r="Z214" s="2644"/>
      <c r="AA214" s="2644"/>
      <c r="AB214" s="2644"/>
      <c r="AC214" s="2643"/>
      <c r="AD214" s="2643"/>
      <c r="AE214" s="2643"/>
      <c r="AF214" s="2643"/>
      <c r="AG214" s="2643"/>
      <c r="AI214" s="2534"/>
      <c r="AJ214" s="2534"/>
      <c r="AK214" s="2534"/>
      <c r="AL214" s="2534"/>
      <c r="AM214" s="2534"/>
      <c r="AN214" s="2535"/>
      <c r="AO214" s="1725">
        <v>549</v>
      </c>
      <c r="AP214" s="273">
        <v>549</v>
      </c>
      <c r="AQ214" s="291"/>
      <c r="AR214" s="291"/>
      <c r="AS214" s="291"/>
      <c r="AT214" s="150"/>
      <c r="AU214" s="145"/>
    </row>
    <row r="215" spans="1:57" collapsed="1" x14ac:dyDescent="0.35">
      <c r="AT215" s="150"/>
      <c r="AU215" s="145"/>
    </row>
    <row r="216" spans="1:57" x14ac:dyDescent="0.35">
      <c r="AT216" s="150"/>
      <c r="AU216" s="145"/>
    </row>
    <row r="217" spans="1:57" x14ac:dyDescent="0.35">
      <c r="A217" s="3462"/>
      <c r="B217" s="3664" t="s">
        <v>372</v>
      </c>
      <c r="C217" s="3665"/>
      <c r="D217" s="3665"/>
      <c r="E217" s="3665"/>
      <c r="F217" s="3665"/>
      <c r="G217" s="3665"/>
      <c r="H217" s="3665"/>
      <c r="I217" s="3666"/>
      <c r="J217" s="3666"/>
      <c r="K217" s="3666"/>
      <c r="L217" s="3666"/>
      <c r="M217" s="3666"/>
      <c r="N217" s="3666"/>
      <c r="O217" s="3667"/>
      <c r="V217" s="3664" t="str">
        <f>B217</f>
        <v>Advanced Power Strips Tier 2  /  Advanced Control Stategies</v>
      </c>
      <c r="W217" s="3665"/>
      <c r="X217" s="3665"/>
      <c r="Y217" s="3665"/>
      <c r="Z217" s="3665"/>
      <c r="AA217" s="3665"/>
      <c r="AB217" s="3665"/>
      <c r="AC217" s="3680"/>
      <c r="AD217" s="3680"/>
      <c r="AE217" s="3680"/>
      <c r="AF217" s="3680"/>
      <c r="AG217" s="3680"/>
      <c r="AH217" s="3680"/>
      <c r="AI217" s="3681"/>
      <c r="AU217" s="145"/>
    </row>
    <row r="218" spans="1:57" x14ac:dyDescent="0.35">
      <c r="A218" s="3462"/>
      <c r="B218" s="3462"/>
      <c r="C218" s="103"/>
      <c r="D218" s="292"/>
      <c r="E218" s="292"/>
      <c r="F218" s="3462"/>
      <c r="G218" s="3462"/>
      <c r="H218" s="3462"/>
      <c r="I218" s="3462"/>
      <c r="J218" s="3462"/>
      <c r="K218" s="3462"/>
      <c r="L218" s="3462"/>
      <c r="AU218" s="145"/>
    </row>
    <row r="219" spans="1:57" ht="29" x14ac:dyDescent="0.35">
      <c r="A219" s="3462"/>
      <c r="B219" s="3462"/>
      <c r="C219" s="3438" t="s">
        <v>27</v>
      </c>
      <c r="D219" s="3438" t="s">
        <v>174</v>
      </c>
      <c r="E219" s="3438" t="s">
        <v>29</v>
      </c>
      <c r="F219" s="3438" t="s">
        <v>30</v>
      </c>
      <c r="G219" s="3438" t="s">
        <v>175</v>
      </c>
      <c r="H219" s="3438" t="s">
        <v>176</v>
      </c>
      <c r="I219" s="3438" t="s">
        <v>31</v>
      </c>
      <c r="J219" s="3438" t="s">
        <v>180</v>
      </c>
      <c r="K219" s="3438" t="s">
        <v>169</v>
      </c>
      <c r="L219" s="3438" t="s">
        <v>43</v>
      </c>
      <c r="V219" s="1572" t="s">
        <v>44</v>
      </c>
      <c r="W219" s="1573">
        <v>43252</v>
      </c>
      <c r="X219" s="1573">
        <f>$X$6</f>
        <v>43465</v>
      </c>
      <c r="Y219" s="1573">
        <f>$Y$6</f>
        <v>43800</v>
      </c>
      <c r="Z219" s="1573">
        <f>$Z$6</f>
        <v>43862</v>
      </c>
      <c r="AA219" s="1573">
        <f>$AA$6</f>
        <v>44013</v>
      </c>
      <c r="AB219" s="1573">
        <f>$AB$6</f>
        <v>44166</v>
      </c>
      <c r="AC219" s="1573">
        <f>$AC$6</f>
        <v>44531</v>
      </c>
      <c r="AD219" s="1573">
        <f>$AD$6</f>
        <v>44774</v>
      </c>
      <c r="AE219" s="1573" t="str">
        <f>$AE$6</f>
        <v>-</v>
      </c>
      <c r="AF219" s="1573" t="str">
        <f>$AF$6</f>
        <v>-</v>
      </c>
      <c r="AG219" s="1573" t="str">
        <f>$AG$6</f>
        <v>-</v>
      </c>
      <c r="AU219" s="145"/>
      <c r="BB219" s="1584" t="str">
        <f>$BB$6</f>
        <v>TRC (2020)</v>
      </c>
      <c r="BC219" s="1584" t="str">
        <f>$BC$6</f>
        <v>Benefit Lookup</v>
      </c>
      <c r="BD219" s="200" t="str">
        <f>$BD$6</f>
        <v>Benefits (2019 $)</v>
      </c>
      <c r="BE219" s="200" t="str">
        <f>$BE$6</f>
        <v>Incremental Cost (2019 $)</v>
      </c>
    </row>
    <row r="220" spans="1:57" x14ac:dyDescent="0.35">
      <c r="A220" s="3462"/>
      <c r="B220" s="3462"/>
      <c r="C220" s="3475" t="s">
        <v>373</v>
      </c>
      <c r="D220" s="3475" t="s">
        <v>182</v>
      </c>
      <c r="E220" s="3454" t="s">
        <v>374</v>
      </c>
      <c r="F220" s="202">
        <f>ROUND(G237*G$236,2)</f>
        <v>237.6</v>
      </c>
      <c r="G220" s="3634" t="s">
        <v>375</v>
      </c>
      <c r="H220" s="136">
        <f>VLOOKUP(G220,'CP FACTORS'!$A$3:$B$38, 2, FALSE)</f>
        <v>1.148238E-4</v>
      </c>
      <c r="I220" s="204">
        <f t="shared" ref="I220:I228" si="10">ROUND(H220*F220,6)</f>
        <v>2.7282000000000001E-2</v>
      </c>
      <c r="J220" s="92">
        <f>$G$248</f>
        <v>10</v>
      </c>
      <c r="K220" s="729">
        <f>$G$249</f>
        <v>30</v>
      </c>
      <c r="L220" s="1037" t="s">
        <v>184</v>
      </c>
      <c r="V220" s="247" t="s">
        <v>30</v>
      </c>
      <c r="W220" s="1977">
        <v>237.60000000000002</v>
      </c>
      <c r="X220" s="1977">
        <v>237.60000000000002</v>
      </c>
      <c r="Y220" s="1978">
        <v>237.6</v>
      </c>
      <c r="Z220" s="1978">
        <v>237.6</v>
      </c>
      <c r="AA220" s="1978">
        <v>237.6</v>
      </c>
      <c r="AB220" s="1978">
        <v>237.6</v>
      </c>
      <c r="AC220" s="2304">
        <v>237.6</v>
      </c>
      <c r="AD220" s="2304">
        <v>237.6</v>
      </c>
      <c r="AE220" s="275"/>
      <c r="AF220" s="275"/>
      <c r="AG220" s="275"/>
      <c r="AU220" s="145"/>
      <c r="BB220" s="209">
        <f t="shared" ref="BB220:BB228" si="11">(BD220)/(BE220)</f>
        <v>2.9011487913345904</v>
      </c>
      <c r="BC220" s="201" t="str">
        <f t="shared" ref="BC220:BC228" si="12">CONCATENATE(G220," ",J220," Year EUL")</f>
        <v>Miscellaneous RES 10 Year EUL</v>
      </c>
      <c r="BD220" s="95">
        <f>(INDEX('Avoided Cost Benefits'!$E$4:$E$859,MATCH(BC220,'Avoided Cost Benefits'!$A$4:$A$859,0)))*F220</f>
        <v>82.146733119431531</v>
      </c>
      <c r="BE220" s="1579">
        <f t="shared" ref="BE220:BE228" si="13">K220/(1.0595^(2020-2019))</f>
        <v>28.315243039169417</v>
      </c>
    </row>
    <row r="221" spans="1:57" x14ac:dyDescent="0.35">
      <c r="A221" s="3462"/>
      <c r="B221" s="3462"/>
      <c r="C221" s="3475" t="s">
        <v>376</v>
      </c>
      <c r="D221" s="3475" t="s">
        <v>182</v>
      </c>
      <c r="E221" s="3454" t="s">
        <v>377</v>
      </c>
      <c r="F221" s="202">
        <f t="shared" ref="F221:F227" si="14">ROUND(G238*G$236,2)</f>
        <v>216</v>
      </c>
      <c r="G221" s="3634" t="s">
        <v>375</v>
      </c>
      <c r="H221" s="136">
        <f>VLOOKUP(G221,'CP FACTORS'!$A$3:$B$38, 2, FALSE)</f>
        <v>1.148238E-4</v>
      </c>
      <c r="I221" s="204">
        <f t="shared" si="10"/>
        <v>2.4802000000000001E-2</v>
      </c>
      <c r="J221" s="92">
        <f t="shared" ref="J221:J229" si="15">$G$248</f>
        <v>10</v>
      </c>
      <c r="K221" s="729">
        <f t="shared" ref="K221:K228" si="16">$G$249</f>
        <v>30</v>
      </c>
      <c r="L221" s="1037" t="s">
        <v>184</v>
      </c>
      <c r="V221" s="247" t="s">
        <v>30</v>
      </c>
      <c r="W221" s="1977">
        <v>216</v>
      </c>
      <c r="X221" s="1977">
        <v>216</v>
      </c>
      <c r="Y221" s="1978">
        <v>216</v>
      </c>
      <c r="Z221" s="1978">
        <v>216</v>
      </c>
      <c r="AA221" s="1978">
        <v>216</v>
      </c>
      <c r="AB221" s="1978">
        <v>216</v>
      </c>
      <c r="AC221" s="2304">
        <v>216</v>
      </c>
      <c r="AD221" s="2304">
        <v>216</v>
      </c>
      <c r="AE221" s="275"/>
      <c r="AF221" s="275"/>
      <c r="AG221" s="275"/>
      <c r="AU221" s="145"/>
      <c r="BB221" s="214">
        <f t="shared" si="11"/>
        <v>2.637407992122355</v>
      </c>
      <c r="BC221" s="201" t="str">
        <f t="shared" si="12"/>
        <v>Miscellaneous RES 10 Year EUL</v>
      </c>
      <c r="BD221" s="98">
        <f>(INDEX('Avoided Cost Benefits'!$E$4:$E$859,MATCH(BC221,'Avoided Cost Benefits'!$A$4:$A$859,0)))*F221</f>
        <v>74.678848290392295</v>
      </c>
      <c r="BE221" s="1581">
        <f t="shared" si="13"/>
        <v>28.315243039169417</v>
      </c>
    </row>
    <row r="222" spans="1:57" x14ac:dyDescent="0.35">
      <c r="A222" s="3462"/>
      <c r="B222" s="3462"/>
      <c r="C222" s="3475" t="s">
        <v>378</v>
      </c>
      <c r="D222" s="3475" t="s">
        <v>182</v>
      </c>
      <c r="E222" s="3454" t="s">
        <v>379</v>
      </c>
      <c r="F222" s="202">
        <f t="shared" si="14"/>
        <v>194.4</v>
      </c>
      <c r="G222" s="3634" t="s">
        <v>375</v>
      </c>
      <c r="H222" s="136">
        <f>VLOOKUP(G222,'CP FACTORS'!$A$3:$B$38, 2, FALSE)</f>
        <v>1.148238E-4</v>
      </c>
      <c r="I222" s="204">
        <f t="shared" si="10"/>
        <v>2.2322000000000002E-2</v>
      </c>
      <c r="J222" s="92">
        <f t="shared" si="15"/>
        <v>10</v>
      </c>
      <c r="K222" s="729">
        <f t="shared" si="16"/>
        <v>30</v>
      </c>
      <c r="L222" s="1037" t="s">
        <v>184</v>
      </c>
      <c r="V222" s="247" t="s">
        <v>30</v>
      </c>
      <c r="W222" s="1977">
        <v>194.4</v>
      </c>
      <c r="X222" s="1977">
        <v>194.4</v>
      </c>
      <c r="Y222" s="1978">
        <v>194.4</v>
      </c>
      <c r="Z222" s="1978">
        <v>194.4</v>
      </c>
      <c r="AA222" s="1978">
        <v>194.4</v>
      </c>
      <c r="AB222" s="1978">
        <v>194.4</v>
      </c>
      <c r="AC222" s="2304">
        <v>194.4</v>
      </c>
      <c r="AD222" s="2304">
        <v>194.4</v>
      </c>
      <c r="AE222" s="275"/>
      <c r="AF222" s="275"/>
      <c r="AG222" s="275"/>
      <c r="AU222" s="145"/>
      <c r="BB222" s="214">
        <f t="shared" si="11"/>
        <v>2.3736671929101196</v>
      </c>
      <c r="BC222" s="201" t="str">
        <f t="shared" si="12"/>
        <v>Miscellaneous RES 10 Year EUL</v>
      </c>
      <c r="BD222" s="98">
        <f>(INDEX('Avoided Cost Benefits'!$E$4:$E$859,MATCH(BC222,'Avoided Cost Benefits'!$A$4:$A$859,0)))*F222</f>
        <v>67.210963461353074</v>
      </c>
      <c r="BE222" s="1581">
        <f t="shared" si="13"/>
        <v>28.315243039169417</v>
      </c>
    </row>
    <row r="223" spans="1:57" x14ac:dyDescent="0.35">
      <c r="A223" s="3462"/>
      <c r="B223" s="3462"/>
      <c r="C223" s="3475" t="s">
        <v>380</v>
      </c>
      <c r="D223" s="3475" t="s">
        <v>182</v>
      </c>
      <c r="E223" s="3454" t="s">
        <v>381</v>
      </c>
      <c r="F223" s="202">
        <f t="shared" si="14"/>
        <v>172.8</v>
      </c>
      <c r="G223" s="3634" t="s">
        <v>375</v>
      </c>
      <c r="H223" s="136">
        <f>VLOOKUP(G223,'CP FACTORS'!$A$3:$B$38, 2, FALSE)</f>
        <v>1.148238E-4</v>
      </c>
      <c r="I223" s="204">
        <f t="shared" si="10"/>
        <v>1.9841999999999999E-2</v>
      </c>
      <c r="J223" s="92">
        <f t="shared" si="15"/>
        <v>10</v>
      </c>
      <c r="K223" s="729">
        <f t="shared" si="16"/>
        <v>30</v>
      </c>
      <c r="L223" s="1037" t="s">
        <v>184</v>
      </c>
      <c r="V223" s="247" t="s">
        <v>30</v>
      </c>
      <c r="W223" s="1977">
        <v>172.8</v>
      </c>
      <c r="X223" s="1977">
        <v>172.8</v>
      </c>
      <c r="Y223" s="1978">
        <v>172.8</v>
      </c>
      <c r="Z223" s="1978">
        <v>172.8</v>
      </c>
      <c r="AA223" s="1978">
        <v>172.8</v>
      </c>
      <c r="AB223" s="1978">
        <v>172.8</v>
      </c>
      <c r="AC223" s="2304">
        <v>172.8</v>
      </c>
      <c r="AD223" s="2304">
        <v>172.8</v>
      </c>
      <c r="AE223" s="275"/>
      <c r="AF223" s="275"/>
      <c r="AG223" s="275"/>
      <c r="AU223" s="145"/>
      <c r="BB223" s="214">
        <f t="shared" si="11"/>
        <v>2.1099263936978838</v>
      </c>
      <c r="BC223" s="201" t="str">
        <f t="shared" si="12"/>
        <v>Miscellaneous RES 10 Year EUL</v>
      </c>
      <c r="BD223" s="98">
        <f>(INDEX('Avoided Cost Benefits'!$E$4:$E$859,MATCH(BC223,'Avoided Cost Benefits'!$A$4:$A$859,0)))*F223</f>
        <v>59.743078632313839</v>
      </c>
      <c r="BE223" s="1581">
        <f t="shared" si="13"/>
        <v>28.315243039169417</v>
      </c>
    </row>
    <row r="224" spans="1:57" x14ac:dyDescent="0.35">
      <c r="A224" s="3462"/>
      <c r="B224" s="3462"/>
      <c r="C224" s="3475" t="s">
        <v>382</v>
      </c>
      <c r="D224" s="3475" t="s">
        <v>182</v>
      </c>
      <c r="E224" s="3454" t="s">
        <v>383</v>
      </c>
      <c r="F224" s="202">
        <f t="shared" si="14"/>
        <v>151.19999999999999</v>
      </c>
      <c r="G224" s="3634" t="s">
        <v>375</v>
      </c>
      <c r="H224" s="136">
        <f>VLOOKUP(G224,'CP FACTORS'!$A$3:$B$38, 2, FALSE)</f>
        <v>1.148238E-4</v>
      </c>
      <c r="I224" s="204">
        <f t="shared" si="10"/>
        <v>1.7361000000000001E-2</v>
      </c>
      <c r="J224" s="92">
        <f t="shared" si="15"/>
        <v>10</v>
      </c>
      <c r="K224" s="729">
        <f t="shared" si="16"/>
        <v>30</v>
      </c>
      <c r="L224" s="1037" t="s">
        <v>184</v>
      </c>
      <c r="V224" s="247" t="s">
        <v>30</v>
      </c>
      <c r="W224" s="1977">
        <v>151.19999999999999</v>
      </c>
      <c r="X224" s="1977">
        <v>151.19999999999999</v>
      </c>
      <c r="Y224" s="1978">
        <v>151.19999999999999</v>
      </c>
      <c r="Z224" s="1978">
        <v>151.19999999999999</v>
      </c>
      <c r="AA224" s="1978">
        <v>151.19999999999999</v>
      </c>
      <c r="AB224" s="1978">
        <v>151.19999999999999</v>
      </c>
      <c r="AC224" s="2304">
        <v>151.19999999999999</v>
      </c>
      <c r="AD224" s="2304">
        <v>151.19999999999999</v>
      </c>
      <c r="AE224" s="275"/>
      <c r="AF224" s="275"/>
      <c r="AG224" s="275"/>
      <c r="AU224" s="145"/>
      <c r="BB224" s="214">
        <f t="shared" si="11"/>
        <v>1.8461855944856482</v>
      </c>
      <c r="BC224" s="201" t="str">
        <f t="shared" si="12"/>
        <v>Miscellaneous RES 10 Year EUL</v>
      </c>
      <c r="BD224" s="98">
        <f>(INDEX('Avoided Cost Benefits'!$E$4:$E$859,MATCH(BC224,'Avoided Cost Benefits'!$A$4:$A$859,0)))*F224</f>
        <v>52.275193803274604</v>
      </c>
      <c r="BE224" s="1581">
        <f t="shared" si="13"/>
        <v>28.315243039169417</v>
      </c>
    </row>
    <row r="225" spans="1:57" x14ac:dyDescent="0.35">
      <c r="A225" s="3462"/>
      <c r="B225" s="3462"/>
      <c r="C225" s="3475" t="s">
        <v>384</v>
      </c>
      <c r="D225" s="3475" t="s">
        <v>182</v>
      </c>
      <c r="E225" s="3454" t="s">
        <v>385</v>
      </c>
      <c r="F225" s="202">
        <f t="shared" si="14"/>
        <v>129.6</v>
      </c>
      <c r="G225" s="3634" t="s">
        <v>375</v>
      </c>
      <c r="H225" s="136">
        <f>VLOOKUP(G225,'CP FACTORS'!$A$3:$B$38, 2, FALSE)</f>
        <v>1.148238E-4</v>
      </c>
      <c r="I225" s="204">
        <f t="shared" si="10"/>
        <v>1.4881E-2</v>
      </c>
      <c r="J225" s="92">
        <f t="shared" si="15"/>
        <v>10</v>
      </c>
      <c r="K225" s="729">
        <f t="shared" si="16"/>
        <v>30</v>
      </c>
      <c r="L225" s="1037" t="s">
        <v>184</v>
      </c>
      <c r="V225" s="247" t="s">
        <v>30</v>
      </c>
      <c r="W225" s="1977">
        <v>129.6</v>
      </c>
      <c r="X225" s="1977">
        <v>129.6</v>
      </c>
      <c r="Y225" s="1978">
        <v>129.6</v>
      </c>
      <c r="Z225" s="1978">
        <v>129.6</v>
      </c>
      <c r="AA225" s="1978">
        <v>129.6</v>
      </c>
      <c r="AB225" s="1978">
        <v>129.6</v>
      </c>
      <c r="AC225" s="2304">
        <v>129.6</v>
      </c>
      <c r="AD225" s="2304">
        <v>129.6</v>
      </c>
      <c r="AE225" s="275"/>
      <c r="AF225" s="275"/>
      <c r="AG225" s="275"/>
      <c r="AU225" s="145"/>
      <c r="BB225" s="214">
        <f t="shared" si="11"/>
        <v>1.5824447952734129</v>
      </c>
      <c r="BC225" s="201" t="str">
        <f t="shared" si="12"/>
        <v>Miscellaneous RES 10 Year EUL</v>
      </c>
      <c r="BD225" s="98">
        <f>(INDEX('Avoided Cost Benefits'!$E$4:$E$859,MATCH(BC225,'Avoided Cost Benefits'!$A$4:$A$859,0)))*F225</f>
        <v>44.807308974235376</v>
      </c>
      <c r="BE225" s="1581">
        <f t="shared" si="13"/>
        <v>28.315243039169417</v>
      </c>
    </row>
    <row r="226" spans="1:57" x14ac:dyDescent="0.35">
      <c r="A226" s="3462"/>
      <c r="B226" s="3462"/>
      <c r="C226" s="3475" t="s">
        <v>386</v>
      </c>
      <c r="D226" s="3475" t="s">
        <v>182</v>
      </c>
      <c r="E226" s="3445" t="s">
        <v>387</v>
      </c>
      <c r="F226" s="202">
        <f t="shared" si="14"/>
        <v>108</v>
      </c>
      <c r="G226" s="3634" t="s">
        <v>375</v>
      </c>
      <c r="H226" s="393">
        <f>VLOOKUP(G226,'CP FACTORS'!$A$3:$B$38, 2, FALSE)</f>
        <v>1.148238E-4</v>
      </c>
      <c r="I226" s="1740">
        <f t="shared" si="10"/>
        <v>1.2401000000000001E-2</v>
      </c>
      <c r="J226" s="92">
        <f t="shared" si="15"/>
        <v>10</v>
      </c>
      <c r="K226" s="729">
        <f t="shared" si="16"/>
        <v>30</v>
      </c>
      <c r="L226" s="50" t="s">
        <v>184</v>
      </c>
      <c r="V226" s="247" t="s">
        <v>30</v>
      </c>
      <c r="W226" s="1977">
        <v>108</v>
      </c>
      <c r="X226" s="1977">
        <v>108</v>
      </c>
      <c r="Y226" s="1978">
        <v>108</v>
      </c>
      <c r="Z226" s="1978">
        <v>108</v>
      </c>
      <c r="AA226" s="1978">
        <v>108</v>
      </c>
      <c r="AB226" s="1978">
        <v>108</v>
      </c>
      <c r="AC226" s="2304">
        <v>108</v>
      </c>
      <c r="AD226" s="2304">
        <v>108</v>
      </c>
      <c r="AE226" s="275"/>
      <c r="AF226" s="275"/>
      <c r="AG226" s="275"/>
      <c r="AU226" s="145"/>
      <c r="BB226" s="214">
        <f t="shared" si="11"/>
        <v>1.3187039960611775</v>
      </c>
      <c r="BC226" s="201" t="str">
        <f t="shared" si="12"/>
        <v>Miscellaneous RES 10 Year EUL</v>
      </c>
      <c r="BD226" s="98">
        <f>(INDEX('Avoided Cost Benefits'!$E$4:$E$859,MATCH(BC226,'Avoided Cost Benefits'!$A$4:$A$859,0)))*F226</f>
        <v>37.339424145196148</v>
      </c>
      <c r="BE226" s="1581">
        <f t="shared" si="13"/>
        <v>28.315243039169417</v>
      </c>
    </row>
    <row r="227" spans="1:57" x14ac:dyDescent="0.35">
      <c r="A227" s="3462"/>
      <c r="B227" s="3462"/>
      <c r="C227" s="3475" t="s">
        <v>388</v>
      </c>
      <c r="D227" s="3475" t="s">
        <v>182</v>
      </c>
      <c r="E227" s="3445" t="s">
        <v>389</v>
      </c>
      <c r="F227" s="202">
        <f t="shared" si="14"/>
        <v>86.4</v>
      </c>
      <c r="G227" s="3634" t="s">
        <v>375</v>
      </c>
      <c r="H227" s="393">
        <f>VLOOKUP(G227,'CP FACTORS'!$A$3:$B$38, 2, FALSE)</f>
        <v>1.148238E-4</v>
      </c>
      <c r="I227" s="1740">
        <f t="shared" si="10"/>
        <v>9.9209999999999993E-3</v>
      </c>
      <c r="J227" s="92">
        <f t="shared" si="15"/>
        <v>10</v>
      </c>
      <c r="K227" s="729">
        <f t="shared" si="16"/>
        <v>30</v>
      </c>
      <c r="L227" s="50" t="s">
        <v>184</v>
      </c>
      <c r="V227" s="247" t="s">
        <v>30</v>
      </c>
      <c r="W227" s="1977">
        <v>86.4</v>
      </c>
      <c r="X227" s="1977">
        <v>86.4</v>
      </c>
      <c r="Y227" s="1978">
        <v>86.4</v>
      </c>
      <c r="Z227" s="1978">
        <v>86.4</v>
      </c>
      <c r="AA227" s="1978">
        <v>86.4</v>
      </c>
      <c r="AB227" s="1978">
        <v>86.4</v>
      </c>
      <c r="AC227" s="2304">
        <v>86.4</v>
      </c>
      <c r="AD227" s="2304">
        <v>86.4</v>
      </c>
      <c r="AE227" s="275"/>
      <c r="AF227" s="275"/>
      <c r="AG227" s="275"/>
      <c r="AU227" s="145"/>
      <c r="BB227" s="214">
        <f t="shared" si="11"/>
        <v>1.0549631968489419</v>
      </c>
      <c r="BC227" s="201" t="str">
        <f t="shared" si="12"/>
        <v>Miscellaneous RES 10 Year EUL</v>
      </c>
      <c r="BD227" s="98">
        <f>(INDEX('Avoided Cost Benefits'!$E$4:$E$859,MATCH(BC227,'Avoided Cost Benefits'!$A$4:$A$859,0)))*F227</f>
        <v>29.87153931615692</v>
      </c>
      <c r="BE227" s="1581">
        <f t="shared" si="13"/>
        <v>28.315243039169417</v>
      </c>
    </row>
    <row r="228" spans="1:57" s="298" customFormat="1" x14ac:dyDescent="0.35">
      <c r="A228" s="3456"/>
      <c r="B228" s="3456"/>
      <c r="C228" s="3475" t="s">
        <v>390</v>
      </c>
      <c r="D228" s="3475" t="s">
        <v>182</v>
      </c>
      <c r="E228" s="3445" t="s">
        <v>391</v>
      </c>
      <c r="F228" s="202">
        <f>ROUND(G$236*G$245*G246, 2)</f>
        <v>151.96</v>
      </c>
      <c r="G228" s="3635" t="s">
        <v>375</v>
      </c>
      <c r="H228" s="1739">
        <f>VLOOKUP(G228,'CP FACTORS'!$A$3:$B$38, 2, FALSE)</f>
        <v>1.148238E-4</v>
      </c>
      <c r="I228" s="1740">
        <f t="shared" si="10"/>
        <v>1.7448999999999999E-2</v>
      </c>
      <c r="J228" s="92">
        <f t="shared" si="15"/>
        <v>10</v>
      </c>
      <c r="K228" s="729">
        <f t="shared" si="16"/>
        <v>30</v>
      </c>
      <c r="L228" s="3475" t="s">
        <v>184</v>
      </c>
      <c r="M228" s="297"/>
      <c r="N228" s="297"/>
      <c r="O228" s="297"/>
      <c r="P228" s="297"/>
      <c r="Q228" s="297"/>
      <c r="R228" s="297"/>
      <c r="S228" s="297"/>
      <c r="T228" s="297"/>
      <c r="U228" s="297"/>
      <c r="V228" s="299" t="s">
        <v>30</v>
      </c>
      <c r="W228" s="1977">
        <v>162</v>
      </c>
      <c r="X228" s="1977">
        <v>162</v>
      </c>
      <c r="Y228" s="1978">
        <v>162</v>
      </c>
      <c r="Z228" s="1978">
        <v>162</v>
      </c>
      <c r="AA228" s="1978">
        <v>162</v>
      </c>
      <c r="AB228" s="1979">
        <v>151.96</v>
      </c>
      <c r="AC228" s="2304">
        <v>151.96</v>
      </c>
      <c r="AD228" s="2304">
        <v>151.96</v>
      </c>
      <c r="AE228" s="275"/>
      <c r="AF228" s="275"/>
      <c r="AG228" s="275"/>
      <c r="AU228" s="145"/>
      <c r="BB228" s="276">
        <f t="shared" si="11"/>
        <v>1.8554653633468197</v>
      </c>
      <c r="BC228" s="277" t="str">
        <f t="shared" si="12"/>
        <v>Miscellaneous RES 10 Year EUL</v>
      </c>
      <c r="BD228" s="102">
        <f>(INDEX('Avoided Cost Benefits'!$E$4:$E$859,MATCH(BC228,'Avoided Cost Benefits'!$A$4:$A$859,0)))*F228</f>
        <v>52.537952713925989</v>
      </c>
      <c r="BE228" s="1582">
        <f t="shared" si="13"/>
        <v>28.315243039169417</v>
      </c>
    </row>
    <row r="229" spans="1:57" s="298" customFormat="1" x14ac:dyDescent="0.35">
      <c r="A229" s="3456"/>
      <c r="B229" s="3456"/>
      <c r="C229" s="3475" t="s">
        <v>392</v>
      </c>
      <c r="D229" s="3475" t="s">
        <v>182</v>
      </c>
      <c r="E229" s="3445" t="s">
        <v>393</v>
      </c>
      <c r="F229" s="202">
        <f>ROUND(G$236*G$245*G247, 2)</f>
        <v>153.9</v>
      </c>
      <c r="G229" s="3635" t="s">
        <v>375</v>
      </c>
      <c r="H229" s="1739">
        <f>VLOOKUP(G229,'CP FACTORS'!$A$3:$B$38, 2, FALSE)</f>
        <v>1.148238E-4</v>
      </c>
      <c r="I229" s="1740">
        <f t="shared" ref="I229" si="17">ROUND(H229*F229,6)</f>
        <v>1.7670999999999999E-2</v>
      </c>
      <c r="J229" s="92">
        <f t="shared" si="15"/>
        <v>10</v>
      </c>
      <c r="K229" s="729">
        <f>$G$250</f>
        <v>60</v>
      </c>
      <c r="L229" s="3475" t="s">
        <v>184</v>
      </c>
      <c r="M229" s="297"/>
      <c r="N229" s="297"/>
      <c r="O229" s="297"/>
      <c r="P229" s="297"/>
      <c r="Q229" s="297"/>
      <c r="R229" s="297"/>
      <c r="S229" s="297"/>
      <c r="T229" s="297"/>
      <c r="U229" s="297"/>
      <c r="V229" s="299" t="s">
        <v>30</v>
      </c>
      <c r="W229" s="1977">
        <v>162</v>
      </c>
      <c r="X229" s="1977">
        <v>162</v>
      </c>
      <c r="Y229" s="1978">
        <v>162</v>
      </c>
      <c r="Z229" s="1978">
        <v>162</v>
      </c>
      <c r="AA229" s="1978">
        <v>162</v>
      </c>
      <c r="AB229" s="1979">
        <v>153.9</v>
      </c>
      <c r="AC229" s="2304">
        <v>153.9</v>
      </c>
      <c r="AD229" s="2304">
        <v>153.9</v>
      </c>
      <c r="AE229" s="275"/>
      <c r="AF229" s="275"/>
      <c r="AG229" s="275"/>
      <c r="AU229" s="145"/>
      <c r="BB229" s="276">
        <f t="shared" ref="BB229" si="18">(BD229)/(BE229)</f>
        <v>0.93957659719358899</v>
      </c>
      <c r="BC229" s="277" t="str">
        <f t="shared" ref="BC229" si="19">CONCATENATE(G229," ",J229," Year EUL")</f>
        <v>Miscellaneous RES 10 Year EUL</v>
      </c>
      <c r="BD229" s="102">
        <f>(INDEX('Avoided Cost Benefits'!$E$4:$E$859,MATCH(BC229,'Avoided Cost Benefits'!$A$4:$A$859,0)))*F229</f>
        <v>53.208679406904515</v>
      </c>
      <c r="BE229" s="1582">
        <f t="shared" ref="BE229" si="20">K229/(1.0595^(2020-2019))</f>
        <v>56.630486078338834</v>
      </c>
    </row>
    <row r="230" spans="1:57" hidden="1" outlineLevel="1" x14ac:dyDescent="0.35">
      <c r="A230" s="3462"/>
      <c r="B230" s="3462"/>
      <c r="C230" s="103"/>
      <c r="D230" s="292"/>
      <c r="E230" s="292"/>
      <c r="F230" s="3462"/>
      <c r="G230" s="3462"/>
      <c r="H230" s="3462" t="s">
        <v>394</v>
      </c>
      <c r="J230" s="3462"/>
      <c r="K230" s="3462"/>
      <c r="L230" s="3462"/>
      <c r="X230" s="132" t="s">
        <v>395</v>
      </c>
      <c r="Y230" s="132" t="s">
        <v>396</v>
      </c>
      <c r="AU230" s="145"/>
    </row>
    <row r="231" spans="1:57" hidden="1" outlineLevel="1" x14ac:dyDescent="0.35">
      <c r="A231" s="3462"/>
      <c r="B231" s="3462"/>
      <c r="C231" s="103"/>
      <c r="D231" s="157" t="s">
        <v>107</v>
      </c>
      <c r="E231" s="292"/>
      <c r="F231" s="3462"/>
      <c r="G231" s="3462"/>
      <c r="H231" s="3462"/>
      <c r="I231" s="3462"/>
      <c r="J231" s="3462"/>
      <c r="K231" s="3462"/>
      <c r="L231" s="3462"/>
      <c r="AU231" s="145"/>
    </row>
    <row r="232" spans="1:57" hidden="1" outlineLevel="1" x14ac:dyDescent="0.35">
      <c r="A232" s="3462"/>
      <c r="B232" s="3462"/>
      <c r="C232" s="103"/>
      <c r="D232" s="292"/>
      <c r="E232" s="292"/>
      <c r="F232" s="3462"/>
      <c r="G232" s="3462"/>
      <c r="H232" s="3462"/>
      <c r="I232" s="3462"/>
      <c r="J232" s="3462"/>
      <c r="K232" s="3462"/>
      <c r="L232" s="3462"/>
      <c r="AU232" s="145"/>
    </row>
    <row r="233" spans="1:57" hidden="1" outlineLevel="1" x14ac:dyDescent="0.35">
      <c r="A233" s="3462"/>
      <c r="B233" s="3462"/>
      <c r="C233" s="103"/>
      <c r="D233" s="292"/>
      <c r="E233" s="292"/>
      <c r="F233" s="3462"/>
      <c r="G233" s="3462"/>
      <c r="H233" s="3462"/>
      <c r="I233" s="3462"/>
      <c r="J233" s="3462"/>
      <c r="K233" s="3462"/>
      <c r="L233" s="3462"/>
      <c r="AU233" s="145"/>
    </row>
    <row r="234" spans="1:57" hidden="1" outlineLevel="1" x14ac:dyDescent="0.35">
      <c r="A234" s="3462"/>
      <c r="B234" s="3462"/>
      <c r="C234" s="103"/>
      <c r="D234" s="292"/>
      <c r="E234" s="292"/>
      <c r="F234" s="3462"/>
      <c r="G234" s="3462"/>
      <c r="H234" s="3462"/>
      <c r="I234" s="3462"/>
      <c r="J234" s="3462"/>
      <c r="M234" s="3461"/>
      <c r="N234" s="3461"/>
      <c r="O234" s="3461"/>
      <c r="P234" s="3461"/>
      <c r="AU234" s="145"/>
    </row>
    <row r="235" spans="1:57" hidden="1" outlineLevel="1" x14ac:dyDescent="0.35">
      <c r="A235" s="3462"/>
      <c r="B235" s="3462"/>
      <c r="C235" s="103"/>
      <c r="D235" s="3438" t="s">
        <v>108</v>
      </c>
      <c r="E235" s="3438" t="s">
        <v>109</v>
      </c>
      <c r="F235" s="3438" t="s">
        <v>185</v>
      </c>
      <c r="G235" s="3438" t="s">
        <v>111</v>
      </c>
      <c r="H235" s="3438" t="s">
        <v>186</v>
      </c>
      <c r="I235" s="3438" t="s">
        <v>397</v>
      </c>
      <c r="J235" s="3462"/>
      <c r="M235" s="3462"/>
      <c r="N235" s="3462"/>
      <c r="O235" s="3462"/>
      <c r="P235" s="3462"/>
      <c r="V235" s="1572" t="s">
        <v>44</v>
      </c>
      <c r="W235" s="1573">
        <v>43252</v>
      </c>
      <c r="X235" s="1573">
        <f>$X$6</f>
        <v>43465</v>
      </c>
      <c r="Y235" s="1573">
        <f>$Y$6</f>
        <v>43800</v>
      </c>
      <c r="Z235" s="1573">
        <f>$Z$6</f>
        <v>43862</v>
      </c>
      <c r="AA235" s="1573">
        <f>$AA$6</f>
        <v>44013</v>
      </c>
      <c r="AB235" s="1573">
        <f>$AB$6</f>
        <v>44166</v>
      </c>
      <c r="AC235" s="1573">
        <f>$AC$6</f>
        <v>44531</v>
      </c>
      <c r="AD235" s="1573">
        <f>$AD$6</f>
        <v>44774</v>
      </c>
      <c r="AE235" s="1573" t="str">
        <f>$AE$6</f>
        <v>-</v>
      </c>
      <c r="AF235" s="1573" t="str">
        <f>$AF$6</f>
        <v>-</v>
      </c>
      <c r="AG235" s="1573" t="str">
        <f>$AG$6</f>
        <v>-</v>
      </c>
      <c r="AU235" s="145"/>
    </row>
    <row r="236" spans="1:57" ht="174" hidden="1" outlineLevel="1" x14ac:dyDescent="0.35">
      <c r="A236" s="3462"/>
      <c r="B236" s="3462"/>
      <c r="C236" s="103"/>
      <c r="D236" s="3445" t="s">
        <v>398</v>
      </c>
      <c r="E236" s="3446" t="s">
        <v>399</v>
      </c>
      <c r="F236" s="3445" t="s">
        <v>134</v>
      </c>
      <c r="G236" s="301">
        <v>432</v>
      </c>
      <c r="H236" s="3444" t="s">
        <v>400</v>
      </c>
      <c r="I236" s="3475"/>
      <c r="J236" s="3462"/>
      <c r="K236" s="3462"/>
      <c r="L236" s="3462"/>
      <c r="V236" s="2333" t="s">
        <v>398</v>
      </c>
      <c r="W236" s="1727"/>
      <c r="X236" s="1727"/>
      <c r="Y236" s="1727"/>
      <c r="Z236" s="1727"/>
      <c r="AA236" s="1727"/>
      <c r="AB236" s="1727">
        <v>432</v>
      </c>
      <c r="AC236" s="2305">
        <v>432</v>
      </c>
      <c r="AD236" s="2305">
        <v>432</v>
      </c>
      <c r="AE236" s="88"/>
      <c r="AF236" s="88"/>
      <c r="AG236" s="88"/>
      <c r="AU236" s="145"/>
    </row>
    <row r="237" spans="1:57" hidden="1" outlineLevel="1" x14ac:dyDescent="0.35">
      <c r="C237" s="103"/>
      <c r="D237" s="3791" t="s">
        <v>401</v>
      </c>
      <c r="E237" s="3791" t="s">
        <v>402</v>
      </c>
      <c r="F237" s="303" t="s">
        <v>403</v>
      </c>
      <c r="G237" s="1918">
        <v>0.55000000000000004</v>
      </c>
      <c r="H237" s="303" t="s">
        <v>404</v>
      </c>
      <c r="I237" s="303"/>
      <c r="M237" s="1226"/>
      <c r="N237" s="130"/>
      <c r="O237" s="1226"/>
      <c r="P237" s="130"/>
      <c r="V237" s="3791" t="s">
        <v>401</v>
      </c>
      <c r="W237" s="1728"/>
      <c r="X237" s="1728"/>
      <c r="Y237" s="1728"/>
      <c r="Z237" s="1728"/>
      <c r="AA237" s="1728"/>
      <c r="AB237" s="413">
        <v>0.55000000000000004</v>
      </c>
      <c r="AC237" s="1918">
        <v>0.55000000000000004</v>
      </c>
      <c r="AD237" s="1918">
        <v>0.55000000000000004</v>
      </c>
      <c r="AE237" s="247"/>
      <c r="AF237" s="247"/>
      <c r="AG237" s="247"/>
      <c r="AU237" s="145"/>
    </row>
    <row r="238" spans="1:57" hidden="1" outlineLevel="1" x14ac:dyDescent="0.35">
      <c r="C238" s="103"/>
      <c r="D238" s="3791"/>
      <c r="E238" s="3791"/>
      <c r="F238" s="303" t="s">
        <v>405</v>
      </c>
      <c r="G238" s="1918">
        <v>0.5</v>
      </c>
      <c r="H238" s="303" t="s">
        <v>404</v>
      </c>
      <c r="I238" s="303" t="s">
        <v>406</v>
      </c>
      <c r="M238" s="1226"/>
      <c r="N238" s="130"/>
      <c r="O238" s="1226"/>
      <c r="P238" s="130"/>
      <c r="V238" s="3791"/>
      <c r="W238" s="1728"/>
      <c r="X238" s="1728"/>
      <c r="Y238" s="1728"/>
      <c r="Z238" s="1728"/>
      <c r="AA238" s="1728"/>
      <c r="AB238" s="413">
        <v>0.5</v>
      </c>
      <c r="AC238" s="1918">
        <v>0.5</v>
      </c>
      <c r="AD238" s="1918">
        <v>0.5</v>
      </c>
      <c r="AE238" s="247"/>
      <c r="AF238" s="247"/>
      <c r="AG238" s="247"/>
      <c r="AU238" s="145"/>
    </row>
    <row r="239" spans="1:57" hidden="1" outlineLevel="1" x14ac:dyDescent="0.35">
      <c r="C239" s="103"/>
      <c r="D239" s="3791"/>
      <c r="E239" s="3791"/>
      <c r="F239" s="303" t="s">
        <v>407</v>
      </c>
      <c r="G239" s="1918">
        <v>0.45</v>
      </c>
      <c r="H239" s="303" t="s">
        <v>404</v>
      </c>
      <c r="I239" s="303"/>
      <c r="M239" s="1226"/>
      <c r="N239" s="130"/>
      <c r="O239" s="1226"/>
      <c r="P239" s="130"/>
      <c r="V239" s="3791"/>
      <c r="W239" s="1728"/>
      <c r="X239" s="1728"/>
      <c r="Y239" s="1728"/>
      <c r="Z239" s="1728"/>
      <c r="AA239" s="1728"/>
      <c r="AB239" s="413">
        <v>0.45</v>
      </c>
      <c r="AC239" s="1918">
        <v>0.45</v>
      </c>
      <c r="AD239" s="1918">
        <v>0.45</v>
      </c>
      <c r="AE239" s="247"/>
      <c r="AF239" s="247"/>
      <c r="AG239" s="247"/>
      <c r="AU239" s="145"/>
    </row>
    <row r="240" spans="1:57" hidden="1" outlineLevel="1" x14ac:dyDescent="0.35">
      <c r="C240" s="103"/>
      <c r="D240" s="3791"/>
      <c r="E240" s="3791"/>
      <c r="F240" s="303" t="s">
        <v>408</v>
      </c>
      <c r="G240" s="1918">
        <v>0.4</v>
      </c>
      <c r="H240" s="303" t="s">
        <v>404</v>
      </c>
      <c r="I240" s="303"/>
      <c r="M240" s="1226"/>
      <c r="N240" s="130"/>
      <c r="O240" s="1226"/>
      <c r="P240" s="130"/>
      <c r="V240" s="3791"/>
      <c r="W240" s="1728"/>
      <c r="X240" s="1728"/>
      <c r="Y240" s="1728"/>
      <c r="Z240" s="1728"/>
      <c r="AA240" s="1728"/>
      <c r="AB240" s="413">
        <v>0.4</v>
      </c>
      <c r="AC240" s="1918">
        <v>0.4</v>
      </c>
      <c r="AD240" s="1918">
        <v>0.4</v>
      </c>
      <c r="AE240" s="247"/>
      <c r="AF240" s="247"/>
      <c r="AG240" s="247"/>
      <c r="AU240" s="145"/>
    </row>
    <row r="241" spans="1:57" hidden="1" outlineLevel="1" x14ac:dyDescent="0.35">
      <c r="C241" s="103"/>
      <c r="D241" s="3791"/>
      <c r="E241" s="3791"/>
      <c r="F241" s="303" t="s">
        <v>409</v>
      </c>
      <c r="G241" s="1918">
        <v>0.35</v>
      </c>
      <c r="H241" s="303" t="s">
        <v>404</v>
      </c>
      <c r="I241" s="303"/>
      <c r="M241" s="1226"/>
      <c r="N241" s="130"/>
      <c r="O241" s="1226"/>
      <c r="P241" s="130"/>
      <c r="V241" s="3791"/>
      <c r="W241" s="1728"/>
      <c r="X241" s="1728"/>
      <c r="Y241" s="1728"/>
      <c r="Z241" s="1728"/>
      <c r="AA241" s="1728"/>
      <c r="AB241" s="413">
        <v>0.35</v>
      </c>
      <c r="AC241" s="1918">
        <v>0.35</v>
      </c>
      <c r="AD241" s="1918">
        <v>0.35</v>
      </c>
      <c r="AE241" s="247"/>
      <c r="AF241" s="247"/>
      <c r="AG241" s="247"/>
      <c r="AU241" s="145"/>
    </row>
    <row r="242" spans="1:57" hidden="1" outlineLevel="1" x14ac:dyDescent="0.35">
      <c r="C242" s="103"/>
      <c r="D242" s="3791"/>
      <c r="E242" s="3791"/>
      <c r="F242" s="303" t="s">
        <v>410</v>
      </c>
      <c r="G242" s="1918">
        <v>0.3</v>
      </c>
      <c r="H242" s="303" t="s">
        <v>404</v>
      </c>
      <c r="I242" s="303"/>
      <c r="M242" s="1226"/>
      <c r="N242" s="130"/>
      <c r="O242" s="1226"/>
      <c r="P242" s="130"/>
      <c r="V242" s="3791"/>
      <c r="W242" s="1728"/>
      <c r="X242" s="1728"/>
      <c r="Y242" s="1728"/>
      <c r="Z242" s="1728"/>
      <c r="AA242" s="1728"/>
      <c r="AB242" s="413">
        <v>0.3</v>
      </c>
      <c r="AC242" s="1918">
        <v>0.3</v>
      </c>
      <c r="AD242" s="1918">
        <v>0.3</v>
      </c>
      <c r="AE242" s="247"/>
      <c r="AF242" s="247"/>
      <c r="AG242" s="247"/>
      <c r="AU242" s="145"/>
    </row>
    <row r="243" spans="1:57" hidden="1" outlineLevel="1" x14ac:dyDescent="0.35">
      <c r="C243" s="103"/>
      <c r="D243" s="3791"/>
      <c r="E243" s="3791"/>
      <c r="F243" s="303" t="s">
        <v>411</v>
      </c>
      <c r="G243" s="1918">
        <v>0.25</v>
      </c>
      <c r="H243" s="303" t="s">
        <v>404</v>
      </c>
      <c r="I243" s="303" t="s">
        <v>406</v>
      </c>
      <c r="M243" s="1226"/>
      <c r="N243" s="130"/>
      <c r="O243" s="1226"/>
      <c r="P243" s="130"/>
      <c r="V243" s="3791"/>
      <c r="W243" s="1728"/>
      <c r="X243" s="1728"/>
      <c r="Y243" s="1728"/>
      <c r="Z243" s="1728"/>
      <c r="AA243" s="1728"/>
      <c r="AB243" s="413">
        <v>0.25</v>
      </c>
      <c r="AC243" s="1918">
        <v>0.25</v>
      </c>
      <c r="AD243" s="1918">
        <v>0.25</v>
      </c>
      <c r="AE243" s="247"/>
      <c r="AF243" s="247"/>
      <c r="AG243" s="247"/>
      <c r="AU243" s="145"/>
    </row>
    <row r="244" spans="1:57" hidden="1" outlineLevel="1" x14ac:dyDescent="0.35">
      <c r="C244" s="103"/>
      <c r="D244" s="3791"/>
      <c r="E244" s="3791"/>
      <c r="F244" s="303" t="s">
        <v>412</v>
      </c>
      <c r="G244" s="1918">
        <v>0.2</v>
      </c>
      <c r="H244" s="303" t="s">
        <v>404</v>
      </c>
      <c r="I244" s="303"/>
      <c r="M244" s="1226"/>
      <c r="N244" s="130"/>
      <c r="O244" s="1226"/>
      <c r="P244" s="130"/>
      <c r="V244" s="3791"/>
      <c r="W244" s="1728"/>
      <c r="X244" s="1728"/>
      <c r="Y244" s="1728"/>
      <c r="Z244" s="1728"/>
      <c r="AA244" s="1728"/>
      <c r="AB244" s="413">
        <v>0.2</v>
      </c>
      <c r="AC244" s="1918">
        <v>0.2</v>
      </c>
      <c r="AD244" s="1918">
        <v>0.2</v>
      </c>
      <c r="AE244" s="247"/>
      <c r="AF244" s="247"/>
      <c r="AG244" s="247"/>
      <c r="AU244" s="145"/>
    </row>
    <row r="245" spans="1:57" hidden="1" outlineLevel="1" x14ac:dyDescent="0.35">
      <c r="C245" s="103"/>
      <c r="D245" s="3791"/>
      <c r="E245" s="3791"/>
      <c r="F245" s="303" t="s">
        <v>413</v>
      </c>
      <c r="G245" s="1919">
        <f>AVERAGE(G238,G243)</f>
        <v>0.375</v>
      </c>
      <c r="H245" s="1920" t="s">
        <v>414</v>
      </c>
      <c r="I245" s="1920"/>
      <c r="M245" s="1226"/>
      <c r="N245" s="130"/>
      <c r="O245" s="1226"/>
      <c r="P245" s="130"/>
      <c r="V245" s="3791"/>
      <c r="W245" s="1729"/>
      <c r="X245" s="1729"/>
      <c r="Y245" s="1729"/>
      <c r="Z245" s="1729"/>
      <c r="AA245" s="1729"/>
      <c r="AB245" s="2307">
        <v>0.375</v>
      </c>
      <c r="AC245" s="1919">
        <v>0.375</v>
      </c>
      <c r="AD245" s="1919">
        <v>0.375</v>
      </c>
      <c r="AE245" s="247"/>
      <c r="AF245" s="247"/>
      <c r="AG245" s="247"/>
      <c r="AU245" s="145"/>
    </row>
    <row r="246" spans="1:57" hidden="1" outlineLevel="1" x14ac:dyDescent="0.35">
      <c r="C246" s="103"/>
      <c r="D246" s="3792" t="s">
        <v>132</v>
      </c>
      <c r="E246" s="3797" t="s">
        <v>415</v>
      </c>
      <c r="F246" s="303" t="s">
        <v>416</v>
      </c>
      <c r="G246" s="2003">
        <v>0.93799999999999994</v>
      </c>
      <c r="H246" s="1920" t="s">
        <v>252</v>
      </c>
      <c r="I246" s="1920"/>
      <c r="M246" s="1226"/>
      <c r="N246" s="130"/>
      <c r="O246" s="1226"/>
      <c r="P246" s="130"/>
      <c r="V246" s="3792" t="s">
        <v>132</v>
      </c>
      <c r="W246" s="1730"/>
      <c r="X246" s="1730"/>
      <c r="Y246" s="1730"/>
      <c r="Z246" s="1730"/>
      <c r="AA246" s="1730"/>
      <c r="AB246" s="2308">
        <v>0.93799999999999994</v>
      </c>
      <c r="AC246" s="2306">
        <v>0.93799999999999994</v>
      </c>
      <c r="AD246" s="2306">
        <v>0.93799999999999994</v>
      </c>
      <c r="AE246" s="247"/>
      <c r="AF246" s="247"/>
      <c r="AG246" s="247"/>
      <c r="AU246" s="145"/>
    </row>
    <row r="247" spans="1:57" hidden="1" outlineLevel="1" x14ac:dyDescent="0.35">
      <c r="C247" s="103"/>
      <c r="D247" s="3793"/>
      <c r="E247" s="3798"/>
      <c r="F247" s="303" t="s">
        <v>417</v>
      </c>
      <c r="G247" s="2003">
        <v>0.95</v>
      </c>
      <c r="H247" s="1920" t="s">
        <v>418</v>
      </c>
      <c r="I247" s="1920"/>
      <c r="M247" s="1226"/>
      <c r="N247" s="130"/>
      <c r="O247" s="1226"/>
      <c r="P247" s="130"/>
      <c r="V247" s="3793"/>
      <c r="W247" s="1730"/>
      <c r="X247" s="1730"/>
      <c r="Y247" s="1730"/>
      <c r="Z247" s="1730"/>
      <c r="AA247" s="1730"/>
      <c r="AB247" s="1731">
        <v>0.95</v>
      </c>
      <c r="AC247" s="2003">
        <v>0.95</v>
      </c>
      <c r="AD247" s="2003">
        <v>0.95</v>
      </c>
      <c r="AE247" s="247"/>
      <c r="AF247" s="247"/>
      <c r="AG247" s="247"/>
      <c r="AU247" s="145"/>
    </row>
    <row r="248" spans="1:57" hidden="1" outlineLevel="1" x14ac:dyDescent="0.35">
      <c r="C248" s="103"/>
      <c r="D248" s="2002" t="s">
        <v>180</v>
      </c>
      <c r="E248" s="2002" t="s">
        <v>166</v>
      </c>
      <c r="F248" s="2002" t="s">
        <v>134</v>
      </c>
      <c r="G248" s="1187">
        <v>10</v>
      </c>
      <c r="H248" s="1920"/>
      <c r="I248" s="1920" t="s">
        <v>184</v>
      </c>
      <c r="M248" s="1226"/>
      <c r="N248" s="130"/>
      <c r="O248" s="1226"/>
      <c r="P248" s="130"/>
      <c r="V248" s="2002" t="s">
        <v>180</v>
      </c>
      <c r="W248" s="1732"/>
      <c r="X248" s="1732"/>
      <c r="Y248" s="1732"/>
      <c r="Z248" s="1732"/>
      <c r="AA248" s="1732"/>
      <c r="AB248" s="1733">
        <v>10</v>
      </c>
      <c r="AC248" s="1187">
        <v>10</v>
      </c>
      <c r="AD248" s="1187">
        <v>10</v>
      </c>
      <c r="AE248" s="247"/>
      <c r="AF248" s="247"/>
      <c r="AG248" s="247"/>
      <c r="AI248" s="173"/>
      <c r="AJ248" s="173"/>
      <c r="AU248" s="145"/>
    </row>
    <row r="249" spans="1:57" hidden="1" outlineLevel="1" x14ac:dyDescent="0.35">
      <c r="C249" s="103"/>
      <c r="D249" s="3794" t="str">
        <f>$D$51</f>
        <v>Inc. Cost</v>
      </c>
      <c r="E249" s="3794" t="str">
        <f>$E$51</f>
        <v>Incremental Cost ($)</v>
      </c>
      <c r="F249" s="1921" t="s">
        <v>416</v>
      </c>
      <c r="G249" s="2004">
        <v>30</v>
      </c>
      <c r="H249" s="1921" t="s">
        <v>419</v>
      </c>
      <c r="I249" s="2005" t="s">
        <v>420</v>
      </c>
      <c r="M249" s="1226"/>
      <c r="N249" s="130"/>
      <c r="O249" s="1226"/>
      <c r="P249" s="130"/>
      <c r="V249" s="3794" t="str">
        <f>$D$51</f>
        <v>Inc. Cost</v>
      </c>
      <c r="W249" s="1734"/>
      <c r="X249" s="1734"/>
      <c r="Y249" s="1734"/>
      <c r="Z249" s="1734"/>
      <c r="AA249" s="1734"/>
      <c r="AB249" s="1735">
        <v>30</v>
      </c>
      <c r="AC249" s="2004">
        <v>30</v>
      </c>
      <c r="AD249" s="2004">
        <v>30</v>
      </c>
      <c r="AE249" s="1736"/>
      <c r="AF249" s="1736"/>
      <c r="AG249" s="1736"/>
      <c r="AI249" s="173"/>
      <c r="AJ249" s="173"/>
      <c r="AU249" s="145"/>
    </row>
    <row r="250" spans="1:57" hidden="1" outlineLevel="1" x14ac:dyDescent="0.35">
      <c r="C250" s="103"/>
      <c r="D250" s="3794"/>
      <c r="E250" s="3794"/>
      <c r="F250" s="2006" t="s">
        <v>417</v>
      </c>
      <c r="G250" s="2004">
        <v>60</v>
      </c>
      <c r="H250" s="1921" t="s">
        <v>421</v>
      </c>
      <c r="I250" s="1921" t="s">
        <v>421</v>
      </c>
      <c r="M250" s="1226"/>
      <c r="N250" s="130"/>
      <c r="O250" s="1226"/>
      <c r="P250" s="130"/>
      <c r="V250" s="3794"/>
      <c r="W250" s="1734"/>
      <c r="X250" s="1734"/>
      <c r="Y250" s="1734"/>
      <c r="Z250" s="1734"/>
      <c r="AA250" s="1734"/>
      <c r="AB250" s="1735">
        <v>60</v>
      </c>
      <c r="AC250" s="2004">
        <v>60</v>
      </c>
      <c r="AD250" s="2004">
        <v>60</v>
      </c>
      <c r="AE250" s="1737"/>
      <c r="AF250" s="1737"/>
      <c r="AG250" s="1737"/>
      <c r="AI250" s="173"/>
      <c r="AJ250" s="173"/>
      <c r="AU250" s="145"/>
    </row>
    <row r="251" spans="1:57" collapsed="1" x14ac:dyDescent="0.35">
      <c r="C251" s="103"/>
      <c r="D251" s="292"/>
      <c r="E251" s="292"/>
      <c r="F251" s="3462"/>
      <c r="G251" s="3462"/>
      <c r="H251" s="3462"/>
      <c r="X251" s="133"/>
      <c r="AU251" s="145"/>
    </row>
    <row r="252" spans="1:57" x14ac:dyDescent="0.35">
      <c r="AU252" s="145"/>
    </row>
    <row r="253" spans="1:57" x14ac:dyDescent="0.35">
      <c r="A253" s="3462"/>
      <c r="B253" s="3664" t="s">
        <v>422</v>
      </c>
      <c r="C253" s="3665"/>
      <c r="D253" s="3665"/>
      <c r="E253" s="3665"/>
      <c r="F253" s="3665"/>
      <c r="G253" s="3665"/>
      <c r="H253" s="3665"/>
      <c r="I253" s="3666"/>
      <c r="J253" s="3666"/>
      <c r="K253" s="3666"/>
      <c r="L253" s="3666"/>
      <c r="M253" s="3666"/>
      <c r="N253" s="3666"/>
      <c r="O253" s="3667"/>
      <c r="V253" s="3664" t="str">
        <f>B253</f>
        <v>ENERGY STAR Air Purifier</v>
      </c>
      <c r="W253" s="3665"/>
      <c r="X253" s="3665"/>
      <c r="Y253" s="3665"/>
      <c r="Z253" s="3665"/>
      <c r="AA253" s="3665"/>
      <c r="AB253" s="3665"/>
      <c r="AC253" s="3680"/>
      <c r="AD253" s="3680"/>
      <c r="AE253" s="3680"/>
      <c r="AF253" s="3680"/>
      <c r="AG253" s="3680"/>
      <c r="AH253" s="3680"/>
      <c r="AI253" s="3681"/>
      <c r="AU253" s="145"/>
    </row>
    <row r="254" spans="1:57" x14ac:dyDescent="0.35">
      <c r="AU254" s="145"/>
    </row>
    <row r="255" spans="1:57" ht="29" x14ac:dyDescent="0.35">
      <c r="A255" s="350"/>
      <c r="B255" s="350"/>
      <c r="C255" s="3438" t="s">
        <v>27</v>
      </c>
      <c r="D255" s="3438" t="s">
        <v>174</v>
      </c>
      <c r="E255" s="306" t="s">
        <v>29</v>
      </c>
      <c r="F255" s="3438" t="s">
        <v>30</v>
      </c>
      <c r="G255" s="306" t="s">
        <v>175</v>
      </c>
      <c r="H255" s="306" t="s">
        <v>176</v>
      </c>
      <c r="I255" s="306" t="s">
        <v>31</v>
      </c>
      <c r="J255" s="306" t="s">
        <v>180</v>
      </c>
      <c r="K255" s="306" t="s">
        <v>169</v>
      </c>
      <c r="L255" s="3438" t="s">
        <v>43</v>
      </c>
      <c r="M255" s="3462"/>
      <c r="N255" s="3462"/>
      <c r="V255" s="1572" t="s">
        <v>44</v>
      </c>
      <c r="W255" s="1573">
        <v>43252</v>
      </c>
      <c r="X255" s="1573">
        <f>$X$6</f>
        <v>43465</v>
      </c>
      <c r="Y255" s="1573">
        <f>$Y$6</f>
        <v>43800</v>
      </c>
      <c r="Z255" s="1573">
        <f>$Z$6</f>
        <v>43862</v>
      </c>
      <c r="AA255" s="1573">
        <f>$AA$6</f>
        <v>44013</v>
      </c>
      <c r="AB255" s="1573">
        <f>$AB$6</f>
        <v>44166</v>
      </c>
      <c r="AC255" s="1573">
        <f>$AC$6</f>
        <v>44531</v>
      </c>
      <c r="AD255" s="1573">
        <f>$AD$6</f>
        <v>44774</v>
      </c>
      <c r="AE255" s="1573" t="str">
        <f>$AE$6</f>
        <v>-</v>
      </c>
      <c r="AF255" s="1573" t="str">
        <f>$AF$6</f>
        <v>-</v>
      </c>
      <c r="AG255" s="1573" t="str">
        <f>$AG$6</f>
        <v>-</v>
      </c>
      <c r="AU255" s="145"/>
      <c r="BB255" s="1584" t="str">
        <f>$BB$6</f>
        <v>TRC (2020)</v>
      </c>
      <c r="BC255" s="1584" t="str">
        <f>$BC$6</f>
        <v>Benefit Lookup</v>
      </c>
      <c r="BD255" s="200" t="str">
        <f>$BD$6</f>
        <v>Benefits (2019 $)</v>
      </c>
      <c r="BE255" s="200" t="str">
        <f>$BE$6</f>
        <v>Incremental Cost (2019 $)</v>
      </c>
    </row>
    <row r="256" spans="1:57" x14ac:dyDescent="0.35">
      <c r="C256" s="301" t="s">
        <v>423</v>
      </c>
      <c r="D256" s="3475" t="s">
        <v>182</v>
      </c>
      <c r="E256" s="135" t="s">
        <v>424</v>
      </c>
      <c r="F256" s="202">
        <f>ROUND((F269*((1/F266)-(1/F265))*(F270)+(F268-F267)*(24-F270))*365/1000*F272,2)</f>
        <v>578.86</v>
      </c>
      <c r="G256" s="430" t="s">
        <v>425</v>
      </c>
      <c r="H256" s="136">
        <f>VLOOKUP(G256,'CP FACTORS'!$A$3:$B$38, 2, FALSE)</f>
        <v>4.6608050000000002E-4</v>
      </c>
      <c r="I256" s="204">
        <f>ROUND(H256*F256,6)</f>
        <v>0.26979500000000001</v>
      </c>
      <c r="J256" s="289">
        <f>F273</f>
        <v>9</v>
      </c>
      <c r="K256" s="989">
        <f>F274</f>
        <v>70</v>
      </c>
      <c r="L256" s="3465" t="s">
        <v>184</v>
      </c>
      <c r="N256" s="1213"/>
      <c r="O256" s="1214"/>
      <c r="R256" s="1214"/>
      <c r="V256" s="247" t="s">
        <v>30</v>
      </c>
      <c r="W256" s="71">
        <v>555.64466268041224</v>
      </c>
      <c r="X256" s="71">
        <v>588.78703639406001</v>
      </c>
      <c r="Y256" s="143">
        <v>578.86</v>
      </c>
      <c r="Z256" s="247">
        <v>578.86</v>
      </c>
      <c r="AA256" s="247">
        <v>578.86</v>
      </c>
      <c r="AB256" s="247">
        <v>578.86</v>
      </c>
      <c r="AC256" s="247">
        <v>578.86</v>
      </c>
      <c r="AD256" s="247">
        <v>578.86</v>
      </c>
      <c r="AE256" s="247"/>
      <c r="AF256" s="247"/>
      <c r="AG256" s="247"/>
      <c r="AH256" s="144"/>
      <c r="AU256" s="145"/>
      <c r="BB256" s="146">
        <f>(BD256)/(BE256)</f>
        <v>5.1865926858584146</v>
      </c>
      <c r="BC256" s="277" t="str">
        <f>CONCATENATE(G256," ",J256," Year EUL")</f>
        <v>HVAC RES 9 Year EUL</v>
      </c>
      <c r="BD256" s="147">
        <f>(INDEX('Avoided Cost Benefits'!$E$4:$E$859,MATCH(BC256,'Avoided Cost Benefits'!$A$4:$A$859,0)))*F256</f>
        <v>342.67247570560545</v>
      </c>
      <c r="BE256" s="1587">
        <f>K256/(1.0595^(2020-2019))</f>
        <v>66.068900424728639</v>
      </c>
    </row>
    <row r="257" spans="1:54" hidden="1" outlineLevel="1" x14ac:dyDescent="0.35">
      <c r="E257" s="148"/>
      <c r="F257" s="309"/>
      <c r="G257" s="310"/>
      <c r="I257" s="3462"/>
      <c r="J257" s="3462"/>
      <c r="K257" s="3462"/>
      <c r="W257" s="173"/>
      <c r="X257" s="173"/>
      <c r="AU257" s="145"/>
    </row>
    <row r="258" spans="1:54" s="150" customFormat="1" hidden="1" outlineLevel="1" x14ac:dyDescent="0.35">
      <c r="A258" s="154"/>
      <c r="B258" s="154"/>
      <c r="C258" s="151"/>
      <c r="D258" s="157" t="s">
        <v>107</v>
      </c>
      <c r="E258" s="311"/>
      <c r="F258" s="312"/>
      <c r="G258" s="154"/>
      <c r="H258" s="154"/>
      <c r="I258" s="3462"/>
      <c r="J258" s="3462"/>
      <c r="K258" s="3462"/>
      <c r="L258" s="154"/>
      <c r="M258" s="154"/>
      <c r="N258" s="154"/>
      <c r="O258" s="154"/>
      <c r="P258" s="154"/>
      <c r="Q258" s="154"/>
      <c r="R258" s="154"/>
      <c r="S258" s="154"/>
      <c r="T258" s="154"/>
      <c r="U258" s="154"/>
      <c r="W258" s="313"/>
      <c r="X258" s="313"/>
      <c r="AU258" s="145"/>
      <c r="BB258" s="220"/>
    </row>
    <row r="259" spans="1:54" s="150" customFormat="1" hidden="1" outlineLevel="1" x14ac:dyDescent="0.35">
      <c r="A259" s="154"/>
      <c r="B259" s="154"/>
      <c r="C259" s="151"/>
      <c r="D259" s="314"/>
      <c r="E259" s="311"/>
      <c r="F259" s="312"/>
      <c r="G259" s="154"/>
      <c r="H259" s="154"/>
      <c r="I259" s="3462"/>
      <c r="J259" s="3462"/>
      <c r="K259" s="3462"/>
      <c r="L259" s="154"/>
      <c r="M259" s="154"/>
      <c r="N259" s="154"/>
      <c r="O259" s="154"/>
      <c r="P259" s="154"/>
      <c r="Q259" s="154"/>
      <c r="R259" s="154"/>
      <c r="S259" s="154"/>
      <c r="T259" s="154"/>
      <c r="U259" s="154"/>
      <c r="W259" s="313"/>
      <c r="X259" s="313"/>
      <c r="AU259" s="145"/>
      <c r="BB259" s="220"/>
    </row>
    <row r="260" spans="1:54" s="150" customFormat="1" hidden="1" outlineLevel="1" x14ac:dyDescent="0.35">
      <c r="A260" s="154"/>
      <c r="B260" s="154"/>
      <c r="C260" s="151"/>
      <c r="D260" s="314"/>
      <c r="E260" s="311"/>
      <c r="F260" s="312"/>
      <c r="G260" s="154"/>
      <c r="H260" s="154"/>
      <c r="I260" s="154"/>
      <c r="J260" s="154"/>
      <c r="K260" s="154"/>
      <c r="L260" s="154"/>
      <c r="M260" s="154"/>
      <c r="N260" s="154"/>
      <c r="O260" s="154"/>
      <c r="P260" s="154"/>
      <c r="Q260" s="154"/>
      <c r="R260" s="154"/>
      <c r="S260" s="154"/>
      <c r="T260" s="154"/>
      <c r="U260" s="154"/>
      <c r="W260" s="313"/>
      <c r="X260" s="313"/>
      <c r="AU260" s="145"/>
      <c r="BB260" s="220"/>
    </row>
    <row r="261" spans="1:54" s="150" customFormat="1" hidden="1" outlineLevel="1" x14ac:dyDescent="0.35">
      <c r="A261" s="154"/>
      <c r="B261" s="154"/>
      <c r="C261" s="151"/>
      <c r="D261" s="314"/>
      <c r="E261" s="311"/>
      <c r="F261" s="312"/>
      <c r="G261" s="154"/>
      <c r="H261" s="154"/>
      <c r="I261" s="154"/>
      <c r="J261" s="154"/>
      <c r="K261" s="154"/>
      <c r="L261" s="154"/>
      <c r="M261" s="154"/>
      <c r="N261" s="154"/>
      <c r="O261" s="154"/>
      <c r="P261" s="154"/>
      <c r="Q261" s="154"/>
      <c r="R261" s="154"/>
      <c r="S261" s="154"/>
      <c r="T261" s="154"/>
      <c r="U261" s="154"/>
      <c r="W261" s="313"/>
      <c r="X261" s="313"/>
      <c r="AU261" s="145"/>
      <c r="BB261" s="220"/>
    </row>
    <row r="262" spans="1:54" s="150" customFormat="1" hidden="1" outlineLevel="1" x14ac:dyDescent="0.35">
      <c r="A262" s="154"/>
      <c r="B262" s="154"/>
      <c r="C262" s="151"/>
      <c r="D262" s="314"/>
      <c r="E262" s="311"/>
      <c r="F262" s="312"/>
      <c r="G262" s="154"/>
      <c r="H262" s="154"/>
      <c r="I262" s="154"/>
      <c r="J262" s="154"/>
      <c r="K262" s="154"/>
      <c r="L262" s="154"/>
      <c r="M262" s="154"/>
      <c r="N262" s="154"/>
      <c r="O262" s="154"/>
      <c r="P262" s="154"/>
      <c r="Q262" s="154"/>
      <c r="R262" s="154"/>
      <c r="S262" s="154"/>
      <c r="T262" s="154"/>
      <c r="U262" s="154"/>
      <c r="W262" s="313"/>
      <c r="X262" s="313"/>
      <c r="AU262" s="145"/>
      <c r="BB262" s="220"/>
    </row>
    <row r="263" spans="1:54" s="150" customFormat="1" hidden="1" outlineLevel="1" x14ac:dyDescent="0.35">
      <c r="A263" s="154"/>
      <c r="B263" s="154"/>
      <c r="C263" s="151"/>
      <c r="D263" s="157"/>
      <c r="E263" s="157"/>
      <c r="F263" s="154"/>
      <c r="G263" s="154"/>
      <c r="H263" s="154"/>
      <c r="I263" s="154"/>
      <c r="J263" s="154"/>
      <c r="K263" s="154"/>
      <c r="L263" s="154"/>
      <c r="M263" s="154"/>
      <c r="N263" s="154"/>
      <c r="O263" s="154"/>
      <c r="P263" s="154"/>
      <c r="Q263" s="154"/>
      <c r="R263" s="154"/>
      <c r="S263" s="154"/>
      <c r="T263" s="154"/>
      <c r="U263" s="154"/>
      <c r="W263" s="313"/>
      <c r="X263" s="313"/>
      <c r="AU263" s="145"/>
      <c r="BB263" s="220"/>
    </row>
    <row r="264" spans="1:54" hidden="1" outlineLevel="1" x14ac:dyDescent="0.35">
      <c r="A264" s="350"/>
      <c r="B264" s="350"/>
      <c r="D264" s="3474" t="s">
        <v>108</v>
      </c>
      <c r="E264" s="3474" t="s">
        <v>109</v>
      </c>
      <c r="F264" s="315" t="s">
        <v>111</v>
      </c>
      <c r="G264" s="3741" t="s">
        <v>186</v>
      </c>
      <c r="H264" s="3802"/>
      <c r="L264" s="350"/>
      <c r="M264" s="3462"/>
      <c r="N264" s="3462"/>
      <c r="V264" s="1572" t="s">
        <v>44</v>
      </c>
      <c r="W264" s="316">
        <v>43252</v>
      </c>
      <c r="X264" s="1573">
        <f>$X$6</f>
        <v>43465</v>
      </c>
      <c r="Y264" s="1573">
        <f>$Y$6</f>
        <v>43800</v>
      </c>
      <c r="Z264" s="1573">
        <f>$Z$6</f>
        <v>43862</v>
      </c>
      <c r="AA264" s="1573">
        <f>$AA$6</f>
        <v>44013</v>
      </c>
      <c r="AB264" s="1573">
        <f>$AB$6</f>
        <v>44166</v>
      </c>
      <c r="AC264" s="1573">
        <f>$AC$6</f>
        <v>44531</v>
      </c>
      <c r="AD264" s="1573">
        <f>$AD$6</f>
        <v>44774</v>
      </c>
      <c r="AE264" s="1573" t="str">
        <f>$AE$6</f>
        <v>-</v>
      </c>
      <c r="AF264" s="1573" t="str">
        <f>$AF$6</f>
        <v>-</v>
      </c>
      <c r="AG264" s="1573" t="str">
        <f>$AG$6</f>
        <v>-</v>
      </c>
      <c r="AU264" s="145"/>
    </row>
    <row r="265" spans="1:54" ht="36" hidden="1" customHeight="1" outlineLevel="1" x14ac:dyDescent="0.35">
      <c r="D265" s="3443" t="s">
        <v>426</v>
      </c>
      <c r="E265" s="303" t="s">
        <v>427</v>
      </c>
      <c r="F265" s="317">
        <v>3.0027007072388932</v>
      </c>
      <c r="G265" s="3789" t="s">
        <v>428</v>
      </c>
      <c r="H265" s="3815"/>
      <c r="V265" s="288" t="str">
        <f t="shared" ref="V265:V274" si="21">D265</f>
        <v xml:space="preserve">EffES </v>
      </c>
      <c r="W265" s="317">
        <v>2.91</v>
      </c>
      <c r="X265" s="318">
        <v>3.0238677849037763</v>
      </c>
      <c r="Y265" s="318">
        <v>3.0027007072388932</v>
      </c>
      <c r="Z265" s="317">
        <v>3.0027007072388932</v>
      </c>
      <c r="AA265" s="317">
        <v>3.0027007072388932</v>
      </c>
      <c r="AB265" s="317">
        <v>3.0027007072388932</v>
      </c>
      <c r="AC265" s="317">
        <v>3.0027007072388932</v>
      </c>
      <c r="AD265" s="317">
        <v>3.0027007072388932</v>
      </c>
      <c r="AE265" s="247"/>
      <c r="AF265" s="247"/>
      <c r="AG265" s="247"/>
      <c r="AU265" s="145"/>
    </row>
    <row r="266" spans="1:54" ht="37.5" hidden="1" customHeight="1" outlineLevel="1" x14ac:dyDescent="0.35">
      <c r="D266" s="3443" t="s">
        <v>429</v>
      </c>
      <c r="E266" s="303" t="s">
        <v>430</v>
      </c>
      <c r="F266" s="317">
        <v>1</v>
      </c>
      <c r="G266" s="3786" t="s">
        <v>431</v>
      </c>
      <c r="H266" s="3802"/>
      <c r="V266" s="288" t="str">
        <f t="shared" si="21"/>
        <v>EffBL</v>
      </c>
      <c r="W266" s="317">
        <v>1</v>
      </c>
      <c r="X266" s="319">
        <v>1</v>
      </c>
      <c r="Y266" s="319">
        <v>1</v>
      </c>
      <c r="Z266" s="317">
        <v>1</v>
      </c>
      <c r="AA266" s="317">
        <v>1</v>
      </c>
      <c r="AB266" s="317">
        <v>1</v>
      </c>
      <c r="AC266" s="317">
        <v>1</v>
      </c>
      <c r="AD266" s="317">
        <v>1</v>
      </c>
      <c r="AE266" s="247"/>
      <c r="AF266" s="247"/>
      <c r="AG266" s="247"/>
      <c r="AU266" s="145"/>
    </row>
    <row r="267" spans="1:54" ht="31.5" hidden="1" customHeight="1" outlineLevel="1" x14ac:dyDescent="0.35">
      <c r="D267" s="3443" t="s">
        <v>432</v>
      </c>
      <c r="E267" s="303" t="s">
        <v>433</v>
      </c>
      <c r="F267" s="320">
        <v>0.39132024229062107</v>
      </c>
      <c r="G267" s="3786" t="s">
        <v>428</v>
      </c>
      <c r="H267" s="3802"/>
      <c r="V267" s="288" t="str">
        <f t="shared" si="21"/>
        <v xml:space="preserve">SBES </v>
      </c>
      <c r="W267" s="320">
        <v>0.29299999999999998</v>
      </c>
      <c r="X267" s="321">
        <v>0.3657961405244905</v>
      </c>
      <c r="Y267" s="321">
        <v>0.39132024229062107</v>
      </c>
      <c r="Z267" s="320">
        <v>0.39132024229062107</v>
      </c>
      <c r="AA267" s="320">
        <v>0.39132024229062107</v>
      </c>
      <c r="AB267" s="320">
        <v>0.39132024229062107</v>
      </c>
      <c r="AC267" s="320">
        <v>0.39132024229062107</v>
      </c>
      <c r="AD267" s="320">
        <v>0.39132024229062107</v>
      </c>
      <c r="AE267" s="247"/>
      <c r="AF267" s="247"/>
      <c r="AG267" s="247"/>
      <c r="AU267" s="145"/>
    </row>
    <row r="268" spans="1:54" ht="38.25" hidden="1" customHeight="1" outlineLevel="1" x14ac:dyDescent="0.35">
      <c r="D268" s="3443" t="s">
        <v>434</v>
      </c>
      <c r="E268" s="303" t="s">
        <v>435</v>
      </c>
      <c r="F268" s="317">
        <v>1</v>
      </c>
      <c r="G268" s="3786" t="s">
        <v>431</v>
      </c>
      <c r="H268" s="3802"/>
      <c r="V268" s="288" t="str">
        <f t="shared" si="21"/>
        <v xml:space="preserve">SBBL </v>
      </c>
      <c r="W268" s="317">
        <v>1</v>
      </c>
      <c r="X268" s="319">
        <v>1</v>
      </c>
      <c r="Y268" s="319">
        <v>1</v>
      </c>
      <c r="Z268" s="317">
        <v>1</v>
      </c>
      <c r="AA268" s="317">
        <v>1</v>
      </c>
      <c r="AB268" s="317">
        <v>1</v>
      </c>
      <c r="AC268" s="317">
        <v>1</v>
      </c>
      <c r="AD268" s="317">
        <v>1</v>
      </c>
      <c r="AE268" s="247"/>
      <c r="AF268" s="247"/>
      <c r="AG268" s="247"/>
      <c r="AU268" s="145"/>
    </row>
    <row r="269" spans="1:54" ht="15" hidden="1" customHeight="1" outlineLevel="1" x14ac:dyDescent="0.35">
      <c r="D269" s="3443" t="s">
        <v>436</v>
      </c>
      <c r="E269" s="303" t="s">
        <v>437</v>
      </c>
      <c r="F269" s="317">
        <v>157.56188608132925</v>
      </c>
      <c r="G269" s="3786" t="s">
        <v>428</v>
      </c>
      <c r="H269" s="3802"/>
      <c r="V269" s="288" t="str">
        <f t="shared" si="21"/>
        <v>CADR</v>
      </c>
      <c r="W269" s="317">
        <v>144.41999999999999</v>
      </c>
      <c r="X269" s="318">
        <v>150.16127281696868</v>
      </c>
      <c r="Y269" s="322">
        <v>157.56188608132925</v>
      </c>
      <c r="Z269" s="49">
        <v>157.56188608132925</v>
      </c>
      <c r="AA269" s="49">
        <v>157.56188608132925</v>
      </c>
      <c r="AB269" s="317">
        <v>157.56188608132925</v>
      </c>
      <c r="AC269" s="317">
        <v>157.56188608132925</v>
      </c>
      <c r="AD269" s="317">
        <v>157.56188608132925</v>
      </c>
      <c r="AE269" s="247"/>
      <c r="AF269" s="247"/>
      <c r="AG269" s="247"/>
      <c r="AU269" s="145"/>
    </row>
    <row r="270" spans="1:54" ht="36.75" hidden="1" customHeight="1" outlineLevel="1" x14ac:dyDescent="0.35">
      <c r="D270" s="3443" t="s">
        <v>438</v>
      </c>
      <c r="E270" s="303" t="s">
        <v>439</v>
      </c>
      <c r="F270" s="320">
        <v>16</v>
      </c>
      <c r="G270" s="3786" t="s">
        <v>431</v>
      </c>
      <c r="H270" s="3802"/>
      <c r="V270" s="288" t="str">
        <f t="shared" si="21"/>
        <v>Hroper</v>
      </c>
      <c r="W270" s="317">
        <v>16</v>
      </c>
      <c r="X270" s="319">
        <v>16</v>
      </c>
      <c r="Y270" s="319">
        <v>16</v>
      </c>
      <c r="Z270" s="317">
        <v>16</v>
      </c>
      <c r="AA270" s="317">
        <v>16</v>
      </c>
      <c r="AB270" s="320">
        <v>16</v>
      </c>
      <c r="AC270" s="320">
        <v>16</v>
      </c>
      <c r="AD270" s="320">
        <v>16</v>
      </c>
      <c r="AE270" s="247"/>
      <c r="AF270" s="247"/>
      <c r="AG270" s="247"/>
      <c r="AU270" s="145"/>
    </row>
    <row r="271" spans="1:54" hidden="1" outlineLevel="1" x14ac:dyDescent="0.35">
      <c r="D271" s="3443" t="s">
        <v>440</v>
      </c>
      <c r="E271" s="303" t="s">
        <v>357</v>
      </c>
      <c r="F271" s="320">
        <v>365</v>
      </c>
      <c r="G271" s="3786" t="s">
        <v>431</v>
      </c>
      <c r="H271" s="3802"/>
      <c r="V271" s="288" t="str">
        <f t="shared" si="21"/>
        <v>Days per Year</v>
      </c>
      <c r="W271" s="317">
        <v>365</v>
      </c>
      <c r="X271" s="319">
        <v>365</v>
      </c>
      <c r="Y271" s="319">
        <v>365</v>
      </c>
      <c r="Z271" s="317">
        <v>365</v>
      </c>
      <c r="AA271" s="317">
        <v>365</v>
      </c>
      <c r="AB271" s="320">
        <v>365</v>
      </c>
      <c r="AC271" s="320">
        <v>365</v>
      </c>
      <c r="AD271" s="320">
        <v>365</v>
      </c>
      <c r="AE271" s="247"/>
      <c r="AF271" s="247"/>
      <c r="AG271" s="247"/>
      <c r="AU271" s="145"/>
    </row>
    <row r="272" spans="1:54" hidden="1" outlineLevel="1" x14ac:dyDescent="0.35">
      <c r="D272" s="3443" t="s">
        <v>132</v>
      </c>
      <c r="E272" s="303" t="s">
        <v>251</v>
      </c>
      <c r="F272" s="320">
        <v>0.94047619047619047</v>
      </c>
      <c r="G272" s="3786" t="s">
        <v>441</v>
      </c>
      <c r="H272" s="3802"/>
      <c r="V272" s="288" t="str">
        <f t="shared" si="21"/>
        <v>ISR</v>
      </c>
      <c r="W272" s="74">
        <v>1</v>
      </c>
      <c r="X272" s="323">
        <v>1</v>
      </c>
      <c r="Y272" s="324">
        <v>0.94047619047619047</v>
      </c>
      <c r="Z272" s="74">
        <v>0.94047619047619047</v>
      </c>
      <c r="AA272" s="74">
        <v>0.94047619047619047</v>
      </c>
      <c r="AB272" s="320">
        <v>0.94047619047619047</v>
      </c>
      <c r="AC272" s="320">
        <v>0.94047619047619047</v>
      </c>
      <c r="AD272" s="320">
        <v>0.94047619047619047</v>
      </c>
      <c r="AE272" s="247"/>
      <c r="AF272" s="247"/>
      <c r="AG272" s="247"/>
      <c r="AU272" s="145"/>
    </row>
    <row r="273" spans="1:57" hidden="1" outlineLevel="1" x14ac:dyDescent="0.35">
      <c r="D273" s="271" t="str">
        <f>$D$50</f>
        <v>EUL</v>
      </c>
      <c r="E273" s="271" t="str">
        <f>$E$50</f>
        <v>Effective Useful Life</v>
      </c>
      <c r="F273" s="317">
        <v>9</v>
      </c>
      <c r="G273" s="3786"/>
      <c r="H273" s="3802"/>
      <c r="V273" s="288" t="str">
        <f t="shared" si="21"/>
        <v>EUL</v>
      </c>
      <c r="W273" s="317">
        <v>9</v>
      </c>
      <c r="X273" s="319">
        <v>9</v>
      </c>
      <c r="Y273" s="319">
        <v>9</v>
      </c>
      <c r="Z273" s="317">
        <v>9</v>
      </c>
      <c r="AA273" s="317">
        <v>9</v>
      </c>
      <c r="AB273" s="317">
        <v>9</v>
      </c>
      <c r="AC273" s="317">
        <v>9</v>
      </c>
      <c r="AD273" s="317">
        <v>9</v>
      </c>
      <c r="AE273" s="319"/>
      <c r="AF273" s="319"/>
      <c r="AG273" s="319"/>
      <c r="AU273" s="145"/>
    </row>
    <row r="274" spans="1:57" hidden="1" outlineLevel="1" x14ac:dyDescent="0.35">
      <c r="D274" s="271" t="str">
        <f>$D$51</f>
        <v>Inc. Cost</v>
      </c>
      <c r="E274" s="271" t="str">
        <f>$E$51</f>
        <v>Incremental Cost ($)</v>
      </c>
      <c r="F274" s="325">
        <v>70</v>
      </c>
      <c r="G274" s="3786"/>
      <c r="H274" s="3802"/>
      <c r="V274" s="288" t="str">
        <f t="shared" si="21"/>
        <v>Inc. Cost</v>
      </c>
      <c r="W274" s="325">
        <v>70</v>
      </c>
      <c r="X274" s="308">
        <v>70</v>
      </c>
      <c r="Y274" s="308">
        <v>70</v>
      </c>
      <c r="Z274" s="325">
        <v>70</v>
      </c>
      <c r="AA274" s="325">
        <v>70</v>
      </c>
      <c r="AB274" s="325">
        <v>70</v>
      </c>
      <c r="AC274" s="325">
        <v>70</v>
      </c>
      <c r="AD274" s="325">
        <v>70</v>
      </c>
      <c r="AE274" s="308"/>
      <c r="AF274" s="308"/>
      <c r="AG274" s="308"/>
      <c r="AU274" s="145"/>
    </row>
    <row r="275" spans="1:57" collapsed="1" x14ac:dyDescent="0.35">
      <c r="D275" s="326"/>
      <c r="E275" s="327"/>
      <c r="F275" s="326"/>
      <c r="X275" s="132"/>
      <c r="AU275" s="145"/>
    </row>
    <row r="276" spans="1:57" x14ac:dyDescent="0.35">
      <c r="D276" s="326"/>
      <c r="E276" s="328"/>
      <c r="F276" s="326"/>
      <c r="AU276" s="145"/>
    </row>
    <row r="277" spans="1:57" x14ac:dyDescent="0.35">
      <c r="A277" s="3462"/>
      <c r="B277" s="3664" t="s">
        <v>442</v>
      </c>
      <c r="C277" s="3665"/>
      <c r="D277" s="3665"/>
      <c r="E277" s="3665"/>
      <c r="F277" s="3665"/>
      <c r="G277" s="3665"/>
      <c r="H277" s="3665"/>
      <c r="I277" s="3666"/>
      <c r="J277" s="3666"/>
      <c r="K277" s="3666"/>
      <c r="L277" s="3666"/>
      <c r="M277" s="3666"/>
      <c r="N277" s="3666"/>
      <c r="O277" s="3667"/>
      <c r="V277" s="3664" t="str">
        <f>B277</f>
        <v>ENERGY STAR Dehumidifier</v>
      </c>
      <c r="W277" s="3665"/>
      <c r="X277" s="3665"/>
      <c r="Y277" s="3665"/>
      <c r="Z277" s="3665"/>
      <c r="AA277" s="3665"/>
      <c r="AB277" s="3665"/>
      <c r="AC277" s="3680"/>
      <c r="AD277" s="3680"/>
      <c r="AE277" s="3680"/>
      <c r="AF277" s="3680"/>
      <c r="AG277" s="3680"/>
      <c r="AH277" s="3680"/>
      <c r="AI277" s="3681"/>
      <c r="AU277" s="145"/>
    </row>
    <row r="278" spans="1:57" x14ac:dyDescent="0.35">
      <c r="AU278" s="145"/>
    </row>
    <row r="279" spans="1:57" ht="29" x14ac:dyDescent="0.35">
      <c r="A279" s="3462"/>
      <c r="B279" s="3462"/>
      <c r="C279" s="3438" t="s">
        <v>27</v>
      </c>
      <c r="D279" s="3438" t="s">
        <v>174</v>
      </c>
      <c r="E279" s="3438" t="s">
        <v>29</v>
      </c>
      <c r="F279" s="3438" t="s">
        <v>30</v>
      </c>
      <c r="G279" s="3438" t="s">
        <v>175</v>
      </c>
      <c r="H279" s="3438" t="s">
        <v>176</v>
      </c>
      <c r="I279" s="3438" t="s">
        <v>31</v>
      </c>
      <c r="J279" s="3438" t="s">
        <v>180</v>
      </c>
      <c r="K279" s="3438" t="s">
        <v>169</v>
      </c>
      <c r="L279" s="3438" t="s">
        <v>43</v>
      </c>
      <c r="M279" s="3462"/>
      <c r="N279" s="3462"/>
      <c r="V279" s="1572" t="s">
        <v>44</v>
      </c>
      <c r="W279" s="1573">
        <v>43252</v>
      </c>
      <c r="X279" s="1573">
        <f>$X$6</f>
        <v>43465</v>
      </c>
      <c r="Y279" s="1573">
        <f>$Y$6</f>
        <v>43800</v>
      </c>
      <c r="Z279" s="1573">
        <f>$Z$6</f>
        <v>43862</v>
      </c>
      <c r="AA279" s="1573">
        <f>$AA$6</f>
        <v>44013</v>
      </c>
      <c r="AB279" s="1573">
        <f>$AB$6</f>
        <v>44166</v>
      </c>
      <c r="AC279" s="1573">
        <f>$AC$6</f>
        <v>44531</v>
      </c>
      <c r="AD279" s="1573">
        <f>$AD$6</f>
        <v>44774</v>
      </c>
      <c r="AE279" s="1573" t="str">
        <f>$AE$6</f>
        <v>-</v>
      </c>
      <c r="AF279" s="1573" t="str">
        <f>$AF$6</f>
        <v>-</v>
      </c>
      <c r="AG279" s="1573" t="str">
        <f>$AG$6</f>
        <v>-</v>
      </c>
      <c r="AU279" s="145"/>
      <c r="BB279" s="1584" t="str">
        <f>$BB$6</f>
        <v>TRC (2020)</v>
      </c>
      <c r="BC279" s="1584" t="str">
        <f>$BC$6</f>
        <v>Benefit Lookup</v>
      </c>
      <c r="BD279" s="200" t="str">
        <f>$BD$6</f>
        <v>Benefits (2019 $)</v>
      </c>
      <c r="BE279" s="200" t="str">
        <f>$BE$6</f>
        <v>Incremental Cost (2019 $)</v>
      </c>
    </row>
    <row r="280" spans="1:57" s="298" customFormat="1" x14ac:dyDescent="0.35">
      <c r="A280" s="3456"/>
      <c r="B280" s="3456"/>
      <c r="C280" s="330" t="s">
        <v>443</v>
      </c>
      <c r="D280" s="3475" t="s">
        <v>182</v>
      </c>
      <c r="E280" s="3445" t="s">
        <v>442</v>
      </c>
      <c r="F280" s="202">
        <f>ROUND(G299,2)</f>
        <v>204</v>
      </c>
      <c r="G280" s="330" t="s">
        <v>257</v>
      </c>
      <c r="H280" s="296">
        <f>VLOOKUP(G280,'CP FACTORS'!$A$3:$B$38, 2, FALSE)</f>
        <v>9.4741810000000004E-4</v>
      </c>
      <c r="I280" s="204">
        <f>ROUND(H280*F280,6)</f>
        <v>0.193273</v>
      </c>
      <c r="J280" s="92">
        <f>G300</f>
        <v>12</v>
      </c>
      <c r="K280" s="989">
        <f>G301</f>
        <v>5</v>
      </c>
      <c r="L280" s="3465" t="s">
        <v>184</v>
      </c>
      <c r="M280" s="1222"/>
      <c r="N280" s="1213"/>
      <c r="O280" s="297"/>
      <c r="P280" s="297"/>
      <c r="Q280" s="297"/>
      <c r="R280" s="297"/>
      <c r="S280" s="297"/>
      <c r="T280" s="297"/>
      <c r="U280" s="297"/>
      <c r="V280" s="299" t="s">
        <v>30</v>
      </c>
      <c r="W280" s="331">
        <v>204</v>
      </c>
      <c r="X280" s="331">
        <v>204</v>
      </c>
      <c r="Y280" s="332">
        <v>204</v>
      </c>
      <c r="Z280" s="332">
        <v>204</v>
      </c>
      <c r="AA280" s="332">
        <v>204</v>
      </c>
      <c r="AB280" s="332">
        <v>204</v>
      </c>
      <c r="AC280" s="332">
        <v>204</v>
      </c>
      <c r="AD280" s="332">
        <v>204</v>
      </c>
      <c r="AE280" s="299"/>
      <c r="AF280" s="299"/>
      <c r="AG280" s="299"/>
      <c r="AU280" s="145"/>
      <c r="BB280" s="146">
        <f>(BD280)/(BE280)</f>
        <v>54.312837836387843</v>
      </c>
      <c r="BC280" s="277" t="str">
        <f>CONCATENATE(G280," ",J280," Year EUL")</f>
        <v>Cooling RES 12 Year EUL</v>
      </c>
      <c r="BD280" s="147">
        <f>(INDEX('Avoided Cost Benefits'!$E$4:$E$859,MATCH(BC280,'Avoided Cost Benefits'!$A$4:$A$859,0)))*F280</f>
        <v>256.31353391405304</v>
      </c>
      <c r="BE280" s="1587">
        <f>K280/(1.0595^(2020-2019))</f>
        <v>4.7192071731949028</v>
      </c>
    </row>
    <row r="281" spans="1:57" hidden="1" outlineLevel="1" x14ac:dyDescent="0.35">
      <c r="AU281" s="145"/>
    </row>
    <row r="282" spans="1:57" hidden="1" outlineLevel="1" x14ac:dyDescent="0.35">
      <c r="C282" s="151"/>
      <c r="D282" s="3066" t="s">
        <v>107</v>
      </c>
      <c r="E282" s="157"/>
      <c r="F282" s="154"/>
      <c r="G282" s="154"/>
      <c r="AU282" s="145"/>
    </row>
    <row r="283" spans="1:57" hidden="1" outlineLevel="1" x14ac:dyDescent="0.35">
      <c r="C283" s="151"/>
      <c r="D283" s="3066"/>
      <c r="E283" s="157"/>
      <c r="F283" s="154"/>
      <c r="G283" s="154"/>
      <c r="AU283" s="145"/>
    </row>
    <row r="284" spans="1:57" hidden="1" outlineLevel="1" x14ac:dyDescent="0.35">
      <c r="C284" s="151"/>
      <c r="D284" s="3066"/>
      <c r="E284" s="157"/>
      <c r="F284" s="154"/>
      <c r="G284" s="154"/>
      <c r="AU284" s="145"/>
    </row>
    <row r="285" spans="1:57" hidden="1" outlineLevel="1" x14ac:dyDescent="0.35">
      <c r="AU285" s="145"/>
    </row>
    <row r="286" spans="1:57" ht="15" hidden="1" outlineLevel="1" thickBot="1" x14ac:dyDescent="0.4">
      <c r="D286" s="333" t="s">
        <v>108</v>
      </c>
      <c r="E286" s="334" t="s">
        <v>109</v>
      </c>
      <c r="F286" s="335" t="s">
        <v>185</v>
      </c>
      <c r="G286" s="335" t="s">
        <v>111</v>
      </c>
      <c r="H286" s="3457" t="s">
        <v>397</v>
      </c>
      <c r="M286" s="3462"/>
      <c r="N286" s="3462"/>
      <c r="V286" s="1572" t="s">
        <v>44</v>
      </c>
      <c r="W286" s="1573">
        <v>43252</v>
      </c>
      <c r="X286" s="1573">
        <f>$X$6</f>
        <v>43465</v>
      </c>
      <c r="Y286" s="1573">
        <f>$Y$6</f>
        <v>43800</v>
      </c>
      <c r="Z286" s="1573">
        <f>$Z$6</f>
        <v>43862</v>
      </c>
      <c r="AA286" s="1573">
        <f>$AA$6</f>
        <v>44013</v>
      </c>
      <c r="AB286" s="1573">
        <f>$AB$6</f>
        <v>44166</v>
      </c>
      <c r="AC286" s="1573">
        <f>$AC$6</f>
        <v>44531</v>
      </c>
      <c r="AD286" s="1573">
        <f>$AD$6</f>
        <v>44774</v>
      </c>
      <c r="AE286" s="1573" t="str">
        <f>$AE$6</f>
        <v>-</v>
      </c>
      <c r="AF286" s="1573" t="str">
        <f>$AF$6</f>
        <v>-</v>
      </c>
      <c r="AG286" s="1573" t="str">
        <f>$AG$6</f>
        <v>-</v>
      </c>
      <c r="AU286" s="145"/>
    </row>
    <row r="287" spans="1:57" ht="31.5" hidden="1" customHeight="1" outlineLevel="1" x14ac:dyDescent="0.35">
      <c r="D287" s="3803" t="s">
        <v>444</v>
      </c>
      <c r="E287" s="3806" t="s">
        <v>445</v>
      </c>
      <c r="F287" s="336" t="s">
        <v>446</v>
      </c>
      <c r="G287" s="336">
        <v>322</v>
      </c>
      <c r="H287" s="336" t="s">
        <v>447</v>
      </c>
      <c r="M287" s="342"/>
      <c r="N287" s="342"/>
      <c r="V287" s="3809" t="s">
        <v>448</v>
      </c>
      <c r="W287" s="1987">
        <v>322</v>
      </c>
      <c r="X287" s="1987">
        <v>322</v>
      </c>
      <c r="Y287" s="1987">
        <v>322</v>
      </c>
      <c r="Z287" s="1987">
        <v>322</v>
      </c>
      <c r="AA287" s="1987">
        <v>322</v>
      </c>
      <c r="AB287" s="1987">
        <v>322</v>
      </c>
      <c r="AC287" s="1987">
        <v>322</v>
      </c>
      <c r="AD287" s="1987">
        <v>322</v>
      </c>
      <c r="AE287" s="1987"/>
      <c r="AF287" s="1987"/>
      <c r="AG287" s="1987"/>
      <c r="AU287" s="145"/>
    </row>
    <row r="288" spans="1:57" hidden="1" outlineLevel="1" x14ac:dyDescent="0.35">
      <c r="D288" s="3804"/>
      <c r="E288" s="3807"/>
      <c r="F288" s="3475" t="s">
        <v>449</v>
      </c>
      <c r="G288" s="3475">
        <v>482</v>
      </c>
      <c r="H288" s="3475" t="s">
        <v>447</v>
      </c>
      <c r="M288" s="342"/>
      <c r="N288" s="342"/>
      <c r="V288" s="3810"/>
      <c r="W288" s="419">
        <v>482</v>
      </c>
      <c r="X288" s="419">
        <v>482</v>
      </c>
      <c r="Y288" s="419">
        <v>482</v>
      </c>
      <c r="Z288" s="419">
        <v>482</v>
      </c>
      <c r="AA288" s="419">
        <v>482</v>
      </c>
      <c r="AB288" s="419">
        <v>482</v>
      </c>
      <c r="AC288" s="419">
        <v>482</v>
      </c>
      <c r="AD288" s="419">
        <v>482</v>
      </c>
      <c r="AE288" s="419"/>
      <c r="AF288" s="419"/>
      <c r="AG288" s="419"/>
      <c r="AU288" s="145"/>
    </row>
    <row r="289" spans="2:47" hidden="1" outlineLevel="1" x14ac:dyDescent="0.35">
      <c r="D289" s="3804"/>
      <c r="E289" s="3807"/>
      <c r="F289" s="3475" t="s">
        <v>450</v>
      </c>
      <c r="G289" s="3475">
        <v>643</v>
      </c>
      <c r="H289" s="3475" t="s">
        <v>451</v>
      </c>
      <c r="M289" s="342"/>
      <c r="N289" s="342"/>
      <c r="V289" s="3810"/>
      <c r="W289" s="419">
        <v>643</v>
      </c>
      <c r="X289" s="419">
        <v>643</v>
      </c>
      <c r="Y289" s="419">
        <v>643</v>
      </c>
      <c r="Z289" s="419">
        <v>643</v>
      </c>
      <c r="AA289" s="419">
        <v>643</v>
      </c>
      <c r="AB289" s="419">
        <v>643</v>
      </c>
      <c r="AC289" s="419">
        <v>643</v>
      </c>
      <c r="AD289" s="419">
        <v>643</v>
      </c>
      <c r="AE289" s="419"/>
      <c r="AF289" s="419"/>
      <c r="AG289" s="419"/>
      <c r="AU289" s="145"/>
    </row>
    <row r="290" spans="2:47" hidden="1" outlineLevel="1" x14ac:dyDescent="0.35">
      <c r="D290" s="3804"/>
      <c r="E290" s="3807"/>
      <c r="F290" s="3475" t="s">
        <v>452</v>
      </c>
      <c r="G290" s="3475">
        <v>804</v>
      </c>
      <c r="H290" s="3475" t="s">
        <v>453</v>
      </c>
      <c r="M290" s="342"/>
      <c r="N290" s="342"/>
      <c r="V290" s="3810"/>
      <c r="W290" s="419">
        <v>804</v>
      </c>
      <c r="X290" s="419">
        <v>804</v>
      </c>
      <c r="Y290" s="419">
        <v>804</v>
      </c>
      <c r="Z290" s="419">
        <v>804</v>
      </c>
      <c r="AA290" s="419">
        <v>804</v>
      </c>
      <c r="AB290" s="419">
        <v>804</v>
      </c>
      <c r="AC290" s="419">
        <v>804</v>
      </c>
      <c r="AD290" s="419">
        <v>804</v>
      </c>
      <c r="AE290" s="419"/>
      <c r="AF290" s="419"/>
      <c r="AG290" s="419"/>
      <c r="AU290" s="145"/>
    </row>
    <row r="291" spans="2:47" hidden="1" outlineLevel="1" x14ac:dyDescent="0.35">
      <c r="D291" s="3804"/>
      <c r="E291" s="3807"/>
      <c r="F291" s="3475" t="s">
        <v>454</v>
      </c>
      <c r="G291" s="337">
        <v>1045</v>
      </c>
      <c r="H291" s="3475" t="s">
        <v>455</v>
      </c>
      <c r="M291" s="1227"/>
      <c r="N291" s="1227"/>
      <c r="V291" s="3810"/>
      <c r="W291" s="444">
        <v>1045</v>
      </c>
      <c r="X291" s="444">
        <v>1045</v>
      </c>
      <c r="Y291" s="444">
        <v>1045</v>
      </c>
      <c r="Z291" s="444">
        <v>1045</v>
      </c>
      <c r="AA291" s="444">
        <v>1045</v>
      </c>
      <c r="AB291" s="444">
        <v>1045</v>
      </c>
      <c r="AC291" s="444">
        <v>1045</v>
      </c>
      <c r="AD291" s="444">
        <v>1045</v>
      </c>
      <c r="AE291" s="444"/>
      <c r="AF291" s="444"/>
      <c r="AG291" s="444"/>
      <c r="AU291" s="145"/>
    </row>
    <row r="292" spans="2:47" ht="15" hidden="1" outlineLevel="1" thickBot="1" x14ac:dyDescent="0.4">
      <c r="D292" s="3805"/>
      <c r="E292" s="3808"/>
      <c r="F292" s="3467" t="s">
        <v>456</v>
      </c>
      <c r="G292" s="338">
        <v>1493</v>
      </c>
      <c r="H292" s="3467" t="s">
        <v>457</v>
      </c>
      <c r="M292" s="1227"/>
      <c r="N292" s="1227"/>
      <c r="V292" s="3811"/>
      <c r="W292" s="1988">
        <v>1493</v>
      </c>
      <c r="X292" s="1988">
        <v>1493</v>
      </c>
      <c r="Y292" s="1988">
        <v>1493</v>
      </c>
      <c r="Z292" s="1988">
        <v>1493</v>
      </c>
      <c r="AA292" s="1988">
        <v>1493</v>
      </c>
      <c r="AB292" s="1988">
        <v>1493</v>
      </c>
      <c r="AC292" s="1988">
        <v>1493</v>
      </c>
      <c r="AD292" s="1988">
        <v>1493</v>
      </c>
      <c r="AE292" s="1988"/>
      <c r="AF292" s="1988"/>
      <c r="AG292" s="1988"/>
      <c r="AU292" s="145"/>
    </row>
    <row r="293" spans="2:47" ht="15" hidden="1" customHeight="1" outlineLevel="1" x14ac:dyDescent="0.35">
      <c r="D293" s="3803" t="s">
        <v>448</v>
      </c>
      <c r="E293" s="3806" t="s">
        <v>458</v>
      </c>
      <c r="F293" s="336" t="s">
        <v>446</v>
      </c>
      <c r="G293" s="336">
        <v>477</v>
      </c>
      <c r="H293" s="336" t="s">
        <v>459</v>
      </c>
      <c r="M293" s="342"/>
      <c r="N293" s="342"/>
      <c r="V293" s="3809" t="s">
        <v>444</v>
      </c>
      <c r="W293" s="1989">
        <v>477</v>
      </c>
      <c r="X293" s="1989">
        <v>477</v>
      </c>
      <c r="Y293" s="1989">
        <v>477</v>
      </c>
      <c r="Z293" s="1989">
        <v>477</v>
      </c>
      <c r="AA293" s="1989">
        <v>477</v>
      </c>
      <c r="AB293" s="1989">
        <v>477</v>
      </c>
      <c r="AC293" s="1989">
        <v>477</v>
      </c>
      <c r="AD293" s="1989">
        <v>477</v>
      </c>
      <c r="AE293" s="1989"/>
      <c r="AF293" s="1989"/>
      <c r="AG293" s="1989"/>
      <c r="AU293" s="145"/>
    </row>
    <row r="294" spans="2:47" hidden="1" outlineLevel="1" x14ac:dyDescent="0.35">
      <c r="D294" s="3804"/>
      <c r="E294" s="3807"/>
      <c r="F294" s="3475" t="s">
        <v>449</v>
      </c>
      <c r="G294" s="3475">
        <v>714</v>
      </c>
      <c r="H294" s="3475" t="s">
        <v>459</v>
      </c>
      <c r="M294" s="342"/>
      <c r="N294" s="342"/>
      <c r="V294" s="3810"/>
      <c r="W294" s="1990">
        <v>714</v>
      </c>
      <c r="X294" s="1990">
        <v>714</v>
      </c>
      <c r="Y294" s="1990">
        <v>714</v>
      </c>
      <c r="Z294" s="1990">
        <v>714</v>
      </c>
      <c r="AA294" s="1990">
        <v>714</v>
      </c>
      <c r="AB294" s="1990">
        <v>714</v>
      </c>
      <c r="AC294" s="1990">
        <v>714</v>
      </c>
      <c r="AD294" s="1990">
        <v>714</v>
      </c>
      <c r="AE294" s="1990"/>
      <c r="AF294" s="1990"/>
      <c r="AG294" s="1990"/>
      <c r="AU294" s="145"/>
    </row>
    <row r="295" spans="2:47" hidden="1" outlineLevel="1" x14ac:dyDescent="0.35">
      <c r="D295" s="3804"/>
      <c r="E295" s="3807"/>
      <c r="F295" s="3475" t="s">
        <v>450</v>
      </c>
      <c r="G295" s="3475">
        <v>857</v>
      </c>
      <c r="H295" s="3475" t="s">
        <v>459</v>
      </c>
      <c r="M295" s="342"/>
      <c r="N295" s="342"/>
      <c r="V295" s="3810"/>
      <c r="W295" s="1990">
        <v>857</v>
      </c>
      <c r="X295" s="1990">
        <v>857</v>
      </c>
      <c r="Y295" s="1990">
        <v>857</v>
      </c>
      <c r="Z295" s="1990">
        <v>857</v>
      </c>
      <c r="AA295" s="1990">
        <v>857</v>
      </c>
      <c r="AB295" s="1990">
        <v>857</v>
      </c>
      <c r="AC295" s="1990">
        <v>857</v>
      </c>
      <c r="AD295" s="1990">
        <v>857</v>
      </c>
      <c r="AE295" s="1990"/>
      <c r="AF295" s="1990"/>
      <c r="AG295" s="1990"/>
      <c r="AU295" s="145"/>
    </row>
    <row r="296" spans="2:47" hidden="1" outlineLevel="1" x14ac:dyDescent="0.35">
      <c r="D296" s="3804"/>
      <c r="E296" s="3807"/>
      <c r="F296" s="3475" t="s">
        <v>452</v>
      </c>
      <c r="G296" s="3475">
        <v>1005</v>
      </c>
      <c r="H296" s="3475" t="s">
        <v>459</v>
      </c>
      <c r="M296" s="342"/>
      <c r="N296" s="342"/>
      <c r="V296" s="3810"/>
      <c r="W296" s="1990">
        <v>1005</v>
      </c>
      <c r="X296" s="1990">
        <v>1005</v>
      </c>
      <c r="Y296" s="1990">
        <v>1005</v>
      </c>
      <c r="Z296" s="1990">
        <v>1005</v>
      </c>
      <c r="AA296" s="1990">
        <v>1005</v>
      </c>
      <c r="AB296" s="1990">
        <v>1005</v>
      </c>
      <c r="AC296" s="1990">
        <v>1005</v>
      </c>
      <c r="AD296" s="1990">
        <v>1005</v>
      </c>
      <c r="AE296" s="1990"/>
      <c r="AF296" s="1990"/>
      <c r="AG296" s="1990"/>
      <c r="AU296" s="145"/>
    </row>
    <row r="297" spans="2:47" hidden="1" outlineLevel="1" x14ac:dyDescent="0.35">
      <c r="D297" s="3804"/>
      <c r="E297" s="3807"/>
      <c r="F297" s="3475" t="s">
        <v>454</v>
      </c>
      <c r="G297" s="337">
        <v>1229</v>
      </c>
      <c r="H297" s="3475" t="s">
        <v>459</v>
      </c>
      <c r="M297" s="1227"/>
      <c r="N297" s="1227"/>
      <c r="V297" s="3810"/>
      <c r="W297" s="1991">
        <v>1229</v>
      </c>
      <c r="X297" s="1991">
        <v>1229</v>
      </c>
      <c r="Y297" s="1991">
        <v>1229</v>
      </c>
      <c r="Z297" s="1991">
        <v>1229</v>
      </c>
      <c r="AA297" s="1991">
        <v>1229</v>
      </c>
      <c r="AB297" s="1991">
        <v>1229</v>
      </c>
      <c r="AC297" s="1991">
        <v>1229</v>
      </c>
      <c r="AD297" s="1991">
        <v>1229</v>
      </c>
      <c r="AE297" s="1991"/>
      <c r="AF297" s="1991"/>
      <c r="AG297" s="1991"/>
      <c r="AU297" s="145"/>
    </row>
    <row r="298" spans="2:47" ht="15" hidden="1" outlineLevel="1" thickBot="1" x14ac:dyDescent="0.4">
      <c r="D298" s="3805"/>
      <c r="E298" s="3812"/>
      <c r="F298" s="3464" t="s">
        <v>456</v>
      </c>
      <c r="G298" s="339">
        <v>1672</v>
      </c>
      <c r="H298" s="3464" t="s">
        <v>460</v>
      </c>
      <c r="M298" s="1227"/>
      <c r="N298" s="1227"/>
      <c r="V298" s="3811"/>
      <c r="W298" s="1992">
        <v>1672</v>
      </c>
      <c r="X298" s="1992">
        <v>1672</v>
      </c>
      <c r="Y298" s="1992">
        <v>1672</v>
      </c>
      <c r="Z298" s="1992">
        <v>1672</v>
      </c>
      <c r="AA298" s="1992">
        <v>1672</v>
      </c>
      <c r="AB298" s="1992">
        <v>1672</v>
      </c>
      <c r="AC298" s="1992">
        <v>1672</v>
      </c>
      <c r="AD298" s="1992">
        <v>1672</v>
      </c>
      <c r="AE298" s="1992"/>
      <c r="AF298" s="1992"/>
      <c r="AG298" s="1992"/>
      <c r="AU298" s="145"/>
    </row>
    <row r="299" spans="2:47" ht="29" hidden="1" outlineLevel="1" x14ac:dyDescent="0.35">
      <c r="D299" s="3473" t="s">
        <v>461</v>
      </c>
      <c r="E299" s="3447" t="s">
        <v>462</v>
      </c>
      <c r="F299" s="3468"/>
      <c r="G299" s="3468">
        <v>204</v>
      </c>
      <c r="H299" s="3468"/>
      <c r="M299" s="342"/>
      <c r="N299" s="342"/>
      <c r="V299" s="1957" t="s">
        <v>461</v>
      </c>
      <c r="W299" s="1993">
        <v>204</v>
      </c>
      <c r="X299" s="1993">
        <v>204</v>
      </c>
      <c r="Y299" s="1993">
        <v>204</v>
      </c>
      <c r="Z299" s="1993">
        <v>204</v>
      </c>
      <c r="AA299" s="1993">
        <v>204</v>
      </c>
      <c r="AB299" s="1993">
        <v>204</v>
      </c>
      <c r="AC299" s="1993">
        <v>204</v>
      </c>
      <c r="AD299" s="2983">
        <v>204</v>
      </c>
      <c r="AE299" s="1993"/>
      <c r="AF299" s="1993"/>
      <c r="AG299" s="1993"/>
      <c r="AU299" s="145"/>
    </row>
    <row r="300" spans="2:47" ht="15" hidden="1" customHeight="1" outlineLevel="1" x14ac:dyDescent="0.35">
      <c r="D300" s="3473" t="str">
        <f>$D$50</f>
        <v>EUL</v>
      </c>
      <c r="E300" s="3473" t="str">
        <f>$E$50</f>
        <v>Effective Useful Life</v>
      </c>
      <c r="F300" s="3468" t="s">
        <v>184</v>
      </c>
      <c r="G300" s="340">
        <v>12</v>
      </c>
      <c r="H300" s="3468"/>
      <c r="V300" s="285" t="str">
        <f>D300</f>
        <v>EUL</v>
      </c>
      <c r="W300" s="1984">
        <v>12</v>
      </c>
      <c r="X300" s="1984">
        <v>12</v>
      </c>
      <c r="Y300" s="1984">
        <v>12</v>
      </c>
      <c r="Z300" s="1984">
        <v>12</v>
      </c>
      <c r="AA300" s="1984">
        <v>12</v>
      </c>
      <c r="AB300" s="1984">
        <v>12</v>
      </c>
      <c r="AC300" s="1984">
        <v>12</v>
      </c>
      <c r="AD300" s="1984">
        <v>12</v>
      </c>
      <c r="AE300" s="1984"/>
      <c r="AF300" s="1984"/>
      <c r="AG300" s="1984"/>
      <c r="AU300" s="145"/>
    </row>
    <row r="301" spans="2:47" ht="15" hidden="1" customHeight="1" outlineLevel="1" x14ac:dyDescent="0.35">
      <c r="D301" s="3473" t="str">
        <f>$D$51</f>
        <v>Inc. Cost</v>
      </c>
      <c r="E301" s="3473" t="str">
        <f>$E$51</f>
        <v>Incremental Cost ($)</v>
      </c>
      <c r="F301" s="3468" t="s">
        <v>184</v>
      </c>
      <c r="G301" s="325">
        <v>5</v>
      </c>
      <c r="H301" s="3468"/>
      <c r="V301" s="285" t="str">
        <f>D301</f>
        <v>Inc. Cost</v>
      </c>
      <c r="W301" s="1985">
        <v>5</v>
      </c>
      <c r="X301" s="1985">
        <v>5</v>
      </c>
      <c r="Y301" s="1985">
        <v>5</v>
      </c>
      <c r="Z301" s="1986">
        <v>5</v>
      </c>
      <c r="AA301" s="1986">
        <v>5</v>
      </c>
      <c r="AB301" s="1986">
        <v>5</v>
      </c>
      <c r="AC301" s="1986">
        <v>5</v>
      </c>
      <c r="AD301" s="1986">
        <v>5</v>
      </c>
      <c r="AE301" s="1985"/>
      <c r="AF301" s="1985"/>
      <c r="AG301" s="1985"/>
      <c r="AU301" s="145"/>
    </row>
    <row r="302" spans="2:47" collapsed="1" x14ac:dyDescent="0.35">
      <c r="D302" s="341"/>
      <c r="E302" s="341"/>
      <c r="F302" s="342"/>
      <c r="G302" s="342"/>
      <c r="H302" s="342"/>
      <c r="Y302" s="132" t="s">
        <v>396</v>
      </c>
      <c r="AU302" s="145"/>
    </row>
    <row r="303" spans="2:47" x14ac:dyDescent="0.35">
      <c r="AU303" s="145"/>
    </row>
    <row r="304" spans="2:47" x14ac:dyDescent="0.35">
      <c r="B304" s="3664" t="s">
        <v>463</v>
      </c>
      <c r="C304" s="3665"/>
      <c r="D304" s="3665"/>
      <c r="E304" s="3665"/>
      <c r="F304" s="3665"/>
      <c r="G304" s="3665"/>
      <c r="H304" s="3665"/>
      <c r="I304" s="3666"/>
      <c r="J304" s="3666"/>
      <c r="K304" s="3666"/>
      <c r="L304" s="3666"/>
      <c r="M304" s="3666"/>
      <c r="N304" s="3666"/>
      <c r="O304" s="3667"/>
      <c r="V304" s="3664" t="str">
        <f>B304</f>
        <v>Energy Star Room AC</v>
      </c>
      <c r="W304" s="3665"/>
      <c r="X304" s="3665"/>
      <c r="Y304" s="3665"/>
      <c r="Z304" s="3665"/>
      <c r="AA304" s="3665"/>
      <c r="AB304" s="3665"/>
      <c r="AC304" s="3680"/>
      <c r="AD304" s="3680"/>
      <c r="AE304" s="3680"/>
      <c r="AF304" s="3680"/>
      <c r="AG304" s="3680"/>
      <c r="AH304" s="3680"/>
      <c r="AI304" s="3681"/>
      <c r="AU304" s="145"/>
    </row>
    <row r="305" spans="2:57" x14ac:dyDescent="0.35">
      <c r="B305" s="3462"/>
      <c r="C305" s="103"/>
      <c r="D305" s="292"/>
      <c r="E305" s="292"/>
      <c r="F305" s="3462"/>
      <c r="G305" s="3462"/>
      <c r="H305" s="3462"/>
      <c r="I305" s="3462"/>
      <c r="J305" s="3462"/>
      <c r="K305" s="3462"/>
      <c r="L305" s="3462"/>
      <c r="M305" s="3462"/>
      <c r="N305" s="3462"/>
      <c r="O305" s="3462"/>
      <c r="AU305" s="145"/>
    </row>
    <row r="306" spans="2:57" ht="29" x14ac:dyDescent="0.35">
      <c r="B306" s="350"/>
      <c r="C306" s="3438" t="s">
        <v>27</v>
      </c>
      <c r="D306" s="3438" t="s">
        <v>174</v>
      </c>
      <c r="E306" s="3438" t="s">
        <v>29</v>
      </c>
      <c r="F306" s="3438" t="s">
        <v>30</v>
      </c>
      <c r="G306" s="3438" t="s">
        <v>175</v>
      </c>
      <c r="H306" s="3438" t="s">
        <v>176</v>
      </c>
      <c r="I306" s="3438" t="s">
        <v>31</v>
      </c>
      <c r="J306" s="3438" t="s">
        <v>180</v>
      </c>
      <c r="K306" s="3438" t="s">
        <v>169</v>
      </c>
      <c r="L306" s="3438" t="s">
        <v>43</v>
      </c>
      <c r="M306" s="3462"/>
      <c r="N306" s="3462"/>
      <c r="O306" s="350"/>
      <c r="V306" s="1572" t="s">
        <v>44</v>
      </c>
      <c r="W306" s="1573">
        <v>43252</v>
      </c>
      <c r="X306" s="1573">
        <f>$X$6</f>
        <v>43465</v>
      </c>
      <c r="Y306" s="1573">
        <f>$Y$6</f>
        <v>43800</v>
      </c>
      <c r="Z306" s="1573">
        <f>$Z$6</f>
        <v>43862</v>
      </c>
      <c r="AA306" s="1573">
        <f>$AA$6</f>
        <v>44013</v>
      </c>
      <c r="AB306" s="1573">
        <f>$AB$6</f>
        <v>44166</v>
      </c>
      <c r="AC306" s="1573">
        <f>$AC$6</f>
        <v>44531</v>
      </c>
      <c r="AD306" s="1573">
        <f>$AD$6</f>
        <v>44774</v>
      </c>
      <c r="AE306" s="1573" t="str">
        <f>$AE$6</f>
        <v>-</v>
      </c>
      <c r="AF306" s="1573" t="str">
        <f>$AF$6</f>
        <v>-</v>
      </c>
      <c r="AG306" s="1573" t="str">
        <f>$AG$6</f>
        <v>-</v>
      </c>
      <c r="AU306" s="145"/>
      <c r="BB306" s="1584" t="str">
        <f>$BB$6</f>
        <v>TRC (2020)</v>
      </c>
      <c r="BC306" s="1584" t="str">
        <f>$BC$6</f>
        <v>Benefit Lookup</v>
      </c>
      <c r="BD306" s="200" t="str">
        <f>$BD$6</f>
        <v>Benefits (2019 $)</v>
      </c>
      <c r="BE306" s="200" t="str">
        <f>$BE$6</f>
        <v>Incremental Cost (2019 $)</v>
      </c>
    </row>
    <row r="307" spans="2:57" x14ac:dyDescent="0.35">
      <c r="C307" s="301" t="s">
        <v>464</v>
      </c>
      <c r="D307" s="3475" t="s">
        <v>182</v>
      </c>
      <c r="E307" s="135" t="s">
        <v>465</v>
      </c>
      <c r="F307" s="343">
        <f>ROUND((F322*F318*(1/F319-1/F320)/1000)*F325,2)</f>
        <v>49.46</v>
      </c>
      <c r="G307" s="3465" t="s">
        <v>257</v>
      </c>
      <c r="H307" s="136">
        <f>VLOOKUP(G307,'CP FACTORS'!$A$3:$B$38, 2, FALSE)</f>
        <v>9.4741810000000004E-4</v>
      </c>
      <c r="I307" s="204">
        <f>ROUND(H307*F307,6)</f>
        <v>4.6858999999999998E-2</v>
      </c>
      <c r="J307" s="289">
        <f>$F$326</f>
        <v>9</v>
      </c>
      <c r="K307" s="989">
        <f>$F$327</f>
        <v>20</v>
      </c>
      <c r="L307" s="2129" t="s">
        <v>184</v>
      </c>
      <c r="N307" s="1213"/>
      <c r="O307" s="963"/>
      <c r="R307" s="1214"/>
      <c r="V307" s="247" t="s">
        <v>30</v>
      </c>
      <c r="W307" s="345">
        <v>39.971901865754226</v>
      </c>
      <c r="X307" s="289">
        <v>48.514633185797841</v>
      </c>
      <c r="Y307" s="346">
        <v>49.46</v>
      </c>
      <c r="Z307" s="1738">
        <v>49.46</v>
      </c>
      <c r="AA307" s="1738">
        <v>49.46</v>
      </c>
      <c r="AB307" s="1738">
        <v>49.46</v>
      </c>
      <c r="AC307" s="1738">
        <v>49.46</v>
      </c>
      <c r="AD307" s="1738">
        <v>49.46</v>
      </c>
      <c r="AE307" s="247"/>
      <c r="AF307" s="247"/>
      <c r="AG307" s="247"/>
      <c r="AH307" s="144"/>
      <c r="AU307" s="145"/>
      <c r="BB307" s="209">
        <f>(BD307)/(BE307)</f>
        <v>2.514576174743322</v>
      </c>
      <c r="BC307" s="201" t="str">
        <f>CONCATENATE(G307," ",J307," Year EUL")</f>
        <v>Cooling RES 9 Year EUL</v>
      </c>
      <c r="BD307" s="95">
        <f>(INDEX('Avoided Cost Benefits'!$E$4:$E$859,MATCH(BC307,'Avoided Cost Benefits'!$A$4:$A$859,0)))*F307</f>
        <v>47.467223685574737</v>
      </c>
      <c r="BE307" s="1579">
        <f>K307/(1.0595^(2020-2019))</f>
        <v>18.876828692779611</v>
      </c>
    </row>
    <row r="308" spans="2:57" x14ac:dyDescent="0.35">
      <c r="C308" s="301" t="s">
        <v>466</v>
      </c>
      <c r="D308" s="3475" t="s">
        <v>182</v>
      </c>
      <c r="E308" s="135" t="s">
        <v>467</v>
      </c>
      <c r="F308" s="343">
        <f>ROUND((F322*F318*(1/F319-1/F320)/1000),2)</f>
        <v>50.74</v>
      </c>
      <c r="G308" s="3465" t="s">
        <v>257</v>
      </c>
      <c r="H308" s="136">
        <f>VLOOKUP(G308,'CP FACTORS'!$A$3:$B$38, 2, FALSE)</f>
        <v>9.4741810000000004E-4</v>
      </c>
      <c r="I308" s="204">
        <f>ROUND(H308*F308,6)</f>
        <v>4.8071999999999997E-2</v>
      </c>
      <c r="J308" s="289">
        <f>$F$326</f>
        <v>9</v>
      </c>
      <c r="K308" s="989">
        <f>$F$327</f>
        <v>20</v>
      </c>
      <c r="L308" s="2129" t="s">
        <v>184</v>
      </c>
      <c r="N308" s="1213"/>
      <c r="O308" s="963"/>
      <c r="R308" s="1214"/>
      <c r="V308" s="247" t="s">
        <v>30</v>
      </c>
      <c r="W308" s="345">
        <v>40.971199412398086</v>
      </c>
      <c r="X308" s="289">
        <v>49.727499015442788</v>
      </c>
      <c r="Y308" s="346">
        <v>50.74</v>
      </c>
      <c r="Z308" s="1738">
        <v>50.74</v>
      </c>
      <c r="AA308" s="1738">
        <v>50.74</v>
      </c>
      <c r="AB308" s="1738">
        <v>50.74</v>
      </c>
      <c r="AC308" s="1738">
        <v>50.74</v>
      </c>
      <c r="AD308" s="1738">
        <v>50.74</v>
      </c>
      <c r="AE308" s="247"/>
      <c r="AF308" s="247"/>
      <c r="AG308" s="247"/>
      <c r="AH308" s="144"/>
      <c r="AU308" s="145"/>
      <c r="BB308" s="276">
        <f>(BD308)/(BE308)</f>
        <v>2.5796521452987498</v>
      </c>
      <c r="BC308" s="277" t="str">
        <f>CONCATENATE(G308," ",J308," Year EUL")</f>
        <v>Cooling RES 9 Year EUL</v>
      </c>
      <c r="BD308" s="102">
        <f>(INDEX('Avoided Cost Benefits'!$E$4:$E$859,MATCH(BC308,'Avoided Cost Benefits'!$A$4:$A$859,0)))*F308</f>
        <v>48.69565163376592</v>
      </c>
      <c r="BE308" s="1582">
        <f>K308/(1.0595^(2020-2019))</f>
        <v>18.876828692779611</v>
      </c>
    </row>
    <row r="309" spans="2:57" hidden="1" outlineLevel="1" x14ac:dyDescent="0.35">
      <c r="B309" s="350"/>
      <c r="D309" s="157"/>
      <c r="E309" s="347"/>
      <c r="F309" s="348"/>
      <c r="I309" s="3462"/>
      <c r="J309" s="3462"/>
      <c r="K309" s="3462"/>
      <c r="M309" s="350"/>
      <c r="N309" s="350"/>
      <c r="O309" s="350"/>
      <c r="AU309" s="145"/>
    </row>
    <row r="310" spans="2:57" hidden="1" outlineLevel="1" x14ac:dyDescent="0.35">
      <c r="B310" s="350"/>
      <c r="D310" s="152" t="s">
        <v>107</v>
      </c>
      <c r="E310" s="349"/>
      <c r="F310" s="154"/>
      <c r="H310" s="350"/>
      <c r="I310" s="3462"/>
      <c r="J310" s="3462"/>
      <c r="K310" s="3462"/>
      <c r="M310" s="350"/>
      <c r="N310" s="350"/>
      <c r="O310" s="350"/>
      <c r="AU310" s="145"/>
    </row>
    <row r="311" spans="2:57" hidden="1" outlineLevel="1" x14ac:dyDescent="0.35">
      <c r="B311" s="350"/>
      <c r="D311" s="157"/>
      <c r="E311" s="351"/>
      <c r="F311" s="154"/>
      <c r="H311" s="350"/>
      <c r="I311" s="3462"/>
      <c r="J311" s="3462"/>
      <c r="K311" s="3462"/>
      <c r="M311" s="350"/>
      <c r="N311" s="350"/>
      <c r="O311" s="350"/>
      <c r="AU311" s="145"/>
    </row>
    <row r="312" spans="2:57" hidden="1" outlineLevel="1" x14ac:dyDescent="0.35">
      <c r="B312" s="350"/>
      <c r="D312" s="157"/>
      <c r="E312" s="157"/>
      <c r="F312" s="154"/>
      <c r="H312" s="350"/>
      <c r="I312" s="3462"/>
      <c r="J312" s="3462"/>
      <c r="K312" s="3462"/>
      <c r="M312" s="350"/>
      <c r="N312" s="350"/>
      <c r="O312" s="350"/>
      <c r="AU312" s="145"/>
    </row>
    <row r="313" spans="2:57" hidden="1" outlineLevel="1" x14ac:dyDescent="0.35">
      <c r="B313" s="350"/>
      <c r="D313" s="157"/>
      <c r="E313" s="157"/>
      <c r="F313" s="154"/>
      <c r="H313" s="350"/>
      <c r="I313" s="3462"/>
      <c r="J313" s="3462"/>
      <c r="K313" s="3462"/>
      <c r="M313" s="350"/>
      <c r="N313" s="350"/>
      <c r="O313" s="350"/>
      <c r="AU313" s="145"/>
    </row>
    <row r="314" spans="2:57" hidden="1" outlineLevel="1" x14ac:dyDescent="0.35">
      <c r="B314" s="350"/>
      <c r="D314" s="157"/>
      <c r="E314" s="157"/>
      <c r="F314" s="154"/>
      <c r="H314" s="3462"/>
      <c r="I314" s="3462"/>
      <c r="J314" s="3462"/>
      <c r="K314" s="3462"/>
      <c r="M314" s="350"/>
      <c r="N314" s="350"/>
      <c r="O314" s="350"/>
      <c r="AU314" s="145"/>
    </row>
    <row r="315" spans="2:57" hidden="1" outlineLevel="1" x14ac:dyDescent="0.35">
      <c r="B315" s="350"/>
      <c r="D315" s="157"/>
      <c r="E315" s="157"/>
      <c r="F315" s="154"/>
      <c r="H315" s="350"/>
      <c r="M315" s="350"/>
      <c r="N315" s="350"/>
      <c r="O315" s="350"/>
      <c r="AU315" s="145"/>
    </row>
    <row r="316" spans="2:57" hidden="1" outlineLevel="1" x14ac:dyDescent="0.35">
      <c r="B316" s="350"/>
      <c r="D316" s="157"/>
      <c r="E316" s="157"/>
      <c r="F316" s="154"/>
      <c r="M316" s="350"/>
      <c r="N316" s="350"/>
      <c r="O316" s="350"/>
      <c r="V316" s="1572" t="s">
        <v>44</v>
      </c>
      <c r="W316" s="1573">
        <v>43252</v>
      </c>
      <c r="X316" s="1573">
        <f>$X$6</f>
        <v>43465</v>
      </c>
      <c r="Y316" s="1573">
        <f>$Y$6</f>
        <v>43800</v>
      </c>
      <c r="Z316" s="1573">
        <f>$Z$6</f>
        <v>43862</v>
      </c>
      <c r="AA316" s="1573">
        <f>$AA$6</f>
        <v>44013</v>
      </c>
      <c r="AB316" s="1573">
        <f>$AB$6</f>
        <v>44166</v>
      </c>
      <c r="AC316" s="1573">
        <f>$AC$6</f>
        <v>44531</v>
      </c>
      <c r="AD316" s="1573">
        <f>$AD$6</f>
        <v>44774</v>
      </c>
      <c r="AE316" s="1573" t="str">
        <f>$AE$6</f>
        <v>-</v>
      </c>
      <c r="AF316" s="1573" t="str">
        <f>$AF$6</f>
        <v>-</v>
      </c>
      <c r="AG316" s="1573" t="str">
        <f>$AG$6</f>
        <v>-</v>
      </c>
      <c r="AU316" s="145"/>
    </row>
    <row r="317" spans="2:57" hidden="1" outlineLevel="1" x14ac:dyDescent="0.35">
      <c r="B317" s="350"/>
      <c r="D317" s="3474" t="s">
        <v>109</v>
      </c>
      <c r="E317" s="3438" t="s">
        <v>468</v>
      </c>
      <c r="F317" s="3474" t="s">
        <v>469</v>
      </c>
      <c r="G317" s="3741" t="s">
        <v>397</v>
      </c>
      <c r="H317" s="3813"/>
      <c r="I317" s="3813"/>
      <c r="M317" s="3462"/>
      <c r="N317" s="3462"/>
      <c r="O317" s="350"/>
      <c r="V317" s="43"/>
      <c r="W317" s="44" t="s">
        <v>470</v>
      </c>
      <c r="X317" s="44" t="s">
        <v>470</v>
      </c>
      <c r="Y317" s="44" t="s">
        <v>470</v>
      </c>
      <c r="Z317" s="44" t="s">
        <v>470</v>
      </c>
      <c r="AA317" s="44" t="s">
        <v>470</v>
      </c>
      <c r="AB317" s="44" t="s">
        <v>470</v>
      </c>
      <c r="AC317" s="44" t="s">
        <v>470</v>
      </c>
      <c r="AD317" s="44" t="s">
        <v>470</v>
      </c>
      <c r="AE317" s="44" t="s">
        <v>470</v>
      </c>
      <c r="AF317" s="44" t="s">
        <v>470</v>
      </c>
      <c r="AG317" s="44" t="s">
        <v>470</v>
      </c>
      <c r="AU317" s="145"/>
    </row>
    <row r="318" spans="2:57" hidden="1" outlineLevel="1" x14ac:dyDescent="0.35">
      <c r="B318" s="350"/>
      <c r="D318" s="3443" t="s">
        <v>471</v>
      </c>
      <c r="E318" s="3443" t="s">
        <v>472</v>
      </c>
      <c r="F318" s="284">
        <v>10328.926572223787</v>
      </c>
      <c r="G318" s="3801"/>
      <c r="H318" s="3802"/>
      <c r="I318" s="3802"/>
      <c r="O318" s="350"/>
      <c r="V318" s="288" t="s">
        <v>471</v>
      </c>
      <c r="W318" s="286">
        <v>9558.22711471611</v>
      </c>
      <c r="X318" s="352">
        <v>10322.173207292981</v>
      </c>
      <c r="Y318" s="352">
        <v>10328.926572223787</v>
      </c>
      <c r="Z318" s="284">
        <v>10328.926572223787</v>
      </c>
      <c r="AA318" s="284">
        <v>10328.926572223787</v>
      </c>
      <c r="AB318" s="284">
        <v>10328.926572223787</v>
      </c>
      <c r="AC318" s="284">
        <v>10328.926572223787</v>
      </c>
      <c r="AD318" s="284">
        <v>10328.926572223787</v>
      </c>
      <c r="AE318" s="247"/>
      <c r="AF318" s="247"/>
      <c r="AG318" s="247"/>
      <c r="AU318" s="145"/>
    </row>
    <row r="319" spans="2:57" ht="16.5" hidden="1" outlineLevel="1" x14ac:dyDescent="0.35">
      <c r="B319" s="350"/>
      <c r="D319" s="3443" t="s">
        <v>473</v>
      </c>
      <c r="E319" s="3443" t="s">
        <v>474</v>
      </c>
      <c r="F319" s="284">
        <v>10.826666666666537</v>
      </c>
      <c r="G319" s="3801"/>
      <c r="H319" s="3802"/>
      <c r="I319" s="3802"/>
      <c r="O319" s="350"/>
      <c r="V319" s="288" t="s">
        <v>475</v>
      </c>
      <c r="W319" s="286">
        <v>10.9</v>
      </c>
      <c r="X319" s="352">
        <v>10.833666904931999</v>
      </c>
      <c r="Y319" s="352">
        <v>10.826666666666537</v>
      </c>
      <c r="Z319" s="284">
        <v>10.826666666666537</v>
      </c>
      <c r="AA319" s="284">
        <v>10.826666666666537</v>
      </c>
      <c r="AB319" s="284">
        <v>10.826666666666537</v>
      </c>
      <c r="AC319" s="284">
        <v>10.826666666666537</v>
      </c>
      <c r="AD319" s="284">
        <v>10.826666666666537</v>
      </c>
      <c r="AE319" s="247"/>
      <c r="AF319" s="247"/>
      <c r="AG319" s="247"/>
      <c r="AU319" s="145"/>
    </row>
    <row r="320" spans="2:57" ht="46.5" hidden="1" customHeight="1" outlineLevel="1" x14ac:dyDescent="0.35">
      <c r="B320" s="350"/>
      <c r="D320" s="3443" t="s">
        <v>476</v>
      </c>
      <c r="E320" s="3443" t="s">
        <v>477</v>
      </c>
      <c r="F320" s="353">
        <v>11.971947099252425</v>
      </c>
      <c r="G320" s="3801"/>
      <c r="H320" s="3802"/>
      <c r="I320" s="3802"/>
      <c r="O320" s="350"/>
      <c r="V320" s="288" t="s">
        <v>478</v>
      </c>
      <c r="W320" s="286">
        <v>11.9</v>
      </c>
      <c r="X320" s="352">
        <v>11.955972333179155</v>
      </c>
      <c r="Y320" s="352">
        <v>11.971947099252425</v>
      </c>
      <c r="Z320" s="284">
        <v>11.971947099252425</v>
      </c>
      <c r="AA320" s="284">
        <v>11.971947099252425</v>
      </c>
      <c r="AB320" s="284">
        <v>11.971947099252425</v>
      </c>
      <c r="AC320" s="284">
        <v>11.971947099252425</v>
      </c>
      <c r="AD320" s="284">
        <v>11.971947099252425</v>
      </c>
      <c r="AE320" s="247"/>
      <c r="AF320" s="247"/>
      <c r="AG320" s="247"/>
      <c r="AU320" s="145"/>
    </row>
    <row r="321" spans="1:57" ht="46.5" hidden="1" customHeight="1" outlineLevel="1" x14ac:dyDescent="0.35">
      <c r="B321" s="350"/>
      <c r="D321" s="3443" t="s">
        <v>479</v>
      </c>
      <c r="E321" s="3443"/>
      <c r="F321" s="353" t="s">
        <v>480</v>
      </c>
      <c r="G321" s="3801"/>
      <c r="H321" s="3802"/>
      <c r="I321" s="3802"/>
      <c r="O321" s="350"/>
      <c r="V321" s="288" t="s">
        <v>481</v>
      </c>
      <c r="W321" s="286"/>
      <c r="X321" s="354"/>
      <c r="Y321" s="354"/>
      <c r="Z321" s="284"/>
      <c r="AA321" s="284"/>
      <c r="AB321" s="284"/>
      <c r="AC321" s="284"/>
      <c r="AD321" s="284"/>
      <c r="AE321" s="247"/>
      <c r="AF321" s="247"/>
      <c r="AG321" s="247"/>
      <c r="AU321" s="145"/>
    </row>
    <row r="322" spans="1:57" ht="45" hidden="1" customHeight="1" outlineLevel="1" x14ac:dyDescent="0.35">
      <c r="B322" s="1228"/>
      <c r="C322" s="355"/>
      <c r="D322" s="3443" t="s">
        <v>482</v>
      </c>
      <c r="E322" s="3443" t="s">
        <v>483</v>
      </c>
      <c r="F322" s="284">
        <v>556</v>
      </c>
      <c r="G322" s="3801"/>
      <c r="H322" s="3802"/>
      <c r="I322" s="3802"/>
      <c r="O322" s="1228"/>
      <c r="V322" s="288" t="s">
        <v>484</v>
      </c>
      <c r="W322" s="356">
        <v>556</v>
      </c>
      <c r="X322" s="356">
        <v>556</v>
      </c>
      <c r="Y322" s="356">
        <v>556</v>
      </c>
      <c r="Z322" s="284">
        <v>556</v>
      </c>
      <c r="AA322" s="284">
        <v>556</v>
      </c>
      <c r="AB322" s="284">
        <v>556</v>
      </c>
      <c r="AC322" s="284">
        <v>556</v>
      </c>
      <c r="AD322" s="284">
        <v>556</v>
      </c>
      <c r="AE322" s="247"/>
      <c r="AF322" s="247"/>
      <c r="AG322" s="247"/>
      <c r="AU322" s="145"/>
    </row>
    <row r="323" spans="1:57" ht="30" hidden="1" customHeight="1" outlineLevel="1" x14ac:dyDescent="0.35">
      <c r="B323" s="1228"/>
      <c r="C323" s="355"/>
      <c r="D323" s="3443" t="s">
        <v>485</v>
      </c>
      <c r="E323" s="3443" t="s">
        <v>486</v>
      </c>
      <c r="F323" s="284">
        <v>860</v>
      </c>
      <c r="G323" s="3801"/>
      <c r="H323" s="3802"/>
      <c r="I323" s="3802"/>
      <c r="O323" s="1228"/>
      <c r="V323" s="288" t="s">
        <v>487</v>
      </c>
      <c r="W323" s="356">
        <v>860</v>
      </c>
      <c r="X323" s="356">
        <v>860</v>
      </c>
      <c r="Y323" s="356">
        <v>860</v>
      </c>
      <c r="Z323" s="284">
        <v>860</v>
      </c>
      <c r="AA323" s="284">
        <v>860</v>
      </c>
      <c r="AB323" s="284">
        <v>860</v>
      </c>
      <c r="AC323" s="284">
        <v>860</v>
      </c>
      <c r="AD323" s="284">
        <v>860</v>
      </c>
      <c r="AE323" s="247"/>
      <c r="AF323" s="247"/>
      <c r="AG323" s="247"/>
      <c r="AU323" s="145"/>
    </row>
    <row r="324" spans="1:57" ht="30" hidden="1" customHeight="1" outlineLevel="1" x14ac:dyDescent="0.35">
      <c r="B324" s="1228"/>
      <c r="C324" s="355"/>
      <c r="D324" s="3443" t="s">
        <v>488</v>
      </c>
      <c r="E324" s="3443" t="s">
        <v>489</v>
      </c>
      <c r="F324" s="284">
        <v>1000</v>
      </c>
      <c r="G324" s="3801"/>
      <c r="H324" s="3802"/>
      <c r="I324" s="3802"/>
      <c r="O324" s="1228"/>
      <c r="V324" s="288" t="s">
        <v>488</v>
      </c>
      <c r="W324" s="286">
        <v>1000</v>
      </c>
      <c r="X324" s="286">
        <v>1000</v>
      </c>
      <c r="Y324" s="286">
        <v>1000</v>
      </c>
      <c r="Z324" s="284">
        <v>1000</v>
      </c>
      <c r="AA324" s="284">
        <v>1000</v>
      </c>
      <c r="AB324" s="284">
        <v>1000</v>
      </c>
      <c r="AC324" s="284">
        <v>1000</v>
      </c>
      <c r="AD324" s="284">
        <v>1000</v>
      </c>
      <c r="AE324" s="247"/>
      <c r="AF324" s="247"/>
      <c r="AG324" s="247"/>
      <c r="AU324" s="145"/>
    </row>
    <row r="325" spans="1:57" ht="30" hidden="1" customHeight="1" outlineLevel="1" thickBot="1" x14ac:dyDescent="0.4">
      <c r="B325" s="1228"/>
      <c r="C325" s="355"/>
      <c r="D325" s="3443" t="s">
        <v>251</v>
      </c>
      <c r="E325" s="3443" t="s">
        <v>490</v>
      </c>
      <c r="F325" s="287">
        <v>0.97468354430379744</v>
      </c>
      <c r="G325" s="3801"/>
      <c r="H325" s="3802"/>
      <c r="I325" s="3802"/>
      <c r="O325" s="1228"/>
      <c r="V325" s="357" t="s">
        <v>251</v>
      </c>
      <c r="W325" s="358">
        <v>0.97560975609756095</v>
      </c>
      <c r="X325" s="358">
        <v>0.97560975609756095</v>
      </c>
      <c r="Y325" s="359">
        <v>0.97468354430379744</v>
      </c>
      <c r="Z325" s="1003">
        <v>0.97468354430379744</v>
      </c>
      <c r="AA325" s="1003">
        <v>0.97468354430379744</v>
      </c>
      <c r="AB325" s="1003">
        <v>0.97468354430379744</v>
      </c>
      <c r="AC325" s="1003">
        <v>0.97468354430379744</v>
      </c>
      <c r="AD325" s="1003">
        <v>0.97468354430379744</v>
      </c>
      <c r="AE325" s="360"/>
      <c r="AF325" s="360"/>
      <c r="AG325" s="360"/>
      <c r="AU325" s="145"/>
    </row>
    <row r="326" spans="1:57" ht="15" hidden="1" customHeight="1" outlineLevel="1" x14ac:dyDescent="0.35">
      <c r="D326" s="271" t="str">
        <f>$D$50</f>
        <v>EUL</v>
      </c>
      <c r="E326" s="271"/>
      <c r="F326" s="3471">
        <v>9</v>
      </c>
      <c r="G326" s="3801" t="s">
        <v>184</v>
      </c>
      <c r="H326" s="3802"/>
      <c r="I326" s="3802"/>
      <c r="V326" s="361" t="str">
        <f>D326</f>
        <v>EUL</v>
      </c>
      <c r="W326" s="362">
        <v>9</v>
      </c>
      <c r="X326" s="362">
        <v>9</v>
      </c>
      <c r="Y326" s="362">
        <v>10</v>
      </c>
      <c r="Z326" s="1004">
        <v>10</v>
      </c>
      <c r="AA326" s="1004">
        <v>10</v>
      </c>
      <c r="AB326" s="1004">
        <v>10</v>
      </c>
      <c r="AC326" s="1004">
        <v>10</v>
      </c>
      <c r="AD326" s="1004">
        <v>10</v>
      </c>
      <c r="AE326" s="362"/>
      <c r="AF326" s="362"/>
      <c r="AG326" s="362"/>
      <c r="AU326" s="145"/>
    </row>
    <row r="327" spans="1:57" ht="15" hidden="1" customHeight="1" outlineLevel="1" x14ac:dyDescent="0.35">
      <c r="D327" s="271" t="str">
        <f>$D$51</f>
        <v>Inc. Cost</v>
      </c>
      <c r="E327" s="271"/>
      <c r="F327" s="3472">
        <v>20</v>
      </c>
      <c r="G327" s="3801" t="s">
        <v>184</v>
      </c>
      <c r="H327" s="3802"/>
      <c r="I327" s="3802"/>
      <c r="V327" s="288" t="str">
        <f>D327</f>
        <v>Inc. Cost</v>
      </c>
      <c r="W327" s="308">
        <v>20</v>
      </c>
      <c r="X327" s="308">
        <v>20</v>
      </c>
      <c r="Y327" s="308">
        <v>20</v>
      </c>
      <c r="Z327" s="325">
        <v>20</v>
      </c>
      <c r="AA327" s="325">
        <v>20</v>
      </c>
      <c r="AB327" s="325">
        <v>20</v>
      </c>
      <c r="AC327" s="325">
        <v>20</v>
      </c>
      <c r="AD327" s="325">
        <v>20</v>
      </c>
      <c r="AE327" s="308"/>
      <c r="AF327" s="308"/>
      <c r="AG327" s="308"/>
      <c r="AU327" s="145"/>
    </row>
    <row r="328" spans="1:57" collapsed="1" x14ac:dyDescent="0.35">
      <c r="D328" s="363"/>
      <c r="E328" s="363"/>
      <c r="F328" s="364"/>
      <c r="G328" s="365"/>
      <c r="AU328" s="145"/>
    </row>
    <row r="329" spans="1:57" s="196" customFormat="1" ht="15" customHeight="1" x14ac:dyDescent="0.35">
      <c r="A329" s="199"/>
      <c r="B329" s="132"/>
      <c r="C329" s="197"/>
      <c r="D329" s="217"/>
      <c r="E329" s="217"/>
      <c r="F329" s="199"/>
      <c r="G329" s="199"/>
      <c r="H329" s="199"/>
      <c r="I329" s="199"/>
      <c r="J329" s="199"/>
      <c r="K329" s="199"/>
      <c r="L329" s="199"/>
      <c r="M329" s="199"/>
      <c r="N329" s="199"/>
      <c r="O329" s="199"/>
      <c r="P329" s="199"/>
      <c r="Q329" s="199"/>
      <c r="R329" s="199"/>
      <c r="S329" s="199"/>
      <c r="T329" s="199"/>
      <c r="U329" s="199"/>
      <c r="Y329" s="528"/>
      <c r="AK329" s="732"/>
      <c r="BB329" s="726"/>
    </row>
    <row r="330" spans="1:57" s="196" customFormat="1" x14ac:dyDescent="0.35">
      <c r="A330" s="199"/>
      <c r="B330" s="3664" t="s">
        <v>4444</v>
      </c>
      <c r="C330" s="3665"/>
      <c r="D330" s="3665"/>
      <c r="E330" s="3665"/>
      <c r="F330" s="3665"/>
      <c r="G330" s="3665"/>
      <c r="H330" s="3665"/>
      <c r="I330" s="3666"/>
      <c r="J330" s="3666"/>
      <c r="K330" s="3666"/>
      <c r="L330" s="3666"/>
      <c r="M330" s="3666"/>
      <c r="N330" s="3666"/>
      <c r="O330" s="3666"/>
      <c r="P330" s="3666"/>
      <c r="Q330" s="3666"/>
      <c r="R330" s="3667"/>
      <c r="S330" s="199"/>
      <c r="T330" s="199"/>
      <c r="U330" s="199"/>
      <c r="V330" s="3664" t="str">
        <f>B330</f>
        <v xml:space="preserve">Low Flow Handheld Showerheads </v>
      </c>
      <c r="W330" s="3665"/>
      <c r="X330" s="3665"/>
      <c r="Y330" s="3665"/>
      <c r="Z330" s="3665"/>
      <c r="AA330" s="3665"/>
      <c r="AB330" s="3665"/>
      <c r="AC330" s="3680"/>
      <c r="AD330" s="3680"/>
      <c r="AE330" s="3680"/>
      <c r="AF330" s="3680"/>
      <c r="AG330" s="3680"/>
      <c r="AH330" s="3680"/>
      <c r="AI330" s="3681"/>
      <c r="AK330" s="732"/>
      <c r="BB330" s="726"/>
    </row>
    <row r="331" spans="1:57" s="196" customFormat="1" x14ac:dyDescent="0.35">
      <c r="A331" s="199"/>
      <c r="B331" s="132"/>
      <c r="C331" s="871"/>
      <c r="D331" s="367"/>
      <c r="E331" s="367"/>
      <c r="F331" s="198"/>
      <c r="G331" s="198"/>
      <c r="H331" s="198"/>
      <c r="I331" s="198"/>
      <c r="J331" s="198"/>
      <c r="K331" s="198"/>
      <c r="L331" s="1219"/>
      <c r="M331" s="199"/>
      <c r="N331" s="199"/>
      <c r="O331" s="199"/>
      <c r="P331" s="199"/>
      <c r="Q331" s="199"/>
      <c r="R331" s="199"/>
      <c r="S331" s="199"/>
      <c r="T331" s="199"/>
      <c r="U331" s="199"/>
      <c r="Y331" s="528"/>
      <c r="AK331" s="732"/>
      <c r="BB331" s="726"/>
    </row>
    <row r="332" spans="1:57" s="196" customFormat="1" ht="49.5" customHeight="1" x14ac:dyDescent="0.35">
      <c r="A332" s="199"/>
      <c r="B332" s="132"/>
      <c r="C332" s="3438" t="s">
        <v>27</v>
      </c>
      <c r="D332" s="3438" t="s">
        <v>174</v>
      </c>
      <c r="E332" s="3438" t="s">
        <v>29</v>
      </c>
      <c r="F332" s="3438" t="s">
        <v>1670</v>
      </c>
      <c r="G332" s="3438" t="s">
        <v>175</v>
      </c>
      <c r="H332" s="3438" t="s">
        <v>176</v>
      </c>
      <c r="I332" s="3438" t="s">
        <v>588</v>
      </c>
      <c r="J332" s="3438" t="s">
        <v>31</v>
      </c>
      <c r="K332" s="3438" t="s">
        <v>180</v>
      </c>
      <c r="L332" s="3438" t="s">
        <v>169</v>
      </c>
      <c r="M332" s="3438" t="s">
        <v>43</v>
      </c>
      <c r="N332" s="199"/>
      <c r="O332" s="199"/>
      <c r="P332" s="199"/>
      <c r="Q332" s="199"/>
      <c r="R332" s="199"/>
      <c r="S332" s="199"/>
      <c r="T332" s="199"/>
      <c r="U332" s="199"/>
      <c r="V332" s="1572" t="s">
        <v>44</v>
      </c>
      <c r="W332" s="1573">
        <f>W$6</f>
        <v>43252</v>
      </c>
      <c r="X332" s="1573">
        <f t="shared" ref="X332:AG332" si="22">X$6</f>
        <v>43465</v>
      </c>
      <c r="Y332" s="316">
        <f t="shared" si="22"/>
        <v>43800</v>
      </c>
      <c r="Z332" s="1573">
        <f t="shared" si="22"/>
        <v>43862</v>
      </c>
      <c r="AA332" s="1573">
        <f t="shared" si="22"/>
        <v>44013</v>
      </c>
      <c r="AB332" s="1573">
        <f t="shared" si="22"/>
        <v>44166</v>
      </c>
      <c r="AC332" s="1573">
        <f t="shared" si="22"/>
        <v>44531</v>
      </c>
      <c r="AD332" s="1573">
        <f t="shared" si="22"/>
        <v>44774</v>
      </c>
      <c r="AE332" s="1573" t="str">
        <f t="shared" si="22"/>
        <v>-</v>
      </c>
      <c r="AF332" s="1573" t="str">
        <f t="shared" si="22"/>
        <v>-</v>
      </c>
      <c r="AG332" s="1573" t="str">
        <f t="shared" si="22"/>
        <v>-</v>
      </c>
      <c r="AK332" s="732"/>
      <c r="BB332" s="2501" t="str">
        <f>$BB$6</f>
        <v>TRC (2020)</v>
      </c>
      <c r="BC332" s="3287" t="str">
        <f>$BC$6</f>
        <v>Benefit Lookup</v>
      </c>
      <c r="BD332" s="3288" t="str">
        <f>$BD$6</f>
        <v>Benefits (2019 $)</v>
      </c>
      <c r="BE332" s="3289" t="str">
        <f>$BE$6</f>
        <v>Incremental Cost (2019 $)</v>
      </c>
    </row>
    <row r="333" spans="1:57" s="196" customFormat="1" x14ac:dyDescent="0.35">
      <c r="A333" s="3112"/>
      <c r="B333" s="132"/>
      <c r="C333" s="3624" t="s">
        <v>4432</v>
      </c>
      <c r="D333" s="1311" t="s">
        <v>182</v>
      </c>
      <c r="E333" s="3625" t="s">
        <v>4431</v>
      </c>
      <c r="F333" s="981">
        <f>ROUND(G344*(G345*G346-G347*G348)*G349*G351*G352/G353*I333*G362*G361,2)</f>
        <v>86.9</v>
      </c>
      <c r="G333" s="3624" t="s">
        <v>1830</v>
      </c>
      <c r="H333" s="393">
        <f>VLOOKUP(G333,'CP FACTORS'!$A$3:$B$38, 2, FALSE)</f>
        <v>8.8731800000000003E-5</v>
      </c>
      <c r="I333" s="3626">
        <f>G355*G356*(G357-G358)/(G359*G360)</f>
        <v>0.10886576787807739</v>
      </c>
      <c r="J333" s="3627">
        <f>ROUND(F333*H333,6)</f>
        <v>7.711E-3</v>
      </c>
      <c r="K333" s="3628">
        <f>$G$364</f>
        <v>10</v>
      </c>
      <c r="L333" s="1845">
        <f>G365</f>
        <v>15.02</v>
      </c>
      <c r="M333" s="3624" t="s">
        <v>184</v>
      </c>
      <c r="N333" s="199"/>
      <c r="O333" s="199"/>
      <c r="P333" s="199"/>
      <c r="Q333" s="199"/>
      <c r="R333" s="211"/>
      <c r="S333" s="1394"/>
      <c r="T333" s="199"/>
      <c r="U333" s="199"/>
      <c r="V333" s="1590" t="s">
        <v>1670</v>
      </c>
      <c r="W333" s="142"/>
      <c r="X333" s="730"/>
      <c r="Y333" s="478"/>
      <c r="Z333" s="52"/>
      <c r="AA333" s="52"/>
      <c r="AB333" s="52"/>
      <c r="AC333" s="490"/>
      <c r="AD333" s="490">
        <v>86.9</v>
      </c>
      <c r="AE333" s="3482"/>
      <c r="AF333" s="3482"/>
      <c r="AG333" s="3482"/>
      <c r="AH333" s="144"/>
      <c r="AK333" s="732"/>
      <c r="BB333" s="816">
        <f>(BD333)/(BE333)</f>
        <v>2.0679544654347048</v>
      </c>
      <c r="BC333" s="2528" t="str">
        <f>CONCATENATE(G333," ",K333," Year EUL")</f>
        <v>Water heating RES 10 Year EUL</v>
      </c>
      <c r="BD333" s="3285">
        <f>(INDEX('Avoided Cost Benefits'!$E$4:$E$859,MATCH(BC333,'Avoided Cost Benefits'!$A$4:$A$859,0)))*F333</f>
        <v>29.316353063548149</v>
      </c>
      <c r="BE333" s="3286">
        <f>L333/(1.0595^(2020-2019))</f>
        <v>14.176498348277487</v>
      </c>
    </row>
    <row r="334" spans="1:57" s="196" customFormat="1" x14ac:dyDescent="0.35">
      <c r="A334" s="3112"/>
      <c r="B334" s="132"/>
      <c r="C334" s="3460" t="s">
        <v>4433</v>
      </c>
      <c r="D334" s="3460" t="s">
        <v>182</v>
      </c>
      <c r="E334" s="3458" t="s">
        <v>4430</v>
      </c>
      <c r="F334" s="896">
        <f>ROUND(G344*(G345*G346-G347*G348)*G350*G351*G352/G354*I334*G363*G361,2)</f>
        <v>98.65</v>
      </c>
      <c r="G334" s="3460" t="s">
        <v>1830</v>
      </c>
      <c r="H334" s="136">
        <f>VLOOKUP(G334,'CP FACTORS'!$A$3:$B$38, 2, FALSE)</f>
        <v>8.8731800000000003E-5</v>
      </c>
      <c r="I334" s="1338">
        <f>G355*G356*(G357-G358)/(G359*G360)</f>
        <v>0.10886576787807739</v>
      </c>
      <c r="J334" s="1360">
        <f>ROUND(F334*H334,6)</f>
        <v>8.7530000000000004E-3</v>
      </c>
      <c r="K334" s="124">
        <f>$G$364</f>
        <v>10</v>
      </c>
      <c r="L334" s="387">
        <f>G365</f>
        <v>15.02</v>
      </c>
      <c r="M334" s="3460" t="s">
        <v>184</v>
      </c>
      <c r="N334" s="3112"/>
      <c r="O334" s="3112"/>
      <c r="P334" s="3112"/>
      <c r="Q334" s="3112"/>
      <c r="R334" s="211"/>
      <c r="S334" s="199"/>
      <c r="T334" s="199"/>
      <c r="U334" s="199"/>
      <c r="V334" s="1590" t="s">
        <v>1670</v>
      </c>
      <c r="W334" s="142"/>
      <c r="X334" s="730"/>
      <c r="Y334" s="478"/>
      <c r="Z334" s="52"/>
      <c r="AA334" s="52"/>
      <c r="AB334" s="52"/>
      <c r="AC334" s="868"/>
      <c r="AD334" s="868">
        <v>98.65</v>
      </c>
      <c r="AE334" s="3482"/>
      <c r="AF334" s="3482"/>
      <c r="AG334" s="3482"/>
      <c r="AH334" s="144"/>
      <c r="AK334" s="732"/>
      <c r="BB334" s="816">
        <f>(BD334)/(BE334)</f>
        <v>2.3475685617391675</v>
      </c>
      <c r="BC334" s="2528" t="str">
        <f>CONCATENATE(G334," ",K334," Year EUL")</f>
        <v>Water heating RES 10 Year EUL</v>
      </c>
      <c r="BD334" s="3285">
        <f>(INDEX('Avoided Cost Benefits'!$E$4:$E$859,MATCH(BC334,'Avoided Cost Benefits'!$A$4:$A$859,0)))*F334</f>
        <v>33.280301837963464</v>
      </c>
      <c r="BE334" s="3286">
        <f>L334/(1.0595^(2020-2019))</f>
        <v>14.176498348277487</v>
      </c>
    </row>
    <row r="335" spans="1:57" s="196" customFormat="1" hidden="1" outlineLevel="1" x14ac:dyDescent="0.35">
      <c r="A335" s="199"/>
      <c r="B335" s="132"/>
      <c r="C335" s="197"/>
      <c r="D335" s="1021"/>
      <c r="E335" s="1021"/>
      <c r="F335" s="1395"/>
      <c r="G335" s="790"/>
      <c r="H335" s="1385"/>
      <c r="I335" s="861"/>
      <c r="J335" s="861"/>
      <c r="K335" s="258"/>
      <c r="L335" s="199"/>
      <c r="M335" s="862"/>
      <c r="N335" s="199"/>
      <c r="O335" s="199"/>
      <c r="P335" s="199"/>
      <c r="Q335" s="199"/>
      <c r="R335" s="199"/>
      <c r="S335" s="199"/>
      <c r="T335" s="199"/>
      <c r="U335" s="199"/>
      <c r="V335"/>
      <c r="W335"/>
      <c r="X335"/>
      <c r="Y335" s="87"/>
      <c r="Z335"/>
      <c r="AA335"/>
      <c r="AB335"/>
      <c r="AC335"/>
      <c r="AD335"/>
      <c r="AE335"/>
      <c r="AF335"/>
      <c r="AG335"/>
      <c r="AK335" s="732"/>
      <c r="BB335" s="726"/>
    </row>
    <row r="336" spans="1:57" s="196" customFormat="1" hidden="1" outlineLevel="1" x14ac:dyDescent="0.35">
      <c r="A336" s="199"/>
      <c r="B336" s="132"/>
      <c r="C336" s="197"/>
      <c r="D336" s="1021"/>
      <c r="E336" s="1021"/>
      <c r="F336" s="1395"/>
      <c r="G336" s="790"/>
      <c r="H336" s="1385"/>
      <c r="I336" s="861"/>
      <c r="J336" s="861"/>
      <c r="K336" s="258"/>
      <c r="L336" s="199"/>
      <c r="M336" s="862"/>
      <c r="N336" s="199"/>
      <c r="O336" s="199"/>
      <c r="P336" s="199"/>
      <c r="Q336" s="199"/>
      <c r="R336" s="199"/>
      <c r="S336" s="199"/>
      <c r="T336" s="199"/>
      <c r="U336" s="199"/>
      <c r="V336"/>
      <c r="W336"/>
      <c r="X336"/>
      <c r="Y336" s="87"/>
      <c r="Z336"/>
      <c r="AA336"/>
      <c r="AB336"/>
      <c r="AC336"/>
      <c r="AD336"/>
      <c r="AE336"/>
      <c r="AF336"/>
      <c r="AG336"/>
      <c r="AK336" s="732"/>
      <c r="BB336" s="726"/>
    </row>
    <row r="337" spans="1:54" s="196" customFormat="1" hidden="1" outlineLevel="1" x14ac:dyDescent="0.35">
      <c r="A337" s="199"/>
      <c r="B337" s="132"/>
      <c r="C337" s="197"/>
      <c r="D337" s="152" t="s">
        <v>107</v>
      </c>
      <c r="E337" s="1021"/>
      <c r="F337" s="862"/>
      <c r="G337" s="862"/>
      <c r="H337" s="862"/>
      <c r="I337" s="862"/>
      <c r="J337" s="862"/>
      <c r="K337" s="199"/>
      <c r="L337" s="199"/>
      <c r="M337" s="862"/>
      <c r="N337" s="199"/>
      <c r="O337" s="199"/>
      <c r="P337" s="199"/>
      <c r="Q337" s="199"/>
      <c r="R337" s="199"/>
      <c r="S337" s="199"/>
      <c r="T337" s="199"/>
      <c r="U337" s="199"/>
      <c r="V337"/>
      <c r="W337"/>
      <c r="X337"/>
      <c r="Y337" s="87"/>
      <c r="Z337"/>
      <c r="AA337"/>
      <c r="AB337"/>
      <c r="AC337"/>
      <c r="AD337"/>
      <c r="AE337"/>
      <c r="AF337"/>
      <c r="AG337"/>
      <c r="AK337" s="732"/>
      <c r="BB337" s="726"/>
    </row>
    <row r="338" spans="1:54" s="196" customFormat="1" hidden="1" outlineLevel="1" x14ac:dyDescent="0.35">
      <c r="A338" s="199"/>
      <c r="B338" s="132"/>
      <c r="C338" s="221"/>
      <c r="D338" s="1386"/>
      <c r="E338" s="1387"/>
      <c r="F338" s="1396"/>
      <c r="G338" s="862"/>
      <c r="H338" s="862"/>
      <c r="I338" s="862"/>
      <c r="J338" s="862"/>
      <c r="K338" s="199"/>
      <c r="L338" s="199"/>
      <c r="M338" s="199"/>
      <c r="N338" s="199"/>
      <c r="O338" s="199"/>
      <c r="P338" s="199"/>
      <c r="Q338" s="199"/>
      <c r="R338" s="199"/>
      <c r="S338" s="199"/>
      <c r="T338" s="199"/>
      <c r="U338" s="199"/>
      <c r="V338"/>
      <c r="W338"/>
      <c r="X338"/>
      <c r="Y338" s="87"/>
      <c r="Z338"/>
      <c r="AA338"/>
      <c r="AB338"/>
      <c r="AC338"/>
      <c r="AD338"/>
      <c r="AE338"/>
      <c r="AF338"/>
      <c r="AG338"/>
      <c r="AK338" s="732"/>
      <c r="BB338" s="726"/>
    </row>
    <row r="339" spans="1:54" s="196" customFormat="1" hidden="1" outlineLevel="1" x14ac:dyDescent="0.35">
      <c r="A339" s="199"/>
      <c r="B339" s="132"/>
      <c r="C339" s="234"/>
      <c r="D339" s="1388"/>
      <c r="E339" s="1389"/>
      <c r="F339" s="1397"/>
      <c r="G339" s="862"/>
      <c r="H339" s="862"/>
      <c r="I339" s="862"/>
      <c r="J339" s="862"/>
      <c r="K339" s="199"/>
      <c r="L339" s="199"/>
      <c r="M339" s="199"/>
      <c r="N339" s="199"/>
      <c r="O339" s="199"/>
      <c r="P339" s="199"/>
      <c r="Q339" s="199"/>
      <c r="R339" s="199"/>
      <c r="S339" s="199"/>
      <c r="T339" s="199"/>
      <c r="U339" s="199"/>
      <c r="V339"/>
      <c r="W339"/>
      <c r="X339"/>
      <c r="Y339" s="87"/>
      <c r="Z339"/>
      <c r="AA339"/>
      <c r="AB339"/>
      <c r="AC339"/>
      <c r="AD339"/>
      <c r="AE339"/>
      <c r="AF339"/>
      <c r="AG339"/>
      <c r="AK339" s="732"/>
      <c r="BB339" s="726"/>
    </row>
    <row r="340" spans="1:54" s="196" customFormat="1" hidden="1" outlineLevel="1" x14ac:dyDescent="0.35">
      <c r="A340" s="199"/>
      <c r="B340" s="132"/>
      <c r="C340" s="234"/>
      <c r="D340" s="1388"/>
      <c r="E340" s="1389"/>
      <c r="F340" s="1397"/>
      <c r="G340" s="862"/>
      <c r="H340" s="862"/>
      <c r="I340" s="862"/>
      <c r="J340" s="862"/>
      <c r="K340" s="199"/>
      <c r="L340" s="199"/>
      <c r="M340" s="199"/>
      <c r="N340" s="199"/>
      <c r="O340" s="199"/>
      <c r="P340" s="199"/>
      <c r="Q340" s="199"/>
      <c r="R340" s="199"/>
      <c r="S340" s="199"/>
      <c r="T340" s="199"/>
      <c r="U340" s="199"/>
      <c r="V340"/>
      <c r="W340"/>
      <c r="X340"/>
      <c r="Y340" s="87"/>
      <c r="Z340"/>
      <c r="AA340"/>
      <c r="AB340"/>
      <c r="AC340"/>
      <c r="AD340"/>
      <c r="AE340"/>
      <c r="AF340"/>
      <c r="AG340"/>
      <c r="AK340" s="732"/>
      <c r="BB340" s="726"/>
    </row>
    <row r="341" spans="1:54" s="196" customFormat="1" ht="15" hidden="1" customHeight="1" outlineLevel="1" x14ac:dyDescent="0.35">
      <c r="A341" s="199"/>
      <c r="B341" s="132"/>
      <c r="C341" s="234"/>
      <c r="D341" s="1333"/>
      <c r="E341" s="1334"/>
      <c r="F341" s="745"/>
      <c r="G341" s="199"/>
      <c r="H341" s="199"/>
      <c r="I341" s="199"/>
      <c r="J341" s="199"/>
      <c r="K341" s="199"/>
      <c r="L341" s="199"/>
      <c r="M341" s="199"/>
      <c r="N341" s="199"/>
      <c r="O341" s="199"/>
      <c r="P341" s="199"/>
      <c r="Q341" s="199"/>
      <c r="R341" s="199"/>
      <c r="S341" s="199"/>
      <c r="T341" s="199"/>
      <c r="U341" s="199"/>
      <c r="V341"/>
      <c r="W341"/>
      <c r="X341"/>
      <c r="Y341" s="87"/>
      <c r="Z341"/>
      <c r="AA341"/>
      <c r="AB341"/>
      <c r="AC341"/>
      <c r="AD341"/>
      <c r="AE341"/>
      <c r="AF341"/>
      <c r="AG341"/>
      <c r="AK341" s="732"/>
      <c r="BB341" s="726"/>
    </row>
    <row r="342" spans="1:54" s="196" customFormat="1" ht="15" hidden="1" customHeight="1" outlineLevel="1" x14ac:dyDescent="0.35">
      <c r="A342" s="199"/>
      <c r="B342" s="132"/>
      <c r="C342" s="197"/>
      <c r="D342" s="217"/>
      <c r="E342" s="217"/>
      <c r="F342" s="199"/>
      <c r="G342" s="199"/>
      <c r="H342" s="199"/>
      <c r="I342" s="199"/>
      <c r="J342" s="199"/>
      <c r="K342" s="199"/>
      <c r="L342" s="199"/>
      <c r="M342" s="199"/>
      <c r="N342" s="199"/>
      <c r="O342" s="199"/>
      <c r="P342" s="199"/>
      <c r="Q342" s="199"/>
      <c r="R342" s="199"/>
      <c r="S342" s="199"/>
      <c r="T342" s="199"/>
      <c r="U342" s="199"/>
      <c r="V342"/>
      <c r="W342"/>
      <c r="X342"/>
      <c r="Y342" s="87"/>
      <c r="Z342"/>
      <c r="AA342"/>
      <c r="AB342"/>
      <c r="AC342"/>
      <c r="AD342"/>
      <c r="AE342"/>
      <c r="AF342"/>
      <c r="AG342"/>
      <c r="AK342" s="732"/>
      <c r="BB342" s="726"/>
    </row>
    <row r="343" spans="1:54" s="196" customFormat="1" ht="15" hidden="1" customHeight="1" outlineLevel="1" x14ac:dyDescent="0.35">
      <c r="A343" s="199"/>
      <c r="B343" s="132"/>
      <c r="C343" s="197"/>
      <c r="D343" s="3474" t="s">
        <v>108</v>
      </c>
      <c r="E343" s="3474" t="s">
        <v>109</v>
      </c>
      <c r="F343" s="3438" t="s">
        <v>1834</v>
      </c>
      <c r="G343" s="3450" t="s">
        <v>111</v>
      </c>
      <c r="H343" s="3741" t="s">
        <v>186</v>
      </c>
      <c r="I343" s="3741"/>
      <c r="J343" s="3741" t="s">
        <v>112</v>
      </c>
      <c r="K343" s="3741"/>
      <c r="L343" s="3741"/>
      <c r="M343" s="199"/>
      <c r="N343" s="199"/>
      <c r="O343" s="199"/>
      <c r="P343" s="199"/>
      <c r="Q343" s="199"/>
      <c r="R343" s="199"/>
      <c r="S343" s="199"/>
      <c r="T343" s="199"/>
      <c r="U343" s="199"/>
      <c r="V343" s="1572" t="s">
        <v>44</v>
      </c>
      <c r="W343" s="1573">
        <f>W$6</f>
        <v>43252</v>
      </c>
      <c r="X343" s="1573">
        <f t="shared" ref="X343:AG343" si="23">X$6</f>
        <v>43465</v>
      </c>
      <c r="Y343" s="316">
        <f t="shared" si="23"/>
        <v>43800</v>
      </c>
      <c r="Z343" s="1573">
        <f t="shared" si="23"/>
        <v>43862</v>
      </c>
      <c r="AA343" s="1573">
        <f t="shared" si="23"/>
        <v>44013</v>
      </c>
      <c r="AB343" s="1573">
        <f t="shared" si="23"/>
        <v>44166</v>
      </c>
      <c r="AC343" s="1573">
        <f t="shared" si="23"/>
        <v>44531</v>
      </c>
      <c r="AD343" s="1573">
        <f t="shared" si="23"/>
        <v>44774</v>
      </c>
      <c r="AE343" s="1573" t="str">
        <f t="shared" si="23"/>
        <v>-</v>
      </c>
      <c r="AF343" s="1573" t="str">
        <f t="shared" si="23"/>
        <v>-</v>
      </c>
      <c r="AG343" s="1573" t="str">
        <f t="shared" si="23"/>
        <v>-</v>
      </c>
      <c r="AK343" s="732"/>
      <c r="BB343" s="726"/>
    </row>
    <row r="344" spans="1:54" s="196" customFormat="1" ht="30" hidden="1" customHeight="1" outlineLevel="1" x14ac:dyDescent="0.35">
      <c r="A344" s="199"/>
      <c r="B344" s="132"/>
      <c r="C344" s="197"/>
      <c r="D344" s="3454" t="s">
        <v>596</v>
      </c>
      <c r="E344" s="3454" t="s">
        <v>597</v>
      </c>
      <c r="F344" s="3454"/>
      <c r="G344" s="425">
        <v>0.42</v>
      </c>
      <c r="H344" s="3734" t="s">
        <v>679</v>
      </c>
      <c r="I344" s="3734"/>
      <c r="J344" s="3742" t="s">
        <v>4445</v>
      </c>
      <c r="K344" s="3743"/>
      <c r="L344" s="3744"/>
      <c r="M344" s="199"/>
      <c r="N344" s="199"/>
      <c r="O344" s="199"/>
      <c r="P344" s="199"/>
      <c r="Q344" s="199"/>
      <c r="R344" s="199"/>
      <c r="S344" s="873"/>
      <c r="T344" s="199"/>
      <c r="U344" s="199"/>
      <c r="V344" s="3479" t="s">
        <v>596</v>
      </c>
      <c r="W344" s="3483"/>
      <c r="X344" s="3483"/>
      <c r="Y344" s="3483"/>
      <c r="Z344" s="425"/>
      <c r="AA344" s="425"/>
      <c r="AB344" s="425"/>
      <c r="AC344" s="425"/>
      <c r="AD344" s="428">
        <v>0.42</v>
      </c>
      <c r="AE344" s="425"/>
      <c r="AF344" s="425"/>
      <c r="AG344" s="425"/>
      <c r="AK344" s="732"/>
      <c r="BB344" s="726"/>
    </row>
    <row r="345" spans="1:54" s="196" customFormat="1" ht="51.75" hidden="1" customHeight="1" outlineLevel="1" x14ac:dyDescent="0.35">
      <c r="A345" s="199"/>
      <c r="B345" s="132"/>
      <c r="C345" s="197"/>
      <c r="D345" s="3454" t="s">
        <v>601</v>
      </c>
      <c r="E345" s="3454" t="s">
        <v>669</v>
      </c>
      <c r="F345" s="3454"/>
      <c r="G345" s="89">
        <v>2.35</v>
      </c>
      <c r="H345" s="3734" t="s">
        <v>679</v>
      </c>
      <c r="I345" s="3734"/>
      <c r="J345" s="3728" t="s">
        <v>4436</v>
      </c>
      <c r="K345" s="3728"/>
      <c r="L345" s="3728"/>
      <c r="M345" s="199"/>
      <c r="N345" s="199"/>
      <c r="O345" s="199"/>
      <c r="P345" s="199"/>
      <c r="Q345" s="199"/>
      <c r="R345" s="199"/>
      <c r="S345" s="2378"/>
      <c r="T345" s="199"/>
      <c r="U345" s="199"/>
      <c r="V345" s="3479" t="str">
        <f>D345</f>
        <v>GPM_base</v>
      </c>
      <c r="W345" s="3484"/>
      <c r="X345" s="83"/>
      <c r="Y345" s="3485"/>
      <c r="Z345" s="3486"/>
      <c r="AA345" s="3486"/>
      <c r="AB345" s="3486"/>
      <c r="AC345" s="3486"/>
      <c r="AD345" s="99">
        <v>2.35</v>
      </c>
      <c r="AE345" s="3434"/>
      <c r="AF345" s="3434"/>
      <c r="AG345" s="3434"/>
      <c r="AK345" s="732"/>
      <c r="BB345" s="726"/>
    </row>
    <row r="346" spans="1:54" s="196" customFormat="1" ht="75" hidden="1" customHeight="1" outlineLevel="1" x14ac:dyDescent="0.35">
      <c r="A346" s="199"/>
      <c r="B346" s="132"/>
      <c r="C346" s="197"/>
      <c r="D346" s="3454" t="s">
        <v>604</v>
      </c>
      <c r="E346" s="3459" t="s">
        <v>1860</v>
      </c>
      <c r="F346" s="3454"/>
      <c r="G346" s="896">
        <v>7.8</v>
      </c>
      <c r="H346" s="3732" t="s">
        <v>4438</v>
      </c>
      <c r="I346" s="3732"/>
      <c r="J346" s="3728" t="s">
        <v>4439</v>
      </c>
      <c r="K346" s="3728"/>
      <c r="L346" s="3728"/>
      <c r="M346" s="199"/>
      <c r="N346" s="199"/>
      <c r="O346" s="199"/>
      <c r="P346" s="199"/>
      <c r="Q346" s="199"/>
      <c r="R346" s="199"/>
      <c r="S346" s="877"/>
      <c r="T346" s="199"/>
      <c r="U346" s="199"/>
      <c r="V346" s="3479" t="str">
        <f>D346</f>
        <v>L_base</v>
      </c>
      <c r="W346" s="3487"/>
      <c r="X346" s="3487"/>
      <c r="Y346" s="3487"/>
      <c r="Z346" s="896"/>
      <c r="AA346" s="896"/>
      <c r="AB346" s="896"/>
      <c r="AC346" s="896"/>
      <c r="AD346" s="868">
        <v>7.8</v>
      </c>
      <c r="AE346" s="896"/>
      <c r="AF346" s="896"/>
      <c r="AG346" s="896"/>
      <c r="AK346" s="732"/>
      <c r="BB346" s="726"/>
    </row>
    <row r="347" spans="1:54" s="196" customFormat="1" ht="45" hidden="1" customHeight="1" outlineLevel="1" x14ac:dyDescent="0.35">
      <c r="A347" s="199"/>
      <c r="B347" s="132"/>
      <c r="C347" s="197"/>
      <c r="D347" s="3454" t="s">
        <v>609</v>
      </c>
      <c r="E347" s="3454" t="s">
        <v>676</v>
      </c>
      <c r="F347" s="3454"/>
      <c r="G347" s="3465">
        <v>1.5</v>
      </c>
      <c r="H347" s="3734" t="s">
        <v>672</v>
      </c>
      <c r="I347" s="3734"/>
      <c r="J347" s="3728" t="s">
        <v>4437</v>
      </c>
      <c r="K347" s="3728"/>
      <c r="L347" s="3728"/>
      <c r="M347" s="199"/>
      <c r="N347" s="199"/>
      <c r="O347" s="199"/>
      <c r="P347" s="199"/>
      <c r="Q347" s="199"/>
      <c r="R347" s="199"/>
      <c r="S347" s="2378"/>
      <c r="T347" s="199"/>
      <c r="U347" s="199"/>
      <c r="V347" s="3479" t="str">
        <f>D347</f>
        <v>GPM_low</v>
      </c>
      <c r="W347" s="3484"/>
      <c r="X347" s="83"/>
      <c r="Y347" s="83"/>
      <c r="Z347" s="3434"/>
      <c r="AA347" s="3434"/>
      <c r="AB347" s="3434"/>
      <c r="AC347" s="3434"/>
      <c r="AD347" s="83">
        <v>1.5</v>
      </c>
      <c r="AE347" s="3434"/>
      <c r="AF347" s="3434"/>
      <c r="AG347" s="3434"/>
      <c r="AK347" s="732"/>
      <c r="BB347" s="726"/>
    </row>
    <row r="348" spans="1:54" s="196" customFormat="1" ht="15" hidden="1" customHeight="1" outlineLevel="1" x14ac:dyDescent="0.35">
      <c r="A348" s="199"/>
      <c r="B348" s="132"/>
      <c r="C348" s="197"/>
      <c r="D348" s="3454" t="s">
        <v>612</v>
      </c>
      <c r="E348" s="3459" t="s">
        <v>1860</v>
      </c>
      <c r="F348" s="3454"/>
      <c r="G348" s="896">
        <v>7.8</v>
      </c>
      <c r="H348" s="3732" t="s">
        <v>4438</v>
      </c>
      <c r="I348" s="3732"/>
      <c r="J348" s="3728" t="s">
        <v>4439</v>
      </c>
      <c r="K348" s="3728"/>
      <c r="L348" s="3728"/>
      <c r="M348" s="199"/>
      <c r="N348" s="199"/>
      <c r="O348" s="199"/>
      <c r="P348" s="199"/>
      <c r="Q348" s="199"/>
      <c r="R348" s="199"/>
      <c r="S348" s="877"/>
      <c r="T348" s="199"/>
      <c r="U348" s="199"/>
      <c r="V348" s="3479" t="str">
        <f>D348</f>
        <v>L_low</v>
      </c>
      <c r="W348" s="3487"/>
      <c r="X348" s="3487"/>
      <c r="Y348" s="3487"/>
      <c r="Z348" s="896"/>
      <c r="AA348" s="896"/>
      <c r="AB348" s="896"/>
      <c r="AC348" s="896"/>
      <c r="AD348" s="868">
        <v>7.8</v>
      </c>
      <c r="AE348" s="896"/>
      <c r="AF348" s="896"/>
      <c r="AG348" s="896"/>
      <c r="AK348" s="732"/>
      <c r="BB348" s="726"/>
    </row>
    <row r="349" spans="1:54" s="196" customFormat="1" ht="15" hidden="1" customHeight="1" outlineLevel="1" x14ac:dyDescent="0.35">
      <c r="A349" s="199"/>
      <c r="B349" s="132"/>
      <c r="C349" s="197"/>
      <c r="D349" s="3735" t="s">
        <v>199</v>
      </c>
      <c r="E349" s="3737" t="s">
        <v>678</v>
      </c>
      <c r="F349" s="3454" t="s">
        <v>318</v>
      </c>
      <c r="G349" s="896">
        <v>2.67</v>
      </c>
      <c r="H349" s="3732" t="s">
        <v>679</v>
      </c>
      <c r="I349" s="3732"/>
      <c r="J349" s="3728" t="s">
        <v>4441</v>
      </c>
      <c r="K349" s="3728"/>
      <c r="L349" s="3728"/>
      <c r="M349" s="199"/>
      <c r="N349" s="199"/>
      <c r="O349" s="199"/>
      <c r="P349" s="199"/>
      <c r="Q349" s="199"/>
      <c r="R349" s="199"/>
      <c r="S349" s="877"/>
      <c r="T349" s="199"/>
      <c r="U349" s="199"/>
      <c r="V349" s="3739" t="str">
        <f>D349</f>
        <v>Household</v>
      </c>
      <c r="W349" s="3487"/>
      <c r="X349" s="3487"/>
      <c r="Y349" s="3487"/>
      <c r="Z349" s="896"/>
      <c r="AA349" s="896"/>
      <c r="AB349" s="896"/>
      <c r="AC349" s="896"/>
      <c r="AD349" s="868">
        <v>2.67</v>
      </c>
      <c r="AE349" s="896"/>
      <c r="AF349" s="896"/>
      <c r="AG349" s="896"/>
      <c r="AK349" s="732"/>
      <c r="BB349" s="726"/>
    </row>
    <row r="350" spans="1:54" s="196" customFormat="1" ht="15" hidden="1" customHeight="1" outlineLevel="1" x14ac:dyDescent="0.35">
      <c r="A350" s="199"/>
      <c r="B350" s="132"/>
      <c r="C350" s="197"/>
      <c r="D350" s="3736"/>
      <c r="E350" s="3738"/>
      <c r="F350" s="3454" t="s">
        <v>320</v>
      </c>
      <c r="G350" s="896">
        <v>2.0699999999999998</v>
      </c>
      <c r="H350" s="3732" t="s">
        <v>679</v>
      </c>
      <c r="I350" s="3732"/>
      <c r="J350" s="3728" t="s">
        <v>4440</v>
      </c>
      <c r="K350" s="3728"/>
      <c r="L350" s="3728"/>
      <c r="M350" s="199"/>
      <c r="N350" s="199"/>
      <c r="O350" s="199"/>
      <c r="P350" s="199"/>
      <c r="Q350" s="199"/>
      <c r="R350" s="199"/>
      <c r="S350" s="877"/>
      <c r="T350" s="199"/>
      <c r="U350" s="199"/>
      <c r="V350" s="3740"/>
      <c r="W350" s="3487"/>
      <c r="X350" s="868"/>
      <c r="Y350" s="868"/>
      <c r="Z350" s="896"/>
      <c r="AA350" s="896"/>
      <c r="AB350" s="896"/>
      <c r="AC350" s="896"/>
      <c r="AD350" s="868">
        <v>2.0699999999999998</v>
      </c>
      <c r="AE350" s="896"/>
      <c r="AF350" s="896"/>
      <c r="AG350" s="896"/>
      <c r="AK350" s="732"/>
      <c r="BB350" s="726"/>
    </row>
    <row r="351" spans="1:54" s="196" customFormat="1" ht="15" hidden="1" customHeight="1" outlineLevel="1" x14ac:dyDescent="0.35">
      <c r="A351" s="199"/>
      <c r="B351" s="132"/>
      <c r="C351" s="197"/>
      <c r="D351" s="3454" t="s">
        <v>682</v>
      </c>
      <c r="E351" s="3459" t="s">
        <v>1863</v>
      </c>
      <c r="F351" s="3454"/>
      <c r="G351" s="896">
        <v>0.66</v>
      </c>
      <c r="H351" s="3732" t="s">
        <v>675</v>
      </c>
      <c r="I351" s="3732"/>
      <c r="J351" s="3728"/>
      <c r="K351" s="3728"/>
      <c r="L351" s="3728"/>
      <c r="M351" s="199"/>
      <c r="N351" s="199"/>
      <c r="O351" s="199"/>
      <c r="P351" s="199"/>
      <c r="Q351" s="199"/>
      <c r="R351" s="199"/>
      <c r="S351" s="877"/>
      <c r="T351" s="199"/>
      <c r="U351" s="199"/>
      <c r="V351" s="3479" t="str">
        <f>D351</f>
        <v>SPDC</v>
      </c>
      <c r="W351" s="3487"/>
      <c r="X351" s="3487"/>
      <c r="Y351" s="3487"/>
      <c r="Z351" s="896"/>
      <c r="AA351" s="896"/>
      <c r="AB351" s="896"/>
      <c r="AC351" s="896"/>
      <c r="AD351" s="868">
        <v>0.66</v>
      </c>
      <c r="AE351" s="896"/>
      <c r="AF351" s="896"/>
      <c r="AG351" s="896"/>
      <c r="AK351" s="732"/>
      <c r="BB351" s="726"/>
    </row>
    <row r="352" spans="1:54" s="196" customFormat="1" ht="15" hidden="1" customHeight="1" outlineLevel="1" x14ac:dyDescent="0.35">
      <c r="A352" s="199"/>
      <c r="B352" s="132"/>
      <c r="C352" s="197"/>
      <c r="D352" s="3454">
        <v>365.25</v>
      </c>
      <c r="E352" s="3459" t="s">
        <v>1865</v>
      </c>
      <c r="F352" s="3454"/>
      <c r="G352" s="896">
        <v>365.25</v>
      </c>
      <c r="H352" s="3734" t="s">
        <v>570</v>
      </c>
      <c r="I352" s="3734"/>
      <c r="J352" s="3728"/>
      <c r="K352" s="3728"/>
      <c r="L352" s="3728"/>
      <c r="M352" s="199"/>
      <c r="N352" s="199"/>
      <c r="O352" s="199"/>
      <c r="P352" s="199"/>
      <c r="Q352" s="199"/>
      <c r="R352" s="199"/>
      <c r="S352" s="877"/>
      <c r="T352" s="199"/>
      <c r="U352" s="199"/>
      <c r="V352" s="3479">
        <f>D352</f>
        <v>365.25</v>
      </c>
      <c r="W352" s="3487"/>
      <c r="X352" s="3487"/>
      <c r="Y352" s="3487"/>
      <c r="Z352" s="896"/>
      <c r="AA352" s="896"/>
      <c r="AB352" s="896"/>
      <c r="AC352" s="868"/>
      <c r="AD352" s="868">
        <v>365.25</v>
      </c>
      <c r="AE352" s="896"/>
      <c r="AF352" s="896"/>
      <c r="AG352" s="896"/>
      <c r="AK352" s="732"/>
      <c r="BB352" s="726"/>
    </row>
    <row r="353" spans="1:54" s="196" customFormat="1" ht="15" hidden="1" customHeight="1" outlineLevel="1" x14ac:dyDescent="0.35">
      <c r="A353" s="199"/>
      <c r="B353" s="132"/>
      <c r="C353" s="197"/>
      <c r="D353" s="3735" t="s">
        <v>685</v>
      </c>
      <c r="E353" s="3737" t="s">
        <v>1866</v>
      </c>
      <c r="F353" s="3454" t="s">
        <v>318</v>
      </c>
      <c r="G353" s="896">
        <v>2.0499999999999998</v>
      </c>
      <c r="H353" s="3732" t="s">
        <v>679</v>
      </c>
      <c r="I353" s="3732"/>
      <c r="J353" s="3728" t="s">
        <v>4441</v>
      </c>
      <c r="K353" s="3728"/>
      <c r="L353" s="3728"/>
      <c r="M353" s="199"/>
      <c r="N353" s="199"/>
      <c r="O353" s="199"/>
      <c r="P353" s="199"/>
      <c r="Q353" s="199"/>
      <c r="R353" s="199"/>
      <c r="S353" s="877"/>
      <c r="T353" s="199"/>
      <c r="U353" s="199"/>
      <c r="V353" s="3739" t="str">
        <f>D353</f>
        <v>SPH</v>
      </c>
      <c r="W353" s="3487"/>
      <c r="X353" s="3487"/>
      <c r="Y353" s="3487"/>
      <c r="Z353" s="896"/>
      <c r="AA353" s="896"/>
      <c r="AB353" s="896"/>
      <c r="AC353" s="896"/>
      <c r="AD353" s="868">
        <v>2.0499999999999998</v>
      </c>
      <c r="AE353" s="896"/>
      <c r="AF353" s="896"/>
      <c r="AG353" s="896"/>
      <c r="AK353" s="732"/>
      <c r="BB353" s="726"/>
    </row>
    <row r="354" spans="1:54" s="196" customFormat="1" ht="15" hidden="1" customHeight="1" outlineLevel="1" x14ac:dyDescent="0.35">
      <c r="A354" s="199"/>
      <c r="B354" s="132"/>
      <c r="C354" s="197"/>
      <c r="D354" s="3736"/>
      <c r="E354" s="3738"/>
      <c r="F354" s="3454" t="s">
        <v>320</v>
      </c>
      <c r="G354" s="896">
        <v>1.4</v>
      </c>
      <c r="H354" s="3732" t="s">
        <v>679</v>
      </c>
      <c r="I354" s="3732"/>
      <c r="J354" s="3728" t="s">
        <v>4440</v>
      </c>
      <c r="K354" s="3728"/>
      <c r="L354" s="3728"/>
      <c r="M354" s="199"/>
      <c r="N354" s="199"/>
      <c r="O354" s="199"/>
      <c r="P354" s="199"/>
      <c r="Q354" s="199"/>
      <c r="R354" s="199"/>
      <c r="S354" s="877"/>
      <c r="T354" s="199"/>
      <c r="U354" s="199"/>
      <c r="V354" s="3740"/>
      <c r="W354" s="3487"/>
      <c r="X354" s="868"/>
      <c r="Y354" s="868"/>
      <c r="Z354" s="896"/>
      <c r="AA354" s="896"/>
      <c r="AB354" s="896"/>
      <c r="AC354" s="896"/>
      <c r="AD354" s="868">
        <v>1.4</v>
      </c>
      <c r="AE354" s="896"/>
      <c r="AF354" s="896"/>
      <c r="AG354" s="896"/>
      <c r="AK354" s="732"/>
      <c r="BB354" s="726"/>
    </row>
    <row r="355" spans="1:54" s="196" customFormat="1" ht="15" hidden="1" customHeight="1" outlineLevel="1" x14ac:dyDescent="0.35">
      <c r="A355" s="199"/>
      <c r="B355" s="132"/>
      <c r="C355" s="197"/>
      <c r="D355" s="3454">
        <v>8.33</v>
      </c>
      <c r="E355" s="3459" t="s">
        <v>626</v>
      </c>
      <c r="F355" s="3454"/>
      <c r="G355" s="896">
        <v>8.33</v>
      </c>
      <c r="H355" s="3727" t="s">
        <v>627</v>
      </c>
      <c r="I355" s="3727"/>
      <c r="J355" s="3728"/>
      <c r="K355" s="3728"/>
      <c r="L355" s="3728"/>
      <c r="M355" s="199"/>
      <c r="N355" s="199"/>
      <c r="O355" s="199"/>
      <c r="P355" s="199"/>
      <c r="Q355" s="199"/>
      <c r="R355" s="199"/>
      <c r="S355" s="877"/>
      <c r="T355" s="199"/>
      <c r="U355" s="199"/>
      <c r="V355" s="3479">
        <f>D355</f>
        <v>8.33</v>
      </c>
      <c r="W355" s="3487"/>
      <c r="X355" s="3487"/>
      <c r="Y355" s="3487"/>
      <c r="Z355" s="896"/>
      <c r="AA355" s="896"/>
      <c r="AB355" s="896"/>
      <c r="AC355" s="896"/>
      <c r="AD355" s="868">
        <v>8.33</v>
      </c>
      <c r="AE355" s="896"/>
      <c r="AF355" s="896"/>
      <c r="AG355" s="896"/>
      <c r="AK355" s="732"/>
      <c r="BB355" s="726"/>
    </row>
    <row r="356" spans="1:54" s="196" customFormat="1" ht="15" hidden="1" customHeight="1" outlineLevel="1" x14ac:dyDescent="0.35">
      <c r="A356" s="199"/>
      <c r="B356" s="132"/>
      <c r="C356" s="197"/>
      <c r="D356" s="3454">
        <v>1</v>
      </c>
      <c r="E356" s="3459" t="s">
        <v>1867</v>
      </c>
      <c r="F356" s="3454"/>
      <c r="G356" s="896">
        <v>1</v>
      </c>
      <c r="H356" s="3734" t="s">
        <v>629</v>
      </c>
      <c r="I356" s="3734"/>
      <c r="J356" s="3728"/>
      <c r="K356" s="3728"/>
      <c r="L356" s="3728"/>
      <c r="M356" s="199"/>
      <c r="N356" s="199"/>
      <c r="O356" s="199"/>
      <c r="P356" s="199"/>
      <c r="Q356" s="199"/>
      <c r="R356" s="199"/>
      <c r="S356" s="877"/>
      <c r="T356" s="199"/>
      <c r="U356" s="199"/>
      <c r="V356" s="3479">
        <f t="shared" ref="V356:V361" si="24">D356</f>
        <v>1</v>
      </c>
      <c r="W356" s="3487"/>
      <c r="X356" s="3487"/>
      <c r="Y356" s="3487"/>
      <c r="Z356" s="896"/>
      <c r="AA356" s="896"/>
      <c r="AB356" s="896"/>
      <c r="AC356" s="896"/>
      <c r="AD356" s="868">
        <v>1</v>
      </c>
      <c r="AE356" s="896"/>
      <c r="AF356" s="896"/>
      <c r="AG356" s="896"/>
      <c r="AK356" s="732"/>
      <c r="BB356" s="726"/>
    </row>
    <row r="357" spans="1:54" s="196" customFormat="1" ht="15" hidden="1" customHeight="1" outlineLevel="1" x14ac:dyDescent="0.35">
      <c r="A357" s="199"/>
      <c r="B357" s="132"/>
      <c r="C357" s="197"/>
      <c r="D357" s="3454" t="s">
        <v>687</v>
      </c>
      <c r="E357" s="3459" t="s">
        <v>1868</v>
      </c>
      <c r="F357" s="3454"/>
      <c r="G357" s="896">
        <v>105</v>
      </c>
      <c r="H357" s="3732" t="s">
        <v>679</v>
      </c>
      <c r="I357" s="3732"/>
      <c r="J357" s="3728"/>
      <c r="K357" s="3728"/>
      <c r="L357" s="3728"/>
      <c r="M357" s="199"/>
      <c r="N357" s="199"/>
      <c r="O357" s="199"/>
      <c r="P357" s="199"/>
      <c r="Q357" s="199"/>
      <c r="R357" s="199"/>
      <c r="S357" s="877"/>
      <c r="T357" s="199"/>
      <c r="U357" s="199"/>
      <c r="V357" s="3479" t="str">
        <f t="shared" si="24"/>
        <v>ShowerTemp</v>
      </c>
      <c r="W357" s="3487"/>
      <c r="X357" s="3487"/>
      <c r="Y357" s="3487"/>
      <c r="Z357" s="896"/>
      <c r="AA357" s="896"/>
      <c r="AB357" s="896"/>
      <c r="AC357" s="896"/>
      <c r="AD357" s="868">
        <v>105</v>
      </c>
      <c r="AE357" s="896"/>
      <c r="AF357" s="896"/>
      <c r="AG357" s="896"/>
      <c r="AK357" s="732"/>
      <c r="BB357" s="726"/>
    </row>
    <row r="358" spans="1:54" s="196" customFormat="1" ht="15" hidden="1" customHeight="1" outlineLevel="1" x14ac:dyDescent="0.35">
      <c r="A358" s="199"/>
      <c r="B358" s="132"/>
      <c r="C358" s="197"/>
      <c r="D358" s="3454" t="s">
        <v>633</v>
      </c>
      <c r="E358" s="3459" t="s">
        <v>1845</v>
      </c>
      <c r="F358" s="3454"/>
      <c r="G358" s="896">
        <v>61.3</v>
      </c>
      <c r="H358" s="3732" t="s">
        <v>679</v>
      </c>
      <c r="I358" s="3732"/>
      <c r="J358" s="3728"/>
      <c r="K358" s="3728"/>
      <c r="L358" s="3728"/>
      <c r="M358" s="199"/>
      <c r="N358" s="199"/>
      <c r="O358" s="199"/>
      <c r="P358" s="199"/>
      <c r="Q358" s="199"/>
      <c r="R358" s="199"/>
      <c r="S358" s="877"/>
      <c r="T358" s="199"/>
      <c r="U358" s="199"/>
      <c r="V358" s="3479" t="str">
        <f t="shared" si="24"/>
        <v>SupplyTemp</v>
      </c>
      <c r="W358" s="3487"/>
      <c r="X358" s="3487"/>
      <c r="Y358" s="3487"/>
      <c r="Z358" s="896"/>
      <c r="AA358" s="896"/>
      <c r="AB358" s="896"/>
      <c r="AC358" s="896"/>
      <c r="AD358" s="868">
        <v>61.3</v>
      </c>
      <c r="AE358" s="896"/>
      <c r="AF358" s="896"/>
      <c r="AG358" s="896"/>
      <c r="AK358" s="732"/>
      <c r="BB358" s="726"/>
    </row>
    <row r="359" spans="1:54" s="196" customFormat="1" ht="15" hidden="1" customHeight="1" outlineLevel="1" x14ac:dyDescent="0.35">
      <c r="A359" s="199"/>
      <c r="B359" s="132"/>
      <c r="C359" s="197"/>
      <c r="D359" s="3454" t="s">
        <v>636</v>
      </c>
      <c r="E359" s="3459" t="s">
        <v>1846</v>
      </c>
      <c r="F359" s="3454"/>
      <c r="G359" s="896">
        <v>0.98</v>
      </c>
      <c r="H359" s="3732" t="s">
        <v>4442</v>
      </c>
      <c r="I359" s="3732"/>
      <c r="J359" s="3728"/>
      <c r="K359" s="3728"/>
      <c r="L359" s="3728"/>
      <c r="M359" s="199"/>
      <c r="N359" s="199"/>
      <c r="O359" s="199"/>
      <c r="P359" s="199"/>
      <c r="Q359" s="199"/>
      <c r="R359" s="199"/>
      <c r="S359" s="877"/>
      <c r="T359" s="199"/>
      <c r="U359" s="199"/>
      <c r="V359" s="3479" t="str">
        <f t="shared" si="24"/>
        <v>RE_electric</v>
      </c>
      <c r="W359" s="3487"/>
      <c r="X359" s="3487"/>
      <c r="Y359" s="3487"/>
      <c r="Z359" s="896"/>
      <c r="AA359" s="896"/>
      <c r="AB359" s="896"/>
      <c r="AC359" s="896"/>
      <c r="AD359" s="868">
        <v>0.98</v>
      </c>
      <c r="AE359" s="896"/>
      <c r="AF359" s="896"/>
      <c r="AG359" s="896"/>
      <c r="AK359" s="732"/>
      <c r="BB359" s="726"/>
    </row>
    <row r="360" spans="1:54" s="196" customFormat="1" ht="15" hidden="1" customHeight="1" outlineLevel="1" x14ac:dyDescent="0.35">
      <c r="A360" s="199"/>
      <c r="B360" s="132"/>
      <c r="C360" s="197"/>
      <c r="D360" s="3454">
        <v>3412</v>
      </c>
      <c r="E360" s="3459">
        <v>3412</v>
      </c>
      <c r="F360" s="3454"/>
      <c r="G360" s="3489">
        <v>3412</v>
      </c>
      <c r="H360" s="3727" t="s">
        <v>217</v>
      </c>
      <c r="I360" s="3727"/>
      <c r="J360" s="3728"/>
      <c r="K360" s="3728"/>
      <c r="L360" s="3728"/>
      <c r="M360" s="199"/>
      <c r="N360" s="199"/>
      <c r="O360" s="199"/>
      <c r="P360" s="199"/>
      <c r="Q360" s="199"/>
      <c r="R360" s="199"/>
      <c r="S360" s="879"/>
      <c r="T360" s="199"/>
      <c r="U360" s="199"/>
      <c r="V360" s="3479">
        <f t="shared" si="24"/>
        <v>3412</v>
      </c>
      <c r="W360" s="3488"/>
      <c r="X360" s="3488"/>
      <c r="Y360" s="3488"/>
      <c r="Z360" s="3489"/>
      <c r="AA360" s="3489"/>
      <c r="AB360" s="3489"/>
      <c r="AC360" s="3489"/>
      <c r="AD360" s="3481">
        <v>3412</v>
      </c>
      <c r="AE360" s="3489"/>
      <c r="AF360" s="3489"/>
      <c r="AG360" s="3489"/>
      <c r="AK360" s="732"/>
      <c r="BB360" s="726"/>
    </row>
    <row r="361" spans="1:54" s="196" customFormat="1" ht="15" hidden="1" customHeight="1" outlineLevel="1" x14ac:dyDescent="0.35">
      <c r="A361" s="199"/>
      <c r="B361" s="132"/>
      <c r="C361" s="3461"/>
      <c r="D361" s="3454" t="s">
        <v>516</v>
      </c>
      <c r="E361" s="3454" t="s">
        <v>578</v>
      </c>
      <c r="F361" s="3454"/>
      <c r="G361" s="425">
        <v>1</v>
      </c>
      <c r="H361" s="3727" t="s">
        <v>583</v>
      </c>
      <c r="I361" s="3727"/>
      <c r="J361" s="3729" t="s">
        <v>4437</v>
      </c>
      <c r="K361" s="3730"/>
      <c r="L361" s="3731"/>
      <c r="M361" s="199"/>
      <c r="N361" s="199"/>
      <c r="O361" s="199"/>
      <c r="P361" s="199"/>
      <c r="Q361" s="199"/>
      <c r="R361" s="199"/>
      <c r="S361" s="873"/>
      <c r="T361" s="199"/>
      <c r="U361" s="199"/>
      <c r="V361" s="3479" t="str">
        <f t="shared" si="24"/>
        <v>Utility Adjustment</v>
      </c>
      <c r="W361" s="3483"/>
      <c r="X361" s="3483"/>
      <c r="Y361" s="3483"/>
      <c r="Z361" s="425"/>
      <c r="AA361" s="425"/>
      <c r="AB361" s="425"/>
      <c r="AC361" s="425"/>
      <c r="AD361" s="428">
        <v>1</v>
      </c>
      <c r="AE361" s="425"/>
      <c r="AF361" s="425"/>
      <c r="AG361" s="425"/>
      <c r="AK361" s="732"/>
      <c r="BB361" s="726"/>
    </row>
    <row r="362" spans="1:54" s="196" customFormat="1" ht="28.9" hidden="1" customHeight="1" outlineLevel="1" x14ac:dyDescent="0.35">
      <c r="A362" s="199"/>
      <c r="B362" s="132"/>
      <c r="C362" s="3461"/>
      <c r="D362" s="3734" t="s">
        <v>132</v>
      </c>
      <c r="E362" s="3814" t="s">
        <v>1722</v>
      </c>
      <c r="F362" s="3454" t="s">
        <v>318</v>
      </c>
      <c r="G362" s="3490">
        <v>0.91300000000000003</v>
      </c>
      <c r="H362" s="3732" t="s">
        <v>679</v>
      </c>
      <c r="I362" s="3732"/>
      <c r="J362" s="3729" t="s">
        <v>4443</v>
      </c>
      <c r="K362" s="3730"/>
      <c r="L362" s="3731"/>
      <c r="M362" s="199"/>
      <c r="N362" s="199"/>
      <c r="O362" s="199"/>
      <c r="P362" s="199"/>
      <c r="Q362" s="199"/>
      <c r="R362" s="199"/>
      <c r="S362" s="881"/>
      <c r="T362" s="199"/>
      <c r="U362" s="199"/>
      <c r="V362" s="3739" t="str">
        <f>D362</f>
        <v>ISR</v>
      </c>
      <c r="W362" s="3487"/>
      <c r="X362" s="3487"/>
      <c r="Y362" s="3487"/>
      <c r="Z362" s="896"/>
      <c r="AA362" s="896"/>
      <c r="AB362" s="896"/>
      <c r="AC362" s="3490"/>
      <c r="AD362" s="2731">
        <v>0.91300000000000003</v>
      </c>
      <c r="AE362" s="896"/>
      <c r="AF362" s="896"/>
      <c r="AG362" s="896"/>
      <c r="AK362" s="732"/>
      <c r="BB362" s="726"/>
    </row>
    <row r="363" spans="1:54" s="196" customFormat="1" ht="28.9" hidden="1" customHeight="1" outlineLevel="1" x14ac:dyDescent="0.35">
      <c r="A363" s="199"/>
      <c r="B363" s="132"/>
      <c r="C363" s="3461"/>
      <c r="D363" s="3734"/>
      <c r="E363" s="3814"/>
      <c r="F363" s="3454" t="s">
        <v>320</v>
      </c>
      <c r="G363" s="3490">
        <v>0.91300000000000003</v>
      </c>
      <c r="H363" s="3732" t="s">
        <v>679</v>
      </c>
      <c r="I363" s="3732"/>
      <c r="J363" s="3728" t="s">
        <v>4443</v>
      </c>
      <c r="K363" s="3728"/>
      <c r="L363" s="3728"/>
      <c r="M363" s="199"/>
      <c r="N363" s="199"/>
      <c r="O363" s="199"/>
      <c r="P363" s="199"/>
      <c r="Q363" s="199"/>
      <c r="R363" s="199"/>
      <c r="S363" s="881"/>
      <c r="T363" s="199"/>
      <c r="U363" s="199"/>
      <c r="V363" s="3740"/>
      <c r="W363" s="3487"/>
      <c r="X363" s="3487"/>
      <c r="Y363" s="3487"/>
      <c r="Z363" s="896"/>
      <c r="AA363" s="896"/>
      <c r="AB363" s="896"/>
      <c r="AC363" s="3490"/>
      <c r="AD363" s="2731">
        <v>0.91300000000000003</v>
      </c>
      <c r="AE363" s="896"/>
      <c r="AF363" s="896"/>
      <c r="AG363" s="896"/>
      <c r="AK363" s="732"/>
      <c r="BB363" s="726"/>
    </row>
    <row r="364" spans="1:54" s="196" customFormat="1" hidden="1" outlineLevel="1" x14ac:dyDescent="0.35">
      <c r="A364" s="199"/>
      <c r="B364" s="132"/>
      <c r="C364" s="3461"/>
      <c r="D364" s="3452" t="s">
        <v>180</v>
      </c>
      <c r="E364" s="3452" t="s">
        <v>166</v>
      </c>
      <c r="F364" s="3454" t="s">
        <v>134</v>
      </c>
      <c r="G364" s="3492">
        <v>10</v>
      </c>
      <c r="H364" s="3727"/>
      <c r="I364" s="3727"/>
      <c r="J364" s="3733"/>
      <c r="K364" s="3733"/>
      <c r="L364" s="3733"/>
      <c r="M364" s="199"/>
      <c r="N364" s="199"/>
      <c r="O364" s="199"/>
      <c r="P364" s="199"/>
      <c r="Q364" s="199"/>
      <c r="R364" s="199"/>
      <c r="S364" s="873"/>
      <c r="T364" s="199"/>
      <c r="U364" s="199"/>
      <c r="V364" s="3479" t="str">
        <f>D364</f>
        <v>EUL</v>
      </c>
      <c r="W364" s="3491"/>
      <c r="X364" s="3491"/>
      <c r="Y364" s="3491"/>
      <c r="Z364" s="3492"/>
      <c r="AA364" s="3492"/>
      <c r="AB364" s="3492"/>
      <c r="AC364" s="3492"/>
      <c r="AD364" s="3480">
        <v>10</v>
      </c>
      <c r="AE364" s="462"/>
      <c r="AF364" s="462"/>
      <c r="AG364" s="462"/>
      <c r="AK364" s="732"/>
      <c r="BB364" s="726"/>
    </row>
    <row r="365" spans="1:54" s="196" customFormat="1" hidden="1" outlineLevel="1" x14ac:dyDescent="0.35">
      <c r="A365" s="199"/>
      <c r="B365" s="132"/>
      <c r="C365" s="3476"/>
      <c r="D365" s="3452" t="s">
        <v>169</v>
      </c>
      <c r="E365" s="3452" t="s">
        <v>170</v>
      </c>
      <c r="F365" s="3453" t="s">
        <v>4434</v>
      </c>
      <c r="G365" s="1408">
        <v>15.02</v>
      </c>
      <c r="H365" s="3732" t="s">
        <v>4469</v>
      </c>
      <c r="I365" s="3732"/>
      <c r="J365" s="3728"/>
      <c r="K365" s="3728"/>
      <c r="L365" s="3728"/>
      <c r="M365" s="3112"/>
      <c r="N365" s="3112"/>
      <c r="O365" s="3112"/>
      <c r="P365" s="3112"/>
      <c r="Q365" s="3112"/>
      <c r="R365" s="3112"/>
      <c r="S365" s="3477"/>
      <c r="T365" s="3112"/>
      <c r="U365" s="3112"/>
      <c r="V365" s="3479" t="str">
        <f>D365</f>
        <v>Inc. Cost</v>
      </c>
      <c r="W365" s="904"/>
      <c r="X365" s="904"/>
      <c r="Y365" s="904"/>
      <c r="Z365" s="1408"/>
      <c r="AA365" s="1408"/>
      <c r="AB365" s="1408"/>
      <c r="AC365" s="1408"/>
      <c r="AD365" s="1782">
        <v>15.02</v>
      </c>
      <c r="AE365" s="1408"/>
      <c r="AF365" s="1408"/>
      <c r="AG365" s="1408"/>
      <c r="AH365" s="3123"/>
      <c r="AI365" s="3123"/>
      <c r="AJ365" s="3123"/>
      <c r="AK365" s="3478"/>
      <c r="AL365" s="3123"/>
      <c r="BB365" s="726"/>
    </row>
    <row r="366" spans="1:54" s="196" customFormat="1" ht="15" customHeight="1" collapsed="1" x14ac:dyDescent="0.35">
      <c r="A366" s="199"/>
      <c r="B366" s="132"/>
      <c r="C366" s="197"/>
      <c r="D366" s="217"/>
      <c r="E366" s="217"/>
      <c r="F366" s="199"/>
      <c r="G366" s="199"/>
      <c r="H366" s="199"/>
      <c r="I366" s="199"/>
      <c r="J366" s="199"/>
      <c r="K366" s="199"/>
      <c r="L366" s="199"/>
      <c r="M366" s="199"/>
      <c r="N366" s="199"/>
      <c r="O366" s="199"/>
      <c r="P366" s="199"/>
      <c r="Q366" s="199"/>
      <c r="R366" s="199"/>
      <c r="S366" s="199"/>
      <c r="T366" s="199"/>
      <c r="U366" s="199"/>
      <c r="Y366" s="528"/>
      <c r="AK366" s="732"/>
      <c r="BB366" s="726"/>
    </row>
    <row r="367" spans="1:54" s="196" customFormat="1" ht="15" customHeight="1" x14ac:dyDescent="0.35">
      <c r="A367" s="199"/>
      <c r="B367" s="132"/>
      <c r="C367" s="197"/>
      <c r="D367" s="217"/>
      <c r="E367" s="217"/>
      <c r="F367" s="199"/>
      <c r="G367" s="199"/>
      <c r="H367" s="199"/>
      <c r="I367" s="199"/>
      <c r="J367" s="199"/>
      <c r="K367" s="199"/>
      <c r="L367" s="199"/>
      <c r="M367" s="199"/>
      <c r="N367" s="199"/>
      <c r="O367" s="199"/>
      <c r="P367" s="199"/>
      <c r="Q367" s="199"/>
      <c r="R367" s="199"/>
      <c r="S367" s="199"/>
      <c r="T367" s="199"/>
      <c r="U367" s="199"/>
      <c r="Y367" s="528"/>
      <c r="AK367" s="732"/>
      <c r="BB367" s="726"/>
    </row>
  </sheetData>
  <mergeCells count="246">
    <mergeCell ref="D362:D363"/>
    <mergeCell ref="E362:E363"/>
    <mergeCell ref="H363:I363"/>
    <mergeCell ref="J363:L363"/>
    <mergeCell ref="V362:V363"/>
    <mergeCell ref="J198:K198"/>
    <mergeCell ref="J199:K199"/>
    <mergeCell ref="J200:K200"/>
    <mergeCell ref="G327:I327"/>
    <mergeCell ref="G321:I321"/>
    <mergeCell ref="G322:I322"/>
    <mergeCell ref="G323:I323"/>
    <mergeCell ref="G324:I324"/>
    <mergeCell ref="G325:I325"/>
    <mergeCell ref="G326:I326"/>
    <mergeCell ref="B304:O304"/>
    <mergeCell ref="G270:H270"/>
    <mergeCell ref="G271:H271"/>
    <mergeCell ref="G272:H272"/>
    <mergeCell ref="G273:H273"/>
    <mergeCell ref="G274:H274"/>
    <mergeCell ref="G264:H264"/>
    <mergeCell ref="G265:H265"/>
    <mergeCell ref="G266:H266"/>
    <mergeCell ref="G267:H267"/>
    <mergeCell ref="G268:H268"/>
    <mergeCell ref="G269:H269"/>
    <mergeCell ref="H213:I213"/>
    <mergeCell ref="J213:K213"/>
    <mergeCell ref="V304:AI304"/>
    <mergeCell ref="G317:I317"/>
    <mergeCell ref="G318:I318"/>
    <mergeCell ref="G319:I319"/>
    <mergeCell ref="V217:AI217"/>
    <mergeCell ref="B253:O253"/>
    <mergeCell ref="V253:AI253"/>
    <mergeCell ref="G320:I320"/>
    <mergeCell ref="V277:AI277"/>
    <mergeCell ref="D287:D292"/>
    <mergeCell ref="E287:E292"/>
    <mergeCell ref="V287:V292"/>
    <mergeCell ref="D293:D298"/>
    <mergeCell ref="E293:E298"/>
    <mergeCell ref="V293:V298"/>
    <mergeCell ref="B277:O277"/>
    <mergeCell ref="H210:I210"/>
    <mergeCell ref="J210:K210"/>
    <mergeCell ref="H211:I211"/>
    <mergeCell ref="J211:K211"/>
    <mergeCell ref="H212:I212"/>
    <mergeCell ref="J212:K212"/>
    <mergeCell ref="V237:V245"/>
    <mergeCell ref="V246:V247"/>
    <mergeCell ref="V249:V250"/>
    <mergeCell ref="V213:V214"/>
    <mergeCell ref="B217:O217"/>
    <mergeCell ref="D237:D245"/>
    <mergeCell ref="E237:E245"/>
    <mergeCell ref="D246:D247"/>
    <mergeCell ref="E246:E247"/>
    <mergeCell ref="D249:D250"/>
    <mergeCell ref="E249:E250"/>
    <mergeCell ref="H214:I214"/>
    <mergeCell ref="J214:K214"/>
    <mergeCell ref="D213:D214"/>
    <mergeCell ref="E213:E214"/>
    <mergeCell ref="H207:I207"/>
    <mergeCell ref="J207:K207"/>
    <mergeCell ref="H208:I208"/>
    <mergeCell ref="J208:K208"/>
    <mergeCell ref="H209:I209"/>
    <mergeCell ref="J209:K209"/>
    <mergeCell ref="H204:I204"/>
    <mergeCell ref="J204:K204"/>
    <mergeCell ref="H205:I205"/>
    <mergeCell ref="J205:K205"/>
    <mergeCell ref="H206:I206"/>
    <mergeCell ref="J206:K206"/>
    <mergeCell ref="H201:I201"/>
    <mergeCell ref="J201:K201"/>
    <mergeCell ref="H202:I202"/>
    <mergeCell ref="J202:K202"/>
    <mergeCell ref="H203:I203"/>
    <mergeCell ref="J203:K203"/>
    <mergeCell ref="D156:D163"/>
    <mergeCell ref="V156:V163"/>
    <mergeCell ref="B169:O169"/>
    <mergeCell ref="V169:AI169"/>
    <mergeCell ref="H195:I195"/>
    <mergeCell ref="J195:K195"/>
    <mergeCell ref="G164:H164"/>
    <mergeCell ref="G165:H165"/>
    <mergeCell ref="G166:H166"/>
    <mergeCell ref="G162:H162"/>
    <mergeCell ref="G163:H163"/>
    <mergeCell ref="H196:I196"/>
    <mergeCell ref="H197:I197"/>
    <mergeCell ref="H198:I198"/>
    <mergeCell ref="H199:I199"/>
    <mergeCell ref="H200:I200"/>
    <mergeCell ref="J196:K196"/>
    <mergeCell ref="J197:K197"/>
    <mergeCell ref="D133:D140"/>
    <mergeCell ref="V133:V140"/>
    <mergeCell ref="D142:D149"/>
    <mergeCell ref="V142:V149"/>
    <mergeCell ref="D150:D151"/>
    <mergeCell ref="V150:V151"/>
    <mergeCell ref="D107:D118"/>
    <mergeCell ref="V107:V118"/>
    <mergeCell ref="D119:D126"/>
    <mergeCell ref="V119:V126"/>
    <mergeCell ref="D127:D130"/>
    <mergeCell ref="D131:D132"/>
    <mergeCell ref="V127:V130"/>
    <mergeCell ref="V131:V132"/>
    <mergeCell ref="I107:I118"/>
    <mergeCell ref="G148:H148"/>
    <mergeCell ref="G146:H146"/>
    <mergeCell ref="G144:H144"/>
    <mergeCell ref="G145:H145"/>
    <mergeCell ref="G141:H141"/>
    <mergeCell ref="G142:H142"/>
    <mergeCell ref="G151:H151"/>
    <mergeCell ref="G149:H149"/>
    <mergeCell ref="G147:H147"/>
    <mergeCell ref="D99:D106"/>
    <mergeCell ref="V99:V106"/>
    <mergeCell ref="G45:H45"/>
    <mergeCell ref="G46:H46"/>
    <mergeCell ref="G47:H47"/>
    <mergeCell ref="G48:H48"/>
    <mergeCell ref="G49:H49"/>
    <mergeCell ref="V54:AI54"/>
    <mergeCell ref="G50:H50"/>
    <mergeCell ref="G51:H51"/>
    <mergeCell ref="B54:O54"/>
    <mergeCell ref="G99:H99"/>
    <mergeCell ref="G100:H100"/>
    <mergeCell ref="G101:H101"/>
    <mergeCell ref="G102:H102"/>
    <mergeCell ref="G103:H103"/>
    <mergeCell ref="G104:H104"/>
    <mergeCell ref="G105:H106"/>
    <mergeCell ref="A1:P1"/>
    <mergeCell ref="D2:J2"/>
    <mergeCell ref="B4:O4"/>
    <mergeCell ref="G40:H40"/>
    <mergeCell ref="D41:D44"/>
    <mergeCell ref="G41:H41"/>
    <mergeCell ref="G38:H38"/>
    <mergeCell ref="G39:H39"/>
    <mergeCell ref="G31:H31"/>
    <mergeCell ref="G32:H32"/>
    <mergeCell ref="G33:H33"/>
    <mergeCell ref="V4:AI4"/>
    <mergeCell ref="G26:H26"/>
    <mergeCell ref="G27:H27"/>
    <mergeCell ref="G28:H28"/>
    <mergeCell ref="G29:H29"/>
    <mergeCell ref="G30:H30"/>
    <mergeCell ref="V41:V44"/>
    <mergeCell ref="G42:H42"/>
    <mergeCell ref="G43:H43"/>
    <mergeCell ref="G44:H44"/>
    <mergeCell ref="G34:H34"/>
    <mergeCell ref="G35:H35"/>
    <mergeCell ref="G36:H36"/>
    <mergeCell ref="G37:H37"/>
    <mergeCell ref="I41:I44"/>
    <mergeCell ref="G143:H143"/>
    <mergeCell ref="G157:H157"/>
    <mergeCell ref="G161:H161"/>
    <mergeCell ref="G152:H152"/>
    <mergeCell ref="G153:H153"/>
    <mergeCell ref="G154:H154"/>
    <mergeCell ref="G155:H155"/>
    <mergeCell ref="G156:H156"/>
    <mergeCell ref="G158:H158"/>
    <mergeCell ref="G159:H159"/>
    <mergeCell ref="G160:H160"/>
    <mergeCell ref="G150:H150"/>
    <mergeCell ref="G107:H118"/>
    <mergeCell ref="G125:H126"/>
    <mergeCell ref="G133:H140"/>
    <mergeCell ref="G131:H131"/>
    <mergeCell ref="G132:H132"/>
    <mergeCell ref="G127:H130"/>
    <mergeCell ref="G119:H119"/>
    <mergeCell ref="G120:H120"/>
    <mergeCell ref="G121:H121"/>
    <mergeCell ref="G122:H122"/>
    <mergeCell ref="G123:H123"/>
    <mergeCell ref="G124:H124"/>
    <mergeCell ref="B330:R330"/>
    <mergeCell ref="V330:AI330"/>
    <mergeCell ref="H343:I343"/>
    <mergeCell ref="J343:L343"/>
    <mergeCell ref="H344:I344"/>
    <mergeCell ref="J344:L344"/>
    <mergeCell ref="H345:I345"/>
    <mergeCell ref="J345:L345"/>
    <mergeCell ref="H346:I346"/>
    <mergeCell ref="J346:L346"/>
    <mergeCell ref="H347:I347"/>
    <mergeCell ref="J347:L347"/>
    <mergeCell ref="H348:I348"/>
    <mergeCell ref="J348:L348"/>
    <mergeCell ref="D349:D350"/>
    <mergeCell ref="E349:E350"/>
    <mergeCell ref="H349:I349"/>
    <mergeCell ref="J349:L349"/>
    <mergeCell ref="V349:V350"/>
    <mergeCell ref="H350:I350"/>
    <mergeCell ref="J350:L350"/>
    <mergeCell ref="H351:I351"/>
    <mergeCell ref="J351:L351"/>
    <mergeCell ref="H352:I352"/>
    <mergeCell ref="J352:L352"/>
    <mergeCell ref="D353:D354"/>
    <mergeCell ref="E353:E354"/>
    <mergeCell ref="H353:I353"/>
    <mergeCell ref="J353:L353"/>
    <mergeCell ref="V353:V354"/>
    <mergeCell ref="H354:I354"/>
    <mergeCell ref="J354:L354"/>
    <mergeCell ref="H355:I355"/>
    <mergeCell ref="J355:L355"/>
    <mergeCell ref="H356:I356"/>
    <mergeCell ref="J356:L356"/>
    <mergeCell ref="H357:I357"/>
    <mergeCell ref="J357:L357"/>
    <mergeCell ref="H358:I358"/>
    <mergeCell ref="J358:L358"/>
    <mergeCell ref="H359:I359"/>
    <mergeCell ref="J359:L359"/>
    <mergeCell ref="H360:I360"/>
    <mergeCell ref="J360:L360"/>
    <mergeCell ref="H361:I361"/>
    <mergeCell ref="J361:L361"/>
    <mergeCell ref="H362:I362"/>
    <mergeCell ref="J362:L362"/>
    <mergeCell ref="H364:I364"/>
    <mergeCell ref="J364:L364"/>
    <mergeCell ref="H365:I365"/>
    <mergeCell ref="J365:L365"/>
  </mergeCells>
  <conditionalFormatting sqref="AH7 AH57:AH78 AH333:AH334">
    <cfRule type="cellIs" dxfId="392" priority="98" operator="lessThan">
      <formula>-0.1</formula>
    </cfRule>
    <cfRule type="cellIs" dxfId="391" priority="99" operator="greaterThan">
      <formula>0.1</formula>
    </cfRule>
  </conditionalFormatting>
  <conditionalFormatting sqref="AH172:AH174">
    <cfRule type="cellIs" dxfId="390" priority="96" operator="lessThan">
      <formula>-0.1</formula>
    </cfRule>
    <cfRule type="cellIs" dxfId="389" priority="97" operator="greaterThan">
      <formula>0.1</formula>
    </cfRule>
  </conditionalFormatting>
  <conditionalFormatting sqref="AH256">
    <cfRule type="cellIs" dxfId="388" priority="94" operator="lessThan">
      <formula>-0.1</formula>
    </cfRule>
    <cfRule type="cellIs" dxfId="387" priority="95" operator="greaterThan">
      <formula>0.1</formula>
    </cfRule>
  </conditionalFormatting>
  <conditionalFormatting sqref="AH307:AH308">
    <cfRule type="cellIs" dxfId="386" priority="92" operator="lessThan">
      <formula>-0.1</formula>
    </cfRule>
    <cfRule type="cellIs" dxfId="385" priority="93" operator="greaterThan">
      <formula>0.1</formula>
    </cfRule>
  </conditionalFormatting>
  <conditionalFormatting sqref="A1:P45 A107:G107 A106:F106 A126:F126 A143:G143 A56:P56 A55:C55 F55:P55 A47:P48 A46:E46 I46:P46 A50:P54 A49:C49 F49 I49:P49 A131:D131 A128:C130 A127:D127 A133:G133 A132:C132 A153:E153 A166:E166 A229:B229 A230:P234 A251:P328 A235:C250 J235:P250 A220:E228 C82:C99 G127 A98:H98 J98:P166 I133:I165 I119:I130 I98:I106 G153 A154:G157 A158:F160 A151:G152 A150:F150 A149:G149 A148:F148 A147:G147 A144:F146 A134:F142 A161:G162 A99:G105 A108:F118 A119:G125 G220:P229 A81:P97 A164:G165 A163:F163 A57:E80 G57:P80 A215:P219 A214:C214 F214:P214 AN196:AN214 A201:P213 A196:J196 A197:I200 L196:P200 A167:P195 A370:P1048576 AO211:AP211 A368:A369 C368:P369 B329:B369">
    <cfRule type="cellIs" dxfId="384" priority="91" operator="equal">
      <formula>"x"</formula>
    </cfRule>
  </conditionalFormatting>
  <conditionalFormatting sqref="AH79:AH80">
    <cfRule type="cellIs" dxfId="383" priority="89" operator="lessThan">
      <formula>-0.1</formula>
    </cfRule>
    <cfRule type="cellIs" dxfId="382" priority="90" operator="greaterThan">
      <formula>0.1</formula>
    </cfRule>
  </conditionalFormatting>
  <conditionalFormatting sqref="V99:V127 V131 V133:V166">
    <cfRule type="cellIs" dxfId="381" priority="88" operator="equal">
      <formula>"x"</formula>
    </cfRule>
  </conditionalFormatting>
  <conditionalFormatting sqref="Y125:Y126">
    <cfRule type="cellIs" dxfId="380" priority="87" operator="equal">
      <formula>"x"</formula>
    </cfRule>
  </conditionalFormatting>
  <conditionalFormatting sqref="I107:I117">
    <cfRule type="cellIs" dxfId="379" priority="86" operator="equal">
      <formula>"x"</formula>
    </cfRule>
  </conditionalFormatting>
  <conditionalFormatting sqref="Z125:Z126">
    <cfRule type="cellIs" dxfId="378" priority="85" operator="equal">
      <formula>"x"</formula>
    </cfRule>
  </conditionalFormatting>
  <conditionalFormatting sqref="AA125:AA126">
    <cfRule type="cellIs" dxfId="377" priority="84" operator="equal">
      <formula>"x"</formula>
    </cfRule>
  </conditionalFormatting>
  <conditionalFormatting sqref="F46:H46">
    <cfRule type="cellIs" dxfId="376" priority="83" operator="equal">
      <formula>"x"</formula>
    </cfRule>
  </conditionalFormatting>
  <conditionalFormatting sqref="D49:E49">
    <cfRule type="cellIs" dxfId="375" priority="82" operator="equal">
      <formula>"x"</formula>
    </cfRule>
  </conditionalFormatting>
  <conditionalFormatting sqref="G49:H49">
    <cfRule type="cellIs" dxfId="374" priority="81" operator="equal">
      <formula>"x"</formula>
    </cfRule>
  </conditionalFormatting>
  <conditionalFormatting sqref="F153">
    <cfRule type="cellIs" dxfId="373" priority="76" operator="equal">
      <formula>"x"</formula>
    </cfRule>
  </conditionalFormatting>
  <conditionalFormatting sqref="E131:G132 I131:I132">
    <cfRule type="cellIs" dxfId="372" priority="77" operator="equal">
      <formula>"x"</formula>
    </cfRule>
  </conditionalFormatting>
  <conditionalFormatting sqref="E127:F130">
    <cfRule type="cellIs" dxfId="371" priority="78" operator="equal">
      <formula>"x"</formula>
    </cfRule>
  </conditionalFormatting>
  <conditionalFormatting sqref="F166:G166 I166">
    <cfRule type="cellIs" dxfId="370" priority="75" operator="equal">
      <formula>"x"</formula>
    </cfRule>
  </conditionalFormatting>
  <conditionalFormatting sqref="AB91:AB94">
    <cfRule type="cellIs" dxfId="369" priority="74" operator="equal">
      <formula>"x"</formula>
    </cfRule>
  </conditionalFormatting>
  <conditionalFormatting sqref="AB99:AB126 AB133:AB152 AB154:AB165">
    <cfRule type="cellIs" dxfId="368" priority="73" operator="equal">
      <formula>"x"</formula>
    </cfRule>
  </conditionalFormatting>
  <conditionalFormatting sqref="AB127:AB130">
    <cfRule type="cellIs" dxfId="367" priority="72" operator="equal">
      <formula>"x"</formula>
    </cfRule>
  </conditionalFormatting>
  <conditionalFormatting sqref="AB131:AB132">
    <cfRule type="cellIs" dxfId="366" priority="71" operator="equal">
      <formula>"x"</formula>
    </cfRule>
  </conditionalFormatting>
  <conditionalFormatting sqref="AB153">
    <cfRule type="cellIs" dxfId="365" priority="70" operator="equal">
      <formula>"x"</formula>
    </cfRule>
  </conditionalFormatting>
  <conditionalFormatting sqref="AB166">
    <cfRule type="cellIs" dxfId="364" priority="69" operator="equal">
      <formula>"x"</formula>
    </cfRule>
  </conditionalFormatting>
  <conditionalFormatting sqref="C229:E229">
    <cfRule type="cellIs" dxfId="363" priority="67" operator="equal">
      <formula>"x"</formula>
    </cfRule>
  </conditionalFormatting>
  <conditionalFormatting sqref="D237 F250:H250 D248:E249 G235:H236 D236:F236 F248 D246 G237:G249 H246:H249 E235 H236:H244">
    <cfRule type="cellIs" dxfId="362" priority="66" operator="equal">
      <formula>"x"</formula>
    </cfRule>
  </conditionalFormatting>
  <conditionalFormatting sqref="F235">
    <cfRule type="cellIs" dxfId="361" priority="65" operator="equal">
      <formula>"x"</formula>
    </cfRule>
  </conditionalFormatting>
  <conditionalFormatting sqref="I235:I250">
    <cfRule type="cellIs" dxfId="360" priority="64" operator="equal">
      <formula>"x"</formula>
    </cfRule>
  </conditionalFormatting>
  <conditionalFormatting sqref="F237:F247">
    <cfRule type="cellIs" dxfId="359" priority="63" operator="equal">
      <formula>"x"</formula>
    </cfRule>
  </conditionalFormatting>
  <conditionalFormatting sqref="H245">
    <cfRule type="cellIs" dxfId="358" priority="62" operator="equal">
      <formula>"x"</formula>
    </cfRule>
  </conditionalFormatting>
  <conditionalFormatting sqref="AB265:AB274">
    <cfRule type="cellIs" dxfId="357" priority="53" operator="equal">
      <formula>"x"</formula>
    </cfRule>
  </conditionalFormatting>
  <conditionalFormatting sqref="V236:V237 V248:V249 V246">
    <cfRule type="cellIs" dxfId="356" priority="61" operator="equal">
      <formula>"x"</formula>
    </cfRule>
  </conditionalFormatting>
  <conditionalFormatting sqref="W236:W250">
    <cfRule type="cellIs" dxfId="355" priority="60" operator="equal">
      <formula>"x"</formula>
    </cfRule>
  </conditionalFormatting>
  <conditionalFormatting sqref="X236:X250">
    <cfRule type="cellIs" dxfId="354" priority="59" operator="equal">
      <formula>"x"</formula>
    </cfRule>
  </conditionalFormatting>
  <conditionalFormatting sqref="Y236:Y250">
    <cfRule type="cellIs" dxfId="353" priority="58" operator="equal">
      <formula>"x"</formula>
    </cfRule>
  </conditionalFormatting>
  <conditionalFormatting sqref="Z236:Z250">
    <cfRule type="cellIs" dxfId="352" priority="57" operator="equal">
      <formula>"x"</formula>
    </cfRule>
  </conditionalFormatting>
  <conditionalFormatting sqref="AA236:AA250">
    <cfRule type="cellIs" dxfId="351" priority="56" operator="equal">
      <formula>"x"</formula>
    </cfRule>
  </conditionalFormatting>
  <conditionalFormatting sqref="AB236:AB250">
    <cfRule type="cellIs" dxfId="350" priority="55" operator="equal">
      <formula>"x"</formula>
    </cfRule>
  </conditionalFormatting>
  <conditionalFormatting sqref="F220:F229">
    <cfRule type="cellIs" dxfId="349" priority="54" operator="equal">
      <formula>"x"</formula>
    </cfRule>
  </conditionalFormatting>
  <conditionalFormatting sqref="G158">
    <cfRule type="cellIs" dxfId="348" priority="52" operator="equal">
      <formula>"x"</formula>
    </cfRule>
  </conditionalFormatting>
  <conditionalFormatting sqref="G159">
    <cfRule type="cellIs" dxfId="347" priority="51" operator="equal">
      <formula>"x"</formula>
    </cfRule>
  </conditionalFormatting>
  <conditionalFormatting sqref="G160">
    <cfRule type="cellIs" dxfId="346" priority="50" operator="equal">
      <formula>"x"</formula>
    </cfRule>
  </conditionalFormatting>
  <conditionalFormatting sqref="G150">
    <cfRule type="cellIs" dxfId="345" priority="49" operator="equal">
      <formula>"x"</formula>
    </cfRule>
  </conditionalFormatting>
  <conditionalFormatting sqref="G148">
    <cfRule type="cellIs" dxfId="344" priority="48" operator="equal">
      <formula>"x"</formula>
    </cfRule>
  </conditionalFormatting>
  <conditionalFormatting sqref="G146">
    <cfRule type="cellIs" dxfId="343" priority="47" operator="equal">
      <formula>"x"</formula>
    </cfRule>
  </conditionalFormatting>
  <conditionalFormatting sqref="G144">
    <cfRule type="cellIs" dxfId="342" priority="46" operator="equal">
      <formula>"x"</formula>
    </cfRule>
  </conditionalFormatting>
  <conditionalFormatting sqref="G145">
    <cfRule type="cellIs" dxfId="341" priority="45" operator="equal">
      <formula>"x"</formula>
    </cfRule>
  </conditionalFormatting>
  <conditionalFormatting sqref="G141">
    <cfRule type="cellIs" dxfId="340" priority="44" operator="equal">
      <formula>"x"</formula>
    </cfRule>
  </conditionalFormatting>
  <conditionalFormatting sqref="G142">
    <cfRule type="cellIs" dxfId="339" priority="43" operator="equal">
      <formula>"x"</formula>
    </cfRule>
  </conditionalFormatting>
  <conditionalFormatting sqref="D235:I235">
    <cfRule type="cellIs" dxfId="338" priority="42" operator="equal">
      <formula>"x"</formula>
    </cfRule>
  </conditionalFormatting>
  <conditionalFormatting sqref="G163">
    <cfRule type="cellIs" dxfId="337" priority="41" operator="equal">
      <formula>"x"</formula>
    </cfRule>
  </conditionalFormatting>
  <conditionalFormatting sqref="AC133:AC152 AC99:AC126 AC154:AC165">
    <cfRule type="cellIs" dxfId="336" priority="40" operator="equal">
      <formula>"x"</formula>
    </cfRule>
  </conditionalFormatting>
  <conditionalFormatting sqref="AC127:AC130">
    <cfRule type="cellIs" dxfId="335" priority="39" operator="equal">
      <formula>"x"</formula>
    </cfRule>
  </conditionalFormatting>
  <conditionalFormatting sqref="AC131:AC132">
    <cfRule type="cellIs" dxfId="334" priority="38" operator="equal">
      <formula>"x"</formula>
    </cfRule>
  </conditionalFormatting>
  <conditionalFormatting sqref="AC153:AD153">
    <cfRule type="cellIs" dxfId="333" priority="37" operator="equal">
      <formula>"x"</formula>
    </cfRule>
  </conditionalFormatting>
  <conditionalFormatting sqref="AC166:AD166">
    <cfRule type="cellIs" dxfId="332" priority="36" operator="equal">
      <formula>"x"</formula>
    </cfRule>
  </conditionalFormatting>
  <conditionalFormatting sqref="AC91:AC94">
    <cfRule type="cellIs" dxfId="331" priority="35" operator="equal">
      <formula>"x"</formula>
    </cfRule>
  </conditionalFormatting>
  <conditionalFormatting sqref="AC57:AC70 AC72:AC76 AC78:AC80">
    <cfRule type="cellIs" dxfId="330" priority="34" operator="equal">
      <formula>"x"</formula>
    </cfRule>
  </conditionalFormatting>
  <conditionalFormatting sqref="AC71">
    <cfRule type="cellIs" dxfId="329" priority="32" operator="equal">
      <formula>"x"</formula>
    </cfRule>
  </conditionalFormatting>
  <conditionalFormatting sqref="AC77">
    <cfRule type="cellIs" dxfId="328" priority="33" operator="equal">
      <formula>"x"</formula>
    </cfRule>
  </conditionalFormatting>
  <conditionalFormatting sqref="F57:F70 F72:F76 F78:F80">
    <cfRule type="cellIs" dxfId="327" priority="31" operator="equal">
      <formula>"x"</formula>
    </cfRule>
  </conditionalFormatting>
  <conditionalFormatting sqref="F71">
    <cfRule type="cellIs" dxfId="326" priority="29" operator="equal">
      <formula>"x"</formula>
    </cfRule>
  </conditionalFormatting>
  <conditionalFormatting sqref="F77">
    <cfRule type="cellIs" dxfId="325" priority="30" operator="equal">
      <formula>"x"</formula>
    </cfRule>
  </conditionalFormatting>
  <conditionalFormatting sqref="AO196:AO200">
    <cfRule type="cellIs" dxfId="324" priority="28" operator="equal">
      <formula>"x"</formula>
    </cfRule>
  </conditionalFormatting>
  <conditionalFormatting sqref="AC173:AC174">
    <cfRule type="cellIs" dxfId="323" priority="27" operator="equal">
      <formula>"x"</formula>
    </cfRule>
  </conditionalFormatting>
  <conditionalFormatting sqref="AC172:AD172">
    <cfRule type="cellIs" dxfId="322" priority="26" operator="equal">
      <formula>"x"</formula>
    </cfRule>
  </conditionalFormatting>
  <conditionalFormatting sqref="AC236:AC250">
    <cfRule type="cellIs" dxfId="321" priority="25" operator="equal">
      <formula>"x"</formula>
    </cfRule>
  </conditionalFormatting>
  <conditionalFormatting sqref="AC265:AC274">
    <cfRule type="cellIs" dxfId="320" priority="24" operator="equal">
      <formula>"x"</formula>
    </cfRule>
  </conditionalFormatting>
  <conditionalFormatting sqref="AO213:AO214">
    <cfRule type="cellIs" dxfId="319" priority="23" operator="equal">
      <formula>"x"</formula>
    </cfRule>
  </conditionalFormatting>
  <conditionalFormatting sqref="J197:J200">
    <cfRule type="cellIs" dxfId="318" priority="22" operator="equal">
      <formula>"x"</formula>
    </cfRule>
  </conditionalFormatting>
  <conditionalFormatting sqref="AD91:AD94">
    <cfRule type="cellIs" dxfId="317" priority="12" operator="equal">
      <formula>"x"</formula>
    </cfRule>
  </conditionalFormatting>
  <conditionalFormatting sqref="AD57:AD70 AD72:AD76 AD78:AD80">
    <cfRule type="cellIs" dxfId="316" priority="11" operator="equal">
      <formula>"x"</formula>
    </cfRule>
  </conditionalFormatting>
  <conditionalFormatting sqref="AD71 AD77">
    <cfRule type="cellIs" dxfId="315" priority="10" operator="equal">
      <formula>"x"</formula>
    </cfRule>
  </conditionalFormatting>
  <conditionalFormatting sqref="AD133:AD152 AD99:AD126 AD154:AD165">
    <cfRule type="cellIs" dxfId="314" priority="8" operator="equal">
      <formula>"x"</formula>
    </cfRule>
  </conditionalFormatting>
  <conditionalFormatting sqref="AD127:AD130">
    <cfRule type="cellIs" dxfId="313" priority="7" operator="equal">
      <formula>"x"</formula>
    </cfRule>
  </conditionalFormatting>
  <conditionalFormatting sqref="AD131:AD132">
    <cfRule type="cellIs" dxfId="312" priority="6" operator="equal">
      <formula>"x"</formula>
    </cfRule>
  </conditionalFormatting>
  <conditionalFormatting sqref="AD173:AD174">
    <cfRule type="cellIs" dxfId="311" priority="5" operator="equal">
      <formula>"x"</formula>
    </cfRule>
  </conditionalFormatting>
  <conditionalFormatting sqref="AP196:AP200">
    <cfRule type="cellIs" dxfId="310" priority="4" operator="equal">
      <formula>"x"</formula>
    </cfRule>
  </conditionalFormatting>
  <conditionalFormatting sqref="AP213:AP214">
    <cfRule type="cellIs" dxfId="309" priority="3" operator="equal">
      <formula>"x"</formula>
    </cfRule>
  </conditionalFormatting>
  <conditionalFormatting sqref="AD236:AD250">
    <cfRule type="cellIs" dxfId="308" priority="2" operator="equal">
      <formula>"x"</formula>
    </cfRule>
  </conditionalFormatting>
  <conditionalFormatting sqref="AD265:AD274">
    <cfRule type="cellIs" dxfId="307" priority="1" operator="equal">
      <formula>"x"</formula>
    </cfRule>
  </conditionalFormatting>
  <hyperlinks>
    <hyperlink ref="C295" location="_ftn2" display="_ftn2" xr:uid="{00000000-0004-0000-0300-000000000000}"/>
    <hyperlink ref="C298" location="_ftnref1" display="_ftnref1" xr:uid="{00000000-0004-0000-0300-000001000000}"/>
    <hyperlink ref="I249" r:id="rId1" display="https://www.walmart.com/ip/TrickleStar-00627-3-Cord-7-Outlet-Tier-1-Power-Strip-7-OUTLET-TIER-1-ADVANCED-POWERSTRIP-1-080-JOULES-3-FOOT-POWER-CORD-ALUMI/836049860?wmlspartner=wlpa&amp;selectedSellerId=1087_x000a_https://www.walmart.com/ip/Embertec-00035-8AV-Emberstrip-with-Classic-Sensor-EMBERTEC-CLASSIC-8AV/693567947?wmlspartner=wlpa&amp;selectedSellerId=1087_x000a_https://www.amazon.com/AHRISE-Protector%EF%BC%881680-Outlets-outlets-Extension/dp/B07WGN3X5F/ref=sr_1_3?dchild=1&amp;keywords=smart+power+strip&amp;qid=1595622845&amp;sr=8-3_x000a_https://www.amazon.com/Kasa-Smart-Protector-Required-KP303/dp/B083JKSSR5/ref=sr_1_4?dchild=1&amp;keywords=smart+power+strip&amp;qid=1595622845&amp;sr=8-4" xr:uid="{00000000-0004-0000-0300-000002000000}"/>
  </hyperlinks>
  <pageMargins left="0.7" right="0.7" top="0.75" bottom="0.75" header="0.3" footer="0.3"/>
  <pageSetup scale="10" fitToHeight="0" orientation="portrait" r:id="rId2"/>
  <rowBreaks count="1" manualBreakCount="1">
    <brk id="275" max="16383" man="1"/>
  </rowBreaks>
  <drawing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BQ365"/>
  <sheetViews>
    <sheetView zoomScale="70" zoomScaleNormal="70" workbookViewId="0">
      <selection sqref="A1:O1"/>
    </sheetView>
  </sheetViews>
  <sheetFormatPr defaultColWidth="16.453125" defaultRowHeight="14.5" outlineLevelRow="1" x14ac:dyDescent="0.35"/>
  <cols>
    <col min="1" max="1" width="5.54296875" style="106" customWidth="1"/>
    <col min="2" max="2" width="16.453125" style="106"/>
    <col min="3" max="3" width="20.1796875" style="292" bestFit="1" customWidth="1"/>
    <col min="4" max="4" width="22.1796875" style="292" customWidth="1"/>
    <col min="5" max="5" width="55.7265625" style="106" customWidth="1"/>
    <col min="6" max="6" width="20.26953125" style="106" customWidth="1"/>
    <col min="7" max="7" width="22.81640625" style="106" customWidth="1"/>
    <col min="8" max="8" width="24.81640625" style="106" customWidth="1"/>
    <col min="9" max="9" width="15.81640625" style="106" customWidth="1"/>
    <col min="10" max="10" width="11.1796875" style="106" customWidth="1"/>
    <col min="11" max="12" width="16.453125" style="106" customWidth="1"/>
    <col min="13" max="13" width="16.453125" style="486" customWidth="1"/>
    <col min="14" max="21" width="16.453125" style="106" customWidth="1"/>
    <col min="22" max="22" width="29.453125" style="106" customWidth="1"/>
    <col min="23" max="23" width="16.453125" style="87" customWidth="1"/>
    <col min="24" max="24" width="18" style="87" customWidth="1"/>
    <col min="25" max="25" width="17.1796875" style="87" customWidth="1"/>
    <col min="26" max="27" width="16.453125" style="87" customWidth="1"/>
    <col min="28" max="28" width="17.453125" style="87" bestFit="1" customWidth="1"/>
    <col min="29" max="35" width="16.453125" customWidth="1"/>
    <col min="36" max="37" width="18" customWidth="1"/>
    <col min="38" max="53" width="16.453125" customWidth="1"/>
    <col min="55" max="55" width="33.1796875" bestFit="1" customWidth="1"/>
    <col min="56" max="56" width="13.81640625" style="1" customWidth="1"/>
    <col min="57" max="57" width="20.453125" style="1" customWidth="1"/>
  </cols>
  <sheetData>
    <row r="1" spans="1:57" s="21" customFormat="1" ht="18.5" x14ac:dyDescent="0.45">
      <c r="A1" s="3657" t="s">
        <v>491</v>
      </c>
      <c r="B1" s="3853"/>
      <c r="C1" s="3853"/>
      <c r="D1" s="3853"/>
      <c r="E1" s="3853"/>
      <c r="F1" s="3853"/>
      <c r="G1" s="3853"/>
      <c r="H1" s="3853"/>
      <c r="I1" s="3853"/>
      <c r="J1" s="3853"/>
      <c r="K1" s="3853"/>
      <c r="L1" s="3853"/>
      <c r="M1" s="3853"/>
      <c r="N1" s="3853"/>
      <c r="O1" s="3853"/>
      <c r="P1" s="106"/>
      <c r="Q1" s="106"/>
      <c r="R1" s="725"/>
      <c r="S1" s="725"/>
      <c r="T1" s="725"/>
      <c r="U1" s="725"/>
      <c r="V1" s="2035"/>
      <c r="W1" s="1943"/>
      <c r="X1" s="1943"/>
      <c r="Y1" s="723"/>
      <c r="Z1" s="723"/>
      <c r="AA1" s="723"/>
      <c r="AB1" s="723"/>
      <c r="AC1" s="28"/>
      <c r="AD1" s="28"/>
      <c r="AE1" s="28"/>
      <c r="AF1" s="28"/>
      <c r="AG1" s="28"/>
      <c r="AH1" s="28"/>
      <c r="BD1" s="366"/>
      <c r="BE1" s="366"/>
    </row>
    <row r="2" spans="1:57" s="21" customFormat="1" ht="30" hidden="1" customHeight="1" outlineLevel="1" x14ac:dyDescent="0.5">
      <c r="A2" s="725"/>
      <c r="B2" s="1081"/>
      <c r="C2" s="1945"/>
      <c r="D2" s="3661" t="s">
        <v>2243</v>
      </c>
      <c r="E2" s="3662"/>
      <c r="F2" s="3663"/>
      <c r="G2" s="3663"/>
      <c r="H2" s="3663"/>
      <c r="I2" s="3663"/>
      <c r="J2" s="3663"/>
      <c r="K2" s="724"/>
      <c r="L2" s="724"/>
      <c r="M2" s="725"/>
      <c r="N2" s="725"/>
      <c r="O2" s="725"/>
      <c r="P2" s="725"/>
      <c r="Q2" s="725"/>
      <c r="R2" s="725"/>
      <c r="S2" s="725"/>
      <c r="T2" s="725"/>
      <c r="U2" s="725"/>
      <c r="V2" s="725"/>
      <c r="W2" s="54"/>
      <c r="X2" s="54"/>
      <c r="Y2" s="54"/>
      <c r="Z2" s="54"/>
      <c r="AA2" s="54"/>
      <c r="AB2" s="54"/>
      <c r="BD2" s="366"/>
      <c r="BE2" s="366"/>
    </row>
    <row r="3" spans="1:57" s="21" customFormat="1" ht="33.75" customHeight="1" collapsed="1" x14ac:dyDescent="0.35">
      <c r="A3" s="725"/>
      <c r="B3" s="725"/>
      <c r="C3" s="128"/>
      <c r="D3" s="128"/>
      <c r="E3" s="1252"/>
      <c r="F3" s="127"/>
      <c r="G3" s="127"/>
      <c r="H3" s="127"/>
      <c r="I3" s="127"/>
      <c r="J3" s="127"/>
      <c r="K3" s="725"/>
      <c r="L3" s="725"/>
      <c r="M3" s="1116"/>
      <c r="N3" s="725"/>
      <c r="O3" s="725"/>
      <c r="P3" s="725"/>
      <c r="Q3" s="725"/>
      <c r="R3" s="725"/>
      <c r="S3" s="725"/>
      <c r="T3" s="725"/>
      <c r="U3" s="725"/>
      <c r="V3" s="725"/>
      <c r="W3" s="54"/>
      <c r="X3" s="54"/>
      <c r="Y3" s="54"/>
      <c r="Z3" s="54"/>
      <c r="AA3" s="54"/>
      <c r="AB3" s="54"/>
      <c r="BD3" s="366"/>
      <c r="BE3" s="366"/>
    </row>
    <row r="4" spans="1:57" x14ac:dyDescent="0.35">
      <c r="B4" s="3664" t="s">
        <v>492</v>
      </c>
      <c r="C4" s="3665"/>
      <c r="D4" s="3665"/>
      <c r="E4" s="3665"/>
      <c r="F4" s="3665"/>
      <c r="G4" s="3665"/>
      <c r="H4" s="3665"/>
      <c r="I4" s="3666"/>
      <c r="J4" s="3666"/>
      <c r="K4" s="3666"/>
      <c r="L4" s="3666"/>
      <c r="M4" s="3666"/>
      <c r="N4" s="3667"/>
      <c r="O4" s="199"/>
      <c r="P4" s="199"/>
      <c r="Q4" s="199"/>
      <c r="R4" s="199"/>
      <c r="V4" s="3664" t="str">
        <f>B4</f>
        <v>Dirty Filter Alarm</v>
      </c>
      <c r="W4" s="3665"/>
      <c r="X4" s="3665"/>
      <c r="Y4" s="3665"/>
      <c r="Z4" s="3665"/>
      <c r="AA4" s="3665"/>
      <c r="AB4" s="3665"/>
      <c r="AC4" s="3680"/>
      <c r="AD4" s="3680"/>
      <c r="AE4" s="3680"/>
      <c r="AF4" s="3680"/>
      <c r="AG4" s="3680"/>
      <c r="AH4" s="3681"/>
    </row>
    <row r="5" spans="1:57" x14ac:dyDescent="0.35">
      <c r="B5" s="1230"/>
      <c r="C5" s="217"/>
      <c r="D5" s="367"/>
      <c r="E5" s="198"/>
      <c r="F5" s="198"/>
      <c r="G5" s="198"/>
      <c r="H5" s="198"/>
      <c r="I5" s="198"/>
      <c r="J5" s="198"/>
      <c r="K5" s="198"/>
      <c r="L5" s="1219"/>
      <c r="M5" s="226"/>
      <c r="N5" s="199"/>
      <c r="O5" s="199"/>
      <c r="P5" s="199"/>
      <c r="Q5" s="199"/>
      <c r="R5" s="199"/>
      <c r="BD5" s="3402" t="s">
        <v>4473</v>
      </c>
    </row>
    <row r="6" spans="1:57" ht="29" x14ac:dyDescent="0.35">
      <c r="B6" s="1040"/>
      <c r="C6" s="2331" t="s">
        <v>27</v>
      </c>
      <c r="D6" s="2331" t="s">
        <v>174</v>
      </c>
      <c r="E6" s="2331" t="s">
        <v>29</v>
      </c>
      <c r="F6" s="2331" t="s">
        <v>30</v>
      </c>
      <c r="G6" s="2331" t="s">
        <v>175</v>
      </c>
      <c r="H6" s="2331" t="s">
        <v>176</v>
      </c>
      <c r="I6" s="2331" t="s">
        <v>493</v>
      </c>
      <c r="J6" s="2331" t="s">
        <v>494</v>
      </c>
      <c r="K6" s="2331" t="s">
        <v>31</v>
      </c>
      <c r="L6" s="2363" t="s">
        <v>180</v>
      </c>
      <c r="M6" s="2331" t="s">
        <v>169</v>
      </c>
      <c r="N6" s="2331" t="s">
        <v>43</v>
      </c>
      <c r="V6" s="480" t="s">
        <v>44</v>
      </c>
      <c r="W6" s="316">
        <v>43252</v>
      </c>
      <c r="X6" s="316">
        <v>43465</v>
      </c>
      <c r="Y6" s="316">
        <v>43800</v>
      </c>
      <c r="Z6" s="316">
        <v>43862</v>
      </c>
      <c r="AA6" s="316">
        <v>44013</v>
      </c>
      <c r="AB6" s="316">
        <v>44166</v>
      </c>
      <c r="AC6" s="1573">
        <v>44531</v>
      </c>
      <c r="AD6" s="1573">
        <v>44774</v>
      </c>
      <c r="AE6" s="1573" t="s">
        <v>45</v>
      </c>
      <c r="AF6" s="1573" t="s">
        <v>45</v>
      </c>
      <c r="AG6" s="1573" t="s">
        <v>45</v>
      </c>
      <c r="BB6" s="1584" t="s">
        <v>4472</v>
      </c>
      <c r="BC6" s="38" t="s">
        <v>47</v>
      </c>
      <c r="BD6" s="39" t="s">
        <v>48</v>
      </c>
      <c r="BE6" s="39" t="s">
        <v>49</v>
      </c>
    </row>
    <row r="7" spans="1:57" x14ac:dyDescent="0.35">
      <c r="B7" s="1040"/>
      <c r="C7" s="368" t="s">
        <v>495</v>
      </c>
      <c r="D7" s="395" t="s">
        <v>496</v>
      </c>
      <c r="E7" s="822" t="s">
        <v>497</v>
      </c>
      <c r="F7" s="501">
        <f>ROUND(I7+J7,2)</f>
        <v>53.75</v>
      </c>
      <c r="G7" s="2388" t="s">
        <v>425</v>
      </c>
      <c r="H7" s="136">
        <f>VLOOKUP(G7,'CP FACTORS'!$A$3:$B$38, 2, FALSE)</f>
        <v>4.6608050000000002E-4</v>
      </c>
      <c r="I7" s="1231">
        <f>F$22*F$24*F$25*F$27*F28*F30</f>
        <v>33.999526956521741</v>
      </c>
      <c r="J7" s="1231">
        <f>F$34*F$24*F$36*F$27*F28*F30</f>
        <v>19.749725217391305</v>
      </c>
      <c r="K7" s="742">
        <f>ROUND(H7*F7,6)</f>
        <v>2.5052000000000001E-2</v>
      </c>
      <c r="L7" s="820">
        <f>$F$38</f>
        <v>14</v>
      </c>
      <c r="M7" s="389">
        <f>$F$39</f>
        <v>5</v>
      </c>
      <c r="N7" s="395" t="s">
        <v>184</v>
      </c>
      <c r="V7" s="1592" t="str">
        <f>$F$6</f>
        <v>kWh Annual Savings</v>
      </c>
      <c r="W7" s="371">
        <v>68.110226249999997</v>
      </c>
      <c r="X7" s="372">
        <v>64.253294436813192</v>
      </c>
      <c r="Y7" s="373">
        <v>61.06</v>
      </c>
      <c r="Z7" s="1741">
        <v>61.06</v>
      </c>
      <c r="AA7" s="1741">
        <v>61.06</v>
      </c>
      <c r="AB7" s="1599">
        <v>53.75</v>
      </c>
      <c r="AC7" s="501">
        <v>53.75</v>
      </c>
      <c r="AD7" s="501">
        <v>53.75</v>
      </c>
      <c r="AE7" s="141"/>
      <c r="AF7" s="141"/>
      <c r="AG7" s="141"/>
      <c r="AH7" s="144"/>
      <c r="BB7" s="94">
        <f>(BD7)/(BE7)</f>
        <v>10.0772872313763</v>
      </c>
      <c r="BC7" s="2381" t="str">
        <f>CONCATENATE(G7," ",L7," Year EUL")</f>
        <v>HVAC RES 14 Year EUL</v>
      </c>
      <c r="BD7" s="1972">
        <f>(INDEX('Avoided Cost Benefits'!$E$4:$E$859,MATCH(BC7,'Avoided Cost Benefits'!$A$4:$A$859,0)))*F7</f>
        <v>47.556806188656438</v>
      </c>
      <c r="BE7" s="1973">
        <f>M7/(1.0595^(2020-2019))</f>
        <v>4.7192071731949028</v>
      </c>
    </row>
    <row r="8" spans="1:57" x14ac:dyDescent="0.35">
      <c r="B8" s="1040"/>
      <c r="C8" s="368" t="s">
        <v>498</v>
      </c>
      <c r="D8" s="395" t="s">
        <v>547</v>
      </c>
      <c r="E8" s="2548" t="s">
        <v>4232</v>
      </c>
      <c r="F8" s="501">
        <f t="shared" ref="F8:F11" si="0">ROUND(I8+J8,2)</f>
        <v>98.22</v>
      </c>
      <c r="G8" s="2388" t="s">
        <v>425</v>
      </c>
      <c r="H8" s="393">
        <f>VLOOKUP(G8,'CP FACTORS'!$A$3:$B$38, 2, FALSE)</f>
        <v>4.6608050000000002E-4</v>
      </c>
      <c r="I8" s="1231">
        <f>F$22*F$24*F$25*F$27*F29*F31</f>
        <v>62.128554782608688</v>
      </c>
      <c r="J8" s="1231">
        <f t="shared" ref="J8" si="1">F$34*F$24*F$36*F$27*F29*F31</f>
        <v>36.089381086956521</v>
      </c>
      <c r="K8" s="742">
        <f t="shared" ref="K8:K9" si="2">ROUND(H8*F8,6)</f>
        <v>4.5777999999999999E-2</v>
      </c>
      <c r="L8" s="820">
        <f t="shared" ref="L8:L11" si="3">$F$38</f>
        <v>14</v>
      </c>
      <c r="M8" s="389">
        <f t="shared" ref="M8:M9" si="4">$F$39</f>
        <v>5</v>
      </c>
      <c r="N8" s="395" t="s">
        <v>184</v>
      </c>
      <c r="V8" s="1592" t="str">
        <f t="shared" ref="V8:V11" si="5">$F$6</f>
        <v>kWh Annual Savings</v>
      </c>
      <c r="W8" s="371"/>
      <c r="X8" s="372"/>
      <c r="Y8" s="373"/>
      <c r="Z8" s="1741"/>
      <c r="AA8" s="1741"/>
      <c r="AB8" s="1599">
        <v>98.22</v>
      </c>
      <c r="AC8" s="501">
        <v>98.22</v>
      </c>
      <c r="AD8" s="501">
        <v>98.22</v>
      </c>
      <c r="AE8" s="141"/>
      <c r="AF8" s="141"/>
      <c r="AG8" s="141"/>
      <c r="AH8" s="144"/>
      <c r="BB8" s="94">
        <f t="shared" ref="BB8:BB9" si="6">(BD8)/(BE8)</f>
        <v>18.41471910447963</v>
      </c>
      <c r="BC8" s="2381" t="str">
        <f t="shared" ref="BC8:BC9" si="7">CONCATENATE(G8," ",L8," Year EUL")</f>
        <v>HVAC RES 14 Year EUL</v>
      </c>
      <c r="BD8" s="1972">
        <f>(INDEX('Avoided Cost Benefits'!$E$4:$E$859,MATCH(BC8,'Avoided Cost Benefits'!$A$4:$A$859,0)))*F8</f>
        <v>86.902874490229493</v>
      </c>
      <c r="BE8" s="1973">
        <f t="shared" ref="BE8:BE9" si="8">M8/(1.0595^(2020-2019))</f>
        <v>4.7192071731949028</v>
      </c>
    </row>
    <row r="9" spans="1:57" x14ac:dyDescent="0.35">
      <c r="B9" s="1040"/>
      <c r="C9" s="368" t="s">
        <v>499</v>
      </c>
      <c r="D9" s="395" t="s">
        <v>500</v>
      </c>
      <c r="E9" s="2548" t="s">
        <v>501</v>
      </c>
      <c r="F9" s="501">
        <f t="shared" si="0"/>
        <v>15.27</v>
      </c>
      <c r="G9" s="2388" t="s">
        <v>425</v>
      </c>
      <c r="H9" s="393">
        <f>VLOOKUP(G9,'CP FACTORS'!$A$3:$B$38, 2, FALSE)</f>
        <v>4.6608050000000002E-4</v>
      </c>
      <c r="I9" s="1231">
        <f>F$22*F$24*F$25*F$27*F29*F33</f>
        <v>9.65895652173913</v>
      </c>
      <c r="J9" s="1231">
        <f>F$34*F$24*F$36*F$27*F29*F33</f>
        <v>5.6107173913043482</v>
      </c>
      <c r="K9" s="742">
        <f t="shared" si="2"/>
        <v>7.1170000000000001E-3</v>
      </c>
      <c r="L9" s="820">
        <f t="shared" si="3"/>
        <v>14</v>
      </c>
      <c r="M9" s="389">
        <f t="shared" si="4"/>
        <v>5</v>
      </c>
      <c r="N9" s="395" t="s">
        <v>184</v>
      </c>
      <c r="V9" s="1592" t="str">
        <f t="shared" si="5"/>
        <v>kWh Annual Savings</v>
      </c>
      <c r="W9" s="371"/>
      <c r="X9" s="372"/>
      <c r="Y9" s="373"/>
      <c r="Z9" s="1741"/>
      <c r="AA9" s="1741"/>
      <c r="AB9" s="1599">
        <v>15.27</v>
      </c>
      <c r="AC9" s="501">
        <v>15.27</v>
      </c>
      <c r="AD9" s="501">
        <v>15.27</v>
      </c>
      <c r="AE9" s="141"/>
      <c r="AF9" s="141"/>
      <c r="AG9" s="141"/>
      <c r="AH9" s="144"/>
      <c r="BB9" s="94">
        <f t="shared" si="6"/>
        <v>2.8628869957789043</v>
      </c>
      <c r="BC9" s="2381" t="str">
        <f t="shared" si="7"/>
        <v>HVAC RES 14 Year EUL</v>
      </c>
      <c r="BD9" s="1972">
        <f>(INDEX('Avoided Cost Benefits'!$E$4:$E$859,MATCH(BC9,'Avoided Cost Benefits'!$A$4:$A$859,0)))*F9</f>
        <v>13.51055684652621</v>
      </c>
      <c r="BE9" s="1973">
        <f t="shared" si="8"/>
        <v>4.7192071731949028</v>
      </c>
    </row>
    <row r="10" spans="1:57" x14ac:dyDescent="0.35">
      <c r="B10" s="1040"/>
      <c r="C10" s="368" t="s">
        <v>502</v>
      </c>
      <c r="D10" s="395" t="s">
        <v>496</v>
      </c>
      <c r="E10" s="2548" t="s">
        <v>503</v>
      </c>
      <c r="F10" s="501">
        <f t="shared" si="0"/>
        <v>177.38</v>
      </c>
      <c r="G10" s="2388" t="s">
        <v>425</v>
      </c>
      <c r="H10" s="136">
        <f>VLOOKUP(G10,'CP FACTORS'!$A$3:$B$38, 2, FALSE)</f>
        <v>4.6608050000000002E-4</v>
      </c>
      <c r="I10" s="1231">
        <f>F$23*F$24*F$25*F$27*F29*F32</f>
        <v>112.2</v>
      </c>
      <c r="J10" s="1231">
        <f>F$35*F$24*F$36*F$27*F29*F32</f>
        <v>65.174999999999997</v>
      </c>
      <c r="K10" s="742">
        <f>ROUND(H10*F10,6)</f>
        <v>8.2672999999999996E-2</v>
      </c>
      <c r="L10" s="820">
        <f t="shared" si="3"/>
        <v>14</v>
      </c>
      <c r="M10" s="389">
        <f>F40</f>
        <v>5</v>
      </c>
      <c r="N10" s="395" t="s">
        <v>184</v>
      </c>
      <c r="V10" s="1592" t="str">
        <f t="shared" si="5"/>
        <v>kWh Annual Savings</v>
      </c>
      <c r="W10" s="371">
        <v>79.197937499999995</v>
      </c>
      <c r="X10" s="372">
        <v>171.76499999999999</v>
      </c>
      <c r="Y10" s="373">
        <v>177.38</v>
      </c>
      <c r="Z10" s="1741">
        <v>177.38</v>
      </c>
      <c r="AA10" s="1741">
        <v>177.38</v>
      </c>
      <c r="AB10" s="479">
        <v>177.38</v>
      </c>
      <c r="AC10" s="501">
        <v>177.38</v>
      </c>
      <c r="AD10" s="501">
        <v>177.38</v>
      </c>
      <c r="AE10" s="141"/>
      <c r="AF10" s="141"/>
      <c r="AG10" s="141"/>
      <c r="AH10" s="144"/>
      <c r="BB10" s="94">
        <f>(BD10)/(BE10)</f>
        <v>33.255985285609825</v>
      </c>
      <c r="BC10" s="1580" t="str">
        <f>CONCATENATE(G10," ",L10," Year EUL")</f>
        <v>HVAC RES 14 Year EUL</v>
      </c>
      <c r="BD10" s="1972">
        <f>(INDEX('Avoided Cost Benefits'!$E$4:$E$859,MATCH(BC10,'Avoided Cost Benefits'!$A$4:$A$859,0)))*F10</f>
        <v>156.94188431151403</v>
      </c>
      <c r="BE10" s="1973">
        <f>M10/(1.0595^(2020-2019))</f>
        <v>4.7192071731949028</v>
      </c>
    </row>
    <row r="11" spans="1:57" x14ac:dyDescent="0.35">
      <c r="B11" s="1040"/>
      <c r="C11" s="368" t="s">
        <v>504</v>
      </c>
      <c r="D11" s="1544" t="s">
        <v>496</v>
      </c>
      <c r="E11" s="2354" t="str">
        <f>CONCATENATE(E10,"_CompE")</f>
        <v>Dirty Filter Alarm_MF_CompE</v>
      </c>
      <c r="F11" s="1232">
        <f t="shared" si="0"/>
        <v>85.65</v>
      </c>
      <c r="G11" s="2388" t="s">
        <v>425</v>
      </c>
      <c r="H11" s="136">
        <f>VLOOKUP(G11,'CP FACTORS'!$A$3:$B$38, 2, FALSE)</f>
        <v>4.6608050000000002E-4</v>
      </c>
      <c r="I11" s="1231">
        <f>F$23*F$24*F$26*F$27*F29*F32</f>
        <v>38.25</v>
      </c>
      <c r="J11" s="1231">
        <f>F$35*F$24*F$37*F$27*F29*F32</f>
        <v>47.4</v>
      </c>
      <c r="K11" s="742">
        <f>ROUND(H11*F11,6)</f>
        <v>3.9919999999999997E-2</v>
      </c>
      <c r="L11" s="820">
        <f t="shared" si="3"/>
        <v>14</v>
      </c>
      <c r="M11" s="389">
        <f>F40</f>
        <v>5</v>
      </c>
      <c r="N11" s="395" t="s">
        <v>184</v>
      </c>
      <c r="V11" s="1592" t="str">
        <f t="shared" si="5"/>
        <v>kWh Annual Savings</v>
      </c>
      <c r="W11" s="371"/>
      <c r="X11" s="372"/>
      <c r="Y11" s="373">
        <v>85.65</v>
      </c>
      <c r="Z11" s="1741">
        <v>85.65</v>
      </c>
      <c r="AA11" s="1741">
        <v>85.65</v>
      </c>
      <c r="AB11" s="479">
        <v>85.65</v>
      </c>
      <c r="AC11" s="1232">
        <v>85.65</v>
      </c>
      <c r="AD11" s="1232">
        <v>85.65</v>
      </c>
      <c r="AE11" s="141"/>
      <c r="AF11" s="141"/>
      <c r="AG11" s="141"/>
      <c r="AH11" s="144"/>
      <c r="BB11" s="94">
        <f>(BD11)/(BE11)</f>
        <v>16.058040025439631</v>
      </c>
      <c r="BC11" s="1580" t="str">
        <f>CONCATENATE(G11," ",L11," Year EUL")</f>
        <v>HVAC RES 14 Year EUL</v>
      </c>
      <c r="BD11" s="1972">
        <f>(INDEX('Avoided Cost Benefits'!$E$4:$E$859,MATCH(BC11,'Avoided Cost Benefits'!$A$4:$A$859,0)))*F11</f>
        <v>75.781217675505573</v>
      </c>
      <c r="BE11" s="1973">
        <f>M11/(1.0595^(2020-2019))</f>
        <v>4.7192071731949028</v>
      </c>
    </row>
    <row r="12" spans="1:57" hidden="1" outlineLevel="1" x14ac:dyDescent="0.35">
      <c r="B12" s="1040"/>
      <c r="C12" s="375"/>
      <c r="D12" s="3102"/>
      <c r="E12" s="756"/>
      <c r="F12" s="1233"/>
      <c r="G12" s="1234"/>
      <c r="H12" s="1235"/>
      <c r="I12" s="1236"/>
      <c r="J12" s="1237"/>
      <c r="K12" s="1238"/>
      <c r="L12" s="1239"/>
      <c r="M12" s="1240"/>
      <c r="N12" s="756"/>
      <c r="BE12" s="376"/>
    </row>
    <row r="13" spans="1:57" hidden="1" outlineLevel="1" x14ac:dyDescent="0.35">
      <c r="B13" s="1040"/>
      <c r="C13" s="217"/>
      <c r="D13" s="3066" t="s">
        <v>107</v>
      </c>
      <c r="E13" s="756"/>
      <c r="F13" s="1241"/>
      <c r="G13" s="756"/>
      <c r="H13" s="199"/>
      <c r="I13" s="199"/>
      <c r="J13" s="199"/>
      <c r="K13" s="199"/>
      <c r="L13" s="199"/>
      <c r="M13" s="226"/>
      <c r="N13" s="199"/>
      <c r="O13" s="199"/>
      <c r="P13" s="199"/>
      <c r="Q13" s="199"/>
      <c r="R13" s="199"/>
      <c r="BE13" s="376"/>
    </row>
    <row r="14" spans="1:57" hidden="1" outlineLevel="1" x14ac:dyDescent="0.35">
      <c r="B14" s="1040"/>
      <c r="C14" s="217"/>
      <c r="D14" s="3066"/>
      <c r="E14" s="756"/>
      <c r="F14" s="1241"/>
      <c r="G14" s="756"/>
      <c r="H14" s="199"/>
      <c r="I14" s="199"/>
      <c r="J14" s="199"/>
      <c r="K14" s="199"/>
      <c r="L14" s="199"/>
      <c r="M14" s="226"/>
      <c r="N14" s="199"/>
      <c r="O14" s="199"/>
      <c r="P14" s="199"/>
      <c r="Q14" s="199"/>
      <c r="R14" s="199"/>
      <c r="BE14" s="376"/>
    </row>
    <row r="15" spans="1:57" hidden="1" outlineLevel="1" x14ac:dyDescent="0.35">
      <c r="B15" s="1040"/>
      <c r="C15" s="217"/>
      <c r="D15" s="3066"/>
      <c r="E15" s="756"/>
      <c r="F15" s="1241"/>
      <c r="G15" s="756"/>
      <c r="H15" s="199"/>
      <c r="I15" s="199"/>
      <c r="J15" s="199"/>
      <c r="K15" s="199"/>
      <c r="L15" s="199"/>
      <c r="M15" s="226"/>
      <c r="N15" s="199"/>
      <c r="O15" s="199"/>
      <c r="P15" s="199"/>
      <c r="Q15" s="199"/>
      <c r="R15" s="199"/>
      <c r="BE15" s="376"/>
    </row>
    <row r="16" spans="1:57" hidden="1" outlineLevel="1" x14ac:dyDescent="0.35">
      <c r="B16" s="1040"/>
      <c r="C16" s="217"/>
      <c r="D16" s="3263"/>
      <c r="E16" s="773"/>
      <c r="F16" s="773"/>
      <c r="G16" s="773"/>
      <c r="H16" s="199"/>
      <c r="I16" s="199"/>
      <c r="J16" s="199"/>
      <c r="K16" s="199"/>
      <c r="L16" s="199"/>
      <c r="M16" s="226"/>
      <c r="N16" s="199"/>
      <c r="O16" s="199"/>
      <c r="P16" s="199"/>
      <c r="Q16" s="199"/>
      <c r="R16" s="199"/>
      <c r="BE16" s="376"/>
    </row>
    <row r="17" spans="2:57" hidden="1" outlineLevel="1" x14ac:dyDescent="0.35">
      <c r="B17" s="1040"/>
      <c r="C17" s="217"/>
      <c r="D17" s="3263"/>
      <c r="E17" s="773"/>
      <c r="F17" s="773"/>
      <c r="G17" s="773"/>
      <c r="H17" s="199"/>
      <c r="I17" s="199"/>
      <c r="J17" s="199"/>
      <c r="K17" s="199"/>
      <c r="L17" s="199"/>
      <c r="M17" s="226"/>
      <c r="N17" s="199"/>
      <c r="O17" s="199"/>
      <c r="P17" s="199"/>
      <c r="Q17" s="199"/>
      <c r="R17" s="199"/>
      <c r="BE17" s="376"/>
    </row>
    <row r="18" spans="2:57" hidden="1" outlineLevel="1" x14ac:dyDescent="0.35">
      <c r="B18" s="1040"/>
      <c r="C18" s="217"/>
      <c r="D18" s="3263"/>
      <c r="E18" s="773"/>
      <c r="F18" s="773"/>
      <c r="G18" s="773"/>
      <c r="H18" s="199"/>
      <c r="I18" s="199"/>
      <c r="J18" s="199"/>
      <c r="K18" s="199"/>
      <c r="L18" s="199"/>
      <c r="M18" s="199"/>
      <c r="N18" s="199"/>
      <c r="O18" s="199"/>
      <c r="P18" s="199"/>
      <c r="Q18" s="199"/>
      <c r="R18" s="199"/>
      <c r="BE18" s="376"/>
    </row>
    <row r="19" spans="2:57" hidden="1" outlineLevel="1" x14ac:dyDescent="0.35">
      <c r="B19" s="1040"/>
      <c r="C19" s="217"/>
      <c r="D19" s="3263"/>
      <c r="E19" s="773"/>
      <c r="F19" s="773"/>
      <c r="G19" s="773"/>
      <c r="H19" s="199"/>
      <c r="I19" s="199"/>
      <c r="J19" s="199"/>
      <c r="K19" s="199"/>
      <c r="L19" s="199"/>
      <c r="M19" s="199"/>
      <c r="N19" s="199"/>
      <c r="O19" s="199"/>
      <c r="P19" s="199"/>
      <c r="Q19" s="199"/>
      <c r="R19" s="1214"/>
      <c r="BE19" s="376"/>
    </row>
    <row r="20" spans="2:57" hidden="1" outlineLevel="1" x14ac:dyDescent="0.35">
      <c r="B20" s="1040"/>
      <c r="C20" s="217"/>
      <c r="D20" s="3102"/>
      <c r="E20" s="756"/>
      <c r="F20" s="756"/>
      <c r="G20" s="756"/>
      <c r="H20" s="199"/>
      <c r="I20" s="199"/>
      <c r="J20" s="199"/>
      <c r="K20" s="199"/>
      <c r="L20" s="199"/>
      <c r="M20" s="199"/>
      <c r="N20" s="199"/>
      <c r="O20" s="199"/>
      <c r="P20" s="199"/>
      <c r="Q20" s="199"/>
      <c r="R20" s="1214"/>
      <c r="BE20" s="376"/>
    </row>
    <row r="21" spans="2:57" hidden="1" outlineLevel="1" x14ac:dyDescent="0.35">
      <c r="B21" s="1040"/>
      <c r="C21" s="217"/>
      <c r="D21" s="2423" t="s">
        <v>108</v>
      </c>
      <c r="E21" s="2404" t="s">
        <v>109</v>
      </c>
      <c r="F21" s="2331" t="s">
        <v>111</v>
      </c>
      <c r="G21" s="3825" t="s">
        <v>186</v>
      </c>
      <c r="H21" s="3826"/>
      <c r="I21" s="2331" t="s">
        <v>282</v>
      </c>
      <c r="J21" s="199"/>
      <c r="K21" s="199"/>
      <c r="L21" s="199"/>
      <c r="M21" s="199"/>
      <c r="N21" s="199"/>
      <c r="O21" s="199"/>
      <c r="P21" s="199"/>
      <c r="Q21" s="199"/>
      <c r="R21" s="1214"/>
      <c r="V21" s="480" t="s">
        <v>44</v>
      </c>
      <c r="W21" s="316">
        <f>$W$6</f>
        <v>43252</v>
      </c>
      <c r="X21" s="316">
        <f>$X$6</f>
        <v>43465</v>
      </c>
      <c r="Y21" s="316">
        <f>$Y$6</f>
        <v>43800</v>
      </c>
      <c r="Z21" s="316">
        <f>$Z$6</f>
        <v>43862</v>
      </c>
      <c r="AA21" s="316">
        <f>$AA$6</f>
        <v>44013</v>
      </c>
      <c r="AB21" s="316">
        <f>$AB$6</f>
        <v>44166</v>
      </c>
      <c r="AC21" s="1573">
        <f>$AC$6</f>
        <v>44531</v>
      </c>
      <c r="AD21" s="1573">
        <f>$AD$6</f>
        <v>44774</v>
      </c>
      <c r="AE21" s="1573" t="str">
        <f>$AE$6</f>
        <v>-</v>
      </c>
      <c r="AF21" s="1573" t="str">
        <f>$AF$6</f>
        <v>-</v>
      </c>
      <c r="AG21" s="1573" t="str">
        <f>$AG$6</f>
        <v>-</v>
      </c>
      <c r="AH21" s="378"/>
      <c r="AI21" s="378"/>
      <c r="AJ21" s="378"/>
      <c r="BE21" s="376"/>
    </row>
    <row r="22" spans="2:57" hidden="1" outlineLevel="1" x14ac:dyDescent="0.35">
      <c r="B22" s="1040"/>
      <c r="C22" s="217"/>
      <c r="D22" s="3843" t="s">
        <v>505</v>
      </c>
      <c r="E22" s="822" t="s">
        <v>506</v>
      </c>
      <c r="F22" s="411">
        <v>0.95652173913043481</v>
      </c>
      <c r="G22" s="3855" t="s">
        <v>507</v>
      </c>
      <c r="H22" s="3856"/>
      <c r="I22" s="822"/>
      <c r="J22" s="199"/>
      <c r="K22" s="199"/>
      <c r="L22" s="199"/>
      <c r="M22" s="199"/>
      <c r="N22" s="199"/>
      <c r="O22" s="199"/>
      <c r="P22" s="199"/>
      <c r="Q22" s="199"/>
      <c r="R22" s="1214"/>
      <c r="V22" s="3777" t="str">
        <f>D22</f>
        <v>%Heating</v>
      </c>
      <c r="W22" s="238">
        <v>0.95</v>
      </c>
      <c r="X22" s="263">
        <v>0.8571428571428571</v>
      </c>
      <c r="Y22" s="263">
        <v>0.95652173913043481</v>
      </c>
      <c r="Z22" s="1742">
        <v>0.95652173913043481</v>
      </c>
      <c r="AA22" s="1742">
        <v>0.95652173913043481</v>
      </c>
      <c r="AB22" s="379">
        <v>0.95652173913043481</v>
      </c>
      <c r="AC22" s="411">
        <v>0.95652173913043481</v>
      </c>
      <c r="AD22" s="411">
        <v>0.95652173913043481</v>
      </c>
      <c r="AE22" s="141"/>
      <c r="AF22" s="141"/>
      <c r="AG22" s="141"/>
      <c r="BE22" s="376"/>
    </row>
    <row r="23" spans="2:57" hidden="1" outlineLevel="1" x14ac:dyDescent="0.35">
      <c r="B23" s="1040"/>
      <c r="C23" s="217"/>
      <c r="D23" s="3844"/>
      <c r="E23" s="822" t="s">
        <v>508</v>
      </c>
      <c r="F23" s="512">
        <v>1</v>
      </c>
      <c r="G23" s="3855" t="s">
        <v>509</v>
      </c>
      <c r="H23" s="3856"/>
      <c r="I23" s="822"/>
      <c r="J23" s="199"/>
      <c r="K23" s="199"/>
      <c r="L23" s="199"/>
      <c r="M23" s="199"/>
      <c r="N23" s="199"/>
      <c r="O23" s="199"/>
      <c r="P23" s="199"/>
      <c r="Q23" s="199"/>
      <c r="R23" s="1214"/>
      <c r="V23" s="3778"/>
      <c r="W23" s="256">
        <f>W22</f>
        <v>0.95</v>
      </c>
      <c r="X23" s="256">
        <v>0.95</v>
      </c>
      <c r="Y23" s="241">
        <v>1</v>
      </c>
      <c r="Z23" s="256">
        <v>1</v>
      </c>
      <c r="AA23" s="256">
        <v>1</v>
      </c>
      <c r="AB23" s="236">
        <v>1</v>
      </c>
      <c r="AC23" s="512">
        <v>1</v>
      </c>
      <c r="AD23" s="512">
        <v>1</v>
      </c>
      <c r="AE23" s="141"/>
      <c r="AF23" s="141"/>
      <c r="AG23" s="141"/>
      <c r="BE23" s="376"/>
    </row>
    <row r="24" spans="2:57" hidden="1" outlineLevel="1" x14ac:dyDescent="0.35">
      <c r="B24" s="1040"/>
      <c r="C24" s="217"/>
      <c r="D24" s="2365" t="s">
        <v>31</v>
      </c>
      <c r="E24" s="822" t="s">
        <v>134</v>
      </c>
      <c r="F24" s="824">
        <v>0.5</v>
      </c>
      <c r="G24" s="3855" t="s">
        <v>284</v>
      </c>
      <c r="H24" s="3856"/>
      <c r="I24" s="822"/>
      <c r="J24" s="199"/>
      <c r="K24" s="199"/>
      <c r="L24" s="199"/>
      <c r="M24" s="199"/>
      <c r="N24" s="199"/>
      <c r="O24" s="199"/>
      <c r="P24" s="199"/>
      <c r="Q24" s="199"/>
      <c r="R24" s="1214"/>
      <c r="V24" s="1022" t="str">
        <f>D24</f>
        <v>kW</v>
      </c>
      <c r="W24" s="382">
        <v>0.5</v>
      </c>
      <c r="X24" s="382">
        <v>0.5</v>
      </c>
      <c r="Y24" s="382">
        <v>0.5</v>
      </c>
      <c r="Z24" s="382">
        <v>0.5</v>
      </c>
      <c r="AA24" s="382">
        <v>0.5</v>
      </c>
      <c r="AB24" s="381">
        <v>0.5</v>
      </c>
      <c r="AC24" s="824">
        <v>0.5</v>
      </c>
      <c r="AD24" s="824">
        <v>0.5</v>
      </c>
      <c r="AE24" s="141"/>
      <c r="AF24" s="141"/>
      <c r="AG24" s="141"/>
      <c r="BE24" s="376"/>
    </row>
    <row r="25" spans="2:57" hidden="1" outlineLevel="1" x14ac:dyDescent="0.35">
      <c r="B25" s="1040"/>
      <c r="C25" s="217"/>
      <c r="D25" s="3843" t="s">
        <v>510</v>
      </c>
      <c r="E25" s="822" t="s">
        <v>313</v>
      </c>
      <c r="F25" s="823">
        <v>1496</v>
      </c>
      <c r="G25" s="3861" t="s">
        <v>511</v>
      </c>
      <c r="H25" s="3860"/>
      <c r="I25" s="822"/>
      <c r="J25" s="199"/>
      <c r="K25" s="199"/>
      <c r="L25" s="199"/>
      <c r="M25" s="199"/>
      <c r="N25" s="199"/>
      <c r="O25" s="199"/>
      <c r="P25" s="199"/>
      <c r="Q25" s="199"/>
      <c r="R25" s="1214"/>
      <c r="V25" s="3777" t="str">
        <f>D25</f>
        <v>EFLHheat</v>
      </c>
      <c r="W25" s="272">
        <v>1496</v>
      </c>
      <c r="X25" s="272">
        <v>1496</v>
      </c>
      <c r="Y25" s="272">
        <v>1496</v>
      </c>
      <c r="Z25" s="272">
        <v>1496</v>
      </c>
      <c r="AA25" s="272">
        <v>1496</v>
      </c>
      <c r="AB25" s="383">
        <v>1496</v>
      </c>
      <c r="AC25" s="823">
        <v>1496</v>
      </c>
      <c r="AD25" s="823">
        <v>1496</v>
      </c>
      <c r="AE25" s="141"/>
      <c r="AF25" s="141"/>
      <c r="AG25" s="141"/>
      <c r="BE25" s="376"/>
    </row>
    <row r="26" spans="2:57" hidden="1" outlineLevel="1" x14ac:dyDescent="0.35">
      <c r="B26" s="1040"/>
      <c r="C26" s="217"/>
      <c r="D26" s="3776"/>
      <c r="E26" s="822" t="s">
        <v>512</v>
      </c>
      <c r="F26" s="1934">
        <v>510</v>
      </c>
      <c r="G26" s="3859" t="s">
        <v>513</v>
      </c>
      <c r="H26" s="3860"/>
      <c r="I26" s="1935"/>
      <c r="J26" s="199"/>
      <c r="K26" s="199"/>
      <c r="L26" s="199"/>
      <c r="M26" s="199"/>
      <c r="N26" s="199"/>
      <c r="O26" s="199"/>
      <c r="P26" s="199"/>
      <c r="Q26" s="199"/>
      <c r="R26" s="1214"/>
      <c r="V26" s="3776"/>
      <c r="W26" s="272"/>
      <c r="X26" s="272"/>
      <c r="Y26" s="270">
        <v>510</v>
      </c>
      <c r="Z26" s="272">
        <v>510</v>
      </c>
      <c r="AA26" s="272">
        <v>510</v>
      </c>
      <c r="AB26" s="385">
        <v>510</v>
      </c>
      <c r="AC26" s="1934">
        <v>510</v>
      </c>
      <c r="AD26" s="1934">
        <v>510</v>
      </c>
      <c r="AE26" s="141"/>
      <c r="AF26" s="141"/>
      <c r="AG26" s="141"/>
      <c r="BE26" s="376"/>
    </row>
    <row r="27" spans="2:57" ht="15" hidden="1" outlineLevel="1" thickBot="1" x14ac:dyDescent="0.4">
      <c r="B27" s="1040"/>
      <c r="C27" s="217"/>
      <c r="D27" s="1936" t="s">
        <v>514</v>
      </c>
      <c r="E27" s="1946" t="s">
        <v>134</v>
      </c>
      <c r="F27" s="1937">
        <v>0.15</v>
      </c>
      <c r="G27" s="3857" t="s">
        <v>515</v>
      </c>
      <c r="H27" s="3858"/>
      <c r="I27" s="1938"/>
      <c r="J27" s="199"/>
      <c r="K27" s="199"/>
      <c r="L27" s="199"/>
      <c r="M27" s="199"/>
      <c r="N27" s="199"/>
      <c r="O27" s="199"/>
      <c r="P27" s="199"/>
      <c r="Q27" s="199"/>
      <c r="R27" s="1214"/>
      <c r="V27" s="1747" t="str">
        <f>D27</f>
        <v>EI</v>
      </c>
      <c r="W27" s="1755">
        <v>0.15</v>
      </c>
      <c r="X27" s="1755">
        <v>0.15</v>
      </c>
      <c r="Y27" s="1755">
        <v>0.15</v>
      </c>
      <c r="Z27" s="1755">
        <v>0.15</v>
      </c>
      <c r="AA27" s="1755">
        <v>0.15</v>
      </c>
      <c r="AB27" s="1748">
        <v>0.15</v>
      </c>
      <c r="AC27" s="1937">
        <v>0.15</v>
      </c>
      <c r="AD27" s="1937">
        <v>0.15</v>
      </c>
      <c r="AE27" s="1756"/>
      <c r="AF27" s="1756"/>
      <c r="AG27" s="1756"/>
      <c r="BE27" s="376"/>
    </row>
    <row r="28" spans="2:57" hidden="1" outlineLevel="1" x14ac:dyDescent="0.35">
      <c r="B28" s="1040"/>
      <c r="C28" s="217"/>
      <c r="D28" s="3912" t="s">
        <v>516</v>
      </c>
      <c r="E28" s="2007" t="s">
        <v>506</v>
      </c>
      <c r="F28" s="2136">
        <v>0.72</v>
      </c>
      <c r="G28" s="3864" t="s">
        <v>517</v>
      </c>
      <c r="H28" s="3865"/>
      <c r="I28" s="1939"/>
      <c r="J28" s="199"/>
      <c r="K28" s="199"/>
      <c r="L28" s="199"/>
      <c r="M28" s="199"/>
      <c r="N28" s="199"/>
      <c r="O28" s="199"/>
      <c r="P28" s="199"/>
      <c r="Q28" s="199"/>
      <c r="R28" s="1214"/>
      <c r="V28" s="3918" t="s">
        <v>516</v>
      </c>
      <c r="W28" s="2310">
        <v>0.86</v>
      </c>
      <c r="X28" s="1883">
        <v>0.89859999999999995</v>
      </c>
      <c r="Y28" s="1883">
        <v>0.91869999999999996</v>
      </c>
      <c r="Z28" s="1884">
        <v>0.91869999999999996</v>
      </c>
      <c r="AA28" s="1884">
        <v>0.91869999999999996</v>
      </c>
      <c r="AB28" s="1749">
        <v>0.72</v>
      </c>
      <c r="AC28" s="2136">
        <v>0.72</v>
      </c>
      <c r="AD28" s="2136">
        <v>0.72</v>
      </c>
      <c r="AE28" s="2311"/>
      <c r="AF28" s="2311"/>
      <c r="AG28" s="2311"/>
      <c r="BE28" s="376"/>
    </row>
    <row r="29" spans="2:57" ht="15" hidden="1" outlineLevel="1" thickBot="1" x14ac:dyDescent="0.4">
      <c r="B29" s="1040"/>
      <c r="C29" s="217"/>
      <c r="D29" s="3911"/>
      <c r="E29" s="1946" t="s">
        <v>508</v>
      </c>
      <c r="F29" s="2011">
        <v>1</v>
      </c>
      <c r="G29" s="3857" t="s">
        <v>518</v>
      </c>
      <c r="H29" s="3858"/>
      <c r="I29" s="1938"/>
      <c r="J29" s="199"/>
      <c r="K29" s="199"/>
      <c r="L29" s="199"/>
      <c r="M29" s="199"/>
      <c r="N29" s="199"/>
      <c r="O29" s="199"/>
      <c r="P29" s="199"/>
      <c r="Q29" s="199"/>
      <c r="V29" s="3909"/>
      <c r="W29" s="2312">
        <v>1</v>
      </c>
      <c r="X29" s="2312">
        <v>1</v>
      </c>
      <c r="Y29" s="2312">
        <v>1</v>
      </c>
      <c r="Z29" s="2312">
        <v>1</v>
      </c>
      <c r="AA29" s="2312">
        <v>1</v>
      </c>
      <c r="AB29" s="1748">
        <v>1</v>
      </c>
      <c r="AC29" s="2011">
        <v>1</v>
      </c>
      <c r="AD29" s="2011">
        <v>1</v>
      </c>
      <c r="AE29" s="1756"/>
      <c r="AF29" s="1756"/>
      <c r="AG29" s="1756"/>
      <c r="BE29" s="376"/>
    </row>
    <row r="30" spans="2:57" hidden="1" outlineLevel="1" x14ac:dyDescent="0.35">
      <c r="B30" s="1040"/>
      <c r="C30" s="217"/>
      <c r="D30" s="3910" t="s">
        <v>132</v>
      </c>
      <c r="E30" s="1947" t="s">
        <v>506</v>
      </c>
      <c r="F30" s="1940">
        <v>0.44</v>
      </c>
      <c r="G30" s="3862" t="s">
        <v>519</v>
      </c>
      <c r="H30" s="3863"/>
      <c r="I30" s="1941"/>
      <c r="J30" s="199"/>
      <c r="K30" s="199"/>
      <c r="L30" s="199"/>
      <c r="M30" s="199"/>
      <c r="N30" s="199"/>
      <c r="O30" s="199"/>
      <c r="P30" s="199"/>
      <c r="Q30" s="199"/>
      <c r="V30" s="3908" t="s">
        <v>132</v>
      </c>
      <c r="W30" s="1752">
        <v>0.47</v>
      </c>
      <c r="X30" s="1753">
        <v>0.44871794871794873</v>
      </c>
      <c r="Y30" s="1753">
        <v>0.39175257731958762</v>
      </c>
      <c r="Z30" s="1754">
        <v>0.39175257731958762</v>
      </c>
      <c r="AA30" s="1754">
        <v>0.39175257731958762</v>
      </c>
      <c r="AB30" s="2309">
        <v>0.44</v>
      </c>
      <c r="AC30" s="1940">
        <v>0.44</v>
      </c>
      <c r="AD30" s="1940">
        <v>0.44</v>
      </c>
      <c r="AE30" s="1751"/>
      <c r="AF30" s="1751"/>
      <c r="AG30" s="1751"/>
      <c r="BE30" s="376"/>
    </row>
    <row r="31" spans="2:57" ht="58" hidden="1" outlineLevel="1" x14ac:dyDescent="0.35">
      <c r="B31" s="1040"/>
      <c r="C31" s="217"/>
      <c r="D31" s="3910"/>
      <c r="E31" s="822" t="s">
        <v>4233</v>
      </c>
      <c r="F31" s="412">
        <v>0.57889999999999997</v>
      </c>
      <c r="G31" s="3859" t="s">
        <v>520</v>
      </c>
      <c r="H31" s="3860"/>
      <c r="I31" s="2392" t="s">
        <v>521</v>
      </c>
      <c r="J31" s="199"/>
      <c r="K31" s="199"/>
      <c r="L31" s="199"/>
      <c r="M31" s="199"/>
      <c r="N31" s="199"/>
      <c r="O31" s="199"/>
      <c r="P31" s="199"/>
      <c r="Q31" s="199"/>
      <c r="V31" s="3908"/>
      <c r="W31" s="256"/>
      <c r="X31" s="263"/>
      <c r="Y31" s="263"/>
      <c r="Z31" s="1742"/>
      <c r="AA31" s="1742"/>
      <c r="AB31" s="1646">
        <v>0.57889999999999997</v>
      </c>
      <c r="AC31" s="412">
        <v>0.57889999999999997</v>
      </c>
      <c r="AD31" s="412">
        <v>0.57889999999999997</v>
      </c>
      <c r="AE31" s="141"/>
      <c r="AF31" s="141"/>
      <c r="AG31" s="141"/>
      <c r="BE31" s="376"/>
    </row>
    <row r="32" spans="2:57" hidden="1" outlineLevel="1" x14ac:dyDescent="0.35">
      <c r="B32" s="1040"/>
      <c r="C32" s="217"/>
      <c r="D32" s="3910"/>
      <c r="E32" s="822" t="s">
        <v>508</v>
      </c>
      <c r="F32" s="412">
        <v>1</v>
      </c>
      <c r="G32" s="3859" t="s">
        <v>518</v>
      </c>
      <c r="H32" s="3860"/>
      <c r="I32" s="1935"/>
      <c r="J32" s="199"/>
      <c r="K32" s="199"/>
      <c r="L32" s="199"/>
      <c r="M32" s="199"/>
      <c r="N32" s="199"/>
      <c r="O32" s="199"/>
      <c r="P32" s="199"/>
      <c r="Q32" s="199"/>
      <c r="V32" s="3908"/>
      <c r="W32" s="256">
        <v>0.47</v>
      </c>
      <c r="X32" s="241">
        <v>1</v>
      </c>
      <c r="Y32" s="241">
        <v>1</v>
      </c>
      <c r="Z32" s="256">
        <v>1</v>
      </c>
      <c r="AA32" s="256">
        <v>1</v>
      </c>
      <c r="AB32" s="384">
        <v>1</v>
      </c>
      <c r="AC32" s="412">
        <v>1</v>
      </c>
      <c r="AD32" s="412">
        <v>1</v>
      </c>
      <c r="AE32" s="141"/>
      <c r="AF32" s="141"/>
      <c r="AG32" s="141"/>
      <c r="BE32" s="376"/>
    </row>
    <row r="33" spans="2:57" ht="15" hidden="1" outlineLevel="1" thickBot="1" x14ac:dyDescent="0.4">
      <c r="B33" s="1040"/>
      <c r="C33" s="217"/>
      <c r="D33" s="3911"/>
      <c r="E33" s="1946" t="s">
        <v>522</v>
      </c>
      <c r="F33" s="1937">
        <v>0.09</v>
      </c>
      <c r="G33" s="3857" t="s">
        <v>523</v>
      </c>
      <c r="H33" s="3858"/>
      <c r="I33" s="1938"/>
      <c r="J33" s="199"/>
      <c r="K33" s="199"/>
      <c r="L33" s="199"/>
      <c r="M33" s="199"/>
      <c r="N33" s="199"/>
      <c r="O33" s="199"/>
      <c r="P33" s="199"/>
      <c r="Q33" s="199"/>
      <c r="V33" s="3909"/>
      <c r="W33" s="1755"/>
      <c r="X33" s="1757"/>
      <c r="Y33" s="1757"/>
      <c r="Z33" s="1755"/>
      <c r="AA33" s="1755"/>
      <c r="AB33" s="1750">
        <v>0.09</v>
      </c>
      <c r="AC33" s="1937">
        <v>0.09</v>
      </c>
      <c r="AD33" s="1937">
        <v>0.09</v>
      </c>
      <c r="AE33" s="1756"/>
      <c r="AF33" s="1756"/>
      <c r="AG33" s="1756"/>
      <c r="BE33" s="376"/>
    </row>
    <row r="34" spans="2:57" hidden="1" outlineLevel="1" x14ac:dyDescent="0.35">
      <c r="B34" s="1040"/>
      <c r="C34" s="217"/>
      <c r="D34" s="3844" t="s">
        <v>311</v>
      </c>
      <c r="E34" s="1947" t="s">
        <v>506</v>
      </c>
      <c r="F34" s="1940">
        <v>0.95652173913043481</v>
      </c>
      <c r="G34" s="3864" t="s">
        <v>518</v>
      </c>
      <c r="H34" s="3865"/>
      <c r="I34" s="1941"/>
      <c r="J34" s="199"/>
      <c r="K34" s="199"/>
      <c r="L34" s="199"/>
      <c r="M34" s="199"/>
      <c r="N34" s="199"/>
      <c r="O34" s="199"/>
      <c r="P34" s="199"/>
      <c r="Q34" s="199"/>
      <c r="V34" s="3778" t="str">
        <f>D34</f>
        <v>%AC</v>
      </c>
      <c r="W34" s="1752">
        <v>0.95</v>
      </c>
      <c r="X34" s="1753">
        <v>0.96938775510204078</v>
      </c>
      <c r="Y34" s="1753">
        <v>0.95652173913043481</v>
      </c>
      <c r="Z34" s="1754">
        <v>0.95652173913043481</v>
      </c>
      <c r="AA34" s="1754">
        <v>0.95652173913043481</v>
      </c>
      <c r="AB34" s="1758">
        <v>0.95652173913043481</v>
      </c>
      <c r="AC34" s="1940">
        <v>0.95652173913043481</v>
      </c>
      <c r="AD34" s="1940">
        <v>0.95652173913043481</v>
      </c>
      <c r="AE34" s="1751"/>
      <c r="AF34" s="1751"/>
      <c r="AG34" s="1751"/>
      <c r="BE34" s="376"/>
    </row>
    <row r="35" spans="2:57" hidden="1" outlineLevel="1" x14ac:dyDescent="0.35">
      <c r="B35" s="1040"/>
      <c r="C35" s="217"/>
      <c r="D35" s="3844"/>
      <c r="E35" s="822" t="s">
        <v>508</v>
      </c>
      <c r="F35" s="412">
        <v>1</v>
      </c>
      <c r="G35" s="3859" t="s">
        <v>518</v>
      </c>
      <c r="H35" s="3860"/>
      <c r="I35" s="1935"/>
      <c r="J35" s="199"/>
      <c r="K35" s="199"/>
      <c r="L35" s="199"/>
      <c r="M35" s="199"/>
      <c r="N35" s="199"/>
      <c r="O35" s="199"/>
      <c r="P35" s="199"/>
      <c r="Q35" s="199"/>
      <c r="V35" s="3778"/>
      <c r="W35" s="256">
        <f>W34</f>
        <v>0.95</v>
      </c>
      <c r="X35" s="241">
        <v>1</v>
      </c>
      <c r="Y35" s="241">
        <v>1</v>
      </c>
      <c r="Z35" s="256">
        <v>1</v>
      </c>
      <c r="AA35" s="256">
        <v>1</v>
      </c>
      <c r="AB35" s="384">
        <v>1</v>
      </c>
      <c r="AC35" s="412">
        <v>1</v>
      </c>
      <c r="AD35" s="412">
        <v>1</v>
      </c>
      <c r="AE35" s="141"/>
      <c r="AF35" s="141"/>
      <c r="AG35" s="141"/>
      <c r="BE35" s="376"/>
    </row>
    <row r="36" spans="2:57" hidden="1" outlineLevel="1" x14ac:dyDescent="0.35">
      <c r="B36" s="1040"/>
      <c r="C36" s="217"/>
      <c r="D36" s="3843" t="s">
        <v>524</v>
      </c>
      <c r="E36" s="822" t="s">
        <v>313</v>
      </c>
      <c r="F36" s="1934">
        <v>869</v>
      </c>
      <c r="G36" s="3859" t="s">
        <v>525</v>
      </c>
      <c r="H36" s="3860"/>
      <c r="I36" s="1935"/>
      <c r="J36" s="199"/>
      <c r="K36" s="199"/>
      <c r="L36" s="199"/>
      <c r="M36" s="226"/>
      <c r="N36" s="199"/>
      <c r="O36" s="199"/>
      <c r="P36" s="199"/>
      <c r="Q36" s="199"/>
      <c r="V36" s="3777" t="str">
        <f>D36</f>
        <v>EFLHcool</v>
      </c>
      <c r="W36" s="244">
        <v>869</v>
      </c>
      <c r="X36" s="272">
        <v>869</v>
      </c>
      <c r="Y36" s="272">
        <v>869</v>
      </c>
      <c r="Z36" s="272">
        <v>869</v>
      </c>
      <c r="AA36" s="272">
        <v>869</v>
      </c>
      <c r="AB36" s="385">
        <v>869</v>
      </c>
      <c r="AC36" s="1934">
        <v>869</v>
      </c>
      <c r="AD36" s="1934">
        <v>869</v>
      </c>
      <c r="AE36" s="141"/>
      <c r="AF36" s="141"/>
      <c r="AG36" s="141"/>
      <c r="BE36" s="376"/>
    </row>
    <row r="37" spans="2:57" hidden="1" outlineLevel="1" x14ac:dyDescent="0.35">
      <c r="B37" s="1040"/>
      <c r="C37" s="217"/>
      <c r="D37" s="3776"/>
      <c r="E37" s="822" t="s">
        <v>512</v>
      </c>
      <c r="F37" s="1934">
        <v>632</v>
      </c>
      <c r="G37" s="3820"/>
      <c r="H37" s="3790"/>
      <c r="I37" s="1935"/>
      <c r="J37" s="199"/>
      <c r="K37" s="199"/>
      <c r="L37" s="199"/>
      <c r="M37" s="226"/>
      <c r="N37" s="199"/>
      <c r="O37" s="199"/>
      <c r="P37" s="199"/>
      <c r="Q37" s="199"/>
      <c r="V37" s="3776"/>
      <c r="W37" s="244"/>
      <c r="X37" s="272"/>
      <c r="Y37" s="270">
        <v>632</v>
      </c>
      <c r="Z37" s="272">
        <v>632</v>
      </c>
      <c r="AA37" s="272">
        <v>632</v>
      </c>
      <c r="AB37" s="385">
        <v>632</v>
      </c>
      <c r="AC37" s="1934">
        <v>632</v>
      </c>
      <c r="AD37" s="1934">
        <v>632</v>
      </c>
      <c r="AE37" s="141"/>
      <c r="AF37" s="141"/>
      <c r="AG37" s="141"/>
      <c r="BE37" s="376"/>
    </row>
    <row r="38" spans="2:57" hidden="1" outlineLevel="1" x14ac:dyDescent="0.35">
      <c r="B38" s="1040"/>
      <c r="C38" s="217"/>
      <c r="D38" s="368" t="s">
        <v>526</v>
      </c>
      <c r="E38" s="822" t="s">
        <v>166</v>
      </c>
      <c r="F38" s="820">
        <v>14</v>
      </c>
      <c r="G38" s="3820"/>
      <c r="H38" s="3790"/>
      <c r="I38" s="822"/>
      <c r="J38" s="199"/>
      <c r="K38" s="199"/>
      <c r="L38" s="199"/>
      <c r="M38" s="226"/>
      <c r="N38" s="199"/>
      <c r="O38" s="199"/>
      <c r="P38" s="199"/>
      <c r="Q38" s="199"/>
      <c r="V38" s="277" t="str">
        <f>D38</f>
        <v xml:space="preserve">EUL </v>
      </c>
      <c r="W38" s="386">
        <v>14</v>
      </c>
      <c r="X38" s="386">
        <v>14</v>
      </c>
      <c r="Y38" s="386">
        <v>14</v>
      </c>
      <c r="Z38" s="386">
        <v>14</v>
      </c>
      <c r="AA38" s="386">
        <v>14</v>
      </c>
      <c r="AB38" s="820">
        <v>14</v>
      </c>
      <c r="AC38" s="820">
        <v>14</v>
      </c>
      <c r="AD38" s="820">
        <v>14</v>
      </c>
      <c r="AE38" s="386"/>
      <c r="AF38" s="386"/>
      <c r="AG38" s="386"/>
      <c r="BE38" s="376"/>
    </row>
    <row r="39" spans="2:57" hidden="1" outlineLevel="1" x14ac:dyDescent="0.35">
      <c r="B39" s="1040"/>
      <c r="C39" s="217"/>
      <c r="D39" s="3870" t="s">
        <v>169</v>
      </c>
      <c r="E39" s="822" t="s">
        <v>527</v>
      </c>
      <c r="F39" s="1845">
        <v>5</v>
      </c>
      <c r="G39" s="3820"/>
      <c r="H39" s="3790"/>
      <c r="I39" s="822"/>
      <c r="J39" s="199"/>
      <c r="K39" s="199"/>
      <c r="L39" s="199"/>
      <c r="M39" s="226"/>
      <c r="N39" s="199"/>
      <c r="O39" s="199"/>
      <c r="P39" s="199"/>
      <c r="Q39" s="199"/>
      <c r="V39" s="3871" t="str">
        <f>D39</f>
        <v>Inc. Cost</v>
      </c>
      <c r="W39" s="387">
        <v>5</v>
      </c>
      <c r="X39" s="387">
        <v>5</v>
      </c>
      <c r="Y39" s="387">
        <v>5</v>
      </c>
      <c r="Z39" s="387">
        <v>5</v>
      </c>
      <c r="AA39" s="387">
        <v>5</v>
      </c>
      <c r="AB39" s="1845">
        <v>5</v>
      </c>
      <c r="AC39" s="1845">
        <v>5</v>
      </c>
      <c r="AD39" s="1845">
        <v>5</v>
      </c>
      <c r="AE39" s="388"/>
      <c r="AF39" s="388"/>
      <c r="AG39" s="388"/>
      <c r="BE39" s="376"/>
    </row>
    <row r="40" spans="2:57" hidden="1" outlineLevel="1" x14ac:dyDescent="0.35">
      <c r="B40" s="1040"/>
      <c r="C40" s="217"/>
      <c r="D40" s="3870" t="s">
        <v>169</v>
      </c>
      <c r="E40" s="822" t="s">
        <v>527</v>
      </c>
      <c r="F40" s="1845">
        <v>5</v>
      </c>
      <c r="G40" s="3820"/>
      <c r="H40" s="3790"/>
      <c r="I40" s="822"/>
      <c r="J40" s="199"/>
      <c r="K40" s="199"/>
      <c r="L40" s="199"/>
      <c r="M40" s="226"/>
      <c r="N40" s="199"/>
      <c r="O40" s="199"/>
      <c r="P40" s="199"/>
      <c r="Q40" s="199"/>
      <c r="V40" s="3871"/>
      <c r="W40" s="192">
        <v>5</v>
      </c>
      <c r="X40" s="192">
        <v>5</v>
      </c>
      <c r="Y40" s="192">
        <v>5</v>
      </c>
      <c r="Z40" s="192">
        <v>5</v>
      </c>
      <c r="AA40" s="192">
        <v>5</v>
      </c>
      <c r="AB40" s="389">
        <v>5</v>
      </c>
      <c r="AC40" s="1845">
        <v>5</v>
      </c>
      <c r="AD40" s="1845">
        <v>5</v>
      </c>
      <c r="AE40" s="390"/>
      <c r="AF40" s="390"/>
      <c r="AG40" s="390"/>
      <c r="BE40" s="376"/>
    </row>
    <row r="41" spans="2:57" hidden="1" outlineLevel="1" x14ac:dyDescent="0.35">
      <c r="B41" s="1040"/>
      <c r="C41" s="217"/>
      <c r="D41" s="2365" t="s">
        <v>528</v>
      </c>
      <c r="E41" s="822" t="s">
        <v>529</v>
      </c>
      <c r="F41" s="1845" t="s">
        <v>530</v>
      </c>
      <c r="G41" s="3820"/>
      <c r="H41" s="3790"/>
      <c r="I41" s="822"/>
      <c r="J41" s="199"/>
      <c r="K41" s="199"/>
      <c r="L41" s="199"/>
      <c r="M41" s="226"/>
      <c r="N41" s="199"/>
      <c r="O41" s="199"/>
      <c r="P41" s="199"/>
      <c r="Q41" s="199"/>
      <c r="V41" s="1022" t="str">
        <f>D41</f>
        <v>P</v>
      </c>
      <c r="W41" s="386" t="s">
        <v>530</v>
      </c>
      <c r="X41" s="386" t="s">
        <v>530</v>
      </c>
      <c r="Y41" s="386" t="s">
        <v>530</v>
      </c>
      <c r="Z41" s="386" t="s">
        <v>530</v>
      </c>
      <c r="AA41" s="386" t="s">
        <v>530</v>
      </c>
      <c r="AB41" s="389" t="s">
        <v>530</v>
      </c>
      <c r="AC41" s="1845" t="s">
        <v>530</v>
      </c>
      <c r="AD41" s="1845" t="s">
        <v>530</v>
      </c>
      <c r="AE41" s="386"/>
      <c r="AF41" s="386"/>
      <c r="AG41" s="386"/>
      <c r="BE41" s="376"/>
    </row>
    <row r="42" spans="2:57" collapsed="1" x14ac:dyDescent="0.35">
      <c r="B42" s="1040"/>
      <c r="C42" s="217"/>
      <c r="D42" s="217"/>
      <c r="E42" s="226"/>
      <c r="F42" s="199"/>
      <c r="G42" s="199"/>
      <c r="H42" s="199"/>
      <c r="I42" s="199"/>
      <c r="J42" s="199"/>
      <c r="K42" s="199"/>
      <c r="L42" s="199"/>
      <c r="M42" s="226"/>
      <c r="N42" s="199"/>
      <c r="O42" s="199"/>
      <c r="P42" s="199"/>
      <c r="Q42" s="199"/>
    </row>
    <row r="43" spans="2:57" x14ac:dyDescent="0.35">
      <c r="B43" s="3664" t="s">
        <v>531</v>
      </c>
      <c r="C43" s="3665"/>
      <c r="D43" s="3665"/>
      <c r="E43" s="3665"/>
      <c r="F43" s="3665"/>
      <c r="G43" s="3665"/>
      <c r="H43" s="3665"/>
      <c r="I43" s="3666"/>
      <c r="J43" s="3666"/>
      <c r="K43" s="3666"/>
      <c r="L43" s="3666"/>
      <c r="M43" s="3666"/>
      <c r="N43" s="3667"/>
      <c r="O43" s="199"/>
      <c r="P43" s="199"/>
      <c r="Q43" s="199"/>
      <c r="V43" s="3664" t="str">
        <f>B43</f>
        <v xml:space="preserve">LEDs (per bulb) </v>
      </c>
      <c r="W43" s="3665"/>
      <c r="X43" s="3665"/>
      <c r="Y43" s="3665"/>
      <c r="Z43" s="3665"/>
      <c r="AA43" s="3665"/>
      <c r="AB43" s="3665"/>
      <c r="AC43" s="3680"/>
      <c r="AD43" s="3680"/>
      <c r="AE43" s="3680"/>
      <c r="AF43" s="3680"/>
      <c r="AG43" s="3680"/>
      <c r="AH43" s="3681"/>
    </row>
    <row r="44" spans="2:57" x14ac:dyDescent="0.35">
      <c r="M44" s="226"/>
      <c r="N44" s="199"/>
      <c r="O44" s="199"/>
      <c r="P44" s="199"/>
      <c r="Q44" s="199"/>
    </row>
    <row r="45" spans="2:57" ht="29" x14ac:dyDescent="0.35">
      <c r="C45" s="2331" t="s">
        <v>27</v>
      </c>
      <c r="D45" s="2331" t="s">
        <v>174</v>
      </c>
      <c r="E45" s="306" t="s">
        <v>29</v>
      </c>
      <c r="F45" s="2331" t="s">
        <v>30</v>
      </c>
      <c r="G45" s="306" t="s">
        <v>175</v>
      </c>
      <c r="H45" s="306" t="s">
        <v>176</v>
      </c>
      <c r="I45" s="306" t="s">
        <v>31</v>
      </c>
      <c r="J45" s="306" t="s">
        <v>180</v>
      </c>
      <c r="K45" s="306" t="s">
        <v>169</v>
      </c>
      <c r="L45" s="2331" t="s">
        <v>43</v>
      </c>
      <c r="M45" s="226"/>
      <c r="N45" s="199"/>
      <c r="O45" s="199"/>
      <c r="P45" s="199"/>
      <c r="Q45" s="199"/>
      <c r="V45" s="480" t="s">
        <v>44</v>
      </c>
      <c r="W45" s="316">
        <f>$W$6</f>
        <v>43252</v>
      </c>
      <c r="X45" s="316">
        <f>$X$6</f>
        <v>43465</v>
      </c>
      <c r="Y45" s="316">
        <f>$Y$6</f>
        <v>43800</v>
      </c>
      <c r="Z45" s="316">
        <f>$Z$6</f>
        <v>43862</v>
      </c>
      <c r="AA45" s="316">
        <f>$AA$6</f>
        <v>44013</v>
      </c>
      <c r="AB45" s="316">
        <f>$AB$6</f>
        <v>44166</v>
      </c>
      <c r="AC45" s="1573">
        <f>$AC$6</f>
        <v>44531</v>
      </c>
      <c r="AD45" s="1573">
        <f>$AD$6</f>
        <v>44774</v>
      </c>
      <c r="AE45" s="1573" t="str">
        <f>$AE$6</f>
        <v>-</v>
      </c>
      <c r="AF45" s="1573" t="str">
        <f>$AF$6</f>
        <v>-</v>
      </c>
      <c r="AG45" s="1573" t="str">
        <f>$AG$6</f>
        <v>-</v>
      </c>
      <c r="BB45" s="1584" t="str">
        <f>$BB$6</f>
        <v>TRC (2022)</v>
      </c>
      <c r="BC45" s="1584" t="str">
        <f>$BC$6</f>
        <v>Benefit Lookup</v>
      </c>
      <c r="BD45" s="200" t="str">
        <f>$BD$6</f>
        <v>Benefits (2019 $)</v>
      </c>
      <c r="BE45" s="200" t="str">
        <f>$BE$6</f>
        <v>Incremental Cost (2019 $)</v>
      </c>
    </row>
    <row r="46" spans="2:57" x14ac:dyDescent="0.35">
      <c r="C46" s="2398" t="s">
        <v>532</v>
      </c>
      <c r="D46" s="330" t="s">
        <v>496</v>
      </c>
      <c r="E46" s="1592" t="str">
        <f>F70</f>
        <v>LED - 10W (CFL baseline) (750-1049 lumens)</v>
      </c>
      <c r="F46" s="392">
        <f>ROUND((($G$70-$G$77)*$G$94*(1-$G$90)*$G$84*$G$88)/$G$87,2)</f>
        <v>2.87</v>
      </c>
      <c r="G46" s="330" t="s">
        <v>53</v>
      </c>
      <c r="H46" s="393">
        <f>VLOOKUP(G46,'CP FACTORS'!$A$3:$B$38, 2, FALSE)</f>
        <v>1.4925290000000001E-4</v>
      </c>
      <c r="I46" s="394">
        <f t="shared" ref="I46:I56" si="9">ROUND(F46*H46,6)</f>
        <v>4.28E-4</v>
      </c>
      <c r="J46" s="92">
        <f>$G$98</f>
        <v>19</v>
      </c>
      <c r="K46" s="389">
        <f>$G$100</f>
        <v>1.95</v>
      </c>
      <c r="L46" s="395" t="s">
        <v>184</v>
      </c>
      <c r="M46" s="199"/>
      <c r="N46" s="199"/>
      <c r="O46" s="199"/>
      <c r="P46" s="199"/>
      <c r="Q46" s="199"/>
      <c r="R46" s="1214"/>
      <c r="V46" s="1592" t="str">
        <f>$F$45</f>
        <v>kWh Annual Savings</v>
      </c>
      <c r="W46" s="396">
        <v>3.2707779028380117</v>
      </c>
      <c r="X46" s="124">
        <v>3.5883733629744001</v>
      </c>
      <c r="Y46" s="397">
        <v>3.57</v>
      </c>
      <c r="Z46" s="392">
        <v>3.57</v>
      </c>
      <c r="AA46" s="392">
        <v>3.57</v>
      </c>
      <c r="AB46" s="397">
        <v>2.87</v>
      </c>
      <c r="AC46" s="392">
        <v>2.87</v>
      </c>
      <c r="AD46" s="392">
        <v>2.87</v>
      </c>
      <c r="AE46" s="141"/>
      <c r="AF46" s="141"/>
      <c r="AG46" s="141"/>
      <c r="AH46" s="144"/>
      <c r="BB46" s="1974">
        <f t="shared" ref="BB46:BB53" si="10">(BD46)/(BE46)</f>
        <v>0.88525056324276574</v>
      </c>
      <c r="BC46" s="2381" t="str">
        <f t="shared" ref="BC46:BC53" si="11">CONCATENATE(G46," ",J46," Year EUL")</f>
        <v>Lighting RES 19 Year EUL</v>
      </c>
      <c r="BD46" s="1972">
        <f>(INDEX('Avoided Cost Benefits'!$E$4:$E$859,MATCH(BC46,'Avoided Cost Benefits'!$A$4:$A$859,0)))*F46</f>
        <v>1.6292955151707342</v>
      </c>
      <c r="BE46" s="1973">
        <f t="shared" ref="BE46:BE53" si="12">K46/(1.0595^(2020-2019))</f>
        <v>1.8404907975460121</v>
      </c>
    </row>
    <row r="47" spans="2:57" x14ac:dyDescent="0.35">
      <c r="C47" s="2398" t="s">
        <v>533</v>
      </c>
      <c r="D47" s="330" t="s">
        <v>320</v>
      </c>
      <c r="E47" s="1592" t="str">
        <f>F70</f>
        <v>LED - 10W (CFL baseline) (750-1049 lumens)</v>
      </c>
      <c r="F47" s="392">
        <f>ROUND((($G$70-$G$77)*$G$95*(1-$G$91)*$G$84*$G$88)/$G$87,2)</f>
        <v>4.34</v>
      </c>
      <c r="G47" s="330" t="s">
        <v>53</v>
      </c>
      <c r="H47" s="393">
        <f>VLOOKUP(G47,'CP FACTORS'!$A$3:$B$38, 2, FALSE)</f>
        <v>1.4925290000000001E-4</v>
      </c>
      <c r="I47" s="394">
        <f t="shared" si="9"/>
        <v>6.4800000000000003E-4</v>
      </c>
      <c r="J47" s="92">
        <f>$G$98</f>
        <v>19</v>
      </c>
      <c r="K47" s="389">
        <f t="shared" ref="K47:K57" si="13">$G$100</f>
        <v>1.95</v>
      </c>
      <c r="L47" s="395" t="s">
        <v>184</v>
      </c>
      <c r="M47" s="199"/>
      <c r="N47" s="199"/>
      <c r="O47" s="199"/>
      <c r="P47" s="199"/>
      <c r="Q47" s="199"/>
      <c r="R47" s="1214"/>
      <c r="V47" s="1592" t="str">
        <f t="shared" ref="V47:V56" si="14">$F$45</f>
        <v>kWh Annual Savings</v>
      </c>
      <c r="W47" s="396">
        <v>3.3468425052295938</v>
      </c>
      <c r="X47" s="124">
        <v>3.5883733629744001</v>
      </c>
      <c r="Y47" s="397">
        <v>4.34</v>
      </c>
      <c r="Z47" s="392">
        <v>4.34</v>
      </c>
      <c r="AA47" s="392">
        <v>4.34</v>
      </c>
      <c r="AB47" s="392">
        <v>4.34</v>
      </c>
      <c r="AC47" s="392">
        <v>4.34</v>
      </c>
      <c r="AD47" s="392">
        <v>4.34</v>
      </c>
      <c r="AE47" s="141"/>
      <c r="AF47" s="141"/>
      <c r="AG47" s="141"/>
      <c r="AH47" s="144"/>
      <c r="BB47" s="1974">
        <f t="shared" si="10"/>
        <v>1.3386715834402796</v>
      </c>
      <c r="BC47" s="2381" t="str">
        <f t="shared" si="11"/>
        <v>Lighting RES 19 Year EUL</v>
      </c>
      <c r="BD47" s="1972">
        <f>(INDEX('Avoided Cost Benefits'!$E$4:$E$859,MATCH(BC47,'Avoided Cost Benefits'!$A$4:$A$859,0)))*F47</f>
        <v>2.4638127302581831</v>
      </c>
      <c r="BE47" s="1973">
        <f t="shared" si="12"/>
        <v>1.8404907975460121</v>
      </c>
    </row>
    <row r="48" spans="2:57" x14ac:dyDescent="0.35">
      <c r="C48" s="2398" t="s">
        <v>534</v>
      </c>
      <c r="D48" s="330" t="s">
        <v>496</v>
      </c>
      <c r="E48" s="1592" t="str">
        <f>F71</f>
        <v>LED - 10W (Halogen baseline) (750-1049 lumens)</v>
      </c>
      <c r="F48" s="392">
        <f>ROUND((($G$71-$G$77)*$G$94*(1-$G$90)*$G$84*$G$88)/$G$87,2)</f>
        <v>22.19</v>
      </c>
      <c r="G48" s="330" t="s">
        <v>53</v>
      </c>
      <c r="H48" s="393">
        <f>VLOOKUP(G48,'CP FACTORS'!$A$3:$B$38, 2, FALSE)</f>
        <v>1.4925290000000001E-4</v>
      </c>
      <c r="I48" s="394">
        <f t="shared" si="9"/>
        <v>3.3119999999999998E-3</v>
      </c>
      <c r="J48" s="92">
        <f>$G$98</f>
        <v>19</v>
      </c>
      <c r="K48" s="389">
        <f t="shared" si="13"/>
        <v>1.95</v>
      </c>
      <c r="L48" s="395" t="s">
        <v>184</v>
      </c>
      <c r="M48" s="199"/>
      <c r="N48" s="199"/>
      <c r="O48" s="199"/>
      <c r="P48" s="199"/>
      <c r="Q48" s="199"/>
      <c r="R48" s="1214"/>
      <c r="V48" s="1592" t="str">
        <f t="shared" si="14"/>
        <v>kWh Annual Savings</v>
      </c>
      <c r="W48" s="396">
        <v>24.41673736769771</v>
      </c>
      <c r="X48" s="124">
        <v>27.728339622984002</v>
      </c>
      <c r="Y48" s="397">
        <v>27.59</v>
      </c>
      <c r="Z48" s="392">
        <v>27.59</v>
      </c>
      <c r="AA48" s="392">
        <v>27.59</v>
      </c>
      <c r="AB48" s="397">
        <v>22.19</v>
      </c>
      <c r="AC48" s="392">
        <v>22.19</v>
      </c>
      <c r="AD48" s="392">
        <v>22.19</v>
      </c>
      <c r="AE48" s="141"/>
      <c r="AF48" s="141"/>
      <c r="AG48" s="141"/>
      <c r="AH48" s="144"/>
      <c r="BB48" s="1974">
        <f t="shared" si="10"/>
        <v>6.8444982572672375</v>
      </c>
      <c r="BC48" s="2381" t="str">
        <f t="shared" si="11"/>
        <v>Lighting RES 19 Year EUL</v>
      </c>
      <c r="BD48" s="1972">
        <f>(INDEX('Avoided Cost Benefits'!$E$4:$E$859,MATCH(BC48,'Avoided Cost Benefits'!$A$4:$A$859,0)))*F48</f>
        <v>12.597236056320067</v>
      </c>
      <c r="BE48" s="1973">
        <f t="shared" si="12"/>
        <v>1.8404907975460121</v>
      </c>
    </row>
    <row r="49" spans="3:57" x14ac:dyDescent="0.35">
      <c r="C49" s="2398" t="s">
        <v>535</v>
      </c>
      <c r="D49" s="395" t="s">
        <v>547</v>
      </c>
      <c r="E49" s="1592" t="s">
        <v>4234</v>
      </c>
      <c r="F49" s="392">
        <f>ROUND((($G$71-$G$78)*$G$96*(1-$G$92)*$G$84*$G$88)/$G$87,2)</f>
        <v>30.15</v>
      </c>
      <c r="G49" s="330" t="s">
        <v>53</v>
      </c>
      <c r="H49" s="393">
        <f>VLOOKUP(G49,'CP FACTORS'!$A$3:$B$38, 2, FALSE)</f>
        <v>1.4925290000000001E-4</v>
      </c>
      <c r="I49" s="394">
        <f t="shared" si="9"/>
        <v>4.4999999999999997E-3</v>
      </c>
      <c r="J49" s="92">
        <f t="shared" ref="J49:J57" si="15">$G$98</f>
        <v>19</v>
      </c>
      <c r="K49" s="389">
        <f t="shared" si="13"/>
        <v>1.95</v>
      </c>
      <c r="L49" s="395" t="s">
        <v>184</v>
      </c>
      <c r="M49" s="199"/>
      <c r="N49" s="199"/>
      <c r="O49" s="199"/>
      <c r="P49" s="199"/>
      <c r="Q49" s="199"/>
      <c r="R49" s="1214"/>
      <c r="V49" s="1592" t="str">
        <f t="shared" si="14"/>
        <v>kWh Annual Savings</v>
      </c>
      <c r="W49" s="396"/>
      <c r="X49" s="124"/>
      <c r="Y49" s="397"/>
      <c r="Z49" s="392"/>
      <c r="AA49" s="392"/>
      <c r="AB49" s="397">
        <v>30.15</v>
      </c>
      <c r="AC49" s="392">
        <v>30.15</v>
      </c>
      <c r="AD49" s="392">
        <v>30.15</v>
      </c>
      <c r="AE49" s="141"/>
      <c r="AF49" s="141"/>
      <c r="AG49" s="141"/>
      <c r="AH49" s="144"/>
      <c r="BB49" s="1974">
        <f t="shared" ref="BB49:BB50" si="16">(BD49)/(BE49)</f>
        <v>9.2997576591530962</v>
      </c>
      <c r="BC49" s="2381" t="str">
        <f t="shared" ref="BC49:BC50" si="17">CONCATENATE(G49," ",J49," Year EUL")</f>
        <v>Lighting RES 19 Year EUL</v>
      </c>
      <c r="BD49" s="1972">
        <f>(INDEX('Avoided Cost Benefits'!$E$4:$E$859,MATCH(BC49,'Avoided Cost Benefits'!$A$4:$A$859,0)))*F49</f>
        <v>17.116118391079315</v>
      </c>
      <c r="BE49" s="1973">
        <f t="shared" ref="BE49:BE50" si="18">K49/(1.0595^(2020-2019))</f>
        <v>1.8404907975460121</v>
      </c>
    </row>
    <row r="50" spans="3:57" x14ac:dyDescent="0.35">
      <c r="C50" s="2398" t="s">
        <v>536</v>
      </c>
      <c r="D50" s="395" t="s">
        <v>500</v>
      </c>
      <c r="E50" s="1592" t="s">
        <v>537</v>
      </c>
      <c r="F50" s="392">
        <f>ROUND((($G$71-$G$78)*$G$97*(1-$G$93)*$G$84*$G$88)/$G$87,2)</f>
        <v>29.48</v>
      </c>
      <c r="G50" s="330" t="s">
        <v>53</v>
      </c>
      <c r="H50" s="393">
        <f>VLOOKUP(G50,'CP FACTORS'!$A$3:$B$38, 2, FALSE)</f>
        <v>1.4925290000000001E-4</v>
      </c>
      <c r="I50" s="394">
        <f t="shared" si="9"/>
        <v>4.4000000000000003E-3</v>
      </c>
      <c r="J50" s="92">
        <f t="shared" si="15"/>
        <v>19</v>
      </c>
      <c r="K50" s="389">
        <f t="shared" si="13"/>
        <v>1.95</v>
      </c>
      <c r="L50" s="395" t="s">
        <v>184</v>
      </c>
      <c r="M50" s="199"/>
      <c r="N50" s="199"/>
      <c r="O50" s="199"/>
      <c r="P50" s="199"/>
      <c r="Q50" s="199"/>
      <c r="R50" s="1214"/>
      <c r="V50" s="1592" t="str">
        <f t="shared" si="14"/>
        <v>kWh Annual Savings</v>
      </c>
      <c r="W50" s="396"/>
      <c r="X50" s="124"/>
      <c r="Y50" s="397"/>
      <c r="Z50" s="392"/>
      <c r="AA50" s="392"/>
      <c r="AB50" s="397">
        <v>29.48</v>
      </c>
      <c r="AC50" s="392">
        <v>29.48</v>
      </c>
      <c r="AD50" s="392">
        <v>29.48</v>
      </c>
      <c r="AE50" s="141"/>
      <c r="AF50" s="141"/>
      <c r="AG50" s="141"/>
      <c r="AH50" s="144"/>
      <c r="BB50" s="1974">
        <f t="shared" si="16"/>
        <v>9.0930963778385827</v>
      </c>
      <c r="BC50" s="2381" t="str">
        <f t="shared" si="17"/>
        <v>Lighting RES 19 Year EUL</v>
      </c>
      <c r="BD50" s="1972">
        <f>(INDEX('Avoided Cost Benefits'!$E$4:$E$859,MATCH(BC50,'Avoided Cost Benefits'!$A$4:$A$859,0)))*F50</f>
        <v>16.735760204610887</v>
      </c>
      <c r="BE50" s="1973">
        <f t="shared" si="18"/>
        <v>1.8404907975460121</v>
      </c>
    </row>
    <row r="51" spans="3:57" x14ac:dyDescent="0.35">
      <c r="C51" s="2398" t="s">
        <v>538</v>
      </c>
      <c r="D51" s="330" t="s">
        <v>320</v>
      </c>
      <c r="E51" s="1592" t="str">
        <f>F71</f>
        <v>LED - 10W (Halogen baseline) (750-1049 lumens)</v>
      </c>
      <c r="F51" s="392">
        <f>ROUND((($G$71-$G$78)*$G$95*(1-$G$91)*$G$84*$G$88)/$G$87,2)</f>
        <v>33.5</v>
      </c>
      <c r="G51" s="330" t="s">
        <v>53</v>
      </c>
      <c r="H51" s="393">
        <f>VLOOKUP(G51,'CP FACTORS'!$A$3:$B$38, 2, FALSE)</f>
        <v>1.4925290000000001E-4</v>
      </c>
      <c r="I51" s="394">
        <f t="shared" si="9"/>
        <v>5.0000000000000001E-3</v>
      </c>
      <c r="J51" s="92">
        <f t="shared" si="15"/>
        <v>19</v>
      </c>
      <c r="K51" s="389">
        <f t="shared" si="13"/>
        <v>1.95</v>
      </c>
      <c r="L51" s="395" t="s">
        <v>184</v>
      </c>
      <c r="M51" s="199"/>
      <c r="N51" s="199"/>
      <c r="O51" s="199"/>
      <c r="P51" s="199"/>
      <c r="Q51" s="199"/>
      <c r="R51" s="1214"/>
      <c r="V51" s="1592" t="str">
        <f t="shared" si="14"/>
        <v>kWh Annual Savings</v>
      </c>
      <c r="W51" s="396">
        <v>24.584079492959191</v>
      </c>
      <c r="X51" s="124">
        <v>27.728339622984002</v>
      </c>
      <c r="Y51" s="397">
        <v>33.54</v>
      </c>
      <c r="Z51" s="392">
        <v>33.54</v>
      </c>
      <c r="AA51" s="392">
        <v>33.54</v>
      </c>
      <c r="AB51" s="397">
        <v>33.5</v>
      </c>
      <c r="AC51" s="392">
        <v>33.5</v>
      </c>
      <c r="AD51" s="392">
        <v>33.5</v>
      </c>
      <c r="AE51" s="141"/>
      <c r="AF51" s="141"/>
      <c r="AG51" s="141"/>
      <c r="AH51" s="144"/>
      <c r="BB51" s="1974">
        <f t="shared" si="10"/>
        <v>10.333064065725663</v>
      </c>
      <c r="BC51" s="2381" t="str">
        <f t="shared" si="11"/>
        <v>Lighting RES 19 Year EUL</v>
      </c>
      <c r="BD51" s="1972">
        <f>(INDEX('Avoided Cost Benefits'!$E$4:$E$859,MATCH(BC51,'Avoided Cost Benefits'!$A$4:$A$859,0)))*F51</f>
        <v>19.017909323421463</v>
      </c>
      <c r="BE51" s="1973">
        <f t="shared" si="12"/>
        <v>1.8404907975460121</v>
      </c>
    </row>
    <row r="52" spans="3:57" x14ac:dyDescent="0.35">
      <c r="C52" s="2398" t="s">
        <v>539</v>
      </c>
      <c r="D52" s="330" t="s">
        <v>496</v>
      </c>
      <c r="E52" s="1592" t="s">
        <v>52</v>
      </c>
      <c r="F52" s="392">
        <f>ROUND((($G$72-$G$79)*$G$94*(1-$G$90)*$G$84*$G$88)/$G$87,2)</f>
        <v>7.83</v>
      </c>
      <c r="G52" s="330" t="s">
        <v>53</v>
      </c>
      <c r="H52" s="393">
        <f>VLOOKUP(G52,'CP FACTORS'!$A$3:$B$38, 2, FALSE)</f>
        <v>1.4925290000000001E-4</v>
      </c>
      <c r="I52" s="394">
        <f t="shared" si="9"/>
        <v>1.1689999999999999E-3</v>
      </c>
      <c r="J52" s="92">
        <f t="shared" si="15"/>
        <v>19</v>
      </c>
      <c r="K52" s="389">
        <f t="shared" si="13"/>
        <v>1.95</v>
      </c>
      <c r="L52" s="395" t="s">
        <v>184</v>
      </c>
      <c r="M52" s="199"/>
      <c r="N52" s="199"/>
      <c r="O52" s="199"/>
      <c r="P52" s="199"/>
      <c r="Q52" s="199"/>
      <c r="R52" s="1214"/>
      <c r="V52" s="1592" t="str">
        <f t="shared" si="14"/>
        <v>kWh Annual Savings</v>
      </c>
      <c r="W52" s="396">
        <v>25.861964813137764</v>
      </c>
      <c r="X52" s="124">
        <v>27.728339622984002</v>
      </c>
      <c r="Y52" s="397">
        <v>27.59</v>
      </c>
      <c r="Z52" s="392">
        <v>27.59</v>
      </c>
      <c r="AA52" s="392">
        <v>27.59</v>
      </c>
      <c r="AB52" s="397">
        <v>7.83</v>
      </c>
      <c r="AC52" s="392">
        <v>7.83</v>
      </c>
      <c r="AD52" s="392">
        <v>7.83</v>
      </c>
      <c r="AE52" s="141"/>
      <c r="AF52" s="141"/>
      <c r="AG52" s="141"/>
      <c r="AH52" s="144"/>
      <c r="BB52" s="1974">
        <f t="shared" si="10"/>
        <v>2.4151609443173712</v>
      </c>
      <c r="BC52" s="2381" t="str">
        <f t="shared" si="11"/>
        <v>Lighting RES 19 Year EUL</v>
      </c>
      <c r="BD52" s="1972">
        <f>(INDEX('Avoided Cost Benefits'!$E$4:$E$859,MATCH(BC52,'Avoided Cost Benefits'!$A$4:$A$859,0)))*F52</f>
        <v>4.4450814926086579</v>
      </c>
      <c r="BE52" s="1973">
        <f t="shared" si="12"/>
        <v>1.8404907975460121</v>
      </c>
    </row>
    <row r="53" spans="3:57" x14ac:dyDescent="0.35">
      <c r="C53" s="1329" t="s">
        <v>540</v>
      </c>
      <c r="D53" s="330" t="s">
        <v>320</v>
      </c>
      <c r="E53" s="1592" t="s">
        <v>52</v>
      </c>
      <c r="F53" s="392">
        <f>ROUND((($G$72-$G$79)*$G$95*(1-$G$91)*$G$84*$G$88)/$G$87,2)</f>
        <v>11.82</v>
      </c>
      <c r="G53" s="330" t="s">
        <v>53</v>
      </c>
      <c r="H53" s="393">
        <f>VLOOKUP(G53,'CP FACTORS'!$A$3:$B$38, 2, FALSE)</f>
        <v>1.4925290000000001E-4</v>
      </c>
      <c r="I53" s="394">
        <f t="shared" si="9"/>
        <v>1.7639999999999999E-3</v>
      </c>
      <c r="J53" s="92">
        <f t="shared" si="15"/>
        <v>19</v>
      </c>
      <c r="K53" s="389">
        <f t="shared" si="13"/>
        <v>1.95</v>
      </c>
      <c r="L53" s="395" t="s">
        <v>184</v>
      </c>
      <c r="M53" s="199"/>
      <c r="N53" s="199"/>
      <c r="O53" s="199"/>
      <c r="P53" s="199"/>
      <c r="Q53" s="199"/>
      <c r="R53" s="1214"/>
      <c r="V53" s="1592" t="str">
        <f t="shared" si="14"/>
        <v>kWh Annual Savings</v>
      </c>
      <c r="W53" s="396">
        <v>37.153826041105866</v>
      </c>
      <c r="X53" s="124">
        <v>33.540506999999998</v>
      </c>
      <c r="Y53" s="392">
        <v>33.54</v>
      </c>
      <c r="Z53" s="392">
        <v>33.54</v>
      </c>
      <c r="AA53" s="392">
        <v>33.54</v>
      </c>
      <c r="AB53" s="397">
        <v>11.82</v>
      </c>
      <c r="AC53" s="392">
        <v>11.82</v>
      </c>
      <c r="AD53" s="392">
        <v>11.82</v>
      </c>
      <c r="AE53" s="141"/>
      <c r="AF53" s="141"/>
      <c r="AG53" s="141"/>
      <c r="AH53" s="144"/>
      <c r="BB53" s="1974">
        <f t="shared" si="10"/>
        <v>3.6458751419963384</v>
      </c>
      <c r="BC53" s="2381" t="str">
        <f t="shared" si="11"/>
        <v>Lighting RES 19 Year EUL</v>
      </c>
      <c r="BD53" s="1972">
        <f>(INDEX('Avoided Cost Benefits'!$E$4:$E$859,MATCH(BC53,'Avoided Cost Benefits'!$A$4:$A$859,0)))*F53</f>
        <v>6.7101996478460206</v>
      </c>
      <c r="BE53" s="1973">
        <f t="shared" si="12"/>
        <v>1.8404907975460121</v>
      </c>
    </row>
    <row r="54" spans="3:57" x14ac:dyDescent="0.35">
      <c r="C54" s="1329" t="s">
        <v>541</v>
      </c>
      <c r="D54" s="395" t="s">
        <v>547</v>
      </c>
      <c r="E54" s="1592" t="s">
        <v>4235</v>
      </c>
      <c r="F54" s="392">
        <f>ROUND((($G$73-$G$80)*$G$96*(1-$G$92)*$G$84*$G$88)/$G$87,2)</f>
        <v>32.1</v>
      </c>
      <c r="G54" s="330" t="s">
        <v>53</v>
      </c>
      <c r="H54" s="393">
        <f>VLOOKUP(G54,'CP FACTORS'!$A$3:$B$38, 2, FALSE)</f>
        <v>1.4925290000000001E-4</v>
      </c>
      <c r="I54" s="394">
        <f t="shared" si="9"/>
        <v>4.7910000000000001E-3</v>
      </c>
      <c r="J54" s="92">
        <f t="shared" si="15"/>
        <v>19</v>
      </c>
      <c r="K54" s="389">
        <f t="shared" si="13"/>
        <v>1.95</v>
      </c>
      <c r="L54" s="395" t="s">
        <v>184</v>
      </c>
      <c r="M54" s="199"/>
      <c r="N54" s="199"/>
      <c r="O54" s="199"/>
      <c r="P54" s="199"/>
      <c r="Q54" s="199"/>
      <c r="R54" s="1214"/>
      <c r="V54" s="1592" t="str">
        <f t="shared" si="14"/>
        <v>kWh Annual Savings</v>
      </c>
      <c r="W54" s="396"/>
      <c r="X54" s="124"/>
      <c r="Y54" s="392"/>
      <c r="Z54" s="479"/>
      <c r="AA54" s="479"/>
      <c r="AB54" s="397">
        <v>32.1</v>
      </c>
      <c r="AC54" s="392">
        <v>32.1</v>
      </c>
      <c r="AD54" s="392">
        <v>32.1</v>
      </c>
      <c r="AE54" s="141"/>
      <c r="AF54" s="141"/>
      <c r="AG54" s="141"/>
      <c r="AH54" s="144"/>
      <c r="BB54" s="1974">
        <f t="shared" ref="BB54:BB56" si="19">(BD54)/(BE54)</f>
        <v>9.9012345226804097</v>
      </c>
      <c r="BC54" s="2381" t="str">
        <f t="shared" ref="BC54:BC56" si="20">CONCATENATE(G54," ",J54," Year EUL")</f>
        <v>Lighting RES 19 Year EUL</v>
      </c>
      <c r="BD54" s="1972">
        <f>(INDEX('Avoided Cost Benefits'!$E$4:$E$859,MATCH(BC54,'Avoided Cost Benefits'!$A$4:$A$859,0)))*F54</f>
        <v>18.223131023338176</v>
      </c>
      <c r="BE54" s="1973">
        <f t="shared" ref="BE54:BE56" si="21">K54/(1.0595^(2020-2019))</f>
        <v>1.8404907975460121</v>
      </c>
    </row>
    <row r="55" spans="3:57" x14ac:dyDescent="0.35">
      <c r="C55" s="1329" t="s">
        <v>543</v>
      </c>
      <c r="D55" s="395" t="s">
        <v>547</v>
      </c>
      <c r="E55" s="1592" t="s">
        <v>4236</v>
      </c>
      <c r="F55" s="392">
        <f>ROUND((($G$74-$G$81)*$G$96*(1-$G$92)*$G$84*$G$88)/$G$87,2)</f>
        <v>50.36</v>
      </c>
      <c r="G55" s="330" t="s">
        <v>53</v>
      </c>
      <c r="H55" s="393">
        <f>VLOOKUP(G55,'CP FACTORS'!$A$3:$B$38, 2, FALSE)</f>
        <v>1.4925290000000001E-4</v>
      </c>
      <c r="I55" s="394">
        <f t="shared" si="9"/>
        <v>7.5160000000000001E-3</v>
      </c>
      <c r="J55" s="92">
        <f t="shared" si="15"/>
        <v>19</v>
      </c>
      <c r="K55" s="389">
        <f t="shared" si="13"/>
        <v>1.95</v>
      </c>
      <c r="L55" s="395" t="s">
        <v>184</v>
      </c>
      <c r="M55" s="199"/>
      <c r="N55" s="199"/>
      <c r="O55" s="199"/>
      <c r="P55" s="199"/>
      <c r="Q55" s="199"/>
      <c r="R55" s="1214"/>
      <c r="V55" s="1592" t="str">
        <f t="shared" si="14"/>
        <v>kWh Annual Savings</v>
      </c>
      <c r="W55" s="396"/>
      <c r="X55" s="124"/>
      <c r="Y55" s="392"/>
      <c r="Z55" s="479"/>
      <c r="AA55" s="479"/>
      <c r="AB55" s="397">
        <v>50.36</v>
      </c>
      <c r="AC55" s="392">
        <v>50.36</v>
      </c>
      <c r="AD55" s="392">
        <v>50.36</v>
      </c>
      <c r="AE55" s="141"/>
      <c r="AF55" s="141"/>
      <c r="AG55" s="141"/>
      <c r="AH55" s="144"/>
      <c r="BB55" s="1974">
        <f t="shared" si="19"/>
        <v>15.533525562684906</v>
      </c>
      <c r="BC55" s="2381" t="str">
        <f t="shared" si="20"/>
        <v>Lighting RES 19 Year EUL</v>
      </c>
      <c r="BD55" s="1972">
        <f>(INDEX('Avoided Cost Benefits'!$E$4:$E$859,MATCH(BC55,'Avoided Cost Benefits'!$A$4:$A$859,0)))*F55</f>
        <v>28.589310851567308</v>
      </c>
      <c r="BE55" s="1973">
        <f t="shared" si="21"/>
        <v>1.8404907975460121</v>
      </c>
    </row>
    <row r="56" spans="3:57" x14ac:dyDescent="0.35">
      <c r="C56" s="1329" t="s">
        <v>545</v>
      </c>
      <c r="D56" s="395" t="s">
        <v>547</v>
      </c>
      <c r="E56" s="1592" t="s">
        <v>4237</v>
      </c>
      <c r="F56" s="392">
        <f>ROUND((($G$75-$G$82)*$G$96*(1-$G$92)*$G$84*$G$88)/$G$87,2)</f>
        <v>45.49</v>
      </c>
      <c r="G56" s="330" t="s">
        <v>53</v>
      </c>
      <c r="H56" s="393">
        <f>VLOOKUP(G56,'CP FACTORS'!$A$3:$B$38, 2, FALSE)</f>
        <v>1.4925290000000001E-4</v>
      </c>
      <c r="I56" s="394">
        <f t="shared" si="9"/>
        <v>6.79E-3</v>
      </c>
      <c r="J56" s="92">
        <f t="shared" si="15"/>
        <v>19</v>
      </c>
      <c r="K56" s="389">
        <f t="shared" si="13"/>
        <v>1.95</v>
      </c>
      <c r="L56" s="395" t="s">
        <v>184</v>
      </c>
      <c r="M56" s="199"/>
      <c r="N56" s="199"/>
      <c r="O56" s="199"/>
      <c r="P56" s="199"/>
      <c r="Q56" s="199"/>
      <c r="R56" s="1214"/>
      <c r="V56" s="1592" t="str">
        <f t="shared" si="14"/>
        <v>kWh Annual Savings</v>
      </c>
      <c r="W56" s="396"/>
      <c r="X56" s="124"/>
      <c r="Y56" s="392"/>
      <c r="Z56" s="479"/>
      <c r="AA56" s="479"/>
      <c r="AB56" s="397">
        <v>45.49</v>
      </c>
      <c r="AC56" s="392">
        <v>45.49</v>
      </c>
      <c r="AD56" s="392">
        <v>45.49</v>
      </c>
      <c r="AE56" s="141"/>
      <c r="AF56" s="141"/>
      <c r="AG56" s="141"/>
      <c r="AH56" s="144"/>
      <c r="BB56" s="1974">
        <f t="shared" si="19"/>
        <v>14.031375652234637</v>
      </c>
      <c r="BC56" s="2381" t="str">
        <f t="shared" si="20"/>
        <v>Lighting RES 19 Year EUL</v>
      </c>
      <c r="BD56" s="1972">
        <f>(INDEX('Avoided Cost Benefits'!$E$4:$E$859,MATCH(BC56,'Avoided Cost Benefits'!$A$4:$A$859,0)))*F56</f>
        <v>25.824617764849023</v>
      </c>
      <c r="BE56" s="1973">
        <f t="shared" si="21"/>
        <v>1.8404907975460121</v>
      </c>
    </row>
    <row r="57" spans="3:57" x14ac:dyDescent="0.35">
      <c r="C57" s="1329" t="s">
        <v>4221</v>
      </c>
      <c r="D57" s="395" t="s">
        <v>547</v>
      </c>
      <c r="E57" s="1592" t="s">
        <v>104</v>
      </c>
      <c r="F57" s="392">
        <f>ROUND((($G$76-$G$83)*$G$96*(1-$G$92)*$G$85*$G$88)/$G$87,2)</f>
        <v>26.15</v>
      </c>
      <c r="G57" s="330" t="s">
        <v>53</v>
      </c>
      <c r="H57" s="393">
        <f>VLOOKUP(G57,'CP FACTORS'!$A$3:$B$38, 2, FALSE)</f>
        <v>1.4925290000000001E-4</v>
      </c>
      <c r="I57" s="394">
        <f t="shared" ref="I57" si="22">ROUND(F57*H57,6)</f>
        <v>3.9029999999999998E-3</v>
      </c>
      <c r="J57" s="92">
        <f t="shared" si="15"/>
        <v>19</v>
      </c>
      <c r="K57" s="389">
        <f t="shared" si="13"/>
        <v>1.95</v>
      </c>
      <c r="L57" s="395" t="s">
        <v>184</v>
      </c>
      <c r="M57" s="199"/>
      <c r="N57" s="199"/>
      <c r="O57" s="199"/>
      <c r="P57" s="199"/>
      <c r="Q57" s="199"/>
      <c r="R57" s="1214"/>
      <c r="V57" s="1589" t="s">
        <v>30</v>
      </c>
      <c r="W57" s="396"/>
      <c r="X57" s="124"/>
      <c r="Y57" s="392"/>
      <c r="Z57" s="479"/>
      <c r="AA57" s="479"/>
      <c r="AB57" s="397"/>
      <c r="AC57" s="397">
        <v>26.15</v>
      </c>
      <c r="AD57" s="392">
        <v>26.15</v>
      </c>
      <c r="AE57" s="141"/>
      <c r="AF57" s="141"/>
      <c r="AG57" s="141"/>
      <c r="AH57" s="144"/>
      <c r="BB57" s="1974">
        <f t="shared" ref="BB57" si="23">(BD57)/(BE57)</f>
        <v>8.0659589647380905</v>
      </c>
      <c r="BC57" s="2381" t="str">
        <f t="shared" ref="BC57" si="24">CONCATENATE(G57," ",J57," Year EUL")</f>
        <v>Lighting RES 19 Year EUL</v>
      </c>
      <c r="BD57" s="1972">
        <f>(INDEX('Avoided Cost Benefits'!$E$4:$E$859,MATCH(BC57,'Avoided Cost Benefits'!$A$4:$A$859,0)))*F57</f>
        <v>14.845323247984215</v>
      </c>
      <c r="BE57" s="1973">
        <f t="shared" ref="BE57" si="25">K57/(1.0595^(2020-2019))</f>
        <v>1.8404907975460121</v>
      </c>
    </row>
    <row r="58" spans="3:57" hidden="1" outlineLevel="1" x14ac:dyDescent="0.35">
      <c r="G58" s="1242"/>
      <c r="K58" s="106" t="s">
        <v>548</v>
      </c>
    </row>
    <row r="59" spans="3:57" hidden="1" outlineLevel="1" x14ac:dyDescent="0.35">
      <c r="D59" s="292" t="s">
        <v>107</v>
      </c>
    </row>
    <row r="60" spans="3:57" hidden="1" outlineLevel="1" x14ac:dyDescent="0.35"/>
    <row r="61" spans="3:57" hidden="1" outlineLevel="1" x14ac:dyDescent="0.35"/>
    <row r="62" spans="3:57" hidden="1" outlineLevel="1" x14ac:dyDescent="0.35"/>
    <row r="63" spans="3:57" hidden="1" outlineLevel="1" x14ac:dyDescent="0.35">
      <c r="E63" s="132"/>
      <c r="F63" s="132"/>
    </row>
    <row r="64" spans="3:57" hidden="1" outlineLevel="1" x14ac:dyDescent="0.35"/>
    <row r="65" spans="4:34" hidden="1" outlineLevel="1" x14ac:dyDescent="0.35"/>
    <row r="66" spans="4:34" hidden="1" outlineLevel="1" x14ac:dyDescent="0.35"/>
    <row r="67" spans="4:34" hidden="1" outlineLevel="1" x14ac:dyDescent="0.35">
      <c r="M67" s="106"/>
    </row>
    <row r="68" spans="4:34" hidden="1" outlineLevel="1" x14ac:dyDescent="0.35">
      <c r="M68" s="106"/>
    </row>
    <row r="69" spans="4:34" hidden="1" outlineLevel="1" x14ac:dyDescent="0.35">
      <c r="D69" s="315" t="s">
        <v>108</v>
      </c>
      <c r="E69" s="1948" t="s">
        <v>109</v>
      </c>
      <c r="F69" s="315" t="s">
        <v>549</v>
      </c>
      <c r="G69" s="306" t="s">
        <v>111</v>
      </c>
      <c r="H69" s="306" t="s">
        <v>186</v>
      </c>
      <c r="I69" s="306" t="s">
        <v>112</v>
      </c>
      <c r="M69" s="106"/>
      <c r="V69" s="480" t="s">
        <v>44</v>
      </c>
      <c r="W69" s="316">
        <f>$W$6</f>
        <v>43252</v>
      </c>
      <c r="X69" s="316">
        <f>$X$6</f>
        <v>43465</v>
      </c>
      <c r="Y69" s="316">
        <f>$Y$6</f>
        <v>43800</v>
      </c>
      <c r="Z69" s="316">
        <f>$Z$6</f>
        <v>43862</v>
      </c>
      <c r="AA69" s="316">
        <f>$AA$6</f>
        <v>44013</v>
      </c>
      <c r="AB69" s="316">
        <f>$AB$6</f>
        <v>44166</v>
      </c>
      <c r="AC69" s="1573">
        <f>$AC$6</f>
        <v>44531</v>
      </c>
      <c r="AD69" s="1573">
        <f>$AD$6</f>
        <v>44774</v>
      </c>
      <c r="AE69" s="1573" t="str">
        <f>$AE$6</f>
        <v>-</v>
      </c>
      <c r="AF69" s="1573" t="str">
        <f>$AF$6</f>
        <v>-</v>
      </c>
      <c r="AG69" s="1573" t="str">
        <f>$AG$6</f>
        <v>-</v>
      </c>
      <c r="AH69" s="106"/>
    </row>
    <row r="70" spans="4:34" ht="15" hidden="1" customHeight="1" outlineLevel="1" x14ac:dyDescent="0.35">
      <c r="D70" s="3917" t="s">
        <v>550</v>
      </c>
      <c r="E70" s="3917" t="s">
        <v>551</v>
      </c>
      <c r="F70" s="391" t="str">
        <f>'Lighting Deemed Table'!F46</f>
        <v>LED - 10W (CFL baseline) (750-1049 lumens)</v>
      </c>
      <c r="G70" s="399">
        <v>13.4</v>
      </c>
      <c r="H70" s="391"/>
      <c r="I70" s="391"/>
      <c r="M70" s="106"/>
      <c r="V70" s="3854" t="s">
        <v>550</v>
      </c>
      <c r="W70" s="400">
        <v>13.4</v>
      </c>
      <c r="X70" s="399">
        <v>13.4</v>
      </c>
      <c r="Y70" s="399">
        <v>13.4</v>
      </c>
      <c r="Z70" s="399">
        <v>13.4</v>
      </c>
      <c r="AA70" s="399">
        <v>13.4</v>
      </c>
      <c r="AB70" s="399">
        <v>13.4</v>
      </c>
      <c r="AC70" s="399">
        <v>13.4</v>
      </c>
      <c r="AD70" s="399">
        <v>13.4</v>
      </c>
      <c r="AE70" s="400"/>
      <c r="AF70" s="400"/>
      <c r="AG70" s="400"/>
    </row>
    <row r="71" spans="4:34" ht="58" hidden="1" outlineLevel="1" x14ac:dyDescent="0.35">
      <c r="D71" s="3672"/>
      <c r="E71" s="3672"/>
      <c r="F71" s="391" t="str">
        <f>'Lighting Deemed Table'!F47</f>
        <v>LED - 10W (Halogen baseline) (750-1049 lumens)</v>
      </c>
      <c r="G71" s="399">
        <v>43</v>
      </c>
      <c r="H71" s="2333" t="s">
        <v>552</v>
      </c>
      <c r="I71" s="2333"/>
      <c r="M71" s="106"/>
      <c r="V71" s="3716"/>
      <c r="W71" s="400">
        <v>39.5</v>
      </c>
      <c r="X71" s="401">
        <v>43</v>
      </c>
      <c r="Y71" s="399">
        <v>43</v>
      </c>
      <c r="Z71" s="399">
        <v>43</v>
      </c>
      <c r="AA71" s="399">
        <v>43</v>
      </c>
      <c r="AB71" s="399">
        <v>43</v>
      </c>
      <c r="AC71" s="399">
        <v>43</v>
      </c>
      <c r="AD71" s="399">
        <v>43</v>
      </c>
      <c r="AE71" s="400"/>
      <c r="AF71" s="400"/>
      <c r="AG71" s="400"/>
    </row>
    <row r="72" spans="4:34" ht="43.5" hidden="1" outlineLevel="1" x14ac:dyDescent="0.35">
      <c r="D72" s="3672"/>
      <c r="E72" s="3672"/>
      <c r="F72" s="391" t="s">
        <v>52</v>
      </c>
      <c r="G72" s="399">
        <v>21</v>
      </c>
      <c r="H72" s="2333"/>
      <c r="I72" s="2333" t="s">
        <v>553</v>
      </c>
      <c r="M72" s="106"/>
      <c r="V72" s="3716"/>
      <c r="W72" s="400">
        <v>43</v>
      </c>
      <c r="X72" s="400">
        <v>43</v>
      </c>
      <c r="Y72" s="400">
        <v>43</v>
      </c>
      <c r="Z72" s="400">
        <v>43</v>
      </c>
      <c r="AA72" s="400">
        <v>43</v>
      </c>
      <c r="AB72" s="399">
        <v>43</v>
      </c>
      <c r="AC72" s="399">
        <v>21</v>
      </c>
      <c r="AD72" s="399">
        <v>21</v>
      </c>
      <c r="AE72" s="400"/>
      <c r="AF72" s="400"/>
      <c r="AG72" s="400"/>
    </row>
    <row r="73" spans="4:34" ht="43.5" hidden="1" outlineLevel="1" x14ac:dyDescent="0.35">
      <c r="D73" s="3672"/>
      <c r="E73" s="3672"/>
      <c r="F73" s="391" t="s">
        <v>554</v>
      </c>
      <c r="G73" s="399">
        <v>41.4</v>
      </c>
      <c r="H73" s="2333" t="s">
        <v>555</v>
      </c>
      <c r="I73" s="2333" t="s">
        <v>553</v>
      </c>
      <c r="K73" s="1243"/>
      <c r="L73" s="1243"/>
      <c r="M73" s="106"/>
      <c r="N73" s="486"/>
      <c r="V73" s="3716"/>
      <c r="W73" s="400"/>
      <c r="X73" s="400"/>
      <c r="Y73" s="400"/>
      <c r="Z73" s="400"/>
      <c r="AA73" s="400"/>
      <c r="AB73" s="401">
        <v>41.4</v>
      </c>
      <c r="AC73" s="399">
        <v>41.4</v>
      </c>
      <c r="AD73" s="399">
        <v>41.4</v>
      </c>
      <c r="AE73" s="400"/>
      <c r="AF73" s="400"/>
      <c r="AG73" s="400"/>
    </row>
    <row r="74" spans="4:34" ht="43.5" hidden="1" outlineLevel="1" x14ac:dyDescent="0.35">
      <c r="D74" s="3672"/>
      <c r="E74" s="3672"/>
      <c r="F74" s="391" t="s">
        <v>556</v>
      </c>
      <c r="G74" s="399">
        <v>72</v>
      </c>
      <c r="H74" s="2333" t="s">
        <v>555</v>
      </c>
      <c r="I74" s="2333" t="s">
        <v>553</v>
      </c>
      <c r="K74" s="1243"/>
      <c r="L74" s="1243"/>
      <c r="M74" s="106"/>
      <c r="N74" s="486"/>
      <c r="V74" s="3716"/>
      <c r="W74" s="400"/>
      <c r="X74" s="400"/>
      <c r="Y74" s="400"/>
      <c r="Z74" s="400"/>
      <c r="AA74" s="400"/>
      <c r="AB74" s="401">
        <v>72</v>
      </c>
      <c r="AC74" s="399">
        <v>72</v>
      </c>
      <c r="AD74" s="399">
        <v>72</v>
      </c>
      <c r="AE74" s="400"/>
      <c r="AF74" s="400"/>
      <c r="AG74" s="400"/>
    </row>
    <row r="75" spans="4:34" ht="43.5" hidden="1" outlineLevel="1" x14ac:dyDescent="0.35">
      <c r="D75" s="3672"/>
      <c r="E75" s="3672"/>
      <c r="F75" s="391" t="s">
        <v>557</v>
      </c>
      <c r="G75" s="399">
        <v>61.3</v>
      </c>
      <c r="H75" s="2333" t="s">
        <v>555</v>
      </c>
      <c r="I75" s="2333" t="s">
        <v>553</v>
      </c>
      <c r="K75" s="1243"/>
      <c r="L75" s="1243"/>
      <c r="M75" s="106"/>
      <c r="N75" s="486"/>
      <c r="V75" s="3716"/>
      <c r="W75" s="400"/>
      <c r="X75" s="400"/>
      <c r="Y75" s="400"/>
      <c r="Z75" s="400"/>
      <c r="AA75" s="400"/>
      <c r="AB75" s="401">
        <v>61.3</v>
      </c>
      <c r="AC75" s="399">
        <v>61.3</v>
      </c>
      <c r="AD75" s="399">
        <v>61.3</v>
      </c>
      <c r="AE75" s="400"/>
      <c r="AF75" s="400"/>
      <c r="AG75" s="400"/>
    </row>
    <row r="76" spans="4:34" ht="35.25" hidden="1" customHeight="1" outlineLevel="1" thickBot="1" x14ac:dyDescent="0.4">
      <c r="D76" s="3673"/>
      <c r="E76" s="3673"/>
      <c r="F76" s="2539" t="s">
        <v>104</v>
      </c>
      <c r="G76" s="2645">
        <v>7</v>
      </c>
      <c r="H76" s="2346" t="s">
        <v>127</v>
      </c>
      <c r="I76" s="2202"/>
      <c r="K76" s="1243"/>
      <c r="L76" s="1243"/>
      <c r="M76" s="106"/>
      <c r="N76" s="486"/>
      <c r="V76" s="3717"/>
      <c r="W76" s="2200"/>
      <c r="X76" s="2200"/>
      <c r="Y76" s="2200"/>
      <c r="Z76" s="2200"/>
      <c r="AA76" s="2200"/>
      <c r="AB76" s="2201"/>
      <c r="AC76" s="2201">
        <v>7</v>
      </c>
      <c r="AD76" s="2645">
        <v>7</v>
      </c>
      <c r="AE76" s="2200"/>
      <c r="AF76" s="2200"/>
      <c r="AG76" s="2200"/>
    </row>
    <row r="77" spans="4:34" ht="14.5" hidden="1" customHeight="1" outlineLevel="1" x14ac:dyDescent="0.35">
      <c r="D77" s="3671" t="s">
        <v>558</v>
      </c>
      <c r="E77" s="3671" t="s">
        <v>559</v>
      </c>
      <c r="F77" s="1760" t="s">
        <v>560</v>
      </c>
      <c r="G77" s="1761">
        <v>9</v>
      </c>
      <c r="H77" s="2332"/>
      <c r="I77" s="2332"/>
      <c r="K77" s="1243"/>
      <c r="L77" s="1243"/>
      <c r="M77" s="106"/>
      <c r="N77" s="486"/>
      <c r="V77" s="3715" t="s">
        <v>558</v>
      </c>
      <c r="W77" s="1767">
        <v>9</v>
      </c>
      <c r="X77" s="1761">
        <v>9</v>
      </c>
      <c r="Y77" s="1761">
        <v>9</v>
      </c>
      <c r="Z77" s="1761">
        <v>9</v>
      </c>
      <c r="AA77" s="1761">
        <v>9</v>
      </c>
      <c r="AB77" s="1761">
        <v>9</v>
      </c>
      <c r="AC77" s="1761">
        <v>9</v>
      </c>
      <c r="AD77" s="1761">
        <v>9</v>
      </c>
      <c r="AE77" s="1768"/>
      <c r="AF77" s="1768"/>
      <c r="AG77" s="1768"/>
    </row>
    <row r="78" spans="4:34" hidden="1" outlineLevel="1" x14ac:dyDescent="0.35">
      <c r="D78" s="3672"/>
      <c r="E78" s="3672"/>
      <c r="F78" s="391" t="s">
        <v>561</v>
      </c>
      <c r="G78" s="399">
        <v>9</v>
      </c>
      <c r="H78" s="2333"/>
      <c r="I78" s="2333"/>
      <c r="K78" s="1243"/>
      <c r="L78" s="1243"/>
      <c r="M78" s="106"/>
      <c r="N78" s="486"/>
      <c r="V78" s="3716"/>
      <c r="W78" s="402">
        <v>9</v>
      </c>
      <c r="X78" s="399">
        <v>9</v>
      </c>
      <c r="Y78" s="399">
        <v>9</v>
      </c>
      <c r="Z78" s="399">
        <v>9</v>
      </c>
      <c r="AA78" s="399">
        <v>9</v>
      </c>
      <c r="AB78" s="399">
        <v>9</v>
      </c>
      <c r="AC78" s="399">
        <v>9</v>
      </c>
      <c r="AD78" s="399">
        <v>9</v>
      </c>
      <c r="AE78" s="400"/>
      <c r="AF78" s="400"/>
      <c r="AG78" s="400"/>
    </row>
    <row r="79" spans="4:34" ht="29" hidden="1" outlineLevel="1" x14ac:dyDescent="0.35">
      <c r="D79" s="3672"/>
      <c r="E79" s="3672"/>
      <c r="F79" s="391" t="s">
        <v>52</v>
      </c>
      <c r="G79" s="399">
        <v>9</v>
      </c>
      <c r="H79" s="2333" t="s">
        <v>562</v>
      </c>
      <c r="I79" s="2333"/>
      <c r="K79" s="415"/>
      <c r="L79" s="415"/>
      <c r="M79" s="106"/>
      <c r="N79" s="486"/>
      <c r="V79" s="3716"/>
      <c r="W79" s="400">
        <v>9</v>
      </c>
      <c r="X79" s="400">
        <v>9</v>
      </c>
      <c r="Y79" s="400">
        <v>9</v>
      </c>
      <c r="Z79" s="400">
        <v>9</v>
      </c>
      <c r="AA79" s="400">
        <v>9</v>
      </c>
      <c r="AB79" s="399">
        <v>9</v>
      </c>
      <c r="AC79" s="399">
        <v>9</v>
      </c>
      <c r="AD79" s="399">
        <v>9</v>
      </c>
      <c r="AE79" s="400"/>
      <c r="AF79" s="400"/>
      <c r="AG79" s="400"/>
    </row>
    <row r="80" spans="4:34" ht="43.5" hidden="1" outlineLevel="1" x14ac:dyDescent="0.35">
      <c r="D80" s="3672"/>
      <c r="E80" s="3672"/>
      <c r="F80" s="391" t="s">
        <v>542</v>
      </c>
      <c r="G80" s="399">
        <v>5.2</v>
      </c>
      <c r="H80" s="2333" t="s">
        <v>555</v>
      </c>
      <c r="I80" s="2333" t="s">
        <v>553</v>
      </c>
      <c r="K80" s="415"/>
      <c r="L80" s="415"/>
      <c r="M80" s="106"/>
      <c r="N80" s="486"/>
      <c r="V80" s="3716"/>
      <c r="W80" s="400"/>
      <c r="X80" s="400"/>
      <c r="Y80" s="400"/>
      <c r="Z80" s="400"/>
      <c r="AA80" s="400"/>
      <c r="AB80" s="401">
        <v>5.2</v>
      </c>
      <c r="AC80" s="399">
        <v>5.2</v>
      </c>
      <c r="AD80" s="399">
        <v>5.2</v>
      </c>
      <c r="AE80" s="400"/>
      <c r="AF80" s="400"/>
      <c r="AG80" s="400"/>
    </row>
    <row r="81" spans="4:34" ht="43.5" hidden="1" outlineLevel="1" x14ac:dyDescent="0.35">
      <c r="D81" s="3672"/>
      <c r="E81" s="3672"/>
      <c r="F81" s="391" t="s">
        <v>544</v>
      </c>
      <c r="G81" s="399">
        <v>15.2</v>
      </c>
      <c r="H81" s="2333" t="s">
        <v>555</v>
      </c>
      <c r="I81" s="2333" t="s">
        <v>553</v>
      </c>
      <c r="K81" s="415"/>
      <c r="L81" s="415"/>
      <c r="M81" s="106"/>
      <c r="N81" s="486"/>
      <c r="V81" s="3716"/>
      <c r="W81" s="400"/>
      <c r="X81" s="400"/>
      <c r="Y81" s="400"/>
      <c r="Z81" s="400"/>
      <c r="AA81" s="400"/>
      <c r="AB81" s="401">
        <v>15.2</v>
      </c>
      <c r="AC81" s="399">
        <v>15.2</v>
      </c>
      <c r="AD81" s="399">
        <v>15.2</v>
      </c>
      <c r="AE81" s="400"/>
      <c r="AF81" s="400"/>
      <c r="AG81" s="400"/>
    </row>
    <row r="82" spans="4:34" ht="43.5" hidden="1" outlineLevel="1" x14ac:dyDescent="0.35">
      <c r="D82" s="3672"/>
      <c r="E82" s="3672"/>
      <c r="F82" s="391" t="s">
        <v>546</v>
      </c>
      <c r="G82" s="399">
        <v>10</v>
      </c>
      <c r="H82" s="2333" t="s">
        <v>555</v>
      </c>
      <c r="I82" s="2333" t="s">
        <v>553</v>
      </c>
      <c r="K82" s="415"/>
      <c r="L82" s="415"/>
      <c r="M82" s="106"/>
      <c r="N82" s="486"/>
      <c r="V82" s="3716"/>
      <c r="W82" s="400"/>
      <c r="X82" s="400"/>
      <c r="Y82" s="400"/>
      <c r="Z82" s="400"/>
      <c r="AA82" s="400"/>
      <c r="AB82" s="401">
        <v>10</v>
      </c>
      <c r="AC82" s="399">
        <v>10</v>
      </c>
      <c r="AD82" s="399">
        <v>10</v>
      </c>
      <c r="AE82" s="400"/>
      <c r="AF82" s="400"/>
      <c r="AG82" s="400"/>
    </row>
    <row r="83" spans="4:34" ht="27.75" hidden="1" customHeight="1" outlineLevel="1" thickBot="1" x14ac:dyDescent="0.4">
      <c r="D83" s="3673"/>
      <c r="E83" s="3673"/>
      <c r="F83" s="2342" t="s">
        <v>104</v>
      </c>
      <c r="G83" s="2646">
        <v>0.3</v>
      </c>
      <c r="H83" s="2366" t="s">
        <v>563</v>
      </c>
      <c r="I83" s="2204"/>
      <c r="K83" s="415"/>
      <c r="L83" s="415"/>
      <c r="M83" s="106"/>
      <c r="N83" s="486"/>
      <c r="V83" s="3717"/>
      <c r="W83" s="2205"/>
      <c r="X83" s="2205"/>
      <c r="Y83" s="2205"/>
      <c r="Z83" s="2205"/>
      <c r="AA83" s="2205"/>
      <c r="AB83" s="2203"/>
      <c r="AC83" s="2203">
        <v>0.3</v>
      </c>
      <c r="AD83" s="2646">
        <v>0.3</v>
      </c>
      <c r="AE83" s="2205"/>
      <c r="AF83" s="2205"/>
      <c r="AG83" s="2205"/>
    </row>
    <row r="84" spans="4:34" ht="15.65" hidden="1" customHeight="1" outlineLevel="1" x14ac:dyDescent="0.35">
      <c r="D84" s="3671" t="s">
        <v>564</v>
      </c>
      <c r="E84" s="3872" t="s">
        <v>565</v>
      </c>
      <c r="F84" s="1760" t="s">
        <v>149</v>
      </c>
      <c r="G84" s="2206">
        <f>2.72652*365</f>
        <v>995.17979999999989</v>
      </c>
      <c r="H84" s="2207" t="s">
        <v>566</v>
      </c>
      <c r="I84" s="2332" t="s">
        <v>567</v>
      </c>
      <c r="K84" s="415"/>
      <c r="L84" s="415"/>
      <c r="M84" s="106"/>
      <c r="N84" s="486"/>
      <c r="V84" s="3715" t="s">
        <v>564</v>
      </c>
      <c r="W84" s="2210">
        <v>2.73</v>
      </c>
      <c r="X84" s="2211">
        <v>2.73</v>
      </c>
      <c r="Y84" s="2211">
        <v>2.73</v>
      </c>
      <c r="Z84" s="2211">
        <v>2.73</v>
      </c>
      <c r="AA84" s="2211">
        <v>2.73</v>
      </c>
      <c r="AB84" s="2215">
        <v>996.45</v>
      </c>
      <c r="AC84" s="2206">
        <v>995.17979999999989</v>
      </c>
      <c r="AD84" s="2206">
        <v>995.17979999999989</v>
      </c>
      <c r="AE84" s="2210"/>
      <c r="AF84" s="2210"/>
      <c r="AG84" s="2210"/>
    </row>
    <row r="85" spans="4:34" ht="30" hidden="1" customHeight="1" outlineLevel="1" thickBot="1" x14ac:dyDescent="0.4">
      <c r="D85" s="3673"/>
      <c r="E85" s="3874"/>
      <c r="F85" s="2342" t="s">
        <v>568</v>
      </c>
      <c r="G85" s="2647">
        <v>4380</v>
      </c>
      <c r="H85" s="2648" t="s">
        <v>127</v>
      </c>
      <c r="I85" s="2204"/>
      <c r="K85" s="415"/>
      <c r="L85" s="415"/>
      <c r="M85" s="106"/>
      <c r="N85" s="486"/>
      <c r="V85" s="3717"/>
      <c r="W85" s="2212"/>
      <c r="X85" s="2213"/>
      <c r="Y85" s="2213"/>
      <c r="Z85" s="2213"/>
      <c r="AA85" s="2213"/>
      <c r="AB85" s="2214"/>
      <c r="AC85" s="2208">
        <v>4380</v>
      </c>
      <c r="AD85" s="2647">
        <v>4380</v>
      </c>
      <c r="AE85" s="2212"/>
      <c r="AF85" s="2212"/>
      <c r="AG85" s="2212"/>
    </row>
    <row r="86" spans="4:34" hidden="1" outlineLevel="1" x14ac:dyDescent="0.35">
      <c r="D86" s="2651" t="s">
        <v>569</v>
      </c>
      <c r="E86" s="2652" t="s">
        <v>570</v>
      </c>
      <c r="F86" s="2651"/>
      <c r="G86" s="2653">
        <v>365</v>
      </c>
      <c r="H86" s="2654" t="s">
        <v>570</v>
      </c>
      <c r="I86" s="2654"/>
      <c r="K86" s="415"/>
      <c r="L86" s="415"/>
      <c r="M86" s="106"/>
      <c r="N86" s="486"/>
      <c r="V86" s="2337" t="s">
        <v>569</v>
      </c>
      <c r="W86" s="2209">
        <v>365</v>
      </c>
      <c r="X86" s="2209">
        <v>365</v>
      </c>
      <c r="Y86" s="2209">
        <v>365</v>
      </c>
      <c r="Z86" s="2209">
        <v>365</v>
      </c>
      <c r="AA86" s="2209">
        <v>365</v>
      </c>
      <c r="AB86" s="2209">
        <v>365</v>
      </c>
      <c r="AC86" s="2653">
        <v>365</v>
      </c>
      <c r="AD86" s="2653">
        <v>365</v>
      </c>
      <c r="AE86" s="2209"/>
      <c r="AF86" s="2209"/>
      <c r="AG86" s="2209"/>
      <c r="AH86" s="84"/>
    </row>
    <row r="87" spans="4:34" ht="29" hidden="1" outlineLevel="1" x14ac:dyDescent="0.35">
      <c r="D87" s="405">
        <v>1000</v>
      </c>
      <c r="E87" s="1949" t="s">
        <v>571</v>
      </c>
      <c r="F87" s="405"/>
      <c r="G87" s="406">
        <v>1000</v>
      </c>
      <c r="H87" s="2333" t="s">
        <v>571</v>
      </c>
      <c r="I87" s="2333"/>
      <c r="K87" s="415"/>
      <c r="L87" s="415"/>
      <c r="M87" s="106"/>
      <c r="N87" s="486"/>
      <c r="V87" s="405">
        <v>1000</v>
      </c>
      <c r="W87" s="407">
        <v>1000</v>
      </c>
      <c r="X87" s="406">
        <v>1000</v>
      </c>
      <c r="Y87" s="406">
        <v>1000</v>
      </c>
      <c r="Z87" s="406">
        <v>1000</v>
      </c>
      <c r="AA87" s="406">
        <v>1000</v>
      </c>
      <c r="AB87" s="406">
        <v>1000</v>
      </c>
      <c r="AC87" s="406">
        <v>1000</v>
      </c>
      <c r="AD87" s="406">
        <v>1000</v>
      </c>
      <c r="AE87" s="407"/>
      <c r="AF87" s="407"/>
      <c r="AG87" s="407"/>
    </row>
    <row r="88" spans="4:34" ht="29" hidden="1" outlineLevel="1" x14ac:dyDescent="0.35">
      <c r="D88" s="391" t="s">
        <v>572</v>
      </c>
      <c r="E88" s="1949" t="s">
        <v>573</v>
      </c>
      <c r="F88" s="391"/>
      <c r="G88" s="330">
        <v>0.99</v>
      </c>
      <c r="H88" s="2333" t="s">
        <v>574</v>
      </c>
      <c r="I88" s="2333"/>
      <c r="K88" s="415"/>
      <c r="L88" s="415"/>
      <c r="M88" s="106"/>
      <c r="N88" s="486"/>
      <c r="V88" s="391" t="s">
        <v>572</v>
      </c>
      <c r="W88" s="404">
        <v>0.97</v>
      </c>
      <c r="X88" s="329">
        <v>0.99</v>
      </c>
      <c r="Y88" s="330">
        <v>0.99</v>
      </c>
      <c r="Z88" s="330">
        <v>0.99</v>
      </c>
      <c r="AA88" s="330">
        <v>0.99</v>
      </c>
      <c r="AB88" s="330">
        <v>0.99</v>
      </c>
      <c r="AC88" s="330">
        <v>0.99</v>
      </c>
      <c r="AD88" s="330">
        <v>0.99</v>
      </c>
      <c r="AE88" s="404"/>
      <c r="AF88" s="404"/>
      <c r="AG88" s="404"/>
    </row>
    <row r="89" spans="4:34" ht="15" hidden="1" outlineLevel="1" thickBot="1" x14ac:dyDescent="0.4">
      <c r="D89" s="2342" t="s">
        <v>575</v>
      </c>
      <c r="E89" s="2364" t="s">
        <v>576</v>
      </c>
      <c r="F89" s="2342"/>
      <c r="G89" s="1766">
        <v>1</v>
      </c>
      <c r="H89" s="2366" t="s">
        <v>577</v>
      </c>
      <c r="I89" s="2366"/>
      <c r="K89" s="415"/>
      <c r="L89" s="415"/>
      <c r="M89" s="106"/>
      <c r="N89" s="486"/>
      <c r="V89" s="2008" t="s">
        <v>575</v>
      </c>
      <c r="W89" s="1769">
        <v>1</v>
      </c>
      <c r="X89" s="1769">
        <v>1</v>
      </c>
      <c r="Y89" s="1763">
        <v>1</v>
      </c>
      <c r="Z89" s="1763">
        <v>1</v>
      </c>
      <c r="AA89" s="1763">
        <v>1</v>
      </c>
      <c r="AB89" s="1766">
        <v>1</v>
      </c>
      <c r="AC89" s="1766">
        <v>1</v>
      </c>
      <c r="AD89" s="1766">
        <v>1</v>
      </c>
      <c r="AE89" s="1769"/>
      <c r="AF89" s="1769"/>
      <c r="AG89" s="1769"/>
    </row>
    <row r="90" spans="4:34" ht="43.5" hidden="1" outlineLevel="1" x14ac:dyDescent="0.35">
      <c r="D90" s="3906" t="s">
        <v>143</v>
      </c>
      <c r="E90" s="3905" t="s">
        <v>578</v>
      </c>
      <c r="F90" s="391" t="s">
        <v>496</v>
      </c>
      <c r="G90" s="2009">
        <v>0.28000000000000003</v>
      </c>
      <c r="H90" s="2333" t="s">
        <v>579</v>
      </c>
      <c r="I90" s="3872" t="s">
        <v>580</v>
      </c>
      <c r="J90" s="942"/>
      <c r="K90" s="1229"/>
      <c r="L90" s="1229"/>
      <c r="M90" s="106"/>
      <c r="N90" s="486"/>
      <c r="V90" s="3715" t="s">
        <v>581</v>
      </c>
      <c r="W90" s="409">
        <v>0.86</v>
      </c>
      <c r="X90" s="410">
        <v>0.89859999999999995</v>
      </c>
      <c r="Y90" s="410">
        <v>0.91869999999999996</v>
      </c>
      <c r="Z90" s="410">
        <v>0.91869999999999996</v>
      </c>
      <c r="AA90" s="410">
        <v>0.91869999999999996</v>
      </c>
      <c r="AB90" s="410">
        <v>0.72</v>
      </c>
      <c r="AC90" s="2009">
        <v>0.28000000000000003</v>
      </c>
      <c r="AD90" s="2009">
        <v>0.28000000000000003</v>
      </c>
      <c r="AE90" s="409"/>
      <c r="AF90" s="409"/>
      <c r="AG90" s="409"/>
    </row>
    <row r="91" spans="4:34" ht="29" hidden="1" outlineLevel="1" x14ac:dyDescent="0.35">
      <c r="D91" s="3839"/>
      <c r="E91" s="3868"/>
      <c r="F91" s="391" t="s">
        <v>582</v>
      </c>
      <c r="G91" s="408">
        <v>0</v>
      </c>
      <c r="H91" s="2333" t="s">
        <v>583</v>
      </c>
      <c r="I91" s="3873"/>
      <c r="J91" s="942"/>
      <c r="K91" s="1229"/>
      <c r="L91" s="1229"/>
      <c r="M91" s="106"/>
      <c r="N91" s="486"/>
      <c r="V91" s="3716"/>
      <c r="W91" s="409"/>
      <c r="X91" s="410"/>
      <c r="Y91" s="410"/>
      <c r="Z91" s="410"/>
      <c r="AA91" s="410"/>
      <c r="AB91" s="408">
        <v>1</v>
      </c>
      <c r="AC91" s="408">
        <v>0</v>
      </c>
      <c r="AD91" s="408">
        <v>0</v>
      </c>
      <c r="AE91" s="409"/>
      <c r="AF91" s="409"/>
      <c r="AG91" s="409"/>
    </row>
    <row r="92" spans="4:34" ht="29" hidden="1" outlineLevel="1" x14ac:dyDescent="0.35">
      <c r="D92" s="3839"/>
      <c r="E92" s="3868"/>
      <c r="F92" s="391" t="s">
        <v>4238</v>
      </c>
      <c r="G92" s="408">
        <v>0</v>
      </c>
      <c r="H92" s="2333" t="s">
        <v>583</v>
      </c>
      <c r="I92" s="3873"/>
      <c r="J92" s="942"/>
      <c r="K92" s="1229"/>
      <c r="L92" s="1229"/>
      <c r="M92" s="106"/>
      <c r="N92" s="486"/>
      <c r="V92" s="3716"/>
      <c r="W92" s="409"/>
      <c r="X92" s="410"/>
      <c r="Y92" s="410"/>
      <c r="Z92" s="410"/>
      <c r="AA92" s="410"/>
      <c r="AB92" s="1648">
        <v>1</v>
      </c>
      <c r="AC92" s="408">
        <v>0</v>
      </c>
      <c r="AD92" s="408">
        <v>0</v>
      </c>
      <c r="AE92" s="409"/>
      <c r="AF92" s="409"/>
      <c r="AG92" s="409"/>
    </row>
    <row r="93" spans="4:34" ht="44" hidden="1" outlineLevel="1" thickBot="1" x14ac:dyDescent="0.4">
      <c r="D93" s="3907"/>
      <c r="E93" s="3869"/>
      <c r="F93" s="2008" t="s">
        <v>522</v>
      </c>
      <c r="G93" s="2010">
        <v>0</v>
      </c>
      <c r="H93" s="2334" t="s">
        <v>584</v>
      </c>
      <c r="I93" s="3874"/>
      <c r="J93" s="942"/>
      <c r="K93" s="1229"/>
      <c r="L93" s="1229"/>
      <c r="M93" s="106"/>
      <c r="N93" s="486"/>
      <c r="V93" s="3717"/>
      <c r="W93" s="1769"/>
      <c r="X93" s="1770"/>
      <c r="Y93" s="1770"/>
      <c r="Z93" s="1770"/>
      <c r="AA93" s="1770"/>
      <c r="AB93" s="1764">
        <v>1</v>
      </c>
      <c r="AC93" s="2010">
        <v>0</v>
      </c>
      <c r="AD93" s="2010">
        <v>0</v>
      </c>
      <c r="AE93" s="1769"/>
      <c r="AF93" s="1769"/>
      <c r="AG93" s="1769"/>
    </row>
    <row r="94" spans="4:34" ht="43.5" hidden="1" outlineLevel="1" x14ac:dyDescent="0.35">
      <c r="D94" s="3716" t="s">
        <v>132</v>
      </c>
      <c r="E94" s="3868" t="s">
        <v>251</v>
      </c>
      <c r="F94" s="391" t="s">
        <v>496</v>
      </c>
      <c r="G94" s="411">
        <v>0.92</v>
      </c>
      <c r="H94" s="2333" t="s">
        <v>579</v>
      </c>
      <c r="I94" s="2333"/>
      <c r="J94" s="1229"/>
      <c r="K94" s="1229"/>
      <c r="L94" s="1229"/>
      <c r="M94" s="106"/>
      <c r="N94" s="486"/>
      <c r="V94" s="3716" t="s">
        <v>132</v>
      </c>
      <c r="W94" s="510">
        <v>0.91507544652831463</v>
      </c>
      <c r="X94" s="1771">
        <v>0.92</v>
      </c>
      <c r="Y94" s="1771">
        <v>0.89554140127388537</v>
      </c>
      <c r="Z94" s="1771">
        <v>0.89554140127388537</v>
      </c>
      <c r="AA94" s="1771">
        <v>0.89554140127388537</v>
      </c>
      <c r="AB94" s="413">
        <v>0.92</v>
      </c>
      <c r="AC94" s="411">
        <v>0.92</v>
      </c>
      <c r="AD94" s="411">
        <v>0.92</v>
      </c>
      <c r="AE94" s="80"/>
      <c r="AF94" s="80"/>
      <c r="AG94" s="80"/>
    </row>
    <row r="95" spans="4:34" ht="26" hidden="1" outlineLevel="1" x14ac:dyDescent="0.35">
      <c r="D95" s="3716"/>
      <c r="E95" s="3868"/>
      <c r="F95" s="391" t="s">
        <v>582</v>
      </c>
      <c r="G95" s="412">
        <v>1</v>
      </c>
      <c r="H95" s="1244" t="s">
        <v>585</v>
      </c>
      <c r="I95" s="1244"/>
      <c r="J95" s="1229"/>
      <c r="K95" s="1229"/>
      <c r="L95" s="1229"/>
      <c r="M95" s="106"/>
      <c r="N95" s="486"/>
      <c r="V95" s="3716"/>
      <c r="W95" s="80"/>
      <c r="X95" s="413"/>
      <c r="Y95" s="413"/>
      <c r="Z95" s="413"/>
      <c r="AA95" s="413"/>
      <c r="AB95" s="412">
        <v>1</v>
      </c>
      <c r="AC95" s="412">
        <v>1</v>
      </c>
      <c r="AD95" s="412">
        <v>1</v>
      </c>
      <c r="AE95" s="80"/>
      <c r="AF95" s="80"/>
      <c r="AG95" s="80"/>
    </row>
    <row r="96" spans="4:34" ht="29" hidden="1" outlineLevel="1" x14ac:dyDescent="0.35">
      <c r="D96" s="3716"/>
      <c r="E96" s="3868"/>
      <c r="F96" s="391" t="s">
        <v>4238</v>
      </c>
      <c r="G96" s="412">
        <v>0.9</v>
      </c>
      <c r="H96" s="2333" t="s">
        <v>583</v>
      </c>
      <c r="I96" s="2333"/>
      <c r="J96" s="1229"/>
      <c r="K96" s="1229"/>
      <c r="L96" s="1229"/>
      <c r="M96" s="106"/>
      <c r="N96" s="486"/>
      <c r="V96" s="3716"/>
      <c r="W96" s="80"/>
      <c r="X96" s="413"/>
      <c r="Y96" s="413"/>
      <c r="Z96" s="413"/>
      <c r="AA96" s="413"/>
      <c r="AB96" s="1647">
        <v>0.9</v>
      </c>
      <c r="AC96" s="412">
        <v>0.9</v>
      </c>
      <c r="AD96" s="412">
        <v>0.9</v>
      </c>
      <c r="AE96" s="80"/>
      <c r="AF96" s="80"/>
      <c r="AG96" s="80"/>
    </row>
    <row r="97" spans="2:57" ht="58.5" hidden="1" outlineLevel="1" thickBot="1" x14ac:dyDescent="0.4">
      <c r="D97" s="3717"/>
      <c r="E97" s="3869"/>
      <c r="F97" s="2008" t="s">
        <v>522</v>
      </c>
      <c r="G97" s="2011">
        <v>0.88</v>
      </c>
      <c r="H97" s="2334" t="s">
        <v>586</v>
      </c>
      <c r="I97" s="2334"/>
      <c r="J97" s="1229"/>
      <c r="K97" s="1229"/>
      <c r="L97" s="1229"/>
      <c r="M97" s="106"/>
      <c r="N97" s="486"/>
      <c r="V97" s="3717"/>
      <c r="W97" s="529"/>
      <c r="X97" s="1765"/>
      <c r="Y97" s="1765"/>
      <c r="Z97" s="1765"/>
      <c r="AA97" s="1765"/>
      <c r="AB97" s="1765">
        <v>0.88</v>
      </c>
      <c r="AC97" s="2011">
        <v>0.88</v>
      </c>
      <c r="AD97" s="2011">
        <v>0.88</v>
      </c>
      <c r="AE97" s="529"/>
      <c r="AF97" s="529"/>
      <c r="AG97" s="529"/>
    </row>
    <row r="98" spans="2:57" hidden="1" outlineLevel="1" x14ac:dyDescent="0.35">
      <c r="B98" s="1040"/>
      <c r="C98" s="217"/>
      <c r="D98" s="3913" t="s">
        <v>526</v>
      </c>
      <c r="E98" s="3913" t="s">
        <v>166</v>
      </c>
      <c r="F98" s="1760" t="s">
        <v>149</v>
      </c>
      <c r="G98" s="2216">
        <v>19</v>
      </c>
      <c r="H98" s="2217"/>
      <c r="I98" s="2217"/>
      <c r="J98" s="1229"/>
      <c r="K98" s="199"/>
      <c r="L98" s="199"/>
      <c r="M98" s="226"/>
      <c r="N98" s="199"/>
      <c r="O98" s="199"/>
      <c r="P98" s="199"/>
      <c r="Q98" s="199"/>
      <c r="V98" s="3915" t="s">
        <v>526</v>
      </c>
      <c r="W98" s="2216">
        <v>19</v>
      </c>
      <c r="X98" s="2216">
        <v>19</v>
      </c>
      <c r="Y98" s="2216">
        <v>19</v>
      </c>
      <c r="Z98" s="2216">
        <v>19</v>
      </c>
      <c r="AA98" s="2216">
        <v>19</v>
      </c>
      <c r="AB98" s="2216">
        <v>19</v>
      </c>
      <c r="AC98" s="2216">
        <v>19</v>
      </c>
      <c r="AD98" s="2216">
        <v>19</v>
      </c>
      <c r="AE98" s="2216"/>
      <c r="AF98" s="2216"/>
      <c r="AG98" s="2216"/>
    </row>
    <row r="99" spans="2:57" ht="116.5" hidden="1" outlineLevel="1" thickBot="1" x14ac:dyDescent="0.4">
      <c r="B99" s="1040"/>
      <c r="C99" s="217"/>
      <c r="D99" s="3914"/>
      <c r="E99" s="3914"/>
      <c r="F99" s="2342" t="s">
        <v>568</v>
      </c>
      <c r="G99" s="2221">
        <f>MIN(19, ROUND(100000/G85,0))</f>
        <v>19</v>
      </c>
      <c r="H99" s="2649" t="s">
        <v>167</v>
      </c>
      <c r="I99" s="2219"/>
      <c r="J99" s="1229"/>
      <c r="K99" s="199"/>
      <c r="L99" s="199"/>
      <c r="M99" s="226"/>
      <c r="N99" s="199"/>
      <c r="O99" s="199"/>
      <c r="P99" s="199"/>
      <c r="Q99" s="199"/>
      <c r="V99" s="3916"/>
      <c r="W99" s="2221"/>
      <c r="X99" s="2221"/>
      <c r="Y99" s="2221"/>
      <c r="Z99" s="2221"/>
      <c r="AA99" s="2221"/>
      <c r="AB99" s="2221"/>
      <c r="AC99" s="2218">
        <v>19</v>
      </c>
      <c r="AD99" s="2221">
        <v>19</v>
      </c>
      <c r="AE99" s="2221"/>
      <c r="AF99" s="2221"/>
      <c r="AG99" s="2221"/>
    </row>
    <row r="100" spans="2:57" hidden="1" outlineLevel="1" x14ac:dyDescent="0.35">
      <c r="B100" s="1040"/>
      <c r="C100" s="217"/>
      <c r="D100" s="2338" t="s">
        <v>169</v>
      </c>
      <c r="E100" s="1762" t="s">
        <v>170</v>
      </c>
      <c r="F100" s="2337"/>
      <c r="G100" s="1302">
        <v>1.95</v>
      </c>
      <c r="H100" s="1762"/>
      <c r="I100" s="1762"/>
      <c r="J100" s="1229"/>
      <c r="K100" s="199"/>
      <c r="L100" s="199"/>
      <c r="M100" s="226"/>
      <c r="N100" s="199"/>
      <c r="O100" s="199"/>
      <c r="P100" s="199"/>
      <c r="Q100" s="199"/>
      <c r="V100" s="2350" t="s">
        <v>169</v>
      </c>
      <c r="W100" s="1302">
        <v>1.95</v>
      </c>
      <c r="X100" s="1302">
        <v>1.95</v>
      </c>
      <c r="Y100" s="1302">
        <v>1.95</v>
      </c>
      <c r="Z100" s="1302">
        <v>1.95</v>
      </c>
      <c r="AA100" s="1302">
        <v>1.95</v>
      </c>
      <c r="AB100" s="1302">
        <v>1.95</v>
      </c>
      <c r="AC100" s="1302">
        <v>1.95</v>
      </c>
      <c r="AD100" s="1302">
        <v>1.95</v>
      </c>
      <c r="AE100" s="2220"/>
      <c r="AF100" s="2220"/>
      <c r="AG100" s="2220"/>
    </row>
    <row r="101" spans="2:57" collapsed="1" x14ac:dyDescent="0.35">
      <c r="D101" s="415"/>
      <c r="E101" s="1243"/>
      <c r="F101" s="1245"/>
      <c r="G101" s="415"/>
      <c r="H101" s="1246"/>
      <c r="I101" s="1229"/>
      <c r="J101" s="1229"/>
      <c r="K101" s="1229"/>
    </row>
    <row r="102" spans="2:57" s="106" customFormat="1" x14ac:dyDescent="0.35">
      <c r="B102" s="3664" t="s">
        <v>587</v>
      </c>
      <c r="C102" s="3665"/>
      <c r="D102" s="3665"/>
      <c r="E102" s="3665"/>
      <c r="F102" s="3665"/>
      <c r="G102" s="3665"/>
      <c r="H102" s="3665"/>
      <c r="I102" s="3666"/>
      <c r="J102" s="3666"/>
      <c r="K102" s="3666"/>
      <c r="L102" s="3666"/>
      <c r="M102" s="3666"/>
      <c r="N102" s="3667"/>
      <c r="V102" s="3664" t="str">
        <f>B102</f>
        <v>Kit Faucet Aerators (Kitchen)</v>
      </c>
      <c r="W102" s="3665"/>
      <c r="X102" s="3665"/>
      <c r="Y102" s="3665"/>
      <c r="Z102" s="3665"/>
      <c r="AA102" s="3665"/>
      <c r="AB102" s="3665"/>
      <c r="AC102" s="3680"/>
      <c r="AD102" s="3680"/>
      <c r="AE102" s="3680"/>
      <c r="AF102" s="3680"/>
      <c r="AG102" s="3680"/>
      <c r="AH102" s="3681"/>
      <c r="AI102"/>
      <c r="AJ102"/>
      <c r="AK102"/>
      <c r="AL102"/>
      <c r="AM102"/>
      <c r="AN102"/>
      <c r="AO102"/>
      <c r="AP102"/>
      <c r="AQ102"/>
      <c r="AR102"/>
      <c r="AS102"/>
      <c r="BD102" s="416"/>
      <c r="BE102" s="416"/>
    </row>
    <row r="104" spans="2:57" ht="29" x14ac:dyDescent="0.35">
      <c r="C104" s="2331" t="s">
        <v>27</v>
      </c>
      <c r="D104" s="2331" t="s">
        <v>174</v>
      </c>
      <c r="E104" s="2331" t="s">
        <v>29</v>
      </c>
      <c r="F104" s="2331" t="s">
        <v>30</v>
      </c>
      <c r="G104" s="2331" t="s">
        <v>175</v>
      </c>
      <c r="H104" s="2331" t="s">
        <v>176</v>
      </c>
      <c r="I104" s="2331" t="s">
        <v>588</v>
      </c>
      <c r="J104" s="2331" t="s">
        <v>31</v>
      </c>
      <c r="K104" s="2331" t="s">
        <v>180</v>
      </c>
      <c r="L104" s="2331" t="s">
        <v>169</v>
      </c>
      <c r="M104" s="2331" t="s">
        <v>43</v>
      </c>
      <c r="Q104" s="452"/>
      <c r="R104" s="452"/>
      <c r="V104" s="480" t="s">
        <v>44</v>
      </c>
      <c r="W104" s="316">
        <f>$W$6</f>
        <v>43252</v>
      </c>
      <c r="X104" s="316">
        <f>$X$6</f>
        <v>43465</v>
      </c>
      <c r="Y104" s="316">
        <f>$Y$6</f>
        <v>43800</v>
      </c>
      <c r="Z104" s="316">
        <f>$Z$6</f>
        <v>43862</v>
      </c>
      <c r="AA104" s="316">
        <f>$AA$6</f>
        <v>44013</v>
      </c>
      <c r="AB104" s="316">
        <f>$AB$6</f>
        <v>44166</v>
      </c>
      <c r="AC104" s="1573">
        <f>$AC$6</f>
        <v>44531</v>
      </c>
      <c r="AD104" s="1573">
        <f>$AD$6</f>
        <v>44774</v>
      </c>
      <c r="AE104" s="1573" t="str">
        <f>$AE$6</f>
        <v>-</v>
      </c>
      <c r="AF104" s="1573" t="str">
        <f>$AF$6</f>
        <v>-</v>
      </c>
      <c r="AG104" s="1573" t="str">
        <f>$AG$6</f>
        <v>-</v>
      </c>
      <c r="BB104" s="1584" t="str">
        <f>$BB$6</f>
        <v>TRC (2022)</v>
      </c>
      <c r="BC104" s="1584" t="str">
        <f>$BC$6</f>
        <v>Benefit Lookup</v>
      </c>
      <c r="BD104" s="200" t="str">
        <f>$BD$6</f>
        <v>Benefits (2019 $)</v>
      </c>
      <c r="BE104" s="200" t="str">
        <f>$BE$6</f>
        <v>Incremental Cost (2019 $)</v>
      </c>
    </row>
    <row r="105" spans="2:57" x14ac:dyDescent="0.35">
      <c r="C105" s="2398" t="s">
        <v>589</v>
      </c>
      <c r="D105" s="88" t="s">
        <v>496</v>
      </c>
      <c r="E105" s="2353" t="s">
        <v>590</v>
      </c>
      <c r="F105" s="461">
        <f>ROUND(G118*(G121*G122-G125*G126)*G129*G133*G135/G136*I105*G147*G145,2)</f>
        <v>29.75</v>
      </c>
      <c r="G105" s="88" t="s">
        <v>183</v>
      </c>
      <c r="H105" s="136">
        <f>VLOOKUP(G105,'CP FACTORS'!$A$3:$B$38, 2, FALSE)</f>
        <v>8.8731800000000003E-5</v>
      </c>
      <c r="I105" s="458">
        <f>G$139*G$140*(G$141-G$142)/(G$143*G$144)</f>
        <v>7.8971277842907403E-2</v>
      </c>
      <c r="J105" s="90">
        <f>ROUND(F105*H105,6)</f>
        <v>2.64E-3</v>
      </c>
      <c r="K105" s="420">
        <f>$G$151</f>
        <v>10</v>
      </c>
      <c r="L105" s="420">
        <f>$G$152</f>
        <v>3</v>
      </c>
      <c r="M105" s="395" t="s">
        <v>184</v>
      </c>
      <c r="Q105" s="421"/>
      <c r="R105" s="1214"/>
      <c r="V105" s="1592" t="str">
        <f>F104</f>
        <v>kWh Annual Savings</v>
      </c>
      <c r="W105" s="1518">
        <v>45.9</v>
      </c>
      <c r="X105" s="1583">
        <v>40.741488532871308</v>
      </c>
      <c r="Y105" s="478">
        <v>52.47</v>
      </c>
      <c r="Z105" s="52">
        <v>52.47</v>
      </c>
      <c r="AA105" s="52">
        <v>52.47</v>
      </c>
      <c r="AB105" s="1599">
        <v>29.75</v>
      </c>
      <c r="AC105" s="48">
        <v>29.75</v>
      </c>
      <c r="AD105" s="48">
        <v>29.75</v>
      </c>
      <c r="AE105" s="141"/>
      <c r="AF105" s="141"/>
      <c r="AG105" s="141"/>
      <c r="AH105" s="144"/>
      <c r="BB105" s="1974">
        <f>(BD105)/(BE105)</f>
        <v>3.5445152017919854</v>
      </c>
      <c r="BC105" s="2381" t="str">
        <f>CONCATENATE(G105," ",K105," Year EUL")</f>
        <v>Water Heating RES 10 Year EUL</v>
      </c>
      <c r="BD105" s="1972">
        <f>(INDEX('Avoided Cost Benefits'!$E$4:$E$859,MATCH(BC105,'Avoided Cost Benefits'!$A$4:$A$859,0)))*F105</f>
        <v>10.03638093947707</v>
      </c>
      <c r="BE105" s="1973">
        <f>L105/(1.0595^(2020-2019))</f>
        <v>2.8315243039169418</v>
      </c>
    </row>
    <row r="106" spans="2:57" x14ac:dyDescent="0.35">
      <c r="C106" s="2398" t="s">
        <v>591</v>
      </c>
      <c r="D106" s="395" t="s">
        <v>500</v>
      </c>
      <c r="E106" s="2353" t="s">
        <v>592</v>
      </c>
      <c r="F106" s="461">
        <f>ROUND(G120*(G121*G122-G125*G126)*G132*G133*G135/G136*I106*G150*G146,2)</f>
        <v>12.77</v>
      </c>
      <c r="G106" s="88" t="s">
        <v>183</v>
      </c>
      <c r="H106" s="393">
        <f>VLOOKUP(G106,'CP FACTORS'!$A$3:$B$38, 2, FALSE)</f>
        <v>8.8731800000000003E-5</v>
      </c>
      <c r="I106" s="458">
        <f>G$139*G$140*(G$141-G$142)/(G$143*G$144)</f>
        <v>7.8971277842907403E-2</v>
      </c>
      <c r="J106" s="90">
        <f>ROUND(F106*H106,6)</f>
        <v>1.1329999999999999E-3</v>
      </c>
      <c r="K106" s="420">
        <f t="shared" ref="K106:K108" si="26">$G$151</f>
        <v>10</v>
      </c>
      <c r="L106" s="420">
        <f>$G$152</f>
        <v>3</v>
      </c>
      <c r="M106" s="395" t="s">
        <v>184</v>
      </c>
      <c r="Q106" s="452"/>
      <c r="R106" s="1214"/>
      <c r="V106" s="1592" t="str">
        <f>V107</f>
        <v>kWh Annual Savings</v>
      </c>
      <c r="W106" s="1518"/>
      <c r="X106" s="1583"/>
      <c r="Y106" s="478"/>
      <c r="Z106" s="479"/>
      <c r="AA106" s="479"/>
      <c r="AB106" s="1599">
        <v>12.77</v>
      </c>
      <c r="AC106" s="48">
        <v>12.77</v>
      </c>
      <c r="AD106" s="48">
        <v>12.77</v>
      </c>
      <c r="AE106" s="141"/>
      <c r="AF106" s="141"/>
      <c r="AG106" s="141"/>
      <c r="AH106" s="144"/>
      <c r="BB106" s="1974">
        <f>(BD106)/(BE106)</f>
        <v>1.5214608109876857</v>
      </c>
      <c r="BC106" s="2381" t="str">
        <f>CONCATENATE(G106," ",K106," Year EUL")</f>
        <v>Water Heating RES 10 Year EUL</v>
      </c>
      <c r="BD106" s="1972">
        <f>(INDEX('Avoided Cost Benefits'!$E$4:$E$859,MATCH(BC106,'Avoided Cost Benefits'!$A$4:$A$859,0)))*F106</f>
        <v>4.3080532637688123</v>
      </c>
      <c r="BE106" s="1973">
        <f>L106/(1.0595^(2020-2019))</f>
        <v>2.8315243039169418</v>
      </c>
    </row>
    <row r="107" spans="2:57" x14ac:dyDescent="0.35">
      <c r="C107" s="2398" t="s">
        <v>593</v>
      </c>
      <c r="D107" s="330" t="s">
        <v>320</v>
      </c>
      <c r="E107" s="2353" t="s">
        <v>590</v>
      </c>
      <c r="F107" s="461">
        <f>ROUND(G119*(G121*G123-G125*G127)*G130*G133*G135/G137*I107*G148*G146,2)</f>
        <v>99.55</v>
      </c>
      <c r="G107" s="88" t="s">
        <v>183</v>
      </c>
      <c r="H107" s="136">
        <f>VLOOKUP(G107,'CP FACTORS'!$A$3:$B$38, 2, FALSE)</f>
        <v>8.8731800000000003E-5</v>
      </c>
      <c r="I107" s="458">
        <f>G$139*G$140*(G$141-G$142)/(G$143*G$144)</f>
        <v>7.8971277842907403E-2</v>
      </c>
      <c r="J107" s="90">
        <f>ROUND(F107*H107,6)</f>
        <v>8.8330000000000006E-3</v>
      </c>
      <c r="K107" s="420">
        <f t="shared" si="26"/>
        <v>10</v>
      </c>
      <c r="L107" s="420">
        <f>$G$152</f>
        <v>3</v>
      </c>
      <c r="M107" s="395" t="s">
        <v>184</v>
      </c>
      <c r="Q107" s="452"/>
      <c r="R107" s="1214"/>
      <c r="V107" s="1592" t="str">
        <f>V105</f>
        <v>kWh Annual Savings</v>
      </c>
      <c r="W107" s="1518">
        <v>115.9</v>
      </c>
      <c r="X107" s="1583">
        <v>113.15036771306985</v>
      </c>
      <c r="Y107" s="478">
        <v>99.45</v>
      </c>
      <c r="Z107" s="52">
        <v>99.45</v>
      </c>
      <c r="AA107" s="52">
        <v>99.45</v>
      </c>
      <c r="AB107" s="1599">
        <v>99.55</v>
      </c>
      <c r="AC107" s="48">
        <v>99.55</v>
      </c>
      <c r="AD107" s="48">
        <v>99.55</v>
      </c>
      <c r="AE107" s="141"/>
      <c r="AF107" s="141"/>
      <c r="AG107" s="141"/>
      <c r="AH107" s="144"/>
      <c r="BB107" s="1974">
        <f>(BD107)/(BE107)</f>
        <v>11.860722297088811</v>
      </c>
      <c r="BC107" s="2381" t="str">
        <f>CONCATENATE(G107," ",K107," Year EUL")</f>
        <v>Water Heating RES 10 Year EUL</v>
      </c>
      <c r="BD107" s="1972">
        <f>(INDEX('Avoided Cost Benefits'!$E$4:$E$859,MATCH(BC107,'Avoided Cost Benefits'!$A$4:$A$859,0)))*F107</f>
        <v>33.583923446216545</v>
      </c>
      <c r="BE107" s="1973">
        <f>L107/(1.0595^(2020-2019))</f>
        <v>2.8315243039169418</v>
      </c>
    </row>
    <row r="108" spans="2:57" x14ac:dyDescent="0.35">
      <c r="C108" s="2398" t="s">
        <v>594</v>
      </c>
      <c r="D108" s="395" t="s">
        <v>547</v>
      </c>
      <c r="E108" s="2353" t="s">
        <v>4239</v>
      </c>
      <c r="F108" s="461">
        <f>ROUND(G120*(G121*G124-G125*G128)*G131*G134*G135/G138*I108*G149*G146,2)</f>
        <v>43.69</v>
      </c>
      <c r="G108" s="88" t="s">
        <v>183</v>
      </c>
      <c r="H108" s="393">
        <f>VLOOKUP(G108,'CP FACTORS'!$A$3:$B$38, 2, FALSE)</f>
        <v>8.8731800000000003E-5</v>
      </c>
      <c r="I108" s="458">
        <f>G$139*G$140*(G$141-G$142)/(G$143*G$144)</f>
        <v>7.8971277842907403E-2</v>
      </c>
      <c r="J108" s="90">
        <f>ROUND(F108*H108,6)</f>
        <v>3.8769999999999998E-3</v>
      </c>
      <c r="K108" s="420">
        <f t="shared" si="26"/>
        <v>10</v>
      </c>
      <c r="L108" s="420">
        <f>$G$152</f>
        <v>3</v>
      </c>
      <c r="M108" s="395" t="s">
        <v>184</v>
      </c>
      <c r="Q108" s="452"/>
      <c r="R108" s="1214"/>
      <c r="V108" s="1592" t="str">
        <f>V106</f>
        <v>kWh Annual Savings</v>
      </c>
      <c r="W108" s="1518"/>
      <c r="X108" s="1583"/>
      <c r="Y108" s="478"/>
      <c r="Z108" s="479"/>
      <c r="AA108" s="479"/>
      <c r="AB108" s="1599">
        <v>43.69</v>
      </c>
      <c r="AC108" s="48">
        <v>43.69</v>
      </c>
      <c r="AD108" s="48">
        <v>43.69</v>
      </c>
      <c r="AE108" s="141"/>
      <c r="AF108" s="141"/>
      <c r="AG108" s="141"/>
      <c r="AH108" s="144"/>
      <c r="BB108" s="1974">
        <f t="shared" ref="BB108" si="27">(BD108)/(BE108)</f>
        <v>5.2053737534888009</v>
      </c>
      <c r="BC108" s="2381" t="str">
        <f t="shared" ref="BC108" si="28">CONCATENATE(G108," ",K108," Year EUL")</f>
        <v>Water Heating RES 10 Year EUL</v>
      </c>
      <c r="BD108" s="1972">
        <f>(INDEX('Avoided Cost Benefits'!$E$4:$E$859,MATCH(BC108,'Avoided Cost Benefits'!$A$4:$A$859,0)))*F108</f>
        <v>14.739142293974895</v>
      </c>
      <c r="BE108" s="1973">
        <f t="shared" ref="BE108" si="29">L108/(1.0595^(2020-2019))</f>
        <v>2.8315243039169418</v>
      </c>
    </row>
    <row r="109" spans="2:57" hidden="1" outlineLevel="1" x14ac:dyDescent="0.35">
      <c r="D109" s="422"/>
      <c r="E109" s="1950"/>
      <c r="G109" s="1247"/>
      <c r="H109" s="1248"/>
      <c r="I109" s="1249"/>
      <c r="J109" s="1249"/>
      <c r="K109" s="1249"/>
      <c r="L109" s="1250"/>
      <c r="BB109" s="106"/>
      <c r="BC109" s="106"/>
      <c r="BD109" s="416"/>
      <c r="BE109" s="416"/>
    </row>
    <row r="110" spans="2:57" hidden="1" outlineLevel="1" x14ac:dyDescent="0.35">
      <c r="D110" s="152" t="s">
        <v>107</v>
      </c>
      <c r="BB110" s="106"/>
      <c r="BC110" s="106"/>
      <c r="BD110" s="416"/>
      <c r="BE110" s="416"/>
    </row>
    <row r="111" spans="2:57" hidden="1" outlineLevel="1" x14ac:dyDescent="0.35">
      <c r="BB111" s="106"/>
      <c r="BC111" s="106"/>
      <c r="BD111" s="416"/>
      <c r="BE111" s="416"/>
    </row>
    <row r="112" spans="2:57" hidden="1" outlineLevel="1" x14ac:dyDescent="0.35">
      <c r="BB112" s="106"/>
      <c r="BC112" s="106"/>
      <c r="BD112" s="416"/>
      <c r="BE112" s="416"/>
    </row>
    <row r="113" spans="1:57" hidden="1" outlineLevel="1" x14ac:dyDescent="0.35">
      <c r="BB113" s="106"/>
      <c r="BC113" s="106"/>
      <c r="BD113" s="416"/>
      <c r="BE113" s="416"/>
    </row>
    <row r="114" spans="1:57" hidden="1" outlineLevel="1" x14ac:dyDescent="0.35">
      <c r="BB114" s="106"/>
      <c r="BC114" s="106"/>
      <c r="BD114" s="416"/>
      <c r="BE114" s="416"/>
    </row>
    <row r="115" spans="1:57" hidden="1" outlineLevel="1" x14ac:dyDescent="0.35">
      <c r="BB115" s="106"/>
      <c r="BC115" s="106"/>
      <c r="BD115" s="416"/>
      <c r="BE115" s="416"/>
    </row>
    <row r="116" spans="1:57" hidden="1" outlineLevel="1" x14ac:dyDescent="0.35">
      <c r="V116" s="480" t="s">
        <v>44</v>
      </c>
      <c r="W116" s="316">
        <f>$W$6</f>
        <v>43252</v>
      </c>
      <c r="X116" s="316">
        <f>$X$6</f>
        <v>43465</v>
      </c>
      <c r="Y116" s="316">
        <f>$Y$6</f>
        <v>43800</v>
      </c>
      <c r="Z116" s="316">
        <f>$Z$6</f>
        <v>43862</v>
      </c>
      <c r="AA116" s="316">
        <f>$AA$6</f>
        <v>44013</v>
      </c>
      <c r="AB116" s="316">
        <f>$AB$6</f>
        <v>44166</v>
      </c>
      <c r="AC116" s="1573">
        <f>$AC$6</f>
        <v>44531</v>
      </c>
      <c r="AD116" s="1573">
        <f>$AD$6</f>
        <v>44774</v>
      </c>
      <c r="AE116" s="1573" t="str">
        <f>$AE$6</f>
        <v>-</v>
      </c>
      <c r="AF116" s="1573" t="str">
        <f>$AF$6</f>
        <v>-</v>
      </c>
      <c r="AG116" s="1573" t="str">
        <f>$AG$6</f>
        <v>-</v>
      </c>
      <c r="AH116" s="423"/>
      <c r="BB116" s="106"/>
      <c r="BC116" s="106"/>
      <c r="BD116" s="416"/>
      <c r="BE116" s="416"/>
    </row>
    <row r="117" spans="1:57" ht="15" hidden="1" customHeight="1" outlineLevel="1" x14ac:dyDescent="0.35">
      <c r="D117" s="2423" t="s">
        <v>108</v>
      </c>
      <c r="E117" s="2404" t="s">
        <v>109</v>
      </c>
      <c r="F117" s="2331" t="s">
        <v>595</v>
      </c>
      <c r="G117" s="2331" t="s">
        <v>111</v>
      </c>
      <c r="H117" s="3825" t="s">
        <v>186</v>
      </c>
      <c r="I117" s="3826"/>
      <c r="J117" s="3825" t="s">
        <v>112</v>
      </c>
      <c r="K117" s="3826"/>
      <c r="V117" s="2036"/>
      <c r="W117" s="1759"/>
      <c r="X117" s="1759"/>
      <c r="Y117" s="1759"/>
      <c r="Z117" s="1759"/>
      <c r="AA117" s="1759"/>
      <c r="AB117" s="1759"/>
      <c r="AC117" s="1759"/>
      <c r="AD117" s="1759"/>
      <c r="AE117" s="1759"/>
      <c r="AF117" s="1759"/>
      <c r="AG117" s="1759"/>
      <c r="AH117" s="106"/>
      <c r="BB117" s="106"/>
      <c r="BC117" s="106"/>
      <c r="BD117" s="416"/>
      <c r="BE117" s="416"/>
    </row>
    <row r="118" spans="1:57" hidden="1" outlineLevel="1" x14ac:dyDescent="0.35">
      <c r="C118" s="1482"/>
      <c r="D118" s="3816" t="s">
        <v>596</v>
      </c>
      <c r="E118" s="3838" t="s">
        <v>597</v>
      </c>
      <c r="F118" s="391" t="s">
        <v>598</v>
      </c>
      <c r="G118" s="425">
        <v>0.42</v>
      </c>
      <c r="H118" s="3845" t="s">
        <v>599</v>
      </c>
      <c r="I118" s="3846"/>
      <c r="J118" s="3866"/>
      <c r="K118" s="3867"/>
      <c r="V118" s="3816" t="s">
        <v>596</v>
      </c>
      <c r="W118" s="427">
        <v>0.4</v>
      </c>
      <c r="X118" s="428">
        <v>0.34429999999999999</v>
      </c>
      <c r="Y118" s="428">
        <v>0.46360000000000001</v>
      </c>
      <c r="Z118" s="425">
        <v>0.46360000000000001</v>
      </c>
      <c r="AA118" s="425">
        <v>0.46360000000000001</v>
      </c>
      <c r="AB118" s="428">
        <v>0.42</v>
      </c>
      <c r="AC118" s="425">
        <v>0.42</v>
      </c>
      <c r="AD118" s="425">
        <v>0.42</v>
      </c>
      <c r="AE118" s="427"/>
      <c r="AF118" s="427"/>
      <c r="AG118" s="427"/>
      <c r="BB118" s="106"/>
      <c r="BC118" s="106"/>
      <c r="BD118" s="416"/>
      <c r="BE118" s="416"/>
    </row>
    <row r="119" spans="1:57" hidden="1" outlineLevel="1" x14ac:dyDescent="0.35">
      <c r="C119" s="1482"/>
      <c r="D119" s="3839"/>
      <c r="E119" s="3766"/>
      <c r="F119" s="2542" t="s">
        <v>582</v>
      </c>
      <c r="G119" s="425">
        <v>1</v>
      </c>
      <c r="H119" s="3847" t="s">
        <v>600</v>
      </c>
      <c r="I119" s="3848"/>
      <c r="J119" s="3866"/>
      <c r="K119" s="3867"/>
      <c r="V119" s="3839"/>
      <c r="W119" s="427"/>
      <c r="X119" s="428"/>
      <c r="Y119" s="428"/>
      <c r="Z119" s="425"/>
      <c r="AA119" s="425"/>
      <c r="AB119" s="425">
        <v>1</v>
      </c>
      <c r="AC119" s="425">
        <v>1</v>
      </c>
      <c r="AD119" s="425">
        <v>1</v>
      </c>
      <c r="AE119" s="427"/>
      <c r="AF119" s="427"/>
      <c r="AG119" s="427"/>
      <c r="BB119" s="106"/>
      <c r="BC119" s="106"/>
      <c r="BD119" s="416"/>
      <c r="BE119" s="416"/>
    </row>
    <row r="120" spans="1:57" hidden="1" outlineLevel="1" x14ac:dyDescent="0.35">
      <c r="C120" s="1482"/>
      <c r="D120" s="3817"/>
      <c r="E120" s="3767"/>
      <c r="F120" s="2348" t="s">
        <v>4240</v>
      </c>
      <c r="G120" s="425">
        <v>0.42</v>
      </c>
      <c r="H120" s="3845" t="s">
        <v>599</v>
      </c>
      <c r="I120" s="3846"/>
      <c r="J120" s="3866"/>
      <c r="K120" s="3867"/>
      <c r="V120" s="3817"/>
      <c r="W120" s="427"/>
      <c r="X120" s="428"/>
      <c r="Y120" s="428"/>
      <c r="Z120" s="425"/>
      <c r="AA120" s="425"/>
      <c r="AB120" s="428">
        <v>0.42</v>
      </c>
      <c r="AC120" s="425">
        <v>0.42</v>
      </c>
      <c r="AD120" s="425">
        <v>0.42</v>
      </c>
      <c r="AE120" s="427"/>
      <c r="AF120" s="427"/>
      <c r="AG120" s="427"/>
      <c r="BB120" s="106"/>
      <c r="BC120" s="106"/>
      <c r="BD120" s="416"/>
      <c r="BE120" s="416"/>
    </row>
    <row r="121" spans="1:57" hidden="1" outlineLevel="1" x14ac:dyDescent="0.35">
      <c r="C121" s="1482"/>
      <c r="D121" s="2333" t="s">
        <v>601</v>
      </c>
      <c r="E121" s="2353" t="s">
        <v>602</v>
      </c>
      <c r="F121" s="391" t="s">
        <v>134</v>
      </c>
      <c r="G121" s="2419">
        <v>2.2000000000000002</v>
      </c>
      <c r="H121" s="3820" t="s">
        <v>603</v>
      </c>
      <c r="I121" s="3790"/>
      <c r="J121" s="3866"/>
      <c r="K121" s="3867"/>
      <c r="V121" s="2333" t="s">
        <v>601</v>
      </c>
      <c r="W121" s="419">
        <v>2.2000000000000002</v>
      </c>
      <c r="X121" s="429">
        <v>2.2000000000000002</v>
      </c>
      <c r="Y121" s="2419">
        <v>2.2000000000000002</v>
      </c>
      <c r="Z121" s="2419">
        <v>2.2000000000000002</v>
      </c>
      <c r="AA121" s="2419">
        <v>2.2000000000000002</v>
      </c>
      <c r="AB121" s="2419">
        <v>2.2000000000000002</v>
      </c>
      <c r="AC121" s="2419">
        <v>2.2000000000000002</v>
      </c>
      <c r="AD121" s="3089">
        <v>2.2000000000000002</v>
      </c>
      <c r="AE121" s="419"/>
      <c r="AF121" s="419"/>
      <c r="AG121" s="419"/>
      <c r="BB121" s="106"/>
      <c r="BC121" s="106"/>
      <c r="BD121" s="416"/>
      <c r="BE121" s="416"/>
    </row>
    <row r="122" spans="1:57" hidden="1" outlineLevel="1" x14ac:dyDescent="0.35">
      <c r="C122" s="1482"/>
      <c r="D122" s="3816" t="s">
        <v>604</v>
      </c>
      <c r="E122" s="3838" t="s">
        <v>605</v>
      </c>
      <c r="F122" s="391" t="s">
        <v>598</v>
      </c>
      <c r="G122" s="430">
        <v>4.5</v>
      </c>
      <c r="H122" s="3820" t="s">
        <v>606</v>
      </c>
      <c r="I122" s="3790"/>
      <c r="J122" s="3866"/>
      <c r="K122" s="3867"/>
      <c r="V122" s="3816" t="s">
        <v>604</v>
      </c>
      <c r="W122" s="404">
        <v>4.5</v>
      </c>
      <c r="X122" s="431">
        <v>4.5</v>
      </c>
      <c r="Y122" s="430">
        <v>4.5</v>
      </c>
      <c r="Z122" s="430">
        <v>4.5</v>
      </c>
      <c r="AA122" s="430">
        <v>4.5</v>
      </c>
      <c r="AB122" s="430">
        <v>4.5</v>
      </c>
      <c r="AC122" s="430">
        <v>4.5</v>
      </c>
      <c r="AD122" s="430">
        <v>4.5</v>
      </c>
      <c r="AE122" s="404"/>
      <c r="AF122" s="404"/>
      <c r="AG122" s="404"/>
      <c r="BB122" s="106"/>
      <c r="BC122" s="106"/>
      <c r="BD122" s="416"/>
      <c r="BE122" s="416"/>
    </row>
    <row r="123" spans="1:57" hidden="1" outlineLevel="1" x14ac:dyDescent="0.35">
      <c r="C123" s="1482"/>
      <c r="D123" s="3839"/>
      <c r="E123" s="3766"/>
      <c r="F123" s="2368" t="s">
        <v>582</v>
      </c>
      <c r="G123" s="430">
        <v>3.7</v>
      </c>
      <c r="H123" s="3820" t="s">
        <v>607</v>
      </c>
      <c r="I123" s="3790"/>
      <c r="J123" s="3866"/>
      <c r="K123" s="3867"/>
      <c r="V123" s="3839"/>
      <c r="W123" s="404"/>
      <c r="X123" s="431"/>
      <c r="Y123" s="430"/>
      <c r="Z123" s="430"/>
      <c r="AA123" s="430"/>
      <c r="AB123" s="430">
        <v>3.7</v>
      </c>
      <c r="AC123" s="430">
        <v>3.7</v>
      </c>
      <c r="AD123" s="430">
        <v>3.7</v>
      </c>
      <c r="AE123" s="404"/>
      <c r="AF123" s="404"/>
      <c r="AG123" s="404"/>
      <c r="BB123" s="106"/>
      <c r="BC123" s="106"/>
      <c r="BD123" s="416"/>
      <c r="BE123" s="416"/>
    </row>
    <row r="124" spans="1:57" hidden="1" outlineLevel="1" x14ac:dyDescent="0.35">
      <c r="C124" s="1482"/>
      <c r="D124" s="3817"/>
      <c r="E124" s="3767"/>
      <c r="F124" s="2348" t="s">
        <v>4240</v>
      </c>
      <c r="G124" s="88">
        <v>3.7</v>
      </c>
      <c r="H124" s="3851" t="s">
        <v>608</v>
      </c>
      <c r="I124" s="3852"/>
      <c r="J124" s="3866"/>
      <c r="K124" s="3867"/>
      <c r="V124" s="3817"/>
      <c r="W124" s="404"/>
      <c r="X124" s="431"/>
      <c r="Y124" s="430"/>
      <c r="Z124" s="430"/>
      <c r="AA124" s="430"/>
      <c r="AB124" s="293">
        <v>3.7</v>
      </c>
      <c r="AC124" s="88">
        <v>3.7</v>
      </c>
      <c r="AD124" s="3090">
        <v>3.7</v>
      </c>
      <c r="AE124" s="404"/>
      <c r="AF124" s="404"/>
      <c r="AG124" s="404"/>
      <c r="BB124" s="106"/>
      <c r="BC124" s="106"/>
      <c r="BD124" s="416"/>
      <c r="BE124" s="416"/>
    </row>
    <row r="125" spans="1:57" s="398" customFormat="1" hidden="1" outlineLevel="1" x14ac:dyDescent="0.35">
      <c r="A125" s="486"/>
      <c r="B125" s="486"/>
      <c r="C125" s="1482"/>
      <c r="D125" s="2333" t="s">
        <v>609</v>
      </c>
      <c r="E125" s="2353" t="s">
        <v>610</v>
      </c>
      <c r="F125" s="2333" t="s">
        <v>134</v>
      </c>
      <c r="G125" s="430">
        <v>1.5</v>
      </c>
      <c r="H125" s="3820" t="s">
        <v>611</v>
      </c>
      <c r="I125" s="3790"/>
      <c r="J125" s="3866"/>
      <c r="K125" s="3867"/>
      <c r="L125" s="106"/>
      <c r="M125" s="486"/>
      <c r="N125" s="106"/>
      <c r="O125" s="106"/>
      <c r="P125" s="106"/>
      <c r="Q125" s="106"/>
      <c r="R125" s="486"/>
      <c r="S125" s="486"/>
      <c r="T125" s="486"/>
      <c r="U125" s="486"/>
      <c r="V125" s="2333" t="s">
        <v>609</v>
      </c>
      <c r="W125" s="404">
        <v>1.5</v>
      </c>
      <c r="X125" s="431">
        <v>1.5</v>
      </c>
      <c r="Y125" s="330">
        <v>1.5</v>
      </c>
      <c r="Z125" s="330">
        <v>1.5</v>
      </c>
      <c r="AA125" s="330">
        <v>1.5</v>
      </c>
      <c r="AB125" s="430">
        <v>1.5</v>
      </c>
      <c r="AC125" s="430">
        <v>1.5</v>
      </c>
      <c r="AD125" s="430">
        <v>1.5</v>
      </c>
      <c r="AE125" s="404"/>
      <c r="AF125" s="404"/>
      <c r="AG125" s="404"/>
      <c r="AI125"/>
      <c r="AJ125"/>
      <c r="AK125"/>
      <c r="AL125"/>
      <c r="AM125"/>
      <c r="AN125"/>
      <c r="AO125"/>
      <c r="AP125"/>
      <c r="AQ125"/>
      <c r="AR125"/>
      <c r="AS125"/>
      <c r="BB125" s="106"/>
      <c r="BC125" s="106"/>
      <c r="BD125" s="416"/>
      <c r="BE125" s="416"/>
    </row>
    <row r="126" spans="1:57" hidden="1" outlineLevel="1" x14ac:dyDescent="0.35">
      <c r="C126" s="1482"/>
      <c r="D126" s="3816" t="s">
        <v>612</v>
      </c>
      <c r="E126" s="3838" t="s">
        <v>613</v>
      </c>
      <c r="F126" s="391" t="s">
        <v>598</v>
      </c>
      <c r="G126" s="430">
        <v>4.5</v>
      </c>
      <c r="H126" s="3820" t="s">
        <v>606</v>
      </c>
      <c r="I126" s="3790"/>
      <c r="J126" s="3866"/>
      <c r="K126" s="3867"/>
      <c r="V126" s="3816" t="s">
        <v>612</v>
      </c>
      <c r="W126" s="404">
        <v>4.5</v>
      </c>
      <c r="X126" s="431">
        <v>4.5</v>
      </c>
      <c r="Y126" s="330">
        <v>4.5</v>
      </c>
      <c r="Z126" s="330">
        <v>4.5</v>
      </c>
      <c r="AA126" s="330">
        <v>4.5</v>
      </c>
      <c r="AB126" s="430">
        <v>4.5</v>
      </c>
      <c r="AC126" s="430">
        <v>4.5</v>
      </c>
      <c r="AD126" s="430">
        <v>4.5</v>
      </c>
      <c r="AE126" s="404"/>
      <c r="AF126" s="404"/>
      <c r="AG126" s="404"/>
      <c r="BB126" s="106"/>
      <c r="BC126" s="106"/>
      <c r="BD126" s="416"/>
      <c r="BE126" s="416"/>
    </row>
    <row r="127" spans="1:57" hidden="1" outlineLevel="1" x14ac:dyDescent="0.35">
      <c r="C127" s="1482"/>
      <c r="D127" s="3839"/>
      <c r="E127" s="3766"/>
      <c r="F127" s="2368" t="s">
        <v>582</v>
      </c>
      <c r="G127" s="430">
        <v>3.7</v>
      </c>
      <c r="H127" s="3820" t="s">
        <v>607</v>
      </c>
      <c r="I127" s="3790"/>
      <c r="J127" s="3866"/>
      <c r="K127" s="3867"/>
      <c r="V127" s="3839"/>
      <c r="W127" s="404"/>
      <c r="X127" s="431"/>
      <c r="Y127" s="330"/>
      <c r="Z127" s="330"/>
      <c r="AA127" s="330"/>
      <c r="AB127" s="430">
        <v>3.7</v>
      </c>
      <c r="AC127" s="430">
        <v>3.7</v>
      </c>
      <c r="AD127" s="430">
        <v>3.7</v>
      </c>
      <c r="AE127" s="404"/>
      <c r="AF127" s="404"/>
      <c r="AG127" s="404"/>
      <c r="BB127" s="106"/>
      <c r="BC127" s="106"/>
      <c r="BD127" s="416"/>
      <c r="BE127" s="416"/>
    </row>
    <row r="128" spans="1:57" hidden="1" outlineLevel="1" x14ac:dyDescent="0.35">
      <c r="C128" s="1482"/>
      <c r="D128" s="3817"/>
      <c r="E128" s="3767"/>
      <c r="F128" s="2348" t="s">
        <v>4240</v>
      </c>
      <c r="G128" s="88">
        <v>3.7</v>
      </c>
      <c r="H128" s="3851" t="s">
        <v>608</v>
      </c>
      <c r="I128" s="3852"/>
      <c r="J128" s="3866"/>
      <c r="K128" s="3867"/>
      <c r="V128" s="3817"/>
      <c r="W128" s="404"/>
      <c r="X128" s="431"/>
      <c r="Y128" s="330"/>
      <c r="Z128" s="330"/>
      <c r="AA128" s="330"/>
      <c r="AB128" s="293">
        <v>3.7</v>
      </c>
      <c r="AC128" s="88">
        <v>3.7</v>
      </c>
      <c r="AD128" s="3090">
        <v>3.7</v>
      </c>
      <c r="AE128" s="404"/>
      <c r="AF128" s="404"/>
      <c r="AG128" s="404"/>
      <c r="BB128" s="106"/>
      <c r="BC128" s="106"/>
      <c r="BD128" s="416"/>
      <c r="BE128" s="416"/>
    </row>
    <row r="129" spans="1:57" hidden="1" outlineLevel="1" x14ac:dyDescent="0.35">
      <c r="C129" s="1482"/>
      <c r="D129" s="3816" t="s">
        <v>199</v>
      </c>
      <c r="E129" s="3838" t="s">
        <v>614</v>
      </c>
      <c r="F129" s="391" t="s">
        <v>598</v>
      </c>
      <c r="G129" s="432">
        <v>4.28571428571429</v>
      </c>
      <c r="H129" s="3820" t="s">
        <v>599</v>
      </c>
      <c r="I129" s="3790"/>
      <c r="J129" s="3866"/>
      <c r="K129" s="3867"/>
      <c r="V129" s="3816" t="s">
        <v>199</v>
      </c>
      <c r="W129" s="433">
        <v>4.3185840707964598</v>
      </c>
      <c r="X129" s="434">
        <v>4.2926829268292686</v>
      </c>
      <c r="Y129" s="435">
        <v>4.2329545454545459</v>
      </c>
      <c r="Z129" s="1743">
        <v>4.2329545454545459</v>
      </c>
      <c r="AA129" s="1743">
        <v>4.2329545454545459</v>
      </c>
      <c r="AB129" s="434">
        <v>4.28571428571429</v>
      </c>
      <c r="AC129" s="432">
        <v>4.28571428571429</v>
      </c>
      <c r="AD129" s="432">
        <v>4.28571428571429</v>
      </c>
      <c r="AE129" s="433"/>
      <c r="AF129" s="433"/>
      <c r="AG129" s="433"/>
      <c r="BB129" s="106"/>
      <c r="BC129" s="106"/>
      <c r="BD129" s="416"/>
      <c r="BE129" s="416"/>
    </row>
    <row r="130" spans="1:57" hidden="1" outlineLevel="1" x14ac:dyDescent="0.35">
      <c r="C130" s="1482"/>
      <c r="D130" s="3839"/>
      <c r="E130" s="3766"/>
      <c r="F130" s="2541" t="s">
        <v>582</v>
      </c>
      <c r="G130" s="432">
        <v>1.7767584097859328</v>
      </c>
      <c r="H130" s="3820" t="s">
        <v>615</v>
      </c>
      <c r="I130" s="3790"/>
      <c r="J130" s="3866"/>
      <c r="K130" s="3867"/>
      <c r="V130" s="3839"/>
      <c r="W130" s="433"/>
      <c r="X130" s="434"/>
      <c r="Y130" s="435"/>
      <c r="Z130" s="1743"/>
      <c r="AA130" s="1743"/>
      <c r="AB130" s="432">
        <v>1.7767584097859328</v>
      </c>
      <c r="AC130" s="432">
        <v>1.7767584097859328</v>
      </c>
      <c r="AD130" s="432">
        <v>1.7767584097859328</v>
      </c>
      <c r="AE130" s="433"/>
      <c r="AF130" s="433"/>
      <c r="AG130" s="433"/>
      <c r="BB130" s="106"/>
      <c r="BC130" s="106"/>
      <c r="BD130" s="416"/>
      <c r="BE130" s="416"/>
    </row>
    <row r="131" spans="1:57" hidden="1" outlineLevel="1" x14ac:dyDescent="0.35">
      <c r="C131" s="1482"/>
      <c r="D131" s="3839"/>
      <c r="E131" s="3766"/>
      <c r="F131" s="2348" t="s">
        <v>4240</v>
      </c>
      <c r="G131" s="458">
        <v>1.5644946808510638</v>
      </c>
      <c r="H131" s="3849" t="s">
        <v>616</v>
      </c>
      <c r="I131" s="3850"/>
      <c r="J131" s="3866"/>
      <c r="K131" s="3867"/>
      <c r="V131" s="3839"/>
      <c r="W131" s="433"/>
      <c r="X131" s="434"/>
      <c r="Y131" s="435"/>
      <c r="Z131" s="1743"/>
      <c r="AA131" s="1743"/>
      <c r="AB131" s="436">
        <v>1.5644946808510638</v>
      </c>
      <c r="AC131" s="458">
        <v>1.5644946808510638</v>
      </c>
      <c r="AD131" s="458">
        <v>1.5644946808510638</v>
      </c>
      <c r="AE131" s="433"/>
      <c r="AF131" s="433"/>
      <c r="AG131" s="433"/>
      <c r="BB131" s="106"/>
      <c r="BC131" s="106"/>
      <c r="BD131" s="416"/>
      <c r="BE131" s="416"/>
    </row>
    <row r="132" spans="1:57" hidden="1" outlineLevel="1" x14ac:dyDescent="0.35">
      <c r="C132" s="1482"/>
      <c r="D132" s="3817"/>
      <c r="E132" s="3767"/>
      <c r="F132" s="2541" t="s">
        <v>522</v>
      </c>
      <c r="G132" s="458">
        <v>2.65</v>
      </c>
      <c r="H132" s="3849" t="s">
        <v>617</v>
      </c>
      <c r="I132" s="3850"/>
      <c r="J132" s="3866"/>
      <c r="K132" s="3867"/>
      <c r="V132" s="3817"/>
      <c r="W132" s="433"/>
      <c r="X132" s="434"/>
      <c r="Y132" s="435"/>
      <c r="Z132" s="1743"/>
      <c r="AA132" s="1743"/>
      <c r="AB132" s="436">
        <v>2.65</v>
      </c>
      <c r="AC132" s="458">
        <v>2.65</v>
      </c>
      <c r="AD132" s="458">
        <v>2.65</v>
      </c>
      <c r="AE132" s="433"/>
      <c r="AF132" s="433"/>
      <c r="AG132" s="433"/>
      <c r="BB132" s="106"/>
      <c r="BC132" s="106"/>
      <c r="BD132" s="416"/>
      <c r="BE132" s="416"/>
    </row>
    <row r="133" spans="1:57" hidden="1" outlineLevel="1" x14ac:dyDescent="0.35">
      <c r="C133" s="1482"/>
      <c r="D133" s="3854" t="s">
        <v>618</v>
      </c>
      <c r="E133" s="3838" t="s">
        <v>619</v>
      </c>
      <c r="F133" s="1650" t="s">
        <v>4241</v>
      </c>
      <c r="G133" s="2419">
        <v>0.75</v>
      </c>
      <c r="H133" s="3820" t="s">
        <v>620</v>
      </c>
      <c r="I133" s="3790"/>
      <c r="J133" s="3866"/>
      <c r="K133" s="3867"/>
      <c r="V133" s="3854" t="s">
        <v>618</v>
      </c>
      <c r="W133" s="419">
        <v>0.75</v>
      </c>
      <c r="X133" s="429">
        <v>0.75</v>
      </c>
      <c r="Y133" s="2419">
        <v>0.75</v>
      </c>
      <c r="Z133" s="2419">
        <v>0.75</v>
      </c>
      <c r="AA133" s="2419">
        <v>0.75</v>
      </c>
      <c r="AB133" s="2419">
        <v>0.75</v>
      </c>
      <c r="AC133" s="2419">
        <v>0.75</v>
      </c>
      <c r="AD133" s="3089">
        <v>0.75</v>
      </c>
      <c r="AE133" s="419"/>
      <c r="AF133" s="419"/>
      <c r="AG133" s="419"/>
      <c r="BB133" s="106"/>
      <c r="BC133" s="106"/>
      <c r="BD133" s="416"/>
      <c r="BE133" s="416"/>
    </row>
    <row r="134" spans="1:57" hidden="1" outlineLevel="1" x14ac:dyDescent="0.35">
      <c r="C134" s="1482"/>
      <c r="D134" s="3776"/>
      <c r="E134" s="3767"/>
      <c r="F134" s="2348" t="s">
        <v>4240</v>
      </c>
      <c r="G134" s="89">
        <v>1</v>
      </c>
      <c r="H134" s="3820" t="s">
        <v>520</v>
      </c>
      <c r="I134" s="3790"/>
      <c r="J134" s="3866"/>
      <c r="K134" s="3867"/>
      <c r="V134" s="3776"/>
      <c r="W134" s="419"/>
      <c r="X134" s="429"/>
      <c r="Y134" s="2419"/>
      <c r="Z134" s="2419"/>
      <c r="AA134" s="2419"/>
      <c r="AB134" s="99">
        <v>1</v>
      </c>
      <c r="AC134" s="89">
        <v>1</v>
      </c>
      <c r="AD134" s="89">
        <v>1</v>
      </c>
      <c r="AE134" s="419"/>
      <c r="AF134" s="419"/>
      <c r="AG134" s="419"/>
      <c r="BB134" s="106"/>
      <c r="BC134" s="106"/>
      <c r="BD134" s="416"/>
      <c r="BE134" s="416"/>
    </row>
    <row r="135" spans="1:57" hidden="1" outlineLevel="1" x14ac:dyDescent="0.35">
      <c r="C135" s="1482"/>
      <c r="D135" s="391">
        <v>365.25</v>
      </c>
      <c r="E135" s="2353" t="s">
        <v>569</v>
      </c>
      <c r="F135" s="391" t="s">
        <v>134</v>
      </c>
      <c r="G135" s="430">
        <v>365.25</v>
      </c>
      <c r="H135" s="3820" t="s">
        <v>570</v>
      </c>
      <c r="I135" s="3790"/>
      <c r="J135" s="3866"/>
      <c r="K135" s="3867"/>
      <c r="V135" s="391">
        <v>365.25</v>
      </c>
      <c r="W135" s="404">
        <v>365</v>
      </c>
      <c r="X135" s="431">
        <v>365</v>
      </c>
      <c r="Y135" s="430">
        <v>365</v>
      </c>
      <c r="Z135" s="430">
        <v>365</v>
      </c>
      <c r="AA135" s="430">
        <v>365</v>
      </c>
      <c r="AB135" s="329">
        <v>365.25</v>
      </c>
      <c r="AC135" s="430">
        <v>365.25</v>
      </c>
      <c r="AD135" s="430">
        <v>365.25</v>
      </c>
      <c r="AE135" s="404"/>
      <c r="AF135" s="404"/>
      <c r="AG135" s="404"/>
      <c r="BB135" s="106"/>
      <c r="BC135" s="106"/>
      <c r="BD135" s="416"/>
      <c r="BE135" s="416"/>
    </row>
    <row r="136" spans="1:57" hidden="1" outlineLevel="1" x14ac:dyDescent="0.35">
      <c r="C136" s="1482"/>
      <c r="D136" s="3854" t="s">
        <v>621</v>
      </c>
      <c r="E136" s="3838" t="s">
        <v>622</v>
      </c>
      <c r="F136" s="391" t="s">
        <v>598</v>
      </c>
      <c r="G136" s="437">
        <v>1.1875</v>
      </c>
      <c r="H136" s="3820" t="s">
        <v>623</v>
      </c>
      <c r="I136" s="3790"/>
      <c r="J136" s="3866"/>
      <c r="K136" s="3867"/>
      <c r="V136" s="3854" t="s">
        <v>621</v>
      </c>
      <c r="W136" s="439">
        <v>1.1754385964912279</v>
      </c>
      <c r="X136" s="440">
        <v>1.1754385964912279</v>
      </c>
      <c r="Y136" s="441">
        <v>1.1875</v>
      </c>
      <c r="Z136" s="438">
        <v>1.1875</v>
      </c>
      <c r="AA136" s="438">
        <v>1.1875</v>
      </c>
      <c r="AB136" s="437">
        <v>1.1875</v>
      </c>
      <c r="AC136" s="437">
        <v>1.1875</v>
      </c>
      <c r="AD136" s="437">
        <v>1.1875</v>
      </c>
      <c r="AE136" s="439"/>
      <c r="AF136" s="439"/>
      <c r="AG136" s="439"/>
      <c r="BB136" s="106"/>
      <c r="BC136" s="106"/>
      <c r="BD136" s="416"/>
      <c r="BE136" s="416"/>
    </row>
    <row r="137" spans="1:57" hidden="1" outlineLevel="1" x14ac:dyDescent="0.35">
      <c r="C137" s="1482"/>
      <c r="D137" s="3716"/>
      <c r="E137" s="3766"/>
      <c r="F137" s="2543" t="s">
        <v>582</v>
      </c>
      <c r="G137" s="438">
        <v>1</v>
      </c>
      <c r="H137" s="3847" t="s">
        <v>600</v>
      </c>
      <c r="I137" s="3848"/>
      <c r="J137" s="3866"/>
      <c r="K137" s="3867"/>
      <c r="V137" s="3716"/>
      <c r="W137" s="439"/>
      <c r="X137" s="440"/>
      <c r="Y137" s="441"/>
      <c r="Z137" s="438"/>
      <c r="AA137" s="438"/>
      <c r="AB137" s="438">
        <v>1</v>
      </c>
      <c r="AC137" s="438">
        <v>1</v>
      </c>
      <c r="AD137" s="438">
        <v>1</v>
      </c>
      <c r="AE137" s="439"/>
      <c r="AF137" s="439"/>
      <c r="AG137" s="439"/>
      <c r="BB137" s="106"/>
      <c r="BC137" s="106"/>
      <c r="BD137" s="416"/>
      <c r="BE137" s="416"/>
    </row>
    <row r="138" spans="1:57" ht="15" hidden="1" customHeight="1" outlineLevel="1" x14ac:dyDescent="0.35">
      <c r="C138" s="1482"/>
      <c r="D138" s="3776"/>
      <c r="E138" s="3767"/>
      <c r="F138" s="2348" t="s">
        <v>4240</v>
      </c>
      <c r="G138" s="438">
        <v>1</v>
      </c>
      <c r="H138" s="3875" t="s">
        <v>624</v>
      </c>
      <c r="I138" s="3876"/>
      <c r="J138" s="3866" t="s">
        <v>625</v>
      </c>
      <c r="K138" s="3867"/>
      <c r="V138" s="3776"/>
      <c r="W138" s="439"/>
      <c r="X138" s="440"/>
      <c r="Y138" s="441"/>
      <c r="Z138" s="438"/>
      <c r="AA138" s="438"/>
      <c r="AB138" s="441">
        <v>1</v>
      </c>
      <c r="AC138" s="438">
        <v>1</v>
      </c>
      <c r="AD138" s="438">
        <v>1</v>
      </c>
      <c r="AE138" s="439"/>
      <c r="AF138" s="439"/>
      <c r="AG138" s="439"/>
      <c r="BB138" s="106"/>
      <c r="BC138" s="106"/>
      <c r="BD138" s="416"/>
      <c r="BE138" s="416"/>
    </row>
    <row r="139" spans="1:57" hidden="1" outlineLevel="1" x14ac:dyDescent="0.35">
      <c r="C139" s="1482"/>
      <c r="D139" s="391">
        <v>8.33</v>
      </c>
      <c r="E139" s="2360" t="s">
        <v>626</v>
      </c>
      <c r="F139" s="391" t="s">
        <v>134</v>
      </c>
      <c r="G139" s="2419">
        <v>8.33</v>
      </c>
      <c r="H139" s="3847" t="s">
        <v>627</v>
      </c>
      <c r="I139" s="3848"/>
      <c r="J139" s="3866"/>
      <c r="K139" s="3867"/>
      <c r="V139" s="391">
        <v>8.33</v>
      </c>
      <c r="W139" s="419">
        <v>8.33</v>
      </c>
      <c r="X139" s="429">
        <v>8.33</v>
      </c>
      <c r="Y139" s="83">
        <v>8.33</v>
      </c>
      <c r="Z139" s="2419">
        <v>8.33</v>
      </c>
      <c r="AA139" s="2419">
        <v>8.33</v>
      </c>
      <c r="AB139" s="2419">
        <v>8.33</v>
      </c>
      <c r="AC139" s="2419">
        <v>8.33</v>
      </c>
      <c r="AD139" s="3089">
        <v>8.33</v>
      </c>
      <c r="AE139" s="419"/>
      <c r="AF139" s="419"/>
      <c r="AG139" s="419"/>
      <c r="BB139" s="106"/>
      <c r="BC139" s="106"/>
      <c r="BD139" s="416"/>
      <c r="BE139" s="416"/>
    </row>
    <row r="140" spans="1:57" hidden="1" outlineLevel="1" x14ac:dyDescent="0.35">
      <c r="C140" s="1482"/>
      <c r="D140" s="391">
        <v>1</v>
      </c>
      <c r="E140" s="2353" t="s">
        <v>628</v>
      </c>
      <c r="F140" s="391" t="s">
        <v>134</v>
      </c>
      <c r="G140" s="2419">
        <v>1</v>
      </c>
      <c r="H140" s="3820" t="s">
        <v>629</v>
      </c>
      <c r="I140" s="3790"/>
      <c r="J140" s="3866"/>
      <c r="K140" s="3867"/>
      <c r="V140" s="391">
        <v>1</v>
      </c>
      <c r="W140" s="419">
        <v>1</v>
      </c>
      <c r="X140" s="429">
        <v>1</v>
      </c>
      <c r="Y140" s="2419">
        <v>1</v>
      </c>
      <c r="Z140" s="2419">
        <v>1</v>
      </c>
      <c r="AA140" s="2419">
        <v>1</v>
      </c>
      <c r="AB140" s="2419">
        <v>1</v>
      </c>
      <c r="AC140" s="2419">
        <v>1</v>
      </c>
      <c r="AD140" s="3089">
        <v>1</v>
      </c>
      <c r="AE140" s="419"/>
      <c r="AF140" s="419"/>
      <c r="AG140" s="419"/>
      <c r="BB140" s="106"/>
      <c r="BC140" s="106"/>
      <c r="BD140" s="416"/>
      <c r="BE140" s="416"/>
    </row>
    <row r="141" spans="1:57" hidden="1" outlineLevel="1" x14ac:dyDescent="0.35">
      <c r="C141" s="1482"/>
      <c r="D141" s="2333" t="s">
        <v>630</v>
      </c>
      <c r="E141" s="2353" t="s">
        <v>631</v>
      </c>
      <c r="F141" s="391" t="s">
        <v>134</v>
      </c>
      <c r="G141" s="430">
        <v>93</v>
      </c>
      <c r="H141" s="3820" t="s">
        <v>632</v>
      </c>
      <c r="I141" s="3790"/>
      <c r="J141" s="3866"/>
      <c r="K141" s="3867"/>
      <c r="V141" s="2333" t="s">
        <v>630</v>
      </c>
      <c r="W141" s="404">
        <v>93</v>
      </c>
      <c r="X141" s="430">
        <v>93</v>
      </c>
      <c r="Y141" s="430">
        <v>93</v>
      </c>
      <c r="Z141" s="430">
        <v>93</v>
      </c>
      <c r="AA141" s="430">
        <v>93</v>
      </c>
      <c r="AB141" s="430">
        <v>93</v>
      </c>
      <c r="AC141" s="430">
        <v>93</v>
      </c>
      <c r="AD141" s="430">
        <v>93</v>
      </c>
      <c r="AE141" s="404"/>
      <c r="AF141" s="404"/>
      <c r="AG141" s="404"/>
      <c r="BB141" s="106"/>
      <c r="BC141" s="106"/>
      <c r="BD141" s="416"/>
      <c r="BE141" s="416"/>
    </row>
    <row r="142" spans="1:57" s="398" customFormat="1" hidden="1" outlineLevel="1" x14ac:dyDescent="0.35">
      <c r="A142" s="486"/>
      <c r="B142" s="486"/>
      <c r="C142" s="1482"/>
      <c r="D142" s="2333" t="s">
        <v>633</v>
      </c>
      <c r="E142" s="2353" t="s">
        <v>634</v>
      </c>
      <c r="F142" s="2333" t="s">
        <v>134</v>
      </c>
      <c r="G142" s="430">
        <v>61.3</v>
      </c>
      <c r="H142" s="3820" t="s">
        <v>635</v>
      </c>
      <c r="I142" s="3790"/>
      <c r="J142" s="3866"/>
      <c r="K142" s="3867"/>
      <c r="L142" s="106"/>
      <c r="M142" s="486"/>
      <c r="N142" s="106"/>
      <c r="O142" s="106"/>
      <c r="P142" s="106"/>
      <c r="Q142" s="106"/>
      <c r="R142" s="486"/>
      <c r="S142" s="486"/>
      <c r="T142" s="486"/>
      <c r="U142" s="486"/>
      <c r="V142" s="2333" t="s">
        <v>633</v>
      </c>
      <c r="W142" s="404">
        <v>61.3</v>
      </c>
      <c r="X142" s="430">
        <v>61.3</v>
      </c>
      <c r="Y142" s="430">
        <v>61.3</v>
      </c>
      <c r="Z142" s="430">
        <v>61.3</v>
      </c>
      <c r="AA142" s="430">
        <v>61.3</v>
      </c>
      <c r="AB142" s="430">
        <v>61.3</v>
      </c>
      <c r="AC142" s="430">
        <v>61.3</v>
      </c>
      <c r="AD142" s="430">
        <v>61.3</v>
      </c>
      <c r="AE142" s="404"/>
      <c r="AF142" s="404"/>
      <c r="AG142" s="404"/>
      <c r="AI142"/>
      <c r="AJ142"/>
      <c r="AK142"/>
      <c r="AL142"/>
      <c r="AM142"/>
      <c r="AN142"/>
      <c r="AO142"/>
      <c r="AP142"/>
      <c r="AQ142"/>
      <c r="AR142"/>
      <c r="AS142"/>
      <c r="BB142" s="106"/>
      <c r="BC142" s="106"/>
      <c r="BD142" s="416"/>
      <c r="BE142" s="416"/>
    </row>
    <row r="143" spans="1:57" s="398" customFormat="1" hidden="1" outlineLevel="1" x14ac:dyDescent="0.35">
      <c r="A143" s="486"/>
      <c r="B143" s="486"/>
      <c r="C143" s="1482"/>
      <c r="D143" s="2333" t="s">
        <v>636</v>
      </c>
      <c r="E143" s="2353" t="s">
        <v>637</v>
      </c>
      <c r="F143" s="2333" t="s">
        <v>134</v>
      </c>
      <c r="G143" s="2419">
        <v>0.98</v>
      </c>
      <c r="H143" s="3847" t="s">
        <v>638</v>
      </c>
      <c r="I143" s="3848"/>
      <c r="J143" s="3866"/>
      <c r="K143" s="3867"/>
      <c r="L143" s="106"/>
      <c r="M143" s="486"/>
      <c r="N143" s="106"/>
      <c r="O143" s="106"/>
      <c r="P143" s="106"/>
      <c r="Q143" s="106"/>
      <c r="R143" s="486"/>
      <c r="S143" s="486"/>
      <c r="T143" s="486"/>
      <c r="U143" s="486"/>
      <c r="V143" s="2333" t="s">
        <v>636</v>
      </c>
      <c r="W143" s="419">
        <v>0.98</v>
      </c>
      <c r="X143" s="429">
        <v>0.98</v>
      </c>
      <c r="Y143" s="83">
        <v>0.98</v>
      </c>
      <c r="Z143" s="2419">
        <v>0.98</v>
      </c>
      <c r="AA143" s="2419">
        <v>0.98</v>
      </c>
      <c r="AB143" s="2419">
        <v>0.98</v>
      </c>
      <c r="AC143" s="2419">
        <v>0.98</v>
      </c>
      <c r="AD143" s="3089">
        <v>0.98</v>
      </c>
      <c r="AE143" s="419"/>
      <c r="AF143" s="419"/>
      <c r="AG143" s="419"/>
      <c r="AI143"/>
      <c r="AJ143"/>
      <c r="AK143"/>
      <c r="AL143"/>
      <c r="AM143"/>
      <c r="AN143"/>
      <c r="AO143"/>
      <c r="AP143"/>
      <c r="AQ143"/>
      <c r="AR143"/>
      <c r="AS143"/>
      <c r="BB143" s="106"/>
      <c r="BC143" s="106"/>
      <c r="BD143" s="416"/>
      <c r="BE143" s="416"/>
    </row>
    <row r="144" spans="1:57" s="398" customFormat="1" hidden="1" outlineLevel="1" x14ac:dyDescent="0.35">
      <c r="A144" s="486"/>
      <c r="B144" s="486"/>
      <c r="C144" s="1482"/>
      <c r="D144" s="2333">
        <v>3412</v>
      </c>
      <c r="E144" s="2360" t="s">
        <v>639</v>
      </c>
      <c r="F144" s="2333" t="s">
        <v>134</v>
      </c>
      <c r="G144" s="443">
        <v>3412</v>
      </c>
      <c r="H144" s="3847" t="s">
        <v>217</v>
      </c>
      <c r="I144" s="3848"/>
      <c r="J144" s="3866"/>
      <c r="K144" s="3867"/>
      <c r="L144" s="106"/>
      <c r="M144" s="486"/>
      <c r="N144" s="106"/>
      <c r="O144" s="106"/>
      <c r="P144" s="106"/>
      <c r="Q144" s="106"/>
      <c r="R144" s="486"/>
      <c r="S144" s="486"/>
      <c r="T144" s="486"/>
      <c r="U144" s="486"/>
      <c r="V144" s="2333">
        <v>3412</v>
      </c>
      <c r="W144" s="444">
        <v>3413</v>
      </c>
      <c r="X144" s="445">
        <v>3413</v>
      </c>
      <c r="Y144" s="443">
        <v>3413</v>
      </c>
      <c r="Z144" s="443">
        <v>3413</v>
      </c>
      <c r="AA144" s="443">
        <v>3413</v>
      </c>
      <c r="AB144" s="446">
        <v>3412</v>
      </c>
      <c r="AC144" s="443">
        <v>3412</v>
      </c>
      <c r="AD144" s="443">
        <v>3412</v>
      </c>
      <c r="AE144" s="444"/>
      <c r="AF144" s="444"/>
      <c r="AG144" s="444"/>
      <c r="AI144"/>
      <c r="AJ144"/>
      <c r="AK144"/>
      <c r="AL144"/>
      <c r="AM144"/>
      <c r="AN144"/>
      <c r="AO144"/>
      <c r="AP144"/>
      <c r="AQ144"/>
      <c r="AR144"/>
      <c r="AS144"/>
      <c r="BB144" s="106"/>
      <c r="BC144" s="106"/>
      <c r="BD144" s="416"/>
      <c r="BE144" s="416"/>
    </row>
    <row r="145" spans="1:57" s="398" customFormat="1" hidden="1" outlineLevel="1" x14ac:dyDescent="0.35">
      <c r="A145" s="486"/>
      <c r="B145" s="486"/>
      <c r="C145" s="1482"/>
      <c r="D145" s="3816" t="s">
        <v>516</v>
      </c>
      <c r="E145" s="3838" t="s">
        <v>578</v>
      </c>
      <c r="F145" s="2333" t="s">
        <v>598</v>
      </c>
      <c r="G145" s="425">
        <v>0.72</v>
      </c>
      <c r="H145" s="3820" t="s">
        <v>599</v>
      </c>
      <c r="I145" s="3790"/>
      <c r="J145" s="3866"/>
      <c r="K145" s="3867"/>
      <c r="L145" s="106"/>
      <c r="M145" s="486"/>
      <c r="N145" s="106"/>
      <c r="O145" s="106"/>
      <c r="P145" s="106"/>
      <c r="Q145" s="106"/>
      <c r="R145" s="486"/>
      <c r="S145" s="486"/>
      <c r="T145" s="486"/>
      <c r="U145" s="486"/>
      <c r="V145" s="3816" t="s">
        <v>516</v>
      </c>
      <c r="W145" s="448">
        <v>0.86</v>
      </c>
      <c r="X145" s="449">
        <v>0.89859999999999995</v>
      </c>
      <c r="Y145" s="450">
        <v>0.91869999999999996</v>
      </c>
      <c r="Z145" s="1744">
        <v>0.91869999999999996</v>
      </c>
      <c r="AA145" s="1744">
        <v>0.91869999999999996</v>
      </c>
      <c r="AB145" s="454">
        <v>0.72</v>
      </c>
      <c r="AC145" s="425">
        <v>0.72</v>
      </c>
      <c r="AD145" s="425">
        <v>0.72</v>
      </c>
      <c r="AE145" s="448"/>
      <c r="AF145" s="448"/>
      <c r="AG145" s="448"/>
      <c r="AI145"/>
      <c r="AJ145"/>
      <c r="AK145"/>
      <c r="AL145"/>
      <c r="AM145"/>
      <c r="AN145"/>
      <c r="AO145"/>
      <c r="AP145"/>
      <c r="AQ145"/>
      <c r="AR145"/>
      <c r="AS145"/>
      <c r="BB145" s="106"/>
      <c r="BC145" s="106"/>
      <c r="BD145" s="416"/>
      <c r="BE145" s="416"/>
    </row>
    <row r="146" spans="1:57" s="398" customFormat="1" hidden="1" outlineLevel="1" x14ac:dyDescent="0.35">
      <c r="A146" s="486"/>
      <c r="B146" s="486"/>
      <c r="C146" s="1482"/>
      <c r="D146" s="3817"/>
      <c r="E146" s="3767"/>
      <c r="F146" s="1649" t="s">
        <v>640</v>
      </c>
      <c r="G146" s="874">
        <v>1</v>
      </c>
      <c r="H146" s="3847" t="s">
        <v>600</v>
      </c>
      <c r="I146" s="3848"/>
      <c r="J146" s="3866"/>
      <c r="K146" s="3867"/>
      <c r="L146" s="106"/>
      <c r="M146" s="486"/>
      <c r="N146" s="106"/>
      <c r="O146" s="106"/>
      <c r="P146" s="106"/>
      <c r="Q146" s="106"/>
      <c r="R146" s="486"/>
      <c r="S146" s="486"/>
      <c r="T146" s="486"/>
      <c r="U146" s="486"/>
      <c r="V146" s="3817"/>
      <c r="W146" s="448"/>
      <c r="X146" s="449"/>
      <c r="Y146" s="450"/>
      <c r="Z146" s="1744"/>
      <c r="AA146" s="1744"/>
      <c r="AB146" s="1744">
        <v>1</v>
      </c>
      <c r="AC146" s="874">
        <v>1</v>
      </c>
      <c r="AD146" s="874">
        <v>1</v>
      </c>
      <c r="AE146" s="448"/>
      <c r="AF146" s="448"/>
      <c r="AG146" s="448"/>
      <c r="AI146"/>
      <c r="AJ146"/>
      <c r="AK146"/>
      <c r="AL146"/>
      <c r="AM146"/>
      <c r="AN146"/>
      <c r="AO146"/>
      <c r="AP146"/>
      <c r="AQ146"/>
      <c r="AR146"/>
      <c r="AS146"/>
      <c r="BB146" s="106"/>
      <c r="BC146" s="106"/>
      <c r="BD146" s="416"/>
      <c r="BE146" s="416"/>
    </row>
    <row r="147" spans="1:57" s="398" customFormat="1" hidden="1" outlineLevel="1" x14ac:dyDescent="0.35">
      <c r="A147" s="486"/>
      <c r="B147" s="486"/>
      <c r="C147" s="1482"/>
      <c r="D147" s="3816" t="s">
        <v>132</v>
      </c>
      <c r="E147" s="3838" t="s">
        <v>251</v>
      </c>
      <c r="F147" s="2333" t="s">
        <v>598</v>
      </c>
      <c r="G147" s="425">
        <v>0.4</v>
      </c>
      <c r="H147" s="3820" t="s">
        <v>519</v>
      </c>
      <c r="I147" s="3790"/>
      <c r="J147" s="3866"/>
      <c r="K147" s="3867"/>
      <c r="L147" s="106"/>
      <c r="M147" s="486"/>
      <c r="N147" s="106"/>
      <c r="O147" s="106"/>
      <c r="P147" s="106"/>
      <c r="Q147" s="106"/>
      <c r="R147" s="486"/>
      <c r="S147" s="486"/>
      <c r="T147" s="486"/>
      <c r="U147" s="486"/>
      <c r="V147" s="3816" t="s">
        <v>132</v>
      </c>
      <c r="W147" s="448">
        <v>0.53354522213777378</v>
      </c>
      <c r="X147" s="449">
        <v>0.52966101694915257</v>
      </c>
      <c r="Y147" s="450">
        <v>0.50769230769230766</v>
      </c>
      <c r="Z147" s="1744">
        <v>0.50769230769230766</v>
      </c>
      <c r="AA147" s="1744">
        <v>0.50769230769230766</v>
      </c>
      <c r="AB147" s="454">
        <v>0.4</v>
      </c>
      <c r="AC147" s="425">
        <v>0.4</v>
      </c>
      <c r="AD147" s="425">
        <v>0.4</v>
      </c>
      <c r="AE147" s="448"/>
      <c r="AF147" s="448"/>
      <c r="AG147" s="448"/>
      <c r="AI147"/>
      <c r="AJ147"/>
      <c r="AK147"/>
      <c r="AL147"/>
      <c r="AM147"/>
      <c r="AN147"/>
      <c r="AO147"/>
      <c r="AP147"/>
      <c r="AQ147"/>
      <c r="AR147"/>
      <c r="AS147"/>
      <c r="BB147" s="106"/>
      <c r="BC147" s="106"/>
      <c r="BD147" s="416"/>
      <c r="BE147" s="416"/>
    </row>
    <row r="148" spans="1:57" s="398" customFormat="1" hidden="1" outlineLevel="1" x14ac:dyDescent="0.35">
      <c r="A148" s="486"/>
      <c r="B148" s="486"/>
      <c r="C148" s="1482"/>
      <c r="D148" s="3839"/>
      <c r="E148" s="3766"/>
      <c r="F148" s="1649" t="s">
        <v>582</v>
      </c>
      <c r="G148" s="874">
        <v>1</v>
      </c>
      <c r="H148" s="3847" t="s">
        <v>600</v>
      </c>
      <c r="I148" s="3848"/>
      <c r="J148" s="3866"/>
      <c r="K148" s="3867"/>
      <c r="L148" s="106"/>
      <c r="M148" s="486"/>
      <c r="N148" s="106"/>
      <c r="O148" s="106"/>
      <c r="P148" s="106"/>
      <c r="Q148" s="106"/>
      <c r="R148" s="486"/>
      <c r="S148" s="486"/>
      <c r="T148" s="486"/>
      <c r="U148" s="486"/>
      <c r="V148" s="3839"/>
      <c r="W148" s="448"/>
      <c r="X148" s="449"/>
      <c r="Y148" s="450"/>
      <c r="Z148" s="1744"/>
      <c r="AA148" s="1744"/>
      <c r="AB148" s="1744">
        <v>1</v>
      </c>
      <c r="AC148" s="874">
        <v>1</v>
      </c>
      <c r="AD148" s="874">
        <v>1</v>
      </c>
      <c r="AE148" s="448"/>
      <c r="AF148" s="448"/>
      <c r="AG148" s="448"/>
      <c r="AI148"/>
      <c r="AJ148"/>
      <c r="AK148"/>
      <c r="AL148"/>
      <c r="AM148"/>
      <c r="AN148"/>
      <c r="AO148"/>
      <c r="AP148"/>
      <c r="AQ148"/>
      <c r="AR148"/>
      <c r="AS148"/>
      <c r="BB148" s="106"/>
      <c r="BC148" s="106"/>
      <c r="BD148" s="416"/>
      <c r="BE148" s="416"/>
    </row>
    <row r="149" spans="1:57" s="398" customFormat="1" hidden="1" outlineLevel="1" x14ac:dyDescent="0.35">
      <c r="A149" s="486"/>
      <c r="B149" s="486"/>
      <c r="C149" s="1482"/>
      <c r="D149" s="3839"/>
      <c r="E149" s="3766"/>
      <c r="F149" s="2348" t="s">
        <v>4240</v>
      </c>
      <c r="G149" s="287">
        <v>0.89</v>
      </c>
      <c r="H149" s="3878" t="s">
        <v>641</v>
      </c>
      <c r="I149" s="3879"/>
      <c r="J149" s="3866"/>
      <c r="K149" s="3867"/>
      <c r="L149" s="106"/>
      <c r="M149" s="486"/>
      <c r="N149" s="106"/>
      <c r="O149" s="106"/>
      <c r="P149" s="106"/>
      <c r="Q149" s="106"/>
      <c r="R149" s="486"/>
      <c r="S149" s="486"/>
      <c r="T149" s="486"/>
      <c r="U149" s="486"/>
      <c r="V149" s="3839"/>
      <c r="W149" s="448"/>
      <c r="X149" s="449"/>
      <c r="Y149" s="450"/>
      <c r="Z149" s="1744"/>
      <c r="AA149" s="1744"/>
      <c r="AB149" s="1772">
        <v>0.89</v>
      </c>
      <c r="AC149" s="287">
        <v>0.89</v>
      </c>
      <c r="AD149" s="287">
        <v>0.89</v>
      </c>
      <c r="AE149" s="448"/>
      <c r="AF149" s="448"/>
      <c r="AG149" s="448"/>
      <c r="AI149"/>
      <c r="AJ149"/>
      <c r="AK149"/>
      <c r="AL149"/>
      <c r="AM149"/>
      <c r="AN149"/>
      <c r="AO149"/>
      <c r="AP149"/>
      <c r="AQ149"/>
      <c r="AR149"/>
      <c r="AS149"/>
      <c r="BB149" s="106"/>
      <c r="BC149" s="106"/>
      <c r="BD149" s="416"/>
      <c r="BE149" s="416"/>
    </row>
    <row r="150" spans="1:57" s="398" customFormat="1" hidden="1" outlineLevel="1" x14ac:dyDescent="0.35">
      <c r="A150" s="486"/>
      <c r="B150" s="486"/>
      <c r="C150" s="1482"/>
      <c r="D150" s="3817"/>
      <c r="E150" s="3767"/>
      <c r="F150" s="1649" t="s">
        <v>522</v>
      </c>
      <c r="G150" s="287">
        <v>0.2</v>
      </c>
      <c r="H150" s="3878" t="s">
        <v>523</v>
      </c>
      <c r="I150" s="3879"/>
      <c r="J150" s="3866"/>
      <c r="K150" s="3867"/>
      <c r="L150" s="106"/>
      <c r="M150" s="486"/>
      <c r="N150" s="106"/>
      <c r="O150" s="106"/>
      <c r="P150" s="106"/>
      <c r="Q150" s="106"/>
      <c r="R150" s="486"/>
      <c r="S150" s="486"/>
      <c r="T150" s="486"/>
      <c r="U150" s="486"/>
      <c r="V150" s="3817"/>
      <c r="W150" s="448"/>
      <c r="X150" s="449"/>
      <c r="Y150" s="450"/>
      <c r="Z150" s="1744"/>
      <c r="AA150" s="1744"/>
      <c r="AB150" s="1772">
        <v>0.2</v>
      </c>
      <c r="AC150" s="287">
        <v>0.2</v>
      </c>
      <c r="AD150" s="287">
        <v>0.2</v>
      </c>
      <c r="AE150" s="448"/>
      <c r="AF150" s="448"/>
      <c r="AG150" s="448"/>
      <c r="AI150"/>
      <c r="AJ150"/>
      <c r="AK150"/>
      <c r="AL150"/>
      <c r="AM150"/>
      <c r="AN150"/>
      <c r="AO150"/>
      <c r="AP150"/>
      <c r="AQ150"/>
      <c r="AR150"/>
      <c r="AS150"/>
      <c r="BB150" s="106"/>
      <c r="BC150" s="106"/>
      <c r="BD150" s="416"/>
      <c r="BE150" s="416"/>
    </row>
    <row r="151" spans="1:57" hidden="1" outlineLevel="1" x14ac:dyDescent="0.35">
      <c r="B151" s="1040"/>
      <c r="C151" s="217"/>
      <c r="D151" s="277" t="s">
        <v>526</v>
      </c>
      <c r="E151" s="237" t="s">
        <v>166</v>
      </c>
      <c r="F151" s="1391" t="s">
        <v>134</v>
      </c>
      <c r="G151" s="820">
        <v>10</v>
      </c>
      <c r="H151" s="3878"/>
      <c r="I151" s="3879"/>
      <c r="J151" s="3866"/>
      <c r="K151" s="3867"/>
      <c r="L151" s="199"/>
      <c r="V151" s="2426" t="s">
        <v>526</v>
      </c>
      <c r="W151" s="386">
        <v>10</v>
      </c>
      <c r="X151" s="386">
        <v>10</v>
      </c>
      <c r="Y151" s="386">
        <v>10</v>
      </c>
      <c r="Z151" s="386">
        <v>10</v>
      </c>
      <c r="AA151" s="386">
        <v>10</v>
      </c>
      <c r="AB151" s="386">
        <v>10</v>
      </c>
      <c r="AC151" s="820">
        <v>10</v>
      </c>
      <c r="AD151" s="820">
        <v>10</v>
      </c>
      <c r="AE151" s="386"/>
      <c r="AF151" s="386"/>
      <c r="AG151" s="386"/>
      <c r="BB151" s="106"/>
      <c r="BC151" s="106"/>
      <c r="BD151" s="416"/>
      <c r="BE151" s="416"/>
    </row>
    <row r="152" spans="1:57" hidden="1" outlineLevel="1" x14ac:dyDescent="0.35">
      <c r="B152" s="1040"/>
      <c r="C152" s="217"/>
      <c r="D152" s="1022" t="s">
        <v>169</v>
      </c>
      <c r="E152" s="237" t="s">
        <v>170</v>
      </c>
      <c r="F152" s="1391" t="s">
        <v>134</v>
      </c>
      <c r="G152" s="1845">
        <v>3</v>
      </c>
      <c r="H152" s="3878"/>
      <c r="I152" s="3879"/>
      <c r="J152" s="3866"/>
      <c r="K152" s="3867"/>
      <c r="L152" s="199"/>
      <c r="M152" s="226"/>
      <c r="N152" s="199"/>
      <c r="O152" s="199"/>
      <c r="P152" s="199"/>
      <c r="Q152" s="199"/>
      <c r="V152" s="2427" t="s">
        <v>169</v>
      </c>
      <c r="W152" s="387">
        <v>3</v>
      </c>
      <c r="X152" s="387">
        <v>3</v>
      </c>
      <c r="Y152" s="387">
        <v>3</v>
      </c>
      <c r="Z152" s="387">
        <v>3</v>
      </c>
      <c r="AA152" s="387">
        <v>3</v>
      </c>
      <c r="AB152" s="387">
        <v>3</v>
      </c>
      <c r="AC152" s="1845">
        <v>3</v>
      </c>
      <c r="AD152" s="1845">
        <v>3</v>
      </c>
      <c r="AE152" s="387"/>
      <c r="AF152" s="387"/>
      <c r="AG152" s="387"/>
      <c r="BB152" s="106"/>
      <c r="BC152" s="106"/>
      <c r="BD152" s="416"/>
      <c r="BE152" s="416"/>
    </row>
    <row r="153" spans="1:57" collapsed="1" x14ac:dyDescent="0.35">
      <c r="BB153" s="106"/>
      <c r="BC153" s="106"/>
      <c r="BD153" s="416"/>
      <c r="BE153" s="416"/>
    </row>
    <row r="154" spans="1:57" s="106" customFormat="1" x14ac:dyDescent="0.35">
      <c r="B154" s="3664" t="s">
        <v>642</v>
      </c>
      <c r="C154" s="3665"/>
      <c r="D154" s="3665"/>
      <c r="E154" s="3665"/>
      <c r="F154" s="3665"/>
      <c r="G154" s="3665"/>
      <c r="H154" s="3665"/>
      <c r="I154" s="3666"/>
      <c r="J154" s="3666"/>
      <c r="K154" s="3666"/>
      <c r="L154" s="3666"/>
      <c r="M154" s="3666"/>
      <c r="N154" s="3667"/>
      <c r="V154" s="3664" t="str">
        <f>B154</f>
        <v>Kit Faucet Aerators (Bathroom)</v>
      </c>
      <c r="W154" s="3665"/>
      <c r="X154" s="3665"/>
      <c r="Y154" s="3665"/>
      <c r="Z154" s="3665"/>
      <c r="AA154" s="3665"/>
      <c r="AB154" s="3665"/>
      <c r="AC154" s="3680"/>
      <c r="AD154" s="3680"/>
      <c r="AE154" s="3680"/>
      <c r="AF154" s="3680"/>
      <c r="AG154" s="3680"/>
      <c r="AH154" s="3681"/>
      <c r="AI154"/>
      <c r="AJ154"/>
      <c r="AK154"/>
      <c r="AL154"/>
      <c r="AM154"/>
      <c r="AN154"/>
      <c r="AO154"/>
      <c r="AP154"/>
      <c r="AQ154"/>
      <c r="AR154"/>
      <c r="AS154"/>
      <c r="BD154" s="416"/>
      <c r="BE154" s="416"/>
    </row>
    <row r="155" spans="1:57" ht="18" customHeight="1" x14ac:dyDescent="0.35"/>
    <row r="156" spans="1:57" ht="29" x14ac:dyDescent="0.35">
      <c r="C156" s="2331" t="s">
        <v>27</v>
      </c>
      <c r="D156" s="2331" t="s">
        <v>174</v>
      </c>
      <c r="E156" s="2331" t="s">
        <v>29</v>
      </c>
      <c r="F156" s="2331" t="s">
        <v>30</v>
      </c>
      <c r="G156" s="2331" t="s">
        <v>175</v>
      </c>
      <c r="H156" s="2331" t="s">
        <v>176</v>
      </c>
      <c r="I156" s="2331" t="s">
        <v>588</v>
      </c>
      <c r="J156" s="2331" t="s">
        <v>31</v>
      </c>
      <c r="K156" s="2331" t="s">
        <v>180</v>
      </c>
      <c r="L156" s="2331" t="s">
        <v>169</v>
      </c>
      <c r="M156" s="2331" t="s">
        <v>43</v>
      </c>
      <c r="V156" s="480" t="s">
        <v>44</v>
      </c>
      <c r="W156" s="316">
        <f>$W$6</f>
        <v>43252</v>
      </c>
      <c r="X156" s="316">
        <f>$X$6</f>
        <v>43465</v>
      </c>
      <c r="Y156" s="316">
        <f>$Y$6</f>
        <v>43800</v>
      </c>
      <c r="Z156" s="316">
        <f>$Z$6</f>
        <v>43862</v>
      </c>
      <c r="AA156" s="316">
        <f>$AA$6</f>
        <v>44013</v>
      </c>
      <c r="AB156" s="316">
        <f>$AB$6</f>
        <v>44166</v>
      </c>
      <c r="AC156" s="1573">
        <f>$AC$6</f>
        <v>44531</v>
      </c>
      <c r="AD156" s="1573">
        <f>$AD$6</f>
        <v>44774</v>
      </c>
      <c r="AE156" s="1573" t="str">
        <f>$AE$6</f>
        <v>-</v>
      </c>
      <c r="AF156" s="1573" t="str">
        <f>$AF$6</f>
        <v>-</v>
      </c>
      <c r="AG156" s="1573" t="str">
        <f>$AG$6</f>
        <v>-</v>
      </c>
      <c r="BB156" s="1584" t="str">
        <f>$BB$6</f>
        <v>TRC (2022)</v>
      </c>
      <c r="BC156" s="1584" t="str">
        <f>$BC$6</f>
        <v>Benefit Lookup</v>
      </c>
      <c r="BD156" s="200" t="str">
        <f>$BD$6</f>
        <v>Benefits (2019 $)</v>
      </c>
      <c r="BE156" s="200" t="str">
        <f>$BE$6</f>
        <v>Incremental Cost (2019 $)</v>
      </c>
    </row>
    <row r="157" spans="1:57" x14ac:dyDescent="0.35">
      <c r="C157" s="2398" t="s">
        <v>643</v>
      </c>
      <c r="D157" s="88" t="s">
        <v>496</v>
      </c>
      <c r="E157" s="2353" t="s">
        <v>644</v>
      </c>
      <c r="F157" s="461">
        <f>ROUND(G170*(G173*G174-G176*G177)*G179*G183*G185/G186*I157*G198*G196,2)</f>
        <v>6.17</v>
      </c>
      <c r="G157" s="88" t="s">
        <v>183</v>
      </c>
      <c r="H157" s="136">
        <f>VLOOKUP(G157,'CP FACTORS'!$A$3:$B$38, 2, FALSE)</f>
        <v>8.8731800000000003E-5</v>
      </c>
      <c r="I157" s="1251">
        <f>G$189*G$190*(G$191-G$193)/(G$194*G$195)</f>
        <v>6.1532825322391571E-2</v>
      </c>
      <c r="J157" s="90">
        <f>ROUND(F157*H157,6)</f>
        <v>5.4699999999999996E-4</v>
      </c>
      <c r="K157" s="92">
        <f>$G$202</f>
        <v>10</v>
      </c>
      <c r="L157" s="420">
        <f>$G$203</f>
        <v>3</v>
      </c>
      <c r="M157" s="395" t="s">
        <v>184</v>
      </c>
      <c r="R157" s="1214"/>
      <c r="V157" s="1592" t="str">
        <f>F156</f>
        <v>kWh Annual Savings</v>
      </c>
      <c r="W157" s="1518">
        <v>7.963038337806803</v>
      </c>
      <c r="X157" s="1583">
        <v>6.9503628343201109</v>
      </c>
      <c r="Y157" s="478">
        <v>10.220000000000001</v>
      </c>
      <c r="Z157" s="52">
        <v>10.220000000000001</v>
      </c>
      <c r="AA157" s="52">
        <v>10.220000000000001</v>
      </c>
      <c r="AB157" s="322">
        <v>6.17</v>
      </c>
      <c r="AC157" s="2313">
        <v>6.17</v>
      </c>
      <c r="AD157" s="2313">
        <v>6.17</v>
      </c>
      <c r="AE157" s="141"/>
      <c r="AF157" s="141"/>
      <c r="AG157" s="141"/>
      <c r="AH157" s="144"/>
      <c r="BB157" s="1974">
        <f>(BD157)/(BE157)</f>
        <v>0.7351145813464387</v>
      </c>
      <c r="BC157" s="2381" t="str">
        <f>CONCATENATE(G157," ",K157," Year EUL")</f>
        <v>Water Heating RES 10 Year EUL</v>
      </c>
      <c r="BD157" s="1972">
        <f>(INDEX('Avoided Cost Benefits'!$E$4:$E$859,MATCH(BC157,'Avoided Cost Benefits'!$A$4:$A$859,0)))*F157</f>
        <v>2.0814948032461689</v>
      </c>
      <c r="BE157" s="1973">
        <f>L157/(1.0595^(2020-2019))</f>
        <v>2.8315243039169418</v>
      </c>
    </row>
    <row r="158" spans="1:57" x14ac:dyDescent="0.35">
      <c r="C158" s="2398" t="s">
        <v>645</v>
      </c>
      <c r="D158" s="395" t="s">
        <v>500</v>
      </c>
      <c r="E158" s="2353" t="s">
        <v>646</v>
      </c>
      <c r="F158" s="461">
        <f>ROUND(G170*(G173*G174-G176*G177)*G182*G183*G185/G186*I158*G201*G197,2)</f>
        <v>2.65</v>
      </c>
      <c r="G158" s="88" t="s">
        <v>183</v>
      </c>
      <c r="H158" s="136">
        <f>VLOOKUP(G158,'CP FACTORS'!$A$3:$B$38, 2, FALSE)</f>
        <v>8.8731800000000003E-5</v>
      </c>
      <c r="I158" s="1251">
        <f t="shared" ref="I158:I159" si="30">G$189*G$190*(G$191-G$193)/(G$194*G$195)</f>
        <v>6.1532825322391571E-2</v>
      </c>
      <c r="J158" s="90">
        <f>ROUND(F158*H158,6)</f>
        <v>2.3499999999999999E-4</v>
      </c>
      <c r="K158" s="92">
        <f>$G$202</f>
        <v>10</v>
      </c>
      <c r="L158" s="420">
        <f>$G$203</f>
        <v>3</v>
      </c>
      <c r="M158" s="395" t="s">
        <v>184</v>
      </c>
      <c r="R158" s="1214"/>
      <c r="V158" s="1592" t="str">
        <f>V159</f>
        <v>kWh Annual Savings</v>
      </c>
      <c r="W158" s="1518"/>
      <c r="X158" s="1583"/>
      <c r="Y158" s="478"/>
      <c r="Z158" s="479"/>
      <c r="AA158" s="479"/>
      <c r="AB158" s="322">
        <v>3.62</v>
      </c>
      <c r="AC158" s="2313">
        <v>2.65</v>
      </c>
      <c r="AD158" s="2313">
        <v>2.65</v>
      </c>
      <c r="AE158" s="141"/>
      <c r="AF158" s="141"/>
      <c r="AG158" s="141"/>
      <c r="AH158" s="144"/>
      <c r="BB158" s="1974">
        <f>(BD158)/(BE158)</f>
        <v>0.31572992553777346</v>
      </c>
      <c r="BC158" s="2381" t="str">
        <f>CONCATENATE(G158," ",K158," Year EUL")</f>
        <v>Water Heating RES 10 Year EUL</v>
      </c>
      <c r="BD158" s="1972">
        <f>(INDEX('Avoided Cost Benefits'!$E$4:$E$859,MATCH(BC158,'Avoided Cost Benefits'!$A$4:$A$859,0)))*F158</f>
        <v>0.89399695763409193</v>
      </c>
      <c r="BE158" s="1973">
        <f>L158/(1.0595^(2020-2019))</f>
        <v>2.8315243039169418</v>
      </c>
    </row>
    <row r="159" spans="1:57" x14ac:dyDescent="0.35">
      <c r="C159" s="2398" t="s">
        <v>647</v>
      </c>
      <c r="D159" s="330" t="s">
        <v>320</v>
      </c>
      <c r="E159" s="2353" t="str">
        <f>E157</f>
        <v>Kit Faucet Aerator (Bathroom)</v>
      </c>
      <c r="F159" s="461">
        <f>ROUND(G171*(G173*G174-G176*G177)*G180*G183*G185/G187*I159*G199*G197,2)</f>
        <v>30.1</v>
      </c>
      <c r="G159" s="88" t="s">
        <v>183</v>
      </c>
      <c r="H159" s="136">
        <f>VLOOKUP(G159,'CP FACTORS'!$A$3:$B$38, 2, FALSE)</f>
        <v>8.8731800000000003E-5</v>
      </c>
      <c r="I159" s="1251">
        <f t="shared" si="30"/>
        <v>6.1532825322391571E-2</v>
      </c>
      <c r="J159" s="90">
        <f>ROUND(F159*H159,6)</f>
        <v>2.6710000000000002E-3</v>
      </c>
      <c r="K159" s="92">
        <f>$G$202</f>
        <v>10</v>
      </c>
      <c r="L159" s="420">
        <f>$G$203</f>
        <v>3</v>
      </c>
      <c r="M159" s="395" t="s">
        <v>184</v>
      </c>
      <c r="R159" s="1214"/>
      <c r="V159" s="1592" t="str">
        <f>V157</f>
        <v>kWh Annual Savings</v>
      </c>
      <c r="W159" s="1518">
        <v>33.463803164371527</v>
      </c>
      <c r="X159" s="1583">
        <v>37.583340890617215</v>
      </c>
      <c r="Y159" s="478">
        <v>30.07</v>
      </c>
      <c r="Z159" s="52">
        <v>30.07</v>
      </c>
      <c r="AA159" s="52">
        <v>30.07</v>
      </c>
      <c r="AB159" s="322">
        <v>30.1</v>
      </c>
      <c r="AC159" s="2313">
        <v>30.1</v>
      </c>
      <c r="AD159" s="2313">
        <v>30.1</v>
      </c>
      <c r="AE159" s="141"/>
      <c r="AF159" s="141"/>
      <c r="AG159" s="141"/>
      <c r="AH159" s="144"/>
      <c r="BB159" s="1974">
        <f>(BD159)/(BE159)</f>
        <v>3.5862153806365975</v>
      </c>
      <c r="BC159" s="2381" t="str">
        <f>CONCATENATE(G159," ",K159," Year EUL")</f>
        <v>Water Heating RES 10 Year EUL</v>
      </c>
      <c r="BD159" s="1972">
        <f>(INDEX('Avoided Cost Benefits'!$E$4:$E$859,MATCH(BC159,'Avoided Cost Benefits'!$A$4:$A$859,0)))*F159</f>
        <v>10.154456009353272</v>
      </c>
      <c r="BE159" s="1973">
        <f>L159/(1.0595^(2020-2019))</f>
        <v>2.8315243039169418</v>
      </c>
    </row>
    <row r="160" spans="1:57" x14ac:dyDescent="0.35">
      <c r="C160" s="2398" t="s">
        <v>648</v>
      </c>
      <c r="D160" s="395" t="s">
        <v>547</v>
      </c>
      <c r="E160" s="2353" t="s">
        <v>649</v>
      </c>
      <c r="F160" s="461">
        <f>ROUND(G172*(G173*G175-G176*G178)*G181*G184*G185/G188*I160*G200*G197,2)</f>
        <v>13.84</v>
      </c>
      <c r="G160" s="88" t="s">
        <v>183</v>
      </c>
      <c r="H160" s="136">
        <f>VLOOKUP(G160,'CP FACTORS'!$A$3:$B$38, 2, FALSE)</f>
        <v>8.8731800000000003E-5</v>
      </c>
      <c r="I160" s="1251">
        <f>G$189*G$190*(G$192-G$193)/(G$194*G$195)</f>
        <v>4.658558030480657E-2</v>
      </c>
      <c r="J160" s="90">
        <f t="shared" ref="J160" si="31">ROUND(F160*H160,6)</f>
        <v>1.2279999999999999E-3</v>
      </c>
      <c r="K160" s="92">
        <f>$G$202</f>
        <v>10</v>
      </c>
      <c r="L160" s="420">
        <f>$G$203</f>
        <v>3</v>
      </c>
      <c r="M160" s="395" t="s">
        <v>184</v>
      </c>
      <c r="R160" s="1214"/>
      <c r="V160" s="1592" t="str">
        <f>V158</f>
        <v>kWh Annual Savings</v>
      </c>
      <c r="W160" s="1518"/>
      <c r="X160" s="1583"/>
      <c r="Y160" s="478"/>
      <c r="Z160" s="479"/>
      <c r="AA160" s="479"/>
      <c r="AB160" s="322">
        <v>13.84</v>
      </c>
      <c r="AC160" s="2313">
        <v>13.84</v>
      </c>
      <c r="AD160" s="2313">
        <v>13.84</v>
      </c>
      <c r="AE160" s="141"/>
      <c r="AF160" s="141"/>
      <c r="AG160" s="141"/>
      <c r="AH160" s="144"/>
      <c r="BB160" s="1974">
        <f>(BD160)/(BE160)</f>
        <v>1.6489442148840698</v>
      </c>
      <c r="BC160" s="2381" t="str">
        <f>CONCATENATE(G160," ",K160," Year EUL")</f>
        <v>Water Heating RES 10 Year EUL</v>
      </c>
      <c r="BD160" s="1972">
        <f>(INDEX('Avoided Cost Benefits'!$E$4:$E$859,MATCH(BC160,'Avoided Cost Benefits'!$A$4:$A$859,0)))*F160</f>
        <v>4.669025620247484</v>
      </c>
      <c r="BE160" s="1973">
        <f>L160/(1.0595^(2020-2019))</f>
        <v>2.8315243039169418</v>
      </c>
    </row>
    <row r="161" spans="4:34" hidden="1" outlineLevel="1" x14ac:dyDescent="0.35">
      <c r="D161" s="3076"/>
      <c r="G161" s="1242"/>
    </row>
    <row r="162" spans="4:34" hidden="1" outlineLevel="1" x14ac:dyDescent="0.35">
      <c r="D162" s="3066" t="s">
        <v>107</v>
      </c>
    </row>
    <row r="163" spans="4:34" hidden="1" outlineLevel="1" x14ac:dyDescent="0.35">
      <c r="D163" s="3076"/>
    </row>
    <row r="164" spans="4:34" hidden="1" outlineLevel="1" x14ac:dyDescent="0.35"/>
    <row r="165" spans="4:34" hidden="1" outlineLevel="1" x14ac:dyDescent="0.35"/>
    <row r="166" spans="4:34" hidden="1" outlineLevel="1" x14ac:dyDescent="0.35"/>
    <row r="167" spans="4:34" hidden="1" outlineLevel="1" x14ac:dyDescent="0.35"/>
    <row r="168" spans="4:34" hidden="1" outlineLevel="1" x14ac:dyDescent="0.35">
      <c r="J168" s="486"/>
      <c r="K168" s="486"/>
      <c r="L168" s="486"/>
      <c r="V168" s="480" t="s">
        <v>44</v>
      </c>
      <c r="W168" s="316">
        <f>$W$6</f>
        <v>43252</v>
      </c>
      <c r="X168" s="316">
        <f>$X$6</f>
        <v>43465</v>
      </c>
      <c r="Y168" s="316">
        <f>$Y$6</f>
        <v>43800</v>
      </c>
      <c r="Z168" s="316">
        <f>$Z$6</f>
        <v>43862</v>
      </c>
      <c r="AA168" s="316">
        <f>$AA$6</f>
        <v>44013</v>
      </c>
      <c r="AB168" s="316">
        <f>$AB$6</f>
        <v>44166</v>
      </c>
      <c r="AC168" s="1573">
        <f>$AC$6</f>
        <v>44531</v>
      </c>
      <c r="AD168" s="1573">
        <f>$AD$6</f>
        <v>44774</v>
      </c>
      <c r="AE168" s="1573" t="str">
        <f>$AE$6</f>
        <v>-</v>
      </c>
      <c r="AF168" s="1573" t="str">
        <f>$AF$6</f>
        <v>-</v>
      </c>
      <c r="AG168" s="1573" t="str">
        <f>$AG$6</f>
        <v>-</v>
      </c>
      <c r="AH168" s="423"/>
    </row>
    <row r="169" spans="4:34" ht="15" hidden="1" customHeight="1" outlineLevel="1" x14ac:dyDescent="0.35">
      <c r="D169" s="2423" t="s">
        <v>108</v>
      </c>
      <c r="E169" s="2404" t="s">
        <v>109</v>
      </c>
      <c r="F169" s="2331" t="s">
        <v>595</v>
      </c>
      <c r="G169" s="2331" t="s">
        <v>111</v>
      </c>
      <c r="H169" s="3825" t="s">
        <v>186</v>
      </c>
      <c r="I169" s="3826"/>
      <c r="J169" s="3825" t="s">
        <v>112</v>
      </c>
      <c r="K169" s="3824"/>
      <c r="V169" s="2036"/>
      <c r="W169" s="1759"/>
      <c r="X169" s="1759"/>
      <c r="Y169" s="1759"/>
      <c r="Z169" s="1759"/>
      <c r="AA169" s="1759"/>
      <c r="AB169" s="1759"/>
      <c r="AC169" s="1759"/>
      <c r="AD169" s="1759"/>
      <c r="AE169" s="1759"/>
      <c r="AF169" s="1759"/>
      <c r="AG169" s="1759"/>
      <c r="AH169" s="106"/>
    </row>
    <row r="170" spans="4:34" hidden="1" outlineLevel="1" x14ac:dyDescent="0.35">
      <c r="D170" s="3816" t="s">
        <v>596</v>
      </c>
      <c r="E170" s="3838" t="s">
        <v>597</v>
      </c>
      <c r="F170" s="2398" t="s">
        <v>598</v>
      </c>
      <c r="G170" s="188">
        <v>0.42</v>
      </c>
      <c r="H170" s="3804" t="s">
        <v>599</v>
      </c>
      <c r="I170" s="3804"/>
      <c r="J170" s="3818"/>
      <c r="K170" s="3819"/>
      <c r="L170" s="486"/>
      <c r="V170" s="3816" t="s">
        <v>596</v>
      </c>
      <c r="W170" s="448">
        <v>0.4</v>
      </c>
      <c r="X170" s="454">
        <v>0.34429999999999999</v>
      </c>
      <c r="Y170" s="455">
        <v>0.46360000000000001</v>
      </c>
      <c r="Z170" s="1956">
        <v>0.46360000000000001</v>
      </c>
      <c r="AA170" s="1956">
        <v>0.46360000000000001</v>
      </c>
      <c r="AB170" s="1651">
        <v>0.42</v>
      </c>
      <c r="AC170" s="188">
        <v>0.42</v>
      </c>
      <c r="AD170" s="188">
        <v>0.42</v>
      </c>
      <c r="AE170" s="427"/>
      <c r="AF170" s="427"/>
      <c r="AG170" s="427"/>
    </row>
    <row r="171" spans="4:34" hidden="1" outlineLevel="1" x14ac:dyDescent="0.35">
      <c r="D171" s="3839"/>
      <c r="E171" s="3766"/>
      <c r="F171" s="1650" t="s">
        <v>582</v>
      </c>
      <c r="G171" s="188">
        <v>1</v>
      </c>
      <c r="H171" s="3804" t="s">
        <v>600</v>
      </c>
      <c r="I171" s="3804"/>
      <c r="J171" s="3818"/>
      <c r="K171" s="3819"/>
      <c r="L171" s="486"/>
      <c r="V171" s="3839"/>
      <c r="W171" s="448"/>
      <c r="X171" s="454"/>
      <c r="Y171" s="455"/>
      <c r="Z171" s="1956"/>
      <c r="AA171" s="1956"/>
      <c r="AB171" s="188">
        <v>1</v>
      </c>
      <c r="AC171" s="188">
        <v>1</v>
      </c>
      <c r="AD171" s="188">
        <v>1</v>
      </c>
      <c r="AE171" s="427"/>
      <c r="AF171" s="427"/>
      <c r="AG171" s="427"/>
    </row>
    <row r="172" spans="4:34" hidden="1" outlineLevel="1" x14ac:dyDescent="0.35">
      <c r="D172" s="3817"/>
      <c r="E172" s="3767"/>
      <c r="F172" s="2348" t="s">
        <v>4240</v>
      </c>
      <c r="G172" s="287">
        <v>0.42</v>
      </c>
      <c r="H172" s="3877" t="s">
        <v>599</v>
      </c>
      <c r="I172" s="3877"/>
      <c r="J172" s="3763" t="s">
        <v>650</v>
      </c>
      <c r="K172" s="3763"/>
      <c r="L172" s="486"/>
      <c r="V172" s="3817"/>
      <c r="W172" s="448"/>
      <c r="X172" s="454"/>
      <c r="Y172" s="455"/>
      <c r="Z172" s="1956"/>
      <c r="AA172" s="1956"/>
      <c r="AB172" s="619">
        <v>0.42</v>
      </c>
      <c r="AC172" s="287">
        <v>0.42</v>
      </c>
      <c r="AD172" s="287">
        <v>0.42</v>
      </c>
      <c r="AE172" s="427"/>
      <c r="AF172" s="427"/>
      <c r="AG172" s="427"/>
    </row>
    <row r="173" spans="4:34" hidden="1" outlineLevel="1" x14ac:dyDescent="0.35">
      <c r="D173" s="2333" t="s">
        <v>601</v>
      </c>
      <c r="E173" s="2353" t="s">
        <v>602</v>
      </c>
      <c r="F173" s="1650" t="s">
        <v>134</v>
      </c>
      <c r="G173" s="2419">
        <v>2.2000000000000002</v>
      </c>
      <c r="H173" s="3804" t="s">
        <v>603</v>
      </c>
      <c r="I173" s="3804"/>
      <c r="J173" s="3818"/>
      <c r="K173" s="3819"/>
      <c r="L173" s="486"/>
      <c r="V173" s="2333" t="s">
        <v>601</v>
      </c>
      <c r="W173" s="419">
        <v>2.2000000000000002</v>
      </c>
      <c r="X173" s="429">
        <v>2.2000000000000002</v>
      </c>
      <c r="Y173" s="429">
        <v>2.2000000000000002</v>
      </c>
      <c r="Z173" s="2419">
        <v>2.2000000000000002</v>
      </c>
      <c r="AA173" s="2419">
        <v>2.2000000000000002</v>
      </c>
      <c r="AB173" s="2419">
        <v>2.2000000000000002</v>
      </c>
      <c r="AC173" s="2419">
        <v>2.2000000000000002</v>
      </c>
      <c r="AD173" s="3089">
        <v>2.2000000000000002</v>
      </c>
      <c r="AE173" s="419"/>
      <c r="AF173" s="419"/>
      <c r="AG173" s="419"/>
    </row>
    <row r="174" spans="4:34" ht="27.75" hidden="1" customHeight="1" outlineLevel="1" x14ac:dyDescent="0.35">
      <c r="D174" s="3804" t="s">
        <v>604</v>
      </c>
      <c r="E174" s="3828" t="s">
        <v>605</v>
      </c>
      <c r="F174" s="1650" t="s">
        <v>670</v>
      </c>
      <c r="G174" s="430">
        <v>1.6</v>
      </c>
      <c r="H174" s="3804" t="s">
        <v>651</v>
      </c>
      <c r="I174" s="3804"/>
      <c r="J174" s="3818"/>
      <c r="K174" s="3819"/>
      <c r="L174" s="486"/>
      <c r="V174" s="3816" t="s">
        <v>604</v>
      </c>
      <c r="W174" s="404">
        <v>1.6</v>
      </c>
      <c r="X174" s="431">
        <v>1.6</v>
      </c>
      <c r="Y174" s="404">
        <v>1.6</v>
      </c>
      <c r="Z174" s="330">
        <v>1.6</v>
      </c>
      <c r="AA174" s="330">
        <v>1.6</v>
      </c>
      <c r="AB174" s="430">
        <v>1.6</v>
      </c>
      <c r="AC174" s="430">
        <v>1.6</v>
      </c>
      <c r="AD174" s="430">
        <v>1.6</v>
      </c>
      <c r="AE174" s="404"/>
      <c r="AF174" s="404"/>
      <c r="AG174" s="404"/>
    </row>
    <row r="175" spans="4:34" hidden="1" outlineLevel="1" x14ac:dyDescent="0.35">
      <c r="D175" s="3804"/>
      <c r="E175" s="3828"/>
      <c r="F175" s="2348" t="s">
        <v>4240</v>
      </c>
      <c r="G175" s="430">
        <v>3.7</v>
      </c>
      <c r="H175" s="3804" t="s">
        <v>608</v>
      </c>
      <c r="I175" s="3804"/>
      <c r="J175" s="3763" t="s">
        <v>652</v>
      </c>
      <c r="K175" s="3763"/>
      <c r="L175" s="486"/>
      <c r="V175" s="3817"/>
      <c r="W175" s="404"/>
      <c r="X175" s="431"/>
      <c r="Y175" s="404"/>
      <c r="Z175" s="330"/>
      <c r="AA175" s="330"/>
      <c r="AB175" s="307">
        <v>3.7</v>
      </c>
      <c r="AC175" s="430">
        <v>3.7</v>
      </c>
      <c r="AD175" s="430">
        <v>3.7</v>
      </c>
      <c r="AE175" s="404"/>
      <c r="AF175" s="404"/>
      <c r="AG175" s="404"/>
    </row>
    <row r="176" spans="4:34" hidden="1" outlineLevel="1" x14ac:dyDescent="0.35">
      <c r="D176" s="2333" t="s">
        <v>609</v>
      </c>
      <c r="E176" s="2353" t="s">
        <v>610</v>
      </c>
      <c r="F176" s="1650" t="s">
        <v>134</v>
      </c>
      <c r="G176" s="430">
        <v>1.5</v>
      </c>
      <c r="H176" s="3804" t="s">
        <v>611</v>
      </c>
      <c r="I176" s="3804"/>
      <c r="J176" s="3818"/>
      <c r="K176" s="3819"/>
      <c r="L176" s="486"/>
      <c r="V176" s="2333" t="s">
        <v>609</v>
      </c>
      <c r="W176" s="404">
        <v>1.5</v>
      </c>
      <c r="X176" s="431">
        <v>1.5</v>
      </c>
      <c r="Y176" s="431">
        <v>1.5</v>
      </c>
      <c r="Z176" s="430">
        <v>1.5</v>
      </c>
      <c r="AA176" s="430">
        <v>1.5</v>
      </c>
      <c r="AB176" s="430">
        <v>1.5</v>
      </c>
      <c r="AC176" s="430">
        <v>1.5</v>
      </c>
      <c r="AD176" s="430">
        <v>1.5</v>
      </c>
      <c r="AE176" s="404"/>
      <c r="AF176" s="404"/>
      <c r="AG176" s="404"/>
      <c r="AH176" s="398"/>
    </row>
    <row r="177" spans="4:33" hidden="1" outlineLevel="1" x14ac:dyDescent="0.35">
      <c r="D177" s="3804" t="s">
        <v>612</v>
      </c>
      <c r="E177" s="3828" t="s">
        <v>613</v>
      </c>
      <c r="F177" s="1650" t="s">
        <v>653</v>
      </c>
      <c r="G177" s="430">
        <v>1.6</v>
      </c>
      <c r="H177" s="3804" t="s">
        <v>651</v>
      </c>
      <c r="I177" s="3804"/>
      <c r="J177" s="3818"/>
      <c r="K177" s="3819"/>
      <c r="L177" s="486"/>
      <c r="V177" s="3816" t="s">
        <v>612</v>
      </c>
      <c r="W177" s="404">
        <v>1.6</v>
      </c>
      <c r="X177" s="431">
        <v>1.6</v>
      </c>
      <c r="Y177" s="431">
        <v>1.6</v>
      </c>
      <c r="Z177" s="430">
        <v>1.6</v>
      </c>
      <c r="AA177" s="430">
        <v>1.6</v>
      </c>
      <c r="AB177" s="430">
        <v>1.6</v>
      </c>
      <c r="AC177" s="430">
        <v>1.6</v>
      </c>
      <c r="AD177" s="430">
        <v>1.6</v>
      </c>
      <c r="AE177" s="404"/>
      <c r="AF177" s="404"/>
      <c r="AG177" s="404"/>
    </row>
    <row r="178" spans="4:33" hidden="1" outlineLevel="1" x14ac:dyDescent="0.35">
      <c r="D178" s="3804"/>
      <c r="E178" s="3828"/>
      <c r="F178" s="2348" t="s">
        <v>4240</v>
      </c>
      <c r="G178" s="430">
        <v>3.7</v>
      </c>
      <c r="H178" s="3804" t="s">
        <v>608</v>
      </c>
      <c r="I178" s="3804"/>
      <c r="J178" s="3763" t="s">
        <v>652</v>
      </c>
      <c r="K178" s="3763"/>
      <c r="L178" s="486"/>
      <c r="V178" s="3817"/>
      <c r="W178" s="404"/>
      <c r="X178" s="431"/>
      <c r="Y178" s="431"/>
      <c r="Z178" s="430"/>
      <c r="AA178" s="430"/>
      <c r="AB178" s="307">
        <v>3.7</v>
      </c>
      <c r="AC178" s="430">
        <v>3.7</v>
      </c>
      <c r="AD178" s="430">
        <v>3.7</v>
      </c>
      <c r="AE178" s="404"/>
      <c r="AF178" s="404"/>
      <c r="AG178" s="404"/>
    </row>
    <row r="179" spans="4:33" ht="28.9" hidden="1" customHeight="1" outlineLevel="1" x14ac:dyDescent="0.35">
      <c r="D179" s="3816" t="s">
        <v>199</v>
      </c>
      <c r="E179" s="3840" t="s">
        <v>614</v>
      </c>
      <c r="F179" s="1650" t="s">
        <v>598</v>
      </c>
      <c r="G179" s="432">
        <v>4.28571428571429</v>
      </c>
      <c r="H179" s="3804" t="s">
        <v>599</v>
      </c>
      <c r="I179" s="3804"/>
      <c r="J179" s="3818"/>
      <c r="K179" s="3819"/>
      <c r="L179" s="486"/>
      <c r="V179" s="3816" t="s">
        <v>199</v>
      </c>
      <c r="W179" s="456">
        <v>4.3185840707964598</v>
      </c>
      <c r="X179" s="397">
        <v>4.2926829268292686</v>
      </c>
      <c r="Y179" s="457">
        <v>4.2329545454545459</v>
      </c>
      <c r="Z179" s="1745">
        <v>4.2329545454545459</v>
      </c>
      <c r="AA179" s="1745">
        <v>4.2329545454545459</v>
      </c>
      <c r="AB179" s="434">
        <v>4.28571428571429</v>
      </c>
      <c r="AC179" s="432">
        <v>4.28571428571429</v>
      </c>
      <c r="AD179" s="432">
        <v>4.28571428571429</v>
      </c>
      <c r="AE179" s="433"/>
      <c r="AF179" s="433"/>
      <c r="AG179" s="433"/>
    </row>
    <row r="180" spans="4:33" hidden="1" outlineLevel="1" x14ac:dyDescent="0.35">
      <c r="D180" s="3839"/>
      <c r="E180" s="3841"/>
      <c r="F180" s="1650" t="s">
        <v>582</v>
      </c>
      <c r="G180" s="432">
        <v>1.7767584097859328</v>
      </c>
      <c r="H180" s="3804" t="s">
        <v>654</v>
      </c>
      <c r="I180" s="3804"/>
      <c r="J180" s="3818"/>
      <c r="K180" s="3819"/>
      <c r="L180" s="486"/>
      <c r="V180" s="3839"/>
      <c r="W180" s="456"/>
      <c r="X180" s="397"/>
      <c r="Y180" s="457"/>
      <c r="Z180" s="1745"/>
      <c r="AA180" s="1745"/>
      <c r="AB180" s="432">
        <v>1.7767584097859328</v>
      </c>
      <c r="AC180" s="432">
        <v>1.7767584097859328</v>
      </c>
      <c r="AD180" s="432">
        <v>1.7767584097859328</v>
      </c>
      <c r="AE180" s="433"/>
      <c r="AF180" s="433"/>
      <c r="AG180" s="433"/>
    </row>
    <row r="181" spans="4:33" hidden="1" outlineLevel="1" x14ac:dyDescent="0.35">
      <c r="D181" s="3839"/>
      <c r="E181" s="3841"/>
      <c r="F181" s="2348" t="s">
        <v>4240</v>
      </c>
      <c r="G181" s="458">
        <v>1.5644946808510638</v>
      </c>
      <c r="H181" s="3884" t="s">
        <v>616</v>
      </c>
      <c r="I181" s="3884"/>
      <c r="J181" s="3763" t="s">
        <v>652</v>
      </c>
      <c r="K181" s="3763"/>
      <c r="L181" s="486"/>
      <c r="V181" s="3839"/>
      <c r="W181" s="456"/>
      <c r="X181" s="397"/>
      <c r="Y181" s="457"/>
      <c r="Z181" s="1745"/>
      <c r="AA181" s="1745"/>
      <c r="AB181" s="436">
        <v>1.5644946808510638</v>
      </c>
      <c r="AC181" s="458">
        <v>1.5644946808510638</v>
      </c>
      <c r="AD181" s="458">
        <v>1.5644946808510638</v>
      </c>
      <c r="AE181" s="433"/>
      <c r="AF181" s="433"/>
      <c r="AG181" s="433"/>
    </row>
    <row r="182" spans="4:33" hidden="1" outlineLevel="1" x14ac:dyDescent="0.35">
      <c r="D182" s="3817"/>
      <c r="E182" s="3842"/>
      <c r="F182" s="1650" t="s">
        <v>522</v>
      </c>
      <c r="G182" s="458">
        <v>2.65</v>
      </c>
      <c r="H182" s="3884" t="s">
        <v>617</v>
      </c>
      <c r="I182" s="3884"/>
      <c r="J182" s="3818"/>
      <c r="K182" s="3819"/>
      <c r="L182" s="486"/>
      <c r="V182" s="3817"/>
      <c r="W182" s="456"/>
      <c r="X182" s="397"/>
      <c r="Y182" s="457"/>
      <c r="Z182" s="1745"/>
      <c r="AA182" s="1745"/>
      <c r="AB182" s="436">
        <v>2.65</v>
      </c>
      <c r="AC182" s="458">
        <v>2.65</v>
      </c>
      <c r="AD182" s="458">
        <v>2.65</v>
      </c>
      <c r="AE182" s="433"/>
      <c r="AF182" s="433"/>
      <c r="AG182" s="433"/>
    </row>
    <row r="183" spans="4:33" hidden="1" outlineLevel="1" x14ac:dyDescent="0.35">
      <c r="D183" s="3830" t="s">
        <v>618</v>
      </c>
      <c r="E183" s="3881" t="s">
        <v>619</v>
      </c>
      <c r="F183" s="1650" t="s">
        <v>4241</v>
      </c>
      <c r="G183" s="2419">
        <v>0.9</v>
      </c>
      <c r="H183" s="3804" t="s">
        <v>620</v>
      </c>
      <c r="I183" s="3804"/>
      <c r="J183" s="3818"/>
      <c r="K183" s="3819"/>
      <c r="L183" s="486"/>
      <c r="V183" s="3854" t="s">
        <v>618</v>
      </c>
      <c r="W183" s="419">
        <v>0.9</v>
      </c>
      <c r="X183" s="429">
        <v>0.9</v>
      </c>
      <c r="Y183" s="429">
        <v>0.9</v>
      </c>
      <c r="Z183" s="2419">
        <v>0.9</v>
      </c>
      <c r="AA183" s="2419">
        <v>0.9</v>
      </c>
      <c r="AB183" s="2419">
        <v>0.9</v>
      </c>
      <c r="AC183" s="2419">
        <v>0.9</v>
      </c>
      <c r="AD183" s="3089">
        <v>0.9</v>
      </c>
      <c r="AE183" s="419"/>
      <c r="AF183" s="419"/>
      <c r="AG183" s="419"/>
    </row>
    <row r="184" spans="4:33" hidden="1" outlineLevel="1" x14ac:dyDescent="0.35">
      <c r="D184" s="3830"/>
      <c r="E184" s="3881"/>
      <c r="F184" s="2348" t="s">
        <v>4240</v>
      </c>
      <c r="G184" s="124">
        <v>1</v>
      </c>
      <c r="H184" s="3804" t="s">
        <v>520</v>
      </c>
      <c r="I184" s="3804"/>
      <c r="J184" s="3763" t="s">
        <v>655</v>
      </c>
      <c r="K184" s="3763"/>
      <c r="L184" s="486"/>
      <c r="V184" s="3776"/>
      <c r="W184" s="419"/>
      <c r="X184" s="429"/>
      <c r="Y184" s="429"/>
      <c r="Z184" s="2419"/>
      <c r="AA184" s="2419"/>
      <c r="AB184" s="464">
        <v>1</v>
      </c>
      <c r="AC184" s="124">
        <v>1</v>
      </c>
      <c r="AD184" s="124">
        <v>1</v>
      </c>
      <c r="AE184" s="419"/>
      <c r="AF184" s="419"/>
      <c r="AG184" s="419"/>
    </row>
    <row r="185" spans="4:33" hidden="1" outlineLevel="1" x14ac:dyDescent="0.35">
      <c r="D185" s="391">
        <v>365.25</v>
      </c>
      <c r="E185" s="2353" t="s">
        <v>569</v>
      </c>
      <c r="F185" s="1650" t="s">
        <v>134</v>
      </c>
      <c r="G185" s="430">
        <v>365.25</v>
      </c>
      <c r="H185" s="3804" t="s">
        <v>570</v>
      </c>
      <c r="I185" s="3804"/>
      <c r="J185" s="3818"/>
      <c r="K185" s="3819"/>
      <c r="L185" s="486"/>
      <c r="V185" s="391">
        <v>365.25</v>
      </c>
      <c r="W185" s="404">
        <v>365</v>
      </c>
      <c r="X185" s="431">
        <v>365</v>
      </c>
      <c r="Y185" s="431">
        <v>365</v>
      </c>
      <c r="Z185" s="430">
        <v>365</v>
      </c>
      <c r="AA185" s="430">
        <v>365</v>
      </c>
      <c r="AB185" s="307">
        <v>365.25</v>
      </c>
      <c r="AC185" s="430">
        <v>365.25</v>
      </c>
      <c r="AD185" s="430">
        <v>365.25</v>
      </c>
      <c r="AE185" s="404"/>
      <c r="AF185" s="404"/>
      <c r="AG185" s="404"/>
    </row>
    <row r="186" spans="4:33" hidden="1" outlineLevel="1" x14ac:dyDescent="0.35">
      <c r="D186" s="3830" t="s">
        <v>621</v>
      </c>
      <c r="E186" s="3828" t="s">
        <v>622</v>
      </c>
      <c r="F186" s="1650" t="s">
        <v>598</v>
      </c>
      <c r="G186" s="1652">
        <v>2.2839</v>
      </c>
      <c r="H186" s="3834" t="s">
        <v>623</v>
      </c>
      <c r="I186" s="3834"/>
      <c r="J186" s="3818"/>
      <c r="K186" s="3819"/>
      <c r="L186" s="486"/>
      <c r="V186" s="3854" t="s">
        <v>621</v>
      </c>
      <c r="W186" s="456">
        <v>2.4005847953216377</v>
      </c>
      <c r="X186" s="460">
        <v>2.4005847953216377</v>
      </c>
      <c r="Y186" s="397">
        <v>2.2839</v>
      </c>
      <c r="Z186" s="392">
        <v>2.2839</v>
      </c>
      <c r="AA186" s="392">
        <v>2.2839</v>
      </c>
      <c r="AB186" s="1652">
        <v>2.2839</v>
      </c>
      <c r="AC186" s="1652">
        <v>2.2839</v>
      </c>
      <c r="AD186" s="1652">
        <v>2.2839</v>
      </c>
      <c r="AE186" s="439"/>
      <c r="AF186" s="439"/>
      <c r="AG186" s="439"/>
    </row>
    <row r="187" spans="4:33" hidden="1" outlineLevel="1" x14ac:dyDescent="0.35">
      <c r="D187" s="3830"/>
      <c r="E187" s="3828"/>
      <c r="F187" s="1650" t="s">
        <v>582</v>
      </c>
      <c r="G187" s="1652">
        <v>1.3371757925072045</v>
      </c>
      <c r="H187" s="3804" t="s">
        <v>656</v>
      </c>
      <c r="I187" s="3804"/>
      <c r="J187" s="3818"/>
      <c r="K187" s="3819"/>
      <c r="L187" s="486"/>
      <c r="V187" s="3716"/>
      <c r="W187" s="456"/>
      <c r="X187" s="460"/>
      <c r="Y187" s="397"/>
      <c r="Z187" s="392"/>
      <c r="AA187" s="392"/>
      <c r="AB187" s="1652">
        <v>1.3371757925072045</v>
      </c>
      <c r="AC187" s="1652">
        <v>1.3371757925072045</v>
      </c>
      <c r="AD187" s="1652">
        <v>1.3371757925072045</v>
      </c>
      <c r="AE187" s="439"/>
      <c r="AF187" s="439"/>
      <c r="AG187" s="439"/>
    </row>
    <row r="188" spans="4:33" hidden="1" outlineLevel="1" x14ac:dyDescent="0.35">
      <c r="D188" s="3830"/>
      <c r="E188" s="3828"/>
      <c r="F188" s="2348" t="s">
        <v>4240</v>
      </c>
      <c r="G188" s="2012">
        <v>1.8624708624708626</v>
      </c>
      <c r="H188" s="3904" t="s">
        <v>657</v>
      </c>
      <c r="I188" s="3904"/>
      <c r="J188" s="3818"/>
      <c r="K188" s="3819"/>
      <c r="L188" s="486"/>
      <c r="V188" s="3776"/>
      <c r="W188" s="456"/>
      <c r="X188" s="460"/>
      <c r="Y188" s="397"/>
      <c r="Z188" s="392"/>
      <c r="AA188" s="392"/>
      <c r="AB188" s="1653">
        <v>1.8624708624708626</v>
      </c>
      <c r="AC188" s="2012">
        <v>1.8624708624708626</v>
      </c>
      <c r="AD188" s="2012">
        <v>1.8624708624708626</v>
      </c>
      <c r="AE188" s="439"/>
      <c r="AF188" s="439"/>
      <c r="AG188" s="439"/>
    </row>
    <row r="189" spans="4:33" hidden="1" outlineLevel="1" x14ac:dyDescent="0.35">
      <c r="D189" s="391">
        <v>8.33</v>
      </c>
      <c r="E189" s="2360" t="s">
        <v>626</v>
      </c>
      <c r="F189" s="1650" t="s">
        <v>134</v>
      </c>
      <c r="G189" s="2419">
        <v>8.33</v>
      </c>
      <c r="H189" s="3834" t="s">
        <v>627</v>
      </c>
      <c r="I189" s="3834"/>
      <c r="J189" s="3818"/>
      <c r="K189" s="3819"/>
      <c r="L189" s="486"/>
      <c r="V189" s="391">
        <v>8.33</v>
      </c>
      <c r="W189" s="419">
        <v>8.33</v>
      </c>
      <c r="X189" s="429">
        <v>8.33</v>
      </c>
      <c r="Y189" s="429">
        <v>8.33</v>
      </c>
      <c r="Z189" s="2419">
        <v>8.33</v>
      </c>
      <c r="AA189" s="2419">
        <v>8.33</v>
      </c>
      <c r="AB189" s="2419">
        <v>8.33</v>
      </c>
      <c r="AC189" s="2419">
        <v>8.33</v>
      </c>
      <c r="AD189" s="3089">
        <v>8.33</v>
      </c>
      <c r="AE189" s="419"/>
      <c r="AF189" s="419"/>
      <c r="AG189" s="419"/>
    </row>
    <row r="190" spans="4:33" hidden="1" outlineLevel="1" x14ac:dyDescent="0.35">
      <c r="D190" s="391">
        <v>1</v>
      </c>
      <c r="E190" s="2353" t="s">
        <v>628</v>
      </c>
      <c r="F190" s="1650" t="s">
        <v>134</v>
      </c>
      <c r="G190" s="2419">
        <v>1</v>
      </c>
      <c r="H190" s="3804" t="s">
        <v>629</v>
      </c>
      <c r="I190" s="3804"/>
      <c r="J190" s="3818"/>
      <c r="K190" s="3819"/>
      <c r="L190" s="486"/>
      <c r="V190" s="391">
        <v>1</v>
      </c>
      <c r="W190" s="419">
        <v>1</v>
      </c>
      <c r="X190" s="429">
        <v>1</v>
      </c>
      <c r="Y190" s="429">
        <v>1</v>
      </c>
      <c r="Z190" s="2419">
        <v>1</v>
      </c>
      <c r="AA190" s="2419">
        <v>1</v>
      </c>
      <c r="AB190" s="2419">
        <v>1</v>
      </c>
      <c r="AC190" s="2419">
        <v>1</v>
      </c>
      <c r="AD190" s="3089">
        <v>1</v>
      </c>
      <c r="AE190" s="419"/>
      <c r="AF190" s="419"/>
      <c r="AG190" s="419"/>
    </row>
    <row r="191" spans="4:33" hidden="1" outlineLevel="1" x14ac:dyDescent="0.35">
      <c r="D191" s="3804" t="s">
        <v>630</v>
      </c>
      <c r="E191" s="3828" t="s">
        <v>631</v>
      </c>
      <c r="F191" s="1650" t="s">
        <v>670</v>
      </c>
      <c r="G191" s="430">
        <v>86</v>
      </c>
      <c r="H191" s="3804" t="s">
        <v>632</v>
      </c>
      <c r="I191" s="3804"/>
      <c r="J191" s="3818"/>
      <c r="K191" s="3819"/>
      <c r="L191" s="486"/>
      <c r="V191" s="3816" t="s">
        <v>630</v>
      </c>
      <c r="W191" s="404">
        <v>86</v>
      </c>
      <c r="X191" s="431">
        <v>86</v>
      </c>
      <c r="Y191" s="431">
        <v>86</v>
      </c>
      <c r="Z191" s="430">
        <v>86</v>
      </c>
      <c r="AA191" s="430">
        <v>86</v>
      </c>
      <c r="AB191" s="430">
        <v>86</v>
      </c>
      <c r="AC191" s="430">
        <v>86</v>
      </c>
      <c r="AD191" s="430">
        <v>86</v>
      </c>
      <c r="AE191" s="404"/>
      <c r="AF191" s="404"/>
      <c r="AG191" s="404"/>
    </row>
    <row r="192" spans="4:33" hidden="1" outlineLevel="1" x14ac:dyDescent="0.35">
      <c r="D192" s="3804"/>
      <c r="E192" s="3828"/>
      <c r="F192" s="2348" t="s">
        <v>4240</v>
      </c>
      <c r="G192" s="430">
        <v>80</v>
      </c>
      <c r="H192" s="3804" t="s">
        <v>658</v>
      </c>
      <c r="I192" s="3804"/>
      <c r="J192" s="3763" t="s">
        <v>652</v>
      </c>
      <c r="K192" s="3763"/>
      <c r="L192" s="486"/>
      <c r="V192" s="3817"/>
      <c r="W192" s="404"/>
      <c r="X192" s="431"/>
      <c r="Y192" s="431"/>
      <c r="Z192" s="430"/>
      <c r="AA192" s="430"/>
      <c r="AB192" s="307">
        <v>80</v>
      </c>
      <c r="AC192" s="430">
        <v>80</v>
      </c>
      <c r="AD192" s="430">
        <v>80</v>
      </c>
      <c r="AE192" s="404"/>
      <c r="AF192" s="404"/>
      <c r="AG192" s="404"/>
    </row>
    <row r="193" spans="1:57" s="398" customFormat="1" hidden="1" outlineLevel="1" x14ac:dyDescent="0.35">
      <c r="A193" s="486"/>
      <c r="B193" s="486"/>
      <c r="C193" s="292"/>
      <c r="D193" s="2333" t="s">
        <v>633</v>
      </c>
      <c r="E193" s="2353" t="s">
        <v>634</v>
      </c>
      <c r="F193" s="1650" t="s">
        <v>134</v>
      </c>
      <c r="G193" s="430">
        <v>61.3</v>
      </c>
      <c r="H193" s="3834" t="s">
        <v>635</v>
      </c>
      <c r="I193" s="3834"/>
      <c r="J193" s="3818"/>
      <c r="K193" s="3819"/>
      <c r="L193" s="486"/>
      <c r="M193" s="486"/>
      <c r="N193" s="486"/>
      <c r="O193" s="486"/>
      <c r="P193" s="486"/>
      <c r="Q193" s="486"/>
      <c r="R193" s="486"/>
      <c r="S193" s="486"/>
      <c r="T193" s="486"/>
      <c r="U193" s="486"/>
      <c r="V193" s="2333" t="s">
        <v>633</v>
      </c>
      <c r="W193" s="404">
        <v>61.3</v>
      </c>
      <c r="X193" s="431">
        <v>61.3</v>
      </c>
      <c r="Y193" s="431">
        <v>61.3</v>
      </c>
      <c r="Z193" s="430">
        <v>61.3</v>
      </c>
      <c r="AA193" s="430">
        <v>61.3</v>
      </c>
      <c r="AB193" s="430">
        <v>61.3</v>
      </c>
      <c r="AC193" s="430">
        <v>61.3</v>
      </c>
      <c r="AD193" s="430">
        <v>61.3</v>
      </c>
      <c r="AE193" s="404"/>
      <c r="AF193" s="404"/>
      <c r="AG193" s="404"/>
      <c r="AI193"/>
      <c r="AJ193"/>
      <c r="AK193"/>
      <c r="AL193"/>
      <c r="AM193"/>
      <c r="AN193"/>
      <c r="AO193"/>
      <c r="AP193"/>
      <c r="AQ193"/>
      <c r="AR193"/>
      <c r="AS193"/>
      <c r="BD193" s="1"/>
      <c r="BE193" s="1"/>
    </row>
    <row r="194" spans="1:57" s="398" customFormat="1" hidden="1" outlineLevel="1" x14ac:dyDescent="0.35">
      <c r="A194" s="486"/>
      <c r="B194" s="486"/>
      <c r="C194" s="292"/>
      <c r="D194" s="2333" t="s">
        <v>636</v>
      </c>
      <c r="E194" s="2353" t="s">
        <v>637</v>
      </c>
      <c r="F194" s="1650" t="s">
        <v>134</v>
      </c>
      <c r="G194" s="2419">
        <v>0.98</v>
      </c>
      <c r="H194" s="3834" t="s">
        <v>638</v>
      </c>
      <c r="I194" s="3834"/>
      <c r="J194" s="3818"/>
      <c r="K194" s="3819"/>
      <c r="L194" s="486"/>
      <c r="M194" s="486"/>
      <c r="N194" s="486"/>
      <c r="O194" s="486"/>
      <c r="P194" s="486"/>
      <c r="Q194" s="486"/>
      <c r="R194" s="486"/>
      <c r="S194" s="486"/>
      <c r="T194" s="486"/>
      <c r="U194" s="486"/>
      <c r="V194" s="2333" t="s">
        <v>636</v>
      </c>
      <c r="W194" s="419">
        <v>0.98</v>
      </c>
      <c r="X194" s="429">
        <v>0.98</v>
      </c>
      <c r="Y194" s="429">
        <v>0.98</v>
      </c>
      <c r="Z194" s="2419">
        <v>0.98</v>
      </c>
      <c r="AA194" s="2419">
        <v>0.98</v>
      </c>
      <c r="AB194" s="2419">
        <v>0.98</v>
      </c>
      <c r="AC194" s="2419">
        <v>0.98</v>
      </c>
      <c r="AD194" s="3089">
        <v>0.98</v>
      </c>
      <c r="AE194" s="419"/>
      <c r="AF194" s="419"/>
      <c r="AG194" s="419"/>
      <c r="AI194"/>
      <c r="AJ194"/>
      <c r="AK194"/>
      <c r="AL194"/>
      <c r="AM194"/>
      <c r="AN194"/>
      <c r="AO194"/>
      <c r="AP194"/>
      <c r="AQ194"/>
      <c r="AR194"/>
      <c r="AS194"/>
      <c r="BD194" s="1"/>
      <c r="BE194" s="1"/>
    </row>
    <row r="195" spans="1:57" s="398" customFormat="1" hidden="1" outlineLevel="1" x14ac:dyDescent="0.35">
      <c r="A195" s="486"/>
      <c r="B195" s="486"/>
      <c r="C195" s="292"/>
      <c r="D195" s="2333">
        <v>3412</v>
      </c>
      <c r="E195" s="2360" t="s">
        <v>639</v>
      </c>
      <c r="F195" s="1650" t="s">
        <v>134</v>
      </c>
      <c r="G195" s="443">
        <v>3412</v>
      </c>
      <c r="H195" s="3834" t="s">
        <v>217</v>
      </c>
      <c r="I195" s="3834"/>
      <c r="J195" s="3818"/>
      <c r="K195" s="3819"/>
      <c r="L195" s="486"/>
      <c r="M195" s="486"/>
      <c r="N195" s="486"/>
      <c r="O195" s="486"/>
      <c r="P195" s="486"/>
      <c r="Q195" s="486"/>
      <c r="R195" s="486"/>
      <c r="S195" s="486"/>
      <c r="T195" s="486"/>
      <c r="U195" s="486"/>
      <c r="V195" s="2333">
        <v>3412</v>
      </c>
      <c r="W195" s="444">
        <v>3412</v>
      </c>
      <c r="X195" s="445">
        <v>3413</v>
      </c>
      <c r="Y195" s="445">
        <v>3413</v>
      </c>
      <c r="Z195" s="443">
        <v>3413</v>
      </c>
      <c r="AA195" s="443">
        <v>3413</v>
      </c>
      <c r="AB195" s="446">
        <v>3412</v>
      </c>
      <c r="AC195" s="443">
        <v>3412</v>
      </c>
      <c r="AD195" s="443">
        <v>3412</v>
      </c>
      <c r="AE195" s="444"/>
      <c r="AF195" s="444"/>
      <c r="AG195" s="444"/>
      <c r="AI195"/>
      <c r="AJ195"/>
      <c r="AK195"/>
      <c r="AL195"/>
      <c r="AM195"/>
      <c r="AN195"/>
      <c r="AO195"/>
      <c r="AP195"/>
      <c r="AQ195"/>
      <c r="AR195"/>
      <c r="AS195"/>
      <c r="BD195" s="1"/>
      <c r="BE195" s="1"/>
    </row>
    <row r="196" spans="1:57" s="398" customFormat="1" hidden="1" outlineLevel="1" x14ac:dyDescent="0.35">
      <c r="A196" s="486"/>
      <c r="B196" s="486"/>
      <c r="C196" s="292"/>
      <c r="D196" s="3816" t="s">
        <v>516</v>
      </c>
      <c r="E196" s="3838" t="s">
        <v>578</v>
      </c>
      <c r="F196" s="1650" t="s">
        <v>598</v>
      </c>
      <c r="G196" s="188">
        <v>0.72</v>
      </c>
      <c r="H196" s="3804" t="s">
        <v>599</v>
      </c>
      <c r="I196" s="3804"/>
      <c r="J196" s="3818"/>
      <c r="K196" s="3819"/>
      <c r="L196" s="486"/>
      <c r="M196" s="486"/>
      <c r="N196" s="486"/>
      <c r="O196" s="486"/>
      <c r="P196" s="486"/>
      <c r="Q196" s="486"/>
      <c r="R196" s="486"/>
      <c r="S196" s="486"/>
      <c r="T196" s="486"/>
      <c r="U196" s="486"/>
      <c r="V196" s="3816" t="s">
        <v>516</v>
      </c>
      <c r="W196" s="448">
        <v>0.86</v>
      </c>
      <c r="X196" s="449">
        <v>0.89859999999999995</v>
      </c>
      <c r="Y196" s="450">
        <v>0.91869999999999996</v>
      </c>
      <c r="Z196" s="1744">
        <v>0.91869999999999996</v>
      </c>
      <c r="AA196" s="1744">
        <v>0.91869999999999996</v>
      </c>
      <c r="AB196" s="1651">
        <v>0.72</v>
      </c>
      <c r="AC196" s="188">
        <v>0.72</v>
      </c>
      <c r="AD196" s="188">
        <v>0.72</v>
      </c>
      <c r="AE196" s="448"/>
      <c r="AF196" s="448"/>
      <c r="AG196" s="448"/>
      <c r="AI196"/>
      <c r="AJ196"/>
      <c r="AK196"/>
      <c r="AL196"/>
      <c r="AM196"/>
      <c r="AN196"/>
      <c r="AO196"/>
      <c r="AP196"/>
      <c r="AQ196"/>
      <c r="AR196"/>
      <c r="AS196"/>
      <c r="BD196" s="1"/>
      <c r="BE196" s="1"/>
    </row>
    <row r="197" spans="1:57" s="398" customFormat="1" hidden="1" outlineLevel="1" x14ac:dyDescent="0.35">
      <c r="A197" s="486"/>
      <c r="B197" s="486"/>
      <c r="C197" s="292"/>
      <c r="D197" s="3817"/>
      <c r="E197" s="3767"/>
      <c r="F197" s="1650" t="s">
        <v>640</v>
      </c>
      <c r="G197" s="287">
        <v>1</v>
      </c>
      <c r="H197" s="3834" t="s">
        <v>641</v>
      </c>
      <c r="I197" s="3834"/>
      <c r="J197" s="3818"/>
      <c r="K197" s="3819"/>
      <c r="L197" s="486"/>
      <c r="M197" s="486"/>
      <c r="N197" s="486"/>
      <c r="O197" s="486"/>
      <c r="P197" s="486"/>
      <c r="Q197" s="486"/>
      <c r="R197" s="486"/>
      <c r="S197" s="486"/>
      <c r="T197" s="486"/>
      <c r="U197" s="486"/>
      <c r="V197" s="3817"/>
      <c r="W197" s="448"/>
      <c r="X197" s="449"/>
      <c r="Y197" s="450"/>
      <c r="Z197" s="1744"/>
      <c r="AA197" s="1744"/>
      <c r="AB197" s="287">
        <v>1</v>
      </c>
      <c r="AC197" s="287">
        <v>1</v>
      </c>
      <c r="AD197" s="287">
        <v>1</v>
      </c>
      <c r="AE197" s="448"/>
      <c r="AF197" s="448"/>
      <c r="AG197" s="448"/>
      <c r="AI197"/>
      <c r="AJ197"/>
      <c r="AK197"/>
      <c r="AL197"/>
      <c r="AM197"/>
      <c r="AN197"/>
      <c r="AO197"/>
      <c r="AP197"/>
      <c r="AQ197"/>
      <c r="AR197"/>
      <c r="AS197"/>
      <c r="BD197" s="1"/>
      <c r="BE197" s="1"/>
    </row>
    <row r="198" spans="1:57" s="398" customFormat="1" hidden="1" outlineLevel="1" x14ac:dyDescent="0.35">
      <c r="A198" s="486"/>
      <c r="B198" s="486"/>
      <c r="C198" s="292"/>
      <c r="D198" s="3816" t="s">
        <v>132</v>
      </c>
      <c r="E198" s="3838" t="s">
        <v>251</v>
      </c>
      <c r="F198" s="1650" t="s">
        <v>598</v>
      </c>
      <c r="G198" s="188">
        <v>0.48</v>
      </c>
      <c r="H198" s="3804" t="s">
        <v>519</v>
      </c>
      <c r="I198" s="3804"/>
      <c r="J198" s="3818"/>
      <c r="K198" s="3819"/>
      <c r="L198" s="486"/>
      <c r="M198" s="486"/>
      <c r="N198" s="486"/>
      <c r="O198" s="486"/>
      <c r="P198" s="486"/>
      <c r="Q198" s="486"/>
      <c r="R198" s="486"/>
      <c r="S198" s="486"/>
      <c r="T198" s="486"/>
      <c r="U198" s="486"/>
      <c r="V198" s="3816" t="s">
        <v>132</v>
      </c>
      <c r="W198" s="448">
        <v>0.56837606837606836</v>
      </c>
      <c r="X198" s="449">
        <v>0.55508474576271183</v>
      </c>
      <c r="Y198" s="450">
        <v>0.57216494845360821</v>
      </c>
      <c r="Z198" s="1744">
        <v>0.57216494845360821</v>
      </c>
      <c r="AA198" s="1744">
        <v>0.57216494845360821</v>
      </c>
      <c r="AB198" s="1651">
        <v>0.48</v>
      </c>
      <c r="AC198" s="188">
        <v>0.48</v>
      </c>
      <c r="AD198" s="188">
        <v>0.48</v>
      </c>
      <c r="AE198" s="448"/>
      <c r="AF198" s="448"/>
      <c r="AG198" s="448"/>
      <c r="AI198"/>
      <c r="AJ198"/>
      <c r="AK198"/>
      <c r="AL198"/>
      <c r="AM198"/>
      <c r="AN198"/>
      <c r="AO198"/>
      <c r="AP198"/>
      <c r="AQ198"/>
      <c r="AR198"/>
      <c r="AS198"/>
      <c r="BD198" s="1"/>
      <c r="BE198" s="1"/>
    </row>
    <row r="199" spans="1:57" s="398" customFormat="1" hidden="1" outlineLevel="1" x14ac:dyDescent="0.35">
      <c r="A199" s="486"/>
      <c r="B199" s="486"/>
      <c r="C199" s="292"/>
      <c r="D199" s="3839"/>
      <c r="E199" s="3766"/>
      <c r="F199" s="1650" t="s">
        <v>582</v>
      </c>
      <c r="G199" s="287">
        <v>1</v>
      </c>
      <c r="H199" s="3834" t="s">
        <v>600</v>
      </c>
      <c r="I199" s="3834"/>
      <c r="J199" s="3818"/>
      <c r="K199" s="3819"/>
      <c r="L199" s="486"/>
      <c r="M199" s="486"/>
      <c r="N199" s="486"/>
      <c r="O199" s="486"/>
      <c r="P199" s="486"/>
      <c r="Q199" s="486"/>
      <c r="R199" s="486"/>
      <c r="S199" s="486"/>
      <c r="T199" s="486"/>
      <c r="U199" s="486"/>
      <c r="V199" s="3839"/>
      <c r="W199" s="448"/>
      <c r="X199" s="449"/>
      <c r="Y199" s="450"/>
      <c r="Z199" s="1744"/>
      <c r="AA199" s="1744"/>
      <c r="AB199" s="287">
        <v>1</v>
      </c>
      <c r="AC199" s="287">
        <v>1</v>
      </c>
      <c r="AD199" s="287">
        <v>1</v>
      </c>
      <c r="AE199" s="448"/>
      <c r="AF199" s="448"/>
      <c r="AG199" s="448"/>
      <c r="AI199"/>
      <c r="AJ199"/>
      <c r="AK199"/>
      <c r="AL199"/>
      <c r="AM199"/>
      <c r="AN199"/>
      <c r="AO199"/>
      <c r="AP199"/>
      <c r="AQ199"/>
      <c r="AR199"/>
      <c r="AS199"/>
      <c r="BD199" s="1"/>
      <c r="BE199" s="1"/>
    </row>
    <row r="200" spans="1:57" s="398" customFormat="1" hidden="1" outlineLevel="1" x14ac:dyDescent="0.35">
      <c r="A200" s="486"/>
      <c r="B200" s="486"/>
      <c r="C200" s="292"/>
      <c r="D200" s="3839"/>
      <c r="E200" s="3766"/>
      <c r="F200" s="2348" t="s">
        <v>4240</v>
      </c>
      <c r="G200" s="287">
        <v>0.89</v>
      </c>
      <c r="H200" s="3837" t="s">
        <v>641</v>
      </c>
      <c r="I200" s="3837"/>
      <c r="J200" s="3763" t="s">
        <v>659</v>
      </c>
      <c r="K200" s="3763"/>
      <c r="L200" s="486"/>
      <c r="M200" s="486"/>
      <c r="N200" s="486"/>
      <c r="O200" s="486"/>
      <c r="P200" s="486"/>
      <c r="Q200" s="486"/>
      <c r="R200" s="486"/>
      <c r="S200" s="486"/>
      <c r="T200" s="486"/>
      <c r="U200" s="486"/>
      <c r="V200" s="3839"/>
      <c r="W200" s="448"/>
      <c r="X200" s="449"/>
      <c r="Y200" s="450"/>
      <c r="Z200" s="1744"/>
      <c r="AA200" s="1744"/>
      <c r="AB200" s="619">
        <v>0.89</v>
      </c>
      <c r="AC200" s="287">
        <v>0.89</v>
      </c>
      <c r="AD200" s="287">
        <v>0.89</v>
      </c>
      <c r="AE200" s="448"/>
      <c r="AF200" s="448"/>
      <c r="AG200" s="448"/>
      <c r="AI200"/>
      <c r="AJ200"/>
      <c r="AK200"/>
      <c r="AL200"/>
      <c r="AM200"/>
      <c r="AN200"/>
      <c r="AO200"/>
      <c r="AP200"/>
      <c r="AQ200"/>
      <c r="AR200"/>
      <c r="AS200"/>
      <c r="BD200" s="1"/>
      <c r="BE200" s="1"/>
    </row>
    <row r="201" spans="1:57" s="398" customFormat="1" hidden="1" outlineLevel="1" x14ac:dyDescent="0.35">
      <c r="A201" s="486"/>
      <c r="B201" s="486"/>
      <c r="C201" s="292"/>
      <c r="D201" s="3817"/>
      <c r="E201" s="3767"/>
      <c r="F201" s="1650" t="s">
        <v>522</v>
      </c>
      <c r="G201" s="287">
        <v>0.24</v>
      </c>
      <c r="H201" s="3837" t="s">
        <v>523</v>
      </c>
      <c r="I201" s="3837"/>
      <c r="J201" s="3818"/>
      <c r="K201" s="3819"/>
      <c r="L201" s="486"/>
      <c r="M201" s="486"/>
      <c r="N201" s="486"/>
      <c r="O201" s="486"/>
      <c r="P201" s="486"/>
      <c r="Q201" s="486"/>
      <c r="R201" s="486"/>
      <c r="S201" s="486"/>
      <c r="T201" s="486"/>
      <c r="U201" s="486"/>
      <c r="V201" s="3817"/>
      <c r="W201" s="448"/>
      <c r="X201" s="449"/>
      <c r="Y201" s="450"/>
      <c r="Z201" s="1744"/>
      <c r="AA201" s="1744"/>
      <c r="AB201" s="619">
        <v>0.24</v>
      </c>
      <c r="AC201" s="287">
        <v>0.24</v>
      </c>
      <c r="AD201" s="287">
        <v>0.24</v>
      </c>
      <c r="AE201" s="448"/>
      <c r="AF201" s="448"/>
      <c r="AG201" s="448"/>
      <c r="AI201"/>
      <c r="AJ201"/>
      <c r="AK201"/>
      <c r="AL201"/>
      <c r="AM201"/>
      <c r="AN201"/>
      <c r="AO201"/>
      <c r="AP201"/>
      <c r="AQ201"/>
      <c r="AR201"/>
      <c r="AS201"/>
      <c r="BD201" s="1"/>
      <c r="BE201" s="1"/>
    </row>
    <row r="202" spans="1:57" hidden="1" outlineLevel="1" x14ac:dyDescent="0.35">
      <c r="B202" s="1040"/>
      <c r="C202" s="217"/>
      <c r="D202" s="277" t="s">
        <v>526</v>
      </c>
      <c r="E202" s="237" t="s">
        <v>166</v>
      </c>
      <c r="F202" s="1650" t="s">
        <v>134</v>
      </c>
      <c r="G202" s="820">
        <v>10</v>
      </c>
      <c r="H202" s="3836"/>
      <c r="I202" s="3836"/>
      <c r="J202" s="3818"/>
      <c r="K202" s="3819"/>
      <c r="L202" s="199"/>
      <c r="M202" s="226"/>
      <c r="N202" s="199"/>
      <c r="O202" s="199"/>
      <c r="P202" s="199"/>
      <c r="Q202" s="199"/>
      <c r="V202" s="2426" t="s">
        <v>526</v>
      </c>
      <c r="W202" s="386">
        <v>10</v>
      </c>
      <c r="X202" s="386">
        <v>10</v>
      </c>
      <c r="Y202" s="386">
        <v>10</v>
      </c>
      <c r="Z202" s="386">
        <v>10</v>
      </c>
      <c r="AA202" s="386">
        <v>10</v>
      </c>
      <c r="AB202" s="820">
        <v>10</v>
      </c>
      <c r="AC202" s="820">
        <v>10</v>
      </c>
      <c r="AD202" s="820">
        <v>10</v>
      </c>
      <c r="AE202" s="386"/>
      <c r="AF202" s="386"/>
      <c r="AG202" s="386"/>
    </row>
    <row r="203" spans="1:57" hidden="1" outlineLevel="1" x14ac:dyDescent="0.35">
      <c r="B203" s="1040"/>
      <c r="C203" s="217"/>
      <c r="D203" s="1022" t="s">
        <v>169</v>
      </c>
      <c r="E203" s="237" t="s">
        <v>170</v>
      </c>
      <c r="F203" s="1650" t="s">
        <v>134</v>
      </c>
      <c r="G203" s="1845">
        <v>3</v>
      </c>
      <c r="H203" s="3835"/>
      <c r="I203" s="3835"/>
      <c r="J203" s="3818"/>
      <c r="K203" s="3819"/>
      <c r="L203" s="199"/>
      <c r="M203" s="226"/>
      <c r="N203" s="199"/>
      <c r="O203" s="199"/>
      <c r="P203" s="199"/>
      <c r="Q203" s="199"/>
      <c r="V203" s="2427" t="s">
        <v>169</v>
      </c>
      <c r="W203" s="387">
        <v>3</v>
      </c>
      <c r="X203" s="387">
        <v>3</v>
      </c>
      <c r="Y203" s="387">
        <v>3</v>
      </c>
      <c r="Z203" s="387">
        <v>3</v>
      </c>
      <c r="AA203" s="387">
        <v>3</v>
      </c>
      <c r="AB203" s="1845">
        <v>3</v>
      </c>
      <c r="AC203" s="1845">
        <v>3</v>
      </c>
      <c r="AD203" s="1845">
        <v>3</v>
      </c>
      <c r="AE203" s="387"/>
      <c r="AF203" s="387"/>
      <c r="AG203" s="387"/>
    </row>
    <row r="204" spans="1:57" collapsed="1" x14ac:dyDescent="0.35"/>
    <row r="206" spans="1:57" s="106" customFormat="1" x14ac:dyDescent="0.35">
      <c r="B206" s="3664" t="s">
        <v>660</v>
      </c>
      <c r="C206" s="3665"/>
      <c r="D206" s="3665"/>
      <c r="E206" s="3665"/>
      <c r="F206" s="3665"/>
      <c r="G206" s="3665"/>
      <c r="H206" s="3665"/>
      <c r="I206" s="3666"/>
      <c r="J206" s="3666"/>
      <c r="K206" s="3666"/>
      <c r="L206" s="3666"/>
      <c r="M206" s="3666"/>
      <c r="N206" s="3667"/>
      <c r="V206" s="3664" t="str">
        <f>B206</f>
        <v xml:space="preserve">Low Flow Showerheads </v>
      </c>
      <c r="W206" s="3665"/>
      <c r="X206" s="3665"/>
      <c r="Y206" s="3665"/>
      <c r="Z206" s="3665"/>
      <c r="AA206" s="3665"/>
      <c r="AB206" s="3665"/>
      <c r="AC206" s="3680"/>
      <c r="AD206" s="3680"/>
      <c r="AE206" s="3680"/>
      <c r="AF206" s="3680"/>
      <c r="AG206" s="3680"/>
      <c r="AH206" s="3681"/>
      <c r="BD206" s="416"/>
      <c r="BE206" s="416"/>
    </row>
    <row r="207" spans="1:57" ht="15.75" customHeight="1" x14ac:dyDescent="0.35">
      <c r="P207" s="452"/>
      <c r="Q207" s="452"/>
      <c r="R207" s="452"/>
    </row>
    <row r="208" spans="1:57" ht="48.75" customHeight="1" x14ac:dyDescent="0.35">
      <c r="C208" s="2331" t="s">
        <v>27</v>
      </c>
      <c r="D208" s="2331" t="s">
        <v>174</v>
      </c>
      <c r="E208" s="2331" t="s">
        <v>29</v>
      </c>
      <c r="F208" s="2331" t="s">
        <v>30</v>
      </c>
      <c r="G208" s="2331" t="s">
        <v>175</v>
      </c>
      <c r="H208" s="2331" t="s">
        <v>176</v>
      </c>
      <c r="I208" s="2331" t="s">
        <v>588</v>
      </c>
      <c r="J208" s="2331" t="s">
        <v>31</v>
      </c>
      <c r="K208" s="2331" t="s">
        <v>180</v>
      </c>
      <c r="L208" s="2331" t="s">
        <v>169</v>
      </c>
      <c r="M208" s="2331" t="s">
        <v>43</v>
      </c>
      <c r="P208" s="452"/>
      <c r="Q208" s="452"/>
      <c r="R208" s="452"/>
      <c r="V208" s="480" t="s">
        <v>44</v>
      </c>
      <c r="W208" s="316">
        <f>$W$6</f>
        <v>43252</v>
      </c>
      <c r="X208" s="316">
        <f>$X$6</f>
        <v>43465</v>
      </c>
      <c r="Y208" s="316">
        <f>$Y$6</f>
        <v>43800</v>
      </c>
      <c r="Z208" s="316">
        <f>$Z$6</f>
        <v>43862</v>
      </c>
      <c r="AA208" s="316">
        <f>$AA$6</f>
        <v>44013</v>
      </c>
      <c r="AB208" s="316">
        <f>$AB$6</f>
        <v>44166</v>
      </c>
      <c r="AC208" s="1573">
        <f>$AC$6</f>
        <v>44531</v>
      </c>
      <c r="AD208" s="1573">
        <f>$AD$6</f>
        <v>44774</v>
      </c>
      <c r="AE208" s="1573" t="str">
        <f>$AE$6</f>
        <v>-</v>
      </c>
      <c r="AF208" s="1573" t="str">
        <f>$AF$6</f>
        <v>-</v>
      </c>
      <c r="AG208" s="1573" t="str">
        <f>$AG$6</f>
        <v>-</v>
      </c>
      <c r="BB208" s="1584" t="str">
        <f>$BB$6</f>
        <v>TRC (2022)</v>
      </c>
      <c r="BC208" s="1584" t="str">
        <f>$BC$6</f>
        <v>Benefit Lookup</v>
      </c>
      <c r="BD208" s="200" t="str">
        <f>$BD$6</f>
        <v>Benefits (2019 $)</v>
      </c>
      <c r="BE208" s="200" t="str">
        <f>$BE$6</f>
        <v>Incremental Cost (2019 $)</v>
      </c>
    </row>
    <row r="209" spans="1:57" x14ac:dyDescent="0.35">
      <c r="C209" s="2398" t="s">
        <v>661</v>
      </c>
      <c r="D209" s="88" t="s">
        <v>496</v>
      </c>
      <c r="E209" s="2353" t="s">
        <v>662</v>
      </c>
      <c r="F209" s="461">
        <f>ROUND($G$222*($G$225*$G$227-$G$229*$G$230)*$G$232*$G$236*$G$238/$G$239*$I$209*$G$250*$G$248,2)</f>
        <v>71.66</v>
      </c>
      <c r="G209" s="88" t="s">
        <v>183</v>
      </c>
      <c r="H209" s="393">
        <f>VLOOKUP(G209,'CP FACTORS'!$A$3:$B$38, 2, FALSE)</f>
        <v>8.8731800000000003E-5</v>
      </c>
      <c r="I209" s="458">
        <f>$G$242*$G$243*($G$244-$G$245)/($G$246*$G$247)</f>
        <v>0.10886576787807739</v>
      </c>
      <c r="J209" s="90">
        <f>ROUND(F209*H209,6)</f>
        <v>6.3590000000000001E-3</v>
      </c>
      <c r="K209" s="124">
        <f>$G$254</f>
        <v>10</v>
      </c>
      <c r="L209" s="462">
        <f>$G$255</f>
        <v>7</v>
      </c>
      <c r="M209" s="395" t="s">
        <v>184</v>
      </c>
      <c r="P209" s="452"/>
      <c r="Q209" s="463"/>
      <c r="R209" s="1214"/>
      <c r="V209" s="1592" t="str">
        <f>F208</f>
        <v>kWh Annual Savings</v>
      </c>
      <c r="W209" s="1518">
        <v>73.604221215365854</v>
      </c>
      <c r="X209" s="464">
        <v>59.397111130550108</v>
      </c>
      <c r="Y209" s="478">
        <v>85.23</v>
      </c>
      <c r="Z209" s="52">
        <v>85.23</v>
      </c>
      <c r="AA209" s="52">
        <v>85.23</v>
      </c>
      <c r="AB209" s="1599">
        <v>71.66</v>
      </c>
      <c r="AC209" s="50">
        <v>71.66</v>
      </c>
      <c r="AD209" s="50">
        <v>71.66</v>
      </c>
      <c r="AE209" s="141"/>
      <c r="AF209" s="141"/>
      <c r="AG209" s="141"/>
      <c r="AH209" s="144"/>
      <c r="BB209" s="1974">
        <f>(BD209)/(BE209)</f>
        <v>3.6590630400059587</v>
      </c>
      <c r="BC209" s="2381" t="str">
        <f>CONCATENATE(G209," ",K209," Year EUL")</f>
        <v>Water Heating RES 10 Year EUL</v>
      </c>
      <c r="BD209" s="1972">
        <f>(INDEX('Avoided Cost Benefits'!$E$4:$E$859,MATCH(BC209,'Avoided Cost Benefits'!$A$4:$A$859,0)))*F209</f>
        <v>24.175027163795857</v>
      </c>
      <c r="BE209" s="1973">
        <f>L209/(1.0595^(2020-2019))</f>
        <v>6.6068900424728643</v>
      </c>
    </row>
    <row r="210" spans="1:57" x14ac:dyDescent="0.35">
      <c r="C210" s="2398" t="s">
        <v>663</v>
      </c>
      <c r="D210" s="395" t="s">
        <v>500</v>
      </c>
      <c r="E210" s="2353" t="s">
        <v>664</v>
      </c>
      <c r="F210" s="461">
        <f>ROUND($G$222*($G$225*$G$227-$G$229*$G$230)*$G$235*$G$236*$G$238/$G$239*$I$209*$G$253*$G$249,2)</f>
        <v>27.35</v>
      </c>
      <c r="G210" s="88" t="s">
        <v>183</v>
      </c>
      <c r="H210" s="393">
        <f>VLOOKUP(G210,'CP FACTORS'!$A$3:$B$38, 2, FALSE)</f>
        <v>8.8731800000000003E-5</v>
      </c>
      <c r="I210" s="458">
        <f>$G$242*$G$243*($G$244-$G$245)/($G$246*$G$247)</f>
        <v>0.10886576787807739</v>
      </c>
      <c r="J210" s="90">
        <f>ROUND(F210*H210,6)</f>
        <v>2.4269999999999999E-3</v>
      </c>
      <c r="K210" s="124">
        <f>$G$254</f>
        <v>10</v>
      </c>
      <c r="L210" s="462">
        <f>$G$255</f>
        <v>7</v>
      </c>
      <c r="M210" s="395" t="s">
        <v>184</v>
      </c>
      <c r="P210" s="452"/>
      <c r="Q210" s="463"/>
      <c r="R210" s="1214"/>
      <c r="V210" s="1592" t="str">
        <f>V211</f>
        <v>kWh Annual Savings</v>
      </c>
      <c r="W210" s="1583"/>
      <c r="X210" s="100"/>
      <c r="Y210" s="478"/>
      <c r="Z210" s="1599"/>
      <c r="AA210" s="1599"/>
      <c r="AB210" s="1599">
        <v>27.35</v>
      </c>
      <c r="AC210" s="50">
        <v>27.35</v>
      </c>
      <c r="AD210" s="50">
        <v>27.35</v>
      </c>
      <c r="AE210" s="1589"/>
      <c r="AF210" s="1589"/>
      <c r="AG210" s="1589"/>
      <c r="AH210" s="144"/>
      <c r="BB210" s="1974">
        <f>(BD210)/(BE210)</f>
        <v>1.3965304792654618</v>
      </c>
      <c r="BC210" s="2381" t="str">
        <f>CONCATENATE(G210," ",K210," Year EUL")</f>
        <v>Water Heating RES 10 Year EUL</v>
      </c>
      <c r="BD210" s="1972">
        <f>(INDEX('Avoided Cost Benefits'!$E$4:$E$859,MATCH(BC210,'Avoided Cost Benefits'!$A$4:$A$859,0)))*F210</f>
        <v>9.2267233174688368</v>
      </c>
      <c r="BE210" s="1973">
        <f>L210/(1.0595^(2020-2019))</f>
        <v>6.6068900424728643</v>
      </c>
    </row>
    <row r="211" spans="1:57" x14ac:dyDescent="0.35">
      <c r="C211" s="2398" t="s">
        <v>665</v>
      </c>
      <c r="D211" s="88" t="s">
        <v>320</v>
      </c>
      <c r="E211" s="2353" t="s">
        <v>662</v>
      </c>
      <c r="F211" s="461">
        <f>ROUND($G$223*($G$225*$G$227-$G$229*$G$230)*$G$233*$G$236*$G$238/$G$240*$I$209*$G$251*$G$249,2)</f>
        <v>291.45</v>
      </c>
      <c r="G211" s="88" t="s">
        <v>183</v>
      </c>
      <c r="H211" s="393">
        <f>VLOOKUP(G211,'CP FACTORS'!$A$3:$B$38, 2, FALSE)</f>
        <v>8.8731800000000003E-5</v>
      </c>
      <c r="I211" s="458">
        <f>$G$242*$G$243*($G$244-$G$245)/($G$246*$G$247)</f>
        <v>0.10886576787807739</v>
      </c>
      <c r="J211" s="90">
        <f t="shared" ref="J211:J212" si="32">ROUND(F211*H211,6)</f>
        <v>2.5860999999999999E-2</v>
      </c>
      <c r="K211" s="124">
        <f>$G$254</f>
        <v>10</v>
      </c>
      <c r="L211" s="462">
        <f>$G$255</f>
        <v>7</v>
      </c>
      <c r="M211" s="395" t="s">
        <v>184</v>
      </c>
      <c r="P211" s="452"/>
      <c r="Q211" s="463"/>
      <c r="R211" s="1214"/>
      <c r="V211" s="1592" t="str">
        <f>V209</f>
        <v>kWh Annual Savings</v>
      </c>
      <c r="W211" s="1583"/>
      <c r="X211" s="100">
        <v>259.13086719005258</v>
      </c>
      <c r="Y211" s="478">
        <v>209.97</v>
      </c>
      <c r="Z211" s="52">
        <v>209.97</v>
      </c>
      <c r="AA211" s="52">
        <v>209.97</v>
      </c>
      <c r="AB211" s="1599">
        <v>291.45</v>
      </c>
      <c r="AC211" s="50">
        <v>291.45</v>
      </c>
      <c r="AD211" s="50">
        <v>291.45</v>
      </c>
      <c r="AE211" s="1589"/>
      <c r="AF211" s="1589"/>
      <c r="AG211" s="1589"/>
      <c r="AH211" s="144"/>
      <c r="BB211" s="1974">
        <f>(BD211)/(BE211)</f>
        <v>14.881857703178019</v>
      </c>
      <c r="BC211" s="2381" t="str">
        <f>CONCATENATE(G211," ",K211," Year EUL")</f>
        <v>Water Heating RES 10 Year EUL</v>
      </c>
      <c r="BD211" s="1972">
        <f>(INDEX('Avoided Cost Benefits'!$E$4:$E$859,MATCH(BC211,'Avoided Cost Benefits'!$A$4:$A$859,0)))*F211</f>
        <v>98.322797472624941</v>
      </c>
      <c r="BE211" s="1973">
        <f>L211/(1.0595^(2020-2019))</f>
        <v>6.6068900424728643</v>
      </c>
    </row>
    <row r="212" spans="1:57" x14ac:dyDescent="0.35">
      <c r="C212" s="2398" t="s">
        <v>666</v>
      </c>
      <c r="D212" s="395" t="s">
        <v>547</v>
      </c>
      <c r="E212" s="2353" t="s">
        <v>4242</v>
      </c>
      <c r="F212" s="461">
        <f>ROUND($G$222*($G$226*$G$228-$G$229*$G$231)*$G$234*$G$237*$G$238/$G$241*$I$209*$G$252*$G$249,2)</f>
        <v>79.489999999999995</v>
      </c>
      <c r="G212" s="88" t="s">
        <v>183</v>
      </c>
      <c r="H212" s="393">
        <f>VLOOKUP(G212,'CP FACTORS'!$A$3:$B$38, 2, FALSE)</f>
        <v>8.8731800000000003E-5</v>
      </c>
      <c r="I212" s="458">
        <f>$G$242*$G$243*($G$244-$G$245)/($G$246*$G$247)</f>
        <v>0.10886576787807739</v>
      </c>
      <c r="J212" s="90">
        <f t="shared" si="32"/>
        <v>7.0530000000000002E-3</v>
      </c>
      <c r="K212" s="124">
        <f>$G$254</f>
        <v>10</v>
      </c>
      <c r="L212" s="462">
        <f>$G$255</f>
        <v>7</v>
      </c>
      <c r="M212" s="395" t="s">
        <v>184</v>
      </c>
      <c r="P212" s="452"/>
      <c r="Q212" s="463"/>
      <c r="R212" s="1214"/>
      <c r="V212" s="1592" t="str">
        <f>V210</f>
        <v>kWh Annual Savings</v>
      </c>
      <c r="W212" s="1583"/>
      <c r="X212" s="100"/>
      <c r="Y212" s="478"/>
      <c r="Z212" s="1599"/>
      <c r="AA212" s="1599"/>
      <c r="AB212" s="1599">
        <v>81.8</v>
      </c>
      <c r="AC212" s="1599">
        <v>79.489999999999995</v>
      </c>
      <c r="AD212" s="50">
        <v>79.489999999999995</v>
      </c>
      <c r="AE212" s="1589"/>
      <c r="AF212" s="1589"/>
      <c r="AG212" s="1589"/>
      <c r="AH212" s="144"/>
      <c r="BB212" s="1974">
        <f>(BD212)/(BE212)</f>
        <v>4.0588741424793984</v>
      </c>
      <c r="BC212" s="2381" t="str">
        <f>CONCATENATE(G212," ",K212," Year EUL")</f>
        <v>Water Heating RES 10 Year EUL</v>
      </c>
      <c r="BD212" s="1972">
        <f>(INDEX('Avoided Cost Benefits'!$E$4:$E$859,MATCH(BC212,'Avoided Cost Benefits'!$A$4:$A$859,0)))*F212</f>
        <v>26.816535155597723</v>
      </c>
      <c r="BE212" s="1973">
        <f>L212/(1.0595^(2020-2019))</f>
        <v>6.6068900424728643</v>
      </c>
    </row>
    <row r="213" spans="1:57" hidden="1" outlineLevel="1" x14ac:dyDescent="0.35">
      <c r="E213" s="1242"/>
      <c r="F213" s="1242"/>
      <c r="P213" s="452"/>
      <c r="Q213" s="452"/>
      <c r="R213" s="1214"/>
    </row>
    <row r="214" spans="1:57" hidden="1" outlineLevel="1" x14ac:dyDescent="0.35">
      <c r="D214" s="152" t="s">
        <v>107</v>
      </c>
      <c r="P214" s="452"/>
      <c r="Q214" s="452"/>
      <c r="R214" s="452"/>
    </row>
    <row r="215" spans="1:57" hidden="1" outlineLevel="1" x14ac:dyDescent="0.35"/>
    <row r="216" spans="1:57" hidden="1" outlineLevel="1" x14ac:dyDescent="0.35"/>
    <row r="217" spans="1:57" ht="24" hidden="1" customHeight="1" outlineLevel="1" x14ac:dyDescent="0.35"/>
    <row r="218" spans="1:57" hidden="1" outlineLevel="1" x14ac:dyDescent="0.35"/>
    <row r="219" spans="1:57" hidden="1" outlineLevel="1" x14ac:dyDescent="0.35"/>
    <row r="220" spans="1:57" hidden="1" outlineLevel="1" x14ac:dyDescent="0.35">
      <c r="M220" s="452"/>
      <c r="N220" s="452"/>
      <c r="V220" s="480" t="s">
        <v>44</v>
      </c>
      <c r="W220" s="316">
        <f>$W$6</f>
        <v>43252</v>
      </c>
      <c r="X220" s="316">
        <f>$X$6</f>
        <v>43465</v>
      </c>
      <c r="Y220" s="316">
        <f>$Y$6</f>
        <v>43800</v>
      </c>
      <c r="Z220" s="316">
        <f>$Z$6</f>
        <v>43862</v>
      </c>
      <c r="AA220" s="316">
        <f>$AA$6</f>
        <v>44013</v>
      </c>
      <c r="AB220" s="316">
        <f>$AB$6</f>
        <v>44166</v>
      </c>
      <c r="AC220" s="1573">
        <f>$AC$6</f>
        <v>44531</v>
      </c>
      <c r="AD220" s="1573">
        <f>$AD$6</f>
        <v>44774</v>
      </c>
      <c r="AE220" s="1573" t="str">
        <f>$AE$6</f>
        <v>-</v>
      </c>
      <c r="AF220" s="1573" t="str">
        <f>$AF$6</f>
        <v>-</v>
      </c>
      <c r="AG220" s="1573" t="str">
        <f>$AG$6</f>
        <v>-</v>
      </c>
    </row>
    <row r="221" spans="1:57" hidden="1" outlineLevel="1" x14ac:dyDescent="0.35">
      <c r="D221" s="2423" t="s">
        <v>108</v>
      </c>
      <c r="E221" s="2404" t="s">
        <v>109</v>
      </c>
      <c r="F221" s="2331" t="s">
        <v>595</v>
      </c>
      <c r="G221" s="2331" t="s">
        <v>111</v>
      </c>
      <c r="H221" s="3825" t="s">
        <v>186</v>
      </c>
      <c r="I221" s="3826"/>
      <c r="J221" s="2331" t="s">
        <v>112</v>
      </c>
      <c r="M221" s="424"/>
      <c r="N221" s="2380"/>
      <c r="V221" s="2037"/>
      <c r="W221" s="1759"/>
      <c r="X221" s="1759"/>
      <c r="Y221" s="1759"/>
      <c r="Z221" s="1759"/>
      <c r="AA221" s="1759"/>
      <c r="AB221" s="1759"/>
      <c r="AC221" s="1759"/>
      <c r="AD221" s="1759"/>
      <c r="AE221" s="1759"/>
      <c r="AF221" s="1759"/>
      <c r="AG221" s="1759"/>
    </row>
    <row r="222" spans="1:57" s="398" customFormat="1" hidden="1" outlineLevel="1" x14ac:dyDescent="0.35">
      <c r="A222" s="486"/>
      <c r="B222" s="486"/>
      <c r="C222" s="1482"/>
      <c r="D222" s="3816" t="s">
        <v>596</v>
      </c>
      <c r="E222" s="3838" t="s">
        <v>597</v>
      </c>
      <c r="F222" s="2356" t="s">
        <v>598</v>
      </c>
      <c r="G222" s="188">
        <v>0.42</v>
      </c>
      <c r="H222" s="3804" t="s">
        <v>667</v>
      </c>
      <c r="I222" s="3804"/>
      <c r="J222" s="2340"/>
      <c r="K222" s="486"/>
      <c r="L222" s="106"/>
      <c r="M222" s="466"/>
      <c r="N222" s="466"/>
      <c r="O222" s="486"/>
      <c r="P222" s="486"/>
      <c r="Q222" s="486"/>
      <c r="R222" s="486"/>
      <c r="S222" s="486"/>
      <c r="T222" s="486"/>
      <c r="U222" s="486"/>
      <c r="V222" s="3816" t="s">
        <v>596</v>
      </c>
      <c r="W222" s="448">
        <v>0.4</v>
      </c>
      <c r="X222" s="454">
        <v>0.34429999999999999</v>
      </c>
      <c r="Y222" s="454">
        <v>0.46360000000000001</v>
      </c>
      <c r="Z222" s="453">
        <v>0.46360000000000001</v>
      </c>
      <c r="AA222" s="453">
        <v>0.46360000000000001</v>
      </c>
      <c r="AB222" s="1773">
        <v>0.42</v>
      </c>
      <c r="AC222" s="188">
        <v>0.42</v>
      </c>
      <c r="AD222" s="188">
        <v>0.42</v>
      </c>
      <c r="AE222" s="425"/>
      <c r="AF222" s="425"/>
      <c r="AG222" s="425"/>
      <c r="AI222"/>
      <c r="AJ222"/>
      <c r="AK222"/>
      <c r="AL222"/>
      <c r="AM222"/>
      <c r="AN222"/>
      <c r="AO222"/>
      <c r="AP222"/>
      <c r="AQ222"/>
      <c r="AR222"/>
      <c r="AS222"/>
      <c r="BD222" s="1"/>
      <c r="BE222" s="1"/>
    </row>
    <row r="223" spans="1:57" s="398" customFormat="1" hidden="1" outlineLevel="1" x14ac:dyDescent="0.35">
      <c r="A223" s="486"/>
      <c r="B223" s="486"/>
      <c r="C223" s="1482"/>
      <c r="D223" s="3839"/>
      <c r="E223" s="3766"/>
      <c r="F223" s="1650" t="s">
        <v>582</v>
      </c>
      <c r="G223" s="188">
        <v>1</v>
      </c>
      <c r="H223" s="3804" t="s">
        <v>668</v>
      </c>
      <c r="I223" s="3804"/>
      <c r="J223" s="2340"/>
      <c r="K223" s="486"/>
      <c r="L223" s="106"/>
      <c r="M223" s="466"/>
      <c r="N223" s="466"/>
      <c r="O223" s="486"/>
      <c r="P223" s="486"/>
      <c r="Q223" s="486"/>
      <c r="R223" s="486"/>
      <c r="S223" s="486"/>
      <c r="T223" s="486"/>
      <c r="U223" s="486"/>
      <c r="V223" s="3839"/>
      <c r="W223" s="448"/>
      <c r="X223" s="454"/>
      <c r="Y223" s="454"/>
      <c r="Z223" s="453"/>
      <c r="AA223" s="453"/>
      <c r="AB223" s="1774">
        <v>1</v>
      </c>
      <c r="AC223" s="188">
        <v>1</v>
      </c>
      <c r="AD223" s="188">
        <v>1</v>
      </c>
      <c r="AE223" s="425"/>
      <c r="AF223" s="425"/>
      <c r="AG223" s="425"/>
      <c r="AI223"/>
      <c r="AJ223"/>
      <c r="AK223"/>
      <c r="AL223"/>
      <c r="AM223"/>
      <c r="AN223"/>
      <c r="AO223"/>
      <c r="AP223"/>
      <c r="AQ223"/>
      <c r="AR223"/>
      <c r="AS223"/>
      <c r="BD223" s="1"/>
      <c r="BE223" s="1"/>
    </row>
    <row r="224" spans="1:57" s="398" customFormat="1" hidden="1" outlineLevel="1" x14ac:dyDescent="0.35">
      <c r="A224" s="486"/>
      <c r="B224" s="486"/>
      <c r="C224" s="1482"/>
      <c r="D224" s="3817"/>
      <c r="E224" s="3767"/>
      <c r="F224" s="2348" t="s">
        <v>4240</v>
      </c>
      <c r="G224" s="2013">
        <v>0.42</v>
      </c>
      <c r="H224" s="3877" t="s">
        <v>667</v>
      </c>
      <c r="I224" s="3877"/>
      <c r="J224" s="2340"/>
      <c r="K224" s="486"/>
      <c r="L224" s="106"/>
      <c r="M224" s="466"/>
      <c r="N224" s="466"/>
      <c r="O224" s="486"/>
      <c r="P224" s="486"/>
      <c r="Q224" s="486"/>
      <c r="R224" s="486"/>
      <c r="S224" s="486"/>
      <c r="T224" s="486"/>
      <c r="U224" s="486"/>
      <c r="V224" s="3817"/>
      <c r="W224" s="448"/>
      <c r="X224" s="454"/>
      <c r="Y224" s="454"/>
      <c r="Z224" s="453"/>
      <c r="AA224" s="453"/>
      <c r="AB224" s="1775">
        <v>0.42</v>
      </c>
      <c r="AC224" s="2013">
        <v>0.42</v>
      </c>
      <c r="AD224" s="2013">
        <v>0.42</v>
      </c>
      <c r="AE224" s="425"/>
      <c r="AF224" s="425"/>
      <c r="AG224" s="425"/>
      <c r="AI224"/>
      <c r="AJ224"/>
      <c r="AK224"/>
      <c r="AL224"/>
      <c r="AM224"/>
      <c r="AN224"/>
      <c r="AO224"/>
      <c r="AP224"/>
      <c r="AQ224"/>
      <c r="AR224"/>
      <c r="AS224"/>
      <c r="BD224" s="1"/>
      <c r="BE224" s="1"/>
    </row>
    <row r="225" spans="1:57" s="398" customFormat="1" hidden="1" outlineLevel="1" x14ac:dyDescent="0.35">
      <c r="A225" s="486"/>
      <c r="B225" s="486"/>
      <c r="C225" s="1482"/>
      <c r="D225" s="3804" t="s">
        <v>601</v>
      </c>
      <c r="E225" s="3828" t="s">
        <v>669</v>
      </c>
      <c r="F225" s="2356" t="s">
        <v>670</v>
      </c>
      <c r="G225" s="2419">
        <v>2.35</v>
      </c>
      <c r="H225" s="3804" t="s">
        <v>671</v>
      </c>
      <c r="I225" s="3804"/>
      <c r="J225" s="2340"/>
      <c r="K225" s="486"/>
      <c r="L225" s="106"/>
      <c r="M225" s="424"/>
      <c r="N225" s="424"/>
      <c r="O225" s="486"/>
      <c r="P225" s="486"/>
      <c r="Q225" s="486"/>
      <c r="R225" s="486"/>
      <c r="S225" s="486"/>
      <c r="T225" s="486"/>
      <c r="U225" s="486"/>
      <c r="V225" s="3816" t="s">
        <v>601</v>
      </c>
      <c r="W225" s="419">
        <v>2.35</v>
      </c>
      <c r="X225" s="429">
        <v>2.35</v>
      </c>
      <c r="Y225" s="419">
        <v>2.35</v>
      </c>
      <c r="Z225" s="88">
        <v>2.35</v>
      </c>
      <c r="AA225" s="88">
        <v>2.35</v>
      </c>
      <c r="AB225" s="2419">
        <v>2.35</v>
      </c>
      <c r="AC225" s="2419">
        <v>2.35</v>
      </c>
      <c r="AD225" s="3089">
        <v>2.35</v>
      </c>
      <c r="AE225" s="2419"/>
      <c r="AF225" s="2419"/>
      <c r="AG225" s="2419"/>
      <c r="AI225"/>
      <c r="AJ225"/>
      <c r="AK225"/>
      <c r="AL225"/>
      <c r="AM225"/>
      <c r="AN225"/>
      <c r="AO225"/>
      <c r="AP225"/>
      <c r="AQ225"/>
      <c r="AR225"/>
      <c r="AS225"/>
      <c r="BD225" s="1"/>
      <c r="BE225" s="1"/>
    </row>
    <row r="226" spans="1:57" s="398" customFormat="1" hidden="1" outlineLevel="1" x14ac:dyDescent="0.35">
      <c r="A226" s="486"/>
      <c r="B226" s="486"/>
      <c r="C226" s="1482"/>
      <c r="D226" s="3804"/>
      <c r="E226" s="3828"/>
      <c r="F226" s="2348" t="s">
        <v>4240</v>
      </c>
      <c r="G226" s="2419">
        <v>2.2000000000000002</v>
      </c>
      <c r="H226" s="3804" t="s">
        <v>672</v>
      </c>
      <c r="I226" s="3804"/>
      <c r="J226" s="2340"/>
      <c r="K226" s="486"/>
      <c r="L226" s="106"/>
      <c r="M226" s="424"/>
      <c r="N226" s="424"/>
      <c r="O226" s="486"/>
      <c r="P226" s="486"/>
      <c r="Q226" s="486"/>
      <c r="R226" s="486"/>
      <c r="S226" s="486"/>
      <c r="T226" s="486"/>
      <c r="U226" s="486"/>
      <c r="V226" s="3817"/>
      <c r="W226" s="419"/>
      <c r="X226" s="429"/>
      <c r="Y226" s="419"/>
      <c r="Z226" s="88"/>
      <c r="AA226" s="88"/>
      <c r="AB226" s="83">
        <v>2.2000000000000002</v>
      </c>
      <c r="AC226" s="2419">
        <v>2.2000000000000002</v>
      </c>
      <c r="AD226" s="3089">
        <v>2.2000000000000002</v>
      </c>
      <c r="AE226" s="2419"/>
      <c r="AF226" s="2419"/>
      <c r="AG226" s="2419"/>
      <c r="AI226"/>
      <c r="AJ226"/>
      <c r="AK226"/>
      <c r="AL226"/>
      <c r="AM226"/>
      <c r="AN226"/>
      <c r="AO226"/>
      <c r="AP226"/>
      <c r="AQ226"/>
      <c r="AR226"/>
      <c r="AS226"/>
      <c r="BD226" s="1"/>
      <c r="BE226" s="1"/>
    </row>
    <row r="227" spans="1:57" s="398" customFormat="1" hidden="1" outlineLevel="1" x14ac:dyDescent="0.35">
      <c r="A227" s="486"/>
      <c r="B227" s="486"/>
      <c r="C227" s="1482"/>
      <c r="D227" s="3804" t="s">
        <v>604</v>
      </c>
      <c r="E227" s="3828" t="s">
        <v>673</v>
      </c>
      <c r="F227" s="2356" t="s">
        <v>670</v>
      </c>
      <c r="G227" s="468">
        <v>7.8</v>
      </c>
      <c r="H227" s="3804" t="s">
        <v>674</v>
      </c>
      <c r="I227" s="3804"/>
      <c r="J227" s="2340"/>
      <c r="K227" s="486"/>
      <c r="L227" s="106"/>
      <c r="M227" s="424"/>
      <c r="N227" s="424"/>
      <c r="O227" s="486"/>
      <c r="P227" s="486"/>
      <c r="Q227" s="486"/>
      <c r="R227" s="486"/>
      <c r="S227" s="486"/>
      <c r="T227" s="486"/>
      <c r="U227" s="486"/>
      <c r="V227" s="3816" t="s">
        <v>604</v>
      </c>
      <c r="W227" s="419">
        <v>7.8</v>
      </c>
      <c r="X227" s="419">
        <v>7.8</v>
      </c>
      <c r="Y227" s="419">
        <v>7.8</v>
      </c>
      <c r="Z227" s="88">
        <v>7.8</v>
      </c>
      <c r="AA227" s="88">
        <v>7.8</v>
      </c>
      <c r="AB227" s="468">
        <v>7.8</v>
      </c>
      <c r="AC227" s="468">
        <v>7.8</v>
      </c>
      <c r="AD227" s="468">
        <v>7.8</v>
      </c>
      <c r="AE227" s="2330"/>
      <c r="AF227" s="2330"/>
      <c r="AG227" s="2330"/>
      <c r="AI227"/>
      <c r="AJ227"/>
      <c r="AK227"/>
      <c r="AL227"/>
      <c r="AM227"/>
      <c r="AN227"/>
      <c r="AO227"/>
      <c r="AP227"/>
      <c r="AQ227"/>
      <c r="AR227"/>
      <c r="AS227"/>
      <c r="BD227" s="1"/>
      <c r="BE227" s="1"/>
    </row>
    <row r="228" spans="1:57" s="398" customFormat="1" hidden="1" outlineLevel="1" x14ac:dyDescent="0.35">
      <c r="A228" s="486"/>
      <c r="B228" s="486"/>
      <c r="C228" s="1482"/>
      <c r="D228" s="3804"/>
      <c r="E228" s="3828"/>
      <c r="F228" s="2348" t="s">
        <v>4240</v>
      </c>
      <c r="G228" s="468">
        <v>8.66</v>
      </c>
      <c r="H228" s="3804" t="s">
        <v>675</v>
      </c>
      <c r="I228" s="3804"/>
      <c r="J228" s="2340"/>
      <c r="K228" s="486"/>
      <c r="L228" s="106"/>
      <c r="M228" s="424"/>
      <c r="N228" s="424"/>
      <c r="O228" s="486"/>
      <c r="P228" s="486"/>
      <c r="Q228" s="486"/>
      <c r="R228" s="486"/>
      <c r="S228" s="486"/>
      <c r="T228" s="486"/>
      <c r="U228" s="486"/>
      <c r="V228" s="3817"/>
      <c r="W228" s="419"/>
      <c r="X228" s="419"/>
      <c r="Y228" s="419"/>
      <c r="Z228" s="88"/>
      <c r="AA228" s="88"/>
      <c r="AB228" s="1656">
        <v>8.66</v>
      </c>
      <c r="AC228" s="468">
        <v>8.66</v>
      </c>
      <c r="AD228" s="468">
        <v>8.66</v>
      </c>
      <c r="AE228" s="2330"/>
      <c r="AF228" s="2330"/>
      <c r="AG228" s="2330"/>
      <c r="AI228"/>
      <c r="AJ228"/>
      <c r="AK228"/>
      <c r="AL228"/>
      <c r="AM228"/>
      <c r="AN228"/>
      <c r="AO228"/>
      <c r="AP228"/>
      <c r="AQ228"/>
      <c r="AR228"/>
      <c r="AS228"/>
      <c r="BD228" s="1"/>
      <c r="BE228" s="1"/>
    </row>
    <row r="229" spans="1:57" s="398" customFormat="1" hidden="1" outlineLevel="1" x14ac:dyDescent="0.35">
      <c r="A229" s="486"/>
      <c r="B229" s="486"/>
      <c r="C229" s="1482"/>
      <c r="D229" s="2333" t="s">
        <v>609</v>
      </c>
      <c r="E229" s="2353" t="s">
        <v>676</v>
      </c>
      <c r="F229" s="2356" t="s">
        <v>134</v>
      </c>
      <c r="G229" s="468">
        <v>1.5</v>
      </c>
      <c r="H229" s="3804" t="s">
        <v>611</v>
      </c>
      <c r="I229" s="3804"/>
      <c r="J229" s="2340"/>
      <c r="K229" s="486"/>
      <c r="L229" s="106"/>
      <c r="M229" s="424"/>
      <c r="N229" s="424"/>
      <c r="O229" s="486"/>
      <c r="P229" s="486"/>
      <c r="Q229" s="486"/>
      <c r="R229" s="486"/>
      <c r="S229" s="486"/>
      <c r="T229" s="486"/>
      <c r="U229" s="486"/>
      <c r="V229" s="2333" t="s">
        <v>609</v>
      </c>
      <c r="W229" s="419">
        <v>1.5</v>
      </c>
      <c r="X229" s="419">
        <v>1.5</v>
      </c>
      <c r="Y229" s="419">
        <v>1.5</v>
      </c>
      <c r="Z229" s="88">
        <v>1.5</v>
      </c>
      <c r="AA229" s="88">
        <v>1.5</v>
      </c>
      <c r="AB229" s="468">
        <v>1.5</v>
      </c>
      <c r="AC229" s="468">
        <v>1.5</v>
      </c>
      <c r="AD229" s="468">
        <v>1.5</v>
      </c>
      <c r="AE229" s="2330"/>
      <c r="AF229" s="2330"/>
      <c r="AG229" s="2330"/>
      <c r="AI229"/>
      <c r="AJ229"/>
      <c r="AK229"/>
      <c r="AL229"/>
      <c r="AM229"/>
      <c r="AN229"/>
      <c r="AO229"/>
      <c r="AP229"/>
      <c r="AQ229"/>
      <c r="AR229"/>
      <c r="AS229"/>
      <c r="BD229" s="1"/>
      <c r="BE229" s="1"/>
    </row>
    <row r="230" spans="1:57" s="398" customFormat="1" hidden="1" outlineLevel="1" x14ac:dyDescent="0.35">
      <c r="A230" s="486"/>
      <c r="B230" s="486"/>
      <c r="C230" s="1482"/>
      <c r="D230" s="3804" t="s">
        <v>612</v>
      </c>
      <c r="E230" s="3828" t="s">
        <v>677</v>
      </c>
      <c r="F230" s="2356" t="s">
        <v>670</v>
      </c>
      <c r="G230" s="468">
        <v>7.8</v>
      </c>
      <c r="H230" s="3804" t="s">
        <v>606</v>
      </c>
      <c r="I230" s="3804"/>
      <c r="J230" s="2340"/>
      <c r="K230" s="486"/>
      <c r="L230" s="106"/>
      <c r="M230" s="424"/>
      <c r="N230" s="424"/>
      <c r="O230" s="486"/>
      <c r="P230" s="486"/>
      <c r="Q230" s="486"/>
      <c r="R230" s="486"/>
      <c r="S230" s="486"/>
      <c r="T230" s="486"/>
      <c r="U230" s="486"/>
      <c r="V230" s="3816" t="s">
        <v>612</v>
      </c>
      <c r="W230" s="419">
        <v>7.8</v>
      </c>
      <c r="X230" s="419">
        <v>7.8</v>
      </c>
      <c r="Y230" s="419">
        <v>7.8</v>
      </c>
      <c r="Z230" s="88">
        <v>7.8</v>
      </c>
      <c r="AA230" s="88">
        <v>7.8</v>
      </c>
      <c r="AB230" s="468">
        <v>7.8</v>
      </c>
      <c r="AC230" s="468">
        <v>7.8</v>
      </c>
      <c r="AD230" s="468">
        <v>7.8</v>
      </c>
      <c r="AE230" s="2330"/>
      <c r="AF230" s="2330"/>
      <c r="AG230" s="2330"/>
      <c r="AI230"/>
      <c r="AJ230"/>
      <c r="AK230"/>
      <c r="AL230"/>
      <c r="AM230"/>
      <c r="AN230"/>
      <c r="AO230"/>
      <c r="AP230"/>
      <c r="AQ230"/>
      <c r="AR230"/>
      <c r="AS230"/>
      <c r="BD230" s="1"/>
      <c r="BE230" s="1"/>
    </row>
    <row r="231" spans="1:57" s="398" customFormat="1" hidden="1" outlineLevel="1" x14ac:dyDescent="0.35">
      <c r="A231" s="486"/>
      <c r="B231" s="486"/>
      <c r="C231" s="1482"/>
      <c r="D231" s="3804"/>
      <c r="E231" s="3828"/>
      <c r="F231" s="2348" t="s">
        <v>4240</v>
      </c>
      <c r="G231" s="430">
        <v>8.66</v>
      </c>
      <c r="H231" s="3804" t="s">
        <v>675</v>
      </c>
      <c r="I231" s="3804"/>
      <c r="J231" s="2340"/>
      <c r="K231" s="486"/>
      <c r="L231" s="106"/>
      <c r="M231" s="424"/>
      <c r="N231" s="424"/>
      <c r="O231" s="486"/>
      <c r="P231" s="486"/>
      <c r="Q231" s="486"/>
      <c r="R231" s="486"/>
      <c r="S231" s="486"/>
      <c r="T231" s="486"/>
      <c r="U231" s="486"/>
      <c r="V231" s="3817"/>
      <c r="W231" s="419"/>
      <c r="X231" s="419"/>
      <c r="Y231" s="419"/>
      <c r="Z231" s="88"/>
      <c r="AA231" s="88"/>
      <c r="AB231" s="307">
        <v>8.66</v>
      </c>
      <c r="AC231" s="430">
        <v>8.66</v>
      </c>
      <c r="AD231" s="430">
        <v>8.66</v>
      </c>
      <c r="AE231" s="2330"/>
      <c r="AF231" s="2330"/>
      <c r="AG231" s="2330"/>
      <c r="AI231"/>
      <c r="AJ231"/>
      <c r="AK231"/>
      <c r="AL231"/>
      <c r="AM231"/>
      <c r="AN231"/>
      <c r="AO231"/>
      <c r="AP231"/>
      <c r="AQ231"/>
      <c r="AR231"/>
      <c r="AS231"/>
      <c r="BD231" s="1"/>
      <c r="BE231" s="1"/>
    </row>
    <row r="232" spans="1:57" s="398" customFormat="1" hidden="1" outlineLevel="1" x14ac:dyDescent="0.35">
      <c r="A232" s="486"/>
      <c r="B232" s="486"/>
      <c r="C232" s="1482"/>
      <c r="D232" s="3816" t="s">
        <v>199</v>
      </c>
      <c r="E232" s="3838" t="s">
        <v>678</v>
      </c>
      <c r="F232" s="2356" t="s">
        <v>598</v>
      </c>
      <c r="G232" s="2014">
        <v>4.28571428571429</v>
      </c>
      <c r="H232" s="3804" t="s">
        <v>667</v>
      </c>
      <c r="I232" s="3804"/>
      <c r="J232" s="2340"/>
      <c r="K232" s="486"/>
      <c r="L232" s="486"/>
      <c r="M232" s="469"/>
      <c r="N232" s="469"/>
      <c r="O232" s="486"/>
      <c r="P232" s="486"/>
      <c r="Q232" s="486"/>
      <c r="R232" s="486"/>
      <c r="S232" s="486"/>
      <c r="T232" s="486"/>
      <c r="U232" s="486"/>
      <c r="V232" s="3816" t="s">
        <v>199</v>
      </c>
      <c r="W232" s="418">
        <v>4.3185840707964598</v>
      </c>
      <c r="X232" s="397">
        <v>4.2926829268292686</v>
      </c>
      <c r="Y232" s="397">
        <v>4.2329545454545459</v>
      </c>
      <c r="Z232" s="392">
        <v>4.2329545454545459</v>
      </c>
      <c r="AA232" s="392">
        <v>4.2329545454545459</v>
      </c>
      <c r="AB232" s="1657">
        <v>4.28571428571429</v>
      </c>
      <c r="AC232" s="2014">
        <v>4.28571428571429</v>
      </c>
      <c r="AD232" s="2014">
        <v>4.28571428571429</v>
      </c>
      <c r="AE232" s="2330"/>
      <c r="AF232" s="2330"/>
      <c r="AG232" s="2330"/>
      <c r="AI232"/>
      <c r="AJ232"/>
      <c r="AK232"/>
      <c r="AL232"/>
      <c r="AM232"/>
      <c r="AN232"/>
      <c r="AO232"/>
      <c r="AP232"/>
      <c r="AQ232"/>
      <c r="AR232"/>
      <c r="AS232"/>
      <c r="BD232" s="1"/>
      <c r="BE232" s="1"/>
    </row>
    <row r="233" spans="1:57" s="398" customFormat="1" hidden="1" outlineLevel="1" x14ac:dyDescent="0.35">
      <c r="A233" s="486"/>
      <c r="B233" s="486"/>
      <c r="C233" s="1482"/>
      <c r="D233" s="3839"/>
      <c r="E233" s="3766"/>
      <c r="F233" s="1654" t="s">
        <v>582</v>
      </c>
      <c r="G233" s="432">
        <v>1.7767584097859328</v>
      </c>
      <c r="H233" s="3804" t="s">
        <v>668</v>
      </c>
      <c r="I233" s="3804"/>
      <c r="J233" s="2340"/>
      <c r="K233" s="486"/>
      <c r="L233" s="486"/>
      <c r="M233" s="469"/>
      <c r="N233" s="469"/>
      <c r="O233" s="486"/>
      <c r="P233" s="486"/>
      <c r="Q233" s="486"/>
      <c r="R233" s="486"/>
      <c r="S233" s="486"/>
      <c r="T233" s="486"/>
      <c r="U233" s="486"/>
      <c r="V233" s="3839"/>
      <c r="W233" s="418"/>
      <c r="X233" s="397"/>
      <c r="Y233" s="397"/>
      <c r="Z233" s="392"/>
      <c r="AA233" s="392"/>
      <c r="AB233" s="432">
        <v>1.7767584097859328</v>
      </c>
      <c r="AC233" s="432">
        <v>1.7767584097859328</v>
      </c>
      <c r="AD233" s="432">
        <v>1.7767584097859328</v>
      </c>
      <c r="AE233" s="2330"/>
      <c r="AF233" s="2330"/>
      <c r="AG233" s="2330"/>
      <c r="AI233"/>
      <c r="AJ233"/>
      <c r="AK233"/>
      <c r="AL233"/>
      <c r="AM233"/>
      <c r="AN233"/>
      <c r="AO233"/>
      <c r="AP233"/>
      <c r="AQ233"/>
      <c r="AR233"/>
      <c r="AS233"/>
      <c r="BD233" s="1"/>
      <c r="BE233" s="1"/>
    </row>
    <row r="234" spans="1:57" s="398" customFormat="1" ht="27.75" hidden="1" customHeight="1" outlineLevel="1" x14ac:dyDescent="0.35">
      <c r="A234" s="486"/>
      <c r="B234" s="486"/>
      <c r="C234" s="1482"/>
      <c r="D234" s="3839"/>
      <c r="E234" s="3766"/>
      <c r="F234" s="2348" t="s">
        <v>4240</v>
      </c>
      <c r="G234" s="88">
        <v>2.67</v>
      </c>
      <c r="H234" s="3884" t="s">
        <v>679</v>
      </c>
      <c r="I234" s="3884"/>
      <c r="J234" s="2340" t="s">
        <v>680</v>
      </c>
      <c r="K234" s="417"/>
      <c r="L234" s="486"/>
      <c r="M234" s="469"/>
      <c r="N234" s="469"/>
      <c r="O234" s="486"/>
      <c r="P234" s="486"/>
      <c r="Q234" s="486"/>
      <c r="R234" s="486"/>
      <c r="S234" s="486"/>
      <c r="T234" s="486"/>
      <c r="U234" s="486"/>
      <c r="V234" s="3839"/>
      <c r="W234" s="418"/>
      <c r="X234" s="397"/>
      <c r="Y234" s="397"/>
      <c r="Z234" s="392"/>
      <c r="AA234" s="392"/>
      <c r="AB234" s="293">
        <v>2.67</v>
      </c>
      <c r="AC234" s="88">
        <v>2.67</v>
      </c>
      <c r="AD234" s="3090">
        <v>2.67</v>
      </c>
      <c r="AE234" s="2330"/>
      <c r="AF234" s="2330"/>
      <c r="AG234" s="2330"/>
      <c r="AI234"/>
      <c r="AJ234"/>
      <c r="AK234"/>
      <c r="AL234"/>
      <c r="AM234"/>
      <c r="AN234"/>
      <c r="AO234"/>
      <c r="AP234"/>
      <c r="AQ234"/>
      <c r="AR234"/>
      <c r="AS234"/>
      <c r="BD234" s="1"/>
      <c r="BE234" s="1"/>
    </row>
    <row r="235" spans="1:57" s="398" customFormat="1" hidden="1" outlineLevel="1" x14ac:dyDescent="0.35">
      <c r="A235" s="486"/>
      <c r="B235" s="486"/>
      <c r="C235" s="1482"/>
      <c r="D235" s="3817"/>
      <c r="E235" s="3767"/>
      <c r="F235" s="1655" t="s">
        <v>522</v>
      </c>
      <c r="G235" s="88">
        <v>2.65</v>
      </c>
      <c r="H235" s="3884" t="s">
        <v>681</v>
      </c>
      <c r="I235" s="3884"/>
      <c r="J235" s="2340"/>
      <c r="K235" s="417"/>
      <c r="L235" s="486"/>
      <c r="M235" s="469"/>
      <c r="N235" s="469"/>
      <c r="O235" s="486"/>
      <c r="P235" s="486"/>
      <c r="Q235" s="486"/>
      <c r="R235" s="486"/>
      <c r="S235" s="486"/>
      <c r="T235" s="486"/>
      <c r="U235" s="486"/>
      <c r="V235" s="3817"/>
      <c r="W235" s="418"/>
      <c r="X235" s="397"/>
      <c r="Y235" s="397"/>
      <c r="Z235" s="392"/>
      <c r="AA235" s="392"/>
      <c r="AB235" s="293">
        <v>2.65</v>
      </c>
      <c r="AC235" s="88">
        <v>2.65</v>
      </c>
      <c r="AD235" s="3090">
        <v>2.65</v>
      </c>
      <c r="AE235" s="2330"/>
      <c r="AF235" s="2330"/>
      <c r="AG235" s="2330"/>
      <c r="AI235"/>
      <c r="AJ235"/>
      <c r="AK235"/>
      <c r="AL235"/>
      <c r="AM235"/>
      <c r="AN235"/>
      <c r="AO235"/>
      <c r="AP235"/>
      <c r="AQ235"/>
      <c r="AR235"/>
      <c r="AS235"/>
      <c r="BD235" s="1"/>
      <c r="BE235" s="1"/>
    </row>
    <row r="236" spans="1:57" s="398" customFormat="1" hidden="1" outlineLevel="1" x14ac:dyDescent="0.35">
      <c r="A236" s="486"/>
      <c r="B236" s="486"/>
      <c r="C236" s="1482"/>
      <c r="D236" s="3816" t="s">
        <v>682</v>
      </c>
      <c r="E236" s="3838" t="s">
        <v>683</v>
      </c>
      <c r="F236" s="2356" t="s">
        <v>670</v>
      </c>
      <c r="G236" s="88">
        <v>0.83199999999999996</v>
      </c>
      <c r="H236" s="3804" t="s">
        <v>667</v>
      </c>
      <c r="I236" s="3804"/>
      <c r="J236" s="2340"/>
      <c r="K236" s="486"/>
      <c r="L236" s="486"/>
      <c r="M236" s="424"/>
      <c r="N236" s="424"/>
      <c r="O236" s="486"/>
      <c r="P236" s="486"/>
      <c r="Q236" s="486"/>
      <c r="R236" s="486"/>
      <c r="S236" s="486"/>
      <c r="T236" s="486"/>
      <c r="U236" s="486"/>
      <c r="V236" s="3816" t="s">
        <v>682</v>
      </c>
      <c r="W236" s="419">
        <v>0.6</v>
      </c>
      <c r="X236" s="419">
        <v>0.6</v>
      </c>
      <c r="Y236" s="419">
        <v>0.6</v>
      </c>
      <c r="Z236" s="88">
        <v>0.6</v>
      </c>
      <c r="AA236" s="88">
        <v>0.6</v>
      </c>
      <c r="AB236" s="293">
        <v>0.83199999999999996</v>
      </c>
      <c r="AC236" s="88">
        <v>0.83199999999999996</v>
      </c>
      <c r="AD236" s="3090">
        <v>0.83199999999999996</v>
      </c>
      <c r="AE236" s="2330"/>
      <c r="AF236" s="2330"/>
      <c r="AG236" s="2330"/>
      <c r="AI236"/>
      <c r="AJ236"/>
      <c r="AK236"/>
      <c r="AL236"/>
      <c r="AM236"/>
      <c r="AN236"/>
      <c r="AO236"/>
      <c r="AP236"/>
      <c r="AQ236"/>
      <c r="AR236"/>
      <c r="AS236"/>
      <c r="BD236" s="1"/>
      <c r="BE236" s="1"/>
    </row>
    <row r="237" spans="1:57" s="398" customFormat="1" hidden="1" outlineLevel="1" x14ac:dyDescent="0.35">
      <c r="A237" s="486"/>
      <c r="B237" s="486"/>
      <c r="C237" s="1482"/>
      <c r="D237" s="3817"/>
      <c r="E237" s="3767"/>
      <c r="F237" s="2348" t="s">
        <v>4240</v>
      </c>
      <c r="G237" s="2419">
        <v>0.66</v>
      </c>
      <c r="H237" s="3804" t="s">
        <v>675</v>
      </c>
      <c r="I237" s="3804"/>
      <c r="J237" s="2340"/>
      <c r="K237" s="486"/>
      <c r="L237" s="486"/>
      <c r="M237" s="424"/>
      <c r="N237" s="424"/>
      <c r="O237" s="486"/>
      <c r="P237" s="486"/>
      <c r="Q237" s="486"/>
      <c r="R237" s="486"/>
      <c r="S237" s="486"/>
      <c r="T237" s="486"/>
      <c r="U237" s="486"/>
      <c r="V237" s="3817"/>
      <c r="W237" s="419"/>
      <c r="X237" s="419"/>
      <c r="Y237" s="419"/>
      <c r="Z237" s="88"/>
      <c r="AA237" s="88"/>
      <c r="AB237" s="83">
        <v>0.66</v>
      </c>
      <c r="AC237" s="2419">
        <v>0.66</v>
      </c>
      <c r="AD237" s="3089">
        <v>0.66</v>
      </c>
      <c r="AE237" s="2330"/>
      <c r="AF237" s="2330"/>
      <c r="AG237" s="2330"/>
      <c r="AI237"/>
      <c r="AJ237"/>
      <c r="AK237"/>
      <c r="AL237"/>
      <c r="AM237"/>
      <c r="AN237"/>
      <c r="AO237"/>
      <c r="AP237"/>
      <c r="AQ237"/>
      <c r="AR237"/>
      <c r="AS237"/>
      <c r="BD237" s="1"/>
      <c r="BE237" s="1"/>
    </row>
    <row r="238" spans="1:57" s="398" customFormat="1" hidden="1" outlineLevel="1" x14ac:dyDescent="0.35">
      <c r="A238" s="486"/>
      <c r="B238" s="486"/>
      <c r="C238" s="1482"/>
      <c r="D238" s="2333">
        <v>365.25</v>
      </c>
      <c r="E238" s="2353" t="s">
        <v>684</v>
      </c>
      <c r="F238" s="2356" t="s">
        <v>134</v>
      </c>
      <c r="G238" s="468">
        <v>365.25</v>
      </c>
      <c r="H238" s="3804" t="s">
        <v>570</v>
      </c>
      <c r="I238" s="3804"/>
      <c r="J238" s="2340"/>
      <c r="K238" s="486"/>
      <c r="L238" s="486"/>
      <c r="M238" s="424"/>
      <c r="N238" s="424"/>
      <c r="O238" s="486"/>
      <c r="P238" s="486"/>
      <c r="Q238" s="486"/>
      <c r="R238" s="486"/>
      <c r="S238" s="486"/>
      <c r="T238" s="486"/>
      <c r="U238" s="486"/>
      <c r="V238" s="2333">
        <v>365.25</v>
      </c>
      <c r="W238" s="419">
        <v>365</v>
      </c>
      <c r="X238" s="419">
        <v>365</v>
      </c>
      <c r="Y238" s="419">
        <v>365</v>
      </c>
      <c r="Z238" s="88">
        <v>365</v>
      </c>
      <c r="AA238" s="88">
        <v>365</v>
      </c>
      <c r="AB238" s="1656">
        <v>365.25</v>
      </c>
      <c r="AC238" s="468">
        <v>365.25</v>
      </c>
      <c r="AD238" s="468">
        <v>365.25</v>
      </c>
      <c r="AE238" s="2330"/>
      <c r="AF238" s="2330"/>
      <c r="AG238" s="2330"/>
      <c r="AI238"/>
      <c r="AJ238"/>
      <c r="AK238"/>
      <c r="AL238"/>
      <c r="AM238"/>
      <c r="AN238"/>
      <c r="AO238"/>
      <c r="AP238"/>
      <c r="AQ238"/>
      <c r="AR238"/>
      <c r="AS238"/>
      <c r="BD238" s="1"/>
      <c r="BE238" s="1"/>
    </row>
    <row r="239" spans="1:57" s="398" customFormat="1" hidden="1" outlineLevel="1" x14ac:dyDescent="0.35">
      <c r="A239" s="486"/>
      <c r="B239" s="486"/>
      <c r="C239" s="1482"/>
      <c r="D239" s="3816" t="s">
        <v>685</v>
      </c>
      <c r="E239" s="3838" t="s">
        <v>686</v>
      </c>
      <c r="F239" s="2356" t="s">
        <v>598</v>
      </c>
      <c r="G239" s="2014">
        <v>2.1419999999999999</v>
      </c>
      <c r="H239" s="3827" t="s">
        <v>667</v>
      </c>
      <c r="I239" s="3827"/>
      <c r="J239" s="2340"/>
      <c r="K239" s="486"/>
      <c r="L239" s="486"/>
      <c r="M239" s="469"/>
      <c r="N239" s="469"/>
      <c r="O239" s="486"/>
      <c r="P239" s="486"/>
      <c r="Q239" s="486"/>
      <c r="R239" s="486"/>
      <c r="S239" s="486"/>
      <c r="T239" s="486"/>
      <c r="U239" s="486"/>
      <c r="V239" s="3816" t="s">
        <v>685</v>
      </c>
      <c r="W239" s="418">
        <v>2.0647058823529409</v>
      </c>
      <c r="X239" s="397">
        <v>2.0048076923076925</v>
      </c>
      <c r="Y239" s="397">
        <v>1.9570000000000001</v>
      </c>
      <c r="Z239" s="392">
        <v>1.9570000000000001</v>
      </c>
      <c r="AA239" s="392">
        <v>1.9570000000000001</v>
      </c>
      <c r="AB239" s="1657">
        <v>2.1419999999999999</v>
      </c>
      <c r="AC239" s="2014">
        <v>2.1419999999999999</v>
      </c>
      <c r="AD239" s="2014">
        <v>2.1419999999999999</v>
      </c>
      <c r="AE239" s="2330"/>
      <c r="AF239" s="2330"/>
      <c r="AG239" s="2330"/>
      <c r="AI239"/>
      <c r="AJ239"/>
      <c r="AK239"/>
      <c r="AL239"/>
      <c r="AM239"/>
      <c r="AN239"/>
      <c r="AO239"/>
      <c r="AP239"/>
      <c r="AQ239"/>
      <c r="AR239"/>
      <c r="AS239"/>
      <c r="BD239" s="1"/>
      <c r="BE239" s="1"/>
    </row>
    <row r="240" spans="1:57" s="398" customFormat="1" hidden="1" outlineLevel="1" x14ac:dyDescent="0.35">
      <c r="A240" s="486"/>
      <c r="B240" s="486"/>
      <c r="C240" s="1482"/>
      <c r="D240" s="3839"/>
      <c r="E240" s="3766"/>
      <c r="F240" s="1654" t="s">
        <v>582</v>
      </c>
      <c r="G240" s="392">
        <v>1.3371757925072045</v>
      </c>
      <c r="H240" s="3804" t="s">
        <v>668</v>
      </c>
      <c r="I240" s="3804"/>
      <c r="J240" s="2340"/>
      <c r="K240" s="486"/>
      <c r="L240" s="486"/>
      <c r="M240" s="469"/>
      <c r="N240" s="469"/>
      <c r="O240" s="486"/>
      <c r="P240" s="486"/>
      <c r="Q240" s="486"/>
      <c r="R240" s="486"/>
      <c r="S240" s="486"/>
      <c r="T240" s="486"/>
      <c r="U240" s="486"/>
      <c r="V240" s="3839"/>
      <c r="W240" s="418"/>
      <c r="X240" s="397"/>
      <c r="Y240" s="397"/>
      <c r="Z240" s="392"/>
      <c r="AA240" s="392"/>
      <c r="AB240" s="392">
        <v>1.3371757925072045</v>
      </c>
      <c r="AC240" s="392">
        <v>1.3371757925072045</v>
      </c>
      <c r="AD240" s="392">
        <v>1.3371757925072045</v>
      </c>
      <c r="AE240" s="2330"/>
      <c r="AF240" s="2330"/>
      <c r="AG240" s="2330"/>
      <c r="AI240"/>
      <c r="AJ240"/>
      <c r="AK240"/>
      <c r="AL240"/>
      <c r="AM240"/>
      <c r="AN240"/>
      <c r="AO240"/>
      <c r="AP240"/>
      <c r="AQ240"/>
      <c r="AR240"/>
      <c r="AS240"/>
      <c r="BD240" s="1"/>
      <c r="BE240" s="1"/>
    </row>
    <row r="241" spans="1:57" s="398" customFormat="1" ht="87" hidden="1" outlineLevel="1" x14ac:dyDescent="0.35">
      <c r="A241" s="486"/>
      <c r="B241" s="486"/>
      <c r="C241" s="1482"/>
      <c r="D241" s="3817"/>
      <c r="E241" s="3767"/>
      <c r="F241" s="2348" t="s">
        <v>4240</v>
      </c>
      <c r="G241" s="88">
        <v>2.0499999999999998</v>
      </c>
      <c r="H241" s="3827" t="s">
        <v>679</v>
      </c>
      <c r="I241" s="3827"/>
      <c r="J241" s="2340" t="s">
        <v>680</v>
      </c>
      <c r="K241" s="417"/>
      <c r="L241" s="486"/>
      <c r="M241" s="469"/>
      <c r="N241" s="469"/>
      <c r="O241" s="486"/>
      <c r="P241" s="486"/>
      <c r="Q241" s="486"/>
      <c r="R241" s="486"/>
      <c r="S241" s="486"/>
      <c r="T241" s="486"/>
      <c r="U241" s="486"/>
      <c r="V241" s="3817"/>
      <c r="W241" s="418"/>
      <c r="X241" s="397"/>
      <c r="Y241" s="397"/>
      <c r="Z241" s="392"/>
      <c r="AA241" s="392"/>
      <c r="AB241" s="293">
        <v>2.0499999999999998</v>
      </c>
      <c r="AC241" s="88">
        <v>2.0499999999999998</v>
      </c>
      <c r="AD241" s="3090">
        <v>2.0499999999999998</v>
      </c>
      <c r="AE241" s="2330"/>
      <c r="AF241" s="2330"/>
      <c r="AG241" s="2330"/>
      <c r="AI241"/>
      <c r="AJ241"/>
      <c r="AK241"/>
      <c r="AL241"/>
      <c r="AM241"/>
      <c r="AN241"/>
      <c r="AO241"/>
      <c r="AP241"/>
      <c r="AQ241"/>
      <c r="AR241"/>
      <c r="AS241"/>
      <c r="BD241" s="1"/>
      <c r="BE241" s="1"/>
    </row>
    <row r="242" spans="1:57" s="398" customFormat="1" hidden="1" outlineLevel="1" x14ac:dyDescent="0.35">
      <c r="A242" s="486"/>
      <c r="B242" s="486"/>
      <c r="C242" s="1482"/>
      <c r="D242" s="2333">
        <v>8.33</v>
      </c>
      <c r="E242" s="2360" t="s">
        <v>626</v>
      </c>
      <c r="F242" s="2356" t="s">
        <v>134</v>
      </c>
      <c r="G242" s="468">
        <v>8.33</v>
      </c>
      <c r="H242" s="3834" t="s">
        <v>627</v>
      </c>
      <c r="I242" s="3834"/>
      <c r="J242" s="2340"/>
      <c r="K242" s="486"/>
      <c r="L242" s="486"/>
      <c r="M242" s="424"/>
      <c r="N242" s="424"/>
      <c r="O242" s="486"/>
      <c r="P242" s="486"/>
      <c r="Q242" s="486"/>
      <c r="R242" s="486"/>
      <c r="S242" s="486"/>
      <c r="T242" s="486"/>
      <c r="U242" s="486"/>
      <c r="V242" s="2333">
        <v>8.33</v>
      </c>
      <c r="W242" s="419">
        <v>8.33</v>
      </c>
      <c r="X242" s="470">
        <v>8.33</v>
      </c>
      <c r="Y242" s="470">
        <v>8.33</v>
      </c>
      <c r="Z242" s="468">
        <v>8.33</v>
      </c>
      <c r="AA242" s="468">
        <v>8.33</v>
      </c>
      <c r="AB242" s="468">
        <v>8.33</v>
      </c>
      <c r="AC242" s="468">
        <v>8.33</v>
      </c>
      <c r="AD242" s="468">
        <v>8.33</v>
      </c>
      <c r="AE242" s="2330"/>
      <c r="AF242" s="2330"/>
      <c r="AG242" s="2330"/>
      <c r="AI242"/>
      <c r="AJ242"/>
      <c r="AK242"/>
      <c r="AL242"/>
      <c r="AM242"/>
      <c r="AN242"/>
      <c r="AO242"/>
      <c r="AP242"/>
      <c r="AQ242"/>
      <c r="AR242"/>
      <c r="AS242"/>
      <c r="BD242" s="1"/>
      <c r="BE242" s="1"/>
    </row>
    <row r="243" spans="1:57" s="398" customFormat="1" hidden="1" outlineLevel="1" x14ac:dyDescent="0.35">
      <c r="A243" s="486"/>
      <c r="B243" s="486"/>
      <c r="C243" s="1482"/>
      <c r="D243" s="2333">
        <v>1</v>
      </c>
      <c r="E243" s="2353" t="s">
        <v>628</v>
      </c>
      <c r="F243" s="2356" t="s">
        <v>134</v>
      </c>
      <c r="G243" s="468">
        <v>1</v>
      </c>
      <c r="H243" s="3804" t="s">
        <v>629</v>
      </c>
      <c r="I243" s="3804"/>
      <c r="J243" s="2340"/>
      <c r="K243" s="486"/>
      <c r="L243" s="486"/>
      <c r="M243" s="424"/>
      <c r="N243" s="424"/>
      <c r="O243" s="486"/>
      <c r="P243" s="486"/>
      <c r="Q243" s="486"/>
      <c r="R243" s="486"/>
      <c r="S243" s="486"/>
      <c r="T243" s="486"/>
      <c r="U243" s="486"/>
      <c r="V243" s="2333">
        <v>1</v>
      </c>
      <c r="W243" s="419">
        <v>1</v>
      </c>
      <c r="X243" s="470">
        <v>1</v>
      </c>
      <c r="Y243" s="470">
        <v>1</v>
      </c>
      <c r="Z243" s="468">
        <v>1</v>
      </c>
      <c r="AA243" s="468">
        <v>1</v>
      </c>
      <c r="AB243" s="468">
        <v>1</v>
      </c>
      <c r="AC243" s="468">
        <v>1</v>
      </c>
      <c r="AD243" s="468">
        <v>1</v>
      </c>
      <c r="AE243" s="2330"/>
      <c r="AF243" s="2330"/>
      <c r="AG243" s="2330"/>
      <c r="AI243"/>
      <c r="AJ243"/>
      <c r="AK243"/>
      <c r="AL243"/>
      <c r="AM243"/>
      <c r="AN243"/>
      <c r="AO243"/>
      <c r="AP243"/>
      <c r="AQ243"/>
      <c r="AR243"/>
      <c r="AS243"/>
      <c r="BD243" s="1"/>
      <c r="BE243" s="1"/>
    </row>
    <row r="244" spans="1:57" s="398" customFormat="1" hidden="1" outlineLevel="1" x14ac:dyDescent="0.35">
      <c r="A244" s="486"/>
      <c r="B244" s="486"/>
      <c r="C244" s="1482"/>
      <c r="D244" s="2333" t="s">
        <v>687</v>
      </c>
      <c r="E244" s="2353" t="s">
        <v>688</v>
      </c>
      <c r="F244" s="2356" t="s">
        <v>134</v>
      </c>
      <c r="G244" s="88">
        <v>105</v>
      </c>
      <c r="H244" s="3804" t="s">
        <v>689</v>
      </c>
      <c r="I244" s="3804"/>
      <c r="J244" s="2340"/>
      <c r="K244" s="486"/>
      <c r="L244" s="486"/>
      <c r="M244" s="424"/>
      <c r="N244" s="424"/>
      <c r="O244" s="486"/>
      <c r="P244" s="486"/>
      <c r="Q244" s="486"/>
      <c r="R244" s="486"/>
      <c r="S244" s="486"/>
      <c r="T244" s="486"/>
      <c r="U244" s="486"/>
      <c r="V244" s="2333" t="s">
        <v>687</v>
      </c>
      <c r="W244" s="419">
        <v>105</v>
      </c>
      <c r="X244" s="419">
        <v>105</v>
      </c>
      <c r="Y244" s="419">
        <v>105</v>
      </c>
      <c r="Z244" s="88">
        <v>105</v>
      </c>
      <c r="AA244" s="88">
        <v>105</v>
      </c>
      <c r="AB244" s="88">
        <v>105</v>
      </c>
      <c r="AC244" s="88">
        <v>105</v>
      </c>
      <c r="AD244" s="3090">
        <v>105</v>
      </c>
      <c r="AE244" s="2330"/>
      <c r="AF244" s="2330"/>
      <c r="AG244" s="2330"/>
      <c r="AI244"/>
      <c r="AJ244"/>
      <c r="AK244"/>
      <c r="AL244"/>
      <c r="AM244"/>
      <c r="AN244"/>
      <c r="AO244"/>
      <c r="AP244"/>
      <c r="AQ244"/>
      <c r="AR244"/>
      <c r="AS244"/>
      <c r="BD244" s="1"/>
      <c r="BE244" s="1"/>
    </row>
    <row r="245" spans="1:57" s="398" customFormat="1" hidden="1" outlineLevel="1" x14ac:dyDescent="0.35">
      <c r="A245" s="486"/>
      <c r="B245" s="486"/>
      <c r="C245" s="1482"/>
      <c r="D245" s="2333" t="s">
        <v>633</v>
      </c>
      <c r="E245" s="2353" t="s">
        <v>634</v>
      </c>
      <c r="F245" s="2356" t="s">
        <v>134</v>
      </c>
      <c r="G245" s="88">
        <v>61.3</v>
      </c>
      <c r="H245" s="3804" t="s">
        <v>635</v>
      </c>
      <c r="I245" s="3804"/>
      <c r="J245" s="2340"/>
      <c r="K245" s="486"/>
      <c r="L245" s="486"/>
      <c r="M245" s="424"/>
      <c r="N245" s="424"/>
      <c r="O245" s="486"/>
      <c r="P245" s="486"/>
      <c r="Q245" s="486"/>
      <c r="R245" s="486"/>
      <c r="S245" s="486"/>
      <c r="T245" s="486"/>
      <c r="U245" s="486"/>
      <c r="V245" s="2333" t="s">
        <v>633</v>
      </c>
      <c r="W245" s="419">
        <v>61.3</v>
      </c>
      <c r="X245" s="419">
        <v>61.3</v>
      </c>
      <c r="Y245" s="419">
        <v>61.3</v>
      </c>
      <c r="Z245" s="88">
        <v>61.3</v>
      </c>
      <c r="AA245" s="88">
        <v>61.3</v>
      </c>
      <c r="AB245" s="88">
        <v>61.3</v>
      </c>
      <c r="AC245" s="88">
        <v>61.3</v>
      </c>
      <c r="AD245" s="3090">
        <v>61.3</v>
      </c>
      <c r="AE245" s="2330"/>
      <c r="AF245" s="2330"/>
      <c r="AG245" s="2330"/>
      <c r="AI245"/>
      <c r="AJ245"/>
      <c r="AK245"/>
      <c r="AL245"/>
      <c r="AM245"/>
      <c r="AN245"/>
      <c r="AO245"/>
      <c r="AP245"/>
      <c r="AQ245"/>
      <c r="AR245"/>
      <c r="AS245"/>
      <c r="BD245" s="1"/>
      <c r="BE245" s="1"/>
    </row>
    <row r="246" spans="1:57" s="398" customFormat="1" hidden="1" outlineLevel="1" x14ac:dyDescent="0.35">
      <c r="A246" s="486"/>
      <c r="B246" s="486"/>
      <c r="C246" s="1482"/>
      <c r="D246" s="2333" t="s">
        <v>636</v>
      </c>
      <c r="E246" s="2353" t="s">
        <v>637</v>
      </c>
      <c r="F246" s="2356" t="s">
        <v>134</v>
      </c>
      <c r="G246" s="88">
        <v>0.98</v>
      </c>
      <c r="H246" s="3834" t="s">
        <v>638</v>
      </c>
      <c r="I246" s="3834"/>
      <c r="J246" s="2340"/>
      <c r="K246" s="486"/>
      <c r="L246" s="486"/>
      <c r="M246" s="424"/>
      <c r="N246" s="424"/>
      <c r="O246" s="486"/>
      <c r="P246" s="486"/>
      <c r="Q246" s="486"/>
      <c r="R246" s="486"/>
      <c r="S246" s="486"/>
      <c r="T246" s="486"/>
      <c r="U246" s="486"/>
      <c r="V246" s="2333" t="s">
        <v>636</v>
      </c>
      <c r="W246" s="419">
        <v>0.98</v>
      </c>
      <c r="X246" s="419">
        <v>0.98</v>
      </c>
      <c r="Y246" s="419">
        <v>0.98</v>
      </c>
      <c r="Z246" s="88">
        <v>0.98</v>
      </c>
      <c r="AA246" s="88">
        <v>0.98</v>
      </c>
      <c r="AB246" s="88">
        <v>0.98</v>
      </c>
      <c r="AC246" s="88">
        <v>0.98</v>
      </c>
      <c r="AD246" s="3090">
        <v>0.98</v>
      </c>
      <c r="AE246" s="2330"/>
      <c r="AF246" s="2330"/>
      <c r="AG246" s="2330"/>
      <c r="AI246"/>
      <c r="AJ246"/>
      <c r="AK246"/>
      <c r="AL246"/>
      <c r="AM246"/>
      <c r="AN246"/>
      <c r="AO246"/>
      <c r="AP246"/>
      <c r="AQ246"/>
      <c r="AR246"/>
      <c r="AS246"/>
      <c r="BD246" s="1"/>
      <c r="BE246" s="1"/>
    </row>
    <row r="247" spans="1:57" s="398" customFormat="1" hidden="1" outlineLevel="1" x14ac:dyDescent="0.35">
      <c r="A247" s="486"/>
      <c r="B247" s="486"/>
      <c r="C247" s="1482"/>
      <c r="D247" s="2333">
        <v>3412</v>
      </c>
      <c r="E247" s="2360" t="s">
        <v>639</v>
      </c>
      <c r="F247" s="2356" t="s">
        <v>134</v>
      </c>
      <c r="G247" s="337">
        <v>3412</v>
      </c>
      <c r="H247" s="3834" t="s">
        <v>217</v>
      </c>
      <c r="I247" s="3834"/>
      <c r="J247" s="2340"/>
      <c r="K247" s="486"/>
      <c r="L247" s="486"/>
      <c r="M247" s="471"/>
      <c r="N247" s="471"/>
      <c r="O247" s="486"/>
      <c r="P247" s="486"/>
      <c r="Q247" s="486"/>
      <c r="R247" s="486"/>
      <c r="S247" s="486"/>
      <c r="T247" s="486"/>
      <c r="U247" s="486"/>
      <c r="V247" s="2333">
        <v>3412</v>
      </c>
      <c r="W247" s="444">
        <v>3412</v>
      </c>
      <c r="X247" s="444">
        <v>3412</v>
      </c>
      <c r="Y247" s="472">
        <v>3413</v>
      </c>
      <c r="Z247" s="337">
        <v>3413</v>
      </c>
      <c r="AA247" s="337">
        <v>3413</v>
      </c>
      <c r="AB247" s="472">
        <v>3412</v>
      </c>
      <c r="AC247" s="337">
        <v>3412</v>
      </c>
      <c r="AD247" s="337">
        <v>3412</v>
      </c>
      <c r="AE247" s="2330"/>
      <c r="AF247" s="2330"/>
      <c r="AG247" s="2330"/>
      <c r="AI247"/>
      <c r="AJ247"/>
      <c r="AK247"/>
      <c r="AL247"/>
      <c r="AM247"/>
      <c r="AN247"/>
      <c r="AO247"/>
      <c r="AP247"/>
      <c r="AQ247"/>
      <c r="AR247"/>
      <c r="AS247"/>
      <c r="BD247" s="1"/>
      <c r="BE247" s="1"/>
    </row>
    <row r="248" spans="1:57" s="398" customFormat="1" hidden="1" outlineLevel="1" x14ac:dyDescent="0.35">
      <c r="A248" s="486"/>
      <c r="B248" s="486"/>
      <c r="C248" s="1482"/>
      <c r="D248" s="3816" t="s">
        <v>516</v>
      </c>
      <c r="E248" s="3838" t="s">
        <v>578</v>
      </c>
      <c r="F248" s="2356" t="s">
        <v>598</v>
      </c>
      <c r="G248" s="1392">
        <v>0.72</v>
      </c>
      <c r="H248" s="3804" t="s">
        <v>623</v>
      </c>
      <c r="I248" s="3804"/>
      <c r="J248" s="2340"/>
      <c r="K248" s="486"/>
      <c r="L248" s="486"/>
      <c r="M248" s="466"/>
      <c r="N248" s="466"/>
      <c r="O248" s="486"/>
      <c r="P248" s="486"/>
      <c r="Q248" s="486"/>
      <c r="R248" s="486"/>
      <c r="S248" s="486"/>
      <c r="T248" s="486"/>
      <c r="U248" s="486"/>
      <c r="V248" s="3816" t="s">
        <v>516</v>
      </c>
      <c r="W248" s="451">
        <v>0.86</v>
      </c>
      <c r="X248" s="473">
        <v>0.89859999999999995</v>
      </c>
      <c r="Y248" s="473">
        <v>0.91869999999999996</v>
      </c>
      <c r="Z248" s="1746">
        <v>0.91869999999999996</v>
      </c>
      <c r="AA248" s="1746">
        <v>0.91869999999999996</v>
      </c>
      <c r="AB248" s="1658">
        <v>0.72</v>
      </c>
      <c r="AC248" s="1392">
        <v>0.72</v>
      </c>
      <c r="AD248" s="1392">
        <v>0.72</v>
      </c>
      <c r="AE248" s="2330"/>
      <c r="AF248" s="2330"/>
      <c r="AG248" s="2330"/>
      <c r="AI248"/>
      <c r="AJ248"/>
      <c r="AK248"/>
      <c r="AL248"/>
      <c r="AM248"/>
      <c r="AN248"/>
      <c r="AO248"/>
      <c r="AP248"/>
      <c r="AQ248"/>
      <c r="AR248"/>
      <c r="AS248"/>
      <c r="BD248" s="1"/>
      <c r="BE248" s="1"/>
    </row>
    <row r="249" spans="1:57" s="398" customFormat="1" hidden="1" outlineLevel="1" x14ac:dyDescent="0.35">
      <c r="A249" s="486"/>
      <c r="B249" s="486"/>
      <c r="C249" s="1482"/>
      <c r="D249" s="3817"/>
      <c r="E249" s="3767"/>
      <c r="F249" s="2015" t="s">
        <v>640</v>
      </c>
      <c r="G249" s="874">
        <v>1</v>
      </c>
      <c r="H249" s="3834" t="s">
        <v>668</v>
      </c>
      <c r="I249" s="3834"/>
      <c r="J249" s="2340"/>
      <c r="K249" s="486"/>
      <c r="L249" s="486"/>
      <c r="M249" s="466"/>
      <c r="N249" s="466"/>
      <c r="O249" s="486"/>
      <c r="P249" s="486"/>
      <c r="Q249" s="486"/>
      <c r="R249" s="486"/>
      <c r="S249" s="486"/>
      <c r="T249" s="486"/>
      <c r="U249" s="486"/>
      <c r="V249" s="3817"/>
      <c r="W249" s="451"/>
      <c r="X249" s="473"/>
      <c r="Y249" s="473"/>
      <c r="Z249" s="1746"/>
      <c r="AA249" s="1746"/>
      <c r="AB249" s="467">
        <v>1</v>
      </c>
      <c r="AC249" s="874">
        <v>1</v>
      </c>
      <c r="AD249" s="874">
        <v>1</v>
      </c>
      <c r="AE249" s="2330"/>
      <c r="AF249" s="2330"/>
      <c r="AG249" s="2330"/>
      <c r="AI249"/>
      <c r="AJ249"/>
      <c r="AK249"/>
      <c r="AL249"/>
      <c r="AM249"/>
      <c r="AN249"/>
      <c r="AO249"/>
      <c r="AP249"/>
      <c r="AQ249"/>
      <c r="AR249"/>
      <c r="AS249"/>
      <c r="BD249" s="1"/>
      <c r="BE249" s="1"/>
    </row>
    <row r="250" spans="1:57" s="398" customFormat="1" hidden="1" outlineLevel="1" x14ac:dyDescent="0.35">
      <c r="A250" s="486"/>
      <c r="B250" s="486"/>
      <c r="C250" s="1482"/>
      <c r="D250" s="3816" t="s">
        <v>132</v>
      </c>
      <c r="E250" s="3838" t="s">
        <v>251</v>
      </c>
      <c r="F250" s="2356" t="s">
        <v>598</v>
      </c>
      <c r="G250" s="1392">
        <v>0.54</v>
      </c>
      <c r="H250" s="3804" t="s">
        <v>690</v>
      </c>
      <c r="I250" s="3804"/>
      <c r="J250" s="2340"/>
      <c r="K250" s="486"/>
      <c r="L250" s="486"/>
      <c r="M250" s="466"/>
      <c r="N250" s="466"/>
      <c r="O250" s="486"/>
      <c r="P250" s="486"/>
      <c r="Q250" s="486"/>
      <c r="R250" s="486"/>
      <c r="S250" s="486"/>
      <c r="T250" s="486"/>
      <c r="U250" s="486"/>
      <c r="V250" s="3816" t="s">
        <v>132</v>
      </c>
      <c r="W250" s="451">
        <v>0.64716066481994461</v>
      </c>
      <c r="X250" s="473">
        <v>0.5672268907563025</v>
      </c>
      <c r="Y250" s="473">
        <v>0.58549222797927458</v>
      </c>
      <c r="Z250" s="1746">
        <v>0.58549222797927458</v>
      </c>
      <c r="AA250" s="1746">
        <v>0.58549222797927458</v>
      </c>
      <c r="AB250" s="1658">
        <v>0.54</v>
      </c>
      <c r="AC250" s="1392">
        <v>0.54</v>
      </c>
      <c r="AD250" s="1392">
        <v>0.54</v>
      </c>
      <c r="AE250" s="2419"/>
      <c r="AF250" s="2419"/>
      <c r="AG250" s="2419"/>
      <c r="AI250"/>
      <c r="AJ250"/>
      <c r="AK250"/>
      <c r="AL250"/>
      <c r="AM250"/>
      <c r="AN250"/>
      <c r="AO250"/>
      <c r="AP250"/>
      <c r="AQ250"/>
      <c r="AR250"/>
      <c r="AS250"/>
      <c r="BD250" s="1"/>
      <c r="BE250" s="1"/>
    </row>
    <row r="251" spans="1:57" s="398" customFormat="1" hidden="1" outlineLevel="1" x14ac:dyDescent="0.35">
      <c r="A251" s="486"/>
      <c r="B251" s="486"/>
      <c r="C251" s="1482"/>
      <c r="D251" s="3839"/>
      <c r="E251" s="3766"/>
      <c r="F251" s="1655" t="s">
        <v>582</v>
      </c>
      <c r="G251" s="287">
        <v>1</v>
      </c>
      <c r="H251" s="3834" t="s">
        <v>668</v>
      </c>
      <c r="I251" s="3834"/>
      <c r="J251" s="2340"/>
      <c r="K251" s="486"/>
      <c r="L251" s="486"/>
      <c r="M251" s="466"/>
      <c r="N251" s="466"/>
      <c r="O251" s="486"/>
      <c r="P251" s="486"/>
      <c r="Q251" s="486"/>
      <c r="R251" s="486"/>
      <c r="S251" s="486"/>
      <c r="T251" s="486"/>
      <c r="U251" s="486"/>
      <c r="V251" s="3839"/>
      <c r="W251" s="451"/>
      <c r="X251" s="473"/>
      <c r="Y251" s="473"/>
      <c r="Z251" s="1746"/>
      <c r="AA251" s="1746"/>
      <c r="AB251" s="287">
        <v>1</v>
      </c>
      <c r="AC251" s="287">
        <v>1</v>
      </c>
      <c r="AD251" s="287">
        <v>1</v>
      </c>
      <c r="AE251" s="2419"/>
      <c r="AF251" s="2419"/>
      <c r="AG251" s="2419"/>
      <c r="AI251"/>
      <c r="AJ251"/>
      <c r="AK251"/>
      <c r="AL251"/>
      <c r="AM251"/>
      <c r="AN251"/>
      <c r="AO251"/>
      <c r="AP251"/>
      <c r="AQ251"/>
      <c r="AR251"/>
      <c r="AS251"/>
      <c r="BD251" s="1"/>
      <c r="BE251" s="1"/>
    </row>
    <row r="252" spans="1:57" s="398" customFormat="1" hidden="1" outlineLevel="1" x14ac:dyDescent="0.35">
      <c r="A252" s="486"/>
      <c r="B252" s="486"/>
      <c r="C252" s="1482"/>
      <c r="D252" s="3839"/>
      <c r="E252" s="3766"/>
      <c r="F252" s="2348" t="s">
        <v>4240</v>
      </c>
      <c r="G252" s="2013">
        <f>'Income Eligible Deemed Table'!G877</f>
        <v>0.91346153846153844</v>
      </c>
      <c r="H252" s="3837" t="s">
        <v>691</v>
      </c>
      <c r="I252" s="3837"/>
      <c r="J252" s="2340"/>
      <c r="K252" s="486"/>
      <c r="L252" s="486"/>
      <c r="M252" s="466"/>
      <c r="N252" s="466"/>
      <c r="O252" s="486"/>
      <c r="P252" s="486"/>
      <c r="Q252" s="486"/>
      <c r="R252" s="486"/>
      <c r="S252" s="486"/>
      <c r="T252" s="486"/>
      <c r="U252" s="486"/>
      <c r="V252" s="3839"/>
      <c r="W252" s="451"/>
      <c r="X252" s="473"/>
      <c r="Y252" s="473"/>
      <c r="Z252" s="1746"/>
      <c r="AA252" s="1746"/>
      <c r="AB252" s="1659">
        <v>0.94</v>
      </c>
      <c r="AC252" s="1659">
        <v>0.91346153846153844</v>
      </c>
      <c r="AD252" s="2013">
        <v>0.91346153846153844</v>
      </c>
      <c r="AE252" s="2419"/>
      <c r="AF252" s="2419"/>
      <c r="AG252" s="2419"/>
      <c r="AI252"/>
      <c r="AJ252"/>
      <c r="AK252"/>
      <c r="AL252"/>
      <c r="AM252"/>
      <c r="AN252"/>
      <c r="AO252"/>
      <c r="AP252"/>
      <c r="AQ252"/>
      <c r="AR252"/>
      <c r="AS252"/>
      <c r="BD252" s="1"/>
      <c r="BE252" s="1"/>
    </row>
    <row r="253" spans="1:57" s="398" customFormat="1" hidden="1" outlineLevel="1" x14ac:dyDescent="0.35">
      <c r="A253" s="486"/>
      <c r="B253" s="486"/>
      <c r="C253" s="1482"/>
      <c r="D253" s="3817"/>
      <c r="E253" s="3767"/>
      <c r="F253" s="1655" t="s">
        <v>522</v>
      </c>
      <c r="G253" s="2013">
        <v>0.24</v>
      </c>
      <c r="H253" s="3837" t="s">
        <v>692</v>
      </c>
      <c r="I253" s="3837"/>
      <c r="J253" s="2340"/>
      <c r="K253" s="486"/>
      <c r="L253" s="486"/>
      <c r="M253" s="466"/>
      <c r="N253" s="466"/>
      <c r="O253" s="486"/>
      <c r="P253" s="486"/>
      <c r="Q253" s="486"/>
      <c r="R253" s="486"/>
      <c r="S253" s="486"/>
      <c r="T253" s="486"/>
      <c r="U253" s="486"/>
      <c r="V253" s="3817"/>
      <c r="W253" s="451"/>
      <c r="X253" s="473"/>
      <c r="Y253" s="473"/>
      <c r="Z253" s="1746"/>
      <c r="AA253" s="1746"/>
      <c r="AB253" s="1659">
        <v>0.24</v>
      </c>
      <c r="AC253" s="2013">
        <v>0.24</v>
      </c>
      <c r="AD253" s="2013">
        <v>0.24</v>
      </c>
      <c r="AE253" s="2419"/>
      <c r="AF253" s="2419"/>
      <c r="AG253" s="2419"/>
      <c r="AI253"/>
      <c r="AJ253"/>
      <c r="AK253"/>
      <c r="AL253"/>
      <c r="AM253"/>
      <c r="AN253"/>
      <c r="AO253"/>
      <c r="AP253"/>
      <c r="AQ253"/>
      <c r="AR253"/>
      <c r="AS253"/>
      <c r="BD253" s="1"/>
      <c r="BE253" s="1"/>
    </row>
    <row r="254" spans="1:57" hidden="1" outlineLevel="1" x14ac:dyDescent="0.35">
      <c r="B254" s="1040"/>
      <c r="C254" s="217"/>
      <c r="D254" s="277" t="s">
        <v>526</v>
      </c>
      <c r="E254" s="237" t="s">
        <v>166</v>
      </c>
      <c r="F254" s="2359" t="s">
        <v>134</v>
      </c>
      <c r="G254" s="820">
        <v>10</v>
      </c>
      <c r="H254" s="3836"/>
      <c r="I254" s="3836"/>
      <c r="J254" s="2340"/>
      <c r="K254" s="486"/>
      <c r="L254" s="199"/>
      <c r="M254" s="226"/>
      <c r="N254" s="199"/>
      <c r="O254" s="199"/>
      <c r="P254" s="199"/>
      <c r="Q254" s="199"/>
      <c r="V254" s="2426" t="s">
        <v>526</v>
      </c>
      <c r="W254" s="386">
        <v>10</v>
      </c>
      <c r="X254" s="386">
        <v>10</v>
      </c>
      <c r="Y254" s="386">
        <v>10</v>
      </c>
      <c r="Z254" s="386">
        <v>10</v>
      </c>
      <c r="AA254" s="386">
        <v>10</v>
      </c>
      <c r="AB254" s="820">
        <v>10</v>
      </c>
      <c r="AC254" s="820">
        <v>10</v>
      </c>
      <c r="AD254" s="820">
        <v>10</v>
      </c>
      <c r="AE254" s="386"/>
      <c r="AF254" s="386"/>
      <c r="AG254" s="386"/>
    </row>
    <row r="255" spans="1:57" hidden="1" outlineLevel="1" x14ac:dyDescent="0.35">
      <c r="B255" s="1040"/>
      <c r="C255" s="217"/>
      <c r="D255" s="1022" t="s">
        <v>169</v>
      </c>
      <c r="E255" s="237" t="s">
        <v>170</v>
      </c>
      <c r="F255" s="2358" t="s">
        <v>134</v>
      </c>
      <c r="G255" s="1845">
        <v>7</v>
      </c>
      <c r="H255" s="3835"/>
      <c r="I255" s="3835"/>
      <c r="J255" s="2340"/>
      <c r="K255" s="486"/>
      <c r="L255" s="199"/>
      <c r="M255" s="226"/>
      <c r="N255" s="199"/>
      <c r="O255" s="199"/>
      <c r="P255" s="199"/>
      <c r="Q255" s="199"/>
      <c r="V255" s="2427" t="s">
        <v>169</v>
      </c>
      <c r="W255" s="387">
        <v>7</v>
      </c>
      <c r="X255" s="387">
        <v>7</v>
      </c>
      <c r="Y255" s="387">
        <v>7</v>
      </c>
      <c r="Z255" s="387">
        <v>7</v>
      </c>
      <c r="AA255" s="387">
        <v>7</v>
      </c>
      <c r="AB255" s="1845">
        <v>7</v>
      </c>
      <c r="AC255" s="1845">
        <v>7</v>
      </c>
      <c r="AD255" s="1845">
        <v>7</v>
      </c>
      <c r="AE255" s="388"/>
      <c r="AF255" s="388"/>
      <c r="AG255" s="388"/>
    </row>
    <row r="256" spans="1:57" collapsed="1" x14ac:dyDescent="0.35"/>
    <row r="257" spans="2:57" s="106" customFormat="1" x14ac:dyDescent="0.35">
      <c r="B257" s="3664" t="s">
        <v>693</v>
      </c>
      <c r="C257" s="3665"/>
      <c r="D257" s="3665"/>
      <c r="E257" s="3665"/>
      <c r="F257" s="3665"/>
      <c r="G257" s="3665"/>
      <c r="H257" s="3665"/>
      <c r="I257" s="3666"/>
      <c r="J257" s="3666"/>
      <c r="K257" s="3666"/>
      <c r="L257" s="3666"/>
      <c r="M257" s="3666"/>
      <c r="N257" s="3667"/>
      <c r="V257" s="3664" t="str">
        <f>B257</f>
        <v>Pipe Insulation</v>
      </c>
      <c r="W257" s="3665"/>
      <c r="X257" s="3665"/>
      <c r="Y257" s="3665"/>
      <c r="Z257" s="3665"/>
      <c r="AA257" s="3665"/>
      <c r="AB257" s="3665"/>
      <c r="AC257" s="3680"/>
      <c r="AD257" s="3680"/>
      <c r="AE257" s="3680"/>
      <c r="AF257" s="3680"/>
      <c r="AG257" s="3680"/>
      <c r="AH257" s="3681"/>
      <c r="AI257"/>
      <c r="AJ257"/>
      <c r="AK257"/>
      <c r="AL257"/>
      <c r="AM257"/>
      <c r="AN257"/>
      <c r="AO257"/>
      <c r="AP257"/>
      <c r="AQ257"/>
      <c r="AR257"/>
      <c r="AS257"/>
      <c r="BD257" s="416"/>
      <c r="BE257" s="416"/>
    </row>
    <row r="258" spans="2:57" ht="18" customHeight="1" x14ac:dyDescent="0.35"/>
    <row r="259" spans="2:57" ht="29" x14ac:dyDescent="0.35">
      <c r="C259" s="2331" t="s">
        <v>27</v>
      </c>
      <c r="D259" s="2331" t="s">
        <v>174</v>
      </c>
      <c r="E259" s="2331" t="s">
        <v>29</v>
      </c>
      <c r="F259" s="2331" t="s">
        <v>30</v>
      </c>
      <c r="G259" s="2331" t="s">
        <v>175</v>
      </c>
      <c r="H259" s="2331" t="s">
        <v>176</v>
      </c>
      <c r="I259" s="2331" t="s">
        <v>31</v>
      </c>
      <c r="J259" s="2331" t="s">
        <v>180</v>
      </c>
      <c r="K259" s="2331" t="s">
        <v>169</v>
      </c>
      <c r="L259" s="2331" t="s">
        <v>43</v>
      </c>
      <c r="V259" s="480" t="s">
        <v>44</v>
      </c>
      <c r="W259" s="316">
        <f>$W$6</f>
        <v>43252</v>
      </c>
      <c r="X259" s="316">
        <f>$X$6</f>
        <v>43465</v>
      </c>
      <c r="Y259" s="316">
        <f>$Y$6</f>
        <v>43800</v>
      </c>
      <c r="Z259" s="316">
        <f>$Z$6</f>
        <v>43862</v>
      </c>
      <c r="AA259" s="316">
        <f>$AA$6</f>
        <v>44013</v>
      </c>
      <c r="AB259" s="316">
        <f>$AB$6</f>
        <v>44166</v>
      </c>
      <c r="AC259" s="1573">
        <f>$AC$6</f>
        <v>44531</v>
      </c>
      <c r="AD259" s="1573">
        <f>$AD$6</f>
        <v>44774</v>
      </c>
      <c r="AE259" s="1573" t="str">
        <f>$AE$6</f>
        <v>-</v>
      </c>
      <c r="AF259" s="1573" t="str">
        <f>$AF$6</f>
        <v>-</v>
      </c>
      <c r="AG259" s="1573" t="str">
        <f>$AG$6</f>
        <v>-</v>
      </c>
      <c r="AH259" s="423"/>
      <c r="AI259" s="423"/>
      <c r="AJ259" s="423"/>
      <c r="AK259" s="423"/>
      <c r="AL259" s="423"/>
      <c r="AM259" s="423"/>
      <c r="AN259" s="423"/>
      <c r="AO259" s="423"/>
      <c r="AP259" s="423"/>
      <c r="AQ259" s="423"/>
      <c r="AR259" s="423"/>
      <c r="AS259" s="423"/>
      <c r="BB259" s="1584" t="str">
        <f>$BB$6</f>
        <v>TRC (2022)</v>
      </c>
      <c r="BC259" s="1584" t="str">
        <f>$BC$6</f>
        <v>Benefit Lookup</v>
      </c>
      <c r="BD259" s="200" t="str">
        <f>$BD$6</f>
        <v>Benefits (2019 $)</v>
      </c>
      <c r="BE259" s="200" t="str">
        <f>$BE$6</f>
        <v>Incremental Cost (2019 $)</v>
      </c>
    </row>
    <row r="260" spans="2:57" x14ac:dyDescent="0.35">
      <c r="C260" s="2398" t="s">
        <v>694</v>
      </c>
      <c r="D260" s="88" t="s">
        <v>496</v>
      </c>
      <c r="E260" s="2353" t="s">
        <v>693</v>
      </c>
      <c r="F260" s="461">
        <f>ROUND(((((G270/G272)-(G273/G275))*G277*G278*G280)/(G281*G282))*G283*G286*G288,2)</f>
        <v>3.24</v>
      </c>
      <c r="G260" s="88" t="s">
        <v>183</v>
      </c>
      <c r="H260" s="393">
        <f>VLOOKUP(G260,'CP FACTORS'!$A$3:$B$38, 2, FALSE)</f>
        <v>8.8731800000000003E-5</v>
      </c>
      <c r="I260" s="394">
        <f>ROUND(F260*H260,6)</f>
        <v>2.8699999999999998E-4</v>
      </c>
      <c r="J260" s="124">
        <f>$G$295</f>
        <v>12</v>
      </c>
      <c r="K260" s="476">
        <f>$G$296</f>
        <v>2.87</v>
      </c>
      <c r="L260" s="468" t="s">
        <v>695</v>
      </c>
      <c r="M260" s="106"/>
      <c r="Q260" s="463"/>
      <c r="R260" s="1214"/>
      <c r="S260" s="452"/>
      <c r="T260" s="1247"/>
      <c r="V260" s="1592" t="str">
        <f>F259</f>
        <v>kWh Annual Savings</v>
      </c>
      <c r="W260" s="55">
        <v>10.441734565420308</v>
      </c>
      <c r="X260" s="477">
        <v>3.3686994747178916</v>
      </c>
      <c r="Y260" s="478">
        <v>4.09</v>
      </c>
      <c r="Z260" s="52">
        <v>4.09</v>
      </c>
      <c r="AA260" s="52">
        <v>4.09</v>
      </c>
      <c r="AB260" s="1599">
        <v>3.24</v>
      </c>
      <c r="AC260" s="479">
        <v>3.24</v>
      </c>
      <c r="AD260" s="479">
        <v>3.24</v>
      </c>
      <c r="AE260" s="479"/>
      <c r="AF260" s="479"/>
      <c r="AG260" s="479"/>
      <c r="AH260" s="144"/>
      <c r="BB260" s="1974">
        <f>(BD260)/(BE260)</f>
        <v>0.47743227482927542</v>
      </c>
      <c r="BC260" s="2381" t="str">
        <f>CONCATENATE(G260," ",J260," Year EUL")</f>
        <v>Water Heating RES 12 Year EUL</v>
      </c>
      <c r="BD260" s="1972">
        <f>(INDEX('Avoided Cost Benefits'!$E$4:$E$859,MATCH(BC260,'Avoided Cost Benefits'!$A$4:$A$859,0)))*F260</f>
        <v>1.2932804424351301</v>
      </c>
      <c r="BE260" s="1973">
        <f>K260/(1.0595^(2020-2019))</f>
        <v>2.7088249174138741</v>
      </c>
    </row>
    <row r="261" spans="2:57" x14ac:dyDescent="0.35">
      <c r="C261" s="2398" t="s">
        <v>696</v>
      </c>
      <c r="D261" s="395" t="s">
        <v>500</v>
      </c>
      <c r="E261" s="2353" t="s">
        <v>697</v>
      </c>
      <c r="F261" s="461">
        <f>ROUND(((((G270/G272)-(G273/G275))*G277*G278*G280)/(G281*G282))*G283*G287*G291,2)</f>
        <v>2.59</v>
      </c>
      <c r="G261" s="88" t="s">
        <v>183</v>
      </c>
      <c r="H261" s="393">
        <f>VLOOKUP(G261,'CP FACTORS'!$A$3:$B$38, 2, FALSE)</f>
        <v>8.8731800000000003E-5</v>
      </c>
      <c r="I261" s="394">
        <f>ROUND(F261*H261,6)</f>
        <v>2.3000000000000001E-4</v>
      </c>
      <c r="J261" s="124">
        <f t="shared" ref="J261:J263" si="33">$G$295</f>
        <v>12</v>
      </c>
      <c r="K261" s="476">
        <f t="shared" ref="K261:K263" si="34">$G$296</f>
        <v>2.87</v>
      </c>
      <c r="L261" s="468" t="s">
        <v>695</v>
      </c>
      <c r="M261" s="106"/>
      <c r="R261" s="1214"/>
      <c r="S261" s="452"/>
      <c r="V261" s="1592" t="str">
        <f>V262</f>
        <v>kWh Annual Savings</v>
      </c>
      <c r="W261" s="55"/>
      <c r="X261" s="53"/>
      <c r="Y261" s="478"/>
      <c r="Z261" s="479"/>
      <c r="AA261" s="479"/>
      <c r="AB261" s="1599">
        <v>2.59</v>
      </c>
      <c r="AC261" s="479">
        <v>2.59</v>
      </c>
      <c r="AD261" s="479">
        <v>2.59</v>
      </c>
      <c r="AE261" s="479"/>
      <c r="AF261" s="479"/>
      <c r="AG261" s="479"/>
      <c r="AH261" s="144"/>
      <c r="BB261" s="1974">
        <f>(BD261)/(BE261)</f>
        <v>0.38165110858266155</v>
      </c>
      <c r="BC261" s="2381" t="str">
        <f>CONCATENATE(G261," ",J261," Year EUL")</f>
        <v>Water Heating RES 12 Year EUL</v>
      </c>
      <c r="BD261" s="1972">
        <f>(INDEX('Avoided Cost Benefits'!$E$4:$E$859,MATCH(BC261,'Avoided Cost Benefits'!$A$4:$A$859,0)))*F261</f>
        <v>1.0338260326873416</v>
      </c>
      <c r="BE261" s="1973">
        <f>K261/(1.0595^(2020-2019))</f>
        <v>2.7088249174138741</v>
      </c>
    </row>
    <row r="262" spans="2:57" x14ac:dyDescent="0.35">
      <c r="C262" s="2398" t="s">
        <v>698</v>
      </c>
      <c r="D262" s="330" t="s">
        <v>320</v>
      </c>
      <c r="E262" s="2353" t="s">
        <v>693</v>
      </c>
      <c r="F262" s="461">
        <f>ROUND(((((G270/G272)-(G273/G275))*G277*G278*G280)/(G281*G282))*G284*G287*G289,2)</f>
        <v>15.01</v>
      </c>
      <c r="G262" s="88" t="s">
        <v>183</v>
      </c>
      <c r="H262" s="393">
        <f>VLOOKUP(G262,'CP FACTORS'!$A$3:$B$38, 2, FALSE)</f>
        <v>8.8731800000000003E-5</v>
      </c>
      <c r="I262" s="394">
        <f>ROUND(F262*H262,6)</f>
        <v>1.3320000000000001E-3</v>
      </c>
      <c r="J262" s="124">
        <f t="shared" si="33"/>
        <v>12</v>
      </c>
      <c r="K262" s="476">
        <f t="shared" si="34"/>
        <v>2.87</v>
      </c>
      <c r="L262" s="468" t="s">
        <v>695</v>
      </c>
      <c r="M262" s="106"/>
      <c r="R262" s="1214"/>
      <c r="S262" s="452"/>
      <c r="V262" s="1592" t="str">
        <f>V260</f>
        <v>kWh Annual Savings</v>
      </c>
      <c r="W262" s="55">
        <v>16.471996316343358</v>
      </c>
      <c r="X262" s="53">
        <v>16.471996316343358</v>
      </c>
      <c r="Y262" s="478">
        <v>15.01</v>
      </c>
      <c r="Z262" s="52">
        <v>15.01</v>
      </c>
      <c r="AA262" s="52">
        <v>15.01</v>
      </c>
      <c r="AB262" s="479">
        <v>15.01</v>
      </c>
      <c r="AC262" s="479">
        <v>15.01</v>
      </c>
      <c r="AD262" s="479">
        <v>15.01</v>
      </c>
      <c r="AE262" s="479"/>
      <c r="AF262" s="479"/>
      <c r="AG262" s="479"/>
      <c r="AH262" s="144"/>
      <c r="BB262" s="1974">
        <f>(BD262)/(BE262)</f>
        <v>2.2118081620948842</v>
      </c>
      <c r="BC262" s="2381" t="str">
        <f>CONCATENATE(G262," ",J262," Year EUL")</f>
        <v>Water Heating RES 12 Year EUL</v>
      </c>
      <c r="BD262" s="1972">
        <f>(INDEX('Avoided Cost Benefits'!$E$4:$E$859,MATCH(BC262,'Avoided Cost Benefits'!$A$4:$A$859,0)))*F262</f>
        <v>5.9914010620220068</v>
      </c>
      <c r="BE262" s="1973">
        <f>K262/(1.0595^(2020-2019))</f>
        <v>2.7088249174138741</v>
      </c>
    </row>
    <row r="263" spans="2:57" x14ac:dyDescent="0.35">
      <c r="C263" s="2398" t="s">
        <v>699</v>
      </c>
      <c r="D263" s="395" t="s">
        <v>547</v>
      </c>
      <c r="E263" s="2353" t="s">
        <v>4243</v>
      </c>
      <c r="F263" s="461">
        <f>ROUND(((((G271/G272)-(G274/G276))*G277*G279*G280)/(G281*G282))*G285*G287*G290,2)</f>
        <v>3.4</v>
      </c>
      <c r="G263" s="88" t="s">
        <v>183</v>
      </c>
      <c r="H263" s="393">
        <f>VLOOKUP(G263,'CP FACTORS'!$A$3:$B$38, 2, FALSE)</f>
        <v>8.8731800000000003E-5</v>
      </c>
      <c r="I263" s="394">
        <f>ROUND(F263*H263,6)</f>
        <v>3.0200000000000002E-4</v>
      </c>
      <c r="J263" s="124">
        <f t="shared" si="33"/>
        <v>12</v>
      </c>
      <c r="K263" s="476">
        <f t="shared" si="34"/>
        <v>2.87</v>
      </c>
      <c r="L263" s="468" t="s">
        <v>695</v>
      </c>
      <c r="M263" s="106"/>
      <c r="R263" s="1214"/>
      <c r="S263" s="452"/>
      <c r="V263" s="1592" t="str">
        <f>V261</f>
        <v>kWh Annual Savings</v>
      </c>
      <c r="W263" s="55"/>
      <c r="X263" s="53"/>
      <c r="Y263" s="478"/>
      <c r="Z263" s="479"/>
      <c r="AA263" s="479"/>
      <c r="AB263" s="1599">
        <v>3.4</v>
      </c>
      <c r="AC263" s="479">
        <v>3.4</v>
      </c>
      <c r="AD263" s="479">
        <v>3.4</v>
      </c>
      <c r="AE263" s="479"/>
      <c r="AF263" s="479"/>
      <c r="AG263" s="479"/>
      <c r="AH263" s="144"/>
      <c r="BB263" s="1974">
        <f>(BD263)/(BE263)</f>
        <v>0.5010091772899804</v>
      </c>
      <c r="BC263" s="2381" t="str">
        <f>CONCATENATE(G263," ",J263," Year EUL")</f>
        <v>Water Heating RES 12 Year EUL</v>
      </c>
      <c r="BD263" s="1972">
        <f>(INDEX('Avoided Cost Benefits'!$E$4:$E$859,MATCH(BC263,'Avoided Cost Benefits'!$A$4:$A$859,0)))*F263</f>
        <v>1.357146143296124</v>
      </c>
      <c r="BE263" s="1973">
        <f>K263/(1.0595^(2020-2019))</f>
        <v>2.7088249174138741</v>
      </c>
    </row>
    <row r="264" spans="2:57" hidden="1" outlineLevel="1" x14ac:dyDescent="0.35"/>
    <row r="265" spans="2:57" hidden="1" outlineLevel="1" x14ac:dyDescent="0.35">
      <c r="D265" s="3066" t="s">
        <v>107</v>
      </c>
      <c r="O265" s="1252"/>
      <c r="P265" s="1252"/>
      <c r="Q265" s="1252"/>
    </row>
    <row r="266" spans="2:57" hidden="1" outlineLevel="1" x14ac:dyDescent="0.35">
      <c r="O266" s="1252"/>
      <c r="P266" s="1252"/>
      <c r="Q266" s="1252"/>
    </row>
    <row r="267" spans="2:57" hidden="1" outlineLevel="1" x14ac:dyDescent="0.35"/>
    <row r="268" spans="2:57" hidden="1" outlineLevel="1" x14ac:dyDescent="0.35">
      <c r="V268" s="480" t="s">
        <v>44</v>
      </c>
      <c r="W268" s="1944"/>
      <c r="X268" s="1944"/>
      <c r="Y268" s="1944"/>
      <c r="Z268" s="1944"/>
      <c r="AA268" s="1944"/>
      <c r="AB268" s="1944"/>
      <c r="AC268" s="481"/>
      <c r="AD268" s="481"/>
      <c r="AE268" s="481"/>
      <c r="AF268" s="481"/>
      <c r="AG268" s="481"/>
      <c r="AH268" s="423"/>
    </row>
    <row r="269" spans="2:57" hidden="1" outlineLevel="1" x14ac:dyDescent="0.35">
      <c r="D269" s="2423" t="s">
        <v>108</v>
      </c>
      <c r="E269" s="2404" t="s">
        <v>109</v>
      </c>
      <c r="F269" s="2331" t="s">
        <v>595</v>
      </c>
      <c r="G269" s="2331" t="s">
        <v>111</v>
      </c>
      <c r="H269" s="3825" t="s">
        <v>186</v>
      </c>
      <c r="I269" s="3826"/>
      <c r="J269" s="3741" t="s">
        <v>112</v>
      </c>
      <c r="K269" s="3741"/>
      <c r="L269" s="3741"/>
      <c r="M269" s="1253"/>
      <c r="N269" s="2378"/>
      <c r="V269" s="2037"/>
      <c r="W269" s="316">
        <f>$W$6</f>
        <v>43252</v>
      </c>
      <c r="X269" s="316">
        <f>$X$6</f>
        <v>43465</v>
      </c>
      <c r="Y269" s="316">
        <f>$Y$6</f>
        <v>43800</v>
      </c>
      <c r="Z269" s="316">
        <f>$Z$6</f>
        <v>43862</v>
      </c>
      <c r="AA269" s="316">
        <f>$AA$6</f>
        <v>44013</v>
      </c>
      <c r="AB269" s="316">
        <f>$AB$6</f>
        <v>44166</v>
      </c>
      <c r="AC269" s="1573">
        <f>$AC$6</f>
        <v>44531</v>
      </c>
      <c r="AD269" s="1573">
        <f>$AD$6</f>
        <v>44774</v>
      </c>
      <c r="AE269" s="1573" t="str">
        <f>$AE$6</f>
        <v>-</v>
      </c>
      <c r="AF269" s="1573" t="str">
        <f>$AF$6</f>
        <v>-</v>
      </c>
      <c r="AG269" s="1573" t="str">
        <f>$AG$6</f>
        <v>-</v>
      </c>
    </row>
    <row r="270" spans="2:57" ht="15.65" hidden="1" customHeight="1" outlineLevel="1" x14ac:dyDescent="0.35">
      <c r="D270" s="3832" t="s">
        <v>700</v>
      </c>
      <c r="E270" s="3831" t="s">
        <v>701</v>
      </c>
      <c r="F270" s="391" t="s">
        <v>670</v>
      </c>
      <c r="G270" s="482">
        <f>(PI()*G292)/12</f>
        <v>0.19634954084936207</v>
      </c>
      <c r="H270" s="3829" t="s">
        <v>702</v>
      </c>
      <c r="I270" s="3829"/>
      <c r="J270" s="3734" t="s">
        <v>703</v>
      </c>
      <c r="K270" s="3734"/>
      <c r="L270" s="3734"/>
      <c r="V270" s="3885" t="s">
        <v>700</v>
      </c>
      <c r="W270" s="483">
        <f>(PI()*W292)/12</f>
        <v>0.19634954084936207</v>
      </c>
      <c r="X270" s="483">
        <f>(PI()*X292)/12</f>
        <v>0.19634954084936207</v>
      </c>
      <c r="Y270" s="483">
        <f>(PI()*Y292)/12</f>
        <v>0.19634954084936207</v>
      </c>
      <c r="Z270" s="483">
        <f t="shared" ref="Z270:AA296" si="35">IF(Z$6="-","",Y270)</f>
        <v>0.19634954084936207</v>
      </c>
      <c r="AA270" s="483">
        <f t="shared" si="35"/>
        <v>0.19634954084936207</v>
      </c>
      <c r="AB270" s="483">
        <v>0.19634954084936207</v>
      </c>
      <c r="AC270" s="482">
        <v>0.19634954084936207</v>
      </c>
      <c r="AD270" s="482">
        <v>0.19634954084936207</v>
      </c>
      <c r="AE270" s="483"/>
      <c r="AF270" s="483"/>
      <c r="AG270" s="483"/>
    </row>
    <row r="271" spans="2:57" hidden="1" outlineLevel="1" x14ac:dyDescent="0.35">
      <c r="D271" s="3832"/>
      <c r="E271" s="3831"/>
      <c r="F271" s="2348" t="s">
        <v>4240</v>
      </c>
      <c r="G271" s="482">
        <v>0.14398966328953219</v>
      </c>
      <c r="H271" s="3829" t="s">
        <v>702</v>
      </c>
      <c r="I271" s="3829"/>
      <c r="J271" s="3887"/>
      <c r="K271" s="3888"/>
      <c r="L271" s="3889"/>
      <c r="V271" s="3886"/>
      <c r="W271" s="483"/>
      <c r="X271" s="483"/>
      <c r="Y271" s="483"/>
      <c r="Z271" s="483"/>
      <c r="AA271" s="483"/>
      <c r="AB271" s="893">
        <v>0.14398966328953219</v>
      </c>
      <c r="AC271" s="482">
        <v>0.14398966328953219</v>
      </c>
      <c r="AD271" s="482">
        <v>0.14398966328953219</v>
      </c>
      <c r="AE271" s="483"/>
      <c r="AF271" s="483"/>
      <c r="AG271" s="483"/>
    </row>
    <row r="272" spans="2:57" ht="42.75" hidden="1" customHeight="1" outlineLevel="1" x14ac:dyDescent="0.35">
      <c r="D272" s="2368" t="s">
        <v>704</v>
      </c>
      <c r="E272" s="2354" t="s">
        <v>705</v>
      </c>
      <c r="F272" s="391" t="s">
        <v>134</v>
      </c>
      <c r="G272" s="124">
        <v>1</v>
      </c>
      <c r="H272" s="3833" t="s">
        <v>706</v>
      </c>
      <c r="I272" s="3833"/>
      <c r="J272" s="3887" t="s">
        <v>194</v>
      </c>
      <c r="K272" s="3888"/>
      <c r="L272" s="3889"/>
      <c r="V272" s="2368" t="s">
        <v>704</v>
      </c>
      <c r="W272" s="124">
        <v>1</v>
      </c>
      <c r="X272" s="124">
        <v>1</v>
      </c>
      <c r="Y272" s="124">
        <v>1</v>
      </c>
      <c r="Z272" s="124">
        <f t="shared" si="35"/>
        <v>1</v>
      </c>
      <c r="AA272" s="124">
        <f t="shared" si="35"/>
        <v>1</v>
      </c>
      <c r="AB272" s="124">
        <v>1</v>
      </c>
      <c r="AC272" s="124">
        <v>1</v>
      </c>
      <c r="AD272" s="124">
        <v>1</v>
      </c>
      <c r="AE272" s="124"/>
      <c r="AF272" s="124"/>
      <c r="AG272" s="124"/>
    </row>
    <row r="273" spans="1:57" hidden="1" outlineLevel="1" x14ac:dyDescent="0.35">
      <c r="D273" s="3830" t="s">
        <v>707</v>
      </c>
      <c r="E273" s="3828" t="s">
        <v>708</v>
      </c>
      <c r="F273" s="391" t="s">
        <v>670</v>
      </c>
      <c r="G273" s="482">
        <f>(PI()*(G292+(G294*2))/12)</f>
        <v>0.45814892864851148</v>
      </c>
      <c r="H273" s="3804" t="s">
        <v>709</v>
      </c>
      <c r="I273" s="3804"/>
      <c r="J273" s="3820" t="s">
        <v>710</v>
      </c>
      <c r="K273" s="3821"/>
      <c r="L273" s="3790"/>
      <c r="V273" s="3885" t="s">
        <v>707</v>
      </c>
      <c r="W273" s="484">
        <f>(PI()*(W292+(W294*2))/12)</f>
        <v>0.45814892864851148</v>
      </c>
      <c r="X273" s="484">
        <f>(PI()*(X292+(X294*2))/12)</f>
        <v>0.45814892864851148</v>
      </c>
      <c r="Y273" s="484">
        <f>(PI()*(Y292+(Y294*2))/12)</f>
        <v>0.45814892864851148</v>
      </c>
      <c r="Z273" s="484">
        <f t="shared" si="35"/>
        <v>0.45814892864851148</v>
      </c>
      <c r="AA273" s="484">
        <f t="shared" si="35"/>
        <v>0.45814892864851148</v>
      </c>
      <c r="AB273" s="484">
        <v>0.45814892864851148</v>
      </c>
      <c r="AC273" s="52">
        <v>0.45814892864851148</v>
      </c>
      <c r="AD273" s="52">
        <v>0.45814892864851148</v>
      </c>
      <c r="AE273" s="484"/>
      <c r="AF273" s="484"/>
      <c r="AG273" s="484"/>
    </row>
    <row r="274" spans="1:57" hidden="1" outlineLevel="1" x14ac:dyDescent="0.35">
      <c r="D274" s="3830"/>
      <c r="E274" s="3828"/>
      <c r="F274" s="2348" t="s">
        <v>4240</v>
      </c>
      <c r="G274" s="482">
        <v>0.40578905108868163</v>
      </c>
      <c r="H274" s="3804" t="s">
        <v>709</v>
      </c>
      <c r="I274" s="3804"/>
      <c r="J274" s="3820"/>
      <c r="K274" s="3821"/>
      <c r="L274" s="3790"/>
      <c r="V274" s="3886"/>
      <c r="W274" s="484"/>
      <c r="X274" s="484"/>
      <c r="Y274" s="484"/>
      <c r="Z274" s="484"/>
      <c r="AA274" s="484"/>
      <c r="AB274" s="478">
        <v>0.40578905108868163</v>
      </c>
      <c r="AC274" s="52">
        <v>0.40578905108868163</v>
      </c>
      <c r="AD274" s="52">
        <v>0.40578905108868163</v>
      </c>
      <c r="AE274" s="484"/>
      <c r="AF274" s="484"/>
      <c r="AG274" s="484"/>
    </row>
    <row r="275" spans="1:57" ht="15.65" hidden="1" customHeight="1" outlineLevel="1" x14ac:dyDescent="0.35">
      <c r="D275" s="3830" t="s">
        <v>711</v>
      </c>
      <c r="E275" s="3828" t="s">
        <v>712</v>
      </c>
      <c r="F275" s="391" t="s">
        <v>670</v>
      </c>
      <c r="G275" s="89">
        <f>1+3.54</f>
        <v>4.54</v>
      </c>
      <c r="H275" s="3804" t="s">
        <v>713</v>
      </c>
      <c r="I275" s="3804"/>
      <c r="J275" s="3820" t="s">
        <v>714</v>
      </c>
      <c r="K275" s="3821"/>
      <c r="L275" s="3790"/>
      <c r="V275" s="3885" t="s">
        <v>711</v>
      </c>
      <c r="W275" s="89">
        <f>4+1</f>
        <v>5</v>
      </c>
      <c r="X275" s="89">
        <f>4+1</f>
        <v>5</v>
      </c>
      <c r="Y275" s="99">
        <f>1+3.54</f>
        <v>4.54</v>
      </c>
      <c r="Z275" s="89">
        <f t="shared" si="35"/>
        <v>4.54</v>
      </c>
      <c r="AA275" s="89">
        <f t="shared" si="35"/>
        <v>4.54</v>
      </c>
      <c r="AB275" s="89">
        <v>4.54</v>
      </c>
      <c r="AC275" s="89">
        <v>4.54</v>
      </c>
      <c r="AD275" s="89">
        <v>4.54</v>
      </c>
      <c r="AE275" s="89"/>
      <c r="AF275" s="89"/>
      <c r="AG275" s="89"/>
    </row>
    <row r="276" spans="1:57" hidden="1" outlineLevel="1" x14ac:dyDescent="0.35">
      <c r="D276" s="3830"/>
      <c r="E276" s="3828"/>
      <c r="F276" s="2348" t="s">
        <v>4240</v>
      </c>
      <c r="G276" s="89">
        <f>1+3.54</f>
        <v>4.54</v>
      </c>
      <c r="H276" s="3804" t="s">
        <v>713</v>
      </c>
      <c r="I276" s="3804"/>
      <c r="J276" s="3820"/>
      <c r="K276" s="3821"/>
      <c r="L276" s="3790"/>
      <c r="V276" s="3886"/>
      <c r="W276" s="89"/>
      <c r="X276" s="89"/>
      <c r="Y276" s="99"/>
      <c r="Z276" s="89"/>
      <c r="AA276" s="89"/>
      <c r="AB276" s="99">
        <v>4.54</v>
      </c>
      <c r="AC276" s="89">
        <v>4.54</v>
      </c>
      <c r="AD276" s="89">
        <v>4.54</v>
      </c>
      <c r="AE276" s="89"/>
      <c r="AF276" s="89"/>
      <c r="AG276" s="89"/>
    </row>
    <row r="277" spans="1:57" ht="29" hidden="1" outlineLevel="1" x14ac:dyDescent="0.35">
      <c r="D277" s="405" t="s">
        <v>715</v>
      </c>
      <c r="E277" s="2353" t="s">
        <v>716</v>
      </c>
      <c r="F277" s="391" t="s">
        <v>134</v>
      </c>
      <c r="G277" s="485">
        <v>1</v>
      </c>
      <c r="H277" s="3804" t="s">
        <v>717</v>
      </c>
      <c r="I277" s="3804"/>
      <c r="J277" s="3820" t="s">
        <v>194</v>
      </c>
      <c r="K277" s="3821"/>
      <c r="L277" s="3790"/>
      <c r="V277" s="2038" t="s">
        <v>715</v>
      </c>
      <c r="W277" s="485">
        <v>1</v>
      </c>
      <c r="X277" s="485">
        <v>1</v>
      </c>
      <c r="Y277" s="485">
        <v>1</v>
      </c>
      <c r="Z277" s="485">
        <f t="shared" si="35"/>
        <v>1</v>
      </c>
      <c r="AA277" s="485">
        <f t="shared" si="35"/>
        <v>1</v>
      </c>
      <c r="AB277" s="485">
        <v>1</v>
      </c>
      <c r="AC277" s="485">
        <v>1</v>
      </c>
      <c r="AD277" s="485">
        <v>1</v>
      </c>
      <c r="AE277" s="485"/>
      <c r="AF277" s="485"/>
      <c r="AG277" s="485"/>
    </row>
    <row r="278" spans="1:57" hidden="1" outlineLevel="1" x14ac:dyDescent="0.35">
      <c r="D278" s="3830" t="s">
        <v>718</v>
      </c>
      <c r="E278" s="3828" t="s">
        <v>719</v>
      </c>
      <c r="F278" s="391" t="s">
        <v>670</v>
      </c>
      <c r="G278" s="485">
        <v>60</v>
      </c>
      <c r="H278" s="3804" t="s">
        <v>706</v>
      </c>
      <c r="I278" s="3804"/>
      <c r="J278" s="3804" t="s">
        <v>720</v>
      </c>
      <c r="K278" s="3804"/>
      <c r="L278" s="3804"/>
      <c r="V278" s="3885" t="s">
        <v>718</v>
      </c>
      <c r="W278" s="485">
        <v>60</v>
      </c>
      <c r="X278" s="485">
        <v>60</v>
      </c>
      <c r="Y278" s="485">
        <v>60</v>
      </c>
      <c r="Z278" s="485">
        <f t="shared" si="35"/>
        <v>60</v>
      </c>
      <c r="AA278" s="485">
        <f t="shared" si="35"/>
        <v>60</v>
      </c>
      <c r="AB278" s="485">
        <v>60</v>
      </c>
      <c r="AC278" s="485">
        <v>60</v>
      </c>
      <c r="AD278" s="485">
        <v>60</v>
      </c>
      <c r="AE278" s="485"/>
      <c r="AF278" s="485"/>
      <c r="AG278" s="485"/>
    </row>
    <row r="279" spans="1:57" hidden="1" outlineLevel="1" x14ac:dyDescent="0.35">
      <c r="D279" s="3830"/>
      <c r="E279" s="3828"/>
      <c r="F279" s="2348" t="s">
        <v>4240</v>
      </c>
      <c r="G279" s="485">
        <v>58.9</v>
      </c>
      <c r="H279" s="3804" t="s">
        <v>520</v>
      </c>
      <c r="I279" s="3804"/>
      <c r="J279" s="3820"/>
      <c r="K279" s="3821"/>
      <c r="L279" s="3790"/>
      <c r="V279" s="3886"/>
      <c r="W279" s="485"/>
      <c r="X279" s="485"/>
      <c r="Y279" s="485"/>
      <c r="Z279" s="485"/>
      <c r="AA279" s="485"/>
      <c r="AB279" s="900">
        <v>58.9</v>
      </c>
      <c r="AC279" s="485">
        <v>58.9</v>
      </c>
      <c r="AD279" s="485">
        <v>58.9</v>
      </c>
      <c r="AE279" s="485"/>
      <c r="AF279" s="485"/>
      <c r="AG279" s="485"/>
    </row>
    <row r="280" spans="1:57" hidden="1" outlineLevel="1" x14ac:dyDescent="0.35">
      <c r="D280" s="391" t="s">
        <v>721</v>
      </c>
      <c r="E280" s="2353" t="s">
        <v>722</v>
      </c>
      <c r="F280" s="391" t="s">
        <v>134</v>
      </c>
      <c r="G280" s="2419">
        <v>8766</v>
      </c>
      <c r="H280" s="3804" t="s">
        <v>706</v>
      </c>
      <c r="I280" s="3804"/>
      <c r="J280" s="3804" t="s">
        <v>720</v>
      </c>
      <c r="K280" s="3804"/>
      <c r="L280" s="3804"/>
      <c r="V280" s="2368" t="s">
        <v>721</v>
      </c>
      <c r="W280" s="2419">
        <v>8766</v>
      </c>
      <c r="X280" s="2419">
        <v>8766</v>
      </c>
      <c r="Y280" s="2419">
        <v>8766</v>
      </c>
      <c r="Z280" s="2419">
        <f t="shared" si="35"/>
        <v>8766</v>
      </c>
      <c r="AA280" s="2419">
        <f t="shared" si="35"/>
        <v>8766</v>
      </c>
      <c r="AB280" s="2419">
        <v>8766</v>
      </c>
      <c r="AC280" s="2419">
        <v>8766</v>
      </c>
      <c r="AD280" s="3089">
        <v>8766</v>
      </c>
      <c r="AE280" s="2419"/>
      <c r="AF280" s="2419"/>
      <c r="AG280" s="2419"/>
    </row>
    <row r="281" spans="1:57" ht="28.5" hidden="1" customHeight="1" outlineLevel="1" x14ac:dyDescent="0.35">
      <c r="D281" s="391" t="s">
        <v>723</v>
      </c>
      <c r="E281" s="2353" t="s">
        <v>724</v>
      </c>
      <c r="F281" s="391" t="s">
        <v>134</v>
      </c>
      <c r="G281" s="487">
        <v>0.98</v>
      </c>
      <c r="H281" s="3804" t="s">
        <v>706</v>
      </c>
      <c r="I281" s="3804"/>
      <c r="J281" s="3804" t="s">
        <v>194</v>
      </c>
      <c r="K281" s="3804" t="s">
        <v>194</v>
      </c>
      <c r="L281" s="3804" t="s">
        <v>194</v>
      </c>
      <c r="V281" s="2368" t="s">
        <v>723</v>
      </c>
      <c r="W281" s="487">
        <v>0.98</v>
      </c>
      <c r="X281" s="487">
        <v>0.98</v>
      </c>
      <c r="Y281" s="487">
        <v>0.98</v>
      </c>
      <c r="Z281" s="487">
        <f t="shared" si="35"/>
        <v>0.98</v>
      </c>
      <c r="AA281" s="487">
        <f t="shared" si="35"/>
        <v>0.98</v>
      </c>
      <c r="AB281" s="487">
        <v>0.98</v>
      </c>
      <c r="AC281" s="487">
        <v>0.98</v>
      </c>
      <c r="AD281" s="487">
        <v>0.98</v>
      </c>
      <c r="AE281" s="487"/>
      <c r="AF281" s="487"/>
      <c r="AG281" s="487"/>
    </row>
    <row r="282" spans="1:57" hidden="1" outlineLevel="1" x14ac:dyDescent="0.35">
      <c r="D282" s="391">
        <v>3412</v>
      </c>
      <c r="E282" s="2353" t="s">
        <v>725</v>
      </c>
      <c r="F282" s="391" t="s">
        <v>134</v>
      </c>
      <c r="G282" s="443">
        <v>3412</v>
      </c>
      <c r="H282" s="3804" t="s">
        <v>706</v>
      </c>
      <c r="I282" s="3804"/>
      <c r="J282" s="3804" t="s">
        <v>720</v>
      </c>
      <c r="K282" s="3804"/>
      <c r="L282" s="3804"/>
      <c r="V282" s="2368">
        <v>3412</v>
      </c>
      <c r="W282" s="443">
        <v>3412</v>
      </c>
      <c r="X282" s="443">
        <v>3412</v>
      </c>
      <c r="Y282" s="443">
        <v>3412</v>
      </c>
      <c r="Z282" s="443">
        <f t="shared" si="35"/>
        <v>3412</v>
      </c>
      <c r="AA282" s="443">
        <f t="shared" si="35"/>
        <v>3412</v>
      </c>
      <c r="AB282" s="443">
        <v>3412</v>
      </c>
      <c r="AC282" s="443">
        <v>3412</v>
      </c>
      <c r="AD282" s="443">
        <v>3412</v>
      </c>
      <c r="AE282" s="443"/>
      <c r="AF282" s="443"/>
      <c r="AG282" s="443"/>
    </row>
    <row r="283" spans="1:57" s="398" customFormat="1" hidden="1" outlineLevel="1" x14ac:dyDescent="0.35">
      <c r="A283" s="486"/>
      <c r="B283" s="486"/>
      <c r="C283" s="1482"/>
      <c r="D283" s="3816" t="s">
        <v>726</v>
      </c>
      <c r="E283" s="3838" t="s">
        <v>597</v>
      </c>
      <c r="F283" s="2333" t="s">
        <v>598</v>
      </c>
      <c r="G283" s="425">
        <v>0.42</v>
      </c>
      <c r="H283" s="3804" t="s">
        <v>727</v>
      </c>
      <c r="I283" s="3804"/>
      <c r="J283" s="3820"/>
      <c r="K283" s="3821"/>
      <c r="L283" s="3790"/>
      <c r="M283" s="486"/>
      <c r="N283" s="486"/>
      <c r="O283" s="486"/>
      <c r="P283" s="486"/>
      <c r="Q283" s="486"/>
      <c r="R283" s="486"/>
      <c r="S283" s="486"/>
      <c r="T283" s="486"/>
      <c r="U283" s="486"/>
      <c r="V283" s="3735" t="s">
        <v>726</v>
      </c>
      <c r="W283" s="447">
        <v>1</v>
      </c>
      <c r="X283" s="449">
        <v>0.34429999999999999</v>
      </c>
      <c r="Y283" s="449">
        <v>0.46360000000000001</v>
      </c>
      <c r="Z283" s="447">
        <f t="shared" ref="Z283" si="36">IF(Z$6="-","",Y283)</f>
        <v>0.46360000000000001</v>
      </c>
      <c r="AA283" s="447">
        <f t="shared" ref="AA283" si="37">IF(AA$6="-","",Z283)</f>
        <v>0.46360000000000001</v>
      </c>
      <c r="AB283" s="428">
        <v>0.42</v>
      </c>
      <c r="AC283" s="447">
        <v>0.42</v>
      </c>
      <c r="AD283" s="447">
        <v>0.42</v>
      </c>
      <c r="AE283" s="447"/>
      <c r="AF283" s="447"/>
      <c r="AG283" s="447"/>
      <c r="AI283"/>
      <c r="AJ283"/>
      <c r="AK283"/>
      <c r="AL283"/>
      <c r="AM283"/>
      <c r="AN283"/>
      <c r="AO283"/>
      <c r="AP283"/>
      <c r="AQ283"/>
      <c r="AR283"/>
      <c r="AS283"/>
      <c r="BD283" s="1"/>
      <c r="BE283" s="1"/>
    </row>
    <row r="284" spans="1:57" s="398" customFormat="1" hidden="1" outlineLevel="1" x14ac:dyDescent="0.35">
      <c r="A284" s="486"/>
      <c r="B284" s="486"/>
      <c r="C284" s="1482"/>
      <c r="D284" s="3839"/>
      <c r="E284" s="3766"/>
      <c r="F284" s="1650" t="s">
        <v>582</v>
      </c>
      <c r="G284" s="425">
        <v>1</v>
      </c>
      <c r="H284" s="3834" t="s">
        <v>728</v>
      </c>
      <c r="I284" s="3834"/>
      <c r="J284" s="3820"/>
      <c r="K284" s="3821"/>
      <c r="L284" s="3790"/>
      <c r="M284" s="486"/>
      <c r="N284" s="486"/>
      <c r="O284" s="486"/>
      <c r="P284" s="486"/>
      <c r="Q284" s="486"/>
      <c r="R284" s="486"/>
      <c r="S284" s="486"/>
      <c r="T284" s="486"/>
      <c r="U284" s="486"/>
      <c r="V284" s="3883"/>
      <c r="W284" s="447"/>
      <c r="X284" s="449"/>
      <c r="Y284" s="449"/>
      <c r="Z284" s="447"/>
      <c r="AA284" s="447"/>
      <c r="AB284" s="425">
        <v>1</v>
      </c>
      <c r="AC284" s="447">
        <v>1</v>
      </c>
      <c r="AD284" s="447">
        <v>1</v>
      </c>
      <c r="AE284" s="447"/>
      <c r="AF284" s="447"/>
      <c r="AG284" s="447"/>
      <c r="AI284"/>
      <c r="AJ284"/>
      <c r="AK284"/>
      <c r="AL284"/>
      <c r="AM284"/>
      <c r="AN284"/>
      <c r="AO284"/>
      <c r="AP284"/>
      <c r="AQ284"/>
      <c r="AR284"/>
      <c r="AS284"/>
      <c r="BD284" s="1"/>
      <c r="BE284" s="1"/>
    </row>
    <row r="285" spans="1:57" s="398" customFormat="1" hidden="1" outlineLevel="1" x14ac:dyDescent="0.35">
      <c r="A285" s="486"/>
      <c r="B285" s="486"/>
      <c r="C285" s="1482"/>
      <c r="D285" s="3817"/>
      <c r="E285" s="3767"/>
      <c r="F285" s="2348" t="s">
        <v>4240</v>
      </c>
      <c r="G285" s="425">
        <v>0.42</v>
      </c>
      <c r="H285" s="3834" t="s">
        <v>727</v>
      </c>
      <c r="I285" s="3834"/>
      <c r="J285" s="3820"/>
      <c r="K285" s="3821"/>
      <c r="L285" s="3790"/>
      <c r="M285" s="486"/>
      <c r="N285" s="486"/>
      <c r="O285" s="486"/>
      <c r="P285" s="486"/>
      <c r="Q285" s="486"/>
      <c r="R285" s="486"/>
      <c r="S285" s="486"/>
      <c r="T285" s="486"/>
      <c r="U285" s="486"/>
      <c r="V285" s="3736"/>
      <c r="W285" s="447"/>
      <c r="X285" s="449"/>
      <c r="Y285" s="449"/>
      <c r="Z285" s="447"/>
      <c r="AA285" s="447"/>
      <c r="AB285" s="428">
        <v>0.42</v>
      </c>
      <c r="AC285" s="447">
        <v>0.42</v>
      </c>
      <c r="AD285" s="447">
        <v>0.42</v>
      </c>
      <c r="AE285" s="447"/>
      <c r="AF285" s="447"/>
      <c r="AG285" s="447"/>
      <c r="AI285"/>
      <c r="AJ285"/>
      <c r="AK285"/>
      <c r="AL285"/>
      <c r="AM285"/>
      <c r="AN285"/>
      <c r="AO285"/>
      <c r="AP285"/>
      <c r="AQ285"/>
      <c r="AR285"/>
      <c r="AS285"/>
      <c r="BD285" s="1"/>
      <c r="BE285" s="1"/>
    </row>
    <row r="286" spans="1:57" s="398" customFormat="1" hidden="1" outlineLevel="1" x14ac:dyDescent="0.35">
      <c r="A286" s="486"/>
      <c r="B286" s="486"/>
      <c r="C286" s="1482"/>
      <c r="D286" s="3804" t="s">
        <v>516</v>
      </c>
      <c r="E286" s="3828" t="s">
        <v>578</v>
      </c>
      <c r="F286" s="2356" t="s">
        <v>598</v>
      </c>
      <c r="G286" s="453">
        <v>0.91869999999999996</v>
      </c>
      <c r="H286" s="3804" t="s">
        <v>729</v>
      </c>
      <c r="I286" s="3804"/>
      <c r="J286" s="3804" t="s">
        <v>730</v>
      </c>
      <c r="K286" s="3804" t="s">
        <v>194</v>
      </c>
      <c r="L286" s="3804" t="s">
        <v>194</v>
      </c>
      <c r="M286" s="486"/>
      <c r="N286" s="486"/>
      <c r="O286" s="486"/>
      <c r="P286" s="486"/>
      <c r="Q286" s="486"/>
      <c r="R286" s="486"/>
      <c r="S286" s="486"/>
      <c r="T286" s="486"/>
      <c r="U286" s="486"/>
      <c r="V286" s="3735" t="s">
        <v>516</v>
      </c>
      <c r="W286" s="453">
        <v>0.86</v>
      </c>
      <c r="X286" s="454">
        <v>0.89859999999999995</v>
      </c>
      <c r="Y286" s="454">
        <v>0.91869999999999996</v>
      </c>
      <c r="Z286" s="453">
        <f t="shared" si="35"/>
        <v>0.91869999999999996</v>
      </c>
      <c r="AA286" s="453">
        <f t="shared" si="35"/>
        <v>0.91869999999999996</v>
      </c>
      <c r="AB286" s="453">
        <v>0.91869999999999996</v>
      </c>
      <c r="AC286" s="453">
        <v>0.91869999999999996</v>
      </c>
      <c r="AD286" s="453">
        <v>0.91869999999999996</v>
      </c>
      <c r="AE286" s="453"/>
      <c r="AF286" s="453"/>
      <c r="AG286" s="453"/>
      <c r="AI286"/>
      <c r="AJ286"/>
      <c r="AK286"/>
      <c r="AL286"/>
      <c r="AM286"/>
      <c r="AN286"/>
      <c r="AO286"/>
      <c r="AP286"/>
      <c r="AQ286"/>
      <c r="AR286"/>
      <c r="AS286"/>
      <c r="BD286" s="1"/>
      <c r="BE286" s="1"/>
    </row>
    <row r="287" spans="1:57" s="398" customFormat="1" hidden="1" outlineLevel="1" x14ac:dyDescent="0.35">
      <c r="A287" s="486"/>
      <c r="B287" s="486"/>
      <c r="C287" s="1482"/>
      <c r="D287" s="3804"/>
      <c r="E287" s="3828"/>
      <c r="F287" s="1650" t="s">
        <v>640</v>
      </c>
      <c r="G287" s="425">
        <v>1</v>
      </c>
      <c r="H287" s="3834" t="s">
        <v>728</v>
      </c>
      <c r="I287" s="3834"/>
      <c r="J287" s="3820"/>
      <c r="K287" s="3821"/>
      <c r="L287" s="3790"/>
      <c r="M287" s="486"/>
      <c r="N287" s="486"/>
      <c r="O287" s="486"/>
      <c r="P287" s="486"/>
      <c r="Q287" s="486"/>
      <c r="R287" s="486"/>
      <c r="S287" s="486"/>
      <c r="T287" s="486"/>
      <c r="U287" s="486"/>
      <c r="V287" s="3736"/>
      <c r="W287" s="453"/>
      <c r="X287" s="454"/>
      <c r="Y287" s="454"/>
      <c r="Z287" s="453"/>
      <c r="AA287" s="453"/>
      <c r="AB287" s="425">
        <v>1</v>
      </c>
      <c r="AC287" s="453">
        <v>1</v>
      </c>
      <c r="AD287" s="453">
        <v>1</v>
      </c>
      <c r="AE287" s="453"/>
      <c r="AF287" s="453"/>
      <c r="AG287" s="453"/>
      <c r="AI287"/>
      <c r="AJ287"/>
      <c r="AK287"/>
      <c r="AL287"/>
      <c r="AM287"/>
      <c r="AN287"/>
      <c r="AO287"/>
      <c r="AP287"/>
      <c r="AQ287"/>
      <c r="AR287"/>
      <c r="AS287"/>
      <c r="BD287" s="1"/>
      <c r="BE287" s="1"/>
    </row>
    <row r="288" spans="1:57" s="398" customFormat="1" hidden="1" outlineLevel="1" x14ac:dyDescent="0.35">
      <c r="A288" s="486"/>
      <c r="B288" s="486"/>
      <c r="C288" s="1482"/>
      <c r="D288" s="3816" t="s">
        <v>132</v>
      </c>
      <c r="E288" s="3838" t="s">
        <v>251</v>
      </c>
      <c r="F288" s="2356" t="s">
        <v>598</v>
      </c>
      <c r="G288" s="453">
        <v>0.56000000000000005</v>
      </c>
      <c r="H288" s="3820" t="s">
        <v>519</v>
      </c>
      <c r="I288" s="3790"/>
      <c r="J288" s="3820"/>
      <c r="K288" s="3821"/>
      <c r="L288" s="3790"/>
      <c r="M288" s="486"/>
      <c r="N288" s="486"/>
      <c r="O288" s="486"/>
      <c r="P288" s="486"/>
      <c r="Q288" s="486"/>
      <c r="R288" s="486"/>
      <c r="S288" s="486"/>
      <c r="T288" s="486"/>
      <c r="U288" s="486"/>
      <c r="V288" s="3735" t="s">
        <v>132</v>
      </c>
      <c r="W288" s="453">
        <v>0.73710263085776917</v>
      </c>
      <c r="X288" s="454">
        <v>0.66101694915254239</v>
      </c>
      <c r="Y288" s="454">
        <v>0.63917525773195871</v>
      </c>
      <c r="Z288" s="453">
        <f t="shared" ref="Z288" si="38">IF(Z$6="-","",Y288)</f>
        <v>0.63917525773195871</v>
      </c>
      <c r="AA288" s="453">
        <f t="shared" ref="AA288" si="39">IF(AA$6="-","",Z288)</f>
        <v>0.63917525773195871</v>
      </c>
      <c r="AB288" s="454">
        <v>0.56000000000000005</v>
      </c>
      <c r="AC288" s="453">
        <v>0.56000000000000005</v>
      </c>
      <c r="AD288" s="453">
        <v>0.56000000000000005</v>
      </c>
      <c r="AE288" s="453"/>
      <c r="AF288" s="453"/>
      <c r="AG288" s="453"/>
      <c r="AI288"/>
      <c r="AJ288"/>
      <c r="AK288"/>
      <c r="AL288"/>
      <c r="AM288"/>
      <c r="AN288"/>
      <c r="AO288"/>
      <c r="AP288"/>
      <c r="AQ288"/>
      <c r="AR288"/>
      <c r="AS288"/>
      <c r="BD288" s="1"/>
      <c r="BE288" s="1"/>
    </row>
    <row r="289" spans="1:57" s="398" customFormat="1" hidden="1" outlineLevel="1" x14ac:dyDescent="0.35">
      <c r="A289" s="486"/>
      <c r="B289" s="486"/>
      <c r="C289" s="1482"/>
      <c r="D289" s="3839"/>
      <c r="E289" s="3766"/>
      <c r="F289" s="1650" t="s">
        <v>582</v>
      </c>
      <c r="G289" s="425">
        <v>1</v>
      </c>
      <c r="H289" s="3834" t="s">
        <v>728</v>
      </c>
      <c r="I289" s="3834"/>
      <c r="J289" s="3820"/>
      <c r="K289" s="3821"/>
      <c r="L289" s="3790"/>
      <c r="M289" s="486"/>
      <c r="N289" s="486"/>
      <c r="O289" s="486"/>
      <c r="P289" s="486"/>
      <c r="Q289" s="486"/>
      <c r="R289" s="486"/>
      <c r="S289" s="486"/>
      <c r="T289" s="486"/>
      <c r="U289" s="486"/>
      <c r="V289" s="3883"/>
      <c r="W289" s="453"/>
      <c r="X289" s="454"/>
      <c r="Y289" s="454"/>
      <c r="Z289" s="453"/>
      <c r="AA289" s="453"/>
      <c r="AB289" s="425">
        <v>1</v>
      </c>
      <c r="AC289" s="453">
        <v>1</v>
      </c>
      <c r="AD289" s="453">
        <v>1</v>
      </c>
      <c r="AE289" s="453"/>
      <c r="AF289" s="453"/>
      <c r="AG289" s="453"/>
      <c r="AI289"/>
      <c r="AJ289"/>
      <c r="AK289"/>
      <c r="AL289"/>
      <c r="AM289"/>
      <c r="AN289"/>
      <c r="AO289"/>
      <c r="AP289"/>
      <c r="AQ289"/>
      <c r="AR289"/>
      <c r="AS289"/>
      <c r="BD289" s="1"/>
      <c r="BE289" s="1"/>
    </row>
    <row r="290" spans="1:57" s="398" customFormat="1" hidden="1" outlineLevel="1" x14ac:dyDescent="0.35">
      <c r="A290" s="486"/>
      <c r="B290" s="486"/>
      <c r="C290" s="1482"/>
      <c r="D290" s="3839"/>
      <c r="E290" s="3766"/>
      <c r="F290" s="2348" t="s">
        <v>4240</v>
      </c>
      <c r="G290" s="453">
        <v>0.96</v>
      </c>
      <c r="H290" s="3804" t="s">
        <v>731</v>
      </c>
      <c r="I290" s="3804"/>
      <c r="J290" s="3820"/>
      <c r="K290" s="3821"/>
      <c r="L290" s="3790"/>
      <c r="M290" s="486"/>
      <c r="N290" s="486"/>
      <c r="O290" s="486"/>
      <c r="P290" s="486"/>
      <c r="Q290" s="486"/>
      <c r="R290" s="486"/>
      <c r="S290" s="486"/>
      <c r="T290" s="486"/>
      <c r="U290" s="486"/>
      <c r="V290" s="3883"/>
      <c r="W290" s="453"/>
      <c r="X290" s="454"/>
      <c r="Y290" s="454"/>
      <c r="Z290" s="453"/>
      <c r="AA290" s="453"/>
      <c r="AB290" s="454">
        <v>0.96</v>
      </c>
      <c r="AC290" s="453">
        <v>0.96</v>
      </c>
      <c r="AD290" s="453">
        <v>0.96</v>
      </c>
      <c r="AE290" s="453"/>
      <c r="AF290" s="453"/>
      <c r="AG290" s="453"/>
      <c r="AI290"/>
      <c r="AJ290"/>
      <c r="AK290"/>
      <c r="AL290"/>
      <c r="AM290"/>
      <c r="AN290"/>
      <c r="AO290"/>
      <c r="AP290"/>
      <c r="AQ290"/>
      <c r="AR290"/>
      <c r="AS290"/>
      <c r="BD290" s="1"/>
      <c r="BE290" s="1"/>
    </row>
    <row r="291" spans="1:57" s="398" customFormat="1" hidden="1" outlineLevel="1" x14ac:dyDescent="0.35">
      <c r="A291" s="486"/>
      <c r="B291" s="486"/>
      <c r="C291" s="1482"/>
      <c r="D291" s="3817"/>
      <c r="E291" s="3767"/>
      <c r="F291" s="2356" t="s">
        <v>522</v>
      </c>
      <c r="G291" s="2016">
        <v>0.41</v>
      </c>
      <c r="H291" s="3882" t="s">
        <v>523</v>
      </c>
      <c r="I291" s="3882"/>
      <c r="J291" s="3820"/>
      <c r="K291" s="3821"/>
      <c r="L291" s="3790"/>
      <c r="M291" s="486"/>
      <c r="N291" s="486"/>
      <c r="O291" s="486"/>
      <c r="P291" s="486"/>
      <c r="Q291" s="486"/>
      <c r="R291" s="486"/>
      <c r="S291" s="486"/>
      <c r="T291" s="486"/>
      <c r="U291" s="486"/>
      <c r="V291" s="3736"/>
      <c r="W291" s="453"/>
      <c r="X291" s="454"/>
      <c r="Y291" s="454"/>
      <c r="Z291" s="453"/>
      <c r="AA291" s="453"/>
      <c r="AB291" s="1776">
        <v>0.41</v>
      </c>
      <c r="AC291" s="453">
        <v>0.41</v>
      </c>
      <c r="AD291" s="453">
        <v>0.41</v>
      </c>
      <c r="AE291" s="453"/>
      <c r="AF291" s="453"/>
      <c r="AG291" s="453"/>
      <c r="AI291"/>
      <c r="AJ291"/>
      <c r="AK291"/>
      <c r="AL291"/>
      <c r="AM291"/>
      <c r="AN291"/>
      <c r="AO291"/>
      <c r="AP291"/>
      <c r="AQ291"/>
      <c r="AR291"/>
      <c r="AS291"/>
      <c r="BD291" s="1"/>
      <c r="BE291" s="1"/>
    </row>
    <row r="292" spans="1:57" s="398" customFormat="1" hidden="1" outlineLevel="1" x14ac:dyDescent="0.35">
      <c r="A292" s="486"/>
      <c r="B292" s="486"/>
      <c r="C292" s="1482"/>
      <c r="D292" s="3804" t="s">
        <v>732</v>
      </c>
      <c r="E292" s="3828" t="s">
        <v>733</v>
      </c>
      <c r="F292" s="2356" t="s">
        <v>670</v>
      </c>
      <c r="G292" s="488">
        <v>0.75</v>
      </c>
      <c r="H292" s="3880" t="s">
        <v>728</v>
      </c>
      <c r="I292" s="3880"/>
      <c r="J292" s="3804"/>
      <c r="K292" s="3804"/>
      <c r="L292" s="3804"/>
      <c r="M292" s="486"/>
      <c r="N292" s="1254" t="s">
        <v>734</v>
      </c>
      <c r="O292" s="486"/>
      <c r="P292" s="486"/>
      <c r="Q292" s="486"/>
      <c r="R292" s="486"/>
      <c r="S292" s="486"/>
      <c r="T292" s="486"/>
      <c r="U292" s="486"/>
      <c r="V292" s="3735" t="s">
        <v>732</v>
      </c>
      <c r="W292" s="488">
        <v>0.75</v>
      </c>
      <c r="X292" s="488">
        <v>0.75</v>
      </c>
      <c r="Y292" s="488">
        <v>0.75</v>
      </c>
      <c r="Z292" s="488"/>
      <c r="AA292" s="488"/>
      <c r="AB292" s="488">
        <v>0.75</v>
      </c>
      <c r="AC292" s="488">
        <v>0.75</v>
      </c>
      <c r="AD292" s="488">
        <v>0.75</v>
      </c>
      <c r="AE292" s="488"/>
      <c r="AF292" s="488"/>
      <c r="AG292" s="488"/>
      <c r="AH292" s="486"/>
      <c r="AI292"/>
      <c r="AJ292"/>
      <c r="AK292"/>
      <c r="AL292"/>
      <c r="AM292"/>
      <c r="AN292"/>
      <c r="AO292"/>
      <c r="AP292"/>
      <c r="AQ292"/>
      <c r="AR292"/>
      <c r="AS292"/>
      <c r="BD292" s="1"/>
      <c r="BE292" s="1"/>
    </row>
    <row r="293" spans="1:57" s="398" customFormat="1" hidden="1" outlineLevel="1" x14ac:dyDescent="0.35">
      <c r="A293" s="486"/>
      <c r="B293" s="486"/>
      <c r="C293" s="1482"/>
      <c r="D293" s="3804"/>
      <c r="E293" s="3828"/>
      <c r="F293" s="2348" t="s">
        <v>4240</v>
      </c>
      <c r="G293" s="488">
        <v>0.55000000000000004</v>
      </c>
      <c r="H293" s="3880" t="s">
        <v>733</v>
      </c>
      <c r="I293" s="3880"/>
      <c r="J293" s="3822"/>
      <c r="K293" s="3823"/>
      <c r="L293" s="3824"/>
      <c r="M293" s="486"/>
      <c r="N293" s="1254"/>
      <c r="O293" s="486"/>
      <c r="P293" s="486"/>
      <c r="Q293" s="486"/>
      <c r="R293" s="486"/>
      <c r="S293" s="486"/>
      <c r="T293" s="486"/>
      <c r="U293" s="486"/>
      <c r="V293" s="3736"/>
      <c r="W293" s="488"/>
      <c r="X293" s="488"/>
      <c r="Y293" s="488"/>
      <c r="Z293" s="488"/>
      <c r="AA293" s="488"/>
      <c r="AB293" s="490">
        <v>0.55000000000000004</v>
      </c>
      <c r="AC293" s="488">
        <v>0.55000000000000004</v>
      </c>
      <c r="AD293" s="488">
        <v>0.55000000000000004</v>
      </c>
      <c r="AE293" s="488"/>
      <c r="AF293" s="488"/>
      <c r="AG293" s="488"/>
      <c r="AH293" s="486"/>
      <c r="AI293"/>
      <c r="AJ293"/>
      <c r="AK293"/>
      <c r="AL293"/>
      <c r="AM293"/>
      <c r="AN293"/>
      <c r="AO293"/>
      <c r="AP293"/>
      <c r="AQ293"/>
      <c r="AR293"/>
      <c r="AS293"/>
      <c r="BD293" s="1"/>
      <c r="BE293" s="1"/>
    </row>
    <row r="294" spans="1:57" s="398" customFormat="1" hidden="1" outlineLevel="1" x14ac:dyDescent="0.35">
      <c r="A294" s="486"/>
      <c r="B294" s="486"/>
      <c r="C294" s="1482"/>
      <c r="D294" s="2333" t="s">
        <v>735</v>
      </c>
      <c r="E294" s="2353" t="s">
        <v>736</v>
      </c>
      <c r="F294" s="2398" t="s">
        <v>134</v>
      </c>
      <c r="G294" s="488">
        <v>0.5</v>
      </c>
      <c r="H294" s="3880" t="s">
        <v>728</v>
      </c>
      <c r="I294" s="3880"/>
      <c r="J294" s="3804"/>
      <c r="K294" s="3804"/>
      <c r="L294" s="3804"/>
      <c r="M294" s="486"/>
      <c r="N294" s="486"/>
      <c r="O294" s="486"/>
      <c r="P294" s="486"/>
      <c r="Q294" s="486"/>
      <c r="R294" s="486"/>
      <c r="S294" s="486"/>
      <c r="T294" s="486"/>
      <c r="U294" s="486"/>
      <c r="V294" s="2333" t="s">
        <v>736</v>
      </c>
      <c r="W294" s="488">
        <v>0.5</v>
      </c>
      <c r="X294" s="490">
        <v>0.5</v>
      </c>
      <c r="Y294" s="490">
        <v>0.5</v>
      </c>
      <c r="Z294" s="490"/>
      <c r="AA294" s="490"/>
      <c r="AB294" s="488">
        <v>0.5</v>
      </c>
      <c r="AC294" s="488">
        <v>0.5</v>
      </c>
      <c r="AD294" s="488">
        <v>0.5</v>
      </c>
      <c r="AE294" s="490"/>
      <c r="AF294" s="490"/>
      <c r="AG294" s="490"/>
      <c r="AH294" s="417"/>
      <c r="AI294"/>
      <c r="AJ294"/>
      <c r="AK294"/>
      <c r="AL294"/>
      <c r="AM294"/>
      <c r="AN294"/>
      <c r="AO294"/>
      <c r="AP294"/>
      <c r="AQ294"/>
      <c r="AR294"/>
      <c r="AS294"/>
      <c r="BD294" s="1"/>
      <c r="BE294" s="1"/>
    </row>
    <row r="295" spans="1:57" hidden="1" outlineLevel="1" x14ac:dyDescent="0.35">
      <c r="B295" s="1040"/>
      <c r="C295" s="217"/>
      <c r="D295" s="277" t="s">
        <v>526</v>
      </c>
      <c r="E295" s="237" t="s">
        <v>166</v>
      </c>
      <c r="F295" s="2398" t="s">
        <v>134</v>
      </c>
      <c r="G295" s="92">
        <v>12</v>
      </c>
      <c r="H295" s="3836"/>
      <c r="I295" s="3836"/>
      <c r="J295" s="3804"/>
      <c r="K295" s="3804"/>
      <c r="L295" s="3804"/>
      <c r="M295" s="226"/>
      <c r="N295" s="199"/>
      <c r="O295" s="199"/>
      <c r="P295" s="199"/>
      <c r="Q295" s="199"/>
      <c r="V295" s="2426" t="s">
        <v>526</v>
      </c>
      <c r="W295" s="92">
        <v>12</v>
      </c>
      <c r="X295" s="92">
        <v>12</v>
      </c>
      <c r="Y295" s="92">
        <v>12</v>
      </c>
      <c r="Z295" s="92">
        <f t="shared" si="35"/>
        <v>12</v>
      </c>
      <c r="AA295" s="92">
        <f t="shared" si="35"/>
        <v>12</v>
      </c>
      <c r="AB295" s="92">
        <v>12</v>
      </c>
      <c r="AC295" s="92">
        <v>12</v>
      </c>
      <c r="AD295" s="92">
        <v>12</v>
      </c>
      <c r="AE295" s="92"/>
      <c r="AF295" s="92"/>
      <c r="AG295" s="92"/>
    </row>
    <row r="296" spans="1:57" hidden="1" outlineLevel="1" x14ac:dyDescent="0.35">
      <c r="B296" s="1040"/>
      <c r="C296" s="217"/>
      <c r="D296" s="1022" t="s">
        <v>169</v>
      </c>
      <c r="E296" s="237" t="s">
        <v>170</v>
      </c>
      <c r="F296" s="2398" t="s">
        <v>134</v>
      </c>
      <c r="G296" s="476">
        <v>2.87</v>
      </c>
      <c r="H296" s="3835"/>
      <c r="I296" s="3835"/>
      <c r="J296" s="3804"/>
      <c r="K296" s="3804"/>
      <c r="L296" s="3804"/>
      <c r="M296" s="226"/>
      <c r="N296" s="199"/>
      <c r="O296" s="199"/>
      <c r="P296" s="199"/>
      <c r="Q296" s="199"/>
      <c r="V296" s="2427" t="s">
        <v>169</v>
      </c>
      <c r="W296" s="476">
        <v>2.87</v>
      </c>
      <c r="X296" s="476">
        <v>2.87</v>
      </c>
      <c r="Y296" s="476">
        <v>2.87</v>
      </c>
      <c r="Z296" s="476">
        <f t="shared" si="35"/>
        <v>2.87</v>
      </c>
      <c r="AA296" s="476">
        <f t="shared" si="35"/>
        <v>2.87</v>
      </c>
      <c r="AB296" s="476">
        <v>2.87</v>
      </c>
      <c r="AC296" s="476">
        <v>2.87</v>
      </c>
      <c r="AD296" s="476">
        <v>2.87</v>
      </c>
      <c r="AE296" s="476"/>
      <c r="AF296" s="476"/>
      <c r="AG296" s="476"/>
    </row>
    <row r="297" spans="1:57" collapsed="1" x14ac:dyDescent="0.35"/>
    <row r="298" spans="1:57" x14ac:dyDescent="0.35">
      <c r="B298" s="3664" t="s">
        <v>737</v>
      </c>
      <c r="C298" s="3665"/>
      <c r="D298" s="3665"/>
      <c r="E298" s="3665"/>
      <c r="F298" s="3665"/>
      <c r="G298" s="3665"/>
      <c r="H298" s="3665"/>
      <c r="I298" s="3666"/>
      <c r="J298" s="3666"/>
      <c r="K298" s="3666"/>
      <c r="L298" s="3666"/>
      <c r="M298" s="3666"/>
      <c r="N298" s="3667"/>
      <c r="V298" s="3664" t="str">
        <f>B298</f>
        <v>Advanced Power Strips Tier 1  / Load Sensing</v>
      </c>
      <c r="W298" s="3665"/>
      <c r="X298" s="3665"/>
      <c r="Y298" s="3665"/>
      <c r="Z298" s="3665"/>
      <c r="AA298" s="3665"/>
      <c r="AB298" s="3665"/>
      <c r="AC298" s="3680"/>
      <c r="AD298" s="3680"/>
      <c r="AE298" s="3680"/>
      <c r="AF298" s="3680"/>
      <c r="AG298" s="3680"/>
      <c r="AH298" s="3681"/>
    </row>
    <row r="300" spans="1:57" ht="29" x14ac:dyDescent="0.35">
      <c r="C300" s="2331" t="s">
        <v>27</v>
      </c>
      <c r="D300" s="2331" t="s">
        <v>174</v>
      </c>
      <c r="E300" s="2331" t="s">
        <v>29</v>
      </c>
      <c r="F300" s="2331" t="s">
        <v>30</v>
      </c>
      <c r="G300" s="2331" t="s">
        <v>175</v>
      </c>
      <c r="H300" s="2331" t="s">
        <v>176</v>
      </c>
      <c r="I300" s="2331" t="s">
        <v>31</v>
      </c>
      <c r="J300" s="2331" t="s">
        <v>180</v>
      </c>
      <c r="K300" s="2331" t="s">
        <v>169</v>
      </c>
      <c r="L300" s="2331" t="s">
        <v>43</v>
      </c>
      <c r="V300" s="480" t="s">
        <v>44</v>
      </c>
      <c r="W300" s="316">
        <f>$W$6</f>
        <v>43252</v>
      </c>
      <c r="X300" s="316">
        <f>$X$6</f>
        <v>43465</v>
      </c>
      <c r="Y300" s="316">
        <f>$Y$6</f>
        <v>43800</v>
      </c>
      <c r="Z300" s="316">
        <f>$Z$6</f>
        <v>43862</v>
      </c>
      <c r="AA300" s="316">
        <f>$AA$6</f>
        <v>44013</v>
      </c>
      <c r="AB300" s="316">
        <f>$AB$6</f>
        <v>44166</v>
      </c>
      <c r="AC300" s="1573">
        <f>$AC$6</f>
        <v>44531</v>
      </c>
      <c r="AD300" s="1573">
        <f>$AD$6</f>
        <v>44774</v>
      </c>
      <c r="AE300" s="1573" t="str">
        <f>$AE$6</f>
        <v>-</v>
      </c>
      <c r="AF300" s="1573" t="str">
        <f>$AF$6</f>
        <v>-</v>
      </c>
      <c r="AG300" s="1573" t="str">
        <f>$AG$6</f>
        <v>-</v>
      </c>
      <c r="BB300" s="1584" t="str">
        <f>$BB$6</f>
        <v>TRC (2022)</v>
      </c>
      <c r="BC300" s="1584" t="str">
        <f>$BC$6</f>
        <v>Benefit Lookup</v>
      </c>
      <c r="BD300" s="200" t="str">
        <f>$BD$6</f>
        <v>Benefits (2019 $)</v>
      </c>
      <c r="BE300" s="200" t="str">
        <f>$BE$6</f>
        <v>Incremental Cost (2019 $)</v>
      </c>
    </row>
    <row r="301" spans="1:57" x14ac:dyDescent="0.35">
      <c r="C301" s="2398" t="s">
        <v>738</v>
      </c>
      <c r="D301" s="88" t="s">
        <v>739</v>
      </c>
      <c r="E301" s="2353" t="s">
        <v>740</v>
      </c>
      <c r="F301" s="461">
        <f>ROUND((G317*G323+G318*G324)*G327,2)</f>
        <v>29.45</v>
      </c>
      <c r="G301" s="491" t="s">
        <v>375</v>
      </c>
      <c r="H301" s="393">
        <f>VLOOKUP(G301,'CP FACTORS'!$A$3:$B$38, 2, FALSE)</f>
        <v>1.148238E-4</v>
      </c>
      <c r="I301" s="394">
        <f t="shared" ref="I301:I309" si="40">ROUND(F301*H301,6)</f>
        <v>3.382E-3</v>
      </c>
      <c r="J301" s="92">
        <f>$G$361</f>
        <v>10</v>
      </c>
      <c r="K301" s="420">
        <f>$G$330</f>
        <v>20</v>
      </c>
      <c r="L301" s="395" t="s">
        <v>184</v>
      </c>
      <c r="R301" s="1214"/>
      <c r="V301" s="1592" t="str">
        <f>F300</f>
        <v>kWh Annual Savings</v>
      </c>
      <c r="W301" s="492">
        <v>31</v>
      </c>
      <c r="X301" s="492">
        <v>31</v>
      </c>
      <c r="Y301" s="48">
        <v>31</v>
      </c>
      <c r="Z301" s="48">
        <v>31</v>
      </c>
      <c r="AA301" s="48">
        <v>31</v>
      </c>
      <c r="AB301" s="1599">
        <v>29.45</v>
      </c>
      <c r="AC301" s="479">
        <v>29.45</v>
      </c>
      <c r="AD301" s="479">
        <v>29.45</v>
      </c>
      <c r="AE301" s="141"/>
      <c r="AF301" s="141"/>
      <c r="AG301" s="141"/>
      <c r="AH301" s="144"/>
      <c r="BB301" s="1974">
        <f t="shared" ref="BB301" si="41">(BD301)/(BE301)</f>
        <v>0.5393865650555788</v>
      </c>
      <c r="BC301" s="2381" t="str">
        <f t="shared" ref="BC301" si="42">CONCATENATE(G301," ",J301," Year EUL")</f>
        <v>Miscellaneous RES 10 Year EUL</v>
      </c>
      <c r="BD301" s="1972">
        <f>(INDEX('Avoided Cost Benefits'!$E$4:$E$859,MATCH(BC301,'Avoided Cost Benefits'!$A$4:$A$859,0)))*F301</f>
        <v>10.181907787740986</v>
      </c>
      <c r="BE301" s="1973">
        <f t="shared" ref="BE301" si="43">K301/(1.0595^(2020-2019))</f>
        <v>18.876828692779611</v>
      </c>
    </row>
    <row r="302" spans="1:57" x14ac:dyDescent="0.35">
      <c r="C302" s="2398" t="s">
        <v>741</v>
      </c>
      <c r="D302" s="88" t="s">
        <v>739</v>
      </c>
      <c r="E302" s="2353" t="s">
        <v>742</v>
      </c>
      <c r="F302" s="461">
        <f>ROUND((G$317*G$323+G$318*G$324)*G$327,2)</f>
        <v>29.45</v>
      </c>
      <c r="G302" s="491" t="s">
        <v>375</v>
      </c>
      <c r="H302" s="393">
        <f>VLOOKUP(G302,'CP FACTORS'!$A$3:$B$38, 2, FALSE)</f>
        <v>1.148238E-4</v>
      </c>
      <c r="I302" s="394">
        <f t="shared" si="40"/>
        <v>3.382E-3</v>
      </c>
      <c r="J302" s="92">
        <f t="shared" ref="J302:J309" si="44">$G$361</f>
        <v>10</v>
      </c>
      <c r="K302" s="420">
        <f>$G$331</f>
        <v>30</v>
      </c>
      <c r="L302" s="395" t="s">
        <v>184</v>
      </c>
      <c r="R302" s="1214"/>
      <c r="V302" s="1592" t="str">
        <f>V301</f>
        <v>kWh Annual Savings</v>
      </c>
      <c r="W302" s="492"/>
      <c r="X302" s="492"/>
      <c r="Y302" s="48"/>
      <c r="Z302" s="48"/>
      <c r="AA302" s="48"/>
      <c r="AB302" s="1599">
        <v>29.45</v>
      </c>
      <c r="AC302" s="479">
        <v>29.45</v>
      </c>
      <c r="AD302" s="479">
        <v>29.45</v>
      </c>
      <c r="AE302" s="141"/>
      <c r="AF302" s="141"/>
      <c r="AG302" s="141"/>
      <c r="AH302" s="144"/>
      <c r="BB302" s="1974">
        <f t="shared" ref="BB302:BB305" si="45">(BD302)/(BE302)</f>
        <v>0.35959104337038583</v>
      </c>
      <c r="BC302" s="2381" t="str">
        <f t="shared" ref="BC302:BC305" si="46">CONCATENATE(G302," ",J302," Year EUL")</f>
        <v>Miscellaneous RES 10 Year EUL</v>
      </c>
      <c r="BD302" s="1972">
        <f>(INDEX('Avoided Cost Benefits'!$E$4:$E$859,MATCH(BC302,'Avoided Cost Benefits'!$A$4:$A$859,0)))*F302</f>
        <v>10.181907787740986</v>
      </c>
      <c r="BE302" s="1973">
        <f t="shared" ref="BE302:BE305" si="47">K302/(1.0595^(2020-2019))</f>
        <v>28.315243039169417</v>
      </c>
    </row>
    <row r="303" spans="1:57" x14ac:dyDescent="0.35">
      <c r="C303" s="2398" t="s">
        <v>743</v>
      </c>
      <c r="D303" s="88" t="s">
        <v>739</v>
      </c>
      <c r="E303" s="2353" t="s">
        <v>744</v>
      </c>
      <c r="F303" s="461">
        <f>ROUND((G$317*G$323+G$318*G$324)*G$328,2)</f>
        <v>29.08</v>
      </c>
      <c r="G303" s="491" t="s">
        <v>375</v>
      </c>
      <c r="H303" s="393">
        <f>VLOOKUP(G303,'CP FACTORS'!$A$3:$B$38, 2, FALSE)</f>
        <v>1.148238E-4</v>
      </c>
      <c r="I303" s="394">
        <f t="shared" si="40"/>
        <v>3.339E-3</v>
      </c>
      <c r="J303" s="92">
        <f t="shared" si="44"/>
        <v>10</v>
      </c>
      <c r="K303" s="420">
        <f>$G$330</f>
        <v>20</v>
      </c>
      <c r="L303" s="395" t="s">
        <v>184</v>
      </c>
      <c r="R303" s="1214"/>
      <c r="V303" s="1592" t="str">
        <f t="shared" ref="V303:V309" si="48">V302</f>
        <v>kWh Annual Savings</v>
      </c>
      <c r="W303" s="492">
        <v>24.18</v>
      </c>
      <c r="X303" s="492">
        <v>24.18</v>
      </c>
      <c r="Y303" s="48">
        <v>24.18</v>
      </c>
      <c r="Z303" s="48">
        <v>24.18</v>
      </c>
      <c r="AA303" s="48">
        <v>24.18</v>
      </c>
      <c r="AB303" s="1599">
        <v>29.08</v>
      </c>
      <c r="AC303" s="479">
        <v>29.08</v>
      </c>
      <c r="AD303" s="479">
        <v>29.08</v>
      </c>
      <c r="AE303" s="141"/>
      <c r="AF303" s="141"/>
      <c r="AG303" s="141"/>
      <c r="AH303" s="144"/>
      <c r="BB303" s="1974">
        <f t="shared" si="45"/>
        <v>0.53260989174248663</v>
      </c>
      <c r="BC303" s="2381" t="str">
        <f t="shared" si="46"/>
        <v>Miscellaneous RES 10 Year EUL</v>
      </c>
      <c r="BD303" s="1972">
        <f>(INDEX('Avoided Cost Benefits'!$E$4:$E$859,MATCH(BC303,'Avoided Cost Benefits'!$A$4:$A$859,0)))*F303</f>
        <v>10.053985686502815</v>
      </c>
      <c r="BE303" s="1973">
        <f t="shared" si="47"/>
        <v>18.876828692779611</v>
      </c>
    </row>
    <row r="304" spans="1:57" x14ac:dyDescent="0.35">
      <c r="C304" s="2398" t="s">
        <v>745</v>
      </c>
      <c r="D304" s="88" t="s">
        <v>739</v>
      </c>
      <c r="E304" s="2353" t="s">
        <v>746</v>
      </c>
      <c r="F304" s="461">
        <f>ROUND((G$317*G$319+G$318*G$320)*G$327,2)</f>
        <v>71.349999999999994</v>
      </c>
      <c r="G304" s="491" t="s">
        <v>375</v>
      </c>
      <c r="H304" s="393">
        <f>VLOOKUP(G304,'CP FACTORS'!$A$3:$B$38, 2, FALSE)</f>
        <v>1.148238E-4</v>
      </c>
      <c r="I304" s="394">
        <f t="shared" si="40"/>
        <v>8.1930000000000006E-3</v>
      </c>
      <c r="J304" s="92">
        <f t="shared" si="44"/>
        <v>10</v>
      </c>
      <c r="K304" s="420">
        <f>$G$330</f>
        <v>20</v>
      </c>
      <c r="L304" s="395" t="s">
        <v>184</v>
      </c>
      <c r="R304" s="1214"/>
      <c r="V304" s="1592" t="str">
        <f t="shared" si="48"/>
        <v>kWh Annual Savings</v>
      </c>
      <c r="W304" s="492">
        <v>75.099999999999994</v>
      </c>
      <c r="X304" s="492">
        <v>75.099999999999994</v>
      </c>
      <c r="Y304" s="48">
        <v>75.099999999999994</v>
      </c>
      <c r="Z304" s="48">
        <v>75.099999999999994</v>
      </c>
      <c r="AA304" s="48">
        <v>75.099999999999994</v>
      </c>
      <c r="AB304" s="1599">
        <v>71.349999999999994</v>
      </c>
      <c r="AC304" s="479">
        <v>71.349999999999994</v>
      </c>
      <c r="AD304" s="479">
        <v>71.349999999999994</v>
      </c>
      <c r="AE304" s="141"/>
      <c r="AF304" s="141"/>
      <c r="AG304" s="141"/>
      <c r="AH304" s="144"/>
      <c r="BB304" s="1974">
        <f t="shared" si="45"/>
        <v>1.3067990294300695</v>
      </c>
      <c r="BC304" s="2381" t="str">
        <f t="shared" si="46"/>
        <v>Miscellaneous RES 10 Year EUL</v>
      </c>
      <c r="BD304" s="1972">
        <f>(INDEX('Avoided Cost Benefits'!$E$4:$E$859,MATCH(BC304,'Avoided Cost Benefits'!$A$4:$A$859,0)))*F304</f>
        <v>24.668221414442083</v>
      </c>
      <c r="BE304" s="1973">
        <f t="shared" si="47"/>
        <v>18.876828692779611</v>
      </c>
    </row>
    <row r="305" spans="3:69" x14ac:dyDescent="0.35">
      <c r="C305" s="2398" t="s">
        <v>747</v>
      </c>
      <c r="D305" s="88" t="s">
        <v>739</v>
      </c>
      <c r="E305" s="2353" t="s">
        <v>748</v>
      </c>
      <c r="F305" s="461">
        <f>ROUND((G$317*G$319+G$318*G$320)*G$327,2)</f>
        <v>71.349999999999994</v>
      </c>
      <c r="G305" s="491" t="s">
        <v>375</v>
      </c>
      <c r="H305" s="393">
        <f>VLOOKUP(G305,'CP FACTORS'!$A$3:$B$38, 2, FALSE)</f>
        <v>1.148238E-4</v>
      </c>
      <c r="I305" s="394">
        <f t="shared" si="40"/>
        <v>8.1930000000000006E-3</v>
      </c>
      <c r="J305" s="92">
        <f t="shared" si="44"/>
        <v>10</v>
      </c>
      <c r="K305" s="420">
        <f>$G$331</f>
        <v>30</v>
      </c>
      <c r="L305" s="395" t="s">
        <v>184</v>
      </c>
      <c r="R305" s="1214"/>
      <c r="V305" s="1592" t="str">
        <f t="shared" si="48"/>
        <v>kWh Annual Savings</v>
      </c>
      <c r="W305" s="492"/>
      <c r="X305" s="492"/>
      <c r="Y305" s="48"/>
      <c r="Z305" s="48"/>
      <c r="AA305" s="48"/>
      <c r="AB305" s="1599">
        <v>71.349999999999994</v>
      </c>
      <c r="AC305" s="479">
        <v>71.349999999999994</v>
      </c>
      <c r="AD305" s="479">
        <v>71.349999999999994</v>
      </c>
      <c r="AE305" s="141"/>
      <c r="AF305" s="141"/>
      <c r="AG305" s="141"/>
      <c r="AH305" s="144"/>
      <c r="BB305" s="1974">
        <f t="shared" si="45"/>
        <v>0.87119935295337969</v>
      </c>
      <c r="BC305" s="2381" t="str">
        <f t="shared" si="46"/>
        <v>Miscellaneous RES 10 Year EUL</v>
      </c>
      <c r="BD305" s="1972">
        <f>(INDEX('Avoided Cost Benefits'!$E$4:$E$859,MATCH(BC305,'Avoided Cost Benefits'!$A$4:$A$859,0)))*F305</f>
        <v>24.668221414442083</v>
      </c>
      <c r="BE305" s="1973">
        <f t="shared" si="47"/>
        <v>28.315243039169417</v>
      </c>
    </row>
    <row r="306" spans="3:69" x14ac:dyDescent="0.35">
      <c r="C306" s="2398" t="s">
        <v>749</v>
      </c>
      <c r="D306" s="88" t="s">
        <v>739</v>
      </c>
      <c r="E306" s="2353" t="s">
        <v>750</v>
      </c>
      <c r="F306" s="461">
        <f>ROUND((G$317*G$319+G$318*G$320)*G$328,2)</f>
        <v>70.44</v>
      </c>
      <c r="G306" s="491" t="s">
        <v>375</v>
      </c>
      <c r="H306" s="393">
        <f>VLOOKUP(G306,'CP FACTORS'!$A$3:$B$38, 2, FALSE)</f>
        <v>1.148238E-4</v>
      </c>
      <c r="I306" s="394">
        <f t="shared" si="40"/>
        <v>8.0879999999999997E-3</v>
      </c>
      <c r="J306" s="92">
        <f t="shared" si="44"/>
        <v>10</v>
      </c>
      <c r="K306" s="420">
        <f>$G$330</f>
        <v>20</v>
      </c>
      <c r="L306" s="395" t="s">
        <v>184</v>
      </c>
      <c r="R306" s="1214"/>
      <c r="V306" s="1592" t="str">
        <f t="shared" si="48"/>
        <v>kWh Annual Savings</v>
      </c>
      <c r="W306" s="492">
        <v>58.577999999999996</v>
      </c>
      <c r="X306" s="492">
        <v>58.577999999999996</v>
      </c>
      <c r="Y306" s="48">
        <v>58.58</v>
      </c>
      <c r="Z306" s="48">
        <v>58.58</v>
      </c>
      <c r="AA306" s="48">
        <v>58.58</v>
      </c>
      <c r="AB306" s="1599">
        <v>70.44</v>
      </c>
      <c r="AC306" s="479">
        <v>70.44</v>
      </c>
      <c r="AD306" s="479">
        <v>70.44</v>
      </c>
      <c r="AE306" s="141"/>
      <c r="AF306" s="141"/>
      <c r="AG306" s="141"/>
      <c r="AH306" s="144"/>
      <c r="BB306" s="1974">
        <f t="shared" ref="BB306:BB309" si="49">(BD306)/(BE306)</f>
        <v>1.2901320761465187</v>
      </c>
      <c r="BC306" s="2381" t="str">
        <f t="shared" ref="BC306:BC309" si="50">CONCATENATE(G306," ",J306," Year EUL")</f>
        <v>Miscellaneous RES 10 Year EUL</v>
      </c>
      <c r="BD306" s="1972">
        <f>(INDEX('Avoided Cost Benefits'!$E$4:$E$859,MATCH(BC306,'Avoided Cost Benefits'!$A$4:$A$859,0)))*F306</f>
        <v>24.353602192477933</v>
      </c>
      <c r="BE306" s="1973">
        <f t="shared" ref="BE306:BE309" si="51">K306/(1.0595^(2020-2019))</f>
        <v>18.876828692779611</v>
      </c>
    </row>
    <row r="307" spans="3:69" x14ac:dyDescent="0.35">
      <c r="C307" s="2398" t="s">
        <v>751</v>
      </c>
      <c r="D307" s="88" t="s">
        <v>739</v>
      </c>
      <c r="E307" s="2353" t="s">
        <v>752</v>
      </c>
      <c r="F307" s="461">
        <f>ROUND((G$317*G$325+G$318*G$321)*G$327,2)</f>
        <v>56.26</v>
      </c>
      <c r="G307" s="491" t="s">
        <v>375</v>
      </c>
      <c r="H307" s="393">
        <f>VLOOKUP(G307,'CP FACTORS'!$A$3:$B$38, 2, FALSE)</f>
        <v>1.148238E-4</v>
      </c>
      <c r="I307" s="394">
        <f t="shared" si="40"/>
        <v>6.4599999999999996E-3</v>
      </c>
      <c r="J307" s="92">
        <f t="shared" si="44"/>
        <v>10</v>
      </c>
      <c r="K307" s="420">
        <f>$G$330</f>
        <v>20</v>
      </c>
      <c r="L307" s="395" t="s">
        <v>184</v>
      </c>
      <c r="R307" s="1214"/>
      <c r="V307" s="1592" t="str">
        <f t="shared" si="48"/>
        <v>kWh Annual Savings</v>
      </c>
      <c r="W307" s="492">
        <v>59.224000000000004</v>
      </c>
      <c r="X307" s="492">
        <v>59.224000000000004</v>
      </c>
      <c r="Y307" s="48">
        <v>59.22</v>
      </c>
      <c r="Z307" s="48">
        <v>59.22</v>
      </c>
      <c r="AA307" s="48">
        <v>59.22</v>
      </c>
      <c r="AB307" s="1599">
        <v>56.26</v>
      </c>
      <c r="AC307" s="479">
        <v>56.26</v>
      </c>
      <c r="AD307" s="479">
        <v>56.26</v>
      </c>
      <c r="AE307" s="141"/>
      <c r="AF307" s="141"/>
      <c r="AG307" s="141"/>
      <c r="AH307" s="144"/>
      <c r="BB307" s="1974">
        <f t="shared" si="49"/>
        <v>1.030420650255581</v>
      </c>
      <c r="BC307" s="2381" t="str">
        <f t="shared" si="50"/>
        <v>Miscellaneous RES 10 Year EUL</v>
      </c>
      <c r="BD307" s="1972">
        <f>(INDEX('Avoided Cost Benefits'!$E$4:$E$859,MATCH(BC307,'Avoided Cost Benefits'!$A$4:$A$859,0)))*F307</f>
        <v>19.451074096377177</v>
      </c>
      <c r="BE307" s="1973">
        <f t="shared" si="51"/>
        <v>18.876828692779611</v>
      </c>
    </row>
    <row r="308" spans="3:69" x14ac:dyDescent="0.35">
      <c r="C308" s="2398" t="s">
        <v>753</v>
      </c>
      <c r="D308" s="88" t="s">
        <v>739</v>
      </c>
      <c r="E308" s="2353" t="s">
        <v>754</v>
      </c>
      <c r="F308" s="461">
        <f>ROUND((G$317*G$325+G$318*G$321)*G$327,2)</f>
        <v>56.26</v>
      </c>
      <c r="G308" s="491" t="s">
        <v>375</v>
      </c>
      <c r="H308" s="393">
        <f>VLOOKUP(G308,'CP FACTORS'!$A$3:$B$38, 2, FALSE)</f>
        <v>1.148238E-4</v>
      </c>
      <c r="I308" s="394">
        <f t="shared" si="40"/>
        <v>6.4599999999999996E-3</v>
      </c>
      <c r="J308" s="92">
        <f t="shared" si="44"/>
        <v>10</v>
      </c>
      <c r="K308" s="420">
        <f>$G$331</f>
        <v>30</v>
      </c>
      <c r="L308" s="395" t="s">
        <v>184</v>
      </c>
      <c r="R308" s="1214"/>
      <c r="V308" s="1592" t="str">
        <f t="shared" si="48"/>
        <v>kWh Annual Savings</v>
      </c>
      <c r="W308" s="492"/>
      <c r="X308" s="492"/>
      <c r="Y308" s="48"/>
      <c r="Z308" s="48"/>
      <c r="AA308" s="48"/>
      <c r="AB308" s="1599">
        <v>56.26</v>
      </c>
      <c r="AC308" s="479">
        <v>56.26</v>
      </c>
      <c r="AD308" s="479">
        <v>56.26</v>
      </c>
      <c r="AE308" s="141"/>
      <c r="AF308" s="141"/>
      <c r="AG308" s="141"/>
      <c r="AH308" s="144"/>
      <c r="BB308" s="1974">
        <f t="shared" si="49"/>
        <v>0.6869471001703874</v>
      </c>
      <c r="BC308" s="2381" t="str">
        <f t="shared" si="50"/>
        <v>Miscellaneous RES 10 Year EUL</v>
      </c>
      <c r="BD308" s="1972">
        <f>(INDEX('Avoided Cost Benefits'!$E$4:$E$859,MATCH(BC308,'Avoided Cost Benefits'!$A$4:$A$859,0)))*F308</f>
        <v>19.451074096377177</v>
      </c>
      <c r="BE308" s="1973">
        <f t="shared" si="51"/>
        <v>28.315243039169417</v>
      </c>
    </row>
    <row r="309" spans="3:69" x14ac:dyDescent="0.35">
      <c r="C309" s="2398" t="s">
        <v>755</v>
      </c>
      <c r="D309" s="88" t="s">
        <v>739</v>
      </c>
      <c r="E309" s="2353" t="s">
        <v>756</v>
      </c>
      <c r="F309" s="461">
        <f>ROUND((G$317*G$326+G$318*G$322)*G$328,2)</f>
        <v>50.59</v>
      </c>
      <c r="G309" s="491" t="s">
        <v>375</v>
      </c>
      <c r="H309" s="393">
        <f>VLOOKUP(G309,'CP FACTORS'!$A$3:$B$38, 2, FALSE)</f>
        <v>1.148238E-4</v>
      </c>
      <c r="I309" s="394">
        <f t="shared" si="40"/>
        <v>5.8089999999999999E-3</v>
      </c>
      <c r="J309" s="92">
        <f t="shared" si="44"/>
        <v>10</v>
      </c>
      <c r="K309" s="420">
        <f>$G$330</f>
        <v>20</v>
      </c>
      <c r="L309" s="395" t="s">
        <v>184</v>
      </c>
      <c r="R309" s="1214"/>
      <c r="V309" s="1592" t="str">
        <f t="shared" si="48"/>
        <v>kWh Annual Savings</v>
      </c>
      <c r="W309" s="492">
        <v>42.066960000000002</v>
      </c>
      <c r="X309" s="492">
        <v>42.066960000000002</v>
      </c>
      <c r="Y309" s="48">
        <v>42.07</v>
      </c>
      <c r="Z309" s="48">
        <v>42.07</v>
      </c>
      <c r="AA309" s="48">
        <v>42.07</v>
      </c>
      <c r="AB309" s="1599">
        <v>50.59</v>
      </c>
      <c r="AC309" s="479">
        <v>50.59</v>
      </c>
      <c r="AD309" s="479">
        <v>50.59</v>
      </c>
      <c r="AE309" s="141"/>
      <c r="AF309" s="141"/>
      <c r="AG309" s="141"/>
      <c r="AH309" s="144"/>
      <c r="BB309" s="1974">
        <f t="shared" si="49"/>
        <v>0.9265727105657634</v>
      </c>
      <c r="BC309" s="2381" t="str">
        <f t="shared" si="50"/>
        <v>Miscellaneous RES 10 Year EUL</v>
      </c>
      <c r="BD309" s="1972">
        <f>(INDEX('Avoided Cost Benefits'!$E$4:$E$859,MATCH(BC309,'Avoided Cost Benefits'!$A$4:$A$859,0)))*F309</f>
        <v>17.490754328754381</v>
      </c>
      <c r="BE309" s="1973">
        <f t="shared" si="51"/>
        <v>18.876828692779611</v>
      </c>
    </row>
    <row r="310" spans="3:69" hidden="1" outlineLevel="1" x14ac:dyDescent="0.35">
      <c r="D310" s="3076"/>
      <c r="X310" s="130" t="s">
        <v>395</v>
      </c>
      <c r="Y310" s="130" t="s">
        <v>396</v>
      </c>
    </row>
    <row r="311" spans="3:69" hidden="1" outlineLevel="1" x14ac:dyDescent="0.35">
      <c r="D311" s="3066" t="s">
        <v>107</v>
      </c>
    </row>
    <row r="312" spans="3:69" hidden="1" outlineLevel="1" x14ac:dyDescent="0.35">
      <c r="D312" s="3076"/>
    </row>
    <row r="313" spans="3:69" hidden="1" outlineLevel="1" x14ac:dyDescent="0.35"/>
    <row r="314" spans="3:69" hidden="1" outlineLevel="1" x14ac:dyDescent="0.35"/>
    <row r="315" spans="3:69" hidden="1" outlineLevel="1" x14ac:dyDescent="0.35"/>
    <row r="316" spans="3:69" hidden="1" outlineLevel="1" x14ac:dyDescent="0.35">
      <c r="D316" s="2423" t="s">
        <v>108</v>
      </c>
      <c r="E316" s="2404" t="s">
        <v>109</v>
      </c>
      <c r="F316" s="2331" t="s">
        <v>185</v>
      </c>
      <c r="G316" s="2331" t="s">
        <v>111</v>
      </c>
      <c r="H316" s="3741" t="s">
        <v>282</v>
      </c>
      <c r="I316" s="3741"/>
      <c r="K316" s="486"/>
      <c r="M316" s="106"/>
      <c r="V316" s="480" t="s">
        <v>44</v>
      </c>
      <c r="W316" s="316">
        <f>$W$6</f>
        <v>43252</v>
      </c>
      <c r="X316" s="316">
        <f>$X$6</f>
        <v>43465</v>
      </c>
      <c r="Y316" s="316">
        <f>$Y$6</f>
        <v>43800</v>
      </c>
      <c r="Z316" s="316">
        <f>$Z$6</f>
        <v>43862</v>
      </c>
      <c r="AA316" s="316">
        <f>$AA$6</f>
        <v>44013</v>
      </c>
      <c r="AB316" s="316">
        <f>$AB$6</f>
        <v>44166</v>
      </c>
      <c r="AC316" s="1573">
        <f>$AC$6</f>
        <v>44531</v>
      </c>
      <c r="AD316" s="1573">
        <f>$AD$6</f>
        <v>44774</v>
      </c>
      <c r="AE316" s="1573" t="str">
        <f>$AE$6</f>
        <v>-</v>
      </c>
      <c r="AF316" s="1573" t="str">
        <f>$AF$6</f>
        <v>-</v>
      </c>
      <c r="AG316" s="1573" t="str">
        <f>$AG$6</f>
        <v>-</v>
      </c>
      <c r="AH316" s="423"/>
      <c r="BF316" s="1777"/>
      <c r="BG316" s="1777"/>
      <c r="BH316" s="1777"/>
      <c r="BI316" s="1777"/>
      <c r="BJ316" s="1777"/>
      <c r="BK316" s="1777"/>
      <c r="BL316" s="1777"/>
      <c r="BM316" s="1777"/>
      <c r="BN316" s="1777"/>
      <c r="BO316" s="1777"/>
      <c r="BP316" s="1777"/>
      <c r="BQ316" s="1777"/>
    </row>
    <row r="317" spans="3:69" hidden="1" outlineLevel="1" x14ac:dyDescent="0.35">
      <c r="D317" s="3734" t="s">
        <v>757</v>
      </c>
      <c r="E317" s="3831" t="s">
        <v>758</v>
      </c>
      <c r="F317" s="2398" t="s">
        <v>759</v>
      </c>
      <c r="G317" s="2419">
        <v>31</v>
      </c>
      <c r="H317" s="3897"/>
      <c r="I317" s="3898"/>
      <c r="K317" s="486"/>
      <c r="M317" s="106"/>
      <c r="V317" s="3735" t="s">
        <v>758</v>
      </c>
      <c r="W317" s="493">
        <v>31</v>
      </c>
      <c r="X317" s="493">
        <v>31</v>
      </c>
      <c r="Y317" s="493">
        <v>31</v>
      </c>
      <c r="Z317" s="493">
        <v>31</v>
      </c>
      <c r="AA317" s="493">
        <v>31</v>
      </c>
      <c r="AB317" s="2419">
        <v>31</v>
      </c>
      <c r="AC317" s="493">
        <v>31</v>
      </c>
      <c r="AD317" s="493">
        <v>31</v>
      </c>
      <c r="AE317" s="493"/>
      <c r="AF317" s="493"/>
      <c r="AG317" s="493"/>
      <c r="BF317" s="1660"/>
      <c r="BG317" s="1660"/>
      <c r="BH317" s="1660"/>
      <c r="BI317" s="1660"/>
      <c r="BJ317" s="1660"/>
      <c r="BK317" s="1660"/>
      <c r="BL317" s="1660"/>
      <c r="BM317" s="1660"/>
      <c r="BN317" s="1660"/>
      <c r="BO317" s="1660"/>
      <c r="BP317" s="1660"/>
      <c r="BQ317" s="1660"/>
    </row>
    <row r="318" spans="3:69" hidden="1" outlineLevel="1" x14ac:dyDescent="0.35">
      <c r="D318" s="3734"/>
      <c r="E318" s="3831"/>
      <c r="F318" s="2398" t="s">
        <v>760</v>
      </c>
      <c r="G318" s="2419">
        <v>75.099999999999994</v>
      </c>
      <c r="H318" s="3897"/>
      <c r="I318" s="3898"/>
      <c r="K318" s="486"/>
      <c r="M318" s="106"/>
      <c r="V318" s="3736"/>
      <c r="W318" s="493"/>
      <c r="X318" s="493"/>
      <c r="Y318" s="493"/>
      <c r="Z318" s="493"/>
      <c r="AA318" s="493"/>
      <c r="AB318" s="2419">
        <v>75.099999999999994</v>
      </c>
      <c r="AC318" s="493">
        <v>75.099999999999994</v>
      </c>
      <c r="AD318" s="493">
        <v>75.099999999999994</v>
      </c>
      <c r="AE318" s="493"/>
      <c r="AF318" s="493"/>
      <c r="AG318" s="493"/>
      <c r="BF318" s="1660"/>
      <c r="BG318" s="1660"/>
      <c r="BH318" s="1660"/>
      <c r="BI318" s="1660"/>
      <c r="BJ318" s="1660"/>
      <c r="BK318" s="1660"/>
      <c r="BL318" s="1660"/>
      <c r="BM318" s="1660"/>
      <c r="BN318" s="1660"/>
      <c r="BO318" s="1660"/>
      <c r="BP318" s="1660"/>
      <c r="BQ318" s="1660"/>
    </row>
    <row r="319" spans="3:69" hidden="1" outlineLevel="1" x14ac:dyDescent="0.35">
      <c r="D319" s="3734" t="s">
        <v>761</v>
      </c>
      <c r="E319" s="3828" t="s">
        <v>762</v>
      </c>
      <c r="F319" s="2398" t="s">
        <v>759</v>
      </c>
      <c r="G319" s="188">
        <v>0</v>
      </c>
      <c r="H319" s="3897"/>
      <c r="I319" s="3898"/>
      <c r="K319" s="486"/>
      <c r="M319" s="106"/>
      <c r="V319" s="3816" t="s">
        <v>762</v>
      </c>
      <c r="W319" s="494">
        <v>0</v>
      </c>
      <c r="X319" s="494">
        <v>0</v>
      </c>
      <c r="Y319" s="494">
        <v>0</v>
      </c>
      <c r="Z319" s="494">
        <v>0</v>
      </c>
      <c r="AA319" s="494">
        <v>0</v>
      </c>
      <c r="AB319" s="188">
        <v>0</v>
      </c>
      <c r="AC319" s="414">
        <v>0</v>
      </c>
      <c r="AD319" s="414">
        <v>0</v>
      </c>
      <c r="AE319" s="494"/>
      <c r="AF319" s="494"/>
      <c r="AG319" s="494"/>
      <c r="BF319" s="1660"/>
      <c r="BG319" s="1660"/>
      <c r="BH319" s="1660"/>
      <c r="BI319" s="1660"/>
      <c r="BJ319" s="1660"/>
      <c r="BK319" s="1660"/>
      <c r="BL319" s="1660"/>
      <c r="BM319" s="1660"/>
      <c r="BN319" s="1660"/>
      <c r="BO319" s="1660"/>
      <c r="BP319" s="1660"/>
      <c r="BQ319" s="1660"/>
    </row>
    <row r="320" spans="3:69" hidden="1" outlineLevel="1" x14ac:dyDescent="0.35">
      <c r="D320" s="3734"/>
      <c r="E320" s="3828"/>
      <c r="F320" s="2398" t="s">
        <v>760</v>
      </c>
      <c r="G320" s="188">
        <v>1</v>
      </c>
      <c r="H320" s="3897"/>
      <c r="I320" s="3898"/>
      <c r="K320" s="486"/>
      <c r="M320" s="106"/>
      <c r="V320" s="3839"/>
      <c r="W320" s="494"/>
      <c r="X320" s="494"/>
      <c r="Y320" s="494"/>
      <c r="Z320" s="494"/>
      <c r="AA320" s="494"/>
      <c r="AB320" s="188">
        <v>1</v>
      </c>
      <c r="AC320" s="414">
        <v>1</v>
      </c>
      <c r="AD320" s="414">
        <v>1</v>
      </c>
      <c r="AE320" s="494"/>
      <c r="AF320" s="494"/>
      <c r="AG320" s="494"/>
      <c r="BF320" s="1660"/>
      <c r="BG320" s="1660"/>
      <c r="BH320" s="1660"/>
      <c r="BI320" s="1660"/>
      <c r="BJ320" s="1660"/>
      <c r="BK320" s="1660"/>
      <c r="BL320" s="1660"/>
      <c r="BM320" s="1660"/>
      <c r="BN320" s="1660"/>
      <c r="BO320" s="1660"/>
      <c r="BP320" s="1660"/>
      <c r="BQ320" s="1660"/>
    </row>
    <row r="321" spans="2:69" ht="29" hidden="1" outlineLevel="1" x14ac:dyDescent="0.35">
      <c r="D321" s="3734"/>
      <c r="E321" s="3828"/>
      <c r="F321" s="2333" t="s">
        <v>763</v>
      </c>
      <c r="G321" s="188">
        <v>0.64</v>
      </c>
      <c r="H321" s="3897"/>
      <c r="I321" s="3898"/>
      <c r="K321" s="486"/>
      <c r="M321" s="106"/>
      <c r="V321" s="3839"/>
      <c r="W321" s="494"/>
      <c r="X321" s="494"/>
      <c r="Y321" s="494"/>
      <c r="Z321" s="494"/>
      <c r="AA321" s="494"/>
      <c r="AB321" s="188">
        <v>0.64</v>
      </c>
      <c r="AC321" s="414">
        <v>0.64</v>
      </c>
      <c r="AD321" s="414">
        <v>0.64</v>
      </c>
      <c r="AE321" s="494"/>
      <c r="AF321" s="494"/>
      <c r="AG321" s="494"/>
      <c r="BF321" s="1660"/>
      <c r="BG321" s="1660"/>
      <c r="BH321" s="1660"/>
      <c r="BI321" s="1660"/>
      <c r="BJ321" s="1660"/>
      <c r="BK321" s="1660"/>
      <c r="BL321" s="1660"/>
      <c r="BM321" s="1660"/>
      <c r="BN321" s="1660"/>
      <c r="BO321" s="1660"/>
      <c r="BP321" s="1660"/>
      <c r="BQ321" s="1660"/>
    </row>
    <row r="322" spans="2:69" ht="29" hidden="1" outlineLevel="1" x14ac:dyDescent="0.35">
      <c r="D322" s="3734"/>
      <c r="E322" s="3828"/>
      <c r="F322" s="2333" t="s">
        <v>764</v>
      </c>
      <c r="G322" s="188">
        <v>0.52</v>
      </c>
      <c r="H322" s="3897"/>
      <c r="I322" s="3898"/>
      <c r="K322" s="486"/>
      <c r="M322" s="106"/>
      <c r="V322" s="3817"/>
      <c r="W322" s="494"/>
      <c r="X322" s="494"/>
      <c r="Y322" s="494"/>
      <c r="Z322" s="494"/>
      <c r="AA322" s="494"/>
      <c r="AB322" s="188">
        <v>0.52</v>
      </c>
      <c r="AC322" s="414">
        <v>0.52</v>
      </c>
      <c r="AD322" s="414">
        <v>0.52</v>
      </c>
      <c r="AE322" s="494"/>
      <c r="AF322" s="494"/>
      <c r="AG322" s="494"/>
      <c r="BF322" s="1660"/>
      <c r="BG322" s="1660"/>
      <c r="BH322" s="1660"/>
      <c r="BI322" s="1660"/>
      <c r="BJ322" s="1660"/>
      <c r="BK322" s="1660"/>
      <c r="BL322" s="1660"/>
      <c r="BM322" s="1660"/>
      <c r="BN322" s="1660"/>
      <c r="BO322" s="1660"/>
      <c r="BP322" s="1660"/>
      <c r="BQ322" s="1660"/>
    </row>
    <row r="323" spans="2:69" hidden="1" outlineLevel="1" x14ac:dyDescent="0.35">
      <c r="D323" s="3734" t="s">
        <v>765</v>
      </c>
      <c r="E323" s="3828" t="s">
        <v>766</v>
      </c>
      <c r="F323" s="2398" t="s">
        <v>759</v>
      </c>
      <c r="G323" s="188">
        <f>1-G319</f>
        <v>1</v>
      </c>
      <c r="H323" s="3897"/>
      <c r="I323" s="3898"/>
      <c r="K323" s="486"/>
      <c r="M323" s="106"/>
      <c r="V323" s="3816" t="s">
        <v>766</v>
      </c>
      <c r="W323" s="495">
        <v>1</v>
      </c>
      <c r="X323" s="495">
        <v>1</v>
      </c>
      <c r="Y323" s="495">
        <v>1</v>
      </c>
      <c r="Z323" s="495">
        <v>1</v>
      </c>
      <c r="AA323" s="495">
        <v>1</v>
      </c>
      <c r="AB323" s="188">
        <v>1</v>
      </c>
      <c r="AC323" s="2316">
        <v>1</v>
      </c>
      <c r="AD323" s="2316">
        <v>1</v>
      </c>
      <c r="AE323" s="495"/>
      <c r="AF323" s="495"/>
      <c r="AG323" s="495"/>
      <c r="BF323" s="1660"/>
      <c r="BG323" s="1660"/>
      <c r="BH323" s="1660"/>
      <c r="BI323" s="1660"/>
      <c r="BJ323" s="1660"/>
      <c r="BK323" s="1660"/>
      <c r="BL323" s="1660"/>
      <c r="BM323" s="1660"/>
      <c r="BN323" s="1660"/>
      <c r="BO323" s="1660"/>
      <c r="BP323" s="1660"/>
      <c r="BQ323" s="1660"/>
    </row>
    <row r="324" spans="2:69" hidden="1" outlineLevel="1" x14ac:dyDescent="0.35">
      <c r="D324" s="3734"/>
      <c r="E324" s="3828"/>
      <c r="F324" s="2398" t="s">
        <v>760</v>
      </c>
      <c r="G324" s="188">
        <f t="shared" ref="G324:G326" si="52">1-G320</f>
        <v>0</v>
      </c>
      <c r="H324" s="3897"/>
      <c r="I324" s="3898"/>
      <c r="K324" s="486"/>
      <c r="M324" s="106"/>
      <c r="V324" s="3839"/>
      <c r="W324" s="495"/>
      <c r="X324" s="495"/>
      <c r="Y324" s="495"/>
      <c r="Z324" s="495"/>
      <c r="AA324" s="495"/>
      <c r="AB324" s="188">
        <v>0</v>
      </c>
      <c r="AC324" s="2316">
        <v>0</v>
      </c>
      <c r="AD324" s="2316">
        <v>0</v>
      </c>
      <c r="AE324" s="495"/>
      <c r="AF324" s="495"/>
      <c r="AG324" s="495"/>
      <c r="BF324" s="1660"/>
      <c r="BG324" s="1660"/>
      <c r="BH324" s="1660"/>
      <c r="BI324" s="1660"/>
      <c r="BJ324" s="1660"/>
      <c r="BK324" s="1660"/>
      <c r="BL324" s="1660"/>
      <c r="BM324" s="1660"/>
      <c r="BN324" s="1660"/>
      <c r="BO324" s="1660"/>
      <c r="BP324" s="1660"/>
      <c r="BQ324" s="1660"/>
    </row>
    <row r="325" spans="2:69" ht="29" hidden="1" outlineLevel="1" x14ac:dyDescent="0.35">
      <c r="D325" s="3734"/>
      <c r="E325" s="3828"/>
      <c r="F325" s="2333" t="s">
        <v>763</v>
      </c>
      <c r="G325" s="188">
        <f t="shared" si="52"/>
        <v>0.36</v>
      </c>
      <c r="H325" s="3899"/>
      <c r="I325" s="3900"/>
      <c r="K325" s="486"/>
      <c r="M325" s="106"/>
      <c r="V325" s="3839"/>
      <c r="W325" s="495"/>
      <c r="X325" s="495"/>
      <c r="Y325" s="495"/>
      <c r="Z325" s="495"/>
      <c r="AA325" s="495"/>
      <c r="AB325" s="188">
        <v>0.36</v>
      </c>
      <c r="AC325" s="2316">
        <v>0.36</v>
      </c>
      <c r="AD325" s="2316">
        <v>0.36</v>
      </c>
      <c r="AE325" s="495"/>
      <c r="AF325" s="495"/>
      <c r="AG325" s="495"/>
      <c r="BF325" s="1660"/>
      <c r="BG325" s="1660"/>
      <c r="BH325" s="1660"/>
      <c r="BI325" s="1660"/>
      <c r="BJ325" s="1660"/>
      <c r="BK325" s="1660"/>
      <c r="BL325" s="1660"/>
      <c r="BM325" s="1660"/>
      <c r="BN325" s="1660"/>
      <c r="BO325" s="1660"/>
      <c r="BP325" s="1660"/>
      <c r="BQ325" s="1660"/>
    </row>
    <row r="326" spans="2:69" ht="29" hidden="1" outlineLevel="1" x14ac:dyDescent="0.35">
      <c r="D326" s="3734"/>
      <c r="E326" s="3828"/>
      <c r="F326" s="2333" t="s">
        <v>764</v>
      </c>
      <c r="G326" s="188">
        <f t="shared" si="52"/>
        <v>0.48</v>
      </c>
      <c r="H326" s="3899"/>
      <c r="I326" s="3900"/>
      <c r="K326" s="486"/>
      <c r="M326" s="106"/>
      <c r="V326" s="3817"/>
      <c r="W326" s="495"/>
      <c r="X326" s="495"/>
      <c r="Y326" s="495"/>
      <c r="Z326" s="495"/>
      <c r="AA326" s="495"/>
      <c r="AB326" s="188">
        <v>0.48</v>
      </c>
      <c r="AC326" s="2316">
        <v>0.48</v>
      </c>
      <c r="AD326" s="2316">
        <v>0.48</v>
      </c>
      <c r="AE326" s="495"/>
      <c r="AF326" s="495"/>
      <c r="AG326" s="495"/>
      <c r="BF326" s="1660"/>
      <c r="BG326" s="1660"/>
      <c r="BH326" s="1660"/>
      <c r="BI326" s="1660"/>
      <c r="BJ326" s="1660"/>
      <c r="BK326" s="1660"/>
      <c r="BL326" s="1660"/>
      <c r="BM326" s="1660"/>
      <c r="BN326" s="1660"/>
      <c r="BO326" s="1660"/>
      <c r="BP326" s="1660"/>
      <c r="BQ326" s="1660"/>
    </row>
    <row r="327" spans="2:69" hidden="1" outlineLevel="1" x14ac:dyDescent="0.35">
      <c r="D327" s="3735" t="s">
        <v>132</v>
      </c>
      <c r="E327" s="3838" t="s">
        <v>415</v>
      </c>
      <c r="F327" s="2333" t="s">
        <v>767</v>
      </c>
      <c r="G327" s="188">
        <v>0.95</v>
      </c>
      <c r="H327" s="554" t="s">
        <v>768</v>
      </c>
      <c r="I327" s="555"/>
      <c r="K327" s="486"/>
      <c r="M327" s="106"/>
      <c r="V327" s="3816" t="s">
        <v>132</v>
      </c>
      <c r="W327" s="189">
        <v>1</v>
      </c>
      <c r="X327" s="189">
        <v>1</v>
      </c>
      <c r="Y327" s="189">
        <v>1</v>
      </c>
      <c r="Z327" s="189">
        <v>1</v>
      </c>
      <c r="AA327" s="189">
        <v>1</v>
      </c>
      <c r="AB327" s="1651">
        <v>0.95</v>
      </c>
      <c r="AC327" s="2317">
        <v>0.95</v>
      </c>
      <c r="AD327" s="2317">
        <v>0.95</v>
      </c>
      <c r="AE327" s="496"/>
      <c r="AF327" s="496"/>
      <c r="AG327" s="496"/>
      <c r="BF327" s="1660"/>
      <c r="BG327" s="1660"/>
      <c r="BH327" s="1660"/>
      <c r="BI327" s="1660"/>
      <c r="BJ327" s="1660"/>
      <c r="BK327" s="1660"/>
      <c r="BL327" s="1660"/>
      <c r="BM327" s="1660"/>
      <c r="BN327" s="1660"/>
      <c r="BO327" s="1660"/>
      <c r="BP327" s="1660"/>
      <c r="BQ327" s="1660"/>
    </row>
    <row r="328" spans="2:69" hidden="1" outlineLevel="1" x14ac:dyDescent="0.35">
      <c r="D328" s="3736"/>
      <c r="E328" s="3767"/>
      <c r="F328" s="2333" t="s">
        <v>769</v>
      </c>
      <c r="G328" s="2017">
        <v>0.93799999999999994</v>
      </c>
      <c r="H328" s="554" t="s">
        <v>770</v>
      </c>
      <c r="I328" s="555"/>
      <c r="K328" s="486"/>
      <c r="M328" s="106"/>
      <c r="V328" s="3817"/>
      <c r="W328" s="189">
        <v>0.78</v>
      </c>
      <c r="X328" s="189">
        <v>0.78</v>
      </c>
      <c r="Y328" s="189">
        <v>0.78</v>
      </c>
      <c r="Z328" s="189">
        <v>0.78</v>
      </c>
      <c r="AA328" s="189">
        <v>0.78</v>
      </c>
      <c r="AB328" s="2314">
        <v>0.93799999999999994</v>
      </c>
      <c r="AC328" s="2315">
        <v>0.93799999999999994</v>
      </c>
      <c r="AD328" s="2315">
        <v>0.93799999999999994</v>
      </c>
      <c r="AE328" s="496"/>
      <c r="AF328" s="496"/>
      <c r="AG328" s="496"/>
      <c r="BF328" s="1660"/>
      <c r="BG328" s="1660"/>
      <c r="BH328" s="1660"/>
      <c r="BI328" s="1660"/>
      <c r="BJ328" s="1660"/>
      <c r="BK328" s="1660"/>
      <c r="BL328" s="1660"/>
      <c r="BM328" s="1660"/>
      <c r="BN328" s="1660"/>
      <c r="BO328" s="1660"/>
      <c r="BP328" s="1660"/>
      <c r="BQ328" s="1660"/>
    </row>
    <row r="329" spans="2:69" hidden="1" outlineLevel="1" x14ac:dyDescent="0.35">
      <c r="D329" s="277" t="s">
        <v>526</v>
      </c>
      <c r="E329" s="237" t="s">
        <v>166</v>
      </c>
      <c r="F329" s="2359" t="s">
        <v>134</v>
      </c>
      <c r="G329" s="820">
        <v>10</v>
      </c>
      <c r="H329" s="554"/>
      <c r="I329" s="555"/>
      <c r="K329" s="486"/>
      <c r="M329" s="106"/>
      <c r="V329" s="2426" t="s">
        <v>526</v>
      </c>
      <c r="W329" s="386">
        <v>10</v>
      </c>
      <c r="X329" s="386">
        <v>10</v>
      </c>
      <c r="Y329" s="386">
        <v>10</v>
      </c>
      <c r="Z329" s="386">
        <v>10</v>
      </c>
      <c r="AA329" s="386">
        <v>10</v>
      </c>
      <c r="AB329" s="820">
        <v>10</v>
      </c>
      <c r="AC329" s="386">
        <v>10</v>
      </c>
      <c r="AD329" s="386">
        <v>10</v>
      </c>
      <c r="AE329" s="386"/>
      <c r="AF329" s="386"/>
      <c r="AG329" s="386"/>
    </row>
    <row r="330" spans="2:69" hidden="1" outlineLevel="1" x14ac:dyDescent="0.35">
      <c r="D330" s="3871" t="s">
        <v>169</v>
      </c>
      <c r="E330" s="3903" t="s">
        <v>170</v>
      </c>
      <c r="F330" s="2358" t="s">
        <v>416</v>
      </c>
      <c r="G330" s="1845">
        <v>20</v>
      </c>
      <c r="H330" s="554"/>
      <c r="I330" s="555"/>
      <c r="K330" s="486"/>
      <c r="M330" s="106"/>
      <c r="V330" s="3895" t="s">
        <v>169</v>
      </c>
      <c r="W330" s="387">
        <v>20</v>
      </c>
      <c r="X330" s="387">
        <v>20</v>
      </c>
      <c r="Y330" s="387">
        <v>20</v>
      </c>
      <c r="Z330" s="387">
        <v>20</v>
      </c>
      <c r="AA330" s="387">
        <v>20</v>
      </c>
      <c r="AB330" s="1845">
        <v>20</v>
      </c>
      <c r="AC330" s="387">
        <v>20</v>
      </c>
      <c r="AD330" s="387">
        <v>20</v>
      </c>
      <c r="AE330" s="387"/>
      <c r="AF330" s="387"/>
      <c r="AG330" s="387"/>
    </row>
    <row r="331" spans="2:69" hidden="1" outlineLevel="1" x14ac:dyDescent="0.35">
      <c r="B331" s="1040"/>
      <c r="C331" s="217"/>
      <c r="D331" s="3871"/>
      <c r="E331" s="3903"/>
      <c r="F331" s="2358" t="s">
        <v>771</v>
      </c>
      <c r="G331" s="1845">
        <v>30</v>
      </c>
      <c r="H331" s="3899"/>
      <c r="I331" s="3900"/>
      <c r="K331" s="486"/>
      <c r="L331" s="199"/>
      <c r="M331" s="226"/>
      <c r="N331" s="199"/>
      <c r="O331" s="199"/>
      <c r="P331" s="199"/>
      <c r="Q331" s="199"/>
      <c r="V331" s="3896"/>
      <c r="W331" s="479"/>
      <c r="X331" s="479"/>
      <c r="Y331" s="479"/>
      <c r="Z331" s="479"/>
      <c r="AA331" s="479"/>
      <c r="AB331" s="475">
        <v>30</v>
      </c>
      <c r="AC331" s="479">
        <v>30</v>
      </c>
      <c r="AD331" s="479">
        <v>30</v>
      </c>
      <c r="AE331" s="141"/>
      <c r="AF331" s="141"/>
      <c r="AG331" s="141"/>
    </row>
    <row r="332" spans="2:69" hidden="1" outlineLevel="1" x14ac:dyDescent="0.35">
      <c r="B332" s="1040"/>
      <c r="C332" s="217"/>
      <c r="K332" s="486"/>
      <c r="L332" s="199"/>
      <c r="M332" s="226"/>
      <c r="N332" s="199"/>
      <c r="O332" s="199"/>
      <c r="P332" s="199"/>
      <c r="Q332" s="199"/>
    </row>
    <row r="333" spans="2:69" collapsed="1" x14ac:dyDescent="0.35"/>
    <row r="334" spans="2:69" x14ac:dyDescent="0.35">
      <c r="B334" s="3664" t="s">
        <v>372</v>
      </c>
      <c r="C334" s="3665"/>
      <c r="D334" s="3665"/>
      <c r="E334" s="3665"/>
      <c r="F334" s="3665"/>
      <c r="G334" s="3665"/>
      <c r="H334" s="3665"/>
      <c r="I334" s="3666"/>
      <c r="J334" s="3666"/>
      <c r="K334" s="3666"/>
      <c r="L334" s="3666"/>
      <c r="M334" s="3666"/>
      <c r="N334" s="3666"/>
      <c r="O334" s="3667"/>
      <c r="V334" s="3664" t="str">
        <f>B334</f>
        <v>Advanced Power Strips Tier 2  /  Advanced Control Stategies</v>
      </c>
      <c r="W334" s="3665"/>
      <c r="X334" s="3665"/>
      <c r="Y334" s="3665"/>
      <c r="Z334" s="3665"/>
      <c r="AA334" s="3665"/>
      <c r="AB334" s="3665"/>
      <c r="AC334" s="3666"/>
      <c r="AD334" s="3666"/>
      <c r="AE334" s="3666"/>
      <c r="AF334" s="3666"/>
      <c r="AG334" s="3666"/>
      <c r="AH334" s="3667"/>
    </row>
    <row r="335" spans="2:69" x14ac:dyDescent="0.35">
      <c r="W335" s="1618"/>
      <c r="X335" s="1618"/>
      <c r="Y335" s="1618"/>
      <c r="Z335" s="1618"/>
      <c r="AA335" s="1618"/>
      <c r="AB335" s="1618"/>
      <c r="AC335" s="84"/>
      <c r="AD335" s="84"/>
      <c r="AE335" s="84"/>
      <c r="AF335" s="84"/>
      <c r="AG335" s="84"/>
      <c r="AH335" s="84"/>
    </row>
    <row r="336" spans="2:69" ht="29" x14ac:dyDescent="0.35">
      <c r="C336" s="2331" t="s">
        <v>27</v>
      </c>
      <c r="D336" s="2331" t="s">
        <v>174</v>
      </c>
      <c r="E336" s="2331" t="s">
        <v>29</v>
      </c>
      <c r="F336" s="2331" t="s">
        <v>30</v>
      </c>
      <c r="G336" s="2331" t="s">
        <v>175</v>
      </c>
      <c r="H336" s="2331" t="s">
        <v>176</v>
      </c>
      <c r="I336" s="2331" t="s">
        <v>31</v>
      </c>
      <c r="J336" s="2331" t="s">
        <v>180</v>
      </c>
      <c r="K336" s="2331" t="s">
        <v>169</v>
      </c>
      <c r="L336" s="2331" t="s">
        <v>43</v>
      </c>
      <c r="V336" s="480" t="s">
        <v>44</v>
      </c>
      <c r="W336" s="1944">
        <f>$W$6</f>
        <v>43252</v>
      </c>
      <c r="X336" s="1944">
        <f>$X$6</f>
        <v>43465</v>
      </c>
      <c r="Y336" s="1944">
        <f>$Y$6</f>
        <v>43800</v>
      </c>
      <c r="Z336" s="1944">
        <f>$Z$6</f>
        <v>43862</v>
      </c>
      <c r="AA336" s="1944">
        <f>$AA$6</f>
        <v>44013</v>
      </c>
      <c r="AB336" s="1944">
        <f>$AB$6</f>
        <v>44166</v>
      </c>
      <c r="AC336" s="481">
        <f>$AC$6</f>
        <v>44531</v>
      </c>
      <c r="AD336" s="481">
        <f>$AD$6</f>
        <v>44774</v>
      </c>
      <c r="AE336" s="481" t="str">
        <f>$AE$6</f>
        <v>-</v>
      </c>
      <c r="AF336" s="481" t="str">
        <f>$AF$6</f>
        <v>-</v>
      </c>
      <c r="AG336" s="481" t="str">
        <f>$AG$6</f>
        <v>-</v>
      </c>
      <c r="AH336" s="84"/>
      <c r="BB336" s="1584" t="str">
        <f>$BB$6</f>
        <v>TRC (2022)</v>
      </c>
      <c r="BC336" s="1584" t="str">
        <f>$BC$6</f>
        <v>Benefit Lookup</v>
      </c>
      <c r="BD336" s="200" t="str">
        <f>$BD$6</f>
        <v>Benefits (2019 $)</v>
      </c>
      <c r="BE336" s="200" t="str">
        <f>$BE$6</f>
        <v>Incremental Cost (2019 $)</v>
      </c>
    </row>
    <row r="337" spans="3:57" x14ac:dyDescent="0.35">
      <c r="C337" s="2368" t="s">
        <v>772</v>
      </c>
      <c r="D337" s="2419" t="s">
        <v>739</v>
      </c>
      <c r="E337" s="2354" t="s">
        <v>773</v>
      </c>
      <c r="F337" s="2650">
        <f>ROUND(G348*G357*G358, 2)</f>
        <v>153.9</v>
      </c>
      <c r="G337" s="2018" t="s">
        <v>375</v>
      </c>
      <c r="H337" s="393">
        <f>VLOOKUP(G337,'CP FACTORS'!$A$3:$B$38, 2, FALSE)</f>
        <v>1.148238E-4</v>
      </c>
      <c r="I337" s="2019">
        <f t="shared" ref="I337" si="53">ROUND(H337*F337,6)</f>
        <v>1.7670999999999999E-2</v>
      </c>
      <c r="J337" s="124">
        <f>G361</f>
        <v>10</v>
      </c>
      <c r="K337" s="989">
        <f>G361</f>
        <v>10</v>
      </c>
      <c r="L337" s="2419" t="s">
        <v>184</v>
      </c>
      <c r="V337" s="3343" t="s">
        <v>30</v>
      </c>
      <c r="W337" s="1778"/>
      <c r="X337" s="1778"/>
      <c r="Y337" s="322"/>
      <c r="Z337" s="322"/>
      <c r="AA337" s="322"/>
      <c r="AB337" s="1599">
        <v>126.36</v>
      </c>
      <c r="AC337" s="1599">
        <v>153.9</v>
      </c>
      <c r="AD337" s="50">
        <v>153.9</v>
      </c>
      <c r="AE337" s="3087"/>
      <c r="AF337" s="3087"/>
      <c r="AG337" s="3087"/>
      <c r="AH337" s="1779"/>
      <c r="BB337" s="1974">
        <f t="shared" ref="BB337" si="54">(BD337)/(BE337)</f>
        <v>5.6374595831615339</v>
      </c>
      <c r="BC337" s="2381" t="str">
        <f t="shared" ref="BC337" si="55">CONCATENATE(G337," ",J337," Year EUL")</f>
        <v>Miscellaneous RES 10 Year EUL</v>
      </c>
      <c r="BD337" s="1972">
        <f>(INDEX('Avoided Cost Benefits'!$E$4:$E$859,MATCH(BC337,'Avoided Cost Benefits'!$A$4:$A$859,0)))*F337</f>
        <v>53.208679406904515</v>
      </c>
      <c r="BE337" s="1973">
        <f t="shared" ref="BE337" si="56">K337/(1.0595^(2020-2019))</f>
        <v>9.4384143463898056</v>
      </c>
    </row>
    <row r="338" spans="3:57" x14ac:dyDescent="0.35">
      <c r="C338" s="2368" t="s">
        <v>774</v>
      </c>
      <c r="D338" s="395" t="s">
        <v>547</v>
      </c>
      <c r="E338" s="2354" t="s">
        <v>4244</v>
      </c>
      <c r="F338" s="2650">
        <f>ROUND(G348*G357*G360, 2)</f>
        <v>151.96</v>
      </c>
      <c r="G338" s="2018" t="s">
        <v>375</v>
      </c>
      <c r="H338" s="393">
        <f>VLOOKUP(G338,'CP FACTORS'!$A$3:$B$38, 2, FALSE)</f>
        <v>1.148238E-4</v>
      </c>
      <c r="I338" s="2019">
        <f t="shared" ref="I338" si="57">ROUND(H338*F338,6)</f>
        <v>1.7448999999999999E-2</v>
      </c>
      <c r="J338" s="124">
        <f>G361</f>
        <v>10</v>
      </c>
      <c r="K338" s="989">
        <f>G362</f>
        <v>30</v>
      </c>
      <c r="L338" s="2419" t="s">
        <v>184</v>
      </c>
      <c r="V338" s="1592" t="s">
        <v>30</v>
      </c>
      <c r="W338" s="1778"/>
      <c r="X338" s="1778"/>
      <c r="Y338" s="322"/>
      <c r="Z338" s="322"/>
      <c r="AA338" s="322"/>
      <c r="AB338" s="1599">
        <v>126.36</v>
      </c>
      <c r="AC338" s="1599">
        <v>151.96</v>
      </c>
      <c r="AD338" s="50">
        <v>151.96</v>
      </c>
      <c r="AE338" s="3087"/>
      <c r="AF338" s="3087"/>
      <c r="AG338" s="3087"/>
      <c r="AH338" s="1779"/>
      <c r="BB338" s="1974">
        <f t="shared" ref="BB338" si="58">(BD338)/(BE338)</f>
        <v>1.8554653633468197</v>
      </c>
      <c r="BC338" s="2381" t="str">
        <f t="shared" ref="BC338" si="59">CONCATENATE(G338," ",J338," Year EUL")</f>
        <v>Miscellaneous RES 10 Year EUL</v>
      </c>
      <c r="BD338" s="1972">
        <f>(INDEX('Avoided Cost Benefits'!$E$4:$E$859,MATCH(BC338,'Avoided Cost Benefits'!$A$4:$A$859,0)))*F338</f>
        <v>52.537952713925989</v>
      </c>
      <c r="BE338" s="1973">
        <f t="shared" ref="BE338" si="60">K338/(1.0595^(2020-2019))</f>
        <v>28.315243039169417</v>
      </c>
    </row>
    <row r="339" spans="3:57" x14ac:dyDescent="0.35">
      <c r="H339" s="106" t="s">
        <v>394</v>
      </c>
      <c r="I339" s="132"/>
      <c r="L339" s="452"/>
      <c r="AH339" s="144"/>
    </row>
    <row r="340" spans="3:57" hidden="1" outlineLevel="1" x14ac:dyDescent="0.35">
      <c r="D340" s="152" t="s">
        <v>107</v>
      </c>
      <c r="AH340" s="144"/>
    </row>
    <row r="341" spans="3:57" hidden="1" outlineLevel="1" x14ac:dyDescent="0.35">
      <c r="AH341" s="144"/>
    </row>
    <row r="342" spans="3:57" hidden="1" outlineLevel="1" x14ac:dyDescent="0.35">
      <c r="AH342" s="144"/>
    </row>
    <row r="343" spans="3:57" hidden="1" outlineLevel="1" x14ac:dyDescent="0.35">
      <c r="AH343" s="144"/>
    </row>
    <row r="344" spans="3:57" hidden="1" outlineLevel="1" x14ac:dyDescent="0.35">
      <c r="AH344" s="144"/>
    </row>
    <row r="345" spans="3:57" hidden="1" outlineLevel="1" x14ac:dyDescent="0.35">
      <c r="AH345" s="144"/>
    </row>
    <row r="346" spans="3:57" hidden="1" outlineLevel="1" x14ac:dyDescent="0.35">
      <c r="AH346" s="144"/>
    </row>
    <row r="347" spans="3:57" hidden="1" outlineLevel="1" x14ac:dyDescent="0.35">
      <c r="D347" s="2423" t="s">
        <v>108</v>
      </c>
      <c r="E347" s="2404" t="s">
        <v>109</v>
      </c>
      <c r="F347" s="2423" t="s">
        <v>185</v>
      </c>
      <c r="G347" s="2331" t="s">
        <v>111</v>
      </c>
      <c r="H347" s="2331" t="s">
        <v>186</v>
      </c>
      <c r="I347" s="2331" t="s">
        <v>397</v>
      </c>
      <c r="V347" s="2031" t="s">
        <v>44</v>
      </c>
      <c r="W347" s="2033">
        <f>$W$6</f>
        <v>43252</v>
      </c>
      <c r="X347" s="2033">
        <f>$X$6</f>
        <v>43465</v>
      </c>
      <c r="Y347" s="2033">
        <f>$Y$6</f>
        <v>43800</v>
      </c>
      <c r="Z347" s="2033">
        <f>$Z$6</f>
        <v>43862</v>
      </c>
      <c r="AA347" s="2033">
        <f>$AA$6</f>
        <v>44013</v>
      </c>
      <c r="AB347" s="2033">
        <f>$AB$6</f>
        <v>44166</v>
      </c>
      <c r="AC347" s="2034">
        <f>$AC$6</f>
        <v>44531</v>
      </c>
      <c r="AD347" s="2034">
        <f>$AD$6</f>
        <v>44774</v>
      </c>
      <c r="AE347" s="2034" t="str">
        <f>$AE$6</f>
        <v>-</v>
      </c>
      <c r="AF347" s="2034" t="str">
        <f>$AF$6</f>
        <v>-</v>
      </c>
      <c r="AG347" s="2034" t="str">
        <f>$AG$6</f>
        <v>-</v>
      </c>
    </row>
    <row r="348" spans="3:57" hidden="1" outlineLevel="1" x14ac:dyDescent="0.35">
      <c r="D348" s="2354" t="s">
        <v>398</v>
      </c>
      <c r="E348" s="2367" t="s">
        <v>399</v>
      </c>
      <c r="F348" s="2352" t="s">
        <v>134</v>
      </c>
      <c r="G348" s="1435">
        <v>432</v>
      </c>
      <c r="H348" s="2419"/>
      <c r="I348" s="2419"/>
      <c r="V348" s="2354" t="s">
        <v>398</v>
      </c>
      <c r="W348" s="99"/>
      <c r="X348" s="99"/>
      <c r="Y348" s="99"/>
      <c r="Z348" s="99"/>
      <c r="AA348" s="99"/>
      <c r="AB348" s="998">
        <v>432</v>
      </c>
      <c r="AC348" s="2319">
        <v>432</v>
      </c>
      <c r="AD348" s="2319">
        <v>432</v>
      </c>
      <c r="AE348" s="89"/>
      <c r="AF348" s="89"/>
      <c r="AG348" s="89"/>
    </row>
    <row r="349" spans="3:57" hidden="1" outlineLevel="1" x14ac:dyDescent="0.35">
      <c r="D349" s="3890" t="s">
        <v>401</v>
      </c>
      <c r="E349" s="3890" t="s">
        <v>402</v>
      </c>
      <c r="F349" s="2020" t="s">
        <v>403</v>
      </c>
      <c r="G349" s="2021">
        <v>0.55000000000000004</v>
      </c>
      <c r="H349" s="2020" t="s">
        <v>404</v>
      </c>
      <c r="I349" s="2020"/>
      <c r="V349" s="3890" t="s">
        <v>401</v>
      </c>
      <c r="W349" s="99"/>
      <c r="X349" s="99"/>
      <c r="Y349" s="99"/>
      <c r="Z349" s="99"/>
      <c r="AA349" s="99"/>
      <c r="AB349" s="515">
        <v>0.55000000000000004</v>
      </c>
      <c r="AC349" s="188">
        <v>0.55000000000000004</v>
      </c>
      <c r="AD349" s="188">
        <v>0.55000000000000004</v>
      </c>
      <c r="AE349" s="89"/>
      <c r="AF349" s="89"/>
      <c r="AG349" s="89"/>
    </row>
    <row r="350" spans="3:57" hidden="1" outlineLevel="1" x14ac:dyDescent="0.35">
      <c r="D350" s="3890"/>
      <c r="E350" s="3890"/>
      <c r="F350" s="2020" t="s">
        <v>405</v>
      </c>
      <c r="G350" s="2021">
        <v>0.5</v>
      </c>
      <c r="H350" s="2020" t="s">
        <v>404</v>
      </c>
      <c r="I350" s="2020" t="s">
        <v>406</v>
      </c>
      <c r="V350" s="3890"/>
      <c r="W350" s="788"/>
      <c r="X350" s="788"/>
      <c r="Y350" s="788"/>
      <c r="Z350" s="788"/>
      <c r="AA350" s="788"/>
      <c r="AB350" s="515">
        <v>0.5</v>
      </c>
      <c r="AC350" s="787">
        <v>0.5</v>
      </c>
      <c r="AD350" s="787">
        <v>0.5</v>
      </c>
      <c r="AE350" s="786"/>
      <c r="AF350" s="786"/>
      <c r="AG350" s="786"/>
    </row>
    <row r="351" spans="3:57" hidden="1" outlineLevel="1" x14ac:dyDescent="0.35">
      <c r="D351" s="3890"/>
      <c r="E351" s="3890"/>
      <c r="F351" s="2020" t="s">
        <v>407</v>
      </c>
      <c r="G351" s="2021">
        <v>0.45</v>
      </c>
      <c r="H351" s="2020" t="s">
        <v>404</v>
      </c>
      <c r="I351" s="2020"/>
      <c r="V351" s="3890"/>
      <c r="W351" s="788"/>
      <c r="X351" s="788"/>
      <c r="Y351" s="788"/>
      <c r="Z351" s="788"/>
      <c r="AA351" s="788"/>
      <c r="AB351" s="515">
        <v>0.45</v>
      </c>
      <c r="AC351" s="787">
        <v>0.45</v>
      </c>
      <c r="AD351" s="787">
        <v>0.45</v>
      </c>
      <c r="AE351" s="786"/>
      <c r="AF351" s="786"/>
      <c r="AG351" s="786"/>
    </row>
    <row r="352" spans="3:57" hidden="1" outlineLevel="1" x14ac:dyDescent="0.35">
      <c r="D352" s="3890"/>
      <c r="E352" s="3890"/>
      <c r="F352" s="2020" t="s">
        <v>408</v>
      </c>
      <c r="G352" s="2021">
        <v>0.4</v>
      </c>
      <c r="H352" s="2020" t="s">
        <v>404</v>
      </c>
      <c r="I352" s="2020"/>
      <c r="V352" s="3890"/>
      <c r="W352" s="788"/>
      <c r="X352" s="788"/>
      <c r="Y352" s="788"/>
      <c r="Z352" s="788"/>
      <c r="AA352" s="788"/>
      <c r="AB352" s="515">
        <v>0.4</v>
      </c>
      <c r="AC352" s="787">
        <v>0.4</v>
      </c>
      <c r="AD352" s="787">
        <v>0.4</v>
      </c>
      <c r="AE352" s="786"/>
      <c r="AF352" s="786"/>
      <c r="AG352" s="786"/>
    </row>
    <row r="353" spans="4:33" hidden="1" outlineLevel="1" x14ac:dyDescent="0.35">
      <c r="D353" s="3890"/>
      <c r="E353" s="3890"/>
      <c r="F353" s="2020" t="s">
        <v>409</v>
      </c>
      <c r="G353" s="2021">
        <v>0.35</v>
      </c>
      <c r="H353" s="2020" t="s">
        <v>404</v>
      </c>
      <c r="I353" s="2020"/>
      <c r="V353" s="3890"/>
      <c r="W353" s="788"/>
      <c r="X353" s="788"/>
      <c r="Y353" s="788"/>
      <c r="Z353" s="788"/>
      <c r="AA353" s="788"/>
      <c r="AB353" s="515">
        <v>0.35</v>
      </c>
      <c r="AC353" s="787">
        <v>0.35</v>
      </c>
      <c r="AD353" s="787">
        <v>0.35</v>
      </c>
      <c r="AE353" s="786"/>
      <c r="AF353" s="786"/>
      <c r="AG353" s="786"/>
    </row>
    <row r="354" spans="4:33" hidden="1" outlineLevel="1" x14ac:dyDescent="0.35">
      <c r="D354" s="3890"/>
      <c r="E354" s="3890"/>
      <c r="F354" s="2020" t="s">
        <v>410</v>
      </c>
      <c r="G354" s="2021">
        <v>0.3</v>
      </c>
      <c r="H354" s="2020" t="s">
        <v>404</v>
      </c>
      <c r="I354" s="2020"/>
      <c r="V354" s="3890"/>
      <c r="W354" s="1773"/>
      <c r="X354" s="1773"/>
      <c r="Y354" s="1773"/>
      <c r="Z354" s="1773"/>
      <c r="AA354" s="1773"/>
      <c r="AB354" s="515">
        <v>0.3</v>
      </c>
      <c r="AC354" s="188">
        <v>0.3</v>
      </c>
      <c r="AD354" s="188">
        <v>0.3</v>
      </c>
      <c r="AE354" s="1774"/>
      <c r="AF354" s="1774"/>
      <c r="AG354" s="1774"/>
    </row>
    <row r="355" spans="4:33" hidden="1" outlineLevel="1" x14ac:dyDescent="0.35">
      <c r="D355" s="3890"/>
      <c r="E355" s="3890"/>
      <c r="F355" s="2020" t="s">
        <v>411</v>
      </c>
      <c r="G355" s="2021">
        <v>0.25</v>
      </c>
      <c r="H355" s="2020" t="s">
        <v>404</v>
      </c>
      <c r="I355" s="2020" t="s">
        <v>406</v>
      </c>
      <c r="V355" s="3890"/>
      <c r="W355" s="1773"/>
      <c r="X355" s="1773"/>
      <c r="Y355" s="1773"/>
      <c r="Z355" s="1773"/>
      <c r="AA355" s="1773"/>
      <c r="AB355" s="515">
        <v>0.25</v>
      </c>
      <c r="AC355" s="188">
        <v>0.25</v>
      </c>
      <c r="AD355" s="188">
        <v>0.25</v>
      </c>
      <c r="AE355" s="1774"/>
      <c r="AF355" s="1774"/>
      <c r="AG355" s="1774"/>
    </row>
    <row r="356" spans="4:33" hidden="1" outlineLevel="1" x14ac:dyDescent="0.35">
      <c r="D356" s="3890"/>
      <c r="E356" s="3890"/>
      <c r="F356" s="2020" t="s">
        <v>412</v>
      </c>
      <c r="G356" s="2021">
        <v>0.2</v>
      </c>
      <c r="H356" s="2020" t="s">
        <v>404</v>
      </c>
      <c r="I356" s="2020"/>
      <c r="V356" s="3890"/>
      <c r="W356" s="1773"/>
      <c r="X356" s="1773"/>
      <c r="Y356" s="1773"/>
      <c r="Z356" s="1773"/>
      <c r="AA356" s="1773"/>
      <c r="AB356" s="515">
        <v>0.2</v>
      </c>
      <c r="AC356" s="188">
        <v>0.2</v>
      </c>
      <c r="AD356" s="188">
        <v>0.2</v>
      </c>
      <c r="AE356" s="1774"/>
      <c r="AF356" s="1774"/>
      <c r="AG356" s="1774"/>
    </row>
    <row r="357" spans="4:33" hidden="1" outlineLevel="1" x14ac:dyDescent="0.35">
      <c r="D357" s="3890"/>
      <c r="E357" s="3890"/>
      <c r="F357" s="2020" t="s">
        <v>413</v>
      </c>
      <c r="G357" s="2022">
        <f>AVERAGE(G350,G355)</f>
        <v>0.375</v>
      </c>
      <c r="H357" s="2023" t="s">
        <v>414</v>
      </c>
      <c r="I357" s="2023"/>
      <c r="V357" s="3890"/>
      <c r="W357" s="1773"/>
      <c r="X357" s="1773"/>
      <c r="Y357" s="1773"/>
      <c r="Z357" s="1773"/>
      <c r="AA357" s="1773"/>
      <c r="AB357" s="1780">
        <v>0.375</v>
      </c>
      <c r="AC357" s="2017">
        <v>0.375</v>
      </c>
      <c r="AD357" s="2017">
        <v>0.375</v>
      </c>
      <c r="AE357" s="1774"/>
      <c r="AF357" s="1774"/>
      <c r="AG357" s="1774"/>
    </row>
    <row r="358" spans="4:33" hidden="1" outlineLevel="1" x14ac:dyDescent="0.35">
      <c r="D358" s="3892" t="s">
        <v>132</v>
      </c>
      <c r="E358" s="3892" t="s">
        <v>415</v>
      </c>
      <c r="F358" s="2352" t="s">
        <v>767</v>
      </c>
      <c r="G358" s="188">
        <f>G327</f>
        <v>0.95</v>
      </c>
      <c r="H358" s="2023" t="s">
        <v>775</v>
      </c>
      <c r="I358" s="2023"/>
      <c r="V358" s="3890" t="s">
        <v>132</v>
      </c>
      <c r="W358" s="1651"/>
      <c r="X358" s="1651"/>
      <c r="Y358" s="1651"/>
      <c r="Z358" s="1651"/>
      <c r="AA358" s="1651"/>
      <c r="AB358" s="1651">
        <v>1</v>
      </c>
      <c r="AC358" s="2318">
        <v>0.95</v>
      </c>
      <c r="AD358" s="1998">
        <v>0.95</v>
      </c>
      <c r="AE358" s="3264"/>
      <c r="AF358" s="3264"/>
      <c r="AG358" s="3264"/>
    </row>
    <row r="359" spans="4:33" hidden="1" outlineLevel="1" x14ac:dyDescent="0.35">
      <c r="D359" s="3893"/>
      <c r="E359" s="3893"/>
      <c r="F359" s="2352" t="s">
        <v>769</v>
      </c>
      <c r="G359" s="2017">
        <f>G328</f>
        <v>0.93799999999999994</v>
      </c>
      <c r="H359" s="2023" t="s">
        <v>775</v>
      </c>
      <c r="I359" s="2023"/>
      <c r="V359" s="3890"/>
      <c r="W359" s="1651"/>
      <c r="X359" s="1651"/>
      <c r="Y359" s="1651"/>
      <c r="Z359" s="1651"/>
      <c r="AA359" s="1651"/>
      <c r="AB359" s="1651">
        <v>0.78</v>
      </c>
      <c r="AC359" s="2318">
        <v>0.93799999999999994</v>
      </c>
      <c r="AD359" s="1998">
        <v>0.93799999999999994</v>
      </c>
      <c r="AE359" s="3264"/>
      <c r="AF359" s="3264"/>
      <c r="AG359" s="3264"/>
    </row>
    <row r="360" spans="4:33" hidden="1" outlineLevel="1" x14ac:dyDescent="0.35">
      <c r="D360" s="3894"/>
      <c r="E360" s="3894"/>
      <c r="F360" s="2348" t="s">
        <v>4240</v>
      </c>
      <c r="G360" s="2017">
        <f>G359</f>
        <v>0.93799999999999994</v>
      </c>
      <c r="H360" s="2023" t="s">
        <v>775</v>
      </c>
      <c r="I360" s="2023"/>
      <c r="V360" s="3890"/>
      <c r="W360" s="474"/>
      <c r="X360" s="474"/>
      <c r="Y360" s="474"/>
      <c r="Z360" s="474"/>
      <c r="AA360" s="474"/>
      <c r="AB360" s="1651">
        <v>0.78</v>
      </c>
      <c r="AC360" s="536">
        <v>0.93799999999999994</v>
      </c>
      <c r="AD360" s="537">
        <v>0.93799999999999994</v>
      </c>
      <c r="AE360" s="386"/>
      <c r="AF360" s="386"/>
      <c r="AG360" s="386"/>
    </row>
    <row r="361" spans="4:33" hidden="1" outlineLevel="1" x14ac:dyDescent="0.35">
      <c r="D361" s="2024" t="s">
        <v>180</v>
      </c>
      <c r="E361" s="2024" t="s">
        <v>166</v>
      </c>
      <c r="F361" s="2025" t="s">
        <v>134</v>
      </c>
      <c r="G361" s="2026">
        <v>10</v>
      </c>
      <c r="H361" s="2023"/>
      <c r="I361" s="2023"/>
      <c r="V361" s="2032" t="s">
        <v>180</v>
      </c>
      <c r="W361" s="567"/>
      <c r="X361" s="567"/>
      <c r="Y361" s="567"/>
      <c r="Z361" s="567"/>
      <c r="AA361" s="567"/>
      <c r="AB361" s="1781">
        <v>10</v>
      </c>
      <c r="AC361" s="139">
        <v>10</v>
      </c>
      <c r="AD361" s="139">
        <v>10</v>
      </c>
      <c r="AE361" s="387"/>
      <c r="AF361" s="387"/>
      <c r="AG361" s="387"/>
    </row>
    <row r="362" spans="4:33" hidden="1" outlineLevel="1" x14ac:dyDescent="0.35">
      <c r="D362" s="3901" t="s">
        <v>169</v>
      </c>
      <c r="E362" s="3902" t="s">
        <v>170</v>
      </c>
      <c r="F362" s="2027" t="s">
        <v>416</v>
      </c>
      <c r="G362" s="2028">
        <v>30</v>
      </c>
      <c r="H362" s="2027" t="s">
        <v>419</v>
      </c>
      <c r="I362" s="2029" t="s">
        <v>420</v>
      </c>
      <c r="V362" s="3891" t="s">
        <v>169</v>
      </c>
      <c r="W362" s="1599"/>
      <c r="X362" s="1599"/>
      <c r="Y362" s="1599"/>
      <c r="Z362" s="1599"/>
      <c r="AA362" s="1599"/>
      <c r="AB362" s="1782">
        <v>30</v>
      </c>
      <c r="AC362" s="1408">
        <v>30</v>
      </c>
      <c r="AD362" s="1408">
        <v>30</v>
      </c>
      <c r="AE362" s="3087"/>
      <c r="AF362" s="3087"/>
      <c r="AG362" s="3087"/>
    </row>
    <row r="363" spans="4:33" hidden="1" outlineLevel="1" x14ac:dyDescent="0.35">
      <c r="D363" s="3901"/>
      <c r="E363" s="3902"/>
      <c r="F363" s="2030" t="s">
        <v>417</v>
      </c>
      <c r="G363" s="2028">
        <v>60</v>
      </c>
      <c r="H363" s="2027" t="s">
        <v>421</v>
      </c>
      <c r="I363" s="2027" t="s">
        <v>421</v>
      </c>
      <c r="V363" s="3891"/>
      <c r="W363" s="479"/>
      <c r="X363" s="479"/>
      <c r="Y363" s="479"/>
      <c r="Z363" s="479"/>
      <c r="AA363" s="479"/>
      <c r="AB363" s="1782">
        <v>60</v>
      </c>
      <c r="AC363" s="1408">
        <v>60</v>
      </c>
      <c r="AD363" s="1408">
        <v>60</v>
      </c>
      <c r="AE363" s="3087"/>
      <c r="AF363" s="3087"/>
      <c r="AG363" s="3087"/>
    </row>
    <row r="364" spans="4:33" hidden="1" outlineLevel="1" x14ac:dyDescent="0.35"/>
    <row r="365" spans="4:33" collapsed="1" x14ac:dyDescent="0.35"/>
  </sheetData>
  <mergeCells count="443">
    <mergeCell ref="J137:K137"/>
    <mergeCell ref="J145:K145"/>
    <mergeCell ref="J146:K146"/>
    <mergeCell ref="J147:K147"/>
    <mergeCell ref="J148:K148"/>
    <mergeCell ref="J149:K149"/>
    <mergeCell ref="J138:K138"/>
    <mergeCell ref="V28:V29"/>
    <mergeCell ref="V90:V93"/>
    <mergeCell ref="J118:K118"/>
    <mergeCell ref="J119:K119"/>
    <mergeCell ref="J120:K120"/>
    <mergeCell ref="J123:K123"/>
    <mergeCell ref="J124:K124"/>
    <mergeCell ref="J127:K127"/>
    <mergeCell ref="V147:V150"/>
    <mergeCell ref="V145:V146"/>
    <mergeCell ref="V118:V120"/>
    <mergeCell ref="J126:K126"/>
    <mergeCell ref="J133:K133"/>
    <mergeCell ref="J135:K135"/>
    <mergeCell ref="V136:V138"/>
    <mergeCell ref="G39:H39"/>
    <mergeCell ref="G40:H40"/>
    <mergeCell ref="G41:H41"/>
    <mergeCell ref="E90:E93"/>
    <mergeCell ref="D90:D93"/>
    <mergeCell ref="V30:V33"/>
    <mergeCell ref="D30:D33"/>
    <mergeCell ref="D28:D29"/>
    <mergeCell ref="E98:E99"/>
    <mergeCell ref="D98:D99"/>
    <mergeCell ref="V98:V99"/>
    <mergeCell ref="E77:E83"/>
    <mergeCell ref="D77:D83"/>
    <mergeCell ref="E70:E76"/>
    <mergeCell ref="D70:D76"/>
    <mergeCell ref="V70:V76"/>
    <mergeCell ref="V77:V83"/>
    <mergeCell ref="D84:D85"/>
    <mergeCell ref="E84:E85"/>
    <mergeCell ref="V84:V85"/>
    <mergeCell ref="V196:V197"/>
    <mergeCell ref="V198:V201"/>
    <mergeCell ref="V186:V188"/>
    <mergeCell ref="V191:V192"/>
    <mergeCell ref="H182:I182"/>
    <mergeCell ref="H180:I180"/>
    <mergeCell ref="H175:I175"/>
    <mergeCell ref="H174:I174"/>
    <mergeCell ref="H173:I173"/>
    <mergeCell ref="H179:I179"/>
    <mergeCell ref="H178:I178"/>
    <mergeCell ref="H177:I177"/>
    <mergeCell ref="H176:I176"/>
    <mergeCell ref="J178:K178"/>
    <mergeCell ref="J181:K181"/>
    <mergeCell ref="J175:K175"/>
    <mergeCell ref="J192:K192"/>
    <mergeCell ref="J184:K184"/>
    <mergeCell ref="H188:I188"/>
    <mergeCell ref="H187:I187"/>
    <mergeCell ref="H181:I181"/>
    <mergeCell ref="H184:I184"/>
    <mergeCell ref="H183:I183"/>
    <mergeCell ref="V174:V175"/>
    <mergeCell ref="E362:E363"/>
    <mergeCell ref="D330:D331"/>
    <mergeCell ref="E330:E331"/>
    <mergeCell ref="B334:O334"/>
    <mergeCell ref="H326:I326"/>
    <mergeCell ref="H331:I331"/>
    <mergeCell ref="D248:D249"/>
    <mergeCell ref="E250:E253"/>
    <mergeCell ref="D250:D253"/>
    <mergeCell ref="H277:I277"/>
    <mergeCell ref="J280:L280"/>
    <mergeCell ref="J281:L281"/>
    <mergeCell ref="H316:I316"/>
    <mergeCell ref="E248:E249"/>
    <mergeCell ref="H317:I317"/>
    <mergeCell ref="H318:I318"/>
    <mergeCell ref="H319:I319"/>
    <mergeCell ref="H320:I320"/>
    <mergeCell ref="D327:D328"/>
    <mergeCell ref="E327:E328"/>
    <mergeCell ref="V349:V357"/>
    <mergeCell ref="V358:V360"/>
    <mergeCell ref="V362:V363"/>
    <mergeCell ref="D349:D357"/>
    <mergeCell ref="E349:E357"/>
    <mergeCell ref="D358:D360"/>
    <mergeCell ref="E358:E360"/>
    <mergeCell ref="V317:V318"/>
    <mergeCell ref="V319:V322"/>
    <mergeCell ref="V323:V326"/>
    <mergeCell ref="V330:V331"/>
    <mergeCell ref="V334:AH334"/>
    <mergeCell ref="H322:I322"/>
    <mergeCell ref="H323:I323"/>
    <mergeCell ref="H324:I324"/>
    <mergeCell ref="H325:I325"/>
    <mergeCell ref="H321:I321"/>
    <mergeCell ref="D319:D322"/>
    <mergeCell ref="E319:E322"/>
    <mergeCell ref="E323:E326"/>
    <mergeCell ref="D323:D326"/>
    <mergeCell ref="E317:E318"/>
    <mergeCell ref="D317:D318"/>
    <mergeCell ref="D362:D363"/>
    <mergeCell ref="V250:V253"/>
    <mergeCell ref="V248:V249"/>
    <mergeCell ref="V278:V279"/>
    <mergeCell ref="V275:V276"/>
    <mergeCell ref="V273:V274"/>
    <mergeCell ref="V270:V271"/>
    <mergeCell ref="E278:E279"/>
    <mergeCell ref="D278:D279"/>
    <mergeCell ref="H276:I276"/>
    <mergeCell ref="H275:I275"/>
    <mergeCell ref="H251:I251"/>
    <mergeCell ref="J276:L276"/>
    <mergeCell ref="J274:L274"/>
    <mergeCell ref="J271:L271"/>
    <mergeCell ref="J269:L269"/>
    <mergeCell ref="J270:L270"/>
    <mergeCell ref="J272:L272"/>
    <mergeCell ref="J273:L273"/>
    <mergeCell ref="J275:L275"/>
    <mergeCell ref="J277:L277"/>
    <mergeCell ref="J278:L278"/>
    <mergeCell ref="H249:I249"/>
    <mergeCell ref="H248:I248"/>
    <mergeCell ref="H274:I274"/>
    <mergeCell ref="V239:V241"/>
    <mergeCell ref="V236:V237"/>
    <mergeCell ref="E225:E226"/>
    <mergeCell ref="D225:D226"/>
    <mergeCell ref="H232:I232"/>
    <mergeCell ref="H231:I231"/>
    <mergeCell ref="H230:I230"/>
    <mergeCell ref="H229:I229"/>
    <mergeCell ref="H228:I228"/>
    <mergeCell ref="H227:I227"/>
    <mergeCell ref="H226:I226"/>
    <mergeCell ref="H225:I225"/>
    <mergeCell ref="D239:D241"/>
    <mergeCell ref="D236:D237"/>
    <mergeCell ref="E239:E241"/>
    <mergeCell ref="E236:E237"/>
    <mergeCell ref="H241:I241"/>
    <mergeCell ref="H240:I240"/>
    <mergeCell ref="H238:I238"/>
    <mergeCell ref="H237:I237"/>
    <mergeCell ref="H236:I236"/>
    <mergeCell ref="V222:V224"/>
    <mergeCell ref="V225:V226"/>
    <mergeCell ref="V230:V231"/>
    <mergeCell ref="V227:V228"/>
    <mergeCell ref="E232:E235"/>
    <mergeCell ref="D232:D235"/>
    <mergeCell ref="V232:V235"/>
    <mergeCell ref="H224:I224"/>
    <mergeCell ref="E222:E224"/>
    <mergeCell ref="D222:D224"/>
    <mergeCell ref="H223:I223"/>
    <mergeCell ref="H222:I222"/>
    <mergeCell ref="E227:E228"/>
    <mergeCell ref="D227:D228"/>
    <mergeCell ref="E230:E231"/>
    <mergeCell ref="D230:D231"/>
    <mergeCell ref="H235:I235"/>
    <mergeCell ref="H234:I234"/>
    <mergeCell ref="H233:I233"/>
    <mergeCell ref="V283:V285"/>
    <mergeCell ref="E288:E291"/>
    <mergeCell ref="D288:D291"/>
    <mergeCell ref="V292:V293"/>
    <mergeCell ref="V288:V291"/>
    <mergeCell ref="B298:N298"/>
    <mergeCell ref="J286:L286"/>
    <mergeCell ref="H283:I283"/>
    <mergeCell ref="H292:I292"/>
    <mergeCell ref="H294:I294"/>
    <mergeCell ref="V170:V172"/>
    <mergeCell ref="J292:L292"/>
    <mergeCell ref="J294:L294"/>
    <mergeCell ref="J295:L295"/>
    <mergeCell ref="J296:L296"/>
    <mergeCell ref="E292:E293"/>
    <mergeCell ref="D292:D293"/>
    <mergeCell ref="H293:I293"/>
    <mergeCell ref="H296:I296"/>
    <mergeCell ref="H295:I295"/>
    <mergeCell ref="E177:E178"/>
    <mergeCell ref="D177:D178"/>
    <mergeCell ref="E174:E175"/>
    <mergeCell ref="D174:D175"/>
    <mergeCell ref="E191:E192"/>
    <mergeCell ref="D191:D192"/>
    <mergeCell ref="E186:E188"/>
    <mergeCell ref="D186:D188"/>
    <mergeCell ref="E183:E184"/>
    <mergeCell ref="D183:D184"/>
    <mergeCell ref="J282:L282"/>
    <mergeCell ref="H291:I291"/>
    <mergeCell ref="E283:E285"/>
    <mergeCell ref="D283:D285"/>
    <mergeCell ref="H152:I152"/>
    <mergeCell ref="H191:I191"/>
    <mergeCell ref="H190:I190"/>
    <mergeCell ref="H189:I189"/>
    <mergeCell ref="J185:K185"/>
    <mergeCell ref="J186:K186"/>
    <mergeCell ref="J187:K187"/>
    <mergeCell ref="J188:K188"/>
    <mergeCell ref="J190:K190"/>
    <mergeCell ref="J191:K191"/>
    <mergeCell ref="J169:K169"/>
    <mergeCell ref="J189:K189"/>
    <mergeCell ref="J173:K173"/>
    <mergeCell ref="J174:K174"/>
    <mergeCell ref="J176:K176"/>
    <mergeCell ref="J177:K177"/>
    <mergeCell ref="J179:K179"/>
    <mergeCell ref="J180:K180"/>
    <mergeCell ref="J182:K182"/>
    <mergeCell ref="V154:AH154"/>
    <mergeCell ref="V177:V178"/>
    <mergeCell ref="V183:V184"/>
    <mergeCell ref="V179:V182"/>
    <mergeCell ref="H186:I186"/>
    <mergeCell ref="H185:I185"/>
    <mergeCell ref="J183:K183"/>
    <mergeCell ref="J139:K139"/>
    <mergeCell ref="J140:K140"/>
    <mergeCell ref="J141:K141"/>
    <mergeCell ref="J142:K142"/>
    <mergeCell ref="J143:K143"/>
    <mergeCell ref="J144:K144"/>
    <mergeCell ref="J151:K151"/>
    <mergeCell ref="J152:K152"/>
    <mergeCell ref="B154:N154"/>
    <mergeCell ref="H148:I148"/>
    <mergeCell ref="H146:I146"/>
    <mergeCell ref="J150:K150"/>
    <mergeCell ref="H147:I147"/>
    <mergeCell ref="H145:I145"/>
    <mergeCell ref="H149:I149"/>
    <mergeCell ref="H150:I150"/>
    <mergeCell ref="H151:I151"/>
    <mergeCell ref="D136:D138"/>
    <mergeCell ref="H142:I142"/>
    <mergeCell ref="H141:I141"/>
    <mergeCell ref="H140:I140"/>
    <mergeCell ref="H139:I139"/>
    <mergeCell ref="J170:K170"/>
    <mergeCell ref="J171:K171"/>
    <mergeCell ref="H144:I144"/>
    <mergeCell ref="H143:I143"/>
    <mergeCell ref="E147:E150"/>
    <mergeCell ref="H169:I169"/>
    <mergeCell ref="J136:K136"/>
    <mergeCell ref="E136:E138"/>
    <mergeCell ref="H138:I138"/>
    <mergeCell ref="D147:D150"/>
    <mergeCell ref="E145:E146"/>
    <mergeCell ref="D145:D146"/>
    <mergeCell ref="E170:E172"/>
    <mergeCell ref="D170:D172"/>
    <mergeCell ref="H170:I170"/>
    <mergeCell ref="H172:I172"/>
    <mergeCell ref="H171:I171"/>
    <mergeCell ref="J172:K172"/>
    <mergeCell ref="H137:I137"/>
    <mergeCell ref="E129:E132"/>
    <mergeCell ref="D129:D132"/>
    <mergeCell ref="V122:V124"/>
    <mergeCell ref="V129:V132"/>
    <mergeCell ref="V126:V128"/>
    <mergeCell ref="V133:V134"/>
    <mergeCell ref="J128:K128"/>
    <mergeCell ref="J129:K129"/>
    <mergeCell ref="J130:K130"/>
    <mergeCell ref="J131:K131"/>
    <mergeCell ref="J132:K132"/>
    <mergeCell ref="J134:K134"/>
    <mergeCell ref="H136:I136"/>
    <mergeCell ref="H123:I123"/>
    <mergeCell ref="H135:I135"/>
    <mergeCell ref="H134:I134"/>
    <mergeCell ref="V22:V23"/>
    <mergeCell ref="D25:D26"/>
    <mergeCell ref="V25:V26"/>
    <mergeCell ref="D94:D97"/>
    <mergeCell ref="E94:E97"/>
    <mergeCell ref="D34:D35"/>
    <mergeCell ref="V34:V35"/>
    <mergeCell ref="D36:D37"/>
    <mergeCell ref="V36:V37"/>
    <mergeCell ref="D39:D40"/>
    <mergeCell ref="V39:V40"/>
    <mergeCell ref="B43:N43"/>
    <mergeCell ref="V43:AH43"/>
    <mergeCell ref="V94:V97"/>
    <mergeCell ref="I90:I93"/>
    <mergeCell ref="G35:H35"/>
    <mergeCell ref="G34:H34"/>
    <mergeCell ref="G38:H38"/>
    <mergeCell ref="D122:D124"/>
    <mergeCell ref="D126:D128"/>
    <mergeCell ref="A1:O1"/>
    <mergeCell ref="D2:J2"/>
    <mergeCell ref="B4:N4"/>
    <mergeCell ref="D133:D134"/>
    <mergeCell ref="G21:H21"/>
    <mergeCell ref="G22:H22"/>
    <mergeCell ref="G27:H27"/>
    <mergeCell ref="G26:H26"/>
    <mergeCell ref="G25:H25"/>
    <mergeCell ref="G24:H24"/>
    <mergeCell ref="G23:H23"/>
    <mergeCell ref="G33:H33"/>
    <mergeCell ref="G32:H32"/>
    <mergeCell ref="G31:H31"/>
    <mergeCell ref="G30:H30"/>
    <mergeCell ref="G29:H29"/>
    <mergeCell ref="G28:H28"/>
    <mergeCell ref="G37:H37"/>
    <mergeCell ref="G36:H36"/>
    <mergeCell ref="B102:N102"/>
    <mergeCell ref="J117:K117"/>
    <mergeCell ref="J121:K121"/>
    <mergeCell ref="J122:K122"/>
    <mergeCell ref="J125:K125"/>
    <mergeCell ref="V4:AH4"/>
    <mergeCell ref="D22:D23"/>
    <mergeCell ref="H117:I117"/>
    <mergeCell ref="H121:I121"/>
    <mergeCell ref="H120:I120"/>
    <mergeCell ref="H119:I119"/>
    <mergeCell ref="H133:I133"/>
    <mergeCell ref="H132:I132"/>
    <mergeCell ref="H131:I131"/>
    <mergeCell ref="H130:I130"/>
    <mergeCell ref="H128:I128"/>
    <mergeCell ref="H127:I127"/>
    <mergeCell ref="H126:I126"/>
    <mergeCell ref="H118:I118"/>
    <mergeCell ref="E122:E124"/>
    <mergeCell ref="E126:E128"/>
    <mergeCell ref="E133:E134"/>
    <mergeCell ref="H129:I129"/>
    <mergeCell ref="H125:I125"/>
    <mergeCell ref="H124:I124"/>
    <mergeCell ref="E118:E120"/>
    <mergeCell ref="D118:D120"/>
    <mergeCell ref="H122:I122"/>
    <mergeCell ref="V102:AH102"/>
    <mergeCell ref="E198:E201"/>
    <mergeCell ref="D198:D201"/>
    <mergeCell ref="E196:E197"/>
    <mergeCell ref="D196:D197"/>
    <mergeCell ref="H195:I195"/>
    <mergeCell ref="H194:I194"/>
    <mergeCell ref="H193:I193"/>
    <mergeCell ref="B206:N206"/>
    <mergeCell ref="E179:E182"/>
    <mergeCell ref="D179:D182"/>
    <mergeCell ref="H192:I192"/>
    <mergeCell ref="J200:K200"/>
    <mergeCell ref="H203:I203"/>
    <mergeCell ref="H202:I202"/>
    <mergeCell ref="J203:K203"/>
    <mergeCell ref="H201:I201"/>
    <mergeCell ref="H200:I200"/>
    <mergeCell ref="H199:I199"/>
    <mergeCell ref="H198:I198"/>
    <mergeCell ref="H197:I197"/>
    <mergeCell ref="H196:I196"/>
    <mergeCell ref="H245:I245"/>
    <mergeCell ref="H244:I244"/>
    <mergeCell ref="H255:I255"/>
    <mergeCell ref="H254:I254"/>
    <mergeCell ref="H253:I253"/>
    <mergeCell ref="H252:I252"/>
    <mergeCell ref="H250:I250"/>
    <mergeCell ref="H288:I288"/>
    <mergeCell ref="H290:I290"/>
    <mergeCell ref="H285:I285"/>
    <mergeCell ref="H286:I286"/>
    <mergeCell ref="H287:I287"/>
    <mergeCell ref="H289:I289"/>
    <mergeCell ref="H269:I269"/>
    <mergeCell ref="B257:N257"/>
    <mergeCell ref="H221:I221"/>
    <mergeCell ref="H239:I239"/>
    <mergeCell ref="E286:E287"/>
    <mergeCell ref="D286:D287"/>
    <mergeCell ref="H270:I270"/>
    <mergeCell ref="E275:E276"/>
    <mergeCell ref="D275:D276"/>
    <mergeCell ref="E273:E274"/>
    <mergeCell ref="D273:D274"/>
    <mergeCell ref="E270:E271"/>
    <mergeCell ref="D270:D271"/>
    <mergeCell ref="H281:I281"/>
    <mergeCell ref="H280:I280"/>
    <mergeCell ref="H279:I279"/>
    <mergeCell ref="H278:I278"/>
    <mergeCell ref="H271:I271"/>
    <mergeCell ref="H272:I272"/>
    <mergeCell ref="H273:I273"/>
    <mergeCell ref="H284:I284"/>
    <mergeCell ref="H282:I282"/>
    <mergeCell ref="H247:I247"/>
    <mergeCell ref="H246:I246"/>
    <mergeCell ref="H243:I243"/>
    <mergeCell ref="H242:I242"/>
    <mergeCell ref="V327:V328"/>
    <mergeCell ref="J193:K193"/>
    <mergeCell ref="J194:K194"/>
    <mergeCell ref="J195:K195"/>
    <mergeCell ref="J196:K196"/>
    <mergeCell ref="J197:K197"/>
    <mergeCell ref="J198:K198"/>
    <mergeCell ref="J199:K199"/>
    <mergeCell ref="J201:K201"/>
    <mergeCell ref="J202:K202"/>
    <mergeCell ref="J289:L289"/>
    <mergeCell ref="J290:L290"/>
    <mergeCell ref="J291:L291"/>
    <mergeCell ref="J293:L293"/>
    <mergeCell ref="J288:L288"/>
    <mergeCell ref="J287:L287"/>
    <mergeCell ref="J285:L285"/>
    <mergeCell ref="J284:L284"/>
    <mergeCell ref="J283:L283"/>
    <mergeCell ref="J279:L279"/>
    <mergeCell ref="V206:AH206"/>
    <mergeCell ref="V257:AH257"/>
    <mergeCell ref="V298:AH298"/>
    <mergeCell ref="V286:V287"/>
  </mergeCells>
  <conditionalFormatting sqref="AH7:AH10 AH105:AH108 AH157:AH160 AH209:AH212 AH260:AH263">
    <cfRule type="cellIs" dxfId="306" priority="37" operator="lessThan">
      <formula>-0.1</formula>
    </cfRule>
    <cfRule type="cellIs" dxfId="305" priority="38" operator="greaterThan">
      <formula>0.1</formula>
    </cfRule>
  </conditionalFormatting>
  <conditionalFormatting sqref="AH46:AH57">
    <cfRule type="cellIs" dxfId="304" priority="35" operator="lessThan">
      <formula>-0.1</formula>
    </cfRule>
    <cfRule type="cellIs" dxfId="303" priority="36" operator="greaterThan">
      <formula>0.1</formula>
    </cfRule>
  </conditionalFormatting>
  <conditionalFormatting sqref="AH301:AH309">
    <cfRule type="cellIs" dxfId="302" priority="25" operator="lessThan">
      <formula>-0.1</formula>
    </cfRule>
    <cfRule type="cellIs" dxfId="301" priority="26" operator="greaterThan">
      <formula>0.1</formula>
    </cfRule>
  </conditionalFormatting>
  <conditionalFormatting sqref="AH11">
    <cfRule type="cellIs" dxfId="300" priority="23" operator="lessThan">
      <formula>-0.1</formula>
    </cfRule>
    <cfRule type="cellIs" dxfId="299" priority="24" operator="greaterThan">
      <formula>0.1</formula>
    </cfRule>
  </conditionalFormatting>
  <conditionalFormatting sqref="B335:B336 B1:B326 B329:B333 B338:B1048576">
    <cfRule type="cellIs" dxfId="298" priority="22" operator="equal">
      <formula>"x"</formula>
    </cfRule>
  </conditionalFormatting>
  <conditionalFormatting sqref="E11">
    <cfRule type="cellIs" dxfId="297" priority="21" operator="equal">
      <formula>"x"</formula>
    </cfRule>
  </conditionalFormatting>
  <conditionalFormatting sqref="H357">
    <cfRule type="cellIs" dxfId="296" priority="16" operator="equal">
      <formula>"x"</formula>
    </cfRule>
  </conditionalFormatting>
  <conditionalFormatting sqref="D347:E348 D349 F363 G347:H348 F348 D358 H349:H356 D361:H361 G349:G357 H362:H363">
    <cfRule type="cellIs" dxfId="295" priority="20" operator="equal">
      <formula>"x"</formula>
    </cfRule>
  </conditionalFormatting>
  <conditionalFormatting sqref="F347">
    <cfRule type="cellIs" dxfId="294" priority="19" operator="equal">
      <formula>"x"</formula>
    </cfRule>
  </conditionalFormatting>
  <conditionalFormatting sqref="I347:I363">
    <cfRule type="cellIs" dxfId="293" priority="18" operator="equal">
      <formula>"x"</formula>
    </cfRule>
  </conditionalFormatting>
  <conditionalFormatting sqref="F349:F357">
    <cfRule type="cellIs" dxfId="292" priority="17" operator="equal">
      <formula>"x"</formula>
    </cfRule>
  </conditionalFormatting>
  <conditionalFormatting sqref="B334:O334">
    <cfRule type="cellIs" dxfId="291" priority="15" operator="equal">
      <formula>"x"</formula>
    </cfRule>
  </conditionalFormatting>
  <conditionalFormatting sqref="C336:L336 F339:L339 F338:G338 I338:L338">
    <cfRule type="cellIs" dxfId="290" priority="14" operator="equal">
      <formula>"x"</formula>
    </cfRule>
  </conditionalFormatting>
  <conditionalFormatting sqref="C339:E341">
    <cfRule type="cellIs" dxfId="289" priority="13" operator="equal">
      <formula>"x"</formula>
    </cfRule>
  </conditionalFormatting>
  <conditionalFormatting sqref="C342:E343">
    <cfRule type="cellIs" dxfId="288" priority="12" operator="equal">
      <formula>"x"</formula>
    </cfRule>
  </conditionalFormatting>
  <conditionalFormatting sqref="AH338:AH346">
    <cfRule type="cellIs" dxfId="287" priority="10" operator="lessThan">
      <formula>-0.1</formula>
    </cfRule>
    <cfRule type="cellIs" dxfId="286" priority="11" operator="greaterThan">
      <formula>0.1</formula>
    </cfRule>
  </conditionalFormatting>
  <conditionalFormatting sqref="V348:V349 V358 V361">
    <cfRule type="cellIs" dxfId="285" priority="9" operator="equal">
      <formula>"x"</formula>
    </cfRule>
  </conditionalFormatting>
  <conditionalFormatting sqref="AB361 AB348:AB357">
    <cfRule type="cellIs" dxfId="284" priority="8" operator="equal">
      <formula>"x"</formula>
    </cfRule>
  </conditionalFormatting>
  <conditionalFormatting sqref="B327:B328">
    <cfRule type="cellIs" dxfId="283" priority="7" operator="equal">
      <formula>"x"</formula>
    </cfRule>
  </conditionalFormatting>
  <conditionalFormatting sqref="H358:H360">
    <cfRule type="cellIs" dxfId="282" priority="6" operator="equal">
      <formula>"x"</formula>
    </cfRule>
  </conditionalFormatting>
  <conditionalFormatting sqref="B337">
    <cfRule type="cellIs" dxfId="281" priority="5" operator="equal">
      <formula>"x"</formula>
    </cfRule>
  </conditionalFormatting>
  <conditionalFormatting sqref="D337 F337:G337 I337:L337">
    <cfRule type="cellIs" dxfId="280" priority="4" operator="equal">
      <formula>"x"</formula>
    </cfRule>
  </conditionalFormatting>
  <conditionalFormatting sqref="AH337">
    <cfRule type="cellIs" dxfId="279" priority="2" operator="lessThan">
      <formula>-0.1</formula>
    </cfRule>
    <cfRule type="cellIs" dxfId="278" priority="3" operator="greaterThan">
      <formula>0.1</formula>
    </cfRule>
  </conditionalFormatting>
  <conditionalFormatting sqref="AC361:AD361">
    <cfRule type="cellIs" dxfId="277" priority="1" operator="equal">
      <formula>"x"</formula>
    </cfRule>
  </conditionalFormatting>
  <hyperlinks>
    <hyperlink ref="H141" r:id="rId1" display="http://ilsagfiles.org/SAG_files/Technical_Reference_Manual/Version_5/Final/IL-TRM_Version_5.0_dated_February-11-2016_Final_Compiled_Volumes_1-4.pdf" xr:uid="{00000000-0004-0000-0400-000000000000}"/>
    <hyperlink ref="H143" r:id="rId2" display="http://www.nrel.gov/docs/fy10osti/47246.pdf" xr:uid="{00000000-0004-0000-0400-000001000000}"/>
    <hyperlink ref="H133" r:id="rId3" display="http://ilsagfiles.org/SAG_files/Technical_Reference_Manual/Version_5/Final/IL-TRM_Version_5.0_dated_February-11-2016_Final_Compiled_Volumes_1-4.pdf" xr:uid="{00000000-0004-0000-0400-000002000000}"/>
    <hyperlink ref="H191" r:id="rId4" display="http://ilsagfiles.org/SAG_files/Technical_Reference_Manual/Version_5/Final/IL-TRM_Version_5.0_dated_February-11-2016_Final_Compiled_Volumes_1-4.pdf" xr:uid="{00000000-0004-0000-0400-000003000000}"/>
    <hyperlink ref="H194" r:id="rId5" display="http://www.nrel.gov/docs/fy10osti/47246.pdf" xr:uid="{00000000-0004-0000-0400-000004000000}"/>
    <hyperlink ref="H193" r:id="rId6" display="https://www.efis.psc.mo.gov/mpsc/commoncomponents/viewdocument.asp?DocId=935658483" xr:uid="{00000000-0004-0000-0400-000005000000}"/>
    <hyperlink ref="H183" r:id="rId7" display="http://ilsagfiles.org/SAG_files/Technical_Reference_Manual/Version_5/Final/IL-TRM_Version_5.0_dated_February-11-2016_Final_Compiled_Volumes_1-4.pdf" xr:uid="{00000000-0004-0000-0400-000006000000}"/>
    <hyperlink ref="H245" r:id="rId8" display="https://www.efis.psc.mo.gov/mpsc/commoncomponents/viewdocument.asp?DocId=935658483" xr:uid="{00000000-0004-0000-0400-000007000000}"/>
    <hyperlink ref="H246" r:id="rId9" display="http://www.nrel.gov/docs/fy10osti/47246.pdf" xr:uid="{00000000-0004-0000-0400-000008000000}"/>
  </hyperlinks>
  <pageMargins left="0.7" right="0.7" top="0.75" bottom="0.75" header="0.3" footer="0.3"/>
  <pageSetup scale="10" fitToHeight="0" orientation="landscape" r:id="rId10"/>
  <rowBreaks count="1" manualBreakCount="1">
    <brk id="297" max="69" man="1"/>
  </rowBreaks>
  <drawing r:id="rId11"/>
  <legacyDrawing r:id="rId1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BH4678"/>
  <sheetViews>
    <sheetView zoomScale="70" zoomScaleNormal="70" workbookViewId="0">
      <selection sqref="A1:O1"/>
    </sheetView>
  </sheetViews>
  <sheetFormatPr defaultColWidth="9.1796875" defaultRowHeight="14.5" outlineLevelRow="1" x14ac:dyDescent="0.35"/>
  <cols>
    <col min="1" max="1" width="6" customWidth="1"/>
    <col min="2" max="2" width="27.1796875" customWidth="1"/>
    <col min="3" max="3" width="19.1796875" customWidth="1"/>
    <col min="4" max="4" width="17.81640625" customWidth="1"/>
    <col min="5" max="5" width="67.7265625" customWidth="1"/>
    <col min="6" max="8" width="21.54296875" customWidth="1"/>
    <col min="9" max="9" width="25.7265625" customWidth="1"/>
    <col min="10" max="10" width="23.81640625" customWidth="1"/>
    <col min="11" max="11" width="13" customWidth="1"/>
    <col min="12" max="12" width="18.1796875" customWidth="1"/>
    <col min="13" max="13" width="17" customWidth="1"/>
    <col min="14" max="14" width="11.1796875" customWidth="1"/>
    <col min="15" max="15" width="11.81640625" customWidth="1"/>
    <col min="16" max="16" width="14" customWidth="1"/>
    <col min="17" max="17" width="16.81640625" customWidth="1"/>
    <col min="18" max="18" width="21.81640625" customWidth="1"/>
    <col min="19" max="19" width="14.453125" customWidth="1"/>
    <col min="20" max="20" width="9.1796875" customWidth="1"/>
    <col min="21" max="21" width="11.81640625" customWidth="1"/>
    <col min="22" max="22" width="20.54296875" customWidth="1"/>
    <col min="23" max="23" width="15.453125" customWidth="1"/>
    <col min="24" max="24" width="18" customWidth="1"/>
    <col min="25" max="26" width="16.7265625" customWidth="1"/>
    <col min="27" max="28" width="17.453125" customWidth="1"/>
    <col min="29" max="29" width="18.7265625" customWidth="1"/>
    <col min="30" max="33" width="15.453125" customWidth="1"/>
    <col min="34" max="35" width="9.1796875" customWidth="1"/>
    <col min="36" max="36" width="14.81640625" customWidth="1"/>
    <col min="37" max="51" width="9.1796875" customWidth="1"/>
    <col min="52" max="52" width="12.1796875" customWidth="1"/>
    <col min="53" max="53" width="9.1796875" customWidth="1"/>
    <col min="54" max="54" width="13.1796875" bestFit="1" customWidth="1"/>
    <col min="55" max="55" width="26.453125" customWidth="1"/>
    <col min="56" max="56" width="13.1796875" customWidth="1"/>
    <col min="57" max="57" width="19" customWidth="1"/>
    <col min="59" max="59" width="9" style="3391" customWidth="1"/>
    <col min="60" max="60" width="10" style="3391" customWidth="1"/>
    <col min="61" max="16384" width="9.1796875" style="3391"/>
  </cols>
  <sheetData>
    <row r="1" spans="1:58" s="725" customFormat="1" ht="18.5" x14ac:dyDescent="0.45">
      <c r="A1" s="3657" t="s">
        <v>776</v>
      </c>
      <c r="B1" s="3853"/>
      <c r="C1" s="3853"/>
      <c r="D1" s="3853"/>
      <c r="E1" s="3853"/>
      <c r="F1" s="3853"/>
      <c r="G1" s="3853"/>
      <c r="H1" s="3853"/>
      <c r="I1" s="3853"/>
      <c r="J1" s="3853"/>
      <c r="K1" s="3853"/>
      <c r="L1" s="3853"/>
      <c r="M1" s="3853"/>
      <c r="N1" s="3853"/>
      <c r="O1" s="3853"/>
      <c r="P1" s="3659"/>
      <c r="Q1" s="4025"/>
      <c r="R1" s="4025"/>
      <c r="V1" s="2035"/>
      <c r="W1" s="27"/>
      <c r="X1" s="27"/>
      <c r="Y1" s="2825"/>
      <c r="Z1" s="2825"/>
      <c r="AA1" s="2825"/>
      <c r="AB1" s="2825"/>
      <c r="AC1" s="2825"/>
      <c r="AD1" s="2825"/>
      <c r="AE1" s="2825"/>
      <c r="AF1" s="2825"/>
      <c r="AG1" s="2825"/>
      <c r="AH1" s="2825"/>
      <c r="AI1" s="2826"/>
      <c r="AJ1" s="2826"/>
      <c r="AK1" s="2826"/>
      <c r="AL1" s="2826"/>
      <c r="AM1" s="2826"/>
      <c r="AN1" s="2826"/>
      <c r="AO1" s="2826"/>
      <c r="AP1" s="2826"/>
      <c r="AQ1" s="2826"/>
      <c r="AR1" s="2826"/>
      <c r="AS1" s="2826"/>
      <c r="AT1" s="2826"/>
      <c r="AU1" s="2826"/>
      <c r="AV1" s="2826"/>
      <c r="AW1" s="2826"/>
      <c r="AX1" s="2826"/>
      <c r="AY1" s="2826"/>
      <c r="AZ1" s="2826"/>
      <c r="BA1" s="2826"/>
      <c r="BB1" s="497"/>
      <c r="BC1" s="498"/>
      <c r="BD1" s="2827"/>
      <c r="BE1" s="2826"/>
      <c r="BF1" s="2826"/>
    </row>
    <row r="2" spans="1:58" s="725" customFormat="1" ht="30" hidden="1" customHeight="1" outlineLevel="1" x14ac:dyDescent="0.5">
      <c r="A2" s="1662"/>
      <c r="B2" s="1081"/>
      <c r="C2" s="126"/>
      <c r="D2" s="3661" t="s">
        <v>2243</v>
      </c>
      <c r="E2" s="3662"/>
      <c r="F2" s="3663"/>
      <c r="G2" s="3663"/>
      <c r="H2" s="3663"/>
      <c r="I2" s="3663"/>
      <c r="J2" s="3663"/>
      <c r="K2" s="724"/>
      <c r="L2" s="724"/>
      <c r="W2" s="2826"/>
      <c r="X2" s="2826"/>
      <c r="Y2" s="2826"/>
      <c r="Z2" s="2826"/>
      <c r="AA2" s="2826"/>
      <c r="AB2" s="2826"/>
      <c r="AC2" s="2826"/>
      <c r="AD2" s="2826"/>
      <c r="AE2" s="2826"/>
      <c r="AF2" s="2826"/>
      <c r="AG2" s="2826"/>
      <c r="AH2" s="2826"/>
      <c r="AI2" s="2826"/>
      <c r="AJ2" s="2826"/>
      <c r="AK2" s="2826"/>
      <c r="AL2" s="2826"/>
      <c r="AM2" s="2826"/>
      <c r="AN2" s="2826"/>
      <c r="AO2" s="2826"/>
      <c r="AP2" s="2826"/>
      <c r="AQ2" s="2826"/>
      <c r="AR2" s="2826"/>
      <c r="AS2" s="2826"/>
      <c r="AT2" s="2826"/>
      <c r="AU2" s="2826"/>
      <c r="AV2" s="2826"/>
      <c r="AW2" s="2826"/>
      <c r="AX2" s="2826"/>
      <c r="AY2" s="2826"/>
      <c r="AZ2" s="2826"/>
      <c r="BA2" s="2826"/>
      <c r="BB2" s="497"/>
      <c r="BC2" s="498"/>
      <c r="BD2" s="2827"/>
      <c r="BE2" s="2826"/>
      <c r="BF2" s="2826"/>
    </row>
    <row r="3" spans="1:58" s="725" customFormat="1" ht="33.75" customHeight="1" collapsed="1" x14ac:dyDescent="0.35">
      <c r="A3" s="1662"/>
      <c r="C3" s="127"/>
      <c r="D3" s="128"/>
      <c r="E3" s="128"/>
      <c r="F3" s="127"/>
      <c r="G3" s="128"/>
      <c r="H3" s="127"/>
      <c r="I3" s="127"/>
      <c r="J3" s="127"/>
      <c r="M3" s="1116"/>
      <c r="W3" s="2826"/>
      <c r="X3" s="2826"/>
      <c r="Y3" s="2826"/>
      <c r="Z3" s="2826"/>
      <c r="AA3" s="2826"/>
      <c r="AB3" s="2826"/>
      <c r="AC3" s="2826"/>
      <c r="AD3" s="2826"/>
      <c r="AE3" s="2826"/>
      <c r="AF3" s="2826"/>
      <c r="AG3" s="2826"/>
      <c r="AH3" s="2826"/>
      <c r="AI3" s="2826"/>
      <c r="AJ3" s="2826"/>
      <c r="AK3" s="2826"/>
      <c r="AL3" s="2826"/>
      <c r="AM3" s="2826"/>
      <c r="AN3" s="2826"/>
      <c r="AO3" s="2826"/>
      <c r="AP3" s="2826"/>
      <c r="AQ3" s="2826"/>
      <c r="AR3" s="2826"/>
      <c r="AS3" s="2826"/>
      <c r="AT3" s="2826"/>
      <c r="AU3" s="2826"/>
      <c r="AV3" s="2826"/>
      <c r="AW3" s="2826"/>
      <c r="AX3" s="2826"/>
      <c r="AY3" s="2826"/>
      <c r="AZ3" s="2826"/>
      <c r="BA3" s="2826"/>
      <c r="BB3" s="499"/>
      <c r="BC3" s="498"/>
      <c r="BD3" s="2827"/>
      <c r="BE3" s="2826"/>
      <c r="BF3" s="2826"/>
    </row>
    <row r="4" spans="1:58" x14ac:dyDescent="0.35">
      <c r="A4" s="1071"/>
      <c r="B4" s="3664" t="s">
        <v>777</v>
      </c>
      <c r="C4" s="3665"/>
      <c r="D4" s="3665"/>
      <c r="E4" s="3665"/>
      <c r="F4" s="3665"/>
      <c r="G4" s="3665"/>
      <c r="H4" s="3665"/>
      <c r="I4" s="3665"/>
      <c r="J4" s="3665"/>
      <c r="K4" s="3665"/>
      <c r="L4" s="3665"/>
      <c r="M4" s="3665"/>
      <c r="N4" s="3665"/>
      <c r="O4" s="3665"/>
      <c r="P4" s="3665"/>
      <c r="Q4" s="4026"/>
      <c r="R4" s="756"/>
      <c r="S4" s="106"/>
      <c r="T4" s="106"/>
      <c r="U4" s="106"/>
      <c r="V4" s="3664" t="str">
        <f>B4</f>
        <v>ECM/ Blower Motor</v>
      </c>
      <c r="W4" s="3665"/>
      <c r="X4" s="3665"/>
      <c r="Y4" s="3665"/>
      <c r="Z4" s="3665"/>
      <c r="AA4" s="3665"/>
      <c r="AB4" s="3665"/>
      <c r="AC4" s="4018"/>
      <c r="AD4" s="4018"/>
      <c r="AE4" s="4018"/>
      <c r="AF4" s="4018"/>
      <c r="AG4" s="4018"/>
      <c r="AH4" s="4019"/>
      <c r="AI4" s="156"/>
      <c r="AJ4" s="156"/>
      <c r="AK4" s="156"/>
      <c r="AL4" s="156"/>
      <c r="AM4" s="156"/>
      <c r="AN4" s="156"/>
      <c r="AO4" s="156"/>
      <c r="AP4" s="156"/>
      <c r="AQ4" s="156"/>
      <c r="AR4" s="156"/>
      <c r="AS4" s="156"/>
      <c r="AT4" s="156"/>
      <c r="AU4" s="156"/>
      <c r="AV4" s="156"/>
      <c r="AW4" s="156"/>
      <c r="AX4" s="156"/>
      <c r="AY4" s="156"/>
      <c r="AZ4" s="156"/>
      <c r="BA4" s="156"/>
      <c r="BB4" s="2828"/>
      <c r="BC4" s="452"/>
      <c r="BD4" s="2827"/>
      <c r="BE4" s="156"/>
      <c r="BF4" s="156"/>
    </row>
    <row r="5" spans="1:58" x14ac:dyDescent="0.35">
      <c r="A5" s="1663"/>
      <c r="B5" s="106"/>
      <c r="C5" s="753"/>
      <c r="D5" s="1339"/>
      <c r="E5" s="1339"/>
      <c r="F5" s="754"/>
      <c r="G5" s="1339"/>
      <c r="H5" s="754"/>
      <c r="I5" s="754"/>
      <c r="J5" s="754"/>
      <c r="K5" s="754"/>
      <c r="L5" s="1340"/>
      <c r="M5" s="756"/>
      <c r="N5" s="756"/>
      <c r="O5" s="756"/>
      <c r="P5" s="756"/>
      <c r="Q5" s="756"/>
      <c r="R5" s="756"/>
      <c r="S5" s="106"/>
      <c r="T5" s="106"/>
      <c r="U5" s="106"/>
      <c r="V5" s="106"/>
      <c r="W5" s="156"/>
      <c r="X5" s="156"/>
      <c r="Y5" s="156"/>
      <c r="Z5" s="156"/>
      <c r="AA5" s="156"/>
      <c r="AB5" s="156"/>
      <c r="AC5" s="156"/>
      <c r="AD5" s="156"/>
      <c r="AE5" s="156"/>
      <c r="AF5" s="156"/>
      <c r="AG5" s="156"/>
      <c r="AH5" s="156"/>
      <c r="AI5" s="156"/>
      <c r="AJ5" s="156"/>
      <c r="AK5" s="156"/>
      <c r="AL5" s="156"/>
      <c r="AM5" s="156"/>
      <c r="AN5" s="156"/>
      <c r="AO5" s="156"/>
      <c r="AP5" s="156"/>
      <c r="AQ5" s="156"/>
      <c r="AR5" s="156"/>
      <c r="AS5" s="156"/>
      <c r="AT5" s="156"/>
      <c r="AU5" s="156"/>
      <c r="AV5" s="156"/>
      <c r="AW5" s="156"/>
      <c r="AX5" s="156"/>
      <c r="AY5" s="156"/>
      <c r="AZ5" s="156"/>
      <c r="BA5" s="156"/>
      <c r="BB5" s="2828"/>
      <c r="BC5" s="452"/>
      <c r="BD5" s="2827"/>
      <c r="BE5" s="156"/>
      <c r="BF5" s="156"/>
    </row>
    <row r="6" spans="1:58" ht="29" x14ac:dyDescent="0.35">
      <c r="A6" s="1071"/>
      <c r="B6" s="106"/>
      <c r="C6" s="2331" t="s">
        <v>27</v>
      </c>
      <c r="D6" s="2331" t="s">
        <v>174</v>
      </c>
      <c r="E6" s="2331" t="s">
        <v>29</v>
      </c>
      <c r="F6" s="2331" t="s">
        <v>30</v>
      </c>
      <c r="G6" s="2331" t="s">
        <v>175</v>
      </c>
      <c r="H6" s="2331" t="s">
        <v>176</v>
      </c>
      <c r="I6" s="2331" t="s">
        <v>493</v>
      </c>
      <c r="J6" s="2331" t="s">
        <v>494</v>
      </c>
      <c r="K6" s="2331" t="s">
        <v>778</v>
      </c>
      <c r="L6" s="2331" t="s">
        <v>779</v>
      </c>
      <c r="M6" s="2331" t="s">
        <v>31</v>
      </c>
      <c r="N6" s="2363" t="s">
        <v>180</v>
      </c>
      <c r="O6" s="2331" t="s">
        <v>169</v>
      </c>
      <c r="P6" s="2331" t="s">
        <v>43</v>
      </c>
      <c r="Q6" s="756"/>
      <c r="R6" s="106"/>
      <c r="S6" s="106"/>
      <c r="T6" s="106"/>
      <c r="U6" s="106"/>
      <c r="V6" s="480" t="s">
        <v>44</v>
      </c>
      <c r="W6" s="1573">
        <v>43252</v>
      </c>
      <c r="X6" s="1573">
        <v>43465</v>
      </c>
      <c r="Y6" s="1573">
        <v>43800</v>
      </c>
      <c r="Z6" s="1573">
        <v>43862</v>
      </c>
      <c r="AA6" s="1573">
        <v>44013</v>
      </c>
      <c r="AB6" s="1573">
        <v>44166</v>
      </c>
      <c r="AC6" s="1573">
        <v>44531</v>
      </c>
      <c r="AD6" s="1573">
        <v>44774</v>
      </c>
      <c r="AE6" s="1573" t="s">
        <v>45</v>
      </c>
      <c r="AF6" s="1573" t="s">
        <v>45</v>
      </c>
      <c r="AG6" s="1573" t="s">
        <v>45</v>
      </c>
      <c r="AH6" s="156"/>
      <c r="AI6" s="156"/>
      <c r="AJ6" s="156"/>
      <c r="AK6" s="156"/>
      <c r="AL6" s="156"/>
      <c r="AM6" s="156"/>
      <c r="AN6" s="156"/>
      <c r="AO6" s="156"/>
      <c r="AP6" s="156"/>
      <c r="AQ6" s="156"/>
      <c r="AR6" s="156"/>
      <c r="AS6" s="156"/>
      <c r="AT6" s="156"/>
      <c r="AU6" s="156"/>
      <c r="AV6" s="156"/>
      <c r="AW6" s="156"/>
      <c r="AX6" s="156"/>
      <c r="AY6" s="156"/>
      <c r="AZ6" s="156"/>
      <c r="BA6" s="156"/>
      <c r="BB6" s="3300" t="s">
        <v>4472</v>
      </c>
      <c r="BC6" s="3301" t="s">
        <v>47</v>
      </c>
      <c r="BD6" s="3302" t="s">
        <v>48</v>
      </c>
      <c r="BE6" s="3303" t="s">
        <v>49</v>
      </c>
      <c r="BF6" s="156"/>
    </row>
    <row r="7" spans="1:58" x14ac:dyDescent="0.35">
      <c r="A7" s="1071" t="str">
        <f t="shared" ref="A7:A18" si="0">C7&amp;G7</f>
        <v>350050_2021_12_HVAC RES</v>
      </c>
      <c r="B7" s="106"/>
      <c r="C7" s="395" t="s">
        <v>780</v>
      </c>
      <c r="D7" s="395" t="s">
        <v>318</v>
      </c>
      <c r="E7" s="2381" t="s">
        <v>781</v>
      </c>
      <c r="F7" s="501">
        <f>ROUND(I7+J7+K7+L7,2)</f>
        <v>0</v>
      </c>
      <c r="G7" s="368" t="s">
        <v>425</v>
      </c>
      <c r="H7" s="136">
        <f>VLOOKUP(G7,'CP FACTORS'!$A$3:$B$38, 2, FALSE)</f>
        <v>4.6608050000000002E-4</v>
      </c>
      <c r="I7" s="820">
        <f>0</f>
        <v>0</v>
      </c>
      <c r="J7" s="820">
        <f>0</f>
        <v>0</v>
      </c>
      <c r="K7" s="820">
        <f>0</f>
        <v>0</v>
      </c>
      <c r="L7" s="2618">
        <v>0</v>
      </c>
      <c r="M7" s="502">
        <f>ROUND(H7*F7,6)</f>
        <v>0</v>
      </c>
      <c r="N7" s="820">
        <f t="shared" ref="N7:N18" si="1">I89</f>
        <v>20</v>
      </c>
      <c r="O7" s="1845">
        <f>I101</f>
        <v>0</v>
      </c>
      <c r="P7" s="395" t="s">
        <v>184</v>
      </c>
      <c r="Q7" s="756"/>
      <c r="R7" s="106"/>
      <c r="S7" s="106"/>
      <c r="T7" s="106"/>
      <c r="U7" s="106"/>
      <c r="V7" s="1592" t="s">
        <v>30</v>
      </c>
      <c r="W7" s="851">
        <v>591.90332067911811</v>
      </c>
      <c r="X7" s="1590">
        <v>619.79873095030314</v>
      </c>
      <c r="Y7" s="96">
        <v>582</v>
      </c>
      <c r="Z7" s="93">
        <v>582</v>
      </c>
      <c r="AA7" s="93">
        <v>582</v>
      </c>
      <c r="AB7" s="2831">
        <v>582</v>
      </c>
      <c r="AC7" s="1575">
        <v>0</v>
      </c>
      <c r="AD7" s="112">
        <v>0</v>
      </c>
      <c r="AE7" s="851"/>
      <c r="AF7" s="851"/>
      <c r="AG7" s="851"/>
      <c r="AH7" s="344"/>
      <c r="AI7" s="156"/>
      <c r="AJ7" s="156"/>
      <c r="AK7" s="156"/>
      <c r="AL7" s="156"/>
      <c r="AM7" s="156"/>
      <c r="AN7" s="156"/>
      <c r="AO7" s="156"/>
      <c r="AP7" s="156"/>
      <c r="AQ7" s="156"/>
      <c r="AR7" s="156"/>
      <c r="AS7" s="156"/>
      <c r="AT7" s="156"/>
      <c r="AU7" s="156"/>
      <c r="AV7" s="156"/>
      <c r="AW7" s="156"/>
      <c r="AX7" s="156"/>
      <c r="AY7" s="156"/>
      <c r="AZ7" s="156"/>
      <c r="BA7" s="156"/>
      <c r="BB7" s="3304" t="str">
        <f>IFERROR((BD7)/(BE7),"")</f>
        <v/>
      </c>
      <c r="BC7" s="3258" t="str">
        <f>CONCATENATE(G7," ",N7," Year EUL")</f>
        <v>HVAC RES 20 Year EUL</v>
      </c>
      <c r="BD7" s="3305">
        <f>(INDEX('Avoided Cost Benefits'!$E$4:$E$859,MATCH(BC7,'Avoided Cost Benefits'!$A$4:$A$859,0)))*F7</f>
        <v>0</v>
      </c>
      <c r="BE7" s="1954">
        <f>O7/(1.0595^(2020-2019))</f>
        <v>0</v>
      </c>
      <c r="BF7" s="156"/>
    </row>
    <row r="8" spans="1:58" x14ac:dyDescent="0.35">
      <c r="A8" s="1071" t="str">
        <f t="shared" si="0"/>
        <v>350100_2021_12_HVAC RES</v>
      </c>
      <c r="B8" s="106"/>
      <c r="C8" s="395" t="s">
        <v>782</v>
      </c>
      <c r="D8" s="395" t="s">
        <v>320</v>
      </c>
      <c r="E8" s="2381" t="s">
        <v>783</v>
      </c>
      <c r="F8" s="501">
        <f t="shared" ref="F8:F18" si="2">ROUND(I8+J8+K8+L8,2)</f>
        <v>0</v>
      </c>
      <c r="G8" s="368" t="s">
        <v>425</v>
      </c>
      <c r="H8" s="136">
        <f>VLOOKUP(G8,'CP FACTORS'!$A$3:$B$38, 2, FALSE)</f>
        <v>4.6608050000000002E-4</v>
      </c>
      <c r="I8" s="820">
        <f>0</f>
        <v>0</v>
      </c>
      <c r="J8" s="820">
        <f>0</f>
        <v>0</v>
      </c>
      <c r="K8" s="820">
        <f>0</f>
        <v>0</v>
      </c>
      <c r="L8" s="2618">
        <v>0</v>
      </c>
      <c r="M8" s="502">
        <f>ROUND(H8*F8,6)</f>
        <v>0</v>
      </c>
      <c r="N8" s="820">
        <f t="shared" si="1"/>
        <v>20</v>
      </c>
      <c r="O8" s="1845">
        <f t="shared" ref="O8:O18" si="3">I102</f>
        <v>0</v>
      </c>
      <c r="P8" s="395" t="s">
        <v>184</v>
      </c>
      <c r="Q8" s="756"/>
      <c r="R8" s="106"/>
      <c r="S8" s="106"/>
      <c r="T8" s="106"/>
      <c r="U8" s="106"/>
      <c r="V8" s="1592" t="s">
        <v>30</v>
      </c>
      <c r="W8" s="851">
        <v>591.90332067911811</v>
      </c>
      <c r="X8" s="1590">
        <v>619.79873095030314</v>
      </c>
      <c r="Y8" s="96">
        <v>582</v>
      </c>
      <c r="Z8" s="93">
        <v>582</v>
      </c>
      <c r="AA8" s="93">
        <v>582</v>
      </c>
      <c r="AB8" s="2831">
        <v>582</v>
      </c>
      <c r="AC8" s="1575">
        <v>0</v>
      </c>
      <c r="AD8" s="112">
        <v>0</v>
      </c>
      <c r="AE8" s="851"/>
      <c r="AF8" s="851"/>
      <c r="AG8" s="851"/>
      <c r="AH8" s="344"/>
      <c r="AI8" s="156"/>
      <c r="AJ8" s="156"/>
      <c r="AK8" s="156"/>
      <c r="AL8" s="156"/>
      <c r="AM8" s="156"/>
      <c r="AN8" s="156"/>
      <c r="AO8" s="156"/>
      <c r="AP8" s="156"/>
      <c r="AQ8" s="156"/>
      <c r="AR8" s="156"/>
      <c r="AS8" s="156"/>
      <c r="AT8" s="156"/>
      <c r="AU8" s="156"/>
      <c r="AV8" s="156"/>
      <c r="AW8" s="156"/>
      <c r="AX8" s="156"/>
      <c r="AY8" s="156"/>
      <c r="AZ8" s="156"/>
      <c r="BA8" s="156"/>
      <c r="BB8" s="3304" t="str">
        <f>IFERROR((BD8)/(BE8),"")</f>
        <v/>
      </c>
      <c r="BC8" s="3258" t="str">
        <f t="shared" ref="BC8:BC17" si="4">CONCATENATE(G8," ",N8," Year EUL")</f>
        <v>HVAC RES 20 Year EUL</v>
      </c>
      <c r="BD8" s="3305">
        <f>(INDEX('Avoided Cost Benefits'!$E$4:$E$859,MATCH(BC8,'Avoided Cost Benefits'!$A$4:$A$859,0)))*F8</f>
        <v>0</v>
      </c>
      <c r="BE8" s="1954">
        <f t="shared" ref="BE8:BE18" si="5">O8/(1.0595^(2020-2019))</f>
        <v>0</v>
      </c>
      <c r="BF8" s="156"/>
    </row>
    <row r="9" spans="1:58" x14ac:dyDescent="0.35">
      <c r="A9" s="1071" t="str">
        <f t="shared" si="0"/>
        <v>350150_2021_12_HVAC RES</v>
      </c>
      <c r="B9" s="106"/>
      <c r="C9" s="395" t="s">
        <v>784</v>
      </c>
      <c r="D9" s="395" t="s">
        <v>318</v>
      </c>
      <c r="E9" s="2381" t="s">
        <v>785</v>
      </c>
      <c r="F9" s="501">
        <f t="shared" si="2"/>
        <v>582</v>
      </c>
      <c r="G9" s="368" t="s">
        <v>425</v>
      </c>
      <c r="H9" s="136">
        <f>VLOOKUP(G9,'CP FACTORS'!$A$3:$B$38, 2, FALSE)</f>
        <v>4.6608050000000002E-4</v>
      </c>
      <c r="I9" s="820">
        <f t="shared" ref="I9:I17" si="6">(1-I43)*I$53*I$54/I$55*I78*$I$88</f>
        <v>264.14545423487061</v>
      </c>
      <c r="J9" s="820">
        <f t="shared" ref="J9:J17" si="7">(1-I58)*I$68*I$69/I$70*I78*I$88</f>
        <v>31.133309957924254</v>
      </c>
      <c r="K9" s="2618">
        <f t="shared" ref="K9:K11" si="8">($I$71*I$69/I$70+$I$72*$I$73-$I$75)*I78*$I$88</f>
        <v>286.72123580720518</v>
      </c>
      <c r="L9" s="2618">
        <v>0</v>
      </c>
      <c r="M9" s="502">
        <f t="shared" ref="M9:M18" si="9">ROUND(H9*F9,6)</f>
        <v>0.27125899999999997</v>
      </c>
      <c r="N9" s="820">
        <f t="shared" si="1"/>
        <v>6</v>
      </c>
      <c r="O9" s="1845">
        <f t="shared" si="3"/>
        <v>74.327224020150311</v>
      </c>
      <c r="P9" s="395" t="s">
        <v>184</v>
      </c>
      <c r="Q9" s="756"/>
      <c r="R9" s="106"/>
      <c r="S9" s="106"/>
      <c r="T9" s="106"/>
      <c r="U9" s="106"/>
      <c r="V9" s="1592" t="s">
        <v>30</v>
      </c>
      <c r="W9" s="851">
        <v>591.90332067911811</v>
      </c>
      <c r="X9" s="1590">
        <v>619.79873095030314</v>
      </c>
      <c r="Y9" s="96">
        <v>582</v>
      </c>
      <c r="Z9" s="93">
        <v>582</v>
      </c>
      <c r="AA9" s="93">
        <v>582</v>
      </c>
      <c r="AB9" s="2831">
        <v>582</v>
      </c>
      <c r="AC9" s="2834">
        <v>582</v>
      </c>
      <c r="AD9" s="112">
        <v>582</v>
      </c>
      <c r="AE9" s="851"/>
      <c r="AF9" s="851"/>
      <c r="AG9" s="851"/>
      <c r="AH9" s="344"/>
      <c r="AI9" s="156"/>
      <c r="AJ9" s="156"/>
      <c r="AK9" s="156"/>
      <c r="AL9" s="156"/>
      <c r="AM9" s="156"/>
      <c r="AN9" s="156"/>
      <c r="AO9" s="156"/>
      <c r="AP9" s="156"/>
      <c r="AQ9" s="156"/>
      <c r="AR9" s="156"/>
      <c r="AS9" s="156"/>
      <c r="AT9" s="156"/>
      <c r="AU9" s="156"/>
      <c r="AV9" s="156"/>
      <c r="AW9" s="156"/>
      <c r="AX9" s="156"/>
      <c r="AY9" s="156"/>
      <c r="AZ9" s="156"/>
      <c r="BA9" s="156"/>
      <c r="BB9" s="3295">
        <f>(BD9+BD10)/(BE9+BE10)</f>
        <v>3.2587072352080275</v>
      </c>
      <c r="BC9" s="503" t="str">
        <f t="shared" si="4"/>
        <v>HVAC RES 6 Year EUL</v>
      </c>
      <c r="BD9" s="3296">
        <f>(INDEX('Avoided Cost Benefits'!$E$4:$E$859,MATCH(BC9,'Avoided Cost Benefits'!$A$4:$A$859,0)))*F9</f>
        <v>228.60845935572598</v>
      </c>
      <c r="BE9" s="3297">
        <f t="shared" si="5"/>
        <v>70.153113751911562</v>
      </c>
      <c r="BF9" s="156"/>
    </row>
    <row r="10" spans="1:58" x14ac:dyDescent="0.35">
      <c r="A10" s="1071" t="str">
        <f t="shared" si="0"/>
        <v>350150_2021_12_HVAC RES ER2</v>
      </c>
      <c r="B10" s="106"/>
      <c r="C10" s="395" t="s">
        <v>784</v>
      </c>
      <c r="D10" s="395" t="s">
        <v>318</v>
      </c>
      <c r="E10" s="2381" t="s">
        <v>786</v>
      </c>
      <c r="F10" s="501">
        <f t="shared" si="2"/>
        <v>0</v>
      </c>
      <c r="G10" s="2381" t="str">
        <f>'CP FACTORS'!$A$17</f>
        <v>HVAC RES ER2</v>
      </c>
      <c r="H10" s="136">
        <f>VLOOKUP(G10,'CP FACTORS'!$A$3:$B$38, 2, FALSE)</f>
        <v>4.6608050000000002E-4</v>
      </c>
      <c r="I10" s="820">
        <f>0</f>
        <v>0</v>
      </c>
      <c r="J10" s="820">
        <f>0</f>
        <v>0</v>
      </c>
      <c r="K10" s="820">
        <f>0</f>
        <v>0</v>
      </c>
      <c r="L10" s="2618">
        <v>0</v>
      </c>
      <c r="M10" s="502">
        <f t="shared" si="9"/>
        <v>0</v>
      </c>
      <c r="N10" s="820">
        <f t="shared" si="1"/>
        <v>0</v>
      </c>
      <c r="O10" s="1845">
        <f t="shared" si="3"/>
        <v>0</v>
      </c>
      <c r="P10" s="395" t="s">
        <v>184</v>
      </c>
      <c r="Q10" s="756"/>
      <c r="R10" s="106"/>
      <c r="S10" s="106"/>
      <c r="T10" s="106"/>
      <c r="U10" s="106"/>
      <c r="V10" s="1592" t="s">
        <v>30</v>
      </c>
      <c r="W10" s="851">
        <v>591.90332067911811</v>
      </c>
      <c r="X10" s="1590">
        <v>619.79873095030314</v>
      </c>
      <c r="Y10" s="96">
        <v>582</v>
      </c>
      <c r="Z10" s="93">
        <v>582</v>
      </c>
      <c r="AA10" s="93">
        <v>582</v>
      </c>
      <c r="AB10" s="2831">
        <v>582</v>
      </c>
      <c r="AC10" s="1575">
        <v>0</v>
      </c>
      <c r="AD10" s="112">
        <v>0</v>
      </c>
      <c r="AE10" s="851"/>
      <c r="AF10" s="851"/>
      <c r="AG10" s="851"/>
      <c r="AH10" s="344"/>
      <c r="AI10" s="156"/>
      <c r="AJ10" s="156"/>
      <c r="AK10" s="156"/>
      <c r="AL10" s="156"/>
      <c r="AM10" s="156"/>
      <c r="AN10" s="156"/>
      <c r="AO10" s="156"/>
      <c r="AP10" s="156"/>
      <c r="AQ10" s="156"/>
      <c r="AR10" s="156"/>
      <c r="AS10" s="156"/>
      <c r="AT10" s="156"/>
      <c r="AU10" s="156"/>
      <c r="AV10" s="156"/>
      <c r="AW10" s="156"/>
      <c r="AX10" s="156"/>
      <c r="AY10" s="156"/>
      <c r="AZ10" s="156"/>
      <c r="BA10" s="156"/>
      <c r="BB10" s="3298"/>
      <c r="BC10" s="1580" t="str">
        <f t="shared" si="4"/>
        <v>HVAC RES ER2 0 Year EUL</v>
      </c>
      <c r="BD10" s="3299">
        <v>0</v>
      </c>
      <c r="BE10" s="2125">
        <f t="shared" si="5"/>
        <v>0</v>
      </c>
      <c r="BF10" s="156"/>
    </row>
    <row r="11" spans="1:58" x14ac:dyDescent="0.35">
      <c r="A11" s="1071" t="str">
        <f t="shared" si="0"/>
        <v>350175_2021_12_HVAC RES</v>
      </c>
      <c r="B11" s="106"/>
      <c r="C11" s="2388" t="s">
        <v>787</v>
      </c>
      <c r="D11" s="395" t="s">
        <v>320</v>
      </c>
      <c r="E11" s="2381" t="s">
        <v>788</v>
      </c>
      <c r="F11" s="501">
        <f t="shared" si="2"/>
        <v>582</v>
      </c>
      <c r="G11" s="2381" t="s">
        <v>425</v>
      </c>
      <c r="H11" s="136">
        <f>VLOOKUP(G11,'CP FACTORS'!$A$3:$B$38, 2, FALSE)</f>
        <v>4.6608050000000002E-4</v>
      </c>
      <c r="I11" s="820">
        <f t="shared" si="6"/>
        <v>264.14545423487061</v>
      </c>
      <c r="J11" s="820">
        <f t="shared" si="7"/>
        <v>31.133309957924254</v>
      </c>
      <c r="K11" s="2618">
        <f t="shared" si="8"/>
        <v>286.72123580720518</v>
      </c>
      <c r="L11" s="2618">
        <v>0</v>
      </c>
      <c r="M11" s="502">
        <f t="shared" si="9"/>
        <v>0.27125899999999997</v>
      </c>
      <c r="N11" s="820">
        <f t="shared" si="1"/>
        <v>6</v>
      </c>
      <c r="O11" s="1845">
        <f t="shared" si="3"/>
        <v>74.327224020150311</v>
      </c>
      <c r="P11" s="395" t="s">
        <v>184</v>
      </c>
      <c r="Q11" s="756"/>
      <c r="R11" s="106"/>
      <c r="S11" s="106"/>
      <c r="T11" s="106"/>
      <c r="U11" s="106"/>
      <c r="V11" s="1592" t="s">
        <v>30</v>
      </c>
      <c r="W11" s="851">
        <v>591.90332067911811</v>
      </c>
      <c r="X11" s="1590">
        <v>619.79873095030314</v>
      </c>
      <c r="Y11" s="96">
        <v>582</v>
      </c>
      <c r="Z11" s="93">
        <v>582</v>
      </c>
      <c r="AA11" s="93">
        <v>582</v>
      </c>
      <c r="AB11" s="2831">
        <v>582</v>
      </c>
      <c r="AC11" s="2834">
        <v>582</v>
      </c>
      <c r="AD11" s="112">
        <v>582</v>
      </c>
      <c r="AE11" s="851"/>
      <c r="AF11" s="851"/>
      <c r="AG11" s="851"/>
      <c r="AH11" s="344"/>
      <c r="AI11" s="156"/>
      <c r="AJ11" s="156"/>
      <c r="AK11" s="156"/>
      <c r="AL11" s="156"/>
      <c r="AM11" s="156"/>
      <c r="AN11" s="156"/>
      <c r="AO11" s="156"/>
      <c r="AP11" s="156"/>
      <c r="AQ11" s="156"/>
      <c r="AR11" s="156"/>
      <c r="AS11" s="156"/>
      <c r="AT11" s="156"/>
      <c r="AU11" s="156"/>
      <c r="AV11" s="156"/>
      <c r="AW11" s="156"/>
      <c r="AX11" s="156"/>
      <c r="AY11" s="156"/>
      <c r="AZ11" s="156"/>
      <c r="BA11" s="156"/>
      <c r="BB11" s="3295">
        <f>(BD11+BD12)/(BE11+BE12)</f>
        <v>3.2587072352080275</v>
      </c>
      <c r="BC11" s="503" t="str">
        <f t="shared" si="4"/>
        <v>HVAC RES 6 Year EUL</v>
      </c>
      <c r="BD11" s="3296">
        <f>(INDEX('Avoided Cost Benefits'!$E$4:$E$859,MATCH(BC11,'Avoided Cost Benefits'!$A$4:$A$859,0)))*F11</f>
        <v>228.60845935572598</v>
      </c>
      <c r="BE11" s="3297">
        <f t="shared" si="5"/>
        <v>70.153113751911562</v>
      </c>
      <c r="BF11" s="156"/>
    </row>
    <row r="12" spans="1:58" x14ac:dyDescent="0.35">
      <c r="A12" s="1071" t="str">
        <f t="shared" si="0"/>
        <v>350175_2021_12_HVAC RES ER2</v>
      </c>
      <c r="B12" s="106"/>
      <c r="C12" s="2388" t="s">
        <v>787</v>
      </c>
      <c r="D12" s="395" t="s">
        <v>320</v>
      </c>
      <c r="E12" s="2381" t="s">
        <v>789</v>
      </c>
      <c r="F12" s="501">
        <f t="shared" si="2"/>
        <v>0</v>
      </c>
      <c r="G12" s="2381" t="str">
        <f>'CP FACTORS'!$A$17</f>
        <v>HVAC RES ER2</v>
      </c>
      <c r="H12" s="136">
        <f>VLOOKUP(G12,'CP FACTORS'!$A$3:$B$38, 2, FALSE)</f>
        <v>4.6608050000000002E-4</v>
      </c>
      <c r="I12" s="820">
        <f>0</f>
        <v>0</v>
      </c>
      <c r="J12" s="820">
        <f>0</f>
        <v>0</v>
      </c>
      <c r="K12" s="820">
        <f>0</f>
        <v>0</v>
      </c>
      <c r="L12" s="2618">
        <v>0</v>
      </c>
      <c r="M12" s="502">
        <f t="shared" si="9"/>
        <v>0</v>
      </c>
      <c r="N12" s="820">
        <f t="shared" si="1"/>
        <v>0</v>
      </c>
      <c r="O12" s="1845">
        <f t="shared" si="3"/>
        <v>0</v>
      </c>
      <c r="P12" s="395" t="s">
        <v>184</v>
      </c>
      <c r="Q12" s="756"/>
      <c r="R12" s="1255"/>
      <c r="S12" s="106"/>
      <c r="T12" s="106"/>
      <c r="U12" s="106"/>
      <c r="V12" s="1592" t="s">
        <v>30</v>
      </c>
      <c r="W12" s="851">
        <v>591.90332067911811</v>
      </c>
      <c r="X12" s="1590">
        <v>619.79873095030314</v>
      </c>
      <c r="Y12" s="96">
        <v>582</v>
      </c>
      <c r="Z12" s="93">
        <v>582</v>
      </c>
      <c r="AA12" s="93">
        <v>582</v>
      </c>
      <c r="AB12" s="2831">
        <v>582</v>
      </c>
      <c r="AC12" s="1575">
        <v>0</v>
      </c>
      <c r="AD12" s="112">
        <v>0</v>
      </c>
      <c r="AE12" s="851"/>
      <c r="AF12" s="851"/>
      <c r="AG12" s="851"/>
      <c r="AH12" s="344"/>
      <c r="AI12" s="156"/>
      <c r="AJ12" s="156"/>
      <c r="AK12" s="156"/>
      <c r="AL12" s="156"/>
      <c r="AM12" s="156"/>
      <c r="AN12" s="156"/>
      <c r="AO12" s="156"/>
      <c r="AP12" s="156"/>
      <c r="AQ12" s="156"/>
      <c r="AR12" s="156"/>
      <c r="AS12" s="156"/>
      <c r="AT12" s="156"/>
      <c r="AU12" s="156"/>
      <c r="AV12" s="156"/>
      <c r="AW12" s="156"/>
      <c r="AX12" s="156"/>
      <c r="AY12" s="156"/>
      <c r="AZ12" s="156"/>
      <c r="BA12" s="156"/>
      <c r="BB12" s="3298"/>
      <c r="BC12" s="1580" t="str">
        <f t="shared" si="4"/>
        <v>HVAC RES ER2 0 Year EUL</v>
      </c>
      <c r="BD12" s="3299">
        <v>0</v>
      </c>
      <c r="BE12" s="2125">
        <f t="shared" si="5"/>
        <v>0</v>
      </c>
      <c r="BF12" s="156"/>
    </row>
    <row r="13" spans="1:58" x14ac:dyDescent="0.35">
      <c r="A13" s="1071" t="str">
        <f t="shared" si="0"/>
        <v>350200_2021_12_HVAC RES</v>
      </c>
      <c r="B13" s="106"/>
      <c r="C13" s="395" t="s">
        <v>790</v>
      </c>
      <c r="D13" s="395" t="s">
        <v>318</v>
      </c>
      <c r="E13" s="2381" t="s">
        <v>791</v>
      </c>
      <c r="F13" s="501">
        <f t="shared" si="2"/>
        <v>0</v>
      </c>
      <c r="G13" s="2381" t="s">
        <v>425</v>
      </c>
      <c r="H13" s="136">
        <f>VLOOKUP(G13,'CP FACTORS'!$A$3:$B$38, 2, FALSE)</f>
        <v>4.6608050000000002E-4</v>
      </c>
      <c r="I13" s="820">
        <f>0</f>
        <v>0</v>
      </c>
      <c r="J13" s="820">
        <f>0</f>
        <v>0</v>
      </c>
      <c r="K13" s="2618">
        <v>0</v>
      </c>
      <c r="L13" s="820">
        <f>0</f>
        <v>0</v>
      </c>
      <c r="M13" s="502">
        <f t="shared" si="9"/>
        <v>0</v>
      </c>
      <c r="N13" s="820">
        <f t="shared" si="1"/>
        <v>20</v>
      </c>
      <c r="O13" s="1845">
        <f t="shared" si="3"/>
        <v>0</v>
      </c>
      <c r="P13" s="395" t="s">
        <v>184</v>
      </c>
      <c r="Q13" s="756"/>
      <c r="R13" s="106"/>
      <c r="S13" s="106"/>
      <c r="T13" s="106"/>
      <c r="U13" s="106"/>
      <c r="V13" s="1592" t="s">
        <v>30</v>
      </c>
      <c r="W13" s="851">
        <v>3255.9033206791182</v>
      </c>
      <c r="X13" s="1590">
        <v>3283.7987309503033</v>
      </c>
      <c r="Y13" s="96">
        <v>582</v>
      </c>
      <c r="Z13" s="93">
        <v>582</v>
      </c>
      <c r="AA13" s="93">
        <v>582</v>
      </c>
      <c r="AB13" s="2831">
        <v>582</v>
      </c>
      <c r="AC13" s="1575">
        <v>0</v>
      </c>
      <c r="AD13" s="112">
        <v>0</v>
      </c>
      <c r="AE13" s="851"/>
      <c r="AF13" s="851"/>
      <c r="AG13" s="851"/>
      <c r="AH13" s="344"/>
      <c r="AI13" s="156"/>
      <c r="AJ13" s="156"/>
      <c r="AK13" s="156"/>
      <c r="AL13" s="156"/>
      <c r="AM13" s="156"/>
      <c r="AN13" s="156"/>
      <c r="AO13" s="156"/>
      <c r="AP13" s="156"/>
      <c r="AQ13" s="156"/>
      <c r="AR13" s="156"/>
      <c r="AS13" s="156"/>
      <c r="AT13" s="156"/>
      <c r="AU13" s="156"/>
      <c r="AV13" s="156"/>
      <c r="AW13" s="156"/>
      <c r="AX13" s="156"/>
      <c r="AY13" s="156"/>
      <c r="AZ13" s="156"/>
      <c r="BA13" s="156"/>
      <c r="BB13" s="3304" t="str">
        <f>IFERROR((BD13)/(BE13),"")</f>
        <v/>
      </c>
      <c r="BC13" s="3258" t="str">
        <f t="shared" si="4"/>
        <v>HVAC RES 20 Year EUL</v>
      </c>
      <c r="BD13" s="3305">
        <f>(INDEX('Avoided Cost Benefits'!$E$4:$E$859,MATCH(BC13,'Avoided Cost Benefits'!$A$4:$A$859,0)))*F13</f>
        <v>0</v>
      </c>
      <c r="BE13" s="1954">
        <f t="shared" si="5"/>
        <v>0</v>
      </c>
      <c r="BF13" s="156"/>
    </row>
    <row r="14" spans="1:58" x14ac:dyDescent="0.35">
      <c r="A14" s="1071" t="str">
        <f t="shared" si="0"/>
        <v>350250_2021_12_HVAC RES</v>
      </c>
      <c r="B14" s="106"/>
      <c r="C14" s="395" t="s">
        <v>792</v>
      </c>
      <c r="D14" s="395" t="s">
        <v>320</v>
      </c>
      <c r="E14" s="2381" t="s">
        <v>793</v>
      </c>
      <c r="F14" s="501">
        <f t="shared" si="2"/>
        <v>0</v>
      </c>
      <c r="G14" s="2381" t="s">
        <v>425</v>
      </c>
      <c r="H14" s="136">
        <f>VLOOKUP(G14,'CP FACTORS'!$A$3:$B$38, 2, FALSE)</f>
        <v>4.6608050000000002E-4</v>
      </c>
      <c r="I14" s="820">
        <f>0</f>
        <v>0</v>
      </c>
      <c r="J14" s="820">
        <f>0</f>
        <v>0</v>
      </c>
      <c r="K14" s="2618">
        <v>0</v>
      </c>
      <c r="L14" s="820">
        <f>0</f>
        <v>0</v>
      </c>
      <c r="M14" s="502">
        <f t="shared" si="9"/>
        <v>0</v>
      </c>
      <c r="N14" s="820">
        <f t="shared" si="1"/>
        <v>20</v>
      </c>
      <c r="O14" s="1845">
        <f t="shared" si="3"/>
        <v>0</v>
      </c>
      <c r="P14" s="395" t="s">
        <v>184</v>
      </c>
      <c r="Q14" s="756"/>
      <c r="R14" s="106"/>
      <c r="S14" s="106"/>
      <c r="T14" s="106"/>
      <c r="U14" s="106"/>
      <c r="V14" s="1592" t="s">
        <v>30</v>
      </c>
      <c r="W14" s="851">
        <v>3255.9033206791182</v>
      </c>
      <c r="X14" s="1590">
        <v>3283.7987309503033</v>
      </c>
      <c r="Y14" s="96">
        <v>582</v>
      </c>
      <c r="Z14" s="93">
        <v>582</v>
      </c>
      <c r="AA14" s="93">
        <v>582</v>
      </c>
      <c r="AB14" s="2831">
        <v>582</v>
      </c>
      <c r="AC14" s="1575">
        <v>0</v>
      </c>
      <c r="AD14" s="112">
        <v>0</v>
      </c>
      <c r="AE14" s="851"/>
      <c r="AF14" s="851"/>
      <c r="AG14" s="851"/>
      <c r="AH14" s="344"/>
      <c r="AI14" s="156"/>
      <c r="AJ14" s="156"/>
      <c r="AK14" s="156"/>
      <c r="AL14" s="156"/>
      <c r="AM14" s="156"/>
      <c r="AN14" s="156"/>
      <c r="AO14" s="156"/>
      <c r="AP14" s="156"/>
      <c r="AQ14" s="156"/>
      <c r="AR14" s="156"/>
      <c r="AS14" s="156"/>
      <c r="AT14" s="156"/>
      <c r="AU14" s="156"/>
      <c r="AV14" s="156"/>
      <c r="AW14" s="156"/>
      <c r="AX14" s="156"/>
      <c r="AY14" s="156"/>
      <c r="AZ14" s="156"/>
      <c r="BA14" s="156"/>
      <c r="BB14" s="3304" t="str">
        <f>IFERROR((BD14)/(BE14),"")</f>
        <v/>
      </c>
      <c r="BC14" s="3258" t="str">
        <f t="shared" si="4"/>
        <v>HVAC RES 20 Year EUL</v>
      </c>
      <c r="BD14" s="3305">
        <f>(INDEX('Avoided Cost Benefits'!$E$4:$E$859,MATCH(BC14,'Avoided Cost Benefits'!$A$4:$A$859,0)))*F14</f>
        <v>0</v>
      </c>
      <c r="BE14" s="1954">
        <f t="shared" si="5"/>
        <v>0</v>
      </c>
      <c r="BF14" s="156"/>
    </row>
    <row r="15" spans="1:58" x14ac:dyDescent="0.35">
      <c r="A15" s="1071" t="str">
        <f t="shared" si="0"/>
        <v>350300_2021_12_HVAC RES</v>
      </c>
      <c r="B15" s="106"/>
      <c r="C15" s="395" t="s">
        <v>794</v>
      </c>
      <c r="D15" s="395" t="s">
        <v>318</v>
      </c>
      <c r="E15" s="2381" t="s">
        <v>795</v>
      </c>
      <c r="F15" s="501">
        <f t="shared" si="2"/>
        <v>582</v>
      </c>
      <c r="G15" s="2381" t="s">
        <v>425</v>
      </c>
      <c r="H15" s="136">
        <f>VLOOKUP(G15,'CP FACTORS'!$A$3:$B$38, 2, FALSE)</f>
        <v>4.6608050000000002E-4</v>
      </c>
      <c r="I15" s="820">
        <f t="shared" si="6"/>
        <v>264.14545423487061</v>
      </c>
      <c r="J15" s="820">
        <f t="shared" si="7"/>
        <v>31.133309957924254</v>
      </c>
      <c r="K15" s="2618">
        <v>0</v>
      </c>
      <c r="L15" s="2618">
        <f t="shared" ref="L15:L17" si="10">($I$71*I$69/I$70+$I$72*$I$74-$I$75)*I78*$I$88</f>
        <v>286.72123580720518</v>
      </c>
      <c r="M15" s="502">
        <f t="shared" si="9"/>
        <v>0.27125899999999997</v>
      </c>
      <c r="N15" s="820">
        <f t="shared" si="1"/>
        <v>6</v>
      </c>
      <c r="O15" s="1845">
        <f t="shared" si="3"/>
        <v>74.327224020150311</v>
      </c>
      <c r="P15" s="395" t="s">
        <v>184</v>
      </c>
      <c r="Q15" s="756"/>
      <c r="R15" s="106"/>
      <c r="S15" s="106"/>
      <c r="T15" s="106"/>
      <c r="U15" s="106"/>
      <c r="V15" s="1592" t="s">
        <v>30</v>
      </c>
      <c r="W15" s="851">
        <v>3255.9033206791182</v>
      </c>
      <c r="X15" s="1590">
        <v>3283.7987309503033</v>
      </c>
      <c r="Y15" s="96">
        <v>582</v>
      </c>
      <c r="Z15" s="93">
        <v>582</v>
      </c>
      <c r="AA15" s="93">
        <v>582</v>
      </c>
      <c r="AB15" s="2831">
        <v>582</v>
      </c>
      <c r="AC15" s="2834">
        <v>582</v>
      </c>
      <c r="AD15" s="112">
        <v>582</v>
      </c>
      <c r="AE15" s="851"/>
      <c r="AF15" s="851"/>
      <c r="AG15" s="851"/>
      <c r="AH15" s="344"/>
      <c r="AI15" s="156"/>
      <c r="AJ15" s="156"/>
      <c r="AK15" s="156"/>
      <c r="AL15" s="156"/>
      <c r="AM15" s="156"/>
      <c r="AN15" s="156"/>
      <c r="AO15" s="156"/>
      <c r="AP15" s="156"/>
      <c r="AQ15" s="156"/>
      <c r="AR15" s="156"/>
      <c r="AS15" s="156"/>
      <c r="AT15" s="156"/>
      <c r="AU15" s="156"/>
      <c r="AV15" s="156"/>
      <c r="AW15" s="156"/>
      <c r="AX15" s="156"/>
      <c r="AY15" s="156"/>
      <c r="AZ15" s="156"/>
      <c r="BA15" s="156"/>
      <c r="BB15" s="3295">
        <f>(BD15+BD16)/(BE15+BE16)</f>
        <v>3.2587072352080275</v>
      </c>
      <c r="BC15" s="503" t="str">
        <f t="shared" si="4"/>
        <v>HVAC RES 6 Year EUL</v>
      </c>
      <c r="BD15" s="3296">
        <f>(INDEX('Avoided Cost Benefits'!$E$4:$E$859,MATCH(BC15,'Avoided Cost Benefits'!$A$4:$A$859,0)))*F15</f>
        <v>228.60845935572598</v>
      </c>
      <c r="BE15" s="3297">
        <f t="shared" si="5"/>
        <v>70.153113751911562</v>
      </c>
      <c r="BF15" s="156"/>
    </row>
    <row r="16" spans="1:58" x14ac:dyDescent="0.35">
      <c r="A16" s="1071" t="str">
        <f t="shared" si="0"/>
        <v>350300_2021_12_HVAC RES ER2</v>
      </c>
      <c r="B16" s="106"/>
      <c r="C16" s="395" t="s">
        <v>794</v>
      </c>
      <c r="D16" s="395" t="s">
        <v>318</v>
      </c>
      <c r="E16" s="2381" t="s">
        <v>796</v>
      </c>
      <c r="F16" s="501">
        <f t="shared" si="2"/>
        <v>0</v>
      </c>
      <c r="G16" s="2381" t="str">
        <f>'CP FACTORS'!$A$17</f>
        <v>HVAC RES ER2</v>
      </c>
      <c r="H16" s="136">
        <f>VLOOKUP(G16,'CP FACTORS'!$A$3:$B$38, 2, FALSE)</f>
        <v>4.6608050000000002E-4</v>
      </c>
      <c r="I16" s="820">
        <f>0</f>
        <v>0</v>
      </c>
      <c r="J16" s="820">
        <f>0</f>
        <v>0</v>
      </c>
      <c r="K16" s="2618">
        <v>0</v>
      </c>
      <c r="L16" s="820">
        <v>0</v>
      </c>
      <c r="M16" s="502">
        <f t="shared" si="9"/>
        <v>0</v>
      </c>
      <c r="N16" s="820">
        <f t="shared" si="1"/>
        <v>0</v>
      </c>
      <c r="O16" s="1845">
        <f t="shared" si="3"/>
        <v>0</v>
      </c>
      <c r="P16" s="395" t="s">
        <v>184</v>
      </c>
      <c r="Q16" s="756"/>
      <c r="R16" s="106"/>
      <c r="S16" s="106"/>
      <c r="T16" s="106"/>
      <c r="U16" s="106"/>
      <c r="V16" s="1592" t="s">
        <v>30</v>
      </c>
      <c r="W16" s="851">
        <v>3255.9033206791182</v>
      </c>
      <c r="X16" s="1590">
        <v>3283.7987309503033</v>
      </c>
      <c r="Y16" s="96">
        <v>582</v>
      </c>
      <c r="Z16" s="93">
        <v>582</v>
      </c>
      <c r="AA16" s="93">
        <v>582</v>
      </c>
      <c r="AB16" s="2831">
        <v>582</v>
      </c>
      <c r="AC16" s="1575">
        <v>0</v>
      </c>
      <c r="AD16" s="112">
        <v>0</v>
      </c>
      <c r="AE16" s="851"/>
      <c r="AF16" s="851"/>
      <c r="AG16" s="851"/>
      <c r="AH16" s="344"/>
      <c r="AI16" s="156"/>
      <c r="AJ16" s="156"/>
      <c r="AK16" s="156"/>
      <c r="AL16" s="156"/>
      <c r="AM16" s="156"/>
      <c r="AN16" s="156"/>
      <c r="AO16" s="156"/>
      <c r="AP16" s="156"/>
      <c r="AQ16" s="156"/>
      <c r="AR16" s="156"/>
      <c r="AS16" s="156"/>
      <c r="AT16" s="156"/>
      <c r="AU16" s="156"/>
      <c r="AV16" s="156"/>
      <c r="AW16" s="156"/>
      <c r="AX16" s="156"/>
      <c r="AY16" s="156"/>
      <c r="AZ16" s="156"/>
      <c r="BA16" s="156"/>
      <c r="BB16" s="3298"/>
      <c r="BC16" s="1580" t="str">
        <f t="shared" si="4"/>
        <v>HVAC RES ER2 0 Year EUL</v>
      </c>
      <c r="BD16" s="3299">
        <v>0</v>
      </c>
      <c r="BE16" s="2125">
        <f t="shared" si="5"/>
        <v>0</v>
      </c>
      <c r="BF16" s="156"/>
    </row>
    <row r="17" spans="1:58" x14ac:dyDescent="0.35">
      <c r="A17" s="1071" t="str">
        <f t="shared" si="0"/>
        <v>350350_2021_12_HVAC RES</v>
      </c>
      <c r="B17" s="106"/>
      <c r="C17" s="395" t="s">
        <v>797</v>
      </c>
      <c r="D17" s="395" t="s">
        <v>320</v>
      </c>
      <c r="E17" s="2381" t="s">
        <v>798</v>
      </c>
      <c r="F17" s="501">
        <f t="shared" si="2"/>
        <v>582</v>
      </c>
      <c r="G17" s="2381" t="s">
        <v>425</v>
      </c>
      <c r="H17" s="136">
        <f>VLOOKUP(G17,'CP FACTORS'!$A$3:$B$38, 2, FALSE)</f>
        <v>4.6608050000000002E-4</v>
      </c>
      <c r="I17" s="820">
        <f t="shared" si="6"/>
        <v>264.14545423487061</v>
      </c>
      <c r="J17" s="820">
        <f t="shared" si="7"/>
        <v>31.133309957924254</v>
      </c>
      <c r="K17" s="2618">
        <v>0</v>
      </c>
      <c r="L17" s="2618">
        <f t="shared" si="10"/>
        <v>286.72123580720518</v>
      </c>
      <c r="M17" s="502">
        <f t="shared" si="9"/>
        <v>0.27125899999999997</v>
      </c>
      <c r="N17" s="820">
        <f t="shared" si="1"/>
        <v>6</v>
      </c>
      <c r="O17" s="1845">
        <f t="shared" si="3"/>
        <v>74.327224020150311</v>
      </c>
      <c r="P17" s="395" t="s">
        <v>184</v>
      </c>
      <c r="Q17" s="756"/>
      <c r="R17" s="106"/>
      <c r="S17" s="106"/>
      <c r="T17" s="106"/>
      <c r="U17" s="106"/>
      <c r="V17" s="1592" t="s">
        <v>30</v>
      </c>
      <c r="W17" s="851">
        <v>3255.9033206791182</v>
      </c>
      <c r="X17" s="1590">
        <v>3283.7987309503033</v>
      </c>
      <c r="Y17" s="96">
        <v>582</v>
      </c>
      <c r="Z17" s="93">
        <v>582</v>
      </c>
      <c r="AA17" s="93">
        <v>582</v>
      </c>
      <c r="AB17" s="2831">
        <v>582</v>
      </c>
      <c r="AC17" s="2834">
        <v>582</v>
      </c>
      <c r="AD17" s="112">
        <v>582</v>
      </c>
      <c r="AE17" s="851"/>
      <c r="AF17" s="851"/>
      <c r="AG17" s="851"/>
      <c r="AH17" s="344"/>
      <c r="AI17" s="156"/>
      <c r="AJ17" s="156"/>
      <c r="AK17" s="156"/>
      <c r="AL17" s="156"/>
      <c r="AM17" s="156"/>
      <c r="AN17" s="156"/>
      <c r="AO17" s="156"/>
      <c r="AP17" s="156"/>
      <c r="AQ17" s="156"/>
      <c r="AR17" s="156"/>
      <c r="AS17" s="156"/>
      <c r="AT17" s="156"/>
      <c r="AU17" s="156"/>
      <c r="AV17" s="156"/>
      <c r="AW17" s="156"/>
      <c r="AX17" s="156"/>
      <c r="AY17" s="156"/>
      <c r="AZ17" s="156"/>
      <c r="BA17" s="156"/>
      <c r="BB17" s="3295">
        <f>(BD17+BD18)/(BE17+BE18)</f>
        <v>3.2587072352080275</v>
      </c>
      <c r="BC17" s="503" t="str">
        <f t="shared" si="4"/>
        <v>HVAC RES 6 Year EUL</v>
      </c>
      <c r="BD17" s="3296">
        <f>(INDEX('Avoided Cost Benefits'!$E$4:$E$859,MATCH(BC17,'Avoided Cost Benefits'!$A$4:$A$859,0)))*F17</f>
        <v>228.60845935572598</v>
      </c>
      <c r="BE17" s="3297">
        <f t="shared" si="5"/>
        <v>70.153113751911562</v>
      </c>
      <c r="BF17" s="156"/>
    </row>
    <row r="18" spans="1:58" x14ac:dyDescent="0.35">
      <c r="A18" s="1071" t="str">
        <f t="shared" si="0"/>
        <v>350350_2021_12_HVAC RES ER2</v>
      </c>
      <c r="B18" s="1663"/>
      <c r="C18" s="395" t="s">
        <v>797</v>
      </c>
      <c r="D18" s="395" t="s">
        <v>320</v>
      </c>
      <c r="E18" s="2381" t="s">
        <v>799</v>
      </c>
      <c r="F18" s="501">
        <f t="shared" si="2"/>
        <v>0</v>
      </c>
      <c r="G18" s="2381" t="str">
        <f>'CP FACTORS'!$A$17</f>
        <v>HVAC RES ER2</v>
      </c>
      <c r="H18" s="136">
        <f>VLOOKUP(G18,'CP FACTORS'!$A$3:$B$38, 2, FALSE)</f>
        <v>4.6608050000000002E-4</v>
      </c>
      <c r="I18" s="820">
        <f>0</f>
        <v>0</v>
      </c>
      <c r="J18" s="820">
        <f>0</f>
        <v>0</v>
      </c>
      <c r="K18" s="2618">
        <v>0</v>
      </c>
      <c r="L18" s="820">
        <v>0</v>
      </c>
      <c r="M18" s="502">
        <f t="shared" si="9"/>
        <v>0</v>
      </c>
      <c r="N18" s="820">
        <f t="shared" si="1"/>
        <v>0</v>
      </c>
      <c r="O18" s="1845">
        <f t="shared" si="3"/>
        <v>0</v>
      </c>
      <c r="P18" s="395" t="s">
        <v>184</v>
      </c>
      <c r="Q18" s="756"/>
      <c r="R18" s="106"/>
      <c r="S18" s="106"/>
      <c r="T18" s="106"/>
      <c r="U18" s="106"/>
      <c r="V18" s="1592" t="s">
        <v>30</v>
      </c>
      <c r="W18" s="851">
        <v>3255.9033206791182</v>
      </c>
      <c r="X18" s="1590">
        <v>3283.7987309503033</v>
      </c>
      <c r="Y18" s="96">
        <v>582</v>
      </c>
      <c r="Z18" s="93">
        <v>582</v>
      </c>
      <c r="AA18" s="93">
        <v>582</v>
      </c>
      <c r="AB18" s="2831">
        <v>582</v>
      </c>
      <c r="AC18" s="1575">
        <v>0</v>
      </c>
      <c r="AD18" s="112">
        <v>0</v>
      </c>
      <c r="AE18" s="851"/>
      <c r="AF18" s="851"/>
      <c r="AG18" s="851"/>
      <c r="AH18" s="344"/>
      <c r="AI18" s="156"/>
      <c r="AJ18" s="156"/>
      <c r="AK18" s="156"/>
      <c r="AL18" s="156"/>
      <c r="AM18" s="156"/>
      <c r="AN18" s="156"/>
      <c r="AO18" s="156"/>
      <c r="AP18" s="156"/>
      <c r="AQ18" s="156"/>
      <c r="AR18" s="156"/>
      <c r="AS18" s="156"/>
      <c r="AT18" s="156"/>
      <c r="AU18" s="156"/>
      <c r="AV18" s="156"/>
      <c r="AW18" s="156"/>
      <c r="AX18" s="156"/>
      <c r="AY18" s="156"/>
      <c r="AZ18" s="156"/>
      <c r="BA18" s="156"/>
      <c r="BB18" s="3298"/>
      <c r="BC18" s="1580" t="str">
        <f>CONCATENATE(G18," ",N18," Year EUL")</f>
        <v>HVAC RES ER2 0 Year EUL</v>
      </c>
      <c r="BD18" s="3299">
        <v>0</v>
      </c>
      <c r="BE18" s="2125">
        <f t="shared" si="5"/>
        <v>0</v>
      </c>
      <c r="BF18" s="156"/>
    </row>
    <row r="19" spans="1:58" x14ac:dyDescent="0.35">
      <c r="A19" s="1071"/>
      <c r="B19" s="1663"/>
      <c r="C19" s="4166" t="s">
        <v>4245</v>
      </c>
      <c r="D19" s="4166"/>
      <c r="E19" s="4166"/>
      <c r="F19" s="4166"/>
      <c r="G19" s="4166"/>
      <c r="H19" s="4166"/>
      <c r="I19" s="4166"/>
      <c r="J19" s="4166"/>
      <c r="K19" s="4166"/>
      <c r="L19" s="4166"/>
      <c r="M19" s="800"/>
      <c r="N19" s="1234"/>
      <c r="O19" s="800"/>
      <c r="P19" s="800"/>
      <c r="Q19" s="756"/>
      <c r="R19" s="756"/>
      <c r="S19" s="156"/>
      <c r="T19" s="156"/>
      <c r="U19" s="156"/>
      <c r="V19" s="156"/>
      <c r="W19" s="156"/>
      <c r="X19" s="156"/>
      <c r="Y19" s="156"/>
      <c r="Z19" s="156"/>
      <c r="AA19" s="156"/>
      <c r="AB19" s="156"/>
      <c r="AC19" s="156"/>
      <c r="AD19" s="156"/>
      <c r="AE19" s="156"/>
      <c r="AF19" s="156"/>
      <c r="AG19" s="156"/>
      <c r="AH19" s="156"/>
      <c r="AI19" s="156"/>
      <c r="AJ19" s="156"/>
      <c r="AK19" s="156"/>
      <c r="AL19" s="156"/>
      <c r="AM19" s="156"/>
      <c r="AN19" s="156"/>
      <c r="AO19" s="156"/>
      <c r="AP19" s="156"/>
      <c r="AQ19" s="156"/>
      <c r="AR19" s="156"/>
      <c r="AS19" s="156"/>
      <c r="AT19" s="156"/>
      <c r="AU19" s="156"/>
      <c r="AV19" s="156"/>
      <c r="AW19" s="156"/>
      <c r="AX19" s="156"/>
      <c r="AY19" s="156"/>
      <c r="AZ19" s="156"/>
      <c r="BA19" s="156"/>
      <c r="BB19" s="2828"/>
      <c r="BC19" s="2828"/>
      <c r="BD19" s="2828"/>
      <c r="BE19" s="2828"/>
      <c r="BF19" s="156"/>
    </row>
    <row r="20" spans="1:58" ht="19.5" customHeight="1" x14ac:dyDescent="0.35">
      <c r="A20" s="1071"/>
      <c r="B20" s="1663"/>
      <c r="C20" s="4167"/>
      <c r="D20" s="4167"/>
      <c r="E20" s="4167"/>
      <c r="F20" s="4167"/>
      <c r="G20" s="4167"/>
      <c r="H20" s="4167"/>
      <c r="I20" s="4167"/>
      <c r="J20" s="4167"/>
      <c r="K20" s="4167"/>
      <c r="L20" s="4167"/>
      <c r="M20" s="800"/>
      <c r="N20" s="1234"/>
      <c r="O20" s="800"/>
      <c r="P20" s="800"/>
      <c r="Q20" s="756"/>
      <c r="R20" s="756"/>
      <c r="S20" s="156"/>
      <c r="T20" s="156"/>
      <c r="U20" s="156"/>
      <c r="V20" s="156"/>
      <c r="W20" s="156"/>
      <c r="X20" s="156"/>
      <c r="Y20" s="156"/>
      <c r="Z20" s="156"/>
      <c r="AA20" s="156"/>
      <c r="AB20" s="156"/>
      <c r="AC20" s="156"/>
      <c r="AD20" s="156"/>
      <c r="AE20" s="156"/>
      <c r="AF20" s="156"/>
      <c r="AG20" s="156"/>
      <c r="AH20" s="156"/>
      <c r="AI20" s="156"/>
      <c r="AJ20" s="156"/>
      <c r="AK20" s="156"/>
      <c r="AL20" s="156"/>
      <c r="AM20" s="156"/>
      <c r="AN20" s="156"/>
      <c r="AO20" s="156"/>
      <c r="AP20" s="156"/>
      <c r="AQ20" s="156"/>
      <c r="AR20" s="156"/>
      <c r="AS20" s="156"/>
      <c r="AT20" s="156"/>
      <c r="AU20" s="156"/>
      <c r="AV20" s="156"/>
      <c r="AW20" s="156"/>
      <c r="AX20" s="156"/>
      <c r="AY20" s="156"/>
      <c r="AZ20" s="156"/>
      <c r="BA20" s="156"/>
      <c r="BB20" s="2828"/>
      <c r="BC20" s="2828"/>
      <c r="BD20" s="2828"/>
      <c r="BE20" s="2828"/>
      <c r="BF20" s="156"/>
    </row>
    <row r="21" spans="1:58" ht="19.5" customHeight="1" x14ac:dyDescent="0.35">
      <c r="A21" s="1071"/>
      <c r="B21" s="1663"/>
      <c r="C21" s="1375"/>
      <c r="D21" s="1375"/>
      <c r="E21" s="1375"/>
      <c r="F21" s="1375"/>
      <c r="G21" s="1375"/>
      <c r="H21" s="1375"/>
      <c r="I21" s="1375"/>
      <c r="J21" s="1375"/>
      <c r="K21" s="1375"/>
      <c r="L21" s="1375"/>
      <c r="M21" s="800"/>
      <c r="N21" s="1234"/>
      <c r="O21" s="800"/>
      <c r="P21" s="800"/>
      <c r="Q21" s="756"/>
      <c r="R21" s="756"/>
      <c r="S21" s="156"/>
      <c r="T21" s="156"/>
      <c r="U21" s="156"/>
      <c r="V21" s="156"/>
      <c r="W21" s="156"/>
      <c r="X21" s="156"/>
      <c r="Y21" s="156"/>
      <c r="Z21" s="156"/>
      <c r="AA21" s="156"/>
      <c r="AB21" s="156"/>
      <c r="AC21" s="156"/>
      <c r="AD21" s="156"/>
      <c r="AE21" s="156"/>
      <c r="AF21" s="156"/>
      <c r="AG21" s="156"/>
      <c r="AH21" s="156"/>
      <c r="AI21" s="156"/>
      <c r="AJ21" s="156"/>
      <c r="AK21" s="156"/>
      <c r="AL21" s="156"/>
      <c r="AM21" s="156"/>
      <c r="AN21" s="156"/>
      <c r="AO21" s="156"/>
      <c r="AP21" s="156"/>
      <c r="AQ21" s="156"/>
      <c r="AR21" s="156"/>
      <c r="AS21" s="156"/>
      <c r="AT21" s="156"/>
      <c r="AU21" s="156"/>
      <c r="AV21" s="156"/>
      <c r="AW21" s="156"/>
      <c r="AX21" s="156"/>
      <c r="AY21" s="156"/>
      <c r="AZ21" s="156"/>
      <c r="BA21" s="156"/>
      <c r="BB21" s="2828"/>
      <c r="BC21" s="2828"/>
      <c r="BD21" s="2828"/>
      <c r="BE21" s="2828"/>
      <c r="BF21" s="156"/>
    </row>
    <row r="22" spans="1:58" ht="19.5" hidden="1" customHeight="1" outlineLevel="1" x14ac:dyDescent="0.35">
      <c r="A22" s="1071"/>
      <c r="B22" s="1663"/>
      <c r="C22" s="753"/>
      <c r="D22" s="152" t="s">
        <v>107</v>
      </c>
      <c r="E22" s="1361"/>
      <c r="F22" s="1457"/>
      <c r="G22" s="1361"/>
      <c r="H22" s="800"/>
      <c r="I22" s="800"/>
      <c r="J22" s="800"/>
      <c r="K22" s="800"/>
      <c r="L22" s="800"/>
      <c r="M22" s="800"/>
      <c r="N22" s="1234"/>
      <c r="O22" s="800"/>
      <c r="P22" s="800"/>
      <c r="Q22" s="756"/>
      <c r="R22" s="756"/>
      <c r="S22" s="156"/>
      <c r="T22" s="156"/>
      <c r="U22" s="156"/>
      <c r="V22" s="156"/>
      <c r="W22" s="156"/>
      <c r="X22" s="156"/>
      <c r="Y22" s="156"/>
      <c r="Z22" s="156"/>
      <c r="AA22" s="156"/>
      <c r="AB22" s="156"/>
      <c r="AC22" s="156"/>
      <c r="AD22" s="156"/>
      <c r="AE22" s="156"/>
      <c r="AF22" s="156"/>
      <c r="AG22" s="156"/>
      <c r="AH22" s="156"/>
      <c r="AI22" s="156"/>
      <c r="AJ22" s="156"/>
      <c r="AK22" s="156"/>
      <c r="AL22" s="156"/>
      <c r="AM22" s="156"/>
      <c r="AN22" s="156"/>
      <c r="AO22" s="156"/>
      <c r="AP22" s="156"/>
      <c r="AQ22" s="156"/>
      <c r="AR22" s="156"/>
      <c r="AS22" s="156"/>
      <c r="AT22" s="156"/>
      <c r="AU22" s="156"/>
      <c r="AV22" s="156"/>
      <c r="AW22" s="156"/>
      <c r="AX22" s="156"/>
      <c r="AY22" s="156"/>
      <c r="AZ22" s="156"/>
      <c r="BA22" s="156"/>
      <c r="BB22" s="2828"/>
      <c r="BC22" s="2828"/>
      <c r="BD22" s="2828"/>
      <c r="BE22" s="2828"/>
      <c r="BF22" s="156"/>
    </row>
    <row r="23" spans="1:58" ht="19.5" hidden="1" customHeight="1" outlineLevel="1" x14ac:dyDescent="0.35">
      <c r="A23" s="1071"/>
      <c r="B23" s="1663"/>
      <c r="C23" s="753"/>
      <c r="D23" s="753"/>
      <c r="E23" s="1361"/>
      <c r="F23" s="1457"/>
      <c r="G23" s="1361"/>
      <c r="H23" s="800"/>
      <c r="I23" s="800"/>
      <c r="J23" s="800"/>
      <c r="K23" s="800"/>
      <c r="L23" s="800"/>
      <c r="M23" s="800"/>
      <c r="N23" s="1234"/>
      <c r="O23" s="800"/>
      <c r="P23" s="800"/>
      <c r="Q23" s="756"/>
      <c r="R23" s="756"/>
      <c r="S23" s="156"/>
      <c r="T23" s="156"/>
      <c r="U23" s="156"/>
      <c r="V23" s="156"/>
      <c r="W23" s="156"/>
      <c r="X23" s="156"/>
      <c r="Y23" s="156"/>
      <c r="Z23" s="156"/>
      <c r="AA23" s="156"/>
      <c r="AB23" s="156"/>
      <c r="AC23" s="156"/>
      <c r="AD23" s="156"/>
      <c r="AE23" s="156"/>
      <c r="AF23" s="156"/>
      <c r="AG23" s="156"/>
      <c r="AH23" s="156"/>
      <c r="AI23" s="156"/>
      <c r="AJ23" s="156"/>
      <c r="AK23" s="156"/>
      <c r="AL23" s="156"/>
      <c r="AM23" s="156"/>
      <c r="AN23" s="156"/>
      <c r="AO23" s="156"/>
      <c r="AP23" s="156"/>
      <c r="AQ23" s="156"/>
      <c r="AR23" s="156"/>
      <c r="AS23" s="156"/>
      <c r="AT23" s="156"/>
      <c r="AU23" s="156"/>
      <c r="AV23" s="156"/>
      <c r="AW23" s="156"/>
      <c r="AX23" s="156"/>
      <c r="AY23" s="156"/>
      <c r="AZ23" s="156"/>
      <c r="BA23" s="156"/>
      <c r="BB23" s="2828"/>
      <c r="BC23" s="2828"/>
      <c r="BD23" s="2828"/>
      <c r="BE23" s="2828"/>
      <c r="BF23" s="156"/>
    </row>
    <row r="24" spans="1:58" ht="19.5" hidden="1" customHeight="1" outlineLevel="1" x14ac:dyDescent="0.35">
      <c r="A24" s="1071"/>
      <c r="B24" s="1663"/>
      <c r="C24" s="753"/>
      <c r="D24" s="753"/>
      <c r="E24" s="1361"/>
      <c r="F24" s="1457"/>
      <c r="G24" s="1361"/>
      <c r="H24" s="800"/>
      <c r="I24" s="800"/>
      <c r="J24" s="800"/>
      <c r="K24" s="800"/>
      <c r="L24" s="800"/>
      <c r="M24" s="800"/>
      <c r="N24" s="1234"/>
      <c r="O24" s="800"/>
      <c r="P24" s="800"/>
      <c r="Q24" s="756"/>
      <c r="R24" s="756"/>
      <c r="S24" s="156"/>
      <c r="T24" s="156"/>
      <c r="U24" s="156"/>
      <c r="V24" s="156"/>
      <c r="W24" s="156"/>
      <c r="X24" s="156"/>
      <c r="Y24" s="156"/>
      <c r="Z24" s="156"/>
      <c r="AA24" s="156"/>
      <c r="AB24" s="156"/>
      <c r="AC24" s="156"/>
      <c r="AD24" s="156"/>
      <c r="AE24" s="156"/>
      <c r="AF24" s="156"/>
      <c r="AG24" s="156"/>
      <c r="AH24" s="156"/>
      <c r="AI24" s="156"/>
      <c r="AJ24" s="156"/>
      <c r="AK24" s="156"/>
      <c r="AL24" s="156"/>
      <c r="AM24" s="156"/>
      <c r="AN24" s="156"/>
      <c r="AO24" s="156"/>
      <c r="AP24" s="156"/>
      <c r="AQ24" s="156"/>
      <c r="AR24" s="156"/>
      <c r="AS24" s="156"/>
      <c r="AT24" s="156"/>
      <c r="AU24" s="156"/>
      <c r="AV24" s="156"/>
      <c r="AW24" s="156"/>
      <c r="AX24" s="156"/>
      <c r="AY24" s="156"/>
      <c r="AZ24" s="156"/>
      <c r="BA24" s="156"/>
      <c r="BB24" s="2828"/>
      <c r="BC24" s="2828"/>
      <c r="BD24" s="2828"/>
      <c r="BE24" s="2828"/>
      <c r="BF24" s="156"/>
    </row>
    <row r="25" spans="1:58" ht="19.5" hidden="1" customHeight="1" outlineLevel="1" x14ac:dyDescent="0.6">
      <c r="A25" s="1071"/>
      <c r="B25" s="1663"/>
      <c r="C25" s="753"/>
      <c r="D25" s="753"/>
      <c r="E25" s="1361"/>
      <c r="F25" s="1457"/>
      <c r="G25" s="1361"/>
      <c r="H25" s="800"/>
      <c r="I25" s="800"/>
      <c r="J25" s="800"/>
      <c r="K25" s="800"/>
      <c r="L25" s="800"/>
      <c r="M25" s="800"/>
      <c r="N25" s="1234"/>
      <c r="O25" s="800"/>
      <c r="P25" s="800"/>
      <c r="Q25" s="756"/>
      <c r="R25" s="756"/>
      <c r="S25" s="506"/>
      <c r="T25" s="506"/>
      <c r="U25" s="506"/>
      <c r="V25" s="506"/>
      <c r="W25" s="506"/>
      <c r="X25" s="506"/>
      <c r="Y25" s="506"/>
      <c r="Z25" s="506"/>
      <c r="AA25" s="506"/>
      <c r="AB25" s="506"/>
      <c r="AC25" s="506"/>
      <c r="AD25" s="156"/>
      <c r="AE25" s="156"/>
      <c r="AF25" s="156"/>
      <c r="AG25" s="156"/>
      <c r="AH25" s="156"/>
      <c r="AI25" s="156"/>
      <c r="AJ25" s="156"/>
      <c r="AK25" s="156"/>
      <c r="AL25" s="156"/>
      <c r="AM25" s="156"/>
      <c r="AN25" s="156"/>
      <c r="AO25" s="156"/>
      <c r="AP25" s="156"/>
      <c r="AQ25" s="156"/>
      <c r="AR25" s="156"/>
      <c r="AS25" s="156"/>
      <c r="AT25" s="156"/>
      <c r="AU25" s="156"/>
      <c r="AV25" s="156"/>
      <c r="AW25" s="156"/>
      <c r="AX25" s="156"/>
      <c r="AY25" s="156"/>
      <c r="AZ25" s="156"/>
      <c r="BA25" s="156"/>
      <c r="BB25" s="2828"/>
      <c r="BC25" s="2828"/>
      <c r="BD25" s="2828"/>
      <c r="BE25" s="2828"/>
      <c r="BF25" s="156"/>
    </row>
    <row r="26" spans="1:58" ht="19.5" hidden="1" customHeight="1" outlineLevel="1" x14ac:dyDescent="0.35">
      <c r="A26" s="1071"/>
      <c r="B26" s="1663"/>
      <c r="C26" s="753"/>
      <c r="D26" s="753"/>
      <c r="E26" s="1361"/>
      <c r="F26" s="1457"/>
      <c r="G26" s="1361"/>
      <c r="H26" s="800"/>
      <c r="I26" s="800"/>
      <c r="J26" s="800"/>
      <c r="K26" s="800"/>
      <c r="L26" s="800"/>
      <c r="M26" s="800"/>
      <c r="N26" s="1234"/>
      <c r="O26" s="800"/>
      <c r="P26" s="800"/>
      <c r="Q26" s="756"/>
      <c r="R26" s="756"/>
      <c r="S26" s="156"/>
      <c r="T26" s="156"/>
      <c r="U26" s="156"/>
      <c r="V26" s="156"/>
      <c r="W26" s="156"/>
      <c r="X26" s="156"/>
      <c r="Y26" s="156"/>
      <c r="Z26" s="156"/>
      <c r="AA26" s="156"/>
      <c r="AB26" s="156"/>
      <c r="AC26" s="156"/>
      <c r="AD26" s="156"/>
      <c r="AE26" s="156"/>
      <c r="AF26" s="156"/>
      <c r="AG26" s="156"/>
      <c r="AH26" s="156"/>
      <c r="AI26" s="156"/>
      <c r="AJ26" s="156"/>
      <c r="AK26" s="156"/>
      <c r="AL26" s="156"/>
      <c r="AM26" s="156"/>
      <c r="AN26" s="156"/>
      <c r="AO26" s="156"/>
      <c r="AP26" s="156"/>
      <c r="AQ26" s="156"/>
      <c r="AR26" s="156"/>
      <c r="AS26" s="156"/>
      <c r="AT26" s="156"/>
      <c r="AU26" s="156"/>
      <c r="AV26" s="156"/>
      <c r="AW26" s="156"/>
      <c r="AX26" s="156"/>
      <c r="AY26" s="156"/>
      <c r="AZ26" s="156"/>
      <c r="BA26" s="156"/>
      <c r="BB26" s="2828"/>
      <c r="BC26" s="2828"/>
      <c r="BD26" s="2828"/>
      <c r="BE26" s="2828"/>
      <c r="BF26" s="156"/>
    </row>
    <row r="27" spans="1:58" ht="19.5" hidden="1" customHeight="1" outlineLevel="1" x14ac:dyDescent="0.35">
      <c r="A27" s="1071"/>
      <c r="B27" s="1663"/>
      <c r="C27" s="753"/>
      <c r="D27" s="375"/>
      <c r="E27" s="1361"/>
      <c r="F27" s="1457"/>
      <c r="G27" s="1361"/>
      <c r="H27" s="800"/>
      <c r="I27" s="800"/>
      <c r="J27" s="800"/>
      <c r="K27" s="800"/>
      <c r="L27" s="800"/>
      <c r="M27" s="800"/>
      <c r="N27" s="1234"/>
      <c r="O27" s="800"/>
      <c r="P27" s="800"/>
      <c r="Q27" s="756"/>
      <c r="R27" s="756"/>
      <c r="S27" s="156"/>
      <c r="T27" s="156"/>
      <c r="U27" s="156"/>
      <c r="V27" s="156"/>
      <c r="W27" s="156"/>
      <c r="X27" s="156"/>
      <c r="Y27" s="156"/>
      <c r="Z27" s="156"/>
      <c r="AA27" s="156"/>
      <c r="AB27" s="156"/>
      <c r="AC27" s="156"/>
      <c r="AD27" s="156"/>
      <c r="AE27" s="156"/>
      <c r="AF27" s="156"/>
      <c r="AG27" s="156"/>
      <c r="AH27" s="156"/>
      <c r="AI27" s="156"/>
      <c r="AJ27" s="156"/>
      <c r="AK27" s="156"/>
      <c r="AL27" s="156"/>
      <c r="AM27" s="156"/>
      <c r="AN27" s="156"/>
      <c r="AO27" s="156"/>
      <c r="AP27" s="156"/>
      <c r="AQ27" s="156"/>
      <c r="AR27" s="156"/>
      <c r="AS27" s="156"/>
      <c r="AT27" s="156"/>
      <c r="AU27" s="156"/>
      <c r="AV27" s="156"/>
      <c r="AW27" s="156"/>
      <c r="AX27" s="156"/>
      <c r="AY27" s="156"/>
      <c r="AZ27" s="156"/>
      <c r="BA27" s="156"/>
      <c r="BB27" s="2828"/>
      <c r="BC27" s="2828"/>
      <c r="BD27" s="2828"/>
      <c r="BE27" s="2828"/>
      <c r="BF27" s="156"/>
    </row>
    <row r="28" spans="1:58" ht="19.5" hidden="1" customHeight="1" outlineLevel="1" x14ac:dyDescent="0.35">
      <c r="A28" s="1071"/>
      <c r="B28" s="1663"/>
      <c r="C28" s="753"/>
      <c r="D28" s="375"/>
      <c r="E28" s="1361"/>
      <c r="F28" s="1457"/>
      <c r="G28" s="1361"/>
      <c r="H28" s="800"/>
      <c r="I28" s="800"/>
      <c r="J28" s="800"/>
      <c r="K28" s="800"/>
      <c r="L28" s="800"/>
      <c r="M28" s="800"/>
      <c r="N28" s="1234"/>
      <c r="O28" s="800"/>
      <c r="P28" s="800"/>
      <c r="Q28" s="756"/>
      <c r="R28" s="756"/>
      <c r="S28" s="156"/>
      <c r="T28" s="156"/>
      <c r="U28" s="156"/>
      <c r="V28" s="156"/>
      <c r="W28" s="156"/>
      <c r="X28" s="156"/>
      <c r="Y28" s="156"/>
      <c r="Z28" s="156"/>
      <c r="AA28" s="156"/>
      <c r="AB28" s="156"/>
      <c r="AC28" s="156"/>
      <c r="AD28" s="156"/>
      <c r="AE28" s="156"/>
      <c r="AF28" s="156"/>
      <c r="AG28" s="156"/>
      <c r="AH28" s="156"/>
      <c r="AI28" s="156"/>
      <c r="AJ28" s="156"/>
      <c r="AK28" s="156"/>
      <c r="AL28" s="156"/>
      <c r="AM28" s="156"/>
      <c r="AN28" s="156"/>
      <c r="AO28" s="156"/>
      <c r="AP28" s="156"/>
      <c r="AQ28" s="156"/>
      <c r="AR28" s="156"/>
      <c r="AS28" s="156"/>
      <c r="AT28" s="156"/>
      <c r="AU28" s="156"/>
      <c r="AV28" s="156"/>
      <c r="AW28" s="156"/>
      <c r="AX28" s="156"/>
      <c r="AY28" s="156"/>
      <c r="AZ28" s="156"/>
      <c r="BA28" s="156"/>
      <c r="BB28" s="2828"/>
      <c r="BC28" s="2828"/>
      <c r="BD28" s="2828"/>
      <c r="BE28" s="2828"/>
      <c r="BF28" s="156"/>
    </row>
    <row r="29" spans="1:58" ht="19.5" hidden="1" customHeight="1" outlineLevel="1" x14ac:dyDescent="0.35">
      <c r="A29" s="1071"/>
      <c r="B29" s="1663"/>
      <c r="C29" s="753"/>
      <c r="D29" s="375"/>
      <c r="E29" s="1361"/>
      <c r="F29" s="1457"/>
      <c r="G29" s="1361"/>
      <c r="H29" s="800"/>
      <c r="I29" s="800"/>
      <c r="J29" s="800"/>
      <c r="K29" s="800"/>
      <c r="L29" s="800"/>
      <c r="M29" s="800"/>
      <c r="N29" s="1234"/>
      <c r="O29" s="800"/>
      <c r="P29" s="800"/>
      <c r="Q29" s="756"/>
      <c r="R29" s="756"/>
      <c r="S29" s="156"/>
      <c r="T29" s="156"/>
      <c r="U29" s="156"/>
      <c r="V29" s="156"/>
      <c r="W29" s="156"/>
      <c r="X29" s="156"/>
      <c r="Y29" s="156"/>
      <c r="Z29" s="156"/>
      <c r="AA29" s="156"/>
      <c r="AB29" s="156"/>
      <c r="AC29" s="156"/>
      <c r="AD29" s="156"/>
      <c r="AE29" s="156"/>
      <c r="AF29" s="156"/>
      <c r="AG29" s="156"/>
      <c r="AH29" s="156"/>
      <c r="AI29" s="156"/>
      <c r="AJ29" s="156"/>
      <c r="AK29" s="156"/>
      <c r="AL29" s="156"/>
      <c r="AM29" s="156"/>
      <c r="AN29" s="156"/>
      <c r="AO29" s="156"/>
      <c r="AP29" s="156"/>
      <c r="AQ29" s="156"/>
      <c r="AR29" s="156"/>
      <c r="AS29" s="156"/>
      <c r="AT29" s="156"/>
      <c r="AU29" s="156"/>
      <c r="AV29" s="156"/>
      <c r="AW29" s="156"/>
      <c r="AX29" s="156"/>
      <c r="AY29" s="156"/>
      <c r="AZ29" s="156"/>
      <c r="BA29" s="156"/>
      <c r="BB29" s="2828"/>
      <c r="BC29" s="2828"/>
      <c r="BD29" s="2828"/>
      <c r="BE29" s="2828"/>
      <c r="BF29" s="156"/>
    </row>
    <row r="30" spans="1:58" ht="19.5" hidden="1" customHeight="1" outlineLevel="1" x14ac:dyDescent="0.35">
      <c r="A30" s="1071"/>
      <c r="B30" s="1663"/>
      <c r="C30" s="753"/>
      <c r="D30" s="375"/>
      <c r="E30" s="1361"/>
      <c r="F30" s="1457"/>
      <c r="G30" s="1361"/>
      <c r="H30" s="800"/>
      <c r="I30" s="800"/>
      <c r="J30" s="800"/>
      <c r="K30" s="800"/>
      <c r="L30" s="800"/>
      <c r="M30" s="800"/>
      <c r="N30" s="1234"/>
      <c r="O30" s="800"/>
      <c r="P30" s="800"/>
      <c r="Q30" s="756"/>
      <c r="R30" s="756"/>
      <c r="S30" s="156"/>
      <c r="T30" s="156"/>
      <c r="U30" s="156"/>
      <c r="V30" s="156"/>
      <c r="W30" s="156"/>
      <c r="X30" s="156"/>
      <c r="Y30" s="156"/>
      <c r="Z30" s="156"/>
      <c r="AA30" s="156"/>
      <c r="AB30" s="156"/>
      <c r="AC30" s="156"/>
      <c r="AD30" s="156"/>
      <c r="AE30" s="156"/>
      <c r="AF30" s="156"/>
      <c r="AG30" s="156"/>
      <c r="AH30" s="156"/>
      <c r="AI30" s="156"/>
      <c r="AJ30" s="156"/>
      <c r="AK30" s="156"/>
      <c r="AL30" s="156"/>
      <c r="AM30" s="156"/>
      <c r="AN30" s="156"/>
      <c r="AO30" s="156"/>
      <c r="AP30" s="156"/>
      <c r="AQ30" s="156"/>
      <c r="AR30" s="156"/>
      <c r="AS30" s="156"/>
      <c r="AT30" s="156"/>
      <c r="AU30" s="156"/>
      <c r="AV30" s="156"/>
      <c r="AW30" s="156"/>
      <c r="AX30" s="156"/>
      <c r="AY30" s="156"/>
      <c r="AZ30" s="156"/>
      <c r="BA30" s="156"/>
      <c r="BB30" s="2828"/>
      <c r="BC30" s="2828"/>
      <c r="BD30" s="2828"/>
      <c r="BE30" s="2828"/>
      <c r="BF30" s="156"/>
    </row>
    <row r="31" spans="1:58" ht="19.5" hidden="1" customHeight="1" outlineLevel="1" x14ac:dyDescent="0.35">
      <c r="A31" s="1071"/>
      <c r="B31" s="1663"/>
      <c r="C31" s="753"/>
      <c r="D31" s="375"/>
      <c r="E31" s="1361"/>
      <c r="F31" s="1457"/>
      <c r="G31" s="1361"/>
      <c r="H31" s="800"/>
      <c r="I31" s="800"/>
      <c r="J31" s="800"/>
      <c r="K31" s="800"/>
      <c r="L31" s="800"/>
      <c r="M31" s="800"/>
      <c r="N31" s="1234"/>
      <c r="O31" s="800"/>
      <c r="P31" s="800"/>
      <c r="Q31" s="756"/>
      <c r="R31" s="756"/>
      <c r="S31" s="156"/>
      <c r="T31" s="156"/>
      <c r="U31" s="156"/>
      <c r="V31" s="156"/>
      <c r="W31" s="156"/>
      <c r="X31" s="156"/>
      <c r="Y31" s="156"/>
      <c r="Z31" s="156"/>
      <c r="AA31" s="156"/>
      <c r="AB31" s="156"/>
      <c r="AC31" s="156"/>
      <c r="AD31" s="156"/>
      <c r="AE31" s="156"/>
      <c r="AF31" s="156"/>
      <c r="AG31" s="156"/>
      <c r="AH31" s="156"/>
      <c r="AI31" s="156"/>
      <c r="AJ31" s="156"/>
      <c r="AK31" s="156"/>
      <c r="AL31" s="156"/>
      <c r="AM31" s="156"/>
      <c r="AN31" s="156"/>
      <c r="AO31" s="156"/>
      <c r="AP31" s="156"/>
      <c r="AQ31" s="156"/>
      <c r="AR31" s="156"/>
      <c r="AS31" s="156"/>
      <c r="AT31" s="156"/>
      <c r="AU31" s="156"/>
      <c r="AV31" s="156"/>
      <c r="AW31" s="156"/>
      <c r="AX31" s="156"/>
      <c r="AY31" s="156"/>
      <c r="AZ31" s="156"/>
      <c r="BA31" s="156"/>
      <c r="BB31" s="2828"/>
      <c r="BC31" s="2828"/>
      <c r="BD31" s="2828"/>
      <c r="BE31" s="2828"/>
      <c r="BF31" s="156"/>
    </row>
    <row r="32" spans="1:58" ht="19.5" hidden="1" customHeight="1" outlineLevel="1" x14ac:dyDescent="0.35">
      <c r="A32" s="1071"/>
      <c r="B32" s="1663"/>
      <c r="C32" s="753"/>
      <c r="D32" s="375"/>
      <c r="E32" s="1361"/>
      <c r="F32" s="1457"/>
      <c r="G32" s="1361"/>
      <c r="H32" s="800"/>
      <c r="I32" s="800"/>
      <c r="J32" s="800"/>
      <c r="K32" s="800"/>
      <c r="L32" s="800"/>
      <c r="M32" s="800"/>
      <c r="N32" s="1234"/>
      <c r="O32" s="800"/>
      <c r="P32" s="800"/>
      <c r="Q32" s="756"/>
      <c r="R32" s="756"/>
      <c r="S32" s="156"/>
      <c r="T32" s="156"/>
      <c r="U32" s="156"/>
      <c r="V32" s="156"/>
      <c r="W32" s="156"/>
      <c r="X32" s="156"/>
      <c r="Y32" s="156"/>
      <c r="Z32" s="156"/>
      <c r="AA32" s="156"/>
      <c r="AB32" s="156"/>
      <c r="AC32" s="156"/>
      <c r="AD32" s="156"/>
      <c r="AE32" s="156"/>
      <c r="AF32" s="156"/>
      <c r="AG32" s="156"/>
      <c r="AH32" s="156"/>
      <c r="AI32" s="156"/>
      <c r="AJ32" s="156"/>
      <c r="AK32" s="156"/>
      <c r="AL32" s="156"/>
      <c r="AM32" s="156"/>
      <c r="AN32" s="156"/>
      <c r="AO32" s="156"/>
      <c r="AP32" s="156"/>
      <c r="AQ32" s="156"/>
      <c r="AR32" s="156"/>
      <c r="AS32" s="156"/>
      <c r="AT32" s="156"/>
      <c r="AU32" s="156"/>
      <c r="AV32" s="156"/>
      <c r="AW32" s="156"/>
      <c r="AX32" s="156"/>
      <c r="AY32" s="156"/>
      <c r="AZ32" s="156"/>
      <c r="BA32" s="156"/>
      <c r="BB32" s="2828"/>
      <c r="BC32" s="2828"/>
      <c r="BD32" s="2828"/>
      <c r="BE32" s="2828"/>
      <c r="BF32" s="156"/>
    </row>
    <row r="33" spans="1:58" ht="19.5" hidden="1" customHeight="1" outlineLevel="1" x14ac:dyDescent="0.35">
      <c r="A33" s="1071"/>
      <c r="B33" s="1663"/>
      <c r="C33" s="753"/>
      <c r="D33" s="375"/>
      <c r="E33" s="1361"/>
      <c r="F33" s="1457"/>
      <c r="G33" s="1361"/>
      <c r="H33" s="800"/>
      <c r="I33" s="800"/>
      <c r="J33" s="800"/>
      <c r="K33" s="800"/>
      <c r="L33" s="800"/>
      <c r="M33" s="800"/>
      <c r="N33" s="1234"/>
      <c r="O33" s="800"/>
      <c r="P33" s="800"/>
      <c r="Q33" s="756"/>
      <c r="R33" s="756"/>
      <c r="S33" s="106"/>
      <c r="T33" s="106"/>
      <c r="U33" s="106"/>
      <c r="V33" s="106"/>
      <c r="W33" s="156"/>
      <c r="X33" s="156"/>
      <c r="Y33" s="156"/>
      <c r="Z33" s="156"/>
      <c r="AA33" s="156"/>
      <c r="AB33" s="156"/>
      <c r="AC33" s="156"/>
      <c r="AD33" s="156"/>
      <c r="AE33" s="156"/>
      <c r="AF33" s="156"/>
      <c r="AG33" s="156"/>
      <c r="AH33" s="156"/>
      <c r="AI33" s="156"/>
      <c r="AJ33" s="156"/>
      <c r="AK33" s="156"/>
      <c r="AL33" s="156"/>
      <c r="AM33" s="156"/>
      <c r="AN33" s="156"/>
      <c r="AO33" s="156"/>
      <c r="AP33" s="156"/>
      <c r="AQ33" s="156"/>
      <c r="AR33" s="156"/>
      <c r="AS33" s="156"/>
      <c r="AT33" s="156"/>
      <c r="AU33" s="156"/>
      <c r="AV33" s="156"/>
      <c r="AW33" s="156"/>
      <c r="AX33" s="156"/>
      <c r="AY33" s="156"/>
      <c r="AZ33" s="156"/>
      <c r="BA33" s="156"/>
      <c r="BB33" s="2828"/>
      <c r="BC33" s="2828"/>
      <c r="BD33" s="2828"/>
      <c r="BE33" s="2828"/>
      <c r="BF33" s="156"/>
    </row>
    <row r="34" spans="1:58" ht="19.5" hidden="1" customHeight="1" outlineLevel="1" x14ac:dyDescent="0.35">
      <c r="A34" s="1071"/>
      <c r="B34" s="1663"/>
      <c r="C34" s="753"/>
      <c r="D34" s="375"/>
      <c r="E34" s="1361"/>
      <c r="F34" s="1457"/>
      <c r="G34" s="1361"/>
      <c r="H34" s="800"/>
      <c r="I34" s="800"/>
      <c r="J34" s="800"/>
      <c r="K34" s="800"/>
      <c r="L34" s="800"/>
      <c r="M34" s="800"/>
      <c r="N34" s="1234"/>
      <c r="O34" s="800"/>
      <c r="P34" s="800"/>
      <c r="Q34" s="756"/>
      <c r="R34" s="756"/>
      <c r="S34" s="106"/>
      <c r="T34" s="106"/>
      <c r="U34" s="106"/>
      <c r="V34" s="106"/>
      <c r="W34" s="156"/>
      <c r="X34" s="156"/>
      <c r="Y34" s="156"/>
      <c r="Z34" s="156"/>
      <c r="AA34" s="156"/>
      <c r="AB34" s="156"/>
      <c r="AC34" s="156"/>
      <c r="AD34" s="156"/>
      <c r="AE34" s="156"/>
      <c r="AF34" s="156"/>
      <c r="AG34" s="156"/>
      <c r="AH34" s="156"/>
      <c r="AI34" s="156"/>
      <c r="AJ34" s="156"/>
      <c r="AK34" s="156"/>
      <c r="AL34" s="156"/>
      <c r="AM34" s="156"/>
      <c r="AN34" s="156"/>
      <c r="AO34" s="156"/>
      <c r="AP34" s="156"/>
      <c r="AQ34" s="156"/>
      <c r="AR34" s="156"/>
      <c r="AS34" s="156"/>
      <c r="AT34" s="156"/>
      <c r="AU34" s="156"/>
      <c r="AV34" s="156"/>
      <c r="AW34" s="156"/>
      <c r="AX34" s="156"/>
      <c r="AY34" s="156"/>
      <c r="AZ34" s="156"/>
      <c r="BA34" s="156"/>
      <c r="BB34" s="2828"/>
      <c r="BC34" s="2828"/>
      <c r="BD34" s="2828"/>
      <c r="BE34" s="2828"/>
      <c r="BF34" s="156"/>
    </row>
    <row r="35" spans="1:58" ht="19.5" hidden="1" customHeight="1" outlineLevel="1" x14ac:dyDescent="0.35">
      <c r="A35" s="1071"/>
      <c r="B35" s="1663"/>
      <c r="C35" s="753"/>
      <c r="D35" s="375"/>
      <c r="E35" s="1361"/>
      <c r="F35" s="1457"/>
      <c r="G35" s="1361"/>
      <c r="H35" s="800"/>
      <c r="I35" s="800"/>
      <c r="J35" s="800"/>
      <c r="K35" s="800"/>
      <c r="L35" s="800"/>
      <c r="M35" s="800"/>
      <c r="N35" s="1234"/>
      <c r="O35" s="800"/>
      <c r="P35" s="800"/>
      <c r="Q35" s="756"/>
      <c r="R35" s="756"/>
      <c r="S35" s="106"/>
      <c r="T35" s="106"/>
      <c r="U35" s="106"/>
      <c r="V35" s="106"/>
      <c r="W35" s="156"/>
      <c r="X35" s="156"/>
      <c r="Y35" s="156"/>
      <c r="Z35" s="156"/>
      <c r="AA35" s="156"/>
      <c r="AB35" s="156"/>
      <c r="AC35" s="156"/>
      <c r="AD35" s="156"/>
      <c r="AE35" s="156"/>
      <c r="AF35" s="156"/>
      <c r="AG35" s="156"/>
      <c r="AH35" s="156"/>
      <c r="AI35" s="156"/>
      <c r="AJ35" s="156"/>
      <c r="AK35" s="156"/>
      <c r="AL35" s="156"/>
      <c r="AM35" s="156"/>
      <c r="AN35" s="156"/>
      <c r="AO35" s="156"/>
      <c r="AP35" s="156"/>
      <c r="AQ35" s="156"/>
      <c r="AR35" s="156"/>
      <c r="AS35" s="156"/>
      <c r="AT35" s="156"/>
      <c r="AU35" s="156"/>
      <c r="AV35" s="156"/>
      <c r="AW35" s="156"/>
      <c r="AX35" s="156"/>
      <c r="AY35" s="156"/>
      <c r="AZ35" s="156"/>
      <c r="BA35" s="156"/>
      <c r="BB35" s="2828"/>
      <c r="BC35" s="2828"/>
      <c r="BD35" s="2828"/>
      <c r="BE35" s="2828"/>
      <c r="BF35" s="156"/>
    </row>
    <row r="36" spans="1:58" ht="19.5" hidden="1" customHeight="1" outlineLevel="1" x14ac:dyDescent="0.35">
      <c r="A36" s="1071"/>
      <c r="B36" s="1663"/>
      <c r="C36" s="753"/>
      <c r="D36" s="375"/>
      <c r="E36" s="1361"/>
      <c r="F36" s="1457"/>
      <c r="G36" s="1361"/>
      <c r="H36" s="800"/>
      <c r="I36" s="800"/>
      <c r="J36" s="800"/>
      <c r="K36" s="800"/>
      <c r="L36" s="800"/>
      <c r="M36" s="800"/>
      <c r="N36" s="1234"/>
      <c r="O36" s="800"/>
      <c r="P36" s="800"/>
      <c r="Q36" s="756"/>
      <c r="R36" s="756"/>
      <c r="S36" s="106"/>
      <c r="T36" s="106"/>
      <c r="U36" s="106"/>
      <c r="V36" s="106"/>
      <c r="W36" s="156"/>
      <c r="X36" s="156"/>
      <c r="Y36" s="156"/>
      <c r="Z36" s="156"/>
      <c r="AA36" s="156"/>
      <c r="AB36" s="156"/>
      <c r="AC36" s="156"/>
      <c r="AD36" s="156"/>
      <c r="AE36" s="156"/>
      <c r="AF36" s="156"/>
      <c r="AG36" s="156"/>
      <c r="AH36" s="156"/>
      <c r="AI36" s="156"/>
      <c r="AJ36" s="156"/>
      <c r="AK36" s="156"/>
      <c r="AL36" s="156"/>
      <c r="AM36" s="156"/>
      <c r="AN36" s="156"/>
      <c r="AO36" s="156"/>
      <c r="AP36" s="156"/>
      <c r="AQ36" s="156"/>
      <c r="AR36" s="156"/>
      <c r="AS36" s="156"/>
      <c r="AT36" s="156"/>
      <c r="AU36" s="156"/>
      <c r="AV36" s="156"/>
      <c r="AW36" s="156"/>
      <c r="AX36" s="156"/>
      <c r="AY36" s="156"/>
      <c r="AZ36" s="156"/>
      <c r="BA36" s="156"/>
      <c r="BB36" s="2828"/>
      <c r="BC36" s="2828"/>
      <c r="BD36" s="2828"/>
      <c r="BE36" s="2828"/>
      <c r="BF36" s="156"/>
    </row>
    <row r="37" spans="1:58" ht="19.5" hidden="1" customHeight="1" outlineLevel="1" x14ac:dyDescent="0.35">
      <c r="A37" s="1071"/>
      <c r="B37" s="1663"/>
      <c r="C37" s="753"/>
      <c r="D37" s="375"/>
      <c r="E37" s="1361"/>
      <c r="F37" s="1457"/>
      <c r="G37" s="1361"/>
      <c r="H37" s="800"/>
      <c r="I37" s="800"/>
      <c r="J37" s="800"/>
      <c r="K37" s="800"/>
      <c r="L37" s="800"/>
      <c r="M37" s="800"/>
      <c r="N37" s="1234"/>
      <c r="O37" s="800"/>
      <c r="P37" s="800"/>
      <c r="Q37" s="756"/>
      <c r="R37" s="756"/>
      <c r="S37" s="106"/>
      <c r="T37" s="106"/>
      <c r="U37" s="106"/>
      <c r="V37" s="106"/>
      <c r="W37" s="156"/>
      <c r="X37" s="156"/>
      <c r="Y37" s="156"/>
      <c r="Z37" s="156"/>
      <c r="AA37" s="156"/>
      <c r="AB37" s="156"/>
      <c r="AC37" s="156"/>
      <c r="AD37" s="156"/>
      <c r="AE37" s="156"/>
      <c r="AF37" s="156"/>
      <c r="AG37" s="156"/>
      <c r="AH37" s="156"/>
      <c r="AI37" s="156"/>
      <c r="AJ37" s="156"/>
      <c r="AK37" s="156"/>
      <c r="AL37" s="156"/>
      <c r="AM37" s="156"/>
      <c r="AN37" s="156"/>
      <c r="AO37" s="156"/>
      <c r="AP37" s="156"/>
      <c r="AQ37" s="156"/>
      <c r="AR37" s="156"/>
      <c r="AS37" s="156"/>
      <c r="AT37" s="156"/>
      <c r="AU37" s="156"/>
      <c r="AV37" s="156"/>
      <c r="AW37" s="156"/>
      <c r="AX37" s="156"/>
      <c r="AY37" s="156"/>
      <c r="AZ37" s="156"/>
      <c r="BA37" s="156"/>
      <c r="BB37" s="2828"/>
      <c r="BC37" s="2828"/>
      <c r="BD37" s="2828"/>
      <c r="BE37" s="2828"/>
      <c r="BF37" s="156"/>
    </row>
    <row r="38" spans="1:58" ht="21" hidden="1" customHeight="1" outlineLevel="1" x14ac:dyDescent="0.35">
      <c r="A38" s="1071"/>
      <c r="B38" s="1663"/>
      <c r="C38" s="753"/>
      <c r="D38" s="375"/>
      <c r="E38" s="1361"/>
      <c r="F38" s="1457"/>
      <c r="G38" s="1361"/>
      <c r="H38" s="800"/>
      <c r="I38" s="800"/>
      <c r="J38" s="800"/>
      <c r="K38" s="800"/>
      <c r="L38" s="800"/>
      <c r="M38" s="800"/>
      <c r="N38" s="1234"/>
      <c r="O38" s="800"/>
      <c r="P38" s="800"/>
      <c r="Q38" s="756"/>
      <c r="R38" s="756"/>
      <c r="S38" s="106"/>
      <c r="T38" s="106"/>
      <c r="U38" s="106"/>
      <c r="V38" s="106"/>
      <c r="W38" s="156"/>
      <c r="X38" s="156"/>
      <c r="Y38" s="156"/>
      <c r="Z38" s="156"/>
      <c r="AA38" s="156"/>
      <c r="AB38" s="156"/>
      <c r="AC38" s="156"/>
      <c r="AD38" s="156"/>
      <c r="AE38" s="156"/>
      <c r="AF38" s="156"/>
      <c r="AG38" s="156"/>
      <c r="AH38" s="156"/>
      <c r="AI38" s="156"/>
      <c r="AJ38" s="156"/>
      <c r="AK38" s="156"/>
      <c r="AL38" s="156"/>
      <c r="AM38" s="156"/>
      <c r="AN38" s="156"/>
      <c r="AO38" s="156"/>
      <c r="AP38" s="156"/>
      <c r="AQ38" s="156"/>
      <c r="AR38" s="156"/>
      <c r="AS38" s="156"/>
      <c r="AT38" s="156"/>
      <c r="AU38" s="156"/>
      <c r="AV38" s="156"/>
      <c r="AW38" s="156"/>
      <c r="AX38" s="156"/>
      <c r="AY38" s="156"/>
      <c r="AZ38" s="156"/>
      <c r="BA38" s="156"/>
      <c r="BB38" s="2828"/>
      <c r="BC38" s="2828"/>
      <c r="BD38" s="2828"/>
      <c r="BE38" s="2828"/>
      <c r="BF38" s="156"/>
    </row>
    <row r="39" spans="1:58" ht="21" hidden="1" customHeight="1" outlineLevel="1" x14ac:dyDescent="0.35">
      <c r="A39" s="1071"/>
      <c r="B39" s="1663"/>
      <c r="C39" s="753"/>
      <c r="D39" s="375"/>
      <c r="E39" s="1361"/>
      <c r="F39" s="800"/>
      <c r="G39" s="1361"/>
      <c r="H39" s="800"/>
      <c r="I39" s="800"/>
      <c r="J39" s="800"/>
      <c r="K39" s="800"/>
      <c r="L39" s="800"/>
      <c r="M39" s="800"/>
      <c r="N39" s="1234"/>
      <c r="O39" s="800"/>
      <c r="P39" s="800"/>
      <c r="Q39" s="756"/>
      <c r="R39" s="756"/>
      <c r="S39" s="106"/>
      <c r="T39" s="106"/>
      <c r="U39" s="106"/>
      <c r="V39" s="106"/>
      <c r="W39" s="156"/>
      <c r="X39" s="156"/>
      <c r="Y39" s="156"/>
      <c r="Z39" s="156"/>
      <c r="AA39" s="156"/>
      <c r="AB39" s="156"/>
      <c r="AC39" s="156"/>
      <c r="AD39" s="156"/>
      <c r="AE39" s="156"/>
      <c r="AF39" s="156"/>
      <c r="AG39" s="156"/>
      <c r="AH39" s="156"/>
      <c r="AI39" s="156"/>
      <c r="AJ39" s="156"/>
      <c r="AK39" s="156"/>
      <c r="AL39" s="156"/>
      <c r="AM39" s="156"/>
      <c r="AN39" s="156"/>
      <c r="AO39" s="156"/>
      <c r="AP39" s="156"/>
      <c r="AQ39" s="156"/>
      <c r="AR39" s="156"/>
      <c r="AS39" s="156"/>
      <c r="AT39" s="156"/>
      <c r="AU39" s="156"/>
      <c r="AV39" s="156"/>
      <c r="AW39" s="156"/>
      <c r="AX39" s="156"/>
      <c r="AY39" s="156"/>
      <c r="AZ39" s="156"/>
      <c r="BA39" s="156"/>
      <c r="BB39" s="2828"/>
      <c r="BC39" s="2828"/>
      <c r="BD39" s="2828"/>
      <c r="BE39" s="2828"/>
      <c r="BF39" s="156"/>
    </row>
    <row r="40" spans="1:58" ht="15" hidden="1" outlineLevel="1" thickBot="1" x14ac:dyDescent="0.4">
      <c r="A40" s="1071"/>
      <c r="B40" s="1663"/>
      <c r="C40" s="753"/>
      <c r="D40" s="333" t="s">
        <v>108</v>
      </c>
      <c r="E40" s="333" t="s">
        <v>109</v>
      </c>
      <c r="F40" s="4027" t="s">
        <v>185</v>
      </c>
      <c r="G40" s="4027"/>
      <c r="H40" s="4027"/>
      <c r="I40" s="2379" t="s">
        <v>111</v>
      </c>
      <c r="J40" s="2379" t="s">
        <v>186</v>
      </c>
      <c r="K40" s="2379" t="s">
        <v>282</v>
      </c>
      <c r="L40" s="756"/>
      <c r="M40" s="756"/>
      <c r="N40" s="753"/>
      <c r="O40" s="756"/>
      <c r="P40" s="756"/>
      <c r="Q40" s="756"/>
      <c r="R40" s="756"/>
      <c r="S40" s="106"/>
      <c r="T40" s="106"/>
      <c r="U40" s="106"/>
      <c r="V40" s="480" t="s">
        <v>44</v>
      </c>
      <c r="W40" s="1573">
        <v>43252</v>
      </c>
      <c r="X40" s="1573">
        <f>$X$6</f>
        <v>43465</v>
      </c>
      <c r="Y40" s="1573">
        <f>$Y$6</f>
        <v>43800</v>
      </c>
      <c r="Z40" s="1573">
        <f>$Z$6</f>
        <v>43862</v>
      </c>
      <c r="AA40" s="1573">
        <f>$AA$6</f>
        <v>44013</v>
      </c>
      <c r="AB40" s="1573">
        <f>$AB$6</f>
        <v>44166</v>
      </c>
      <c r="AC40" s="1573">
        <f>$AC$6</f>
        <v>44531</v>
      </c>
      <c r="AD40" s="1573">
        <f>$AD$6</f>
        <v>44774</v>
      </c>
      <c r="AE40" s="1573" t="str">
        <f>$AE$6</f>
        <v>-</v>
      </c>
      <c r="AF40" s="1573" t="str">
        <f>$AF$6</f>
        <v>-</v>
      </c>
      <c r="AG40" s="1573" t="str">
        <f>$AG$6</f>
        <v>-</v>
      </c>
      <c r="AH40" s="156"/>
      <c r="AI40" s="156"/>
      <c r="AJ40" s="156"/>
      <c r="AK40" s="156"/>
      <c r="AL40" s="156"/>
      <c r="AM40" s="156"/>
      <c r="AN40" s="156"/>
      <c r="AO40" s="156"/>
      <c r="AP40" s="156"/>
      <c r="AQ40" s="156"/>
      <c r="AR40" s="156"/>
      <c r="AS40" s="156"/>
      <c r="AT40" s="156"/>
      <c r="AU40" s="156"/>
      <c r="AV40" s="156"/>
      <c r="AW40" s="156"/>
      <c r="AX40" s="156"/>
      <c r="AY40" s="156"/>
      <c r="AZ40" s="156"/>
      <c r="BA40" s="156"/>
      <c r="BB40" s="2828"/>
      <c r="BC40" s="2828"/>
      <c r="BD40" s="2828"/>
      <c r="BE40" s="2828"/>
      <c r="BF40" s="156"/>
    </row>
    <row r="41" spans="1:58" hidden="1" outlineLevel="1" x14ac:dyDescent="0.35">
      <c r="A41" s="1071"/>
      <c r="B41" s="1663"/>
      <c r="C41" s="753"/>
      <c r="D41" s="4030" t="s">
        <v>800</v>
      </c>
      <c r="E41" s="4033" t="s">
        <v>801</v>
      </c>
      <c r="F41" s="4038" t="str">
        <f t="shared" ref="F41:F52" si="11">E7</f>
        <v>ECM Auto Fan ROF-SF</v>
      </c>
      <c r="G41" s="4038"/>
      <c r="H41" s="4038"/>
      <c r="I41" s="507">
        <v>0.16336956521739129</v>
      </c>
      <c r="J41" s="508" t="s">
        <v>284</v>
      </c>
      <c r="K41" s="509" t="s">
        <v>802</v>
      </c>
      <c r="L41" s="756"/>
      <c r="M41" s="756"/>
      <c r="N41" s="753"/>
      <c r="O41" s="756"/>
      <c r="P41" s="756"/>
      <c r="Q41" s="756"/>
      <c r="R41" s="756"/>
      <c r="S41" s="106"/>
      <c r="T41" s="106"/>
      <c r="U41" s="106"/>
      <c r="V41" s="4030" t="s">
        <v>800</v>
      </c>
      <c r="W41" s="2838">
        <v>0.16</v>
      </c>
      <c r="X41" s="2838">
        <f>1759/10801</f>
        <v>0.16285529117674288</v>
      </c>
      <c r="Y41" s="511">
        <v>0.16336956521739129</v>
      </c>
      <c r="Z41" s="507">
        <v>0.16336956521739129</v>
      </c>
      <c r="AA41" s="507">
        <v>0.16336956521739129</v>
      </c>
      <c r="AB41" s="2838">
        <v>0.16336956521739129</v>
      </c>
      <c r="AC41" s="2838">
        <v>0.16336956521739129</v>
      </c>
      <c r="AD41" s="2136">
        <v>0.16336956521739129</v>
      </c>
      <c r="AE41" s="2838"/>
      <c r="AF41" s="2838"/>
      <c r="AG41" s="2838"/>
      <c r="AH41" s="156"/>
      <c r="AI41" s="156"/>
      <c r="AJ41" s="156"/>
      <c r="AK41" s="156"/>
      <c r="AL41" s="156"/>
      <c r="AM41" s="156"/>
      <c r="AN41" s="156"/>
      <c r="AO41" s="156"/>
      <c r="AP41" s="156"/>
      <c r="AQ41" s="156"/>
      <c r="AR41" s="156"/>
      <c r="AS41" s="156"/>
      <c r="AT41" s="156"/>
      <c r="AU41" s="156"/>
      <c r="AV41" s="156"/>
      <c r="AW41" s="156"/>
      <c r="AX41" s="156"/>
      <c r="AY41" s="156"/>
      <c r="AZ41" s="156"/>
      <c r="BA41" s="156"/>
      <c r="BB41" s="2828"/>
      <c r="BC41" s="2828"/>
      <c r="BD41" s="2828"/>
      <c r="BE41" s="2828"/>
      <c r="BF41" s="156"/>
    </row>
    <row r="42" spans="1:58" hidden="1" outlineLevel="1" x14ac:dyDescent="0.35">
      <c r="A42" s="1071"/>
      <c r="B42" s="1663"/>
      <c r="C42" s="753"/>
      <c r="D42" s="4031"/>
      <c r="E42" s="4034"/>
      <c r="F42" s="4039" t="str">
        <f t="shared" si="11"/>
        <v>ECM Auto Fan ROF-MF</v>
      </c>
      <c r="G42" s="4039"/>
      <c r="H42" s="4039"/>
      <c r="I42" s="512">
        <f>I41</f>
        <v>0.16336956521739129</v>
      </c>
      <c r="J42" s="513" t="s">
        <v>284</v>
      </c>
      <c r="K42" s="514"/>
      <c r="L42" s="756"/>
      <c r="M42" s="756"/>
      <c r="N42" s="753"/>
      <c r="O42" s="756"/>
      <c r="P42" s="756"/>
      <c r="Q42" s="756"/>
      <c r="R42" s="756"/>
      <c r="S42" s="106"/>
      <c r="T42" s="106"/>
      <c r="U42" s="106"/>
      <c r="V42" s="4031"/>
      <c r="W42" s="779">
        <v>0.16</v>
      </c>
      <c r="X42" s="779">
        <f t="shared" ref="X42:X52" si="12">1759/10801</f>
        <v>0.16285529117674288</v>
      </c>
      <c r="Y42" s="515">
        <v>0.16336956521739129</v>
      </c>
      <c r="Z42" s="512">
        <v>0.16336956521739129</v>
      </c>
      <c r="AA42" s="512">
        <v>0.16336956521739129</v>
      </c>
      <c r="AB42" s="779">
        <v>0.16336956521739129</v>
      </c>
      <c r="AC42" s="779">
        <v>0.16336956521739129</v>
      </c>
      <c r="AD42" s="411">
        <v>0.16336956521739129</v>
      </c>
      <c r="AE42" s="779"/>
      <c r="AF42" s="779"/>
      <c r="AG42" s="779"/>
      <c r="AH42" s="156"/>
      <c r="AI42" s="156"/>
      <c r="AJ42" s="156"/>
      <c r="AK42" s="156"/>
      <c r="AL42" s="156"/>
      <c r="AM42" s="156"/>
      <c r="AN42" s="156"/>
      <c r="AO42" s="156"/>
      <c r="AP42" s="156"/>
      <c r="AQ42" s="156"/>
      <c r="AR42" s="156"/>
      <c r="AS42" s="156"/>
      <c r="AT42" s="156"/>
      <c r="AU42" s="156"/>
      <c r="AV42" s="156"/>
      <c r="AW42" s="156"/>
      <c r="AX42" s="156"/>
      <c r="AY42" s="156"/>
      <c r="AZ42" s="156"/>
      <c r="BA42" s="156"/>
      <c r="BB42" s="2828"/>
      <c r="BC42" s="2828"/>
      <c r="BD42" s="2828"/>
      <c r="BE42" s="2828"/>
      <c r="BF42" s="156"/>
    </row>
    <row r="43" spans="1:58" hidden="1" outlineLevel="1" x14ac:dyDescent="0.35">
      <c r="A43" s="1071"/>
      <c r="B43" s="1663"/>
      <c r="C43" s="753"/>
      <c r="D43" s="4031"/>
      <c r="E43" s="4035"/>
      <c r="F43" s="4039" t="str">
        <f t="shared" si="11"/>
        <v>ECM Auto Fan ER1 - SF</v>
      </c>
      <c r="G43" s="4039"/>
      <c r="H43" s="4039"/>
      <c r="I43" s="512">
        <f t="shared" ref="I43:I52" si="13">I42</f>
        <v>0.16336956521739129</v>
      </c>
      <c r="J43" s="513" t="s">
        <v>284</v>
      </c>
      <c r="K43" s="516"/>
      <c r="L43" s="756"/>
      <c r="M43" s="756"/>
      <c r="N43" s="753"/>
      <c r="O43" s="756"/>
      <c r="P43" s="756"/>
      <c r="Q43" s="756"/>
      <c r="R43" s="756"/>
      <c r="S43" s="106"/>
      <c r="T43" s="106"/>
      <c r="U43" s="106"/>
      <c r="V43" s="4031"/>
      <c r="W43" s="779">
        <v>0.16</v>
      </c>
      <c r="X43" s="779">
        <f t="shared" si="12"/>
        <v>0.16285529117674288</v>
      </c>
      <c r="Y43" s="515">
        <v>0.16336956521739129</v>
      </c>
      <c r="Z43" s="512">
        <v>0.16336956521739129</v>
      </c>
      <c r="AA43" s="512">
        <v>0.16336956521739129</v>
      </c>
      <c r="AB43" s="779">
        <v>0.16336956521739129</v>
      </c>
      <c r="AC43" s="779">
        <v>0.16336956521739129</v>
      </c>
      <c r="AD43" s="411">
        <v>0.16336956521739129</v>
      </c>
      <c r="AE43" s="779"/>
      <c r="AF43" s="779"/>
      <c r="AG43" s="779"/>
      <c r="AH43" s="156"/>
      <c r="AI43" s="156"/>
      <c r="AJ43" s="156"/>
      <c r="AK43" s="156"/>
      <c r="AL43" s="156"/>
      <c r="AM43" s="156"/>
      <c r="AN43" s="156"/>
      <c r="AO43" s="156"/>
      <c r="AP43" s="156"/>
      <c r="AQ43" s="156"/>
      <c r="AR43" s="156"/>
      <c r="AS43" s="156"/>
      <c r="AT43" s="156"/>
      <c r="AU43" s="156"/>
      <c r="AV43" s="156"/>
      <c r="AW43" s="156"/>
      <c r="AX43" s="156"/>
      <c r="AY43" s="156"/>
      <c r="AZ43" s="156"/>
      <c r="BA43" s="156"/>
      <c r="BB43" s="2828"/>
      <c r="BC43" s="2828"/>
      <c r="BD43" s="2828"/>
      <c r="BE43" s="2828"/>
      <c r="BF43" s="156"/>
    </row>
    <row r="44" spans="1:58" hidden="1" outlineLevel="1" x14ac:dyDescent="0.35">
      <c r="A44" s="1071"/>
      <c r="B44" s="1663"/>
      <c r="C44" s="753"/>
      <c r="D44" s="4031"/>
      <c r="E44" s="4035"/>
      <c r="F44" s="4039" t="str">
        <f t="shared" si="11"/>
        <v>ECM Auto Fan ER2 - SF</v>
      </c>
      <c r="G44" s="4039"/>
      <c r="H44" s="4039"/>
      <c r="I44" s="512">
        <f t="shared" si="13"/>
        <v>0.16336956521739129</v>
      </c>
      <c r="J44" s="513" t="s">
        <v>284</v>
      </c>
      <c r="K44" s="516"/>
      <c r="L44" s="756"/>
      <c r="M44" s="756"/>
      <c r="N44" s="753"/>
      <c r="O44" s="756"/>
      <c r="P44" s="756"/>
      <c r="Q44" s="756"/>
      <c r="R44" s="756"/>
      <c r="S44" s="106"/>
      <c r="T44" s="106"/>
      <c r="U44" s="106"/>
      <c r="V44" s="4031"/>
      <c r="W44" s="779">
        <v>0.16</v>
      </c>
      <c r="X44" s="779">
        <f t="shared" si="12"/>
        <v>0.16285529117674288</v>
      </c>
      <c r="Y44" s="515">
        <v>0.16336956521739129</v>
      </c>
      <c r="Z44" s="512">
        <v>0.16336956521739129</v>
      </c>
      <c r="AA44" s="512">
        <v>0.16336956521739129</v>
      </c>
      <c r="AB44" s="779">
        <v>0.16336956521739129</v>
      </c>
      <c r="AC44" s="779">
        <v>0.16336956521739129</v>
      </c>
      <c r="AD44" s="411">
        <v>0.16336956521739129</v>
      </c>
      <c r="AE44" s="779"/>
      <c r="AF44" s="779"/>
      <c r="AG44" s="779"/>
      <c r="AH44" s="156"/>
      <c r="AI44" s="156"/>
      <c r="AJ44" s="156"/>
      <c r="AK44" s="156"/>
      <c r="AL44" s="156"/>
      <c r="AM44" s="156"/>
      <c r="AN44" s="156"/>
      <c r="AO44" s="156"/>
      <c r="AP44" s="156"/>
      <c r="AQ44" s="156"/>
      <c r="AR44" s="156"/>
      <c r="AS44" s="156"/>
      <c r="AT44" s="156"/>
      <c r="AU44" s="156"/>
      <c r="AV44" s="156"/>
      <c r="AW44" s="156"/>
      <c r="AX44" s="156"/>
      <c r="AY44" s="156"/>
      <c r="AZ44" s="156"/>
      <c r="BA44" s="156"/>
      <c r="BB44" s="2828"/>
      <c r="BC44" s="2828"/>
      <c r="BD44" s="2828"/>
      <c r="BE44" s="2828"/>
      <c r="BF44" s="156"/>
    </row>
    <row r="45" spans="1:58" hidden="1" outlineLevel="1" x14ac:dyDescent="0.35">
      <c r="A45" s="1071"/>
      <c r="B45" s="1663"/>
      <c r="C45" s="753"/>
      <c r="D45" s="4031"/>
      <c r="E45" s="4035"/>
      <c r="F45" s="4039" t="str">
        <f t="shared" si="11"/>
        <v>ECM Auto Fan ER1 - MF</v>
      </c>
      <c r="G45" s="4039"/>
      <c r="H45" s="4039"/>
      <c r="I45" s="512">
        <f t="shared" si="13"/>
        <v>0.16336956521739129</v>
      </c>
      <c r="J45" s="513" t="s">
        <v>284</v>
      </c>
      <c r="K45" s="516"/>
      <c r="L45" s="756"/>
      <c r="M45" s="756"/>
      <c r="N45" s="753"/>
      <c r="O45" s="756"/>
      <c r="P45" s="756"/>
      <c r="Q45" s="756"/>
      <c r="R45" s="756"/>
      <c r="S45" s="106"/>
      <c r="T45" s="106"/>
      <c r="U45" s="106"/>
      <c r="V45" s="4031"/>
      <c r="W45" s="779">
        <v>0.16</v>
      </c>
      <c r="X45" s="779">
        <f t="shared" si="12"/>
        <v>0.16285529117674288</v>
      </c>
      <c r="Y45" s="515">
        <v>0.16336956521739129</v>
      </c>
      <c r="Z45" s="512">
        <v>0.16336956521739129</v>
      </c>
      <c r="AA45" s="512">
        <v>0.16336956521739129</v>
      </c>
      <c r="AB45" s="779">
        <v>0.16336956521739129</v>
      </c>
      <c r="AC45" s="779">
        <v>0.16336956521739129</v>
      </c>
      <c r="AD45" s="411">
        <v>0.16336956521739129</v>
      </c>
      <c r="AE45" s="779"/>
      <c r="AF45" s="779"/>
      <c r="AG45" s="779"/>
      <c r="AH45" s="156"/>
      <c r="AI45" s="156"/>
      <c r="AJ45" s="156"/>
      <c r="AK45" s="156"/>
      <c r="AL45" s="156"/>
      <c r="AM45" s="156"/>
      <c r="AN45" s="156"/>
      <c r="AO45" s="156"/>
      <c r="AP45" s="156"/>
      <c r="AQ45" s="156"/>
      <c r="AR45" s="156"/>
      <c r="AS45" s="156"/>
      <c r="AT45" s="156"/>
      <c r="AU45" s="156"/>
      <c r="AV45" s="156"/>
      <c r="AW45" s="156"/>
      <c r="AX45" s="156"/>
      <c r="AY45" s="156"/>
      <c r="AZ45" s="156"/>
      <c r="BA45" s="156"/>
      <c r="BB45" s="2828"/>
      <c r="BC45" s="2828"/>
      <c r="BD45" s="2828"/>
      <c r="BE45" s="2828"/>
      <c r="BF45" s="156"/>
    </row>
    <row r="46" spans="1:58" hidden="1" outlineLevel="1" x14ac:dyDescent="0.35">
      <c r="A46" s="1071"/>
      <c r="B46" s="1663"/>
      <c r="C46" s="753"/>
      <c r="D46" s="4031"/>
      <c r="E46" s="4035"/>
      <c r="F46" s="4039" t="str">
        <f t="shared" si="11"/>
        <v>ECM Auto Fan ER2 - MF</v>
      </c>
      <c r="G46" s="4039"/>
      <c r="H46" s="4039"/>
      <c r="I46" s="512">
        <f t="shared" si="13"/>
        <v>0.16336956521739129</v>
      </c>
      <c r="J46" s="513" t="s">
        <v>284</v>
      </c>
      <c r="K46" s="516"/>
      <c r="L46" s="756"/>
      <c r="M46" s="756"/>
      <c r="N46" s="753"/>
      <c r="O46" s="756"/>
      <c r="P46" s="756"/>
      <c r="Q46" s="756"/>
      <c r="R46" s="756"/>
      <c r="S46" s="106"/>
      <c r="T46" s="106"/>
      <c r="U46" s="106"/>
      <c r="V46" s="4031"/>
      <c r="W46" s="779">
        <v>0.16</v>
      </c>
      <c r="X46" s="779">
        <f t="shared" si="12"/>
        <v>0.16285529117674288</v>
      </c>
      <c r="Y46" s="515">
        <v>0.16336956521739129</v>
      </c>
      <c r="Z46" s="512">
        <v>0.16336956521739129</v>
      </c>
      <c r="AA46" s="512">
        <v>0.16336956521739129</v>
      </c>
      <c r="AB46" s="779">
        <v>0.16336956521739129</v>
      </c>
      <c r="AC46" s="779">
        <v>0.16336956521739129</v>
      </c>
      <c r="AD46" s="411">
        <v>0.16336956521739129</v>
      </c>
      <c r="AE46" s="779"/>
      <c r="AF46" s="779"/>
      <c r="AG46" s="779"/>
      <c r="AH46" s="156"/>
      <c r="AI46" s="156"/>
      <c r="AJ46" s="156"/>
      <c r="AK46" s="156"/>
      <c r="AL46" s="156"/>
      <c r="AM46" s="156"/>
      <c r="AN46" s="156"/>
      <c r="AO46" s="156"/>
      <c r="AP46" s="156"/>
      <c r="AQ46" s="156"/>
      <c r="AR46" s="156"/>
      <c r="AS46" s="156"/>
      <c r="AT46" s="156"/>
      <c r="AU46" s="156"/>
      <c r="AV46" s="156"/>
      <c r="AW46" s="156"/>
      <c r="AX46" s="156"/>
      <c r="AY46" s="156"/>
      <c r="AZ46" s="156"/>
      <c r="BA46" s="156"/>
      <c r="BB46" s="2828"/>
      <c r="BC46" s="2828"/>
      <c r="BD46" s="2828"/>
      <c r="BE46" s="2828"/>
      <c r="BF46" s="156"/>
    </row>
    <row r="47" spans="1:58" hidden="1" outlineLevel="1" x14ac:dyDescent="0.35">
      <c r="A47" s="1071"/>
      <c r="B47" s="1663"/>
      <c r="C47" s="753"/>
      <c r="D47" s="4031"/>
      <c r="E47" s="4035"/>
      <c r="F47" s="4039" t="str">
        <f t="shared" si="11"/>
        <v>ECM Continuous Fan ROF- SF</v>
      </c>
      <c r="G47" s="4039"/>
      <c r="H47" s="4039"/>
      <c r="I47" s="512">
        <f t="shared" si="13"/>
        <v>0.16336956521739129</v>
      </c>
      <c r="J47" s="513" t="s">
        <v>284</v>
      </c>
      <c r="K47" s="516"/>
      <c r="L47" s="756"/>
      <c r="M47" s="756"/>
      <c r="N47" s="753"/>
      <c r="O47" s="756"/>
      <c r="P47" s="756"/>
      <c r="Q47" s="756"/>
      <c r="R47" s="756"/>
      <c r="S47" s="106"/>
      <c r="T47" s="106"/>
      <c r="U47" s="106"/>
      <c r="V47" s="4031"/>
      <c r="W47" s="779">
        <v>0.16</v>
      </c>
      <c r="X47" s="779">
        <f t="shared" si="12"/>
        <v>0.16285529117674288</v>
      </c>
      <c r="Y47" s="515">
        <v>0.16336956521739129</v>
      </c>
      <c r="Z47" s="512">
        <v>0.16336956521739129</v>
      </c>
      <c r="AA47" s="512">
        <v>0.16336956521739129</v>
      </c>
      <c r="AB47" s="779">
        <v>0.16336956521739129</v>
      </c>
      <c r="AC47" s="779">
        <v>0.16336956521739129</v>
      </c>
      <c r="AD47" s="411">
        <v>0.16336956521739129</v>
      </c>
      <c r="AE47" s="779"/>
      <c r="AF47" s="779"/>
      <c r="AG47" s="779"/>
      <c r="AH47" s="156"/>
      <c r="AI47" s="156"/>
      <c r="AJ47" s="156"/>
      <c r="AK47" s="156"/>
      <c r="AL47" s="156"/>
      <c r="AM47" s="156"/>
      <c r="AN47" s="156"/>
      <c r="AO47" s="156"/>
      <c r="AP47" s="156"/>
      <c r="AQ47" s="156"/>
      <c r="AR47" s="156"/>
      <c r="AS47" s="156"/>
      <c r="AT47" s="156"/>
      <c r="AU47" s="156"/>
      <c r="AV47" s="156"/>
      <c r="AW47" s="156"/>
      <c r="AX47" s="156"/>
      <c r="AY47" s="156"/>
      <c r="AZ47" s="156"/>
      <c r="BA47" s="156"/>
      <c r="BB47" s="2828"/>
      <c r="BC47" s="2828"/>
      <c r="BD47" s="2828"/>
      <c r="BE47" s="2828"/>
      <c r="BF47" s="156"/>
    </row>
    <row r="48" spans="1:58" hidden="1" outlineLevel="1" x14ac:dyDescent="0.35">
      <c r="A48" s="1071"/>
      <c r="B48" s="1663"/>
      <c r="C48" s="753"/>
      <c r="D48" s="4031"/>
      <c r="E48" s="4035"/>
      <c r="F48" s="4039" t="str">
        <f t="shared" si="11"/>
        <v>ECM Continuous Fan ROF- MF</v>
      </c>
      <c r="G48" s="4039"/>
      <c r="H48" s="4039"/>
      <c r="I48" s="512">
        <f t="shared" si="13"/>
        <v>0.16336956521739129</v>
      </c>
      <c r="J48" s="513" t="s">
        <v>284</v>
      </c>
      <c r="K48" s="516"/>
      <c r="L48" s="756"/>
      <c r="M48" s="756"/>
      <c r="N48" s="753"/>
      <c r="O48" s="756"/>
      <c r="P48" s="756"/>
      <c r="Q48" s="756"/>
      <c r="R48" s="756"/>
      <c r="S48" s="106"/>
      <c r="T48" s="106"/>
      <c r="U48" s="106"/>
      <c r="V48" s="4031"/>
      <c r="W48" s="779">
        <v>0.16</v>
      </c>
      <c r="X48" s="779">
        <f t="shared" si="12"/>
        <v>0.16285529117674288</v>
      </c>
      <c r="Y48" s="515">
        <v>0.16336956521739129</v>
      </c>
      <c r="Z48" s="512">
        <v>0.16336956521739129</v>
      </c>
      <c r="AA48" s="512">
        <v>0.16336956521739129</v>
      </c>
      <c r="AB48" s="779">
        <v>0.16336956521739129</v>
      </c>
      <c r="AC48" s="779">
        <v>0.16336956521739129</v>
      </c>
      <c r="AD48" s="411">
        <v>0.16336956521739129</v>
      </c>
      <c r="AE48" s="779"/>
      <c r="AF48" s="779"/>
      <c r="AG48" s="779"/>
      <c r="AH48" s="156"/>
      <c r="AI48" s="156"/>
      <c r="AJ48" s="156"/>
      <c r="AK48" s="156"/>
      <c r="AL48" s="156"/>
      <c r="AM48" s="156"/>
      <c r="AN48" s="156"/>
      <c r="AO48" s="156"/>
      <c r="AP48" s="156"/>
      <c r="AQ48" s="156"/>
      <c r="AR48" s="156"/>
      <c r="AS48" s="156"/>
      <c r="AT48" s="156"/>
      <c r="AU48" s="156"/>
      <c r="AV48" s="156"/>
      <c r="AW48" s="156"/>
      <c r="AX48" s="156"/>
      <c r="AY48" s="156"/>
      <c r="AZ48" s="156"/>
      <c r="BA48" s="156"/>
      <c r="BB48" s="2828"/>
      <c r="BC48" s="2828"/>
      <c r="BD48" s="2828"/>
      <c r="BE48" s="2828"/>
      <c r="BF48" s="156"/>
    </row>
    <row r="49" spans="1:58" hidden="1" outlineLevel="1" x14ac:dyDescent="0.35">
      <c r="A49" s="1071"/>
      <c r="B49" s="1663"/>
      <c r="C49" s="753"/>
      <c r="D49" s="4031"/>
      <c r="E49" s="4035"/>
      <c r="F49" s="4039" t="str">
        <f t="shared" si="11"/>
        <v>ECM Continuous Fan ER1 - SF</v>
      </c>
      <c r="G49" s="4039"/>
      <c r="H49" s="4039"/>
      <c r="I49" s="512">
        <f t="shared" si="13"/>
        <v>0.16336956521739129</v>
      </c>
      <c r="J49" s="513" t="s">
        <v>284</v>
      </c>
      <c r="K49" s="516"/>
      <c r="L49" s="756"/>
      <c r="M49" s="756"/>
      <c r="N49" s="753"/>
      <c r="O49" s="756"/>
      <c r="P49" s="756"/>
      <c r="Q49" s="756"/>
      <c r="R49" s="756"/>
      <c r="S49" s="106"/>
      <c r="T49" s="106"/>
      <c r="U49" s="106"/>
      <c r="V49" s="4031"/>
      <c r="W49" s="779">
        <v>0.16</v>
      </c>
      <c r="X49" s="779">
        <f t="shared" si="12"/>
        <v>0.16285529117674288</v>
      </c>
      <c r="Y49" s="515">
        <v>0.16336956521739129</v>
      </c>
      <c r="Z49" s="512">
        <v>0.16336956521739129</v>
      </c>
      <c r="AA49" s="512">
        <v>0.16336956521739129</v>
      </c>
      <c r="AB49" s="779">
        <v>0.16336956521739129</v>
      </c>
      <c r="AC49" s="779">
        <v>0.16336956521739129</v>
      </c>
      <c r="AD49" s="411">
        <v>0.16336956521739129</v>
      </c>
      <c r="AE49" s="779"/>
      <c r="AF49" s="779"/>
      <c r="AG49" s="779"/>
      <c r="AH49" s="156"/>
      <c r="AI49" s="156"/>
      <c r="AJ49" s="156"/>
      <c r="AK49" s="156"/>
      <c r="AL49" s="156"/>
      <c r="AM49" s="156"/>
      <c r="AN49" s="156"/>
      <c r="AO49" s="156"/>
      <c r="AP49" s="156"/>
      <c r="AQ49" s="156"/>
      <c r="AR49" s="156"/>
      <c r="AS49" s="156"/>
      <c r="AT49" s="156"/>
      <c r="AU49" s="156"/>
      <c r="AV49" s="156"/>
      <c r="AW49" s="156"/>
      <c r="AX49" s="156"/>
      <c r="AY49" s="156"/>
      <c r="AZ49" s="156"/>
      <c r="BA49" s="156"/>
      <c r="BB49" s="2828"/>
      <c r="BC49" s="2828"/>
      <c r="BD49" s="2828"/>
      <c r="BE49" s="2828"/>
      <c r="BF49" s="156"/>
    </row>
    <row r="50" spans="1:58" hidden="1" outlineLevel="1" x14ac:dyDescent="0.35">
      <c r="A50" s="1071"/>
      <c r="B50" s="1663"/>
      <c r="C50" s="753"/>
      <c r="D50" s="4031"/>
      <c r="E50" s="4036"/>
      <c r="F50" s="4039" t="str">
        <f t="shared" si="11"/>
        <v>ECM Continuous Fan ER2 - SF</v>
      </c>
      <c r="G50" s="4039"/>
      <c r="H50" s="4039"/>
      <c r="I50" s="512">
        <f t="shared" si="13"/>
        <v>0.16336956521739129</v>
      </c>
      <c r="J50" s="513" t="s">
        <v>284</v>
      </c>
      <c r="K50" s="517"/>
      <c r="L50" s="756"/>
      <c r="M50" s="756"/>
      <c r="N50" s="753"/>
      <c r="O50" s="756"/>
      <c r="P50" s="756"/>
      <c r="Q50" s="756"/>
      <c r="R50" s="756"/>
      <c r="S50" s="106"/>
      <c r="T50" s="106"/>
      <c r="U50" s="106"/>
      <c r="V50" s="4031"/>
      <c r="W50" s="779">
        <v>0.16</v>
      </c>
      <c r="X50" s="779">
        <f t="shared" si="12"/>
        <v>0.16285529117674288</v>
      </c>
      <c r="Y50" s="515">
        <v>0.16336956521739129</v>
      </c>
      <c r="Z50" s="512">
        <v>0.16336956521739129</v>
      </c>
      <c r="AA50" s="512">
        <v>0.16336956521739129</v>
      </c>
      <c r="AB50" s="779">
        <v>0.16336956521739129</v>
      </c>
      <c r="AC50" s="779">
        <v>0.16336956521739129</v>
      </c>
      <c r="AD50" s="411">
        <v>0.16336956521739129</v>
      </c>
      <c r="AE50" s="779"/>
      <c r="AF50" s="779"/>
      <c r="AG50" s="779"/>
      <c r="AH50" s="156"/>
      <c r="AI50" s="156"/>
      <c r="AJ50" s="156"/>
      <c r="AK50" s="156"/>
      <c r="AL50" s="156"/>
      <c r="AM50" s="156"/>
      <c r="AN50" s="156"/>
      <c r="AO50" s="156"/>
      <c r="AP50" s="156"/>
      <c r="AQ50" s="156"/>
      <c r="AR50" s="156"/>
      <c r="AS50" s="156"/>
      <c r="AT50" s="156"/>
      <c r="AU50" s="156"/>
      <c r="AV50" s="156"/>
      <c r="AW50" s="156"/>
      <c r="AX50" s="156"/>
      <c r="AY50" s="156"/>
      <c r="AZ50" s="156"/>
      <c r="BA50" s="156"/>
      <c r="BB50" s="2828"/>
      <c r="BC50" s="2828"/>
      <c r="BD50" s="2828"/>
      <c r="BE50" s="2828"/>
      <c r="BF50" s="156"/>
    </row>
    <row r="51" spans="1:58" hidden="1" outlineLevel="1" x14ac:dyDescent="0.35">
      <c r="A51" s="1071"/>
      <c r="B51" s="1663"/>
      <c r="C51" s="753"/>
      <c r="D51" s="4031"/>
      <c r="E51" s="4036"/>
      <c r="F51" s="4039" t="str">
        <f t="shared" si="11"/>
        <v>ECM Continuous Fan ER1 - MF</v>
      </c>
      <c r="G51" s="4039"/>
      <c r="H51" s="4039"/>
      <c r="I51" s="512">
        <f t="shared" si="13"/>
        <v>0.16336956521739129</v>
      </c>
      <c r="J51" s="513" t="s">
        <v>284</v>
      </c>
      <c r="K51" s="517"/>
      <c r="L51" s="756"/>
      <c r="M51" s="756"/>
      <c r="N51" s="753"/>
      <c r="O51" s="756"/>
      <c r="P51" s="756"/>
      <c r="Q51" s="756"/>
      <c r="R51" s="756"/>
      <c r="S51" s="106"/>
      <c r="T51" s="106"/>
      <c r="U51" s="106"/>
      <c r="V51" s="4031"/>
      <c r="W51" s="779">
        <v>0.16</v>
      </c>
      <c r="X51" s="779">
        <f t="shared" si="12"/>
        <v>0.16285529117674288</v>
      </c>
      <c r="Y51" s="515">
        <v>0.16336956521739129</v>
      </c>
      <c r="Z51" s="512">
        <v>0.16336956521739129</v>
      </c>
      <c r="AA51" s="512">
        <v>0.16336956521739129</v>
      </c>
      <c r="AB51" s="779">
        <v>0.16336956521739129</v>
      </c>
      <c r="AC51" s="779">
        <v>0.16336956521739129</v>
      </c>
      <c r="AD51" s="411">
        <v>0.16336956521739129</v>
      </c>
      <c r="AE51" s="779"/>
      <c r="AF51" s="779"/>
      <c r="AG51" s="779"/>
      <c r="AH51" s="156"/>
      <c r="AI51" s="156"/>
      <c r="AJ51" s="156"/>
      <c r="AK51" s="156"/>
      <c r="AL51" s="156"/>
      <c r="AM51" s="156"/>
      <c r="AN51" s="156"/>
      <c r="AO51" s="156"/>
      <c r="AP51" s="156"/>
      <c r="AQ51" s="156"/>
      <c r="AR51" s="156"/>
      <c r="AS51" s="156"/>
      <c r="AT51" s="156"/>
      <c r="AU51" s="156"/>
      <c r="AV51" s="156"/>
      <c r="AW51" s="156"/>
      <c r="AX51" s="156"/>
      <c r="AY51" s="156"/>
      <c r="AZ51" s="156"/>
      <c r="BA51" s="156"/>
      <c r="BB51" s="2828"/>
      <c r="BC51" s="2828"/>
      <c r="BD51" s="2828"/>
      <c r="BE51" s="2828"/>
      <c r="BF51" s="156"/>
    </row>
    <row r="52" spans="1:58" ht="15" hidden="1" outlineLevel="1" thickBot="1" x14ac:dyDescent="0.4">
      <c r="A52" s="1071"/>
      <c r="B52" s="1663"/>
      <c r="C52" s="753"/>
      <c r="D52" s="4032"/>
      <c r="E52" s="4037"/>
      <c r="F52" s="4042" t="str">
        <f t="shared" si="11"/>
        <v>ECM Continuous Fan ER2 - MF</v>
      </c>
      <c r="G52" s="4042"/>
      <c r="H52" s="4042"/>
      <c r="I52" s="512">
        <f t="shared" si="13"/>
        <v>0.16336956521739129</v>
      </c>
      <c r="J52" s="518" t="s">
        <v>284</v>
      </c>
      <c r="K52" s="519"/>
      <c r="L52" s="756"/>
      <c r="M52" s="756"/>
      <c r="N52" s="753"/>
      <c r="O52" s="756"/>
      <c r="P52" s="756"/>
      <c r="Q52" s="756"/>
      <c r="R52" s="756"/>
      <c r="S52" s="106"/>
      <c r="T52" s="106"/>
      <c r="U52" s="106"/>
      <c r="V52" s="4032"/>
      <c r="W52" s="2839">
        <v>0.16</v>
      </c>
      <c r="X52" s="2839">
        <f t="shared" si="12"/>
        <v>0.16285529117674288</v>
      </c>
      <c r="Y52" s="520">
        <v>0.16336956521739129</v>
      </c>
      <c r="Z52" s="1458">
        <v>0.16336956521739129</v>
      </c>
      <c r="AA52" s="1458">
        <v>0.16336956521739129</v>
      </c>
      <c r="AB52" s="2839">
        <v>0.16336956521739129</v>
      </c>
      <c r="AC52" s="2839">
        <v>0.16336956521739129</v>
      </c>
      <c r="AD52" s="2770">
        <v>0.16336956521739129</v>
      </c>
      <c r="AE52" s="2839"/>
      <c r="AF52" s="2839"/>
      <c r="AG52" s="2839"/>
      <c r="AH52" s="156"/>
      <c r="AI52" s="156"/>
      <c r="AJ52" s="156"/>
      <c r="AK52" s="156"/>
      <c r="AL52" s="156"/>
      <c r="AM52" s="156"/>
      <c r="AN52" s="156"/>
      <c r="AO52" s="156"/>
      <c r="AP52" s="156"/>
      <c r="AQ52" s="156"/>
      <c r="AR52" s="156"/>
      <c r="AS52" s="156"/>
      <c r="AT52" s="156"/>
      <c r="AU52" s="156"/>
      <c r="AV52" s="156"/>
      <c r="AW52" s="156"/>
      <c r="AX52" s="156"/>
      <c r="AY52" s="156"/>
      <c r="AZ52" s="156"/>
      <c r="BA52" s="156"/>
      <c r="BB52" s="2828"/>
      <c r="BC52" s="2828"/>
      <c r="BD52" s="2828"/>
      <c r="BE52" s="2828"/>
      <c r="BF52" s="156"/>
    </row>
    <row r="53" spans="1:58" ht="15" hidden="1" outlineLevel="1" thickBot="1" x14ac:dyDescent="0.4">
      <c r="A53" s="1071"/>
      <c r="B53" s="1663"/>
      <c r="C53" s="753"/>
      <c r="D53" s="1256" t="s">
        <v>803</v>
      </c>
      <c r="E53" s="2389" t="s">
        <v>804</v>
      </c>
      <c r="F53" s="4028" t="s">
        <v>134</v>
      </c>
      <c r="G53" s="4028"/>
      <c r="H53" s="4028"/>
      <c r="I53" s="1257">
        <v>400</v>
      </c>
      <c r="J53" s="544" t="s">
        <v>805</v>
      </c>
      <c r="K53" s="521"/>
      <c r="L53" s="756"/>
      <c r="M53" s="756"/>
      <c r="N53" s="753"/>
      <c r="O53" s="756"/>
      <c r="P53" s="756"/>
      <c r="Q53" s="756"/>
      <c r="R53" s="756"/>
      <c r="S53" s="106"/>
      <c r="T53" s="106"/>
      <c r="U53" s="106"/>
      <c r="V53" s="1256" t="s">
        <v>803</v>
      </c>
      <c r="W53" s="522"/>
      <c r="X53" s="522"/>
      <c r="Y53" s="523">
        <v>400</v>
      </c>
      <c r="Z53" s="523">
        <v>400</v>
      </c>
      <c r="AA53" s="523">
        <v>400</v>
      </c>
      <c r="AB53" s="2840">
        <v>400</v>
      </c>
      <c r="AC53" s="2840">
        <v>400</v>
      </c>
      <c r="AD53" s="2771">
        <v>400</v>
      </c>
      <c r="AE53" s="2841"/>
      <c r="AF53" s="2841"/>
      <c r="AG53" s="2841"/>
      <c r="AH53" s="156"/>
      <c r="AI53" s="156"/>
      <c r="AJ53" s="156"/>
      <c r="AK53" s="156"/>
      <c r="AL53" s="156"/>
      <c r="AM53" s="156"/>
      <c r="AN53" s="156"/>
      <c r="AO53" s="156"/>
      <c r="AP53" s="156"/>
      <c r="AQ53" s="156"/>
      <c r="AR53" s="156"/>
      <c r="AS53" s="156"/>
      <c r="AT53" s="156"/>
      <c r="AU53" s="156"/>
      <c r="AV53" s="156"/>
      <c r="AW53" s="156"/>
      <c r="AX53" s="156"/>
      <c r="AY53" s="156"/>
      <c r="AZ53" s="156"/>
      <c r="BA53" s="156"/>
      <c r="BB53" s="2828"/>
      <c r="BC53" s="2828"/>
      <c r="BD53" s="2828"/>
      <c r="BE53" s="2828"/>
      <c r="BF53" s="156"/>
    </row>
    <row r="54" spans="1:58" ht="16.5" hidden="1" outlineLevel="1" x14ac:dyDescent="0.35">
      <c r="A54" s="1071"/>
      <c r="B54" s="1663"/>
      <c r="C54" s="753"/>
      <c r="D54" s="524" t="s">
        <v>806</v>
      </c>
      <c r="E54" s="2389" t="s">
        <v>807</v>
      </c>
      <c r="F54" s="4028" t="s">
        <v>134</v>
      </c>
      <c r="G54" s="4028"/>
      <c r="H54" s="4028"/>
      <c r="I54" s="1258">
        <v>2009</v>
      </c>
      <c r="J54" s="508" t="s">
        <v>284</v>
      </c>
      <c r="K54" s="509"/>
      <c r="L54" s="756"/>
      <c r="M54" s="756"/>
      <c r="N54" s="753"/>
      <c r="O54" s="756"/>
      <c r="P54" s="756"/>
      <c r="Q54" s="756"/>
      <c r="R54" s="756"/>
      <c r="S54" s="106"/>
      <c r="T54" s="106"/>
      <c r="U54" s="106"/>
      <c r="V54" s="524" t="s">
        <v>806</v>
      </c>
      <c r="W54" s="2842">
        <v>2009</v>
      </c>
      <c r="X54" s="2842">
        <v>2009</v>
      </c>
      <c r="Y54" s="525">
        <v>2009</v>
      </c>
      <c r="Z54" s="1258">
        <v>2009</v>
      </c>
      <c r="AA54" s="1258">
        <v>2009</v>
      </c>
      <c r="AB54" s="2842">
        <v>2009</v>
      </c>
      <c r="AC54" s="2842">
        <v>2009</v>
      </c>
      <c r="AD54" s="2772">
        <v>2009</v>
      </c>
      <c r="AE54" s="2842"/>
      <c r="AF54" s="2842"/>
      <c r="AG54" s="2842"/>
      <c r="AH54" s="156"/>
      <c r="AI54" s="156"/>
      <c r="AJ54" s="156"/>
      <c r="AK54" s="156"/>
      <c r="AL54" s="156"/>
      <c r="AM54" s="156"/>
      <c r="AN54" s="156"/>
      <c r="AO54" s="156"/>
      <c r="AP54" s="156"/>
      <c r="AQ54" s="156"/>
      <c r="AR54" s="156"/>
      <c r="AS54" s="156"/>
      <c r="AT54" s="156"/>
      <c r="AU54" s="156"/>
      <c r="AV54" s="156"/>
      <c r="AW54" s="156"/>
      <c r="AX54" s="156"/>
      <c r="AY54" s="156"/>
      <c r="AZ54" s="156"/>
      <c r="BA54" s="156"/>
      <c r="BB54" s="2828"/>
      <c r="BC54" s="2828"/>
      <c r="BD54" s="2828"/>
      <c r="BE54" s="2828"/>
      <c r="BF54" s="156"/>
    </row>
    <row r="55" spans="1:58" ht="17" hidden="1" outlineLevel="1" thickBot="1" x14ac:dyDescent="0.4">
      <c r="A55" s="1071"/>
      <c r="B55" s="1663"/>
      <c r="C55" s="753"/>
      <c r="D55" s="526" t="s">
        <v>808</v>
      </c>
      <c r="E55" s="2391" t="s">
        <v>809</v>
      </c>
      <c r="F55" s="4029" t="s">
        <v>134</v>
      </c>
      <c r="G55" s="4029"/>
      <c r="H55" s="4029"/>
      <c r="I55" s="1259">
        <v>2545.25</v>
      </c>
      <c r="J55" s="544" t="s">
        <v>810</v>
      </c>
      <c r="K55" s="519"/>
      <c r="L55" s="756"/>
      <c r="M55" s="756"/>
      <c r="N55" s="753"/>
      <c r="O55" s="756"/>
      <c r="P55" s="756"/>
      <c r="Q55" s="756"/>
      <c r="R55" s="756"/>
      <c r="S55" s="106"/>
      <c r="T55" s="106"/>
      <c r="U55" s="106"/>
      <c r="V55" s="526" t="s">
        <v>808</v>
      </c>
      <c r="W55" s="2843">
        <v>2545.25</v>
      </c>
      <c r="X55" s="2843">
        <v>2545.25</v>
      </c>
      <c r="Y55" s="527">
        <v>2545.25</v>
      </c>
      <c r="Z55" s="1259">
        <v>2545.25</v>
      </c>
      <c r="AA55" s="1259">
        <v>2545.25</v>
      </c>
      <c r="AB55" s="2843">
        <v>2545.25</v>
      </c>
      <c r="AC55" s="2843">
        <v>2545.25</v>
      </c>
      <c r="AD55" s="2773">
        <v>2545.25</v>
      </c>
      <c r="AE55" s="2843"/>
      <c r="AF55" s="2843"/>
      <c r="AG55" s="2843"/>
      <c r="AH55" s="156"/>
      <c r="AI55" s="156"/>
      <c r="AJ55" s="156"/>
      <c r="AK55" s="156"/>
      <c r="AL55" s="156"/>
      <c r="AM55" s="156"/>
      <c r="AN55" s="156"/>
      <c r="AO55" s="156"/>
      <c r="AP55" s="156"/>
      <c r="AQ55" s="156"/>
      <c r="AR55" s="156"/>
      <c r="AS55" s="156"/>
      <c r="AT55" s="156"/>
      <c r="AU55" s="156"/>
      <c r="AV55" s="156"/>
      <c r="AW55" s="156"/>
      <c r="AX55" s="156"/>
      <c r="AY55" s="156"/>
      <c r="AZ55" s="156"/>
      <c r="BA55" s="156"/>
      <c r="BB55" s="2828"/>
      <c r="BC55" s="2828"/>
      <c r="BD55" s="2828"/>
      <c r="BE55" s="2828"/>
      <c r="BF55" s="156"/>
    </row>
    <row r="56" spans="1:58" ht="15" hidden="1" customHeight="1" outlineLevel="1" x14ac:dyDescent="0.35">
      <c r="A56" s="1071"/>
      <c r="B56" s="1663"/>
      <c r="C56" s="753"/>
      <c r="D56" s="4030" t="s">
        <v>811</v>
      </c>
      <c r="E56" s="4033" t="s">
        <v>812</v>
      </c>
      <c r="F56" s="4038" t="str">
        <f t="shared" ref="F56:F67" si="14">E7</f>
        <v>ECM Auto Fan ROF-SF</v>
      </c>
      <c r="G56" s="4038"/>
      <c r="H56" s="4038"/>
      <c r="I56" s="507">
        <v>0.80141304347826092</v>
      </c>
      <c r="J56" s="508" t="s">
        <v>284</v>
      </c>
      <c r="K56" s="509"/>
      <c r="L56" s="756"/>
      <c r="M56" s="756"/>
      <c r="N56" s="753"/>
      <c r="O56" s="756"/>
      <c r="P56" s="756"/>
      <c r="Q56" s="756"/>
      <c r="R56" s="756"/>
      <c r="S56" s="106"/>
      <c r="T56" s="106"/>
      <c r="U56" s="106"/>
      <c r="V56" s="4030" t="s">
        <v>811</v>
      </c>
      <c r="W56" s="2838">
        <v>0.97</v>
      </c>
      <c r="X56" s="2838">
        <f>8493/10801</f>
        <v>0.78631608184427371</v>
      </c>
      <c r="Y56" s="511">
        <v>0.80141304347826092</v>
      </c>
      <c r="Z56" s="507">
        <v>0.80141304347826092</v>
      </c>
      <c r="AA56" s="507">
        <v>0.80141304347826092</v>
      </c>
      <c r="AB56" s="2838">
        <v>0.80141304347826092</v>
      </c>
      <c r="AC56" s="2838">
        <v>0.80141304347826092</v>
      </c>
      <c r="AD56" s="2136">
        <v>0.80141304347826092</v>
      </c>
      <c r="AE56" s="2838"/>
      <c r="AF56" s="2838"/>
      <c r="AG56" s="2838"/>
      <c r="AH56" s="156"/>
      <c r="AI56" s="156"/>
      <c r="AJ56" s="156"/>
      <c r="AK56" s="156"/>
      <c r="AL56" s="156"/>
      <c r="AM56" s="156"/>
      <c r="AN56" s="156"/>
      <c r="AO56" s="156"/>
      <c r="AP56" s="156"/>
      <c r="AQ56" s="156"/>
      <c r="AR56" s="156"/>
      <c r="AS56" s="156"/>
      <c r="AT56" s="156"/>
      <c r="AU56" s="156"/>
      <c r="AV56" s="156"/>
      <c r="AW56" s="156"/>
      <c r="AX56" s="156"/>
      <c r="AY56" s="156"/>
      <c r="AZ56" s="156"/>
      <c r="BA56" s="156"/>
      <c r="BB56" s="2828"/>
      <c r="BC56" s="2828"/>
      <c r="BD56" s="2828"/>
      <c r="BE56" s="2828"/>
      <c r="BF56" s="156"/>
    </row>
    <row r="57" spans="1:58" hidden="1" outlineLevel="1" x14ac:dyDescent="0.35">
      <c r="A57" s="1071"/>
      <c r="B57" s="1663"/>
      <c r="C57" s="753"/>
      <c r="D57" s="4031"/>
      <c r="E57" s="4034"/>
      <c r="F57" s="4039" t="str">
        <f t="shared" si="14"/>
        <v>ECM Auto Fan ROF-MF</v>
      </c>
      <c r="G57" s="4039"/>
      <c r="H57" s="4039"/>
      <c r="I57" s="512">
        <f>I56</f>
        <v>0.80141304347826092</v>
      </c>
      <c r="J57" s="513" t="s">
        <v>284</v>
      </c>
      <c r="K57" s="514"/>
      <c r="L57" s="756"/>
      <c r="M57" s="756"/>
      <c r="N57" s="753"/>
      <c r="O57" s="756"/>
      <c r="P57" s="756"/>
      <c r="Q57" s="756"/>
      <c r="R57" s="756"/>
      <c r="S57" s="106"/>
      <c r="T57" s="106"/>
      <c r="U57" s="106"/>
      <c r="V57" s="4031"/>
      <c r="W57" s="779">
        <v>0.97</v>
      </c>
      <c r="X57" s="779">
        <f t="shared" ref="X57:X67" si="15">8493/10801</f>
        <v>0.78631608184427371</v>
      </c>
      <c r="Y57" s="515">
        <v>0.80141304347826092</v>
      </c>
      <c r="Z57" s="512">
        <v>0.80141304347826092</v>
      </c>
      <c r="AA57" s="512">
        <v>0.80141304347826092</v>
      </c>
      <c r="AB57" s="779">
        <v>0.80141304347826092</v>
      </c>
      <c r="AC57" s="779">
        <v>0.80141304347826092</v>
      </c>
      <c r="AD57" s="411">
        <v>0.80141304347826092</v>
      </c>
      <c r="AE57" s="779"/>
      <c r="AF57" s="779"/>
      <c r="AG57" s="779"/>
      <c r="AH57" s="156"/>
      <c r="AI57" s="156"/>
      <c r="AJ57" s="156"/>
      <c r="AK57" s="156"/>
      <c r="AL57" s="156"/>
      <c r="AM57" s="156"/>
      <c r="AN57" s="156"/>
      <c r="AO57" s="156"/>
      <c r="AP57" s="156"/>
      <c r="AQ57" s="156"/>
      <c r="AR57" s="156"/>
      <c r="AS57" s="156"/>
      <c r="AT57" s="156"/>
      <c r="AU57" s="156"/>
      <c r="AV57" s="156"/>
      <c r="AW57" s="156"/>
      <c r="AX57" s="156"/>
      <c r="AY57" s="156"/>
      <c r="AZ57" s="156"/>
      <c r="BA57" s="156"/>
      <c r="BB57" s="2828"/>
      <c r="BC57" s="2828"/>
      <c r="BD57" s="2828"/>
      <c r="BE57" s="2828"/>
      <c r="BF57" s="156"/>
    </row>
    <row r="58" spans="1:58" hidden="1" outlineLevel="1" x14ac:dyDescent="0.35">
      <c r="A58" s="1071"/>
      <c r="B58" s="1663"/>
      <c r="C58" s="753"/>
      <c r="D58" s="4031"/>
      <c r="E58" s="4035"/>
      <c r="F58" s="4039" t="str">
        <f t="shared" si="14"/>
        <v>ECM Auto Fan ER1 - SF</v>
      </c>
      <c r="G58" s="4039"/>
      <c r="H58" s="4039"/>
      <c r="I58" s="512">
        <f t="shared" ref="I58:I67" si="16">I57</f>
        <v>0.80141304347826092</v>
      </c>
      <c r="J58" s="513" t="s">
        <v>284</v>
      </c>
      <c r="K58" s="516"/>
      <c r="L58" s="756"/>
      <c r="M58" s="756"/>
      <c r="N58" s="753"/>
      <c r="O58" s="756"/>
      <c r="P58" s="756"/>
      <c r="Q58" s="756"/>
      <c r="R58" s="756"/>
      <c r="S58" s="106"/>
      <c r="T58" s="106"/>
      <c r="U58" s="106"/>
      <c r="V58" s="4031"/>
      <c r="W58" s="779">
        <v>0.97</v>
      </c>
      <c r="X58" s="779">
        <f t="shared" si="15"/>
        <v>0.78631608184427371</v>
      </c>
      <c r="Y58" s="515">
        <v>0.80141304347826092</v>
      </c>
      <c r="Z58" s="512">
        <v>0.80141304347826092</v>
      </c>
      <c r="AA58" s="512">
        <v>0.80141304347826092</v>
      </c>
      <c r="AB58" s="779">
        <v>0.80141304347826092</v>
      </c>
      <c r="AC58" s="779">
        <v>0.80141304347826092</v>
      </c>
      <c r="AD58" s="411">
        <v>0.80141304347826092</v>
      </c>
      <c r="AE58" s="779"/>
      <c r="AF58" s="779"/>
      <c r="AG58" s="779"/>
      <c r="AH58" s="156"/>
      <c r="AI58" s="156"/>
      <c r="AJ58" s="156"/>
      <c r="AK58" s="156"/>
      <c r="AL58" s="156"/>
      <c r="AM58" s="156"/>
      <c r="AN58" s="156"/>
      <c r="AO58" s="156"/>
      <c r="AP58" s="156"/>
      <c r="AQ58" s="156"/>
      <c r="AR58" s="156"/>
      <c r="AS58" s="156"/>
      <c r="AT58" s="156"/>
      <c r="AU58" s="156"/>
      <c r="AV58" s="156"/>
      <c r="AW58" s="156"/>
      <c r="AX58" s="156"/>
      <c r="AY58" s="156"/>
      <c r="AZ58" s="156"/>
      <c r="BA58" s="156"/>
      <c r="BB58" s="2828"/>
      <c r="BC58" s="2828"/>
      <c r="BD58" s="2828"/>
      <c r="BE58" s="2828"/>
      <c r="BF58" s="156"/>
    </row>
    <row r="59" spans="1:58" ht="15" hidden="1" customHeight="1" outlineLevel="1" x14ac:dyDescent="0.35">
      <c r="A59" s="1071"/>
      <c r="B59" s="1663"/>
      <c r="C59" s="753"/>
      <c r="D59" s="4031"/>
      <c r="E59" s="4035"/>
      <c r="F59" s="4039" t="str">
        <f t="shared" si="14"/>
        <v>ECM Auto Fan ER2 - SF</v>
      </c>
      <c r="G59" s="4039"/>
      <c r="H59" s="4039"/>
      <c r="I59" s="512">
        <f t="shared" si="16"/>
        <v>0.80141304347826092</v>
      </c>
      <c r="J59" s="513" t="s">
        <v>284</v>
      </c>
      <c r="K59" s="516"/>
      <c r="L59" s="800"/>
      <c r="M59" s="756"/>
      <c r="N59" s="753"/>
      <c r="O59" s="756"/>
      <c r="P59" s="756"/>
      <c r="Q59" s="756"/>
      <c r="R59" s="756"/>
      <c r="S59" s="106"/>
      <c r="T59" s="106"/>
      <c r="U59" s="106"/>
      <c r="V59" s="4031"/>
      <c r="W59" s="779">
        <v>0.97</v>
      </c>
      <c r="X59" s="779">
        <f t="shared" si="15"/>
        <v>0.78631608184427371</v>
      </c>
      <c r="Y59" s="515">
        <v>0.80141304347826092</v>
      </c>
      <c r="Z59" s="512">
        <v>0.80141304347826092</v>
      </c>
      <c r="AA59" s="512">
        <v>0.80141304347826092</v>
      </c>
      <c r="AB59" s="779">
        <v>0.80141304347826092</v>
      </c>
      <c r="AC59" s="779">
        <v>0.80141304347826092</v>
      </c>
      <c r="AD59" s="411">
        <v>0.80141304347826092</v>
      </c>
      <c r="AE59" s="779"/>
      <c r="AF59" s="779"/>
      <c r="AG59" s="779"/>
      <c r="AH59" s="156"/>
      <c r="AI59" s="156"/>
      <c r="AJ59" s="156"/>
      <c r="AK59" s="156"/>
      <c r="AL59" s="156"/>
      <c r="AM59" s="156"/>
      <c r="AN59" s="156"/>
      <c r="AO59" s="156"/>
      <c r="AP59" s="156"/>
      <c r="AQ59" s="156"/>
      <c r="AR59" s="156"/>
      <c r="AS59" s="156"/>
      <c r="AT59" s="156"/>
      <c r="AU59" s="156"/>
      <c r="AV59" s="156"/>
      <c r="AW59" s="156"/>
      <c r="AX59" s="156"/>
      <c r="AY59" s="156"/>
      <c r="AZ59" s="156"/>
      <c r="BA59" s="156"/>
      <c r="BB59" s="2828"/>
      <c r="BC59" s="2828"/>
      <c r="BD59" s="2828"/>
      <c r="BE59" s="2828"/>
      <c r="BF59" s="156"/>
    </row>
    <row r="60" spans="1:58" hidden="1" outlineLevel="1" x14ac:dyDescent="0.35">
      <c r="A60" s="1071"/>
      <c r="B60" s="1663"/>
      <c r="C60" s="753"/>
      <c r="D60" s="4031"/>
      <c r="E60" s="4035"/>
      <c r="F60" s="4039" t="str">
        <f t="shared" si="14"/>
        <v>ECM Auto Fan ER1 - MF</v>
      </c>
      <c r="G60" s="4039"/>
      <c r="H60" s="4039"/>
      <c r="I60" s="512">
        <f t="shared" si="16"/>
        <v>0.80141304347826092</v>
      </c>
      <c r="J60" s="513" t="s">
        <v>284</v>
      </c>
      <c r="K60" s="516"/>
      <c r="L60" s="800"/>
      <c r="M60" s="756"/>
      <c r="N60" s="753"/>
      <c r="O60" s="756"/>
      <c r="P60" s="756"/>
      <c r="Q60" s="756"/>
      <c r="R60" s="756"/>
      <c r="S60" s="106"/>
      <c r="T60" s="106"/>
      <c r="U60" s="106"/>
      <c r="V60" s="4031"/>
      <c r="W60" s="779">
        <v>0.97</v>
      </c>
      <c r="X60" s="779">
        <f t="shared" si="15"/>
        <v>0.78631608184427371</v>
      </c>
      <c r="Y60" s="515">
        <v>0.80141304347826092</v>
      </c>
      <c r="Z60" s="512">
        <v>0.80141304347826092</v>
      </c>
      <c r="AA60" s="512">
        <v>0.80141304347826092</v>
      </c>
      <c r="AB60" s="779">
        <v>0.80141304347826092</v>
      </c>
      <c r="AC60" s="779">
        <v>0.80141304347826092</v>
      </c>
      <c r="AD60" s="411">
        <v>0.80141304347826092</v>
      </c>
      <c r="AE60" s="779"/>
      <c r="AF60" s="779"/>
      <c r="AG60" s="779"/>
      <c r="AH60" s="156"/>
      <c r="AI60" s="156"/>
      <c r="AJ60" s="156"/>
      <c r="AK60" s="156"/>
      <c r="AL60" s="156"/>
      <c r="AM60" s="156"/>
      <c r="AN60" s="156"/>
      <c r="AO60" s="156"/>
      <c r="AP60" s="156"/>
      <c r="AQ60" s="156"/>
      <c r="AR60" s="156"/>
      <c r="AS60" s="156"/>
      <c r="AT60" s="156"/>
      <c r="AU60" s="156"/>
      <c r="AV60" s="156"/>
      <c r="AW60" s="156"/>
      <c r="AX60" s="156"/>
      <c r="AY60" s="156"/>
      <c r="AZ60" s="156"/>
      <c r="BA60" s="156"/>
      <c r="BB60" s="2828"/>
      <c r="BC60" s="2828"/>
      <c r="BD60" s="2828"/>
      <c r="BE60" s="2828"/>
      <c r="BF60" s="156"/>
    </row>
    <row r="61" spans="1:58" hidden="1" outlineLevel="1" x14ac:dyDescent="0.35">
      <c r="A61" s="1071"/>
      <c r="B61" s="1663"/>
      <c r="C61" s="753"/>
      <c r="D61" s="4031"/>
      <c r="E61" s="4035"/>
      <c r="F61" s="4039" t="str">
        <f t="shared" si="14"/>
        <v>ECM Auto Fan ER2 - MF</v>
      </c>
      <c r="G61" s="4039"/>
      <c r="H61" s="4039"/>
      <c r="I61" s="512">
        <f t="shared" si="16"/>
        <v>0.80141304347826092</v>
      </c>
      <c r="J61" s="513" t="s">
        <v>284</v>
      </c>
      <c r="K61" s="516"/>
      <c r="L61" s="800"/>
      <c r="M61" s="756"/>
      <c r="N61" s="753"/>
      <c r="O61" s="756"/>
      <c r="P61" s="756"/>
      <c r="Q61" s="756"/>
      <c r="R61" s="753"/>
      <c r="S61" s="106"/>
      <c r="T61" s="106"/>
      <c r="U61" s="106"/>
      <c r="V61" s="4031"/>
      <c r="W61" s="779">
        <v>0.97</v>
      </c>
      <c r="X61" s="779">
        <f t="shared" si="15"/>
        <v>0.78631608184427371</v>
      </c>
      <c r="Y61" s="515">
        <v>0.80141304347826092</v>
      </c>
      <c r="Z61" s="512">
        <v>0.80141304347826092</v>
      </c>
      <c r="AA61" s="512">
        <v>0.80141304347826092</v>
      </c>
      <c r="AB61" s="779">
        <v>0.80141304347826092</v>
      </c>
      <c r="AC61" s="779">
        <v>0.80141304347826092</v>
      </c>
      <c r="AD61" s="411">
        <v>0.80141304347826092</v>
      </c>
      <c r="AE61" s="779"/>
      <c r="AF61" s="779"/>
      <c r="AG61" s="779"/>
      <c r="AH61" s="156"/>
      <c r="AI61" s="156"/>
      <c r="AJ61" s="156"/>
      <c r="AK61" s="156"/>
      <c r="AL61" s="156"/>
      <c r="AM61" s="156"/>
      <c r="AN61" s="156"/>
      <c r="AO61" s="156"/>
      <c r="AP61" s="156"/>
      <c r="AQ61" s="156"/>
      <c r="AR61" s="156"/>
      <c r="AS61" s="156"/>
      <c r="AT61" s="156"/>
      <c r="AU61" s="156"/>
      <c r="AV61" s="156"/>
      <c r="AW61" s="156"/>
      <c r="AX61" s="156"/>
      <c r="AY61" s="156"/>
      <c r="AZ61" s="156"/>
      <c r="BA61" s="156"/>
      <c r="BB61" s="2828"/>
      <c r="BC61" s="2828"/>
      <c r="BD61" s="2828"/>
      <c r="BE61" s="2828"/>
      <c r="BF61" s="156"/>
    </row>
    <row r="62" spans="1:58" hidden="1" outlineLevel="1" x14ac:dyDescent="0.35">
      <c r="A62" s="1071"/>
      <c r="B62" s="1663"/>
      <c r="C62" s="753"/>
      <c r="D62" s="4031"/>
      <c r="E62" s="4035"/>
      <c r="F62" s="4039" t="str">
        <f t="shared" si="14"/>
        <v>ECM Continuous Fan ROF- SF</v>
      </c>
      <c r="G62" s="4039"/>
      <c r="H62" s="4039"/>
      <c r="I62" s="512">
        <f t="shared" si="16"/>
        <v>0.80141304347826092</v>
      </c>
      <c r="J62" s="513" t="s">
        <v>284</v>
      </c>
      <c r="K62" s="516"/>
      <c r="L62" s="800"/>
      <c r="M62" s="756"/>
      <c r="N62" s="753"/>
      <c r="O62" s="756"/>
      <c r="P62" s="756"/>
      <c r="Q62" s="756"/>
      <c r="R62" s="753"/>
      <c r="S62" s="106"/>
      <c r="T62" s="106"/>
      <c r="U62" s="106"/>
      <c r="V62" s="4031"/>
      <c r="W62" s="779">
        <v>0.97</v>
      </c>
      <c r="X62" s="779">
        <f t="shared" si="15"/>
        <v>0.78631608184427371</v>
      </c>
      <c r="Y62" s="515">
        <v>0.80141304347826092</v>
      </c>
      <c r="Z62" s="512">
        <v>0.80141304347826092</v>
      </c>
      <c r="AA62" s="512">
        <v>0.80141304347826092</v>
      </c>
      <c r="AB62" s="779">
        <v>0.80141304347826092</v>
      </c>
      <c r="AC62" s="779">
        <v>0.80141304347826092</v>
      </c>
      <c r="AD62" s="411">
        <v>0.80141304347826092</v>
      </c>
      <c r="AE62" s="779"/>
      <c r="AF62" s="779"/>
      <c r="AG62" s="779"/>
      <c r="AH62" s="156"/>
      <c r="AI62" s="156"/>
      <c r="AJ62" s="156"/>
      <c r="AK62" s="156"/>
      <c r="AL62" s="156"/>
      <c r="AM62" s="156"/>
      <c r="AN62" s="156"/>
      <c r="AO62" s="156"/>
      <c r="AP62" s="156"/>
      <c r="AQ62" s="156"/>
      <c r="AR62" s="156"/>
      <c r="AS62" s="156"/>
      <c r="AT62" s="156"/>
      <c r="AU62" s="156"/>
      <c r="AV62" s="156"/>
      <c r="AW62" s="156"/>
      <c r="AX62" s="156"/>
      <c r="AY62" s="156"/>
      <c r="AZ62" s="156"/>
      <c r="BA62" s="156"/>
      <c r="BB62" s="2828"/>
      <c r="BC62" s="2828"/>
      <c r="BD62" s="2828"/>
      <c r="BE62" s="2828"/>
      <c r="BF62" s="156"/>
    </row>
    <row r="63" spans="1:58" hidden="1" outlineLevel="1" x14ac:dyDescent="0.35">
      <c r="A63" s="1071"/>
      <c r="B63" s="1663"/>
      <c r="C63" s="753"/>
      <c r="D63" s="4031"/>
      <c r="E63" s="4035"/>
      <c r="F63" s="4039" t="str">
        <f t="shared" si="14"/>
        <v>ECM Continuous Fan ROF- MF</v>
      </c>
      <c r="G63" s="4039"/>
      <c r="H63" s="4039"/>
      <c r="I63" s="512">
        <f t="shared" si="16"/>
        <v>0.80141304347826092</v>
      </c>
      <c r="J63" s="513" t="s">
        <v>284</v>
      </c>
      <c r="K63" s="516"/>
      <c r="L63" s="800"/>
      <c r="M63" s="756"/>
      <c r="N63" s="753"/>
      <c r="O63" s="756"/>
      <c r="P63" s="756"/>
      <c r="Q63" s="756"/>
      <c r="R63" s="756"/>
      <c r="S63" s="106"/>
      <c r="T63" s="106"/>
      <c r="U63" s="106"/>
      <c r="V63" s="4031"/>
      <c r="W63" s="779">
        <v>0.97</v>
      </c>
      <c r="X63" s="779">
        <f t="shared" si="15"/>
        <v>0.78631608184427371</v>
      </c>
      <c r="Y63" s="515">
        <v>0.80141304347826092</v>
      </c>
      <c r="Z63" s="512">
        <v>0.80141304347826092</v>
      </c>
      <c r="AA63" s="512">
        <v>0.80141304347826092</v>
      </c>
      <c r="AB63" s="779">
        <v>0.80141304347826092</v>
      </c>
      <c r="AC63" s="779">
        <v>0.80141304347826092</v>
      </c>
      <c r="AD63" s="411">
        <v>0.80141304347826092</v>
      </c>
      <c r="AE63" s="779"/>
      <c r="AF63" s="779"/>
      <c r="AG63" s="779"/>
      <c r="AH63" s="156"/>
      <c r="AI63" s="156"/>
      <c r="AJ63" s="156"/>
      <c r="AK63" s="156"/>
      <c r="AL63" s="156"/>
      <c r="AM63" s="156"/>
      <c r="AN63" s="156"/>
      <c r="AO63" s="156"/>
      <c r="AP63" s="156"/>
      <c r="AQ63" s="156"/>
      <c r="AR63" s="156"/>
      <c r="AS63" s="156"/>
      <c r="AT63" s="156"/>
      <c r="AU63" s="156"/>
      <c r="AV63" s="156"/>
      <c r="AW63" s="156"/>
      <c r="AX63" s="156"/>
      <c r="AY63" s="156"/>
      <c r="AZ63" s="156"/>
      <c r="BA63" s="156"/>
      <c r="BB63" s="2828"/>
      <c r="BC63" s="2828"/>
      <c r="BD63" s="2828"/>
      <c r="BE63" s="2828"/>
      <c r="BF63" s="156"/>
    </row>
    <row r="64" spans="1:58" hidden="1" outlineLevel="1" x14ac:dyDescent="0.35">
      <c r="A64" s="1071"/>
      <c r="B64" s="1663"/>
      <c r="C64" s="753"/>
      <c r="D64" s="4031"/>
      <c r="E64" s="4035"/>
      <c r="F64" s="4039" t="str">
        <f t="shared" si="14"/>
        <v>ECM Continuous Fan ER1 - SF</v>
      </c>
      <c r="G64" s="4039"/>
      <c r="H64" s="4039"/>
      <c r="I64" s="512">
        <f t="shared" si="16"/>
        <v>0.80141304347826092</v>
      </c>
      <c r="J64" s="513" t="s">
        <v>284</v>
      </c>
      <c r="K64" s="516"/>
      <c r="L64" s="800"/>
      <c r="M64" s="756"/>
      <c r="N64" s="753"/>
      <c r="O64" s="756"/>
      <c r="P64" s="756"/>
      <c r="Q64" s="756"/>
      <c r="R64" s="756"/>
      <c r="S64" s="106"/>
      <c r="T64" s="106"/>
      <c r="U64" s="106"/>
      <c r="V64" s="4031"/>
      <c r="W64" s="779">
        <v>0.97</v>
      </c>
      <c r="X64" s="779">
        <f t="shared" si="15"/>
        <v>0.78631608184427371</v>
      </c>
      <c r="Y64" s="515">
        <v>0.80141304347826092</v>
      </c>
      <c r="Z64" s="512">
        <v>0.80141304347826092</v>
      </c>
      <c r="AA64" s="512">
        <v>0.80141304347826092</v>
      </c>
      <c r="AB64" s="779">
        <v>0.80141304347826092</v>
      </c>
      <c r="AC64" s="779">
        <v>0.80141304347826092</v>
      </c>
      <c r="AD64" s="411">
        <v>0.80141304347826092</v>
      </c>
      <c r="AE64" s="779"/>
      <c r="AF64" s="779"/>
      <c r="AG64" s="779"/>
      <c r="AH64" s="156"/>
      <c r="AI64" s="156"/>
      <c r="AJ64" s="156"/>
      <c r="AK64" s="156"/>
      <c r="AL64" s="156"/>
      <c r="AM64" s="156"/>
      <c r="AN64" s="156"/>
      <c r="AO64" s="156"/>
      <c r="AP64" s="156"/>
      <c r="AQ64" s="156"/>
      <c r="AR64" s="156"/>
      <c r="AS64" s="156"/>
      <c r="AT64" s="156"/>
      <c r="AU64" s="156"/>
      <c r="AV64" s="156"/>
      <c r="AW64" s="156"/>
      <c r="AX64" s="156"/>
      <c r="AY64" s="156"/>
      <c r="AZ64" s="156"/>
      <c r="BA64" s="156"/>
      <c r="BB64" s="2828"/>
      <c r="BC64" s="2828"/>
      <c r="BD64" s="2828"/>
      <c r="BE64" s="2828"/>
      <c r="BF64" s="156"/>
    </row>
    <row r="65" spans="1:58" ht="18" hidden="1" customHeight="1" outlineLevel="1" x14ac:dyDescent="0.35">
      <c r="A65" s="1071"/>
      <c r="B65" s="1663"/>
      <c r="C65" s="753"/>
      <c r="D65" s="4031"/>
      <c r="E65" s="4036"/>
      <c r="F65" s="4039" t="str">
        <f t="shared" si="14"/>
        <v>ECM Continuous Fan ER2 - SF</v>
      </c>
      <c r="G65" s="4039"/>
      <c r="H65" s="4039"/>
      <c r="I65" s="512">
        <f t="shared" si="16"/>
        <v>0.80141304347826092</v>
      </c>
      <c r="J65" s="513" t="s">
        <v>284</v>
      </c>
      <c r="K65" s="517"/>
      <c r="L65" s="800"/>
      <c r="M65" s="756"/>
      <c r="N65" s="753"/>
      <c r="O65" s="756"/>
      <c r="P65" s="756"/>
      <c r="Q65" s="756"/>
      <c r="R65" s="756"/>
      <c r="S65" s="106"/>
      <c r="T65" s="106"/>
      <c r="U65" s="106"/>
      <c r="V65" s="4031"/>
      <c r="W65" s="779">
        <v>0.97</v>
      </c>
      <c r="X65" s="779">
        <f t="shared" si="15"/>
        <v>0.78631608184427371</v>
      </c>
      <c r="Y65" s="515">
        <v>0.80141304347826092</v>
      </c>
      <c r="Z65" s="512">
        <v>0.80141304347826092</v>
      </c>
      <c r="AA65" s="512">
        <v>0.80141304347826092</v>
      </c>
      <c r="AB65" s="779">
        <v>0.80141304347826092</v>
      </c>
      <c r="AC65" s="779">
        <v>0.80141304347826092</v>
      </c>
      <c r="AD65" s="411">
        <v>0.80141304347826092</v>
      </c>
      <c r="AE65" s="779"/>
      <c r="AF65" s="779"/>
      <c r="AG65" s="779"/>
      <c r="AH65" s="156"/>
      <c r="AI65" s="156"/>
      <c r="AJ65" s="156"/>
      <c r="AK65" s="156"/>
      <c r="AL65" s="156"/>
      <c r="AM65" s="156"/>
      <c r="AN65" s="156"/>
      <c r="AO65" s="156"/>
      <c r="AP65" s="156"/>
      <c r="AQ65" s="156"/>
      <c r="AR65" s="156"/>
      <c r="AS65" s="156"/>
      <c r="AT65" s="156"/>
      <c r="AU65" s="156"/>
      <c r="AV65" s="156"/>
      <c r="AW65" s="156"/>
      <c r="AX65" s="156"/>
      <c r="AY65" s="156"/>
      <c r="AZ65" s="156"/>
      <c r="BA65" s="156"/>
      <c r="BB65" s="2828"/>
      <c r="BC65" s="2828"/>
      <c r="BD65" s="2828"/>
      <c r="BE65" s="2828"/>
      <c r="BF65" s="156"/>
    </row>
    <row r="66" spans="1:58" ht="18" hidden="1" customHeight="1" outlineLevel="1" x14ac:dyDescent="0.35">
      <c r="A66" s="1071"/>
      <c r="B66" s="1663"/>
      <c r="C66" s="753"/>
      <c r="D66" s="4031"/>
      <c r="E66" s="4036"/>
      <c r="F66" s="4039" t="str">
        <f t="shared" si="14"/>
        <v>ECM Continuous Fan ER1 - MF</v>
      </c>
      <c r="G66" s="4039"/>
      <c r="H66" s="4039"/>
      <c r="I66" s="512">
        <f t="shared" si="16"/>
        <v>0.80141304347826092</v>
      </c>
      <c r="J66" s="513" t="s">
        <v>284</v>
      </c>
      <c r="K66" s="517"/>
      <c r="L66" s="800"/>
      <c r="M66" s="756"/>
      <c r="N66" s="753"/>
      <c r="O66" s="756"/>
      <c r="P66" s="756"/>
      <c r="Q66" s="756"/>
      <c r="R66" s="756"/>
      <c r="S66" s="106"/>
      <c r="T66" s="106"/>
      <c r="U66" s="106"/>
      <c r="V66" s="4031"/>
      <c r="W66" s="779">
        <v>0.97</v>
      </c>
      <c r="X66" s="779">
        <f t="shared" si="15"/>
        <v>0.78631608184427371</v>
      </c>
      <c r="Y66" s="515">
        <v>0.80141304347826092</v>
      </c>
      <c r="Z66" s="512">
        <v>0.80141304347826092</v>
      </c>
      <c r="AA66" s="512">
        <v>0.80141304347826092</v>
      </c>
      <c r="AB66" s="779">
        <v>0.80141304347826092</v>
      </c>
      <c r="AC66" s="779">
        <v>0.80141304347826092</v>
      </c>
      <c r="AD66" s="411">
        <v>0.80141304347826092</v>
      </c>
      <c r="AE66" s="779"/>
      <c r="AF66" s="779"/>
      <c r="AG66" s="779"/>
      <c r="AH66" s="156"/>
      <c r="AI66" s="156"/>
      <c r="AJ66" s="156"/>
      <c r="AK66" s="156"/>
      <c r="AL66" s="156"/>
      <c r="AM66" s="156"/>
      <c r="AN66" s="156"/>
      <c r="AO66" s="156"/>
      <c r="AP66" s="156"/>
      <c r="AQ66" s="156"/>
      <c r="AR66" s="156"/>
      <c r="AS66" s="156"/>
      <c r="AT66" s="156"/>
      <c r="AU66" s="156"/>
      <c r="AV66" s="156"/>
      <c r="AW66" s="156"/>
      <c r="AX66" s="156"/>
      <c r="AY66" s="156"/>
      <c r="AZ66" s="156"/>
      <c r="BA66" s="156"/>
      <c r="BB66" s="2828"/>
      <c r="BC66" s="2828"/>
      <c r="BD66" s="2828"/>
      <c r="BE66" s="2828"/>
      <c r="BF66" s="156"/>
    </row>
    <row r="67" spans="1:58" ht="18" hidden="1" customHeight="1" outlineLevel="1" thickBot="1" x14ac:dyDescent="0.4">
      <c r="A67" s="1071"/>
      <c r="B67" s="1663"/>
      <c r="C67" s="753"/>
      <c r="D67" s="4032"/>
      <c r="E67" s="4037"/>
      <c r="F67" s="4042" t="str">
        <f t="shared" si="14"/>
        <v>ECM Continuous Fan ER2 - MF</v>
      </c>
      <c r="G67" s="4042"/>
      <c r="H67" s="4042"/>
      <c r="I67" s="512">
        <f t="shared" si="16"/>
        <v>0.80141304347826092</v>
      </c>
      <c r="J67" s="518" t="s">
        <v>284</v>
      </c>
      <c r="K67" s="519"/>
      <c r="L67" s="800"/>
      <c r="M67" s="756"/>
      <c r="N67" s="753"/>
      <c r="O67" s="756"/>
      <c r="P67" s="756"/>
      <c r="Q67" s="756"/>
      <c r="R67" s="756"/>
      <c r="S67" s="106"/>
      <c r="T67" s="106"/>
      <c r="U67" s="106"/>
      <c r="V67" s="4032"/>
      <c r="W67" s="2844">
        <v>0.97</v>
      </c>
      <c r="X67" s="2844">
        <f t="shared" si="15"/>
        <v>0.78631608184427371</v>
      </c>
      <c r="Y67" s="530">
        <v>0.80141304347826092</v>
      </c>
      <c r="Z67" s="1783">
        <v>0.80141304347826092</v>
      </c>
      <c r="AA67" s="1783">
        <v>0.80141304347826092</v>
      </c>
      <c r="AB67" s="2844">
        <v>0.80141304347826092</v>
      </c>
      <c r="AC67" s="2844">
        <v>0.80141304347826092</v>
      </c>
      <c r="AD67" s="2011">
        <v>0.80141304347826092</v>
      </c>
      <c r="AE67" s="2844"/>
      <c r="AF67" s="2844"/>
      <c r="AG67" s="2844"/>
      <c r="AH67" s="156"/>
      <c r="AI67" s="156"/>
      <c r="AJ67" s="156"/>
      <c r="AK67" s="156"/>
      <c r="AL67" s="156"/>
      <c r="AM67" s="156"/>
      <c r="AN67" s="156"/>
      <c r="AO67" s="156"/>
      <c r="AP67" s="156"/>
      <c r="AQ67" s="156"/>
      <c r="AR67" s="156"/>
      <c r="AS67" s="156"/>
      <c r="AT67" s="156"/>
      <c r="AU67" s="156"/>
      <c r="AV67" s="156"/>
      <c r="AW67" s="156"/>
      <c r="AX67" s="156"/>
      <c r="AY67" s="156"/>
      <c r="AZ67" s="156"/>
      <c r="BA67" s="156"/>
      <c r="BB67" s="2828"/>
      <c r="BC67" s="2828"/>
      <c r="BD67" s="2828"/>
      <c r="BE67" s="2828"/>
      <c r="BF67" s="156"/>
    </row>
    <row r="68" spans="1:58" ht="15" hidden="1" outlineLevel="1" thickBot="1" x14ac:dyDescent="0.4">
      <c r="A68" s="1071"/>
      <c r="B68" s="1663"/>
      <c r="C68" s="753"/>
      <c r="D68" s="1256" t="s">
        <v>813</v>
      </c>
      <c r="E68" s="2389" t="s">
        <v>814</v>
      </c>
      <c r="F68" s="4028" t="s">
        <v>134</v>
      </c>
      <c r="G68" s="4028"/>
      <c r="H68" s="4028"/>
      <c r="I68" s="1257">
        <v>70</v>
      </c>
      <c r="J68" s="544" t="s">
        <v>815</v>
      </c>
      <c r="K68" s="1534"/>
      <c r="L68" s="800"/>
      <c r="M68" s="756"/>
      <c r="N68" s="753"/>
      <c r="O68" s="756"/>
      <c r="P68" s="756"/>
      <c r="Q68" s="756"/>
      <c r="R68" s="756"/>
      <c r="S68" s="106"/>
      <c r="T68" s="106"/>
      <c r="U68" s="106"/>
      <c r="V68" s="1256" t="s">
        <v>813</v>
      </c>
      <c r="W68" s="2841"/>
      <c r="X68" s="2841"/>
      <c r="Y68" s="522">
        <v>70</v>
      </c>
      <c r="Z68" s="522">
        <v>70</v>
      </c>
      <c r="AA68" s="522">
        <v>70</v>
      </c>
      <c r="AB68" s="2840">
        <v>70</v>
      </c>
      <c r="AC68" s="2840">
        <v>70</v>
      </c>
      <c r="AD68" s="2771">
        <v>70</v>
      </c>
      <c r="AE68" s="2841"/>
      <c r="AF68" s="2841"/>
      <c r="AG68" s="2841"/>
      <c r="AH68" s="156"/>
      <c r="AI68" s="156"/>
      <c r="AJ68" s="156"/>
      <c r="AK68" s="156"/>
      <c r="AL68" s="156"/>
      <c r="AM68" s="156"/>
      <c r="AN68" s="156"/>
      <c r="AO68" s="156"/>
      <c r="AP68" s="156"/>
      <c r="AQ68" s="156"/>
      <c r="AR68" s="156"/>
      <c r="AS68" s="156"/>
      <c r="AT68" s="156"/>
      <c r="AU68" s="156"/>
      <c r="AV68" s="156"/>
      <c r="AW68" s="156"/>
      <c r="AX68" s="156"/>
      <c r="AY68" s="156"/>
      <c r="AZ68" s="156"/>
      <c r="BA68" s="156"/>
      <c r="BB68" s="2828"/>
      <c r="BC68" s="2828"/>
      <c r="BD68" s="2828"/>
      <c r="BE68" s="2828"/>
      <c r="BF68" s="156"/>
    </row>
    <row r="69" spans="1:58" ht="18" hidden="1" customHeight="1" outlineLevel="1" x14ac:dyDescent="0.35">
      <c r="A69" s="1071"/>
      <c r="B69" s="1663"/>
      <c r="C69" s="753"/>
      <c r="D69" s="524" t="s">
        <v>816</v>
      </c>
      <c r="E69" s="2389" t="s">
        <v>817</v>
      </c>
      <c r="F69" s="4028" t="s">
        <v>134</v>
      </c>
      <c r="G69" s="4028"/>
      <c r="H69" s="4028"/>
      <c r="I69" s="1260">
        <v>1215</v>
      </c>
      <c r="J69" s="508" t="s">
        <v>810</v>
      </c>
      <c r="K69" s="509"/>
      <c r="L69" s="800"/>
      <c r="M69" s="756"/>
      <c r="N69" s="753"/>
      <c r="O69" s="756"/>
      <c r="P69" s="756"/>
      <c r="Q69" s="756"/>
      <c r="R69" s="756"/>
      <c r="S69" s="106"/>
      <c r="T69" s="106"/>
      <c r="U69" s="106"/>
      <c r="V69" s="524" t="s">
        <v>816</v>
      </c>
      <c r="W69" s="2845">
        <v>1215</v>
      </c>
      <c r="X69" s="2846">
        <v>1215</v>
      </c>
      <c r="Y69" s="531">
        <v>1215</v>
      </c>
      <c r="Z69" s="1260">
        <v>1215</v>
      </c>
      <c r="AA69" s="1260">
        <v>1215</v>
      </c>
      <c r="AB69" s="2845">
        <v>1215</v>
      </c>
      <c r="AC69" s="2845">
        <v>1215</v>
      </c>
      <c r="AD69" s="2774">
        <v>1215</v>
      </c>
      <c r="AE69" s="2845"/>
      <c r="AF69" s="2845"/>
      <c r="AG69" s="2845"/>
      <c r="AH69" s="156"/>
      <c r="AI69" s="156"/>
      <c r="AJ69" s="156"/>
      <c r="AK69" s="156"/>
      <c r="AL69" s="156"/>
      <c r="AM69" s="156"/>
      <c r="AN69" s="156"/>
      <c r="AO69" s="156"/>
      <c r="AP69" s="156"/>
      <c r="AQ69" s="156"/>
      <c r="AR69" s="156"/>
      <c r="AS69" s="156"/>
      <c r="AT69" s="156"/>
      <c r="AU69" s="156"/>
      <c r="AV69" s="156"/>
      <c r="AW69" s="156"/>
      <c r="AX69" s="156"/>
      <c r="AY69" s="156"/>
      <c r="AZ69" s="156"/>
      <c r="BA69" s="156"/>
      <c r="BB69" s="2828"/>
      <c r="BC69" s="2828"/>
      <c r="BD69" s="2828"/>
      <c r="BE69" s="2828"/>
      <c r="BF69" s="156"/>
    </row>
    <row r="70" spans="1:58" ht="18" hidden="1" customHeight="1" outlineLevel="1" x14ac:dyDescent="0.35">
      <c r="A70" s="1071"/>
      <c r="B70" s="1663"/>
      <c r="C70" s="753"/>
      <c r="D70" s="532" t="s">
        <v>818</v>
      </c>
      <c r="E70" s="2390" t="s">
        <v>819</v>
      </c>
      <c r="F70" s="4041" t="s">
        <v>134</v>
      </c>
      <c r="G70" s="4041"/>
      <c r="H70" s="4041"/>
      <c r="I70" s="535">
        <v>542.5</v>
      </c>
      <c r="J70" s="543" t="s">
        <v>810</v>
      </c>
      <c r="K70" s="516"/>
      <c r="L70" s="800"/>
      <c r="M70" s="756"/>
      <c r="N70" s="753"/>
      <c r="O70" s="756"/>
      <c r="P70" s="756"/>
      <c r="Q70" s="756"/>
      <c r="R70" s="756"/>
      <c r="S70" s="106"/>
      <c r="T70" s="106"/>
      <c r="U70" s="106"/>
      <c r="V70" s="532" t="s">
        <v>818</v>
      </c>
      <c r="W70" s="2847">
        <v>542.5</v>
      </c>
      <c r="X70" s="2847">
        <v>542.5</v>
      </c>
      <c r="Y70" s="533">
        <v>542.5</v>
      </c>
      <c r="Z70" s="535">
        <v>542.5</v>
      </c>
      <c r="AA70" s="535">
        <v>542.5</v>
      </c>
      <c r="AB70" s="2847">
        <v>542.5</v>
      </c>
      <c r="AC70" s="2847">
        <v>542.5</v>
      </c>
      <c r="AD70" s="535">
        <v>542.5</v>
      </c>
      <c r="AE70" s="2847"/>
      <c r="AF70" s="2847"/>
      <c r="AG70" s="2847"/>
      <c r="AH70" s="156"/>
      <c r="AI70" s="156"/>
      <c r="AJ70" s="156"/>
      <c r="AK70" s="156"/>
      <c r="AL70" s="156"/>
      <c r="AM70" s="156"/>
      <c r="AN70" s="156"/>
      <c r="AO70" s="156"/>
      <c r="AP70" s="156"/>
      <c r="AQ70" s="156"/>
      <c r="AR70" s="156"/>
      <c r="AS70" s="156"/>
      <c r="AT70" s="156"/>
      <c r="AU70" s="156"/>
      <c r="AV70" s="156"/>
      <c r="AW70" s="156"/>
      <c r="AX70" s="156"/>
      <c r="AY70" s="156"/>
      <c r="AZ70" s="156"/>
      <c r="BA70" s="156"/>
      <c r="BB70" s="2828"/>
      <c r="BC70" s="2828"/>
      <c r="BD70" s="2828"/>
      <c r="BE70" s="2828"/>
      <c r="BF70" s="156"/>
    </row>
    <row r="71" spans="1:58" ht="27" hidden="1" customHeight="1" outlineLevel="1" x14ac:dyDescent="0.35">
      <c r="A71" s="1071"/>
      <c r="B71" s="1663"/>
      <c r="C71" s="753"/>
      <c r="D71" s="2386" t="s">
        <v>820</v>
      </c>
      <c r="E71" s="2390" t="s">
        <v>821</v>
      </c>
      <c r="F71" s="4041" t="s">
        <v>134</v>
      </c>
      <c r="G71" s="4041"/>
      <c r="H71" s="4041"/>
      <c r="I71" s="794">
        <v>25</v>
      </c>
      <c r="J71" s="4043" t="s">
        <v>805</v>
      </c>
      <c r="K71" s="516"/>
      <c r="L71" s="756"/>
      <c r="M71" s="756"/>
      <c r="N71" s="2848"/>
      <c r="O71" s="756"/>
      <c r="P71" s="756"/>
      <c r="Q71" s="756"/>
      <c r="R71" s="756"/>
      <c r="S71" s="106"/>
      <c r="T71" s="106"/>
      <c r="U71" s="106"/>
      <c r="V71" s="2386" t="s">
        <v>820</v>
      </c>
      <c r="W71" s="776"/>
      <c r="X71" s="776"/>
      <c r="Y71" s="535">
        <v>25</v>
      </c>
      <c r="Z71" s="535">
        <v>25</v>
      </c>
      <c r="AA71" s="535">
        <v>25</v>
      </c>
      <c r="AB71" s="535">
        <v>25</v>
      </c>
      <c r="AC71" s="535">
        <v>25</v>
      </c>
      <c r="AD71" s="535">
        <v>25</v>
      </c>
      <c r="AE71" s="535"/>
      <c r="AF71" s="535"/>
      <c r="AG71" s="535"/>
      <c r="AH71" s="156"/>
      <c r="AI71" s="156"/>
      <c r="AJ71" s="156"/>
      <c r="AK71" s="156"/>
      <c r="AL71" s="156"/>
      <c r="AM71" s="156"/>
      <c r="AN71" s="156"/>
      <c r="AO71" s="156"/>
      <c r="AP71" s="156"/>
      <c r="AQ71" s="156"/>
      <c r="AR71" s="156"/>
      <c r="AS71" s="156"/>
      <c r="AT71" s="156"/>
      <c r="AU71" s="156"/>
      <c r="AV71" s="156"/>
      <c r="AW71" s="156"/>
      <c r="AX71" s="156"/>
      <c r="AY71" s="156"/>
      <c r="AZ71" s="156"/>
      <c r="BA71" s="156"/>
      <c r="BB71" s="2849"/>
      <c r="BC71" s="2849"/>
      <c r="BD71" s="2849"/>
      <c r="BE71" s="2849"/>
      <c r="BF71" s="156"/>
    </row>
    <row r="72" spans="1:58" ht="27" hidden="1" customHeight="1" outlineLevel="1" x14ac:dyDescent="0.35">
      <c r="A72" s="1071"/>
      <c r="B72" s="1663"/>
      <c r="C72" s="753"/>
      <c r="D72" s="2386" t="s">
        <v>822</v>
      </c>
      <c r="E72" s="2390" t="s">
        <v>823</v>
      </c>
      <c r="F72" s="4041" t="s">
        <v>134</v>
      </c>
      <c r="G72" s="4041"/>
      <c r="H72" s="4041"/>
      <c r="I72" s="794">
        <v>2960</v>
      </c>
      <c r="J72" s="4044"/>
      <c r="K72" s="516"/>
      <c r="L72" s="756"/>
      <c r="M72" s="756"/>
      <c r="N72" s="2848"/>
      <c r="O72" s="756"/>
      <c r="P72" s="756"/>
      <c r="Q72" s="756"/>
      <c r="R72" s="756"/>
      <c r="S72" s="106"/>
      <c r="T72" s="106"/>
      <c r="U72" s="106"/>
      <c r="V72" s="2386" t="s">
        <v>822</v>
      </c>
      <c r="W72" s="776"/>
      <c r="X72" s="776"/>
      <c r="Y72" s="535">
        <v>2960</v>
      </c>
      <c r="Z72" s="535">
        <v>2960</v>
      </c>
      <c r="AA72" s="535">
        <v>2960</v>
      </c>
      <c r="AB72" s="535">
        <v>2960</v>
      </c>
      <c r="AC72" s="535">
        <v>2960</v>
      </c>
      <c r="AD72" s="535">
        <v>2960</v>
      </c>
      <c r="AE72" s="535"/>
      <c r="AF72" s="535"/>
      <c r="AG72" s="535"/>
      <c r="AH72" s="156"/>
      <c r="AI72" s="156"/>
      <c r="AJ72" s="156"/>
      <c r="AK72" s="156"/>
      <c r="AL72" s="156"/>
      <c r="AM72" s="156"/>
      <c r="AN72" s="156"/>
      <c r="AO72" s="156"/>
      <c r="AP72" s="156"/>
      <c r="AQ72" s="156"/>
      <c r="AR72" s="156"/>
      <c r="AS72" s="156"/>
      <c r="AT72" s="156"/>
      <c r="AU72" s="156"/>
      <c r="AV72" s="156"/>
      <c r="AW72" s="156"/>
      <c r="AX72" s="156"/>
      <c r="AY72" s="156"/>
      <c r="AZ72" s="156"/>
      <c r="BA72" s="156"/>
      <c r="BB72" s="2849"/>
      <c r="BC72" s="2849"/>
      <c r="BD72" s="2849"/>
      <c r="BE72" s="2849"/>
      <c r="BF72" s="156"/>
    </row>
    <row r="73" spans="1:58" hidden="1" outlineLevel="1" x14ac:dyDescent="0.35">
      <c r="A73" s="1071"/>
      <c r="B73" s="1663"/>
      <c r="C73" s="753"/>
      <c r="D73" s="4040" t="s">
        <v>824</v>
      </c>
      <c r="E73" s="3814" t="s">
        <v>825</v>
      </c>
      <c r="F73" s="4041" t="s">
        <v>826</v>
      </c>
      <c r="G73" s="4041"/>
      <c r="H73" s="4041"/>
      <c r="I73" s="537">
        <v>8.8084612296306403E-2</v>
      </c>
      <c r="J73" s="543" t="s">
        <v>827</v>
      </c>
      <c r="K73" s="517"/>
      <c r="L73" s="756"/>
      <c r="M73" s="756"/>
      <c r="N73" s="2848"/>
      <c r="O73" s="756"/>
      <c r="P73" s="756"/>
      <c r="Q73" s="756"/>
      <c r="R73" s="756"/>
      <c r="S73" s="106"/>
      <c r="T73" s="106"/>
      <c r="U73" s="106"/>
      <c r="V73" s="4040" t="s">
        <v>824</v>
      </c>
      <c r="W73" s="776"/>
      <c r="X73" s="776"/>
      <c r="Y73" s="536">
        <v>8.8084612296306403E-2</v>
      </c>
      <c r="Z73" s="537">
        <v>8.8084612296306403E-2</v>
      </c>
      <c r="AA73" s="537">
        <v>8.8084612296306403E-2</v>
      </c>
      <c r="AB73" s="537">
        <v>8.8084612296306403E-2</v>
      </c>
      <c r="AC73" s="537">
        <v>8.8084612296306403E-2</v>
      </c>
      <c r="AD73" s="537">
        <v>8.8084612296306403E-2</v>
      </c>
      <c r="AE73" s="537"/>
      <c r="AF73" s="537"/>
      <c r="AG73" s="537"/>
      <c r="AH73" s="156"/>
      <c r="AI73" s="156"/>
      <c r="AJ73" s="156"/>
      <c r="AK73" s="156"/>
      <c r="AL73" s="156"/>
      <c r="AM73" s="156"/>
      <c r="AN73" s="156"/>
      <c r="AO73" s="156"/>
      <c r="AP73" s="156"/>
      <c r="AQ73" s="156"/>
      <c r="AR73" s="156"/>
      <c r="AS73" s="156"/>
      <c r="AT73" s="156"/>
      <c r="AU73" s="156"/>
      <c r="AV73" s="156"/>
      <c r="AW73" s="156"/>
      <c r="AX73" s="156"/>
      <c r="AY73" s="156"/>
      <c r="AZ73" s="156"/>
      <c r="BA73" s="156"/>
      <c r="BB73" s="2849"/>
      <c r="BC73" s="2849"/>
      <c r="BD73" s="2849"/>
      <c r="BE73" s="2849"/>
      <c r="BF73" s="156"/>
    </row>
    <row r="74" spans="1:58" hidden="1" outlineLevel="1" x14ac:dyDescent="0.35">
      <c r="A74" s="1071"/>
      <c r="B74" s="1663"/>
      <c r="C74" s="753"/>
      <c r="D74" s="4040"/>
      <c r="E74" s="3814"/>
      <c r="F74" s="4041" t="s">
        <v>828</v>
      </c>
      <c r="G74" s="4041"/>
      <c r="H74" s="4041"/>
      <c r="I74" s="537">
        <v>8.8084612296306403E-2</v>
      </c>
      <c r="J74" s="543" t="s">
        <v>827</v>
      </c>
      <c r="K74" s="517"/>
      <c r="L74" s="756"/>
      <c r="M74" s="756"/>
      <c r="N74" s="2848"/>
      <c r="O74" s="756"/>
      <c r="P74" s="756"/>
      <c r="Q74" s="756"/>
      <c r="R74" s="756"/>
      <c r="S74" s="106"/>
      <c r="T74" s="106"/>
      <c r="U74" s="106"/>
      <c r="V74" s="4040"/>
      <c r="W74" s="776"/>
      <c r="X74" s="776"/>
      <c r="Y74" s="536">
        <v>8.8084612296306403E-2</v>
      </c>
      <c r="Z74" s="537">
        <v>8.8084612296306403E-2</v>
      </c>
      <c r="AA74" s="537">
        <v>8.8084612296306403E-2</v>
      </c>
      <c r="AB74" s="537">
        <v>8.8084612296306403E-2</v>
      </c>
      <c r="AC74" s="537">
        <v>8.8084612296306403E-2</v>
      </c>
      <c r="AD74" s="537">
        <v>8.8084612296306403E-2</v>
      </c>
      <c r="AE74" s="537"/>
      <c r="AF74" s="537"/>
      <c r="AG74" s="537"/>
      <c r="AH74" s="156"/>
      <c r="AI74" s="156"/>
      <c r="AJ74" s="156"/>
      <c r="AK74" s="156"/>
      <c r="AL74" s="156"/>
      <c r="AM74" s="156"/>
      <c r="AN74" s="156"/>
      <c r="AO74" s="156"/>
      <c r="AP74" s="156"/>
      <c r="AQ74" s="156"/>
      <c r="AR74" s="156"/>
      <c r="AS74" s="156"/>
      <c r="AT74" s="156"/>
      <c r="AU74" s="156"/>
      <c r="AV74" s="156"/>
      <c r="AW74" s="156"/>
      <c r="AX74" s="156"/>
      <c r="AY74" s="156"/>
      <c r="AZ74" s="156"/>
      <c r="BA74" s="156"/>
      <c r="BB74" s="2849"/>
      <c r="BC74" s="2849"/>
      <c r="BD74" s="2849"/>
      <c r="BE74" s="2849"/>
      <c r="BF74" s="156"/>
    </row>
    <row r="75" spans="1:58" ht="15" hidden="1" outlineLevel="1" thickBot="1" x14ac:dyDescent="0.4">
      <c r="A75" s="1071"/>
      <c r="B75" s="1663"/>
      <c r="C75" s="753"/>
      <c r="D75" s="1261" t="s">
        <v>829</v>
      </c>
      <c r="E75" s="2391" t="s">
        <v>830</v>
      </c>
      <c r="F75" s="4029" t="s">
        <v>134</v>
      </c>
      <c r="G75" s="4029"/>
      <c r="H75" s="4029"/>
      <c r="I75" s="1262">
        <v>30</v>
      </c>
      <c r="J75" s="544" t="s">
        <v>805</v>
      </c>
      <c r="K75" s="519"/>
      <c r="L75" s="756"/>
      <c r="M75" s="756"/>
      <c r="N75" s="2848"/>
      <c r="O75" s="756"/>
      <c r="P75" s="756"/>
      <c r="Q75" s="756"/>
      <c r="R75" s="756"/>
      <c r="S75" s="106"/>
      <c r="T75" s="106"/>
      <c r="U75" s="106"/>
      <c r="V75" s="1261" t="s">
        <v>829</v>
      </c>
      <c r="W75" s="2850"/>
      <c r="X75" s="2850"/>
      <c r="Y75" s="535">
        <v>30</v>
      </c>
      <c r="Z75" s="535">
        <v>30</v>
      </c>
      <c r="AA75" s="535">
        <v>30</v>
      </c>
      <c r="AB75" s="538">
        <v>30</v>
      </c>
      <c r="AC75" s="538">
        <v>30</v>
      </c>
      <c r="AD75" s="538">
        <v>30</v>
      </c>
      <c r="AE75" s="538"/>
      <c r="AF75" s="538"/>
      <c r="AG75" s="538"/>
      <c r="AH75" s="156"/>
      <c r="AI75" s="156"/>
      <c r="AJ75" s="156"/>
      <c r="AK75" s="156"/>
      <c r="AL75" s="156"/>
      <c r="AM75" s="156"/>
      <c r="AN75" s="156"/>
      <c r="AO75" s="156"/>
      <c r="AP75" s="156"/>
      <c r="AQ75" s="156"/>
      <c r="AR75" s="156"/>
      <c r="AS75" s="156"/>
      <c r="AT75" s="156"/>
      <c r="AU75" s="156"/>
      <c r="AV75" s="156"/>
      <c r="AW75" s="156"/>
      <c r="AX75" s="156"/>
      <c r="AY75" s="156"/>
      <c r="AZ75" s="156"/>
      <c r="BA75" s="156"/>
      <c r="BB75" s="2849"/>
      <c r="BC75" s="2849"/>
      <c r="BD75" s="2849"/>
      <c r="BE75" s="2849"/>
      <c r="BF75" s="156"/>
    </row>
    <row r="76" spans="1:58" ht="16.5" hidden="1" customHeight="1" outlineLevel="1" x14ac:dyDescent="0.35">
      <c r="A76" s="1071"/>
      <c r="B76" s="1663"/>
      <c r="C76" s="753"/>
      <c r="D76" s="4045" t="s">
        <v>293</v>
      </c>
      <c r="E76" s="4057" t="s">
        <v>831</v>
      </c>
      <c r="F76" s="4038" t="str">
        <f t="shared" ref="F76:F87" si="17">E7</f>
        <v>ECM Auto Fan ROF-SF</v>
      </c>
      <c r="G76" s="4038"/>
      <c r="H76" s="4038"/>
      <c r="I76" s="1263">
        <v>1</v>
      </c>
      <c r="J76" s="539"/>
      <c r="K76" s="540"/>
      <c r="L76" s="800"/>
      <c r="M76" s="756"/>
      <c r="N76" s="753"/>
      <c r="O76" s="756"/>
      <c r="P76" s="756"/>
      <c r="Q76" s="756"/>
      <c r="R76" s="756"/>
      <c r="S76" s="106"/>
      <c r="T76" s="106"/>
      <c r="U76" s="106"/>
      <c r="V76" s="4045" t="s">
        <v>293</v>
      </c>
      <c r="W76" s="2851">
        <v>1</v>
      </c>
      <c r="X76" s="2851">
        <v>1</v>
      </c>
      <c r="Y76" s="2851">
        <v>1</v>
      </c>
      <c r="Z76" s="1263">
        <v>1</v>
      </c>
      <c r="AA76" s="1263">
        <v>1</v>
      </c>
      <c r="AB76" s="1264">
        <v>1</v>
      </c>
      <c r="AC76" s="541">
        <v>1</v>
      </c>
      <c r="AD76" s="541">
        <v>1</v>
      </c>
      <c r="AE76" s="541"/>
      <c r="AF76" s="541"/>
      <c r="AG76" s="541"/>
      <c r="AH76" s="156"/>
      <c r="AI76" s="156"/>
      <c r="AJ76" s="156"/>
      <c r="AK76" s="156"/>
      <c r="AL76" s="156"/>
      <c r="AM76" s="156"/>
      <c r="AN76" s="156"/>
      <c r="AO76" s="156"/>
      <c r="AP76" s="156"/>
      <c r="AQ76" s="156"/>
      <c r="AR76" s="156"/>
      <c r="AS76" s="156"/>
      <c r="AT76" s="156"/>
      <c r="AU76" s="156"/>
      <c r="AV76" s="156"/>
      <c r="AW76" s="156"/>
      <c r="AX76" s="156"/>
      <c r="AY76" s="156"/>
      <c r="AZ76" s="156"/>
      <c r="BA76" s="156"/>
      <c r="BB76" s="2828"/>
      <c r="BC76" s="2828"/>
      <c r="BD76" s="2828"/>
      <c r="BE76" s="2828"/>
      <c r="BF76" s="156"/>
    </row>
    <row r="77" spans="1:58" ht="18" hidden="1" customHeight="1" outlineLevel="1" x14ac:dyDescent="0.35">
      <c r="A77" s="1071"/>
      <c r="B77" s="1663"/>
      <c r="C77" s="753"/>
      <c r="D77" s="4045"/>
      <c r="E77" s="4057"/>
      <c r="F77" s="4039" t="str">
        <f t="shared" si="17"/>
        <v>ECM Auto Fan ROF-MF</v>
      </c>
      <c r="G77" s="4039"/>
      <c r="H77" s="4039"/>
      <c r="I77" s="1264">
        <v>1</v>
      </c>
      <c r="J77" s="513"/>
      <c r="K77" s="540"/>
      <c r="L77" s="800"/>
      <c r="M77" s="756"/>
      <c r="N77" s="753"/>
      <c r="O77" s="756"/>
      <c r="P77" s="756"/>
      <c r="Q77" s="756"/>
      <c r="R77" s="756"/>
      <c r="S77" s="106"/>
      <c r="T77" s="106"/>
      <c r="U77" s="106"/>
      <c r="V77" s="4045"/>
      <c r="W77" s="2852">
        <v>1</v>
      </c>
      <c r="X77" s="2852">
        <v>1</v>
      </c>
      <c r="Y77" s="2852">
        <v>1</v>
      </c>
      <c r="Z77" s="1264">
        <v>1</v>
      </c>
      <c r="AA77" s="1264">
        <v>1</v>
      </c>
      <c r="AB77" s="2852">
        <v>1</v>
      </c>
      <c r="AC77" s="2852">
        <v>1</v>
      </c>
      <c r="AD77" s="1264">
        <v>1</v>
      </c>
      <c r="AE77" s="2852"/>
      <c r="AF77" s="2852"/>
      <c r="AG77" s="2852"/>
      <c r="AH77" s="156"/>
      <c r="AI77" s="156"/>
      <c r="AJ77" s="156"/>
      <c r="AK77" s="156"/>
      <c r="AL77" s="156"/>
      <c r="AM77" s="156"/>
      <c r="AN77" s="156"/>
      <c r="AO77" s="156"/>
      <c r="AP77" s="156"/>
      <c r="AQ77" s="156"/>
      <c r="AR77" s="156"/>
      <c r="AS77" s="156"/>
      <c r="AT77" s="156"/>
      <c r="AU77" s="156"/>
      <c r="AV77" s="156"/>
      <c r="AW77" s="156"/>
      <c r="AX77" s="156"/>
      <c r="AY77" s="156"/>
      <c r="AZ77" s="156"/>
      <c r="BA77" s="156"/>
      <c r="BB77" s="2828"/>
      <c r="BC77" s="2828"/>
      <c r="BD77" s="2828"/>
      <c r="BE77" s="2828"/>
      <c r="BF77" s="156"/>
    </row>
    <row r="78" spans="1:58" ht="18" hidden="1" customHeight="1" outlineLevel="1" x14ac:dyDescent="0.35">
      <c r="A78" s="1071"/>
      <c r="B78" s="1663"/>
      <c r="C78" s="753"/>
      <c r="D78" s="4045"/>
      <c r="E78" s="4057"/>
      <c r="F78" s="4039" t="str">
        <f t="shared" si="17"/>
        <v>ECM Auto Fan ER1 - SF</v>
      </c>
      <c r="G78" s="4039"/>
      <c r="H78" s="4039"/>
      <c r="I78" s="787">
        <v>1</v>
      </c>
      <c r="J78" s="513"/>
      <c r="K78" s="542"/>
      <c r="L78" s="800"/>
      <c r="M78" s="756"/>
      <c r="N78" s="753"/>
      <c r="O78" s="756"/>
      <c r="P78" s="756"/>
      <c r="Q78" s="756"/>
      <c r="R78" s="756"/>
      <c r="S78" s="106"/>
      <c r="T78" s="106"/>
      <c r="U78" s="106"/>
      <c r="V78" s="4045"/>
      <c r="W78" s="761">
        <v>1</v>
      </c>
      <c r="X78" s="761">
        <v>1</v>
      </c>
      <c r="Y78" s="761">
        <v>1</v>
      </c>
      <c r="Z78" s="787">
        <v>1</v>
      </c>
      <c r="AA78" s="787">
        <v>1</v>
      </c>
      <c r="AB78" s="761">
        <v>1</v>
      </c>
      <c r="AC78" s="761">
        <v>1</v>
      </c>
      <c r="AD78" s="787">
        <v>1</v>
      </c>
      <c r="AE78" s="761"/>
      <c r="AF78" s="761"/>
      <c r="AG78" s="761"/>
      <c r="AH78" s="156"/>
      <c r="AI78" s="156"/>
      <c r="AJ78" s="156"/>
      <c r="AK78" s="156"/>
      <c r="AL78" s="156"/>
      <c r="AM78" s="156"/>
      <c r="AN78" s="156"/>
      <c r="AO78" s="156"/>
      <c r="AP78" s="156"/>
      <c r="AQ78" s="156"/>
      <c r="AR78" s="156"/>
      <c r="AS78" s="156"/>
      <c r="AT78" s="156"/>
      <c r="AU78" s="156"/>
      <c r="AV78" s="156"/>
      <c r="AW78" s="156"/>
      <c r="AX78" s="156"/>
      <c r="AY78" s="156"/>
      <c r="AZ78" s="156"/>
      <c r="BA78" s="156"/>
      <c r="BB78" s="2828"/>
      <c r="BC78" s="2828"/>
      <c r="BD78" s="2828"/>
      <c r="BE78" s="2828"/>
      <c r="BF78" s="156"/>
    </row>
    <row r="79" spans="1:58" ht="18" hidden="1" customHeight="1" outlineLevel="1" x14ac:dyDescent="0.35">
      <c r="A79" s="1071"/>
      <c r="B79" s="1663"/>
      <c r="C79" s="753"/>
      <c r="D79" s="4045"/>
      <c r="E79" s="4057"/>
      <c r="F79" s="4039" t="str">
        <f t="shared" si="17"/>
        <v>ECM Auto Fan ER2 - SF</v>
      </c>
      <c r="G79" s="4039"/>
      <c r="H79" s="4039"/>
      <c r="I79" s="787">
        <v>1</v>
      </c>
      <c r="J79" s="513"/>
      <c r="K79" s="516"/>
      <c r="L79" s="800"/>
      <c r="M79" s="756"/>
      <c r="N79" s="753"/>
      <c r="O79" s="756"/>
      <c r="P79" s="756"/>
      <c r="Q79" s="756"/>
      <c r="R79" s="756"/>
      <c r="S79" s="106"/>
      <c r="T79" s="106"/>
      <c r="U79" s="106"/>
      <c r="V79" s="4045"/>
      <c r="W79" s="761">
        <v>1</v>
      </c>
      <c r="X79" s="761">
        <v>1</v>
      </c>
      <c r="Y79" s="761">
        <v>1</v>
      </c>
      <c r="Z79" s="787">
        <v>1</v>
      </c>
      <c r="AA79" s="787">
        <v>1</v>
      </c>
      <c r="AB79" s="761">
        <v>1</v>
      </c>
      <c r="AC79" s="761">
        <v>1</v>
      </c>
      <c r="AD79" s="787">
        <v>1</v>
      </c>
      <c r="AE79" s="761"/>
      <c r="AF79" s="761"/>
      <c r="AG79" s="761"/>
      <c r="AH79" s="156"/>
      <c r="AI79" s="156"/>
      <c r="AJ79" s="156"/>
      <c r="AK79" s="156"/>
      <c r="AL79" s="156"/>
      <c r="AM79" s="156"/>
      <c r="AN79" s="156"/>
      <c r="AO79" s="156"/>
      <c r="AP79" s="156"/>
      <c r="AQ79" s="156"/>
      <c r="AR79" s="156"/>
      <c r="AS79" s="156"/>
      <c r="AT79" s="156"/>
      <c r="AU79" s="156"/>
      <c r="AV79" s="156"/>
      <c r="AW79" s="156"/>
      <c r="AX79" s="156"/>
      <c r="AY79" s="156"/>
      <c r="AZ79" s="156"/>
      <c r="BA79" s="156"/>
      <c r="BB79" s="2828"/>
      <c r="BC79" s="2828"/>
      <c r="BD79" s="2828"/>
      <c r="BE79" s="2828"/>
      <c r="BF79" s="156"/>
    </row>
    <row r="80" spans="1:58" ht="18" hidden="1" customHeight="1" outlineLevel="1" x14ac:dyDescent="0.35">
      <c r="A80" s="1071"/>
      <c r="B80" s="1663"/>
      <c r="C80" s="753"/>
      <c r="D80" s="4045"/>
      <c r="E80" s="4057"/>
      <c r="F80" s="4039" t="str">
        <f t="shared" si="17"/>
        <v>ECM Auto Fan ER1 - MF</v>
      </c>
      <c r="G80" s="4039"/>
      <c r="H80" s="4039"/>
      <c r="I80" s="787">
        <v>1</v>
      </c>
      <c r="J80" s="513"/>
      <c r="K80" s="516"/>
      <c r="L80" s="800"/>
      <c r="M80" s="756"/>
      <c r="N80" s="753"/>
      <c r="O80" s="756"/>
      <c r="P80" s="756"/>
      <c r="Q80" s="756"/>
      <c r="R80" s="756"/>
      <c r="S80" s="106"/>
      <c r="T80" s="106"/>
      <c r="U80" s="106"/>
      <c r="V80" s="4045"/>
      <c r="W80" s="761">
        <v>1</v>
      </c>
      <c r="X80" s="761">
        <v>1</v>
      </c>
      <c r="Y80" s="761">
        <v>1</v>
      </c>
      <c r="Z80" s="787">
        <v>1</v>
      </c>
      <c r="AA80" s="787">
        <v>1</v>
      </c>
      <c r="AB80" s="761">
        <v>1</v>
      </c>
      <c r="AC80" s="761">
        <v>1</v>
      </c>
      <c r="AD80" s="787">
        <v>1</v>
      </c>
      <c r="AE80" s="761"/>
      <c r="AF80" s="761"/>
      <c r="AG80" s="761"/>
      <c r="AH80" s="156"/>
      <c r="AI80" s="156"/>
      <c r="AJ80" s="156"/>
      <c r="AK80" s="156"/>
      <c r="AL80" s="156"/>
      <c r="AM80" s="156"/>
      <c r="AN80" s="156"/>
      <c r="AO80" s="156"/>
      <c r="AP80" s="156"/>
      <c r="AQ80" s="156"/>
      <c r="AR80" s="156"/>
      <c r="AS80" s="156"/>
      <c r="AT80" s="156"/>
      <c r="AU80" s="156"/>
      <c r="AV80" s="156"/>
      <c r="AW80" s="156"/>
      <c r="AX80" s="156"/>
      <c r="AY80" s="156"/>
      <c r="AZ80" s="156"/>
      <c r="BA80" s="156"/>
      <c r="BB80" s="2828"/>
      <c r="BC80" s="2828"/>
      <c r="BD80" s="2828"/>
      <c r="BE80" s="2828"/>
      <c r="BF80" s="156"/>
    </row>
    <row r="81" spans="1:58" ht="18" hidden="1" customHeight="1" outlineLevel="1" x14ac:dyDescent="0.35">
      <c r="A81" s="1071"/>
      <c r="B81" s="1663"/>
      <c r="C81" s="753"/>
      <c r="D81" s="4045"/>
      <c r="E81" s="4057"/>
      <c r="F81" s="4039" t="str">
        <f t="shared" si="17"/>
        <v>ECM Auto Fan ER2 - MF</v>
      </c>
      <c r="G81" s="4039"/>
      <c r="H81" s="4039"/>
      <c r="I81" s="787">
        <v>1</v>
      </c>
      <c r="J81" s="513"/>
      <c r="K81" s="516"/>
      <c r="L81" s="800"/>
      <c r="M81" s="756"/>
      <c r="N81" s="753"/>
      <c r="O81" s="756"/>
      <c r="P81" s="756"/>
      <c r="Q81" s="756"/>
      <c r="R81" s="756"/>
      <c r="S81" s="106"/>
      <c r="T81" s="106"/>
      <c r="U81" s="106"/>
      <c r="V81" s="4045"/>
      <c r="W81" s="761">
        <v>1</v>
      </c>
      <c r="X81" s="761">
        <v>1</v>
      </c>
      <c r="Y81" s="761">
        <v>1</v>
      </c>
      <c r="Z81" s="787">
        <v>1</v>
      </c>
      <c r="AA81" s="787">
        <v>1</v>
      </c>
      <c r="AB81" s="761">
        <v>1</v>
      </c>
      <c r="AC81" s="761">
        <v>1</v>
      </c>
      <c r="AD81" s="787">
        <v>1</v>
      </c>
      <c r="AE81" s="761"/>
      <c r="AF81" s="761"/>
      <c r="AG81" s="761"/>
      <c r="AH81" s="156"/>
      <c r="AI81" s="156"/>
      <c r="AJ81" s="156"/>
      <c r="AK81" s="156"/>
      <c r="AL81" s="156"/>
      <c r="AM81" s="156"/>
      <c r="AN81" s="156"/>
      <c r="AO81" s="156"/>
      <c r="AP81" s="156"/>
      <c r="AQ81" s="156"/>
      <c r="AR81" s="156"/>
      <c r="AS81" s="156"/>
      <c r="AT81" s="156"/>
      <c r="AU81" s="156"/>
      <c r="AV81" s="156"/>
      <c r="AW81" s="156"/>
      <c r="AX81" s="156"/>
      <c r="AY81" s="156"/>
      <c r="AZ81" s="156"/>
      <c r="BA81" s="156"/>
      <c r="BB81" s="2828"/>
      <c r="BC81" s="2828"/>
      <c r="BD81" s="2828"/>
      <c r="BE81" s="2828"/>
      <c r="BF81" s="156"/>
    </row>
    <row r="82" spans="1:58" hidden="1" outlineLevel="1" x14ac:dyDescent="0.35">
      <c r="A82" s="1071"/>
      <c r="B82" s="1663"/>
      <c r="C82" s="753"/>
      <c r="D82" s="4045"/>
      <c r="E82" s="4057"/>
      <c r="F82" s="4039" t="str">
        <f t="shared" si="17"/>
        <v>ECM Continuous Fan ROF- SF</v>
      </c>
      <c r="G82" s="4039"/>
      <c r="H82" s="4039"/>
      <c r="I82" s="787">
        <v>1</v>
      </c>
      <c r="J82" s="513"/>
      <c r="K82" s="516"/>
      <c r="L82" s="800"/>
      <c r="M82" s="756"/>
      <c r="N82" s="753"/>
      <c r="O82" s="756"/>
      <c r="P82" s="756"/>
      <c r="Q82" s="756"/>
      <c r="R82" s="756"/>
      <c r="S82" s="106"/>
      <c r="T82" s="106"/>
      <c r="U82" s="106"/>
      <c r="V82" s="4045"/>
      <c r="W82" s="761">
        <v>1</v>
      </c>
      <c r="X82" s="761">
        <v>1</v>
      </c>
      <c r="Y82" s="761">
        <v>1</v>
      </c>
      <c r="Z82" s="787">
        <v>1</v>
      </c>
      <c r="AA82" s="787">
        <v>1</v>
      </c>
      <c r="AB82" s="761">
        <v>1</v>
      </c>
      <c r="AC82" s="761">
        <v>1</v>
      </c>
      <c r="AD82" s="787">
        <v>1</v>
      </c>
      <c r="AE82" s="761"/>
      <c r="AF82" s="761"/>
      <c r="AG82" s="761"/>
      <c r="AH82" s="156"/>
      <c r="AI82" s="156"/>
      <c r="AJ82" s="156"/>
      <c r="AK82" s="156"/>
      <c r="AL82" s="156"/>
      <c r="AM82" s="156"/>
      <c r="AN82" s="156"/>
      <c r="AO82" s="156"/>
      <c r="AP82" s="156"/>
      <c r="AQ82" s="156"/>
      <c r="AR82" s="156"/>
      <c r="AS82" s="156"/>
      <c r="AT82" s="156"/>
      <c r="AU82" s="156"/>
      <c r="AV82" s="156"/>
      <c r="AW82" s="156"/>
      <c r="AX82" s="156"/>
      <c r="AY82" s="156"/>
      <c r="AZ82" s="156"/>
      <c r="BA82" s="156"/>
      <c r="BB82" s="2828"/>
      <c r="BC82" s="2828"/>
      <c r="BD82" s="2828"/>
      <c r="BE82" s="2828"/>
      <c r="BF82" s="156"/>
    </row>
    <row r="83" spans="1:58" hidden="1" outlineLevel="1" x14ac:dyDescent="0.35">
      <c r="A83" s="1071"/>
      <c r="B83" s="1663"/>
      <c r="C83" s="753"/>
      <c r="D83" s="4045"/>
      <c r="E83" s="4057"/>
      <c r="F83" s="4039" t="str">
        <f t="shared" si="17"/>
        <v>ECM Continuous Fan ROF- MF</v>
      </c>
      <c r="G83" s="4039"/>
      <c r="H83" s="4039"/>
      <c r="I83" s="787">
        <v>1</v>
      </c>
      <c r="J83" s="513"/>
      <c r="K83" s="516"/>
      <c r="L83" s="800"/>
      <c r="M83" s="756"/>
      <c r="N83" s="753"/>
      <c r="O83" s="756"/>
      <c r="P83" s="756"/>
      <c r="Q83" s="756"/>
      <c r="R83" s="756"/>
      <c r="S83" s="106"/>
      <c r="T83" s="106"/>
      <c r="U83" s="106"/>
      <c r="V83" s="4045"/>
      <c r="W83" s="761">
        <v>1</v>
      </c>
      <c r="X83" s="761">
        <v>1</v>
      </c>
      <c r="Y83" s="761">
        <v>1</v>
      </c>
      <c r="Z83" s="787">
        <v>1</v>
      </c>
      <c r="AA83" s="787">
        <v>1</v>
      </c>
      <c r="AB83" s="761">
        <v>1</v>
      </c>
      <c r="AC83" s="761">
        <v>1</v>
      </c>
      <c r="AD83" s="787">
        <v>1</v>
      </c>
      <c r="AE83" s="761"/>
      <c r="AF83" s="761"/>
      <c r="AG83" s="761"/>
      <c r="AH83" s="156"/>
      <c r="AI83" s="156"/>
      <c r="AJ83" s="156"/>
      <c r="AK83" s="156"/>
      <c r="AL83" s="156"/>
      <c r="AM83" s="156"/>
      <c r="AN83" s="156"/>
      <c r="AO83" s="156"/>
      <c r="AP83" s="156"/>
      <c r="AQ83" s="156"/>
      <c r="AR83" s="156"/>
      <c r="AS83" s="156"/>
      <c r="AT83" s="156"/>
      <c r="AU83" s="156"/>
      <c r="AV83" s="156"/>
      <c r="AW83" s="156"/>
      <c r="AX83" s="156"/>
      <c r="AY83" s="156"/>
      <c r="AZ83" s="156"/>
      <c r="BA83" s="156"/>
      <c r="BB83" s="2828"/>
      <c r="BC83" s="2828"/>
      <c r="BD83" s="2828"/>
      <c r="BE83" s="2828"/>
      <c r="BF83" s="156"/>
    </row>
    <row r="84" spans="1:58" hidden="1" outlineLevel="1" x14ac:dyDescent="0.35">
      <c r="A84" s="1071"/>
      <c r="B84" s="1663"/>
      <c r="C84" s="753"/>
      <c r="D84" s="4045"/>
      <c r="E84" s="4057"/>
      <c r="F84" s="4039" t="str">
        <f t="shared" si="17"/>
        <v>ECM Continuous Fan ER1 - SF</v>
      </c>
      <c r="G84" s="4039"/>
      <c r="H84" s="4039"/>
      <c r="I84" s="787">
        <v>1</v>
      </c>
      <c r="J84" s="513"/>
      <c r="K84" s="516"/>
      <c r="L84" s="800"/>
      <c r="M84" s="756"/>
      <c r="N84" s="753"/>
      <c r="O84" s="756"/>
      <c r="P84" s="756"/>
      <c r="Q84" s="756"/>
      <c r="R84" s="756"/>
      <c r="S84" s="106"/>
      <c r="T84" s="106"/>
      <c r="U84" s="106"/>
      <c r="V84" s="4045"/>
      <c r="W84" s="761">
        <v>1</v>
      </c>
      <c r="X84" s="761">
        <v>1</v>
      </c>
      <c r="Y84" s="761">
        <v>1</v>
      </c>
      <c r="Z84" s="787">
        <v>1</v>
      </c>
      <c r="AA84" s="787">
        <v>1</v>
      </c>
      <c r="AB84" s="761">
        <v>1</v>
      </c>
      <c r="AC84" s="761">
        <v>1</v>
      </c>
      <c r="AD84" s="787">
        <v>1</v>
      </c>
      <c r="AE84" s="761"/>
      <c r="AF84" s="761"/>
      <c r="AG84" s="761"/>
      <c r="AH84" s="156"/>
      <c r="AI84" s="156"/>
      <c r="AJ84" s="156"/>
      <c r="AK84" s="156"/>
      <c r="AL84" s="156"/>
      <c r="AM84" s="156"/>
      <c r="AN84" s="156"/>
      <c r="AO84" s="156"/>
      <c r="AP84" s="156"/>
      <c r="AQ84" s="156"/>
      <c r="AR84" s="156"/>
      <c r="AS84" s="156"/>
      <c r="AT84" s="156"/>
      <c r="AU84" s="156"/>
      <c r="AV84" s="156"/>
      <c r="AW84" s="156"/>
      <c r="AX84" s="156"/>
      <c r="AY84" s="156"/>
      <c r="AZ84" s="156"/>
      <c r="BA84" s="156"/>
      <c r="BB84" s="2828"/>
      <c r="BC84" s="2828"/>
      <c r="BD84" s="2828"/>
      <c r="BE84" s="2828"/>
      <c r="BF84" s="156"/>
    </row>
    <row r="85" spans="1:58" hidden="1" outlineLevel="1" x14ac:dyDescent="0.35">
      <c r="A85" s="1071"/>
      <c r="B85" s="1663"/>
      <c r="C85" s="753"/>
      <c r="D85" s="4045"/>
      <c r="E85" s="4057"/>
      <c r="F85" s="4039" t="str">
        <f t="shared" si="17"/>
        <v>ECM Continuous Fan ER2 - SF</v>
      </c>
      <c r="G85" s="4039"/>
      <c r="H85" s="4039"/>
      <c r="I85" s="1265">
        <v>1</v>
      </c>
      <c r="J85" s="543"/>
      <c r="K85" s="516"/>
      <c r="L85" s="800"/>
      <c r="M85" s="756"/>
      <c r="N85" s="753"/>
      <c r="O85" s="756"/>
      <c r="P85" s="756"/>
      <c r="Q85" s="756"/>
      <c r="R85" s="756"/>
      <c r="S85" s="106"/>
      <c r="T85" s="106"/>
      <c r="U85" s="106"/>
      <c r="V85" s="4045"/>
      <c r="W85" s="2853">
        <v>1</v>
      </c>
      <c r="X85" s="2853">
        <v>1</v>
      </c>
      <c r="Y85" s="2853">
        <v>1</v>
      </c>
      <c r="Z85" s="1265">
        <v>1</v>
      </c>
      <c r="AA85" s="1265">
        <v>1</v>
      </c>
      <c r="AB85" s="2853">
        <v>1</v>
      </c>
      <c r="AC85" s="2853">
        <v>1</v>
      </c>
      <c r="AD85" s="1265">
        <v>1</v>
      </c>
      <c r="AE85" s="2853"/>
      <c r="AF85" s="2853"/>
      <c r="AG85" s="2853"/>
      <c r="AH85" s="156"/>
      <c r="AI85" s="156"/>
      <c r="AJ85" s="156"/>
      <c r="AK85" s="156"/>
      <c r="AL85" s="156"/>
      <c r="AM85" s="156"/>
      <c r="AN85" s="156"/>
      <c r="AO85" s="156"/>
      <c r="AP85" s="156"/>
      <c r="AQ85" s="156"/>
      <c r="AR85" s="156"/>
      <c r="AS85" s="156"/>
      <c r="AT85" s="156"/>
      <c r="AU85" s="156"/>
      <c r="AV85" s="156"/>
      <c r="AW85" s="156"/>
      <c r="AX85" s="156"/>
      <c r="AY85" s="156"/>
      <c r="AZ85" s="156"/>
      <c r="BA85" s="156"/>
      <c r="BB85" s="2828"/>
      <c r="BC85" s="2828"/>
      <c r="BD85" s="2828"/>
      <c r="BE85" s="2828"/>
      <c r="BF85" s="156"/>
    </row>
    <row r="86" spans="1:58" ht="16.5" hidden="1" customHeight="1" outlineLevel="1" x14ac:dyDescent="0.35">
      <c r="A86" s="1071"/>
      <c r="B86" s="1663"/>
      <c r="C86" s="753"/>
      <c r="D86" s="4045"/>
      <c r="E86" s="4057"/>
      <c r="F86" s="4039" t="str">
        <f t="shared" si="17"/>
        <v>ECM Continuous Fan ER1 - MF</v>
      </c>
      <c r="G86" s="4039"/>
      <c r="H86" s="4039"/>
      <c r="I86" s="787">
        <v>1</v>
      </c>
      <c r="J86" s="513"/>
      <c r="K86" s="516"/>
      <c r="L86" s="800"/>
      <c r="M86" s="756"/>
      <c r="N86" s="753"/>
      <c r="O86" s="756"/>
      <c r="P86" s="756"/>
      <c r="Q86" s="756"/>
      <c r="R86" s="756"/>
      <c r="S86" s="106"/>
      <c r="T86" s="106"/>
      <c r="U86" s="106"/>
      <c r="V86" s="4045"/>
      <c r="W86" s="761">
        <v>1</v>
      </c>
      <c r="X86" s="761">
        <v>1</v>
      </c>
      <c r="Y86" s="761">
        <v>1</v>
      </c>
      <c r="Z86" s="787">
        <v>1</v>
      </c>
      <c r="AA86" s="787">
        <v>1</v>
      </c>
      <c r="AB86" s="761">
        <v>1</v>
      </c>
      <c r="AC86" s="761">
        <v>1</v>
      </c>
      <c r="AD86" s="787">
        <v>1</v>
      </c>
      <c r="AE86" s="761"/>
      <c r="AF86" s="761"/>
      <c r="AG86" s="761"/>
      <c r="AH86" s="156"/>
      <c r="AI86" s="156"/>
      <c r="AJ86" s="156"/>
      <c r="AK86" s="156"/>
      <c r="AL86" s="156"/>
      <c r="AM86" s="156"/>
      <c r="AN86" s="156"/>
      <c r="AO86" s="156"/>
      <c r="AP86" s="156"/>
      <c r="AQ86" s="156"/>
      <c r="AR86" s="156"/>
      <c r="AS86" s="156"/>
      <c r="AT86" s="156"/>
      <c r="AU86" s="156"/>
      <c r="AV86" s="156"/>
      <c r="AW86" s="156"/>
      <c r="AX86" s="156"/>
      <c r="AY86" s="156"/>
      <c r="AZ86" s="156"/>
      <c r="BA86" s="156"/>
      <c r="BB86" s="2828"/>
      <c r="BC86" s="2828"/>
      <c r="BD86" s="2828"/>
      <c r="BE86" s="2828"/>
      <c r="BF86" s="156"/>
    </row>
    <row r="87" spans="1:58" ht="15" hidden="1" outlineLevel="1" thickBot="1" x14ac:dyDescent="0.4">
      <c r="A87" s="1071"/>
      <c r="B87" s="1663"/>
      <c r="C87" s="753"/>
      <c r="D87" s="4046"/>
      <c r="E87" s="4058"/>
      <c r="F87" s="4042" t="str">
        <f t="shared" si="17"/>
        <v>ECM Continuous Fan ER2 - MF</v>
      </c>
      <c r="G87" s="4042"/>
      <c r="H87" s="4042"/>
      <c r="I87" s="1266">
        <v>1</v>
      </c>
      <c r="J87" s="544"/>
      <c r="K87" s="519"/>
      <c r="L87" s="800"/>
      <c r="M87" s="756"/>
      <c r="N87" s="753"/>
      <c r="O87" s="756"/>
      <c r="P87" s="756"/>
      <c r="Q87" s="756"/>
      <c r="R87" s="756"/>
      <c r="S87" s="106"/>
      <c r="T87" s="106"/>
      <c r="U87" s="106"/>
      <c r="V87" s="4046"/>
      <c r="W87" s="2854">
        <v>1</v>
      </c>
      <c r="X87" s="2854">
        <v>1</v>
      </c>
      <c r="Y87" s="2854">
        <v>1</v>
      </c>
      <c r="Z87" s="1266">
        <v>1</v>
      </c>
      <c r="AA87" s="1266">
        <v>1</v>
      </c>
      <c r="AB87" s="2854">
        <v>1</v>
      </c>
      <c r="AC87" s="2854">
        <v>1</v>
      </c>
      <c r="AD87" s="1266">
        <v>1</v>
      </c>
      <c r="AE87" s="2854"/>
      <c r="AF87" s="2854"/>
      <c r="AG87" s="2854"/>
      <c r="AH87" s="156"/>
      <c r="AI87" s="156"/>
      <c r="AJ87" s="156"/>
      <c r="AK87" s="156"/>
      <c r="AL87" s="156"/>
      <c r="AM87" s="156"/>
      <c r="AN87" s="156"/>
      <c r="AO87" s="156"/>
      <c r="AP87" s="156"/>
      <c r="AQ87" s="156"/>
      <c r="AR87" s="156"/>
      <c r="AS87" s="156"/>
      <c r="AT87" s="156"/>
      <c r="AU87" s="156"/>
      <c r="AV87" s="156"/>
      <c r="AW87" s="156"/>
      <c r="AX87" s="156"/>
      <c r="AY87" s="156"/>
      <c r="AZ87" s="156"/>
      <c r="BA87" s="156"/>
      <c r="BB87" s="2828"/>
      <c r="BC87" s="2828"/>
      <c r="BD87" s="2828"/>
      <c r="BE87" s="2828"/>
      <c r="BF87" s="156"/>
    </row>
    <row r="88" spans="1:58" ht="44" hidden="1" outlineLevel="1" thickBot="1" x14ac:dyDescent="0.4">
      <c r="A88" s="1071"/>
      <c r="B88" s="1663"/>
      <c r="C88" s="753"/>
      <c r="D88" s="2382" t="s">
        <v>132</v>
      </c>
      <c r="E88" s="2383" t="s">
        <v>832</v>
      </c>
      <c r="F88" s="4051" t="s">
        <v>134</v>
      </c>
      <c r="G88" s="4052"/>
      <c r="H88" s="4053"/>
      <c r="I88" s="1784">
        <v>1</v>
      </c>
      <c r="J88" s="2655" t="s">
        <v>4246</v>
      </c>
      <c r="K88" s="2039"/>
      <c r="L88" s="800"/>
      <c r="M88" s="756"/>
      <c r="N88" s="753"/>
      <c r="O88" s="756"/>
      <c r="P88" s="756"/>
      <c r="Q88" s="756"/>
      <c r="R88" s="756"/>
      <c r="S88" s="106"/>
      <c r="T88" s="106"/>
      <c r="U88" s="106"/>
      <c r="V88" s="2382" t="s">
        <v>132</v>
      </c>
      <c r="W88" s="2855"/>
      <c r="X88" s="2855"/>
      <c r="Y88" s="2855"/>
      <c r="Z88" s="1784"/>
      <c r="AA88" s="1784"/>
      <c r="AB88" s="1666">
        <v>1</v>
      </c>
      <c r="AC88" s="2855">
        <v>1</v>
      </c>
      <c r="AD88" s="1784">
        <v>1</v>
      </c>
      <c r="AE88" s="2855"/>
      <c r="AF88" s="2855"/>
      <c r="AG88" s="2855"/>
      <c r="AH88" s="156"/>
      <c r="AI88" s="156"/>
      <c r="AJ88" s="156"/>
      <c r="AK88" s="156"/>
      <c r="AL88" s="156"/>
      <c r="AM88" s="156"/>
      <c r="AN88" s="156"/>
      <c r="AO88" s="156"/>
      <c r="AP88" s="156"/>
      <c r="AQ88" s="156"/>
      <c r="AR88" s="156"/>
      <c r="AS88" s="156"/>
      <c r="AT88" s="156"/>
      <c r="AU88" s="156"/>
      <c r="AV88" s="156"/>
      <c r="AW88" s="156"/>
      <c r="AX88" s="156"/>
      <c r="AY88" s="156"/>
      <c r="AZ88" s="156"/>
      <c r="BA88" s="156"/>
      <c r="BB88" s="2828"/>
      <c r="BC88" s="2828"/>
      <c r="BD88" s="2828"/>
      <c r="BE88" s="2828"/>
      <c r="BF88" s="156"/>
    </row>
    <row r="89" spans="1:58" ht="18" hidden="1" customHeight="1" outlineLevel="1" x14ac:dyDescent="0.35">
      <c r="A89" s="1071"/>
      <c r="B89" s="1663"/>
      <c r="C89" s="753"/>
      <c r="D89" s="4050" t="str">
        <f>N6</f>
        <v>EUL</v>
      </c>
      <c r="E89" s="4056" t="s">
        <v>833</v>
      </c>
      <c r="F89" s="4038" t="str">
        <f t="shared" ref="F89:F100" si="18">E7</f>
        <v>ECM Auto Fan ROF-SF</v>
      </c>
      <c r="G89" s="4038"/>
      <c r="H89" s="4038"/>
      <c r="I89" s="2616">
        <v>20</v>
      </c>
      <c r="J89" s="539"/>
      <c r="K89" s="545" t="s">
        <v>184</v>
      </c>
      <c r="L89" s="800"/>
      <c r="M89" s="756"/>
      <c r="N89" s="753"/>
      <c r="O89" s="756"/>
      <c r="P89" s="756"/>
      <c r="Q89" s="756"/>
      <c r="R89" s="756"/>
      <c r="S89" s="106"/>
      <c r="T89" s="106"/>
      <c r="U89" s="106"/>
      <c r="V89" s="4050" t="s">
        <v>180</v>
      </c>
      <c r="W89" s="2856">
        <v>20</v>
      </c>
      <c r="X89" s="2856">
        <v>20</v>
      </c>
      <c r="Y89" s="2856">
        <v>20</v>
      </c>
      <c r="Z89" s="1267">
        <v>20</v>
      </c>
      <c r="AA89" s="1267">
        <v>20</v>
      </c>
      <c r="AB89" s="2856">
        <v>20</v>
      </c>
      <c r="AC89" s="2616">
        <v>20</v>
      </c>
      <c r="AD89" s="2616">
        <v>20</v>
      </c>
      <c r="AE89" s="2856"/>
      <c r="AF89" s="2856"/>
      <c r="AG89" s="2856"/>
      <c r="AH89" s="156"/>
      <c r="AI89" s="156"/>
      <c r="AJ89" s="156"/>
      <c r="AK89" s="156"/>
      <c r="AL89" s="156"/>
      <c r="AM89" s="156"/>
      <c r="AN89" s="156"/>
      <c r="AO89" s="156"/>
      <c r="AP89" s="156"/>
      <c r="AQ89" s="156"/>
      <c r="AR89" s="156"/>
      <c r="AS89" s="156"/>
      <c r="AT89" s="156"/>
      <c r="AU89" s="156"/>
      <c r="AV89" s="156"/>
      <c r="AW89" s="156"/>
      <c r="AX89" s="156"/>
      <c r="AY89" s="156"/>
      <c r="AZ89" s="156"/>
      <c r="BA89" s="156"/>
      <c r="BB89" s="2828"/>
      <c r="BC89" s="2828"/>
      <c r="BD89" s="2828"/>
      <c r="BE89" s="2828"/>
      <c r="BF89" s="156"/>
    </row>
    <row r="90" spans="1:58" ht="18" hidden="1" customHeight="1" outlineLevel="1" x14ac:dyDescent="0.35">
      <c r="A90" s="1071"/>
      <c r="B90" s="1663"/>
      <c r="C90" s="753"/>
      <c r="D90" s="4045"/>
      <c r="E90" s="4057"/>
      <c r="F90" s="4039" t="str">
        <f t="shared" si="18"/>
        <v>ECM Auto Fan ROF-MF</v>
      </c>
      <c r="G90" s="4039"/>
      <c r="H90" s="4039"/>
      <c r="I90" s="2617">
        <v>20</v>
      </c>
      <c r="J90" s="513"/>
      <c r="K90" s="540" t="s">
        <v>184</v>
      </c>
      <c r="L90" s="800"/>
      <c r="M90" s="756"/>
      <c r="N90" s="753"/>
      <c r="O90" s="756"/>
      <c r="P90" s="756"/>
      <c r="Q90" s="756"/>
      <c r="R90" s="756"/>
      <c r="S90" s="106"/>
      <c r="T90" s="106"/>
      <c r="U90" s="106"/>
      <c r="V90" s="4045"/>
      <c r="W90" s="2857">
        <v>20</v>
      </c>
      <c r="X90" s="2857">
        <v>20</v>
      </c>
      <c r="Y90" s="2857">
        <v>20</v>
      </c>
      <c r="Z90" s="1268">
        <v>20</v>
      </c>
      <c r="AA90" s="1268">
        <v>20</v>
      </c>
      <c r="AB90" s="2857">
        <v>20</v>
      </c>
      <c r="AC90" s="2617">
        <v>20</v>
      </c>
      <c r="AD90" s="2617">
        <v>20</v>
      </c>
      <c r="AE90" s="2857"/>
      <c r="AF90" s="2857"/>
      <c r="AG90" s="2857"/>
      <c r="AH90" s="156"/>
      <c r="AI90" s="156"/>
      <c r="AJ90" s="156"/>
      <c r="AK90" s="156"/>
      <c r="AL90" s="156"/>
      <c r="AM90" s="156"/>
      <c r="AN90" s="156"/>
      <c r="AO90" s="156"/>
      <c r="AP90" s="156"/>
      <c r="AQ90" s="156"/>
      <c r="AR90" s="156"/>
      <c r="AS90" s="156"/>
      <c r="AT90" s="156"/>
      <c r="AU90" s="156"/>
      <c r="AV90" s="156"/>
      <c r="AW90" s="156"/>
      <c r="AX90" s="156"/>
      <c r="AY90" s="156"/>
      <c r="AZ90" s="156"/>
      <c r="BA90" s="156"/>
      <c r="BB90" s="2828"/>
      <c r="BC90" s="2828"/>
      <c r="BD90" s="2828"/>
      <c r="BE90" s="2828"/>
      <c r="BF90" s="156"/>
    </row>
    <row r="91" spans="1:58" ht="18" hidden="1" customHeight="1" outlineLevel="1" x14ac:dyDescent="0.35">
      <c r="A91" s="1071"/>
      <c r="B91" s="1663"/>
      <c r="C91" s="753"/>
      <c r="D91" s="4045"/>
      <c r="E91" s="4057"/>
      <c r="F91" s="4039" t="str">
        <f t="shared" si="18"/>
        <v>ECM Auto Fan ER1 - SF</v>
      </c>
      <c r="G91" s="4039"/>
      <c r="H91" s="4039"/>
      <c r="I91" s="826">
        <v>6</v>
      </c>
      <c r="J91" s="513"/>
      <c r="K91" s="542" t="s">
        <v>184</v>
      </c>
      <c r="L91" s="800"/>
      <c r="M91" s="756"/>
      <c r="N91" s="753"/>
      <c r="O91" s="756"/>
      <c r="P91" s="756"/>
      <c r="Q91" s="756"/>
      <c r="R91" s="756"/>
      <c r="S91" s="106"/>
      <c r="T91" s="106"/>
      <c r="U91" s="106"/>
      <c r="V91" s="4045"/>
      <c r="W91" s="815">
        <v>6</v>
      </c>
      <c r="X91" s="815">
        <v>6</v>
      </c>
      <c r="Y91" s="815">
        <v>6</v>
      </c>
      <c r="Z91" s="1033">
        <v>6</v>
      </c>
      <c r="AA91" s="1033">
        <v>6</v>
      </c>
      <c r="AB91" s="815">
        <v>6</v>
      </c>
      <c r="AC91" s="826">
        <v>6</v>
      </c>
      <c r="AD91" s="826">
        <v>6</v>
      </c>
      <c r="AE91" s="815"/>
      <c r="AF91" s="815"/>
      <c r="AG91" s="815"/>
      <c r="AH91" s="156"/>
      <c r="AI91" s="156"/>
      <c r="AJ91" s="156"/>
      <c r="AK91" s="156"/>
      <c r="AL91" s="156"/>
      <c r="AM91" s="156"/>
      <c r="AN91" s="156"/>
      <c r="AO91" s="156"/>
      <c r="AP91" s="156"/>
      <c r="AQ91" s="156"/>
      <c r="AR91" s="156"/>
      <c r="AS91" s="156"/>
      <c r="AT91" s="156"/>
      <c r="AU91" s="156"/>
      <c r="AV91" s="156"/>
      <c r="AW91" s="156"/>
      <c r="AX91" s="156"/>
      <c r="AY91" s="156"/>
      <c r="AZ91" s="156"/>
      <c r="BA91" s="156"/>
      <c r="BB91" s="2828"/>
      <c r="BC91" s="2828"/>
      <c r="BD91" s="2828"/>
      <c r="BE91" s="2828"/>
      <c r="BF91" s="156"/>
    </row>
    <row r="92" spans="1:58" ht="18" hidden="1" customHeight="1" outlineLevel="1" x14ac:dyDescent="0.35">
      <c r="A92" s="1071"/>
      <c r="B92" s="1663"/>
      <c r="C92" s="753"/>
      <c r="D92" s="4045"/>
      <c r="E92" s="4057"/>
      <c r="F92" s="4039" t="str">
        <f t="shared" si="18"/>
        <v>ECM Auto Fan ER2 - SF</v>
      </c>
      <c r="G92" s="4039"/>
      <c r="H92" s="4039"/>
      <c r="I92" s="826">
        <v>0</v>
      </c>
      <c r="J92" s="513"/>
      <c r="K92" s="516" t="s">
        <v>184</v>
      </c>
      <c r="L92" s="800"/>
      <c r="M92" s="756"/>
      <c r="N92" s="753"/>
      <c r="O92" s="756"/>
      <c r="P92" s="756"/>
      <c r="Q92" s="756"/>
      <c r="R92" s="756"/>
      <c r="S92" s="106"/>
      <c r="T92" s="106"/>
      <c r="U92" s="106"/>
      <c r="V92" s="4045"/>
      <c r="W92" s="815">
        <v>12</v>
      </c>
      <c r="X92" s="815">
        <v>12</v>
      </c>
      <c r="Y92" s="815">
        <v>12</v>
      </c>
      <c r="Z92" s="1033">
        <v>12</v>
      </c>
      <c r="AA92" s="1033">
        <v>12</v>
      </c>
      <c r="AB92" s="815">
        <v>12</v>
      </c>
      <c r="AC92" s="2619">
        <v>0</v>
      </c>
      <c r="AD92" s="826">
        <v>0</v>
      </c>
      <c r="AE92" s="815"/>
      <c r="AF92" s="815"/>
      <c r="AG92" s="815"/>
      <c r="AH92" s="156"/>
      <c r="AI92" s="156"/>
      <c r="AJ92" s="156"/>
      <c r="AK92" s="156"/>
      <c r="AL92" s="156"/>
      <c r="AM92" s="156"/>
      <c r="AN92" s="156"/>
      <c r="AO92" s="156"/>
      <c r="AP92" s="156"/>
      <c r="AQ92" s="156"/>
      <c r="AR92" s="156"/>
      <c r="AS92" s="156"/>
      <c r="AT92" s="156"/>
      <c r="AU92" s="156"/>
      <c r="AV92" s="156"/>
      <c r="AW92" s="156"/>
      <c r="AX92" s="156"/>
      <c r="AY92" s="156"/>
      <c r="AZ92" s="156"/>
      <c r="BA92" s="156"/>
      <c r="BB92" s="2828"/>
      <c r="BC92" s="2828"/>
      <c r="BD92" s="2828"/>
      <c r="BE92" s="2828"/>
      <c r="BF92" s="156"/>
    </row>
    <row r="93" spans="1:58" ht="18" hidden="1" customHeight="1" outlineLevel="1" x14ac:dyDescent="0.35">
      <c r="A93" s="1071"/>
      <c r="B93" s="1663"/>
      <c r="C93" s="753"/>
      <c r="D93" s="4045"/>
      <c r="E93" s="4057"/>
      <c r="F93" s="4039" t="str">
        <f t="shared" si="18"/>
        <v>ECM Auto Fan ER1 - MF</v>
      </c>
      <c r="G93" s="4039"/>
      <c r="H93" s="4039"/>
      <c r="I93" s="826">
        <v>6</v>
      </c>
      <c r="J93" s="513"/>
      <c r="K93" s="516" t="s">
        <v>184</v>
      </c>
      <c r="L93" s="800"/>
      <c r="M93" s="756"/>
      <c r="N93" s="753"/>
      <c r="O93" s="756"/>
      <c r="P93" s="756"/>
      <c r="Q93" s="756"/>
      <c r="R93" s="756"/>
      <c r="S93" s="106"/>
      <c r="T93" s="106"/>
      <c r="U93" s="106"/>
      <c r="V93" s="4045"/>
      <c r="W93" s="815">
        <v>6</v>
      </c>
      <c r="X93" s="815">
        <v>6</v>
      </c>
      <c r="Y93" s="815">
        <v>6</v>
      </c>
      <c r="Z93" s="1033">
        <v>6</v>
      </c>
      <c r="AA93" s="1033">
        <v>6</v>
      </c>
      <c r="AB93" s="815">
        <v>6</v>
      </c>
      <c r="AC93" s="826">
        <v>6</v>
      </c>
      <c r="AD93" s="826">
        <v>6</v>
      </c>
      <c r="AE93" s="815"/>
      <c r="AF93" s="815"/>
      <c r="AG93" s="815"/>
      <c r="AH93" s="156"/>
      <c r="AI93" s="156"/>
      <c r="AJ93" s="156"/>
      <c r="AK93" s="156"/>
      <c r="AL93" s="156"/>
      <c r="AM93" s="156"/>
      <c r="AN93" s="156"/>
      <c r="AO93" s="156"/>
      <c r="AP93" s="156"/>
      <c r="AQ93" s="156"/>
      <c r="AR93" s="156"/>
      <c r="AS93" s="156"/>
      <c r="AT93" s="156"/>
      <c r="AU93" s="156"/>
      <c r="AV93" s="156"/>
      <c r="AW93" s="156"/>
      <c r="AX93" s="156"/>
      <c r="AY93" s="156"/>
      <c r="AZ93" s="156"/>
      <c r="BA93" s="156"/>
      <c r="BB93" s="2828"/>
      <c r="BC93" s="2828"/>
      <c r="BD93" s="2828"/>
      <c r="BE93" s="2828"/>
      <c r="BF93" s="156"/>
    </row>
    <row r="94" spans="1:58" ht="18" hidden="1" customHeight="1" outlineLevel="1" x14ac:dyDescent="0.35">
      <c r="A94" s="1071"/>
      <c r="B94" s="1663"/>
      <c r="C94" s="753"/>
      <c r="D94" s="4045"/>
      <c r="E94" s="4057"/>
      <c r="F94" s="4039" t="str">
        <f t="shared" si="18"/>
        <v>ECM Auto Fan ER2 - MF</v>
      </c>
      <c r="G94" s="4039"/>
      <c r="H94" s="4039"/>
      <c r="I94" s="826">
        <v>0</v>
      </c>
      <c r="J94" s="513"/>
      <c r="K94" s="516" t="s">
        <v>184</v>
      </c>
      <c r="L94" s="800"/>
      <c r="M94" s="756"/>
      <c r="N94" s="753"/>
      <c r="O94" s="756"/>
      <c r="P94" s="756"/>
      <c r="Q94" s="756"/>
      <c r="R94" s="756"/>
      <c r="S94" s="106"/>
      <c r="T94" s="106"/>
      <c r="U94" s="106"/>
      <c r="V94" s="4045"/>
      <c r="W94" s="815">
        <v>12</v>
      </c>
      <c r="X94" s="815">
        <v>12</v>
      </c>
      <c r="Y94" s="815">
        <v>12</v>
      </c>
      <c r="Z94" s="1033">
        <v>12</v>
      </c>
      <c r="AA94" s="1033">
        <v>12</v>
      </c>
      <c r="AB94" s="815">
        <v>12</v>
      </c>
      <c r="AC94" s="2619">
        <v>0</v>
      </c>
      <c r="AD94" s="826">
        <v>0</v>
      </c>
      <c r="AE94" s="815"/>
      <c r="AF94" s="815"/>
      <c r="AG94" s="815"/>
      <c r="AH94" s="156"/>
      <c r="AI94" s="156"/>
      <c r="AJ94" s="156"/>
      <c r="AK94" s="156"/>
      <c r="AL94" s="156"/>
      <c r="AM94" s="156"/>
      <c r="AN94" s="156"/>
      <c r="AO94" s="156"/>
      <c r="AP94" s="156"/>
      <c r="AQ94" s="156"/>
      <c r="AR94" s="156"/>
      <c r="AS94" s="156"/>
      <c r="AT94" s="156"/>
      <c r="AU94" s="156"/>
      <c r="AV94" s="156"/>
      <c r="AW94" s="156"/>
      <c r="AX94" s="156"/>
      <c r="AY94" s="156"/>
      <c r="AZ94" s="156"/>
      <c r="BA94" s="156"/>
      <c r="BB94" s="2828"/>
      <c r="BC94" s="2828"/>
      <c r="BD94" s="2828"/>
      <c r="BE94" s="2828"/>
      <c r="BF94" s="156"/>
    </row>
    <row r="95" spans="1:58" hidden="1" outlineLevel="1" x14ac:dyDescent="0.35">
      <c r="A95" s="1071"/>
      <c r="B95" s="1663"/>
      <c r="C95" s="753"/>
      <c r="D95" s="4045"/>
      <c r="E95" s="4057"/>
      <c r="F95" s="4039" t="str">
        <f t="shared" si="18"/>
        <v>ECM Continuous Fan ROF- SF</v>
      </c>
      <c r="G95" s="4039"/>
      <c r="H95" s="4039"/>
      <c r="I95" s="826">
        <v>20</v>
      </c>
      <c r="J95" s="513"/>
      <c r="K95" s="516" t="s">
        <v>184</v>
      </c>
      <c r="L95" s="800"/>
      <c r="M95" s="756"/>
      <c r="N95" s="753"/>
      <c r="O95" s="3741" t="s">
        <v>170</v>
      </c>
      <c r="P95" s="3802"/>
      <c r="Q95" s="3802"/>
      <c r="R95" s="3813"/>
      <c r="S95" s="106"/>
      <c r="T95" s="106"/>
      <c r="U95" s="106"/>
      <c r="V95" s="4045"/>
      <c r="W95" s="815">
        <v>20</v>
      </c>
      <c r="X95" s="815">
        <v>20</v>
      </c>
      <c r="Y95" s="815">
        <v>20</v>
      </c>
      <c r="Z95" s="1033">
        <v>20</v>
      </c>
      <c r="AA95" s="1033">
        <v>20</v>
      </c>
      <c r="AB95" s="815">
        <v>20</v>
      </c>
      <c r="AC95" s="826">
        <v>20</v>
      </c>
      <c r="AD95" s="826">
        <v>20</v>
      </c>
      <c r="AE95" s="815"/>
      <c r="AF95" s="815"/>
      <c r="AG95" s="815"/>
      <c r="AH95" s="156"/>
      <c r="AI95" s="156"/>
      <c r="AJ95" s="156"/>
      <c r="AK95" s="156"/>
      <c r="AL95" s="156"/>
      <c r="AM95" s="156"/>
      <c r="AN95" s="156"/>
      <c r="AO95" s="156"/>
      <c r="AP95" s="156"/>
      <c r="AQ95" s="156"/>
      <c r="AR95" s="156"/>
      <c r="AS95" s="156"/>
      <c r="AT95" s="156"/>
      <c r="AU95" s="156"/>
      <c r="AV95" s="156"/>
      <c r="AW95" s="156"/>
      <c r="AX95" s="156"/>
      <c r="AY95" s="156"/>
      <c r="AZ95" s="156"/>
      <c r="BA95" s="156"/>
      <c r="BB95" s="2828"/>
      <c r="BC95" s="2828"/>
      <c r="BD95" s="2828"/>
      <c r="BE95" s="2828"/>
      <c r="BF95" s="156"/>
    </row>
    <row r="96" spans="1:58" hidden="1" outlineLevel="1" x14ac:dyDescent="0.35">
      <c r="A96" s="1071"/>
      <c r="B96" s="1663"/>
      <c r="C96" s="753"/>
      <c r="D96" s="4045"/>
      <c r="E96" s="4057"/>
      <c r="F96" s="4039" t="str">
        <f t="shared" si="18"/>
        <v>ECM Continuous Fan ROF- MF</v>
      </c>
      <c r="G96" s="4039"/>
      <c r="H96" s="4039"/>
      <c r="I96" s="826">
        <v>20</v>
      </c>
      <c r="J96" s="513"/>
      <c r="K96" s="516" t="s">
        <v>184</v>
      </c>
      <c r="L96" s="800"/>
      <c r="M96" s="756"/>
      <c r="N96" s="753"/>
      <c r="O96" s="1269"/>
      <c r="P96" s="547"/>
      <c r="Q96" s="2379" t="s">
        <v>1789</v>
      </c>
      <c r="R96" s="2362" t="s">
        <v>948</v>
      </c>
      <c r="S96" s="106"/>
      <c r="T96" s="106"/>
      <c r="U96" s="106"/>
      <c r="V96" s="4045"/>
      <c r="W96" s="815">
        <v>20</v>
      </c>
      <c r="X96" s="815">
        <v>20</v>
      </c>
      <c r="Y96" s="815">
        <v>20</v>
      </c>
      <c r="Z96" s="1033">
        <v>20</v>
      </c>
      <c r="AA96" s="1033">
        <v>20</v>
      </c>
      <c r="AB96" s="815">
        <v>20</v>
      </c>
      <c r="AC96" s="826">
        <v>20</v>
      </c>
      <c r="AD96" s="826">
        <v>20</v>
      </c>
      <c r="AE96" s="815"/>
      <c r="AF96" s="815"/>
      <c r="AG96" s="815"/>
      <c r="AH96" s="156"/>
      <c r="AI96" s="156"/>
      <c r="AJ96" s="156"/>
      <c r="AK96" s="156"/>
      <c r="AL96" s="156"/>
      <c r="AM96" s="156"/>
      <c r="AN96" s="156"/>
      <c r="AO96" s="156"/>
      <c r="AP96" s="156"/>
      <c r="AQ96" s="156"/>
      <c r="AR96" s="156"/>
      <c r="AS96" s="156"/>
      <c r="AT96" s="156"/>
      <c r="AU96" s="156"/>
      <c r="AV96" s="156"/>
      <c r="AW96" s="156"/>
      <c r="AX96" s="156"/>
      <c r="AY96" s="156"/>
      <c r="AZ96" s="156"/>
      <c r="BA96" s="156"/>
      <c r="BB96" s="2828"/>
      <c r="BC96" s="2828"/>
      <c r="BD96" s="2828"/>
      <c r="BE96" s="2828"/>
      <c r="BF96" s="156"/>
    </row>
    <row r="97" spans="1:58" hidden="1" outlineLevel="1" x14ac:dyDescent="0.35">
      <c r="A97" s="1071"/>
      <c r="B97" s="1663"/>
      <c r="C97" s="753"/>
      <c r="D97" s="4045"/>
      <c r="E97" s="4057"/>
      <c r="F97" s="4039" t="str">
        <f t="shared" si="18"/>
        <v>ECM Continuous Fan ER1 - SF</v>
      </c>
      <c r="G97" s="4039"/>
      <c r="H97" s="4039"/>
      <c r="I97" s="826">
        <v>6</v>
      </c>
      <c r="J97" s="513"/>
      <c r="K97" s="516" t="s">
        <v>184</v>
      </c>
      <c r="L97" s="800"/>
      <c r="M97" s="756"/>
      <c r="N97" s="753"/>
      <c r="O97" s="4047" t="s">
        <v>834</v>
      </c>
      <c r="P97" s="4048"/>
      <c r="Q97" s="1029">
        <f>($Q$103/1+R97)-$Q$102/((1+$Q$105)^($Q$106-1))</f>
        <v>74.327224020150311</v>
      </c>
      <c r="R97" s="548">
        <v>0</v>
      </c>
      <c r="S97" s="106"/>
      <c r="T97" s="106"/>
      <c r="U97" s="106"/>
      <c r="V97" s="4045"/>
      <c r="W97" s="815">
        <v>6</v>
      </c>
      <c r="X97" s="815">
        <v>6</v>
      </c>
      <c r="Y97" s="815">
        <v>6</v>
      </c>
      <c r="Z97" s="1033">
        <v>6</v>
      </c>
      <c r="AA97" s="1033">
        <v>6</v>
      </c>
      <c r="AB97" s="815">
        <v>6</v>
      </c>
      <c r="AC97" s="826">
        <v>6</v>
      </c>
      <c r="AD97" s="826">
        <v>6</v>
      </c>
      <c r="AE97" s="815"/>
      <c r="AF97" s="815"/>
      <c r="AG97" s="815"/>
      <c r="AH97" s="156"/>
      <c r="AI97" s="156"/>
      <c r="AJ97" s="156"/>
      <c r="AK97" s="156"/>
      <c r="AL97" s="156"/>
      <c r="AM97" s="156"/>
      <c r="AN97" s="156"/>
      <c r="AO97" s="156"/>
      <c r="AP97" s="156"/>
      <c r="AQ97" s="156"/>
      <c r="AR97" s="156"/>
      <c r="AS97" s="156"/>
      <c r="AT97" s="156"/>
      <c r="AU97" s="156"/>
      <c r="AV97" s="156"/>
      <c r="AW97" s="156"/>
      <c r="AX97" s="156"/>
      <c r="AY97" s="156"/>
      <c r="AZ97" s="156"/>
      <c r="BA97" s="156"/>
      <c r="BB97" s="2828"/>
      <c r="BC97" s="2828"/>
      <c r="BD97" s="2828"/>
      <c r="BE97" s="2828"/>
      <c r="BF97" s="156"/>
    </row>
    <row r="98" spans="1:58" hidden="1" outlineLevel="1" x14ac:dyDescent="0.35">
      <c r="A98" s="1071"/>
      <c r="B98" s="1663"/>
      <c r="C98" s="753"/>
      <c r="D98" s="4045"/>
      <c r="E98" s="4057"/>
      <c r="F98" s="4039" t="str">
        <f t="shared" si="18"/>
        <v>ECM Continuous Fan ER2 - SF</v>
      </c>
      <c r="G98" s="4039"/>
      <c r="H98" s="4039"/>
      <c r="I98" s="826">
        <v>0</v>
      </c>
      <c r="J98" s="543"/>
      <c r="K98" s="516" t="s">
        <v>184</v>
      </c>
      <c r="L98" s="800"/>
      <c r="M98" s="756"/>
      <c r="N98" s="753"/>
      <c r="O98" s="4049"/>
      <c r="P98" s="4049"/>
      <c r="Q98" s="549"/>
      <c r="R98" s="550"/>
      <c r="S98" s="106"/>
      <c r="T98" s="106"/>
      <c r="U98" s="106"/>
      <c r="V98" s="4045"/>
      <c r="W98" s="2858">
        <v>12</v>
      </c>
      <c r="X98" s="2858">
        <v>12</v>
      </c>
      <c r="Y98" s="2858">
        <v>12</v>
      </c>
      <c r="Z98" s="1270">
        <v>12</v>
      </c>
      <c r="AA98" s="1270">
        <v>12</v>
      </c>
      <c r="AB98" s="2858">
        <v>12</v>
      </c>
      <c r="AC98" s="2619">
        <v>0</v>
      </c>
      <c r="AD98" s="826">
        <v>0</v>
      </c>
      <c r="AE98" s="2858"/>
      <c r="AF98" s="2858"/>
      <c r="AG98" s="2858"/>
      <c r="AH98" s="156"/>
      <c r="AI98" s="156"/>
      <c r="AJ98" s="156"/>
      <c r="AK98" s="156"/>
      <c r="AL98" s="156"/>
      <c r="AM98" s="156"/>
      <c r="AN98" s="156"/>
      <c r="AO98" s="156"/>
      <c r="AP98" s="156"/>
      <c r="AQ98" s="156"/>
      <c r="AR98" s="156"/>
      <c r="AS98" s="156"/>
      <c r="AT98" s="156"/>
      <c r="AU98" s="156"/>
      <c r="AV98" s="156"/>
      <c r="AW98" s="156"/>
      <c r="AX98" s="156"/>
      <c r="AY98" s="156"/>
      <c r="AZ98" s="156"/>
      <c r="BA98" s="156"/>
      <c r="BB98" s="2828"/>
      <c r="BC98" s="2828"/>
      <c r="BD98" s="2828"/>
      <c r="BE98" s="2828"/>
      <c r="BF98" s="156"/>
    </row>
    <row r="99" spans="1:58" ht="16.5" hidden="1" customHeight="1" outlineLevel="1" x14ac:dyDescent="0.35">
      <c r="A99" s="1071"/>
      <c r="B99" s="1663"/>
      <c r="C99" s="753"/>
      <c r="D99" s="4045"/>
      <c r="E99" s="4057"/>
      <c r="F99" s="4039" t="str">
        <f t="shared" si="18"/>
        <v>ECM Continuous Fan ER1 - MF</v>
      </c>
      <c r="G99" s="4039"/>
      <c r="H99" s="4039"/>
      <c r="I99" s="826">
        <v>6</v>
      </c>
      <c r="J99" s="513"/>
      <c r="K99" s="516" t="s">
        <v>184</v>
      </c>
      <c r="L99" s="800"/>
      <c r="M99" s="756"/>
      <c r="N99" s="753"/>
      <c r="O99" s="756"/>
      <c r="P99" s="756"/>
      <c r="Q99" s="756"/>
      <c r="R99" s="756"/>
      <c r="S99" s="106"/>
      <c r="T99" s="106"/>
      <c r="U99" s="106"/>
      <c r="V99" s="4045"/>
      <c r="W99" s="815">
        <v>6</v>
      </c>
      <c r="X99" s="815">
        <v>6</v>
      </c>
      <c r="Y99" s="815">
        <v>6</v>
      </c>
      <c r="Z99" s="1033">
        <v>6</v>
      </c>
      <c r="AA99" s="1033">
        <v>6</v>
      </c>
      <c r="AB99" s="815">
        <v>6</v>
      </c>
      <c r="AC99" s="826">
        <v>6</v>
      </c>
      <c r="AD99" s="826">
        <v>6</v>
      </c>
      <c r="AE99" s="815"/>
      <c r="AF99" s="815"/>
      <c r="AG99" s="815"/>
      <c r="AH99" s="156"/>
      <c r="AI99" s="156"/>
      <c r="AJ99" s="156"/>
      <c r="AK99" s="156"/>
      <c r="AL99" s="156"/>
      <c r="AM99" s="156"/>
      <c r="AN99" s="156"/>
      <c r="AO99" s="156"/>
      <c r="AP99" s="156"/>
      <c r="AQ99" s="156"/>
      <c r="AR99" s="156"/>
      <c r="AS99" s="156"/>
      <c r="AT99" s="156"/>
      <c r="AU99" s="156"/>
      <c r="AV99" s="156"/>
      <c r="AW99" s="156"/>
      <c r="AX99" s="156"/>
      <c r="AY99" s="156"/>
      <c r="AZ99" s="156"/>
      <c r="BA99" s="156"/>
      <c r="BB99" s="2828"/>
      <c r="BC99" s="2828"/>
      <c r="BD99" s="2828"/>
      <c r="BE99" s="2828"/>
      <c r="BF99" s="156"/>
    </row>
    <row r="100" spans="1:58" ht="15" hidden="1" outlineLevel="1" thickBot="1" x14ac:dyDescent="0.4">
      <c r="A100" s="1071"/>
      <c r="B100" s="1663"/>
      <c r="C100" s="753"/>
      <c r="D100" s="4046"/>
      <c r="E100" s="4058"/>
      <c r="F100" s="4042" t="str">
        <f t="shared" si="18"/>
        <v>ECM Continuous Fan ER2 - MF</v>
      </c>
      <c r="G100" s="4042"/>
      <c r="H100" s="4042"/>
      <c r="I100" s="826">
        <v>0</v>
      </c>
      <c r="J100" s="544"/>
      <c r="K100" s="519" t="s">
        <v>184</v>
      </c>
      <c r="L100" s="800"/>
      <c r="M100" s="756"/>
      <c r="N100" s="753"/>
      <c r="O100" s="756"/>
      <c r="P100" s="756"/>
      <c r="Q100" s="756"/>
      <c r="R100" s="756"/>
      <c r="S100" s="106"/>
      <c r="T100" s="106"/>
      <c r="U100" s="106"/>
      <c r="V100" s="4046"/>
      <c r="W100" s="2859">
        <v>12</v>
      </c>
      <c r="X100" s="2859">
        <v>12</v>
      </c>
      <c r="Y100" s="2859">
        <v>12</v>
      </c>
      <c r="Z100" s="1271">
        <v>12</v>
      </c>
      <c r="AA100" s="1271">
        <v>12</v>
      </c>
      <c r="AB100" s="2859">
        <v>12</v>
      </c>
      <c r="AC100" s="2619">
        <v>0</v>
      </c>
      <c r="AD100" s="826">
        <v>0</v>
      </c>
      <c r="AE100" s="2859"/>
      <c r="AF100" s="2859"/>
      <c r="AG100" s="2859"/>
      <c r="AH100" s="156"/>
      <c r="AI100" s="156"/>
      <c r="AJ100" s="156"/>
      <c r="AK100" s="156"/>
      <c r="AL100" s="156"/>
      <c r="AM100" s="156"/>
      <c r="AN100" s="156"/>
      <c r="AO100" s="156"/>
      <c r="AP100" s="156"/>
      <c r="AQ100" s="156"/>
      <c r="AR100" s="156"/>
      <c r="AS100" s="156"/>
      <c r="AT100" s="156"/>
      <c r="AU100" s="156"/>
      <c r="AV100" s="156"/>
      <c r="AW100" s="156"/>
      <c r="AX100" s="156"/>
      <c r="AY100" s="156"/>
      <c r="AZ100" s="156"/>
      <c r="BA100" s="156"/>
      <c r="BB100" s="2828"/>
      <c r="BC100" s="2828"/>
      <c r="BD100" s="2828"/>
      <c r="BE100" s="2828"/>
      <c r="BF100" s="156"/>
    </row>
    <row r="101" spans="1:58" ht="18" hidden="1" customHeight="1" outlineLevel="1" x14ac:dyDescent="0.35">
      <c r="A101" s="1071"/>
      <c r="B101" s="1663"/>
      <c r="C101" s="753"/>
      <c r="D101" s="4050" t="str">
        <f>O6</f>
        <v>Inc. Cost</v>
      </c>
      <c r="E101" s="4056" t="s">
        <v>527</v>
      </c>
      <c r="F101" s="4038" t="str">
        <f t="shared" ref="F101:F112" si="19">E7</f>
        <v>ECM Auto Fan ROF-SF</v>
      </c>
      <c r="G101" s="4038"/>
      <c r="H101" s="4038"/>
      <c r="I101" s="1272">
        <f>$R$97</f>
        <v>0</v>
      </c>
      <c r="J101" s="513"/>
      <c r="K101" s="545" t="s">
        <v>184</v>
      </c>
      <c r="L101" s="800"/>
      <c r="M101" s="1273"/>
      <c r="N101" s="753"/>
      <c r="O101" s="3825" t="s">
        <v>835</v>
      </c>
      <c r="P101" s="3823"/>
      <c r="Q101" s="3824"/>
      <c r="R101" s="756"/>
      <c r="S101" s="106"/>
      <c r="T101" s="106"/>
      <c r="U101" s="106"/>
      <c r="V101" s="4050" t="s">
        <v>169</v>
      </c>
      <c r="W101" s="2860">
        <f t="shared" ref="W101:AA102" si="20">$R$97</f>
        <v>0</v>
      </c>
      <c r="X101" s="2860">
        <f t="shared" si="20"/>
        <v>0</v>
      </c>
      <c r="Y101" s="2860">
        <f t="shared" si="20"/>
        <v>0</v>
      </c>
      <c r="Z101" s="1272">
        <f t="shared" si="20"/>
        <v>0</v>
      </c>
      <c r="AA101" s="1272">
        <f t="shared" si="20"/>
        <v>0</v>
      </c>
      <c r="AB101" s="2860">
        <v>0</v>
      </c>
      <c r="AC101" s="2860">
        <v>0</v>
      </c>
      <c r="AD101" s="1272">
        <v>0</v>
      </c>
      <c r="AE101" s="2860"/>
      <c r="AF101" s="2860"/>
      <c r="AG101" s="2860"/>
      <c r="AH101" s="156"/>
      <c r="AI101" s="156"/>
      <c r="AJ101" s="156"/>
      <c r="AK101" s="156"/>
      <c r="AL101" s="156"/>
      <c r="AM101" s="156"/>
      <c r="AN101" s="156"/>
      <c r="AO101" s="156"/>
      <c r="AP101" s="156"/>
      <c r="AQ101" s="156"/>
      <c r="AR101" s="156"/>
      <c r="AS101" s="156"/>
      <c r="AT101" s="156"/>
      <c r="AU101" s="156"/>
      <c r="AV101" s="156"/>
      <c r="AW101" s="156"/>
      <c r="AX101" s="156"/>
      <c r="AY101" s="156"/>
      <c r="AZ101" s="156"/>
      <c r="BA101" s="156"/>
      <c r="BB101" s="2828"/>
      <c r="BC101" s="2828"/>
      <c r="BD101" s="2828"/>
      <c r="BE101" s="2828"/>
      <c r="BF101" s="156"/>
    </row>
    <row r="102" spans="1:58" ht="18" hidden="1" customHeight="1" outlineLevel="1" x14ac:dyDescent="0.35">
      <c r="A102" s="1071"/>
      <c r="B102" s="1663"/>
      <c r="C102" s="753"/>
      <c r="D102" s="4045"/>
      <c r="E102" s="4057"/>
      <c r="F102" s="4039" t="str">
        <f t="shared" si="19"/>
        <v>ECM Auto Fan ROF-MF</v>
      </c>
      <c r="G102" s="4039"/>
      <c r="H102" s="4039"/>
      <c r="I102" s="1274">
        <f>$R$97</f>
        <v>0</v>
      </c>
      <c r="J102" s="513"/>
      <c r="K102" s="540" t="s">
        <v>184</v>
      </c>
      <c r="L102" s="800"/>
      <c r="M102" s="756"/>
      <c r="N102" s="753"/>
      <c r="O102" s="4059" t="s">
        <v>836</v>
      </c>
      <c r="P102" s="4060"/>
      <c r="Q102" s="551">
        <f>Q103*(1+Q104)^Q106</f>
        <v>534.92714915040006</v>
      </c>
      <c r="R102" s="756"/>
      <c r="S102" s="106"/>
      <c r="T102" s="106"/>
      <c r="U102" s="106"/>
      <c r="V102" s="4045"/>
      <c r="W102" s="2861">
        <f t="shared" si="20"/>
        <v>0</v>
      </c>
      <c r="X102" s="2861">
        <f t="shared" si="20"/>
        <v>0</v>
      </c>
      <c r="Y102" s="2861">
        <f t="shared" si="20"/>
        <v>0</v>
      </c>
      <c r="Z102" s="1274">
        <f t="shared" si="20"/>
        <v>0</v>
      </c>
      <c r="AA102" s="1274">
        <f t="shared" si="20"/>
        <v>0</v>
      </c>
      <c r="AB102" s="2861">
        <v>0</v>
      </c>
      <c r="AC102" s="2861">
        <v>0</v>
      </c>
      <c r="AD102" s="1274">
        <v>0</v>
      </c>
      <c r="AE102" s="2861"/>
      <c r="AF102" s="2861"/>
      <c r="AG102" s="2861"/>
      <c r="AH102" s="156"/>
      <c r="AI102" s="156"/>
      <c r="AJ102" s="156"/>
      <c r="AK102" s="156"/>
      <c r="AL102" s="156"/>
      <c r="AM102" s="156"/>
      <c r="AN102" s="156"/>
      <c r="AO102" s="156"/>
      <c r="AP102" s="156"/>
      <c r="AQ102" s="156"/>
      <c r="AR102" s="156"/>
      <c r="AS102" s="156"/>
      <c r="AT102" s="156"/>
      <c r="AU102" s="156"/>
      <c r="AV102" s="156"/>
      <c r="AW102" s="156"/>
      <c r="AX102" s="156"/>
      <c r="AY102" s="156"/>
      <c r="AZ102" s="156"/>
      <c r="BA102" s="156"/>
      <c r="BB102" s="2828"/>
      <c r="BC102" s="2828"/>
      <c r="BD102" s="2828"/>
      <c r="BE102" s="2828"/>
      <c r="BF102" s="156"/>
    </row>
    <row r="103" spans="1:58" ht="18" hidden="1" customHeight="1" outlineLevel="1" x14ac:dyDescent="0.35">
      <c r="A103" s="1071"/>
      <c r="B103" s="1663"/>
      <c r="C103" s="753"/>
      <c r="D103" s="4045"/>
      <c r="E103" s="4057"/>
      <c r="F103" s="4039" t="str">
        <f t="shared" si="19"/>
        <v>ECM Auto Fan ER1 - SF</v>
      </c>
      <c r="G103" s="4039"/>
      <c r="H103" s="4039"/>
      <c r="I103" s="1034">
        <f>$Q$97</f>
        <v>74.327224020150311</v>
      </c>
      <c r="J103" s="513"/>
      <c r="K103" s="542" t="s">
        <v>184</v>
      </c>
      <c r="L103" s="800"/>
      <c r="M103" s="756"/>
      <c r="N103" s="753"/>
      <c r="O103" s="4059" t="s">
        <v>837</v>
      </c>
      <c r="P103" s="4060"/>
      <c r="Q103" s="1592">
        <v>475</v>
      </c>
      <c r="R103" s="1275" t="s">
        <v>838</v>
      </c>
      <c r="S103" s="106"/>
      <c r="T103" s="106"/>
      <c r="U103" s="106"/>
      <c r="V103" s="4045"/>
      <c r="W103" s="2862">
        <f>$Q$97</f>
        <v>74.327224020150311</v>
      </c>
      <c r="X103" s="2862">
        <f>$Q$97</f>
        <v>74.327224020150311</v>
      </c>
      <c r="Y103" s="2862">
        <f>$Q$97</f>
        <v>74.327224020150311</v>
      </c>
      <c r="Z103" s="1034">
        <f t="shared" ref="Z103:AA103" si="21">$Q$97</f>
        <v>74.327224020150311</v>
      </c>
      <c r="AA103" s="1034">
        <f t="shared" si="21"/>
        <v>74.327224020150311</v>
      </c>
      <c r="AB103" s="2862">
        <v>74.327224020150311</v>
      </c>
      <c r="AC103" s="2862">
        <v>74.327224020150311</v>
      </c>
      <c r="AD103" s="1034">
        <v>74.327224020150311</v>
      </c>
      <c r="AE103" s="2862"/>
      <c r="AF103" s="2862"/>
      <c r="AG103" s="2862"/>
      <c r="AH103" s="156"/>
      <c r="AI103" s="156"/>
      <c r="AJ103" s="156"/>
      <c r="AK103" s="156"/>
      <c r="AL103" s="156"/>
      <c r="AM103" s="156"/>
      <c r="AN103" s="156"/>
      <c r="AO103" s="156"/>
      <c r="AP103" s="156"/>
      <c r="AQ103" s="156"/>
      <c r="AR103" s="156"/>
      <c r="AS103" s="156"/>
      <c r="AT103" s="156"/>
      <c r="AU103" s="156"/>
      <c r="AV103" s="156"/>
      <c r="AW103" s="156"/>
      <c r="AX103" s="156"/>
      <c r="AY103" s="156"/>
      <c r="AZ103" s="156"/>
      <c r="BA103" s="156"/>
      <c r="BB103" s="2828"/>
      <c r="BC103" s="2828"/>
      <c r="BD103" s="2828"/>
      <c r="BE103" s="2828"/>
      <c r="BF103" s="156"/>
    </row>
    <row r="104" spans="1:58" ht="18" hidden="1" customHeight="1" outlineLevel="1" x14ac:dyDescent="0.35">
      <c r="A104" s="1071"/>
      <c r="B104" s="1663"/>
      <c r="C104" s="753"/>
      <c r="D104" s="4045"/>
      <c r="E104" s="4057"/>
      <c r="F104" s="4039" t="str">
        <f t="shared" si="19"/>
        <v>ECM Auto Fan ER2 - SF</v>
      </c>
      <c r="G104" s="4039"/>
      <c r="H104" s="4039"/>
      <c r="I104" s="1034"/>
      <c r="J104" s="513"/>
      <c r="K104" s="516" t="s">
        <v>184</v>
      </c>
      <c r="L104" s="800"/>
      <c r="M104" s="756"/>
      <c r="N104" s="753"/>
      <c r="O104" s="4059" t="s">
        <v>839</v>
      </c>
      <c r="P104" s="4060"/>
      <c r="Q104" s="553">
        <v>0.02</v>
      </c>
      <c r="R104" s="756"/>
      <c r="S104" s="106"/>
      <c r="T104" s="106"/>
      <c r="U104" s="106"/>
      <c r="V104" s="4045"/>
      <c r="W104" s="2862"/>
      <c r="X104" s="2862"/>
      <c r="Y104" s="2862"/>
      <c r="Z104" s="1034"/>
      <c r="AA104" s="1034"/>
      <c r="AB104" s="2862"/>
      <c r="AC104" s="2862"/>
      <c r="AD104" s="2862"/>
      <c r="AE104" s="2862"/>
      <c r="AF104" s="2862"/>
      <c r="AG104" s="2862"/>
      <c r="AH104" s="156"/>
      <c r="AI104" s="156"/>
      <c r="AJ104" s="156"/>
      <c r="AK104" s="156"/>
      <c r="AL104" s="156"/>
      <c r="AM104" s="156"/>
      <c r="AN104" s="156"/>
      <c r="AO104" s="156"/>
      <c r="AP104" s="156"/>
      <c r="AQ104" s="156"/>
      <c r="AR104" s="156"/>
      <c r="AS104" s="156"/>
      <c r="AT104" s="156"/>
      <c r="AU104" s="156"/>
      <c r="AV104" s="156"/>
      <c r="AW104" s="156"/>
      <c r="AX104" s="156"/>
      <c r="AY104" s="156"/>
      <c r="AZ104" s="156"/>
      <c r="BA104" s="156"/>
      <c r="BB104" s="2828"/>
      <c r="BC104" s="2828"/>
      <c r="BD104" s="2828"/>
      <c r="BE104" s="2828"/>
      <c r="BF104" s="156"/>
    </row>
    <row r="105" spans="1:58" ht="18" hidden="1" customHeight="1" outlineLevel="1" x14ac:dyDescent="0.35">
      <c r="A105" s="1071"/>
      <c r="B105" s="1663"/>
      <c r="C105" s="753"/>
      <c r="D105" s="4045"/>
      <c r="E105" s="4057"/>
      <c r="F105" s="4039" t="str">
        <f t="shared" si="19"/>
        <v>ECM Auto Fan ER1 - MF</v>
      </c>
      <c r="G105" s="4039"/>
      <c r="H105" s="4039"/>
      <c r="I105" s="1034">
        <f>$Q$97</f>
        <v>74.327224020150311</v>
      </c>
      <c r="J105" s="513"/>
      <c r="K105" s="516" t="s">
        <v>184</v>
      </c>
      <c r="L105" s="800"/>
      <c r="M105" s="2863"/>
      <c r="N105" s="753"/>
      <c r="O105" s="4061" t="s">
        <v>840</v>
      </c>
      <c r="P105" s="4062"/>
      <c r="Q105" s="553">
        <v>5.9499999999999997E-2</v>
      </c>
      <c r="R105" s="756"/>
      <c r="S105" s="106"/>
      <c r="T105" s="106"/>
      <c r="U105" s="106"/>
      <c r="V105" s="4045"/>
      <c r="W105" s="2862">
        <f>$Q$97</f>
        <v>74.327224020150311</v>
      </c>
      <c r="X105" s="2862">
        <f>$Q$97</f>
        <v>74.327224020150311</v>
      </c>
      <c r="Y105" s="2862">
        <f>$Q$97</f>
        <v>74.327224020150311</v>
      </c>
      <c r="Z105" s="1034">
        <f t="shared" ref="Z105:AA105" si="22">$Q$97</f>
        <v>74.327224020150311</v>
      </c>
      <c r="AA105" s="1034">
        <f t="shared" si="22"/>
        <v>74.327224020150311</v>
      </c>
      <c r="AB105" s="2862">
        <v>74.327224020150311</v>
      </c>
      <c r="AC105" s="2862">
        <v>74.327224020150311</v>
      </c>
      <c r="AD105" s="2862">
        <v>74.327224020150311</v>
      </c>
      <c r="AE105" s="2862"/>
      <c r="AF105" s="2862"/>
      <c r="AG105" s="2862"/>
      <c r="AH105" s="156"/>
      <c r="AI105" s="156"/>
      <c r="AJ105" s="156"/>
      <c r="AK105" s="156"/>
      <c r="AL105" s="156"/>
      <c r="AM105" s="156"/>
      <c r="AN105" s="156"/>
      <c r="AO105" s="156"/>
      <c r="AP105" s="156"/>
      <c r="AQ105" s="156"/>
      <c r="AR105" s="156"/>
      <c r="AS105" s="156"/>
      <c r="AT105" s="156"/>
      <c r="AU105" s="156"/>
      <c r="AV105" s="156"/>
      <c r="AW105" s="156"/>
      <c r="AX105" s="156"/>
      <c r="AY105" s="156"/>
      <c r="AZ105" s="156"/>
      <c r="BA105" s="156"/>
      <c r="BB105" s="2828"/>
      <c r="BC105" s="2828"/>
      <c r="BD105" s="2828"/>
      <c r="BE105" s="2828"/>
      <c r="BF105" s="156"/>
    </row>
    <row r="106" spans="1:58" ht="18" hidden="1" customHeight="1" outlineLevel="1" x14ac:dyDescent="0.35">
      <c r="A106" s="1071"/>
      <c r="B106" s="1663"/>
      <c r="C106" s="753"/>
      <c r="D106" s="4045"/>
      <c r="E106" s="4057"/>
      <c r="F106" s="4039" t="str">
        <f t="shared" si="19"/>
        <v>ECM Auto Fan ER2 - MF</v>
      </c>
      <c r="G106" s="4039"/>
      <c r="H106" s="4039"/>
      <c r="I106" s="1034"/>
      <c r="J106" s="513"/>
      <c r="K106" s="516" t="s">
        <v>184</v>
      </c>
      <c r="L106" s="800"/>
      <c r="M106" s="756"/>
      <c r="N106" s="753"/>
      <c r="O106" s="554" t="s">
        <v>841</v>
      </c>
      <c r="P106" s="555"/>
      <c r="Q106" s="1592">
        <v>6</v>
      </c>
      <c r="R106" s="756"/>
      <c r="S106" s="106"/>
      <c r="T106" s="106"/>
      <c r="U106" s="106"/>
      <c r="V106" s="4045"/>
      <c r="W106" s="2862"/>
      <c r="X106" s="2862"/>
      <c r="Y106" s="2862"/>
      <c r="Z106" s="1034"/>
      <c r="AA106" s="1034"/>
      <c r="AB106" s="2862"/>
      <c r="AC106" s="2862"/>
      <c r="AD106" s="2862"/>
      <c r="AE106" s="2862"/>
      <c r="AF106" s="2862"/>
      <c r="AG106" s="2862"/>
      <c r="AH106" s="156"/>
      <c r="AI106" s="156"/>
      <c r="AJ106" s="156"/>
      <c r="AK106" s="156"/>
      <c r="AL106" s="156"/>
      <c r="AM106" s="156"/>
      <c r="AN106" s="156"/>
      <c r="AO106" s="156"/>
      <c r="AP106" s="156"/>
      <c r="AQ106" s="156"/>
      <c r="AR106" s="156"/>
      <c r="AS106" s="156"/>
      <c r="AT106" s="156"/>
      <c r="AU106" s="156"/>
      <c r="AV106" s="156"/>
      <c r="AW106" s="156"/>
      <c r="AX106" s="156"/>
      <c r="AY106" s="156"/>
      <c r="AZ106" s="156"/>
      <c r="BA106" s="156"/>
      <c r="BB106" s="2828"/>
      <c r="BC106" s="2828"/>
      <c r="BD106" s="2828"/>
      <c r="BE106" s="2828"/>
      <c r="BF106" s="156"/>
    </row>
    <row r="107" spans="1:58" ht="15" hidden="1" customHeight="1" outlineLevel="1" x14ac:dyDescent="0.35">
      <c r="A107" s="1071"/>
      <c r="B107" s="1663"/>
      <c r="C107" s="753"/>
      <c r="D107" s="4045"/>
      <c r="E107" s="4057"/>
      <c r="F107" s="4039" t="str">
        <f t="shared" si="19"/>
        <v>ECM Continuous Fan ROF- SF</v>
      </c>
      <c r="G107" s="4039"/>
      <c r="H107" s="4039"/>
      <c r="I107" s="1034">
        <f>$R$97</f>
        <v>0</v>
      </c>
      <c r="J107" s="513"/>
      <c r="K107" s="516" t="s">
        <v>184</v>
      </c>
      <c r="L107" s="800"/>
      <c r="M107" s="756"/>
      <c r="N107" s="753"/>
      <c r="O107" s="106"/>
      <c r="P107" s="106"/>
      <c r="Q107" s="106"/>
      <c r="R107" s="106"/>
      <c r="S107" s="106"/>
      <c r="T107" s="106"/>
      <c r="U107" s="106"/>
      <c r="V107" s="4045"/>
      <c r="W107" s="2862">
        <f t="shared" ref="W107:AA108" si="23">$R$97</f>
        <v>0</v>
      </c>
      <c r="X107" s="2862">
        <f t="shared" si="23"/>
        <v>0</v>
      </c>
      <c r="Y107" s="2862">
        <f t="shared" si="23"/>
        <v>0</v>
      </c>
      <c r="Z107" s="1034">
        <f t="shared" si="23"/>
        <v>0</v>
      </c>
      <c r="AA107" s="1034">
        <f t="shared" si="23"/>
        <v>0</v>
      </c>
      <c r="AB107" s="2862">
        <v>0</v>
      </c>
      <c r="AC107" s="2862">
        <v>0</v>
      </c>
      <c r="AD107" s="2862">
        <v>0</v>
      </c>
      <c r="AE107" s="2862"/>
      <c r="AF107" s="2862"/>
      <c r="AG107" s="2862"/>
      <c r="AH107" s="156"/>
      <c r="AI107" s="156"/>
      <c r="AJ107" s="156"/>
      <c r="AK107" s="156"/>
      <c r="AL107" s="156"/>
      <c r="AM107" s="156"/>
      <c r="AN107" s="156"/>
      <c r="AO107" s="156"/>
      <c r="AP107" s="156"/>
      <c r="AQ107" s="156"/>
      <c r="AR107" s="156"/>
      <c r="AS107" s="156"/>
      <c r="AT107" s="156"/>
      <c r="AU107" s="156"/>
      <c r="AV107" s="156"/>
      <c r="AW107" s="156"/>
      <c r="AX107" s="156"/>
      <c r="AY107" s="156"/>
      <c r="AZ107" s="156"/>
      <c r="BA107" s="156"/>
      <c r="BB107" s="2828"/>
      <c r="BC107" s="2828"/>
      <c r="BD107" s="2828"/>
      <c r="BE107" s="2828"/>
      <c r="BF107" s="156"/>
    </row>
    <row r="108" spans="1:58" hidden="1" outlineLevel="1" x14ac:dyDescent="0.35">
      <c r="A108" s="1071"/>
      <c r="B108" s="1663"/>
      <c r="C108" s="753"/>
      <c r="D108" s="4045"/>
      <c r="E108" s="4057"/>
      <c r="F108" s="4039" t="str">
        <f t="shared" si="19"/>
        <v>ECM Continuous Fan ROF- MF</v>
      </c>
      <c r="G108" s="4039"/>
      <c r="H108" s="4039"/>
      <c r="I108" s="1034">
        <f>$R$97</f>
        <v>0</v>
      </c>
      <c r="J108" s="513"/>
      <c r="K108" s="516" t="s">
        <v>184</v>
      </c>
      <c r="L108" s="800"/>
      <c r="M108" s="756"/>
      <c r="N108" s="753"/>
      <c r="O108" s="106"/>
      <c r="P108" s="106"/>
      <c r="Q108" s="106"/>
      <c r="R108" s="106"/>
      <c r="S108" s="106"/>
      <c r="T108" s="106"/>
      <c r="U108" s="106"/>
      <c r="V108" s="4045"/>
      <c r="W108" s="2862">
        <f t="shared" si="23"/>
        <v>0</v>
      </c>
      <c r="X108" s="2862">
        <f t="shared" si="23"/>
        <v>0</v>
      </c>
      <c r="Y108" s="2862">
        <f t="shared" si="23"/>
        <v>0</v>
      </c>
      <c r="Z108" s="1034">
        <f t="shared" si="23"/>
        <v>0</v>
      </c>
      <c r="AA108" s="1034">
        <f t="shared" si="23"/>
        <v>0</v>
      </c>
      <c r="AB108" s="2862">
        <v>0</v>
      </c>
      <c r="AC108" s="2862">
        <v>0</v>
      </c>
      <c r="AD108" s="2862">
        <v>0</v>
      </c>
      <c r="AE108" s="2862"/>
      <c r="AF108" s="2862"/>
      <c r="AG108" s="2862"/>
      <c r="AH108" s="156"/>
      <c r="AI108" s="156"/>
      <c r="AJ108" s="156"/>
      <c r="AK108" s="156"/>
      <c r="AL108" s="156"/>
      <c r="AM108" s="156"/>
      <c r="AN108" s="156"/>
      <c r="AO108" s="156"/>
      <c r="AP108" s="156"/>
      <c r="AQ108" s="156"/>
      <c r="AR108" s="156"/>
      <c r="AS108" s="156"/>
      <c r="AT108" s="156"/>
      <c r="AU108" s="156"/>
      <c r="AV108" s="156"/>
      <c r="AW108" s="156"/>
      <c r="AX108" s="156"/>
      <c r="AY108" s="156"/>
      <c r="AZ108" s="156"/>
      <c r="BA108" s="156"/>
      <c r="BB108" s="2828"/>
      <c r="BC108" s="2828"/>
      <c r="BD108" s="2828"/>
      <c r="BE108" s="2828"/>
      <c r="BF108" s="156"/>
    </row>
    <row r="109" spans="1:58" hidden="1" outlineLevel="1" x14ac:dyDescent="0.35">
      <c r="A109" s="1071"/>
      <c r="B109" s="1663"/>
      <c r="C109" s="753"/>
      <c r="D109" s="4045"/>
      <c r="E109" s="4057"/>
      <c r="F109" s="4039" t="str">
        <f t="shared" si="19"/>
        <v>ECM Continuous Fan ER1 - SF</v>
      </c>
      <c r="G109" s="4039"/>
      <c r="H109" s="4039"/>
      <c r="I109" s="1034">
        <f>$Q$97</f>
        <v>74.327224020150311</v>
      </c>
      <c r="J109" s="513"/>
      <c r="K109" s="516" t="s">
        <v>184</v>
      </c>
      <c r="L109" s="800"/>
      <c r="M109" s="756"/>
      <c r="N109" s="753"/>
      <c r="O109" s="106"/>
      <c r="P109" s="106"/>
      <c r="Q109" s="106"/>
      <c r="R109" s="106"/>
      <c r="S109" s="106"/>
      <c r="T109" s="106"/>
      <c r="U109" s="106"/>
      <c r="V109" s="4045"/>
      <c r="W109" s="2862">
        <f>$Q$97</f>
        <v>74.327224020150311</v>
      </c>
      <c r="X109" s="2862">
        <f>$Q$97</f>
        <v>74.327224020150311</v>
      </c>
      <c r="Y109" s="2862">
        <f>$Q$97</f>
        <v>74.327224020150311</v>
      </c>
      <c r="Z109" s="1034">
        <f t="shared" ref="Z109:AA109" si="24">$Q$97</f>
        <v>74.327224020150311</v>
      </c>
      <c r="AA109" s="1034">
        <f t="shared" si="24"/>
        <v>74.327224020150311</v>
      </c>
      <c r="AB109" s="2862">
        <v>74.327224020150311</v>
      </c>
      <c r="AC109" s="2862">
        <v>74.327224020150311</v>
      </c>
      <c r="AD109" s="2862">
        <v>74.327224020150311</v>
      </c>
      <c r="AE109" s="2862"/>
      <c r="AF109" s="2862"/>
      <c r="AG109" s="2862"/>
      <c r="AH109" s="156"/>
      <c r="AI109" s="156"/>
      <c r="AJ109" s="156"/>
      <c r="AK109" s="156"/>
      <c r="AL109" s="156"/>
      <c r="AM109" s="156"/>
      <c r="AN109" s="156"/>
      <c r="AO109" s="156"/>
      <c r="AP109" s="156"/>
      <c r="AQ109" s="156"/>
      <c r="AR109" s="156"/>
      <c r="AS109" s="156"/>
      <c r="AT109" s="156"/>
      <c r="AU109" s="156"/>
      <c r="AV109" s="156"/>
      <c r="AW109" s="156"/>
      <c r="AX109" s="156"/>
      <c r="AY109" s="156"/>
      <c r="AZ109" s="156"/>
      <c r="BA109" s="156"/>
      <c r="BB109" s="2828"/>
      <c r="BC109" s="2828"/>
      <c r="BD109" s="2828"/>
      <c r="BE109" s="2828"/>
      <c r="BF109" s="156"/>
    </row>
    <row r="110" spans="1:58" hidden="1" outlineLevel="1" x14ac:dyDescent="0.35">
      <c r="A110" s="1071"/>
      <c r="B110" s="1663"/>
      <c r="C110" s="753"/>
      <c r="D110" s="4045"/>
      <c r="E110" s="4057"/>
      <c r="F110" s="4039" t="str">
        <f t="shared" si="19"/>
        <v>ECM Continuous Fan ER2 - SF</v>
      </c>
      <c r="G110" s="4039"/>
      <c r="H110" s="4039"/>
      <c r="I110" s="1276"/>
      <c r="J110" s="543"/>
      <c r="K110" s="516" t="s">
        <v>184</v>
      </c>
      <c r="L110" s="800"/>
      <c r="M110" s="756"/>
      <c r="N110" s="753"/>
      <c r="O110" s="106"/>
      <c r="P110" s="106"/>
      <c r="Q110" s="106"/>
      <c r="R110" s="106"/>
      <c r="S110" s="106"/>
      <c r="T110" s="106"/>
      <c r="U110" s="106"/>
      <c r="V110" s="4045"/>
      <c r="W110" s="2864"/>
      <c r="X110" s="2864"/>
      <c r="Y110" s="2864"/>
      <c r="Z110" s="1276"/>
      <c r="AA110" s="1276"/>
      <c r="AB110" s="2864"/>
      <c r="AC110" s="2864"/>
      <c r="AD110" s="2864"/>
      <c r="AE110" s="2864"/>
      <c r="AF110" s="2864"/>
      <c r="AG110" s="2864"/>
      <c r="AH110" s="156"/>
      <c r="AI110" s="156"/>
      <c r="AJ110" s="156"/>
      <c r="AK110" s="156"/>
      <c r="AL110" s="156"/>
      <c r="AM110" s="156"/>
      <c r="AN110" s="156"/>
      <c r="AO110" s="156"/>
      <c r="AP110" s="156"/>
      <c r="AQ110" s="156"/>
      <c r="AR110" s="156"/>
      <c r="AS110" s="156"/>
      <c r="AT110" s="156"/>
      <c r="AU110" s="156"/>
      <c r="AV110" s="156"/>
      <c r="AW110" s="156"/>
      <c r="AX110" s="156"/>
      <c r="AY110" s="156"/>
      <c r="AZ110" s="156"/>
      <c r="BA110" s="156"/>
      <c r="BB110" s="2828"/>
      <c r="BC110" s="2828"/>
      <c r="BD110" s="2828"/>
      <c r="BE110" s="2828"/>
      <c r="BF110" s="156"/>
    </row>
    <row r="111" spans="1:58" ht="16.5" hidden="1" customHeight="1" outlineLevel="1" x14ac:dyDescent="0.35">
      <c r="A111" s="1071"/>
      <c r="B111" s="1663"/>
      <c r="C111" s="753"/>
      <c r="D111" s="4045"/>
      <c r="E111" s="4057"/>
      <c r="F111" s="4039" t="str">
        <f t="shared" si="19"/>
        <v>ECM Continuous Fan ER1 - MF</v>
      </c>
      <c r="G111" s="4039"/>
      <c r="H111" s="4039"/>
      <c r="I111" s="1034">
        <f>$Q$97</f>
        <v>74.327224020150311</v>
      </c>
      <c r="J111" s="513"/>
      <c r="K111" s="516" t="s">
        <v>184</v>
      </c>
      <c r="L111" s="800"/>
      <c r="M111" s="756"/>
      <c r="N111" s="753"/>
      <c r="O111" s="756"/>
      <c r="P111" s="756"/>
      <c r="Q111" s="756"/>
      <c r="R111" s="756"/>
      <c r="S111" s="106"/>
      <c r="T111" s="106"/>
      <c r="U111" s="106"/>
      <c r="V111" s="4045"/>
      <c r="W111" s="2862">
        <f>$Q$97</f>
        <v>74.327224020150311</v>
      </c>
      <c r="X111" s="2862">
        <f>$Q$97</f>
        <v>74.327224020150311</v>
      </c>
      <c r="Y111" s="2862">
        <f>$Q$97</f>
        <v>74.327224020150311</v>
      </c>
      <c r="Z111" s="1034">
        <f t="shared" ref="Z111:AA111" si="25">$Q$97</f>
        <v>74.327224020150311</v>
      </c>
      <c r="AA111" s="1034">
        <f t="shared" si="25"/>
        <v>74.327224020150311</v>
      </c>
      <c r="AB111" s="2862">
        <v>74.327224020150311</v>
      </c>
      <c r="AC111" s="2862">
        <v>74.327224020150311</v>
      </c>
      <c r="AD111" s="2862">
        <v>74.327224020150311</v>
      </c>
      <c r="AE111" s="2862"/>
      <c r="AF111" s="2862"/>
      <c r="AG111" s="2862"/>
      <c r="AH111" s="156"/>
      <c r="AI111" s="156"/>
      <c r="AJ111" s="156"/>
      <c r="AK111" s="156"/>
      <c r="AL111" s="156"/>
      <c r="AM111" s="156"/>
      <c r="AN111" s="156"/>
      <c r="AO111" s="156"/>
      <c r="AP111" s="156"/>
      <c r="AQ111" s="156"/>
      <c r="AR111" s="156"/>
      <c r="AS111" s="156"/>
      <c r="AT111" s="156"/>
      <c r="AU111" s="156"/>
      <c r="AV111" s="156"/>
      <c r="AW111" s="156"/>
      <c r="AX111" s="156"/>
      <c r="AY111" s="156"/>
      <c r="AZ111" s="156"/>
      <c r="BA111" s="156"/>
      <c r="BB111" s="2828"/>
      <c r="BC111" s="2828"/>
      <c r="BD111" s="2828"/>
      <c r="BE111" s="2828"/>
      <c r="BF111" s="156"/>
    </row>
    <row r="112" spans="1:58" ht="15" hidden="1" outlineLevel="1" thickBot="1" x14ac:dyDescent="0.4">
      <c r="A112" s="1071"/>
      <c r="B112" s="1663"/>
      <c r="C112" s="753"/>
      <c r="D112" s="4046"/>
      <c r="E112" s="4058"/>
      <c r="F112" s="4042" t="str">
        <f t="shared" si="19"/>
        <v>ECM Continuous Fan ER2 - MF</v>
      </c>
      <c r="G112" s="4042"/>
      <c r="H112" s="4042"/>
      <c r="I112" s="1277"/>
      <c r="J112" s="544"/>
      <c r="K112" s="519" t="s">
        <v>184</v>
      </c>
      <c r="L112" s="800"/>
      <c r="M112" s="756"/>
      <c r="N112" s="753"/>
      <c r="O112" s="756"/>
      <c r="P112" s="756"/>
      <c r="Q112" s="756"/>
      <c r="R112" s="756"/>
      <c r="S112" s="106"/>
      <c r="T112" s="106"/>
      <c r="U112" s="106"/>
      <c r="V112" s="4046"/>
      <c r="W112" s="2865"/>
      <c r="X112" s="2865"/>
      <c r="Y112" s="2865"/>
      <c r="Z112" s="1277"/>
      <c r="AA112" s="1277"/>
      <c r="AB112" s="2865"/>
      <c r="AC112" s="2865"/>
      <c r="AD112" s="2865"/>
      <c r="AE112" s="2865"/>
      <c r="AF112" s="2865"/>
      <c r="AG112" s="2865"/>
      <c r="AH112" s="156"/>
      <c r="AI112" s="156"/>
      <c r="AJ112" s="156"/>
      <c r="AK112" s="156"/>
      <c r="AL112" s="156"/>
      <c r="AM112" s="156"/>
      <c r="AN112" s="156"/>
      <c r="AO112" s="156"/>
      <c r="AP112" s="156"/>
      <c r="AQ112" s="156"/>
      <c r="AR112" s="156"/>
      <c r="AS112" s="156"/>
      <c r="AT112" s="156"/>
      <c r="AU112" s="156"/>
      <c r="AV112" s="156"/>
      <c r="AW112" s="156"/>
      <c r="AX112" s="156"/>
      <c r="AY112" s="156"/>
      <c r="AZ112" s="156"/>
      <c r="BA112" s="156"/>
      <c r="BB112" s="2828"/>
      <c r="BC112" s="2828"/>
      <c r="BD112" s="2828"/>
      <c r="BE112" s="2828"/>
      <c r="BF112" s="156"/>
    </row>
    <row r="113" spans="1:58" hidden="1" outlineLevel="1" x14ac:dyDescent="0.35">
      <c r="A113" s="1071"/>
      <c r="B113" s="106"/>
      <c r="C113" s="103"/>
      <c r="D113" s="292"/>
      <c r="E113" s="292"/>
      <c r="F113" s="106"/>
      <c r="G113" s="292"/>
      <c r="H113" s="106"/>
      <c r="I113" s="106"/>
      <c r="J113" s="106"/>
      <c r="K113" s="106"/>
      <c r="L113" s="106"/>
      <c r="M113" s="106"/>
      <c r="N113" s="103"/>
      <c r="O113" s="106"/>
      <c r="P113" s="106"/>
      <c r="Q113" s="106"/>
      <c r="R113" s="106"/>
      <c r="S113" s="106"/>
      <c r="T113" s="106"/>
      <c r="U113" s="106"/>
      <c r="V113" s="106"/>
      <c r="W113" s="156"/>
      <c r="X113" s="156"/>
      <c r="Y113" s="156"/>
      <c r="Z113" s="156"/>
      <c r="AA113" s="156"/>
      <c r="AB113" s="156"/>
      <c r="AC113" s="156"/>
      <c r="AD113" s="156"/>
      <c r="AE113" s="156"/>
      <c r="AF113" s="156"/>
      <c r="AG113" s="156"/>
      <c r="AH113" s="156"/>
      <c r="AI113" s="156"/>
      <c r="AJ113" s="156"/>
      <c r="AK113" s="156"/>
      <c r="AL113" s="156"/>
      <c r="AM113" s="156"/>
      <c r="AN113" s="156"/>
      <c r="AO113" s="156"/>
      <c r="AP113" s="156"/>
      <c r="AQ113" s="156"/>
      <c r="AR113" s="156"/>
      <c r="AS113" s="156"/>
      <c r="AT113" s="156"/>
      <c r="AU113" s="156"/>
      <c r="AV113" s="156"/>
      <c r="AW113" s="156"/>
      <c r="AX113" s="156"/>
      <c r="AY113" s="156"/>
      <c r="AZ113" s="156"/>
      <c r="BA113" s="156"/>
      <c r="BB113" s="2828"/>
      <c r="BC113" s="2828"/>
      <c r="BD113" s="2828"/>
      <c r="BE113" s="2828"/>
      <c r="BF113" s="156"/>
    </row>
    <row r="114" spans="1:58" collapsed="1" x14ac:dyDescent="0.35">
      <c r="A114" s="1071"/>
      <c r="B114" s="106"/>
      <c r="C114" s="103"/>
      <c r="D114" s="292"/>
      <c r="E114" s="292"/>
      <c r="F114" s="106"/>
      <c r="G114" s="292"/>
      <c r="H114" s="106"/>
      <c r="I114" s="106"/>
      <c r="J114" s="106"/>
      <c r="K114" s="106"/>
      <c r="L114" s="106"/>
      <c r="M114" s="106"/>
      <c r="N114" s="106"/>
      <c r="O114" s="106"/>
      <c r="P114" s="106"/>
      <c r="Q114" s="106"/>
      <c r="R114" s="106"/>
      <c r="S114" s="106"/>
      <c r="T114" s="106"/>
      <c r="U114" s="106"/>
      <c r="V114" s="106"/>
      <c r="W114" s="156"/>
      <c r="X114" s="156"/>
      <c r="Y114" s="156"/>
      <c r="Z114" s="156"/>
      <c r="AA114" s="156"/>
      <c r="AB114" s="156"/>
      <c r="AC114" s="156"/>
      <c r="AD114" s="156"/>
      <c r="AE114" s="156"/>
      <c r="AF114" s="156"/>
      <c r="AG114" s="156"/>
      <c r="AH114" s="156"/>
      <c r="AI114" s="156"/>
      <c r="AJ114" s="156"/>
      <c r="AK114" s="156"/>
      <c r="AL114" s="156"/>
      <c r="AM114" s="156"/>
      <c r="AN114" s="156"/>
      <c r="AO114" s="156"/>
      <c r="AP114" s="156"/>
      <c r="AQ114" s="156"/>
      <c r="AR114" s="156"/>
      <c r="AS114" s="156"/>
      <c r="AT114" s="156"/>
      <c r="AU114" s="156"/>
      <c r="AV114" s="156"/>
      <c r="AW114" s="156"/>
      <c r="AX114" s="156"/>
      <c r="AY114" s="156"/>
      <c r="AZ114" s="156"/>
      <c r="BA114" s="156"/>
      <c r="BB114" s="2828"/>
      <c r="BC114" s="2828"/>
      <c r="BD114" s="2828"/>
      <c r="BE114" s="2828"/>
      <c r="BF114" s="156"/>
    </row>
    <row r="115" spans="1:58" x14ac:dyDescent="0.35">
      <c r="A115" s="1071"/>
      <c r="B115" s="3664" t="s">
        <v>842</v>
      </c>
      <c r="C115" s="3665"/>
      <c r="D115" s="3665"/>
      <c r="E115" s="3665"/>
      <c r="F115" s="3665"/>
      <c r="G115" s="3665"/>
      <c r="H115" s="3665"/>
      <c r="I115" s="3665"/>
      <c r="J115" s="3665"/>
      <c r="K115" s="3665"/>
      <c r="L115" s="3665"/>
      <c r="M115" s="3665"/>
      <c r="N115" s="3665"/>
      <c r="O115" s="3665"/>
      <c r="P115" s="3665"/>
      <c r="Q115" s="4026"/>
      <c r="R115" s="106"/>
      <c r="S115" s="106"/>
      <c r="T115" s="106"/>
      <c r="U115" s="106"/>
      <c r="V115" s="3664" t="str">
        <f>B115</f>
        <v>Central Air Conditioners</v>
      </c>
      <c r="W115" s="3665"/>
      <c r="X115" s="3665"/>
      <c r="Y115" s="3665"/>
      <c r="Z115" s="3665"/>
      <c r="AA115" s="3665"/>
      <c r="AB115" s="3665"/>
      <c r="AC115" s="4018"/>
      <c r="AD115" s="4018"/>
      <c r="AE115" s="4018"/>
      <c r="AF115" s="4018"/>
      <c r="AG115" s="4018"/>
      <c r="AH115" s="4019"/>
      <c r="AI115" s="156"/>
      <c r="AJ115" s="156"/>
      <c r="AK115" s="156"/>
      <c r="AL115" s="156"/>
      <c r="AM115" s="156"/>
      <c r="AN115" s="156"/>
      <c r="AO115" s="156"/>
      <c r="AP115" s="156"/>
      <c r="AQ115" s="156"/>
      <c r="AR115" s="156"/>
      <c r="AS115" s="156"/>
      <c r="AT115" s="156"/>
      <c r="AU115" s="156"/>
      <c r="AV115" s="156"/>
      <c r="AW115" s="156"/>
      <c r="AX115" s="156"/>
      <c r="AY115" s="156"/>
      <c r="AZ115" s="156"/>
      <c r="BA115" s="156"/>
      <c r="BB115" s="2828"/>
      <c r="BC115" s="2828"/>
      <c r="BD115" s="2828"/>
      <c r="BE115" s="2828"/>
      <c r="BF115" s="156"/>
    </row>
    <row r="116" spans="1:58" x14ac:dyDescent="0.35">
      <c r="A116" s="1071"/>
      <c r="B116" s="106"/>
      <c r="C116" s="103"/>
      <c r="D116" s="292"/>
      <c r="E116" s="292"/>
      <c r="F116" s="106"/>
      <c r="G116" s="292"/>
      <c r="H116" s="103"/>
      <c r="I116" s="103"/>
      <c r="J116" s="103"/>
      <c r="K116" s="103"/>
      <c r="L116" s="103"/>
      <c r="M116" s="2776"/>
      <c r="N116" s="106"/>
      <c r="O116" s="106"/>
      <c r="P116" s="106"/>
      <c r="Q116" s="106"/>
      <c r="R116" s="106"/>
      <c r="S116" s="106"/>
      <c r="T116" s="106"/>
      <c r="U116" s="106"/>
      <c r="V116" s="106"/>
      <c r="W116" s="156"/>
      <c r="X116" s="156"/>
      <c r="Y116" s="156"/>
      <c r="Z116" s="156"/>
      <c r="AA116" s="156"/>
      <c r="AB116" s="156"/>
      <c r="AC116" s="156"/>
      <c r="AD116" s="156"/>
      <c r="AE116" s="156"/>
      <c r="AF116" s="156"/>
      <c r="AG116" s="156"/>
      <c r="AH116" s="156"/>
      <c r="AI116" s="156"/>
      <c r="AJ116" s="156"/>
      <c r="AK116" s="156"/>
      <c r="AL116" s="156"/>
      <c r="AM116" s="156"/>
      <c r="AN116" s="156"/>
      <c r="AO116" s="156"/>
      <c r="AP116" s="156"/>
      <c r="AQ116" s="156"/>
      <c r="AR116" s="156"/>
      <c r="AS116" s="156"/>
      <c r="AT116" s="156"/>
      <c r="AU116" s="156"/>
      <c r="AV116" s="156"/>
      <c r="AW116" s="156"/>
      <c r="AX116" s="156"/>
      <c r="AY116" s="156"/>
      <c r="AZ116" s="156"/>
      <c r="BA116" s="156"/>
      <c r="BB116" s="2828"/>
      <c r="BC116" s="2828"/>
      <c r="BD116" s="2828"/>
      <c r="BE116" s="2828"/>
      <c r="BF116" s="156"/>
    </row>
    <row r="117" spans="1:58" x14ac:dyDescent="0.35">
      <c r="A117" s="1071"/>
      <c r="B117" s="106"/>
      <c r="C117" s="103"/>
      <c r="D117" s="292" t="s">
        <v>843</v>
      </c>
      <c r="E117" s="292"/>
      <c r="F117" s="106"/>
      <c r="G117" s="292"/>
      <c r="H117" s="103"/>
      <c r="I117" s="103"/>
      <c r="J117" s="103"/>
      <c r="K117" s="103"/>
      <c r="L117" s="103"/>
      <c r="M117" s="2301"/>
      <c r="N117" s="106"/>
      <c r="O117" s="106"/>
      <c r="P117" s="106"/>
      <c r="Q117" s="106"/>
      <c r="R117" s="106"/>
      <c r="S117" s="106"/>
      <c r="T117" s="106"/>
      <c r="U117" s="106"/>
      <c r="V117" s="106"/>
      <c r="W117" s="156"/>
      <c r="X117" s="156"/>
      <c r="Y117" s="156"/>
      <c r="Z117" s="156"/>
      <c r="AA117" s="156"/>
      <c r="AB117" s="156"/>
      <c r="AC117" s="156"/>
      <c r="AD117" s="156"/>
      <c r="AE117" s="156"/>
      <c r="AF117" s="156"/>
      <c r="AG117" s="156"/>
      <c r="AH117" s="156"/>
      <c r="AI117" s="156"/>
      <c r="AJ117" s="156"/>
      <c r="AK117" s="156"/>
      <c r="AL117" s="156"/>
      <c r="AM117" s="156"/>
      <c r="AN117" s="156"/>
      <c r="AO117" s="156"/>
      <c r="AP117" s="156"/>
      <c r="AQ117" s="156"/>
      <c r="AR117" s="156"/>
      <c r="AS117" s="156"/>
      <c r="AT117" s="156"/>
      <c r="AU117" s="156"/>
      <c r="AV117" s="156"/>
      <c r="AW117" s="156"/>
      <c r="AX117" s="156"/>
      <c r="AY117" s="156"/>
      <c r="AZ117" s="156"/>
      <c r="BA117" s="156"/>
      <c r="BB117" s="2828"/>
      <c r="BC117" s="2828"/>
      <c r="BD117" s="2828"/>
      <c r="BE117" s="2828"/>
      <c r="BF117" s="156"/>
    </row>
    <row r="118" spans="1:58" ht="29" x14ac:dyDescent="0.35">
      <c r="A118" s="1071"/>
      <c r="B118" s="106"/>
      <c r="C118" s="2331" t="s">
        <v>27</v>
      </c>
      <c r="D118" s="2331" t="s">
        <v>174</v>
      </c>
      <c r="E118" s="2331" t="s">
        <v>29</v>
      </c>
      <c r="F118" s="2331" t="s">
        <v>30</v>
      </c>
      <c r="G118" s="2331" t="s">
        <v>175</v>
      </c>
      <c r="H118" s="2331" t="s">
        <v>176</v>
      </c>
      <c r="I118" s="2331" t="s">
        <v>31</v>
      </c>
      <c r="J118" s="2363" t="s">
        <v>180</v>
      </c>
      <c r="K118" s="2331" t="s">
        <v>169</v>
      </c>
      <c r="L118" s="2331" t="s">
        <v>844</v>
      </c>
      <c r="M118" s="2301"/>
      <c r="N118" s="106"/>
      <c r="O118" s="106"/>
      <c r="P118" s="106"/>
      <c r="Q118" s="106"/>
      <c r="R118" s="106"/>
      <c r="S118" s="106"/>
      <c r="T118" s="106"/>
      <c r="U118" s="106"/>
      <c r="V118" s="480" t="s">
        <v>44</v>
      </c>
      <c r="W118" s="1573">
        <f>W$6</f>
        <v>43252</v>
      </c>
      <c r="X118" s="1573">
        <f t="shared" ref="X118:AG118" si="26">X$6</f>
        <v>43465</v>
      </c>
      <c r="Y118" s="1573">
        <f t="shared" si="26"/>
        <v>43800</v>
      </c>
      <c r="Z118" s="1573">
        <f t="shared" si="26"/>
        <v>43862</v>
      </c>
      <c r="AA118" s="1573">
        <f t="shared" si="26"/>
        <v>44013</v>
      </c>
      <c r="AB118" s="1573">
        <f t="shared" si="26"/>
        <v>44166</v>
      </c>
      <c r="AC118" s="1573">
        <f t="shared" si="26"/>
        <v>44531</v>
      </c>
      <c r="AD118" s="1573">
        <f t="shared" si="26"/>
        <v>44774</v>
      </c>
      <c r="AE118" s="1573" t="str">
        <f t="shared" si="26"/>
        <v>-</v>
      </c>
      <c r="AF118" s="1573" t="str">
        <f t="shared" si="26"/>
        <v>-</v>
      </c>
      <c r="AG118" s="1573" t="str">
        <f t="shared" si="26"/>
        <v>-</v>
      </c>
      <c r="AH118" s="156"/>
      <c r="AI118" s="156"/>
      <c r="AJ118" s="156"/>
      <c r="AK118" s="156"/>
      <c r="AL118" s="156"/>
      <c r="AM118" s="156"/>
      <c r="AN118" s="156"/>
      <c r="AO118" s="156"/>
      <c r="AP118" s="156"/>
      <c r="AQ118" s="156"/>
      <c r="AR118" s="156"/>
      <c r="AS118" s="156"/>
      <c r="AT118" s="156"/>
      <c r="AU118" s="156"/>
      <c r="AV118" s="156"/>
      <c r="AW118" s="156"/>
      <c r="AX118" s="156"/>
      <c r="AY118" s="156"/>
      <c r="AZ118" s="156"/>
      <c r="BA118" s="156"/>
      <c r="BB118" s="3306" t="str">
        <f>$BB$6</f>
        <v>TRC (2022)</v>
      </c>
      <c r="BC118" s="3306" t="str">
        <f>$BC$6</f>
        <v>Benefit Lookup</v>
      </c>
      <c r="BD118" s="3307" t="str">
        <f>$BD$6</f>
        <v>Benefits (2019 $)</v>
      </c>
      <c r="BE118" s="3308" t="str">
        <f>$BE$6</f>
        <v>Incremental Cost (2019 $)</v>
      </c>
      <c r="BF118" s="156"/>
    </row>
    <row r="119" spans="1:58" x14ac:dyDescent="0.35">
      <c r="A119" s="1071" t="str">
        <f t="shared" ref="A119:A182" si="27">C119&amp;G119</f>
        <v>350400_2021_12_Cooling RES</v>
      </c>
      <c r="B119" s="106"/>
      <c r="C119" s="50" t="s">
        <v>845</v>
      </c>
      <c r="D119" s="395" t="s">
        <v>318</v>
      </c>
      <c r="E119" s="2795" t="s">
        <v>846</v>
      </c>
      <c r="F119" s="1741">
        <f>ROUND(((J210*J282*(1/J498-1/J426))/1000)*J570*$J$642,2)</f>
        <v>1529.78</v>
      </c>
      <c r="G119" s="727" t="s">
        <v>257</v>
      </c>
      <c r="H119" s="136">
        <f>VLOOKUP(G119,'CP FACTORS'!$A$3:$B$38, 2, FALSE)</f>
        <v>9.4741810000000004E-4</v>
      </c>
      <c r="I119" s="1278">
        <f>ROUND(F119*H119,6)</f>
        <v>1.449341</v>
      </c>
      <c r="J119" s="557">
        <f t="shared" ref="J119:J125" si="28">J643</f>
        <v>6</v>
      </c>
      <c r="K119" s="387">
        <f>J715</f>
        <v>444.07830140084025</v>
      </c>
      <c r="L119" s="52">
        <f>K282</f>
        <v>2.98</v>
      </c>
      <c r="M119" s="2301"/>
      <c r="N119" s="106"/>
      <c r="O119" s="106"/>
      <c r="P119" s="106"/>
      <c r="Q119" s="106"/>
      <c r="R119" s="106"/>
      <c r="S119" s="106"/>
      <c r="T119" s="106"/>
      <c r="U119" s="106"/>
      <c r="V119" s="1592" t="s">
        <v>30</v>
      </c>
      <c r="W119" s="2868">
        <v>1612.0233596702167</v>
      </c>
      <c r="X119" s="559">
        <v>1572.0312023114329</v>
      </c>
      <c r="Y119" s="1591">
        <v>1532.85</v>
      </c>
      <c r="Z119" s="560">
        <v>1532.85</v>
      </c>
      <c r="AA119" s="560">
        <v>1532.85</v>
      </c>
      <c r="AB119" s="2831">
        <v>1532.85</v>
      </c>
      <c r="AC119" s="2299">
        <v>1529.78</v>
      </c>
      <c r="AD119" s="1741">
        <v>1529.78</v>
      </c>
      <c r="AE119" s="2831"/>
      <c r="AF119" s="851"/>
      <c r="AG119" s="851"/>
      <c r="AH119" s="344"/>
      <c r="AI119" s="156"/>
      <c r="AJ119" s="156"/>
      <c r="AK119" s="156"/>
      <c r="AL119" s="156"/>
      <c r="AM119" s="156"/>
      <c r="AN119" s="156"/>
      <c r="AO119" s="156"/>
      <c r="AP119" s="156"/>
      <c r="AQ119" s="156"/>
      <c r="AR119" s="156"/>
      <c r="AS119" s="156"/>
      <c r="AT119" s="156"/>
      <c r="AU119" s="156"/>
      <c r="AV119" s="156"/>
      <c r="AW119" s="156"/>
      <c r="AX119" s="156"/>
      <c r="AY119" s="156"/>
      <c r="AZ119" s="156"/>
      <c r="BA119" s="156"/>
      <c r="BB119" s="2832">
        <f>(BD119+BD120)/(BE119+BE120)</f>
        <v>2.8203426076588602</v>
      </c>
      <c r="BC119" s="3255" t="str">
        <f t="shared" ref="BC119:BC154" si="29">CONCATENATE(G119," ",J119," Year EUL")</f>
        <v>Cooling RES 6 Year EUL</v>
      </c>
      <c r="BD119" s="2869">
        <f>(INDEX('Avoided Cost Benefits'!$E$4:$E$859,MATCH(BC119,'Avoided Cost Benefits'!$A$4:$A$859,0)))*F119</f>
        <v>969.28694901151562</v>
      </c>
      <c r="BE119" s="855">
        <f>K119/(1.0595^(2020-2019))</f>
        <v>419.13950108621066</v>
      </c>
      <c r="BF119" s="156"/>
    </row>
    <row r="120" spans="1:58" x14ac:dyDescent="0.35">
      <c r="A120" s="1071" t="str">
        <f t="shared" si="27"/>
        <v>350400_2021_12_Cooling RES ER2</v>
      </c>
      <c r="B120" s="106"/>
      <c r="C120" s="50" t="s">
        <v>845</v>
      </c>
      <c r="D120" s="1279" t="s">
        <v>318</v>
      </c>
      <c r="E120" s="2796" t="s">
        <v>847</v>
      </c>
      <c r="F120" s="1741">
        <f>ROUND(((J211*J283*(1/J355-1/J427))/1000)*J571*$J$642,2)</f>
        <v>192.34</v>
      </c>
      <c r="G120" s="727" t="s">
        <v>848</v>
      </c>
      <c r="H120" s="136">
        <f>VLOOKUP(G120,'CP FACTORS'!$A$3:$B$38, 2, FALSE)</f>
        <v>9.4741810000000004E-4</v>
      </c>
      <c r="I120" s="1278">
        <f t="shared" ref="I120:I154" si="30">ROUND(F120*H120,6)</f>
        <v>0.182226</v>
      </c>
      <c r="J120" s="557">
        <f t="shared" si="28"/>
        <v>12</v>
      </c>
      <c r="K120" s="387">
        <f t="shared" ref="K120:K154" si="31">J716</f>
        <v>0</v>
      </c>
      <c r="L120" s="52">
        <f t="shared" ref="L120:L154" si="32">K283</f>
        <v>2.98</v>
      </c>
      <c r="M120" s="2301"/>
      <c r="N120" s="106"/>
      <c r="O120" s="106"/>
      <c r="P120" s="106"/>
      <c r="Q120" s="106"/>
      <c r="R120" s="106"/>
      <c r="S120" s="106"/>
      <c r="T120" s="106"/>
      <c r="U120" s="106"/>
      <c r="V120" s="1592" t="s">
        <v>30</v>
      </c>
      <c r="W120" s="2868">
        <v>925.30140845070434</v>
      </c>
      <c r="X120" s="559">
        <v>200.42516297262068</v>
      </c>
      <c r="Y120" s="1591">
        <v>192.72</v>
      </c>
      <c r="Z120" s="560">
        <v>192.72</v>
      </c>
      <c r="AA120" s="560">
        <v>192.72</v>
      </c>
      <c r="AB120" s="2831">
        <v>192.72</v>
      </c>
      <c r="AC120" s="2299">
        <v>192.34</v>
      </c>
      <c r="AD120" s="1741">
        <v>192.34</v>
      </c>
      <c r="AE120" s="2831"/>
      <c r="AF120" s="851"/>
      <c r="AG120" s="851"/>
      <c r="AH120" s="344"/>
      <c r="AI120" s="156"/>
      <c r="AJ120" s="156"/>
      <c r="AK120" s="156"/>
      <c r="AL120" s="156"/>
      <c r="AM120" s="156"/>
      <c r="AN120" s="156"/>
      <c r="AO120" s="156"/>
      <c r="AP120" s="156"/>
      <c r="AQ120" s="156"/>
      <c r="AR120" s="156"/>
      <c r="AS120" s="156"/>
      <c r="AT120" s="156"/>
      <c r="AU120" s="156"/>
      <c r="AV120" s="156"/>
      <c r="AW120" s="156"/>
      <c r="AX120" s="156"/>
      <c r="AY120" s="156"/>
      <c r="AZ120" s="156"/>
      <c r="BA120" s="156"/>
      <c r="BB120" s="2836"/>
      <c r="BC120" s="3256" t="str">
        <f t="shared" si="29"/>
        <v>Cooling RES ER2 12 Year EUL</v>
      </c>
      <c r="BD120" s="2871">
        <f>(INDEX('Avoided Cost Benefits'!$E$4:$E$859,MATCH(BC120,'Avoided Cost Benefits'!$A$4:$A$859,0)))*F120</f>
        <v>212.83004445480154</v>
      </c>
      <c r="BE120" s="860">
        <f t="shared" ref="BE120:BE154" si="33">K120/(1.0595^(2020-2019))</f>
        <v>0</v>
      </c>
      <c r="BF120" s="156"/>
    </row>
    <row r="121" spans="1:58" x14ac:dyDescent="0.35">
      <c r="A121" s="1071" t="str">
        <f t="shared" si="27"/>
        <v>350450_2021_12_Cooling RES</v>
      </c>
      <c r="B121" s="106"/>
      <c r="C121" s="50" t="s">
        <v>849</v>
      </c>
      <c r="D121" s="1279" t="s">
        <v>318</v>
      </c>
      <c r="E121" s="2795" t="s">
        <v>850</v>
      </c>
      <c r="F121" s="1741">
        <f>ROUND(((J212*J284*(1/J356-1/J428))/1000)*J572*$J$642,2)</f>
        <v>191.69</v>
      </c>
      <c r="G121" s="727" t="s">
        <v>257</v>
      </c>
      <c r="H121" s="136">
        <f>VLOOKUP(G121,'CP FACTORS'!$A$3:$B$38, 2, FALSE)</f>
        <v>9.4741810000000004E-4</v>
      </c>
      <c r="I121" s="1278">
        <f t="shared" si="30"/>
        <v>0.18161099999999999</v>
      </c>
      <c r="J121" s="557">
        <f t="shared" si="28"/>
        <v>18</v>
      </c>
      <c r="K121" s="387">
        <f t="shared" si="31"/>
        <v>0</v>
      </c>
      <c r="L121" s="52">
        <f t="shared" si="32"/>
        <v>2.97</v>
      </c>
      <c r="M121" s="2301"/>
      <c r="N121" s="106"/>
      <c r="O121" s="106"/>
      <c r="P121" s="106"/>
      <c r="Q121" s="106"/>
      <c r="R121" s="106"/>
      <c r="S121" s="106"/>
      <c r="T121" s="106"/>
      <c r="U121" s="106"/>
      <c r="V121" s="1592" t="s">
        <v>30</v>
      </c>
      <c r="W121" s="2868">
        <v>203.36294691224271</v>
      </c>
      <c r="X121" s="559">
        <v>200.42516297262068</v>
      </c>
      <c r="Y121" s="1591">
        <v>192.07</v>
      </c>
      <c r="Z121" s="560">
        <v>192.07</v>
      </c>
      <c r="AA121" s="560">
        <v>192.07</v>
      </c>
      <c r="AB121" s="2831">
        <v>192.07</v>
      </c>
      <c r="AC121" s="2299">
        <v>191.69</v>
      </c>
      <c r="AD121" s="1741">
        <v>191.69</v>
      </c>
      <c r="AE121" s="2831"/>
      <c r="AF121" s="851"/>
      <c r="AG121" s="851"/>
      <c r="AH121" s="344"/>
      <c r="AI121" s="156"/>
      <c r="AJ121" s="156"/>
      <c r="AK121" s="156"/>
      <c r="AL121" s="156"/>
      <c r="AM121" s="156"/>
      <c r="AN121" s="156"/>
      <c r="AO121" s="156"/>
      <c r="AP121" s="156"/>
      <c r="AQ121" s="156"/>
      <c r="AR121" s="156"/>
      <c r="AS121" s="156"/>
      <c r="AT121" s="156"/>
      <c r="AU121" s="156"/>
      <c r="AV121" s="156"/>
      <c r="AW121" s="156"/>
      <c r="AX121" s="156"/>
      <c r="AY121" s="156"/>
      <c r="AZ121" s="156"/>
      <c r="BA121" s="156"/>
      <c r="BB121" s="3309" t="str">
        <f>IFERROR((BD121)/(BE121),"")</f>
        <v/>
      </c>
      <c r="BC121" s="562" t="str">
        <f t="shared" si="29"/>
        <v>Cooling RES 18 Year EUL</v>
      </c>
      <c r="BD121" s="3310">
        <f>(INDEX('Avoided Cost Benefits'!$E$4:$E$859,MATCH(BC121,'Avoided Cost Benefits'!$A$4:$A$859,0)))*F121</f>
        <v>333.56788196910014</v>
      </c>
      <c r="BE121" s="923">
        <f t="shared" si="33"/>
        <v>0</v>
      </c>
      <c r="BF121" s="156"/>
    </row>
    <row r="122" spans="1:58" x14ac:dyDescent="0.35">
      <c r="A122" s="1071" t="str">
        <f t="shared" si="27"/>
        <v>350500_2021_12_Cooling RES</v>
      </c>
      <c r="B122" s="106"/>
      <c r="C122" s="50" t="s">
        <v>851</v>
      </c>
      <c r="D122" s="1279" t="s">
        <v>320</v>
      </c>
      <c r="E122" s="2795" t="s">
        <v>852</v>
      </c>
      <c r="F122" s="1741">
        <f>ROUND(((J213*J285*(1/J501-1/J429))/1000)*J573*$J$642,2)</f>
        <v>1011.98</v>
      </c>
      <c r="G122" s="727" t="s">
        <v>257</v>
      </c>
      <c r="H122" s="136">
        <f>VLOOKUP(G122,'CP FACTORS'!$A$3:$B$38, 2, FALSE)</f>
        <v>9.4741810000000004E-4</v>
      </c>
      <c r="I122" s="1278">
        <f t="shared" si="30"/>
        <v>0.95876799999999995</v>
      </c>
      <c r="J122" s="557">
        <f t="shared" si="28"/>
        <v>6</v>
      </c>
      <c r="K122" s="387">
        <f t="shared" si="31"/>
        <v>388.26502607230418</v>
      </c>
      <c r="L122" s="52">
        <f t="shared" si="32"/>
        <v>2</v>
      </c>
      <c r="M122" s="2301"/>
      <c r="N122" s="106"/>
      <c r="O122" s="106"/>
      <c r="P122" s="106"/>
      <c r="Q122" s="106"/>
      <c r="R122" s="106"/>
      <c r="S122" s="106"/>
      <c r="T122" s="106"/>
      <c r="U122" s="106"/>
      <c r="V122" s="1592" t="s">
        <v>30</v>
      </c>
      <c r="W122" s="2868">
        <v>1047.8151837856408</v>
      </c>
      <c r="X122" s="559">
        <v>1489.5657573374176</v>
      </c>
      <c r="Y122" s="1591">
        <v>1014.01</v>
      </c>
      <c r="Z122" s="560">
        <v>1014.01</v>
      </c>
      <c r="AA122" s="560">
        <v>1014.01</v>
      </c>
      <c r="AB122" s="2831">
        <v>1014.01</v>
      </c>
      <c r="AC122" s="2299">
        <v>1011.98</v>
      </c>
      <c r="AD122" s="1741">
        <v>1011.98</v>
      </c>
      <c r="AE122" s="2831"/>
      <c r="AF122" s="851"/>
      <c r="AG122" s="851"/>
      <c r="AH122" s="344"/>
      <c r="AI122" s="156"/>
      <c r="AJ122" s="156"/>
      <c r="AK122" s="156"/>
      <c r="AL122" s="156"/>
      <c r="AM122" s="156"/>
      <c r="AN122" s="156"/>
      <c r="AO122" s="156"/>
      <c r="AP122" s="156"/>
      <c r="AQ122" s="156"/>
      <c r="AR122" s="156"/>
      <c r="AS122" s="156"/>
      <c r="AT122" s="156"/>
      <c r="AU122" s="156"/>
      <c r="AV122" s="156"/>
      <c r="AW122" s="156"/>
      <c r="AX122" s="156"/>
      <c r="AY122" s="156"/>
      <c r="AZ122" s="156"/>
      <c r="BA122" s="156"/>
      <c r="BB122" s="2832">
        <f>(BD122+BD123)/(BE122+BE123)</f>
        <v>2.0950285778759956</v>
      </c>
      <c r="BC122" s="3255" t="str">
        <f t="shared" si="29"/>
        <v>Cooling RES 6 Year EUL</v>
      </c>
      <c r="BD122" s="2869">
        <f>(INDEX('Avoided Cost Benefits'!$E$4:$E$859,MATCH(BC122,'Avoided Cost Benefits'!$A$4:$A$859,0)))*F122</f>
        <v>641.20266094515137</v>
      </c>
      <c r="BE122" s="855">
        <f t="shared" si="33"/>
        <v>366.46061922822474</v>
      </c>
      <c r="BF122" s="156"/>
    </row>
    <row r="123" spans="1:58" x14ac:dyDescent="0.35">
      <c r="A123" s="1071" t="str">
        <f t="shared" si="27"/>
        <v>350500_2021_12_Cooling RES ER2</v>
      </c>
      <c r="B123" s="106"/>
      <c r="C123" s="50" t="s">
        <v>851</v>
      </c>
      <c r="D123" s="1279" t="s">
        <v>320</v>
      </c>
      <c r="E123" s="2796" t="s">
        <v>853</v>
      </c>
      <c r="F123" s="1741">
        <f>ROUND(((J214*J286*(1/J358-1/J430))/1000)*J574*$J$642,2)</f>
        <v>114.36</v>
      </c>
      <c r="G123" s="727" t="s">
        <v>848</v>
      </c>
      <c r="H123" s="136">
        <f>VLOOKUP(G123,'CP FACTORS'!$A$3:$B$38, 2, FALSE)</f>
        <v>9.4741810000000004E-4</v>
      </c>
      <c r="I123" s="1278">
        <f t="shared" si="30"/>
        <v>0.108347</v>
      </c>
      <c r="J123" s="557">
        <f t="shared" si="28"/>
        <v>12</v>
      </c>
      <c r="K123" s="387">
        <f t="shared" si="31"/>
        <v>0</v>
      </c>
      <c r="L123" s="52">
        <f t="shared" si="32"/>
        <v>2</v>
      </c>
      <c r="M123" s="2301"/>
      <c r="N123" s="106"/>
      <c r="O123" s="106"/>
      <c r="P123" s="106"/>
      <c r="Q123" s="106"/>
      <c r="R123" s="106"/>
      <c r="S123" s="106"/>
      <c r="T123" s="106"/>
      <c r="U123" s="106"/>
      <c r="V123" s="1592" t="s">
        <v>30</v>
      </c>
      <c r="W123" s="2868">
        <v>601.44591549295785</v>
      </c>
      <c r="X123" s="559">
        <v>232.04244031830254</v>
      </c>
      <c r="Y123" s="1591">
        <v>114.59</v>
      </c>
      <c r="Z123" s="560">
        <v>114.59</v>
      </c>
      <c r="AA123" s="560">
        <v>114.59</v>
      </c>
      <c r="AB123" s="2831">
        <v>114.59</v>
      </c>
      <c r="AC123" s="2299">
        <v>114.36</v>
      </c>
      <c r="AD123" s="1741">
        <v>114.36</v>
      </c>
      <c r="AE123" s="2831"/>
      <c r="AF123" s="851"/>
      <c r="AG123" s="851"/>
      <c r="AH123" s="344"/>
      <c r="AI123" s="156"/>
      <c r="AJ123" s="156"/>
      <c r="AK123" s="156"/>
      <c r="AL123" s="156"/>
      <c r="AM123" s="156"/>
      <c r="AN123" s="156"/>
      <c r="AO123" s="156"/>
      <c r="AP123" s="156"/>
      <c r="AQ123" s="156"/>
      <c r="AR123" s="156"/>
      <c r="AS123" s="156"/>
      <c r="AT123" s="156"/>
      <c r="AU123" s="156"/>
      <c r="AV123" s="156"/>
      <c r="AW123" s="156"/>
      <c r="AX123" s="156"/>
      <c r="AY123" s="156"/>
      <c r="AZ123" s="156"/>
      <c r="BA123" s="156"/>
      <c r="BB123" s="2836"/>
      <c r="BC123" s="3256" t="str">
        <f t="shared" si="29"/>
        <v>Cooling RES ER2 12 Year EUL</v>
      </c>
      <c r="BD123" s="2871">
        <f>(INDEX('Avoided Cost Benefits'!$E$4:$E$859,MATCH(BC123,'Avoided Cost Benefits'!$A$4:$A$859,0)))*F123</f>
        <v>126.54280900411304</v>
      </c>
      <c r="BE123" s="860">
        <f t="shared" si="33"/>
        <v>0</v>
      </c>
      <c r="BF123" s="156"/>
    </row>
    <row r="124" spans="1:58" x14ac:dyDescent="0.35">
      <c r="A124" s="1071" t="str">
        <f t="shared" si="27"/>
        <v>350501_2021_12_Cooling RES</v>
      </c>
      <c r="B124" s="106"/>
      <c r="C124" s="1037" t="s">
        <v>854</v>
      </c>
      <c r="D124" s="1279" t="s">
        <v>315</v>
      </c>
      <c r="E124" s="2795" t="s">
        <v>855</v>
      </c>
      <c r="F124" s="1741">
        <f>ROUND(((J215*J287*(1/J503-1/J431))/1000)*J575*$J$642,2)</f>
        <v>735.98</v>
      </c>
      <c r="G124" s="727" t="s">
        <v>257</v>
      </c>
      <c r="H124" s="136">
        <f>VLOOKUP(G124,'CP FACTORS'!$A$3:$B$38, 2, FALSE)</f>
        <v>9.4741810000000004E-4</v>
      </c>
      <c r="I124" s="1278">
        <f t="shared" si="30"/>
        <v>0.69728100000000004</v>
      </c>
      <c r="J124" s="557">
        <f t="shared" si="28"/>
        <v>6</v>
      </c>
      <c r="K124" s="387">
        <f t="shared" si="31"/>
        <v>298.03912845693981</v>
      </c>
      <c r="L124" s="52">
        <f t="shared" si="32"/>
        <v>2</v>
      </c>
      <c r="M124" s="2301"/>
      <c r="N124" s="106"/>
      <c r="O124" s="106"/>
      <c r="P124" s="106"/>
      <c r="Q124" s="106"/>
      <c r="R124" s="106"/>
      <c r="S124" s="106"/>
      <c r="T124" s="106"/>
      <c r="U124" s="106"/>
      <c r="V124" s="1592" t="s">
        <v>30</v>
      </c>
      <c r="W124" s="2868"/>
      <c r="X124" s="559"/>
      <c r="Y124" s="1591">
        <v>737.46</v>
      </c>
      <c r="Z124" s="560">
        <v>737.46</v>
      </c>
      <c r="AA124" s="560">
        <v>737.46</v>
      </c>
      <c r="AB124" s="2831">
        <v>737.46</v>
      </c>
      <c r="AC124" s="2299">
        <v>735.98</v>
      </c>
      <c r="AD124" s="1741">
        <v>735.98</v>
      </c>
      <c r="AE124" s="2831"/>
      <c r="AF124" s="851"/>
      <c r="AG124" s="851"/>
      <c r="AH124" s="344"/>
      <c r="AI124" s="156"/>
      <c r="AJ124" s="156"/>
      <c r="AK124" s="156"/>
      <c r="AL124" s="156"/>
      <c r="AM124" s="156"/>
      <c r="AN124" s="156"/>
      <c r="AO124" s="156"/>
      <c r="AP124" s="156"/>
      <c r="AQ124" s="156"/>
      <c r="AR124" s="156"/>
      <c r="AS124" s="156"/>
      <c r="AT124" s="156"/>
      <c r="AU124" s="156"/>
      <c r="AV124" s="156"/>
      <c r="AW124" s="156"/>
      <c r="AX124" s="156"/>
      <c r="AY124" s="156"/>
      <c r="AZ124" s="156"/>
      <c r="BA124" s="156"/>
      <c r="BB124" s="2832">
        <f>(BD124+BD125)/(BE124+BE125)</f>
        <v>1.9849006326414396</v>
      </c>
      <c r="BC124" s="3255" t="str">
        <f t="shared" si="29"/>
        <v>Cooling RES 6 Year EUL</v>
      </c>
      <c r="BD124" s="2869">
        <f>(INDEX('Avoided Cost Benefits'!$E$4:$E$859,MATCH(BC124,'Avoided Cost Benefits'!$A$4:$A$859,0)))*F124</f>
        <v>466.32575189471379</v>
      </c>
      <c r="BE124" s="855">
        <f t="shared" si="33"/>
        <v>281.30167858134951</v>
      </c>
      <c r="BF124" s="156"/>
    </row>
    <row r="125" spans="1:58" x14ac:dyDescent="0.35">
      <c r="A125" s="1071" t="str">
        <f t="shared" si="27"/>
        <v>350501_2021_12_Cooling RES ER2</v>
      </c>
      <c r="B125" s="106"/>
      <c r="C125" s="1037" t="s">
        <v>854</v>
      </c>
      <c r="D125" s="1279" t="s">
        <v>315</v>
      </c>
      <c r="E125" s="2796" t="s">
        <v>856</v>
      </c>
      <c r="F125" s="1741">
        <f>ROUND(((J216*J288*(1/J360-1/J432))/1000)*J576*$J$642,2)</f>
        <v>83.17</v>
      </c>
      <c r="G125" s="727" t="s">
        <v>848</v>
      </c>
      <c r="H125" s="136">
        <f>VLOOKUP(G125,'CP FACTORS'!$A$3:$B$38, 2, FALSE)</f>
        <v>9.4741810000000004E-4</v>
      </c>
      <c r="I125" s="1278">
        <f t="shared" si="30"/>
        <v>7.8797000000000006E-2</v>
      </c>
      <c r="J125" s="557">
        <f t="shared" si="28"/>
        <v>12</v>
      </c>
      <c r="K125" s="387">
        <f t="shared" si="31"/>
        <v>0</v>
      </c>
      <c r="L125" s="52">
        <f t="shared" si="32"/>
        <v>2</v>
      </c>
      <c r="M125" s="2301"/>
      <c r="N125" s="106"/>
      <c r="O125" s="106"/>
      <c r="P125" s="106"/>
      <c r="Q125" s="106"/>
      <c r="R125" s="106"/>
      <c r="S125" s="106"/>
      <c r="T125" s="106"/>
      <c r="U125" s="106"/>
      <c r="V125" s="1592" t="s">
        <v>30</v>
      </c>
      <c r="W125" s="2868"/>
      <c r="X125" s="559"/>
      <c r="Y125" s="1591">
        <v>83.34</v>
      </c>
      <c r="Z125" s="560">
        <v>83.34</v>
      </c>
      <c r="AA125" s="560">
        <v>83.34</v>
      </c>
      <c r="AB125" s="2831">
        <v>83.34</v>
      </c>
      <c r="AC125" s="2299">
        <v>83.17</v>
      </c>
      <c r="AD125" s="1741">
        <v>83.17</v>
      </c>
      <c r="AE125" s="2831"/>
      <c r="AF125" s="851"/>
      <c r="AG125" s="851"/>
      <c r="AH125" s="344"/>
      <c r="AI125" s="156"/>
      <c r="AJ125" s="156"/>
      <c r="AK125" s="156"/>
      <c r="AL125" s="156"/>
      <c r="AM125" s="156"/>
      <c r="AN125" s="156"/>
      <c r="AO125" s="156"/>
      <c r="AP125" s="156"/>
      <c r="AQ125" s="156"/>
      <c r="AR125" s="156"/>
      <c r="AS125" s="156"/>
      <c r="AT125" s="156"/>
      <c r="AU125" s="156"/>
      <c r="AV125" s="156"/>
      <c r="AW125" s="156"/>
      <c r="AX125" s="156"/>
      <c r="AY125" s="156"/>
      <c r="AZ125" s="156"/>
      <c r="BA125" s="156"/>
      <c r="BB125" s="2836"/>
      <c r="BC125" s="3256" t="str">
        <f t="shared" si="29"/>
        <v>Cooling RES ER2 12 Year EUL</v>
      </c>
      <c r="BD125" s="2871">
        <f>(INDEX('Avoided Cost Benefits'!$E$4:$E$859,MATCH(BC125,'Avoided Cost Benefits'!$A$4:$A$859,0)))*F125</f>
        <v>92.030127884505788</v>
      </c>
      <c r="BE125" s="860">
        <f t="shared" si="33"/>
        <v>0</v>
      </c>
      <c r="BF125" s="156"/>
    </row>
    <row r="126" spans="1:58" x14ac:dyDescent="0.35">
      <c r="A126" s="1071" t="str">
        <f t="shared" si="27"/>
        <v>350550_2021_12_Cooling RES</v>
      </c>
      <c r="B126" s="106"/>
      <c r="C126" s="50" t="s">
        <v>857</v>
      </c>
      <c r="D126" s="1279" t="s">
        <v>320</v>
      </c>
      <c r="E126" s="2795" t="s">
        <v>858</v>
      </c>
      <c r="F126" s="1741">
        <f>ROUND(((J217*J289*(1/J361-1/J433))/1000)*J577*$J$642,2)</f>
        <v>114.36</v>
      </c>
      <c r="G126" s="727" t="s">
        <v>257</v>
      </c>
      <c r="H126" s="136">
        <f>VLOOKUP(G126,'CP FACTORS'!$A$3:$B$38, 2, FALSE)</f>
        <v>9.4741810000000004E-4</v>
      </c>
      <c r="I126" s="1278">
        <f t="shared" si="30"/>
        <v>0.108347</v>
      </c>
      <c r="J126" s="564">
        <v>18</v>
      </c>
      <c r="K126" s="387">
        <f t="shared" si="31"/>
        <v>0</v>
      </c>
      <c r="L126" s="52">
        <f t="shared" si="32"/>
        <v>2</v>
      </c>
      <c r="M126" s="2301"/>
      <c r="N126" s="106"/>
      <c r="O126" s="106"/>
      <c r="P126" s="106"/>
      <c r="Q126" s="106"/>
      <c r="R126" s="106"/>
      <c r="S126" s="106"/>
      <c r="T126" s="106"/>
      <c r="U126" s="106"/>
      <c r="V126" s="1592" t="s">
        <v>30</v>
      </c>
      <c r="W126" s="2868">
        <v>132.18591549295778</v>
      </c>
      <c r="X126" s="559">
        <v>232.04244031830254</v>
      </c>
      <c r="Y126" s="1591">
        <v>114.59</v>
      </c>
      <c r="Z126" s="560">
        <v>114.59</v>
      </c>
      <c r="AA126" s="560">
        <v>114.59</v>
      </c>
      <c r="AB126" s="2831">
        <v>114.59</v>
      </c>
      <c r="AC126" s="2299">
        <v>114.36</v>
      </c>
      <c r="AD126" s="1741">
        <v>114.36</v>
      </c>
      <c r="AE126" s="2831"/>
      <c r="AF126" s="851"/>
      <c r="AG126" s="851"/>
      <c r="AH126" s="344"/>
      <c r="AI126" s="156"/>
      <c r="AJ126" s="156"/>
      <c r="AK126" s="156"/>
      <c r="AL126" s="156"/>
      <c r="AM126" s="156"/>
      <c r="AN126" s="156"/>
      <c r="AO126" s="156"/>
      <c r="AP126" s="156"/>
      <c r="AQ126" s="156"/>
      <c r="AR126" s="156"/>
      <c r="AS126" s="156"/>
      <c r="AT126" s="156"/>
      <c r="AU126" s="156"/>
      <c r="AV126" s="156"/>
      <c r="AW126" s="156"/>
      <c r="AX126" s="156"/>
      <c r="AY126" s="156"/>
      <c r="AZ126" s="156"/>
      <c r="BA126" s="156"/>
      <c r="BB126" s="3309" t="str">
        <f>IFERROR((BD126)/(BE126),"")</f>
        <v/>
      </c>
      <c r="BC126" s="562" t="str">
        <f t="shared" si="29"/>
        <v>Cooling RES 18 Year EUL</v>
      </c>
      <c r="BD126" s="3310">
        <f>(INDEX('Avoided Cost Benefits'!$E$4:$E$859,MATCH(BC126,'Avoided Cost Benefits'!$A$4:$A$859,0)))*F126</f>
        <v>199.00267610196826</v>
      </c>
      <c r="BE126" s="923">
        <f t="shared" si="33"/>
        <v>0</v>
      </c>
      <c r="BF126" s="156"/>
    </row>
    <row r="127" spans="1:58" x14ac:dyDescent="0.35">
      <c r="A127" s="1071" t="str">
        <f t="shared" si="27"/>
        <v>350551_2021_12_Cooling RES</v>
      </c>
      <c r="B127" s="106"/>
      <c r="C127" s="50" t="s">
        <v>859</v>
      </c>
      <c r="D127" s="1279" t="s">
        <v>315</v>
      </c>
      <c r="E127" s="2795" t="s">
        <v>860</v>
      </c>
      <c r="F127" s="1741">
        <f>ROUND(((J218*J290*(1/J362-1/J434))/1000)*J578*$J$642,2)</f>
        <v>83.17</v>
      </c>
      <c r="G127" s="727" t="s">
        <v>257</v>
      </c>
      <c r="H127" s="136">
        <f>VLOOKUP(G127,'CP FACTORS'!$A$3:$B$38, 2, FALSE)</f>
        <v>9.4741810000000004E-4</v>
      </c>
      <c r="I127" s="1278">
        <f t="shared" si="30"/>
        <v>7.8797000000000006E-2</v>
      </c>
      <c r="J127" s="564">
        <v>18</v>
      </c>
      <c r="K127" s="387">
        <f t="shared" si="31"/>
        <v>0</v>
      </c>
      <c r="L127" s="52">
        <f t="shared" si="32"/>
        <v>2</v>
      </c>
      <c r="M127" s="2301"/>
      <c r="N127" s="106"/>
      <c r="O127" s="106"/>
      <c r="P127" s="106"/>
      <c r="Q127" s="106"/>
      <c r="R127" s="106"/>
      <c r="S127" s="106"/>
      <c r="T127" s="106"/>
      <c r="U127" s="106"/>
      <c r="V127" s="1592" t="s">
        <v>30</v>
      </c>
      <c r="W127" s="2868"/>
      <c r="X127" s="559"/>
      <c r="Y127" s="1591">
        <v>83.34</v>
      </c>
      <c r="Z127" s="560">
        <v>83.34</v>
      </c>
      <c r="AA127" s="560">
        <v>83.34</v>
      </c>
      <c r="AB127" s="2831">
        <v>83.34</v>
      </c>
      <c r="AC127" s="2299">
        <v>83.17</v>
      </c>
      <c r="AD127" s="1741">
        <v>83.17</v>
      </c>
      <c r="AE127" s="2831"/>
      <c r="AF127" s="851"/>
      <c r="AG127" s="851"/>
      <c r="AH127" s="344"/>
      <c r="AI127" s="156"/>
      <c r="AJ127" s="156"/>
      <c r="AK127" s="156"/>
      <c r="AL127" s="156"/>
      <c r="AM127" s="156"/>
      <c r="AN127" s="156"/>
      <c r="AO127" s="156"/>
      <c r="AP127" s="156"/>
      <c r="AQ127" s="156"/>
      <c r="AR127" s="156"/>
      <c r="AS127" s="156"/>
      <c r="AT127" s="156"/>
      <c r="AU127" s="156"/>
      <c r="AV127" s="156"/>
      <c r="AW127" s="156"/>
      <c r="AX127" s="156"/>
      <c r="AY127" s="156"/>
      <c r="AZ127" s="156"/>
      <c r="BA127" s="156"/>
      <c r="BB127" s="3309" t="str">
        <f>IFERROR((BD127)/(BE127),"")</f>
        <v/>
      </c>
      <c r="BC127" s="562" t="str">
        <f t="shared" si="29"/>
        <v>Cooling RES 18 Year EUL</v>
      </c>
      <c r="BD127" s="3310">
        <f>(INDEX('Avoided Cost Benefits'!$E$4:$E$859,MATCH(BC127,'Avoided Cost Benefits'!$A$4:$A$859,0)))*F127</f>
        <v>144.72763703568293</v>
      </c>
      <c r="BE127" s="923">
        <f t="shared" si="33"/>
        <v>0</v>
      </c>
      <c r="BF127" s="156"/>
    </row>
    <row r="128" spans="1:58" x14ac:dyDescent="0.35">
      <c r="A128" s="1071" t="str">
        <f t="shared" si="27"/>
        <v>350600_2021_12_Cooling RES</v>
      </c>
      <c r="B128" s="106"/>
      <c r="C128" s="50" t="s">
        <v>861</v>
      </c>
      <c r="D128" s="1279" t="s">
        <v>318</v>
      </c>
      <c r="E128" s="2795" t="s">
        <v>862</v>
      </c>
      <c r="F128" s="373">
        <f>ROUND(((J219*J291*(1/J507-1/J435))/1000)*J579*$J$642,2)</f>
        <v>2221.96</v>
      </c>
      <c r="G128" s="727" t="s">
        <v>257</v>
      </c>
      <c r="H128" s="136">
        <f>VLOOKUP(G128,'CP FACTORS'!$A$3:$B$38, 2, FALSE)</f>
        <v>9.4741810000000004E-4</v>
      </c>
      <c r="I128" s="2775">
        <f t="shared" si="30"/>
        <v>2.1051250000000001</v>
      </c>
      <c r="J128" s="557">
        <f t="shared" ref="J128:J135" si="34">J652</f>
        <v>6</v>
      </c>
      <c r="K128" s="387">
        <f t="shared" si="31"/>
        <v>576.08335222863298</v>
      </c>
      <c r="L128" s="478">
        <f t="shared" si="32"/>
        <v>3.1410865724381627</v>
      </c>
      <c r="M128" s="2301"/>
      <c r="N128" s="106"/>
      <c r="O128" s="84"/>
      <c r="P128" s="106"/>
      <c r="Q128" s="106"/>
      <c r="R128" s="106"/>
      <c r="S128" s="106"/>
      <c r="T128" s="106"/>
      <c r="U128" s="106"/>
      <c r="V128" s="1592" t="s">
        <v>30</v>
      </c>
      <c r="W128" s="2868">
        <v>1932.6604621309377</v>
      </c>
      <c r="X128" s="559">
        <v>1720.1937397650352</v>
      </c>
      <c r="Y128" s="1591">
        <v>1844.27</v>
      </c>
      <c r="Z128" s="560">
        <v>1844.27</v>
      </c>
      <c r="AA128" s="560">
        <v>1844.27</v>
      </c>
      <c r="AB128" s="1540">
        <v>2258.48</v>
      </c>
      <c r="AC128" s="2299">
        <v>1789.74</v>
      </c>
      <c r="AD128" s="373">
        <v>2221.96</v>
      </c>
      <c r="AE128" s="2831"/>
      <c r="AF128" s="851"/>
      <c r="AG128" s="851"/>
      <c r="AH128" s="344"/>
      <c r="AI128" s="156"/>
      <c r="AJ128" s="156"/>
      <c r="AK128" s="156"/>
      <c r="AL128" s="156"/>
      <c r="AM128" s="156"/>
      <c r="AN128" s="156"/>
      <c r="AO128" s="156"/>
      <c r="AP128" s="156"/>
      <c r="AQ128" s="156"/>
      <c r="AR128" s="156"/>
      <c r="AS128" s="156"/>
      <c r="AT128" s="156"/>
      <c r="AU128" s="156"/>
      <c r="AV128" s="156"/>
      <c r="AW128" s="156"/>
      <c r="AX128" s="156"/>
      <c r="AY128" s="156"/>
      <c r="AZ128" s="156"/>
      <c r="BA128" s="156"/>
      <c r="BB128" s="2832">
        <f>(BD128+BD129)/(BE128+BE129)</f>
        <v>3.3024065313923026</v>
      </c>
      <c r="BC128" s="3255" t="str">
        <f t="shared" si="29"/>
        <v>Cooling RES 6 Year EUL</v>
      </c>
      <c r="BD128" s="2869">
        <f>(INDEX('Avoided Cost Benefits'!$E$4:$E$859,MATCH(BC128,'Avoided Cost Benefits'!$A$4:$A$859,0)))*F128</f>
        <v>1407.8604957743121</v>
      </c>
      <c r="BE128" s="855">
        <f t="shared" si="33"/>
        <v>543.73133763910607</v>
      </c>
      <c r="BF128" s="156"/>
    </row>
    <row r="129" spans="1:58" x14ac:dyDescent="0.35">
      <c r="A129" s="1071" t="str">
        <f t="shared" si="27"/>
        <v>350600_2021_12_Cooling RES ER2</v>
      </c>
      <c r="B129" s="106"/>
      <c r="C129" s="50" t="s">
        <v>861</v>
      </c>
      <c r="D129" s="1279" t="s">
        <v>318</v>
      </c>
      <c r="E129" s="2796" t="s">
        <v>863</v>
      </c>
      <c r="F129" s="373">
        <f>ROUND(((J220*J292*(1/J364-1/J436))/1000)*J580*$J$642,2)</f>
        <v>350.43</v>
      </c>
      <c r="G129" s="727" t="s">
        <v>848</v>
      </c>
      <c r="H129" s="136">
        <f>VLOOKUP(G129,'CP FACTORS'!$A$3:$B$38, 2, FALSE)</f>
        <v>9.4741810000000004E-4</v>
      </c>
      <c r="I129" s="2775">
        <f t="shared" si="30"/>
        <v>0.33200400000000002</v>
      </c>
      <c r="J129" s="557">
        <f t="shared" si="34"/>
        <v>12</v>
      </c>
      <c r="K129" s="387">
        <f t="shared" si="31"/>
        <v>0</v>
      </c>
      <c r="L129" s="478">
        <f t="shared" si="32"/>
        <v>3.1410865724381627</v>
      </c>
      <c r="M129" s="2301"/>
      <c r="N129" s="106"/>
      <c r="O129" s="106"/>
      <c r="P129" s="106"/>
      <c r="Q129" s="106"/>
      <c r="R129" s="106"/>
      <c r="S129" s="106"/>
      <c r="T129" s="106"/>
      <c r="U129" s="106"/>
      <c r="V129" s="1592" t="s">
        <v>30</v>
      </c>
      <c r="W129" s="2868">
        <v>1177.266315789474</v>
      </c>
      <c r="X129" s="559">
        <v>348.58770042622297</v>
      </c>
      <c r="Y129" s="1591">
        <v>373.73</v>
      </c>
      <c r="Z129" s="560">
        <v>373.73</v>
      </c>
      <c r="AA129" s="560">
        <v>373.73</v>
      </c>
      <c r="AB129" s="1540">
        <v>363.6</v>
      </c>
      <c r="AC129" s="2299">
        <v>348.11</v>
      </c>
      <c r="AD129" s="373">
        <v>350.43</v>
      </c>
      <c r="AE129" s="2831"/>
      <c r="AF129" s="851"/>
      <c r="AG129" s="851"/>
      <c r="AH129" s="344"/>
      <c r="AI129" s="156"/>
      <c r="AJ129" s="156"/>
      <c r="AK129" s="156"/>
      <c r="AL129" s="156"/>
      <c r="AM129" s="156"/>
      <c r="AN129" s="156"/>
      <c r="AO129" s="156"/>
      <c r="AP129" s="156"/>
      <c r="AQ129" s="156"/>
      <c r="AR129" s="156"/>
      <c r="AS129" s="156"/>
      <c r="AT129" s="156"/>
      <c r="AU129" s="156"/>
      <c r="AV129" s="156"/>
      <c r="AW129" s="156"/>
      <c r="AX129" s="156"/>
      <c r="AY129" s="156"/>
      <c r="AZ129" s="156"/>
      <c r="BA129" s="156"/>
      <c r="BB129" s="2836"/>
      <c r="BC129" s="3256" t="str">
        <f t="shared" si="29"/>
        <v>Cooling RES ER2 12 Year EUL</v>
      </c>
      <c r="BD129" s="2871">
        <f>(INDEX('Avoided Cost Benefits'!$E$4:$E$859,MATCH(BC129,'Avoided Cost Benefits'!$A$4:$A$859,0)))*F129</f>
        <v>387.76142496774514</v>
      </c>
      <c r="BE129" s="860">
        <f t="shared" si="33"/>
        <v>0</v>
      </c>
      <c r="BF129" s="156"/>
    </row>
    <row r="130" spans="1:58" x14ac:dyDescent="0.35">
      <c r="A130" s="1071" t="str">
        <f t="shared" si="27"/>
        <v>350650_2021_12_Cooling RES</v>
      </c>
      <c r="B130" s="106"/>
      <c r="C130" s="50" t="s">
        <v>864</v>
      </c>
      <c r="D130" s="1279" t="s">
        <v>318</v>
      </c>
      <c r="E130" s="2795" t="s">
        <v>865</v>
      </c>
      <c r="F130" s="373">
        <f>ROUND(((J221*J293*(1/J365-1/J437))/1000)*J581*$J$642,2)</f>
        <v>340.39</v>
      </c>
      <c r="G130" s="727" t="s">
        <v>257</v>
      </c>
      <c r="H130" s="136">
        <f>VLOOKUP(G130,'CP FACTORS'!$A$3:$B$38, 2, FALSE)</f>
        <v>9.4741810000000004E-4</v>
      </c>
      <c r="I130" s="2775">
        <f t="shared" si="30"/>
        <v>0.322492</v>
      </c>
      <c r="J130" s="557">
        <f t="shared" si="34"/>
        <v>18</v>
      </c>
      <c r="K130" s="387">
        <f t="shared" si="31"/>
        <v>108</v>
      </c>
      <c r="L130" s="478">
        <f t="shared" si="32"/>
        <v>3.0586512524084779</v>
      </c>
      <c r="M130" s="2301"/>
      <c r="N130" s="106"/>
      <c r="O130" s="106"/>
      <c r="P130" s="106"/>
      <c r="Q130" s="106"/>
      <c r="R130" s="106"/>
      <c r="S130" s="106"/>
      <c r="T130" s="106"/>
      <c r="U130" s="106"/>
      <c r="V130" s="1592" t="s">
        <v>30</v>
      </c>
      <c r="W130" s="2868">
        <v>334.67345899133977</v>
      </c>
      <c r="X130" s="559">
        <v>348.58770042622297</v>
      </c>
      <c r="Y130" s="1591">
        <v>369.27</v>
      </c>
      <c r="Z130" s="560">
        <v>369.27</v>
      </c>
      <c r="AA130" s="560">
        <v>369.27</v>
      </c>
      <c r="AB130" s="1540">
        <v>373.31</v>
      </c>
      <c r="AC130" s="2299">
        <v>347.48</v>
      </c>
      <c r="AD130" s="373">
        <v>340.39</v>
      </c>
      <c r="AE130" s="2831"/>
      <c r="AF130" s="851"/>
      <c r="AG130" s="851"/>
      <c r="AH130" s="344"/>
      <c r="AI130" s="156"/>
      <c r="AJ130" s="156"/>
      <c r="AK130" s="156"/>
      <c r="AL130" s="156"/>
      <c r="AM130" s="156"/>
      <c r="AN130" s="156"/>
      <c r="AO130" s="156"/>
      <c r="AP130" s="156"/>
      <c r="AQ130" s="156"/>
      <c r="AR130" s="156"/>
      <c r="AS130" s="156"/>
      <c r="AT130" s="156"/>
      <c r="AU130" s="156"/>
      <c r="AV130" s="156"/>
      <c r="AW130" s="156"/>
      <c r="AX130" s="156"/>
      <c r="AY130" s="156"/>
      <c r="AZ130" s="156"/>
      <c r="BA130" s="156"/>
      <c r="BB130" s="3309">
        <f>(BD130)/(BE130)</f>
        <v>5.8108380061170335</v>
      </c>
      <c r="BC130" s="562" t="str">
        <f t="shared" si="29"/>
        <v>Cooling RES 18 Year EUL</v>
      </c>
      <c r="BD130" s="3310">
        <f>(INDEX('Avoided Cost Benefits'!$E$4:$E$859,MATCH(BC130,'Avoided Cost Benefits'!$A$4:$A$859,0)))*F130</f>
        <v>592.32704545600711</v>
      </c>
      <c r="BE130" s="923">
        <f t="shared" si="33"/>
        <v>101.93487494100989</v>
      </c>
      <c r="BF130" s="156"/>
    </row>
    <row r="131" spans="1:58" x14ac:dyDescent="0.35">
      <c r="A131" s="1071" t="str">
        <f t="shared" si="27"/>
        <v>350700_2021_12_Cooling RES</v>
      </c>
      <c r="B131" s="106"/>
      <c r="C131" s="50" t="s">
        <v>866</v>
      </c>
      <c r="D131" s="1279" t="s">
        <v>320</v>
      </c>
      <c r="E131" s="2795" t="s">
        <v>867</v>
      </c>
      <c r="F131" s="373">
        <f>ROUND(((J222*J294*(1/J510-1/J438))/1000)*J582*$J$642,2)</f>
        <v>1818.89</v>
      </c>
      <c r="G131" s="727" t="s">
        <v>257</v>
      </c>
      <c r="H131" s="136">
        <f>VLOOKUP(G131,'CP FACTORS'!$A$3:$B$38, 2, FALSE)</f>
        <v>9.4741810000000004E-4</v>
      </c>
      <c r="I131" s="2775">
        <f t="shared" si="30"/>
        <v>1.723249</v>
      </c>
      <c r="J131" s="557">
        <f t="shared" si="34"/>
        <v>6</v>
      </c>
      <c r="K131" s="387">
        <f t="shared" si="31"/>
        <v>465.6469541483275</v>
      </c>
      <c r="L131" s="478">
        <f t="shared" si="32"/>
        <v>2.4</v>
      </c>
      <c r="M131" s="2301"/>
      <c r="N131" s="106"/>
      <c r="O131" s="106"/>
      <c r="P131" s="106"/>
      <c r="Q131" s="106"/>
      <c r="R131" s="106"/>
      <c r="S131" s="106"/>
      <c r="T131" s="106"/>
      <c r="U131" s="106"/>
      <c r="V131" s="1592" t="s">
        <v>30</v>
      </c>
      <c r="W131" s="2868">
        <v>1256.2293003851096</v>
      </c>
      <c r="X131" s="559">
        <v>1592.2642887629986</v>
      </c>
      <c r="Y131" s="1591">
        <v>1113.32</v>
      </c>
      <c r="Z131" s="560">
        <v>1113.32</v>
      </c>
      <c r="AA131" s="560">
        <v>1113.32</v>
      </c>
      <c r="AB131" s="1540">
        <v>1738.76</v>
      </c>
      <c r="AC131" s="2299">
        <v>1478.57</v>
      </c>
      <c r="AD131" s="373">
        <v>1818.89</v>
      </c>
      <c r="AE131" s="2831"/>
      <c r="AF131" s="851"/>
      <c r="AG131" s="851"/>
      <c r="AH131" s="344"/>
      <c r="AI131" s="156"/>
      <c r="AJ131" s="156"/>
      <c r="AK131" s="156"/>
      <c r="AL131" s="156"/>
      <c r="AM131" s="156"/>
      <c r="AN131" s="156"/>
      <c r="AO131" s="156"/>
      <c r="AP131" s="156"/>
      <c r="AQ131" s="156"/>
      <c r="AR131" s="156"/>
      <c r="AS131" s="156"/>
      <c r="AT131" s="156"/>
      <c r="AU131" s="156"/>
      <c r="AV131" s="156"/>
      <c r="AW131" s="156"/>
      <c r="AX131" s="156"/>
      <c r="AY131" s="156"/>
      <c r="AZ131" s="156"/>
      <c r="BA131" s="156"/>
      <c r="BB131" s="2832">
        <f>(BD131+BD132)/(BE131+BE132)</f>
        <v>3.3233088072445511</v>
      </c>
      <c r="BC131" s="3255" t="str">
        <f t="shared" si="29"/>
        <v>Cooling RES 6 Year EUL</v>
      </c>
      <c r="BD131" s="2869">
        <f>(INDEX('Avoided Cost Benefits'!$E$4:$E$859,MATCH(BC131,'Avoided Cost Benefits'!$A$4:$A$859,0)))*F131</f>
        <v>1152.470511241849</v>
      </c>
      <c r="BE131" s="855">
        <f t="shared" si="33"/>
        <v>439.49688923862902</v>
      </c>
      <c r="BF131" s="156"/>
    </row>
    <row r="132" spans="1:58" x14ac:dyDescent="0.35">
      <c r="A132" s="1071" t="str">
        <f t="shared" si="27"/>
        <v>350700_2021_12_Cooling RES ER2</v>
      </c>
      <c r="B132" s="106"/>
      <c r="C132" s="50" t="s">
        <v>866</v>
      </c>
      <c r="D132" s="1279" t="s">
        <v>320</v>
      </c>
      <c r="E132" s="2796" t="s">
        <v>868</v>
      </c>
      <c r="F132" s="373">
        <f>ROUND(((J223*J295*(1/J367-1/J439))/1000)*J583*$J$642,2)</f>
        <v>278.45</v>
      </c>
      <c r="G132" s="727" t="s">
        <v>848</v>
      </c>
      <c r="H132" s="136">
        <f>VLOOKUP(G132,'CP FACTORS'!$A$3:$B$38, 2, FALSE)</f>
        <v>9.4741810000000004E-4</v>
      </c>
      <c r="I132" s="2775">
        <f t="shared" si="30"/>
        <v>0.26380900000000002</v>
      </c>
      <c r="J132" s="557">
        <f t="shared" si="34"/>
        <v>12</v>
      </c>
      <c r="K132" s="387">
        <f t="shared" si="31"/>
        <v>0</v>
      </c>
      <c r="L132" s="478">
        <f t="shared" si="32"/>
        <v>2.4</v>
      </c>
      <c r="M132" s="2301"/>
      <c r="N132" s="106"/>
      <c r="O132" s="106"/>
      <c r="P132" s="106"/>
      <c r="Q132" s="106"/>
      <c r="R132" s="106"/>
      <c r="S132" s="106"/>
      <c r="T132" s="106"/>
      <c r="U132" s="106"/>
      <c r="V132" s="1592" t="s">
        <v>30</v>
      </c>
      <c r="W132" s="2868">
        <v>765.22310526315812</v>
      </c>
      <c r="X132" s="559">
        <v>322.66350822001232</v>
      </c>
      <c r="Y132" s="1591">
        <v>213.91</v>
      </c>
      <c r="Z132" s="560">
        <v>213.91</v>
      </c>
      <c r="AA132" s="560">
        <v>213.91</v>
      </c>
      <c r="AB132" s="1540">
        <v>263.63</v>
      </c>
      <c r="AC132" s="2299">
        <v>288.56</v>
      </c>
      <c r="AD132" s="373">
        <v>278.45</v>
      </c>
      <c r="AE132" s="2831"/>
      <c r="AF132" s="851"/>
      <c r="AG132" s="851"/>
      <c r="AH132" s="344"/>
      <c r="AI132" s="156"/>
      <c r="AJ132" s="156"/>
      <c r="AK132" s="156"/>
      <c r="AL132" s="156"/>
      <c r="AM132" s="156"/>
      <c r="AN132" s="156"/>
      <c r="AO132" s="156"/>
      <c r="AP132" s="156"/>
      <c r="AQ132" s="156"/>
      <c r="AR132" s="156"/>
      <c r="AS132" s="156"/>
      <c r="AT132" s="156"/>
      <c r="AU132" s="156"/>
      <c r="AV132" s="156"/>
      <c r="AW132" s="156"/>
      <c r="AX132" s="156"/>
      <c r="AY132" s="156"/>
      <c r="AZ132" s="156"/>
      <c r="BA132" s="156"/>
      <c r="BB132" s="2836"/>
      <c r="BC132" s="3256" t="str">
        <f t="shared" si="29"/>
        <v>Cooling RES ER2 12 Year EUL</v>
      </c>
      <c r="BD132" s="2871">
        <f>(INDEX('Avoided Cost Benefits'!$E$4:$E$859,MATCH(BC132,'Avoided Cost Benefits'!$A$4:$A$859,0)))*F132</f>
        <v>308.11337152146973</v>
      </c>
      <c r="BE132" s="860">
        <f t="shared" si="33"/>
        <v>0</v>
      </c>
      <c r="BF132" s="156"/>
    </row>
    <row r="133" spans="1:58" x14ac:dyDescent="0.35">
      <c r="A133" s="1071" t="str">
        <f t="shared" si="27"/>
        <v>350701_2021_12_Cooling RES</v>
      </c>
      <c r="B133" s="106"/>
      <c r="C133" s="50" t="s">
        <v>869</v>
      </c>
      <c r="D133" s="1279" t="s">
        <v>315</v>
      </c>
      <c r="E133" s="2795" t="s">
        <v>870</v>
      </c>
      <c r="F133" s="373">
        <f>ROUND(((J224*J296*(1/J512-1/J440))/1000)*J584*$J$642,2)</f>
        <v>1322.83</v>
      </c>
      <c r="G133" s="727" t="s">
        <v>257</v>
      </c>
      <c r="H133" s="136">
        <f>VLOOKUP(G133,'CP FACTORS'!$A$3:$B$38, 2, FALSE)</f>
        <v>9.4741810000000004E-4</v>
      </c>
      <c r="I133" s="2775">
        <f t="shared" si="30"/>
        <v>1.2532730000000001</v>
      </c>
      <c r="J133" s="557">
        <f t="shared" si="34"/>
        <v>6</v>
      </c>
      <c r="K133" s="387">
        <f t="shared" si="31"/>
        <v>465.6469541483275</v>
      </c>
      <c r="L133" s="478">
        <f t="shared" si="32"/>
        <v>2.4</v>
      </c>
      <c r="M133" s="2301"/>
      <c r="N133" s="106"/>
      <c r="O133" s="106"/>
      <c r="P133" s="106"/>
      <c r="Q133" s="106"/>
      <c r="R133" s="106"/>
      <c r="S133" s="106"/>
      <c r="T133" s="106"/>
      <c r="U133" s="106"/>
      <c r="V133" s="1592" t="s">
        <v>30</v>
      </c>
      <c r="W133" s="2868"/>
      <c r="X133" s="559"/>
      <c r="Y133" s="1591">
        <v>809.69</v>
      </c>
      <c r="Z133" s="560">
        <v>809.69</v>
      </c>
      <c r="AA133" s="560">
        <v>809.69</v>
      </c>
      <c r="AB133" s="1540">
        <v>1078.19</v>
      </c>
      <c r="AC133" s="2299">
        <v>1058.6099999999999</v>
      </c>
      <c r="AD133" s="373">
        <v>1322.83</v>
      </c>
      <c r="AE133" s="2831"/>
      <c r="AF133" s="851"/>
      <c r="AG133" s="851"/>
      <c r="AH133" s="344"/>
      <c r="AI133" s="156"/>
      <c r="AJ133" s="156"/>
      <c r="AK133" s="156"/>
      <c r="AL133" s="156"/>
      <c r="AM133" s="156"/>
      <c r="AN133" s="156"/>
      <c r="AO133" s="156"/>
      <c r="AP133" s="156"/>
      <c r="AQ133" s="156"/>
      <c r="AR133" s="156"/>
      <c r="AS133" s="156"/>
      <c r="AT133" s="156"/>
      <c r="AU133" s="156"/>
      <c r="AV133" s="156"/>
      <c r="AW133" s="156"/>
      <c r="AX133" s="156"/>
      <c r="AY133" s="156"/>
      <c r="AZ133" s="156"/>
      <c r="BA133" s="156"/>
      <c r="BB133" s="2832">
        <f>(BD133+BD134)/(BE133+BE134)</f>
        <v>2.3761325562470041</v>
      </c>
      <c r="BC133" s="3255" t="str">
        <f t="shared" si="29"/>
        <v>Cooling RES 6 Year EUL</v>
      </c>
      <c r="BD133" s="2869">
        <f>(INDEX('Avoided Cost Benefits'!$E$4:$E$859,MATCH(BC133,'Avoided Cost Benefits'!$A$4:$A$859,0)))*F133</f>
        <v>838.16094782315304</v>
      </c>
      <c r="BE133" s="855">
        <f t="shared" si="33"/>
        <v>439.49688923862902</v>
      </c>
      <c r="BF133" s="156"/>
    </row>
    <row r="134" spans="1:58" x14ac:dyDescent="0.35">
      <c r="A134" s="1071" t="str">
        <f t="shared" si="27"/>
        <v>350701_2021_12_Cooling RES ER2</v>
      </c>
      <c r="B134" s="106"/>
      <c r="C134" s="50" t="s">
        <v>869</v>
      </c>
      <c r="D134" s="1279" t="s">
        <v>315</v>
      </c>
      <c r="E134" s="2796" t="s">
        <v>871</v>
      </c>
      <c r="F134" s="373">
        <f>ROUND(((J225*J297*(1/J369-1/J441))/1000)*J585*$J$642,2)</f>
        <v>202.51</v>
      </c>
      <c r="G134" s="727" t="s">
        <v>848</v>
      </c>
      <c r="H134" s="136">
        <f>VLOOKUP(G134,'CP FACTORS'!$A$3:$B$38, 2, FALSE)</f>
        <v>9.4741810000000004E-4</v>
      </c>
      <c r="I134" s="2775">
        <f t="shared" si="30"/>
        <v>0.191862</v>
      </c>
      <c r="J134" s="557">
        <f t="shared" si="34"/>
        <v>12</v>
      </c>
      <c r="K134" s="387">
        <v>8</v>
      </c>
      <c r="L134" s="478">
        <f t="shared" si="32"/>
        <v>2.4</v>
      </c>
      <c r="M134" s="2301"/>
      <c r="N134" s="106"/>
      <c r="O134" s="106"/>
      <c r="P134" s="106"/>
      <c r="Q134" s="106"/>
      <c r="R134" s="106"/>
      <c r="S134" s="106"/>
      <c r="T134" s="106"/>
      <c r="U134" s="106"/>
      <c r="V134" s="1592" t="s">
        <v>30</v>
      </c>
      <c r="W134" s="2868"/>
      <c r="X134" s="559"/>
      <c r="Y134" s="1591">
        <v>155.57</v>
      </c>
      <c r="Z134" s="560">
        <v>155.57</v>
      </c>
      <c r="AA134" s="560">
        <v>155.57</v>
      </c>
      <c r="AB134" s="2831">
        <v>155.57</v>
      </c>
      <c r="AC134" s="2299">
        <v>193.15</v>
      </c>
      <c r="AD134" s="373">
        <v>202.51</v>
      </c>
      <c r="AE134" s="2831"/>
      <c r="AF134" s="851"/>
      <c r="AG134" s="851"/>
      <c r="AH134" s="344"/>
      <c r="AI134" s="156"/>
      <c r="AJ134" s="156"/>
      <c r="AK134" s="156"/>
      <c r="AL134" s="156"/>
      <c r="AM134" s="156"/>
      <c r="AN134" s="156"/>
      <c r="AO134" s="156"/>
      <c r="AP134" s="156"/>
      <c r="AQ134" s="156"/>
      <c r="AR134" s="156"/>
      <c r="AS134" s="156"/>
      <c r="AT134" s="156"/>
      <c r="AU134" s="156"/>
      <c r="AV134" s="156"/>
      <c r="AW134" s="156"/>
      <c r="AX134" s="156"/>
      <c r="AY134" s="156"/>
      <c r="AZ134" s="156"/>
      <c r="BA134" s="156"/>
      <c r="BB134" s="2836"/>
      <c r="BC134" s="3256" t="str">
        <f t="shared" si="29"/>
        <v>Cooling RES ER2 12 Year EUL</v>
      </c>
      <c r="BD134" s="2871">
        <f>(INDEX('Avoided Cost Benefits'!$E$4:$E$859,MATCH(BC134,'Avoided Cost Benefits'!$A$4:$A$859,0)))*F134</f>
        <v>224.08345795228166</v>
      </c>
      <c r="BE134" s="860">
        <f t="shared" si="33"/>
        <v>7.5507314771118441</v>
      </c>
      <c r="BF134" s="156"/>
    </row>
    <row r="135" spans="1:58" x14ac:dyDescent="0.35">
      <c r="A135" s="1071" t="str">
        <f t="shared" si="27"/>
        <v>350750_2021_12_Cooling RES</v>
      </c>
      <c r="B135" s="106"/>
      <c r="C135" s="50" t="s">
        <v>872</v>
      </c>
      <c r="D135" s="1279" t="s">
        <v>320</v>
      </c>
      <c r="E135" s="2795" t="s">
        <v>873</v>
      </c>
      <c r="F135" s="373">
        <f>ROUND(((J226*J298*(1/J370-1/J442))/1000)*J586*$J$642,2)</f>
        <v>161.52000000000001</v>
      </c>
      <c r="G135" s="727" t="s">
        <v>257</v>
      </c>
      <c r="H135" s="136">
        <f>VLOOKUP(G135,'CP FACTORS'!$A$3:$B$38, 2, FALSE)</f>
        <v>9.4741810000000004E-4</v>
      </c>
      <c r="I135" s="2775">
        <f t="shared" si="30"/>
        <v>0.153027</v>
      </c>
      <c r="J135" s="557">
        <f t="shared" si="34"/>
        <v>18</v>
      </c>
      <c r="K135" s="387">
        <f t="shared" si="31"/>
        <v>108</v>
      </c>
      <c r="L135" s="478">
        <f t="shared" si="32"/>
        <v>1.5132450331125828</v>
      </c>
      <c r="M135" s="2301"/>
      <c r="N135" s="106"/>
      <c r="O135" s="106"/>
      <c r="P135" s="106"/>
      <c r="Q135" s="106"/>
      <c r="R135" s="106"/>
      <c r="S135" s="106"/>
      <c r="T135" s="106"/>
      <c r="U135" s="106"/>
      <c r="V135" s="1592" t="s">
        <v>30</v>
      </c>
      <c r="W135" s="2868">
        <v>217.53774834437087</v>
      </c>
      <c r="X135" s="559">
        <v>322.66350822001232</v>
      </c>
      <c r="Y135" s="1591">
        <v>213.91</v>
      </c>
      <c r="Z135" s="560">
        <v>213.91</v>
      </c>
      <c r="AA135" s="560">
        <v>213.91</v>
      </c>
      <c r="AB135" s="1540">
        <v>230.82</v>
      </c>
      <c r="AC135" s="2299">
        <v>309.3</v>
      </c>
      <c r="AD135" s="373">
        <v>161.52000000000001</v>
      </c>
      <c r="AE135" s="2831"/>
      <c r="AF135" s="851"/>
      <c r="AG135" s="851"/>
      <c r="AH135" s="344"/>
      <c r="AI135" s="156"/>
      <c r="AJ135" s="156"/>
      <c r="AK135" s="156"/>
      <c r="AL135" s="156"/>
      <c r="AM135" s="156"/>
      <c r="AN135" s="156"/>
      <c r="AO135" s="156"/>
      <c r="AP135" s="156"/>
      <c r="AQ135" s="156"/>
      <c r="AR135" s="156"/>
      <c r="AS135" s="156"/>
      <c r="AT135" s="156"/>
      <c r="AU135" s="156"/>
      <c r="AV135" s="156"/>
      <c r="AW135" s="156"/>
      <c r="AX135" s="156"/>
      <c r="AY135" s="156"/>
      <c r="AZ135" s="156"/>
      <c r="BA135" s="156"/>
      <c r="BB135" s="3309">
        <f>(BD135)/(BE135)</f>
        <v>2.7573270505832235</v>
      </c>
      <c r="BC135" s="562" t="str">
        <f t="shared" si="29"/>
        <v>Cooling RES 18 Year EUL</v>
      </c>
      <c r="BD135" s="3310">
        <f>(INDEX('Avoided Cost Benefits'!$E$4:$E$859,MATCH(BC135,'Avoided Cost Benefits'!$A$4:$A$859,0)))*F135</f>
        <v>281.06778807266454</v>
      </c>
      <c r="BE135" s="923">
        <f t="shared" si="33"/>
        <v>101.93487494100989</v>
      </c>
      <c r="BF135" s="156"/>
    </row>
    <row r="136" spans="1:58" x14ac:dyDescent="0.35">
      <c r="A136" s="1071" t="str">
        <f t="shared" si="27"/>
        <v>350751_2021_12_Cooling RES</v>
      </c>
      <c r="B136" s="106"/>
      <c r="C136" s="50" t="s">
        <v>874</v>
      </c>
      <c r="D136" s="1279" t="s">
        <v>315</v>
      </c>
      <c r="E136" s="2795" t="s">
        <v>875</v>
      </c>
      <c r="F136" s="373">
        <f>ROUND(((J227*J299*(1/J371-1/J443))/1000)*J587*$J$642,2)</f>
        <v>117.47</v>
      </c>
      <c r="G136" s="727" t="s">
        <v>257</v>
      </c>
      <c r="H136" s="136">
        <f>VLOOKUP(G136,'CP FACTORS'!$A$3:$B$38, 2, FALSE)</f>
        <v>9.4741810000000004E-4</v>
      </c>
      <c r="I136" s="2775">
        <f t="shared" si="30"/>
        <v>0.111293</v>
      </c>
      <c r="J136" s="564">
        <v>18</v>
      </c>
      <c r="K136" s="387">
        <f t="shared" si="31"/>
        <v>108</v>
      </c>
      <c r="L136" s="478">
        <f t="shared" si="32"/>
        <v>1.5132450331125828</v>
      </c>
      <c r="M136" s="2301"/>
      <c r="N136" s="106"/>
      <c r="O136" s="106"/>
      <c r="P136" s="106"/>
      <c r="Q136" s="106"/>
      <c r="R136" s="106"/>
      <c r="S136" s="106"/>
      <c r="T136" s="106"/>
      <c r="U136" s="106"/>
      <c r="V136" s="1592" t="s">
        <v>30</v>
      </c>
      <c r="W136" s="2868"/>
      <c r="X136" s="559"/>
      <c r="Y136" s="1591">
        <v>155.57</v>
      </c>
      <c r="Z136" s="560">
        <v>155.57</v>
      </c>
      <c r="AA136" s="560">
        <v>155.57</v>
      </c>
      <c r="AB136" s="2831">
        <v>155.57</v>
      </c>
      <c r="AC136" s="2299">
        <v>213.48</v>
      </c>
      <c r="AD136" s="373">
        <v>117.47</v>
      </c>
      <c r="AE136" s="2831"/>
      <c r="AF136" s="851"/>
      <c r="AG136" s="851"/>
      <c r="AH136" s="344"/>
      <c r="AI136" s="156"/>
      <c r="AJ136" s="156"/>
      <c r="AK136" s="156"/>
      <c r="AL136" s="156"/>
      <c r="AM136" s="156"/>
      <c r="AN136" s="156"/>
      <c r="AO136" s="156"/>
      <c r="AP136" s="156"/>
      <c r="AQ136" s="156"/>
      <c r="AR136" s="156"/>
      <c r="AS136" s="156"/>
      <c r="AT136" s="156"/>
      <c r="AU136" s="156"/>
      <c r="AV136" s="156"/>
      <c r="AW136" s="156"/>
      <c r="AX136" s="156"/>
      <c r="AY136" s="156"/>
      <c r="AZ136" s="156"/>
      <c r="BA136" s="156"/>
      <c r="BB136" s="3309">
        <f>(BD136)/(BE136)</f>
        <v>2.0053442832591086</v>
      </c>
      <c r="BC136" s="562" t="str">
        <f t="shared" si="29"/>
        <v>Cooling RES 18 Year EUL</v>
      </c>
      <c r="BD136" s="3310">
        <f>(INDEX('Avoided Cost Benefits'!$E$4:$E$859,MATCH(BC136,'Avoided Cost Benefits'!$A$4:$A$859,0)))*F136</f>
        <v>204.41451872768636</v>
      </c>
      <c r="BE136" s="923">
        <f t="shared" si="33"/>
        <v>101.93487494100989</v>
      </c>
      <c r="BF136" s="156"/>
    </row>
    <row r="137" spans="1:58" x14ac:dyDescent="0.35">
      <c r="A137" s="1071" t="str">
        <f t="shared" si="27"/>
        <v>350800_2021_12_Cooling RES</v>
      </c>
      <c r="B137" s="106"/>
      <c r="C137" s="50" t="s">
        <v>876</v>
      </c>
      <c r="D137" s="1279" t="s">
        <v>318</v>
      </c>
      <c r="E137" s="2795" t="s">
        <v>877</v>
      </c>
      <c r="F137" s="373">
        <f>ROUND(((J228*J300*(1/J516-1/J444))/1000)*J588*$J$642,2)</f>
        <v>2164.25</v>
      </c>
      <c r="G137" s="727" t="s">
        <v>257</v>
      </c>
      <c r="H137" s="136">
        <f>VLOOKUP(G137,'CP FACTORS'!$A$3:$B$38, 2, FALSE)</f>
        <v>9.4741810000000004E-4</v>
      </c>
      <c r="I137" s="2775">
        <f t="shared" si="30"/>
        <v>2.0504500000000001</v>
      </c>
      <c r="J137" s="557">
        <f t="shared" ref="J137:J144" si="35">J661</f>
        <v>6</v>
      </c>
      <c r="K137" s="387">
        <f t="shared" si="31"/>
        <v>654.75771519284399</v>
      </c>
      <c r="L137" s="478">
        <f t="shared" si="32"/>
        <v>2.9107434143870319</v>
      </c>
      <c r="M137" s="2301"/>
      <c r="N137" s="1280"/>
      <c r="O137" s="1281"/>
      <c r="P137" s="106"/>
      <c r="Q137" s="106"/>
      <c r="R137" s="1214"/>
      <c r="S137" s="106"/>
      <c r="T137" s="106"/>
      <c r="U137" s="106"/>
      <c r="V137" s="1592" t="s">
        <v>30</v>
      </c>
      <c r="W137" s="2868">
        <v>1921.8676829268297</v>
      </c>
      <c r="X137" s="559">
        <v>1872.8908664383187</v>
      </c>
      <c r="Y137" s="1591">
        <v>1880.22</v>
      </c>
      <c r="Z137" s="560">
        <v>1880.22</v>
      </c>
      <c r="AA137" s="560">
        <v>1880.22</v>
      </c>
      <c r="AB137" s="1540">
        <v>2198.3200000000002</v>
      </c>
      <c r="AC137" s="2299">
        <v>1809.8</v>
      </c>
      <c r="AD137" s="373">
        <v>2164.25</v>
      </c>
      <c r="AE137" s="2831"/>
      <c r="AF137" s="851"/>
      <c r="AG137" s="851"/>
      <c r="AH137" s="344"/>
      <c r="AI137" s="156"/>
      <c r="AJ137" s="156"/>
      <c r="AK137" s="156"/>
      <c r="AL137" s="156"/>
      <c r="AM137" s="156"/>
      <c r="AN137" s="156"/>
      <c r="AO137" s="156"/>
      <c r="AP137" s="156"/>
      <c r="AQ137" s="156"/>
      <c r="AR137" s="156"/>
      <c r="AS137" s="156"/>
      <c r="AT137" s="156"/>
      <c r="AU137" s="156"/>
      <c r="AV137" s="156"/>
      <c r="AW137" s="156"/>
      <c r="AX137" s="156"/>
      <c r="AY137" s="156"/>
      <c r="AZ137" s="156"/>
      <c r="BA137" s="156"/>
      <c r="BB137" s="2832">
        <f>(BD137+BD138)/(BE137+BE138)</f>
        <v>3.0066622527917173</v>
      </c>
      <c r="BC137" s="3255" t="str">
        <f t="shared" si="29"/>
        <v>Cooling RES 6 Year EUL</v>
      </c>
      <c r="BD137" s="2869">
        <f>(INDEX('Avoided Cost Benefits'!$E$4:$E$859,MATCH(BC137,'Avoided Cost Benefits'!$A$4:$A$859,0)))*F137</f>
        <v>1371.2947478710485</v>
      </c>
      <c r="BE137" s="855">
        <f t="shared" si="33"/>
        <v>617.98746124855495</v>
      </c>
      <c r="BF137" s="156"/>
    </row>
    <row r="138" spans="1:58" x14ac:dyDescent="0.35">
      <c r="A138" s="1071" t="str">
        <f t="shared" si="27"/>
        <v>350800_2021_12_Cooling RES ER2</v>
      </c>
      <c r="B138" s="106"/>
      <c r="C138" s="50" t="s">
        <v>876</v>
      </c>
      <c r="D138" s="1279" t="s">
        <v>318</v>
      </c>
      <c r="E138" s="2796" t="s">
        <v>878</v>
      </c>
      <c r="F138" s="373">
        <f>ROUND(((J229*J301*(1/J373-1/J445))/1000)*J589*$J$642,2)</f>
        <v>439.92</v>
      </c>
      <c r="G138" s="727" t="s">
        <v>848</v>
      </c>
      <c r="H138" s="136">
        <f>VLOOKUP(G138,'CP FACTORS'!$A$3:$B$38, 2, FALSE)</f>
        <v>9.4741810000000004E-4</v>
      </c>
      <c r="I138" s="2775">
        <f t="shared" si="30"/>
        <v>0.41678799999999999</v>
      </c>
      <c r="J138" s="557">
        <f t="shared" si="35"/>
        <v>12</v>
      </c>
      <c r="K138" s="387">
        <f t="shared" si="31"/>
        <v>0</v>
      </c>
      <c r="L138" s="478">
        <f t="shared" si="32"/>
        <v>2.9107434143870319</v>
      </c>
      <c r="M138" s="2301"/>
      <c r="N138" s="1280"/>
      <c r="O138" s="1281"/>
      <c r="P138" s="106"/>
      <c r="Q138" s="106"/>
      <c r="R138" s="1214"/>
      <c r="S138" s="106"/>
      <c r="T138" s="106"/>
      <c r="U138" s="106"/>
      <c r="V138" s="1592" t="s">
        <v>30</v>
      </c>
      <c r="W138" s="2868">
        <v>1212.2550000000003</v>
      </c>
      <c r="X138" s="559">
        <v>501.2848270995064</v>
      </c>
      <c r="Y138" s="1591">
        <v>504.12</v>
      </c>
      <c r="Z138" s="560">
        <v>504.12</v>
      </c>
      <c r="AA138" s="560">
        <v>504.12</v>
      </c>
      <c r="AB138" s="1540">
        <v>451.39</v>
      </c>
      <c r="AC138" s="2299">
        <v>446.81</v>
      </c>
      <c r="AD138" s="373">
        <v>439.92</v>
      </c>
      <c r="AE138" s="2831"/>
      <c r="AF138" s="851"/>
      <c r="AG138" s="851"/>
      <c r="AH138" s="344"/>
      <c r="AI138" s="156"/>
      <c r="AJ138" s="156"/>
      <c r="AK138" s="156"/>
      <c r="AL138" s="156"/>
      <c r="AM138" s="156"/>
      <c r="AN138" s="156"/>
      <c r="AO138" s="156"/>
      <c r="AP138" s="156"/>
      <c r="AQ138" s="156"/>
      <c r="AR138" s="156"/>
      <c r="AS138" s="156"/>
      <c r="AT138" s="156"/>
      <c r="AU138" s="156"/>
      <c r="AV138" s="156"/>
      <c r="AW138" s="156"/>
      <c r="AX138" s="156"/>
      <c r="AY138" s="156"/>
      <c r="AZ138" s="156"/>
      <c r="BA138" s="156"/>
      <c r="BB138" s="2836"/>
      <c r="BC138" s="3256" t="str">
        <f t="shared" si="29"/>
        <v>Cooling RES ER2 12 Year EUL</v>
      </c>
      <c r="BD138" s="2871">
        <f>(INDEX('Avoided Cost Benefits'!$E$4:$E$859,MATCH(BC138,'Avoided Cost Benefits'!$A$4:$A$859,0)))*F138</f>
        <v>486.78482456356602</v>
      </c>
      <c r="BE138" s="860">
        <f t="shared" si="33"/>
        <v>0</v>
      </c>
      <c r="BF138" s="156"/>
    </row>
    <row r="139" spans="1:58" x14ac:dyDescent="0.35">
      <c r="A139" s="1071" t="str">
        <f t="shared" si="27"/>
        <v>350850_2021_12_Cooling RES</v>
      </c>
      <c r="B139" s="106"/>
      <c r="C139" s="50" t="s">
        <v>879</v>
      </c>
      <c r="D139" s="1279" t="s">
        <v>318</v>
      </c>
      <c r="E139" s="2795" t="s">
        <v>880</v>
      </c>
      <c r="F139" s="373">
        <f>ROUND(((J230*J302*(1/J374-1/J446))/1000)*J590*$J$642,2)</f>
        <v>455.22</v>
      </c>
      <c r="G139" s="727" t="s">
        <v>257</v>
      </c>
      <c r="H139" s="136">
        <f>VLOOKUP(G139,'CP FACTORS'!$A$3:$B$38, 2, FALSE)</f>
        <v>9.4741810000000004E-4</v>
      </c>
      <c r="I139" s="2775">
        <f t="shared" si="30"/>
        <v>0.431284</v>
      </c>
      <c r="J139" s="557">
        <f t="shared" si="35"/>
        <v>18</v>
      </c>
      <c r="K139" s="387">
        <f t="shared" si="31"/>
        <v>221</v>
      </c>
      <c r="L139" s="478">
        <f t="shared" si="32"/>
        <v>3.0022622107969146</v>
      </c>
      <c r="M139" s="2301"/>
      <c r="N139" s="1280"/>
      <c r="O139" s="1281"/>
      <c r="P139" s="106"/>
      <c r="Q139" s="106"/>
      <c r="R139" s="1214"/>
      <c r="S139" s="106"/>
      <c r="T139" s="106"/>
      <c r="U139" s="106"/>
      <c r="V139" s="1592" t="s">
        <v>30</v>
      </c>
      <c r="W139" s="2868">
        <v>436.17115384615397</v>
      </c>
      <c r="X139" s="559">
        <v>501.2848270995064</v>
      </c>
      <c r="Y139" s="1591">
        <v>493.75</v>
      </c>
      <c r="Z139" s="560">
        <v>493.75</v>
      </c>
      <c r="AA139" s="560">
        <v>493.75</v>
      </c>
      <c r="AB139" s="1540">
        <v>458.17</v>
      </c>
      <c r="AC139" s="2299">
        <v>459.15</v>
      </c>
      <c r="AD139" s="373">
        <v>455.22</v>
      </c>
      <c r="AE139" s="2831"/>
      <c r="AF139" s="851"/>
      <c r="AG139" s="851"/>
      <c r="AH139" s="344"/>
      <c r="AI139" s="156"/>
      <c r="AJ139" s="156"/>
      <c r="AK139" s="156"/>
      <c r="AL139" s="156"/>
      <c r="AM139" s="156"/>
      <c r="AN139" s="156"/>
      <c r="AO139" s="156"/>
      <c r="AP139" s="156"/>
      <c r="AQ139" s="156"/>
      <c r="AR139" s="156"/>
      <c r="AS139" s="156"/>
      <c r="AT139" s="156"/>
      <c r="AU139" s="156"/>
      <c r="AV139" s="156"/>
      <c r="AW139" s="156"/>
      <c r="AX139" s="156"/>
      <c r="AY139" s="156"/>
      <c r="AZ139" s="156"/>
      <c r="BA139" s="156"/>
      <c r="BB139" s="3309">
        <f>(BD139)/(BE139)</f>
        <v>3.7976487328630673</v>
      </c>
      <c r="BC139" s="562" t="str">
        <f t="shared" si="29"/>
        <v>Cooling RES 18 Year EUL</v>
      </c>
      <c r="BD139" s="3310">
        <f>(INDEX('Avoided Cost Benefits'!$E$4:$E$859,MATCH(BC139,'Avoided Cost Benefits'!$A$4:$A$859,0)))*F139</f>
        <v>792.14758844996493</v>
      </c>
      <c r="BE139" s="923">
        <f t="shared" si="33"/>
        <v>208.58895705521471</v>
      </c>
      <c r="BF139" s="156"/>
    </row>
    <row r="140" spans="1:58" x14ac:dyDescent="0.35">
      <c r="A140" s="1071" t="str">
        <f t="shared" si="27"/>
        <v>350900_2021_12_Cooling RES</v>
      </c>
      <c r="B140" s="106"/>
      <c r="C140" s="50" t="s">
        <v>881</v>
      </c>
      <c r="D140" s="1279" t="s">
        <v>320</v>
      </c>
      <c r="E140" s="2795" t="s">
        <v>882</v>
      </c>
      <c r="F140" s="373">
        <f>ROUND(((J231*J303*(1/J519-1/J447))/1000)*J591*$J$642,2)</f>
        <v>1566.43</v>
      </c>
      <c r="G140" s="727" t="s">
        <v>257</v>
      </c>
      <c r="H140" s="136">
        <f>VLOOKUP(G140,'CP FACTORS'!$A$3:$B$38, 2, FALSE)</f>
        <v>9.4741810000000004E-4</v>
      </c>
      <c r="I140" s="2775">
        <f t="shared" si="30"/>
        <v>1.484064</v>
      </c>
      <c r="J140" s="557">
        <f t="shared" si="35"/>
        <v>6</v>
      </c>
      <c r="K140" s="387">
        <f t="shared" si="31"/>
        <v>546.05915933353072</v>
      </c>
      <c r="L140" s="478">
        <f t="shared" si="32"/>
        <v>2.1813186813186811</v>
      </c>
      <c r="M140" s="2301"/>
      <c r="N140" s="1280"/>
      <c r="O140" s="106"/>
      <c r="P140" s="106"/>
      <c r="Q140" s="106"/>
      <c r="R140" s="106"/>
      <c r="S140" s="106"/>
      <c r="T140" s="106"/>
      <c r="U140" s="106"/>
      <c r="V140" s="1592" t="s">
        <v>30</v>
      </c>
      <c r="W140" s="2868">
        <v>1249.2139939024394</v>
      </c>
      <c r="X140" s="559">
        <v>1710.3337488745497</v>
      </c>
      <c r="Y140" s="1591">
        <v>1200.22</v>
      </c>
      <c r="Z140" s="560">
        <v>1200.22</v>
      </c>
      <c r="AA140" s="560">
        <v>1200.22</v>
      </c>
      <c r="AB140" s="1540">
        <v>1687.17</v>
      </c>
      <c r="AC140" s="2299">
        <v>1518.6</v>
      </c>
      <c r="AD140" s="373">
        <v>1566.43</v>
      </c>
      <c r="AE140" s="2831"/>
      <c r="AF140" s="851"/>
      <c r="AG140" s="851"/>
      <c r="AH140" s="344"/>
      <c r="AI140" s="156"/>
      <c r="AJ140" s="156"/>
      <c r="AK140" s="156"/>
      <c r="AL140" s="156"/>
      <c r="AM140" s="156"/>
      <c r="AN140" s="156"/>
      <c r="AO140" s="156"/>
      <c r="AP140" s="156"/>
      <c r="AQ140" s="156"/>
      <c r="AR140" s="156"/>
      <c r="AS140" s="156"/>
      <c r="AT140" s="156"/>
      <c r="AU140" s="156"/>
      <c r="AV140" s="156"/>
      <c r="AW140" s="156"/>
      <c r="AX140" s="156"/>
      <c r="AY140" s="156"/>
      <c r="AZ140" s="156"/>
      <c r="BA140" s="156"/>
      <c r="BB140" s="2833">
        <f>(BD140+BD141)/(BE140+BE141)</f>
        <v>2.629741780794832</v>
      </c>
      <c r="BC140" s="3257" t="str">
        <f t="shared" si="29"/>
        <v>Cooling RES 6 Year EUL</v>
      </c>
      <c r="BD140" s="2829">
        <f>(INDEX('Avoided Cost Benefits'!$E$4:$E$859,MATCH(BC140,'Avoided Cost Benefits'!$A$4:$A$859,0)))*F140</f>
        <v>992.50882841984367</v>
      </c>
      <c r="BE140" s="858">
        <f t="shared" si="33"/>
        <v>515.39326034311534</v>
      </c>
      <c r="BF140" s="156"/>
    </row>
    <row r="141" spans="1:58" x14ac:dyDescent="0.35">
      <c r="A141" s="1071" t="str">
        <f t="shared" si="27"/>
        <v>350900_2021_12_Cooling RES ER2</v>
      </c>
      <c r="B141" s="106"/>
      <c r="C141" s="50" t="s">
        <v>881</v>
      </c>
      <c r="D141" s="1279" t="s">
        <v>320</v>
      </c>
      <c r="E141" s="2796" t="s">
        <v>883</v>
      </c>
      <c r="F141" s="373">
        <f>ROUND(((J232*J304*(1/J376-1/J448))/1000)*J592*$J$642,2)</f>
        <v>327.91</v>
      </c>
      <c r="G141" s="727" t="s">
        <v>848</v>
      </c>
      <c r="H141" s="136">
        <f>VLOOKUP(G141,'CP FACTORS'!$A$3:$B$38, 2, FALSE)</f>
        <v>9.4741810000000004E-4</v>
      </c>
      <c r="I141" s="2775">
        <f t="shared" si="30"/>
        <v>0.310668</v>
      </c>
      <c r="J141" s="557">
        <f t="shared" si="35"/>
        <v>12</v>
      </c>
      <c r="K141" s="387">
        <f t="shared" si="31"/>
        <v>0</v>
      </c>
      <c r="L141" s="478">
        <f t="shared" si="32"/>
        <v>2.1813186813186811</v>
      </c>
      <c r="M141" s="2301"/>
      <c r="N141" s="1280"/>
      <c r="O141" s="106"/>
      <c r="P141" s="106"/>
      <c r="Q141" s="106"/>
      <c r="R141" s="106"/>
      <c r="S141" s="106"/>
      <c r="T141" s="106"/>
      <c r="U141" s="106"/>
      <c r="V141" s="1592" t="s">
        <v>30</v>
      </c>
      <c r="W141" s="2868">
        <v>787.9657500000003</v>
      </c>
      <c r="X141" s="559">
        <v>428.65550480769241</v>
      </c>
      <c r="Y141" s="1591">
        <v>300.81</v>
      </c>
      <c r="Z141" s="560">
        <v>300.81</v>
      </c>
      <c r="AA141" s="560">
        <v>300.81</v>
      </c>
      <c r="AB141" s="1540">
        <v>391.02</v>
      </c>
      <c r="AC141" s="2299">
        <v>378.59</v>
      </c>
      <c r="AD141" s="373">
        <v>327.91</v>
      </c>
      <c r="AE141" s="2831"/>
      <c r="AF141" s="851"/>
      <c r="AG141" s="851"/>
      <c r="AH141" s="344"/>
      <c r="AI141" s="156"/>
      <c r="AJ141" s="156"/>
      <c r="AK141" s="156"/>
      <c r="AL141" s="156"/>
      <c r="AM141" s="156"/>
      <c r="AN141" s="156"/>
      <c r="AO141" s="156"/>
      <c r="AP141" s="156"/>
      <c r="AQ141" s="156"/>
      <c r="AR141" s="156"/>
      <c r="AS141" s="156"/>
      <c r="AT141" s="156"/>
      <c r="AU141" s="156"/>
      <c r="AV141" s="156"/>
      <c r="AW141" s="156"/>
      <c r="AX141" s="156"/>
      <c r="AY141" s="156"/>
      <c r="AZ141" s="156"/>
      <c r="BA141" s="156"/>
      <c r="BB141" s="2835"/>
      <c r="BC141" s="2349" t="str">
        <f t="shared" si="29"/>
        <v>Cooling RES ER2 12 Year EUL</v>
      </c>
      <c r="BD141" s="2829">
        <f>(INDEX('Avoided Cost Benefits'!$E$4:$E$859,MATCH(BC141,'Avoided Cost Benefits'!$A$4:$A$859,0)))*F141</f>
        <v>362.84236184451481</v>
      </c>
      <c r="BE141" s="858">
        <f t="shared" si="33"/>
        <v>0</v>
      </c>
      <c r="BF141" s="156"/>
    </row>
    <row r="142" spans="1:58" x14ac:dyDescent="0.35">
      <c r="A142" s="1071" t="str">
        <f t="shared" si="27"/>
        <v>350901_2021_12_Cooling RES</v>
      </c>
      <c r="B142" s="106"/>
      <c r="C142" s="50" t="s">
        <v>884</v>
      </c>
      <c r="D142" s="1279" t="s">
        <v>315</v>
      </c>
      <c r="E142" s="2795" t="s">
        <v>885</v>
      </c>
      <c r="F142" s="373">
        <f>ROUND(((J233*J305*(1/J521-1/J449))/1000)*J593*$J$642,2)</f>
        <v>1139.23</v>
      </c>
      <c r="G142" s="727" t="s">
        <v>257</v>
      </c>
      <c r="H142" s="136">
        <f>VLOOKUP(G142,'CP FACTORS'!$A$3:$B$38, 2, FALSE)</f>
        <v>9.4741810000000004E-4</v>
      </c>
      <c r="I142" s="2775">
        <f t="shared" si="30"/>
        <v>1.0793269999999999</v>
      </c>
      <c r="J142" s="557">
        <f t="shared" si="35"/>
        <v>6</v>
      </c>
      <c r="K142" s="387">
        <f t="shared" si="31"/>
        <v>546.05915933353072</v>
      </c>
      <c r="L142" s="478">
        <f t="shared" si="32"/>
        <v>2.1813186813186811</v>
      </c>
      <c r="M142" s="2301"/>
      <c r="N142" s="1280"/>
      <c r="O142" s="106"/>
      <c r="P142" s="106"/>
      <c r="Q142" s="106"/>
      <c r="R142" s="106"/>
      <c r="S142" s="106"/>
      <c r="T142" s="106"/>
      <c r="U142" s="106"/>
      <c r="V142" s="1592" t="s">
        <v>30</v>
      </c>
      <c r="W142" s="2868"/>
      <c r="X142" s="559"/>
      <c r="Y142" s="1591">
        <v>872.89</v>
      </c>
      <c r="Z142" s="560">
        <v>872.89</v>
      </c>
      <c r="AA142" s="560">
        <v>872.89</v>
      </c>
      <c r="AB142" s="1540">
        <v>951.94</v>
      </c>
      <c r="AC142" s="2299">
        <v>1103.99</v>
      </c>
      <c r="AD142" s="373">
        <v>1139.23</v>
      </c>
      <c r="AE142" s="2831"/>
      <c r="AF142" s="851"/>
      <c r="AG142" s="851"/>
      <c r="AH142" s="344"/>
      <c r="AI142" s="156"/>
      <c r="AJ142" s="156"/>
      <c r="AK142" s="156"/>
      <c r="AL142" s="156"/>
      <c r="AM142" s="156"/>
      <c r="AN142" s="156"/>
      <c r="AO142" s="156"/>
      <c r="AP142" s="156"/>
      <c r="AQ142" s="156"/>
      <c r="AR142" s="156"/>
      <c r="AS142" s="156"/>
      <c r="AT142" s="156"/>
      <c r="AU142" s="156"/>
      <c r="AV142" s="156"/>
      <c r="AW142" s="156"/>
      <c r="AX142" s="156"/>
      <c r="AY142" s="156"/>
      <c r="AZ142" s="156"/>
      <c r="BA142" s="156"/>
      <c r="BB142" s="2833">
        <f>(BD142+BD143)/(BE142+BE143)</f>
        <v>1.9125495354707711</v>
      </c>
      <c r="BC142" s="2348" t="str">
        <f t="shared" si="29"/>
        <v>Cooling RES 6 Year EUL</v>
      </c>
      <c r="BD142" s="2829">
        <f>(INDEX('Avoided Cost Benefits'!$E$4:$E$859,MATCH(BC142,'Avoided Cost Benefits'!$A$4:$A$859,0)))*F142</f>
        <v>721.82978658525337</v>
      </c>
      <c r="BE142" s="858">
        <f t="shared" si="33"/>
        <v>515.39326034311534</v>
      </c>
      <c r="BF142" s="156"/>
    </row>
    <row r="143" spans="1:58" x14ac:dyDescent="0.35">
      <c r="A143" s="1071" t="str">
        <f t="shared" si="27"/>
        <v>350901_2021_12_Cooling RES ER2</v>
      </c>
      <c r="B143" s="106"/>
      <c r="C143" s="50" t="s">
        <v>884</v>
      </c>
      <c r="D143" s="1279" t="s">
        <v>315</v>
      </c>
      <c r="E143" s="2796" t="s">
        <v>886</v>
      </c>
      <c r="F143" s="373">
        <f>ROUND(((J234*J306*(1/J378-1/J450))/1000)*J594*$J$642,2)</f>
        <v>238.48</v>
      </c>
      <c r="G143" s="727" t="s">
        <v>848</v>
      </c>
      <c r="H143" s="136">
        <f>VLOOKUP(G143,'CP FACTORS'!$A$3:$B$38, 2, FALSE)</f>
        <v>9.4741810000000004E-4</v>
      </c>
      <c r="I143" s="2775">
        <f t="shared" si="30"/>
        <v>0.22594</v>
      </c>
      <c r="J143" s="557">
        <f t="shared" si="35"/>
        <v>12</v>
      </c>
      <c r="K143" s="387">
        <f t="shared" si="31"/>
        <v>0</v>
      </c>
      <c r="L143" s="478">
        <f t="shared" si="32"/>
        <v>2.1813186813186811</v>
      </c>
      <c r="M143" s="2301"/>
      <c r="N143" s="1280"/>
      <c r="O143" s="106"/>
      <c r="P143" s="106"/>
      <c r="Q143" s="106"/>
      <c r="R143" s="106"/>
      <c r="S143" s="106"/>
      <c r="T143" s="106"/>
      <c r="U143" s="106"/>
      <c r="V143" s="1592" t="s">
        <v>30</v>
      </c>
      <c r="W143" s="2868"/>
      <c r="X143" s="559"/>
      <c r="Y143" s="1591">
        <v>218.77</v>
      </c>
      <c r="Z143" s="560">
        <v>218.77</v>
      </c>
      <c r="AA143" s="560">
        <v>218.77</v>
      </c>
      <c r="AB143" s="2831">
        <v>218.77</v>
      </c>
      <c r="AC143" s="2299">
        <v>274.89</v>
      </c>
      <c r="AD143" s="373">
        <v>238.48</v>
      </c>
      <c r="AE143" s="2831"/>
      <c r="AF143" s="851"/>
      <c r="AG143" s="851"/>
      <c r="AH143" s="344"/>
      <c r="AI143" s="156"/>
      <c r="AJ143" s="156"/>
      <c r="AK143" s="156"/>
      <c r="AL143" s="156"/>
      <c r="AM143" s="156"/>
      <c r="AN143" s="156"/>
      <c r="AO143" s="156"/>
      <c r="AP143" s="156"/>
      <c r="AQ143" s="156"/>
      <c r="AR143" s="156"/>
      <c r="AS143" s="156"/>
      <c r="AT143" s="156"/>
      <c r="AU143" s="156"/>
      <c r="AV143" s="156"/>
      <c r="AW143" s="156"/>
      <c r="AX143" s="156"/>
      <c r="AY143" s="156"/>
      <c r="AZ143" s="156"/>
      <c r="BA143" s="156"/>
      <c r="BB143" s="2835"/>
      <c r="BC143" s="2349" t="str">
        <f t="shared" si="29"/>
        <v>Cooling RES ER2 12 Year EUL</v>
      </c>
      <c r="BD143" s="2829">
        <f>(INDEX('Avoided Cost Benefits'!$E$4:$E$859,MATCH(BC143,'Avoided Cost Benefits'!$A$4:$A$859,0)))*F143</f>
        <v>263.88535406873802</v>
      </c>
      <c r="BE143" s="858">
        <f t="shared" si="33"/>
        <v>0</v>
      </c>
      <c r="BF143" s="156"/>
    </row>
    <row r="144" spans="1:58" x14ac:dyDescent="0.35">
      <c r="A144" s="1071" t="str">
        <f t="shared" si="27"/>
        <v>350950_2021_12_Cooling RES</v>
      </c>
      <c r="B144" s="106"/>
      <c r="C144" s="50" t="s">
        <v>887</v>
      </c>
      <c r="D144" s="1279" t="s">
        <v>320</v>
      </c>
      <c r="E144" s="2795" t="s">
        <v>888</v>
      </c>
      <c r="F144" s="373">
        <f>ROUND(((J235*J307*(1/J379-1/J451))/1000)*J595*$J$642,2)</f>
        <v>415.11</v>
      </c>
      <c r="G144" s="727" t="s">
        <v>257</v>
      </c>
      <c r="H144" s="136">
        <f>VLOOKUP(G144,'CP FACTORS'!$A$3:$B$38, 2, FALSE)</f>
        <v>9.4741810000000004E-4</v>
      </c>
      <c r="I144" s="2775">
        <f t="shared" si="30"/>
        <v>0.39328299999999999</v>
      </c>
      <c r="J144" s="557">
        <f t="shared" si="35"/>
        <v>18</v>
      </c>
      <c r="K144" s="387">
        <f t="shared" si="31"/>
        <v>221</v>
      </c>
      <c r="L144" s="478">
        <f t="shared" si="32"/>
        <v>2.75</v>
      </c>
      <c r="M144" s="2301"/>
      <c r="N144" s="1280"/>
      <c r="O144" s="106"/>
      <c r="P144" s="106"/>
      <c r="Q144" s="106"/>
      <c r="R144" s="106"/>
      <c r="S144" s="106"/>
      <c r="T144" s="106"/>
      <c r="U144" s="106"/>
      <c r="V144" s="1592" t="s">
        <v>30</v>
      </c>
      <c r="W144" s="2868">
        <v>283.51125000000008</v>
      </c>
      <c r="X144" s="559">
        <v>428.65550480769241</v>
      </c>
      <c r="Y144" s="1591">
        <v>300.81</v>
      </c>
      <c r="Z144" s="560">
        <v>300.81</v>
      </c>
      <c r="AA144" s="560">
        <v>300.81</v>
      </c>
      <c r="AB144" s="1540">
        <v>408.24</v>
      </c>
      <c r="AC144" s="2299">
        <v>315.22000000000003</v>
      </c>
      <c r="AD144" s="373">
        <v>415.11</v>
      </c>
      <c r="AE144" s="2831"/>
      <c r="AF144" s="851"/>
      <c r="AG144" s="851"/>
      <c r="AH144" s="344"/>
      <c r="AI144" s="156"/>
      <c r="AJ144" s="156"/>
      <c r="AK144" s="156"/>
      <c r="AL144" s="156"/>
      <c r="AM144" s="156"/>
      <c r="AN144" s="156"/>
      <c r="AO144" s="156"/>
      <c r="AP144" s="156"/>
      <c r="AQ144" s="156"/>
      <c r="AR144" s="156"/>
      <c r="AS144" s="156"/>
      <c r="AT144" s="156"/>
      <c r="AU144" s="156"/>
      <c r="AV144" s="156"/>
      <c r="AW144" s="156"/>
      <c r="AX144" s="156"/>
      <c r="AY144" s="156"/>
      <c r="AZ144" s="156"/>
      <c r="BA144" s="156"/>
      <c r="BB144" s="2833">
        <f>(BD144)/(BE144)</f>
        <v>3.463033182853978</v>
      </c>
      <c r="BC144" s="562" t="str">
        <f t="shared" si="29"/>
        <v>Cooling RES 18 Year EUL</v>
      </c>
      <c r="BD144" s="2829">
        <f>(INDEX('Avoided Cost Benefits'!$E$4:$E$859,MATCH(BC144,'Avoided Cost Benefits'!$A$4:$A$859,0)))*F144</f>
        <v>722.35047985911194</v>
      </c>
      <c r="BE144" s="858">
        <f t="shared" si="33"/>
        <v>208.58895705521471</v>
      </c>
      <c r="BF144" s="156"/>
    </row>
    <row r="145" spans="1:58" x14ac:dyDescent="0.35">
      <c r="A145" s="1071" t="str">
        <f t="shared" si="27"/>
        <v>350951_2021_12_Cooling RES</v>
      </c>
      <c r="B145" s="106"/>
      <c r="C145" s="50" t="s">
        <v>889</v>
      </c>
      <c r="D145" s="1279" t="s">
        <v>315</v>
      </c>
      <c r="E145" s="2795" t="s">
        <v>890</v>
      </c>
      <c r="F145" s="373">
        <f>ROUND(((J236*J308*(1/J380-1/J452))/1000)*J596*$J$642,2)</f>
        <v>301.89999999999998</v>
      </c>
      <c r="G145" s="727" t="s">
        <v>257</v>
      </c>
      <c r="H145" s="136">
        <f>VLOOKUP(G145,'CP FACTORS'!$A$3:$B$38, 2, FALSE)</f>
        <v>9.4741810000000004E-4</v>
      </c>
      <c r="I145" s="2775">
        <f t="shared" si="30"/>
        <v>0.286026</v>
      </c>
      <c r="J145" s="564">
        <v>18</v>
      </c>
      <c r="K145" s="387">
        <f t="shared" si="31"/>
        <v>221</v>
      </c>
      <c r="L145" s="478">
        <f t="shared" si="32"/>
        <v>2.75</v>
      </c>
      <c r="M145" s="2301"/>
      <c r="N145" s="1280"/>
      <c r="O145" s="106"/>
      <c r="P145" s="106"/>
      <c r="Q145" s="106"/>
      <c r="R145" s="106"/>
      <c r="S145" s="106"/>
      <c r="T145" s="106"/>
      <c r="U145" s="106"/>
      <c r="V145" s="1592" t="s">
        <v>30</v>
      </c>
      <c r="W145" s="2868"/>
      <c r="X145" s="559"/>
      <c r="Y145" s="1591">
        <v>218.77</v>
      </c>
      <c r="Z145" s="560">
        <v>218.77</v>
      </c>
      <c r="AA145" s="560">
        <v>218.77</v>
      </c>
      <c r="AB145" s="2831">
        <v>218.77</v>
      </c>
      <c r="AC145" s="2299">
        <v>229.25</v>
      </c>
      <c r="AD145" s="373">
        <v>301.89999999999998</v>
      </c>
      <c r="AE145" s="2831"/>
      <c r="AF145" s="851"/>
      <c r="AG145" s="851"/>
      <c r="AH145" s="344"/>
      <c r="AI145" s="156"/>
      <c r="AJ145" s="156"/>
      <c r="AK145" s="156"/>
      <c r="AL145" s="156"/>
      <c r="AM145" s="156"/>
      <c r="AN145" s="156"/>
      <c r="AO145" s="156"/>
      <c r="AP145" s="156"/>
      <c r="AQ145" s="156"/>
      <c r="AR145" s="156"/>
      <c r="AS145" s="156"/>
      <c r="AT145" s="156"/>
      <c r="AU145" s="156"/>
      <c r="AV145" s="156"/>
      <c r="AW145" s="156"/>
      <c r="AX145" s="156"/>
      <c r="AY145" s="156"/>
      <c r="AZ145" s="156"/>
      <c r="BA145" s="156"/>
      <c r="BB145" s="2833">
        <f>(BD145)/(BE145)</f>
        <v>2.5185847556156582</v>
      </c>
      <c r="BC145" s="562" t="str">
        <f t="shared" si="29"/>
        <v>Cooling RES 18 Year EUL</v>
      </c>
      <c r="BD145" s="2829">
        <f>(INDEX('Avoided Cost Benefits'!$E$4:$E$859,MATCH(BC145,'Avoided Cost Benefits'!$A$4:$A$859,0)))*F145</f>
        <v>525.348967429033</v>
      </c>
      <c r="BE145" s="858">
        <f t="shared" si="33"/>
        <v>208.58895705521471</v>
      </c>
      <c r="BF145" s="156"/>
    </row>
    <row r="146" spans="1:58" x14ac:dyDescent="0.35">
      <c r="A146" s="1071" t="str">
        <f t="shared" si="27"/>
        <v>351000_2021_12_Cooling RES</v>
      </c>
      <c r="B146" s="106"/>
      <c r="C146" s="50" t="s">
        <v>891</v>
      </c>
      <c r="D146" s="1279" t="s">
        <v>318</v>
      </c>
      <c r="E146" s="2795" t="s">
        <v>892</v>
      </c>
      <c r="F146" s="373">
        <f>ROUND(((J237*J309*(1/J525-1/J453))/1000)*J597*$J$642,2)</f>
        <v>2272.7399999999998</v>
      </c>
      <c r="G146" s="727" t="s">
        <v>257</v>
      </c>
      <c r="H146" s="136">
        <f>VLOOKUP(G146,'CP FACTORS'!$A$3:$B$38, 2, FALSE)</f>
        <v>9.4741810000000004E-4</v>
      </c>
      <c r="I146" s="2775">
        <f t="shared" si="30"/>
        <v>2.153235</v>
      </c>
      <c r="J146" s="557">
        <f t="shared" ref="J146:J161" si="36">J670</f>
        <v>6</v>
      </c>
      <c r="K146" s="387">
        <f t="shared" si="31"/>
        <v>1058.7232291797773</v>
      </c>
      <c r="L146" s="478">
        <f t="shared" si="32"/>
        <v>2.9440646364201366</v>
      </c>
      <c r="M146" s="2301"/>
      <c r="N146" s="1280"/>
      <c r="O146" s="106"/>
      <c r="P146" s="106"/>
      <c r="Q146" s="106"/>
      <c r="R146" s="106"/>
      <c r="S146" s="106"/>
      <c r="T146" s="106"/>
      <c r="U146" s="106"/>
      <c r="V146" s="1592" t="s">
        <v>30</v>
      </c>
      <c r="W146" s="2868">
        <v>2040.7162123385942</v>
      </c>
      <c r="X146" s="559">
        <v>1979.1918367346937</v>
      </c>
      <c r="Y146" s="1591">
        <v>1953.65</v>
      </c>
      <c r="Z146" s="560">
        <v>1953.65</v>
      </c>
      <c r="AA146" s="560">
        <v>1953.65</v>
      </c>
      <c r="AB146" s="1540">
        <v>2431.04</v>
      </c>
      <c r="AC146" s="2299">
        <v>1896.58</v>
      </c>
      <c r="AD146" s="373">
        <v>2272.7399999999998</v>
      </c>
      <c r="AE146" s="2831"/>
      <c r="AF146" s="851"/>
      <c r="AG146" s="851"/>
      <c r="AH146" s="344"/>
      <c r="AI146" s="156"/>
      <c r="AJ146" s="156"/>
      <c r="AK146" s="156"/>
      <c r="AL146" s="156"/>
      <c r="AM146" s="156"/>
      <c r="AN146" s="156"/>
      <c r="AO146" s="156"/>
      <c r="AP146" s="156"/>
      <c r="AQ146" s="156"/>
      <c r="AR146" s="156"/>
      <c r="AS146" s="156"/>
      <c r="AT146" s="156"/>
      <c r="AU146" s="156"/>
      <c r="AV146" s="156"/>
      <c r="AW146" s="156"/>
      <c r="AX146" s="156"/>
      <c r="AY146" s="156"/>
      <c r="AZ146" s="156"/>
      <c r="BA146" s="156"/>
      <c r="BB146" s="2833">
        <f>(BD146+BD147)/(BE146+BE147)</f>
        <v>2.0641268512266664</v>
      </c>
      <c r="BC146" s="2348" t="str">
        <f t="shared" si="29"/>
        <v>Cooling RES 6 Year EUL</v>
      </c>
      <c r="BD146" s="2829">
        <f>(INDEX('Avoided Cost Benefits'!$E$4:$E$859,MATCH(BC146,'Avoided Cost Benefits'!$A$4:$A$859,0)))*F146</f>
        <v>1440.0353125916351</v>
      </c>
      <c r="BE146" s="858">
        <f t="shared" si="33"/>
        <v>999.26685151465517</v>
      </c>
      <c r="BF146" s="156"/>
    </row>
    <row r="147" spans="1:58" x14ac:dyDescent="0.35">
      <c r="A147" s="1071" t="str">
        <f t="shared" si="27"/>
        <v>351000_2021_12_Cooling RES ER2</v>
      </c>
      <c r="B147" s="106"/>
      <c r="C147" s="50" t="s">
        <v>891</v>
      </c>
      <c r="D147" s="1279" t="s">
        <v>318</v>
      </c>
      <c r="E147" s="2796" t="s">
        <v>893</v>
      </c>
      <c r="F147" s="373">
        <f>ROUND(((J238*J310*(1/J382-1/J454))/1000)*J598*$J$642,2)</f>
        <v>562.64</v>
      </c>
      <c r="G147" s="727" t="s">
        <v>848</v>
      </c>
      <c r="H147" s="136">
        <f>VLOOKUP(G147,'CP FACTORS'!$A$3:$B$38, 2, FALSE)</f>
        <v>9.4741810000000004E-4</v>
      </c>
      <c r="I147" s="2775">
        <f t="shared" si="30"/>
        <v>0.53305499999999995</v>
      </c>
      <c r="J147" s="557">
        <f t="shared" si="36"/>
        <v>12</v>
      </c>
      <c r="K147" s="387">
        <f t="shared" si="31"/>
        <v>0</v>
      </c>
      <c r="L147" s="478">
        <f t="shared" si="32"/>
        <v>2.9440646364201366</v>
      </c>
      <c r="M147" s="2301"/>
      <c r="N147" s="1280"/>
      <c r="O147" s="106"/>
      <c r="P147" s="106"/>
      <c r="Q147" s="106"/>
      <c r="R147" s="106"/>
      <c r="S147" s="106"/>
      <c r="T147" s="106"/>
      <c r="U147" s="106"/>
      <c r="V147" s="1592" t="s">
        <v>30</v>
      </c>
      <c r="W147" s="2868">
        <v>1331.1035294117648</v>
      </c>
      <c r="X147" s="559">
        <v>585.10045248868789</v>
      </c>
      <c r="Y147" s="1591">
        <v>577.54999999999995</v>
      </c>
      <c r="Z147" s="560">
        <v>577.54999999999995</v>
      </c>
      <c r="AA147" s="560">
        <v>577.54999999999995</v>
      </c>
      <c r="AB147" s="1540">
        <v>645.84</v>
      </c>
      <c r="AC147" s="2299">
        <v>576.42999999999995</v>
      </c>
      <c r="AD147" s="373">
        <v>562.64</v>
      </c>
      <c r="AE147" s="2831"/>
      <c r="AF147" s="851"/>
      <c r="AG147" s="851"/>
      <c r="AH147" s="344"/>
      <c r="AI147" s="156"/>
      <c r="AJ147" s="156"/>
      <c r="AK147" s="156"/>
      <c r="AL147" s="156"/>
      <c r="AM147" s="156"/>
      <c r="AN147" s="156"/>
      <c r="AO147" s="156"/>
      <c r="AP147" s="156"/>
      <c r="AQ147" s="156"/>
      <c r="AR147" s="156"/>
      <c r="AS147" s="156"/>
      <c r="AT147" s="156"/>
      <c r="AU147" s="156"/>
      <c r="AV147" s="156"/>
      <c r="AW147" s="156"/>
      <c r="AX147" s="156"/>
      <c r="AY147" s="156"/>
      <c r="AZ147" s="156"/>
      <c r="BA147" s="156"/>
      <c r="BB147" s="2835"/>
      <c r="BC147" s="2349" t="str">
        <f t="shared" si="29"/>
        <v>Cooling RES ER2 12 Year EUL</v>
      </c>
      <c r="BD147" s="2829">
        <f>(INDEX('Avoided Cost Benefits'!$E$4:$E$859,MATCH(BC147,'Avoided Cost Benefits'!$A$4:$A$859,0)))*F147</f>
        <v>622.57822716049463</v>
      </c>
      <c r="BE147" s="858">
        <f t="shared" si="33"/>
        <v>0</v>
      </c>
      <c r="BF147" s="156"/>
    </row>
    <row r="148" spans="1:58" x14ac:dyDescent="0.35">
      <c r="A148" s="1071" t="str">
        <f t="shared" si="27"/>
        <v>351050_2021_12_Cooling RES</v>
      </c>
      <c r="B148" s="106"/>
      <c r="C148" s="50" t="s">
        <v>894</v>
      </c>
      <c r="D148" s="1279" t="s">
        <v>318</v>
      </c>
      <c r="E148" s="2795" t="s">
        <v>895</v>
      </c>
      <c r="F148" s="373">
        <f>ROUND(((J239*J311*(1/J383-1/J455))/1000)*J599*$J$642,2)</f>
        <v>559.92999999999995</v>
      </c>
      <c r="G148" s="727" t="s">
        <v>257</v>
      </c>
      <c r="H148" s="136">
        <f>VLOOKUP(G148,'CP FACTORS'!$A$3:$B$38, 2, FALSE)</f>
        <v>9.4741810000000004E-4</v>
      </c>
      <c r="I148" s="2775">
        <f t="shared" si="30"/>
        <v>0.53048799999999996</v>
      </c>
      <c r="J148" s="557">
        <f t="shared" si="36"/>
        <v>18</v>
      </c>
      <c r="K148" s="387">
        <f t="shared" si="31"/>
        <v>620</v>
      </c>
      <c r="L148" s="478">
        <f t="shared" si="32"/>
        <v>2.9290780141843968</v>
      </c>
      <c r="M148" s="2301"/>
      <c r="N148" s="1280"/>
      <c r="O148" s="106"/>
      <c r="P148" s="106"/>
      <c r="Q148" s="106"/>
      <c r="R148" s="106"/>
      <c r="S148" s="106"/>
      <c r="T148" s="106"/>
      <c r="U148" s="106"/>
      <c r="V148" s="1592" t="s">
        <v>30</v>
      </c>
      <c r="W148" s="2868">
        <v>547.35203619909521</v>
      </c>
      <c r="X148" s="559">
        <v>547.35203619909521</v>
      </c>
      <c r="Y148" s="1591">
        <v>564.34</v>
      </c>
      <c r="Z148" s="560">
        <v>564.34</v>
      </c>
      <c r="AA148" s="560">
        <v>564.34</v>
      </c>
      <c r="AB148" s="1540">
        <v>665.3</v>
      </c>
      <c r="AC148" s="2299">
        <v>595.16999999999996</v>
      </c>
      <c r="AD148" s="373">
        <v>559.92999999999995</v>
      </c>
      <c r="AE148" s="2831"/>
      <c r="AF148" s="851"/>
      <c r="AG148" s="851"/>
      <c r="AH148" s="344"/>
      <c r="AI148" s="156"/>
      <c r="AJ148" s="156"/>
      <c r="AK148" s="156"/>
      <c r="AL148" s="156"/>
      <c r="AM148" s="156"/>
      <c r="AN148" s="156"/>
      <c r="AO148" s="156"/>
      <c r="AP148" s="156"/>
      <c r="AQ148" s="156"/>
      <c r="AR148" s="156"/>
      <c r="AS148" s="156"/>
      <c r="AT148" s="156"/>
      <c r="AU148" s="156"/>
      <c r="AV148" s="156"/>
      <c r="AW148" s="156"/>
      <c r="AX148" s="156"/>
      <c r="AY148" s="156"/>
      <c r="AZ148" s="156"/>
      <c r="BA148" s="156"/>
      <c r="BB148" s="2833">
        <f>(BD148)/(BE148)</f>
        <v>1.6650519123445304</v>
      </c>
      <c r="BC148" s="562" t="str">
        <f t="shared" si="29"/>
        <v>Cooling RES 18 Year EUL</v>
      </c>
      <c r="BD148" s="2829">
        <f>(INDEX('Avoided Cost Benefits'!$E$4:$E$859,MATCH(BC148,'Avoided Cost Benefits'!$A$4:$A$859,0)))*F148</f>
        <v>974.35789113129658</v>
      </c>
      <c r="BE148" s="858">
        <f t="shared" si="33"/>
        <v>585.18168947616789</v>
      </c>
      <c r="BF148" s="156"/>
    </row>
    <row r="149" spans="1:58" x14ac:dyDescent="0.35">
      <c r="A149" s="1071" t="str">
        <f t="shared" si="27"/>
        <v>351100_2021_12_Cooling RES</v>
      </c>
      <c r="B149" s="106"/>
      <c r="C149" s="50" t="s">
        <v>896</v>
      </c>
      <c r="D149" s="1279" t="s">
        <v>320</v>
      </c>
      <c r="E149" s="2795" t="s">
        <v>897</v>
      </c>
      <c r="F149" s="373">
        <f>ROUND(((J240*J312*(1/J528-1/J456))/1000)*J600*$J$642,2)</f>
        <v>2166.1999999999998</v>
      </c>
      <c r="G149" s="727" t="s">
        <v>257</v>
      </c>
      <c r="H149" s="136">
        <f>VLOOKUP(G149,'CP FACTORS'!$A$3:$B$38, 2, FALSE)</f>
        <v>9.4741810000000004E-4</v>
      </c>
      <c r="I149" s="2775">
        <f t="shared" si="30"/>
        <v>2.0522969999999998</v>
      </c>
      <c r="J149" s="557">
        <f t="shared" si="36"/>
        <v>6</v>
      </c>
      <c r="K149" s="387">
        <f t="shared" si="31"/>
        <v>1025.6643692886123</v>
      </c>
      <c r="L149" s="478">
        <f t="shared" si="32"/>
        <v>2.7222222222222223</v>
      </c>
      <c r="M149" s="2301"/>
      <c r="N149" s="1280"/>
      <c r="O149" s="106"/>
      <c r="P149" s="106"/>
      <c r="Q149" s="106"/>
      <c r="R149" s="106"/>
      <c r="S149" s="106"/>
      <c r="T149" s="106"/>
      <c r="U149" s="106"/>
      <c r="V149" s="1592" t="s">
        <v>30</v>
      </c>
      <c r="W149" s="2868">
        <v>1326.4655380200863</v>
      </c>
      <c r="X149" s="559">
        <v>1979.1918367346937</v>
      </c>
      <c r="Y149" s="1591">
        <v>1276.9000000000001</v>
      </c>
      <c r="Z149" s="560">
        <v>1276.9000000000001</v>
      </c>
      <c r="AA149" s="560">
        <v>1276.9000000000001</v>
      </c>
      <c r="AB149" s="1540">
        <v>2200.86</v>
      </c>
      <c r="AC149" s="2299">
        <v>1604.29</v>
      </c>
      <c r="AD149" s="373">
        <v>2166.1999999999998</v>
      </c>
      <c r="AE149" s="2831"/>
      <c r="AF149" s="851"/>
      <c r="AG149" s="851"/>
      <c r="AH149" s="344"/>
      <c r="AI149" s="156"/>
      <c r="AJ149" s="156"/>
      <c r="AK149" s="156"/>
      <c r="AL149" s="156"/>
      <c r="AM149" s="156"/>
      <c r="AN149" s="156"/>
      <c r="AO149" s="156"/>
      <c r="AP149" s="156"/>
      <c r="AQ149" s="156"/>
      <c r="AR149" s="156"/>
      <c r="AS149" s="156"/>
      <c r="AT149" s="156"/>
      <c r="AU149" s="156"/>
      <c r="AV149" s="156"/>
      <c r="AW149" s="156"/>
      <c r="AX149" s="156"/>
      <c r="AY149" s="156"/>
      <c r="AZ149" s="156"/>
      <c r="BA149" s="156"/>
      <c r="BB149" s="2833">
        <f>(BD149+BD150)/(BE149+BE150)</f>
        <v>2.010128716142654</v>
      </c>
      <c r="BC149" s="2348" t="str">
        <f t="shared" si="29"/>
        <v>Cooling RES 6 Year EUL</v>
      </c>
      <c r="BD149" s="2829">
        <f>(INDEX('Avoided Cost Benefits'!$E$4:$E$859,MATCH(BC149,'Avoided Cost Benefits'!$A$4:$A$859,0)))*F149</f>
        <v>1372.5302912502091</v>
      </c>
      <c r="BE149" s="858">
        <f t="shared" si="33"/>
        <v>968.06452976744902</v>
      </c>
      <c r="BF149" s="156"/>
    </row>
    <row r="150" spans="1:58" x14ac:dyDescent="0.35">
      <c r="A150" s="1071" t="str">
        <f t="shared" si="27"/>
        <v>351100_2021_12_Cooling RES ER2</v>
      </c>
      <c r="B150" s="106"/>
      <c r="C150" s="50" t="s">
        <v>896</v>
      </c>
      <c r="D150" s="1279" t="s">
        <v>320</v>
      </c>
      <c r="E150" s="2796" t="s">
        <v>898</v>
      </c>
      <c r="F150" s="373">
        <f>ROUND(((J241*J313*(1/J385-1/J457))/1000)*J601*$J$642,2)</f>
        <v>518.20000000000005</v>
      </c>
      <c r="G150" s="727" t="s">
        <v>848</v>
      </c>
      <c r="H150" s="136">
        <f>VLOOKUP(G150,'CP FACTORS'!$A$3:$B$38, 2, FALSE)</f>
        <v>9.4741810000000004E-4</v>
      </c>
      <c r="I150" s="2775">
        <f t="shared" si="30"/>
        <v>0.490952</v>
      </c>
      <c r="J150" s="557">
        <f t="shared" si="36"/>
        <v>12</v>
      </c>
      <c r="K150" s="387">
        <f t="shared" si="31"/>
        <v>0</v>
      </c>
      <c r="L150" s="478">
        <f t="shared" si="32"/>
        <v>2.7222222222222223</v>
      </c>
      <c r="M150" s="2301"/>
      <c r="N150" s="1280"/>
      <c r="O150" s="106"/>
      <c r="P150" s="106"/>
      <c r="Q150" s="106"/>
      <c r="R150" s="106"/>
      <c r="S150" s="106"/>
      <c r="T150" s="106"/>
      <c r="U150" s="106"/>
      <c r="V150" s="1592" t="s">
        <v>30</v>
      </c>
      <c r="W150" s="2868">
        <v>865.21729411764716</v>
      </c>
      <c r="X150" s="559">
        <v>585.10045248868789</v>
      </c>
      <c r="Y150" s="1591">
        <v>377.48</v>
      </c>
      <c r="Z150" s="560">
        <v>377.48</v>
      </c>
      <c r="AA150" s="560">
        <v>377.48</v>
      </c>
      <c r="AB150" s="1540">
        <v>475.26</v>
      </c>
      <c r="AC150" s="2299">
        <v>496.97</v>
      </c>
      <c r="AD150" s="373">
        <v>518.20000000000005</v>
      </c>
      <c r="AE150" s="2831"/>
      <c r="AF150" s="851"/>
      <c r="AG150" s="851"/>
      <c r="AH150" s="344"/>
      <c r="AI150" s="156"/>
      <c r="AJ150" s="156"/>
      <c r="AK150" s="156"/>
      <c r="AL150" s="156"/>
      <c r="AM150" s="156"/>
      <c r="AN150" s="156"/>
      <c r="AO150" s="156"/>
      <c r="AP150" s="156"/>
      <c r="AQ150" s="156"/>
      <c r="AR150" s="156"/>
      <c r="AS150" s="156"/>
      <c r="AT150" s="156"/>
      <c r="AU150" s="156"/>
      <c r="AV150" s="156"/>
      <c r="AW150" s="156"/>
      <c r="AX150" s="156"/>
      <c r="AY150" s="156"/>
      <c r="AZ150" s="156"/>
      <c r="BA150" s="156"/>
      <c r="BB150" s="2835"/>
      <c r="BC150" s="2349" t="str">
        <f t="shared" si="29"/>
        <v>Cooling RES ER2 12 Year EUL</v>
      </c>
      <c r="BD150" s="2829">
        <f>(INDEX('Avoided Cost Benefits'!$E$4:$E$859,MATCH(BC150,'Avoided Cost Benefits'!$A$4:$A$859,0)))*F150</f>
        <v>573.4040191144752</v>
      </c>
      <c r="BE150" s="858">
        <f t="shared" si="33"/>
        <v>0</v>
      </c>
      <c r="BF150" s="156"/>
    </row>
    <row r="151" spans="1:58" x14ac:dyDescent="0.35">
      <c r="A151" s="1071" t="str">
        <f t="shared" si="27"/>
        <v>351101_2021_12_Cooling RES</v>
      </c>
      <c r="B151" s="106"/>
      <c r="C151" s="50" t="s">
        <v>899</v>
      </c>
      <c r="D151" s="1279" t="s">
        <v>315</v>
      </c>
      <c r="E151" s="2795" t="s">
        <v>900</v>
      </c>
      <c r="F151" s="373">
        <f>ROUND(((J242*J314*(1/J530-1/J458))/1000)*J602*$J$642,2)</f>
        <v>1575.42</v>
      </c>
      <c r="G151" s="727" t="s">
        <v>257</v>
      </c>
      <c r="H151" s="136">
        <f>VLOOKUP(G151,'CP FACTORS'!$A$3:$B$38, 2, FALSE)</f>
        <v>9.4741810000000004E-4</v>
      </c>
      <c r="I151" s="2775">
        <f t="shared" si="30"/>
        <v>1.4925809999999999</v>
      </c>
      <c r="J151" s="557">
        <f t="shared" si="36"/>
        <v>6</v>
      </c>
      <c r="K151" s="387">
        <f t="shared" si="31"/>
        <v>1025.6643692886123</v>
      </c>
      <c r="L151" s="478">
        <f t="shared" si="32"/>
        <v>2.7222222222222223</v>
      </c>
      <c r="M151" s="2301"/>
      <c r="N151" s="1280"/>
      <c r="O151" s="106"/>
      <c r="P151" s="106"/>
      <c r="Q151" s="106"/>
      <c r="R151" s="106"/>
      <c r="S151" s="106"/>
      <c r="T151" s="106"/>
      <c r="U151" s="106"/>
      <c r="V151" s="1592" t="s">
        <v>30</v>
      </c>
      <c r="W151" s="2868"/>
      <c r="X151" s="559"/>
      <c r="Y151" s="1591">
        <v>928.65</v>
      </c>
      <c r="Z151" s="560">
        <v>928.65</v>
      </c>
      <c r="AA151" s="560">
        <v>928.65</v>
      </c>
      <c r="AB151" s="2831">
        <v>928.65</v>
      </c>
      <c r="AC151" s="2299">
        <v>1187.46</v>
      </c>
      <c r="AD151" s="373">
        <v>1575.42</v>
      </c>
      <c r="AE151" s="2831"/>
      <c r="AF151" s="851"/>
      <c r="AG151" s="851"/>
      <c r="AH151" s="344"/>
      <c r="AI151" s="156"/>
      <c r="AJ151" s="156"/>
      <c r="AK151" s="156"/>
      <c r="AL151" s="156"/>
      <c r="AM151" s="156"/>
      <c r="AN151" s="156"/>
      <c r="AO151" s="156"/>
      <c r="AP151" s="156"/>
      <c r="AQ151" s="156"/>
      <c r="AR151" s="156"/>
      <c r="AS151" s="156"/>
      <c r="AT151" s="156"/>
      <c r="AU151" s="156"/>
      <c r="AV151" s="156"/>
      <c r="AW151" s="156"/>
      <c r="AX151" s="156"/>
      <c r="AY151" s="156"/>
      <c r="AZ151" s="156"/>
      <c r="BA151" s="156"/>
      <c r="BB151" s="2833">
        <f>(BD151+BD152)/(BE151+BE152)</f>
        <v>1.4619098662196239</v>
      </c>
      <c r="BC151" s="2348" t="str">
        <f t="shared" si="29"/>
        <v>Cooling RES 6 Year EUL</v>
      </c>
      <c r="BD151" s="2829">
        <f>(INDEX('Avoided Cost Benefits'!$E$4:$E$859,MATCH(BC151,'Avoided Cost Benefits'!$A$4:$A$859,0)))*F151</f>
        <v>998.20500020376915</v>
      </c>
      <c r="BE151" s="858">
        <f t="shared" si="33"/>
        <v>968.06452976744902</v>
      </c>
      <c r="BF151" s="156"/>
    </row>
    <row r="152" spans="1:58" x14ac:dyDescent="0.35">
      <c r="A152" s="1071" t="str">
        <f t="shared" si="27"/>
        <v>351101_2021_12_Cooling RES ER2</v>
      </c>
      <c r="B152" s="106"/>
      <c r="C152" s="50" t="s">
        <v>899</v>
      </c>
      <c r="D152" s="1279" t="s">
        <v>315</v>
      </c>
      <c r="E152" s="2796" t="s">
        <v>901</v>
      </c>
      <c r="F152" s="373">
        <f>ROUND(((J243*J315*(1/J387-1/J459))/1000)*J603*$J$642,2)</f>
        <v>376.87</v>
      </c>
      <c r="G152" s="727" t="s">
        <v>848</v>
      </c>
      <c r="H152" s="136">
        <f>VLOOKUP(G152,'CP FACTORS'!$A$3:$B$38, 2, FALSE)</f>
        <v>9.4741810000000004E-4</v>
      </c>
      <c r="I152" s="2775">
        <f t="shared" si="30"/>
        <v>0.35705300000000001</v>
      </c>
      <c r="J152" s="557">
        <f t="shared" si="36"/>
        <v>12</v>
      </c>
      <c r="K152" s="387">
        <f t="shared" si="31"/>
        <v>0</v>
      </c>
      <c r="L152" s="478">
        <f t="shared" si="32"/>
        <v>2.7222222222222223</v>
      </c>
      <c r="M152" s="2301"/>
      <c r="N152" s="1280"/>
      <c r="O152" s="106"/>
      <c r="P152" s="106"/>
      <c r="Q152" s="106"/>
      <c r="R152" s="106"/>
      <c r="S152" s="106"/>
      <c r="T152" s="106"/>
      <c r="U152" s="106"/>
      <c r="V152" s="1592" t="s">
        <v>30</v>
      </c>
      <c r="W152" s="2868"/>
      <c r="X152" s="559"/>
      <c r="Y152" s="1591">
        <v>274.52999999999997</v>
      </c>
      <c r="Z152" s="560">
        <v>274.52999999999997</v>
      </c>
      <c r="AA152" s="560">
        <v>274.52999999999997</v>
      </c>
      <c r="AB152" s="2831">
        <v>274.52999999999997</v>
      </c>
      <c r="AC152" s="2299">
        <v>351.04</v>
      </c>
      <c r="AD152" s="373">
        <v>376.87</v>
      </c>
      <c r="AE152" s="2831"/>
      <c r="AF152" s="851"/>
      <c r="AG152" s="851"/>
      <c r="AH152" s="344"/>
      <c r="AI152" s="156"/>
      <c r="AJ152" s="156"/>
      <c r="AK152" s="156"/>
      <c r="AL152" s="156"/>
      <c r="AM152" s="156"/>
      <c r="AN152" s="156"/>
      <c r="AO152" s="156"/>
      <c r="AP152" s="156"/>
      <c r="AQ152" s="156"/>
      <c r="AR152" s="156"/>
      <c r="AS152" s="156"/>
      <c r="AT152" s="156"/>
      <c r="AU152" s="156"/>
      <c r="AV152" s="156"/>
      <c r="AW152" s="156"/>
      <c r="AX152" s="156"/>
      <c r="AY152" s="156"/>
      <c r="AZ152" s="156"/>
      <c r="BA152" s="156"/>
      <c r="BB152" s="2835"/>
      <c r="BC152" s="2349" t="str">
        <f t="shared" si="29"/>
        <v>Cooling RES ER2 12 Year EUL</v>
      </c>
      <c r="BD152" s="2829">
        <f>(INDEX('Avoided Cost Benefits'!$E$4:$E$859,MATCH(BC152,'Avoided Cost Benefits'!$A$4:$A$859,0)))*F152</f>
        <v>417.01808700052538</v>
      </c>
      <c r="BE152" s="858">
        <f t="shared" si="33"/>
        <v>0</v>
      </c>
      <c r="BF152" s="156"/>
    </row>
    <row r="153" spans="1:58" x14ac:dyDescent="0.35">
      <c r="A153" s="1071" t="str">
        <f t="shared" si="27"/>
        <v>351150_2021_12_Cooling RES</v>
      </c>
      <c r="B153" s="106"/>
      <c r="C153" s="50" t="s">
        <v>902</v>
      </c>
      <c r="D153" s="1279" t="s">
        <v>320</v>
      </c>
      <c r="E153" s="2795" t="s">
        <v>903</v>
      </c>
      <c r="F153" s="1741">
        <f>ROUND(((J244*J316*(1/J388-1/J460))/1000)*J604*$J$642,2)</f>
        <v>518</v>
      </c>
      <c r="G153" s="727" t="s">
        <v>257</v>
      </c>
      <c r="H153" s="136">
        <f>VLOOKUP(G153,'CP FACTORS'!$A$3:$B$38, 2, FALSE)</f>
        <v>9.4741810000000004E-4</v>
      </c>
      <c r="I153" s="1278">
        <f t="shared" si="30"/>
        <v>0.490763</v>
      </c>
      <c r="J153" s="557">
        <f t="shared" si="36"/>
        <v>18</v>
      </c>
      <c r="K153" s="387">
        <f t="shared" si="31"/>
        <v>620</v>
      </c>
      <c r="L153" s="52">
        <f t="shared" si="32"/>
        <v>2.75</v>
      </c>
      <c r="M153" s="2301"/>
      <c r="N153" s="1280"/>
      <c r="O153" s="106"/>
      <c r="P153" s="106"/>
      <c r="Q153" s="106"/>
      <c r="R153" s="106"/>
      <c r="S153" s="106"/>
      <c r="T153" s="106"/>
      <c r="U153" s="106"/>
      <c r="V153" s="1592" t="s">
        <v>30</v>
      </c>
      <c r="W153" s="2868">
        <v>355.77882352941191</v>
      </c>
      <c r="X153" s="559">
        <v>547.35203619909521</v>
      </c>
      <c r="Y153" s="1591">
        <v>377.48</v>
      </c>
      <c r="Z153" s="560">
        <v>377.48</v>
      </c>
      <c r="AA153" s="560">
        <v>377.48</v>
      </c>
      <c r="AB153" s="1540">
        <v>754.97</v>
      </c>
      <c r="AC153" s="2299">
        <v>518</v>
      </c>
      <c r="AD153" s="1741">
        <v>518</v>
      </c>
      <c r="AE153" s="2831"/>
      <c r="AF153" s="851"/>
      <c r="AG153" s="851"/>
      <c r="AH153" s="344"/>
      <c r="AI153" s="156"/>
      <c r="AJ153" s="156"/>
      <c r="AK153" s="156"/>
      <c r="AL153" s="156"/>
      <c r="AM153" s="156"/>
      <c r="AN153" s="156"/>
      <c r="AO153" s="156"/>
      <c r="AP153" s="156"/>
      <c r="AQ153" s="156"/>
      <c r="AR153" s="156"/>
      <c r="AS153" s="156"/>
      <c r="AT153" s="156"/>
      <c r="AU153" s="156"/>
      <c r="AV153" s="156"/>
      <c r="AW153" s="156"/>
      <c r="AX153" s="156"/>
      <c r="AY153" s="156"/>
      <c r="AZ153" s="156"/>
      <c r="BA153" s="156"/>
      <c r="BB153" s="2833">
        <f>(BD153)/(BE153)</f>
        <v>1.5403655646142678</v>
      </c>
      <c r="BC153" s="562" t="str">
        <f t="shared" si="29"/>
        <v>Cooling RES 18 Year EUL</v>
      </c>
      <c r="BD153" s="2829">
        <f>(INDEX('Avoided Cost Benefits'!$E$4:$E$859,MATCH(BC153,'Avoided Cost Benefits'!$A$4:$A$859,0)))*F153</f>
        <v>901.39372351188842</v>
      </c>
      <c r="BE153" s="858">
        <f t="shared" si="33"/>
        <v>585.18168947616789</v>
      </c>
      <c r="BF153" s="156"/>
    </row>
    <row r="154" spans="1:58" x14ac:dyDescent="0.35">
      <c r="A154" s="1071" t="str">
        <f t="shared" si="27"/>
        <v>351151_2021_12_Cooling RES</v>
      </c>
      <c r="B154" s="106"/>
      <c r="C154" s="50" t="s">
        <v>904</v>
      </c>
      <c r="D154" s="1279" t="s">
        <v>315</v>
      </c>
      <c r="E154" s="2795" t="s">
        <v>905</v>
      </c>
      <c r="F154" s="1741">
        <f>ROUND(((J245*J317*(1/J389-1/J461))/1000)*J605*$J$642,2)</f>
        <v>376.73</v>
      </c>
      <c r="G154" s="727" t="s">
        <v>257</v>
      </c>
      <c r="H154" s="136">
        <f>VLOOKUP(G154,'CP FACTORS'!$A$3:$B$38, 2, FALSE)</f>
        <v>9.4741810000000004E-4</v>
      </c>
      <c r="I154" s="1278">
        <f t="shared" si="30"/>
        <v>0.35692099999999999</v>
      </c>
      <c r="J154" s="557">
        <f t="shared" si="36"/>
        <v>18</v>
      </c>
      <c r="K154" s="387">
        <f t="shared" si="31"/>
        <v>620</v>
      </c>
      <c r="L154" s="52">
        <f t="shared" si="32"/>
        <v>2.75</v>
      </c>
      <c r="M154" s="2301"/>
      <c r="N154" s="1280"/>
      <c r="O154" s="106"/>
      <c r="P154" s="106"/>
      <c r="Q154" s="106"/>
      <c r="R154" s="106"/>
      <c r="S154" s="106"/>
      <c r="T154" s="106"/>
      <c r="U154" s="106"/>
      <c r="V154" s="1592" t="s">
        <v>30</v>
      </c>
      <c r="W154" s="2868"/>
      <c r="X154" s="559"/>
      <c r="Y154" s="1591">
        <v>274.52999999999997</v>
      </c>
      <c r="Z154" s="560">
        <v>274.52999999999997</v>
      </c>
      <c r="AA154" s="560">
        <v>274.52999999999997</v>
      </c>
      <c r="AB154" s="2831">
        <v>274.52999999999997</v>
      </c>
      <c r="AC154" s="2299">
        <v>376.73</v>
      </c>
      <c r="AD154" s="1741">
        <v>376.73</v>
      </c>
      <c r="AE154" s="2831"/>
      <c r="AF154" s="851"/>
      <c r="AG154" s="851"/>
      <c r="AH154" s="344"/>
      <c r="AI154" s="156"/>
      <c r="AJ154" s="156"/>
      <c r="AK154" s="156"/>
      <c r="AL154" s="156"/>
      <c r="AM154" s="156"/>
      <c r="AN154" s="156"/>
      <c r="AO154" s="156"/>
      <c r="AP154" s="156"/>
      <c r="AQ154" s="156"/>
      <c r="AR154" s="156"/>
      <c r="AS154" s="156"/>
      <c r="AT154" s="156"/>
      <c r="AU154" s="156"/>
      <c r="AV154" s="156"/>
      <c r="AW154" s="156"/>
      <c r="AX154" s="156"/>
      <c r="AY154" s="156"/>
      <c r="AZ154" s="156"/>
      <c r="BA154" s="156"/>
      <c r="BB154" s="2870">
        <f>(BD154)/(BE154)</f>
        <v>1.1202739752068207</v>
      </c>
      <c r="BC154" s="562" t="str">
        <f t="shared" si="29"/>
        <v>Cooling RES 18 Year EUL</v>
      </c>
      <c r="BD154" s="2871">
        <f>(INDEX('Avoided Cost Benefits'!$E$4:$E$859,MATCH(BC154,'Avoided Cost Benefits'!$A$4:$A$859,0)))*F154</f>
        <v>655.56381748770991</v>
      </c>
      <c r="BE154" s="860">
        <f t="shared" si="33"/>
        <v>585.18168947616789</v>
      </c>
      <c r="BF154" s="156"/>
    </row>
    <row r="155" spans="1:58" x14ac:dyDescent="0.35">
      <c r="A155" s="1071" t="str">
        <f t="shared" si="27"/>
        <v>351160_2021_12_Cooling RES</v>
      </c>
      <c r="B155" s="106"/>
      <c r="C155" s="50" t="s">
        <v>4145</v>
      </c>
      <c r="D155" s="395" t="s">
        <v>318</v>
      </c>
      <c r="E155" s="2795" t="s">
        <v>906</v>
      </c>
      <c r="F155" s="373">
        <f>ROUND(((J246*J318*(1/J534-1/J462))/1000)*J606*$J$642,2)</f>
        <v>2517.94</v>
      </c>
      <c r="G155" s="727" t="s">
        <v>257</v>
      </c>
      <c r="H155" s="136">
        <f>VLOOKUP(G155,'CP FACTORS'!$A$3:$B$38, 2, FALSE)</f>
        <v>9.4741810000000004E-4</v>
      </c>
      <c r="I155" s="2775">
        <f>ROUND(F155*H155,6)</f>
        <v>2.3855420000000001</v>
      </c>
      <c r="J155" s="557">
        <f t="shared" si="36"/>
        <v>6</v>
      </c>
      <c r="K155" s="387">
        <f>J751</f>
        <v>1323.3602209074838</v>
      </c>
      <c r="L155" s="478">
        <f>K318</f>
        <v>3.3330761421319792</v>
      </c>
      <c r="M155" s="2301"/>
      <c r="N155" s="106"/>
      <c r="O155" s="106"/>
      <c r="P155" s="106"/>
      <c r="Q155" s="106"/>
      <c r="R155" s="106"/>
      <c r="S155" s="106"/>
      <c r="T155" s="106"/>
      <c r="U155" s="106"/>
      <c r="V155" s="1592" t="s">
        <v>30</v>
      </c>
      <c r="W155" s="2868"/>
      <c r="X155" s="559"/>
      <c r="Y155" s="1591"/>
      <c r="Z155" s="1591">
        <v>2017.58</v>
      </c>
      <c r="AA155" s="560">
        <v>2017.58</v>
      </c>
      <c r="AB155" s="2831">
        <v>2017.58</v>
      </c>
      <c r="AC155" s="2299">
        <v>2213.29</v>
      </c>
      <c r="AD155" s="373">
        <v>2517.94</v>
      </c>
      <c r="AE155" s="2831"/>
      <c r="AF155" s="851"/>
      <c r="AG155" s="851"/>
      <c r="AH155" s="344"/>
      <c r="AI155" s="156"/>
      <c r="AJ155" s="156"/>
      <c r="AK155" s="156"/>
      <c r="AL155" s="156"/>
      <c r="AM155" s="156"/>
      <c r="AN155" s="156"/>
      <c r="AO155" s="156"/>
      <c r="AP155" s="156"/>
      <c r="AQ155" s="156"/>
      <c r="AR155" s="156"/>
      <c r="AS155" s="156"/>
      <c r="AT155" s="156"/>
      <c r="AU155" s="156"/>
      <c r="AV155" s="156"/>
      <c r="AW155" s="156"/>
      <c r="AX155" s="156"/>
      <c r="AY155" s="156"/>
      <c r="AZ155" s="156"/>
      <c r="BA155" s="156"/>
      <c r="BB155" s="2832">
        <f>(BD155+BD156)/(BE155+BE156)</f>
        <v>1.9344769027964939</v>
      </c>
      <c r="BC155" s="2348" t="str">
        <f t="shared" ref="BC155:BC190" si="37">CONCATENATE(G155," ",J155," Year EUL")</f>
        <v>Cooling RES 6 Year EUL</v>
      </c>
      <c r="BD155" s="2869">
        <f>(INDEX('Avoided Cost Benefits'!$E$4:$E$859,MATCH(BC155,'Avoided Cost Benefits'!$A$4:$A$859,0)))*F155</f>
        <v>1595.3969723712271</v>
      </c>
      <c r="BE155" s="855">
        <f>K155/(1.0595^(2020-2019))</f>
        <v>1249.0422094454777</v>
      </c>
      <c r="BF155" s="156"/>
    </row>
    <row r="156" spans="1:58" x14ac:dyDescent="0.35">
      <c r="A156" s="1071" t="str">
        <f t="shared" si="27"/>
        <v>351160_2021_12_Cooling RES ER2</v>
      </c>
      <c r="B156" s="106"/>
      <c r="C156" s="50" t="s">
        <v>4145</v>
      </c>
      <c r="D156" s="1279" t="s">
        <v>318</v>
      </c>
      <c r="E156" s="2796" t="s">
        <v>907</v>
      </c>
      <c r="F156" s="373">
        <f>ROUND(((J247*J319*(1/J391-1/J463))/1000)*J607*$J$642,2)</f>
        <v>741.82</v>
      </c>
      <c r="G156" s="727" t="s">
        <v>848</v>
      </c>
      <c r="H156" s="136">
        <f>VLOOKUP(G156,'CP FACTORS'!$A$3:$B$38, 2, FALSE)</f>
        <v>9.4741810000000004E-4</v>
      </c>
      <c r="I156" s="2775">
        <f t="shared" ref="I156:I190" si="38">ROUND(F156*H156,6)</f>
        <v>0.70281400000000005</v>
      </c>
      <c r="J156" s="557">
        <f t="shared" si="36"/>
        <v>12</v>
      </c>
      <c r="K156" s="387">
        <f t="shared" ref="K156:K190" si="39">J752</f>
        <v>0</v>
      </c>
      <c r="L156" s="478">
        <f t="shared" ref="L156:L190" si="40">K319</f>
        <v>3.3330761421319792</v>
      </c>
      <c r="M156" s="2301"/>
      <c r="N156" s="106"/>
      <c r="O156" s="106"/>
      <c r="P156" s="106"/>
      <c r="Q156" s="106"/>
      <c r="R156" s="106"/>
      <c r="S156" s="106"/>
      <c r="T156" s="106"/>
      <c r="U156" s="106"/>
      <c r="V156" s="1592" t="s">
        <v>30</v>
      </c>
      <c r="W156" s="2868"/>
      <c r="X156" s="559"/>
      <c r="Y156" s="1591"/>
      <c r="Z156" s="1591">
        <v>668.46</v>
      </c>
      <c r="AA156" s="560">
        <v>668.46</v>
      </c>
      <c r="AB156" s="2831">
        <v>668.46</v>
      </c>
      <c r="AC156" s="2299">
        <v>720.84</v>
      </c>
      <c r="AD156" s="373">
        <v>741.82</v>
      </c>
      <c r="AE156" s="2831"/>
      <c r="AF156" s="851"/>
      <c r="AG156" s="851"/>
      <c r="AH156" s="344"/>
      <c r="AI156" s="156"/>
      <c r="AJ156" s="156"/>
      <c r="AK156" s="156"/>
      <c r="AL156" s="156"/>
      <c r="AM156" s="156"/>
      <c r="AN156" s="156"/>
      <c r="AO156" s="156"/>
      <c r="AP156" s="156"/>
      <c r="AQ156" s="156"/>
      <c r="AR156" s="156"/>
      <c r="AS156" s="156"/>
      <c r="AT156" s="156"/>
      <c r="AU156" s="156"/>
      <c r="AV156" s="156"/>
      <c r="AW156" s="156"/>
      <c r="AX156" s="156"/>
      <c r="AY156" s="156"/>
      <c r="AZ156" s="156"/>
      <c r="BA156" s="156"/>
      <c r="BB156" s="2835"/>
      <c r="BC156" s="2349" t="str">
        <f t="shared" si="37"/>
        <v>Cooling RES ER2 12 Year EUL</v>
      </c>
      <c r="BD156" s="2829">
        <f>(INDEX('Avoided Cost Benefits'!$E$4:$E$859,MATCH(BC156,'Avoided Cost Benefits'!$A$4:$A$859,0)))*F156</f>
        <v>820.84633241895017</v>
      </c>
      <c r="BE156" s="858">
        <f t="shared" ref="BE156:BE190" si="41">K156/(1.0595^(2020-2019))</f>
        <v>0</v>
      </c>
      <c r="BF156" s="156"/>
    </row>
    <row r="157" spans="1:58" x14ac:dyDescent="0.35">
      <c r="A157" s="1071" t="str">
        <f t="shared" si="27"/>
        <v>351161_2021_12_Cooling RES</v>
      </c>
      <c r="B157" s="106"/>
      <c r="C157" s="50" t="s">
        <v>4146</v>
      </c>
      <c r="D157" s="1279" t="s">
        <v>318</v>
      </c>
      <c r="E157" s="2795" t="s">
        <v>908</v>
      </c>
      <c r="F157" s="373">
        <f>ROUND(((J248*J320*(1/J392-1/J464))/1000)*J608*$J$642,2)</f>
        <v>755.44</v>
      </c>
      <c r="G157" s="727" t="s">
        <v>257</v>
      </c>
      <c r="H157" s="136">
        <f>VLOOKUP(G157,'CP FACTORS'!$A$3:$B$38, 2, FALSE)</f>
        <v>9.4741810000000004E-4</v>
      </c>
      <c r="I157" s="2775">
        <f t="shared" si="38"/>
        <v>0.71571799999999997</v>
      </c>
      <c r="J157" s="557">
        <f t="shared" si="36"/>
        <v>18</v>
      </c>
      <c r="K157" s="387">
        <f t="shared" si="39"/>
        <v>826.66666666666708</v>
      </c>
      <c r="L157" s="478">
        <f t="shared" si="40"/>
        <v>3.3971612903225816</v>
      </c>
      <c r="M157" s="2301"/>
      <c r="N157" s="106"/>
      <c r="O157" s="106"/>
      <c r="P157" s="106"/>
      <c r="Q157" s="106"/>
      <c r="R157" s="106"/>
      <c r="S157" s="106"/>
      <c r="T157" s="106"/>
      <c r="U157" s="106"/>
      <c r="V157" s="1592" t="s">
        <v>30</v>
      </c>
      <c r="W157" s="2868"/>
      <c r="X157" s="559"/>
      <c r="Y157" s="1591"/>
      <c r="Z157" s="1591">
        <v>668.46</v>
      </c>
      <c r="AA157" s="560">
        <v>668.46</v>
      </c>
      <c r="AB157" s="2831">
        <v>668.46</v>
      </c>
      <c r="AC157" s="2299">
        <v>706.92</v>
      </c>
      <c r="AD157" s="373">
        <v>755.44</v>
      </c>
      <c r="AE157" s="2831"/>
      <c r="AF157" s="851"/>
      <c r="AG157" s="851"/>
      <c r="AH157" s="344"/>
      <c r="AI157" s="156"/>
      <c r="AJ157" s="156"/>
      <c r="AK157" s="156"/>
      <c r="AL157" s="156"/>
      <c r="AM157" s="156"/>
      <c r="AN157" s="156"/>
      <c r="AO157" s="156"/>
      <c r="AP157" s="156"/>
      <c r="AQ157" s="156"/>
      <c r="AR157" s="156"/>
      <c r="AS157" s="156"/>
      <c r="AT157" s="156"/>
      <c r="AU157" s="156"/>
      <c r="AV157" s="156"/>
      <c r="AW157" s="156"/>
      <c r="AX157" s="156"/>
      <c r="AY157" s="156"/>
      <c r="AZ157" s="156"/>
      <c r="BA157" s="156"/>
      <c r="BB157" s="2833">
        <f>IFERROR((BD157)/(BE157),"")</f>
        <v>1.6848268756740372</v>
      </c>
      <c r="BC157" s="562" t="str">
        <f t="shared" si="37"/>
        <v>Cooling RES 18 Year EUL</v>
      </c>
      <c r="BD157" s="2829">
        <f>(INDEX('Avoided Cost Benefits'!$E$4:$E$859,MATCH(BC157,'Avoided Cost Benefits'!$A$4:$A$859,0)))*F157</f>
        <v>1314.5731167757162</v>
      </c>
      <c r="BE157" s="858">
        <f t="shared" si="41"/>
        <v>780.24225263489097</v>
      </c>
      <c r="BF157" s="156"/>
    </row>
    <row r="158" spans="1:58" x14ac:dyDescent="0.35">
      <c r="A158" s="1071" t="str">
        <f t="shared" si="27"/>
        <v>351162_2021_12_Cooling RES</v>
      </c>
      <c r="B158" s="106"/>
      <c r="C158" s="50" t="s">
        <v>4147</v>
      </c>
      <c r="D158" s="1279" t="s">
        <v>320</v>
      </c>
      <c r="E158" s="2795" t="s">
        <v>909</v>
      </c>
      <c r="F158" s="373">
        <f>ROUND(((J249*J321*(1/J537-1/J465))/1000)*J609*$J$642,2)</f>
        <v>2128.65</v>
      </c>
      <c r="G158" s="727" t="s">
        <v>257</v>
      </c>
      <c r="H158" s="136">
        <f>VLOOKUP(G158,'CP FACTORS'!$A$3:$B$38, 2, FALSE)</f>
        <v>9.4741810000000004E-4</v>
      </c>
      <c r="I158" s="2775">
        <f t="shared" si="38"/>
        <v>2.0167220000000001</v>
      </c>
      <c r="J158" s="557">
        <f t="shared" si="36"/>
        <v>6</v>
      </c>
      <c r="K158" s="387">
        <f t="shared" si="39"/>
        <v>1311.9979492570471</v>
      </c>
      <c r="L158" s="478">
        <f t="shared" si="40"/>
        <v>2.5</v>
      </c>
      <c r="M158" s="2301"/>
      <c r="N158" s="106"/>
      <c r="O158" s="106"/>
      <c r="P158" s="106"/>
      <c r="Q158" s="106"/>
      <c r="R158" s="106"/>
      <c r="S158" s="106"/>
      <c r="T158" s="106"/>
      <c r="U158" s="106"/>
      <c r="V158" s="1592" t="s">
        <v>30</v>
      </c>
      <c r="W158" s="2868"/>
      <c r="X158" s="559"/>
      <c r="Y158" s="1591"/>
      <c r="Z158" s="1591">
        <v>1345.05</v>
      </c>
      <c r="AA158" s="560">
        <v>1345.05</v>
      </c>
      <c r="AB158" s="2831">
        <v>1345.05</v>
      </c>
      <c r="AC158" s="2299">
        <v>2910.14</v>
      </c>
      <c r="AD158" s="373">
        <v>2128.65</v>
      </c>
      <c r="AE158" s="2831"/>
      <c r="AF158" s="851"/>
      <c r="AG158" s="851"/>
      <c r="AH158" s="344"/>
      <c r="AI158" s="156"/>
      <c r="AJ158" s="156"/>
      <c r="AK158" s="156"/>
      <c r="AL158" s="156"/>
      <c r="AM158" s="156"/>
      <c r="AN158" s="156"/>
      <c r="AO158" s="156"/>
      <c r="AP158" s="156"/>
      <c r="AQ158" s="156"/>
      <c r="AR158" s="156"/>
      <c r="AS158" s="156"/>
      <c r="AT158" s="156"/>
      <c r="AU158" s="156"/>
      <c r="AV158" s="156"/>
      <c r="AW158" s="156"/>
      <c r="AX158" s="156"/>
      <c r="AY158" s="156"/>
      <c r="AZ158" s="156"/>
      <c r="BA158" s="156"/>
      <c r="BB158" s="2833">
        <f>(BD158+BD159)/(BE158+BE159)</f>
        <v>1.5859436692968549</v>
      </c>
      <c r="BC158" s="2348" t="str">
        <f t="shared" si="37"/>
        <v>Cooling RES 6 Year EUL</v>
      </c>
      <c r="BD158" s="2829">
        <f>(INDEX('Avoided Cost Benefits'!$E$4:$E$859,MATCH(BC158,'Avoided Cost Benefits'!$A$4:$A$859,0)))*F158</f>
        <v>1348.7381610514994</v>
      </c>
      <c r="BE158" s="858">
        <f t="shared" si="41"/>
        <v>1238.3180266701718</v>
      </c>
      <c r="BF158" s="156"/>
    </row>
    <row r="159" spans="1:58" x14ac:dyDescent="0.35">
      <c r="A159" s="1071" t="str">
        <f t="shared" si="27"/>
        <v>351162_2021_12_Cooling RES ER2</v>
      </c>
      <c r="B159" s="106"/>
      <c r="C159" s="50" t="s">
        <v>4147</v>
      </c>
      <c r="D159" s="1279" t="s">
        <v>320</v>
      </c>
      <c r="E159" s="2796" t="s">
        <v>910</v>
      </c>
      <c r="F159" s="373">
        <f>ROUND(((J250*J322*(1/J394-1/J466))/1000)*J610*$J$642,2)</f>
        <v>555.94000000000005</v>
      </c>
      <c r="G159" s="727" t="s">
        <v>848</v>
      </c>
      <c r="H159" s="136">
        <f>VLOOKUP(G159,'CP FACTORS'!$A$3:$B$38, 2, FALSE)</f>
        <v>9.4741810000000004E-4</v>
      </c>
      <c r="I159" s="2775">
        <f t="shared" si="38"/>
        <v>0.52670799999999995</v>
      </c>
      <c r="J159" s="557">
        <f t="shared" si="36"/>
        <v>12</v>
      </c>
      <c r="K159" s="387">
        <f t="shared" si="39"/>
        <v>0</v>
      </c>
      <c r="L159" s="478">
        <f t="shared" si="40"/>
        <v>2.5</v>
      </c>
      <c r="M159" s="2301"/>
      <c r="N159" s="106"/>
      <c r="O159" s="106"/>
      <c r="P159" s="106"/>
      <c r="Q159" s="106"/>
      <c r="R159" s="106"/>
      <c r="S159" s="106"/>
      <c r="T159" s="106"/>
      <c r="U159" s="106"/>
      <c r="V159" s="1592" t="s">
        <v>30</v>
      </c>
      <c r="W159" s="2868"/>
      <c r="X159" s="559"/>
      <c r="Y159" s="1591"/>
      <c r="Z159" s="1591">
        <v>445.64</v>
      </c>
      <c r="AA159" s="560">
        <v>445.64</v>
      </c>
      <c r="AB159" s="2831">
        <v>445.64</v>
      </c>
      <c r="AC159" s="2299">
        <v>667.12</v>
      </c>
      <c r="AD159" s="373">
        <v>555.94000000000005</v>
      </c>
      <c r="AE159" s="2831"/>
      <c r="AF159" s="851"/>
      <c r="AG159" s="851"/>
      <c r="AH159" s="344"/>
      <c r="AI159" s="156"/>
      <c r="AJ159" s="156"/>
      <c r="AK159" s="156"/>
      <c r="AL159" s="156"/>
      <c r="AM159" s="156"/>
      <c r="AN159" s="156"/>
      <c r="AO159" s="156"/>
      <c r="AP159" s="156"/>
      <c r="AQ159" s="156"/>
      <c r="AR159" s="156"/>
      <c r="AS159" s="156"/>
      <c r="AT159" s="156"/>
      <c r="AU159" s="156"/>
      <c r="AV159" s="156"/>
      <c r="AW159" s="156"/>
      <c r="AX159" s="156"/>
      <c r="AY159" s="156"/>
      <c r="AZ159" s="156"/>
      <c r="BA159" s="156"/>
      <c r="BB159" s="2835"/>
      <c r="BC159" s="2349" t="str">
        <f t="shared" si="37"/>
        <v>Cooling RES ER2 12 Year EUL</v>
      </c>
      <c r="BD159" s="2829">
        <f>(INDEX('Avoided Cost Benefits'!$E$4:$E$859,MATCH(BC159,'Avoided Cost Benefits'!$A$4:$A$859,0)))*F159</f>
        <v>615.16447392223336</v>
      </c>
      <c r="BE159" s="858">
        <f t="shared" si="41"/>
        <v>0</v>
      </c>
      <c r="BF159" s="156"/>
    </row>
    <row r="160" spans="1:58" x14ac:dyDescent="0.35">
      <c r="A160" s="1071" t="str">
        <f t="shared" si="27"/>
        <v>351163_2021_12_Cooling RES</v>
      </c>
      <c r="B160" s="106"/>
      <c r="C160" s="50" t="s">
        <v>4148</v>
      </c>
      <c r="D160" s="1279" t="s">
        <v>315</v>
      </c>
      <c r="E160" s="2795" t="s">
        <v>911</v>
      </c>
      <c r="F160" s="373">
        <f>ROUND(((J251*J323*(1/J539-1/J467))/1000)*J611*$J$642,2)</f>
        <v>1220.33</v>
      </c>
      <c r="G160" s="727" t="s">
        <v>257</v>
      </c>
      <c r="H160" s="136">
        <f>VLOOKUP(G160,'CP FACTORS'!$A$3:$B$38, 2, FALSE)</f>
        <v>9.4741810000000004E-4</v>
      </c>
      <c r="I160" s="2775">
        <f t="shared" si="38"/>
        <v>1.1561630000000001</v>
      </c>
      <c r="J160" s="557">
        <f t="shared" si="36"/>
        <v>6</v>
      </c>
      <c r="K160" s="387">
        <f t="shared" si="39"/>
        <v>1199.2155772378417</v>
      </c>
      <c r="L160" s="478">
        <f t="shared" si="40"/>
        <v>2.5</v>
      </c>
      <c r="M160" s="2301"/>
      <c r="N160" s="106"/>
      <c r="O160" s="106"/>
      <c r="P160" s="106"/>
      <c r="Q160" s="106"/>
      <c r="R160" s="106"/>
      <c r="S160" s="106"/>
      <c r="T160" s="106"/>
      <c r="U160" s="106"/>
      <c r="V160" s="1592" t="s">
        <v>30</v>
      </c>
      <c r="W160" s="2868"/>
      <c r="X160" s="559"/>
      <c r="Y160" s="1591"/>
      <c r="Z160" s="1591">
        <v>978.22</v>
      </c>
      <c r="AA160" s="560">
        <v>978.22</v>
      </c>
      <c r="AB160" s="2831">
        <v>978.22</v>
      </c>
      <c r="AC160" s="2299">
        <v>1464.4</v>
      </c>
      <c r="AD160" s="373">
        <v>1220.33</v>
      </c>
      <c r="AE160" s="2831"/>
      <c r="AF160" s="851"/>
      <c r="AG160" s="851"/>
      <c r="AH160" s="344"/>
      <c r="AI160" s="156"/>
      <c r="AJ160" s="156"/>
      <c r="AK160" s="156"/>
      <c r="AL160" s="156"/>
      <c r="AM160" s="156"/>
      <c r="AN160" s="156"/>
      <c r="AO160" s="156"/>
      <c r="AP160" s="156"/>
      <c r="AQ160" s="156"/>
      <c r="AR160" s="156"/>
      <c r="AS160" s="156"/>
      <c r="AT160" s="156"/>
      <c r="AU160" s="156"/>
      <c r="AV160" s="156"/>
      <c r="AW160" s="156"/>
      <c r="AX160" s="156"/>
      <c r="AY160" s="156"/>
      <c r="AZ160" s="156"/>
      <c r="BA160" s="156"/>
      <c r="BB160" s="2833">
        <f>(BD160+BD161)/(BE160+BE161)</f>
        <v>1.0784001374894918</v>
      </c>
      <c r="BC160" s="2348" t="str">
        <f t="shared" si="37"/>
        <v>Cooling RES 6 Year EUL</v>
      </c>
      <c r="BD160" s="2829">
        <f>(INDEX('Avoided Cost Benefits'!$E$4:$E$859,MATCH(BC160,'Avoided Cost Benefits'!$A$4:$A$859,0)))*F160</f>
        <v>773.21571891855217</v>
      </c>
      <c r="BE160" s="858">
        <f t="shared" si="41"/>
        <v>1131.8693508615777</v>
      </c>
      <c r="BF160" s="156"/>
    </row>
    <row r="161" spans="1:58" x14ac:dyDescent="0.35">
      <c r="A161" s="1071" t="str">
        <f t="shared" si="27"/>
        <v>351163_2021_12_Cooling RES ER2</v>
      </c>
      <c r="B161" s="106"/>
      <c r="C161" s="50" t="s">
        <v>4148</v>
      </c>
      <c r="D161" s="1279" t="s">
        <v>315</v>
      </c>
      <c r="E161" s="2796" t="s">
        <v>912</v>
      </c>
      <c r="F161" s="373">
        <f>ROUND(((J252*J324*(1/J396-1/J468))/1000)*J612*$J$642,2)</f>
        <v>404.32</v>
      </c>
      <c r="G161" s="727" t="s">
        <v>848</v>
      </c>
      <c r="H161" s="136">
        <f>VLOOKUP(G161,'CP FACTORS'!$A$3:$B$38, 2, FALSE)</f>
        <v>9.4741810000000004E-4</v>
      </c>
      <c r="I161" s="2775">
        <f t="shared" si="38"/>
        <v>0.38306000000000001</v>
      </c>
      <c r="J161" s="557">
        <f t="shared" si="36"/>
        <v>12</v>
      </c>
      <c r="K161" s="387">
        <f t="shared" si="39"/>
        <v>0</v>
      </c>
      <c r="L161" s="478">
        <f t="shared" si="40"/>
        <v>2.5</v>
      </c>
      <c r="M161" s="2301"/>
      <c r="N161" s="106"/>
      <c r="O161" s="106"/>
      <c r="P161" s="106"/>
      <c r="Q161" s="106"/>
      <c r="R161" s="106"/>
      <c r="S161" s="106"/>
      <c r="T161" s="106"/>
      <c r="U161" s="106"/>
      <c r="V161" s="1592" t="s">
        <v>30</v>
      </c>
      <c r="W161" s="2868"/>
      <c r="X161" s="559"/>
      <c r="Y161" s="1591"/>
      <c r="Z161" s="1591">
        <v>324.10000000000002</v>
      </c>
      <c r="AA161" s="560">
        <v>324.10000000000002</v>
      </c>
      <c r="AB161" s="2831">
        <v>324.10000000000002</v>
      </c>
      <c r="AC161" s="2299">
        <v>485.18</v>
      </c>
      <c r="AD161" s="373">
        <v>404.32</v>
      </c>
      <c r="AE161" s="2831"/>
      <c r="AF161" s="851"/>
      <c r="AG161" s="851"/>
      <c r="AH161" s="344"/>
      <c r="AI161" s="156"/>
      <c r="AJ161" s="156"/>
      <c r="AK161" s="156"/>
      <c r="AL161" s="156"/>
      <c r="AM161" s="156"/>
      <c r="AN161" s="156"/>
      <c r="AO161" s="156"/>
      <c r="AP161" s="156"/>
      <c r="AQ161" s="156"/>
      <c r="AR161" s="156"/>
      <c r="AS161" s="156"/>
      <c r="AT161" s="156"/>
      <c r="AU161" s="156"/>
      <c r="AV161" s="156"/>
      <c r="AW161" s="156"/>
      <c r="AX161" s="156"/>
      <c r="AY161" s="156"/>
      <c r="AZ161" s="156"/>
      <c r="BA161" s="156"/>
      <c r="BB161" s="2835"/>
      <c r="BC161" s="2349" t="str">
        <f t="shared" si="37"/>
        <v>Cooling RES ER2 12 Year EUL</v>
      </c>
      <c r="BD161" s="2829">
        <f>(INDEX('Avoided Cost Benefits'!$E$4:$E$859,MATCH(BC161,'Avoided Cost Benefits'!$A$4:$A$859,0)))*F161</f>
        <v>447.39234467071515</v>
      </c>
      <c r="BE161" s="858">
        <f t="shared" si="41"/>
        <v>0</v>
      </c>
      <c r="BF161" s="156"/>
    </row>
    <row r="162" spans="1:58" x14ac:dyDescent="0.35">
      <c r="A162" s="1071" t="str">
        <f t="shared" si="27"/>
        <v>351164_2021_12_Cooling RES</v>
      </c>
      <c r="B162" s="106"/>
      <c r="C162" s="50" t="s">
        <v>4149</v>
      </c>
      <c r="D162" s="1279" t="s">
        <v>320</v>
      </c>
      <c r="E162" s="2795" t="s">
        <v>913</v>
      </c>
      <c r="F162" s="1741">
        <f>ROUND(((J253*J325*(1/J397-1/J469))/1000)*J613*$J$642,2)</f>
        <v>444.75</v>
      </c>
      <c r="G162" s="727" t="s">
        <v>257</v>
      </c>
      <c r="H162" s="136">
        <f>VLOOKUP(G162,'CP FACTORS'!$A$3:$B$38, 2, FALSE)</f>
        <v>9.4741810000000004E-4</v>
      </c>
      <c r="I162" s="1278">
        <f t="shared" si="38"/>
        <v>0.42136400000000002</v>
      </c>
      <c r="J162" s="564">
        <v>18</v>
      </c>
      <c r="K162" s="387">
        <f t="shared" si="39"/>
        <v>826.66666666666708</v>
      </c>
      <c r="L162" s="52">
        <f t="shared" si="40"/>
        <v>2</v>
      </c>
      <c r="M162" s="2301"/>
      <c r="N162" s="106"/>
      <c r="O162" s="106"/>
      <c r="P162" s="106"/>
      <c r="Q162" s="106"/>
      <c r="R162" s="106"/>
      <c r="S162" s="106"/>
      <c r="T162" s="106"/>
      <c r="U162" s="106"/>
      <c r="V162" s="1592" t="s">
        <v>30</v>
      </c>
      <c r="W162" s="2868"/>
      <c r="X162" s="559"/>
      <c r="Y162" s="1591"/>
      <c r="Z162" s="1591">
        <v>445.64</v>
      </c>
      <c r="AA162" s="560">
        <v>445.64</v>
      </c>
      <c r="AB162" s="2831">
        <v>445.64</v>
      </c>
      <c r="AC162" s="2299">
        <v>444.75</v>
      </c>
      <c r="AD162" s="1741">
        <v>444.75</v>
      </c>
      <c r="AE162" s="2831"/>
      <c r="AF162" s="851"/>
      <c r="AG162" s="851"/>
      <c r="AH162" s="344"/>
      <c r="AI162" s="156"/>
      <c r="AJ162" s="156"/>
      <c r="AK162" s="156"/>
      <c r="AL162" s="156"/>
      <c r="AM162" s="156"/>
      <c r="AN162" s="156"/>
      <c r="AO162" s="156"/>
      <c r="AP162" s="156"/>
      <c r="AQ162" s="156"/>
      <c r="AR162" s="156"/>
      <c r="AS162" s="156"/>
      <c r="AT162" s="156"/>
      <c r="AU162" s="156"/>
      <c r="AV162" s="156"/>
      <c r="AW162" s="156"/>
      <c r="AX162" s="156"/>
      <c r="AY162" s="156"/>
      <c r="AZ162" s="156"/>
      <c r="BA162" s="156"/>
      <c r="BB162" s="2833">
        <f>IFERROR((BD162)/(BE162),"")</f>
        <v>0.9919077000900508</v>
      </c>
      <c r="BC162" s="562" t="str">
        <f t="shared" si="37"/>
        <v>Cooling RES 18 Year EUL</v>
      </c>
      <c r="BD162" s="2829">
        <f>(INDEX('Avoided Cost Benefits'!$E$4:$E$859,MATCH(BC162,'Avoided Cost Benefits'!$A$4:$A$859,0)))*F162</f>
        <v>773.92829832415509</v>
      </c>
      <c r="BE162" s="858">
        <f t="shared" si="41"/>
        <v>780.24225263489097</v>
      </c>
      <c r="BF162" s="156"/>
    </row>
    <row r="163" spans="1:58" x14ac:dyDescent="0.35">
      <c r="A163" s="1071" t="str">
        <f t="shared" si="27"/>
        <v>351165_2021_12_Cooling RES</v>
      </c>
      <c r="B163" s="106"/>
      <c r="C163" s="50" t="s">
        <v>4150</v>
      </c>
      <c r="D163" s="1279" t="s">
        <v>315</v>
      </c>
      <c r="E163" s="2795" t="s">
        <v>914</v>
      </c>
      <c r="F163" s="1741">
        <f>ROUND(((J254*J326*(1/J398-1/J470))/1000)*J614*$J$642,2)</f>
        <v>323.45</v>
      </c>
      <c r="G163" s="727" t="s">
        <v>257</v>
      </c>
      <c r="H163" s="136">
        <f>VLOOKUP(G163,'CP FACTORS'!$A$3:$B$38, 2, FALSE)</f>
        <v>9.4741810000000004E-4</v>
      </c>
      <c r="I163" s="1278">
        <f t="shared" si="38"/>
        <v>0.30644199999999999</v>
      </c>
      <c r="J163" s="564">
        <v>18</v>
      </c>
      <c r="K163" s="387">
        <f t="shared" si="39"/>
        <v>826.66666666666708</v>
      </c>
      <c r="L163" s="52">
        <f t="shared" si="40"/>
        <v>2</v>
      </c>
      <c r="M163" s="2301"/>
      <c r="N163" s="106"/>
      <c r="O163" s="106"/>
      <c r="P163" s="106"/>
      <c r="Q163" s="106"/>
      <c r="R163" s="106"/>
      <c r="S163" s="106"/>
      <c r="T163" s="106"/>
      <c r="U163" s="106"/>
      <c r="V163" s="1592" t="s">
        <v>30</v>
      </c>
      <c r="W163" s="2868"/>
      <c r="X163" s="559"/>
      <c r="Y163" s="1591"/>
      <c r="Z163" s="1591">
        <v>324.10000000000002</v>
      </c>
      <c r="AA163" s="560">
        <v>324.10000000000002</v>
      </c>
      <c r="AB163" s="2831">
        <v>324.10000000000002</v>
      </c>
      <c r="AC163" s="2299">
        <v>323.45</v>
      </c>
      <c r="AD163" s="1741">
        <v>323.45</v>
      </c>
      <c r="AE163" s="2831"/>
      <c r="AF163" s="851"/>
      <c r="AG163" s="851"/>
      <c r="AH163" s="344"/>
      <c r="AI163" s="156"/>
      <c r="AJ163" s="156"/>
      <c r="AK163" s="156"/>
      <c r="AL163" s="156"/>
      <c r="AM163" s="156"/>
      <c r="AN163" s="156"/>
      <c r="AO163" s="156"/>
      <c r="AP163" s="156"/>
      <c r="AQ163" s="156"/>
      <c r="AR163" s="156"/>
      <c r="AS163" s="156"/>
      <c r="AT163" s="156"/>
      <c r="AU163" s="156"/>
      <c r="AV163" s="156"/>
      <c r="AW163" s="156"/>
      <c r="AX163" s="156"/>
      <c r="AY163" s="156"/>
      <c r="AZ163" s="156"/>
      <c r="BA163" s="156"/>
      <c r="BB163" s="2833">
        <f>IFERROR((BD163)/(BE163),"")</f>
        <v>0.72137728070630003</v>
      </c>
      <c r="BC163" s="562" t="str">
        <f t="shared" si="37"/>
        <v>Cooling RES 18 Year EUL</v>
      </c>
      <c r="BD163" s="2829">
        <f>(INDEX('Avoided Cost Benefits'!$E$4:$E$859,MATCH(BC163,'Avoided Cost Benefits'!$A$4:$A$859,0)))*F163</f>
        <v>562.84903449791557</v>
      </c>
      <c r="BE163" s="858">
        <f t="shared" si="41"/>
        <v>780.24225263489097</v>
      </c>
      <c r="BF163" s="156"/>
    </row>
    <row r="164" spans="1:58" x14ac:dyDescent="0.35">
      <c r="A164" s="1071" t="str">
        <f t="shared" si="27"/>
        <v>351170_2021_12_Cooling RES</v>
      </c>
      <c r="B164" s="106"/>
      <c r="C164" s="50" t="s">
        <v>4151</v>
      </c>
      <c r="D164" s="1279" t="s">
        <v>318</v>
      </c>
      <c r="E164" s="2795" t="s">
        <v>915</v>
      </c>
      <c r="F164" s="373">
        <f>ROUND(((J255*J327*(1/J543-1/J471))/1000)*J615*$J$642,2)</f>
        <v>3353.86</v>
      </c>
      <c r="G164" s="727" t="s">
        <v>257</v>
      </c>
      <c r="H164" s="136">
        <f>VLOOKUP(G164,'CP FACTORS'!$A$3:$B$38, 2, FALSE)</f>
        <v>9.4741810000000004E-4</v>
      </c>
      <c r="I164" s="2775">
        <f t="shared" si="38"/>
        <v>3.177508</v>
      </c>
      <c r="J164" s="557">
        <f t="shared" ref="J164:J171" si="42">J688</f>
        <v>6</v>
      </c>
      <c r="K164" s="387">
        <f t="shared" si="39"/>
        <v>1676.1097862983729</v>
      </c>
      <c r="L164" s="478">
        <f t="shared" si="40"/>
        <v>4.3133695652173918</v>
      </c>
      <c r="M164" s="2301"/>
      <c r="N164" s="106"/>
      <c r="O164" s="106"/>
      <c r="P164" s="106"/>
      <c r="Q164" s="106"/>
      <c r="R164" s="106"/>
      <c r="S164" s="106"/>
      <c r="T164" s="106"/>
      <c r="U164" s="106"/>
      <c r="V164" s="1592" t="s">
        <v>30</v>
      </c>
      <c r="W164" s="2868"/>
      <c r="X164" s="559"/>
      <c r="Y164" s="1591"/>
      <c r="Z164" s="1591">
        <v>2109.06</v>
      </c>
      <c r="AA164" s="560">
        <v>2109.06</v>
      </c>
      <c r="AB164" s="2831">
        <v>2109.06</v>
      </c>
      <c r="AC164" s="2299">
        <v>3099.52</v>
      </c>
      <c r="AD164" s="373">
        <v>3353.86</v>
      </c>
      <c r="AE164" s="2831"/>
      <c r="AF164" s="851"/>
      <c r="AG164" s="851"/>
      <c r="AH164" s="344"/>
      <c r="AI164" s="156"/>
      <c r="AJ164" s="156"/>
      <c r="AK164" s="156"/>
      <c r="AL164" s="156"/>
      <c r="AM164" s="156"/>
      <c r="AN164" s="156"/>
      <c r="AO164" s="156"/>
      <c r="AP164" s="156"/>
      <c r="AQ164" s="156"/>
      <c r="AR164" s="156"/>
      <c r="AS164" s="156"/>
      <c r="AT164" s="156"/>
      <c r="AU164" s="156"/>
      <c r="AV164" s="156"/>
      <c r="AW164" s="156"/>
      <c r="AX164" s="156"/>
      <c r="AY164" s="156"/>
      <c r="AZ164" s="156"/>
      <c r="BA164" s="156"/>
      <c r="BB164" s="2833">
        <f>(BD164+BD165)/(BE164+BE165)</f>
        <v>2.1200572378322677</v>
      </c>
      <c r="BC164" s="2348" t="str">
        <f t="shared" si="37"/>
        <v>Cooling RES 6 Year EUL</v>
      </c>
      <c r="BD164" s="2829">
        <f>(INDEX('Avoided Cost Benefits'!$E$4:$E$859,MATCH(BC164,'Avoided Cost Benefits'!$A$4:$A$859,0)))*F164</f>
        <v>2125.0459064779002</v>
      </c>
      <c r="BE164" s="858">
        <f t="shared" si="41"/>
        <v>1581.9818653122913</v>
      </c>
      <c r="BF164" s="156"/>
    </row>
    <row r="165" spans="1:58" x14ac:dyDescent="0.35">
      <c r="A165" s="1071" t="str">
        <f t="shared" si="27"/>
        <v>351170_2021_12_Cooling RES ER2</v>
      </c>
      <c r="B165" s="106"/>
      <c r="C165" s="50" t="s">
        <v>4151</v>
      </c>
      <c r="D165" s="1279" t="s">
        <v>318</v>
      </c>
      <c r="E165" s="2796" t="s">
        <v>916</v>
      </c>
      <c r="F165" s="373">
        <f>ROUND(((J256*J328*(1/J400-1/J472))/1000)*J616*$J$642,2)</f>
        <v>1110.54</v>
      </c>
      <c r="G165" s="727" t="s">
        <v>848</v>
      </c>
      <c r="H165" s="136">
        <f>VLOOKUP(G165,'CP FACTORS'!$A$3:$B$38, 2, FALSE)</f>
        <v>9.4741810000000004E-4</v>
      </c>
      <c r="I165" s="2775">
        <f t="shared" si="38"/>
        <v>1.052146</v>
      </c>
      <c r="J165" s="557">
        <f t="shared" si="42"/>
        <v>12</v>
      </c>
      <c r="K165" s="387">
        <f t="shared" si="39"/>
        <v>0</v>
      </c>
      <c r="L165" s="478">
        <f t="shared" si="40"/>
        <v>4.3133695652173918</v>
      </c>
      <c r="M165" s="2301"/>
      <c r="N165" s="106"/>
      <c r="O165" s="106"/>
      <c r="P165" s="106"/>
      <c r="Q165" s="106"/>
      <c r="R165" s="106"/>
      <c r="S165" s="106"/>
      <c r="T165" s="106"/>
      <c r="U165" s="106"/>
      <c r="V165" s="1592" t="s">
        <v>30</v>
      </c>
      <c r="W165" s="2868"/>
      <c r="X165" s="559"/>
      <c r="Y165" s="1591"/>
      <c r="Z165" s="1591">
        <v>759.94</v>
      </c>
      <c r="AA165" s="560">
        <v>759.94</v>
      </c>
      <c r="AB165" s="2831">
        <v>759.94</v>
      </c>
      <c r="AC165" s="2299">
        <v>1090.6400000000001</v>
      </c>
      <c r="AD165" s="373">
        <v>1110.54</v>
      </c>
      <c r="AE165" s="2831"/>
      <c r="AF165" s="851"/>
      <c r="AG165" s="851"/>
      <c r="AH165" s="344"/>
      <c r="AI165" s="156"/>
      <c r="AJ165" s="156"/>
      <c r="AK165" s="156"/>
      <c r="AL165" s="156"/>
      <c r="AM165" s="156"/>
      <c r="AN165" s="156"/>
      <c r="AO165" s="156"/>
      <c r="AP165" s="156"/>
      <c r="AQ165" s="156"/>
      <c r="AR165" s="156"/>
      <c r="AS165" s="156"/>
      <c r="AT165" s="156"/>
      <c r="AU165" s="156"/>
      <c r="AV165" s="156"/>
      <c r="AW165" s="156"/>
      <c r="AX165" s="156"/>
      <c r="AY165" s="156"/>
      <c r="AZ165" s="156"/>
      <c r="BA165" s="156"/>
      <c r="BB165" s="2835"/>
      <c r="BC165" s="2349" t="str">
        <f t="shared" si="37"/>
        <v>Cooling RES ER2 12 Year EUL</v>
      </c>
      <c r="BD165" s="2829">
        <f>(INDEX('Avoided Cost Benefits'!$E$4:$E$859,MATCH(BC165,'Avoided Cost Benefits'!$A$4:$A$859,0)))*F165</f>
        <v>1228.8461971968145</v>
      </c>
      <c r="BE165" s="858">
        <f t="shared" si="41"/>
        <v>0</v>
      </c>
      <c r="BF165" s="156"/>
    </row>
    <row r="166" spans="1:58" x14ac:dyDescent="0.35">
      <c r="A166" s="1071" t="str">
        <f t="shared" si="27"/>
        <v>351171_2021_12_Cooling RES</v>
      </c>
      <c r="B166" s="106"/>
      <c r="C166" s="50" t="s">
        <v>4152</v>
      </c>
      <c r="D166" s="1279" t="s">
        <v>318</v>
      </c>
      <c r="E166" s="2795" t="s">
        <v>917</v>
      </c>
      <c r="F166" s="373">
        <f>ROUND(((J257*J329*(1/J401-1/J473))/1000)*J617*$J$642,2)</f>
        <v>1117.5899999999999</v>
      </c>
      <c r="G166" s="727" t="s">
        <v>257</v>
      </c>
      <c r="H166" s="136">
        <f>VLOOKUP(G166,'CP FACTORS'!$A$3:$B$38, 2, FALSE)</f>
        <v>9.4741810000000004E-4</v>
      </c>
      <c r="I166" s="2775">
        <f t="shared" si="38"/>
        <v>1.0588249999999999</v>
      </c>
      <c r="J166" s="557">
        <f t="shared" si="42"/>
        <v>18</v>
      </c>
      <c r="K166" s="387">
        <f t="shared" si="39"/>
        <v>1033.3333333333328</v>
      </c>
      <c r="L166" s="478">
        <f t="shared" si="40"/>
        <v>4.3143750000000001</v>
      </c>
      <c r="M166" s="2301"/>
      <c r="N166" s="106"/>
      <c r="O166" s="106"/>
      <c r="P166" s="106"/>
      <c r="Q166" s="106"/>
      <c r="R166" s="106"/>
      <c r="S166" s="106"/>
      <c r="T166" s="106"/>
      <c r="U166" s="106"/>
      <c r="V166" s="1592" t="s">
        <v>30</v>
      </c>
      <c r="W166" s="2868"/>
      <c r="X166" s="559"/>
      <c r="Y166" s="1591"/>
      <c r="Z166" s="1591">
        <v>759.94</v>
      </c>
      <c r="AA166" s="560">
        <v>759.94</v>
      </c>
      <c r="AB166" s="2831">
        <v>759.94</v>
      </c>
      <c r="AC166" s="2299">
        <v>1119.32</v>
      </c>
      <c r="AD166" s="373">
        <v>1117.5899999999999</v>
      </c>
      <c r="AE166" s="2831"/>
      <c r="AF166" s="851"/>
      <c r="AG166" s="851"/>
      <c r="AH166" s="344"/>
      <c r="AI166" s="156"/>
      <c r="AJ166" s="156"/>
      <c r="AK166" s="156"/>
      <c r="AL166" s="156"/>
      <c r="AM166" s="156"/>
      <c r="AN166" s="156"/>
      <c r="AO166" s="156"/>
      <c r="AP166" s="156"/>
      <c r="AQ166" s="156"/>
      <c r="AR166" s="156"/>
      <c r="AS166" s="156"/>
      <c r="AT166" s="156"/>
      <c r="AU166" s="156"/>
      <c r="AV166" s="156"/>
      <c r="AW166" s="156"/>
      <c r="AX166" s="156"/>
      <c r="AY166" s="156"/>
      <c r="AZ166" s="156"/>
      <c r="BA166" s="156"/>
      <c r="BB166" s="2833">
        <f>(BD166)/(BE166)</f>
        <v>1.9940121444292587</v>
      </c>
      <c r="BC166" s="562" t="str">
        <f t="shared" si="37"/>
        <v>Cooling RES 18 Year EUL</v>
      </c>
      <c r="BD166" s="2829">
        <f>(INDEX('Avoided Cost Benefits'!$E$4:$E$859,MATCH(BC166,'Avoided Cost Benefits'!$A$4:$A$859,0)))*F166</f>
        <v>1944.7656591885159</v>
      </c>
      <c r="BE166" s="858">
        <f t="shared" si="41"/>
        <v>975.30281579361269</v>
      </c>
      <c r="BF166" s="156"/>
    </row>
    <row r="167" spans="1:58" x14ac:dyDescent="0.35">
      <c r="A167" s="1071" t="str">
        <f t="shared" si="27"/>
        <v>351172_2021_12_Cooling RES</v>
      </c>
      <c r="B167" s="106"/>
      <c r="C167" s="50" t="s">
        <v>4153</v>
      </c>
      <c r="D167" s="1279" t="s">
        <v>320</v>
      </c>
      <c r="E167" s="2795" t="s">
        <v>918</v>
      </c>
      <c r="F167" s="1741">
        <f>ROUND(((J258*J330*(1/J546-1/J474))/1000)*J618*$J$642,2)</f>
        <v>1403.23</v>
      </c>
      <c r="G167" s="727" t="s">
        <v>257</v>
      </c>
      <c r="H167" s="136">
        <f>VLOOKUP(G167,'CP FACTORS'!$A$3:$B$38, 2, FALSE)</f>
        <v>9.4741810000000004E-4</v>
      </c>
      <c r="I167" s="1278">
        <f t="shared" si="38"/>
        <v>1.3294459999999999</v>
      </c>
      <c r="J167" s="557">
        <f t="shared" si="42"/>
        <v>6</v>
      </c>
      <c r="K167" s="387">
        <f t="shared" si="39"/>
        <v>1331.3724617902726</v>
      </c>
      <c r="L167" s="52">
        <f t="shared" si="40"/>
        <v>2</v>
      </c>
      <c r="M167" s="2301"/>
      <c r="N167" s="106"/>
      <c r="O167" s="106"/>
      <c r="P167" s="106"/>
      <c r="Q167" s="106"/>
      <c r="R167" s="106"/>
      <c r="S167" s="106"/>
      <c r="T167" s="106"/>
      <c r="U167" s="106"/>
      <c r="V167" s="1592" t="s">
        <v>30</v>
      </c>
      <c r="W167" s="2868"/>
      <c r="X167" s="559"/>
      <c r="Y167" s="1591"/>
      <c r="Z167" s="1591">
        <v>1406.04</v>
      </c>
      <c r="AA167" s="560">
        <v>1406.04</v>
      </c>
      <c r="AB167" s="2831">
        <v>1406.04</v>
      </c>
      <c r="AC167" s="2299">
        <v>1403.23</v>
      </c>
      <c r="AD167" s="1741">
        <v>1403.23</v>
      </c>
      <c r="AE167" s="2831"/>
      <c r="AF167" s="851"/>
      <c r="AG167" s="851"/>
      <c r="AH167" s="344"/>
      <c r="AI167" s="156"/>
      <c r="AJ167" s="156"/>
      <c r="AK167" s="156"/>
      <c r="AL167" s="156"/>
      <c r="AM167" s="156"/>
      <c r="AN167" s="156"/>
      <c r="AO167" s="156"/>
      <c r="AP167" s="156"/>
      <c r="AQ167" s="156"/>
      <c r="AR167" s="156"/>
      <c r="AS167" s="156"/>
      <c r="AT167" s="156"/>
      <c r="AU167" s="156"/>
      <c r="AV167" s="156"/>
      <c r="AW167" s="156"/>
      <c r="AX167" s="156"/>
      <c r="AY167" s="156"/>
      <c r="AZ167" s="156"/>
      <c r="BA167" s="156"/>
      <c r="BB167" s="2833">
        <f>(BD167+BD168)/(BE167+BE168)</f>
        <v>1.1527701519904288</v>
      </c>
      <c r="BC167" s="2348" t="str">
        <f t="shared" si="37"/>
        <v>Cooling RES 6 Year EUL</v>
      </c>
      <c r="BD167" s="2829">
        <f>(INDEX('Avoided Cost Benefits'!$E$4:$E$859,MATCH(BC167,'Avoided Cost Benefits'!$A$4:$A$859,0)))*F167</f>
        <v>889.10335176393278</v>
      </c>
      <c r="BE167" s="858">
        <f t="shared" si="41"/>
        <v>1256.6044943749623</v>
      </c>
      <c r="BF167" s="156"/>
    </row>
    <row r="168" spans="1:58" x14ac:dyDescent="0.35">
      <c r="A168" s="1071" t="str">
        <f t="shared" si="27"/>
        <v>351172_2021_12_Cooling RES ER2</v>
      </c>
      <c r="B168" s="106"/>
      <c r="C168" s="50" t="s">
        <v>4153</v>
      </c>
      <c r="D168" s="1279" t="s">
        <v>320</v>
      </c>
      <c r="E168" s="2796" t="s">
        <v>919</v>
      </c>
      <c r="F168" s="1741">
        <f>ROUND(((J259*J331*(1/J403-1/J475))/1000)*J619*$J$642,2)</f>
        <v>505.61</v>
      </c>
      <c r="G168" s="727" t="s">
        <v>848</v>
      </c>
      <c r="H168" s="136">
        <f>VLOOKUP(G168,'CP FACTORS'!$A$3:$B$38, 2, FALSE)</f>
        <v>9.4741810000000004E-4</v>
      </c>
      <c r="I168" s="1278">
        <f t="shared" si="38"/>
        <v>0.47902400000000001</v>
      </c>
      <c r="J168" s="557">
        <f t="shared" si="42"/>
        <v>12</v>
      </c>
      <c r="K168" s="387">
        <f t="shared" si="39"/>
        <v>0</v>
      </c>
      <c r="L168" s="52">
        <f t="shared" si="40"/>
        <v>2</v>
      </c>
      <c r="M168" s="2301"/>
      <c r="N168" s="106"/>
      <c r="O168" s="106"/>
      <c r="P168" s="106"/>
      <c r="Q168" s="106"/>
      <c r="R168" s="106"/>
      <c r="S168" s="106"/>
      <c r="T168" s="106"/>
      <c r="U168" s="106"/>
      <c r="V168" s="1592" t="s">
        <v>30</v>
      </c>
      <c r="W168" s="2868"/>
      <c r="X168" s="559"/>
      <c r="Y168" s="1591"/>
      <c r="Z168" s="1591">
        <v>506.62</v>
      </c>
      <c r="AA168" s="560">
        <v>506.62</v>
      </c>
      <c r="AB168" s="2831">
        <v>506.62</v>
      </c>
      <c r="AC168" s="2299">
        <v>505.61</v>
      </c>
      <c r="AD168" s="1741">
        <v>505.61</v>
      </c>
      <c r="AE168" s="2831"/>
      <c r="AF168" s="851"/>
      <c r="AG168" s="851"/>
      <c r="AH168" s="344"/>
      <c r="AI168" s="156"/>
      <c r="AJ168" s="156"/>
      <c r="AK168" s="156"/>
      <c r="AL168" s="156"/>
      <c r="AM168" s="156"/>
      <c r="AN168" s="156"/>
      <c r="AO168" s="156"/>
      <c r="AP168" s="156"/>
      <c r="AQ168" s="156"/>
      <c r="AR168" s="156"/>
      <c r="AS168" s="156"/>
      <c r="AT168" s="156"/>
      <c r="AU168" s="156"/>
      <c r="AV168" s="156"/>
      <c r="AW168" s="156"/>
      <c r="AX168" s="156"/>
      <c r="AY168" s="156"/>
      <c r="AZ168" s="156"/>
      <c r="BA168" s="156"/>
      <c r="BB168" s="2835"/>
      <c r="BC168" s="2349" t="str">
        <f t="shared" si="37"/>
        <v>Cooling RES ER2 12 Year EUL</v>
      </c>
      <c r="BD168" s="2829">
        <f>(INDEX('Avoided Cost Benefits'!$E$4:$E$859,MATCH(BC168,'Avoided Cost Benefits'!$A$4:$A$859,0)))*F168</f>
        <v>559.47280220854839</v>
      </c>
      <c r="BE168" s="858">
        <f t="shared" si="41"/>
        <v>0</v>
      </c>
      <c r="BF168" s="156"/>
    </row>
    <row r="169" spans="1:58" x14ac:dyDescent="0.35">
      <c r="A169" s="1071" t="str">
        <f t="shared" si="27"/>
        <v>351173_2021_12_Cooling RES</v>
      </c>
      <c r="B169" s="106"/>
      <c r="C169" s="50" t="s">
        <v>4154</v>
      </c>
      <c r="D169" s="1279" t="s">
        <v>315</v>
      </c>
      <c r="E169" s="2795" t="s">
        <v>920</v>
      </c>
      <c r="F169" s="1741">
        <f>ROUND(((J260*J332*(1/J548-1/J476))/1000)*J620*$J$642,2)</f>
        <v>1020.53</v>
      </c>
      <c r="G169" s="727" t="s">
        <v>257</v>
      </c>
      <c r="H169" s="136">
        <f>VLOOKUP(G169,'CP FACTORS'!$A$3:$B$38, 2, FALSE)</f>
        <v>9.4741810000000004E-4</v>
      </c>
      <c r="I169" s="1278">
        <f t="shared" si="38"/>
        <v>0.96686899999999998</v>
      </c>
      <c r="J169" s="557">
        <f t="shared" si="42"/>
        <v>6</v>
      </c>
      <c r="K169" s="387">
        <f t="shared" si="39"/>
        <v>1331.3724617902726</v>
      </c>
      <c r="L169" s="52">
        <f t="shared" si="40"/>
        <v>2</v>
      </c>
      <c r="M169" s="2301"/>
      <c r="N169" s="106"/>
      <c r="O169" s="106"/>
      <c r="P169" s="106"/>
      <c r="Q169" s="106"/>
      <c r="R169" s="106"/>
      <c r="S169" s="106"/>
      <c r="T169" s="106"/>
      <c r="U169" s="106"/>
      <c r="V169" s="1592" t="s">
        <v>30</v>
      </c>
      <c r="W169" s="2868"/>
      <c r="X169" s="559"/>
      <c r="Y169" s="1591"/>
      <c r="Z169" s="1591">
        <v>1022.57</v>
      </c>
      <c r="AA169" s="560">
        <v>1022.57</v>
      </c>
      <c r="AB169" s="2831">
        <v>1022.57</v>
      </c>
      <c r="AC169" s="2299">
        <v>1020.53</v>
      </c>
      <c r="AD169" s="1741">
        <v>1020.53</v>
      </c>
      <c r="AE169" s="2831"/>
      <c r="AF169" s="851"/>
      <c r="AG169" s="851"/>
      <c r="AH169" s="344"/>
      <c r="AI169" s="156"/>
      <c r="AJ169" s="156"/>
      <c r="AK169" s="156"/>
      <c r="AL169" s="156"/>
      <c r="AM169" s="156"/>
      <c r="AN169" s="156"/>
      <c r="AO169" s="156"/>
      <c r="AP169" s="156"/>
      <c r="AQ169" s="156"/>
      <c r="AR169" s="156"/>
      <c r="AS169" s="156"/>
      <c r="AT169" s="156"/>
      <c r="AU169" s="156"/>
      <c r="AV169" s="156"/>
      <c r="AW169" s="156"/>
      <c r="AX169" s="156"/>
      <c r="AY169" s="156"/>
      <c r="AZ169" s="156"/>
      <c r="BA169" s="156"/>
      <c r="BB169" s="2833">
        <f>(BD169+BD170)/(BE169+BE170)</f>
        <v>0.83838103604873238</v>
      </c>
      <c r="BC169" s="2348" t="str">
        <f t="shared" si="37"/>
        <v>Cooling RES 6 Year EUL</v>
      </c>
      <c r="BD169" s="2829">
        <f>(INDEX('Avoided Cost Benefits'!$E$4:$E$859,MATCH(BC169,'Avoided Cost Benefits'!$A$4:$A$859,0)))*F169</f>
        <v>646.62004345377898</v>
      </c>
      <c r="BE169" s="858">
        <f t="shared" si="41"/>
        <v>1256.6044943749623</v>
      </c>
      <c r="BF169" s="156"/>
    </row>
    <row r="170" spans="1:58" x14ac:dyDescent="0.35">
      <c r="A170" s="1071" t="str">
        <f t="shared" si="27"/>
        <v>351173_2021_12_Cooling RES ER2</v>
      </c>
      <c r="B170" s="106"/>
      <c r="C170" s="50" t="s">
        <v>4154</v>
      </c>
      <c r="D170" s="1279" t="s">
        <v>315</v>
      </c>
      <c r="E170" s="2796" t="s">
        <v>921</v>
      </c>
      <c r="F170" s="1741">
        <f>ROUND(((J261*J333*(1/J405-1/J477))/1000)*J621*$J$642,2)</f>
        <v>367.72</v>
      </c>
      <c r="G170" s="727" t="s">
        <v>848</v>
      </c>
      <c r="H170" s="136">
        <f>VLOOKUP(G170,'CP FACTORS'!$A$3:$B$38, 2, FALSE)</f>
        <v>9.4741810000000004E-4</v>
      </c>
      <c r="I170" s="1278">
        <f t="shared" si="38"/>
        <v>0.348385</v>
      </c>
      <c r="J170" s="557">
        <f t="shared" si="42"/>
        <v>12</v>
      </c>
      <c r="K170" s="387">
        <f t="shared" si="39"/>
        <v>0</v>
      </c>
      <c r="L170" s="52">
        <f t="shared" si="40"/>
        <v>2</v>
      </c>
      <c r="M170" s="2301"/>
      <c r="N170" s="106"/>
      <c r="O170" s="106"/>
      <c r="P170" s="106"/>
      <c r="Q170" s="106"/>
      <c r="R170" s="106"/>
      <c r="S170" s="106"/>
      <c r="T170" s="106"/>
      <c r="U170" s="106"/>
      <c r="V170" s="1592" t="s">
        <v>30</v>
      </c>
      <c r="W170" s="2868"/>
      <c r="X170" s="559"/>
      <c r="Y170" s="1591"/>
      <c r="Z170" s="1591">
        <v>368.45</v>
      </c>
      <c r="AA170" s="560">
        <v>368.45</v>
      </c>
      <c r="AB170" s="2831">
        <v>368.45</v>
      </c>
      <c r="AC170" s="2299">
        <v>367.72</v>
      </c>
      <c r="AD170" s="1741">
        <v>367.72</v>
      </c>
      <c r="AE170" s="2831"/>
      <c r="AF170" s="851"/>
      <c r="AG170" s="851"/>
      <c r="AH170" s="344"/>
      <c r="AI170" s="156"/>
      <c r="AJ170" s="156"/>
      <c r="AK170" s="156"/>
      <c r="AL170" s="156"/>
      <c r="AM170" s="156"/>
      <c r="AN170" s="156"/>
      <c r="AO170" s="156"/>
      <c r="AP170" s="156"/>
      <c r="AQ170" s="156"/>
      <c r="AR170" s="156"/>
      <c r="AS170" s="156"/>
      <c r="AT170" s="156"/>
      <c r="AU170" s="156"/>
      <c r="AV170" s="156"/>
      <c r="AW170" s="156"/>
      <c r="AX170" s="156"/>
      <c r="AY170" s="156"/>
      <c r="AZ170" s="156"/>
      <c r="BA170" s="156"/>
      <c r="BB170" s="2835"/>
      <c r="BC170" s="2349" t="str">
        <f t="shared" si="37"/>
        <v>Cooling RES ER2 12 Year EUL</v>
      </c>
      <c r="BD170" s="2829">
        <f>(INDEX('Avoided Cost Benefits'!$E$4:$E$859,MATCH(BC170,'Avoided Cost Benefits'!$A$4:$A$859,0)))*F170</f>
        <v>406.89333444379548</v>
      </c>
      <c r="BE170" s="858">
        <f t="shared" si="41"/>
        <v>0</v>
      </c>
      <c r="BF170" s="156"/>
    </row>
    <row r="171" spans="1:58" x14ac:dyDescent="0.35">
      <c r="A171" s="1071" t="str">
        <f t="shared" si="27"/>
        <v>351174_2021_12_Cooling RES</v>
      </c>
      <c r="B171" s="106"/>
      <c r="C171" s="50" t="s">
        <v>4155</v>
      </c>
      <c r="D171" s="1279" t="s">
        <v>320</v>
      </c>
      <c r="E171" s="2795" t="s">
        <v>922</v>
      </c>
      <c r="F171" s="1741">
        <f>ROUND(((J262*J334*(1/J406-1/J478))/1000)*J622*$J$642,2)</f>
        <v>505.61</v>
      </c>
      <c r="G171" s="727" t="s">
        <v>257</v>
      </c>
      <c r="H171" s="136">
        <f>VLOOKUP(G171,'CP FACTORS'!$A$3:$B$38, 2, FALSE)</f>
        <v>9.4741810000000004E-4</v>
      </c>
      <c r="I171" s="1278">
        <f t="shared" si="38"/>
        <v>0.47902400000000001</v>
      </c>
      <c r="J171" s="557">
        <f t="shared" si="42"/>
        <v>18</v>
      </c>
      <c r="K171" s="387">
        <f t="shared" si="39"/>
        <v>1033.3333333333328</v>
      </c>
      <c r="L171" s="52">
        <f t="shared" si="40"/>
        <v>2</v>
      </c>
      <c r="M171" s="2301"/>
      <c r="N171" s="106"/>
      <c r="O171" s="106"/>
      <c r="P171" s="106"/>
      <c r="Q171" s="106"/>
      <c r="R171" s="106"/>
      <c r="S171" s="106"/>
      <c r="T171" s="106"/>
      <c r="U171" s="106"/>
      <c r="V171" s="1592" t="s">
        <v>30</v>
      </c>
      <c r="W171" s="2868"/>
      <c r="X171" s="559"/>
      <c r="Y171" s="1591"/>
      <c r="Z171" s="1591">
        <v>506.62</v>
      </c>
      <c r="AA171" s="560">
        <v>506.62</v>
      </c>
      <c r="AB171" s="2831">
        <v>506.62</v>
      </c>
      <c r="AC171" s="2299">
        <v>505.61</v>
      </c>
      <c r="AD171" s="1741">
        <v>505.61</v>
      </c>
      <c r="AE171" s="2831"/>
      <c r="AF171" s="851"/>
      <c r="AG171" s="851"/>
      <c r="AH171" s="344"/>
      <c r="AI171" s="156"/>
      <c r="AJ171" s="156"/>
      <c r="AK171" s="156"/>
      <c r="AL171" s="156"/>
      <c r="AM171" s="156"/>
      <c r="AN171" s="156"/>
      <c r="AO171" s="156"/>
      <c r="AP171" s="156"/>
      <c r="AQ171" s="156"/>
      <c r="AR171" s="156"/>
      <c r="AS171" s="156"/>
      <c r="AT171" s="156"/>
      <c r="AU171" s="156"/>
      <c r="AV171" s="156"/>
      <c r="AW171" s="156"/>
      <c r="AX171" s="156"/>
      <c r="AY171" s="156"/>
      <c r="AZ171" s="156"/>
      <c r="BA171" s="156"/>
      <c r="BB171" s="2833">
        <f>(BD171)/(BE171)</f>
        <v>0.90211301134125887</v>
      </c>
      <c r="BC171" s="562" t="str">
        <f t="shared" si="37"/>
        <v>Cooling RES 18 Year EUL</v>
      </c>
      <c r="BD171" s="2829">
        <f>(INDEX('Avoided Cost Benefits'!$E$4:$E$859,MATCH(BC171,'Avoided Cost Benefits'!$A$4:$A$859,0)))*F171</f>
        <v>879.8333601251851</v>
      </c>
      <c r="BE171" s="858">
        <f t="shared" si="41"/>
        <v>975.30281579361269</v>
      </c>
      <c r="BF171" s="156"/>
    </row>
    <row r="172" spans="1:58" x14ac:dyDescent="0.35">
      <c r="A172" s="1071" t="str">
        <f t="shared" si="27"/>
        <v>351175_2021_12_Cooling RES</v>
      </c>
      <c r="B172" s="106"/>
      <c r="C172" s="50" t="s">
        <v>4156</v>
      </c>
      <c r="D172" s="1279" t="s">
        <v>315</v>
      </c>
      <c r="E172" s="2795" t="s">
        <v>923</v>
      </c>
      <c r="F172" s="1741">
        <f>ROUND(((J263*J335*(1/J407-1/J479))/1000)*J623*$J$642,2)</f>
        <v>367.72</v>
      </c>
      <c r="G172" s="727" t="s">
        <v>257</v>
      </c>
      <c r="H172" s="136">
        <f>VLOOKUP(G172,'CP FACTORS'!$A$3:$B$38, 2, FALSE)</f>
        <v>9.4741810000000004E-4</v>
      </c>
      <c r="I172" s="1278">
        <f t="shared" si="38"/>
        <v>0.348385</v>
      </c>
      <c r="J172" s="564">
        <v>18</v>
      </c>
      <c r="K172" s="387">
        <f t="shared" si="39"/>
        <v>1033.3333333333328</v>
      </c>
      <c r="L172" s="52">
        <f t="shared" si="40"/>
        <v>2</v>
      </c>
      <c r="M172" s="2301"/>
      <c r="N172" s="106"/>
      <c r="O172" s="106"/>
      <c r="P172" s="106"/>
      <c r="Q172" s="106"/>
      <c r="R172" s="106"/>
      <c r="S172" s="106"/>
      <c r="T172" s="106"/>
      <c r="U172" s="106"/>
      <c r="V172" s="1592" t="s">
        <v>30</v>
      </c>
      <c r="W172" s="2868"/>
      <c r="X172" s="559"/>
      <c r="Y172" s="1591"/>
      <c r="Z172" s="1591">
        <v>368.45</v>
      </c>
      <c r="AA172" s="560">
        <v>368.45</v>
      </c>
      <c r="AB172" s="2831">
        <v>368.45</v>
      </c>
      <c r="AC172" s="2299">
        <v>367.72</v>
      </c>
      <c r="AD172" s="1741">
        <v>367.72</v>
      </c>
      <c r="AE172" s="2831"/>
      <c r="AF172" s="851"/>
      <c r="AG172" s="851"/>
      <c r="AH172" s="344"/>
      <c r="AI172" s="156"/>
      <c r="AJ172" s="156"/>
      <c r="AK172" s="156"/>
      <c r="AL172" s="156"/>
      <c r="AM172" s="156"/>
      <c r="AN172" s="156"/>
      <c r="AO172" s="156"/>
      <c r="AP172" s="156"/>
      <c r="AQ172" s="156"/>
      <c r="AR172" s="156"/>
      <c r="AS172" s="156"/>
      <c r="AT172" s="156"/>
      <c r="AU172" s="156"/>
      <c r="AV172" s="156"/>
      <c r="AW172" s="156"/>
      <c r="AX172" s="156"/>
      <c r="AY172" s="156"/>
      <c r="AZ172" s="156"/>
      <c r="BA172" s="156"/>
      <c r="BB172" s="2833">
        <f>(BD172)/(BE172)</f>
        <v>0.6560886780926164</v>
      </c>
      <c r="BC172" s="562" t="str">
        <f t="shared" si="37"/>
        <v>Cooling RES 18 Year EUL</v>
      </c>
      <c r="BD172" s="2829">
        <f>(INDEX('Avoided Cost Benefits'!$E$4:$E$859,MATCH(BC172,'Avoided Cost Benefits'!$A$4:$A$859,0)))*F172</f>
        <v>639.88513515403793</v>
      </c>
      <c r="BE172" s="858">
        <f t="shared" si="41"/>
        <v>975.30281579361269</v>
      </c>
      <c r="BF172" s="156"/>
    </row>
    <row r="173" spans="1:58" x14ac:dyDescent="0.35">
      <c r="A173" s="1071" t="str">
        <f t="shared" si="27"/>
        <v>351180_2021_12_Cooling RES</v>
      </c>
      <c r="B173" s="106"/>
      <c r="C173" s="50" t="s">
        <v>4157</v>
      </c>
      <c r="D173" s="1279" t="s">
        <v>318</v>
      </c>
      <c r="E173" s="2795" t="s">
        <v>924</v>
      </c>
      <c r="F173" s="373">
        <f>ROUND(((J264*J336*(1/J552-1/J480))/1000)*J624*$J$642,2)</f>
        <v>2895.68</v>
      </c>
      <c r="G173" s="727" t="s">
        <v>257</v>
      </c>
      <c r="H173" s="136">
        <f>VLOOKUP(G173,'CP FACTORS'!$A$3:$B$38, 2, FALSE)</f>
        <v>9.4741810000000004E-4</v>
      </c>
      <c r="I173" s="2775">
        <f t="shared" si="38"/>
        <v>2.74342</v>
      </c>
      <c r="J173" s="557">
        <f t="shared" ref="J173:J180" si="43">J697</f>
        <v>6</v>
      </c>
      <c r="K173" s="387">
        <f t="shared" si="39"/>
        <v>1748.0387848675346</v>
      </c>
      <c r="L173" s="478">
        <f t="shared" si="40"/>
        <v>3.4092086330935252</v>
      </c>
      <c r="M173" s="2301"/>
      <c r="N173" s="1280"/>
      <c r="O173" s="1281"/>
      <c r="P173" s="106"/>
      <c r="Q173" s="106"/>
      <c r="R173" s="1214"/>
      <c r="S173" s="106"/>
      <c r="T173" s="106"/>
      <c r="U173" s="106"/>
      <c r="V173" s="1592" t="s">
        <v>30</v>
      </c>
      <c r="W173" s="2868"/>
      <c r="X173" s="559"/>
      <c r="Y173" s="1591"/>
      <c r="Z173" s="1591">
        <v>2191.38</v>
      </c>
      <c r="AA173" s="560">
        <v>2191.38</v>
      </c>
      <c r="AB173" s="2831">
        <v>2191.38</v>
      </c>
      <c r="AC173" s="2299">
        <v>2498.15</v>
      </c>
      <c r="AD173" s="373">
        <v>2895.68</v>
      </c>
      <c r="AE173" s="2831"/>
      <c r="AF173" s="851"/>
      <c r="AG173" s="851"/>
      <c r="AH173" s="344"/>
      <c r="AI173" s="156"/>
      <c r="AJ173" s="156"/>
      <c r="AK173" s="156"/>
      <c r="AL173" s="156"/>
      <c r="AM173" s="156"/>
      <c r="AN173" s="156"/>
      <c r="AO173" s="156"/>
      <c r="AP173" s="156"/>
      <c r="AQ173" s="156"/>
      <c r="AR173" s="156"/>
      <c r="AS173" s="156"/>
      <c r="AT173" s="156"/>
      <c r="AU173" s="156"/>
      <c r="AV173" s="156"/>
      <c r="AW173" s="156"/>
      <c r="AX173" s="156"/>
      <c r="AY173" s="156"/>
      <c r="AZ173" s="156"/>
      <c r="BA173" s="156"/>
      <c r="BB173" s="2833">
        <f>(BD173+BD174)/(BE173+BE174)</f>
        <v>1.7607809711599254</v>
      </c>
      <c r="BC173" s="2348" t="str">
        <f t="shared" si="37"/>
        <v>Cooling RES 6 Year EUL</v>
      </c>
      <c r="BD173" s="2829">
        <f>(INDEX('Avoided Cost Benefits'!$E$4:$E$859,MATCH(BC173,'Avoided Cost Benefits'!$A$4:$A$859,0)))*F173</f>
        <v>1834.7375652143874</v>
      </c>
      <c r="BE173" s="858">
        <f t="shared" si="41"/>
        <v>1649.871434513954</v>
      </c>
      <c r="BF173" s="156"/>
    </row>
    <row r="174" spans="1:58" x14ac:dyDescent="0.35">
      <c r="A174" s="1071" t="str">
        <f t="shared" si="27"/>
        <v>351180_2021_12_Cooling RES ER2</v>
      </c>
      <c r="B174" s="106"/>
      <c r="C174" s="50" t="s">
        <v>4157</v>
      </c>
      <c r="D174" s="1279" t="s">
        <v>318</v>
      </c>
      <c r="E174" s="2796" t="s">
        <v>925</v>
      </c>
      <c r="F174" s="373">
        <f>ROUND(((J265*J337*(1/J409-1/J481))/1000)*J625*$J$642,2)</f>
        <v>967.28</v>
      </c>
      <c r="G174" s="727" t="s">
        <v>848</v>
      </c>
      <c r="H174" s="136">
        <f>VLOOKUP(G174,'CP FACTORS'!$A$3:$B$38, 2, FALSE)</f>
        <v>9.4741810000000004E-4</v>
      </c>
      <c r="I174" s="2775">
        <f t="shared" si="38"/>
        <v>0.91641899999999998</v>
      </c>
      <c r="J174" s="557">
        <f t="shared" si="43"/>
        <v>12</v>
      </c>
      <c r="K174" s="387">
        <f t="shared" si="39"/>
        <v>0</v>
      </c>
      <c r="L174" s="478">
        <f t="shared" si="40"/>
        <v>3.4092086330935252</v>
      </c>
      <c r="M174" s="2301"/>
      <c r="N174" s="1280"/>
      <c r="O174" s="1281"/>
      <c r="P174" s="106"/>
      <c r="Q174" s="106"/>
      <c r="R174" s="1214"/>
      <c r="S174" s="106"/>
      <c r="T174" s="106"/>
      <c r="U174" s="106"/>
      <c r="V174" s="1592" t="s">
        <v>30</v>
      </c>
      <c r="W174" s="2868"/>
      <c r="X174" s="559"/>
      <c r="Y174" s="1591"/>
      <c r="Z174" s="1591">
        <v>842.26</v>
      </c>
      <c r="AA174" s="560">
        <v>842.26</v>
      </c>
      <c r="AB174" s="2831">
        <v>842.26</v>
      </c>
      <c r="AC174" s="2299">
        <v>975.66</v>
      </c>
      <c r="AD174" s="373">
        <v>967.28</v>
      </c>
      <c r="AE174" s="2831"/>
      <c r="AF174" s="851"/>
      <c r="AG174" s="851"/>
      <c r="AH174" s="344"/>
      <c r="AI174" s="156"/>
      <c r="AJ174" s="156"/>
      <c r="AK174" s="156"/>
      <c r="AL174" s="156"/>
      <c r="AM174" s="156"/>
      <c r="AN174" s="156"/>
      <c r="AO174" s="156"/>
      <c r="AP174" s="156"/>
      <c r="AQ174" s="156"/>
      <c r="AR174" s="156"/>
      <c r="AS174" s="156"/>
      <c r="AT174" s="156"/>
      <c r="AU174" s="156"/>
      <c r="AV174" s="156"/>
      <c r="AW174" s="156"/>
      <c r="AX174" s="156"/>
      <c r="AY174" s="156"/>
      <c r="AZ174" s="156"/>
      <c r="BA174" s="156"/>
      <c r="BB174" s="2835"/>
      <c r="BC174" s="2349" t="str">
        <f t="shared" si="37"/>
        <v>Cooling RES ER2 12 Year EUL</v>
      </c>
      <c r="BD174" s="2829">
        <f>(INDEX('Avoided Cost Benefits'!$E$4:$E$859,MATCH(BC174,'Avoided Cost Benefits'!$A$4:$A$859,0)))*F174</f>
        <v>1070.3246615381117</v>
      </c>
      <c r="BE174" s="858">
        <f t="shared" si="41"/>
        <v>0</v>
      </c>
      <c r="BF174" s="156"/>
    </row>
    <row r="175" spans="1:58" x14ac:dyDescent="0.35">
      <c r="A175" s="1071" t="str">
        <f t="shared" si="27"/>
        <v>351181_2021_12_Cooling RES</v>
      </c>
      <c r="B175" s="106"/>
      <c r="C175" s="50" t="s">
        <v>4158</v>
      </c>
      <c r="D175" s="1279" t="s">
        <v>318</v>
      </c>
      <c r="E175" s="2795" t="s">
        <v>926</v>
      </c>
      <c r="F175" s="373">
        <f>ROUND(((J266*J338*(1/J410-1/J482))/1000)*J626*$J$642,2)</f>
        <v>951.42</v>
      </c>
      <c r="G175" s="727" t="s">
        <v>257</v>
      </c>
      <c r="H175" s="136">
        <f>VLOOKUP(G175,'CP FACTORS'!$A$3:$B$38, 2, FALSE)</f>
        <v>9.4741810000000004E-4</v>
      </c>
      <c r="I175" s="2775">
        <f t="shared" si="38"/>
        <v>0.901393</v>
      </c>
      <c r="J175" s="557">
        <f t="shared" si="43"/>
        <v>18</v>
      </c>
      <c r="K175" s="387">
        <f t="shared" si="39"/>
        <v>1239.9999999999995</v>
      </c>
      <c r="L175" s="478">
        <f t="shared" si="40"/>
        <v>3.3611111111111112</v>
      </c>
      <c r="M175" s="2301"/>
      <c r="N175" s="1280"/>
      <c r="O175" s="1281"/>
      <c r="P175" s="106"/>
      <c r="Q175" s="106"/>
      <c r="R175" s="1214"/>
      <c r="S175" s="106"/>
      <c r="T175" s="106"/>
      <c r="U175" s="106"/>
      <c r="V175" s="1592" t="s">
        <v>30</v>
      </c>
      <c r="W175" s="2868"/>
      <c r="X175" s="559"/>
      <c r="Y175" s="1591"/>
      <c r="Z175" s="1591">
        <v>842.26</v>
      </c>
      <c r="AA175" s="560">
        <v>842.26</v>
      </c>
      <c r="AB175" s="2831">
        <v>842.26</v>
      </c>
      <c r="AC175" s="2299">
        <v>917.64</v>
      </c>
      <c r="AD175" s="373">
        <v>951.42</v>
      </c>
      <c r="AE175" s="2831"/>
      <c r="AF175" s="851"/>
      <c r="AG175" s="851"/>
      <c r="AH175" s="344"/>
      <c r="AI175" s="156"/>
      <c r="AJ175" s="156"/>
      <c r="AK175" s="156"/>
      <c r="AL175" s="156"/>
      <c r="AM175" s="156"/>
      <c r="AN175" s="156"/>
      <c r="AO175" s="156"/>
      <c r="AP175" s="156"/>
      <c r="AQ175" s="156"/>
      <c r="AR175" s="156"/>
      <c r="AS175" s="156"/>
      <c r="AT175" s="156"/>
      <c r="AU175" s="156"/>
      <c r="AV175" s="156"/>
      <c r="AW175" s="156"/>
      <c r="AX175" s="156"/>
      <c r="AY175" s="156"/>
      <c r="AZ175" s="156"/>
      <c r="BA175" s="156"/>
      <c r="BB175" s="2833">
        <f>(BD175)/(BE175)</f>
        <v>1.4146086925533849</v>
      </c>
      <c r="BC175" s="562" t="str">
        <f t="shared" si="37"/>
        <v>Cooling RES 18 Year EUL</v>
      </c>
      <c r="BD175" s="2829">
        <f>(INDEX('Avoided Cost Benefits'!$E$4:$E$859,MATCH(BC175,'Avoided Cost Benefits'!$A$4:$A$859,0)))*F175</f>
        <v>1655.6062093121252</v>
      </c>
      <c r="BE175" s="858">
        <f t="shared" si="41"/>
        <v>1170.3633789523356</v>
      </c>
      <c r="BF175" s="156"/>
    </row>
    <row r="176" spans="1:58" x14ac:dyDescent="0.35">
      <c r="A176" s="1071" t="str">
        <f t="shared" si="27"/>
        <v>351182_2021_12_Cooling RES</v>
      </c>
      <c r="B176" s="106"/>
      <c r="C176" s="50" t="s">
        <v>4159</v>
      </c>
      <c r="D176" s="1279" t="s">
        <v>320</v>
      </c>
      <c r="E176" s="2795" t="s">
        <v>927</v>
      </c>
      <c r="F176" s="1741">
        <f>ROUND(((J267*J339*(1/J555-1/J483))/1000)*J627*$J$642,2)</f>
        <v>1436.44</v>
      </c>
      <c r="G176" s="727" t="s">
        <v>257</v>
      </c>
      <c r="H176" s="136">
        <f>VLOOKUP(G176,'CP FACTORS'!$A$3:$B$38, 2, FALSE)</f>
        <v>9.4741810000000004E-4</v>
      </c>
      <c r="I176" s="1278">
        <f t="shared" si="38"/>
        <v>1.3609089999999999</v>
      </c>
      <c r="J176" s="557">
        <f t="shared" si="43"/>
        <v>6</v>
      </c>
      <c r="K176" s="387">
        <f t="shared" si="39"/>
        <v>1538.0391284569391</v>
      </c>
      <c r="L176" s="52">
        <f t="shared" si="40"/>
        <v>2</v>
      </c>
      <c r="M176" s="2301"/>
      <c r="N176" s="1280"/>
      <c r="O176" s="106"/>
      <c r="P176" s="106"/>
      <c r="Q176" s="106"/>
      <c r="R176" s="106"/>
      <c r="S176" s="106"/>
      <c r="T176" s="106"/>
      <c r="U176" s="106"/>
      <c r="V176" s="1592" t="s">
        <v>30</v>
      </c>
      <c r="W176" s="2868"/>
      <c r="X176" s="559"/>
      <c r="Y176" s="1591"/>
      <c r="Z176" s="1591">
        <v>1460.92</v>
      </c>
      <c r="AA176" s="560">
        <v>1460.92</v>
      </c>
      <c r="AB176" s="2831">
        <v>1460.92</v>
      </c>
      <c r="AC176" s="2299">
        <v>1436.44</v>
      </c>
      <c r="AD176" s="1741">
        <v>1436.44</v>
      </c>
      <c r="AE176" s="2831"/>
      <c r="AF176" s="851"/>
      <c r="AG176" s="851"/>
      <c r="AH176" s="344"/>
      <c r="AI176" s="156"/>
      <c r="AJ176" s="156"/>
      <c r="AK176" s="156"/>
      <c r="AL176" s="156"/>
      <c r="AM176" s="156"/>
      <c r="AN176" s="156"/>
      <c r="AO176" s="156"/>
      <c r="AP176" s="156"/>
      <c r="AQ176" s="156"/>
      <c r="AR176" s="156"/>
      <c r="AS176" s="156"/>
      <c r="AT176" s="156"/>
      <c r="AU176" s="156"/>
      <c r="AV176" s="156"/>
      <c r="AW176" s="156"/>
      <c r="AX176" s="156"/>
      <c r="AY176" s="156"/>
      <c r="AZ176" s="156"/>
      <c r="BA176" s="156"/>
      <c r="BB176" s="2833">
        <f>(BD176+BD177)/(BE176+BE177)</f>
        <v>1.0541158007442186</v>
      </c>
      <c r="BC176" s="2348" t="str">
        <f t="shared" si="37"/>
        <v>Cooling RES 6 Year EUL</v>
      </c>
      <c r="BD176" s="2829">
        <f>(INDEX('Avoided Cost Benefits'!$E$4:$E$859,MATCH(BC176,'Avoided Cost Benefits'!$A$4:$A$859,0)))*F176</f>
        <v>910.14560592902342</v>
      </c>
      <c r="BE176" s="858">
        <f t="shared" si="41"/>
        <v>1451.6650575336848</v>
      </c>
      <c r="BF176" s="156"/>
    </row>
    <row r="177" spans="1:58" x14ac:dyDescent="0.35">
      <c r="A177" s="1071" t="str">
        <f t="shared" si="27"/>
        <v>351182_2021_12_Cooling RES ER2</v>
      </c>
      <c r="B177" s="106"/>
      <c r="C177" s="50" t="s">
        <v>4159</v>
      </c>
      <c r="D177" s="1279" t="s">
        <v>320</v>
      </c>
      <c r="E177" s="2796" t="s">
        <v>928</v>
      </c>
      <c r="F177" s="1741">
        <f>ROUND(((J268*J340*(1/J412-1/J484))/1000)*J628*$J$642,2)</f>
        <v>560.38</v>
      </c>
      <c r="G177" s="727" t="s">
        <v>848</v>
      </c>
      <c r="H177" s="136">
        <f>VLOOKUP(G177,'CP FACTORS'!$A$3:$B$38, 2, FALSE)</f>
        <v>9.4741810000000004E-4</v>
      </c>
      <c r="I177" s="1278">
        <f t="shared" si="38"/>
        <v>0.530914</v>
      </c>
      <c r="J177" s="557">
        <f t="shared" si="43"/>
        <v>12</v>
      </c>
      <c r="K177" s="387">
        <f t="shared" si="39"/>
        <v>0</v>
      </c>
      <c r="L177" s="52">
        <f t="shared" si="40"/>
        <v>2</v>
      </c>
      <c r="M177" s="2301"/>
      <c r="N177" s="1280"/>
      <c r="O177" s="106"/>
      <c r="P177" s="106"/>
      <c r="Q177" s="106"/>
      <c r="R177" s="106"/>
      <c r="S177" s="106"/>
      <c r="T177" s="106"/>
      <c r="U177" s="106"/>
      <c r="V177" s="1592" t="s">
        <v>30</v>
      </c>
      <c r="W177" s="2868"/>
      <c r="X177" s="559"/>
      <c r="Y177" s="1591"/>
      <c r="Z177" s="1591">
        <v>561.51</v>
      </c>
      <c r="AA177" s="560">
        <v>561.51</v>
      </c>
      <c r="AB177" s="2831">
        <v>561.51</v>
      </c>
      <c r="AC177" s="2299">
        <v>560.38</v>
      </c>
      <c r="AD177" s="1741">
        <v>560.38</v>
      </c>
      <c r="AE177" s="2831"/>
      <c r="AF177" s="851"/>
      <c r="AG177" s="851"/>
      <c r="AH177" s="344"/>
      <c r="AI177" s="156"/>
      <c r="AJ177" s="156"/>
      <c r="AK177" s="156"/>
      <c r="AL177" s="156"/>
      <c r="AM177" s="156"/>
      <c r="AN177" s="156"/>
      <c r="AO177" s="156"/>
      <c r="AP177" s="156"/>
      <c r="AQ177" s="156"/>
      <c r="AR177" s="156"/>
      <c r="AS177" s="156"/>
      <c r="AT177" s="156"/>
      <c r="AU177" s="156"/>
      <c r="AV177" s="156"/>
      <c r="AW177" s="156"/>
      <c r="AX177" s="156"/>
      <c r="AY177" s="156"/>
      <c r="AZ177" s="156"/>
      <c r="BA177" s="156"/>
      <c r="BB177" s="2835"/>
      <c r="BC177" s="2349" t="str">
        <f t="shared" si="37"/>
        <v>Cooling RES ER2 12 Year EUL</v>
      </c>
      <c r="BD177" s="2829">
        <f>(INDEX('Avoided Cost Benefits'!$E$4:$E$859,MATCH(BC177,'Avoided Cost Benefits'!$A$4:$A$859,0)))*F177</f>
        <v>620.07746860549901</v>
      </c>
      <c r="BE177" s="858">
        <f t="shared" si="41"/>
        <v>0</v>
      </c>
      <c r="BF177" s="156"/>
    </row>
    <row r="178" spans="1:58" x14ac:dyDescent="0.35">
      <c r="A178" s="1071" t="str">
        <f t="shared" si="27"/>
        <v>351183_2021_12_Cooling RES</v>
      </c>
      <c r="B178" s="106"/>
      <c r="C178" s="50" t="s">
        <v>4160</v>
      </c>
      <c r="D178" s="1279" t="s">
        <v>315</v>
      </c>
      <c r="E178" s="2795" t="s">
        <v>929</v>
      </c>
      <c r="F178" s="1741">
        <f>ROUND(((J269*J341*(1/J557-1/J485))/1000)*J629*$J$642,2)</f>
        <v>1060.3599999999999</v>
      </c>
      <c r="G178" s="727" t="s">
        <v>257</v>
      </c>
      <c r="H178" s="136">
        <f>VLOOKUP(G178,'CP FACTORS'!$A$3:$B$38, 2, FALSE)</f>
        <v>9.4741810000000004E-4</v>
      </c>
      <c r="I178" s="1278">
        <f t="shared" si="38"/>
        <v>1.0046040000000001</v>
      </c>
      <c r="J178" s="557">
        <f t="shared" si="43"/>
        <v>6</v>
      </c>
      <c r="K178" s="387">
        <f t="shared" si="39"/>
        <v>1538.0391284569391</v>
      </c>
      <c r="L178" s="52">
        <f t="shared" si="40"/>
        <v>2</v>
      </c>
      <c r="M178" s="2301"/>
      <c r="N178" s="1280"/>
      <c r="O178" s="106"/>
      <c r="P178" s="106"/>
      <c r="Q178" s="106"/>
      <c r="R178" s="106"/>
      <c r="S178" s="106"/>
      <c r="T178" s="106"/>
      <c r="U178" s="106"/>
      <c r="V178" s="1592" t="s">
        <v>30</v>
      </c>
      <c r="W178" s="2868"/>
      <c r="X178" s="559"/>
      <c r="Y178" s="1591"/>
      <c r="Z178" s="1591">
        <v>1062.49</v>
      </c>
      <c r="AA178" s="560">
        <v>1062.49</v>
      </c>
      <c r="AB178" s="2831">
        <v>1062.49</v>
      </c>
      <c r="AC178" s="2299">
        <v>1060.3599999999999</v>
      </c>
      <c r="AD178" s="1741">
        <v>1060.3599999999999</v>
      </c>
      <c r="AE178" s="2831"/>
      <c r="AF178" s="851"/>
      <c r="AG178" s="851"/>
      <c r="AH178" s="344"/>
      <c r="AI178" s="156"/>
      <c r="AJ178" s="156"/>
      <c r="AK178" s="156"/>
      <c r="AL178" s="156"/>
      <c r="AM178" s="156"/>
      <c r="AN178" s="156"/>
      <c r="AO178" s="156"/>
      <c r="AP178" s="156"/>
      <c r="AQ178" s="156"/>
      <c r="AR178" s="156"/>
      <c r="AS178" s="156"/>
      <c r="AT178" s="156"/>
      <c r="AU178" s="156"/>
      <c r="AV178" s="156"/>
      <c r="AW178" s="156"/>
      <c r="AX178" s="156"/>
      <c r="AY178" s="156"/>
      <c r="AZ178" s="156"/>
      <c r="BA178" s="156"/>
      <c r="BB178" s="2833">
        <f>(BD178+BD179)/(BE178+BE179)</f>
        <v>0.77347266906424528</v>
      </c>
      <c r="BC178" s="2348" t="str">
        <f t="shared" si="37"/>
        <v>Cooling RES 6 Year EUL</v>
      </c>
      <c r="BD178" s="2829">
        <f>(INDEX('Avoided Cost Benefits'!$E$4:$E$859,MATCH(BC178,'Avoided Cost Benefits'!$A$4:$A$859,0)))*F178</f>
        <v>671.85680898812291</v>
      </c>
      <c r="BE178" s="858">
        <f t="shared" si="41"/>
        <v>1451.6650575336848</v>
      </c>
      <c r="BF178" s="156"/>
    </row>
    <row r="179" spans="1:58" x14ac:dyDescent="0.35">
      <c r="A179" s="1071" t="str">
        <f t="shared" si="27"/>
        <v>351183_2021_12_Cooling RES ER2</v>
      </c>
      <c r="B179" s="106"/>
      <c r="C179" s="50" t="s">
        <v>4160</v>
      </c>
      <c r="D179" s="1279" t="s">
        <v>315</v>
      </c>
      <c r="E179" s="2796" t="s">
        <v>930</v>
      </c>
      <c r="F179" s="1741">
        <f>ROUND(((J270*J342*(1/J414-1/J486))/1000)*J630*$J$642,2)</f>
        <v>407.55</v>
      </c>
      <c r="G179" s="727" t="s">
        <v>848</v>
      </c>
      <c r="H179" s="136">
        <f>VLOOKUP(G179,'CP FACTORS'!$A$3:$B$38, 2, FALSE)</f>
        <v>9.4741810000000004E-4</v>
      </c>
      <c r="I179" s="1278">
        <f t="shared" si="38"/>
        <v>0.38612000000000002</v>
      </c>
      <c r="J179" s="557">
        <f t="shared" si="43"/>
        <v>12</v>
      </c>
      <c r="K179" s="387">
        <f t="shared" si="39"/>
        <v>0</v>
      </c>
      <c r="L179" s="52">
        <f t="shared" si="40"/>
        <v>2</v>
      </c>
      <c r="M179" s="2301"/>
      <c r="N179" s="1280"/>
      <c r="O179" s="106"/>
      <c r="P179" s="106"/>
      <c r="Q179" s="106"/>
      <c r="R179" s="106"/>
      <c r="S179" s="106"/>
      <c r="T179" s="106"/>
      <c r="U179" s="106"/>
      <c r="V179" s="1592" t="s">
        <v>30</v>
      </c>
      <c r="W179" s="2868"/>
      <c r="X179" s="559"/>
      <c r="Y179" s="1591"/>
      <c r="Z179" s="1591">
        <v>408.37</v>
      </c>
      <c r="AA179" s="560">
        <v>408.37</v>
      </c>
      <c r="AB179" s="2831">
        <v>408.37</v>
      </c>
      <c r="AC179" s="2299">
        <v>407.55</v>
      </c>
      <c r="AD179" s="1741">
        <v>407.55</v>
      </c>
      <c r="AE179" s="2831"/>
      <c r="AF179" s="851"/>
      <c r="AG179" s="851"/>
      <c r="AH179" s="344"/>
      <c r="AI179" s="156"/>
      <c r="AJ179" s="156"/>
      <c r="AK179" s="156"/>
      <c r="AL179" s="156"/>
      <c r="AM179" s="156"/>
      <c r="AN179" s="156"/>
      <c r="AO179" s="156"/>
      <c r="AP179" s="156"/>
      <c r="AQ179" s="156"/>
      <c r="AR179" s="156"/>
      <c r="AS179" s="156"/>
      <c r="AT179" s="156"/>
      <c r="AU179" s="156"/>
      <c r="AV179" s="156"/>
      <c r="AW179" s="156"/>
      <c r="AX179" s="156"/>
      <c r="AY179" s="156"/>
      <c r="AZ179" s="156"/>
      <c r="BA179" s="156"/>
      <c r="BB179" s="2835"/>
      <c r="BC179" s="2349" t="str">
        <f t="shared" si="37"/>
        <v>Cooling RES ER2 12 Year EUL</v>
      </c>
      <c r="BD179" s="2829">
        <f>(INDEX('Avoided Cost Benefits'!$E$4:$E$859,MATCH(BC179,'Avoided Cost Benefits'!$A$4:$A$859,0)))*F179</f>
        <v>450.96643764975755</v>
      </c>
      <c r="BE179" s="858">
        <f t="shared" si="41"/>
        <v>0</v>
      </c>
      <c r="BF179" s="156"/>
    </row>
    <row r="180" spans="1:58" x14ac:dyDescent="0.35">
      <c r="A180" s="1071" t="str">
        <f t="shared" si="27"/>
        <v>351184_2021_12_Cooling RES</v>
      </c>
      <c r="B180" s="106"/>
      <c r="C180" s="50" t="s">
        <v>4161</v>
      </c>
      <c r="D180" s="1279" t="s">
        <v>320</v>
      </c>
      <c r="E180" s="2795" t="s">
        <v>931</v>
      </c>
      <c r="F180" s="1741">
        <f>ROUND(((J271*J343*(1/J415-1/J487))/1000)*J631*$J$642,2)</f>
        <v>560.38</v>
      </c>
      <c r="G180" s="727" t="s">
        <v>257</v>
      </c>
      <c r="H180" s="136">
        <f>VLOOKUP(G180,'CP FACTORS'!$A$3:$B$38, 2, FALSE)</f>
        <v>9.4741810000000004E-4</v>
      </c>
      <c r="I180" s="1278">
        <f t="shared" si="38"/>
        <v>0.530914</v>
      </c>
      <c r="J180" s="557">
        <f t="shared" si="43"/>
        <v>18</v>
      </c>
      <c r="K180" s="387">
        <f t="shared" si="39"/>
        <v>1239.9999999999995</v>
      </c>
      <c r="L180" s="52">
        <f t="shared" si="40"/>
        <v>2</v>
      </c>
      <c r="M180" s="2301"/>
      <c r="N180" s="1280"/>
      <c r="O180" s="106"/>
      <c r="P180" s="106"/>
      <c r="Q180" s="106"/>
      <c r="R180" s="106"/>
      <c r="S180" s="106"/>
      <c r="T180" s="106"/>
      <c r="U180" s="106"/>
      <c r="V180" s="1592" t="s">
        <v>30</v>
      </c>
      <c r="W180" s="2868"/>
      <c r="X180" s="559"/>
      <c r="Y180" s="1591"/>
      <c r="Z180" s="1591">
        <v>561.51</v>
      </c>
      <c r="AA180" s="560">
        <v>561.51</v>
      </c>
      <c r="AB180" s="2831">
        <v>561.51</v>
      </c>
      <c r="AC180" s="2299">
        <v>560.38</v>
      </c>
      <c r="AD180" s="1741">
        <v>560.38</v>
      </c>
      <c r="AE180" s="2831"/>
      <c r="AF180" s="851"/>
      <c r="AG180" s="851"/>
      <c r="AH180" s="344"/>
      <c r="AI180" s="156"/>
      <c r="AJ180" s="156"/>
      <c r="AK180" s="156"/>
      <c r="AL180" s="156"/>
      <c r="AM180" s="156"/>
      <c r="AN180" s="156"/>
      <c r="AO180" s="156"/>
      <c r="AP180" s="156"/>
      <c r="AQ180" s="156"/>
      <c r="AR180" s="156"/>
      <c r="AS180" s="156"/>
      <c r="AT180" s="156"/>
      <c r="AU180" s="156"/>
      <c r="AV180" s="156"/>
      <c r="AW180" s="156"/>
      <c r="AX180" s="156"/>
      <c r="AY180" s="156"/>
      <c r="AZ180" s="156"/>
      <c r="BA180" s="156"/>
      <c r="BB180" s="2833">
        <f>(BD180)/(BE180)</f>
        <v>0.83319503387890292</v>
      </c>
      <c r="BC180" s="562" t="str">
        <f t="shared" si="37"/>
        <v>Cooling RES 18 Year EUL</v>
      </c>
      <c r="BD180" s="2829">
        <f>(INDEX('Avoided Cost Benefits'!$E$4:$E$859,MATCH(BC180,'Avoided Cost Benefits'!$A$4:$A$859,0)))*F180</f>
        <v>975.14095517681858</v>
      </c>
      <c r="BE180" s="858">
        <f t="shared" si="41"/>
        <v>1170.3633789523356</v>
      </c>
      <c r="BF180" s="156"/>
    </row>
    <row r="181" spans="1:58" x14ac:dyDescent="0.35">
      <c r="A181" s="1071" t="str">
        <f t="shared" si="27"/>
        <v>351185_2021_12_Cooling RES</v>
      </c>
      <c r="B181" s="106"/>
      <c r="C181" s="50" t="s">
        <v>4162</v>
      </c>
      <c r="D181" s="1279" t="s">
        <v>315</v>
      </c>
      <c r="E181" s="2795" t="s">
        <v>932</v>
      </c>
      <c r="F181" s="1741">
        <f>ROUND(((J272*J344*(1/J416-1/J488))/1000)*J632*$J$642,2)</f>
        <v>407.55</v>
      </c>
      <c r="G181" s="727" t="s">
        <v>257</v>
      </c>
      <c r="H181" s="136">
        <f>VLOOKUP(G181,'CP FACTORS'!$A$3:$B$38, 2, FALSE)</f>
        <v>9.4741810000000004E-4</v>
      </c>
      <c r="I181" s="1278">
        <f t="shared" si="38"/>
        <v>0.38612000000000002</v>
      </c>
      <c r="J181" s="564">
        <v>18</v>
      </c>
      <c r="K181" s="387">
        <f t="shared" si="39"/>
        <v>1239.9999999999995</v>
      </c>
      <c r="L181" s="52">
        <f t="shared" si="40"/>
        <v>2</v>
      </c>
      <c r="M181" s="2301"/>
      <c r="N181" s="1280"/>
      <c r="O181" s="106"/>
      <c r="P181" s="106"/>
      <c r="Q181" s="106"/>
      <c r="R181" s="106"/>
      <c r="S181" s="106"/>
      <c r="T181" s="106"/>
      <c r="U181" s="106"/>
      <c r="V181" s="1592" t="s">
        <v>30</v>
      </c>
      <c r="W181" s="2868"/>
      <c r="X181" s="559"/>
      <c r="Y181" s="1591"/>
      <c r="Z181" s="1591">
        <v>408.37</v>
      </c>
      <c r="AA181" s="560">
        <v>408.37</v>
      </c>
      <c r="AB181" s="2831">
        <v>408.37</v>
      </c>
      <c r="AC181" s="2299">
        <v>407.55</v>
      </c>
      <c r="AD181" s="1741">
        <v>407.55</v>
      </c>
      <c r="AE181" s="2831"/>
      <c r="AF181" s="851"/>
      <c r="AG181" s="851"/>
      <c r="AH181" s="344"/>
      <c r="AI181" s="156"/>
      <c r="AJ181" s="156"/>
      <c r="AK181" s="156"/>
      <c r="AL181" s="156"/>
      <c r="AM181" s="156"/>
      <c r="AN181" s="156"/>
      <c r="AO181" s="156"/>
      <c r="AP181" s="156"/>
      <c r="AQ181" s="156"/>
      <c r="AR181" s="156"/>
      <c r="AS181" s="156"/>
      <c r="AT181" s="156"/>
      <c r="AU181" s="156"/>
      <c r="AV181" s="156"/>
      <c r="AW181" s="156"/>
      <c r="AX181" s="156"/>
      <c r="AY181" s="156"/>
      <c r="AZ181" s="156"/>
      <c r="BA181" s="156"/>
      <c r="BB181" s="2833">
        <f>(BD181)/(BE181)</f>
        <v>0.60596137631133673</v>
      </c>
      <c r="BC181" s="562" t="str">
        <f t="shared" si="37"/>
        <v>Cooling RES 18 Year EUL</v>
      </c>
      <c r="BD181" s="2829">
        <f>(INDEX('Avoided Cost Benefits'!$E$4:$E$859,MATCH(BC181,'Avoided Cost Benefits'!$A$4:$A$859,0)))*F181</f>
        <v>709.19500389434381</v>
      </c>
      <c r="BE181" s="858">
        <f t="shared" si="41"/>
        <v>1170.3633789523356</v>
      </c>
      <c r="BF181" s="156"/>
    </row>
    <row r="182" spans="1:58" x14ac:dyDescent="0.35">
      <c r="A182" s="1071" t="str">
        <f t="shared" si="27"/>
        <v>351190_2021_12_Cooling RES</v>
      </c>
      <c r="B182" s="106"/>
      <c r="C182" s="50" t="s">
        <v>4163</v>
      </c>
      <c r="D182" s="1279" t="s">
        <v>318</v>
      </c>
      <c r="E182" s="2795" t="s">
        <v>933</v>
      </c>
      <c r="F182" s="373">
        <f>ROUND(((J273*J345*(1/J561-1/J489))/1000)*J633*$J$642,2)</f>
        <v>2849.43</v>
      </c>
      <c r="G182" s="727" t="s">
        <v>257</v>
      </c>
      <c r="H182" s="136">
        <f>VLOOKUP(G182,'CP FACTORS'!$A$3:$B$38, 2, FALSE)</f>
        <v>9.4741810000000004E-4</v>
      </c>
      <c r="I182" s="2775">
        <f t="shared" si="38"/>
        <v>2.6996020000000001</v>
      </c>
      <c r="J182" s="557">
        <f t="shared" ref="J182:J190" si="44">J706</f>
        <v>6</v>
      </c>
      <c r="K182" s="387">
        <f t="shared" si="39"/>
        <v>1929.1717605520521</v>
      </c>
      <c r="L182" s="478">
        <f t="shared" si="40"/>
        <v>3.237864077669903</v>
      </c>
      <c r="M182" s="2301"/>
      <c r="N182" s="1280"/>
      <c r="O182" s="106"/>
      <c r="P182" s="106"/>
      <c r="Q182" s="106"/>
      <c r="R182" s="106"/>
      <c r="S182" s="106"/>
      <c r="T182" s="106"/>
      <c r="U182" s="106"/>
      <c r="V182" s="1592" t="s">
        <v>30</v>
      </c>
      <c r="W182" s="2868"/>
      <c r="X182" s="559"/>
      <c r="Y182" s="1591"/>
      <c r="Z182" s="1591">
        <v>2265.87</v>
      </c>
      <c r="AA182" s="560">
        <v>2265.87</v>
      </c>
      <c r="AB182" s="2831">
        <v>2265.87</v>
      </c>
      <c r="AC182" s="2299">
        <v>2515.91</v>
      </c>
      <c r="AD182" s="373">
        <v>2849.43</v>
      </c>
      <c r="AE182" s="2831"/>
      <c r="AF182" s="851"/>
      <c r="AG182" s="851"/>
      <c r="AH182" s="344"/>
      <c r="AI182" s="156"/>
      <c r="AJ182" s="156"/>
      <c r="AK182" s="156"/>
      <c r="AL182" s="156"/>
      <c r="AM182" s="156"/>
      <c r="AN182" s="156"/>
      <c r="AO182" s="156"/>
      <c r="AP182" s="156"/>
      <c r="AQ182" s="156"/>
      <c r="AR182" s="156"/>
      <c r="AS182" s="156"/>
      <c r="AT182" s="156"/>
      <c r="AU182" s="156"/>
      <c r="AV182" s="156"/>
      <c r="AW182" s="156"/>
      <c r="AX182" s="156"/>
      <c r="AY182" s="156"/>
      <c r="AZ182" s="156"/>
      <c r="BA182" s="156"/>
      <c r="BB182" s="2833">
        <f>(BD182+BD183)/(BE182+BE183)</f>
        <v>1.6327574603449879</v>
      </c>
      <c r="BC182" s="2348" t="str">
        <f t="shared" si="37"/>
        <v>Cooling RES 6 Year EUL</v>
      </c>
      <c r="BD182" s="2829">
        <f>(INDEX('Avoided Cost Benefits'!$E$4:$E$859,MATCH(BC182,'Avoided Cost Benefits'!$A$4:$A$859,0)))*F182</f>
        <v>1805.4330107086528</v>
      </c>
      <c r="BE182" s="858">
        <f t="shared" si="41"/>
        <v>1820.8322421444568</v>
      </c>
      <c r="BF182" s="156"/>
    </row>
    <row r="183" spans="1:58" x14ac:dyDescent="0.35">
      <c r="A183" s="1071" t="str">
        <f t="shared" ref="A183:A190" si="45">C183&amp;G183</f>
        <v>351190_2021_12_Cooling RES ER2</v>
      </c>
      <c r="B183" s="106"/>
      <c r="C183" s="50" t="s">
        <v>4163</v>
      </c>
      <c r="D183" s="1279" t="s">
        <v>318</v>
      </c>
      <c r="E183" s="2796" t="s">
        <v>934</v>
      </c>
      <c r="F183" s="373">
        <f>ROUND(((J274*J346*(1/J418-1/J490))/1000)*J634*$J$642,2)</f>
        <v>1055.1400000000001</v>
      </c>
      <c r="G183" s="727" t="s">
        <v>848</v>
      </c>
      <c r="H183" s="136">
        <f>VLOOKUP(G183,'CP FACTORS'!$A$3:$B$38, 2, FALSE)</f>
        <v>9.4741810000000004E-4</v>
      </c>
      <c r="I183" s="2775">
        <f t="shared" si="38"/>
        <v>0.99965899999999996</v>
      </c>
      <c r="J183" s="557">
        <f t="shared" si="44"/>
        <v>12</v>
      </c>
      <c r="K183" s="387">
        <f t="shared" si="39"/>
        <v>0</v>
      </c>
      <c r="L183" s="478">
        <f t="shared" si="40"/>
        <v>3.237864077669903</v>
      </c>
      <c r="M183" s="2301"/>
      <c r="N183" s="1280"/>
      <c r="O183" s="106"/>
      <c r="P183" s="106"/>
      <c r="Q183" s="106"/>
      <c r="R183" s="106"/>
      <c r="S183" s="106"/>
      <c r="T183" s="106"/>
      <c r="U183" s="106"/>
      <c r="V183" s="1592" t="s">
        <v>30</v>
      </c>
      <c r="W183" s="2868"/>
      <c r="X183" s="559"/>
      <c r="Y183" s="1591"/>
      <c r="Z183" s="1591">
        <v>916.75</v>
      </c>
      <c r="AA183" s="560">
        <v>916.75</v>
      </c>
      <c r="AB183" s="2831">
        <v>916.75</v>
      </c>
      <c r="AC183" s="2299">
        <v>1081.83</v>
      </c>
      <c r="AD183" s="373">
        <v>1055.1400000000001</v>
      </c>
      <c r="AE183" s="2831"/>
      <c r="AF183" s="851"/>
      <c r="AG183" s="851"/>
      <c r="AH183" s="344"/>
      <c r="AI183" s="156"/>
      <c r="AJ183" s="156"/>
      <c r="AK183" s="156"/>
      <c r="AL183" s="156"/>
      <c r="AM183" s="156"/>
      <c r="AN183" s="156"/>
      <c r="AO183" s="156"/>
      <c r="AP183" s="156"/>
      <c r="AQ183" s="156"/>
      <c r="AR183" s="156"/>
      <c r="AS183" s="156"/>
      <c r="AT183" s="156"/>
      <c r="AU183" s="156"/>
      <c r="AV183" s="156"/>
      <c r="AW183" s="156"/>
      <c r="AX183" s="156"/>
      <c r="AY183" s="156"/>
      <c r="AZ183" s="156"/>
      <c r="BA183" s="156"/>
      <c r="BB183" s="2835"/>
      <c r="BC183" s="2349" t="str">
        <f t="shared" si="37"/>
        <v>Cooling RES ER2 12 Year EUL</v>
      </c>
      <c r="BD183" s="2829">
        <f>(INDEX('Avoided Cost Benefits'!$E$4:$E$859,MATCH(BC183,'Avoided Cost Benefits'!$A$4:$A$859,0)))*F183</f>
        <v>1167.5444166894006</v>
      </c>
      <c r="BE183" s="858">
        <f t="shared" si="41"/>
        <v>0</v>
      </c>
      <c r="BF183" s="156"/>
    </row>
    <row r="184" spans="1:58" x14ac:dyDescent="0.35">
      <c r="A184" s="1071" t="str">
        <f t="shared" si="45"/>
        <v>351191_2021_12_Cooling RES</v>
      </c>
      <c r="B184" s="106"/>
      <c r="C184" s="50" t="s">
        <v>4164</v>
      </c>
      <c r="D184" s="1279" t="s">
        <v>318</v>
      </c>
      <c r="E184" s="2795" t="s">
        <v>935</v>
      </c>
      <c r="F184" s="373">
        <f>ROUND(((J275*J347*(1/J419-1/J491))/1000)*J635*$J$642,2)</f>
        <v>1069.17</v>
      </c>
      <c r="G184" s="727" t="s">
        <v>257</v>
      </c>
      <c r="H184" s="136">
        <f>VLOOKUP(G184,'CP FACTORS'!$A$3:$B$38, 2, FALSE)</f>
        <v>9.4741810000000004E-4</v>
      </c>
      <c r="I184" s="2775">
        <f t="shared" si="38"/>
        <v>1.0129509999999999</v>
      </c>
      <c r="J184" s="557">
        <f t="shared" si="44"/>
        <v>18</v>
      </c>
      <c r="K184" s="387">
        <f t="shared" si="39"/>
        <v>1446.6666666666663</v>
      </c>
      <c r="L184" s="478">
        <f t="shared" si="40"/>
        <v>3.1875</v>
      </c>
      <c r="M184" s="2301"/>
      <c r="N184" s="1280"/>
      <c r="O184" s="106"/>
      <c r="P184" s="106"/>
      <c r="Q184" s="106"/>
      <c r="R184" s="106"/>
      <c r="S184" s="106"/>
      <c r="T184" s="106"/>
      <c r="U184" s="106"/>
      <c r="V184" s="1592" t="s">
        <v>30</v>
      </c>
      <c r="W184" s="2868"/>
      <c r="X184" s="559"/>
      <c r="Y184" s="1591"/>
      <c r="Z184" s="1591">
        <v>916.75</v>
      </c>
      <c r="AA184" s="560">
        <v>916.75</v>
      </c>
      <c r="AB184" s="2831">
        <v>916.75</v>
      </c>
      <c r="AC184" s="2299">
        <v>1009.72</v>
      </c>
      <c r="AD184" s="373">
        <v>1069.17</v>
      </c>
      <c r="AE184" s="2831"/>
      <c r="AF184" s="851"/>
      <c r="AG184" s="851"/>
      <c r="AH184" s="344"/>
      <c r="AI184" s="156"/>
      <c r="AJ184" s="156"/>
      <c r="AK184" s="156"/>
      <c r="AL184" s="156"/>
      <c r="AM184" s="156"/>
      <c r="AN184" s="156"/>
      <c r="AO184" s="156"/>
      <c r="AP184" s="156"/>
      <c r="AQ184" s="156"/>
      <c r="AR184" s="156"/>
      <c r="AS184" s="156"/>
      <c r="AT184" s="156"/>
      <c r="AU184" s="156"/>
      <c r="AV184" s="156"/>
      <c r="AW184" s="156"/>
      <c r="AX184" s="156"/>
      <c r="AY184" s="156"/>
      <c r="AZ184" s="156"/>
      <c r="BA184" s="156"/>
      <c r="BB184" s="2833">
        <f>(BD184)/(BE184)</f>
        <v>1.362586307820163</v>
      </c>
      <c r="BC184" s="562" t="str">
        <f t="shared" si="37"/>
        <v>Cooling RES 18 Year EUL</v>
      </c>
      <c r="BD184" s="2829">
        <f>(INDEX('Avoided Cost Benefits'!$E$4:$E$859,MATCH(BC184,'Avoided Cost Benefits'!$A$4:$A$859,0)))*F184</f>
        <v>1860.5079678903587</v>
      </c>
      <c r="BE184" s="858">
        <f t="shared" si="41"/>
        <v>1365.4239421110581</v>
      </c>
      <c r="BF184" s="156"/>
    </row>
    <row r="185" spans="1:58" x14ac:dyDescent="0.35">
      <c r="A185" s="1071" t="str">
        <f t="shared" si="45"/>
        <v>351192_2021_12_Cooling RES</v>
      </c>
      <c r="B185" s="106"/>
      <c r="C185" s="50" t="s">
        <v>4165</v>
      </c>
      <c r="D185" s="1279" t="s">
        <v>320</v>
      </c>
      <c r="E185" s="2795" t="s">
        <v>936</v>
      </c>
      <c r="F185" s="1741">
        <f>ROUND(((J276*J348*(1/J564-1/J492))/1000)*J636*$J$642,2)</f>
        <v>1507.56</v>
      </c>
      <c r="G185" s="727" t="s">
        <v>257</v>
      </c>
      <c r="H185" s="136">
        <f>VLOOKUP(G185,'CP FACTORS'!$A$3:$B$38, 2, FALSE)</f>
        <v>9.4741810000000004E-4</v>
      </c>
      <c r="I185" s="1278">
        <f t="shared" si="38"/>
        <v>1.4282900000000001</v>
      </c>
      <c r="J185" s="557">
        <f t="shared" si="44"/>
        <v>6</v>
      </c>
      <c r="K185" s="387">
        <f t="shared" si="39"/>
        <v>1744.7057951236061</v>
      </c>
      <c r="L185" s="52">
        <f t="shared" si="40"/>
        <v>2</v>
      </c>
      <c r="M185" s="2301"/>
      <c r="N185" s="1280"/>
      <c r="O185" s="106"/>
      <c r="P185" s="106"/>
      <c r="Q185" s="106"/>
      <c r="R185" s="106"/>
      <c r="S185" s="106"/>
      <c r="T185" s="106"/>
      <c r="U185" s="106"/>
      <c r="V185" s="1592" t="s">
        <v>30</v>
      </c>
      <c r="W185" s="2868"/>
      <c r="X185" s="559"/>
      <c r="Y185" s="1591"/>
      <c r="Z185" s="1591">
        <v>1510.58</v>
      </c>
      <c r="AA185" s="560">
        <v>1510.58</v>
      </c>
      <c r="AB185" s="2831">
        <v>1510.58</v>
      </c>
      <c r="AC185" s="2299">
        <v>1507.56</v>
      </c>
      <c r="AD185" s="1741">
        <v>1507.56</v>
      </c>
      <c r="AE185" s="2831"/>
      <c r="AF185" s="851"/>
      <c r="AG185" s="851"/>
      <c r="AH185" s="344"/>
      <c r="AI185" s="156"/>
      <c r="AJ185" s="156"/>
      <c r="AK185" s="156"/>
      <c r="AL185" s="156"/>
      <c r="AM185" s="156"/>
      <c r="AN185" s="156"/>
      <c r="AO185" s="156"/>
      <c r="AP185" s="156"/>
      <c r="AQ185" s="156"/>
      <c r="AR185" s="156"/>
      <c r="AS185" s="156"/>
      <c r="AT185" s="156"/>
      <c r="AU185" s="156"/>
      <c r="AV185" s="156"/>
      <c r="AW185" s="156"/>
      <c r="AX185" s="156"/>
      <c r="AY185" s="156"/>
      <c r="AZ185" s="156"/>
      <c r="BA185" s="156"/>
      <c r="BB185" s="2833">
        <f>(BD185+BD186)/(BE185+BE186)</f>
        <v>0.98991913533567311</v>
      </c>
      <c r="BC185" s="2348" t="str">
        <f t="shared" si="37"/>
        <v>Cooling RES 6 Year EUL</v>
      </c>
      <c r="BD185" s="2829">
        <f>(INDEX('Avoided Cost Benefits'!$E$4:$E$859,MATCH(BC185,'Avoided Cost Benefits'!$A$4:$A$859,0)))*F185</f>
        <v>955.2080906089767</v>
      </c>
      <c r="BE185" s="858">
        <f t="shared" si="41"/>
        <v>1646.7256206924076</v>
      </c>
      <c r="BF185" s="156"/>
    </row>
    <row r="186" spans="1:58" x14ac:dyDescent="0.35">
      <c r="A186" s="1071" t="str">
        <f t="shared" si="45"/>
        <v>351192_2021_12_Cooling RES ER2</v>
      </c>
      <c r="B186" s="106"/>
      <c r="C186" s="50" t="s">
        <v>4165</v>
      </c>
      <c r="D186" s="1279" t="s">
        <v>320</v>
      </c>
      <c r="E186" s="2796" t="s">
        <v>937</v>
      </c>
      <c r="F186" s="1741">
        <f>ROUND(((J277*J349*(1/J421-1/J493))/1000)*J637*$J$642,2)</f>
        <v>609.94000000000005</v>
      </c>
      <c r="G186" s="727" t="s">
        <v>848</v>
      </c>
      <c r="H186" s="136">
        <f>VLOOKUP(G186,'CP FACTORS'!$A$3:$B$38, 2, FALSE)</f>
        <v>9.4741810000000004E-4</v>
      </c>
      <c r="I186" s="1278">
        <f t="shared" si="38"/>
        <v>0.57786800000000005</v>
      </c>
      <c r="J186" s="557">
        <f t="shared" si="44"/>
        <v>12</v>
      </c>
      <c r="K186" s="387">
        <f t="shared" si="39"/>
        <v>0</v>
      </c>
      <c r="L186" s="52">
        <f t="shared" si="40"/>
        <v>2</v>
      </c>
      <c r="M186" s="2301"/>
      <c r="N186" s="1280"/>
      <c r="O186" s="106"/>
      <c r="P186" s="106"/>
      <c r="Q186" s="106"/>
      <c r="R186" s="106"/>
      <c r="S186" s="106"/>
      <c r="T186" s="106"/>
      <c r="U186" s="106"/>
      <c r="V186" s="1592" t="s">
        <v>30</v>
      </c>
      <c r="W186" s="2868"/>
      <c r="X186" s="559"/>
      <c r="Y186" s="1591"/>
      <c r="Z186" s="1591">
        <v>611.16</v>
      </c>
      <c r="AA186" s="560">
        <v>611.16</v>
      </c>
      <c r="AB186" s="2831">
        <v>611.16</v>
      </c>
      <c r="AC186" s="2299">
        <v>609.94000000000005</v>
      </c>
      <c r="AD186" s="1741">
        <v>609.94000000000005</v>
      </c>
      <c r="AE186" s="2831"/>
      <c r="AF186" s="851"/>
      <c r="AG186" s="851"/>
      <c r="AH186" s="344"/>
      <c r="AI186" s="156"/>
      <c r="AJ186" s="156"/>
      <c r="AK186" s="156"/>
      <c r="AL186" s="156"/>
      <c r="AM186" s="156"/>
      <c r="AN186" s="156"/>
      <c r="AO186" s="156"/>
      <c r="AP186" s="156"/>
      <c r="AQ186" s="156"/>
      <c r="AR186" s="156"/>
      <c r="AS186" s="156"/>
      <c r="AT186" s="156"/>
      <c r="AU186" s="156"/>
      <c r="AV186" s="156"/>
      <c r="AW186" s="156"/>
      <c r="AX186" s="156"/>
      <c r="AY186" s="156"/>
      <c r="AZ186" s="156"/>
      <c r="BA186" s="156"/>
      <c r="BB186" s="2835"/>
      <c r="BC186" s="2349" t="str">
        <f t="shared" si="37"/>
        <v>Cooling RES ER2 12 Year EUL</v>
      </c>
      <c r="BD186" s="2829">
        <f>(INDEX('Avoided Cost Benefits'!$E$4:$E$859,MATCH(BC186,'Avoided Cost Benefits'!$A$4:$A$859,0)))*F186</f>
        <v>674.91711196195104</v>
      </c>
      <c r="BE186" s="858">
        <f t="shared" si="41"/>
        <v>0</v>
      </c>
      <c r="BF186" s="156"/>
    </row>
    <row r="187" spans="1:58" x14ac:dyDescent="0.35">
      <c r="A187" s="1071" t="str">
        <f t="shared" si="45"/>
        <v>351193_2021_12_Cooling RES</v>
      </c>
      <c r="B187" s="106"/>
      <c r="C187" s="50" t="s">
        <v>4166</v>
      </c>
      <c r="D187" s="1279" t="s">
        <v>315</v>
      </c>
      <c r="E187" s="2795" t="s">
        <v>938</v>
      </c>
      <c r="F187" s="1741">
        <f>ROUND(((J278*J350*(1/J566-1/J494))/1000)*J638*$J$642,2)</f>
        <v>1096.4100000000001</v>
      </c>
      <c r="G187" s="727" t="s">
        <v>257</v>
      </c>
      <c r="H187" s="136">
        <f>VLOOKUP(G187,'CP FACTORS'!$A$3:$B$38, 2, FALSE)</f>
        <v>9.4741810000000004E-4</v>
      </c>
      <c r="I187" s="1278">
        <f t="shared" si="38"/>
        <v>1.038759</v>
      </c>
      <c r="J187" s="557">
        <f t="shared" si="44"/>
        <v>6</v>
      </c>
      <c r="K187" s="387">
        <f t="shared" si="39"/>
        <v>1744.7057951236061</v>
      </c>
      <c r="L187" s="52">
        <f t="shared" si="40"/>
        <v>2</v>
      </c>
      <c r="M187" s="2301"/>
      <c r="N187" s="1280"/>
      <c r="O187" s="106"/>
      <c r="P187" s="106"/>
      <c r="Q187" s="106"/>
      <c r="R187" s="106"/>
      <c r="S187" s="106"/>
      <c r="T187" s="106"/>
      <c r="U187" s="106"/>
      <c r="V187" s="1592" t="s">
        <v>30</v>
      </c>
      <c r="W187" s="2868"/>
      <c r="X187" s="559"/>
      <c r="Y187" s="1591"/>
      <c r="Z187" s="1591">
        <v>1098.5999999999999</v>
      </c>
      <c r="AA187" s="560">
        <v>1098.5999999999999</v>
      </c>
      <c r="AB187" s="2831">
        <v>1098.5999999999999</v>
      </c>
      <c r="AC187" s="2299">
        <v>1096.4100000000001</v>
      </c>
      <c r="AD187" s="1741">
        <v>1096.4100000000001</v>
      </c>
      <c r="AE187" s="2831"/>
      <c r="AF187" s="851"/>
      <c r="AG187" s="851"/>
      <c r="AH187" s="344"/>
      <c r="AI187" s="156"/>
      <c r="AJ187" s="156"/>
      <c r="AK187" s="156"/>
      <c r="AL187" s="156"/>
      <c r="AM187" s="156"/>
      <c r="AN187" s="156"/>
      <c r="AO187" s="156"/>
      <c r="AP187" s="156"/>
      <c r="AQ187" s="156"/>
      <c r="AR187" s="156"/>
      <c r="AS187" s="156"/>
      <c r="AT187" s="156"/>
      <c r="AU187" s="156"/>
      <c r="AV187" s="156"/>
      <c r="AW187" s="156"/>
      <c r="AX187" s="156"/>
      <c r="AY187" s="156"/>
      <c r="AZ187" s="156"/>
      <c r="BA187" s="156"/>
      <c r="BB187" s="2833">
        <f>(BD187+BD188)/(BE187+BE188)</f>
        <v>0.71994040609750731</v>
      </c>
      <c r="BC187" s="2348" t="str">
        <f t="shared" si="37"/>
        <v>Cooling RES 6 Year EUL</v>
      </c>
      <c r="BD187" s="2829">
        <f>(INDEX('Avoided Cost Benefits'!$E$4:$E$859,MATCH(BC187,'Avoided Cost Benefits'!$A$4:$A$859,0)))*F187</f>
        <v>694.69852120286305</v>
      </c>
      <c r="BE187" s="858">
        <f t="shared" si="41"/>
        <v>1646.7256206924076</v>
      </c>
      <c r="BF187" s="156"/>
    </row>
    <row r="188" spans="1:58" x14ac:dyDescent="0.35">
      <c r="A188" s="1071" t="str">
        <f t="shared" si="45"/>
        <v>351193_2021_12_Cooling RES ER2</v>
      </c>
      <c r="B188" s="106"/>
      <c r="C188" s="50" t="s">
        <v>4166</v>
      </c>
      <c r="D188" s="1279" t="s">
        <v>315</v>
      </c>
      <c r="E188" s="2796" t="s">
        <v>939</v>
      </c>
      <c r="F188" s="1741">
        <f>ROUND(((J279*J351*(1/J423-1/J495))/1000)*J639*$J$642,2)</f>
        <v>443.59</v>
      </c>
      <c r="G188" s="727" t="s">
        <v>848</v>
      </c>
      <c r="H188" s="136">
        <f>VLOOKUP(G188,'CP FACTORS'!$A$3:$B$38, 2, FALSE)</f>
        <v>9.4741810000000004E-4</v>
      </c>
      <c r="I188" s="1278">
        <f t="shared" si="38"/>
        <v>0.420265</v>
      </c>
      <c r="J188" s="557">
        <f t="shared" si="44"/>
        <v>12</v>
      </c>
      <c r="K188" s="387">
        <f t="shared" si="39"/>
        <v>0</v>
      </c>
      <c r="L188" s="52">
        <f t="shared" si="40"/>
        <v>2</v>
      </c>
      <c r="M188" s="2301"/>
      <c r="N188" s="1280"/>
      <c r="O188" s="106"/>
      <c r="P188" s="106"/>
      <c r="Q188" s="106"/>
      <c r="R188" s="106"/>
      <c r="S188" s="106"/>
      <c r="T188" s="106"/>
      <c r="U188" s="106"/>
      <c r="V188" s="1592" t="s">
        <v>30</v>
      </c>
      <c r="W188" s="2868"/>
      <c r="X188" s="559"/>
      <c r="Y188" s="1591"/>
      <c r="Z188" s="1591">
        <v>444.48</v>
      </c>
      <c r="AA188" s="560">
        <v>444.48</v>
      </c>
      <c r="AB188" s="2831">
        <v>444.48</v>
      </c>
      <c r="AC188" s="2299">
        <v>443.59</v>
      </c>
      <c r="AD188" s="1741">
        <v>443.59</v>
      </c>
      <c r="AE188" s="2831"/>
      <c r="AF188" s="851"/>
      <c r="AG188" s="851"/>
      <c r="AH188" s="344"/>
      <c r="AI188" s="156"/>
      <c r="AJ188" s="156"/>
      <c r="AK188" s="156"/>
      <c r="AL188" s="156"/>
      <c r="AM188" s="156"/>
      <c r="AN188" s="156"/>
      <c r="AO188" s="156"/>
      <c r="AP188" s="156"/>
      <c r="AQ188" s="156"/>
      <c r="AR188" s="156"/>
      <c r="AS188" s="156"/>
      <c r="AT188" s="156"/>
      <c r="AU188" s="156"/>
      <c r="AV188" s="156"/>
      <c r="AW188" s="156"/>
      <c r="AX188" s="156"/>
      <c r="AY188" s="156"/>
      <c r="AZ188" s="156"/>
      <c r="BA188" s="156"/>
      <c r="BB188" s="2835"/>
      <c r="BC188" s="2349" t="str">
        <f t="shared" si="37"/>
        <v>Cooling RES ER2 12 Year EUL</v>
      </c>
      <c r="BD188" s="2829">
        <f>(INDEX('Avoided Cost Benefits'!$E$4:$E$859,MATCH(BC188,'Avoided Cost Benefits'!$A$4:$A$859,0)))*F188</f>
        <v>490.84579088959867</v>
      </c>
      <c r="BE188" s="858">
        <f t="shared" si="41"/>
        <v>0</v>
      </c>
      <c r="BF188" s="156"/>
    </row>
    <row r="189" spans="1:58" x14ac:dyDescent="0.35">
      <c r="A189" s="1071" t="str">
        <f t="shared" si="45"/>
        <v>351194_2021_12_Cooling RES</v>
      </c>
      <c r="B189" s="106"/>
      <c r="C189" s="50" t="s">
        <v>4167</v>
      </c>
      <c r="D189" s="1279" t="s">
        <v>320</v>
      </c>
      <c r="E189" s="2795" t="s">
        <v>940</v>
      </c>
      <c r="F189" s="1741">
        <f>ROUND(((J280*J352*(1/J424-1/J496))/1000)*J640*$J$642,2)</f>
        <v>609.94000000000005</v>
      </c>
      <c r="G189" s="727" t="s">
        <v>257</v>
      </c>
      <c r="H189" s="136">
        <f>VLOOKUP(G189,'CP FACTORS'!$A$3:$B$38, 2, FALSE)</f>
        <v>9.4741810000000004E-4</v>
      </c>
      <c r="I189" s="1278">
        <f t="shared" si="38"/>
        <v>0.57786800000000005</v>
      </c>
      <c r="J189" s="557">
        <f t="shared" si="44"/>
        <v>18</v>
      </c>
      <c r="K189" s="387">
        <f t="shared" si="39"/>
        <v>1446.6666666666663</v>
      </c>
      <c r="L189" s="52">
        <f t="shared" si="40"/>
        <v>2</v>
      </c>
      <c r="M189" s="2301"/>
      <c r="N189" s="1280"/>
      <c r="O189" s="106"/>
      <c r="P189" s="106"/>
      <c r="Q189" s="106"/>
      <c r="R189" s="106"/>
      <c r="S189" s="106"/>
      <c r="T189" s="106"/>
      <c r="U189" s="106"/>
      <c r="V189" s="1592" t="s">
        <v>30</v>
      </c>
      <c r="W189" s="2868"/>
      <c r="X189" s="559"/>
      <c r="Y189" s="1591"/>
      <c r="Z189" s="1591">
        <v>611.16</v>
      </c>
      <c r="AA189" s="560">
        <v>611.16</v>
      </c>
      <c r="AB189" s="2831">
        <v>611.16</v>
      </c>
      <c r="AC189" s="2299">
        <v>609.94000000000005</v>
      </c>
      <c r="AD189" s="1741">
        <v>609.94000000000005</v>
      </c>
      <c r="AE189" s="2831"/>
      <c r="AF189" s="851"/>
      <c r="AG189" s="851"/>
      <c r="AH189" s="344"/>
      <c r="AI189" s="156"/>
      <c r="AJ189" s="156"/>
      <c r="AK189" s="156"/>
      <c r="AL189" s="156"/>
      <c r="AM189" s="156"/>
      <c r="AN189" s="156"/>
      <c r="AO189" s="156"/>
      <c r="AP189" s="156"/>
      <c r="AQ189" s="156"/>
      <c r="AR189" s="156"/>
      <c r="AS189" s="156"/>
      <c r="AT189" s="156"/>
      <c r="AU189" s="156"/>
      <c r="AV189" s="156"/>
      <c r="AW189" s="156"/>
      <c r="AX189" s="156"/>
      <c r="AY189" s="156"/>
      <c r="AZ189" s="156"/>
      <c r="BA189" s="156"/>
      <c r="BB189" s="2833">
        <f>(BD189)/(BE189)</f>
        <v>0.77732810740277991</v>
      </c>
      <c r="BC189" s="562" t="str">
        <f t="shared" si="37"/>
        <v>Cooling RES 18 Year EUL</v>
      </c>
      <c r="BD189" s="2829">
        <f>(INDEX('Avoided Cost Benefits'!$E$4:$E$859,MATCH(BC189,'Avoided Cost Benefits'!$A$4:$A$859,0)))*F189</f>
        <v>1061.3824087236317</v>
      </c>
      <c r="BE189" s="858">
        <f t="shared" si="41"/>
        <v>1365.4239421110581</v>
      </c>
      <c r="BF189" s="156"/>
    </row>
    <row r="190" spans="1:58" x14ac:dyDescent="0.35">
      <c r="A190" s="1071" t="str">
        <f t="shared" si="45"/>
        <v>351195_2021_12_Cooling RES</v>
      </c>
      <c r="B190" s="106"/>
      <c r="C190" s="50" t="s">
        <v>4168</v>
      </c>
      <c r="D190" s="1279" t="s">
        <v>315</v>
      </c>
      <c r="E190" s="2797" t="s">
        <v>941</v>
      </c>
      <c r="F190" s="1741">
        <f>ROUND(((J281*J353*(1/J425-1/J497))/1000)*J641*$J$642,2)</f>
        <v>443.59</v>
      </c>
      <c r="G190" s="727" t="s">
        <v>257</v>
      </c>
      <c r="H190" s="136">
        <f>VLOOKUP(G190,'CP FACTORS'!$A$3:$B$38, 2, FALSE)</f>
        <v>9.4741810000000004E-4</v>
      </c>
      <c r="I190" s="1278">
        <f t="shared" si="38"/>
        <v>0.420265</v>
      </c>
      <c r="J190" s="557">
        <f t="shared" si="44"/>
        <v>18</v>
      </c>
      <c r="K190" s="387">
        <f t="shared" si="39"/>
        <v>1446.6666666666663</v>
      </c>
      <c r="L190" s="52">
        <f t="shared" si="40"/>
        <v>2</v>
      </c>
      <c r="M190" s="2301"/>
      <c r="N190" s="1280"/>
      <c r="O190" s="106"/>
      <c r="P190" s="106"/>
      <c r="Q190" s="106"/>
      <c r="R190" s="106"/>
      <c r="S190" s="106"/>
      <c r="T190" s="106"/>
      <c r="U190" s="106"/>
      <c r="V190" s="1592" t="s">
        <v>30</v>
      </c>
      <c r="W190" s="2868"/>
      <c r="X190" s="559"/>
      <c r="Y190" s="1591"/>
      <c r="Z190" s="1591">
        <v>444.48</v>
      </c>
      <c r="AA190" s="560">
        <v>444.48</v>
      </c>
      <c r="AB190" s="2831">
        <v>444.48</v>
      </c>
      <c r="AC190" s="2299">
        <v>443.59</v>
      </c>
      <c r="AD190" s="1741">
        <v>443.59</v>
      </c>
      <c r="AE190" s="2831"/>
      <c r="AF190" s="851"/>
      <c r="AG190" s="851"/>
      <c r="AH190" s="344"/>
      <c r="AI190" s="156"/>
      <c r="AJ190" s="156"/>
      <c r="AK190" s="156"/>
      <c r="AL190" s="156"/>
      <c r="AM190" s="156"/>
      <c r="AN190" s="156"/>
      <c r="AO190" s="156"/>
      <c r="AP190" s="156"/>
      <c r="AQ190" s="156"/>
      <c r="AR190" s="156"/>
      <c r="AS190" s="156"/>
      <c r="AT190" s="156"/>
      <c r="AU190" s="156"/>
      <c r="AV190" s="156"/>
      <c r="AW190" s="156"/>
      <c r="AX190" s="156"/>
      <c r="AY190" s="156"/>
      <c r="AZ190" s="156"/>
      <c r="BA190" s="156"/>
      <c r="BB190" s="2870">
        <f>(BD190)/(BE190)</f>
        <v>0.56532605692822102</v>
      </c>
      <c r="BC190" s="562" t="str">
        <f t="shared" si="37"/>
        <v>Cooling RES 18 Year EUL</v>
      </c>
      <c r="BD190" s="2871">
        <f>(INDEX('Avoided Cost Benefits'!$E$4:$E$859,MATCH(BC190,'Avoided Cost Benefits'!$A$4:$A$859,0)))*F190</f>
        <v>771.90973322903199</v>
      </c>
      <c r="BE190" s="860">
        <f t="shared" si="41"/>
        <v>1365.4239421110581</v>
      </c>
      <c r="BF190" s="156"/>
    </row>
    <row r="191" spans="1:58" hidden="1" outlineLevel="1" x14ac:dyDescent="0.35">
      <c r="A191" s="1071"/>
      <c r="B191" s="106"/>
      <c r="C191" s="103"/>
      <c r="D191" s="1282"/>
      <c r="E191" s="1283"/>
      <c r="F191" s="1284"/>
      <c r="G191" s="3067"/>
      <c r="H191" s="3068"/>
      <c r="I191" s="3069"/>
      <c r="J191" s="3070"/>
      <c r="K191" s="1285"/>
      <c r="L191" s="1285"/>
      <c r="M191" s="1286"/>
      <c r="N191" s="1287"/>
      <c r="O191" s="106"/>
      <c r="P191" s="106"/>
      <c r="Q191" s="106"/>
      <c r="R191" s="106"/>
      <c r="S191" s="106"/>
      <c r="T191" s="106"/>
      <c r="U191" s="106"/>
      <c r="V191" s="106"/>
      <c r="W191" s="156"/>
      <c r="X191" s="156"/>
      <c r="Y191" s="156"/>
      <c r="Z191" s="156"/>
      <c r="AA191" s="156"/>
      <c r="AB191" s="156"/>
      <c r="AC191" s="156"/>
      <c r="AD191" s="156"/>
      <c r="AE191" s="156"/>
      <c r="AF191" s="156"/>
      <c r="AG191" s="156"/>
      <c r="AH191" s="156"/>
      <c r="AI191" s="156"/>
      <c r="AJ191" s="156"/>
      <c r="AK191" s="156"/>
      <c r="AL191" s="156"/>
      <c r="AM191" s="156"/>
      <c r="AN191" s="156"/>
      <c r="AO191" s="156"/>
      <c r="AP191" s="156"/>
      <c r="AQ191" s="156"/>
      <c r="AR191" s="156"/>
      <c r="AS191" s="156"/>
      <c r="AT191" s="156"/>
      <c r="AU191" s="156"/>
      <c r="AV191" s="156"/>
      <c r="AW191" s="156"/>
      <c r="AX191" s="156"/>
      <c r="AY191" s="156"/>
      <c r="AZ191" s="156"/>
      <c r="BA191" s="156"/>
      <c r="BB191" s="2828"/>
      <c r="BC191" s="504"/>
      <c r="BD191" s="2829"/>
      <c r="BE191" s="2837"/>
      <c r="BF191" s="156"/>
    </row>
    <row r="192" spans="1:58" hidden="1" outlineLevel="1" x14ac:dyDescent="0.35">
      <c r="A192" s="1071"/>
      <c r="B192" s="106"/>
      <c r="C192" s="103"/>
      <c r="D192" s="3066" t="s">
        <v>107</v>
      </c>
      <c r="E192" s="3067"/>
      <c r="F192" s="1284"/>
      <c r="G192" s="3067"/>
      <c r="H192" s="3068"/>
      <c r="I192" s="3069"/>
      <c r="J192" s="3070"/>
      <c r="K192" s="3071"/>
      <c r="L192" s="3071"/>
      <c r="M192" s="3072"/>
      <c r="N192" s="3073"/>
      <c r="O192" s="2812"/>
      <c r="P192" s="2812"/>
      <c r="Q192" s="2812"/>
      <c r="R192" s="2812"/>
      <c r="S192" s="2812"/>
      <c r="T192" s="2812"/>
      <c r="U192" s="2812"/>
      <c r="V192" s="2812"/>
      <c r="W192" s="3074"/>
      <c r="X192" s="3074"/>
      <c r="Y192" s="3074"/>
      <c r="Z192" s="3074"/>
      <c r="AA192" s="3074"/>
      <c r="AB192" s="3074"/>
      <c r="AC192" s="3074"/>
      <c r="AD192" s="3074"/>
      <c r="AE192" s="3074"/>
      <c r="AF192" s="3074"/>
      <c r="AG192" s="3074"/>
      <c r="AH192" s="3074"/>
      <c r="AI192" s="3074"/>
      <c r="AJ192" s="3074"/>
      <c r="AK192" s="3074"/>
      <c r="AL192" s="3074"/>
      <c r="AM192" s="3074"/>
      <c r="AN192" s="3074"/>
      <c r="AO192" s="3074"/>
      <c r="AP192" s="3074"/>
      <c r="AQ192" s="3074"/>
      <c r="AR192" s="3074"/>
      <c r="AS192" s="3074"/>
      <c r="AT192" s="3074"/>
      <c r="AU192" s="3074"/>
      <c r="AV192" s="3074"/>
      <c r="AW192" s="3074"/>
      <c r="AX192" s="3074"/>
      <c r="AY192" s="3074"/>
      <c r="AZ192" s="3074"/>
      <c r="BA192" s="3074"/>
      <c r="BB192" s="2849"/>
      <c r="BC192" s="3075"/>
      <c r="BD192" s="2829"/>
      <c r="BE192" s="2837"/>
      <c r="BF192" s="156"/>
    </row>
    <row r="193" spans="1:58" hidden="1" outlineLevel="1" x14ac:dyDescent="0.35">
      <c r="A193" s="1071"/>
      <c r="B193" s="106"/>
      <c r="C193" s="103"/>
      <c r="D193" s="3074"/>
      <c r="E193" s="3067"/>
      <c r="F193" s="1284"/>
      <c r="G193" s="3067"/>
      <c r="H193" s="3068"/>
      <c r="I193" s="3069"/>
      <c r="J193" s="3070"/>
      <c r="K193" s="3071"/>
      <c r="L193" s="3071"/>
      <c r="M193" s="3072"/>
      <c r="N193" s="3073"/>
      <c r="O193" s="2812"/>
      <c r="P193" s="2812"/>
      <c r="Q193" s="2812"/>
      <c r="R193" s="2812"/>
      <c r="S193" s="2812"/>
      <c r="T193" s="2812"/>
      <c r="U193" s="2812"/>
      <c r="V193" s="2812"/>
      <c r="W193" s="3074"/>
      <c r="X193" s="3074"/>
      <c r="Y193" s="3074"/>
      <c r="Z193" s="3074"/>
      <c r="AA193" s="3074"/>
      <c r="AB193" s="3074"/>
      <c r="AC193" s="3074"/>
      <c r="AD193" s="3074"/>
      <c r="AE193" s="3074"/>
      <c r="AF193" s="3074"/>
      <c r="AG193" s="3074"/>
      <c r="AH193" s="3074"/>
      <c r="AI193" s="3074"/>
      <c r="AJ193" s="3074"/>
      <c r="AK193" s="3074"/>
      <c r="AL193" s="3074"/>
      <c r="AM193" s="3074"/>
      <c r="AN193" s="3074"/>
      <c r="AO193" s="3074"/>
      <c r="AP193" s="3074"/>
      <c r="AQ193" s="3074"/>
      <c r="AR193" s="3074"/>
      <c r="AS193" s="3074"/>
      <c r="AT193" s="3074"/>
      <c r="AU193" s="3074"/>
      <c r="AV193" s="3074"/>
      <c r="AW193" s="3074"/>
      <c r="AX193" s="3074"/>
      <c r="AY193" s="3074"/>
      <c r="AZ193" s="3074"/>
      <c r="BA193" s="3074"/>
      <c r="BB193" s="2849"/>
      <c r="BC193" s="3075"/>
      <c r="BD193" s="2829"/>
      <c r="BE193" s="2837"/>
      <c r="BF193" s="156"/>
    </row>
    <row r="194" spans="1:58" hidden="1" outlineLevel="1" x14ac:dyDescent="0.35">
      <c r="A194" s="1071"/>
      <c r="B194" s="106"/>
      <c r="C194" s="103"/>
      <c r="D194" s="3067"/>
      <c r="E194" s="3067"/>
      <c r="F194" s="1284"/>
      <c r="G194" s="3067"/>
      <c r="H194" s="3068"/>
      <c r="I194" s="3069"/>
      <c r="J194" s="3070"/>
      <c r="K194" s="3071"/>
      <c r="L194" s="3071"/>
      <c r="M194" s="3072"/>
      <c r="N194" s="3073"/>
      <c r="O194" s="2812"/>
      <c r="P194" s="2812"/>
      <c r="Q194" s="2812"/>
      <c r="R194" s="2812"/>
      <c r="S194" s="2812"/>
      <c r="T194" s="2812"/>
      <c r="U194" s="2812"/>
      <c r="V194" s="2812"/>
      <c r="W194" s="3074"/>
      <c r="X194" s="3074"/>
      <c r="Y194" s="3074"/>
      <c r="Z194" s="3074"/>
      <c r="AA194" s="3074"/>
      <c r="AB194" s="3074"/>
      <c r="AC194" s="3074"/>
      <c r="AD194" s="3074"/>
      <c r="AE194" s="3074"/>
      <c r="AF194" s="3074"/>
      <c r="AG194" s="3074"/>
      <c r="AH194" s="3074"/>
      <c r="AI194" s="3074"/>
      <c r="AJ194" s="3074"/>
      <c r="AK194" s="3074"/>
      <c r="AL194" s="3074"/>
      <c r="AM194" s="3074"/>
      <c r="AN194" s="3074"/>
      <c r="AO194" s="3074"/>
      <c r="AP194" s="3074"/>
      <c r="AQ194" s="3074"/>
      <c r="AR194" s="3074"/>
      <c r="AS194" s="3074"/>
      <c r="AT194" s="3074"/>
      <c r="AU194" s="3074"/>
      <c r="AV194" s="3074"/>
      <c r="AW194" s="3074"/>
      <c r="AX194" s="3074"/>
      <c r="AY194" s="3074"/>
      <c r="AZ194" s="3074"/>
      <c r="BA194" s="3074"/>
      <c r="BB194" s="2849"/>
      <c r="BC194" s="3075"/>
      <c r="BD194" s="2829"/>
      <c r="BE194" s="2837"/>
      <c r="BF194" s="156"/>
    </row>
    <row r="195" spans="1:58" hidden="1" outlineLevel="1" x14ac:dyDescent="0.35">
      <c r="A195" s="1071"/>
      <c r="B195" s="106"/>
      <c r="C195" s="103"/>
      <c r="D195" s="3067"/>
      <c r="E195" s="3067"/>
      <c r="F195" s="1284"/>
      <c r="G195" s="3067"/>
      <c r="H195" s="3068"/>
      <c r="I195" s="3069"/>
      <c r="J195" s="3070"/>
      <c r="K195" s="3071"/>
      <c r="L195" s="3071"/>
      <c r="M195" s="3072"/>
      <c r="N195" s="3073"/>
      <c r="O195" s="2812"/>
      <c r="P195" s="2812"/>
      <c r="Q195" s="2812"/>
      <c r="R195" s="2812"/>
      <c r="S195" s="2812"/>
      <c r="T195" s="2812"/>
      <c r="U195" s="2812"/>
      <c r="V195" s="2812"/>
      <c r="W195" s="3074"/>
      <c r="X195" s="3074"/>
      <c r="Y195" s="3074"/>
      <c r="Z195" s="3074"/>
      <c r="AA195" s="3074"/>
      <c r="AB195" s="3074"/>
      <c r="AC195" s="3074"/>
      <c r="AD195" s="3074"/>
      <c r="AE195" s="3074"/>
      <c r="AF195" s="3074"/>
      <c r="AG195" s="3074"/>
      <c r="AH195" s="3074"/>
      <c r="AI195" s="3074"/>
      <c r="AJ195" s="3074"/>
      <c r="AK195" s="3074"/>
      <c r="AL195" s="3074"/>
      <c r="AM195" s="3074"/>
      <c r="AN195" s="3074"/>
      <c r="AO195" s="3074"/>
      <c r="AP195" s="3074"/>
      <c r="AQ195" s="3074"/>
      <c r="AR195" s="3074"/>
      <c r="AS195" s="3074"/>
      <c r="AT195" s="3074"/>
      <c r="AU195" s="3074"/>
      <c r="AV195" s="3074"/>
      <c r="AW195" s="3074"/>
      <c r="AX195" s="3074"/>
      <c r="AY195" s="3074"/>
      <c r="AZ195" s="3074"/>
      <c r="BA195" s="3074"/>
      <c r="BB195" s="2849"/>
      <c r="BC195" s="3075"/>
      <c r="BD195" s="2829"/>
      <c r="BE195" s="2837"/>
      <c r="BF195" s="156"/>
    </row>
    <row r="196" spans="1:58" hidden="1" outlineLevel="1" x14ac:dyDescent="0.35">
      <c r="A196" s="1071"/>
      <c r="B196" s="106"/>
      <c r="C196" s="103"/>
      <c r="D196" s="156"/>
      <c r="E196" s="3076"/>
      <c r="F196" s="3074"/>
      <c r="G196" s="3076"/>
      <c r="H196" s="2812"/>
      <c r="I196" s="2812"/>
      <c r="J196" s="2812"/>
      <c r="K196" s="2812"/>
      <c r="L196" s="2812"/>
      <c r="M196" s="2812"/>
      <c r="N196" s="3073"/>
      <c r="O196" s="3071"/>
      <c r="P196" s="2812"/>
      <c r="Q196" s="2812"/>
      <c r="R196" s="2812"/>
      <c r="S196" s="2812"/>
      <c r="T196" s="2812"/>
      <c r="U196" s="2812"/>
      <c r="V196" s="2812"/>
      <c r="W196" s="3074"/>
      <c r="X196" s="3074"/>
      <c r="Y196" s="3074"/>
      <c r="Z196" s="3074"/>
      <c r="AA196" s="3074"/>
      <c r="AB196" s="3074"/>
      <c r="AC196" s="3074"/>
      <c r="AD196" s="3074"/>
      <c r="AE196" s="3074"/>
      <c r="AF196" s="3074"/>
      <c r="AG196" s="3074"/>
      <c r="AH196" s="3074"/>
      <c r="AI196" s="3074"/>
      <c r="AJ196" s="3074"/>
      <c r="AK196" s="3074"/>
      <c r="AL196" s="3074"/>
      <c r="AM196" s="3074"/>
      <c r="AN196" s="3074"/>
      <c r="AO196" s="3074"/>
      <c r="AP196" s="3074"/>
      <c r="AQ196" s="3074"/>
      <c r="AR196" s="3074"/>
      <c r="AS196" s="3074"/>
      <c r="AT196" s="3074"/>
      <c r="AU196" s="3074"/>
      <c r="AV196" s="3074"/>
      <c r="AW196" s="3074"/>
      <c r="AX196" s="3074"/>
      <c r="AY196" s="3074"/>
      <c r="AZ196" s="3074"/>
      <c r="BA196" s="3074"/>
      <c r="BB196" s="2849"/>
      <c r="BC196" s="3075"/>
      <c r="BD196" s="2829"/>
      <c r="BE196" s="2837"/>
      <c r="BF196" s="156"/>
    </row>
    <row r="197" spans="1:58" hidden="1" outlineLevel="1" x14ac:dyDescent="0.35">
      <c r="A197" s="1071"/>
      <c r="B197" s="2804"/>
      <c r="C197" s="103"/>
      <c r="D197" s="3076" t="s">
        <v>942</v>
      </c>
      <c r="E197" s="3076"/>
      <c r="F197" s="3076"/>
      <c r="H197" s="3078" t="s">
        <v>4365</v>
      </c>
      <c r="I197" s="2812"/>
      <c r="J197" s="2812"/>
      <c r="K197" s="2812"/>
      <c r="L197" s="2812"/>
      <c r="M197" s="2812"/>
      <c r="N197" s="3073"/>
      <c r="O197" s="3071"/>
      <c r="P197" s="2812"/>
      <c r="Q197" s="2812"/>
      <c r="R197" s="2812"/>
      <c r="S197" s="2812"/>
      <c r="T197" s="2812"/>
      <c r="U197" s="2812"/>
      <c r="V197" s="2812"/>
      <c r="W197" s="3074"/>
      <c r="X197" s="3074"/>
      <c r="Y197" s="3074"/>
      <c r="Z197" s="3074"/>
      <c r="AA197" s="3074"/>
      <c r="AB197" s="3074"/>
      <c r="AC197" s="3074"/>
      <c r="AD197" s="3074"/>
      <c r="AE197" s="3074"/>
      <c r="AF197" s="3074"/>
      <c r="AG197" s="3074"/>
      <c r="AH197" s="3074"/>
      <c r="AI197" s="3074"/>
      <c r="AJ197" s="3074"/>
      <c r="AK197" s="3074"/>
      <c r="AL197" s="3074"/>
      <c r="AM197" s="3074"/>
      <c r="AN197" s="3074"/>
      <c r="AO197" s="3074"/>
      <c r="AP197" s="3074"/>
      <c r="AQ197" s="3074"/>
      <c r="AR197" s="3074"/>
      <c r="AS197" s="3074"/>
      <c r="AT197" s="3074"/>
      <c r="AU197" s="3074"/>
      <c r="AV197" s="3074"/>
      <c r="AW197" s="3074"/>
      <c r="AX197" s="3074"/>
      <c r="AY197" s="3074"/>
      <c r="AZ197" s="3074"/>
      <c r="BA197" s="3074"/>
      <c r="BB197" s="2849"/>
      <c r="BC197" s="3075"/>
      <c r="BD197" s="2829"/>
      <c r="BE197" s="2837"/>
      <c r="BF197" s="156"/>
    </row>
    <row r="198" spans="1:58" hidden="1" outlineLevel="1" x14ac:dyDescent="0.35">
      <c r="A198" s="1071"/>
      <c r="B198" s="106"/>
      <c r="C198" s="103"/>
      <c r="D198" s="3076"/>
      <c r="E198" s="3074"/>
      <c r="F198" s="3074"/>
      <c r="G198" s="3076"/>
      <c r="H198" s="2812"/>
      <c r="I198" s="3077"/>
      <c r="J198" s="3077"/>
      <c r="K198" s="3077"/>
      <c r="L198" s="3077"/>
      <c r="M198" s="3077"/>
      <c r="N198" s="3073"/>
      <c r="O198" s="2812"/>
      <c r="P198" s="2812"/>
      <c r="Q198" s="2812"/>
      <c r="R198" s="2812"/>
      <c r="S198" s="2812"/>
      <c r="T198" s="2812"/>
      <c r="U198" s="2812"/>
      <c r="V198" s="2812"/>
      <c r="W198" s="3074"/>
      <c r="X198" s="3074"/>
      <c r="Y198" s="3074"/>
      <c r="Z198" s="3074"/>
      <c r="AA198" s="3074"/>
      <c r="AB198" s="3074"/>
      <c r="AC198" s="3074"/>
      <c r="AD198" s="3074"/>
      <c r="AE198" s="3074"/>
      <c r="AF198" s="3074"/>
      <c r="AG198" s="3074"/>
      <c r="AH198" s="3074"/>
      <c r="AI198" s="3074"/>
      <c r="AJ198" s="3074"/>
      <c r="AK198" s="3074"/>
      <c r="AL198" s="3074"/>
      <c r="AM198" s="3074"/>
      <c r="AN198" s="3074"/>
      <c r="AO198" s="3074"/>
      <c r="AP198" s="3074"/>
      <c r="AQ198" s="3074"/>
      <c r="AR198" s="3074"/>
      <c r="AS198" s="3074"/>
      <c r="AT198" s="3074"/>
      <c r="AU198" s="3074"/>
      <c r="AV198" s="3074"/>
      <c r="AW198" s="3074"/>
      <c r="AX198" s="3074"/>
      <c r="AY198" s="3074"/>
      <c r="AZ198" s="3074"/>
      <c r="BA198" s="3074"/>
      <c r="BB198" s="2849"/>
      <c r="BC198" s="3075"/>
      <c r="BD198" s="2829"/>
      <c r="BE198" s="2837"/>
      <c r="BF198" s="156"/>
    </row>
    <row r="199" spans="1:58" hidden="1" outlineLevel="1" x14ac:dyDescent="0.35">
      <c r="A199" s="1071"/>
      <c r="B199" s="2804"/>
      <c r="C199" s="103"/>
      <c r="D199" s="3076"/>
      <c r="E199" s="3074"/>
      <c r="F199" s="3074"/>
      <c r="G199" s="3076"/>
      <c r="H199" s="2812"/>
      <c r="I199" s="3077"/>
      <c r="J199" s="3077"/>
      <c r="K199" s="3077"/>
      <c r="L199" s="3077"/>
      <c r="M199" s="3077"/>
      <c r="N199" s="3073"/>
      <c r="O199" s="2812"/>
      <c r="P199" s="2812"/>
      <c r="Q199" s="2812"/>
      <c r="R199" s="2812"/>
      <c r="S199" s="2812"/>
      <c r="T199" s="2812"/>
      <c r="U199" s="2812"/>
      <c r="V199" s="2812"/>
      <c r="W199" s="3074"/>
      <c r="X199" s="3074"/>
      <c r="Y199" s="3074"/>
      <c r="Z199" s="3074"/>
      <c r="AA199" s="3074"/>
      <c r="AB199" s="3074"/>
      <c r="AC199" s="3074"/>
      <c r="AD199" s="3074"/>
      <c r="AE199" s="3074"/>
      <c r="AF199" s="3074"/>
      <c r="AG199" s="3074"/>
      <c r="AH199" s="3074"/>
      <c r="AI199" s="3074"/>
      <c r="AJ199" s="3074"/>
      <c r="AK199" s="3074"/>
      <c r="AL199" s="3074"/>
      <c r="AM199" s="3074"/>
      <c r="AN199" s="3074"/>
      <c r="AO199" s="3074"/>
      <c r="AP199" s="3074"/>
      <c r="AQ199" s="3074"/>
      <c r="AR199" s="3074"/>
      <c r="AS199" s="3074"/>
      <c r="AT199" s="3074"/>
      <c r="AU199" s="3074"/>
      <c r="AV199" s="3074"/>
      <c r="AW199" s="3074"/>
      <c r="AX199" s="3074"/>
      <c r="AY199" s="3074"/>
      <c r="AZ199" s="3074"/>
      <c r="BA199" s="3074"/>
      <c r="BB199" s="2849"/>
      <c r="BC199" s="3075"/>
      <c r="BD199" s="2829"/>
      <c r="BE199" s="2837"/>
      <c r="BF199" s="156"/>
    </row>
    <row r="200" spans="1:58" hidden="1" outlineLevel="1" x14ac:dyDescent="0.35">
      <c r="A200" s="1071"/>
      <c r="B200" s="2804"/>
      <c r="C200" s="103"/>
      <c r="D200" s="3076"/>
      <c r="E200" s="3074"/>
      <c r="F200" s="3074"/>
      <c r="G200" s="3076"/>
      <c r="H200" s="2812"/>
      <c r="I200" s="3077"/>
      <c r="J200" s="3077"/>
      <c r="K200" s="3077"/>
      <c r="L200" s="3077"/>
      <c r="M200" s="3077"/>
      <c r="N200" s="3073"/>
      <c r="O200" s="2812"/>
      <c r="P200" s="2812"/>
      <c r="Q200" s="2812"/>
      <c r="R200" s="2812"/>
      <c r="S200" s="2812"/>
      <c r="T200" s="2812"/>
      <c r="U200" s="2812"/>
      <c r="V200" s="2812"/>
      <c r="W200" s="3074"/>
      <c r="X200" s="3074"/>
      <c r="Y200" s="3074"/>
      <c r="Z200" s="3074"/>
      <c r="AA200" s="3074"/>
      <c r="AB200" s="3074"/>
      <c r="AC200" s="3074"/>
      <c r="AD200" s="3074"/>
      <c r="AE200" s="3074"/>
      <c r="AF200" s="3074"/>
      <c r="AG200" s="3074"/>
      <c r="AH200" s="3074"/>
      <c r="AI200" s="3074"/>
      <c r="AJ200" s="3074"/>
      <c r="AK200" s="3074"/>
      <c r="AL200" s="3074"/>
      <c r="AM200" s="3074"/>
      <c r="AN200" s="3074"/>
      <c r="AO200" s="3074"/>
      <c r="AP200" s="3074"/>
      <c r="AQ200" s="3074"/>
      <c r="AR200" s="3074"/>
      <c r="AS200" s="3074"/>
      <c r="AT200" s="3074"/>
      <c r="AU200" s="3074"/>
      <c r="AV200" s="3074"/>
      <c r="AW200" s="3074"/>
      <c r="AX200" s="3074"/>
      <c r="AY200" s="3074"/>
      <c r="AZ200" s="3074"/>
      <c r="BA200" s="3074"/>
      <c r="BB200" s="2849"/>
      <c r="BC200" s="3075"/>
      <c r="BD200" s="2829"/>
      <c r="BE200" s="2837"/>
      <c r="BF200" s="156"/>
    </row>
    <row r="201" spans="1:58" hidden="1" outlineLevel="1" x14ac:dyDescent="0.35">
      <c r="A201" s="1071"/>
      <c r="B201" s="2804"/>
      <c r="C201" s="103"/>
      <c r="D201" s="156"/>
      <c r="E201" s="3074"/>
      <c r="F201" s="3074"/>
      <c r="G201" s="3076"/>
      <c r="H201" s="2812"/>
      <c r="I201" s="3077"/>
      <c r="J201" s="3077"/>
      <c r="K201" s="3077"/>
      <c r="L201" s="3077"/>
      <c r="M201" s="3077"/>
      <c r="N201" s="3073"/>
      <c r="O201" s="2812"/>
      <c r="P201" s="2812"/>
      <c r="Q201" s="2812"/>
      <c r="R201" s="2812"/>
      <c r="S201" s="2812"/>
      <c r="T201" s="2812"/>
      <c r="U201" s="2812"/>
      <c r="V201" s="2812"/>
      <c r="W201" s="3074"/>
      <c r="X201" s="3074"/>
      <c r="Y201" s="3074"/>
      <c r="Z201" s="3074"/>
      <c r="AA201" s="3074"/>
      <c r="AB201" s="3074"/>
      <c r="AC201" s="3074"/>
      <c r="AD201" s="3074"/>
      <c r="AE201" s="3074"/>
      <c r="AF201" s="3074"/>
      <c r="AG201" s="3074"/>
      <c r="AH201" s="3074"/>
      <c r="AI201" s="3074"/>
      <c r="AJ201" s="3074"/>
      <c r="AK201" s="3074"/>
      <c r="AL201" s="3074"/>
      <c r="AM201" s="3074"/>
      <c r="AN201" s="3074"/>
      <c r="AO201" s="3074"/>
      <c r="AP201" s="3074"/>
      <c r="AQ201" s="3074"/>
      <c r="AR201" s="3074"/>
      <c r="AS201" s="3074"/>
      <c r="AT201" s="3074"/>
      <c r="AU201" s="3074"/>
      <c r="AV201" s="3074"/>
      <c r="AW201" s="3074"/>
      <c r="AX201" s="3074"/>
      <c r="AY201" s="3074"/>
      <c r="AZ201" s="3074"/>
      <c r="BA201" s="3074"/>
      <c r="BB201" s="2849"/>
      <c r="BC201" s="3075"/>
      <c r="BD201" s="2829"/>
      <c r="BE201" s="2837"/>
      <c r="BF201" s="156"/>
    </row>
    <row r="202" spans="1:58" hidden="1" outlineLevel="1" x14ac:dyDescent="0.35">
      <c r="A202" s="1071"/>
      <c r="B202" s="2804"/>
      <c r="C202" s="103"/>
      <c r="D202" s="3076"/>
      <c r="E202" s="3074"/>
      <c r="F202" s="3074"/>
      <c r="G202" s="3076"/>
      <c r="H202" s="2812"/>
      <c r="I202" s="3077"/>
      <c r="J202" s="3077"/>
      <c r="K202" s="3077"/>
      <c r="L202" s="3077"/>
      <c r="M202" s="3077"/>
      <c r="N202" s="3073"/>
      <c r="O202" s="2812"/>
      <c r="P202" s="2812"/>
      <c r="Q202" s="2812"/>
      <c r="R202" s="2812"/>
      <c r="S202" s="2812"/>
      <c r="T202" s="2812"/>
      <c r="U202" s="2812"/>
      <c r="V202" s="2812"/>
      <c r="W202" s="3074"/>
      <c r="X202" s="3074"/>
      <c r="Y202" s="3074"/>
      <c r="Z202" s="3074"/>
      <c r="AA202" s="3074"/>
      <c r="AB202" s="3074"/>
      <c r="AC202" s="3074"/>
      <c r="AD202" s="3074"/>
      <c r="AE202" s="3074"/>
      <c r="AF202" s="3074"/>
      <c r="AG202" s="3074"/>
      <c r="AH202" s="3074"/>
      <c r="AI202" s="3074"/>
      <c r="AJ202" s="3074"/>
      <c r="AK202" s="3074"/>
      <c r="AL202" s="3074"/>
      <c r="AM202" s="3074"/>
      <c r="AN202" s="3074"/>
      <c r="AO202" s="3074"/>
      <c r="AP202" s="3074"/>
      <c r="AQ202" s="3074"/>
      <c r="AR202" s="3074"/>
      <c r="AS202" s="3074"/>
      <c r="AT202" s="3074"/>
      <c r="AU202" s="3074"/>
      <c r="AV202" s="3074"/>
      <c r="AW202" s="3074"/>
      <c r="AX202" s="3074"/>
      <c r="AY202" s="3074"/>
      <c r="AZ202" s="3074"/>
      <c r="BA202" s="3074"/>
      <c r="BB202" s="2849"/>
      <c r="BC202" s="3075"/>
      <c r="BD202" s="2829"/>
      <c r="BE202" s="2837"/>
      <c r="BF202" s="156"/>
    </row>
    <row r="203" spans="1:58" hidden="1" outlineLevel="1" x14ac:dyDescent="0.35">
      <c r="A203" s="1071"/>
      <c r="B203" s="2804"/>
      <c r="C203" s="103"/>
      <c r="D203" s="3076" t="s">
        <v>943</v>
      </c>
      <c r="E203" s="3074"/>
      <c r="F203" s="3074"/>
      <c r="G203" s="3076"/>
      <c r="H203" s="2812"/>
      <c r="I203" s="3077"/>
      <c r="J203" s="3077"/>
      <c r="K203" s="3077"/>
      <c r="L203" s="3077"/>
      <c r="M203" s="3077"/>
      <c r="N203" s="3073"/>
      <c r="O203" s="2812"/>
      <c r="P203" s="2812"/>
      <c r="Q203" s="2812"/>
      <c r="R203" s="2812"/>
      <c r="S203" s="2812"/>
      <c r="T203" s="2812"/>
      <c r="U203" s="2812"/>
      <c r="V203" s="2812"/>
      <c r="W203" s="3074"/>
      <c r="X203" s="3074"/>
      <c r="Y203" s="3074"/>
      <c r="Z203" s="3074"/>
      <c r="AA203" s="3074"/>
      <c r="AB203" s="3074"/>
      <c r="AC203" s="3074"/>
      <c r="AD203" s="3074"/>
      <c r="AE203" s="3074"/>
      <c r="AF203" s="3074"/>
      <c r="AG203" s="3074"/>
      <c r="AH203" s="3074"/>
      <c r="AI203" s="3074"/>
      <c r="AJ203" s="3074"/>
      <c r="AK203" s="3074"/>
      <c r="AL203" s="3074"/>
      <c r="AM203" s="3074"/>
      <c r="AN203" s="3074"/>
      <c r="AO203" s="3074"/>
      <c r="AP203" s="3074"/>
      <c r="AQ203" s="3074"/>
      <c r="AR203" s="3074"/>
      <c r="AS203" s="3074"/>
      <c r="AT203" s="3074"/>
      <c r="AU203" s="3074"/>
      <c r="AV203" s="3074"/>
      <c r="AW203" s="3074"/>
      <c r="AX203" s="3074"/>
      <c r="AY203" s="3074"/>
      <c r="AZ203" s="3074"/>
      <c r="BA203" s="3074"/>
      <c r="BB203" s="2849"/>
      <c r="BC203" s="3075"/>
      <c r="BD203" s="2829"/>
      <c r="BE203" s="2837"/>
      <c r="BF203" s="156"/>
    </row>
    <row r="204" spans="1:58" hidden="1" outlineLevel="1" x14ac:dyDescent="0.35">
      <c r="A204" s="1071"/>
      <c r="B204" s="106"/>
      <c r="C204" s="103"/>
      <c r="D204" s="3076"/>
      <c r="E204" s="3076"/>
      <c r="F204" s="2812"/>
      <c r="G204" s="3076"/>
      <c r="H204" s="3077"/>
      <c r="I204" s="3077"/>
      <c r="J204" s="3077"/>
      <c r="K204" s="3077"/>
      <c r="L204" s="3077"/>
      <c r="M204" s="3077"/>
      <c r="N204" s="3073"/>
      <c r="O204" s="2812"/>
      <c r="P204" s="2812"/>
      <c r="Q204" s="2812"/>
      <c r="R204" s="2812"/>
      <c r="S204" s="2812"/>
      <c r="T204" s="2812"/>
      <c r="U204" s="2812"/>
      <c r="V204" s="2812"/>
      <c r="W204" s="3074"/>
      <c r="X204" s="3074"/>
      <c r="Y204" s="3074"/>
      <c r="Z204" s="3074"/>
      <c r="AA204" s="3074"/>
      <c r="AB204" s="3074"/>
      <c r="AC204" s="3074"/>
      <c r="AD204" s="3074"/>
      <c r="AE204" s="3074"/>
      <c r="AF204" s="3074"/>
      <c r="AG204" s="3074"/>
      <c r="AH204" s="3074"/>
      <c r="AI204" s="3074"/>
      <c r="AJ204" s="3074"/>
      <c r="AK204" s="3074"/>
      <c r="AL204" s="3074"/>
      <c r="AM204" s="3074"/>
      <c r="AN204" s="3074"/>
      <c r="AO204" s="3074"/>
      <c r="AP204" s="3074"/>
      <c r="AQ204" s="3074"/>
      <c r="AR204" s="3074"/>
      <c r="AS204" s="3074"/>
      <c r="AT204" s="3074"/>
      <c r="AU204" s="3074"/>
      <c r="AV204" s="3074"/>
      <c r="AW204" s="3074"/>
      <c r="AX204" s="3074"/>
      <c r="AY204" s="3074"/>
      <c r="AZ204" s="3074"/>
      <c r="BA204" s="3074"/>
      <c r="BB204" s="2849"/>
      <c r="BC204" s="3075"/>
      <c r="BD204" s="2829"/>
      <c r="BE204" s="2837"/>
      <c r="BF204" s="156"/>
    </row>
    <row r="205" spans="1:58" hidden="1" outlineLevel="1" x14ac:dyDescent="0.35">
      <c r="A205" s="1071"/>
      <c r="B205" s="2804"/>
      <c r="C205" s="103"/>
      <c r="D205" s="3076"/>
      <c r="E205" s="3076"/>
      <c r="F205" s="2812"/>
      <c r="G205" s="3076"/>
      <c r="H205" s="3077"/>
      <c r="I205" s="3077"/>
      <c r="J205" s="3077"/>
      <c r="K205" s="3077"/>
      <c r="L205" s="3077"/>
      <c r="M205" s="3077"/>
      <c r="N205" s="3073"/>
      <c r="O205" s="2812"/>
      <c r="P205" s="2812"/>
      <c r="Q205" s="2812"/>
      <c r="R205" s="2812"/>
      <c r="S205" s="2812"/>
      <c r="T205" s="2812"/>
      <c r="U205" s="2812"/>
      <c r="V205" s="2812"/>
      <c r="W205" s="3074"/>
      <c r="X205" s="3074"/>
      <c r="Y205" s="3074"/>
      <c r="Z205" s="3074"/>
      <c r="AA205" s="3074"/>
      <c r="AB205" s="3074"/>
      <c r="AC205" s="3074"/>
      <c r="AD205" s="3074"/>
      <c r="AE205" s="3074"/>
      <c r="AF205" s="3074"/>
      <c r="AG205" s="3074"/>
      <c r="AH205" s="3074"/>
      <c r="AI205" s="3074"/>
      <c r="AJ205" s="3074"/>
      <c r="AK205" s="3074"/>
      <c r="AL205" s="3074"/>
      <c r="AM205" s="3074"/>
      <c r="AN205" s="3074"/>
      <c r="AO205" s="3074"/>
      <c r="AP205" s="3074"/>
      <c r="AQ205" s="3074"/>
      <c r="AR205" s="3074"/>
      <c r="AS205" s="3074"/>
      <c r="AT205" s="3074"/>
      <c r="AU205" s="3074"/>
      <c r="AV205" s="3074"/>
      <c r="AW205" s="3074"/>
      <c r="AX205" s="3074"/>
      <c r="AY205" s="3074"/>
      <c r="AZ205" s="3074"/>
      <c r="BA205" s="3074"/>
      <c r="BB205" s="2849"/>
      <c r="BC205" s="3075"/>
      <c r="BD205" s="2829"/>
      <c r="BE205" s="2837"/>
      <c r="BF205" s="156"/>
    </row>
    <row r="206" spans="1:58" hidden="1" outlineLevel="1" x14ac:dyDescent="0.35">
      <c r="A206" s="1071"/>
      <c r="B206" s="106"/>
      <c r="C206" s="103"/>
      <c r="D206" s="3076"/>
      <c r="E206" s="3076"/>
      <c r="F206" s="2812"/>
      <c r="G206" s="3076"/>
      <c r="H206" s="3077"/>
      <c r="I206" s="3077"/>
      <c r="J206" s="3077"/>
      <c r="K206" s="3077"/>
      <c r="L206" s="3077"/>
      <c r="M206" s="3077"/>
      <c r="N206" s="3073"/>
      <c r="O206" s="2812"/>
      <c r="P206" s="2812"/>
      <c r="Q206" s="2812"/>
      <c r="R206" s="2812"/>
      <c r="S206" s="2812"/>
      <c r="T206" s="2812"/>
      <c r="U206" s="2812"/>
      <c r="V206" s="2812"/>
      <c r="W206" s="3074"/>
      <c r="X206" s="3074"/>
      <c r="Y206" s="3074"/>
      <c r="Z206" s="3074"/>
      <c r="AA206" s="3074"/>
      <c r="AB206" s="3074"/>
      <c r="AC206" s="3074"/>
      <c r="AD206" s="3074"/>
      <c r="AE206" s="3074"/>
      <c r="AF206" s="3074"/>
      <c r="AG206" s="3074"/>
      <c r="AH206" s="3074"/>
      <c r="AI206" s="3074"/>
      <c r="AJ206" s="3074"/>
      <c r="AK206" s="3074"/>
      <c r="AL206" s="3074"/>
      <c r="AM206" s="3074"/>
      <c r="AN206" s="3074"/>
      <c r="AO206" s="3074"/>
      <c r="AP206" s="3074"/>
      <c r="AQ206" s="3074"/>
      <c r="AR206" s="3074"/>
      <c r="AS206" s="3074"/>
      <c r="AT206" s="3074"/>
      <c r="AU206" s="3074"/>
      <c r="AV206" s="3074"/>
      <c r="AW206" s="3074"/>
      <c r="AX206" s="3074"/>
      <c r="AY206" s="3074"/>
      <c r="AZ206" s="3074"/>
      <c r="BA206" s="3074"/>
      <c r="BB206" s="2849"/>
      <c r="BC206" s="3075"/>
      <c r="BD206" s="2829"/>
      <c r="BE206" s="2837"/>
      <c r="BF206" s="156"/>
    </row>
    <row r="207" spans="1:58" hidden="1" outlineLevel="1" x14ac:dyDescent="0.35">
      <c r="A207" s="1071"/>
      <c r="B207" s="106"/>
      <c r="C207" s="103"/>
      <c r="D207" s="292"/>
      <c r="E207" s="292"/>
      <c r="F207" s="106"/>
      <c r="G207" s="3078"/>
      <c r="H207" s="3077"/>
      <c r="I207" s="3077"/>
      <c r="J207" s="156"/>
      <c r="K207" s="103"/>
      <c r="L207" s="103"/>
      <c r="M207" s="103"/>
      <c r="N207" s="1287"/>
      <c r="O207" s="106"/>
      <c r="P207" s="106" t="s">
        <v>944</v>
      </c>
      <c r="Q207" s="106"/>
      <c r="R207" s="106"/>
      <c r="S207" s="106"/>
      <c r="T207" s="106"/>
      <c r="U207" s="106"/>
      <c r="V207" s="106"/>
      <c r="W207" s="156"/>
      <c r="X207" s="156"/>
      <c r="Y207" s="156"/>
      <c r="Z207" s="156"/>
      <c r="AA207" s="156"/>
      <c r="AB207" s="156"/>
      <c r="AC207" s="156"/>
      <c r="AD207" s="156"/>
      <c r="AE207" s="156"/>
      <c r="AF207" s="156"/>
      <c r="AG207" s="156"/>
      <c r="AH207" s="156"/>
      <c r="AI207" s="156"/>
      <c r="AJ207" s="156"/>
      <c r="AK207" s="156"/>
      <c r="AL207" s="156"/>
      <c r="AM207" s="156"/>
      <c r="AN207" s="156"/>
      <c r="AO207" s="156"/>
      <c r="AP207" s="156"/>
      <c r="AQ207" s="156"/>
      <c r="AR207" s="156"/>
      <c r="AS207" s="156"/>
      <c r="AT207" s="156"/>
      <c r="AU207" s="156"/>
      <c r="AV207" s="156"/>
      <c r="AW207" s="156"/>
      <c r="AX207" s="156"/>
      <c r="AY207" s="156"/>
      <c r="AZ207" s="156"/>
      <c r="BA207" s="156"/>
      <c r="BB207" s="2828"/>
      <c r="BC207" s="504"/>
      <c r="BD207" s="2829"/>
      <c r="BE207" s="2837"/>
      <c r="BF207" s="156"/>
    </row>
    <row r="208" spans="1:58" hidden="1" outlineLevel="1" x14ac:dyDescent="0.35">
      <c r="A208" s="1071"/>
      <c r="B208" s="106"/>
      <c r="C208" s="103"/>
      <c r="D208" s="292"/>
      <c r="E208" s="292"/>
      <c r="F208" s="106"/>
      <c r="G208" s="292"/>
      <c r="H208" s="103"/>
      <c r="I208" s="103"/>
      <c r="J208" s="103"/>
      <c r="K208" s="103"/>
      <c r="L208" s="103"/>
      <c r="M208" s="103"/>
      <c r="N208" s="1287"/>
      <c r="O208" s="106"/>
      <c r="P208" s="3825" t="s">
        <v>945</v>
      </c>
      <c r="Q208" s="4054"/>
      <c r="R208" s="4055"/>
      <c r="S208" s="106"/>
      <c r="T208" s="106"/>
      <c r="U208" s="106"/>
      <c r="V208" s="106"/>
      <c r="W208" s="156"/>
      <c r="X208" s="156"/>
      <c r="Y208" s="156"/>
      <c r="Z208" s="156"/>
      <c r="AA208" s="156"/>
      <c r="AB208" s="156"/>
      <c r="AC208" s="156"/>
      <c r="AD208" s="156"/>
      <c r="AE208" s="156"/>
      <c r="AF208" s="156"/>
      <c r="AG208" s="156"/>
      <c r="AH208" s="156"/>
      <c r="AI208" s="156"/>
      <c r="AJ208" s="156"/>
      <c r="AK208" s="156"/>
      <c r="AL208" s="156"/>
      <c r="AM208" s="156"/>
      <c r="AN208" s="156"/>
      <c r="AO208" s="156"/>
      <c r="AP208" s="156"/>
      <c r="AQ208" s="156"/>
      <c r="AR208" s="156"/>
      <c r="AS208" s="156"/>
      <c r="AT208" s="156"/>
      <c r="AU208" s="156"/>
      <c r="AV208" s="156"/>
      <c r="AW208" s="156"/>
      <c r="AX208" s="156"/>
      <c r="AY208" s="156"/>
      <c r="AZ208" s="156"/>
      <c r="BA208" s="156"/>
      <c r="BB208" s="2828"/>
      <c r="BC208" s="504"/>
      <c r="BD208" s="2829"/>
      <c r="BE208" s="2837"/>
      <c r="BF208" s="156"/>
    </row>
    <row r="209" spans="1:58" ht="15" hidden="1" outlineLevel="1" thickBot="1" x14ac:dyDescent="0.4">
      <c r="A209" s="1071"/>
      <c r="B209" s="106"/>
      <c r="C209" s="103"/>
      <c r="D209" s="333" t="s">
        <v>108</v>
      </c>
      <c r="E209" s="333" t="s">
        <v>109</v>
      </c>
      <c r="F209" s="4027" t="s">
        <v>185</v>
      </c>
      <c r="G209" s="4027"/>
      <c r="H209" s="4027"/>
      <c r="I209" s="2379" t="s">
        <v>27</v>
      </c>
      <c r="J209" s="2379" t="s">
        <v>111</v>
      </c>
      <c r="K209" s="2379" t="s">
        <v>946</v>
      </c>
      <c r="L209" s="2379" t="s">
        <v>397</v>
      </c>
      <c r="M209" s="106"/>
      <c r="N209" s="1287"/>
      <c r="O209" s="106"/>
      <c r="P209" s="2362"/>
      <c r="Q209" s="2379" t="s">
        <v>947</v>
      </c>
      <c r="R209" s="2331" t="s">
        <v>948</v>
      </c>
      <c r="S209" s="106"/>
      <c r="T209" s="4063"/>
      <c r="U209" s="106"/>
      <c r="V209" s="480" t="s">
        <v>44</v>
      </c>
      <c r="W209" s="1573">
        <v>43252</v>
      </c>
      <c r="X209" s="1573">
        <f>$X$6</f>
        <v>43465</v>
      </c>
      <c r="Y209" s="1573">
        <f>$Y$6</f>
        <v>43800</v>
      </c>
      <c r="Z209" s="1573">
        <f>$Z$6</f>
        <v>43862</v>
      </c>
      <c r="AA209" s="1573">
        <f>$AA$6</f>
        <v>44013</v>
      </c>
      <c r="AB209" s="1573">
        <f>$AB$6</f>
        <v>44166</v>
      </c>
      <c r="AC209" s="1573">
        <f>$AC$6</f>
        <v>44531</v>
      </c>
      <c r="AD209" s="1573">
        <f>$AD$6</f>
        <v>44774</v>
      </c>
      <c r="AE209" s="1573" t="str">
        <f>$AE$6</f>
        <v>-</v>
      </c>
      <c r="AF209" s="1573" t="str">
        <f>$AF$6</f>
        <v>-</v>
      </c>
      <c r="AG209" s="1573" t="str">
        <f>$AG$6</f>
        <v>-</v>
      </c>
      <c r="AH209" s="156"/>
      <c r="AI209" s="156"/>
      <c r="AJ209" s="156"/>
      <c r="AK209" s="156"/>
      <c r="AL209" s="156"/>
      <c r="AM209" s="156"/>
      <c r="AN209" s="156"/>
      <c r="AO209" s="156"/>
      <c r="AP209" s="156"/>
      <c r="AQ209" s="156"/>
      <c r="AR209" s="156"/>
      <c r="AS209" s="156"/>
      <c r="AT209" s="156"/>
      <c r="AU209" s="156"/>
      <c r="AV209" s="156"/>
      <c r="AW209" s="156"/>
      <c r="AX209" s="156"/>
      <c r="AY209" s="156"/>
      <c r="AZ209" s="156"/>
      <c r="BA209" s="156"/>
      <c r="BB209" s="2828"/>
      <c r="BC209" s="504"/>
      <c r="BD209" s="2829"/>
      <c r="BE209" s="2837"/>
      <c r="BF209" s="156"/>
    </row>
    <row r="210" spans="1:58" ht="14.5" hidden="1" customHeight="1" outlineLevel="1" x14ac:dyDescent="0.35">
      <c r="A210" s="1071"/>
      <c r="B210" s="106"/>
      <c r="C210" s="103"/>
      <c r="D210" s="4064" t="s">
        <v>949</v>
      </c>
      <c r="E210" s="4067" t="s">
        <v>950</v>
      </c>
      <c r="F210" s="3925" t="str">
        <f t="shared" ref="F210:F241" si="46">E119</f>
        <v>CAC-SEER14_ER1_SF</v>
      </c>
      <c r="G210" s="3926"/>
      <c r="H210" s="3927"/>
      <c r="I210" s="2228" t="str">
        <f t="shared" ref="I210:I241" si="47">C119</f>
        <v>350400_2021_12_</v>
      </c>
      <c r="J210" s="2872">
        <v>869</v>
      </c>
      <c r="K210" s="2873"/>
      <c r="L210" s="4151" t="s">
        <v>513</v>
      </c>
      <c r="M210" s="106"/>
      <c r="N210" s="106"/>
      <c r="O210" s="106"/>
      <c r="P210" s="566" t="s">
        <v>951</v>
      </c>
      <c r="Q210" s="387">
        <f t="shared" ref="Q210:Q217" si="48">(($R$223)+R210)-(($Q$223)/((1+$R$225)^($R$226-1)))</f>
        <v>447.05869268540937</v>
      </c>
      <c r="R210" s="568">
        <v>0</v>
      </c>
      <c r="S210" s="1280" t="s">
        <v>952</v>
      </c>
      <c r="T210" s="3684"/>
      <c r="U210" s="106"/>
      <c r="V210" s="4021" t="str">
        <f>D210</f>
        <v>FLHcool</v>
      </c>
      <c r="W210" s="2228">
        <v>869</v>
      </c>
      <c r="X210" s="2228">
        <f>W210</f>
        <v>869</v>
      </c>
      <c r="Y210" s="2228">
        <v>869</v>
      </c>
      <c r="Z210" s="2228">
        <v>869</v>
      </c>
      <c r="AA210" s="2228">
        <v>869</v>
      </c>
      <c r="AB210" s="2872">
        <v>869</v>
      </c>
      <c r="AC210" s="2872">
        <v>869</v>
      </c>
      <c r="AD210" s="2872">
        <v>869</v>
      </c>
      <c r="AE210" s="2228"/>
      <c r="AF210" s="2228"/>
      <c r="AG210" s="2228"/>
      <c r="AH210" s="156"/>
      <c r="AI210" s="156"/>
      <c r="AJ210" s="156"/>
      <c r="AK210" s="156"/>
      <c r="AL210" s="156"/>
      <c r="AM210" s="156"/>
      <c r="AN210" s="156"/>
      <c r="AO210" s="156"/>
      <c r="AP210" s="156"/>
      <c r="AQ210" s="156"/>
      <c r="AR210" s="156"/>
      <c r="AS210" s="156"/>
      <c r="AT210" s="156"/>
      <c r="AU210" s="156"/>
      <c r="AV210" s="156"/>
      <c r="AW210" s="156"/>
      <c r="AX210" s="156"/>
      <c r="AY210" s="156"/>
      <c r="AZ210" s="156"/>
      <c r="BA210" s="156"/>
      <c r="BB210" s="2828"/>
      <c r="BC210" s="504"/>
      <c r="BD210" s="2829"/>
      <c r="BE210" s="2837"/>
      <c r="BF210" s="156"/>
    </row>
    <row r="211" spans="1:58" ht="14.5" hidden="1" customHeight="1" outlineLevel="1" x14ac:dyDescent="0.35">
      <c r="A211" s="1071"/>
      <c r="B211" s="106"/>
      <c r="C211" s="103"/>
      <c r="D211" s="4065"/>
      <c r="E211" s="4068"/>
      <c r="F211" s="3931" t="str">
        <f t="shared" si="46"/>
        <v>CAC-SEER14_ER2_SF</v>
      </c>
      <c r="G211" s="3932"/>
      <c r="H211" s="3933"/>
      <c r="I211" s="2224" t="str">
        <f t="shared" si="47"/>
        <v>350400_2021_12_</v>
      </c>
      <c r="J211" s="2874">
        <v>869</v>
      </c>
      <c r="K211" s="2875"/>
      <c r="L211" s="4152"/>
      <c r="M211" s="106"/>
      <c r="N211" s="106"/>
      <c r="O211" s="106"/>
      <c r="P211" s="566" t="s">
        <v>953</v>
      </c>
      <c r="Q211" s="387">
        <f t="shared" si="48"/>
        <v>555.05869268540937</v>
      </c>
      <c r="R211" s="568">
        <v>108</v>
      </c>
      <c r="S211" s="1280" t="s">
        <v>952</v>
      </c>
      <c r="T211" s="3684"/>
      <c r="U211" s="106"/>
      <c r="V211" s="4022"/>
      <c r="W211" s="2224">
        <v>869</v>
      </c>
      <c r="X211" s="2224">
        <f>W211</f>
        <v>869</v>
      </c>
      <c r="Y211" s="2224">
        <v>869</v>
      </c>
      <c r="Z211" s="2224">
        <v>869</v>
      </c>
      <c r="AA211" s="2224">
        <v>869</v>
      </c>
      <c r="AB211" s="2874">
        <v>869</v>
      </c>
      <c r="AC211" s="2874">
        <v>869</v>
      </c>
      <c r="AD211" s="2874">
        <v>869</v>
      </c>
      <c r="AE211" s="2224"/>
      <c r="AF211" s="2224"/>
      <c r="AG211" s="2224"/>
      <c r="AH211" s="156"/>
      <c r="AI211" s="156"/>
      <c r="AJ211" s="156"/>
      <c r="AK211" s="156"/>
      <c r="AL211" s="156"/>
      <c r="AM211" s="156"/>
      <c r="AN211" s="156"/>
      <c r="AO211" s="156"/>
      <c r="AP211" s="156"/>
      <c r="AQ211" s="156"/>
      <c r="AR211" s="156"/>
      <c r="AS211" s="156"/>
      <c r="AT211" s="156"/>
      <c r="AU211" s="156"/>
      <c r="AV211" s="156"/>
      <c r="AW211" s="156"/>
      <c r="AX211" s="156"/>
      <c r="AY211" s="156"/>
      <c r="AZ211" s="156"/>
      <c r="BA211" s="156"/>
      <c r="BB211" s="2828"/>
      <c r="BC211" s="504"/>
      <c r="BD211" s="2829"/>
      <c r="BE211" s="2837"/>
      <c r="BF211" s="156"/>
    </row>
    <row r="212" spans="1:58" ht="14.5" hidden="1" customHeight="1" outlineLevel="1" x14ac:dyDescent="0.35">
      <c r="A212" s="1071"/>
      <c r="B212" s="106"/>
      <c r="C212" s="103"/>
      <c r="D212" s="4065"/>
      <c r="E212" s="4068"/>
      <c r="F212" s="3931" t="str">
        <f t="shared" si="46"/>
        <v>CAC-SEER14_ROF_SF</v>
      </c>
      <c r="G212" s="3932"/>
      <c r="H212" s="3933"/>
      <c r="I212" s="2224" t="str">
        <f t="shared" si="47"/>
        <v>350450_2021_12_</v>
      </c>
      <c r="J212" s="2874">
        <v>869</v>
      </c>
      <c r="K212" s="2875"/>
      <c r="L212" s="4152"/>
      <c r="M212" s="106"/>
      <c r="N212" s="106"/>
      <c r="O212" s="106"/>
      <c r="P212" s="566" t="s">
        <v>954</v>
      </c>
      <c r="Q212" s="387">
        <f t="shared" si="48"/>
        <v>668.05869268540937</v>
      </c>
      <c r="R212" s="568">
        <v>221</v>
      </c>
      <c r="S212" s="1280" t="s">
        <v>952</v>
      </c>
      <c r="T212" s="3684"/>
      <c r="U212" s="106"/>
      <c r="V212" s="4022"/>
      <c r="W212" s="2224">
        <v>869</v>
      </c>
      <c r="X212" s="2224">
        <f>W212</f>
        <v>869</v>
      </c>
      <c r="Y212" s="2224">
        <v>869</v>
      </c>
      <c r="Z212" s="2224">
        <v>869</v>
      </c>
      <c r="AA212" s="2224">
        <v>869</v>
      </c>
      <c r="AB212" s="2874">
        <v>869</v>
      </c>
      <c r="AC212" s="2874">
        <v>869</v>
      </c>
      <c r="AD212" s="2874">
        <v>869</v>
      </c>
      <c r="AE212" s="2224"/>
      <c r="AF212" s="2224"/>
      <c r="AG212" s="2224"/>
      <c r="AH212" s="156"/>
      <c r="AI212" s="156"/>
      <c r="AJ212" s="156"/>
      <c r="AK212" s="156"/>
      <c r="AL212" s="156"/>
      <c r="AM212" s="156"/>
      <c r="AN212" s="156"/>
      <c r="AO212" s="156"/>
      <c r="AP212" s="156"/>
      <c r="AQ212" s="156"/>
      <c r="AR212" s="156"/>
      <c r="AS212" s="156"/>
      <c r="AT212" s="156"/>
      <c r="AU212" s="156"/>
      <c r="AV212" s="156"/>
      <c r="AW212" s="156"/>
      <c r="AX212" s="156"/>
      <c r="AY212" s="156"/>
      <c r="AZ212" s="156"/>
      <c r="BA212" s="156"/>
      <c r="BB212" s="2828"/>
      <c r="BC212" s="504"/>
      <c r="BD212" s="2829"/>
      <c r="BE212" s="2837"/>
      <c r="BF212" s="156"/>
    </row>
    <row r="213" spans="1:58" ht="14.5" hidden="1" customHeight="1" outlineLevel="1" x14ac:dyDescent="0.35">
      <c r="A213" s="1071"/>
      <c r="B213" s="106"/>
      <c r="C213" s="103"/>
      <c r="D213" s="4065"/>
      <c r="E213" s="4068"/>
      <c r="F213" s="3931" t="str">
        <f t="shared" si="46"/>
        <v>CAC-SEER14_ER1_MF</v>
      </c>
      <c r="G213" s="3932"/>
      <c r="H213" s="3933"/>
      <c r="I213" s="2224" t="str">
        <f t="shared" si="47"/>
        <v>350500_2021_12_</v>
      </c>
      <c r="J213" s="2874">
        <v>869</v>
      </c>
      <c r="K213" s="2875"/>
      <c r="L213" s="4152"/>
      <c r="M213" s="106"/>
      <c r="N213" s="106"/>
      <c r="O213" s="106"/>
      <c r="P213" s="566" t="s">
        <v>955</v>
      </c>
      <c r="Q213" s="387">
        <f t="shared" si="48"/>
        <v>1067.0586926854094</v>
      </c>
      <c r="R213" s="387">
        <v>620</v>
      </c>
      <c r="S213" s="1280" t="s">
        <v>952</v>
      </c>
      <c r="T213" s="452"/>
      <c r="U213" s="452"/>
      <c r="V213" s="4022"/>
      <c r="W213" s="2224">
        <v>869</v>
      </c>
      <c r="X213" s="2374">
        <v>1215</v>
      </c>
      <c r="Y213" s="2374">
        <v>869</v>
      </c>
      <c r="Z213" s="2224">
        <v>869</v>
      </c>
      <c r="AA213" s="2224">
        <v>869</v>
      </c>
      <c r="AB213" s="2874">
        <v>869</v>
      </c>
      <c r="AC213" s="2874">
        <v>869</v>
      </c>
      <c r="AD213" s="2874">
        <v>869</v>
      </c>
      <c r="AE213" s="2224"/>
      <c r="AF213" s="2224"/>
      <c r="AG213" s="2224"/>
      <c r="AH213" s="156"/>
      <c r="AI213" s="156"/>
      <c r="AJ213" s="156"/>
      <c r="AK213" s="156"/>
      <c r="AL213" s="156"/>
      <c r="AM213" s="156"/>
      <c r="AN213" s="156"/>
      <c r="AO213" s="156"/>
      <c r="AP213" s="156"/>
      <c r="AQ213" s="156"/>
      <c r="AR213" s="156"/>
      <c r="AS213" s="156"/>
      <c r="AT213" s="156"/>
      <c r="AU213" s="156"/>
      <c r="AV213" s="156"/>
      <c r="AW213" s="156"/>
      <c r="AX213" s="156"/>
      <c r="AY213" s="156"/>
      <c r="AZ213" s="156"/>
      <c r="BA213" s="156"/>
      <c r="BB213" s="2828"/>
      <c r="BC213" s="504"/>
      <c r="BD213" s="2829"/>
      <c r="BE213" s="2837"/>
      <c r="BF213" s="156"/>
    </row>
    <row r="214" spans="1:58" ht="14.5" hidden="1" customHeight="1" outlineLevel="1" x14ac:dyDescent="0.35">
      <c r="A214" s="1071"/>
      <c r="B214" s="106"/>
      <c r="C214" s="103"/>
      <c r="D214" s="4065"/>
      <c r="E214" s="4068"/>
      <c r="F214" s="3931" t="str">
        <f t="shared" si="46"/>
        <v>CAC-SEER14_ER2_MF</v>
      </c>
      <c r="G214" s="3932"/>
      <c r="H214" s="3933"/>
      <c r="I214" s="2224" t="str">
        <f t="shared" si="47"/>
        <v>350500_2021_12_</v>
      </c>
      <c r="J214" s="2874">
        <v>869</v>
      </c>
      <c r="K214" s="2875"/>
      <c r="L214" s="4152"/>
      <c r="M214" s="106"/>
      <c r="N214" s="106"/>
      <c r="O214" s="106"/>
      <c r="P214" s="566" t="s">
        <v>956</v>
      </c>
      <c r="Q214" s="387">
        <f t="shared" si="48"/>
        <v>1273.7253593520763</v>
      </c>
      <c r="R214" s="568">
        <f>R213*S214</f>
        <v>826.66666666666708</v>
      </c>
      <c r="S214" s="1289">
        <v>1.3333333333333339</v>
      </c>
      <c r="T214" s="1290"/>
      <c r="U214" s="452"/>
      <c r="V214" s="4022"/>
      <c r="W214" s="2224">
        <v>869</v>
      </c>
      <c r="X214" s="2374">
        <v>1215</v>
      </c>
      <c r="Y214" s="2374">
        <v>869</v>
      </c>
      <c r="Z214" s="2224">
        <v>869</v>
      </c>
      <c r="AA214" s="2224">
        <v>869</v>
      </c>
      <c r="AB214" s="2874">
        <v>869</v>
      </c>
      <c r="AC214" s="2874">
        <v>869</v>
      </c>
      <c r="AD214" s="2874">
        <v>869</v>
      </c>
      <c r="AE214" s="2224"/>
      <c r="AF214" s="2224"/>
      <c r="AG214" s="2224"/>
      <c r="AH214" s="156"/>
      <c r="AI214" s="156"/>
      <c r="AJ214" s="156"/>
      <c r="AK214" s="156"/>
      <c r="AL214" s="156"/>
      <c r="AM214" s="156"/>
      <c r="AN214" s="156"/>
      <c r="AO214" s="156"/>
      <c r="AP214" s="156"/>
      <c r="AQ214" s="156"/>
      <c r="AR214" s="156"/>
      <c r="AS214" s="156"/>
      <c r="AT214" s="156"/>
      <c r="AU214" s="156"/>
      <c r="AV214" s="156"/>
      <c r="AW214" s="156"/>
      <c r="AX214" s="156"/>
      <c r="AY214" s="156"/>
      <c r="AZ214" s="156"/>
      <c r="BA214" s="156"/>
      <c r="BB214" s="2828"/>
      <c r="BC214" s="504"/>
      <c r="BD214" s="2829"/>
      <c r="BE214" s="2837"/>
      <c r="BF214" s="156"/>
    </row>
    <row r="215" spans="1:58" ht="14.5" hidden="1" customHeight="1" outlineLevel="1" x14ac:dyDescent="0.35">
      <c r="A215" s="1071"/>
      <c r="B215" s="106"/>
      <c r="C215" s="103"/>
      <c r="D215" s="4065"/>
      <c r="E215" s="4068"/>
      <c r="F215" s="3931" t="str">
        <f t="shared" si="46"/>
        <v>CAC-SEER14_ER1_MF_CompE</v>
      </c>
      <c r="G215" s="3932"/>
      <c r="H215" s="3933"/>
      <c r="I215" s="2224" t="str">
        <f t="shared" si="47"/>
        <v>350501_2021_12_</v>
      </c>
      <c r="J215" s="2874">
        <v>632</v>
      </c>
      <c r="K215" s="2875"/>
      <c r="L215" s="4152"/>
      <c r="M215" s="106"/>
      <c r="N215" s="106"/>
      <c r="O215" s="106"/>
      <c r="P215" s="566" t="s">
        <v>957</v>
      </c>
      <c r="Q215" s="387">
        <f t="shared" si="48"/>
        <v>1480.3920260187424</v>
      </c>
      <c r="R215" s="568">
        <f>R214*S215</f>
        <v>1033.3333333333328</v>
      </c>
      <c r="S215" s="1289">
        <v>1.2499999999999987</v>
      </c>
      <c r="T215" s="1290"/>
      <c r="U215" s="452"/>
      <c r="V215" s="4022"/>
      <c r="W215" s="2224"/>
      <c r="X215" s="2374"/>
      <c r="Y215" s="2374">
        <v>632</v>
      </c>
      <c r="Z215" s="2224">
        <v>632</v>
      </c>
      <c r="AA215" s="2224">
        <v>632</v>
      </c>
      <c r="AB215" s="2874">
        <v>632</v>
      </c>
      <c r="AC215" s="2874">
        <v>632</v>
      </c>
      <c r="AD215" s="2874">
        <v>632</v>
      </c>
      <c r="AE215" s="2224"/>
      <c r="AF215" s="2224"/>
      <c r="AG215" s="2224"/>
      <c r="AH215" s="156"/>
      <c r="AI215" s="156"/>
      <c r="AJ215" s="156"/>
      <c r="AK215" s="156"/>
      <c r="AL215" s="156"/>
      <c r="AM215" s="156"/>
      <c r="AN215" s="156"/>
      <c r="AO215" s="156"/>
      <c r="AP215" s="156"/>
      <c r="AQ215" s="156"/>
      <c r="AR215" s="156"/>
      <c r="AS215" s="156"/>
      <c r="AT215" s="156"/>
      <c r="AU215" s="156"/>
      <c r="AV215" s="156"/>
      <c r="AW215" s="156"/>
      <c r="AX215" s="156"/>
      <c r="AY215" s="156"/>
      <c r="AZ215" s="156"/>
      <c r="BA215" s="156"/>
      <c r="BB215" s="2828"/>
      <c r="BC215" s="504"/>
      <c r="BD215" s="2829"/>
      <c r="BE215" s="2837"/>
      <c r="BF215" s="156"/>
    </row>
    <row r="216" spans="1:58" ht="14.5" hidden="1" customHeight="1" outlineLevel="1" x14ac:dyDescent="0.35">
      <c r="A216" s="1071"/>
      <c r="B216" s="106"/>
      <c r="C216" s="103"/>
      <c r="D216" s="4065"/>
      <c r="E216" s="4068"/>
      <c r="F216" s="3931" t="str">
        <f t="shared" si="46"/>
        <v>CAC-SEER14_ER2_MF_CompE</v>
      </c>
      <c r="G216" s="3932"/>
      <c r="H216" s="3933"/>
      <c r="I216" s="2224" t="str">
        <f t="shared" si="47"/>
        <v>350501_2021_12_</v>
      </c>
      <c r="J216" s="2874">
        <f>$J$215</f>
        <v>632</v>
      </c>
      <c r="K216" s="2875"/>
      <c r="L216" s="4152"/>
      <c r="M216" s="106"/>
      <c r="N216" s="106"/>
      <c r="O216" s="106"/>
      <c r="P216" s="566" t="s">
        <v>958</v>
      </c>
      <c r="Q216" s="387">
        <f t="shared" si="48"/>
        <v>1687.0586926854094</v>
      </c>
      <c r="R216" s="568">
        <f>R215*S216</f>
        <v>1239.9999999999995</v>
      </c>
      <c r="S216" s="1289">
        <v>1.2000000000000002</v>
      </c>
      <c r="T216" s="1290" t="s">
        <v>959</v>
      </c>
      <c r="U216" s="106"/>
      <c r="V216" s="4022"/>
      <c r="W216" s="2224"/>
      <c r="X216" s="2374"/>
      <c r="Y216" s="2374">
        <v>632</v>
      </c>
      <c r="Z216" s="2224">
        <v>632</v>
      </c>
      <c r="AA216" s="2224">
        <v>632</v>
      </c>
      <c r="AB216" s="2874">
        <v>632</v>
      </c>
      <c r="AC216" s="2874">
        <v>632</v>
      </c>
      <c r="AD216" s="2874">
        <f>$J$215</f>
        <v>632</v>
      </c>
      <c r="AE216" s="2224"/>
      <c r="AF216" s="2224"/>
      <c r="AG216" s="2224"/>
      <c r="AH216" s="156"/>
      <c r="AI216" s="156"/>
      <c r="AJ216" s="156"/>
      <c r="AK216" s="156"/>
      <c r="AL216" s="156"/>
      <c r="AM216" s="156"/>
      <c r="AN216" s="156"/>
      <c r="AO216" s="156"/>
      <c r="AP216" s="156"/>
      <c r="AQ216" s="156"/>
      <c r="AR216" s="156"/>
      <c r="AS216" s="156"/>
      <c r="AT216" s="156"/>
      <c r="AU216" s="156"/>
      <c r="AV216" s="156"/>
      <c r="AW216" s="156"/>
      <c r="AX216" s="156"/>
      <c r="AY216" s="156"/>
      <c r="AZ216" s="156"/>
      <c r="BA216" s="156"/>
      <c r="BB216" s="2828"/>
      <c r="BC216" s="504"/>
      <c r="BD216" s="2829"/>
      <c r="BE216" s="2837"/>
      <c r="BF216" s="156"/>
    </row>
    <row r="217" spans="1:58" ht="14.5" hidden="1" customHeight="1" outlineLevel="1" x14ac:dyDescent="0.35">
      <c r="A217" s="1071"/>
      <c r="B217" s="106"/>
      <c r="C217" s="103"/>
      <c r="D217" s="4065"/>
      <c r="E217" s="4068"/>
      <c r="F217" s="3931" t="str">
        <f t="shared" si="46"/>
        <v>CAC-SEER14_ROF_MF</v>
      </c>
      <c r="G217" s="3932"/>
      <c r="H217" s="3933"/>
      <c r="I217" s="2224" t="str">
        <f t="shared" si="47"/>
        <v>350550_2021_12_</v>
      </c>
      <c r="J217" s="2874">
        <v>869</v>
      </c>
      <c r="K217" s="2875"/>
      <c r="L217" s="4152"/>
      <c r="M217" s="106"/>
      <c r="N217" s="106"/>
      <c r="O217" s="106"/>
      <c r="P217" s="566" t="s">
        <v>960</v>
      </c>
      <c r="Q217" s="387">
        <f t="shared" si="48"/>
        <v>1893.7253593520754</v>
      </c>
      <c r="R217" s="568">
        <f>R216*S217</f>
        <v>1446.6666666666663</v>
      </c>
      <c r="S217" s="1289">
        <v>1.1666666666666667</v>
      </c>
      <c r="T217" s="1290"/>
      <c r="U217" s="106"/>
      <c r="V217" s="4022"/>
      <c r="W217" s="2224">
        <v>869</v>
      </c>
      <c r="X217" s="2374">
        <v>1215</v>
      </c>
      <c r="Y217" s="2224">
        <v>869</v>
      </c>
      <c r="Z217" s="2224">
        <v>869</v>
      </c>
      <c r="AA217" s="2224">
        <v>869</v>
      </c>
      <c r="AB217" s="2874">
        <v>869</v>
      </c>
      <c r="AC217" s="2874">
        <v>869</v>
      </c>
      <c r="AD217" s="2874">
        <v>869</v>
      </c>
      <c r="AE217" s="2224"/>
      <c r="AF217" s="2224"/>
      <c r="AG217" s="2224"/>
      <c r="AH217" s="156"/>
      <c r="AI217" s="156"/>
      <c r="AJ217" s="156"/>
      <c r="AK217" s="156"/>
      <c r="AL217" s="156"/>
      <c r="AM217" s="156"/>
      <c r="AN217" s="156"/>
      <c r="AO217" s="156"/>
      <c r="AP217" s="156"/>
      <c r="AQ217" s="156"/>
      <c r="AR217" s="156"/>
      <c r="AS217" s="156"/>
      <c r="AT217" s="156"/>
      <c r="AU217" s="156"/>
      <c r="AV217" s="156"/>
      <c r="AW217" s="156"/>
      <c r="AX217" s="156"/>
      <c r="AY217" s="156"/>
      <c r="AZ217" s="156"/>
      <c r="BA217" s="156"/>
      <c r="BB217" s="2828"/>
      <c r="BC217" s="504"/>
      <c r="BD217" s="2829"/>
      <c r="BE217" s="2837"/>
      <c r="BF217" s="156"/>
    </row>
    <row r="218" spans="1:58" ht="14.5" hidden="1" customHeight="1" outlineLevel="1" x14ac:dyDescent="0.35">
      <c r="A218" s="1071"/>
      <c r="B218" s="106"/>
      <c r="C218" s="103"/>
      <c r="D218" s="4065"/>
      <c r="E218" s="4068"/>
      <c r="F218" s="3931" t="str">
        <f t="shared" si="46"/>
        <v>CAC-SEER14_ROF_MF_CompE</v>
      </c>
      <c r="G218" s="3932"/>
      <c r="H218" s="3933"/>
      <c r="I218" s="2224" t="str">
        <f t="shared" si="47"/>
        <v>350551_2021_12_</v>
      </c>
      <c r="J218" s="2874">
        <f>$J$215</f>
        <v>632</v>
      </c>
      <c r="K218" s="2875"/>
      <c r="L218" s="4152"/>
      <c r="M218" s="106"/>
      <c r="N218" s="106"/>
      <c r="O218" s="106"/>
      <c r="P218" s="566" t="s">
        <v>413</v>
      </c>
      <c r="Q218" s="387">
        <f>AVERAGE(Q210:Q217)</f>
        <v>1134.0170260187426</v>
      </c>
      <c r="R218" s="568">
        <f>AVERAGE(R210:R217)</f>
        <v>686.95833333333326</v>
      </c>
      <c r="S218" s="106"/>
      <c r="T218" s="106"/>
      <c r="U218" s="106"/>
      <c r="V218" s="4022"/>
      <c r="W218" s="2224"/>
      <c r="X218" s="2374"/>
      <c r="Y218" s="2374">
        <v>632</v>
      </c>
      <c r="Z218" s="2224">
        <v>632</v>
      </c>
      <c r="AA218" s="2224">
        <v>632</v>
      </c>
      <c r="AB218" s="2874">
        <v>632</v>
      </c>
      <c r="AC218" s="2874">
        <v>632</v>
      </c>
      <c r="AD218" s="2874">
        <f>$J$215</f>
        <v>632</v>
      </c>
      <c r="AE218" s="2224"/>
      <c r="AF218" s="2224"/>
      <c r="AG218" s="2224"/>
      <c r="AH218" s="156"/>
      <c r="AI218" s="156"/>
      <c r="AJ218" s="156"/>
      <c r="AK218" s="156"/>
      <c r="AL218" s="156"/>
      <c r="AM218" s="156"/>
      <c r="AN218" s="156"/>
      <c r="AO218" s="156"/>
      <c r="AP218" s="156"/>
      <c r="AQ218" s="156"/>
      <c r="AR218" s="156"/>
      <c r="AS218" s="156"/>
      <c r="AT218" s="156"/>
      <c r="AU218" s="156"/>
      <c r="AV218" s="156"/>
      <c r="AW218" s="156"/>
      <c r="AX218" s="156"/>
      <c r="AY218" s="156"/>
      <c r="AZ218" s="156"/>
      <c r="BA218" s="156"/>
      <c r="BB218" s="2828"/>
      <c r="BC218" s="504"/>
      <c r="BD218" s="2829"/>
      <c r="BE218" s="2837"/>
      <c r="BF218" s="156"/>
    </row>
    <row r="219" spans="1:58" hidden="1" outlineLevel="1" x14ac:dyDescent="0.35">
      <c r="A219" s="1071"/>
      <c r="B219" s="106"/>
      <c r="C219" s="103"/>
      <c r="D219" s="4065"/>
      <c r="E219" s="4068"/>
      <c r="F219" s="3931" t="str">
        <f t="shared" si="46"/>
        <v>CAC-SEER15_ER1_SF</v>
      </c>
      <c r="G219" s="3932"/>
      <c r="H219" s="3933"/>
      <c r="I219" s="2224" t="str">
        <f t="shared" si="47"/>
        <v>350600_2021_12_</v>
      </c>
      <c r="J219" s="2874">
        <v>869</v>
      </c>
      <c r="K219" s="2875"/>
      <c r="L219" s="4152"/>
      <c r="M219" s="106"/>
      <c r="N219" s="1287"/>
      <c r="O219" s="106"/>
      <c r="P219" s="1323" t="s">
        <v>961</v>
      </c>
      <c r="Q219" s="103"/>
      <c r="R219" s="106"/>
      <c r="S219" s="106"/>
      <c r="T219" s="106"/>
      <c r="U219" s="106"/>
      <c r="V219" s="4022"/>
      <c r="W219" s="2224">
        <v>869</v>
      </c>
      <c r="X219" s="2224">
        <f>W219</f>
        <v>869</v>
      </c>
      <c r="Y219" s="2224">
        <v>869</v>
      </c>
      <c r="Z219" s="2224">
        <v>869</v>
      </c>
      <c r="AA219" s="2224">
        <v>869</v>
      </c>
      <c r="AB219" s="2874">
        <v>869</v>
      </c>
      <c r="AC219" s="2874">
        <v>869</v>
      </c>
      <c r="AD219" s="2874">
        <v>869</v>
      </c>
      <c r="AE219" s="2224"/>
      <c r="AF219" s="2224"/>
      <c r="AG219" s="2224"/>
      <c r="AH219" s="156"/>
      <c r="AI219" s="156"/>
      <c r="AJ219" s="156"/>
      <c r="AK219" s="156"/>
      <c r="AL219" s="156"/>
      <c r="AM219" s="156"/>
      <c r="AN219" s="156"/>
      <c r="AO219" s="156"/>
      <c r="AP219" s="156"/>
      <c r="AQ219" s="156"/>
      <c r="AR219" s="156"/>
      <c r="AS219" s="156"/>
      <c r="AT219" s="156"/>
      <c r="AU219" s="156"/>
      <c r="AV219" s="156"/>
      <c r="AW219" s="156"/>
      <c r="AX219" s="156"/>
      <c r="AY219" s="156"/>
      <c r="AZ219" s="156"/>
      <c r="BA219" s="156"/>
      <c r="BB219" s="2828"/>
      <c r="BC219" s="504"/>
      <c r="BD219" s="2829"/>
      <c r="BE219" s="2837"/>
      <c r="BF219" s="156"/>
    </row>
    <row r="220" spans="1:58" ht="15" hidden="1" customHeight="1" outlineLevel="1" x14ac:dyDescent="0.35">
      <c r="A220" s="1071"/>
      <c r="B220" s="106"/>
      <c r="C220" s="103"/>
      <c r="D220" s="4065"/>
      <c r="E220" s="4068"/>
      <c r="F220" s="3931" t="str">
        <f t="shared" si="46"/>
        <v>CAC-SEER15_ER2_SF</v>
      </c>
      <c r="G220" s="3932"/>
      <c r="H220" s="3933"/>
      <c r="I220" s="2224" t="str">
        <f t="shared" si="47"/>
        <v>350600_2021_12_</v>
      </c>
      <c r="J220" s="2874">
        <v>869</v>
      </c>
      <c r="K220" s="2875"/>
      <c r="L220" s="4152"/>
      <c r="M220" s="106"/>
      <c r="N220" s="1287"/>
      <c r="O220" s="106"/>
      <c r="P220" s="156"/>
      <c r="Q220" s="156"/>
      <c r="R220" s="156"/>
      <c r="S220" s="156"/>
      <c r="T220" s="106"/>
      <c r="U220" s="106"/>
      <c r="V220" s="4022"/>
      <c r="W220" s="2224">
        <v>869</v>
      </c>
      <c r="X220" s="2224">
        <f>W220</f>
        <v>869</v>
      </c>
      <c r="Y220" s="2224">
        <v>869</v>
      </c>
      <c r="Z220" s="2224">
        <v>869</v>
      </c>
      <c r="AA220" s="2224">
        <v>869</v>
      </c>
      <c r="AB220" s="2874">
        <v>869</v>
      </c>
      <c r="AC220" s="2874">
        <v>869</v>
      </c>
      <c r="AD220" s="2874">
        <v>869</v>
      </c>
      <c r="AE220" s="2224"/>
      <c r="AF220" s="2224"/>
      <c r="AG220" s="2224"/>
      <c r="AH220" s="156"/>
      <c r="AI220" s="156"/>
      <c r="AJ220" s="156"/>
      <c r="AK220" s="156"/>
      <c r="AL220" s="156"/>
      <c r="AM220" s="156"/>
      <c r="AN220" s="156"/>
      <c r="AO220" s="156"/>
      <c r="AP220" s="156"/>
      <c r="AQ220" s="156"/>
      <c r="AR220" s="156"/>
      <c r="AS220" s="156"/>
      <c r="AT220" s="156"/>
      <c r="AU220" s="156"/>
      <c r="AV220" s="156"/>
      <c r="AW220" s="156"/>
      <c r="AX220" s="156"/>
      <c r="AY220" s="156"/>
      <c r="AZ220" s="156"/>
      <c r="BA220" s="156"/>
      <c r="BB220" s="2828"/>
      <c r="BC220" s="504"/>
      <c r="BD220" s="2829"/>
      <c r="BE220" s="2837"/>
      <c r="BF220" s="156"/>
    </row>
    <row r="221" spans="1:58" hidden="1" outlineLevel="1" x14ac:dyDescent="0.35">
      <c r="A221" s="1071"/>
      <c r="B221" s="106"/>
      <c r="C221" s="103"/>
      <c r="D221" s="4065"/>
      <c r="E221" s="4068"/>
      <c r="F221" s="3931" t="str">
        <f t="shared" si="46"/>
        <v>CAC-SEER15_ROF_SF</v>
      </c>
      <c r="G221" s="3932"/>
      <c r="H221" s="3933"/>
      <c r="I221" s="2224" t="str">
        <f t="shared" si="47"/>
        <v>350650_2021_12_</v>
      </c>
      <c r="J221" s="2874">
        <v>869</v>
      </c>
      <c r="K221" s="2875"/>
      <c r="L221" s="4152"/>
      <c r="M221" s="106"/>
      <c r="N221" s="1287"/>
      <c r="O221" s="106"/>
      <c r="P221" s="3825" t="s">
        <v>962</v>
      </c>
      <c r="Q221" s="3666"/>
      <c r="R221" s="3667"/>
      <c r="S221" s="106"/>
      <c r="T221" s="106"/>
      <c r="U221" s="106"/>
      <c r="V221" s="4022"/>
      <c r="W221" s="2224">
        <v>869</v>
      </c>
      <c r="X221" s="2224">
        <f>W221</f>
        <v>869</v>
      </c>
      <c r="Y221" s="2224">
        <v>869</v>
      </c>
      <c r="Z221" s="2224">
        <v>869</v>
      </c>
      <c r="AA221" s="2224">
        <v>869</v>
      </c>
      <c r="AB221" s="2874">
        <v>869</v>
      </c>
      <c r="AC221" s="2874">
        <v>869</v>
      </c>
      <c r="AD221" s="2874">
        <v>869</v>
      </c>
      <c r="AE221" s="2224"/>
      <c r="AF221" s="2224"/>
      <c r="AG221" s="2224"/>
      <c r="AH221" s="156"/>
      <c r="AI221" s="156"/>
      <c r="AJ221" s="156"/>
      <c r="AK221" s="156"/>
      <c r="AL221" s="156"/>
      <c r="AM221" s="156"/>
      <c r="AN221" s="156"/>
      <c r="AO221" s="156"/>
      <c r="AP221" s="156"/>
      <c r="AQ221" s="156"/>
      <c r="AR221" s="156"/>
      <c r="AS221" s="156"/>
      <c r="AT221" s="156"/>
      <c r="AU221" s="156"/>
      <c r="AV221" s="156"/>
      <c r="AW221" s="156"/>
      <c r="AX221" s="156"/>
      <c r="AY221" s="156"/>
      <c r="AZ221" s="156"/>
      <c r="BA221" s="156"/>
      <c r="BB221" s="2828"/>
      <c r="BC221" s="504"/>
      <c r="BD221" s="2829"/>
      <c r="BE221" s="2837"/>
      <c r="BF221" s="156"/>
    </row>
    <row r="222" spans="1:58" hidden="1" outlineLevel="1" x14ac:dyDescent="0.35">
      <c r="A222" s="1071"/>
      <c r="B222" s="106"/>
      <c r="C222" s="103"/>
      <c r="D222" s="4065"/>
      <c r="E222" s="4068"/>
      <c r="F222" s="3931" t="str">
        <f t="shared" si="46"/>
        <v>CAC-SEER15_ER1_MF</v>
      </c>
      <c r="G222" s="3932"/>
      <c r="H222" s="3933"/>
      <c r="I222" s="2224" t="str">
        <f t="shared" si="47"/>
        <v>350700_2021_12_</v>
      </c>
      <c r="J222" s="2874">
        <v>869</v>
      </c>
      <c r="K222" s="2875"/>
      <c r="L222" s="4152"/>
      <c r="M222" s="106"/>
      <c r="N222" s="1287"/>
      <c r="O222" s="106"/>
      <c r="P222" s="570" t="s">
        <v>836</v>
      </c>
      <c r="Q222" s="50" t="s">
        <v>963</v>
      </c>
      <c r="R222" s="2351" t="s">
        <v>964</v>
      </c>
      <c r="S222" s="106"/>
      <c r="T222" s="106"/>
      <c r="U222" s="106"/>
      <c r="V222" s="4022"/>
      <c r="W222" s="2224">
        <v>869</v>
      </c>
      <c r="X222" s="2374">
        <v>1215</v>
      </c>
      <c r="Y222" s="2374">
        <v>869</v>
      </c>
      <c r="Z222" s="2224">
        <v>869</v>
      </c>
      <c r="AA222" s="2224">
        <v>869</v>
      </c>
      <c r="AB222" s="2874">
        <v>869</v>
      </c>
      <c r="AC222" s="2874">
        <v>869</v>
      </c>
      <c r="AD222" s="2874">
        <v>869</v>
      </c>
      <c r="AE222" s="2224"/>
      <c r="AF222" s="2224"/>
      <c r="AG222" s="2224"/>
      <c r="AH222" s="156"/>
      <c r="AI222" s="156"/>
      <c r="AJ222" s="156"/>
      <c r="AK222" s="156"/>
      <c r="AL222" s="156"/>
      <c r="AM222" s="156"/>
      <c r="AN222" s="156"/>
      <c r="AO222" s="156"/>
      <c r="AP222" s="156"/>
      <c r="AQ222" s="156"/>
      <c r="AR222" s="156"/>
      <c r="AS222" s="156"/>
      <c r="AT222" s="156"/>
      <c r="AU222" s="156"/>
      <c r="AV222" s="156"/>
      <c r="AW222" s="156"/>
      <c r="AX222" s="156"/>
      <c r="AY222" s="156"/>
      <c r="AZ222" s="156"/>
      <c r="BA222" s="156"/>
      <c r="BB222" s="2828"/>
      <c r="BC222" s="504"/>
      <c r="BD222" s="2829"/>
      <c r="BE222" s="2837"/>
      <c r="BF222" s="156"/>
    </row>
    <row r="223" spans="1:58" hidden="1" outlineLevel="1" x14ac:dyDescent="0.35">
      <c r="A223" s="1071"/>
      <c r="B223" s="106"/>
      <c r="C223" s="103"/>
      <c r="D223" s="4065"/>
      <c r="E223" s="4068"/>
      <c r="F223" s="3931" t="str">
        <f t="shared" si="46"/>
        <v>CAC-SEER15_ER2_MF</v>
      </c>
      <c r="G223" s="3932"/>
      <c r="H223" s="3933"/>
      <c r="I223" s="2224" t="str">
        <f t="shared" si="47"/>
        <v>350700_2021_12_</v>
      </c>
      <c r="J223" s="2874">
        <v>869</v>
      </c>
      <c r="K223" s="2875"/>
      <c r="L223" s="4152"/>
      <c r="M223" s="106"/>
      <c r="N223" s="1287"/>
      <c r="O223" s="106"/>
      <c r="P223" s="570" t="s">
        <v>965</v>
      </c>
      <c r="Q223" s="571">
        <f>R223*(1+R224)^R226</f>
        <v>3217.446031837248</v>
      </c>
      <c r="R223" s="571">
        <v>2857</v>
      </c>
      <c r="S223" s="106" t="s">
        <v>952</v>
      </c>
      <c r="T223" s="1521"/>
      <c r="U223" s="106"/>
      <c r="V223" s="4022"/>
      <c r="W223" s="2224">
        <v>869</v>
      </c>
      <c r="X223" s="2374">
        <v>1215</v>
      </c>
      <c r="Y223" s="2374">
        <v>869</v>
      </c>
      <c r="Z223" s="2224">
        <v>869</v>
      </c>
      <c r="AA223" s="2224">
        <v>869</v>
      </c>
      <c r="AB223" s="2874">
        <v>869</v>
      </c>
      <c r="AC223" s="2874">
        <v>869</v>
      </c>
      <c r="AD223" s="2874">
        <v>869</v>
      </c>
      <c r="AE223" s="2224"/>
      <c r="AF223" s="2224"/>
      <c r="AG223" s="2224"/>
      <c r="AH223" s="156"/>
      <c r="AI223" s="156"/>
      <c r="AJ223" s="156"/>
      <c r="AK223" s="156"/>
      <c r="AL223" s="156"/>
      <c r="AM223" s="156"/>
      <c r="AN223" s="156"/>
      <c r="AO223" s="156"/>
      <c r="AP223" s="156"/>
      <c r="AQ223" s="156"/>
      <c r="AR223" s="156"/>
      <c r="AS223" s="156"/>
      <c r="AT223" s="156"/>
      <c r="AU223" s="156"/>
      <c r="AV223" s="156"/>
      <c r="AW223" s="156"/>
      <c r="AX223" s="156"/>
      <c r="AY223" s="156"/>
      <c r="AZ223" s="156"/>
      <c r="BA223" s="156"/>
      <c r="BB223" s="2828"/>
      <c r="BC223" s="504"/>
      <c r="BD223" s="2829"/>
      <c r="BE223" s="2837"/>
      <c r="BF223" s="156"/>
    </row>
    <row r="224" spans="1:58" hidden="1" outlineLevel="1" x14ac:dyDescent="0.35">
      <c r="A224" s="1071"/>
      <c r="B224" s="106"/>
      <c r="C224" s="103"/>
      <c r="D224" s="4065"/>
      <c r="E224" s="4068"/>
      <c r="F224" s="3931" t="str">
        <f t="shared" si="46"/>
        <v>CAC-SEER15_ER1_MF_CompE</v>
      </c>
      <c r="G224" s="3932"/>
      <c r="H224" s="3933"/>
      <c r="I224" s="2224" t="str">
        <f t="shared" si="47"/>
        <v>350701_2021_12_</v>
      </c>
      <c r="J224" s="2874">
        <f>$J$215</f>
        <v>632</v>
      </c>
      <c r="K224" s="2875"/>
      <c r="L224" s="4152"/>
      <c r="M224" s="106"/>
      <c r="N224" s="1287"/>
      <c r="O224" s="106"/>
      <c r="P224" s="570" t="s">
        <v>839</v>
      </c>
      <c r="Q224" s="1291"/>
      <c r="R224" s="572">
        <f>$Q$104</f>
        <v>0.02</v>
      </c>
      <c r="S224" s="106" t="s">
        <v>966</v>
      </c>
      <c r="T224" s="106"/>
      <c r="U224" s="106"/>
      <c r="V224" s="4022"/>
      <c r="W224" s="2224"/>
      <c r="X224" s="2374"/>
      <c r="Y224" s="2374">
        <v>632</v>
      </c>
      <c r="Z224" s="2224">
        <v>632</v>
      </c>
      <c r="AA224" s="2224">
        <v>632</v>
      </c>
      <c r="AB224" s="2874">
        <v>632</v>
      </c>
      <c r="AC224" s="2874">
        <v>632</v>
      </c>
      <c r="AD224" s="2874">
        <f>$J$215</f>
        <v>632</v>
      </c>
      <c r="AE224" s="2224"/>
      <c r="AF224" s="2224"/>
      <c r="AG224" s="2224"/>
      <c r="AH224" s="156"/>
      <c r="AI224" s="156"/>
      <c r="AJ224" s="156"/>
      <c r="AK224" s="156"/>
      <c r="AL224" s="156"/>
      <c r="AM224" s="156"/>
      <c r="AN224" s="156"/>
      <c r="AO224" s="156"/>
      <c r="AP224" s="156"/>
      <c r="AQ224" s="156"/>
      <c r="AR224" s="156"/>
      <c r="AS224" s="156"/>
      <c r="AT224" s="156"/>
      <c r="AU224" s="156"/>
      <c r="AV224" s="156"/>
      <c r="AW224" s="156"/>
      <c r="AX224" s="156"/>
      <c r="AY224" s="156"/>
      <c r="AZ224" s="156"/>
      <c r="BA224" s="156"/>
      <c r="BB224" s="2828"/>
      <c r="BC224" s="504"/>
      <c r="BD224" s="2829"/>
      <c r="BE224" s="2837"/>
      <c r="BF224" s="156"/>
    </row>
    <row r="225" spans="1:58" hidden="1" outlineLevel="1" x14ac:dyDescent="0.35">
      <c r="A225" s="1071"/>
      <c r="B225" s="106"/>
      <c r="C225" s="103"/>
      <c r="D225" s="4065"/>
      <c r="E225" s="4068"/>
      <c r="F225" s="3931" t="str">
        <f t="shared" si="46"/>
        <v>CAC-SEER15_ER2_MF_CompE</v>
      </c>
      <c r="G225" s="3932"/>
      <c r="H225" s="3933"/>
      <c r="I225" s="2224" t="str">
        <f t="shared" si="47"/>
        <v>350701_2021_12_</v>
      </c>
      <c r="J225" s="2874">
        <f>$J$215</f>
        <v>632</v>
      </c>
      <c r="K225" s="2875"/>
      <c r="L225" s="4152"/>
      <c r="M225" s="106"/>
      <c r="N225" s="1287"/>
      <c r="O225" s="106"/>
      <c r="P225" s="573" t="s">
        <v>840</v>
      </c>
      <c r="Q225" s="1291"/>
      <c r="R225" s="572">
        <f>$Q$105</f>
        <v>5.9499999999999997E-2</v>
      </c>
      <c r="S225" s="106" t="s">
        <v>966</v>
      </c>
      <c r="T225" s="106"/>
      <c r="U225" s="106"/>
      <c r="V225" s="4022"/>
      <c r="W225" s="2224"/>
      <c r="X225" s="2374"/>
      <c r="Y225" s="2374">
        <v>632</v>
      </c>
      <c r="Z225" s="2224">
        <v>632</v>
      </c>
      <c r="AA225" s="2224">
        <v>632</v>
      </c>
      <c r="AB225" s="2874">
        <v>632</v>
      </c>
      <c r="AC225" s="2874">
        <v>632</v>
      </c>
      <c r="AD225" s="2874">
        <f>$J$215</f>
        <v>632</v>
      </c>
      <c r="AE225" s="2224"/>
      <c r="AF225" s="2224"/>
      <c r="AG225" s="2224"/>
      <c r="AH225" s="156"/>
      <c r="AI225" s="156"/>
      <c r="AJ225" s="156"/>
      <c r="AK225" s="156"/>
      <c r="AL225" s="156"/>
      <c r="AM225" s="156"/>
      <c r="AN225" s="156"/>
      <c r="AO225" s="156"/>
      <c r="AP225" s="156"/>
      <c r="AQ225" s="156"/>
      <c r="AR225" s="156"/>
      <c r="AS225" s="156"/>
      <c r="AT225" s="156"/>
      <c r="AU225" s="156"/>
      <c r="AV225" s="156"/>
      <c r="AW225" s="156"/>
      <c r="AX225" s="156"/>
      <c r="AY225" s="156"/>
      <c r="AZ225" s="156"/>
      <c r="BA225" s="156"/>
      <c r="BB225" s="2828"/>
      <c r="BC225" s="504"/>
      <c r="BD225" s="2829"/>
      <c r="BE225" s="2837"/>
      <c r="BF225" s="156"/>
    </row>
    <row r="226" spans="1:58" hidden="1" outlineLevel="1" x14ac:dyDescent="0.35">
      <c r="A226" s="1071"/>
      <c r="B226" s="106"/>
      <c r="C226" s="103"/>
      <c r="D226" s="4065"/>
      <c r="E226" s="4068"/>
      <c r="F226" s="3931" t="str">
        <f t="shared" si="46"/>
        <v>CAC-SEER15_ROF_MF</v>
      </c>
      <c r="G226" s="3932"/>
      <c r="H226" s="3933"/>
      <c r="I226" s="2224" t="str">
        <f t="shared" si="47"/>
        <v>350750_2021_12_</v>
      </c>
      <c r="J226" s="2874">
        <v>869</v>
      </c>
      <c r="K226" s="2875"/>
      <c r="L226" s="4152"/>
      <c r="M226" s="106"/>
      <c r="N226" s="1287"/>
      <c r="O226" s="106"/>
      <c r="P226" s="554" t="s">
        <v>841</v>
      </c>
      <c r="Q226" s="1291"/>
      <c r="R226" s="2131">
        <v>6</v>
      </c>
      <c r="S226" s="106" t="s">
        <v>967</v>
      </c>
      <c r="T226" s="106"/>
      <c r="U226" s="106"/>
      <c r="V226" s="4022"/>
      <c r="W226" s="2224">
        <v>869</v>
      </c>
      <c r="X226" s="2374">
        <v>1215</v>
      </c>
      <c r="Y226" s="2374">
        <v>869</v>
      </c>
      <c r="Z226" s="2224">
        <v>869</v>
      </c>
      <c r="AA226" s="2224">
        <v>869</v>
      </c>
      <c r="AB226" s="2874">
        <v>869</v>
      </c>
      <c r="AC226" s="2874">
        <v>869</v>
      </c>
      <c r="AD226" s="2874">
        <v>869</v>
      </c>
      <c r="AE226" s="2224"/>
      <c r="AF226" s="2224"/>
      <c r="AG226" s="2224"/>
      <c r="AH226" s="156"/>
      <c r="AI226" s="156"/>
      <c r="AJ226" s="156"/>
      <c r="AK226" s="156"/>
      <c r="AL226" s="156"/>
      <c r="AM226" s="156"/>
      <c r="AN226" s="156"/>
      <c r="AO226" s="156"/>
      <c r="AP226" s="156"/>
      <c r="AQ226" s="156"/>
      <c r="AR226" s="156"/>
      <c r="AS226" s="156"/>
      <c r="AT226" s="156"/>
      <c r="AU226" s="156"/>
      <c r="AV226" s="156"/>
      <c r="AW226" s="156"/>
      <c r="AX226" s="156"/>
      <c r="AY226" s="156"/>
      <c r="AZ226" s="156"/>
      <c r="BA226" s="156"/>
      <c r="BB226" s="2828"/>
      <c r="BC226" s="504"/>
      <c r="BD226" s="2829"/>
      <c r="BE226" s="2837"/>
      <c r="BF226" s="156"/>
    </row>
    <row r="227" spans="1:58" hidden="1" outlineLevel="1" x14ac:dyDescent="0.35">
      <c r="A227" s="1071"/>
      <c r="B227" s="106"/>
      <c r="C227" s="103"/>
      <c r="D227" s="4065"/>
      <c r="E227" s="4068"/>
      <c r="F227" s="3931" t="str">
        <f t="shared" si="46"/>
        <v>CAC-SEER15_ROF_MF_CompE</v>
      </c>
      <c r="G227" s="3932"/>
      <c r="H227" s="3933"/>
      <c r="I227" s="2224" t="str">
        <f t="shared" si="47"/>
        <v>350751_2021_12_</v>
      </c>
      <c r="J227" s="2874">
        <f>$J$215</f>
        <v>632</v>
      </c>
      <c r="K227" s="2875"/>
      <c r="L227" s="4152"/>
      <c r="M227" s="106"/>
      <c r="N227" s="1287"/>
      <c r="O227" s="1285"/>
      <c r="P227" s="574" t="s">
        <v>968</v>
      </c>
      <c r="Q227" s="106"/>
      <c r="R227" s="106"/>
      <c r="S227" s="106"/>
      <c r="T227" s="106"/>
      <c r="U227" s="106"/>
      <c r="V227" s="4022"/>
      <c r="W227" s="2224"/>
      <c r="X227" s="2374"/>
      <c r="Y227" s="2224">
        <v>632</v>
      </c>
      <c r="Z227" s="2224">
        <v>632</v>
      </c>
      <c r="AA227" s="2224">
        <v>632</v>
      </c>
      <c r="AB227" s="2874">
        <v>632</v>
      </c>
      <c r="AC227" s="2874">
        <v>632</v>
      </c>
      <c r="AD227" s="2874">
        <f>$J$215</f>
        <v>632</v>
      </c>
      <c r="AE227" s="2224"/>
      <c r="AF227" s="2224"/>
      <c r="AG227" s="2224"/>
      <c r="AH227" s="156"/>
      <c r="AI227" s="156"/>
      <c r="AJ227" s="156"/>
      <c r="AK227" s="156"/>
      <c r="AL227" s="156"/>
      <c r="AM227" s="156"/>
      <c r="AN227" s="156"/>
      <c r="AO227" s="156"/>
      <c r="AP227" s="156"/>
      <c r="AQ227" s="156"/>
      <c r="AR227" s="156"/>
      <c r="AS227" s="156"/>
      <c r="AT227" s="156"/>
      <c r="AU227" s="156"/>
      <c r="AV227" s="156"/>
      <c r="AW227" s="156"/>
      <c r="AX227" s="156"/>
      <c r="AY227" s="156"/>
      <c r="AZ227" s="156"/>
      <c r="BA227" s="156"/>
      <c r="BB227" s="2828"/>
      <c r="BC227" s="504"/>
      <c r="BD227" s="2829"/>
      <c r="BE227" s="2837"/>
      <c r="BF227" s="156"/>
    </row>
    <row r="228" spans="1:58" hidden="1" outlineLevel="1" x14ac:dyDescent="0.35">
      <c r="A228" s="1071"/>
      <c r="B228" s="106"/>
      <c r="C228" s="103"/>
      <c r="D228" s="4065"/>
      <c r="E228" s="4068"/>
      <c r="F228" s="3931" t="str">
        <f t="shared" si="46"/>
        <v>CAC-SEER16_ER1_SF</v>
      </c>
      <c r="G228" s="3932"/>
      <c r="H228" s="3933"/>
      <c r="I228" s="2224" t="str">
        <f t="shared" si="47"/>
        <v>350800_2021_12_</v>
      </c>
      <c r="J228" s="2874">
        <v>869</v>
      </c>
      <c r="K228" s="2875"/>
      <c r="L228" s="4152"/>
      <c r="M228" s="106"/>
      <c r="N228" s="1287"/>
      <c r="O228" s="106"/>
      <c r="P228" s="106"/>
      <c r="Q228" s="106"/>
      <c r="R228" s="106"/>
      <c r="S228" s="106"/>
      <c r="T228" s="106"/>
      <c r="U228" s="106"/>
      <c r="V228" s="4022"/>
      <c r="W228" s="2224">
        <v>869</v>
      </c>
      <c r="X228" s="2224">
        <f>W228</f>
        <v>869</v>
      </c>
      <c r="Y228" s="2224">
        <v>869</v>
      </c>
      <c r="Z228" s="2224">
        <v>869</v>
      </c>
      <c r="AA228" s="2224">
        <v>869</v>
      </c>
      <c r="AB228" s="2874">
        <v>869</v>
      </c>
      <c r="AC228" s="2874">
        <v>869</v>
      </c>
      <c r="AD228" s="2874">
        <v>869</v>
      </c>
      <c r="AE228" s="2224"/>
      <c r="AF228" s="2224"/>
      <c r="AG228" s="2224"/>
      <c r="AH228" s="156"/>
      <c r="AI228" s="156"/>
      <c r="AJ228" s="156"/>
      <c r="AK228" s="156"/>
      <c r="AL228" s="156"/>
      <c r="AM228" s="156"/>
      <c r="AN228" s="156"/>
      <c r="AO228" s="156"/>
      <c r="AP228" s="156"/>
      <c r="AQ228" s="156"/>
      <c r="AR228" s="156"/>
      <c r="AS228" s="156"/>
      <c r="AT228" s="156"/>
      <c r="AU228" s="156"/>
      <c r="AV228" s="156"/>
      <c r="AW228" s="156"/>
      <c r="AX228" s="156"/>
      <c r="AY228" s="156"/>
      <c r="AZ228" s="156"/>
      <c r="BA228" s="156"/>
      <c r="BB228" s="2828"/>
      <c r="BC228" s="504"/>
      <c r="BD228" s="2829"/>
      <c r="BE228" s="2837"/>
      <c r="BF228" s="156"/>
    </row>
    <row r="229" spans="1:58" hidden="1" outlineLevel="1" x14ac:dyDescent="0.35">
      <c r="A229" s="1071"/>
      <c r="B229" s="106"/>
      <c r="C229" s="103"/>
      <c r="D229" s="4065"/>
      <c r="E229" s="4068"/>
      <c r="F229" s="3931" t="str">
        <f t="shared" si="46"/>
        <v>CAC-SEER16_ER2_SF</v>
      </c>
      <c r="G229" s="3932"/>
      <c r="H229" s="3933"/>
      <c r="I229" s="2224" t="str">
        <f t="shared" si="47"/>
        <v>350800_2021_12_</v>
      </c>
      <c r="J229" s="2874">
        <v>869</v>
      </c>
      <c r="K229" s="2875"/>
      <c r="L229" s="4152"/>
      <c r="M229" s="106"/>
      <c r="N229" s="1287"/>
      <c r="O229" s="106"/>
      <c r="P229" s="106"/>
      <c r="Q229" s="106"/>
      <c r="R229" s="106"/>
      <c r="S229" s="106"/>
      <c r="T229" s="106"/>
      <c r="U229" s="106"/>
      <c r="V229" s="4022"/>
      <c r="W229" s="2224">
        <v>869</v>
      </c>
      <c r="X229" s="2224">
        <f>W229</f>
        <v>869</v>
      </c>
      <c r="Y229" s="2224">
        <v>869</v>
      </c>
      <c r="Z229" s="2224">
        <v>869</v>
      </c>
      <c r="AA229" s="2224">
        <v>869</v>
      </c>
      <c r="AB229" s="2874">
        <v>869</v>
      </c>
      <c r="AC229" s="2874">
        <v>869</v>
      </c>
      <c r="AD229" s="2874">
        <v>869</v>
      </c>
      <c r="AE229" s="2224"/>
      <c r="AF229" s="2224"/>
      <c r="AG229" s="2224"/>
      <c r="AH229" s="156"/>
      <c r="AI229" s="156"/>
      <c r="AJ229" s="156"/>
      <c r="AK229" s="156"/>
      <c r="AL229" s="156"/>
      <c r="AM229" s="156"/>
      <c r="AN229" s="156"/>
      <c r="AO229" s="156"/>
      <c r="AP229" s="156"/>
      <c r="AQ229" s="156"/>
      <c r="AR229" s="156"/>
      <c r="AS229" s="156"/>
      <c r="AT229" s="156"/>
      <c r="AU229" s="156"/>
      <c r="AV229" s="156"/>
      <c r="AW229" s="156"/>
      <c r="AX229" s="156"/>
      <c r="AY229" s="156"/>
      <c r="AZ229" s="156"/>
      <c r="BA229" s="156"/>
      <c r="BB229" s="2828"/>
      <c r="BC229" s="504"/>
      <c r="BD229" s="2829"/>
      <c r="BE229" s="2837"/>
      <c r="BF229" s="156"/>
    </row>
    <row r="230" spans="1:58" hidden="1" outlineLevel="1" x14ac:dyDescent="0.35">
      <c r="A230" s="1071"/>
      <c r="B230" s="106"/>
      <c r="C230" s="103"/>
      <c r="D230" s="4065"/>
      <c r="E230" s="4068"/>
      <c r="F230" s="3931" t="str">
        <f t="shared" si="46"/>
        <v>CAC-SEER16_ROF_SF</v>
      </c>
      <c r="G230" s="3932"/>
      <c r="H230" s="3933"/>
      <c r="I230" s="2224" t="str">
        <f t="shared" si="47"/>
        <v>350850_2021_12_</v>
      </c>
      <c r="J230" s="2874">
        <v>869</v>
      </c>
      <c r="K230" s="2875"/>
      <c r="L230" s="4152"/>
      <c r="M230" s="106"/>
      <c r="N230" s="1287"/>
      <c r="O230" s="106"/>
      <c r="P230" s="106"/>
      <c r="Q230" s="106"/>
      <c r="R230" s="106"/>
      <c r="S230" s="106"/>
      <c r="T230" s="106"/>
      <c r="U230" s="106"/>
      <c r="V230" s="4022"/>
      <c r="W230" s="2224">
        <v>869</v>
      </c>
      <c r="X230" s="2224">
        <f>W230</f>
        <v>869</v>
      </c>
      <c r="Y230" s="2224">
        <v>869</v>
      </c>
      <c r="Z230" s="2224">
        <v>869</v>
      </c>
      <c r="AA230" s="2224">
        <v>869</v>
      </c>
      <c r="AB230" s="2874">
        <v>869</v>
      </c>
      <c r="AC230" s="2874">
        <v>869</v>
      </c>
      <c r="AD230" s="2874">
        <v>869</v>
      </c>
      <c r="AE230" s="2224"/>
      <c r="AF230" s="2224"/>
      <c r="AG230" s="2224"/>
      <c r="AH230" s="156"/>
      <c r="AI230" s="156"/>
      <c r="AJ230" s="156"/>
      <c r="AK230" s="156"/>
      <c r="AL230" s="156"/>
      <c r="AM230" s="156"/>
      <c r="AN230" s="156"/>
      <c r="AO230" s="156"/>
      <c r="AP230" s="156"/>
      <c r="AQ230" s="156"/>
      <c r="AR230" s="156"/>
      <c r="AS230" s="156"/>
      <c r="AT230" s="156"/>
      <c r="AU230" s="156"/>
      <c r="AV230" s="156"/>
      <c r="AW230" s="156"/>
      <c r="AX230" s="156"/>
      <c r="AY230" s="156"/>
      <c r="AZ230" s="156"/>
      <c r="BA230" s="156"/>
      <c r="BB230" s="2828"/>
      <c r="BC230" s="504"/>
      <c r="BD230" s="2829"/>
      <c r="BE230" s="2837"/>
      <c r="BF230" s="156"/>
    </row>
    <row r="231" spans="1:58" ht="15" hidden="1" customHeight="1" outlineLevel="1" x14ac:dyDescent="0.35">
      <c r="A231" s="1071"/>
      <c r="B231" s="106"/>
      <c r="C231" s="103"/>
      <c r="D231" s="4065"/>
      <c r="E231" s="4068"/>
      <c r="F231" s="3931" t="str">
        <f t="shared" si="46"/>
        <v>CAC-SEER16_ER1_MF</v>
      </c>
      <c r="G231" s="3932"/>
      <c r="H231" s="3933"/>
      <c r="I231" s="2224" t="str">
        <f t="shared" si="47"/>
        <v>350900_2021_12_</v>
      </c>
      <c r="J231" s="2874">
        <v>869</v>
      </c>
      <c r="K231" s="2875"/>
      <c r="L231" s="4152"/>
      <c r="M231" s="106"/>
      <c r="N231" s="1287"/>
      <c r="O231" s="106"/>
      <c r="P231" s="106"/>
      <c r="Q231" s="106"/>
      <c r="R231" s="106"/>
      <c r="S231" s="106"/>
      <c r="T231" s="106"/>
      <c r="U231" s="106"/>
      <c r="V231" s="4022"/>
      <c r="W231" s="2224">
        <v>869</v>
      </c>
      <c r="X231" s="2374">
        <v>1215</v>
      </c>
      <c r="Y231" s="2374">
        <v>869</v>
      </c>
      <c r="Z231" s="2224">
        <v>869</v>
      </c>
      <c r="AA231" s="2224">
        <v>869</v>
      </c>
      <c r="AB231" s="2874">
        <v>869</v>
      </c>
      <c r="AC231" s="2874">
        <v>869</v>
      </c>
      <c r="AD231" s="2874">
        <v>869</v>
      </c>
      <c r="AE231" s="2224"/>
      <c r="AF231" s="2224"/>
      <c r="AG231" s="2224"/>
      <c r="AH231" s="156"/>
      <c r="AI231" s="156"/>
      <c r="AJ231" s="156"/>
      <c r="AK231" s="156"/>
      <c r="AL231" s="156"/>
      <c r="AM231" s="156"/>
      <c r="AN231" s="156"/>
      <c r="AO231" s="156"/>
      <c r="AP231" s="156"/>
      <c r="AQ231" s="156"/>
      <c r="AR231" s="156"/>
      <c r="AS231" s="156"/>
      <c r="AT231" s="156"/>
      <c r="AU231" s="156"/>
      <c r="AV231" s="156"/>
      <c r="AW231" s="156"/>
      <c r="AX231" s="156"/>
      <c r="AY231" s="156"/>
      <c r="AZ231" s="156"/>
      <c r="BA231" s="156"/>
      <c r="BB231" s="2828"/>
      <c r="BC231" s="504"/>
      <c r="BD231" s="2829"/>
      <c r="BE231" s="2837"/>
      <c r="BF231" s="156"/>
    </row>
    <row r="232" spans="1:58" hidden="1" outlineLevel="1" x14ac:dyDescent="0.35">
      <c r="A232" s="1071"/>
      <c r="B232" s="106"/>
      <c r="C232" s="103"/>
      <c r="D232" s="4065"/>
      <c r="E232" s="4068"/>
      <c r="F232" s="3931" t="str">
        <f t="shared" si="46"/>
        <v>CAC-SEER16_ER2_MF</v>
      </c>
      <c r="G232" s="3932"/>
      <c r="H232" s="3933"/>
      <c r="I232" s="2224" t="str">
        <f t="shared" si="47"/>
        <v>350900_2021_12_</v>
      </c>
      <c r="J232" s="2874">
        <v>869</v>
      </c>
      <c r="K232" s="2875"/>
      <c r="L232" s="4152"/>
      <c r="M232" s="106"/>
      <c r="N232" s="1287"/>
      <c r="O232" s="106"/>
      <c r="P232" s="106"/>
      <c r="Q232" s="106"/>
      <c r="R232" s="106"/>
      <c r="S232" s="106"/>
      <c r="T232" s="106"/>
      <c r="U232" s="106"/>
      <c r="V232" s="4022"/>
      <c r="W232" s="2224">
        <v>869</v>
      </c>
      <c r="X232" s="2374">
        <v>1215</v>
      </c>
      <c r="Y232" s="2374">
        <v>869</v>
      </c>
      <c r="Z232" s="2224">
        <v>869</v>
      </c>
      <c r="AA232" s="2224">
        <v>869</v>
      </c>
      <c r="AB232" s="2874">
        <v>869</v>
      </c>
      <c r="AC232" s="2874">
        <v>869</v>
      </c>
      <c r="AD232" s="2874">
        <v>869</v>
      </c>
      <c r="AE232" s="2224"/>
      <c r="AF232" s="2224"/>
      <c r="AG232" s="2224"/>
      <c r="AH232" s="156"/>
      <c r="AI232" s="156"/>
      <c r="AJ232" s="156"/>
      <c r="AK232" s="156"/>
      <c r="AL232" s="156"/>
      <c r="AM232" s="156"/>
      <c r="AN232" s="156"/>
      <c r="AO232" s="156"/>
      <c r="AP232" s="156"/>
      <c r="AQ232" s="156"/>
      <c r="AR232" s="156"/>
      <c r="AS232" s="156"/>
      <c r="AT232" s="156"/>
      <c r="AU232" s="156"/>
      <c r="AV232" s="156"/>
      <c r="AW232" s="156"/>
      <c r="AX232" s="156"/>
      <c r="AY232" s="156"/>
      <c r="AZ232" s="156"/>
      <c r="BA232" s="156"/>
      <c r="BB232" s="2828"/>
      <c r="BC232" s="504"/>
      <c r="BD232" s="2829"/>
      <c r="BE232" s="2837"/>
      <c r="BF232" s="156"/>
    </row>
    <row r="233" spans="1:58" hidden="1" outlineLevel="1" x14ac:dyDescent="0.35">
      <c r="A233" s="1071"/>
      <c r="B233" s="106"/>
      <c r="C233" s="103"/>
      <c r="D233" s="4065"/>
      <c r="E233" s="4068"/>
      <c r="F233" s="3931" t="str">
        <f t="shared" si="46"/>
        <v>CAC-SEER16_ER1_MF_CompE</v>
      </c>
      <c r="G233" s="3932"/>
      <c r="H233" s="3933"/>
      <c r="I233" s="2224" t="str">
        <f t="shared" si="47"/>
        <v>350901_2021_12_</v>
      </c>
      <c r="J233" s="2874">
        <f>$J$215</f>
        <v>632</v>
      </c>
      <c r="K233" s="2875"/>
      <c r="L233" s="4152"/>
      <c r="M233" s="106"/>
      <c r="N233" s="1287"/>
      <c r="O233" s="106"/>
      <c r="P233" s="106"/>
      <c r="Q233" s="106"/>
      <c r="R233" s="106"/>
      <c r="S233" s="106"/>
      <c r="T233" s="106"/>
      <c r="U233" s="106"/>
      <c r="V233" s="4022"/>
      <c r="W233" s="2224"/>
      <c r="X233" s="2374"/>
      <c r="Y233" s="2374">
        <v>632</v>
      </c>
      <c r="Z233" s="2224">
        <v>632</v>
      </c>
      <c r="AA233" s="2224">
        <v>632</v>
      </c>
      <c r="AB233" s="2874">
        <v>632</v>
      </c>
      <c r="AC233" s="2874">
        <v>632</v>
      </c>
      <c r="AD233" s="2874">
        <f>$J$215</f>
        <v>632</v>
      </c>
      <c r="AE233" s="2224"/>
      <c r="AF233" s="2224"/>
      <c r="AG233" s="2224"/>
      <c r="AH233" s="156"/>
      <c r="AI233" s="156"/>
      <c r="AJ233" s="156"/>
      <c r="AK233" s="156"/>
      <c r="AL233" s="156"/>
      <c r="AM233" s="156"/>
      <c r="AN233" s="156"/>
      <c r="AO233" s="156"/>
      <c r="AP233" s="156"/>
      <c r="AQ233" s="156"/>
      <c r="AR233" s="156"/>
      <c r="AS233" s="156"/>
      <c r="AT233" s="156"/>
      <c r="AU233" s="156"/>
      <c r="AV233" s="156"/>
      <c r="AW233" s="156"/>
      <c r="AX233" s="156"/>
      <c r="AY233" s="156"/>
      <c r="AZ233" s="156"/>
      <c r="BA233" s="156"/>
      <c r="BB233" s="2828"/>
      <c r="BC233" s="504"/>
      <c r="BD233" s="2829"/>
      <c r="BE233" s="2837"/>
      <c r="BF233" s="156"/>
    </row>
    <row r="234" spans="1:58" hidden="1" outlineLevel="1" x14ac:dyDescent="0.35">
      <c r="A234" s="1071"/>
      <c r="B234" s="106"/>
      <c r="C234" s="103"/>
      <c r="D234" s="4065"/>
      <c r="E234" s="4068"/>
      <c r="F234" s="3931" t="str">
        <f t="shared" si="46"/>
        <v>CAC-SEER16_ER2_MF_CompE</v>
      </c>
      <c r="G234" s="3932"/>
      <c r="H234" s="3933"/>
      <c r="I234" s="2224" t="str">
        <f t="shared" si="47"/>
        <v>350901_2021_12_</v>
      </c>
      <c r="J234" s="2874">
        <f>$J$215</f>
        <v>632</v>
      </c>
      <c r="K234" s="2875"/>
      <c r="L234" s="4152"/>
      <c r="M234" s="106"/>
      <c r="N234" s="1287"/>
      <c r="O234" s="106"/>
      <c r="P234" s="106"/>
      <c r="Q234" s="106"/>
      <c r="R234" s="106"/>
      <c r="S234" s="106"/>
      <c r="T234" s="106"/>
      <c r="U234" s="106"/>
      <c r="V234" s="4022"/>
      <c r="W234" s="2224"/>
      <c r="X234" s="2374"/>
      <c r="Y234" s="2374">
        <v>632</v>
      </c>
      <c r="Z234" s="2224">
        <v>632</v>
      </c>
      <c r="AA234" s="2224">
        <v>632</v>
      </c>
      <c r="AB234" s="2874">
        <v>632</v>
      </c>
      <c r="AC234" s="2874">
        <v>632</v>
      </c>
      <c r="AD234" s="2874">
        <f>$J$215</f>
        <v>632</v>
      </c>
      <c r="AE234" s="2224"/>
      <c r="AF234" s="2224"/>
      <c r="AG234" s="2224"/>
      <c r="AH234" s="156"/>
      <c r="AI234" s="156"/>
      <c r="AJ234" s="156"/>
      <c r="AK234" s="156"/>
      <c r="AL234" s="156"/>
      <c r="AM234" s="156"/>
      <c r="AN234" s="156"/>
      <c r="AO234" s="156"/>
      <c r="AP234" s="156"/>
      <c r="AQ234" s="156"/>
      <c r="AR234" s="156"/>
      <c r="AS234" s="156"/>
      <c r="AT234" s="156"/>
      <c r="AU234" s="156"/>
      <c r="AV234" s="156"/>
      <c r="AW234" s="156"/>
      <c r="AX234" s="156"/>
      <c r="AY234" s="156"/>
      <c r="AZ234" s="156"/>
      <c r="BA234" s="156"/>
      <c r="BB234" s="2828"/>
      <c r="BC234" s="504"/>
      <c r="BD234" s="2829"/>
      <c r="BE234" s="2837"/>
      <c r="BF234" s="156"/>
    </row>
    <row r="235" spans="1:58" hidden="1" outlineLevel="1" x14ac:dyDescent="0.35">
      <c r="A235" s="1071"/>
      <c r="B235" s="106"/>
      <c r="C235" s="103"/>
      <c r="D235" s="4065"/>
      <c r="E235" s="4068"/>
      <c r="F235" s="3931" t="str">
        <f t="shared" si="46"/>
        <v>CAC-SEER16_ROF_MF</v>
      </c>
      <c r="G235" s="3932"/>
      <c r="H235" s="3933"/>
      <c r="I235" s="2224" t="str">
        <f t="shared" si="47"/>
        <v>350950_2021_12_</v>
      </c>
      <c r="J235" s="2874">
        <v>869</v>
      </c>
      <c r="K235" s="2875"/>
      <c r="L235" s="4152"/>
      <c r="M235" s="106"/>
      <c r="N235" s="1287"/>
      <c r="O235" s="106"/>
      <c r="P235" s="106"/>
      <c r="Q235" s="106"/>
      <c r="R235" s="106"/>
      <c r="S235" s="106"/>
      <c r="T235" s="106"/>
      <c r="U235" s="106"/>
      <c r="V235" s="4022"/>
      <c r="W235" s="2224">
        <v>869</v>
      </c>
      <c r="X235" s="2374">
        <v>1215</v>
      </c>
      <c r="Y235" s="2224">
        <v>869</v>
      </c>
      <c r="Z235" s="2224">
        <v>869</v>
      </c>
      <c r="AA235" s="2224">
        <v>869</v>
      </c>
      <c r="AB235" s="2874">
        <v>869</v>
      </c>
      <c r="AC235" s="2874">
        <v>869</v>
      </c>
      <c r="AD235" s="2874">
        <v>869</v>
      </c>
      <c r="AE235" s="2224"/>
      <c r="AF235" s="2224"/>
      <c r="AG235" s="2224"/>
      <c r="AH235" s="156"/>
      <c r="AI235" s="156"/>
      <c r="AJ235" s="156"/>
      <c r="AK235" s="156"/>
      <c r="AL235" s="156"/>
      <c r="AM235" s="156"/>
      <c r="AN235" s="156"/>
      <c r="AO235" s="156"/>
      <c r="AP235" s="156"/>
      <c r="AQ235" s="156"/>
      <c r="AR235" s="156"/>
      <c r="AS235" s="156"/>
      <c r="AT235" s="156"/>
      <c r="AU235" s="156"/>
      <c r="AV235" s="156"/>
      <c r="AW235" s="156"/>
      <c r="AX235" s="156"/>
      <c r="AY235" s="156"/>
      <c r="AZ235" s="156"/>
      <c r="BA235" s="156"/>
      <c r="BB235" s="2828"/>
      <c r="BC235" s="504"/>
      <c r="BD235" s="2829"/>
      <c r="BE235" s="2837"/>
      <c r="BF235" s="156"/>
    </row>
    <row r="236" spans="1:58" hidden="1" outlineLevel="1" x14ac:dyDescent="0.35">
      <c r="A236" s="1071"/>
      <c r="B236" s="106"/>
      <c r="C236" s="103"/>
      <c r="D236" s="4065"/>
      <c r="E236" s="4068"/>
      <c r="F236" s="3931" t="str">
        <f t="shared" si="46"/>
        <v>CAC-SEER16_ROF_MF_CompE</v>
      </c>
      <c r="G236" s="3932"/>
      <c r="H236" s="3933"/>
      <c r="I236" s="2224" t="str">
        <f t="shared" si="47"/>
        <v>350951_2021_12_</v>
      </c>
      <c r="J236" s="2874">
        <f>$J$215</f>
        <v>632</v>
      </c>
      <c r="K236" s="2875"/>
      <c r="L236" s="4152"/>
      <c r="M236" s="106"/>
      <c r="N236" s="1287"/>
      <c r="O236" s="106"/>
      <c r="P236" s="106"/>
      <c r="Q236" s="106"/>
      <c r="R236" s="106"/>
      <c r="S236" s="106"/>
      <c r="T236" s="106"/>
      <c r="U236" s="106"/>
      <c r="V236" s="4022"/>
      <c r="W236" s="2224"/>
      <c r="X236" s="2374"/>
      <c r="Y236" s="2374">
        <v>632</v>
      </c>
      <c r="Z236" s="2224">
        <v>632</v>
      </c>
      <c r="AA236" s="2224">
        <v>632</v>
      </c>
      <c r="AB236" s="2874">
        <v>632</v>
      </c>
      <c r="AC236" s="2874">
        <v>632</v>
      </c>
      <c r="AD236" s="2874">
        <f>$J$215</f>
        <v>632</v>
      </c>
      <c r="AE236" s="2224"/>
      <c r="AF236" s="2224"/>
      <c r="AG236" s="2224"/>
      <c r="AH236" s="156"/>
      <c r="AI236" s="156"/>
      <c r="AJ236" s="156"/>
      <c r="AK236" s="156"/>
      <c r="AL236" s="156"/>
      <c r="AM236" s="156"/>
      <c r="AN236" s="156"/>
      <c r="AO236" s="156"/>
      <c r="AP236" s="156"/>
      <c r="AQ236" s="156"/>
      <c r="AR236" s="156"/>
      <c r="AS236" s="156"/>
      <c r="AT236" s="156"/>
      <c r="AU236" s="156"/>
      <c r="AV236" s="156"/>
      <c r="AW236" s="156"/>
      <c r="AX236" s="156"/>
      <c r="AY236" s="156"/>
      <c r="AZ236" s="156"/>
      <c r="BA236" s="156"/>
      <c r="BB236" s="2828"/>
      <c r="BC236" s="504"/>
      <c r="BD236" s="2829"/>
      <c r="BE236" s="2837"/>
      <c r="BF236" s="156"/>
    </row>
    <row r="237" spans="1:58" hidden="1" outlineLevel="1" x14ac:dyDescent="0.35">
      <c r="A237" s="1071"/>
      <c r="B237" s="106"/>
      <c r="C237" s="103"/>
      <c r="D237" s="4065"/>
      <c r="E237" s="4068"/>
      <c r="F237" s="3931" t="str">
        <f t="shared" si="46"/>
        <v>CAC-SEER17_ER1_SF</v>
      </c>
      <c r="G237" s="3932"/>
      <c r="H237" s="3933"/>
      <c r="I237" s="2224" t="str">
        <f t="shared" si="47"/>
        <v>351000_2021_12_</v>
      </c>
      <c r="J237" s="2874">
        <v>869</v>
      </c>
      <c r="K237" s="2875"/>
      <c r="L237" s="4152"/>
      <c r="M237" s="106"/>
      <c r="N237" s="1287"/>
      <c r="O237" s="106"/>
      <c r="P237" s="106"/>
      <c r="Q237" s="106"/>
      <c r="R237" s="106"/>
      <c r="S237" s="106"/>
      <c r="T237" s="106"/>
      <c r="U237" s="106"/>
      <c r="V237" s="4022"/>
      <c r="W237" s="2224">
        <v>869</v>
      </c>
      <c r="X237" s="2224">
        <f>W237</f>
        <v>869</v>
      </c>
      <c r="Y237" s="2224">
        <v>869</v>
      </c>
      <c r="Z237" s="2224">
        <v>869</v>
      </c>
      <c r="AA237" s="2224">
        <v>869</v>
      </c>
      <c r="AB237" s="2874">
        <v>869</v>
      </c>
      <c r="AC237" s="2874">
        <v>869</v>
      </c>
      <c r="AD237" s="2874">
        <v>869</v>
      </c>
      <c r="AE237" s="2224"/>
      <c r="AF237" s="2224"/>
      <c r="AG237" s="2224"/>
      <c r="AH237" s="156"/>
      <c r="AI237" s="156"/>
      <c r="AJ237" s="156"/>
      <c r="AK237" s="156"/>
      <c r="AL237" s="156"/>
      <c r="AM237" s="156"/>
      <c r="AN237" s="156"/>
      <c r="AO237" s="156"/>
      <c r="AP237" s="156"/>
      <c r="AQ237" s="156"/>
      <c r="AR237" s="156"/>
      <c r="AS237" s="156"/>
      <c r="AT237" s="156"/>
      <c r="AU237" s="156"/>
      <c r="AV237" s="156"/>
      <c r="AW237" s="156"/>
      <c r="AX237" s="156"/>
      <c r="AY237" s="156"/>
      <c r="AZ237" s="156"/>
      <c r="BA237" s="156"/>
      <c r="BB237" s="2828"/>
      <c r="BC237" s="504"/>
      <c r="BD237" s="2829"/>
      <c r="BE237" s="2837"/>
      <c r="BF237" s="156"/>
    </row>
    <row r="238" spans="1:58" hidden="1" outlineLevel="1" x14ac:dyDescent="0.35">
      <c r="A238" s="1071"/>
      <c r="B238" s="106"/>
      <c r="C238" s="103"/>
      <c r="D238" s="4065"/>
      <c r="E238" s="4068"/>
      <c r="F238" s="3931" t="str">
        <f t="shared" si="46"/>
        <v>CAC-SEER17_ER2_SF</v>
      </c>
      <c r="G238" s="3932"/>
      <c r="H238" s="3933"/>
      <c r="I238" s="2224" t="str">
        <f t="shared" si="47"/>
        <v>351000_2021_12_</v>
      </c>
      <c r="J238" s="2874">
        <v>869</v>
      </c>
      <c r="K238" s="2875"/>
      <c r="L238" s="4152"/>
      <c r="M238" s="106"/>
      <c r="N238" s="1287"/>
      <c r="O238" s="106"/>
      <c r="P238" s="106"/>
      <c r="Q238" s="106"/>
      <c r="R238" s="106"/>
      <c r="S238" s="106"/>
      <c r="T238" s="106"/>
      <c r="U238" s="106"/>
      <c r="V238" s="4022"/>
      <c r="W238" s="2224">
        <v>869</v>
      </c>
      <c r="X238" s="2224">
        <f>W238</f>
        <v>869</v>
      </c>
      <c r="Y238" s="2224">
        <v>869</v>
      </c>
      <c r="Z238" s="2224">
        <v>869</v>
      </c>
      <c r="AA238" s="2224">
        <v>869</v>
      </c>
      <c r="AB238" s="2874">
        <v>869</v>
      </c>
      <c r="AC238" s="2874">
        <v>869</v>
      </c>
      <c r="AD238" s="2874">
        <v>869</v>
      </c>
      <c r="AE238" s="2224"/>
      <c r="AF238" s="2224"/>
      <c r="AG238" s="2224"/>
      <c r="AH238" s="156"/>
      <c r="AI238" s="156"/>
      <c r="AJ238" s="156"/>
      <c r="AK238" s="156"/>
      <c r="AL238" s="156"/>
      <c r="AM238" s="156"/>
      <c r="AN238" s="156"/>
      <c r="AO238" s="156"/>
      <c r="AP238" s="156"/>
      <c r="AQ238" s="156"/>
      <c r="AR238" s="156"/>
      <c r="AS238" s="156"/>
      <c r="AT238" s="156"/>
      <c r="AU238" s="156"/>
      <c r="AV238" s="156"/>
      <c r="AW238" s="156"/>
      <c r="AX238" s="156"/>
      <c r="AY238" s="156"/>
      <c r="AZ238" s="156"/>
      <c r="BA238" s="156"/>
      <c r="BB238" s="2828"/>
      <c r="BC238" s="504"/>
      <c r="BD238" s="2829"/>
      <c r="BE238" s="2837"/>
      <c r="BF238" s="156"/>
    </row>
    <row r="239" spans="1:58" hidden="1" outlineLevel="1" x14ac:dyDescent="0.35">
      <c r="A239" s="1071"/>
      <c r="B239" s="106"/>
      <c r="C239" s="103"/>
      <c r="D239" s="4065"/>
      <c r="E239" s="4068"/>
      <c r="F239" s="3931" t="str">
        <f t="shared" si="46"/>
        <v>CAC-SEER17_ROF_SF</v>
      </c>
      <c r="G239" s="3932"/>
      <c r="H239" s="3933"/>
      <c r="I239" s="2224" t="str">
        <f t="shared" si="47"/>
        <v>351050_2021_12_</v>
      </c>
      <c r="J239" s="2874">
        <v>869</v>
      </c>
      <c r="K239" s="2875"/>
      <c r="L239" s="4152"/>
      <c r="M239" s="106"/>
      <c r="N239" s="1287"/>
      <c r="O239" s="106"/>
      <c r="P239" s="106"/>
      <c r="Q239" s="106"/>
      <c r="R239" s="106"/>
      <c r="S239" s="106"/>
      <c r="T239" s="106"/>
      <c r="U239" s="106"/>
      <c r="V239" s="4022"/>
      <c r="W239" s="2224">
        <v>869</v>
      </c>
      <c r="X239" s="2224">
        <f>W239</f>
        <v>869</v>
      </c>
      <c r="Y239" s="2224">
        <v>869</v>
      </c>
      <c r="Z239" s="2224">
        <v>869</v>
      </c>
      <c r="AA239" s="2224">
        <v>869</v>
      </c>
      <c r="AB239" s="2874">
        <v>869</v>
      </c>
      <c r="AC239" s="2874">
        <v>869</v>
      </c>
      <c r="AD239" s="2874">
        <v>869</v>
      </c>
      <c r="AE239" s="2224"/>
      <c r="AF239" s="2224"/>
      <c r="AG239" s="2224"/>
      <c r="AH239" s="156"/>
      <c r="AI239" s="156"/>
      <c r="AJ239" s="156"/>
      <c r="AK239" s="156"/>
      <c r="AL239" s="156"/>
      <c r="AM239" s="156"/>
      <c r="AN239" s="156"/>
      <c r="AO239" s="156"/>
      <c r="AP239" s="156"/>
      <c r="AQ239" s="156"/>
      <c r="AR239" s="156"/>
      <c r="AS239" s="156"/>
      <c r="AT239" s="156"/>
      <c r="AU239" s="156"/>
      <c r="AV239" s="156"/>
      <c r="AW239" s="156"/>
      <c r="AX239" s="156"/>
      <c r="AY239" s="156"/>
      <c r="AZ239" s="156"/>
      <c r="BA239" s="156"/>
      <c r="BB239" s="2828"/>
      <c r="BC239" s="504"/>
      <c r="BD239" s="2829"/>
      <c r="BE239" s="2837"/>
      <c r="BF239" s="156"/>
    </row>
    <row r="240" spans="1:58" hidden="1" outlineLevel="1" x14ac:dyDescent="0.35">
      <c r="A240" s="1071"/>
      <c r="B240" s="106"/>
      <c r="C240" s="103"/>
      <c r="D240" s="4065"/>
      <c r="E240" s="4068"/>
      <c r="F240" s="3931" t="str">
        <f t="shared" si="46"/>
        <v>CAC-SEER17_ER1_MF</v>
      </c>
      <c r="G240" s="3932"/>
      <c r="H240" s="3933"/>
      <c r="I240" s="2224" t="str">
        <f t="shared" si="47"/>
        <v>351100_2021_12_</v>
      </c>
      <c r="J240" s="2874">
        <v>869</v>
      </c>
      <c r="K240" s="2875"/>
      <c r="L240" s="4152"/>
      <c r="M240" s="106"/>
      <c r="N240" s="1287"/>
      <c r="O240" s="106"/>
      <c r="P240" s="106"/>
      <c r="Q240" s="106"/>
      <c r="R240" s="106"/>
      <c r="S240" s="106"/>
      <c r="T240" s="106"/>
      <c r="U240" s="106"/>
      <c r="V240" s="4022"/>
      <c r="W240" s="2224">
        <v>869</v>
      </c>
      <c r="X240" s="2224">
        <f>W240</f>
        <v>869</v>
      </c>
      <c r="Y240" s="2224">
        <v>869</v>
      </c>
      <c r="Z240" s="2224">
        <v>869</v>
      </c>
      <c r="AA240" s="2224">
        <v>869</v>
      </c>
      <c r="AB240" s="2874">
        <v>869</v>
      </c>
      <c r="AC240" s="2874">
        <v>869</v>
      </c>
      <c r="AD240" s="2874">
        <v>869</v>
      </c>
      <c r="AE240" s="2224"/>
      <c r="AF240" s="2224"/>
      <c r="AG240" s="2224"/>
      <c r="AH240" s="156"/>
      <c r="AI240" s="156"/>
      <c r="AJ240" s="156"/>
      <c r="AK240" s="156"/>
      <c r="AL240" s="156"/>
      <c r="AM240" s="156"/>
      <c r="AN240" s="156"/>
      <c r="AO240" s="156"/>
      <c r="AP240" s="156"/>
      <c r="AQ240" s="156"/>
      <c r="AR240" s="156"/>
      <c r="AS240" s="156"/>
      <c r="AT240" s="156"/>
      <c r="AU240" s="156"/>
      <c r="AV240" s="156"/>
      <c r="AW240" s="156"/>
      <c r="AX240" s="156"/>
      <c r="AY240" s="156"/>
      <c r="AZ240" s="156"/>
      <c r="BA240" s="156"/>
      <c r="BB240" s="2828"/>
      <c r="BC240" s="504"/>
      <c r="BD240" s="2829"/>
      <c r="BE240" s="2837"/>
      <c r="BF240" s="156"/>
    </row>
    <row r="241" spans="1:58" ht="14.5" hidden="1" customHeight="1" outlineLevel="1" x14ac:dyDescent="0.35">
      <c r="A241" s="1071"/>
      <c r="B241" s="106"/>
      <c r="C241" s="103"/>
      <c r="D241" s="4065"/>
      <c r="E241" s="4068"/>
      <c r="F241" s="3931" t="str">
        <f t="shared" si="46"/>
        <v>CAC-SEER17_ER2_MF</v>
      </c>
      <c r="G241" s="3932"/>
      <c r="H241" s="3933"/>
      <c r="I241" s="2224" t="str">
        <f t="shared" si="47"/>
        <v>351100_2021_12_</v>
      </c>
      <c r="J241" s="2874">
        <v>869</v>
      </c>
      <c r="K241" s="2875"/>
      <c r="L241" s="4152"/>
      <c r="M241" s="106"/>
      <c r="N241" s="1287"/>
      <c r="O241" s="106"/>
      <c r="P241" s="106"/>
      <c r="Q241" s="106"/>
      <c r="R241" s="106"/>
      <c r="S241" s="106"/>
      <c r="T241" s="106"/>
      <c r="U241" s="106"/>
      <c r="V241" s="4022"/>
      <c r="W241" s="2224">
        <v>869</v>
      </c>
      <c r="X241" s="2224">
        <f>W241</f>
        <v>869</v>
      </c>
      <c r="Y241" s="2224">
        <v>869</v>
      </c>
      <c r="Z241" s="2224">
        <v>869</v>
      </c>
      <c r="AA241" s="2224">
        <v>869</v>
      </c>
      <c r="AB241" s="2874">
        <v>869</v>
      </c>
      <c r="AC241" s="2874">
        <v>869</v>
      </c>
      <c r="AD241" s="2874">
        <v>869</v>
      </c>
      <c r="AE241" s="2224"/>
      <c r="AF241" s="2224"/>
      <c r="AG241" s="2224"/>
      <c r="AH241" s="156"/>
      <c r="AI241" s="156"/>
      <c r="AJ241" s="156"/>
      <c r="AK241" s="156"/>
      <c r="AL241" s="156"/>
      <c r="AM241" s="156"/>
      <c r="AN241" s="156"/>
      <c r="AO241" s="156"/>
      <c r="AP241" s="156"/>
      <c r="AQ241" s="156"/>
      <c r="AR241" s="156"/>
      <c r="AS241" s="156"/>
      <c r="AT241" s="156"/>
      <c r="AU241" s="156"/>
      <c r="AV241" s="156"/>
      <c r="AW241" s="156"/>
      <c r="AX241" s="156"/>
      <c r="AY241" s="156"/>
      <c r="AZ241" s="156"/>
      <c r="BA241" s="156"/>
      <c r="BB241" s="2828"/>
      <c r="BC241" s="504"/>
      <c r="BD241" s="2829"/>
      <c r="BE241" s="2837"/>
      <c r="BF241" s="156"/>
    </row>
    <row r="242" spans="1:58" ht="14.5" hidden="1" customHeight="1" outlineLevel="1" x14ac:dyDescent="0.35">
      <c r="A242" s="1071"/>
      <c r="B242" s="106"/>
      <c r="C242" s="103"/>
      <c r="D242" s="4065"/>
      <c r="E242" s="4068"/>
      <c r="F242" s="4075" t="str">
        <f t="shared" ref="F242:F273" si="49">E151</f>
        <v>CAC-SEER17_ER1_MF_CompE</v>
      </c>
      <c r="G242" s="4075"/>
      <c r="H242" s="4075"/>
      <c r="I242" s="2224" t="str">
        <f t="shared" ref="I242:I273" si="50">C151</f>
        <v>351101_2021_12_</v>
      </c>
      <c r="J242" s="2874">
        <f>$J$215</f>
        <v>632</v>
      </c>
      <c r="K242" s="2875"/>
      <c r="L242" s="4152"/>
      <c r="M242" s="106"/>
      <c r="N242" s="1287"/>
      <c r="O242" s="106"/>
      <c r="P242" s="106"/>
      <c r="Q242" s="106"/>
      <c r="R242" s="106"/>
      <c r="S242" s="106"/>
      <c r="T242" s="106"/>
      <c r="U242" s="106"/>
      <c r="V242" s="4022"/>
      <c r="W242" s="576"/>
      <c r="X242" s="576"/>
      <c r="Y242" s="575">
        <v>632</v>
      </c>
      <c r="Z242" s="576">
        <v>632</v>
      </c>
      <c r="AA242" s="576">
        <v>632</v>
      </c>
      <c r="AB242" s="2874">
        <v>632</v>
      </c>
      <c r="AC242" s="2874">
        <v>632</v>
      </c>
      <c r="AD242" s="2874">
        <f>$J$215</f>
        <v>632</v>
      </c>
      <c r="AE242" s="576"/>
      <c r="AF242" s="576"/>
      <c r="AG242" s="576"/>
      <c r="AH242" s="156"/>
      <c r="AI242" s="156"/>
      <c r="AJ242" s="156"/>
      <c r="AK242" s="156"/>
      <c r="AL242" s="156"/>
      <c r="AM242" s="156"/>
      <c r="AN242" s="156"/>
      <c r="AO242" s="156"/>
      <c r="AP242" s="156"/>
      <c r="AQ242" s="156"/>
      <c r="AR242" s="156"/>
      <c r="AS242" s="156"/>
      <c r="AT242" s="156"/>
      <c r="AU242" s="156"/>
      <c r="AV242" s="156"/>
      <c r="AW242" s="156"/>
      <c r="AX242" s="156"/>
      <c r="AY242" s="156"/>
      <c r="AZ242" s="156"/>
      <c r="BA242" s="156"/>
      <c r="BB242" s="2828"/>
      <c r="BC242" s="504"/>
      <c r="BD242" s="2829"/>
      <c r="BE242" s="2837"/>
      <c r="BF242" s="156"/>
    </row>
    <row r="243" spans="1:58" ht="14.5" hidden="1" customHeight="1" outlineLevel="1" x14ac:dyDescent="0.35">
      <c r="A243" s="1071"/>
      <c r="B243" s="106"/>
      <c r="C243" s="103"/>
      <c r="D243" s="4065"/>
      <c r="E243" s="4068"/>
      <c r="F243" s="4075" t="str">
        <f t="shared" si="49"/>
        <v>CAC-SEER17_ER2_MF_CompE</v>
      </c>
      <c r="G243" s="4075"/>
      <c r="H243" s="4075"/>
      <c r="I243" s="2224" t="str">
        <f t="shared" si="50"/>
        <v>351101_2021_12_</v>
      </c>
      <c r="J243" s="2874">
        <f>$J$215</f>
        <v>632</v>
      </c>
      <c r="K243" s="2875"/>
      <c r="L243" s="4152"/>
      <c r="M243" s="106"/>
      <c r="N243" s="1287"/>
      <c r="O243" s="106"/>
      <c r="P243" s="106"/>
      <c r="Q243" s="106"/>
      <c r="R243" s="106"/>
      <c r="S243" s="106"/>
      <c r="T243" s="106"/>
      <c r="U243" s="106"/>
      <c r="V243" s="4022"/>
      <c r="W243" s="576"/>
      <c r="X243" s="576"/>
      <c r="Y243" s="575">
        <v>632</v>
      </c>
      <c r="Z243" s="576">
        <v>632</v>
      </c>
      <c r="AA243" s="576">
        <v>632</v>
      </c>
      <c r="AB243" s="2874">
        <v>632</v>
      </c>
      <c r="AC243" s="2874">
        <v>632</v>
      </c>
      <c r="AD243" s="2874">
        <f>$J$215</f>
        <v>632</v>
      </c>
      <c r="AE243" s="576"/>
      <c r="AF243" s="576"/>
      <c r="AG243" s="576"/>
      <c r="AH243" s="156"/>
      <c r="AI243" s="156"/>
      <c r="AJ243" s="156"/>
      <c r="AK243" s="156"/>
      <c r="AL243" s="156"/>
      <c r="AM243" s="156"/>
      <c r="AN243" s="156"/>
      <c r="AO243" s="156"/>
      <c r="AP243" s="156"/>
      <c r="AQ243" s="156"/>
      <c r="AR243" s="156"/>
      <c r="AS243" s="156"/>
      <c r="AT243" s="156"/>
      <c r="AU243" s="156"/>
      <c r="AV243" s="156"/>
      <c r="AW243" s="156"/>
      <c r="AX243" s="156"/>
      <c r="AY243" s="156"/>
      <c r="AZ243" s="156"/>
      <c r="BA243" s="156"/>
      <c r="BB243" s="2828"/>
      <c r="BC243" s="504"/>
      <c r="BD243" s="2829"/>
      <c r="BE243" s="2837"/>
      <c r="BF243" s="156"/>
    </row>
    <row r="244" spans="1:58" ht="15" hidden="1" customHeight="1" outlineLevel="1" x14ac:dyDescent="0.35">
      <c r="A244" s="1071"/>
      <c r="B244" s="106"/>
      <c r="C244" s="103"/>
      <c r="D244" s="4065"/>
      <c r="E244" s="4068"/>
      <c r="F244" s="4075" t="str">
        <f t="shared" si="49"/>
        <v>CAC-SEER17_ROF_MF</v>
      </c>
      <c r="G244" s="4075"/>
      <c r="H244" s="4075"/>
      <c r="I244" s="2224" t="str">
        <f t="shared" si="50"/>
        <v>351150_2021_12_</v>
      </c>
      <c r="J244" s="2874">
        <v>869</v>
      </c>
      <c r="K244" s="2875"/>
      <c r="L244" s="4152"/>
      <c r="M244" s="106"/>
      <c r="N244" s="1287"/>
      <c r="O244" s="106"/>
      <c r="P244" s="106"/>
      <c r="Q244" s="106"/>
      <c r="R244" s="106"/>
      <c r="S244" s="106"/>
      <c r="T244" s="106"/>
      <c r="U244" s="106"/>
      <c r="V244" s="4022"/>
      <c r="W244" s="2224">
        <v>869</v>
      </c>
      <c r="X244" s="2224">
        <f>W244</f>
        <v>869</v>
      </c>
      <c r="Y244" s="2224">
        <v>869</v>
      </c>
      <c r="Z244" s="2224">
        <v>869</v>
      </c>
      <c r="AA244" s="2224">
        <v>869</v>
      </c>
      <c r="AB244" s="2874">
        <v>869</v>
      </c>
      <c r="AC244" s="2874">
        <v>869</v>
      </c>
      <c r="AD244" s="2874">
        <v>869</v>
      </c>
      <c r="AE244" s="2224"/>
      <c r="AF244" s="2224"/>
      <c r="AG244" s="2224"/>
      <c r="AH244" s="156"/>
      <c r="AI244" s="156"/>
      <c r="AJ244" s="156"/>
      <c r="AK244" s="156"/>
      <c r="AL244" s="156"/>
      <c r="AM244" s="156"/>
      <c r="AN244" s="156"/>
      <c r="AO244" s="156"/>
      <c r="AP244" s="156"/>
      <c r="AQ244" s="156"/>
      <c r="AR244" s="156"/>
      <c r="AS244" s="156"/>
      <c r="AT244" s="156"/>
      <c r="AU244" s="156"/>
      <c r="AV244" s="156"/>
      <c r="AW244" s="156"/>
      <c r="AX244" s="156"/>
      <c r="AY244" s="156"/>
      <c r="AZ244" s="156"/>
      <c r="BA244" s="156"/>
      <c r="BB244" s="2828"/>
      <c r="BC244" s="504"/>
      <c r="BD244" s="2829"/>
      <c r="BE244" s="2837"/>
      <c r="BF244" s="156"/>
    </row>
    <row r="245" spans="1:58" ht="15" hidden="1" customHeight="1" outlineLevel="1" x14ac:dyDescent="0.35">
      <c r="A245" s="1071"/>
      <c r="B245" s="106"/>
      <c r="C245" s="103"/>
      <c r="D245" s="4065"/>
      <c r="E245" s="4069"/>
      <c r="F245" s="4075" t="str">
        <f t="shared" si="49"/>
        <v>CAC-SEER17_ROF_MF_CompE</v>
      </c>
      <c r="G245" s="4075"/>
      <c r="H245" s="4075"/>
      <c r="I245" s="2224" t="str">
        <f t="shared" si="50"/>
        <v>351151_2021_12_</v>
      </c>
      <c r="J245" s="2874">
        <f>$J$215</f>
        <v>632</v>
      </c>
      <c r="K245" s="2875"/>
      <c r="L245" s="4152"/>
      <c r="M245" s="106"/>
      <c r="N245" s="1287"/>
      <c r="O245" s="106"/>
      <c r="P245" s="106"/>
      <c r="Q245" s="106"/>
      <c r="R245" s="106"/>
      <c r="S245" s="106"/>
      <c r="T245" s="106"/>
      <c r="U245" s="106"/>
      <c r="V245" s="4023"/>
      <c r="W245" s="579"/>
      <c r="X245" s="579"/>
      <c r="Y245" s="2377">
        <v>632</v>
      </c>
      <c r="Z245" s="579">
        <v>632</v>
      </c>
      <c r="AA245" s="579">
        <v>632</v>
      </c>
      <c r="AB245" s="2874">
        <v>632</v>
      </c>
      <c r="AC245" s="2874">
        <v>632</v>
      </c>
      <c r="AD245" s="2874">
        <f>$J$215</f>
        <v>632</v>
      </c>
      <c r="AE245" s="579"/>
      <c r="AF245" s="579"/>
      <c r="AG245" s="579"/>
      <c r="AH245" s="156"/>
      <c r="AI245" s="156"/>
      <c r="AJ245" s="156"/>
      <c r="AK245" s="156"/>
      <c r="AL245" s="156"/>
      <c r="AM245" s="156"/>
      <c r="AN245" s="156"/>
      <c r="AO245" s="156"/>
      <c r="AP245" s="156"/>
      <c r="AQ245" s="156"/>
      <c r="AR245" s="156"/>
      <c r="AS245" s="156"/>
      <c r="AT245" s="156"/>
      <c r="AU245" s="156"/>
      <c r="AV245" s="156"/>
      <c r="AW245" s="156"/>
      <c r="AX245" s="156"/>
      <c r="AY245" s="156"/>
      <c r="AZ245" s="156"/>
      <c r="BA245" s="156"/>
      <c r="BB245" s="2828"/>
      <c r="BC245" s="504"/>
      <c r="BD245" s="2829"/>
      <c r="BE245" s="2837"/>
      <c r="BF245" s="156"/>
    </row>
    <row r="246" spans="1:58" ht="14.5" hidden="1" customHeight="1" outlineLevel="1" x14ac:dyDescent="0.35">
      <c r="A246" s="1071"/>
      <c r="B246" s="106"/>
      <c r="C246" s="103"/>
      <c r="D246" s="4065"/>
      <c r="E246" s="4070"/>
      <c r="F246" s="4072" t="str">
        <f t="shared" si="49"/>
        <v>CAC-SEER18_ER1_SF</v>
      </c>
      <c r="G246" s="4073"/>
      <c r="H246" s="4074"/>
      <c r="I246" s="579" t="str">
        <f t="shared" si="50"/>
        <v>351160_2021_12_</v>
      </c>
      <c r="J246" s="2876">
        <v>869</v>
      </c>
      <c r="K246" s="2877"/>
      <c r="L246" s="4152"/>
      <c r="M246" s="106"/>
      <c r="N246" s="106"/>
      <c r="O246" s="106"/>
      <c r="P246" s="1292"/>
      <c r="Q246" s="1520"/>
      <c r="R246" s="1520"/>
      <c r="S246" s="1280"/>
      <c r="T246" s="106"/>
      <c r="U246" s="106"/>
      <c r="V246" s="4023"/>
      <c r="W246" s="579"/>
      <c r="X246" s="579"/>
      <c r="Y246" s="579"/>
      <c r="Z246" s="2377">
        <v>869</v>
      </c>
      <c r="AA246" s="579">
        <v>869</v>
      </c>
      <c r="AB246" s="2876">
        <v>869</v>
      </c>
      <c r="AC246" s="2876">
        <v>869</v>
      </c>
      <c r="AD246" s="2876">
        <v>869</v>
      </c>
      <c r="AE246" s="579"/>
      <c r="AF246" s="579"/>
      <c r="AG246" s="579"/>
      <c r="AH246" s="156"/>
      <c r="AI246" s="156"/>
      <c r="AJ246" s="156"/>
      <c r="AK246" s="156"/>
      <c r="AL246" s="156"/>
      <c r="AM246" s="156"/>
      <c r="AN246" s="156"/>
      <c r="AO246" s="156"/>
      <c r="AP246" s="156"/>
      <c r="AQ246" s="156"/>
      <c r="AR246" s="156"/>
      <c r="AS246" s="156"/>
      <c r="AT246" s="156"/>
      <c r="AU246" s="156"/>
      <c r="AV246" s="156"/>
      <c r="AW246" s="156"/>
      <c r="AX246" s="156"/>
      <c r="AY246" s="156"/>
      <c r="AZ246" s="156"/>
      <c r="BA246" s="156"/>
      <c r="BB246" s="2828"/>
      <c r="BC246" s="504"/>
      <c r="BD246" s="2829"/>
      <c r="BE246" s="2837"/>
      <c r="BF246" s="156"/>
    </row>
    <row r="247" spans="1:58" ht="14.5" hidden="1" customHeight="1" outlineLevel="1" x14ac:dyDescent="0.35">
      <c r="A247" s="1071"/>
      <c r="B247" s="106"/>
      <c r="C247" s="103"/>
      <c r="D247" s="4065"/>
      <c r="E247" s="4070"/>
      <c r="F247" s="3931" t="str">
        <f t="shared" si="49"/>
        <v>CAC-SEER18_ER2_SF</v>
      </c>
      <c r="G247" s="3932"/>
      <c r="H247" s="3933"/>
      <c r="I247" s="2224" t="str">
        <f t="shared" si="50"/>
        <v>351160_2021_12_</v>
      </c>
      <c r="J247" s="2874">
        <v>869</v>
      </c>
      <c r="K247" s="2875"/>
      <c r="L247" s="4152"/>
      <c r="M247" s="106"/>
      <c r="N247" s="106"/>
      <c r="O247" s="106"/>
      <c r="P247" s="1292"/>
      <c r="Q247" s="1520"/>
      <c r="R247" s="1520"/>
      <c r="S247" s="1280"/>
      <c r="T247" s="106"/>
      <c r="U247" s="106"/>
      <c r="V247" s="4023"/>
      <c r="W247" s="2224"/>
      <c r="X247" s="2224"/>
      <c r="Y247" s="2224"/>
      <c r="Z247" s="2374">
        <v>869</v>
      </c>
      <c r="AA247" s="2224">
        <v>869</v>
      </c>
      <c r="AB247" s="2874">
        <v>869</v>
      </c>
      <c r="AC247" s="2874">
        <v>869</v>
      </c>
      <c r="AD247" s="2874">
        <v>869</v>
      </c>
      <c r="AE247" s="2224"/>
      <c r="AF247" s="2224"/>
      <c r="AG247" s="2224"/>
      <c r="AH247" s="156"/>
      <c r="AI247" s="156"/>
      <c r="AJ247" s="156"/>
      <c r="AK247" s="156"/>
      <c r="AL247" s="156"/>
      <c r="AM247" s="156"/>
      <c r="AN247" s="156"/>
      <c r="AO247" s="156"/>
      <c r="AP247" s="156"/>
      <c r="AQ247" s="156"/>
      <c r="AR247" s="156"/>
      <c r="AS247" s="156"/>
      <c r="AT247" s="156"/>
      <c r="AU247" s="156"/>
      <c r="AV247" s="156"/>
      <c r="AW247" s="156"/>
      <c r="AX247" s="156"/>
      <c r="AY247" s="156"/>
      <c r="AZ247" s="156"/>
      <c r="BA247" s="156"/>
      <c r="BB247" s="2828"/>
      <c r="BC247" s="504"/>
      <c r="BD247" s="2829"/>
      <c r="BE247" s="2837"/>
      <c r="BF247" s="156"/>
    </row>
    <row r="248" spans="1:58" ht="14.5" hidden="1" customHeight="1" outlineLevel="1" x14ac:dyDescent="0.35">
      <c r="A248" s="1071"/>
      <c r="B248" s="106"/>
      <c r="C248" s="103"/>
      <c r="D248" s="4065"/>
      <c r="E248" s="4070"/>
      <c r="F248" s="3931" t="str">
        <f t="shared" si="49"/>
        <v>CAC-SEER18_ROF_SF</v>
      </c>
      <c r="G248" s="3932"/>
      <c r="H248" s="3933"/>
      <c r="I248" s="2224" t="str">
        <f t="shared" si="50"/>
        <v>351161_2021_12_</v>
      </c>
      <c r="J248" s="2874">
        <v>869</v>
      </c>
      <c r="K248" s="2875"/>
      <c r="L248" s="4152"/>
      <c r="M248" s="106"/>
      <c r="N248" s="106"/>
      <c r="O248" s="106"/>
      <c r="P248" s="1292"/>
      <c r="Q248" s="1520"/>
      <c r="R248" s="1520"/>
      <c r="S248" s="1280"/>
      <c r="T248" s="106"/>
      <c r="U248" s="106"/>
      <c r="V248" s="4023"/>
      <c r="W248" s="2224"/>
      <c r="X248" s="2224"/>
      <c r="Y248" s="2224"/>
      <c r="Z248" s="2374">
        <v>869</v>
      </c>
      <c r="AA248" s="2224">
        <v>869</v>
      </c>
      <c r="AB248" s="2874">
        <v>869</v>
      </c>
      <c r="AC248" s="2874">
        <v>869</v>
      </c>
      <c r="AD248" s="2874">
        <v>869</v>
      </c>
      <c r="AE248" s="2224"/>
      <c r="AF248" s="2224"/>
      <c r="AG248" s="2224"/>
      <c r="AH248" s="156"/>
      <c r="AI248" s="156"/>
      <c r="AJ248" s="156"/>
      <c r="AK248" s="156"/>
      <c r="AL248" s="156"/>
      <c r="AM248" s="156"/>
      <c r="AN248" s="156"/>
      <c r="AO248" s="156"/>
      <c r="AP248" s="156"/>
      <c r="AQ248" s="156"/>
      <c r="AR248" s="156"/>
      <c r="AS248" s="156"/>
      <c r="AT248" s="156"/>
      <c r="AU248" s="156"/>
      <c r="AV248" s="156"/>
      <c r="AW248" s="156"/>
      <c r="AX248" s="156"/>
      <c r="AY248" s="156"/>
      <c r="AZ248" s="156"/>
      <c r="BA248" s="156"/>
      <c r="BB248" s="2828"/>
      <c r="BC248" s="504"/>
      <c r="BD248" s="2829"/>
      <c r="BE248" s="2837"/>
      <c r="BF248" s="156"/>
    </row>
    <row r="249" spans="1:58" ht="14.5" hidden="1" customHeight="1" outlineLevel="1" x14ac:dyDescent="0.35">
      <c r="A249" s="1071"/>
      <c r="B249" s="106"/>
      <c r="C249" s="103"/>
      <c r="D249" s="4065"/>
      <c r="E249" s="4070"/>
      <c r="F249" s="3931" t="str">
        <f t="shared" si="49"/>
        <v>CAC-SEER18_ER1_MF</v>
      </c>
      <c r="G249" s="3932"/>
      <c r="H249" s="3933"/>
      <c r="I249" s="2224" t="str">
        <f t="shared" si="50"/>
        <v>351162_2021_12_</v>
      </c>
      <c r="J249" s="2874">
        <v>869</v>
      </c>
      <c r="K249" s="2875"/>
      <c r="L249" s="4152"/>
      <c r="M249" s="106"/>
      <c r="N249" s="106"/>
      <c r="O249" s="106"/>
      <c r="P249" s="1292"/>
      <c r="Q249" s="1520"/>
      <c r="R249" s="1520"/>
      <c r="S249" s="1280"/>
      <c r="T249" s="106"/>
      <c r="U249" s="452"/>
      <c r="V249" s="4023"/>
      <c r="W249" s="2224"/>
      <c r="X249" s="2374"/>
      <c r="Y249" s="2374"/>
      <c r="Z249" s="2374">
        <v>869</v>
      </c>
      <c r="AA249" s="2224">
        <v>869</v>
      </c>
      <c r="AB249" s="2874">
        <v>869</v>
      </c>
      <c r="AC249" s="2874">
        <v>869</v>
      </c>
      <c r="AD249" s="2874">
        <v>869</v>
      </c>
      <c r="AE249" s="2224"/>
      <c r="AF249" s="2224"/>
      <c r="AG249" s="2224"/>
      <c r="AH249" s="156"/>
      <c r="AI249" s="156"/>
      <c r="AJ249" s="156"/>
      <c r="AK249" s="156"/>
      <c r="AL249" s="156"/>
      <c r="AM249" s="156"/>
      <c r="AN249" s="156"/>
      <c r="AO249" s="156"/>
      <c r="AP249" s="156"/>
      <c r="AQ249" s="156"/>
      <c r="AR249" s="156"/>
      <c r="AS249" s="156"/>
      <c r="AT249" s="156"/>
      <c r="AU249" s="156"/>
      <c r="AV249" s="156"/>
      <c r="AW249" s="156"/>
      <c r="AX249" s="156"/>
      <c r="AY249" s="156"/>
      <c r="AZ249" s="156"/>
      <c r="BA249" s="156"/>
      <c r="BB249" s="2828"/>
      <c r="BC249" s="504"/>
      <c r="BD249" s="2829"/>
      <c r="BE249" s="2837"/>
      <c r="BF249" s="156"/>
    </row>
    <row r="250" spans="1:58" ht="14.5" hidden="1" customHeight="1" outlineLevel="1" x14ac:dyDescent="0.35">
      <c r="A250" s="1071"/>
      <c r="B250" s="106"/>
      <c r="C250" s="103"/>
      <c r="D250" s="4065"/>
      <c r="E250" s="4070"/>
      <c r="F250" s="3931" t="str">
        <f t="shared" si="49"/>
        <v>CAC-SEER18_ER2_MF</v>
      </c>
      <c r="G250" s="3932"/>
      <c r="H250" s="3933"/>
      <c r="I250" s="2224" t="str">
        <f t="shared" si="50"/>
        <v>351162_2021_12_</v>
      </c>
      <c r="J250" s="2874">
        <v>869</v>
      </c>
      <c r="K250" s="2875"/>
      <c r="L250" s="4152"/>
      <c r="M250" s="106"/>
      <c r="N250" s="106"/>
      <c r="O250" s="106"/>
      <c r="P250" s="1292"/>
      <c r="Q250" s="1520"/>
      <c r="R250" s="1520"/>
      <c r="S250" s="1226"/>
      <c r="T250" s="1304"/>
      <c r="U250" s="452"/>
      <c r="V250" s="4023"/>
      <c r="W250" s="2224"/>
      <c r="X250" s="2374"/>
      <c r="Y250" s="2374"/>
      <c r="Z250" s="2374">
        <v>869</v>
      </c>
      <c r="AA250" s="2224">
        <v>869</v>
      </c>
      <c r="AB250" s="2874">
        <v>869</v>
      </c>
      <c r="AC250" s="2874">
        <v>869</v>
      </c>
      <c r="AD250" s="2874">
        <v>869</v>
      </c>
      <c r="AE250" s="2224"/>
      <c r="AF250" s="2224"/>
      <c r="AG250" s="2224"/>
      <c r="AH250" s="156"/>
      <c r="AI250" s="156"/>
      <c r="AJ250" s="156"/>
      <c r="AK250" s="156"/>
      <c r="AL250" s="156"/>
      <c r="AM250" s="156"/>
      <c r="AN250" s="156"/>
      <c r="AO250" s="156"/>
      <c r="AP250" s="156"/>
      <c r="AQ250" s="156"/>
      <c r="AR250" s="156"/>
      <c r="AS250" s="156"/>
      <c r="AT250" s="156"/>
      <c r="AU250" s="156"/>
      <c r="AV250" s="156"/>
      <c r="AW250" s="156"/>
      <c r="AX250" s="156"/>
      <c r="AY250" s="156"/>
      <c r="AZ250" s="156"/>
      <c r="BA250" s="156"/>
      <c r="BB250" s="2828"/>
      <c r="BC250" s="504"/>
      <c r="BD250" s="2829"/>
      <c r="BE250" s="2837"/>
      <c r="BF250" s="156"/>
    </row>
    <row r="251" spans="1:58" ht="14.5" hidden="1" customHeight="1" outlineLevel="1" x14ac:dyDescent="0.35">
      <c r="A251" s="1071"/>
      <c r="B251" s="106"/>
      <c r="C251" s="103"/>
      <c r="D251" s="4065"/>
      <c r="E251" s="4070"/>
      <c r="F251" s="3931" t="str">
        <f t="shared" si="49"/>
        <v>CAC-SEER18_ER1_MF_CompE</v>
      </c>
      <c r="G251" s="3932"/>
      <c r="H251" s="3933"/>
      <c r="I251" s="2224" t="str">
        <f t="shared" si="50"/>
        <v>351163_2021_12_</v>
      </c>
      <c r="J251" s="2874">
        <v>632</v>
      </c>
      <c r="K251" s="2875"/>
      <c r="L251" s="4152"/>
      <c r="M251" s="106"/>
      <c r="N251" s="106"/>
      <c r="O251" s="106"/>
      <c r="P251" s="1292"/>
      <c r="Q251" s="1520"/>
      <c r="R251" s="1520"/>
      <c r="S251" s="1226"/>
      <c r="T251" s="1304"/>
      <c r="U251" s="452"/>
      <c r="V251" s="4023"/>
      <c r="W251" s="2224"/>
      <c r="X251" s="2374"/>
      <c r="Y251" s="2374"/>
      <c r="Z251" s="2374">
        <v>632</v>
      </c>
      <c r="AA251" s="2224">
        <v>632</v>
      </c>
      <c r="AB251" s="2874">
        <v>632</v>
      </c>
      <c r="AC251" s="2874">
        <v>632</v>
      </c>
      <c r="AD251" s="2874">
        <v>632</v>
      </c>
      <c r="AE251" s="2224"/>
      <c r="AF251" s="2224"/>
      <c r="AG251" s="2224"/>
      <c r="AH251" s="156"/>
      <c r="AI251" s="156"/>
      <c r="AJ251" s="156"/>
      <c r="AK251" s="156"/>
      <c r="AL251" s="156"/>
      <c r="AM251" s="156"/>
      <c r="AN251" s="156"/>
      <c r="AO251" s="156"/>
      <c r="AP251" s="156"/>
      <c r="AQ251" s="156"/>
      <c r="AR251" s="156"/>
      <c r="AS251" s="156"/>
      <c r="AT251" s="156"/>
      <c r="AU251" s="156"/>
      <c r="AV251" s="156"/>
      <c r="AW251" s="156"/>
      <c r="AX251" s="156"/>
      <c r="AY251" s="156"/>
      <c r="AZ251" s="156"/>
      <c r="BA251" s="156"/>
      <c r="BB251" s="2828"/>
      <c r="BC251" s="504"/>
      <c r="BD251" s="2829"/>
      <c r="BE251" s="2837"/>
      <c r="BF251" s="156"/>
    </row>
    <row r="252" spans="1:58" ht="14.5" hidden="1" customHeight="1" outlineLevel="1" x14ac:dyDescent="0.35">
      <c r="A252" s="1071"/>
      <c r="B252" s="106"/>
      <c r="C252" s="103"/>
      <c r="D252" s="4065"/>
      <c r="E252" s="4070"/>
      <c r="F252" s="3931" t="str">
        <f t="shared" si="49"/>
        <v>CAC-SEER18_ER2_MF_CompE</v>
      </c>
      <c r="G252" s="3932"/>
      <c r="H252" s="3933"/>
      <c r="I252" s="2224" t="str">
        <f t="shared" si="50"/>
        <v>351163_2021_12_</v>
      </c>
      <c r="J252" s="2874">
        <f>$J$215</f>
        <v>632</v>
      </c>
      <c r="K252" s="2875"/>
      <c r="L252" s="4152"/>
      <c r="M252" s="106"/>
      <c r="N252" s="106"/>
      <c r="O252" s="106"/>
      <c r="P252" s="1292"/>
      <c r="Q252" s="1520"/>
      <c r="R252" s="1520"/>
      <c r="S252" s="1226"/>
      <c r="T252" s="1304"/>
      <c r="U252" s="106"/>
      <c r="V252" s="4023"/>
      <c r="W252" s="2224"/>
      <c r="X252" s="2374"/>
      <c r="Y252" s="2374"/>
      <c r="Z252" s="2374">
        <v>632</v>
      </c>
      <c r="AA252" s="2224">
        <v>632</v>
      </c>
      <c r="AB252" s="2874">
        <v>632</v>
      </c>
      <c r="AC252" s="2874">
        <v>632</v>
      </c>
      <c r="AD252" s="2874">
        <f>$J$215</f>
        <v>632</v>
      </c>
      <c r="AE252" s="2224"/>
      <c r="AF252" s="2224"/>
      <c r="AG252" s="2224"/>
      <c r="AH252" s="156"/>
      <c r="AI252" s="156"/>
      <c r="AJ252" s="156"/>
      <c r="AK252" s="156"/>
      <c r="AL252" s="156"/>
      <c r="AM252" s="156"/>
      <c r="AN252" s="156"/>
      <c r="AO252" s="156"/>
      <c r="AP252" s="156"/>
      <c r="AQ252" s="156"/>
      <c r="AR252" s="156"/>
      <c r="AS252" s="156"/>
      <c r="AT252" s="156"/>
      <c r="AU252" s="156"/>
      <c r="AV252" s="156"/>
      <c r="AW252" s="156"/>
      <c r="AX252" s="156"/>
      <c r="AY252" s="156"/>
      <c r="AZ252" s="156"/>
      <c r="BA252" s="156"/>
      <c r="BB252" s="2828"/>
      <c r="BC252" s="504"/>
      <c r="BD252" s="2829"/>
      <c r="BE252" s="2837"/>
      <c r="BF252" s="156"/>
    </row>
    <row r="253" spans="1:58" ht="14.5" hidden="1" customHeight="1" outlineLevel="1" x14ac:dyDescent="0.35">
      <c r="A253" s="1071"/>
      <c r="B253" s="106"/>
      <c r="C253" s="103"/>
      <c r="D253" s="4065"/>
      <c r="E253" s="4070"/>
      <c r="F253" s="3931" t="str">
        <f t="shared" si="49"/>
        <v>CAC-SEER18_ROF_MF</v>
      </c>
      <c r="G253" s="3932"/>
      <c r="H253" s="3933"/>
      <c r="I253" s="2224" t="str">
        <f t="shared" si="50"/>
        <v>351164_2021_12_</v>
      </c>
      <c r="J253" s="2874">
        <v>869</v>
      </c>
      <c r="K253" s="2875"/>
      <c r="L253" s="4152"/>
      <c r="M253" s="106"/>
      <c r="N253" s="106"/>
      <c r="O253" s="106"/>
      <c r="P253" s="1292"/>
      <c r="Q253" s="1520"/>
      <c r="R253" s="1520"/>
      <c r="S253" s="1226"/>
      <c r="T253" s="1304"/>
      <c r="U253" s="106"/>
      <c r="V253" s="4023"/>
      <c r="W253" s="2224"/>
      <c r="X253" s="2374"/>
      <c r="Y253" s="2224"/>
      <c r="Z253" s="2374">
        <v>869</v>
      </c>
      <c r="AA253" s="2224">
        <v>869</v>
      </c>
      <c r="AB253" s="2874">
        <v>869</v>
      </c>
      <c r="AC253" s="2874">
        <v>869</v>
      </c>
      <c r="AD253" s="2874">
        <v>869</v>
      </c>
      <c r="AE253" s="2224"/>
      <c r="AF253" s="2224"/>
      <c r="AG253" s="2224"/>
      <c r="AH253" s="156"/>
      <c r="AI253" s="156"/>
      <c r="AJ253" s="156"/>
      <c r="AK253" s="156"/>
      <c r="AL253" s="156"/>
      <c r="AM253" s="156"/>
      <c r="AN253" s="156"/>
      <c r="AO253" s="156"/>
      <c r="AP253" s="156"/>
      <c r="AQ253" s="156"/>
      <c r="AR253" s="156"/>
      <c r="AS253" s="156"/>
      <c r="AT253" s="156"/>
      <c r="AU253" s="156"/>
      <c r="AV253" s="156"/>
      <c r="AW253" s="156"/>
      <c r="AX253" s="156"/>
      <c r="AY253" s="156"/>
      <c r="AZ253" s="156"/>
      <c r="BA253" s="156"/>
      <c r="BB253" s="2828"/>
      <c r="BC253" s="504"/>
      <c r="BD253" s="2829"/>
      <c r="BE253" s="2837"/>
      <c r="BF253" s="156"/>
    </row>
    <row r="254" spans="1:58" ht="14.5" hidden="1" customHeight="1" outlineLevel="1" x14ac:dyDescent="0.35">
      <c r="A254" s="1071"/>
      <c r="B254" s="106"/>
      <c r="C254" s="103"/>
      <c r="D254" s="4065"/>
      <c r="E254" s="4070"/>
      <c r="F254" s="3931" t="str">
        <f t="shared" si="49"/>
        <v>CAC-SEER18_ROF_MF_CompE</v>
      </c>
      <c r="G254" s="3932"/>
      <c r="H254" s="3933"/>
      <c r="I254" s="2224" t="str">
        <f t="shared" si="50"/>
        <v>351165_2021_12_</v>
      </c>
      <c r="J254" s="2874">
        <f>$J$215</f>
        <v>632</v>
      </c>
      <c r="K254" s="2875"/>
      <c r="L254" s="4152"/>
      <c r="M254" s="106"/>
      <c r="N254" s="106"/>
      <c r="O254" s="106"/>
      <c r="P254" s="1292"/>
      <c r="Q254" s="1520"/>
      <c r="R254" s="1520"/>
      <c r="S254" s="106"/>
      <c r="T254" s="106"/>
      <c r="U254" s="106"/>
      <c r="V254" s="4023"/>
      <c r="W254" s="2224"/>
      <c r="X254" s="2374"/>
      <c r="Y254" s="2374"/>
      <c r="Z254" s="2374">
        <v>632</v>
      </c>
      <c r="AA254" s="2224">
        <v>632</v>
      </c>
      <c r="AB254" s="2874">
        <v>632</v>
      </c>
      <c r="AC254" s="2874">
        <v>632</v>
      </c>
      <c r="AD254" s="2874">
        <f>$J$215</f>
        <v>632</v>
      </c>
      <c r="AE254" s="2224"/>
      <c r="AF254" s="2224"/>
      <c r="AG254" s="2224"/>
      <c r="AH254" s="156"/>
      <c r="AI254" s="156"/>
      <c r="AJ254" s="156"/>
      <c r="AK254" s="156"/>
      <c r="AL254" s="156"/>
      <c r="AM254" s="156"/>
      <c r="AN254" s="156"/>
      <c r="AO254" s="156"/>
      <c r="AP254" s="156"/>
      <c r="AQ254" s="156"/>
      <c r="AR254" s="156"/>
      <c r="AS254" s="156"/>
      <c r="AT254" s="156"/>
      <c r="AU254" s="156"/>
      <c r="AV254" s="156"/>
      <c r="AW254" s="156"/>
      <c r="AX254" s="156"/>
      <c r="AY254" s="156"/>
      <c r="AZ254" s="156"/>
      <c r="BA254" s="156"/>
      <c r="BB254" s="2828"/>
      <c r="BC254" s="504"/>
      <c r="BD254" s="2829"/>
      <c r="BE254" s="2837"/>
      <c r="BF254" s="156"/>
    </row>
    <row r="255" spans="1:58" hidden="1" outlineLevel="1" x14ac:dyDescent="0.35">
      <c r="A255" s="1071"/>
      <c r="B255" s="106"/>
      <c r="C255" s="103"/>
      <c r="D255" s="4065"/>
      <c r="E255" s="4070"/>
      <c r="F255" s="3931" t="str">
        <f t="shared" si="49"/>
        <v>CAC-SEER19_ER1_SF</v>
      </c>
      <c r="G255" s="3932"/>
      <c r="H255" s="3933"/>
      <c r="I255" s="2224" t="str">
        <f t="shared" si="50"/>
        <v>351170_2021_12_</v>
      </c>
      <c r="J255" s="2874">
        <v>869</v>
      </c>
      <c r="K255" s="2875"/>
      <c r="L255" s="4152"/>
      <c r="M255" s="106"/>
      <c r="N255" s="1287"/>
      <c r="O255" s="106"/>
      <c r="P255" s="129"/>
      <c r="Q255" s="103"/>
      <c r="R255" s="106"/>
      <c r="S255" s="106"/>
      <c r="T255" s="106"/>
      <c r="U255" s="106"/>
      <c r="V255" s="4023"/>
      <c r="W255" s="2224"/>
      <c r="X255" s="2224"/>
      <c r="Y255" s="2224"/>
      <c r="Z255" s="2374">
        <v>869</v>
      </c>
      <c r="AA255" s="2224">
        <v>869</v>
      </c>
      <c r="AB255" s="2874">
        <v>869</v>
      </c>
      <c r="AC255" s="2874">
        <v>869</v>
      </c>
      <c r="AD255" s="2874">
        <v>869</v>
      </c>
      <c r="AE255" s="2224"/>
      <c r="AF255" s="2224"/>
      <c r="AG255" s="2224"/>
      <c r="AH255" s="156"/>
      <c r="AI255" s="156"/>
      <c r="AJ255" s="156"/>
      <c r="AK255" s="156"/>
      <c r="AL255" s="156"/>
      <c r="AM255" s="156"/>
      <c r="AN255" s="156"/>
      <c r="AO255" s="156"/>
      <c r="AP255" s="156"/>
      <c r="AQ255" s="156"/>
      <c r="AR255" s="156"/>
      <c r="AS255" s="156"/>
      <c r="AT255" s="156"/>
      <c r="AU255" s="156"/>
      <c r="AV255" s="156"/>
      <c r="AW255" s="156"/>
      <c r="AX255" s="156"/>
      <c r="AY255" s="156"/>
      <c r="AZ255" s="156"/>
      <c r="BA255" s="156"/>
      <c r="BB255" s="2828"/>
      <c r="BC255" s="504"/>
      <c r="BD255" s="2829"/>
      <c r="BE255" s="2837"/>
      <c r="BF255" s="156"/>
    </row>
    <row r="256" spans="1:58" ht="15" hidden="1" customHeight="1" outlineLevel="1" x14ac:dyDescent="0.35">
      <c r="A256" s="1071"/>
      <c r="B256" s="106"/>
      <c r="C256" s="103"/>
      <c r="D256" s="4065"/>
      <c r="E256" s="4070"/>
      <c r="F256" s="3931" t="str">
        <f t="shared" si="49"/>
        <v>CAC-SEER19_ER2_SF</v>
      </c>
      <c r="G256" s="3932"/>
      <c r="H256" s="3933"/>
      <c r="I256" s="2224" t="str">
        <f t="shared" si="50"/>
        <v>351170_2021_12_</v>
      </c>
      <c r="J256" s="2874">
        <v>869</v>
      </c>
      <c r="K256" s="2875"/>
      <c r="L256" s="4152"/>
      <c r="M256" s="106"/>
      <c r="N256" s="1287"/>
      <c r="O256" s="106"/>
      <c r="P256" s="156"/>
      <c r="Q256" s="156"/>
      <c r="R256" s="156"/>
      <c r="S256" s="156"/>
      <c r="T256" s="106"/>
      <c r="U256" s="106"/>
      <c r="V256" s="4023"/>
      <c r="W256" s="2224"/>
      <c r="X256" s="2224"/>
      <c r="Y256" s="2224"/>
      <c r="Z256" s="2374">
        <v>869</v>
      </c>
      <c r="AA256" s="2224">
        <v>869</v>
      </c>
      <c r="AB256" s="2874">
        <v>869</v>
      </c>
      <c r="AC256" s="2874">
        <v>869</v>
      </c>
      <c r="AD256" s="2874">
        <v>869</v>
      </c>
      <c r="AE256" s="2224"/>
      <c r="AF256" s="2224"/>
      <c r="AG256" s="2224"/>
      <c r="AH256" s="156"/>
      <c r="AI256" s="156"/>
      <c r="AJ256" s="156"/>
      <c r="AK256" s="156"/>
      <c r="AL256" s="156"/>
      <c r="AM256" s="156"/>
      <c r="AN256" s="156"/>
      <c r="AO256" s="156"/>
      <c r="AP256" s="156"/>
      <c r="AQ256" s="156"/>
      <c r="AR256" s="156"/>
      <c r="AS256" s="156"/>
      <c r="AT256" s="156"/>
      <c r="AU256" s="156"/>
      <c r="AV256" s="156"/>
      <c r="AW256" s="156"/>
      <c r="AX256" s="156"/>
      <c r="AY256" s="156"/>
      <c r="AZ256" s="156"/>
      <c r="BA256" s="156"/>
      <c r="BB256" s="2828"/>
      <c r="BC256" s="504"/>
      <c r="BD256" s="2829"/>
      <c r="BE256" s="2837"/>
      <c r="BF256" s="156"/>
    </row>
    <row r="257" spans="1:58" hidden="1" outlineLevel="1" x14ac:dyDescent="0.35">
      <c r="A257" s="1071"/>
      <c r="B257" s="106"/>
      <c r="C257" s="103"/>
      <c r="D257" s="4065"/>
      <c r="E257" s="4070"/>
      <c r="F257" s="3931" t="str">
        <f t="shared" si="49"/>
        <v>CAC-SEER19_ROF_SF</v>
      </c>
      <c r="G257" s="3932"/>
      <c r="H257" s="3933"/>
      <c r="I257" s="2224" t="str">
        <f t="shared" si="50"/>
        <v>351171_2021_12_</v>
      </c>
      <c r="J257" s="2874">
        <v>869</v>
      </c>
      <c r="K257" s="2875"/>
      <c r="L257" s="4152"/>
      <c r="M257" s="106"/>
      <c r="N257" s="1287"/>
      <c r="O257" s="106"/>
      <c r="P257" s="4105"/>
      <c r="Q257" s="4110"/>
      <c r="R257" s="4110"/>
      <c r="S257" s="106"/>
      <c r="T257" s="106"/>
      <c r="U257" s="106"/>
      <c r="V257" s="4023"/>
      <c r="W257" s="2224"/>
      <c r="X257" s="2224"/>
      <c r="Y257" s="2224"/>
      <c r="Z257" s="2374">
        <v>869</v>
      </c>
      <c r="AA257" s="2224">
        <v>869</v>
      </c>
      <c r="AB257" s="2874">
        <v>869</v>
      </c>
      <c r="AC257" s="2874">
        <v>869</v>
      </c>
      <c r="AD257" s="2874">
        <v>869</v>
      </c>
      <c r="AE257" s="2224"/>
      <c r="AF257" s="2224"/>
      <c r="AG257" s="2224"/>
      <c r="AH257" s="156"/>
      <c r="AI257" s="156"/>
      <c r="AJ257" s="156"/>
      <c r="AK257" s="156"/>
      <c r="AL257" s="156"/>
      <c r="AM257" s="156"/>
      <c r="AN257" s="156"/>
      <c r="AO257" s="156"/>
      <c r="AP257" s="156"/>
      <c r="AQ257" s="156"/>
      <c r="AR257" s="156"/>
      <c r="AS257" s="156"/>
      <c r="AT257" s="156"/>
      <c r="AU257" s="156"/>
      <c r="AV257" s="156"/>
      <c r="AW257" s="156"/>
      <c r="AX257" s="156"/>
      <c r="AY257" s="156"/>
      <c r="AZ257" s="156"/>
      <c r="BA257" s="156"/>
      <c r="BB257" s="2828"/>
      <c r="BC257" s="504"/>
      <c r="BD257" s="2829"/>
      <c r="BE257" s="2837"/>
      <c r="BF257" s="156"/>
    </row>
    <row r="258" spans="1:58" hidden="1" outlineLevel="1" x14ac:dyDescent="0.35">
      <c r="A258" s="1071"/>
      <c r="B258" s="106"/>
      <c r="C258" s="103"/>
      <c r="D258" s="4065"/>
      <c r="E258" s="4070"/>
      <c r="F258" s="3931" t="str">
        <f t="shared" si="49"/>
        <v>CAC-SEER19_ER1_MF</v>
      </c>
      <c r="G258" s="3932"/>
      <c r="H258" s="3933"/>
      <c r="I258" s="2224" t="str">
        <f t="shared" si="50"/>
        <v>351172_2021_12_</v>
      </c>
      <c r="J258" s="2874">
        <v>869</v>
      </c>
      <c r="K258" s="2875"/>
      <c r="L258" s="4152"/>
      <c r="M258" s="106"/>
      <c r="N258" s="1287"/>
      <c r="O258" s="106"/>
      <c r="P258" s="1528"/>
      <c r="Q258" s="103"/>
      <c r="R258" s="103"/>
      <c r="S258" s="106"/>
      <c r="T258" s="106"/>
      <c r="U258" s="106"/>
      <c r="V258" s="4023"/>
      <c r="W258" s="2224"/>
      <c r="X258" s="2374"/>
      <c r="Y258" s="2374"/>
      <c r="Z258" s="2374">
        <v>869</v>
      </c>
      <c r="AA258" s="2224">
        <v>869</v>
      </c>
      <c r="AB258" s="2874">
        <v>869</v>
      </c>
      <c r="AC258" s="2874">
        <v>869</v>
      </c>
      <c r="AD258" s="2874">
        <v>869</v>
      </c>
      <c r="AE258" s="2224"/>
      <c r="AF258" s="2224"/>
      <c r="AG258" s="2224"/>
      <c r="AH258" s="156"/>
      <c r="AI258" s="156"/>
      <c r="AJ258" s="156"/>
      <c r="AK258" s="156"/>
      <c r="AL258" s="156"/>
      <c r="AM258" s="156"/>
      <c r="AN258" s="156"/>
      <c r="AO258" s="156"/>
      <c r="AP258" s="156"/>
      <c r="AQ258" s="156"/>
      <c r="AR258" s="156"/>
      <c r="AS258" s="156"/>
      <c r="AT258" s="156"/>
      <c r="AU258" s="156"/>
      <c r="AV258" s="156"/>
      <c r="AW258" s="156"/>
      <c r="AX258" s="156"/>
      <c r="AY258" s="156"/>
      <c r="AZ258" s="156"/>
      <c r="BA258" s="156"/>
      <c r="BB258" s="2828"/>
      <c r="BC258" s="504"/>
      <c r="BD258" s="2829"/>
      <c r="BE258" s="2837"/>
      <c r="BF258" s="156"/>
    </row>
    <row r="259" spans="1:58" hidden="1" outlineLevel="1" x14ac:dyDescent="0.35">
      <c r="A259" s="1071"/>
      <c r="B259" s="106"/>
      <c r="C259" s="103"/>
      <c r="D259" s="4065"/>
      <c r="E259" s="4070"/>
      <c r="F259" s="3931" t="str">
        <f t="shared" si="49"/>
        <v>CAC-SEER19_ER2_MF</v>
      </c>
      <c r="G259" s="3932"/>
      <c r="H259" s="3933"/>
      <c r="I259" s="2224" t="str">
        <f t="shared" si="50"/>
        <v>351172_2021_12_</v>
      </c>
      <c r="J259" s="2874">
        <v>869</v>
      </c>
      <c r="K259" s="2875"/>
      <c r="L259" s="4152"/>
      <c r="M259" s="106"/>
      <c r="N259" s="1287"/>
      <c r="O259" s="106"/>
      <c r="P259" s="1528"/>
      <c r="Q259" s="1529"/>
      <c r="R259" s="1529"/>
      <c r="S259" s="106"/>
      <c r="T259" s="1521"/>
      <c r="U259" s="106"/>
      <c r="V259" s="4023"/>
      <c r="W259" s="2224"/>
      <c r="X259" s="2374"/>
      <c r="Y259" s="2374"/>
      <c r="Z259" s="2374">
        <v>869</v>
      </c>
      <c r="AA259" s="2224">
        <v>869</v>
      </c>
      <c r="AB259" s="2874">
        <v>869</v>
      </c>
      <c r="AC259" s="2874">
        <v>869</v>
      </c>
      <c r="AD259" s="2874">
        <v>869</v>
      </c>
      <c r="AE259" s="2224"/>
      <c r="AF259" s="2224"/>
      <c r="AG259" s="2224"/>
      <c r="AH259" s="156"/>
      <c r="AI259" s="156"/>
      <c r="AJ259" s="156"/>
      <c r="AK259" s="156"/>
      <c r="AL259" s="156"/>
      <c r="AM259" s="156"/>
      <c r="AN259" s="156"/>
      <c r="AO259" s="156"/>
      <c r="AP259" s="156"/>
      <c r="AQ259" s="156"/>
      <c r="AR259" s="156"/>
      <c r="AS259" s="156"/>
      <c r="AT259" s="156"/>
      <c r="AU259" s="156"/>
      <c r="AV259" s="156"/>
      <c r="AW259" s="156"/>
      <c r="AX259" s="156"/>
      <c r="AY259" s="156"/>
      <c r="AZ259" s="156"/>
      <c r="BA259" s="156"/>
      <c r="BB259" s="2828"/>
      <c r="BC259" s="504"/>
      <c r="BD259" s="2829"/>
      <c r="BE259" s="2837"/>
      <c r="BF259" s="156"/>
    </row>
    <row r="260" spans="1:58" hidden="1" outlineLevel="1" x14ac:dyDescent="0.35">
      <c r="A260" s="1071"/>
      <c r="B260" s="106"/>
      <c r="C260" s="103"/>
      <c r="D260" s="4065"/>
      <c r="E260" s="4070"/>
      <c r="F260" s="3931" t="str">
        <f t="shared" si="49"/>
        <v>CAC-SEER19_ER1_MF_CompE</v>
      </c>
      <c r="G260" s="3932"/>
      <c r="H260" s="3933"/>
      <c r="I260" s="2224" t="str">
        <f t="shared" si="50"/>
        <v>351173_2021_12_</v>
      </c>
      <c r="J260" s="2874">
        <f>$J$215</f>
        <v>632</v>
      </c>
      <c r="K260" s="2875"/>
      <c r="L260" s="4152"/>
      <c r="M260" s="106"/>
      <c r="N260" s="1287"/>
      <c r="O260" s="106"/>
      <c r="P260" s="1528"/>
      <c r="Q260" s="106"/>
      <c r="R260" s="1530"/>
      <c r="S260" s="106"/>
      <c r="T260" s="106"/>
      <c r="U260" s="106"/>
      <c r="V260" s="4023"/>
      <c r="W260" s="2224"/>
      <c r="X260" s="2374"/>
      <c r="Y260" s="2374"/>
      <c r="Z260" s="2374">
        <v>632</v>
      </c>
      <c r="AA260" s="2224">
        <v>632</v>
      </c>
      <c r="AB260" s="2874">
        <v>632</v>
      </c>
      <c r="AC260" s="2874">
        <v>632</v>
      </c>
      <c r="AD260" s="2874">
        <f>$J$215</f>
        <v>632</v>
      </c>
      <c r="AE260" s="2224"/>
      <c r="AF260" s="2224"/>
      <c r="AG260" s="2224"/>
      <c r="AH260" s="156"/>
      <c r="AI260" s="156"/>
      <c r="AJ260" s="156"/>
      <c r="AK260" s="156"/>
      <c r="AL260" s="156"/>
      <c r="AM260" s="156"/>
      <c r="AN260" s="156"/>
      <c r="AO260" s="156"/>
      <c r="AP260" s="156"/>
      <c r="AQ260" s="156"/>
      <c r="AR260" s="156"/>
      <c r="AS260" s="156"/>
      <c r="AT260" s="156"/>
      <c r="AU260" s="156"/>
      <c r="AV260" s="156"/>
      <c r="AW260" s="156"/>
      <c r="AX260" s="156"/>
      <c r="AY260" s="156"/>
      <c r="AZ260" s="156"/>
      <c r="BA260" s="156"/>
      <c r="BB260" s="2828"/>
      <c r="BC260" s="504"/>
      <c r="BD260" s="2829"/>
      <c r="BE260" s="2837"/>
      <c r="BF260" s="156"/>
    </row>
    <row r="261" spans="1:58" hidden="1" outlineLevel="1" x14ac:dyDescent="0.35">
      <c r="A261" s="1071"/>
      <c r="B261" s="106"/>
      <c r="C261" s="103"/>
      <c r="D261" s="4065"/>
      <c r="E261" s="4070"/>
      <c r="F261" s="3931" t="str">
        <f t="shared" si="49"/>
        <v>CAC-SEER19_ER2_MF_CompE</v>
      </c>
      <c r="G261" s="3932"/>
      <c r="H261" s="3933"/>
      <c r="I261" s="2224" t="str">
        <f t="shared" si="50"/>
        <v>351173_2021_12_</v>
      </c>
      <c r="J261" s="2874">
        <f>$J$215</f>
        <v>632</v>
      </c>
      <c r="K261" s="2875"/>
      <c r="L261" s="4152"/>
      <c r="M261" s="106"/>
      <c r="N261" s="1287"/>
      <c r="O261" s="106"/>
      <c r="P261" s="1531"/>
      <c r="Q261" s="106"/>
      <c r="R261" s="1530"/>
      <c r="S261" s="106"/>
      <c r="T261" s="106"/>
      <c r="U261" s="106"/>
      <c r="V261" s="4023"/>
      <c r="W261" s="2224"/>
      <c r="X261" s="2374"/>
      <c r="Y261" s="2374"/>
      <c r="Z261" s="2374">
        <v>632</v>
      </c>
      <c r="AA261" s="2224">
        <v>632</v>
      </c>
      <c r="AB261" s="2874">
        <v>632</v>
      </c>
      <c r="AC261" s="2874">
        <v>632</v>
      </c>
      <c r="AD261" s="2874">
        <f>$J$215</f>
        <v>632</v>
      </c>
      <c r="AE261" s="2224"/>
      <c r="AF261" s="2224"/>
      <c r="AG261" s="2224"/>
      <c r="AH261" s="156"/>
      <c r="AI261" s="156"/>
      <c r="AJ261" s="156"/>
      <c r="AK261" s="156"/>
      <c r="AL261" s="156"/>
      <c r="AM261" s="156"/>
      <c r="AN261" s="156"/>
      <c r="AO261" s="156"/>
      <c r="AP261" s="156"/>
      <c r="AQ261" s="156"/>
      <c r="AR261" s="156"/>
      <c r="AS261" s="156"/>
      <c r="AT261" s="156"/>
      <c r="AU261" s="156"/>
      <c r="AV261" s="156"/>
      <c r="AW261" s="156"/>
      <c r="AX261" s="156"/>
      <c r="AY261" s="156"/>
      <c r="AZ261" s="156"/>
      <c r="BA261" s="156"/>
      <c r="BB261" s="2828"/>
      <c r="BC261" s="504"/>
      <c r="BD261" s="2829"/>
      <c r="BE261" s="2837"/>
      <c r="BF261" s="156"/>
    </row>
    <row r="262" spans="1:58" hidden="1" outlineLevel="1" x14ac:dyDescent="0.35">
      <c r="A262" s="1071"/>
      <c r="B262" s="106"/>
      <c r="C262" s="103"/>
      <c r="D262" s="4065"/>
      <c r="E262" s="4070"/>
      <c r="F262" s="3931" t="str">
        <f t="shared" si="49"/>
        <v>CAC-SEER19_ROF_MF</v>
      </c>
      <c r="G262" s="3932"/>
      <c r="H262" s="3933"/>
      <c r="I262" s="2224" t="str">
        <f t="shared" si="50"/>
        <v>351174_2021_12_</v>
      </c>
      <c r="J262" s="2874">
        <v>869</v>
      </c>
      <c r="K262" s="2875"/>
      <c r="L262" s="4152"/>
      <c r="M262" s="106"/>
      <c r="N262" s="1287"/>
      <c r="O262" s="106"/>
      <c r="P262" s="292"/>
      <c r="Q262" s="106"/>
      <c r="R262" s="106"/>
      <c r="S262" s="106"/>
      <c r="T262" s="106"/>
      <c r="U262" s="106"/>
      <c r="V262" s="4023"/>
      <c r="W262" s="2224"/>
      <c r="X262" s="2374"/>
      <c r="Y262" s="2374"/>
      <c r="Z262" s="2374">
        <v>869</v>
      </c>
      <c r="AA262" s="2224">
        <v>869</v>
      </c>
      <c r="AB262" s="2874">
        <v>869</v>
      </c>
      <c r="AC262" s="2874">
        <v>869</v>
      </c>
      <c r="AD262" s="2874">
        <v>869</v>
      </c>
      <c r="AE262" s="2224"/>
      <c r="AF262" s="2224"/>
      <c r="AG262" s="2224"/>
      <c r="AH262" s="156"/>
      <c r="AI262" s="156"/>
      <c r="AJ262" s="156"/>
      <c r="AK262" s="156"/>
      <c r="AL262" s="156"/>
      <c r="AM262" s="156"/>
      <c r="AN262" s="156"/>
      <c r="AO262" s="156"/>
      <c r="AP262" s="156"/>
      <c r="AQ262" s="156"/>
      <c r="AR262" s="156"/>
      <c r="AS262" s="156"/>
      <c r="AT262" s="156"/>
      <c r="AU262" s="156"/>
      <c r="AV262" s="156"/>
      <c r="AW262" s="156"/>
      <c r="AX262" s="156"/>
      <c r="AY262" s="156"/>
      <c r="AZ262" s="156"/>
      <c r="BA262" s="156"/>
      <c r="BB262" s="2828"/>
      <c r="BC262" s="504"/>
      <c r="BD262" s="2829"/>
      <c r="BE262" s="2837"/>
      <c r="BF262" s="156"/>
    </row>
    <row r="263" spans="1:58" hidden="1" outlineLevel="1" x14ac:dyDescent="0.35">
      <c r="A263" s="1071"/>
      <c r="B263" s="106"/>
      <c r="C263" s="103"/>
      <c r="D263" s="4065"/>
      <c r="E263" s="4070"/>
      <c r="F263" s="3931" t="str">
        <f t="shared" si="49"/>
        <v>CAC-SEER19_ROF_MF_CompE</v>
      </c>
      <c r="G263" s="3932"/>
      <c r="H263" s="3933"/>
      <c r="I263" s="2224" t="str">
        <f t="shared" si="50"/>
        <v>351175_2021_12_</v>
      </c>
      <c r="J263" s="2874">
        <f>$J$215</f>
        <v>632</v>
      </c>
      <c r="K263" s="2875"/>
      <c r="L263" s="4152"/>
      <c r="M263" s="106"/>
      <c r="N263" s="1287"/>
      <c r="O263" s="1285"/>
      <c r="P263" s="574"/>
      <c r="Q263" s="106"/>
      <c r="R263" s="106"/>
      <c r="S263" s="106"/>
      <c r="T263" s="106"/>
      <c r="U263" s="106"/>
      <c r="V263" s="4023"/>
      <c r="W263" s="2224"/>
      <c r="X263" s="2374"/>
      <c r="Y263" s="2224"/>
      <c r="Z263" s="2374">
        <v>632</v>
      </c>
      <c r="AA263" s="2224">
        <v>632</v>
      </c>
      <c r="AB263" s="2874">
        <v>632</v>
      </c>
      <c r="AC263" s="2874">
        <v>632</v>
      </c>
      <c r="AD263" s="2874">
        <f>$J$215</f>
        <v>632</v>
      </c>
      <c r="AE263" s="2224"/>
      <c r="AF263" s="2224"/>
      <c r="AG263" s="2224"/>
      <c r="AH263" s="156"/>
      <c r="AI263" s="156"/>
      <c r="AJ263" s="156"/>
      <c r="AK263" s="156"/>
      <c r="AL263" s="156"/>
      <c r="AM263" s="156"/>
      <c r="AN263" s="156"/>
      <c r="AO263" s="156"/>
      <c r="AP263" s="156"/>
      <c r="AQ263" s="156"/>
      <c r="AR263" s="156"/>
      <c r="AS263" s="156"/>
      <c r="AT263" s="156"/>
      <c r="AU263" s="156"/>
      <c r="AV263" s="156"/>
      <c r="AW263" s="156"/>
      <c r="AX263" s="156"/>
      <c r="AY263" s="156"/>
      <c r="AZ263" s="156"/>
      <c r="BA263" s="156"/>
      <c r="BB263" s="2828"/>
      <c r="BC263" s="504"/>
      <c r="BD263" s="2829"/>
      <c r="BE263" s="2837"/>
      <c r="BF263" s="156"/>
    </row>
    <row r="264" spans="1:58" hidden="1" outlineLevel="1" x14ac:dyDescent="0.35">
      <c r="A264" s="1071"/>
      <c r="B264" s="106"/>
      <c r="C264" s="103"/>
      <c r="D264" s="4065"/>
      <c r="E264" s="4070"/>
      <c r="F264" s="3931" t="str">
        <f t="shared" si="49"/>
        <v>CAC-SEER20_ER1_SF</v>
      </c>
      <c r="G264" s="3932"/>
      <c r="H264" s="3933"/>
      <c r="I264" s="2224" t="str">
        <f t="shared" si="50"/>
        <v>351180_2021_12_</v>
      </c>
      <c r="J264" s="2874">
        <v>869</v>
      </c>
      <c r="K264" s="2875"/>
      <c r="L264" s="4152"/>
      <c r="M264" s="106"/>
      <c r="N264" s="1287"/>
      <c r="O264" s="106"/>
      <c r="P264" s="106"/>
      <c r="Q264" s="106"/>
      <c r="R264" s="106"/>
      <c r="S264" s="106"/>
      <c r="T264" s="106"/>
      <c r="U264" s="106"/>
      <c r="V264" s="4023"/>
      <c r="W264" s="2224"/>
      <c r="X264" s="2224"/>
      <c r="Y264" s="2224"/>
      <c r="Z264" s="2374">
        <v>869</v>
      </c>
      <c r="AA264" s="2224">
        <v>869</v>
      </c>
      <c r="AB264" s="2874">
        <v>869</v>
      </c>
      <c r="AC264" s="2874">
        <v>869</v>
      </c>
      <c r="AD264" s="2874">
        <v>869</v>
      </c>
      <c r="AE264" s="2224"/>
      <c r="AF264" s="2224"/>
      <c r="AG264" s="2224"/>
      <c r="AH264" s="156"/>
      <c r="AI264" s="156"/>
      <c r="AJ264" s="156"/>
      <c r="AK264" s="156"/>
      <c r="AL264" s="156"/>
      <c r="AM264" s="156"/>
      <c r="AN264" s="156"/>
      <c r="AO264" s="156"/>
      <c r="AP264" s="156"/>
      <c r="AQ264" s="156"/>
      <c r="AR264" s="156"/>
      <c r="AS264" s="156"/>
      <c r="AT264" s="156"/>
      <c r="AU264" s="156"/>
      <c r="AV264" s="156"/>
      <c r="AW264" s="156"/>
      <c r="AX264" s="156"/>
      <c r="AY264" s="156"/>
      <c r="AZ264" s="156"/>
      <c r="BA264" s="156"/>
      <c r="BB264" s="2828"/>
      <c r="BC264" s="504"/>
      <c r="BD264" s="2829"/>
      <c r="BE264" s="2837"/>
      <c r="BF264" s="156"/>
    </row>
    <row r="265" spans="1:58" hidden="1" outlineLevel="1" x14ac:dyDescent="0.35">
      <c r="A265" s="1071"/>
      <c r="B265" s="106"/>
      <c r="C265" s="103"/>
      <c r="D265" s="4065"/>
      <c r="E265" s="4070"/>
      <c r="F265" s="3931" t="str">
        <f t="shared" si="49"/>
        <v>CAC-SEER20_ER2_SF</v>
      </c>
      <c r="G265" s="3932"/>
      <c r="H265" s="3933"/>
      <c r="I265" s="2224" t="str">
        <f t="shared" si="50"/>
        <v>351180_2021_12_</v>
      </c>
      <c r="J265" s="2874">
        <v>869</v>
      </c>
      <c r="K265" s="2875"/>
      <c r="L265" s="4152"/>
      <c r="M265" s="106"/>
      <c r="N265" s="1287"/>
      <c r="O265" s="106"/>
      <c r="P265" s="106"/>
      <c r="Q265" s="106"/>
      <c r="R265" s="106"/>
      <c r="S265" s="106"/>
      <c r="T265" s="106"/>
      <c r="U265" s="106"/>
      <c r="V265" s="4023"/>
      <c r="W265" s="2224"/>
      <c r="X265" s="2224"/>
      <c r="Y265" s="2224"/>
      <c r="Z265" s="2374">
        <v>869</v>
      </c>
      <c r="AA265" s="2224">
        <v>869</v>
      </c>
      <c r="AB265" s="2874">
        <v>869</v>
      </c>
      <c r="AC265" s="2874">
        <v>869</v>
      </c>
      <c r="AD265" s="2874">
        <v>869</v>
      </c>
      <c r="AE265" s="2224"/>
      <c r="AF265" s="2224"/>
      <c r="AG265" s="2224"/>
      <c r="AH265" s="156"/>
      <c r="AI265" s="156"/>
      <c r="AJ265" s="156"/>
      <c r="AK265" s="156"/>
      <c r="AL265" s="156"/>
      <c r="AM265" s="156"/>
      <c r="AN265" s="156"/>
      <c r="AO265" s="156"/>
      <c r="AP265" s="156"/>
      <c r="AQ265" s="156"/>
      <c r="AR265" s="156"/>
      <c r="AS265" s="156"/>
      <c r="AT265" s="156"/>
      <c r="AU265" s="156"/>
      <c r="AV265" s="156"/>
      <c r="AW265" s="156"/>
      <c r="AX265" s="156"/>
      <c r="AY265" s="156"/>
      <c r="AZ265" s="156"/>
      <c r="BA265" s="156"/>
      <c r="BB265" s="2828"/>
      <c r="BC265" s="504"/>
      <c r="BD265" s="2829"/>
      <c r="BE265" s="2837"/>
      <c r="BF265" s="156"/>
    </row>
    <row r="266" spans="1:58" hidden="1" outlineLevel="1" x14ac:dyDescent="0.35">
      <c r="A266" s="1071"/>
      <c r="B266" s="106"/>
      <c r="C266" s="103"/>
      <c r="D266" s="4065"/>
      <c r="E266" s="4070"/>
      <c r="F266" s="3931" t="str">
        <f t="shared" si="49"/>
        <v>CAC-SEER20_ROF_SF</v>
      </c>
      <c r="G266" s="3932"/>
      <c r="H266" s="3933"/>
      <c r="I266" s="2224" t="str">
        <f t="shared" si="50"/>
        <v>351181_2021_12_</v>
      </c>
      <c r="J266" s="2874">
        <v>869</v>
      </c>
      <c r="K266" s="2875"/>
      <c r="L266" s="4152"/>
      <c r="M266" s="106"/>
      <c r="N266" s="1287"/>
      <c r="O266" s="106"/>
      <c r="P266" s="106"/>
      <c r="Q266" s="106"/>
      <c r="R266" s="106"/>
      <c r="S266" s="106"/>
      <c r="T266" s="106"/>
      <c r="U266" s="106"/>
      <c r="V266" s="4023"/>
      <c r="W266" s="2224"/>
      <c r="X266" s="2224"/>
      <c r="Y266" s="2224"/>
      <c r="Z266" s="2374">
        <v>869</v>
      </c>
      <c r="AA266" s="2224">
        <v>869</v>
      </c>
      <c r="AB266" s="2874">
        <v>869</v>
      </c>
      <c r="AC266" s="2874">
        <v>869</v>
      </c>
      <c r="AD266" s="2874">
        <v>869</v>
      </c>
      <c r="AE266" s="2224"/>
      <c r="AF266" s="2224"/>
      <c r="AG266" s="2224"/>
      <c r="AH266" s="156"/>
      <c r="AI266" s="156"/>
      <c r="AJ266" s="156"/>
      <c r="AK266" s="156"/>
      <c r="AL266" s="156"/>
      <c r="AM266" s="156"/>
      <c r="AN266" s="156"/>
      <c r="AO266" s="156"/>
      <c r="AP266" s="156"/>
      <c r="AQ266" s="156"/>
      <c r="AR266" s="156"/>
      <c r="AS266" s="156"/>
      <c r="AT266" s="156"/>
      <c r="AU266" s="156"/>
      <c r="AV266" s="156"/>
      <c r="AW266" s="156"/>
      <c r="AX266" s="156"/>
      <c r="AY266" s="156"/>
      <c r="AZ266" s="156"/>
      <c r="BA266" s="156"/>
      <c r="BB266" s="2828"/>
      <c r="BC266" s="504"/>
      <c r="BD266" s="2829"/>
      <c r="BE266" s="2837"/>
      <c r="BF266" s="156"/>
    </row>
    <row r="267" spans="1:58" ht="15" hidden="1" customHeight="1" outlineLevel="1" x14ac:dyDescent="0.35">
      <c r="A267" s="1071"/>
      <c r="B267" s="106"/>
      <c r="C267" s="103"/>
      <c r="D267" s="4065"/>
      <c r="E267" s="4070"/>
      <c r="F267" s="3931" t="str">
        <f t="shared" si="49"/>
        <v>CAC-SEER20_ER1_MF</v>
      </c>
      <c r="G267" s="3932"/>
      <c r="H267" s="3933"/>
      <c r="I267" s="2224" t="str">
        <f t="shared" si="50"/>
        <v>351182_2021_12_</v>
      </c>
      <c r="J267" s="2874">
        <v>869</v>
      </c>
      <c r="K267" s="2875"/>
      <c r="L267" s="4152"/>
      <c r="M267" s="106"/>
      <c r="N267" s="1287"/>
      <c r="O267" s="106"/>
      <c r="P267" s="106"/>
      <c r="Q267" s="106"/>
      <c r="R267" s="106"/>
      <c r="S267" s="106"/>
      <c r="T267" s="106"/>
      <c r="U267" s="106"/>
      <c r="V267" s="4023"/>
      <c r="W267" s="2224"/>
      <c r="X267" s="2374"/>
      <c r="Y267" s="2374"/>
      <c r="Z267" s="2374">
        <v>869</v>
      </c>
      <c r="AA267" s="2224">
        <v>869</v>
      </c>
      <c r="AB267" s="2874">
        <v>869</v>
      </c>
      <c r="AC267" s="2874">
        <v>869</v>
      </c>
      <c r="AD267" s="2874">
        <v>869</v>
      </c>
      <c r="AE267" s="2224"/>
      <c r="AF267" s="2224"/>
      <c r="AG267" s="2224"/>
      <c r="AH267" s="156"/>
      <c r="AI267" s="156"/>
      <c r="AJ267" s="156"/>
      <c r="AK267" s="156"/>
      <c r="AL267" s="156"/>
      <c r="AM267" s="156"/>
      <c r="AN267" s="156"/>
      <c r="AO267" s="156"/>
      <c r="AP267" s="156"/>
      <c r="AQ267" s="156"/>
      <c r="AR267" s="156"/>
      <c r="AS267" s="156"/>
      <c r="AT267" s="156"/>
      <c r="AU267" s="156"/>
      <c r="AV267" s="156"/>
      <c r="AW267" s="156"/>
      <c r="AX267" s="156"/>
      <c r="AY267" s="156"/>
      <c r="AZ267" s="156"/>
      <c r="BA267" s="156"/>
      <c r="BB267" s="2828"/>
      <c r="BC267" s="504"/>
      <c r="BD267" s="2829"/>
      <c r="BE267" s="2837"/>
      <c r="BF267" s="156"/>
    </row>
    <row r="268" spans="1:58" hidden="1" outlineLevel="1" x14ac:dyDescent="0.35">
      <c r="A268" s="1071"/>
      <c r="B268" s="106"/>
      <c r="C268" s="103"/>
      <c r="D268" s="4065"/>
      <c r="E268" s="4070"/>
      <c r="F268" s="3931" t="str">
        <f t="shared" si="49"/>
        <v>CAC-SEER20_ER2_MF</v>
      </c>
      <c r="G268" s="3932"/>
      <c r="H268" s="3933"/>
      <c r="I268" s="2224" t="str">
        <f t="shared" si="50"/>
        <v>351182_2021_12_</v>
      </c>
      <c r="J268" s="2874">
        <v>869</v>
      </c>
      <c r="K268" s="2875"/>
      <c r="L268" s="4152"/>
      <c r="M268" s="106"/>
      <c r="N268" s="1287"/>
      <c r="O268" s="106"/>
      <c r="P268" s="106"/>
      <c r="Q268" s="106"/>
      <c r="R268" s="106"/>
      <c r="S268" s="106"/>
      <c r="T268" s="106"/>
      <c r="U268" s="106"/>
      <c r="V268" s="4023"/>
      <c r="W268" s="2224"/>
      <c r="X268" s="2374"/>
      <c r="Y268" s="2374"/>
      <c r="Z268" s="2374">
        <v>869</v>
      </c>
      <c r="AA268" s="2224">
        <v>869</v>
      </c>
      <c r="AB268" s="2874">
        <v>869</v>
      </c>
      <c r="AC268" s="2874">
        <v>869</v>
      </c>
      <c r="AD268" s="2874">
        <v>869</v>
      </c>
      <c r="AE268" s="2224"/>
      <c r="AF268" s="2224"/>
      <c r="AG268" s="2224"/>
      <c r="AH268" s="156"/>
      <c r="AI268" s="156"/>
      <c r="AJ268" s="156"/>
      <c r="AK268" s="156"/>
      <c r="AL268" s="156"/>
      <c r="AM268" s="156"/>
      <c r="AN268" s="156"/>
      <c r="AO268" s="156"/>
      <c r="AP268" s="156"/>
      <c r="AQ268" s="156"/>
      <c r="AR268" s="156"/>
      <c r="AS268" s="156"/>
      <c r="AT268" s="156"/>
      <c r="AU268" s="156"/>
      <c r="AV268" s="156"/>
      <c r="AW268" s="156"/>
      <c r="AX268" s="156"/>
      <c r="AY268" s="156"/>
      <c r="AZ268" s="156"/>
      <c r="BA268" s="156"/>
      <c r="BB268" s="2828"/>
      <c r="BC268" s="504"/>
      <c r="BD268" s="2829"/>
      <c r="BE268" s="2837"/>
      <c r="BF268" s="156"/>
    </row>
    <row r="269" spans="1:58" hidden="1" outlineLevel="1" x14ac:dyDescent="0.35">
      <c r="A269" s="1071"/>
      <c r="B269" s="106"/>
      <c r="C269" s="103"/>
      <c r="D269" s="4065"/>
      <c r="E269" s="4070"/>
      <c r="F269" s="3931" t="str">
        <f t="shared" si="49"/>
        <v>CAC-SEER20_ER1_MF_CompE</v>
      </c>
      <c r="G269" s="3932"/>
      <c r="H269" s="3933"/>
      <c r="I269" s="2224" t="str">
        <f t="shared" si="50"/>
        <v>351183_2021_12_</v>
      </c>
      <c r="J269" s="2874">
        <f>$J$215</f>
        <v>632</v>
      </c>
      <c r="K269" s="2875"/>
      <c r="L269" s="4152"/>
      <c r="M269" s="106"/>
      <c r="N269" s="1287"/>
      <c r="O269" s="106"/>
      <c r="P269" s="106"/>
      <c r="Q269" s="106"/>
      <c r="R269" s="106"/>
      <c r="S269" s="106"/>
      <c r="T269" s="106"/>
      <c r="U269" s="106"/>
      <c r="V269" s="4023"/>
      <c r="W269" s="2224"/>
      <c r="X269" s="2374"/>
      <c r="Y269" s="2374"/>
      <c r="Z269" s="2374">
        <v>632</v>
      </c>
      <c r="AA269" s="2224">
        <v>632</v>
      </c>
      <c r="AB269" s="2874">
        <v>632</v>
      </c>
      <c r="AC269" s="2874">
        <v>632</v>
      </c>
      <c r="AD269" s="2874">
        <f>$J$215</f>
        <v>632</v>
      </c>
      <c r="AE269" s="2224"/>
      <c r="AF269" s="2224"/>
      <c r="AG269" s="2224"/>
      <c r="AH269" s="156"/>
      <c r="AI269" s="156"/>
      <c r="AJ269" s="156"/>
      <c r="AK269" s="156"/>
      <c r="AL269" s="156"/>
      <c r="AM269" s="156"/>
      <c r="AN269" s="156"/>
      <c r="AO269" s="156"/>
      <c r="AP269" s="156"/>
      <c r="AQ269" s="156"/>
      <c r="AR269" s="156"/>
      <c r="AS269" s="156"/>
      <c r="AT269" s="156"/>
      <c r="AU269" s="156"/>
      <c r="AV269" s="156"/>
      <c r="AW269" s="156"/>
      <c r="AX269" s="156"/>
      <c r="AY269" s="156"/>
      <c r="AZ269" s="156"/>
      <c r="BA269" s="156"/>
      <c r="BB269" s="2828"/>
      <c r="BC269" s="504"/>
      <c r="BD269" s="2829"/>
      <c r="BE269" s="2837"/>
      <c r="BF269" s="156"/>
    </row>
    <row r="270" spans="1:58" hidden="1" outlineLevel="1" x14ac:dyDescent="0.35">
      <c r="A270" s="1071"/>
      <c r="B270" s="106"/>
      <c r="C270" s="103"/>
      <c r="D270" s="4065"/>
      <c r="E270" s="4070"/>
      <c r="F270" s="3931" t="str">
        <f t="shared" si="49"/>
        <v>CAC-SEER20_ER2_MF_CompE</v>
      </c>
      <c r="G270" s="3932"/>
      <c r="H270" s="3933"/>
      <c r="I270" s="2224" t="str">
        <f t="shared" si="50"/>
        <v>351183_2021_12_</v>
      </c>
      <c r="J270" s="2874">
        <f>$J$215</f>
        <v>632</v>
      </c>
      <c r="K270" s="2875"/>
      <c r="L270" s="4152"/>
      <c r="M270" s="106"/>
      <c r="N270" s="1287"/>
      <c r="O270" s="106"/>
      <c r="P270" s="106"/>
      <c r="Q270" s="106"/>
      <c r="R270" s="106"/>
      <c r="S270" s="106"/>
      <c r="T270" s="106"/>
      <c r="U270" s="106"/>
      <c r="V270" s="4023"/>
      <c r="W270" s="2224"/>
      <c r="X270" s="2374"/>
      <c r="Y270" s="2374"/>
      <c r="Z270" s="2374">
        <v>632</v>
      </c>
      <c r="AA270" s="2224">
        <v>632</v>
      </c>
      <c r="AB270" s="2874">
        <v>632</v>
      </c>
      <c r="AC270" s="2874">
        <v>632</v>
      </c>
      <c r="AD270" s="2874">
        <f>$J$215</f>
        <v>632</v>
      </c>
      <c r="AE270" s="2224"/>
      <c r="AF270" s="2224"/>
      <c r="AG270" s="2224"/>
      <c r="AH270" s="156"/>
      <c r="AI270" s="156"/>
      <c r="AJ270" s="156"/>
      <c r="AK270" s="156"/>
      <c r="AL270" s="156"/>
      <c r="AM270" s="156"/>
      <c r="AN270" s="156"/>
      <c r="AO270" s="156"/>
      <c r="AP270" s="156"/>
      <c r="AQ270" s="156"/>
      <c r="AR270" s="156"/>
      <c r="AS270" s="156"/>
      <c r="AT270" s="156"/>
      <c r="AU270" s="156"/>
      <c r="AV270" s="156"/>
      <c r="AW270" s="156"/>
      <c r="AX270" s="156"/>
      <c r="AY270" s="156"/>
      <c r="AZ270" s="156"/>
      <c r="BA270" s="156"/>
      <c r="BB270" s="2828"/>
      <c r="BC270" s="504"/>
      <c r="BD270" s="2829"/>
      <c r="BE270" s="2837"/>
      <c r="BF270" s="156"/>
    </row>
    <row r="271" spans="1:58" hidden="1" outlineLevel="1" x14ac:dyDescent="0.35">
      <c r="A271" s="1071"/>
      <c r="B271" s="106"/>
      <c r="C271" s="103"/>
      <c r="D271" s="4065"/>
      <c r="E271" s="4070"/>
      <c r="F271" s="3931" t="str">
        <f t="shared" si="49"/>
        <v>CAC-SEER20_ROF_MF</v>
      </c>
      <c r="G271" s="3932"/>
      <c r="H271" s="3933"/>
      <c r="I271" s="2224" t="str">
        <f t="shared" si="50"/>
        <v>351184_2021_12_</v>
      </c>
      <c r="J271" s="2874">
        <v>869</v>
      </c>
      <c r="K271" s="2875"/>
      <c r="L271" s="4152"/>
      <c r="M271" s="106"/>
      <c r="N271" s="1287"/>
      <c r="O271" s="106"/>
      <c r="P271" s="106"/>
      <c r="Q271" s="106"/>
      <c r="R271" s="106"/>
      <c r="S271" s="106"/>
      <c r="T271" s="106"/>
      <c r="U271" s="106"/>
      <c r="V271" s="4023"/>
      <c r="W271" s="2224"/>
      <c r="X271" s="2374"/>
      <c r="Y271" s="2224"/>
      <c r="Z271" s="2374">
        <v>869</v>
      </c>
      <c r="AA271" s="2224">
        <v>869</v>
      </c>
      <c r="AB271" s="2874">
        <v>869</v>
      </c>
      <c r="AC271" s="2874">
        <v>869</v>
      </c>
      <c r="AD271" s="2874">
        <v>869</v>
      </c>
      <c r="AE271" s="2224"/>
      <c r="AF271" s="2224"/>
      <c r="AG271" s="2224"/>
      <c r="AH271" s="156"/>
      <c r="AI271" s="156"/>
      <c r="AJ271" s="156"/>
      <c r="AK271" s="156"/>
      <c r="AL271" s="156"/>
      <c r="AM271" s="156"/>
      <c r="AN271" s="156"/>
      <c r="AO271" s="156"/>
      <c r="AP271" s="156"/>
      <c r="AQ271" s="156"/>
      <c r="AR271" s="156"/>
      <c r="AS271" s="156"/>
      <c r="AT271" s="156"/>
      <c r="AU271" s="156"/>
      <c r="AV271" s="156"/>
      <c r="AW271" s="156"/>
      <c r="AX271" s="156"/>
      <c r="AY271" s="156"/>
      <c r="AZ271" s="156"/>
      <c r="BA271" s="156"/>
      <c r="BB271" s="2828"/>
      <c r="BC271" s="504"/>
      <c r="BD271" s="2829"/>
      <c r="BE271" s="2837"/>
      <c r="BF271" s="156"/>
    </row>
    <row r="272" spans="1:58" hidden="1" outlineLevel="1" x14ac:dyDescent="0.35">
      <c r="A272" s="1071"/>
      <c r="B272" s="106"/>
      <c r="C272" s="103"/>
      <c r="D272" s="4065"/>
      <c r="E272" s="4070"/>
      <c r="F272" s="3931" t="str">
        <f t="shared" si="49"/>
        <v>CAC-SEER20_ROF_MF_CompE</v>
      </c>
      <c r="G272" s="3932"/>
      <c r="H272" s="3933"/>
      <c r="I272" s="2224" t="str">
        <f t="shared" si="50"/>
        <v>351185_2021_12_</v>
      </c>
      <c r="J272" s="2874">
        <f>$J$215</f>
        <v>632</v>
      </c>
      <c r="K272" s="2875"/>
      <c r="L272" s="4152"/>
      <c r="M272" s="106"/>
      <c r="N272" s="1287"/>
      <c r="O272" s="106"/>
      <c r="P272" s="106"/>
      <c r="Q272" s="106"/>
      <c r="R272" s="106"/>
      <c r="S272" s="106"/>
      <c r="T272" s="106"/>
      <c r="U272" s="106"/>
      <c r="V272" s="4023"/>
      <c r="W272" s="2224"/>
      <c r="X272" s="2374"/>
      <c r="Y272" s="2374"/>
      <c r="Z272" s="2374">
        <v>632</v>
      </c>
      <c r="AA272" s="2224">
        <v>632</v>
      </c>
      <c r="AB272" s="2874">
        <v>632</v>
      </c>
      <c r="AC272" s="2874">
        <v>632</v>
      </c>
      <c r="AD272" s="2874">
        <f>$J$215</f>
        <v>632</v>
      </c>
      <c r="AE272" s="2224"/>
      <c r="AF272" s="2224"/>
      <c r="AG272" s="2224"/>
      <c r="AH272" s="156"/>
      <c r="AI272" s="156"/>
      <c r="AJ272" s="156"/>
      <c r="AK272" s="156"/>
      <c r="AL272" s="156"/>
      <c r="AM272" s="156"/>
      <c r="AN272" s="156"/>
      <c r="AO272" s="156"/>
      <c r="AP272" s="156"/>
      <c r="AQ272" s="156"/>
      <c r="AR272" s="156"/>
      <c r="AS272" s="156"/>
      <c r="AT272" s="156"/>
      <c r="AU272" s="156"/>
      <c r="AV272" s="156"/>
      <c r="AW272" s="156"/>
      <c r="AX272" s="156"/>
      <c r="AY272" s="156"/>
      <c r="AZ272" s="156"/>
      <c r="BA272" s="156"/>
      <c r="BB272" s="2828"/>
      <c r="BC272" s="504"/>
      <c r="BD272" s="2829"/>
      <c r="BE272" s="2837"/>
      <c r="BF272" s="156"/>
    </row>
    <row r="273" spans="1:58" hidden="1" outlineLevel="1" x14ac:dyDescent="0.35">
      <c r="A273" s="1071"/>
      <c r="B273" s="106"/>
      <c r="C273" s="103"/>
      <c r="D273" s="4065"/>
      <c r="E273" s="4070"/>
      <c r="F273" s="3931" t="str">
        <f t="shared" si="49"/>
        <v>CAC-SEER21+_ER1_SF</v>
      </c>
      <c r="G273" s="3932"/>
      <c r="H273" s="3933"/>
      <c r="I273" s="2224" t="str">
        <f t="shared" si="50"/>
        <v>351190_2021_12_</v>
      </c>
      <c r="J273" s="2874">
        <v>869</v>
      </c>
      <c r="K273" s="2875"/>
      <c r="L273" s="4152"/>
      <c r="M273" s="106"/>
      <c r="N273" s="1287"/>
      <c r="O273" s="106"/>
      <c r="P273" s="106"/>
      <c r="Q273" s="106"/>
      <c r="R273" s="106"/>
      <c r="S273" s="106"/>
      <c r="T273" s="106"/>
      <c r="U273" s="106"/>
      <c r="V273" s="4023"/>
      <c r="W273" s="2224"/>
      <c r="X273" s="2224"/>
      <c r="Y273" s="2224"/>
      <c r="Z273" s="2374">
        <v>869</v>
      </c>
      <c r="AA273" s="2224">
        <v>869</v>
      </c>
      <c r="AB273" s="2874">
        <v>869</v>
      </c>
      <c r="AC273" s="2874">
        <v>869</v>
      </c>
      <c r="AD273" s="2874">
        <v>869</v>
      </c>
      <c r="AE273" s="2224"/>
      <c r="AF273" s="2224"/>
      <c r="AG273" s="2224"/>
      <c r="AH273" s="156"/>
      <c r="AI273" s="156"/>
      <c r="AJ273" s="156"/>
      <c r="AK273" s="156"/>
      <c r="AL273" s="156"/>
      <c r="AM273" s="156"/>
      <c r="AN273" s="156"/>
      <c r="AO273" s="156"/>
      <c r="AP273" s="156"/>
      <c r="AQ273" s="156"/>
      <c r="AR273" s="156"/>
      <c r="AS273" s="156"/>
      <c r="AT273" s="156"/>
      <c r="AU273" s="156"/>
      <c r="AV273" s="156"/>
      <c r="AW273" s="156"/>
      <c r="AX273" s="156"/>
      <c r="AY273" s="156"/>
      <c r="AZ273" s="156"/>
      <c r="BA273" s="156"/>
      <c r="BB273" s="2828"/>
      <c r="BC273" s="504"/>
      <c r="BD273" s="2829"/>
      <c r="BE273" s="2837"/>
      <c r="BF273" s="156"/>
    </row>
    <row r="274" spans="1:58" hidden="1" outlineLevel="1" x14ac:dyDescent="0.35">
      <c r="A274" s="1071"/>
      <c r="B274" s="106"/>
      <c r="C274" s="103"/>
      <c r="D274" s="4065"/>
      <c r="E274" s="4070"/>
      <c r="F274" s="3931" t="str">
        <f t="shared" ref="F274:F281" si="51">E183</f>
        <v>CAC-SEER21+_ER2_SF</v>
      </c>
      <c r="G274" s="3932"/>
      <c r="H274" s="3933"/>
      <c r="I274" s="2224" t="str">
        <f t="shared" ref="I274:I281" si="52">C183</f>
        <v>351190_2021_12_</v>
      </c>
      <c r="J274" s="2874">
        <v>869</v>
      </c>
      <c r="K274" s="2875"/>
      <c r="L274" s="4152"/>
      <c r="M274" s="106"/>
      <c r="N274" s="1287"/>
      <c r="O274" s="106"/>
      <c r="P274" s="106"/>
      <c r="Q274" s="106"/>
      <c r="R274" s="106"/>
      <c r="S274" s="106"/>
      <c r="T274" s="106"/>
      <c r="U274" s="106"/>
      <c r="V274" s="4023"/>
      <c r="W274" s="2224"/>
      <c r="X274" s="2224"/>
      <c r="Y274" s="2224"/>
      <c r="Z274" s="2374">
        <v>869</v>
      </c>
      <c r="AA274" s="2224">
        <v>869</v>
      </c>
      <c r="AB274" s="2874">
        <v>869</v>
      </c>
      <c r="AC274" s="2874">
        <v>869</v>
      </c>
      <c r="AD274" s="2874">
        <v>869</v>
      </c>
      <c r="AE274" s="2224"/>
      <c r="AF274" s="2224"/>
      <c r="AG274" s="2224"/>
      <c r="AH274" s="156"/>
      <c r="AI274" s="156"/>
      <c r="AJ274" s="156"/>
      <c r="AK274" s="156"/>
      <c r="AL274" s="156"/>
      <c r="AM274" s="156"/>
      <c r="AN274" s="156"/>
      <c r="AO274" s="156"/>
      <c r="AP274" s="156"/>
      <c r="AQ274" s="156"/>
      <c r="AR274" s="156"/>
      <c r="AS274" s="156"/>
      <c r="AT274" s="156"/>
      <c r="AU274" s="156"/>
      <c r="AV274" s="156"/>
      <c r="AW274" s="156"/>
      <c r="AX274" s="156"/>
      <c r="AY274" s="156"/>
      <c r="AZ274" s="156"/>
      <c r="BA274" s="156"/>
      <c r="BB274" s="2828"/>
      <c r="BC274" s="504"/>
      <c r="BD274" s="2829"/>
      <c r="BE274" s="2837"/>
      <c r="BF274" s="156"/>
    </row>
    <row r="275" spans="1:58" hidden="1" outlineLevel="1" x14ac:dyDescent="0.35">
      <c r="A275" s="1071"/>
      <c r="B275" s="106"/>
      <c r="C275" s="103"/>
      <c r="D275" s="4065"/>
      <c r="E275" s="4070"/>
      <c r="F275" s="3931" t="str">
        <f t="shared" si="51"/>
        <v>CAC-SEER21+_ROF_SF</v>
      </c>
      <c r="G275" s="3932"/>
      <c r="H275" s="3933"/>
      <c r="I275" s="2224" t="str">
        <f t="shared" si="52"/>
        <v>351191_2021_12_</v>
      </c>
      <c r="J275" s="2874">
        <v>869</v>
      </c>
      <c r="K275" s="2875"/>
      <c r="L275" s="4152"/>
      <c r="M275" s="106"/>
      <c r="N275" s="1287"/>
      <c r="O275" s="106"/>
      <c r="P275" s="106"/>
      <c r="Q275" s="106"/>
      <c r="R275" s="106"/>
      <c r="S275" s="106"/>
      <c r="T275" s="106"/>
      <c r="U275" s="106"/>
      <c r="V275" s="4023"/>
      <c r="W275" s="2224"/>
      <c r="X275" s="2224"/>
      <c r="Y275" s="2224"/>
      <c r="Z275" s="2374">
        <v>869</v>
      </c>
      <c r="AA275" s="2224">
        <v>869</v>
      </c>
      <c r="AB275" s="2874">
        <v>869</v>
      </c>
      <c r="AC275" s="2874">
        <v>869</v>
      </c>
      <c r="AD275" s="2874">
        <v>869</v>
      </c>
      <c r="AE275" s="2224"/>
      <c r="AF275" s="2224"/>
      <c r="AG275" s="2224"/>
      <c r="AH275" s="156"/>
      <c r="AI275" s="156"/>
      <c r="AJ275" s="156"/>
      <c r="AK275" s="156"/>
      <c r="AL275" s="156"/>
      <c r="AM275" s="156"/>
      <c r="AN275" s="156"/>
      <c r="AO275" s="156"/>
      <c r="AP275" s="156"/>
      <c r="AQ275" s="156"/>
      <c r="AR275" s="156"/>
      <c r="AS275" s="156"/>
      <c r="AT275" s="156"/>
      <c r="AU275" s="156"/>
      <c r="AV275" s="156"/>
      <c r="AW275" s="156"/>
      <c r="AX275" s="156"/>
      <c r="AY275" s="156"/>
      <c r="AZ275" s="156"/>
      <c r="BA275" s="156"/>
      <c r="BB275" s="2828"/>
      <c r="BC275" s="504"/>
      <c r="BD275" s="2829"/>
      <c r="BE275" s="2837"/>
      <c r="BF275" s="156"/>
    </row>
    <row r="276" spans="1:58" hidden="1" outlineLevel="1" x14ac:dyDescent="0.35">
      <c r="A276" s="1071"/>
      <c r="B276" s="106"/>
      <c r="C276" s="103"/>
      <c r="D276" s="4065"/>
      <c r="E276" s="4070"/>
      <c r="F276" s="3931" t="str">
        <f t="shared" si="51"/>
        <v>CAC-SEER21+_ER1_MF</v>
      </c>
      <c r="G276" s="3932"/>
      <c r="H276" s="3933"/>
      <c r="I276" s="2224" t="str">
        <f t="shared" si="52"/>
        <v>351192_2021_12_</v>
      </c>
      <c r="J276" s="2874">
        <v>869</v>
      </c>
      <c r="K276" s="2875"/>
      <c r="L276" s="4152"/>
      <c r="M276" s="106"/>
      <c r="N276" s="1287"/>
      <c r="O276" s="106"/>
      <c r="P276" s="106"/>
      <c r="Q276" s="106"/>
      <c r="R276" s="106"/>
      <c r="S276" s="106"/>
      <c r="T276" s="106"/>
      <c r="U276" s="106"/>
      <c r="V276" s="4023"/>
      <c r="W276" s="2224"/>
      <c r="X276" s="2224"/>
      <c r="Y276" s="2224"/>
      <c r="Z276" s="2374">
        <v>869</v>
      </c>
      <c r="AA276" s="2224">
        <v>869</v>
      </c>
      <c r="AB276" s="2874">
        <v>869</v>
      </c>
      <c r="AC276" s="2874">
        <v>869</v>
      </c>
      <c r="AD276" s="2874">
        <v>869</v>
      </c>
      <c r="AE276" s="2224"/>
      <c r="AF276" s="2224"/>
      <c r="AG276" s="2224"/>
      <c r="AH276" s="156"/>
      <c r="AI276" s="156"/>
      <c r="AJ276" s="156"/>
      <c r="AK276" s="156"/>
      <c r="AL276" s="156"/>
      <c r="AM276" s="156"/>
      <c r="AN276" s="156"/>
      <c r="AO276" s="156"/>
      <c r="AP276" s="156"/>
      <c r="AQ276" s="156"/>
      <c r="AR276" s="156"/>
      <c r="AS276" s="156"/>
      <c r="AT276" s="156"/>
      <c r="AU276" s="156"/>
      <c r="AV276" s="156"/>
      <c r="AW276" s="156"/>
      <c r="AX276" s="156"/>
      <c r="AY276" s="156"/>
      <c r="AZ276" s="156"/>
      <c r="BA276" s="156"/>
      <c r="BB276" s="2828"/>
      <c r="BC276" s="504"/>
      <c r="BD276" s="2829"/>
      <c r="BE276" s="2837"/>
      <c r="BF276" s="156"/>
    </row>
    <row r="277" spans="1:58" ht="14.5" hidden="1" customHeight="1" outlineLevel="1" x14ac:dyDescent="0.35">
      <c r="A277" s="1071"/>
      <c r="B277" s="106"/>
      <c r="C277" s="103"/>
      <c r="D277" s="4065"/>
      <c r="E277" s="4070"/>
      <c r="F277" s="3931" t="str">
        <f t="shared" si="51"/>
        <v>CAC-SEER21+_ER2_MF</v>
      </c>
      <c r="G277" s="3932"/>
      <c r="H277" s="3933"/>
      <c r="I277" s="2224" t="str">
        <f t="shared" si="52"/>
        <v>351192_2021_12_</v>
      </c>
      <c r="J277" s="2874">
        <v>869</v>
      </c>
      <c r="K277" s="2875"/>
      <c r="L277" s="4152"/>
      <c r="M277" s="106"/>
      <c r="N277" s="1287"/>
      <c r="O277" s="106"/>
      <c r="P277" s="106"/>
      <c r="Q277" s="106"/>
      <c r="R277" s="106"/>
      <c r="S277" s="106"/>
      <c r="T277" s="106"/>
      <c r="U277" s="106"/>
      <c r="V277" s="4023"/>
      <c r="W277" s="2224"/>
      <c r="X277" s="2224"/>
      <c r="Y277" s="2224"/>
      <c r="Z277" s="2374">
        <v>869</v>
      </c>
      <c r="AA277" s="2224">
        <v>869</v>
      </c>
      <c r="AB277" s="2874">
        <v>869</v>
      </c>
      <c r="AC277" s="2874">
        <v>869</v>
      </c>
      <c r="AD277" s="2874">
        <v>869</v>
      </c>
      <c r="AE277" s="2224"/>
      <c r="AF277" s="2224"/>
      <c r="AG277" s="2224"/>
      <c r="AH277" s="156"/>
      <c r="AI277" s="156"/>
      <c r="AJ277" s="156"/>
      <c r="AK277" s="156"/>
      <c r="AL277" s="156"/>
      <c r="AM277" s="156"/>
      <c r="AN277" s="156"/>
      <c r="AO277" s="156"/>
      <c r="AP277" s="156"/>
      <c r="AQ277" s="156"/>
      <c r="AR277" s="156"/>
      <c r="AS277" s="156"/>
      <c r="AT277" s="156"/>
      <c r="AU277" s="156"/>
      <c r="AV277" s="156"/>
      <c r="AW277" s="156"/>
      <c r="AX277" s="156"/>
      <c r="AY277" s="156"/>
      <c r="AZ277" s="156"/>
      <c r="BA277" s="156"/>
      <c r="BB277" s="2828"/>
      <c r="BC277" s="504"/>
      <c r="BD277" s="2829"/>
      <c r="BE277" s="2837"/>
      <c r="BF277" s="156"/>
    </row>
    <row r="278" spans="1:58" ht="14.5" hidden="1" customHeight="1" outlineLevel="1" x14ac:dyDescent="0.35">
      <c r="A278" s="1071"/>
      <c r="B278" s="106"/>
      <c r="C278" s="103"/>
      <c r="D278" s="4065"/>
      <c r="E278" s="4070"/>
      <c r="F278" s="3931" t="str">
        <f t="shared" si="51"/>
        <v>CAC-SEER21+_ER1_MF_CompE</v>
      </c>
      <c r="G278" s="3932"/>
      <c r="H278" s="3933"/>
      <c r="I278" s="2224" t="str">
        <f t="shared" si="52"/>
        <v>351193_2021_12_</v>
      </c>
      <c r="J278" s="2874">
        <f>$J$215</f>
        <v>632</v>
      </c>
      <c r="K278" s="2878"/>
      <c r="L278" s="4152"/>
      <c r="M278" s="106"/>
      <c r="N278" s="1287"/>
      <c r="O278" s="106"/>
      <c r="P278" s="106"/>
      <c r="Q278" s="106"/>
      <c r="R278" s="106"/>
      <c r="S278" s="106"/>
      <c r="T278" s="106"/>
      <c r="U278" s="106"/>
      <c r="V278" s="4023"/>
      <c r="W278" s="576"/>
      <c r="X278" s="576"/>
      <c r="Y278" s="575"/>
      <c r="Z278" s="575">
        <v>632</v>
      </c>
      <c r="AA278" s="576">
        <v>632</v>
      </c>
      <c r="AB278" s="2874">
        <v>632</v>
      </c>
      <c r="AC278" s="2874">
        <v>632</v>
      </c>
      <c r="AD278" s="2874">
        <f>$J$215</f>
        <v>632</v>
      </c>
      <c r="AE278" s="576"/>
      <c r="AF278" s="576"/>
      <c r="AG278" s="576"/>
      <c r="AH278" s="156"/>
      <c r="AI278" s="156"/>
      <c r="AJ278" s="156"/>
      <c r="AK278" s="156"/>
      <c r="AL278" s="156"/>
      <c r="AM278" s="156"/>
      <c r="AN278" s="156"/>
      <c r="AO278" s="156"/>
      <c r="AP278" s="156"/>
      <c r="AQ278" s="156"/>
      <c r="AR278" s="156"/>
      <c r="AS278" s="156"/>
      <c r="AT278" s="156"/>
      <c r="AU278" s="156"/>
      <c r="AV278" s="156"/>
      <c r="AW278" s="156"/>
      <c r="AX278" s="156"/>
      <c r="AY278" s="156"/>
      <c r="AZ278" s="156"/>
      <c r="BA278" s="156"/>
      <c r="BB278" s="2828"/>
      <c r="BC278" s="504"/>
      <c r="BD278" s="2829"/>
      <c r="BE278" s="2837"/>
      <c r="BF278" s="156"/>
    </row>
    <row r="279" spans="1:58" ht="14.5" hidden="1" customHeight="1" outlineLevel="1" x14ac:dyDescent="0.35">
      <c r="A279" s="1071"/>
      <c r="B279" s="106"/>
      <c r="C279" s="103"/>
      <c r="D279" s="4065"/>
      <c r="E279" s="4070"/>
      <c r="F279" s="3931" t="str">
        <f t="shared" si="51"/>
        <v>CAC-SEER21+_ER2_MF_CompE</v>
      </c>
      <c r="G279" s="3932"/>
      <c r="H279" s="3933"/>
      <c r="I279" s="2224" t="str">
        <f t="shared" si="52"/>
        <v>351193_2021_12_</v>
      </c>
      <c r="J279" s="2874">
        <f>$J$215</f>
        <v>632</v>
      </c>
      <c r="K279" s="2878"/>
      <c r="L279" s="4152"/>
      <c r="M279" s="106"/>
      <c r="N279" s="1287"/>
      <c r="O279" s="106"/>
      <c r="P279" s="106"/>
      <c r="Q279" s="106"/>
      <c r="R279" s="106"/>
      <c r="S279" s="106"/>
      <c r="T279" s="106"/>
      <c r="U279" s="106"/>
      <c r="V279" s="4023"/>
      <c r="W279" s="576"/>
      <c r="X279" s="576"/>
      <c r="Y279" s="575"/>
      <c r="Z279" s="575">
        <v>632</v>
      </c>
      <c r="AA279" s="576">
        <v>632</v>
      </c>
      <c r="AB279" s="2874">
        <v>632</v>
      </c>
      <c r="AC279" s="2874">
        <v>632</v>
      </c>
      <c r="AD279" s="2874">
        <f>$J$215</f>
        <v>632</v>
      </c>
      <c r="AE279" s="576"/>
      <c r="AF279" s="576"/>
      <c r="AG279" s="576"/>
      <c r="AH279" s="156"/>
      <c r="AI279" s="156"/>
      <c r="AJ279" s="156"/>
      <c r="AK279" s="156"/>
      <c r="AL279" s="156"/>
      <c r="AM279" s="156"/>
      <c r="AN279" s="156"/>
      <c r="AO279" s="156"/>
      <c r="AP279" s="156"/>
      <c r="AQ279" s="156"/>
      <c r="AR279" s="156"/>
      <c r="AS279" s="156"/>
      <c r="AT279" s="156"/>
      <c r="AU279" s="156"/>
      <c r="AV279" s="156"/>
      <c r="AW279" s="156"/>
      <c r="AX279" s="156"/>
      <c r="AY279" s="156"/>
      <c r="AZ279" s="156"/>
      <c r="BA279" s="156"/>
      <c r="BB279" s="2828"/>
      <c r="BC279" s="504"/>
      <c r="BD279" s="2829"/>
      <c r="BE279" s="2837"/>
      <c r="BF279" s="156"/>
    </row>
    <row r="280" spans="1:58" ht="15" hidden="1" customHeight="1" outlineLevel="1" x14ac:dyDescent="0.35">
      <c r="A280" s="1071"/>
      <c r="B280" s="106"/>
      <c r="C280" s="103"/>
      <c r="D280" s="4065"/>
      <c r="E280" s="4070"/>
      <c r="F280" s="3931" t="str">
        <f t="shared" si="51"/>
        <v>CAC-SEER21+_ROF_MF</v>
      </c>
      <c r="G280" s="3932"/>
      <c r="H280" s="3933"/>
      <c r="I280" s="2224" t="str">
        <f t="shared" si="52"/>
        <v>351194_2021_12_</v>
      </c>
      <c r="J280" s="2879">
        <v>869</v>
      </c>
      <c r="K280" s="2878"/>
      <c r="L280" s="4152"/>
      <c r="M280" s="106"/>
      <c r="N280" s="1287"/>
      <c r="O280" s="106"/>
      <c r="P280" s="106"/>
      <c r="Q280" s="106"/>
      <c r="R280" s="106"/>
      <c r="S280" s="106"/>
      <c r="T280" s="106"/>
      <c r="U280" s="106"/>
      <c r="V280" s="4023"/>
      <c r="W280" s="2224"/>
      <c r="X280" s="2224"/>
      <c r="Y280" s="2224"/>
      <c r="Z280" s="2374">
        <v>869</v>
      </c>
      <c r="AA280" s="2224">
        <v>869</v>
      </c>
      <c r="AB280" s="2879">
        <v>869</v>
      </c>
      <c r="AC280" s="2879">
        <v>869</v>
      </c>
      <c r="AD280" s="2879">
        <v>869</v>
      </c>
      <c r="AE280" s="2224"/>
      <c r="AF280" s="2224"/>
      <c r="AG280" s="2224"/>
      <c r="AH280" s="156"/>
      <c r="AI280" s="156"/>
      <c r="AJ280" s="156"/>
      <c r="AK280" s="156"/>
      <c r="AL280" s="156"/>
      <c r="AM280" s="156"/>
      <c r="AN280" s="156"/>
      <c r="AO280" s="156"/>
      <c r="AP280" s="156"/>
      <c r="AQ280" s="156"/>
      <c r="AR280" s="156"/>
      <c r="AS280" s="156"/>
      <c r="AT280" s="156"/>
      <c r="AU280" s="156"/>
      <c r="AV280" s="156"/>
      <c r="AW280" s="156"/>
      <c r="AX280" s="156"/>
      <c r="AY280" s="156"/>
      <c r="AZ280" s="156"/>
      <c r="BA280" s="156"/>
      <c r="BB280" s="2828"/>
      <c r="BC280" s="504"/>
      <c r="BD280" s="2829"/>
      <c r="BE280" s="2837"/>
      <c r="BF280" s="156"/>
    </row>
    <row r="281" spans="1:58" ht="15" hidden="1" customHeight="1" outlineLevel="1" thickBot="1" x14ac:dyDescent="0.4">
      <c r="A281" s="1071"/>
      <c r="B281" s="106"/>
      <c r="C281" s="103"/>
      <c r="D281" s="4066"/>
      <c r="E281" s="4071"/>
      <c r="F281" s="3931" t="str">
        <f t="shared" si="51"/>
        <v>CAC-SEER21+_ROF_MF_CompE</v>
      </c>
      <c r="G281" s="3932"/>
      <c r="H281" s="3933"/>
      <c r="I281" s="2227" t="str">
        <f t="shared" si="52"/>
        <v>351195_2021_12_</v>
      </c>
      <c r="J281" s="2874">
        <f>$J$215</f>
        <v>632</v>
      </c>
      <c r="K281" s="2880"/>
      <c r="L281" s="4153"/>
      <c r="M281" s="106"/>
      <c r="N281" s="1287"/>
      <c r="O281" s="106"/>
      <c r="P281" s="106"/>
      <c r="Q281" s="106"/>
      <c r="R281" s="106"/>
      <c r="S281" s="106"/>
      <c r="T281" s="106"/>
      <c r="U281" s="106"/>
      <c r="V281" s="4024"/>
      <c r="W281" s="578"/>
      <c r="X281" s="578"/>
      <c r="Y281" s="577"/>
      <c r="Z281" s="577">
        <v>632</v>
      </c>
      <c r="AA281" s="578">
        <v>632</v>
      </c>
      <c r="AB281" s="2874">
        <v>632</v>
      </c>
      <c r="AC281" s="2874">
        <v>632</v>
      </c>
      <c r="AD281" s="2874">
        <f>$J$215</f>
        <v>632</v>
      </c>
      <c r="AE281" s="578"/>
      <c r="AF281" s="578"/>
      <c r="AG281" s="578"/>
      <c r="AH281" s="156"/>
      <c r="AI281" s="156"/>
      <c r="AJ281" s="156"/>
      <c r="AK281" s="156"/>
      <c r="AL281" s="156"/>
      <c r="AM281" s="156"/>
      <c r="AN281" s="156"/>
      <c r="AO281" s="156"/>
      <c r="AP281" s="156"/>
      <c r="AQ281" s="156"/>
      <c r="AR281" s="156"/>
      <c r="AS281" s="156"/>
      <c r="AT281" s="156"/>
      <c r="AU281" s="156"/>
      <c r="AV281" s="156"/>
      <c r="AW281" s="156"/>
      <c r="AX281" s="156"/>
      <c r="AY281" s="156"/>
      <c r="AZ281" s="156"/>
      <c r="BA281" s="156"/>
      <c r="BB281" s="2828"/>
      <c r="BC281" s="504"/>
      <c r="BD281" s="2829"/>
      <c r="BE281" s="2837"/>
      <c r="BF281" s="156"/>
    </row>
    <row r="282" spans="1:58" ht="14.5" hidden="1" customHeight="1" outlineLevel="1" x14ac:dyDescent="0.35">
      <c r="A282" s="1071"/>
      <c r="B282" s="106"/>
      <c r="C282" s="103"/>
      <c r="D282" s="4021" t="s">
        <v>969</v>
      </c>
      <c r="E282" s="4115" t="s">
        <v>970</v>
      </c>
      <c r="F282" s="3925" t="str">
        <f t="shared" ref="F282:F345" si="53">F210</f>
        <v>CAC-SEER14_ER1_SF</v>
      </c>
      <c r="G282" s="3926"/>
      <c r="H282" s="3927"/>
      <c r="I282" s="2228" t="str">
        <f t="shared" ref="I282:I345" si="54">I210</f>
        <v>350400_2021_12_</v>
      </c>
      <c r="J282" s="2040">
        <f>2.98*12000</f>
        <v>35760</v>
      </c>
      <c r="K282" s="1875">
        <f t="shared" ref="K282:K345" si="55">J282/12000</f>
        <v>2.98</v>
      </c>
      <c r="L282" s="2041" t="s">
        <v>971</v>
      </c>
      <c r="M282" s="106"/>
      <c r="N282" s="1287"/>
      <c r="O282" s="106"/>
      <c r="P282" s="106"/>
      <c r="Q282" s="106"/>
      <c r="R282" s="106"/>
      <c r="S282" s="106"/>
      <c r="T282" s="106"/>
      <c r="U282" s="106"/>
      <c r="V282" s="4021" t="str">
        <f>D282</f>
        <v>Btu/hr / Capacity</v>
      </c>
      <c r="W282" s="2228">
        <v>36000</v>
      </c>
      <c r="X282" s="2376">
        <f>3.05*12000</f>
        <v>36600</v>
      </c>
      <c r="Y282" s="2376">
        <v>35760</v>
      </c>
      <c r="Z282" s="2228">
        <v>35760</v>
      </c>
      <c r="AA282" s="2228">
        <v>35760</v>
      </c>
      <c r="AB282" s="2881">
        <v>35760</v>
      </c>
      <c r="AC282" s="2040">
        <v>35760</v>
      </c>
      <c r="AD282" s="2040">
        <f>2.98*12000</f>
        <v>35760</v>
      </c>
      <c r="AE282" s="2228"/>
      <c r="AF282" s="2228"/>
      <c r="AG282" s="2228"/>
      <c r="AH282" s="156"/>
      <c r="AI282" s="156"/>
      <c r="AJ282" s="156"/>
      <c r="AK282" s="156"/>
      <c r="AL282" s="156"/>
      <c r="AM282" s="156"/>
      <c r="AN282" s="156"/>
      <c r="AO282" s="156"/>
      <c r="AP282" s="156"/>
      <c r="AQ282" s="156"/>
      <c r="AR282" s="156"/>
      <c r="AS282" s="156"/>
      <c r="AT282" s="156"/>
      <c r="AU282" s="156"/>
      <c r="AV282" s="156"/>
      <c r="AW282" s="156"/>
      <c r="AX282" s="156"/>
      <c r="AY282" s="156"/>
      <c r="AZ282" s="156"/>
      <c r="BA282" s="156"/>
      <c r="BB282" s="2828"/>
      <c r="BC282" s="504"/>
      <c r="BD282" s="2829"/>
      <c r="BE282" s="2837"/>
      <c r="BF282" s="156"/>
    </row>
    <row r="283" spans="1:58" ht="14.5" hidden="1" customHeight="1" outlineLevel="1" x14ac:dyDescent="0.35">
      <c r="A283" s="1071"/>
      <c r="B283" s="106"/>
      <c r="C283" s="103"/>
      <c r="D283" s="4140"/>
      <c r="E283" s="4111"/>
      <c r="F283" s="3919" t="str">
        <f t="shared" si="53"/>
        <v>CAC-SEER14_ER2_SF</v>
      </c>
      <c r="G283" s="3920"/>
      <c r="H283" s="3921"/>
      <c r="I283" s="2224" t="str">
        <f t="shared" si="54"/>
        <v>350400_2021_12_</v>
      </c>
      <c r="J283" s="2042">
        <f>2.98*12000</f>
        <v>35760</v>
      </c>
      <c r="K283" s="52">
        <f t="shared" si="55"/>
        <v>2.98</v>
      </c>
      <c r="L283" s="2043" t="s">
        <v>971</v>
      </c>
      <c r="M283" s="106"/>
      <c r="N283" s="1287"/>
      <c r="O283" s="106"/>
      <c r="P283" s="106"/>
      <c r="Q283" s="106"/>
      <c r="R283" s="106"/>
      <c r="S283" s="106"/>
      <c r="T283" s="106"/>
      <c r="U283" s="106"/>
      <c r="V283" s="4022"/>
      <c r="W283" s="2224">
        <v>36000</v>
      </c>
      <c r="X283" s="2374">
        <f>3.05*12000</f>
        <v>36600</v>
      </c>
      <c r="Y283" s="2374">
        <v>35760</v>
      </c>
      <c r="Z283" s="2224">
        <v>35760</v>
      </c>
      <c r="AA283" s="2224">
        <v>35760</v>
      </c>
      <c r="AB283" s="2882">
        <v>35760</v>
      </c>
      <c r="AC283" s="2042">
        <v>35760</v>
      </c>
      <c r="AD283" s="2042">
        <f>2.98*12000</f>
        <v>35760</v>
      </c>
      <c r="AE283" s="2224"/>
      <c r="AF283" s="2224"/>
      <c r="AG283" s="2224"/>
      <c r="AH283" s="156"/>
      <c r="AI283" s="156"/>
      <c r="AJ283" s="156"/>
      <c r="AK283" s="156"/>
      <c r="AL283" s="156"/>
      <c r="AM283" s="156"/>
      <c r="AN283" s="156"/>
      <c r="AO283" s="156"/>
      <c r="AP283" s="156"/>
      <c r="AQ283" s="156"/>
      <c r="AR283" s="156"/>
      <c r="AS283" s="156"/>
      <c r="AT283" s="156"/>
      <c r="AU283" s="156"/>
      <c r="AV283" s="156"/>
      <c r="AW283" s="156"/>
      <c r="AX283" s="156"/>
      <c r="AY283" s="156"/>
      <c r="AZ283" s="156"/>
      <c r="BA283" s="156"/>
      <c r="BB283" s="2828"/>
      <c r="BC283" s="504"/>
      <c r="BD283" s="2829"/>
      <c r="BE283" s="2837"/>
      <c r="BF283" s="156"/>
    </row>
    <row r="284" spans="1:58" ht="14.5" hidden="1" customHeight="1" outlineLevel="1" x14ac:dyDescent="0.35">
      <c r="A284" s="1071"/>
      <c r="B284" s="106"/>
      <c r="C284" s="103"/>
      <c r="D284" s="4140"/>
      <c r="E284" s="4111"/>
      <c r="F284" s="3919" t="str">
        <f t="shared" si="53"/>
        <v>CAC-SEER14_ROF_SF</v>
      </c>
      <c r="G284" s="3920"/>
      <c r="H284" s="3921"/>
      <c r="I284" s="2224" t="str">
        <f t="shared" si="54"/>
        <v>350450_2021_12_</v>
      </c>
      <c r="J284" s="2044">
        <f>2.97*12000</f>
        <v>35640</v>
      </c>
      <c r="K284" s="52">
        <f t="shared" si="55"/>
        <v>2.97</v>
      </c>
      <c r="L284" s="2043" t="s">
        <v>971</v>
      </c>
      <c r="M284" s="1292"/>
      <c r="N284" s="1287"/>
      <c r="O284" s="106"/>
      <c r="P284" s="106"/>
      <c r="Q284" s="106"/>
      <c r="R284" s="106"/>
      <c r="S284" s="106"/>
      <c r="T284" s="106"/>
      <c r="U284" s="106"/>
      <c r="V284" s="4022"/>
      <c r="W284" s="2224">
        <v>36000</v>
      </c>
      <c r="X284" s="2374">
        <f>3.05*12000</f>
        <v>36600</v>
      </c>
      <c r="Y284" s="2374">
        <v>35640</v>
      </c>
      <c r="Z284" s="2224">
        <v>35640</v>
      </c>
      <c r="AA284" s="2224">
        <v>35640</v>
      </c>
      <c r="AB284" s="2883">
        <v>35640</v>
      </c>
      <c r="AC284" s="2044">
        <v>35640</v>
      </c>
      <c r="AD284" s="2044">
        <f>2.97*12000</f>
        <v>35640</v>
      </c>
      <c r="AE284" s="2224"/>
      <c r="AF284" s="2224"/>
      <c r="AG284" s="2224"/>
      <c r="AH284" s="156"/>
      <c r="AI284" s="156"/>
      <c r="AJ284" s="156"/>
      <c r="AK284" s="156"/>
      <c r="AL284" s="156"/>
      <c r="AM284" s="156"/>
      <c r="AN284" s="156"/>
      <c r="AO284" s="156"/>
      <c r="AP284" s="156"/>
      <c r="AQ284" s="156"/>
      <c r="AR284" s="156"/>
      <c r="AS284" s="156"/>
      <c r="AT284" s="156"/>
      <c r="AU284" s="156"/>
      <c r="AV284" s="156"/>
      <c r="AW284" s="156"/>
      <c r="AX284" s="156"/>
      <c r="AY284" s="156"/>
      <c r="AZ284" s="156"/>
      <c r="BA284" s="156"/>
      <c r="BB284" s="2828"/>
      <c r="BC284" s="504"/>
      <c r="BD284" s="2829"/>
      <c r="BE284" s="2837"/>
      <c r="BF284" s="156"/>
    </row>
    <row r="285" spans="1:58" ht="14.5" hidden="1" customHeight="1" outlineLevel="1" x14ac:dyDescent="0.35">
      <c r="A285" s="1071"/>
      <c r="B285" s="106"/>
      <c r="C285" s="103"/>
      <c r="D285" s="4140"/>
      <c r="E285" s="4111"/>
      <c r="F285" s="3919" t="str">
        <f t="shared" si="53"/>
        <v>CAC-SEER14_ER1_MF</v>
      </c>
      <c r="G285" s="3920"/>
      <c r="H285" s="3921"/>
      <c r="I285" s="2224" t="str">
        <f t="shared" si="54"/>
        <v>350500_2021_12_</v>
      </c>
      <c r="J285" s="2042">
        <v>24000</v>
      </c>
      <c r="K285" s="52">
        <f t="shared" si="55"/>
        <v>2</v>
      </c>
      <c r="L285" s="2045" t="s">
        <v>972</v>
      </c>
      <c r="M285" s="1292"/>
      <c r="N285" s="1287"/>
      <c r="O285" s="106"/>
      <c r="P285" s="106"/>
      <c r="Q285" s="106"/>
      <c r="R285" s="106"/>
      <c r="S285" s="106"/>
      <c r="T285" s="106"/>
      <c r="U285" s="106"/>
      <c r="V285" s="4022"/>
      <c r="W285" s="2224">
        <v>36000</v>
      </c>
      <c r="X285" s="2374">
        <v>24000</v>
      </c>
      <c r="Y285" s="2224">
        <v>24000</v>
      </c>
      <c r="Z285" s="2224">
        <v>24000</v>
      </c>
      <c r="AA285" s="2224">
        <v>24000</v>
      </c>
      <c r="AB285" s="2882">
        <v>24000</v>
      </c>
      <c r="AC285" s="2042">
        <v>24000</v>
      </c>
      <c r="AD285" s="2042">
        <v>24000</v>
      </c>
      <c r="AE285" s="2224"/>
      <c r="AF285" s="2224"/>
      <c r="AG285" s="2224"/>
      <c r="AH285" s="156"/>
      <c r="AI285" s="156"/>
      <c r="AJ285" s="156"/>
      <c r="AK285" s="156"/>
      <c r="AL285" s="156"/>
      <c r="AM285" s="156"/>
      <c r="AN285" s="156"/>
      <c r="AO285" s="156"/>
      <c r="AP285" s="156"/>
      <c r="AQ285" s="156"/>
      <c r="AR285" s="156"/>
      <c r="AS285" s="156"/>
      <c r="AT285" s="156"/>
      <c r="AU285" s="156"/>
      <c r="AV285" s="156"/>
      <c r="AW285" s="156"/>
      <c r="AX285" s="156"/>
      <c r="AY285" s="156"/>
      <c r="AZ285" s="156"/>
      <c r="BA285" s="156"/>
      <c r="BB285" s="2828"/>
      <c r="BC285" s="504"/>
      <c r="BD285" s="2829"/>
      <c r="BE285" s="2837"/>
      <c r="BF285" s="156"/>
    </row>
    <row r="286" spans="1:58" ht="14.5" hidden="1" customHeight="1" outlineLevel="1" x14ac:dyDescent="0.35">
      <c r="A286" s="1071"/>
      <c r="B286" s="106"/>
      <c r="C286" s="103"/>
      <c r="D286" s="4140"/>
      <c r="E286" s="4111"/>
      <c r="F286" s="3919" t="str">
        <f t="shared" si="53"/>
        <v>CAC-SEER14_ER2_MF</v>
      </c>
      <c r="G286" s="3920"/>
      <c r="H286" s="3921"/>
      <c r="I286" s="2224" t="str">
        <f t="shared" si="54"/>
        <v>350500_2021_12_</v>
      </c>
      <c r="J286" s="2042">
        <v>24000</v>
      </c>
      <c r="K286" s="52">
        <f t="shared" si="55"/>
        <v>2</v>
      </c>
      <c r="L286" s="2045" t="s">
        <v>972</v>
      </c>
      <c r="M286" s="1292"/>
      <c r="N286" s="1287"/>
      <c r="O286" s="106"/>
      <c r="P286" s="106"/>
      <c r="Q286" s="106"/>
      <c r="R286" s="106"/>
      <c r="S286" s="106"/>
      <c r="T286" s="106"/>
      <c r="U286" s="106"/>
      <c r="V286" s="4022"/>
      <c r="W286" s="2224">
        <v>36000</v>
      </c>
      <c r="X286" s="2374">
        <v>24000</v>
      </c>
      <c r="Y286" s="2224">
        <v>24000</v>
      </c>
      <c r="Z286" s="2224">
        <v>24000</v>
      </c>
      <c r="AA286" s="2224">
        <v>24000</v>
      </c>
      <c r="AB286" s="2882">
        <v>24000</v>
      </c>
      <c r="AC286" s="2042">
        <v>24000</v>
      </c>
      <c r="AD286" s="2042">
        <v>24000</v>
      </c>
      <c r="AE286" s="2224"/>
      <c r="AF286" s="2224"/>
      <c r="AG286" s="2224"/>
      <c r="AH286" s="156"/>
      <c r="AI286" s="156"/>
      <c r="AJ286" s="156"/>
      <c r="AK286" s="156"/>
      <c r="AL286" s="156"/>
      <c r="AM286" s="156"/>
      <c r="AN286" s="156"/>
      <c r="AO286" s="156"/>
      <c r="AP286" s="156"/>
      <c r="AQ286" s="156"/>
      <c r="AR286" s="156"/>
      <c r="AS286" s="156"/>
      <c r="AT286" s="156"/>
      <c r="AU286" s="156"/>
      <c r="AV286" s="156"/>
      <c r="AW286" s="156"/>
      <c r="AX286" s="156"/>
      <c r="AY286" s="156"/>
      <c r="AZ286" s="156"/>
      <c r="BA286" s="156"/>
      <c r="BB286" s="2828"/>
      <c r="BC286" s="504"/>
      <c r="BD286" s="2829"/>
      <c r="BE286" s="2837"/>
      <c r="BF286" s="156"/>
    </row>
    <row r="287" spans="1:58" ht="14.5" hidden="1" customHeight="1" outlineLevel="1" x14ac:dyDescent="0.35">
      <c r="A287" s="1071"/>
      <c r="B287" s="106"/>
      <c r="C287" s="103"/>
      <c r="D287" s="4140"/>
      <c r="E287" s="4111"/>
      <c r="F287" s="3919" t="str">
        <f t="shared" si="53"/>
        <v>CAC-SEER14_ER1_MF_CompE</v>
      </c>
      <c r="G287" s="3920"/>
      <c r="H287" s="3921"/>
      <c r="I287" s="2224" t="str">
        <f t="shared" si="54"/>
        <v>350501_2021_12_</v>
      </c>
      <c r="J287" s="2042">
        <f>J285</f>
        <v>24000</v>
      </c>
      <c r="K287" s="52">
        <f t="shared" si="55"/>
        <v>2</v>
      </c>
      <c r="L287" s="2045" t="s">
        <v>973</v>
      </c>
      <c r="M287" s="1292"/>
      <c r="N287" s="1287"/>
      <c r="O287" s="106"/>
      <c r="P287" s="106"/>
      <c r="Q287" s="106"/>
      <c r="R287" s="106"/>
      <c r="S287" s="106"/>
      <c r="T287" s="106"/>
      <c r="U287" s="106"/>
      <c r="V287" s="4022"/>
      <c r="W287" s="2224"/>
      <c r="X287" s="2374"/>
      <c r="Y287" s="2374">
        <v>24000</v>
      </c>
      <c r="Z287" s="2224">
        <v>24000</v>
      </c>
      <c r="AA287" s="2224">
        <v>24000</v>
      </c>
      <c r="AB287" s="2882">
        <v>24000</v>
      </c>
      <c r="AC287" s="2042">
        <v>24000</v>
      </c>
      <c r="AD287" s="2042">
        <f>AD285</f>
        <v>24000</v>
      </c>
      <c r="AE287" s="2224"/>
      <c r="AF287" s="2224"/>
      <c r="AG287" s="2224"/>
      <c r="AH287" s="156"/>
      <c r="AI287" s="156"/>
      <c r="AJ287" s="156"/>
      <c r="AK287" s="156"/>
      <c r="AL287" s="156"/>
      <c r="AM287" s="156"/>
      <c r="AN287" s="156"/>
      <c r="AO287" s="156"/>
      <c r="AP287" s="156"/>
      <c r="AQ287" s="156"/>
      <c r="AR287" s="156"/>
      <c r="AS287" s="156"/>
      <c r="AT287" s="156"/>
      <c r="AU287" s="156"/>
      <c r="AV287" s="156"/>
      <c r="AW287" s="156"/>
      <c r="AX287" s="156"/>
      <c r="AY287" s="156"/>
      <c r="AZ287" s="156"/>
      <c r="BA287" s="156"/>
      <c r="BB287" s="2828"/>
      <c r="BC287" s="504"/>
      <c r="BD287" s="2829"/>
      <c r="BE287" s="2837"/>
      <c r="BF287" s="156"/>
    </row>
    <row r="288" spans="1:58" ht="14.5" hidden="1" customHeight="1" outlineLevel="1" x14ac:dyDescent="0.35">
      <c r="A288" s="1071"/>
      <c r="B288" s="106"/>
      <c r="C288" s="103"/>
      <c r="D288" s="4140"/>
      <c r="E288" s="4111"/>
      <c r="F288" s="3919" t="str">
        <f t="shared" si="53"/>
        <v>CAC-SEER14_ER2_MF_CompE</v>
      </c>
      <c r="G288" s="3920"/>
      <c r="H288" s="3921"/>
      <c r="I288" s="2224" t="str">
        <f t="shared" si="54"/>
        <v>350501_2021_12_</v>
      </c>
      <c r="J288" s="2042">
        <f>J286</f>
        <v>24000</v>
      </c>
      <c r="K288" s="52">
        <f t="shared" si="55"/>
        <v>2</v>
      </c>
      <c r="L288" s="2045" t="s">
        <v>973</v>
      </c>
      <c r="M288" s="1292"/>
      <c r="N288" s="1287"/>
      <c r="O288" s="106"/>
      <c r="P288" s="106"/>
      <c r="Q288" s="106"/>
      <c r="R288" s="106"/>
      <c r="S288" s="106"/>
      <c r="T288" s="106"/>
      <c r="U288" s="106"/>
      <c r="V288" s="4022"/>
      <c r="W288" s="2224"/>
      <c r="X288" s="2374"/>
      <c r="Y288" s="2374">
        <v>24000</v>
      </c>
      <c r="Z288" s="2224">
        <v>24000</v>
      </c>
      <c r="AA288" s="2224">
        <v>24000</v>
      </c>
      <c r="AB288" s="2882">
        <v>24000</v>
      </c>
      <c r="AC288" s="2042">
        <v>24000</v>
      </c>
      <c r="AD288" s="2042">
        <f>AD286</f>
        <v>24000</v>
      </c>
      <c r="AE288" s="2224"/>
      <c r="AF288" s="2224"/>
      <c r="AG288" s="2224"/>
      <c r="AH288" s="156"/>
      <c r="AI288" s="156"/>
      <c r="AJ288" s="156"/>
      <c r="AK288" s="156"/>
      <c r="AL288" s="156"/>
      <c r="AM288" s="156"/>
      <c r="AN288" s="156"/>
      <c r="AO288" s="156"/>
      <c r="AP288" s="156"/>
      <c r="AQ288" s="156"/>
      <c r="AR288" s="156"/>
      <c r="AS288" s="156"/>
      <c r="AT288" s="156"/>
      <c r="AU288" s="156"/>
      <c r="AV288" s="156"/>
      <c r="AW288" s="156"/>
      <c r="AX288" s="156"/>
      <c r="AY288" s="156"/>
      <c r="AZ288" s="156"/>
      <c r="BA288" s="156"/>
      <c r="BB288" s="2828"/>
      <c r="BC288" s="504"/>
      <c r="BD288" s="2829"/>
      <c r="BE288" s="2837"/>
      <c r="BF288" s="156"/>
    </row>
    <row r="289" spans="1:58" ht="14.5" hidden="1" customHeight="1" outlineLevel="1" x14ac:dyDescent="0.35">
      <c r="A289" s="1071"/>
      <c r="B289" s="106"/>
      <c r="C289" s="103"/>
      <c r="D289" s="4140"/>
      <c r="E289" s="4111"/>
      <c r="F289" s="3919" t="str">
        <f t="shared" si="53"/>
        <v>CAC-SEER14_ROF_MF</v>
      </c>
      <c r="G289" s="3920"/>
      <c r="H289" s="3921"/>
      <c r="I289" s="2224" t="str">
        <f t="shared" si="54"/>
        <v>350550_2021_12_</v>
      </c>
      <c r="J289" s="2046">
        <v>24000</v>
      </c>
      <c r="K289" s="49">
        <f t="shared" si="55"/>
        <v>2</v>
      </c>
      <c r="L289" s="2047" t="s">
        <v>520</v>
      </c>
      <c r="M289" s="1292"/>
      <c r="N289" s="1287"/>
      <c r="O289" s="106"/>
      <c r="P289" s="106"/>
      <c r="Q289" s="106"/>
      <c r="R289" s="106"/>
      <c r="S289" s="106"/>
      <c r="T289" s="106"/>
      <c r="U289" s="106"/>
      <c r="V289" s="4022"/>
      <c r="W289" s="2224">
        <v>36000</v>
      </c>
      <c r="X289" s="2374">
        <v>24000</v>
      </c>
      <c r="Y289" s="2374">
        <v>24000</v>
      </c>
      <c r="Z289" s="2224">
        <v>24000</v>
      </c>
      <c r="AA289" s="2224">
        <v>24000</v>
      </c>
      <c r="AB289" s="2884">
        <v>24000</v>
      </c>
      <c r="AC289" s="2046">
        <v>24000</v>
      </c>
      <c r="AD289" s="2046">
        <v>24000</v>
      </c>
      <c r="AE289" s="2224"/>
      <c r="AF289" s="2224"/>
      <c r="AG289" s="2224"/>
      <c r="AH289" s="156"/>
      <c r="AI289" s="156"/>
      <c r="AJ289" s="156"/>
      <c r="AK289" s="156"/>
      <c r="AL289" s="156"/>
      <c r="AM289" s="156"/>
      <c r="AN289" s="156"/>
      <c r="AO289" s="156"/>
      <c r="AP289" s="156"/>
      <c r="AQ289" s="156"/>
      <c r="AR289" s="156"/>
      <c r="AS289" s="156"/>
      <c r="AT289" s="156"/>
      <c r="AU289" s="156"/>
      <c r="AV289" s="156"/>
      <c r="AW289" s="156"/>
      <c r="AX289" s="156"/>
      <c r="AY289" s="156"/>
      <c r="AZ289" s="156"/>
      <c r="BA289" s="156"/>
      <c r="BB289" s="2828"/>
      <c r="BC289" s="504"/>
      <c r="BD289" s="2829"/>
      <c r="BE289" s="2837"/>
      <c r="BF289" s="156"/>
    </row>
    <row r="290" spans="1:58" ht="14.5" hidden="1" customHeight="1" outlineLevel="1" x14ac:dyDescent="0.35">
      <c r="A290" s="1071"/>
      <c r="B290" s="106"/>
      <c r="C290" s="103"/>
      <c r="D290" s="4140"/>
      <c r="E290" s="4111"/>
      <c r="F290" s="3919" t="str">
        <f t="shared" si="53"/>
        <v>CAC-SEER14_ROF_MF_CompE</v>
      </c>
      <c r="G290" s="3920"/>
      <c r="H290" s="3921"/>
      <c r="I290" s="2224" t="str">
        <f t="shared" si="54"/>
        <v>350551_2021_12_</v>
      </c>
      <c r="J290" s="2046">
        <f>J289</f>
        <v>24000</v>
      </c>
      <c r="K290" s="49">
        <f t="shared" si="55"/>
        <v>2</v>
      </c>
      <c r="L290" s="2045" t="s">
        <v>973</v>
      </c>
      <c r="M290" s="1292"/>
      <c r="N290" s="1287"/>
      <c r="O290" s="106"/>
      <c r="P290" s="106"/>
      <c r="Q290" s="106"/>
      <c r="R290" s="106"/>
      <c r="S290" s="106"/>
      <c r="T290" s="106"/>
      <c r="U290" s="106"/>
      <c r="V290" s="4022"/>
      <c r="W290" s="2224"/>
      <c r="X290" s="2374"/>
      <c r="Y290" s="2224">
        <v>24000</v>
      </c>
      <c r="Z290" s="2224">
        <v>24000</v>
      </c>
      <c r="AA290" s="2224">
        <v>24000</v>
      </c>
      <c r="AB290" s="2884">
        <v>24000</v>
      </c>
      <c r="AC290" s="2046">
        <v>24000</v>
      </c>
      <c r="AD290" s="2046">
        <f>AD289</f>
        <v>24000</v>
      </c>
      <c r="AE290" s="2224"/>
      <c r="AF290" s="2224"/>
      <c r="AG290" s="2224"/>
      <c r="AH290" s="156"/>
      <c r="AI290" s="156"/>
      <c r="AJ290" s="156"/>
      <c r="AK290" s="156"/>
      <c r="AL290" s="156"/>
      <c r="AM290" s="156"/>
      <c r="AN290" s="156"/>
      <c r="AO290" s="156"/>
      <c r="AP290" s="156"/>
      <c r="AQ290" s="156"/>
      <c r="AR290" s="156"/>
      <c r="AS290" s="156"/>
      <c r="AT290" s="156"/>
      <c r="AU290" s="156"/>
      <c r="AV290" s="156"/>
      <c r="AW290" s="156"/>
      <c r="AX290" s="156"/>
      <c r="AY290" s="156"/>
      <c r="AZ290" s="156"/>
      <c r="BA290" s="156"/>
      <c r="BB290" s="2828"/>
      <c r="BC290" s="504"/>
      <c r="BD290" s="2829"/>
      <c r="BE290" s="2837"/>
      <c r="BF290" s="156"/>
    </row>
    <row r="291" spans="1:58" ht="14.5" hidden="1" customHeight="1" outlineLevel="1" x14ac:dyDescent="0.35">
      <c r="A291" s="1071"/>
      <c r="B291" s="106"/>
      <c r="C291" s="103"/>
      <c r="D291" s="4140"/>
      <c r="E291" s="4111"/>
      <c r="F291" s="3919" t="str">
        <f t="shared" si="53"/>
        <v>CAC-SEER15_ER1_SF</v>
      </c>
      <c r="G291" s="3920"/>
      <c r="H291" s="3921"/>
      <c r="I291" s="2224" t="str">
        <f t="shared" si="54"/>
        <v>350600_2021_12_</v>
      </c>
      <c r="J291" s="1795">
        <v>37693.038869257951</v>
      </c>
      <c r="K291" s="322">
        <f t="shared" si="55"/>
        <v>3.1410865724381627</v>
      </c>
      <c r="L291" s="2729" t="s">
        <v>4360</v>
      </c>
      <c r="M291" s="1292"/>
      <c r="N291" s="1287"/>
      <c r="O291" s="106"/>
      <c r="P291" s="106"/>
      <c r="Q291" s="106"/>
      <c r="R291" s="106"/>
      <c r="S291" s="106"/>
      <c r="T291" s="106"/>
      <c r="U291" s="106"/>
      <c r="V291" s="4022"/>
      <c r="W291" s="2224">
        <v>39600</v>
      </c>
      <c r="X291" s="2374">
        <f>3.05*12000</f>
        <v>36600</v>
      </c>
      <c r="Y291" s="2374">
        <v>39240</v>
      </c>
      <c r="Z291" s="2224">
        <v>39240</v>
      </c>
      <c r="AA291" s="2224">
        <v>39240</v>
      </c>
      <c r="AB291" s="1795">
        <v>38991.153460381152</v>
      </c>
      <c r="AC291" s="1795">
        <v>37553.669972948606</v>
      </c>
      <c r="AD291" s="1795">
        <v>37693.038869257951</v>
      </c>
      <c r="AE291" s="2224"/>
      <c r="AF291" s="2224"/>
      <c r="AG291" s="2224"/>
      <c r="AH291" s="156"/>
      <c r="AI291" s="156"/>
      <c r="AJ291" s="156"/>
      <c r="AK291" s="156"/>
      <c r="AL291" s="156"/>
      <c r="AM291" s="156"/>
      <c r="AN291" s="156"/>
      <c r="AO291" s="156"/>
      <c r="AP291" s="156"/>
      <c r="AQ291" s="156"/>
      <c r="AR291" s="156"/>
      <c r="AS291" s="156"/>
      <c r="AT291" s="156"/>
      <c r="AU291" s="156"/>
      <c r="AV291" s="156"/>
      <c r="AW291" s="156"/>
      <c r="AX291" s="156"/>
      <c r="AY291" s="156"/>
      <c r="AZ291" s="156"/>
      <c r="BA291" s="156"/>
      <c r="BB291" s="2828"/>
      <c r="BC291" s="504"/>
      <c r="BD291" s="2829"/>
      <c r="BE291" s="2837"/>
      <c r="BF291" s="156"/>
    </row>
    <row r="292" spans="1:58" ht="14.5" hidden="1" customHeight="1" outlineLevel="1" x14ac:dyDescent="0.35">
      <c r="A292" s="1071"/>
      <c r="B292" s="106"/>
      <c r="C292" s="103"/>
      <c r="D292" s="4140"/>
      <c r="E292" s="4111"/>
      <c r="F292" s="3919" t="str">
        <f t="shared" si="53"/>
        <v>CAC-SEER15_ER2_SF</v>
      </c>
      <c r="G292" s="3920"/>
      <c r="H292" s="3921"/>
      <c r="I292" s="2224" t="str">
        <f t="shared" si="54"/>
        <v>350600_2021_12_</v>
      </c>
      <c r="J292" s="1795">
        <f>J291</f>
        <v>37693.038869257951</v>
      </c>
      <c r="K292" s="322">
        <f t="shared" si="55"/>
        <v>3.1410865724381627</v>
      </c>
      <c r="L292" s="2729" t="s">
        <v>4360</v>
      </c>
      <c r="M292" s="1292"/>
      <c r="N292" s="1287"/>
      <c r="O292" s="106"/>
      <c r="P292" s="106"/>
      <c r="Q292" s="106"/>
      <c r="R292" s="106"/>
      <c r="S292" s="106"/>
      <c r="T292" s="106"/>
      <c r="U292" s="106"/>
      <c r="V292" s="4022"/>
      <c r="W292" s="2224">
        <v>39600</v>
      </c>
      <c r="X292" s="2374">
        <f>3.05*12000</f>
        <v>36600</v>
      </c>
      <c r="Y292" s="2374">
        <v>39240</v>
      </c>
      <c r="Z292" s="2224">
        <v>39240</v>
      </c>
      <c r="AA292" s="2224">
        <v>39240</v>
      </c>
      <c r="AB292" s="1795">
        <v>38991.153460381152</v>
      </c>
      <c r="AC292" s="1795">
        <v>37553.669972948606</v>
      </c>
      <c r="AD292" s="1795">
        <f>AD291</f>
        <v>37693.038869257951</v>
      </c>
      <c r="AE292" s="2224"/>
      <c r="AF292" s="2224"/>
      <c r="AG292" s="2224"/>
      <c r="AH292" s="156"/>
      <c r="AI292" s="156"/>
      <c r="AJ292" s="156"/>
      <c r="AK292" s="156"/>
      <c r="AL292" s="156"/>
      <c r="AM292" s="156"/>
      <c r="AN292" s="156"/>
      <c r="AO292" s="156"/>
      <c r="AP292" s="156"/>
      <c r="AQ292" s="156"/>
      <c r="AR292" s="156"/>
      <c r="AS292" s="156"/>
      <c r="AT292" s="156"/>
      <c r="AU292" s="156"/>
      <c r="AV292" s="156"/>
      <c r="AW292" s="156"/>
      <c r="AX292" s="156"/>
      <c r="AY292" s="156"/>
      <c r="AZ292" s="156"/>
      <c r="BA292" s="156"/>
      <c r="BB292" s="2828"/>
      <c r="BC292" s="504"/>
      <c r="BD292" s="2829"/>
      <c r="BE292" s="2837"/>
      <c r="BF292" s="156"/>
    </row>
    <row r="293" spans="1:58" ht="14.5" hidden="1" customHeight="1" outlineLevel="1" x14ac:dyDescent="0.35">
      <c r="A293" s="1071"/>
      <c r="B293" s="106"/>
      <c r="C293" s="103"/>
      <c r="D293" s="4140"/>
      <c r="E293" s="4111"/>
      <c r="F293" s="3919" t="str">
        <f t="shared" si="53"/>
        <v>CAC-SEER15_ROF_SF</v>
      </c>
      <c r="G293" s="3920"/>
      <c r="H293" s="3921"/>
      <c r="I293" s="2224" t="str">
        <f t="shared" si="54"/>
        <v>350650_2021_12_</v>
      </c>
      <c r="J293" s="1795">
        <v>36703.815028901736</v>
      </c>
      <c r="K293" s="322">
        <f t="shared" si="55"/>
        <v>3.0586512524084779</v>
      </c>
      <c r="L293" s="2729" t="s">
        <v>4360</v>
      </c>
      <c r="M293" s="1292"/>
      <c r="N293" s="1287"/>
      <c r="O293" s="106"/>
      <c r="P293" s="106"/>
      <c r="Q293" s="106"/>
      <c r="R293" s="106"/>
      <c r="S293" s="106"/>
      <c r="T293" s="106"/>
      <c r="U293" s="106"/>
      <c r="V293" s="4022"/>
      <c r="W293" s="2224">
        <v>36000</v>
      </c>
      <c r="X293" s="2374">
        <f>3.05*12000</f>
        <v>36600</v>
      </c>
      <c r="Y293" s="2374">
        <v>39240</v>
      </c>
      <c r="Z293" s="2224">
        <v>39240</v>
      </c>
      <c r="AA293" s="2224">
        <v>39240</v>
      </c>
      <c r="AB293" s="1795">
        <v>39839.242902208207</v>
      </c>
      <c r="AC293" s="1795">
        <v>37360</v>
      </c>
      <c r="AD293" s="1795">
        <v>36703.815028901736</v>
      </c>
      <c r="AE293" s="2224"/>
      <c r="AF293" s="2224"/>
      <c r="AG293" s="2224"/>
      <c r="AH293" s="156"/>
      <c r="AI293" s="156"/>
      <c r="AJ293" s="156"/>
      <c r="AK293" s="156"/>
      <c r="AL293" s="156"/>
      <c r="AM293" s="156"/>
      <c r="AN293" s="156"/>
      <c r="AO293" s="156"/>
      <c r="AP293" s="156"/>
      <c r="AQ293" s="156"/>
      <c r="AR293" s="156"/>
      <c r="AS293" s="156"/>
      <c r="AT293" s="156"/>
      <c r="AU293" s="156"/>
      <c r="AV293" s="156"/>
      <c r="AW293" s="156"/>
      <c r="AX293" s="156"/>
      <c r="AY293" s="156"/>
      <c r="AZ293" s="156"/>
      <c r="BA293" s="156"/>
      <c r="BB293" s="2828"/>
      <c r="BC293" s="504"/>
      <c r="BD293" s="2829"/>
      <c r="BE293" s="2837"/>
      <c r="BF293" s="156"/>
    </row>
    <row r="294" spans="1:58" ht="14.5" hidden="1" customHeight="1" outlineLevel="1" x14ac:dyDescent="0.35">
      <c r="A294" s="1071"/>
      <c r="B294" s="106"/>
      <c r="C294" s="103"/>
      <c r="D294" s="4140"/>
      <c r="E294" s="4111"/>
      <c r="F294" s="3919" t="str">
        <f t="shared" si="53"/>
        <v>CAC-SEER15_ER1_MF</v>
      </c>
      <c r="G294" s="3920"/>
      <c r="H294" s="3921"/>
      <c r="I294" s="2224" t="str">
        <f t="shared" si="54"/>
        <v>350700_2021_12_</v>
      </c>
      <c r="J294" s="1795">
        <v>28800</v>
      </c>
      <c r="K294" s="322">
        <f t="shared" si="55"/>
        <v>2.4</v>
      </c>
      <c r="L294" s="2729" t="s">
        <v>4360</v>
      </c>
      <c r="M294" s="1292"/>
      <c r="N294" s="1287"/>
      <c r="O294" s="106"/>
      <c r="P294" s="106"/>
      <c r="Q294" s="106"/>
      <c r="R294" s="106"/>
      <c r="S294" s="106"/>
      <c r="T294" s="106"/>
      <c r="U294" s="106"/>
      <c r="V294" s="4022"/>
      <c r="W294" s="2224">
        <v>39600</v>
      </c>
      <c r="X294" s="2374">
        <f>AVERAGE($X$285,$X$303)</f>
        <v>24230.5</v>
      </c>
      <c r="Y294" s="2224">
        <v>24000</v>
      </c>
      <c r="Z294" s="2224">
        <v>24000</v>
      </c>
      <c r="AA294" s="2224">
        <v>24000</v>
      </c>
      <c r="AB294" s="1795">
        <v>27906.976744186049</v>
      </c>
      <c r="AC294" s="1795">
        <v>29857.142857142859</v>
      </c>
      <c r="AD294" s="1795">
        <v>28800</v>
      </c>
      <c r="AE294" s="2224"/>
      <c r="AF294" s="2224"/>
      <c r="AG294" s="2224"/>
      <c r="AH294" s="156"/>
      <c r="AI294" s="156"/>
      <c r="AJ294" s="156"/>
      <c r="AK294" s="156"/>
      <c r="AL294" s="156"/>
      <c r="AM294" s="156"/>
      <c r="AN294" s="156"/>
      <c r="AO294" s="156"/>
      <c r="AP294" s="156"/>
      <c r="AQ294" s="156"/>
      <c r="AR294" s="156"/>
      <c r="AS294" s="156"/>
      <c r="AT294" s="156"/>
      <c r="AU294" s="156"/>
      <c r="AV294" s="156"/>
      <c r="AW294" s="156"/>
      <c r="AX294" s="156"/>
      <c r="AY294" s="156"/>
      <c r="AZ294" s="156"/>
      <c r="BA294" s="156"/>
      <c r="BB294" s="2828"/>
      <c r="BC294" s="504"/>
      <c r="BD294" s="2829"/>
      <c r="BE294" s="2837"/>
      <c r="BF294" s="156"/>
    </row>
    <row r="295" spans="1:58" ht="14.5" hidden="1" customHeight="1" outlineLevel="1" x14ac:dyDescent="0.35">
      <c r="A295" s="1071"/>
      <c r="B295" s="106"/>
      <c r="C295" s="103"/>
      <c r="D295" s="4140"/>
      <c r="E295" s="4111"/>
      <c r="F295" s="3919" t="str">
        <f t="shared" si="53"/>
        <v>CAC-SEER15_ER2_MF</v>
      </c>
      <c r="G295" s="3920"/>
      <c r="H295" s="3921"/>
      <c r="I295" s="2224" t="str">
        <f t="shared" si="54"/>
        <v>350700_2021_12_</v>
      </c>
      <c r="J295" s="1795">
        <f>J294</f>
        <v>28800</v>
      </c>
      <c r="K295" s="322">
        <f t="shared" si="55"/>
        <v>2.4</v>
      </c>
      <c r="L295" s="2729" t="s">
        <v>4360</v>
      </c>
      <c r="M295" s="1292"/>
      <c r="N295" s="1287"/>
      <c r="O295" s="106"/>
      <c r="P295" s="106"/>
      <c r="Q295" s="106"/>
      <c r="R295" s="106"/>
      <c r="S295" s="106"/>
      <c r="T295" s="106"/>
      <c r="U295" s="106"/>
      <c r="V295" s="4022"/>
      <c r="W295" s="2224">
        <v>39600</v>
      </c>
      <c r="X295" s="2374">
        <f>AVERAGE($X$285,$X$303)</f>
        <v>24230.5</v>
      </c>
      <c r="Y295" s="2224">
        <v>24000</v>
      </c>
      <c r="Z295" s="2224">
        <v>24000</v>
      </c>
      <c r="AA295" s="2224">
        <v>24000</v>
      </c>
      <c r="AB295" s="1795">
        <v>27906.976744186049</v>
      </c>
      <c r="AC295" s="1795">
        <v>29857.142857142859</v>
      </c>
      <c r="AD295" s="1795">
        <f>AD294</f>
        <v>28800</v>
      </c>
      <c r="AE295" s="2224"/>
      <c r="AF295" s="2224"/>
      <c r="AG295" s="2224"/>
      <c r="AH295" s="156"/>
      <c r="AI295" s="156"/>
      <c r="AJ295" s="156"/>
      <c r="AK295" s="156"/>
      <c r="AL295" s="156"/>
      <c r="AM295" s="156"/>
      <c r="AN295" s="156"/>
      <c r="AO295" s="156"/>
      <c r="AP295" s="156"/>
      <c r="AQ295" s="156"/>
      <c r="AR295" s="156"/>
      <c r="AS295" s="156"/>
      <c r="AT295" s="156"/>
      <c r="AU295" s="156"/>
      <c r="AV295" s="156"/>
      <c r="AW295" s="156"/>
      <c r="AX295" s="156"/>
      <c r="AY295" s="156"/>
      <c r="AZ295" s="156"/>
      <c r="BA295" s="156"/>
      <c r="BB295" s="2828"/>
      <c r="BC295" s="504"/>
      <c r="BD295" s="2829"/>
      <c r="BE295" s="2837"/>
      <c r="BF295" s="156"/>
    </row>
    <row r="296" spans="1:58" ht="14.5" hidden="1" customHeight="1" outlineLevel="1" x14ac:dyDescent="0.35">
      <c r="A296" s="1071"/>
      <c r="B296" s="106"/>
      <c r="C296" s="103"/>
      <c r="D296" s="4140"/>
      <c r="E296" s="4111"/>
      <c r="F296" s="3919" t="str">
        <f t="shared" si="53"/>
        <v>CAC-SEER15_ER1_MF_CompE</v>
      </c>
      <c r="G296" s="3920"/>
      <c r="H296" s="3921"/>
      <c r="I296" s="2224" t="str">
        <f t="shared" si="54"/>
        <v>350701_2021_12_</v>
      </c>
      <c r="J296" s="1795">
        <f>J294</f>
        <v>28800</v>
      </c>
      <c r="K296" s="322">
        <f t="shared" si="55"/>
        <v>2.4</v>
      </c>
      <c r="L296" s="2665" t="s">
        <v>4247</v>
      </c>
      <c r="M296" s="1292"/>
      <c r="N296" s="1287"/>
      <c r="O296" s="106"/>
      <c r="P296" s="106"/>
      <c r="Q296" s="106"/>
      <c r="R296" s="106"/>
      <c r="S296" s="106"/>
      <c r="T296" s="106"/>
      <c r="U296" s="106"/>
      <c r="V296" s="4022"/>
      <c r="W296" s="2224"/>
      <c r="X296" s="2374"/>
      <c r="Y296" s="2374">
        <v>24000</v>
      </c>
      <c r="Z296" s="2224">
        <v>24000</v>
      </c>
      <c r="AA296" s="2224">
        <v>24000</v>
      </c>
      <c r="AB296" s="2884">
        <v>24000</v>
      </c>
      <c r="AC296" s="1796">
        <v>29857.142857142859</v>
      </c>
      <c r="AD296" s="1795">
        <f>AD294</f>
        <v>28800</v>
      </c>
      <c r="AE296" s="2224"/>
      <c r="AF296" s="2224"/>
      <c r="AG296" s="2224"/>
      <c r="AH296" s="156"/>
      <c r="AI296" s="156"/>
      <c r="AJ296" s="156"/>
      <c r="AK296" s="156"/>
      <c r="AL296" s="156"/>
      <c r="AM296" s="156"/>
      <c r="AN296" s="156"/>
      <c r="AO296" s="156"/>
      <c r="AP296" s="156"/>
      <c r="AQ296" s="156"/>
      <c r="AR296" s="156"/>
      <c r="AS296" s="156"/>
      <c r="AT296" s="156"/>
      <c r="AU296" s="156"/>
      <c r="AV296" s="156"/>
      <c r="AW296" s="156"/>
      <c r="AX296" s="156"/>
      <c r="AY296" s="156"/>
      <c r="AZ296" s="156"/>
      <c r="BA296" s="156"/>
      <c r="BB296" s="2828"/>
      <c r="BC296" s="504"/>
      <c r="BD296" s="2829"/>
      <c r="BE296" s="2837"/>
      <c r="BF296" s="156"/>
    </row>
    <row r="297" spans="1:58" ht="14.5" hidden="1" customHeight="1" outlineLevel="1" x14ac:dyDescent="0.35">
      <c r="A297" s="1071"/>
      <c r="B297" s="106"/>
      <c r="C297" s="103"/>
      <c r="D297" s="4140"/>
      <c r="E297" s="4111"/>
      <c r="F297" s="3919" t="str">
        <f t="shared" si="53"/>
        <v>CAC-SEER15_ER2_MF_CompE</v>
      </c>
      <c r="G297" s="3920"/>
      <c r="H297" s="3921"/>
      <c r="I297" s="2224" t="str">
        <f t="shared" si="54"/>
        <v>350701_2021_12_</v>
      </c>
      <c r="J297" s="1795">
        <f>J295</f>
        <v>28800</v>
      </c>
      <c r="K297" s="322">
        <f t="shared" si="55"/>
        <v>2.4</v>
      </c>
      <c r="L297" s="2665" t="s">
        <v>4247</v>
      </c>
      <c r="M297" s="1292"/>
      <c r="N297" s="1287"/>
      <c r="O297" s="106"/>
      <c r="P297" s="106"/>
      <c r="Q297" s="106"/>
      <c r="R297" s="106"/>
      <c r="S297" s="106"/>
      <c r="T297" s="106"/>
      <c r="U297" s="106"/>
      <c r="V297" s="4022"/>
      <c r="W297" s="2224"/>
      <c r="X297" s="2374"/>
      <c r="Y297" s="2374">
        <v>24000</v>
      </c>
      <c r="Z297" s="2224">
        <v>24000</v>
      </c>
      <c r="AA297" s="2224">
        <v>24000</v>
      </c>
      <c r="AB297" s="2884">
        <v>24000</v>
      </c>
      <c r="AC297" s="1796">
        <v>29857.142857142859</v>
      </c>
      <c r="AD297" s="1795">
        <f>AD295</f>
        <v>28800</v>
      </c>
      <c r="AE297" s="2224"/>
      <c r="AF297" s="2224"/>
      <c r="AG297" s="2224"/>
      <c r="AH297" s="156"/>
      <c r="AI297" s="156"/>
      <c r="AJ297" s="156"/>
      <c r="AK297" s="156"/>
      <c r="AL297" s="156"/>
      <c r="AM297" s="156"/>
      <c r="AN297" s="156"/>
      <c r="AO297" s="156"/>
      <c r="AP297" s="156"/>
      <c r="AQ297" s="156"/>
      <c r="AR297" s="156"/>
      <c r="AS297" s="156"/>
      <c r="AT297" s="156"/>
      <c r="AU297" s="156"/>
      <c r="AV297" s="156"/>
      <c r="AW297" s="156"/>
      <c r="AX297" s="156"/>
      <c r="AY297" s="156"/>
      <c r="AZ297" s="156"/>
      <c r="BA297" s="156"/>
      <c r="BB297" s="2828"/>
      <c r="BC297" s="504"/>
      <c r="BD297" s="2829"/>
      <c r="BE297" s="2837"/>
      <c r="BF297" s="156"/>
    </row>
    <row r="298" spans="1:58" ht="14.5" hidden="1" customHeight="1" outlineLevel="1" x14ac:dyDescent="0.35">
      <c r="A298" s="1071"/>
      <c r="B298" s="106"/>
      <c r="C298" s="103"/>
      <c r="D298" s="4140"/>
      <c r="E298" s="4111"/>
      <c r="F298" s="3919" t="str">
        <f t="shared" si="53"/>
        <v>CAC-SEER15_ROF_MF</v>
      </c>
      <c r="G298" s="3920"/>
      <c r="H298" s="3921"/>
      <c r="I298" s="2224" t="str">
        <f t="shared" si="54"/>
        <v>350750_2021_12_</v>
      </c>
      <c r="J298" s="1796">
        <v>18158.940397350994</v>
      </c>
      <c r="K298" s="322">
        <f t="shared" si="55"/>
        <v>1.5132450331125828</v>
      </c>
      <c r="L298" s="2729" t="s">
        <v>4360</v>
      </c>
      <c r="M298" s="1292"/>
      <c r="N298" s="1287"/>
      <c r="O298" s="106"/>
      <c r="P298" s="106"/>
      <c r="Q298" s="106"/>
      <c r="R298" s="106"/>
      <c r="S298" s="106"/>
      <c r="T298" s="106"/>
      <c r="U298" s="106"/>
      <c r="V298" s="4022"/>
      <c r="W298" s="2224">
        <v>36000</v>
      </c>
      <c r="X298" s="2374">
        <f>AVERAGE($X$285,$X$303)</f>
        <v>24230.5</v>
      </c>
      <c r="Y298" s="2374">
        <v>24000</v>
      </c>
      <c r="Z298" s="2224">
        <v>24000</v>
      </c>
      <c r="AA298" s="2224">
        <v>24000</v>
      </c>
      <c r="AB298" s="1796">
        <v>25000</v>
      </c>
      <c r="AC298" s="1796">
        <v>33000</v>
      </c>
      <c r="AD298" s="1796">
        <v>18158.940397350994</v>
      </c>
      <c r="AE298" s="2224"/>
      <c r="AF298" s="2224"/>
      <c r="AG298" s="2224"/>
      <c r="AH298" s="156"/>
      <c r="AI298" s="156"/>
      <c r="AJ298" s="156"/>
      <c r="AK298" s="156"/>
      <c r="AL298" s="156"/>
      <c r="AM298" s="156"/>
      <c r="AN298" s="156"/>
      <c r="AO298" s="156"/>
      <c r="AP298" s="156"/>
      <c r="AQ298" s="156"/>
      <c r="AR298" s="156"/>
      <c r="AS298" s="156"/>
      <c r="AT298" s="156"/>
      <c r="AU298" s="156"/>
      <c r="AV298" s="156"/>
      <c r="AW298" s="156"/>
      <c r="AX298" s="156"/>
      <c r="AY298" s="156"/>
      <c r="AZ298" s="156"/>
      <c r="BA298" s="156"/>
      <c r="BB298" s="2828"/>
      <c r="BC298" s="504"/>
      <c r="BD298" s="2829"/>
      <c r="BE298" s="2837"/>
      <c r="BF298" s="156"/>
    </row>
    <row r="299" spans="1:58" ht="14.5" hidden="1" customHeight="1" outlineLevel="1" x14ac:dyDescent="0.35">
      <c r="A299" s="1071"/>
      <c r="B299" s="106"/>
      <c r="C299" s="103"/>
      <c r="D299" s="4140"/>
      <c r="E299" s="4111"/>
      <c r="F299" s="3919" t="str">
        <f t="shared" si="53"/>
        <v>CAC-SEER15_ROF_MF_CompE</v>
      </c>
      <c r="G299" s="3920"/>
      <c r="H299" s="3921"/>
      <c r="I299" s="2224" t="str">
        <f t="shared" si="54"/>
        <v>350751_2021_12_</v>
      </c>
      <c r="J299" s="1796">
        <f>J298</f>
        <v>18158.940397350994</v>
      </c>
      <c r="K299" s="322">
        <f t="shared" si="55"/>
        <v>1.5132450331125828</v>
      </c>
      <c r="L299" s="2045" t="s">
        <v>973</v>
      </c>
      <c r="M299" s="1292"/>
      <c r="N299" s="1287"/>
      <c r="O299" s="106"/>
      <c r="P299" s="106"/>
      <c r="Q299" s="106"/>
      <c r="R299" s="106"/>
      <c r="S299" s="106"/>
      <c r="T299" s="106"/>
      <c r="U299" s="106"/>
      <c r="V299" s="4022"/>
      <c r="W299" s="2224"/>
      <c r="X299" s="2374"/>
      <c r="Y299" s="2374">
        <v>24000</v>
      </c>
      <c r="Z299" s="2224">
        <v>24000</v>
      </c>
      <c r="AA299" s="2224">
        <v>24000</v>
      </c>
      <c r="AB299" s="2884">
        <v>24000</v>
      </c>
      <c r="AC299" s="1796">
        <v>33000</v>
      </c>
      <c r="AD299" s="1796">
        <f>AD298</f>
        <v>18158.940397350994</v>
      </c>
      <c r="AE299" s="2224"/>
      <c r="AF299" s="2224"/>
      <c r="AG299" s="2224"/>
      <c r="AH299" s="156"/>
      <c r="AI299" s="156"/>
      <c r="AJ299" s="156"/>
      <c r="AK299" s="156"/>
      <c r="AL299" s="156"/>
      <c r="AM299" s="156"/>
      <c r="AN299" s="156"/>
      <c r="AO299" s="156"/>
      <c r="AP299" s="156"/>
      <c r="AQ299" s="156"/>
      <c r="AR299" s="156"/>
      <c r="AS299" s="156"/>
      <c r="AT299" s="156"/>
      <c r="AU299" s="156"/>
      <c r="AV299" s="156"/>
      <c r="AW299" s="156"/>
      <c r="AX299" s="156"/>
      <c r="AY299" s="156"/>
      <c r="AZ299" s="156"/>
      <c r="BA299" s="156"/>
      <c r="BB299" s="2828"/>
      <c r="BC299" s="504"/>
      <c r="BD299" s="2829"/>
      <c r="BE299" s="2837"/>
      <c r="BF299" s="156"/>
    </row>
    <row r="300" spans="1:58" ht="14.5" hidden="1" customHeight="1" outlineLevel="1" x14ac:dyDescent="0.35">
      <c r="A300" s="1071"/>
      <c r="B300" s="106"/>
      <c r="C300" s="103"/>
      <c r="D300" s="4140"/>
      <c r="E300" s="4111"/>
      <c r="F300" s="3919" t="str">
        <f t="shared" si="53"/>
        <v>CAC-SEER16_ER1_SF</v>
      </c>
      <c r="G300" s="3920"/>
      <c r="H300" s="3921"/>
      <c r="I300" s="2224" t="str">
        <f t="shared" si="54"/>
        <v>350800_2021_12_</v>
      </c>
      <c r="J300" s="1796">
        <v>34928.920972644381</v>
      </c>
      <c r="K300" s="322">
        <f t="shared" si="55"/>
        <v>2.9107434143870319</v>
      </c>
      <c r="L300" s="2729" t="s">
        <v>4360</v>
      </c>
      <c r="M300" s="1292"/>
      <c r="N300" s="1287"/>
      <c r="O300" s="106"/>
      <c r="P300" s="106"/>
      <c r="Q300" s="106"/>
      <c r="R300" s="106"/>
      <c r="S300" s="106"/>
      <c r="T300" s="106"/>
      <c r="U300" s="106"/>
      <c r="V300" s="4022"/>
      <c r="W300" s="2224">
        <v>37200</v>
      </c>
      <c r="X300" s="2374">
        <f>3.05*12000</f>
        <v>36600</v>
      </c>
      <c r="Y300" s="2374">
        <v>36720</v>
      </c>
      <c r="Z300" s="2224">
        <v>36720</v>
      </c>
      <c r="AA300" s="2224">
        <v>36720</v>
      </c>
      <c r="AB300" s="1796">
        <v>35734.902975420438</v>
      </c>
      <c r="AC300" s="1796">
        <v>35455.827196858118</v>
      </c>
      <c r="AD300" s="1796">
        <v>34928.920972644381</v>
      </c>
      <c r="AE300" s="2224"/>
      <c r="AF300" s="2224"/>
      <c r="AG300" s="2224"/>
      <c r="AH300" s="156"/>
      <c r="AI300" s="156"/>
      <c r="AJ300" s="156"/>
      <c r="AK300" s="156"/>
      <c r="AL300" s="156"/>
      <c r="AM300" s="156"/>
      <c r="AN300" s="156"/>
      <c r="AO300" s="156"/>
      <c r="AP300" s="156"/>
      <c r="AQ300" s="156"/>
      <c r="AR300" s="156"/>
      <c r="AS300" s="156"/>
      <c r="AT300" s="156"/>
      <c r="AU300" s="156"/>
      <c r="AV300" s="156"/>
      <c r="AW300" s="156"/>
      <c r="AX300" s="156"/>
      <c r="AY300" s="156"/>
      <c r="AZ300" s="156"/>
      <c r="BA300" s="156"/>
      <c r="BB300" s="2828"/>
      <c r="BC300" s="504"/>
      <c r="BD300" s="2829"/>
      <c r="BE300" s="2837"/>
      <c r="BF300" s="156"/>
    </row>
    <row r="301" spans="1:58" ht="14.5" hidden="1" customHeight="1" outlineLevel="1" x14ac:dyDescent="0.35">
      <c r="A301" s="1071"/>
      <c r="B301" s="106"/>
      <c r="C301" s="103"/>
      <c r="D301" s="4140"/>
      <c r="E301" s="4111"/>
      <c r="F301" s="3919" t="str">
        <f t="shared" si="53"/>
        <v>CAC-SEER16_ER2_SF</v>
      </c>
      <c r="G301" s="3920"/>
      <c r="H301" s="3921"/>
      <c r="I301" s="2224" t="str">
        <f t="shared" si="54"/>
        <v>350800_2021_12_</v>
      </c>
      <c r="J301" s="1796">
        <f>J300</f>
        <v>34928.920972644381</v>
      </c>
      <c r="K301" s="322">
        <f t="shared" si="55"/>
        <v>2.9107434143870319</v>
      </c>
      <c r="L301" s="2729" t="s">
        <v>4360</v>
      </c>
      <c r="M301" s="1292"/>
      <c r="N301" s="1287"/>
      <c r="O301" s="106"/>
      <c r="P301" s="106"/>
      <c r="Q301" s="106"/>
      <c r="R301" s="106"/>
      <c r="S301" s="106"/>
      <c r="T301" s="106"/>
      <c r="U301" s="106"/>
      <c r="V301" s="4022"/>
      <c r="W301" s="2224">
        <v>37200</v>
      </c>
      <c r="X301" s="2374">
        <f>3.05*12000</f>
        <v>36600</v>
      </c>
      <c r="Y301" s="2374">
        <v>36720</v>
      </c>
      <c r="Z301" s="2224">
        <v>36720</v>
      </c>
      <c r="AA301" s="2224">
        <v>36720</v>
      </c>
      <c r="AB301" s="1796">
        <v>35734.902975420438</v>
      </c>
      <c r="AC301" s="1796">
        <v>35455.827196858118</v>
      </c>
      <c r="AD301" s="1796">
        <f>AD300</f>
        <v>34928.920972644381</v>
      </c>
      <c r="AE301" s="2224"/>
      <c r="AF301" s="2224"/>
      <c r="AG301" s="2224"/>
      <c r="AH301" s="156"/>
      <c r="AI301" s="156"/>
      <c r="AJ301" s="156"/>
      <c r="AK301" s="156"/>
      <c r="AL301" s="156"/>
      <c r="AM301" s="156"/>
      <c r="AN301" s="156"/>
      <c r="AO301" s="156"/>
      <c r="AP301" s="156"/>
      <c r="AQ301" s="156"/>
      <c r="AR301" s="156"/>
      <c r="AS301" s="156"/>
      <c r="AT301" s="156"/>
      <c r="AU301" s="156"/>
      <c r="AV301" s="156"/>
      <c r="AW301" s="156"/>
      <c r="AX301" s="156"/>
      <c r="AY301" s="156"/>
      <c r="AZ301" s="156"/>
      <c r="BA301" s="156"/>
      <c r="BB301" s="2828"/>
      <c r="BC301" s="504"/>
      <c r="BD301" s="2829"/>
      <c r="BE301" s="2837"/>
      <c r="BF301" s="156"/>
    </row>
    <row r="302" spans="1:58" ht="14.5" hidden="1" customHeight="1" outlineLevel="1" x14ac:dyDescent="0.35">
      <c r="A302" s="1071"/>
      <c r="B302" s="106"/>
      <c r="C302" s="103"/>
      <c r="D302" s="4140"/>
      <c r="E302" s="4111"/>
      <c r="F302" s="3919" t="str">
        <f t="shared" si="53"/>
        <v>CAC-SEER16_ROF_SF</v>
      </c>
      <c r="G302" s="3920"/>
      <c r="H302" s="3921"/>
      <c r="I302" s="2224" t="str">
        <f t="shared" si="54"/>
        <v>350850_2021_12_</v>
      </c>
      <c r="J302" s="1796">
        <v>36027.146529562975</v>
      </c>
      <c r="K302" s="322">
        <f t="shared" si="55"/>
        <v>3.0022622107969146</v>
      </c>
      <c r="L302" s="2729" t="s">
        <v>4360</v>
      </c>
      <c r="M302" s="1292"/>
      <c r="N302" s="1287"/>
      <c r="O302" s="106"/>
      <c r="P302" s="106"/>
      <c r="Q302" s="106"/>
      <c r="R302" s="106"/>
      <c r="S302" s="106"/>
      <c r="T302" s="106"/>
      <c r="U302" s="106"/>
      <c r="V302" s="4022"/>
      <c r="W302" s="2224">
        <v>34800</v>
      </c>
      <c r="X302" s="2374">
        <f>3.05*12000</f>
        <v>36600</v>
      </c>
      <c r="Y302" s="2374">
        <v>35880</v>
      </c>
      <c r="Z302" s="2224">
        <v>35880</v>
      </c>
      <c r="AA302" s="2224">
        <v>35880</v>
      </c>
      <c r="AB302" s="1796">
        <v>36194.49901768173</v>
      </c>
      <c r="AC302" s="1796">
        <v>36399.092122830436</v>
      </c>
      <c r="AD302" s="1796">
        <v>36027.146529562975</v>
      </c>
      <c r="AE302" s="2224"/>
      <c r="AF302" s="2224"/>
      <c r="AG302" s="2224"/>
      <c r="AH302" s="156"/>
      <c r="AI302" s="156"/>
      <c r="AJ302" s="156"/>
      <c r="AK302" s="156"/>
      <c r="AL302" s="156"/>
      <c r="AM302" s="156"/>
      <c r="AN302" s="156"/>
      <c r="AO302" s="156"/>
      <c r="AP302" s="156"/>
      <c r="AQ302" s="156"/>
      <c r="AR302" s="156"/>
      <c r="AS302" s="156"/>
      <c r="AT302" s="156"/>
      <c r="AU302" s="156"/>
      <c r="AV302" s="156"/>
      <c r="AW302" s="156"/>
      <c r="AX302" s="156"/>
      <c r="AY302" s="156"/>
      <c r="AZ302" s="156"/>
      <c r="BA302" s="156"/>
      <c r="BB302" s="2828"/>
      <c r="BC302" s="504"/>
      <c r="BD302" s="2829"/>
      <c r="BE302" s="2837"/>
      <c r="BF302" s="156"/>
    </row>
    <row r="303" spans="1:58" ht="14.5" hidden="1" customHeight="1" outlineLevel="1" x14ac:dyDescent="0.35">
      <c r="A303" s="1071"/>
      <c r="B303" s="106"/>
      <c r="C303" s="103"/>
      <c r="D303" s="4140"/>
      <c r="E303" s="4111"/>
      <c r="F303" s="3919" t="str">
        <f t="shared" si="53"/>
        <v>CAC-SEER16_ER1_MF</v>
      </c>
      <c r="G303" s="3920"/>
      <c r="H303" s="3921"/>
      <c r="I303" s="2224" t="str">
        <f t="shared" si="54"/>
        <v>350900_2021_12_</v>
      </c>
      <c r="J303" s="1796">
        <v>26175.824175824175</v>
      </c>
      <c r="K303" s="322">
        <f t="shared" si="55"/>
        <v>2.1813186813186811</v>
      </c>
      <c r="L303" s="2729" t="s">
        <v>4360</v>
      </c>
      <c r="M303" s="1292"/>
      <c r="N303" s="1287"/>
      <c r="O303" s="106"/>
      <c r="P303" s="106"/>
      <c r="Q303" s="106"/>
      <c r="R303" s="106"/>
      <c r="S303" s="106"/>
      <c r="T303" s="106"/>
      <c r="U303" s="106"/>
      <c r="V303" s="4022"/>
      <c r="W303" s="2224">
        <v>37200</v>
      </c>
      <c r="X303" s="2374">
        <v>24461</v>
      </c>
      <c r="Y303" s="2374">
        <v>24000</v>
      </c>
      <c r="Z303" s="2224">
        <v>24000</v>
      </c>
      <c r="AA303" s="2224">
        <v>24000</v>
      </c>
      <c r="AB303" s="1796">
        <v>30857.142857142859</v>
      </c>
      <c r="AC303" s="1796">
        <v>30216.867469879515</v>
      </c>
      <c r="AD303" s="1796">
        <v>26175.824175824175</v>
      </c>
      <c r="AE303" s="2224"/>
      <c r="AF303" s="2224"/>
      <c r="AG303" s="2224"/>
      <c r="AH303" s="156"/>
      <c r="AI303" s="156"/>
      <c r="AJ303" s="156"/>
      <c r="AK303" s="156"/>
      <c r="AL303" s="156"/>
      <c r="AM303" s="156"/>
      <c r="AN303" s="156"/>
      <c r="AO303" s="156"/>
      <c r="AP303" s="156"/>
      <c r="AQ303" s="156"/>
      <c r="AR303" s="156"/>
      <c r="AS303" s="156"/>
      <c r="AT303" s="156"/>
      <c r="AU303" s="156"/>
      <c r="AV303" s="156"/>
      <c r="AW303" s="156"/>
      <c r="AX303" s="156"/>
      <c r="AY303" s="156"/>
      <c r="AZ303" s="156"/>
      <c r="BA303" s="156"/>
      <c r="BB303" s="2828"/>
      <c r="BC303" s="504"/>
      <c r="BD303" s="2829"/>
      <c r="BE303" s="2837"/>
      <c r="BF303" s="156"/>
    </row>
    <row r="304" spans="1:58" ht="14.5" hidden="1" customHeight="1" outlineLevel="1" x14ac:dyDescent="0.35">
      <c r="A304" s="1071"/>
      <c r="B304" s="106"/>
      <c r="C304" s="103"/>
      <c r="D304" s="4140"/>
      <c r="E304" s="4111"/>
      <c r="F304" s="3919" t="str">
        <f t="shared" si="53"/>
        <v>CAC-SEER16_ER2_MF</v>
      </c>
      <c r="G304" s="3920"/>
      <c r="H304" s="3921"/>
      <c r="I304" s="2224" t="str">
        <f t="shared" si="54"/>
        <v>350900_2021_12_</v>
      </c>
      <c r="J304" s="1796">
        <f>J303</f>
        <v>26175.824175824175</v>
      </c>
      <c r="K304" s="322">
        <f t="shared" si="55"/>
        <v>2.1813186813186811</v>
      </c>
      <c r="L304" s="2729" t="s">
        <v>4360</v>
      </c>
      <c r="M304" s="1292"/>
      <c r="N304" s="1287"/>
      <c r="O304" s="106"/>
      <c r="P304" s="106"/>
      <c r="Q304" s="106"/>
      <c r="R304" s="106"/>
      <c r="S304" s="106"/>
      <c r="T304" s="106"/>
      <c r="U304" s="106"/>
      <c r="V304" s="4022"/>
      <c r="W304" s="2224">
        <v>37200</v>
      </c>
      <c r="X304" s="2374">
        <v>24461</v>
      </c>
      <c r="Y304" s="2374">
        <v>24000</v>
      </c>
      <c r="Z304" s="2224">
        <v>24000</v>
      </c>
      <c r="AA304" s="2224">
        <v>24000</v>
      </c>
      <c r="AB304" s="1796">
        <v>30857.142857142859</v>
      </c>
      <c r="AC304" s="1796">
        <v>30216.867469879515</v>
      </c>
      <c r="AD304" s="1796">
        <f>AD303</f>
        <v>26175.824175824175</v>
      </c>
      <c r="AE304" s="2224"/>
      <c r="AF304" s="2224"/>
      <c r="AG304" s="2224"/>
      <c r="AH304" s="156"/>
      <c r="AI304" s="156"/>
      <c r="AJ304" s="156"/>
      <c r="AK304" s="156"/>
      <c r="AL304" s="156"/>
      <c r="AM304" s="156"/>
      <c r="AN304" s="156"/>
      <c r="AO304" s="156"/>
      <c r="AP304" s="156"/>
      <c r="AQ304" s="156"/>
      <c r="AR304" s="156"/>
      <c r="AS304" s="156"/>
      <c r="AT304" s="156"/>
      <c r="AU304" s="156"/>
      <c r="AV304" s="156"/>
      <c r="AW304" s="156"/>
      <c r="AX304" s="156"/>
      <c r="AY304" s="156"/>
      <c r="AZ304" s="156"/>
      <c r="BA304" s="156"/>
      <c r="BB304" s="2828"/>
      <c r="BC304" s="504"/>
      <c r="BD304" s="2829"/>
      <c r="BE304" s="2837"/>
      <c r="BF304" s="156"/>
    </row>
    <row r="305" spans="1:58" ht="14.5" hidden="1" customHeight="1" outlineLevel="1" x14ac:dyDescent="0.35">
      <c r="A305" s="1071"/>
      <c r="B305" s="106"/>
      <c r="C305" s="103"/>
      <c r="D305" s="4140"/>
      <c r="E305" s="4111"/>
      <c r="F305" s="3919" t="str">
        <f t="shared" si="53"/>
        <v>CAC-SEER16_ER1_MF_CompE</v>
      </c>
      <c r="G305" s="3920"/>
      <c r="H305" s="3921"/>
      <c r="I305" s="2224" t="str">
        <f t="shared" si="54"/>
        <v>350901_2021_12_</v>
      </c>
      <c r="J305" s="1796">
        <f>J303</f>
        <v>26175.824175824175</v>
      </c>
      <c r="K305" s="322">
        <f t="shared" si="55"/>
        <v>2.1813186813186811</v>
      </c>
      <c r="L305" s="2045" t="s">
        <v>973</v>
      </c>
      <c r="M305" s="1292"/>
      <c r="N305" s="1287"/>
      <c r="O305" s="106"/>
      <c r="P305" s="106"/>
      <c r="Q305" s="106"/>
      <c r="R305" s="106"/>
      <c r="S305" s="106"/>
      <c r="T305" s="106"/>
      <c r="U305" s="106"/>
      <c r="V305" s="4022"/>
      <c r="W305" s="2224"/>
      <c r="X305" s="2374"/>
      <c r="Y305" s="2374">
        <v>24000</v>
      </c>
      <c r="Z305" s="2224">
        <v>24000</v>
      </c>
      <c r="AA305" s="2224">
        <v>24000</v>
      </c>
      <c r="AB305" s="2884">
        <v>24000</v>
      </c>
      <c r="AC305" s="1796">
        <v>30216.867469879515</v>
      </c>
      <c r="AD305" s="1796">
        <f>AD303</f>
        <v>26175.824175824175</v>
      </c>
      <c r="AE305" s="2224"/>
      <c r="AF305" s="2224"/>
      <c r="AG305" s="2224"/>
      <c r="AH305" s="156"/>
      <c r="AI305" s="156"/>
      <c r="AJ305" s="156"/>
      <c r="AK305" s="156"/>
      <c r="AL305" s="156"/>
      <c r="AM305" s="156"/>
      <c r="AN305" s="156"/>
      <c r="AO305" s="156"/>
      <c r="AP305" s="156"/>
      <c r="AQ305" s="156"/>
      <c r="AR305" s="156"/>
      <c r="AS305" s="156"/>
      <c r="AT305" s="156"/>
      <c r="AU305" s="156"/>
      <c r="AV305" s="156"/>
      <c r="AW305" s="156"/>
      <c r="AX305" s="156"/>
      <c r="AY305" s="156"/>
      <c r="AZ305" s="156"/>
      <c r="BA305" s="156"/>
      <c r="BB305" s="2828"/>
      <c r="BC305" s="504"/>
      <c r="BD305" s="2829"/>
      <c r="BE305" s="2837"/>
      <c r="BF305" s="156"/>
    </row>
    <row r="306" spans="1:58" ht="14.5" hidden="1" customHeight="1" outlineLevel="1" x14ac:dyDescent="0.35">
      <c r="A306" s="1071"/>
      <c r="B306" s="106"/>
      <c r="C306" s="103"/>
      <c r="D306" s="4140"/>
      <c r="E306" s="4111"/>
      <c r="F306" s="3919" t="str">
        <f t="shared" si="53"/>
        <v>CAC-SEER16_ER2_MF_CompE</v>
      </c>
      <c r="G306" s="3920"/>
      <c r="H306" s="3921"/>
      <c r="I306" s="2224" t="str">
        <f t="shared" si="54"/>
        <v>350901_2021_12_</v>
      </c>
      <c r="J306" s="1796">
        <f>J304</f>
        <v>26175.824175824175</v>
      </c>
      <c r="K306" s="322">
        <f t="shared" si="55"/>
        <v>2.1813186813186811</v>
      </c>
      <c r="L306" s="2045" t="s">
        <v>973</v>
      </c>
      <c r="M306" s="1292"/>
      <c r="N306" s="1287"/>
      <c r="O306" s="106"/>
      <c r="P306" s="106"/>
      <c r="Q306" s="106"/>
      <c r="R306" s="106"/>
      <c r="S306" s="106"/>
      <c r="T306" s="106"/>
      <c r="U306" s="106"/>
      <c r="V306" s="4022"/>
      <c r="W306" s="2224"/>
      <c r="X306" s="2374"/>
      <c r="Y306" s="2374">
        <v>24000</v>
      </c>
      <c r="Z306" s="2224">
        <v>24000</v>
      </c>
      <c r="AA306" s="2224">
        <v>24000</v>
      </c>
      <c r="AB306" s="2884">
        <v>24000</v>
      </c>
      <c r="AC306" s="1796">
        <v>30216.867469879515</v>
      </c>
      <c r="AD306" s="1796">
        <f>AD304</f>
        <v>26175.824175824175</v>
      </c>
      <c r="AE306" s="2224"/>
      <c r="AF306" s="2224"/>
      <c r="AG306" s="2224"/>
      <c r="AH306" s="156"/>
      <c r="AI306" s="156"/>
      <c r="AJ306" s="156"/>
      <c r="AK306" s="156"/>
      <c r="AL306" s="156"/>
      <c r="AM306" s="156"/>
      <c r="AN306" s="156"/>
      <c r="AO306" s="156"/>
      <c r="AP306" s="156"/>
      <c r="AQ306" s="156"/>
      <c r="AR306" s="156"/>
      <c r="AS306" s="156"/>
      <c r="AT306" s="156"/>
      <c r="AU306" s="156"/>
      <c r="AV306" s="156"/>
      <c r="AW306" s="156"/>
      <c r="AX306" s="156"/>
      <c r="AY306" s="156"/>
      <c r="AZ306" s="156"/>
      <c r="BA306" s="156"/>
      <c r="BB306" s="2828"/>
      <c r="BC306" s="504"/>
      <c r="BD306" s="2829"/>
      <c r="BE306" s="2837"/>
      <c r="BF306" s="156"/>
    </row>
    <row r="307" spans="1:58" ht="14.5" hidden="1" customHeight="1" outlineLevel="1" x14ac:dyDescent="0.35">
      <c r="A307" s="1071"/>
      <c r="B307" s="106"/>
      <c r="C307" s="103"/>
      <c r="D307" s="4140"/>
      <c r="E307" s="4111"/>
      <c r="F307" s="3919" t="str">
        <f t="shared" si="53"/>
        <v>CAC-SEER16_ROF_MF</v>
      </c>
      <c r="G307" s="3920"/>
      <c r="H307" s="3921"/>
      <c r="I307" s="2224" t="str">
        <f t="shared" si="54"/>
        <v>350950_2021_12_</v>
      </c>
      <c r="J307" s="1796">
        <v>33000</v>
      </c>
      <c r="K307" s="322">
        <f t="shared" si="55"/>
        <v>2.75</v>
      </c>
      <c r="L307" s="2729" t="s">
        <v>4360</v>
      </c>
      <c r="M307" s="1292"/>
      <c r="N307" s="1287"/>
      <c r="O307" s="106"/>
      <c r="P307" s="2812"/>
      <c r="Q307" s="106"/>
      <c r="R307" s="106"/>
      <c r="S307" s="106"/>
      <c r="T307" s="106"/>
      <c r="U307" s="106"/>
      <c r="V307" s="4022"/>
      <c r="W307" s="2224">
        <v>34800</v>
      </c>
      <c r="X307" s="2374">
        <v>24461</v>
      </c>
      <c r="Y307" s="2374">
        <v>24000</v>
      </c>
      <c r="Z307" s="2224">
        <v>24000</v>
      </c>
      <c r="AA307" s="2224">
        <v>24000</v>
      </c>
      <c r="AB307" s="1796">
        <v>32571.428571428572</v>
      </c>
      <c r="AC307" s="1796">
        <v>25200</v>
      </c>
      <c r="AD307" s="1796">
        <v>33000</v>
      </c>
      <c r="AE307" s="2224"/>
      <c r="AF307" s="2224"/>
      <c r="AG307" s="2224"/>
      <c r="AH307" s="156"/>
      <c r="AI307" s="156"/>
      <c r="AJ307" s="156"/>
      <c r="AK307" s="156"/>
      <c r="AL307" s="156"/>
      <c r="AM307" s="156"/>
      <c r="AN307" s="156"/>
      <c r="AO307" s="156"/>
      <c r="AP307" s="156"/>
      <c r="AQ307" s="156"/>
      <c r="AR307" s="156"/>
      <c r="AS307" s="156"/>
      <c r="AT307" s="156"/>
      <c r="AU307" s="156"/>
      <c r="AV307" s="156"/>
      <c r="AW307" s="156"/>
      <c r="AX307" s="156"/>
      <c r="AY307" s="156"/>
      <c r="AZ307" s="156"/>
      <c r="BA307" s="156"/>
      <c r="BB307" s="2828"/>
      <c r="BC307" s="504"/>
      <c r="BD307" s="2829"/>
      <c r="BE307" s="2837"/>
      <c r="BF307" s="156"/>
    </row>
    <row r="308" spans="1:58" ht="14.5" hidden="1" customHeight="1" outlineLevel="1" x14ac:dyDescent="0.35">
      <c r="A308" s="1071"/>
      <c r="B308" s="106"/>
      <c r="C308" s="103"/>
      <c r="D308" s="4140"/>
      <c r="E308" s="4111"/>
      <c r="F308" s="3919" t="str">
        <f t="shared" si="53"/>
        <v>CAC-SEER16_ROF_MF_CompE</v>
      </c>
      <c r="G308" s="3920"/>
      <c r="H308" s="3921"/>
      <c r="I308" s="2224" t="str">
        <f t="shared" si="54"/>
        <v>350951_2021_12_</v>
      </c>
      <c r="J308" s="1796">
        <f>J307</f>
        <v>33000</v>
      </c>
      <c r="K308" s="322">
        <f t="shared" si="55"/>
        <v>2.75</v>
      </c>
      <c r="L308" s="2045" t="s">
        <v>973</v>
      </c>
      <c r="M308" s="1292"/>
      <c r="N308" s="1287"/>
      <c r="O308" s="106"/>
      <c r="P308" s="106"/>
      <c r="Q308" s="106"/>
      <c r="R308" s="106"/>
      <c r="S308" s="106"/>
      <c r="T308" s="106"/>
      <c r="U308" s="106"/>
      <c r="V308" s="4022"/>
      <c r="W308" s="2224"/>
      <c r="X308" s="2374"/>
      <c r="Y308" s="2374">
        <v>24000</v>
      </c>
      <c r="Z308" s="2224">
        <v>24000</v>
      </c>
      <c r="AA308" s="2224">
        <v>24000</v>
      </c>
      <c r="AB308" s="2884">
        <v>24000</v>
      </c>
      <c r="AC308" s="1796">
        <v>25200</v>
      </c>
      <c r="AD308" s="1796">
        <f>AD307</f>
        <v>33000</v>
      </c>
      <c r="AE308" s="2224"/>
      <c r="AF308" s="2224"/>
      <c r="AG308" s="2224"/>
      <c r="AH308" s="156"/>
      <c r="AI308" s="156"/>
      <c r="AJ308" s="156"/>
      <c r="AK308" s="156"/>
      <c r="AL308" s="156"/>
      <c r="AM308" s="156"/>
      <c r="AN308" s="156"/>
      <c r="AO308" s="156"/>
      <c r="AP308" s="156"/>
      <c r="AQ308" s="156"/>
      <c r="AR308" s="156"/>
      <c r="AS308" s="156"/>
      <c r="AT308" s="156"/>
      <c r="AU308" s="156"/>
      <c r="AV308" s="156"/>
      <c r="AW308" s="156"/>
      <c r="AX308" s="156"/>
      <c r="AY308" s="156"/>
      <c r="AZ308" s="156"/>
      <c r="BA308" s="156"/>
      <c r="BB308" s="2828"/>
      <c r="BC308" s="504"/>
      <c r="BD308" s="2829"/>
      <c r="BE308" s="2837"/>
      <c r="BF308" s="156"/>
    </row>
    <row r="309" spans="1:58" ht="14.5" hidden="1" customHeight="1" outlineLevel="1" x14ac:dyDescent="0.35">
      <c r="A309" s="1071"/>
      <c r="B309" s="106"/>
      <c r="C309" s="103"/>
      <c r="D309" s="4140"/>
      <c r="E309" s="4111"/>
      <c r="F309" s="3919" t="str">
        <f t="shared" si="53"/>
        <v>CAC-SEER17_ER1_SF</v>
      </c>
      <c r="G309" s="3920"/>
      <c r="H309" s="3921"/>
      <c r="I309" s="2224" t="str">
        <f t="shared" si="54"/>
        <v>351000_2021_12_</v>
      </c>
      <c r="J309" s="1796">
        <v>35328.775637041639</v>
      </c>
      <c r="K309" s="322">
        <f t="shared" si="55"/>
        <v>2.9440646364201366</v>
      </c>
      <c r="L309" s="2729" t="s">
        <v>4360</v>
      </c>
      <c r="M309" s="1292"/>
      <c r="N309" s="1287"/>
      <c r="O309" s="106"/>
      <c r="P309" s="106"/>
      <c r="Q309" s="106"/>
      <c r="R309" s="106"/>
      <c r="S309" s="106"/>
      <c r="T309" s="106"/>
      <c r="U309" s="106"/>
      <c r="V309" s="4022"/>
      <c r="W309" s="2224">
        <v>37200</v>
      </c>
      <c r="X309" s="2874">
        <f>W309</f>
        <v>37200</v>
      </c>
      <c r="Y309" s="2374">
        <v>36720</v>
      </c>
      <c r="Z309" s="2224">
        <v>36720</v>
      </c>
      <c r="AA309" s="2224">
        <v>36720</v>
      </c>
      <c r="AB309" s="1796">
        <v>36976.704980842915</v>
      </c>
      <c r="AC309" s="1796">
        <v>35029.739776951676</v>
      </c>
      <c r="AD309" s="1796">
        <v>35328.775637041639</v>
      </c>
      <c r="AE309" s="2224"/>
      <c r="AF309" s="2224"/>
      <c r="AG309" s="2224"/>
      <c r="AH309" s="156"/>
      <c r="AI309" s="156"/>
      <c r="AJ309" s="156"/>
      <c r="AK309" s="156"/>
      <c r="AL309" s="156"/>
      <c r="AM309" s="156"/>
      <c r="AN309" s="156"/>
      <c r="AO309" s="156"/>
      <c r="AP309" s="156"/>
      <c r="AQ309" s="156"/>
      <c r="AR309" s="156"/>
      <c r="AS309" s="156"/>
      <c r="AT309" s="156"/>
      <c r="AU309" s="156"/>
      <c r="AV309" s="156"/>
      <c r="AW309" s="156"/>
      <c r="AX309" s="156"/>
      <c r="AY309" s="156"/>
      <c r="AZ309" s="156"/>
      <c r="BA309" s="156"/>
      <c r="BB309" s="2828"/>
      <c r="BC309" s="504"/>
      <c r="BD309" s="2829"/>
      <c r="BE309" s="2837"/>
      <c r="BF309" s="156"/>
    </row>
    <row r="310" spans="1:58" ht="14.5" hidden="1" customHeight="1" outlineLevel="1" x14ac:dyDescent="0.35">
      <c r="A310" s="1071"/>
      <c r="B310" s="106"/>
      <c r="C310" s="103"/>
      <c r="D310" s="4140"/>
      <c r="E310" s="4111"/>
      <c r="F310" s="3919" t="str">
        <f t="shared" si="53"/>
        <v>CAC-SEER17_ER2_SF</v>
      </c>
      <c r="G310" s="3920"/>
      <c r="H310" s="3921"/>
      <c r="I310" s="2224" t="str">
        <f t="shared" si="54"/>
        <v>351000_2021_12_</v>
      </c>
      <c r="J310" s="1796">
        <f>J309</f>
        <v>35328.775637041639</v>
      </c>
      <c r="K310" s="322">
        <f t="shared" si="55"/>
        <v>2.9440646364201366</v>
      </c>
      <c r="L310" s="2729" t="s">
        <v>4360</v>
      </c>
      <c r="M310" s="1292"/>
      <c r="N310" s="1287"/>
      <c r="O310" s="106"/>
      <c r="P310" s="106"/>
      <c r="Q310" s="106"/>
      <c r="R310" s="106"/>
      <c r="S310" s="106"/>
      <c r="T310" s="106"/>
      <c r="U310" s="106"/>
      <c r="V310" s="4022"/>
      <c r="W310" s="2224">
        <v>37200</v>
      </c>
      <c r="X310" s="2874">
        <f t="shared" ref="X310:X316" si="56">W310</f>
        <v>37200</v>
      </c>
      <c r="Y310" s="2374">
        <v>36720</v>
      </c>
      <c r="Z310" s="2224">
        <v>36720</v>
      </c>
      <c r="AA310" s="2224">
        <v>36720</v>
      </c>
      <c r="AB310" s="1796">
        <v>36976.704980842915</v>
      </c>
      <c r="AC310" s="1796">
        <v>35029.739776951676</v>
      </c>
      <c r="AD310" s="1796">
        <f>AD309</f>
        <v>35328.775637041639</v>
      </c>
      <c r="AE310" s="2224"/>
      <c r="AF310" s="2224"/>
      <c r="AG310" s="2224"/>
      <c r="AH310" s="156"/>
      <c r="AI310" s="156"/>
      <c r="AJ310" s="156"/>
      <c r="AK310" s="156"/>
      <c r="AL310" s="156"/>
      <c r="AM310" s="156"/>
      <c r="AN310" s="156"/>
      <c r="AO310" s="156"/>
      <c r="AP310" s="156"/>
      <c r="AQ310" s="156"/>
      <c r="AR310" s="156"/>
      <c r="AS310" s="156"/>
      <c r="AT310" s="156"/>
      <c r="AU310" s="156"/>
      <c r="AV310" s="156"/>
      <c r="AW310" s="156"/>
      <c r="AX310" s="156"/>
      <c r="AY310" s="156"/>
      <c r="AZ310" s="156"/>
      <c r="BA310" s="156"/>
      <c r="BB310" s="2828"/>
      <c r="BC310" s="504"/>
      <c r="BD310" s="2829"/>
      <c r="BE310" s="2837"/>
      <c r="BF310" s="156"/>
    </row>
    <row r="311" spans="1:58" ht="14.5" hidden="1" customHeight="1" outlineLevel="1" x14ac:dyDescent="0.35">
      <c r="A311" s="1071"/>
      <c r="B311" s="106"/>
      <c r="C311" s="103"/>
      <c r="D311" s="4140"/>
      <c r="E311" s="4111"/>
      <c r="F311" s="3919" t="str">
        <f t="shared" si="53"/>
        <v>CAC-SEER17_ROF_SF</v>
      </c>
      <c r="G311" s="3920"/>
      <c r="H311" s="3921"/>
      <c r="I311" s="2224" t="str">
        <f t="shared" si="54"/>
        <v>351050_2021_12_</v>
      </c>
      <c r="J311" s="1796">
        <v>35148.936170212764</v>
      </c>
      <c r="K311" s="322">
        <f t="shared" si="55"/>
        <v>2.9290780141843968</v>
      </c>
      <c r="L311" s="2729" t="s">
        <v>4360</v>
      </c>
      <c r="M311" s="1292"/>
      <c r="N311" s="1287"/>
      <c r="O311" s="106"/>
      <c r="P311" s="106"/>
      <c r="Q311" s="106"/>
      <c r="R311" s="106"/>
      <c r="S311" s="106"/>
      <c r="T311" s="106"/>
      <c r="U311" s="106"/>
      <c r="V311" s="4022"/>
      <c r="W311" s="2224">
        <v>34800</v>
      </c>
      <c r="X311" s="2874">
        <f t="shared" si="56"/>
        <v>34800</v>
      </c>
      <c r="Y311" s="2374">
        <v>35880</v>
      </c>
      <c r="Z311" s="2224">
        <v>35880</v>
      </c>
      <c r="AA311" s="2224">
        <v>35880</v>
      </c>
      <c r="AB311" s="1796">
        <v>38408.163265306124</v>
      </c>
      <c r="AC311" s="1796">
        <v>36358.695652173912</v>
      </c>
      <c r="AD311" s="1796">
        <v>35148.936170212764</v>
      </c>
      <c r="AE311" s="2224"/>
      <c r="AF311" s="2224"/>
      <c r="AG311" s="2224"/>
      <c r="AH311" s="156"/>
      <c r="AI311" s="156"/>
      <c r="AJ311" s="156"/>
      <c r="AK311" s="156"/>
      <c r="AL311" s="156"/>
      <c r="AM311" s="156"/>
      <c r="AN311" s="156"/>
      <c r="AO311" s="156"/>
      <c r="AP311" s="156"/>
      <c r="AQ311" s="156"/>
      <c r="AR311" s="156"/>
      <c r="AS311" s="156"/>
      <c r="AT311" s="156"/>
      <c r="AU311" s="156"/>
      <c r="AV311" s="156"/>
      <c r="AW311" s="156"/>
      <c r="AX311" s="156"/>
      <c r="AY311" s="156"/>
      <c r="AZ311" s="156"/>
      <c r="BA311" s="156"/>
      <c r="BB311" s="2828"/>
      <c r="BC311" s="504"/>
      <c r="BD311" s="2829"/>
      <c r="BE311" s="2837"/>
      <c r="BF311" s="156"/>
    </row>
    <row r="312" spans="1:58" ht="14.5" hidden="1" customHeight="1" outlineLevel="1" x14ac:dyDescent="0.35">
      <c r="A312" s="1071"/>
      <c r="B312" s="106"/>
      <c r="C312" s="103"/>
      <c r="D312" s="4140"/>
      <c r="E312" s="4111"/>
      <c r="F312" s="3919" t="str">
        <f t="shared" si="53"/>
        <v>CAC-SEER17_ER1_MF</v>
      </c>
      <c r="G312" s="3920"/>
      <c r="H312" s="3921"/>
      <c r="I312" s="2224" t="str">
        <f t="shared" si="54"/>
        <v>351100_2021_12_</v>
      </c>
      <c r="J312" s="1796">
        <v>32666.666666666668</v>
      </c>
      <c r="K312" s="322">
        <f t="shared" si="55"/>
        <v>2.7222222222222223</v>
      </c>
      <c r="L312" s="2729" t="s">
        <v>4360</v>
      </c>
      <c r="M312" s="1292"/>
      <c r="N312" s="1287"/>
      <c r="O312" s="106"/>
      <c r="P312" s="106"/>
      <c r="Q312" s="106"/>
      <c r="R312" s="106"/>
      <c r="S312" s="106"/>
      <c r="T312" s="106"/>
      <c r="U312" s="106"/>
      <c r="V312" s="4022"/>
      <c r="W312" s="2224">
        <v>37200</v>
      </c>
      <c r="X312" s="2874">
        <f t="shared" si="56"/>
        <v>37200</v>
      </c>
      <c r="Y312" s="2374">
        <v>24000</v>
      </c>
      <c r="Z312" s="2224">
        <v>24000</v>
      </c>
      <c r="AA312" s="2224">
        <v>24000</v>
      </c>
      <c r="AB312" s="1796">
        <v>29454.545454545456</v>
      </c>
      <c r="AC312" s="1796">
        <v>30750</v>
      </c>
      <c r="AD312" s="1796">
        <v>32666.666666666668</v>
      </c>
      <c r="AE312" s="2224"/>
      <c r="AF312" s="2224"/>
      <c r="AG312" s="2224"/>
      <c r="AH312" s="156"/>
      <c r="AI312" s="156"/>
      <c r="AJ312" s="156"/>
      <c r="AK312" s="156"/>
      <c r="AL312" s="156"/>
      <c r="AM312" s="156"/>
      <c r="AN312" s="156"/>
      <c r="AO312" s="156"/>
      <c r="AP312" s="156"/>
      <c r="AQ312" s="156"/>
      <c r="AR312" s="156"/>
      <c r="AS312" s="156"/>
      <c r="AT312" s="156"/>
      <c r="AU312" s="156"/>
      <c r="AV312" s="156"/>
      <c r="AW312" s="156"/>
      <c r="AX312" s="156"/>
      <c r="AY312" s="156"/>
      <c r="AZ312" s="156"/>
      <c r="BA312" s="156"/>
      <c r="BB312" s="2828"/>
      <c r="BC312" s="504"/>
      <c r="BD312" s="2829"/>
      <c r="BE312" s="2837"/>
      <c r="BF312" s="156"/>
    </row>
    <row r="313" spans="1:58" ht="14.5" hidden="1" customHeight="1" outlineLevel="1" x14ac:dyDescent="0.35">
      <c r="A313" s="1071"/>
      <c r="B313" s="106"/>
      <c r="C313" s="103"/>
      <c r="D313" s="4140"/>
      <c r="E313" s="4111"/>
      <c r="F313" s="3919" t="str">
        <f t="shared" si="53"/>
        <v>CAC-SEER17_ER2_MF</v>
      </c>
      <c r="G313" s="3920"/>
      <c r="H313" s="3921"/>
      <c r="I313" s="2224" t="str">
        <f t="shared" si="54"/>
        <v>351100_2021_12_</v>
      </c>
      <c r="J313" s="1796">
        <f>J312</f>
        <v>32666.666666666668</v>
      </c>
      <c r="K313" s="322">
        <f t="shared" si="55"/>
        <v>2.7222222222222223</v>
      </c>
      <c r="L313" s="2729" t="s">
        <v>4360</v>
      </c>
      <c r="M313" s="1292"/>
      <c r="N313" s="1287"/>
      <c r="O313" s="106"/>
      <c r="P313" s="106"/>
      <c r="Q313" s="106"/>
      <c r="R313" s="106"/>
      <c r="S313" s="106"/>
      <c r="T313" s="106"/>
      <c r="U313" s="106"/>
      <c r="V313" s="4022"/>
      <c r="W313" s="2224">
        <v>37200</v>
      </c>
      <c r="X313" s="2874">
        <f t="shared" si="56"/>
        <v>37200</v>
      </c>
      <c r="Y313" s="2374">
        <v>24000</v>
      </c>
      <c r="Z313" s="2224">
        <v>24000</v>
      </c>
      <c r="AA313" s="2224">
        <v>24000</v>
      </c>
      <c r="AB313" s="1796">
        <v>29454.545454545456</v>
      </c>
      <c r="AC313" s="1796">
        <v>30750</v>
      </c>
      <c r="AD313" s="1796">
        <f>AD312</f>
        <v>32666.666666666668</v>
      </c>
      <c r="AE313" s="2224"/>
      <c r="AF313" s="2224"/>
      <c r="AG313" s="2224"/>
      <c r="AH313" s="156"/>
      <c r="AI313" s="156"/>
      <c r="AJ313" s="156"/>
      <c r="AK313" s="156"/>
      <c r="AL313" s="156"/>
      <c r="AM313" s="156"/>
      <c r="AN313" s="156"/>
      <c r="AO313" s="156"/>
      <c r="AP313" s="156"/>
      <c r="AQ313" s="156"/>
      <c r="AR313" s="156"/>
      <c r="AS313" s="156"/>
      <c r="AT313" s="156"/>
      <c r="AU313" s="156"/>
      <c r="AV313" s="156"/>
      <c r="AW313" s="156"/>
      <c r="AX313" s="156"/>
      <c r="AY313" s="156"/>
      <c r="AZ313" s="156"/>
      <c r="BA313" s="156"/>
      <c r="BB313" s="2828"/>
      <c r="BC313" s="504"/>
      <c r="BD313" s="2829"/>
      <c r="BE313" s="2837"/>
      <c r="BF313" s="156"/>
    </row>
    <row r="314" spans="1:58" ht="14.5" hidden="1" customHeight="1" outlineLevel="1" x14ac:dyDescent="0.35">
      <c r="A314" s="1071"/>
      <c r="B314" s="106"/>
      <c r="C314" s="103"/>
      <c r="D314" s="4140"/>
      <c r="E314" s="4111"/>
      <c r="F314" s="3919" t="str">
        <f t="shared" si="53"/>
        <v>CAC-SEER17_ER1_MF_CompE</v>
      </c>
      <c r="G314" s="3920"/>
      <c r="H314" s="3921"/>
      <c r="I314" s="576" t="str">
        <f t="shared" si="54"/>
        <v>351101_2021_12_</v>
      </c>
      <c r="J314" s="1796">
        <f>J312</f>
        <v>32666.666666666668</v>
      </c>
      <c r="K314" s="322">
        <f t="shared" si="55"/>
        <v>2.7222222222222223</v>
      </c>
      <c r="L314" s="2045" t="s">
        <v>973</v>
      </c>
      <c r="M314" s="1292"/>
      <c r="N314" s="1287"/>
      <c r="O314" s="106"/>
      <c r="P314" s="106"/>
      <c r="Q314" s="106"/>
      <c r="R314" s="106"/>
      <c r="S314" s="106"/>
      <c r="T314" s="106"/>
      <c r="U314" s="106"/>
      <c r="V314" s="4022"/>
      <c r="W314" s="2224"/>
      <c r="X314" s="2874"/>
      <c r="Y314" s="2374">
        <v>24000</v>
      </c>
      <c r="Z314" s="2224">
        <v>24000</v>
      </c>
      <c r="AA314" s="2224">
        <v>24000</v>
      </c>
      <c r="AB314" s="2884">
        <v>24000</v>
      </c>
      <c r="AC314" s="1796">
        <v>30750</v>
      </c>
      <c r="AD314" s="1796">
        <f>AD312</f>
        <v>32666.666666666668</v>
      </c>
      <c r="AE314" s="2224"/>
      <c r="AF314" s="2224"/>
      <c r="AG314" s="2224"/>
      <c r="AH314" s="156"/>
      <c r="AI314" s="156"/>
      <c r="AJ314" s="156"/>
      <c r="AK314" s="156"/>
      <c r="AL314" s="156"/>
      <c r="AM314" s="156"/>
      <c r="AN314" s="156"/>
      <c r="AO314" s="156"/>
      <c r="AP314" s="156"/>
      <c r="AQ314" s="156"/>
      <c r="AR314" s="156"/>
      <c r="AS314" s="156"/>
      <c r="AT314" s="156"/>
      <c r="AU314" s="156"/>
      <c r="AV314" s="156"/>
      <c r="AW314" s="156"/>
      <c r="AX314" s="156"/>
      <c r="AY314" s="156"/>
      <c r="AZ314" s="156"/>
      <c r="BA314" s="156"/>
      <c r="BB314" s="2828"/>
      <c r="BC314" s="504"/>
      <c r="BD314" s="2829"/>
      <c r="BE314" s="2837"/>
      <c r="BF314" s="156"/>
    </row>
    <row r="315" spans="1:58" ht="14.5" hidden="1" customHeight="1" outlineLevel="1" x14ac:dyDescent="0.35">
      <c r="A315" s="1071"/>
      <c r="B315" s="106"/>
      <c r="C315" s="103"/>
      <c r="D315" s="4140"/>
      <c r="E315" s="4111"/>
      <c r="F315" s="3919" t="str">
        <f t="shared" si="53"/>
        <v>CAC-SEER17_ER2_MF_CompE</v>
      </c>
      <c r="G315" s="3920"/>
      <c r="H315" s="3921"/>
      <c r="I315" s="576" t="str">
        <f t="shared" si="54"/>
        <v>351101_2021_12_</v>
      </c>
      <c r="J315" s="1796">
        <f>J313</f>
        <v>32666.666666666668</v>
      </c>
      <c r="K315" s="322">
        <f t="shared" si="55"/>
        <v>2.7222222222222223</v>
      </c>
      <c r="L315" s="2045" t="s">
        <v>973</v>
      </c>
      <c r="M315" s="1292"/>
      <c r="N315" s="1287"/>
      <c r="O315" s="106"/>
      <c r="P315" s="106"/>
      <c r="Q315" s="106"/>
      <c r="R315" s="106"/>
      <c r="S315" s="106"/>
      <c r="T315" s="106"/>
      <c r="U315" s="106"/>
      <c r="V315" s="4022"/>
      <c r="W315" s="2224"/>
      <c r="X315" s="2874"/>
      <c r="Y315" s="2374">
        <v>24000</v>
      </c>
      <c r="Z315" s="2224">
        <v>24000</v>
      </c>
      <c r="AA315" s="2224">
        <v>24000</v>
      </c>
      <c r="AB315" s="2884">
        <v>24000</v>
      </c>
      <c r="AC315" s="1796">
        <v>30750</v>
      </c>
      <c r="AD315" s="1796">
        <f>AD313</f>
        <v>32666.666666666668</v>
      </c>
      <c r="AE315" s="2224"/>
      <c r="AF315" s="2224"/>
      <c r="AG315" s="2224"/>
      <c r="AH315" s="156"/>
      <c r="AI315" s="156"/>
      <c r="AJ315" s="156"/>
      <c r="AK315" s="156"/>
      <c r="AL315" s="156"/>
      <c r="AM315" s="156"/>
      <c r="AN315" s="156"/>
      <c r="AO315" s="156"/>
      <c r="AP315" s="156"/>
      <c r="AQ315" s="156"/>
      <c r="AR315" s="156"/>
      <c r="AS315" s="156"/>
      <c r="AT315" s="156"/>
      <c r="AU315" s="156"/>
      <c r="AV315" s="156"/>
      <c r="AW315" s="156"/>
      <c r="AX315" s="156"/>
      <c r="AY315" s="156"/>
      <c r="AZ315" s="156"/>
      <c r="BA315" s="156"/>
      <c r="BB315" s="2828"/>
      <c r="BC315" s="504"/>
      <c r="BD315" s="2829"/>
      <c r="BE315" s="2837"/>
      <c r="BF315" s="156"/>
    </row>
    <row r="316" spans="1:58" ht="14.5" hidden="1" customHeight="1" outlineLevel="1" x14ac:dyDescent="0.35">
      <c r="A316" s="1071"/>
      <c r="B316" s="106"/>
      <c r="C316" s="103"/>
      <c r="D316" s="4140"/>
      <c r="E316" s="4111"/>
      <c r="F316" s="3919" t="str">
        <f t="shared" si="53"/>
        <v>CAC-SEER17_ROF_MF</v>
      </c>
      <c r="G316" s="3920"/>
      <c r="H316" s="3921"/>
      <c r="I316" s="2224" t="str">
        <f t="shared" si="54"/>
        <v>351150_2021_12_</v>
      </c>
      <c r="J316" s="2046">
        <v>33000</v>
      </c>
      <c r="K316" s="49">
        <f t="shared" si="55"/>
        <v>2.75</v>
      </c>
      <c r="L316" s="2729" t="s">
        <v>4360</v>
      </c>
      <c r="M316" s="1292"/>
      <c r="N316" s="1287"/>
      <c r="O316" s="106"/>
      <c r="P316" s="106"/>
      <c r="Q316" s="106"/>
      <c r="R316" s="106"/>
      <c r="S316" s="106"/>
      <c r="T316" s="106"/>
      <c r="U316" s="106"/>
      <c r="V316" s="4022"/>
      <c r="W316" s="2224">
        <v>34800</v>
      </c>
      <c r="X316" s="2874">
        <f t="shared" si="56"/>
        <v>34800</v>
      </c>
      <c r="Y316" s="2224">
        <v>24000</v>
      </c>
      <c r="Z316" s="2224">
        <v>24000</v>
      </c>
      <c r="AA316" s="2224">
        <v>24000</v>
      </c>
      <c r="AB316" s="1796">
        <v>48000</v>
      </c>
      <c r="AC316" s="1796">
        <v>33000</v>
      </c>
      <c r="AD316" s="2046">
        <v>33000</v>
      </c>
      <c r="AE316" s="2224"/>
      <c r="AF316" s="2224"/>
      <c r="AG316" s="2224"/>
      <c r="AH316" s="156"/>
      <c r="AI316" s="156"/>
      <c r="AJ316" s="156"/>
      <c r="AK316" s="156"/>
      <c r="AL316" s="156"/>
      <c r="AM316" s="156"/>
      <c r="AN316" s="156"/>
      <c r="AO316" s="156"/>
      <c r="AP316" s="156"/>
      <c r="AQ316" s="156"/>
      <c r="AR316" s="156"/>
      <c r="AS316" s="156"/>
      <c r="AT316" s="156"/>
      <c r="AU316" s="156"/>
      <c r="AV316" s="156"/>
      <c r="AW316" s="156"/>
      <c r="AX316" s="156"/>
      <c r="AY316" s="156"/>
      <c r="AZ316" s="156"/>
      <c r="BA316" s="156"/>
      <c r="BB316" s="2828"/>
      <c r="BC316" s="504"/>
      <c r="BD316" s="2829"/>
      <c r="BE316" s="2837"/>
      <c r="BF316" s="156"/>
    </row>
    <row r="317" spans="1:58" ht="14.5" hidden="1" customHeight="1" outlineLevel="1" x14ac:dyDescent="0.35">
      <c r="A317" s="1071"/>
      <c r="B317" s="106"/>
      <c r="C317" s="103"/>
      <c r="D317" s="4140"/>
      <c r="E317" s="3839"/>
      <c r="F317" s="3919" t="str">
        <f t="shared" si="53"/>
        <v>CAC-SEER17_ROF_MF_CompE</v>
      </c>
      <c r="G317" s="3920"/>
      <c r="H317" s="3921"/>
      <c r="I317" s="2224" t="str">
        <f t="shared" si="54"/>
        <v>351151_2021_12_</v>
      </c>
      <c r="J317" s="2046">
        <f>J316</f>
        <v>33000</v>
      </c>
      <c r="K317" s="52">
        <f t="shared" si="55"/>
        <v>2.75</v>
      </c>
      <c r="L317" s="2045" t="s">
        <v>973</v>
      </c>
      <c r="M317" s="1292"/>
      <c r="N317" s="1287"/>
      <c r="O317" s="106"/>
      <c r="P317" s="106"/>
      <c r="Q317" s="106"/>
      <c r="R317" s="106"/>
      <c r="S317" s="106"/>
      <c r="T317" s="106"/>
      <c r="U317" s="106"/>
      <c r="V317" s="4023"/>
      <c r="W317" s="2224"/>
      <c r="X317" s="2874"/>
      <c r="Y317" s="2374">
        <v>24000</v>
      </c>
      <c r="Z317" s="2224">
        <v>24000</v>
      </c>
      <c r="AA317" s="2224">
        <v>24000</v>
      </c>
      <c r="AB317" s="2882">
        <v>24000</v>
      </c>
      <c r="AC317" s="2296">
        <v>33000</v>
      </c>
      <c r="AD317" s="2046">
        <f>AD316</f>
        <v>33000</v>
      </c>
      <c r="AE317" s="2224"/>
      <c r="AF317" s="2224"/>
      <c r="AG317" s="2224"/>
      <c r="AH317" s="156"/>
      <c r="AI317" s="156"/>
      <c r="AJ317" s="156"/>
      <c r="AK317" s="156"/>
      <c r="AL317" s="156"/>
      <c r="AM317" s="156"/>
      <c r="AN317" s="156"/>
      <c r="AO317" s="156"/>
      <c r="AP317" s="156"/>
      <c r="AQ317" s="156"/>
      <c r="AR317" s="156"/>
      <c r="AS317" s="156"/>
      <c r="AT317" s="156"/>
      <c r="AU317" s="156"/>
      <c r="AV317" s="156"/>
      <c r="AW317" s="156"/>
      <c r="AX317" s="156"/>
      <c r="AY317" s="156"/>
      <c r="AZ317" s="156"/>
      <c r="BA317" s="156"/>
      <c r="BB317" s="2828"/>
      <c r="BC317" s="504"/>
      <c r="BD317" s="2829"/>
      <c r="BE317" s="2837"/>
      <c r="BF317" s="156"/>
    </row>
    <row r="318" spans="1:58" ht="14.5" hidden="1" customHeight="1" outlineLevel="1" x14ac:dyDescent="0.35">
      <c r="A318" s="1071"/>
      <c r="B318" s="106"/>
      <c r="C318" s="103"/>
      <c r="D318" s="4140"/>
      <c r="E318" s="4138"/>
      <c r="F318" s="3919" t="str">
        <f t="shared" si="53"/>
        <v>CAC-SEER18_ER1_SF</v>
      </c>
      <c r="G318" s="3920"/>
      <c r="H318" s="3921"/>
      <c r="I318" s="2224" t="str">
        <f t="shared" si="54"/>
        <v>351160_2021_12_</v>
      </c>
      <c r="J318" s="1796">
        <v>39996.913705583749</v>
      </c>
      <c r="K318" s="478">
        <f t="shared" si="55"/>
        <v>3.3330761421319792</v>
      </c>
      <c r="L318" s="2729" t="s">
        <v>4360</v>
      </c>
      <c r="M318" s="106"/>
      <c r="N318" s="1287"/>
      <c r="O318" s="106"/>
      <c r="P318" s="106"/>
      <c r="Q318" s="106"/>
      <c r="R318" s="106"/>
      <c r="S318" s="106"/>
      <c r="T318" s="106"/>
      <c r="U318" s="106"/>
      <c r="V318" s="4023"/>
      <c r="W318" s="579"/>
      <c r="X318" s="2377"/>
      <c r="Y318" s="2377"/>
      <c r="Z318" s="2377">
        <v>36000</v>
      </c>
      <c r="AA318" s="579">
        <v>36000</v>
      </c>
      <c r="AB318" s="2882">
        <v>36000</v>
      </c>
      <c r="AC318" s="2296">
        <v>38898.876404494382</v>
      </c>
      <c r="AD318" s="1796">
        <v>39996.913705583749</v>
      </c>
      <c r="AE318" s="579"/>
      <c r="AF318" s="579"/>
      <c r="AG318" s="579"/>
      <c r="AH318" s="156"/>
      <c r="AI318" s="156"/>
      <c r="AJ318" s="156"/>
      <c r="AK318" s="156"/>
      <c r="AL318" s="156"/>
      <c r="AM318" s="156"/>
      <c r="AN318" s="156"/>
      <c r="AO318" s="156"/>
      <c r="AP318" s="156"/>
      <c r="AQ318" s="156"/>
      <c r="AR318" s="156"/>
      <c r="AS318" s="156"/>
      <c r="AT318" s="156"/>
      <c r="AU318" s="156"/>
      <c r="AV318" s="156"/>
      <c r="AW318" s="156"/>
      <c r="AX318" s="156"/>
      <c r="AY318" s="156"/>
      <c r="AZ318" s="156"/>
      <c r="BA318" s="156"/>
      <c r="BB318" s="2828"/>
      <c r="BC318" s="504"/>
      <c r="BD318" s="2829"/>
      <c r="BE318" s="2837"/>
      <c r="BF318" s="156"/>
    </row>
    <row r="319" spans="1:58" ht="14.5" hidden="1" customHeight="1" outlineLevel="1" x14ac:dyDescent="0.35">
      <c r="A319" s="1071"/>
      <c r="B319" s="106"/>
      <c r="C319" s="103"/>
      <c r="D319" s="4140"/>
      <c r="E319" s="4138"/>
      <c r="F319" s="3919" t="str">
        <f t="shared" si="53"/>
        <v>CAC-SEER18_ER2_SF</v>
      </c>
      <c r="G319" s="3920"/>
      <c r="H319" s="3921"/>
      <c r="I319" s="2224" t="str">
        <f t="shared" si="54"/>
        <v>351160_2021_12_</v>
      </c>
      <c r="J319" s="1796">
        <f>J318</f>
        <v>39996.913705583749</v>
      </c>
      <c r="K319" s="478">
        <f t="shared" si="55"/>
        <v>3.3330761421319792</v>
      </c>
      <c r="L319" s="2729" t="s">
        <v>4360</v>
      </c>
      <c r="M319" s="106"/>
      <c r="N319" s="1287"/>
      <c r="O319" s="106"/>
      <c r="P319" s="106"/>
      <c r="Q319" s="106"/>
      <c r="R319" s="106"/>
      <c r="S319" s="106"/>
      <c r="T319" s="106"/>
      <c r="U319" s="106"/>
      <c r="V319" s="4023"/>
      <c r="W319" s="2224"/>
      <c r="X319" s="2374"/>
      <c r="Y319" s="2374"/>
      <c r="Z319" s="2374">
        <v>36000</v>
      </c>
      <c r="AA319" s="2224">
        <v>36000</v>
      </c>
      <c r="AB319" s="2882">
        <v>36000</v>
      </c>
      <c r="AC319" s="2296">
        <v>38898.876404494382</v>
      </c>
      <c r="AD319" s="1796">
        <f>AD318</f>
        <v>39996.913705583749</v>
      </c>
      <c r="AE319" s="2224"/>
      <c r="AF319" s="2224"/>
      <c r="AG319" s="2224"/>
      <c r="AH319" s="156"/>
      <c r="AI319" s="156"/>
      <c r="AJ319" s="156"/>
      <c r="AK319" s="156"/>
      <c r="AL319" s="156"/>
      <c r="AM319" s="156"/>
      <c r="AN319" s="156"/>
      <c r="AO319" s="156"/>
      <c r="AP319" s="156"/>
      <c r="AQ319" s="156"/>
      <c r="AR319" s="156"/>
      <c r="AS319" s="156"/>
      <c r="AT319" s="156"/>
      <c r="AU319" s="156"/>
      <c r="AV319" s="156"/>
      <c r="AW319" s="156"/>
      <c r="AX319" s="156"/>
      <c r="AY319" s="156"/>
      <c r="AZ319" s="156"/>
      <c r="BA319" s="156"/>
      <c r="BB319" s="2828"/>
      <c r="BC319" s="504"/>
      <c r="BD319" s="2829"/>
      <c r="BE319" s="2837"/>
      <c r="BF319" s="156"/>
    </row>
    <row r="320" spans="1:58" ht="14.5" hidden="1" customHeight="1" outlineLevel="1" x14ac:dyDescent="0.35">
      <c r="A320" s="1071"/>
      <c r="B320" s="106"/>
      <c r="C320" s="103"/>
      <c r="D320" s="4140"/>
      <c r="E320" s="4138"/>
      <c r="F320" s="3919" t="str">
        <f t="shared" si="53"/>
        <v>CAC-SEER18_ROF_SF</v>
      </c>
      <c r="G320" s="3920"/>
      <c r="H320" s="3921"/>
      <c r="I320" s="2224" t="str">
        <f t="shared" si="54"/>
        <v>351161_2021_12_</v>
      </c>
      <c r="J320" s="1796">
        <v>40765.935483870977</v>
      </c>
      <c r="K320" s="478">
        <f t="shared" si="55"/>
        <v>3.3971612903225816</v>
      </c>
      <c r="L320" s="2729" t="s">
        <v>4360</v>
      </c>
      <c r="M320" s="106"/>
      <c r="N320" s="1287"/>
      <c r="O320" s="106"/>
      <c r="P320" s="106"/>
      <c r="Q320" s="106"/>
      <c r="R320" s="106"/>
      <c r="S320" s="106"/>
      <c r="T320" s="106"/>
      <c r="U320" s="106"/>
      <c r="V320" s="4023"/>
      <c r="W320" s="2224"/>
      <c r="X320" s="2374"/>
      <c r="Y320" s="2374"/>
      <c r="Z320" s="2374">
        <v>36000</v>
      </c>
      <c r="AA320" s="2224">
        <v>36000</v>
      </c>
      <c r="AB320" s="2882">
        <v>36000</v>
      </c>
      <c r="AC320" s="2296">
        <v>38076.923076923078</v>
      </c>
      <c r="AD320" s="1796">
        <v>40765.935483870977</v>
      </c>
      <c r="AE320" s="2224"/>
      <c r="AF320" s="2224"/>
      <c r="AG320" s="2224"/>
      <c r="AH320" s="156"/>
      <c r="AI320" s="156"/>
      <c r="AJ320" s="156"/>
      <c r="AK320" s="156"/>
      <c r="AL320" s="156"/>
      <c r="AM320" s="156"/>
      <c r="AN320" s="156"/>
      <c r="AO320" s="156"/>
      <c r="AP320" s="156"/>
      <c r="AQ320" s="156"/>
      <c r="AR320" s="156"/>
      <c r="AS320" s="156"/>
      <c r="AT320" s="156"/>
      <c r="AU320" s="156"/>
      <c r="AV320" s="156"/>
      <c r="AW320" s="156"/>
      <c r="AX320" s="156"/>
      <c r="AY320" s="156"/>
      <c r="AZ320" s="156"/>
      <c r="BA320" s="156"/>
      <c r="BB320" s="2828"/>
      <c r="BC320" s="504"/>
      <c r="BD320" s="2829"/>
      <c r="BE320" s="2837"/>
      <c r="BF320" s="156"/>
    </row>
    <row r="321" spans="1:58" ht="14.5" hidden="1" customHeight="1" outlineLevel="1" x14ac:dyDescent="0.35">
      <c r="A321" s="1071"/>
      <c r="B321" s="106"/>
      <c r="C321" s="103"/>
      <c r="D321" s="4140"/>
      <c r="E321" s="4138"/>
      <c r="F321" s="3919" t="str">
        <f t="shared" si="53"/>
        <v>CAC-SEER18_ER1_MF</v>
      </c>
      <c r="G321" s="3920"/>
      <c r="H321" s="3921"/>
      <c r="I321" s="2224" t="str">
        <f t="shared" si="54"/>
        <v>351162_2021_12_</v>
      </c>
      <c r="J321" s="1796">
        <v>30000</v>
      </c>
      <c r="K321" s="478">
        <f t="shared" si="55"/>
        <v>2.5</v>
      </c>
      <c r="L321" s="2729" t="s">
        <v>4360</v>
      </c>
      <c r="M321" s="1292"/>
      <c r="N321" s="1287"/>
      <c r="O321" s="106"/>
      <c r="P321" s="106"/>
      <c r="Q321" s="106"/>
      <c r="R321" s="106"/>
      <c r="S321" s="106"/>
      <c r="T321" s="106"/>
      <c r="U321" s="106"/>
      <c r="V321" s="4023"/>
      <c r="W321" s="2224"/>
      <c r="X321" s="2374"/>
      <c r="Y321" s="2224"/>
      <c r="Z321" s="2374">
        <v>24000</v>
      </c>
      <c r="AA321" s="2224">
        <v>24000</v>
      </c>
      <c r="AB321" s="2882">
        <v>24000</v>
      </c>
      <c r="AC321" s="2296">
        <v>36000</v>
      </c>
      <c r="AD321" s="1796">
        <v>30000</v>
      </c>
      <c r="AE321" s="2224"/>
      <c r="AF321" s="2224"/>
      <c r="AG321" s="2224"/>
      <c r="AH321" s="156"/>
      <c r="AI321" s="156"/>
      <c r="AJ321" s="156"/>
      <c r="AK321" s="156"/>
      <c r="AL321" s="156"/>
      <c r="AM321" s="156"/>
      <c r="AN321" s="156"/>
      <c r="AO321" s="156"/>
      <c r="AP321" s="156"/>
      <c r="AQ321" s="156"/>
      <c r="AR321" s="156"/>
      <c r="AS321" s="156"/>
      <c r="AT321" s="156"/>
      <c r="AU321" s="156"/>
      <c r="AV321" s="156"/>
      <c r="AW321" s="156"/>
      <c r="AX321" s="156"/>
      <c r="AY321" s="156"/>
      <c r="AZ321" s="156"/>
      <c r="BA321" s="156"/>
      <c r="BB321" s="2828"/>
      <c r="BC321" s="504"/>
      <c r="BD321" s="2829"/>
      <c r="BE321" s="2837"/>
      <c r="BF321" s="156"/>
    </row>
    <row r="322" spans="1:58" ht="14.5" hidden="1" customHeight="1" outlineLevel="1" x14ac:dyDescent="0.35">
      <c r="A322" s="1071"/>
      <c r="B322" s="106"/>
      <c r="C322" s="103"/>
      <c r="D322" s="4140"/>
      <c r="E322" s="4138"/>
      <c r="F322" s="3919" t="str">
        <f t="shared" si="53"/>
        <v>CAC-SEER18_ER2_MF</v>
      </c>
      <c r="G322" s="3920"/>
      <c r="H322" s="3921"/>
      <c r="I322" s="2224" t="str">
        <f t="shared" si="54"/>
        <v>351162_2021_12_</v>
      </c>
      <c r="J322" s="1796">
        <f>J321</f>
        <v>30000</v>
      </c>
      <c r="K322" s="478">
        <f t="shared" si="55"/>
        <v>2.5</v>
      </c>
      <c r="L322" s="2729" t="s">
        <v>4360</v>
      </c>
      <c r="M322" s="1292"/>
      <c r="N322" s="1287"/>
      <c r="O322" s="106"/>
      <c r="P322" s="106"/>
      <c r="Q322" s="106"/>
      <c r="R322" s="106"/>
      <c r="S322" s="106"/>
      <c r="T322" s="106"/>
      <c r="U322" s="106"/>
      <c r="V322" s="4023"/>
      <c r="W322" s="2224"/>
      <c r="X322" s="2374"/>
      <c r="Y322" s="2224"/>
      <c r="Z322" s="2374">
        <v>24000</v>
      </c>
      <c r="AA322" s="2224">
        <v>24000</v>
      </c>
      <c r="AB322" s="2882">
        <v>24000</v>
      </c>
      <c r="AC322" s="2296">
        <v>36000</v>
      </c>
      <c r="AD322" s="1796">
        <f>AD321</f>
        <v>30000</v>
      </c>
      <c r="AE322" s="2224"/>
      <c r="AF322" s="2224"/>
      <c r="AG322" s="2224"/>
      <c r="AH322" s="156"/>
      <c r="AI322" s="156"/>
      <c r="AJ322" s="156"/>
      <c r="AK322" s="156"/>
      <c r="AL322" s="156"/>
      <c r="AM322" s="156"/>
      <c r="AN322" s="156"/>
      <c r="AO322" s="156"/>
      <c r="AP322" s="156"/>
      <c r="AQ322" s="156"/>
      <c r="AR322" s="156"/>
      <c r="AS322" s="156"/>
      <c r="AT322" s="156"/>
      <c r="AU322" s="156"/>
      <c r="AV322" s="156"/>
      <c r="AW322" s="156"/>
      <c r="AX322" s="156"/>
      <c r="AY322" s="156"/>
      <c r="AZ322" s="156"/>
      <c r="BA322" s="156"/>
      <c r="BB322" s="2828"/>
      <c r="BC322" s="504"/>
      <c r="BD322" s="2829"/>
      <c r="BE322" s="2837"/>
      <c r="BF322" s="156"/>
    </row>
    <row r="323" spans="1:58" ht="14.5" hidden="1" customHeight="1" outlineLevel="1" x14ac:dyDescent="0.35">
      <c r="A323" s="1071"/>
      <c r="B323" s="106"/>
      <c r="C323" s="103"/>
      <c r="D323" s="4140"/>
      <c r="E323" s="4138"/>
      <c r="F323" s="3919" t="str">
        <f t="shared" si="53"/>
        <v>CAC-SEER18_ER1_MF_CompE</v>
      </c>
      <c r="G323" s="3920"/>
      <c r="H323" s="3921"/>
      <c r="I323" s="2224" t="str">
        <f t="shared" si="54"/>
        <v>351163_2021_12_</v>
      </c>
      <c r="J323" s="1796">
        <f>J321</f>
        <v>30000</v>
      </c>
      <c r="K323" s="478">
        <f t="shared" si="55"/>
        <v>2.5</v>
      </c>
      <c r="L323" s="2045" t="s">
        <v>973</v>
      </c>
      <c r="M323" s="1292"/>
      <c r="N323" s="1287"/>
      <c r="O323" s="106"/>
      <c r="P323" s="106"/>
      <c r="Q323" s="106"/>
      <c r="R323" s="106"/>
      <c r="S323" s="106"/>
      <c r="T323" s="106"/>
      <c r="U323" s="106"/>
      <c r="V323" s="4023"/>
      <c r="W323" s="2224"/>
      <c r="X323" s="2374"/>
      <c r="Y323" s="2374"/>
      <c r="Z323" s="2374">
        <v>24000</v>
      </c>
      <c r="AA323" s="2224">
        <v>24000</v>
      </c>
      <c r="AB323" s="2882">
        <v>24000</v>
      </c>
      <c r="AC323" s="2296">
        <v>36000</v>
      </c>
      <c r="AD323" s="1796">
        <f>AD321</f>
        <v>30000</v>
      </c>
      <c r="AE323" s="2224"/>
      <c r="AF323" s="2224"/>
      <c r="AG323" s="2224"/>
      <c r="AH323" s="156"/>
      <c r="AI323" s="156"/>
      <c r="AJ323" s="156"/>
      <c r="AK323" s="156"/>
      <c r="AL323" s="156"/>
      <c r="AM323" s="156"/>
      <c r="AN323" s="156"/>
      <c r="AO323" s="156"/>
      <c r="AP323" s="156"/>
      <c r="AQ323" s="156"/>
      <c r="AR323" s="156"/>
      <c r="AS323" s="156"/>
      <c r="AT323" s="156"/>
      <c r="AU323" s="156"/>
      <c r="AV323" s="156"/>
      <c r="AW323" s="156"/>
      <c r="AX323" s="156"/>
      <c r="AY323" s="156"/>
      <c r="AZ323" s="156"/>
      <c r="BA323" s="156"/>
      <c r="BB323" s="2828"/>
      <c r="BC323" s="504"/>
      <c r="BD323" s="2829"/>
      <c r="BE323" s="2837"/>
      <c r="BF323" s="156"/>
    </row>
    <row r="324" spans="1:58" ht="14.5" hidden="1" customHeight="1" outlineLevel="1" x14ac:dyDescent="0.35">
      <c r="A324" s="1071"/>
      <c r="B324" s="106"/>
      <c r="C324" s="103"/>
      <c r="D324" s="4140"/>
      <c r="E324" s="4138"/>
      <c r="F324" s="3919" t="str">
        <f t="shared" si="53"/>
        <v>CAC-SEER18_ER2_MF_CompE</v>
      </c>
      <c r="G324" s="3920"/>
      <c r="H324" s="3921"/>
      <c r="I324" s="2224" t="str">
        <f t="shared" si="54"/>
        <v>351163_2021_12_</v>
      </c>
      <c r="J324" s="1796">
        <f>J322</f>
        <v>30000</v>
      </c>
      <c r="K324" s="478">
        <f t="shared" si="55"/>
        <v>2.5</v>
      </c>
      <c r="L324" s="2045" t="s">
        <v>973</v>
      </c>
      <c r="M324" s="1292"/>
      <c r="N324" s="1287"/>
      <c r="O324" s="106"/>
      <c r="P324" s="106"/>
      <c r="Q324" s="106"/>
      <c r="R324" s="106"/>
      <c r="S324" s="106"/>
      <c r="T324" s="106"/>
      <c r="U324" s="106"/>
      <c r="V324" s="4023"/>
      <c r="W324" s="2224"/>
      <c r="X324" s="2374"/>
      <c r="Y324" s="2374"/>
      <c r="Z324" s="2374">
        <v>24000</v>
      </c>
      <c r="AA324" s="2224">
        <v>24000</v>
      </c>
      <c r="AB324" s="2882">
        <v>24000</v>
      </c>
      <c r="AC324" s="2296">
        <v>36000</v>
      </c>
      <c r="AD324" s="1796">
        <f>AD322</f>
        <v>30000</v>
      </c>
      <c r="AE324" s="2224"/>
      <c r="AF324" s="2224"/>
      <c r="AG324" s="2224"/>
      <c r="AH324" s="156"/>
      <c r="AI324" s="156"/>
      <c r="AJ324" s="156"/>
      <c r="AK324" s="156"/>
      <c r="AL324" s="156"/>
      <c r="AM324" s="156"/>
      <c r="AN324" s="156"/>
      <c r="AO324" s="156"/>
      <c r="AP324" s="156"/>
      <c r="AQ324" s="156"/>
      <c r="AR324" s="156"/>
      <c r="AS324" s="156"/>
      <c r="AT324" s="156"/>
      <c r="AU324" s="156"/>
      <c r="AV324" s="156"/>
      <c r="AW324" s="156"/>
      <c r="AX324" s="156"/>
      <c r="AY324" s="156"/>
      <c r="AZ324" s="156"/>
      <c r="BA324" s="156"/>
      <c r="BB324" s="2828"/>
      <c r="BC324" s="504"/>
      <c r="BD324" s="2829"/>
      <c r="BE324" s="2837"/>
      <c r="BF324" s="156"/>
    </row>
    <row r="325" spans="1:58" ht="14.5" hidden="1" customHeight="1" outlineLevel="1" x14ac:dyDescent="0.35">
      <c r="A325" s="1071"/>
      <c r="B325" s="106"/>
      <c r="C325" s="103"/>
      <c r="D325" s="4140"/>
      <c r="E325" s="4138"/>
      <c r="F325" s="3919" t="str">
        <f t="shared" si="53"/>
        <v>CAC-SEER18_ROF_MF</v>
      </c>
      <c r="G325" s="3920"/>
      <c r="H325" s="3921"/>
      <c r="I325" s="2224" t="str">
        <f t="shared" si="54"/>
        <v>351164_2021_12_</v>
      </c>
      <c r="J325" s="2042">
        <v>24000</v>
      </c>
      <c r="K325" s="52">
        <f t="shared" si="55"/>
        <v>2</v>
      </c>
      <c r="L325" s="1839" t="s">
        <v>974</v>
      </c>
      <c r="M325" s="1292"/>
      <c r="N325" s="1287"/>
      <c r="O325" s="106"/>
      <c r="P325" s="106"/>
      <c r="Q325" s="106"/>
      <c r="R325" s="106"/>
      <c r="S325" s="106"/>
      <c r="T325" s="106"/>
      <c r="U325" s="106"/>
      <c r="V325" s="4023"/>
      <c r="W325" s="2224"/>
      <c r="X325" s="2374"/>
      <c r="Y325" s="2374"/>
      <c r="Z325" s="2374">
        <v>24000</v>
      </c>
      <c r="AA325" s="2224">
        <v>24000</v>
      </c>
      <c r="AB325" s="2882">
        <v>24000</v>
      </c>
      <c r="AC325" s="2042">
        <v>24000</v>
      </c>
      <c r="AD325" s="2042">
        <v>24000</v>
      </c>
      <c r="AE325" s="2224"/>
      <c r="AF325" s="2224"/>
      <c r="AG325" s="2224"/>
      <c r="AH325" s="156"/>
      <c r="AI325" s="156"/>
      <c r="AJ325" s="156"/>
      <c r="AK325" s="156"/>
      <c r="AL325" s="156"/>
      <c r="AM325" s="156"/>
      <c r="AN325" s="156"/>
      <c r="AO325" s="156"/>
      <c r="AP325" s="156"/>
      <c r="AQ325" s="156"/>
      <c r="AR325" s="156"/>
      <c r="AS325" s="156"/>
      <c r="AT325" s="156"/>
      <c r="AU325" s="156"/>
      <c r="AV325" s="156"/>
      <c r="AW325" s="156"/>
      <c r="AX325" s="156"/>
      <c r="AY325" s="156"/>
      <c r="AZ325" s="156"/>
      <c r="BA325" s="156"/>
      <c r="BB325" s="2828"/>
      <c r="BC325" s="504"/>
      <c r="BD325" s="2829"/>
      <c r="BE325" s="2837"/>
      <c r="BF325" s="156"/>
    </row>
    <row r="326" spans="1:58" ht="14.5" hidden="1" customHeight="1" outlineLevel="1" x14ac:dyDescent="0.35">
      <c r="A326" s="1071"/>
      <c r="B326" s="106"/>
      <c r="C326" s="103"/>
      <c r="D326" s="4140"/>
      <c r="E326" s="4138"/>
      <c r="F326" s="3919" t="str">
        <f t="shared" si="53"/>
        <v>CAC-SEER18_ROF_MF_CompE</v>
      </c>
      <c r="G326" s="3920"/>
      <c r="H326" s="3921"/>
      <c r="I326" s="2224" t="str">
        <f t="shared" si="54"/>
        <v>351165_2021_12_</v>
      </c>
      <c r="J326" s="2042">
        <f>J325</f>
        <v>24000</v>
      </c>
      <c r="K326" s="52">
        <f t="shared" si="55"/>
        <v>2</v>
      </c>
      <c r="L326" s="2045" t="s">
        <v>973</v>
      </c>
      <c r="M326" s="1292"/>
      <c r="N326" s="1287"/>
      <c r="O326" s="106"/>
      <c r="P326" s="106"/>
      <c r="Q326" s="106"/>
      <c r="R326" s="106"/>
      <c r="S326" s="106"/>
      <c r="T326" s="106"/>
      <c r="U326" s="106"/>
      <c r="V326" s="4023"/>
      <c r="W326" s="2224"/>
      <c r="X326" s="2374"/>
      <c r="Y326" s="2224"/>
      <c r="Z326" s="2374">
        <v>24000</v>
      </c>
      <c r="AA326" s="2224">
        <v>24000</v>
      </c>
      <c r="AB326" s="2882">
        <v>24000</v>
      </c>
      <c r="AC326" s="2042">
        <v>24000</v>
      </c>
      <c r="AD326" s="2042">
        <f>AD325</f>
        <v>24000</v>
      </c>
      <c r="AE326" s="2224"/>
      <c r="AF326" s="2224"/>
      <c r="AG326" s="2224"/>
      <c r="AH326" s="156"/>
      <c r="AI326" s="156"/>
      <c r="AJ326" s="156"/>
      <c r="AK326" s="156"/>
      <c r="AL326" s="156"/>
      <c r="AM326" s="156"/>
      <c r="AN326" s="156"/>
      <c r="AO326" s="156"/>
      <c r="AP326" s="156"/>
      <c r="AQ326" s="156"/>
      <c r="AR326" s="156"/>
      <c r="AS326" s="156"/>
      <c r="AT326" s="156"/>
      <c r="AU326" s="156"/>
      <c r="AV326" s="156"/>
      <c r="AW326" s="156"/>
      <c r="AX326" s="156"/>
      <c r="AY326" s="156"/>
      <c r="AZ326" s="156"/>
      <c r="BA326" s="156"/>
      <c r="BB326" s="2828"/>
      <c r="BC326" s="504"/>
      <c r="BD326" s="2829"/>
      <c r="BE326" s="2837"/>
      <c r="BF326" s="156"/>
    </row>
    <row r="327" spans="1:58" ht="14.5" hidden="1" customHeight="1" outlineLevel="1" x14ac:dyDescent="0.35">
      <c r="A327" s="1071"/>
      <c r="B327" s="106"/>
      <c r="C327" s="103"/>
      <c r="D327" s="4140"/>
      <c r="E327" s="4138"/>
      <c r="F327" s="3919" t="str">
        <f t="shared" si="53"/>
        <v>CAC-SEER19_ER1_SF</v>
      </c>
      <c r="G327" s="3920"/>
      <c r="H327" s="3921"/>
      <c r="I327" s="2224" t="str">
        <f t="shared" si="54"/>
        <v>351170_2021_12_</v>
      </c>
      <c r="J327" s="1796">
        <v>51760.434782608703</v>
      </c>
      <c r="K327" s="478">
        <f t="shared" si="55"/>
        <v>4.3133695652173918</v>
      </c>
      <c r="L327" s="2729" t="s">
        <v>4360</v>
      </c>
      <c r="M327" s="1292"/>
      <c r="N327" s="1287"/>
      <c r="O327" s="106"/>
      <c r="P327" s="106"/>
      <c r="Q327" s="106"/>
      <c r="R327" s="106"/>
      <c r="S327" s="106"/>
      <c r="T327" s="106"/>
      <c r="U327" s="106"/>
      <c r="V327" s="4023"/>
      <c r="W327" s="2224"/>
      <c r="X327" s="2374"/>
      <c r="Y327" s="2374"/>
      <c r="Z327" s="2374">
        <v>36000</v>
      </c>
      <c r="AA327" s="2224">
        <v>36000</v>
      </c>
      <c r="AB327" s="2882">
        <v>36000</v>
      </c>
      <c r="AC327" s="2296">
        <v>50823.529411764706</v>
      </c>
      <c r="AD327" s="1796">
        <v>51760.434782608703</v>
      </c>
      <c r="AE327" s="2224"/>
      <c r="AF327" s="2224"/>
      <c r="AG327" s="2224"/>
      <c r="AH327" s="156"/>
      <c r="AI327" s="156"/>
      <c r="AJ327" s="156"/>
      <c r="AK327" s="156"/>
      <c r="AL327" s="156"/>
      <c r="AM327" s="156"/>
      <c r="AN327" s="156"/>
      <c r="AO327" s="156"/>
      <c r="AP327" s="156"/>
      <c r="AQ327" s="156"/>
      <c r="AR327" s="156"/>
      <c r="AS327" s="156"/>
      <c r="AT327" s="156"/>
      <c r="AU327" s="156"/>
      <c r="AV327" s="156"/>
      <c r="AW327" s="156"/>
      <c r="AX327" s="156"/>
      <c r="AY327" s="156"/>
      <c r="AZ327" s="156"/>
      <c r="BA327" s="156"/>
      <c r="BB327" s="2828"/>
      <c r="BC327" s="504"/>
      <c r="BD327" s="2829"/>
      <c r="BE327" s="2837"/>
      <c r="BF327" s="156"/>
    </row>
    <row r="328" spans="1:58" ht="14.5" hidden="1" customHeight="1" outlineLevel="1" x14ac:dyDescent="0.35">
      <c r="A328" s="1071"/>
      <c r="B328" s="106"/>
      <c r="C328" s="103"/>
      <c r="D328" s="4140"/>
      <c r="E328" s="4138"/>
      <c r="F328" s="3919" t="str">
        <f t="shared" si="53"/>
        <v>CAC-SEER19_ER2_SF</v>
      </c>
      <c r="G328" s="3920"/>
      <c r="H328" s="3921"/>
      <c r="I328" s="2224" t="str">
        <f t="shared" si="54"/>
        <v>351170_2021_12_</v>
      </c>
      <c r="J328" s="1796">
        <f>J327</f>
        <v>51760.434782608703</v>
      </c>
      <c r="K328" s="478">
        <f t="shared" si="55"/>
        <v>4.3133695652173918</v>
      </c>
      <c r="L328" s="2729" t="s">
        <v>4360</v>
      </c>
      <c r="M328" s="1292"/>
      <c r="N328" s="1287"/>
      <c r="O328" s="106"/>
      <c r="P328" s="106"/>
      <c r="Q328" s="106"/>
      <c r="R328" s="106"/>
      <c r="S328" s="106"/>
      <c r="T328" s="106"/>
      <c r="U328" s="106"/>
      <c r="V328" s="4023"/>
      <c r="W328" s="2224"/>
      <c r="X328" s="2374"/>
      <c r="Y328" s="2374"/>
      <c r="Z328" s="2374">
        <v>36000</v>
      </c>
      <c r="AA328" s="2224">
        <v>36000</v>
      </c>
      <c r="AB328" s="2882">
        <v>36000</v>
      </c>
      <c r="AC328" s="2296">
        <v>50823.529411764706</v>
      </c>
      <c r="AD328" s="1796">
        <f>AD327</f>
        <v>51760.434782608703</v>
      </c>
      <c r="AE328" s="2224"/>
      <c r="AF328" s="2224"/>
      <c r="AG328" s="2224"/>
      <c r="AH328" s="156"/>
      <c r="AI328" s="156"/>
      <c r="AJ328" s="156"/>
      <c r="AK328" s="156"/>
      <c r="AL328" s="156"/>
      <c r="AM328" s="156"/>
      <c r="AN328" s="156"/>
      <c r="AO328" s="156"/>
      <c r="AP328" s="156"/>
      <c r="AQ328" s="156"/>
      <c r="AR328" s="156"/>
      <c r="AS328" s="156"/>
      <c r="AT328" s="156"/>
      <c r="AU328" s="156"/>
      <c r="AV328" s="156"/>
      <c r="AW328" s="156"/>
      <c r="AX328" s="156"/>
      <c r="AY328" s="156"/>
      <c r="AZ328" s="156"/>
      <c r="BA328" s="156"/>
      <c r="BB328" s="2828"/>
      <c r="BC328" s="504"/>
      <c r="BD328" s="2829"/>
      <c r="BE328" s="2837"/>
      <c r="BF328" s="156"/>
    </row>
    <row r="329" spans="1:58" ht="14.5" hidden="1" customHeight="1" outlineLevel="1" x14ac:dyDescent="0.35">
      <c r="A329" s="1071"/>
      <c r="B329" s="106"/>
      <c r="C329" s="103"/>
      <c r="D329" s="4140"/>
      <c r="E329" s="4138"/>
      <c r="F329" s="3919" t="str">
        <f t="shared" si="53"/>
        <v>CAC-SEER19_ROF_SF</v>
      </c>
      <c r="G329" s="3920"/>
      <c r="H329" s="3921"/>
      <c r="I329" s="2224" t="str">
        <f t="shared" si="54"/>
        <v>351171_2021_12_</v>
      </c>
      <c r="J329" s="1796">
        <v>51772.5</v>
      </c>
      <c r="K329" s="478">
        <f t="shared" si="55"/>
        <v>4.3143750000000001</v>
      </c>
      <c r="L329" s="2729" t="s">
        <v>4360</v>
      </c>
      <c r="M329" s="1292"/>
      <c r="N329" s="1287"/>
      <c r="O329" s="106"/>
      <c r="P329" s="106"/>
      <c r="Q329" s="106"/>
      <c r="R329" s="106"/>
      <c r="S329" s="106"/>
      <c r="T329" s="106"/>
      <c r="U329" s="106"/>
      <c r="V329" s="4023"/>
      <c r="W329" s="2224"/>
      <c r="X329" s="2374"/>
      <c r="Y329" s="2374"/>
      <c r="Z329" s="2374">
        <v>36000</v>
      </c>
      <c r="AA329" s="2224">
        <v>36000</v>
      </c>
      <c r="AB329" s="2882">
        <v>36000</v>
      </c>
      <c r="AC329" s="2296">
        <v>52285.714285714283</v>
      </c>
      <c r="AD329" s="1796">
        <v>51772.5</v>
      </c>
      <c r="AE329" s="2224"/>
      <c r="AF329" s="2224"/>
      <c r="AG329" s="2224"/>
      <c r="AH329" s="156"/>
      <c r="AI329" s="156"/>
      <c r="AJ329" s="156"/>
      <c r="AK329" s="156"/>
      <c r="AL329" s="156"/>
      <c r="AM329" s="156"/>
      <c r="AN329" s="156"/>
      <c r="AO329" s="156"/>
      <c r="AP329" s="156"/>
      <c r="AQ329" s="156"/>
      <c r="AR329" s="156"/>
      <c r="AS329" s="156"/>
      <c r="AT329" s="156"/>
      <c r="AU329" s="156"/>
      <c r="AV329" s="156"/>
      <c r="AW329" s="156"/>
      <c r="AX329" s="156"/>
      <c r="AY329" s="156"/>
      <c r="AZ329" s="156"/>
      <c r="BA329" s="156"/>
      <c r="BB329" s="2828"/>
      <c r="BC329" s="504"/>
      <c r="BD329" s="2829"/>
      <c r="BE329" s="2837"/>
      <c r="BF329" s="156"/>
    </row>
    <row r="330" spans="1:58" ht="14.5" hidden="1" customHeight="1" outlineLevel="1" x14ac:dyDescent="0.35">
      <c r="A330" s="1071"/>
      <c r="B330" s="106"/>
      <c r="C330" s="103"/>
      <c r="D330" s="4140"/>
      <c r="E330" s="4138"/>
      <c r="F330" s="3919" t="str">
        <f t="shared" si="53"/>
        <v>CAC-SEER19_ER1_MF</v>
      </c>
      <c r="G330" s="3920"/>
      <c r="H330" s="3921"/>
      <c r="I330" s="2224" t="str">
        <f t="shared" si="54"/>
        <v>351172_2021_12_</v>
      </c>
      <c r="J330" s="2042">
        <v>24000</v>
      </c>
      <c r="K330" s="52">
        <f t="shared" si="55"/>
        <v>2</v>
      </c>
      <c r="L330" s="2045"/>
      <c r="M330" s="1292"/>
      <c r="N330" s="1287"/>
      <c r="O330" s="106"/>
      <c r="P330" s="2811"/>
      <c r="Q330" s="106"/>
      <c r="R330" s="106"/>
      <c r="S330" s="106"/>
      <c r="T330" s="106"/>
      <c r="U330" s="106"/>
      <c r="V330" s="4023"/>
      <c r="W330" s="2224"/>
      <c r="X330" s="2374"/>
      <c r="Y330" s="2224"/>
      <c r="Z330" s="2374">
        <v>24000</v>
      </c>
      <c r="AA330" s="2224">
        <v>24000</v>
      </c>
      <c r="AB330" s="2882">
        <v>24000</v>
      </c>
      <c r="AC330" s="2042">
        <v>24000</v>
      </c>
      <c r="AD330" s="2042">
        <v>24000</v>
      </c>
      <c r="AE330" s="2224"/>
      <c r="AF330" s="2224"/>
      <c r="AG330" s="2224"/>
      <c r="AH330" s="156"/>
      <c r="AI330" s="156"/>
      <c r="AJ330" s="156"/>
      <c r="AK330" s="156"/>
      <c r="AL330" s="156"/>
      <c r="AM330" s="156"/>
      <c r="AN330" s="156"/>
      <c r="AO330" s="156"/>
      <c r="AP330" s="156"/>
      <c r="AQ330" s="156"/>
      <c r="AR330" s="156"/>
      <c r="AS330" s="156"/>
      <c r="AT330" s="156"/>
      <c r="AU330" s="156"/>
      <c r="AV330" s="156"/>
      <c r="AW330" s="156"/>
      <c r="AX330" s="156"/>
      <c r="AY330" s="156"/>
      <c r="AZ330" s="156"/>
      <c r="BA330" s="156"/>
      <c r="BB330" s="2828"/>
      <c r="BC330" s="504"/>
      <c r="BD330" s="2829"/>
      <c r="BE330" s="2837"/>
      <c r="BF330" s="156"/>
    </row>
    <row r="331" spans="1:58" ht="14.5" hidden="1" customHeight="1" outlineLevel="1" x14ac:dyDescent="0.35">
      <c r="A331" s="1071"/>
      <c r="B331" s="106"/>
      <c r="C331" s="103"/>
      <c r="D331" s="4140"/>
      <c r="E331" s="4138"/>
      <c r="F331" s="3919" t="str">
        <f t="shared" si="53"/>
        <v>CAC-SEER19_ER2_MF</v>
      </c>
      <c r="G331" s="3920"/>
      <c r="H331" s="3921"/>
      <c r="I331" s="2224" t="str">
        <f t="shared" si="54"/>
        <v>351172_2021_12_</v>
      </c>
      <c r="J331" s="2042">
        <v>24000</v>
      </c>
      <c r="K331" s="52">
        <f t="shared" si="55"/>
        <v>2</v>
      </c>
      <c r="L331" s="2045"/>
      <c r="M331" s="1292"/>
      <c r="N331" s="1287"/>
      <c r="O331" s="106"/>
      <c r="P331" s="106"/>
      <c r="Q331" s="106"/>
      <c r="R331" s="106"/>
      <c r="S331" s="106"/>
      <c r="T331" s="106"/>
      <c r="U331" s="106"/>
      <c r="V331" s="4023"/>
      <c r="W331" s="2224"/>
      <c r="X331" s="2374"/>
      <c r="Y331" s="2224"/>
      <c r="Z331" s="2374">
        <v>24000</v>
      </c>
      <c r="AA331" s="2224">
        <v>24000</v>
      </c>
      <c r="AB331" s="2882">
        <v>24000</v>
      </c>
      <c r="AC331" s="2042">
        <v>24000</v>
      </c>
      <c r="AD331" s="2042">
        <v>24000</v>
      </c>
      <c r="AE331" s="2224"/>
      <c r="AF331" s="2224"/>
      <c r="AG331" s="2224"/>
      <c r="AH331" s="156"/>
      <c r="AI331" s="156"/>
      <c r="AJ331" s="156"/>
      <c r="AK331" s="156"/>
      <c r="AL331" s="156"/>
      <c r="AM331" s="156"/>
      <c r="AN331" s="156"/>
      <c r="AO331" s="156"/>
      <c r="AP331" s="156"/>
      <c r="AQ331" s="156"/>
      <c r="AR331" s="156"/>
      <c r="AS331" s="156"/>
      <c r="AT331" s="156"/>
      <c r="AU331" s="156"/>
      <c r="AV331" s="156"/>
      <c r="AW331" s="156"/>
      <c r="AX331" s="156"/>
      <c r="AY331" s="156"/>
      <c r="AZ331" s="156"/>
      <c r="BA331" s="156"/>
      <c r="BB331" s="2828"/>
      <c r="BC331" s="504"/>
      <c r="BD331" s="2829"/>
      <c r="BE331" s="2837"/>
      <c r="BF331" s="156"/>
    </row>
    <row r="332" spans="1:58" ht="14.5" hidden="1" customHeight="1" outlineLevel="1" x14ac:dyDescent="0.35">
      <c r="A332" s="1071"/>
      <c r="B332" s="106"/>
      <c r="C332" s="103"/>
      <c r="D332" s="4140"/>
      <c r="E332" s="4138"/>
      <c r="F332" s="3919" t="str">
        <f t="shared" si="53"/>
        <v>CAC-SEER19_ER1_MF_CompE</v>
      </c>
      <c r="G332" s="3920"/>
      <c r="H332" s="3921"/>
      <c r="I332" s="2224" t="str">
        <f t="shared" si="54"/>
        <v>351173_2021_12_</v>
      </c>
      <c r="J332" s="2042">
        <f>J330</f>
        <v>24000</v>
      </c>
      <c r="K332" s="52">
        <f t="shared" si="55"/>
        <v>2</v>
      </c>
      <c r="L332" s="2045" t="s">
        <v>973</v>
      </c>
      <c r="M332" s="1292"/>
      <c r="N332" s="1287"/>
      <c r="O332" s="106"/>
      <c r="P332" s="106"/>
      <c r="Q332" s="106"/>
      <c r="R332" s="106"/>
      <c r="S332" s="106"/>
      <c r="T332" s="106"/>
      <c r="U332" s="106"/>
      <c r="V332" s="4023"/>
      <c r="W332" s="2224"/>
      <c r="X332" s="2374"/>
      <c r="Y332" s="2374"/>
      <c r="Z332" s="2374">
        <v>24000</v>
      </c>
      <c r="AA332" s="2224">
        <v>24000</v>
      </c>
      <c r="AB332" s="2882">
        <v>24000</v>
      </c>
      <c r="AC332" s="2042">
        <v>24000</v>
      </c>
      <c r="AD332" s="2042">
        <f>AD330</f>
        <v>24000</v>
      </c>
      <c r="AE332" s="2224"/>
      <c r="AF332" s="2224"/>
      <c r="AG332" s="2224"/>
      <c r="AH332" s="156"/>
      <c r="AI332" s="156"/>
      <c r="AJ332" s="156"/>
      <c r="AK332" s="156"/>
      <c r="AL332" s="156"/>
      <c r="AM332" s="156"/>
      <c r="AN332" s="156"/>
      <c r="AO332" s="156"/>
      <c r="AP332" s="156"/>
      <c r="AQ332" s="156"/>
      <c r="AR332" s="156"/>
      <c r="AS332" s="156"/>
      <c r="AT332" s="156"/>
      <c r="AU332" s="156"/>
      <c r="AV332" s="156"/>
      <c r="AW332" s="156"/>
      <c r="AX332" s="156"/>
      <c r="AY332" s="156"/>
      <c r="AZ332" s="156"/>
      <c r="BA332" s="156"/>
      <c r="BB332" s="2828"/>
      <c r="BC332" s="504"/>
      <c r="BD332" s="2829"/>
      <c r="BE332" s="2837"/>
      <c r="BF332" s="156"/>
    </row>
    <row r="333" spans="1:58" ht="14.5" hidden="1" customHeight="1" outlineLevel="1" x14ac:dyDescent="0.35">
      <c r="A333" s="1071"/>
      <c r="B333" s="106"/>
      <c r="C333" s="103"/>
      <c r="D333" s="4140"/>
      <c r="E333" s="4138"/>
      <c r="F333" s="3919" t="str">
        <f t="shared" si="53"/>
        <v>CAC-SEER19_ER2_MF_CompE</v>
      </c>
      <c r="G333" s="3920"/>
      <c r="H333" s="3921"/>
      <c r="I333" s="2224" t="str">
        <f t="shared" si="54"/>
        <v>351173_2021_12_</v>
      </c>
      <c r="J333" s="2042">
        <f>J331</f>
        <v>24000</v>
      </c>
      <c r="K333" s="52">
        <f t="shared" si="55"/>
        <v>2</v>
      </c>
      <c r="L333" s="2045" t="s">
        <v>973</v>
      </c>
      <c r="M333" s="1292"/>
      <c r="N333" s="1287"/>
      <c r="O333" s="106"/>
      <c r="P333" s="106"/>
      <c r="Q333" s="106"/>
      <c r="R333" s="106"/>
      <c r="S333" s="106"/>
      <c r="T333" s="106"/>
      <c r="U333" s="106"/>
      <c r="V333" s="4023"/>
      <c r="W333" s="2224"/>
      <c r="X333" s="2374"/>
      <c r="Y333" s="2374"/>
      <c r="Z333" s="2374">
        <v>24000</v>
      </c>
      <c r="AA333" s="2224">
        <v>24000</v>
      </c>
      <c r="AB333" s="2882">
        <v>24000</v>
      </c>
      <c r="AC333" s="2042">
        <v>24000</v>
      </c>
      <c r="AD333" s="2042">
        <f>AD331</f>
        <v>24000</v>
      </c>
      <c r="AE333" s="2224"/>
      <c r="AF333" s="2224"/>
      <c r="AG333" s="2224"/>
      <c r="AH333" s="156"/>
      <c r="AI333" s="156"/>
      <c r="AJ333" s="156"/>
      <c r="AK333" s="156"/>
      <c r="AL333" s="156"/>
      <c r="AM333" s="156"/>
      <c r="AN333" s="156"/>
      <c r="AO333" s="156"/>
      <c r="AP333" s="156"/>
      <c r="AQ333" s="156"/>
      <c r="AR333" s="156"/>
      <c r="AS333" s="156"/>
      <c r="AT333" s="156"/>
      <c r="AU333" s="156"/>
      <c r="AV333" s="156"/>
      <c r="AW333" s="156"/>
      <c r="AX333" s="156"/>
      <c r="AY333" s="156"/>
      <c r="AZ333" s="156"/>
      <c r="BA333" s="156"/>
      <c r="BB333" s="2828"/>
      <c r="BC333" s="504"/>
      <c r="BD333" s="2829"/>
      <c r="BE333" s="2837"/>
      <c r="BF333" s="156"/>
    </row>
    <row r="334" spans="1:58" ht="14.5" hidden="1" customHeight="1" outlineLevel="1" x14ac:dyDescent="0.35">
      <c r="A334" s="1071"/>
      <c r="B334" s="106"/>
      <c r="C334" s="103"/>
      <c r="D334" s="4140"/>
      <c r="E334" s="4138"/>
      <c r="F334" s="3919" t="str">
        <f t="shared" si="53"/>
        <v>CAC-SEER19_ROF_MF</v>
      </c>
      <c r="G334" s="3920"/>
      <c r="H334" s="3921"/>
      <c r="I334" s="2224" t="str">
        <f t="shared" si="54"/>
        <v>351174_2021_12_</v>
      </c>
      <c r="J334" s="2042">
        <v>24000</v>
      </c>
      <c r="K334" s="52">
        <f t="shared" si="55"/>
        <v>2</v>
      </c>
      <c r="L334" s="2045"/>
      <c r="M334" s="1292"/>
      <c r="N334" s="1287"/>
      <c r="O334" s="106"/>
      <c r="P334" s="106"/>
      <c r="Q334" s="106"/>
      <c r="R334" s="106"/>
      <c r="S334" s="106"/>
      <c r="T334" s="106"/>
      <c r="U334" s="106"/>
      <c r="V334" s="4023"/>
      <c r="W334" s="2224"/>
      <c r="X334" s="2374"/>
      <c r="Y334" s="2374"/>
      <c r="Z334" s="2374">
        <v>24000</v>
      </c>
      <c r="AA334" s="2224">
        <v>24000</v>
      </c>
      <c r="AB334" s="2882">
        <v>24000</v>
      </c>
      <c r="AC334" s="2042">
        <v>24000</v>
      </c>
      <c r="AD334" s="2042">
        <v>24000</v>
      </c>
      <c r="AE334" s="2224"/>
      <c r="AF334" s="2224"/>
      <c r="AG334" s="2224"/>
      <c r="AH334" s="156"/>
      <c r="AI334" s="156"/>
      <c r="AJ334" s="156"/>
      <c r="AK334" s="156"/>
      <c r="AL334" s="156"/>
      <c r="AM334" s="156"/>
      <c r="AN334" s="156"/>
      <c r="AO334" s="156"/>
      <c r="AP334" s="156"/>
      <c r="AQ334" s="156"/>
      <c r="AR334" s="156"/>
      <c r="AS334" s="156"/>
      <c r="AT334" s="156"/>
      <c r="AU334" s="156"/>
      <c r="AV334" s="156"/>
      <c r="AW334" s="156"/>
      <c r="AX334" s="156"/>
      <c r="AY334" s="156"/>
      <c r="AZ334" s="156"/>
      <c r="BA334" s="156"/>
      <c r="BB334" s="2828"/>
      <c r="BC334" s="504"/>
      <c r="BD334" s="2829"/>
      <c r="BE334" s="2837"/>
      <c r="BF334" s="156"/>
    </row>
    <row r="335" spans="1:58" ht="14.5" hidden="1" customHeight="1" outlineLevel="1" x14ac:dyDescent="0.35">
      <c r="A335" s="1071"/>
      <c r="B335" s="106"/>
      <c r="C335" s="103"/>
      <c r="D335" s="4140"/>
      <c r="E335" s="4138"/>
      <c r="F335" s="3919" t="str">
        <f t="shared" si="53"/>
        <v>CAC-SEER19_ROF_MF_CompE</v>
      </c>
      <c r="G335" s="3920"/>
      <c r="H335" s="3921"/>
      <c r="I335" s="2224" t="str">
        <f t="shared" si="54"/>
        <v>351175_2021_12_</v>
      </c>
      <c r="J335" s="2042">
        <f>J334</f>
        <v>24000</v>
      </c>
      <c r="K335" s="52">
        <f t="shared" si="55"/>
        <v>2</v>
      </c>
      <c r="L335" s="2045" t="s">
        <v>973</v>
      </c>
      <c r="M335" s="1292"/>
      <c r="N335" s="1287"/>
      <c r="O335" s="106"/>
      <c r="P335" s="106"/>
      <c r="Q335" s="106"/>
      <c r="R335" s="106"/>
      <c r="S335" s="106"/>
      <c r="T335" s="106"/>
      <c r="U335" s="106"/>
      <c r="V335" s="4023"/>
      <c r="W335" s="2224"/>
      <c r="X335" s="2374"/>
      <c r="Y335" s="2374"/>
      <c r="Z335" s="2374">
        <v>24000</v>
      </c>
      <c r="AA335" s="2224">
        <v>24000</v>
      </c>
      <c r="AB335" s="2882">
        <v>24000</v>
      </c>
      <c r="AC335" s="2042">
        <v>24000</v>
      </c>
      <c r="AD335" s="2042">
        <f>AD334</f>
        <v>24000</v>
      </c>
      <c r="AE335" s="2224"/>
      <c r="AF335" s="2224"/>
      <c r="AG335" s="2224"/>
      <c r="AH335" s="156"/>
      <c r="AI335" s="156"/>
      <c r="AJ335" s="156"/>
      <c r="AK335" s="156"/>
      <c r="AL335" s="156"/>
      <c r="AM335" s="156"/>
      <c r="AN335" s="156"/>
      <c r="AO335" s="156"/>
      <c r="AP335" s="156"/>
      <c r="AQ335" s="156"/>
      <c r="AR335" s="156"/>
      <c r="AS335" s="156"/>
      <c r="AT335" s="156"/>
      <c r="AU335" s="156"/>
      <c r="AV335" s="156"/>
      <c r="AW335" s="156"/>
      <c r="AX335" s="156"/>
      <c r="AY335" s="156"/>
      <c r="AZ335" s="156"/>
      <c r="BA335" s="156"/>
      <c r="BB335" s="2828"/>
      <c r="BC335" s="504"/>
      <c r="BD335" s="2829"/>
      <c r="BE335" s="2837"/>
      <c r="BF335" s="156"/>
    </row>
    <row r="336" spans="1:58" ht="14.5" hidden="1" customHeight="1" outlineLevel="1" x14ac:dyDescent="0.35">
      <c r="A336" s="1071"/>
      <c r="B336" s="106"/>
      <c r="C336" s="103"/>
      <c r="D336" s="4140"/>
      <c r="E336" s="4138"/>
      <c r="F336" s="3919" t="str">
        <f t="shared" si="53"/>
        <v>CAC-SEER20_ER1_SF</v>
      </c>
      <c r="G336" s="3920"/>
      <c r="H336" s="3921"/>
      <c r="I336" s="2224" t="str">
        <f t="shared" si="54"/>
        <v>351180_2021_12_</v>
      </c>
      <c r="J336" s="1796">
        <v>40910.503597122304</v>
      </c>
      <c r="K336" s="478">
        <f t="shared" si="55"/>
        <v>3.4092086330935252</v>
      </c>
      <c r="L336" s="2729" t="s">
        <v>4360</v>
      </c>
      <c r="M336" s="1292"/>
      <c r="N336" s="1287"/>
      <c r="O336" s="106"/>
      <c r="P336" s="106"/>
      <c r="Q336" s="106"/>
      <c r="R336" s="106"/>
      <c r="S336" s="106"/>
      <c r="T336" s="106"/>
      <c r="U336" s="106"/>
      <c r="V336" s="4023"/>
      <c r="W336" s="2224"/>
      <c r="X336" s="2374"/>
      <c r="Y336" s="2374"/>
      <c r="Z336" s="2374">
        <v>36000</v>
      </c>
      <c r="AA336" s="2224">
        <v>36000</v>
      </c>
      <c r="AB336" s="2882">
        <v>36000</v>
      </c>
      <c r="AC336" s="2296">
        <v>41052.631578947367</v>
      </c>
      <c r="AD336" s="1796">
        <v>40910.503597122304</v>
      </c>
      <c r="AE336" s="2224"/>
      <c r="AF336" s="2224"/>
      <c r="AG336" s="2224"/>
      <c r="AH336" s="156"/>
      <c r="AI336" s="156"/>
      <c r="AJ336" s="156"/>
      <c r="AK336" s="156"/>
      <c r="AL336" s="156"/>
      <c r="AM336" s="156"/>
      <c r="AN336" s="156"/>
      <c r="AO336" s="156"/>
      <c r="AP336" s="156"/>
      <c r="AQ336" s="156"/>
      <c r="AR336" s="156"/>
      <c r="AS336" s="156"/>
      <c r="AT336" s="156"/>
      <c r="AU336" s="156"/>
      <c r="AV336" s="156"/>
      <c r="AW336" s="156"/>
      <c r="AX336" s="156"/>
      <c r="AY336" s="156"/>
      <c r="AZ336" s="156"/>
      <c r="BA336" s="156"/>
      <c r="BB336" s="2828"/>
      <c r="BC336" s="504"/>
      <c r="BD336" s="2829"/>
      <c r="BE336" s="2837"/>
      <c r="BF336" s="156"/>
    </row>
    <row r="337" spans="1:58" ht="14.5" hidden="1" customHeight="1" outlineLevel="1" x14ac:dyDescent="0.35">
      <c r="A337" s="1071"/>
      <c r="B337" s="106"/>
      <c r="C337" s="103"/>
      <c r="D337" s="4140"/>
      <c r="E337" s="4138"/>
      <c r="F337" s="3919" t="str">
        <f t="shared" si="53"/>
        <v>CAC-SEER20_ER2_SF</v>
      </c>
      <c r="G337" s="3920"/>
      <c r="H337" s="3921"/>
      <c r="I337" s="2224" t="str">
        <f t="shared" si="54"/>
        <v>351180_2021_12_</v>
      </c>
      <c r="J337" s="1796">
        <f>J336</f>
        <v>40910.503597122304</v>
      </c>
      <c r="K337" s="478">
        <f t="shared" si="55"/>
        <v>3.4092086330935252</v>
      </c>
      <c r="L337" s="2729" t="s">
        <v>4360</v>
      </c>
      <c r="M337" s="1292"/>
      <c r="N337" s="1287"/>
      <c r="O337" s="106"/>
      <c r="P337" s="106"/>
      <c r="Q337" s="106"/>
      <c r="R337" s="106"/>
      <c r="S337" s="106"/>
      <c r="T337" s="106"/>
      <c r="U337" s="106"/>
      <c r="V337" s="4023"/>
      <c r="W337" s="2224"/>
      <c r="X337" s="2374"/>
      <c r="Y337" s="2374"/>
      <c r="Z337" s="2374">
        <v>36000</v>
      </c>
      <c r="AA337" s="2224">
        <v>36000</v>
      </c>
      <c r="AB337" s="2882">
        <v>36000</v>
      </c>
      <c r="AC337" s="2296">
        <v>41052.631578947367</v>
      </c>
      <c r="AD337" s="1796">
        <f>AD336</f>
        <v>40910.503597122304</v>
      </c>
      <c r="AE337" s="2224"/>
      <c r="AF337" s="2224"/>
      <c r="AG337" s="2224"/>
      <c r="AH337" s="156"/>
      <c r="AI337" s="156"/>
      <c r="AJ337" s="156"/>
      <c r="AK337" s="156"/>
      <c r="AL337" s="156"/>
      <c r="AM337" s="156"/>
      <c r="AN337" s="156"/>
      <c r="AO337" s="156"/>
      <c r="AP337" s="156"/>
      <c r="AQ337" s="156"/>
      <c r="AR337" s="156"/>
      <c r="AS337" s="156"/>
      <c r="AT337" s="156"/>
      <c r="AU337" s="156"/>
      <c r="AV337" s="156"/>
      <c r="AW337" s="156"/>
      <c r="AX337" s="156"/>
      <c r="AY337" s="156"/>
      <c r="AZ337" s="156"/>
      <c r="BA337" s="156"/>
      <c r="BB337" s="2828"/>
      <c r="BC337" s="504"/>
      <c r="BD337" s="2829"/>
      <c r="BE337" s="2837"/>
      <c r="BF337" s="156"/>
    </row>
    <row r="338" spans="1:58" ht="14.5" hidden="1" customHeight="1" outlineLevel="1" x14ac:dyDescent="0.35">
      <c r="A338" s="1071"/>
      <c r="B338" s="106"/>
      <c r="C338" s="103"/>
      <c r="D338" s="4140"/>
      <c r="E338" s="4138"/>
      <c r="F338" s="3919" t="str">
        <f t="shared" si="53"/>
        <v>CAC-SEER20_ROF_SF</v>
      </c>
      <c r="G338" s="3920"/>
      <c r="H338" s="3921"/>
      <c r="I338" s="2224" t="str">
        <f t="shared" si="54"/>
        <v>351181_2021_12_</v>
      </c>
      <c r="J338" s="1796">
        <v>40333.333333333336</v>
      </c>
      <c r="K338" s="478">
        <f t="shared" si="55"/>
        <v>3.3611111111111112</v>
      </c>
      <c r="L338" s="2729" t="s">
        <v>4360</v>
      </c>
      <c r="M338" s="1292"/>
      <c r="N338" s="1287"/>
      <c r="O338" s="106"/>
      <c r="P338" s="106"/>
      <c r="Q338" s="106"/>
      <c r="R338" s="106"/>
      <c r="S338" s="106"/>
      <c r="T338" s="106"/>
      <c r="U338" s="106"/>
      <c r="V338" s="4023"/>
      <c r="W338" s="2224"/>
      <c r="X338" s="2374"/>
      <c r="Y338" s="2374"/>
      <c r="Z338" s="2374">
        <v>36000</v>
      </c>
      <c r="AA338" s="2224">
        <v>36000</v>
      </c>
      <c r="AB338" s="2882">
        <v>36000</v>
      </c>
      <c r="AC338" s="2296">
        <v>39000</v>
      </c>
      <c r="AD338" s="1796">
        <v>40333.333333333336</v>
      </c>
      <c r="AE338" s="2224"/>
      <c r="AF338" s="2224"/>
      <c r="AG338" s="2224"/>
      <c r="AH338" s="156"/>
      <c r="AI338" s="156"/>
      <c r="AJ338" s="156"/>
      <c r="AK338" s="156"/>
      <c r="AL338" s="156"/>
      <c r="AM338" s="156"/>
      <c r="AN338" s="156"/>
      <c r="AO338" s="156"/>
      <c r="AP338" s="156"/>
      <c r="AQ338" s="156"/>
      <c r="AR338" s="156"/>
      <c r="AS338" s="156"/>
      <c r="AT338" s="156"/>
      <c r="AU338" s="156"/>
      <c r="AV338" s="156"/>
      <c r="AW338" s="156"/>
      <c r="AX338" s="156"/>
      <c r="AY338" s="156"/>
      <c r="AZ338" s="156"/>
      <c r="BA338" s="156"/>
      <c r="BB338" s="2828"/>
      <c r="BC338" s="504"/>
      <c r="BD338" s="2829"/>
      <c r="BE338" s="2837"/>
      <c r="BF338" s="156"/>
    </row>
    <row r="339" spans="1:58" ht="14.5" hidden="1" customHeight="1" outlineLevel="1" x14ac:dyDescent="0.35">
      <c r="A339" s="1071"/>
      <c r="B339" s="106"/>
      <c r="C339" s="103"/>
      <c r="D339" s="4140"/>
      <c r="E339" s="4138"/>
      <c r="F339" s="3919" t="str">
        <f t="shared" si="53"/>
        <v>CAC-SEER20_ER1_MF</v>
      </c>
      <c r="G339" s="3920"/>
      <c r="H339" s="3921"/>
      <c r="I339" s="2224" t="str">
        <f t="shared" si="54"/>
        <v>351182_2021_12_</v>
      </c>
      <c r="J339" s="2042">
        <v>24000</v>
      </c>
      <c r="K339" s="52">
        <f t="shared" si="55"/>
        <v>2</v>
      </c>
      <c r="L339" s="1839" t="s">
        <v>974</v>
      </c>
      <c r="M339" s="1292"/>
      <c r="N339" s="1287"/>
      <c r="O339" s="106"/>
      <c r="P339" s="106"/>
      <c r="Q339" s="106"/>
      <c r="R339" s="106"/>
      <c r="S339" s="106"/>
      <c r="T339" s="106"/>
      <c r="U339" s="106"/>
      <c r="V339" s="4023"/>
      <c r="W339" s="2224"/>
      <c r="X339" s="2374"/>
      <c r="Y339" s="2374"/>
      <c r="Z339" s="2374">
        <v>24000</v>
      </c>
      <c r="AA339" s="2224">
        <v>24000</v>
      </c>
      <c r="AB339" s="2882">
        <v>24000</v>
      </c>
      <c r="AC339" s="2042">
        <v>24000</v>
      </c>
      <c r="AD339" s="2042">
        <v>24000</v>
      </c>
      <c r="AE339" s="2224"/>
      <c r="AF339" s="2224"/>
      <c r="AG339" s="2224"/>
      <c r="AH339" s="156"/>
      <c r="AI339" s="156"/>
      <c r="AJ339" s="156"/>
      <c r="AK339" s="156"/>
      <c r="AL339" s="156"/>
      <c r="AM339" s="156"/>
      <c r="AN339" s="156"/>
      <c r="AO339" s="156"/>
      <c r="AP339" s="156"/>
      <c r="AQ339" s="156"/>
      <c r="AR339" s="156"/>
      <c r="AS339" s="156"/>
      <c r="AT339" s="156"/>
      <c r="AU339" s="156"/>
      <c r="AV339" s="156"/>
      <c r="AW339" s="156"/>
      <c r="AX339" s="156"/>
      <c r="AY339" s="156"/>
      <c r="AZ339" s="156"/>
      <c r="BA339" s="156"/>
      <c r="BB339" s="2828"/>
      <c r="BC339" s="504"/>
      <c r="BD339" s="2829"/>
      <c r="BE339" s="2837"/>
      <c r="BF339" s="156"/>
    </row>
    <row r="340" spans="1:58" ht="14.5" hidden="1" customHeight="1" outlineLevel="1" x14ac:dyDescent="0.35">
      <c r="A340" s="1071"/>
      <c r="B340" s="106"/>
      <c r="C340" s="103"/>
      <c r="D340" s="4140"/>
      <c r="E340" s="4138"/>
      <c r="F340" s="3919" t="str">
        <f t="shared" si="53"/>
        <v>CAC-SEER20_ER2_MF</v>
      </c>
      <c r="G340" s="3920"/>
      <c r="H340" s="3921"/>
      <c r="I340" s="2224" t="str">
        <f t="shared" si="54"/>
        <v>351182_2021_12_</v>
      </c>
      <c r="J340" s="2042">
        <f>J339</f>
        <v>24000</v>
      </c>
      <c r="K340" s="52">
        <f t="shared" si="55"/>
        <v>2</v>
      </c>
      <c r="L340" s="1839" t="s">
        <v>974</v>
      </c>
      <c r="M340" s="1292"/>
      <c r="N340" s="1287"/>
      <c r="O340" s="106"/>
      <c r="P340" s="106"/>
      <c r="Q340" s="106"/>
      <c r="R340" s="106"/>
      <c r="S340" s="106"/>
      <c r="T340" s="106"/>
      <c r="U340" s="106"/>
      <c r="V340" s="4023"/>
      <c r="W340" s="2224"/>
      <c r="X340" s="2374"/>
      <c r="Y340" s="2374"/>
      <c r="Z340" s="2374">
        <v>24000</v>
      </c>
      <c r="AA340" s="2224">
        <v>24000</v>
      </c>
      <c r="AB340" s="2882">
        <v>24000</v>
      </c>
      <c r="AC340" s="2042">
        <v>24000</v>
      </c>
      <c r="AD340" s="2042">
        <f>AD339</f>
        <v>24000</v>
      </c>
      <c r="AE340" s="2224"/>
      <c r="AF340" s="2224"/>
      <c r="AG340" s="2224"/>
      <c r="AH340" s="156"/>
      <c r="AI340" s="156"/>
      <c r="AJ340" s="156"/>
      <c r="AK340" s="156"/>
      <c r="AL340" s="156"/>
      <c r="AM340" s="156"/>
      <c r="AN340" s="156"/>
      <c r="AO340" s="156"/>
      <c r="AP340" s="156"/>
      <c r="AQ340" s="156"/>
      <c r="AR340" s="156"/>
      <c r="AS340" s="156"/>
      <c r="AT340" s="156"/>
      <c r="AU340" s="156"/>
      <c r="AV340" s="156"/>
      <c r="AW340" s="156"/>
      <c r="AX340" s="156"/>
      <c r="AY340" s="156"/>
      <c r="AZ340" s="156"/>
      <c r="BA340" s="156"/>
      <c r="BB340" s="2828"/>
      <c r="BC340" s="504"/>
      <c r="BD340" s="2829"/>
      <c r="BE340" s="2837"/>
      <c r="BF340" s="156"/>
    </row>
    <row r="341" spans="1:58" ht="14.5" hidden="1" customHeight="1" outlineLevel="1" x14ac:dyDescent="0.35">
      <c r="A341" s="1071"/>
      <c r="B341" s="106"/>
      <c r="C341" s="103"/>
      <c r="D341" s="4140"/>
      <c r="E341" s="4138"/>
      <c r="F341" s="3919" t="str">
        <f t="shared" si="53"/>
        <v>CAC-SEER20_ER1_MF_CompE</v>
      </c>
      <c r="G341" s="3920"/>
      <c r="H341" s="3921"/>
      <c r="I341" s="2224" t="str">
        <f t="shared" si="54"/>
        <v>351183_2021_12_</v>
      </c>
      <c r="J341" s="2042">
        <f>J339</f>
        <v>24000</v>
      </c>
      <c r="K341" s="52">
        <f t="shared" si="55"/>
        <v>2</v>
      </c>
      <c r="L341" s="2045" t="s">
        <v>973</v>
      </c>
      <c r="M341" s="1292"/>
      <c r="N341" s="1287"/>
      <c r="O341" s="106"/>
      <c r="P341" s="106"/>
      <c r="Q341" s="106"/>
      <c r="R341" s="106"/>
      <c r="S341" s="106"/>
      <c r="T341" s="106"/>
      <c r="U341" s="106"/>
      <c r="V341" s="4023"/>
      <c r="W341" s="2224"/>
      <c r="X341" s="2374"/>
      <c r="Y341" s="2374"/>
      <c r="Z341" s="2374">
        <v>24000</v>
      </c>
      <c r="AA341" s="2224">
        <v>24000</v>
      </c>
      <c r="AB341" s="2882">
        <v>24000</v>
      </c>
      <c r="AC341" s="2042">
        <v>24000</v>
      </c>
      <c r="AD341" s="2042">
        <f>AD339</f>
        <v>24000</v>
      </c>
      <c r="AE341" s="2224"/>
      <c r="AF341" s="2224"/>
      <c r="AG341" s="2224"/>
      <c r="AH341" s="156"/>
      <c r="AI341" s="156"/>
      <c r="AJ341" s="156"/>
      <c r="AK341" s="156"/>
      <c r="AL341" s="156"/>
      <c r="AM341" s="156"/>
      <c r="AN341" s="156"/>
      <c r="AO341" s="156"/>
      <c r="AP341" s="156"/>
      <c r="AQ341" s="156"/>
      <c r="AR341" s="156"/>
      <c r="AS341" s="156"/>
      <c r="AT341" s="156"/>
      <c r="AU341" s="156"/>
      <c r="AV341" s="156"/>
      <c r="AW341" s="156"/>
      <c r="AX341" s="156"/>
      <c r="AY341" s="156"/>
      <c r="AZ341" s="156"/>
      <c r="BA341" s="156"/>
      <c r="BB341" s="2828"/>
      <c r="BC341" s="504"/>
      <c r="BD341" s="2829"/>
      <c r="BE341" s="2837"/>
      <c r="BF341" s="156"/>
    </row>
    <row r="342" spans="1:58" ht="14.5" hidden="1" customHeight="1" outlineLevel="1" x14ac:dyDescent="0.35">
      <c r="A342" s="1071"/>
      <c r="B342" s="106"/>
      <c r="C342" s="103"/>
      <c r="D342" s="4140"/>
      <c r="E342" s="4138"/>
      <c r="F342" s="3919" t="str">
        <f t="shared" si="53"/>
        <v>CAC-SEER20_ER2_MF_CompE</v>
      </c>
      <c r="G342" s="3920"/>
      <c r="H342" s="3921"/>
      <c r="I342" s="2224" t="str">
        <f t="shared" si="54"/>
        <v>351183_2021_12_</v>
      </c>
      <c r="J342" s="2042">
        <f>J340</f>
        <v>24000</v>
      </c>
      <c r="K342" s="52">
        <f t="shared" si="55"/>
        <v>2</v>
      </c>
      <c r="L342" s="2045" t="s">
        <v>973</v>
      </c>
      <c r="M342" s="1292"/>
      <c r="N342" s="1287"/>
      <c r="O342" s="106"/>
      <c r="P342" s="106"/>
      <c r="Q342" s="106"/>
      <c r="R342" s="106"/>
      <c r="S342" s="106"/>
      <c r="T342" s="106"/>
      <c r="U342" s="106"/>
      <c r="V342" s="4023"/>
      <c r="W342" s="2224"/>
      <c r="X342" s="2374"/>
      <c r="Y342" s="2374"/>
      <c r="Z342" s="2374">
        <v>24000</v>
      </c>
      <c r="AA342" s="2224">
        <v>24000</v>
      </c>
      <c r="AB342" s="2882">
        <v>24000</v>
      </c>
      <c r="AC342" s="2042">
        <v>24000</v>
      </c>
      <c r="AD342" s="2042">
        <f>AD340</f>
        <v>24000</v>
      </c>
      <c r="AE342" s="2224"/>
      <c r="AF342" s="2224"/>
      <c r="AG342" s="2224"/>
      <c r="AH342" s="156"/>
      <c r="AI342" s="156"/>
      <c r="AJ342" s="156"/>
      <c r="AK342" s="156"/>
      <c r="AL342" s="156"/>
      <c r="AM342" s="156"/>
      <c r="AN342" s="156"/>
      <c r="AO342" s="156"/>
      <c r="AP342" s="156"/>
      <c r="AQ342" s="156"/>
      <c r="AR342" s="156"/>
      <c r="AS342" s="156"/>
      <c r="AT342" s="156"/>
      <c r="AU342" s="156"/>
      <c r="AV342" s="156"/>
      <c r="AW342" s="156"/>
      <c r="AX342" s="156"/>
      <c r="AY342" s="156"/>
      <c r="AZ342" s="156"/>
      <c r="BA342" s="156"/>
      <c r="BB342" s="2828"/>
      <c r="BC342" s="504"/>
      <c r="BD342" s="2829"/>
      <c r="BE342" s="2837"/>
      <c r="BF342" s="156"/>
    </row>
    <row r="343" spans="1:58" ht="14.5" hidden="1" customHeight="1" outlineLevel="1" x14ac:dyDescent="0.35">
      <c r="A343" s="1071"/>
      <c r="B343" s="106"/>
      <c r="C343" s="103"/>
      <c r="D343" s="4140"/>
      <c r="E343" s="4138"/>
      <c r="F343" s="3919" t="str">
        <f t="shared" si="53"/>
        <v>CAC-SEER20_ROF_MF</v>
      </c>
      <c r="G343" s="3920"/>
      <c r="H343" s="3921"/>
      <c r="I343" s="2224" t="str">
        <f t="shared" si="54"/>
        <v>351184_2021_12_</v>
      </c>
      <c r="J343" s="2042">
        <v>24000</v>
      </c>
      <c r="K343" s="52">
        <f t="shared" si="55"/>
        <v>2</v>
      </c>
      <c r="L343" s="2045"/>
      <c r="M343" s="1292"/>
      <c r="N343" s="1287"/>
      <c r="O343" s="106"/>
      <c r="P343" s="106"/>
      <c r="Q343" s="106"/>
      <c r="R343" s="106"/>
      <c r="S343" s="106"/>
      <c r="T343" s="106"/>
      <c r="U343" s="106"/>
      <c r="V343" s="4023"/>
      <c r="W343" s="2224"/>
      <c r="X343" s="2374"/>
      <c r="Y343" s="2374"/>
      <c r="Z343" s="2374">
        <v>24000</v>
      </c>
      <c r="AA343" s="2224">
        <v>24000</v>
      </c>
      <c r="AB343" s="2882">
        <v>24000</v>
      </c>
      <c r="AC343" s="2042">
        <v>24000</v>
      </c>
      <c r="AD343" s="2042">
        <v>24000</v>
      </c>
      <c r="AE343" s="2224"/>
      <c r="AF343" s="2224"/>
      <c r="AG343" s="2224"/>
      <c r="AH343" s="156"/>
      <c r="AI343" s="156"/>
      <c r="AJ343" s="156"/>
      <c r="AK343" s="156"/>
      <c r="AL343" s="156"/>
      <c r="AM343" s="156"/>
      <c r="AN343" s="156"/>
      <c r="AO343" s="156"/>
      <c r="AP343" s="156"/>
      <c r="AQ343" s="156"/>
      <c r="AR343" s="156"/>
      <c r="AS343" s="156"/>
      <c r="AT343" s="156"/>
      <c r="AU343" s="156"/>
      <c r="AV343" s="156"/>
      <c r="AW343" s="156"/>
      <c r="AX343" s="156"/>
      <c r="AY343" s="156"/>
      <c r="AZ343" s="156"/>
      <c r="BA343" s="156"/>
      <c r="BB343" s="2828"/>
      <c r="BC343" s="504"/>
      <c r="BD343" s="2829"/>
      <c r="BE343" s="2837"/>
      <c r="BF343" s="156"/>
    </row>
    <row r="344" spans="1:58" ht="14.5" hidden="1" customHeight="1" outlineLevel="1" x14ac:dyDescent="0.35">
      <c r="A344" s="1071"/>
      <c r="B344" s="106"/>
      <c r="C344" s="103"/>
      <c r="D344" s="4140"/>
      <c r="E344" s="4138"/>
      <c r="F344" s="3919" t="str">
        <f t="shared" si="53"/>
        <v>CAC-SEER20_ROF_MF_CompE</v>
      </c>
      <c r="G344" s="3920"/>
      <c r="H344" s="3921"/>
      <c r="I344" s="2224" t="str">
        <f t="shared" si="54"/>
        <v>351185_2021_12_</v>
      </c>
      <c r="J344" s="2042">
        <f>J343</f>
        <v>24000</v>
      </c>
      <c r="K344" s="52">
        <f t="shared" si="55"/>
        <v>2</v>
      </c>
      <c r="L344" s="2045" t="s">
        <v>973</v>
      </c>
      <c r="M344" s="1292"/>
      <c r="N344" s="1287"/>
      <c r="O344" s="106"/>
      <c r="P344" s="106"/>
      <c r="Q344" s="106"/>
      <c r="R344" s="106"/>
      <c r="S344" s="106"/>
      <c r="T344" s="106"/>
      <c r="U344" s="106"/>
      <c r="V344" s="4023"/>
      <c r="W344" s="2224"/>
      <c r="X344" s="2374"/>
      <c r="Y344" s="2374"/>
      <c r="Z344" s="2374">
        <v>24000</v>
      </c>
      <c r="AA344" s="2224">
        <v>24000</v>
      </c>
      <c r="AB344" s="2882">
        <v>24000</v>
      </c>
      <c r="AC344" s="2042">
        <v>24000</v>
      </c>
      <c r="AD344" s="2042">
        <f>AD343</f>
        <v>24000</v>
      </c>
      <c r="AE344" s="2224"/>
      <c r="AF344" s="2224"/>
      <c r="AG344" s="2224"/>
      <c r="AH344" s="156"/>
      <c r="AI344" s="156"/>
      <c r="AJ344" s="156"/>
      <c r="AK344" s="156"/>
      <c r="AL344" s="156"/>
      <c r="AM344" s="156"/>
      <c r="AN344" s="156"/>
      <c r="AO344" s="156"/>
      <c r="AP344" s="156"/>
      <c r="AQ344" s="156"/>
      <c r="AR344" s="156"/>
      <c r="AS344" s="156"/>
      <c r="AT344" s="156"/>
      <c r="AU344" s="156"/>
      <c r="AV344" s="156"/>
      <c r="AW344" s="156"/>
      <c r="AX344" s="156"/>
      <c r="AY344" s="156"/>
      <c r="AZ344" s="156"/>
      <c r="BA344" s="156"/>
      <c r="BB344" s="2828"/>
      <c r="BC344" s="504"/>
      <c r="BD344" s="2829"/>
      <c r="BE344" s="2837"/>
      <c r="BF344" s="156"/>
    </row>
    <row r="345" spans="1:58" ht="14.5" hidden="1" customHeight="1" outlineLevel="1" x14ac:dyDescent="0.35">
      <c r="A345" s="1071"/>
      <c r="B345" s="106"/>
      <c r="C345" s="103"/>
      <c r="D345" s="4140"/>
      <c r="E345" s="4138"/>
      <c r="F345" s="3919" t="str">
        <f t="shared" si="53"/>
        <v>CAC-SEER21+_ER1_SF</v>
      </c>
      <c r="G345" s="3920"/>
      <c r="H345" s="3921"/>
      <c r="I345" s="2224" t="str">
        <f t="shared" si="54"/>
        <v>351190_2021_12_</v>
      </c>
      <c r="J345" s="1796">
        <v>38854.368932038837</v>
      </c>
      <c r="K345" s="478">
        <f t="shared" si="55"/>
        <v>3.237864077669903</v>
      </c>
      <c r="L345" s="2729" t="s">
        <v>4360</v>
      </c>
      <c r="M345" s="1292"/>
      <c r="N345" s="1287"/>
      <c r="O345" s="106"/>
      <c r="P345" s="106"/>
      <c r="Q345" s="106"/>
      <c r="R345" s="106"/>
      <c r="S345" s="106"/>
      <c r="T345" s="106"/>
      <c r="U345" s="106"/>
      <c r="V345" s="4023"/>
      <c r="W345" s="2224"/>
      <c r="X345" s="2874"/>
      <c r="Y345" s="2374"/>
      <c r="Z345" s="2374">
        <v>36000</v>
      </c>
      <c r="AA345" s="2224">
        <v>36000</v>
      </c>
      <c r="AB345" s="2882">
        <v>36000</v>
      </c>
      <c r="AC345" s="2296">
        <v>39974.025974025972</v>
      </c>
      <c r="AD345" s="1796">
        <v>38854.368932038837</v>
      </c>
      <c r="AE345" s="2224"/>
      <c r="AF345" s="2224"/>
      <c r="AG345" s="2224"/>
      <c r="AH345" s="156"/>
      <c r="AI345" s="156"/>
      <c r="AJ345" s="156"/>
      <c r="AK345" s="156"/>
      <c r="AL345" s="156"/>
      <c r="AM345" s="156"/>
      <c r="AN345" s="156"/>
      <c r="AO345" s="156"/>
      <c r="AP345" s="156"/>
      <c r="AQ345" s="156"/>
      <c r="AR345" s="156"/>
      <c r="AS345" s="156"/>
      <c r="AT345" s="156"/>
      <c r="AU345" s="156"/>
      <c r="AV345" s="156"/>
      <c r="AW345" s="156"/>
      <c r="AX345" s="156"/>
      <c r="AY345" s="156"/>
      <c r="AZ345" s="156"/>
      <c r="BA345" s="156"/>
      <c r="BB345" s="2828"/>
      <c r="BC345" s="504"/>
      <c r="BD345" s="2829"/>
      <c r="BE345" s="2837"/>
      <c r="BF345" s="156"/>
    </row>
    <row r="346" spans="1:58" ht="14.5" hidden="1" customHeight="1" outlineLevel="1" x14ac:dyDescent="0.35">
      <c r="A346" s="1071"/>
      <c r="B346" s="106"/>
      <c r="C346" s="103"/>
      <c r="D346" s="4140"/>
      <c r="E346" s="4138"/>
      <c r="F346" s="3919" t="str">
        <f t="shared" ref="F346:F409" si="57">F274</f>
        <v>CAC-SEER21+_ER2_SF</v>
      </c>
      <c r="G346" s="3920"/>
      <c r="H346" s="3921"/>
      <c r="I346" s="2224" t="str">
        <f t="shared" ref="I346:I409" si="58">I274</f>
        <v>351190_2021_12_</v>
      </c>
      <c r="J346" s="1796">
        <f>J345</f>
        <v>38854.368932038837</v>
      </c>
      <c r="K346" s="478">
        <f t="shared" ref="K346:K353" si="59">J346/12000</f>
        <v>3.237864077669903</v>
      </c>
      <c r="L346" s="2729" t="s">
        <v>4360</v>
      </c>
      <c r="M346" s="1292"/>
      <c r="N346" s="1287"/>
      <c r="O346" s="106"/>
      <c r="P346" s="106"/>
      <c r="Q346" s="106"/>
      <c r="R346" s="106"/>
      <c r="S346" s="106"/>
      <c r="T346" s="106"/>
      <c r="U346" s="106"/>
      <c r="V346" s="4023"/>
      <c r="W346" s="2224"/>
      <c r="X346" s="2874"/>
      <c r="Y346" s="2374"/>
      <c r="Z346" s="2374">
        <v>36000</v>
      </c>
      <c r="AA346" s="2224">
        <v>36000</v>
      </c>
      <c r="AB346" s="2882">
        <v>36000</v>
      </c>
      <c r="AC346" s="2296">
        <v>39974.025974025972</v>
      </c>
      <c r="AD346" s="1796">
        <f>AD345</f>
        <v>38854.368932038837</v>
      </c>
      <c r="AE346" s="2224"/>
      <c r="AF346" s="2224"/>
      <c r="AG346" s="2224"/>
      <c r="AH346" s="156"/>
      <c r="AI346" s="156"/>
      <c r="AJ346" s="156"/>
      <c r="AK346" s="156"/>
      <c r="AL346" s="156"/>
      <c r="AM346" s="156"/>
      <c r="AN346" s="156"/>
      <c r="AO346" s="156"/>
      <c r="AP346" s="156"/>
      <c r="AQ346" s="156"/>
      <c r="AR346" s="156"/>
      <c r="AS346" s="156"/>
      <c r="AT346" s="156"/>
      <c r="AU346" s="156"/>
      <c r="AV346" s="156"/>
      <c r="AW346" s="156"/>
      <c r="AX346" s="156"/>
      <c r="AY346" s="156"/>
      <c r="AZ346" s="156"/>
      <c r="BA346" s="156"/>
      <c r="BB346" s="2828"/>
      <c r="BC346" s="504"/>
      <c r="BD346" s="2829"/>
      <c r="BE346" s="2837"/>
      <c r="BF346" s="156"/>
    </row>
    <row r="347" spans="1:58" ht="14.5" hidden="1" customHeight="1" outlineLevel="1" x14ac:dyDescent="0.35">
      <c r="A347" s="1071"/>
      <c r="B347" s="106"/>
      <c r="C347" s="103"/>
      <c r="D347" s="4140"/>
      <c r="E347" s="4138"/>
      <c r="F347" s="3919" t="str">
        <f t="shared" si="57"/>
        <v>CAC-SEER21+_ROF_SF</v>
      </c>
      <c r="G347" s="3920"/>
      <c r="H347" s="3921"/>
      <c r="I347" s="2224" t="str">
        <f t="shared" si="58"/>
        <v>351191_2021_12_</v>
      </c>
      <c r="J347" s="1796">
        <v>38250</v>
      </c>
      <c r="K347" s="478">
        <f t="shared" si="59"/>
        <v>3.1875</v>
      </c>
      <c r="L347" s="2729" t="s">
        <v>4360</v>
      </c>
      <c r="M347" s="1292"/>
      <c r="N347" s="1287"/>
      <c r="O347" s="106"/>
      <c r="P347" s="106"/>
      <c r="Q347" s="106"/>
      <c r="R347" s="106"/>
      <c r="S347" s="106"/>
      <c r="T347" s="106"/>
      <c r="U347" s="106"/>
      <c r="V347" s="4023"/>
      <c r="W347" s="2224"/>
      <c r="X347" s="2874"/>
      <c r="Y347" s="2374"/>
      <c r="Z347" s="2374">
        <v>36000</v>
      </c>
      <c r="AA347" s="2224">
        <v>36000</v>
      </c>
      <c r="AB347" s="2882">
        <v>36000</v>
      </c>
      <c r="AC347" s="2296">
        <v>37714.28571428571</v>
      </c>
      <c r="AD347" s="1796">
        <v>38250</v>
      </c>
      <c r="AE347" s="2224"/>
      <c r="AF347" s="2224"/>
      <c r="AG347" s="2224"/>
      <c r="AH347" s="156"/>
      <c r="AI347" s="156"/>
      <c r="AJ347" s="156"/>
      <c r="AK347" s="156"/>
      <c r="AL347" s="156"/>
      <c r="AM347" s="156"/>
      <c r="AN347" s="156"/>
      <c r="AO347" s="156"/>
      <c r="AP347" s="156"/>
      <c r="AQ347" s="156"/>
      <c r="AR347" s="156"/>
      <c r="AS347" s="156"/>
      <c r="AT347" s="156"/>
      <c r="AU347" s="156"/>
      <c r="AV347" s="156"/>
      <c r="AW347" s="156"/>
      <c r="AX347" s="156"/>
      <c r="AY347" s="156"/>
      <c r="AZ347" s="156"/>
      <c r="BA347" s="156"/>
      <c r="BB347" s="2828"/>
      <c r="BC347" s="504"/>
      <c r="BD347" s="2829"/>
      <c r="BE347" s="2837"/>
      <c r="BF347" s="156"/>
    </row>
    <row r="348" spans="1:58" ht="14.5" hidden="1" customHeight="1" outlineLevel="1" x14ac:dyDescent="0.35">
      <c r="A348" s="1071"/>
      <c r="B348" s="106"/>
      <c r="C348" s="103"/>
      <c r="D348" s="4140"/>
      <c r="E348" s="4138"/>
      <c r="F348" s="3919" t="str">
        <f t="shared" si="57"/>
        <v>CAC-SEER21+_ER1_MF</v>
      </c>
      <c r="G348" s="3920"/>
      <c r="H348" s="3921"/>
      <c r="I348" s="2224" t="str">
        <f t="shared" si="58"/>
        <v>351192_2021_12_</v>
      </c>
      <c r="J348" s="2042">
        <v>24000</v>
      </c>
      <c r="K348" s="52">
        <f t="shared" si="59"/>
        <v>2</v>
      </c>
      <c r="L348" s="2048"/>
      <c r="M348" s="1292"/>
      <c r="N348" s="1287"/>
      <c r="O348" s="106"/>
      <c r="P348" s="106"/>
      <c r="Q348" s="106"/>
      <c r="R348" s="106"/>
      <c r="S348" s="106"/>
      <c r="T348" s="106"/>
      <c r="U348" s="106"/>
      <c r="V348" s="4023"/>
      <c r="W348" s="2224"/>
      <c r="X348" s="2874"/>
      <c r="Y348" s="2374"/>
      <c r="Z348" s="2374">
        <v>24000</v>
      </c>
      <c r="AA348" s="2224">
        <v>24000</v>
      </c>
      <c r="AB348" s="2882">
        <v>24000</v>
      </c>
      <c r="AC348" s="2042">
        <v>24000</v>
      </c>
      <c r="AD348" s="2042">
        <v>24000</v>
      </c>
      <c r="AE348" s="2224"/>
      <c r="AF348" s="2224"/>
      <c r="AG348" s="2224"/>
      <c r="AH348" s="156"/>
      <c r="AI348" s="156"/>
      <c r="AJ348" s="156"/>
      <c r="AK348" s="156"/>
      <c r="AL348" s="156"/>
      <c r="AM348" s="156"/>
      <c r="AN348" s="156"/>
      <c r="AO348" s="156"/>
      <c r="AP348" s="156"/>
      <c r="AQ348" s="156"/>
      <c r="AR348" s="156"/>
      <c r="AS348" s="156"/>
      <c r="AT348" s="156"/>
      <c r="AU348" s="156"/>
      <c r="AV348" s="156"/>
      <c r="AW348" s="156"/>
      <c r="AX348" s="156"/>
      <c r="AY348" s="156"/>
      <c r="AZ348" s="156"/>
      <c r="BA348" s="156"/>
      <c r="BB348" s="2828"/>
      <c r="BC348" s="504"/>
      <c r="BD348" s="2829"/>
      <c r="BE348" s="2837"/>
      <c r="BF348" s="156"/>
    </row>
    <row r="349" spans="1:58" ht="14.5" hidden="1" customHeight="1" outlineLevel="1" x14ac:dyDescent="0.35">
      <c r="A349" s="1071"/>
      <c r="B349" s="106"/>
      <c r="C349" s="103"/>
      <c r="D349" s="4140"/>
      <c r="E349" s="4138"/>
      <c r="F349" s="3919" t="str">
        <f t="shared" si="57"/>
        <v>CAC-SEER21+_ER2_MF</v>
      </c>
      <c r="G349" s="3920"/>
      <c r="H349" s="3921"/>
      <c r="I349" s="2224" t="str">
        <f t="shared" si="58"/>
        <v>351192_2021_12_</v>
      </c>
      <c r="J349" s="2042">
        <v>24000</v>
      </c>
      <c r="K349" s="52">
        <f t="shared" si="59"/>
        <v>2</v>
      </c>
      <c r="L349" s="2048"/>
      <c r="M349" s="1292"/>
      <c r="N349" s="1287"/>
      <c r="O349" s="106"/>
      <c r="P349" s="106"/>
      <c r="Q349" s="106"/>
      <c r="R349" s="106"/>
      <c r="S349" s="106"/>
      <c r="T349" s="106"/>
      <c r="U349" s="106"/>
      <c r="V349" s="4023"/>
      <c r="W349" s="2224"/>
      <c r="X349" s="2874"/>
      <c r="Y349" s="2374"/>
      <c r="Z349" s="2374">
        <v>24000</v>
      </c>
      <c r="AA349" s="2224">
        <v>24000</v>
      </c>
      <c r="AB349" s="2882">
        <v>24000</v>
      </c>
      <c r="AC349" s="2042">
        <v>24000</v>
      </c>
      <c r="AD349" s="2042">
        <v>24000</v>
      </c>
      <c r="AE349" s="2224"/>
      <c r="AF349" s="2224"/>
      <c r="AG349" s="2224"/>
      <c r="AH349" s="156"/>
      <c r="AI349" s="156"/>
      <c r="AJ349" s="156"/>
      <c r="AK349" s="156"/>
      <c r="AL349" s="156"/>
      <c r="AM349" s="156"/>
      <c r="AN349" s="156"/>
      <c r="AO349" s="156"/>
      <c r="AP349" s="156"/>
      <c r="AQ349" s="156"/>
      <c r="AR349" s="156"/>
      <c r="AS349" s="156"/>
      <c r="AT349" s="156"/>
      <c r="AU349" s="156"/>
      <c r="AV349" s="156"/>
      <c r="AW349" s="156"/>
      <c r="AX349" s="156"/>
      <c r="AY349" s="156"/>
      <c r="AZ349" s="156"/>
      <c r="BA349" s="156"/>
      <c r="BB349" s="2828"/>
      <c r="BC349" s="504"/>
      <c r="BD349" s="2829"/>
      <c r="BE349" s="2837"/>
      <c r="BF349" s="156"/>
    </row>
    <row r="350" spans="1:58" ht="14.5" hidden="1" customHeight="1" outlineLevel="1" x14ac:dyDescent="0.35">
      <c r="A350" s="1071"/>
      <c r="B350" s="106"/>
      <c r="C350" s="103"/>
      <c r="D350" s="4140"/>
      <c r="E350" s="4138"/>
      <c r="F350" s="3919" t="str">
        <f t="shared" si="57"/>
        <v>CAC-SEER21+_ER1_MF_CompE</v>
      </c>
      <c r="G350" s="3920"/>
      <c r="H350" s="3921"/>
      <c r="I350" s="576" t="str">
        <f t="shared" si="58"/>
        <v>351193_2021_12_</v>
      </c>
      <c r="J350" s="2042">
        <f>J348</f>
        <v>24000</v>
      </c>
      <c r="K350" s="52">
        <f t="shared" si="59"/>
        <v>2</v>
      </c>
      <c r="L350" s="2045" t="s">
        <v>973</v>
      </c>
      <c r="M350" s="1292"/>
      <c r="N350" s="1287"/>
      <c r="O350" s="106"/>
      <c r="P350" s="106"/>
      <c r="Q350" s="106"/>
      <c r="R350" s="106"/>
      <c r="S350" s="106"/>
      <c r="T350" s="106"/>
      <c r="U350" s="106"/>
      <c r="V350" s="4023"/>
      <c r="W350" s="2224"/>
      <c r="X350" s="2874"/>
      <c r="Y350" s="2374"/>
      <c r="Z350" s="2374">
        <v>24000</v>
      </c>
      <c r="AA350" s="2224">
        <v>24000</v>
      </c>
      <c r="AB350" s="2882">
        <v>24000</v>
      </c>
      <c r="AC350" s="2042">
        <v>24000</v>
      </c>
      <c r="AD350" s="2042">
        <f>AD348</f>
        <v>24000</v>
      </c>
      <c r="AE350" s="2224"/>
      <c r="AF350" s="2224"/>
      <c r="AG350" s="2224"/>
      <c r="AH350" s="156"/>
      <c r="AI350" s="156"/>
      <c r="AJ350" s="156"/>
      <c r="AK350" s="156"/>
      <c r="AL350" s="156"/>
      <c r="AM350" s="156"/>
      <c r="AN350" s="156"/>
      <c r="AO350" s="156"/>
      <c r="AP350" s="156"/>
      <c r="AQ350" s="156"/>
      <c r="AR350" s="156"/>
      <c r="AS350" s="156"/>
      <c r="AT350" s="156"/>
      <c r="AU350" s="156"/>
      <c r="AV350" s="156"/>
      <c r="AW350" s="156"/>
      <c r="AX350" s="156"/>
      <c r="AY350" s="156"/>
      <c r="AZ350" s="156"/>
      <c r="BA350" s="156"/>
      <c r="BB350" s="2828"/>
      <c r="BC350" s="504"/>
      <c r="BD350" s="2829"/>
      <c r="BE350" s="2837"/>
      <c r="BF350" s="156"/>
    </row>
    <row r="351" spans="1:58" ht="14.5" hidden="1" customHeight="1" outlineLevel="1" x14ac:dyDescent="0.35">
      <c r="A351" s="1071"/>
      <c r="B351" s="106"/>
      <c r="C351" s="103"/>
      <c r="D351" s="4140"/>
      <c r="E351" s="4138"/>
      <c r="F351" s="3919" t="str">
        <f t="shared" si="57"/>
        <v>CAC-SEER21+_ER2_MF_CompE</v>
      </c>
      <c r="G351" s="3920"/>
      <c r="H351" s="3921"/>
      <c r="I351" s="576" t="str">
        <f t="shared" si="58"/>
        <v>351193_2021_12_</v>
      </c>
      <c r="J351" s="2042">
        <f>J349</f>
        <v>24000</v>
      </c>
      <c r="K351" s="52">
        <f t="shared" si="59"/>
        <v>2</v>
      </c>
      <c r="L351" s="2045" t="s">
        <v>973</v>
      </c>
      <c r="M351" s="1292"/>
      <c r="N351" s="1287"/>
      <c r="O351" s="106"/>
      <c r="P351" s="106"/>
      <c r="Q351" s="106"/>
      <c r="R351" s="106"/>
      <c r="S351" s="106"/>
      <c r="T351" s="106"/>
      <c r="U351" s="106"/>
      <c r="V351" s="4023"/>
      <c r="W351" s="2224"/>
      <c r="X351" s="2874"/>
      <c r="Y351" s="2374"/>
      <c r="Z351" s="2374">
        <v>24000</v>
      </c>
      <c r="AA351" s="2224">
        <v>24000</v>
      </c>
      <c r="AB351" s="2882">
        <v>24000</v>
      </c>
      <c r="AC351" s="2042">
        <v>24000</v>
      </c>
      <c r="AD351" s="2042">
        <f>AD349</f>
        <v>24000</v>
      </c>
      <c r="AE351" s="2224"/>
      <c r="AF351" s="2224"/>
      <c r="AG351" s="2224"/>
      <c r="AH351" s="156"/>
      <c r="AI351" s="156"/>
      <c r="AJ351" s="156"/>
      <c r="AK351" s="156"/>
      <c r="AL351" s="156"/>
      <c r="AM351" s="156"/>
      <c r="AN351" s="156"/>
      <c r="AO351" s="156"/>
      <c r="AP351" s="156"/>
      <c r="AQ351" s="156"/>
      <c r="AR351" s="156"/>
      <c r="AS351" s="156"/>
      <c r="AT351" s="156"/>
      <c r="AU351" s="156"/>
      <c r="AV351" s="156"/>
      <c r="AW351" s="156"/>
      <c r="AX351" s="156"/>
      <c r="AY351" s="156"/>
      <c r="AZ351" s="156"/>
      <c r="BA351" s="156"/>
      <c r="BB351" s="2828"/>
      <c r="BC351" s="504"/>
      <c r="BD351" s="2829"/>
      <c r="BE351" s="2837"/>
      <c r="BF351" s="156"/>
    </row>
    <row r="352" spans="1:58" ht="14.5" hidden="1" customHeight="1" outlineLevel="1" x14ac:dyDescent="0.35">
      <c r="A352" s="1071"/>
      <c r="B352" s="106"/>
      <c r="C352" s="103"/>
      <c r="D352" s="4140"/>
      <c r="E352" s="4138"/>
      <c r="F352" s="3919" t="str">
        <f t="shared" si="57"/>
        <v>CAC-SEER21+_ROF_MF</v>
      </c>
      <c r="G352" s="3920"/>
      <c r="H352" s="3921"/>
      <c r="I352" s="2224" t="str">
        <f t="shared" si="58"/>
        <v>351194_2021_12_</v>
      </c>
      <c r="J352" s="2042">
        <v>24000</v>
      </c>
      <c r="K352" s="52">
        <f t="shared" si="59"/>
        <v>2</v>
      </c>
      <c r="L352" s="2048"/>
      <c r="M352" s="1292"/>
      <c r="N352" s="1287"/>
      <c r="O352" s="106"/>
      <c r="P352" s="106"/>
      <c r="Q352" s="106"/>
      <c r="R352" s="106"/>
      <c r="S352" s="106"/>
      <c r="T352" s="106"/>
      <c r="U352" s="106"/>
      <c r="V352" s="4023"/>
      <c r="W352" s="2224"/>
      <c r="X352" s="2874"/>
      <c r="Y352" s="2224"/>
      <c r="Z352" s="2374">
        <v>24000</v>
      </c>
      <c r="AA352" s="2224">
        <v>24000</v>
      </c>
      <c r="AB352" s="2882">
        <v>24000</v>
      </c>
      <c r="AC352" s="2042">
        <v>24000</v>
      </c>
      <c r="AD352" s="2042">
        <v>24000</v>
      </c>
      <c r="AE352" s="2224"/>
      <c r="AF352" s="2224"/>
      <c r="AG352" s="2224"/>
      <c r="AH352" s="156"/>
      <c r="AI352" s="156"/>
      <c r="AJ352" s="156"/>
      <c r="AK352" s="156"/>
      <c r="AL352" s="156"/>
      <c r="AM352" s="156"/>
      <c r="AN352" s="156"/>
      <c r="AO352" s="156"/>
      <c r="AP352" s="156"/>
      <c r="AQ352" s="156"/>
      <c r="AR352" s="156"/>
      <c r="AS352" s="156"/>
      <c r="AT352" s="156"/>
      <c r="AU352" s="156"/>
      <c r="AV352" s="156"/>
      <c r="AW352" s="156"/>
      <c r="AX352" s="156"/>
      <c r="AY352" s="156"/>
      <c r="AZ352" s="156"/>
      <c r="BA352" s="156"/>
      <c r="BB352" s="2828"/>
      <c r="BC352" s="504"/>
      <c r="BD352" s="2829"/>
      <c r="BE352" s="2837"/>
      <c r="BF352" s="156"/>
    </row>
    <row r="353" spans="1:58" ht="14.5" hidden="1" customHeight="1" outlineLevel="1" thickBot="1" x14ac:dyDescent="0.4">
      <c r="A353" s="1071"/>
      <c r="B353" s="106"/>
      <c r="C353" s="103"/>
      <c r="D353" s="4141"/>
      <c r="E353" s="4139"/>
      <c r="F353" s="3922" t="str">
        <f t="shared" si="57"/>
        <v>CAC-SEER21+_ROF_MF_CompE</v>
      </c>
      <c r="G353" s="3923"/>
      <c r="H353" s="3924"/>
      <c r="I353" s="578" t="str">
        <f t="shared" si="58"/>
        <v>351195_2021_12_</v>
      </c>
      <c r="J353" s="2042">
        <f>J352</f>
        <v>24000</v>
      </c>
      <c r="K353" s="1877">
        <f t="shared" si="59"/>
        <v>2</v>
      </c>
      <c r="L353" s="2666" t="s">
        <v>973</v>
      </c>
      <c r="M353" s="1292"/>
      <c r="N353" s="1287"/>
      <c r="O353" s="106"/>
      <c r="P353" s="106"/>
      <c r="Q353" s="106"/>
      <c r="R353" s="106"/>
      <c r="S353" s="106"/>
      <c r="T353" s="106"/>
      <c r="U353" s="106"/>
      <c r="V353" s="4024"/>
      <c r="W353" s="579"/>
      <c r="X353" s="2876"/>
      <c r="Y353" s="2377"/>
      <c r="Z353" s="2377">
        <v>24000</v>
      </c>
      <c r="AA353" s="579">
        <v>24000</v>
      </c>
      <c r="AB353" s="2882">
        <v>24000</v>
      </c>
      <c r="AC353" s="2042">
        <v>24000</v>
      </c>
      <c r="AD353" s="2042">
        <f>AD352</f>
        <v>24000</v>
      </c>
      <c r="AE353" s="579"/>
      <c r="AF353" s="579"/>
      <c r="AG353" s="579"/>
      <c r="AH353" s="156"/>
      <c r="AI353" s="156"/>
      <c r="AJ353" s="156"/>
      <c r="AK353" s="156"/>
      <c r="AL353" s="156"/>
      <c r="AM353" s="156"/>
      <c r="AN353" s="156"/>
      <c r="AO353" s="156"/>
      <c r="AP353" s="156"/>
      <c r="AQ353" s="156"/>
      <c r="AR353" s="156"/>
      <c r="AS353" s="156"/>
      <c r="AT353" s="156"/>
      <c r="AU353" s="156"/>
      <c r="AV353" s="156"/>
      <c r="AW353" s="156"/>
      <c r="AX353" s="156"/>
      <c r="AY353" s="156"/>
      <c r="AZ353" s="156"/>
      <c r="BA353" s="156"/>
      <c r="BB353" s="2828"/>
      <c r="BC353" s="504"/>
      <c r="BD353" s="2829"/>
      <c r="BE353" s="2837"/>
      <c r="BF353" s="156"/>
    </row>
    <row r="354" spans="1:58" ht="14.5" hidden="1" customHeight="1" outlineLevel="1" x14ac:dyDescent="0.35">
      <c r="A354" s="1071"/>
      <c r="B354" s="106"/>
      <c r="C354" s="103"/>
      <c r="D354" s="4021" t="s">
        <v>975</v>
      </c>
      <c r="E354" s="4115" t="s">
        <v>976</v>
      </c>
      <c r="F354" s="3925" t="str">
        <f t="shared" si="57"/>
        <v>CAC-SEER14_ER1_SF</v>
      </c>
      <c r="G354" s="3926"/>
      <c r="H354" s="3927"/>
      <c r="I354" s="2228" t="str">
        <f t="shared" si="58"/>
        <v>350400_2021_12_</v>
      </c>
      <c r="J354" s="2228"/>
      <c r="K354" s="565"/>
      <c r="L354" s="712" t="s">
        <v>977</v>
      </c>
      <c r="M354" s="1292"/>
      <c r="N354" s="1287"/>
      <c r="O354" s="106"/>
      <c r="P354" s="106"/>
      <c r="Q354" s="106"/>
      <c r="R354" s="106"/>
      <c r="S354" s="106"/>
      <c r="T354" s="106"/>
      <c r="U354" s="106"/>
      <c r="V354" s="4021" t="str">
        <f>D354</f>
        <v>SEERbase</v>
      </c>
      <c r="W354" s="2228">
        <v>10</v>
      </c>
      <c r="X354" s="2376"/>
      <c r="Y354" s="2376"/>
      <c r="Z354" s="2376"/>
      <c r="AA354" s="2228"/>
      <c r="AB354" s="2872"/>
      <c r="AC354" s="2228"/>
      <c r="AD354" s="2228"/>
      <c r="AE354" s="2228"/>
      <c r="AF354" s="2228"/>
      <c r="AG354" s="2228"/>
      <c r="AH354" s="156"/>
      <c r="AI354" s="156"/>
      <c r="AJ354" s="156"/>
      <c r="AK354" s="156"/>
      <c r="AL354" s="156"/>
      <c r="AM354" s="156"/>
      <c r="AN354" s="156"/>
      <c r="AO354" s="156"/>
      <c r="AP354" s="156"/>
      <c r="AQ354" s="156"/>
      <c r="AR354" s="156"/>
      <c r="AS354" s="156"/>
      <c r="AT354" s="156"/>
      <c r="AU354" s="156"/>
      <c r="AV354" s="156"/>
      <c r="AW354" s="156"/>
      <c r="AX354" s="156"/>
      <c r="AY354" s="156"/>
      <c r="AZ354" s="156"/>
      <c r="BA354" s="156"/>
      <c r="BB354" s="2828"/>
      <c r="BC354" s="504"/>
      <c r="BD354" s="2829"/>
      <c r="BE354" s="2837"/>
      <c r="BF354" s="156"/>
    </row>
    <row r="355" spans="1:58" ht="14.5" hidden="1" customHeight="1" outlineLevel="1" x14ac:dyDescent="0.35">
      <c r="A355" s="1071"/>
      <c r="B355" s="106"/>
      <c r="C355" s="103"/>
      <c r="D355" s="4022"/>
      <c r="E355" s="4111"/>
      <c r="F355" s="3919" t="str">
        <f t="shared" si="57"/>
        <v>CAC-SEER14_ER2_SF</v>
      </c>
      <c r="G355" s="3920"/>
      <c r="H355" s="3921"/>
      <c r="I355" s="2224" t="str">
        <f t="shared" si="58"/>
        <v>350400_2021_12_</v>
      </c>
      <c r="J355" s="2224">
        <v>13</v>
      </c>
      <c r="K355" s="569"/>
      <c r="L355" s="710" t="str">
        <f>L354</f>
        <v>MO TRM</v>
      </c>
      <c r="M355" s="1292"/>
      <c r="N355" s="1287"/>
      <c r="O355" s="106"/>
      <c r="P355" s="106"/>
      <c r="Q355" s="106"/>
      <c r="R355" s="106"/>
      <c r="S355" s="106"/>
      <c r="T355" s="106"/>
      <c r="U355" s="106"/>
      <c r="V355" s="4022"/>
      <c r="W355" s="2224">
        <v>13</v>
      </c>
      <c r="X355" s="2224">
        <v>13</v>
      </c>
      <c r="Y355" s="2224">
        <v>13</v>
      </c>
      <c r="Z355" s="2224">
        <v>13</v>
      </c>
      <c r="AA355" s="2224">
        <v>13</v>
      </c>
      <c r="AB355" s="2874">
        <v>13</v>
      </c>
      <c r="AC355" s="2224">
        <v>13</v>
      </c>
      <c r="AD355" s="2224">
        <v>13</v>
      </c>
      <c r="AE355" s="2224"/>
      <c r="AF355" s="2224"/>
      <c r="AG355" s="2224"/>
      <c r="AH355" s="156"/>
      <c r="AI355" s="156"/>
      <c r="AJ355" s="156"/>
      <c r="AK355" s="156"/>
      <c r="AL355" s="156"/>
      <c r="AM355" s="156"/>
      <c r="AN355" s="156"/>
      <c r="AO355" s="156"/>
      <c r="AP355" s="156"/>
      <c r="AQ355" s="156"/>
      <c r="AR355" s="156"/>
      <c r="AS355" s="156"/>
      <c r="AT355" s="156"/>
      <c r="AU355" s="156"/>
      <c r="AV355" s="156"/>
      <c r="AW355" s="156"/>
      <c r="AX355" s="156"/>
      <c r="AY355" s="156"/>
      <c r="AZ355" s="156"/>
      <c r="BA355" s="156"/>
      <c r="BB355" s="2828"/>
      <c r="BC355" s="504"/>
      <c r="BD355" s="2829"/>
      <c r="BE355" s="2837"/>
      <c r="BF355" s="156"/>
    </row>
    <row r="356" spans="1:58" ht="14.5" hidden="1" customHeight="1" outlineLevel="1" x14ac:dyDescent="0.35">
      <c r="A356" s="1071"/>
      <c r="B356" s="106"/>
      <c r="C356" s="103"/>
      <c r="D356" s="4022"/>
      <c r="E356" s="4111"/>
      <c r="F356" s="3919" t="str">
        <f t="shared" si="57"/>
        <v>CAC-SEER14_ROF_SF</v>
      </c>
      <c r="G356" s="3920"/>
      <c r="H356" s="3921"/>
      <c r="I356" s="2224" t="str">
        <f t="shared" si="58"/>
        <v>350450_2021_12_</v>
      </c>
      <c r="J356" s="2224">
        <v>13</v>
      </c>
      <c r="K356" s="569"/>
      <c r="L356" s="710" t="str">
        <f t="shared" ref="L356:L385" si="60">L355</f>
        <v>MO TRM</v>
      </c>
      <c r="M356" s="103"/>
      <c r="N356" s="1287"/>
      <c r="O356" s="103"/>
      <c r="P356" s="106"/>
      <c r="Q356" s="106"/>
      <c r="R356" s="106"/>
      <c r="S356" s="106"/>
      <c r="T356" s="106"/>
      <c r="U356" s="106"/>
      <c r="V356" s="4022"/>
      <c r="W356" s="2224">
        <v>13</v>
      </c>
      <c r="X356" s="2224">
        <v>13</v>
      </c>
      <c r="Y356" s="2224">
        <v>13</v>
      </c>
      <c r="Z356" s="2224">
        <v>13</v>
      </c>
      <c r="AA356" s="2224">
        <v>13</v>
      </c>
      <c r="AB356" s="2874">
        <v>13</v>
      </c>
      <c r="AC356" s="2224">
        <v>13</v>
      </c>
      <c r="AD356" s="2224">
        <v>13</v>
      </c>
      <c r="AE356" s="2224"/>
      <c r="AF356" s="2224"/>
      <c r="AG356" s="2224"/>
      <c r="AH356" s="156"/>
      <c r="AI356" s="156"/>
      <c r="AJ356" s="156"/>
      <c r="AK356" s="156"/>
      <c r="AL356" s="156"/>
      <c r="AM356" s="156"/>
      <c r="AN356" s="156"/>
      <c r="AO356" s="156"/>
      <c r="AP356" s="156"/>
      <c r="AQ356" s="156"/>
      <c r="AR356" s="156"/>
      <c r="AS356" s="156"/>
      <c r="AT356" s="156"/>
      <c r="AU356" s="156"/>
      <c r="AV356" s="156"/>
      <c r="AW356" s="156"/>
      <c r="AX356" s="156"/>
      <c r="AY356" s="156"/>
      <c r="AZ356" s="156"/>
      <c r="BA356" s="156"/>
      <c r="BB356" s="2828"/>
      <c r="BC356" s="504"/>
      <c r="BD356" s="2829"/>
      <c r="BE356" s="2837"/>
      <c r="BF356" s="156"/>
    </row>
    <row r="357" spans="1:58" hidden="1" outlineLevel="1" x14ac:dyDescent="0.35">
      <c r="A357" s="1071"/>
      <c r="B357" s="106"/>
      <c r="C357" s="103"/>
      <c r="D357" s="4022"/>
      <c r="E357" s="4111"/>
      <c r="F357" s="3919" t="str">
        <f t="shared" si="57"/>
        <v>CAC-SEER14_ER1_MF</v>
      </c>
      <c r="G357" s="3920"/>
      <c r="H357" s="3921"/>
      <c r="I357" s="2224" t="str">
        <f t="shared" si="58"/>
        <v>350500_2021_12_</v>
      </c>
      <c r="J357" s="2224"/>
      <c r="K357" s="569"/>
      <c r="L357" s="710" t="str">
        <f t="shared" si="60"/>
        <v>MO TRM</v>
      </c>
      <c r="M357" s="103"/>
      <c r="N357" s="1287"/>
      <c r="O357" s="103"/>
      <c r="P357" s="106"/>
      <c r="Q357" s="106"/>
      <c r="R357" s="106"/>
      <c r="S357" s="106"/>
      <c r="T357" s="106"/>
      <c r="U357" s="106"/>
      <c r="V357" s="4022"/>
      <c r="W357" s="2224">
        <v>10</v>
      </c>
      <c r="X357" s="2374"/>
      <c r="Y357" s="2374"/>
      <c r="Z357" s="2374"/>
      <c r="AA357" s="2224"/>
      <c r="AB357" s="2874"/>
      <c r="AC357" s="2224"/>
      <c r="AD357" s="2224"/>
      <c r="AE357" s="2224"/>
      <c r="AF357" s="2224"/>
      <c r="AG357" s="2224"/>
      <c r="AH357" s="156"/>
      <c r="AI357" s="156"/>
      <c r="AJ357" s="156"/>
      <c r="AK357" s="156"/>
      <c r="AL357" s="156"/>
      <c r="AM357" s="156"/>
      <c r="AN357" s="156"/>
      <c r="AO357" s="156"/>
      <c r="AP357" s="156"/>
      <c r="AQ357" s="156"/>
      <c r="AR357" s="156"/>
      <c r="AS357" s="156"/>
      <c r="AT357" s="156"/>
      <c r="AU357" s="156"/>
      <c r="AV357" s="156"/>
      <c r="AW357" s="156"/>
      <c r="AX357" s="156"/>
      <c r="AY357" s="156"/>
      <c r="AZ357" s="156"/>
      <c r="BA357" s="156"/>
      <c r="BB357" s="2828"/>
      <c r="BC357" s="504"/>
      <c r="BD357" s="2829"/>
      <c r="BE357" s="2837"/>
      <c r="BF357" s="156"/>
    </row>
    <row r="358" spans="1:58" hidden="1" outlineLevel="1" x14ac:dyDescent="0.35">
      <c r="A358" s="1071"/>
      <c r="B358" s="106"/>
      <c r="C358" s="103"/>
      <c r="D358" s="4022"/>
      <c r="E358" s="4111"/>
      <c r="F358" s="3919" t="str">
        <f t="shared" si="57"/>
        <v>CAC-SEER14_ER2_MF</v>
      </c>
      <c r="G358" s="3920"/>
      <c r="H358" s="3921"/>
      <c r="I358" s="2224" t="str">
        <f t="shared" si="58"/>
        <v>350500_2021_12_</v>
      </c>
      <c r="J358" s="2224">
        <v>13</v>
      </c>
      <c r="K358" s="569"/>
      <c r="L358" s="710" t="str">
        <f t="shared" si="60"/>
        <v>MO TRM</v>
      </c>
      <c r="M358" s="103"/>
      <c r="N358" s="1287"/>
      <c r="O358" s="103"/>
      <c r="P358" s="106"/>
      <c r="Q358" s="106"/>
      <c r="R358" s="106"/>
      <c r="S358" s="106"/>
      <c r="T358" s="106"/>
      <c r="U358" s="106"/>
      <c r="V358" s="4022"/>
      <c r="W358" s="2224">
        <v>13</v>
      </c>
      <c r="X358" s="2224">
        <v>13</v>
      </c>
      <c r="Y358" s="2224">
        <v>13</v>
      </c>
      <c r="Z358" s="2224">
        <v>13</v>
      </c>
      <c r="AA358" s="2224">
        <v>13</v>
      </c>
      <c r="AB358" s="2874">
        <v>13</v>
      </c>
      <c r="AC358" s="2224">
        <v>13</v>
      </c>
      <c r="AD358" s="2224">
        <v>13</v>
      </c>
      <c r="AE358" s="2224"/>
      <c r="AF358" s="2224"/>
      <c r="AG358" s="2224"/>
      <c r="AH358" s="156"/>
      <c r="AI358" s="156"/>
      <c r="AJ358" s="156"/>
      <c r="AK358" s="156"/>
      <c r="AL358" s="156"/>
      <c r="AM358" s="156"/>
      <c r="AN358" s="156"/>
      <c r="AO358" s="156"/>
      <c r="AP358" s="156"/>
      <c r="AQ358" s="156"/>
      <c r="AR358" s="156"/>
      <c r="AS358" s="156"/>
      <c r="AT358" s="156"/>
      <c r="AU358" s="156"/>
      <c r="AV358" s="156"/>
      <c r="AW358" s="156"/>
      <c r="AX358" s="156"/>
      <c r="AY358" s="156"/>
      <c r="AZ358" s="156"/>
      <c r="BA358" s="156"/>
      <c r="BB358" s="2828"/>
      <c r="BC358" s="504"/>
      <c r="BD358" s="2829"/>
      <c r="BE358" s="2837"/>
      <c r="BF358" s="156"/>
    </row>
    <row r="359" spans="1:58" hidden="1" outlineLevel="1" x14ac:dyDescent="0.35">
      <c r="A359" s="1071"/>
      <c r="B359" s="106"/>
      <c r="C359" s="103"/>
      <c r="D359" s="4022"/>
      <c r="E359" s="4111"/>
      <c r="F359" s="3919" t="str">
        <f t="shared" si="57"/>
        <v>CAC-SEER14_ER1_MF_CompE</v>
      </c>
      <c r="G359" s="3920"/>
      <c r="H359" s="3921"/>
      <c r="I359" s="2224" t="str">
        <f t="shared" si="58"/>
        <v>350501_2021_12_</v>
      </c>
      <c r="J359" s="2224"/>
      <c r="K359" s="569"/>
      <c r="L359" s="710"/>
      <c r="M359" s="103"/>
      <c r="N359" s="1287"/>
      <c r="O359" s="103"/>
      <c r="P359" s="106"/>
      <c r="Q359" s="106"/>
      <c r="R359" s="106"/>
      <c r="S359" s="106"/>
      <c r="T359" s="106"/>
      <c r="U359" s="106"/>
      <c r="V359" s="4022"/>
      <c r="W359" s="2224"/>
      <c r="X359" s="2224"/>
      <c r="Y359" s="2224"/>
      <c r="Z359" s="2224"/>
      <c r="AA359" s="2224"/>
      <c r="AB359" s="2874"/>
      <c r="AC359" s="2224"/>
      <c r="AD359" s="2224"/>
      <c r="AE359" s="2224"/>
      <c r="AF359" s="2224"/>
      <c r="AG359" s="2224"/>
      <c r="AH359" s="156"/>
      <c r="AI359" s="156"/>
      <c r="AJ359" s="156"/>
      <c r="AK359" s="156"/>
      <c r="AL359" s="156"/>
      <c r="AM359" s="156"/>
      <c r="AN359" s="156"/>
      <c r="AO359" s="156"/>
      <c r="AP359" s="156"/>
      <c r="AQ359" s="156"/>
      <c r="AR359" s="156"/>
      <c r="AS359" s="156"/>
      <c r="AT359" s="156"/>
      <c r="AU359" s="156"/>
      <c r="AV359" s="156"/>
      <c r="AW359" s="156"/>
      <c r="AX359" s="156"/>
      <c r="AY359" s="156"/>
      <c r="AZ359" s="156"/>
      <c r="BA359" s="156"/>
      <c r="BB359" s="2828"/>
      <c r="BC359" s="504"/>
      <c r="BD359" s="2829"/>
      <c r="BE359" s="2837"/>
      <c r="BF359" s="156"/>
    </row>
    <row r="360" spans="1:58" hidden="1" outlineLevel="1" x14ac:dyDescent="0.35">
      <c r="A360" s="1071"/>
      <c r="B360" s="106"/>
      <c r="C360" s="103"/>
      <c r="D360" s="4022"/>
      <c r="E360" s="4111"/>
      <c r="F360" s="3919" t="str">
        <f t="shared" si="57"/>
        <v>CAC-SEER14_ER2_MF_CompE</v>
      </c>
      <c r="G360" s="3920"/>
      <c r="H360" s="3921"/>
      <c r="I360" s="2224" t="str">
        <f t="shared" si="58"/>
        <v>350501_2021_12_</v>
      </c>
      <c r="J360" s="2224">
        <v>13</v>
      </c>
      <c r="K360" s="569"/>
      <c r="L360" s="710"/>
      <c r="M360" s="103"/>
      <c r="N360" s="1287"/>
      <c r="O360" s="103"/>
      <c r="P360" s="106"/>
      <c r="Q360" s="106"/>
      <c r="R360" s="106"/>
      <c r="S360" s="106"/>
      <c r="T360" s="106"/>
      <c r="U360" s="106"/>
      <c r="V360" s="4022"/>
      <c r="W360" s="2224"/>
      <c r="X360" s="2224"/>
      <c r="Y360" s="2224">
        <v>13</v>
      </c>
      <c r="Z360" s="2224">
        <v>13</v>
      </c>
      <c r="AA360" s="2224">
        <v>13</v>
      </c>
      <c r="AB360" s="2874">
        <v>13</v>
      </c>
      <c r="AC360" s="2224">
        <v>13</v>
      </c>
      <c r="AD360" s="2224">
        <v>13</v>
      </c>
      <c r="AE360" s="2224"/>
      <c r="AF360" s="2224"/>
      <c r="AG360" s="2224"/>
      <c r="AH360" s="156"/>
      <c r="AI360" s="156"/>
      <c r="AJ360" s="156"/>
      <c r="AK360" s="156"/>
      <c r="AL360" s="156"/>
      <c r="AM360" s="156"/>
      <c r="AN360" s="156"/>
      <c r="AO360" s="156"/>
      <c r="AP360" s="156"/>
      <c r="AQ360" s="156"/>
      <c r="AR360" s="156"/>
      <c r="AS360" s="156"/>
      <c r="AT360" s="156"/>
      <c r="AU360" s="156"/>
      <c r="AV360" s="156"/>
      <c r="AW360" s="156"/>
      <c r="AX360" s="156"/>
      <c r="AY360" s="156"/>
      <c r="AZ360" s="156"/>
      <c r="BA360" s="156"/>
      <c r="BB360" s="2828"/>
      <c r="BC360" s="504"/>
      <c r="BD360" s="2829"/>
      <c r="BE360" s="2837"/>
      <c r="BF360" s="156"/>
    </row>
    <row r="361" spans="1:58" hidden="1" outlineLevel="1" x14ac:dyDescent="0.35">
      <c r="A361" s="1071"/>
      <c r="B361" s="106"/>
      <c r="C361" s="103"/>
      <c r="D361" s="4022"/>
      <c r="E361" s="4111"/>
      <c r="F361" s="3919" t="str">
        <f t="shared" si="57"/>
        <v>CAC-SEER14_ROF_MF</v>
      </c>
      <c r="G361" s="3920"/>
      <c r="H361" s="3921"/>
      <c r="I361" s="2224" t="str">
        <f t="shared" si="58"/>
        <v>350550_2021_12_</v>
      </c>
      <c r="J361" s="2224">
        <v>13</v>
      </c>
      <c r="K361" s="569"/>
      <c r="L361" s="710" t="str">
        <f>L358</f>
        <v>MO TRM</v>
      </c>
      <c r="M361" s="103"/>
      <c r="N361" s="1287"/>
      <c r="O361" s="103"/>
      <c r="P361" s="106"/>
      <c r="Q361" s="106"/>
      <c r="R361" s="106"/>
      <c r="S361" s="106"/>
      <c r="T361" s="106"/>
      <c r="U361" s="106"/>
      <c r="V361" s="4022"/>
      <c r="W361" s="2224">
        <v>13</v>
      </c>
      <c r="X361" s="2224">
        <v>13</v>
      </c>
      <c r="Y361" s="2224">
        <v>13</v>
      </c>
      <c r="Z361" s="2224">
        <v>13</v>
      </c>
      <c r="AA361" s="2224">
        <v>13</v>
      </c>
      <c r="AB361" s="2874">
        <v>13</v>
      </c>
      <c r="AC361" s="2224">
        <v>13</v>
      </c>
      <c r="AD361" s="2224">
        <v>13</v>
      </c>
      <c r="AE361" s="2224"/>
      <c r="AF361" s="2224"/>
      <c r="AG361" s="2224"/>
      <c r="AH361" s="156"/>
      <c r="AI361" s="156"/>
      <c r="AJ361" s="156"/>
      <c r="AK361" s="156"/>
      <c r="AL361" s="156"/>
      <c r="AM361" s="156"/>
      <c r="AN361" s="156"/>
      <c r="AO361" s="156"/>
      <c r="AP361" s="156"/>
      <c r="AQ361" s="156"/>
      <c r="AR361" s="156"/>
      <c r="AS361" s="156"/>
      <c r="AT361" s="156"/>
      <c r="AU361" s="156"/>
      <c r="AV361" s="156"/>
      <c r="AW361" s="156"/>
      <c r="AX361" s="156"/>
      <c r="AY361" s="156"/>
      <c r="AZ361" s="156"/>
      <c r="BA361" s="156"/>
      <c r="BB361" s="2828"/>
      <c r="BC361" s="504"/>
      <c r="BD361" s="2829"/>
      <c r="BE361" s="2837"/>
      <c r="BF361" s="156"/>
    </row>
    <row r="362" spans="1:58" hidden="1" outlineLevel="1" x14ac:dyDescent="0.35">
      <c r="A362" s="1071"/>
      <c r="B362" s="106"/>
      <c r="C362" s="103"/>
      <c r="D362" s="4022"/>
      <c r="E362" s="4111"/>
      <c r="F362" s="3919" t="str">
        <f t="shared" si="57"/>
        <v>CAC-SEER14_ROF_MF_CompE</v>
      </c>
      <c r="G362" s="3920"/>
      <c r="H362" s="3921"/>
      <c r="I362" s="2224" t="str">
        <f t="shared" si="58"/>
        <v>350551_2021_12_</v>
      </c>
      <c r="J362" s="2224">
        <v>13</v>
      </c>
      <c r="K362" s="569"/>
      <c r="L362" s="710"/>
      <c r="M362" s="103"/>
      <c r="N362" s="1287"/>
      <c r="O362" s="103"/>
      <c r="P362" s="106"/>
      <c r="Q362" s="106"/>
      <c r="R362" s="106"/>
      <c r="S362" s="106"/>
      <c r="T362" s="106"/>
      <c r="U362" s="106"/>
      <c r="V362" s="4022"/>
      <c r="W362" s="2224"/>
      <c r="X362" s="2224"/>
      <c r="Y362" s="2224">
        <v>13</v>
      </c>
      <c r="Z362" s="2224">
        <v>13</v>
      </c>
      <c r="AA362" s="2224">
        <v>13</v>
      </c>
      <c r="AB362" s="2874">
        <v>13</v>
      </c>
      <c r="AC362" s="2224">
        <v>13</v>
      </c>
      <c r="AD362" s="2224">
        <v>13</v>
      </c>
      <c r="AE362" s="2224"/>
      <c r="AF362" s="2224"/>
      <c r="AG362" s="2224"/>
      <c r="AH362" s="156"/>
      <c r="AI362" s="156"/>
      <c r="AJ362" s="156"/>
      <c r="AK362" s="156"/>
      <c r="AL362" s="156"/>
      <c r="AM362" s="156"/>
      <c r="AN362" s="156"/>
      <c r="AO362" s="156"/>
      <c r="AP362" s="156"/>
      <c r="AQ362" s="156"/>
      <c r="AR362" s="156"/>
      <c r="AS362" s="156"/>
      <c r="AT362" s="156"/>
      <c r="AU362" s="156"/>
      <c r="AV362" s="156"/>
      <c r="AW362" s="156"/>
      <c r="AX362" s="156"/>
      <c r="AY362" s="156"/>
      <c r="AZ362" s="156"/>
      <c r="BA362" s="156"/>
      <c r="BB362" s="2828"/>
      <c r="BC362" s="504"/>
      <c r="BD362" s="2829"/>
      <c r="BE362" s="2837"/>
      <c r="BF362" s="156"/>
    </row>
    <row r="363" spans="1:58" hidden="1" outlineLevel="1" x14ac:dyDescent="0.35">
      <c r="A363" s="1071"/>
      <c r="B363" s="106"/>
      <c r="C363" s="103"/>
      <c r="D363" s="4022"/>
      <c r="E363" s="4111"/>
      <c r="F363" s="3919" t="str">
        <f t="shared" si="57"/>
        <v>CAC-SEER15_ER1_SF</v>
      </c>
      <c r="G363" s="3920"/>
      <c r="H363" s="3921"/>
      <c r="I363" s="2224" t="str">
        <f t="shared" si="58"/>
        <v>350600_2021_12_</v>
      </c>
      <c r="J363" s="2224"/>
      <c r="K363" s="569"/>
      <c r="L363" s="710" t="str">
        <f>L361</f>
        <v>MO TRM</v>
      </c>
      <c r="M363" s="103"/>
      <c r="N363" s="1287"/>
      <c r="O363" s="103"/>
      <c r="P363" s="106"/>
      <c r="Q363" s="106"/>
      <c r="R363" s="106"/>
      <c r="S363" s="106"/>
      <c r="T363" s="106"/>
      <c r="U363" s="106"/>
      <c r="V363" s="4022"/>
      <c r="W363" s="2224">
        <v>10</v>
      </c>
      <c r="X363" s="2374"/>
      <c r="Y363" s="2374"/>
      <c r="Z363" s="2374"/>
      <c r="AA363" s="2224"/>
      <c r="AB363" s="2874"/>
      <c r="AC363" s="2224"/>
      <c r="AD363" s="2224"/>
      <c r="AE363" s="2224"/>
      <c r="AF363" s="2224"/>
      <c r="AG363" s="2224"/>
      <c r="AH363" s="156"/>
      <c r="AI363" s="156"/>
      <c r="AJ363" s="156"/>
      <c r="AK363" s="156"/>
      <c r="AL363" s="156"/>
      <c r="AM363" s="156"/>
      <c r="AN363" s="156"/>
      <c r="AO363" s="156"/>
      <c r="AP363" s="156"/>
      <c r="AQ363" s="156"/>
      <c r="AR363" s="156"/>
      <c r="AS363" s="156"/>
      <c r="AT363" s="156"/>
      <c r="AU363" s="156"/>
      <c r="AV363" s="156"/>
      <c r="AW363" s="156"/>
      <c r="AX363" s="156"/>
      <c r="AY363" s="156"/>
      <c r="AZ363" s="156"/>
      <c r="BA363" s="156"/>
      <c r="BB363" s="2828"/>
      <c r="BC363" s="504"/>
      <c r="BD363" s="2829"/>
      <c r="BE363" s="2837"/>
      <c r="BF363" s="156"/>
    </row>
    <row r="364" spans="1:58" hidden="1" outlineLevel="1" x14ac:dyDescent="0.35">
      <c r="A364" s="1071"/>
      <c r="B364" s="106"/>
      <c r="C364" s="103"/>
      <c r="D364" s="4022"/>
      <c r="E364" s="4111"/>
      <c r="F364" s="3919" t="str">
        <f t="shared" si="57"/>
        <v>CAC-SEER15_ER2_SF</v>
      </c>
      <c r="G364" s="3920"/>
      <c r="H364" s="3921"/>
      <c r="I364" s="2224" t="str">
        <f t="shared" si="58"/>
        <v>350600_2021_12_</v>
      </c>
      <c r="J364" s="2224">
        <v>13</v>
      </c>
      <c r="K364" s="569"/>
      <c r="L364" s="710" t="str">
        <f t="shared" si="60"/>
        <v>MO TRM</v>
      </c>
      <c r="M364" s="103"/>
      <c r="N364" s="1287"/>
      <c r="O364" s="103"/>
      <c r="P364" s="106"/>
      <c r="Q364" s="106"/>
      <c r="R364" s="106"/>
      <c r="S364" s="106"/>
      <c r="T364" s="106"/>
      <c r="U364" s="106"/>
      <c r="V364" s="4022"/>
      <c r="W364" s="2224">
        <v>13</v>
      </c>
      <c r="X364" s="2224">
        <v>13</v>
      </c>
      <c r="Y364" s="2224">
        <v>13</v>
      </c>
      <c r="Z364" s="2224">
        <v>13</v>
      </c>
      <c r="AA364" s="2224">
        <v>13</v>
      </c>
      <c r="AB364" s="2874">
        <v>13</v>
      </c>
      <c r="AC364" s="2224">
        <v>13</v>
      </c>
      <c r="AD364" s="2224">
        <v>13</v>
      </c>
      <c r="AE364" s="2224"/>
      <c r="AF364" s="2224"/>
      <c r="AG364" s="2224"/>
      <c r="AH364" s="156"/>
      <c r="AI364" s="156"/>
      <c r="AJ364" s="156"/>
      <c r="AK364" s="156"/>
      <c r="AL364" s="156"/>
      <c r="AM364" s="156"/>
      <c r="AN364" s="156"/>
      <c r="AO364" s="156"/>
      <c r="AP364" s="156"/>
      <c r="AQ364" s="156"/>
      <c r="AR364" s="156"/>
      <c r="AS364" s="156"/>
      <c r="AT364" s="156"/>
      <c r="AU364" s="156"/>
      <c r="AV364" s="156"/>
      <c r="AW364" s="156"/>
      <c r="AX364" s="156"/>
      <c r="AY364" s="156"/>
      <c r="AZ364" s="156"/>
      <c r="BA364" s="156"/>
      <c r="BB364" s="2828"/>
      <c r="BC364" s="504"/>
      <c r="BD364" s="2829"/>
      <c r="BE364" s="2837"/>
      <c r="BF364" s="156"/>
    </row>
    <row r="365" spans="1:58" hidden="1" outlineLevel="1" x14ac:dyDescent="0.35">
      <c r="A365" s="1071"/>
      <c r="B365" s="106"/>
      <c r="C365" s="103"/>
      <c r="D365" s="4022"/>
      <c r="E365" s="4111"/>
      <c r="F365" s="3919" t="str">
        <f t="shared" si="57"/>
        <v>CAC-SEER15_ROF_SF</v>
      </c>
      <c r="G365" s="3920"/>
      <c r="H365" s="3921"/>
      <c r="I365" s="2224" t="str">
        <f t="shared" si="58"/>
        <v>350650_2021_12_</v>
      </c>
      <c r="J365" s="2224">
        <v>13</v>
      </c>
      <c r="K365" s="569"/>
      <c r="L365" s="710" t="str">
        <f t="shared" si="60"/>
        <v>MO TRM</v>
      </c>
      <c r="M365" s="103"/>
      <c r="N365" s="1287"/>
      <c r="O365" s="103"/>
      <c r="P365" s="106"/>
      <c r="Q365" s="106"/>
      <c r="R365" s="106"/>
      <c r="S365" s="106"/>
      <c r="T365" s="106"/>
      <c r="U365" s="106"/>
      <c r="V365" s="4022"/>
      <c r="W365" s="2224">
        <v>13</v>
      </c>
      <c r="X365" s="2224">
        <v>13</v>
      </c>
      <c r="Y365" s="2224">
        <v>13</v>
      </c>
      <c r="Z365" s="2224">
        <v>13</v>
      </c>
      <c r="AA365" s="2224">
        <v>13</v>
      </c>
      <c r="AB365" s="2874">
        <v>13</v>
      </c>
      <c r="AC365" s="2224">
        <v>13</v>
      </c>
      <c r="AD365" s="2224">
        <v>13</v>
      </c>
      <c r="AE365" s="2224"/>
      <c r="AF365" s="2224"/>
      <c r="AG365" s="2224"/>
      <c r="AH365" s="156"/>
      <c r="AI365" s="156"/>
      <c r="AJ365" s="156"/>
      <c r="AK365" s="156"/>
      <c r="AL365" s="156"/>
      <c r="AM365" s="156"/>
      <c r="AN365" s="156"/>
      <c r="AO365" s="156"/>
      <c r="AP365" s="156"/>
      <c r="AQ365" s="156"/>
      <c r="AR365" s="156"/>
      <c r="AS365" s="156"/>
      <c r="AT365" s="156"/>
      <c r="AU365" s="156"/>
      <c r="AV365" s="156"/>
      <c r="AW365" s="156"/>
      <c r="AX365" s="156"/>
      <c r="AY365" s="156"/>
      <c r="AZ365" s="156"/>
      <c r="BA365" s="156"/>
      <c r="BB365" s="2828"/>
      <c r="BC365" s="504"/>
      <c r="BD365" s="2829"/>
      <c r="BE365" s="2837"/>
      <c r="BF365" s="156"/>
    </row>
    <row r="366" spans="1:58" hidden="1" outlineLevel="1" x14ac:dyDescent="0.35">
      <c r="A366" s="1071"/>
      <c r="B366" s="106"/>
      <c r="C366" s="103"/>
      <c r="D366" s="4022"/>
      <c r="E366" s="4111"/>
      <c r="F366" s="3919" t="str">
        <f t="shared" si="57"/>
        <v>CAC-SEER15_ER1_MF</v>
      </c>
      <c r="G366" s="3920"/>
      <c r="H366" s="3921"/>
      <c r="I366" s="2224" t="str">
        <f t="shared" si="58"/>
        <v>350700_2021_12_</v>
      </c>
      <c r="J366" s="2224"/>
      <c r="K366" s="569"/>
      <c r="L366" s="710" t="str">
        <f t="shared" si="60"/>
        <v>MO TRM</v>
      </c>
      <c r="M366" s="103"/>
      <c r="N366" s="1287"/>
      <c r="O366" s="103"/>
      <c r="P366" s="106"/>
      <c r="Q366" s="106"/>
      <c r="R366" s="106"/>
      <c r="S366" s="106"/>
      <c r="T366" s="106"/>
      <c r="U366" s="106"/>
      <c r="V366" s="4022"/>
      <c r="W366" s="2224">
        <v>10</v>
      </c>
      <c r="X366" s="2374"/>
      <c r="Y366" s="2374"/>
      <c r="Z366" s="2374"/>
      <c r="AA366" s="2224"/>
      <c r="AB366" s="2874"/>
      <c r="AC366" s="2224"/>
      <c r="AD366" s="2224"/>
      <c r="AE366" s="2224"/>
      <c r="AF366" s="2224"/>
      <c r="AG366" s="2224"/>
      <c r="AH366" s="156"/>
      <c r="AI366" s="156"/>
      <c r="AJ366" s="156"/>
      <c r="AK366" s="156"/>
      <c r="AL366" s="156"/>
      <c r="AM366" s="156"/>
      <c r="AN366" s="156"/>
      <c r="AO366" s="156"/>
      <c r="AP366" s="156"/>
      <c r="AQ366" s="156"/>
      <c r="AR366" s="156"/>
      <c r="AS366" s="156"/>
      <c r="AT366" s="156"/>
      <c r="AU366" s="156"/>
      <c r="AV366" s="156"/>
      <c r="AW366" s="156"/>
      <c r="AX366" s="156"/>
      <c r="AY366" s="156"/>
      <c r="AZ366" s="156"/>
      <c r="BA366" s="156"/>
      <c r="BB366" s="2828"/>
      <c r="BC366" s="504"/>
      <c r="BD366" s="2829"/>
      <c r="BE366" s="2837"/>
      <c r="BF366" s="156"/>
    </row>
    <row r="367" spans="1:58" hidden="1" outlineLevel="1" x14ac:dyDescent="0.35">
      <c r="A367" s="1071"/>
      <c r="B367" s="106"/>
      <c r="C367" s="103"/>
      <c r="D367" s="4022"/>
      <c r="E367" s="4111"/>
      <c r="F367" s="3919" t="str">
        <f t="shared" si="57"/>
        <v>CAC-SEER15_ER2_MF</v>
      </c>
      <c r="G367" s="3920"/>
      <c r="H367" s="3921"/>
      <c r="I367" s="2224" t="str">
        <f t="shared" si="58"/>
        <v>350700_2021_12_</v>
      </c>
      <c r="J367" s="2224">
        <v>13</v>
      </c>
      <c r="K367" s="569"/>
      <c r="L367" s="710" t="str">
        <f t="shared" si="60"/>
        <v>MO TRM</v>
      </c>
      <c r="M367" s="103"/>
      <c r="N367" s="1287"/>
      <c r="O367" s="103"/>
      <c r="P367" s="106"/>
      <c r="Q367" s="106"/>
      <c r="R367" s="106"/>
      <c r="S367" s="106"/>
      <c r="T367" s="106"/>
      <c r="U367" s="106"/>
      <c r="V367" s="4022"/>
      <c r="W367" s="2224">
        <v>13</v>
      </c>
      <c r="X367" s="2224">
        <v>13</v>
      </c>
      <c r="Y367" s="2224">
        <v>13</v>
      </c>
      <c r="Z367" s="2224">
        <v>13</v>
      </c>
      <c r="AA367" s="2224">
        <v>13</v>
      </c>
      <c r="AB367" s="2874">
        <v>13</v>
      </c>
      <c r="AC367" s="2224">
        <v>13</v>
      </c>
      <c r="AD367" s="2224">
        <v>13</v>
      </c>
      <c r="AE367" s="2224"/>
      <c r="AF367" s="2224"/>
      <c r="AG367" s="2224"/>
      <c r="AH367" s="156"/>
      <c r="AI367" s="156"/>
      <c r="AJ367" s="156"/>
      <c r="AK367" s="156"/>
      <c r="AL367" s="156"/>
      <c r="AM367" s="156"/>
      <c r="AN367" s="156"/>
      <c r="AO367" s="156"/>
      <c r="AP367" s="156"/>
      <c r="AQ367" s="156"/>
      <c r="AR367" s="156"/>
      <c r="AS367" s="156"/>
      <c r="AT367" s="156"/>
      <c r="AU367" s="156"/>
      <c r="AV367" s="156"/>
      <c r="AW367" s="156"/>
      <c r="AX367" s="156"/>
      <c r="AY367" s="156"/>
      <c r="AZ367" s="156"/>
      <c r="BA367" s="156"/>
      <c r="BB367" s="2828"/>
      <c r="BC367" s="504"/>
      <c r="BD367" s="2829"/>
      <c r="BE367" s="2837"/>
      <c r="BF367" s="156"/>
    </row>
    <row r="368" spans="1:58" hidden="1" outlineLevel="1" x14ac:dyDescent="0.35">
      <c r="A368" s="1071"/>
      <c r="B368" s="106"/>
      <c r="C368" s="103"/>
      <c r="D368" s="4022"/>
      <c r="E368" s="4111"/>
      <c r="F368" s="3919" t="str">
        <f t="shared" si="57"/>
        <v>CAC-SEER15_ER1_MF_CompE</v>
      </c>
      <c r="G368" s="3920"/>
      <c r="H368" s="3921"/>
      <c r="I368" s="2224" t="str">
        <f t="shared" si="58"/>
        <v>350701_2021_12_</v>
      </c>
      <c r="J368" s="2224"/>
      <c r="K368" s="569"/>
      <c r="L368" s="710"/>
      <c r="M368" s="103"/>
      <c r="N368" s="1287"/>
      <c r="O368" s="103"/>
      <c r="P368" s="106"/>
      <c r="Q368" s="106"/>
      <c r="R368" s="106"/>
      <c r="S368" s="106"/>
      <c r="T368" s="106"/>
      <c r="U368" s="106"/>
      <c r="V368" s="4022"/>
      <c r="W368" s="2224"/>
      <c r="X368" s="2224"/>
      <c r="Y368" s="2224"/>
      <c r="Z368" s="2224"/>
      <c r="AA368" s="2224"/>
      <c r="AB368" s="2874"/>
      <c r="AC368" s="2224"/>
      <c r="AD368" s="2224"/>
      <c r="AE368" s="2224"/>
      <c r="AF368" s="2224"/>
      <c r="AG368" s="2224"/>
      <c r="AH368" s="156"/>
      <c r="AI368" s="156"/>
      <c r="AJ368" s="156"/>
      <c r="AK368" s="156"/>
      <c r="AL368" s="156"/>
      <c r="AM368" s="156"/>
      <c r="AN368" s="156"/>
      <c r="AO368" s="156"/>
      <c r="AP368" s="156"/>
      <c r="AQ368" s="156"/>
      <c r="AR368" s="156"/>
      <c r="AS368" s="156"/>
      <c r="AT368" s="156"/>
      <c r="AU368" s="156"/>
      <c r="AV368" s="156"/>
      <c r="AW368" s="156"/>
      <c r="AX368" s="156"/>
      <c r="AY368" s="156"/>
      <c r="AZ368" s="156"/>
      <c r="BA368" s="156"/>
      <c r="BB368" s="2828"/>
      <c r="BC368" s="504"/>
      <c r="BD368" s="2829"/>
      <c r="BE368" s="2837"/>
      <c r="BF368" s="156"/>
    </row>
    <row r="369" spans="1:58" hidden="1" outlineLevel="1" x14ac:dyDescent="0.35">
      <c r="A369" s="1071"/>
      <c r="B369" s="106"/>
      <c r="C369" s="103"/>
      <c r="D369" s="4022"/>
      <c r="E369" s="4111"/>
      <c r="F369" s="3919" t="str">
        <f t="shared" si="57"/>
        <v>CAC-SEER15_ER2_MF_CompE</v>
      </c>
      <c r="G369" s="3920"/>
      <c r="H369" s="3921"/>
      <c r="I369" s="2224" t="str">
        <f t="shared" si="58"/>
        <v>350701_2021_12_</v>
      </c>
      <c r="J369" s="2224">
        <v>13</v>
      </c>
      <c r="K369" s="569"/>
      <c r="L369" s="710"/>
      <c r="M369" s="103"/>
      <c r="N369" s="1287"/>
      <c r="O369" s="103"/>
      <c r="P369" s="106"/>
      <c r="Q369" s="106"/>
      <c r="R369" s="106"/>
      <c r="S369" s="106"/>
      <c r="T369" s="106"/>
      <c r="U369" s="106"/>
      <c r="V369" s="4022"/>
      <c r="W369" s="2224"/>
      <c r="X369" s="2224"/>
      <c r="Y369" s="2224">
        <v>13</v>
      </c>
      <c r="Z369" s="2224">
        <v>13</v>
      </c>
      <c r="AA369" s="2224">
        <v>13</v>
      </c>
      <c r="AB369" s="2874">
        <v>13</v>
      </c>
      <c r="AC369" s="2224">
        <v>13</v>
      </c>
      <c r="AD369" s="2224">
        <v>13</v>
      </c>
      <c r="AE369" s="2224"/>
      <c r="AF369" s="2224"/>
      <c r="AG369" s="2224"/>
      <c r="AH369" s="156"/>
      <c r="AI369" s="156"/>
      <c r="AJ369" s="156"/>
      <c r="AK369" s="156"/>
      <c r="AL369" s="156"/>
      <c r="AM369" s="156"/>
      <c r="AN369" s="156"/>
      <c r="AO369" s="156"/>
      <c r="AP369" s="156"/>
      <c r="AQ369" s="156"/>
      <c r="AR369" s="156"/>
      <c r="AS369" s="156"/>
      <c r="AT369" s="156"/>
      <c r="AU369" s="156"/>
      <c r="AV369" s="156"/>
      <c r="AW369" s="156"/>
      <c r="AX369" s="156"/>
      <c r="AY369" s="156"/>
      <c r="AZ369" s="156"/>
      <c r="BA369" s="156"/>
      <c r="BB369" s="2828"/>
      <c r="BC369" s="504"/>
      <c r="BD369" s="2829"/>
      <c r="BE369" s="2837"/>
      <c r="BF369" s="156"/>
    </row>
    <row r="370" spans="1:58" hidden="1" outlineLevel="1" x14ac:dyDescent="0.35">
      <c r="A370" s="1071"/>
      <c r="B370" s="106"/>
      <c r="C370" s="103"/>
      <c r="D370" s="4022"/>
      <c r="E370" s="4111"/>
      <c r="F370" s="3919" t="str">
        <f t="shared" si="57"/>
        <v>CAC-SEER15_ROF_MF</v>
      </c>
      <c r="G370" s="3920"/>
      <c r="H370" s="3921"/>
      <c r="I370" s="2224" t="str">
        <f t="shared" si="58"/>
        <v>350750_2021_12_</v>
      </c>
      <c r="J370" s="2224">
        <v>13</v>
      </c>
      <c r="K370" s="569"/>
      <c r="L370" s="710" t="str">
        <f>L367</f>
        <v>MO TRM</v>
      </c>
      <c r="M370" s="103"/>
      <c r="N370" s="1287"/>
      <c r="O370" s="103"/>
      <c r="P370" s="106"/>
      <c r="Q370" s="106"/>
      <c r="R370" s="106"/>
      <c r="S370" s="106"/>
      <c r="T370" s="106"/>
      <c r="U370" s="106"/>
      <c r="V370" s="4022"/>
      <c r="W370" s="2224">
        <v>13</v>
      </c>
      <c r="X370" s="2224">
        <v>13</v>
      </c>
      <c r="Y370" s="2224">
        <v>13</v>
      </c>
      <c r="Z370" s="2224">
        <v>13</v>
      </c>
      <c r="AA370" s="2224">
        <v>13</v>
      </c>
      <c r="AB370" s="2874">
        <v>13</v>
      </c>
      <c r="AC370" s="2224">
        <v>13</v>
      </c>
      <c r="AD370" s="2224">
        <v>13</v>
      </c>
      <c r="AE370" s="2224"/>
      <c r="AF370" s="2224"/>
      <c r="AG370" s="2224"/>
      <c r="AH370" s="156"/>
      <c r="AI370" s="156"/>
      <c r="AJ370" s="156"/>
      <c r="AK370" s="156"/>
      <c r="AL370" s="156"/>
      <c r="AM370" s="156"/>
      <c r="AN370" s="156"/>
      <c r="AO370" s="156"/>
      <c r="AP370" s="156"/>
      <c r="AQ370" s="156"/>
      <c r="AR370" s="156"/>
      <c r="AS370" s="156"/>
      <c r="AT370" s="156"/>
      <c r="AU370" s="156"/>
      <c r="AV370" s="156"/>
      <c r="AW370" s="156"/>
      <c r="AX370" s="156"/>
      <c r="AY370" s="156"/>
      <c r="AZ370" s="156"/>
      <c r="BA370" s="156"/>
      <c r="BB370" s="2828"/>
      <c r="BC370" s="504"/>
      <c r="BD370" s="2829"/>
      <c r="BE370" s="2837"/>
      <c r="BF370" s="156"/>
    </row>
    <row r="371" spans="1:58" hidden="1" outlineLevel="1" x14ac:dyDescent="0.35">
      <c r="A371" s="1071"/>
      <c r="B371" s="106"/>
      <c r="C371" s="103"/>
      <c r="D371" s="4022"/>
      <c r="E371" s="4111"/>
      <c r="F371" s="3919" t="str">
        <f t="shared" si="57"/>
        <v>CAC-SEER15_ROF_MF_CompE</v>
      </c>
      <c r="G371" s="3920"/>
      <c r="H371" s="3921"/>
      <c r="I371" s="2224" t="str">
        <f t="shared" si="58"/>
        <v>350751_2021_12_</v>
      </c>
      <c r="J371" s="2224">
        <v>13</v>
      </c>
      <c r="K371" s="569"/>
      <c r="L371" s="710"/>
      <c r="M371" s="103"/>
      <c r="N371" s="1287"/>
      <c r="O371" s="103"/>
      <c r="P371" s="106"/>
      <c r="Q371" s="106"/>
      <c r="R371" s="106"/>
      <c r="S371" s="106"/>
      <c r="T371" s="106"/>
      <c r="U371" s="106"/>
      <c r="V371" s="4022"/>
      <c r="W371" s="2224"/>
      <c r="X371" s="2224"/>
      <c r="Y371" s="2224">
        <v>13</v>
      </c>
      <c r="Z371" s="2224">
        <v>13</v>
      </c>
      <c r="AA371" s="2224">
        <v>13</v>
      </c>
      <c r="AB371" s="2874">
        <v>13</v>
      </c>
      <c r="AC371" s="2224">
        <v>13</v>
      </c>
      <c r="AD371" s="2224">
        <v>13</v>
      </c>
      <c r="AE371" s="2224"/>
      <c r="AF371" s="2224"/>
      <c r="AG371" s="2224"/>
      <c r="AH371" s="156"/>
      <c r="AI371" s="156"/>
      <c r="AJ371" s="156"/>
      <c r="AK371" s="156"/>
      <c r="AL371" s="156"/>
      <c r="AM371" s="156"/>
      <c r="AN371" s="156"/>
      <c r="AO371" s="156"/>
      <c r="AP371" s="156"/>
      <c r="AQ371" s="156"/>
      <c r="AR371" s="156"/>
      <c r="AS371" s="156"/>
      <c r="AT371" s="156"/>
      <c r="AU371" s="156"/>
      <c r="AV371" s="156"/>
      <c r="AW371" s="156"/>
      <c r="AX371" s="156"/>
      <c r="AY371" s="156"/>
      <c r="AZ371" s="156"/>
      <c r="BA371" s="156"/>
      <c r="BB371" s="2828"/>
      <c r="BC371" s="504"/>
      <c r="BD371" s="2829"/>
      <c r="BE371" s="2837"/>
      <c r="BF371" s="156"/>
    </row>
    <row r="372" spans="1:58" hidden="1" outlineLevel="1" x14ac:dyDescent="0.35">
      <c r="A372" s="1071"/>
      <c r="B372" s="106"/>
      <c r="C372" s="103"/>
      <c r="D372" s="4022"/>
      <c r="E372" s="4111"/>
      <c r="F372" s="3919" t="str">
        <f t="shared" si="57"/>
        <v>CAC-SEER16_ER1_SF</v>
      </c>
      <c r="G372" s="3920"/>
      <c r="H372" s="3921"/>
      <c r="I372" s="2224" t="str">
        <f t="shared" si="58"/>
        <v>350800_2021_12_</v>
      </c>
      <c r="J372" s="2224"/>
      <c r="K372" s="569"/>
      <c r="L372" s="710" t="str">
        <f>L370</f>
        <v>MO TRM</v>
      </c>
      <c r="M372" s="103"/>
      <c r="N372" s="1287"/>
      <c r="O372" s="103"/>
      <c r="P372" s="106"/>
      <c r="Q372" s="106"/>
      <c r="R372" s="106"/>
      <c r="S372" s="106"/>
      <c r="T372" s="106"/>
      <c r="U372" s="106"/>
      <c r="V372" s="4022"/>
      <c r="W372" s="2224">
        <v>10</v>
      </c>
      <c r="X372" s="2374"/>
      <c r="Y372" s="2374"/>
      <c r="Z372" s="2374"/>
      <c r="AA372" s="2224"/>
      <c r="AB372" s="2874"/>
      <c r="AC372" s="2224"/>
      <c r="AD372" s="2224"/>
      <c r="AE372" s="2224"/>
      <c r="AF372" s="2224"/>
      <c r="AG372" s="2224"/>
      <c r="AH372" s="156"/>
      <c r="AI372" s="156"/>
      <c r="AJ372" s="156"/>
      <c r="AK372" s="156"/>
      <c r="AL372" s="156"/>
      <c r="AM372" s="156"/>
      <c r="AN372" s="156"/>
      <c r="AO372" s="156"/>
      <c r="AP372" s="156"/>
      <c r="AQ372" s="156"/>
      <c r="AR372" s="156"/>
      <c r="AS372" s="156"/>
      <c r="AT372" s="156"/>
      <c r="AU372" s="156"/>
      <c r="AV372" s="156"/>
      <c r="AW372" s="156"/>
      <c r="AX372" s="156"/>
      <c r="AY372" s="156"/>
      <c r="AZ372" s="156"/>
      <c r="BA372" s="156"/>
      <c r="BB372" s="2828"/>
      <c r="BC372" s="504"/>
      <c r="BD372" s="2829"/>
      <c r="BE372" s="2837"/>
      <c r="BF372" s="156"/>
    </row>
    <row r="373" spans="1:58" hidden="1" outlineLevel="1" x14ac:dyDescent="0.35">
      <c r="A373" s="1071"/>
      <c r="B373" s="106"/>
      <c r="C373" s="103"/>
      <c r="D373" s="4022"/>
      <c r="E373" s="4111"/>
      <c r="F373" s="3919" t="str">
        <f t="shared" si="57"/>
        <v>CAC-SEER16_ER2_SF</v>
      </c>
      <c r="G373" s="3920"/>
      <c r="H373" s="3921"/>
      <c r="I373" s="2224" t="str">
        <f t="shared" si="58"/>
        <v>350800_2021_12_</v>
      </c>
      <c r="J373" s="2224">
        <v>13</v>
      </c>
      <c r="K373" s="569"/>
      <c r="L373" s="710" t="str">
        <f t="shared" si="60"/>
        <v>MO TRM</v>
      </c>
      <c r="M373" s="103"/>
      <c r="N373" s="1287"/>
      <c r="O373" s="103"/>
      <c r="P373" s="106"/>
      <c r="Q373" s="106"/>
      <c r="R373" s="106"/>
      <c r="S373" s="106"/>
      <c r="T373" s="106"/>
      <c r="U373" s="106"/>
      <c r="V373" s="4022"/>
      <c r="W373" s="2224">
        <v>13</v>
      </c>
      <c r="X373" s="2224">
        <v>13</v>
      </c>
      <c r="Y373" s="2224">
        <v>13</v>
      </c>
      <c r="Z373" s="2224">
        <v>13</v>
      </c>
      <c r="AA373" s="2224">
        <v>13</v>
      </c>
      <c r="AB373" s="2874">
        <v>13</v>
      </c>
      <c r="AC373" s="2224">
        <v>13</v>
      </c>
      <c r="AD373" s="2224">
        <v>13</v>
      </c>
      <c r="AE373" s="2224"/>
      <c r="AF373" s="2224"/>
      <c r="AG373" s="2224"/>
      <c r="AH373" s="156"/>
      <c r="AI373" s="156"/>
      <c r="AJ373" s="156"/>
      <c r="AK373" s="156"/>
      <c r="AL373" s="156"/>
      <c r="AM373" s="156"/>
      <c r="AN373" s="156"/>
      <c r="AO373" s="156"/>
      <c r="AP373" s="156"/>
      <c r="AQ373" s="156"/>
      <c r="AR373" s="156"/>
      <c r="AS373" s="156"/>
      <c r="AT373" s="156"/>
      <c r="AU373" s="156"/>
      <c r="AV373" s="156"/>
      <c r="AW373" s="156"/>
      <c r="AX373" s="156"/>
      <c r="AY373" s="156"/>
      <c r="AZ373" s="156"/>
      <c r="BA373" s="156"/>
      <c r="BB373" s="2828"/>
      <c r="BC373" s="504"/>
      <c r="BD373" s="2829"/>
      <c r="BE373" s="2837"/>
      <c r="BF373" s="156"/>
    </row>
    <row r="374" spans="1:58" hidden="1" outlineLevel="1" x14ac:dyDescent="0.35">
      <c r="A374" s="1071"/>
      <c r="B374" s="106"/>
      <c r="C374" s="103"/>
      <c r="D374" s="4022"/>
      <c r="E374" s="4111"/>
      <c r="F374" s="3919" t="str">
        <f t="shared" si="57"/>
        <v>CAC-SEER16_ROF_SF</v>
      </c>
      <c r="G374" s="3920"/>
      <c r="H374" s="3921"/>
      <c r="I374" s="2224" t="str">
        <f t="shared" si="58"/>
        <v>350850_2021_12_</v>
      </c>
      <c r="J374" s="2224">
        <v>13</v>
      </c>
      <c r="K374" s="569"/>
      <c r="L374" s="710" t="str">
        <f t="shared" si="60"/>
        <v>MO TRM</v>
      </c>
      <c r="M374" s="103"/>
      <c r="N374" s="1287"/>
      <c r="O374" s="103"/>
      <c r="P374" s="106"/>
      <c r="Q374" s="106"/>
      <c r="R374" s="106"/>
      <c r="S374" s="106"/>
      <c r="T374" s="106"/>
      <c r="U374" s="106"/>
      <c r="V374" s="4022"/>
      <c r="W374" s="2224">
        <v>13</v>
      </c>
      <c r="X374" s="2224">
        <v>13</v>
      </c>
      <c r="Y374" s="2224">
        <v>13</v>
      </c>
      <c r="Z374" s="2224">
        <v>13</v>
      </c>
      <c r="AA374" s="2224">
        <v>13</v>
      </c>
      <c r="AB374" s="2874">
        <v>13</v>
      </c>
      <c r="AC374" s="2224">
        <v>13</v>
      </c>
      <c r="AD374" s="2224">
        <v>13</v>
      </c>
      <c r="AE374" s="2224"/>
      <c r="AF374" s="2224"/>
      <c r="AG374" s="2224"/>
      <c r="AH374" s="156"/>
      <c r="AI374" s="156"/>
      <c r="AJ374" s="156"/>
      <c r="AK374" s="156"/>
      <c r="AL374" s="156"/>
      <c r="AM374" s="156"/>
      <c r="AN374" s="156"/>
      <c r="AO374" s="156"/>
      <c r="AP374" s="156"/>
      <c r="AQ374" s="156"/>
      <c r="AR374" s="156"/>
      <c r="AS374" s="156"/>
      <c r="AT374" s="156"/>
      <c r="AU374" s="156"/>
      <c r="AV374" s="156"/>
      <c r="AW374" s="156"/>
      <c r="AX374" s="156"/>
      <c r="AY374" s="156"/>
      <c r="AZ374" s="156"/>
      <c r="BA374" s="156"/>
      <c r="BB374" s="2828"/>
      <c r="BC374" s="504"/>
      <c r="BD374" s="2829"/>
      <c r="BE374" s="2837"/>
      <c r="BF374" s="156"/>
    </row>
    <row r="375" spans="1:58" hidden="1" outlineLevel="1" x14ac:dyDescent="0.35">
      <c r="A375" s="1071"/>
      <c r="B375" s="106"/>
      <c r="C375" s="103"/>
      <c r="D375" s="4022"/>
      <c r="E375" s="4111"/>
      <c r="F375" s="3919" t="str">
        <f t="shared" si="57"/>
        <v>CAC-SEER16_ER1_MF</v>
      </c>
      <c r="G375" s="3920"/>
      <c r="H375" s="3921"/>
      <c r="I375" s="2224" t="str">
        <f t="shared" si="58"/>
        <v>350900_2021_12_</v>
      </c>
      <c r="J375" s="2224"/>
      <c r="K375" s="569"/>
      <c r="L375" s="710" t="str">
        <f t="shared" si="60"/>
        <v>MO TRM</v>
      </c>
      <c r="M375" s="103"/>
      <c r="N375" s="1287"/>
      <c r="O375" s="103"/>
      <c r="P375" s="106"/>
      <c r="Q375" s="106"/>
      <c r="R375" s="106"/>
      <c r="S375" s="106"/>
      <c r="T375" s="106"/>
      <c r="U375" s="106"/>
      <c r="V375" s="4022"/>
      <c r="W375" s="2224">
        <v>10</v>
      </c>
      <c r="X375" s="2374"/>
      <c r="Y375" s="2374"/>
      <c r="Z375" s="2374"/>
      <c r="AA375" s="2224"/>
      <c r="AB375" s="2874"/>
      <c r="AC375" s="2224"/>
      <c r="AD375" s="2224"/>
      <c r="AE375" s="2224"/>
      <c r="AF375" s="2224"/>
      <c r="AG375" s="2224"/>
      <c r="AH375" s="156"/>
      <c r="AI375" s="156"/>
      <c r="AJ375" s="156"/>
      <c r="AK375" s="156"/>
      <c r="AL375" s="156"/>
      <c r="AM375" s="156"/>
      <c r="AN375" s="156"/>
      <c r="AO375" s="156"/>
      <c r="AP375" s="156"/>
      <c r="AQ375" s="156"/>
      <c r="AR375" s="156"/>
      <c r="AS375" s="156"/>
      <c r="AT375" s="156"/>
      <c r="AU375" s="156"/>
      <c r="AV375" s="156"/>
      <c r="AW375" s="156"/>
      <c r="AX375" s="156"/>
      <c r="AY375" s="156"/>
      <c r="AZ375" s="156"/>
      <c r="BA375" s="156"/>
      <c r="BB375" s="2828"/>
      <c r="BC375" s="504"/>
      <c r="BD375" s="2829"/>
      <c r="BE375" s="2837"/>
      <c r="BF375" s="156"/>
    </row>
    <row r="376" spans="1:58" hidden="1" outlineLevel="1" x14ac:dyDescent="0.35">
      <c r="A376" s="1071"/>
      <c r="B376" s="106"/>
      <c r="C376" s="103"/>
      <c r="D376" s="4022"/>
      <c r="E376" s="4111"/>
      <c r="F376" s="3919" t="str">
        <f t="shared" si="57"/>
        <v>CAC-SEER16_ER2_MF</v>
      </c>
      <c r="G376" s="3920"/>
      <c r="H376" s="3921"/>
      <c r="I376" s="2224" t="str">
        <f t="shared" si="58"/>
        <v>350900_2021_12_</v>
      </c>
      <c r="J376" s="2224">
        <v>13</v>
      </c>
      <c r="K376" s="569"/>
      <c r="L376" s="710" t="str">
        <f t="shared" si="60"/>
        <v>MO TRM</v>
      </c>
      <c r="M376" s="103"/>
      <c r="N376" s="1287"/>
      <c r="O376" s="103"/>
      <c r="P376" s="106"/>
      <c r="Q376" s="106"/>
      <c r="R376" s="106"/>
      <c r="S376" s="106"/>
      <c r="T376" s="106"/>
      <c r="U376" s="106"/>
      <c r="V376" s="4022"/>
      <c r="W376" s="2224">
        <v>13</v>
      </c>
      <c r="X376" s="2224">
        <v>13</v>
      </c>
      <c r="Y376" s="2224">
        <v>13</v>
      </c>
      <c r="Z376" s="2224">
        <v>13</v>
      </c>
      <c r="AA376" s="2224">
        <v>13</v>
      </c>
      <c r="AB376" s="2874">
        <v>13</v>
      </c>
      <c r="AC376" s="2224">
        <v>13</v>
      </c>
      <c r="AD376" s="2224">
        <v>13</v>
      </c>
      <c r="AE376" s="2224"/>
      <c r="AF376" s="2224"/>
      <c r="AG376" s="2224"/>
      <c r="AH376" s="156"/>
      <c r="AI376" s="156"/>
      <c r="AJ376" s="156"/>
      <c r="AK376" s="156"/>
      <c r="AL376" s="156"/>
      <c r="AM376" s="156"/>
      <c r="AN376" s="156"/>
      <c r="AO376" s="156"/>
      <c r="AP376" s="156"/>
      <c r="AQ376" s="156"/>
      <c r="AR376" s="156"/>
      <c r="AS376" s="156"/>
      <c r="AT376" s="156"/>
      <c r="AU376" s="156"/>
      <c r="AV376" s="156"/>
      <c r="AW376" s="156"/>
      <c r="AX376" s="156"/>
      <c r="AY376" s="156"/>
      <c r="AZ376" s="156"/>
      <c r="BA376" s="156"/>
      <c r="BB376" s="2828"/>
      <c r="BC376" s="504"/>
      <c r="BD376" s="2829"/>
      <c r="BE376" s="2837"/>
      <c r="BF376" s="156"/>
    </row>
    <row r="377" spans="1:58" hidden="1" outlineLevel="1" x14ac:dyDescent="0.35">
      <c r="A377" s="1071"/>
      <c r="B377" s="106"/>
      <c r="C377" s="103"/>
      <c r="D377" s="4022"/>
      <c r="E377" s="4111"/>
      <c r="F377" s="3919" t="str">
        <f t="shared" si="57"/>
        <v>CAC-SEER16_ER1_MF_CompE</v>
      </c>
      <c r="G377" s="3920"/>
      <c r="H377" s="3921"/>
      <c r="I377" s="2224" t="str">
        <f t="shared" si="58"/>
        <v>350901_2021_12_</v>
      </c>
      <c r="J377" s="2224"/>
      <c r="K377" s="569"/>
      <c r="L377" s="710"/>
      <c r="M377" s="103"/>
      <c r="N377" s="1287"/>
      <c r="O377" s="103"/>
      <c r="P377" s="106"/>
      <c r="Q377" s="106"/>
      <c r="R377" s="106"/>
      <c r="S377" s="106"/>
      <c r="T377" s="106"/>
      <c r="U377" s="106"/>
      <c r="V377" s="4022"/>
      <c r="W377" s="2224"/>
      <c r="X377" s="2224"/>
      <c r="Y377" s="2224"/>
      <c r="Z377" s="2224"/>
      <c r="AA377" s="2224"/>
      <c r="AB377" s="2874"/>
      <c r="AC377" s="2224"/>
      <c r="AD377" s="2224"/>
      <c r="AE377" s="2224"/>
      <c r="AF377" s="2224"/>
      <c r="AG377" s="2224"/>
      <c r="AH377" s="156"/>
      <c r="AI377" s="156"/>
      <c r="AJ377" s="156"/>
      <c r="AK377" s="156"/>
      <c r="AL377" s="156"/>
      <c r="AM377" s="156"/>
      <c r="AN377" s="156"/>
      <c r="AO377" s="156"/>
      <c r="AP377" s="156"/>
      <c r="AQ377" s="156"/>
      <c r="AR377" s="156"/>
      <c r="AS377" s="156"/>
      <c r="AT377" s="156"/>
      <c r="AU377" s="156"/>
      <c r="AV377" s="156"/>
      <c r="AW377" s="156"/>
      <c r="AX377" s="156"/>
      <c r="AY377" s="156"/>
      <c r="AZ377" s="156"/>
      <c r="BA377" s="156"/>
      <c r="BB377" s="2828"/>
      <c r="BC377" s="504"/>
      <c r="BD377" s="2829"/>
      <c r="BE377" s="2837"/>
      <c r="BF377" s="156"/>
    </row>
    <row r="378" spans="1:58" hidden="1" outlineLevel="1" x14ac:dyDescent="0.35">
      <c r="A378" s="1071"/>
      <c r="B378" s="106"/>
      <c r="C378" s="103"/>
      <c r="D378" s="4022"/>
      <c r="E378" s="4111"/>
      <c r="F378" s="3919" t="str">
        <f t="shared" si="57"/>
        <v>CAC-SEER16_ER2_MF_CompE</v>
      </c>
      <c r="G378" s="3920"/>
      <c r="H378" s="3921"/>
      <c r="I378" s="2224" t="str">
        <f t="shared" si="58"/>
        <v>350901_2021_12_</v>
      </c>
      <c r="J378" s="2224">
        <v>13</v>
      </c>
      <c r="K378" s="569"/>
      <c r="L378" s="710"/>
      <c r="M378" s="103"/>
      <c r="N378" s="1287"/>
      <c r="O378" s="103"/>
      <c r="P378" s="106"/>
      <c r="Q378" s="106"/>
      <c r="R378" s="106"/>
      <c r="S378" s="106"/>
      <c r="T378" s="106"/>
      <c r="U378" s="106"/>
      <c r="V378" s="4022"/>
      <c r="W378" s="2224"/>
      <c r="X378" s="2224"/>
      <c r="Y378" s="2224">
        <v>13</v>
      </c>
      <c r="Z378" s="2224">
        <v>13</v>
      </c>
      <c r="AA378" s="2224">
        <v>13</v>
      </c>
      <c r="AB378" s="2874">
        <v>13</v>
      </c>
      <c r="AC378" s="2224">
        <v>13</v>
      </c>
      <c r="AD378" s="2224">
        <v>13</v>
      </c>
      <c r="AE378" s="2224"/>
      <c r="AF378" s="2224"/>
      <c r="AG378" s="2224"/>
      <c r="AH378" s="156"/>
      <c r="AI378" s="156"/>
      <c r="AJ378" s="156"/>
      <c r="AK378" s="156"/>
      <c r="AL378" s="156"/>
      <c r="AM378" s="156"/>
      <c r="AN378" s="156"/>
      <c r="AO378" s="156"/>
      <c r="AP378" s="156"/>
      <c r="AQ378" s="156"/>
      <c r="AR378" s="156"/>
      <c r="AS378" s="156"/>
      <c r="AT378" s="156"/>
      <c r="AU378" s="156"/>
      <c r="AV378" s="156"/>
      <c r="AW378" s="156"/>
      <c r="AX378" s="156"/>
      <c r="AY378" s="156"/>
      <c r="AZ378" s="156"/>
      <c r="BA378" s="156"/>
      <c r="BB378" s="2828"/>
      <c r="BC378" s="504"/>
      <c r="BD378" s="2829"/>
      <c r="BE378" s="2837"/>
      <c r="BF378" s="156"/>
    </row>
    <row r="379" spans="1:58" hidden="1" outlineLevel="1" x14ac:dyDescent="0.35">
      <c r="A379" s="1071"/>
      <c r="B379" s="106"/>
      <c r="C379" s="103"/>
      <c r="D379" s="4022"/>
      <c r="E379" s="4111"/>
      <c r="F379" s="3919" t="str">
        <f t="shared" si="57"/>
        <v>CAC-SEER16_ROF_MF</v>
      </c>
      <c r="G379" s="3920"/>
      <c r="H379" s="3921"/>
      <c r="I379" s="2224" t="str">
        <f t="shared" si="58"/>
        <v>350950_2021_12_</v>
      </c>
      <c r="J379" s="2224">
        <v>13</v>
      </c>
      <c r="K379" s="569"/>
      <c r="L379" s="710" t="str">
        <f>L376</f>
        <v>MO TRM</v>
      </c>
      <c r="M379" s="103"/>
      <c r="N379" s="1287"/>
      <c r="O379" s="103"/>
      <c r="P379" s="106"/>
      <c r="Q379" s="106"/>
      <c r="R379" s="106"/>
      <c r="S379" s="106"/>
      <c r="T379" s="106"/>
      <c r="U379" s="106"/>
      <c r="V379" s="4022"/>
      <c r="W379" s="2224">
        <v>13</v>
      </c>
      <c r="X379" s="2224">
        <v>13</v>
      </c>
      <c r="Y379" s="2224">
        <v>13</v>
      </c>
      <c r="Z379" s="2224">
        <v>13</v>
      </c>
      <c r="AA379" s="2224">
        <v>13</v>
      </c>
      <c r="AB379" s="2874">
        <v>13</v>
      </c>
      <c r="AC379" s="2224">
        <v>13</v>
      </c>
      <c r="AD379" s="2224">
        <v>13</v>
      </c>
      <c r="AE379" s="2224"/>
      <c r="AF379" s="2224"/>
      <c r="AG379" s="2224"/>
      <c r="AH379" s="156"/>
      <c r="AI379" s="156"/>
      <c r="AJ379" s="156"/>
      <c r="AK379" s="156"/>
      <c r="AL379" s="156"/>
      <c r="AM379" s="156"/>
      <c r="AN379" s="156"/>
      <c r="AO379" s="156"/>
      <c r="AP379" s="156"/>
      <c r="AQ379" s="156"/>
      <c r="AR379" s="156"/>
      <c r="AS379" s="156"/>
      <c r="AT379" s="156"/>
      <c r="AU379" s="156"/>
      <c r="AV379" s="156"/>
      <c r="AW379" s="156"/>
      <c r="AX379" s="156"/>
      <c r="AY379" s="156"/>
      <c r="AZ379" s="156"/>
      <c r="BA379" s="156"/>
      <c r="BB379" s="2828"/>
      <c r="BC379" s="504"/>
      <c r="BD379" s="2829"/>
      <c r="BE379" s="2837"/>
      <c r="BF379" s="156"/>
    </row>
    <row r="380" spans="1:58" hidden="1" outlineLevel="1" x14ac:dyDescent="0.35">
      <c r="A380" s="1071"/>
      <c r="B380" s="106"/>
      <c r="C380" s="103"/>
      <c r="D380" s="4022"/>
      <c r="E380" s="4111"/>
      <c r="F380" s="3919" t="str">
        <f t="shared" si="57"/>
        <v>CAC-SEER16_ROF_MF_CompE</v>
      </c>
      <c r="G380" s="3920"/>
      <c r="H380" s="3921"/>
      <c r="I380" s="2224" t="str">
        <f t="shared" si="58"/>
        <v>350951_2021_12_</v>
      </c>
      <c r="J380" s="2224">
        <v>13</v>
      </c>
      <c r="K380" s="569"/>
      <c r="L380" s="710"/>
      <c r="M380" s="103"/>
      <c r="N380" s="1287"/>
      <c r="O380" s="103"/>
      <c r="P380" s="106"/>
      <c r="Q380" s="106"/>
      <c r="R380" s="106"/>
      <c r="S380" s="106"/>
      <c r="T380" s="106"/>
      <c r="U380" s="106"/>
      <c r="V380" s="4022"/>
      <c r="W380" s="2224"/>
      <c r="X380" s="2224"/>
      <c r="Y380" s="2224">
        <v>13</v>
      </c>
      <c r="Z380" s="2224">
        <v>13</v>
      </c>
      <c r="AA380" s="2224">
        <v>13</v>
      </c>
      <c r="AB380" s="2874">
        <v>13</v>
      </c>
      <c r="AC380" s="2224">
        <v>13</v>
      </c>
      <c r="AD380" s="2224">
        <v>13</v>
      </c>
      <c r="AE380" s="2224"/>
      <c r="AF380" s="2224"/>
      <c r="AG380" s="2224"/>
      <c r="AH380" s="156"/>
      <c r="AI380" s="156"/>
      <c r="AJ380" s="156"/>
      <c r="AK380" s="156"/>
      <c r="AL380" s="156"/>
      <c r="AM380" s="156"/>
      <c r="AN380" s="156"/>
      <c r="AO380" s="156"/>
      <c r="AP380" s="156"/>
      <c r="AQ380" s="156"/>
      <c r="AR380" s="156"/>
      <c r="AS380" s="156"/>
      <c r="AT380" s="156"/>
      <c r="AU380" s="156"/>
      <c r="AV380" s="156"/>
      <c r="AW380" s="156"/>
      <c r="AX380" s="156"/>
      <c r="AY380" s="156"/>
      <c r="AZ380" s="156"/>
      <c r="BA380" s="156"/>
      <c r="BB380" s="2828"/>
      <c r="BC380" s="504"/>
      <c r="BD380" s="2829"/>
      <c r="BE380" s="2837"/>
      <c r="BF380" s="156"/>
    </row>
    <row r="381" spans="1:58" hidden="1" outlineLevel="1" x14ac:dyDescent="0.35">
      <c r="A381" s="1071"/>
      <c r="B381" s="106"/>
      <c r="C381" s="103"/>
      <c r="D381" s="4022"/>
      <c r="E381" s="4111"/>
      <c r="F381" s="3919" t="str">
        <f t="shared" si="57"/>
        <v>CAC-SEER17_ER1_SF</v>
      </c>
      <c r="G381" s="3920"/>
      <c r="H381" s="3921"/>
      <c r="I381" s="2224" t="str">
        <f t="shared" si="58"/>
        <v>351000_2021_12_</v>
      </c>
      <c r="J381" s="2224"/>
      <c r="K381" s="569"/>
      <c r="L381" s="710" t="str">
        <f>L379</f>
        <v>MO TRM</v>
      </c>
      <c r="M381" s="103"/>
      <c r="N381" s="1287"/>
      <c r="O381" s="103"/>
      <c r="P381" s="106"/>
      <c r="Q381" s="106"/>
      <c r="R381" s="106"/>
      <c r="S381" s="106"/>
      <c r="T381" s="106"/>
      <c r="U381" s="106"/>
      <c r="V381" s="4022"/>
      <c r="W381" s="2224">
        <v>10</v>
      </c>
      <c r="X381" s="2374"/>
      <c r="Y381" s="2374"/>
      <c r="Z381" s="2374"/>
      <c r="AA381" s="2224"/>
      <c r="AB381" s="2874"/>
      <c r="AC381" s="2224"/>
      <c r="AD381" s="2224"/>
      <c r="AE381" s="2224"/>
      <c r="AF381" s="2224"/>
      <c r="AG381" s="2224"/>
      <c r="AH381" s="156"/>
      <c r="AI381" s="156"/>
      <c r="AJ381" s="156"/>
      <c r="AK381" s="156"/>
      <c r="AL381" s="156"/>
      <c r="AM381" s="156"/>
      <c r="AN381" s="156"/>
      <c r="AO381" s="156"/>
      <c r="AP381" s="156"/>
      <c r="AQ381" s="156"/>
      <c r="AR381" s="156"/>
      <c r="AS381" s="156"/>
      <c r="AT381" s="156"/>
      <c r="AU381" s="156"/>
      <c r="AV381" s="156"/>
      <c r="AW381" s="156"/>
      <c r="AX381" s="156"/>
      <c r="AY381" s="156"/>
      <c r="AZ381" s="156"/>
      <c r="BA381" s="156"/>
      <c r="BB381" s="2828"/>
      <c r="BC381" s="504"/>
      <c r="BD381" s="2829"/>
      <c r="BE381" s="2837"/>
      <c r="BF381" s="156"/>
    </row>
    <row r="382" spans="1:58" ht="14.5" hidden="1" customHeight="1" outlineLevel="1" x14ac:dyDescent="0.35">
      <c r="A382" s="1071"/>
      <c r="B382" s="106"/>
      <c r="C382" s="103"/>
      <c r="D382" s="4022"/>
      <c r="E382" s="4111"/>
      <c r="F382" s="3919" t="str">
        <f t="shared" si="57"/>
        <v>CAC-SEER17_ER2_SF</v>
      </c>
      <c r="G382" s="3920"/>
      <c r="H382" s="3921"/>
      <c r="I382" s="2224" t="str">
        <f t="shared" si="58"/>
        <v>351000_2021_12_</v>
      </c>
      <c r="J382" s="2224">
        <v>13</v>
      </c>
      <c r="K382" s="569"/>
      <c r="L382" s="710" t="str">
        <f t="shared" si="60"/>
        <v>MO TRM</v>
      </c>
      <c r="M382" s="103"/>
      <c r="N382" s="1287"/>
      <c r="O382" s="103"/>
      <c r="P382" s="106"/>
      <c r="Q382" s="106"/>
      <c r="R382" s="106"/>
      <c r="S382" s="106"/>
      <c r="T382" s="106"/>
      <c r="U382" s="106"/>
      <c r="V382" s="4022"/>
      <c r="W382" s="2224">
        <v>13</v>
      </c>
      <c r="X382" s="2224">
        <v>13</v>
      </c>
      <c r="Y382" s="2224">
        <v>13</v>
      </c>
      <c r="Z382" s="2224">
        <v>13</v>
      </c>
      <c r="AA382" s="2224">
        <v>13</v>
      </c>
      <c r="AB382" s="2874">
        <v>13</v>
      </c>
      <c r="AC382" s="2224">
        <v>13</v>
      </c>
      <c r="AD382" s="2224">
        <v>13</v>
      </c>
      <c r="AE382" s="2224"/>
      <c r="AF382" s="2224"/>
      <c r="AG382" s="2224"/>
      <c r="AH382" s="156"/>
      <c r="AI382" s="156"/>
      <c r="AJ382" s="156"/>
      <c r="AK382" s="156"/>
      <c r="AL382" s="156"/>
      <c r="AM382" s="156"/>
      <c r="AN382" s="156"/>
      <c r="AO382" s="156"/>
      <c r="AP382" s="156"/>
      <c r="AQ382" s="156"/>
      <c r="AR382" s="156"/>
      <c r="AS382" s="156"/>
      <c r="AT382" s="156"/>
      <c r="AU382" s="156"/>
      <c r="AV382" s="156"/>
      <c r="AW382" s="156"/>
      <c r="AX382" s="156"/>
      <c r="AY382" s="156"/>
      <c r="AZ382" s="156"/>
      <c r="BA382" s="156"/>
      <c r="BB382" s="2828"/>
      <c r="BC382" s="504"/>
      <c r="BD382" s="2829"/>
      <c r="BE382" s="2837"/>
      <c r="BF382" s="156"/>
    </row>
    <row r="383" spans="1:58" ht="14.5" hidden="1" customHeight="1" outlineLevel="1" x14ac:dyDescent="0.35">
      <c r="A383" s="1071"/>
      <c r="B383" s="106"/>
      <c r="C383" s="103"/>
      <c r="D383" s="4022"/>
      <c r="E383" s="4111"/>
      <c r="F383" s="3919" t="str">
        <f t="shared" si="57"/>
        <v>CAC-SEER17_ROF_SF</v>
      </c>
      <c r="G383" s="3920"/>
      <c r="H383" s="3921"/>
      <c r="I383" s="2224" t="str">
        <f t="shared" si="58"/>
        <v>351050_2021_12_</v>
      </c>
      <c r="J383" s="2224">
        <v>13</v>
      </c>
      <c r="K383" s="569"/>
      <c r="L383" s="710" t="str">
        <f t="shared" si="60"/>
        <v>MO TRM</v>
      </c>
      <c r="M383" s="103"/>
      <c r="N383" s="1287"/>
      <c r="O383" s="103"/>
      <c r="P383" s="106"/>
      <c r="Q383" s="106"/>
      <c r="R383" s="106"/>
      <c r="S383" s="106"/>
      <c r="T383" s="106"/>
      <c r="U383" s="106"/>
      <c r="V383" s="4022"/>
      <c r="W383" s="2224">
        <v>13</v>
      </c>
      <c r="X383" s="2224">
        <v>13</v>
      </c>
      <c r="Y383" s="2224">
        <v>13</v>
      </c>
      <c r="Z383" s="2224">
        <v>13</v>
      </c>
      <c r="AA383" s="2224">
        <v>13</v>
      </c>
      <c r="AB383" s="2874">
        <v>13</v>
      </c>
      <c r="AC383" s="2224">
        <v>13</v>
      </c>
      <c r="AD383" s="2224">
        <v>13</v>
      </c>
      <c r="AE383" s="2224"/>
      <c r="AF383" s="2224"/>
      <c r="AG383" s="2224"/>
      <c r="AH383" s="156"/>
      <c r="AI383" s="156"/>
      <c r="AJ383" s="156"/>
      <c r="AK383" s="156"/>
      <c r="AL383" s="156"/>
      <c r="AM383" s="156"/>
      <c r="AN383" s="156"/>
      <c r="AO383" s="156"/>
      <c r="AP383" s="156"/>
      <c r="AQ383" s="156"/>
      <c r="AR383" s="156"/>
      <c r="AS383" s="156"/>
      <c r="AT383" s="156"/>
      <c r="AU383" s="156"/>
      <c r="AV383" s="156"/>
      <c r="AW383" s="156"/>
      <c r="AX383" s="156"/>
      <c r="AY383" s="156"/>
      <c r="AZ383" s="156"/>
      <c r="BA383" s="156"/>
      <c r="BB383" s="2828"/>
      <c r="BC383" s="504"/>
      <c r="BD383" s="2829"/>
      <c r="BE383" s="2837"/>
      <c r="BF383" s="156"/>
    </row>
    <row r="384" spans="1:58" ht="14.5" hidden="1" customHeight="1" outlineLevel="1" x14ac:dyDescent="0.35">
      <c r="A384" s="1071"/>
      <c r="B384" s="106"/>
      <c r="C384" s="103"/>
      <c r="D384" s="4022"/>
      <c r="E384" s="4111"/>
      <c r="F384" s="3919" t="str">
        <f t="shared" si="57"/>
        <v>CAC-SEER17_ER1_MF</v>
      </c>
      <c r="G384" s="3920"/>
      <c r="H384" s="3921"/>
      <c r="I384" s="2224" t="str">
        <f t="shared" si="58"/>
        <v>351100_2021_12_</v>
      </c>
      <c r="J384" s="2224"/>
      <c r="K384" s="569"/>
      <c r="L384" s="710" t="str">
        <f t="shared" si="60"/>
        <v>MO TRM</v>
      </c>
      <c r="M384" s="103"/>
      <c r="N384" s="1287"/>
      <c r="O384" s="103"/>
      <c r="P384" s="106"/>
      <c r="Q384" s="106"/>
      <c r="R384" s="106"/>
      <c r="S384" s="106"/>
      <c r="T384" s="106"/>
      <c r="U384" s="106"/>
      <c r="V384" s="4022"/>
      <c r="W384" s="2224">
        <v>10</v>
      </c>
      <c r="X384" s="2374"/>
      <c r="Y384" s="2374"/>
      <c r="Z384" s="2374"/>
      <c r="AA384" s="2224"/>
      <c r="AB384" s="2874"/>
      <c r="AC384" s="2224"/>
      <c r="AD384" s="2224"/>
      <c r="AE384" s="2224"/>
      <c r="AF384" s="2224"/>
      <c r="AG384" s="2224"/>
      <c r="AH384" s="156"/>
      <c r="AI384" s="156"/>
      <c r="AJ384" s="156"/>
      <c r="AK384" s="156"/>
      <c r="AL384" s="156"/>
      <c r="AM384" s="156"/>
      <c r="AN384" s="156"/>
      <c r="AO384" s="156"/>
      <c r="AP384" s="156"/>
      <c r="AQ384" s="156"/>
      <c r="AR384" s="156"/>
      <c r="AS384" s="156"/>
      <c r="AT384" s="156"/>
      <c r="AU384" s="156"/>
      <c r="AV384" s="156"/>
      <c r="AW384" s="156"/>
      <c r="AX384" s="156"/>
      <c r="AY384" s="156"/>
      <c r="AZ384" s="156"/>
      <c r="BA384" s="156"/>
      <c r="BB384" s="2828"/>
      <c r="BC384" s="504"/>
      <c r="BD384" s="2829"/>
      <c r="BE384" s="2837"/>
      <c r="BF384" s="156"/>
    </row>
    <row r="385" spans="1:58" ht="14.5" hidden="1" customHeight="1" outlineLevel="1" x14ac:dyDescent="0.35">
      <c r="A385" s="1071"/>
      <c r="B385" s="106"/>
      <c r="C385" s="103"/>
      <c r="D385" s="4022"/>
      <c r="E385" s="4111"/>
      <c r="F385" s="3919" t="str">
        <f t="shared" si="57"/>
        <v>CAC-SEER17_ER2_MF</v>
      </c>
      <c r="G385" s="3920"/>
      <c r="H385" s="3921"/>
      <c r="I385" s="2224" t="str">
        <f t="shared" si="58"/>
        <v>351100_2021_12_</v>
      </c>
      <c r="J385" s="2224">
        <v>13</v>
      </c>
      <c r="K385" s="569"/>
      <c r="L385" s="710" t="str">
        <f t="shared" si="60"/>
        <v>MO TRM</v>
      </c>
      <c r="M385" s="103"/>
      <c r="N385" s="1287"/>
      <c r="O385" s="103"/>
      <c r="P385" s="106"/>
      <c r="Q385" s="106"/>
      <c r="R385" s="106"/>
      <c r="S385" s="106"/>
      <c r="T385" s="106"/>
      <c r="U385" s="106"/>
      <c r="V385" s="4022"/>
      <c r="W385" s="2224">
        <v>13</v>
      </c>
      <c r="X385" s="2224">
        <v>13</v>
      </c>
      <c r="Y385" s="2224">
        <v>13</v>
      </c>
      <c r="Z385" s="2224">
        <v>13</v>
      </c>
      <c r="AA385" s="2224">
        <v>13</v>
      </c>
      <c r="AB385" s="2874">
        <v>13</v>
      </c>
      <c r="AC385" s="2224">
        <v>13</v>
      </c>
      <c r="AD385" s="2224">
        <v>13</v>
      </c>
      <c r="AE385" s="2224"/>
      <c r="AF385" s="2224"/>
      <c r="AG385" s="2224"/>
      <c r="AH385" s="156"/>
      <c r="AI385" s="156"/>
      <c r="AJ385" s="156"/>
      <c r="AK385" s="156"/>
      <c r="AL385" s="156"/>
      <c r="AM385" s="156"/>
      <c r="AN385" s="156"/>
      <c r="AO385" s="156"/>
      <c r="AP385" s="156"/>
      <c r="AQ385" s="156"/>
      <c r="AR385" s="156"/>
      <c r="AS385" s="156"/>
      <c r="AT385" s="156"/>
      <c r="AU385" s="156"/>
      <c r="AV385" s="156"/>
      <c r="AW385" s="156"/>
      <c r="AX385" s="156"/>
      <c r="AY385" s="156"/>
      <c r="AZ385" s="156"/>
      <c r="BA385" s="156"/>
      <c r="BB385" s="2828"/>
      <c r="BC385" s="504"/>
      <c r="BD385" s="2829"/>
      <c r="BE385" s="2837"/>
      <c r="BF385" s="156"/>
    </row>
    <row r="386" spans="1:58" ht="14.5" hidden="1" customHeight="1" outlineLevel="1" x14ac:dyDescent="0.35">
      <c r="A386" s="1071"/>
      <c r="B386" s="106"/>
      <c r="C386" s="103"/>
      <c r="D386" s="4022"/>
      <c r="E386" s="4111"/>
      <c r="F386" s="3919" t="str">
        <f t="shared" si="57"/>
        <v>CAC-SEER17_ER1_MF_CompE</v>
      </c>
      <c r="G386" s="3920"/>
      <c r="H386" s="3921"/>
      <c r="I386" s="576" t="str">
        <f t="shared" si="58"/>
        <v>351101_2021_12_</v>
      </c>
      <c r="J386" s="576"/>
      <c r="K386" s="2049"/>
      <c r="L386" s="710"/>
      <c r="M386" s="103"/>
      <c r="N386" s="1287"/>
      <c r="O386" s="103"/>
      <c r="P386" s="106"/>
      <c r="Q386" s="106"/>
      <c r="R386" s="106"/>
      <c r="S386" s="106"/>
      <c r="T386" s="106"/>
      <c r="U386" s="106"/>
      <c r="V386" s="4022"/>
      <c r="W386" s="576"/>
      <c r="X386" s="576"/>
      <c r="Y386" s="576"/>
      <c r="Z386" s="576"/>
      <c r="AA386" s="576"/>
      <c r="AB386" s="2879"/>
      <c r="AC386" s="576"/>
      <c r="AD386" s="576"/>
      <c r="AE386" s="576"/>
      <c r="AF386" s="576"/>
      <c r="AG386" s="576"/>
      <c r="AH386" s="156"/>
      <c r="AI386" s="156"/>
      <c r="AJ386" s="156"/>
      <c r="AK386" s="156"/>
      <c r="AL386" s="156"/>
      <c r="AM386" s="156"/>
      <c r="AN386" s="156"/>
      <c r="AO386" s="156"/>
      <c r="AP386" s="156"/>
      <c r="AQ386" s="156"/>
      <c r="AR386" s="156"/>
      <c r="AS386" s="156"/>
      <c r="AT386" s="156"/>
      <c r="AU386" s="156"/>
      <c r="AV386" s="156"/>
      <c r="AW386" s="156"/>
      <c r="AX386" s="156"/>
      <c r="AY386" s="156"/>
      <c r="AZ386" s="156"/>
      <c r="BA386" s="156"/>
      <c r="BB386" s="2828"/>
      <c r="BC386" s="504"/>
      <c r="BD386" s="2829"/>
      <c r="BE386" s="2837"/>
      <c r="BF386" s="156"/>
    </row>
    <row r="387" spans="1:58" ht="14.5" hidden="1" customHeight="1" outlineLevel="1" x14ac:dyDescent="0.35">
      <c r="A387" s="1071"/>
      <c r="B387" s="106"/>
      <c r="C387" s="103"/>
      <c r="D387" s="4022"/>
      <c r="E387" s="4111"/>
      <c r="F387" s="3919" t="str">
        <f t="shared" si="57"/>
        <v>CAC-SEER17_ER2_MF_CompE</v>
      </c>
      <c r="G387" s="3920"/>
      <c r="H387" s="3921"/>
      <c r="I387" s="576" t="str">
        <f t="shared" si="58"/>
        <v>351101_2021_12_</v>
      </c>
      <c r="J387" s="2224">
        <v>13</v>
      </c>
      <c r="K387" s="2049"/>
      <c r="L387" s="710"/>
      <c r="M387" s="103"/>
      <c r="N387" s="1287"/>
      <c r="O387" s="103"/>
      <c r="P387" s="106"/>
      <c r="Q387" s="106"/>
      <c r="R387" s="106"/>
      <c r="S387" s="106"/>
      <c r="T387" s="106"/>
      <c r="U387" s="106"/>
      <c r="V387" s="4022"/>
      <c r="W387" s="576"/>
      <c r="X387" s="576"/>
      <c r="Y387" s="576">
        <v>13</v>
      </c>
      <c r="Z387" s="576">
        <v>13</v>
      </c>
      <c r="AA387" s="576">
        <v>13</v>
      </c>
      <c r="AB387" s="2874">
        <v>13</v>
      </c>
      <c r="AC387" s="2224">
        <v>13</v>
      </c>
      <c r="AD387" s="2224">
        <v>13</v>
      </c>
      <c r="AE387" s="576"/>
      <c r="AF387" s="576"/>
      <c r="AG387" s="576"/>
      <c r="AH387" s="156"/>
      <c r="AI387" s="156"/>
      <c r="AJ387" s="156"/>
      <c r="AK387" s="156"/>
      <c r="AL387" s="156"/>
      <c r="AM387" s="156"/>
      <c r="AN387" s="156"/>
      <c r="AO387" s="156"/>
      <c r="AP387" s="156"/>
      <c r="AQ387" s="156"/>
      <c r="AR387" s="156"/>
      <c r="AS387" s="156"/>
      <c r="AT387" s="156"/>
      <c r="AU387" s="156"/>
      <c r="AV387" s="156"/>
      <c r="AW387" s="156"/>
      <c r="AX387" s="156"/>
      <c r="AY387" s="156"/>
      <c r="AZ387" s="156"/>
      <c r="BA387" s="156"/>
      <c r="BB387" s="2828"/>
      <c r="BC387" s="504"/>
      <c r="BD387" s="2829"/>
      <c r="BE387" s="2837"/>
      <c r="BF387" s="156"/>
    </row>
    <row r="388" spans="1:58" ht="15" hidden="1" customHeight="1" outlineLevel="1" x14ac:dyDescent="0.35">
      <c r="A388" s="1071"/>
      <c r="B388" s="106"/>
      <c r="C388" s="103"/>
      <c r="D388" s="4022"/>
      <c r="E388" s="4111"/>
      <c r="F388" s="3919" t="str">
        <f t="shared" si="57"/>
        <v>CAC-SEER17_ROF_MF</v>
      </c>
      <c r="G388" s="3920"/>
      <c r="H388" s="3921"/>
      <c r="I388" s="2224" t="str">
        <f t="shared" si="58"/>
        <v>351150_2021_12_</v>
      </c>
      <c r="J388" s="2224">
        <v>13</v>
      </c>
      <c r="K388" s="2049"/>
      <c r="L388" s="710" t="str">
        <f>L385</f>
        <v>MO TRM</v>
      </c>
      <c r="M388" s="103"/>
      <c r="N388" s="1287"/>
      <c r="O388" s="103"/>
      <c r="P388" s="106"/>
      <c r="Q388" s="106"/>
      <c r="R388" s="106"/>
      <c r="S388" s="106"/>
      <c r="T388" s="106"/>
      <c r="U388" s="106"/>
      <c r="V388" s="4022"/>
      <c r="W388" s="2224">
        <v>13</v>
      </c>
      <c r="X388" s="2224">
        <v>13</v>
      </c>
      <c r="Y388" s="2224">
        <v>13</v>
      </c>
      <c r="Z388" s="2224">
        <v>13</v>
      </c>
      <c r="AA388" s="2224">
        <v>13</v>
      </c>
      <c r="AB388" s="2874">
        <v>13</v>
      </c>
      <c r="AC388" s="2224">
        <v>13</v>
      </c>
      <c r="AD388" s="2224">
        <v>13</v>
      </c>
      <c r="AE388" s="2224"/>
      <c r="AF388" s="2224"/>
      <c r="AG388" s="2224"/>
      <c r="AH388" s="156"/>
      <c r="AI388" s="156"/>
      <c r="AJ388" s="156"/>
      <c r="AK388" s="156"/>
      <c r="AL388" s="156"/>
      <c r="AM388" s="156"/>
      <c r="AN388" s="156"/>
      <c r="AO388" s="156"/>
      <c r="AP388" s="156"/>
      <c r="AQ388" s="156"/>
      <c r="AR388" s="156"/>
      <c r="AS388" s="156"/>
      <c r="AT388" s="156"/>
      <c r="AU388" s="156"/>
      <c r="AV388" s="156"/>
      <c r="AW388" s="156"/>
      <c r="AX388" s="156"/>
      <c r="AY388" s="156"/>
      <c r="AZ388" s="156"/>
      <c r="BA388" s="156"/>
      <c r="BB388" s="2828"/>
      <c r="BC388" s="504"/>
      <c r="BD388" s="2829"/>
      <c r="BE388" s="2837"/>
      <c r="BF388" s="156"/>
    </row>
    <row r="389" spans="1:58" ht="15" hidden="1" customHeight="1" outlineLevel="1" x14ac:dyDescent="0.35">
      <c r="A389" s="1071"/>
      <c r="B389" s="106"/>
      <c r="C389" s="103"/>
      <c r="D389" s="4023"/>
      <c r="E389" s="3839"/>
      <c r="F389" s="3919" t="str">
        <f t="shared" si="57"/>
        <v>CAC-SEER17_ROF_MF_CompE</v>
      </c>
      <c r="G389" s="3920"/>
      <c r="H389" s="3921"/>
      <c r="I389" s="579" t="str">
        <f t="shared" si="58"/>
        <v>351151_2021_12_</v>
      </c>
      <c r="J389" s="579">
        <v>13</v>
      </c>
      <c r="K389" s="2050"/>
      <c r="L389" s="2051"/>
      <c r="M389" s="103"/>
      <c r="N389" s="1287"/>
      <c r="O389" s="103"/>
      <c r="P389" s="106"/>
      <c r="Q389" s="106"/>
      <c r="R389" s="106"/>
      <c r="S389" s="106"/>
      <c r="T389" s="106"/>
      <c r="U389" s="106"/>
      <c r="V389" s="4023"/>
      <c r="W389" s="579"/>
      <c r="X389" s="579"/>
      <c r="Y389" s="579">
        <v>13</v>
      </c>
      <c r="Z389" s="579">
        <v>13</v>
      </c>
      <c r="AA389" s="579">
        <v>13</v>
      </c>
      <c r="AB389" s="2876">
        <v>13</v>
      </c>
      <c r="AC389" s="579">
        <v>13</v>
      </c>
      <c r="AD389" s="579">
        <v>13</v>
      </c>
      <c r="AE389" s="579"/>
      <c r="AF389" s="579"/>
      <c r="AG389" s="579"/>
      <c r="AH389" s="156"/>
      <c r="AI389" s="156"/>
      <c r="AJ389" s="156"/>
      <c r="AK389" s="156"/>
      <c r="AL389" s="156"/>
      <c r="AM389" s="156"/>
      <c r="AN389" s="156"/>
      <c r="AO389" s="156"/>
      <c r="AP389" s="156"/>
      <c r="AQ389" s="156"/>
      <c r="AR389" s="156"/>
      <c r="AS389" s="156"/>
      <c r="AT389" s="156"/>
      <c r="AU389" s="156"/>
      <c r="AV389" s="156"/>
      <c r="AW389" s="156"/>
      <c r="AX389" s="156"/>
      <c r="AY389" s="156"/>
      <c r="AZ389" s="156"/>
      <c r="BA389" s="156"/>
      <c r="BB389" s="2828"/>
      <c r="BC389" s="504"/>
      <c r="BD389" s="2829"/>
      <c r="BE389" s="2837"/>
      <c r="BF389" s="156"/>
    </row>
    <row r="390" spans="1:58" ht="14.5" hidden="1" customHeight="1" outlineLevel="1" x14ac:dyDescent="0.35">
      <c r="A390" s="1071"/>
      <c r="B390" s="106"/>
      <c r="C390" s="103"/>
      <c r="D390" s="4140"/>
      <c r="E390" s="4138"/>
      <c r="F390" s="3919" t="str">
        <f t="shared" si="57"/>
        <v>CAC-SEER18_ER1_SF</v>
      </c>
      <c r="G390" s="3920"/>
      <c r="H390" s="3921"/>
      <c r="I390" s="2224" t="str">
        <f t="shared" si="58"/>
        <v>351160_2021_12_</v>
      </c>
      <c r="J390" s="2224"/>
      <c r="K390" s="569"/>
      <c r="L390" s="710" t="s">
        <v>977</v>
      </c>
      <c r="M390" s="1292"/>
      <c r="N390" s="1287"/>
      <c r="O390" s="106"/>
      <c r="P390" s="106"/>
      <c r="Q390" s="106"/>
      <c r="R390" s="106"/>
      <c r="S390" s="106"/>
      <c r="T390" s="106"/>
      <c r="U390" s="106"/>
      <c r="V390" s="4023"/>
      <c r="W390" s="579"/>
      <c r="X390" s="2377"/>
      <c r="Y390" s="2377"/>
      <c r="Z390" s="2377"/>
      <c r="AA390" s="579"/>
      <c r="AB390" s="2874"/>
      <c r="AC390" s="2224"/>
      <c r="AD390" s="2224"/>
      <c r="AE390" s="579"/>
      <c r="AF390" s="579"/>
      <c r="AG390" s="579"/>
      <c r="AH390" s="156"/>
      <c r="AI390" s="156"/>
      <c r="AJ390" s="156"/>
      <c r="AK390" s="156"/>
      <c r="AL390" s="156"/>
      <c r="AM390" s="156"/>
      <c r="AN390" s="156"/>
      <c r="AO390" s="156"/>
      <c r="AP390" s="156"/>
      <c r="AQ390" s="156"/>
      <c r="AR390" s="156"/>
      <c r="AS390" s="156"/>
      <c r="AT390" s="156"/>
      <c r="AU390" s="156"/>
      <c r="AV390" s="156"/>
      <c r="AW390" s="156"/>
      <c r="AX390" s="156"/>
      <c r="AY390" s="156"/>
      <c r="AZ390" s="156"/>
      <c r="BA390" s="156"/>
      <c r="BB390" s="2828"/>
      <c r="BC390" s="504"/>
      <c r="BD390" s="2829"/>
      <c r="BE390" s="2837"/>
      <c r="BF390" s="156"/>
    </row>
    <row r="391" spans="1:58" ht="14.5" hidden="1" customHeight="1" outlineLevel="1" x14ac:dyDescent="0.35">
      <c r="A391" s="1071"/>
      <c r="B391" s="106"/>
      <c r="C391" s="103"/>
      <c r="D391" s="4140"/>
      <c r="E391" s="4138"/>
      <c r="F391" s="3919" t="str">
        <f t="shared" si="57"/>
        <v>CAC-SEER18_ER2_SF</v>
      </c>
      <c r="G391" s="3920"/>
      <c r="H391" s="3921"/>
      <c r="I391" s="2224" t="str">
        <f t="shared" si="58"/>
        <v>351160_2021_12_</v>
      </c>
      <c r="J391" s="2224">
        <v>13</v>
      </c>
      <c r="K391" s="569"/>
      <c r="L391" s="710" t="str">
        <f>L390</f>
        <v>MO TRM</v>
      </c>
      <c r="M391" s="1292"/>
      <c r="N391" s="1287"/>
      <c r="O391" s="106"/>
      <c r="P391" s="106"/>
      <c r="Q391" s="106"/>
      <c r="R391" s="106"/>
      <c r="S391" s="106"/>
      <c r="T391" s="106"/>
      <c r="U391" s="106"/>
      <c r="V391" s="4023"/>
      <c r="W391" s="2224"/>
      <c r="X391" s="2224"/>
      <c r="Y391" s="2224"/>
      <c r="Z391" s="2374">
        <v>13</v>
      </c>
      <c r="AA391" s="2224">
        <v>13</v>
      </c>
      <c r="AB391" s="2874">
        <v>13</v>
      </c>
      <c r="AC391" s="2224">
        <v>13</v>
      </c>
      <c r="AD391" s="2224">
        <v>13</v>
      </c>
      <c r="AE391" s="2224"/>
      <c r="AF391" s="2224"/>
      <c r="AG391" s="2224"/>
      <c r="AH391" s="156"/>
      <c r="AI391" s="156"/>
      <c r="AJ391" s="156"/>
      <c r="AK391" s="156"/>
      <c r="AL391" s="156"/>
      <c r="AM391" s="156"/>
      <c r="AN391" s="156"/>
      <c r="AO391" s="156"/>
      <c r="AP391" s="156"/>
      <c r="AQ391" s="156"/>
      <c r="AR391" s="156"/>
      <c r="AS391" s="156"/>
      <c r="AT391" s="156"/>
      <c r="AU391" s="156"/>
      <c r="AV391" s="156"/>
      <c r="AW391" s="156"/>
      <c r="AX391" s="156"/>
      <c r="AY391" s="156"/>
      <c r="AZ391" s="156"/>
      <c r="BA391" s="156"/>
      <c r="BB391" s="2828"/>
      <c r="BC391" s="504"/>
      <c r="BD391" s="2829"/>
      <c r="BE391" s="2837"/>
      <c r="BF391" s="156"/>
    </row>
    <row r="392" spans="1:58" ht="14.5" hidden="1" customHeight="1" outlineLevel="1" x14ac:dyDescent="0.35">
      <c r="A392" s="1071"/>
      <c r="B392" s="106"/>
      <c r="C392" s="103"/>
      <c r="D392" s="4140"/>
      <c r="E392" s="4138"/>
      <c r="F392" s="3919" t="str">
        <f t="shared" si="57"/>
        <v>CAC-SEER18_ROF_SF</v>
      </c>
      <c r="G392" s="3920"/>
      <c r="H392" s="3921"/>
      <c r="I392" s="2224" t="str">
        <f t="shared" si="58"/>
        <v>351161_2021_12_</v>
      </c>
      <c r="J392" s="2224">
        <v>13</v>
      </c>
      <c r="K392" s="569"/>
      <c r="L392" s="710" t="str">
        <f t="shared" ref="L392:L421" si="61">L391</f>
        <v>MO TRM</v>
      </c>
      <c r="M392" s="103"/>
      <c r="N392" s="1287"/>
      <c r="O392" s="103"/>
      <c r="P392" s="106"/>
      <c r="Q392" s="106"/>
      <c r="R392" s="106"/>
      <c r="S392" s="106"/>
      <c r="T392" s="106"/>
      <c r="U392" s="106"/>
      <c r="V392" s="4023"/>
      <c r="W392" s="2224"/>
      <c r="X392" s="2224"/>
      <c r="Y392" s="2224"/>
      <c r="Z392" s="2374">
        <v>13</v>
      </c>
      <c r="AA392" s="2224">
        <v>13</v>
      </c>
      <c r="AB392" s="2874">
        <v>13</v>
      </c>
      <c r="AC392" s="2224">
        <v>13</v>
      </c>
      <c r="AD392" s="2224">
        <v>13</v>
      </c>
      <c r="AE392" s="2224"/>
      <c r="AF392" s="2224"/>
      <c r="AG392" s="2224"/>
      <c r="AH392" s="156"/>
      <c r="AI392" s="156"/>
      <c r="AJ392" s="156"/>
      <c r="AK392" s="156"/>
      <c r="AL392" s="156"/>
      <c r="AM392" s="156"/>
      <c r="AN392" s="156"/>
      <c r="AO392" s="156"/>
      <c r="AP392" s="156"/>
      <c r="AQ392" s="156"/>
      <c r="AR392" s="156"/>
      <c r="AS392" s="156"/>
      <c r="AT392" s="156"/>
      <c r="AU392" s="156"/>
      <c r="AV392" s="156"/>
      <c r="AW392" s="156"/>
      <c r="AX392" s="156"/>
      <c r="AY392" s="156"/>
      <c r="AZ392" s="156"/>
      <c r="BA392" s="156"/>
      <c r="BB392" s="2828"/>
      <c r="BC392" s="504"/>
      <c r="BD392" s="2829"/>
      <c r="BE392" s="2837"/>
      <c r="BF392" s="156"/>
    </row>
    <row r="393" spans="1:58" hidden="1" outlineLevel="1" x14ac:dyDescent="0.35">
      <c r="A393" s="1071"/>
      <c r="B393" s="106"/>
      <c r="C393" s="103"/>
      <c r="D393" s="4140"/>
      <c r="E393" s="4138"/>
      <c r="F393" s="3919" t="str">
        <f t="shared" si="57"/>
        <v>CAC-SEER18_ER1_MF</v>
      </c>
      <c r="G393" s="3920"/>
      <c r="H393" s="3921"/>
      <c r="I393" s="2224" t="str">
        <f t="shared" si="58"/>
        <v>351162_2021_12_</v>
      </c>
      <c r="J393" s="2224"/>
      <c r="K393" s="569"/>
      <c r="L393" s="710" t="str">
        <f t="shared" si="61"/>
        <v>MO TRM</v>
      </c>
      <c r="M393" s="103"/>
      <c r="N393" s="1287"/>
      <c r="O393" s="103"/>
      <c r="P393" s="106"/>
      <c r="Q393" s="106"/>
      <c r="R393" s="106"/>
      <c r="S393" s="106"/>
      <c r="T393" s="106"/>
      <c r="U393" s="106"/>
      <c r="V393" s="4023"/>
      <c r="W393" s="2224"/>
      <c r="X393" s="2374"/>
      <c r="Y393" s="2374"/>
      <c r="Z393" s="2374"/>
      <c r="AA393" s="2224"/>
      <c r="AB393" s="2874"/>
      <c r="AC393" s="2224"/>
      <c r="AD393" s="2224"/>
      <c r="AE393" s="2224"/>
      <c r="AF393" s="2224"/>
      <c r="AG393" s="2224"/>
      <c r="AH393" s="156"/>
      <c r="AI393" s="156"/>
      <c r="AJ393" s="156"/>
      <c r="AK393" s="156"/>
      <c r="AL393" s="156"/>
      <c r="AM393" s="156"/>
      <c r="AN393" s="156"/>
      <c r="AO393" s="156"/>
      <c r="AP393" s="156"/>
      <c r="AQ393" s="156"/>
      <c r="AR393" s="156"/>
      <c r="AS393" s="156"/>
      <c r="AT393" s="156"/>
      <c r="AU393" s="156"/>
      <c r="AV393" s="156"/>
      <c r="AW393" s="156"/>
      <c r="AX393" s="156"/>
      <c r="AY393" s="156"/>
      <c r="AZ393" s="156"/>
      <c r="BA393" s="156"/>
      <c r="BB393" s="2828"/>
      <c r="BC393" s="504"/>
      <c r="BD393" s="2829"/>
      <c r="BE393" s="2837"/>
      <c r="BF393" s="156"/>
    </row>
    <row r="394" spans="1:58" hidden="1" outlineLevel="1" x14ac:dyDescent="0.35">
      <c r="A394" s="1071"/>
      <c r="B394" s="106"/>
      <c r="C394" s="103"/>
      <c r="D394" s="4140"/>
      <c r="E394" s="4138"/>
      <c r="F394" s="3919" t="str">
        <f t="shared" si="57"/>
        <v>CAC-SEER18_ER2_MF</v>
      </c>
      <c r="G394" s="3920"/>
      <c r="H394" s="3921"/>
      <c r="I394" s="2224" t="str">
        <f t="shared" si="58"/>
        <v>351162_2021_12_</v>
      </c>
      <c r="J394" s="2224">
        <v>13</v>
      </c>
      <c r="K394" s="569"/>
      <c r="L394" s="710" t="str">
        <f t="shared" si="61"/>
        <v>MO TRM</v>
      </c>
      <c r="M394" s="103"/>
      <c r="N394" s="1287"/>
      <c r="O394" s="103"/>
      <c r="P394" s="106"/>
      <c r="Q394" s="106"/>
      <c r="R394" s="106"/>
      <c r="S394" s="106"/>
      <c r="T394" s="106"/>
      <c r="U394" s="106"/>
      <c r="V394" s="4023"/>
      <c r="W394" s="2224"/>
      <c r="X394" s="2224"/>
      <c r="Y394" s="2224"/>
      <c r="Z394" s="2374">
        <v>13</v>
      </c>
      <c r="AA394" s="2224">
        <v>13</v>
      </c>
      <c r="AB394" s="2874">
        <v>13</v>
      </c>
      <c r="AC394" s="2224">
        <v>13</v>
      </c>
      <c r="AD394" s="2224">
        <v>13</v>
      </c>
      <c r="AE394" s="2224"/>
      <c r="AF394" s="2224"/>
      <c r="AG394" s="2224"/>
      <c r="AH394" s="156"/>
      <c r="AI394" s="156"/>
      <c r="AJ394" s="156"/>
      <c r="AK394" s="156"/>
      <c r="AL394" s="156"/>
      <c r="AM394" s="156"/>
      <c r="AN394" s="156"/>
      <c r="AO394" s="156"/>
      <c r="AP394" s="156"/>
      <c r="AQ394" s="156"/>
      <c r="AR394" s="156"/>
      <c r="AS394" s="156"/>
      <c r="AT394" s="156"/>
      <c r="AU394" s="156"/>
      <c r="AV394" s="156"/>
      <c r="AW394" s="156"/>
      <c r="AX394" s="156"/>
      <c r="AY394" s="156"/>
      <c r="AZ394" s="156"/>
      <c r="BA394" s="156"/>
      <c r="BB394" s="2828"/>
      <c r="BC394" s="504"/>
      <c r="BD394" s="2829"/>
      <c r="BE394" s="2837"/>
      <c r="BF394" s="156"/>
    </row>
    <row r="395" spans="1:58" hidden="1" outlineLevel="1" x14ac:dyDescent="0.35">
      <c r="A395" s="1071"/>
      <c r="B395" s="106"/>
      <c r="C395" s="103"/>
      <c r="D395" s="4140"/>
      <c r="E395" s="4138"/>
      <c r="F395" s="3919" t="str">
        <f t="shared" si="57"/>
        <v>CAC-SEER18_ER1_MF_CompE</v>
      </c>
      <c r="G395" s="3920"/>
      <c r="H395" s="3921"/>
      <c r="I395" s="2224" t="str">
        <f t="shared" si="58"/>
        <v>351163_2021_12_</v>
      </c>
      <c r="J395" s="2224"/>
      <c r="K395" s="569"/>
      <c r="L395" s="710"/>
      <c r="M395" s="103"/>
      <c r="N395" s="1287"/>
      <c r="O395" s="103"/>
      <c r="P395" s="106"/>
      <c r="Q395" s="106"/>
      <c r="R395" s="106"/>
      <c r="S395" s="106"/>
      <c r="T395" s="106"/>
      <c r="U395" s="106"/>
      <c r="V395" s="4023"/>
      <c r="W395" s="2224"/>
      <c r="X395" s="2224"/>
      <c r="Y395" s="2224"/>
      <c r="Z395" s="2374"/>
      <c r="AA395" s="2224"/>
      <c r="AB395" s="2874"/>
      <c r="AC395" s="2224"/>
      <c r="AD395" s="2224"/>
      <c r="AE395" s="2224"/>
      <c r="AF395" s="2224"/>
      <c r="AG395" s="2224"/>
      <c r="AH395" s="156"/>
      <c r="AI395" s="156"/>
      <c r="AJ395" s="156"/>
      <c r="AK395" s="156"/>
      <c r="AL395" s="156"/>
      <c r="AM395" s="156"/>
      <c r="AN395" s="156"/>
      <c r="AO395" s="156"/>
      <c r="AP395" s="156"/>
      <c r="AQ395" s="156"/>
      <c r="AR395" s="156"/>
      <c r="AS395" s="156"/>
      <c r="AT395" s="156"/>
      <c r="AU395" s="156"/>
      <c r="AV395" s="156"/>
      <c r="AW395" s="156"/>
      <c r="AX395" s="156"/>
      <c r="AY395" s="156"/>
      <c r="AZ395" s="156"/>
      <c r="BA395" s="156"/>
      <c r="BB395" s="2828"/>
      <c r="BC395" s="504"/>
      <c r="BD395" s="2829"/>
      <c r="BE395" s="2837"/>
      <c r="BF395" s="156"/>
    </row>
    <row r="396" spans="1:58" hidden="1" outlineLevel="1" x14ac:dyDescent="0.35">
      <c r="A396" s="1071"/>
      <c r="B396" s="106"/>
      <c r="C396" s="103"/>
      <c r="D396" s="4140"/>
      <c r="E396" s="4138"/>
      <c r="F396" s="3919" t="str">
        <f t="shared" si="57"/>
        <v>CAC-SEER18_ER2_MF_CompE</v>
      </c>
      <c r="G396" s="3920"/>
      <c r="H396" s="3921"/>
      <c r="I396" s="2224" t="str">
        <f t="shared" si="58"/>
        <v>351163_2021_12_</v>
      </c>
      <c r="J396" s="2224">
        <v>13</v>
      </c>
      <c r="K396" s="569"/>
      <c r="L396" s="710"/>
      <c r="M396" s="103"/>
      <c r="N396" s="1287"/>
      <c r="O396" s="103"/>
      <c r="P396" s="106"/>
      <c r="Q396" s="106"/>
      <c r="R396" s="106"/>
      <c r="S396" s="106"/>
      <c r="T396" s="106"/>
      <c r="U396" s="106"/>
      <c r="V396" s="4023"/>
      <c r="W396" s="2224"/>
      <c r="X396" s="2224"/>
      <c r="Y396" s="2224"/>
      <c r="Z396" s="2374">
        <v>13</v>
      </c>
      <c r="AA396" s="2224">
        <v>13</v>
      </c>
      <c r="AB396" s="2874">
        <v>13</v>
      </c>
      <c r="AC396" s="2224">
        <v>13</v>
      </c>
      <c r="AD396" s="2224">
        <v>13</v>
      </c>
      <c r="AE396" s="2224"/>
      <c r="AF396" s="2224"/>
      <c r="AG396" s="2224"/>
      <c r="AH396" s="156"/>
      <c r="AI396" s="156"/>
      <c r="AJ396" s="156"/>
      <c r="AK396" s="156"/>
      <c r="AL396" s="156"/>
      <c r="AM396" s="156"/>
      <c r="AN396" s="156"/>
      <c r="AO396" s="156"/>
      <c r="AP396" s="156"/>
      <c r="AQ396" s="156"/>
      <c r="AR396" s="156"/>
      <c r="AS396" s="156"/>
      <c r="AT396" s="156"/>
      <c r="AU396" s="156"/>
      <c r="AV396" s="156"/>
      <c r="AW396" s="156"/>
      <c r="AX396" s="156"/>
      <c r="AY396" s="156"/>
      <c r="AZ396" s="156"/>
      <c r="BA396" s="156"/>
      <c r="BB396" s="2828"/>
      <c r="BC396" s="504"/>
      <c r="BD396" s="2829"/>
      <c r="BE396" s="2837"/>
      <c r="BF396" s="156"/>
    </row>
    <row r="397" spans="1:58" hidden="1" outlineLevel="1" x14ac:dyDescent="0.35">
      <c r="A397" s="1071"/>
      <c r="B397" s="106"/>
      <c r="C397" s="103"/>
      <c r="D397" s="4140"/>
      <c r="E397" s="4138"/>
      <c r="F397" s="3919" t="str">
        <f t="shared" si="57"/>
        <v>CAC-SEER18_ROF_MF</v>
      </c>
      <c r="G397" s="3920"/>
      <c r="H397" s="3921"/>
      <c r="I397" s="2224" t="str">
        <f t="shared" si="58"/>
        <v>351164_2021_12_</v>
      </c>
      <c r="J397" s="2224">
        <v>13</v>
      </c>
      <c r="K397" s="569"/>
      <c r="L397" s="710" t="str">
        <f>L394</f>
        <v>MO TRM</v>
      </c>
      <c r="M397" s="103"/>
      <c r="N397" s="1287"/>
      <c r="O397" s="103"/>
      <c r="P397" s="106"/>
      <c r="Q397" s="106"/>
      <c r="R397" s="106"/>
      <c r="S397" s="106"/>
      <c r="T397" s="106"/>
      <c r="U397" s="106"/>
      <c r="V397" s="4023"/>
      <c r="W397" s="2224"/>
      <c r="X397" s="2224"/>
      <c r="Y397" s="2224"/>
      <c r="Z397" s="2374">
        <v>13</v>
      </c>
      <c r="AA397" s="2224">
        <v>13</v>
      </c>
      <c r="AB397" s="2874">
        <v>13</v>
      </c>
      <c r="AC397" s="2224">
        <v>13</v>
      </c>
      <c r="AD397" s="2224">
        <v>13</v>
      </c>
      <c r="AE397" s="2224"/>
      <c r="AF397" s="2224"/>
      <c r="AG397" s="2224"/>
      <c r="AH397" s="156"/>
      <c r="AI397" s="156"/>
      <c r="AJ397" s="156"/>
      <c r="AK397" s="156"/>
      <c r="AL397" s="156"/>
      <c r="AM397" s="156"/>
      <c r="AN397" s="156"/>
      <c r="AO397" s="156"/>
      <c r="AP397" s="156"/>
      <c r="AQ397" s="156"/>
      <c r="AR397" s="156"/>
      <c r="AS397" s="156"/>
      <c r="AT397" s="156"/>
      <c r="AU397" s="156"/>
      <c r="AV397" s="156"/>
      <c r="AW397" s="156"/>
      <c r="AX397" s="156"/>
      <c r="AY397" s="156"/>
      <c r="AZ397" s="156"/>
      <c r="BA397" s="156"/>
      <c r="BB397" s="2828"/>
      <c r="BC397" s="504"/>
      <c r="BD397" s="2829"/>
      <c r="BE397" s="2837"/>
      <c r="BF397" s="156"/>
    </row>
    <row r="398" spans="1:58" hidden="1" outlineLevel="1" x14ac:dyDescent="0.35">
      <c r="A398" s="1071"/>
      <c r="B398" s="106"/>
      <c r="C398" s="103"/>
      <c r="D398" s="4140"/>
      <c r="E398" s="4138"/>
      <c r="F398" s="3919" t="str">
        <f t="shared" si="57"/>
        <v>CAC-SEER18_ROF_MF_CompE</v>
      </c>
      <c r="G398" s="3920"/>
      <c r="H398" s="3921"/>
      <c r="I398" s="2224" t="str">
        <f t="shared" si="58"/>
        <v>351165_2021_12_</v>
      </c>
      <c r="J398" s="2224">
        <v>13</v>
      </c>
      <c r="K398" s="569"/>
      <c r="L398" s="710"/>
      <c r="M398" s="103"/>
      <c r="N398" s="1287"/>
      <c r="O398" s="103"/>
      <c r="P398" s="106"/>
      <c r="Q398" s="106"/>
      <c r="R398" s="106"/>
      <c r="S398" s="106"/>
      <c r="T398" s="106"/>
      <c r="U398" s="106"/>
      <c r="V398" s="4023"/>
      <c r="W398" s="2224"/>
      <c r="X398" s="2224"/>
      <c r="Y398" s="2224"/>
      <c r="Z398" s="2374">
        <v>13</v>
      </c>
      <c r="AA398" s="2224">
        <v>13</v>
      </c>
      <c r="AB398" s="2874">
        <v>13</v>
      </c>
      <c r="AC398" s="2224">
        <v>13</v>
      </c>
      <c r="AD398" s="2224">
        <v>13</v>
      </c>
      <c r="AE398" s="2224"/>
      <c r="AF398" s="2224"/>
      <c r="AG398" s="2224"/>
      <c r="AH398" s="156"/>
      <c r="AI398" s="156"/>
      <c r="AJ398" s="156"/>
      <c r="AK398" s="156"/>
      <c r="AL398" s="156"/>
      <c r="AM398" s="156"/>
      <c r="AN398" s="156"/>
      <c r="AO398" s="156"/>
      <c r="AP398" s="156"/>
      <c r="AQ398" s="156"/>
      <c r="AR398" s="156"/>
      <c r="AS398" s="156"/>
      <c r="AT398" s="156"/>
      <c r="AU398" s="156"/>
      <c r="AV398" s="156"/>
      <c r="AW398" s="156"/>
      <c r="AX398" s="156"/>
      <c r="AY398" s="156"/>
      <c r="AZ398" s="156"/>
      <c r="BA398" s="156"/>
      <c r="BB398" s="2828"/>
      <c r="BC398" s="504"/>
      <c r="BD398" s="2829"/>
      <c r="BE398" s="2837"/>
      <c r="BF398" s="156"/>
    </row>
    <row r="399" spans="1:58" hidden="1" outlineLevel="1" x14ac:dyDescent="0.35">
      <c r="A399" s="1071"/>
      <c r="B399" s="106"/>
      <c r="C399" s="103"/>
      <c r="D399" s="4140"/>
      <c r="E399" s="4138"/>
      <c r="F399" s="3919" t="str">
        <f t="shared" si="57"/>
        <v>CAC-SEER19_ER1_SF</v>
      </c>
      <c r="G399" s="3920"/>
      <c r="H399" s="3921"/>
      <c r="I399" s="2224" t="str">
        <f t="shared" si="58"/>
        <v>351170_2021_12_</v>
      </c>
      <c r="J399" s="2224"/>
      <c r="K399" s="569"/>
      <c r="L399" s="710" t="str">
        <f>L397</f>
        <v>MO TRM</v>
      </c>
      <c r="M399" s="103"/>
      <c r="N399" s="1287"/>
      <c r="O399" s="103"/>
      <c r="P399" s="106"/>
      <c r="Q399" s="106"/>
      <c r="R399" s="106"/>
      <c r="S399" s="106"/>
      <c r="T399" s="106"/>
      <c r="U399" s="106"/>
      <c r="V399" s="4023"/>
      <c r="W399" s="2224"/>
      <c r="X399" s="2374"/>
      <c r="Y399" s="2374"/>
      <c r="Z399" s="2374"/>
      <c r="AA399" s="2224"/>
      <c r="AB399" s="2874"/>
      <c r="AC399" s="2224"/>
      <c r="AD399" s="2224"/>
      <c r="AE399" s="2224"/>
      <c r="AF399" s="2224"/>
      <c r="AG399" s="2224"/>
      <c r="AH399" s="156"/>
      <c r="AI399" s="156"/>
      <c r="AJ399" s="156"/>
      <c r="AK399" s="156"/>
      <c r="AL399" s="156"/>
      <c r="AM399" s="156"/>
      <c r="AN399" s="156"/>
      <c r="AO399" s="156"/>
      <c r="AP399" s="156"/>
      <c r="AQ399" s="156"/>
      <c r="AR399" s="156"/>
      <c r="AS399" s="156"/>
      <c r="AT399" s="156"/>
      <c r="AU399" s="156"/>
      <c r="AV399" s="156"/>
      <c r="AW399" s="156"/>
      <c r="AX399" s="156"/>
      <c r="AY399" s="156"/>
      <c r="AZ399" s="156"/>
      <c r="BA399" s="156"/>
      <c r="BB399" s="2828"/>
      <c r="BC399" s="504"/>
      <c r="BD399" s="2829"/>
      <c r="BE399" s="2837"/>
      <c r="BF399" s="156"/>
    </row>
    <row r="400" spans="1:58" hidden="1" outlineLevel="1" x14ac:dyDescent="0.35">
      <c r="A400" s="1071"/>
      <c r="B400" s="106"/>
      <c r="C400" s="103"/>
      <c r="D400" s="4140"/>
      <c r="E400" s="4138"/>
      <c r="F400" s="3919" t="str">
        <f t="shared" si="57"/>
        <v>CAC-SEER19_ER2_SF</v>
      </c>
      <c r="G400" s="3920"/>
      <c r="H400" s="3921"/>
      <c r="I400" s="2224" t="str">
        <f t="shared" si="58"/>
        <v>351170_2021_12_</v>
      </c>
      <c r="J400" s="2224">
        <v>13</v>
      </c>
      <c r="K400" s="569"/>
      <c r="L400" s="710" t="str">
        <f t="shared" si="61"/>
        <v>MO TRM</v>
      </c>
      <c r="M400" s="103"/>
      <c r="N400" s="1287"/>
      <c r="O400" s="103"/>
      <c r="P400" s="106"/>
      <c r="Q400" s="106"/>
      <c r="R400" s="106"/>
      <c r="S400" s="106"/>
      <c r="T400" s="106"/>
      <c r="U400" s="106"/>
      <c r="V400" s="4023"/>
      <c r="W400" s="2224"/>
      <c r="X400" s="2224"/>
      <c r="Y400" s="2224"/>
      <c r="Z400" s="2374">
        <v>13</v>
      </c>
      <c r="AA400" s="2224">
        <v>13</v>
      </c>
      <c r="AB400" s="2874">
        <v>13</v>
      </c>
      <c r="AC400" s="2224">
        <v>13</v>
      </c>
      <c r="AD400" s="2224">
        <v>13</v>
      </c>
      <c r="AE400" s="2224"/>
      <c r="AF400" s="2224"/>
      <c r="AG400" s="2224"/>
      <c r="AH400" s="156"/>
      <c r="AI400" s="156"/>
      <c r="AJ400" s="156"/>
      <c r="AK400" s="156"/>
      <c r="AL400" s="156"/>
      <c r="AM400" s="156"/>
      <c r="AN400" s="156"/>
      <c r="AO400" s="156"/>
      <c r="AP400" s="156"/>
      <c r="AQ400" s="156"/>
      <c r="AR400" s="156"/>
      <c r="AS400" s="156"/>
      <c r="AT400" s="156"/>
      <c r="AU400" s="156"/>
      <c r="AV400" s="156"/>
      <c r="AW400" s="156"/>
      <c r="AX400" s="156"/>
      <c r="AY400" s="156"/>
      <c r="AZ400" s="156"/>
      <c r="BA400" s="156"/>
      <c r="BB400" s="2828"/>
      <c r="BC400" s="504"/>
      <c r="BD400" s="2829"/>
      <c r="BE400" s="2837"/>
      <c r="BF400" s="156"/>
    </row>
    <row r="401" spans="1:58" hidden="1" outlineLevel="1" x14ac:dyDescent="0.35">
      <c r="A401" s="1071"/>
      <c r="B401" s="106"/>
      <c r="C401" s="103"/>
      <c r="D401" s="4140"/>
      <c r="E401" s="4138"/>
      <c r="F401" s="3919" t="str">
        <f t="shared" si="57"/>
        <v>CAC-SEER19_ROF_SF</v>
      </c>
      <c r="G401" s="3920"/>
      <c r="H401" s="3921"/>
      <c r="I401" s="2224" t="str">
        <f t="shared" si="58"/>
        <v>351171_2021_12_</v>
      </c>
      <c r="J401" s="2224">
        <v>13</v>
      </c>
      <c r="K401" s="569"/>
      <c r="L401" s="710" t="str">
        <f t="shared" si="61"/>
        <v>MO TRM</v>
      </c>
      <c r="M401" s="103"/>
      <c r="N401" s="1287"/>
      <c r="O401" s="103"/>
      <c r="P401" s="106"/>
      <c r="Q401" s="106"/>
      <c r="R401" s="106"/>
      <c r="S401" s="106"/>
      <c r="T401" s="106"/>
      <c r="U401" s="106"/>
      <c r="V401" s="4023"/>
      <c r="W401" s="2224"/>
      <c r="X401" s="2224"/>
      <c r="Y401" s="2224"/>
      <c r="Z401" s="2374">
        <v>13</v>
      </c>
      <c r="AA401" s="2224">
        <v>13</v>
      </c>
      <c r="AB401" s="2874">
        <v>13</v>
      </c>
      <c r="AC401" s="2224">
        <v>13</v>
      </c>
      <c r="AD401" s="2224">
        <v>13</v>
      </c>
      <c r="AE401" s="2224"/>
      <c r="AF401" s="2224"/>
      <c r="AG401" s="2224"/>
      <c r="AH401" s="156"/>
      <c r="AI401" s="156"/>
      <c r="AJ401" s="156"/>
      <c r="AK401" s="156"/>
      <c r="AL401" s="156"/>
      <c r="AM401" s="156"/>
      <c r="AN401" s="156"/>
      <c r="AO401" s="156"/>
      <c r="AP401" s="156"/>
      <c r="AQ401" s="156"/>
      <c r="AR401" s="156"/>
      <c r="AS401" s="156"/>
      <c r="AT401" s="156"/>
      <c r="AU401" s="156"/>
      <c r="AV401" s="156"/>
      <c r="AW401" s="156"/>
      <c r="AX401" s="156"/>
      <c r="AY401" s="156"/>
      <c r="AZ401" s="156"/>
      <c r="BA401" s="156"/>
      <c r="BB401" s="2828"/>
      <c r="BC401" s="504"/>
      <c r="BD401" s="2829"/>
      <c r="BE401" s="2837"/>
      <c r="BF401" s="156"/>
    </row>
    <row r="402" spans="1:58" hidden="1" outlineLevel="1" x14ac:dyDescent="0.35">
      <c r="A402" s="1071"/>
      <c r="B402" s="106"/>
      <c r="C402" s="103"/>
      <c r="D402" s="4140"/>
      <c r="E402" s="4138"/>
      <c r="F402" s="3919" t="str">
        <f t="shared" si="57"/>
        <v>CAC-SEER19_ER1_MF</v>
      </c>
      <c r="G402" s="3920"/>
      <c r="H402" s="3921"/>
      <c r="I402" s="2224" t="str">
        <f t="shared" si="58"/>
        <v>351172_2021_12_</v>
      </c>
      <c r="J402" s="2224"/>
      <c r="K402" s="569"/>
      <c r="L402" s="710" t="str">
        <f t="shared" si="61"/>
        <v>MO TRM</v>
      </c>
      <c r="M402" s="103"/>
      <c r="N402" s="1287"/>
      <c r="O402" s="103"/>
      <c r="P402" s="106"/>
      <c r="Q402" s="106"/>
      <c r="R402" s="106"/>
      <c r="S402" s="106"/>
      <c r="T402" s="106"/>
      <c r="U402" s="106"/>
      <c r="V402" s="4023"/>
      <c r="W402" s="2224"/>
      <c r="X402" s="2374"/>
      <c r="Y402" s="2374"/>
      <c r="Z402" s="2374"/>
      <c r="AA402" s="2224"/>
      <c r="AB402" s="2874"/>
      <c r="AC402" s="2224"/>
      <c r="AD402" s="2224"/>
      <c r="AE402" s="2224"/>
      <c r="AF402" s="2224"/>
      <c r="AG402" s="2224"/>
      <c r="AH402" s="156"/>
      <c r="AI402" s="156"/>
      <c r="AJ402" s="156"/>
      <c r="AK402" s="156"/>
      <c r="AL402" s="156"/>
      <c r="AM402" s="156"/>
      <c r="AN402" s="156"/>
      <c r="AO402" s="156"/>
      <c r="AP402" s="156"/>
      <c r="AQ402" s="156"/>
      <c r="AR402" s="156"/>
      <c r="AS402" s="156"/>
      <c r="AT402" s="156"/>
      <c r="AU402" s="156"/>
      <c r="AV402" s="156"/>
      <c r="AW402" s="156"/>
      <c r="AX402" s="156"/>
      <c r="AY402" s="156"/>
      <c r="AZ402" s="156"/>
      <c r="BA402" s="156"/>
      <c r="BB402" s="2828"/>
      <c r="BC402" s="504"/>
      <c r="BD402" s="2829"/>
      <c r="BE402" s="2837"/>
      <c r="BF402" s="156"/>
    </row>
    <row r="403" spans="1:58" hidden="1" outlineLevel="1" x14ac:dyDescent="0.35">
      <c r="A403" s="1071"/>
      <c r="B403" s="106"/>
      <c r="C403" s="103"/>
      <c r="D403" s="4140"/>
      <c r="E403" s="4138"/>
      <c r="F403" s="3919" t="str">
        <f t="shared" si="57"/>
        <v>CAC-SEER19_ER2_MF</v>
      </c>
      <c r="G403" s="3920"/>
      <c r="H403" s="3921"/>
      <c r="I403" s="2224" t="str">
        <f t="shared" si="58"/>
        <v>351172_2021_12_</v>
      </c>
      <c r="J403" s="2224">
        <v>13</v>
      </c>
      <c r="K403" s="569"/>
      <c r="L403" s="710" t="str">
        <f t="shared" si="61"/>
        <v>MO TRM</v>
      </c>
      <c r="M403" s="103"/>
      <c r="N403" s="1287"/>
      <c r="O403" s="103"/>
      <c r="P403" s="106"/>
      <c r="Q403" s="106"/>
      <c r="R403" s="106"/>
      <c r="S403" s="106"/>
      <c r="T403" s="106"/>
      <c r="U403" s="106"/>
      <c r="V403" s="4023"/>
      <c r="W403" s="2224"/>
      <c r="X403" s="2224"/>
      <c r="Y403" s="2224"/>
      <c r="Z403" s="2374">
        <v>13</v>
      </c>
      <c r="AA403" s="2224">
        <v>13</v>
      </c>
      <c r="AB403" s="2874">
        <v>13</v>
      </c>
      <c r="AC403" s="2224">
        <v>13</v>
      </c>
      <c r="AD403" s="2224">
        <v>13</v>
      </c>
      <c r="AE403" s="2224"/>
      <c r="AF403" s="2224"/>
      <c r="AG403" s="2224"/>
      <c r="AH403" s="156"/>
      <c r="AI403" s="156"/>
      <c r="AJ403" s="156"/>
      <c r="AK403" s="156"/>
      <c r="AL403" s="156"/>
      <c r="AM403" s="156"/>
      <c r="AN403" s="156"/>
      <c r="AO403" s="156"/>
      <c r="AP403" s="156"/>
      <c r="AQ403" s="156"/>
      <c r="AR403" s="156"/>
      <c r="AS403" s="156"/>
      <c r="AT403" s="156"/>
      <c r="AU403" s="156"/>
      <c r="AV403" s="156"/>
      <c r="AW403" s="156"/>
      <c r="AX403" s="156"/>
      <c r="AY403" s="156"/>
      <c r="AZ403" s="156"/>
      <c r="BA403" s="156"/>
      <c r="BB403" s="2828"/>
      <c r="BC403" s="504"/>
      <c r="BD403" s="2829"/>
      <c r="BE403" s="2837"/>
      <c r="BF403" s="156"/>
    </row>
    <row r="404" spans="1:58" hidden="1" outlineLevel="1" x14ac:dyDescent="0.35">
      <c r="A404" s="1071"/>
      <c r="B404" s="106"/>
      <c r="C404" s="103"/>
      <c r="D404" s="4140"/>
      <c r="E404" s="4138"/>
      <c r="F404" s="3919" t="str">
        <f t="shared" si="57"/>
        <v>CAC-SEER19_ER1_MF_CompE</v>
      </c>
      <c r="G404" s="3920"/>
      <c r="H404" s="3921"/>
      <c r="I404" s="2224" t="str">
        <f t="shared" si="58"/>
        <v>351173_2021_12_</v>
      </c>
      <c r="J404" s="2224"/>
      <c r="K404" s="569"/>
      <c r="L404" s="710"/>
      <c r="M404" s="103"/>
      <c r="N404" s="1287"/>
      <c r="O404" s="103"/>
      <c r="P404" s="106"/>
      <c r="Q404" s="106"/>
      <c r="R404" s="106"/>
      <c r="S404" s="106"/>
      <c r="T404" s="106"/>
      <c r="U404" s="106"/>
      <c r="V404" s="4023"/>
      <c r="W404" s="2224"/>
      <c r="X404" s="2224"/>
      <c r="Y404" s="2224"/>
      <c r="Z404" s="2374"/>
      <c r="AA404" s="2224"/>
      <c r="AB404" s="2874"/>
      <c r="AC404" s="2224"/>
      <c r="AD404" s="2224"/>
      <c r="AE404" s="2224"/>
      <c r="AF404" s="2224"/>
      <c r="AG404" s="2224"/>
      <c r="AH404" s="156"/>
      <c r="AI404" s="156"/>
      <c r="AJ404" s="156"/>
      <c r="AK404" s="156"/>
      <c r="AL404" s="156"/>
      <c r="AM404" s="156"/>
      <c r="AN404" s="156"/>
      <c r="AO404" s="156"/>
      <c r="AP404" s="156"/>
      <c r="AQ404" s="156"/>
      <c r="AR404" s="156"/>
      <c r="AS404" s="156"/>
      <c r="AT404" s="156"/>
      <c r="AU404" s="156"/>
      <c r="AV404" s="156"/>
      <c r="AW404" s="156"/>
      <c r="AX404" s="156"/>
      <c r="AY404" s="156"/>
      <c r="AZ404" s="156"/>
      <c r="BA404" s="156"/>
      <c r="BB404" s="2828"/>
      <c r="BC404" s="504"/>
      <c r="BD404" s="2829"/>
      <c r="BE404" s="2837"/>
      <c r="BF404" s="156"/>
    </row>
    <row r="405" spans="1:58" hidden="1" outlineLevel="1" x14ac:dyDescent="0.35">
      <c r="A405" s="1071"/>
      <c r="B405" s="106"/>
      <c r="C405" s="103"/>
      <c r="D405" s="4140"/>
      <c r="E405" s="4138"/>
      <c r="F405" s="3919" t="str">
        <f t="shared" si="57"/>
        <v>CAC-SEER19_ER2_MF_CompE</v>
      </c>
      <c r="G405" s="3920"/>
      <c r="H405" s="3921"/>
      <c r="I405" s="2224" t="str">
        <f t="shared" si="58"/>
        <v>351173_2021_12_</v>
      </c>
      <c r="J405" s="2224">
        <v>13</v>
      </c>
      <c r="K405" s="569"/>
      <c r="L405" s="710"/>
      <c r="M405" s="103"/>
      <c r="N405" s="1287"/>
      <c r="O405" s="103"/>
      <c r="P405" s="106"/>
      <c r="Q405" s="106"/>
      <c r="R405" s="106"/>
      <c r="S405" s="106"/>
      <c r="T405" s="106"/>
      <c r="U405" s="106"/>
      <c r="V405" s="4023"/>
      <c r="W405" s="2224"/>
      <c r="X405" s="2224"/>
      <c r="Y405" s="2224"/>
      <c r="Z405" s="2374">
        <v>13</v>
      </c>
      <c r="AA405" s="2224">
        <v>13</v>
      </c>
      <c r="AB405" s="2874">
        <v>13</v>
      </c>
      <c r="AC405" s="2224">
        <v>13</v>
      </c>
      <c r="AD405" s="2224">
        <v>13</v>
      </c>
      <c r="AE405" s="2224"/>
      <c r="AF405" s="2224"/>
      <c r="AG405" s="2224"/>
      <c r="AH405" s="156"/>
      <c r="AI405" s="156"/>
      <c r="AJ405" s="156"/>
      <c r="AK405" s="156"/>
      <c r="AL405" s="156"/>
      <c r="AM405" s="156"/>
      <c r="AN405" s="156"/>
      <c r="AO405" s="156"/>
      <c r="AP405" s="156"/>
      <c r="AQ405" s="156"/>
      <c r="AR405" s="156"/>
      <c r="AS405" s="156"/>
      <c r="AT405" s="156"/>
      <c r="AU405" s="156"/>
      <c r="AV405" s="156"/>
      <c r="AW405" s="156"/>
      <c r="AX405" s="156"/>
      <c r="AY405" s="156"/>
      <c r="AZ405" s="156"/>
      <c r="BA405" s="156"/>
      <c r="BB405" s="2828"/>
      <c r="BC405" s="504"/>
      <c r="BD405" s="2829"/>
      <c r="BE405" s="2837"/>
      <c r="BF405" s="156"/>
    </row>
    <row r="406" spans="1:58" hidden="1" outlineLevel="1" x14ac:dyDescent="0.35">
      <c r="A406" s="1071"/>
      <c r="B406" s="106"/>
      <c r="C406" s="103"/>
      <c r="D406" s="4140"/>
      <c r="E406" s="4138"/>
      <c r="F406" s="3919" t="str">
        <f t="shared" si="57"/>
        <v>CAC-SEER19_ROF_MF</v>
      </c>
      <c r="G406" s="3920"/>
      <c r="H406" s="3921"/>
      <c r="I406" s="2224" t="str">
        <f t="shared" si="58"/>
        <v>351174_2021_12_</v>
      </c>
      <c r="J406" s="2224">
        <v>13</v>
      </c>
      <c r="K406" s="569"/>
      <c r="L406" s="710" t="str">
        <f>L403</f>
        <v>MO TRM</v>
      </c>
      <c r="M406" s="103"/>
      <c r="N406" s="1287"/>
      <c r="O406" s="103"/>
      <c r="P406" s="106"/>
      <c r="Q406" s="106"/>
      <c r="R406" s="106"/>
      <c r="S406" s="106"/>
      <c r="T406" s="106"/>
      <c r="U406" s="106"/>
      <c r="V406" s="4023"/>
      <c r="W406" s="2224"/>
      <c r="X406" s="2224"/>
      <c r="Y406" s="2224"/>
      <c r="Z406" s="2374">
        <v>13</v>
      </c>
      <c r="AA406" s="2224">
        <v>13</v>
      </c>
      <c r="AB406" s="2874">
        <v>13</v>
      </c>
      <c r="AC406" s="2224">
        <v>13</v>
      </c>
      <c r="AD406" s="2224">
        <v>13</v>
      </c>
      <c r="AE406" s="2224"/>
      <c r="AF406" s="2224"/>
      <c r="AG406" s="2224"/>
      <c r="AH406" s="156"/>
      <c r="AI406" s="156"/>
      <c r="AJ406" s="156"/>
      <c r="AK406" s="156"/>
      <c r="AL406" s="156"/>
      <c r="AM406" s="156"/>
      <c r="AN406" s="156"/>
      <c r="AO406" s="156"/>
      <c r="AP406" s="156"/>
      <c r="AQ406" s="156"/>
      <c r="AR406" s="156"/>
      <c r="AS406" s="156"/>
      <c r="AT406" s="156"/>
      <c r="AU406" s="156"/>
      <c r="AV406" s="156"/>
      <c r="AW406" s="156"/>
      <c r="AX406" s="156"/>
      <c r="AY406" s="156"/>
      <c r="AZ406" s="156"/>
      <c r="BA406" s="156"/>
      <c r="BB406" s="2828"/>
      <c r="BC406" s="504"/>
      <c r="BD406" s="2829"/>
      <c r="BE406" s="2837"/>
      <c r="BF406" s="156"/>
    </row>
    <row r="407" spans="1:58" hidden="1" outlineLevel="1" x14ac:dyDescent="0.35">
      <c r="A407" s="1071"/>
      <c r="B407" s="106"/>
      <c r="C407" s="103"/>
      <c r="D407" s="4140"/>
      <c r="E407" s="4138"/>
      <c r="F407" s="3919" t="str">
        <f t="shared" si="57"/>
        <v>CAC-SEER19_ROF_MF_CompE</v>
      </c>
      <c r="G407" s="3920"/>
      <c r="H407" s="3921"/>
      <c r="I407" s="2224" t="str">
        <f t="shared" si="58"/>
        <v>351175_2021_12_</v>
      </c>
      <c r="J407" s="2224">
        <v>13</v>
      </c>
      <c r="K407" s="569"/>
      <c r="L407" s="710"/>
      <c r="M407" s="103"/>
      <c r="N407" s="1287"/>
      <c r="O407" s="103"/>
      <c r="P407" s="106"/>
      <c r="Q407" s="106"/>
      <c r="R407" s="106"/>
      <c r="S407" s="106"/>
      <c r="T407" s="106"/>
      <c r="U407" s="106"/>
      <c r="V407" s="4023"/>
      <c r="W407" s="2224"/>
      <c r="X407" s="2224"/>
      <c r="Y407" s="2224"/>
      <c r="Z407" s="2374">
        <v>13</v>
      </c>
      <c r="AA407" s="2224">
        <v>13</v>
      </c>
      <c r="AB407" s="2874">
        <v>13</v>
      </c>
      <c r="AC407" s="2224">
        <v>13</v>
      </c>
      <c r="AD407" s="2224">
        <v>13</v>
      </c>
      <c r="AE407" s="2224"/>
      <c r="AF407" s="2224"/>
      <c r="AG407" s="2224"/>
      <c r="AH407" s="156"/>
      <c r="AI407" s="156"/>
      <c r="AJ407" s="156"/>
      <c r="AK407" s="156"/>
      <c r="AL407" s="156"/>
      <c r="AM407" s="156"/>
      <c r="AN407" s="156"/>
      <c r="AO407" s="156"/>
      <c r="AP407" s="156"/>
      <c r="AQ407" s="156"/>
      <c r="AR407" s="156"/>
      <c r="AS407" s="156"/>
      <c r="AT407" s="156"/>
      <c r="AU407" s="156"/>
      <c r="AV407" s="156"/>
      <c r="AW407" s="156"/>
      <c r="AX407" s="156"/>
      <c r="AY407" s="156"/>
      <c r="AZ407" s="156"/>
      <c r="BA407" s="156"/>
      <c r="BB407" s="2828"/>
      <c r="BC407" s="504"/>
      <c r="BD407" s="2829"/>
      <c r="BE407" s="2837"/>
      <c r="BF407" s="156"/>
    </row>
    <row r="408" spans="1:58" hidden="1" outlineLevel="1" x14ac:dyDescent="0.35">
      <c r="A408" s="1071"/>
      <c r="B408" s="106"/>
      <c r="C408" s="103"/>
      <c r="D408" s="4140"/>
      <c r="E408" s="4138"/>
      <c r="F408" s="3919" t="str">
        <f t="shared" si="57"/>
        <v>CAC-SEER20_ER1_SF</v>
      </c>
      <c r="G408" s="3920"/>
      <c r="H408" s="3921"/>
      <c r="I408" s="2224" t="str">
        <f t="shared" si="58"/>
        <v>351180_2021_12_</v>
      </c>
      <c r="J408" s="2224"/>
      <c r="K408" s="569"/>
      <c r="L408" s="710" t="str">
        <f>L406</f>
        <v>MO TRM</v>
      </c>
      <c r="M408" s="103"/>
      <c r="N408" s="1287"/>
      <c r="O408" s="103"/>
      <c r="P408" s="106"/>
      <c r="Q408" s="106"/>
      <c r="R408" s="106"/>
      <c r="S408" s="106"/>
      <c r="T408" s="106"/>
      <c r="U408" s="106"/>
      <c r="V408" s="4023"/>
      <c r="W408" s="2224"/>
      <c r="X408" s="2374"/>
      <c r="Y408" s="2374"/>
      <c r="Z408" s="2374"/>
      <c r="AA408" s="2224"/>
      <c r="AB408" s="2874"/>
      <c r="AC408" s="2224"/>
      <c r="AD408" s="2224"/>
      <c r="AE408" s="2224"/>
      <c r="AF408" s="2224"/>
      <c r="AG408" s="2224"/>
      <c r="AH408" s="156"/>
      <c r="AI408" s="156"/>
      <c r="AJ408" s="156"/>
      <c r="AK408" s="156"/>
      <c r="AL408" s="156"/>
      <c r="AM408" s="156"/>
      <c r="AN408" s="156"/>
      <c r="AO408" s="156"/>
      <c r="AP408" s="156"/>
      <c r="AQ408" s="156"/>
      <c r="AR408" s="156"/>
      <c r="AS408" s="156"/>
      <c r="AT408" s="156"/>
      <c r="AU408" s="156"/>
      <c r="AV408" s="156"/>
      <c r="AW408" s="156"/>
      <c r="AX408" s="156"/>
      <c r="AY408" s="156"/>
      <c r="AZ408" s="156"/>
      <c r="BA408" s="156"/>
      <c r="BB408" s="2828"/>
      <c r="BC408" s="504"/>
      <c r="BD408" s="2829"/>
      <c r="BE408" s="2837"/>
      <c r="BF408" s="156"/>
    </row>
    <row r="409" spans="1:58" hidden="1" outlineLevel="1" x14ac:dyDescent="0.35">
      <c r="A409" s="1071"/>
      <c r="B409" s="106"/>
      <c r="C409" s="103"/>
      <c r="D409" s="4140"/>
      <c r="E409" s="4138"/>
      <c r="F409" s="3919" t="str">
        <f t="shared" si="57"/>
        <v>CAC-SEER20_ER2_SF</v>
      </c>
      <c r="G409" s="3920"/>
      <c r="H409" s="3921"/>
      <c r="I409" s="2224" t="str">
        <f t="shared" si="58"/>
        <v>351180_2021_12_</v>
      </c>
      <c r="J409" s="2224">
        <v>13</v>
      </c>
      <c r="K409" s="569"/>
      <c r="L409" s="710" t="str">
        <f t="shared" si="61"/>
        <v>MO TRM</v>
      </c>
      <c r="M409" s="103"/>
      <c r="N409" s="1287"/>
      <c r="O409" s="103"/>
      <c r="P409" s="106"/>
      <c r="Q409" s="106"/>
      <c r="R409" s="106"/>
      <c r="S409" s="106"/>
      <c r="T409" s="106"/>
      <c r="U409" s="106"/>
      <c r="V409" s="4023"/>
      <c r="W409" s="2224"/>
      <c r="X409" s="2224"/>
      <c r="Y409" s="2224"/>
      <c r="Z409" s="2374">
        <v>13</v>
      </c>
      <c r="AA409" s="2224">
        <v>13</v>
      </c>
      <c r="AB409" s="2874">
        <v>13</v>
      </c>
      <c r="AC409" s="2224">
        <v>13</v>
      </c>
      <c r="AD409" s="2224">
        <v>13</v>
      </c>
      <c r="AE409" s="2224"/>
      <c r="AF409" s="2224"/>
      <c r="AG409" s="2224"/>
      <c r="AH409" s="156"/>
      <c r="AI409" s="156"/>
      <c r="AJ409" s="156"/>
      <c r="AK409" s="156"/>
      <c r="AL409" s="156"/>
      <c r="AM409" s="156"/>
      <c r="AN409" s="156"/>
      <c r="AO409" s="156"/>
      <c r="AP409" s="156"/>
      <c r="AQ409" s="156"/>
      <c r="AR409" s="156"/>
      <c r="AS409" s="156"/>
      <c r="AT409" s="156"/>
      <c r="AU409" s="156"/>
      <c r="AV409" s="156"/>
      <c r="AW409" s="156"/>
      <c r="AX409" s="156"/>
      <c r="AY409" s="156"/>
      <c r="AZ409" s="156"/>
      <c r="BA409" s="156"/>
      <c r="BB409" s="2828"/>
      <c r="BC409" s="504"/>
      <c r="BD409" s="2829"/>
      <c r="BE409" s="2837"/>
      <c r="BF409" s="156"/>
    </row>
    <row r="410" spans="1:58" hidden="1" outlineLevel="1" x14ac:dyDescent="0.35">
      <c r="A410" s="1071"/>
      <c r="B410" s="106"/>
      <c r="C410" s="103"/>
      <c r="D410" s="4140"/>
      <c r="E410" s="4138"/>
      <c r="F410" s="3919" t="str">
        <f t="shared" ref="F410:F473" si="62">F338</f>
        <v>CAC-SEER20_ROF_SF</v>
      </c>
      <c r="G410" s="3920"/>
      <c r="H410" s="3921"/>
      <c r="I410" s="2224" t="str">
        <f t="shared" ref="I410:I473" si="63">I338</f>
        <v>351181_2021_12_</v>
      </c>
      <c r="J410" s="2224">
        <v>13</v>
      </c>
      <c r="K410" s="569"/>
      <c r="L410" s="710" t="str">
        <f t="shared" si="61"/>
        <v>MO TRM</v>
      </c>
      <c r="M410" s="103"/>
      <c r="N410" s="1287"/>
      <c r="O410" s="103"/>
      <c r="P410" s="106"/>
      <c r="Q410" s="106"/>
      <c r="R410" s="106"/>
      <c r="S410" s="106"/>
      <c r="T410" s="106"/>
      <c r="U410" s="106"/>
      <c r="V410" s="4023"/>
      <c r="W410" s="2224"/>
      <c r="X410" s="2224"/>
      <c r="Y410" s="2224"/>
      <c r="Z410" s="2374">
        <v>13</v>
      </c>
      <c r="AA410" s="2224">
        <v>13</v>
      </c>
      <c r="AB410" s="2874">
        <v>13</v>
      </c>
      <c r="AC410" s="2224">
        <v>13</v>
      </c>
      <c r="AD410" s="2224">
        <v>13</v>
      </c>
      <c r="AE410" s="2224"/>
      <c r="AF410" s="2224"/>
      <c r="AG410" s="2224"/>
      <c r="AH410" s="156"/>
      <c r="AI410" s="156"/>
      <c r="AJ410" s="156"/>
      <c r="AK410" s="156"/>
      <c r="AL410" s="156"/>
      <c r="AM410" s="156"/>
      <c r="AN410" s="156"/>
      <c r="AO410" s="156"/>
      <c r="AP410" s="156"/>
      <c r="AQ410" s="156"/>
      <c r="AR410" s="156"/>
      <c r="AS410" s="156"/>
      <c r="AT410" s="156"/>
      <c r="AU410" s="156"/>
      <c r="AV410" s="156"/>
      <c r="AW410" s="156"/>
      <c r="AX410" s="156"/>
      <c r="AY410" s="156"/>
      <c r="AZ410" s="156"/>
      <c r="BA410" s="156"/>
      <c r="BB410" s="2828"/>
      <c r="BC410" s="504"/>
      <c r="BD410" s="2829"/>
      <c r="BE410" s="2837"/>
      <c r="BF410" s="156"/>
    </row>
    <row r="411" spans="1:58" hidden="1" outlineLevel="1" x14ac:dyDescent="0.35">
      <c r="A411" s="1071"/>
      <c r="B411" s="106"/>
      <c r="C411" s="103"/>
      <c r="D411" s="4140"/>
      <c r="E411" s="4138"/>
      <c r="F411" s="3919" t="str">
        <f t="shared" si="62"/>
        <v>CAC-SEER20_ER1_MF</v>
      </c>
      <c r="G411" s="3920"/>
      <c r="H411" s="3921"/>
      <c r="I411" s="2224" t="str">
        <f t="shared" si="63"/>
        <v>351182_2021_12_</v>
      </c>
      <c r="J411" s="2224"/>
      <c r="K411" s="569"/>
      <c r="L411" s="710" t="str">
        <f t="shared" si="61"/>
        <v>MO TRM</v>
      </c>
      <c r="M411" s="103"/>
      <c r="N411" s="1287"/>
      <c r="O411" s="103"/>
      <c r="P411" s="106"/>
      <c r="Q411" s="106"/>
      <c r="R411" s="106"/>
      <c r="S411" s="106"/>
      <c r="T411" s="106"/>
      <c r="U411" s="106"/>
      <c r="V411" s="4023"/>
      <c r="W411" s="2224"/>
      <c r="X411" s="2374"/>
      <c r="Y411" s="2374"/>
      <c r="Z411" s="2374"/>
      <c r="AA411" s="2224"/>
      <c r="AB411" s="2874"/>
      <c r="AC411" s="2224"/>
      <c r="AD411" s="2224"/>
      <c r="AE411" s="2224"/>
      <c r="AF411" s="2224"/>
      <c r="AG411" s="2224"/>
      <c r="AH411" s="156"/>
      <c r="AI411" s="156"/>
      <c r="AJ411" s="156"/>
      <c r="AK411" s="156"/>
      <c r="AL411" s="156"/>
      <c r="AM411" s="156"/>
      <c r="AN411" s="156"/>
      <c r="AO411" s="156"/>
      <c r="AP411" s="156"/>
      <c r="AQ411" s="156"/>
      <c r="AR411" s="156"/>
      <c r="AS411" s="156"/>
      <c r="AT411" s="156"/>
      <c r="AU411" s="156"/>
      <c r="AV411" s="156"/>
      <c r="AW411" s="156"/>
      <c r="AX411" s="156"/>
      <c r="AY411" s="156"/>
      <c r="AZ411" s="156"/>
      <c r="BA411" s="156"/>
      <c r="BB411" s="2828"/>
      <c r="BC411" s="504"/>
      <c r="BD411" s="2829"/>
      <c r="BE411" s="2837"/>
      <c r="BF411" s="156"/>
    </row>
    <row r="412" spans="1:58" hidden="1" outlineLevel="1" x14ac:dyDescent="0.35">
      <c r="A412" s="1071"/>
      <c r="B412" s="106"/>
      <c r="C412" s="103"/>
      <c r="D412" s="4140"/>
      <c r="E412" s="4138"/>
      <c r="F412" s="3919" t="str">
        <f t="shared" si="62"/>
        <v>CAC-SEER20_ER2_MF</v>
      </c>
      <c r="G412" s="3920"/>
      <c r="H412" s="3921"/>
      <c r="I412" s="2224" t="str">
        <f t="shared" si="63"/>
        <v>351182_2021_12_</v>
      </c>
      <c r="J412" s="2224">
        <v>13</v>
      </c>
      <c r="K412" s="569"/>
      <c r="L412" s="710" t="str">
        <f t="shared" si="61"/>
        <v>MO TRM</v>
      </c>
      <c r="M412" s="103"/>
      <c r="N412" s="1287"/>
      <c r="O412" s="103"/>
      <c r="P412" s="106"/>
      <c r="Q412" s="106"/>
      <c r="R412" s="106"/>
      <c r="S412" s="106"/>
      <c r="T412" s="106"/>
      <c r="U412" s="106"/>
      <c r="V412" s="4023"/>
      <c r="W412" s="2224"/>
      <c r="X412" s="2224"/>
      <c r="Y412" s="2224"/>
      <c r="Z412" s="2374">
        <v>13</v>
      </c>
      <c r="AA412" s="2224">
        <v>13</v>
      </c>
      <c r="AB412" s="2874">
        <v>13</v>
      </c>
      <c r="AC412" s="2224">
        <v>13</v>
      </c>
      <c r="AD412" s="2224">
        <v>13</v>
      </c>
      <c r="AE412" s="2224"/>
      <c r="AF412" s="2224"/>
      <c r="AG412" s="2224"/>
      <c r="AH412" s="156"/>
      <c r="AI412" s="156"/>
      <c r="AJ412" s="156"/>
      <c r="AK412" s="156"/>
      <c r="AL412" s="156"/>
      <c r="AM412" s="156"/>
      <c r="AN412" s="156"/>
      <c r="AO412" s="156"/>
      <c r="AP412" s="156"/>
      <c r="AQ412" s="156"/>
      <c r="AR412" s="156"/>
      <c r="AS412" s="156"/>
      <c r="AT412" s="156"/>
      <c r="AU412" s="156"/>
      <c r="AV412" s="156"/>
      <c r="AW412" s="156"/>
      <c r="AX412" s="156"/>
      <c r="AY412" s="156"/>
      <c r="AZ412" s="156"/>
      <c r="BA412" s="156"/>
      <c r="BB412" s="2828"/>
      <c r="BC412" s="504"/>
      <c r="BD412" s="2829"/>
      <c r="BE412" s="2837"/>
      <c r="BF412" s="156"/>
    </row>
    <row r="413" spans="1:58" hidden="1" outlineLevel="1" x14ac:dyDescent="0.35">
      <c r="A413" s="1071"/>
      <c r="B413" s="106"/>
      <c r="C413" s="103"/>
      <c r="D413" s="4140"/>
      <c r="E413" s="4138"/>
      <c r="F413" s="3919" t="str">
        <f t="shared" si="62"/>
        <v>CAC-SEER20_ER1_MF_CompE</v>
      </c>
      <c r="G413" s="3920"/>
      <c r="H413" s="3921"/>
      <c r="I413" s="2224" t="str">
        <f t="shared" si="63"/>
        <v>351183_2021_12_</v>
      </c>
      <c r="J413" s="2224"/>
      <c r="K413" s="569"/>
      <c r="L413" s="710"/>
      <c r="M413" s="103"/>
      <c r="N413" s="1287"/>
      <c r="O413" s="103"/>
      <c r="P413" s="106"/>
      <c r="Q413" s="106"/>
      <c r="R413" s="106"/>
      <c r="S413" s="106"/>
      <c r="T413" s="106"/>
      <c r="U413" s="106"/>
      <c r="V413" s="4023"/>
      <c r="W413" s="2224"/>
      <c r="X413" s="2224"/>
      <c r="Y413" s="2224"/>
      <c r="Z413" s="2374"/>
      <c r="AA413" s="2224"/>
      <c r="AB413" s="2874"/>
      <c r="AC413" s="2224"/>
      <c r="AD413" s="2224"/>
      <c r="AE413" s="2224"/>
      <c r="AF413" s="2224"/>
      <c r="AG413" s="2224"/>
      <c r="AH413" s="156"/>
      <c r="AI413" s="156"/>
      <c r="AJ413" s="156"/>
      <c r="AK413" s="156"/>
      <c r="AL413" s="156"/>
      <c r="AM413" s="156"/>
      <c r="AN413" s="156"/>
      <c r="AO413" s="156"/>
      <c r="AP413" s="156"/>
      <c r="AQ413" s="156"/>
      <c r="AR413" s="156"/>
      <c r="AS413" s="156"/>
      <c r="AT413" s="156"/>
      <c r="AU413" s="156"/>
      <c r="AV413" s="156"/>
      <c r="AW413" s="156"/>
      <c r="AX413" s="156"/>
      <c r="AY413" s="156"/>
      <c r="AZ413" s="156"/>
      <c r="BA413" s="156"/>
      <c r="BB413" s="2828"/>
      <c r="BC413" s="504"/>
      <c r="BD413" s="2829"/>
      <c r="BE413" s="2837"/>
      <c r="BF413" s="156"/>
    </row>
    <row r="414" spans="1:58" hidden="1" outlineLevel="1" x14ac:dyDescent="0.35">
      <c r="A414" s="1071"/>
      <c r="B414" s="106"/>
      <c r="C414" s="103"/>
      <c r="D414" s="4140"/>
      <c r="E414" s="4138"/>
      <c r="F414" s="3919" t="str">
        <f t="shared" si="62"/>
        <v>CAC-SEER20_ER2_MF_CompE</v>
      </c>
      <c r="G414" s="3920"/>
      <c r="H414" s="3921"/>
      <c r="I414" s="2224" t="str">
        <f t="shared" si="63"/>
        <v>351183_2021_12_</v>
      </c>
      <c r="J414" s="2224">
        <v>13</v>
      </c>
      <c r="K414" s="569"/>
      <c r="L414" s="710"/>
      <c r="M414" s="103"/>
      <c r="N414" s="1287"/>
      <c r="O414" s="103"/>
      <c r="P414" s="106"/>
      <c r="Q414" s="106"/>
      <c r="R414" s="106"/>
      <c r="S414" s="106"/>
      <c r="T414" s="106"/>
      <c r="U414" s="106"/>
      <c r="V414" s="4023"/>
      <c r="W414" s="2224"/>
      <c r="X414" s="2224"/>
      <c r="Y414" s="2224"/>
      <c r="Z414" s="2374">
        <v>13</v>
      </c>
      <c r="AA414" s="2224">
        <v>13</v>
      </c>
      <c r="AB414" s="2874">
        <v>13</v>
      </c>
      <c r="AC414" s="2224">
        <v>13</v>
      </c>
      <c r="AD414" s="2224">
        <v>13</v>
      </c>
      <c r="AE414" s="2224"/>
      <c r="AF414" s="2224"/>
      <c r="AG414" s="2224"/>
      <c r="AH414" s="156"/>
      <c r="AI414" s="156"/>
      <c r="AJ414" s="156"/>
      <c r="AK414" s="156"/>
      <c r="AL414" s="156"/>
      <c r="AM414" s="156"/>
      <c r="AN414" s="156"/>
      <c r="AO414" s="156"/>
      <c r="AP414" s="156"/>
      <c r="AQ414" s="156"/>
      <c r="AR414" s="156"/>
      <c r="AS414" s="156"/>
      <c r="AT414" s="156"/>
      <c r="AU414" s="156"/>
      <c r="AV414" s="156"/>
      <c r="AW414" s="156"/>
      <c r="AX414" s="156"/>
      <c r="AY414" s="156"/>
      <c r="AZ414" s="156"/>
      <c r="BA414" s="156"/>
      <c r="BB414" s="2828"/>
      <c r="BC414" s="504"/>
      <c r="BD414" s="2829"/>
      <c r="BE414" s="2837"/>
      <c r="BF414" s="156"/>
    </row>
    <row r="415" spans="1:58" hidden="1" outlineLevel="1" x14ac:dyDescent="0.35">
      <c r="A415" s="1071"/>
      <c r="B415" s="106"/>
      <c r="C415" s="103"/>
      <c r="D415" s="4140"/>
      <c r="E415" s="4138"/>
      <c r="F415" s="3919" t="str">
        <f t="shared" si="62"/>
        <v>CAC-SEER20_ROF_MF</v>
      </c>
      <c r="G415" s="3920"/>
      <c r="H415" s="3921"/>
      <c r="I415" s="2224" t="str">
        <f t="shared" si="63"/>
        <v>351184_2021_12_</v>
      </c>
      <c r="J415" s="2224">
        <v>13</v>
      </c>
      <c r="K415" s="569"/>
      <c r="L415" s="710" t="str">
        <f>L412</f>
        <v>MO TRM</v>
      </c>
      <c r="M415" s="103"/>
      <c r="N415" s="1287"/>
      <c r="O415" s="103"/>
      <c r="P415" s="106"/>
      <c r="Q415" s="106"/>
      <c r="R415" s="106"/>
      <c r="S415" s="106"/>
      <c r="T415" s="106"/>
      <c r="U415" s="106"/>
      <c r="V415" s="4023"/>
      <c r="W415" s="2224"/>
      <c r="X415" s="2224"/>
      <c r="Y415" s="2224"/>
      <c r="Z415" s="2374">
        <v>13</v>
      </c>
      <c r="AA415" s="2224">
        <v>13</v>
      </c>
      <c r="AB415" s="2874">
        <v>13</v>
      </c>
      <c r="AC415" s="2224">
        <v>13</v>
      </c>
      <c r="AD415" s="2224">
        <v>13</v>
      </c>
      <c r="AE415" s="2224"/>
      <c r="AF415" s="2224"/>
      <c r="AG415" s="2224"/>
      <c r="AH415" s="156"/>
      <c r="AI415" s="156"/>
      <c r="AJ415" s="156"/>
      <c r="AK415" s="156"/>
      <c r="AL415" s="156"/>
      <c r="AM415" s="156"/>
      <c r="AN415" s="156"/>
      <c r="AO415" s="156"/>
      <c r="AP415" s="156"/>
      <c r="AQ415" s="156"/>
      <c r="AR415" s="156"/>
      <c r="AS415" s="156"/>
      <c r="AT415" s="156"/>
      <c r="AU415" s="156"/>
      <c r="AV415" s="156"/>
      <c r="AW415" s="156"/>
      <c r="AX415" s="156"/>
      <c r="AY415" s="156"/>
      <c r="AZ415" s="156"/>
      <c r="BA415" s="156"/>
      <c r="BB415" s="2828"/>
      <c r="BC415" s="504"/>
      <c r="BD415" s="2829"/>
      <c r="BE415" s="2837"/>
      <c r="BF415" s="156"/>
    </row>
    <row r="416" spans="1:58" hidden="1" outlineLevel="1" x14ac:dyDescent="0.35">
      <c r="A416" s="1071"/>
      <c r="B416" s="106"/>
      <c r="C416" s="103"/>
      <c r="D416" s="4140"/>
      <c r="E416" s="4138"/>
      <c r="F416" s="3919" t="str">
        <f t="shared" si="62"/>
        <v>CAC-SEER20_ROF_MF_CompE</v>
      </c>
      <c r="G416" s="3920"/>
      <c r="H416" s="3921"/>
      <c r="I416" s="2224" t="str">
        <f t="shared" si="63"/>
        <v>351185_2021_12_</v>
      </c>
      <c r="J416" s="2224">
        <v>13</v>
      </c>
      <c r="K416" s="569"/>
      <c r="L416" s="710"/>
      <c r="M416" s="103"/>
      <c r="N416" s="1287"/>
      <c r="O416" s="103"/>
      <c r="P416" s="106"/>
      <c r="Q416" s="106"/>
      <c r="R416" s="106"/>
      <c r="S416" s="106"/>
      <c r="T416" s="106"/>
      <c r="U416" s="106"/>
      <c r="V416" s="4023"/>
      <c r="W416" s="2224"/>
      <c r="X416" s="2224"/>
      <c r="Y416" s="2224"/>
      <c r="Z416" s="2374">
        <v>13</v>
      </c>
      <c r="AA416" s="2224">
        <v>13</v>
      </c>
      <c r="AB416" s="2874">
        <v>13</v>
      </c>
      <c r="AC416" s="2224">
        <v>13</v>
      </c>
      <c r="AD416" s="2224">
        <v>13</v>
      </c>
      <c r="AE416" s="2224"/>
      <c r="AF416" s="2224"/>
      <c r="AG416" s="2224"/>
      <c r="AH416" s="156"/>
      <c r="AI416" s="156"/>
      <c r="AJ416" s="156"/>
      <c r="AK416" s="156"/>
      <c r="AL416" s="156"/>
      <c r="AM416" s="156"/>
      <c r="AN416" s="156"/>
      <c r="AO416" s="156"/>
      <c r="AP416" s="156"/>
      <c r="AQ416" s="156"/>
      <c r="AR416" s="156"/>
      <c r="AS416" s="156"/>
      <c r="AT416" s="156"/>
      <c r="AU416" s="156"/>
      <c r="AV416" s="156"/>
      <c r="AW416" s="156"/>
      <c r="AX416" s="156"/>
      <c r="AY416" s="156"/>
      <c r="AZ416" s="156"/>
      <c r="BA416" s="156"/>
      <c r="BB416" s="2828"/>
      <c r="BC416" s="504"/>
      <c r="BD416" s="2829"/>
      <c r="BE416" s="2837"/>
      <c r="BF416" s="156"/>
    </row>
    <row r="417" spans="1:58" hidden="1" outlineLevel="1" x14ac:dyDescent="0.35">
      <c r="A417" s="1071"/>
      <c r="B417" s="106"/>
      <c r="C417" s="103"/>
      <c r="D417" s="4140"/>
      <c r="E417" s="4138"/>
      <c r="F417" s="3919" t="str">
        <f t="shared" si="62"/>
        <v>CAC-SEER21+_ER1_SF</v>
      </c>
      <c r="G417" s="3920"/>
      <c r="H417" s="3921"/>
      <c r="I417" s="2224" t="str">
        <f t="shared" si="63"/>
        <v>351190_2021_12_</v>
      </c>
      <c r="J417" s="2224"/>
      <c r="K417" s="569"/>
      <c r="L417" s="710" t="str">
        <f>L415</f>
        <v>MO TRM</v>
      </c>
      <c r="M417" s="103"/>
      <c r="N417" s="1287"/>
      <c r="O417" s="103"/>
      <c r="P417" s="106"/>
      <c r="Q417" s="106"/>
      <c r="R417" s="106"/>
      <c r="S417" s="106"/>
      <c r="T417" s="106"/>
      <c r="U417" s="106"/>
      <c r="V417" s="4023"/>
      <c r="W417" s="2224"/>
      <c r="X417" s="2374"/>
      <c r="Y417" s="2374"/>
      <c r="Z417" s="2374"/>
      <c r="AA417" s="2224"/>
      <c r="AB417" s="2874"/>
      <c r="AC417" s="2224"/>
      <c r="AD417" s="2224"/>
      <c r="AE417" s="2224"/>
      <c r="AF417" s="2224"/>
      <c r="AG417" s="2224"/>
      <c r="AH417" s="156"/>
      <c r="AI417" s="156"/>
      <c r="AJ417" s="156"/>
      <c r="AK417" s="156"/>
      <c r="AL417" s="156"/>
      <c r="AM417" s="156"/>
      <c r="AN417" s="156"/>
      <c r="AO417" s="156"/>
      <c r="AP417" s="156"/>
      <c r="AQ417" s="156"/>
      <c r="AR417" s="156"/>
      <c r="AS417" s="156"/>
      <c r="AT417" s="156"/>
      <c r="AU417" s="156"/>
      <c r="AV417" s="156"/>
      <c r="AW417" s="156"/>
      <c r="AX417" s="156"/>
      <c r="AY417" s="156"/>
      <c r="AZ417" s="156"/>
      <c r="BA417" s="156"/>
      <c r="BB417" s="2828"/>
      <c r="BC417" s="504"/>
      <c r="BD417" s="2829"/>
      <c r="BE417" s="2837"/>
      <c r="BF417" s="156"/>
    </row>
    <row r="418" spans="1:58" ht="14.5" hidden="1" customHeight="1" outlineLevel="1" x14ac:dyDescent="0.35">
      <c r="A418" s="1071"/>
      <c r="B418" s="106"/>
      <c r="C418" s="103"/>
      <c r="D418" s="4140"/>
      <c r="E418" s="4138"/>
      <c r="F418" s="3919" t="str">
        <f t="shared" si="62"/>
        <v>CAC-SEER21+_ER2_SF</v>
      </c>
      <c r="G418" s="3920"/>
      <c r="H418" s="3921"/>
      <c r="I418" s="2224" t="str">
        <f t="shared" si="63"/>
        <v>351190_2021_12_</v>
      </c>
      <c r="J418" s="2224">
        <v>13</v>
      </c>
      <c r="K418" s="569"/>
      <c r="L418" s="710" t="str">
        <f t="shared" si="61"/>
        <v>MO TRM</v>
      </c>
      <c r="M418" s="103"/>
      <c r="N418" s="1287"/>
      <c r="O418" s="103"/>
      <c r="P418" s="106"/>
      <c r="Q418" s="106"/>
      <c r="R418" s="106"/>
      <c r="S418" s="106"/>
      <c r="T418" s="106"/>
      <c r="U418" s="106"/>
      <c r="V418" s="4023"/>
      <c r="W418" s="2224"/>
      <c r="X418" s="2224"/>
      <c r="Y418" s="2224"/>
      <c r="Z418" s="2374">
        <v>13</v>
      </c>
      <c r="AA418" s="2224">
        <v>13</v>
      </c>
      <c r="AB418" s="2874">
        <v>13</v>
      </c>
      <c r="AC418" s="2224">
        <v>13</v>
      </c>
      <c r="AD418" s="2224">
        <v>13</v>
      </c>
      <c r="AE418" s="2224"/>
      <c r="AF418" s="2224"/>
      <c r="AG418" s="2224"/>
      <c r="AH418" s="156"/>
      <c r="AI418" s="156"/>
      <c r="AJ418" s="156"/>
      <c r="AK418" s="156"/>
      <c r="AL418" s="156"/>
      <c r="AM418" s="156"/>
      <c r="AN418" s="156"/>
      <c r="AO418" s="156"/>
      <c r="AP418" s="156"/>
      <c r="AQ418" s="156"/>
      <c r="AR418" s="156"/>
      <c r="AS418" s="156"/>
      <c r="AT418" s="156"/>
      <c r="AU418" s="156"/>
      <c r="AV418" s="156"/>
      <c r="AW418" s="156"/>
      <c r="AX418" s="156"/>
      <c r="AY418" s="156"/>
      <c r="AZ418" s="156"/>
      <c r="BA418" s="156"/>
      <c r="BB418" s="2828"/>
      <c r="BC418" s="504"/>
      <c r="BD418" s="2829"/>
      <c r="BE418" s="2837"/>
      <c r="BF418" s="156"/>
    </row>
    <row r="419" spans="1:58" ht="14.5" hidden="1" customHeight="1" outlineLevel="1" x14ac:dyDescent="0.35">
      <c r="A419" s="1071"/>
      <c r="B419" s="106"/>
      <c r="C419" s="103"/>
      <c r="D419" s="4140"/>
      <c r="E419" s="4138"/>
      <c r="F419" s="3919" t="str">
        <f t="shared" si="62"/>
        <v>CAC-SEER21+_ROF_SF</v>
      </c>
      <c r="G419" s="3920"/>
      <c r="H419" s="3921"/>
      <c r="I419" s="2224" t="str">
        <f t="shared" si="63"/>
        <v>351191_2021_12_</v>
      </c>
      <c r="J419" s="2224">
        <v>13</v>
      </c>
      <c r="K419" s="569"/>
      <c r="L419" s="710" t="str">
        <f t="shared" si="61"/>
        <v>MO TRM</v>
      </c>
      <c r="M419" s="103"/>
      <c r="N419" s="1287"/>
      <c r="O419" s="103"/>
      <c r="P419" s="106"/>
      <c r="Q419" s="106"/>
      <c r="R419" s="106"/>
      <c r="S419" s="106"/>
      <c r="T419" s="106"/>
      <c r="U419" s="106"/>
      <c r="V419" s="4023"/>
      <c r="W419" s="2224"/>
      <c r="X419" s="2224"/>
      <c r="Y419" s="2224"/>
      <c r="Z419" s="2374">
        <v>13</v>
      </c>
      <c r="AA419" s="2224">
        <v>13</v>
      </c>
      <c r="AB419" s="2874">
        <v>13</v>
      </c>
      <c r="AC419" s="2224">
        <v>13</v>
      </c>
      <c r="AD419" s="2224">
        <v>13</v>
      </c>
      <c r="AE419" s="2224"/>
      <c r="AF419" s="2224"/>
      <c r="AG419" s="2224"/>
      <c r="AH419" s="156"/>
      <c r="AI419" s="156"/>
      <c r="AJ419" s="156"/>
      <c r="AK419" s="156"/>
      <c r="AL419" s="156"/>
      <c r="AM419" s="156"/>
      <c r="AN419" s="156"/>
      <c r="AO419" s="156"/>
      <c r="AP419" s="156"/>
      <c r="AQ419" s="156"/>
      <c r="AR419" s="156"/>
      <c r="AS419" s="156"/>
      <c r="AT419" s="156"/>
      <c r="AU419" s="156"/>
      <c r="AV419" s="156"/>
      <c r="AW419" s="156"/>
      <c r="AX419" s="156"/>
      <c r="AY419" s="156"/>
      <c r="AZ419" s="156"/>
      <c r="BA419" s="156"/>
      <c r="BB419" s="2828"/>
      <c r="BC419" s="504"/>
      <c r="BD419" s="2829"/>
      <c r="BE419" s="2837"/>
      <c r="BF419" s="156"/>
    </row>
    <row r="420" spans="1:58" ht="14.5" hidden="1" customHeight="1" outlineLevel="1" x14ac:dyDescent="0.35">
      <c r="A420" s="1071"/>
      <c r="B420" s="106"/>
      <c r="C420" s="103"/>
      <c r="D420" s="4140"/>
      <c r="E420" s="4138"/>
      <c r="F420" s="3919" t="str">
        <f t="shared" si="62"/>
        <v>CAC-SEER21+_ER1_MF</v>
      </c>
      <c r="G420" s="3920"/>
      <c r="H420" s="3921"/>
      <c r="I420" s="2224" t="str">
        <f t="shared" si="63"/>
        <v>351192_2021_12_</v>
      </c>
      <c r="J420" s="2224"/>
      <c r="K420" s="569"/>
      <c r="L420" s="710" t="str">
        <f t="shared" si="61"/>
        <v>MO TRM</v>
      </c>
      <c r="M420" s="103"/>
      <c r="N420" s="1287"/>
      <c r="O420" s="103"/>
      <c r="P420" s="106"/>
      <c r="Q420" s="106"/>
      <c r="R420" s="106"/>
      <c r="S420" s="106"/>
      <c r="T420" s="106"/>
      <c r="U420" s="106"/>
      <c r="V420" s="4023"/>
      <c r="W420" s="2224"/>
      <c r="X420" s="2374"/>
      <c r="Y420" s="2374"/>
      <c r="Z420" s="2374"/>
      <c r="AA420" s="2224"/>
      <c r="AB420" s="2874"/>
      <c r="AC420" s="2224"/>
      <c r="AD420" s="2224"/>
      <c r="AE420" s="2224"/>
      <c r="AF420" s="2224"/>
      <c r="AG420" s="2224"/>
      <c r="AH420" s="156"/>
      <c r="AI420" s="156"/>
      <c r="AJ420" s="156"/>
      <c r="AK420" s="156"/>
      <c r="AL420" s="156"/>
      <c r="AM420" s="156"/>
      <c r="AN420" s="156"/>
      <c r="AO420" s="156"/>
      <c r="AP420" s="156"/>
      <c r="AQ420" s="156"/>
      <c r="AR420" s="156"/>
      <c r="AS420" s="156"/>
      <c r="AT420" s="156"/>
      <c r="AU420" s="156"/>
      <c r="AV420" s="156"/>
      <c r="AW420" s="156"/>
      <c r="AX420" s="156"/>
      <c r="AY420" s="156"/>
      <c r="AZ420" s="156"/>
      <c r="BA420" s="156"/>
      <c r="BB420" s="2828"/>
      <c r="BC420" s="504"/>
      <c r="BD420" s="2829"/>
      <c r="BE420" s="2837"/>
      <c r="BF420" s="156"/>
    </row>
    <row r="421" spans="1:58" ht="14.5" hidden="1" customHeight="1" outlineLevel="1" x14ac:dyDescent="0.35">
      <c r="A421" s="1071"/>
      <c r="B421" s="106"/>
      <c r="C421" s="103"/>
      <c r="D421" s="4140"/>
      <c r="E421" s="4138"/>
      <c r="F421" s="3919" t="str">
        <f t="shared" si="62"/>
        <v>CAC-SEER21+_ER2_MF</v>
      </c>
      <c r="G421" s="3920"/>
      <c r="H421" s="3921"/>
      <c r="I421" s="2224" t="str">
        <f t="shared" si="63"/>
        <v>351192_2021_12_</v>
      </c>
      <c r="J421" s="2224">
        <v>13</v>
      </c>
      <c r="K421" s="569"/>
      <c r="L421" s="710" t="str">
        <f t="shared" si="61"/>
        <v>MO TRM</v>
      </c>
      <c r="M421" s="103"/>
      <c r="N421" s="1287"/>
      <c r="O421" s="103"/>
      <c r="P421" s="106"/>
      <c r="Q421" s="106"/>
      <c r="R421" s="106"/>
      <c r="S421" s="106"/>
      <c r="T421" s="106"/>
      <c r="U421" s="106"/>
      <c r="V421" s="4023"/>
      <c r="W421" s="2224"/>
      <c r="X421" s="2224"/>
      <c r="Y421" s="2224"/>
      <c r="Z421" s="2374">
        <v>13</v>
      </c>
      <c r="AA421" s="2224">
        <v>13</v>
      </c>
      <c r="AB421" s="2874">
        <v>13</v>
      </c>
      <c r="AC421" s="2224">
        <v>13</v>
      </c>
      <c r="AD421" s="2224">
        <v>13</v>
      </c>
      <c r="AE421" s="2224"/>
      <c r="AF421" s="2224"/>
      <c r="AG421" s="2224"/>
      <c r="AH421" s="156"/>
      <c r="AI421" s="156"/>
      <c r="AJ421" s="156"/>
      <c r="AK421" s="156"/>
      <c r="AL421" s="156"/>
      <c r="AM421" s="156"/>
      <c r="AN421" s="156"/>
      <c r="AO421" s="156"/>
      <c r="AP421" s="156"/>
      <c r="AQ421" s="156"/>
      <c r="AR421" s="156"/>
      <c r="AS421" s="156"/>
      <c r="AT421" s="156"/>
      <c r="AU421" s="156"/>
      <c r="AV421" s="156"/>
      <c r="AW421" s="156"/>
      <c r="AX421" s="156"/>
      <c r="AY421" s="156"/>
      <c r="AZ421" s="156"/>
      <c r="BA421" s="156"/>
      <c r="BB421" s="2828"/>
      <c r="BC421" s="504"/>
      <c r="BD421" s="2829"/>
      <c r="BE421" s="2837"/>
      <c r="BF421" s="156"/>
    </row>
    <row r="422" spans="1:58" ht="14.5" hidden="1" customHeight="1" outlineLevel="1" x14ac:dyDescent="0.35">
      <c r="A422" s="1071"/>
      <c r="B422" s="106"/>
      <c r="C422" s="103"/>
      <c r="D422" s="4140"/>
      <c r="E422" s="4138"/>
      <c r="F422" s="3919" t="str">
        <f t="shared" si="62"/>
        <v>CAC-SEER21+_ER1_MF_CompE</v>
      </c>
      <c r="G422" s="3920"/>
      <c r="H422" s="3921"/>
      <c r="I422" s="576" t="str">
        <f t="shared" si="63"/>
        <v>351193_2021_12_</v>
      </c>
      <c r="J422" s="576"/>
      <c r="K422" s="2049"/>
      <c r="L422" s="710"/>
      <c r="M422" s="103"/>
      <c r="N422" s="1287"/>
      <c r="O422" s="103"/>
      <c r="P422" s="106"/>
      <c r="Q422" s="106"/>
      <c r="R422" s="106"/>
      <c r="S422" s="106"/>
      <c r="T422" s="106"/>
      <c r="U422" s="106"/>
      <c r="V422" s="4023"/>
      <c r="W422" s="576"/>
      <c r="X422" s="576"/>
      <c r="Y422" s="576"/>
      <c r="Z422" s="575"/>
      <c r="AA422" s="576"/>
      <c r="AB422" s="2879"/>
      <c r="AC422" s="576"/>
      <c r="AD422" s="576"/>
      <c r="AE422" s="576"/>
      <c r="AF422" s="576"/>
      <c r="AG422" s="576"/>
      <c r="AH422" s="156"/>
      <c r="AI422" s="156"/>
      <c r="AJ422" s="156"/>
      <c r="AK422" s="156"/>
      <c r="AL422" s="156"/>
      <c r="AM422" s="156"/>
      <c r="AN422" s="156"/>
      <c r="AO422" s="156"/>
      <c r="AP422" s="156"/>
      <c r="AQ422" s="156"/>
      <c r="AR422" s="156"/>
      <c r="AS422" s="156"/>
      <c r="AT422" s="156"/>
      <c r="AU422" s="156"/>
      <c r="AV422" s="156"/>
      <c r="AW422" s="156"/>
      <c r="AX422" s="156"/>
      <c r="AY422" s="156"/>
      <c r="AZ422" s="156"/>
      <c r="BA422" s="156"/>
      <c r="BB422" s="2828"/>
      <c r="BC422" s="504"/>
      <c r="BD422" s="2829"/>
      <c r="BE422" s="2837"/>
      <c r="BF422" s="156"/>
    </row>
    <row r="423" spans="1:58" ht="14.5" hidden="1" customHeight="1" outlineLevel="1" x14ac:dyDescent="0.35">
      <c r="A423" s="1071"/>
      <c r="B423" s="106"/>
      <c r="C423" s="103"/>
      <c r="D423" s="4140"/>
      <c r="E423" s="4138"/>
      <c r="F423" s="3919" t="str">
        <f t="shared" si="62"/>
        <v>CAC-SEER21+_ER2_MF_CompE</v>
      </c>
      <c r="G423" s="3920"/>
      <c r="H423" s="3921"/>
      <c r="I423" s="2224" t="str">
        <f t="shared" si="63"/>
        <v>351193_2021_12_</v>
      </c>
      <c r="J423" s="2224">
        <v>13</v>
      </c>
      <c r="K423" s="569"/>
      <c r="L423" s="710"/>
      <c r="M423" s="103"/>
      <c r="N423" s="1287"/>
      <c r="O423" s="103"/>
      <c r="P423" s="106"/>
      <c r="Q423" s="106"/>
      <c r="R423" s="106"/>
      <c r="S423" s="106"/>
      <c r="T423" s="106"/>
      <c r="U423" s="106"/>
      <c r="V423" s="4023"/>
      <c r="W423" s="576"/>
      <c r="X423" s="576"/>
      <c r="Y423" s="576"/>
      <c r="Z423" s="575">
        <v>13</v>
      </c>
      <c r="AA423" s="576">
        <v>13</v>
      </c>
      <c r="AB423" s="2874">
        <v>13</v>
      </c>
      <c r="AC423" s="2224">
        <v>13</v>
      </c>
      <c r="AD423" s="2224">
        <v>13</v>
      </c>
      <c r="AE423" s="576"/>
      <c r="AF423" s="576"/>
      <c r="AG423" s="576"/>
      <c r="AH423" s="156"/>
      <c r="AI423" s="156"/>
      <c r="AJ423" s="156"/>
      <c r="AK423" s="156"/>
      <c r="AL423" s="156"/>
      <c r="AM423" s="156"/>
      <c r="AN423" s="156"/>
      <c r="AO423" s="156"/>
      <c r="AP423" s="156"/>
      <c r="AQ423" s="156"/>
      <c r="AR423" s="156"/>
      <c r="AS423" s="156"/>
      <c r="AT423" s="156"/>
      <c r="AU423" s="156"/>
      <c r="AV423" s="156"/>
      <c r="AW423" s="156"/>
      <c r="AX423" s="156"/>
      <c r="AY423" s="156"/>
      <c r="AZ423" s="156"/>
      <c r="BA423" s="156"/>
      <c r="BB423" s="2828"/>
      <c r="BC423" s="504"/>
      <c r="BD423" s="2829"/>
      <c r="BE423" s="2837"/>
      <c r="BF423" s="156"/>
    </row>
    <row r="424" spans="1:58" ht="15" hidden="1" customHeight="1" outlineLevel="1" x14ac:dyDescent="0.35">
      <c r="A424" s="1071"/>
      <c r="B424" s="106"/>
      <c r="C424" s="103"/>
      <c r="D424" s="4140"/>
      <c r="E424" s="4138"/>
      <c r="F424" s="3919" t="str">
        <f t="shared" si="62"/>
        <v>CAC-SEER21+_ROF_MF</v>
      </c>
      <c r="G424" s="3920"/>
      <c r="H424" s="3921"/>
      <c r="I424" s="2224" t="str">
        <f t="shared" si="63"/>
        <v>351194_2021_12_</v>
      </c>
      <c r="J424" s="2224">
        <v>13</v>
      </c>
      <c r="K424" s="569"/>
      <c r="L424" s="710" t="str">
        <f>L421</f>
        <v>MO TRM</v>
      </c>
      <c r="M424" s="103"/>
      <c r="N424" s="1287"/>
      <c r="O424" s="103"/>
      <c r="P424" s="106"/>
      <c r="Q424" s="106"/>
      <c r="R424" s="106"/>
      <c r="S424" s="106"/>
      <c r="T424" s="106"/>
      <c r="U424" s="106"/>
      <c r="V424" s="4023"/>
      <c r="W424" s="2224"/>
      <c r="X424" s="2224"/>
      <c r="Y424" s="2224"/>
      <c r="Z424" s="2374">
        <v>13</v>
      </c>
      <c r="AA424" s="2224">
        <v>13</v>
      </c>
      <c r="AB424" s="2874">
        <v>13</v>
      </c>
      <c r="AC424" s="2224">
        <v>13</v>
      </c>
      <c r="AD424" s="2224">
        <v>13</v>
      </c>
      <c r="AE424" s="2224"/>
      <c r="AF424" s="2224"/>
      <c r="AG424" s="2224"/>
      <c r="AH424" s="156"/>
      <c r="AI424" s="156"/>
      <c r="AJ424" s="156"/>
      <c r="AK424" s="156"/>
      <c r="AL424" s="156"/>
      <c r="AM424" s="156"/>
      <c r="AN424" s="156"/>
      <c r="AO424" s="156"/>
      <c r="AP424" s="156"/>
      <c r="AQ424" s="156"/>
      <c r="AR424" s="156"/>
      <c r="AS424" s="156"/>
      <c r="AT424" s="156"/>
      <c r="AU424" s="156"/>
      <c r="AV424" s="156"/>
      <c r="AW424" s="156"/>
      <c r="AX424" s="156"/>
      <c r="AY424" s="156"/>
      <c r="AZ424" s="156"/>
      <c r="BA424" s="156"/>
      <c r="BB424" s="2828"/>
      <c r="BC424" s="504"/>
      <c r="BD424" s="2829"/>
      <c r="BE424" s="2837"/>
      <c r="BF424" s="156"/>
    </row>
    <row r="425" spans="1:58" ht="15" hidden="1" customHeight="1" outlineLevel="1" thickBot="1" x14ac:dyDescent="0.4">
      <c r="A425" s="1071"/>
      <c r="B425" s="106"/>
      <c r="C425" s="103"/>
      <c r="D425" s="4141"/>
      <c r="E425" s="4139"/>
      <c r="F425" s="3922" t="str">
        <f t="shared" si="62"/>
        <v>CAC-SEER21+_ROF_MF_CompE</v>
      </c>
      <c r="G425" s="3923"/>
      <c r="H425" s="3924"/>
      <c r="I425" s="2227" t="str">
        <f t="shared" si="63"/>
        <v>351195_2021_12_</v>
      </c>
      <c r="J425" s="2227">
        <v>13</v>
      </c>
      <c r="K425" s="518"/>
      <c r="L425" s="2052"/>
      <c r="M425" s="103"/>
      <c r="N425" s="1287"/>
      <c r="O425" s="103"/>
      <c r="P425" s="106"/>
      <c r="Q425" s="106"/>
      <c r="R425" s="106"/>
      <c r="S425" s="106"/>
      <c r="T425" s="106"/>
      <c r="U425" s="106"/>
      <c r="V425" s="4024"/>
      <c r="W425" s="578"/>
      <c r="X425" s="578"/>
      <c r="Y425" s="578"/>
      <c r="Z425" s="577">
        <v>13</v>
      </c>
      <c r="AA425" s="578">
        <v>13</v>
      </c>
      <c r="AB425" s="2885">
        <v>13</v>
      </c>
      <c r="AC425" s="2227">
        <v>13</v>
      </c>
      <c r="AD425" s="2227">
        <v>13</v>
      </c>
      <c r="AE425" s="578"/>
      <c r="AF425" s="578"/>
      <c r="AG425" s="578"/>
      <c r="AH425" s="156"/>
      <c r="AI425" s="156"/>
      <c r="AJ425" s="156"/>
      <c r="AK425" s="156"/>
      <c r="AL425" s="156"/>
      <c r="AM425" s="156"/>
      <c r="AN425" s="156"/>
      <c r="AO425" s="156"/>
      <c r="AP425" s="156"/>
      <c r="AQ425" s="156"/>
      <c r="AR425" s="156"/>
      <c r="AS425" s="156"/>
      <c r="AT425" s="156"/>
      <c r="AU425" s="156"/>
      <c r="AV425" s="156"/>
      <c r="AW425" s="156"/>
      <c r="AX425" s="156"/>
      <c r="AY425" s="156"/>
      <c r="AZ425" s="156"/>
      <c r="BA425" s="156"/>
      <c r="BB425" s="2828"/>
      <c r="BC425" s="504"/>
      <c r="BD425" s="2829"/>
      <c r="BE425" s="2837"/>
      <c r="BF425" s="156"/>
    </row>
    <row r="426" spans="1:58" ht="14.5" hidden="1" customHeight="1" outlineLevel="1" x14ac:dyDescent="0.35">
      <c r="A426" s="1071"/>
      <c r="B426" s="106"/>
      <c r="C426" s="103"/>
      <c r="D426" s="4021" t="s">
        <v>978</v>
      </c>
      <c r="E426" s="4115" t="s">
        <v>979</v>
      </c>
      <c r="F426" s="3925" t="str">
        <f t="shared" si="62"/>
        <v>CAC-SEER14_ER1_SF</v>
      </c>
      <c r="G426" s="3926"/>
      <c r="H426" s="3927"/>
      <c r="I426" s="2228" t="str">
        <f t="shared" si="63"/>
        <v>350400_2021_12_</v>
      </c>
      <c r="J426" s="2053">
        <v>14.14</v>
      </c>
      <c r="K426" s="2054"/>
      <c r="L426" s="2055" t="s">
        <v>971</v>
      </c>
      <c r="M426" s="103"/>
      <c r="N426" s="1287"/>
      <c r="O426" s="103"/>
      <c r="P426" s="106"/>
      <c r="Q426" s="106"/>
      <c r="R426" s="106"/>
      <c r="S426" s="106"/>
      <c r="T426" s="106"/>
      <c r="U426" s="106"/>
      <c r="V426" s="4021" t="str">
        <f>D426</f>
        <v>SEERee</v>
      </c>
      <c r="W426" s="2228">
        <v>14.2</v>
      </c>
      <c r="X426" s="582">
        <v>14.16</v>
      </c>
      <c r="Y426" s="582">
        <v>14.14</v>
      </c>
      <c r="Z426" s="1785">
        <v>14.14</v>
      </c>
      <c r="AA426" s="1785">
        <v>14.14</v>
      </c>
      <c r="AB426" s="2886">
        <v>14.14</v>
      </c>
      <c r="AC426" s="2053">
        <v>14.14</v>
      </c>
      <c r="AD426" s="2053">
        <v>14.14</v>
      </c>
      <c r="AE426" s="2228"/>
      <c r="AF426" s="2228"/>
      <c r="AG426" s="2228"/>
      <c r="AH426" s="156"/>
      <c r="AI426" s="156"/>
      <c r="AJ426" s="156"/>
      <c r="AK426" s="156"/>
      <c r="AL426" s="156"/>
      <c r="AM426" s="156"/>
      <c r="AN426" s="156"/>
      <c r="AO426" s="156"/>
      <c r="AP426" s="156"/>
      <c r="AQ426" s="156"/>
      <c r="AR426" s="156"/>
      <c r="AS426" s="156"/>
      <c r="AT426" s="156"/>
      <c r="AU426" s="156"/>
      <c r="AV426" s="156"/>
      <c r="AW426" s="156"/>
      <c r="AX426" s="156"/>
      <c r="AY426" s="156"/>
      <c r="AZ426" s="156"/>
      <c r="BA426" s="156"/>
      <c r="BB426" s="2828"/>
      <c r="BC426" s="504"/>
      <c r="BD426" s="2829"/>
      <c r="BE426" s="2837"/>
      <c r="BF426" s="156"/>
    </row>
    <row r="427" spans="1:58" ht="14.5" hidden="1" customHeight="1" outlineLevel="1" x14ac:dyDescent="0.35">
      <c r="A427" s="1071"/>
      <c r="B427" s="106"/>
      <c r="C427" s="103"/>
      <c r="D427" s="4022"/>
      <c r="E427" s="4111"/>
      <c r="F427" s="3919" t="str">
        <f t="shared" si="62"/>
        <v>CAC-SEER14_ER2_SF</v>
      </c>
      <c r="G427" s="3920"/>
      <c r="H427" s="3921"/>
      <c r="I427" s="2224" t="str">
        <f t="shared" si="63"/>
        <v>350400_2021_12_</v>
      </c>
      <c r="J427" s="1840">
        <v>14.14</v>
      </c>
      <c r="K427" s="1592"/>
      <c r="L427" s="2056" t="s">
        <v>971</v>
      </c>
      <c r="M427" s="103"/>
      <c r="N427" s="1287"/>
      <c r="O427" s="103"/>
      <c r="P427" s="106"/>
      <c r="Q427" s="106"/>
      <c r="R427" s="106"/>
      <c r="S427" s="106"/>
      <c r="T427" s="106"/>
      <c r="U427" s="106"/>
      <c r="V427" s="4022"/>
      <c r="W427" s="2224">
        <v>14.2</v>
      </c>
      <c r="X427" s="584">
        <v>14.16</v>
      </c>
      <c r="Y427" s="584">
        <v>14.14</v>
      </c>
      <c r="Z427" s="583">
        <v>14.14</v>
      </c>
      <c r="AA427" s="583">
        <v>14.14</v>
      </c>
      <c r="AB427" s="2887">
        <v>14.14</v>
      </c>
      <c r="AC427" s="1840">
        <v>14.14</v>
      </c>
      <c r="AD427" s="1840">
        <v>14.14</v>
      </c>
      <c r="AE427" s="2224"/>
      <c r="AF427" s="2224"/>
      <c r="AG427" s="2224"/>
      <c r="AH427" s="156"/>
      <c r="AI427" s="156"/>
      <c r="AJ427" s="156"/>
      <c r="AK427" s="156"/>
      <c r="AL427" s="156"/>
      <c r="AM427" s="156"/>
      <c r="AN427" s="156"/>
      <c r="AO427" s="156"/>
      <c r="AP427" s="156"/>
      <c r="AQ427" s="156"/>
      <c r="AR427" s="156"/>
      <c r="AS427" s="156"/>
      <c r="AT427" s="156"/>
      <c r="AU427" s="156"/>
      <c r="AV427" s="156"/>
      <c r="AW427" s="156"/>
      <c r="AX427" s="156"/>
      <c r="AY427" s="156"/>
      <c r="AZ427" s="156"/>
      <c r="BA427" s="156"/>
      <c r="BB427" s="2828"/>
      <c r="BC427" s="504"/>
      <c r="BD427" s="2829"/>
      <c r="BE427" s="2837"/>
      <c r="BF427" s="156"/>
    </row>
    <row r="428" spans="1:58" ht="14.5" hidden="1" customHeight="1" outlineLevel="1" x14ac:dyDescent="0.35">
      <c r="A428" s="1071"/>
      <c r="B428" s="106"/>
      <c r="C428" s="103"/>
      <c r="D428" s="4022"/>
      <c r="E428" s="4111"/>
      <c r="F428" s="3919" t="str">
        <f t="shared" si="62"/>
        <v>CAC-SEER14_ROF_SF</v>
      </c>
      <c r="G428" s="3920"/>
      <c r="H428" s="3921"/>
      <c r="I428" s="2224" t="str">
        <f t="shared" si="63"/>
        <v>350450_2021_12_</v>
      </c>
      <c r="J428" s="1840">
        <v>14.14</v>
      </c>
      <c r="K428" s="1592"/>
      <c r="L428" s="2056" t="s">
        <v>971</v>
      </c>
      <c r="M428" s="103"/>
      <c r="N428" s="1287"/>
      <c r="O428" s="103"/>
      <c r="P428" s="106"/>
      <c r="Q428" s="106"/>
      <c r="R428" s="106"/>
      <c r="S428" s="106"/>
      <c r="T428" s="106"/>
      <c r="U428" s="106"/>
      <c r="V428" s="4022"/>
      <c r="W428" s="2224">
        <v>14.2</v>
      </c>
      <c r="X428" s="584">
        <f>X427</f>
        <v>14.16</v>
      </c>
      <c r="Y428" s="584">
        <v>14.14</v>
      </c>
      <c r="Z428" s="583">
        <v>14.14</v>
      </c>
      <c r="AA428" s="583">
        <v>14.14</v>
      </c>
      <c r="AB428" s="2887">
        <v>14.14</v>
      </c>
      <c r="AC428" s="1840">
        <v>14.14</v>
      </c>
      <c r="AD428" s="1840">
        <v>14.14</v>
      </c>
      <c r="AE428" s="2224"/>
      <c r="AF428" s="2224"/>
      <c r="AG428" s="2224"/>
      <c r="AH428" s="156"/>
      <c r="AI428" s="156"/>
      <c r="AJ428" s="156"/>
      <c r="AK428" s="156"/>
      <c r="AL428" s="156"/>
      <c r="AM428" s="156"/>
      <c r="AN428" s="156"/>
      <c r="AO428" s="156"/>
      <c r="AP428" s="156"/>
      <c r="AQ428" s="156"/>
      <c r="AR428" s="156"/>
      <c r="AS428" s="156"/>
      <c r="AT428" s="156"/>
      <c r="AU428" s="156"/>
      <c r="AV428" s="156"/>
      <c r="AW428" s="156"/>
      <c r="AX428" s="156"/>
      <c r="AY428" s="156"/>
      <c r="AZ428" s="156"/>
      <c r="BA428" s="156"/>
      <c r="BB428" s="2828"/>
      <c r="BC428" s="504"/>
      <c r="BD428" s="2829"/>
      <c r="BE428" s="2837"/>
      <c r="BF428" s="156"/>
    </row>
    <row r="429" spans="1:58" ht="43.5" hidden="1" outlineLevel="1" x14ac:dyDescent="0.35">
      <c r="A429" s="1071"/>
      <c r="B429" s="106"/>
      <c r="C429" s="103"/>
      <c r="D429" s="4022"/>
      <c r="E429" s="4111"/>
      <c r="F429" s="3919" t="str">
        <f t="shared" si="62"/>
        <v>CAC-SEER14_ER1_MF</v>
      </c>
      <c r="G429" s="3920"/>
      <c r="H429" s="3921"/>
      <c r="I429" s="2224" t="str">
        <f t="shared" si="63"/>
        <v>350500_2021_12_</v>
      </c>
      <c r="J429" s="1840">
        <v>14</v>
      </c>
      <c r="K429" s="1592"/>
      <c r="L429" s="2056" t="s">
        <v>980</v>
      </c>
      <c r="M429" s="103"/>
      <c r="N429" s="1287"/>
      <c r="O429" s="103"/>
      <c r="P429" s="106"/>
      <c r="Q429" s="106"/>
      <c r="R429" s="106"/>
      <c r="S429" s="106"/>
      <c r="T429" s="106"/>
      <c r="U429" s="106"/>
      <c r="V429" s="4022"/>
      <c r="W429" s="2224">
        <v>14.2</v>
      </c>
      <c r="X429" s="584">
        <v>14.5</v>
      </c>
      <c r="Y429" s="584">
        <v>14</v>
      </c>
      <c r="Z429" s="583">
        <v>14</v>
      </c>
      <c r="AA429" s="583">
        <v>14</v>
      </c>
      <c r="AB429" s="2887">
        <v>14</v>
      </c>
      <c r="AC429" s="1840">
        <v>14</v>
      </c>
      <c r="AD429" s="1840">
        <v>14</v>
      </c>
      <c r="AE429" s="2224"/>
      <c r="AF429" s="2224"/>
      <c r="AG429" s="2224"/>
      <c r="AH429" s="156"/>
      <c r="AI429" s="156"/>
      <c r="AJ429" s="156"/>
      <c r="AK429" s="156"/>
      <c r="AL429" s="156"/>
      <c r="AM429" s="156"/>
      <c r="AN429" s="156"/>
      <c r="AO429" s="156"/>
      <c r="AP429" s="156"/>
      <c r="AQ429" s="156"/>
      <c r="AR429" s="156"/>
      <c r="AS429" s="156"/>
      <c r="AT429" s="156"/>
      <c r="AU429" s="156"/>
      <c r="AV429" s="156"/>
      <c r="AW429" s="156"/>
      <c r="AX429" s="156"/>
      <c r="AY429" s="156"/>
      <c r="AZ429" s="156"/>
      <c r="BA429" s="156"/>
      <c r="BB429" s="2828"/>
      <c r="BC429" s="504"/>
      <c r="BD429" s="2829"/>
      <c r="BE429" s="2837"/>
      <c r="BF429" s="156"/>
    </row>
    <row r="430" spans="1:58" ht="43.5" hidden="1" outlineLevel="1" x14ac:dyDescent="0.35">
      <c r="A430" s="1071"/>
      <c r="B430" s="106"/>
      <c r="C430" s="103"/>
      <c r="D430" s="4022"/>
      <c r="E430" s="4111"/>
      <c r="F430" s="3919" t="str">
        <f t="shared" si="62"/>
        <v>CAC-SEER14_ER2_MF</v>
      </c>
      <c r="G430" s="3920"/>
      <c r="H430" s="3921"/>
      <c r="I430" s="2224" t="str">
        <f t="shared" si="63"/>
        <v>350500_2021_12_</v>
      </c>
      <c r="J430" s="1840">
        <v>14</v>
      </c>
      <c r="K430" s="1592"/>
      <c r="L430" s="2056" t="s">
        <v>980</v>
      </c>
      <c r="M430" s="103"/>
      <c r="N430" s="1287"/>
      <c r="O430" s="103"/>
      <c r="P430" s="106"/>
      <c r="Q430" s="106"/>
      <c r="R430" s="106"/>
      <c r="S430" s="106"/>
      <c r="T430" s="106"/>
      <c r="U430" s="106"/>
      <c r="V430" s="4022"/>
      <c r="W430" s="2224">
        <v>14.2</v>
      </c>
      <c r="X430" s="584">
        <v>14.5</v>
      </c>
      <c r="Y430" s="584">
        <v>14</v>
      </c>
      <c r="Z430" s="583">
        <v>14</v>
      </c>
      <c r="AA430" s="583">
        <v>14</v>
      </c>
      <c r="AB430" s="2887">
        <v>14</v>
      </c>
      <c r="AC430" s="1840">
        <v>14</v>
      </c>
      <c r="AD430" s="1840">
        <v>14</v>
      </c>
      <c r="AE430" s="2224"/>
      <c r="AF430" s="2224"/>
      <c r="AG430" s="2224"/>
      <c r="AH430" s="156"/>
      <c r="AI430" s="156"/>
      <c r="AJ430" s="156"/>
      <c r="AK430" s="156"/>
      <c r="AL430" s="156"/>
      <c r="AM430" s="156"/>
      <c r="AN430" s="156"/>
      <c r="AO430" s="156"/>
      <c r="AP430" s="156"/>
      <c r="AQ430" s="156"/>
      <c r="AR430" s="156"/>
      <c r="AS430" s="156"/>
      <c r="AT430" s="156"/>
      <c r="AU430" s="156"/>
      <c r="AV430" s="156"/>
      <c r="AW430" s="156"/>
      <c r="AX430" s="156"/>
      <c r="AY430" s="156"/>
      <c r="AZ430" s="156"/>
      <c r="BA430" s="156"/>
      <c r="BB430" s="2828"/>
      <c r="BC430" s="504"/>
      <c r="BD430" s="2829"/>
      <c r="BE430" s="2837"/>
      <c r="BF430" s="156"/>
    </row>
    <row r="431" spans="1:58" hidden="1" outlineLevel="1" x14ac:dyDescent="0.35">
      <c r="A431" s="1071"/>
      <c r="B431" s="106"/>
      <c r="C431" s="103"/>
      <c r="D431" s="4022"/>
      <c r="E431" s="4111"/>
      <c r="F431" s="3919" t="str">
        <f t="shared" si="62"/>
        <v>CAC-SEER14_ER1_MF_CompE</v>
      </c>
      <c r="G431" s="3920"/>
      <c r="H431" s="3921"/>
      <c r="I431" s="2224" t="str">
        <f t="shared" si="63"/>
        <v>350501_2021_12_</v>
      </c>
      <c r="J431" s="1840">
        <v>14</v>
      </c>
      <c r="K431" s="1592"/>
      <c r="L431" s="2056"/>
      <c r="M431" s="103"/>
      <c r="N431" s="1287"/>
      <c r="O431" s="103"/>
      <c r="P431" s="106"/>
      <c r="Q431" s="106"/>
      <c r="R431" s="106"/>
      <c r="S431" s="106"/>
      <c r="T431" s="106"/>
      <c r="U431" s="106"/>
      <c r="V431" s="4022"/>
      <c r="W431" s="2224"/>
      <c r="X431" s="584"/>
      <c r="Y431" s="584">
        <v>14</v>
      </c>
      <c r="Z431" s="583">
        <v>14</v>
      </c>
      <c r="AA431" s="583">
        <v>14</v>
      </c>
      <c r="AB431" s="2887">
        <v>14</v>
      </c>
      <c r="AC431" s="1840">
        <v>14</v>
      </c>
      <c r="AD431" s="1840">
        <v>14</v>
      </c>
      <c r="AE431" s="2224"/>
      <c r="AF431" s="2224"/>
      <c r="AG431" s="2224"/>
      <c r="AH431" s="156"/>
      <c r="AI431" s="156"/>
      <c r="AJ431" s="156"/>
      <c r="AK431" s="156"/>
      <c r="AL431" s="156"/>
      <c r="AM431" s="156"/>
      <c r="AN431" s="156"/>
      <c r="AO431" s="156"/>
      <c r="AP431" s="156"/>
      <c r="AQ431" s="156"/>
      <c r="AR431" s="156"/>
      <c r="AS431" s="156"/>
      <c r="AT431" s="156"/>
      <c r="AU431" s="156"/>
      <c r="AV431" s="156"/>
      <c r="AW431" s="156"/>
      <c r="AX431" s="156"/>
      <c r="AY431" s="156"/>
      <c r="AZ431" s="156"/>
      <c r="BA431" s="156"/>
      <c r="BB431" s="2828"/>
      <c r="BC431" s="504"/>
      <c r="BD431" s="2829"/>
      <c r="BE431" s="2837"/>
      <c r="BF431" s="156"/>
    </row>
    <row r="432" spans="1:58" hidden="1" outlineLevel="1" x14ac:dyDescent="0.35">
      <c r="A432" s="1071"/>
      <c r="B432" s="106"/>
      <c r="C432" s="103"/>
      <c r="D432" s="4022"/>
      <c r="E432" s="4111"/>
      <c r="F432" s="3919" t="str">
        <f t="shared" si="62"/>
        <v>CAC-SEER14_ER2_MF_CompE</v>
      </c>
      <c r="G432" s="3920"/>
      <c r="H432" s="3921"/>
      <c r="I432" s="2224" t="str">
        <f t="shared" si="63"/>
        <v>350501_2021_12_</v>
      </c>
      <c r="J432" s="1840">
        <v>14</v>
      </c>
      <c r="K432" s="1592"/>
      <c r="L432" s="2056"/>
      <c r="M432" s="103"/>
      <c r="N432" s="1287"/>
      <c r="O432" s="103"/>
      <c r="P432" s="106"/>
      <c r="Q432" s="106"/>
      <c r="R432" s="106"/>
      <c r="S432" s="106"/>
      <c r="T432" s="106"/>
      <c r="U432" s="106"/>
      <c r="V432" s="4022"/>
      <c r="W432" s="2224"/>
      <c r="X432" s="584"/>
      <c r="Y432" s="584">
        <v>14</v>
      </c>
      <c r="Z432" s="583">
        <v>14</v>
      </c>
      <c r="AA432" s="583">
        <v>14</v>
      </c>
      <c r="AB432" s="2887">
        <v>14</v>
      </c>
      <c r="AC432" s="1840">
        <v>14</v>
      </c>
      <c r="AD432" s="1840">
        <v>14</v>
      </c>
      <c r="AE432" s="2224"/>
      <c r="AF432" s="2224"/>
      <c r="AG432" s="2224"/>
      <c r="AH432" s="156"/>
      <c r="AI432" s="156"/>
      <c r="AJ432" s="156"/>
      <c r="AK432" s="156"/>
      <c r="AL432" s="156"/>
      <c r="AM432" s="156"/>
      <c r="AN432" s="156"/>
      <c r="AO432" s="156"/>
      <c r="AP432" s="156"/>
      <c r="AQ432" s="156"/>
      <c r="AR432" s="156"/>
      <c r="AS432" s="156"/>
      <c r="AT432" s="156"/>
      <c r="AU432" s="156"/>
      <c r="AV432" s="156"/>
      <c r="AW432" s="156"/>
      <c r="AX432" s="156"/>
      <c r="AY432" s="156"/>
      <c r="AZ432" s="156"/>
      <c r="BA432" s="156"/>
      <c r="BB432" s="2828"/>
      <c r="BC432" s="504"/>
      <c r="BD432" s="2829"/>
      <c r="BE432" s="2837"/>
      <c r="BF432" s="156"/>
    </row>
    <row r="433" spans="1:58" ht="43.5" hidden="1" outlineLevel="1" x14ac:dyDescent="0.35">
      <c r="A433" s="1071"/>
      <c r="B433" s="106"/>
      <c r="C433" s="103"/>
      <c r="D433" s="4022"/>
      <c r="E433" s="4111"/>
      <c r="F433" s="3919" t="str">
        <f t="shared" si="62"/>
        <v>CAC-SEER14_ROF_MF</v>
      </c>
      <c r="G433" s="3920"/>
      <c r="H433" s="3921"/>
      <c r="I433" s="2224" t="str">
        <f t="shared" si="63"/>
        <v>350550_2021_12_</v>
      </c>
      <c r="J433" s="1840">
        <v>14</v>
      </c>
      <c r="K433" s="1592"/>
      <c r="L433" s="2056" t="s">
        <v>980</v>
      </c>
      <c r="M433" s="103"/>
      <c r="N433" s="1287"/>
      <c r="O433" s="103"/>
      <c r="P433" s="106"/>
      <c r="Q433" s="106"/>
      <c r="R433" s="106"/>
      <c r="S433" s="106"/>
      <c r="T433" s="106"/>
      <c r="U433" s="106"/>
      <c r="V433" s="4022"/>
      <c r="W433" s="2224">
        <v>14.2</v>
      </c>
      <c r="X433" s="584">
        <v>14.5</v>
      </c>
      <c r="Y433" s="584">
        <v>14</v>
      </c>
      <c r="Z433" s="583">
        <v>14</v>
      </c>
      <c r="AA433" s="583">
        <v>14</v>
      </c>
      <c r="AB433" s="2887">
        <v>14</v>
      </c>
      <c r="AC433" s="1840">
        <v>14</v>
      </c>
      <c r="AD433" s="1840">
        <v>14</v>
      </c>
      <c r="AE433" s="2224"/>
      <c r="AF433" s="2224"/>
      <c r="AG433" s="2224"/>
      <c r="AH433" s="156"/>
      <c r="AI433" s="156"/>
      <c r="AJ433" s="156"/>
      <c r="AK433" s="156"/>
      <c r="AL433" s="156"/>
      <c r="AM433" s="156"/>
      <c r="AN433" s="156"/>
      <c r="AO433" s="156"/>
      <c r="AP433" s="156"/>
      <c r="AQ433" s="156"/>
      <c r="AR433" s="156"/>
      <c r="AS433" s="156"/>
      <c r="AT433" s="156"/>
      <c r="AU433" s="156"/>
      <c r="AV433" s="156"/>
      <c r="AW433" s="156"/>
      <c r="AX433" s="156"/>
      <c r="AY433" s="156"/>
      <c r="AZ433" s="156"/>
      <c r="BA433" s="156"/>
      <c r="BB433" s="2828"/>
      <c r="BC433" s="504"/>
      <c r="BD433" s="2829"/>
      <c r="BE433" s="2837"/>
      <c r="BF433" s="156"/>
    </row>
    <row r="434" spans="1:58" hidden="1" outlineLevel="1" x14ac:dyDescent="0.35">
      <c r="A434" s="1071"/>
      <c r="B434" s="106"/>
      <c r="C434" s="103"/>
      <c r="D434" s="4022"/>
      <c r="E434" s="4111"/>
      <c r="F434" s="3919" t="str">
        <f t="shared" si="62"/>
        <v>CAC-SEER14_ROF_MF_CompE</v>
      </c>
      <c r="G434" s="3920"/>
      <c r="H434" s="3921"/>
      <c r="I434" s="2224" t="str">
        <f t="shared" si="63"/>
        <v>350551_2021_12_</v>
      </c>
      <c r="J434" s="1840">
        <v>14</v>
      </c>
      <c r="K434" s="1592"/>
      <c r="L434" s="2056"/>
      <c r="M434" s="103"/>
      <c r="N434" s="1287"/>
      <c r="O434" s="103"/>
      <c r="P434" s="106"/>
      <c r="Q434" s="106"/>
      <c r="R434" s="106"/>
      <c r="S434" s="106"/>
      <c r="T434" s="106"/>
      <c r="U434" s="106"/>
      <c r="V434" s="4022"/>
      <c r="W434" s="2224"/>
      <c r="X434" s="584"/>
      <c r="Y434" s="584">
        <v>14</v>
      </c>
      <c r="Z434" s="583">
        <v>14</v>
      </c>
      <c r="AA434" s="583">
        <v>14</v>
      </c>
      <c r="AB434" s="2887">
        <v>14</v>
      </c>
      <c r="AC434" s="1840">
        <v>14</v>
      </c>
      <c r="AD434" s="1840">
        <v>14</v>
      </c>
      <c r="AE434" s="2224"/>
      <c r="AF434" s="2224"/>
      <c r="AG434" s="2224"/>
      <c r="AH434" s="156"/>
      <c r="AI434" s="156"/>
      <c r="AJ434" s="156"/>
      <c r="AK434" s="156"/>
      <c r="AL434" s="156"/>
      <c r="AM434" s="156"/>
      <c r="AN434" s="156"/>
      <c r="AO434" s="156"/>
      <c r="AP434" s="156"/>
      <c r="AQ434" s="156"/>
      <c r="AR434" s="156"/>
      <c r="AS434" s="156"/>
      <c r="AT434" s="156"/>
      <c r="AU434" s="156"/>
      <c r="AV434" s="156"/>
      <c r="AW434" s="156"/>
      <c r="AX434" s="156"/>
      <c r="AY434" s="156"/>
      <c r="AZ434" s="156"/>
      <c r="BA434" s="156"/>
      <c r="BB434" s="2828"/>
      <c r="BC434" s="504"/>
      <c r="BD434" s="2829"/>
      <c r="BE434" s="2837"/>
      <c r="BF434" s="156"/>
    </row>
    <row r="435" spans="1:58" hidden="1" outlineLevel="1" x14ac:dyDescent="0.35">
      <c r="A435" s="1071"/>
      <c r="B435" s="106"/>
      <c r="C435" s="103"/>
      <c r="D435" s="4022"/>
      <c r="E435" s="4111"/>
      <c r="F435" s="3919" t="str">
        <f t="shared" si="62"/>
        <v>CAC-SEER15_ER1_SF</v>
      </c>
      <c r="G435" s="3920"/>
      <c r="H435" s="3921"/>
      <c r="I435" s="2224" t="str">
        <f t="shared" si="63"/>
        <v>350600_2021_12_</v>
      </c>
      <c r="J435" s="2730">
        <v>15.105013250883337</v>
      </c>
      <c r="K435" s="1592"/>
      <c r="L435" s="2729" t="s">
        <v>4360</v>
      </c>
      <c r="M435" s="103"/>
      <c r="N435" s="1287"/>
      <c r="O435" s="103"/>
      <c r="P435" s="106"/>
      <c r="Q435" s="106"/>
      <c r="R435" s="106"/>
      <c r="S435" s="106"/>
      <c r="T435" s="106"/>
      <c r="U435" s="106"/>
      <c r="V435" s="4022"/>
      <c r="W435" s="2224">
        <v>15.2</v>
      </c>
      <c r="X435" s="584">
        <v>15.16</v>
      </c>
      <c r="Y435" s="584">
        <v>15.16</v>
      </c>
      <c r="Z435" s="583">
        <v>15.16</v>
      </c>
      <c r="AA435" s="583">
        <v>15.16</v>
      </c>
      <c r="AB435" s="1797">
        <v>15.107566616390109</v>
      </c>
      <c r="AC435" s="1797">
        <v>15.097858431018889</v>
      </c>
      <c r="AD435" s="2730">
        <v>15.105013250883337</v>
      </c>
      <c r="AE435" s="2224"/>
      <c r="AF435" s="2224"/>
      <c r="AG435" s="2224"/>
      <c r="AH435" s="156"/>
      <c r="AI435" s="156"/>
      <c r="AJ435" s="156"/>
      <c r="AK435" s="156"/>
      <c r="AL435" s="156"/>
      <c r="AM435" s="156"/>
      <c r="AN435" s="156"/>
      <c r="AO435" s="156"/>
      <c r="AP435" s="156"/>
      <c r="AQ435" s="156"/>
      <c r="AR435" s="156"/>
      <c r="AS435" s="156"/>
      <c r="AT435" s="156"/>
      <c r="AU435" s="156"/>
      <c r="AV435" s="156"/>
      <c r="AW435" s="156"/>
      <c r="AX435" s="156"/>
      <c r="AY435" s="156"/>
      <c r="AZ435" s="156"/>
      <c r="BA435" s="156"/>
      <c r="BB435" s="2828"/>
      <c r="BC435" s="504"/>
      <c r="BD435" s="2829"/>
      <c r="BE435" s="2837"/>
      <c r="BF435" s="156"/>
    </row>
    <row r="436" spans="1:58" hidden="1" outlineLevel="1" x14ac:dyDescent="0.35">
      <c r="A436" s="1071"/>
      <c r="B436" s="106"/>
      <c r="C436" s="103"/>
      <c r="D436" s="4022"/>
      <c r="E436" s="4111"/>
      <c r="F436" s="3919" t="str">
        <f t="shared" si="62"/>
        <v>CAC-SEER15_ER2_SF</v>
      </c>
      <c r="G436" s="3920"/>
      <c r="H436" s="3921"/>
      <c r="I436" s="2224" t="str">
        <f t="shared" si="63"/>
        <v>350600_2021_12_</v>
      </c>
      <c r="J436" s="1797">
        <f>J435</f>
        <v>15.105013250883337</v>
      </c>
      <c r="K436" s="1592"/>
      <c r="L436" s="2729" t="s">
        <v>4360</v>
      </c>
      <c r="M436" s="103"/>
      <c r="N436" s="1287"/>
      <c r="O436" s="103"/>
      <c r="P436" s="106"/>
      <c r="Q436" s="106"/>
      <c r="R436" s="106"/>
      <c r="S436" s="106"/>
      <c r="T436" s="106"/>
      <c r="U436" s="106"/>
      <c r="V436" s="4022"/>
      <c r="W436" s="2224">
        <v>15.2</v>
      </c>
      <c r="X436" s="584">
        <v>15.16</v>
      </c>
      <c r="Y436" s="584">
        <v>15.16</v>
      </c>
      <c r="Z436" s="583">
        <v>15.16</v>
      </c>
      <c r="AA436" s="583">
        <v>15.16</v>
      </c>
      <c r="AB436" s="1797">
        <v>15.107566616390109</v>
      </c>
      <c r="AC436" s="1797">
        <v>15.097858431018889</v>
      </c>
      <c r="AD436" s="1797">
        <f>AD435</f>
        <v>15.105013250883337</v>
      </c>
      <c r="AE436" s="2224"/>
      <c r="AF436" s="2224"/>
      <c r="AG436" s="2224"/>
      <c r="AH436" s="156"/>
      <c r="AI436" s="156"/>
      <c r="AJ436" s="156"/>
      <c r="AK436" s="156"/>
      <c r="AL436" s="156"/>
      <c r="AM436" s="156"/>
      <c r="AN436" s="156"/>
      <c r="AO436" s="156"/>
      <c r="AP436" s="156"/>
      <c r="AQ436" s="156"/>
      <c r="AR436" s="156"/>
      <c r="AS436" s="156"/>
      <c r="AT436" s="156"/>
      <c r="AU436" s="156"/>
      <c r="AV436" s="156"/>
      <c r="AW436" s="156"/>
      <c r="AX436" s="156"/>
      <c r="AY436" s="156"/>
      <c r="AZ436" s="156"/>
      <c r="BA436" s="156"/>
      <c r="BB436" s="2828"/>
      <c r="BC436" s="504"/>
      <c r="BD436" s="2829"/>
      <c r="BE436" s="2837"/>
      <c r="BF436" s="156"/>
    </row>
    <row r="437" spans="1:58" hidden="1" outlineLevel="1" x14ac:dyDescent="0.35">
      <c r="A437" s="1071"/>
      <c r="B437" s="106"/>
      <c r="C437" s="103"/>
      <c r="D437" s="4022"/>
      <c r="E437" s="4111"/>
      <c r="F437" s="3919" t="str">
        <f t="shared" si="62"/>
        <v>CAC-SEER15_ROF_SF</v>
      </c>
      <c r="G437" s="3920"/>
      <c r="H437" s="3921"/>
      <c r="I437" s="2224" t="str">
        <f t="shared" si="63"/>
        <v>350650_2021_12_</v>
      </c>
      <c r="J437" s="2730">
        <v>15.098944337811908</v>
      </c>
      <c r="K437" s="1592"/>
      <c r="L437" s="2729" t="s">
        <v>4360</v>
      </c>
      <c r="M437" s="103"/>
      <c r="N437" s="1287"/>
      <c r="O437" s="103"/>
      <c r="P437" s="106"/>
      <c r="Q437" s="106"/>
      <c r="R437" s="106"/>
      <c r="S437" s="106"/>
      <c r="T437" s="106"/>
      <c r="U437" s="106"/>
      <c r="V437" s="4022"/>
      <c r="W437" s="2224">
        <v>15.1</v>
      </c>
      <c r="X437" s="584">
        <v>15.16</v>
      </c>
      <c r="Y437" s="584">
        <v>15.13</v>
      </c>
      <c r="Z437" s="583">
        <v>15.13</v>
      </c>
      <c r="AA437" s="583">
        <v>15.13</v>
      </c>
      <c r="AB437" s="1797">
        <v>15.119400630914827</v>
      </c>
      <c r="AC437" s="1797">
        <v>15.106015037593986</v>
      </c>
      <c r="AD437" s="2730">
        <v>15.098944337811908</v>
      </c>
      <c r="AE437" s="2224"/>
      <c r="AF437" s="2224"/>
      <c r="AG437" s="2224"/>
      <c r="AH437" s="156"/>
      <c r="AI437" s="156"/>
      <c r="AJ437" s="156"/>
      <c r="AK437" s="156"/>
      <c r="AL437" s="156"/>
      <c r="AM437" s="156"/>
      <c r="AN437" s="156"/>
      <c r="AO437" s="156"/>
      <c r="AP437" s="156"/>
      <c r="AQ437" s="156"/>
      <c r="AR437" s="156"/>
      <c r="AS437" s="156"/>
      <c r="AT437" s="156"/>
      <c r="AU437" s="156"/>
      <c r="AV437" s="156"/>
      <c r="AW437" s="156"/>
      <c r="AX437" s="156"/>
      <c r="AY437" s="156"/>
      <c r="AZ437" s="156"/>
      <c r="BA437" s="156"/>
      <c r="BB437" s="2828"/>
      <c r="BC437" s="504"/>
      <c r="BD437" s="2829"/>
      <c r="BE437" s="2837"/>
      <c r="BF437" s="156"/>
    </row>
    <row r="438" spans="1:58" hidden="1" outlineLevel="1" x14ac:dyDescent="0.35">
      <c r="A438" s="1071"/>
      <c r="B438" s="106"/>
      <c r="C438" s="103"/>
      <c r="D438" s="4022"/>
      <c r="E438" s="4111"/>
      <c r="F438" s="3919" t="str">
        <f t="shared" si="62"/>
        <v>CAC-SEER15_ER1_MF</v>
      </c>
      <c r="G438" s="3920"/>
      <c r="H438" s="3921"/>
      <c r="I438" s="2224" t="str">
        <f t="shared" si="63"/>
        <v>350700_2021_12_</v>
      </c>
      <c r="J438" s="2730">
        <v>15.203333333333335</v>
      </c>
      <c r="K438" s="1592"/>
      <c r="L438" s="2729" t="s">
        <v>4360</v>
      </c>
      <c r="M438" s="103"/>
      <c r="N438" s="1287"/>
      <c r="O438" s="103"/>
      <c r="P438" s="84" t="s">
        <v>4361</v>
      </c>
      <c r="Q438" s="106"/>
      <c r="R438" s="106"/>
      <c r="S438" s="106"/>
      <c r="T438" s="106"/>
      <c r="U438" s="106"/>
      <c r="V438" s="4022"/>
      <c r="W438" s="2224">
        <v>15.2</v>
      </c>
      <c r="X438" s="584">
        <v>15.16</v>
      </c>
      <c r="Y438" s="584">
        <v>15</v>
      </c>
      <c r="Z438" s="583">
        <v>15</v>
      </c>
      <c r="AA438" s="583">
        <v>15</v>
      </c>
      <c r="AB438" s="1797">
        <v>15.13953488372093</v>
      </c>
      <c r="AC438" s="1797">
        <v>15.202380952380954</v>
      </c>
      <c r="AD438" s="2730">
        <v>15.203333333333335</v>
      </c>
      <c r="AE438" s="2224"/>
      <c r="AF438" s="2224"/>
      <c r="AG438" s="2224"/>
      <c r="AH438" s="156"/>
      <c r="AI438" s="156"/>
      <c r="AJ438" s="156"/>
      <c r="AK438" s="156"/>
      <c r="AL438" s="156"/>
      <c r="AM438" s="156"/>
      <c r="AN438" s="156"/>
      <c r="AO438" s="156"/>
      <c r="AP438" s="156"/>
      <c r="AQ438" s="156"/>
      <c r="AR438" s="156"/>
      <c r="AS438" s="156"/>
      <c r="AT438" s="156"/>
      <c r="AU438" s="156"/>
      <c r="AV438" s="156"/>
      <c r="AW438" s="156"/>
      <c r="AX438" s="156"/>
      <c r="AY438" s="156"/>
      <c r="AZ438" s="156"/>
      <c r="BA438" s="156"/>
      <c r="BB438" s="2828"/>
      <c r="BC438" s="504"/>
      <c r="BD438" s="2829"/>
      <c r="BE438" s="2837"/>
      <c r="BF438" s="156"/>
    </row>
    <row r="439" spans="1:58" hidden="1" outlineLevel="1" x14ac:dyDescent="0.35">
      <c r="A439" s="1071"/>
      <c r="B439" s="106"/>
      <c r="C439" s="103"/>
      <c r="D439" s="4022"/>
      <c r="E439" s="4111"/>
      <c r="F439" s="3919" t="str">
        <f t="shared" si="62"/>
        <v>CAC-SEER15_ER2_MF</v>
      </c>
      <c r="G439" s="3920"/>
      <c r="H439" s="3921"/>
      <c r="I439" s="2224" t="str">
        <f t="shared" si="63"/>
        <v>350700_2021_12_</v>
      </c>
      <c r="J439" s="1797">
        <f>J438</f>
        <v>15.203333333333335</v>
      </c>
      <c r="K439" s="1592"/>
      <c r="L439" s="2729" t="s">
        <v>4360</v>
      </c>
      <c r="M439" s="103"/>
      <c r="N439" s="1287"/>
      <c r="O439" s="103"/>
      <c r="P439" s="84" t="s">
        <v>4361</v>
      </c>
      <c r="Q439" s="106"/>
      <c r="R439" s="106"/>
      <c r="S439" s="106"/>
      <c r="T439" s="106"/>
      <c r="U439" s="106"/>
      <c r="V439" s="4022"/>
      <c r="W439" s="2224">
        <v>15.2</v>
      </c>
      <c r="X439" s="584">
        <v>15.16</v>
      </c>
      <c r="Y439" s="584">
        <v>15</v>
      </c>
      <c r="Z439" s="583">
        <v>15</v>
      </c>
      <c r="AA439" s="583">
        <v>15</v>
      </c>
      <c r="AB439" s="1797">
        <v>15.13953488372093</v>
      </c>
      <c r="AC439" s="1797">
        <v>15.202380952380954</v>
      </c>
      <c r="AD439" s="1797">
        <f>AD438</f>
        <v>15.203333333333335</v>
      </c>
      <c r="AE439" s="2224"/>
      <c r="AF439" s="2224"/>
      <c r="AG439" s="2224"/>
      <c r="AH439" s="156"/>
      <c r="AI439" s="156"/>
      <c r="AJ439" s="156"/>
      <c r="AK439" s="156"/>
      <c r="AL439" s="156"/>
      <c r="AM439" s="156"/>
      <c r="AN439" s="156"/>
      <c r="AO439" s="156"/>
      <c r="AP439" s="156"/>
      <c r="AQ439" s="156"/>
      <c r="AR439" s="156"/>
      <c r="AS439" s="156"/>
      <c r="AT439" s="156"/>
      <c r="AU439" s="156"/>
      <c r="AV439" s="156"/>
      <c r="AW439" s="156"/>
      <c r="AX439" s="156"/>
      <c r="AY439" s="156"/>
      <c r="AZ439" s="156"/>
      <c r="BA439" s="156"/>
      <c r="BB439" s="2828"/>
      <c r="BC439" s="504"/>
      <c r="BD439" s="2829"/>
      <c r="BE439" s="2837"/>
      <c r="BF439" s="156"/>
    </row>
    <row r="440" spans="1:58" hidden="1" outlineLevel="1" x14ac:dyDescent="0.35">
      <c r="A440" s="1071"/>
      <c r="B440" s="106"/>
      <c r="C440" s="103"/>
      <c r="D440" s="4022"/>
      <c r="E440" s="4111"/>
      <c r="F440" s="3919" t="str">
        <f t="shared" si="62"/>
        <v>CAC-SEER15_ER1_MF_CompE</v>
      </c>
      <c r="G440" s="3920"/>
      <c r="H440" s="3921"/>
      <c r="I440" s="2224" t="str">
        <f t="shared" si="63"/>
        <v>350701_2021_12_</v>
      </c>
      <c r="J440" s="1797">
        <f>J438</f>
        <v>15.203333333333335</v>
      </c>
      <c r="K440" s="1592"/>
      <c r="L440" s="2747" t="s">
        <v>973</v>
      </c>
      <c r="M440" s="103"/>
      <c r="N440" s="1287"/>
      <c r="O440" s="103"/>
      <c r="P440" s="84"/>
      <c r="Q440" s="106"/>
      <c r="R440" s="106"/>
      <c r="S440" s="106"/>
      <c r="T440" s="106"/>
      <c r="U440" s="106"/>
      <c r="V440" s="4022"/>
      <c r="W440" s="2224"/>
      <c r="X440" s="584"/>
      <c r="Y440" s="584">
        <v>15</v>
      </c>
      <c r="Z440" s="583">
        <v>15</v>
      </c>
      <c r="AA440" s="583">
        <v>15</v>
      </c>
      <c r="AB440" s="2887">
        <v>15</v>
      </c>
      <c r="AC440" s="1840">
        <v>15</v>
      </c>
      <c r="AD440" s="1797">
        <f>AD438</f>
        <v>15.203333333333335</v>
      </c>
      <c r="AE440" s="2224"/>
      <c r="AF440" s="2224"/>
      <c r="AG440" s="2224"/>
      <c r="AH440" s="156"/>
      <c r="AI440" s="156"/>
      <c r="AJ440" s="156"/>
      <c r="AK440" s="156"/>
      <c r="AL440" s="156"/>
      <c r="AM440" s="156"/>
      <c r="AN440" s="156"/>
      <c r="AO440" s="156"/>
      <c r="AP440" s="156"/>
      <c r="AQ440" s="156"/>
      <c r="AR440" s="156"/>
      <c r="AS440" s="156"/>
      <c r="AT440" s="156"/>
      <c r="AU440" s="156"/>
      <c r="AV440" s="156"/>
      <c r="AW440" s="156"/>
      <c r="AX440" s="156"/>
      <c r="AY440" s="156"/>
      <c r="AZ440" s="156"/>
      <c r="BA440" s="156"/>
      <c r="BB440" s="2828"/>
      <c r="BC440" s="504"/>
      <c r="BD440" s="2829"/>
      <c r="BE440" s="2837"/>
      <c r="BF440" s="156"/>
    </row>
    <row r="441" spans="1:58" hidden="1" outlineLevel="1" x14ac:dyDescent="0.35">
      <c r="A441" s="1071"/>
      <c r="B441" s="106"/>
      <c r="C441" s="103"/>
      <c r="D441" s="4022"/>
      <c r="E441" s="4111"/>
      <c r="F441" s="3919" t="str">
        <f t="shared" si="62"/>
        <v>CAC-SEER15_ER2_MF_CompE</v>
      </c>
      <c r="G441" s="3920"/>
      <c r="H441" s="3921"/>
      <c r="I441" s="2224" t="str">
        <f t="shared" si="63"/>
        <v>350701_2021_12_</v>
      </c>
      <c r="J441" s="1797">
        <f>J439</f>
        <v>15.203333333333335</v>
      </c>
      <c r="K441" s="1592"/>
      <c r="L441" s="2747" t="s">
        <v>973</v>
      </c>
      <c r="M441" s="103"/>
      <c r="N441" s="1287"/>
      <c r="O441" s="103"/>
      <c r="P441" s="84"/>
      <c r="Q441" s="106"/>
      <c r="R441" s="106"/>
      <c r="S441" s="106"/>
      <c r="T441" s="106"/>
      <c r="U441" s="106"/>
      <c r="V441" s="4022"/>
      <c r="W441" s="2224"/>
      <c r="X441" s="584"/>
      <c r="Y441" s="584">
        <v>15</v>
      </c>
      <c r="Z441" s="583">
        <v>15</v>
      </c>
      <c r="AA441" s="583">
        <v>15</v>
      </c>
      <c r="AB441" s="2887">
        <v>15</v>
      </c>
      <c r="AC441" s="1840">
        <v>15</v>
      </c>
      <c r="AD441" s="1797">
        <f>AD439</f>
        <v>15.203333333333335</v>
      </c>
      <c r="AE441" s="2224"/>
      <c r="AF441" s="2224"/>
      <c r="AG441" s="2224"/>
      <c r="AH441" s="156"/>
      <c r="AI441" s="156"/>
      <c r="AJ441" s="156"/>
      <c r="AK441" s="156"/>
      <c r="AL441" s="156"/>
      <c r="AM441" s="156"/>
      <c r="AN441" s="156"/>
      <c r="AO441" s="156"/>
      <c r="AP441" s="156"/>
      <c r="AQ441" s="156"/>
      <c r="AR441" s="156"/>
      <c r="AS441" s="156"/>
      <c r="AT441" s="156"/>
      <c r="AU441" s="156"/>
      <c r="AV441" s="156"/>
      <c r="AW441" s="156"/>
      <c r="AX441" s="156"/>
      <c r="AY441" s="156"/>
      <c r="AZ441" s="156"/>
      <c r="BA441" s="156"/>
      <c r="BB441" s="2828"/>
      <c r="BC441" s="504"/>
      <c r="BD441" s="2829"/>
      <c r="BE441" s="2837"/>
      <c r="BF441" s="156"/>
    </row>
    <row r="442" spans="1:58" hidden="1" outlineLevel="1" x14ac:dyDescent="0.35">
      <c r="A442" s="1071"/>
      <c r="B442" s="106"/>
      <c r="C442" s="103"/>
      <c r="D442" s="4022"/>
      <c r="E442" s="4111"/>
      <c r="F442" s="3919" t="str">
        <f t="shared" si="62"/>
        <v>CAC-SEER15_ROF_MF</v>
      </c>
      <c r="G442" s="3920"/>
      <c r="H442" s="3921"/>
      <c r="I442" s="2224" t="str">
        <f t="shared" si="63"/>
        <v>350750_2021_12_</v>
      </c>
      <c r="J442" s="1797">
        <v>15</v>
      </c>
      <c r="K442" s="1592"/>
      <c r="L442" s="2729" t="s">
        <v>4360</v>
      </c>
      <c r="M442" s="103"/>
      <c r="N442" s="1287"/>
      <c r="O442" s="103"/>
      <c r="P442" s="106"/>
      <c r="Q442" s="106"/>
      <c r="R442" s="106"/>
      <c r="S442" s="106"/>
      <c r="T442" s="106"/>
      <c r="U442" s="106"/>
      <c r="V442" s="4022"/>
      <c r="W442" s="2224">
        <v>15.1</v>
      </c>
      <c r="X442" s="584">
        <v>15.16</v>
      </c>
      <c r="Y442" s="584">
        <v>15</v>
      </c>
      <c r="Z442" s="583">
        <v>15</v>
      </c>
      <c r="AA442" s="583">
        <v>15</v>
      </c>
      <c r="AB442" s="1797">
        <v>15.083333333333334</v>
      </c>
      <c r="AC442" s="1797">
        <v>15.125</v>
      </c>
      <c r="AD442" s="1797">
        <v>15</v>
      </c>
      <c r="AE442" s="2224"/>
      <c r="AF442" s="2224"/>
      <c r="AG442" s="2224"/>
      <c r="AH442" s="156"/>
      <c r="AI442" s="156"/>
      <c r="AJ442" s="156"/>
      <c r="AK442" s="156"/>
      <c r="AL442" s="156"/>
      <c r="AM442" s="156"/>
      <c r="AN442" s="156"/>
      <c r="AO442" s="156"/>
      <c r="AP442" s="156"/>
      <c r="AQ442" s="156"/>
      <c r="AR442" s="156"/>
      <c r="AS442" s="156"/>
      <c r="AT442" s="156"/>
      <c r="AU442" s="156"/>
      <c r="AV442" s="156"/>
      <c r="AW442" s="156"/>
      <c r="AX442" s="156"/>
      <c r="AY442" s="156"/>
      <c r="AZ442" s="156"/>
      <c r="BA442" s="156"/>
      <c r="BB442" s="2828"/>
      <c r="BC442" s="504"/>
      <c r="BD442" s="2829"/>
      <c r="BE442" s="2837"/>
      <c r="BF442" s="156"/>
    </row>
    <row r="443" spans="1:58" hidden="1" outlineLevel="1" x14ac:dyDescent="0.35">
      <c r="A443" s="1071"/>
      <c r="B443" s="106"/>
      <c r="C443" s="103"/>
      <c r="D443" s="4022"/>
      <c r="E443" s="4111"/>
      <c r="F443" s="3919" t="str">
        <f t="shared" si="62"/>
        <v>CAC-SEER15_ROF_MF_CompE</v>
      </c>
      <c r="G443" s="3920"/>
      <c r="H443" s="3921"/>
      <c r="I443" s="2224" t="str">
        <f t="shared" si="63"/>
        <v>350751_2021_12_</v>
      </c>
      <c r="J443" s="1797">
        <f>J442</f>
        <v>15</v>
      </c>
      <c r="K443" s="1592"/>
      <c r="L443" s="2747" t="s">
        <v>973</v>
      </c>
      <c r="M443" s="103"/>
      <c r="N443" s="1287"/>
      <c r="O443" s="103"/>
      <c r="P443" s="84"/>
      <c r="Q443" s="106"/>
      <c r="R443" s="106"/>
      <c r="S443" s="106"/>
      <c r="T443" s="106"/>
      <c r="U443" s="106"/>
      <c r="V443" s="4022"/>
      <c r="W443" s="2224"/>
      <c r="X443" s="584"/>
      <c r="Y443" s="584">
        <v>15</v>
      </c>
      <c r="Z443" s="583">
        <v>15</v>
      </c>
      <c r="AA443" s="583">
        <v>15</v>
      </c>
      <c r="AB443" s="2887">
        <v>15</v>
      </c>
      <c r="AC443" s="1840">
        <v>15</v>
      </c>
      <c r="AD443" s="1797">
        <f>AD442</f>
        <v>15</v>
      </c>
      <c r="AE443" s="2224"/>
      <c r="AF443" s="2224"/>
      <c r="AG443" s="2224"/>
      <c r="AH443" s="156"/>
      <c r="AI443" s="156"/>
      <c r="AJ443" s="156"/>
      <c r="AK443" s="156"/>
      <c r="AL443" s="156"/>
      <c r="AM443" s="156"/>
      <c r="AN443" s="156"/>
      <c r="AO443" s="156"/>
      <c r="AP443" s="156"/>
      <c r="AQ443" s="156"/>
      <c r="AR443" s="156"/>
      <c r="AS443" s="156"/>
      <c r="AT443" s="156"/>
      <c r="AU443" s="156"/>
      <c r="AV443" s="156"/>
      <c r="AW443" s="156"/>
      <c r="AX443" s="156"/>
      <c r="AY443" s="156"/>
      <c r="AZ443" s="156"/>
      <c r="BA443" s="156"/>
      <c r="BB443" s="2828"/>
      <c r="BC443" s="504"/>
      <c r="BD443" s="2829"/>
      <c r="BE443" s="2837"/>
      <c r="BF443" s="156"/>
    </row>
    <row r="444" spans="1:58" hidden="1" outlineLevel="1" x14ac:dyDescent="0.35">
      <c r="A444" s="1071"/>
      <c r="B444" s="106"/>
      <c r="C444" s="103"/>
      <c r="D444" s="4022"/>
      <c r="E444" s="4111"/>
      <c r="F444" s="3919" t="str">
        <f t="shared" si="62"/>
        <v>CAC-SEER16_ER1_SF</v>
      </c>
      <c r="G444" s="3920"/>
      <c r="H444" s="3921"/>
      <c r="I444" s="2224" t="str">
        <f t="shared" si="63"/>
        <v>350800_2021_12_</v>
      </c>
      <c r="J444" s="2730">
        <v>16.025474924012158</v>
      </c>
      <c r="K444" s="1592"/>
      <c r="L444" s="2729" t="s">
        <v>4360</v>
      </c>
      <c r="M444" s="103"/>
      <c r="N444" s="1287"/>
      <c r="O444" s="103"/>
      <c r="P444" s="84" t="s">
        <v>4361</v>
      </c>
      <c r="Q444" s="106"/>
      <c r="R444" s="106"/>
      <c r="S444" s="106"/>
      <c r="T444" s="106"/>
      <c r="U444" s="106"/>
      <c r="V444" s="4022"/>
      <c r="W444" s="2224">
        <v>16</v>
      </c>
      <c r="X444" s="584">
        <v>16.350000000000001</v>
      </c>
      <c r="Y444" s="584">
        <v>16.36</v>
      </c>
      <c r="Z444" s="583">
        <v>16.36</v>
      </c>
      <c r="AA444" s="583">
        <v>16.36</v>
      </c>
      <c r="AB444" s="1797">
        <v>16.028875215889464</v>
      </c>
      <c r="AC444" s="1797">
        <v>16.027565046637211</v>
      </c>
      <c r="AD444" s="2730">
        <v>16.025474924012158</v>
      </c>
      <c r="AE444" s="2224"/>
      <c r="AF444" s="2224"/>
      <c r="AG444" s="2224"/>
      <c r="AH444" s="156"/>
      <c r="AI444" s="156"/>
      <c r="AJ444" s="156"/>
      <c r="AK444" s="156"/>
      <c r="AL444" s="156"/>
      <c r="AM444" s="156"/>
      <c r="AN444" s="156"/>
      <c r="AO444" s="156"/>
      <c r="AP444" s="156"/>
      <c r="AQ444" s="156"/>
      <c r="AR444" s="156"/>
      <c r="AS444" s="156"/>
      <c r="AT444" s="156"/>
      <c r="AU444" s="156"/>
      <c r="AV444" s="156"/>
      <c r="AW444" s="156"/>
      <c r="AX444" s="156"/>
      <c r="AY444" s="156"/>
      <c r="AZ444" s="156"/>
      <c r="BA444" s="156"/>
      <c r="BB444" s="2828"/>
      <c r="BC444" s="504"/>
      <c r="BD444" s="2829"/>
      <c r="BE444" s="2837"/>
      <c r="BF444" s="156"/>
    </row>
    <row r="445" spans="1:58" hidden="1" outlineLevel="1" x14ac:dyDescent="0.35">
      <c r="A445" s="1071"/>
      <c r="B445" s="106"/>
      <c r="C445" s="103"/>
      <c r="D445" s="4022"/>
      <c r="E445" s="4111"/>
      <c r="F445" s="3919" t="str">
        <f t="shared" si="62"/>
        <v>CAC-SEER16_ER2_SF</v>
      </c>
      <c r="G445" s="3920"/>
      <c r="H445" s="3921"/>
      <c r="I445" s="2224" t="str">
        <f t="shared" si="63"/>
        <v>350800_2021_12_</v>
      </c>
      <c r="J445" s="1797">
        <f>J444</f>
        <v>16.025474924012158</v>
      </c>
      <c r="K445" s="1592"/>
      <c r="L445" s="2729" t="s">
        <v>4360</v>
      </c>
      <c r="M445" s="103"/>
      <c r="N445" s="1287"/>
      <c r="O445" s="103"/>
      <c r="P445" s="84" t="s">
        <v>4361</v>
      </c>
      <c r="Q445" s="106"/>
      <c r="R445" s="106"/>
      <c r="S445" s="106"/>
      <c r="T445" s="106"/>
      <c r="U445" s="106"/>
      <c r="V445" s="4022"/>
      <c r="W445" s="2224">
        <v>16</v>
      </c>
      <c r="X445" s="584">
        <v>16.350000000000001</v>
      </c>
      <c r="Y445" s="584">
        <v>16.36</v>
      </c>
      <c r="Z445" s="583">
        <v>16.36</v>
      </c>
      <c r="AA445" s="583">
        <v>16.36</v>
      </c>
      <c r="AB445" s="1797">
        <v>16.028875215889464</v>
      </c>
      <c r="AC445" s="1797">
        <v>16.027565046637211</v>
      </c>
      <c r="AD445" s="1797">
        <f>AD444</f>
        <v>16.025474924012158</v>
      </c>
      <c r="AE445" s="2224"/>
      <c r="AF445" s="2224"/>
      <c r="AG445" s="2224"/>
      <c r="AH445" s="156"/>
      <c r="AI445" s="156"/>
      <c r="AJ445" s="156"/>
      <c r="AK445" s="156"/>
      <c r="AL445" s="156"/>
      <c r="AM445" s="156"/>
      <c r="AN445" s="156"/>
      <c r="AO445" s="156"/>
      <c r="AP445" s="156"/>
      <c r="AQ445" s="156"/>
      <c r="AR445" s="156"/>
      <c r="AS445" s="156"/>
      <c r="AT445" s="156"/>
      <c r="AU445" s="156"/>
      <c r="AV445" s="156"/>
      <c r="AW445" s="156"/>
      <c r="AX445" s="156"/>
      <c r="AY445" s="156"/>
      <c r="AZ445" s="156"/>
      <c r="BA445" s="156"/>
      <c r="BB445" s="2828"/>
      <c r="BC445" s="504"/>
      <c r="BD445" s="2829"/>
      <c r="BE445" s="2837"/>
      <c r="BF445" s="156"/>
    </row>
    <row r="446" spans="1:58" hidden="1" outlineLevel="1" x14ac:dyDescent="0.35">
      <c r="A446" s="1071"/>
      <c r="B446" s="106"/>
      <c r="C446" s="103"/>
      <c r="D446" s="4022"/>
      <c r="E446" s="4111"/>
      <c r="F446" s="3919" t="str">
        <f t="shared" si="62"/>
        <v>CAC-SEER16_ROF_SF</v>
      </c>
      <c r="G446" s="3920"/>
      <c r="H446" s="3921"/>
      <c r="I446" s="2224" t="str">
        <f t="shared" si="63"/>
        <v>350850_2021_12_</v>
      </c>
      <c r="J446" s="2730">
        <v>16.037510692899918</v>
      </c>
      <c r="K446" s="1592"/>
      <c r="L446" s="2729" t="s">
        <v>4360</v>
      </c>
      <c r="M446" s="103"/>
      <c r="N446" s="1287"/>
      <c r="O446" s="103"/>
      <c r="P446" s="106"/>
      <c r="Q446" s="106"/>
      <c r="R446" s="106"/>
      <c r="S446" s="106"/>
      <c r="T446" s="106"/>
      <c r="U446" s="106"/>
      <c r="V446" s="4022"/>
      <c r="W446" s="2224">
        <v>16</v>
      </c>
      <c r="X446" s="584">
        <v>16.350000000000001</v>
      </c>
      <c r="Y446" s="584">
        <v>16.37</v>
      </c>
      <c r="Z446" s="583">
        <v>16.37</v>
      </c>
      <c r="AA446" s="583">
        <v>16.37</v>
      </c>
      <c r="AB446" s="1797">
        <v>16.036909448818896</v>
      </c>
      <c r="AC446" s="1797">
        <v>16.031308411214955</v>
      </c>
      <c r="AD446" s="2730">
        <v>16.037510692899918</v>
      </c>
      <c r="AE446" s="2224"/>
      <c r="AF446" s="2224"/>
      <c r="AG446" s="2224"/>
      <c r="AH446" s="156"/>
      <c r="AI446" s="156"/>
      <c r="AJ446" s="156"/>
      <c r="AK446" s="156"/>
      <c r="AL446" s="156"/>
      <c r="AM446" s="156"/>
      <c r="AN446" s="156"/>
      <c r="AO446" s="156"/>
      <c r="AP446" s="156"/>
      <c r="AQ446" s="156"/>
      <c r="AR446" s="156"/>
      <c r="AS446" s="156"/>
      <c r="AT446" s="156"/>
      <c r="AU446" s="156"/>
      <c r="AV446" s="156"/>
      <c r="AW446" s="156"/>
      <c r="AX446" s="156"/>
      <c r="AY446" s="156"/>
      <c r="AZ446" s="156"/>
      <c r="BA446" s="156"/>
      <c r="BB446" s="2828"/>
      <c r="BC446" s="504"/>
      <c r="BD446" s="2829"/>
      <c r="BE446" s="2837"/>
      <c r="BF446" s="156"/>
    </row>
    <row r="447" spans="1:58" hidden="1" outlineLevel="1" x14ac:dyDescent="0.35">
      <c r="A447" s="1071"/>
      <c r="B447" s="106"/>
      <c r="C447" s="103"/>
      <c r="D447" s="4022"/>
      <c r="E447" s="4111"/>
      <c r="F447" s="3919" t="str">
        <f t="shared" si="62"/>
        <v>CAC-SEER16_ER1_MF</v>
      </c>
      <c r="G447" s="3920"/>
      <c r="H447" s="3921"/>
      <c r="I447" s="2224" t="str">
        <f t="shared" si="63"/>
        <v>350900_2021_12_</v>
      </c>
      <c r="J447" s="1797">
        <v>16.005494505494507</v>
      </c>
      <c r="K447" s="1592"/>
      <c r="L447" s="2729" t="s">
        <v>4360</v>
      </c>
      <c r="M447" s="103"/>
      <c r="N447" s="1287"/>
      <c r="O447" s="103"/>
      <c r="P447" s="84" t="s">
        <v>4361</v>
      </c>
      <c r="Q447" s="106"/>
      <c r="R447" s="106"/>
      <c r="S447" s="106"/>
      <c r="T447" s="106"/>
      <c r="U447" s="106"/>
      <c r="V447" s="4022"/>
      <c r="W447" s="2224">
        <v>16</v>
      </c>
      <c r="X447" s="584">
        <v>16</v>
      </c>
      <c r="Y447" s="583">
        <v>16</v>
      </c>
      <c r="Z447" s="583">
        <v>16</v>
      </c>
      <c r="AA447" s="583">
        <v>16</v>
      </c>
      <c r="AB447" s="1797">
        <v>16.040816326530614</v>
      </c>
      <c r="AC447" s="1797">
        <v>16.006024096385541</v>
      </c>
      <c r="AD447" s="1797">
        <v>16.005494505494507</v>
      </c>
      <c r="AE447" s="2224"/>
      <c r="AF447" s="2224"/>
      <c r="AG447" s="2224"/>
      <c r="AH447" s="156"/>
      <c r="AI447" s="156"/>
      <c r="AJ447" s="156"/>
      <c r="AK447" s="156"/>
      <c r="AL447" s="156"/>
      <c r="AM447" s="156"/>
      <c r="AN447" s="156"/>
      <c r="AO447" s="156"/>
      <c r="AP447" s="156"/>
      <c r="AQ447" s="156"/>
      <c r="AR447" s="156"/>
      <c r="AS447" s="156"/>
      <c r="AT447" s="156"/>
      <c r="AU447" s="156"/>
      <c r="AV447" s="156"/>
      <c r="AW447" s="156"/>
      <c r="AX447" s="156"/>
      <c r="AY447" s="156"/>
      <c r="AZ447" s="156"/>
      <c r="BA447" s="156"/>
      <c r="BB447" s="2828"/>
      <c r="BC447" s="504"/>
      <c r="BD447" s="2829"/>
      <c r="BE447" s="2837"/>
      <c r="BF447" s="156"/>
    </row>
    <row r="448" spans="1:58" hidden="1" outlineLevel="1" x14ac:dyDescent="0.35">
      <c r="A448" s="1071"/>
      <c r="B448" s="106"/>
      <c r="C448" s="103"/>
      <c r="D448" s="4022"/>
      <c r="E448" s="4111"/>
      <c r="F448" s="3919" t="str">
        <f t="shared" si="62"/>
        <v>CAC-SEER16_ER2_MF</v>
      </c>
      <c r="G448" s="3920"/>
      <c r="H448" s="3921"/>
      <c r="I448" s="2224" t="str">
        <f t="shared" si="63"/>
        <v>350900_2021_12_</v>
      </c>
      <c r="J448" s="1797">
        <f>J447</f>
        <v>16.005494505494507</v>
      </c>
      <c r="K448" s="1592"/>
      <c r="L448" s="2729" t="s">
        <v>4360</v>
      </c>
      <c r="M448" s="103"/>
      <c r="N448" s="1287"/>
      <c r="O448" s="103"/>
      <c r="P448" s="84" t="s">
        <v>4361</v>
      </c>
      <c r="Q448" s="106"/>
      <c r="R448" s="106"/>
      <c r="S448" s="106"/>
      <c r="T448" s="106"/>
      <c r="U448" s="106"/>
      <c r="V448" s="4022"/>
      <c r="W448" s="2224">
        <v>16</v>
      </c>
      <c r="X448" s="584">
        <v>16</v>
      </c>
      <c r="Y448" s="583">
        <v>16</v>
      </c>
      <c r="Z448" s="583">
        <v>16</v>
      </c>
      <c r="AA448" s="583">
        <v>16</v>
      </c>
      <c r="AB448" s="1797">
        <v>16.040816326530614</v>
      </c>
      <c r="AC448" s="1797">
        <v>16.006024096385541</v>
      </c>
      <c r="AD448" s="1797">
        <f>AD447</f>
        <v>16.005494505494507</v>
      </c>
      <c r="AE448" s="2224"/>
      <c r="AF448" s="2224"/>
      <c r="AG448" s="2224"/>
      <c r="AH448" s="156"/>
      <c r="AI448" s="156"/>
      <c r="AJ448" s="156"/>
      <c r="AK448" s="156"/>
      <c r="AL448" s="156"/>
      <c r="AM448" s="156"/>
      <c r="AN448" s="156"/>
      <c r="AO448" s="156"/>
      <c r="AP448" s="156"/>
      <c r="AQ448" s="156"/>
      <c r="AR448" s="156"/>
      <c r="AS448" s="156"/>
      <c r="AT448" s="156"/>
      <c r="AU448" s="156"/>
      <c r="AV448" s="156"/>
      <c r="AW448" s="156"/>
      <c r="AX448" s="156"/>
      <c r="AY448" s="156"/>
      <c r="AZ448" s="156"/>
      <c r="BA448" s="156"/>
      <c r="BB448" s="2828"/>
      <c r="BC448" s="504"/>
      <c r="BD448" s="2829"/>
      <c r="BE448" s="2837"/>
      <c r="BF448" s="156"/>
    </row>
    <row r="449" spans="1:58" hidden="1" outlineLevel="1" x14ac:dyDescent="0.35">
      <c r="A449" s="1071"/>
      <c r="B449" s="106"/>
      <c r="C449" s="103"/>
      <c r="D449" s="4022"/>
      <c r="E449" s="4111"/>
      <c r="F449" s="3919" t="str">
        <f t="shared" si="62"/>
        <v>CAC-SEER16_ER1_MF_CompE</v>
      </c>
      <c r="G449" s="3920"/>
      <c r="H449" s="3921"/>
      <c r="I449" s="2224" t="str">
        <f t="shared" si="63"/>
        <v>350901_2021_12_</v>
      </c>
      <c r="J449" s="1797">
        <f>J447</f>
        <v>16.005494505494507</v>
      </c>
      <c r="K449" s="1592"/>
      <c r="L449" s="2746" t="s">
        <v>973</v>
      </c>
      <c r="M449" s="103"/>
      <c r="N449" s="1287"/>
      <c r="O449" s="103"/>
      <c r="P449" s="84"/>
      <c r="Q449" s="106"/>
      <c r="R449" s="106"/>
      <c r="S449" s="106"/>
      <c r="T449" s="106"/>
      <c r="U449" s="106"/>
      <c r="V449" s="4022"/>
      <c r="W449" s="2224"/>
      <c r="X449" s="584"/>
      <c r="Y449" s="583">
        <v>16</v>
      </c>
      <c r="Z449" s="583">
        <v>16</v>
      </c>
      <c r="AA449" s="583">
        <v>16</v>
      </c>
      <c r="AB449" s="2887">
        <v>16</v>
      </c>
      <c r="AC449" s="1840">
        <v>16</v>
      </c>
      <c r="AD449" s="1797">
        <f>AD447</f>
        <v>16.005494505494507</v>
      </c>
      <c r="AE449" s="2224"/>
      <c r="AF449" s="2224"/>
      <c r="AG449" s="2224"/>
      <c r="AH449" s="156"/>
      <c r="AI449" s="156"/>
      <c r="AJ449" s="156"/>
      <c r="AK449" s="156"/>
      <c r="AL449" s="156"/>
      <c r="AM449" s="156"/>
      <c r="AN449" s="156"/>
      <c r="AO449" s="156"/>
      <c r="AP449" s="156"/>
      <c r="AQ449" s="156"/>
      <c r="AR449" s="156"/>
      <c r="AS449" s="156"/>
      <c r="AT449" s="156"/>
      <c r="AU449" s="156"/>
      <c r="AV449" s="156"/>
      <c r="AW449" s="156"/>
      <c r="AX449" s="156"/>
      <c r="AY449" s="156"/>
      <c r="AZ449" s="156"/>
      <c r="BA449" s="156"/>
      <c r="BB449" s="2828"/>
      <c r="BC449" s="504"/>
      <c r="BD449" s="2829"/>
      <c r="BE449" s="2837"/>
      <c r="BF449" s="156"/>
    </row>
    <row r="450" spans="1:58" hidden="1" outlineLevel="1" x14ac:dyDescent="0.35">
      <c r="A450" s="1071"/>
      <c r="B450" s="106"/>
      <c r="C450" s="103"/>
      <c r="D450" s="4022"/>
      <c r="E450" s="4111"/>
      <c r="F450" s="3919" t="str">
        <f t="shared" si="62"/>
        <v>CAC-SEER16_ER2_MF_CompE</v>
      </c>
      <c r="G450" s="3920"/>
      <c r="H450" s="3921"/>
      <c r="I450" s="2224" t="str">
        <f t="shared" si="63"/>
        <v>350901_2021_12_</v>
      </c>
      <c r="J450" s="1797">
        <f>J448</f>
        <v>16.005494505494507</v>
      </c>
      <c r="K450" s="1592"/>
      <c r="L450" s="2746" t="s">
        <v>973</v>
      </c>
      <c r="M450" s="103"/>
      <c r="N450" s="1287"/>
      <c r="O450" s="103"/>
      <c r="P450" s="84"/>
      <c r="Q450" s="106"/>
      <c r="R450" s="106"/>
      <c r="S450" s="106"/>
      <c r="T450" s="106"/>
      <c r="U450" s="106"/>
      <c r="V450" s="4022"/>
      <c r="W450" s="2224"/>
      <c r="X450" s="584"/>
      <c r="Y450" s="583">
        <v>16</v>
      </c>
      <c r="Z450" s="583">
        <v>16</v>
      </c>
      <c r="AA450" s="583">
        <v>16</v>
      </c>
      <c r="AB450" s="2887">
        <v>16</v>
      </c>
      <c r="AC450" s="1840">
        <v>16</v>
      </c>
      <c r="AD450" s="1797">
        <f>AD448</f>
        <v>16.005494505494507</v>
      </c>
      <c r="AE450" s="2224"/>
      <c r="AF450" s="2224"/>
      <c r="AG450" s="2224"/>
      <c r="AH450" s="156"/>
      <c r="AI450" s="156"/>
      <c r="AJ450" s="156"/>
      <c r="AK450" s="156"/>
      <c r="AL450" s="156"/>
      <c r="AM450" s="156"/>
      <c r="AN450" s="156"/>
      <c r="AO450" s="156"/>
      <c r="AP450" s="156"/>
      <c r="AQ450" s="156"/>
      <c r="AR450" s="156"/>
      <c r="AS450" s="156"/>
      <c r="AT450" s="156"/>
      <c r="AU450" s="156"/>
      <c r="AV450" s="156"/>
      <c r="AW450" s="156"/>
      <c r="AX450" s="156"/>
      <c r="AY450" s="156"/>
      <c r="AZ450" s="156"/>
      <c r="BA450" s="156"/>
      <c r="BB450" s="2828"/>
      <c r="BC450" s="504"/>
      <c r="BD450" s="2829"/>
      <c r="BE450" s="2837"/>
      <c r="BF450" s="156"/>
    </row>
    <row r="451" spans="1:58" hidden="1" outlineLevel="1" x14ac:dyDescent="0.35">
      <c r="A451" s="1071"/>
      <c r="B451" s="106"/>
      <c r="C451" s="103"/>
      <c r="D451" s="4022"/>
      <c r="E451" s="4111"/>
      <c r="F451" s="3919" t="str">
        <f t="shared" si="62"/>
        <v>CAC-SEER16_ROF_MF</v>
      </c>
      <c r="G451" s="3920"/>
      <c r="H451" s="3921"/>
      <c r="I451" s="2224" t="str">
        <f t="shared" si="63"/>
        <v>350950_2021_12_</v>
      </c>
      <c r="J451" s="1797">
        <v>16.020833333333332</v>
      </c>
      <c r="K451" s="1592"/>
      <c r="L451" s="2729" t="s">
        <v>4360</v>
      </c>
      <c r="M451" s="103"/>
      <c r="N451" s="1287"/>
      <c r="O451" s="103"/>
      <c r="P451" s="106"/>
      <c r="Q451" s="106"/>
      <c r="R451" s="106"/>
      <c r="S451" s="106"/>
      <c r="T451" s="106"/>
      <c r="U451" s="106"/>
      <c r="V451" s="4022"/>
      <c r="W451" s="2224">
        <v>16</v>
      </c>
      <c r="X451" s="584">
        <v>16</v>
      </c>
      <c r="Y451" s="583">
        <v>16</v>
      </c>
      <c r="Z451" s="583">
        <v>16</v>
      </c>
      <c r="AA451" s="583">
        <v>16</v>
      </c>
      <c r="AB451" s="1797">
        <v>16</v>
      </c>
      <c r="AC451" s="1840">
        <v>16</v>
      </c>
      <c r="AD451" s="1797">
        <v>16.020833333333332</v>
      </c>
      <c r="AE451" s="2224"/>
      <c r="AF451" s="2224"/>
      <c r="AG451" s="2224"/>
      <c r="AH451" s="156"/>
      <c r="AI451" s="156"/>
      <c r="AJ451" s="156"/>
      <c r="AK451" s="156"/>
      <c r="AL451" s="156"/>
      <c r="AM451" s="156"/>
      <c r="AN451" s="156"/>
      <c r="AO451" s="156"/>
      <c r="AP451" s="156"/>
      <c r="AQ451" s="156"/>
      <c r="AR451" s="156"/>
      <c r="AS451" s="156"/>
      <c r="AT451" s="156"/>
      <c r="AU451" s="156"/>
      <c r="AV451" s="156"/>
      <c r="AW451" s="156"/>
      <c r="AX451" s="156"/>
      <c r="AY451" s="156"/>
      <c r="AZ451" s="156"/>
      <c r="BA451" s="156"/>
      <c r="BB451" s="2828"/>
      <c r="BC451" s="504"/>
      <c r="BD451" s="2829"/>
      <c r="BE451" s="2837"/>
      <c r="BF451" s="156"/>
    </row>
    <row r="452" spans="1:58" hidden="1" outlineLevel="1" x14ac:dyDescent="0.35">
      <c r="A452" s="1071"/>
      <c r="B452" s="106"/>
      <c r="C452" s="103"/>
      <c r="D452" s="4022"/>
      <c r="E452" s="4111"/>
      <c r="F452" s="3919" t="str">
        <f t="shared" si="62"/>
        <v>CAC-SEER16_ROF_MF_CompE</v>
      </c>
      <c r="G452" s="3920"/>
      <c r="H452" s="3921"/>
      <c r="I452" s="2224" t="str">
        <f t="shared" si="63"/>
        <v>350951_2021_12_</v>
      </c>
      <c r="J452" s="1797">
        <f>J451</f>
        <v>16.020833333333332</v>
      </c>
      <c r="K452" s="1592"/>
      <c r="L452" s="2746" t="s">
        <v>973</v>
      </c>
      <c r="M452" s="103"/>
      <c r="N452" s="1287"/>
      <c r="O452" s="103"/>
      <c r="P452" s="84"/>
      <c r="Q452" s="106"/>
      <c r="R452" s="106"/>
      <c r="S452" s="106"/>
      <c r="T452" s="106"/>
      <c r="U452" s="106"/>
      <c r="V452" s="4022"/>
      <c r="W452" s="2224"/>
      <c r="X452" s="584"/>
      <c r="Y452" s="583">
        <v>16</v>
      </c>
      <c r="Z452" s="583">
        <v>16</v>
      </c>
      <c r="AA452" s="583">
        <v>16</v>
      </c>
      <c r="AB452" s="2887">
        <v>16</v>
      </c>
      <c r="AC452" s="1840">
        <v>16</v>
      </c>
      <c r="AD452" s="1797">
        <f>AD451</f>
        <v>16.020833333333332</v>
      </c>
      <c r="AE452" s="2224"/>
      <c r="AF452" s="2224"/>
      <c r="AG452" s="2224"/>
      <c r="AH452" s="156"/>
      <c r="AI452" s="156"/>
      <c r="AJ452" s="156"/>
      <c r="AK452" s="156"/>
      <c r="AL452" s="156"/>
      <c r="AM452" s="156"/>
      <c r="AN452" s="156"/>
      <c r="AO452" s="156"/>
      <c r="AP452" s="156"/>
      <c r="AQ452" s="156"/>
      <c r="AR452" s="156"/>
      <c r="AS452" s="156"/>
      <c r="AT452" s="156"/>
      <c r="AU452" s="156"/>
      <c r="AV452" s="156"/>
      <c r="AW452" s="156"/>
      <c r="AX452" s="156"/>
      <c r="AY452" s="156"/>
      <c r="AZ452" s="156"/>
      <c r="BA452" s="156"/>
      <c r="BB452" s="2828"/>
      <c r="BC452" s="504"/>
      <c r="BD452" s="2829"/>
      <c r="BE452" s="2837"/>
      <c r="BF452" s="156"/>
    </row>
    <row r="453" spans="1:58" hidden="1" outlineLevel="1" x14ac:dyDescent="0.35">
      <c r="A453" s="1071"/>
      <c r="B453" s="106"/>
      <c r="C453" s="103"/>
      <c r="D453" s="4022"/>
      <c r="E453" s="4111"/>
      <c r="F453" s="3919" t="str">
        <f t="shared" si="62"/>
        <v>CAC-SEER17_ER1_SF</v>
      </c>
      <c r="G453" s="3920"/>
      <c r="H453" s="3921"/>
      <c r="I453" s="2224" t="str">
        <f t="shared" si="63"/>
        <v>351000_2021_12_</v>
      </c>
      <c r="J453" s="1797">
        <v>17.076594157862026</v>
      </c>
      <c r="K453" s="1592"/>
      <c r="L453" s="2729" t="s">
        <v>4360</v>
      </c>
      <c r="M453" s="103"/>
      <c r="N453" s="1287"/>
      <c r="O453" s="103"/>
      <c r="P453" s="106"/>
      <c r="Q453" s="106"/>
      <c r="R453" s="106"/>
      <c r="S453" s="106"/>
      <c r="T453" s="106"/>
      <c r="U453" s="106"/>
      <c r="V453" s="4022"/>
      <c r="W453" s="2224">
        <v>17</v>
      </c>
      <c r="X453" s="583">
        <f t="shared" ref="X453:X460" si="64">W453</f>
        <v>17</v>
      </c>
      <c r="Y453" s="583">
        <v>17</v>
      </c>
      <c r="Z453" s="583">
        <v>17</v>
      </c>
      <c r="AA453" s="583">
        <v>17</v>
      </c>
      <c r="AB453" s="1797">
        <v>17.598210862619805</v>
      </c>
      <c r="AC453" s="1797">
        <v>17.256511771995044</v>
      </c>
      <c r="AD453" s="1797">
        <v>17.076594157862026</v>
      </c>
      <c r="AE453" s="2224"/>
      <c r="AF453" s="2224"/>
      <c r="AG453" s="2224"/>
      <c r="AH453" s="156"/>
      <c r="AI453" s="156"/>
      <c r="AJ453" s="156"/>
      <c r="AK453" s="156"/>
      <c r="AL453" s="156"/>
      <c r="AM453" s="156"/>
      <c r="AN453" s="156"/>
      <c r="AO453" s="156"/>
      <c r="AP453" s="156"/>
      <c r="AQ453" s="156"/>
      <c r="AR453" s="156"/>
      <c r="AS453" s="156"/>
      <c r="AT453" s="156"/>
      <c r="AU453" s="156"/>
      <c r="AV453" s="156"/>
      <c r="AW453" s="156"/>
      <c r="AX453" s="156"/>
      <c r="AY453" s="156"/>
      <c r="AZ453" s="156"/>
      <c r="BA453" s="156"/>
      <c r="BB453" s="2828"/>
      <c r="BC453" s="504"/>
      <c r="BD453" s="2829"/>
      <c r="BE453" s="2837"/>
      <c r="BF453" s="156"/>
    </row>
    <row r="454" spans="1:58" ht="14.5" hidden="1" customHeight="1" outlineLevel="1" x14ac:dyDescent="0.35">
      <c r="A454" s="1071"/>
      <c r="B454" s="106"/>
      <c r="C454" s="103"/>
      <c r="D454" s="4022"/>
      <c r="E454" s="4111"/>
      <c r="F454" s="3919" t="str">
        <f t="shared" si="62"/>
        <v>CAC-SEER17_ER2_SF</v>
      </c>
      <c r="G454" s="3920"/>
      <c r="H454" s="3921"/>
      <c r="I454" s="2224" t="str">
        <f t="shared" si="63"/>
        <v>351000_2021_12_</v>
      </c>
      <c r="J454" s="1797">
        <f>J453</f>
        <v>17.076594157862026</v>
      </c>
      <c r="K454" s="1592"/>
      <c r="L454" s="2729" t="s">
        <v>4360</v>
      </c>
      <c r="M454" s="103"/>
      <c r="N454" s="1287"/>
      <c r="O454" s="103"/>
      <c r="P454" s="106"/>
      <c r="Q454" s="106"/>
      <c r="R454" s="106"/>
      <c r="S454" s="106"/>
      <c r="T454" s="106"/>
      <c r="U454" s="106"/>
      <c r="V454" s="4022"/>
      <c r="W454" s="2224">
        <v>17</v>
      </c>
      <c r="X454" s="583">
        <f t="shared" si="64"/>
        <v>17</v>
      </c>
      <c r="Y454" s="583">
        <v>17</v>
      </c>
      <c r="Z454" s="583">
        <v>17</v>
      </c>
      <c r="AA454" s="583">
        <v>17</v>
      </c>
      <c r="AB454" s="1797">
        <v>17.598210862619805</v>
      </c>
      <c r="AC454" s="1797">
        <v>17.256511771995044</v>
      </c>
      <c r="AD454" s="1797">
        <f>AD453</f>
        <v>17.076594157862026</v>
      </c>
      <c r="AE454" s="2224"/>
      <c r="AF454" s="2224"/>
      <c r="AG454" s="2224"/>
      <c r="AH454" s="156"/>
      <c r="AI454" s="156"/>
      <c r="AJ454" s="156"/>
      <c r="AK454" s="156"/>
      <c r="AL454" s="156"/>
      <c r="AM454" s="156"/>
      <c r="AN454" s="156"/>
      <c r="AO454" s="156"/>
      <c r="AP454" s="156"/>
      <c r="AQ454" s="156"/>
      <c r="AR454" s="156"/>
      <c r="AS454" s="156"/>
      <c r="AT454" s="156"/>
      <c r="AU454" s="156"/>
      <c r="AV454" s="156"/>
      <c r="AW454" s="156"/>
      <c r="AX454" s="156"/>
      <c r="AY454" s="156"/>
      <c r="AZ454" s="156"/>
      <c r="BA454" s="156"/>
      <c r="BB454" s="2828"/>
      <c r="BC454" s="504"/>
      <c r="BD454" s="2829"/>
      <c r="BE454" s="2837"/>
      <c r="BF454" s="156"/>
    </row>
    <row r="455" spans="1:58" ht="14.5" hidden="1" customHeight="1" outlineLevel="1" x14ac:dyDescent="0.35">
      <c r="A455" s="1071"/>
      <c r="B455" s="106"/>
      <c r="C455" s="103"/>
      <c r="D455" s="4022"/>
      <c r="E455" s="4111"/>
      <c r="F455" s="3919" t="str">
        <f t="shared" si="62"/>
        <v>CAC-SEER17_ROF_SF</v>
      </c>
      <c r="G455" s="3920"/>
      <c r="H455" s="3921"/>
      <c r="I455" s="2224" t="str">
        <f t="shared" si="63"/>
        <v>351050_2021_12_</v>
      </c>
      <c r="J455" s="1797">
        <v>17.078014184397162</v>
      </c>
      <c r="K455" s="1592"/>
      <c r="L455" s="2729" t="s">
        <v>4360</v>
      </c>
      <c r="M455" s="103"/>
      <c r="N455" s="1287"/>
      <c r="O455" s="103"/>
      <c r="P455" s="106"/>
      <c r="Q455" s="106"/>
      <c r="R455" s="106"/>
      <c r="S455" s="106"/>
      <c r="T455" s="106"/>
      <c r="U455" s="106"/>
      <c r="V455" s="4022"/>
      <c r="W455" s="2224">
        <v>17</v>
      </c>
      <c r="X455" s="583">
        <f t="shared" si="64"/>
        <v>17</v>
      </c>
      <c r="Y455" s="583">
        <v>17</v>
      </c>
      <c r="Z455" s="583">
        <v>17</v>
      </c>
      <c r="AA455" s="583">
        <v>17</v>
      </c>
      <c r="AB455" s="1797">
        <v>17.546938775510206</v>
      </c>
      <c r="AC455" s="1797">
        <v>17.227010869565216</v>
      </c>
      <c r="AD455" s="1797">
        <v>17.078014184397162</v>
      </c>
      <c r="AE455" s="2224"/>
      <c r="AF455" s="2224"/>
      <c r="AG455" s="2224"/>
      <c r="AH455" s="156"/>
      <c r="AI455" s="156"/>
      <c r="AJ455" s="156"/>
      <c r="AK455" s="156"/>
      <c r="AL455" s="156"/>
      <c r="AM455" s="156"/>
      <c r="AN455" s="156"/>
      <c r="AO455" s="156"/>
      <c r="AP455" s="156"/>
      <c r="AQ455" s="156"/>
      <c r="AR455" s="156"/>
      <c r="AS455" s="156"/>
      <c r="AT455" s="156"/>
      <c r="AU455" s="156"/>
      <c r="AV455" s="156"/>
      <c r="AW455" s="156"/>
      <c r="AX455" s="156"/>
      <c r="AY455" s="156"/>
      <c r="AZ455" s="156"/>
      <c r="BA455" s="156"/>
      <c r="BB455" s="2828"/>
      <c r="BC455" s="504"/>
      <c r="BD455" s="2829"/>
      <c r="BE455" s="2837"/>
      <c r="BF455" s="156"/>
    </row>
    <row r="456" spans="1:58" ht="14.5" hidden="1" customHeight="1" outlineLevel="1" x14ac:dyDescent="0.35">
      <c r="A456" s="1071"/>
      <c r="B456" s="106"/>
      <c r="C456" s="103"/>
      <c r="D456" s="4022"/>
      <c r="E456" s="4111"/>
      <c r="F456" s="3919" t="str">
        <f t="shared" si="62"/>
        <v>CAC-SEER17_ER1_MF</v>
      </c>
      <c r="G456" s="3920"/>
      <c r="H456" s="3921"/>
      <c r="I456" s="2224" t="str">
        <f t="shared" si="63"/>
        <v>351100_2021_12_</v>
      </c>
      <c r="J456" s="1797">
        <v>17.055555555555557</v>
      </c>
      <c r="K456" s="1592"/>
      <c r="L456" s="2729" t="s">
        <v>4360</v>
      </c>
      <c r="M456" s="103"/>
      <c r="N456" s="1287"/>
      <c r="O456" s="103"/>
      <c r="P456" s="106"/>
      <c r="Q456" s="106"/>
      <c r="R456" s="106"/>
      <c r="S456" s="106"/>
      <c r="T456" s="106"/>
      <c r="U456" s="106"/>
      <c r="V456" s="4022"/>
      <c r="W456" s="2224">
        <v>17</v>
      </c>
      <c r="X456" s="583">
        <f t="shared" si="64"/>
        <v>17</v>
      </c>
      <c r="Y456" s="583">
        <v>17</v>
      </c>
      <c r="Z456" s="583">
        <v>17</v>
      </c>
      <c r="AA456" s="583">
        <v>17</v>
      </c>
      <c r="AB456" s="1797">
        <v>17.136363636363637</v>
      </c>
      <c r="AC456" s="1797">
        <v>17.15625</v>
      </c>
      <c r="AD456" s="1797">
        <v>17.055555555555557</v>
      </c>
      <c r="AE456" s="2224"/>
      <c r="AF456" s="2224"/>
      <c r="AG456" s="2224"/>
      <c r="AH456" s="156"/>
      <c r="AI456" s="156"/>
      <c r="AJ456" s="156"/>
      <c r="AK456" s="156"/>
      <c r="AL456" s="156"/>
      <c r="AM456" s="156"/>
      <c r="AN456" s="156"/>
      <c r="AO456" s="156"/>
      <c r="AP456" s="156"/>
      <c r="AQ456" s="156"/>
      <c r="AR456" s="156"/>
      <c r="AS456" s="156"/>
      <c r="AT456" s="156"/>
      <c r="AU456" s="156"/>
      <c r="AV456" s="156"/>
      <c r="AW456" s="156"/>
      <c r="AX456" s="156"/>
      <c r="AY456" s="156"/>
      <c r="AZ456" s="156"/>
      <c r="BA456" s="156"/>
      <c r="BB456" s="2828"/>
      <c r="BC456" s="504"/>
      <c r="BD456" s="2829"/>
      <c r="BE456" s="2837"/>
      <c r="BF456" s="156"/>
    </row>
    <row r="457" spans="1:58" ht="14.5" hidden="1" customHeight="1" outlineLevel="1" x14ac:dyDescent="0.35">
      <c r="A457" s="1071"/>
      <c r="B457" s="106"/>
      <c r="C457" s="103"/>
      <c r="D457" s="4022"/>
      <c r="E457" s="4111"/>
      <c r="F457" s="3919" t="str">
        <f t="shared" si="62"/>
        <v>CAC-SEER17_ER2_MF</v>
      </c>
      <c r="G457" s="3920"/>
      <c r="H457" s="3921"/>
      <c r="I457" s="2224" t="str">
        <f t="shared" si="63"/>
        <v>351100_2021_12_</v>
      </c>
      <c r="J457" s="1797">
        <f>J456</f>
        <v>17.055555555555557</v>
      </c>
      <c r="K457" s="1592"/>
      <c r="L457" s="2729" t="s">
        <v>4360</v>
      </c>
      <c r="M457" s="103"/>
      <c r="N457" s="1287"/>
      <c r="O457" s="103"/>
      <c r="P457" s="106"/>
      <c r="Q457" s="106"/>
      <c r="R457" s="106"/>
      <c r="S457" s="106"/>
      <c r="T457" s="106"/>
      <c r="U457" s="106"/>
      <c r="V457" s="4022"/>
      <c r="W457" s="2224">
        <v>17</v>
      </c>
      <c r="X457" s="583">
        <f t="shared" si="64"/>
        <v>17</v>
      </c>
      <c r="Y457" s="583">
        <v>17</v>
      </c>
      <c r="Z457" s="583">
        <v>17</v>
      </c>
      <c r="AA457" s="583">
        <v>17</v>
      </c>
      <c r="AB457" s="1797">
        <v>17.136363636363637</v>
      </c>
      <c r="AC457" s="1797">
        <v>17.15625</v>
      </c>
      <c r="AD457" s="1797">
        <f>AD456</f>
        <v>17.055555555555557</v>
      </c>
      <c r="AE457" s="2224"/>
      <c r="AF457" s="2224"/>
      <c r="AG457" s="2224"/>
      <c r="AH457" s="156"/>
      <c r="AI457" s="156"/>
      <c r="AJ457" s="156"/>
      <c r="AK457" s="156"/>
      <c r="AL457" s="156"/>
      <c r="AM457" s="156"/>
      <c r="AN457" s="156"/>
      <c r="AO457" s="156"/>
      <c r="AP457" s="156"/>
      <c r="AQ457" s="156"/>
      <c r="AR457" s="156"/>
      <c r="AS457" s="156"/>
      <c r="AT457" s="156"/>
      <c r="AU457" s="156"/>
      <c r="AV457" s="156"/>
      <c r="AW457" s="156"/>
      <c r="AX457" s="156"/>
      <c r="AY457" s="156"/>
      <c r="AZ457" s="156"/>
      <c r="BA457" s="156"/>
      <c r="BB457" s="2828"/>
      <c r="BC457" s="504"/>
      <c r="BD457" s="2829"/>
      <c r="BE457" s="2837"/>
      <c r="BF457" s="156"/>
    </row>
    <row r="458" spans="1:58" ht="14.5" hidden="1" customHeight="1" outlineLevel="1" x14ac:dyDescent="0.35">
      <c r="A458" s="1071"/>
      <c r="B458" s="106"/>
      <c r="C458" s="103"/>
      <c r="D458" s="4022"/>
      <c r="E458" s="4111"/>
      <c r="F458" s="3919" t="str">
        <f t="shared" si="62"/>
        <v>CAC-SEER17_ER1_MF_CompE</v>
      </c>
      <c r="G458" s="3920"/>
      <c r="H458" s="3921"/>
      <c r="I458" s="576" t="str">
        <f t="shared" si="63"/>
        <v>351101_2021_12_</v>
      </c>
      <c r="J458" s="1797">
        <f>J456</f>
        <v>17.055555555555557</v>
      </c>
      <c r="K458" s="2058"/>
      <c r="L458" s="2746" t="s">
        <v>973</v>
      </c>
      <c r="M458" s="103"/>
      <c r="N458" s="1287"/>
      <c r="O458" s="103"/>
      <c r="P458" s="106"/>
      <c r="Q458" s="106"/>
      <c r="R458" s="106"/>
      <c r="S458" s="106"/>
      <c r="T458" s="106"/>
      <c r="U458" s="106"/>
      <c r="V458" s="4022"/>
      <c r="W458" s="576"/>
      <c r="X458" s="585"/>
      <c r="Y458" s="585">
        <v>17</v>
      </c>
      <c r="Z458" s="585">
        <v>17</v>
      </c>
      <c r="AA458" s="585">
        <v>17</v>
      </c>
      <c r="AB458" s="2888">
        <v>17</v>
      </c>
      <c r="AC458" s="2057">
        <v>17</v>
      </c>
      <c r="AD458" s="1797">
        <f>AD456</f>
        <v>17.055555555555557</v>
      </c>
      <c r="AE458" s="576"/>
      <c r="AF458" s="576"/>
      <c r="AG458" s="576"/>
      <c r="AH458" s="156"/>
      <c r="AI458" s="156"/>
      <c r="AJ458" s="156"/>
      <c r="AK458" s="156"/>
      <c r="AL458" s="156"/>
      <c r="AM458" s="156"/>
      <c r="AN458" s="156"/>
      <c r="AO458" s="156"/>
      <c r="AP458" s="156"/>
      <c r="AQ458" s="156"/>
      <c r="AR458" s="156"/>
      <c r="AS458" s="156"/>
      <c r="AT458" s="156"/>
      <c r="AU458" s="156"/>
      <c r="AV458" s="156"/>
      <c r="AW458" s="156"/>
      <c r="AX458" s="156"/>
      <c r="AY458" s="156"/>
      <c r="AZ458" s="156"/>
      <c r="BA458" s="156"/>
      <c r="BB458" s="2828"/>
      <c r="BC458" s="504"/>
      <c r="BD458" s="2829"/>
      <c r="BE458" s="2837"/>
      <c r="BF458" s="156"/>
    </row>
    <row r="459" spans="1:58" ht="14.5" hidden="1" customHeight="1" outlineLevel="1" x14ac:dyDescent="0.35">
      <c r="A459" s="1071"/>
      <c r="B459" s="106"/>
      <c r="C459" s="103"/>
      <c r="D459" s="4022"/>
      <c r="E459" s="4111"/>
      <c r="F459" s="3919" t="str">
        <f t="shared" si="62"/>
        <v>CAC-SEER17_ER2_MF_CompE</v>
      </c>
      <c r="G459" s="3920"/>
      <c r="H459" s="3921"/>
      <c r="I459" s="2224" t="str">
        <f t="shared" si="63"/>
        <v>351101_2021_12_</v>
      </c>
      <c r="J459" s="1797">
        <f>J457</f>
        <v>17.055555555555557</v>
      </c>
      <c r="K459" s="1592"/>
      <c r="L459" s="2746" t="s">
        <v>973</v>
      </c>
      <c r="M459" s="103"/>
      <c r="N459" s="1287"/>
      <c r="O459" s="103"/>
      <c r="P459" s="106"/>
      <c r="Q459" s="106"/>
      <c r="R459" s="106"/>
      <c r="S459" s="106"/>
      <c r="T459" s="106"/>
      <c r="U459" s="106"/>
      <c r="V459" s="4022"/>
      <c r="W459" s="576"/>
      <c r="X459" s="585"/>
      <c r="Y459" s="585">
        <v>17</v>
      </c>
      <c r="Z459" s="585">
        <v>17</v>
      </c>
      <c r="AA459" s="585">
        <v>17</v>
      </c>
      <c r="AB459" s="2887">
        <v>17</v>
      </c>
      <c r="AC459" s="1840">
        <v>17</v>
      </c>
      <c r="AD459" s="1797">
        <f>AD457</f>
        <v>17.055555555555557</v>
      </c>
      <c r="AE459" s="576"/>
      <c r="AF459" s="576"/>
      <c r="AG459" s="576"/>
      <c r="AH459" s="156"/>
      <c r="AI459" s="156"/>
      <c r="AJ459" s="156"/>
      <c r="AK459" s="156"/>
      <c r="AL459" s="156"/>
      <c r="AM459" s="156"/>
      <c r="AN459" s="156"/>
      <c r="AO459" s="156"/>
      <c r="AP459" s="156"/>
      <c r="AQ459" s="156"/>
      <c r="AR459" s="156"/>
      <c r="AS459" s="156"/>
      <c r="AT459" s="156"/>
      <c r="AU459" s="156"/>
      <c r="AV459" s="156"/>
      <c r="AW459" s="156"/>
      <c r="AX459" s="156"/>
      <c r="AY459" s="156"/>
      <c r="AZ459" s="156"/>
      <c r="BA459" s="156"/>
      <c r="BB459" s="2828"/>
      <c r="BC459" s="504"/>
      <c r="BD459" s="2829"/>
      <c r="BE459" s="2837"/>
      <c r="BF459" s="156"/>
    </row>
    <row r="460" spans="1:58" ht="15" hidden="1" customHeight="1" outlineLevel="1" x14ac:dyDescent="0.35">
      <c r="A460" s="1071"/>
      <c r="B460" s="106"/>
      <c r="C460" s="103"/>
      <c r="D460" s="4022"/>
      <c r="E460" s="4111"/>
      <c r="F460" s="3919" t="str">
        <f t="shared" si="62"/>
        <v>CAC-SEER17_ROF_MF</v>
      </c>
      <c r="G460" s="3920"/>
      <c r="H460" s="3921"/>
      <c r="I460" s="2224" t="str">
        <f t="shared" si="63"/>
        <v>351150_2021_12_</v>
      </c>
      <c r="J460" s="1797">
        <v>17</v>
      </c>
      <c r="K460" s="1592"/>
      <c r="L460" s="2729" t="s">
        <v>4360</v>
      </c>
      <c r="M460" s="103"/>
      <c r="N460" s="1287"/>
      <c r="O460" s="103"/>
      <c r="P460" s="106"/>
      <c r="Q460" s="106"/>
      <c r="R460" s="106"/>
      <c r="S460" s="106"/>
      <c r="T460" s="106"/>
      <c r="U460" s="106"/>
      <c r="V460" s="4022"/>
      <c r="W460" s="2224">
        <v>17</v>
      </c>
      <c r="X460" s="583">
        <f t="shared" si="64"/>
        <v>17</v>
      </c>
      <c r="Y460" s="583">
        <v>17</v>
      </c>
      <c r="Z460" s="583">
        <v>17</v>
      </c>
      <c r="AA460" s="583">
        <v>17</v>
      </c>
      <c r="AB460" s="1797">
        <v>17</v>
      </c>
      <c r="AC460" s="1840">
        <v>17</v>
      </c>
      <c r="AD460" s="1797">
        <v>17</v>
      </c>
      <c r="AE460" s="2224"/>
      <c r="AF460" s="2224"/>
      <c r="AG460" s="2224"/>
      <c r="AH460" s="156"/>
      <c r="AI460" s="156"/>
      <c r="AJ460" s="156"/>
      <c r="AK460" s="156"/>
      <c r="AL460" s="156"/>
      <c r="AM460" s="156"/>
      <c r="AN460" s="156"/>
      <c r="AO460" s="156"/>
      <c r="AP460" s="156"/>
      <c r="AQ460" s="156"/>
      <c r="AR460" s="156"/>
      <c r="AS460" s="156"/>
      <c r="AT460" s="156"/>
      <c r="AU460" s="156"/>
      <c r="AV460" s="156"/>
      <c r="AW460" s="156"/>
      <c r="AX460" s="156"/>
      <c r="AY460" s="156"/>
      <c r="AZ460" s="156"/>
      <c r="BA460" s="156"/>
      <c r="BB460" s="2828"/>
      <c r="BC460" s="504"/>
      <c r="BD460" s="2829"/>
      <c r="BE460" s="2837"/>
      <c r="BF460" s="156"/>
    </row>
    <row r="461" spans="1:58" ht="15" hidden="1" customHeight="1" outlineLevel="1" x14ac:dyDescent="0.35">
      <c r="A461" s="1071"/>
      <c r="B461" s="106"/>
      <c r="C461" s="103"/>
      <c r="D461" s="4023"/>
      <c r="E461" s="3839"/>
      <c r="F461" s="3919" t="str">
        <f t="shared" si="62"/>
        <v>CAC-SEER17_ROF_MF_CompE</v>
      </c>
      <c r="G461" s="3920"/>
      <c r="H461" s="3921"/>
      <c r="I461" s="2224" t="str">
        <f t="shared" si="63"/>
        <v>351151_2021_12_</v>
      </c>
      <c r="J461" s="1797">
        <f>J460</f>
        <v>17</v>
      </c>
      <c r="K461" s="1592"/>
      <c r="L461" s="2746" t="s">
        <v>973</v>
      </c>
      <c r="M461" s="103"/>
      <c r="N461" s="1287"/>
      <c r="O461" s="103"/>
      <c r="P461" s="106"/>
      <c r="Q461" s="106"/>
      <c r="R461" s="106"/>
      <c r="S461" s="106"/>
      <c r="T461" s="106"/>
      <c r="U461" s="106"/>
      <c r="V461" s="4023"/>
      <c r="W461" s="2224"/>
      <c r="X461" s="583"/>
      <c r="Y461" s="583">
        <v>17</v>
      </c>
      <c r="Z461" s="583">
        <v>17</v>
      </c>
      <c r="AA461" s="583">
        <v>17</v>
      </c>
      <c r="AB461" s="2887">
        <v>17</v>
      </c>
      <c r="AC461" s="1840">
        <v>17</v>
      </c>
      <c r="AD461" s="1797">
        <f>AD460</f>
        <v>17</v>
      </c>
      <c r="AE461" s="2224"/>
      <c r="AF461" s="2224"/>
      <c r="AG461" s="2224"/>
      <c r="AH461" s="156"/>
      <c r="AI461" s="156"/>
      <c r="AJ461" s="156"/>
      <c r="AK461" s="156"/>
      <c r="AL461" s="156"/>
      <c r="AM461" s="156"/>
      <c r="AN461" s="156"/>
      <c r="AO461" s="156"/>
      <c r="AP461" s="156"/>
      <c r="AQ461" s="156"/>
      <c r="AR461" s="156"/>
      <c r="AS461" s="156"/>
      <c r="AT461" s="156"/>
      <c r="AU461" s="156"/>
      <c r="AV461" s="156"/>
      <c r="AW461" s="156"/>
      <c r="AX461" s="156"/>
      <c r="AY461" s="156"/>
      <c r="AZ461" s="156"/>
      <c r="BA461" s="156"/>
      <c r="BB461" s="2828"/>
      <c r="BC461" s="504"/>
      <c r="BD461" s="2829"/>
      <c r="BE461" s="2837"/>
      <c r="BF461" s="156"/>
    </row>
    <row r="462" spans="1:58" ht="14.5" hidden="1" customHeight="1" outlineLevel="1" x14ac:dyDescent="0.35">
      <c r="A462" s="1071"/>
      <c r="B462" s="106"/>
      <c r="C462" s="103"/>
      <c r="D462" s="4140"/>
      <c r="E462" s="4138"/>
      <c r="F462" s="3919" t="str">
        <f t="shared" si="62"/>
        <v>CAC-SEER18_ER1_SF</v>
      </c>
      <c r="G462" s="3920"/>
      <c r="H462" s="3921"/>
      <c r="I462" s="2224" t="str">
        <f t="shared" si="63"/>
        <v>351160_2021_12_</v>
      </c>
      <c r="J462" s="2730">
        <v>18.005837563451777</v>
      </c>
      <c r="K462" s="1592"/>
      <c r="L462" s="2729" t="s">
        <v>4360</v>
      </c>
      <c r="M462" s="103"/>
      <c r="N462" s="1287"/>
      <c r="O462" s="103"/>
      <c r="P462" s="84" t="s">
        <v>4361</v>
      </c>
      <c r="Q462" s="106"/>
      <c r="R462" s="106"/>
      <c r="S462" s="106"/>
      <c r="T462" s="106"/>
      <c r="U462" s="106"/>
      <c r="V462" s="4023"/>
      <c r="W462" s="579"/>
      <c r="X462" s="677"/>
      <c r="Y462" s="677"/>
      <c r="Z462" s="2377">
        <v>18</v>
      </c>
      <c r="AA462" s="676">
        <v>18</v>
      </c>
      <c r="AB462" s="2887">
        <v>18</v>
      </c>
      <c r="AC462" s="1797">
        <v>18.00561797752809</v>
      </c>
      <c r="AD462" s="2730">
        <v>18.005837563451777</v>
      </c>
      <c r="AE462" s="579"/>
      <c r="AF462" s="579"/>
      <c r="AG462" s="579"/>
      <c r="AH462" s="156"/>
      <c r="AI462" s="156"/>
      <c r="AJ462" s="156"/>
      <c r="AK462" s="156"/>
      <c r="AL462" s="156"/>
      <c r="AM462" s="156"/>
      <c r="AN462" s="156"/>
      <c r="AO462" s="156"/>
      <c r="AP462" s="156"/>
      <c r="AQ462" s="156"/>
      <c r="AR462" s="156"/>
      <c r="AS462" s="156"/>
      <c r="AT462" s="156"/>
      <c r="AU462" s="156"/>
      <c r="AV462" s="156"/>
      <c r="AW462" s="156"/>
      <c r="AX462" s="156"/>
      <c r="AY462" s="156"/>
      <c r="AZ462" s="156"/>
      <c r="BA462" s="156"/>
      <c r="BB462" s="2828"/>
      <c r="BC462" s="504"/>
      <c r="BD462" s="2829"/>
      <c r="BE462" s="2837"/>
      <c r="BF462" s="156"/>
    </row>
    <row r="463" spans="1:58" ht="14.5" hidden="1" customHeight="1" outlineLevel="1" x14ac:dyDescent="0.35">
      <c r="A463" s="1071"/>
      <c r="B463" s="106"/>
      <c r="C463" s="103"/>
      <c r="D463" s="4140"/>
      <c r="E463" s="4138"/>
      <c r="F463" s="3919" t="str">
        <f t="shared" si="62"/>
        <v>CAC-SEER18_ER2_SF</v>
      </c>
      <c r="G463" s="3920"/>
      <c r="H463" s="3921"/>
      <c r="I463" s="2224" t="str">
        <f t="shared" si="63"/>
        <v>351160_2021_12_</v>
      </c>
      <c r="J463" s="1797">
        <f>J462</f>
        <v>18.005837563451777</v>
      </c>
      <c r="K463" s="1592"/>
      <c r="L463" s="2729" t="s">
        <v>4360</v>
      </c>
      <c r="M463" s="103"/>
      <c r="N463" s="1287"/>
      <c r="O463" s="103"/>
      <c r="P463" s="84" t="s">
        <v>4361</v>
      </c>
      <c r="Q463" s="106"/>
      <c r="R463" s="106"/>
      <c r="S463" s="106"/>
      <c r="T463" s="106"/>
      <c r="U463" s="106"/>
      <c r="V463" s="4023"/>
      <c r="W463" s="2224"/>
      <c r="X463" s="584"/>
      <c r="Y463" s="584"/>
      <c r="Z463" s="2374">
        <v>18</v>
      </c>
      <c r="AA463" s="583">
        <v>18</v>
      </c>
      <c r="AB463" s="2887">
        <v>18</v>
      </c>
      <c r="AC463" s="2887">
        <v>18</v>
      </c>
      <c r="AD463" s="1797">
        <f>AD462</f>
        <v>18.005837563451777</v>
      </c>
      <c r="AE463" s="2224"/>
      <c r="AF463" s="2224"/>
      <c r="AG463" s="2224"/>
      <c r="AH463" s="156"/>
      <c r="AI463" s="156"/>
      <c r="AJ463" s="156"/>
      <c r="AK463" s="156"/>
      <c r="AL463" s="156"/>
      <c r="AM463" s="156"/>
      <c r="AN463" s="156"/>
      <c r="AO463" s="156"/>
      <c r="AP463" s="156"/>
      <c r="AQ463" s="156"/>
      <c r="AR463" s="156"/>
      <c r="AS463" s="156"/>
      <c r="AT463" s="156"/>
      <c r="AU463" s="156"/>
      <c r="AV463" s="156"/>
      <c r="AW463" s="156"/>
      <c r="AX463" s="156"/>
      <c r="AY463" s="156"/>
      <c r="AZ463" s="156"/>
      <c r="BA463" s="156"/>
      <c r="BB463" s="2828"/>
      <c r="BC463" s="504"/>
      <c r="BD463" s="2829"/>
      <c r="BE463" s="2837"/>
      <c r="BF463" s="156"/>
    </row>
    <row r="464" spans="1:58" ht="14.5" hidden="1" customHeight="1" outlineLevel="1" x14ac:dyDescent="0.35">
      <c r="A464" s="1071"/>
      <c r="B464" s="106"/>
      <c r="C464" s="103"/>
      <c r="D464" s="4140"/>
      <c r="E464" s="4138"/>
      <c r="F464" s="3919" t="str">
        <f t="shared" si="62"/>
        <v>CAC-SEER18_ROF_SF</v>
      </c>
      <c r="G464" s="3920"/>
      <c r="H464" s="3921"/>
      <c r="I464" s="2224" t="str">
        <f t="shared" si="63"/>
        <v>351161_2021_12_</v>
      </c>
      <c r="J464" s="2730">
        <v>18</v>
      </c>
      <c r="K464" s="1592"/>
      <c r="L464" s="2729" t="s">
        <v>4360</v>
      </c>
      <c r="M464" s="103"/>
      <c r="N464" s="1287"/>
      <c r="O464" s="103"/>
      <c r="P464" s="106"/>
      <c r="Q464" s="106"/>
      <c r="R464" s="106"/>
      <c r="S464" s="106"/>
      <c r="T464" s="106"/>
      <c r="U464" s="106"/>
      <c r="V464" s="4023"/>
      <c r="W464" s="2224"/>
      <c r="X464" s="584"/>
      <c r="Y464" s="584"/>
      <c r="Z464" s="2374">
        <v>18</v>
      </c>
      <c r="AA464" s="583">
        <v>18</v>
      </c>
      <c r="AB464" s="2887">
        <v>18</v>
      </c>
      <c r="AC464" s="1797">
        <v>18.012820512820515</v>
      </c>
      <c r="AD464" s="2730">
        <v>18</v>
      </c>
      <c r="AE464" s="2224"/>
      <c r="AF464" s="2224"/>
      <c r="AG464" s="2224"/>
      <c r="AH464" s="156"/>
      <c r="AI464" s="156"/>
      <c r="AJ464" s="156"/>
      <c r="AK464" s="156"/>
      <c r="AL464" s="156"/>
      <c r="AM464" s="156"/>
      <c r="AN464" s="156"/>
      <c r="AO464" s="156"/>
      <c r="AP464" s="156"/>
      <c r="AQ464" s="156"/>
      <c r="AR464" s="156"/>
      <c r="AS464" s="156"/>
      <c r="AT464" s="156"/>
      <c r="AU464" s="156"/>
      <c r="AV464" s="156"/>
      <c r="AW464" s="156"/>
      <c r="AX464" s="156"/>
      <c r="AY464" s="156"/>
      <c r="AZ464" s="156"/>
      <c r="BA464" s="156"/>
      <c r="BB464" s="2828"/>
      <c r="BC464" s="504"/>
      <c r="BD464" s="2829"/>
      <c r="BE464" s="2837"/>
      <c r="BF464" s="156"/>
    </row>
    <row r="465" spans="1:58" hidden="1" outlineLevel="1" x14ac:dyDescent="0.35">
      <c r="A465" s="1071"/>
      <c r="B465" s="106"/>
      <c r="C465" s="103"/>
      <c r="D465" s="4140"/>
      <c r="E465" s="4138"/>
      <c r="F465" s="3919" t="str">
        <f t="shared" si="62"/>
        <v>CAC-SEER18_ER1_MF</v>
      </c>
      <c r="G465" s="3920"/>
      <c r="H465" s="3921"/>
      <c r="I465" s="2224" t="str">
        <f t="shared" si="63"/>
        <v>351162_2021_12_</v>
      </c>
      <c r="J465" s="2730">
        <v>18</v>
      </c>
      <c r="K465" s="1592"/>
      <c r="L465" s="2729" t="s">
        <v>4360</v>
      </c>
      <c r="M465" s="103"/>
      <c r="N465" s="1287"/>
      <c r="O465" s="103"/>
      <c r="P465" s="84" t="s">
        <v>4361</v>
      </c>
      <c r="Q465" s="106"/>
      <c r="R465" s="106"/>
      <c r="S465" s="106"/>
      <c r="T465" s="106"/>
      <c r="U465" s="106"/>
      <c r="V465" s="4023"/>
      <c r="W465" s="2224"/>
      <c r="X465" s="584"/>
      <c r="Y465" s="584"/>
      <c r="Z465" s="2374">
        <v>18</v>
      </c>
      <c r="AA465" s="583">
        <v>18</v>
      </c>
      <c r="AB465" s="2887">
        <v>18</v>
      </c>
      <c r="AC465" s="1840">
        <v>18</v>
      </c>
      <c r="AD465" s="2730">
        <v>18</v>
      </c>
      <c r="AE465" s="2224"/>
      <c r="AF465" s="2224"/>
      <c r="AG465" s="2224"/>
      <c r="AH465" s="156"/>
      <c r="AI465" s="156"/>
      <c r="AJ465" s="156"/>
      <c r="AK465" s="156"/>
      <c r="AL465" s="156"/>
      <c r="AM465" s="156"/>
      <c r="AN465" s="156"/>
      <c r="AO465" s="156"/>
      <c r="AP465" s="156"/>
      <c r="AQ465" s="156"/>
      <c r="AR465" s="156"/>
      <c r="AS465" s="156"/>
      <c r="AT465" s="156"/>
      <c r="AU465" s="156"/>
      <c r="AV465" s="156"/>
      <c r="AW465" s="156"/>
      <c r="AX465" s="156"/>
      <c r="AY465" s="156"/>
      <c r="AZ465" s="156"/>
      <c r="BA465" s="156"/>
      <c r="BB465" s="2828"/>
      <c r="BC465" s="504"/>
      <c r="BD465" s="2829"/>
      <c r="BE465" s="2837"/>
      <c r="BF465" s="156"/>
    </row>
    <row r="466" spans="1:58" hidden="1" outlineLevel="1" x14ac:dyDescent="0.35">
      <c r="A466" s="1071"/>
      <c r="B466" s="106"/>
      <c r="C466" s="103"/>
      <c r="D466" s="4140"/>
      <c r="E466" s="4138"/>
      <c r="F466" s="3919" t="str">
        <f t="shared" si="62"/>
        <v>CAC-SEER18_ER2_MF</v>
      </c>
      <c r="G466" s="3920"/>
      <c r="H466" s="3921"/>
      <c r="I466" s="2224" t="str">
        <f t="shared" si="63"/>
        <v>351162_2021_12_</v>
      </c>
      <c r="J466" s="2730">
        <f>J465</f>
        <v>18</v>
      </c>
      <c r="K466" s="1592"/>
      <c r="L466" s="2729" t="s">
        <v>4360</v>
      </c>
      <c r="M466" s="103"/>
      <c r="N466" s="1287"/>
      <c r="O466" s="103"/>
      <c r="P466" s="84" t="s">
        <v>4361</v>
      </c>
      <c r="Q466" s="106"/>
      <c r="R466" s="106"/>
      <c r="S466" s="106"/>
      <c r="T466" s="106"/>
      <c r="U466" s="106"/>
      <c r="V466" s="4023"/>
      <c r="W466" s="2224"/>
      <c r="X466" s="584"/>
      <c r="Y466" s="584"/>
      <c r="Z466" s="2374">
        <v>18</v>
      </c>
      <c r="AA466" s="583">
        <v>18</v>
      </c>
      <c r="AB466" s="2887">
        <v>18</v>
      </c>
      <c r="AC466" s="1840">
        <v>18</v>
      </c>
      <c r="AD466" s="2730">
        <f>AD465</f>
        <v>18</v>
      </c>
      <c r="AE466" s="2224"/>
      <c r="AF466" s="2224"/>
      <c r="AG466" s="2224"/>
      <c r="AH466" s="156"/>
      <c r="AI466" s="156"/>
      <c r="AJ466" s="156"/>
      <c r="AK466" s="156"/>
      <c r="AL466" s="156"/>
      <c r="AM466" s="156"/>
      <c r="AN466" s="156"/>
      <c r="AO466" s="156"/>
      <c r="AP466" s="156"/>
      <c r="AQ466" s="156"/>
      <c r="AR466" s="156"/>
      <c r="AS466" s="156"/>
      <c r="AT466" s="156"/>
      <c r="AU466" s="156"/>
      <c r="AV466" s="156"/>
      <c r="AW466" s="156"/>
      <c r="AX466" s="156"/>
      <c r="AY466" s="156"/>
      <c r="AZ466" s="156"/>
      <c r="BA466" s="156"/>
      <c r="BB466" s="2828"/>
      <c r="BC466" s="504"/>
      <c r="BD466" s="2829"/>
      <c r="BE466" s="2837"/>
      <c r="BF466" s="156"/>
    </row>
    <row r="467" spans="1:58" hidden="1" outlineLevel="1" x14ac:dyDescent="0.35">
      <c r="A467" s="1071"/>
      <c r="B467" s="106"/>
      <c r="C467" s="103"/>
      <c r="D467" s="4140"/>
      <c r="E467" s="4138"/>
      <c r="F467" s="3919" t="str">
        <f t="shared" si="62"/>
        <v>CAC-SEER18_ER1_MF_CompE</v>
      </c>
      <c r="G467" s="3920"/>
      <c r="H467" s="3921"/>
      <c r="I467" s="2224" t="str">
        <f t="shared" si="63"/>
        <v>351163_2021_12_</v>
      </c>
      <c r="J467" s="2730">
        <f>J465</f>
        <v>18</v>
      </c>
      <c r="K467" s="1592"/>
      <c r="L467" s="2746" t="s">
        <v>973</v>
      </c>
      <c r="M467" s="103"/>
      <c r="N467" s="1287"/>
      <c r="O467" s="103"/>
      <c r="P467" s="106"/>
      <c r="Q467" s="106"/>
      <c r="R467" s="106"/>
      <c r="S467" s="106"/>
      <c r="T467" s="106"/>
      <c r="U467" s="106"/>
      <c r="V467" s="4023"/>
      <c r="W467" s="2224"/>
      <c r="X467" s="584"/>
      <c r="Y467" s="584"/>
      <c r="Z467" s="2374">
        <v>18</v>
      </c>
      <c r="AA467" s="583">
        <v>18</v>
      </c>
      <c r="AB467" s="2887">
        <v>18</v>
      </c>
      <c r="AC467" s="1840">
        <v>18</v>
      </c>
      <c r="AD467" s="2730">
        <f>AD465</f>
        <v>18</v>
      </c>
      <c r="AE467" s="2224"/>
      <c r="AF467" s="2224"/>
      <c r="AG467" s="2224"/>
      <c r="AH467" s="156"/>
      <c r="AI467" s="156"/>
      <c r="AJ467" s="156"/>
      <c r="AK467" s="156"/>
      <c r="AL467" s="156"/>
      <c r="AM467" s="156"/>
      <c r="AN467" s="156"/>
      <c r="AO467" s="156"/>
      <c r="AP467" s="156"/>
      <c r="AQ467" s="156"/>
      <c r="AR467" s="156"/>
      <c r="AS467" s="156"/>
      <c r="AT467" s="156"/>
      <c r="AU467" s="156"/>
      <c r="AV467" s="156"/>
      <c r="AW467" s="156"/>
      <c r="AX467" s="156"/>
      <c r="AY467" s="156"/>
      <c r="AZ467" s="156"/>
      <c r="BA467" s="156"/>
      <c r="BB467" s="2828"/>
      <c r="BC467" s="504"/>
      <c r="BD467" s="2829"/>
      <c r="BE467" s="2837"/>
      <c r="BF467" s="156"/>
    </row>
    <row r="468" spans="1:58" hidden="1" outlineLevel="1" x14ac:dyDescent="0.35">
      <c r="A468" s="1071"/>
      <c r="B468" s="106"/>
      <c r="C468" s="103"/>
      <c r="D468" s="4140"/>
      <c r="E468" s="4138"/>
      <c r="F468" s="3919" t="str">
        <f t="shared" si="62"/>
        <v>CAC-SEER18_ER2_MF_CompE</v>
      </c>
      <c r="G468" s="3920"/>
      <c r="H468" s="3921"/>
      <c r="I468" s="2224" t="str">
        <f t="shared" si="63"/>
        <v>351163_2021_12_</v>
      </c>
      <c r="J468" s="2730">
        <f>J466</f>
        <v>18</v>
      </c>
      <c r="K468" s="1592"/>
      <c r="L468" s="2746" t="s">
        <v>973</v>
      </c>
      <c r="M468" s="103"/>
      <c r="N468" s="1287"/>
      <c r="O468" s="103"/>
      <c r="P468" s="106"/>
      <c r="Q468" s="106"/>
      <c r="R468" s="106"/>
      <c r="S468" s="106"/>
      <c r="T468" s="106"/>
      <c r="U468" s="106"/>
      <c r="V468" s="4023"/>
      <c r="W468" s="2224"/>
      <c r="X468" s="584"/>
      <c r="Y468" s="584"/>
      <c r="Z468" s="2374">
        <v>18</v>
      </c>
      <c r="AA468" s="583">
        <v>18</v>
      </c>
      <c r="AB468" s="2887">
        <v>18</v>
      </c>
      <c r="AC468" s="1840">
        <v>18</v>
      </c>
      <c r="AD468" s="2730">
        <f>AD466</f>
        <v>18</v>
      </c>
      <c r="AE468" s="2224"/>
      <c r="AF468" s="2224"/>
      <c r="AG468" s="2224"/>
      <c r="AH468" s="156"/>
      <c r="AI468" s="156"/>
      <c r="AJ468" s="156"/>
      <c r="AK468" s="156"/>
      <c r="AL468" s="156"/>
      <c r="AM468" s="156"/>
      <c r="AN468" s="156"/>
      <c r="AO468" s="156"/>
      <c r="AP468" s="156"/>
      <c r="AQ468" s="156"/>
      <c r="AR468" s="156"/>
      <c r="AS468" s="156"/>
      <c r="AT468" s="156"/>
      <c r="AU468" s="156"/>
      <c r="AV468" s="156"/>
      <c r="AW468" s="156"/>
      <c r="AX468" s="156"/>
      <c r="AY468" s="156"/>
      <c r="AZ468" s="156"/>
      <c r="BA468" s="156"/>
      <c r="BB468" s="2828"/>
      <c r="BC468" s="504"/>
      <c r="BD468" s="2829"/>
      <c r="BE468" s="2837"/>
      <c r="BF468" s="156"/>
    </row>
    <row r="469" spans="1:58" hidden="1" outlineLevel="1" x14ac:dyDescent="0.35">
      <c r="A469" s="1071"/>
      <c r="B469" s="106"/>
      <c r="C469" s="103"/>
      <c r="D469" s="4140"/>
      <c r="E469" s="4138"/>
      <c r="F469" s="3919" t="str">
        <f t="shared" si="62"/>
        <v>CAC-SEER18_ROF_MF</v>
      </c>
      <c r="G469" s="3920"/>
      <c r="H469" s="3921"/>
      <c r="I469" s="2224" t="str">
        <f t="shared" si="63"/>
        <v>351164_2021_12_</v>
      </c>
      <c r="J469" s="1840">
        <v>18</v>
      </c>
      <c r="K469" s="1592"/>
      <c r="L469" s="1839" t="s">
        <v>974</v>
      </c>
      <c r="M469" s="103"/>
      <c r="N469" s="1287"/>
      <c r="O469" s="103"/>
      <c r="P469" s="106"/>
      <c r="Q469" s="106"/>
      <c r="R469" s="106"/>
      <c r="S469" s="106"/>
      <c r="T469" s="106"/>
      <c r="U469" s="106"/>
      <c r="V469" s="4023"/>
      <c r="W469" s="2224"/>
      <c r="X469" s="584"/>
      <c r="Y469" s="584"/>
      <c r="Z469" s="2374">
        <v>18</v>
      </c>
      <c r="AA469" s="583">
        <v>18</v>
      </c>
      <c r="AB469" s="2887">
        <v>18</v>
      </c>
      <c r="AC469" s="1840">
        <v>18</v>
      </c>
      <c r="AD469" s="1840">
        <v>18</v>
      </c>
      <c r="AE469" s="2224"/>
      <c r="AF469" s="2224"/>
      <c r="AG469" s="2224"/>
      <c r="AH469" s="156"/>
      <c r="AI469" s="156"/>
      <c r="AJ469" s="156"/>
      <c r="AK469" s="156"/>
      <c r="AL469" s="156"/>
      <c r="AM469" s="156"/>
      <c r="AN469" s="156"/>
      <c r="AO469" s="156"/>
      <c r="AP469" s="156"/>
      <c r="AQ469" s="156"/>
      <c r="AR469" s="156"/>
      <c r="AS469" s="156"/>
      <c r="AT469" s="156"/>
      <c r="AU469" s="156"/>
      <c r="AV469" s="156"/>
      <c r="AW469" s="156"/>
      <c r="AX469" s="156"/>
      <c r="AY469" s="156"/>
      <c r="AZ469" s="156"/>
      <c r="BA469" s="156"/>
      <c r="BB469" s="2828"/>
      <c r="BC469" s="504"/>
      <c r="BD469" s="2829"/>
      <c r="BE469" s="2837"/>
      <c r="BF469" s="156"/>
    </row>
    <row r="470" spans="1:58" hidden="1" outlineLevel="1" x14ac:dyDescent="0.35">
      <c r="A470" s="1071"/>
      <c r="B470" s="106"/>
      <c r="C470" s="103"/>
      <c r="D470" s="4140"/>
      <c r="E470" s="4138"/>
      <c r="F470" s="3919" t="str">
        <f t="shared" si="62"/>
        <v>CAC-SEER18_ROF_MF_CompE</v>
      </c>
      <c r="G470" s="3920"/>
      <c r="H470" s="3921"/>
      <c r="I470" s="2224" t="str">
        <f t="shared" si="63"/>
        <v>351165_2021_12_</v>
      </c>
      <c r="J470" s="1797">
        <f>J469</f>
        <v>18</v>
      </c>
      <c r="K470" s="1592"/>
      <c r="L470" s="2746" t="s">
        <v>973</v>
      </c>
      <c r="M470" s="103"/>
      <c r="N470" s="1287"/>
      <c r="O470" s="103"/>
      <c r="P470" s="106"/>
      <c r="Q470" s="106"/>
      <c r="R470" s="106"/>
      <c r="S470" s="106"/>
      <c r="T470" s="106"/>
      <c r="U470" s="106"/>
      <c r="V470" s="4023"/>
      <c r="W470" s="2224"/>
      <c r="X470" s="584"/>
      <c r="Y470" s="584"/>
      <c r="Z470" s="2374">
        <v>18</v>
      </c>
      <c r="AA470" s="583">
        <v>18</v>
      </c>
      <c r="AB470" s="2887">
        <v>18</v>
      </c>
      <c r="AC470" s="1840">
        <v>18</v>
      </c>
      <c r="AD470" s="1797">
        <f>AD469</f>
        <v>18</v>
      </c>
      <c r="AE470" s="2224"/>
      <c r="AF470" s="2224"/>
      <c r="AG470" s="2224"/>
      <c r="AH470" s="156"/>
      <c r="AI470" s="156"/>
      <c r="AJ470" s="156"/>
      <c r="AK470" s="156"/>
      <c r="AL470" s="156"/>
      <c r="AM470" s="156"/>
      <c r="AN470" s="156"/>
      <c r="AO470" s="156"/>
      <c r="AP470" s="156"/>
      <c r="AQ470" s="156"/>
      <c r="AR470" s="156"/>
      <c r="AS470" s="156"/>
      <c r="AT470" s="156"/>
      <c r="AU470" s="156"/>
      <c r="AV470" s="156"/>
      <c r="AW470" s="156"/>
      <c r="AX470" s="156"/>
      <c r="AY470" s="156"/>
      <c r="AZ470" s="156"/>
      <c r="BA470" s="156"/>
      <c r="BB470" s="2828"/>
      <c r="BC470" s="504"/>
      <c r="BD470" s="2829"/>
      <c r="BE470" s="2837"/>
      <c r="BF470" s="156"/>
    </row>
    <row r="471" spans="1:58" hidden="1" outlineLevel="1" x14ac:dyDescent="0.35">
      <c r="A471" s="1071"/>
      <c r="B471" s="106"/>
      <c r="C471" s="103"/>
      <c r="D471" s="4140"/>
      <c r="E471" s="4138"/>
      <c r="F471" s="3919" t="str">
        <f t="shared" si="62"/>
        <v>CAC-SEER19_ER1_SF</v>
      </c>
      <c r="G471" s="3920"/>
      <c r="H471" s="3921"/>
      <c r="I471" s="2224" t="str">
        <f t="shared" si="63"/>
        <v>351170_2021_12_</v>
      </c>
      <c r="J471" s="2730">
        <v>19.163043478260871</v>
      </c>
      <c r="K471" s="1592"/>
      <c r="L471" s="2729" t="s">
        <v>4360</v>
      </c>
      <c r="M471" s="103"/>
      <c r="N471" s="1287"/>
      <c r="O471" s="103"/>
      <c r="P471" s="84" t="s">
        <v>4361</v>
      </c>
      <c r="Q471" s="106"/>
      <c r="R471" s="106"/>
      <c r="S471" s="106"/>
      <c r="T471" s="106"/>
      <c r="U471" s="106"/>
      <c r="V471" s="4023"/>
      <c r="W471" s="2224"/>
      <c r="X471" s="584"/>
      <c r="Y471" s="584"/>
      <c r="Z471" s="2374">
        <v>19</v>
      </c>
      <c r="AA471" s="583">
        <v>19</v>
      </c>
      <c r="AB471" s="2887">
        <v>19</v>
      </c>
      <c r="AC471" s="1797">
        <v>19.164705882352941</v>
      </c>
      <c r="AD471" s="2730">
        <v>19.163043478260871</v>
      </c>
      <c r="AE471" s="2224"/>
      <c r="AF471" s="2224"/>
      <c r="AG471" s="2224"/>
      <c r="AH471" s="156"/>
      <c r="AI471" s="156"/>
      <c r="AJ471" s="156"/>
      <c r="AK471" s="156"/>
      <c r="AL471" s="156"/>
      <c r="AM471" s="156"/>
      <c r="AN471" s="156"/>
      <c r="AO471" s="156"/>
      <c r="AP471" s="156"/>
      <c r="AQ471" s="156"/>
      <c r="AR471" s="156"/>
      <c r="AS471" s="156"/>
      <c r="AT471" s="156"/>
      <c r="AU471" s="156"/>
      <c r="AV471" s="156"/>
      <c r="AW471" s="156"/>
      <c r="AX471" s="156"/>
      <c r="AY471" s="156"/>
      <c r="AZ471" s="156"/>
      <c r="BA471" s="156"/>
      <c r="BB471" s="2828"/>
      <c r="BC471" s="504"/>
      <c r="BD471" s="2829"/>
      <c r="BE471" s="2837"/>
      <c r="BF471" s="156"/>
    </row>
    <row r="472" spans="1:58" hidden="1" outlineLevel="1" x14ac:dyDescent="0.35">
      <c r="A472" s="1071"/>
      <c r="B472" s="106"/>
      <c r="C472" s="103"/>
      <c r="D472" s="4140"/>
      <c r="E472" s="4138"/>
      <c r="F472" s="3919" t="str">
        <f t="shared" si="62"/>
        <v>CAC-SEER19_ER2_SF</v>
      </c>
      <c r="G472" s="3920"/>
      <c r="H472" s="3921"/>
      <c r="I472" s="2224" t="str">
        <f t="shared" si="63"/>
        <v>351170_2021_12_</v>
      </c>
      <c r="J472" s="1797">
        <f>J471</f>
        <v>19.163043478260871</v>
      </c>
      <c r="K472" s="1592"/>
      <c r="L472" s="2729" t="s">
        <v>4360</v>
      </c>
      <c r="M472" s="103"/>
      <c r="N472" s="1287"/>
      <c r="O472" s="103"/>
      <c r="P472" s="84" t="s">
        <v>4361</v>
      </c>
      <c r="Q472" s="106"/>
      <c r="R472" s="106"/>
      <c r="S472" s="106"/>
      <c r="T472" s="106"/>
      <c r="U472" s="106"/>
      <c r="V472" s="4023"/>
      <c r="W472" s="2224"/>
      <c r="X472" s="584"/>
      <c r="Y472" s="584"/>
      <c r="Z472" s="2374">
        <v>19</v>
      </c>
      <c r="AA472" s="583">
        <v>19</v>
      </c>
      <c r="AB472" s="2887">
        <v>19</v>
      </c>
      <c r="AC472" s="1797">
        <v>19.164705882352941</v>
      </c>
      <c r="AD472" s="1797">
        <f>AD471</f>
        <v>19.163043478260871</v>
      </c>
      <c r="AE472" s="2224"/>
      <c r="AF472" s="2224"/>
      <c r="AG472" s="2224"/>
      <c r="AH472" s="156"/>
      <c r="AI472" s="156"/>
      <c r="AJ472" s="156"/>
      <c r="AK472" s="156"/>
      <c r="AL472" s="156"/>
      <c r="AM472" s="156"/>
      <c r="AN472" s="156"/>
      <c r="AO472" s="156"/>
      <c r="AP472" s="156"/>
      <c r="AQ472" s="156"/>
      <c r="AR472" s="156"/>
      <c r="AS472" s="156"/>
      <c r="AT472" s="156"/>
      <c r="AU472" s="156"/>
      <c r="AV472" s="156"/>
      <c r="AW472" s="156"/>
      <c r="AX472" s="156"/>
      <c r="AY472" s="156"/>
      <c r="AZ472" s="156"/>
      <c r="BA472" s="156"/>
      <c r="BB472" s="2828"/>
      <c r="BC472" s="504"/>
      <c r="BD472" s="2829"/>
      <c r="BE472" s="2837"/>
      <c r="BF472" s="156"/>
    </row>
    <row r="473" spans="1:58" hidden="1" outlineLevel="1" x14ac:dyDescent="0.35">
      <c r="A473" s="1071"/>
      <c r="B473" s="106"/>
      <c r="C473" s="103"/>
      <c r="D473" s="4140"/>
      <c r="E473" s="4138"/>
      <c r="F473" s="3919" t="str">
        <f t="shared" si="62"/>
        <v>CAC-SEER19_ROF_SF</v>
      </c>
      <c r="G473" s="3920"/>
      <c r="H473" s="3921"/>
      <c r="I473" s="2224" t="str">
        <f t="shared" si="63"/>
        <v>351171_2021_12_</v>
      </c>
      <c r="J473" s="2730">
        <v>19.21875</v>
      </c>
      <c r="K473" s="1592"/>
      <c r="L473" s="2729" t="s">
        <v>4360</v>
      </c>
      <c r="M473" s="103"/>
      <c r="N473" s="1287"/>
      <c r="O473" s="103"/>
      <c r="P473" s="106"/>
      <c r="Q473" s="106"/>
      <c r="R473" s="106"/>
      <c r="S473" s="106"/>
      <c r="T473" s="106"/>
      <c r="U473" s="106"/>
      <c r="V473" s="4023"/>
      <c r="W473" s="2224"/>
      <c r="X473" s="584"/>
      <c r="Y473" s="584"/>
      <c r="Z473" s="2374">
        <v>19</v>
      </c>
      <c r="AA473" s="583">
        <v>19</v>
      </c>
      <c r="AB473" s="2887">
        <v>19</v>
      </c>
      <c r="AC473" s="1797">
        <v>19.142857142857142</v>
      </c>
      <c r="AD473" s="2730">
        <v>19.21875</v>
      </c>
      <c r="AE473" s="2224"/>
      <c r="AF473" s="2224"/>
      <c r="AG473" s="2224"/>
      <c r="AH473" s="156"/>
      <c r="AI473" s="156"/>
      <c r="AJ473" s="156"/>
      <c r="AK473" s="156"/>
      <c r="AL473" s="156"/>
      <c r="AM473" s="156"/>
      <c r="AN473" s="156"/>
      <c r="AO473" s="156"/>
      <c r="AP473" s="156"/>
      <c r="AQ473" s="156"/>
      <c r="AR473" s="156"/>
      <c r="AS473" s="156"/>
      <c r="AT473" s="156"/>
      <c r="AU473" s="156"/>
      <c r="AV473" s="156"/>
      <c r="AW473" s="156"/>
      <c r="AX473" s="156"/>
      <c r="AY473" s="156"/>
      <c r="AZ473" s="156"/>
      <c r="BA473" s="156"/>
      <c r="BB473" s="2828"/>
      <c r="BC473" s="504"/>
      <c r="BD473" s="2829"/>
      <c r="BE473" s="2837"/>
      <c r="BF473" s="156"/>
    </row>
    <row r="474" spans="1:58" hidden="1" outlineLevel="1" x14ac:dyDescent="0.35">
      <c r="A474" s="1071"/>
      <c r="B474" s="106"/>
      <c r="C474" s="103"/>
      <c r="D474" s="4140"/>
      <c r="E474" s="4138"/>
      <c r="F474" s="3919" t="str">
        <f t="shared" ref="F474:F537" si="65">F402</f>
        <v>CAC-SEER19_ER1_MF</v>
      </c>
      <c r="G474" s="3920"/>
      <c r="H474" s="3921"/>
      <c r="I474" s="2224" t="str">
        <f t="shared" ref="I474:I537" si="66">I402</f>
        <v>351172_2021_12_</v>
      </c>
      <c r="J474" s="1840">
        <v>19</v>
      </c>
      <c r="K474" s="1592"/>
      <c r="L474" s="2056"/>
      <c r="M474" s="103"/>
      <c r="N474" s="1287"/>
      <c r="O474" s="103"/>
      <c r="P474" s="106"/>
      <c r="Q474" s="106"/>
      <c r="R474" s="106"/>
      <c r="S474" s="106"/>
      <c r="T474" s="106"/>
      <c r="U474" s="106"/>
      <c r="V474" s="4023"/>
      <c r="W474" s="2224"/>
      <c r="X474" s="584"/>
      <c r="Y474" s="584"/>
      <c r="Z474" s="2374">
        <v>19</v>
      </c>
      <c r="AA474" s="583">
        <v>19</v>
      </c>
      <c r="AB474" s="2887">
        <v>19</v>
      </c>
      <c r="AC474" s="1840">
        <v>19</v>
      </c>
      <c r="AD474" s="1840">
        <v>19</v>
      </c>
      <c r="AE474" s="2224"/>
      <c r="AF474" s="2224"/>
      <c r="AG474" s="2224"/>
      <c r="AH474" s="156"/>
      <c r="AI474" s="156"/>
      <c r="AJ474" s="156"/>
      <c r="AK474" s="156"/>
      <c r="AL474" s="156"/>
      <c r="AM474" s="156"/>
      <c r="AN474" s="156"/>
      <c r="AO474" s="156"/>
      <c r="AP474" s="156"/>
      <c r="AQ474" s="156"/>
      <c r="AR474" s="156"/>
      <c r="AS474" s="156"/>
      <c r="AT474" s="156"/>
      <c r="AU474" s="156"/>
      <c r="AV474" s="156"/>
      <c r="AW474" s="156"/>
      <c r="AX474" s="156"/>
      <c r="AY474" s="156"/>
      <c r="AZ474" s="156"/>
      <c r="BA474" s="156"/>
      <c r="BB474" s="2828"/>
      <c r="BC474" s="504"/>
      <c r="BD474" s="2829"/>
      <c r="BE474" s="2837"/>
      <c r="BF474" s="156"/>
    </row>
    <row r="475" spans="1:58" hidden="1" outlineLevel="1" x14ac:dyDescent="0.35">
      <c r="A475" s="1071"/>
      <c r="B475" s="106"/>
      <c r="C475" s="103"/>
      <c r="D475" s="4140"/>
      <c r="E475" s="4138"/>
      <c r="F475" s="3919" t="str">
        <f t="shared" si="65"/>
        <v>CAC-SEER19_ER2_MF</v>
      </c>
      <c r="G475" s="3920"/>
      <c r="H475" s="3921"/>
      <c r="I475" s="2224" t="str">
        <f t="shared" si="66"/>
        <v>351172_2021_12_</v>
      </c>
      <c r="J475" s="1840">
        <v>19</v>
      </c>
      <c r="K475" s="1592"/>
      <c r="L475" s="2056"/>
      <c r="M475" s="103"/>
      <c r="N475" s="1287"/>
      <c r="O475" s="103"/>
      <c r="P475" s="106"/>
      <c r="Q475" s="106"/>
      <c r="R475" s="106"/>
      <c r="S475" s="106"/>
      <c r="T475" s="106"/>
      <c r="U475" s="106"/>
      <c r="V475" s="4023"/>
      <c r="W475" s="2224"/>
      <c r="X475" s="584"/>
      <c r="Y475" s="584"/>
      <c r="Z475" s="2374">
        <v>19</v>
      </c>
      <c r="AA475" s="583">
        <v>19</v>
      </c>
      <c r="AB475" s="2887">
        <v>19</v>
      </c>
      <c r="AC475" s="1840">
        <v>19</v>
      </c>
      <c r="AD475" s="1840">
        <v>19</v>
      </c>
      <c r="AE475" s="2224"/>
      <c r="AF475" s="2224"/>
      <c r="AG475" s="2224"/>
      <c r="AH475" s="156"/>
      <c r="AI475" s="156"/>
      <c r="AJ475" s="156"/>
      <c r="AK475" s="156"/>
      <c r="AL475" s="156"/>
      <c r="AM475" s="156"/>
      <c r="AN475" s="156"/>
      <c r="AO475" s="156"/>
      <c r="AP475" s="156"/>
      <c r="AQ475" s="156"/>
      <c r="AR475" s="156"/>
      <c r="AS475" s="156"/>
      <c r="AT475" s="156"/>
      <c r="AU475" s="156"/>
      <c r="AV475" s="156"/>
      <c r="AW475" s="156"/>
      <c r="AX475" s="156"/>
      <c r="AY475" s="156"/>
      <c r="AZ475" s="156"/>
      <c r="BA475" s="156"/>
      <c r="BB475" s="2828"/>
      <c r="BC475" s="504"/>
      <c r="BD475" s="2829"/>
      <c r="BE475" s="2837"/>
      <c r="BF475" s="156"/>
    </row>
    <row r="476" spans="1:58" hidden="1" outlineLevel="1" x14ac:dyDescent="0.35">
      <c r="A476" s="1071"/>
      <c r="B476" s="106"/>
      <c r="C476" s="103"/>
      <c r="D476" s="4140"/>
      <c r="E476" s="4138"/>
      <c r="F476" s="3919" t="str">
        <f t="shared" si="65"/>
        <v>CAC-SEER19_ER1_MF_CompE</v>
      </c>
      <c r="G476" s="3920"/>
      <c r="H476" s="3921"/>
      <c r="I476" s="2224" t="str">
        <f t="shared" si="66"/>
        <v>351173_2021_12_</v>
      </c>
      <c r="J476" s="1840">
        <v>19</v>
      </c>
      <c r="K476" s="1592"/>
      <c r="L476" s="2056"/>
      <c r="M476" s="103"/>
      <c r="N476" s="1287"/>
      <c r="O476" s="103"/>
      <c r="P476" s="106"/>
      <c r="Q476" s="106"/>
      <c r="R476" s="106"/>
      <c r="S476" s="106"/>
      <c r="T476" s="106"/>
      <c r="U476" s="106"/>
      <c r="V476" s="4023"/>
      <c r="W476" s="2224"/>
      <c r="X476" s="584"/>
      <c r="Y476" s="584"/>
      <c r="Z476" s="2374">
        <v>19</v>
      </c>
      <c r="AA476" s="583">
        <v>19</v>
      </c>
      <c r="AB476" s="2887">
        <v>19</v>
      </c>
      <c r="AC476" s="1840">
        <v>19</v>
      </c>
      <c r="AD476" s="1840">
        <v>19</v>
      </c>
      <c r="AE476" s="2224"/>
      <c r="AF476" s="2224"/>
      <c r="AG476" s="2224"/>
      <c r="AH476" s="156"/>
      <c r="AI476" s="156"/>
      <c r="AJ476" s="156"/>
      <c r="AK476" s="156"/>
      <c r="AL476" s="156"/>
      <c r="AM476" s="156"/>
      <c r="AN476" s="156"/>
      <c r="AO476" s="156"/>
      <c r="AP476" s="156"/>
      <c r="AQ476" s="156"/>
      <c r="AR476" s="156"/>
      <c r="AS476" s="156"/>
      <c r="AT476" s="156"/>
      <c r="AU476" s="156"/>
      <c r="AV476" s="156"/>
      <c r="AW476" s="156"/>
      <c r="AX476" s="156"/>
      <c r="AY476" s="156"/>
      <c r="AZ476" s="156"/>
      <c r="BA476" s="156"/>
      <c r="BB476" s="2828"/>
      <c r="BC476" s="504"/>
      <c r="BD476" s="2829"/>
      <c r="BE476" s="2837"/>
      <c r="BF476" s="156"/>
    </row>
    <row r="477" spans="1:58" hidden="1" outlineLevel="1" x14ac:dyDescent="0.35">
      <c r="A477" s="1071"/>
      <c r="B477" s="106"/>
      <c r="C477" s="103"/>
      <c r="D477" s="4140"/>
      <c r="E477" s="4138"/>
      <c r="F477" s="3919" t="str">
        <f t="shared" si="65"/>
        <v>CAC-SEER19_ER2_MF_CompE</v>
      </c>
      <c r="G477" s="3920"/>
      <c r="H477" s="3921"/>
      <c r="I477" s="2224" t="str">
        <f t="shared" si="66"/>
        <v>351173_2021_12_</v>
      </c>
      <c r="J477" s="1840">
        <v>19</v>
      </c>
      <c r="K477" s="1592"/>
      <c r="L477" s="2056"/>
      <c r="M477" s="103"/>
      <c r="N477" s="1287"/>
      <c r="O477" s="103"/>
      <c r="P477" s="106"/>
      <c r="Q477" s="106"/>
      <c r="R477" s="106"/>
      <c r="S477" s="106"/>
      <c r="T477" s="106"/>
      <c r="U477" s="106"/>
      <c r="V477" s="4023"/>
      <c r="W477" s="2224"/>
      <c r="X477" s="584"/>
      <c r="Y477" s="584"/>
      <c r="Z477" s="2374">
        <v>19</v>
      </c>
      <c r="AA477" s="583">
        <v>19</v>
      </c>
      <c r="AB477" s="2887">
        <v>19</v>
      </c>
      <c r="AC477" s="1840">
        <v>19</v>
      </c>
      <c r="AD477" s="1840">
        <v>19</v>
      </c>
      <c r="AE477" s="2224"/>
      <c r="AF477" s="2224"/>
      <c r="AG477" s="2224"/>
      <c r="AH477" s="156"/>
      <c r="AI477" s="156"/>
      <c r="AJ477" s="156"/>
      <c r="AK477" s="156"/>
      <c r="AL477" s="156"/>
      <c r="AM477" s="156"/>
      <c r="AN477" s="156"/>
      <c r="AO477" s="156"/>
      <c r="AP477" s="156"/>
      <c r="AQ477" s="156"/>
      <c r="AR477" s="156"/>
      <c r="AS477" s="156"/>
      <c r="AT477" s="156"/>
      <c r="AU477" s="156"/>
      <c r="AV477" s="156"/>
      <c r="AW477" s="156"/>
      <c r="AX477" s="156"/>
      <c r="AY477" s="156"/>
      <c r="AZ477" s="156"/>
      <c r="BA477" s="156"/>
      <c r="BB477" s="2828"/>
      <c r="BC477" s="504"/>
      <c r="BD477" s="2829"/>
      <c r="BE477" s="2837"/>
      <c r="BF477" s="156"/>
    </row>
    <row r="478" spans="1:58" hidden="1" outlineLevel="1" x14ac:dyDescent="0.35">
      <c r="A478" s="1071"/>
      <c r="B478" s="106"/>
      <c r="C478" s="103"/>
      <c r="D478" s="4140"/>
      <c r="E478" s="4138"/>
      <c r="F478" s="3919" t="str">
        <f t="shared" si="65"/>
        <v>CAC-SEER19_ROF_MF</v>
      </c>
      <c r="G478" s="3920"/>
      <c r="H478" s="3921"/>
      <c r="I478" s="2224" t="str">
        <f t="shared" si="66"/>
        <v>351174_2021_12_</v>
      </c>
      <c r="J478" s="1840">
        <v>19</v>
      </c>
      <c r="K478" s="1592"/>
      <c r="L478" s="2056"/>
      <c r="M478" s="103"/>
      <c r="N478" s="1287"/>
      <c r="O478" s="103"/>
      <c r="P478" s="106"/>
      <c r="Q478" s="106"/>
      <c r="R478" s="106"/>
      <c r="S478" s="106"/>
      <c r="T478" s="106"/>
      <c r="U478" s="106"/>
      <c r="V478" s="4023"/>
      <c r="W478" s="2224"/>
      <c r="X478" s="584"/>
      <c r="Y478" s="584"/>
      <c r="Z478" s="2374">
        <v>19</v>
      </c>
      <c r="AA478" s="583">
        <v>19</v>
      </c>
      <c r="AB478" s="2887">
        <v>19</v>
      </c>
      <c r="AC478" s="1840">
        <v>19</v>
      </c>
      <c r="AD478" s="1840">
        <v>19</v>
      </c>
      <c r="AE478" s="2224"/>
      <c r="AF478" s="2224"/>
      <c r="AG478" s="2224"/>
      <c r="AH478" s="156"/>
      <c r="AI478" s="156"/>
      <c r="AJ478" s="156"/>
      <c r="AK478" s="156"/>
      <c r="AL478" s="156"/>
      <c r="AM478" s="156"/>
      <c r="AN478" s="156"/>
      <c r="AO478" s="156"/>
      <c r="AP478" s="156"/>
      <c r="AQ478" s="156"/>
      <c r="AR478" s="156"/>
      <c r="AS478" s="156"/>
      <c r="AT478" s="156"/>
      <c r="AU478" s="156"/>
      <c r="AV478" s="156"/>
      <c r="AW478" s="156"/>
      <c r="AX478" s="156"/>
      <c r="AY478" s="156"/>
      <c r="AZ478" s="156"/>
      <c r="BA478" s="156"/>
      <c r="BB478" s="2828"/>
      <c r="BC478" s="504"/>
      <c r="BD478" s="2829"/>
      <c r="BE478" s="2837"/>
      <c r="BF478" s="156"/>
    </row>
    <row r="479" spans="1:58" hidden="1" outlineLevel="1" x14ac:dyDescent="0.35">
      <c r="A479" s="1071"/>
      <c r="B479" s="106"/>
      <c r="C479" s="103"/>
      <c r="D479" s="4140"/>
      <c r="E479" s="4138"/>
      <c r="F479" s="3919" t="str">
        <f t="shared" si="65"/>
        <v>CAC-SEER19_ROF_MF_CompE</v>
      </c>
      <c r="G479" s="3920"/>
      <c r="H479" s="3921"/>
      <c r="I479" s="2224" t="str">
        <f t="shared" si="66"/>
        <v>351175_2021_12_</v>
      </c>
      <c r="J479" s="1840">
        <v>19</v>
      </c>
      <c r="K479" s="1592"/>
      <c r="L479" s="2056"/>
      <c r="M479" s="103"/>
      <c r="N479" s="1287"/>
      <c r="O479" s="103"/>
      <c r="P479" s="106"/>
      <c r="Q479" s="106"/>
      <c r="R479" s="106"/>
      <c r="S479" s="106"/>
      <c r="T479" s="106"/>
      <c r="U479" s="106"/>
      <c r="V479" s="4023"/>
      <c r="W479" s="2224"/>
      <c r="X479" s="584"/>
      <c r="Y479" s="584"/>
      <c r="Z479" s="2374">
        <v>19</v>
      </c>
      <c r="AA479" s="583">
        <v>19</v>
      </c>
      <c r="AB479" s="2887">
        <v>19</v>
      </c>
      <c r="AC479" s="1840">
        <v>19</v>
      </c>
      <c r="AD479" s="1840">
        <v>19</v>
      </c>
      <c r="AE479" s="2224"/>
      <c r="AF479" s="2224"/>
      <c r="AG479" s="2224"/>
      <c r="AH479" s="156"/>
      <c r="AI479" s="156"/>
      <c r="AJ479" s="156"/>
      <c r="AK479" s="156"/>
      <c r="AL479" s="156"/>
      <c r="AM479" s="156"/>
      <c r="AN479" s="156"/>
      <c r="AO479" s="156"/>
      <c r="AP479" s="156"/>
      <c r="AQ479" s="156"/>
      <c r="AR479" s="156"/>
      <c r="AS479" s="156"/>
      <c r="AT479" s="156"/>
      <c r="AU479" s="156"/>
      <c r="AV479" s="156"/>
      <c r="AW479" s="156"/>
      <c r="AX479" s="156"/>
      <c r="AY479" s="156"/>
      <c r="AZ479" s="156"/>
      <c r="BA479" s="156"/>
      <c r="BB479" s="2828"/>
      <c r="BC479" s="504"/>
      <c r="BD479" s="2829"/>
      <c r="BE479" s="2837"/>
      <c r="BF479" s="156"/>
    </row>
    <row r="480" spans="1:58" hidden="1" outlineLevel="1" x14ac:dyDescent="0.35">
      <c r="A480" s="1071"/>
      <c r="B480" s="106"/>
      <c r="C480" s="103"/>
      <c r="D480" s="4140"/>
      <c r="E480" s="4138"/>
      <c r="F480" s="3919" t="str">
        <f t="shared" si="65"/>
        <v>CAC-SEER20_ER1_SF</v>
      </c>
      <c r="G480" s="3920"/>
      <c r="H480" s="3921"/>
      <c r="I480" s="2224" t="str">
        <f t="shared" si="66"/>
        <v>351180_2021_12_</v>
      </c>
      <c r="J480" s="2730">
        <v>20.136690647482013</v>
      </c>
      <c r="K480" s="1592"/>
      <c r="L480" s="2729" t="s">
        <v>4360</v>
      </c>
      <c r="M480" s="103"/>
      <c r="N480" s="1287"/>
      <c r="O480" s="103"/>
      <c r="P480" s="106"/>
      <c r="Q480" s="106"/>
      <c r="R480" s="106"/>
      <c r="S480" s="106"/>
      <c r="T480" s="106"/>
      <c r="U480" s="106"/>
      <c r="V480" s="4023"/>
      <c r="W480" s="2224"/>
      <c r="X480" s="584"/>
      <c r="Y480" s="584"/>
      <c r="Z480" s="2374">
        <v>20</v>
      </c>
      <c r="AA480" s="583">
        <v>20</v>
      </c>
      <c r="AB480" s="2887">
        <v>20</v>
      </c>
      <c r="AC480" s="1797">
        <v>20.194078947368421</v>
      </c>
      <c r="AD480" s="2730">
        <v>20.136690647482013</v>
      </c>
      <c r="AE480" s="2224"/>
      <c r="AF480" s="2224"/>
      <c r="AG480" s="2224"/>
      <c r="AH480" s="156"/>
      <c r="AI480" s="156"/>
      <c r="AJ480" s="156"/>
      <c r="AK480" s="156"/>
      <c r="AL480" s="156"/>
      <c r="AM480" s="156"/>
      <c r="AN480" s="156"/>
      <c r="AO480" s="156"/>
      <c r="AP480" s="156"/>
      <c r="AQ480" s="156"/>
      <c r="AR480" s="156"/>
      <c r="AS480" s="156"/>
      <c r="AT480" s="156"/>
      <c r="AU480" s="156"/>
      <c r="AV480" s="156"/>
      <c r="AW480" s="156"/>
      <c r="AX480" s="156"/>
      <c r="AY480" s="156"/>
      <c r="AZ480" s="156"/>
      <c r="BA480" s="156"/>
      <c r="BB480" s="2828"/>
      <c r="BC480" s="504"/>
      <c r="BD480" s="2829"/>
      <c r="BE480" s="2837"/>
      <c r="BF480" s="156"/>
    </row>
    <row r="481" spans="1:58" hidden="1" outlineLevel="1" x14ac:dyDescent="0.35">
      <c r="A481" s="1071"/>
      <c r="B481" s="106"/>
      <c r="C481" s="103"/>
      <c r="D481" s="4140"/>
      <c r="E481" s="4138"/>
      <c r="F481" s="3919" t="str">
        <f t="shared" si="65"/>
        <v>CAC-SEER20_ER2_SF</v>
      </c>
      <c r="G481" s="3920"/>
      <c r="H481" s="3921"/>
      <c r="I481" s="2224" t="str">
        <f t="shared" si="66"/>
        <v>351180_2021_12_</v>
      </c>
      <c r="J481" s="2730">
        <f>J480</f>
        <v>20.136690647482013</v>
      </c>
      <c r="K481" s="1592"/>
      <c r="L481" s="2729" t="s">
        <v>4360</v>
      </c>
      <c r="M481" s="103"/>
      <c r="N481" s="1287"/>
      <c r="O481" s="103"/>
      <c r="P481" s="106"/>
      <c r="Q481" s="106"/>
      <c r="R481" s="106"/>
      <c r="S481" s="106"/>
      <c r="T481" s="106"/>
      <c r="U481" s="106"/>
      <c r="V481" s="4023"/>
      <c r="W481" s="2224"/>
      <c r="X481" s="584"/>
      <c r="Y481" s="584"/>
      <c r="Z481" s="2374">
        <v>20</v>
      </c>
      <c r="AA481" s="583">
        <v>20</v>
      </c>
      <c r="AB481" s="2887">
        <v>20</v>
      </c>
      <c r="AC481" s="1797">
        <v>20.194078947368421</v>
      </c>
      <c r="AD481" s="2730">
        <f>AD480</f>
        <v>20.136690647482013</v>
      </c>
      <c r="AE481" s="2224"/>
      <c r="AF481" s="2224"/>
      <c r="AG481" s="2224"/>
      <c r="AH481" s="156"/>
      <c r="AI481" s="156"/>
      <c r="AJ481" s="156"/>
      <c r="AK481" s="156"/>
      <c r="AL481" s="156"/>
      <c r="AM481" s="156"/>
      <c r="AN481" s="156"/>
      <c r="AO481" s="156"/>
      <c r="AP481" s="156"/>
      <c r="AQ481" s="156"/>
      <c r="AR481" s="156"/>
      <c r="AS481" s="156"/>
      <c r="AT481" s="156"/>
      <c r="AU481" s="156"/>
      <c r="AV481" s="156"/>
      <c r="AW481" s="156"/>
      <c r="AX481" s="156"/>
      <c r="AY481" s="156"/>
      <c r="AZ481" s="156"/>
      <c r="BA481" s="156"/>
      <c r="BB481" s="2828"/>
      <c r="BC481" s="504"/>
      <c r="BD481" s="2829"/>
      <c r="BE481" s="2837"/>
      <c r="BF481" s="156"/>
    </row>
    <row r="482" spans="1:58" hidden="1" outlineLevel="1" x14ac:dyDescent="0.35">
      <c r="A482" s="1071"/>
      <c r="B482" s="106"/>
      <c r="C482" s="103"/>
      <c r="D482" s="4140"/>
      <c r="E482" s="4138"/>
      <c r="F482" s="3919" t="str">
        <f t="shared" si="65"/>
        <v>CAC-SEER20_ROF_SF</v>
      </c>
      <c r="G482" s="3920"/>
      <c r="H482" s="3921"/>
      <c r="I482" s="2224" t="str">
        <f t="shared" si="66"/>
        <v>351181_2021_12_</v>
      </c>
      <c r="J482" s="2730">
        <v>20.111111111111111</v>
      </c>
      <c r="K482" s="1592"/>
      <c r="L482" s="2729" t="s">
        <v>4360</v>
      </c>
      <c r="M482" s="103"/>
      <c r="N482" s="1287"/>
      <c r="O482" s="103"/>
      <c r="P482" s="106"/>
      <c r="Q482" s="106"/>
      <c r="R482" s="106"/>
      <c r="S482" s="106"/>
      <c r="T482" s="106"/>
      <c r="U482" s="106"/>
      <c r="V482" s="4023"/>
      <c r="W482" s="2224"/>
      <c r="X482" s="584"/>
      <c r="Y482" s="584"/>
      <c r="Z482" s="2374">
        <v>20</v>
      </c>
      <c r="AA482" s="583">
        <v>20</v>
      </c>
      <c r="AB482" s="2887">
        <v>20</v>
      </c>
      <c r="AC482" s="1797">
        <v>20.083333333333332</v>
      </c>
      <c r="AD482" s="2730">
        <v>20.111111111111111</v>
      </c>
      <c r="AE482" s="2224"/>
      <c r="AF482" s="2224"/>
      <c r="AG482" s="2224"/>
      <c r="AH482" s="156"/>
      <c r="AI482" s="156"/>
      <c r="AJ482" s="156"/>
      <c r="AK482" s="156"/>
      <c r="AL482" s="156"/>
      <c r="AM482" s="156"/>
      <c r="AN482" s="156"/>
      <c r="AO482" s="156"/>
      <c r="AP482" s="156"/>
      <c r="AQ482" s="156"/>
      <c r="AR482" s="156"/>
      <c r="AS482" s="156"/>
      <c r="AT482" s="156"/>
      <c r="AU482" s="156"/>
      <c r="AV482" s="156"/>
      <c r="AW482" s="156"/>
      <c r="AX482" s="156"/>
      <c r="AY482" s="156"/>
      <c r="AZ482" s="156"/>
      <c r="BA482" s="156"/>
      <c r="BB482" s="2828"/>
      <c r="BC482" s="504"/>
      <c r="BD482" s="2829"/>
      <c r="BE482" s="2837"/>
      <c r="BF482" s="156"/>
    </row>
    <row r="483" spans="1:58" hidden="1" outlineLevel="1" x14ac:dyDescent="0.35">
      <c r="A483" s="1071"/>
      <c r="B483" s="106"/>
      <c r="C483" s="103"/>
      <c r="D483" s="4140"/>
      <c r="E483" s="4138"/>
      <c r="F483" s="3919" t="str">
        <f t="shared" si="65"/>
        <v>CAC-SEER20_ER1_MF</v>
      </c>
      <c r="G483" s="3920"/>
      <c r="H483" s="3921"/>
      <c r="I483" s="2224" t="str">
        <f t="shared" si="66"/>
        <v>351182_2021_12_</v>
      </c>
      <c r="J483" s="1840">
        <v>20</v>
      </c>
      <c r="K483" s="1592"/>
      <c r="L483" s="1839" t="s">
        <v>974</v>
      </c>
      <c r="M483" s="103"/>
      <c r="N483" s="1287"/>
      <c r="O483" s="103"/>
      <c r="P483" s="106"/>
      <c r="Q483" s="106"/>
      <c r="R483" s="106"/>
      <c r="S483" s="106"/>
      <c r="T483" s="106"/>
      <c r="U483" s="106"/>
      <c r="V483" s="4023"/>
      <c r="W483" s="2224"/>
      <c r="X483" s="584"/>
      <c r="Y483" s="583"/>
      <c r="Z483" s="2374">
        <v>20</v>
      </c>
      <c r="AA483" s="583">
        <v>20</v>
      </c>
      <c r="AB483" s="2887">
        <v>20</v>
      </c>
      <c r="AC483" s="1840">
        <v>20</v>
      </c>
      <c r="AD483" s="1840">
        <v>20</v>
      </c>
      <c r="AE483" s="2224"/>
      <c r="AF483" s="2224"/>
      <c r="AG483" s="2224"/>
      <c r="AH483" s="156"/>
      <c r="AI483" s="156"/>
      <c r="AJ483" s="156"/>
      <c r="AK483" s="156"/>
      <c r="AL483" s="156"/>
      <c r="AM483" s="156"/>
      <c r="AN483" s="156"/>
      <c r="AO483" s="156"/>
      <c r="AP483" s="156"/>
      <c r="AQ483" s="156"/>
      <c r="AR483" s="156"/>
      <c r="AS483" s="156"/>
      <c r="AT483" s="156"/>
      <c r="AU483" s="156"/>
      <c r="AV483" s="156"/>
      <c r="AW483" s="156"/>
      <c r="AX483" s="156"/>
      <c r="AY483" s="156"/>
      <c r="AZ483" s="156"/>
      <c r="BA483" s="156"/>
      <c r="BB483" s="2828"/>
      <c r="BC483" s="504"/>
      <c r="BD483" s="2829"/>
      <c r="BE483" s="2837"/>
      <c r="BF483" s="156"/>
    </row>
    <row r="484" spans="1:58" hidden="1" outlineLevel="1" x14ac:dyDescent="0.35">
      <c r="A484" s="1071"/>
      <c r="B484" s="106"/>
      <c r="C484" s="103"/>
      <c r="D484" s="4140"/>
      <c r="E484" s="4138"/>
      <c r="F484" s="3919" t="str">
        <f t="shared" si="65"/>
        <v>CAC-SEER20_ER2_MF</v>
      </c>
      <c r="G484" s="3920"/>
      <c r="H484" s="3921"/>
      <c r="I484" s="2224" t="str">
        <f t="shared" si="66"/>
        <v>351182_2021_12_</v>
      </c>
      <c r="J484" s="1840">
        <f>J483</f>
        <v>20</v>
      </c>
      <c r="K484" s="1592"/>
      <c r="L484" s="1839" t="s">
        <v>974</v>
      </c>
      <c r="M484" s="103"/>
      <c r="N484" s="1287"/>
      <c r="O484" s="103"/>
      <c r="P484" s="106"/>
      <c r="Q484" s="106"/>
      <c r="R484" s="106"/>
      <c r="S484" s="106"/>
      <c r="T484" s="106"/>
      <c r="U484" s="106"/>
      <c r="V484" s="4023"/>
      <c r="W484" s="2224"/>
      <c r="X484" s="584"/>
      <c r="Y484" s="583"/>
      <c r="Z484" s="2374">
        <v>20</v>
      </c>
      <c r="AA484" s="583">
        <v>20</v>
      </c>
      <c r="AB484" s="2887">
        <v>20</v>
      </c>
      <c r="AC484" s="1840">
        <v>20</v>
      </c>
      <c r="AD484" s="1840">
        <f>AD483</f>
        <v>20</v>
      </c>
      <c r="AE484" s="2224"/>
      <c r="AF484" s="2224"/>
      <c r="AG484" s="2224"/>
      <c r="AH484" s="156"/>
      <c r="AI484" s="156"/>
      <c r="AJ484" s="156"/>
      <c r="AK484" s="156"/>
      <c r="AL484" s="156"/>
      <c r="AM484" s="156"/>
      <c r="AN484" s="156"/>
      <c r="AO484" s="156"/>
      <c r="AP484" s="156"/>
      <c r="AQ484" s="156"/>
      <c r="AR484" s="156"/>
      <c r="AS484" s="156"/>
      <c r="AT484" s="156"/>
      <c r="AU484" s="156"/>
      <c r="AV484" s="156"/>
      <c r="AW484" s="156"/>
      <c r="AX484" s="156"/>
      <c r="AY484" s="156"/>
      <c r="AZ484" s="156"/>
      <c r="BA484" s="156"/>
      <c r="BB484" s="2828"/>
      <c r="BC484" s="504"/>
      <c r="BD484" s="2829"/>
      <c r="BE484" s="2837"/>
      <c r="BF484" s="156"/>
    </row>
    <row r="485" spans="1:58" hidden="1" outlineLevel="1" x14ac:dyDescent="0.35">
      <c r="A485" s="1071"/>
      <c r="B485" s="106"/>
      <c r="C485" s="103"/>
      <c r="D485" s="4140"/>
      <c r="E485" s="4138"/>
      <c r="F485" s="3919" t="str">
        <f t="shared" si="65"/>
        <v>CAC-SEER20_ER1_MF_CompE</v>
      </c>
      <c r="G485" s="3920"/>
      <c r="H485" s="3921"/>
      <c r="I485" s="2224" t="str">
        <f t="shared" si="66"/>
        <v>351183_2021_12_</v>
      </c>
      <c r="J485" s="1840">
        <v>20</v>
      </c>
      <c r="K485" s="1592"/>
      <c r="L485" s="2056"/>
      <c r="M485" s="103"/>
      <c r="N485" s="1287"/>
      <c r="O485" s="103"/>
      <c r="P485" s="106"/>
      <c r="Q485" s="106"/>
      <c r="R485" s="106"/>
      <c r="S485" s="106"/>
      <c r="T485" s="106"/>
      <c r="U485" s="106"/>
      <c r="V485" s="4023"/>
      <c r="W485" s="2224"/>
      <c r="X485" s="584"/>
      <c r="Y485" s="583"/>
      <c r="Z485" s="2374">
        <v>20</v>
      </c>
      <c r="AA485" s="583">
        <v>20</v>
      </c>
      <c r="AB485" s="2887">
        <v>20</v>
      </c>
      <c r="AC485" s="1840">
        <v>20</v>
      </c>
      <c r="AD485" s="1840">
        <v>20</v>
      </c>
      <c r="AE485" s="2224"/>
      <c r="AF485" s="2224"/>
      <c r="AG485" s="2224"/>
      <c r="AH485" s="156"/>
      <c r="AI485" s="156"/>
      <c r="AJ485" s="156"/>
      <c r="AK485" s="156"/>
      <c r="AL485" s="156"/>
      <c r="AM485" s="156"/>
      <c r="AN485" s="156"/>
      <c r="AO485" s="156"/>
      <c r="AP485" s="156"/>
      <c r="AQ485" s="156"/>
      <c r="AR485" s="156"/>
      <c r="AS485" s="156"/>
      <c r="AT485" s="156"/>
      <c r="AU485" s="156"/>
      <c r="AV485" s="156"/>
      <c r="AW485" s="156"/>
      <c r="AX485" s="156"/>
      <c r="AY485" s="156"/>
      <c r="AZ485" s="156"/>
      <c r="BA485" s="156"/>
      <c r="BB485" s="2828"/>
      <c r="BC485" s="504"/>
      <c r="BD485" s="2829"/>
      <c r="BE485" s="2837"/>
      <c r="BF485" s="156"/>
    </row>
    <row r="486" spans="1:58" hidden="1" outlineLevel="1" x14ac:dyDescent="0.35">
      <c r="A486" s="1071"/>
      <c r="B486" s="106"/>
      <c r="C486" s="103"/>
      <c r="D486" s="4140"/>
      <c r="E486" s="4138"/>
      <c r="F486" s="3919" t="str">
        <f t="shared" si="65"/>
        <v>CAC-SEER20_ER2_MF_CompE</v>
      </c>
      <c r="G486" s="3920"/>
      <c r="H486" s="3921"/>
      <c r="I486" s="2224" t="str">
        <f t="shared" si="66"/>
        <v>351183_2021_12_</v>
      </c>
      <c r="J486" s="1840">
        <v>20</v>
      </c>
      <c r="K486" s="1592"/>
      <c r="L486" s="2056"/>
      <c r="M486" s="103"/>
      <c r="N486" s="1287"/>
      <c r="O486" s="103"/>
      <c r="P486" s="106"/>
      <c r="Q486" s="106"/>
      <c r="R486" s="106"/>
      <c r="S486" s="106"/>
      <c r="T486" s="106"/>
      <c r="U486" s="106"/>
      <c r="V486" s="4023"/>
      <c r="W486" s="2224"/>
      <c r="X486" s="584"/>
      <c r="Y486" s="583"/>
      <c r="Z486" s="2374">
        <v>20</v>
      </c>
      <c r="AA486" s="583">
        <v>20</v>
      </c>
      <c r="AB486" s="2887">
        <v>20</v>
      </c>
      <c r="AC486" s="1840">
        <v>20</v>
      </c>
      <c r="AD486" s="1840">
        <v>20</v>
      </c>
      <c r="AE486" s="2224"/>
      <c r="AF486" s="2224"/>
      <c r="AG486" s="2224"/>
      <c r="AH486" s="156"/>
      <c r="AI486" s="156"/>
      <c r="AJ486" s="156"/>
      <c r="AK486" s="156"/>
      <c r="AL486" s="156"/>
      <c r="AM486" s="156"/>
      <c r="AN486" s="156"/>
      <c r="AO486" s="156"/>
      <c r="AP486" s="156"/>
      <c r="AQ486" s="156"/>
      <c r="AR486" s="156"/>
      <c r="AS486" s="156"/>
      <c r="AT486" s="156"/>
      <c r="AU486" s="156"/>
      <c r="AV486" s="156"/>
      <c r="AW486" s="156"/>
      <c r="AX486" s="156"/>
      <c r="AY486" s="156"/>
      <c r="AZ486" s="156"/>
      <c r="BA486" s="156"/>
      <c r="BB486" s="2828"/>
      <c r="BC486" s="504"/>
      <c r="BD486" s="2829"/>
      <c r="BE486" s="2837"/>
      <c r="BF486" s="156"/>
    </row>
    <row r="487" spans="1:58" hidden="1" outlineLevel="1" x14ac:dyDescent="0.35">
      <c r="A487" s="1071"/>
      <c r="B487" s="106"/>
      <c r="C487" s="103"/>
      <c r="D487" s="4140"/>
      <c r="E487" s="4138"/>
      <c r="F487" s="3919" t="str">
        <f t="shared" si="65"/>
        <v>CAC-SEER20_ROF_MF</v>
      </c>
      <c r="G487" s="3920"/>
      <c r="H487" s="3921"/>
      <c r="I487" s="2224" t="str">
        <f t="shared" si="66"/>
        <v>351184_2021_12_</v>
      </c>
      <c r="J487" s="1840">
        <v>20</v>
      </c>
      <c r="K487" s="1592"/>
      <c r="L487" s="2056"/>
      <c r="M487" s="103"/>
      <c r="N487" s="1287"/>
      <c r="O487" s="103"/>
      <c r="P487" s="106"/>
      <c r="Q487" s="106"/>
      <c r="R487" s="106"/>
      <c r="S487" s="106"/>
      <c r="T487" s="106"/>
      <c r="U487" s="106"/>
      <c r="V487" s="4023"/>
      <c r="W487" s="2224"/>
      <c r="X487" s="584"/>
      <c r="Y487" s="583"/>
      <c r="Z487" s="2374">
        <v>20</v>
      </c>
      <c r="AA487" s="583">
        <v>20</v>
      </c>
      <c r="AB487" s="2887">
        <v>20</v>
      </c>
      <c r="AC487" s="1840">
        <v>20</v>
      </c>
      <c r="AD487" s="1840">
        <v>20</v>
      </c>
      <c r="AE487" s="2224"/>
      <c r="AF487" s="2224"/>
      <c r="AG487" s="2224"/>
      <c r="AH487" s="156"/>
      <c r="AI487" s="156"/>
      <c r="AJ487" s="156"/>
      <c r="AK487" s="156"/>
      <c r="AL487" s="156"/>
      <c r="AM487" s="156"/>
      <c r="AN487" s="156"/>
      <c r="AO487" s="156"/>
      <c r="AP487" s="156"/>
      <c r="AQ487" s="156"/>
      <c r="AR487" s="156"/>
      <c r="AS487" s="156"/>
      <c r="AT487" s="156"/>
      <c r="AU487" s="156"/>
      <c r="AV487" s="156"/>
      <c r="AW487" s="156"/>
      <c r="AX487" s="156"/>
      <c r="AY487" s="156"/>
      <c r="AZ487" s="156"/>
      <c r="BA487" s="156"/>
      <c r="BB487" s="2828"/>
      <c r="BC487" s="504"/>
      <c r="BD487" s="2829"/>
      <c r="BE487" s="2837"/>
      <c r="BF487" s="156"/>
    </row>
    <row r="488" spans="1:58" hidden="1" outlineLevel="1" x14ac:dyDescent="0.35">
      <c r="A488" s="1071"/>
      <c r="B488" s="106"/>
      <c r="C488" s="103"/>
      <c r="D488" s="4140"/>
      <c r="E488" s="4138"/>
      <c r="F488" s="3919" t="str">
        <f t="shared" si="65"/>
        <v>CAC-SEER20_ROF_MF_CompE</v>
      </c>
      <c r="G488" s="3920"/>
      <c r="H488" s="3921"/>
      <c r="I488" s="2224" t="str">
        <f t="shared" si="66"/>
        <v>351185_2021_12_</v>
      </c>
      <c r="J488" s="1840">
        <v>20</v>
      </c>
      <c r="K488" s="1592"/>
      <c r="L488" s="2056"/>
      <c r="M488" s="103"/>
      <c r="N488" s="1287"/>
      <c r="O488" s="103"/>
      <c r="P488" s="106"/>
      <c r="Q488" s="106"/>
      <c r="R488" s="106"/>
      <c r="S488" s="106"/>
      <c r="T488" s="106"/>
      <c r="U488" s="106"/>
      <c r="V488" s="4023"/>
      <c r="W488" s="2224"/>
      <c r="X488" s="584"/>
      <c r="Y488" s="583"/>
      <c r="Z488" s="2374">
        <v>20</v>
      </c>
      <c r="AA488" s="583">
        <v>20</v>
      </c>
      <c r="AB488" s="2887">
        <v>20</v>
      </c>
      <c r="AC488" s="1840">
        <v>20</v>
      </c>
      <c r="AD488" s="1840">
        <v>20</v>
      </c>
      <c r="AE488" s="2224"/>
      <c r="AF488" s="2224"/>
      <c r="AG488" s="2224"/>
      <c r="AH488" s="156"/>
      <c r="AI488" s="156"/>
      <c r="AJ488" s="156"/>
      <c r="AK488" s="156"/>
      <c r="AL488" s="156"/>
      <c r="AM488" s="156"/>
      <c r="AN488" s="156"/>
      <c r="AO488" s="156"/>
      <c r="AP488" s="156"/>
      <c r="AQ488" s="156"/>
      <c r="AR488" s="156"/>
      <c r="AS488" s="156"/>
      <c r="AT488" s="156"/>
      <c r="AU488" s="156"/>
      <c r="AV488" s="156"/>
      <c r="AW488" s="156"/>
      <c r="AX488" s="156"/>
      <c r="AY488" s="156"/>
      <c r="AZ488" s="156"/>
      <c r="BA488" s="156"/>
      <c r="BB488" s="2828"/>
      <c r="BC488" s="504"/>
      <c r="BD488" s="2829"/>
      <c r="BE488" s="2837"/>
      <c r="BF488" s="156"/>
    </row>
    <row r="489" spans="1:58" hidden="1" outlineLevel="1" x14ac:dyDescent="0.35">
      <c r="A489" s="1071"/>
      <c r="B489" s="106"/>
      <c r="C489" s="103"/>
      <c r="D489" s="4140"/>
      <c r="E489" s="4138"/>
      <c r="F489" s="3919" t="str">
        <f t="shared" si="65"/>
        <v>CAC-SEER21+_ER1_SF</v>
      </c>
      <c r="G489" s="3920"/>
      <c r="H489" s="3921"/>
      <c r="I489" s="2224" t="str">
        <f t="shared" si="66"/>
        <v>351190_2021_12_</v>
      </c>
      <c r="J489" s="1797">
        <v>21.924757281553397</v>
      </c>
      <c r="K489" s="1592"/>
      <c r="L489" s="2729" t="s">
        <v>4360</v>
      </c>
      <c r="M489" s="103"/>
      <c r="N489" s="1287"/>
      <c r="O489" s="103"/>
      <c r="P489" s="106"/>
      <c r="Q489" s="106"/>
      <c r="R489" s="106"/>
      <c r="S489" s="106"/>
      <c r="T489" s="106"/>
      <c r="U489" s="106"/>
      <c r="V489" s="4023"/>
      <c r="W489" s="2224"/>
      <c r="X489" s="583"/>
      <c r="Y489" s="583"/>
      <c r="Z489" s="2374">
        <v>21</v>
      </c>
      <c r="AA489" s="583">
        <v>21</v>
      </c>
      <c r="AB489" s="2887">
        <v>21</v>
      </c>
      <c r="AC489" s="1797">
        <v>21.873376623376622</v>
      </c>
      <c r="AD489" s="1797">
        <v>21.924757281553397</v>
      </c>
      <c r="AE489" s="2224"/>
      <c r="AF489" s="2224"/>
      <c r="AG489" s="2224"/>
      <c r="AH489" s="156"/>
      <c r="AI489" s="156"/>
      <c r="AJ489" s="156"/>
      <c r="AK489" s="156"/>
      <c r="AL489" s="156"/>
      <c r="AM489" s="156"/>
      <c r="AN489" s="156"/>
      <c r="AO489" s="156"/>
      <c r="AP489" s="156"/>
      <c r="AQ489" s="156"/>
      <c r="AR489" s="156"/>
      <c r="AS489" s="156"/>
      <c r="AT489" s="156"/>
      <c r="AU489" s="156"/>
      <c r="AV489" s="156"/>
      <c r="AW489" s="156"/>
      <c r="AX489" s="156"/>
      <c r="AY489" s="156"/>
      <c r="AZ489" s="156"/>
      <c r="BA489" s="156"/>
      <c r="BB489" s="2828"/>
      <c r="BC489" s="504"/>
      <c r="BD489" s="2829"/>
      <c r="BE489" s="2837"/>
      <c r="BF489" s="156"/>
    </row>
    <row r="490" spans="1:58" ht="14.5" hidden="1" customHeight="1" outlineLevel="1" x14ac:dyDescent="0.35">
      <c r="A490" s="1071"/>
      <c r="B490" s="106"/>
      <c r="C490" s="103"/>
      <c r="D490" s="4140"/>
      <c r="E490" s="4138"/>
      <c r="F490" s="3919" t="str">
        <f t="shared" si="65"/>
        <v>CAC-SEER21+_ER2_SF</v>
      </c>
      <c r="G490" s="3920"/>
      <c r="H490" s="3921"/>
      <c r="I490" s="2224" t="str">
        <f t="shared" si="66"/>
        <v>351190_2021_12_</v>
      </c>
      <c r="J490" s="1797">
        <f>J489</f>
        <v>21.924757281553397</v>
      </c>
      <c r="K490" s="1592"/>
      <c r="L490" s="2729" t="s">
        <v>4360</v>
      </c>
      <c r="M490" s="103"/>
      <c r="N490" s="1287"/>
      <c r="O490" s="103"/>
      <c r="P490" s="106"/>
      <c r="Q490" s="106"/>
      <c r="R490" s="106"/>
      <c r="S490" s="106"/>
      <c r="T490" s="106"/>
      <c r="U490" s="106"/>
      <c r="V490" s="4023"/>
      <c r="W490" s="2224"/>
      <c r="X490" s="583"/>
      <c r="Y490" s="583"/>
      <c r="Z490" s="2374">
        <v>21</v>
      </c>
      <c r="AA490" s="583">
        <v>21</v>
      </c>
      <c r="AB490" s="2887">
        <v>21</v>
      </c>
      <c r="AC490" s="1797">
        <v>21.873376623376622</v>
      </c>
      <c r="AD490" s="1797">
        <f>AD489</f>
        <v>21.924757281553397</v>
      </c>
      <c r="AE490" s="2224"/>
      <c r="AF490" s="2224"/>
      <c r="AG490" s="2224"/>
      <c r="AH490" s="156"/>
      <c r="AI490" s="156"/>
      <c r="AJ490" s="156"/>
      <c r="AK490" s="156"/>
      <c r="AL490" s="156"/>
      <c r="AM490" s="156"/>
      <c r="AN490" s="156"/>
      <c r="AO490" s="156"/>
      <c r="AP490" s="156"/>
      <c r="AQ490" s="156"/>
      <c r="AR490" s="156"/>
      <c r="AS490" s="156"/>
      <c r="AT490" s="156"/>
      <c r="AU490" s="156"/>
      <c r="AV490" s="156"/>
      <c r="AW490" s="156"/>
      <c r="AX490" s="156"/>
      <c r="AY490" s="156"/>
      <c r="AZ490" s="156"/>
      <c r="BA490" s="156"/>
      <c r="BB490" s="2828"/>
      <c r="BC490" s="504"/>
      <c r="BD490" s="2829"/>
      <c r="BE490" s="2837"/>
      <c r="BF490" s="156"/>
    </row>
    <row r="491" spans="1:58" ht="14.5" hidden="1" customHeight="1" outlineLevel="1" x14ac:dyDescent="0.35">
      <c r="A491" s="1071"/>
      <c r="B491" s="106"/>
      <c r="C491" s="103"/>
      <c r="D491" s="4140"/>
      <c r="E491" s="4138"/>
      <c r="F491" s="3919" t="str">
        <f t="shared" si="65"/>
        <v>CAC-SEER21+_ROF_SF</v>
      </c>
      <c r="G491" s="3920"/>
      <c r="H491" s="3921"/>
      <c r="I491" s="2224" t="str">
        <f t="shared" si="66"/>
        <v>351191_2021_12_</v>
      </c>
      <c r="J491" s="2730">
        <v>22.375</v>
      </c>
      <c r="K491" s="1592"/>
      <c r="L491" s="2729" t="s">
        <v>4360</v>
      </c>
      <c r="M491" s="103"/>
      <c r="N491" s="1287"/>
      <c r="O491" s="103"/>
      <c r="P491" s="106"/>
      <c r="Q491" s="106"/>
      <c r="R491" s="106"/>
      <c r="S491" s="106"/>
      <c r="T491" s="106"/>
      <c r="U491" s="106"/>
      <c r="V491" s="4023"/>
      <c r="W491" s="2224"/>
      <c r="X491" s="583"/>
      <c r="Y491" s="583"/>
      <c r="Z491" s="2374">
        <v>21</v>
      </c>
      <c r="AA491" s="583">
        <v>21</v>
      </c>
      <c r="AB491" s="2887">
        <v>21</v>
      </c>
      <c r="AC491" s="1797">
        <v>21.714285714285715</v>
      </c>
      <c r="AD491" s="2730">
        <v>22.375</v>
      </c>
      <c r="AE491" s="2224"/>
      <c r="AF491" s="2224"/>
      <c r="AG491" s="2224"/>
      <c r="AH491" s="156"/>
      <c r="AI491" s="156"/>
      <c r="AJ491" s="156"/>
      <c r="AK491" s="156"/>
      <c r="AL491" s="156"/>
      <c r="AM491" s="156"/>
      <c r="AN491" s="156"/>
      <c r="AO491" s="156"/>
      <c r="AP491" s="156"/>
      <c r="AQ491" s="156"/>
      <c r="AR491" s="156"/>
      <c r="AS491" s="156"/>
      <c r="AT491" s="156"/>
      <c r="AU491" s="156"/>
      <c r="AV491" s="156"/>
      <c r="AW491" s="156"/>
      <c r="AX491" s="156"/>
      <c r="AY491" s="156"/>
      <c r="AZ491" s="156"/>
      <c r="BA491" s="156"/>
      <c r="BB491" s="2828"/>
      <c r="BC491" s="504"/>
      <c r="BD491" s="2829"/>
      <c r="BE491" s="2837"/>
      <c r="BF491" s="156"/>
    </row>
    <row r="492" spans="1:58" ht="14.5" hidden="1" customHeight="1" outlineLevel="1" x14ac:dyDescent="0.35">
      <c r="A492" s="1071"/>
      <c r="B492" s="106"/>
      <c r="C492" s="103"/>
      <c r="D492" s="4140"/>
      <c r="E492" s="4138"/>
      <c r="F492" s="3919" t="str">
        <f t="shared" si="65"/>
        <v>CAC-SEER21+_ER1_MF</v>
      </c>
      <c r="G492" s="3920"/>
      <c r="H492" s="3921"/>
      <c r="I492" s="2224" t="str">
        <f t="shared" si="66"/>
        <v>351192_2021_12_</v>
      </c>
      <c r="J492" s="1840">
        <v>21</v>
      </c>
      <c r="K492" s="1592"/>
      <c r="L492" s="2056"/>
      <c r="M492" s="103"/>
      <c r="N492" s="1287"/>
      <c r="O492" s="103"/>
      <c r="P492" s="106"/>
      <c r="Q492" s="106"/>
      <c r="R492" s="106"/>
      <c r="S492" s="106"/>
      <c r="T492" s="106"/>
      <c r="U492" s="106"/>
      <c r="V492" s="4023"/>
      <c r="W492" s="2224"/>
      <c r="X492" s="583"/>
      <c r="Y492" s="583"/>
      <c r="Z492" s="2374">
        <v>21</v>
      </c>
      <c r="AA492" s="583">
        <v>21</v>
      </c>
      <c r="AB492" s="2887">
        <v>21</v>
      </c>
      <c r="AC492" s="1840">
        <v>21</v>
      </c>
      <c r="AD492" s="1840">
        <v>21</v>
      </c>
      <c r="AE492" s="2224"/>
      <c r="AF492" s="2224"/>
      <c r="AG492" s="2224"/>
      <c r="AH492" s="156"/>
      <c r="AI492" s="156"/>
      <c r="AJ492" s="156"/>
      <c r="AK492" s="156"/>
      <c r="AL492" s="156"/>
      <c r="AM492" s="156"/>
      <c r="AN492" s="156"/>
      <c r="AO492" s="156"/>
      <c r="AP492" s="156"/>
      <c r="AQ492" s="156"/>
      <c r="AR492" s="156"/>
      <c r="AS492" s="156"/>
      <c r="AT492" s="156"/>
      <c r="AU492" s="156"/>
      <c r="AV492" s="156"/>
      <c r="AW492" s="156"/>
      <c r="AX492" s="156"/>
      <c r="AY492" s="156"/>
      <c r="AZ492" s="156"/>
      <c r="BA492" s="156"/>
      <c r="BB492" s="2828"/>
      <c r="BC492" s="504"/>
      <c r="BD492" s="2829"/>
      <c r="BE492" s="2837"/>
      <c r="BF492" s="156"/>
    </row>
    <row r="493" spans="1:58" ht="14.5" hidden="1" customHeight="1" outlineLevel="1" x14ac:dyDescent="0.35">
      <c r="A493" s="1071"/>
      <c r="B493" s="106"/>
      <c r="C493" s="103"/>
      <c r="D493" s="4140"/>
      <c r="E493" s="4138"/>
      <c r="F493" s="3919" t="str">
        <f t="shared" si="65"/>
        <v>CAC-SEER21+_ER2_MF</v>
      </c>
      <c r="G493" s="3920"/>
      <c r="H493" s="3921"/>
      <c r="I493" s="2224" t="str">
        <f t="shared" si="66"/>
        <v>351192_2021_12_</v>
      </c>
      <c r="J493" s="1840">
        <v>21</v>
      </c>
      <c r="K493" s="1592"/>
      <c r="L493" s="2056"/>
      <c r="M493" s="103"/>
      <c r="N493" s="1287"/>
      <c r="O493" s="103"/>
      <c r="P493" s="106"/>
      <c r="Q493" s="106"/>
      <c r="R493" s="106"/>
      <c r="S493" s="106"/>
      <c r="T493" s="106"/>
      <c r="U493" s="106"/>
      <c r="V493" s="4023"/>
      <c r="W493" s="2224"/>
      <c r="X493" s="583"/>
      <c r="Y493" s="583"/>
      <c r="Z493" s="2374">
        <v>21</v>
      </c>
      <c r="AA493" s="583">
        <v>21</v>
      </c>
      <c r="AB493" s="2887">
        <v>21</v>
      </c>
      <c r="AC493" s="1840">
        <v>21</v>
      </c>
      <c r="AD493" s="1840">
        <v>21</v>
      </c>
      <c r="AE493" s="2224"/>
      <c r="AF493" s="2224"/>
      <c r="AG493" s="2224"/>
      <c r="AH493" s="156"/>
      <c r="AI493" s="156"/>
      <c r="AJ493" s="156"/>
      <c r="AK493" s="156"/>
      <c r="AL493" s="156"/>
      <c r="AM493" s="156"/>
      <c r="AN493" s="156"/>
      <c r="AO493" s="156"/>
      <c r="AP493" s="156"/>
      <c r="AQ493" s="156"/>
      <c r="AR493" s="156"/>
      <c r="AS493" s="156"/>
      <c r="AT493" s="156"/>
      <c r="AU493" s="156"/>
      <c r="AV493" s="156"/>
      <c r="AW493" s="156"/>
      <c r="AX493" s="156"/>
      <c r="AY493" s="156"/>
      <c r="AZ493" s="156"/>
      <c r="BA493" s="156"/>
      <c r="BB493" s="2828"/>
      <c r="BC493" s="504"/>
      <c r="BD493" s="2829"/>
      <c r="BE493" s="2837"/>
      <c r="BF493" s="156"/>
    </row>
    <row r="494" spans="1:58" ht="14.5" hidden="1" customHeight="1" outlineLevel="1" x14ac:dyDescent="0.35">
      <c r="A494" s="1071"/>
      <c r="B494" s="106"/>
      <c r="C494" s="103"/>
      <c r="D494" s="4140"/>
      <c r="E494" s="4138"/>
      <c r="F494" s="3919" t="str">
        <f t="shared" si="65"/>
        <v>CAC-SEER21+_ER1_MF_CompE</v>
      </c>
      <c r="G494" s="3920"/>
      <c r="H494" s="3921"/>
      <c r="I494" s="576" t="str">
        <f t="shared" si="66"/>
        <v>351193_2021_12_</v>
      </c>
      <c r="J494" s="1840">
        <v>21</v>
      </c>
      <c r="K494" s="2058"/>
      <c r="L494" s="2059"/>
      <c r="M494" s="103"/>
      <c r="N494" s="1287"/>
      <c r="O494" s="103"/>
      <c r="P494" s="106"/>
      <c r="Q494" s="106"/>
      <c r="R494" s="106"/>
      <c r="S494" s="106"/>
      <c r="T494" s="106"/>
      <c r="U494" s="106"/>
      <c r="V494" s="4023"/>
      <c r="W494" s="576"/>
      <c r="X494" s="585"/>
      <c r="Y494" s="585"/>
      <c r="Z494" s="575">
        <v>21</v>
      </c>
      <c r="AA494" s="585">
        <v>21</v>
      </c>
      <c r="AB494" s="2887">
        <v>21</v>
      </c>
      <c r="AC494" s="1840">
        <v>21</v>
      </c>
      <c r="AD494" s="1840">
        <v>21</v>
      </c>
      <c r="AE494" s="576"/>
      <c r="AF494" s="576"/>
      <c r="AG494" s="576"/>
      <c r="AH494" s="156"/>
      <c r="AI494" s="156"/>
      <c r="AJ494" s="156"/>
      <c r="AK494" s="156"/>
      <c r="AL494" s="156"/>
      <c r="AM494" s="156"/>
      <c r="AN494" s="156"/>
      <c r="AO494" s="156"/>
      <c r="AP494" s="156"/>
      <c r="AQ494" s="156"/>
      <c r="AR494" s="156"/>
      <c r="AS494" s="156"/>
      <c r="AT494" s="156"/>
      <c r="AU494" s="156"/>
      <c r="AV494" s="156"/>
      <c r="AW494" s="156"/>
      <c r="AX494" s="156"/>
      <c r="AY494" s="156"/>
      <c r="AZ494" s="156"/>
      <c r="BA494" s="156"/>
      <c r="BB494" s="2828"/>
      <c r="BC494" s="504"/>
      <c r="BD494" s="2829"/>
      <c r="BE494" s="2837"/>
      <c r="BF494" s="156"/>
    </row>
    <row r="495" spans="1:58" ht="14.5" hidden="1" customHeight="1" outlineLevel="1" x14ac:dyDescent="0.35">
      <c r="A495" s="1071"/>
      <c r="B495" s="106"/>
      <c r="C495" s="103"/>
      <c r="D495" s="4140"/>
      <c r="E495" s="4138"/>
      <c r="F495" s="3919" t="str">
        <f t="shared" si="65"/>
        <v>CAC-SEER21+_ER2_MF_CompE</v>
      </c>
      <c r="G495" s="3920"/>
      <c r="H495" s="3921"/>
      <c r="I495" s="576" t="str">
        <f t="shared" si="66"/>
        <v>351193_2021_12_</v>
      </c>
      <c r="J495" s="1840">
        <v>21</v>
      </c>
      <c r="K495" s="2058"/>
      <c r="L495" s="2059"/>
      <c r="M495" s="103"/>
      <c r="N495" s="1287"/>
      <c r="O495" s="103"/>
      <c r="P495" s="106"/>
      <c r="Q495" s="106"/>
      <c r="R495" s="106"/>
      <c r="S495" s="106"/>
      <c r="T495" s="106"/>
      <c r="U495" s="106"/>
      <c r="V495" s="4023"/>
      <c r="W495" s="576"/>
      <c r="X495" s="585"/>
      <c r="Y495" s="585"/>
      <c r="Z495" s="575">
        <v>21</v>
      </c>
      <c r="AA495" s="585">
        <v>21</v>
      </c>
      <c r="AB495" s="2887">
        <v>21</v>
      </c>
      <c r="AC495" s="1840">
        <v>21</v>
      </c>
      <c r="AD495" s="1840">
        <v>21</v>
      </c>
      <c r="AE495" s="576"/>
      <c r="AF495" s="576"/>
      <c r="AG495" s="576"/>
      <c r="AH495" s="156"/>
      <c r="AI495" s="156"/>
      <c r="AJ495" s="156"/>
      <c r="AK495" s="156"/>
      <c r="AL495" s="156"/>
      <c r="AM495" s="156"/>
      <c r="AN495" s="156"/>
      <c r="AO495" s="156"/>
      <c r="AP495" s="156"/>
      <c r="AQ495" s="156"/>
      <c r="AR495" s="156"/>
      <c r="AS495" s="156"/>
      <c r="AT495" s="156"/>
      <c r="AU495" s="156"/>
      <c r="AV495" s="156"/>
      <c r="AW495" s="156"/>
      <c r="AX495" s="156"/>
      <c r="AY495" s="156"/>
      <c r="AZ495" s="156"/>
      <c r="BA495" s="156"/>
      <c r="BB495" s="2828"/>
      <c r="BC495" s="504"/>
      <c r="BD495" s="2829"/>
      <c r="BE495" s="2837"/>
      <c r="BF495" s="156"/>
    </row>
    <row r="496" spans="1:58" ht="15" hidden="1" customHeight="1" outlineLevel="1" x14ac:dyDescent="0.35">
      <c r="A496" s="1071"/>
      <c r="B496" s="106"/>
      <c r="C496" s="103"/>
      <c r="D496" s="4140"/>
      <c r="E496" s="4138"/>
      <c r="F496" s="3919" t="str">
        <f t="shared" si="65"/>
        <v>CAC-SEER21+_ROF_MF</v>
      </c>
      <c r="G496" s="3920"/>
      <c r="H496" s="3921"/>
      <c r="I496" s="2224" t="str">
        <f t="shared" si="66"/>
        <v>351194_2021_12_</v>
      </c>
      <c r="J496" s="1840">
        <v>21</v>
      </c>
      <c r="K496" s="1592"/>
      <c r="L496" s="2056"/>
      <c r="M496" s="103"/>
      <c r="N496" s="1287"/>
      <c r="O496" s="103"/>
      <c r="P496" s="106"/>
      <c r="Q496" s="106"/>
      <c r="R496" s="106"/>
      <c r="S496" s="106"/>
      <c r="T496" s="106"/>
      <c r="U496" s="106"/>
      <c r="V496" s="4023"/>
      <c r="W496" s="2224"/>
      <c r="X496" s="583"/>
      <c r="Y496" s="583"/>
      <c r="Z496" s="2374">
        <v>21</v>
      </c>
      <c r="AA496" s="583">
        <v>21</v>
      </c>
      <c r="AB496" s="2887">
        <v>21</v>
      </c>
      <c r="AC496" s="1840">
        <v>21</v>
      </c>
      <c r="AD496" s="1840">
        <v>21</v>
      </c>
      <c r="AE496" s="2224"/>
      <c r="AF496" s="2224"/>
      <c r="AG496" s="2224"/>
      <c r="AH496" s="156"/>
      <c r="AI496" s="156"/>
      <c r="AJ496" s="156"/>
      <c r="AK496" s="156"/>
      <c r="AL496" s="156"/>
      <c r="AM496" s="156"/>
      <c r="AN496" s="156"/>
      <c r="AO496" s="156"/>
      <c r="AP496" s="156"/>
      <c r="AQ496" s="156"/>
      <c r="AR496" s="156"/>
      <c r="AS496" s="156"/>
      <c r="AT496" s="156"/>
      <c r="AU496" s="156"/>
      <c r="AV496" s="156"/>
      <c r="AW496" s="156"/>
      <c r="AX496" s="156"/>
      <c r="AY496" s="156"/>
      <c r="AZ496" s="156"/>
      <c r="BA496" s="156"/>
      <c r="BB496" s="2828"/>
      <c r="BC496" s="504"/>
      <c r="BD496" s="2829"/>
      <c r="BE496" s="2837"/>
      <c r="BF496" s="156"/>
    </row>
    <row r="497" spans="1:58" ht="15" hidden="1" customHeight="1" outlineLevel="1" thickBot="1" x14ac:dyDescent="0.4">
      <c r="A497" s="1071"/>
      <c r="B497" s="106"/>
      <c r="C497" s="103"/>
      <c r="D497" s="4141"/>
      <c r="E497" s="4139"/>
      <c r="F497" s="3922" t="str">
        <f t="shared" si="65"/>
        <v>CAC-SEER21+_ROF_MF_CompE</v>
      </c>
      <c r="G497" s="3923"/>
      <c r="H497" s="3924"/>
      <c r="I497" s="578" t="str">
        <f t="shared" si="66"/>
        <v>351195_2021_12_</v>
      </c>
      <c r="J497" s="1840">
        <v>21</v>
      </c>
      <c r="K497" s="2060"/>
      <c r="L497" s="2061"/>
      <c r="M497" s="103"/>
      <c r="N497" s="1287"/>
      <c r="O497" s="103"/>
      <c r="P497" s="106"/>
      <c r="Q497" s="106"/>
      <c r="R497" s="106"/>
      <c r="S497" s="106"/>
      <c r="T497" s="106"/>
      <c r="U497" s="106"/>
      <c r="V497" s="4024"/>
      <c r="W497" s="578"/>
      <c r="X497" s="586"/>
      <c r="Y497" s="586"/>
      <c r="Z497" s="577">
        <v>21</v>
      </c>
      <c r="AA497" s="586">
        <v>21</v>
      </c>
      <c r="AB497" s="2887">
        <v>21</v>
      </c>
      <c r="AC497" s="1840">
        <v>21</v>
      </c>
      <c r="AD497" s="1840">
        <v>21</v>
      </c>
      <c r="AE497" s="578"/>
      <c r="AF497" s="578"/>
      <c r="AG497" s="578"/>
      <c r="AH497" s="156"/>
      <c r="AI497" s="156"/>
      <c r="AJ497" s="156"/>
      <c r="AK497" s="156"/>
      <c r="AL497" s="156"/>
      <c r="AM497" s="156"/>
      <c r="AN497" s="156"/>
      <c r="AO497" s="156"/>
      <c r="AP497" s="156"/>
      <c r="AQ497" s="156"/>
      <c r="AR497" s="156"/>
      <c r="AS497" s="156"/>
      <c r="AT497" s="156"/>
      <c r="AU497" s="156"/>
      <c r="AV497" s="156"/>
      <c r="AW497" s="156"/>
      <c r="AX497" s="156"/>
      <c r="AY497" s="156"/>
      <c r="AZ497" s="156"/>
      <c r="BA497" s="156"/>
      <c r="BB497" s="2828"/>
      <c r="BC497" s="504"/>
      <c r="BD497" s="2829"/>
      <c r="BE497" s="2837"/>
      <c r="BF497" s="156"/>
    </row>
    <row r="498" spans="1:58" ht="14.5" hidden="1" customHeight="1" outlineLevel="1" x14ac:dyDescent="0.35">
      <c r="A498" s="1071"/>
      <c r="B498" s="106"/>
      <c r="C498" s="103"/>
      <c r="D498" s="4021" t="s">
        <v>981</v>
      </c>
      <c r="E498" s="4115" t="s">
        <v>982</v>
      </c>
      <c r="F498" s="3925" t="str">
        <f t="shared" si="65"/>
        <v>CAC-SEER14_ER1_SF</v>
      </c>
      <c r="G498" s="3926"/>
      <c r="H498" s="3927"/>
      <c r="I498" s="2228" t="str">
        <f t="shared" si="66"/>
        <v>350400_2021_12_</v>
      </c>
      <c r="J498" s="2053">
        <v>8.33</v>
      </c>
      <c r="K498" s="115"/>
      <c r="L498" s="4160" t="s">
        <v>810</v>
      </c>
      <c r="M498" s="103"/>
      <c r="N498" s="1287"/>
      <c r="O498" s="103"/>
      <c r="P498" s="106"/>
      <c r="Q498" s="106"/>
      <c r="R498" s="106"/>
      <c r="S498" s="106"/>
      <c r="T498" s="106"/>
      <c r="U498" s="106"/>
      <c r="V498" s="4021" t="str">
        <f>D498</f>
        <v>SEERexist</v>
      </c>
      <c r="W498" s="2228">
        <v>8.1999999999999993</v>
      </c>
      <c r="X498" s="2376">
        <v>8.33</v>
      </c>
      <c r="Y498" s="2228">
        <v>8.33</v>
      </c>
      <c r="Z498" s="2228">
        <v>8.33</v>
      </c>
      <c r="AA498" s="2228">
        <v>8.33</v>
      </c>
      <c r="AB498" s="2886">
        <v>8.33</v>
      </c>
      <c r="AC498" s="2053">
        <v>8.33</v>
      </c>
      <c r="AD498" s="2053">
        <v>8.33</v>
      </c>
      <c r="AE498" s="2228"/>
      <c r="AF498" s="2228"/>
      <c r="AG498" s="2228"/>
      <c r="AH498" s="156"/>
      <c r="AI498" s="156"/>
      <c r="AJ498" s="156"/>
      <c r="AK498" s="156"/>
      <c r="AL498" s="156"/>
      <c r="AM498" s="156"/>
      <c r="AN498" s="156"/>
      <c r="AO498" s="156"/>
      <c r="AP498" s="156"/>
      <c r="AQ498" s="156"/>
      <c r="AR498" s="156"/>
      <c r="AS498" s="156"/>
      <c r="AT498" s="156"/>
      <c r="AU498" s="156"/>
      <c r="AV498" s="156"/>
      <c r="AW498" s="156"/>
      <c r="AX498" s="156"/>
      <c r="AY498" s="156"/>
      <c r="AZ498" s="156"/>
      <c r="BA498" s="156"/>
      <c r="BB498" s="2828"/>
      <c r="BC498" s="504"/>
      <c r="BD498" s="2829"/>
      <c r="BE498" s="2837"/>
      <c r="BF498" s="156"/>
    </row>
    <row r="499" spans="1:58" ht="14.5" hidden="1" customHeight="1" outlineLevel="1" x14ac:dyDescent="0.35">
      <c r="A499" s="1071"/>
      <c r="B499" s="106"/>
      <c r="C499" s="103"/>
      <c r="D499" s="4022"/>
      <c r="E499" s="4111"/>
      <c r="F499" s="3919" t="str">
        <f t="shared" si="65"/>
        <v>CAC-SEER14_ER2_SF</v>
      </c>
      <c r="G499" s="3920"/>
      <c r="H499" s="3921"/>
      <c r="I499" s="2224" t="str">
        <f t="shared" si="66"/>
        <v>350400_2021_12_</v>
      </c>
      <c r="J499" s="1840"/>
      <c r="K499" s="112"/>
      <c r="L499" s="4161"/>
      <c r="M499" s="103"/>
      <c r="N499" s="1287"/>
      <c r="O499" s="103"/>
      <c r="P499" s="106"/>
      <c r="Q499" s="106"/>
      <c r="R499" s="106"/>
      <c r="S499" s="106"/>
      <c r="T499" s="106"/>
      <c r="U499" s="106"/>
      <c r="V499" s="4022"/>
      <c r="W499" s="2224"/>
      <c r="X499" s="2224"/>
      <c r="Y499" s="2224"/>
      <c r="Z499" s="2224"/>
      <c r="AA499" s="2224"/>
      <c r="AB499" s="2887"/>
      <c r="AC499" s="1840"/>
      <c r="AD499" s="1840"/>
      <c r="AE499" s="2224"/>
      <c r="AF499" s="2224"/>
      <c r="AG499" s="2224"/>
      <c r="AH499" s="156"/>
      <c r="AI499" s="156"/>
      <c r="AJ499" s="156"/>
      <c r="AK499" s="156"/>
      <c r="AL499" s="156"/>
      <c r="AM499" s="156"/>
      <c r="AN499" s="156"/>
      <c r="AO499" s="156"/>
      <c r="AP499" s="156"/>
      <c r="AQ499" s="156"/>
      <c r="AR499" s="156"/>
      <c r="AS499" s="156"/>
      <c r="AT499" s="156"/>
      <c r="AU499" s="156"/>
      <c r="AV499" s="156"/>
      <c r="AW499" s="156"/>
      <c r="AX499" s="156"/>
      <c r="AY499" s="156"/>
      <c r="AZ499" s="156"/>
      <c r="BA499" s="156"/>
      <c r="BB499" s="2828"/>
      <c r="BC499" s="504"/>
      <c r="BD499" s="2829"/>
      <c r="BE499" s="2837"/>
      <c r="BF499" s="156"/>
    </row>
    <row r="500" spans="1:58" ht="14.5" hidden="1" customHeight="1" outlineLevel="1" x14ac:dyDescent="0.35">
      <c r="A500" s="1071"/>
      <c r="B500" s="106"/>
      <c r="C500" s="103"/>
      <c r="D500" s="4022"/>
      <c r="E500" s="4111"/>
      <c r="F500" s="3919" t="str">
        <f t="shared" si="65"/>
        <v>CAC-SEER14_ROF_SF</v>
      </c>
      <c r="G500" s="3920"/>
      <c r="H500" s="3921"/>
      <c r="I500" s="2224" t="str">
        <f t="shared" si="66"/>
        <v>350450_2021_12_</v>
      </c>
      <c r="J500" s="2057"/>
      <c r="K500" s="112"/>
      <c r="L500" s="4162"/>
      <c r="M500" s="103"/>
      <c r="N500" s="1287"/>
      <c r="O500" s="103"/>
      <c r="P500" s="106"/>
      <c r="Q500" s="106"/>
      <c r="R500" s="106"/>
      <c r="S500" s="106"/>
      <c r="T500" s="106"/>
      <c r="U500" s="106"/>
      <c r="V500" s="4022"/>
      <c r="W500" s="2224"/>
      <c r="X500" s="576"/>
      <c r="Y500" s="576"/>
      <c r="Z500" s="576"/>
      <c r="AA500" s="576"/>
      <c r="AB500" s="2888"/>
      <c r="AC500" s="2057"/>
      <c r="AD500" s="2057"/>
      <c r="AE500" s="2224"/>
      <c r="AF500" s="2224"/>
      <c r="AG500" s="2224"/>
      <c r="AH500" s="156"/>
      <c r="AI500" s="156"/>
      <c r="AJ500" s="156"/>
      <c r="AK500" s="156"/>
      <c r="AL500" s="156"/>
      <c r="AM500" s="156"/>
      <c r="AN500" s="156"/>
      <c r="AO500" s="156"/>
      <c r="AP500" s="156"/>
      <c r="AQ500" s="156"/>
      <c r="AR500" s="156"/>
      <c r="AS500" s="156"/>
      <c r="AT500" s="156"/>
      <c r="AU500" s="156"/>
      <c r="AV500" s="156"/>
      <c r="AW500" s="156"/>
      <c r="AX500" s="156"/>
      <c r="AY500" s="156"/>
      <c r="AZ500" s="156"/>
      <c r="BA500" s="156"/>
      <c r="BB500" s="2828"/>
      <c r="BC500" s="504"/>
      <c r="BD500" s="2829"/>
      <c r="BE500" s="2837"/>
      <c r="BF500" s="156"/>
    </row>
    <row r="501" spans="1:58" hidden="1" outlineLevel="1" x14ac:dyDescent="0.35">
      <c r="A501" s="1071"/>
      <c r="B501" s="106"/>
      <c r="C501" s="103"/>
      <c r="D501" s="4022"/>
      <c r="E501" s="4111"/>
      <c r="F501" s="3919" t="str">
        <f t="shared" si="65"/>
        <v>CAC-SEER14_ER1_MF</v>
      </c>
      <c r="G501" s="3920"/>
      <c r="H501" s="3921"/>
      <c r="I501" s="2224" t="str">
        <f t="shared" si="66"/>
        <v>350500_2021_12_</v>
      </c>
      <c r="J501" s="1840">
        <v>8.33</v>
      </c>
      <c r="K501" s="112"/>
      <c r="L501" s="4163" t="s">
        <v>810</v>
      </c>
      <c r="M501" s="103"/>
      <c r="N501" s="1287"/>
      <c r="O501" s="103"/>
      <c r="P501" s="106"/>
      <c r="Q501" s="106"/>
      <c r="R501" s="106"/>
      <c r="S501" s="106"/>
      <c r="T501" s="106"/>
      <c r="U501" s="106"/>
      <c r="V501" s="4022"/>
      <c r="W501" s="2224">
        <v>8.1999999999999993</v>
      </c>
      <c r="X501" s="2374">
        <v>8.33</v>
      </c>
      <c r="Y501" s="2224">
        <v>8.33</v>
      </c>
      <c r="Z501" s="2224">
        <v>8.33</v>
      </c>
      <c r="AA501" s="2224">
        <v>8.33</v>
      </c>
      <c r="AB501" s="2887">
        <v>8.33</v>
      </c>
      <c r="AC501" s="1840">
        <v>8.33</v>
      </c>
      <c r="AD501" s="1840">
        <v>8.33</v>
      </c>
      <c r="AE501" s="2224"/>
      <c r="AF501" s="2224"/>
      <c r="AG501" s="2224"/>
      <c r="AH501" s="156"/>
      <c r="AI501" s="156"/>
      <c r="AJ501" s="156"/>
      <c r="AK501" s="156"/>
      <c r="AL501" s="156"/>
      <c r="AM501" s="156"/>
      <c r="AN501" s="156"/>
      <c r="AO501" s="156"/>
      <c r="AP501" s="156"/>
      <c r="AQ501" s="156"/>
      <c r="AR501" s="156"/>
      <c r="AS501" s="156"/>
      <c r="AT501" s="156"/>
      <c r="AU501" s="156"/>
      <c r="AV501" s="156"/>
      <c r="AW501" s="156"/>
      <c r="AX501" s="156"/>
      <c r="AY501" s="156"/>
      <c r="AZ501" s="156"/>
      <c r="BA501" s="156"/>
      <c r="BB501" s="2828"/>
      <c r="BC501" s="504"/>
      <c r="BD501" s="2829"/>
      <c r="BE501" s="2837"/>
      <c r="BF501" s="156"/>
    </row>
    <row r="502" spans="1:58" hidden="1" outlineLevel="1" x14ac:dyDescent="0.35">
      <c r="A502" s="1071"/>
      <c r="B502" s="106"/>
      <c r="C502" s="103"/>
      <c r="D502" s="4022"/>
      <c r="E502" s="4111"/>
      <c r="F502" s="3919" t="str">
        <f t="shared" si="65"/>
        <v>CAC-SEER14_ER2_MF</v>
      </c>
      <c r="G502" s="3920"/>
      <c r="H502" s="3921"/>
      <c r="I502" s="2224" t="str">
        <f t="shared" si="66"/>
        <v>350500_2021_12_</v>
      </c>
      <c r="J502" s="1840"/>
      <c r="K502" s="112"/>
      <c r="L502" s="4162"/>
      <c r="M502" s="103"/>
      <c r="N502" s="1287"/>
      <c r="O502" s="103"/>
      <c r="P502" s="106"/>
      <c r="Q502" s="106"/>
      <c r="R502" s="106"/>
      <c r="S502" s="106"/>
      <c r="T502" s="106"/>
      <c r="U502" s="106"/>
      <c r="V502" s="4022"/>
      <c r="W502" s="2224"/>
      <c r="X502" s="2224"/>
      <c r="Y502" s="2224"/>
      <c r="Z502" s="2224"/>
      <c r="AA502" s="2224"/>
      <c r="AB502" s="2887"/>
      <c r="AC502" s="1840"/>
      <c r="AD502" s="1840"/>
      <c r="AE502" s="2224"/>
      <c r="AF502" s="2224"/>
      <c r="AG502" s="2224"/>
      <c r="AH502" s="156"/>
      <c r="AI502" s="156"/>
      <c r="AJ502" s="156"/>
      <c r="AK502" s="156"/>
      <c r="AL502" s="156"/>
      <c r="AM502" s="156"/>
      <c r="AN502" s="156"/>
      <c r="AO502" s="156"/>
      <c r="AP502" s="156"/>
      <c r="AQ502" s="156"/>
      <c r="AR502" s="156"/>
      <c r="AS502" s="156"/>
      <c r="AT502" s="156"/>
      <c r="AU502" s="156"/>
      <c r="AV502" s="156"/>
      <c r="AW502" s="156"/>
      <c r="AX502" s="156"/>
      <c r="AY502" s="156"/>
      <c r="AZ502" s="156"/>
      <c r="BA502" s="156"/>
      <c r="BB502" s="2828"/>
      <c r="BC502" s="504"/>
      <c r="BD502" s="2829"/>
      <c r="BE502" s="2837"/>
      <c r="BF502" s="156"/>
    </row>
    <row r="503" spans="1:58" hidden="1" outlineLevel="1" x14ac:dyDescent="0.35">
      <c r="A503" s="1071"/>
      <c r="B503" s="106"/>
      <c r="C503" s="103"/>
      <c r="D503" s="4022"/>
      <c r="E503" s="4111"/>
      <c r="F503" s="3919" t="str">
        <f t="shared" si="65"/>
        <v>CAC-SEER14_ER1_MF_CompE</v>
      </c>
      <c r="G503" s="3920"/>
      <c r="H503" s="3921"/>
      <c r="I503" s="2224" t="str">
        <f t="shared" si="66"/>
        <v>350501_2021_12_</v>
      </c>
      <c r="J503" s="1840">
        <v>8.33</v>
      </c>
      <c r="K503" s="112"/>
      <c r="L503" s="4163" t="s">
        <v>810</v>
      </c>
      <c r="M503" s="103"/>
      <c r="N503" s="1287"/>
      <c r="O503" s="103"/>
      <c r="P503" s="106"/>
      <c r="Q503" s="106"/>
      <c r="R503" s="106"/>
      <c r="S503" s="106"/>
      <c r="T503" s="106"/>
      <c r="U503" s="106"/>
      <c r="V503" s="4022"/>
      <c r="W503" s="2224"/>
      <c r="X503" s="2224"/>
      <c r="Y503" s="2224">
        <v>8.33</v>
      </c>
      <c r="Z503" s="2224">
        <v>8.33</v>
      </c>
      <c r="AA503" s="2224">
        <v>8.33</v>
      </c>
      <c r="AB503" s="2887">
        <v>8.33</v>
      </c>
      <c r="AC503" s="1840">
        <v>8.33</v>
      </c>
      <c r="AD503" s="1840">
        <v>8.33</v>
      </c>
      <c r="AE503" s="2224"/>
      <c r="AF503" s="2224"/>
      <c r="AG503" s="2224"/>
      <c r="AH503" s="156"/>
      <c r="AI503" s="156"/>
      <c r="AJ503" s="156"/>
      <c r="AK503" s="156"/>
      <c r="AL503" s="156"/>
      <c r="AM503" s="156"/>
      <c r="AN503" s="156"/>
      <c r="AO503" s="156"/>
      <c r="AP503" s="156"/>
      <c r="AQ503" s="156"/>
      <c r="AR503" s="156"/>
      <c r="AS503" s="156"/>
      <c r="AT503" s="156"/>
      <c r="AU503" s="156"/>
      <c r="AV503" s="156"/>
      <c r="AW503" s="156"/>
      <c r="AX503" s="156"/>
      <c r="AY503" s="156"/>
      <c r="AZ503" s="156"/>
      <c r="BA503" s="156"/>
      <c r="BB503" s="2828"/>
      <c r="BC503" s="504"/>
      <c r="BD503" s="2829"/>
      <c r="BE503" s="2837"/>
      <c r="BF503" s="156"/>
    </row>
    <row r="504" spans="1:58" hidden="1" outlineLevel="1" x14ac:dyDescent="0.35">
      <c r="A504" s="1071"/>
      <c r="B504" s="106"/>
      <c r="C504" s="103"/>
      <c r="D504" s="4022"/>
      <c r="E504" s="4111"/>
      <c r="F504" s="3919" t="str">
        <f t="shared" si="65"/>
        <v>CAC-SEER14_ER2_MF_CompE</v>
      </c>
      <c r="G504" s="3920"/>
      <c r="H504" s="3921"/>
      <c r="I504" s="2224" t="str">
        <f t="shared" si="66"/>
        <v>350501_2021_12_</v>
      </c>
      <c r="J504" s="1840"/>
      <c r="K504" s="112"/>
      <c r="L504" s="4162"/>
      <c r="M504" s="103"/>
      <c r="N504" s="1287"/>
      <c r="O504" s="103"/>
      <c r="P504" s="106"/>
      <c r="Q504" s="106"/>
      <c r="R504" s="106"/>
      <c r="S504" s="106"/>
      <c r="T504" s="106"/>
      <c r="U504" s="106"/>
      <c r="V504" s="4022"/>
      <c r="W504" s="2224"/>
      <c r="X504" s="2224"/>
      <c r="Y504" s="2224"/>
      <c r="Z504" s="2224"/>
      <c r="AA504" s="2224"/>
      <c r="AB504" s="2887"/>
      <c r="AC504" s="1840"/>
      <c r="AD504" s="1840"/>
      <c r="AE504" s="2224"/>
      <c r="AF504" s="2224"/>
      <c r="AG504" s="2224"/>
      <c r="AH504" s="156"/>
      <c r="AI504" s="156"/>
      <c r="AJ504" s="156"/>
      <c r="AK504" s="156"/>
      <c r="AL504" s="156"/>
      <c r="AM504" s="156"/>
      <c r="AN504" s="156"/>
      <c r="AO504" s="156"/>
      <c r="AP504" s="156"/>
      <c r="AQ504" s="156"/>
      <c r="AR504" s="156"/>
      <c r="AS504" s="156"/>
      <c r="AT504" s="156"/>
      <c r="AU504" s="156"/>
      <c r="AV504" s="156"/>
      <c r="AW504" s="156"/>
      <c r="AX504" s="156"/>
      <c r="AY504" s="156"/>
      <c r="AZ504" s="156"/>
      <c r="BA504" s="156"/>
      <c r="BB504" s="2828"/>
      <c r="BC504" s="504"/>
      <c r="BD504" s="2829"/>
      <c r="BE504" s="2837"/>
      <c r="BF504" s="156"/>
    </row>
    <row r="505" spans="1:58" hidden="1" outlineLevel="1" x14ac:dyDescent="0.35">
      <c r="A505" s="1071"/>
      <c r="B505" s="106"/>
      <c r="C505" s="103"/>
      <c r="D505" s="4022"/>
      <c r="E505" s="4111"/>
      <c r="F505" s="3919" t="str">
        <f t="shared" si="65"/>
        <v>CAC-SEER14_ROF_MF</v>
      </c>
      <c r="G505" s="3920"/>
      <c r="H505" s="3921"/>
      <c r="I505" s="2224" t="str">
        <f t="shared" si="66"/>
        <v>350550_2021_12_</v>
      </c>
      <c r="J505" s="1840"/>
      <c r="K505" s="112"/>
      <c r="L505" s="2667"/>
      <c r="M505" s="103"/>
      <c r="N505" s="1287"/>
      <c r="O505" s="103"/>
      <c r="P505" s="106"/>
      <c r="Q505" s="106"/>
      <c r="R505" s="106"/>
      <c r="S505" s="106"/>
      <c r="T505" s="106"/>
      <c r="U505" s="106"/>
      <c r="V505" s="4022"/>
      <c r="W505" s="2224"/>
      <c r="X505" s="2224"/>
      <c r="Y505" s="2224"/>
      <c r="Z505" s="2224"/>
      <c r="AA505" s="2224"/>
      <c r="AB505" s="2887"/>
      <c r="AC505" s="1840"/>
      <c r="AD505" s="1840"/>
      <c r="AE505" s="2224"/>
      <c r="AF505" s="2224"/>
      <c r="AG505" s="2224"/>
      <c r="AH505" s="156"/>
      <c r="AI505" s="156"/>
      <c r="AJ505" s="156"/>
      <c r="AK505" s="156"/>
      <c r="AL505" s="156"/>
      <c r="AM505" s="156"/>
      <c r="AN505" s="156"/>
      <c r="AO505" s="156"/>
      <c r="AP505" s="156"/>
      <c r="AQ505" s="156"/>
      <c r="AR505" s="156"/>
      <c r="AS505" s="156"/>
      <c r="AT505" s="156"/>
      <c r="AU505" s="156"/>
      <c r="AV505" s="156"/>
      <c r="AW505" s="156"/>
      <c r="AX505" s="156"/>
      <c r="AY505" s="156"/>
      <c r="AZ505" s="156"/>
      <c r="BA505" s="156"/>
      <c r="BB505" s="2828"/>
      <c r="BC505" s="504"/>
      <c r="BD505" s="2829"/>
      <c r="BE505" s="2837"/>
      <c r="BF505" s="156"/>
    </row>
    <row r="506" spans="1:58" hidden="1" outlineLevel="1" x14ac:dyDescent="0.35">
      <c r="A506" s="1071"/>
      <c r="B506" s="106"/>
      <c r="C506" s="103"/>
      <c r="D506" s="4022"/>
      <c r="E506" s="4111"/>
      <c r="F506" s="3919" t="str">
        <f t="shared" si="65"/>
        <v>CAC-SEER14_ROF_MF_CompE</v>
      </c>
      <c r="G506" s="3920"/>
      <c r="H506" s="3921"/>
      <c r="I506" s="2224" t="str">
        <f t="shared" si="66"/>
        <v>350551_2021_12_</v>
      </c>
      <c r="J506" s="1840"/>
      <c r="K506" s="112"/>
      <c r="L506" s="2667"/>
      <c r="M506" s="103"/>
      <c r="N506" s="1287"/>
      <c r="O506" s="103"/>
      <c r="P506" s="106"/>
      <c r="Q506" s="106"/>
      <c r="R506" s="106"/>
      <c r="S506" s="106"/>
      <c r="T506" s="106"/>
      <c r="U506" s="106"/>
      <c r="V506" s="4022"/>
      <c r="W506" s="2224"/>
      <c r="X506" s="2224"/>
      <c r="Y506" s="2224"/>
      <c r="Z506" s="2224"/>
      <c r="AA506" s="2224"/>
      <c r="AB506" s="2887"/>
      <c r="AC506" s="1840"/>
      <c r="AD506" s="1840"/>
      <c r="AE506" s="2224"/>
      <c r="AF506" s="2224"/>
      <c r="AG506" s="2224"/>
      <c r="AH506" s="156"/>
      <c r="AI506" s="156"/>
      <c r="AJ506" s="156"/>
      <c r="AK506" s="156"/>
      <c r="AL506" s="156"/>
      <c r="AM506" s="156"/>
      <c r="AN506" s="156"/>
      <c r="AO506" s="156"/>
      <c r="AP506" s="156"/>
      <c r="AQ506" s="156"/>
      <c r="AR506" s="156"/>
      <c r="AS506" s="156"/>
      <c r="AT506" s="156"/>
      <c r="AU506" s="156"/>
      <c r="AV506" s="156"/>
      <c r="AW506" s="156"/>
      <c r="AX506" s="156"/>
      <c r="AY506" s="156"/>
      <c r="AZ506" s="156"/>
      <c r="BA506" s="156"/>
      <c r="BB506" s="2828"/>
      <c r="BC506" s="504"/>
      <c r="BD506" s="2829"/>
      <c r="BE506" s="2837"/>
      <c r="BF506" s="156"/>
    </row>
    <row r="507" spans="1:58" hidden="1" outlineLevel="1" x14ac:dyDescent="0.35">
      <c r="A507" s="1071"/>
      <c r="B507" s="106"/>
      <c r="C507" s="103"/>
      <c r="D507" s="4022"/>
      <c r="E507" s="4111"/>
      <c r="F507" s="3919" t="str">
        <f t="shared" si="65"/>
        <v>CAC-SEER15_ER1_SF</v>
      </c>
      <c r="G507" s="3920"/>
      <c r="H507" s="3921"/>
      <c r="I507" s="2224" t="str">
        <f t="shared" si="66"/>
        <v>350600_2021_12_</v>
      </c>
      <c r="J507" s="2730">
        <v>7.4529882194918962</v>
      </c>
      <c r="K507" s="112"/>
      <c r="L507" s="4164" t="s">
        <v>4360</v>
      </c>
      <c r="M507" s="103"/>
      <c r="N507" s="1287"/>
      <c r="O507" s="103"/>
      <c r="P507" s="106"/>
      <c r="Q507" s="106"/>
      <c r="R507" s="106"/>
      <c r="S507" s="106"/>
      <c r="T507" s="106"/>
      <c r="U507" s="106"/>
      <c r="V507" s="4022"/>
      <c r="W507" s="2224">
        <v>8.1999999999999993</v>
      </c>
      <c r="X507" s="2374">
        <v>8.33</v>
      </c>
      <c r="Y507" s="2224">
        <v>8.33</v>
      </c>
      <c r="Z507" s="2224">
        <v>8.33</v>
      </c>
      <c r="AA507" s="2224">
        <v>8.33</v>
      </c>
      <c r="AB507" s="1797">
        <v>7.5274715869040065</v>
      </c>
      <c r="AC507" s="1797">
        <v>8.2517061990859339</v>
      </c>
      <c r="AD507" s="2730">
        <v>7.4529882194918962</v>
      </c>
      <c r="AE507" s="2224"/>
      <c r="AF507" s="2224"/>
      <c r="AG507" s="2224"/>
      <c r="AH507" s="156"/>
      <c r="AI507" s="156"/>
      <c r="AJ507" s="156"/>
      <c r="AK507" s="156"/>
      <c r="AL507" s="156"/>
      <c r="AM507" s="156"/>
      <c r="AN507" s="156"/>
      <c r="AO507" s="156"/>
      <c r="AP507" s="156"/>
      <c r="AQ507" s="156"/>
      <c r="AR507" s="156"/>
      <c r="AS507" s="156"/>
      <c r="AT507" s="156"/>
      <c r="AU507" s="156"/>
      <c r="AV507" s="156"/>
      <c r="AW507" s="156"/>
      <c r="AX507" s="156"/>
      <c r="AY507" s="156"/>
      <c r="AZ507" s="156"/>
      <c r="BA507" s="156"/>
      <c r="BB507" s="2828"/>
      <c r="BC507" s="504"/>
      <c r="BD507" s="2829"/>
      <c r="BE507" s="2837"/>
      <c r="BF507" s="156"/>
    </row>
    <row r="508" spans="1:58" hidden="1" outlineLevel="1" x14ac:dyDescent="0.35">
      <c r="A508" s="1071"/>
      <c r="B508" s="106"/>
      <c r="C508" s="103"/>
      <c r="D508" s="4022"/>
      <c r="E508" s="4111"/>
      <c r="F508" s="3919" t="str">
        <f t="shared" si="65"/>
        <v>CAC-SEER15_ER2_SF</v>
      </c>
      <c r="G508" s="3920"/>
      <c r="H508" s="3921"/>
      <c r="I508" s="2224" t="str">
        <f t="shared" si="66"/>
        <v>350600_2021_12_</v>
      </c>
      <c r="J508" s="1840"/>
      <c r="K508" s="112"/>
      <c r="L508" s="4165"/>
      <c r="M508" s="103"/>
      <c r="N508" s="1287"/>
      <c r="O508" s="103"/>
      <c r="P508" s="106"/>
      <c r="Q508" s="106"/>
      <c r="R508" s="106"/>
      <c r="S508" s="106"/>
      <c r="T508" s="106"/>
      <c r="U508" s="106"/>
      <c r="V508" s="4022"/>
      <c r="W508" s="2224"/>
      <c r="X508" s="2224"/>
      <c r="Y508" s="2224"/>
      <c r="Z508" s="2224"/>
      <c r="AA508" s="2224"/>
      <c r="AB508" s="2887"/>
      <c r="AC508" s="1840"/>
      <c r="AD508" s="1840"/>
      <c r="AE508" s="2224"/>
      <c r="AF508" s="2224"/>
      <c r="AG508" s="2224"/>
      <c r="AH508" s="156"/>
      <c r="AI508" s="156"/>
      <c r="AJ508" s="156"/>
      <c r="AK508" s="156"/>
      <c r="AL508" s="156"/>
      <c r="AM508" s="156"/>
      <c r="AN508" s="156"/>
      <c r="AO508" s="156"/>
      <c r="AP508" s="156"/>
      <c r="AQ508" s="156"/>
      <c r="AR508" s="156"/>
      <c r="AS508" s="156"/>
      <c r="AT508" s="156"/>
      <c r="AU508" s="156"/>
      <c r="AV508" s="156"/>
      <c r="AW508" s="156"/>
      <c r="AX508" s="156"/>
      <c r="AY508" s="156"/>
      <c r="AZ508" s="156"/>
      <c r="BA508" s="156"/>
      <c r="BB508" s="2828"/>
      <c r="BC508" s="504"/>
      <c r="BD508" s="2829"/>
      <c r="BE508" s="2837"/>
      <c r="BF508" s="156"/>
    </row>
    <row r="509" spans="1:58" hidden="1" outlineLevel="1" x14ac:dyDescent="0.35">
      <c r="A509" s="1071"/>
      <c r="B509" s="106"/>
      <c r="C509" s="103"/>
      <c r="D509" s="4022"/>
      <c r="E509" s="4111"/>
      <c r="F509" s="3919" t="str">
        <f t="shared" si="65"/>
        <v>CAC-SEER15_ROF_SF</v>
      </c>
      <c r="G509" s="3920"/>
      <c r="H509" s="3921"/>
      <c r="I509" s="2224" t="str">
        <f t="shared" si="66"/>
        <v>350650_2021_12_</v>
      </c>
      <c r="J509" s="1840"/>
      <c r="K509" s="112"/>
      <c r="L509" s="2297"/>
      <c r="M509" s="103"/>
      <c r="N509" s="1287"/>
      <c r="O509" s="103"/>
      <c r="P509" s="106"/>
      <c r="Q509" s="106"/>
      <c r="R509" s="106"/>
      <c r="S509" s="106"/>
      <c r="T509" s="106"/>
      <c r="U509" s="106"/>
      <c r="V509" s="4022"/>
      <c r="W509" s="2224"/>
      <c r="X509" s="2224"/>
      <c r="Y509" s="2224"/>
      <c r="Z509" s="2224"/>
      <c r="AA509" s="2224"/>
      <c r="AB509" s="2887"/>
      <c r="AC509" s="1840"/>
      <c r="AD509" s="1840"/>
      <c r="AE509" s="2224"/>
      <c r="AF509" s="2224"/>
      <c r="AG509" s="2224"/>
      <c r="AH509" s="156"/>
      <c r="AI509" s="156"/>
      <c r="AJ509" s="156"/>
      <c r="AK509" s="156"/>
      <c r="AL509" s="156"/>
      <c r="AM509" s="156"/>
      <c r="AN509" s="156"/>
      <c r="AO509" s="156"/>
      <c r="AP509" s="156"/>
      <c r="AQ509" s="156"/>
      <c r="AR509" s="156"/>
      <c r="AS509" s="156"/>
      <c r="AT509" s="156"/>
      <c r="AU509" s="156"/>
      <c r="AV509" s="156"/>
      <c r="AW509" s="156"/>
      <c r="AX509" s="156"/>
      <c r="AY509" s="156"/>
      <c r="AZ509" s="156"/>
      <c r="BA509" s="156"/>
      <c r="BB509" s="2828"/>
      <c r="BC509" s="504"/>
      <c r="BD509" s="2829"/>
      <c r="BE509" s="2837"/>
      <c r="BF509" s="156"/>
    </row>
    <row r="510" spans="1:58" hidden="1" outlineLevel="1" x14ac:dyDescent="0.35">
      <c r="A510" s="1071"/>
      <c r="B510" s="106"/>
      <c r="C510" s="103"/>
      <c r="D510" s="4022"/>
      <c r="E510" s="4111"/>
      <c r="F510" s="3919" t="str">
        <f t="shared" si="65"/>
        <v>CAC-SEER15_ER1_MF</v>
      </c>
      <c r="G510" s="3920"/>
      <c r="H510" s="3921"/>
      <c r="I510" s="2224" t="str">
        <f t="shared" si="66"/>
        <v>350700_2021_12_</v>
      </c>
      <c r="J510" s="2730">
        <v>7.2151508807483591</v>
      </c>
      <c r="K510" s="112"/>
      <c r="L510" s="4164" t="s">
        <v>4360</v>
      </c>
      <c r="M510" s="103"/>
      <c r="N510" s="1287"/>
      <c r="O510" s="103"/>
      <c r="P510" s="106"/>
      <c r="Q510" s="106"/>
      <c r="R510" s="106"/>
      <c r="S510" s="106"/>
      <c r="T510" s="106"/>
      <c r="U510" s="106"/>
      <c r="V510" s="4022"/>
      <c r="W510" s="2224">
        <v>8.1999999999999993</v>
      </c>
      <c r="X510" s="2374">
        <v>8.33</v>
      </c>
      <c r="Y510" s="2224">
        <v>8.33</v>
      </c>
      <c r="Z510" s="2224">
        <v>8.33</v>
      </c>
      <c r="AA510" s="2224">
        <v>8.33</v>
      </c>
      <c r="AB510" s="1797">
        <v>7.2595221661569607</v>
      </c>
      <c r="AC510" s="1797">
        <v>8.1380151250559827</v>
      </c>
      <c r="AD510" s="2730">
        <v>7.2151508807483591</v>
      </c>
      <c r="AE510" s="2224"/>
      <c r="AF510" s="2224"/>
      <c r="AG510" s="2224"/>
      <c r="AH510" s="156"/>
      <c r="AI510" s="156"/>
      <c r="AJ510" s="156"/>
      <c r="AK510" s="156"/>
      <c r="AL510" s="156"/>
      <c r="AM510" s="156"/>
      <c r="AN510" s="156"/>
      <c r="AO510" s="156"/>
      <c r="AP510" s="156"/>
      <c r="AQ510" s="156"/>
      <c r="AR510" s="156"/>
      <c r="AS510" s="156"/>
      <c r="AT510" s="156"/>
      <c r="AU510" s="156"/>
      <c r="AV510" s="156"/>
      <c r="AW510" s="156"/>
      <c r="AX510" s="156"/>
      <c r="AY510" s="156"/>
      <c r="AZ510" s="156"/>
      <c r="BA510" s="156"/>
      <c r="BB510" s="2828"/>
      <c r="BC510" s="504"/>
      <c r="BD510" s="2829"/>
      <c r="BE510" s="2837"/>
      <c r="BF510" s="156"/>
    </row>
    <row r="511" spans="1:58" hidden="1" outlineLevel="1" x14ac:dyDescent="0.35">
      <c r="A511" s="1071"/>
      <c r="B511" s="106"/>
      <c r="C511" s="103"/>
      <c r="D511" s="4022"/>
      <c r="E511" s="4111"/>
      <c r="F511" s="3919" t="str">
        <f t="shared" si="65"/>
        <v>CAC-SEER15_ER2_MF</v>
      </c>
      <c r="G511" s="3920"/>
      <c r="H511" s="3921"/>
      <c r="I511" s="2224" t="str">
        <f t="shared" si="66"/>
        <v>350700_2021_12_</v>
      </c>
      <c r="J511" s="1840"/>
      <c r="K511" s="112"/>
      <c r="L511" s="4165"/>
      <c r="M511" s="103"/>
      <c r="N511" s="1287"/>
      <c r="O511" s="103"/>
      <c r="P511" s="106"/>
      <c r="Q511" s="106"/>
      <c r="R511" s="106"/>
      <c r="S511" s="106"/>
      <c r="T511" s="106"/>
      <c r="U511" s="106"/>
      <c r="V511" s="4022"/>
      <c r="W511" s="2224"/>
      <c r="X511" s="2224"/>
      <c r="Y511" s="2224"/>
      <c r="Z511" s="2224"/>
      <c r="AA511" s="2224"/>
      <c r="AB511" s="2887"/>
      <c r="AC511" s="1840"/>
      <c r="AD511" s="1840"/>
      <c r="AE511" s="2224"/>
      <c r="AF511" s="2224"/>
      <c r="AG511" s="2224"/>
      <c r="AH511" s="156"/>
      <c r="AI511" s="156"/>
      <c r="AJ511" s="156"/>
      <c r="AK511" s="156"/>
      <c r="AL511" s="156"/>
      <c r="AM511" s="156"/>
      <c r="AN511" s="156"/>
      <c r="AO511" s="156"/>
      <c r="AP511" s="156"/>
      <c r="AQ511" s="156"/>
      <c r="AR511" s="156"/>
      <c r="AS511" s="156"/>
      <c r="AT511" s="156"/>
      <c r="AU511" s="156"/>
      <c r="AV511" s="156"/>
      <c r="AW511" s="156"/>
      <c r="AX511" s="156"/>
      <c r="AY511" s="156"/>
      <c r="AZ511" s="156"/>
      <c r="BA511" s="156"/>
      <c r="BB511" s="2828"/>
      <c r="BC511" s="504"/>
      <c r="BD511" s="2829"/>
      <c r="BE511" s="2837"/>
      <c r="BF511" s="156"/>
    </row>
    <row r="512" spans="1:58" hidden="1" outlineLevel="1" x14ac:dyDescent="0.35">
      <c r="A512" s="1071"/>
      <c r="B512" s="106"/>
      <c r="C512" s="103"/>
      <c r="D512" s="4022"/>
      <c r="E512" s="4111"/>
      <c r="F512" s="3919" t="str">
        <f t="shared" si="65"/>
        <v>CAC-SEER15_ER1_MF_CompE</v>
      </c>
      <c r="G512" s="3920"/>
      <c r="H512" s="3921"/>
      <c r="I512" s="2224" t="str">
        <f t="shared" si="66"/>
        <v>350701_2021_12_</v>
      </c>
      <c r="J512" s="1797">
        <f>J510</f>
        <v>7.2151508807483591</v>
      </c>
      <c r="K512" s="112"/>
      <c r="L512" s="2062" t="s">
        <v>973</v>
      </c>
      <c r="M512" s="103"/>
      <c r="N512" s="1287"/>
      <c r="O512" s="103"/>
      <c r="P512" s="106"/>
      <c r="Q512" s="106"/>
      <c r="R512" s="106"/>
      <c r="S512" s="106"/>
      <c r="T512" s="106"/>
      <c r="U512" s="106"/>
      <c r="V512" s="4022"/>
      <c r="W512" s="2224"/>
      <c r="X512" s="2224"/>
      <c r="Y512" s="2224">
        <v>8.33</v>
      </c>
      <c r="Z512" s="2224">
        <v>8.33</v>
      </c>
      <c r="AA512" s="2224">
        <v>8.33</v>
      </c>
      <c r="AB512" s="1797">
        <v>7.2595221661569607</v>
      </c>
      <c r="AC512" s="1797">
        <v>8.1380151250559827</v>
      </c>
      <c r="AD512" s="1797">
        <f>AD510</f>
        <v>7.2151508807483591</v>
      </c>
      <c r="AE512" s="2224"/>
      <c r="AF512" s="2224"/>
      <c r="AG512" s="2224"/>
      <c r="AH512" s="156"/>
      <c r="AI512" s="156"/>
      <c r="AJ512" s="156"/>
      <c r="AK512" s="156"/>
      <c r="AL512" s="156"/>
      <c r="AM512" s="156"/>
      <c r="AN512" s="156"/>
      <c r="AO512" s="156"/>
      <c r="AP512" s="156"/>
      <c r="AQ512" s="156"/>
      <c r="AR512" s="156"/>
      <c r="AS512" s="156"/>
      <c r="AT512" s="156"/>
      <c r="AU512" s="156"/>
      <c r="AV512" s="156"/>
      <c r="AW512" s="156"/>
      <c r="AX512" s="156"/>
      <c r="AY512" s="156"/>
      <c r="AZ512" s="156"/>
      <c r="BA512" s="156"/>
      <c r="BB512" s="2828"/>
      <c r="BC512" s="504"/>
      <c r="BD512" s="2829"/>
      <c r="BE512" s="2837"/>
      <c r="BF512" s="156"/>
    </row>
    <row r="513" spans="1:58" hidden="1" outlineLevel="1" x14ac:dyDescent="0.35">
      <c r="A513" s="1071"/>
      <c r="B513" s="106"/>
      <c r="C513" s="103"/>
      <c r="D513" s="4022"/>
      <c r="E513" s="4111"/>
      <c r="F513" s="3919" t="str">
        <f t="shared" si="65"/>
        <v>CAC-SEER15_ER2_MF_CompE</v>
      </c>
      <c r="G513" s="3920"/>
      <c r="H513" s="3921"/>
      <c r="I513" s="2224" t="str">
        <f t="shared" si="66"/>
        <v>350701_2021_12_</v>
      </c>
      <c r="J513" s="1840"/>
      <c r="K513" s="112"/>
      <c r="L513" s="2297"/>
      <c r="M513" s="103"/>
      <c r="N513" s="1287"/>
      <c r="O513" s="103"/>
      <c r="P513" s="106"/>
      <c r="Q513" s="106"/>
      <c r="R513" s="106"/>
      <c r="S513" s="106"/>
      <c r="T513" s="106"/>
      <c r="U513" s="106"/>
      <c r="V513" s="4022"/>
      <c r="W513" s="2224"/>
      <c r="X513" s="2224"/>
      <c r="Y513" s="2224"/>
      <c r="Z513" s="2224"/>
      <c r="AA513" s="2224"/>
      <c r="AB513" s="2887"/>
      <c r="AC513" s="1840"/>
      <c r="AD513" s="1840"/>
      <c r="AE513" s="2224"/>
      <c r="AF513" s="2224"/>
      <c r="AG513" s="2224"/>
      <c r="AH513" s="156"/>
      <c r="AI513" s="156"/>
      <c r="AJ513" s="156"/>
      <c r="AK513" s="156"/>
      <c r="AL513" s="156"/>
      <c r="AM513" s="156"/>
      <c r="AN513" s="156"/>
      <c r="AO513" s="156"/>
      <c r="AP513" s="156"/>
      <c r="AQ513" s="156"/>
      <c r="AR513" s="156"/>
      <c r="AS513" s="156"/>
      <c r="AT513" s="156"/>
      <c r="AU513" s="156"/>
      <c r="AV513" s="156"/>
      <c r="AW513" s="156"/>
      <c r="AX513" s="156"/>
      <c r="AY513" s="156"/>
      <c r="AZ513" s="156"/>
      <c r="BA513" s="156"/>
      <c r="BB513" s="2828"/>
      <c r="BC513" s="504"/>
      <c r="BD513" s="2829"/>
      <c r="BE513" s="2837"/>
      <c r="BF513" s="156"/>
    </row>
    <row r="514" spans="1:58" hidden="1" outlineLevel="1" x14ac:dyDescent="0.35">
      <c r="A514" s="1071"/>
      <c r="B514" s="106"/>
      <c r="C514" s="103"/>
      <c r="D514" s="4022"/>
      <c r="E514" s="4111"/>
      <c r="F514" s="3919" t="str">
        <f t="shared" si="65"/>
        <v>CAC-SEER15_ROF_MF</v>
      </c>
      <c r="G514" s="3920"/>
      <c r="H514" s="3921"/>
      <c r="I514" s="2224" t="str">
        <f t="shared" si="66"/>
        <v>350750_2021_12_</v>
      </c>
      <c r="J514" s="1840"/>
      <c r="K514" s="112"/>
      <c r="L514" s="2297"/>
      <c r="M514" s="103"/>
      <c r="N514" s="1287"/>
      <c r="O514" s="103"/>
      <c r="P514" s="106"/>
      <c r="Q514" s="106"/>
      <c r="R514" s="106"/>
      <c r="S514" s="106"/>
      <c r="T514" s="106"/>
      <c r="U514" s="106"/>
      <c r="V514" s="4022"/>
      <c r="W514" s="2224"/>
      <c r="X514" s="2224"/>
      <c r="Y514" s="2224"/>
      <c r="Z514" s="2224"/>
      <c r="AA514" s="2224"/>
      <c r="AB514" s="2887"/>
      <c r="AC514" s="1840"/>
      <c r="AD514" s="1840"/>
      <c r="AE514" s="2224"/>
      <c r="AF514" s="2224"/>
      <c r="AG514" s="2224"/>
      <c r="AH514" s="156"/>
      <c r="AI514" s="156"/>
      <c r="AJ514" s="156"/>
      <c r="AK514" s="156"/>
      <c r="AL514" s="156"/>
      <c r="AM514" s="156"/>
      <c r="AN514" s="156"/>
      <c r="AO514" s="156"/>
      <c r="AP514" s="156"/>
      <c r="AQ514" s="156"/>
      <c r="AR514" s="156"/>
      <c r="AS514" s="156"/>
      <c r="AT514" s="156"/>
      <c r="AU514" s="156"/>
      <c r="AV514" s="156"/>
      <c r="AW514" s="156"/>
      <c r="AX514" s="156"/>
      <c r="AY514" s="156"/>
      <c r="AZ514" s="156"/>
      <c r="BA514" s="156"/>
      <c r="BB514" s="2828"/>
      <c r="BC514" s="504"/>
      <c r="BD514" s="2829"/>
      <c r="BE514" s="2837"/>
      <c r="BF514" s="156"/>
    </row>
    <row r="515" spans="1:58" hidden="1" outlineLevel="1" x14ac:dyDescent="0.35">
      <c r="A515" s="1071"/>
      <c r="B515" s="106"/>
      <c r="C515" s="103"/>
      <c r="D515" s="4022"/>
      <c r="E515" s="4111"/>
      <c r="F515" s="3919" t="str">
        <f t="shared" si="65"/>
        <v>CAC-SEER15_ROF_MF_CompE</v>
      </c>
      <c r="G515" s="3920"/>
      <c r="H515" s="3921"/>
      <c r="I515" s="2224" t="str">
        <f t="shared" si="66"/>
        <v>350751_2021_12_</v>
      </c>
      <c r="J515" s="1840"/>
      <c r="K515" s="112"/>
      <c r="L515" s="2297"/>
      <c r="M515" s="103"/>
      <c r="N515" s="1287"/>
      <c r="O515" s="103"/>
      <c r="P515" s="106"/>
      <c r="Q515" s="106"/>
      <c r="R515" s="106"/>
      <c r="S515" s="106"/>
      <c r="T515" s="106"/>
      <c r="U515" s="106"/>
      <c r="V515" s="4022"/>
      <c r="W515" s="2224"/>
      <c r="X515" s="2224"/>
      <c r="Y515" s="2224"/>
      <c r="Z515" s="2224"/>
      <c r="AA515" s="2224"/>
      <c r="AB515" s="2887"/>
      <c r="AC515" s="1840"/>
      <c r="AD515" s="1840"/>
      <c r="AE515" s="2224"/>
      <c r="AF515" s="2224"/>
      <c r="AG515" s="2224"/>
      <c r="AH515" s="156"/>
      <c r="AI515" s="156"/>
      <c r="AJ515" s="156"/>
      <c r="AK515" s="156"/>
      <c r="AL515" s="156"/>
      <c r="AM515" s="156"/>
      <c r="AN515" s="156"/>
      <c r="AO515" s="156"/>
      <c r="AP515" s="156"/>
      <c r="AQ515" s="156"/>
      <c r="AR515" s="156"/>
      <c r="AS515" s="156"/>
      <c r="AT515" s="156"/>
      <c r="AU515" s="156"/>
      <c r="AV515" s="156"/>
      <c r="AW515" s="156"/>
      <c r="AX515" s="156"/>
      <c r="AY515" s="156"/>
      <c r="AZ515" s="156"/>
      <c r="BA515" s="156"/>
      <c r="BB515" s="2828"/>
      <c r="BC515" s="504"/>
      <c r="BD515" s="2829"/>
      <c r="BE515" s="2837"/>
      <c r="BF515" s="156"/>
    </row>
    <row r="516" spans="1:58" hidden="1" outlineLevel="1" x14ac:dyDescent="0.35">
      <c r="A516" s="1071"/>
      <c r="B516" s="106"/>
      <c r="C516" s="103"/>
      <c r="D516" s="4022"/>
      <c r="E516" s="4111"/>
      <c r="F516" s="3919" t="str">
        <f t="shared" si="65"/>
        <v>CAC-SEER16_ER1_SF</v>
      </c>
      <c r="G516" s="3920"/>
      <c r="H516" s="3921"/>
      <c r="I516" s="2224" t="str">
        <f t="shared" si="66"/>
        <v>350800_2021_12_</v>
      </c>
      <c r="J516" s="2730">
        <v>7.4712867392476277</v>
      </c>
      <c r="K516" s="112"/>
      <c r="L516" s="4164" t="s">
        <v>4360</v>
      </c>
      <c r="M516" s="103"/>
      <c r="N516" s="1287"/>
      <c r="O516" s="103"/>
      <c r="P516" s="106"/>
      <c r="Q516" s="106"/>
      <c r="R516" s="106"/>
      <c r="S516" s="106"/>
      <c r="T516" s="106"/>
      <c r="U516" s="106"/>
      <c r="V516" s="4022"/>
      <c r="W516" s="2224">
        <v>8.1999999999999993</v>
      </c>
      <c r="X516" s="2374">
        <v>8.33</v>
      </c>
      <c r="Y516" s="2224">
        <v>8.33</v>
      </c>
      <c r="Z516" s="2224">
        <v>8.33</v>
      </c>
      <c r="AA516" s="2224">
        <v>8.33</v>
      </c>
      <c r="AB516" s="1797">
        <v>7.508722873173407</v>
      </c>
      <c r="AC516" s="1797">
        <v>8.2475141229575382</v>
      </c>
      <c r="AD516" s="2730">
        <v>7.4712867392476277</v>
      </c>
      <c r="AE516" s="2224"/>
      <c r="AF516" s="2224"/>
      <c r="AG516" s="2224"/>
      <c r="AH516" s="156"/>
      <c r="AI516" s="156"/>
      <c r="AJ516" s="156"/>
      <c r="AK516" s="156"/>
      <c r="AL516" s="156"/>
      <c r="AM516" s="156"/>
      <c r="AN516" s="156"/>
      <c r="AO516" s="156"/>
      <c r="AP516" s="156"/>
      <c r="AQ516" s="156"/>
      <c r="AR516" s="156"/>
      <c r="AS516" s="156"/>
      <c r="AT516" s="156"/>
      <c r="AU516" s="156"/>
      <c r="AV516" s="156"/>
      <c r="AW516" s="156"/>
      <c r="AX516" s="156"/>
      <c r="AY516" s="156"/>
      <c r="AZ516" s="156"/>
      <c r="BA516" s="156"/>
      <c r="BB516" s="2828"/>
      <c r="BC516" s="504"/>
      <c r="BD516" s="2829"/>
      <c r="BE516" s="2837"/>
      <c r="BF516" s="156"/>
    </row>
    <row r="517" spans="1:58" hidden="1" outlineLevel="1" x14ac:dyDescent="0.35">
      <c r="A517" s="1071"/>
      <c r="B517" s="106"/>
      <c r="C517" s="103"/>
      <c r="D517" s="4022"/>
      <c r="E517" s="4111"/>
      <c r="F517" s="3919" t="str">
        <f t="shared" si="65"/>
        <v>CAC-SEER16_ER2_SF</v>
      </c>
      <c r="G517" s="3920"/>
      <c r="H517" s="3921"/>
      <c r="I517" s="2224" t="str">
        <f t="shared" si="66"/>
        <v>350800_2021_12_</v>
      </c>
      <c r="J517" s="1840"/>
      <c r="K517" s="112"/>
      <c r="L517" s="4165"/>
      <c r="M517" s="103"/>
      <c r="N517" s="1287"/>
      <c r="O517" s="103"/>
      <c r="P517" s="106"/>
      <c r="Q517" s="106"/>
      <c r="R517" s="106"/>
      <c r="S517" s="106"/>
      <c r="T517" s="106"/>
      <c r="U517" s="106"/>
      <c r="V517" s="4022"/>
      <c r="W517" s="2224"/>
      <c r="X517" s="2224"/>
      <c r="Y517" s="2224"/>
      <c r="Z517" s="2224"/>
      <c r="AA517" s="2224"/>
      <c r="AB517" s="2887"/>
      <c r="AC517" s="1840"/>
      <c r="AD517" s="1840"/>
      <c r="AE517" s="2224"/>
      <c r="AF517" s="2224"/>
      <c r="AG517" s="2224"/>
      <c r="AH517" s="156"/>
      <c r="AI517" s="156"/>
      <c r="AJ517" s="156"/>
      <c r="AK517" s="156"/>
      <c r="AL517" s="156"/>
      <c r="AM517" s="156"/>
      <c r="AN517" s="156"/>
      <c r="AO517" s="156"/>
      <c r="AP517" s="156"/>
      <c r="AQ517" s="156"/>
      <c r="AR517" s="156"/>
      <c r="AS517" s="156"/>
      <c r="AT517" s="156"/>
      <c r="AU517" s="156"/>
      <c r="AV517" s="156"/>
      <c r="AW517" s="156"/>
      <c r="AX517" s="156"/>
      <c r="AY517" s="156"/>
      <c r="AZ517" s="156"/>
      <c r="BA517" s="156"/>
      <c r="BB517" s="2828"/>
      <c r="BC517" s="504"/>
      <c r="BD517" s="2829"/>
      <c r="BE517" s="2837"/>
      <c r="BF517" s="156"/>
    </row>
    <row r="518" spans="1:58" hidden="1" outlineLevel="1" x14ac:dyDescent="0.35">
      <c r="A518" s="1071"/>
      <c r="B518" s="106"/>
      <c r="C518" s="103"/>
      <c r="D518" s="4022"/>
      <c r="E518" s="4111"/>
      <c r="F518" s="3919" t="str">
        <f t="shared" si="65"/>
        <v>CAC-SEER16_ROF_SF</v>
      </c>
      <c r="G518" s="3920"/>
      <c r="H518" s="3921"/>
      <c r="I518" s="2224" t="str">
        <f t="shared" si="66"/>
        <v>350850_2021_12_</v>
      </c>
      <c r="J518" s="1840"/>
      <c r="K518" s="112"/>
      <c r="L518" s="2297"/>
      <c r="M518" s="103"/>
      <c r="N518" s="1287"/>
      <c r="O518" s="103"/>
      <c r="P518" s="106"/>
      <c r="Q518" s="106"/>
      <c r="R518" s="106"/>
      <c r="S518" s="106"/>
      <c r="T518" s="106"/>
      <c r="U518" s="106"/>
      <c r="V518" s="4022"/>
      <c r="W518" s="2224"/>
      <c r="X518" s="2224"/>
      <c r="Y518" s="2224"/>
      <c r="Z518" s="2224"/>
      <c r="AA518" s="2224"/>
      <c r="AB518" s="2887"/>
      <c r="AC518" s="1840"/>
      <c r="AD518" s="1840"/>
      <c r="AE518" s="2224"/>
      <c r="AF518" s="2224"/>
      <c r="AG518" s="2224"/>
      <c r="AH518" s="156"/>
      <c r="AI518" s="156"/>
      <c r="AJ518" s="156"/>
      <c r="AK518" s="156"/>
      <c r="AL518" s="156"/>
      <c r="AM518" s="156"/>
      <c r="AN518" s="156"/>
      <c r="AO518" s="156"/>
      <c r="AP518" s="156"/>
      <c r="AQ518" s="156"/>
      <c r="AR518" s="156"/>
      <c r="AS518" s="156"/>
      <c r="AT518" s="156"/>
      <c r="AU518" s="156"/>
      <c r="AV518" s="156"/>
      <c r="AW518" s="156"/>
      <c r="AX518" s="156"/>
      <c r="AY518" s="156"/>
      <c r="AZ518" s="156"/>
      <c r="BA518" s="156"/>
      <c r="BB518" s="2828"/>
      <c r="BC518" s="504"/>
      <c r="BD518" s="2829"/>
      <c r="BE518" s="2837"/>
      <c r="BF518" s="156"/>
    </row>
    <row r="519" spans="1:58" hidden="1" outlineLevel="1" x14ac:dyDescent="0.35">
      <c r="A519" s="1071"/>
      <c r="B519" s="106"/>
      <c r="C519" s="103"/>
      <c r="D519" s="4022"/>
      <c r="E519" s="4111"/>
      <c r="F519" s="3919" t="str">
        <f t="shared" si="65"/>
        <v>CAC-SEER16_ER1_MF</v>
      </c>
      <c r="G519" s="3920"/>
      <c r="H519" s="3921"/>
      <c r="I519" s="2224" t="str">
        <f t="shared" si="66"/>
        <v>350900_2021_12_</v>
      </c>
      <c r="J519" s="2730">
        <v>7.6056879052271524</v>
      </c>
      <c r="K519" s="112"/>
      <c r="L519" s="4164" t="s">
        <v>4360</v>
      </c>
      <c r="M519" s="103"/>
      <c r="N519" s="1287"/>
      <c r="O519" s="103"/>
      <c r="P519" s="106"/>
      <c r="Q519" s="106"/>
      <c r="R519" s="106"/>
      <c r="S519" s="106"/>
      <c r="T519" s="106"/>
      <c r="U519" s="106"/>
      <c r="V519" s="4022"/>
      <c r="W519" s="2224">
        <v>8.1999999999999993</v>
      </c>
      <c r="X519" s="2374">
        <v>8.33</v>
      </c>
      <c r="Y519" s="2224">
        <v>8.33</v>
      </c>
      <c r="Z519" s="2224">
        <v>8.33</v>
      </c>
      <c r="AA519" s="2224">
        <v>8.33</v>
      </c>
      <c r="AB519" s="1797">
        <v>7.983392742151227</v>
      </c>
      <c r="AC519" s="1797">
        <v>8.3039211249486229</v>
      </c>
      <c r="AD519" s="2730">
        <v>7.6056879052271524</v>
      </c>
      <c r="AE519" s="2224"/>
      <c r="AF519" s="2224"/>
      <c r="AG519" s="2224"/>
      <c r="AH519" s="156"/>
      <c r="AI519" s="156"/>
      <c r="AJ519" s="156"/>
      <c r="AK519" s="156"/>
      <c r="AL519" s="156"/>
      <c r="AM519" s="156"/>
      <c r="AN519" s="156"/>
      <c r="AO519" s="156"/>
      <c r="AP519" s="156"/>
      <c r="AQ519" s="156"/>
      <c r="AR519" s="156"/>
      <c r="AS519" s="156"/>
      <c r="AT519" s="156"/>
      <c r="AU519" s="156"/>
      <c r="AV519" s="156"/>
      <c r="AW519" s="156"/>
      <c r="AX519" s="156"/>
      <c r="AY519" s="156"/>
      <c r="AZ519" s="156"/>
      <c r="BA519" s="156"/>
      <c r="BB519" s="2828"/>
      <c r="BC519" s="504"/>
      <c r="BD519" s="2829"/>
      <c r="BE519" s="2837"/>
      <c r="BF519" s="156"/>
    </row>
    <row r="520" spans="1:58" hidden="1" outlineLevel="1" x14ac:dyDescent="0.35">
      <c r="A520" s="1071"/>
      <c r="B520" s="106"/>
      <c r="C520" s="103"/>
      <c r="D520" s="4022"/>
      <c r="E520" s="4111"/>
      <c r="F520" s="3919" t="str">
        <f t="shared" si="65"/>
        <v>CAC-SEER16_ER2_MF</v>
      </c>
      <c r="G520" s="3920"/>
      <c r="H520" s="3921"/>
      <c r="I520" s="2224" t="str">
        <f t="shared" si="66"/>
        <v>350900_2021_12_</v>
      </c>
      <c r="J520" s="1840"/>
      <c r="K520" s="112"/>
      <c r="L520" s="4165"/>
      <c r="M520" s="103"/>
      <c r="N520" s="1287"/>
      <c r="O520" s="103"/>
      <c r="P520" s="106"/>
      <c r="Q520" s="106"/>
      <c r="R520" s="106"/>
      <c r="S520" s="106"/>
      <c r="T520" s="106"/>
      <c r="U520" s="106"/>
      <c r="V520" s="4022"/>
      <c r="W520" s="2224"/>
      <c r="X520" s="2224"/>
      <c r="Y520" s="2224"/>
      <c r="Z520" s="2224"/>
      <c r="AA520" s="2224"/>
      <c r="AB520" s="2887"/>
      <c r="AC520" s="1840"/>
      <c r="AD520" s="1840"/>
      <c r="AE520" s="2224"/>
      <c r="AF520" s="2224"/>
      <c r="AG520" s="2224"/>
      <c r="AH520" s="156"/>
      <c r="AI520" s="156"/>
      <c r="AJ520" s="156"/>
      <c r="AK520" s="156"/>
      <c r="AL520" s="156"/>
      <c r="AM520" s="156"/>
      <c r="AN520" s="156"/>
      <c r="AO520" s="156"/>
      <c r="AP520" s="156"/>
      <c r="AQ520" s="156"/>
      <c r="AR520" s="156"/>
      <c r="AS520" s="156"/>
      <c r="AT520" s="156"/>
      <c r="AU520" s="156"/>
      <c r="AV520" s="156"/>
      <c r="AW520" s="156"/>
      <c r="AX520" s="156"/>
      <c r="AY520" s="156"/>
      <c r="AZ520" s="156"/>
      <c r="BA520" s="156"/>
      <c r="BB520" s="2828"/>
      <c r="BC520" s="504"/>
      <c r="BD520" s="2829"/>
      <c r="BE520" s="2837"/>
      <c r="BF520" s="156"/>
    </row>
    <row r="521" spans="1:58" hidden="1" outlineLevel="1" x14ac:dyDescent="0.35">
      <c r="A521" s="1071"/>
      <c r="B521" s="106"/>
      <c r="C521" s="103"/>
      <c r="D521" s="4022"/>
      <c r="E521" s="4111"/>
      <c r="F521" s="3919" t="str">
        <f t="shared" si="65"/>
        <v>CAC-SEER16_ER1_MF_CompE</v>
      </c>
      <c r="G521" s="3920"/>
      <c r="H521" s="3921"/>
      <c r="I521" s="2224" t="str">
        <f t="shared" si="66"/>
        <v>350901_2021_12_</v>
      </c>
      <c r="J521" s="1797">
        <f>J519</f>
        <v>7.6056879052271524</v>
      </c>
      <c r="K521" s="112"/>
      <c r="L521" s="2748" t="s">
        <v>973</v>
      </c>
      <c r="M521" s="103"/>
      <c r="N521" s="1287"/>
      <c r="O521" s="103"/>
      <c r="P521" s="106"/>
      <c r="Q521" s="106"/>
      <c r="R521" s="106"/>
      <c r="S521" s="106"/>
      <c r="T521" s="106"/>
      <c r="U521" s="106"/>
      <c r="V521" s="4022"/>
      <c r="W521" s="2224"/>
      <c r="X521" s="2224"/>
      <c r="Y521" s="2224">
        <v>8.33</v>
      </c>
      <c r="Z521" s="2224">
        <v>8.33</v>
      </c>
      <c r="AA521" s="2224">
        <v>8.33</v>
      </c>
      <c r="AB521" s="1797">
        <v>7.983392742151227</v>
      </c>
      <c r="AC521" s="1797">
        <v>8.3039211249486229</v>
      </c>
      <c r="AD521" s="1797">
        <f>AD519</f>
        <v>7.6056879052271524</v>
      </c>
      <c r="AE521" s="2224"/>
      <c r="AF521" s="2224"/>
      <c r="AG521" s="2224"/>
      <c r="AH521" s="156"/>
      <c r="AI521" s="156"/>
      <c r="AJ521" s="156"/>
      <c r="AK521" s="156"/>
      <c r="AL521" s="156"/>
      <c r="AM521" s="156"/>
      <c r="AN521" s="156"/>
      <c r="AO521" s="156"/>
      <c r="AP521" s="156"/>
      <c r="AQ521" s="156"/>
      <c r="AR521" s="156"/>
      <c r="AS521" s="156"/>
      <c r="AT521" s="156"/>
      <c r="AU521" s="156"/>
      <c r="AV521" s="156"/>
      <c r="AW521" s="156"/>
      <c r="AX521" s="156"/>
      <c r="AY521" s="156"/>
      <c r="AZ521" s="156"/>
      <c r="BA521" s="156"/>
      <c r="BB521" s="2828"/>
      <c r="BC521" s="504"/>
      <c r="BD521" s="2829"/>
      <c r="BE521" s="2837"/>
      <c r="BF521" s="156"/>
    </row>
    <row r="522" spans="1:58" hidden="1" outlineLevel="1" x14ac:dyDescent="0.35">
      <c r="A522" s="1071"/>
      <c r="B522" s="106"/>
      <c r="C522" s="103"/>
      <c r="D522" s="4022"/>
      <c r="E522" s="4111"/>
      <c r="F522" s="3919" t="str">
        <f t="shared" si="65"/>
        <v>CAC-SEER16_ER2_MF_CompE</v>
      </c>
      <c r="G522" s="3920"/>
      <c r="H522" s="3921"/>
      <c r="I522" s="2224" t="str">
        <f t="shared" si="66"/>
        <v>350901_2021_12_</v>
      </c>
      <c r="J522" s="1840"/>
      <c r="K522" s="112"/>
      <c r="L522" s="2297"/>
      <c r="M522" s="103"/>
      <c r="N522" s="1287"/>
      <c r="O522" s="103"/>
      <c r="P522" s="106"/>
      <c r="Q522" s="106"/>
      <c r="R522" s="106"/>
      <c r="S522" s="106"/>
      <c r="T522" s="106"/>
      <c r="U522" s="106"/>
      <c r="V522" s="4022"/>
      <c r="W522" s="2224"/>
      <c r="X522" s="2224"/>
      <c r="Y522" s="2224"/>
      <c r="Z522" s="2224"/>
      <c r="AA522" s="2224"/>
      <c r="AB522" s="2887"/>
      <c r="AC522" s="1840"/>
      <c r="AD522" s="1840"/>
      <c r="AE522" s="2224"/>
      <c r="AF522" s="2224"/>
      <c r="AG522" s="2224"/>
      <c r="AH522" s="156"/>
      <c r="AI522" s="156"/>
      <c r="AJ522" s="156"/>
      <c r="AK522" s="156"/>
      <c r="AL522" s="156"/>
      <c r="AM522" s="156"/>
      <c r="AN522" s="156"/>
      <c r="AO522" s="156"/>
      <c r="AP522" s="156"/>
      <c r="AQ522" s="156"/>
      <c r="AR522" s="156"/>
      <c r="AS522" s="156"/>
      <c r="AT522" s="156"/>
      <c r="AU522" s="156"/>
      <c r="AV522" s="156"/>
      <c r="AW522" s="156"/>
      <c r="AX522" s="156"/>
      <c r="AY522" s="156"/>
      <c r="AZ522" s="156"/>
      <c r="BA522" s="156"/>
      <c r="BB522" s="2828"/>
      <c r="BC522" s="504"/>
      <c r="BD522" s="2829"/>
      <c r="BE522" s="2837"/>
      <c r="BF522" s="156"/>
    </row>
    <row r="523" spans="1:58" hidden="1" outlineLevel="1" x14ac:dyDescent="0.35">
      <c r="A523" s="1071"/>
      <c r="B523" s="106"/>
      <c r="C523" s="103"/>
      <c r="D523" s="4022"/>
      <c r="E523" s="4111"/>
      <c r="F523" s="3919" t="str">
        <f t="shared" si="65"/>
        <v>CAC-SEER16_ROF_MF</v>
      </c>
      <c r="G523" s="3920"/>
      <c r="H523" s="3921"/>
      <c r="I523" s="2224" t="str">
        <f t="shared" si="66"/>
        <v>350950_2021_12_</v>
      </c>
      <c r="J523" s="1840"/>
      <c r="K523" s="112"/>
      <c r="L523" s="2297"/>
      <c r="M523" s="103"/>
      <c r="N523" s="1287"/>
      <c r="O523" s="103"/>
      <c r="P523" s="106"/>
      <c r="Q523" s="106"/>
      <c r="R523" s="106"/>
      <c r="S523" s="106"/>
      <c r="T523" s="106"/>
      <c r="U523" s="106"/>
      <c r="V523" s="4022"/>
      <c r="W523" s="2224"/>
      <c r="X523" s="2224"/>
      <c r="Y523" s="2224"/>
      <c r="Z523" s="2224"/>
      <c r="AA523" s="2224"/>
      <c r="AB523" s="2887"/>
      <c r="AC523" s="1840"/>
      <c r="AD523" s="1840"/>
      <c r="AE523" s="2224"/>
      <c r="AF523" s="2224"/>
      <c r="AG523" s="2224"/>
      <c r="AH523" s="156"/>
      <c r="AI523" s="156"/>
      <c r="AJ523" s="156"/>
      <c r="AK523" s="156"/>
      <c r="AL523" s="156"/>
      <c r="AM523" s="156"/>
      <c r="AN523" s="156"/>
      <c r="AO523" s="156"/>
      <c r="AP523" s="156"/>
      <c r="AQ523" s="156"/>
      <c r="AR523" s="156"/>
      <c r="AS523" s="156"/>
      <c r="AT523" s="156"/>
      <c r="AU523" s="156"/>
      <c r="AV523" s="156"/>
      <c r="AW523" s="156"/>
      <c r="AX523" s="156"/>
      <c r="AY523" s="156"/>
      <c r="AZ523" s="156"/>
      <c r="BA523" s="156"/>
      <c r="BB523" s="2828"/>
      <c r="BC523" s="504"/>
      <c r="BD523" s="2829"/>
      <c r="BE523" s="2837"/>
      <c r="BF523" s="156"/>
    </row>
    <row r="524" spans="1:58" hidden="1" outlineLevel="1" x14ac:dyDescent="0.35">
      <c r="A524" s="1071"/>
      <c r="B524" s="106"/>
      <c r="C524" s="103"/>
      <c r="D524" s="4022"/>
      <c r="E524" s="4111"/>
      <c r="F524" s="3919" t="str">
        <f t="shared" si="65"/>
        <v>CAC-SEER16_ROF_MF_CompE</v>
      </c>
      <c r="G524" s="3920"/>
      <c r="H524" s="3921"/>
      <c r="I524" s="2224" t="str">
        <f t="shared" si="66"/>
        <v>350951_2021_12_</v>
      </c>
      <c r="J524" s="1840"/>
      <c r="K524" s="112"/>
      <c r="L524" s="2297"/>
      <c r="M524" s="103"/>
      <c r="N524" s="1287"/>
      <c r="O524" s="103"/>
      <c r="P524" s="106"/>
      <c r="Q524" s="106"/>
      <c r="R524" s="106"/>
      <c r="S524" s="106"/>
      <c r="T524" s="106"/>
      <c r="U524" s="106"/>
      <c r="V524" s="4022"/>
      <c r="W524" s="2224"/>
      <c r="X524" s="2224"/>
      <c r="Y524" s="2224"/>
      <c r="Z524" s="2224"/>
      <c r="AA524" s="2224"/>
      <c r="AB524" s="2887"/>
      <c r="AC524" s="1840"/>
      <c r="AD524" s="1840"/>
      <c r="AE524" s="2224"/>
      <c r="AF524" s="2224"/>
      <c r="AG524" s="2224"/>
      <c r="AH524" s="156"/>
      <c r="AI524" s="156"/>
      <c r="AJ524" s="156"/>
      <c r="AK524" s="156"/>
      <c r="AL524" s="156"/>
      <c r="AM524" s="156"/>
      <c r="AN524" s="156"/>
      <c r="AO524" s="156"/>
      <c r="AP524" s="156"/>
      <c r="AQ524" s="156"/>
      <c r="AR524" s="156"/>
      <c r="AS524" s="156"/>
      <c r="AT524" s="156"/>
      <c r="AU524" s="156"/>
      <c r="AV524" s="156"/>
      <c r="AW524" s="156"/>
      <c r="AX524" s="156"/>
      <c r="AY524" s="156"/>
      <c r="AZ524" s="156"/>
      <c r="BA524" s="156"/>
      <c r="BB524" s="2828"/>
      <c r="BC524" s="504"/>
      <c r="BD524" s="2829"/>
      <c r="BE524" s="2837"/>
      <c r="BF524" s="156"/>
    </row>
    <row r="525" spans="1:58" hidden="1" outlineLevel="1" x14ac:dyDescent="0.35">
      <c r="A525" s="1071"/>
      <c r="B525" s="106"/>
      <c r="C525" s="103"/>
      <c r="D525" s="4022"/>
      <c r="E525" s="4111"/>
      <c r="F525" s="3919" t="str">
        <f t="shared" si="65"/>
        <v>CAC-SEER17_ER1_SF</v>
      </c>
      <c r="G525" s="3920"/>
      <c r="H525" s="3921"/>
      <c r="I525" s="2224" t="str">
        <f t="shared" si="66"/>
        <v>351000_2021_12_</v>
      </c>
      <c r="J525" s="2730">
        <v>7.5336948652838496</v>
      </c>
      <c r="K525" s="112"/>
      <c r="L525" s="4164" t="s">
        <v>4360</v>
      </c>
      <c r="M525" s="103"/>
      <c r="N525" s="1287"/>
      <c r="O525" s="103"/>
      <c r="P525" s="106"/>
      <c r="Q525" s="106"/>
      <c r="R525" s="106"/>
      <c r="S525" s="106"/>
      <c r="T525" s="106"/>
      <c r="U525" s="106"/>
      <c r="V525" s="4022"/>
      <c r="W525" s="2224">
        <v>8.1999999999999993</v>
      </c>
      <c r="X525" s="2374">
        <v>8.33</v>
      </c>
      <c r="Y525" s="2224">
        <v>8.33</v>
      </c>
      <c r="Z525" s="2224">
        <v>8.33</v>
      </c>
      <c r="AA525" s="2224">
        <v>8.33</v>
      </c>
      <c r="AB525" s="1797">
        <v>7.5482963446217566</v>
      </c>
      <c r="AC525" s="1797">
        <v>8.3071815083938851</v>
      </c>
      <c r="AD525" s="2730">
        <v>7.5336948652838496</v>
      </c>
      <c r="AE525" s="2224"/>
      <c r="AF525" s="2224"/>
      <c r="AG525" s="2224"/>
      <c r="AH525" s="156"/>
      <c r="AI525" s="156"/>
      <c r="AJ525" s="156"/>
      <c r="AK525" s="156"/>
      <c r="AL525" s="156"/>
      <c r="AM525" s="156"/>
      <c r="AN525" s="156"/>
      <c r="AO525" s="156"/>
      <c r="AP525" s="156"/>
      <c r="AQ525" s="156"/>
      <c r="AR525" s="156"/>
      <c r="AS525" s="156"/>
      <c r="AT525" s="156"/>
      <c r="AU525" s="156"/>
      <c r="AV525" s="156"/>
      <c r="AW525" s="156"/>
      <c r="AX525" s="156"/>
      <c r="AY525" s="156"/>
      <c r="AZ525" s="156"/>
      <c r="BA525" s="156"/>
      <c r="BB525" s="2828"/>
      <c r="BC525" s="504"/>
      <c r="BD525" s="2829"/>
      <c r="BE525" s="2837"/>
      <c r="BF525" s="156"/>
    </row>
    <row r="526" spans="1:58" ht="14.5" hidden="1" customHeight="1" outlineLevel="1" x14ac:dyDescent="0.35">
      <c r="A526" s="1071"/>
      <c r="B526" s="106"/>
      <c r="C526" s="103"/>
      <c r="D526" s="4022"/>
      <c r="E526" s="4111"/>
      <c r="F526" s="3919" t="str">
        <f t="shared" si="65"/>
        <v>CAC-SEER17_ER2_SF</v>
      </c>
      <c r="G526" s="3920"/>
      <c r="H526" s="3921"/>
      <c r="I526" s="2224" t="str">
        <f t="shared" si="66"/>
        <v>351000_2021_12_</v>
      </c>
      <c r="J526" s="1840"/>
      <c r="K526" s="112"/>
      <c r="L526" s="4165"/>
      <c r="M526" s="103"/>
      <c r="N526" s="1287"/>
      <c r="O526" s="103"/>
      <c r="P526" s="106"/>
      <c r="Q526" s="106"/>
      <c r="R526" s="106"/>
      <c r="S526" s="106"/>
      <c r="T526" s="106"/>
      <c r="U526" s="106"/>
      <c r="V526" s="4022"/>
      <c r="W526" s="2224"/>
      <c r="X526" s="2224"/>
      <c r="Y526" s="2224"/>
      <c r="Z526" s="2224"/>
      <c r="AA526" s="2224"/>
      <c r="AB526" s="2887"/>
      <c r="AC526" s="1840"/>
      <c r="AD526" s="1840"/>
      <c r="AE526" s="2224"/>
      <c r="AF526" s="2224"/>
      <c r="AG526" s="2224"/>
      <c r="AH526" s="156"/>
      <c r="AI526" s="156"/>
      <c r="AJ526" s="156"/>
      <c r="AK526" s="156"/>
      <c r="AL526" s="156"/>
      <c r="AM526" s="156"/>
      <c r="AN526" s="156"/>
      <c r="AO526" s="156"/>
      <c r="AP526" s="156"/>
      <c r="AQ526" s="156"/>
      <c r="AR526" s="156"/>
      <c r="AS526" s="156"/>
      <c r="AT526" s="156"/>
      <c r="AU526" s="156"/>
      <c r="AV526" s="156"/>
      <c r="AW526" s="156"/>
      <c r="AX526" s="156"/>
      <c r="AY526" s="156"/>
      <c r="AZ526" s="156"/>
      <c r="BA526" s="156"/>
      <c r="BB526" s="2828"/>
      <c r="BC526" s="504"/>
      <c r="BD526" s="2829"/>
      <c r="BE526" s="2837"/>
      <c r="BF526" s="156"/>
    </row>
    <row r="527" spans="1:58" ht="14.5" hidden="1" customHeight="1" outlineLevel="1" x14ac:dyDescent="0.35">
      <c r="A527" s="1071"/>
      <c r="B527" s="106"/>
      <c r="C527" s="103"/>
      <c r="D527" s="4022"/>
      <c r="E527" s="4111"/>
      <c r="F527" s="3919" t="str">
        <f t="shared" si="65"/>
        <v>CAC-SEER17_ROF_SF</v>
      </c>
      <c r="G527" s="3920"/>
      <c r="H527" s="3921"/>
      <c r="I527" s="2224" t="str">
        <f t="shared" si="66"/>
        <v>351050_2021_12_</v>
      </c>
      <c r="J527" s="1840"/>
      <c r="K527" s="112"/>
      <c r="L527" s="2297"/>
      <c r="M527" s="103"/>
      <c r="N527" s="1287"/>
      <c r="O527" s="103"/>
      <c r="P527" s="106"/>
      <c r="Q527" s="106"/>
      <c r="R527" s="106"/>
      <c r="S527" s="106"/>
      <c r="T527" s="106"/>
      <c r="U527" s="106"/>
      <c r="V527" s="4022"/>
      <c r="W527" s="2224"/>
      <c r="X527" s="2224"/>
      <c r="Y527" s="2224"/>
      <c r="Z527" s="2224"/>
      <c r="AA527" s="2224"/>
      <c r="AB527" s="2887"/>
      <c r="AC527" s="1840"/>
      <c r="AD527" s="1840"/>
      <c r="AE527" s="2224"/>
      <c r="AF527" s="2224"/>
      <c r="AG527" s="2224"/>
      <c r="AH527" s="156"/>
      <c r="AI527" s="156"/>
      <c r="AJ527" s="156"/>
      <c r="AK527" s="156"/>
      <c r="AL527" s="156"/>
      <c r="AM527" s="156"/>
      <c r="AN527" s="156"/>
      <c r="AO527" s="156"/>
      <c r="AP527" s="156"/>
      <c r="AQ527" s="156"/>
      <c r="AR527" s="156"/>
      <c r="AS527" s="156"/>
      <c r="AT527" s="156"/>
      <c r="AU527" s="156"/>
      <c r="AV527" s="156"/>
      <c r="AW527" s="156"/>
      <c r="AX527" s="156"/>
      <c r="AY527" s="156"/>
      <c r="AZ527" s="156"/>
      <c r="BA527" s="156"/>
      <c r="BB527" s="2828"/>
      <c r="BC527" s="504"/>
      <c r="BD527" s="2829"/>
      <c r="BE527" s="2837"/>
      <c r="BF527" s="156"/>
    </row>
    <row r="528" spans="1:58" ht="14.5" hidden="1" customHeight="1" outlineLevel="1" x14ac:dyDescent="0.35">
      <c r="A528" s="1071"/>
      <c r="B528" s="106"/>
      <c r="C528" s="103"/>
      <c r="D528" s="4022"/>
      <c r="E528" s="4111"/>
      <c r="F528" s="3919" t="str">
        <f t="shared" si="65"/>
        <v>CAC-SEER17_ER1_MF</v>
      </c>
      <c r="G528" s="3920"/>
      <c r="H528" s="3921"/>
      <c r="I528" s="2224" t="str">
        <f t="shared" si="66"/>
        <v>351100_2021_12_</v>
      </c>
      <c r="J528" s="2730">
        <v>7.4022825442469706</v>
      </c>
      <c r="K528" s="112"/>
      <c r="L528" s="4164" t="s">
        <v>4360</v>
      </c>
      <c r="M528" s="103"/>
      <c r="N528" s="1287"/>
      <c r="O528" s="103"/>
      <c r="P528" s="106"/>
      <c r="Q528" s="106"/>
      <c r="R528" s="106"/>
      <c r="S528" s="106"/>
      <c r="T528" s="106"/>
      <c r="U528" s="106"/>
      <c r="V528" s="4022"/>
      <c r="W528" s="2224">
        <v>8.1999999999999993</v>
      </c>
      <c r="X528" s="2374">
        <v>8.33</v>
      </c>
      <c r="Y528" s="2224">
        <v>8.33</v>
      </c>
      <c r="Z528" s="2224">
        <v>8.33</v>
      </c>
      <c r="AA528" s="2224">
        <v>8.33</v>
      </c>
      <c r="AB528" s="1797">
        <v>6.9280914499938051</v>
      </c>
      <c r="AC528" s="1797">
        <v>8.4427503572736704</v>
      </c>
      <c r="AD528" s="2730">
        <v>7.4022825442469706</v>
      </c>
      <c r="AE528" s="2224"/>
      <c r="AF528" s="2224"/>
      <c r="AG528" s="2224"/>
      <c r="AH528" s="156"/>
      <c r="AI528" s="156"/>
      <c r="AJ528" s="156"/>
      <c r="AK528" s="156"/>
      <c r="AL528" s="156"/>
      <c r="AM528" s="156"/>
      <c r="AN528" s="156"/>
      <c r="AO528" s="156"/>
      <c r="AP528" s="156"/>
      <c r="AQ528" s="156"/>
      <c r="AR528" s="156"/>
      <c r="AS528" s="156"/>
      <c r="AT528" s="156"/>
      <c r="AU528" s="156"/>
      <c r="AV528" s="156"/>
      <c r="AW528" s="156"/>
      <c r="AX528" s="156"/>
      <c r="AY528" s="156"/>
      <c r="AZ528" s="156"/>
      <c r="BA528" s="156"/>
      <c r="BB528" s="2828"/>
      <c r="BC528" s="504"/>
      <c r="BD528" s="2829"/>
      <c r="BE528" s="2837"/>
      <c r="BF528" s="156"/>
    </row>
    <row r="529" spans="1:58" ht="14.5" hidden="1" customHeight="1" outlineLevel="1" x14ac:dyDescent="0.35">
      <c r="A529" s="1071"/>
      <c r="B529" s="106"/>
      <c r="C529" s="103"/>
      <c r="D529" s="4022"/>
      <c r="E529" s="4111"/>
      <c r="F529" s="3919" t="str">
        <f t="shared" si="65"/>
        <v>CAC-SEER17_ER2_MF</v>
      </c>
      <c r="G529" s="3920"/>
      <c r="H529" s="3921"/>
      <c r="I529" s="2224" t="str">
        <f t="shared" si="66"/>
        <v>351100_2021_12_</v>
      </c>
      <c r="J529" s="1840"/>
      <c r="K529" s="112"/>
      <c r="L529" s="4165"/>
      <c r="M529" s="103"/>
      <c r="N529" s="1287"/>
      <c r="O529" s="103"/>
      <c r="P529" s="106"/>
      <c r="Q529" s="106"/>
      <c r="R529" s="106"/>
      <c r="S529" s="106"/>
      <c r="T529" s="106"/>
      <c r="U529" s="106"/>
      <c r="V529" s="4022"/>
      <c r="W529" s="2224"/>
      <c r="X529" s="2224"/>
      <c r="Y529" s="2224"/>
      <c r="Z529" s="2224"/>
      <c r="AA529" s="2224"/>
      <c r="AB529" s="2887"/>
      <c r="AC529" s="1840"/>
      <c r="AD529" s="1840"/>
      <c r="AE529" s="2224"/>
      <c r="AF529" s="2224"/>
      <c r="AG529" s="2224"/>
      <c r="AH529" s="156"/>
      <c r="AI529" s="156"/>
      <c r="AJ529" s="156"/>
      <c r="AK529" s="156"/>
      <c r="AL529" s="156"/>
      <c r="AM529" s="156"/>
      <c r="AN529" s="156"/>
      <c r="AO529" s="156"/>
      <c r="AP529" s="156"/>
      <c r="AQ529" s="156"/>
      <c r="AR529" s="156"/>
      <c r="AS529" s="156"/>
      <c r="AT529" s="156"/>
      <c r="AU529" s="156"/>
      <c r="AV529" s="156"/>
      <c r="AW529" s="156"/>
      <c r="AX529" s="156"/>
      <c r="AY529" s="156"/>
      <c r="AZ529" s="156"/>
      <c r="BA529" s="156"/>
      <c r="BB529" s="2828"/>
      <c r="BC529" s="504"/>
      <c r="BD529" s="2829"/>
      <c r="BE529" s="2837"/>
      <c r="BF529" s="156"/>
    </row>
    <row r="530" spans="1:58" ht="14.5" hidden="1" customHeight="1" outlineLevel="1" x14ac:dyDescent="0.35">
      <c r="A530" s="1071"/>
      <c r="B530" s="106"/>
      <c r="C530" s="103"/>
      <c r="D530" s="4022"/>
      <c r="E530" s="4111"/>
      <c r="F530" s="3919" t="str">
        <f t="shared" si="65"/>
        <v>CAC-SEER17_ER1_MF_CompE</v>
      </c>
      <c r="G530" s="3920"/>
      <c r="H530" s="3921"/>
      <c r="I530" s="576" t="str">
        <f t="shared" si="66"/>
        <v>351101_2021_12_</v>
      </c>
      <c r="J530" s="2730">
        <f>J528</f>
        <v>7.4022825442469706</v>
      </c>
      <c r="K530" s="2063"/>
      <c r="L530" s="2748" t="s">
        <v>973</v>
      </c>
      <c r="M530" s="103"/>
      <c r="N530" s="84"/>
      <c r="O530" s="103"/>
      <c r="P530" s="106"/>
      <c r="Q530" s="106"/>
      <c r="R530" s="106"/>
      <c r="S530" s="106"/>
      <c r="T530" s="106"/>
      <c r="U530" s="106"/>
      <c r="V530" s="4022"/>
      <c r="W530" s="576"/>
      <c r="X530" s="576"/>
      <c r="Y530" s="576">
        <v>8.33</v>
      </c>
      <c r="Z530" s="576">
        <v>8.33</v>
      </c>
      <c r="AA530" s="576">
        <v>8.33</v>
      </c>
      <c r="AB530" s="2887">
        <v>8.33</v>
      </c>
      <c r="AC530" s="1840">
        <v>8.33</v>
      </c>
      <c r="AD530" s="2730">
        <f>AD528</f>
        <v>7.4022825442469706</v>
      </c>
      <c r="AE530" s="576"/>
      <c r="AF530" s="576"/>
      <c r="AG530" s="576"/>
      <c r="AH530" s="156"/>
      <c r="AI530" s="156"/>
      <c r="AJ530" s="156"/>
      <c r="AK530" s="156"/>
      <c r="AL530" s="156"/>
      <c r="AM530" s="156"/>
      <c r="AN530" s="156"/>
      <c r="AO530" s="156"/>
      <c r="AP530" s="156"/>
      <c r="AQ530" s="156"/>
      <c r="AR530" s="156"/>
      <c r="AS530" s="156"/>
      <c r="AT530" s="156"/>
      <c r="AU530" s="156"/>
      <c r="AV530" s="156"/>
      <c r="AW530" s="156"/>
      <c r="AX530" s="156"/>
      <c r="AY530" s="156"/>
      <c r="AZ530" s="156"/>
      <c r="BA530" s="156"/>
      <c r="BB530" s="2828"/>
      <c r="BC530" s="504"/>
      <c r="BD530" s="2829"/>
      <c r="BE530" s="2837"/>
      <c r="BF530" s="156"/>
    </row>
    <row r="531" spans="1:58" ht="14.5" hidden="1" customHeight="1" outlineLevel="1" x14ac:dyDescent="0.35">
      <c r="A531" s="1071"/>
      <c r="B531" s="106"/>
      <c r="C531" s="103"/>
      <c r="D531" s="4022"/>
      <c r="E531" s="4111"/>
      <c r="F531" s="3919" t="str">
        <f t="shared" si="65"/>
        <v>CAC-SEER17_ER2_MF_CompE</v>
      </c>
      <c r="G531" s="3920"/>
      <c r="H531" s="3921"/>
      <c r="I531" s="576" t="str">
        <f t="shared" si="66"/>
        <v>351101_2021_12_</v>
      </c>
      <c r="J531" s="2057"/>
      <c r="K531" s="2063"/>
      <c r="L531" s="2297"/>
      <c r="M531" s="103"/>
      <c r="N531" s="1287"/>
      <c r="O531" s="103"/>
      <c r="P531" s="106"/>
      <c r="Q531" s="106"/>
      <c r="R531" s="106"/>
      <c r="S531" s="106"/>
      <c r="T531" s="106"/>
      <c r="U531" s="106"/>
      <c r="V531" s="4022"/>
      <c r="W531" s="576"/>
      <c r="X531" s="576"/>
      <c r="Y531" s="576"/>
      <c r="Z531" s="576"/>
      <c r="AA531" s="576"/>
      <c r="AB531" s="2888"/>
      <c r="AC531" s="2057"/>
      <c r="AD531" s="2057"/>
      <c r="AE531" s="576"/>
      <c r="AF531" s="576"/>
      <c r="AG531" s="576"/>
      <c r="AH531" s="156"/>
      <c r="AI531" s="156"/>
      <c r="AJ531" s="156"/>
      <c r="AK531" s="156"/>
      <c r="AL531" s="156"/>
      <c r="AM531" s="156"/>
      <c r="AN531" s="156"/>
      <c r="AO531" s="156"/>
      <c r="AP531" s="156"/>
      <c r="AQ531" s="156"/>
      <c r="AR531" s="156"/>
      <c r="AS531" s="156"/>
      <c r="AT531" s="156"/>
      <c r="AU531" s="156"/>
      <c r="AV531" s="156"/>
      <c r="AW531" s="156"/>
      <c r="AX531" s="156"/>
      <c r="AY531" s="156"/>
      <c r="AZ531" s="156"/>
      <c r="BA531" s="156"/>
      <c r="BB531" s="2828"/>
      <c r="BC531" s="504"/>
      <c r="BD531" s="2829"/>
      <c r="BE531" s="2837"/>
      <c r="BF531" s="156"/>
    </row>
    <row r="532" spans="1:58" ht="15" hidden="1" customHeight="1" outlineLevel="1" x14ac:dyDescent="0.35">
      <c r="A532" s="1071"/>
      <c r="B532" s="106"/>
      <c r="C532" s="103"/>
      <c r="D532" s="4022"/>
      <c r="E532" s="4111"/>
      <c r="F532" s="3919" t="str">
        <f t="shared" si="65"/>
        <v>CAC-SEER17_ROF_MF</v>
      </c>
      <c r="G532" s="3920"/>
      <c r="H532" s="3921"/>
      <c r="I532" s="2224" t="str">
        <f t="shared" si="66"/>
        <v>351150_2021_12_</v>
      </c>
      <c r="J532" s="1840"/>
      <c r="K532" s="112"/>
      <c r="L532" s="2297"/>
      <c r="M532" s="103"/>
      <c r="N532" s="1287"/>
      <c r="O532" s="103"/>
      <c r="P532" s="106"/>
      <c r="Q532" s="106"/>
      <c r="R532" s="106"/>
      <c r="S532" s="106"/>
      <c r="T532" s="106"/>
      <c r="U532" s="106"/>
      <c r="V532" s="4022"/>
      <c r="W532" s="576"/>
      <c r="X532" s="2224"/>
      <c r="Y532" s="2224"/>
      <c r="Z532" s="2224"/>
      <c r="AA532" s="2224"/>
      <c r="AB532" s="2887"/>
      <c r="AC532" s="1840"/>
      <c r="AD532" s="1840"/>
      <c r="AE532" s="2224"/>
      <c r="AF532" s="2224"/>
      <c r="AG532" s="2224"/>
      <c r="AH532" s="156"/>
      <c r="AI532" s="156"/>
      <c r="AJ532" s="156"/>
      <c r="AK532" s="156"/>
      <c r="AL532" s="156"/>
      <c r="AM532" s="156"/>
      <c r="AN532" s="156"/>
      <c r="AO532" s="156"/>
      <c r="AP532" s="156"/>
      <c r="AQ532" s="156"/>
      <c r="AR532" s="156"/>
      <c r="AS532" s="156"/>
      <c r="AT532" s="156"/>
      <c r="AU532" s="156"/>
      <c r="AV532" s="156"/>
      <c r="AW532" s="156"/>
      <c r="AX532" s="156"/>
      <c r="AY532" s="156"/>
      <c r="AZ532" s="156"/>
      <c r="BA532" s="156"/>
      <c r="BB532" s="2828"/>
      <c r="BC532" s="504"/>
      <c r="BD532" s="2829"/>
      <c r="BE532" s="2837"/>
      <c r="BF532" s="156"/>
    </row>
    <row r="533" spans="1:58" hidden="1" outlineLevel="1" x14ac:dyDescent="0.35">
      <c r="A533" s="1071"/>
      <c r="B533" s="106"/>
      <c r="C533" s="103"/>
      <c r="D533" s="4023"/>
      <c r="E533" s="3839"/>
      <c r="F533" s="3919" t="str">
        <f t="shared" si="65"/>
        <v>CAC-SEER17_ROF_MF_CompE</v>
      </c>
      <c r="G533" s="3920"/>
      <c r="H533" s="3921"/>
      <c r="I533" s="2224" t="str">
        <f t="shared" si="66"/>
        <v>351151_2021_12_</v>
      </c>
      <c r="J533" s="1840"/>
      <c r="K533" s="112"/>
      <c r="L533" s="2297"/>
      <c r="M533" s="103"/>
      <c r="N533" s="1287"/>
      <c r="O533" s="103"/>
      <c r="P533" s="106"/>
      <c r="Q533" s="106"/>
      <c r="R533" s="106"/>
      <c r="S533" s="106"/>
      <c r="T533" s="106"/>
      <c r="U533" s="106"/>
      <c r="V533" s="4023"/>
      <c r="W533" s="2224"/>
      <c r="X533" s="2224"/>
      <c r="Y533" s="2224"/>
      <c r="Z533" s="2224"/>
      <c r="AA533" s="2224"/>
      <c r="AB533" s="2887"/>
      <c r="AC533" s="1840"/>
      <c r="AD533" s="1840"/>
      <c r="AE533" s="2224"/>
      <c r="AF533" s="2224"/>
      <c r="AG533" s="2224"/>
      <c r="AH533" s="156"/>
      <c r="AI533" s="156"/>
      <c r="AJ533" s="156"/>
      <c r="AK533" s="156"/>
      <c r="AL533" s="156"/>
      <c r="AM533" s="156"/>
      <c r="AN533" s="156"/>
      <c r="AO533" s="156"/>
      <c r="AP533" s="156"/>
      <c r="AQ533" s="156"/>
      <c r="AR533" s="156"/>
      <c r="AS533" s="156"/>
      <c r="AT533" s="156"/>
      <c r="AU533" s="156"/>
      <c r="AV533" s="156"/>
      <c r="AW533" s="156"/>
      <c r="AX533" s="156"/>
      <c r="AY533" s="156"/>
      <c r="AZ533" s="156"/>
      <c r="BA533" s="156"/>
      <c r="BB533" s="2828"/>
      <c r="BC533" s="504"/>
      <c r="BD533" s="2829"/>
      <c r="BE533" s="2837"/>
      <c r="BF533" s="156"/>
    </row>
    <row r="534" spans="1:58" ht="14.5" hidden="1" customHeight="1" outlineLevel="1" x14ac:dyDescent="0.35">
      <c r="A534" s="1071"/>
      <c r="B534" s="106"/>
      <c r="C534" s="103"/>
      <c r="D534" s="4140"/>
      <c r="E534" s="4138"/>
      <c r="F534" s="3919" t="str">
        <f t="shared" si="65"/>
        <v>CAC-SEER18_ER1_SF</v>
      </c>
      <c r="G534" s="3920"/>
      <c r="H534" s="3921"/>
      <c r="I534" s="2224" t="str">
        <f t="shared" si="66"/>
        <v>351160_2021_12_</v>
      </c>
      <c r="J534" s="2730">
        <v>7.8048008052100615</v>
      </c>
      <c r="K534" s="112"/>
      <c r="L534" s="4164" t="s">
        <v>4360</v>
      </c>
      <c r="M534" s="103"/>
      <c r="N534" s="1287"/>
      <c r="O534" s="103"/>
      <c r="P534" s="106"/>
      <c r="Q534" s="106"/>
      <c r="R534" s="106"/>
      <c r="S534" s="106"/>
      <c r="T534" s="106"/>
      <c r="U534" s="106"/>
      <c r="V534" s="4023"/>
      <c r="W534" s="579"/>
      <c r="X534" s="2377"/>
      <c r="Y534" s="579"/>
      <c r="Z534" s="2377">
        <v>8.33</v>
      </c>
      <c r="AA534" s="579">
        <v>8.33</v>
      </c>
      <c r="AB534" s="2887">
        <v>8.33</v>
      </c>
      <c r="AC534" s="1797">
        <v>8.2545556293481042</v>
      </c>
      <c r="AD534" s="2730">
        <v>7.8048008052100615</v>
      </c>
      <c r="AE534" s="579"/>
      <c r="AF534" s="579"/>
      <c r="AG534" s="579"/>
      <c r="AH534" s="156"/>
      <c r="AI534" s="156"/>
      <c r="AJ534" s="156"/>
      <c r="AK534" s="156"/>
      <c r="AL534" s="156"/>
      <c r="AM534" s="156"/>
      <c r="AN534" s="156"/>
      <c r="AO534" s="156"/>
      <c r="AP534" s="156"/>
      <c r="AQ534" s="156"/>
      <c r="AR534" s="156"/>
      <c r="AS534" s="156"/>
      <c r="AT534" s="156"/>
      <c r="AU534" s="156"/>
      <c r="AV534" s="156"/>
      <c r="AW534" s="156"/>
      <c r="AX534" s="156"/>
      <c r="AY534" s="156"/>
      <c r="AZ534" s="156"/>
      <c r="BA534" s="156"/>
      <c r="BB534" s="2828"/>
      <c r="BC534" s="504"/>
      <c r="BD534" s="2829"/>
      <c r="BE534" s="2837"/>
      <c r="BF534" s="156"/>
    </row>
    <row r="535" spans="1:58" ht="14.5" hidden="1" customHeight="1" outlineLevel="1" x14ac:dyDescent="0.35">
      <c r="A535" s="1071"/>
      <c r="B535" s="106"/>
      <c r="C535" s="103"/>
      <c r="D535" s="4140"/>
      <c r="E535" s="4138"/>
      <c r="F535" s="3919" t="str">
        <f t="shared" si="65"/>
        <v>CAC-SEER18_ER2_SF</v>
      </c>
      <c r="G535" s="3920"/>
      <c r="H535" s="3921"/>
      <c r="I535" s="2224" t="str">
        <f t="shared" si="66"/>
        <v>351160_2021_12_</v>
      </c>
      <c r="J535" s="1840"/>
      <c r="K535" s="112"/>
      <c r="L535" s="4165"/>
      <c r="M535" s="103"/>
      <c r="N535" s="1287"/>
      <c r="O535" s="103"/>
      <c r="P535" s="106"/>
      <c r="Q535" s="106"/>
      <c r="R535" s="106"/>
      <c r="S535" s="106"/>
      <c r="T535" s="106"/>
      <c r="U535" s="106"/>
      <c r="V535" s="4023"/>
      <c r="W535" s="2224"/>
      <c r="X535" s="2224"/>
      <c r="Y535" s="2224"/>
      <c r="Z535" s="2374"/>
      <c r="AA535" s="2224"/>
      <c r="AB535" s="2887"/>
      <c r="AC535" s="1840"/>
      <c r="AD535" s="1840"/>
      <c r="AE535" s="2224"/>
      <c r="AF535" s="2224"/>
      <c r="AG535" s="2224"/>
      <c r="AH535" s="156"/>
      <c r="AI535" s="156"/>
      <c r="AJ535" s="156"/>
      <c r="AK535" s="156"/>
      <c r="AL535" s="156"/>
      <c r="AM535" s="156"/>
      <c r="AN535" s="156"/>
      <c r="AO535" s="156"/>
      <c r="AP535" s="156"/>
      <c r="AQ535" s="156"/>
      <c r="AR535" s="156"/>
      <c r="AS535" s="156"/>
      <c r="AT535" s="156"/>
      <c r="AU535" s="156"/>
      <c r="AV535" s="156"/>
      <c r="AW535" s="156"/>
      <c r="AX535" s="156"/>
      <c r="AY535" s="156"/>
      <c r="AZ535" s="156"/>
      <c r="BA535" s="156"/>
      <c r="BB535" s="2828"/>
      <c r="BC535" s="504"/>
      <c r="BD535" s="2829"/>
      <c r="BE535" s="2837"/>
      <c r="BF535" s="156"/>
    </row>
    <row r="536" spans="1:58" ht="14.5" hidden="1" customHeight="1" outlineLevel="1" x14ac:dyDescent="0.35">
      <c r="A536" s="1071"/>
      <c r="B536" s="106"/>
      <c r="C536" s="103"/>
      <c r="D536" s="4140"/>
      <c r="E536" s="4138"/>
      <c r="F536" s="3919" t="str">
        <f t="shared" si="65"/>
        <v>CAC-SEER18_ROF_SF</v>
      </c>
      <c r="G536" s="3920"/>
      <c r="H536" s="3921"/>
      <c r="I536" s="2224" t="str">
        <f t="shared" si="66"/>
        <v>351161_2021_12_</v>
      </c>
      <c r="J536" s="2057"/>
      <c r="K536" s="112"/>
      <c r="L536" s="2297"/>
      <c r="M536" s="103"/>
      <c r="N536" s="1287"/>
      <c r="O536" s="103"/>
      <c r="P536" s="106"/>
      <c r="Q536" s="106"/>
      <c r="R536" s="106"/>
      <c r="S536" s="106"/>
      <c r="T536" s="106"/>
      <c r="U536" s="106"/>
      <c r="V536" s="4023"/>
      <c r="W536" s="2224"/>
      <c r="X536" s="576"/>
      <c r="Y536" s="576"/>
      <c r="Z536" s="2374"/>
      <c r="AA536" s="2224"/>
      <c r="AB536" s="2888"/>
      <c r="AC536" s="2057"/>
      <c r="AD536" s="2057"/>
      <c r="AE536" s="2224"/>
      <c r="AF536" s="2224"/>
      <c r="AG536" s="2224"/>
      <c r="AH536" s="156"/>
      <c r="AI536" s="156"/>
      <c r="AJ536" s="156"/>
      <c r="AK536" s="156"/>
      <c r="AL536" s="156"/>
      <c r="AM536" s="156"/>
      <c r="AN536" s="156"/>
      <c r="AO536" s="156"/>
      <c r="AP536" s="156"/>
      <c r="AQ536" s="156"/>
      <c r="AR536" s="156"/>
      <c r="AS536" s="156"/>
      <c r="AT536" s="156"/>
      <c r="AU536" s="156"/>
      <c r="AV536" s="156"/>
      <c r="AW536" s="156"/>
      <c r="AX536" s="156"/>
      <c r="AY536" s="156"/>
      <c r="AZ536" s="156"/>
      <c r="BA536" s="156"/>
      <c r="BB536" s="2828"/>
      <c r="BC536" s="504"/>
      <c r="BD536" s="2829"/>
      <c r="BE536" s="2837"/>
      <c r="BF536" s="156"/>
    </row>
    <row r="537" spans="1:58" hidden="1" outlineLevel="1" x14ac:dyDescent="0.35">
      <c r="A537" s="1071"/>
      <c r="B537" s="106"/>
      <c r="C537" s="103"/>
      <c r="D537" s="4140"/>
      <c r="E537" s="4138"/>
      <c r="F537" s="3919" t="str">
        <f t="shared" si="65"/>
        <v>CAC-SEER18_ER1_MF</v>
      </c>
      <c r="G537" s="3920"/>
      <c r="H537" s="3921"/>
      <c r="I537" s="2224" t="str">
        <f t="shared" si="66"/>
        <v>351162_2021_12_</v>
      </c>
      <c r="J537" s="2730">
        <v>7.2795904076069675</v>
      </c>
      <c r="K537" s="112"/>
      <c r="L537" s="4164" t="s">
        <v>4360</v>
      </c>
      <c r="M537" s="103"/>
      <c r="N537" s="1287"/>
      <c r="O537" s="103"/>
      <c r="P537" s="106"/>
      <c r="Q537" s="106"/>
      <c r="R537" s="106"/>
      <c r="S537" s="106"/>
      <c r="T537" s="106"/>
      <c r="U537" s="106"/>
      <c r="V537" s="4023"/>
      <c r="W537" s="2224"/>
      <c r="X537" s="2374"/>
      <c r="Y537" s="2224"/>
      <c r="Z537" s="2374">
        <v>8.33</v>
      </c>
      <c r="AA537" s="2224">
        <v>8.33</v>
      </c>
      <c r="AB537" s="2887">
        <v>8.33</v>
      </c>
      <c r="AC537" s="1797">
        <v>6.7219971629290205</v>
      </c>
      <c r="AD537" s="2730">
        <v>7.2795904076069675</v>
      </c>
      <c r="AE537" s="2224"/>
      <c r="AF537" s="2224"/>
      <c r="AG537" s="2224"/>
      <c r="AH537" s="156"/>
      <c r="AI537" s="156"/>
      <c r="AJ537" s="156"/>
      <c r="AK537" s="156"/>
      <c r="AL537" s="156"/>
      <c r="AM537" s="156"/>
      <c r="AN537" s="156"/>
      <c r="AO537" s="156"/>
      <c r="AP537" s="156"/>
      <c r="AQ537" s="156"/>
      <c r="AR537" s="156"/>
      <c r="AS537" s="156"/>
      <c r="AT537" s="156"/>
      <c r="AU537" s="156"/>
      <c r="AV537" s="156"/>
      <c r="AW537" s="156"/>
      <c r="AX537" s="156"/>
      <c r="AY537" s="156"/>
      <c r="AZ537" s="156"/>
      <c r="BA537" s="156"/>
      <c r="BB537" s="2828"/>
      <c r="BC537" s="504"/>
      <c r="BD537" s="2829"/>
      <c r="BE537" s="2837"/>
      <c r="BF537" s="156"/>
    </row>
    <row r="538" spans="1:58" hidden="1" outlineLevel="1" x14ac:dyDescent="0.35">
      <c r="A538" s="1071"/>
      <c r="B538" s="106"/>
      <c r="C538" s="103"/>
      <c r="D538" s="4140"/>
      <c r="E538" s="4138"/>
      <c r="F538" s="3919" t="str">
        <f t="shared" ref="F538:F601" si="67">F466</f>
        <v>CAC-SEER18_ER2_MF</v>
      </c>
      <c r="G538" s="3920"/>
      <c r="H538" s="3921"/>
      <c r="I538" s="2224" t="str">
        <f t="shared" ref="I538:I601" si="68">I466</f>
        <v>351162_2021_12_</v>
      </c>
      <c r="J538" s="1840"/>
      <c r="K538" s="112"/>
      <c r="L538" s="4165"/>
      <c r="M538" s="103"/>
      <c r="N538" s="1287"/>
      <c r="O538" s="103"/>
      <c r="P538" s="106"/>
      <c r="Q538" s="106"/>
      <c r="R538" s="106"/>
      <c r="S538" s="106"/>
      <c r="T538" s="106"/>
      <c r="U538" s="106"/>
      <c r="V538" s="4023"/>
      <c r="W538" s="2224"/>
      <c r="X538" s="2224"/>
      <c r="Y538" s="2224"/>
      <c r="Z538" s="2374"/>
      <c r="AA538" s="2224"/>
      <c r="AB538" s="2887"/>
      <c r="AC538" s="1840"/>
      <c r="AD538" s="1840"/>
      <c r="AE538" s="2224"/>
      <c r="AF538" s="2224"/>
      <c r="AG538" s="2224"/>
      <c r="AH538" s="156"/>
      <c r="AI538" s="156"/>
      <c r="AJ538" s="156"/>
      <c r="AK538" s="156"/>
      <c r="AL538" s="156"/>
      <c r="AM538" s="156"/>
      <c r="AN538" s="156"/>
      <c r="AO538" s="156"/>
      <c r="AP538" s="156"/>
      <c r="AQ538" s="156"/>
      <c r="AR538" s="156"/>
      <c r="AS538" s="156"/>
      <c r="AT538" s="156"/>
      <c r="AU538" s="156"/>
      <c r="AV538" s="156"/>
      <c r="AW538" s="156"/>
      <c r="AX538" s="156"/>
      <c r="AY538" s="156"/>
      <c r="AZ538" s="156"/>
      <c r="BA538" s="156"/>
      <c r="BB538" s="2828"/>
      <c r="BC538" s="504"/>
      <c r="BD538" s="2829"/>
      <c r="BE538" s="2837"/>
      <c r="BF538" s="156"/>
    </row>
    <row r="539" spans="1:58" ht="29" hidden="1" outlineLevel="1" x14ac:dyDescent="0.35">
      <c r="A539" s="1071"/>
      <c r="B539" s="106"/>
      <c r="C539" s="103"/>
      <c r="D539" s="4140"/>
      <c r="E539" s="4138"/>
      <c r="F539" s="3919" t="str">
        <f t="shared" si="67"/>
        <v>CAC-SEER18_ER1_MF_CompE</v>
      </c>
      <c r="G539" s="3920"/>
      <c r="H539" s="3921"/>
      <c r="I539" s="2224" t="str">
        <f t="shared" si="68"/>
        <v>351163_2021_12_</v>
      </c>
      <c r="J539" s="1840">
        <v>8.33</v>
      </c>
      <c r="K539" s="112"/>
      <c r="L539" s="2062" t="s">
        <v>810</v>
      </c>
      <c r="M539" s="103"/>
      <c r="N539" s="1287"/>
      <c r="O539" s="103"/>
      <c r="P539" s="106"/>
      <c r="Q539" s="106"/>
      <c r="R539" s="106"/>
      <c r="S539" s="106"/>
      <c r="T539" s="106"/>
      <c r="U539" s="106"/>
      <c r="V539" s="4023"/>
      <c r="W539" s="2224"/>
      <c r="X539" s="2224"/>
      <c r="Y539" s="2224"/>
      <c r="Z539" s="2374">
        <v>8.33</v>
      </c>
      <c r="AA539" s="2224">
        <v>8.33</v>
      </c>
      <c r="AB539" s="2887">
        <v>8.33</v>
      </c>
      <c r="AC539" s="1840">
        <v>8.33</v>
      </c>
      <c r="AD539" s="1840">
        <v>8.33</v>
      </c>
      <c r="AE539" s="2224"/>
      <c r="AF539" s="2224"/>
      <c r="AG539" s="2224"/>
      <c r="AH539" s="156"/>
      <c r="AI539" s="156"/>
      <c r="AJ539" s="156"/>
      <c r="AK539" s="156"/>
      <c r="AL539" s="156"/>
      <c r="AM539" s="156"/>
      <c r="AN539" s="156"/>
      <c r="AO539" s="156"/>
      <c r="AP539" s="156"/>
      <c r="AQ539" s="156"/>
      <c r="AR539" s="156"/>
      <c r="AS539" s="156"/>
      <c r="AT539" s="156"/>
      <c r="AU539" s="156"/>
      <c r="AV539" s="156"/>
      <c r="AW539" s="156"/>
      <c r="AX539" s="156"/>
      <c r="AY539" s="156"/>
      <c r="AZ539" s="156"/>
      <c r="BA539" s="156"/>
      <c r="BB539" s="2828"/>
      <c r="BC539" s="504"/>
      <c r="BD539" s="2829"/>
      <c r="BE539" s="2837"/>
      <c r="BF539" s="156"/>
    </row>
    <row r="540" spans="1:58" hidden="1" outlineLevel="1" x14ac:dyDescent="0.35">
      <c r="A540" s="1071"/>
      <c r="B540" s="106"/>
      <c r="C540" s="103"/>
      <c r="D540" s="4140"/>
      <c r="E540" s="4138"/>
      <c r="F540" s="3919" t="str">
        <f t="shared" si="67"/>
        <v>CAC-SEER18_ER2_MF_CompE</v>
      </c>
      <c r="G540" s="3920"/>
      <c r="H540" s="3921"/>
      <c r="I540" s="2224" t="str">
        <f t="shared" si="68"/>
        <v>351163_2021_12_</v>
      </c>
      <c r="J540" s="1840"/>
      <c r="K540" s="112"/>
      <c r="L540" s="2297"/>
      <c r="M540" s="103"/>
      <c r="N540" s="1287"/>
      <c r="O540" s="103"/>
      <c r="P540" s="106"/>
      <c r="Q540" s="106"/>
      <c r="R540" s="106"/>
      <c r="S540" s="106"/>
      <c r="T540" s="106"/>
      <c r="U540" s="106"/>
      <c r="V540" s="4023"/>
      <c r="W540" s="2224"/>
      <c r="X540" s="2224"/>
      <c r="Y540" s="2224"/>
      <c r="Z540" s="2374"/>
      <c r="AA540" s="2224"/>
      <c r="AB540" s="2887"/>
      <c r="AC540" s="1840"/>
      <c r="AD540" s="1840"/>
      <c r="AE540" s="2224"/>
      <c r="AF540" s="2224"/>
      <c r="AG540" s="2224"/>
      <c r="AH540" s="156"/>
      <c r="AI540" s="156"/>
      <c r="AJ540" s="156"/>
      <c r="AK540" s="156"/>
      <c r="AL540" s="156"/>
      <c r="AM540" s="156"/>
      <c r="AN540" s="156"/>
      <c r="AO540" s="156"/>
      <c r="AP540" s="156"/>
      <c r="AQ540" s="156"/>
      <c r="AR540" s="156"/>
      <c r="AS540" s="156"/>
      <c r="AT540" s="156"/>
      <c r="AU540" s="156"/>
      <c r="AV540" s="156"/>
      <c r="AW540" s="156"/>
      <c r="AX540" s="156"/>
      <c r="AY540" s="156"/>
      <c r="AZ540" s="156"/>
      <c r="BA540" s="156"/>
      <c r="BB540" s="2828"/>
      <c r="BC540" s="504"/>
      <c r="BD540" s="2829"/>
      <c r="BE540" s="2837"/>
      <c r="BF540" s="156"/>
    </row>
    <row r="541" spans="1:58" hidden="1" outlineLevel="1" x14ac:dyDescent="0.35">
      <c r="A541" s="1071"/>
      <c r="B541" s="106"/>
      <c r="C541" s="103"/>
      <c r="D541" s="4140"/>
      <c r="E541" s="4138"/>
      <c r="F541" s="3919" t="str">
        <f t="shared" si="67"/>
        <v>CAC-SEER18_ROF_MF</v>
      </c>
      <c r="G541" s="3920"/>
      <c r="H541" s="3921"/>
      <c r="I541" s="2224" t="str">
        <f t="shared" si="68"/>
        <v>351164_2021_12_</v>
      </c>
      <c r="J541" s="1840"/>
      <c r="K541" s="112"/>
      <c r="L541" s="2297"/>
      <c r="M541" s="103"/>
      <c r="N541" s="1287"/>
      <c r="O541" s="103"/>
      <c r="P541" s="106"/>
      <c r="Q541" s="106"/>
      <c r="R541" s="106"/>
      <c r="S541" s="106"/>
      <c r="T541" s="106"/>
      <c r="U541" s="106"/>
      <c r="V541" s="4023"/>
      <c r="W541" s="2224"/>
      <c r="X541" s="2224"/>
      <c r="Y541" s="2224"/>
      <c r="Z541" s="2374"/>
      <c r="AA541" s="2224"/>
      <c r="AB541" s="2887"/>
      <c r="AC541" s="1840"/>
      <c r="AD541" s="1840"/>
      <c r="AE541" s="2224"/>
      <c r="AF541" s="2224"/>
      <c r="AG541" s="2224"/>
      <c r="AH541" s="156"/>
      <c r="AI541" s="156"/>
      <c r="AJ541" s="156"/>
      <c r="AK541" s="156"/>
      <c r="AL541" s="156"/>
      <c r="AM541" s="156"/>
      <c r="AN541" s="156"/>
      <c r="AO541" s="156"/>
      <c r="AP541" s="156"/>
      <c r="AQ541" s="156"/>
      <c r="AR541" s="156"/>
      <c r="AS541" s="156"/>
      <c r="AT541" s="156"/>
      <c r="AU541" s="156"/>
      <c r="AV541" s="156"/>
      <c r="AW541" s="156"/>
      <c r="AX541" s="156"/>
      <c r="AY541" s="156"/>
      <c r="AZ541" s="156"/>
      <c r="BA541" s="156"/>
      <c r="BB541" s="2828"/>
      <c r="BC541" s="504"/>
      <c r="BD541" s="2829"/>
      <c r="BE541" s="2837"/>
      <c r="BF541" s="156"/>
    </row>
    <row r="542" spans="1:58" hidden="1" outlineLevel="1" x14ac:dyDescent="0.35">
      <c r="A542" s="1071"/>
      <c r="B542" s="106"/>
      <c r="C542" s="103"/>
      <c r="D542" s="4140"/>
      <c r="E542" s="4138"/>
      <c r="F542" s="3919" t="str">
        <f t="shared" si="67"/>
        <v>CAC-SEER18_ROF_MF_CompE</v>
      </c>
      <c r="G542" s="3920"/>
      <c r="H542" s="3921"/>
      <c r="I542" s="2224" t="str">
        <f t="shared" si="68"/>
        <v>351165_2021_12_</v>
      </c>
      <c r="J542" s="1840"/>
      <c r="K542" s="112"/>
      <c r="L542" s="2297"/>
      <c r="M542" s="103"/>
      <c r="N542" s="1287"/>
      <c r="O542" s="103"/>
      <c r="P542" s="106"/>
      <c r="Q542" s="106"/>
      <c r="R542" s="106"/>
      <c r="S542" s="106"/>
      <c r="T542" s="106"/>
      <c r="U542" s="106"/>
      <c r="V542" s="4023"/>
      <c r="W542" s="2224"/>
      <c r="X542" s="2224"/>
      <c r="Y542" s="2224"/>
      <c r="Z542" s="2374"/>
      <c r="AA542" s="2224"/>
      <c r="AB542" s="2887"/>
      <c r="AC542" s="1840"/>
      <c r="AD542" s="1840"/>
      <c r="AE542" s="2224"/>
      <c r="AF542" s="2224"/>
      <c r="AG542" s="2224"/>
      <c r="AH542" s="156"/>
      <c r="AI542" s="156"/>
      <c r="AJ542" s="156"/>
      <c r="AK542" s="156"/>
      <c r="AL542" s="156"/>
      <c r="AM542" s="156"/>
      <c r="AN542" s="156"/>
      <c r="AO542" s="156"/>
      <c r="AP542" s="156"/>
      <c r="AQ542" s="156"/>
      <c r="AR542" s="156"/>
      <c r="AS542" s="156"/>
      <c r="AT542" s="156"/>
      <c r="AU542" s="156"/>
      <c r="AV542" s="156"/>
      <c r="AW542" s="156"/>
      <c r="AX542" s="156"/>
      <c r="AY542" s="156"/>
      <c r="AZ542" s="156"/>
      <c r="BA542" s="156"/>
      <c r="BB542" s="2828"/>
      <c r="BC542" s="504"/>
      <c r="BD542" s="2829"/>
      <c r="BE542" s="2837"/>
      <c r="BF542" s="156"/>
    </row>
    <row r="543" spans="1:58" hidden="1" outlineLevel="1" x14ac:dyDescent="0.35">
      <c r="A543" s="1071"/>
      <c r="B543" s="106"/>
      <c r="C543" s="103"/>
      <c r="D543" s="4140"/>
      <c r="E543" s="4138"/>
      <c r="F543" s="3919" t="str">
        <f t="shared" si="67"/>
        <v>CAC-SEER19_ER1_SF</v>
      </c>
      <c r="G543" s="3920"/>
      <c r="H543" s="3921"/>
      <c r="I543" s="2224" t="str">
        <f t="shared" si="68"/>
        <v>351170_2021_12_</v>
      </c>
      <c r="J543" s="2730">
        <v>7.8804195940950725</v>
      </c>
      <c r="K543" s="112"/>
      <c r="L543" s="4164" t="s">
        <v>4360</v>
      </c>
      <c r="M543" s="103"/>
      <c r="N543" s="1287"/>
      <c r="O543" s="103"/>
      <c r="P543" s="106"/>
      <c r="Q543" s="106"/>
      <c r="R543" s="106"/>
      <c r="S543" s="106"/>
      <c r="T543" s="106"/>
      <c r="U543" s="106"/>
      <c r="V543" s="4023"/>
      <c r="W543" s="2224"/>
      <c r="X543" s="2374"/>
      <c r="Y543" s="2224"/>
      <c r="Z543" s="2374">
        <v>8.33</v>
      </c>
      <c r="AA543" s="2224">
        <v>8.33</v>
      </c>
      <c r="AB543" s="2887">
        <v>8.33</v>
      </c>
      <c r="AC543" s="1797">
        <v>8.1633174958765817</v>
      </c>
      <c r="AD543" s="2730">
        <v>7.8804195940950725</v>
      </c>
      <c r="AE543" s="2224"/>
      <c r="AF543" s="2224"/>
      <c r="AG543" s="2224"/>
      <c r="AH543" s="156"/>
      <c r="AI543" s="156"/>
      <c r="AJ543" s="156"/>
      <c r="AK543" s="156"/>
      <c r="AL543" s="156"/>
      <c r="AM543" s="156"/>
      <c r="AN543" s="156"/>
      <c r="AO543" s="156"/>
      <c r="AP543" s="156"/>
      <c r="AQ543" s="156"/>
      <c r="AR543" s="156"/>
      <c r="AS543" s="156"/>
      <c r="AT543" s="156"/>
      <c r="AU543" s="156"/>
      <c r="AV543" s="156"/>
      <c r="AW543" s="156"/>
      <c r="AX543" s="156"/>
      <c r="AY543" s="156"/>
      <c r="AZ543" s="156"/>
      <c r="BA543" s="156"/>
      <c r="BB543" s="2828"/>
      <c r="BC543" s="504"/>
      <c r="BD543" s="2829"/>
      <c r="BE543" s="2837"/>
      <c r="BF543" s="156"/>
    </row>
    <row r="544" spans="1:58" hidden="1" outlineLevel="1" x14ac:dyDescent="0.35">
      <c r="A544" s="1071"/>
      <c r="B544" s="106"/>
      <c r="C544" s="103"/>
      <c r="D544" s="4140"/>
      <c r="E544" s="4138"/>
      <c r="F544" s="3919" t="str">
        <f t="shared" si="67"/>
        <v>CAC-SEER19_ER2_SF</v>
      </c>
      <c r="G544" s="3920"/>
      <c r="H544" s="3921"/>
      <c r="I544" s="2224" t="str">
        <f t="shared" si="68"/>
        <v>351170_2021_12_</v>
      </c>
      <c r="J544" s="1840"/>
      <c r="K544" s="112"/>
      <c r="L544" s="4165"/>
      <c r="M544" s="103"/>
      <c r="N544" s="1287"/>
      <c r="O544" s="103"/>
      <c r="P544" s="106"/>
      <c r="Q544" s="106"/>
      <c r="R544" s="106"/>
      <c r="S544" s="106"/>
      <c r="T544" s="106"/>
      <c r="U544" s="106"/>
      <c r="V544" s="4023"/>
      <c r="W544" s="2224"/>
      <c r="X544" s="2224"/>
      <c r="Y544" s="2224"/>
      <c r="Z544" s="2374"/>
      <c r="AA544" s="2224"/>
      <c r="AB544" s="2887"/>
      <c r="AC544" s="1840"/>
      <c r="AD544" s="1840"/>
      <c r="AE544" s="2224"/>
      <c r="AF544" s="2224"/>
      <c r="AG544" s="2224"/>
      <c r="AH544" s="156"/>
      <c r="AI544" s="156"/>
      <c r="AJ544" s="156"/>
      <c r="AK544" s="156"/>
      <c r="AL544" s="156"/>
      <c r="AM544" s="156"/>
      <c r="AN544" s="156"/>
      <c r="AO544" s="156"/>
      <c r="AP544" s="156"/>
      <c r="AQ544" s="156"/>
      <c r="AR544" s="156"/>
      <c r="AS544" s="156"/>
      <c r="AT544" s="156"/>
      <c r="AU544" s="156"/>
      <c r="AV544" s="156"/>
      <c r="AW544" s="156"/>
      <c r="AX544" s="156"/>
      <c r="AY544" s="156"/>
      <c r="AZ544" s="156"/>
      <c r="BA544" s="156"/>
      <c r="BB544" s="2828"/>
      <c r="BC544" s="504"/>
      <c r="BD544" s="2829"/>
      <c r="BE544" s="2837"/>
      <c r="BF544" s="156"/>
    </row>
    <row r="545" spans="1:58" hidden="1" outlineLevel="1" x14ac:dyDescent="0.35">
      <c r="A545" s="1071"/>
      <c r="B545" s="106"/>
      <c r="C545" s="103"/>
      <c r="D545" s="4140"/>
      <c r="E545" s="4138"/>
      <c r="F545" s="3919" t="str">
        <f t="shared" si="67"/>
        <v>CAC-SEER19_ROF_SF</v>
      </c>
      <c r="G545" s="3920"/>
      <c r="H545" s="3921"/>
      <c r="I545" s="2224" t="str">
        <f t="shared" si="68"/>
        <v>351171_2021_12_</v>
      </c>
      <c r="J545" s="1840"/>
      <c r="K545" s="112"/>
      <c r="L545" s="2297"/>
      <c r="M545" s="103"/>
      <c r="N545" s="1287"/>
      <c r="O545" s="103"/>
      <c r="P545" s="106"/>
      <c r="Q545" s="106"/>
      <c r="R545" s="106"/>
      <c r="S545" s="106"/>
      <c r="T545" s="106"/>
      <c r="U545" s="106"/>
      <c r="V545" s="4023"/>
      <c r="W545" s="2224"/>
      <c r="X545" s="2224"/>
      <c r="Y545" s="2224"/>
      <c r="Z545" s="2374"/>
      <c r="AA545" s="2224"/>
      <c r="AB545" s="2887"/>
      <c r="AC545" s="1840"/>
      <c r="AD545" s="1840"/>
      <c r="AE545" s="2224"/>
      <c r="AF545" s="2224"/>
      <c r="AG545" s="2224"/>
      <c r="AH545" s="156"/>
      <c r="AI545" s="156"/>
      <c r="AJ545" s="156"/>
      <c r="AK545" s="156"/>
      <c r="AL545" s="156"/>
      <c r="AM545" s="156"/>
      <c r="AN545" s="156"/>
      <c r="AO545" s="156"/>
      <c r="AP545" s="156"/>
      <c r="AQ545" s="156"/>
      <c r="AR545" s="156"/>
      <c r="AS545" s="156"/>
      <c r="AT545" s="156"/>
      <c r="AU545" s="156"/>
      <c r="AV545" s="156"/>
      <c r="AW545" s="156"/>
      <c r="AX545" s="156"/>
      <c r="AY545" s="156"/>
      <c r="AZ545" s="156"/>
      <c r="BA545" s="156"/>
      <c r="BB545" s="2828"/>
      <c r="BC545" s="504"/>
      <c r="BD545" s="2829"/>
      <c r="BE545" s="2837"/>
      <c r="BF545" s="156"/>
    </row>
    <row r="546" spans="1:58" ht="29" hidden="1" outlineLevel="1" x14ac:dyDescent="0.35">
      <c r="A546" s="1071"/>
      <c r="B546" s="106"/>
      <c r="C546" s="103"/>
      <c r="D546" s="4140"/>
      <c r="E546" s="4138"/>
      <c r="F546" s="3919" t="str">
        <f t="shared" si="67"/>
        <v>CAC-SEER19_ER1_MF</v>
      </c>
      <c r="G546" s="3920"/>
      <c r="H546" s="3921"/>
      <c r="I546" s="2224" t="str">
        <f t="shared" si="68"/>
        <v>351172_2021_12_</v>
      </c>
      <c r="J546" s="1840">
        <v>8.33</v>
      </c>
      <c r="K546" s="112"/>
      <c r="L546" s="2062" t="s">
        <v>810</v>
      </c>
      <c r="M546" s="103"/>
      <c r="N546" s="1287"/>
      <c r="O546" s="103"/>
      <c r="P546" s="106"/>
      <c r="Q546" s="106"/>
      <c r="R546" s="106"/>
      <c r="S546" s="106"/>
      <c r="T546" s="106"/>
      <c r="U546" s="106"/>
      <c r="V546" s="4023"/>
      <c r="W546" s="2224"/>
      <c r="X546" s="2374"/>
      <c r="Y546" s="2224"/>
      <c r="Z546" s="2374">
        <v>8.33</v>
      </c>
      <c r="AA546" s="2224">
        <v>8.33</v>
      </c>
      <c r="AB546" s="2887">
        <v>8.33</v>
      </c>
      <c r="AC546" s="1840">
        <v>8.33</v>
      </c>
      <c r="AD546" s="1840">
        <v>8.33</v>
      </c>
      <c r="AE546" s="2224"/>
      <c r="AF546" s="2224"/>
      <c r="AG546" s="2224"/>
      <c r="AH546" s="156"/>
      <c r="AI546" s="156"/>
      <c r="AJ546" s="156"/>
      <c r="AK546" s="156"/>
      <c r="AL546" s="156"/>
      <c r="AM546" s="156"/>
      <c r="AN546" s="156"/>
      <c r="AO546" s="156"/>
      <c r="AP546" s="156"/>
      <c r="AQ546" s="156"/>
      <c r="AR546" s="156"/>
      <c r="AS546" s="156"/>
      <c r="AT546" s="156"/>
      <c r="AU546" s="156"/>
      <c r="AV546" s="156"/>
      <c r="AW546" s="156"/>
      <c r="AX546" s="156"/>
      <c r="AY546" s="156"/>
      <c r="AZ546" s="156"/>
      <c r="BA546" s="156"/>
      <c r="BB546" s="2828"/>
      <c r="BC546" s="504"/>
      <c r="BD546" s="2829"/>
      <c r="BE546" s="2837"/>
      <c r="BF546" s="156"/>
    </row>
    <row r="547" spans="1:58" hidden="1" outlineLevel="1" x14ac:dyDescent="0.35">
      <c r="A547" s="1071"/>
      <c r="B547" s="106"/>
      <c r="C547" s="103"/>
      <c r="D547" s="4140"/>
      <c r="E547" s="4138"/>
      <c r="F547" s="3919" t="str">
        <f t="shared" si="67"/>
        <v>CAC-SEER19_ER2_MF</v>
      </c>
      <c r="G547" s="3920"/>
      <c r="H547" s="3921"/>
      <c r="I547" s="2224" t="str">
        <f t="shared" si="68"/>
        <v>351172_2021_12_</v>
      </c>
      <c r="J547" s="1840"/>
      <c r="K547" s="112"/>
      <c r="L547" s="2297"/>
      <c r="M547" s="103"/>
      <c r="N547" s="1287"/>
      <c r="O547" s="103"/>
      <c r="P547" s="106"/>
      <c r="Q547" s="106"/>
      <c r="R547" s="106"/>
      <c r="S547" s="106"/>
      <c r="T547" s="106"/>
      <c r="U547" s="106"/>
      <c r="V547" s="4023"/>
      <c r="W547" s="2224"/>
      <c r="X547" s="2224"/>
      <c r="Y547" s="2224"/>
      <c r="Z547" s="2374"/>
      <c r="AA547" s="2224"/>
      <c r="AB547" s="2887"/>
      <c r="AC547" s="1840"/>
      <c r="AD547" s="1840"/>
      <c r="AE547" s="2224"/>
      <c r="AF547" s="2224"/>
      <c r="AG547" s="2224"/>
      <c r="AH547" s="156"/>
      <c r="AI547" s="156"/>
      <c r="AJ547" s="156"/>
      <c r="AK547" s="156"/>
      <c r="AL547" s="156"/>
      <c r="AM547" s="156"/>
      <c r="AN547" s="156"/>
      <c r="AO547" s="156"/>
      <c r="AP547" s="156"/>
      <c r="AQ547" s="156"/>
      <c r="AR547" s="156"/>
      <c r="AS547" s="156"/>
      <c r="AT547" s="156"/>
      <c r="AU547" s="156"/>
      <c r="AV547" s="156"/>
      <c r="AW547" s="156"/>
      <c r="AX547" s="156"/>
      <c r="AY547" s="156"/>
      <c r="AZ547" s="156"/>
      <c r="BA547" s="156"/>
      <c r="BB547" s="2828"/>
      <c r="BC547" s="504"/>
      <c r="BD547" s="2829"/>
      <c r="BE547" s="2837"/>
      <c r="BF547" s="156"/>
    </row>
    <row r="548" spans="1:58" ht="29" hidden="1" outlineLevel="1" x14ac:dyDescent="0.35">
      <c r="A548" s="1071"/>
      <c r="B548" s="106"/>
      <c r="C548" s="103"/>
      <c r="D548" s="4140"/>
      <c r="E548" s="4138"/>
      <c r="F548" s="3919" t="str">
        <f t="shared" si="67"/>
        <v>CAC-SEER19_ER1_MF_CompE</v>
      </c>
      <c r="G548" s="3920"/>
      <c r="H548" s="3921"/>
      <c r="I548" s="2224" t="str">
        <f t="shared" si="68"/>
        <v>351173_2021_12_</v>
      </c>
      <c r="J548" s="1840">
        <v>8.33</v>
      </c>
      <c r="K548" s="112"/>
      <c r="L548" s="2062" t="s">
        <v>810</v>
      </c>
      <c r="M548" s="103"/>
      <c r="N548" s="1287"/>
      <c r="O548" s="103"/>
      <c r="P548" s="106"/>
      <c r="Q548" s="106"/>
      <c r="R548" s="106"/>
      <c r="S548" s="106"/>
      <c r="T548" s="106"/>
      <c r="U548" s="106"/>
      <c r="V548" s="4023"/>
      <c r="W548" s="2224"/>
      <c r="X548" s="2224"/>
      <c r="Y548" s="2224"/>
      <c r="Z548" s="2374">
        <v>8.33</v>
      </c>
      <c r="AA548" s="2224">
        <v>8.33</v>
      </c>
      <c r="AB548" s="2887">
        <v>8.33</v>
      </c>
      <c r="AC548" s="1840">
        <v>8.33</v>
      </c>
      <c r="AD548" s="1840">
        <v>8.33</v>
      </c>
      <c r="AE548" s="2224"/>
      <c r="AF548" s="2224"/>
      <c r="AG548" s="2224"/>
      <c r="AH548" s="156"/>
      <c r="AI548" s="156"/>
      <c r="AJ548" s="156"/>
      <c r="AK548" s="156"/>
      <c r="AL548" s="156"/>
      <c r="AM548" s="156"/>
      <c r="AN548" s="156"/>
      <c r="AO548" s="156"/>
      <c r="AP548" s="156"/>
      <c r="AQ548" s="156"/>
      <c r="AR548" s="156"/>
      <c r="AS548" s="156"/>
      <c r="AT548" s="156"/>
      <c r="AU548" s="156"/>
      <c r="AV548" s="156"/>
      <c r="AW548" s="156"/>
      <c r="AX548" s="156"/>
      <c r="AY548" s="156"/>
      <c r="AZ548" s="156"/>
      <c r="BA548" s="156"/>
      <c r="BB548" s="2828"/>
      <c r="BC548" s="504"/>
      <c r="BD548" s="2829"/>
      <c r="BE548" s="2837"/>
      <c r="BF548" s="156"/>
    </row>
    <row r="549" spans="1:58" hidden="1" outlineLevel="1" x14ac:dyDescent="0.35">
      <c r="A549" s="1071"/>
      <c r="B549" s="106"/>
      <c r="C549" s="103"/>
      <c r="D549" s="4140"/>
      <c r="E549" s="4138"/>
      <c r="F549" s="3919" t="str">
        <f t="shared" si="67"/>
        <v>CAC-SEER19_ER2_MF_CompE</v>
      </c>
      <c r="G549" s="3920"/>
      <c r="H549" s="3921"/>
      <c r="I549" s="2224" t="str">
        <f t="shared" si="68"/>
        <v>351173_2021_12_</v>
      </c>
      <c r="J549" s="1840"/>
      <c r="K549" s="112"/>
      <c r="L549" s="2297"/>
      <c r="M549" s="103"/>
      <c r="N549" s="1287"/>
      <c r="O549" s="103"/>
      <c r="P549" s="106"/>
      <c r="Q549" s="106"/>
      <c r="R549" s="106"/>
      <c r="S549" s="106"/>
      <c r="T549" s="106"/>
      <c r="U549" s="106"/>
      <c r="V549" s="4023"/>
      <c r="W549" s="2224"/>
      <c r="X549" s="2224"/>
      <c r="Y549" s="2224"/>
      <c r="Z549" s="2374"/>
      <c r="AA549" s="2224"/>
      <c r="AB549" s="2887"/>
      <c r="AC549" s="1840"/>
      <c r="AD549" s="1840"/>
      <c r="AE549" s="2224"/>
      <c r="AF549" s="2224"/>
      <c r="AG549" s="2224"/>
      <c r="AH549" s="156"/>
      <c r="AI549" s="156"/>
      <c r="AJ549" s="156"/>
      <c r="AK549" s="156"/>
      <c r="AL549" s="156"/>
      <c r="AM549" s="156"/>
      <c r="AN549" s="156"/>
      <c r="AO549" s="156"/>
      <c r="AP549" s="156"/>
      <c r="AQ549" s="156"/>
      <c r="AR549" s="156"/>
      <c r="AS549" s="156"/>
      <c r="AT549" s="156"/>
      <c r="AU549" s="156"/>
      <c r="AV549" s="156"/>
      <c r="AW549" s="156"/>
      <c r="AX549" s="156"/>
      <c r="AY549" s="156"/>
      <c r="AZ549" s="156"/>
      <c r="BA549" s="156"/>
      <c r="BB549" s="2828"/>
      <c r="BC549" s="504"/>
      <c r="BD549" s="2829"/>
      <c r="BE549" s="2837"/>
      <c r="BF549" s="156"/>
    </row>
    <row r="550" spans="1:58" hidden="1" outlineLevel="1" x14ac:dyDescent="0.35">
      <c r="A550" s="1071"/>
      <c r="B550" s="106"/>
      <c r="C550" s="103"/>
      <c r="D550" s="4140"/>
      <c r="E550" s="4138"/>
      <c r="F550" s="3919" t="str">
        <f t="shared" si="67"/>
        <v>CAC-SEER19_ROF_MF</v>
      </c>
      <c r="G550" s="3920"/>
      <c r="H550" s="3921"/>
      <c r="I550" s="2224" t="str">
        <f t="shared" si="68"/>
        <v>351174_2021_12_</v>
      </c>
      <c r="J550" s="1840"/>
      <c r="K550" s="112"/>
      <c r="L550" s="2297"/>
      <c r="M550" s="103"/>
      <c r="N550" s="1287"/>
      <c r="O550" s="103"/>
      <c r="P550" s="106"/>
      <c r="Q550" s="106"/>
      <c r="R550" s="106"/>
      <c r="S550" s="106"/>
      <c r="T550" s="106"/>
      <c r="U550" s="106"/>
      <c r="V550" s="4023"/>
      <c r="W550" s="2224"/>
      <c r="X550" s="2224"/>
      <c r="Y550" s="2224"/>
      <c r="Z550" s="2374"/>
      <c r="AA550" s="2224"/>
      <c r="AB550" s="2887"/>
      <c r="AC550" s="1840"/>
      <c r="AD550" s="1840"/>
      <c r="AE550" s="2224"/>
      <c r="AF550" s="2224"/>
      <c r="AG550" s="2224"/>
      <c r="AH550" s="156"/>
      <c r="AI550" s="156"/>
      <c r="AJ550" s="156"/>
      <c r="AK550" s="156"/>
      <c r="AL550" s="156"/>
      <c r="AM550" s="156"/>
      <c r="AN550" s="156"/>
      <c r="AO550" s="156"/>
      <c r="AP550" s="156"/>
      <c r="AQ550" s="156"/>
      <c r="AR550" s="156"/>
      <c r="AS550" s="156"/>
      <c r="AT550" s="156"/>
      <c r="AU550" s="156"/>
      <c r="AV550" s="156"/>
      <c r="AW550" s="156"/>
      <c r="AX550" s="156"/>
      <c r="AY550" s="156"/>
      <c r="AZ550" s="156"/>
      <c r="BA550" s="156"/>
      <c r="BB550" s="2828"/>
      <c r="BC550" s="504"/>
      <c r="BD550" s="2829"/>
      <c r="BE550" s="2837"/>
      <c r="BF550" s="156"/>
    </row>
    <row r="551" spans="1:58" hidden="1" outlineLevel="1" x14ac:dyDescent="0.35">
      <c r="A551" s="1071"/>
      <c r="B551" s="106"/>
      <c r="C551" s="103"/>
      <c r="D551" s="4140"/>
      <c r="E551" s="4138"/>
      <c r="F551" s="3919" t="str">
        <f t="shared" si="67"/>
        <v>CAC-SEER19_ROF_MF_CompE</v>
      </c>
      <c r="G551" s="3920"/>
      <c r="H551" s="3921"/>
      <c r="I551" s="2224" t="str">
        <f t="shared" si="68"/>
        <v>351175_2021_12_</v>
      </c>
      <c r="J551" s="1840"/>
      <c r="K551" s="112"/>
      <c r="L551" s="2297"/>
      <c r="M551" s="103"/>
      <c r="N551" s="1287"/>
      <c r="O551" s="103"/>
      <c r="P551" s="106"/>
      <c r="Q551" s="106"/>
      <c r="R551" s="106"/>
      <c r="S551" s="106"/>
      <c r="T551" s="106"/>
      <c r="U551" s="106"/>
      <c r="V551" s="4023"/>
      <c r="W551" s="2224"/>
      <c r="X551" s="2224"/>
      <c r="Y551" s="2224"/>
      <c r="Z551" s="2374"/>
      <c r="AA551" s="2224"/>
      <c r="AB551" s="2887"/>
      <c r="AC551" s="1840"/>
      <c r="AD551" s="1840"/>
      <c r="AE551" s="2224"/>
      <c r="AF551" s="2224"/>
      <c r="AG551" s="2224"/>
      <c r="AH551" s="156"/>
      <c r="AI551" s="156"/>
      <c r="AJ551" s="156"/>
      <c r="AK551" s="156"/>
      <c r="AL551" s="156"/>
      <c r="AM551" s="156"/>
      <c r="AN551" s="156"/>
      <c r="AO551" s="156"/>
      <c r="AP551" s="156"/>
      <c r="AQ551" s="156"/>
      <c r="AR551" s="156"/>
      <c r="AS551" s="156"/>
      <c r="AT551" s="156"/>
      <c r="AU551" s="156"/>
      <c r="AV551" s="156"/>
      <c r="AW551" s="156"/>
      <c r="AX551" s="156"/>
      <c r="AY551" s="156"/>
      <c r="AZ551" s="156"/>
      <c r="BA551" s="156"/>
      <c r="BB551" s="2828"/>
      <c r="BC551" s="504"/>
      <c r="BD551" s="2829"/>
      <c r="BE551" s="2837"/>
      <c r="BF551" s="156"/>
    </row>
    <row r="552" spans="1:58" hidden="1" outlineLevel="1" x14ac:dyDescent="0.35">
      <c r="A552" s="1071"/>
      <c r="B552" s="106"/>
      <c r="C552" s="103"/>
      <c r="D552" s="4140"/>
      <c r="E552" s="4138"/>
      <c r="F552" s="3919" t="str">
        <f t="shared" si="67"/>
        <v>CAC-SEER20_ER1_SF</v>
      </c>
      <c r="G552" s="3920"/>
      <c r="H552" s="3921"/>
      <c r="I552" s="2224" t="str">
        <f t="shared" si="68"/>
        <v>351180_2021_12_</v>
      </c>
      <c r="J552" s="2730">
        <v>7.6176123405448148</v>
      </c>
      <c r="K552" s="112"/>
      <c r="L552" s="4164" t="s">
        <v>4360</v>
      </c>
      <c r="M552" s="103"/>
      <c r="N552" s="1287"/>
      <c r="O552" s="103"/>
      <c r="P552" s="106"/>
      <c r="Q552" s="106"/>
      <c r="R552" s="106"/>
      <c r="S552" s="106"/>
      <c r="T552" s="106"/>
      <c r="U552" s="106"/>
      <c r="V552" s="4023"/>
      <c r="W552" s="2224"/>
      <c r="X552" s="2374"/>
      <c r="Y552" s="2224"/>
      <c r="Z552" s="2374">
        <v>8.33</v>
      </c>
      <c r="AA552" s="2224">
        <v>8.33</v>
      </c>
      <c r="AB552" s="2887">
        <v>8.33</v>
      </c>
      <c r="AC552" s="1797">
        <v>8.3552367744076541</v>
      </c>
      <c r="AD552" s="2730">
        <v>7.6176123405448148</v>
      </c>
      <c r="AE552" s="2224"/>
      <c r="AF552" s="2224"/>
      <c r="AG552" s="2224"/>
      <c r="AH552" s="156"/>
      <c r="AI552" s="156"/>
      <c r="AJ552" s="156"/>
      <c r="AK552" s="156"/>
      <c r="AL552" s="156"/>
      <c r="AM552" s="156"/>
      <c r="AN552" s="156"/>
      <c r="AO552" s="156"/>
      <c r="AP552" s="156"/>
      <c r="AQ552" s="156"/>
      <c r="AR552" s="156"/>
      <c r="AS552" s="156"/>
      <c r="AT552" s="156"/>
      <c r="AU552" s="156"/>
      <c r="AV552" s="156"/>
      <c r="AW552" s="156"/>
      <c r="AX552" s="156"/>
      <c r="AY552" s="156"/>
      <c r="AZ552" s="156"/>
      <c r="BA552" s="156"/>
      <c r="BB552" s="2828"/>
      <c r="BC552" s="504"/>
      <c r="BD552" s="2829"/>
      <c r="BE552" s="2837"/>
      <c r="BF552" s="156"/>
    </row>
    <row r="553" spans="1:58" hidden="1" outlineLevel="1" x14ac:dyDescent="0.35">
      <c r="A553" s="1071"/>
      <c r="B553" s="106"/>
      <c r="C553" s="103"/>
      <c r="D553" s="4140"/>
      <c r="E553" s="4138"/>
      <c r="F553" s="3919" t="str">
        <f t="shared" si="67"/>
        <v>CAC-SEER20_ER2_SF</v>
      </c>
      <c r="G553" s="3920"/>
      <c r="H553" s="3921"/>
      <c r="I553" s="2224" t="str">
        <f t="shared" si="68"/>
        <v>351180_2021_12_</v>
      </c>
      <c r="J553" s="1840"/>
      <c r="K553" s="112"/>
      <c r="L553" s="4165"/>
      <c r="M553" s="103"/>
      <c r="N553" s="1287"/>
      <c r="O553" s="103"/>
      <c r="P553" s="106"/>
      <c r="Q553" s="106"/>
      <c r="R553" s="106"/>
      <c r="S553" s="106"/>
      <c r="T553" s="106"/>
      <c r="U553" s="106"/>
      <c r="V553" s="4023"/>
      <c r="W553" s="2224"/>
      <c r="X553" s="2224"/>
      <c r="Y553" s="2224"/>
      <c r="Z553" s="2374"/>
      <c r="AA553" s="2224"/>
      <c r="AB553" s="2887"/>
      <c r="AC553" s="1840"/>
      <c r="AD553" s="1840"/>
      <c r="AE553" s="2224"/>
      <c r="AF553" s="2224"/>
      <c r="AG553" s="2224"/>
      <c r="AH553" s="156"/>
      <c r="AI553" s="156"/>
      <c r="AJ553" s="156"/>
      <c r="AK553" s="156"/>
      <c r="AL553" s="156"/>
      <c r="AM553" s="156"/>
      <c r="AN553" s="156"/>
      <c r="AO553" s="156"/>
      <c r="AP553" s="156"/>
      <c r="AQ553" s="156"/>
      <c r="AR553" s="156"/>
      <c r="AS553" s="156"/>
      <c r="AT553" s="156"/>
      <c r="AU553" s="156"/>
      <c r="AV553" s="156"/>
      <c r="AW553" s="156"/>
      <c r="AX553" s="156"/>
      <c r="AY553" s="156"/>
      <c r="AZ553" s="156"/>
      <c r="BA553" s="156"/>
      <c r="BB553" s="2828"/>
      <c r="BC553" s="504"/>
      <c r="BD553" s="2829"/>
      <c r="BE553" s="2837"/>
      <c r="BF553" s="156"/>
    </row>
    <row r="554" spans="1:58" hidden="1" outlineLevel="1" x14ac:dyDescent="0.35">
      <c r="A554" s="1071"/>
      <c r="B554" s="106"/>
      <c r="C554" s="103"/>
      <c r="D554" s="4140"/>
      <c r="E554" s="4138"/>
      <c r="F554" s="3919" t="str">
        <f t="shared" si="67"/>
        <v>CAC-SEER20_ROF_SF</v>
      </c>
      <c r="G554" s="3920"/>
      <c r="H554" s="3921"/>
      <c r="I554" s="2224" t="str">
        <f t="shared" si="68"/>
        <v>351181_2021_12_</v>
      </c>
      <c r="J554" s="1840"/>
      <c r="K554" s="112"/>
      <c r="L554" s="2297"/>
      <c r="M554" s="103"/>
      <c r="N554" s="1287"/>
      <c r="O554" s="103"/>
      <c r="P554" s="106"/>
      <c r="Q554" s="106"/>
      <c r="R554" s="106"/>
      <c r="S554" s="106"/>
      <c r="T554" s="106"/>
      <c r="U554" s="106"/>
      <c r="V554" s="4023"/>
      <c r="W554" s="2224"/>
      <c r="X554" s="2224"/>
      <c r="Y554" s="2224"/>
      <c r="Z554" s="2374"/>
      <c r="AA554" s="2224"/>
      <c r="AB554" s="2887"/>
      <c r="AC554" s="1840"/>
      <c r="AD554" s="1840"/>
      <c r="AE554" s="2224"/>
      <c r="AF554" s="2224"/>
      <c r="AG554" s="2224"/>
      <c r="AH554" s="156"/>
      <c r="AI554" s="156"/>
      <c r="AJ554" s="156"/>
      <c r="AK554" s="156"/>
      <c r="AL554" s="156"/>
      <c r="AM554" s="156"/>
      <c r="AN554" s="156"/>
      <c r="AO554" s="156"/>
      <c r="AP554" s="156"/>
      <c r="AQ554" s="156"/>
      <c r="AR554" s="156"/>
      <c r="AS554" s="156"/>
      <c r="AT554" s="156"/>
      <c r="AU554" s="156"/>
      <c r="AV554" s="156"/>
      <c r="AW554" s="156"/>
      <c r="AX554" s="156"/>
      <c r="AY554" s="156"/>
      <c r="AZ554" s="156"/>
      <c r="BA554" s="156"/>
      <c r="BB554" s="2828"/>
      <c r="BC554" s="504"/>
      <c r="BD554" s="2829"/>
      <c r="BE554" s="2837"/>
      <c r="BF554" s="156"/>
    </row>
    <row r="555" spans="1:58" hidden="1" outlineLevel="1" x14ac:dyDescent="0.35">
      <c r="A555" s="1071"/>
      <c r="B555" s="106"/>
      <c r="C555" s="103"/>
      <c r="D555" s="4140"/>
      <c r="E555" s="4138"/>
      <c r="F555" s="3919" t="str">
        <f t="shared" si="67"/>
        <v>CAC-SEER20_ER1_MF</v>
      </c>
      <c r="G555" s="3920"/>
      <c r="H555" s="3921"/>
      <c r="I555" s="2224" t="str">
        <f t="shared" si="68"/>
        <v>351182_2021_12_</v>
      </c>
      <c r="J555" s="1840">
        <v>8.402496453661275</v>
      </c>
      <c r="K555" s="112"/>
      <c r="L555" s="4168" t="s">
        <v>974</v>
      </c>
      <c r="M555" s="103"/>
      <c r="N555" s="1287"/>
      <c r="O555" s="103"/>
      <c r="P555" s="106"/>
      <c r="Q555" s="106"/>
      <c r="R555" s="106"/>
      <c r="S555" s="106"/>
      <c r="T555" s="106"/>
      <c r="U555" s="106"/>
      <c r="V555" s="4023"/>
      <c r="W555" s="2224"/>
      <c r="X555" s="2374"/>
      <c r="Y555" s="2224"/>
      <c r="Z555" s="2374">
        <v>8.33</v>
      </c>
      <c r="AA555" s="2224">
        <v>8.33</v>
      </c>
      <c r="AB555" s="2887">
        <v>8.33</v>
      </c>
      <c r="AC555" s="1797">
        <v>8.402496453661275</v>
      </c>
      <c r="AD555" s="1840">
        <v>8.402496453661275</v>
      </c>
      <c r="AE555" s="2224"/>
      <c r="AF555" s="2224"/>
      <c r="AG555" s="2224"/>
      <c r="AH555" s="156"/>
      <c r="AI555" s="156"/>
      <c r="AJ555" s="156"/>
      <c r="AK555" s="156"/>
      <c r="AL555" s="156"/>
      <c r="AM555" s="156"/>
      <c r="AN555" s="156"/>
      <c r="AO555" s="156"/>
      <c r="AP555" s="156"/>
      <c r="AQ555" s="156"/>
      <c r="AR555" s="156"/>
      <c r="AS555" s="156"/>
      <c r="AT555" s="156"/>
      <c r="AU555" s="156"/>
      <c r="AV555" s="156"/>
      <c r="AW555" s="156"/>
      <c r="AX555" s="156"/>
      <c r="AY555" s="156"/>
      <c r="AZ555" s="156"/>
      <c r="BA555" s="156"/>
      <c r="BB555" s="2828"/>
      <c r="BC555" s="504"/>
      <c r="BD555" s="2829"/>
      <c r="BE555" s="2837"/>
      <c r="BF555" s="156"/>
    </row>
    <row r="556" spans="1:58" hidden="1" outlineLevel="1" x14ac:dyDescent="0.35">
      <c r="A556" s="1071"/>
      <c r="B556" s="106"/>
      <c r="C556" s="103"/>
      <c r="D556" s="4140"/>
      <c r="E556" s="4138"/>
      <c r="F556" s="3919" t="str">
        <f t="shared" si="67"/>
        <v>CAC-SEER20_ER2_MF</v>
      </c>
      <c r="G556" s="3920"/>
      <c r="H556" s="3921"/>
      <c r="I556" s="2224" t="str">
        <f t="shared" si="68"/>
        <v>351182_2021_12_</v>
      </c>
      <c r="J556" s="1840"/>
      <c r="K556" s="112"/>
      <c r="L556" s="4169"/>
      <c r="M556" s="103"/>
      <c r="N556" s="1287"/>
      <c r="O556" s="103"/>
      <c r="P556" s="106"/>
      <c r="Q556" s="106"/>
      <c r="R556" s="106"/>
      <c r="S556" s="106"/>
      <c r="T556" s="106"/>
      <c r="U556" s="106"/>
      <c r="V556" s="4023"/>
      <c r="W556" s="2224"/>
      <c r="X556" s="2224"/>
      <c r="Y556" s="2224"/>
      <c r="Z556" s="2374"/>
      <c r="AA556" s="2224"/>
      <c r="AB556" s="2887"/>
      <c r="AC556" s="1840"/>
      <c r="AD556" s="1840"/>
      <c r="AE556" s="2224"/>
      <c r="AF556" s="2224"/>
      <c r="AG556" s="2224"/>
      <c r="AH556" s="156"/>
      <c r="AI556" s="156"/>
      <c r="AJ556" s="156"/>
      <c r="AK556" s="156"/>
      <c r="AL556" s="156"/>
      <c r="AM556" s="156"/>
      <c r="AN556" s="156"/>
      <c r="AO556" s="156"/>
      <c r="AP556" s="156"/>
      <c r="AQ556" s="156"/>
      <c r="AR556" s="156"/>
      <c r="AS556" s="156"/>
      <c r="AT556" s="156"/>
      <c r="AU556" s="156"/>
      <c r="AV556" s="156"/>
      <c r="AW556" s="156"/>
      <c r="AX556" s="156"/>
      <c r="AY556" s="156"/>
      <c r="AZ556" s="156"/>
      <c r="BA556" s="156"/>
      <c r="BB556" s="2828"/>
      <c r="BC556" s="504"/>
      <c r="BD556" s="2829"/>
      <c r="BE556" s="2837"/>
      <c r="BF556" s="156"/>
    </row>
    <row r="557" spans="1:58" ht="29" hidden="1" outlineLevel="1" x14ac:dyDescent="0.35">
      <c r="A557" s="1071"/>
      <c r="B557" s="106"/>
      <c r="C557" s="103"/>
      <c r="D557" s="4140"/>
      <c r="E557" s="4138"/>
      <c r="F557" s="3919" t="str">
        <f t="shared" si="67"/>
        <v>CAC-SEER20_ER1_MF_CompE</v>
      </c>
      <c r="G557" s="3920"/>
      <c r="H557" s="3921"/>
      <c r="I557" s="2224" t="str">
        <f t="shared" si="68"/>
        <v>351183_2021_12_</v>
      </c>
      <c r="J557" s="1840">
        <v>8.33</v>
      </c>
      <c r="K557" s="112"/>
      <c r="L557" s="2062" t="s">
        <v>810</v>
      </c>
      <c r="M557" s="103"/>
      <c r="N557" s="1287"/>
      <c r="O557" s="103"/>
      <c r="P557" s="106"/>
      <c r="Q557" s="106"/>
      <c r="R557" s="106"/>
      <c r="S557" s="106"/>
      <c r="T557" s="106"/>
      <c r="U557" s="106"/>
      <c r="V557" s="4023"/>
      <c r="W557" s="2224"/>
      <c r="X557" s="2224"/>
      <c r="Y557" s="2224"/>
      <c r="Z557" s="2374">
        <v>8.33</v>
      </c>
      <c r="AA557" s="2224">
        <v>8.33</v>
      </c>
      <c r="AB557" s="2887">
        <v>8.33</v>
      </c>
      <c r="AC557" s="1840">
        <v>8.33</v>
      </c>
      <c r="AD557" s="1840">
        <v>8.33</v>
      </c>
      <c r="AE557" s="2224"/>
      <c r="AF557" s="2224"/>
      <c r="AG557" s="2224"/>
      <c r="AH557" s="156"/>
      <c r="AI557" s="156"/>
      <c r="AJ557" s="156"/>
      <c r="AK557" s="156"/>
      <c r="AL557" s="156"/>
      <c r="AM557" s="156"/>
      <c r="AN557" s="156"/>
      <c r="AO557" s="156"/>
      <c r="AP557" s="156"/>
      <c r="AQ557" s="156"/>
      <c r="AR557" s="156"/>
      <c r="AS557" s="156"/>
      <c r="AT557" s="156"/>
      <c r="AU557" s="156"/>
      <c r="AV557" s="156"/>
      <c r="AW557" s="156"/>
      <c r="AX557" s="156"/>
      <c r="AY557" s="156"/>
      <c r="AZ557" s="156"/>
      <c r="BA557" s="156"/>
      <c r="BB557" s="2828"/>
      <c r="BC557" s="504"/>
      <c r="BD557" s="2829"/>
      <c r="BE557" s="2837"/>
      <c r="BF557" s="156"/>
    </row>
    <row r="558" spans="1:58" hidden="1" outlineLevel="1" x14ac:dyDescent="0.35">
      <c r="A558" s="1071"/>
      <c r="B558" s="106"/>
      <c r="C558" s="103"/>
      <c r="D558" s="4140"/>
      <c r="E558" s="4138"/>
      <c r="F558" s="3919" t="str">
        <f t="shared" si="67"/>
        <v>CAC-SEER20_ER2_MF_CompE</v>
      </c>
      <c r="G558" s="3920"/>
      <c r="H558" s="3921"/>
      <c r="I558" s="2224" t="str">
        <f t="shared" si="68"/>
        <v>351183_2021_12_</v>
      </c>
      <c r="J558" s="1840"/>
      <c r="K558" s="112"/>
      <c r="L558" s="2297"/>
      <c r="M558" s="103"/>
      <c r="N558" s="1287"/>
      <c r="O558" s="103"/>
      <c r="P558" s="106"/>
      <c r="Q558" s="106"/>
      <c r="R558" s="106"/>
      <c r="S558" s="106"/>
      <c r="T558" s="106"/>
      <c r="U558" s="106"/>
      <c r="V558" s="4023"/>
      <c r="W558" s="2224"/>
      <c r="X558" s="2224"/>
      <c r="Y558" s="2224"/>
      <c r="Z558" s="2374"/>
      <c r="AA558" s="2224"/>
      <c r="AB558" s="2887"/>
      <c r="AC558" s="1840"/>
      <c r="AD558" s="1840"/>
      <c r="AE558" s="2224"/>
      <c r="AF558" s="2224"/>
      <c r="AG558" s="2224"/>
      <c r="AH558" s="156"/>
      <c r="AI558" s="156"/>
      <c r="AJ558" s="156"/>
      <c r="AK558" s="156"/>
      <c r="AL558" s="156"/>
      <c r="AM558" s="156"/>
      <c r="AN558" s="156"/>
      <c r="AO558" s="156"/>
      <c r="AP558" s="156"/>
      <c r="AQ558" s="156"/>
      <c r="AR558" s="156"/>
      <c r="AS558" s="156"/>
      <c r="AT558" s="156"/>
      <c r="AU558" s="156"/>
      <c r="AV558" s="156"/>
      <c r="AW558" s="156"/>
      <c r="AX558" s="156"/>
      <c r="AY558" s="156"/>
      <c r="AZ558" s="156"/>
      <c r="BA558" s="156"/>
      <c r="BB558" s="2828"/>
      <c r="BC558" s="504"/>
      <c r="BD558" s="2829"/>
      <c r="BE558" s="2837"/>
      <c r="BF558" s="156"/>
    </row>
    <row r="559" spans="1:58" hidden="1" outlineLevel="1" x14ac:dyDescent="0.35">
      <c r="A559" s="1071"/>
      <c r="B559" s="106"/>
      <c r="C559" s="103"/>
      <c r="D559" s="4140"/>
      <c r="E559" s="4138"/>
      <c r="F559" s="3919" t="str">
        <f t="shared" si="67"/>
        <v>CAC-SEER20_ROF_MF</v>
      </c>
      <c r="G559" s="3920"/>
      <c r="H559" s="3921"/>
      <c r="I559" s="2224" t="str">
        <f t="shared" si="68"/>
        <v>351184_2021_12_</v>
      </c>
      <c r="J559" s="1840"/>
      <c r="K559" s="112"/>
      <c r="L559" s="2297"/>
      <c r="M559" s="103"/>
      <c r="N559" s="1287"/>
      <c r="O559" s="103"/>
      <c r="P559" s="106"/>
      <c r="Q559" s="106"/>
      <c r="R559" s="106"/>
      <c r="S559" s="106"/>
      <c r="T559" s="106"/>
      <c r="U559" s="106"/>
      <c r="V559" s="4023"/>
      <c r="W559" s="2224"/>
      <c r="X559" s="2224"/>
      <c r="Y559" s="2224"/>
      <c r="Z559" s="2374"/>
      <c r="AA559" s="2224"/>
      <c r="AB559" s="2887"/>
      <c r="AC559" s="1840"/>
      <c r="AD559" s="1840"/>
      <c r="AE559" s="2224"/>
      <c r="AF559" s="2224"/>
      <c r="AG559" s="2224"/>
      <c r="AH559" s="156"/>
      <c r="AI559" s="156"/>
      <c r="AJ559" s="156"/>
      <c r="AK559" s="156"/>
      <c r="AL559" s="156"/>
      <c r="AM559" s="156"/>
      <c r="AN559" s="156"/>
      <c r="AO559" s="156"/>
      <c r="AP559" s="156"/>
      <c r="AQ559" s="156"/>
      <c r="AR559" s="156"/>
      <c r="AS559" s="156"/>
      <c r="AT559" s="156"/>
      <c r="AU559" s="156"/>
      <c r="AV559" s="156"/>
      <c r="AW559" s="156"/>
      <c r="AX559" s="156"/>
      <c r="AY559" s="156"/>
      <c r="AZ559" s="156"/>
      <c r="BA559" s="156"/>
      <c r="BB559" s="2828"/>
      <c r="BC559" s="504"/>
      <c r="BD559" s="2829"/>
      <c r="BE559" s="2837"/>
      <c r="BF559" s="156"/>
    </row>
    <row r="560" spans="1:58" hidden="1" outlineLevel="1" x14ac:dyDescent="0.35">
      <c r="A560" s="1071"/>
      <c r="B560" s="106"/>
      <c r="C560" s="103"/>
      <c r="D560" s="4140"/>
      <c r="E560" s="4138"/>
      <c r="F560" s="3919" t="str">
        <f t="shared" si="67"/>
        <v>CAC-SEER20_ROF_MF_CompE</v>
      </c>
      <c r="G560" s="3920"/>
      <c r="H560" s="3921"/>
      <c r="I560" s="2224" t="str">
        <f t="shared" si="68"/>
        <v>351185_2021_12_</v>
      </c>
      <c r="J560" s="1840"/>
      <c r="K560" s="112"/>
      <c r="L560" s="2297"/>
      <c r="M560" s="103"/>
      <c r="N560" s="1287"/>
      <c r="O560" s="103"/>
      <c r="P560" s="106"/>
      <c r="Q560" s="106"/>
      <c r="R560" s="106"/>
      <c r="S560" s="106"/>
      <c r="T560" s="106"/>
      <c r="U560" s="106"/>
      <c r="V560" s="4023"/>
      <c r="W560" s="2224"/>
      <c r="X560" s="2224"/>
      <c r="Y560" s="2224"/>
      <c r="Z560" s="2374"/>
      <c r="AA560" s="2224"/>
      <c r="AB560" s="2887"/>
      <c r="AC560" s="1840"/>
      <c r="AD560" s="1840"/>
      <c r="AE560" s="2224"/>
      <c r="AF560" s="2224"/>
      <c r="AG560" s="2224"/>
      <c r="AH560" s="156"/>
      <c r="AI560" s="156"/>
      <c r="AJ560" s="156"/>
      <c r="AK560" s="156"/>
      <c r="AL560" s="156"/>
      <c r="AM560" s="156"/>
      <c r="AN560" s="156"/>
      <c r="AO560" s="156"/>
      <c r="AP560" s="156"/>
      <c r="AQ560" s="156"/>
      <c r="AR560" s="156"/>
      <c r="AS560" s="156"/>
      <c r="AT560" s="156"/>
      <c r="AU560" s="156"/>
      <c r="AV560" s="156"/>
      <c r="AW560" s="156"/>
      <c r="AX560" s="156"/>
      <c r="AY560" s="156"/>
      <c r="AZ560" s="156"/>
      <c r="BA560" s="156"/>
      <c r="BB560" s="2828"/>
      <c r="BC560" s="504"/>
      <c r="BD560" s="2829"/>
      <c r="BE560" s="2837"/>
      <c r="BF560" s="156"/>
    </row>
    <row r="561" spans="1:58" hidden="1" outlineLevel="1" x14ac:dyDescent="0.35">
      <c r="A561" s="1071"/>
      <c r="B561" s="106"/>
      <c r="C561" s="103"/>
      <c r="D561" s="4140"/>
      <c r="E561" s="4138"/>
      <c r="F561" s="3919" t="str">
        <f t="shared" si="67"/>
        <v>CAC-SEER21+_ER1_SF</v>
      </c>
      <c r="G561" s="3920"/>
      <c r="H561" s="3921"/>
      <c r="I561" s="2224" t="str">
        <f t="shared" si="68"/>
        <v>351190_2021_12_</v>
      </c>
      <c r="J561" s="2730">
        <v>7.6821918988181608</v>
      </c>
      <c r="K561" s="112"/>
      <c r="L561" s="4164" t="s">
        <v>4360</v>
      </c>
      <c r="M561" s="103"/>
      <c r="N561" s="1287"/>
      <c r="O561" s="103"/>
      <c r="P561" s="106"/>
      <c r="Q561" s="106"/>
      <c r="R561" s="106"/>
      <c r="S561" s="106"/>
      <c r="T561" s="106"/>
      <c r="U561" s="106"/>
      <c r="V561" s="4023"/>
      <c r="W561" s="2224"/>
      <c r="X561" s="2374"/>
      <c r="Y561" s="2224"/>
      <c r="Z561" s="2374">
        <v>8.33</v>
      </c>
      <c r="AA561" s="2224">
        <v>8.33</v>
      </c>
      <c r="AB561" s="2887">
        <v>8.33</v>
      </c>
      <c r="AC561" s="1797">
        <v>8.45383975017978</v>
      </c>
      <c r="AD561" s="2730">
        <v>7.6821918988181608</v>
      </c>
      <c r="AE561" s="2224"/>
      <c r="AF561" s="2224"/>
      <c r="AG561" s="2224"/>
      <c r="AH561" s="156"/>
      <c r="AI561" s="156"/>
      <c r="AJ561" s="156"/>
      <c r="AK561" s="156"/>
      <c r="AL561" s="156"/>
      <c r="AM561" s="156"/>
      <c r="AN561" s="156"/>
      <c r="AO561" s="156"/>
      <c r="AP561" s="156"/>
      <c r="AQ561" s="156"/>
      <c r="AR561" s="156"/>
      <c r="AS561" s="156"/>
      <c r="AT561" s="156"/>
      <c r="AU561" s="156"/>
      <c r="AV561" s="156"/>
      <c r="AW561" s="156"/>
      <c r="AX561" s="156"/>
      <c r="AY561" s="156"/>
      <c r="AZ561" s="156"/>
      <c r="BA561" s="156"/>
      <c r="BB561" s="2828"/>
      <c r="BC561" s="504"/>
      <c r="BD561" s="2829"/>
      <c r="BE561" s="2837"/>
      <c r="BF561" s="156"/>
    </row>
    <row r="562" spans="1:58" ht="14.5" hidden="1" customHeight="1" outlineLevel="1" x14ac:dyDescent="0.35">
      <c r="A562" s="1071"/>
      <c r="B562" s="106"/>
      <c r="C562" s="103"/>
      <c r="D562" s="4140"/>
      <c r="E562" s="4138"/>
      <c r="F562" s="3919" t="str">
        <f t="shared" si="67"/>
        <v>CAC-SEER21+_ER2_SF</v>
      </c>
      <c r="G562" s="3920"/>
      <c r="H562" s="3921"/>
      <c r="I562" s="2224" t="str">
        <f t="shared" si="68"/>
        <v>351190_2021_12_</v>
      </c>
      <c r="J562" s="1840"/>
      <c r="K562" s="112"/>
      <c r="L562" s="4165"/>
      <c r="M562" s="103"/>
      <c r="N562" s="1287"/>
      <c r="O562" s="103"/>
      <c r="P562" s="106"/>
      <c r="Q562" s="106"/>
      <c r="R562" s="106"/>
      <c r="S562" s="106"/>
      <c r="T562" s="106"/>
      <c r="U562" s="106"/>
      <c r="V562" s="4023"/>
      <c r="W562" s="2224"/>
      <c r="X562" s="2224"/>
      <c r="Y562" s="2224"/>
      <c r="Z562" s="2374"/>
      <c r="AA562" s="2224"/>
      <c r="AB562" s="2887"/>
      <c r="AC562" s="1840"/>
      <c r="AD562" s="1840"/>
      <c r="AE562" s="2224"/>
      <c r="AF562" s="2224"/>
      <c r="AG562" s="2224"/>
      <c r="AH562" s="156"/>
      <c r="AI562" s="156"/>
      <c r="AJ562" s="156"/>
      <c r="AK562" s="156"/>
      <c r="AL562" s="156"/>
      <c r="AM562" s="156"/>
      <c r="AN562" s="156"/>
      <c r="AO562" s="156"/>
      <c r="AP562" s="156"/>
      <c r="AQ562" s="156"/>
      <c r="AR562" s="156"/>
      <c r="AS562" s="156"/>
      <c r="AT562" s="156"/>
      <c r="AU562" s="156"/>
      <c r="AV562" s="156"/>
      <c r="AW562" s="156"/>
      <c r="AX562" s="156"/>
      <c r="AY562" s="156"/>
      <c r="AZ562" s="156"/>
      <c r="BA562" s="156"/>
      <c r="BB562" s="2828"/>
      <c r="BC562" s="504"/>
      <c r="BD562" s="2829"/>
      <c r="BE562" s="2837"/>
      <c r="BF562" s="156"/>
    </row>
    <row r="563" spans="1:58" ht="14.5" hidden="1" customHeight="1" outlineLevel="1" x14ac:dyDescent="0.35">
      <c r="A563" s="1071"/>
      <c r="B563" s="106"/>
      <c r="C563" s="103"/>
      <c r="D563" s="4140"/>
      <c r="E563" s="4138"/>
      <c r="F563" s="3919" t="str">
        <f t="shared" si="67"/>
        <v>CAC-SEER21+_ROF_SF</v>
      </c>
      <c r="G563" s="3920"/>
      <c r="H563" s="3921"/>
      <c r="I563" s="2224" t="str">
        <f t="shared" si="68"/>
        <v>351191_2021_12_</v>
      </c>
      <c r="J563" s="1840"/>
      <c r="K563" s="112"/>
      <c r="L563" s="2297"/>
      <c r="M563" s="103"/>
      <c r="N563" s="1287"/>
      <c r="O563" s="103"/>
      <c r="P563" s="106"/>
      <c r="Q563" s="106"/>
      <c r="R563" s="106"/>
      <c r="S563" s="106"/>
      <c r="T563" s="106"/>
      <c r="U563" s="106"/>
      <c r="V563" s="4023"/>
      <c r="W563" s="2224"/>
      <c r="X563" s="2224"/>
      <c r="Y563" s="2224"/>
      <c r="Z563" s="2374"/>
      <c r="AA563" s="2224"/>
      <c r="AB563" s="2887"/>
      <c r="AC563" s="1840"/>
      <c r="AD563" s="1840"/>
      <c r="AE563" s="2224"/>
      <c r="AF563" s="2224"/>
      <c r="AG563" s="2224"/>
      <c r="AH563" s="156"/>
      <c r="AI563" s="156"/>
      <c r="AJ563" s="156"/>
      <c r="AK563" s="156"/>
      <c r="AL563" s="156"/>
      <c r="AM563" s="156"/>
      <c r="AN563" s="156"/>
      <c r="AO563" s="156"/>
      <c r="AP563" s="156"/>
      <c r="AQ563" s="156"/>
      <c r="AR563" s="156"/>
      <c r="AS563" s="156"/>
      <c r="AT563" s="156"/>
      <c r="AU563" s="156"/>
      <c r="AV563" s="156"/>
      <c r="AW563" s="156"/>
      <c r="AX563" s="156"/>
      <c r="AY563" s="156"/>
      <c r="AZ563" s="156"/>
      <c r="BA563" s="156"/>
      <c r="BB563" s="2828"/>
      <c r="BC563" s="504"/>
      <c r="BD563" s="2829"/>
      <c r="BE563" s="2837"/>
      <c r="BF563" s="156"/>
    </row>
    <row r="564" spans="1:58" ht="14.5" hidden="1" customHeight="1" outlineLevel="1" x14ac:dyDescent="0.35">
      <c r="A564" s="1071"/>
      <c r="B564" s="106"/>
      <c r="C564" s="103"/>
      <c r="D564" s="4140"/>
      <c r="E564" s="4138"/>
      <c r="F564" s="3919" t="str">
        <f t="shared" si="67"/>
        <v>CAC-SEER21+_ER1_MF</v>
      </c>
      <c r="G564" s="3920"/>
      <c r="H564" s="3921"/>
      <c r="I564" s="2224" t="str">
        <f t="shared" si="68"/>
        <v>351192_2021_12_</v>
      </c>
      <c r="J564" s="1840">
        <v>8.33</v>
      </c>
      <c r="K564" s="112"/>
      <c r="L564" s="2062" t="s">
        <v>810</v>
      </c>
      <c r="M564" s="103"/>
      <c r="N564" s="1287"/>
      <c r="O564" s="103"/>
      <c r="P564" s="106"/>
      <c r="Q564" s="106"/>
      <c r="R564" s="106"/>
      <c r="S564" s="106"/>
      <c r="T564" s="106"/>
      <c r="U564" s="106"/>
      <c r="V564" s="4023"/>
      <c r="W564" s="2224"/>
      <c r="X564" s="2374"/>
      <c r="Y564" s="2224"/>
      <c r="Z564" s="2374">
        <v>8.33</v>
      </c>
      <c r="AA564" s="2224">
        <v>8.33</v>
      </c>
      <c r="AB564" s="2887">
        <v>8.33</v>
      </c>
      <c r="AC564" s="1840">
        <v>8.33</v>
      </c>
      <c r="AD564" s="1840">
        <v>8.33</v>
      </c>
      <c r="AE564" s="2224"/>
      <c r="AF564" s="2224"/>
      <c r="AG564" s="2224"/>
      <c r="AH564" s="156"/>
      <c r="AI564" s="156"/>
      <c r="AJ564" s="156"/>
      <c r="AK564" s="156"/>
      <c r="AL564" s="156"/>
      <c r="AM564" s="156"/>
      <c r="AN564" s="156"/>
      <c r="AO564" s="156"/>
      <c r="AP564" s="156"/>
      <c r="AQ564" s="156"/>
      <c r="AR564" s="156"/>
      <c r="AS564" s="156"/>
      <c r="AT564" s="156"/>
      <c r="AU564" s="156"/>
      <c r="AV564" s="156"/>
      <c r="AW564" s="156"/>
      <c r="AX564" s="156"/>
      <c r="AY564" s="156"/>
      <c r="AZ564" s="156"/>
      <c r="BA564" s="156"/>
      <c r="BB564" s="2828"/>
      <c r="BC564" s="504"/>
      <c r="BD564" s="2829"/>
      <c r="BE564" s="2837"/>
      <c r="BF564" s="156"/>
    </row>
    <row r="565" spans="1:58" ht="14.5" hidden="1" customHeight="1" outlineLevel="1" x14ac:dyDescent="0.35">
      <c r="A565" s="1071"/>
      <c r="B565" s="106"/>
      <c r="C565" s="103"/>
      <c r="D565" s="4140"/>
      <c r="E565" s="4138"/>
      <c r="F565" s="3919" t="str">
        <f t="shared" si="67"/>
        <v>CAC-SEER21+_ER2_MF</v>
      </c>
      <c r="G565" s="3920"/>
      <c r="H565" s="3921"/>
      <c r="I565" s="2224" t="str">
        <f t="shared" si="68"/>
        <v>351192_2021_12_</v>
      </c>
      <c r="J565" s="1840"/>
      <c r="K565" s="112"/>
      <c r="L565" s="2297"/>
      <c r="M565" s="103"/>
      <c r="N565" s="1287"/>
      <c r="O565" s="103"/>
      <c r="P565" s="106"/>
      <c r="Q565" s="106"/>
      <c r="R565" s="106"/>
      <c r="S565" s="106"/>
      <c r="T565" s="106"/>
      <c r="U565" s="106"/>
      <c r="V565" s="4023"/>
      <c r="W565" s="2224"/>
      <c r="X565" s="2224"/>
      <c r="Y565" s="2224"/>
      <c r="Z565" s="2374"/>
      <c r="AA565" s="2224"/>
      <c r="AB565" s="2887"/>
      <c r="AC565" s="1840"/>
      <c r="AD565" s="1840"/>
      <c r="AE565" s="2224"/>
      <c r="AF565" s="2224"/>
      <c r="AG565" s="2224"/>
      <c r="AH565" s="156"/>
      <c r="AI565" s="156"/>
      <c r="AJ565" s="156"/>
      <c r="AK565" s="156"/>
      <c r="AL565" s="156"/>
      <c r="AM565" s="156"/>
      <c r="AN565" s="156"/>
      <c r="AO565" s="156"/>
      <c r="AP565" s="156"/>
      <c r="AQ565" s="156"/>
      <c r="AR565" s="156"/>
      <c r="AS565" s="156"/>
      <c r="AT565" s="156"/>
      <c r="AU565" s="156"/>
      <c r="AV565" s="156"/>
      <c r="AW565" s="156"/>
      <c r="AX565" s="156"/>
      <c r="AY565" s="156"/>
      <c r="AZ565" s="156"/>
      <c r="BA565" s="156"/>
      <c r="BB565" s="2828"/>
      <c r="BC565" s="504"/>
      <c r="BD565" s="2829"/>
      <c r="BE565" s="2837"/>
      <c r="BF565" s="156"/>
    </row>
    <row r="566" spans="1:58" ht="14.5" hidden="1" customHeight="1" outlineLevel="1" x14ac:dyDescent="0.35">
      <c r="A566" s="1071"/>
      <c r="B566" s="106"/>
      <c r="C566" s="103"/>
      <c r="D566" s="4140"/>
      <c r="E566" s="4138"/>
      <c r="F566" s="3919" t="str">
        <f t="shared" si="67"/>
        <v>CAC-SEER21+_ER1_MF_CompE</v>
      </c>
      <c r="G566" s="3920"/>
      <c r="H566" s="3921"/>
      <c r="I566" s="576" t="str">
        <f t="shared" si="68"/>
        <v>351193_2021_12_</v>
      </c>
      <c r="J566" s="1840">
        <v>8.33</v>
      </c>
      <c r="K566" s="2063"/>
      <c r="L566" s="2062" t="s">
        <v>810</v>
      </c>
      <c r="M566" s="103"/>
      <c r="N566" s="1287"/>
      <c r="O566" s="103"/>
      <c r="P566" s="106"/>
      <c r="Q566" s="106"/>
      <c r="R566" s="106"/>
      <c r="S566" s="106"/>
      <c r="T566" s="106"/>
      <c r="U566" s="106"/>
      <c r="V566" s="4023"/>
      <c r="W566" s="2224"/>
      <c r="X566" s="576"/>
      <c r="Y566" s="576"/>
      <c r="Z566" s="575">
        <v>8.33</v>
      </c>
      <c r="AA566" s="576">
        <v>8.33</v>
      </c>
      <c r="AB566" s="2887">
        <v>8.33</v>
      </c>
      <c r="AC566" s="1840">
        <v>8.33</v>
      </c>
      <c r="AD566" s="1840">
        <v>8.33</v>
      </c>
      <c r="AE566" s="576"/>
      <c r="AF566" s="576"/>
      <c r="AG566" s="576"/>
      <c r="AH566" s="156"/>
      <c r="AI566" s="156"/>
      <c r="AJ566" s="156"/>
      <c r="AK566" s="156"/>
      <c r="AL566" s="156"/>
      <c r="AM566" s="156"/>
      <c r="AN566" s="156"/>
      <c r="AO566" s="156"/>
      <c r="AP566" s="156"/>
      <c r="AQ566" s="156"/>
      <c r="AR566" s="156"/>
      <c r="AS566" s="156"/>
      <c r="AT566" s="156"/>
      <c r="AU566" s="156"/>
      <c r="AV566" s="156"/>
      <c r="AW566" s="156"/>
      <c r="AX566" s="156"/>
      <c r="AY566" s="156"/>
      <c r="AZ566" s="156"/>
      <c r="BA566" s="156"/>
      <c r="BB566" s="2828"/>
      <c r="BC566" s="504"/>
      <c r="BD566" s="2829"/>
      <c r="BE566" s="2837"/>
      <c r="BF566" s="156"/>
    </row>
    <row r="567" spans="1:58" ht="14.5" hidden="1" customHeight="1" outlineLevel="1" x14ac:dyDescent="0.35">
      <c r="A567" s="1071"/>
      <c r="B567" s="106"/>
      <c r="C567" s="103"/>
      <c r="D567" s="4140"/>
      <c r="E567" s="4138"/>
      <c r="F567" s="3919" t="str">
        <f t="shared" si="67"/>
        <v>CAC-SEER21+_ER2_MF_CompE</v>
      </c>
      <c r="G567" s="3920"/>
      <c r="H567" s="3921"/>
      <c r="I567" s="576" t="str">
        <f t="shared" si="68"/>
        <v>351193_2021_12_</v>
      </c>
      <c r="J567" s="2057"/>
      <c r="K567" s="2063"/>
      <c r="L567" s="2297"/>
      <c r="M567" s="103"/>
      <c r="N567" s="1287"/>
      <c r="O567" s="103"/>
      <c r="P567" s="106"/>
      <c r="Q567" s="106"/>
      <c r="R567" s="106"/>
      <c r="S567" s="106"/>
      <c r="T567" s="106"/>
      <c r="U567" s="106"/>
      <c r="V567" s="4023"/>
      <c r="W567" s="2224"/>
      <c r="X567" s="576"/>
      <c r="Y567" s="576"/>
      <c r="Z567" s="575"/>
      <c r="AA567" s="576"/>
      <c r="AB567" s="2888"/>
      <c r="AC567" s="2057"/>
      <c r="AD567" s="2057"/>
      <c r="AE567" s="576"/>
      <c r="AF567" s="576"/>
      <c r="AG567" s="576"/>
      <c r="AH567" s="156"/>
      <c r="AI567" s="156"/>
      <c r="AJ567" s="156"/>
      <c r="AK567" s="156"/>
      <c r="AL567" s="156"/>
      <c r="AM567" s="156"/>
      <c r="AN567" s="156"/>
      <c r="AO567" s="156"/>
      <c r="AP567" s="156"/>
      <c r="AQ567" s="156"/>
      <c r="AR567" s="156"/>
      <c r="AS567" s="156"/>
      <c r="AT567" s="156"/>
      <c r="AU567" s="156"/>
      <c r="AV567" s="156"/>
      <c r="AW567" s="156"/>
      <c r="AX567" s="156"/>
      <c r="AY567" s="156"/>
      <c r="AZ567" s="156"/>
      <c r="BA567" s="156"/>
      <c r="BB567" s="2828"/>
      <c r="BC567" s="504"/>
      <c r="BD567" s="2829"/>
      <c r="BE567" s="2837"/>
      <c r="BF567" s="156"/>
    </row>
    <row r="568" spans="1:58" ht="15" hidden="1" customHeight="1" outlineLevel="1" x14ac:dyDescent="0.35">
      <c r="A568" s="1071"/>
      <c r="B568" s="106"/>
      <c r="C568" s="103"/>
      <c r="D568" s="4140"/>
      <c r="E568" s="4138"/>
      <c r="F568" s="3919" t="str">
        <f t="shared" si="67"/>
        <v>CAC-SEER21+_ROF_MF</v>
      </c>
      <c r="G568" s="3920"/>
      <c r="H568" s="3921"/>
      <c r="I568" s="2224" t="str">
        <f t="shared" si="68"/>
        <v>351194_2021_12_</v>
      </c>
      <c r="J568" s="1840"/>
      <c r="K568" s="112"/>
      <c r="L568" s="2297"/>
      <c r="M568" s="103"/>
      <c r="N568" s="1287"/>
      <c r="O568" s="103"/>
      <c r="P568" s="106"/>
      <c r="Q568" s="106"/>
      <c r="R568" s="106"/>
      <c r="S568" s="106"/>
      <c r="T568" s="106"/>
      <c r="U568" s="106"/>
      <c r="V568" s="4023"/>
      <c r="W568" s="2224"/>
      <c r="X568" s="2224"/>
      <c r="Y568" s="2224"/>
      <c r="Z568" s="2374"/>
      <c r="AA568" s="2224"/>
      <c r="AB568" s="2887"/>
      <c r="AC568" s="1840"/>
      <c r="AD568" s="1840"/>
      <c r="AE568" s="2224"/>
      <c r="AF568" s="2224"/>
      <c r="AG568" s="2224"/>
      <c r="AH568" s="156"/>
      <c r="AI568" s="156"/>
      <c r="AJ568" s="156"/>
      <c r="AK568" s="156"/>
      <c r="AL568" s="156"/>
      <c r="AM568" s="156"/>
      <c r="AN568" s="156"/>
      <c r="AO568" s="156"/>
      <c r="AP568" s="156"/>
      <c r="AQ568" s="156"/>
      <c r="AR568" s="156"/>
      <c r="AS568" s="156"/>
      <c r="AT568" s="156"/>
      <c r="AU568" s="156"/>
      <c r="AV568" s="156"/>
      <c r="AW568" s="156"/>
      <c r="AX568" s="156"/>
      <c r="AY568" s="156"/>
      <c r="AZ568" s="156"/>
      <c r="BA568" s="156"/>
      <c r="BB568" s="2828"/>
      <c r="BC568" s="504"/>
      <c r="BD568" s="2829"/>
      <c r="BE568" s="2837"/>
      <c r="BF568" s="156"/>
    </row>
    <row r="569" spans="1:58" ht="15" hidden="1" outlineLevel="1" thickBot="1" x14ac:dyDescent="0.4">
      <c r="A569" s="1071"/>
      <c r="B569" s="106"/>
      <c r="C569" s="103"/>
      <c r="D569" s="4141"/>
      <c r="E569" s="4139"/>
      <c r="F569" s="3922" t="str">
        <f t="shared" si="67"/>
        <v>CAC-SEER21+_ROF_MF_CompE</v>
      </c>
      <c r="G569" s="3923"/>
      <c r="H569" s="3924"/>
      <c r="I569" s="578" t="str">
        <f t="shared" si="68"/>
        <v>351195_2021_12_</v>
      </c>
      <c r="J569" s="2064"/>
      <c r="K569" s="2065"/>
      <c r="L569" s="2298"/>
      <c r="M569" s="103"/>
      <c r="N569" s="1287"/>
      <c r="O569" s="103"/>
      <c r="P569" s="106"/>
      <c r="Q569" s="106"/>
      <c r="R569" s="106"/>
      <c r="S569" s="106"/>
      <c r="T569" s="106"/>
      <c r="U569" s="106"/>
      <c r="V569" s="4024"/>
      <c r="W569" s="2224"/>
      <c r="X569" s="2227"/>
      <c r="Y569" s="2227"/>
      <c r="Z569" s="2375"/>
      <c r="AA569" s="2227"/>
      <c r="AB569" s="2889"/>
      <c r="AC569" s="2064"/>
      <c r="AD569" s="2064"/>
      <c r="AE569" s="2227"/>
      <c r="AF569" s="2227"/>
      <c r="AG569" s="2227"/>
      <c r="AH569" s="156"/>
      <c r="AI569" s="156"/>
      <c r="AJ569" s="156"/>
      <c r="AK569" s="156"/>
      <c r="AL569" s="156"/>
      <c r="AM569" s="156"/>
      <c r="AN569" s="156"/>
      <c r="AO569" s="156"/>
      <c r="AP569" s="156"/>
      <c r="AQ569" s="156"/>
      <c r="AR569" s="156"/>
      <c r="AS569" s="156"/>
      <c r="AT569" s="156"/>
      <c r="AU569" s="156"/>
      <c r="AV569" s="156"/>
      <c r="AW569" s="156"/>
      <c r="AX569" s="156"/>
      <c r="AY569" s="156"/>
      <c r="AZ569" s="156"/>
      <c r="BA569" s="156"/>
      <c r="BB569" s="2828"/>
      <c r="BC569" s="504"/>
      <c r="BD569" s="2829"/>
      <c r="BE569" s="2837"/>
      <c r="BF569" s="156"/>
    </row>
    <row r="570" spans="1:58" ht="14.5" hidden="1" customHeight="1" outlineLevel="1" x14ac:dyDescent="0.35">
      <c r="A570" s="1071"/>
      <c r="B570" s="106"/>
      <c r="C570" s="103"/>
      <c r="D570" s="4021" t="s">
        <v>293</v>
      </c>
      <c r="E570" s="4115" t="s">
        <v>983</v>
      </c>
      <c r="F570" s="3925" t="str">
        <f t="shared" si="67"/>
        <v>CAC-SEER14_ER1_SF</v>
      </c>
      <c r="G570" s="3926"/>
      <c r="H570" s="3927"/>
      <c r="I570" s="2656" t="str">
        <f t="shared" si="68"/>
        <v>350400_2021_12_</v>
      </c>
      <c r="J570" s="587">
        <v>1</v>
      </c>
      <c r="K570" s="565"/>
      <c r="L570" s="709"/>
      <c r="M570" s="103"/>
      <c r="N570" s="1287"/>
      <c r="O570" s="103"/>
      <c r="P570" s="106"/>
      <c r="Q570" s="106"/>
      <c r="R570" s="106"/>
      <c r="S570" s="106"/>
      <c r="T570" s="106"/>
      <c r="U570" s="106"/>
      <c r="V570" s="4021" t="str">
        <f>D570</f>
        <v>HF</v>
      </c>
      <c r="W570" s="587">
        <v>1</v>
      </c>
      <c r="X570" s="587">
        <f>W570</f>
        <v>1</v>
      </c>
      <c r="Y570" s="587">
        <v>1</v>
      </c>
      <c r="Z570" s="587">
        <v>1</v>
      </c>
      <c r="AA570" s="587">
        <v>1</v>
      </c>
      <c r="AB570" s="587">
        <v>1</v>
      </c>
      <c r="AC570" s="587">
        <v>1</v>
      </c>
      <c r="AD570" s="587">
        <v>1</v>
      </c>
      <c r="AE570" s="587"/>
      <c r="AF570" s="587"/>
      <c r="AG570" s="587"/>
      <c r="AH570" s="156"/>
      <c r="AI570" s="156"/>
      <c r="AJ570" s="156"/>
      <c r="AK570" s="156"/>
      <c r="AL570" s="156"/>
      <c r="AM570" s="156"/>
      <c r="AN570" s="156"/>
      <c r="AO570" s="156"/>
      <c r="AP570" s="156"/>
      <c r="AQ570" s="156"/>
      <c r="AR570" s="156"/>
      <c r="AS570" s="156"/>
      <c r="AT570" s="156"/>
      <c r="AU570" s="156"/>
      <c r="AV570" s="156"/>
      <c r="AW570" s="156"/>
      <c r="AX570" s="156"/>
      <c r="AY570" s="156"/>
      <c r="AZ570" s="156"/>
      <c r="BA570" s="156"/>
      <c r="BB570" s="2890"/>
      <c r="BC570" s="504"/>
      <c r="BD570" s="2829"/>
      <c r="BE570" s="2837"/>
      <c r="BF570" s="156"/>
    </row>
    <row r="571" spans="1:58" ht="14.5" hidden="1" customHeight="1" outlineLevel="1" x14ac:dyDescent="0.35">
      <c r="A571" s="1071"/>
      <c r="B571" s="106"/>
      <c r="C571" s="103"/>
      <c r="D571" s="4022"/>
      <c r="E571" s="4111"/>
      <c r="F571" s="3919" t="str">
        <f t="shared" si="67"/>
        <v>CAC-SEER14_ER2_SF</v>
      </c>
      <c r="G571" s="3920"/>
      <c r="H571" s="3921"/>
      <c r="I571" s="2657" t="str">
        <f t="shared" si="68"/>
        <v>350400_2021_12_</v>
      </c>
      <c r="J571" s="588">
        <v>1</v>
      </c>
      <c r="K571" s="569"/>
      <c r="L571" s="581"/>
      <c r="M571" s="103"/>
      <c r="N571" s="1287"/>
      <c r="O571" s="103"/>
      <c r="P571" s="106"/>
      <c r="Q571" s="106"/>
      <c r="R571" s="106"/>
      <c r="S571" s="106"/>
      <c r="T571" s="106"/>
      <c r="U571" s="106"/>
      <c r="V571" s="4022"/>
      <c r="W571" s="588">
        <v>1</v>
      </c>
      <c r="X571" s="588">
        <f>W571</f>
        <v>1</v>
      </c>
      <c r="Y571" s="588">
        <v>1</v>
      </c>
      <c r="Z571" s="588">
        <v>1</v>
      </c>
      <c r="AA571" s="588">
        <v>1</v>
      </c>
      <c r="AB571" s="588">
        <v>1</v>
      </c>
      <c r="AC571" s="588">
        <v>1</v>
      </c>
      <c r="AD571" s="588">
        <v>1</v>
      </c>
      <c r="AE571" s="588"/>
      <c r="AF571" s="588"/>
      <c r="AG571" s="588"/>
      <c r="AH571" s="156"/>
      <c r="AI571" s="156"/>
      <c r="AJ571" s="156"/>
      <c r="AK571" s="156"/>
      <c r="AL571" s="156"/>
      <c r="AM571" s="156"/>
      <c r="AN571" s="156"/>
      <c r="AO571" s="156"/>
      <c r="AP571" s="156"/>
      <c r="AQ571" s="156"/>
      <c r="AR571" s="156"/>
      <c r="AS571" s="156"/>
      <c r="AT571" s="156"/>
      <c r="AU571" s="156"/>
      <c r="AV571" s="156"/>
      <c r="AW571" s="156"/>
      <c r="AX571" s="156"/>
      <c r="AY571" s="156"/>
      <c r="AZ571" s="156"/>
      <c r="BA571" s="156"/>
      <c r="BB571" s="2890"/>
      <c r="BC571" s="504"/>
      <c r="BD571" s="2829"/>
      <c r="BE571" s="2837"/>
      <c r="BF571" s="156"/>
    </row>
    <row r="572" spans="1:58" ht="14.5" hidden="1" customHeight="1" outlineLevel="1" x14ac:dyDescent="0.35">
      <c r="A572" s="1071"/>
      <c r="B572" s="106"/>
      <c r="C572" s="103"/>
      <c r="D572" s="4022"/>
      <c r="E572" s="4111"/>
      <c r="F572" s="3919" t="str">
        <f t="shared" si="67"/>
        <v>CAC-SEER14_ROF_SF</v>
      </c>
      <c r="G572" s="3920"/>
      <c r="H572" s="3921"/>
      <c r="I572" s="2657" t="str">
        <f t="shared" si="68"/>
        <v>350450_2021_12_</v>
      </c>
      <c r="J572" s="588">
        <v>1</v>
      </c>
      <c r="K572" s="569"/>
      <c r="L572" s="581"/>
      <c r="M572" s="103"/>
      <c r="N572" s="1287"/>
      <c r="O572" s="103"/>
      <c r="P572" s="106"/>
      <c r="Q572" s="106"/>
      <c r="R572" s="106"/>
      <c r="S572" s="106"/>
      <c r="T572" s="106"/>
      <c r="U572" s="106"/>
      <c r="V572" s="4022"/>
      <c r="W572" s="588">
        <v>1</v>
      </c>
      <c r="X572" s="588">
        <f>W572</f>
        <v>1</v>
      </c>
      <c r="Y572" s="588">
        <v>1</v>
      </c>
      <c r="Z572" s="588">
        <v>1</v>
      </c>
      <c r="AA572" s="588">
        <v>1</v>
      </c>
      <c r="AB572" s="588">
        <v>1</v>
      </c>
      <c r="AC572" s="588">
        <v>1</v>
      </c>
      <c r="AD572" s="588">
        <v>1</v>
      </c>
      <c r="AE572" s="588"/>
      <c r="AF572" s="588"/>
      <c r="AG572" s="588"/>
      <c r="AH572" s="156"/>
      <c r="AI572" s="156"/>
      <c r="AJ572" s="156"/>
      <c r="AK572" s="156"/>
      <c r="AL572" s="156"/>
      <c r="AM572" s="156"/>
      <c r="AN572" s="156"/>
      <c r="AO572" s="156"/>
      <c r="AP572" s="156"/>
      <c r="AQ572" s="156"/>
      <c r="AR572" s="156"/>
      <c r="AS572" s="156"/>
      <c r="AT572" s="156"/>
      <c r="AU572" s="156"/>
      <c r="AV572" s="156"/>
      <c r="AW572" s="156"/>
      <c r="AX572" s="156"/>
      <c r="AY572" s="156"/>
      <c r="AZ572" s="156"/>
      <c r="BA572" s="156"/>
      <c r="BB572" s="2890"/>
      <c r="BC572" s="504"/>
      <c r="BD572" s="2829"/>
      <c r="BE572" s="2837"/>
      <c r="BF572" s="156"/>
    </row>
    <row r="573" spans="1:58" ht="14.5" hidden="1" customHeight="1" outlineLevel="1" x14ac:dyDescent="0.35">
      <c r="A573" s="1071"/>
      <c r="B573" s="106"/>
      <c r="C573" s="103"/>
      <c r="D573" s="4022"/>
      <c r="E573" s="4111"/>
      <c r="F573" s="3919" t="str">
        <f t="shared" si="67"/>
        <v>CAC-SEER14_ER1_MF</v>
      </c>
      <c r="G573" s="3920"/>
      <c r="H573" s="3921"/>
      <c r="I573" s="2657" t="str">
        <f t="shared" si="68"/>
        <v>350500_2021_12_</v>
      </c>
      <c r="J573" s="588">
        <v>1</v>
      </c>
      <c r="K573" s="569"/>
      <c r="L573" s="581"/>
      <c r="M573" s="103"/>
      <c r="N573" s="1287"/>
      <c r="O573" s="103"/>
      <c r="P573" s="106"/>
      <c r="Q573" s="106"/>
      <c r="R573" s="106"/>
      <c r="S573" s="106"/>
      <c r="T573" s="106"/>
      <c r="U573" s="106"/>
      <c r="V573" s="4022"/>
      <c r="W573" s="588">
        <v>0.65</v>
      </c>
      <c r="X573" s="589">
        <v>1</v>
      </c>
      <c r="Y573" s="588">
        <v>1</v>
      </c>
      <c r="Z573" s="588">
        <v>1</v>
      </c>
      <c r="AA573" s="588">
        <v>1</v>
      </c>
      <c r="AB573" s="588">
        <v>1</v>
      </c>
      <c r="AC573" s="588">
        <v>1</v>
      </c>
      <c r="AD573" s="588">
        <v>1</v>
      </c>
      <c r="AE573" s="588"/>
      <c r="AF573" s="588"/>
      <c r="AG573" s="588"/>
      <c r="AH573" s="156"/>
      <c r="AI573" s="156"/>
      <c r="AJ573" s="156"/>
      <c r="AK573" s="156"/>
      <c r="AL573" s="156"/>
      <c r="AM573" s="156"/>
      <c r="AN573" s="156"/>
      <c r="AO573" s="156"/>
      <c r="AP573" s="156"/>
      <c r="AQ573" s="156"/>
      <c r="AR573" s="156"/>
      <c r="AS573" s="156"/>
      <c r="AT573" s="156"/>
      <c r="AU573" s="156"/>
      <c r="AV573" s="156"/>
      <c r="AW573" s="156"/>
      <c r="AX573" s="156"/>
      <c r="AY573" s="156"/>
      <c r="AZ573" s="156"/>
      <c r="BA573" s="156"/>
      <c r="BB573" s="2890"/>
      <c r="BC573" s="504"/>
      <c r="BD573" s="2829"/>
      <c r="BE573" s="2837"/>
      <c r="BF573" s="156"/>
    </row>
    <row r="574" spans="1:58" ht="14.5" hidden="1" customHeight="1" outlineLevel="1" x14ac:dyDescent="0.35">
      <c r="A574" s="1071"/>
      <c r="B574" s="106"/>
      <c r="C574" s="103"/>
      <c r="D574" s="4022"/>
      <c r="E574" s="4111"/>
      <c r="F574" s="3919" t="str">
        <f t="shared" si="67"/>
        <v>CAC-SEER14_ER2_MF</v>
      </c>
      <c r="G574" s="3920"/>
      <c r="H574" s="3921"/>
      <c r="I574" s="2657" t="str">
        <f t="shared" si="68"/>
        <v>350500_2021_12_</v>
      </c>
      <c r="J574" s="588">
        <v>1</v>
      </c>
      <c r="K574" s="569"/>
      <c r="L574" s="581"/>
      <c r="M574" s="103"/>
      <c r="N574" s="1287"/>
      <c r="O574" s="103"/>
      <c r="P574" s="106"/>
      <c r="Q574" s="106"/>
      <c r="R574" s="106"/>
      <c r="S574" s="106"/>
      <c r="T574" s="106"/>
      <c r="U574" s="106"/>
      <c r="V574" s="4022"/>
      <c r="W574" s="588">
        <v>0.65</v>
      </c>
      <c r="X574" s="589">
        <v>1</v>
      </c>
      <c r="Y574" s="588">
        <v>1</v>
      </c>
      <c r="Z574" s="588">
        <v>1</v>
      </c>
      <c r="AA574" s="588">
        <v>1</v>
      </c>
      <c r="AB574" s="588">
        <v>1</v>
      </c>
      <c r="AC574" s="588">
        <v>1</v>
      </c>
      <c r="AD574" s="588">
        <v>1</v>
      </c>
      <c r="AE574" s="588"/>
      <c r="AF574" s="588"/>
      <c r="AG574" s="588"/>
      <c r="AH574" s="156"/>
      <c r="AI574" s="156"/>
      <c r="AJ574" s="156"/>
      <c r="AK574" s="156"/>
      <c r="AL574" s="156"/>
      <c r="AM574" s="156"/>
      <c r="AN574" s="156"/>
      <c r="AO574" s="156"/>
      <c r="AP574" s="156"/>
      <c r="AQ574" s="156"/>
      <c r="AR574" s="156"/>
      <c r="AS574" s="156"/>
      <c r="AT574" s="156"/>
      <c r="AU574" s="156"/>
      <c r="AV574" s="156"/>
      <c r="AW574" s="156"/>
      <c r="AX574" s="156"/>
      <c r="AY574" s="156"/>
      <c r="AZ574" s="156"/>
      <c r="BA574" s="156"/>
      <c r="BB574" s="2890"/>
      <c r="BC574" s="504"/>
      <c r="BD574" s="2829"/>
      <c r="BE574" s="2837"/>
      <c r="BF574" s="156"/>
    </row>
    <row r="575" spans="1:58" ht="14.5" hidden="1" customHeight="1" outlineLevel="1" x14ac:dyDescent="0.35">
      <c r="A575" s="1071"/>
      <c r="B575" s="106"/>
      <c r="C575" s="103"/>
      <c r="D575" s="4022"/>
      <c r="E575" s="4111"/>
      <c r="F575" s="3919" t="str">
        <f t="shared" si="67"/>
        <v>CAC-SEER14_ER1_MF_CompE</v>
      </c>
      <c r="G575" s="3920"/>
      <c r="H575" s="3921"/>
      <c r="I575" s="2657" t="str">
        <f t="shared" si="68"/>
        <v>350501_2021_12_</v>
      </c>
      <c r="J575" s="588">
        <v>1</v>
      </c>
      <c r="K575" s="569"/>
      <c r="L575" s="581"/>
      <c r="M575" s="103"/>
      <c r="N575" s="1287"/>
      <c r="O575" s="103"/>
      <c r="P575" s="106"/>
      <c r="Q575" s="106"/>
      <c r="R575" s="106"/>
      <c r="S575" s="106"/>
      <c r="T575" s="106"/>
      <c r="U575" s="106"/>
      <c r="V575" s="4022"/>
      <c r="W575" s="588"/>
      <c r="X575" s="589"/>
      <c r="Y575" s="588">
        <v>1</v>
      </c>
      <c r="Z575" s="588">
        <v>1</v>
      </c>
      <c r="AA575" s="588">
        <v>1</v>
      </c>
      <c r="AB575" s="588">
        <v>1</v>
      </c>
      <c r="AC575" s="588">
        <v>1</v>
      </c>
      <c r="AD575" s="588">
        <v>1</v>
      </c>
      <c r="AE575" s="588"/>
      <c r="AF575" s="588"/>
      <c r="AG575" s="588"/>
      <c r="AH575" s="156"/>
      <c r="AI575" s="156"/>
      <c r="AJ575" s="156"/>
      <c r="AK575" s="156"/>
      <c r="AL575" s="156"/>
      <c r="AM575" s="156"/>
      <c r="AN575" s="156"/>
      <c r="AO575" s="156"/>
      <c r="AP575" s="156"/>
      <c r="AQ575" s="156"/>
      <c r="AR575" s="156"/>
      <c r="AS575" s="156"/>
      <c r="AT575" s="156"/>
      <c r="AU575" s="156"/>
      <c r="AV575" s="156"/>
      <c r="AW575" s="156"/>
      <c r="AX575" s="156"/>
      <c r="AY575" s="156"/>
      <c r="AZ575" s="156"/>
      <c r="BA575" s="156"/>
      <c r="BB575" s="2890"/>
      <c r="BC575" s="504"/>
      <c r="BD575" s="2829"/>
      <c r="BE575" s="2837"/>
      <c r="BF575" s="156"/>
    </row>
    <row r="576" spans="1:58" ht="14.5" hidden="1" customHeight="1" outlineLevel="1" x14ac:dyDescent="0.35">
      <c r="A576" s="1071"/>
      <c r="B576" s="106"/>
      <c r="C576" s="103"/>
      <c r="D576" s="4022"/>
      <c r="E576" s="4111"/>
      <c r="F576" s="3919" t="str">
        <f t="shared" si="67"/>
        <v>CAC-SEER14_ER2_MF_CompE</v>
      </c>
      <c r="G576" s="3920"/>
      <c r="H576" s="3921"/>
      <c r="I576" s="2657" t="str">
        <f t="shared" si="68"/>
        <v>350501_2021_12_</v>
      </c>
      <c r="J576" s="588">
        <v>1</v>
      </c>
      <c r="K576" s="569"/>
      <c r="L576" s="581"/>
      <c r="M576" s="103"/>
      <c r="N576" s="1287"/>
      <c r="O576" s="103"/>
      <c r="P576" s="106"/>
      <c r="Q576" s="106"/>
      <c r="R576" s="106"/>
      <c r="S576" s="106"/>
      <c r="T576" s="106"/>
      <c r="U576" s="106"/>
      <c r="V576" s="4022"/>
      <c r="W576" s="588"/>
      <c r="X576" s="589"/>
      <c r="Y576" s="588">
        <v>1</v>
      </c>
      <c r="Z576" s="588">
        <v>1</v>
      </c>
      <c r="AA576" s="588">
        <v>1</v>
      </c>
      <c r="AB576" s="588">
        <v>1</v>
      </c>
      <c r="AC576" s="588">
        <v>1</v>
      </c>
      <c r="AD576" s="588">
        <v>1</v>
      </c>
      <c r="AE576" s="588"/>
      <c r="AF576" s="588"/>
      <c r="AG576" s="588"/>
      <c r="AH576" s="156"/>
      <c r="AI576" s="156"/>
      <c r="AJ576" s="156"/>
      <c r="AK576" s="156"/>
      <c r="AL576" s="156"/>
      <c r="AM576" s="156"/>
      <c r="AN576" s="156"/>
      <c r="AO576" s="156"/>
      <c r="AP576" s="156"/>
      <c r="AQ576" s="156"/>
      <c r="AR576" s="156"/>
      <c r="AS576" s="156"/>
      <c r="AT576" s="156"/>
      <c r="AU576" s="156"/>
      <c r="AV576" s="156"/>
      <c r="AW576" s="156"/>
      <c r="AX576" s="156"/>
      <c r="AY576" s="156"/>
      <c r="AZ576" s="156"/>
      <c r="BA576" s="156"/>
      <c r="BB576" s="2890"/>
      <c r="BC576" s="504"/>
      <c r="BD576" s="2829"/>
      <c r="BE576" s="2837"/>
      <c r="BF576" s="156"/>
    </row>
    <row r="577" spans="1:58" ht="14.5" hidden="1" customHeight="1" outlineLevel="1" x14ac:dyDescent="0.35">
      <c r="A577" s="1071"/>
      <c r="B577" s="106"/>
      <c r="C577" s="103"/>
      <c r="D577" s="4022"/>
      <c r="E577" s="4111"/>
      <c r="F577" s="3919" t="str">
        <f t="shared" si="67"/>
        <v>CAC-SEER14_ROF_MF</v>
      </c>
      <c r="G577" s="3920"/>
      <c r="H577" s="3921"/>
      <c r="I577" s="2657" t="str">
        <f t="shared" si="68"/>
        <v>350550_2021_12_</v>
      </c>
      <c r="J577" s="588">
        <v>1</v>
      </c>
      <c r="K577" s="569"/>
      <c r="L577" s="581"/>
      <c r="M577" s="103"/>
      <c r="N577" s="1287"/>
      <c r="O577" s="103"/>
      <c r="P577" s="106"/>
      <c r="Q577" s="106"/>
      <c r="R577" s="106"/>
      <c r="S577" s="106"/>
      <c r="T577" s="106"/>
      <c r="U577" s="106"/>
      <c r="V577" s="4022"/>
      <c r="W577" s="588">
        <v>0.65</v>
      </c>
      <c r="X577" s="589">
        <v>1</v>
      </c>
      <c r="Y577" s="588">
        <v>1</v>
      </c>
      <c r="Z577" s="588">
        <v>1</v>
      </c>
      <c r="AA577" s="588">
        <v>1</v>
      </c>
      <c r="AB577" s="588">
        <v>1</v>
      </c>
      <c r="AC577" s="588">
        <v>1</v>
      </c>
      <c r="AD577" s="588">
        <v>1</v>
      </c>
      <c r="AE577" s="588"/>
      <c r="AF577" s="588"/>
      <c r="AG577" s="588"/>
      <c r="AH577" s="156"/>
      <c r="AI577" s="156"/>
      <c r="AJ577" s="156"/>
      <c r="AK577" s="156"/>
      <c r="AL577" s="156"/>
      <c r="AM577" s="156"/>
      <c r="AN577" s="156"/>
      <c r="AO577" s="156"/>
      <c r="AP577" s="156"/>
      <c r="AQ577" s="156"/>
      <c r="AR577" s="156"/>
      <c r="AS577" s="156"/>
      <c r="AT577" s="156"/>
      <c r="AU577" s="156"/>
      <c r="AV577" s="156"/>
      <c r="AW577" s="156"/>
      <c r="AX577" s="156"/>
      <c r="AY577" s="156"/>
      <c r="AZ577" s="156"/>
      <c r="BA577" s="156"/>
      <c r="BB577" s="2890"/>
      <c r="BC577" s="504"/>
      <c r="BD577" s="2829"/>
      <c r="BE577" s="2837"/>
      <c r="BF577" s="156"/>
    </row>
    <row r="578" spans="1:58" ht="14.5" hidden="1" customHeight="1" outlineLevel="1" x14ac:dyDescent="0.35">
      <c r="A578" s="1071"/>
      <c r="B578" s="106"/>
      <c r="C578" s="103"/>
      <c r="D578" s="4022"/>
      <c r="E578" s="4111"/>
      <c r="F578" s="3919" t="str">
        <f t="shared" si="67"/>
        <v>CAC-SEER14_ROF_MF_CompE</v>
      </c>
      <c r="G578" s="3920"/>
      <c r="H578" s="3921"/>
      <c r="I578" s="2657" t="str">
        <f t="shared" si="68"/>
        <v>350551_2021_12_</v>
      </c>
      <c r="J578" s="588">
        <v>1</v>
      </c>
      <c r="K578" s="569"/>
      <c r="L578" s="581"/>
      <c r="M578" s="103"/>
      <c r="N578" s="1287"/>
      <c r="O578" s="103"/>
      <c r="P578" s="106"/>
      <c r="Q578" s="106"/>
      <c r="R578" s="106"/>
      <c r="S578" s="106"/>
      <c r="T578" s="106"/>
      <c r="U578" s="106"/>
      <c r="V578" s="4022"/>
      <c r="W578" s="588"/>
      <c r="X578" s="589"/>
      <c r="Y578" s="588">
        <v>1</v>
      </c>
      <c r="Z578" s="588">
        <v>1</v>
      </c>
      <c r="AA578" s="588">
        <v>1</v>
      </c>
      <c r="AB578" s="588">
        <v>1</v>
      </c>
      <c r="AC578" s="588">
        <v>1</v>
      </c>
      <c r="AD578" s="588">
        <v>1</v>
      </c>
      <c r="AE578" s="588"/>
      <c r="AF578" s="588"/>
      <c r="AG578" s="588"/>
      <c r="AH578" s="156"/>
      <c r="AI578" s="156"/>
      <c r="AJ578" s="156"/>
      <c r="AK578" s="156"/>
      <c r="AL578" s="156"/>
      <c r="AM578" s="156"/>
      <c r="AN578" s="156"/>
      <c r="AO578" s="156"/>
      <c r="AP578" s="156"/>
      <c r="AQ578" s="156"/>
      <c r="AR578" s="156"/>
      <c r="AS578" s="156"/>
      <c r="AT578" s="156"/>
      <c r="AU578" s="156"/>
      <c r="AV578" s="156"/>
      <c r="AW578" s="156"/>
      <c r="AX578" s="156"/>
      <c r="AY578" s="156"/>
      <c r="AZ578" s="156"/>
      <c r="BA578" s="156"/>
      <c r="BB578" s="2890"/>
      <c r="BC578" s="504"/>
      <c r="BD578" s="2829"/>
      <c r="BE578" s="2837"/>
      <c r="BF578" s="156"/>
    </row>
    <row r="579" spans="1:58" ht="14.5" hidden="1" customHeight="1" outlineLevel="1" x14ac:dyDescent="0.35">
      <c r="A579" s="1071"/>
      <c r="B579" s="106"/>
      <c r="C579" s="103"/>
      <c r="D579" s="4022"/>
      <c r="E579" s="4111"/>
      <c r="F579" s="3919" t="str">
        <f t="shared" si="67"/>
        <v>CAC-SEER15_ER1_SF</v>
      </c>
      <c r="G579" s="3920"/>
      <c r="H579" s="3921"/>
      <c r="I579" s="2657" t="str">
        <f t="shared" si="68"/>
        <v>350600_2021_12_</v>
      </c>
      <c r="J579" s="588">
        <v>1</v>
      </c>
      <c r="K579" s="569"/>
      <c r="L579" s="581"/>
      <c r="M579" s="103"/>
      <c r="N579" s="1287"/>
      <c r="O579" s="103"/>
      <c r="P579" s="106"/>
      <c r="Q579" s="106"/>
      <c r="R579" s="106"/>
      <c r="S579" s="106"/>
      <c r="T579" s="106"/>
      <c r="U579" s="106"/>
      <c r="V579" s="4022"/>
      <c r="W579" s="588">
        <v>1</v>
      </c>
      <c r="X579" s="588">
        <f>W579</f>
        <v>1</v>
      </c>
      <c r="Y579" s="588">
        <v>1</v>
      </c>
      <c r="Z579" s="588">
        <v>1</v>
      </c>
      <c r="AA579" s="588">
        <v>1</v>
      </c>
      <c r="AB579" s="588">
        <v>1</v>
      </c>
      <c r="AC579" s="588">
        <v>1</v>
      </c>
      <c r="AD579" s="588">
        <v>1</v>
      </c>
      <c r="AE579" s="588"/>
      <c r="AF579" s="588"/>
      <c r="AG579" s="588"/>
      <c r="AH579" s="156"/>
      <c r="AI579" s="156"/>
      <c r="AJ579" s="156"/>
      <c r="AK579" s="156"/>
      <c r="AL579" s="156"/>
      <c r="AM579" s="156"/>
      <c r="AN579" s="156"/>
      <c r="AO579" s="156"/>
      <c r="AP579" s="156"/>
      <c r="AQ579" s="156"/>
      <c r="AR579" s="156"/>
      <c r="AS579" s="156"/>
      <c r="AT579" s="156"/>
      <c r="AU579" s="156"/>
      <c r="AV579" s="156"/>
      <c r="AW579" s="156"/>
      <c r="AX579" s="156"/>
      <c r="AY579" s="156"/>
      <c r="AZ579" s="156"/>
      <c r="BA579" s="156"/>
      <c r="BB579" s="2890"/>
      <c r="BC579" s="504"/>
      <c r="BD579" s="2829"/>
      <c r="BE579" s="2837"/>
      <c r="BF579" s="156"/>
    </row>
    <row r="580" spans="1:58" ht="14.5" hidden="1" customHeight="1" outlineLevel="1" x14ac:dyDescent="0.35">
      <c r="A580" s="1071"/>
      <c r="B580" s="106"/>
      <c r="C580" s="103"/>
      <c r="D580" s="4022"/>
      <c r="E580" s="4111"/>
      <c r="F580" s="3919" t="str">
        <f t="shared" si="67"/>
        <v>CAC-SEER15_ER2_SF</v>
      </c>
      <c r="G580" s="3920"/>
      <c r="H580" s="3921"/>
      <c r="I580" s="2657" t="str">
        <f t="shared" si="68"/>
        <v>350600_2021_12_</v>
      </c>
      <c r="J580" s="588">
        <v>1</v>
      </c>
      <c r="K580" s="569"/>
      <c r="L580" s="581"/>
      <c r="M580" s="103"/>
      <c r="N580" s="1287"/>
      <c r="O580" s="103"/>
      <c r="P580" s="106"/>
      <c r="Q580" s="106"/>
      <c r="R580" s="106"/>
      <c r="S580" s="106"/>
      <c r="T580" s="106"/>
      <c r="U580" s="106"/>
      <c r="V580" s="4022"/>
      <c r="W580" s="588">
        <v>1</v>
      </c>
      <c r="X580" s="588">
        <f>W580</f>
        <v>1</v>
      </c>
      <c r="Y580" s="588">
        <v>1</v>
      </c>
      <c r="Z580" s="588">
        <v>1</v>
      </c>
      <c r="AA580" s="588">
        <v>1</v>
      </c>
      <c r="AB580" s="588">
        <v>1</v>
      </c>
      <c r="AC580" s="588">
        <v>1</v>
      </c>
      <c r="AD580" s="588">
        <v>1</v>
      </c>
      <c r="AE580" s="588"/>
      <c r="AF580" s="588"/>
      <c r="AG580" s="588"/>
      <c r="AH580" s="156"/>
      <c r="AI580" s="156"/>
      <c r="AJ580" s="156"/>
      <c r="AK580" s="156"/>
      <c r="AL580" s="156"/>
      <c r="AM580" s="156"/>
      <c r="AN580" s="156"/>
      <c r="AO580" s="156"/>
      <c r="AP580" s="156"/>
      <c r="AQ580" s="156"/>
      <c r="AR580" s="156"/>
      <c r="AS580" s="156"/>
      <c r="AT580" s="156"/>
      <c r="AU580" s="156"/>
      <c r="AV580" s="156"/>
      <c r="AW580" s="156"/>
      <c r="AX580" s="156"/>
      <c r="AY580" s="156"/>
      <c r="AZ580" s="156"/>
      <c r="BA580" s="156"/>
      <c r="BB580" s="2890"/>
      <c r="BC580" s="504"/>
      <c r="BD580" s="2829"/>
      <c r="BE580" s="2837"/>
      <c r="BF580" s="156"/>
    </row>
    <row r="581" spans="1:58" ht="14.5" hidden="1" customHeight="1" outlineLevel="1" x14ac:dyDescent="0.35">
      <c r="A581" s="1071"/>
      <c r="B581" s="106"/>
      <c r="C581" s="103"/>
      <c r="D581" s="4022"/>
      <c r="E581" s="4111"/>
      <c r="F581" s="3919" t="str">
        <f t="shared" si="67"/>
        <v>CAC-SEER15_ROF_SF</v>
      </c>
      <c r="G581" s="3920"/>
      <c r="H581" s="3921"/>
      <c r="I581" s="2657" t="str">
        <f t="shared" si="68"/>
        <v>350650_2021_12_</v>
      </c>
      <c r="J581" s="588">
        <v>1</v>
      </c>
      <c r="K581" s="569"/>
      <c r="L581" s="581"/>
      <c r="M581" s="103"/>
      <c r="N581" s="1287"/>
      <c r="O581" s="103"/>
      <c r="P581" s="106"/>
      <c r="Q581" s="106"/>
      <c r="R581" s="106"/>
      <c r="S581" s="106"/>
      <c r="T581" s="106"/>
      <c r="U581" s="106"/>
      <c r="V581" s="4022"/>
      <c r="W581" s="588">
        <v>1</v>
      </c>
      <c r="X581" s="588">
        <f>W581</f>
        <v>1</v>
      </c>
      <c r="Y581" s="588">
        <v>1</v>
      </c>
      <c r="Z581" s="588">
        <v>1</v>
      </c>
      <c r="AA581" s="588">
        <v>1</v>
      </c>
      <c r="AB581" s="588">
        <v>1</v>
      </c>
      <c r="AC581" s="588">
        <v>1</v>
      </c>
      <c r="AD581" s="588">
        <v>1</v>
      </c>
      <c r="AE581" s="588"/>
      <c r="AF581" s="588"/>
      <c r="AG581" s="588"/>
      <c r="AH581" s="156"/>
      <c r="AI581" s="156"/>
      <c r="AJ581" s="156"/>
      <c r="AK581" s="156"/>
      <c r="AL581" s="156"/>
      <c r="AM581" s="156"/>
      <c r="AN581" s="156"/>
      <c r="AO581" s="156"/>
      <c r="AP581" s="156"/>
      <c r="AQ581" s="156"/>
      <c r="AR581" s="156"/>
      <c r="AS581" s="156"/>
      <c r="AT581" s="156"/>
      <c r="AU581" s="156"/>
      <c r="AV581" s="156"/>
      <c r="AW581" s="156"/>
      <c r="AX581" s="156"/>
      <c r="AY581" s="156"/>
      <c r="AZ581" s="156"/>
      <c r="BA581" s="156"/>
      <c r="BB581" s="2890"/>
      <c r="BC581" s="504"/>
      <c r="BD581" s="2829"/>
      <c r="BE581" s="2837"/>
      <c r="BF581" s="156"/>
    </row>
    <row r="582" spans="1:58" ht="14.5" hidden="1" customHeight="1" outlineLevel="1" x14ac:dyDescent="0.35">
      <c r="A582" s="1071"/>
      <c r="B582" s="106"/>
      <c r="C582" s="103"/>
      <c r="D582" s="4022"/>
      <c r="E582" s="4111"/>
      <c r="F582" s="3919" t="str">
        <f t="shared" si="67"/>
        <v>CAC-SEER15_ER1_MF</v>
      </c>
      <c r="G582" s="3920"/>
      <c r="H582" s="3921"/>
      <c r="I582" s="2657" t="str">
        <f t="shared" si="68"/>
        <v>350700_2021_12_</v>
      </c>
      <c r="J582" s="588">
        <v>1</v>
      </c>
      <c r="K582" s="569"/>
      <c r="L582" s="581"/>
      <c r="M582" s="103"/>
      <c r="N582" s="1287"/>
      <c r="O582" s="103"/>
      <c r="P582" s="106"/>
      <c r="Q582" s="106"/>
      <c r="R582" s="106"/>
      <c r="S582" s="106"/>
      <c r="T582" s="106"/>
      <c r="U582" s="106"/>
      <c r="V582" s="4022"/>
      <c r="W582" s="588">
        <v>0.65</v>
      </c>
      <c r="X582" s="589">
        <v>1</v>
      </c>
      <c r="Y582" s="588">
        <v>1</v>
      </c>
      <c r="Z582" s="588">
        <v>1</v>
      </c>
      <c r="AA582" s="588">
        <v>1</v>
      </c>
      <c r="AB582" s="588">
        <v>1</v>
      </c>
      <c r="AC582" s="588">
        <v>1</v>
      </c>
      <c r="AD582" s="588">
        <v>1</v>
      </c>
      <c r="AE582" s="588"/>
      <c r="AF582" s="588"/>
      <c r="AG582" s="588"/>
      <c r="AH582" s="156"/>
      <c r="AI582" s="156"/>
      <c r="AJ582" s="156"/>
      <c r="AK582" s="156"/>
      <c r="AL582" s="156"/>
      <c r="AM582" s="156"/>
      <c r="AN582" s="156"/>
      <c r="AO582" s="156"/>
      <c r="AP582" s="156"/>
      <c r="AQ582" s="156"/>
      <c r="AR582" s="156"/>
      <c r="AS582" s="156"/>
      <c r="AT582" s="156"/>
      <c r="AU582" s="156"/>
      <c r="AV582" s="156"/>
      <c r="AW582" s="156"/>
      <c r="AX582" s="156"/>
      <c r="AY582" s="156"/>
      <c r="AZ582" s="156"/>
      <c r="BA582" s="156"/>
      <c r="BB582" s="2890"/>
      <c r="BC582" s="504"/>
      <c r="BD582" s="2829"/>
      <c r="BE582" s="2837"/>
      <c r="BF582" s="156"/>
    </row>
    <row r="583" spans="1:58" ht="14.5" hidden="1" customHeight="1" outlineLevel="1" x14ac:dyDescent="0.35">
      <c r="A583" s="1071"/>
      <c r="B583" s="106"/>
      <c r="C583" s="103"/>
      <c r="D583" s="4022"/>
      <c r="E583" s="4111"/>
      <c r="F583" s="3919" t="str">
        <f t="shared" si="67"/>
        <v>CAC-SEER15_ER2_MF</v>
      </c>
      <c r="G583" s="3920"/>
      <c r="H583" s="3921"/>
      <c r="I583" s="2657" t="str">
        <f t="shared" si="68"/>
        <v>350700_2021_12_</v>
      </c>
      <c r="J583" s="588">
        <v>1</v>
      </c>
      <c r="K583" s="569"/>
      <c r="L583" s="581"/>
      <c r="M583" s="103"/>
      <c r="N583" s="1287"/>
      <c r="O583" s="103"/>
      <c r="P583" s="106"/>
      <c r="Q583" s="106"/>
      <c r="R583" s="106"/>
      <c r="S583" s="106"/>
      <c r="T583" s="106"/>
      <c r="U583" s="106"/>
      <c r="V583" s="4022"/>
      <c r="W583" s="588">
        <v>0.65</v>
      </c>
      <c r="X583" s="589">
        <v>1</v>
      </c>
      <c r="Y583" s="588">
        <v>1</v>
      </c>
      <c r="Z583" s="588">
        <v>1</v>
      </c>
      <c r="AA583" s="588">
        <v>1</v>
      </c>
      <c r="AB583" s="588">
        <v>1</v>
      </c>
      <c r="AC583" s="588">
        <v>1</v>
      </c>
      <c r="AD583" s="588">
        <v>1</v>
      </c>
      <c r="AE583" s="588"/>
      <c r="AF583" s="588"/>
      <c r="AG583" s="588"/>
      <c r="AH583" s="156"/>
      <c r="AI583" s="156"/>
      <c r="AJ583" s="156"/>
      <c r="AK583" s="156"/>
      <c r="AL583" s="156"/>
      <c r="AM583" s="156"/>
      <c r="AN583" s="156"/>
      <c r="AO583" s="156"/>
      <c r="AP583" s="156"/>
      <c r="AQ583" s="156"/>
      <c r="AR583" s="156"/>
      <c r="AS583" s="156"/>
      <c r="AT583" s="156"/>
      <c r="AU583" s="156"/>
      <c r="AV583" s="156"/>
      <c r="AW583" s="156"/>
      <c r="AX583" s="156"/>
      <c r="AY583" s="156"/>
      <c r="AZ583" s="156"/>
      <c r="BA583" s="156"/>
      <c r="BB583" s="2890"/>
      <c r="BC583" s="504"/>
      <c r="BD583" s="2829"/>
      <c r="BE583" s="2837"/>
      <c r="BF583" s="156"/>
    </row>
    <row r="584" spans="1:58" ht="14.5" hidden="1" customHeight="1" outlineLevel="1" x14ac:dyDescent="0.35">
      <c r="A584" s="1071"/>
      <c r="B584" s="106"/>
      <c r="C584" s="103"/>
      <c r="D584" s="4022"/>
      <c r="E584" s="4111"/>
      <c r="F584" s="3919" t="str">
        <f t="shared" si="67"/>
        <v>CAC-SEER15_ER1_MF_CompE</v>
      </c>
      <c r="G584" s="3920"/>
      <c r="H584" s="3921"/>
      <c r="I584" s="2657" t="str">
        <f t="shared" si="68"/>
        <v>350701_2021_12_</v>
      </c>
      <c r="J584" s="588">
        <v>1</v>
      </c>
      <c r="K584" s="569"/>
      <c r="L584" s="581"/>
      <c r="M584" s="103"/>
      <c r="N584" s="1287"/>
      <c r="O584" s="103"/>
      <c r="P584" s="106"/>
      <c r="Q584" s="106"/>
      <c r="R584" s="106"/>
      <c r="S584" s="106"/>
      <c r="T584" s="106"/>
      <c r="U584" s="106"/>
      <c r="V584" s="4022"/>
      <c r="W584" s="588"/>
      <c r="X584" s="589"/>
      <c r="Y584" s="588">
        <v>1</v>
      </c>
      <c r="Z584" s="588">
        <v>1</v>
      </c>
      <c r="AA584" s="588">
        <v>1</v>
      </c>
      <c r="AB584" s="588">
        <v>1</v>
      </c>
      <c r="AC584" s="588">
        <v>1</v>
      </c>
      <c r="AD584" s="588">
        <v>1</v>
      </c>
      <c r="AE584" s="588"/>
      <c r="AF584" s="588"/>
      <c r="AG584" s="588"/>
      <c r="AH584" s="156"/>
      <c r="AI584" s="156"/>
      <c r="AJ584" s="156"/>
      <c r="AK584" s="156"/>
      <c r="AL584" s="156"/>
      <c r="AM584" s="156"/>
      <c r="AN584" s="156"/>
      <c r="AO584" s="156"/>
      <c r="AP584" s="156"/>
      <c r="AQ584" s="156"/>
      <c r="AR584" s="156"/>
      <c r="AS584" s="156"/>
      <c r="AT584" s="156"/>
      <c r="AU584" s="156"/>
      <c r="AV584" s="156"/>
      <c r="AW584" s="156"/>
      <c r="AX584" s="156"/>
      <c r="AY584" s="156"/>
      <c r="AZ584" s="156"/>
      <c r="BA584" s="156"/>
      <c r="BB584" s="2890"/>
      <c r="BC584" s="504"/>
      <c r="BD584" s="2829"/>
      <c r="BE584" s="2837"/>
      <c r="BF584" s="156"/>
    </row>
    <row r="585" spans="1:58" ht="14.5" hidden="1" customHeight="1" outlineLevel="1" x14ac:dyDescent="0.35">
      <c r="A585" s="1071"/>
      <c r="B585" s="106"/>
      <c r="C585" s="103"/>
      <c r="D585" s="4022"/>
      <c r="E585" s="4111"/>
      <c r="F585" s="3919" t="str">
        <f t="shared" si="67"/>
        <v>CAC-SEER15_ER2_MF_CompE</v>
      </c>
      <c r="G585" s="3920"/>
      <c r="H585" s="3921"/>
      <c r="I585" s="2657" t="str">
        <f t="shared" si="68"/>
        <v>350701_2021_12_</v>
      </c>
      <c r="J585" s="588">
        <v>1</v>
      </c>
      <c r="K585" s="569"/>
      <c r="L585" s="581"/>
      <c r="M585" s="103"/>
      <c r="N585" s="1287"/>
      <c r="O585" s="103"/>
      <c r="P585" s="106"/>
      <c r="Q585" s="106"/>
      <c r="R585" s="106"/>
      <c r="S585" s="106"/>
      <c r="T585" s="106"/>
      <c r="U585" s="106"/>
      <c r="V585" s="4022"/>
      <c r="W585" s="588"/>
      <c r="X585" s="589"/>
      <c r="Y585" s="588">
        <v>1</v>
      </c>
      <c r="Z585" s="588">
        <v>1</v>
      </c>
      <c r="AA585" s="588">
        <v>1</v>
      </c>
      <c r="AB585" s="588">
        <v>1</v>
      </c>
      <c r="AC585" s="588">
        <v>1</v>
      </c>
      <c r="AD585" s="588">
        <v>1</v>
      </c>
      <c r="AE585" s="588"/>
      <c r="AF585" s="588"/>
      <c r="AG585" s="588"/>
      <c r="AH585" s="156"/>
      <c r="AI585" s="156"/>
      <c r="AJ585" s="156"/>
      <c r="AK585" s="156"/>
      <c r="AL585" s="156"/>
      <c r="AM585" s="156"/>
      <c r="AN585" s="156"/>
      <c r="AO585" s="156"/>
      <c r="AP585" s="156"/>
      <c r="AQ585" s="156"/>
      <c r="AR585" s="156"/>
      <c r="AS585" s="156"/>
      <c r="AT585" s="156"/>
      <c r="AU585" s="156"/>
      <c r="AV585" s="156"/>
      <c r="AW585" s="156"/>
      <c r="AX585" s="156"/>
      <c r="AY585" s="156"/>
      <c r="AZ585" s="156"/>
      <c r="BA585" s="156"/>
      <c r="BB585" s="2890"/>
      <c r="BC585" s="504"/>
      <c r="BD585" s="2829"/>
      <c r="BE585" s="2837"/>
      <c r="BF585" s="156"/>
    </row>
    <row r="586" spans="1:58" ht="14.5" hidden="1" customHeight="1" outlineLevel="1" x14ac:dyDescent="0.35">
      <c r="A586" s="1071"/>
      <c r="B586" s="106"/>
      <c r="C586" s="103"/>
      <c r="D586" s="4022"/>
      <c r="E586" s="4111"/>
      <c r="F586" s="3919" t="str">
        <f t="shared" si="67"/>
        <v>CAC-SEER15_ROF_MF</v>
      </c>
      <c r="G586" s="3920"/>
      <c r="H586" s="3921"/>
      <c r="I586" s="2657" t="str">
        <f t="shared" si="68"/>
        <v>350750_2021_12_</v>
      </c>
      <c r="J586" s="588">
        <v>1</v>
      </c>
      <c r="K586" s="569"/>
      <c r="L586" s="581"/>
      <c r="M586" s="103"/>
      <c r="N586" s="1287"/>
      <c r="O586" s="103"/>
      <c r="P586" s="106"/>
      <c r="Q586" s="106"/>
      <c r="R586" s="106"/>
      <c r="S586" s="106"/>
      <c r="T586" s="106"/>
      <c r="U586" s="106"/>
      <c r="V586" s="4022"/>
      <c r="W586" s="588">
        <v>0.65</v>
      </c>
      <c r="X586" s="589">
        <v>1</v>
      </c>
      <c r="Y586" s="588">
        <v>1</v>
      </c>
      <c r="Z586" s="588">
        <v>1</v>
      </c>
      <c r="AA586" s="588">
        <v>1</v>
      </c>
      <c r="AB586" s="588">
        <v>1</v>
      </c>
      <c r="AC586" s="588">
        <v>1</v>
      </c>
      <c r="AD586" s="588">
        <v>1</v>
      </c>
      <c r="AE586" s="588"/>
      <c r="AF586" s="588"/>
      <c r="AG586" s="588"/>
      <c r="AH586" s="156"/>
      <c r="AI586" s="156"/>
      <c r="AJ586" s="156"/>
      <c r="AK586" s="156"/>
      <c r="AL586" s="156"/>
      <c r="AM586" s="156"/>
      <c r="AN586" s="156"/>
      <c r="AO586" s="156"/>
      <c r="AP586" s="156"/>
      <c r="AQ586" s="156"/>
      <c r="AR586" s="156"/>
      <c r="AS586" s="156"/>
      <c r="AT586" s="156"/>
      <c r="AU586" s="156"/>
      <c r="AV586" s="156"/>
      <c r="AW586" s="156"/>
      <c r="AX586" s="156"/>
      <c r="AY586" s="156"/>
      <c r="AZ586" s="156"/>
      <c r="BA586" s="156"/>
      <c r="BB586" s="2890"/>
      <c r="BC586" s="504"/>
      <c r="BD586" s="2829"/>
      <c r="BE586" s="2837"/>
      <c r="BF586" s="156"/>
    </row>
    <row r="587" spans="1:58" ht="14.5" hidden="1" customHeight="1" outlineLevel="1" x14ac:dyDescent="0.35">
      <c r="A587" s="1071"/>
      <c r="B587" s="106"/>
      <c r="C587" s="103"/>
      <c r="D587" s="4022"/>
      <c r="E587" s="4111"/>
      <c r="F587" s="3919" t="str">
        <f t="shared" si="67"/>
        <v>CAC-SEER15_ROF_MF_CompE</v>
      </c>
      <c r="G587" s="3920"/>
      <c r="H587" s="3921"/>
      <c r="I587" s="2657" t="str">
        <f t="shared" si="68"/>
        <v>350751_2021_12_</v>
      </c>
      <c r="J587" s="588">
        <v>1</v>
      </c>
      <c r="K587" s="569"/>
      <c r="L587" s="581"/>
      <c r="M587" s="103"/>
      <c r="N587" s="1287"/>
      <c r="O587" s="103"/>
      <c r="P587" s="106"/>
      <c r="Q587" s="106"/>
      <c r="R587" s="106"/>
      <c r="S587" s="106"/>
      <c r="T587" s="106"/>
      <c r="U587" s="106"/>
      <c r="V587" s="4022"/>
      <c r="W587" s="588"/>
      <c r="X587" s="589"/>
      <c r="Y587" s="588">
        <v>1</v>
      </c>
      <c r="Z587" s="588">
        <v>1</v>
      </c>
      <c r="AA587" s="588">
        <v>1</v>
      </c>
      <c r="AB587" s="588">
        <v>1</v>
      </c>
      <c r="AC587" s="588">
        <v>1</v>
      </c>
      <c r="AD587" s="588">
        <v>1</v>
      </c>
      <c r="AE587" s="588"/>
      <c r="AF587" s="588"/>
      <c r="AG587" s="588"/>
      <c r="AH587" s="156"/>
      <c r="AI587" s="156"/>
      <c r="AJ587" s="156"/>
      <c r="AK587" s="156"/>
      <c r="AL587" s="156"/>
      <c r="AM587" s="156"/>
      <c r="AN587" s="156"/>
      <c r="AO587" s="156"/>
      <c r="AP587" s="156"/>
      <c r="AQ587" s="156"/>
      <c r="AR587" s="156"/>
      <c r="AS587" s="156"/>
      <c r="AT587" s="156"/>
      <c r="AU587" s="156"/>
      <c r="AV587" s="156"/>
      <c r="AW587" s="156"/>
      <c r="AX587" s="156"/>
      <c r="AY587" s="156"/>
      <c r="AZ587" s="156"/>
      <c r="BA587" s="156"/>
      <c r="BB587" s="2890"/>
      <c r="BC587" s="504"/>
      <c r="BD587" s="2829"/>
      <c r="BE587" s="2837"/>
      <c r="BF587" s="156"/>
    </row>
    <row r="588" spans="1:58" ht="14.5" hidden="1" customHeight="1" outlineLevel="1" x14ac:dyDescent="0.35">
      <c r="A588" s="1071"/>
      <c r="B588" s="106"/>
      <c r="C588" s="103"/>
      <c r="D588" s="4022"/>
      <c r="E588" s="4111"/>
      <c r="F588" s="3919" t="str">
        <f t="shared" si="67"/>
        <v>CAC-SEER16_ER1_SF</v>
      </c>
      <c r="G588" s="3920"/>
      <c r="H588" s="3921"/>
      <c r="I588" s="2657" t="str">
        <f t="shared" si="68"/>
        <v>350800_2021_12_</v>
      </c>
      <c r="J588" s="588">
        <v>1</v>
      </c>
      <c r="K588" s="569"/>
      <c r="L588" s="581"/>
      <c r="M588" s="103"/>
      <c r="N588" s="1287"/>
      <c r="O588" s="103"/>
      <c r="P588" s="106"/>
      <c r="Q588" s="106"/>
      <c r="R588" s="106"/>
      <c r="S588" s="106"/>
      <c r="T588" s="106"/>
      <c r="U588" s="106"/>
      <c r="V588" s="4022"/>
      <c r="W588" s="588">
        <v>1</v>
      </c>
      <c r="X588" s="588">
        <f>W588</f>
        <v>1</v>
      </c>
      <c r="Y588" s="588">
        <v>1</v>
      </c>
      <c r="Z588" s="588">
        <v>1</v>
      </c>
      <c r="AA588" s="588">
        <v>1</v>
      </c>
      <c r="AB588" s="588">
        <v>1</v>
      </c>
      <c r="AC588" s="588">
        <v>1</v>
      </c>
      <c r="AD588" s="588">
        <v>1</v>
      </c>
      <c r="AE588" s="588"/>
      <c r="AF588" s="588"/>
      <c r="AG588" s="588"/>
      <c r="AH588" s="156"/>
      <c r="AI588" s="156"/>
      <c r="AJ588" s="156"/>
      <c r="AK588" s="156"/>
      <c r="AL588" s="156"/>
      <c r="AM588" s="156"/>
      <c r="AN588" s="156"/>
      <c r="AO588" s="156"/>
      <c r="AP588" s="156"/>
      <c r="AQ588" s="156"/>
      <c r="AR588" s="156"/>
      <c r="AS588" s="156"/>
      <c r="AT588" s="156"/>
      <c r="AU588" s="156"/>
      <c r="AV588" s="156"/>
      <c r="AW588" s="156"/>
      <c r="AX588" s="156"/>
      <c r="AY588" s="156"/>
      <c r="AZ588" s="156"/>
      <c r="BA588" s="156"/>
      <c r="BB588" s="2890"/>
      <c r="BC588" s="504"/>
      <c r="BD588" s="2829"/>
      <c r="BE588" s="2837"/>
      <c r="BF588" s="156"/>
    </row>
    <row r="589" spans="1:58" ht="14.5" hidden="1" customHeight="1" outlineLevel="1" x14ac:dyDescent="0.35">
      <c r="A589" s="1071"/>
      <c r="B589" s="106"/>
      <c r="C589" s="103"/>
      <c r="D589" s="4022"/>
      <c r="E589" s="4111"/>
      <c r="F589" s="3919" t="str">
        <f t="shared" si="67"/>
        <v>CAC-SEER16_ER2_SF</v>
      </c>
      <c r="G589" s="3920"/>
      <c r="H589" s="3921"/>
      <c r="I589" s="2657" t="str">
        <f t="shared" si="68"/>
        <v>350800_2021_12_</v>
      </c>
      <c r="J589" s="588">
        <v>1</v>
      </c>
      <c r="K589" s="569"/>
      <c r="L589" s="581"/>
      <c r="M589" s="103"/>
      <c r="N589" s="1287"/>
      <c r="O589" s="103"/>
      <c r="P589" s="106"/>
      <c r="Q589" s="106"/>
      <c r="R589" s="106"/>
      <c r="S589" s="106"/>
      <c r="T589" s="106"/>
      <c r="U589" s="106"/>
      <c r="V589" s="4022"/>
      <c r="W589" s="588">
        <v>1</v>
      </c>
      <c r="X589" s="588">
        <f>W589</f>
        <v>1</v>
      </c>
      <c r="Y589" s="588">
        <v>1</v>
      </c>
      <c r="Z589" s="588">
        <v>1</v>
      </c>
      <c r="AA589" s="588">
        <v>1</v>
      </c>
      <c r="AB589" s="588">
        <v>1</v>
      </c>
      <c r="AC589" s="588">
        <v>1</v>
      </c>
      <c r="AD589" s="588">
        <v>1</v>
      </c>
      <c r="AE589" s="588"/>
      <c r="AF589" s="588"/>
      <c r="AG589" s="588"/>
      <c r="AH589" s="156"/>
      <c r="AI589" s="156"/>
      <c r="AJ589" s="156"/>
      <c r="AK589" s="156"/>
      <c r="AL589" s="156"/>
      <c r="AM589" s="156"/>
      <c r="AN589" s="156"/>
      <c r="AO589" s="156"/>
      <c r="AP589" s="156"/>
      <c r="AQ589" s="156"/>
      <c r="AR589" s="156"/>
      <c r="AS589" s="156"/>
      <c r="AT589" s="156"/>
      <c r="AU589" s="156"/>
      <c r="AV589" s="156"/>
      <c r="AW589" s="156"/>
      <c r="AX589" s="156"/>
      <c r="AY589" s="156"/>
      <c r="AZ589" s="156"/>
      <c r="BA589" s="156"/>
      <c r="BB589" s="2890"/>
      <c r="BC589" s="504"/>
      <c r="BD589" s="2829"/>
      <c r="BE589" s="2837"/>
      <c r="BF589" s="156"/>
    </row>
    <row r="590" spans="1:58" ht="14.5" hidden="1" customHeight="1" outlineLevel="1" x14ac:dyDescent="0.35">
      <c r="A590" s="1071"/>
      <c r="B590" s="106"/>
      <c r="C590" s="103"/>
      <c r="D590" s="4022"/>
      <c r="E590" s="4111"/>
      <c r="F590" s="3919" t="str">
        <f t="shared" si="67"/>
        <v>CAC-SEER16_ROF_SF</v>
      </c>
      <c r="G590" s="3920"/>
      <c r="H590" s="3921"/>
      <c r="I590" s="2657" t="str">
        <f t="shared" si="68"/>
        <v>350850_2021_12_</v>
      </c>
      <c r="J590" s="588">
        <v>1</v>
      </c>
      <c r="K590" s="569"/>
      <c r="L590" s="581"/>
      <c r="M590" s="103"/>
      <c r="N590" s="1287"/>
      <c r="O590" s="103"/>
      <c r="P590" s="106"/>
      <c r="Q590" s="106"/>
      <c r="R590" s="106"/>
      <c r="S590" s="106"/>
      <c r="T590" s="106"/>
      <c r="U590" s="106"/>
      <c r="V590" s="4022"/>
      <c r="W590" s="588">
        <v>1</v>
      </c>
      <c r="X590" s="588">
        <f>W590</f>
        <v>1</v>
      </c>
      <c r="Y590" s="588">
        <v>1</v>
      </c>
      <c r="Z590" s="588">
        <v>1</v>
      </c>
      <c r="AA590" s="588">
        <v>1</v>
      </c>
      <c r="AB590" s="588">
        <v>1</v>
      </c>
      <c r="AC590" s="588">
        <v>1</v>
      </c>
      <c r="AD590" s="588">
        <v>1</v>
      </c>
      <c r="AE590" s="588"/>
      <c r="AF590" s="588"/>
      <c r="AG590" s="588"/>
      <c r="AH590" s="156"/>
      <c r="AI590" s="156"/>
      <c r="AJ590" s="156"/>
      <c r="AK590" s="156"/>
      <c r="AL590" s="156"/>
      <c r="AM590" s="156"/>
      <c r="AN590" s="156"/>
      <c r="AO590" s="156"/>
      <c r="AP590" s="156"/>
      <c r="AQ590" s="156"/>
      <c r="AR590" s="156"/>
      <c r="AS590" s="156"/>
      <c r="AT590" s="156"/>
      <c r="AU590" s="156"/>
      <c r="AV590" s="156"/>
      <c r="AW590" s="156"/>
      <c r="AX590" s="156"/>
      <c r="AY590" s="156"/>
      <c r="AZ590" s="156"/>
      <c r="BA590" s="156"/>
      <c r="BB590" s="2890"/>
      <c r="BC590" s="504"/>
      <c r="BD590" s="2829"/>
      <c r="BE590" s="2837"/>
      <c r="BF590" s="156"/>
    </row>
    <row r="591" spans="1:58" ht="14.5" hidden="1" customHeight="1" outlineLevel="1" x14ac:dyDescent="0.35">
      <c r="A591" s="1071"/>
      <c r="B591" s="106"/>
      <c r="C591" s="103"/>
      <c r="D591" s="4022"/>
      <c r="E591" s="4111"/>
      <c r="F591" s="3919" t="str">
        <f t="shared" si="67"/>
        <v>CAC-SEER16_ER1_MF</v>
      </c>
      <c r="G591" s="3920"/>
      <c r="H591" s="3921"/>
      <c r="I591" s="2657" t="str">
        <f t="shared" si="68"/>
        <v>350900_2021_12_</v>
      </c>
      <c r="J591" s="588">
        <v>1</v>
      </c>
      <c r="K591" s="569"/>
      <c r="L591" s="581"/>
      <c r="M591" s="103"/>
      <c r="N591" s="1287"/>
      <c r="O591" s="103"/>
      <c r="P591" s="106"/>
      <c r="Q591" s="106"/>
      <c r="R591" s="106"/>
      <c r="S591" s="106"/>
      <c r="T591" s="106"/>
      <c r="U591" s="106"/>
      <c r="V591" s="4022"/>
      <c r="W591" s="588">
        <v>0.65</v>
      </c>
      <c r="X591" s="589">
        <v>1</v>
      </c>
      <c r="Y591" s="588">
        <v>1</v>
      </c>
      <c r="Z591" s="588">
        <v>1</v>
      </c>
      <c r="AA591" s="588">
        <v>1</v>
      </c>
      <c r="AB591" s="588">
        <v>1</v>
      </c>
      <c r="AC591" s="588">
        <v>1</v>
      </c>
      <c r="AD591" s="588">
        <v>1</v>
      </c>
      <c r="AE591" s="588"/>
      <c r="AF591" s="588"/>
      <c r="AG591" s="588"/>
      <c r="AH591" s="156"/>
      <c r="AI591" s="156"/>
      <c r="AJ591" s="156"/>
      <c r="AK591" s="156"/>
      <c r="AL591" s="156"/>
      <c r="AM591" s="156"/>
      <c r="AN591" s="156"/>
      <c r="AO591" s="156"/>
      <c r="AP591" s="156"/>
      <c r="AQ591" s="156"/>
      <c r="AR591" s="156"/>
      <c r="AS591" s="156"/>
      <c r="AT591" s="156"/>
      <c r="AU591" s="156"/>
      <c r="AV591" s="156"/>
      <c r="AW591" s="156"/>
      <c r="AX591" s="156"/>
      <c r="AY591" s="156"/>
      <c r="AZ591" s="156"/>
      <c r="BA591" s="156"/>
      <c r="BB591" s="2890"/>
      <c r="BC591" s="504"/>
      <c r="BD591" s="2829"/>
      <c r="BE591" s="2837"/>
      <c r="BF591" s="156"/>
    </row>
    <row r="592" spans="1:58" ht="14.5" hidden="1" customHeight="1" outlineLevel="1" x14ac:dyDescent="0.35">
      <c r="A592" s="1071"/>
      <c r="B592" s="106"/>
      <c r="C592" s="103"/>
      <c r="D592" s="4022"/>
      <c r="E592" s="4111"/>
      <c r="F592" s="3919" t="str">
        <f t="shared" si="67"/>
        <v>CAC-SEER16_ER2_MF</v>
      </c>
      <c r="G592" s="3920"/>
      <c r="H592" s="3921"/>
      <c r="I592" s="2657" t="str">
        <f t="shared" si="68"/>
        <v>350900_2021_12_</v>
      </c>
      <c r="J592" s="588">
        <v>1</v>
      </c>
      <c r="K592" s="569"/>
      <c r="L592" s="581"/>
      <c r="M592" s="103"/>
      <c r="N592" s="1287"/>
      <c r="O592" s="103"/>
      <c r="P592" s="106"/>
      <c r="Q592" s="106"/>
      <c r="R592" s="106"/>
      <c r="S592" s="106"/>
      <c r="T592" s="106"/>
      <c r="U592" s="106"/>
      <c r="V592" s="4022"/>
      <c r="W592" s="588">
        <v>0.65</v>
      </c>
      <c r="X592" s="589">
        <v>1</v>
      </c>
      <c r="Y592" s="588">
        <v>1</v>
      </c>
      <c r="Z592" s="588">
        <v>1</v>
      </c>
      <c r="AA592" s="588">
        <v>1</v>
      </c>
      <c r="AB592" s="588">
        <v>1</v>
      </c>
      <c r="AC592" s="588">
        <v>1</v>
      </c>
      <c r="AD592" s="588">
        <v>1</v>
      </c>
      <c r="AE592" s="588"/>
      <c r="AF592" s="588"/>
      <c r="AG592" s="588"/>
      <c r="AH592" s="156"/>
      <c r="AI592" s="156"/>
      <c r="AJ592" s="156"/>
      <c r="AK592" s="156"/>
      <c r="AL592" s="156"/>
      <c r="AM592" s="156"/>
      <c r="AN592" s="156"/>
      <c r="AO592" s="156"/>
      <c r="AP592" s="156"/>
      <c r="AQ592" s="156"/>
      <c r="AR592" s="156"/>
      <c r="AS592" s="156"/>
      <c r="AT592" s="156"/>
      <c r="AU592" s="156"/>
      <c r="AV592" s="156"/>
      <c r="AW592" s="156"/>
      <c r="AX592" s="156"/>
      <c r="AY592" s="156"/>
      <c r="AZ592" s="156"/>
      <c r="BA592" s="156"/>
      <c r="BB592" s="2890"/>
      <c r="BC592" s="504"/>
      <c r="BD592" s="2829"/>
      <c r="BE592" s="2837"/>
      <c r="BF592" s="156"/>
    </row>
    <row r="593" spans="1:58" ht="14.5" hidden="1" customHeight="1" outlineLevel="1" x14ac:dyDescent="0.35">
      <c r="A593" s="1071"/>
      <c r="B593" s="106"/>
      <c r="C593" s="103"/>
      <c r="D593" s="4022"/>
      <c r="E593" s="4111"/>
      <c r="F593" s="3919" t="str">
        <f t="shared" si="67"/>
        <v>CAC-SEER16_ER1_MF_CompE</v>
      </c>
      <c r="G593" s="3920"/>
      <c r="H593" s="3921"/>
      <c r="I593" s="2657" t="str">
        <f t="shared" si="68"/>
        <v>350901_2021_12_</v>
      </c>
      <c r="J593" s="588">
        <v>1</v>
      </c>
      <c r="K593" s="569"/>
      <c r="L593" s="581"/>
      <c r="M593" s="103"/>
      <c r="N593" s="1287"/>
      <c r="O593" s="103"/>
      <c r="P593" s="106"/>
      <c r="Q593" s="106"/>
      <c r="R593" s="106"/>
      <c r="S593" s="106"/>
      <c r="T593" s="106"/>
      <c r="U593" s="106"/>
      <c r="V593" s="4022"/>
      <c r="W593" s="588"/>
      <c r="X593" s="589"/>
      <c r="Y593" s="588">
        <v>1</v>
      </c>
      <c r="Z593" s="588">
        <v>1</v>
      </c>
      <c r="AA593" s="588">
        <v>1</v>
      </c>
      <c r="AB593" s="588">
        <v>1</v>
      </c>
      <c r="AC593" s="588">
        <v>1</v>
      </c>
      <c r="AD593" s="588">
        <v>1</v>
      </c>
      <c r="AE593" s="588"/>
      <c r="AF593" s="588"/>
      <c r="AG593" s="588"/>
      <c r="AH593" s="156"/>
      <c r="AI593" s="156"/>
      <c r="AJ593" s="156"/>
      <c r="AK593" s="156"/>
      <c r="AL593" s="156"/>
      <c r="AM593" s="156"/>
      <c r="AN593" s="156"/>
      <c r="AO593" s="156"/>
      <c r="AP593" s="156"/>
      <c r="AQ593" s="156"/>
      <c r="AR593" s="156"/>
      <c r="AS593" s="156"/>
      <c r="AT593" s="156"/>
      <c r="AU593" s="156"/>
      <c r="AV593" s="156"/>
      <c r="AW593" s="156"/>
      <c r="AX593" s="156"/>
      <c r="AY593" s="156"/>
      <c r="AZ593" s="156"/>
      <c r="BA593" s="156"/>
      <c r="BB593" s="2890"/>
      <c r="BC593" s="504"/>
      <c r="BD593" s="2829"/>
      <c r="BE593" s="2837"/>
      <c r="BF593" s="156"/>
    </row>
    <row r="594" spans="1:58" ht="14.5" hidden="1" customHeight="1" outlineLevel="1" x14ac:dyDescent="0.35">
      <c r="A594" s="1071"/>
      <c r="B594" s="106"/>
      <c r="C594" s="103"/>
      <c r="D594" s="4022"/>
      <c r="E594" s="4111"/>
      <c r="F594" s="3919" t="str">
        <f t="shared" si="67"/>
        <v>CAC-SEER16_ER2_MF_CompE</v>
      </c>
      <c r="G594" s="3920"/>
      <c r="H594" s="3921"/>
      <c r="I594" s="2657" t="str">
        <f t="shared" si="68"/>
        <v>350901_2021_12_</v>
      </c>
      <c r="J594" s="588">
        <v>1</v>
      </c>
      <c r="K594" s="569"/>
      <c r="L594" s="581"/>
      <c r="M594" s="103"/>
      <c r="N594" s="1287"/>
      <c r="O594" s="103"/>
      <c r="P594" s="106"/>
      <c r="Q594" s="106"/>
      <c r="R594" s="106"/>
      <c r="S594" s="106"/>
      <c r="T594" s="106"/>
      <c r="U594" s="106"/>
      <c r="V594" s="4022"/>
      <c r="W594" s="588"/>
      <c r="X594" s="589"/>
      <c r="Y594" s="588">
        <v>1</v>
      </c>
      <c r="Z594" s="588">
        <v>1</v>
      </c>
      <c r="AA594" s="588">
        <v>1</v>
      </c>
      <c r="AB594" s="588">
        <v>1</v>
      </c>
      <c r="AC594" s="588">
        <v>1</v>
      </c>
      <c r="AD594" s="588">
        <v>1</v>
      </c>
      <c r="AE594" s="588"/>
      <c r="AF594" s="588"/>
      <c r="AG594" s="588"/>
      <c r="AH594" s="156"/>
      <c r="AI594" s="156"/>
      <c r="AJ594" s="156"/>
      <c r="AK594" s="156"/>
      <c r="AL594" s="156"/>
      <c r="AM594" s="156"/>
      <c r="AN594" s="156"/>
      <c r="AO594" s="156"/>
      <c r="AP594" s="156"/>
      <c r="AQ594" s="156"/>
      <c r="AR594" s="156"/>
      <c r="AS594" s="156"/>
      <c r="AT594" s="156"/>
      <c r="AU594" s="156"/>
      <c r="AV594" s="156"/>
      <c r="AW594" s="156"/>
      <c r="AX594" s="156"/>
      <c r="AY594" s="156"/>
      <c r="AZ594" s="156"/>
      <c r="BA594" s="156"/>
      <c r="BB594" s="2890"/>
      <c r="BC594" s="504"/>
      <c r="BD594" s="2829"/>
      <c r="BE594" s="2837"/>
      <c r="BF594" s="156"/>
    </row>
    <row r="595" spans="1:58" ht="14.5" hidden="1" customHeight="1" outlineLevel="1" x14ac:dyDescent="0.35">
      <c r="A595" s="1071"/>
      <c r="B595" s="106"/>
      <c r="C595" s="103"/>
      <c r="D595" s="4022"/>
      <c r="E595" s="4111"/>
      <c r="F595" s="3919" t="str">
        <f t="shared" si="67"/>
        <v>CAC-SEER16_ROF_MF</v>
      </c>
      <c r="G595" s="3920"/>
      <c r="H595" s="3921"/>
      <c r="I595" s="2657" t="str">
        <f t="shared" si="68"/>
        <v>350950_2021_12_</v>
      </c>
      <c r="J595" s="588">
        <v>1</v>
      </c>
      <c r="K595" s="569"/>
      <c r="L595" s="581"/>
      <c r="M595" s="103"/>
      <c r="N595" s="1287"/>
      <c r="O595" s="103"/>
      <c r="P595" s="106"/>
      <c r="Q595" s="106"/>
      <c r="R595" s="106"/>
      <c r="S595" s="106"/>
      <c r="T595" s="106"/>
      <c r="U595" s="106"/>
      <c r="V595" s="4022"/>
      <c r="W595" s="588">
        <v>0.65</v>
      </c>
      <c r="X595" s="589">
        <v>1</v>
      </c>
      <c r="Y595" s="588">
        <v>1</v>
      </c>
      <c r="Z595" s="588">
        <v>1</v>
      </c>
      <c r="AA595" s="588">
        <v>1</v>
      </c>
      <c r="AB595" s="588">
        <v>1</v>
      </c>
      <c r="AC595" s="588">
        <v>1</v>
      </c>
      <c r="AD595" s="588">
        <v>1</v>
      </c>
      <c r="AE595" s="588"/>
      <c r="AF595" s="588"/>
      <c r="AG595" s="588"/>
      <c r="AH595" s="156"/>
      <c r="AI595" s="156"/>
      <c r="AJ595" s="156"/>
      <c r="AK595" s="156"/>
      <c r="AL595" s="156"/>
      <c r="AM595" s="156"/>
      <c r="AN595" s="156"/>
      <c r="AO595" s="156"/>
      <c r="AP595" s="156"/>
      <c r="AQ595" s="156"/>
      <c r="AR595" s="156"/>
      <c r="AS595" s="156"/>
      <c r="AT595" s="156"/>
      <c r="AU595" s="156"/>
      <c r="AV595" s="156"/>
      <c r="AW595" s="156"/>
      <c r="AX595" s="156"/>
      <c r="AY595" s="156"/>
      <c r="AZ595" s="156"/>
      <c r="BA595" s="156"/>
      <c r="BB595" s="2890"/>
      <c r="BC595" s="504"/>
      <c r="BD595" s="2829"/>
      <c r="BE595" s="2837"/>
      <c r="BF595" s="156"/>
    </row>
    <row r="596" spans="1:58" ht="14.5" hidden="1" customHeight="1" outlineLevel="1" x14ac:dyDescent="0.35">
      <c r="A596" s="1071"/>
      <c r="B596" s="106"/>
      <c r="C596" s="103"/>
      <c r="D596" s="4022"/>
      <c r="E596" s="4111"/>
      <c r="F596" s="3919" t="str">
        <f t="shared" si="67"/>
        <v>CAC-SEER16_ROF_MF_CompE</v>
      </c>
      <c r="G596" s="3920"/>
      <c r="H596" s="3921"/>
      <c r="I596" s="2657" t="str">
        <f t="shared" si="68"/>
        <v>350951_2021_12_</v>
      </c>
      <c r="J596" s="588">
        <v>1</v>
      </c>
      <c r="K596" s="569"/>
      <c r="L596" s="581"/>
      <c r="M596" s="103"/>
      <c r="N596" s="1287"/>
      <c r="O596" s="103"/>
      <c r="P596" s="106"/>
      <c r="Q596" s="106"/>
      <c r="R596" s="106"/>
      <c r="S596" s="106"/>
      <c r="T596" s="106"/>
      <c r="U596" s="106"/>
      <c r="V596" s="4022"/>
      <c r="W596" s="588"/>
      <c r="X596" s="589"/>
      <c r="Y596" s="588">
        <v>1</v>
      </c>
      <c r="Z596" s="588">
        <v>1</v>
      </c>
      <c r="AA596" s="588">
        <v>1</v>
      </c>
      <c r="AB596" s="588">
        <v>1</v>
      </c>
      <c r="AC596" s="588">
        <v>1</v>
      </c>
      <c r="AD596" s="588">
        <v>1</v>
      </c>
      <c r="AE596" s="588"/>
      <c r="AF596" s="588"/>
      <c r="AG596" s="588"/>
      <c r="AH596" s="156"/>
      <c r="AI596" s="156"/>
      <c r="AJ596" s="156"/>
      <c r="AK596" s="156"/>
      <c r="AL596" s="156"/>
      <c r="AM596" s="156"/>
      <c r="AN596" s="156"/>
      <c r="AO596" s="156"/>
      <c r="AP596" s="156"/>
      <c r="AQ596" s="156"/>
      <c r="AR596" s="156"/>
      <c r="AS596" s="156"/>
      <c r="AT596" s="156"/>
      <c r="AU596" s="156"/>
      <c r="AV596" s="156"/>
      <c r="AW596" s="156"/>
      <c r="AX596" s="156"/>
      <c r="AY596" s="156"/>
      <c r="AZ596" s="156"/>
      <c r="BA596" s="156"/>
      <c r="BB596" s="2890"/>
      <c r="BC596" s="504"/>
      <c r="BD596" s="2829"/>
      <c r="BE596" s="2837"/>
      <c r="BF596" s="156"/>
    </row>
    <row r="597" spans="1:58" ht="14.5" hidden="1" customHeight="1" outlineLevel="1" x14ac:dyDescent="0.35">
      <c r="A597" s="1071"/>
      <c r="B597" s="106"/>
      <c r="C597" s="103"/>
      <c r="D597" s="4022"/>
      <c r="E597" s="4111"/>
      <c r="F597" s="3919" t="str">
        <f t="shared" si="67"/>
        <v>CAC-SEER17_ER1_SF</v>
      </c>
      <c r="G597" s="3920"/>
      <c r="H597" s="3921"/>
      <c r="I597" s="2657" t="str">
        <f t="shared" si="68"/>
        <v>351000_2021_12_</v>
      </c>
      <c r="J597" s="588">
        <v>1</v>
      </c>
      <c r="K597" s="569"/>
      <c r="L597" s="581"/>
      <c r="M597" s="103"/>
      <c r="N597" s="1287"/>
      <c r="O597" s="103"/>
      <c r="P597" s="106"/>
      <c r="Q597" s="106"/>
      <c r="R597" s="106"/>
      <c r="S597" s="106"/>
      <c r="T597" s="106"/>
      <c r="U597" s="106"/>
      <c r="V597" s="4022"/>
      <c r="W597" s="588">
        <v>1</v>
      </c>
      <c r="X597" s="588">
        <f>W597</f>
        <v>1</v>
      </c>
      <c r="Y597" s="588">
        <v>1</v>
      </c>
      <c r="Z597" s="588">
        <v>1</v>
      </c>
      <c r="AA597" s="588">
        <v>1</v>
      </c>
      <c r="AB597" s="588">
        <v>1</v>
      </c>
      <c r="AC597" s="588">
        <v>1</v>
      </c>
      <c r="AD597" s="588">
        <v>1</v>
      </c>
      <c r="AE597" s="588"/>
      <c r="AF597" s="588"/>
      <c r="AG597" s="588"/>
      <c r="AH597" s="156"/>
      <c r="AI597" s="156"/>
      <c r="AJ597" s="156"/>
      <c r="AK597" s="156"/>
      <c r="AL597" s="156"/>
      <c r="AM597" s="156"/>
      <c r="AN597" s="156"/>
      <c r="AO597" s="156"/>
      <c r="AP597" s="156"/>
      <c r="AQ597" s="156"/>
      <c r="AR597" s="156"/>
      <c r="AS597" s="156"/>
      <c r="AT597" s="156"/>
      <c r="AU597" s="156"/>
      <c r="AV597" s="156"/>
      <c r="AW597" s="156"/>
      <c r="AX597" s="156"/>
      <c r="AY597" s="156"/>
      <c r="AZ597" s="156"/>
      <c r="BA597" s="156"/>
      <c r="BB597" s="2890"/>
      <c r="BC597" s="504"/>
      <c r="BD597" s="2829"/>
      <c r="BE597" s="2837"/>
      <c r="BF597" s="156"/>
    </row>
    <row r="598" spans="1:58" ht="14.5" hidden="1" customHeight="1" outlineLevel="1" x14ac:dyDescent="0.35">
      <c r="A598" s="1071"/>
      <c r="B598" s="106"/>
      <c r="C598" s="103"/>
      <c r="D598" s="4022"/>
      <c r="E598" s="4111"/>
      <c r="F598" s="3919" t="str">
        <f t="shared" si="67"/>
        <v>CAC-SEER17_ER2_SF</v>
      </c>
      <c r="G598" s="3920"/>
      <c r="H598" s="3921"/>
      <c r="I598" s="2657" t="str">
        <f t="shared" si="68"/>
        <v>351000_2021_12_</v>
      </c>
      <c r="J598" s="588">
        <v>1</v>
      </c>
      <c r="K598" s="569"/>
      <c r="L598" s="581"/>
      <c r="M598" s="103"/>
      <c r="N598" s="1287"/>
      <c r="O598" s="103"/>
      <c r="P598" s="106"/>
      <c r="Q598" s="106"/>
      <c r="R598" s="106"/>
      <c r="S598" s="106"/>
      <c r="T598" s="106"/>
      <c r="U598" s="106"/>
      <c r="V598" s="4022"/>
      <c r="W598" s="588">
        <v>1</v>
      </c>
      <c r="X598" s="588">
        <f>W598</f>
        <v>1</v>
      </c>
      <c r="Y598" s="588">
        <v>1</v>
      </c>
      <c r="Z598" s="588">
        <v>1</v>
      </c>
      <c r="AA598" s="588">
        <v>1</v>
      </c>
      <c r="AB598" s="588">
        <v>1</v>
      </c>
      <c r="AC598" s="588">
        <v>1</v>
      </c>
      <c r="AD598" s="588">
        <v>1</v>
      </c>
      <c r="AE598" s="588"/>
      <c r="AF598" s="588"/>
      <c r="AG598" s="588"/>
      <c r="AH598" s="156"/>
      <c r="AI598" s="156"/>
      <c r="AJ598" s="156"/>
      <c r="AK598" s="156"/>
      <c r="AL598" s="156"/>
      <c r="AM598" s="156"/>
      <c r="AN598" s="156"/>
      <c r="AO598" s="156"/>
      <c r="AP598" s="156"/>
      <c r="AQ598" s="156"/>
      <c r="AR598" s="156"/>
      <c r="AS598" s="156"/>
      <c r="AT598" s="156"/>
      <c r="AU598" s="156"/>
      <c r="AV598" s="156"/>
      <c r="AW598" s="156"/>
      <c r="AX598" s="156"/>
      <c r="AY598" s="156"/>
      <c r="AZ598" s="156"/>
      <c r="BA598" s="156"/>
      <c r="BB598" s="2890"/>
      <c r="BC598" s="504"/>
      <c r="BD598" s="2829"/>
      <c r="BE598" s="2837"/>
      <c r="BF598" s="156"/>
    </row>
    <row r="599" spans="1:58" ht="14.5" hidden="1" customHeight="1" outlineLevel="1" x14ac:dyDescent="0.35">
      <c r="A599" s="1071"/>
      <c r="B599" s="106"/>
      <c r="C599" s="103"/>
      <c r="D599" s="4022"/>
      <c r="E599" s="4111"/>
      <c r="F599" s="3919" t="str">
        <f t="shared" si="67"/>
        <v>CAC-SEER17_ROF_SF</v>
      </c>
      <c r="G599" s="3920"/>
      <c r="H599" s="3921"/>
      <c r="I599" s="2657" t="str">
        <f t="shared" si="68"/>
        <v>351050_2021_12_</v>
      </c>
      <c r="J599" s="588">
        <v>1</v>
      </c>
      <c r="K599" s="569"/>
      <c r="L599" s="581"/>
      <c r="M599" s="103"/>
      <c r="N599" s="1287"/>
      <c r="O599" s="103"/>
      <c r="P599" s="106"/>
      <c r="Q599" s="106"/>
      <c r="R599" s="106"/>
      <c r="S599" s="106"/>
      <c r="T599" s="106"/>
      <c r="U599" s="106"/>
      <c r="V599" s="4022"/>
      <c r="W599" s="588">
        <v>1</v>
      </c>
      <c r="X599" s="588">
        <f>W599</f>
        <v>1</v>
      </c>
      <c r="Y599" s="588">
        <v>1</v>
      </c>
      <c r="Z599" s="588">
        <v>1</v>
      </c>
      <c r="AA599" s="588">
        <v>1</v>
      </c>
      <c r="AB599" s="588">
        <v>1</v>
      </c>
      <c r="AC599" s="588">
        <v>1</v>
      </c>
      <c r="AD599" s="588">
        <v>1</v>
      </c>
      <c r="AE599" s="588"/>
      <c r="AF599" s="588"/>
      <c r="AG599" s="588"/>
      <c r="AH599" s="156"/>
      <c r="AI599" s="156"/>
      <c r="AJ599" s="156"/>
      <c r="AK599" s="156"/>
      <c r="AL599" s="156"/>
      <c r="AM599" s="156"/>
      <c r="AN599" s="156"/>
      <c r="AO599" s="156"/>
      <c r="AP599" s="156"/>
      <c r="AQ599" s="156"/>
      <c r="AR599" s="156"/>
      <c r="AS599" s="156"/>
      <c r="AT599" s="156"/>
      <c r="AU599" s="156"/>
      <c r="AV599" s="156"/>
      <c r="AW599" s="156"/>
      <c r="AX599" s="156"/>
      <c r="AY599" s="156"/>
      <c r="AZ599" s="156"/>
      <c r="BA599" s="156"/>
      <c r="BB599" s="2890"/>
      <c r="BC599" s="504"/>
      <c r="BD599" s="2829"/>
      <c r="BE599" s="2837"/>
      <c r="BF599" s="156"/>
    </row>
    <row r="600" spans="1:58" ht="14.5" hidden="1" customHeight="1" outlineLevel="1" x14ac:dyDescent="0.35">
      <c r="A600" s="1071"/>
      <c r="B600" s="106"/>
      <c r="C600" s="103"/>
      <c r="D600" s="4022"/>
      <c r="E600" s="4111"/>
      <c r="F600" s="3919" t="str">
        <f t="shared" si="67"/>
        <v>CAC-SEER17_ER1_MF</v>
      </c>
      <c r="G600" s="3920"/>
      <c r="H600" s="3921"/>
      <c r="I600" s="2657" t="str">
        <f t="shared" si="68"/>
        <v>351100_2021_12_</v>
      </c>
      <c r="J600" s="588">
        <v>1</v>
      </c>
      <c r="K600" s="569"/>
      <c r="L600" s="581"/>
      <c r="M600" s="103"/>
      <c r="N600" s="1287"/>
      <c r="O600" s="103"/>
      <c r="P600" s="106"/>
      <c r="Q600" s="106"/>
      <c r="R600" s="106"/>
      <c r="S600" s="106"/>
      <c r="T600" s="106"/>
      <c r="U600" s="106"/>
      <c r="V600" s="4022"/>
      <c r="W600" s="588">
        <v>0.65</v>
      </c>
      <c r="X600" s="589">
        <v>1</v>
      </c>
      <c r="Y600" s="588">
        <v>1</v>
      </c>
      <c r="Z600" s="588">
        <v>1</v>
      </c>
      <c r="AA600" s="588">
        <v>1</v>
      </c>
      <c r="AB600" s="588">
        <v>1</v>
      </c>
      <c r="AC600" s="588">
        <v>1</v>
      </c>
      <c r="AD600" s="588">
        <v>1</v>
      </c>
      <c r="AE600" s="588"/>
      <c r="AF600" s="588"/>
      <c r="AG600" s="588"/>
      <c r="AH600" s="156"/>
      <c r="AI600" s="156"/>
      <c r="AJ600" s="156"/>
      <c r="AK600" s="156"/>
      <c r="AL600" s="156"/>
      <c r="AM600" s="156"/>
      <c r="AN600" s="156"/>
      <c r="AO600" s="156"/>
      <c r="AP600" s="156"/>
      <c r="AQ600" s="156"/>
      <c r="AR600" s="156"/>
      <c r="AS600" s="156"/>
      <c r="AT600" s="156"/>
      <c r="AU600" s="156"/>
      <c r="AV600" s="156"/>
      <c r="AW600" s="156"/>
      <c r="AX600" s="156"/>
      <c r="AY600" s="156"/>
      <c r="AZ600" s="156"/>
      <c r="BA600" s="156"/>
      <c r="BB600" s="2890"/>
      <c r="BC600" s="504"/>
      <c r="BD600" s="2829"/>
      <c r="BE600" s="2837"/>
      <c r="BF600" s="156"/>
    </row>
    <row r="601" spans="1:58" ht="14.5" hidden="1" customHeight="1" outlineLevel="1" x14ac:dyDescent="0.35">
      <c r="A601" s="1071"/>
      <c r="B601" s="106"/>
      <c r="C601" s="103"/>
      <c r="D601" s="4022"/>
      <c r="E601" s="4111"/>
      <c r="F601" s="3919" t="str">
        <f t="shared" si="67"/>
        <v>CAC-SEER17_ER2_MF</v>
      </c>
      <c r="G601" s="3920"/>
      <c r="H601" s="3921"/>
      <c r="I601" s="2657" t="str">
        <f t="shared" si="68"/>
        <v>351100_2021_12_</v>
      </c>
      <c r="J601" s="588">
        <v>1</v>
      </c>
      <c r="K601" s="569"/>
      <c r="L601" s="581"/>
      <c r="M601" s="103"/>
      <c r="N601" s="1287"/>
      <c r="O601" s="103"/>
      <c r="P601" s="106"/>
      <c r="Q601" s="106"/>
      <c r="R601" s="106"/>
      <c r="S601" s="106"/>
      <c r="T601" s="106"/>
      <c r="U601" s="106"/>
      <c r="V601" s="4022"/>
      <c r="W601" s="588">
        <v>0.65</v>
      </c>
      <c r="X601" s="589">
        <v>1</v>
      </c>
      <c r="Y601" s="588">
        <v>1</v>
      </c>
      <c r="Z601" s="588">
        <v>1</v>
      </c>
      <c r="AA601" s="588">
        <v>1</v>
      </c>
      <c r="AB601" s="588">
        <v>1</v>
      </c>
      <c r="AC601" s="588">
        <v>1</v>
      </c>
      <c r="AD601" s="588">
        <v>1</v>
      </c>
      <c r="AE601" s="588"/>
      <c r="AF601" s="588"/>
      <c r="AG601" s="588"/>
      <c r="AH601" s="156"/>
      <c r="AI601" s="156"/>
      <c r="AJ601" s="156"/>
      <c r="AK601" s="156"/>
      <c r="AL601" s="156"/>
      <c r="AM601" s="156"/>
      <c r="AN601" s="156"/>
      <c r="AO601" s="156"/>
      <c r="AP601" s="156"/>
      <c r="AQ601" s="156"/>
      <c r="AR601" s="156"/>
      <c r="AS601" s="156"/>
      <c r="AT601" s="156"/>
      <c r="AU601" s="156"/>
      <c r="AV601" s="156"/>
      <c r="AW601" s="156"/>
      <c r="AX601" s="156"/>
      <c r="AY601" s="156"/>
      <c r="AZ601" s="156"/>
      <c r="BA601" s="156"/>
      <c r="BB601" s="2890"/>
      <c r="BC601" s="504"/>
      <c r="BD601" s="2829"/>
      <c r="BE601" s="2837"/>
      <c r="BF601" s="156"/>
    </row>
    <row r="602" spans="1:58" ht="14.5" hidden="1" customHeight="1" outlineLevel="1" x14ac:dyDescent="0.35">
      <c r="A602" s="1071"/>
      <c r="B602" s="106"/>
      <c r="C602" s="103"/>
      <c r="D602" s="4022"/>
      <c r="E602" s="4111"/>
      <c r="F602" s="3919" t="str">
        <f t="shared" ref="F602:F641" si="69">F530</f>
        <v>CAC-SEER17_ER1_MF_CompE</v>
      </c>
      <c r="G602" s="3920"/>
      <c r="H602" s="3921"/>
      <c r="I602" s="590" t="str">
        <f t="shared" ref="I602:I641" si="70">I530</f>
        <v>351101_2021_12_</v>
      </c>
      <c r="J602" s="588">
        <v>1</v>
      </c>
      <c r="K602" s="2049"/>
      <c r="L602" s="2066"/>
      <c r="M602" s="103"/>
      <c r="N602" s="1287"/>
      <c r="O602" s="103"/>
      <c r="P602" s="106"/>
      <c r="Q602" s="106"/>
      <c r="R602" s="106"/>
      <c r="S602" s="106"/>
      <c r="T602" s="106"/>
      <c r="U602" s="106"/>
      <c r="V602" s="4022"/>
      <c r="W602" s="591"/>
      <c r="X602" s="589"/>
      <c r="Y602" s="588">
        <v>1</v>
      </c>
      <c r="Z602" s="588">
        <v>1</v>
      </c>
      <c r="AA602" s="588">
        <v>1</v>
      </c>
      <c r="AB602" s="588">
        <v>1</v>
      </c>
      <c r="AC602" s="588">
        <v>1</v>
      </c>
      <c r="AD602" s="588">
        <v>1</v>
      </c>
      <c r="AE602" s="591"/>
      <c r="AF602" s="591"/>
      <c r="AG602" s="591"/>
      <c r="AH602" s="156"/>
      <c r="AI602" s="156"/>
      <c r="AJ602" s="156"/>
      <c r="AK602" s="156"/>
      <c r="AL602" s="156"/>
      <c r="AM602" s="156"/>
      <c r="AN602" s="156"/>
      <c r="AO602" s="156"/>
      <c r="AP602" s="156"/>
      <c r="AQ602" s="156"/>
      <c r="AR602" s="156"/>
      <c r="AS602" s="156"/>
      <c r="AT602" s="156"/>
      <c r="AU602" s="156"/>
      <c r="AV602" s="156"/>
      <c r="AW602" s="156"/>
      <c r="AX602" s="156"/>
      <c r="AY602" s="156"/>
      <c r="AZ602" s="156"/>
      <c r="BA602" s="156"/>
      <c r="BB602" s="2890"/>
      <c r="BC602" s="504"/>
      <c r="BD602" s="2829"/>
      <c r="BE602" s="2837"/>
      <c r="BF602" s="156"/>
    </row>
    <row r="603" spans="1:58" ht="14.5" hidden="1" customHeight="1" outlineLevel="1" x14ac:dyDescent="0.35">
      <c r="A603" s="1071"/>
      <c r="B603" s="106"/>
      <c r="C603" s="103"/>
      <c r="D603" s="4022"/>
      <c r="E603" s="4111"/>
      <c r="F603" s="3919" t="str">
        <f t="shared" si="69"/>
        <v>CAC-SEER17_ER2_MF_CompE</v>
      </c>
      <c r="G603" s="3920"/>
      <c r="H603" s="3921"/>
      <c r="I603" s="590" t="str">
        <f t="shared" si="70"/>
        <v>351101_2021_12_</v>
      </c>
      <c r="J603" s="588">
        <v>1</v>
      </c>
      <c r="K603" s="2049"/>
      <c r="L603" s="2066"/>
      <c r="M603" s="103"/>
      <c r="N603" s="1287"/>
      <c r="O603" s="103"/>
      <c r="P603" s="106"/>
      <c r="Q603" s="106"/>
      <c r="R603" s="106"/>
      <c r="S603" s="106"/>
      <c r="T603" s="106"/>
      <c r="U603" s="106"/>
      <c r="V603" s="4022"/>
      <c r="W603" s="591"/>
      <c r="X603" s="589"/>
      <c r="Y603" s="588">
        <v>1</v>
      </c>
      <c r="Z603" s="588">
        <v>1</v>
      </c>
      <c r="AA603" s="588">
        <v>1</v>
      </c>
      <c r="AB603" s="588">
        <v>1</v>
      </c>
      <c r="AC603" s="588">
        <v>1</v>
      </c>
      <c r="AD603" s="588">
        <v>1</v>
      </c>
      <c r="AE603" s="591"/>
      <c r="AF603" s="591"/>
      <c r="AG603" s="591"/>
      <c r="AH603" s="156"/>
      <c r="AI603" s="156"/>
      <c r="AJ603" s="156"/>
      <c r="AK603" s="156"/>
      <c r="AL603" s="156"/>
      <c r="AM603" s="156"/>
      <c r="AN603" s="156"/>
      <c r="AO603" s="156"/>
      <c r="AP603" s="156"/>
      <c r="AQ603" s="156"/>
      <c r="AR603" s="156"/>
      <c r="AS603" s="156"/>
      <c r="AT603" s="156"/>
      <c r="AU603" s="156"/>
      <c r="AV603" s="156"/>
      <c r="AW603" s="156"/>
      <c r="AX603" s="156"/>
      <c r="AY603" s="156"/>
      <c r="AZ603" s="156"/>
      <c r="BA603" s="156"/>
      <c r="BB603" s="2890"/>
      <c r="BC603" s="504"/>
      <c r="BD603" s="2829"/>
      <c r="BE603" s="2837"/>
      <c r="BF603" s="156"/>
    </row>
    <row r="604" spans="1:58" ht="14.5" hidden="1" customHeight="1" outlineLevel="1" x14ac:dyDescent="0.35">
      <c r="A604" s="1071"/>
      <c r="B604" s="106"/>
      <c r="C604" s="103"/>
      <c r="D604" s="4022"/>
      <c r="E604" s="4111"/>
      <c r="F604" s="3919" t="str">
        <f t="shared" si="69"/>
        <v>CAC-SEER17_ROF_MF</v>
      </c>
      <c r="G604" s="3920"/>
      <c r="H604" s="3921"/>
      <c r="I604" s="2657" t="str">
        <f t="shared" si="70"/>
        <v>351150_2021_12_</v>
      </c>
      <c r="J604" s="588">
        <v>1</v>
      </c>
      <c r="K604" s="569"/>
      <c r="L604" s="581"/>
      <c r="M604" s="103"/>
      <c r="N604" s="1287"/>
      <c r="O604" s="103"/>
      <c r="P604" s="106"/>
      <c r="Q604" s="106"/>
      <c r="R604" s="106"/>
      <c r="S604" s="106"/>
      <c r="T604" s="106"/>
      <c r="U604" s="106"/>
      <c r="V604" s="4022"/>
      <c r="W604" s="588">
        <v>0.65</v>
      </c>
      <c r="X604" s="589">
        <v>1</v>
      </c>
      <c r="Y604" s="588">
        <v>1</v>
      </c>
      <c r="Z604" s="588">
        <v>1</v>
      </c>
      <c r="AA604" s="588">
        <v>1</v>
      </c>
      <c r="AB604" s="588">
        <v>1</v>
      </c>
      <c r="AC604" s="588">
        <v>1</v>
      </c>
      <c r="AD604" s="588">
        <v>1</v>
      </c>
      <c r="AE604" s="588"/>
      <c r="AF604" s="588"/>
      <c r="AG604" s="588"/>
      <c r="AH604" s="156"/>
      <c r="AI604" s="156"/>
      <c r="AJ604" s="156"/>
      <c r="AK604" s="156"/>
      <c r="AL604" s="156"/>
      <c r="AM604" s="156"/>
      <c r="AN604" s="156"/>
      <c r="AO604" s="156"/>
      <c r="AP604" s="156"/>
      <c r="AQ604" s="156"/>
      <c r="AR604" s="156"/>
      <c r="AS604" s="156"/>
      <c r="AT604" s="156"/>
      <c r="AU604" s="156"/>
      <c r="AV604" s="156"/>
      <c r="AW604" s="156"/>
      <c r="AX604" s="156"/>
      <c r="AY604" s="156"/>
      <c r="AZ604" s="156"/>
      <c r="BA604" s="156"/>
      <c r="BB604" s="2890"/>
      <c r="BC604" s="504"/>
      <c r="BD604" s="2829"/>
      <c r="BE604" s="2837"/>
      <c r="BF604" s="156"/>
    </row>
    <row r="605" spans="1:58" ht="14.5" hidden="1" customHeight="1" outlineLevel="1" x14ac:dyDescent="0.35">
      <c r="A605" s="1071"/>
      <c r="B605" s="106"/>
      <c r="C605" s="103"/>
      <c r="D605" s="4023"/>
      <c r="E605" s="3839"/>
      <c r="F605" s="3919" t="str">
        <f t="shared" si="69"/>
        <v>CAC-SEER17_ROF_MF_CompE</v>
      </c>
      <c r="G605" s="3920"/>
      <c r="H605" s="3921"/>
      <c r="I605" s="2657" t="str">
        <f t="shared" si="70"/>
        <v>351151_2021_12_</v>
      </c>
      <c r="J605" s="588">
        <v>1</v>
      </c>
      <c r="K605" s="569"/>
      <c r="L605" s="581"/>
      <c r="M605" s="103"/>
      <c r="N605" s="1287"/>
      <c r="O605" s="103"/>
      <c r="P605" s="106"/>
      <c r="Q605" s="106"/>
      <c r="R605" s="106"/>
      <c r="S605" s="106"/>
      <c r="T605" s="106"/>
      <c r="U605" s="106"/>
      <c r="V605" s="4023"/>
      <c r="W605" s="594"/>
      <c r="X605" s="593"/>
      <c r="Y605" s="594">
        <v>1</v>
      </c>
      <c r="Z605" s="594">
        <v>1</v>
      </c>
      <c r="AA605" s="594">
        <v>1</v>
      </c>
      <c r="AB605" s="594">
        <v>1</v>
      </c>
      <c r="AC605" s="588">
        <v>1</v>
      </c>
      <c r="AD605" s="588">
        <v>1</v>
      </c>
      <c r="AE605" s="594"/>
      <c r="AF605" s="594"/>
      <c r="AG605" s="594"/>
      <c r="AH605" s="156"/>
      <c r="AI605" s="156"/>
      <c r="AJ605" s="156"/>
      <c r="AK605" s="156"/>
      <c r="AL605" s="156"/>
      <c r="AM605" s="156"/>
      <c r="AN605" s="156"/>
      <c r="AO605" s="156"/>
      <c r="AP605" s="156"/>
      <c r="AQ605" s="156"/>
      <c r="AR605" s="156"/>
      <c r="AS605" s="156"/>
      <c r="AT605" s="156"/>
      <c r="AU605" s="156"/>
      <c r="AV605" s="156"/>
      <c r="AW605" s="156"/>
      <c r="AX605" s="156"/>
      <c r="AY605" s="156"/>
      <c r="AZ605" s="156"/>
      <c r="BA605" s="156"/>
      <c r="BB605" s="2890"/>
      <c r="BC605" s="504"/>
      <c r="BD605" s="2829"/>
      <c r="BE605" s="2837"/>
      <c r="BF605" s="156"/>
    </row>
    <row r="606" spans="1:58" ht="14.5" hidden="1" customHeight="1" outlineLevel="1" x14ac:dyDescent="0.35">
      <c r="A606" s="1071"/>
      <c r="B606" s="106"/>
      <c r="C606" s="103"/>
      <c r="D606" s="4140"/>
      <c r="E606" s="4138"/>
      <c r="F606" s="3919" t="str">
        <f t="shared" si="69"/>
        <v>CAC-SEER18_ER1_SF</v>
      </c>
      <c r="G606" s="3920"/>
      <c r="H606" s="3921"/>
      <c r="I606" s="2657" t="str">
        <f t="shared" si="70"/>
        <v>351160_2021_12_</v>
      </c>
      <c r="J606" s="588">
        <v>1</v>
      </c>
      <c r="K606" s="569"/>
      <c r="L606" s="581"/>
      <c r="M606" s="103"/>
      <c r="N606" s="1287"/>
      <c r="O606" s="103"/>
      <c r="P606" s="106"/>
      <c r="Q606" s="106"/>
      <c r="R606" s="106"/>
      <c r="S606" s="106"/>
      <c r="T606" s="106"/>
      <c r="U606" s="106"/>
      <c r="V606" s="4023"/>
      <c r="W606" s="594"/>
      <c r="X606" s="594"/>
      <c r="Y606" s="594"/>
      <c r="Z606" s="593">
        <v>1</v>
      </c>
      <c r="AA606" s="594">
        <v>1</v>
      </c>
      <c r="AB606" s="594">
        <v>1</v>
      </c>
      <c r="AC606" s="588">
        <v>1</v>
      </c>
      <c r="AD606" s="588">
        <v>1</v>
      </c>
      <c r="AE606" s="594"/>
      <c r="AF606" s="594"/>
      <c r="AG606" s="594"/>
      <c r="AH606" s="156"/>
      <c r="AI606" s="156"/>
      <c r="AJ606" s="156"/>
      <c r="AK606" s="156"/>
      <c r="AL606" s="156"/>
      <c r="AM606" s="156"/>
      <c r="AN606" s="156"/>
      <c r="AO606" s="156"/>
      <c r="AP606" s="156"/>
      <c r="AQ606" s="156"/>
      <c r="AR606" s="156"/>
      <c r="AS606" s="156"/>
      <c r="AT606" s="156"/>
      <c r="AU606" s="156"/>
      <c r="AV606" s="156"/>
      <c r="AW606" s="156"/>
      <c r="AX606" s="156"/>
      <c r="AY606" s="156"/>
      <c r="AZ606" s="156"/>
      <c r="BA606" s="156"/>
      <c r="BB606" s="2890"/>
      <c r="BC606" s="504"/>
      <c r="BD606" s="2829"/>
      <c r="BE606" s="2837"/>
      <c r="BF606" s="156"/>
    </row>
    <row r="607" spans="1:58" ht="14.5" hidden="1" customHeight="1" outlineLevel="1" x14ac:dyDescent="0.35">
      <c r="A607" s="1071"/>
      <c r="B607" s="106"/>
      <c r="C607" s="103"/>
      <c r="D607" s="4140"/>
      <c r="E607" s="4138"/>
      <c r="F607" s="3919" t="str">
        <f t="shared" si="69"/>
        <v>CAC-SEER18_ER2_SF</v>
      </c>
      <c r="G607" s="3920"/>
      <c r="H607" s="3921"/>
      <c r="I607" s="2657" t="str">
        <f t="shared" si="70"/>
        <v>351160_2021_12_</v>
      </c>
      <c r="J607" s="588">
        <v>1</v>
      </c>
      <c r="K607" s="569"/>
      <c r="L607" s="581"/>
      <c r="M607" s="103"/>
      <c r="N607" s="1287"/>
      <c r="O607" s="103"/>
      <c r="P607" s="106"/>
      <c r="Q607" s="106"/>
      <c r="R607" s="106"/>
      <c r="S607" s="106"/>
      <c r="T607" s="106"/>
      <c r="U607" s="106"/>
      <c r="V607" s="4023"/>
      <c r="W607" s="588"/>
      <c r="X607" s="588"/>
      <c r="Y607" s="588"/>
      <c r="Z607" s="589">
        <v>1</v>
      </c>
      <c r="AA607" s="588">
        <v>1</v>
      </c>
      <c r="AB607" s="588">
        <v>1</v>
      </c>
      <c r="AC607" s="588">
        <v>1</v>
      </c>
      <c r="AD607" s="588">
        <v>1</v>
      </c>
      <c r="AE607" s="588"/>
      <c r="AF607" s="588"/>
      <c r="AG607" s="588"/>
      <c r="AH607" s="156"/>
      <c r="AI607" s="156"/>
      <c r="AJ607" s="156"/>
      <c r="AK607" s="156"/>
      <c r="AL607" s="156"/>
      <c r="AM607" s="156"/>
      <c r="AN607" s="156"/>
      <c r="AO607" s="156"/>
      <c r="AP607" s="156"/>
      <c r="AQ607" s="156"/>
      <c r="AR607" s="156"/>
      <c r="AS607" s="156"/>
      <c r="AT607" s="156"/>
      <c r="AU607" s="156"/>
      <c r="AV607" s="156"/>
      <c r="AW607" s="156"/>
      <c r="AX607" s="156"/>
      <c r="AY607" s="156"/>
      <c r="AZ607" s="156"/>
      <c r="BA607" s="156"/>
      <c r="BB607" s="2890"/>
      <c r="BC607" s="504"/>
      <c r="BD607" s="2829"/>
      <c r="BE607" s="2837"/>
      <c r="BF607" s="156"/>
    </row>
    <row r="608" spans="1:58" ht="14.5" hidden="1" customHeight="1" outlineLevel="1" x14ac:dyDescent="0.35">
      <c r="A608" s="1071"/>
      <c r="B608" s="106"/>
      <c r="C608" s="103"/>
      <c r="D608" s="4140"/>
      <c r="E608" s="4138"/>
      <c r="F608" s="3919" t="str">
        <f t="shared" si="69"/>
        <v>CAC-SEER18_ROF_SF</v>
      </c>
      <c r="G608" s="3920"/>
      <c r="H608" s="3921"/>
      <c r="I608" s="2657" t="str">
        <f t="shared" si="70"/>
        <v>351161_2021_12_</v>
      </c>
      <c r="J608" s="588">
        <v>1</v>
      </c>
      <c r="K608" s="569"/>
      <c r="L608" s="581"/>
      <c r="M608" s="103"/>
      <c r="N608" s="1287"/>
      <c r="O608" s="103"/>
      <c r="P608" s="106"/>
      <c r="Q608" s="106"/>
      <c r="R608" s="106"/>
      <c r="S608" s="106"/>
      <c r="T608" s="106"/>
      <c r="U608" s="106"/>
      <c r="V608" s="4023"/>
      <c r="W608" s="588"/>
      <c r="X608" s="588"/>
      <c r="Y608" s="588"/>
      <c r="Z608" s="589">
        <v>1</v>
      </c>
      <c r="AA608" s="588">
        <v>1</v>
      </c>
      <c r="AB608" s="588">
        <v>1</v>
      </c>
      <c r="AC608" s="588">
        <v>1</v>
      </c>
      <c r="AD608" s="588">
        <v>1</v>
      </c>
      <c r="AE608" s="588"/>
      <c r="AF608" s="588"/>
      <c r="AG608" s="588"/>
      <c r="AH608" s="156"/>
      <c r="AI608" s="156"/>
      <c r="AJ608" s="156"/>
      <c r="AK608" s="156"/>
      <c r="AL608" s="156"/>
      <c r="AM608" s="156"/>
      <c r="AN608" s="156"/>
      <c r="AO608" s="156"/>
      <c r="AP608" s="156"/>
      <c r="AQ608" s="156"/>
      <c r="AR608" s="156"/>
      <c r="AS608" s="156"/>
      <c r="AT608" s="156"/>
      <c r="AU608" s="156"/>
      <c r="AV608" s="156"/>
      <c r="AW608" s="156"/>
      <c r="AX608" s="156"/>
      <c r="AY608" s="156"/>
      <c r="AZ608" s="156"/>
      <c r="BA608" s="156"/>
      <c r="BB608" s="2890"/>
      <c r="BC608" s="504"/>
      <c r="BD608" s="2829"/>
      <c r="BE608" s="2837"/>
      <c r="BF608" s="156"/>
    </row>
    <row r="609" spans="1:58" ht="14.5" hidden="1" customHeight="1" outlineLevel="1" x14ac:dyDescent="0.35">
      <c r="A609" s="1071"/>
      <c r="B609" s="106"/>
      <c r="C609" s="103"/>
      <c r="D609" s="4140"/>
      <c r="E609" s="4138"/>
      <c r="F609" s="3919" t="str">
        <f t="shared" si="69"/>
        <v>CAC-SEER18_ER1_MF</v>
      </c>
      <c r="G609" s="3920"/>
      <c r="H609" s="3921"/>
      <c r="I609" s="2657" t="str">
        <f t="shared" si="70"/>
        <v>351162_2021_12_</v>
      </c>
      <c r="J609" s="588">
        <v>1</v>
      </c>
      <c r="K609" s="569"/>
      <c r="L609" s="581"/>
      <c r="M609" s="103"/>
      <c r="N609" s="1287"/>
      <c r="O609" s="103"/>
      <c r="P609" s="106"/>
      <c r="Q609" s="106"/>
      <c r="R609" s="106"/>
      <c r="S609" s="106"/>
      <c r="T609" s="106"/>
      <c r="U609" s="106"/>
      <c r="V609" s="4023"/>
      <c r="W609" s="588"/>
      <c r="X609" s="589"/>
      <c r="Y609" s="588"/>
      <c r="Z609" s="589">
        <v>1</v>
      </c>
      <c r="AA609" s="588">
        <v>1</v>
      </c>
      <c r="AB609" s="588">
        <v>1</v>
      </c>
      <c r="AC609" s="588">
        <v>1</v>
      </c>
      <c r="AD609" s="588">
        <v>1</v>
      </c>
      <c r="AE609" s="588"/>
      <c r="AF609" s="588"/>
      <c r="AG609" s="588"/>
      <c r="AH609" s="156"/>
      <c r="AI609" s="156"/>
      <c r="AJ609" s="156"/>
      <c r="AK609" s="156"/>
      <c r="AL609" s="156"/>
      <c r="AM609" s="156"/>
      <c r="AN609" s="156"/>
      <c r="AO609" s="156"/>
      <c r="AP609" s="156"/>
      <c r="AQ609" s="156"/>
      <c r="AR609" s="156"/>
      <c r="AS609" s="156"/>
      <c r="AT609" s="156"/>
      <c r="AU609" s="156"/>
      <c r="AV609" s="156"/>
      <c r="AW609" s="156"/>
      <c r="AX609" s="156"/>
      <c r="AY609" s="156"/>
      <c r="AZ609" s="156"/>
      <c r="BA609" s="156"/>
      <c r="BB609" s="2890"/>
      <c r="BC609" s="504"/>
      <c r="BD609" s="2829"/>
      <c r="BE609" s="2837"/>
      <c r="BF609" s="156"/>
    </row>
    <row r="610" spans="1:58" ht="14.5" hidden="1" customHeight="1" outlineLevel="1" x14ac:dyDescent="0.35">
      <c r="A610" s="1071"/>
      <c r="B610" s="106"/>
      <c r="C610" s="103"/>
      <c r="D610" s="4140"/>
      <c r="E610" s="4138"/>
      <c r="F610" s="3919" t="str">
        <f t="shared" si="69"/>
        <v>CAC-SEER18_ER2_MF</v>
      </c>
      <c r="G610" s="3920"/>
      <c r="H610" s="3921"/>
      <c r="I610" s="2657" t="str">
        <f t="shared" si="70"/>
        <v>351162_2021_12_</v>
      </c>
      <c r="J610" s="588">
        <v>1</v>
      </c>
      <c r="K610" s="569"/>
      <c r="L610" s="581"/>
      <c r="M610" s="103"/>
      <c r="N610" s="1287"/>
      <c r="O610" s="103"/>
      <c r="P610" s="106"/>
      <c r="Q610" s="106"/>
      <c r="R610" s="106"/>
      <c r="S610" s="106"/>
      <c r="T610" s="106"/>
      <c r="U610" s="106"/>
      <c r="V610" s="4023"/>
      <c r="W610" s="588"/>
      <c r="X610" s="589"/>
      <c r="Y610" s="588"/>
      <c r="Z610" s="589">
        <v>1</v>
      </c>
      <c r="AA610" s="588">
        <v>1</v>
      </c>
      <c r="AB610" s="588">
        <v>1</v>
      </c>
      <c r="AC610" s="588">
        <v>1</v>
      </c>
      <c r="AD610" s="588">
        <v>1</v>
      </c>
      <c r="AE610" s="588"/>
      <c r="AF610" s="588"/>
      <c r="AG610" s="588"/>
      <c r="AH610" s="156"/>
      <c r="AI610" s="156"/>
      <c r="AJ610" s="156"/>
      <c r="AK610" s="156"/>
      <c r="AL610" s="156"/>
      <c r="AM610" s="156"/>
      <c r="AN610" s="156"/>
      <c r="AO610" s="156"/>
      <c r="AP610" s="156"/>
      <c r="AQ610" s="156"/>
      <c r="AR610" s="156"/>
      <c r="AS610" s="156"/>
      <c r="AT610" s="156"/>
      <c r="AU610" s="156"/>
      <c r="AV610" s="156"/>
      <c r="AW610" s="156"/>
      <c r="AX610" s="156"/>
      <c r="AY610" s="156"/>
      <c r="AZ610" s="156"/>
      <c r="BA610" s="156"/>
      <c r="BB610" s="2890"/>
      <c r="BC610" s="504"/>
      <c r="BD610" s="2829"/>
      <c r="BE610" s="2837"/>
      <c r="BF610" s="156"/>
    </row>
    <row r="611" spans="1:58" ht="14.5" hidden="1" customHeight="1" outlineLevel="1" x14ac:dyDescent="0.35">
      <c r="A611" s="1071"/>
      <c r="B611" s="106"/>
      <c r="C611" s="103"/>
      <c r="D611" s="4140"/>
      <c r="E611" s="4138"/>
      <c r="F611" s="3919" t="str">
        <f t="shared" si="69"/>
        <v>CAC-SEER18_ER1_MF_CompE</v>
      </c>
      <c r="G611" s="3920"/>
      <c r="H611" s="3921"/>
      <c r="I611" s="2657" t="str">
        <f t="shared" si="70"/>
        <v>351163_2021_12_</v>
      </c>
      <c r="J611" s="588">
        <v>1</v>
      </c>
      <c r="K611" s="569"/>
      <c r="L611" s="581"/>
      <c r="M611" s="103"/>
      <c r="N611" s="1287"/>
      <c r="O611" s="103"/>
      <c r="P611" s="106"/>
      <c r="Q611" s="106"/>
      <c r="R611" s="106"/>
      <c r="S611" s="106"/>
      <c r="T611" s="106"/>
      <c r="U611" s="106"/>
      <c r="V611" s="4023"/>
      <c r="W611" s="588"/>
      <c r="X611" s="589"/>
      <c r="Y611" s="588"/>
      <c r="Z611" s="589">
        <v>1</v>
      </c>
      <c r="AA611" s="588">
        <v>1</v>
      </c>
      <c r="AB611" s="588">
        <v>1</v>
      </c>
      <c r="AC611" s="588">
        <v>1</v>
      </c>
      <c r="AD611" s="588">
        <v>1</v>
      </c>
      <c r="AE611" s="588"/>
      <c r="AF611" s="588"/>
      <c r="AG611" s="588"/>
      <c r="AH611" s="156"/>
      <c r="AI611" s="156"/>
      <c r="AJ611" s="156"/>
      <c r="AK611" s="156"/>
      <c r="AL611" s="156"/>
      <c r="AM611" s="156"/>
      <c r="AN611" s="156"/>
      <c r="AO611" s="156"/>
      <c r="AP611" s="156"/>
      <c r="AQ611" s="156"/>
      <c r="AR611" s="156"/>
      <c r="AS611" s="156"/>
      <c r="AT611" s="156"/>
      <c r="AU611" s="156"/>
      <c r="AV611" s="156"/>
      <c r="AW611" s="156"/>
      <c r="AX611" s="156"/>
      <c r="AY611" s="156"/>
      <c r="AZ611" s="156"/>
      <c r="BA611" s="156"/>
      <c r="BB611" s="2890"/>
      <c r="BC611" s="504"/>
      <c r="BD611" s="2829"/>
      <c r="BE611" s="2837"/>
      <c r="BF611" s="156"/>
    </row>
    <row r="612" spans="1:58" ht="14.5" hidden="1" customHeight="1" outlineLevel="1" x14ac:dyDescent="0.35">
      <c r="A612" s="1071"/>
      <c r="B612" s="106"/>
      <c r="C612" s="103"/>
      <c r="D612" s="4140"/>
      <c r="E612" s="4138"/>
      <c r="F612" s="3919" t="str">
        <f t="shared" si="69"/>
        <v>CAC-SEER18_ER2_MF_CompE</v>
      </c>
      <c r="G612" s="3920"/>
      <c r="H612" s="3921"/>
      <c r="I612" s="2657" t="str">
        <f t="shared" si="70"/>
        <v>351163_2021_12_</v>
      </c>
      <c r="J612" s="588">
        <v>1</v>
      </c>
      <c r="K612" s="569"/>
      <c r="L612" s="581"/>
      <c r="M612" s="103"/>
      <c r="N612" s="1287"/>
      <c r="O612" s="103"/>
      <c r="P612" s="106"/>
      <c r="Q612" s="106"/>
      <c r="R612" s="106"/>
      <c r="S612" s="106"/>
      <c r="T612" s="106"/>
      <c r="U612" s="106"/>
      <c r="V612" s="4023"/>
      <c r="W612" s="588"/>
      <c r="X612" s="589"/>
      <c r="Y612" s="588"/>
      <c r="Z612" s="589">
        <v>1</v>
      </c>
      <c r="AA612" s="588">
        <v>1</v>
      </c>
      <c r="AB612" s="588">
        <v>1</v>
      </c>
      <c r="AC612" s="588">
        <v>1</v>
      </c>
      <c r="AD612" s="588">
        <v>1</v>
      </c>
      <c r="AE612" s="588"/>
      <c r="AF612" s="588"/>
      <c r="AG612" s="588"/>
      <c r="AH612" s="156"/>
      <c r="AI612" s="156"/>
      <c r="AJ612" s="156"/>
      <c r="AK612" s="156"/>
      <c r="AL612" s="156"/>
      <c r="AM612" s="156"/>
      <c r="AN612" s="156"/>
      <c r="AO612" s="156"/>
      <c r="AP612" s="156"/>
      <c r="AQ612" s="156"/>
      <c r="AR612" s="156"/>
      <c r="AS612" s="156"/>
      <c r="AT612" s="156"/>
      <c r="AU612" s="156"/>
      <c r="AV612" s="156"/>
      <c r="AW612" s="156"/>
      <c r="AX612" s="156"/>
      <c r="AY612" s="156"/>
      <c r="AZ612" s="156"/>
      <c r="BA612" s="156"/>
      <c r="BB612" s="2890"/>
      <c r="BC612" s="504"/>
      <c r="BD612" s="2829"/>
      <c r="BE612" s="2837"/>
      <c r="BF612" s="156"/>
    </row>
    <row r="613" spans="1:58" ht="14.5" hidden="1" customHeight="1" outlineLevel="1" x14ac:dyDescent="0.35">
      <c r="A613" s="1071"/>
      <c r="B613" s="106"/>
      <c r="C613" s="103"/>
      <c r="D613" s="4140"/>
      <c r="E613" s="4138"/>
      <c r="F613" s="3919" t="str">
        <f t="shared" si="69"/>
        <v>CAC-SEER18_ROF_MF</v>
      </c>
      <c r="G613" s="3920"/>
      <c r="H613" s="3921"/>
      <c r="I613" s="2657" t="str">
        <f t="shared" si="70"/>
        <v>351164_2021_12_</v>
      </c>
      <c r="J613" s="588">
        <v>1</v>
      </c>
      <c r="K613" s="569"/>
      <c r="L613" s="581"/>
      <c r="M613" s="103"/>
      <c r="N613" s="1287"/>
      <c r="O613" s="103"/>
      <c r="P613" s="106"/>
      <c r="Q613" s="106"/>
      <c r="R613" s="106"/>
      <c r="S613" s="106"/>
      <c r="T613" s="106"/>
      <c r="U613" s="106"/>
      <c r="V613" s="4023"/>
      <c r="W613" s="588"/>
      <c r="X613" s="589"/>
      <c r="Y613" s="588"/>
      <c r="Z613" s="589">
        <v>1</v>
      </c>
      <c r="AA613" s="588">
        <v>1</v>
      </c>
      <c r="AB613" s="588">
        <v>1</v>
      </c>
      <c r="AC613" s="588">
        <v>1</v>
      </c>
      <c r="AD613" s="588">
        <v>1</v>
      </c>
      <c r="AE613" s="588"/>
      <c r="AF613" s="588"/>
      <c r="AG613" s="588"/>
      <c r="AH613" s="156"/>
      <c r="AI613" s="156"/>
      <c r="AJ613" s="156"/>
      <c r="AK613" s="156"/>
      <c r="AL613" s="156"/>
      <c r="AM613" s="156"/>
      <c r="AN613" s="156"/>
      <c r="AO613" s="156"/>
      <c r="AP613" s="156"/>
      <c r="AQ613" s="156"/>
      <c r="AR613" s="156"/>
      <c r="AS613" s="156"/>
      <c r="AT613" s="156"/>
      <c r="AU613" s="156"/>
      <c r="AV613" s="156"/>
      <c r="AW613" s="156"/>
      <c r="AX613" s="156"/>
      <c r="AY613" s="156"/>
      <c r="AZ613" s="156"/>
      <c r="BA613" s="156"/>
      <c r="BB613" s="2890"/>
      <c r="BC613" s="504"/>
      <c r="BD613" s="2829"/>
      <c r="BE613" s="2837"/>
      <c r="BF613" s="156"/>
    </row>
    <row r="614" spans="1:58" ht="14.5" hidden="1" customHeight="1" outlineLevel="1" x14ac:dyDescent="0.35">
      <c r="A614" s="1071"/>
      <c r="B614" s="106"/>
      <c r="C614" s="103"/>
      <c r="D614" s="4140"/>
      <c r="E614" s="4138"/>
      <c r="F614" s="3919" t="str">
        <f t="shared" si="69"/>
        <v>CAC-SEER18_ROF_MF_CompE</v>
      </c>
      <c r="G614" s="3920"/>
      <c r="H614" s="3921"/>
      <c r="I614" s="2657" t="str">
        <f t="shared" si="70"/>
        <v>351165_2021_12_</v>
      </c>
      <c r="J614" s="588">
        <v>1</v>
      </c>
      <c r="K614" s="569"/>
      <c r="L614" s="581"/>
      <c r="M614" s="103"/>
      <c r="N614" s="1287"/>
      <c r="O614" s="103"/>
      <c r="P614" s="106"/>
      <c r="Q614" s="106"/>
      <c r="R614" s="106"/>
      <c r="S614" s="106"/>
      <c r="T614" s="106"/>
      <c r="U614" s="106"/>
      <c r="V614" s="4023"/>
      <c r="W614" s="588"/>
      <c r="X614" s="589"/>
      <c r="Y614" s="588"/>
      <c r="Z614" s="589">
        <v>1</v>
      </c>
      <c r="AA614" s="588">
        <v>1</v>
      </c>
      <c r="AB614" s="588">
        <v>1</v>
      </c>
      <c r="AC614" s="588">
        <v>1</v>
      </c>
      <c r="AD614" s="588">
        <v>1</v>
      </c>
      <c r="AE614" s="588"/>
      <c r="AF614" s="588"/>
      <c r="AG614" s="588"/>
      <c r="AH614" s="156"/>
      <c r="AI614" s="156"/>
      <c r="AJ614" s="156"/>
      <c r="AK614" s="156"/>
      <c r="AL614" s="156"/>
      <c r="AM614" s="156"/>
      <c r="AN614" s="156"/>
      <c r="AO614" s="156"/>
      <c r="AP614" s="156"/>
      <c r="AQ614" s="156"/>
      <c r="AR614" s="156"/>
      <c r="AS614" s="156"/>
      <c r="AT614" s="156"/>
      <c r="AU614" s="156"/>
      <c r="AV614" s="156"/>
      <c r="AW614" s="156"/>
      <c r="AX614" s="156"/>
      <c r="AY614" s="156"/>
      <c r="AZ614" s="156"/>
      <c r="BA614" s="156"/>
      <c r="BB614" s="2890"/>
      <c r="BC614" s="504"/>
      <c r="BD614" s="2829"/>
      <c r="BE614" s="2837"/>
      <c r="BF614" s="156"/>
    </row>
    <row r="615" spans="1:58" ht="14.5" hidden="1" customHeight="1" outlineLevel="1" x14ac:dyDescent="0.35">
      <c r="A615" s="1071"/>
      <c r="B615" s="106"/>
      <c r="C615" s="103"/>
      <c r="D615" s="4140"/>
      <c r="E615" s="4138"/>
      <c r="F615" s="3919" t="str">
        <f t="shared" si="69"/>
        <v>CAC-SEER19_ER1_SF</v>
      </c>
      <c r="G615" s="3920"/>
      <c r="H615" s="3921"/>
      <c r="I615" s="2657" t="str">
        <f t="shared" si="70"/>
        <v>351170_2021_12_</v>
      </c>
      <c r="J615" s="588">
        <v>1</v>
      </c>
      <c r="K615" s="569"/>
      <c r="L615" s="581"/>
      <c r="M615" s="103"/>
      <c r="N615" s="1287"/>
      <c r="O615" s="103"/>
      <c r="P615" s="106"/>
      <c r="Q615" s="106"/>
      <c r="R615" s="106"/>
      <c r="S615" s="106"/>
      <c r="T615" s="106"/>
      <c r="U615" s="106"/>
      <c r="V615" s="4023"/>
      <c r="W615" s="588"/>
      <c r="X615" s="588"/>
      <c r="Y615" s="588"/>
      <c r="Z615" s="589">
        <v>1</v>
      </c>
      <c r="AA615" s="588">
        <v>1</v>
      </c>
      <c r="AB615" s="588">
        <v>1</v>
      </c>
      <c r="AC615" s="588">
        <v>1</v>
      </c>
      <c r="AD615" s="588">
        <v>1</v>
      </c>
      <c r="AE615" s="588"/>
      <c r="AF615" s="588"/>
      <c r="AG615" s="588"/>
      <c r="AH615" s="156"/>
      <c r="AI615" s="156"/>
      <c r="AJ615" s="156"/>
      <c r="AK615" s="156"/>
      <c r="AL615" s="156"/>
      <c r="AM615" s="156"/>
      <c r="AN615" s="156"/>
      <c r="AO615" s="156"/>
      <c r="AP615" s="156"/>
      <c r="AQ615" s="156"/>
      <c r="AR615" s="156"/>
      <c r="AS615" s="156"/>
      <c r="AT615" s="156"/>
      <c r="AU615" s="156"/>
      <c r="AV615" s="156"/>
      <c r="AW615" s="156"/>
      <c r="AX615" s="156"/>
      <c r="AY615" s="156"/>
      <c r="AZ615" s="156"/>
      <c r="BA615" s="156"/>
      <c r="BB615" s="2890"/>
      <c r="BC615" s="504"/>
      <c r="BD615" s="2829"/>
      <c r="BE615" s="2837"/>
      <c r="BF615" s="156"/>
    </row>
    <row r="616" spans="1:58" ht="14.5" hidden="1" customHeight="1" outlineLevel="1" x14ac:dyDescent="0.35">
      <c r="A616" s="1071"/>
      <c r="B616" s="106"/>
      <c r="C616" s="103"/>
      <c r="D616" s="4140"/>
      <c r="E616" s="4138"/>
      <c r="F616" s="3919" t="str">
        <f t="shared" si="69"/>
        <v>CAC-SEER19_ER2_SF</v>
      </c>
      <c r="G616" s="3920"/>
      <c r="H616" s="3921"/>
      <c r="I616" s="2657" t="str">
        <f t="shared" si="70"/>
        <v>351170_2021_12_</v>
      </c>
      <c r="J616" s="588">
        <v>1</v>
      </c>
      <c r="K616" s="569"/>
      <c r="L616" s="581"/>
      <c r="M616" s="103"/>
      <c r="N616" s="1287"/>
      <c r="O616" s="103"/>
      <c r="P616" s="106"/>
      <c r="Q616" s="106"/>
      <c r="R616" s="106"/>
      <c r="S616" s="106"/>
      <c r="T616" s="106"/>
      <c r="U616" s="106"/>
      <c r="V616" s="4023"/>
      <c r="W616" s="588"/>
      <c r="X616" s="588"/>
      <c r="Y616" s="588"/>
      <c r="Z616" s="589">
        <v>1</v>
      </c>
      <c r="AA616" s="588">
        <v>1</v>
      </c>
      <c r="AB616" s="588">
        <v>1</v>
      </c>
      <c r="AC616" s="588">
        <v>1</v>
      </c>
      <c r="AD616" s="588">
        <v>1</v>
      </c>
      <c r="AE616" s="588"/>
      <c r="AF616" s="588"/>
      <c r="AG616" s="588"/>
      <c r="AH616" s="156"/>
      <c r="AI616" s="156"/>
      <c r="AJ616" s="156"/>
      <c r="AK616" s="156"/>
      <c r="AL616" s="156"/>
      <c r="AM616" s="156"/>
      <c r="AN616" s="156"/>
      <c r="AO616" s="156"/>
      <c r="AP616" s="156"/>
      <c r="AQ616" s="156"/>
      <c r="AR616" s="156"/>
      <c r="AS616" s="156"/>
      <c r="AT616" s="156"/>
      <c r="AU616" s="156"/>
      <c r="AV616" s="156"/>
      <c r="AW616" s="156"/>
      <c r="AX616" s="156"/>
      <c r="AY616" s="156"/>
      <c r="AZ616" s="156"/>
      <c r="BA616" s="156"/>
      <c r="BB616" s="2890"/>
      <c r="BC616" s="504"/>
      <c r="BD616" s="2829"/>
      <c r="BE616" s="2837"/>
      <c r="BF616" s="156"/>
    </row>
    <row r="617" spans="1:58" ht="14.5" hidden="1" customHeight="1" outlineLevel="1" x14ac:dyDescent="0.35">
      <c r="A617" s="1071"/>
      <c r="B617" s="106"/>
      <c r="C617" s="103"/>
      <c r="D617" s="4140"/>
      <c r="E617" s="4138"/>
      <c r="F617" s="3919" t="str">
        <f t="shared" si="69"/>
        <v>CAC-SEER19_ROF_SF</v>
      </c>
      <c r="G617" s="3920"/>
      <c r="H617" s="3921"/>
      <c r="I617" s="2657" t="str">
        <f t="shared" si="70"/>
        <v>351171_2021_12_</v>
      </c>
      <c r="J617" s="588">
        <v>1</v>
      </c>
      <c r="K617" s="569"/>
      <c r="L617" s="581"/>
      <c r="M617" s="103"/>
      <c r="N617" s="1287"/>
      <c r="O617" s="103"/>
      <c r="P617" s="106"/>
      <c r="Q617" s="106"/>
      <c r="R617" s="106"/>
      <c r="S617" s="106"/>
      <c r="T617" s="106"/>
      <c r="U617" s="106"/>
      <c r="V617" s="4023"/>
      <c r="W617" s="588"/>
      <c r="X617" s="588"/>
      <c r="Y617" s="588"/>
      <c r="Z617" s="589">
        <v>1</v>
      </c>
      <c r="AA617" s="588">
        <v>1</v>
      </c>
      <c r="AB617" s="588">
        <v>1</v>
      </c>
      <c r="AC617" s="588">
        <v>1</v>
      </c>
      <c r="AD617" s="588">
        <v>1</v>
      </c>
      <c r="AE617" s="588"/>
      <c r="AF617" s="588"/>
      <c r="AG617" s="588"/>
      <c r="AH617" s="156"/>
      <c r="AI617" s="156"/>
      <c r="AJ617" s="156"/>
      <c r="AK617" s="156"/>
      <c r="AL617" s="156"/>
      <c r="AM617" s="156"/>
      <c r="AN617" s="156"/>
      <c r="AO617" s="156"/>
      <c r="AP617" s="156"/>
      <c r="AQ617" s="156"/>
      <c r="AR617" s="156"/>
      <c r="AS617" s="156"/>
      <c r="AT617" s="156"/>
      <c r="AU617" s="156"/>
      <c r="AV617" s="156"/>
      <c r="AW617" s="156"/>
      <c r="AX617" s="156"/>
      <c r="AY617" s="156"/>
      <c r="AZ617" s="156"/>
      <c r="BA617" s="156"/>
      <c r="BB617" s="2890"/>
      <c r="BC617" s="504"/>
      <c r="BD617" s="2829"/>
      <c r="BE617" s="2837"/>
      <c r="BF617" s="156"/>
    </row>
    <row r="618" spans="1:58" ht="14.5" hidden="1" customHeight="1" outlineLevel="1" x14ac:dyDescent="0.35">
      <c r="A618" s="1071"/>
      <c r="B618" s="106"/>
      <c r="C618" s="103"/>
      <c r="D618" s="4140"/>
      <c r="E618" s="4138"/>
      <c r="F618" s="3919" t="str">
        <f t="shared" si="69"/>
        <v>CAC-SEER19_ER1_MF</v>
      </c>
      <c r="G618" s="3920"/>
      <c r="H618" s="3921"/>
      <c r="I618" s="2657" t="str">
        <f t="shared" si="70"/>
        <v>351172_2021_12_</v>
      </c>
      <c r="J618" s="588">
        <v>1</v>
      </c>
      <c r="K618" s="569"/>
      <c r="L618" s="581"/>
      <c r="M618" s="103"/>
      <c r="N618" s="1287"/>
      <c r="O618" s="103"/>
      <c r="P618" s="106"/>
      <c r="Q618" s="106"/>
      <c r="R618" s="106"/>
      <c r="S618" s="106"/>
      <c r="T618" s="106"/>
      <c r="U618" s="106"/>
      <c r="V618" s="4023"/>
      <c r="W618" s="588"/>
      <c r="X618" s="589"/>
      <c r="Y618" s="588"/>
      <c r="Z618" s="589">
        <v>1</v>
      </c>
      <c r="AA618" s="588">
        <v>1</v>
      </c>
      <c r="AB618" s="588">
        <v>1</v>
      </c>
      <c r="AC618" s="588">
        <v>1</v>
      </c>
      <c r="AD618" s="588">
        <v>1</v>
      </c>
      <c r="AE618" s="588"/>
      <c r="AF618" s="588"/>
      <c r="AG618" s="588"/>
      <c r="AH618" s="156"/>
      <c r="AI618" s="156"/>
      <c r="AJ618" s="156"/>
      <c r="AK618" s="156"/>
      <c r="AL618" s="156"/>
      <c r="AM618" s="156"/>
      <c r="AN618" s="156"/>
      <c r="AO618" s="156"/>
      <c r="AP618" s="156"/>
      <c r="AQ618" s="156"/>
      <c r="AR618" s="156"/>
      <c r="AS618" s="156"/>
      <c r="AT618" s="156"/>
      <c r="AU618" s="156"/>
      <c r="AV618" s="156"/>
      <c r="AW618" s="156"/>
      <c r="AX618" s="156"/>
      <c r="AY618" s="156"/>
      <c r="AZ618" s="156"/>
      <c r="BA618" s="156"/>
      <c r="BB618" s="2890"/>
      <c r="BC618" s="504"/>
      <c r="BD618" s="2829"/>
      <c r="BE618" s="2837"/>
      <c r="BF618" s="156"/>
    </row>
    <row r="619" spans="1:58" ht="14.5" hidden="1" customHeight="1" outlineLevel="1" x14ac:dyDescent="0.35">
      <c r="A619" s="1071"/>
      <c r="B619" s="106"/>
      <c r="C619" s="103"/>
      <c r="D619" s="4140"/>
      <c r="E619" s="4138"/>
      <c r="F619" s="3919" t="str">
        <f t="shared" si="69"/>
        <v>CAC-SEER19_ER2_MF</v>
      </c>
      <c r="G619" s="3920"/>
      <c r="H619" s="3921"/>
      <c r="I619" s="2657" t="str">
        <f t="shared" si="70"/>
        <v>351172_2021_12_</v>
      </c>
      <c r="J619" s="588">
        <v>1</v>
      </c>
      <c r="K619" s="569"/>
      <c r="L619" s="581"/>
      <c r="M619" s="103"/>
      <c r="N619" s="1287"/>
      <c r="O619" s="103"/>
      <c r="P619" s="106"/>
      <c r="Q619" s="106"/>
      <c r="R619" s="106"/>
      <c r="S619" s="106"/>
      <c r="T619" s="106"/>
      <c r="U619" s="106"/>
      <c r="V619" s="4023"/>
      <c r="W619" s="588"/>
      <c r="X619" s="589"/>
      <c r="Y619" s="588"/>
      <c r="Z619" s="589">
        <v>1</v>
      </c>
      <c r="AA619" s="588">
        <v>1</v>
      </c>
      <c r="AB619" s="588">
        <v>1</v>
      </c>
      <c r="AC619" s="588">
        <v>1</v>
      </c>
      <c r="AD619" s="588">
        <v>1</v>
      </c>
      <c r="AE619" s="588"/>
      <c r="AF619" s="588"/>
      <c r="AG619" s="588"/>
      <c r="AH619" s="156"/>
      <c r="AI619" s="156"/>
      <c r="AJ619" s="156"/>
      <c r="AK619" s="156"/>
      <c r="AL619" s="156"/>
      <c r="AM619" s="156"/>
      <c r="AN619" s="156"/>
      <c r="AO619" s="156"/>
      <c r="AP619" s="156"/>
      <c r="AQ619" s="156"/>
      <c r="AR619" s="156"/>
      <c r="AS619" s="156"/>
      <c r="AT619" s="156"/>
      <c r="AU619" s="156"/>
      <c r="AV619" s="156"/>
      <c r="AW619" s="156"/>
      <c r="AX619" s="156"/>
      <c r="AY619" s="156"/>
      <c r="AZ619" s="156"/>
      <c r="BA619" s="156"/>
      <c r="BB619" s="2890"/>
      <c r="BC619" s="504"/>
      <c r="BD619" s="2829"/>
      <c r="BE619" s="2837"/>
      <c r="BF619" s="156"/>
    </row>
    <row r="620" spans="1:58" ht="14.5" hidden="1" customHeight="1" outlineLevel="1" x14ac:dyDescent="0.35">
      <c r="A620" s="1071"/>
      <c r="B620" s="106"/>
      <c r="C620" s="103"/>
      <c r="D620" s="4140"/>
      <c r="E620" s="4138"/>
      <c r="F620" s="3919" t="str">
        <f t="shared" si="69"/>
        <v>CAC-SEER19_ER1_MF_CompE</v>
      </c>
      <c r="G620" s="3920"/>
      <c r="H620" s="3921"/>
      <c r="I620" s="2657" t="str">
        <f t="shared" si="70"/>
        <v>351173_2021_12_</v>
      </c>
      <c r="J620" s="588">
        <v>1</v>
      </c>
      <c r="K620" s="569"/>
      <c r="L620" s="581"/>
      <c r="M620" s="103"/>
      <c r="N620" s="1287"/>
      <c r="O620" s="103"/>
      <c r="P620" s="106"/>
      <c r="Q620" s="106"/>
      <c r="R620" s="106"/>
      <c r="S620" s="106"/>
      <c r="T620" s="106"/>
      <c r="U620" s="106"/>
      <c r="V620" s="4023"/>
      <c r="W620" s="588"/>
      <c r="X620" s="589"/>
      <c r="Y620" s="588"/>
      <c r="Z620" s="589">
        <v>1</v>
      </c>
      <c r="AA620" s="588">
        <v>1</v>
      </c>
      <c r="AB620" s="588">
        <v>1</v>
      </c>
      <c r="AC620" s="588">
        <v>1</v>
      </c>
      <c r="AD620" s="588">
        <v>1</v>
      </c>
      <c r="AE620" s="588"/>
      <c r="AF620" s="588"/>
      <c r="AG620" s="588"/>
      <c r="AH620" s="156"/>
      <c r="AI620" s="156"/>
      <c r="AJ620" s="156"/>
      <c r="AK620" s="156"/>
      <c r="AL620" s="156"/>
      <c r="AM620" s="156"/>
      <c r="AN620" s="156"/>
      <c r="AO620" s="156"/>
      <c r="AP620" s="156"/>
      <c r="AQ620" s="156"/>
      <c r="AR620" s="156"/>
      <c r="AS620" s="156"/>
      <c r="AT620" s="156"/>
      <c r="AU620" s="156"/>
      <c r="AV620" s="156"/>
      <c r="AW620" s="156"/>
      <c r="AX620" s="156"/>
      <c r="AY620" s="156"/>
      <c r="AZ620" s="156"/>
      <c r="BA620" s="156"/>
      <c r="BB620" s="2890"/>
      <c r="BC620" s="504"/>
      <c r="BD620" s="2829"/>
      <c r="BE620" s="2837"/>
      <c r="BF620" s="156"/>
    </row>
    <row r="621" spans="1:58" ht="14.5" hidden="1" customHeight="1" outlineLevel="1" x14ac:dyDescent="0.35">
      <c r="A621" s="1071"/>
      <c r="B621" s="106"/>
      <c r="C621" s="103"/>
      <c r="D621" s="4140"/>
      <c r="E621" s="4138"/>
      <c r="F621" s="3919" t="str">
        <f t="shared" si="69"/>
        <v>CAC-SEER19_ER2_MF_CompE</v>
      </c>
      <c r="G621" s="3920"/>
      <c r="H621" s="3921"/>
      <c r="I621" s="2657" t="str">
        <f t="shared" si="70"/>
        <v>351173_2021_12_</v>
      </c>
      <c r="J621" s="588">
        <v>1</v>
      </c>
      <c r="K621" s="569"/>
      <c r="L621" s="581"/>
      <c r="M621" s="103"/>
      <c r="N621" s="1287"/>
      <c r="O621" s="103"/>
      <c r="P621" s="106"/>
      <c r="Q621" s="106"/>
      <c r="R621" s="106"/>
      <c r="S621" s="106"/>
      <c r="T621" s="106"/>
      <c r="U621" s="106"/>
      <c r="V621" s="4023"/>
      <c r="W621" s="588"/>
      <c r="X621" s="589"/>
      <c r="Y621" s="588"/>
      <c r="Z621" s="589">
        <v>1</v>
      </c>
      <c r="AA621" s="588">
        <v>1</v>
      </c>
      <c r="AB621" s="588">
        <v>1</v>
      </c>
      <c r="AC621" s="588">
        <v>1</v>
      </c>
      <c r="AD621" s="588">
        <v>1</v>
      </c>
      <c r="AE621" s="588"/>
      <c r="AF621" s="588"/>
      <c r="AG621" s="588"/>
      <c r="AH621" s="156"/>
      <c r="AI621" s="156"/>
      <c r="AJ621" s="156"/>
      <c r="AK621" s="156"/>
      <c r="AL621" s="156"/>
      <c r="AM621" s="156"/>
      <c r="AN621" s="156"/>
      <c r="AO621" s="156"/>
      <c r="AP621" s="156"/>
      <c r="AQ621" s="156"/>
      <c r="AR621" s="156"/>
      <c r="AS621" s="156"/>
      <c r="AT621" s="156"/>
      <c r="AU621" s="156"/>
      <c r="AV621" s="156"/>
      <c r="AW621" s="156"/>
      <c r="AX621" s="156"/>
      <c r="AY621" s="156"/>
      <c r="AZ621" s="156"/>
      <c r="BA621" s="156"/>
      <c r="BB621" s="2890"/>
      <c r="BC621" s="504"/>
      <c r="BD621" s="2829"/>
      <c r="BE621" s="2837"/>
      <c r="BF621" s="156"/>
    </row>
    <row r="622" spans="1:58" ht="14.5" hidden="1" customHeight="1" outlineLevel="1" x14ac:dyDescent="0.35">
      <c r="A622" s="1071"/>
      <c r="B622" s="106"/>
      <c r="C622" s="103"/>
      <c r="D622" s="4140"/>
      <c r="E622" s="4138"/>
      <c r="F622" s="3919" t="str">
        <f t="shared" si="69"/>
        <v>CAC-SEER19_ROF_MF</v>
      </c>
      <c r="G622" s="3920"/>
      <c r="H622" s="3921"/>
      <c r="I622" s="2657" t="str">
        <f t="shared" si="70"/>
        <v>351174_2021_12_</v>
      </c>
      <c r="J622" s="588">
        <v>1</v>
      </c>
      <c r="K622" s="569"/>
      <c r="L622" s="581"/>
      <c r="M622" s="103"/>
      <c r="N622" s="1287"/>
      <c r="O622" s="103"/>
      <c r="P622" s="106"/>
      <c r="Q622" s="106"/>
      <c r="R622" s="106"/>
      <c r="S622" s="106"/>
      <c r="T622" s="106"/>
      <c r="U622" s="106"/>
      <c r="V622" s="4023"/>
      <c r="W622" s="588"/>
      <c r="X622" s="589"/>
      <c r="Y622" s="588"/>
      <c r="Z622" s="589">
        <v>1</v>
      </c>
      <c r="AA622" s="588">
        <v>1</v>
      </c>
      <c r="AB622" s="588">
        <v>1</v>
      </c>
      <c r="AC622" s="588">
        <v>1</v>
      </c>
      <c r="AD622" s="588">
        <v>1</v>
      </c>
      <c r="AE622" s="588"/>
      <c r="AF622" s="588"/>
      <c r="AG622" s="588"/>
      <c r="AH622" s="156"/>
      <c r="AI622" s="156"/>
      <c r="AJ622" s="156"/>
      <c r="AK622" s="156"/>
      <c r="AL622" s="156"/>
      <c r="AM622" s="156"/>
      <c r="AN622" s="156"/>
      <c r="AO622" s="156"/>
      <c r="AP622" s="156"/>
      <c r="AQ622" s="156"/>
      <c r="AR622" s="156"/>
      <c r="AS622" s="156"/>
      <c r="AT622" s="156"/>
      <c r="AU622" s="156"/>
      <c r="AV622" s="156"/>
      <c r="AW622" s="156"/>
      <c r="AX622" s="156"/>
      <c r="AY622" s="156"/>
      <c r="AZ622" s="156"/>
      <c r="BA622" s="156"/>
      <c r="BB622" s="2890"/>
      <c r="BC622" s="504"/>
      <c r="BD622" s="2829"/>
      <c r="BE622" s="2837"/>
      <c r="BF622" s="156"/>
    </row>
    <row r="623" spans="1:58" ht="14.5" hidden="1" customHeight="1" outlineLevel="1" x14ac:dyDescent="0.35">
      <c r="A623" s="1071"/>
      <c r="B623" s="106"/>
      <c r="C623" s="103"/>
      <c r="D623" s="4140"/>
      <c r="E623" s="4138"/>
      <c r="F623" s="3919" t="str">
        <f t="shared" si="69"/>
        <v>CAC-SEER19_ROF_MF_CompE</v>
      </c>
      <c r="G623" s="3920"/>
      <c r="H623" s="3921"/>
      <c r="I623" s="2657" t="str">
        <f t="shared" si="70"/>
        <v>351175_2021_12_</v>
      </c>
      <c r="J623" s="588">
        <v>1</v>
      </c>
      <c r="K623" s="569"/>
      <c r="L623" s="581"/>
      <c r="M623" s="103"/>
      <c r="N623" s="1287"/>
      <c r="O623" s="103"/>
      <c r="P623" s="106"/>
      <c r="Q623" s="106"/>
      <c r="R623" s="106"/>
      <c r="S623" s="106"/>
      <c r="T623" s="106"/>
      <c r="U623" s="106"/>
      <c r="V623" s="4023"/>
      <c r="W623" s="588"/>
      <c r="X623" s="589"/>
      <c r="Y623" s="588"/>
      <c r="Z623" s="589">
        <v>1</v>
      </c>
      <c r="AA623" s="588">
        <v>1</v>
      </c>
      <c r="AB623" s="588">
        <v>1</v>
      </c>
      <c r="AC623" s="588">
        <v>1</v>
      </c>
      <c r="AD623" s="588">
        <v>1</v>
      </c>
      <c r="AE623" s="588"/>
      <c r="AF623" s="588"/>
      <c r="AG623" s="588"/>
      <c r="AH623" s="156"/>
      <c r="AI623" s="156"/>
      <c r="AJ623" s="156"/>
      <c r="AK623" s="156"/>
      <c r="AL623" s="156"/>
      <c r="AM623" s="156"/>
      <c r="AN623" s="156"/>
      <c r="AO623" s="156"/>
      <c r="AP623" s="156"/>
      <c r="AQ623" s="156"/>
      <c r="AR623" s="156"/>
      <c r="AS623" s="156"/>
      <c r="AT623" s="156"/>
      <c r="AU623" s="156"/>
      <c r="AV623" s="156"/>
      <c r="AW623" s="156"/>
      <c r="AX623" s="156"/>
      <c r="AY623" s="156"/>
      <c r="AZ623" s="156"/>
      <c r="BA623" s="156"/>
      <c r="BB623" s="2890"/>
      <c r="BC623" s="504"/>
      <c r="BD623" s="2829"/>
      <c r="BE623" s="2837"/>
      <c r="BF623" s="156"/>
    </row>
    <row r="624" spans="1:58" ht="14.5" hidden="1" customHeight="1" outlineLevel="1" x14ac:dyDescent="0.35">
      <c r="A624" s="1071"/>
      <c r="B624" s="106"/>
      <c r="C624" s="103"/>
      <c r="D624" s="4140"/>
      <c r="E624" s="4138"/>
      <c r="F624" s="3919" t="str">
        <f t="shared" si="69"/>
        <v>CAC-SEER20_ER1_SF</v>
      </c>
      <c r="G624" s="3920"/>
      <c r="H624" s="3921"/>
      <c r="I624" s="2657" t="str">
        <f t="shared" si="70"/>
        <v>351180_2021_12_</v>
      </c>
      <c r="J624" s="588">
        <v>1</v>
      </c>
      <c r="K624" s="569"/>
      <c r="L624" s="581"/>
      <c r="M624" s="103"/>
      <c r="N624" s="1287"/>
      <c r="O624" s="103"/>
      <c r="P624" s="106"/>
      <c r="Q624" s="106"/>
      <c r="R624" s="106"/>
      <c r="S624" s="106"/>
      <c r="T624" s="106"/>
      <c r="U624" s="106"/>
      <c r="V624" s="4023"/>
      <c r="W624" s="588"/>
      <c r="X624" s="588"/>
      <c r="Y624" s="588"/>
      <c r="Z624" s="589">
        <v>1</v>
      </c>
      <c r="AA624" s="588">
        <v>1</v>
      </c>
      <c r="AB624" s="588">
        <v>1</v>
      </c>
      <c r="AC624" s="588">
        <v>1</v>
      </c>
      <c r="AD624" s="588">
        <v>1</v>
      </c>
      <c r="AE624" s="588"/>
      <c r="AF624" s="588"/>
      <c r="AG624" s="588"/>
      <c r="AH624" s="156"/>
      <c r="AI624" s="156"/>
      <c r="AJ624" s="156"/>
      <c r="AK624" s="156"/>
      <c r="AL624" s="156"/>
      <c r="AM624" s="156"/>
      <c r="AN624" s="156"/>
      <c r="AO624" s="156"/>
      <c r="AP624" s="156"/>
      <c r="AQ624" s="156"/>
      <c r="AR624" s="156"/>
      <c r="AS624" s="156"/>
      <c r="AT624" s="156"/>
      <c r="AU624" s="156"/>
      <c r="AV624" s="156"/>
      <c r="AW624" s="156"/>
      <c r="AX624" s="156"/>
      <c r="AY624" s="156"/>
      <c r="AZ624" s="156"/>
      <c r="BA624" s="156"/>
      <c r="BB624" s="2890"/>
      <c r="BC624" s="504"/>
      <c r="BD624" s="2829"/>
      <c r="BE624" s="2837"/>
      <c r="BF624" s="156"/>
    </row>
    <row r="625" spans="1:58" ht="14.5" hidden="1" customHeight="1" outlineLevel="1" x14ac:dyDescent="0.35">
      <c r="A625" s="1071"/>
      <c r="B625" s="106"/>
      <c r="C625" s="103"/>
      <c r="D625" s="4140"/>
      <c r="E625" s="4138"/>
      <c r="F625" s="3919" t="str">
        <f t="shared" si="69"/>
        <v>CAC-SEER20_ER2_SF</v>
      </c>
      <c r="G625" s="3920"/>
      <c r="H625" s="3921"/>
      <c r="I625" s="2657" t="str">
        <f t="shared" si="70"/>
        <v>351180_2021_12_</v>
      </c>
      <c r="J625" s="588">
        <v>1</v>
      </c>
      <c r="K625" s="569"/>
      <c r="L625" s="581"/>
      <c r="M625" s="103"/>
      <c r="N625" s="1287"/>
      <c r="O625" s="103"/>
      <c r="P625" s="106"/>
      <c r="Q625" s="106"/>
      <c r="R625" s="106"/>
      <c r="S625" s="106"/>
      <c r="T625" s="106"/>
      <c r="U625" s="106"/>
      <c r="V625" s="4023"/>
      <c r="W625" s="588"/>
      <c r="X625" s="588"/>
      <c r="Y625" s="588"/>
      <c r="Z625" s="589">
        <v>1</v>
      </c>
      <c r="AA625" s="588">
        <v>1</v>
      </c>
      <c r="AB625" s="588">
        <v>1</v>
      </c>
      <c r="AC625" s="588">
        <v>1</v>
      </c>
      <c r="AD625" s="588">
        <v>1</v>
      </c>
      <c r="AE625" s="588"/>
      <c r="AF625" s="588"/>
      <c r="AG625" s="588"/>
      <c r="AH625" s="156"/>
      <c r="AI625" s="156"/>
      <c r="AJ625" s="156"/>
      <c r="AK625" s="156"/>
      <c r="AL625" s="156"/>
      <c r="AM625" s="156"/>
      <c r="AN625" s="156"/>
      <c r="AO625" s="156"/>
      <c r="AP625" s="156"/>
      <c r="AQ625" s="156"/>
      <c r="AR625" s="156"/>
      <c r="AS625" s="156"/>
      <c r="AT625" s="156"/>
      <c r="AU625" s="156"/>
      <c r="AV625" s="156"/>
      <c r="AW625" s="156"/>
      <c r="AX625" s="156"/>
      <c r="AY625" s="156"/>
      <c r="AZ625" s="156"/>
      <c r="BA625" s="156"/>
      <c r="BB625" s="2890"/>
      <c r="BC625" s="504"/>
      <c r="BD625" s="2829"/>
      <c r="BE625" s="2837"/>
      <c r="BF625" s="156"/>
    </row>
    <row r="626" spans="1:58" ht="14.5" hidden="1" customHeight="1" outlineLevel="1" x14ac:dyDescent="0.35">
      <c r="A626" s="1071"/>
      <c r="B626" s="106"/>
      <c r="C626" s="103"/>
      <c r="D626" s="4140"/>
      <c r="E626" s="4138"/>
      <c r="F626" s="3919" t="str">
        <f t="shared" si="69"/>
        <v>CAC-SEER20_ROF_SF</v>
      </c>
      <c r="G626" s="3920"/>
      <c r="H626" s="3921"/>
      <c r="I626" s="2657" t="str">
        <f t="shared" si="70"/>
        <v>351181_2021_12_</v>
      </c>
      <c r="J626" s="588">
        <v>1</v>
      </c>
      <c r="K626" s="569"/>
      <c r="L626" s="581"/>
      <c r="M626" s="103"/>
      <c r="N626" s="1287"/>
      <c r="O626" s="103"/>
      <c r="P626" s="106"/>
      <c r="Q626" s="106"/>
      <c r="R626" s="106"/>
      <c r="S626" s="106"/>
      <c r="T626" s="106"/>
      <c r="U626" s="106"/>
      <c r="V626" s="4023"/>
      <c r="W626" s="588"/>
      <c r="X626" s="588"/>
      <c r="Y626" s="588"/>
      <c r="Z626" s="589">
        <v>1</v>
      </c>
      <c r="AA626" s="588">
        <v>1</v>
      </c>
      <c r="AB626" s="588">
        <v>1</v>
      </c>
      <c r="AC626" s="588">
        <v>1</v>
      </c>
      <c r="AD626" s="588">
        <v>1</v>
      </c>
      <c r="AE626" s="588"/>
      <c r="AF626" s="588"/>
      <c r="AG626" s="588"/>
      <c r="AH626" s="156"/>
      <c r="AI626" s="156"/>
      <c r="AJ626" s="156"/>
      <c r="AK626" s="156"/>
      <c r="AL626" s="156"/>
      <c r="AM626" s="156"/>
      <c r="AN626" s="156"/>
      <c r="AO626" s="156"/>
      <c r="AP626" s="156"/>
      <c r="AQ626" s="156"/>
      <c r="AR626" s="156"/>
      <c r="AS626" s="156"/>
      <c r="AT626" s="156"/>
      <c r="AU626" s="156"/>
      <c r="AV626" s="156"/>
      <c r="AW626" s="156"/>
      <c r="AX626" s="156"/>
      <c r="AY626" s="156"/>
      <c r="AZ626" s="156"/>
      <c r="BA626" s="156"/>
      <c r="BB626" s="2890"/>
      <c r="BC626" s="504"/>
      <c r="BD626" s="2829"/>
      <c r="BE626" s="2837"/>
      <c r="BF626" s="156"/>
    </row>
    <row r="627" spans="1:58" ht="14.5" hidden="1" customHeight="1" outlineLevel="1" x14ac:dyDescent="0.35">
      <c r="A627" s="1071"/>
      <c r="B627" s="106"/>
      <c r="C627" s="103"/>
      <c r="D627" s="4140"/>
      <c r="E627" s="4138"/>
      <c r="F627" s="3919" t="str">
        <f t="shared" si="69"/>
        <v>CAC-SEER20_ER1_MF</v>
      </c>
      <c r="G627" s="3920"/>
      <c r="H627" s="3921"/>
      <c r="I627" s="2657" t="str">
        <f t="shared" si="70"/>
        <v>351182_2021_12_</v>
      </c>
      <c r="J627" s="588">
        <v>1</v>
      </c>
      <c r="K627" s="569"/>
      <c r="L627" s="581"/>
      <c r="M627" s="103"/>
      <c r="N627" s="1287"/>
      <c r="O627" s="103"/>
      <c r="P627" s="106"/>
      <c r="Q627" s="106"/>
      <c r="R627" s="106"/>
      <c r="S627" s="106"/>
      <c r="T627" s="106"/>
      <c r="U627" s="106"/>
      <c r="V627" s="4023"/>
      <c r="W627" s="588"/>
      <c r="X627" s="589"/>
      <c r="Y627" s="588"/>
      <c r="Z627" s="589">
        <v>1</v>
      </c>
      <c r="AA627" s="588">
        <v>1</v>
      </c>
      <c r="AB627" s="588">
        <v>1</v>
      </c>
      <c r="AC627" s="588">
        <v>1</v>
      </c>
      <c r="AD627" s="588">
        <v>1</v>
      </c>
      <c r="AE627" s="588"/>
      <c r="AF627" s="588"/>
      <c r="AG627" s="588"/>
      <c r="AH627" s="156"/>
      <c r="AI627" s="156"/>
      <c r="AJ627" s="156"/>
      <c r="AK627" s="156"/>
      <c r="AL627" s="156"/>
      <c r="AM627" s="156"/>
      <c r="AN627" s="156"/>
      <c r="AO627" s="156"/>
      <c r="AP627" s="156"/>
      <c r="AQ627" s="156"/>
      <c r="AR627" s="156"/>
      <c r="AS627" s="156"/>
      <c r="AT627" s="156"/>
      <c r="AU627" s="156"/>
      <c r="AV627" s="156"/>
      <c r="AW627" s="156"/>
      <c r="AX627" s="156"/>
      <c r="AY627" s="156"/>
      <c r="AZ627" s="156"/>
      <c r="BA627" s="156"/>
      <c r="BB627" s="2890"/>
      <c r="BC627" s="504"/>
      <c r="BD627" s="2829"/>
      <c r="BE627" s="2837"/>
      <c r="BF627" s="156"/>
    </row>
    <row r="628" spans="1:58" ht="14.5" hidden="1" customHeight="1" outlineLevel="1" x14ac:dyDescent="0.35">
      <c r="A628" s="1071"/>
      <c r="B628" s="106"/>
      <c r="C628" s="103"/>
      <c r="D628" s="4140"/>
      <c r="E628" s="4138"/>
      <c r="F628" s="3919" t="str">
        <f t="shared" si="69"/>
        <v>CAC-SEER20_ER2_MF</v>
      </c>
      <c r="G628" s="3920"/>
      <c r="H628" s="3921"/>
      <c r="I628" s="2657" t="str">
        <f t="shared" si="70"/>
        <v>351182_2021_12_</v>
      </c>
      <c r="J628" s="588">
        <v>1</v>
      </c>
      <c r="K628" s="569"/>
      <c r="L628" s="581"/>
      <c r="M628" s="103"/>
      <c r="N628" s="1287"/>
      <c r="O628" s="103"/>
      <c r="P628" s="106"/>
      <c r="Q628" s="106"/>
      <c r="R628" s="106"/>
      <c r="S628" s="106"/>
      <c r="T628" s="106"/>
      <c r="U628" s="106"/>
      <c r="V628" s="4023"/>
      <c r="W628" s="588"/>
      <c r="X628" s="589"/>
      <c r="Y628" s="588"/>
      <c r="Z628" s="589">
        <v>1</v>
      </c>
      <c r="AA628" s="588">
        <v>1</v>
      </c>
      <c r="AB628" s="588">
        <v>1</v>
      </c>
      <c r="AC628" s="588">
        <v>1</v>
      </c>
      <c r="AD628" s="588">
        <v>1</v>
      </c>
      <c r="AE628" s="588"/>
      <c r="AF628" s="588"/>
      <c r="AG628" s="588"/>
      <c r="AH628" s="156"/>
      <c r="AI628" s="156"/>
      <c r="AJ628" s="156"/>
      <c r="AK628" s="156"/>
      <c r="AL628" s="156"/>
      <c r="AM628" s="156"/>
      <c r="AN628" s="156"/>
      <c r="AO628" s="156"/>
      <c r="AP628" s="156"/>
      <c r="AQ628" s="156"/>
      <c r="AR628" s="156"/>
      <c r="AS628" s="156"/>
      <c r="AT628" s="156"/>
      <c r="AU628" s="156"/>
      <c r="AV628" s="156"/>
      <c r="AW628" s="156"/>
      <c r="AX628" s="156"/>
      <c r="AY628" s="156"/>
      <c r="AZ628" s="156"/>
      <c r="BA628" s="156"/>
      <c r="BB628" s="2890"/>
      <c r="BC628" s="504"/>
      <c r="BD628" s="2829"/>
      <c r="BE628" s="2837"/>
      <c r="BF628" s="156"/>
    </row>
    <row r="629" spans="1:58" ht="14.5" hidden="1" customHeight="1" outlineLevel="1" x14ac:dyDescent="0.35">
      <c r="A629" s="1071"/>
      <c r="B629" s="106"/>
      <c r="C629" s="103"/>
      <c r="D629" s="4140"/>
      <c r="E629" s="4138"/>
      <c r="F629" s="3919" t="str">
        <f t="shared" si="69"/>
        <v>CAC-SEER20_ER1_MF_CompE</v>
      </c>
      <c r="G629" s="3920"/>
      <c r="H629" s="3921"/>
      <c r="I629" s="2657" t="str">
        <f t="shared" si="70"/>
        <v>351183_2021_12_</v>
      </c>
      <c r="J629" s="588">
        <v>1</v>
      </c>
      <c r="K629" s="569"/>
      <c r="L629" s="581"/>
      <c r="M629" s="103"/>
      <c r="N629" s="1287"/>
      <c r="O629" s="103"/>
      <c r="P629" s="106"/>
      <c r="Q629" s="106"/>
      <c r="R629" s="106"/>
      <c r="S629" s="106"/>
      <c r="T629" s="106"/>
      <c r="U629" s="106"/>
      <c r="V629" s="4023"/>
      <c r="W629" s="588"/>
      <c r="X629" s="589"/>
      <c r="Y629" s="588"/>
      <c r="Z629" s="589">
        <v>1</v>
      </c>
      <c r="AA629" s="588">
        <v>1</v>
      </c>
      <c r="AB629" s="588">
        <v>1</v>
      </c>
      <c r="AC629" s="588">
        <v>1</v>
      </c>
      <c r="AD629" s="588">
        <v>1</v>
      </c>
      <c r="AE629" s="588"/>
      <c r="AF629" s="588"/>
      <c r="AG629" s="588"/>
      <c r="AH629" s="156"/>
      <c r="AI629" s="156"/>
      <c r="AJ629" s="156"/>
      <c r="AK629" s="156"/>
      <c r="AL629" s="156"/>
      <c r="AM629" s="156"/>
      <c r="AN629" s="156"/>
      <c r="AO629" s="156"/>
      <c r="AP629" s="156"/>
      <c r="AQ629" s="156"/>
      <c r="AR629" s="156"/>
      <c r="AS629" s="156"/>
      <c r="AT629" s="156"/>
      <c r="AU629" s="156"/>
      <c r="AV629" s="156"/>
      <c r="AW629" s="156"/>
      <c r="AX629" s="156"/>
      <c r="AY629" s="156"/>
      <c r="AZ629" s="156"/>
      <c r="BA629" s="156"/>
      <c r="BB629" s="2890"/>
      <c r="BC629" s="504"/>
      <c r="BD629" s="2829"/>
      <c r="BE629" s="2837"/>
      <c r="BF629" s="156"/>
    </row>
    <row r="630" spans="1:58" ht="14.5" hidden="1" customHeight="1" outlineLevel="1" x14ac:dyDescent="0.35">
      <c r="A630" s="1071"/>
      <c r="B630" s="106"/>
      <c r="C630" s="103"/>
      <c r="D630" s="4140"/>
      <c r="E630" s="4138"/>
      <c r="F630" s="3919" t="str">
        <f t="shared" si="69"/>
        <v>CAC-SEER20_ER2_MF_CompE</v>
      </c>
      <c r="G630" s="3920"/>
      <c r="H630" s="3921"/>
      <c r="I630" s="2657" t="str">
        <f t="shared" si="70"/>
        <v>351183_2021_12_</v>
      </c>
      <c r="J630" s="588">
        <v>1</v>
      </c>
      <c r="K630" s="569"/>
      <c r="L630" s="581"/>
      <c r="M630" s="103"/>
      <c r="N630" s="1287"/>
      <c r="O630" s="103"/>
      <c r="P630" s="106"/>
      <c r="Q630" s="106"/>
      <c r="R630" s="106"/>
      <c r="S630" s="106"/>
      <c r="T630" s="106"/>
      <c r="U630" s="106"/>
      <c r="V630" s="4023"/>
      <c r="W630" s="588"/>
      <c r="X630" s="589"/>
      <c r="Y630" s="588"/>
      <c r="Z630" s="589">
        <v>1</v>
      </c>
      <c r="AA630" s="588">
        <v>1</v>
      </c>
      <c r="AB630" s="588">
        <v>1</v>
      </c>
      <c r="AC630" s="588">
        <v>1</v>
      </c>
      <c r="AD630" s="588">
        <v>1</v>
      </c>
      <c r="AE630" s="588"/>
      <c r="AF630" s="588"/>
      <c r="AG630" s="588"/>
      <c r="AH630" s="156"/>
      <c r="AI630" s="156"/>
      <c r="AJ630" s="156"/>
      <c r="AK630" s="156"/>
      <c r="AL630" s="156"/>
      <c r="AM630" s="156"/>
      <c r="AN630" s="156"/>
      <c r="AO630" s="156"/>
      <c r="AP630" s="156"/>
      <c r="AQ630" s="156"/>
      <c r="AR630" s="156"/>
      <c r="AS630" s="156"/>
      <c r="AT630" s="156"/>
      <c r="AU630" s="156"/>
      <c r="AV630" s="156"/>
      <c r="AW630" s="156"/>
      <c r="AX630" s="156"/>
      <c r="AY630" s="156"/>
      <c r="AZ630" s="156"/>
      <c r="BA630" s="156"/>
      <c r="BB630" s="2890"/>
      <c r="BC630" s="504"/>
      <c r="BD630" s="2829"/>
      <c r="BE630" s="2837"/>
      <c r="BF630" s="156"/>
    </row>
    <row r="631" spans="1:58" ht="14.5" hidden="1" customHeight="1" outlineLevel="1" x14ac:dyDescent="0.35">
      <c r="A631" s="1071"/>
      <c r="B631" s="106"/>
      <c r="C631" s="103"/>
      <c r="D631" s="4140"/>
      <c r="E631" s="4138"/>
      <c r="F631" s="3919" t="str">
        <f t="shared" si="69"/>
        <v>CAC-SEER20_ROF_MF</v>
      </c>
      <c r="G631" s="3920"/>
      <c r="H631" s="3921"/>
      <c r="I631" s="2657" t="str">
        <f t="shared" si="70"/>
        <v>351184_2021_12_</v>
      </c>
      <c r="J631" s="588">
        <v>1</v>
      </c>
      <c r="K631" s="569"/>
      <c r="L631" s="581"/>
      <c r="M631" s="103"/>
      <c r="N631" s="1287"/>
      <c r="O631" s="103"/>
      <c r="P631" s="106"/>
      <c r="Q631" s="106"/>
      <c r="R631" s="106"/>
      <c r="S631" s="106"/>
      <c r="T631" s="106"/>
      <c r="U631" s="106"/>
      <c r="V631" s="4023"/>
      <c r="W631" s="588"/>
      <c r="X631" s="589"/>
      <c r="Y631" s="588"/>
      <c r="Z631" s="589">
        <v>1</v>
      </c>
      <c r="AA631" s="588">
        <v>1</v>
      </c>
      <c r="AB631" s="588">
        <v>1</v>
      </c>
      <c r="AC631" s="588">
        <v>1</v>
      </c>
      <c r="AD631" s="588">
        <v>1</v>
      </c>
      <c r="AE631" s="588"/>
      <c r="AF631" s="588"/>
      <c r="AG631" s="588"/>
      <c r="AH631" s="156"/>
      <c r="AI631" s="156"/>
      <c r="AJ631" s="156"/>
      <c r="AK631" s="156"/>
      <c r="AL631" s="156"/>
      <c r="AM631" s="156"/>
      <c r="AN631" s="156"/>
      <c r="AO631" s="156"/>
      <c r="AP631" s="156"/>
      <c r="AQ631" s="156"/>
      <c r="AR631" s="156"/>
      <c r="AS631" s="156"/>
      <c r="AT631" s="156"/>
      <c r="AU631" s="156"/>
      <c r="AV631" s="156"/>
      <c r="AW631" s="156"/>
      <c r="AX631" s="156"/>
      <c r="AY631" s="156"/>
      <c r="AZ631" s="156"/>
      <c r="BA631" s="156"/>
      <c r="BB631" s="2890"/>
      <c r="BC631" s="504"/>
      <c r="BD631" s="2829"/>
      <c r="BE631" s="2837"/>
      <c r="BF631" s="156"/>
    </row>
    <row r="632" spans="1:58" ht="14.5" hidden="1" customHeight="1" outlineLevel="1" x14ac:dyDescent="0.35">
      <c r="A632" s="1071"/>
      <c r="B632" s="106"/>
      <c r="C632" s="103"/>
      <c r="D632" s="4140"/>
      <c r="E632" s="4138"/>
      <c r="F632" s="3919" t="str">
        <f t="shared" si="69"/>
        <v>CAC-SEER20_ROF_MF_CompE</v>
      </c>
      <c r="G632" s="3920"/>
      <c r="H632" s="3921"/>
      <c r="I632" s="2657" t="str">
        <f t="shared" si="70"/>
        <v>351185_2021_12_</v>
      </c>
      <c r="J632" s="588">
        <v>1</v>
      </c>
      <c r="K632" s="569"/>
      <c r="L632" s="581"/>
      <c r="M632" s="103"/>
      <c r="N632" s="1287"/>
      <c r="O632" s="103"/>
      <c r="P632" s="106"/>
      <c r="Q632" s="106"/>
      <c r="R632" s="106"/>
      <c r="S632" s="106"/>
      <c r="T632" s="106"/>
      <c r="U632" s="106"/>
      <c r="V632" s="4023"/>
      <c r="W632" s="588"/>
      <c r="X632" s="589"/>
      <c r="Y632" s="588"/>
      <c r="Z632" s="589">
        <v>1</v>
      </c>
      <c r="AA632" s="588">
        <v>1</v>
      </c>
      <c r="AB632" s="588">
        <v>1</v>
      </c>
      <c r="AC632" s="588">
        <v>1</v>
      </c>
      <c r="AD632" s="588">
        <v>1</v>
      </c>
      <c r="AE632" s="588"/>
      <c r="AF632" s="588"/>
      <c r="AG632" s="588"/>
      <c r="AH632" s="156"/>
      <c r="AI632" s="156"/>
      <c r="AJ632" s="156"/>
      <c r="AK632" s="156"/>
      <c r="AL632" s="156"/>
      <c r="AM632" s="156"/>
      <c r="AN632" s="156"/>
      <c r="AO632" s="156"/>
      <c r="AP632" s="156"/>
      <c r="AQ632" s="156"/>
      <c r="AR632" s="156"/>
      <c r="AS632" s="156"/>
      <c r="AT632" s="156"/>
      <c r="AU632" s="156"/>
      <c r="AV632" s="156"/>
      <c r="AW632" s="156"/>
      <c r="AX632" s="156"/>
      <c r="AY632" s="156"/>
      <c r="AZ632" s="156"/>
      <c r="BA632" s="156"/>
      <c r="BB632" s="2890"/>
      <c r="BC632" s="504"/>
      <c r="BD632" s="2829"/>
      <c r="BE632" s="2837"/>
      <c r="BF632" s="156"/>
    </row>
    <row r="633" spans="1:58" ht="14.5" hidden="1" customHeight="1" outlineLevel="1" x14ac:dyDescent="0.35">
      <c r="A633" s="1071"/>
      <c r="B633" s="106"/>
      <c r="C633" s="103"/>
      <c r="D633" s="4140"/>
      <c r="E633" s="4138"/>
      <c r="F633" s="3919" t="str">
        <f t="shared" si="69"/>
        <v>CAC-SEER21+_ER1_SF</v>
      </c>
      <c r="G633" s="3920"/>
      <c r="H633" s="3921"/>
      <c r="I633" s="2657" t="str">
        <f t="shared" si="70"/>
        <v>351190_2021_12_</v>
      </c>
      <c r="J633" s="588">
        <v>1</v>
      </c>
      <c r="K633" s="569"/>
      <c r="L633" s="581"/>
      <c r="M633" s="103"/>
      <c r="N633" s="1287"/>
      <c r="O633" s="103"/>
      <c r="P633" s="106"/>
      <c r="Q633" s="106"/>
      <c r="R633" s="106"/>
      <c r="S633" s="106"/>
      <c r="T633" s="106"/>
      <c r="U633" s="106"/>
      <c r="V633" s="4023"/>
      <c r="W633" s="588"/>
      <c r="X633" s="588"/>
      <c r="Y633" s="588"/>
      <c r="Z633" s="589">
        <v>1</v>
      </c>
      <c r="AA633" s="588">
        <v>1</v>
      </c>
      <c r="AB633" s="588">
        <v>1</v>
      </c>
      <c r="AC633" s="588">
        <v>1</v>
      </c>
      <c r="AD633" s="588">
        <v>1</v>
      </c>
      <c r="AE633" s="588"/>
      <c r="AF633" s="588"/>
      <c r="AG633" s="588"/>
      <c r="AH633" s="156"/>
      <c r="AI633" s="156"/>
      <c r="AJ633" s="156"/>
      <c r="AK633" s="156"/>
      <c r="AL633" s="156"/>
      <c r="AM633" s="156"/>
      <c r="AN633" s="156"/>
      <c r="AO633" s="156"/>
      <c r="AP633" s="156"/>
      <c r="AQ633" s="156"/>
      <c r="AR633" s="156"/>
      <c r="AS633" s="156"/>
      <c r="AT633" s="156"/>
      <c r="AU633" s="156"/>
      <c r="AV633" s="156"/>
      <c r="AW633" s="156"/>
      <c r="AX633" s="156"/>
      <c r="AY633" s="156"/>
      <c r="AZ633" s="156"/>
      <c r="BA633" s="156"/>
      <c r="BB633" s="2890"/>
      <c r="BC633" s="504"/>
      <c r="BD633" s="2829"/>
      <c r="BE633" s="2837"/>
      <c r="BF633" s="156"/>
    </row>
    <row r="634" spans="1:58" ht="14.5" hidden="1" customHeight="1" outlineLevel="1" x14ac:dyDescent="0.35">
      <c r="A634" s="1071"/>
      <c r="B634" s="106"/>
      <c r="C634" s="103"/>
      <c r="D634" s="4140"/>
      <c r="E634" s="4138"/>
      <c r="F634" s="3919" t="str">
        <f t="shared" si="69"/>
        <v>CAC-SEER21+_ER2_SF</v>
      </c>
      <c r="G634" s="3920"/>
      <c r="H634" s="3921"/>
      <c r="I634" s="2657" t="str">
        <f t="shared" si="70"/>
        <v>351190_2021_12_</v>
      </c>
      <c r="J634" s="588">
        <v>1</v>
      </c>
      <c r="K634" s="569"/>
      <c r="L634" s="581"/>
      <c r="M634" s="103"/>
      <c r="N634" s="1287"/>
      <c r="O634" s="103"/>
      <c r="P634" s="106"/>
      <c r="Q634" s="106"/>
      <c r="R634" s="106"/>
      <c r="S634" s="106"/>
      <c r="T634" s="106"/>
      <c r="U634" s="106"/>
      <c r="V634" s="4023"/>
      <c r="W634" s="588"/>
      <c r="X634" s="588"/>
      <c r="Y634" s="588"/>
      <c r="Z634" s="589">
        <v>1</v>
      </c>
      <c r="AA634" s="588">
        <v>1</v>
      </c>
      <c r="AB634" s="588">
        <v>1</v>
      </c>
      <c r="AC634" s="588">
        <v>1</v>
      </c>
      <c r="AD634" s="588">
        <v>1</v>
      </c>
      <c r="AE634" s="588"/>
      <c r="AF634" s="588"/>
      <c r="AG634" s="588"/>
      <c r="AH634" s="156"/>
      <c r="AI634" s="156"/>
      <c r="AJ634" s="156"/>
      <c r="AK634" s="156"/>
      <c r="AL634" s="156"/>
      <c r="AM634" s="156"/>
      <c r="AN634" s="156"/>
      <c r="AO634" s="156"/>
      <c r="AP634" s="156"/>
      <c r="AQ634" s="156"/>
      <c r="AR634" s="156"/>
      <c r="AS634" s="156"/>
      <c r="AT634" s="156"/>
      <c r="AU634" s="156"/>
      <c r="AV634" s="156"/>
      <c r="AW634" s="156"/>
      <c r="AX634" s="156"/>
      <c r="AY634" s="156"/>
      <c r="AZ634" s="156"/>
      <c r="BA634" s="156"/>
      <c r="BB634" s="2890"/>
      <c r="BC634" s="504"/>
      <c r="BD634" s="2829"/>
      <c r="BE634" s="2837"/>
      <c r="BF634" s="156"/>
    </row>
    <row r="635" spans="1:58" ht="14.5" hidden="1" customHeight="1" outlineLevel="1" x14ac:dyDescent="0.35">
      <c r="A635" s="1071"/>
      <c r="B635" s="106"/>
      <c r="C635" s="103"/>
      <c r="D635" s="4140"/>
      <c r="E635" s="4138"/>
      <c r="F635" s="3919" t="str">
        <f t="shared" si="69"/>
        <v>CAC-SEER21+_ROF_SF</v>
      </c>
      <c r="G635" s="3920"/>
      <c r="H635" s="3921"/>
      <c r="I635" s="2657" t="str">
        <f t="shared" si="70"/>
        <v>351191_2021_12_</v>
      </c>
      <c r="J635" s="588">
        <v>1</v>
      </c>
      <c r="K635" s="569"/>
      <c r="L635" s="581"/>
      <c r="M635" s="103"/>
      <c r="N635" s="1287"/>
      <c r="O635" s="103"/>
      <c r="P635" s="106"/>
      <c r="Q635" s="106"/>
      <c r="R635" s="106"/>
      <c r="S635" s="106"/>
      <c r="T635" s="106"/>
      <c r="U635" s="106"/>
      <c r="V635" s="4023"/>
      <c r="W635" s="588"/>
      <c r="X635" s="588"/>
      <c r="Y635" s="588"/>
      <c r="Z635" s="589">
        <v>1</v>
      </c>
      <c r="AA635" s="588">
        <v>1</v>
      </c>
      <c r="AB635" s="588">
        <v>1</v>
      </c>
      <c r="AC635" s="588">
        <v>1</v>
      </c>
      <c r="AD635" s="588">
        <v>1</v>
      </c>
      <c r="AE635" s="588"/>
      <c r="AF635" s="588"/>
      <c r="AG635" s="588"/>
      <c r="AH635" s="156"/>
      <c r="AI635" s="156"/>
      <c r="AJ635" s="156"/>
      <c r="AK635" s="156"/>
      <c r="AL635" s="156"/>
      <c r="AM635" s="156"/>
      <c r="AN635" s="156"/>
      <c r="AO635" s="156"/>
      <c r="AP635" s="156"/>
      <c r="AQ635" s="156"/>
      <c r="AR635" s="156"/>
      <c r="AS635" s="156"/>
      <c r="AT635" s="156"/>
      <c r="AU635" s="156"/>
      <c r="AV635" s="156"/>
      <c r="AW635" s="156"/>
      <c r="AX635" s="156"/>
      <c r="AY635" s="156"/>
      <c r="AZ635" s="156"/>
      <c r="BA635" s="156"/>
      <c r="BB635" s="2890"/>
      <c r="BC635" s="504"/>
      <c r="BD635" s="2829"/>
      <c r="BE635" s="2837"/>
      <c r="BF635" s="156"/>
    </row>
    <row r="636" spans="1:58" ht="14.5" hidden="1" customHeight="1" outlineLevel="1" x14ac:dyDescent="0.35">
      <c r="A636" s="1071"/>
      <c r="B636" s="106"/>
      <c r="C636" s="103"/>
      <c r="D636" s="4140"/>
      <c r="E636" s="4138"/>
      <c r="F636" s="3919" t="str">
        <f t="shared" si="69"/>
        <v>CAC-SEER21+_ER1_MF</v>
      </c>
      <c r="G636" s="3920"/>
      <c r="H636" s="3921"/>
      <c r="I636" s="2657" t="str">
        <f t="shared" si="70"/>
        <v>351192_2021_12_</v>
      </c>
      <c r="J636" s="588">
        <v>1</v>
      </c>
      <c r="K636" s="569"/>
      <c r="L636" s="581"/>
      <c r="M636" s="103"/>
      <c r="N636" s="1287"/>
      <c r="O636" s="103"/>
      <c r="P636" s="106"/>
      <c r="Q636" s="106"/>
      <c r="R636" s="106"/>
      <c r="S636" s="106"/>
      <c r="T636" s="106"/>
      <c r="U636" s="106"/>
      <c r="V636" s="4023"/>
      <c r="W636" s="588"/>
      <c r="X636" s="589"/>
      <c r="Y636" s="588"/>
      <c r="Z636" s="589">
        <v>1</v>
      </c>
      <c r="AA636" s="588">
        <v>1</v>
      </c>
      <c r="AB636" s="588">
        <v>1</v>
      </c>
      <c r="AC636" s="588">
        <v>1</v>
      </c>
      <c r="AD636" s="588">
        <v>1</v>
      </c>
      <c r="AE636" s="588"/>
      <c r="AF636" s="588"/>
      <c r="AG636" s="588"/>
      <c r="AH636" s="156"/>
      <c r="AI636" s="156"/>
      <c r="AJ636" s="156"/>
      <c r="AK636" s="156"/>
      <c r="AL636" s="156"/>
      <c r="AM636" s="156"/>
      <c r="AN636" s="156"/>
      <c r="AO636" s="156"/>
      <c r="AP636" s="156"/>
      <c r="AQ636" s="156"/>
      <c r="AR636" s="156"/>
      <c r="AS636" s="156"/>
      <c r="AT636" s="156"/>
      <c r="AU636" s="156"/>
      <c r="AV636" s="156"/>
      <c r="AW636" s="156"/>
      <c r="AX636" s="156"/>
      <c r="AY636" s="156"/>
      <c r="AZ636" s="156"/>
      <c r="BA636" s="156"/>
      <c r="BB636" s="2890"/>
      <c r="BC636" s="504"/>
      <c r="BD636" s="2829"/>
      <c r="BE636" s="2837"/>
      <c r="BF636" s="156"/>
    </row>
    <row r="637" spans="1:58" ht="14.5" hidden="1" customHeight="1" outlineLevel="1" x14ac:dyDescent="0.35">
      <c r="A637" s="1071"/>
      <c r="B637" s="106"/>
      <c r="C637" s="103"/>
      <c r="D637" s="4140"/>
      <c r="E637" s="4138"/>
      <c r="F637" s="3919" t="str">
        <f t="shared" si="69"/>
        <v>CAC-SEER21+_ER2_MF</v>
      </c>
      <c r="G637" s="3920"/>
      <c r="H637" s="3921"/>
      <c r="I637" s="2657" t="str">
        <f t="shared" si="70"/>
        <v>351192_2021_12_</v>
      </c>
      <c r="J637" s="588">
        <v>1</v>
      </c>
      <c r="K637" s="569"/>
      <c r="L637" s="581"/>
      <c r="M637" s="103"/>
      <c r="N637" s="1287"/>
      <c r="O637" s="103"/>
      <c r="P637" s="106"/>
      <c r="Q637" s="106"/>
      <c r="R637" s="106"/>
      <c r="S637" s="106"/>
      <c r="T637" s="106"/>
      <c r="U637" s="106"/>
      <c r="V637" s="4023"/>
      <c r="W637" s="588"/>
      <c r="X637" s="589"/>
      <c r="Y637" s="588"/>
      <c r="Z637" s="589">
        <v>1</v>
      </c>
      <c r="AA637" s="588">
        <v>1</v>
      </c>
      <c r="AB637" s="588">
        <v>1</v>
      </c>
      <c r="AC637" s="588">
        <v>1</v>
      </c>
      <c r="AD637" s="588">
        <v>1</v>
      </c>
      <c r="AE637" s="588"/>
      <c r="AF637" s="588"/>
      <c r="AG637" s="588"/>
      <c r="AH637" s="156"/>
      <c r="AI637" s="156"/>
      <c r="AJ637" s="156"/>
      <c r="AK637" s="156"/>
      <c r="AL637" s="156"/>
      <c r="AM637" s="156"/>
      <c r="AN637" s="156"/>
      <c r="AO637" s="156"/>
      <c r="AP637" s="156"/>
      <c r="AQ637" s="156"/>
      <c r="AR637" s="156"/>
      <c r="AS637" s="156"/>
      <c r="AT637" s="156"/>
      <c r="AU637" s="156"/>
      <c r="AV637" s="156"/>
      <c r="AW637" s="156"/>
      <c r="AX637" s="156"/>
      <c r="AY637" s="156"/>
      <c r="AZ637" s="156"/>
      <c r="BA637" s="156"/>
      <c r="BB637" s="2890"/>
      <c r="BC637" s="504"/>
      <c r="BD637" s="2829"/>
      <c r="BE637" s="2837"/>
      <c r="BF637" s="156"/>
    </row>
    <row r="638" spans="1:58" ht="14.5" hidden="1" customHeight="1" outlineLevel="1" x14ac:dyDescent="0.35">
      <c r="A638" s="1071"/>
      <c r="B638" s="106"/>
      <c r="C638" s="103"/>
      <c r="D638" s="4140"/>
      <c r="E638" s="4138"/>
      <c r="F638" s="3919" t="str">
        <f t="shared" si="69"/>
        <v>CAC-SEER21+_ER1_MF_CompE</v>
      </c>
      <c r="G638" s="3920"/>
      <c r="H638" s="3921"/>
      <c r="I638" s="590" t="str">
        <f t="shared" si="70"/>
        <v>351193_2021_12_</v>
      </c>
      <c r="J638" s="588">
        <v>1</v>
      </c>
      <c r="K638" s="2049"/>
      <c r="L638" s="2066"/>
      <c r="M638" s="103"/>
      <c r="N638" s="1287"/>
      <c r="O638" s="103"/>
      <c r="P638" s="106"/>
      <c r="Q638" s="106"/>
      <c r="R638" s="106"/>
      <c r="S638" s="106"/>
      <c r="T638" s="106"/>
      <c r="U638" s="106"/>
      <c r="V638" s="4023"/>
      <c r="W638" s="591"/>
      <c r="X638" s="589"/>
      <c r="Y638" s="588"/>
      <c r="Z638" s="1547">
        <v>1</v>
      </c>
      <c r="AA638" s="591">
        <v>1</v>
      </c>
      <c r="AB638" s="591">
        <v>1</v>
      </c>
      <c r="AC638" s="588">
        <v>1</v>
      </c>
      <c r="AD638" s="588">
        <v>1</v>
      </c>
      <c r="AE638" s="591"/>
      <c r="AF638" s="591"/>
      <c r="AG638" s="591"/>
      <c r="AH638" s="156"/>
      <c r="AI638" s="156"/>
      <c r="AJ638" s="156"/>
      <c r="AK638" s="156"/>
      <c r="AL638" s="156"/>
      <c r="AM638" s="156"/>
      <c r="AN638" s="156"/>
      <c r="AO638" s="156"/>
      <c r="AP638" s="156"/>
      <c r="AQ638" s="156"/>
      <c r="AR638" s="156"/>
      <c r="AS638" s="156"/>
      <c r="AT638" s="156"/>
      <c r="AU638" s="156"/>
      <c r="AV638" s="156"/>
      <c r="AW638" s="156"/>
      <c r="AX638" s="156"/>
      <c r="AY638" s="156"/>
      <c r="AZ638" s="156"/>
      <c r="BA638" s="156"/>
      <c r="BB638" s="2890"/>
      <c r="BC638" s="504"/>
      <c r="BD638" s="2829"/>
      <c r="BE638" s="2837"/>
      <c r="BF638" s="156"/>
    </row>
    <row r="639" spans="1:58" ht="14.5" hidden="1" customHeight="1" outlineLevel="1" x14ac:dyDescent="0.35">
      <c r="A639" s="1071"/>
      <c r="B639" s="106"/>
      <c r="C639" s="103"/>
      <c r="D639" s="4140"/>
      <c r="E639" s="4138"/>
      <c r="F639" s="3919" t="str">
        <f t="shared" si="69"/>
        <v>CAC-SEER21+_ER2_MF_CompE</v>
      </c>
      <c r="G639" s="3920"/>
      <c r="H639" s="3921"/>
      <c r="I639" s="590" t="str">
        <f t="shared" si="70"/>
        <v>351193_2021_12_</v>
      </c>
      <c r="J639" s="588">
        <v>1</v>
      </c>
      <c r="K639" s="2049"/>
      <c r="L639" s="2066"/>
      <c r="M639" s="103"/>
      <c r="N639" s="1287"/>
      <c r="O639" s="103"/>
      <c r="P639" s="106"/>
      <c r="Q639" s="106"/>
      <c r="R639" s="106"/>
      <c r="S639" s="106"/>
      <c r="T639" s="106"/>
      <c r="U639" s="106"/>
      <c r="V639" s="4023"/>
      <c r="W639" s="591"/>
      <c r="X639" s="589"/>
      <c r="Y639" s="588"/>
      <c r="Z639" s="1547">
        <v>1</v>
      </c>
      <c r="AA639" s="591">
        <v>1</v>
      </c>
      <c r="AB639" s="591">
        <v>1</v>
      </c>
      <c r="AC639" s="588">
        <v>1</v>
      </c>
      <c r="AD639" s="588">
        <v>1</v>
      </c>
      <c r="AE639" s="591"/>
      <c r="AF639" s="591"/>
      <c r="AG639" s="591"/>
      <c r="AH639" s="156"/>
      <c r="AI639" s="156"/>
      <c r="AJ639" s="156"/>
      <c r="AK639" s="156"/>
      <c r="AL639" s="156"/>
      <c r="AM639" s="156"/>
      <c r="AN639" s="156"/>
      <c r="AO639" s="156"/>
      <c r="AP639" s="156"/>
      <c r="AQ639" s="156"/>
      <c r="AR639" s="156"/>
      <c r="AS639" s="156"/>
      <c r="AT639" s="156"/>
      <c r="AU639" s="156"/>
      <c r="AV639" s="156"/>
      <c r="AW639" s="156"/>
      <c r="AX639" s="156"/>
      <c r="AY639" s="156"/>
      <c r="AZ639" s="156"/>
      <c r="BA639" s="156"/>
      <c r="BB639" s="2890"/>
      <c r="BC639" s="504"/>
      <c r="BD639" s="2829"/>
      <c r="BE639" s="2837"/>
      <c r="BF639" s="156"/>
    </row>
    <row r="640" spans="1:58" ht="14.5" hidden="1" customHeight="1" outlineLevel="1" x14ac:dyDescent="0.35">
      <c r="A640" s="1071"/>
      <c r="B640" s="106"/>
      <c r="C640" s="103"/>
      <c r="D640" s="4140"/>
      <c r="E640" s="4138"/>
      <c r="F640" s="3919" t="str">
        <f t="shared" si="69"/>
        <v>CAC-SEER21+_ROF_MF</v>
      </c>
      <c r="G640" s="3920"/>
      <c r="H640" s="3921"/>
      <c r="I640" s="2657" t="str">
        <f t="shared" si="70"/>
        <v>351194_2021_12_</v>
      </c>
      <c r="J640" s="588">
        <v>1</v>
      </c>
      <c r="K640" s="569"/>
      <c r="L640" s="581"/>
      <c r="M640" s="103"/>
      <c r="N640" s="1287"/>
      <c r="O640" s="103"/>
      <c r="P640" s="106"/>
      <c r="Q640" s="106"/>
      <c r="R640" s="106"/>
      <c r="S640" s="106"/>
      <c r="T640" s="106"/>
      <c r="U640" s="106"/>
      <c r="V640" s="4023"/>
      <c r="W640" s="588"/>
      <c r="X640" s="589"/>
      <c r="Y640" s="588"/>
      <c r="Z640" s="589">
        <v>1</v>
      </c>
      <c r="AA640" s="588">
        <v>1</v>
      </c>
      <c r="AB640" s="588">
        <v>1</v>
      </c>
      <c r="AC640" s="588">
        <v>1</v>
      </c>
      <c r="AD640" s="588">
        <v>1</v>
      </c>
      <c r="AE640" s="588"/>
      <c r="AF640" s="588"/>
      <c r="AG640" s="588"/>
      <c r="AH640" s="156"/>
      <c r="AI640" s="156"/>
      <c r="AJ640" s="156"/>
      <c r="AK640" s="156"/>
      <c r="AL640" s="156"/>
      <c r="AM640" s="156"/>
      <c r="AN640" s="156"/>
      <c r="AO640" s="156"/>
      <c r="AP640" s="156"/>
      <c r="AQ640" s="156"/>
      <c r="AR640" s="156"/>
      <c r="AS640" s="156"/>
      <c r="AT640" s="156"/>
      <c r="AU640" s="156"/>
      <c r="AV640" s="156"/>
      <c r="AW640" s="156"/>
      <c r="AX640" s="156"/>
      <c r="AY640" s="156"/>
      <c r="AZ640" s="156"/>
      <c r="BA640" s="156"/>
      <c r="BB640" s="2890"/>
      <c r="BC640" s="504"/>
      <c r="BD640" s="2829"/>
      <c r="BE640" s="2837"/>
      <c r="BF640" s="156"/>
    </row>
    <row r="641" spans="1:58" ht="14.5" hidden="1" customHeight="1" outlineLevel="1" thickBot="1" x14ac:dyDescent="0.4">
      <c r="A641" s="1071"/>
      <c r="B641" s="106"/>
      <c r="C641" s="103"/>
      <c r="D641" s="4141"/>
      <c r="E641" s="4139"/>
      <c r="F641" s="3922" t="str">
        <f t="shared" si="69"/>
        <v>CAC-SEER21+_ROF_MF_CompE</v>
      </c>
      <c r="G641" s="3923"/>
      <c r="H641" s="3924"/>
      <c r="I641" s="2658" t="str">
        <f t="shared" si="70"/>
        <v>351195_2021_12_</v>
      </c>
      <c r="J641" s="2067">
        <v>1</v>
      </c>
      <c r="K641" s="518"/>
      <c r="L641" s="2068"/>
      <c r="M641" s="103"/>
      <c r="N641" s="1287"/>
      <c r="O641" s="103"/>
      <c r="P641" s="106"/>
      <c r="Q641" s="106"/>
      <c r="R641" s="106"/>
      <c r="S641" s="106"/>
      <c r="T641" s="106"/>
      <c r="U641" s="106"/>
      <c r="V641" s="4024"/>
      <c r="W641" s="1793"/>
      <c r="X641" s="1794"/>
      <c r="Y641" s="1793"/>
      <c r="Z641" s="1794">
        <v>1</v>
      </c>
      <c r="AA641" s="1793">
        <v>1</v>
      </c>
      <c r="AB641" s="1793">
        <v>1</v>
      </c>
      <c r="AC641" s="2067">
        <v>1</v>
      </c>
      <c r="AD641" s="2067">
        <v>1</v>
      </c>
      <c r="AE641" s="1793"/>
      <c r="AF641" s="1793"/>
      <c r="AG641" s="1793"/>
      <c r="AH641" s="156"/>
      <c r="AI641" s="156"/>
      <c r="AJ641" s="156"/>
      <c r="AK641" s="156"/>
      <c r="AL641" s="156"/>
      <c r="AM641" s="156"/>
      <c r="AN641" s="156"/>
      <c r="AO641" s="156"/>
      <c r="AP641" s="156"/>
      <c r="AQ641" s="156"/>
      <c r="AR641" s="156"/>
      <c r="AS641" s="156"/>
      <c r="AT641" s="156"/>
      <c r="AU641" s="156"/>
      <c r="AV641" s="156"/>
      <c r="AW641" s="156"/>
      <c r="AX641" s="156"/>
      <c r="AY641" s="156"/>
      <c r="AZ641" s="156"/>
      <c r="BA641" s="156"/>
      <c r="BB641" s="2890"/>
      <c r="BC641" s="504"/>
      <c r="BD641" s="2829"/>
      <c r="BE641" s="2837"/>
      <c r="BF641" s="156"/>
    </row>
    <row r="642" spans="1:58" ht="15" hidden="1" outlineLevel="1" thickBot="1" x14ac:dyDescent="0.4">
      <c r="A642" s="1071"/>
      <c r="B642" s="106"/>
      <c r="C642" s="103"/>
      <c r="D642" s="2084" t="s">
        <v>132</v>
      </c>
      <c r="E642" s="2346" t="s">
        <v>832</v>
      </c>
      <c r="F642" s="3928" t="s">
        <v>134</v>
      </c>
      <c r="G642" s="3929"/>
      <c r="H642" s="3930"/>
      <c r="I642" s="2069" t="s">
        <v>134</v>
      </c>
      <c r="J642" s="2659">
        <v>0.998</v>
      </c>
      <c r="K642" s="2060"/>
      <c r="L642" s="2668" t="s">
        <v>4248</v>
      </c>
      <c r="M642" s="103"/>
      <c r="N642" s="1287"/>
      <c r="O642" s="103"/>
      <c r="P642" s="106"/>
      <c r="Q642" s="106"/>
      <c r="R642" s="106"/>
      <c r="S642" s="106"/>
      <c r="T642" s="106"/>
      <c r="U642" s="106"/>
      <c r="V642" s="2084" t="s">
        <v>132</v>
      </c>
      <c r="W642" s="592"/>
      <c r="X642" s="593"/>
      <c r="Y642" s="594"/>
      <c r="Z642" s="1548"/>
      <c r="AA642" s="592"/>
      <c r="AB642" s="1548">
        <v>1</v>
      </c>
      <c r="AC642" s="2143">
        <v>0.998</v>
      </c>
      <c r="AD642" s="2659">
        <v>0.998</v>
      </c>
      <c r="AE642" s="592"/>
      <c r="AF642" s="592"/>
      <c r="AG642" s="592"/>
      <c r="AH642" s="156"/>
      <c r="AI642" s="156"/>
      <c r="AJ642" s="156"/>
      <c r="AK642" s="156"/>
      <c r="AL642" s="156"/>
      <c r="AM642" s="156"/>
      <c r="AN642" s="156"/>
      <c r="AO642" s="156"/>
      <c r="AP642" s="156"/>
      <c r="AQ642" s="156"/>
      <c r="AR642" s="156"/>
      <c r="AS642" s="156"/>
      <c r="AT642" s="156"/>
      <c r="AU642" s="156"/>
      <c r="AV642" s="156"/>
      <c r="AW642" s="156"/>
      <c r="AX642" s="156"/>
      <c r="AY642" s="156"/>
      <c r="AZ642" s="156"/>
      <c r="BA642" s="156"/>
      <c r="BB642" s="2890"/>
      <c r="BC642" s="504"/>
      <c r="BD642" s="2829"/>
      <c r="BE642" s="2837"/>
      <c r="BF642" s="156"/>
    </row>
    <row r="643" spans="1:58" ht="14.5" hidden="1" customHeight="1" outlineLevel="1" x14ac:dyDescent="0.35">
      <c r="A643" s="1071"/>
      <c r="B643" s="106"/>
      <c r="C643" s="103"/>
      <c r="D643" s="4021" t="s">
        <v>180</v>
      </c>
      <c r="E643" s="4115" t="str">
        <f>E89</f>
        <v>End of Useful Life</v>
      </c>
      <c r="F643" s="3925" t="str">
        <f t="shared" ref="F643:F674" si="71">F570</f>
        <v>CAC-SEER14_ER1_SF</v>
      </c>
      <c r="G643" s="3926"/>
      <c r="H643" s="3927"/>
      <c r="I643" s="2656" t="str">
        <f t="shared" ref="I643:I706" si="72">I570</f>
        <v>350400_2021_12_</v>
      </c>
      <c r="J643" s="2660">
        <v>6</v>
      </c>
      <c r="K643" s="565"/>
      <c r="L643" s="2891"/>
      <c r="M643" s="103"/>
      <c r="N643" s="1287"/>
      <c r="O643" s="103"/>
      <c r="P643" s="106"/>
      <c r="Q643" s="106"/>
      <c r="R643" s="106"/>
      <c r="S643" s="106"/>
      <c r="T643" s="106"/>
      <c r="U643" s="106"/>
      <c r="V643" s="4021" t="str">
        <f>D643</f>
        <v>EUL</v>
      </c>
      <c r="W643" s="595">
        <v>6</v>
      </c>
      <c r="X643" s="595">
        <v>6</v>
      </c>
      <c r="Y643" s="595">
        <v>6</v>
      </c>
      <c r="Z643" s="595">
        <v>6</v>
      </c>
      <c r="AA643" s="595">
        <v>6</v>
      </c>
      <c r="AB643" s="595">
        <v>6</v>
      </c>
      <c r="AC643" s="2892">
        <v>6</v>
      </c>
      <c r="AD643" s="2660">
        <v>6</v>
      </c>
      <c r="AE643" s="595"/>
      <c r="AF643" s="595"/>
      <c r="AG643" s="595"/>
      <c r="AH643" s="156"/>
      <c r="AI643" s="156"/>
      <c r="AJ643" s="156"/>
      <c r="AK643" s="156"/>
      <c r="AL643" s="156"/>
      <c r="AM643" s="156"/>
      <c r="AN643" s="156"/>
      <c r="AO643" s="156"/>
      <c r="AP643" s="156"/>
      <c r="AQ643" s="156"/>
      <c r="AR643" s="156"/>
      <c r="AS643" s="156"/>
      <c r="AT643" s="156"/>
      <c r="AU643" s="156"/>
      <c r="AV643" s="156"/>
      <c r="AW643" s="156"/>
      <c r="AX643" s="156"/>
      <c r="AY643" s="156"/>
      <c r="AZ643" s="156"/>
      <c r="BA643" s="156"/>
      <c r="BB643" s="2890"/>
      <c r="BC643" s="504"/>
      <c r="BD643" s="2829"/>
      <c r="BE643" s="2837"/>
      <c r="BF643" s="156"/>
    </row>
    <row r="644" spans="1:58" ht="14.5" hidden="1" customHeight="1" outlineLevel="1" x14ac:dyDescent="0.35">
      <c r="A644" s="1071"/>
      <c r="B644" s="106"/>
      <c r="C644" s="103"/>
      <c r="D644" s="4022"/>
      <c r="E644" s="4111"/>
      <c r="F644" s="3931" t="str">
        <f t="shared" si="71"/>
        <v>CAC-SEER14_ER2_SF</v>
      </c>
      <c r="G644" s="3932"/>
      <c r="H644" s="3933"/>
      <c r="I644" s="2657" t="str">
        <f t="shared" si="72"/>
        <v>350400_2021_12_</v>
      </c>
      <c r="J644" s="2661">
        <v>12</v>
      </c>
      <c r="K644" s="569"/>
      <c r="L644" s="2893"/>
      <c r="M644" s="103"/>
      <c r="N644" s="1287"/>
      <c r="O644" s="103"/>
      <c r="P644" s="106"/>
      <c r="Q644" s="106"/>
      <c r="R644" s="106"/>
      <c r="S644" s="106"/>
      <c r="T644" s="106"/>
      <c r="U644" s="106"/>
      <c r="V644" s="4022"/>
      <c r="W644" s="596">
        <v>12</v>
      </c>
      <c r="X644" s="596">
        <v>12</v>
      </c>
      <c r="Y644" s="596">
        <v>12</v>
      </c>
      <c r="Z644" s="596">
        <v>12</v>
      </c>
      <c r="AA644" s="596">
        <v>12</v>
      </c>
      <c r="AB644" s="596">
        <v>12</v>
      </c>
      <c r="AC644" s="2894">
        <v>12</v>
      </c>
      <c r="AD644" s="2661">
        <v>12</v>
      </c>
      <c r="AE644" s="596"/>
      <c r="AF644" s="596"/>
      <c r="AG644" s="596"/>
      <c r="AH644" s="156"/>
      <c r="AI644" s="156"/>
      <c r="AJ644" s="156"/>
      <c r="AK644" s="156"/>
      <c r="AL644" s="156"/>
      <c r="AM644" s="156"/>
      <c r="AN644" s="156"/>
      <c r="AO644" s="156"/>
      <c r="AP644" s="156"/>
      <c r="AQ644" s="156"/>
      <c r="AR644" s="156"/>
      <c r="AS644" s="156"/>
      <c r="AT644" s="156"/>
      <c r="AU644" s="156"/>
      <c r="AV644" s="156"/>
      <c r="AW644" s="156"/>
      <c r="AX644" s="156"/>
      <c r="AY644" s="156"/>
      <c r="AZ644" s="156"/>
      <c r="BA644" s="156"/>
      <c r="BB644" s="2890"/>
      <c r="BC644" s="504"/>
      <c r="BD644" s="2829"/>
      <c r="BE644" s="2837"/>
      <c r="BF644" s="156"/>
    </row>
    <row r="645" spans="1:58" ht="14.5" hidden="1" customHeight="1" outlineLevel="1" x14ac:dyDescent="0.35">
      <c r="A645" s="1071"/>
      <c r="B645" s="106"/>
      <c r="C645" s="103"/>
      <c r="D645" s="4022"/>
      <c r="E645" s="4111"/>
      <c r="F645" s="3931" t="str">
        <f t="shared" si="71"/>
        <v>CAC-SEER14_ROF_SF</v>
      </c>
      <c r="G645" s="3932"/>
      <c r="H645" s="3933"/>
      <c r="I645" s="2657" t="str">
        <f t="shared" si="72"/>
        <v>350450_2021_12_</v>
      </c>
      <c r="J645" s="2661">
        <v>18</v>
      </c>
      <c r="K645" s="569"/>
      <c r="L645" s="2893"/>
      <c r="M645" s="103"/>
      <c r="N645" s="1287"/>
      <c r="O645" s="103"/>
      <c r="P645" s="106"/>
      <c r="Q645" s="106"/>
      <c r="R645" s="106"/>
      <c r="S645" s="106"/>
      <c r="T645" s="106"/>
      <c r="U645" s="106"/>
      <c r="V645" s="4022"/>
      <c r="W645" s="596">
        <v>18</v>
      </c>
      <c r="X645" s="596">
        <v>18</v>
      </c>
      <c r="Y645" s="596">
        <v>18</v>
      </c>
      <c r="Z645" s="596">
        <v>18</v>
      </c>
      <c r="AA645" s="596">
        <v>18</v>
      </c>
      <c r="AB645" s="596">
        <v>18</v>
      </c>
      <c r="AC645" s="2894">
        <v>18</v>
      </c>
      <c r="AD645" s="2661">
        <v>18</v>
      </c>
      <c r="AE645" s="596"/>
      <c r="AF645" s="596"/>
      <c r="AG645" s="596"/>
      <c r="AH645" s="156"/>
      <c r="AI645" s="156"/>
      <c r="AJ645" s="156"/>
      <c r="AK645" s="156"/>
      <c r="AL645" s="156"/>
      <c r="AM645" s="156"/>
      <c r="AN645" s="156"/>
      <c r="AO645" s="156"/>
      <c r="AP645" s="156"/>
      <c r="AQ645" s="156"/>
      <c r="AR645" s="156"/>
      <c r="AS645" s="156"/>
      <c r="AT645" s="156"/>
      <c r="AU645" s="156"/>
      <c r="AV645" s="156"/>
      <c r="AW645" s="156"/>
      <c r="AX645" s="156"/>
      <c r="AY645" s="156"/>
      <c r="AZ645" s="156"/>
      <c r="BA645" s="156"/>
      <c r="BB645" s="2890"/>
      <c r="BC645" s="504"/>
      <c r="BD645" s="2829"/>
      <c r="BE645" s="2837"/>
      <c r="BF645" s="156"/>
    </row>
    <row r="646" spans="1:58" ht="14.5" hidden="1" customHeight="1" outlineLevel="1" x14ac:dyDescent="0.35">
      <c r="A646" s="1071"/>
      <c r="B646" s="106"/>
      <c r="C646" s="103"/>
      <c r="D646" s="4022"/>
      <c r="E646" s="4111"/>
      <c r="F646" s="3931" t="str">
        <f t="shared" si="71"/>
        <v>CAC-SEER14_ER1_MF</v>
      </c>
      <c r="G646" s="3932"/>
      <c r="H646" s="3933"/>
      <c r="I646" s="2657" t="str">
        <f t="shared" si="72"/>
        <v>350500_2021_12_</v>
      </c>
      <c r="J646" s="2661">
        <v>6</v>
      </c>
      <c r="K646" s="569"/>
      <c r="L646" s="2893"/>
      <c r="M646" s="103"/>
      <c r="N646" s="1287"/>
      <c r="O646" s="103"/>
      <c r="P646" s="106"/>
      <c r="Q646" s="106"/>
      <c r="R646" s="106"/>
      <c r="S646" s="106"/>
      <c r="T646" s="106"/>
      <c r="U646" s="106"/>
      <c r="V646" s="4022"/>
      <c r="W646" s="596">
        <v>6</v>
      </c>
      <c r="X646" s="596">
        <v>6</v>
      </c>
      <c r="Y646" s="596">
        <v>6</v>
      </c>
      <c r="Z646" s="596">
        <v>6</v>
      </c>
      <c r="AA646" s="596">
        <v>6</v>
      </c>
      <c r="AB646" s="596">
        <v>6</v>
      </c>
      <c r="AC646" s="2894">
        <v>6</v>
      </c>
      <c r="AD646" s="2661">
        <v>6</v>
      </c>
      <c r="AE646" s="596"/>
      <c r="AF646" s="596"/>
      <c r="AG646" s="596"/>
      <c r="AH646" s="156"/>
      <c r="AI646" s="156"/>
      <c r="AJ646" s="156"/>
      <c r="AK646" s="156"/>
      <c r="AL646" s="156"/>
      <c r="AM646" s="156"/>
      <c r="AN646" s="156"/>
      <c r="AO646" s="156"/>
      <c r="AP646" s="156"/>
      <c r="AQ646" s="156"/>
      <c r="AR646" s="156"/>
      <c r="AS646" s="156"/>
      <c r="AT646" s="156"/>
      <c r="AU646" s="156"/>
      <c r="AV646" s="156"/>
      <c r="AW646" s="156"/>
      <c r="AX646" s="156"/>
      <c r="AY646" s="156"/>
      <c r="AZ646" s="156"/>
      <c r="BA646" s="156"/>
      <c r="BB646" s="2890"/>
      <c r="BC646" s="504"/>
      <c r="BD646" s="2829"/>
      <c r="BE646" s="2837"/>
      <c r="BF646" s="156"/>
    </row>
    <row r="647" spans="1:58" ht="14.5" hidden="1" customHeight="1" outlineLevel="1" x14ac:dyDescent="0.35">
      <c r="A647" s="1071"/>
      <c r="B647" s="106"/>
      <c r="C647" s="103"/>
      <c r="D647" s="4022"/>
      <c r="E647" s="4111"/>
      <c r="F647" s="3931" t="str">
        <f t="shared" si="71"/>
        <v>CAC-SEER14_ER2_MF</v>
      </c>
      <c r="G647" s="3932"/>
      <c r="H647" s="3933"/>
      <c r="I647" s="2657" t="str">
        <f t="shared" si="72"/>
        <v>350500_2021_12_</v>
      </c>
      <c r="J647" s="2661">
        <v>12</v>
      </c>
      <c r="K647" s="569"/>
      <c r="L647" s="2893"/>
      <c r="M647" s="103"/>
      <c r="N647" s="1287"/>
      <c r="O647" s="103"/>
      <c r="P647" s="106"/>
      <c r="Q647" s="106"/>
      <c r="R647" s="106"/>
      <c r="S647" s="106"/>
      <c r="T647" s="106"/>
      <c r="U647" s="106"/>
      <c r="V647" s="4022"/>
      <c r="W647" s="596">
        <v>12</v>
      </c>
      <c r="X647" s="596">
        <v>12</v>
      </c>
      <c r="Y647" s="596">
        <v>12</v>
      </c>
      <c r="Z647" s="596">
        <v>12</v>
      </c>
      <c r="AA647" s="596">
        <v>12</v>
      </c>
      <c r="AB647" s="596">
        <v>12</v>
      </c>
      <c r="AC647" s="2894">
        <v>12</v>
      </c>
      <c r="AD647" s="2661">
        <v>12</v>
      </c>
      <c r="AE647" s="596"/>
      <c r="AF647" s="596"/>
      <c r="AG647" s="596"/>
      <c r="AH647" s="156"/>
      <c r="AI647" s="156"/>
      <c r="AJ647" s="156"/>
      <c r="AK647" s="156"/>
      <c r="AL647" s="156"/>
      <c r="AM647" s="156"/>
      <c r="AN647" s="156"/>
      <c r="AO647" s="156"/>
      <c r="AP647" s="156"/>
      <c r="AQ647" s="156"/>
      <c r="AR647" s="156"/>
      <c r="AS647" s="156"/>
      <c r="AT647" s="156"/>
      <c r="AU647" s="156"/>
      <c r="AV647" s="156"/>
      <c r="AW647" s="156"/>
      <c r="AX647" s="156"/>
      <c r="AY647" s="156"/>
      <c r="AZ647" s="156"/>
      <c r="BA647" s="156"/>
      <c r="BB647" s="2890"/>
      <c r="BC647" s="504"/>
      <c r="BD647" s="2829"/>
      <c r="BE647" s="2837"/>
      <c r="BF647" s="156"/>
    </row>
    <row r="648" spans="1:58" ht="14.5" hidden="1" customHeight="1" outlineLevel="1" x14ac:dyDescent="0.35">
      <c r="A648" s="1071"/>
      <c r="B648" s="106"/>
      <c r="C648" s="103"/>
      <c r="D648" s="4022"/>
      <c r="E648" s="4111"/>
      <c r="F648" s="3931" t="str">
        <f t="shared" si="71"/>
        <v>CAC-SEER14_ER1_MF_CompE</v>
      </c>
      <c r="G648" s="3932"/>
      <c r="H648" s="3933"/>
      <c r="I648" s="2657" t="str">
        <f t="shared" si="72"/>
        <v>350501_2021_12_</v>
      </c>
      <c r="J648" s="2661">
        <v>6</v>
      </c>
      <c r="K648" s="569"/>
      <c r="L648" s="2893"/>
      <c r="M648" s="103"/>
      <c r="N648" s="1287"/>
      <c r="O648" s="103"/>
      <c r="P648" s="106"/>
      <c r="Q648" s="106"/>
      <c r="R648" s="106"/>
      <c r="S648" s="106"/>
      <c r="T648" s="106"/>
      <c r="U648" s="106"/>
      <c r="V648" s="4022"/>
      <c r="W648" s="596"/>
      <c r="X648" s="596"/>
      <c r="Y648" s="596">
        <v>6</v>
      </c>
      <c r="Z648" s="596">
        <v>6</v>
      </c>
      <c r="AA648" s="596">
        <v>6</v>
      </c>
      <c r="AB648" s="596">
        <v>6</v>
      </c>
      <c r="AC648" s="2894">
        <v>6</v>
      </c>
      <c r="AD648" s="2661">
        <v>6</v>
      </c>
      <c r="AE648" s="596"/>
      <c r="AF648" s="596"/>
      <c r="AG648" s="596"/>
      <c r="AH648" s="156"/>
      <c r="AI648" s="156"/>
      <c r="AJ648" s="156"/>
      <c r="AK648" s="156"/>
      <c r="AL648" s="156"/>
      <c r="AM648" s="156"/>
      <c r="AN648" s="156"/>
      <c r="AO648" s="156"/>
      <c r="AP648" s="156"/>
      <c r="AQ648" s="156"/>
      <c r="AR648" s="156"/>
      <c r="AS648" s="156"/>
      <c r="AT648" s="156"/>
      <c r="AU648" s="156"/>
      <c r="AV648" s="156"/>
      <c r="AW648" s="156"/>
      <c r="AX648" s="156"/>
      <c r="AY648" s="156"/>
      <c r="AZ648" s="156"/>
      <c r="BA648" s="156"/>
      <c r="BB648" s="2890"/>
      <c r="BC648" s="504"/>
      <c r="BD648" s="2829"/>
      <c r="BE648" s="2837"/>
      <c r="BF648" s="156"/>
    </row>
    <row r="649" spans="1:58" ht="14.5" hidden="1" customHeight="1" outlineLevel="1" x14ac:dyDescent="0.35">
      <c r="A649" s="1071"/>
      <c r="B649" s="106"/>
      <c r="C649" s="103"/>
      <c r="D649" s="4022"/>
      <c r="E649" s="4111"/>
      <c r="F649" s="3931" t="str">
        <f t="shared" si="71"/>
        <v>CAC-SEER14_ER2_MF_CompE</v>
      </c>
      <c r="G649" s="3932"/>
      <c r="H649" s="3933"/>
      <c r="I649" s="2657" t="str">
        <f t="shared" si="72"/>
        <v>350501_2021_12_</v>
      </c>
      <c r="J649" s="2661">
        <v>12</v>
      </c>
      <c r="K649" s="569"/>
      <c r="L649" s="2893"/>
      <c r="M649" s="103"/>
      <c r="N649" s="1287"/>
      <c r="O649" s="103"/>
      <c r="P649" s="106"/>
      <c r="Q649" s="106"/>
      <c r="R649" s="106"/>
      <c r="S649" s="106"/>
      <c r="T649" s="106"/>
      <c r="U649" s="106"/>
      <c r="V649" s="4022"/>
      <c r="W649" s="596"/>
      <c r="X649" s="596"/>
      <c r="Y649" s="596">
        <v>12</v>
      </c>
      <c r="Z649" s="596">
        <v>12</v>
      </c>
      <c r="AA649" s="596">
        <v>12</v>
      </c>
      <c r="AB649" s="596">
        <v>12</v>
      </c>
      <c r="AC649" s="2894">
        <v>12</v>
      </c>
      <c r="AD649" s="2661">
        <v>12</v>
      </c>
      <c r="AE649" s="596"/>
      <c r="AF649" s="596"/>
      <c r="AG649" s="596"/>
      <c r="AH649" s="156"/>
      <c r="AI649" s="156"/>
      <c r="AJ649" s="156"/>
      <c r="AK649" s="156"/>
      <c r="AL649" s="156"/>
      <c r="AM649" s="156"/>
      <c r="AN649" s="156"/>
      <c r="AO649" s="156"/>
      <c r="AP649" s="156"/>
      <c r="AQ649" s="156"/>
      <c r="AR649" s="156"/>
      <c r="AS649" s="156"/>
      <c r="AT649" s="156"/>
      <c r="AU649" s="156"/>
      <c r="AV649" s="156"/>
      <c r="AW649" s="156"/>
      <c r="AX649" s="156"/>
      <c r="AY649" s="156"/>
      <c r="AZ649" s="156"/>
      <c r="BA649" s="156"/>
      <c r="BB649" s="2890"/>
      <c r="BC649" s="504"/>
      <c r="BD649" s="2829"/>
      <c r="BE649" s="2837"/>
      <c r="BF649" s="156"/>
    </row>
    <row r="650" spans="1:58" ht="14.5" hidden="1" customHeight="1" outlineLevel="1" x14ac:dyDescent="0.35">
      <c r="A650" s="1071"/>
      <c r="B650" s="106"/>
      <c r="C650" s="103"/>
      <c r="D650" s="4022"/>
      <c r="E650" s="4111"/>
      <c r="F650" s="3931" t="str">
        <f t="shared" si="71"/>
        <v>CAC-SEER14_ROF_MF</v>
      </c>
      <c r="G650" s="3932"/>
      <c r="H650" s="3933"/>
      <c r="I650" s="2657" t="str">
        <f t="shared" si="72"/>
        <v>350550_2021_12_</v>
      </c>
      <c r="J650" s="2661">
        <v>18</v>
      </c>
      <c r="K650" s="569"/>
      <c r="L650" s="2893"/>
      <c r="M650" s="103"/>
      <c r="N650" s="1287"/>
      <c r="O650" s="103"/>
      <c r="P650" s="106"/>
      <c r="Q650" s="106"/>
      <c r="R650" s="106"/>
      <c r="S650" s="106"/>
      <c r="T650" s="106"/>
      <c r="U650" s="106"/>
      <c r="V650" s="4022"/>
      <c r="W650" s="596">
        <v>16</v>
      </c>
      <c r="X650" s="596">
        <v>16</v>
      </c>
      <c r="Y650" s="597">
        <v>18</v>
      </c>
      <c r="Z650" s="596">
        <v>18</v>
      </c>
      <c r="AA650" s="596">
        <v>18</v>
      </c>
      <c r="AB650" s="596">
        <v>18</v>
      </c>
      <c r="AC650" s="2894">
        <v>18</v>
      </c>
      <c r="AD650" s="2661">
        <v>18</v>
      </c>
      <c r="AE650" s="596"/>
      <c r="AF650" s="596"/>
      <c r="AG650" s="596"/>
      <c r="AH650" s="156"/>
      <c r="AI650" s="156"/>
      <c r="AJ650" s="156"/>
      <c r="AK650" s="156"/>
      <c r="AL650" s="156"/>
      <c r="AM650" s="156"/>
      <c r="AN650" s="156"/>
      <c r="AO650" s="156"/>
      <c r="AP650" s="156"/>
      <c r="AQ650" s="156"/>
      <c r="AR650" s="156"/>
      <c r="AS650" s="156"/>
      <c r="AT650" s="156"/>
      <c r="AU650" s="156"/>
      <c r="AV650" s="156"/>
      <c r="AW650" s="156"/>
      <c r="AX650" s="156"/>
      <c r="AY650" s="156"/>
      <c r="AZ650" s="156"/>
      <c r="BA650" s="156"/>
      <c r="BB650" s="2890"/>
      <c r="BC650" s="504"/>
      <c r="BD650" s="2829"/>
      <c r="BE650" s="2837"/>
      <c r="BF650" s="156"/>
    </row>
    <row r="651" spans="1:58" ht="14.5" hidden="1" customHeight="1" outlineLevel="1" x14ac:dyDescent="0.35">
      <c r="A651" s="1071"/>
      <c r="B651" s="106"/>
      <c r="C651" s="103"/>
      <c r="D651" s="4022"/>
      <c r="E651" s="4111"/>
      <c r="F651" s="3931" t="str">
        <f t="shared" si="71"/>
        <v>CAC-SEER14_ROF_MF_CompE</v>
      </c>
      <c r="G651" s="3932"/>
      <c r="H651" s="3933"/>
      <c r="I651" s="2657" t="str">
        <f t="shared" si="72"/>
        <v>350551_2021_12_</v>
      </c>
      <c r="J651" s="2661">
        <v>18</v>
      </c>
      <c r="K651" s="569"/>
      <c r="L651" s="2893"/>
      <c r="M651" s="103"/>
      <c r="N651" s="1287"/>
      <c r="O651" s="103"/>
      <c r="P651" s="106"/>
      <c r="Q651" s="106"/>
      <c r="R651" s="106"/>
      <c r="S651" s="106"/>
      <c r="T651" s="106"/>
      <c r="U651" s="106"/>
      <c r="V651" s="4022"/>
      <c r="W651" s="596"/>
      <c r="X651" s="596"/>
      <c r="Y651" s="596">
        <v>18</v>
      </c>
      <c r="Z651" s="596">
        <v>18</v>
      </c>
      <c r="AA651" s="596">
        <v>18</v>
      </c>
      <c r="AB651" s="596">
        <v>18</v>
      </c>
      <c r="AC651" s="2894">
        <v>18</v>
      </c>
      <c r="AD651" s="2661">
        <v>18</v>
      </c>
      <c r="AE651" s="596"/>
      <c r="AF651" s="596"/>
      <c r="AG651" s="596"/>
      <c r="AH651" s="156"/>
      <c r="AI651" s="156"/>
      <c r="AJ651" s="156"/>
      <c r="AK651" s="156"/>
      <c r="AL651" s="156"/>
      <c r="AM651" s="156"/>
      <c r="AN651" s="156"/>
      <c r="AO651" s="156"/>
      <c r="AP651" s="156"/>
      <c r="AQ651" s="156"/>
      <c r="AR651" s="156"/>
      <c r="AS651" s="156"/>
      <c r="AT651" s="156"/>
      <c r="AU651" s="156"/>
      <c r="AV651" s="156"/>
      <c r="AW651" s="156"/>
      <c r="AX651" s="156"/>
      <c r="AY651" s="156"/>
      <c r="AZ651" s="156"/>
      <c r="BA651" s="156"/>
      <c r="BB651" s="2890"/>
      <c r="BC651" s="504"/>
      <c r="BD651" s="2829"/>
      <c r="BE651" s="2837"/>
      <c r="BF651" s="156"/>
    </row>
    <row r="652" spans="1:58" ht="14.5" hidden="1" customHeight="1" outlineLevel="1" x14ac:dyDescent="0.35">
      <c r="A652" s="1071"/>
      <c r="B652" s="106"/>
      <c r="C652" s="103"/>
      <c r="D652" s="4022"/>
      <c r="E652" s="4111"/>
      <c r="F652" s="3931" t="str">
        <f t="shared" si="71"/>
        <v>CAC-SEER15_ER1_SF</v>
      </c>
      <c r="G652" s="3932"/>
      <c r="H652" s="3933"/>
      <c r="I652" s="2657" t="str">
        <f t="shared" si="72"/>
        <v>350600_2021_12_</v>
      </c>
      <c r="J652" s="2661">
        <v>6</v>
      </c>
      <c r="K652" s="569"/>
      <c r="L652" s="2893"/>
      <c r="M652" s="103"/>
      <c r="N652" s="1287"/>
      <c r="O652" s="103"/>
      <c r="P652" s="106"/>
      <c r="Q652" s="106"/>
      <c r="R652" s="106"/>
      <c r="S652" s="106"/>
      <c r="T652" s="106"/>
      <c r="U652" s="106"/>
      <c r="V652" s="4022"/>
      <c r="W652" s="596">
        <v>6</v>
      </c>
      <c r="X652" s="596">
        <v>6</v>
      </c>
      <c r="Y652" s="596">
        <v>6</v>
      </c>
      <c r="Z652" s="596">
        <v>6</v>
      </c>
      <c r="AA652" s="596">
        <v>6</v>
      </c>
      <c r="AB652" s="596">
        <v>6</v>
      </c>
      <c r="AC652" s="2894">
        <v>6</v>
      </c>
      <c r="AD652" s="2661">
        <v>6</v>
      </c>
      <c r="AE652" s="596"/>
      <c r="AF652" s="596"/>
      <c r="AG652" s="596"/>
      <c r="AH652" s="156"/>
      <c r="AI652" s="156"/>
      <c r="AJ652" s="156"/>
      <c r="AK652" s="156"/>
      <c r="AL652" s="156"/>
      <c r="AM652" s="156"/>
      <c r="AN652" s="156"/>
      <c r="AO652" s="156"/>
      <c r="AP652" s="156"/>
      <c r="AQ652" s="156"/>
      <c r="AR652" s="156"/>
      <c r="AS652" s="156"/>
      <c r="AT652" s="156"/>
      <c r="AU652" s="156"/>
      <c r="AV652" s="156"/>
      <c r="AW652" s="156"/>
      <c r="AX652" s="156"/>
      <c r="AY652" s="156"/>
      <c r="AZ652" s="156"/>
      <c r="BA652" s="156"/>
      <c r="BB652" s="2890"/>
      <c r="BC652" s="504"/>
      <c r="BD652" s="2829"/>
      <c r="BE652" s="2837"/>
      <c r="BF652" s="156"/>
    </row>
    <row r="653" spans="1:58" ht="14.5" hidden="1" customHeight="1" outlineLevel="1" x14ac:dyDescent="0.35">
      <c r="A653" s="1071"/>
      <c r="B653" s="106"/>
      <c r="C653" s="103"/>
      <c r="D653" s="4022"/>
      <c r="E653" s="4111"/>
      <c r="F653" s="3931" t="str">
        <f t="shared" si="71"/>
        <v>CAC-SEER15_ER2_SF</v>
      </c>
      <c r="G653" s="3932"/>
      <c r="H653" s="3933"/>
      <c r="I653" s="2657" t="str">
        <f t="shared" si="72"/>
        <v>350600_2021_12_</v>
      </c>
      <c r="J653" s="2661">
        <v>12</v>
      </c>
      <c r="K653" s="569"/>
      <c r="L653" s="2893"/>
      <c r="M653" s="103"/>
      <c r="N653" s="1287"/>
      <c r="O653" s="103"/>
      <c r="P653" s="106"/>
      <c r="Q653" s="106"/>
      <c r="R653" s="106"/>
      <c r="S653" s="106"/>
      <c r="T653" s="106"/>
      <c r="U653" s="106"/>
      <c r="V653" s="4022"/>
      <c r="W653" s="596">
        <v>12</v>
      </c>
      <c r="X653" s="596">
        <v>12</v>
      </c>
      <c r="Y653" s="596">
        <v>12</v>
      </c>
      <c r="Z653" s="596">
        <v>12</v>
      </c>
      <c r="AA653" s="596">
        <v>12</v>
      </c>
      <c r="AB653" s="596">
        <v>12</v>
      </c>
      <c r="AC653" s="2894">
        <v>12</v>
      </c>
      <c r="AD653" s="2661">
        <v>12</v>
      </c>
      <c r="AE653" s="596"/>
      <c r="AF653" s="596"/>
      <c r="AG653" s="596"/>
      <c r="AH653" s="156"/>
      <c r="AI653" s="156"/>
      <c r="AJ653" s="156"/>
      <c r="AK653" s="156"/>
      <c r="AL653" s="156"/>
      <c r="AM653" s="156"/>
      <c r="AN653" s="156"/>
      <c r="AO653" s="156"/>
      <c r="AP653" s="156"/>
      <c r="AQ653" s="156"/>
      <c r="AR653" s="156"/>
      <c r="AS653" s="156"/>
      <c r="AT653" s="156"/>
      <c r="AU653" s="156"/>
      <c r="AV653" s="156"/>
      <c r="AW653" s="156"/>
      <c r="AX653" s="156"/>
      <c r="AY653" s="156"/>
      <c r="AZ653" s="156"/>
      <c r="BA653" s="156"/>
      <c r="BB653" s="2890"/>
      <c r="BC653" s="504"/>
      <c r="BD653" s="2829"/>
      <c r="BE653" s="2837"/>
      <c r="BF653" s="156"/>
    </row>
    <row r="654" spans="1:58" ht="14.5" hidden="1" customHeight="1" outlineLevel="1" x14ac:dyDescent="0.35">
      <c r="A654" s="1071"/>
      <c r="B654" s="106"/>
      <c r="C654" s="103"/>
      <c r="D654" s="4022"/>
      <c r="E654" s="4111"/>
      <c r="F654" s="3931" t="str">
        <f t="shared" si="71"/>
        <v>CAC-SEER15_ROF_SF</v>
      </c>
      <c r="G654" s="3932"/>
      <c r="H654" s="3933"/>
      <c r="I654" s="2657" t="str">
        <f t="shared" si="72"/>
        <v>350650_2021_12_</v>
      </c>
      <c r="J654" s="2661">
        <v>18</v>
      </c>
      <c r="K654" s="569"/>
      <c r="L654" s="2893"/>
      <c r="M654" s="103"/>
      <c r="N654" s="1287"/>
      <c r="O654" s="103"/>
      <c r="P654" s="106"/>
      <c r="Q654" s="106"/>
      <c r="R654" s="106"/>
      <c r="S654" s="106"/>
      <c r="T654" s="106"/>
      <c r="U654" s="106"/>
      <c r="V654" s="4022"/>
      <c r="W654" s="596">
        <v>18</v>
      </c>
      <c r="X654" s="596">
        <v>18</v>
      </c>
      <c r="Y654" s="596">
        <v>18</v>
      </c>
      <c r="Z654" s="596">
        <v>18</v>
      </c>
      <c r="AA654" s="596">
        <v>18</v>
      </c>
      <c r="AB654" s="596">
        <v>18</v>
      </c>
      <c r="AC654" s="2894">
        <v>18</v>
      </c>
      <c r="AD654" s="2661">
        <v>18</v>
      </c>
      <c r="AE654" s="596"/>
      <c r="AF654" s="596"/>
      <c r="AG654" s="596"/>
      <c r="AH654" s="156"/>
      <c r="AI654" s="156"/>
      <c r="AJ654" s="156"/>
      <c r="AK654" s="156"/>
      <c r="AL654" s="156"/>
      <c r="AM654" s="156"/>
      <c r="AN654" s="156"/>
      <c r="AO654" s="156"/>
      <c r="AP654" s="156"/>
      <c r="AQ654" s="156"/>
      <c r="AR654" s="156"/>
      <c r="AS654" s="156"/>
      <c r="AT654" s="156"/>
      <c r="AU654" s="156"/>
      <c r="AV654" s="156"/>
      <c r="AW654" s="156"/>
      <c r="AX654" s="156"/>
      <c r="AY654" s="156"/>
      <c r="AZ654" s="156"/>
      <c r="BA654" s="156"/>
      <c r="BB654" s="2890"/>
      <c r="BC654" s="504"/>
      <c r="BD654" s="2829"/>
      <c r="BE654" s="2837"/>
      <c r="BF654" s="156"/>
    </row>
    <row r="655" spans="1:58" ht="14.5" hidden="1" customHeight="1" outlineLevel="1" x14ac:dyDescent="0.35">
      <c r="A655" s="1071"/>
      <c r="B655" s="106"/>
      <c r="C655" s="103"/>
      <c r="D655" s="4022"/>
      <c r="E655" s="4111"/>
      <c r="F655" s="3931" t="str">
        <f t="shared" si="71"/>
        <v>CAC-SEER15_ER1_MF</v>
      </c>
      <c r="G655" s="3932"/>
      <c r="H655" s="3933"/>
      <c r="I655" s="2657" t="str">
        <f t="shared" si="72"/>
        <v>350700_2021_12_</v>
      </c>
      <c r="J655" s="2661">
        <v>6</v>
      </c>
      <c r="K655" s="569"/>
      <c r="L655" s="2893"/>
      <c r="M655" s="103"/>
      <c r="N655" s="1287"/>
      <c r="O655" s="103"/>
      <c r="P655" s="106"/>
      <c r="Q655" s="106"/>
      <c r="R655" s="106"/>
      <c r="S655" s="106"/>
      <c r="T655" s="106"/>
      <c r="U655" s="106"/>
      <c r="V655" s="4022"/>
      <c r="W655" s="596">
        <v>6</v>
      </c>
      <c r="X655" s="596">
        <v>6</v>
      </c>
      <c r="Y655" s="596">
        <v>6</v>
      </c>
      <c r="Z655" s="596">
        <v>6</v>
      </c>
      <c r="AA655" s="596">
        <v>6</v>
      </c>
      <c r="AB655" s="596">
        <v>6</v>
      </c>
      <c r="AC655" s="2894">
        <v>6</v>
      </c>
      <c r="AD655" s="2661">
        <v>6</v>
      </c>
      <c r="AE655" s="596"/>
      <c r="AF655" s="596"/>
      <c r="AG655" s="596"/>
      <c r="AH655" s="156"/>
      <c r="AI655" s="156"/>
      <c r="AJ655" s="156"/>
      <c r="AK655" s="156"/>
      <c r="AL655" s="156"/>
      <c r="AM655" s="156"/>
      <c r="AN655" s="156"/>
      <c r="AO655" s="156"/>
      <c r="AP655" s="156"/>
      <c r="AQ655" s="156"/>
      <c r="AR655" s="156"/>
      <c r="AS655" s="156"/>
      <c r="AT655" s="156"/>
      <c r="AU655" s="156"/>
      <c r="AV655" s="156"/>
      <c r="AW655" s="156"/>
      <c r="AX655" s="156"/>
      <c r="AY655" s="156"/>
      <c r="AZ655" s="156"/>
      <c r="BA655" s="156"/>
      <c r="BB655" s="2890"/>
      <c r="BC655" s="504"/>
      <c r="BD655" s="2829"/>
      <c r="BE655" s="2837"/>
      <c r="BF655" s="156"/>
    </row>
    <row r="656" spans="1:58" ht="14.5" hidden="1" customHeight="1" outlineLevel="1" x14ac:dyDescent="0.35">
      <c r="A656" s="1071"/>
      <c r="B656" s="106"/>
      <c r="C656" s="103"/>
      <c r="D656" s="4022"/>
      <c r="E656" s="4111"/>
      <c r="F656" s="3931" t="str">
        <f t="shared" si="71"/>
        <v>CAC-SEER15_ER2_MF</v>
      </c>
      <c r="G656" s="3932"/>
      <c r="H656" s="3933"/>
      <c r="I656" s="2657" t="str">
        <f t="shared" si="72"/>
        <v>350700_2021_12_</v>
      </c>
      <c r="J656" s="2661">
        <v>12</v>
      </c>
      <c r="K656" s="569"/>
      <c r="L656" s="2893"/>
      <c r="M656" s="103"/>
      <c r="N656" s="1287"/>
      <c r="O656" s="103"/>
      <c r="P656" s="106"/>
      <c r="Q656" s="106"/>
      <c r="R656" s="106"/>
      <c r="S656" s="106"/>
      <c r="T656" s="106"/>
      <c r="U656" s="106"/>
      <c r="V656" s="4022"/>
      <c r="W656" s="596">
        <v>12</v>
      </c>
      <c r="X656" s="596">
        <v>12</v>
      </c>
      <c r="Y656" s="596">
        <v>12</v>
      </c>
      <c r="Z656" s="596">
        <v>12</v>
      </c>
      <c r="AA656" s="596">
        <v>12</v>
      </c>
      <c r="AB656" s="596">
        <v>12</v>
      </c>
      <c r="AC656" s="2894">
        <v>12</v>
      </c>
      <c r="AD656" s="2661">
        <v>12</v>
      </c>
      <c r="AE656" s="596"/>
      <c r="AF656" s="596"/>
      <c r="AG656" s="596"/>
      <c r="AH656" s="156"/>
      <c r="AI656" s="156"/>
      <c r="AJ656" s="156"/>
      <c r="AK656" s="156"/>
      <c r="AL656" s="156"/>
      <c r="AM656" s="156"/>
      <c r="AN656" s="156"/>
      <c r="AO656" s="156"/>
      <c r="AP656" s="156"/>
      <c r="AQ656" s="156"/>
      <c r="AR656" s="156"/>
      <c r="AS656" s="156"/>
      <c r="AT656" s="156"/>
      <c r="AU656" s="156"/>
      <c r="AV656" s="156"/>
      <c r="AW656" s="156"/>
      <c r="AX656" s="156"/>
      <c r="AY656" s="156"/>
      <c r="AZ656" s="156"/>
      <c r="BA656" s="156"/>
      <c r="BB656" s="2890"/>
      <c r="BC656" s="504"/>
      <c r="BD656" s="2829"/>
      <c r="BE656" s="2837"/>
      <c r="BF656" s="156"/>
    </row>
    <row r="657" spans="1:58" ht="14.5" hidden="1" customHeight="1" outlineLevel="1" x14ac:dyDescent="0.35">
      <c r="A657" s="1071"/>
      <c r="B657" s="106"/>
      <c r="C657" s="103"/>
      <c r="D657" s="4022"/>
      <c r="E657" s="4111"/>
      <c r="F657" s="3931" t="str">
        <f t="shared" si="71"/>
        <v>CAC-SEER15_ER1_MF_CompE</v>
      </c>
      <c r="G657" s="3932"/>
      <c r="H657" s="3933"/>
      <c r="I657" s="2657" t="str">
        <f t="shared" si="72"/>
        <v>350701_2021_12_</v>
      </c>
      <c r="J657" s="2661">
        <v>6</v>
      </c>
      <c r="K657" s="569"/>
      <c r="L657" s="2893"/>
      <c r="M657" s="103"/>
      <c r="N657" s="1287"/>
      <c r="O657" s="103"/>
      <c r="P657" s="106"/>
      <c r="Q657" s="106"/>
      <c r="R657" s="106"/>
      <c r="S657" s="106"/>
      <c r="T657" s="106"/>
      <c r="U657" s="106"/>
      <c r="V657" s="4022"/>
      <c r="W657" s="596"/>
      <c r="X657" s="596"/>
      <c r="Y657" s="596">
        <v>6</v>
      </c>
      <c r="Z657" s="596">
        <v>6</v>
      </c>
      <c r="AA657" s="596">
        <v>6</v>
      </c>
      <c r="AB657" s="596">
        <v>6</v>
      </c>
      <c r="AC657" s="2894">
        <v>6</v>
      </c>
      <c r="AD657" s="2661">
        <v>6</v>
      </c>
      <c r="AE657" s="596"/>
      <c r="AF657" s="596"/>
      <c r="AG657" s="596"/>
      <c r="AH657" s="156"/>
      <c r="AI657" s="156"/>
      <c r="AJ657" s="156"/>
      <c r="AK657" s="156"/>
      <c r="AL657" s="156"/>
      <c r="AM657" s="156"/>
      <c r="AN657" s="156"/>
      <c r="AO657" s="156"/>
      <c r="AP657" s="156"/>
      <c r="AQ657" s="156"/>
      <c r="AR657" s="156"/>
      <c r="AS657" s="156"/>
      <c r="AT657" s="156"/>
      <c r="AU657" s="156"/>
      <c r="AV657" s="156"/>
      <c r="AW657" s="156"/>
      <c r="AX657" s="156"/>
      <c r="AY657" s="156"/>
      <c r="AZ657" s="156"/>
      <c r="BA657" s="156"/>
      <c r="BB657" s="2890"/>
      <c r="BC657" s="504"/>
      <c r="BD657" s="2829"/>
      <c r="BE657" s="2837"/>
      <c r="BF657" s="156"/>
    </row>
    <row r="658" spans="1:58" ht="14.5" hidden="1" customHeight="1" outlineLevel="1" x14ac:dyDescent="0.35">
      <c r="A658" s="1071"/>
      <c r="B658" s="106"/>
      <c r="C658" s="103"/>
      <c r="D658" s="4022"/>
      <c r="E658" s="4111"/>
      <c r="F658" s="3931" t="str">
        <f t="shared" si="71"/>
        <v>CAC-SEER15_ER2_MF_CompE</v>
      </c>
      <c r="G658" s="3932"/>
      <c r="H658" s="3933"/>
      <c r="I658" s="2657" t="str">
        <f t="shared" si="72"/>
        <v>350701_2021_12_</v>
      </c>
      <c r="J658" s="2661">
        <v>12</v>
      </c>
      <c r="K658" s="569"/>
      <c r="L658" s="2893"/>
      <c r="M658" s="103"/>
      <c r="N658" s="1287"/>
      <c r="O658" s="103"/>
      <c r="P658" s="106"/>
      <c r="Q658" s="106"/>
      <c r="R658" s="106"/>
      <c r="S658" s="106"/>
      <c r="T658" s="106"/>
      <c r="U658" s="106"/>
      <c r="V658" s="4022"/>
      <c r="W658" s="596"/>
      <c r="X658" s="596"/>
      <c r="Y658" s="596">
        <v>12</v>
      </c>
      <c r="Z658" s="596">
        <v>12</v>
      </c>
      <c r="AA658" s="596">
        <v>12</v>
      </c>
      <c r="AB658" s="596">
        <v>12</v>
      </c>
      <c r="AC658" s="2894">
        <v>12</v>
      </c>
      <c r="AD658" s="2661">
        <v>12</v>
      </c>
      <c r="AE658" s="596"/>
      <c r="AF658" s="596"/>
      <c r="AG658" s="596"/>
      <c r="AH658" s="156"/>
      <c r="AI658" s="156"/>
      <c r="AJ658" s="156"/>
      <c r="AK658" s="156"/>
      <c r="AL658" s="156"/>
      <c r="AM658" s="156"/>
      <c r="AN658" s="156"/>
      <c r="AO658" s="156"/>
      <c r="AP658" s="156"/>
      <c r="AQ658" s="156"/>
      <c r="AR658" s="156"/>
      <c r="AS658" s="156"/>
      <c r="AT658" s="156"/>
      <c r="AU658" s="156"/>
      <c r="AV658" s="156"/>
      <c r="AW658" s="156"/>
      <c r="AX658" s="156"/>
      <c r="AY658" s="156"/>
      <c r="AZ658" s="156"/>
      <c r="BA658" s="156"/>
      <c r="BB658" s="2890"/>
      <c r="BC658" s="504"/>
      <c r="BD658" s="2829"/>
      <c r="BE658" s="2837"/>
      <c r="BF658" s="156"/>
    </row>
    <row r="659" spans="1:58" ht="14.5" hidden="1" customHeight="1" outlineLevel="1" x14ac:dyDescent="0.35">
      <c r="A659" s="1071"/>
      <c r="B659" s="106"/>
      <c r="C659" s="103"/>
      <c r="D659" s="4022"/>
      <c r="E659" s="4111"/>
      <c r="F659" s="3931" t="str">
        <f t="shared" si="71"/>
        <v>CAC-SEER15_ROF_MF</v>
      </c>
      <c r="G659" s="3932"/>
      <c r="H659" s="3933"/>
      <c r="I659" s="2657" t="str">
        <f t="shared" si="72"/>
        <v>350750_2021_12_</v>
      </c>
      <c r="J659" s="2661">
        <v>18</v>
      </c>
      <c r="K659" s="569"/>
      <c r="L659" s="2893"/>
      <c r="M659" s="103"/>
      <c r="N659" s="1287"/>
      <c r="O659" s="103"/>
      <c r="P659" s="106"/>
      <c r="Q659" s="106"/>
      <c r="R659" s="106"/>
      <c r="S659" s="106"/>
      <c r="T659" s="106"/>
      <c r="U659" s="106"/>
      <c r="V659" s="4022"/>
      <c r="W659" s="596">
        <v>18</v>
      </c>
      <c r="X659" s="596">
        <v>18</v>
      </c>
      <c r="Y659" s="596">
        <v>18</v>
      </c>
      <c r="Z659" s="596">
        <v>18</v>
      </c>
      <c r="AA659" s="596">
        <v>18</v>
      </c>
      <c r="AB659" s="596">
        <v>18</v>
      </c>
      <c r="AC659" s="2894">
        <v>18</v>
      </c>
      <c r="AD659" s="2661">
        <v>18</v>
      </c>
      <c r="AE659" s="596"/>
      <c r="AF659" s="596"/>
      <c r="AG659" s="596"/>
      <c r="AH659" s="156"/>
      <c r="AI659" s="156"/>
      <c r="AJ659" s="156"/>
      <c r="AK659" s="156"/>
      <c r="AL659" s="156"/>
      <c r="AM659" s="156"/>
      <c r="AN659" s="156"/>
      <c r="AO659" s="156"/>
      <c r="AP659" s="156"/>
      <c r="AQ659" s="156"/>
      <c r="AR659" s="156"/>
      <c r="AS659" s="156"/>
      <c r="AT659" s="156"/>
      <c r="AU659" s="156"/>
      <c r="AV659" s="156"/>
      <c r="AW659" s="156"/>
      <c r="AX659" s="156"/>
      <c r="AY659" s="156"/>
      <c r="AZ659" s="156"/>
      <c r="BA659" s="156"/>
      <c r="BB659" s="2890"/>
      <c r="BC659" s="504"/>
      <c r="BD659" s="2829"/>
      <c r="BE659" s="2837"/>
      <c r="BF659" s="156"/>
    </row>
    <row r="660" spans="1:58" ht="14.5" hidden="1" customHeight="1" outlineLevel="1" x14ac:dyDescent="0.35">
      <c r="A660" s="1071"/>
      <c r="B660" s="106"/>
      <c r="C660" s="103"/>
      <c r="D660" s="4022"/>
      <c r="E660" s="4111"/>
      <c r="F660" s="3931" t="str">
        <f t="shared" si="71"/>
        <v>CAC-SEER15_ROF_MF_CompE</v>
      </c>
      <c r="G660" s="3932"/>
      <c r="H660" s="3933"/>
      <c r="I660" s="2657" t="str">
        <f t="shared" si="72"/>
        <v>350751_2021_12_</v>
      </c>
      <c r="J660" s="2661">
        <v>18</v>
      </c>
      <c r="K660" s="569"/>
      <c r="L660" s="2893"/>
      <c r="M660" s="103"/>
      <c r="N660" s="1287"/>
      <c r="O660" s="103"/>
      <c r="P660" s="106"/>
      <c r="Q660" s="106"/>
      <c r="R660" s="106"/>
      <c r="S660" s="106"/>
      <c r="T660" s="106"/>
      <c r="U660" s="106"/>
      <c r="V660" s="4022"/>
      <c r="W660" s="596"/>
      <c r="X660" s="596"/>
      <c r="Y660" s="596">
        <v>18</v>
      </c>
      <c r="Z660" s="596">
        <v>18</v>
      </c>
      <c r="AA660" s="596">
        <v>18</v>
      </c>
      <c r="AB660" s="596">
        <v>18</v>
      </c>
      <c r="AC660" s="2894">
        <v>18</v>
      </c>
      <c r="AD660" s="2661">
        <v>18</v>
      </c>
      <c r="AE660" s="596"/>
      <c r="AF660" s="596"/>
      <c r="AG660" s="596"/>
      <c r="AH660" s="156"/>
      <c r="AI660" s="156"/>
      <c r="AJ660" s="156"/>
      <c r="AK660" s="156"/>
      <c r="AL660" s="156"/>
      <c r="AM660" s="156"/>
      <c r="AN660" s="156"/>
      <c r="AO660" s="156"/>
      <c r="AP660" s="156"/>
      <c r="AQ660" s="156"/>
      <c r="AR660" s="156"/>
      <c r="AS660" s="156"/>
      <c r="AT660" s="156"/>
      <c r="AU660" s="156"/>
      <c r="AV660" s="156"/>
      <c r="AW660" s="156"/>
      <c r="AX660" s="156"/>
      <c r="AY660" s="156"/>
      <c r="AZ660" s="156"/>
      <c r="BA660" s="156"/>
      <c r="BB660" s="2890"/>
      <c r="BC660" s="504"/>
      <c r="BD660" s="2829"/>
      <c r="BE660" s="2837"/>
      <c r="BF660" s="156"/>
    </row>
    <row r="661" spans="1:58" ht="14.5" hidden="1" customHeight="1" outlineLevel="1" x14ac:dyDescent="0.35">
      <c r="A661" s="1071"/>
      <c r="B661" s="106"/>
      <c r="C661" s="103"/>
      <c r="D661" s="4022"/>
      <c r="E661" s="4111"/>
      <c r="F661" s="3931" t="str">
        <f t="shared" si="71"/>
        <v>CAC-SEER16_ER1_SF</v>
      </c>
      <c r="G661" s="3932"/>
      <c r="H661" s="3933"/>
      <c r="I661" s="2657" t="str">
        <f t="shared" si="72"/>
        <v>350800_2021_12_</v>
      </c>
      <c r="J661" s="2661">
        <v>6</v>
      </c>
      <c r="K661" s="569"/>
      <c r="L661" s="2893"/>
      <c r="M661" s="103"/>
      <c r="N661" s="1287"/>
      <c r="O661" s="103"/>
      <c r="P661" s="106"/>
      <c r="Q661" s="106"/>
      <c r="R661" s="106"/>
      <c r="S661" s="106"/>
      <c r="T661" s="106"/>
      <c r="U661" s="106"/>
      <c r="V661" s="4022"/>
      <c r="W661" s="596">
        <v>6</v>
      </c>
      <c r="X661" s="596">
        <v>6</v>
      </c>
      <c r="Y661" s="596">
        <v>6</v>
      </c>
      <c r="Z661" s="596">
        <v>6</v>
      </c>
      <c r="AA661" s="596">
        <v>6</v>
      </c>
      <c r="AB661" s="596">
        <v>6</v>
      </c>
      <c r="AC661" s="2894">
        <v>6</v>
      </c>
      <c r="AD661" s="2661">
        <v>6</v>
      </c>
      <c r="AE661" s="596"/>
      <c r="AF661" s="596"/>
      <c r="AG661" s="596"/>
      <c r="AH661" s="156"/>
      <c r="AI661" s="156"/>
      <c r="AJ661" s="156"/>
      <c r="AK661" s="156"/>
      <c r="AL661" s="156"/>
      <c r="AM661" s="156"/>
      <c r="AN661" s="156"/>
      <c r="AO661" s="156"/>
      <c r="AP661" s="156"/>
      <c r="AQ661" s="156"/>
      <c r="AR661" s="156"/>
      <c r="AS661" s="156"/>
      <c r="AT661" s="156"/>
      <c r="AU661" s="156"/>
      <c r="AV661" s="156"/>
      <c r="AW661" s="156"/>
      <c r="AX661" s="156"/>
      <c r="AY661" s="156"/>
      <c r="AZ661" s="156"/>
      <c r="BA661" s="156"/>
      <c r="BB661" s="2890"/>
      <c r="BC661" s="504"/>
      <c r="BD661" s="2829"/>
      <c r="BE661" s="2837"/>
      <c r="BF661" s="156"/>
    </row>
    <row r="662" spans="1:58" ht="14.5" hidden="1" customHeight="1" outlineLevel="1" x14ac:dyDescent="0.35">
      <c r="A662" s="1071"/>
      <c r="B662" s="106"/>
      <c r="C662" s="103"/>
      <c r="D662" s="4022"/>
      <c r="E662" s="4111"/>
      <c r="F662" s="3931" t="str">
        <f t="shared" si="71"/>
        <v>CAC-SEER16_ER2_SF</v>
      </c>
      <c r="G662" s="3932"/>
      <c r="H662" s="3933"/>
      <c r="I662" s="2657" t="str">
        <f t="shared" si="72"/>
        <v>350800_2021_12_</v>
      </c>
      <c r="J662" s="2661">
        <v>12</v>
      </c>
      <c r="K662" s="569"/>
      <c r="L662" s="2893"/>
      <c r="M662" s="103"/>
      <c r="N662" s="1287"/>
      <c r="O662" s="103"/>
      <c r="P662" s="106"/>
      <c r="Q662" s="106"/>
      <c r="R662" s="106"/>
      <c r="S662" s="106"/>
      <c r="T662" s="106"/>
      <c r="U662" s="106"/>
      <c r="V662" s="4022"/>
      <c r="W662" s="596">
        <v>12</v>
      </c>
      <c r="X662" s="596">
        <v>12</v>
      </c>
      <c r="Y662" s="596">
        <v>12</v>
      </c>
      <c r="Z662" s="596">
        <v>12</v>
      </c>
      <c r="AA662" s="596">
        <v>12</v>
      </c>
      <c r="AB662" s="596">
        <v>12</v>
      </c>
      <c r="AC662" s="2894">
        <v>12</v>
      </c>
      <c r="AD662" s="2661">
        <v>12</v>
      </c>
      <c r="AE662" s="596"/>
      <c r="AF662" s="596"/>
      <c r="AG662" s="596"/>
      <c r="AH662" s="156"/>
      <c r="AI662" s="156"/>
      <c r="AJ662" s="156"/>
      <c r="AK662" s="156"/>
      <c r="AL662" s="156"/>
      <c r="AM662" s="156"/>
      <c r="AN662" s="156"/>
      <c r="AO662" s="156"/>
      <c r="AP662" s="156"/>
      <c r="AQ662" s="156"/>
      <c r="AR662" s="156"/>
      <c r="AS662" s="156"/>
      <c r="AT662" s="156"/>
      <c r="AU662" s="156"/>
      <c r="AV662" s="156"/>
      <c r="AW662" s="156"/>
      <c r="AX662" s="156"/>
      <c r="AY662" s="156"/>
      <c r="AZ662" s="156"/>
      <c r="BA662" s="156"/>
      <c r="BB662" s="2890"/>
      <c r="BC662" s="504"/>
      <c r="BD662" s="2829"/>
      <c r="BE662" s="2837"/>
      <c r="BF662" s="156"/>
    </row>
    <row r="663" spans="1:58" ht="14.5" hidden="1" customHeight="1" outlineLevel="1" x14ac:dyDescent="0.35">
      <c r="A663" s="1071"/>
      <c r="B663" s="106"/>
      <c r="C663" s="103"/>
      <c r="D663" s="4022"/>
      <c r="E663" s="4111"/>
      <c r="F663" s="3931" t="str">
        <f t="shared" si="71"/>
        <v>CAC-SEER16_ROF_SF</v>
      </c>
      <c r="G663" s="3932"/>
      <c r="H663" s="3933"/>
      <c r="I663" s="2657" t="str">
        <f t="shared" si="72"/>
        <v>350850_2021_12_</v>
      </c>
      <c r="J663" s="2661">
        <v>18</v>
      </c>
      <c r="K663" s="569"/>
      <c r="L663" s="2893"/>
      <c r="M663" s="103"/>
      <c r="N663" s="1287"/>
      <c r="O663" s="103"/>
      <c r="P663" s="106"/>
      <c r="Q663" s="106"/>
      <c r="R663" s="106"/>
      <c r="S663" s="106"/>
      <c r="T663" s="106"/>
      <c r="U663" s="106"/>
      <c r="V663" s="4022"/>
      <c r="W663" s="596">
        <v>18</v>
      </c>
      <c r="X663" s="596">
        <v>18</v>
      </c>
      <c r="Y663" s="596">
        <v>18</v>
      </c>
      <c r="Z663" s="596">
        <v>18</v>
      </c>
      <c r="AA663" s="596">
        <v>18</v>
      </c>
      <c r="AB663" s="596">
        <v>18</v>
      </c>
      <c r="AC663" s="2894">
        <v>18</v>
      </c>
      <c r="AD663" s="2661">
        <v>18</v>
      </c>
      <c r="AE663" s="596"/>
      <c r="AF663" s="596"/>
      <c r="AG663" s="596"/>
      <c r="AH663" s="156"/>
      <c r="AI663" s="156"/>
      <c r="AJ663" s="156"/>
      <c r="AK663" s="156"/>
      <c r="AL663" s="156"/>
      <c r="AM663" s="156"/>
      <c r="AN663" s="156"/>
      <c r="AO663" s="156"/>
      <c r="AP663" s="156"/>
      <c r="AQ663" s="156"/>
      <c r="AR663" s="156"/>
      <c r="AS663" s="156"/>
      <c r="AT663" s="156"/>
      <c r="AU663" s="156"/>
      <c r="AV663" s="156"/>
      <c r="AW663" s="156"/>
      <c r="AX663" s="156"/>
      <c r="AY663" s="156"/>
      <c r="AZ663" s="156"/>
      <c r="BA663" s="156"/>
      <c r="BB663" s="2890"/>
      <c r="BC663" s="504"/>
      <c r="BD663" s="2829"/>
      <c r="BE663" s="2837"/>
      <c r="BF663" s="156"/>
    </row>
    <row r="664" spans="1:58" ht="14.5" hidden="1" customHeight="1" outlineLevel="1" x14ac:dyDescent="0.35">
      <c r="A664" s="1071"/>
      <c r="B664" s="106"/>
      <c r="C664" s="103"/>
      <c r="D664" s="4022"/>
      <c r="E664" s="4111"/>
      <c r="F664" s="3931" t="str">
        <f t="shared" si="71"/>
        <v>CAC-SEER16_ER1_MF</v>
      </c>
      <c r="G664" s="3932"/>
      <c r="H664" s="3933"/>
      <c r="I664" s="2657" t="str">
        <f t="shared" si="72"/>
        <v>350900_2021_12_</v>
      </c>
      <c r="J664" s="2661">
        <v>6</v>
      </c>
      <c r="K664" s="569"/>
      <c r="L664" s="2893"/>
      <c r="M664" s="103"/>
      <c r="N664" s="1287"/>
      <c r="O664" s="103"/>
      <c r="P664" s="106"/>
      <c r="Q664" s="106"/>
      <c r="R664" s="106"/>
      <c r="S664" s="106"/>
      <c r="T664" s="106"/>
      <c r="U664" s="106"/>
      <c r="V664" s="4022"/>
      <c r="W664" s="596">
        <v>6</v>
      </c>
      <c r="X664" s="596">
        <v>6</v>
      </c>
      <c r="Y664" s="596">
        <v>6</v>
      </c>
      <c r="Z664" s="596">
        <v>6</v>
      </c>
      <c r="AA664" s="596">
        <v>6</v>
      </c>
      <c r="AB664" s="596">
        <v>6</v>
      </c>
      <c r="AC664" s="2894">
        <v>6</v>
      </c>
      <c r="AD664" s="2661">
        <v>6</v>
      </c>
      <c r="AE664" s="596"/>
      <c r="AF664" s="596"/>
      <c r="AG664" s="596"/>
      <c r="AH664" s="156"/>
      <c r="AI664" s="156"/>
      <c r="AJ664" s="156"/>
      <c r="AK664" s="156"/>
      <c r="AL664" s="156"/>
      <c r="AM664" s="156"/>
      <c r="AN664" s="156"/>
      <c r="AO664" s="156"/>
      <c r="AP664" s="156"/>
      <c r="AQ664" s="156"/>
      <c r="AR664" s="156"/>
      <c r="AS664" s="156"/>
      <c r="AT664" s="156"/>
      <c r="AU664" s="156"/>
      <c r="AV664" s="156"/>
      <c r="AW664" s="156"/>
      <c r="AX664" s="156"/>
      <c r="AY664" s="156"/>
      <c r="AZ664" s="156"/>
      <c r="BA664" s="156"/>
      <c r="BB664" s="2890"/>
      <c r="BC664" s="504"/>
      <c r="BD664" s="2829"/>
      <c r="BE664" s="2837"/>
      <c r="BF664" s="156"/>
    </row>
    <row r="665" spans="1:58" ht="14.5" hidden="1" customHeight="1" outlineLevel="1" x14ac:dyDescent="0.35">
      <c r="A665" s="1071"/>
      <c r="B665" s="106"/>
      <c r="C665" s="103"/>
      <c r="D665" s="4022"/>
      <c r="E665" s="4111"/>
      <c r="F665" s="3931" t="str">
        <f t="shared" si="71"/>
        <v>CAC-SEER16_ER2_MF</v>
      </c>
      <c r="G665" s="3932"/>
      <c r="H665" s="3933"/>
      <c r="I665" s="2657" t="str">
        <f t="shared" si="72"/>
        <v>350900_2021_12_</v>
      </c>
      <c r="J665" s="2661">
        <v>12</v>
      </c>
      <c r="K665" s="569"/>
      <c r="L665" s="2893"/>
      <c r="M665" s="103"/>
      <c r="N665" s="1287"/>
      <c r="O665" s="103"/>
      <c r="P665" s="106"/>
      <c r="Q665" s="106"/>
      <c r="R665" s="106"/>
      <c r="S665" s="106"/>
      <c r="T665" s="106"/>
      <c r="U665" s="106"/>
      <c r="V665" s="4022"/>
      <c r="W665" s="596">
        <v>12</v>
      </c>
      <c r="X665" s="596">
        <v>12</v>
      </c>
      <c r="Y665" s="596">
        <v>12</v>
      </c>
      <c r="Z665" s="596">
        <v>12</v>
      </c>
      <c r="AA665" s="596">
        <v>12</v>
      </c>
      <c r="AB665" s="596">
        <v>12</v>
      </c>
      <c r="AC665" s="2894">
        <v>12</v>
      </c>
      <c r="AD665" s="2661">
        <v>12</v>
      </c>
      <c r="AE665" s="596"/>
      <c r="AF665" s="596"/>
      <c r="AG665" s="596"/>
      <c r="AH665" s="156"/>
      <c r="AI665" s="156"/>
      <c r="AJ665" s="156"/>
      <c r="AK665" s="156"/>
      <c r="AL665" s="156"/>
      <c r="AM665" s="156"/>
      <c r="AN665" s="156"/>
      <c r="AO665" s="156"/>
      <c r="AP665" s="156"/>
      <c r="AQ665" s="156"/>
      <c r="AR665" s="156"/>
      <c r="AS665" s="156"/>
      <c r="AT665" s="156"/>
      <c r="AU665" s="156"/>
      <c r="AV665" s="156"/>
      <c r="AW665" s="156"/>
      <c r="AX665" s="156"/>
      <c r="AY665" s="156"/>
      <c r="AZ665" s="156"/>
      <c r="BA665" s="156"/>
      <c r="BB665" s="2890"/>
      <c r="BC665" s="504"/>
      <c r="BD665" s="2829"/>
      <c r="BE665" s="2837"/>
      <c r="BF665" s="156"/>
    </row>
    <row r="666" spans="1:58" ht="14.5" hidden="1" customHeight="1" outlineLevel="1" x14ac:dyDescent="0.35">
      <c r="A666" s="1071"/>
      <c r="B666" s="106"/>
      <c r="C666" s="103"/>
      <c r="D666" s="4022"/>
      <c r="E666" s="4111"/>
      <c r="F666" s="3931" t="str">
        <f t="shared" si="71"/>
        <v>CAC-SEER16_ER1_MF_CompE</v>
      </c>
      <c r="G666" s="3932"/>
      <c r="H666" s="3933"/>
      <c r="I666" s="2657" t="str">
        <f t="shared" si="72"/>
        <v>350901_2021_12_</v>
      </c>
      <c r="J666" s="2661">
        <v>6</v>
      </c>
      <c r="K666" s="569"/>
      <c r="L666" s="2893"/>
      <c r="M666" s="103"/>
      <c r="N666" s="1287"/>
      <c r="O666" s="103"/>
      <c r="P666" s="106"/>
      <c r="Q666" s="106"/>
      <c r="R666" s="106"/>
      <c r="S666" s="106"/>
      <c r="T666" s="106"/>
      <c r="U666" s="106"/>
      <c r="V666" s="4022"/>
      <c r="W666" s="596"/>
      <c r="X666" s="596"/>
      <c r="Y666" s="596">
        <v>6</v>
      </c>
      <c r="Z666" s="596">
        <v>6</v>
      </c>
      <c r="AA666" s="596">
        <v>6</v>
      </c>
      <c r="AB666" s="596">
        <v>6</v>
      </c>
      <c r="AC666" s="2894">
        <v>6</v>
      </c>
      <c r="AD666" s="2661">
        <v>6</v>
      </c>
      <c r="AE666" s="596"/>
      <c r="AF666" s="596"/>
      <c r="AG666" s="596"/>
      <c r="AH666" s="156"/>
      <c r="AI666" s="156"/>
      <c r="AJ666" s="156"/>
      <c r="AK666" s="156"/>
      <c r="AL666" s="156"/>
      <c r="AM666" s="156"/>
      <c r="AN666" s="156"/>
      <c r="AO666" s="156"/>
      <c r="AP666" s="156"/>
      <c r="AQ666" s="156"/>
      <c r="AR666" s="156"/>
      <c r="AS666" s="156"/>
      <c r="AT666" s="156"/>
      <c r="AU666" s="156"/>
      <c r="AV666" s="156"/>
      <c r="AW666" s="156"/>
      <c r="AX666" s="156"/>
      <c r="AY666" s="156"/>
      <c r="AZ666" s="156"/>
      <c r="BA666" s="156"/>
      <c r="BB666" s="2890"/>
      <c r="BC666" s="504"/>
      <c r="BD666" s="2829"/>
      <c r="BE666" s="2837"/>
      <c r="BF666" s="156"/>
    </row>
    <row r="667" spans="1:58" ht="14.5" hidden="1" customHeight="1" outlineLevel="1" x14ac:dyDescent="0.35">
      <c r="A667" s="1071"/>
      <c r="B667" s="106"/>
      <c r="C667" s="103"/>
      <c r="D667" s="4022"/>
      <c r="E667" s="4111"/>
      <c r="F667" s="3931" t="str">
        <f t="shared" si="71"/>
        <v>CAC-SEER16_ER2_MF_CompE</v>
      </c>
      <c r="G667" s="3932"/>
      <c r="H667" s="3933"/>
      <c r="I667" s="2657" t="str">
        <f t="shared" si="72"/>
        <v>350901_2021_12_</v>
      </c>
      <c r="J667" s="2661">
        <v>12</v>
      </c>
      <c r="K667" s="569"/>
      <c r="L667" s="2893"/>
      <c r="M667" s="103"/>
      <c r="N667" s="1287"/>
      <c r="O667" s="103"/>
      <c r="P667" s="106"/>
      <c r="Q667" s="106"/>
      <c r="R667" s="106"/>
      <c r="S667" s="106"/>
      <c r="T667" s="106"/>
      <c r="U667" s="106"/>
      <c r="V667" s="4022"/>
      <c r="W667" s="596"/>
      <c r="X667" s="596"/>
      <c r="Y667" s="596">
        <v>12</v>
      </c>
      <c r="Z667" s="596">
        <v>12</v>
      </c>
      <c r="AA667" s="596">
        <v>12</v>
      </c>
      <c r="AB667" s="596">
        <v>12</v>
      </c>
      <c r="AC667" s="2894">
        <v>12</v>
      </c>
      <c r="AD667" s="2661">
        <v>12</v>
      </c>
      <c r="AE667" s="596"/>
      <c r="AF667" s="596"/>
      <c r="AG667" s="596"/>
      <c r="AH667" s="156"/>
      <c r="AI667" s="156"/>
      <c r="AJ667" s="156"/>
      <c r="AK667" s="156"/>
      <c r="AL667" s="156"/>
      <c r="AM667" s="156"/>
      <c r="AN667" s="156"/>
      <c r="AO667" s="156"/>
      <c r="AP667" s="156"/>
      <c r="AQ667" s="156"/>
      <c r="AR667" s="156"/>
      <c r="AS667" s="156"/>
      <c r="AT667" s="156"/>
      <c r="AU667" s="156"/>
      <c r="AV667" s="156"/>
      <c r="AW667" s="156"/>
      <c r="AX667" s="156"/>
      <c r="AY667" s="156"/>
      <c r="AZ667" s="156"/>
      <c r="BA667" s="156"/>
      <c r="BB667" s="2890"/>
      <c r="BC667" s="504"/>
      <c r="BD667" s="2829"/>
      <c r="BE667" s="2837"/>
      <c r="BF667" s="156"/>
    </row>
    <row r="668" spans="1:58" ht="14.5" hidden="1" customHeight="1" outlineLevel="1" x14ac:dyDescent="0.35">
      <c r="A668" s="1071"/>
      <c r="B668" s="106"/>
      <c r="C668" s="103"/>
      <c r="D668" s="4022"/>
      <c r="E668" s="4111"/>
      <c r="F668" s="3931" t="str">
        <f t="shared" si="71"/>
        <v>CAC-SEER16_ROF_MF</v>
      </c>
      <c r="G668" s="3932"/>
      <c r="H668" s="3933"/>
      <c r="I668" s="2657" t="str">
        <f t="shared" si="72"/>
        <v>350950_2021_12_</v>
      </c>
      <c r="J668" s="2661">
        <v>18</v>
      </c>
      <c r="K668" s="569"/>
      <c r="L668" s="2893"/>
      <c r="M668" s="103"/>
      <c r="N668" s="1287"/>
      <c r="O668" s="103"/>
      <c r="P668" s="106"/>
      <c r="Q668" s="106"/>
      <c r="R668" s="106"/>
      <c r="S668" s="106"/>
      <c r="T668" s="106"/>
      <c r="U668" s="106"/>
      <c r="V668" s="4022"/>
      <c r="W668" s="596">
        <v>18</v>
      </c>
      <c r="X668" s="596">
        <v>18</v>
      </c>
      <c r="Y668" s="596">
        <v>18</v>
      </c>
      <c r="Z668" s="596">
        <v>18</v>
      </c>
      <c r="AA668" s="596">
        <v>18</v>
      </c>
      <c r="AB668" s="596">
        <v>18</v>
      </c>
      <c r="AC668" s="2894">
        <v>18</v>
      </c>
      <c r="AD668" s="2661">
        <v>18</v>
      </c>
      <c r="AE668" s="596"/>
      <c r="AF668" s="596"/>
      <c r="AG668" s="596"/>
      <c r="AH668" s="156"/>
      <c r="AI668" s="156"/>
      <c r="AJ668" s="156"/>
      <c r="AK668" s="156"/>
      <c r="AL668" s="156"/>
      <c r="AM668" s="156"/>
      <c r="AN668" s="156"/>
      <c r="AO668" s="156"/>
      <c r="AP668" s="156"/>
      <c r="AQ668" s="156"/>
      <c r="AR668" s="156"/>
      <c r="AS668" s="156"/>
      <c r="AT668" s="156"/>
      <c r="AU668" s="156"/>
      <c r="AV668" s="156"/>
      <c r="AW668" s="156"/>
      <c r="AX668" s="156"/>
      <c r="AY668" s="156"/>
      <c r="AZ668" s="156"/>
      <c r="BA668" s="156"/>
      <c r="BB668" s="2890"/>
      <c r="BC668" s="504"/>
      <c r="BD668" s="2829"/>
      <c r="BE668" s="2837"/>
      <c r="BF668" s="156"/>
    </row>
    <row r="669" spans="1:58" ht="14.5" hidden="1" customHeight="1" outlineLevel="1" x14ac:dyDescent="0.35">
      <c r="A669" s="1071"/>
      <c r="B669" s="106"/>
      <c r="C669" s="103"/>
      <c r="D669" s="4022"/>
      <c r="E669" s="4111"/>
      <c r="F669" s="3931" t="str">
        <f t="shared" si="71"/>
        <v>CAC-SEER16_ROF_MF_CompE</v>
      </c>
      <c r="G669" s="3932"/>
      <c r="H669" s="3933"/>
      <c r="I669" s="2657" t="str">
        <f t="shared" si="72"/>
        <v>350951_2021_12_</v>
      </c>
      <c r="J669" s="2661">
        <v>18</v>
      </c>
      <c r="K669" s="569"/>
      <c r="L669" s="2893"/>
      <c r="M669" s="103"/>
      <c r="N669" s="1287"/>
      <c r="O669" s="103"/>
      <c r="P669" s="106"/>
      <c r="Q669" s="106"/>
      <c r="R669" s="106"/>
      <c r="S669" s="106"/>
      <c r="T669" s="106"/>
      <c r="U669" s="106"/>
      <c r="V669" s="4022"/>
      <c r="W669" s="596"/>
      <c r="X669" s="596"/>
      <c r="Y669" s="596">
        <v>18</v>
      </c>
      <c r="Z669" s="596">
        <v>18</v>
      </c>
      <c r="AA669" s="596">
        <v>18</v>
      </c>
      <c r="AB669" s="596">
        <v>18</v>
      </c>
      <c r="AC669" s="2894">
        <v>18</v>
      </c>
      <c r="AD669" s="2661">
        <v>18</v>
      </c>
      <c r="AE669" s="596"/>
      <c r="AF669" s="596"/>
      <c r="AG669" s="596"/>
      <c r="AH669" s="156"/>
      <c r="AI669" s="156"/>
      <c r="AJ669" s="156"/>
      <c r="AK669" s="156"/>
      <c r="AL669" s="156"/>
      <c r="AM669" s="156"/>
      <c r="AN669" s="156"/>
      <c r="AO669" s="156"/>
      <c r="AP669" s="156"/>
      <c r="AQ669" s="156"/>
      <c r="AR669" s="156"/>
      <c r="AS669" s="156"/>
      <c r="AT669" s="156"/>
      <c r="AU669" s="156"/>
      <c r="AV669" s="156"/>
      <c r="AW669" s="156"/>
      <c r="AX669" s="156"/>
      <c r="AY669" s="156"/>
      <c r="AZ669" s="156"/>
      <c r="BA669" s="156"/>
      <c r="BB669" s="2890"/>
      <c r="BC669" s="504"/>
      <c r="BD669" s="2829"/>
      <c r="BE669" s="2837"/>
      <c r="BF669" s="156"/>
    </row>
    <row r="670" spans="1:58" ht="14.5" hidden="1" customHeight="1" outlineLevel="1" x14ac:dyDescent="0.35">
      <c r="A670" s="1071"/>
      <c r="B670" s="106"/>
      <c r="C670" s="103"/>
      <c r="D670" s="4022"/>
      <c r="E670" s="4111"/>
      <c r="F670" s="3931" t="str">
        <f t="shared" si="71"/>
        <v>CAC-SEER17_ER1_SF</v>
      </c>
      <c r="G670" s="3932"/>
      <c r="H670" s="3933"/>
      <c r="I670" s="2657" t="str">
        <f t="shared" si="72"/>
        <v>351000_2021_12_</v>
      </c>
      <c r="J670" s="2661">
        <v>6</v>
      </c>
      <c r="K670" s="569"/>
      <c r="L670" s="2893"/>
      <c r="M670" s="103"/>
      <c r="N670" s="1287"/>
      <c r="O670" s="103"/>
      <c r="P670" s="106"/>
      <c r="Q670" s="106"/>
      <c r="R670" s="106"/>
      <c r="S670" s="106"/>
      <c r="T670" s="106"/>
      <c r="U670" s="106"/>
      <c r="V670" s="4022"/>
      <c r="W670" s="596">
        <v>6</v>
      </c>
      <c r="X670" s="596">
        <v>6</v>
      </c>
      <c r="Y670" s="596">
        <v>6</v>
      </c>
      <c r="Z670" s="596">
        <v>6</v>
      </c>
      <c r="AA670" s="596">
        <v>6</v>
      </c>
      <c r="AB670" s="596">
        <v>6</v>
      </c>
      <c r="AC670" s="2894">
        <v>6</v>
      </c>
      <c r="AD670" s="2661">
        <v>6</v>
      </c>
      <c r="AE670" s="596"/>
      <c r="AF670" s="596"/>
      <c r="AG670" s="596"/>
      <c r="AH670" s="156"/>
      <c r="AI670" s="156"/>
      <c r="AJ670" s="156"/>
      <c r="AK670" s="156"/>
      <c r="AL670" s="156"/>
      <c r="AM670" s="156"/>
      <c r="AN670" s="156"/>
      <c r="AO670" s="156"/>
      <c r="AP670" s="156"/>
      <c r="AQ670" s="156"/>
      <c r="AR670" s="156"/>
      <c r="AS670" s="156"/>
      <c r="AT670" s="156"/>
      <c r="AU670" s="156"/>
      <c r="AV670" s="156"/>
      <c r="AW670" s="156"/>
      <c r="AX670" s="156"/>
      <c r="AY670" s="156"/>
      <c r="AZ670" s="156"/>
      <c r="BA670" s="156"/>
      <c r="BB670" s="2890"/>
      <c r="BC670" s="504"/>
      <c r="BD670" s="2829"/>
      <c r="BE670" s="2837"/>
      <c r="BF670" s="156"/>
    </row>
    <row r="671" spans="1:58" ht="14.5" hidden="1" customHeight="1" outlineLevel="1" x14ac:dyDescent="0.35">
      <c r="A671" s="1071"/>
      <c r="B671" s="106"/>
      <c r="C671" s="103"/>
      <c r="D671" s="4022"/>
      <c r="E671" s="4111"/>
      <c r="F671" s="3931" t="str">
        <f t="shared" si="71"/>
        <v>CAC-SEER17_ER2_SF</v>
      </c>
      <c r="G671" s="3932"/>
      <c r="H671" s="3933"/>
      <c r="I671" s="2657" t="str">
        <f t="shared" si="72"/>
        <v>351000_2021_12_</v>
      </c>
      <c r="J671" s="2661">
        <v>12</v>
      </c>
      <c r="K671" s="569"/>
      <c r="L671" s="2893"/>
      <c r="M671" s="103"/>
      <c r="N671" s="1287"/>
      <c r="O671" s="103"/>
      <c r="P671" s="106"/>
      <c r="Q671" s="106"/>
      <c r="R671" s="106"/>
      <c r="S671" s="106"/>
      <c r="T671" s="106"/>
      <c r="U671" s="106"/>
      <c r="V671" s="4022"/>
      <c r="W671" s="596">
        <v>12</v>
      </c>
      <c r="X671" s="596">
        <v>12</v>
      </c>
      <c r="Y671" s="596">
        <v>12</v>
      </c>
      <c r="Z671" s="596">
        <v>12</v>
      </c>
      <c r="AA671" s="596">
        <v>12</v>
      </c>
      <c r="AB671" s="596">
        <v>12</v>
      </c>
      <c r="AC671" s="2894">
        <v>12</v>
      </c>
      <c r="AD671" s="2661">
        <v>12</v>
      </c>
      <c r="AE671" s="596"/>
      <c r="AF671" s="596"/>
      <c r="AG671" s="596"/>
      <c r="AH671" s="156"/>
      <c r="AI671" s="156"/>
      <c r="AJ671" s="156"/>
      <c r="AK671" s="156"/>
      <c r="AL671" s="156"/>
      <c r="AM671" s="156"/>
      <c r="AN671" s="156"/>
      <c r="AO671" s="156"/>
      <c r="AP671" s="156"/>
      <c r="AQ671" s="156"/>
      <c r="AR671" s="156"/>
      <c r="AS671" s="156"/>
      <c r="AT671" s="156"/>
      <c r="AU671" s="156"/>
      <c r="AV671" s="156"/>
      <c r="AW671" s="156"/>
      <c r="AX671" s="156"/>
      <c r="AY671" s="156"/>
      <c r="AZ671" s="156"/>
      <c r="BA671" s="156"/>
      <c r="BB671" s="2890"/>
      <c r="BC671" s="504"/>
      <c r="BD671" s="2829"/>
      <c r="BE671" s="2837"/>
      <c r="BF671" s="156"/>
    </row>
    <row r="672" spans="1:58" ht="14.5" hidden="1" customHeight="1" outlineLevel="1" x14ac:dyDescent="0.35">
      <c r="A672" s="1071"/>
      <c r="B672" s="106"/>
      <c r="C672" s="103"/>
      <c r="D672" s="4022"/>
      <c r="E672" s="4111"/>
      <c r="F672" s="3931" t="str">
        <f t="shared" si="71"/>
        <v>CAC-SEER17_ROF_SF</v>
      </c>
      <c r="G672" s="3932"/>
      <c r="H672" s="3933"/>
      <c r="I672" s="2657" t="str">
        <f t="shared" si="72"/>
        <v>351050_2021_12_</v>
      </c>
      <c r="J672" s="2661">
        <v>18</v>
      </c>
      <c r="K672" s="569"/>
      <c r="L672" s="2893"/>
      <c r="M672" s="103"/>
      <c r="N672" s="1287"/>
      <c r="O672" s="103"/>
      <c r="P672" s="106"/>
      <c r="Q672" s="106"/>
      <c r="R672" s="106"/>
      <c r="S672" s="106"/>
      <c r="T672" s="106"/>
      <c r="U672" s="106"/>
      <c r="V672" s="4022"/>
      <c r="W672" s="596">
        <v>18</v>
      </c>
      <c r="X672" s="596">
        <v>18</v>
      </c>
      <c r="Y672" s="596">
        <v>18</v>
      </c>
      <c r="Z672" s="596">
        <v>18</v>
      </c>
      <c r="AA672" s="596">
        <v>18</v>
      </c>
      <c r="AB672" s="596">
        <v>18</v>
      </c>
      <c r="AC672" s="2894">
        <v>18</v>
      </c>
      <c r="AD672" s="2661">
        <v>18</v>
      </c>
      <c r="AE672" s="596"/>
      <c r="AF672" s="596"/>
      <c r="AG672" s="596"/>
      <c r="AH672" s="156"/>
      <c r="AI672" s="156"/>
      <c r="AJ672" s="156"/>
      <c r="AK672" s="156"/>
      <c r="AL672" s="156"/>
      <c r="AM672" s="156"/>
      <c r="AN672" s="156"/>
      <c r="AO672" s="156"/>
      <c r="AP672" s="156"/>
      <c r="AQ672" s="156"/>
      <c r="AR672" s="156"/>
      <c r="AS672" s="156"/>
      <c r="AT672" s="156"/>
      <c r="AU672" s="156"/>
      <c r="AV672" s="156"/>
      <c r="AW672" s="156"/>
      <c r="AX672" s="156"/>
      <c r="AY672" s="156"/>
      <c r="AZ672" s="156"/>
      <c r="BA672" s="156"/>
      <c r="BB672" s="2890"/>
      <c r="BC672" s="504"/>
      <c r="BD672" s="2829"/>
      <c r="BE672" s="2837"/>
      <c r="BF672" s="156"/>
    </row>
    <row r="673" spans="1:58" ht="14.5" hidden="1" customHeight="1" outlineLevel="1" x14ac:dyDescent="0.35">
      <c r="A673" s="1071"/>
      <c r="B673" s="106"/>
      <c r="C673" s="103"/>
      <c r="D673" s="4022"/>
      <c r="E673" s="4111"/>
      <c r="F673" s="3931" t="str">
        <f t="shared" si="71"/>
        <v>CAC-SEER17_ER1_MF</v>
      </c>
      <c r="G673" s="3932"/>
      <c r="H673" s="3933"/>
      <c r="I673" s="2657" t="str">
        <f t="shared" si="72"/>
        <v>351100_2021_12_</v>
      </c>
      <c r="J673" s="2661">
        <v>6</v>
      </c>
      <c r="K673" s="569"/>
      <c r="L673" s="2893"/>
      <c r="M673" s="103"/>
      <c r="N673" s="1287"/>
      <c r="O673" s="103"/>
      <c r="P673" s="106"/>
      <c r="Q673" s="106"/>
      <c r="R673" s="106"/>
      <c r="S673" s="106"/>
      <c r="T673" s="106"/>
      <c r="U673" s="106"/>
      <c r="V673" s="4022"/>
      <c r="W673" s="596">
        <v>6</v>
      </c>
      <c r="X673" s="596">
        <v>6</v>
      </c>
      <c r="Y673" s="596">
        <v>6</v>
      </c>
      <c r="Z673" s="596">
        <v>6</v>
      </c>
      <c r="AA673" s="596">
        <v>6</v>
      </c>
      <c r="AB673" s="596">
        <v>6</v>
      </c>
      <c r="AC673" s="2894">
        <v>6</v>
      </c>
      <c r="AD673" s="2661">
        <v>6</v>
      </c>
      <c r="AE673" s="596"/>
      <c r="AF673" s="596"/>
      <c r="AG673" s="596"/>
      <c r="AH673" s="156"/>
      <c r="AI673" s="156"/>
      <c r="AJ673" s="156"/>
      <c r="AK673" s="156"/>
      <c r="AL673" s="156"/>
      <c r="AM673" s="156"/>
      <c r="AN673" s="156"/>
      <c r="AO673" s="156"/>
      <c r="AP673" s="156"/>
      <c r="AQ673" s="156"/>
      <c r="AR673" s="156"/>
      <c r="AS673" s="156"/>
      <c r="AT673" s="156"/>
      <c r="AU673" s="156"/>
      <c r="AV673" s="156"/>
      <c r="AW673" s="156"/>
      <c r="AX673" s="156"/>
      <c r="AY673" s="156"/>
      <c r="AZ673" s="156"/>
      <c r="BA673" s="156"/>
      <c r="BB673" s="2890"/>
      <c r="BC673" s="504"/>
      <c r="BD673" s="2829"/>
      <c r="BE673" s="2837"/>
      <c r="BF673" s="156"/>
    </row>
    <row r="674" spans="1:58" ht="14.5" hidden="1" customHeight="1" outlineLevel="1" x14ac:dyDescent="0.35">
      <c r="A674" s="1071"/>
      <c r="B674" s="106"/>
      <c r="C674" s="103"/>
      <c r="D674" s="4022"/>
      <c r="E674" s="4111"/>
      <c r="F674" s="3931" t="str">
        <f t="shared" si="71"/>
        <v>CAC-SEER17_ER2_MF</v>
      </c>
      <c r="G674" s="3932"/>
      <c r="H674" s="3933"/>
      <c r="I674" s="2657" t="str">
        <f t="shared" si="72"/>
        <v>351100_2021_12_</v>
      </c>
      <c r="J674" s="2661">
        <v>12</v>
      </c>
      <c r="K674" s="569"/>
      <c r="L674" s="2893"/>
      <c r="M674" s="103"/>
      <c r="N674" s="1287"/>
      <c r="O674" s="103"/>
      <c r="P674" s="106"/>
      <c r="Q674" s="106"/>
      <c r="R674" s="106"/>
      <c r="S674" s="106"/>
      <c r="T674" s="106"/>
      <c r="U674" s="106"/>
      <c r="V674" s="4022"/>
      <c r="W674" s="596">
        <v>12</v>
      </c>
      <c r="X674" s="596">
        <v>12</v>
      </c>
      <c r="Y674" s="596">
        <v>12</v>
      </c>
      <c r="Z674" s="596">
        <v>12</v>
      </c>
      <c r="AA674" s="596">
        <v>12</v>
      </c>
      <c r="AB674" s="596">
        <v>12</v>
      </c>
      <c r="AC674" s="2894">
        <v>12</v>
      </c>
      <c r="AD674" s="2661">
        <v>12</v>
      </c>
      <c r="AE674" s="596"/>
      <c r="AF674" s="596"/>
      <c r="AG674" s="596"/>
      <c r="AH674" s="156"/>
      <c r="AI674" s="156"/>
      <c r="AJ674" s="156"/>
      <c r="AK674" s="156"/>
      <c r="AL674" s="156"/>
      <c r="AM674" s="156"/>
      <c r="AN674" s="156"/>
      <c r="AO674" s="156"/>
      <c r="AP674" s="156"/>
      <c r="AQ674" s="156"/>
      <c r="AR674" s="156"/>
      <c r="AS674" s="156"/>
      <c r="AT674" s="156"/>
      <c r="AU674" s="156"/>
      <c r="AV674" s="156"/>
      <c r="AW674" s="156"/>
      <c r="AX674" s="156"/>
      <c r="AY674" s="156"/>
      <c r="AZ674" s="156"/>
      <c r="BA674" s="156"/>
      <c r="BB674" s="2890"/>
      <c r="BC674" s="504"/>
      <c r="BD674" s="2829"/>
      <c r="BE674" s="2837"/>
      <c r="BF674" s="156"/>
    </row>
    <row r="675" spans="1:58" ht="14.5" hidden="1" customHeight="1" outlineLevel="1" x14ac:dyDescent="0.35">
      <c r="A675" s="1071"/>
      <c r="B675" s="106"/>
      <c r="C675" s="103"/>
      <c r="D675" s="4022"/>
      <c r="E675" s="4111"/>
      <c r="F675" s="3931" t="str">
        <f t="shared" ref="F675:F706" si="73">F602</f>
        <v>CAC-SEER17_ER1_MF_CompE</v>
      </c>
      <c r="G675" s="3932"/>
      <c r="H675" s="3933"/>
      <c r="I675" s="590" t="str">
        <f t="shared" si="72"/>
        <v>351101_2021_12_</v>
      </c>
      <c r="J675" s="2661">
        <v>6</v>
      </c>
      <c r="K675" s="2049"/>
      <c r="L675" s="2895"/>
      <c r="M675" s="103"/>
      <c r="N675" s="1287"/>
      <c r="O675" s="103"/>
      <c r="P675" s="106"/>
      <c r="Q675" s="106"/>
      <c r="R675" s="106"/>
      <c r="S675" s="106"/>
      <c r="T675" s="106"/>
      <c r="U675" s="106"/>
      <c r="V675" s="4022"/>
      <c r="W675" s="598"/>
      <c r="X675" s="598"/>
      <c r="Y675" s="598">
        <v>6</v>
      </c>
      <c r="Z675" s="598">
        <v>6</v>
      </c>
      <c r="AA675" s="598">
        <v>6</v>
      </c>
      <c r="AB675" s="598">
        <v>6</v>
      </c>
      <c r="AC675" s="2894">
        <v>6</v>
      </c>
      <c r="AD675" s="2661">
        <v>6</v>
      </c>
      <c r="AE675" s="598"/>
      <c r="AF675" s="598"/>
      <c r="AG675" s="598"/>
      <c r="AH675" s="156"/>
      <c r="AI675" s="156"/>
      <c r="AJ675" s="156"/>
      <c r="AK675" s="156"/>
      <c r="AL675" s="156"/>
      <c r="AM675" s="156"/>
      <c r="AN675" s="156"/>
      <c r="AO675" s="156"/>
      <c r="AP675" s="156"/>
      <c r="AQ675" s="156"/>
      <c r="AR675" s="156"/>
      <c r="AS675" s="156"/>
      <c r="AT675" s="156"/>
      <c r="AU675" s="156"/>
      <c r="AV675" s="156"/>
      <c r="AW675" s="156"/>
      <c r="AX675" s="156"/>
      <c r="AY675" s="156"/>
      <c r="AZ675" s="156"/>
      <c r="BA675" s="156"/>
      <c r="BB675" s="2890"/>
      <c r="BC675" s="504"/>
      <c r="BD675" s="2829"/>
      <c r="BE675" s="2837"/>
      <c r="BF675" s="156"/>
    </row>
    <row r="676" spans="1:58" ht="14.5" hidden="1" customHeight="1" outlineLevel="1" x14ac:dyDescent="0.35">
      <c r="A676" s="1071"/>
      <c r="B676" s="106"/>
      <c r="C676" s="103"/>
      <c r="D676" s="4022"/>
      <c r="E676" s="4111"/>
      <c r="F676" s="3931" t="str">
        <f t="shared" si="73"/>
        <v>CAC-SEER17_ER2_MF_CompE</v>
      </c>
      <c r="G676" s="3932"/>
      <c r="H676" s="3933"/>
      <c r="I676" s="590" t="str">
        <f t="shared" si="72"/>
        <v>351101_2021_12_</v>
      </c>
      <c r="J676" s="2661">
        <v>12</v>
      </c>
      <c r="K676" s="2049"/>
      <c r="L676" s="2895"/>
      <c r="M676" s="103"/>
      <c r="N676" s="1287"/>
      <c r="O676" s="103"/>
      <c r="P676" s="106"/>
      <c r="Q676" s="106"/>
      <c r="R676" s="106"/>
      <c r="S676" s="106"/>
      <c r="T676" s="106"/>
      <c r="U676" s="106"/>
      <c r="V676" s="4022"/>
      <c r="W676" s="598"/>
      <c r="X676" s="598"/>
      <c r="Y676" s="598">
        <v>12</v>
      </c>
      <c r="Z676" s="598">
        <v>12</v>
      </c>
      <c r="AA676" s="598">
        <v>12</v>
      </c>
      <c r="AB676" s="598">
        <v>12</v>
      </c>
      <c r="AC676" s="2894">
        <v>12</v>
      </c>
      <c r="AD676" s="2661">
        <v>12</v>
      </c>
      <c r="AE676" s="598"/>
      <c r="AF676" s="598"/>
      <c r="AG676" s="598"/>
      <c r="AH676" s="156"/>
      <c r="AI676" s="156"/>
      <c r="AJ676" s="156"/>
      <c r="AK676" s="156"/>
      <c r="AL676" s="156"/>
      <c r="AM676" s="156"/>
      <c r="AN676" s="156"/>
      <c r="AO676" s="156"/>
      <c r="AP676" s="156"/>
      <c r="AQ676" s="156"/>
      <c r="AR676" s="156"/>
      <c r="AS676" s="156"/>
      <c r="AT676" s="156"/>
      <c r="AU676" s="156"/>
      <c r="AV676" s="156"/>
      <c r="AW676" s="156"/>
      <c r="AX676" s="156"/>
      <c r="AY676" s="156"/>
      <c r="AZ676" s="156"/>
      <c r="BA676" s="156"/>
      <c r="BB676" s="2890"/>
      <c r="BC676" s="504"/>
      <c r="BD676" s="2829"/>
      <c r="BE676" s="2837"/>
      <c r="BF676" s="156"/>
    </row>
    <row r="677" spans="1:58" ht="14.5" hidden="1" customHeight="1" outlineLevel="1" x14ac:dyDescent="0.35">
      <c r="A677" s="1071"/>
      <c r="B677" s="106"/>
      <c r="C677" s="103"/>
      <c r="D677" s="4022"/>
      <c r="E677" s="4111"/>
      <c r="F677" s="3931" t="str">
        <f t="shared" si="73"/>
        <v>CAC-SEER17_ROF_MF</v>
      </c>
      <c r="G677" s="3932"/>
      <c r="H677" s="3933"/>
      <c r="I677" s="2657" t="str">
        <f t="shared" si="72"/>
        <v>351150_2021_12_</v>
      </c>
      <c r="J677" s="2661">
        <v>18</v>
      </c>
      <c r="K677" s="569"/>
      <c r="L677" s="2893"/>
      <c r="M677" s="103"/>
      <c r="N677" s="1287"/>
      <c r="O677" s="103"/>
      <c r="P677" s="106"/>
      <c r="Q677" s="106"/>
      <c r="R677" s="106"/>
      <c r="S677" s="106"/>
      <c r="T677" s="106"/>
      <c r="U677" s="106"/>
      <c r="V677" s="4022"/>
      <c r="W677" s="598">
        <v>18</v>
      </c>
      <c r="X677" s="598">
        <v>18</v>
      </c>
      <c r="Y677" s="598">
        <v>18</v>
      </c>
      <c r="Z677" s="598">
        <v>18</v>
      </c>
      <c r="AA677" s="598">
        <v>18</v>
      </c>
      <c r="AB677" s="598">
        <v>18</v>
      </c>
      <c r="AC677" s="2894">
        <v>18</v>
      </c>
      <c r="AD677" s="2661">
        <v>18</v>
      </c>
      <c r="AE677" s="598"/>
      <c r="AF677" s="598"/>
      <c r="AG677" s="598"/>
      <c r="AH677" s="156"/>
      <c r="AI677" s="156"/>
      <c r="AJ677" s="156"/>
      <c r="AK677" s="156"/>
      <c r="AL677" s="156"/>
      <c r="AM677" s="156"/>
      <c r="AN677" s="156"/>
      <c r="AO677" s="156"/>
      <c r="AP677" s="156"/>
      <c r="AQ677" s="156"/>
      <c r="AR677" s="156"/>
      <c r="AS677" s="156"/>
      <c r="AT677" s="156"/>
      <c r="AU677" s="156"/>
      <c r="AV677" s="156"/>
      <c r="AW677" s="156"/>
      <c r="AX677" s="156"/>
      <c r="AY677" s="156"/>
      <c r="AZ677" s="156"/>
      <c r="BA677" s="156"/>
      <c r="BB677" s="2890"/>
      <c r="BC677" s="504"/>
      <c r="BD677" s="2829"/>
      <c r="BE677" s="2837"/>
      <c r="BF677" s="156"/>
    </row>
    <row r="678" spans="1:58" ht="14.5" hidden="1" customHeight="1" outlineLevel="1" x14ac:dyDescent="0.35">
      <c r="A678" s="1071"/>
      <c r="B678" s="106"/>
      <c r="C678" s="103"/>
      <c r="D678" s="4023"/>
      <c r="E678" s="3839"/>
      <c r="F678" s="3931" t="str">
        <f t="shared" si="73"/>
        <v>CAC-SEER17_ROF_MF_CompE</v>
      </c>
      <c r="G678" s="3932"/>
      <c r="H678" s="3933"/>
      <c r="I678" s="2657" t="str">
        <f t="shared" si="72"/>
        <v>351151_2021_12_</v>
      </c>
      <c r="J678" s="2661">
        <v>18</v>
      </c>
      <c r="K678" s="569"/>
      <c r="L678" s="2893"/>
      <c r="M678" s="103"/>
      <c r="N678" s="1287"/>
      <c r="O678" s="103"/>
      <c r="P678" s="106"/>
      <c r="Q678" s="106"/>
      <c r="R678" s="106"/>
      <c r="S678" s="106"/>
      <c r="T678" s="106"/>
      <c r="U678" s="106"/>
      <c r="V678" s="4023"/>
      <c r="W678" s="596"/>
      <c r="X678" s="596"/>
      <c r="Y678" s="596">
        <v>18</v>
      </c>
      <c r="Z678" s="596">
        <v>18</v>
      </c>
      <c r="AA678" s="596">
        <v>18</v>
      </c>
      <c r="AB678" s="596">
        <v>18</v>
      </c>
      <c r="AC678" s="2894">
        <v>18</v>
      </c>
      <c r="AD678" s="2661">
        <v>18</v>
      </c>
      <c r="AE678" s="596"/>
      <c r="AF678" s="596"/>
      <c r="AG678" s="596"/>
      <c r="AH678" s="156"/>
      <c r="AI678" s="156"/>
      <c r="AJ678" s="156"/>
      <c r="AK678" s="156"/>
      <c r="AL678" s="156"/>
      <c r="AM678" s="156"/>
      <c r="AN678" s="156"/>
      <c r="AO678" s="156"/>
      <c r="AP678" s="156"/>
      <c r="AQ678" s="156"/>
      <c r="AR678" s="156"/>
      <c r="AS678" s="156"/>
      <c r="AT678" s="156"/>
      <c r="AU678" s="156"/>
      <c r="AV678" s="156"/>
      <c r="AW678" s="156"/>
      <c r="AX678" s="156"/>
      <c r="AY678" s="156"/>
      <c r="AZ678" s="156"/>
      <c r="BA678" s="156"/>
      <c r="BB678" s="2890"/>
      <c r="BC678" s="504"/>
      <c r="BD678" s="2829"/>
      <c r="BE678" s="2837"/>
      <c r="BF678" s="156"/>
    </row>
    <row r="679" spans="1:58" ht="14.5" hidden="1" customHeight="1" outlineLevel="1" x14ac:dyDescent="0.35">
      <c r="A679" s="1071"/>
      <c r="B679" s="106"/>
      <c r="C679" s="103"/>
      <c r="D679" s="4140"/>
      <c r="E679" s="4138"/>
      <c r="F679" s="3931" t="str">
        <f t="shared" si="73"/>
        <v>CAC-SEER18_ER1_SF</v>
      </c>
      <c r="G679" s="3932"/>
      <c r="H679" s="3933"/>
      <c r="I679" s="2657" t="str">
        <f t="shared" si="72"/>
        <v>351160_2021_12_</v>
      </c>
      <c r="J679" s="2661">
        <v>6</v>
      </c>
      <c r="K679" s="569"/>
      <c r="L679" s="2893"/>
      <c r="M679" s="103"/>
      <c r="N679" s="1287"/>
      <c r="O679" s="103"/>
      <c r="P679" s="106"/>
      <c r="Q679" s="106"/>
      <c r="R679" s="106"/>
      <c r="S679" s="106"/>
      <c r="T679" s="106"/>
      <c r="U679" s="106"/>
      <c r="V679" s="4023"/>
      <c r="W679" s="1551"/>
      <c r="X679" s="1551"/>
      <c r="Y679" s="1551"/>
      <c r="Z679" s="1552">
        <v>6</v>
      </c>
      <c r="AA679" s="1551">
        <v>6</v>
      </c>
      <c r="AB679" s="1551">
        <v>6</v>
      </c>
      <c r="AC679" s="2894">
        <v>6</v>
      </c>
      <c r="AD679" s="2661">
        <v>6</v>
      </c>
      <c r="AE679" s="1551"/>
      <c r="AF679" s="1551"/>
      <c r="AG679" s="1551"/>
      <c r="AH679" s="156"/>
      <c r="AI679" s="156"/>
      <c r="AJ679" s="156"/>
      <c r="AK679" s="156"/>
      <c r="AL679" s="156"/>
      <c r="AM679" s="156"/>
      <c r="AN679" s="156"/>
      <c r="AO679" s="156"/>
      <c r="AP679" s="156"/>
      <c r="AQ679" s="156"/>
      <c r="AR679" s="156"/>
      <c r="AS679" s="156"/>
      <c r="AT679" s="156"/>
      <c r="AU679" s="156"/>
      <c r="AV679" s="156"/>
      <c r="AW679" s="156"/>
      <c r="AX679" s="156"/>
      <c r="AY679" s="156"/>
      <c r="AZ679" s="156"/>
      <c r="BA679" s="156"/>
      <c r="BB679" s="2890"/>
      <c r="BC679" s="504"/>
      <c r="BD679" s="2829"/>
      <c r="BE679" s="2837"/>
      <c r="BF679" s="156"/>
    </row>
    <row r="680" spans="1:58" ht="14.5" hidden="1" customHeight="1" outlineLevel="1" x14ac:dyDescent="0.35">
      <c r="A680" s="1071"/>
      <c r="B680" s="106"/>
      <c r="C680" s="103"/>
      <c r="D680" s="4140"/>
      <c r="E680" s="4138"/>
      <c r="F680" s="3931" t="str">
        <f t="shared" si="73"/>
        <v>CAC-SEER18_ER2_SF</v>
      </c>
      <c r="G680" s="3932"/>
      <c r="H680" s="3933"/>
      <c r="I680" s="2657" t="str">
        <f t="shared" si="72"/>
        <v>351160_2021_12_</v>
      </c>
      <c r="J680" s="2661">
        <v>12</v>
      </c>
      <c r="K680" s="569"/>
      <c r="L680" s="2893"/>
      <c r="M680" s="103"/>
      <c r="N680" s="1287"/>
      <c r="O680" s="103"/>
      <c r="P680" s="106"/>
      <c r="Q680" s="106"/>
      <c r="R680" s="106"/>
      <c r="S680" s="106"/>
      <c r="T680" s="106"/>
      <c r="U680" s="106"/>
      <c r="V680" s="4023"/>
      <c r="W680" s="596"/>
      <c r="X680" s="596"/>
      <c r="Y680" s="596"/>
      <c r="Z680" s="597">
        <v>12</v>
      </c>
      <c r="AA680" s="596">
        <v>12</v>
      </c>
      <c r="AB680" s="596">
        <v>12</v>
      </c>
      <c r="AC680" s="2894">
        <v>12</v>
      </c>
      <c r="AD680" s="2661">
        <v>12</v>
      </c>
      <c r="AE680" s="596"/>
      <c r="AF680" s="596"/>
      <c r="AG680" s="596"/>
      <c r="AH680" s="156"/>
      <c r="AI680" s="156"/>
      <c r="AJ680" s="156"/>
      <c r="AK680" s="156"/>
      <c r="AL680" s="156"/>
      <c r="AM680" s="156"/>
      <c r="AN680" s="156"/>
      <c r="AO680" s="156"/>
      <c r="AP680" s="156"/>
      <c r="AQ680" s="156"/>
      <c r="AR680" s="156"/>
      <c r="AS680" s="156"/>
      <c r="AT680" s="156"/>
      <c r="AU680" s="156"/>
      <c r="AV680" s="156"/>
      <c r="AW680" s="156"/>
      <c r="AX680" s="156"/>
      <c r="AY680" s="156"/>
      <c r="AZ680" s="156"/>
      <c r="BA680" s="156"/>
      <c r="BB680" s="2890"/>
      <c r="BC680" s="504"/>
      <c r="BD680" s="2829"/>
      <c r="BE680" s="2837"/>
      <c r="BF680" s="156"/>
    </row>
    <row r="681" spans="1:58" ht="14.5" hidden="1" customHeight="1" outlineLevel="1" x14ac:dyDescent="0.35">
      <c r="A681" s="1071"/>
      <c r="B681" s="106"/>
      <c r="C681" s="103"/>
      <c r="D681" s="4140"/>
      <c r="E681" s="4138"/>
      <c r="F681" s="3931" t="str">
        <f t="shared" si="73"/>
        <v>CAC-SEER18_ROF_SF</v>
      </c>
      <c r="G681" s="3932"/>
      <c r="H681" s="3933"/>
      <c r="I681" s="2657" t="str">
        <f t="shared" si="72"/>
        <v>351161_2021_12_</v>
      </c>
      <c r="J681" s="2661">
        <v>18</v>
      </c>
      <c r="K681" s="569"/>
      <c r="L681" s="2893"/>
      <c r="M681" s="103"/>
      <c r="N681" s="1287"/>
      <c r="O681" s="103"/>
      <c r="P681" s="106"/>
      <c r="Q681" s="106"/>
      <c r="R681" s="106"/>
      <c r="S681" s="106"/>
      <c r="T681" s="106"/>
      <c r="U681" s="106"/>
      <c r="V681" s="4023"/>
      <c r="W681" s="596"/>
      <c r="X681" s="596"/>
      <c r="Y681" s="596"/>
      <c r="Z681" s="597">
        <v>18</v>
      </c>
      <c r="AA681" s="596">
        <v>18</v>
      </c>
      <c r="AB681" s="596">
        <v>18</v>
      </c>
      <c r="AC681" s="2894">
        <v>18</v>
      </c>
      <c r="AD681" s="2661">
        <v>18</v>
      </c>
      <c r="AE681" s="596"/>
      <c r="AF681" s="596"/>
      <c r="AG681" s="596"/>
      <c r="AH681" s="156"/>
      <c r="AI681" s="156"/>
      <c r="AJ681" s="156"/>
      <c r="AK681" s="156"/>
      <c r="AL681" s="156"/>
      <c r="AM681" s="156"/>
      <c r="AN681" s="156"/>
      <c r="AO681" s="156"/>
      <c r="AP681" s="156"/>
      <c r="AQ681" s="156"/>
      <c r="AR681" s="156"/>
      <c r="AS681" s="156"/>
      <c r="AT681" s="156"/>
      <c r="AU681" s="156"/>
      <c r="AV681" s="156"/>
      <c r="AW681" s="156"/>
      <c r="AX681" s="156"/>
      <c r="AY681" s="156"/>
      <c r="AZ681" s="156"/>
      <c r="BA681" s="156"/>
      <c r="BB681" s="2890"/>
      <c r="BC681" s="504"/>
      <c r="BD681" s="2829"/>
      <c r="BE681" s="2837"/>
      <c r="BF681" s="156"/>
    </row>
    <row r="682" spans="1:58" ht="14.5" hidden="1" customHeight="1" outlineLevel="1" x14ac:dyDescent="0.35">
      <c r="A682" s="1071"/>
      <c r="B682" s="106"/>
      <c r="C682" s="103"/>
      <c r="D682" s="4140"/>
      <c r="E682" s="4138"/>
      <c r="F682" s="3931" t="str">
        <f t="shared" si="73"/>
        <v>CAC-SEER18_ER1_MF</v>
      </c>
      <c r="G682" s="3932"/>
      <c r="H682" s="3933"/>
      <c r="I682" s="2657" t="str">
        <f t="shared" si="72"/>
        <v>351162_2021_12_</v>
      </c>
      <c r="J682" s="2661">
        <v>6</v>
      </c>
      <c r="K682" s="569"/>
      <c r="L682" s="2893"/>
      <c r="M682" s="103"/>
      <c r="N682" s="1287"/>
      <c r="O682" s="103"/>
      <c r="P682" s="106"/>
      <c r="Q682" s="106"/>
      <c r="R682" s="106"/>
      <c r="S682" s="106"/>
      <c r="T682" s="106"/>
      <c r="U682" s="106"/>
      <c r="V682" s="4023"/>
      <c r="W682" s="596"/>
      <c r="X682" s="596"/>
      <c r="Y682" s="596"/>
      <c r="Z682" s="597">
        <v>6</v>
      </c>
      <c r="AA682" s="596">
        <v>6</v>
      </c>
      <c r="AB682" s="596">
        <v>6</v>
      </c>
      <c r="AC682" s="2894">
        <v>6</v>
      </c>
      <c r="AD682" s="2661">
        <v>6</v>
      </c>
      <c r="AE682" s="596"/>
      <c r="AF682" s="596"/>
      <c r="AG682" s="596"/>
      <c r="AH682" s="156"/>
      <c r="AI682" s="156"/>
      <c r="AJ682" s="156"/>
      <c r="AK682" s="156"/>
      <c r="AL682" s="156"/>
      <c r="AM682" s="156"/>
      <c r="AN682" s="156"/>
      <c r="AO682" s="156"/>
      <c r="AP682" s="156"/>
      <c r="AQ682" s="156"/>
      <c r="AR682" s="156"/>
      <c r="AS682" s="156"/>
      <c r="AT682" s="156"/>
      <c r="AU682" s="156"/>
      <c r="AV682" s="156"/>
      <c r="AW682" s="156"/>
      <c r="AX682" s="156"/>
      <c r="AY682" s="156"/>
      <c r="AZ682" s="156"/>
      <c r="BA682" s="156"/>
      <c r="BB682" s="2890"/>
      <c r="BC682" s="504"/>
      <c r="BD682" s="2829"/>
      <c r="BE682" s="2837"/>
      <c r="BF682" s="156"/>
    </row>
    <row r="683" spans="1:58" ht="14.5" hidden="1" customHeight="1" outlineLevel="1" x14ac:dyDescent="0.35">
      <c r="A683" s="1071"/>
      <c r="B683" s="106"/>
      <c r="C683" s="103"/>
      <c r="D683" s="4140"/>
      <c r="E683" s="4138"/>
      <c r="F683" s="3931" t="str">
        <f t="shared" si="73"/>
        <v>CAC-SEER18_ER2_MF</v>
      </c>
      <c r="G683" s="3932"/>
      <c r="H683" s="3933"/>
      <c r="I683" s="2657" t="str">
        <f t="shared" si="72"/>
        <v>351162_2021_12_</v>
      </c>
      <c r="J683" s="2661">
        <v>12</v>
      </c>
      <c r="K683" s="569"/>
      <c r="L683" s="2893"/>
      <c r="M683" s="103"/>
      <c r="N683" s="1287"/>
      <c r="O683" s="103"/>
      <c r="P683" s="106"/>
      <c r="Q683" s="106"/>
      <c r="R683" s="106"/>
      <c r="S683" s="106"/>
      <c r="T683" s="106"/>
      <c r="U683" s="106"/>
      <c r="V683" s="4023"/>
      <c r="W683" s="596"/>
      <c r="X683" s="596"/>
      <c r="Y683" s="596"/>
      <c r="Z683" s="597">
        <v>12</v>
      </c>
      <c r="AA683" s="596">
        <v>12</v>
      </c>
      <c r="AB683" s="596">
        <v>12</v>
      </c>
      <c r="AC683" s="2894">
        <v>12</v>
      </c>
      <c r="AD683" s="2661">
        <v>12</v>
      </c>
      <c r="AE683" s="596"/>
      <c r="AF683" s="596"/>
      <c r="AG683" s="596"/>
      <c r="AH683" s="156"/>
      <c r="AI683" s="156"/>
      <c r="AJ683" s="156"/>
      <c r="AK683" s="156"/>
      <c r="AL683" s="156"/>
      <c r="AM683" s="156"/>
      <c r="AN683" s="156"/>
      <c r="AO683" s="156"/>
      <c r="AP683" s="156"/>
      <c r="AQ683" s="156"/>
      <c r="AR683" s="156"/>
      <c r="AS683" s="156"/>
      <c r="AT683" s="156"/>
      <c r="AU683" s="156"/>
      <c r="AV683" s="156"/>
      <c r="AW683" s="156"/>
      <c r="AX683" s="156"/>
      <c r="AY683" s="156"/>
      <c r="AZ683" s="156"/>
      <c r="BA683" s="156"/>
      <c r="BB683" s="2890"/>
      <c r="BC683" s="504"/>
      <c r="BD683" s="2829"/>
      <c r="BE683" s="2837"/>
      <c r="BF683" s="156"/>
    </row>
    <row r="684" spans="1:58" ht="14.5" hidden="1" customHeight="1" outlineLevel="1" x14ac:dyDescent="0.35">
      <c r="A684" s="1071"/>
      <c r="B684" s="106"/>
      <c r="C684" s="103"/>
      <c r="D684" s="4140"/>
      <c r="E684" s="4138"/>
      <c r="F684" s="3931" t="str">
        <f t="shared" si="73"/>
        <v>CAC-SEER18_ER1_MF_CompE</v>
      </c>
      <c r="G684" s="3932"/>
      <c r="H684" s="3933"/>
      <c r="I684" s="2657" t="str">
        <f t="shared" si="72"/>
        <v>351163_2021_12_</v>
      </c>
      <c r="J684" s="2661">
        <v>6</v>
      </c>
      <c r="K684" s="569"/>
      <c r="L684" s="2893"/>
      <c r="M684" s="103"/>
      <c r="N684" s="1287"/>
      <c r="O684" s="103"/>
      <c r="P684" s="106"/>
      <c r="Q684" s="106"/>
      <c r="R684" s="106"/>
      <c r="S684" s="106"/>
      <c r="T684" s="106"/>
      <c r="U684" s="106"/>
      <c r="V684" s="4023"/>
      <c r="W684" s="596"/>
      <c r="X684" s="596"/>
      <c r="Y684" s="596"/>
      <c r="Z684" s="597">
        <v>6</v>
      </c>
      <c r="AA684" s="596">
        <v>6</v>
      </c>
      <c r="AB684" s="596">
        <v>6</v>
      </c>
      <c r="AC684" s="2894">
        <v>6</v>
      </c>
      <c r="AD684" s="2661">
        <v>6</v>
      </c>
      <c r="AE684" s="596"/>
      <c r="AF684" s="596"/>
      <c r="AG684" s="596"/>
      <c r="AH684" s="156"/>
      <c r="AI684" s="156"/>
      <c r="AJ684" s="156"/>
      <c r="AK684" s="156"/>
      <c r="AL684" s="156"/>
      <c r="AM684" s="156"/>
      <c r="AN684" s="156"/>
      <c r="AO684" s="156"/>
      <c r="AP684" s="156"/>
      <c r="AQ684" s="156"/>
      <c r="AR684" s="156"/>
      <c r="AS684" s="156"/>
      <c r="AT684" s="156"/>
      <c r="AU684" s="156"/>
      <c r="AV684" s="156"/>
      <c r="AW684" s="156"/>
      <c r="AX684" s="156"/>
      <c r="AY684" s="156"/>
      <c r="AZ684" s="156"/>
      <c r="BA684" s="156"/>
      <c r="BB684" s="2890"/>
      <c r="BC684" s="504"/>
      <c r="BD684" s="2829"/>
      <c r="BE684" s="2837"/>
      <c r="BF684" s="156"/>
    </row>
    <row r="685" spans="1:58" ht="14.5" hidden="1" customHeight="1" outlineLevel="1" x14ac:dyDescent="0.35">
      <c r="A685" s="1071"/>
      <c r="B685" s="106"/>
      <c r="C685" s="103"/>
      <c r="D685" s="4140"/>
      <c r="E685" s="4138"/>
      <c r="F685" s="3931" t="str">
        <f t="shared" si="73"/>
        <v>CAC-SEER18_ER2_MF_CompE</v>
      </c>
      <c r="G685" s="3932"/>
      <c r="H685" s="3933"/>
      <c r="I685" s="2657" t="str">
        <f t="shared" si="72"/>
        <v>351163_2021_12_</v>
      </c>
      <c r="J685" s="2661">
        <v>12</v>
      </c>
      <c r="K685" s="569"/>
      <c r="L685" s="2893"/>
      <c r="M685" s="103"/>
      <c r="N685" s="1287"/>
      <c r="O685" s="103"/>
      <c r="P685" s="106"/>
      <c r="Q685" s="106"/>
      <c r="R685" s="106"/>
      <c r="S685" s="106"/>
      <c r="T685" s="106"/>
      <c r="U685" s="106"/>
      <c r="V685" s="4023"/>
      <c r="W685" s="596"/>
      <c r="X685" s="596"/>
      <c r="Y685" s="596"/>
      <c r="Z685" s="597">
        <v>12</v>
      </c>
      <c r="AA685" s="596">
        <v>12</v>
      </c>
      <c r="AB685" s="596">
        <v>12</v>
      </c>
      <c r="AC685" s="2894">
        <v>12</v>
      </c>
      <c r="AD685" s="2661">
        <v>12</v>
      </c>
      <c r="AE685" s="596"/>
      <c r="AF685" s="596"/>
      <c r="AG685" s="596"/>
      <c r="AH685" s="156"/>
      <c r="AI685" s="156"/>
      <c r="AJ685" s="156"/>
      <c r="AK685" s="156"/>
      <c r="AL685" s="156"/>
      <c r="AM685" s="156"/>
      <c r="AN685" s="156"/>
      <c r="AO685" s="156"/>
      <c r="AP685" s="156"/>
      <c r="AQ685" s="156"/>
      <c r="AR685" s="156"/>
      <c r="AS685" s="156"/>
      <c r="AT685" s="156"/>
      <c r="AU685" s="156"/>
      <c r="AV685" s="156"/>
      <c r="AW685" s="156"/>
      <c r="AX685" s="156"/>
      <c r="AY685" s="156"/>
      <c r="AZ685" s="156"/>
      <c r="BA685" s="156"/>
      <c r="BB685" s="2890"/>
      <c r="BC685" s="504"/>
      <c r="BD685" s="2829"/>
      <c r="BE685" s="2837"/>
      <c r="BF685" s="156"/>
    </row>
    <row r="686" spans="1:58" ht="14.5" hidden="1" customHeight="1" outlineLevel="1" x14ac:dyDescent="0.35">
      <c r="A686" s="1071"/>
      <c r="B686" s="106"/>
      <c r="C686" s="103"/>
      <c r="D686" s="4140"/>
      <c r="E686" s="4138"/>
      <c r="F686" s="3931" t="str">
        <f t="shared" si="73"/>
        <v>CAC-SEER18_ROF_MF</v>
      </c>
      <c r="G686" s="3932"/>
      <c r="H686" s="3933"/>
      <c r="I686" s="2657" t="str">
        <f t="shared" si="72"/>
        <v>351164_2021_12_</v>
      </c>
      <c r="J686" s="2661">
        <v>18</v>
      </c>
      <c r="K686" s="569"/>
      <c r="L686" s="2893"/>
      <c r="M686" s="103"/>
      <c r="N686" s="1287"/>
      <c r="O686" s="103"/>
      <c r="P686" s="106"/>
      <c r="Q686" s="106"/>
      <c r="R686" s="106"/>
      <c r="S686" s="106"/>
      <c r="T686" s="106"/>
      <c r="U686" s="106"/>
      <c r="V686" s="4023"/>
      <c r="W686" s="596"/>
      <c r="X686" s="596"/>
      <c r="Y686" s="597"/>
      <c r="Z686" s="597">
        <v>18</v>
      </c>
      <c r="AA686" s="596">
        <v>18</v>
      </c>
      <c r="AB686" s="596">
        <v>18</v>
      </c>
      <c r="AC686" s="2894">
        <v>18</v>
      </c>
      <c r="AD686" s="2661">
        <v>18</v>
      </c>
      <c r="AE686" s="596"/>
      <c r="AF686" s="596"/>
      <c r="AG686" s="596"/>
      <c r="AH686" s="156"/>
      <c r="AI686" s="156"/>
      <c r="AJ686" s="156"/>
      <c r="AK686" s="156"/>
      <c r="AL686" s="156"/>
      <c r="AM686" s="156"/>
      <c r="AN686" s="156"/>
      <c r="AO686" s="156"/>
      <c r="AP686" s="156"/>
      <c r="AQ686" s="156"/>
      <c r="AR686" s="156"/>
      <c r="AS686" s="156"/>
      <c r="AT686" s="156"/>
      <c r="AU686" s="156"/>
      <c r="AV686" s="156"/>
      <c r="AW686" s="156"/>
      <c r="AX686" s="156"/>
      <c r="AY686" s="156"/>
      <c r="AZ686" s="156"/>
      <c r="BA686" s="156"/>
      <c r="BB686" s="2890"/>
      <c r="BC686" s="504"/>
      <c r="BD686" s="2829"/>
      <c r="BE686" s="2837"/>
      <c r="BF686" s="156"/>
    </row>
    <row r="687" spans="1:58" ht="14.5" hidden="1" customHeight="1" outlineLevel="1" x14ac:dyDescent="0.35">
      <c r="A687" s="1071"/>
      <c r="B687" s="106"/>
      <c r="C687" s="103"/>
      <c r="D687" s="4140"/>
      <c r="E687" s="4138"/>
      <c r="F687" s="3931" t="str">
        <f t="shared" si="73"/>
        <v>CAC-SEER18_ROF_MF_CompE</v>
      </c>
      <c r="G687" s="3932"/>
      <c r="H687" s="3933"/>
      <c r="I687" s="2657" t="str">
        <f t="shared" si="72"/>
        <v>351165_2021_12_</v>
      </c>
      <c r="J687" s="2661">
        <v>18</v>
      </c>
      <c r="K687" s="569"/>
      <c r="L687" s="2893"/>
      <c r="M687" s="103"/>
      <c r="N687" s="1287"/>
      <c r="O687" s="103"/>
      <c r="P687" s="106"/>
      <c r="Q687" s="106"/>
      <c r="R687" s="106"/>
      <c r="S687" s="106"/>
      <c r="T687" s="106"/>
      <c r="U687" s="106"/>
      <c r="V687" s="4023"/>
      <c r="W687" s="596"/>
      <c r="X687" s="596"/>
      <c r="Y687" s="596"/>
      <c r="Z687" s="597">
        <v>18</v>
      </c>
      <c r="AA687" s="596">
        <v>18</v>
      </c>
      <c r="AB687" s="596">
        <v>18</v>
      </c>
      <c r="AC687" s="2894">
        <v>18</v>
      </c>
      <c r="AD687" s="2661">
        <v>18</v>
      </c>
      <c r="AE687" s="596"/>
      <c r="AF687" s="596"/>
      <c r="AG687" s="596"/>
      <c r="AH687" s="156"/>
      <c r="AI687" s="156"/>
      <c r="AJ687" s="156"/>
      <c r="AK687" s="156"/>
      <c r="AL687" s="156"/>
      <c r="AM687" s="156"/>
      <c r="AN687" s="156"/>
      <c r="AO687" s="156"/>
      <c r="AP687" s="156"/>
      <c r="AQ687" s="156"/>
      <c r="AR687" s="156"/>
      <c r="AS687" s="156"/>
      <c r="AT687" s="156"/>
      <c r="AU687" s="156"/>
      <c r="AV687" s="156"/>
      <c r="AW687" s="156"/>
      <c r="AX687" s="156"/>
      <c r="AY687" s="156"/>
      <c r="AZ687" s="156"/>
      <c r="BA687" s="156"/>
      <c r="BB687" s="2890"/>
      <c r="BC687" s="504"/>
      <c r="BD687" s="2829"/>
      <c r="BE687" s="2837"/>
      <c r="BF687" s="156"/>
    </row>
    <row r="688" spans="1:58" ht="14.5" hidden="1" customHeight="1" outlineLevel="1" x14ac:dyDescent="0.35">
      <c r="A688" s="1071"/>
      <c r="B688" s="106"/>
      <c r="C688" s="103"/>
      <c r="D688" s="4140"/>
      <c r="E688" s="4138"/>
      <c r="F688" s="3931" t="str">
        <f t="shared" si="73"/>
        <v>CAC-SEER19_ER1_SF</v>
      </c>
      <c r="G688" s="3932"/>
      <c r="H688" s="3933"/>
      <c r="I688" s="2657" t="str">
        <f t="shared" si="72"/>
        <v>351170_2021_12_</v>
      </c>
      <c r="J688" s="2661">
        <v>6</v>
      </c>
      <c r="K688" s="569"/>
      <c r="L688" s="2893"/>
      <c r="M688" s="103"/>
      <c r="N688" s="1287"/>
      <c r="O688" s="103"/>
      <c r="P688" s="106"/>
      <c r="Q688" s="106"/>
      <c r="R688" s="106"/>
      <c r="S688" s="106"/>
      <c r="T688" s="106"/>
      <c r="U688" s="106"/>
      <c r="V688" s="4023"/>
      <c r="W688" s="596"/>
      <c r="X688" s="596"/>
      <c r="Y688" s="596"/>
      <c r="Z688" s="597">
        <v>6</v>
      </c>
      <c r="AA688" s="596">
        <v>6</v>
      </c>
      <c r="AB688" s="596">
        <v>6</v>
      </c>
      <c r="AC688" s="2894">
        <v>6</v>
      </c>
      <c r="AD688" s="2661">
        <v>6</v>
      </c>
      <c r="AE688" s="596"/>
      <c r="AF688" s="596"/>
      <c r="AG688" s="596"/>
      <c r="AH688" s="156"/>
      <c r="AI688" s="156"/>
      <c r="AJ688" s="156"/>
      <c r="AK688" s="156"/>
      <c r="AL688" s="156"/>
      <c r="AM688" s="156"/>
      <c r="AN688" s="156"/>
      <c r="AO688" s="156"/>
      <c r="AP688" s="156"/>
      <c r="AQ688" s="156"/>
      <c r="AR688" s="156"/>
      <c r="AS688" s="156"/>
      <c r="AT688" s="156"/>
      <c r="AU688" s="156"/>
      <c r="AV688" s="156"/>
      <c r="AW688" s="156"/>
      <c r="AX688" s="156"/>
      <c r="AY688" s="156"/>
      <c r="AZ688" s="156"/>
      <c r="BA688" s="156"/>
      <c r="BB688" s="2890"/>
      <c r="BC688" s="504"/>
      <c r="BD688" s="2829"/>
      <c r="BE688" s="2837"/>
      <c r="BF688" s="156"/>
    </row>
    <row r="689" spans="1:58" ht="14.5" hidden="1" customHeight="1" outlineLevel="1" x14ac:dyDescent="0.35">
      <c r="A689" s="1071"/>
      <c r="B689" s="106"/>
      <c r="C689" s="103"/>
      <c r="D689" s="4140"/>
      <c r="E689" s="4138"/>
      <c r="F689" s="3931" t="str">
        <f t="shared" si="73"/>
        <v>CAC-SEER19_ER2_SF</v>
      </c>
      <c r="G689" s="3932"/>
      <c r="H689" s="3933"/>
      <c r="I689" s="2657" t="str">
        <f t="shared" si="72"/>
        <v>351170_2021_12_</v>
      </c>
      <c r="J689" s="2661">
        <v>12</v>
      </c>
      <c r="K689" s="569"/>
      <c r="L689" s="2893"/>
      <c r="M689" s="103"/>
      <c r="N689" s="1287"/>
      <c r="O689" s="103"/>
      <c r="P689" s="106"/>
      <c r="Q689" s="106"/>
      <c r="R689" s="106"/>
      <c r="S689" s="106"/>
      <c r="T689" s="106"/>
      <c r="U689" s="106"/>
      <c r="V689" s="4023"/>
      <c r="W689" s="596"/>
      <c r="X689" s="596"/>
      <c r="Y689" s="596"/>
      <c r="Z689" s="597">
        <v>12</v>
      </c>
      <c r="AA689" s="596">
        <v>12</v>
      </c>
      <c r="AB689" s="596">
        <v>12</v>
      </c>
      <c r="AC689" s="2894">
        <v>12</v>
      </c>
      <c r="AD689" s="2661">
        <v>12</v>
      </c>
      <c r="AE689" s="596"/>
      <c r="AF689" s="596"/>
      <c r="AG689" s="596"/>
      <c r="AH689" s="156"/>
      <c r="AI689" s="156"/>
      <c r="AJ689" s="156"/>
      <c r="AK689" s="156"/>
      <c r="AL689" s="156"/>
      <c r="AM689" s="156"/>
      <c r="AN689" s="156"/>
      <c r="AO689" s="156"/>
      <c r="AP689" s="156"/>
      <c r="AQ689" s="156"/>
      <c r="AR689" s="156"/>
      <c r="AS689" s="156"/>
      <c r="AT689" s="156"/>
      <c r="AU689" s="156"/>
      <c r="AV689" s="156"/>
      <c r="AW689" s="156"/>
      <c r="AX689" s="156"/>
      <c r="AY689" s="156"/>
      <c r="AZ689" s="156"/>
      <c r="BA689" s="156"/>
      <c r="BB689" s="2890"/>
      <c r="BC689" s="504"/>
      <c r="BD689" s="2829"/>
      <c r="BE689" s="2837"/>
      <c r="BF689" s="156"/>
    </row>
    <row r="690" spans="1:58" ht="14.5" hidden="1" customHeight="1" outlineLevel="1" x14ac:dyDescent="0.35">
      <c r="A690" s="1071"/>
      <c r="B690" s="106"/>
      <c r="C690" s="103"/>
      <c r="D690" s="4140"/>
      <c r="E690" s="4138"/>
      <c r="F690" s="3931" t="str">
        <f t="shared" si="73"/>
        <v>CAC-SEER19_ROF_SF</v>
      </c>
      <c r="G690" s="3932"/>
      <c r="H690" s="3933"/>
      <c r="I690" s="2657" t="str">
        <f t="shared" si="72"/>
        <v>351171_2021_12_</v>
      </c>
      <c r="J690" s="2661">
        <v>18</v>
      </c>
      <c r="K690" s="569"/>
      <c r="L690" s="2893"/>
      <c r="M690" s="103"/>
      <c r="N690" s="1287"/>
      <c r="O690" s="103"/>
      <c r="P690" s="106"/>
      <c r="Q690" s="106"/>
      <c r="R690" s="106"/>
      <c r="S690" s="106"/>
      <c r="T690" s="106"/>
      <c r="U690" s="106"/>
      <c r="V690" s="4023"/>
      <c r="W690" s="596"/>
      <c r="X690" s="596"/>
      <c r="Y690" s="596"/>
      <c r="Z690" s="597">
        <v>18</v>
      </c>
      <c r="AA690" s="596">
        <v>18</v>
      </c>
      <c r="AB690" s="596">
        <v>18</v>
      </c>
      <c r="AC690" s="2894">
        <v>18</v>
      </c>
      <c r="AD690" s="2661">
        <v>18</v>
      </c>
      <c r="AE690" s="596"/>
      <c r="AF690" s="596"/>
      <c r="AG690" s="596"/>
      <c r="AH690" s="156"/>
      <c r="AI690" s="156"/>
      <c r="AJ690" s="156"/>
      <c r="AK690" s="156"/>
      <c r="AL690" s="156"/>
      <c r="AM690" s="156"/>
      <c r="AN690" s="156"/>
      <c r="AO690" s="156"/>
      <c r="AP690" s="156"/>
      <c r="AQ690" s="156"/>
      <c r="AR690" s="156"/>
      <c r="AS690" s="156"/>
      <c r="AT690" s="156"/>
      <c r="AU690" s="156"/>
      <c r="AV690" s="156"/>
      <c r="AW690" s="156"/>
      <c r="AX690" s="156"/>
      <c r="AY690" s="156"/>
      <c r="AZ690" s="156"/>
      <c r="BA690" s="156"/>
      <c r="BB690" s="2890"/>
      <c r="BC690" s="504"/>
      <c r="BD690" s="2829"/>
      <c r="BE690" s="2837"/>
      <c r="BF690" s="156"/>
    </row>
    <row r="691" spans="1:58" ht="14.5" hidden="1" customHeight="1" outlineLevel="1" x14ac:dyDescent="0.35">
      <c r="A691" s="1071"/>
      <c r="B691" s="106"/>
      <c r="C691" s="103"/>
      <c r="D691" s="4140"/>
      <c r="E691" s="4138"/>
      <c r="F691" s="3931" t="str">
        <f t="shared" si="73"/>
        <v>CAC-SEER19_ER1_MF</v>
      </c>
      <c r="G691" s="3932"/>
      <c r="H691" s="3933"/>
      <c r="I691" s="2657" t="str">
        <f t="shared" si="72"/>
        <v>351172_2021_12_</v>
      </c>
      <c r="J691" s="2661">
        <v>6</v>
      </c>
      <c r="K691" s="569"/>
      <c r="L691" s="2893"/>
      <c r="M691" s="103"/>
      <c r="N691" s="1287"/>
      <c r="O691" s="103"/>
      <c r="P691" s="106"/>
      <c r="Q691" s="106"/>
      <c r="R691" s="106"/>
      <c r="S691" s="106"/>
      <c r="T691" s="106"/>
      <c r="U691" s="106"/>
      <c r="V691" s="4023"/>
      <c r="W691" s="596"/>
      <c r="X691" s="596"/>
      <c r="Y691" s="596"/>
      <c r="Z691" s="597">
        <v>6</v>
      </c>
      <c r="AA691" s="596">
        <v>6</v>
      </c>
      <c r="AB691" s="596">
        <v>6</v>
      </c>
      <c r="AC691" s="2894">
        <v>6</v>
      </c>
      <c r="AD691" s="2661">
        <v>6</v>
      </c>
      <c r="AE691" s="596"/>
      <c r="AF691" s="596"/>
      <c r="AG691" s="596"/>
      <c r="AH691" s="156"/>
      <c r="AI691" s="156"/>
      <c r="AJ691" s="156"/>
      <c r="AK691" s="156"/>
      <c r="AL691" s="156"/>
      <c r="AM691" s="156"/>
      <c r="AN691" s="156"/>
      <c r="AO691" s="156"/>
      <c r="AP691" s="156"/>
      <c r="AQ691" s="156"/>
      <c r="AR691" s="156"/>
      <c r="AS691" s="156"/>
      <c r="AT691" s="156"/>
      <c r="AU691" s="156"/>
      <c r="AV691" s="156"/>
      <c r="AW691" s="156"/>
      <c r="AX691" s="156"/>
      <c r="AY691" s="156"/>
      <c r="AZ691" s="156"/>
      <c r="BA691" s="156"/>
      <c r="BB691" s="2890"/>
      <c r="BC691" s="504"/>
      <c r="BD691" s="2829"/>
      <c r="BE691" s="2837"/>
      <c r="BF691" s="156"/>
    </row>
    <row r="692" spans="1:58" ht="14.5" hidden="1" customHeight="1" outlineLevel="1" x14ac:dyDescent="0.35">
      <c r="A692" s="1071"/>
      <c r="B692" s="106"/>
      <c r="C692" s="103"/>
      <c r="D692" s="4140"/>
      <c r="E692" s="4138"/>
      <c r="F692" s="3931" t="str">
        <f t="shared" si="73"/>
        <v>CAC-SEER19_ER2_MF</v>
      </c>
      <c r="G692" s="3932"/>
      <c r="H692" s="3933"/>
      <c r="I692" s="2657" t="str">
        <f t="shared" si="72"/>
        <v>351172_2021_12_</v>
      </c>
      <c r="J692" s="2661">
        <v>12</v>
      </c>
      <c r="K692" s="569"/>
      <c r="L692" s="2893"/>
      <c r="M692" s="103"/>
      <c r="N692" s="1287"/>
      <c r="O692" s="103"/>
      <c r="P692" s="106"/>
      <c r="Q692" s="106"/>
      <c r="R692" s="106"/>
      <c r="S692" s="106"/>
      <c r="T692" s="106"/>
      <c r="U692" s="106"/>
      <c r="V692" s="4023"/>
      <c r="W692" s="596"/>
      <c r="X692" s="596"/>
      <c r="Y692" s="596"/>
      <c r="Z692" s="597">
        <v>12</v>
      </c>
      <c r="AA692" s="596">
        <v>12</v>
      </c>
      <c r="AB692" s="596">
        <v>12</v>
      </c>
      <c r="AC692" s="2894">
        <v>12</v>
      </c>
      <c r="AD692" s="2661">
        <v>12</v>
      </c>
      <c r="AE692" s="596"/>
      <c r="AF692" s="596"/>
      <c r="AG692" s="596"/>
      <c r="AH692" s="156"/>
      <c r="AI692" s="156"/>
      <c r="AJ692" s="156"/>
      <c r="AK692" s="156"/>
      <c r="AL692" s="156"/>
      <c r="AM692" s="156"/>
      <c r="AN692" s="156"/>
      <c r="AO692" s="156"/>
      <c r="AP692" s="156"/>
      <c r="AQ692" s="156"/>
      <c r="AR692" s="156"/>
      <c r="AS692" s="156"/>
      <c r="AT692" s="156"/>
      <c r="AU692" s="156"/>
      <c r="AV692" s="156"/>
      <c r="AW692" s="156"/>
      <c r="AX692" s="156"/>
      <c r="AY692" s="156"/>
      <c r="AZ692" s="156"/>
      <c r="BA692" s="156"/>
      <c r="BB692" s="2890"/>
      <c r="BC692" s="504"/>
      <c r="BD692" s="2829"/>
      <c r="BE692" s="2837"/>
      <c r="BF692" s="156"/>
    </row>
    <row r="693" spans="1:58" ht="14.5" hidden="1" customHeight="1" outlineLevel="1" x14ac:dyDescent="0.35">
      <c r="A693" s="1071"/>
      <c r="B693" s="106"/>
      <c r="C693" s="103"/>
      <c r="D693" s="4140"/>
      <c r="E693" s="4138"/>
      <c r="F693" s="3931" t="str">
        <f t="shared" si="73"/>
        <v>CAC-SEER19_ER1_MF_CompE</v>
      </c>
      <c r="G693" s="3932"/>
      <c r="H693" s="3933"/>
      <c r="I693" s="2657" t="str">
        <f t="shared" si="72"/>
        <v>351173_2021_12_</v>
      </c>
      <c r="J693" s="2661">
        <v>6</v>
      </c>
      <c r="K693" s="569"/>
      <c r="L693" s="2893"/>
      <c r="M693" s="103"/>
      <c r="N693" s="1287"/>
      <c r="O693" s="103"/>
      <c r="P693" s="106"/>
      <c r="Q693" s="106"/>
      <c r="R693" s="106"/>
      <c r="S693" s="106"/>
      <c r="T693" s="106"/>
      <c r="U693" s="106"/>
      <c r="V693" s="4023"/>
      <c r="W693" s="596"/>
      <c r="X693" s="596"/>
      <c r="Y693" s="596"/>
      <c r="Z693" s="597">
        <v>6</v>
      </c>
      <c r="AA693" s="596">
        <v>6</v>
      </c>
      <c r="AB693" s="596">
        <v>6</v>
      </c>
      <c r="AC693" s="2894">
        <v>6</v>
      </c>
      <c r="AD693" s="2661">
        <v>6</v>
      </c>
      <c r="AE693" s="596"/>
      <c r="AF693" s="596"/>
      <c r="AG693" s="596"/>
      <c r="AH693" s="156"/>
      <c r="AI693" s="156"/>
      <c r="AJ693" s="156"/>
      <c r="AK693" s="156"/>
      <c r="AL693" s="156"/>
      <c r="AM693" s="156"/>
      <c r="AN693" s="156"/>
      <c r="AO693" s="156"/>
      <c r="AP693" s="156"/>
      <c r="AQ693" s="156"/>
      <c r="AR693" s="156"/>
      <c r="AS693" s="156"/>
      <c r="AT693" s="156"/>
      <c r="AU693" s="156"/>
      <c r="AV693" s="156"/>
      <c r="AW693" s="156"/>
      <c r="AX693" s="156"/>
      <c r="AY693" s="156"/>
      <c r="AZ693" s="156"/>
      <c r="BA693" s="156"/>
      <c r="BB693" s="2890"/>
      <c r="BC693" s="504"/>
      <c r="BD693" s="2829"/>
      <c r="BE693" s="2837"/>
      <c r="BF693" s="156"/>
    </row>
    <row r="694" spans="1:58" ht="14.5" hidden="1" customHeight="1" outlineLevel="1" x14ac:dyDescent="0.35">
      <c r="A694" s="1071"/>
      <c r="B694" s="106"/>
      <c r="C694" s="103"/>
      <c r="D694" s="4140"/>
      <c r="E694" s="4138"/>
      <c r="F694" s="3931" t="str">
        <f t="shared" si="73"/>
        <v>CAC-SEER19_ER2_MF_CompE</v>
      </c>
      <c r="G694" s="3932"/>
      <c r="H694" s="3933"/>
      <c r="I694" s="2657" t="str">
        <f t="shared" si="72"/>
        <v>351173_2021_12_</v>
      </c>
      <c r="J694" s="2661">
        <v>12</v>
      </c>
      <c r="K694" s="569"/>
      <c r="L694" s="2893"/>
      <c r="M694" s="103"/>
      <c r="N694" s="1287"/>
      <c r="O694" s="103"/>
      <c r="P694" s="106"/>
      <c r="Q694" s="106"/>
      <c r="R694" s="106"/>
      <c r="S694" s="106"/>
      <c r="T694" s="106"/>
      <c r="U694" s="106"/>
      <c r="V694" s="4023"/>
      <c r="W694" s="596"/>
      <c r="X694" s="596"/>
      <c r="Y694" s="596"/>
      <c r="Z694" s="597">
        <v>12</v>
      </c>
      <c r="AA694" s="596">
        <v>12</v>
      </c>
      <c r="AB694" s="596">
        <v>12</v>
      </c>
      <c r="AC694" s="2894">
        <v>12</v>
      </c>
      <c r="AD694" s="2661">
        <v>12</v>
      </c>
      <c r="AE694" s="596"/>
      <c r="AF694" s="596"/>
      <c r="AG694" s="596"/>
      <c r="AH694" s="156"/>
      <c r="AI694" s="156"/>
      <c r="AJ694" s="156"/>
      <c r="AK694" s="156"/>
      <c r="AL694" s="156"/>
      <c r="AM694" s="156"/>
      <c r="AN694" s="156"/>
      <c r="AO694" s="156"/>
      <c r="AP694" s="156"/>
      <c r="AQ694" s="156"/>
      <c r="AR694" s="156"/>
      <c r="AS694" s="156"/>
      <c r="AT694" s="156"/>
      <c r="AU694" s="156"/>
      <c r="AV694" s="156"/>
      <c r="AW694" s="156"/>
      <c r="AX694" s="156"/>
      <c r="AY694" s="156"/>
      <c r="AZ694" s="156"/>
      <c r="BA694" s="156"/>
      <c r="BB694" s="2890"/>
      <c r="BC694" s="504"/>
      <c r="BD694" s="2829"/>
      <c r="BE694" s="2837"/>
      <c r="BF694" s="156"/>
    </row>
    <row r="695" spans="1:58" ht="14.5" hidden="1" customHeight="1" outlineLevel="1" x14ac:dyDescent="0.35">
      <c r="A695" s="1071"/>
      <c r="B695" s="106"/>
      <c r="C695" s="103"/>
      <c r="D695" s="4140"/>
      <c r="E695" s="4138"/>
      <c r="F695" s="3931" t="str">
        <f t="shared" si="73"/>
        <v>CAC-SEER19_ROF_MF</v>
      </c>
      <c r="G695" s="3932"/>
      <c r="H695" s="3933"/>
      <c r="I695" s="2657" t="str">
        <f t="shared" si="72"/>
        <v>351174_2021_12_</v>
      </c>
      <c r="J695" s="2661">
        <v>18</v>
      </c>
      <c r="K695" s="569"/>
      <c r="L695" s="2893"/>
      <c r="M695" s="103"/>
      <c r="N695" s="1287"/>
      <c r="O695" s="103"/>
      <c r="P695" s="106"/>
      <c r="Q695" s="106"/>
      <c r="R695" s="106"/>
      <c r="S695" s="106"/>
      <c r="T695" s="106"/>
      <c r="U695" s="106"/>
      <c r="V695" s="4023"/>
      <c r="W695" s="596"/>
      <c r="X695" s="596"/>
      <c r="Y695" s="596"/>
      <c r="Z695" s="597">
        <v>18</v>
      </c>
      <c r="AA695" s="596">
        <v>18</v>
      </c>
      <c r="AB695" s="596">
        <v>18</v>
      </c>
      <c r="AC695" s="2894">
        <v>18</v>
      </c>
      <c r="AD695" s="2661">
        <v>18</v>
      </c>
      <c r="AE695" s="596"/>
      <c r="AF695" s="596"/>
      <c r="AG695" s="596"/>
      <c r="AH695" s="156"/>
      <c r="AI695" s="156"/>
      <c r="AJ695" s="156"/>
      <c r="AK695" s="156"/>
      <c r="AL695" s="156"/>
      <c r="AM695" s="156"/>
      <c r="AN695" s="156"/>
      <c r="AO695" s="156"/>
      <c r="AP695" s="156"/>
      <c r="AQ695" s="156"/>
      <c r="AR695" s="156"/>
      <c r="AS695" s="156"/>
      <c r="AT695" s="156"/>
      <c r="AU695" s="156"/>
      <c r="AV695" s="156"/>
      <c r="AW695" s="156"/>
      <c r="AX695" s="156"/>
      <c r="AY695" s="156"/>
      <c r="AZ695" s="156"/>
      <c r="BA695" s="156"/>
      <c r="BB695" s="2890"/>
      <c r="BC695" s="504"/>
      <c r="BD695" s="2829"/>
      <c r="BE695" s="2837"/>
      <c r="BF695" s="156"/>
    </row>
    <row r="696" spans="1:58" ht="14.5" hidden="1" customHeight="1" outlineLevel="1" x14ac:dyDescent="0.35">
      <c r="A696" s="1071"/>
      <c r="B696" s="106"/>
      <c r="C696" s="103"/>
      <c r="D696" s="4140"/>
      <c r="E696" s="4138"/>
      <c r="F696" s="3931" t="str">
        <f t="shared" si="73"/>
        <v>CAC-SEER19_ROF_MF_CompE</v>
      </c>
      <c r="G696" s="3932"/>
      <c r="H696" s="3933"/>
      <c r="I696" s="2657" t="str">
        <f t="shared" si="72"/>
        <v>351175_2021_12_</v>
      </c>
      <c r="J696" s="2661">
        <v>18</v>
      </c>
      <c r="K696" s="569"/>
      <c r="L696" s="2893"/>
      <c r="M696" s="103"/>
      <c r="N696" s="1287"/>
      <c r="O696" s="103"/>
      <c r="P696" s="106"/>
      <c r="Q696" s="106"/>
      <c r="R696" s="106"/>
      <c r="S696" s="106"/>
      <c r="T696" s="106"/>
      <c r="U696" s="106"/>
      <c r="V696" s="4023"/>
      <c r="W696" s="596"/>
      <c r="X696" s="596"/>
      <c r="Y696" s="596"/>
      <c r="Z696" s="597">
        <v>18</v>
      </c>
      <c r="AA696" s="596">
        <v>18</v>
      </c>
      <c r="AB696" s="596">
        <v>18</v>
      </c>
      <c r="AC696" s="2894">
        <v>18</v>
      </c>
      <c r="AD696" s="2661">
        <v>18</v>
      </c>
      <c r="AE696" s="596"/>
      <c r="AF696" s="596"/>
      <c r="AG696" s="596"/>
      <c r="AH696" s="156"/>
      <c r="AI696" s="156"/>
      <c r="AJ696" s="156"/>
      <c r="AK696" s="156"/>
      <c r="AL696" s="156"/>
      <c r="AM696" s="156"/>
      <c r="AN696" s="156"/>
      <c r="AO696" s="156"/>
      <c r="AP696" s="156"/>
      <c r="AQ696" s="156"/>
      <c r="AR696" s="156"/>
      <c r="AS696" s="156"/>
      <c r="AT696" s="156"/>
      <c r="AU696" s="156"/>
      <c r="AV696" s="156"/>
      <c r="AW696" s="156"/>
      <c r="AX696" s="156"/>
      <c r="AY696" s="156"/>
      <c r="AZ696" s="156"/>
      <c r="BA696" s="156"/>
      <c r="BB696" s="2890"/>
      <c r="BC696" s="504"/>
      <c r="BD696" s="2829"/>
      <c r="BE696" s="2837"/>
      <c r="BF696" s="156"/>
    </row>
    <row r="697" spans="1:58" ht="14.5" hidden="1" customHeight="1" outlineLevel="1" x14ac:dyDescent="0.35">
      <c r="A697" s="1071"/>
      <c r="B697" s="106"/>
      <c r="C697" s="103"/>
      <c r="D697" s="4140"/>
      <c r="E697" s="4138"/>
      <c r="F697" s="3931" t="str">
        <f t="shared" si="73"/>
        <v>CAC-SEER20_ER1_SF</v>
      </c>
      <c r="G697" s="3932"/>
      <c r="H697" s="3933"/>
      <c r="I697" s="2657" t="str">
        <f t="shared" si="72"/>
        <v>351180_2021_12_</v>
      </c>
      <c r="J697" s="2661">
        <v>6</v>
      </c>
      <c r="K697" s="569"/>
      <c r="L697" s="2893"/>
      <c r="M697" s="103"/>
      <c r="N697" s="1287"/>
      <c r="O697" s="103"/>
      <c r="P697" s="106"/>
      <c r="Q697" s="106"/>
      <c r="R697" s="106"/>
      <c r="S697" s="106"/>
      <c r="T697" s="106"/>
      <c r="U697" s="106"/>
      <c r="V697" s="4023"/>
      <c r="W697" s="596"/>
      <c r="X697" s="596"/>
      <c r="Y697" s="596"/>
      <c r="Z697" s="597">
        <v>6</v>
      </c>
      <c r="AA697" s="596">
        <v>6</v>
      </c>
      <c r="AB697" s="596">
        <v>6</v>
      </c>
      <c r="AC697" s="2894">
        <v>6</v>
      </c>
      <c r="AD697" s="2661">
        <v>6</v>
      </c>
      <c r="AE697" s="596"/>
      <c r="AF697" s="596"/>
      <c r="AG697" s="596"/>
      <c r="AH697" s="156"/>
      <c r="AI697" s="156"/>
      <c r="AJ697" s="156"/>
      <c r="AK697" s="156"/>
      <c r="AL697" s="156"/>
      <c r="AM697" s="156"/>
      <c r="AN697" s="156"/>
      <c r="AO697" s="156"/>
      <c r="AP697" s="156"/>
      <c r="AQ697" s="156"/>
      <c r="AR697" s="156"/>
      <c r="AS697" s="156"/>
      <c r="AT697" s="156"/>
      <c r="AU697" s="156"/>
      <c r="AV697" s="156"/>
      <c r="AW697" s="156"/>
      <c r="AX697" s="156"/>
      <c r="AY697" s="156"/>
      <c r="AZ697" s="156"/>
      <c r="BA697" s="156"/>
      <c r="BB697" s="2890"/>
      <c r="BC697" s="504"/>
      <c r="BD697" s="2829"/>
      <c r="BE697" s="2837"/>
      <c r="BF697" s="156"/>
    </row>
    <row r="698" spans="1:58" ht="14.5" hidden="1" customHeight="1" outlineLevel="1" x14ac:dyDescent="0.35">
      <c r="A698" s="1071"/>
      <c r="B698" s="106"/>
      <c r="C698" s="103"/>
      <c r="D698" s="4140"/>
      <c r="E698" s="4138"/>
      <c r="F698" s="3931" t="str">
        <f t="shared" si="73"/>
        <v>CAC-SEER20_ER2_SF</v>
      </c>
      <c r="G698" s="3932"/>
      <c r="H698" s="3933"/>
      <c r="I698" s="2657" t="str">
        <f t="shared" si="72"/>
        <v>351180_2021_12_</v>
      </c>
      <c r="J698" s="2661">
        <v>12</v>
      </c>
      <c r="K698" s="569"/>
      <c r="L698" s="2893"/>
      <c r="M698" s="103"/>
      <c r="N698" s="1287"/>
      <c r="O698" s="103"/>
      <c r="P698" s="106"/>
      <c r="Q698" s="106"/>
      <c r="R698" s="106"/>
      <c r="S698" s="106"/>
      <c r="T698" s="106"/>
      <c r="U698" s="106"/>
      <c r="V698" s="4023"/>
      <c r="W698" s="596"/>
      <c r="X698" s="596"/>
      <c r="Y698" s="596"/>
      <c r="Z698" s="597">
        <v>12</v>
      </c>
      <c r="AA698" s="596">
        <v>12</v>
      </c>
      <c r="AB698" s="596">
        <v>12</v>
      </c>
      <c r="AC698" s="2894">
        <v>12</v>
      </c>
      <c r="AD698" s="2661">
        <v>12</v>
      </c>
      <c r="AE698" s="596"/>
      <c r="AF698" s="596"/>
      <c r="AG698" s="596"/>
      <c r="AH698" s="156"/>
      <c r="AI698" s="156"/>
      <c r="AJ698" s="156"/>
      <c r="AK698" s="156"/>
      <c r="AL698" s="156"/>
      <c r="AM698" s="156"/>
      <c r="AN698" s="156"/>
      <c r="AO698" s="156"/>
      <c r="AP698" s="156"/>
      <c r="AQ698" s="156"/>
      <c r="AR698" s="156"/>
      <c r="AS698" s="156"/>
      <c r="AT698" s="156"/>
      <c r="AU698" s="156"/>
      <c r="AV698" s="156"/>
      <c r="AW698" s="156"/>
      <c r="AX698" s="156"/>
      <c r="AY698" s="156"/>
      <c r="AZ698" s="156"/>
      <c r="BA698" s="156"/>
      <c r="BB698" s="2890"/>
      <c r="BC698" s="504"/>
      <c r="BD698" s="2829"/>
      <c r="BE698" s="2837"/>
      <c r="BF698" s="156"/>
    </row>
    <row r="699" spans="1:58" ht="14.5" hidden="1" customHeight="1" outlineLevel="1" x14ac:dyDescent="0.35">
      <c r="A699" s="1071"/>
      <c r="B699" s="106"/>
      <c r="C699" s="103"/>
      <c r="D699" s="4140"/>
      <c r="E699" s="4138"/>
      <c r="F699" s="3931" t="str">
        <f t="shared" si="73"/>
        <v>CAC-SEER20_ROF_SF</v>
      </c>
      <c r="G699" s="3932"/>
      <c r="H699" s="3933"/>
      <c r="I699" s="2657" t="str">
        <f t="shared" si="72"/>
        <v>351181_2021_12_</v>
      </c>
      <c r="J699" s="2661">
        <v>18</v>
      </c>
      <c r="K699" s="569"/>
      <c r="L699" s="2893"/>
      <c r="M699" s="103"/>
      <c r="N699" s="1287"/>
      <c r="O699" s="103"/>
      <c r="P699" s="106"/>
      <c r="Q699" s="106"/>
      <c r="R699" s="106"/>
      <c r="S699" s="106"/>
      <c r="T699" s="106"/>
      <c r="U699" s="106"/>
      <c r="V699" s="4023"/>
      <c r="W699" s="596"/>
      <c r="X699" s="596"/>
      <c r="Y699" s="596"/>
      <c r="Z699" s="597">
        <v>18</v>
      </c>
      <c r="AA699" s="596">
        <v>18</v>
      </c>
      <c r="AB699" s="596">
        <v>18</v>
      </c>
      <c r="AC699" s="2894">
        <v>18</v>
      </c>
      <c r="AD699" s="2661">
        <v>18</v>
      </c>
      <c r="AE699" s="596"/>
      <c r="AF699" s="596"/>
      <c r="AG699" s="596"/>
      <c r="AH699" s="156"/>
      <c r="AI699" s="156"/>
      <c r="AJ699" s="156"/>
      <c r="AK699" s="156"/>
      <c r="AL699" s="156"/>
      <c r="AM699" s="156"/>
      <c r="AN699" s="156"/>
      <c r="AO699" s="156"/>
      <c r="AP699" s="156"/>
      <c r="AQ699" s="156"/>
      <c r="AR699" s="156"/>
      <c r="AS699" s="156"/>
      <c r="AT699" s="156"/>
      <c r="AU699" s="156"/>
      <c r="AV699" s="156"/>
      <c r="AW699" s="156"/>
      <c r="AX699" s="156"/>
      <c r="AY699" s="156"/>
      <c r="AZ699" s="156"/>
      <c r="BA699" s="156"/>
      <c r="BB699" s="2890"/>
      <c r="BC699" s="504"/>
      <c r="BD699" s="2829"/>
      <c r="BE699" s="2837"/>
      <c r="BF699" s="156"/>
    </row>
    <row r="700" spans="1:58" ht="14.5" hidden="1" customHeight="1" outlineLevel="1" x14ac:dyDescent="0.35">
      <c r="A700" s="1071"/>
      <c r="B700" s="106"/>
      <c r="C700" s="103"/>
      <c r="D700" s="4140"/>
      <c r="E700" s="4138"/>
      <c r="F700" s="3931" t="str">
        <f t="shared" si="73"/>
        <v>CAC-SEER20_ER1_MF</v>
      </c>
      <c r="G700" s="3932"/>
      <c r="H700" s="3933"/>
      <c r="I700" s="2657" t="str">
        <f t="shared" si="72"/>
        <v>351182_2021_12_</v>
      </c>
      <c r="J700" s="2661">
        <v>6</v>
      </c>
      <c r="K700" s="569"/>
      <c r="L700" s="2893"/>
      <c r="M700" s="103"/>
      <c r="N700" s="1287"/>
      <c r="O700" s="103"/>
      <c r="P700" s="106"/>
      <c r="Q700" s="106"/>
      <c r="R700" s="106"/>
      <c r="S700" s="106"/>
      <c r="T700" s="106"/>
      <c r="U700" s="106"/>
      <c r="V700" s="4023"/>
      <c r="W700" s="596"/>
      <c r="X700" s="596"/>
      <c r="Y700" s="596"/>
      <c r="Z700" s="597">
        <v>6</v>
      </c>
      <c r="AA700" s="596">
        <v>6</v>
      </c>
      <c r="AB700" s="596">
        <v>6</v>
      </c>
      <c r="AC700" s="2894">
        <v>6</v>
      </c>
      <c r="AD700" s="2661">
        <v>6</v>
      </c>
      <c r="AE700" s="596"/>
      <c r="AF700" s="596"/>
      <c r="AG700" s="596"/>
      <c r="AH700" s="156"/>
      <c r="AI700" s="156"/>
      <c r="AJ700" s="156"/>
      <c r="AK700" s="156"/>
      <c r="AL700" s="156"/>
      <c r="AM700" s="156"/>
      <c r="AN700" s="156"/>
      <c r="AO700" s="156"/>
      <c r="AP700" s="156"/>
      <c r="AQ700" s="156"/>
      <c r="AR700" s="156"/>
      <c r="AS700" s="156"/>
      <c r="AT700" s="156"/>
      <c r="AU700" s="156"/>
      <c r="AV700" s="156"/>
      <c r="AW700" s="156"/>
      <c r="AX700" s="156"/>
      <c r="AY700" s="156"/>
      <c r="AZ700" s="156"/>
      <c r="BA700" s="156"/>
      <c r="BB700" s="2890"/>
      <c r="BC700" s="504"/>
      <c r="BD700" s="2829"/>
      <c r="BE700" s="2837"/>
      <c r="BF700" s="156"/>
    </row>
    <row r="701" spans="1:58" ht="14.5" hidden="1" customHeight="1" outlineLevel="1" x14ac:dyDescent="0.35">
      <c r="A701" s="1071"/>
      <c r="B701" s="106"/>
      <c r="C701" s="103"/>
      <c r="D701" s="4140"/>
      <c r="E701" s="4138"/>
      <c r="F701" s="3931" t="str">
        <f t="shared" si="73"/>
        <v>CAC-SEER20_ER2_MF</v>
      </c>
      <c r="G701" s="3932"/>
      <c r="H701" s="3933"/>
      <c r="I701" s="2657" t="str">
        <f t="shared" si="72"/>
        <v>351182_2021_12_</v>
      </c>
      <c r="J701" s="2661">
        <v>12</v>
      </c>
      <c r="K701" s="569"/>
      <c r="L701" s="2893"/>
      <c r="M701" s="103"/>
      <c r="N701" s="1287"/>
      <c r="O701" s="103"/>
      <c r="P701" s="106"/>
      <c r="Q701" s="106"/>
      <c r="R701" s="106"/>
      <c r="S701" s="106"/>
      <c r="T701" s="106"/>
      <c r="U701" s="106"/>
      <c r="V701" s="4023"/>
      <c r="W701" s="596"/>
      <c r="X701" s="596"/>
      <c r="Y701" s="596"/>
      <c r="Z701" s="597">
        <v>12</v>
      </c>
      <c r="AA701" s="596">
        <v>12</v>
      </c>
      <c r="AB701" s="596">
        <v>12</v>
      </c>
      <c r="AC701" s="2894">
        <v>12</v>
      </c>
      <c r="AD701" s="2661">
        <v>12</v>
      </c>
      <c r="AE701" s="596"/>
      <c r="AF701" s="596"/>
      <c r="AG701" s="596"/>
      <c r="AH701" s="156"/>
      <c r="AI701" s="156"/>
      <c r="AJ701" s="156"/>
      <c r="AK701" s="156"/>
      <c r="AL701" s="156"/>
      <c r="AM701" s="156"/>
      <c r="AN701" s="156"/>
      <c r="AO701" s="156"/>
      <c r="AP701" s="156"/>
      <c r="AQ701" s="156"/>
      <c r="AR701" s="156"/>
      <c r="AS701" s="156"/>
      <c r="AT701" s="156"/>
      <c r="AU701" s="156"/>
      <c r="AV701" s="156"/>
      <c r="AW701" s="156"/>
      <c r="AX701" s="156"/>
      <c r="AY701" s="156"/>
      <c r="AZ701" s="156"/>
      <c r="BA701" s="156"/>
      <c r="BB701" s="2890"/>
      <c r="BC701" s="504"/>
      <c r="BD701" s="2829"/>
      <c r="BE701" s="2837"/>
      <c r="BF701" s="156"/>
    </row>
    <row r="702" spans="1:58" ht="14.5" hidden="1" customHeight="1" outlineLevel="1" x14ac:dyDescent="0.35">
      <c r="A702" s="1071"/>
      <c r="B702" s="106"/>
      <c r="C702" s="103"/>
      <c r="D702" s="4140"/>
      <c r="E702" s="4138"/>
      <c r="F702" s="3931" t="str">
        <f t="shared" si="73"/>
        <v>CAC-SEER20_ER1_MF_CompE</v>
      </c>
      <c r="G702" s="3932"/>
      <c r="H702" s="3933"/>
      <c r="I702" s="2657" t="str">
        <f t="shared" si="72"/>
        <v>351183_2021_12_</v>
      </c>
      <c r="J702" s="2661">
        <v>6</v>
      </c>
      <c r="K702" s="569"/>
      <c r="L702" s="2893"/>
      <c r="M702" s="103"/>
      <c r="N702" s="1287"/>
      <c r="O702" s="103"/>
      <c r="P702" s="106"/>
      <c r="Q702" s="106"/>
      <c r="R702" s="106"/>
      <c r="S702" s="106"/>
      <c r="T702" s="106"/>
      <c r="U702" s="106"/>
      <c r="V702" s="4023"/>
      <c r="W702" s="596"/>
      <c r="X702" s="596"/>
      <c r="Y702" s="596"/>
      <c r="Z702" s="597">
        <v>6</v>
      </c>
      <c r="AA702" s="596">
        <v>6</v>
      </c>
      <c r="AB702" s="596">
        <v>6</v>
      </c>
      <c r="AC702" s="2894">
        <v>6</v>
      </c>
      <c r="AD702" s="2661">
        <v>6</v>
      </c>
      <c r="AE702" s="596"/>
      <c r="AF702" s="596"/>
      <c r="AG702" s="596"/>
      <c r="AH702" s="156"/>
      <c r="AI702" s="156"/>
      <c r="AJ702" s="156"/>
      <c r="AK702" s="156"/>
      <c r="AL702" s="156"/>
      <c r="AM702" s="156"/>
      <c r="AN702" s="156"/>
      <c r="AO702" s="156"/>
      <c r="AP702" s="156"/>
      <c r="AQ702" s="156"/>
      <c r="AR702" s="156"/>
      <c r="AS702" s="156"/>
      <c r="AT702" s="156"/>
      <c r="AU702" s="156"/>
      <c r="AV702" s="156"/>
      <c r="AW702" s="156"/>
      <c r="AX702" s="156"/>
      <c r="AY702" s="156"/>
      <c r="AZ702" s="156"/>
      <c r="BA702" s="156"/>
      <c r="BB702" s="2890"/>
      <c r="BC702" s="504"/>
      <c r="BD702" s="2829"/>
      <c r="BE702" s="2837"/>
      <c r="BF702" s="156"/>
    </row>
    <row r="703" spans="1:58" ht="14.5" hidden="1" customHeight="1" outlineLevel="1" x14ac:dyDescent="0.35">
      <c r="A703" s="1071"/>
      <c r="B703" s="106"/>
      <c r="C703" s="103"/>
      <c r="D703" s="4140"/>
      <c r="E703" s="4138"/>
      <c r="F703" s="3931" t="str">
        <f t="shared" si="73"/>
        <v>CAC-SEER20_ER2_MF_CompE</v>
      </c>
      <c r="G703" s="3932"/>
      <c r="H703" s="3933"/>
      <c r="I703" s="2657" t="str">
        <f t="shared" si="72"/>
        <v>351183_2021_12_</v>
      </c>
      <c r="J703" s="2661">
        <v>12</v>
      </c>
      <c r="K703" s="569"/>
      <c r="L703" s="2893"/>
      <c r="M703" s="103"/>
      <c r="N703" s="1287"/>
      <c r="O703" s="103"/>
      <c r="P703" s="106"/>
      <c r="Q703" s="106"/>
      <c r="R703" s="106"/>
      <c r="S703" s="106"/>
      <c r="T703" s="106"/>
      <c r="U703" s="106"/>
      <c r="V703" s="4023"/>
      <c r="W703" s="596"/>
      <c r="X703" s="596"/>
      <c r="Y703" s="596"/>
      <c r="Z703" s="597">
        <v>12</v>
      </c>
      <c r="AA703" s="596">
        <v>12</v>
      </c>
      <c r="AB703" s="596">
        <v>12</v>
      </c>
      <c r="AC703" s="2894">
        <v>12</v>
      </c>
      <c r="AD703" s="2661">
        <v>12</v>
      </c>
      <c r="AE703" s="596"/>
      <c r="AF703" s="596"/>
      <c r="AG703" s="596"/>
      <c r="AH703" s="156"/>
      <c r="AI703" s="156"/>
      <c r="AJ703" s="156"/>
      <c r="AK703" s="156"/>
      <c r="AL703" s="156"/>
      <c r="AM703" s="156"/>
      <c r="AN703" s="156"/>
      <c r="AO703" s="156"/>
      <c r="AP703" s="156"/>
      <c r="AQ703" s="156"/>
      <c r="AR703" s="156"/>
      <c r="AS703" s="156"/>
      <c r="AT703" s="156"/>
      <c r="AU703" s="156"/>
      <c r="AV703" s="156"/>
      <c r="AW703" s="156"/>
      <c r="AX703" s="156"/>
      <c r="AY703" s="156"/>
      <c r="AZ703" s="156"/>
      <c r="BA703" s="156"/>
      <c r="BB703" s="2890"/>
      <c r="BC703" s="504"/>
      <c r="BD703" s="2829"/>
      <c r="BE703" s="2837"/>
      <c r="BF703" s="156"/>
    </row>
    <row r="704" spans="1:58" ht="14.5" hidden="1" customHeight="1" outlineLevel="1" x14ac:dyDescent="0.35">
      <c r="A704" s="1071"/>
      <c r="B704" s="106"/>
      <c r="C704" s="103"/>
      <c r="D704" s="4140"/>
      <c r="E704" s="4138"/>
      <c r="F704" s="3931" t="str">
        <f t="shared" si="73"/>
        <v>CAC-SEER20_ROF_MF</v>
      </c>
      <c r="G704" s="3932"/>
      <c r="H704" s="3933"/>
      <c r="I704" s="2657" t="str">
        <f t="shared" si="72"/>
        <v>351184_2021_12_</v>
      </c>
      <c r="J704" s="2661">
        <v>18</v>
      </c>
      <c r="K704" s="569"/>
      <c r="L704" s="2893"/>
      <c r="M704" s="103"/>
      <c r="N704" s="1287"/>
      <c r="O704" s="103"/>
      <c r="P704" s="106"/>
      <c r="Q704" s="106"/>
      <c r="R704" s="106"/>
      <c r="S704" s="106"/>
      <c r="T704" s="106"/>
      <c r="U704" s="106"/>
      <c r="V704" s="4023"/>
      <c r="W704" s="596"/>
      <c r="X704" s="596"/>
      <c r="Y704" s="596"/>
      <c r="Z704" s="597">
        <v>18</v>
      </c>
      <c r="AA704" s="596">
        <v>18</v>
      </c>
      <c r="AB704" s="596">
        <v>18</v>
      </c>
      <c r="AC704" s="2894">
        <v>18</v>
      </c>
      <c r="AD704" s="2661">
        <v>18</v>
      </c>
      <c r="AE704" s="596"/>
      <c r="AF704" s="596"/>
      <c r="AG704" s="596"/>
      <c r="AH704" s="156"/>
      <c r="AI704" s="156"/>
      <c r="AJ704" s="156"/>
      <c r="AK704" s="156"/>
      <c r="AL704" s="156"/>
      <c r="AM704" s="156"/>
      <c r="AN704" s="156"/>
      <c r="AO704" s="156"/>
      <c r="AP704" s="156"/>
      <c r="AQ704" s="156"/>
      <c r="AR704" s="156"/>
      <c r="AS704" s="156"/>
      <c r="AT704" s="156"/>
      <c r="AU704" s="156"/>
      <c r="AV704" s="156"/>
      <c r="AW704" s="156"/>
      <c r="AX704" s="156"/>
      <c r="AY704" s="156"/>
      <c r="AZ704" s="156"/>
      <c r="BA704" s="156"/>
      <c r="BB704" s="2890"/>
      <c r="BC704" s="504"/>
      <c r="BD704" s="2829"/>
      <c r="BE704" s="2837"/>
      <c r="BF704" s="156"/>
    </row>
    <row r="705" spans="1:58" ht="14.5" hidden="1" customHeight="1" outlineLevel="1" x14ac:dyDescent="0.35">
      <c r="A705" s="1071"/>
      <c r="B705" s="106"/>
      <c r="C705" s="103"/>
      <c r="D705" s="4140"/>
      <c r="E705" s="4138"/>
      <c r="F705" s="3931" t="str">
        <f t="shared" si="73"/>
        <v>CAC-SEER20_ROF_MF_CompE</v>
      </c>
      <c r="G705" s="3932"/>
      <c r="H705" s="3933"/>
      <c r="I705" s="2657" t="str">
        <f t="shared" si="72"/>
        <v>351185_2021_12_</v>
      </c>
      <c r="J705" s="2661">
        <v>18</v>
      </c>
      <c r="K705" s="569"/>
      <c r="L705" s="2893"/>
      <c r="M705" s="103"/>
      <c r="N705" s="1287"/>
      <c r="O705" s="103"/>
      <c r="P705" s="106"/>
      <c r="Q705" s="106"/>
      <c r="R705" s="106"/>
      <c r="S705" s="106"/>
      <c r="T705" s="106"/>
      <c r="U705" s="106"/>
      <c r="V705" s="4023"/>
      <c r="W705" s="596"/>
      <c r="X705" s="596"/>
      <c r="Y705" s="596"/>
      <c r="Z705" s="597">
        <v>18</v>
      </c>
      <c r="AA705" s="596">
        <v>18</v>
      </c>
      <c r="AB705" s="596">
        <v>18</v>
      </c>
      <c r="AC705" s="2894">
        <v>18</v>
      </c>
      <c r="AD705" s="2661">
        <v>18</v>
      </c>
      <c r="AE705" s="596"/>
      <c r="AF705" s="596"/>
      <c r="AG705" s="596"/>
      <c r="AH705" s="156"/>
      <c r="AI705" s="156"/>
      <c r="AJ705" s="156"/>
      <c r="AK705" s="156"/>
      <c r="AL705" s="156"/>
      <c r="AM705" s="156"/>
      <c r="AN705" s="156"/>
      <c r="AO705" s="156"/>
      <c r="AP705" s="156"/>
      <c r="AQ705" s="156"/>
      <c r="AR705" s="156"/>
      <c r="AS705" s="156"/>
      <c r="AT705" s="156"/>
      <c r="AU705" s="156"/>
      <c r="AV705" s="156"/>
      <c r="AW705" s="156"/>
      <c r="AX705" s="156"/>
      <c r="AY705" s="156"/>
      <c r="AZ705" s="156"/>
      <c r="BA705" s="156"/>
      <c r="BB705" s="2890"/>
      <c r="BC705" s="504"/>
      <c r="BD705" s="2829"/>
      <c r="BE705" s="2837"/>
      <c r="BF705" s="156"/>
    </row>
    <row r="706" spans="1:58" ht="14.5" hidden="1" customHeight="1" outlineLevel="1" x14ac:dyDescent="0.35">
      <c r="A706" s="1071"/>
      <c r="B706" s="106"/>
      <c r="C706" s="103"/>
      <c r="D706" s="4140"/>
      <c r="E706" s="4138"/>
      <c r="F706" s="3931" t="str">
        <f t="shared" si="73"/>
        <v>CAC-SEER21+_ER1_SF</v>
      </c>
      <c r="G706" s="3932"/>
      <c r="H706" s="3933"/>
      <c r="I706" s="2657" t="str">
        <f t="shared" si="72"/>
        <v>351190_2021_12_</v>
      </c>
      <c r="J706" s="2661">
        <v>6</v>
      </c>
      <c r="K706" s="569"/>
      <c r="L706" s="2893"/>
      <c r="M706" s="103"/>
      <c r="N706" s="1287"/>
      <c r="O706" s="103"/>
      <c r="P706" s="106"/>
      <c r="Q706" s="106"/>
      <c r="R706" s="106"/>
      <c r="S706" s="106"/>
      <c r="T706" s="106"/>
      <c r="U706" s="106"/>
      <c r="V706" s="4023"/>
      <c r="W706" s="596"/>
      <c r="X706" s="596"/>
      <c r="Y706" s="596"/>
      <c r="Z706" s="597">
        <v>6</v>
      </c>
      <c r="AA706" s="596">
        <v>6</v>
      </c>
      <c r="AB706" s="596">
        <v>6</v>
      </c>
      <c r="AC706" s="2894">
        <v>6</v>
      </c>
      <c r="AD706" s="2661">
        <v>6</v>
      </c>
      <c r="AE706" s="596"/>
      <c r="AF706" s="596"/>
      <c r="AG706" s="596"/>
      <c r="AH706" s="156"/>
      <c r="AI706" s="156"/>
      <c r="AJ706" s="156"/>
      <c r="AK706" s="156"/>
      <c r="AL706" s="156"/>
      <c r="AM706" s="156"/>
      <c r="AN706" s="156"/>
      <c r="AO706" s="156"/>
      <c r="AP706" s="156"/>
      <c r="AQ706" s="156"/>
      <c r="AR706" s="156"/>
      <c r="AS706" s="156"/>
      <c r="AT706" s="156"/>
      <c r="AU706" s="156"/>
      <c r="AV706" s="156"/>
      <c r="AW706" s="156"/>
      <c r="AX706" s="156"/>
      <c r="AY706" s="156"/>
      <c r="AZ706" s="156"/>
      <c r="BA706" s="156"/>
      <c r="BB706" s="2890"/>
      <c r="BC706" s="504"/>
      <c r="BD706" s="2829"/>
      <c r="BE706" s="2837"/>
      <c r="BF706" s="156"/>
    </row>
    <row r="707" spans="1:58" ht="14.5" hidden="1" customHeight="1" outlineLevel="1" x14ac:dyDescent="0.35">
      <c r="A707" s="1071"/>
      <c r="B707" s="106"/>
      <c r="C707" s="103"/>
      <c r="D707" s="4140"/>
      <c r="E707" s="4138"/>
      <c r="F707" s="3931" t="str">
        <f t="shared" ref="F707:F714" si="74">F634</f>
        <v>CAC-SEER21+_ER2_SF</v>
      </c>
      <c r="G707" s="3932"/>
      <c r="H707" s="3933"/>
      <c r="I707" s="2657" t="str">
        <f t="shared" ref="I707:I714" si="75">I634</f>
        <v>351190_2021_12_</v>
      </c>
      <c r="J707" s="2661">
        <v>12</v>
      </c>
      <c r="K707" s="569"/>
      <c r="L707" s="2893"/>
      <c r="M707" s="103"/>
      <c r="N707" s="1287"/>
      <c r="O707" s="103"/>
      <c r="P707" s="106"/>
      <c r="Q707" s="106"/>
      <c r="R707" s="106"/>
      <c r="S707" s="106"/>
      <c r="T707" s="106"/>
      <c r="U707" s="106"/>
      <c r="V707" s="4023"/>
      <c r="W707" s="596"/>
      <c r="X707" s="596"/>
      <c r="Y707" s="596"/>
      <c r="Z707" s="597">
        <v>12</v>
      </c>
      <c r="AA707" s="596">
        <v>12</v>
      </c>
      <c r="AB707" s="596">
        <v>12</v>
      </c>
      <c r="AC707" s="2894">
        <v>12</v>
      </c>
      <c r="AD707" s="2661">
        <v>12</v>
      </c>
      <c r="AE707" s="596"/>
      <c r="AF707" s="596"/>
      <c r="AG707" s="596"/>
      <c r="AH707" s="156"/>
      <c r="AI707" s="156"/>
      <c r="AJ707" s="156"/>
      <c r="AK707" s="156"/>
      <c r="AL707" s="156"/>
      <c r="AM707" s="156"/>
      <c r="AN707" s="156"/>
      <c r="AO707" s="156"/>
      <c r="AP707" s="156"/>
      <c r="AQ707" s="156"/>
      <c r="AR707" s="156"/>
      <c r="AS707" s="156"/>
      <c r="AT707" s="156"/>
      <c r="AU707" s="156"/>
      <c r="AV707" s="156"/>
      <c r="AW707" s="156"/>
      <c r="AX707" s="156"/>
      <c r="AY707" s="156"/>
      <c r="AZ707" s="156"/>
      <c r="BA707" s="156"/>
      <c r="BB707" s="2890"/>
      <c r="BC707" s="504"/>
      <c r="BD707" s="2829"/>
      <c r="BE707" s="2837"/>
      <c r="BF707" s="156"/>
    </row>
    <row r="708" spans="1:58" ht="14.5" hidden="1" customHeight="1" outlineLevel="1" x14ac:dyDescent="0.35">
      <c r="A708" s="1071"/>
      <c r="B708" s="106"/>
      <c r="C708" s="103"/>
      <c r="D708" s="4140"/>
      <c r="E708" s="4138"/>
      <c r="F708" s="3931" t="str">
        <f t="shared" si="74"/>
        <v>CAC-SEER21+_ROF_SF</v>
      </c>
      <c r="G708" s="3932"/>
      <c r="H708" s="3933"/>
      <c r="I708" s="2657" t="str">
        <f t="shared" si="75"/>
        <v>351191_2021_12_</v>
      </c>
      <c r="J708" s="2661">
        <v>18</v>
      </c>
      <c r="K708" s="569"/>
      <c r="L708" s="2893"/>
      <c r="M708" s="103"/>
      <c r="N708" s="1287"/>
      <c r="O708" s="103"/>
      <c r="P708" s="106"/>
      <c r="Q708" s="106"/>
      <c r="R708" s="106"/>
      <c r="S708" s="106"/>
      <c r="T708" s="106"/>
      <c r="U708" s="106"/>
      <c r="V708" s="4023"/>
      <c r="W708" s="596"/>
      <c r="X708" s="596"/>
      <c r="Y708" s="596"/>
      <c r="Z708" s="597">
        <v>18</v>
      </c>
      <c r="AA708" s="596">
        <v>18</v>
      </c>
      <c r="AB708" s="596">
        <v>18</v>
      </c>
      <c r="AC708" s="2894">
        <v>18</v>
      </c>
      <c r="AD708" s="2661">
        <v>18</v>
      </c>
      <c r="AE708" s="596"/>
      <c r="AF708" s="596"/>
      <c r="AG708" s="596"/>
      <c r="AH708" s="156"/>
      <c r="AI708" s="156"/>
      <c r="AJ708" s="156"/>
      <c r="AK708" s="156"/>
      <c r="AL708" s="156"/>
      <c r="AM708" s="156"/>
      <c r="AN708" s="156"/>
      <c r="AO708" s="156"/>
      <c r="AP708" s="156"/>
      <c r="AQ708" s="156"/>
      <c r="AR708" s="156"/>
      <c r="AS708" s="156"/>
      <c r="AT708" s="156"/>
      <c r="AU708" s="156"/>
      <c r="AV708" s="156"/>
      <c r="AW708" s="156"/>
      <c r="AX708" s="156"/>
      <c r="AY708" s="156"/>
      <c r="AZ708" s="156"/>
      <c r="BA708" s="156"/>
      <c r="BB708" s="2890"/>
      <c r="BC708" s="504"/>
      <c r="BD708" s="2829"/>
      <c r="BE708" s="2837"/>
      <c r="BF708" s="156"/>
    </row>
    <row r="709" spans="1:58" ht="14.5" hidden="1" customHeight="1" outlineLevel="1" x14ac:dyDescent="0.35">
      <c r="A709" s="1071"/>
      <c r="B709" s="106"/>
      <c r="C709" s="103"/>
      <c r="D709" s="4140"/>
      <c r="E709" s="4138"/>
      <c r="F709" s="3931" t="str">
        <f t="shared" si="74"/>
        <v>CAC-SEER21+_ER1_MF</v>
      </c>
      <c r="G709" s="3932"/>
      <c r="H709" s="3933"/>
      <c r="I709" s="2657" t="str">
        <f t="shared" si="75"/>
        <v>351192_2021_12_</v>
      </c>
      <c r="J709" s="2661">
        <v>6</v>
      </c>
      <c r="K709" s="569"/>
      <c r="L709" s="2893"/>
      <c r="M709" s="103"/>
      <c r="N709" s="1287"/>
      <c r="O709" s="103"/>
      <c r="P709" s="106"/>
      <c r="Q709" s="106"/>
      <c r="R709" s="106"/>
      <c r="S709" s="106"/>
      <c r="T709" s="106"/>
      <c r="U709" s="106"/>
      <c r="V709" s="4023"/>
      <c r="W709" s="596"/>
      <c r="X709" s="596"/>
      <c r="Y709" s="596"/>
      <c r="Z709" s="597">
        <v>6</v>
      </c>
      <c r="AA709" s="596">
        <v>6</v>
      </c>
      <c r="AB709" s="596">
        <v>6</v>
      </c>
      <c r="AC709" s="2894">
        <v>6</v>
      </c>
      <c r="AD709" s="2661">
        <v>6</v>
      </c>
      <c r="AE709" s="596"/>
      <c r="AF709" s="596"/>
      <c r="AG709" s="596"/>
      <c r="AH709" s="156"/>
      <c r="AI709" s="156"/>
      <c r="AJ709" s="156"/>
      <c r="AK709" s="156"/>
      <c r="AL709" s="156"/>
      <c r="AM709" s="156"/>
      <c r="AN709" s="156"/>
      <c r="AO709" s="156"/>
      <c r="AP709" s="156"/>
      <c r="AQ709" s="156"/>
      <c r="AR709" s="156"/>
      <c r="AS709" s="156"/>
      <c r="AT709" s="156"/>
      <c r="AU709" s="156"/>
      <c r="AV709" s="156"/>
      <c r="AW709" s="156"/>
      <c r="AX709" s="156"/>
      <c r="AY709" s="156"/>
      <c r="AZ709" s="156"/>
      <c r="BA709" s="156"/>
      <c r="BB709" s="2890"/>
      <c r="BC709" s="504"/>
      <c r="BD709" s="2829"/>
      <c r="BE709" s="2837"/>
      <c r="BF709" s="156"/>
    </row>
    <row r="710" spans="1:58" ht="14.5" hidden="1" customHeight="1" outlineLevel="1" x14ac:dyDescent="0.35">
      <c r="A710" s="1071"/>
      <c r="B710" s="106"/>
      <c r="C710" s="103"/>
      <c r="D710" s="4140"/>
      <c r="E710" s="4138"/>
      <c r="F710" s="3931" t="str">
        <f t="shared" si="74"/>
        <v>CAC-SEER21+_ER2_MF</v>
      </c>
      <c r="G710" s="3932"/>
      <c r="H710" s="3933"/>
      <c r="I710" s="2657" t="str">
        <f t="shared" si="75"/>
        <v>351192_2021_12_</v>
      </c>
      <c r="J710" s="2661">
        <v>12</v>
      </c>
      <c r="K710" s="569"/>
      <c r="L710" s="2893"/>
      <c r="M710" s="103"/>
      <c r="N710" s="1287"/>
      <c r="O710" s="103"/>
      <c r="P710" s="106"/>
      <c r="Q710" s="106"/>
      <c r="R710" s="106"/>
      <c r="S710" s="106"/>
      <c r="T710" s="106"/>
      <c r="U710" s="106"/>
      <c r="V710" s="4023"/>
      <c r="W710" s="596"/>
      <c r="X710" s="596"/>
      <c r="Y710" s="596"/>
      <c r="Z710" s="597">
        <v>12</v>
      </c>
      <c r="AA710" s="596">
        <v>12</v>
      </c>
      <c r="AB710" s="596">
        <v>12</v>
      </c>
      <c r="AC710" s="2894">
        <v>12</v>
      </c>
      <c r="AD710" s="2661">
        <v>12</v>
      </c>
      <c r="AE710" s="596"/>
      <c r="AF710" s="596"/>
      <c r="AG710" s="596"/>
      <c r="AH710" s="156"/>
      <c r="AI710" s="156"/>
      <c r="AJ710" s="156"/>
      <c r="AK710" s="156"/>
      <c r="AL710" s="156"/>
      <c r="AM710" s="156"/>
      <c r="AN710" s="156"/>
      <c r="AO710" s="156"/>
      <c r="AP710" s="156"/>
      <c r="AQ710" s="156"/>
      <c r="AR710" s="156"/>
      <c r="AS710" s="156"/>
      <c r="AT710" s="156"/>
      <c r="AU710" s="156"/>
      <c r="AV710" s="156"/>
      <c r="AW710" s="156"/>
      <c r="AX710" s="156"/>
      <c r="AY710" s="156"/>
      <c r="AZ710" s="156"/>
      <c r="BA710" s="156"/>
      <c r="BB710" s="2890"/>
      <c r="BC710" s="504"/>
      <c r="BD710" s="2829"/>
      <c r="BE710" s="2837"/>
      <c r="BF710" s="156"/>
    </row>
    <row r="711" spans="1:58" ht="14.5" hidden="1" customHeight="1" outlineLevel="1" x14ac:dyDescent="0.35">
      <c r="A711" s="1071"/>
      <c r="B711" s="106"/>
      <c r="C711" s="103"/>
      <c r="D711" s="4140"/>
      <c r="E711" s="4138"/>
      <c r="F711" s="3931" t="str">
        <f t="shared" si="74"/>
        <v>CAC-SEER21+_ER1_MF_CompE</v>
      </c>
      <c r="G711" s="3932"/>
      <c r="H711" s="3933"/>
      <c r="I711" s="590" t="str">
        <f t="shared" si="75"/>
        <v>351193_2021_12_</v>
      </c>
      <c r="J711" s="2661">
        <v>6</v>
      </c>
      <c r="K711" s="2049"/>
      <c r="L711" s="2895"/>
      <c r="M711" s="103"/>
      <c r="N711" s="1287"/>
      <c r="O711" s="103"/>
      <c r="P711" s="106"/>
      <c r="Q711" s="106"/>
      <c r="R711" s="106"/>
      <c r="S711" s="106"/>
      <c r="T711" s="106"/>
      <c r="U711" s="106"/>
      <c r="V711" s="4023"/>
      <c r="W711" s="598"/>
      <c r="X711" s="598"/>
      <c r="Y711" s="598"/>
      <c r="Z711" s="1549">
        <v>6</v>
      </c>
      <c r="AA711" s="598">
        <v>6</v>
      </c>
      <c r="AB711" s="598">
        <v>6</v>
      </c>
      <c r="AC711" s="2894">
        <v>6</v>
      </c>
      <c r="AD711" s="2661">
        <v>6</v>
      </c>
      <c r="AE711" s="598"/>
      <c r="AF711" s="598"/>
      <c r="AG711" s="598"/>
      <c r="AH711" s="156"/>
      <c r="AI711" s="156"/>
      <c r="AJ711" s="156"/>
      <c r="AK711" s="156"/>
      <c r="AL711" s="156"/>
      <c r="AM711" s="156"/>
      <c r="AN711" s="156"/>
      <c r="AO711" s="156"/>
      <c r="AP711" s="156"/>
      <c r="AQ711" s="156"/>
      <c r="AR711" s="156"/>
      <c r="AS711" s="156"/>
      <c r="AT711" s="156"/>
      <c r="AU711" s="156"/>
      <c r="AV711" s="156"/>
      <c r="AW711" s="156"/>
      <c r="AX711" s="156"/>
      <c r="AY711" s="156"/>
      <c r="AZ711" s="156"/>
      <c r="BA711" s="156"/>
      <c r="BB711" s="2890"/>
      <c r="BC711" s="504"/>
      <c r="BD711" s="2829"/>
      <c r="BE711" s="2837"/>
      <c r="BF711" s="156"/>
    </row>
    <row r="712" spans="1:58" ht="14.5" hidden="1" customHeight="1" outlineLevel="1" x14ac:dyDescent="0.35">
      <c r="A712" s="1071"/>
      <c r="B712" s="106"/>
      <c r="C712" s="103"/>
      <c r="D712" s="4140"/>
      <c r="E712" s="4138"/>
      <c r="F712" s="3931" t="str">
        <f t="shared" si="74"/>
        <v>CAC-SEER21+_ER2_MF_CompE</v>
      </c>
      <c r="G712" s="3932"/>
      <c r="H712" s="3933"/>
      <c r="I712" s="590" t="str">
        <f t="shared" si="75"/>
        <v>351193_2021_12_</v>
      </c>
      <c r="J712" s="2661">
        <v>12</v>
      </c>
      <c r="K712" s="2049"/>
      <c r="L712" s="2895"/>
      <c r="M712" s="103"/>
      <c r="N712" s="1287"/>
      <c r="O712" s="103"/>
      <c r="P712" s="106"/>
      <c r="Q712" s="106"/>
      <c r="R712" s="106"/>
      <c r="S712" s="106"/>
      <c r="T712" s="106"/>
      <c r="U712" s="106"/>
      <c r="V712" s="4023"/>
      <c r="W712" s="598"/>
      <c r="X712" s="598"/>
      <c r="Y712" s="598"/>
      <c r="Z712" s="1549">
        <v>12</v>
      </c>
      <c r="AA712" s="598">
        <v>12</v>
      </c>
      <c r="AB712" s="598">
        <v>12</v>
      </c>
      <c r="AC712" s="2894">
        <v>12</v>
      </c>
      <c r="AD712" s="2661">
        <v>12</v>
      </c>
      <c r="AE712" s="598"/>
      <c r="AF712" s="598"/>
      <c r="AG712" s="598"/>
      <c r="AH712" s="156"/>
      <c r="AI712" s="156"/>
      <c r="AJ712" s="156"/>
      <c r="AK712" s="156"/>
      <c r="AL712" s="156"/>
      <c r="AM712" s="156"/>
      <c r="AN712" s="156"/>
      <c r="AO712" s="156"/>
      <c r="AP712" s="156"/>
      <c r="AQ712" s="156"/>
      <c r="AR712" s="156"/>
      <c r="AS712" s="156"/>
      <c r="AT712" s="156"/>
      <c r="AU712" s="156"/>
      <c r="AV712" s="156"/>
      <c r="AW712" s="156"/>
      <c r="AX712" s="156"/>
      <c r="AY712" s="156"/>
      <c r="AZ712" s="156"/>
      <c r="BA712" s="156"/>
      <c r="BB712" s="2890"/>
      <c r="BC712" s="504"/>
      <c r="BD712" s="2829"/>
      <c r="BE712" s="2837"/>
      <c r="BF712" s="156"/>
    </row>
    <row r="713" spans="1:58" ht="14.5" hidden="1" customHeight="1" outlineLevel="1" x14ac:dyDescent="0.35">
      <c r="A713" s="1071"/>
      <c r="B713" s="106"/>
      <c r="C713" s="103"/>
      <c r="D713" s="4140"/>
      <c r="E713" s="4138"/>
      <c r="F713" s="3931" t="str">
        <f t="shared" si="74"/>
        <v>CAC-SEER21+_ROF_MF</v>
      </c>
      <c r="G713" s="3932"/>
      <c r="H713" s="3933"/>
      <c r="I713" s="2657" t="str">
        <f t="shared" si="75"/>
        <v>351194_2021_12_</v>
      </c>
      <c r="J713" s="2661">
        <v>18</v>
      </c>
      <c r="K713" s="569"/>
      <c r="L713" s="2893"/>
      <c r="M713" s="103"/>
      <c r="N713" s="1287"/>
      <c r="O713" s="103"/>
      <c r="P713" s="106"/>
      <c r="Q713" s="106"/>
      <c r="R713" s="106"/>
      <c r="S713" s="106"/>
      <c r="T713" s="106"/>
      <c r="U713" s="106"/>
      <c r="V713" s="4023"/>
      <c r="W713" s="598"/>
      <c r="X713" s="598"/>
      <c r="Y713" s="598"/>
      <c r="Z713" s="1549">
        <v>18</v>
      </c>
      <c r="AA713" s="598">
        <v>18</v>
      </c>
      <c r="AB713" s="598">
        <v>18</v>
      </c>
      <c r="AC713" s="2894">
        <v>18</v>
      </c>
      <c r="AD713" s="2661">
        <v>18</v>
      </c>
      <c r="AE713" s="598"/>
      <c r="AF713" s="598"/>
      <c r="AG713" s="598"/>
      <c r="AH713" s="156"/>
      <c r="AI713" s="156"/>
      <c r="AJ713" s="156"/>
      <c r="AK713" s="156"/>
      <c r="AL713" s="156"/>
      <c r="AM713" s="156"/>
      <c r="AN713" s="156"/>
      <c r="AO713" s="156"/>
      <c r="AP713" s="156"/>
      <c r="AQ713" s="156"/>
      <c r="AR713" s="156"/>
      <c r="AS713" s="156"/>
      <c r="AT713" s="156"/>
      <c r="AU713" s="156"/>
      <c r="AV713" s="156"/>
      <c r="AW713" s="156"/>
      <c r="AX713" s="156"/>
      <c r="AY713" s="156"/>
      <c r="AZ713" s="156"/>
      <c r="BA713" s="156"/>
      <c r="BB713" s="2890"/>
      <c r="BC713" s="504"/>
      <c r="BD713" s="2829"/>
      <c r="BE713" s="2837"/>
      <c r="BF713" s="156"/>
    </row>
    <row r="714" spans="1:58" ht="14.5" hidden="1" customHeight="1" outlineLevel="1" thickBot="1" x14ac:dyDescent="0.4">
      <c r="A714" s="1071"/>
      <c r="B714" s="106"/>
      <c r="C714" s="103"/>
      <c r="D714" s="4141"/>
      <c r="E714" s="4139"/>
      <c r="F714" s="3922" t="str">
        <f t="shared" si="74"/>
        <v>CAC-SEER21+_ROF_MF_CompE</v>
      </c>
      <c r="G714" s="3923"/>
      <c r="H714" s="3924"/>
      <c r="I714" s="2662" t="str">
        <f t="shared" si="75"/>
        <v>351195_2021_12_</v>
      </c>
      <c r="J714" s="2663">
        <v>18</v>
      </c>
      <c r="K714" s="2664"/>
      <c r="L714" s="2896"/>
      <c r="M714" s="103"/>
      <c r="N714" s="1287"/>
      <c r="O714" s="103"/>
      <c r="P714" s="106"/>
      <c r="Q714" s="106"/>
      <c r="R714" s="106"/>
      <c r="S714" s="106"/>
      <c r="T714" s="106"/>
      <c r="U714" s="106"/>
      <c r="V714" s="4024"/>
      <c r="W714" s="599"/>
      <c r="X714" s="599"/>
      <c r="Y714" s="599"/>
      <c r="Z714" s="1550">
        <v>18</v>
      </c>
      <c r="AA714" s="599">
        <v>18</v>
      </c>
      <c r="AB714" s="599">
        <v>18</v>
      </c>
      <c r="AC714" s="2897">
        <v>18</v>
      </c>
      <c r="AD714" s="2663">
        <v>18</v>
      </c>
      <c r="AE714" s="599"/>
      <c r="AF714" s="599"/>
      <c r="AG714" s="599"/>
      <c r="AH714" s="156"/>
      <c r="AI714" s="156"/>
      <c r="AJ714" s="156"/>
      <c r="AK714" s="156"/>
      <c r="AL714" s="156"/>
      <c r="AM714" s="156"/>
      <c r="AN714" s="156"/>
      <c r="AO714" s="156"/>
      <c r="AP714" s="156"/>
      <c r="AQ714" s="156"/>
      <c r="AR714" s="156"/>
      <c r="AS714" s="156"/>
      <c r="AT714" s="156"/>
      <c r="AU714" s="156"/>
      <c r="AV714" s="156"/>
      <c r="AW714" s="156"/>
      <c r="AX714" s="156"/>
      <c r="AY714" s="156"/>
      <c r="AZ714" s="156"/>
      <c r="BA714" s="156"/>
      <c r="BB714" s="2890"/>
      <c r="BC714" s="504"/>
      <c r="BD714" s="2829"/>
      <c r="BE714" s="2837"/>
      <c r="BF714" s="156"/>
    </row>
    <row r="715" spans="1:58" ht="14.5" hidden="1" customHeight="1" outlineLevel="1" x14ac:dyDescent="0.35">
      <c r="A715" s="1071"/>
      <c r="B715" s="106"/>
      <c r="C715" s="103"/>
      <c r="D715" s="4064" t="s">
        <v>169</v>
      </c>
      <c r="E715" s="4021" t="str">
        <f>E101</f>
        <v>Incremental Cost ($)</v>
      </c>
      <c r="F715" s="3925" t="str">
        <f t="shared" ref="F715:F730" si="76">F643</f>
        <v>CAC-SEER14_ER1_SF</v>
      </c>
      <c r="G715" s="3926"/>
      <c r="H715" s="3927"/>
      <c r="I715" s="2656" t="str">
        <f t="shared" ref="I715:I778" si="77">I643</f>
        <v>350400_2021_12_</v>
      </c>
      <c r="J715" s="2467">
        <f>(($R$223/3*K715)+$R$210)-(($Q$223/3*K715)/((1+$R$225)^($R$226-1)))*J570</f>
        <v>444.07830140084025</v>
      </c>
      <c r="K715" s="1875">
        <f t="shared" ref="K715:K746" si="78">K282*J570</f>
        <v>2.98</v>
      </c>
      <c r="L715" s="2891"/>
      <c r="M715" s="103"/>
      <c r="N715" s="1287"/>
      <c r="O715" s="103"/>
      <c r="P715" s="106"/>
      <c r="Q715" s="106"/>
      <c r="R715" s="106"/>
      <c r="S715" s="106"/>
      <c r="T715" s="106"/>
      <c r="U715" s="106"/>
      <c r="V715" s="4021" t="str">
        <f>D715</f>
        <v>Inc. Cost</v>
      </c>
      <c r="W715" s="1558">
        <v>637.14870909240062</v>
      </c>
      <c r="X715" s="1559">
        <f>$Q$210*(X$282/12000)*X$570</f>
        <v>1363.5290126904986</v>
      </c>
      <c r="Y715" s="1559">
        <v>578.51488884773289</v>
      </c>
      <c r="Z715" s="1560">
        <v>444.07830140084025</v>
      </c>
      <c r="AA715" s="1558">
        <v>444.07830140084025</v>
      </c>
      <c r="AB715" s="2467">
        <v>444.07830140084025</v>
      </c>
      <c r="AC715" s="2898">
        <v>444.07830140084025</v>
      </c>
      <c r="AD715" s="2467">
        <f>(($R$223/3*AE715)+$R$210)-(($Q$223/3*AE715)/((1+$R$225)^($R$226-1)))*AD570</f>
        <v>0</v>
      </c>
      <c r="AE715" s="1558"/>
      <c r="AF715" s="1558"/>
      <c r="AG715" s="1558"/>
      <c r="AH715" s="156"/>
      <c r="AI715" s="156"/>
      <c r="AJ715" s="156"/>
      <c r="AK715" s="156"/>
      <c r="AL715" s="156"/>
      <c r="AM715" s="156"/>
      <c r="AN715" s="156"/>
      <c r="AO715" s="156"/>
      <c r="AP715" s="156"/>
      <c r="AQ715" s="156"/>
      <c r="AR715" s="156"/>
      <c r="AS715" s="156"/>
      <c r="AT715" s="156"/>
      <c r="AU715" s="156"/>
      <c r="AV715" s="156"/>
      <c r="AW715" s="156"/>
      <c r="AX715" s="156"/>
      <c r="AY715" s="156"/>
      <c r="AZ715" s="156"/>
      <c r="BA715" s="156"/>
      <c r="BB715" s="2890"/>
      <c r="BC715" s="504"/>
      <c r="BD715" s="2829"/>
      <c r="BE715" s="2837"/>
      <c r="BF715" s="156"/>
    </row>
    <row r="716" spans="1:58" ht="14.5" hidden="1" customHeight="1" outlineLevel="1" x14ac:dyDescent="0.35">
      <c r="A716" s="1071"/>
      <c r="B716" s="106"/>
      <c r="C716" s="103"/>
      <c r="D716" s="4076"/>
      <c r="E716" s="4022"/>
      <c r="F716" s="3931" t="str">
        <f t="shared" si="76"/>
        <v>CAC-SEER14_ER2_SF</v>
      </c>
      <c r="G716" s="3932"/>
      <c r="H716" s="3933"/>
      <c r="I716" s="2657" t="str">
        <f t="shared" si="77"/>
        <v>350400_2021_12_</v>
      </c>
      <c r="J716" s="1786"/>
      <c r="K716" s="52">
        <f t="shared" si="78"/>
        <v>2.98</v>
      </c>
      <c r="L716" s="2893"/>
      <c r="M716" s="103"/>
      <c r="N716" s="1287"/>
      <c r="O716" s="103"/>
      <c r="P716" s="106"/>
      <c r="Q716" s="106"/>
      <c r="R716" s="106"/>
      <c r="S716" s="106"/>
      <c r="T716" s="106"/>
      <c r="U716" s="106"/>
      <c r="V716" s="4022"/>
      <c r="W716" s="558"/>
      <c r="X716" s="1561"/>
      <c r="Y716" s="1562"/>
      <c r="Z716" s="1532"/>
      <c r="AA716" s="558"/>
      <c r="AB716" s="387"/>
      <c r="AC716" s="2899"/>
      <c r="AD716" s="1786"/>
      <c r="AE716" s="558"/>
      <c r="AF716" s="558"/>
      <c r="AG716" s="558"/>
      <c r="AH716" s="156"/>
      <c r="AI716" s="156"/>
      <c r="AJ716" s="156"/>
      <c r="AK716" s="156"/>
      <c r="AL716" s="156"/>
      <c r="AM716" s="156"/>
      <c r="AN716" s="156"/>
      <c r="AO716" s="156"/>
      <c r="AP716" s="156"/>
      <c r="AQ716" s="156"/>
      <c r="AR716" s="156"/>
      <c r="AS716" s="156"/>
      <c r="AT716" s="156"/>
      <c r="AU716" s="156"/>
      <c r="AV716" s="156"/>
      <c r="AW716" s="156"/>
      <c r="AX716" s="156"/>
      <c r="AY716" s="156"/>
      <c r="AZ716" s="156"/>
      <c r="BA716" s="156"/>
      <c r="BB716" s="2890"/>
      <c r="BC716" s="504"/>
      <c r="BD716" s="2829"/>
      <c r="BE716" s="2837"/>
      <c r="BF716" s="156"/>
    </row>
    <row r="717" spans="1:58" ht="14.5" hidden="1" customHeight="1" outlineLevel="1" x14ac:dyDescent="0.35">
      <c r="A717" s="1071"/>
      <c r="B717" s="106"/>
      <c r="C717" s="103"/>
      <c r="D717" s="4076"/>
      <c r="E717" s="4022"/>
      <c r="F717" s="3931" t="str">
        <f t="shared" si="76"/>
        <v>CAC-SEER14_ROF_SF</v>
      </c>
      <c r="G717" s="3932"/>
      <c r="H717" s="3933"/>
      <c r="I717" s="2657" t="str">
        <f t="shared" si="77"/>
        <v>350450_2021_12_</v>
      </c>
      <c r="J717" s="387"/>
      <c r="K717" s="52">
        <f t="shared" si="78"/>
        <v>2.97</v>
      </c>
      <c r="L717" s="2893"/>
      <c r="M717" s="103"/>
      <c r="N717" s="1287"/>
      <c r="O717" s="103"/>
      <c r="P717" s="106"/>
      <c r="Q717" s="106"/>
      <c r="R717" s="106"/>
      <c r="S717" s="106"/>
      <c r="T717" s="106"/>
      <c r="U717" s="106"/>
      <c r="V717" s="4022"/>
      <c r="W717" s="558"/>
      <c r="X717" s="602"/>
      <c r="Y717" s="603"/>
      <c r="Z717" s="1532"/>
      <c r="AA717" s="558"/>
      <c r="AB717" s="387"/>
      <c r="AC717" s="772"/>
      <c r="AD717" s="387"/>
      <c r="AE717" s="558"/>
      <c r="AF717" s="558"/>
      <c r="AG717" s="558"/>
      <c r="AH717" s="156"/>
      <c r="AI717" s="156"/>
      <c r="AJ717" s="156"/>
      <c r="AK717" s="156"/>
      <c r="AL717" s="156"/>
      <c r="AM717" s="156"/>
      <c r="AN717" s="156"/>
      <c r="AO717" s="156"/>
      <c r="AP717" s="156"/>
      <c r="AQ717" s="156"/>
      <c r="AR717" s="156"/>
      <c r="AS717" s="156"/>
      <c r="AT717" s="156"/>
      <c r="AU717" s="156"/>
      <c r="AV717" s="156"/>
      <c r="AW717" s="156"/>
      <c r="AX717" s="156"/>
      <c r="AY717" s="156"/>
      <c r="AZ717" s="156"/>
      <c r="BA717" s="156"/>
      <c r="BB717" s="2890"/>
      <c r="BC717" s="504"/>
      <c r="BD717" s="2829"/>
      <c r="BE717" s="2837"/>
      <c r="BF717" s="156"/>
    </row>
    <row r="718" spans="1:58" ht="14.5" hidden="1" customHeight="1" outlineLevel="1" x14ac:dyDescent="0.35">
      <c r="A718" s="1071"/>
      <c r="B718" s="106"/>
      <c r="C718" s="103"/>
      <c r="D718" s="4076"/>
      <c r="E718" s="4022"/>
      <c r="F718" s="3931" t="str">
        <f t="shared" si="76"/>
        <v>CAC-SEER14_ER1_MF</v>
      </c>
      <c r="G718" s="3932"/>
      <c r="H718" s="3933"/>
      <c r="I718" s="2657" t="str">
        <f t="shared" si="77"/>
        <v>350500_2021_12_</v>
      </c>
      <c r="J718" s="387">
        <f>(($R$223/3*K718)+$R$210)-(($Q$223/3*K718)/((1+$R$225)^$R$226))*J573</f>
        <v>388.26502607230418</v>
      </c>
      <c r="K718" s="52">
        <f t="shared" si="78"/>
        <v>2</v>
      </c>
      <c r="L718" s="2893"/>
      <c r="M718" s="103"/>
      <c r="N718" s="1287"/>
      <c r="O718" s="103"/>
      <c r="P718" s="106"/>
      <c r="Q718" s="106"/>
      <c r="R718" s="106"/>
      <c r="S718" s="106"/>
      <c r="T718" s="106"/>
      <c r="U718" s="106"/>
      <c r="V718" s="4022"/>
      <c r="W718" s="558">
        <v>637.14870909240062</v>
      </c>
      <c r="X718" s="603">
        <f>(X$285/12000)*$Q$210*X$573</f>
        <v>894.11738537081874</v>
      </c>
      <c r="Y718" s="603">
        <v>388.26502607230418</v>
      </c>
      <c r="Z718" s="1532">
        <v>388.26502607230418</v>
      </c>
      <c r="AA718" s="558">
        <v>388.26502607230418</v>
      </c>
      <c r="AB718" s="387">
        <v>388.26502607230418</v>
      </c>
      <c r="AC718" s="772">
        <v>388.26502607230418</v>
      </c>
      <c r="AD718" s="387">
        <f>(($R$223/3*AE718)+$R$210)-(($Q$223/3*AE718)/((1+$R$225)^$R$226))*AD573</f>
        <v>0</v>
      </c>
      <c r="AE718" s="558"/>
      <c r="AF718" s="558"/>
      <c r="AG718" s="558"/>
      <c r="AH718" s="156"/>
      <c r="AI718" s="156"/>
      <c r="AJ718" s="156"/>
      <c r="AK718" s="156"/>
      <c r="AL718" s="156"/>
      <c r="AM718" s="156"/>
      <c r="AN718" s="156"/>
      <c r="AO718" s="156"/>
      <c r="AP718" s="156"/>
      <c r="AQ718" s="156"/>
      <c r="AR718" s="156"/>
      <c r="AS718" s="156"/>
      <c r="AT718" s="156"/>
      <c r="AU718" s="156"/>
      <c r="AV718" s="156"/>
      <c r="AW718" s="156"/>
      <c r="AX718" s="156"/>
      <c r="AY718" s="156"/>
      <c r="AZ718" s="156"/>
      <c r="BA718" s="156"/>
      <c r="BB718" s="2890"/>
      <c r="BC718" s="504"/>
      <c r="BD718" s="2829"/>
      <c r="BE718" s="2837"/>
      <c r="BF718" s="156"/>
    </row>
    <row r="719" spans="1:58" ht="14.5" hidden="1" customHeight="1" outlineLevel="1" x14ac:dyDescent="0.35">
      <c r="A719" s="1071"/>
      <c r="B719" s="106"/>
      <c r="C719" s="103"/>
      <c r="D719" s="4076"/>
      <c r="E719" s="4022"/>
      <c r="F719" s="3931" t="str">
        <f t="shared" si="76"/>
        <v>CAC-SEER14_ER2_MF</v>
      </c>
      <c r="G719" s="3932"/>
      <c r="H719" s="3933"/>
      <c r="I719" s="2657" t="str">
        <f t="shared" si="77"/>
        <v>350500_2021_12_</v>
      </c>
      <c r="J719" s="387"/>
      <c r="K719" s="52">
        <f t="shared" si="78"/>
        <v>2</v>
      </c>
      <c r="L719" s="2893"/>
      <c r="M719" s="103"/>
      <c r="N719" s="1287"/>
      <c r="O719" s="103"/>
      <c r="P719" s="106"/>
      <c r="Q719" s="106"/>
      <c r="R719" s="106"/>
      <c r="S719" s="106"/>
      <c r="T719" s="106"/>
      <c r="U719" s="106"/>
      <c r="V719" s="4022"/>
      <c r="W719" s="558"/>
      <c r="X719" s="602"/>
      <c r="Y719" s="603"/>
      <c r="Z719" s="1532"/>
      <c r="AA719" s="558"/>
      <c r="AB719" s="387"/>
      <c r="AC719" s="772"/>
      <c r="AD719" s="387"/>
      <c r="AE719" s="558"/>
      <c r="AF719" s="558"/>
      <c r="AG719" s="558"/>
      <c r="AH719" s="156"/>
      <c r="AI719" s="156"/>
      <c r="AJ719" s="156"/>
      <c r="AK719" s="156"/>
      <c r="AL719" s="156"/>
      <c r="AM719" s="156"/>
      <c r="AN719" s="156"/>
      <c r="AO719" s="156"/>
      <c r="AP719" s="156"/>
      <c r="AQ719" s="156"/>
      <c r="AR719" s="156"/>
      <c r="AS719" s="156"/>
      <c r="AT719" s="156"/>
      <c r="AU719" s="156"/>
      <c r="AV719" s="156"/>
      <c r="AW719" s="156"/>
      <c r="AX719" s="156"/>
      <c r="AY719" s="156"/>
      <c r="AZ719" s="156"/>
      <c r="BA719" s="156"/>
      <c r="BB719" s="2890"/>
      <c r="BC719" s="504"/>
      <c r="BD719" s="2829"/>
      <c r="BE719" s="2837"/>
      <c r="BF719" s="156"/>
    </row>
    <row r="720" spans="1:58" ht="14.5" hidden="1" customHeight="1" outlineLevel="1" x14ac:dyDescent="0.35">
      <c r="A720" s="1071"/>
      <c r="B720" s="106"/>
      <c r="C720" s="103"/>
      <c r="D720" s="4076"/>
      <c r="E720" s="4022"/>
      <c r="F720" s="3931" t="str">
        <f t="shared" si="76"/>
        <v>CAC-SEER14_ER1_MF_CompE</v>
      </c>
      <c r="G720" s="3932"/>
      <c r="H720" s="3933"/>
      <c r="I720" s="2657" t="str">
        <f t="shared" si="77"/>
        <v>350501_2021_12_</v>
      </c>
      <c r="J720" s="387">
        <f>(($R$223/3*K720)+$R$210)-(($Q$223/3*K720)/((1+$R$225)^($R$226-1)))*J575</f>
        <v>298.03912845693981</v>
      </c>
      <c r="K720" s="52">
        <f t="shared" si="78"/>
        <v>2</v>
      </c>
      <c r="L720" s="2893"/>
      <c r="M720" s="103"/>
      <c r="N720" s="1287"/>
      <c r="O720" s="103"/>
      <c r="P720" s="106"/>
      <c r="Q720" s="106"/>
      <c r="R720" s="106"/>
      <c r="S720" s="106"/>
      <c r="T720" s="106"/>
      <c r="U720" s="106"/>
      <c r="V720" s="4022"/>
      <c r="W720" s="558"/>
      <c r="X720" s="602"/>
      <c r="Y720" s="603">
        <v>388.26502607230418</v>
      </c>
      <c r="Z720" s="1532">
        <v>298.03912845693981</v>
      </c>
      <c r="AA720" s="558">
        <v>298.03912845693981</v>
      </c>
      <c r="AB720" s="387">
        <v>298.03912845693981</v>
      </c>
      <c r="AC720" s="772">
        <v>298.03912845693981</v>
      </c>
      <c r="AD720" s="387">
        <f>(($R$223/3*AE720)+$R$210)-(($Q$223/3*AE720)/((1+$R$225)^($R$226-1)))*AD575</f>
        <v>0</v>
      </c>
      <c r="AE720" s="558"/>
      <c r="AF720" s="558"/>
      <c r="AG720" s="558"/>
      <c r="AH720" s="156"/>
      <c r="AI720" s="156"/>
      <c r="AJ720" s="156"/>
      <c r="AK720" s="156"/>
      <c r="AL720" s="156"/>
      <c r="AM720" s="156"/>
      <c r="AN720" s="156"/>
      <c r="AO720" s="156"/>
      <c r="AP720" s="156"/>
      <c r="AQ720" s="156"/>
      <c r="AR720" s="156"/>
      <c r="AS720" s="156"/>
      <c r="AT720" s="156"/>
      <c r="AU720" s="156"/>
      <c r="AV720" s="156"/>
      <c r="AW720" s="156"/>
      <c r="AX720" s="156"/>
      <c r="AY720" s="156"/>
      <c r="AZ720" s="156"/>
      <c r="BA720" s="156"/>
      <c r="BB720" s="2890"/>
      <c r="BC720" s="504"/>
      <c r="BD720" s="2829"/>
      <c r="BE720" s="2837"/>
      <c r="BF720" s="156"/>
    </row>
    <row r="721" spans="1:58" ht="14.5" hidden="1" customHeight="1" outlineLevel="1" x14ac:dyDescent="0.35">
      <c r="A721" s="1071"/>
      <c r="B721" s="106"/>
      <c r="C721" s="103"/>
      <c r="D721" s="4076"/>
      <c r="E721" s="4022"/>
      <c r="F721" s="3931" t="str">
        <f t="shared" si="76"/>
        <v>CAC-SEER14_ER2_MF_CompE</v>
      </c>
      <c r="G721" s="3932"/>
      <c r="H721" s="3933"/>
      <c r="I721" s="2657" t="str">
        <f t="shared" si="77"/>
        <v>350501_2021_12_</v>
      </c>
      <c r="J721" s="387"/>
      <c r="K721" s="52">
        <f t="shared" si="78"/>
        <v>2</v>
      </c>
      <c r="L721" s="2893"/>
      <c r="M721" s="103"/>
      <c r="N721" s="1287"/>
      <c r="O721" s="103"/>
      <c r="P721" s="106"/>
      <c r="Q721" s="106"/>
      <c r="R721" s="106"/>
      <c r="S721" s="106"/>
      <c r="T721" s="106"/>
      <c r="U721" s="106"/>
      <c r="V721" s="4022"/>
      <c r="W721" s="558"/>
      <c r="X721" s="602"/>
      <c r="Y721" s="603"/>
      <c r="Z721" s="1532"/>
      <c r="AA721" s="558"/>
      <c r="AB721" s="387"/>
      <c r="AC721" s="772"/>
      <c r="AD721" s="387"/>
      <c r="AE721" s="558"/>
      <c r="AF721" s="558"/>
      <c r="AG721" s="558"/>
      <c r="AH721" s="156"/>
      <c r="AI721" s="156"/>
      <c r="AJ721" s="156"/>
      <c r="AK721" s="156"/>
      <c r="AL721" s="156"/>
      <c r="AM721" s="156"/>
      <c r="AN721" s="156"/>
      <c r="AO721" s="156"/>
      <c r="AP721" s="156"/>
      <c r="AQ721" s="156"/>
      <c r="AR721" s="156"/>
      <c r="AS721" s="156"/>
      <c r="AT721" s="156"/>
      <c r="AU721" s="156"/>
      <c r="AV721" s="156"/>
      <c r="AW721" s="156"/>
      <c r="AX721" s="156"/>
      <c r="AY721" s="156"/>
      <c r="AZ721" s="156"/>
      <c r="BA721" s="156"/>
      <c r="BB721" s="2890"/>
      <c r="BC721" s="504"/>
      <c r="BD721" s="2829"/>
      <c r="BE721" s="2837"/>
      <c r="BF721" s="156"/>
    </row>
    <row r="722" spans="1:58" ht="14.25" hidden="1" customHeight="1" outlineLevel="1" x14ac:dyDescent="0.35">
      <c r="A722" s="1071"/>
      <c r="B722" s="106"/>
      <c r="C722" s="103"/>
      <c r="D722" s="4076"/>
      <c r="E722" s="4022"/>
      <c r="F722" s="3931" t="str">
        <f t="shared" si="76"/>
        <v>CAC-SEER14_ROF_MF</v>
      </c>
      <c r="G722" s="3932"/>
      <c r="H722" s="3933"/>
      <c r="I722" s="2657" t="str">
        <f t="shared" si="77"/>
        <v>350550_2021_12_</v>
      </c>
      <c r="J722" s="387">
        <f>$R$210*J577</f>
        <v>0</v>
      </c>
      <c r="K722" s="52">
        <f t="shared" si="78"/>
        <v>2</v>
      </c>
      <c r="L722" s="2893"/>
      <c r="M722" s="103"/>
      <c r="N722" s="1287"/>
      <c r="O722" s="103"/>
      <c r="P722" s="106"/>
      <c r="Q722" s="106"/>
      <c r="R722" s="106"/>
      <c r="S722" s="106"/>
      <c r="T722" s="106"/>
      <c r="U722" s="106"/>
      <c r="V722" s="4022"/>
      <c r="W722" s="558"/>
      <c r="X722" s="602"/>
      <c r="Y722" s="603">
        <v>0</v>
      </c>
      <c r="Z722" s="1532">
        <v>0</v>
      </c>
      <c r="AA722" s="558">
        <v>0</v>
      </c>
      <c r="AB722" s="387">
        <v>0</v>
      </c>
      <c r="AC722" s="772">
        <v>0</v>
      </c>
      <c r="AD722" s="387">
        <f>$R$210*AD577</f>
        <v>0</v>
      </c>
      <c r="AE722" s="558"/>
      <c r="AF722" s="558"/>
      <c r="AG722" s="558"/>
      <c r="AH722" s="156"/>
      <c r="AI722" s="156"/>
      <c r="AJ722" s="156"/>
      <c r="AK722" s="156"/>
      <c r="AL722" s="156"/>
      <c r="AM722" s="156"/>
      <c r="AN722" s="156"/>
      <c r="AO722" s="156"/>
      <c r="AP722" s="156"/>
      <c r="AQ722" s="156"/>
      <c r="AR722" s="156"/>
      <c r="AS722" s="156"/>
      <c r="AT722" s="156"/>
      <c r="AU722" s="156"/>
      <c r="AV722" s="156"/>
      <c r="AW722" s="156"/>
      <c r="AX722" s="156"/>
      <c r="AY722" s="156"/>
      <c r="AZ722" s="156"/>
      <c r="BA722" s="156"/>
      <c r="BB722" s="2890"/>
      <c r="BC722" s="504"/>
      <c r="BD722" s="2829"/>
      <c r="BE722" s="2837"/>
      <c r="BF722" s="156"/>
    </row>
    <row r="723" spans="1:58" ht="14.25" hidden="1" customHeight="1" outlineLevel="1" x14ac:dyDescent="0.35">
      <c r="A723" s="1071"/>
      <c r="B723" s="106"/>
      <c r="C723" s="103"/>
      <c r="D723" s="4076"/>
      <c r="E723" s="4022"/>
      <c r="F723" s="3931" t="str">
        <f t="shared" si="76"/>
        <v>CAC-SEER14_ROF_MF_CompE</v>
      </c>
      <c r="G723" s="3932"/>
      <c r="H723" s="3933"/>
      <c r="I723" s="2657" t="str">
        <f t="shared" si="77"/>
        <v>350551_2021_12_</v>
      </c>
      <c r="J723" s="387">
        <f>$R$210*J578</f>
        <v>0</v>
      </c>
      <c r="K723" s="52">
        <f t="shared" si="78"/>
        <v>2</v>
      </c>
      <c r="L723" s="2893"/>
      <c r="M723" s="103"/>
      <c r="N723" s="1287"/>
      <c r="O723" s="103"/>
      <c r="P723" s="106"/>
      <c r="Q723" s="106"/>
      <c r="R723" s="106"/>
      <c r="S723" s="106"/>
      <c r="T723" s="106"/>
      <c r="U723" s="106"/>
      <c r="V723" s="4022"/>
      <c r="W723" s="558"/>
      <c r="X723" s="602"/>
      <c r="Y723" s="603">
        <v>0</v>
      </c>
      <c r="Z723" s="1532">
        <v>0</v>
      </c>
      <c r="AA723" s="558">
        <v>0</v>
      </c>
      <c r="AB723" s="387">
        <v>0</v>
      </c>
      <c r="AC723" s="772">
        <v>0</v>
      </c>
      <c r="AD723" s="387">
        <f>$R$210*AD578</f>
        <v>0</v>
      </c>
      <c r="AE723" s="558"/>
      <c r="AF723" s="558"/>
      <c r="AG723" s="558"/>
      <c r="AH723" s="156"/>
      <c r="AI723" s="156"/>
      <c r="AJ723" s="156"/>
      <c r="AK723" s="156"/>
      <c r="AL723" s="156"/>
      <c r="AM723" s="156"/>
      <c r="AN723" s="156"/>
      <c r="AO723" s="156"/>
      <c r="AP723" s="156"/>
      <c r="AQ723" s="156"/>
      <c r="AR723" s="156"/>
      <c r="AS723" s="156"/>
      <c r="AT723" s="156"/>
      <c r="AU723" s="156"/>
      <c r="AV723" s="156"/>
      <c r="AW723" s="156"/>
      <c r="AX723" s="156"/>
      <c r="AY723" s="156"/>
      <c r="AZ723" s="156"/>
      <c r="BA723" s="156"/>
      <c r="BB723" s="2890"/>
      <c r="BC723" s="504"/>
      <c r="BD723" s="2829"/>
      <c r="BE723" s="2837"/>
      <c r="BF723" s="156"/>
    </row>
    <row r="724" spans="1:58" ht="14.5" hidden="1" customHeight="1" outlineLevel="1" x14ac:dyDescent="0.35">
      <c r="A724" s="1071"/>
      <c r="B724" s="106"/>
      <c r="C724" s="103"/>
      <c r="D724" s="4076"/>
      <c r="E724" s="4022"/>
      <c r="F724" s="3931" t="str">
        <f t="shared" si="76"/>
        <v>CAC-SEER15_ER1_SF</v>
      </c>
      <c r="G724" s="3932"/>
      <c r="H724" s="3933"/>
      <c r="I724" s="2657" t="str">
        <f t="shared" si="77"/>
        <v>350600_2021_12_</v>
      </c>
      <c r="J724" s="387">
        <f>(($R$223/3*K724)+$R$211)-(($Q$223/3*K724)/((1+$R$225)^($R$226-1)))*J579</f>
        <v>576.08335222863298</v>
      </c>
      <c r="K724" s="52">
        <f t="shared" si="78"/>
        <v>3.1410865724381627</v>
      </c>
      <c r="L724" s="2893"/>
      <c r="M724" s="103"/>
      <c r="N724" s="1287"/>
      <c r="O724" s="103"/>
      <c r="P724" s="106"/>
      <c r="Q724" s="106"/>
      <c r="R724" s="106"/>
      <c r="S724" s="106"/>
      <c r="T724" s="106"/>
      <c r="U724" s="106"/>
      <c r="V724" s="4022"/>
      <c r="W724" s="558">
        <v>1057.263580001641</v>
      </c>
      <c r="X724" s="603">
        <f>$Q$211*(X$291/12000)*X$579</f>
        <v>1692.9290126904984</v>
      </c>
      <c r="Y724" s="603">
        <v>742.81331762821719</v>
      </c>
      <c r="Z724" s="1532">
        <v>595.29397502709662</v>
      </c>
      <c r="AA724" s="558">
        <v>595.29397502709662</v>
      </c>
      <c r="AB724" s="387">
        <v>595.29397502709662</v>
      </c>
      <c r="AC724" s="567">
        <v>574.35262787904776</v>
      </c>
      <c r="AD724" s="387">
        <f>(($R$223/3*AE724)+$R$211)-(($Q$223/3*AE724)/((1+$R$225)^($R$226-1)))*AD579</f>
        <v>108</v>
      </c>
      <c r="AE724" s="558"/>
      <c r="AF724" s="558"/>
      <c r="AG724" s="558"/>
      <c r="AH724" s="156"/>
      <c r="AI724" s="156"/>
      <c r="AJ724" s="156"/>
      <c r="AK724" s="156"/>
      <c r="AL724" s="156"/>
      <c r="AM724" s="156"/>
      <c r="AN724" s="156"/>
      <c r="AO724" s="156"/>
      <c r="AP724" s="156"/>
      <c r="AQ724" s="156"/>
      <c r="AR724" s="156"/>
      <c r="AS724" s="156"/>
      <c r="AT724" s="156"/>
      <c r="AU724" s="156"/>
      <c r="AV724" s="156"/>
      <c r="AW724" s="156"/>
      <c r="AX724" s="156"/>
      <c r="AY724" s="156"/>
      <c r="AZ724" s="156"/>
      <c r="BA724" s="156"/>
      <c r="BB724" s="2890"/>
      <c r="BC724" s="504"/>
      <c r="BD724" s="2829"/>
      <c r="BE724" s="2837"/>
      <c r="BF724" s="156"/>
    </row>
    <row r="725" spans="1:58" ht="14.5" hidden="1" customHeight="1" outlineLevel="1" x14ac:dyDescent="0.35">
      <c r="A725" s="1071"/>
      <c r="B725" s="106"/>
      <c r="C725" s="103"/>
      <c r="D725" s="4076"/>
      <c r="E725" s="4022"/>
      <c r="F725" s="3931" t="str">
        <f t="shared" si="76"/>
        <v>CAC-SEER15_ER2_SF</v>
      </c>
      <c r="G725" s="3932"/>
      <c r="H725" s="3933"/>
      <c r="I725" s="2657" t="str">
        <f t="shared" si="77"/>
        <v>350600_2021_12_</v>
      </c>
      <c r="J725" s="387"/>
      <c r="K725" s="52">
        <f t="shared" si="78"/>
        <v>3.1410865724381627</v>
      </c>
      <c r="L725" s="2893"/>
      <c r="M725" s="103"/>
      <c r="N725" s="1287"/>
      <c r="O725" s="103"/>
      <c r="P725" s="106"/>
      <c r="Q725" s="106"/>
      <c r="R725" s="106"/>
      <c r="S725" s="106"/>
      <c r="T725" s="106"/>
      <c r="U725" s="106"/>
      <c r="V725" s="4022"/>
      <c r="W725" s="558"/>
      <c r="X725" s="602"/>
      <c r="Y725" s="603"/>
      <c r="Z725" s="1532"/>
      <c r="AA725" s="558"/>
      <c r="AB725" s="387"/>
      <c r="AC725" s="772"/>
      <c r="AD725" s="387"/>
      <c r="AE725" s="558"/>
      <c r="AF725" s="558"/>
      <c r="AG725" s="558"/>
      <c r="AH725" s="156"/>
      <c r="AI725" s="156"/>
      <c r="AJ725" s="156"/>
      <c r="AK725" s="156"/>
      <c r="AL725" s="156"/>
      <c r="AM725" s="156"/>
      <c r="AN725" s="156"/>
      <c r="AO725" s="156"/>
      <c r="AP725" s="156"/>
      <c r="AQ725" s="156"/>
      <c r="AR725" s="156"/>
      <c r="AS725" s="156"/>
      <c r="AT725" s="156"/>
      <c r="AU725" s="156"/>
      <c r="AV725" s="156"/>
      <c r="AW725" s="156"/>
      <c r="AX725" s="156"/>
      <c r="AY725" s="156"/>
      <c r="AZ725" s="156"/>
      <c r="BA725" s="156"/>
      <c r="BB725" s="2890"/>
      <c r="BC725" s="504"/>
      <c r="BD725" s="2829"/>
      <c r="BE725" s="2837"/>
      <c r="BF725" s="156"/>
    </row>
    <row r="726" spans="1:58" ht="14.5" hidden="1" customHeight="1" outlineLevel="1" x14ac:dyDescent="0.35">
      <c r="A726" s="1071"/>
      <c r="B726" s="106"/>
      <c r="C726" s="103"/>
      <c r="D726" s="4076"/>
      <c r="E726" s="4022"/>
      <c r="F726" s="3931" t="str">
        <f t="shared" si="76"/>
        <v>CAC-SEER15_ROF_SF</v>
      </c>
      <c r="G726" s="3932"/>
      <c r="H726" s="3933"/>
      <c r="I726" s="2657" t="str">
        <f t="shared" si="77"/>
        <v>350650_2021_12_</v>
      </c>
      <c r="J726" s="387">
        <f>$R$211*J581</f>
        <v>108</v>
      </c>
      <c r="K726" s="52">
        <f t="shared" si="78"/>
        <v>3.0586512524084779</v>
      </c>
      <c r="L726" s="2893"/>
      <c r="M726" s="103"/>
      <c r="N726" s="1287"/>
      <c r="O726" s="103"/>
      <c r="P726" s="106"/>
      <c r="Q726" s="106"/>
      <c r="R726" s="106"/>
      <c r="S726" s="106"/>
      <c r="T726" s="106"/>
      <c r="U726" s="106"/>
      <c r="V726" s="4022"/>
      <c r="W726" s="558">
        <v>324</v>
      </c>
      <c r="X726" s="603">
        <f>(X$285/12000)*$R$211*X$581</f>
        <v>216</v>
      </c>
      <c r="Y726" s="603">
        <v>108</v>
      </c>
      <c r="Z726" s="1532">
        <v>108</v>
      </c>
      <c r="AA726" s="558">
        <v>108</v>
      </c>
      <c r="AB726" s="387">
        <v>108</v>
      </c>
      <c r="AC726" s="772">
        <v>108</v>
      </c>
      <c r="AD726" s="387">
        <f>$R$211*AD581</f>
        <v>108</v>
      </c>
      <c r="AE726" s="558"/>
      <c r="AF726" s="558"/>
      <c r="AG726" s="558"/>
      <c r="AH726" s="156"/>
      <c r="AI726" s="156"/>
      <c r="AJ726" s="156"/>
      <c r="AK726" s="156"/>
      <c r="AL726" s="156"/>
      <c r="AM726" s="156"/>
      <c r="AN726" s="156"/>
      <c r="AO726" s="156"/>
      <c r="AP726" s="156"/>
      <c r="AQ726" s="156"/>
      <c r="AR726" s="156"/>
      <c r="AS726" s="156"/>
      <c r="AT726" s="156"/>
      <c r="AU726" s="156"/>
      <c r="AV726" s="156"/>
      <c r="AW726" s="156"/>
      <c r="AX726" s="156"/>
      <c r="AY726" s="156"/>
      <c r="AZ726" s="156"/>
      <c r="BA726" s="156"/>
      <c r="BB726" s="2890"/>
      <c r="BC726" s="504"/>
      <c r="BD726" s="2829"/>
      <c r="BE726" s="2837"/>
      <c r="BF726" s="156"/>
    </row>
    <row r="727" spans="1:58" ht="14.5" hidden="1" customHeight="1" outlineLevel="1" x14ac:dyDescent="0.35">
      <c r="A727" s="1071"/>
      <c r="B727" s="106"/>
      <c r="C727" s="103"/>
      <c r="D727" s="4076"/>
      <c r="E727" s="4022"/>
      <c r="F727" s="3931" t="str">
        <f t="shared" si="76"/>
        <v>CAC-SEER15_ER1_MF</v>
      </c>
      <c r="G727" s="3932"/>
      <c r="H727" s="3933"/>
      <c r="I727" s="2657" t="str">
        <f t="shared" si="77"/>
        <v>350700_2021_12_</v>
      </c>
      <c r="J727" s="387">
        <f>(($R$223/3*K727)+$R$211)-(($Q$223/3*K727)/((1+$R$225)^($R$226-1)))*J582</f>
        <v>465.6469541483275</v>
      </c>
      <c r="K727" s="52">
        <f t="shared" si="78"/>
        <v>2.4</v>
      </c>
      <c r="L727" s="2893"/>
      <c r="M727" s="103"/>
      <c r="N727" s="1287"/>
      <c r="O727" s="103"/>
      <c r="P727" s="106"/>
      <c r="Q727" s="106"/>
      <c r="R727" s="106"/>
      <c r="S727" s="106"/>
      <c r="T727" s="106"/>
      <c r="U727" s="106"/>
      <c r="V727" s="4022"/>
      <c r="W727" s="558">
        <v>1057.263580001641</v>
      </c>
      <c r="X727" s="603">
        <f>(X$294/12000)*$Q$211*X$582</f>
        <v>1120.7791377594842</v>
      </c>
      <c r="Y727" s="603">
        <v>496.26502607230418</v>
      </c>
      <c r="Z727" s="1532">
        <v>406.03912845693981</v>
      </c>
      <c r="AA727" s="558">
        <v>406.03912845693981</v>
      </c>
      <c r="AB727" s="387">
        <v>406.03912845693981</v>
      </c>
      <c r="AC727" s="567">
        <v>478.77486813988367</v>
      </c>
      <c r="AD727" s="387">
        <f>(($R$223/3*AE727)+$R$211)-(($Q$223/3*AE727)/((1+$R$225)^($R$226-1)))*AD582</f>
        <v>108</v>
      </c>
      <c r="AE727" s="558"/>
      <c r="AF727" s="558"/>
      <c r="AG727" s="558"/>
      <c r="AH727" s="156"/>
      <c r="AI727" s="156"/>
      <c r="AJ727" s="156"/>
      <c r="AK727" s="156"/>
      <c r="AL727" s="156"/>
      <c r="AM727" s="156"/>
      <c r="AN727" s="156"/>
      <c r="AO727" s="156"/>
      <c r="AP727" s="156"/>
      <c r="AQ727" s="156"/>
      <c r="AR727" s="156"/>
      <c r="AS727" s="156"/>
      <c r="AT727" s="156"/>
      <c r="AU727" s="156"/>
      <c r="AV727" s="156"/>
      <c r="AW727" s="156"/>
      <c r="AX727" s="156"/>
      <c r="AY727" s="156"/>
      <c r="AZ727" s="156"/>
      <c r="BA727" s="156"/>
      <c r="BB727" s="2890"/>
      <c r="BC727" s="504"/>
      <c r="BD727" s="2829"/>
      <c r="BE727" s="2837"/>
      <c r="BF727" s="156"/>
    </row>
    <row r="728" spans="1:58" ht="14.5" hidden="1" customHeight="1" outlineLevel="1" x14ac:dyDescent="0.35">
      <c r="A728" s="1071"/>
      <c r="B728" s="106"/>
      <c r="C728" s="103"/>
      <c r="D728" s="4076"/>
      <c r="E728" s="4022"/>
      <c r="F728" s="3931" t="str">
        <f t="shared" si="76"/>
        <v>CAC-SEER15_ER2_MF</v>
      </c>
      <c r="G728" s="3932"/>
      <c r="H728" s="3933"/>
      <c r="I728" s="2657" t="str">
        <f t="shared" si="77"/>
        <v>350700_2021_12_</v>
      </c>
      <c r="J728" s="387"/>
      <c r="K728" s="52">
        <f t="shared" si="78"/>
        <v>2.4</v>
      </c>
      <c r="L728" s="2893"/>
      <c r="M728" s="103"/>
      <c r="N728" s="1287"/>
      <c r="O728" s="103"/>
      <c r="P728" s="106"/>
      <c r="Q728" s="106"/>
      <c r="R728" s="106"/>
      <c r="S728" s="106"/>
      <c r="T728" s="106"/>
      <c r="U728" s="106"/>
      <c r="V728" s="4022"/>
      <c r="W728" s="558"/>
      <c r="X728" s="602"/>
      <c r="Y728" s="603"/>
      <c r="Z728" s="1532"/>
      <c r="AA728" s="558"/>
      <c r="AB728" s="387"/>
      <c r="AC728" s="772"/>
      <c r="AD728" s="387"/>
      <c r="AE728" s="558"/>
      <c r="AF728" s="558"/>
      <c r="AG728" s="558"/>
      <c r="AH728" s="156"/>
      <c r="AI728" s="156"/>
      <c r="AJ728" s="156"/>
      <c r="AK728" s="156"/>
      <c r="AL728" s="156"/>
      <c r="AM728" s="156"/>
      <c r="AN728" s="156"/>
      <c r="AO728" s="156"/>
      <c r="AP728" s="156"/>
      <c r="AQ728" s="156"/>
      <c r="AR728" s="156"/>
      <c r="AS728" s="156"/>
      <c r="AT728" s="156"/>
      <c r="AU728" s="156"/>
      <c r="AV728" s="156"/>
      <c r="AW728" s="156"/>
      <c r="AX728" s="156"/>
      <c r="AY728" s="156"/>
      <c r="AZ728" s="156"/>
      <c r="BA728" s="156"/>
      <c r="BB728" s="2890"/>
      <c r="BC728" s="504"/>
      <c r="BD728" s="2829"/>
      <c r="BE728" s="2837"/>
      <c r="BF728" s="156"/>
    </row>
    <row r="729" spans="1:58" ht="14.5" hidden="1" customHeight="1" outlineLevel="1" x14ac:dyDescent="0.35">
      <c r="A729" s="1071"/>
      <c r="B729" s="106"/>
      <c r="C729" s="103"/>
      <c r="D729" s="4076"/>
      <c r="E729" s="4022"/>
      <c r="F729" s="3931" t="str">
        <f t="shared" si="76"/>
        <v>CAC-SEER15_ER1_MF_CompE</v>
      </c>
      <c r="G729" s="3932"/>
      <c r="H729" s="3933"/>
      <c r="I729" s="2657" t="str">
        <f t="shared" si="77"/>
        <v>350701_2021_12_</v>
      </c>
      <c r="J729" s="387">
        <f>(($R$223/3*K729)+$R$211)-(($Q$223/3*K729)/((1+$R$225)^($R$226-1)))*J584</f>
        <v>465.6469541483275</v>
      </c>
      <c r="K729" s="52">
        <f t="shared" si="78"/>
        <v>2.4</v>
      </c>
      <c r="L729" s="2893"/>
      <c r="M729" s="103"/>
      <c r="N729" s="1287"/>
      <c r="O729" s="103"/>
      <c r="P729" s="106"/>
      <c r="Q729" s="106"/>
      <c r="R729" s="106"/>
      <c r="S729" s="106"/>
      <c r="T729" s="106"/>
      <c r="U729" s="106"/>
      <c r="V729" s="4022"/>
      <c r="W729" s="558"/>
      <c r="X729" s="602"/>
      <c r="Y729" s="603">
        <v>496.26502607230418</v>
      </c>
      <c r="Z729" s="1532">
        <v>406.03912845693981</v>
      </c>
      <c r="AA729" s="558">
        <v>406.03912845693981</v>
      </c>
      <c r="AB729" s="387">
        <v>406.03912845693981</v>
      </c>
      <c r="AC729" s="567">
        <v>478.77486813988367</v>
      </c>
      <c r="AD729" s="387">
        <f>(($R$223/3*AE729)+$R$211)-(($Q$223/3*AE729)/((1+$R$225)^($R$226-1)))*AD584</f>
        <v>108</v>
      </c>
      <c r="AE729" s="558"/>
      <c r="AF729" s="558"/>
      <c r="AG729" s="558"/>
      <c r="AH729" s="156"/>
      <c r="AI729" s="156"/>
      <c r="AJ729" s="156"/>
      <c r="AK729" s="156"/>
      <c r="AL729" s="156"/>
      <c r="AM729" s="156"/>
      <c r="AN729" s="156"/>
      <c r="AO729" s="156"/>
      <c r="AP729" s="156"/>
      <c r="AQ729" s="156"/>
      <c r="AR729" s="156"/>
      <c r="AS729" s="156"/>
      <c r="AT729" s="156"/>
      <c r="AU729" s="156"/>
      <c r="AV729" s="156"/>
      <c r="AW729" s="156"/>
      <c r="AX729" s="156"/>
      <c r="AY729" s="156"/>
      <c r="AZ729" s="156"/>
      <c r="BA729" s="156"/>
      <c r="BB729" s="2890"/>
      <c r="BC729" s="504"/>
      <c r="BD729" s="2829"/>
      <c r="BE729" s="2837"/>
      <c r="BF729" s="156"/>
    </row>
    <row r="730" spans="1:58" ht="14.5" hidden="1" customHeight="1" outlineLevel="1" x14ac:dyDescent="0.35">
      <c r="A730" s="1071"/>
      <c r="B730" s="106"/>
      <c r="C730" s="103"/>
      <c r="D730" s="4076"/>
      <c r="E730" s="4022"/>
      <c r="F730" s="3931" t="str">
        <f t="shared" si="76"/>
        <v>CAC-SEER15_ER2_MF_CompE</v>
      </c>
      <c r="G730" s="3932"/>
      <c r="H730" s="3933"/>
      <c r="I730" s="2657" t="str">
        <f t="shared" si="77"/>
        <v>350701_2021_12_</v>
      </c>
      <c r="J730" s="387"/>
      <c r="K730" s="52">
        <f t="shared" si="78"/>
        <v>2.4</v>
      </c>
      <c r="L730" s="2893"/>
      <c r="M730" s="103"/>
      <c r="N730" s="1287"/>
      <c r="O730" s="103"/>
      <c r="P730" s="106"/>
      <c r="Q730" s="106"/>
      <c r="R730" s="106"/>
      <c r="S730" s="106"/>
      <c r="T730" s="106"/>
      <c r="U730" s="106"/>
      <c r="V730" s="4022"/>
      <c r="W730" s="558"/>
      <c r="X730" s="602"/>
      <c r="Y730" s="603"/>
      <c r="Z730" s="1532"/>
      <c r="AA730" s="558"/>
      <c r="AB730" s="387"/>
      <c r="AC730" s="772"/>
      <c r="AD730" s="387"/>
      <c r="AE730" s="558"/>
      <c r="AF730" s="558"/>
      <c r="AG730" s="558"/>
      <c r="AH730" s="156"/>
      <c r="AI730" s="156"/>
      <c r="AJ730" s="156"/>
      <c r="AK730" s="156"/>
      <c r="AL730" s="156"/>
      <c r="AM730" s="156"/>
      <c r="AN730" s="156"/>
      <c r="AO730" s="156"/>
      <c r="AP730" s="156"/>
      <c r="AQ730" s="156"/>
      <c r="AR730" s="156"/>
      <c r="AS730" s="156"/>
      <c r="AT730" s="156"/>
      <c r="AU730" s="156"/>
      <c r="AV730" s="156"/>
      <c r="AW730" s="156"/>
      <c r="AX730" s="156"/>
      <c r="AY730" s="156"/>
      <c r="AZ730" s="156"/>
      <c r="BA730" s="156"/>
      <c r="BB730" s="2890"/>
      <c r="BC730" s="504"/>
      <c r="BD730" s="2829"/>
      <c r="BE730" s="2837"/>
      <c r="BF730" s="156"/>
    </row>
    <row r="731" spans="1:58" ht="14.25" hidden="1" customHeight="1" outlineLevel="1" x14ac:dyDescent="0.35">
      <c r="A731" s="1071"/>
      <c r="B731" s="106"/>
      <c r="C731" s="103"/>
      <c r="D731" s="4076"/>
      <c r="E731" s="4022"/>
      <c r="F731" s="3931" t="str">
        <f t="shared" ref="F731:F786" si="79">F659</f>
        <v>CAC-SEER15_ROF_MF</v>
      </c>
      <c r="G731" s="3932"/>
      <c r="H731" s="3933"/>
      <c r="I731" s="2657" t="str">
        <f t="shared" si="77"/>
        <v>350750_2021_12_</v>
      </c>
      <c r="J731" s="387">
        <f>$R$211*J586</f>
        <v>108</v>
      </c>
      <c r="K731" s="52">
        <f t="shared" si="78"/>
        <v>1.5132450331125828</v>
      </c>
      <c r="L731" s="2893"/>
      <c r="M731" s="103"/>
      <c r="N731" s="1287"/>
      <c r="O731" s="103"/>
      <c r="P731" s="106"/>
      <c r="Q731" s="106"/>
      <c r="R731" s="106"/>
      <c r="S731" s="106"/>
      <c r="T731" s="106"/>
      <c r="U731" s="106"/>
      <c r="V731" s="4022"/>
      <c r="W731" s="558">
        <v>324</v>
      </c>
      <c r="X731" s="603">
        <f>(X$298/12000)*$R$211*X$586</f>
        <v>218.0745</v>
      </c>
      <c r="Y731" s="603">
        <v>108</v>
      </c>
      <c r="Z731" s="1532">
        <v>108</v>
      </c>
      <c r="AA731" s="558">
        <v>108</v>
      </c>
      <c r="AB731" s="387">
        <v>108</v>
      </c>
      <c r="AC731" s="772">
        <v>108</v>
      </c>
      <c r="AD731" s="387">
        <f>$R$211*AD586</f>
        <v>108</v>
      </c>
      <c r="AE731" s="558"/>
      <c r="AF731" s="558"/>
      <c r="AG731" s="558"/>
      <c r="AH731" s="156"/>
      <c r="AI731" s="156"/>
      <c r="AJ731" s="156"/>
      <c r="AK731" s="156"/>
      <c r="AL731" s="156"/>
      <c r="AM731" s="156"/>
      <c r="AN731" s="156"/>
      <c r="AO731" s="156"/>
      <c r="AP731" s="156"/>
      <c r="AQ731" s="156"/>
      <c r="AR731" s="156"/>
      <c r="AS731" s="156"/>
      <c r="AT731" s="156"/>
      <c r="AU731" s="156"/>
      <c r="AV731" s="156"/>
      <c r="AW731" s="156"/>
      <c r="AX731" s="156"/>
      <c r="AY731" s="156"/>
      <c r="AZ731" s="156"/>
      <c r="BA731" s="156"/>
      <c r="BB731" s="2890"/>
      <c r="BC731" s="504"/>
      <c r="BD731" s="2829"/>
      <c r="BE731" s="2837"/>
      <c r="BF731" s="156"/>
    </row>
    <row r="732" spans="1:58" ht="14.25" hidden="1" customHeight="1" outlineLevel="1" x14ac:dyDescent="0.35">
      <c r="A732" s="1071"/>
      <c r="B732" s="106"/>
      <c r="C732" s="103"/>
      <c r="D732" s="4076"/>
      <c r="E732" s="4022"/>
      <c r="F732" s="3931" t="str">
        <f t="shared" si="79"/>
        <v>CAC-SEER15_ROF_MF_CompE</v>
      </c>
      <c r="G732" s="3932"/>
      <c r="H732" s="3933"/>
      <c r="I732" s="2657" t="str">
        <f t="shared" si="77"/>
        <v>350751_2021_12_</v>
      </c>
      <c r="J732" s="387">
        <f>$R$211*J587</f>
        <v>108</v>
      </c>
      <c r="K732" s="52">
        <f t="shared" si="78"/>
        <v>1.5132450331125828</v>
      </c>
      <c r="L732" s="2893"/>
      <c r="M732" s="103"/>
      <c r="N732" s="1287"/>
      <c r="O732" s="103"/>
      <c r="P732" s="106"/>
      <c r="Q732" s="106"/>
      <c r="R732" s="106"/>
      <c r="S732" s="106"/>
      <c r="T732" s="106"/>
      <c r="U732" s="106"/>
      <c r="V732" s="4022"/>
      <c r="W732" s="558"/>
      <c r="X732" s="603"/>
      <c r="Y732" s="603">
        <v>108</v>
      </c>
      <c r="Z732" s="1532">
        <v>108</v>
      </c>
      <c r="AA732" s="558">
        <v>108</v>
      </c>
      <c r="AB732" s="387">
        <v>108</v>
      </c>
      <c r="AC732" s="772">
        <v>108</v>
      </c>
      <c r="AD732" s="387">
        <f>$R$211*AD587</f>
        <v>108</v>
      </c>
      <c r="AE732" s="558"/>
      <c r="AF732" s="558"/>
      <c r="AG732" s="558"/>
      <c r="AH732" s="156"/>
      <c r="AI732" s="156"/>
      <c r="AJ732" s="156"/>
      <c r="AK732" s="156"/>
      <c r="AL732" s="156"/>
      <c r="AM732" s="156"/>
      <c r="AN732" s="156"/>
      <c r="AO732" s="156"/>
      <c r="AP732" s="156"/>
      <c r="AQ732" s="156"/>
      <c r="AR732" s="156"/>
      <c r="AS732" s="156"/>
      <c r="AT732" s="156"/>
      <c r="AU732" s="156"/>
      <c r="AV732" s="156"/>
      <c r="AW732" s="156"/>
      <c r="AX732" s="156"/>
      <c r="AY732" s="156"/>
      <c r="AZ732" s="156"/>
      <c r="BA732" s="156"/>
      <c r="BB732" s="2890"/>
      <c r="BC732" s="504"/>
      <c r="BD732" s="2829"/>
      <c r="BE732" s="2837"/>
      <c r="BF732" s="156"/>
    </row>
    <row r="733" spans="1:58" ht="14.5" hidden="1" customHeight="1" outlineLevel="1" x14ac:dyDescent="0.35">
      <c r="A733" s="1071"/>
      <c r="B733" s="106"/>
      <c r="C733" s="103"/>
      <c r="D733" s="4076"/>
      <c r="E733" s="4022"/>
      <c r="F733" s="3931" t="str">
        <f t="shared" si="79"/>
        <v>CAC-SEER16_ER1_SF</v>
      </c>
      <c r="G733" s="3932"/>
      <c r="H733" s="3933"/>
      <c r="I733" s="2657" t="str">
        <f t="shared" si="77"/>
        <v>350800_2021_12_</v>
      </c>
      <c r="J733" s="387">
        <f>(($R$223/3*K733)+$R$212)-(($Q$223/3*K733)/((1+$R$225)^($R$226-1)))*J588</f>
        <v>654.75771519284399</v>
      </c>
      <c r="K733" s="52">
        <f t="shared" si="78"/>
        <v>2.9107434143870319</v>
      </c>
      <c r="L733" s="2893"/>
      <c r="M733" s="103"/>
      <c r="N733" s="1287"/>
      <c r="O733" s="103"/>
      <c r="P733" s="106"/>
      <c r="Q733" s="106"/>
      <c r="R733" s="106"/>
      <c r="S733" s="106"/>
      <c r="T733" s="106"/>
      <c r="U733" s="106"/>
      <c r="V733" s="4022"/>
      <c r="W733" s="558">
        <v>1343.486999395481</v>
      </c>
      <c r="X733" s="603">
        <f>$Q$212*(X$300/12000)*X$588</f>
        <v>2037.5790126904985</v>
      </c>
      <c r="Y733" s="603">
        <v>815.0454898906255</v>
      </c>
      <c r="Z733" s="1532">
        <v>676.9998665391181</v>
      </c>
      <c r="AA733" s="558">
        <v>676.9998665391181</v>
      </c>
      <c r="AB733" s="387">
        <v>676.9998665391181</v>
      </c>
      <c r="AC733" s="567">
        <v>661.30099318631073</v>
      </c>
      <c r="AD733" s="387">
        <f>(($R$223/3*AE733)+$R$212)-(($Q$223/3*AE733)/((1+$R$225)^($R$226-1)))*AD588</f>
        <v>221</v>
      </c>
      <c r="AE733" s="558"/>
      <c r="AF733" s="558"/>
      <c r="AG733" s="558"/>
      <c r="AH733" s="156"/>
      <c r="AI733" s="156"/>
      <c r="AJ733" s="156"/>
      <c r="AK733" s="156"/>
      <c r="AL733" s="156"/>
      <c r="AM733" s="156"/>
      <c r="AN733" s="156"/>
      <c r="AO733" s="156"/>
      <c r="AP733" s="156"/>
      <c r="AQ733" s="156"/>
      <c r="AR733" s="156"/>
      <c r="AS733" s="156"/>
      <c r="AT733" s="156"/>
      <c r="AU733" s="156"/>
      <c r="AV733" s="156"/>
      <c r="AW733" s="156"/>
      <c r="AX733" s="156"/>
      <c r="AY733" s="156"/>
      <c r="AZ733" s="156"/>
      <c r="BA733" s="156"/>
      <c r="BB733" s="2890"/>
      <c r="BC733" s="504"/>
      <c r="BD733" s="2829"/>
      <c r="BE733" s="2837"/>
      <c r="BF733" s="156"/>
    </row>
    <row r="734" spans="1:58" ht="14.5" hidden="1" customHeight="1" outlineLevel="1" x14ac:dyDescent="0.35">
      <c r="A734" s="1071"/>
      <c r="B734" s="106"/>
      <c r="C734" s="103"/>
      <c r="D734" s="4076"/>
      <c r="E734" s="4022"/>
      <c r="F734" s="3931" t="str">
        <f t="shared" si="79"/>
        <v>CAC-SEER16_ER2_SF</v>
      </c>
      <c r="G734" s="3932"/>
      <c r="H734" s="3933"/>
      <c r="I734" s="2657" t="str">
        <f t="shared" si="77"/>
        <v>350800_2021_12_</v>
      </c>
      <c r="J734" s="387"/>
      <c r="K734" s="52">
        <f t="shared" si="78"/>
        <v>2.9107434143870319</v>
      </c>
      <c r="L734" s="2893"/>
      <c r="M734" s="103"/>
      <c r="N734" s="1287"/>
      <c r="O734" s="103"/>
      <c r="P734" s="106"/>
      <c r="Q734" s="106"/>
      <c r="R734" s="106"/>
      <c r="S734" s="106"/>
      <c r="T734" s="106"/>
      <c r="U734" s="106"/>
      <c r="V734" s="4022"/>
      <c r="W734" s="558"/>
      <c r="X734" s="602"/>
      <c r="Y734" s="603"/>
      <c r="Z734" s="1532"/>
      <c r="AA734" s="558"/>
      <c r="AB734" s="387"/>
      <c r="AC734" s="772"/>
      <c r="AD734" s="387"/>
      <c r="AE734" s="558"/>
      <c r="AF734" s="558"/>
      <c r="AG734" s="558"/>
      <c r="AH734" s="156"/>
      <c r="AI734" s="156"/>
      <c r="AJ734" s="156"/>
      <c r="AK734" s="156"/>
      <c r="AL734" s="156"/>
      <c r="AM734" s="156"/>
      <c r="AN734" s="156"/>
      <c r="AO734" s="156"/>
      <c r="AP734" s="156"/>
      <c r="AQ734" s="156"/>
      <c r="AR734" s="156"/>
      <c r="AS734" s="156"/>
      <c r="AT734" s="156"/>
      <c r="AU734" s="156"/>
      <c r="AV734" s="156"/>
      <c r="AW734" s="156"/>
      <c r="AX734" s="156"/>
      <c r="AY734" s="156"/>
      <c r="AZ734" s="156"/>
      <c r="BA734" s="156"/>
      <c r="BB734" s="2890"/>
      <c r="BC734" s="504"/>
      <c r="BD734" s="2829"/>
      <c r="BE734" s="2837"/>
      <c r="BF734" s="156"/>
    </row>
    <row r="735" spans="1:58" ht="14.5" hidden="1" customHeight="1" outlineLevel="1" x14ac:dyDescent="0.35">
      <c r="A735" s="1071"/>
      <c r="B735" s="106"/>
      <c r="C735" s="103"/>
      <c r="D735" s="4076"/>
      <c r="E735" s="4022"/>
      <c r="F735" s="3931" t="str">
        <f t="shared" si="79"/>
        <v>CAC-SEER16_ROF_SF</v>
      </c>
      <c r="G735" s="3932"/>
      <c r="H735" s="3933"/>
      <c r="I735" s="2657" t="str">
        <f t="shared" si="77"/>
        <v>350850_2021_12_</v>
      </c>
      <c r="J735" s="387">
        <f>$R$212*J590</f>
        <v>221</v>
      </c>
      <c r="K735" s="52">
        <f t="shared" si="78"/>
        <v>3.0022622107969146</v>
      </c>
      <c r="L735" s="2893"/>
      <c r="M735" s="103"/>
      <c r="N735" s="1287"/>
      <c r="O735" s="103"/>
      <c r="P735" s="106"/>
      <c r="Q735" s="106"/>
      <c r="R735" s="106"/>
      <c r="S735" s="106"/>
      <c r="T735" s="106"/>
      <c r="U735" s="106"/>
      <c r="V735" s="4022"/>
      <c r="W735" s="387">
        <v>640.9</v>
      </c>
      <c r="X735" s="603">
        <f>(X$302/12000)*$R$212*X$590</f>
        <v>674.05</v>
      </c>
      <c r="Y735" s="603">
        <v>221</v>
      </c>
      <c r="Z735" s="567">
        <v>221</v>
      </c>
      <c r="AA735" s="387">
        <v>221</v>
      </c>
      <c r="AB735" s="387">
        <v>221</v>
      </c>
      <c r="AC735" s="772">
        <v>221</v>
      </c>
      <c r="AD735" s="387">
        <f>$R$212*AD590</f>
        <v>221</v>
      </c>
      <c r="AE735" s="387"/>
      <c r="AF735" s="387"/>
      <c r="AG735" s="387"/>
      <c r="AH735" s="156"/>
      <c r="AI735" s="156"/>
      <c r="AJ735" s="156"/>
      <c r="AK735" s="156"/>
      <c r="AL735" s="156"/>
      <c r="AM735" s="156"/>
      <c r="AN735" s="156"/>
      <c r="AO735" s="156"/>
      <c r="AP735" s="156"/>
      <c r="AQ735" s="156"/>
      <c r="AR735" s="156"/>
      <c r="AS735" s="156"/>
      <c r="AT735" s="156"/>
      <c r="AU735" s="156"/>
      <c r="AV735" s="156"/>
      <c r="AW735" s="156"/>
      <c r="AX735" s="156"/>
      <c r="AY735" s="156"/>
      <c r="AZ735" s="156"/>
      <c r="BA735" s="156"/>
      <c r="BB735" s="2890"/>
      <c r="BC735" s="504"/>
      <c r="BD735" s="2829"/>
      <c r="BE735" s="2837"/>
      <c r="BF735" s="156"/>
    </row>
    <row r="736" spans="1:58" ht="14.5" hidden="1" customHeight="1" outlineLevel="1" x14ac:dyDescent="0.35">
      <c r="A736" s="1071"/>
      <c r="B736" s="106"/>
      <c r="C736" s="103"/>
      <c r="D736" s="4076"/>
      <c r="E736" s="4022"/>
      <c r="F736" s="3931" t="str">
        <f t="shared" si="79"/>
        <v>CAC-SEER16_ER1_MF</v>
      </c>
      <c r="G736" s="3932"/>
      <c r="H736" s="3933"/>
      <c r="I736" s="2657" t="str">
        <f t="shared" si="77"/>
        <v>350900_2021_12_</v>
      </c>
      <c r="J736" s="387">
        <f>(($R$223/3*K736)+$R$212)-(($Q$223/3*K736)/((1+$R$225)^($R$226-1)))*J591</f>
        <v>546.05915933353072</v>
      </c>
      <c r="K736" s="52">
        <f t="shared" si="78"/>
        <v>2.1813186813186811</v>
      </c>
      <c r="L736" s="2893"/>
      <c r="M736" s="103"/>
      <c r="N736" s="1287"/>
      <c r="O736" s="103"/>
      <c r="P736" s="106"/>
      <c r="Q736" s="106"/>
      <c r="R736" s="106"/>
      <c r="S736" s="106"/>
      <c r="T736" s="106"/>
      <c r="U736" s="106"/>
      <c r="V736" s="4022"/>
      <c r="W736" s="558">
        <v>1343.486999395481</v>
      </c>
      <c r="X736" s="603">
        <f>(X$303/12000)*$Q$212*X$591</f>
        <v>1361.7819734814832</v>
      </c>
      <c r="Y736" s="603">
        <v>609.26502607230441</v>
      </c>
      <c r="Z736" s="1532">
        <v>519.03912845694003</v>
      </c>
      <c r="AA736" s="558">
        <v>519.03912845694003</v>
      </c>
      <c r="AB736" s="387">
        <v>519.03912845694003</v>
      </c>
      <c r="AC736" s="567">
        <v>596.24203522590619</v>
      </c>
      <c r="AD736" s="387">
        <f>(($R$223/3*AE736)+$R$212)-(($Q$223/3*AE736)/((1+$R$225)^($R$226-1)))*AD591</f>
        <v>221</v>
      </c>
      <c r="AE736" s="558"/>
      <c r="AF736" s="558"/>
      <c r="AG736" s="558"/>
      <c r="AH736" s="156"/>
      <c r="AI736" s="156"/>
      <c r="AJ736" s="156"/>
      <c r="AK736" s="156"/>
      <c r="AL736" s="156"/>
      <c r="AM736" s="156"/>
      <c r="AN736" s="156"/>
      <c r="AO736" s="156"/>
      <c r="AP736" s="156"/>
      <c r="AQ736" s="156"/>
      <c r="AR736" s="156"/>
      <c r="AS736" s="156"/>
      <c r="AT736" s="156"/>
      <c r="AU736" s="156"/>
      <c r="AV736" s="156"/>
      <c r="AW736" s="156"/>
      <c r="AX736" s="156"/>
      <c r="AY736" s="156"/>
      <c r="AZ736" s="156"/>
      <c r="BA736" s="156"/>
      <c r="BB736" s="2890"/>
      <c r="BC736" s="504"/>
      <c r="BD736" s="2829"/>
      <c r="BE736" s="2837"/>
      <c r="BF736" s="156"/>
    </row>
    <row r="737" spans="1:58" ht="14.5" hidden="1" customHeight="1" outlineLevel="1" x14ac:dyDescent="0.35">
      <c r="A737" s="1071"/>
      <c r="B737" s="106"/>
      <c r="C737" s="103"/>
      <c r="D737" s="4076"/>
      <c r="E737" s="4022"/>
      <c r="F737" s="3931" t="str">
        <f t="shared" si="79"/>
        <v>CAC-SEER16_ER2_MF</v>
      </c>
      <c r="G737" s="3932"/>
      <c r="H737" s="3933"/>
      <c r="I737" s="2657" t="str">
        <f t="shared" si="77"/>
        <v>350900_2021_12_</v>
      </c>
      <c r="J737" s="387"/>
      <c r="K737" s="52">
        <f t="shared" si="78"/>
        <v>2.1813186813186811</v>
      </c>
      <c r="L737" s="2893"/>
      <c r="M737" s="103"/>
      <c r="N737" s="1287"/>
      <c r="O737" s="103"/>
      <c r="P737" s="106"/>
      <c r="Q737" s="106"/>
      <c r="R737" s="106"/>
      <c r="S737" s="106"/>
      <c r="T737" s="106"/>
      <c r="U737" s="106"/>
      <c r="V737" s="4022"/>
      <c r="W737" s="558"/>
      <c r="X737" s="602"/>
      <c r="Y737" s="603"/>
      <c r="Z737" s="1532"/>
      <c r="AA737" s="558"/>
      <c r="AB737" s="387"/>
      <c r="AC737" s="772"/>
      <c r="AD737" s="387"/>
      <c r="AE737" s="558"/>
      <c r="AF737" s="558"/>
      <c r="AG737" s="558"/>
      <c r="AH737" s="156"/>
      <c r="AI737" s="156"/>
      <c r="AJ737" s="156"/>
      <c r="AK737" s="156"/>
      <c r="AL737" s="156"/>
      <c r="AM737" s="156"/>
      <c r="AN737" s="156"/>
      <c r="AO737" s="156"/>
      <c r="AP737" s="156"/>
      <c r="AQ737" s="156"/>
      <c r="AR737" s="156"/>
      <c r="AS737" s="156"/>
      <c r="AT737" s="156"/>
      <c r="AU737" s="156"/>
      <c r="AV737" s="156"/>
      <c r="AW737" s="156"/>
      <c r="AX737" s="156"/>
      <c r="AY737" s="156"/>
      <c r="AZ737" s="156"/>
      <c r="BA737" s="156"/>
      <c r="BB737" s="2890"/>
      <c r="BC737" s="504"/>
      <c r="BD737" s="2829"/>
      <c r="BE737" s="2837"/>
      <c r="BF737" s="156"/>
    </row>
    <row r="738" spans="1:58" ht="14.5" hidden="1" customHeight="1" outlineLevel="1" x14ac:dyDescent="0.35">
      <c r="A738" s="1071"/>
      <c r="B738" s="106"/>
      <c r="C738" s="103"/>
      <c r="D738" s="4076"/>
      <c r="E738" s="4022"/>
      <c r="F738" s="3931" t="str">
        <f t="shared" si="79"/>
        <v>CAC-SEER16_ER1_MF_CompE</v>
      </c>
      <c r="G738" s="3932"/>
      <c r="H738" s="3933"/>
      <c r="I738" s="2657" t="str">
        <f t="shared" si="77"/>
        <v>350901_2021_12_</v>
      </c>
      <c r="J738" s="387">
        <f>(($R$223/3*K738)+$R$212)-(($Q$223/3*K738)/((1+$R$225)^($R$226-1)))*J593</f>
        <v>546.05915933353072</v>
      </c>
      <c r="K738" s="52">
        <f t="shared" si="78"/>
        <v>2.1813186813186811</v>
      </c>
      <c r="L738" s="2893"/>
      <c r="M738" s="103"/>
      <c r="N738" s="1287"/>
      <c r="O738" s="103"/>
      <c r="P738" s="106"/>
      <c r="Q738" s="106"/>
      <c r="R738" s="106"/>
      <c r="S738" s="106"/>
      <c r="T738" s="106"/>
      <c r="U738" s="106"/>
      <c r="V738" s="4022"/>
      <c r="W738" s="558"/>
      <c r="X738" s="602"/>
      <c r="Y738" s="603">
        <v>609.26502607230441</v>
      </c>
      <c r="Z738" s="1532">
        <v>519.03912845694003</v>
      </c>
      <c r="AA738" s="558">
        <v>519.03912845694003</v>
      </c>
      <c r="AB738" s="387">
        <v>519.03912845694003</v>
      </c>
      <c r="AC738" s="567">
        <v>596.24203522590619</v>
      </c>
      <c r="AD738" s="387">
        <f>(($R$223/3*AE738)+$R$212)-(($Q$223/3*AE738)/((1+$R$225)^($R$226-1)))*AD593</f>
        <v>221</v>
      </c>
      <c r="AE738" s="558"/>
      <c r="AF738" s="558"/>
      <c r="AG738" s="558"/>
      <c r="AH738" s="156"/>
      <c r="AI738" s="156"/>
      <c r="AJ738" s="156"/>
      <c r="AK738" s="156"/>
      <c r="AL738" s="156"/>
      <c r="AM738" s="156"/>
      <c r="AN738" s="156"/>
      <c r="AO738" s="156"/>
      <c r="AP738" s="156"/>
      <c r="AQ738" s="156"/>
      <c r="AR738" s="156"/>
      <c r="AS738" s="156"/>
      <c r="AT738" s="156"/>
      <c r="AU738" s="156"/>
      <c r="AV738" s="156"/>
      <c r="AW738" s="156"/>
      <c r="AX738" s="156"/>
      <c r="AY738" s="156"/>
      <c r="AZ738" s="156"/>
      <c r="BA738" s="156"/>
      <c r="BB738" s="2890"/>
      <c r="BC738" s="504"/>
      <c r="BD738" s="2829"/>
      <c r="BE738" s="2837"/>
      <c r="BF738" s="156"/>
    </row>
    <row r="739" spans="1:58" ht="14.5" hidden="1" customHeight="1" outlineLevel="1" x14ac:dyDescent="0.35">
      <c r="A739" s="1071"/>
      <c r="B739" s="106"/>
      <c r="C739" s="103"/>
      <c r="D739" s="4076"/>
      <c r="E739" s="4022"/>
      <c r="F739" s="3931" t="str">
        <f t="shared" si="79"/>
        <v>CAC-SEER16_ER2_MF_CompE</v>
      </c>
      <c r="G739" s="3932"/>
      <c r="H739" s="3933"/>
      <c r="I739" s="2657" t="str">
        <f t="shared" si="77"/>
        <v>350901_2021_12_</v>
      </c>
      <c r="J739" s="387"/>
      <c r="K739" s="52">
        <f t="shared" si="78"/>
        <v>2.1813186813186811</v>
      </c>
      <c r="L739" s="2893"/>
      <c r="M739" s="103"/>
      <c r="N739" s="1287"/>
      <c r="O739" s="103"/>
      <c r="P739" s="106"/>
      <c r="Q739" s="106"/>
      <c r="R739" s="106"/>
      <c r="S739" s="106"/>
      <c r="T739" s="106"/>
      <c r="U739" s="106"/>
      <c r="V739" s="4022"/>
      <c r="W739" s="558"/>
      <c r="X739" s="602"/>
      <c r="Y739" s="603"/>
      <c r="Z739" s="1532"/>
      <c r="AA739" s="558"/>
      <c r="AB739" s="387"/>
      <c r="AC739" s="772"/>
      <c r="AD739" s="387"/>
      <c r="AE739" s="558"/>
      <c r="AF739" s="558"/>
      <c r="AG739" s="558"/>
      <c r="AH739" s="156"/>
      <c r="AI739" s="156"/>
      <c r="AJ739" s="156"/>
      <c r="AK739" s="156"/>
      <c r="AL739" s="156"/>
      <c r="AM739" s="156"/>
      <c r="AN739" s="156"/>
      <c r="AO739" s="156"/>
      <c r="AP739" s="156"/>
      <c r="AQ739" s="156"/>
      <c r="AR739" s="156"/>
      <c r="AS739" s="156"/>
      <c r="AT739" s="156"/>
      <c r="AU739" s="156"/>
      <c r="AV739" s="156"/>
      <c r="AW739" s="156"/>
      <c r="AX739" s="156"/>
      <c r="AY739" s="156"/>
      <c r="AZ739" s="156"/>
      <c r="BA739" s="156"/>
      <c r="BB739" s="2890"/>
      <c r="BC739" s="504"/>
      <c r="BD739" s="2829"/>
      <c r="BE739" s="2837"/>
      <c r="BF739" s="156"/>
    </row>
    <row r="740" spans="1:58" ht="14.5" hidden="1" customHeight="1" outlineLevel="1" x14ac:dyDescent="0.35">
      <c r="A740" s="1071"/>
      <c r="B740" s="106"/>
      <c r="C740" s="103"/>
      <c r="D740" s="4076"/>
      <c r="E740" s="4022"/>
      <c r="F740" s="3931" t="str">
        <f t="shared" si="79"/>
        <v>CAC-SEER16_ROF_MF</v>
      </c>
      <c r="G740" s="3932"/>
      <c r="H740" s="3933"/>
      <c r="I740" s="2657" t="str">
        <f t="shared" si="77"/>
        <v>350950_2021_12_</v>
      </c>
      <c r="J740" s="387">
        <f>$R$212*J595</f>
        <v>221</v>
      </c>
      <c r="K740" s="52">
        <f t="shared" si="78"/>
        <v>2.75</v>
      </c>
      <c r="L740" s="2893"/>
      <c r="M740" s="103"/>
      <c r="N740" s="1287"/>
      <c r="O740" s="103"/>
      <c r="P740" s="106"/>
      <c r="Q740" s="106"/>
      <c r="R740" s="106"/>
      <c r="S740" s="106"/>
      <c r="T740" s="106"/>
      <c r="U740" s="106"/>
      <c r="V740" s="4022"/>
      <c r="W740" s="387">
        <v>640.9</v>
      </c>
      <c r="X740" s="603">
        <f>(X$307/12000)*$R$212*X$595</f>
        <v>450.4900833333333</v>
      </c>
      <c r="Y740" s="603">
        <v>221</v>
      </c>
      <c r="Z740" s="567">
        <v>221</v>
      </c>
      <c r="AA740" s="387">
        <v>221</v>
      </c>
      <c r="AB740" s="387">
        <v>221</v>
      </c>
      <c r="AC740" s="772">
        <v>221</v>
      </c>
      <c r="AD740" s="387">
        <f>$R$212*AD595</f>
        <v>221</v>
      </c>
      <c r="AE740" s="387"/>
      <c r="AF740" s="387"/>
      <c r="AG740" s="387"/>
      <c r="AH740" s="156"/>
      <c r="AI740" s="156"/>
      <c r="AJ740" s="156"/>
      <c r="AK740" s="156"/>
      <c r="AL740" s="156"/>
      <c r="AM740" s="156"/>
      <c r="AN740" s="156"/>
      <c r="AO740" s="156"/>
      <c r="AP740" s="156"/>
      <c r="AQ740" s="156"/>
      <c r="AR740" s="156"/>
      <c r="AS740" s="156"/>
      <c r="AT740" s="156"/>
      <c r="AU740" s="156"/>
      <c r="AV740" s="156"/>
      <c r="AW740" s="156"/>
      <c r="AX740" s="156"/>
      <c r="AY740" s="156"/>
      <c r="AZ740" s="156"/>
      <c r="BA740" s="156"/>
      <c r="BB740" s="2890"/>
      <c r="BC740" s="504"/>
      <c r="BD740" s="2829"/>
      <c r="BE740" s="2837"/>
      <c r="BF740" s="156"/>
    </row>
    <row r="741" spans="1:58" ht="14.5" hidden="1" customHeight="1" outlineLevel="1" x14ac:dyDescent="0.35">
      <c r="A741" s="1071"/>
      <c r="B741" s="106"/>
      <c r="C741" s="103"/>
      <c r="D741" s="4076"/>
      <c r="E741" s="4022"/>
      <c r="F741" s="3931" t="str">
        <f t="shared" si="79"/>
        <v>CAC-SEER16_ROF_MF_CompE</v>
      </c>
      <c r="G741" s="3932"/>
      <c r="H741" s="3933"/>
      <c r="I741" s="2657" t="str">
        <f t="shared" si="77"/>
        <v>350951_2021_12_</v>
      </c>
      <c r="J741" s="387">
        <f>$R$212*J596</f>
        <v>221</v>
      </c>
      <c r="K741" s="52">
        <f t="shared" si="78"/>
        <v>2.75</v>
      </c>
      <c r="L741" s="2893"/>
      <c r="M741" s="103"/>
      <c r="N741" s="1287"/>
      <c r="O741" s="103"/>
      <c r="P741" s="106"/>
      <c r="Q741" s="106"/>
      <c r="R741" s="106"/>
      <c r="S741" s="106"/>
      <c r="T741" s="106"/>
      <c r="U741" s="106"/>
      <c r="V741" s="4022"/>
      <c r="W741" s="387"/>
      <c r="X741" s="603"/>
      <c r="Y741" s="603">
        <v>221</v>
      </c>
      <c r="Z741" s="567">
        <v>221</v>
      </c>
      <c r="AA741" s="387">
        <v>221</v>
      </c>
      <c r="AB741" s="387">
        <v>221</v>
      </c>
      <c r="AC741" s="772">
        <v>221</v>
      </c>
      <c r="AD741" s="387">
        <f>$R$212*AD596</f>
        <v>221</v>
      </c>
      <c r="AE741" s="387"/>
      <c r="AF741" s="387"/>
      <c r="AG741" s="387"/>
      <c r="AH741" s="156"/>
      <c r="AI741" s="156"/>
      <c r="AJ741" s="156"/>
      <c r="AK741" s="156"/>
      <c r="AL741" s="156"/>
      <c r="AM741" s="156"/>
      <c r="AN741" s="156"/>
      <c r="AO741" s="156"/>
      <c r="AP741" s="156"/>
      <c r="AQ741" s="156"/>
      <c r="AR741" s="156"/>
      <c r="AS741" s="156"/>
      <c r="AT741" s="156"/>
      <c r="AU741" s="156"/>
      <c r="AV741" s="156"/>
      <c r="AW741" s="156"/>
      <c r="AX741" s="156"/>
      <c r="AY741" s="156"/>
      <c r="AZ741" s="156"/>
      <c r="BA741" s="156"/>
      <c r="BB741" s="2890"/>
      <c r="BC741" s="504"/>
      <c r="BD741" s="2829"/>
      <c r="BE741" s="2837"/>
      <c r="BF741" s="156"/>
    </row>
    <row r="742" spans="1:58" ht="14.5" hidden="1" customHeight="1" outlineLevel="1" x14ac:dyDescent="0.35">
      <c r="A742" s="1071"/>
      <c r="B742" s="106"/>
      <c r="C742" s="103"/>
      <c r="D742" s="4076"/>
      <c r="E742" s="4022"/>
      <c r="F742" s="3931" t="str">
        <f t="shared" si="79"/>
        <v>CAC-SEER17_ER1_SF</v>
      </c>
      <c r="G742" s="3932"/>
      <c r="H742" s="3933"/>
      <c r="I742" s="2657" t="str">
        <f t="shared" si="77"/>
        <v>351000_2021_12_</v>
      </c>
      <c r="J742" s="387">
        <f>(($R$223/3*K742)+$R$213)-(($Q$223/3*K742)/((1+$R$225)^($R$226-1)))*J597</f>
        <v>1058.7232291797773</v>
      </c>
      <c r="K742" s="52">
        <f t="shared" si="78"/>
        <v>2.9440646364201366</v>
      </c>
      <c r="L742" s="2893"/>
      <c r="M742" s="103"/>
      <c r="N742" s="1287"/>
      <c r="O742" s="103"/>
      <c r="P742" s="106"/>
      <c r="Q742" s="106"/>
      <c r="R742" s="106"/>
      <c r="S742" s="106"/>
      <c r="T742" s="106"/>
      <c r="U742" s="106"/>
      <c r="V742" s="4022"/>
      <c r="W742" s="558">
        <v>1910.786999395481</v>
      </c>
      <c r="X742" s="603">
        <f>$Q$213*(X$313/12000)*X$597</f>
        <v>3307.881947324769</v>
      </c>
      <c r="Y742" s="603">
        <v>998.0454898906255</v>
      </c>
      <c r="Z742" s="1532">
        <v>1075.9998665391181</v>
      </c>
      <c r="AA742" s="558">
        <v>1075.9998665391181</v>
      </c>
      <c r="AB742" s="387">
        <v>1075.9998665391181</v>
      </c>
      <c r="AC742" s="567">
        <v>1055.0097130498366</v>
      </c>
      <c r="AD742" s="387">
        <f>(($R$223/3*AE742)+$R$213)-(($Q$223/3*AE742)/((1+$R$225)^($R$226-1)))*AD597</f>
        <v>620</v>
      </c>
      <c r="AE742" s="558"/>
      <c r="AF742" s="558"/>
      <c r="AG742" s="558"/>
      <c r="AH742" s="156"/>
      <c r="AI742" s="156"/>
      <c r="AJ742" s="156"/>
      <c r="AK742" s="156"/>
      <c r="AL742" s="156"/>
      <c r="AM742" s="156"/>
      <c r="AN742" s="156"/>
      <c r="AO742" s="156"/>
      <c r="AP742" s="156"/>
      <c r="AQ742" s="156"/>
      <c r="AR742" s="156"/>
      <c r="AS742" s="156"/>
      <c r="AT742" s="156"/>
      <c r="AU742" s="156"/>
      <c r="AV742" s="156"/>
      <c r="AW742" s="156"/>
      <c r="AX742" s="156"/>
      <c r="AY742" s="156"/>
      <c r="AZ742" s="156"/>
      <c r="BA742" s="156"/>
      <c r="BB742" s="2890"/>
      <c r="BC742" s="504"/>
      <c r="BD742" s="2829"/>
      <c r="BE742" s="2837"/>
      <c r="BF742" s="156"/>
    </row>
    <row r="743" spans="1:58" ht="14.5" hidden="1" customHeight="1" outlineLevel="1" x14ac:dyDescent="0.35">
      <c r="A743" s="1071"/>
      <c r="B743" s="106"/>
      <c r="C743" s="103"/>
      <c r="D743" s="4076"/>
      <c r="E743" s="4022"/>
      <c r="F743" s="3931" t="str">
        <f t="shared" si="79"/>
        <v>CAC-SEER17_ER2_SF</v>
      </c>
      <c r="G743" s="3932"/>
      <c r="H743" s="3933"/>
      <c r="I743" s="2657" t="str">
        <f t="shared" si="77"/>
        <v>351000_2021_12_</v>
      </c>
      <c r="J743" s="387"/>
      <c r="K743" s="52">
        <f t="shared" si="78"/>
        <v>2.9440646364201366</v>
      </c>
      <c r="L743" s="2893"/>
      <c r="M743" s="103"/>
      <c r="N743" s="1287"/>
      <c r="O743" s="103"/>
      <c r="P743" s="106"/>
      <c r="Q743" s="106"/>
      <c r="R743" s="106"/>
      <c r="S743" s="106"/>
      <c r="T743" s="106"/>
      <c r="U743" s="106"/>
      <c r="V743" s="4022"/>
      <c r="W743" s="558"/>
      <c r="X743" s="602"/>
      <c r="Y743" s="603"/>
      <c r="Z743" s="1532"/>
      <c r="AA743" s="558"/>
      <c r="AB743" s="387"/>
      <c r="AC743" s="772"/>
      <c r="AD743" s="387"/>
      <c r="AE743" s="558"/>
      <c r="AF743" s="558"/>
      <c r="AG743" s="558"/>
      <c r="AH743" s="156"/>
      <c r="AI743" s="156"/>
      <c r="AJ743" s="156"/>
      <c r="AK743" s="156"/>
      <c r="AL743" s="156"/>
      <c r="AM743" s="156"/>
      <c r="AN743" s="156"/>
      <c r="AO743" s="156"/>
      <c r="AP743" s="156"/>
      <c r="AQ743" s="156"/>
      <c r="AR743" s="156"/>
      <c r="AS743" s="156"/>
      <c r="AT743" s="156"/>
      <c r="AU743" s="156"/>
      <c r="AV743" s="156"/>
      <c r="AW743" s="156"/>
      <c r="AX743" s="156"/>
      <c r="AY743" s="156"/>
      <c r="AZ743" s="156"/>
      <c r="BA743" s="156"/>
      <c r="BB743" s="2890"/>
      <c r="BC743" s="504"/>
      <c r="BD743" s="2829"/>
      <c r="BE743" s="2837"/>
      <c r="BF743" s="156"/>
    </row>
    <row r="744" spans="1:58" ht="14.5" hidden="1" customHeight="1" outlineLevel="1" x14ac:dyDescent="0.35">
      <c r="A744" s="1071"/>
      <c r="B744" s="106"/>
      <c r="C744" s="103"/>
      <c r="D744" s="4076"/>
      <c r="E744" s="4022"/>
      <c r="F744" s="3931" t="str">
        <f t="shared" si="79"/>
        <v>CAC-SEER17_ROF_SF</v>
      </c>
      <c r="G744" s="3932"/>
      <c r="H744" s="3933"/>
      <c r="I744" s="2657" t="str">
        <f t="shared" si="77"/>
        <v>351050_2021_12_</v>
      </c>
      <c r="J744" s="387">
        <f>$R$213*J599</f>
        <v>620</v>
      </c>
      <c r="K744" s="52">
        <f t="shared" si="78"/>
        <v>2.9290780141843968</v>
      </c>
      <c r="L744" s="2893"/>
      <c r="M744" s="103"/>
      <c r="N744" s="1287"/>
      <c r="O744" s="103"/>
      <c r="P744" s="106"/>
      <c r="Q744" s="106"/>
      <c r="R744" s="106"/>
      <c r="S744" s="106"/>
      <c r="T744" s="106"/>
      <c r="U744" s="106"/>
      <c r="V744" s="4022"/>
      <c r="W744" s="558">
        <v>1171.5999999999999</v>
      </c>
      <c r="X744" s="603">
        <f>(X$316/12000)*$R$213*X$599</f>
        <v>1798</v>
      </c>
      <c r="Y744" s="603">
        <v>404</v>
      </c>
      <c r="Z744" s="1532">
        <v>620</v>
      </c>
      <c r="AA744" s="558">
        <v>620</v>
      </c>
      <c r="AB744" s="387">
        <v>620</v>
      </c>
      <c r="AC744" s="772">
        <v>620</v>
      </c>
      <c r="AD744" s="387">
        <f>$R$213*AD599</f>
        <v>620</v>
      </c>
      <c r="AE744" s="558"/>
      <c r="AF744" s="558"/>
      <c r="AG744" s="558"/>
      <c r="AH744" s="156"/>
      <c r="AI744" s="156"/>
      <c r="AJ744" s="156"/>
      <c r="AK744" s="156"/>
      <c r="AL744" s="156"/>
      <c r="AM744" s="156"/>
      <c r="AN744" s="156"/>
      <c r="AO744" s="156"/>
      <c r="AP744" s="156"/>
      <c r="AQ744" s="156"/>
      <c r="AR744" s="156"/>
      <c r="AS744" s="156"/>
      <c r="AT744" s="156"/>
      <c r="AU744" s="156"/>
      <c r="AV744" s="156"/>
      <c r="AW744" s="156"/>
      <c r="AX744" s="156"/>
      <c r="AY744" s="156"/>
      <c r="AZ744" s="156"/>
      <c r="BA744" s="156"/>
      <c r="BB744" s="2890"/>
      <c r="BC744" s="504"/>
      <c r="BD744" s="2829"/>
      <c r="BE744" s="2837"/>
      <c r="BF744" s="156"/>
    </row>
    <row r="745" spans="1:58" ht="14.5" hidden="1" customHeight="1" outlineLevel="1" x14ac:dyDescent="0.35">
      <c r="A745" s="1071"/>
      <c r="B745" s="106"/>
      <c r="C745" s="103"/>
      <c r="D745" s="4076"/>
      <c r="E745" s="4022"/>
      <c r="F745" s="3931" t="str">
        <f t="shared" si="79"/>
        <v>CAC-SEER17_ER1_MF</v>
      </c>
      <c r="G745" s="3932"/>
      <c r="H745" s="3933"/>
      <c r="I745" s="2657" t="str">
        <f t="shared" si="77"/>
        <v>351100_2021_12_</v>
      </c>
      <c r="J745" s="387">
        <f>(($R$223/3*K745)+$R$213)-(($Q$223/3*K745)/((1+$R$225)^($R$226-1)))*J600</f>
        <v>1025.6643692886123</v>
      </c>
      <c r="K745" s="52">
        <f t="shared" si="78"/>
        <v>2.7222222222222223</v>
      </c>
      <c r="L745" s="2893"/>
      <c r="M745" s="103"/>
      <c r="N745" s="1287"/>
      <c r="O745" s="103"/>
      <c r="P745" s="106"/>
      <c r="Q745" s="106"/>
      <c r="R745" s="106"/>
      <c r="S745" s="106"/>
      <c r="T745" s="106"/>
      <c r="U745" s="106"/>
      <c r="V745" s="4022"/>
      <c r="W745" s="558">
        <v>1910.786999395481</v>
      </c>
      <c r="X745" s="603">
        <f>(X$312/12000)*$Q$213*X$600</f>
        <v>3307.881947324769</v>
      </c>
      <c r="Y745" s="603">
        <v>792.26502607230441</v>
      </c>
      <c r="Z745" s="1532">
        <v>918.03912845694003</v>
      </c>
      <c r="AA745" s="558">
        <v>918.03912845694003</v>
      </c>
      <c r="AB745" s="387">
        <v>918.03912845694003</v>
      </c>
      <c r="AC745" s="567">
        <v>1001.8626333354541</v>
      </c>
      <c r="AD745" s="387">
        <f>(($R$223/3*AE745)+$R$213)-(($Q$223/3*AE745)/((1+$R$225)^($R$226-1)))*AD600</f>
        <v>620</v>
      </c>
      <c r="AE745" s="558"/>
      <c r="AF745" s="558"/>
      <c r="AG745" s="558"/>
      <c r="AH745" s="156"/>
      <c r="AI745" s="156"/>
      <c r="AJ745" s="156"/>
      <c r="AK745" s="156"/>
      <c r="AL745" s="156"/>
      <c r="AM745" s="156"/>
      <c r="AN745" s="156"/>
      <c r="AO745" s="156"/>
      <c r="AP745" s="156"/>
      <c r="AQ745" s="156"/>
      <c r="AR745" s="156"/>
      <c r="AS745" s="156"/>
      <c r="AT745" s="156"/>
      <c r="AU745" s="156"/>
      <c r="AV745" s="156"/>
      <c r="AW745" s="156"/>
      <c r="AX745" s="156"/>
      <c r="AY745" s="156"/>
      <c r="AZ745" s="156"/>
      <c r="BA745" s="156"/>
      <c r="BB745" s="2890"/>
      <c r="BC745" s="504"/>
      <c r="BD745" s="2829"/>
      <c r="BE745" s="2837"/>
      <c r="BF745" s="156"/>
    </row>
    <row r="746" spans="1:58" ht="14.5" hidden="1" customHeight="1" outlineLevel="1" x14ac:dyDescent="0.35">
      <c r="A746" s="1071"/>
      <c r="B746" s="106"/>
      <c r="C746" s="103"/>
      <c r="D746" s="4076"/>
      <c r="E746" s="4022"/>
      <c r="F746" s="3931" t="str">
        <f t="shared" si="79"/>
        <v>CAC-SEER17_ER2_MF</v>
      </c>
      <c r="G746" s="3932"/>
      <c r="H746" s="3933"/>
      <c r="I746" s="2657" t="str">
        <f t="shared" si="77"/>
        <v>351100_2021_12_</v>
      </c>
      <c r="J746" s="387"/>
      <c r="K746" s="52">
        <f t="shared" si="78"/>
        <v>2.7222222222222223</v>
      </c>
      <c r="L746" s="2893"/>
      <c r="M746" s="103"/>
      <c r="N746" s="1287"/>
      <c r="O746" s="103"/>
      <c r="P746" s="106"/>
      <c r="Q746" s="106"/>
      <c r="R746" s="106"/>
      <c r="S746" s="106"/>
      <c r="T746" s="106"/>
      <c r="U746" s="106"/>
      <c r="V746" s="4022"/>
      <c r="W746" s="558"/>
      <c r="X746" s="602"/>
      <c r="Y746" s="603"/>
      <c r="Z746" s="1532"/>
      <c r="AA746" s="558"/>
      <c r="AB746" s="387"/>
      <c r="AC746" s="772"/>
      <c r="AD746" s="387"/>
      <c r="AE746" s="558"/>
      <c r="AF746" s="558"/>
      <c r="AG746" s="558"/>
      <c r="AH746" s="156"/>
      <c r="AI746" s="156"/>
      <c r="AJ746" s="156"/>
      <c r="AK746" s="156"/>
      <c r="AL746" s="156"/>
      <c r="AM746" s="156"/>
      <c r="AN746" s="156"/>
      <c r="AO746" s="156"/>
      <c r="AP746" s="156"/>
      <c r="AQ746" s="156"/>
      <c r="AR746" s="156"/>
      <c r="AS746" s="156"/>
      <c r="AT746" s="156"/>
      <c r="AU746" s="156"/>
      <c r="AV746" s="156"/>
      <c r="AW746" s="156"/>
      <c r="AX746" s="156"/>
      <c r="AY746" s="156"/>
      <c r="AZ746" s="156"/>
      <c r="BA746" s="156"/>
      <c r="BB746" s="2890"/>
      <c r="BC746" s="504"/>
      <c r="BD746" s="2829"/>
      <c r="BE746" s="2837"/>
      <c r="BF746" s="156"/>
    </row>
    <row r="747" spans="1:58" ht="14.5" hidden="1" customHeight="1" outlineLevel="1" x14ac:dyDescent="0.35">
      <c r="A747" s="1071"/>
      <c r="B747" s="106"/>
      <c r="C747" s="103"/>
      <c r="D747" s="4076"/>
      <c r="E747" s="4022"/>
      <c r="F747" s="3931" t="str">
        <f t="shared" si="79"/>
        <v>CAC-SEER17_ER1_MF_CompE</v>
      </c>
      <c r="G747" s="3932"/>
      <c r="H747" s="3933"/>
      <c r="I747" s="590" t="str">
        <f t="shared" si="77"/>
        <v>351101_2021_12_</v>
      </c>
      <c r="J747" s="387">
        <f>(($R$223/3*K747)+$R$213)-(($Q$223/3*K747)/((1+$R$225)^($R$226-1)))*J602</f>
        <v>1025.6643692886123</v>
      </c>
      <c r="K747" s="52">
        <f t="shared" ref="K747:K778" si="80">K314*J602</f>
        <v>2.7222222222222223</v>
      </c>
      <c r="L747" s="2895"/>
      <c r="M747" s="103"/>
      <c r="N747" s="1287"/>
      <c r="O747" s="103"/>
      <c r="P747" s="106"/>
      <c r="Q747" s="106"/>
      <c r="R747" s="106"/>
      <c r="S747" s="106"/>
      <c r="T747" s="106"/>
      <c r="U747" s="106"/>
      <c r="V747" s="4022"/>
      <c r="W747" s="604"/>
      <c r="X747" s="605"/>
      <c r="Y747" s="606">
        <v>792.26502607230441</v>
      </c>
      <c r="Z747" s="1553">
        <v>918.03912845694003</v>
      </c>
      <c r="AA747" s="604">
        <v>918.03912845694003</v>
      </c>
      <c r="AB747" s="614">
        <v>918.03912845694003</v>
      </c>
      <c r="AC747" s="567">
        <v>1001.8626333354541</v>
      </c>
      <c r="AD747" s="387">
        <f>(($R$223/3*AE747)+$R$213)-(($Q$223/3*AE747)/((1+$R$225)^($R$226-1)))*AD602</f>
        <v>620</v>
      </c>
      <c r="AE747" s="604"/>
      <c r="AF747" s="604"/>
      <c r="AG747" s="604"/>
      <c r="AH747" s="156"/>
      <c r="AI747" s="156"/>
      <c r="AJ747" s="156"/>
      <c r="AK747" s="156"/>
      <c r="AL747" s="156"/>
      <c r="AM747" s="156"/>
      <c r="AN747" s="156"/>
      <c r="AO747" s="156"/>
      <c r="AP747" s="156"/>
      <c r="AQ747" s="156"/>
      <c r="AR747" s="156"/>
      <c r="AS747" s="156"/>
      <c r="AT747" s="156"/>
      <c r="AU747" s="156"/>
      <c r="AV747" s="156"/>
      <c r="AW747" s="156"/>
      <c r="AX747" s="156"/>
      <c r="AY747" s="156"/>
      <c r="AZ747" s="156"/>
      <c r="BA747" s="156"/>
      <c r="BB747" s="2890"/>
      <c r="BC747" s="504"/>
      <c r="BD747" s="2829"/>
      <c r="BE747" s="2837"/>
      <c r="BF747" s="156"/>
    </row>
    <row r="748" spans="1:58" ht="14.5" hidden="1" customHeight="1" outlineLevel="1" x14ac:dyDescent="0.35">
      <c r="A748" s="1071"/>
      <c r="B748" s="106"/>
      <c r="C748" s="103"/>
      <c r="D748" s="4076"/>
      <c r="E748" s="4022"/>
      <c r="F748" s="3931" t="str">
        <f t="shared" si="79"/>
        <v>CAC-SEER17_ER2_MF_CompE</v>
      </c>
      <c r="G748" s="3932"/>
      <c r="H748" s="3933"/>
      <c r="I748" s="590" t="str">
        <f t="shared" si="77"/>
        <v>351101_2021_12_</v>
      </c>
      <c r="J748" s="614"/>
      <c r="K748" s="52">
        <f t="shared" si="80"/>
        <v>2.7222222222222223</v>
      </c>
      <c r="L748" s="2895"/>
      <c r="M748" s="103"/>
      <c r="N748" s="1287"/>
      <c r="O748" s="103"/>
      <c r="P748" s="106"/>
      <c r="Q748" s="106"/>
      <c r="R748" s="106"/>
      <c r="S748" s="106"/>
      <c r="T748" s="106"/>
      <c r="U748" s="106"/>
      <c r="V748" s="4022"/>
      <c r="W748" s="604"/>
      <c r="X748" s="605"/>
      <c r="Y748" s="606"/>
      <c r="Z748" s="1553"/>
      <c r="AA748" s="604"/>
      <c r="AB748" s="614"/>
      <c r="AC748" s="2900"/>
      <c r="AD748" s="614"/>
      <c r="AE748" s="604"/>
      <c r="AF748" s="604"/>
      <c r="AG748" s="604"/>
      <c r="AH748" s="156"/>
      <c r="AI748" s="156"/>
      <c r="AJ748" s="156"/>
      <c r="AK748" s="156"/>
      <c r="AL748" s="156"/>
      <c r="AM748" s="156"/>
      <c r="AN748" s="156"/>
      <c r="AO748" s="156"/>
      <c r="AP748" s="156"/>
      <c r="AQ748" s="156"/>
      <c r="AR748" s="156"/>
      <c r="AS748" s="156"/>
      <c r="AT748" s="156"/>
      <c r="AU748" s="156"/>
      <c r="AV748" s="156"/>
      <c r="AW748" s="156"/>
      <c r="AX748" s="156"/>
      <c r="AY748" s="156"/>
      <c r="AZ748" s="156"/>
      <c r="BA748" s="156"/>
      <c r="BB748" s="2890"/>
      <c r="BC748" s="504"/>
      <c r="BD748" s="2829"/>
      <c r="BE748" s="2837"/>
      <c r="BF748" s="156"/>
    </row>
    <row r="749" spans="1:58" ht="14.5" hidden="1" customHeight="1" outlineLevel="1" x14ac:dyDescent="0.35">
      <c r="A749" s="1071"/>
      <c r="B749" s="106"/>
      <c r="C749" s="103"/>
      <c r="D749" s="4076"/>
      <c r="E749" s="4022"/>
      <c r="F749" s="3931" t="str">
        <f t="shared" si="79"/>
        <v>CAC-SEER17_ROF_MF</v>
      </c>
      <c r="G749" s="3932"/>
      <c r="H749" s="3933"/>
      <c r="I749" s="590" t="str">
        <f t="shared" si="77"/>
        <v>351150_2021_12_</v>
      </c>
      <c r="J749" s="387">
        <f>$R$213*J604</f>
        <v>620</v>
      </c>
      <c r="K749" s="52">
        <f t="shared" si="80"/>
        <v>2.75</v>
      </c>
      <c r="L749" s="2895"/>
      <c r="M749" s="103"/>
      <c r="N749" s="1287"/>
      <c r="O749" s="103"/>
      <c r="P749" s="106"/>
      <c r="Q749" s="106"/>
      <c r="R749" s="106"/>
      <c r="S749" s="106"/>
      <c r="T749" s="106"/>
      <c r="U749" s="106"/>
      <c r="V749" s="4022"/>
      <c r="W749" s="604">
        <v>1171.5999999999999</v>
      </c>
      <c r="X749" s="606">
        <f>(X$316/12000)*$R$213*X$604</f>
        <v>1798</v>
      </c>
      <c r="Y749" s="606">
        <v>404</v>
      </c>
      <c r="Z749" s="1553">
        <v>620</v>
      </c>
      <c r="AA749" s="604">
        <v>620</v>
      </c>
      <c r="AB749" s="614">
        <v>620</v>
      </c>
      <c r="AC749" s="772">
        <v>620</v>
      </c>
      <c r="AD749" s="387">
        <f>$R$213*AD604</f>
        <v>620</v>
      </c>
      <c r="AE749" s="604"/>
      <c r="AF749" s="604"/>
      <c r="AG749" s="604"/>
      <c r="AH749" s="156"/>
      <c r="AI749" s="156"/>
      <c r="AJ749" s="156"/>
      <c r="AK749" s="156"/>
      <c r="AL749" s="156"/>
      <c r="AM749" s="156"/>
      <c r="AN749" s="156"/>
      <c r="AO749" s="156"/>
      <c r="AP749" s="156"/>
      <c r="AQ749" s="156"/>
      <c r="AR749" s="156"/>
      <c r="AS749" s="156"/>
      <c r="AT749" s="156"/>
      <c r="AU749" s="156"/>
      <c r="AV749" s="156"/>
      <c r="AW749" s="156"/>
      <c r="AX749" s="156"/>
      <c r="AY749" s="156"/>
      <c r="AZ749" s="156"/>
      <c r="BA749" s="156"/>
      <c r="BB749" s="2890"/>
      <c r="BC749" s="504"/>
      <c r="BD749" s="2829"/>
      <c r="BE749" s="2837"/>
      <c r="BF749" s="156"/>
    </row>
    <row r="750" spans="1:58" ht="14.5" hidden="1" customHeight="1" outlineLevel="1" x14ac:dyDescent="0.35">
      <c r="A750" s="1071"/>
      <c r="B750" s="106"/>
      <c r="C750" s="103"/>
      <c r="D750" s="4081"/>
      <c r="E750" s="4023"/>
      <c r="F750" s="3931" t="str">
        <f t="shared" si="79"/>
        <v>CAC-SEER17_ROF_MF_CompE</v>
      </c>
      <c r="G750" s="3932"/>
      <c r="H750" s="3933"/>
      <c r="I750" s="2657" t="str">
        <f t="shared" si="77"/>
        <v>351151_2021_12_</v>
      </c>
      <c r="J750" s="387">
        <f>$R$213*J605</f>
        <v>620</v>
      </c>
      <c r="K750" s="52">
        <f t="shared" si="80"/>
        <v>2.75</v>
      </c>
      <c r="L750" s="2893"/>
      <c r="M750" s="103"/>
      <c r="N750" s="1287"/>
      <c r="O750" s="103"/>
      <c r="P750" s="106"/>
      <c r="Q750" s="106"/>
      <c r="R750" s="106"/>
      <c r="S750" s="106"/>
      <c r="T750" s="106"/>
      <c r="U750" s="106"/>
      <c r="V750" s="4023"/>
      <c r="W750" s="558"/>
      <c r="X750" s="603"/>
      <c r="Y750" s="603">
        <v>404</v>
      </c>
      <c r="Z750" s="1532">
        <v>620</v>
      </c>
      <c r="AA750" s="558">
        <v>620</v>
      </c>
      <c r="AB750" s="387">
        <v>620</v>
      </c>
      <c r="AC750" s="772">
        <v>620</v>
      </c>
      <c r="AD750" s="387">
        <f>$R$213*AD605</f>
        <v>620</v>
      </c>
      <c r="AE750" s="558"/>
      <c r="AF750" s="558"/>
      <c r="AG750" s="558"/>
      <c r="AH750" s="156"/>
      <c r="AI750" s="156"/>
      <c r="AJ750" s="156"/>
      <c r="AK750" s="156"/>
      <c r="AL750" s="156"/>
      <c r="AM750" s="156"/>
      <c r="AN750" s="156"/>
      <c r="AO750" s="156"/>
      <c r="AP750" s="156"/>
      <c r="AQ750" s="156"/>
      <c r="AR750" s="156"/>
      <c r="AS750" s="156"/>
      <c r="AT750" s="156"/>
      <c r="AU750" s="156"/>
      <c r="AV750" s="156"/>
      <c r="AW750" s="156"/>
      <c r="AX750" s="156"/>
      <c r="AY750" s="156"/>
      <c r="AZ750" s="156"/>
      <c r="BA750" s="156"/>
      <c r="BB750" s="2890"/>
      <c r="BC750" s="504"/>
      <c r="BD750" s="2829"/>
      <c r="BE750" s="2837"/>
      <c r="BF750" s="156"/>
    </row>
    <row r="751" spans="1:58" ht="14.5" hidden="1" customHeight="1" outlineLevel="1" x14ac:dyDescent="0.35">
      <c r="A751" s="1071"/>
      <c r="B751" s="106"/>
      <c r="C751" s="103"/>
      <c r="D751" s="4065"/>
      <c r="E751" s="4140"/>
      <c r="F751" s="3931" t="str">
        <f t="shared" si="79"/>
        <v>CAC-SEER18_ER1_SF</v>
      </c>
      <c r="G751" s="3932"/>
      <c r="H751" s="3933"/>
      <c r="I751" s="2657" t="str">
        <f t="shared" si="77"/>
        <v>351160_2021_12_</v>
      </c>
      <c r="J751" s="387">
        <f>(($R$223/3*K751)+$R$214)-(($Q$223/3*K751)/((1+$R$225)^($R$226-1)))*J606</f>
        <v>1323.3602209074838</v>
      </c>
      <c r="K751" s="52">
        <f t="shared" si="80"/>
        <v>3.3330761421319792</v>
      </c>
      <c r="L751" s="2893"/>
      <c r="M751" s="103"/>
      <c r="N751" s="1287"/>
      <c r="O751" s="103"/>
      <c r="P751" s="106"/>
      <c r="Q751" s="106"/>
      <c r="R751" s="106"/>
      <c r="S751" s="106"/>
      <c r="T751" s="106"/>
      <c r="U751" s="106"/>
      <c r="V751" s="4023"/>
      <c r="W751" s="600"/>
      <c r="X751" s="601"/>
      <c r="Y751" s="601"/>
      <c r="Z751" s="1557">
        <v>1273.7253593520768</v>
      </c>
      <c r="AA751" s="1302">
        <v>1273.7253593520768</v>
      </c>
      <c r="AB751" s="1302">
        <v>1273.7253593520768</v>
      </c>
      <c r="AC751" s="567">
        <v>1309.7244675645725</v>
      </c>
      <c r="AD751" s="387">
        <f>(($R$223/3*AE751)+$R$214)-(($Q$223/3*AE751)/((1+$R$225)^($R$226-1)))*AD606</f>
        <v>826.66666666666708</v>
      </c>
      <c r="AE751" s="600"/>
      <c r="AF751" s="600"/>
      <c r="AG751" s="600"/>
      <c r="AH751" s="156"/>
      <c r="AI751" s="156"/>
      <c r="AJ751" s="156"/>
      <c r="AK751" s="156"/>
      <c r="AL751" s="156"/>
      <c r="AM751" s="156"/>
      <c r="AN751" s="156"/>
      <c r="AO751" s="156"/>
      <c r="AP751" s="156"/>
      <c r="AQ751" s="156"/>
      <c r="AR751" s="156"/>
      <c r="AS751" s="156"/>
      <c r="AT751" s="156"/>
      <c r="AU751" s="156"/>
      <c r="AV751" s="156"/>
      <c r="AW751" s="156"/>
      <c r="AX751" s="156"/>
      <c r="AY751" s="156"/>
      <c r="AZ751" s="156"/>
      <c r="BA751" s="156"/>
      <c r="BB751" s="2890"/>
      <c r="BC751" s="504"/>
      <c r="BD751" s="2829"/>
      <c r="BE751" s="2837"/>
      <c r="BF751" s="156"/>
    </row>
    <row r="752" spans="1:58" ht="14.5" hidden="1" customHeight="1" outlineLevel="1" x14ac:dyDescent="0.35">
      <c r="A752" s="1071"/>
      <c r="B752" s="106"/>
      <c r="C752" s="103"/>
      <c r="D752" s="4065"/>
      <c r="E752" s="4140"/>
      <c r="F752" s="3931" t="str">
        <f t="shared" si="79"/>
        <v>CAC-SEER18_ER2_SF</v>
      </c>
      <c r="G752" s="3932"/>
      <c r="H752" s="3933"/>
      <c r="I752" s="2657" t="str">
        <f t="shared" si="77"/>
        <v>351160_2021_12_</v>
      </c>
      <c r="J752" s="1786"/>
      <c r="K752" s="52">
        <f t="shared" si="80"/>
        <v>3.3330761421319792</v>
      </c>
      <c r="L752" s="2893"/>
      <c r="M752" s="103"/>
      <c r="N752" s="1287"/>
      <c r="O752" s="103"/>
      <c r="P752" s="106"/>
      <c r="Q752" s="106"/>
      <c r="R752" s="106"/>
      <c r="S752" s="106"/>
      <c r="T752" s="106"/>
      <c r="U752" s="106"/>
      <c r="V752" s="4023"/>
      <c r="W752" s="558"/>
      <c r="X752" s="602"/>
      <c r="Y752" s="603"/>
      <c r="Z752" s="1554"/>
      <c r="AA752" s="1786"/>
      <c r="AB752" s="1786"/>
      <c r="AC752" s="2899"/>
      <c r="AD752" s="1786"/>
      <c r="AE752" s="558"/>
      <c r="AF752" s="558"/>
      <c r="AG752" s="558"/>
      <c r="AH752" s="156"/>
      <c r="AI752" s="156"/>
      <c r="AJ752" s="156"/>
      <c r="AK752" s="156"/>
      <c r="AL752" s="156"/>
      <c r="AM752" s="156"/>
      <c r="AN752" s="156"/>
      <c r="AO752" s="156"/>
      <c r="AP752" s="156"/>
      <c r="AQ752" s="156"/>
      <c r="AR752" s="156"/>
      <c r="AS752" s="156"/>
      <c r="AT752" s="156"/>
      <c r="AU752" s="156"/>
      <c r="AV752" s="156"/>
      <c r="AW752" s="156"/>
      <c r="AX752" s="156"/>
      <c r="AY752" s="156"/>
      <c r="AZ752" s="156"/>
      <c r="BA752" s="156"/>
      <c r="BB752" s="2890"/>
      <c r="BC752" s="504"/>
      <c r="BD752" s="2829"/>
      <c r="BE752" s="2837"/>
      <c r="BF752" s="156"/>
    </row>
    <row r="753" spans="1:58" ht="14.5" hidden="1" customHeight="1" outlineLevel="1" x14ac:dyDescent="0.35">
      <c r="A753" s="1071"/>
      <c r="B753" s="106"/>
      <c r="C753" s="103"/>
      <c r="D753" s="4065"/>
      <c r="E753" s="4140"/>
      <c r="F753" s="3931" t="str">
        <f t="shared" si="79"/>
        <v>CAC-SEER18_ROF_SF</v>
      </c>
      <c r="G753" s="3932"/>
      <c r="H753" s="3933"/>
      <c r="I753" s="2657" t="str">
        <f t="shared" si="77"/>
        <v>351161_2021_12_</v>
      </c>
      <c r="J753" s="387">
        <f>$R$214*J608</f>
        <v>826.66666666666708</v>
      </c>
      <c r="K753" s="52">
        <f t="shared" si="80"/>
        <v>3.3971612903225816</v>
      </c>
      <c r="L753" s="2893"/>
      <c r="M753" s="103"/>
      <c r="N753" s="1287"/>
      <c r="O753" s="103"/>
      <c r="P753" s="106"/>
      <c r="Q753" s="106"/>
      <c r="R753" s="106"/>
      <c r="S753" s="106"/>
      <c r="T753" s="106"/>
      <c r="U753" s="106"/>
      <c r="V753" s="4023"/>
      <c r="W753" s="558"/>
      <c r="X753" s="602"/>
      <c r="Y753" s="603"/>
      <c r="Z753" s="567">
        <v>826.66666666666708</v>
      </c>
      <c r="AA753" s="387">
        <v>826.66666666666708</v>
      </c>
      <c r="AB753" s="387">
        <v>826.66666666666708</v>
      </c>
      <c r="AC753" s="772">
        <v>826.66666666666708</v>
      </c>
      <c r="AD753" s="387">
        <f>$R$214*AD608</f>
        <v>826.66666666666708</v>
      </c>
      <c r="AE753" s="558"/>
      <c r="AF753" s="558"/>
      <c r="AG753" s="558"/>
      <c r="AH753" s="156"/>
      <c r="AI753" s="156"/>
      <c r="AJ753" s="156"/>
      <c r="AK753" s="156"/>
      <c r="AL753" s="156"/>
      <c r="AM753" s="156"/>
      <c r="AN753" s="156"/>
      <c r="AO753" s="156"/>
      <c r="AP753" s="156"/>
      <c r="AQ753" s="156"/>
      <c r="AR753" s="156"/>
      <c r="AS753" s="156"/>
      <c r="AT753" s="156"/>
      <c r="AU753" s="156"/>
      <c r="AV753" s="156"/>
      <c r="AW753" s="156"/>
      <c r="AX753" s="156"/>
      <c r="AY753" s="156"/>
      <c r="AZ753" s="156"/>
      <c r="BA753" s="156"/>
      <c r="BB753" s="2890"/>
      <c r="BC753" s="504"/>
      <c r="BD753" s="2829"/>
      <c r="BE753" s="2837"/>
      <c r="BF753" s="156"/>
    </row>
    <row r="754" spans="1:58" ht="14.5" hidden="1" customHeight="1" outlineLevel="1" x14ac:dyDescent="0.35">
      <c r="A754" s="1071"/>
      <c r="B754" s="106"/>
      <c r="C754" s="103"/>
      <c r="D754" s="4065"/>
      <c r="E754" s="4140"/>
      <c r="F754" s="3931" t="str">
        <f t="shared" si="79"/>
        <v>CAC-SEER18_ER1_MF</v>
      </c>
      <c r="G754" s="3932"/>
      <c r="H754" s="3933"/>
      <c r="I754" s="2657" t="str">
        <f t="shared" si="77"/>
        <v>351162_2021_12_</v>
      </c>
      <c r="J754" s="387">
        <f>(($R$223/3*K754)+$R$214)-(($Q$223/3*K754)/((1+$R$225)^$R$226))*J609</f>
        <v>1311.9979492570471</v>
      </c>
      <c r="K754" s="52">
        <f t="shared" si="80"/>
        <v>2.5</v>
      </c>
      <c r="L754" s="2893"/>
      <c r="M754" s="103"/>
      <c r="N754" s="1287"/>
      <c r="O754" s="103"/>
      <c r="P754" s="106"/>
      <c r="Q754" s="106"/>
      <c r="R754" s="106"/>
      <c r="S754" s="106"/>
      <c r="T754" s="106"/>
      <c r="U754" s="106"/>
      <c r="V754" s="4023"/>
      <c r="W754" s="558"/>
      <c r="X754" s="603"/>
      <c r="Y754" s="603"/>
      <c r="Z754" s="567">
        <v>1214.9316927389714</v>
      </c>
      <c r="AA754" s="387">
        <v>1214.9316927389714</v>
      </c>
      <c r="AB754" s="387">
        <v>1214.9316927389714</v>
      </c>
      <c r="AC754" s="567">
        <v>1409.0642057751234</v>
      </c>
      <c r="AD754" s="387">
        <f>(($R$223/3*AE754)+$R$214)-(($Q$223/3*AE754)/((1+$R$225)^$R$226))*AD609</f>
        <v>826.66666666666708</v>
      </c>
      <c r="AE754" s="558"/>
      <c r="AF754" s="558"/>
      <c r="AG754" s="558"/>
      <c r="AH754" s="156"/>
      <c r="AI754" s="156"/>
      <c r="AJ754" s="156"/>
      <c r="AK754" s="156"/>
      <c r="AL754" s="156"/>
      <c r="AM754" s="156"/>
      <c r="AN754" s="156"/>
      <c r="AO754" s="156"/>
      <c r="AP754" s="156"/>
      <c r="AQ754" s="156"/>
      <c r="AR754" s="156"/>
      <c r="AS754" s="156"/>
      <c r="AT754" s="156"/>
      <c r="AU754" s="156"/>
      <c r="AV754" s="156"/>
      <c r="AW754" s="156"/>
      <c r="AX754" s="156"/>
      <c r="AY754" s="156"/>
      <c r="AZ754" s="156"/>
      <c r="BA754" s="156"/>
      <c r="BB754" s="2890"/>
      <c r="BC754" s="504"/>
      <c r="BD754" s="2829"/>
      <c r="BE754" s="2837"/>
      <c r="BF754" s="156"/>
    </row>
    <row r="755" spans="1:58" ht="14.5" hidden="1" customHeight="1" outlineLevel="1" x14ac:dyDescent="0.35">
      <c r="A755" s="1071"/>
      <c r="B755" s="106"/>
      <c r="C755" s="103"/>
      <c r="D755" s="4065"/>
      <c r="E755" s="4140"/>
      <c r="F755" s="3931" t="str">
        <f t="shared" si="79"/>
        <v>CAC-SEER18_ER2_MF</v>
      </c>
      <c r="G755" s="3932"/>
      <c r="H755" s="3933"/>
      <c r="I755" s="2657" t="str">
        <f t="shared" si="77"/>
        <v>351162_2021_12_</v>
      </c>
      <c r="J755" s="387"/>
      <c r="K755" s="52">
        <f t="shared" si="80"/>
        <v>2.5</v>
      </c>
      <c r="L755" s="2893"/>
      <c r="M755" s="103"/>
      <c r="N755" s="1287"/>
      <c r="O755" s="103"/>
      <c r="P755" s="106"/>
      <c r="Q755" s="106"/>
      <c r="R755" s="106"/>
      <c r="S755" s="106"/>
      <c r="T755" s="106"/>
      <c r="U755" s="106"/>
      <c r="V755" s="4023"/>
      <c r="W755" s="558"/>
      <c r="X755" s="602"/>
      <c r="Y755" s="603"/>
      <c r="Z755" s="567"/>
      <c r="AA755" s="387"/>
      <c r="AB755" s="387"/>
      <c r="AC755" s="772"/>
      <c r="AD755" s="387"/>
      <c r="AE755" s="558"/>
      <c r="AF755" s="558"/>
      <c r="AG755" s="558"/>
      <c r="AH755" s="156"/>
      <c r="AI755" s="156"/>
      <c r="AJ755" s="156"/>
      <c r="AK755" s="156"/>
      <c r="AL755" s="156"/>
      <c r="AM755" s="156"/>
      <c r="AN755" s="156"/>
      <c r="AO755" s="156"/>
      <c r="AP755" s="156"/>
      <c r="AQ755" s="156"/>
      <c r="AR755" s="156"/>
      <c r="AS755" s="156"/>
      <c r="AT755" s="156"/>
      <c r="AU755" s="156"/>
      <c r="AV755" s="156"/>
      <c r="AW755" s="156"/>
      <c r="AX755" s="156"/>
      <c r="AY755" s="156"/>
      <c r="AZ755" s="156"/>
      <c r="BA755" s="156"/>
      <c r="BB755" s="2890"/>
      <c r="BC755" s="504"/>
      <c r="BD755" s="2829"/>
      <c r="BE755" s="2837"/>
      <c r="BF755" s="156"/>
    </row>
    <row r="756" spans="1:58" ht="14.5" hidden="1" customHeight="1" outlineLevel="1" x14ac:dyDescent="0.35">
      <c r="A756" s="1071"/>
      <c r="B756" s="106"/>
      <c r="C756" s="103"/>
      <c r="D756" s="4065"/>
      <c r="E756" s="4140"/>
      <c r="F756" s="3931" t="str">
        <f t="shared" si="79"/>
        <v>CAC-SEER18_ER1_MF_CompE</v>
      </c>
      <c r="G756" s="3932"/>
      <c r="H756" s="3933"/>
      <c r="I756" s="2657" t="str">
        <f t="shared" si="77"/>
        <v>351163_2021_12_</v>
      </c>
      <c r="J756" s="387">
        <f>(($R$223/3*K756)+$R$214)-(($Q$223/3*K756)/((1+$R$225)^($R$226-1)))*J611</f>
        <v>1199.2155772378417</v>
      </c>
      <c r="K756" s="52">
        <f t="shared" si="80"/>
        <v>2.5</v>
      </c>
      <c r="L756" s="2893"/>
      <c r="M756" s="103"/>
      <c r="N756" s="1287"/>
      <c r="O756" s="103"/>
      <c r="P756" s="106"/>
      <c r="Q756" s="106"/>
      <c r="R756" s="106"/>
      <c r="S756" s="106"/>
      <c r="T756" s="106"/>
      <c r="U756" s="106"/>
      <c r="V756" s="4023"/>
      <c r="W756" s="558"/>
      <c r="X756" s="602"/>
      <c r="Y756" s="603"/>
      <c r="Z756" s="567">
        <v>1124.705795123607</v>
      </c>
      <c r="AA756" s="387">
        <v>1124.705795123607</v>
      </c>
      <c r="AB756" s="387">
        <v>1124.705795123607</v>
      </c>
      <c r="AC756" s="567">
        <v>1273.7253593520768</v>
      </c>
      <c r="AD756" s="387">
        <f>(($R$223/3*AE756)+$R$214)-(($Q$223/3*AE756)/((1+$R$225)^($R$226-1)))*AD611</f>
        <v>826.66666666666708</v>
      </c>
      <c r="AE756" s="558"/>
      <c r="AF756" s="558"/>
      <c r="AG756" s="558"/>
      <c r="AH756" s="156"/>
      <c r="AI756" s="156"/>
      <c r="AJ756" s="156"/>
      <c r="AK756" s="156"/>
      <c r="AL756" s="156"/>
      <c r="AM756" s="156"/>
      <c r="AN756" s="156"/>
      <c r="AO756" s="156"/>
      <c r="AP756" s="156"/>
      <c r="AQ756" s="156"/>
      <c r="AR756" s="156"/>
      <c r="AS756" s="156"/>
      <c r="AT756" s="156"/>
      <c r="AU756" s="156"/>
      <c r="AV756" s="156"/>
      <c r="AW756" s="156"/>
      <c r="AX756" s="156"/>
      <c r="AY756" s="156"/>
      <c r="AZ756" s="156"/>
      <c r="BA756" s="156"/>
      <c r="BB756" s="2890"/>
      <c r="BC756" s="504"/>
      <c r="BD756" s="2829"/>
      <c r="BE756" s="2837"/>
      <c r="BF756" s="156"/>
    </row>
    <row r="757" spans="1:58" ht="14.5" hidden="1" customHeight="1" outlineLevel="1" x14ac:dyDescent="0.35">
      <c r="A757" s="1071"/>
      <c r="B757" s="106"/>
      <c r="C757" s="103"/>
      <c r="D757" s="4065"/>
      <c r="E757" s="4140"/>
      <c r="F757" s="3931" t="str">
        <f t="shared" si="79"/>
        <v>CAC-SEER18_ER2_MF_CompE</v>
      </c>
      <c r="G757" s="3932"/>
      <c r="H757" s="3933"/>
      <c r="I757" s="2657" t="str">
        <f t="shared" si="77"/>
        <v>351163_2021_12_</v>
      </c>
      <c r="J757" s="387"/>
      <c r="K757" s="52">
        <f t="shared" si="80"/>
        <v>2.5</v>
      </c>
      <c r="L757" s="2893"/>
      <c r="M757" s="103"/>
      <c r="N757" s="1287"/>
      <c r="O757" s="103"/>
      <c r="P757" s="106"/>
      <c r="Q757" s="106"/>
      <c r="R757" s="106"/>
      <c r="S757" s="106"/>
      <c r="T757" s="106"/>
      <c r="U757" s="106"/>
      <c r="V757" s="4023"/>
      <c r="W757" s="558"/>
      <c r="X757" s="602"/>
      <c r="Y757" s="603"/>
      <c r="Z757" s="567"/>
      <c r="AA757" s="387"/>
      <c r="AB757" s="387"/>
      <c r="AC757" s="772"/>
      <c r="AD757" s="387"/>
      <c r="AE757" s="558"/>
      <c r="AF757" s="558"/>
      <c r="AG757" s="558"/>
      <c r="AH757" s="156"/>
      <c r="AI757" s="156"/>
      <c r="AJ757" s="156"/>
      <c r="AK757" s="156"/>
      <c r="AL757" s="156"/>
      <c r="AM757" s="156"/>
      <c r="AN757" s="156"/>
      <c r="AO757" s="156"/>
      <c r="AP757" s="156"/>
      <c r="AQ757" s="156"/>
      <c r="AR757" s="156"/>
      <c r="AS757" s="156"/>
      <c r="AT757" s="156"/>
      <c r="AU757" s="156"/>
      <c r="AV757" s="156"/>
      <c r="AW757" s="156"/>
      <c r="AX757" s="156"/>
      <c r="AY757" s="156"/>
      <c r="AZ757" s="156"/>
      <c r="BA757" s="156"/>
      <c r="BB757" s="2890"/>
      <c r="BC757" s="504"/>
      <c r="BD757" s="2829"/>
      <c r="BE757" s="2837"/>
      <c r="BF757" s="156"/>
    </row>
    <row r="758" spans="1:58" ht="14.25" hidden="1" customHeight="1" outlineLevel="1" x14ac:dyDescent="0.35">
      <c r="A758" s="1071"/>
      <c r="B758" s="106"/>
      <c r="C758" s="103"/>
      <c r="D758" s="4065"/>
      <c r="E758" s="4140"/>
      <c r="F758" s="3931" t="str">
        <f t="shared" si="79"/>
        <v>CAC-SEER18_ROF_MF</v>
      </c>
      <c r="G758" s="3932"/>
      <c r="H758" s="3933"/>
      <c r="I758" s="2657" t="str">
        <f t="shared" si="77"/>
        <v>351164_2021_12_</v>
      </c>
      <c r="J758" s="387">
        <f>$R$214*J613</f>
        <v>826.66666666666708</v>
      </c>
      <c r="K758" s="52">
        <f t="shared" si="80"/>
        <v>2</v>
      </c>
      <c r="L758" s="2893"/>
      <c r="M758" s="103"/>
      <c r="N758" s="1287"/>
      <c r="O758" s="103"/>
      <c r="P758" s="106"/>
      <c r="Q758" s="106"/>
      <c r="R758" s="106"/>
      <c r="S758" s="106"/>
      <c r="T758" s="106"/>
      <c r="U758" s="106"/>
      <c r="V758" s="4023"/>
      <c r="W758" s="558"/>
      <c r="X758" s="602"/>
      <c r="Y758" s="603"/>
      <c r="Z758" s="567">
        <v>826.66666666666708</v>
      </c>
      <c r="AA758" s="387">
        <v>826.66666666666708</v>
      </c>
      <c r="AB758" s="387">
        <v>826.66666666666708</v>
      </c>
      <c r="AC758" s="772">
        <v>826.66666666666708</v>
      </c>
      <c r="AD758" s="387">
        <f>$R$214*AD613</f>
        <v>826.66666666666708</v>
      </c>
      <c r="AE758" s="558"/>
      <c r="AF758" s="558"/>
      <c r="AG758" s="558"/>
      <c r="AH758" s="156"/>
      <c r="AI758" s="156"/>
      <c r="AJ758" s="156"/>
      <c r="AK758" s="156"/>
      <c r="AL758" s="156"/>
      <c r="AM758" s="156"/>
      <c r="AN758" s="156"/>
      <c r="AO758" s="156"/>
      <c r="AP758" s="156"/>
      <c r="AQ758" s="156"/>
      <c r="AR758" s="156"/>
      <c r="AS758" s="156"/>
      <c r="AT758" s="156"/>
      <c r="AU758" s="156"/>
      <c r="AV758" s="156"/>
      <c r="AW758" s="156"/>
      <c r="AX758" s="156"/>
      <c r="AY758" s="156"/>
      <c r="AZ758" s="156"/>
      <c r="BA758" s="156"/>
      <c r="BB758" s="2890"/>
      <c r="BC758" s="504"/>
      <c r="BD758" s="2829"/>
      <c r="BE758" s="2837"/>
      <c r="BF758" s="156"/>
    </row>
    <row r="759" spans="1:58" ht="14.25" hidden="1" customHeight="1" outlineLevel="1" x14ac:dyDescent="0.35">
      <c r="A759" s="1071"/>
      <c r="B759" s="106"/>
      <c r="C759" s="103"/>
      <c r="D759" s="4065"/>
      <c r="E759" s="4140"/>
      <c r="F759" s="3931" t="str">
        <f t="shared" si="79"/>
        <v>CAC-SEER18_ROF_MF_CompE</v>
      </c>
      <c r="G759" s="3932"/>
      <c r="H759" s="3933"/>
      <c r="I759" s="2657" t="str">
        <f t="shared" si="77"/>
        <v>351165_2021_12_</v>
      </c>
      <c r="J759" s="387">
        <f>$R$214*J614</f>
        <v>826.66666666666708</v>
      </c>
      <c r="K759" s="52">
        <f t="shared" si="80"/>
        <v>2</v>
      </c>
      <c r="L759" s="2893"/>
      <c r="M759" s="103"/>
      <c r="N759" s="1287"/>
      <c r="O759" s="103"/>
      <c r="P759" s="106"/>
      <c r="Q759" s="106"/>
      <c r="R759" s="106"/>
      <c r="S759" s="106"/>
      <c r="T759" s="106"/>
      <c r="U759" s="106"/>
      <c r="V759" s="4023"/>
      <c r="W759" s="558"/>
      <c r="X759" s="602"/>
      <c r="Y759" s="603"/>
      <c r="Z759" s="567">
        <v>826.66666666666708</v>
      </c>
      <c r="AA759" s="387">
        <v>826.66666666666708</v>
      </c>
      <c r="AB759" s="387">
        <v>826.66666666666708</v>
      </c>
      <c r="AC759" s="772">
        <v>826.66666666666708</v>
      </c>
      <c r="AD759" s="387">
        <f>$R$214*AD614</f>
        <v>826.66666666666708</v>
      </c>
      <c r="AE759" s="558"/>
      <c r="AF759" s="558"/>
      <c r="AG759" s="558"/>
      <c r="AH759" s="156"/>
      <c r="AI759" s="156"/>
      <c r="AJ759" s="156"/>
      <c r="AK759" s="156"/>
      <c r="AL759" s="156"/>
      <c r="AM759" s="156"/>
      <c r="AN759" s="156"/>
      <c r="AO759" s="156"/>
      <c r="AP759" s="156"/>
      <c r="AQ759" s="156"/>
      <c r="AR759" s="156"/>
      <c r="AS759" s="156"/>
      <c r="AT759" s="156"/>
      <c r="AU759" s="156"/>
      <c r="AV759" s="156"/>
      <c r="AW759" s="156"/>
      <c r="AX759" s="156"/>
      <c r="AY759" s="156"/>
      <c r="AZ759" s="156"/>
      <c r="BA759" s="156"/>
      <c r="BB759" s="2890"/>
      <c r="BC759" s="504"/>
      <c r="BD759" s="2829"/>
      <c r="BE759" s="2837"/>
      <c r="BF759" s="156"/>
    </row>
    <row r="760" spans="1:58" ht="14.5" hidden="1" customHeight="1" outlineLevel="1" x14ac:dyDescent="0.35">
      <c r="A760" s="1071"/>
      <c r="B760" s="106"/>
      <c r="C760" s="103"/>
      <c r="D760" s="4065"/>
      <c r="E760" s="4140"/>
      <c r="F760" s="3931" t="str">
        <f t="shared" si="79"/>
        <v>CAC-SEER19_ER1_SF</v>
      </c>
      <c r="G760" s="3932"/>
      <c r="H760" s="3933"/>
      <c r="I760" s="2657" t="str">
        <f t="shared" si="77"/>
        <v>351170_2021_12_</v>
      </c>
      <c r="J760" s="387">
        <f>(($R$223/3*K760)+$R$215)-(($Q$223/3*K760)/((1+$R$225)^($R$226-1)))*J615</f>
        <v>1676.1097862983729</v>
      </c>
      <c r="K760" s="52">
        <f t="shared" si="80"/>
        <v>4.3133695652173918</v>
      </c>
      <c r="L760" s="2893"/>
      <c r="M760" s="103"/>
      <c r="N760" s="1287"/>
      <c r="O760" s="103"/>
      <c r="P760" s="106"/>
      <c r="Q760" s="106"/>
      <c r="R760" s="106"/>
      <c r="S760" s="106"/>
      <c r="T760" s="106"/>
      <c r="U760" s="106"/>
      <c r="V760" s="4023"/>
      <c r="W760" s="558"/>
      <c r="X760" s="603"/>
      <c r="Y760" s="603"/>
      <c r="Z760" s="567">
        <v>1480.3920260187429</v>
      </c>
      <c r="AA760" s="387">
        <v>1480.3920260187429</v>
      </c>
      <c r="AB760" s="387">
        <v>1480.3920260187429</v>
      </c>
      <c r="AC760" s="567">
        <v>1664.4750171244996</v>
      </c>
      <c r="AD760" s="387">
        <f>(($R$223/3*AE760)+$R$215)-(($Q$223/3*AE760)/((1+$R$225)^($R$226-1)))*AD615</f>
        <v>1033.3333333333328</v>
      </c>
      <c r="AE760" s="558"/>
      <c r="AF760" s="558"/>
      <c r="AG760" s="558"/>
      <c r="AH760" s="156"/>
      <c r="AI760" s="156"/>
      <c r="AJ760" s="156"/>
      <c r="AK760" s="156"/>
      <c r="AL760" s="156"/>
      <c r="AM760" s="156"/>
      <c r="AN760" s="156"/>
      <c r="AO760" s="156"/>
      <c r="AP760" s="156"/>
      <c r="AQ760" s="156"/>
      <c r="AR760" s="156"/>
      <c r="AS760" s="156"/>
      <c r="AT760" s="156"/>
      <c r="AU760" s="156"/>
      <c r="AV760" s="156"/>
      <c r="AW760" s="156"/>
      <c r="AX760" s="156"/>
      <c r="AY760" s="156"/>
      <c r="AZ760" s="156"/>
      <c r="BA760" s="156"/>
      <c r="BB760" s="2890"/>
      <c r="BC760" s="504"/>
      <c r="BD760" s="2829"/>
      <c r="BE760" s="2837"/>
      <c r="BF760" s="156"/>
    </row>
    <row r="761" spans="1:58" ht="14.5" hidden="1" customHeight="1" outlineLevel="1" x14ac:dyDescent="0.35">
      <c r="A761" s="1071"/>
      <c r="B761" s="106"/>
      <c r="C761" s="103"/>
      <c r="D761" s="4065"/>
      <c r="E761" s="4140"/>
      <c r="F761" s="3931" t="str">
        <f t="shared" si="79"/>
        <v>CAC-SEER19_ER2_SF</v>
      </c>
      <c r="G761" s="3932"/>
      <c r="H761" s="3933"/>
      <c r="I761" s="2657" t="str">
        <f t="shared" si="77"/>
        <v>351170_2021_12_</v>
      </c>
      <c r="J761" s="387"/>
      <c r="K761" s="52">
        <f t="shared" si="80"/>
        <v>4.3133695652173918</v>
      </c>
      <c r="L761" s="2893"/>
      <c r="M761" s="103"/>
      <c r="N761" s="1287"/>
      <c r="O761" s="103"/>
      <c r="P761" s="106"/>
      <c r="Q761" s="106"/>
      <c r="R761" s="106"/>
      <c r="S761" s="106"/>
      <c r="T761" s="106"/>
      <c r="U761" s="106"/>
      <c r="V761" s="4023"/>
      <c r="W761" s="558"/>
      <c r="X761" s="602"/>
      <c r="Y761" s="603"/>
      <c r="Z761" s="567"/>
      <c r="AA761" s="387"/>
      <c r="AB761" s="387"/>
      <c r="AC761" s="772"/>
      <c r="AD761" s="387"/>
      <c r="AE761" s="558"/>
      <c r="AF761" s="558"/>
      <c r="AG761" s="558"/>
      <c r="AH761" s="156"/>
      <c r="AI761" s="156"/>
      <c r="AJ761" s="156"/>
      <c r="AK761" s="156"/>
      <c r="AL761" s="156"/>
      <c r="AM761" s="156"/>
      <c r="AN761" s="156"/>
      <c r="AO761" s="156"/>
      <c r="AP761" s="156"/>
      <c r="AQ761" s="156"/>
      <c r="AR761" s="156"/>
      <c r="AS761" s="156"/>
      <c r="AT761" s="156"/>
      <c r="AU761" s="156"/>
      <c r="AV761" s="156"/>
      <c r="AW761" s="156"/>
      <c r="AX761" s="156"/>
      <c r="AY761" s="156"/>
      <c r="AZ761" s="156"/>
      <c r="BA761" s="156"/>
      <c r="BB761" s="2890"/>
      <c r="BC761" s="504"/>
      <c r="BD761" s="2829"/>
      <c r="BE761" s="2837"/>
      <c r="BF761" s="156"/>
    </row>
    <row r="762" spans="1:58" ht="14.5" hidden="1" customHeight="1" outlineLevel="1" x14ac:dyDescent="0.35">
      <c r="A762" s="1071"/>
      <c r="B762" s="106"/>
      <c r="C762" s="103"/>
      <c r="D762" s="4065"/>
      <c r="E762" s="4140"/>
      <c r="F762" s="3931" t="str">
        <f t="shared" si="79"/>
        <v>CAC-SEER19_ROF_SF</v>
      </c>
      <c r="G762" s="3932"/>
      <c r="H762" s="3933"/>
      <c r="I762" s="2657" t="str">
        <f t="shared" si="77"/>
        <v>351171_2021_12_</v>
      </c>
      <c r="J762" s="387">
        <f>$R$215*J617</f>
        <v>1033.3333333333328</v>
      </c>
      <c r="K762" s="52">
        <f t="shared" si="80"/>
        <v>4.3143750000000001</v>
      </c>
      <c r="L762" s="2893"/>
      <c r="M762" s="103"/>
      <c r="N762" s="1287"/>
      <c r="O762" s="103"/>
      <c r="P762" s="106"/>
      <c r="Q762" s="106"/>
      <c r="R762" s="106"/>
      <c r="S762" s="106"/>
      <c r="T762" s="106"/>
      <c r="U762" s="106"/>
      <c r="V762" s="4023"/>
      <c r="W762" s="558"/>
      <c r="X762" s="603"/>
      <c r="Y762" s="603"/>
      <c r="Z762" s="567">
        <v>1033.3333333333328</v>
      </c>
      <c r="AA762" s="387">
        <v>1033.3333333333328</v>
      </c>
      <c r="AB762" s="387">
        <v>1033.3333333333328</v>
      </c>
      <c r="AC762" s="772">
        <v>1033.3333333333328</v>
      </c>
      <c r="AD762" s="387">
        <f>$R$215*AD617</f>
        <v>1033.3333333333328</v>
      </c>
      <c r="AE762" s="558"/>
      <c r="AF762" s="558"/>
      <c r="AG762" s="558"/>
      <c r="AH762" s="156"/>
      <c r="AI762" s="156"/>
      <c r="AJ762" s="156"/>
      <c r="AK762" s="156"/>
      <c r="AL762" s="156"/>
      <c r="AM762" s="156"/>
      <c r="AN762" s="156"/>
      <c r="AO762" s="156"/>
      <c r="AP762" s="156"/>
      <c r="AQ762" s="156"/>
      <c r="AR762" s="156"/>
      <c r="AS762" s="156"/>
      <c r="AT762" s="156"/>
      <c r="AU762" s="156"/>
      <c r="AV762" s="156"/>
      <c r="AW762" s="156"/>
      <c r="AX762" s="156"/>
      <c r="AY762" s="156"/>
      <c r="AZ762" s="156"/>
      <c r="BA762" s="156"/>
      <c r="BB762" s="2890"/>
      <c r="BC762" s="504"/>
      <c r="BD762" s="2829"/>
      <c r="BE762" s="2837"/>
      <c r="BF762" s="156"/>
    </row>
    <row r="763" spans="1:58" ht="14.5" hidden="1" customHeight="1" outlineLevel="1" x14ac:dyDescent="0.35">
      <c r="A763" s="1071"/>
      <c r="B763" s="106"/>
      <c r="C763" s="103"/>
      <c r="D763" s="4065"/>
      <c r="E763" s="4140"/>
      <c r="F763" s="3931" t="str">
        <f t="shared" si="79"/>
        <v>CAC-SEER19_ER1_MF</v>
      </c>
      <c r="G763" s="3932"/>
      <c r="H763" s="3933"/>
      <c r="I763" s="2657" t="str">
        <f t="shared" si="77"/>
        <v>351172_2021_12_</v>
      </c>
      <c r="J763" s="387">
        <f>(($R$223/3*K763)+$R$215)-(($Q$223/3*K763)/((1+$R$225)^($R$226-1)))*J618</f>
        <v>1331.3724617902726</v>
      </c>
      <c r="K763" s="52">
        <f t="shared" si="80"/>
        <v>2</v>
      </c>
      <c r="L763" s="2893"/>
      <c r="M763" s="103"/>
      <c r="N763" s="1287"/>
      <c r="O763" s="103"/>
      <c r="P763" s="106"/>
      <c r="Q763" s="106"/>
      <c r="R763" s="106"/>
      <c r="S763" s="106"/>
      <c r="T763" s="106"/>
      <c r="U763" s="106"/>
      <c r="V763" s="4023"/>
      <c r="W763" s="558"/>
      <c r="X763" s="603"/>
      <c r="Y763" s="603"/>
      <c r="Z763" s="567">
        <v>1331.3724617902726</v>
      </c>
      <c r="AA763" s="387">
        <v>1331.3724617902726</v>
      </c>
      <c r="AB763" s="387">
        <v>1331.3724617902726</v>
      </c>
      <c r="AC763" s="772">
        <v>1331.3724617902726</v>
      </c>
      <c r="AD763" s="387">
        <f>(($R$223/3*AE763)+$R$215)-(($Q$223/3*AE763)/((1+$R$225)^($R$226-1)))*AD618</f>
        <v>1033.3333333333328</v>
      </c>
      <c r="AE763" s="558"/>
      <c r="AF763" s="558"/>
      <c r="AG763" s="558"/>
      <c r="AH763" s="156"/>
      <c r="AI763" s="156"/>
      <c r="AJ763" s="156"/>
      <c r="AK763" s="156"/>
      <c r="AL763" s="156"/>
      <c r="AM763" s="156"/>
      <c r="AN763" s="156"/>
      <c r="AO763" s="156"/>
      <c r="AP763" s="156"/>
      <c r="AQ763" s="156"/>
      <c r="AR763" s="156"/>
      <c r="AS763" s="156"/>
      <c r="AT763" s="156"/>
      <c r="AU763" s="156"/>
      <c r="AV763" s="156"/>
      <c r="AW763" s="156"/>
      <c r="AX763" s="156"/>
      <c r="AY763" s="156"/>
      <c r="AZ763" s="156"/>
      <c r="BA763" s="156"/>
      <c r="BB763" s="2890"/>
      <c r="BC763" s="504"/>
      <c r="BD763" s="2829"/>
      <c r="BE763" s="2837"/>
      <c r="BF763" s="156"/>
    </row>
    <row r="764" spans="1:58" ht="14.5" hidden="1" customHeight="1" outlineLevel="1" x14ac:dyDescent="0.35">
      <c r="A764" s="1071"/>
      <c r="B764" s="106"/>
      <c r="C764" s="103"/>
      <c r="D764" s="4065"/>
      <c r="E764" s="4140"/>
      <c r="F764" s="3931" t="str">
        <f t="shared" si="79"/>
        <v>CAC-SEER19_ER2_MF</v>
      </c>
      <c r="G764" s="3932"/>
      <c r="H764" s="3933"/>
      <c r="I764" s="2657" t="str">
        <f t="shared" si="77"/>
        <v>351172_2021_12_</v>
      </c>
      <c r="J764" s="387"/>
      <c r="K764" s="52">
        <f t="shared" si="80"/>
        <v>2</v>
      </c>
      <c r="L764" s="2893"/>
      <c r="M764" s="103"/>
      <c r="N764" s="1287"/>
      <c r="O764" s="103"/>
      <c r="P764" s="106"/>
      <c r="Q764" s="106"/>
      <c r="R764" s="106"/>
      <c r="S764" s="106"/>
      <c r="T764" s="106"/>
      <c r="U764" s="106"/>
      <c r="V764" s="4023"/>
      <c r="W764" s="558"/>
      <c r="X764" s="602"/>
      <c r="Y764" s="603"/>
      <c r="Z764" s="567"/>
      <c r="AA764" s="387"/>
      <c r="AB764" s="387"/>
      <c r="AC764" s="772"/>
      <c r="AD764" s="387"/>
      <c r="AE764" s="558"/>
      <c r="AF764" s="558"/>
      <c r="AG764" s="558"/>
      <c r="AH764" s="156"/>
      <c r="AI764" s="156"/>
      <c r="AJ764" s="156"/>
      <c r="AK764" s="156"/>
      <c r="AL764" s="156"/>
      <c r="AM764" s="156"/>
      <c r="AN764" s="156"/>
      <c r="AO764" s="156"/>
      <c r="AP764" s="156"/>
      <c r="AQ764" s="156"/>
      <c r="AR764" s="156"/>
      <c r="AS764" s="156"/>
      <c r="AT764" s="156"/>
      <c r="AU764" s="156"/>
      <c r="AV764" s="156"/>
      <c r="AW764" s="156"/>
      <c r="AX764" s="156"/>
      <c r="AY764" s="156"/>
      <c r="AZ764" s="156"/>
      <c r="BA764" s="156"/>
      <c r="BB764" s="2890"/>
      <c r="BC764" s="504"/>
      <c r="BD764" s="2829"/>
      <c r="BE764" s="2837"/>
      <c r="BF764" s="156"/>
    </row>
    <row r="765" spans="1:58" ht="14.5" hidden="1" customHeight="1" outlineLevel="1" x14ac:dyDescent="0.35">
      <c r="A765" s="1071"/>
      <c r="B765" s="106"/>
      <c r="C765" s="103"/>
      <c r="D765" s="4065"/>
      <c r="E765" s="4140"/>
      <c r="F765" s="3931" t="str">
        <f t="shared" si="79"/>
        <v>CAC-SEER19_ER1_MF_CompE</v>
      </c>
      <c r="G765" s="3932"/>
      <c r="H765" s="3933"/>
      <c r="I765" s="2657" t="str">
        <f t="shared" si="77"/>
        <v>351173_2021_12_</v>
      </c>
      <c r="J765" s="387">
        <f>(($R$223/3*K765)+$R$215)-(($Q$223/3*K765)/((1+$R$225)^($R$226-1)))*J620</f>
        <v>1331.3724617902726</v>
      </c>
      <c r="K765" s="52">
        <f t="shared" si="80"/>
        <v>2</v>
      </c>
      <c r="L765" s="2893"/>
      <c r="M765" s="103"/>
      <c r="N765" s="1287"/>
      <c r="O765" s="103"/>
      <c r="P765" s="106"/>
      <c r="Q765" s="106"/>
      <c r="R765" s="106"/>
      <c r="S765" s="106"/>
      <c r="T765" s="106"/>
      <c r="U765" s="106"/>
      <c r="V765" s="4023"/>
      <c r="W765" s="558"/>
      <c r="X765" s="602"/>
      <c r="Y765" s="603"/>
      <c r="Z765" s="567">
        <v>1331.3724617902726</v>
      </c>
      <c r="AA765" s="387">
        <v>1331.3724617902726</v>
      </c>
      <c r="AB765" s="387">
        <v>1331.3724617902726</v>
      </c>
      <c r="AC765" s="772">
        <v>1331.3724617902726</v>
      </c>
      <c r="AD765" s="387">
        <f>(($R$223/3*AE765)+$R$215)-(($Q$223/3*AE765)/((1+$R$225)^($R$226-1)))*AD620</f>
        <v>1033.3333333333328</v>
      </c>
      <c r="AE765" s="558"/>
      <c r="AF765" s="558"/>
      <c r="AG765" s="558"/>
      <c r="AH765" s="156"/>
      <c r="AI765" s="156"/>
      <c r="AJ765" s="156"/>
      <c r="AK765" s="156"/>
      <c r="AL765" s="156"/>
      <c r="AM765" s="156"/>
      <c r="AN765" s="156"/>
      <c r="AO765" s="156"/>
      <c r="AP765" s="156"/>
      <c r="AQ765" s="156"/>
      <c r="AR765" s="156"/>
      <c r="AS765" s="156"/>
      <c r="AT765" s="156"/>
      <c r="AU765" s="156"/>
      <c r="AV765" s="156"/>
      <c r="AW765" s="156"/>
      <c r="AX765" s="156"/>
      <c r="AY765" s="156"/>
      <c r="AZ765" s="156"/>
      <c r="BA765" s="156"/>
      <c r="BB765" s="2890"/>
      <c r="BC765" s="504"/>
      <c r="BD765" s="2829"/>
      <c r="BE765" s="2837"/>
      <c r="BF765" s="156"/>
    </row>
    <row r="766" spans="1:58" ht="14.5" hidden="1" customHeight="1" outlineLevel="1" x14ac:dyDescent="0.35">
      <c r="A766" s="1071"/>
      <c r="B766" s="106"/>
      <c r="C766" s="103"/>
      <c r="D766" s="4065"/>
      <c r="E766" s="4140"/>
      <c r="F766" s="3931" t="str">
        <f t="shared" si="79"/>
        <v>CAC-SEER19_ER2_MF_CompE</v>
      </c>
      <c r="G766" s="3932"/>
      <c r="H766" s="3933"/>
      <c r="I766" s="2657" t="str">
        <f t="shared" si="77"/>
        <v>351173_2021_12_</v>
      </c>
      <c r="J766" s="387"/>
      <c r="K766" s="52">
        <f t="shared" si="80"/>
        <v>2</v>
      </c>
      <c r="L766" s="2893"/>
      <c r="M766" s="103"/>
      <c r="N766" s="1287"/>
      <c r="O766" s="103"/>
      <c r="P766" s="106"/>
      <c r="Q766" s="106"/>
      <c r="R766" s="106"/>
      <c r="S766" s="106"/>
      <c r="T766" s="106"/>
      <c r="U766" s="106"/>
      <c r="V766" s="4023"/>
      <c r="W766" s="558"/>
      <c r="X766" s="602"/>
      <c r="Y766" s="603"/>
      <c r="Z766" s="567"/>
      <c r="AA766" s="387"/>
      <c r="AB766" s="387"/>
      <c r="AC766" s="772"/>
      <c r="AD766" s="387"/>
      <c r="AE766" s="558"/>
      <c r="AF766" s="558"/>
      <c r="AG766" s="558"/>
      <c r="AH766" s="156"/>
      <c r="AI766" s="156"/>
      <c r="AJ766" s="156"/>
      <c r="AK766" s="156"/>
      <c r="AL766" s="156"/>
      <c r="AM766" s="156"/>
      <c r="AN766" s="156"/>
      <c r="AO766" s="156"/>
      <c r="AP766" s="156"/>
      <c r="AQ766" s="156"/>
      <c r="AR766" s="156"/>
      <c r="AS766" s="156"/>
      <c r="AT766" s="156"/>
      <c r="AU766" s="156"/>
      <c r="AV766" s="156"/>
      <c r="AW766" s="156"/>
      <c r="AX766" s="156"/>
      <c r="AY766" s="156"/>
      <c r="AZ766" s="156"/>
      <c r="BA766" s="156"/>
      <c r="BB766" s="2890"/>
      <c r="BC766" s="504"/>
      <c r="BD766" s="2829"/>
      <c r="BE766" s="2837"/>
      <c r="BF766" s="156"/>
    </row>
    <row r="767" spans="1:58" ht="14.25" hidden="1" customHeight="1" outlineLevel="1" x14ac:dyDescent="0.35">
      <c r="A767" s="1071"/>
      <c r="B767" s="106"/>
      <c r="C767" s="103"/>
      <c r="D767" s="4065"/>
      <c r="E767" s="4140"/>
      <c r="F767" s="3931" t="str">
        <f t="shared" si="79"/>
        <v>CAC-SEER19_ROF_MF</v>
      </c>
      <c r="G767" s="3932"/>
      <c r="H767" s="3933"/>
      <c r="I767" s="2657" t="str">
        <f t="shared" si="77"/>
        <v>351174_2021_12_</v>
      </c>
      <c r="J767" s="387">
        <f>$R$215*J622</f>
        <v>1033.3333333333328</v>
      </c>
      <c r="K767" s="52">
        <f t="shared" si="80"/>
        <v>2</v>
      </c>
      <c r="L767" s="2893"/>
      <c r="M767" s="103"/>
      <c r="N767" s="1287"/>
      <c r="O767" s="103"/>
      <c r="P767" s="106"/>
      <c r="Q767" s="106"/>
      <c r="R767" s="106"/>
      <c r="S767" s="106"/>
      <c r="T767" s="106"/>
      <c r="U767" s="106"/>
      <c r="V767" s="4023"/>
      <c r="W767" s="558"/>
      <c r="X767" s="603"/>
      <c r="Y767" s="603"/>
      <c r="Z767" s="567">
        <v>1033.3333333333328</v>
      </c>
      <c r="AA767" s="387">
        <v>1033.3333333333328</v>
      </c>
      <c r="AB767" s="387">
        <v>1033.3333333333328</v>
      </c>
      <c r="AC767" s="772">
        <v>1033.3333333333328</v>
      </c>
      <c r="AD767" s="387">
        <f>$R$215*AD622</f>
        <v>1033.3333333333328</v>
      </c>
      <c r="AE767" s="558"/>
      <c r="AF767" s="558"/>
      <c r="AG767" s="558"/>
      <c r="AH767" s="156"/>
      <c r="AI767" s="156"/>
      <c r="AJ767" s="156"/>
      <c r="AK767" s="156"/>
      <c r="AL767" s="156"/>
      <c r="AM767" s="156"/>
      <c r="AN767" s="156"/>
      <c r="AO767" s="156"/>
      <c r="AP767" s="156"/>
      <c r="AQ767" s="156"/>
      <c r="AR767" s="156"/>
      <c r="AS767" s="156"/>
      <c r="AT767" s="156"/>
      <c r="AU767" s="156"/>
      <c r="AV767" s="156"/>
      <c r="AW767" s="156"/>
      <c r="AX767" s="156"/>
      <c r="AY767" s="156"/>
      <c r="AZ767" s="156"/>
      <c r="BA767" s="156"/>
      <c r="BB767" s="2890"/>
      <c r="BC767" s="504"/>
      <c r="BD767" s="2829"/>
      <c r="BE767" s="2837"/>
      <c r="BF767" s="156"/>
    </row>
    <row r="768" spans="1:58" ht="14.25" hidden="1" customHeight="1" outlineLevel="1" x14ac:dyDescent="0.35">
      <c r="A768" s="1071"/>
      <c r="B768" s="106"/>
      <c r="C768" s="103"/>
      <c r="D768" s="4065"/>
      <c r="E768" s="4140"/>
      <c r="F768" s="3931" t="str">
        <f t="shared" si="79"/>
        <v>CAC-SEER19_ROF_MF_CompE</v>
      </c>
      <c r="G768" s="3932"/>
      <c r="H768" s="3933"/>
      <c r="I768" s="2657" t="str">
        <f t="shared" si="77"/>
        <v>351175_2021_12_</v>
      </c>
      <c r="J768" s="387">
        <f>$R$215*J623</f>
        <v>1033.3333333333328</v>
      </c>
      <c r="K768" s="52">
        <f t="shared" si="80"/>
        <v>2</v>
      </c>
      <c r="L768" s="2893"/>
      <c r="M768" s="103"/>
      <c r="N768" s="1287"/>
      <c r="O768" s="103"/>
      <c r="P768" s="106"/>
      <c r="Q768" s="106"/>
      <c r="R768" s="106"/>
      <c r="S768" s="106"/>
      <c r="T768" s="106"/>
      <c r="U768" s="106"/>
      <c r="V768" s="4023"/>
      <c r="W768" s="558"/>
      <c r="X768" s="603"/>
      <c r="Y768" s="603"/>
      <c r="Z768" s="567">
        <v>1033.3333333333328</v>
      </c>
      <c r="AA768" s="387">
        <v>1033.3333333333328</v>
      </c>
      <c r="AB768" s="387">
        <v>1033.3333333333328</v>
      </c>
      <c r="AC768" s="772">
        <v>1033.3333333333328</v>
      </c>
      <c r="AD768" s="387">
        <f>$R$215*AD623</f>
        <v>1033.3333333333328</v>
      </c>
      <c r="AE768" s="558"/>
      <c r="AF768" s="558"/>
      <c r="AG768" s="558"/>
      <c r="AH768" s="156"/>
      <c r="AI768" s="156"/>
      <c r="AJ768" s="156"/>
      <c r="AK768" s="156"/>
      <c r="AL768" s="156"/>
      <c r="AM768" s="156"/>
      <c r="AN768" s="156"/>
      <c r="AO768" s="156"/>
      <c r="AP768" s="156"/>
      <c r="AQ768" s="156"/>
      <c r="AR768" s="156"/>
      <c r="AS768" s="156"/>
      <c r="AT768" s="156"/>
      <c r="AU768" s="156"/>
      <c r="AV768" s="156"/>
      <c r="AW768" s="156"/>
      <c r="AX768" s="156"/>
      <c r="AY768" s="156"/>
      <c r="AZ768" s="156"/>
      <c r="BA768" s="156"/>
      <c r="BB768" s="2890"/>
      <c r="BC768" s="504"/>
      <c r="BD768" s="2829"/>
      <c r="BE768" s="2837"/>
      <c r="BF768" s="156"/>
    </row>
    <row r="769" spans="1:58" ht="14.5" hidden="1" customHeight="1" outlineLevel="1" x14ac:dyDescent="0.35">
      <c r="A769" s="1071"/>
      <c r="B769" s="106"/>
      <c r="C769" s="103"/>
      <c r="D769" s="4065"/>
      <c r="E769" s="4140"/>
      <c r="F769" s="3931" t="str">
        <f t="shared" si="79"/>
        <v>CAC-SEER20_ER1_SF</v>
      </c>
      <c r="G769" s="3932"/>
      <c r="H769" s="3933"/>
      <c r="I769" s="2657" t="str">
        <f t="shared" si="77"/>
        <v>351180_2021_12_</v>
      </c>
      <c r="J769" s="387">
        <f>(($R$223/3*K769)+$R$216)-(($Q$223/3*K769)/((1+$R$225)^($R$226-1)))*J624</f>
        <v>1748.0387848675346</v>
      </c>
      <c r="K769" s="52">
        <f t="shared" si="80"/>
        <v>3.4092086330935252</v>
      </c>
      <c r="L769" s="2893"/>
      <c r="M769" s="103"/>
      <c r="N769" s="1287"/>
      <c r="O769" s="103"/>
      <c r="P769" s="106"/>
      <c r="Q769" s="106"/>
      <c r="R769" s="106"/>
      <c r="S769" s="106"/>
      <c r="T769" s="106"/>
      <c r="U769" s="106"/>
      <c r="V769" s="4023"/>
      <c r="W769" s="558"/>
      <c r="X769" s="603"/>
      <c r="Y769" s="603"/>
      <c r="Z769" s="567">
        <v>1687.0586926854098</v>
      </c>
      <c r="AA769" s="387">
        <v>1687.0586926854098</v>
      </c>
      <c r="AB769" s="387">
        <v>1687.0586926854098</v>
      </c>
      <c r="AC769" s="567">
        <v>1749.8037723605553</v>
      </c>
      <c r="AD769" s="387">
        <f>(($R$223/3*AE769)+$R$216)-(($Q$223/3*AE769)/((1+$R$225)^($R$226-1)))*AD624</f>
        <v>1239.9999999999995</v>
      </c>
      <c r="AE769" s="558"/>
      <c r="AF769" s="558"/>
      <c r="AG769" s="558"/>
      <c r="AH769" s="156"/>
      <c r="AI769" s="156"/>
      <c r="AJ769" s="156"/>
      <c r="AK769" s="156"/>
      <c r="AL769" s="156"/>
      <c r="AM769" s="156"/>
      <c r="AN769" s="156"/>
      <c r="AO769" s="156"/>
      <c r="AP769" s="156"/>
      <c r="AQ769" s="156"/>
      <c r="AR769" s="156"/>
      <c r="AS769" s="156"/>
      <c r="AT769" s="156"/>
      <c r="AU769" s="156"/>
      <c r="AV769" s="156"/>
      <c r="AW769" s="156"/>
      <c r="AX769" s="156"/>
      <c r="AY769" s="156"/>
      <c r="AZ769" s="156"/>
      <c r="BA769" s="156"/>
      <c r="BB769" s="2890"/>
      <c r="BC769" s="504"/>
      <c r="BD769" s="2829"/>
      <c r="BE769" s="2837"/>
      <c r="BF769" s="156"/>
    </row>
    <row r="770" spans="1:58" ht="14.5" hidden="1" customHeight="1" outlineLevel="1" x14ac:dyDescent="0.35">
      <c r="A770" s="1071"/>
      <c r="B770" s="106"/>
      <c r="C770" s="103"/>
      <c r="D770" s="4065"/>
      <c r="E770" s="4140"/>
      <c r="F770" s="3931" t="str">
        <f t="shared" si="79"/>
        <v>CAC-SEER20_ER2_SF</v>
      </c>
      <c r="G770" s="3932"/>
      <c r="H770" s="3933"/>
      <c r="I770" s="2657" t="str">
        <f t="shared" si="77"/>
        <v>351180_2021_12_</v>
      </c>
      <c r="J770" s="387"/>
      <c r="K770" s="52">
        <f t="shared" si="80"/>
        <v>3.4092086330935252</v>
      </c>
      <c r="L770" s="2893"/>
      <c r="M770" s="103"/>
      <c r="N770" s="1287"/>
      <c r="O770" s="103"/>
      <c r="P770" s="106"/>
      <c r="Q770" s="106"/>
      <c r="R770" s="106"/>
      <c r="S770" s="106"/>
      <c r="T770" s="106"/>
      <c r="U770" s="106"/>
      <c r="V770" s="4023"/>
      <c r="W770" s="558"/>
      <c r="X770" s="602"/>
      <c r="Y770" s="603"/>
      <c r="Z770" s="567"/>
      <c r="AA770" s="387"/>
      <c r="AB770" s="387"/>
      <c r="AC770" s="772"/>
      <c r="AD770" s="387"/>
      <c r="AE770" s="558"/>
      <c r="AF770" s="558"/>
      <c r="AG770" s="558"/>
      <c r="AH770" s="156"/>
      <c r="AI770" s="156"/>
      <c r="AJ770" s="156"/>
      <c r="AK770" s="156"/>
      <c r="AL770" s="156"/>
      <c r="AM770" s="156"/>
      <c r="AN770" s="156"/>
      <c r="AO770" s="156"/>
      <c r="AP770" s="156"/>
      <c r="AQ770" s="156"/>
      <c r="AR770" s="156"/>
      <c r="AS770" s="156"/>
      <c r="AT770" s="156"/>
      <c r="AU770" s="156"/>
      <c r="AV770" s="156"/>
      <c r="AW770" s="156"/>
      <c r="AX770" s="156"/>
      <c r="AY770" s="156"/>
      <c r="AZ770" s="156"/>
      <c r="BA770" s="156"/>
      <c r="BB770" s="2890"/>
      <c r="BC770" s="504"/>
      <c r="BD770" s="2829"/>
      <c r="BE770" s="2837"/>
      <c r="BF770" s="156"/>
    </row>
    <row r="771" spans="1:58" ht="14.5" hidden="1" customHeight="1" outlineLevel="1" x14ac:dyDescent="0.35">
      <c r="A771" s="1071"/>
      <c r="B771" s="106"/>
      <c r="C771" s="103"/>
      <c r="D771" s="4065"/>
      <c r="E771" s="4140"/>
      <c r="F771" s="3931" t="str">
        <f t="shared" si="79"/>
        <v>CAC-SEER20_ROF_SF</v>
      </c>
      <c r="G771" s="3932"/>
      <c r="H771" s="3933"/>
      <c r="I771" s="2657" t="str">
        <f t="shared" si="77"/>
        <v>351181_2021_12_</v>
      </c>
      <c r="J771" s="387">
        <f>$R$216*J626</f>
        <v>1239.9999999999995</v>
      </c>
      <c r="K771" s="52">
        <f t="shared" si="80"/>
        <v>3.3611111111111112</v>
      </c>
      <c r="L771" s="2893"/>
      <c r="M771" s="103"/>
      <c r="N771" s="1287"/>
      <c r="O771" s="103"/>
      <c r="P771" s="106"/>
      <c r="Q771" s="106"/>
      <c r="R771" s="106"/>
      <c r="S771" s="106"/>
      <c r="T771" s="106"/>
      <c r="U771" s="106"/>
      <c r="V771" s="4023"/>
      <c r="W771" s="387"/>
      <c r="X771" s="603"/>
      <c r="Y771" s="603"/>
      <c r="Z771" s="567">
        <v>1239.9999999999995</v>
      </c>
      <c r="AA771" s="387">
        <v>1239.9999999999995</v>
      </c>
      <c r="AB771" s="387">
        <v>1239.9999999999995</v>
      </c>
      <c r="AC771" s="772">
        <v>1239.9999999999995</v>
      </c>
      <c r="AD771" s="387">
        <f>$R$216*AD626</f>
        <v>1239.9999999999995</v>
      </c>
      <c r="AE771" s="387"/>
      <c r="AF771" s="387"/>
      <c r="AG771" s="387"/>
      <c r="AH771" s="156"/>
      <c r="AI771" s="156"/>
      <c r="AJ771" s="156"/>
      <c r="AK771" s="156"/>
      <c r="AL771" s="156"/>
      <c r="AM771" s="156"/>
      <c r="AN771" s="156"/>
      <c r="AO771" s="156"/>
      <c r="AP771" s="156"/>
      <c r="AQ771" s="156"/>
      <c r="AR771" s="156"/>
      <c r="AS771" s="156"/>
      <c r="AT771" s="156"/>
      <c r="AU771" s="156"/>
      <c r="AV771" s="156"/>
      <c r="AW771" s="156"/>
      <c r="AX771" s="156"/>
      <c r="AY771" s="156"/>
      <c r="AZ771" s="156"/>
      <c r="BA771" s="156"/>
      <c r="BB771" s="2890"/>
      <c r="BC771" s="504"/>
      <c r="BD771" s="2829"/>
      <c r="BE771" s="2837"/>
      <c r="BF771" s="156"/>
    </row>
    <row r="772" spans="1:58" ht="14.5" hidden="1" customHeight="1" outlineLevel="1" x14ac:dyDescent="0.35">
      <c r="A772" s="1071"/>
      <c r="B772" s="106"/>
      <c r="C772" s="103"/>
      <c r="D772" s="4065"/>
      <c r="E772" s="4140"/>
      <c r="F772" s="3931" t="str">
        <f t="shared" si="79"/>
        <v>CAC-SEER20_ER1_MF</v>
      </c>
      <c r="G772" s="3932"/>
      <c r="H772" s="3933"/>
      <c r="I772" s="2657" t="str">
        <f t="shared" si="77"/>
        <v>351182_2021_12_</v>
      </c>
      <c r="J772" s="387">
        <f>(($R$223/3*K772)+$R$216)-(($Q$223/3*K772)/((1+$R$225)^($R$226-1)))*J627</f>
        <v>1538.0391284569391</v>
      </c>
      <c r="K772" s="52">
        <f t="shared" si="80"/>
        <v>2</v>
      </c>
      <c r="L772" s="2893"/>
      <c r="M772" s="103"/>
      <c r="N772" s="1287"/>
      <c r="O772" s="103"/>
      <c r="P772" s="106"/>
      <c r="Q772" s="106"/>
      <c r="R772" s="106"/>
      <c r="S772" s="106"/>
      <c r="T772" s="106"/>
      <c r="U772" s="106"/>
      <c r="V772" s="4023"/>
      <c r="W772" s="558"/>
      <c r="X772" s="603"/>
      <c r="Y772" s="603"/>
      <c r="Z772" s="567">
        <v>1538.0391284569391</v>
      </c>
      <c r="AA772" s="387">
        <v>1538.0391284569391</v>
      </c>
      <c r="AB772" s="387">
        <v>1538.0391284569391</v>
      </c>
      <c r="AC772" s="772">
        <v>1538.0391284569391</v>
      </c>
      <c r="AD772" s="387">
        <f>(($R$223/3*AE772)+$R$216)-(($Q$223/3*AE772)/((1+$R$225)^($R$226-1)))*AD627</f>
        <v>1239.9999999999995</v>
      </c>
      <c r="AE772" s="558"/>
      <c r="AF772" s="558"/>
      <c r="AG772" s="558"/>
      <c r="AH772" s="156"/>
      <c r="AI772" s="156"/>
      <c r="AJ772" s="156"/>
      <c r="AK772" s="156"/>
      <c r="AL772" s="156"/>
      <c r="AM772" s="156"/>
      <c r="AN772" s="156"/>
      <c r="AO772" s="156"/>
      <c r="AP772" s="156"/>
      <c r="AQ772" s="156"/>
      <c r="AR772" s="156"/>
      <c r="AS772" s="156"/>
      <c r="AT772" s="156"/>
      <c r="AU772" s="156"/>
      <c r="AV772" s="156"/>
      <c r="AW772" s="156"/>
      <c r="AX772" s="156"/>
      <c r="AY772" s="156"/>
      <c r="AZ772" s="156"/>
      <c r="BA772" s="156"/>
      <c r="BB772" s="2890"/>
      <c r="BC772" s="504"/>
      <c r="BD772" s="2829"/>
      <c r="BE772" s="2837"/>
      <c r="BF772" s="156"/>
    </row>
    <row r="773" spans="1:58" ht="14.5" hidden="1" customHeight="1" outlineLevel="1" x14ac:dyDescent="0.35">
      <c r="A773" s="1071"/>
      <c r="B773" s="106"/>
      <c r="C773" s="103"/>
      <c r="D773" s="4065"/>
      <c r="E773" s="4140"/>
      <c r="F773" s="3931" t="str">
        <f t="shared" si="79"/>
        <v>CAC-SEER20_ER2_MF</v>
      </c>
      <c r="G773" s="3932"/>
      <c r="H773" s="3933"/>
      <c r="I773" s="2657" t="str">
        <f t="shared" si="77"/>
        <v>351182_2021_12_</v>
      </c>
      <c r="J773" s="387"/>
      <c r="K773" s="52">
        <f t="shared" si="80"/>
        <v>2</v>
      </c>
      <c r="L773" s="2893"/>
      <c r="M773" s="103"/>
      <c r="N773" s="1287"/>
      <c r="O773" s="103"/>
      <c r="P773" s="106"/>
      <c r="Q773" s="106"/>
      <c r="R773" s="106"/>
      <c r="S773" s="106"/>
      <c r="T773" s="106"/>
      <c r="U773" s="106"/>
      <c r="V773" s="4023"/>
      <c r="W773" s="558"/>
      <c r="X773" s="602"/>
      <c r="Y773" s="603"/>
      <c r="Z773" s="567"/>
      <c r="AA773" s="387"/>
      <c r="AB773" s="387"/>
      <c r="AC773" s="772"/>
      <c r="AD773" s="387"/>
      <c r="AE773" s="558"/>
      <c r="AF773" s="558"/>
      <c r="AG773" s="558"/>
      <c r="AH773" s="156"/>
      <c r="AI773" s="156"/>
      <c r="AJ773" s="156"/>
      <c r="AK773" s="156"/>
      <c r="AL773" s="156"/>
      <c r="AM773" s="156"/>
      <c r="AN773" s="156"/>
      <c r="AO773" s="156"/>
      <c r="AP773" s="156"/>
      <c r="AQ773" s="156"/>
      <c r="AR773" s="156"/>
      <c r="AS773" s="156"/>
      <c r="AT773" s="156"/>
      <c r="AU773" s="156"/>
      <c r="AV773" s="156"/>
      <c r="AW773" s="156"/>
      <c r="AX773" s="156"/>
      <c r="AY773" s="156"/>
      <c r="AZ773" s="156"/>
      <c r="BA773" s="156"/>
      <c r="BB773" s="2890"/>
      <c r="BC773" s="504"/>
      <c r="BD773" s="2829"/>
      <c r="BE773" s="2837"/>
      <c r="BF773" s="156"/>
    </row>
    <row r="774" spans="1:58" ht="14.5" hidden="1" customHeight="1" outlineLevel="1" x14ac:dyDescent="0.35">
      <c r="A774" s="1071"/>
      <c r="B774" s="106"/>
      <c r="C774" s="103"/>
      <c r="D774" s="4065"/>
      <c r="E774" s="4140"/>
      <c r="F774" s="3931" t="str">
        <f t="shared" si="79"/>
        <v>CAC-SEER20_ER1_MF_CompE</v>
      </c>
      <c r="G774" s="3932"/>
      <c r="H774" s="3933"/>
      <c r="I774" s="2657" t="str">
        <f t="shared" si="77"/>
        <v>351183_2021_12_</v>
      </c>
      <c r="J774" s="387">
        <f>(($R$223/3*K774)+$R$216)-(($Q$223/3*K774)/((1+$R$225)^($R$226-1)))*J629</f>
        <v>1538.0391284569391</v>
      </c>
      <c r="K774" s="52">
        <f t="shared" si="80"/>
        <v>2</v>
      </c>
      <c r="L774" s="2893"/>
      <c r="M774" s="103"/>
      <c r="N774" s="1287"/>
      <c r="O774" s="103"/>
      <c r="P774" s="106"/>
      <c r="Q774" s="106"/>
      <c r="R774" s="106"/>
      <c r="S774" s="106"/>
      <c r="T774" s="106"/>
      <c r="U774" s="106"/>
      <c r="V774" s="4023"/>
      <c r="W774" s="558"/>
      <c r="X774" s="602"/>
      <c r="Y774" s="603"/>
      <c r="Z774" s="567">
        <v>1538.0391284569391</v>
      </c>
      <c r="AA774" s="387">
        <v>1538.0391284569391</v>
      </c>
      <c r="AB774" s="387">
        <v>1538.0391284569391</v>
      </c>
      <c r="AC774" s="772">
        <v>1538.0391284569391</v>
      </c>
      <c r="AD774" s="387">
        <f>(($R$223/3*AE774)+$R$216)-(($Q$223/3*AE774)/((1+$R$225)^($R$226-1)))*AD629</f>
        <v>1239.9999999999995</v>
      </c>
      <c r="AE774" s="558"/>
      <c r="AF774" s="558"/>
      <c r="AG774" s="558"/>
      <c r="AH774" s="156"/>
      <c r="AI774" s="156"/>
      <c r="AJ774" s="156"/>
      <c r="AK774" s="156"/>
      <c r="AL774" s="156"/>
      <c r="AM774" s="156"/>
      <c r="AN774" s="156"/>
      <c r="AO774" s="156"/>
      <c r="AP774" s="156"/>
      <c r="AQ774" s="156"/>
      <c r="AR774" s="156"/>
      <c r="AS774" s="156"/>
      <c r="AT774" s="156"/>
      <c r="AU774" s="156"/>
      <c r="AV774" s="156"/>
      <c r="AW774" s="156"/>
      <c r="AX774" s="156"/>
      <c r="AY774" s="156"/>
      <c r="AZ774" s="156"/>
      <c r="BA774" s="156"/>
      <c r="BB774" s="2890"/>
      <c r="BC774" s="504"/>
      <c r="BD774" s="2829"/>
      <c r="BE774" s="2837"/>
      <c r="BF774" s="156"/>
    </row>
    <row r="775" spans="1:58" ht="14.5" hidden="1" customHeight="1" outlineLevel="1" x14ac:dyDescent="0.35">
      <c r="A775" s="1071"/>
      <c r="B775" s="106"/>
      <c r="C775" s="103"/>
      <c r="D775" s="4065"/>
      <c r="E775" s="4140"/>
      <c r="F775" s="3931" t="str">
        <f t="shared" si="79"/>
        <v>CAC-SEER20_ER2_MF_CompE</v>
      </c>
      <c r="G775" s="3932"/>
      <c r="H775" s="3933"/>
      <c r="I775" s="2657" t="str">
        <f t="shared" si="77"/>
        <v>351183_2021_12_</v>
      </c>
      <c r="J775" s="387"/>
      <c r="K775" s="52">
        <f t="shared" si="80"/>
        <v>2</v>
      </c>
      <c r="L775" s="2893"/>
      <c r="M775" s="103"/>
      <c r="N775" s="1287"/>
      <c r="O775" s="103"/>
      <c r="P775" s="106"/>
      <c r="Q775" s="106"/>
      <c r="R775" s="106"/>
      <c r="S775" s="106"/>
      <c r="T775" s="106"/>
      <c r="U775" s="106"/>
      <c r="V775" s="4023"/>
      <c r="W775" s="558"/>
      <c r="X775" s="602"/>
      <c r="Y775" s="603"/>
      <c r="Z775" s="567"/>
      <c r="AA775" s="387"/>
      <c r="AB775" s="387"/>
      <c r="AC775" s="772"/>
      <c r="AD775" s="387"/>
      <c r="AE775" s="558"/>
      <c r="AF775" s="558"/>
      <c r="AG775" s="558"/>
      <c r="AH775" s="156"/>
      <c r="AI775" s="156"/>
      <c r="AJ775" s="156"/>
      <c r="AK775" s="156"/>
      <c r="AL775" s="156"/>
      <c r="AM775" s="156"/>
      <c r="AN775" s="156"/>
      <c r="AO775" s="156"/>
      <c r="AP775" s="156"/>
      <c r="AQ775" s="156"/>
      <c r="AR775" s="156"/>
      <c r="AS775" s="156"/>
      <c r="AT775" s="156"/>
      <c r="AU775" s="156"/>
      <c r="AV775" s="156"/>
      <c r="AW775" s="156"/>
      <c r="AX775" s="156"/>
      <c r="AY775" s="156"/>
      <c r="AZ775" s="156"/>
      <c r="BA775" s="156"/>
      <c r="BB775" s="2890"/>
      <c r="BC775" s="504"/>
      <c r="BD775" s="2829"/>
      <c r="BE775" s="2837"/>
      <c r="BF775" s="156"/>
    </row>
    <row r="776" spans="1:58" ht="14.5" hidden="1" customHeight="1" outlineLevel="1" x14ac:dyDescent="0.35">
      <c r="A776" s="1071"/>
      <c r="B776" s="106"/>
      <c r="C776" s="103"/>
      <c r="D776" s="4065"/>
      <c r="E776" s="4140"/>
      <c r="F776" s="3931" t="str">
        <f t="shared" si="79"/>
        <v>CAC-SEER20_ROF_MF</v>
      </c>
      <c r="G776" s="3932"/>
      <c r="H776" s="3933"/>
      <c r="I776" s="2657" t="str">
        <f t="shared" si="77"/>
        <v>351184_2021_12_</v>
      </c>
      <c r="J776" s="387">
        <f>$R$216*J631</f>
        <v>1239.9999999999995</v>
      </c>
      <c r="K776" s="52">
        <f t="shared" si="80"/>
        <v>2</v>
      </c>
      <c r="L776" s="2893"/>
      <c r="M776" s="103"/>
      <c r="N776" s="1287"/>
      <c r="O776" s="103"/>
      <c r="P776" s="106"/>
      <c r="Q776" s="106"/>
      <c r="R776" s="106"/>
      <c r="S776" s="106"/>
      <c r="T776" s="106"/>
      <c r="U776" s="106"/>
      <c r="V776" s="4023"/>
      <c r="W776" s="387"/>
      <c r="X776" s="603"/>
      <c r="Y776" s="603"/>
      <c r="Z776" s="567">
        <v>1239.9999999999995</v>
      </c>
      <c r="AA776" s="387">
        <v>1239.9999999999995</v>
      </c>
      <c r="AB776" s="387">
        <v>1239.9999999999995</v>
      </c>
      <c r="AC776" s="772">
        <v>1239.9999999999995</v>
      </c>
      <c r="AD776" s="387">
        <f>$R$216*AD631</f>
        <v>1239.9999999999995</v>
      </c>
      <c r="AE776" s="387"/>
      <c r="AF776" s="387"/>
      <c r="AG776" s="387"/>
      <c r="AH776" s="156"/>
      <c r="AI776" s="156"/>
      <c r="AJ776" s="156"/>
      <c r="AK776" s="156"/>
      <c r="AL776" s="156"/>
      <c r="AM776" s="156"/>
      <c r="AN776" s="156"/>
      <c r="AO776" s="156"/>
      <c r="AP776" s="156"/>
      <c r="AQ776" s="156"/>
      <c r="AR776" s="156"/>
      <c r="AS776" s="156"/>
      <c r="AT776" s="156"/>
      <c r="AU776" s="156"/>
      <c r="AV776" s="156"/>
      <c r="AW776" s="156"/>
      <c r="AX776" s="156"/>
      <c r="AY776" s="156"/>
      <c r="AZ776" s="156"/>
      <c r="BA776" s="156"/>
      <c r="BB776" s="2890"/>
      <c r="BC776" s="504"/>
      <c r="BD776" s="2829"/>
      <c r="BE776" s="2837"/>
      <c r="BF776" s="156"/>
    </row>
    <row r="777" spans="1:58" ht="14.5" hidden="1" customHeight="1" outlineLevel="1" x14ac:dyDescent="0.35">
      <c r="A777" s="1071"/>
      <c r="B777" s="106"/>
      <c r="C777" s="103"/>
      <c r="D777" s="4065"/>
      <c r="E777" s="4140"/>
      <c r="F777" s="3931" t="str">
        <f t="shared" si="79"/>
        <v>CAC-SEER20_ROF_MF_CompE</v>
      </c>
      <c r="G777" s="3932"/>
      <c r="H777" s="3933"/>
      <c r="I777" s="2657" t="str">
        <f t="shared" si="77"/>
        <v>351185_2021_12_</v>
      </c>
      <c r="J777" s="387">
        <f>$R$216*J632</f>
        <v>1239.9999999999995</v>
      </c>
      <c r="K777" s="52">
        <f t="shared" si="80"/>
        <v>2</v>
      </c>
      <c r="L777" s="2893"/>
      <c r="M777" s="103"/>
      <c r="N777" s="1287"/>
      <c r="O777" s="103"/>
      <c r="P777" s="106"/>
      <c r="Q777" s="106"/>
      <c r="R777" s="106"/>
      <c r="S777" s="106"/>
      <c r="T777" s="106"/>
      <c r="U777" s="106"/>
      <c r="V777" s="4023"/>
      <c r="W777" s="387"/>
      <c r="X777" s="603"/>
      <c r="Y777" s="603"/>
      <c r="Z777" s="567">
        <v>1239.9999999999995</v>
      </c>
      <c r="AA777" s="387">
        <v>1239.9999999999995</v>
      </c>
      <c r="AB777" s="387">
        <v>1239.9999999999995</v>
      </c>
      <c r="AC777" s="772">
        <v>1239.9999999999995</v>
      </c>
      <c r="AD777" s="387">
        <f>$R$216*AD632</f>
        <v>1239.9999999999995</v>
      </c>
      <c r="AE777" s="387"/>
      <c r="AF777" s="387"/>
      <c r="AG777" s="387"/>
      <c r="AH777" s="156"/>
      <c r="AI777" s="156"/>
      <c r="AJ777" s="156"/>
      <c r="AK777" s="156"/>
      <c r="AL777" s="156"/>
      <c r="AM777" s="156"/>
      <c r="AN777" s="156"/>
      <c r="AO777" s="156"/>
      <c r="AP777" s="156"/>
      <c r="AQ777" s="156"/>
      <c r="AR777" s="156"/>
      <c r="AS777" s="156"/>
      <c r="AT777" s="156"/>
      <c r="AU777" s="156"/>
      <c r="AV777" s="156"/>
      <c r="AW777" s="156"/>
      <c r="AX777" s="156"/>
      <c r="AY777" s="156"/>
      <c r="AZ777" s="156"/>
      <c r="BA777" s="156"/>
      <c r="BB777" s="2890"/>
      <c r="BC777" s="504"/>
      <c r="BD777" s="2829"/>
      <c r="BE777" s="2837"/>
      <c r="BF777" s="156"/>
    </row>
    <row r="778" spans="1:58" ht="14.5" hidden="1" customHeight="1" outlineLevel="1" x14ac:dyDescent="0.35">
      <c r="A778" s="1071"/>
      <c r="B778" s="106"/>
      <c r="C778" s="103"/>
      <c r="D778" s="4065"/>
      <c r="E778" s="4140"/>
      <c r="F778" s="3931" t="str">
        <f t="shared" si="79"/>
        <v>CAC-SEER21+_ER1_SF</v>
      </c>
      <c r="G778" s="3932"/>
      <c r="H778" s="3933"/>
      <c r="I778" s="2657" t="str">
        <f t="shared" si="77"/>
        <v>351190_2021_12_</v>
      </c>
      <c r="J778" s="387">
        <f>(($R$223/3*K778)+$R$217)-(($Q$223/3*K778)/((1+$R$225)^($R$226-1)))*J633</f>
        <v>1929.1717605520521</v>
      </c>
      <c r="K778" s="52">
        <f t="shared" si="80"/>
        <v>3.237864077669903</v>
      </c>
      <c r="L778" s="2893"/>
      <c r="M778" s="103"/>
      <c r="N778" s="1287"/>
      <c r="O778" s="103"/>
      <c r="P778" s="106"/>
      <c r="Q778" s="106"/>
      <c r="R778" s="106"/>
      <c r="S778" s="106"/>
      <c r="T778" s="106"/>
      <c r="U778" s="106"/>
      <c r="V778" s="4023"/>
      <c r="W778" s="558"/>
      <c r="X778" s="603"/>
      <c r="Y778" s="603"/>
      <c r="Z778" s="567">
        <v>1893.7253593520759</v>
      </c>
      <c r="AA778" s="387">
        <v>1893.7253593520759</v>
      </c>
      <c r="AB778" s="387">
        <v>1893.7253593520759</v>
      </c>
      <c r="AC778" s="567">
        <v>1943.075994258907</v>
      </c>
      <c r="AD778" s="387">
        <f>(($R$223/3*AE778)+$R$217)-(($Q$223/3*AE778)/((1+$R$225)^($R$226-1)))*AD633</f>
        <v>1446.6666666666663</v>
      </c>
      <c r="AE778" s="558"/>
      <c r="AF778" s="558"/>
      <c r="AG778" s="558"/>
      <c r="AH778" s="156"/>
      <c r="AI778" s="156"/>
      <c r="AJ778" s="156"/>
      <c r="AK778" s="156"/>
      <c r="AL778" s="156"/>
      <c r="AM778" s="156"/>
      <c r="AN778" s="156"/>
      <c r="AO778" s="156"/>
      <c r="AP778" s="156"/>
      <c r="AQ778" s="156"/>
      <c r="AR778" s="156"/>
      <c r="AS778" s="156"/>
      <c r="AT778" s="156"/>
      <c r="AU778" s="156"/>
      <c r="AV778" s="156"/>
      <c r="AW778" s="156"/>
      <c r="AX778" s="156"/>
      <c r="AY778" s="156"/>
      <c r="AZ778" s="156"/>
      <c r="BA778" s="156"/>
      <c r="BB778" s="2890"/>
      <c r="BC778" s="504"/>
      <c r="BD778" s="2829"/>
      <c r="BE778" s="2837"/>
      <c r="BF778" s="156"/>
    </row>
    <row r="779" spans="1:58" ht="14.5" hidden="1" customHeight="1" outlineLevel="1" x14ac:dyDescent="0.35">
      <c r="A779" s="1071"/>
      <c r="B779" s="106"/>
      <c r="C779" s="103"/>
      <c r="D779" s="4065"/>
      <c r="E779" s="4140"/>
      <c r="F779" s="3931" t="str">
        <f t="shared" si="79"/>
        <v>CAC-SEER21+_ER2_SF</v>
      </c>
      <c r="G779" s="3932"/>
      <c r="H779" s="3933"/>
      <c r="I779" s="2657" t="str">
        <f t="shared" ref="I779:I786" si="81">I707</f>
        <v>351190_2021_12_</v>
      </c>
      <c r="J779" s="387"/>
      <c r="K779" s="52">
        <f t="shared" ref="K779:K786" si="82">K346*J634</f>
        <v>3.237864077669903</v>
      </c>
      <c r="L779" s="2893"/>
      <c r="M779" s="103"/>
      <c r="N779" s="1287"/>
      <c r="O779" s="103"/>
      <c r="P779" s="106"/>
      <c r="Q779" s="106"/>
      <c r="R779" s="106"/>
      <c r="S779" s="106"/>
      <c r="T779" s="106"/>
      <c r="U779" s="106"/>
      <c r="V779" s="4023"/>
      <c r="W779" s="558"/>
      <c r="X779" s="602"/>
      <c r="Y779" s="603"/>
      <c r="Z779" s="567"/>
      <c r="AA779" s="387"/>
      <c r="AB779" s="387"/>
      <c r="AC779" s="772"/>
      <c r="AD779" s="387"/>
      <c r="AE779" s="558"/>
      <c r="AF779" s="558"/>
      <c r="AG779" s="558"/>
      <c r="AH779" s="156"/>
      <c r="AI779" s="156"/>
      <c r="AJ779" s="156"/>
      <c r="AK779" s="156"/>
      <c r="AL779" s="156"/>
      <c r="AM779" s="156"/>
      <c r="AN779" s="156"/>
      <c r="AO779" s="156"/>
      <c r="AP779" s="156"/>
      <c r="AQ779" s="156"/>
      <c r="AR779" s="156"/>
      <c r="AS779" s="156"/>
      <c r="AT779" s="156"/>
      <c r="AU779" s="156"/>
      <c r="AV779" s="156"/>
      <c r="AW779" s="156"/>
      <c r="AX779" s="156"/>
      <c r="AY779" s="156"/>
      <c r="AZ779" s="156"/>
      <c r="BA779" s="156"/>
      <c r="BB779" s="2890"/>
      <c r="BC779" s="504"/>
      <c r="BD779" s="2829"/>
      <c r="BE779" s="2837"/>
      <c r="BF779" s="156"/>
    </row>
    <row r="780" spans="1:58" ht="14.5" hidden="1" customHeight="1" outlineLevel="1" x14ac:dyDescent="0.35">
      <c r="A780" s="1071"/>
      <c r="B780" s="106"/>
      <c r="C780" s="103"/>
      <c r="D780" s="4065"/>
      <c r="E780" s="4140"/>
      <c r="F780" s="3931" t="str">
        <f t="shared" si="79"/>
        <v>CAC-SEER21+_ROF_SF</v>
      </c>
      <c r="G780" s="3932"/>
      <c r="H780" s="3933"/>
      <c r="I780" s="2657" t="str">
        <f t="shared" si="81"/>
        <v>351191_2021_12_</v>
      </c>
      <c r="J780" s="387">
        <f>$R$217*J635</f>
        <v>1446.6666666666663</v>
      </c>
      <c r="K780" s="52">
        <f t="shared" si="82"/>
        <v>3.1875</v>
      </c>
      <c r="L780" s="2893"/>
      <c r="M780" s="103"/>
      <c r="N780" s="1287"/>
      <c r="O780" s="103"/>
      <c r="P780" s="106"/>
      <c r="Q780" s="106"/>
      <c r="R780" s="106"/>
      <c r="S780" s="106"/>
      <c r="T780" s="106"/>
      <c r="U780" s="106"/>
      <c r="V780" s="4023"/>
      <c r="W780" s="558"/>
      <c r="X780" s="603"/>
      <c r="Y780" s="603"/>
      <c r="Z780" s="567">
        <v>1446.6666666666663</v>
      </c>
      <c r="AA780" s="387">
        <v>1446.6666666666663</v>
      </c>
      <c r="AB780" s="387">
        <v>1446.6666666666663</v>
      </c>
      <c r="AC780" s="772">
        <v>1446.6666666666663</v>
      </c>
      <c r="AD780" s="387">
        <f>$R$217*AD635</f>
        <v>1446.6666666666663</v>
      </c>
      <c r="AE780" s="558"/>
      <c r="AF780" s="558"/>
      <c r="AG780" s="558"/>
      <c r="AH780" s="156"/>
      <c r="AI780" s="156"/>
      <c r="AJ780" s="156"/>
      <c r="AK780" s="156"/>
      <c r="AL780" s="156"/>
      <c r="AM780" s="156"/>
      <c r="AN780" s="156"/>
      <c r="AO780" s="156"/>
      <c r="AP780" s="156"/>
      <c r="AQ780" s="156"/>
      <c r="AR780" s="156"/>
      <c r="AS780" s="156"/>
      <c r="AT780" s="156"/>
      <c r="AU780" s="156"/>
      <c r="AV780" s="156"/>
      <c r="AW780" s="156"/>
      <c r="AX780" s="156"/>
      <c r="AY780" s="156"/>
      <c r="AZ780" s="156"/>
      <c r="BA780" s="156"/>
      <c r="BB780" s="2890"/>
      <c r="BC780" s="504"/>
      <c r="BD780" s="2829"/>
      <c r="BE780" s="2837"/>
      <c r="BF780" s="156"/>
    </row>
    <row r="781" spans="1:58" ht="14.5" hidden="1" customHeight="1" outlineLevel="1" x14ac:dyDescent="0.35">
      <c r="A781" s="1071"/>
      <c r="B781" s="106"/>
      <c r="C781" s="103"/>
      <c r="D781" s="4065"/>
      <c r="E781" s="4140"/>
      <c r="F781" s="3931" t="str">
        <f t="shared" si="79"/>
        <v>CAC-SEER21+_ER1_MF</v>
      </c>
      <c r="G781" s="3932"/>
      <c r="H781" s="3933"/>
      <c r="I781" s="2657" t="str">
        <f t="shared" si="81"/>
        <v>351192_2021_12_</v>
      </c>
      <c r="J781" s="387">
        <f>(($R$223/3*K781)+$R$217)-(($Q$223/3*K781)/((1+$R$225)^($R$226-1)))*J636</f>
        <v>1744.7057951236061</v>
      </c>
      <c r="K781" s="52">
        <f t="shared" si="82"/>
        <v>2</v>
      </c>
      <c r="L781" s="2893"/>
      <c r="M781" s="103"/>
      <c r="N781" s="1287"/>
      <c r="O781" s="103"/>
      <c r="P781" s="106"/>
      <c r="Q781" s="106"/>
      <c r="R781" s="106"/>
      <c r="S781" s="106"/>
      <c r="T781" s="106"/>
      <c r="U781" s="106"/>
      <c r="V781" s="4023"/>
      <c r="W781" s="558"/>
      <c r="X781" s="603"/>
      <c r="Y781" s="603"/>
      <c r="Z781" s="567">
        <v>1744.7057951236061</v>
      </c>
      <c r="AA781" s="387">
        <v>1744.7057951236061</v>
      </c>
      <c r="AB781" s="387">
        <v>1744.7057951236061</v>
      </c>
      <c r="AC781" s="772">
        <v>1744.7057951236061</v>
      </c>
      <c r="AD781" s="387">
        <f>(($R$223/3*AE781)+$R$217)-(($Q$223/3*AE781)/((1+$R$225)^($R$226-1)))*AD636</f>
        <v>1446.6666666666663</v>
      </c>
      <c r="AE781" s="558"/>
      <c r="AF781" s="558"/>
      <c r="AG781" s="558"/>
      <c r="AH781" s="156"/>
      <c r="AI781" s="156"/>
      <c r="AJ781" s="156"/>
      <c r="AK781" s="156"/>
      <c r="AL781" s="156"/>
      <c r="AM781" s="156"/>
      <c r="AN781" s="156"/>
      <c r="AO781" s="156"/>
      <c r="AP781" s="156"/>
      <c r="AQ781" s="156"/>
      <c r="AR781" s="156"/>
      <c r="AS781" s="156"/>
      <c r="AT781" s="156"/>
      <c r="AU781" s="156"/>
      <c r="AV781" s="156"/>
      <c r="AW781" s="156"/>
      <c r="AX781" s="156"/>
      <c r="AY781" s="156"/>
      <c r="AZ781" s="156"/>
      <c r="BA781" s="156"/>
      <c r="BB781" s="2890"/>
      <c r="BC781" s="504"/>
      <c r="BD781" s="2829"/>
      <c r="BE781" s="2837"/>
      <c r="BF781" s="156"/>
    </row>
    <row r="782" spans="1:58" ht="14.5" hidden="1" customHeight="1" outlineLevel="1" x14ac:dyDescent="0.35">
      <c r="A782" s="1071"/>
      <c r="B782" s="106"/>
      <c r="C782" s="103"/>
      <c r="D782" s="4065"/>
      <c r="E782" s="4140"/>
      <c r="F782" s="3931" t="str">
        <f t="shared" si="79"/>
        <v>CAC-SEER21+_ER2_MF</v>
      </c>
      <c r="G782" s="3932"/>
      <c r="H782" s="3933"/>
      <c r="I782" s="2657" t="str">
        <f t="shared" si="81"/>
        <v>351192_2021_12_</v>
      </c>
      <c r="J782" s="387"/>
      <c r="K782" s="52">
        <f t="shared" si="82"/>
        <v>2</v>
      </c>
      <c r="L782" s="2893"/>
      <c r="M782" s="103"/>
      <c r="N782" s="1287"/>
      <c r="O782" s="103"/>
      <c r="P782" s="106"/>
      <c r="Q782" s="106"/>
      <c r="R782" s="106"/>
      <c r="S782" s="106"/>
      <c r="T782" s="106"/>
      <c r="U782" s="106"/>
      <c r="V782" s="4023"/>
      <c r="W782" s="558"/>
      <c r="X782" s="602"/>
      <c r="Y782" s="603"/>
      <c r="Z782" s="567"/>
      <c r="AA782" s="387"/>
      <c r="AB782" s="387"/>
      <c r="AC782" s="772"/>
      <c r="AD782" s="387"/>
      <c r="AE782" s="558"/>
      <c r="AF782" s="558"/>
      <c r="AG782" s="558"/>
      <c r="AH782" s="156"/>
      <c r="AI782" s="156"/>
      <c r="AJ782" s="156"/>
      <c r="AK782" s="156"/>
      <c r="AL782" s="156"/>
      <c r="AM782" s="156"/>
      <c r="AN782" s="156"/>
      <c r="AO782" s="156"/>
      <c r="AP782" s="156"/>
      <c r="AQ782" s="156"/>
      <c r="AR782" s="156"/>
      <c r="AS782" s="156"/>
      <c r="AT782" s="156"/>
      <c r="AU782" s="156"/>
      <c r="AV782" s="156"/>
      <c r="AW782" s="156"/>
      <c r="AX782" s="156"/>
      <c r="AY782" s="156"/>
      <c r="AZ782" s="156"/>
      <c r="BA782" s="156"/>
      <c r="BB782" s="2890"/>
      <c r="BC782" s="504"/>
      <c r="BD782" s="2829"/>
      <c r="BE782" s="2837"/>
      <c r="BF782" s="156"/>
    </row>
    <row r="783" spans="1:58" ht="14.5" hidden="1" customHeight="1" outlineLevel="1" x14ac:dyDescent="0.35">
      <c r="A783" s="1071"/>
      <c r="B783" s="106"/>
      <c r="C783" s="103"/>
      <c r="D783" s="4065"/>
      <c r="E783" s="4140"/>
      <c r="F783" s="3931" t="str">
        <f t="shared" si="79"/>
        <v>CAC-SEER21+_ER1_MF_CompE</v>
      </c>
      <c r="G783" s="3932"/>
      <c r="H783" s="3933"/>
      <c r="I783" s="590" t="str">
        <f t="shared" si="81"/>
        <v>351193_2021_12_</v>
      </c>
      <c r="J783" s="387">
        <f>(($R$223/3*K783)+$R$217)-(($Q$223/3*K783)/((1+$R$225)^($R$226-1)))*J638</f>
        <v>1744.7057951236061</v>
      </c>
      <c r="K783" s="52">
        <f t="shared" si="82"/>
        <v>2</v>
      </c>
      <c r="L783" s="2895"/>
      <c r="M783" s="103"/>
      <c r="N783" s="1287"/>
      <c r="O783" s="103"/>
      <c r="P783" s="106"/>
      <c r="Q783" s="106"/>
      <c r="R783" s="106"/>
      <c r="S783" s="106"/>
      <c r="T783" s="106"/>
      <c r="U783" s="106"/>
      <c r="V783" s="4023"/>
      <c r="W783" s="604"/>
      <c r="X783" s="605"/>
      <c r="Y783" s="606"/>
      <c r="Z783" s="567">
        <v>1744.7057951236061</v>
      </c>
      <c r="AA783" s="387">
        <v>1744.7057951236061</v>
      </c>
      <c r="AB783" s="387">
        <v>1744.7057951236061</v>
      </c>
      <c r="AC783" s="772">
        <v>1744.7057951236061</v>
      </c>
      <c r="AD783" s="387">
        <f>(($R$223/3*AE783)+$R$217)-(($Q$223/3*AE783)/((1+$R$225)^($R$226-1)))*AD638</f>
        <v>1446.6666666666663</v>
      </c>
      <c r="AE783" s="604"/>
      <c r="AF783" s="604"/>
      <c r="AG783" s="604"/>
      <c r="AH783" s="156"/>
      <c r="AI783" s="156"/>
      <c r="AJ783" s="156"/>
      <c r="AK783" s="156"/>
      <c r="AL783" s="156"/>
      <c r="AM783" s="156"/>
      <c r="AN783" s="156"/>
      <c r="AO783" s="156"/>
      <c r="AP783" s="156"/>
      <c r="AQ783" s="156"/>
      <c r="AR783" s="156"/>
      <c r="AS783" s="156"/>
      <c r="AT783" s="156"/>
      <c r="AU783" s="156"/>
      <c r="AV783" s="156"/>
      <c r="AW783" s="156"/>
      <c r="AX783" s="156"/>
      <c r="AY783" s="156"/>
      <c r="AZ783" s="156"/>
      <c r="BA783" s="156"/>
      <c r="BB783" s="2890"/>
      <c r="BC783" s="504"/>
      <c r="BD783" s="2829"/>
      <c r="BE783" s="2837"/>
      <c r="BF783" s="156"/>
    </row>
    <row r="784" spans="1:58" ht="14.5" hidden="1" customHeight="1" outlineLevel="1" x14ac:dyDescent="0.35">
      <c r="A784" s="1071"/>
      <c r="B784" s="106"/>
      <c r="C784" s="103"/>
      <c r="D784" s="4065"/>
      <c r="E784" s="4140"/>
      <c r="F784" s="3931" t="str">
        <f t="shared" si="79"/>
        <v>CAC-SEER21+_ER2_MF_CompE</v>
      </c>
      <c r="G784" s="3932"/>
      <c r="H784" s="3933"/>
      <c r="I784" s="590" t="str">
        <f t="shared" si="81"/>
        <v>351193_2021_12_</v>
      </c>
      <c r="J784" s="614"/>
      <c r="K784" s="52">
        <f t="shared" si="82"/>
        <v>2</v>
      </c>
      <c r="L784" s="2895"/>
      <c r="M784" s="103"/>
      <c r="N784" s="1287"/>
      <c r="O784" s="103"/>
      <c r="P784" s="106"/>
      <c r="Q784" s="106"/>
      <c r="R784" s="106"/>
      <c r="S784" s="106"/>
      <c r="T784" s="106"/>
      <c r="U784" s="106"/>
      <c r="V784" s="4023"/>
      <c r="W784" s="604"/>
      <c r="X784" s="605"/>
      <c r="Y784" s="606"/>
      <c r="Z784" s="1555"/>
      <c r="AA784" s="614"/>
      <c r="AB784" s="614"/>
      <c r="AC784" s="2900"/>
      <c r="AD784" s="614"/>
      <c r="AE784" s="604"/>
      <c r="AF784" s="604"/>
      <c r="AG784" s="604"/>
      <c r="AH784" s="156"/>
      <c r="AI784" s="156"/>
      <c r="AJ784" s="156"/>
      <c r="AK784" s="156"/>
      <c r="AL784" s="156"/>
      <c r="AM784" s="156"/>
      <c r="AN784" s="156"/>
      <c r="AO784" s="156"/>
      <c r="AP784" s="156"/>
      <c r="AQ784" s="156"/>
      <c r="AR784" s="156"/>
      <c r="AS784" s="156"/>
      <c r="AT784" s="156"/>
      <c r="AU784" s="156"/>
      <c r="AV784" s="156"/>
      <c r="AW784" s="156"/>
      <c r="AX784" s="156"/>
      <c r="AY784" s="156"/>
      <c r="AZ784" s="156"/>
      <c r="BA784" s="156"/>
      <c r="BB784" s="2890"/>
      <c r="BC784" s="504"/>
      <c r="BD784" s="2829"/>
      <c r="BE784" s="2837"/>
      <c r="BF784" s="156"/>
    </row>
    <row r="785" spans="1:58" ht="14.5" hidden="1" customHeight="1" outlineLevel="1" x14ac:dyDescent="0.35">
      <c r="A785" s="1071"/>
      <c r="B785" s="106"/>
      <c r="C785" s="103"/>
      <c r="D785" s="4065"/>
      <c r="E785" s="4140"/>
      <c r="F785" s="3931" t="str">
        <f t="shared" si="79"/>
        <v>CAC-SEER21+_ROF_MF</v>
      </c>
      <c r="G785" s="3932"/>
      <c r="H785" s="3933"/>
      <c r="I785" s="590" t="str">
        <f t="shared" si="81"/>
        <v>351194_2021_12_</v>
      </c>
      <c r="J785" s="387">
        <f>$R$217*J640</f>
        <v>1446.6666666666663</v>
      </c>
      <c r="K785" s="52">
        <f t="shared" si="82"/>
        <v>2</v>
      </c>
      <c r="L785" s="2895"/>
      <c r="M785" s="103"/>
      <c r="N785" s="1287"/>
      <c r="O785" s="103"/>
      <c r="P785" s="106"/>
      <c r="Q785" s="106"/>
      <c r="R785" s="106"/>
      <c r="S785" s="106"/>
      <c r="T785" s="106"/>
      <c r="U785" s="106"/>
      <c r="V785" s="4023"/>
      <c r="W785" s="604"/>
      <c r="X785" s="606"/>
      <c r="Y785" s="606"/>
      <c r="Z785" s="567">
        <v>1446.6666666666663</v>
      </c>
      <c r="AA785" s="387">
        <v>1446.6666666666663</v>
      </c>
      <c r="AB785" s="387">
        <v>1446.6666666666663</v>
      </c>
      <c r="AC785" s="772">
        <v>1446.6666666666663</v>
      </c>
      <c r="AD785" s="387">
        <f>$R$217*AD640</f>
        <v>1446.6666666666663</v>
      </c>
      <c r="AE785" s="604"/>
      <c r="AF785" s="604"/>
      <c r="AG785" s="604"/>
      <c r="AH785" s="156"/>
      <c r="AI785" s="156"/>
      <c r="AJ785" s="156"/>
      <c r="AK785" s="156"/>
      <c r="AL785" s="156"/>
      <c r="AM785" s="156"/>
      <c r="AN785" s="156"/>
      <c r="AO785" s="156"/>
      <c r="AP785" s="156"/>
      <c r="AQ785" s="156"/>
      <c r="AR785" s="156"/>
      <c r="AS785" s="156"/>
      <c r="AT785" s="156"/>
      <c r="AU785" s="156"/>
      <c r="AV785" s="156"/>
      <c r="AW785" s="156"/>
      <c r="AX785" s="156"/>
      <c r="AY785" s="156"/>
      <c r="AZ785" s="156"/>
      <c r="BA785" s="156"/>
      <c r="BB785" s="2890"/>
      <c r="BC785" s="504"/>
      <c r="BD785" s="2829"/>
      <c r="BE785" s="2837"/>
      <c r="BF785" s="156"/>
    </row>
    <row r="786" spans="1:58" ht="14.5" hidden="1" customHeight="1" outlineLevel="1" thickBot="1" x14ac:dyDescent="0.4">
      <c r="A786" s="1071"/>
      <c r="B786" s="106"/>
      <c r="C786" s="103"/>
      <c r="D786" s="4066"/>
      <c r="E786" s="4141"/>
      <c r="F786" s="3922" t="str">
        <f t="shared" si="79"/>
        <v>CAC-SEER21+_ROF_MF_CompE</v>
      </c>
      <c r="G786" s="3923"/>
      <c r="H786" s="3924"/>
      <c r="I786" s="2658" t="str">
        <f t="shared" si="81"/>
        <v>351195_2021_12_</v>
      </c>
      <c r="J786" s="1787">
        <f>$R$217*J641</f>
        <v>1446.6666666666663</v>
      </c>
      <c r="K786" s="1877">
        <f t="shared" si="82"/>
        <v>2</v>
      </c>
      <c r="L786" s="2901"/>
      <c r="M786" s="103"/>
      <c r="N786" s="1287"/>
      <c r="O786" s="103"/>
      <c r="P786" s="106"/>
      <c r="Q786" s="106"/>
      <c r="R786" s="106"/>
      <c r="S786" s="106"/>
      <c r="T786" s="106"/>
      <c r="U786" s="106"/>
      <c r="V786" s="4024"/>
      <c r="W786" s="607"/>
      <c r="X786" s="608"/>
      <c r="Y786" s="608"/>
      <c r="Z786" s="1556">
        <v>1446.6666666666663</v>
      </c>
      <c r="AA786" s="1787">
        <v>1446.6666666666663</v>
      </c>
      <c r="AB786" s="1787">
        <v>1446.6666666666663</v>
      </c>
      <c r="AC786" s="2902">
        <v>1446.6666666666663</v>
      </c>
      <c r="AD786" s="1787">
        <f>$R$217*AD641</f>
        <v>1446.6666666666663</v>
      </c>
      <c r="AE786" s="607"/>
      <c r="AF786" s="607"/>
      <c r="AG786" s="607"/>
      <c r="AH786" s="156"/>
      <c r="AI786" s="156"/>
      <c r="AJ786" s="156"/>
      <c r="AK786" s="156"/>
      <c r="AL786" s="156"/>
      <c r="AM786" s="156"/>
      <c r="AN786" s="156"/>
      <c r="AO786" s="156"/>
      <c r="AP786" s="156"/>
      <c r="AQ786" s="156"/>
      <c r="AR786" s="156"/>
      <c r="AS786" s="156"/>
      <c r="AT786" s="156"/>
      <c r="AU786" s="156"/>
      <c r="AV786" s="156"/>
      <c r="AW786" s="156"/>
      <c r="AX786" s="156"/>
      <c r="AY786" s="156"/>
      <c r="AZ786" s="156"/>
      <c r="BA786" s="156"/>
      <c r="BB786" s="2890"/>
      <c r="BC786" s="504"/>
      <c r="BD786" s="2829"/>
      <c r="BE786" s="2837"/>
      <c r="BF786" s="156"/>
    </row>
    <row r="787" spans="1:58" collapsed="1" x14ac:dyDescent="0.35">
      <c r="A787" s="1071"/>
      <c r="B787" s="106"/>
      <c r="C787" s="103"/>
      <c r="D787" s="292"/>
      <c r="E787" s="292"/>
      <c r="F787" s="106"/>
      <c r="G787" s="292"/>
      <c r="H787" s="106"/>
      <c r="I787" s="106" t="s">
        <v>984</v>
      </c>
      <c r="J787" s="106"/>
      <c r="K787" s="106"/>
      <c r="L787" s="103"/>
      <c r="M787" s="103"/>
      <c r="N787" s="103"/>
      <c r="O787" s="103"/>
      <c r="P787" s="103"/>
      <c r="Q787" s="103"/>
      <c r="R787" s="106"/>
      <c r="S787" s="106"/>
      <c r="T787" s="106"/>
      <c r="U787" s="106"/>
      <c r="V787" s="106"/>
      <c r="W787" s="156"/>
      <c r="X787" s="156"/>
      <c r="Y787" s="156"/>
      <c r="Z787" s="156"/>
      <c r="AA787" s="156"/>
      <c r="AB787" s="156"/>
      <c r="AC787" s="156"/>
      <c r="AD787" s="156"/>
      <c r="AE787" s="156"/>
      <c r="AF787" s="156"/>
      <c r="AG787" s="156"/>
      <c r="AH787" s="156"/>
      <c r="AI787" s="156"/>
      <c r="AJ787" s="156"/>
      <c r="AK787" s="156"/>
      <c r="AL787" s="156"/>
      <c r="AM787" s="156"/>
      <c r="AN787" s="156"/>
      <c r="AO787" s="156"/>
      <c r="AP787" s="156"/>
      <c r="AQ787" s="156"/>
      <c r="AR787" s="156"/>
      <c r="AS787" s="156"/>
      <c r="AT787" s="156"/>
      <c r="AU787" s="156"/>
      <c r="AV787" s="156"/>
      <c r="AW787" s="156"/>
      <c r="AX787" s="156"/>
      <c r="AY787" s="156"/>
      <c r="AZ787" s="156"/>
      <c r="BA787" s="156"/>
      <c r="BB787" s="2828"/>
      <c r="BC787" s="504"/>
      <c r="BD787" s="2829"/>
      <c r="BE787" s="2837"/>
      <c r="BF787" s="156"/>
    </row>
    <row r="788" spans="1:58" x14ac:dyDescent="0.35">
      <c r="A788" s="1071"/>
      <c r="B788" s="106"/>
      <c r="C788" s="103"/>
      <c r="D788" s="292"/>
      <c r="E788" s="292"/>
      <c r="F788" s="106"/>
      <c r="G788" s="292"/>
      <c r="H788" s="103"/>
      <c r="I788" s="103"/>
      <c r="J788" s="103"/>
      <c r="K788" s="103"/>
      <c r="L788" s="103"/>
      <c r="M788" s="103"/>
      <c r="N788" s="106"/>
      <c r="O788" s="106"/>
      <c r="P788" s="106"/>
      <c r="Q788" s="106"/>
      <c r="R788" s="106"/>
      <c r="S788" s="106"/>
      <c r="T788" s="106"/>
      <c r="U788" s="106"/>
      <c r="V788" s="106"/>
      <c r="W788" s="156"/>
      <c r="X788" s="156"/>
      <c r="Y788" s="156"/>
      <c r="Z788" s="156"/>
      <c r="AA788" s="156"/>
      <c r="AB788" s="156"/>
      <c r="AC788" s="156"/>
      <c r="AD788" s="156"/>
      <c r="AE788" s="156"/>
      <c r="AF788" s="156"/>
      <c r="AG788" s="156"/>
      <c r="AH788" s="156"/>
      <c r="AI788" s="156"/>
      <c r="AJ788" s="156"/>
      <c r="AK788" s="156"/>
      <c r="AL788" s="156"/>
      <c r="AM788" s="156"/>
      <c r="AN788" s="156"/>
      <c r="AO788" s="156"/>
      <c r="AP788" s="156"/>
      <c r="AQ788" s="156"/>
      <c r="AR788" s="156"/>
      <c r="AS788" s="156"/>
      <c r="AT788" s="156"/>
      <c r="AU788" s="156"/>
      <c r="AV788" s="156"/>
      <c r="AW788" s="156"/>
      <c r="AX788" s="156"/>
      <c r="AY788" s="156"/>
      <c r="AZ788" s="156"/>
      <c r="BA788" s="156"/>
      <c r="BB788" s="2828"/>
      <c r="BC788" s="504"/>
      <c r="BD788" s="2829"/>
      <c r="BE788" s="2837"/>
      <c r="BF788" s="156"/>
    </row>
    <row r="789" spans="1:58" x14ac:dyDescent="0.35">
      <c r="A789" s="1071"/>
      <c r="B789" s="2325" t="s">
        <v>4249</v>
      </c>
      <c r="C789" s="609"/>
      <c r="D789" s="2326"/>
      <c r="E789" s="2326"/>
      <c r="F789" s="2326"/>
      <c r="G789" s="2326"/>
      <c r="H789" s="2326"/>
      <c r="I789" s="2326"/>
      <c r="J789" s="2326"/>
      <c r="K789" s="2326"/>
      <c r="L789" s="2326"/>
      <c r="M789" s="2326"/>
      <c r="N789" s="1293"/>
      <c r="O789" s="1293"/>
      <c r="P789" s="1293"/>
      <c r="Q789" s="1294"/>
      <c r="R789" s="106"/>
      <c r="S789" s="106"/>
      <c r="T789" s="106"/>
      <c r="U789" s="106"/>
      <c r="V789" s="3664" t="str">
        <f>B789</f>
        <v>Mini/Multi-Split Heat Pumps and Air Conditioners</v>
      </c>
      <c r="W789" s="3665"/>
      <c r="X789" s="3665"/>
      <c r="Y789" s="3665"/>
      <c r="Z789" s="3665"/>
      <c r="AA789" s="3665"/>
      <c r="AB789" s="3665"/>
      <c r="AC789" s="4018"/>
      <c r="AD789" s="4018"/>
      <c r="AE789" s="4018"/>
      <c r="AF789" s="4018"/>
      <c r="AG789" s="4018"/>
      <c r="AH789" s="4019"/>
      <c r="AI789" s="156"/>
      <c r="AJ789" s="156"/>
      <c r="AK789" s="156"/>
      <c r="AL789" s="156"/>
      <c r="AM789" s="156"/>
      <c r="AN789" s="156"/>
      <c r="AO789" s="156"/>
      <c r="AP789" s="156"/>
      <c r="AQ789" s="156"/>
      <c r="AR789" s="156"/>
      <c r="AS789" s="156"/>
      <c r="AT789" s="156"/>
      <c r="AU789" s="156"/>
      <c r="AV789" s="156"/>
      <c r="AW789" s="156"/>
      <c r="AX789" s="156"/>
      <c r="AY789" s="156"/>
      <c r="AZ789" s="156"/>
      <c r="BA789" s="156"/>
      <c r="BB789" s="2828"/>
      <c r="BC789" s="504"/>
      <c r="BD789" s="2829"/>
      <c r="BE789" s="2837"/>
      <c r="BF789" s="156"/>
    </row>
    <row r="790" spans="1:58" x14ac:dyDescent="0.35">
      <c r="A790" s="1071"/>
      <c r="B790" s="106"/>
      <c r="C790" s="103"/>
      <c r="D790" s="292"/>
      <c r="E790" s="292"/>
      <c r="F790" s="106"/>
      <c r="G790" s="292"/>
      <c r="H790" s="103"/>
      <c r="I790" s="103"/>
      <c r="J790" s="103"/>
      <c r="K790" s="103"/>
      <c r="L790" s="103"/>
      <c r="M790" s="103"/>
      <c r="N790" s="106"/>
      <c r="O790" s="106"/>
      <c r="P790" s="106"/>
      <c r="Q790" s="106"/>
      <c r="R790" s="106"/>
      <c r="S790" s="106"/>
      <c r="T790" s="106"/>
      <c r="U790" s="106"/>
      <c r="V790" s="106"/>
      <c r="W790" s="156"/>
      <c r="X790" s="156"/>
      <c r="Y790" s="156"/>
      <c r="Z790" s="156"/>
      <c r="AA790" s="156"/>
      <c r="AB790" s="156"/>
      <c r="AC790" s="156"/>
      <c r="AD790" s="156"/>
      <c r="AE790" s="156"/>
      <c r="AF790" s="156"/>
      <c r="AG790" s="156"/>
      <c r="AH790" s="156"/>
      <c r="AI790" s="156"/>
      <c r="AJ790" s="156"/>
      <c r="AK790" s="156"/>
      <c r="AL790" s="156"/>
      <c r="AM790" s="156"/>
      <c r="AN790" s="156"/>
      <c r="AO790" s="156"/>
      <c r="AP790" s="156"/>
      <c r="AQ790" s="156"/>
      <c r="AR790" s="156"/>
      <c r="AS790" s="156"/>
      <c r="AT790" s="156"/>
      <c r="AU790" s="156"/>
      <c r="AV790" s="156"/>
      <c r="AW790" s="156"/>
      <c r="AX790" s="156"/>
      <c r="AY790" s="156"/>
      <c r="AZ790" s="156"/>
      <c r="BA790" s="156"/>
      <c r="BB790" s="2828"/>
      <c r="BC790" s="504"/>
      <c r="BD790" s="2829"/>
      <c r="BE790" s="2837"/>
      <c r="BF790" s="156"/>
    </row>
    <row r="791" spans="1:58" x14ac:dyDescent="0.35">
      <c r="A791" s="1071"/>
      <c r="B791" s="106"/>
      <c r="C791" s="103"/>
      <c r="D791" s="292" t="s">
        <v>843</v>
      </c>
      <c r="E791" s="292"/>
      <c r="F791" s="106"/>
      <c r="G791" s="292"/>
      <c r="H791" s="103"/>
      <c r="I791" s="103"/>
      <c r="J791" s="103"/>
      <c r="K791" s="103"/>
      <c r="L791" s="103"/>
      <c r="M791" s="103"/>
      <c r="N791" s="106"/>
      <c r="O791" s="106"/>
      <c r="P791" s="106"/>
      <c r="Q791" s="106"/>
      <c r="R791" s="106"/>
      <c r="S791" s="106"/>
      <c r="T791" s="106"/>
      <c r="U791" s="106"/>
      <c r="V791" s="106"/>
      <c r="W791" s="156"/>
      <c r="X791" s="156"/>
      <c r="Y791" s="156"/>
      <c r="Z791" s="156"/>
      <c r="AA791" s="156"/>
      <c r="AB791" s="156"/>
      <c r="AC791" s="156"/>
      <c r="AD791" s="156"/>
      <c r="AE791" s="156"/>
      <c r="AF791" s="156"/>
      <c r="AG791" s="156"/>
      <c r="AH791" s="156"/>
      <c r="AI791" s="156"/>
      <c r="AJ791" s="156"/>
      <c r="AK791" s="156"/>
      <c r="AL791" s="156"/>
      <c r="AM791" s="156"/>
      <c r="AN791" s="156"/>
      <c r="AO791" s="156"/>
      <c r="AP791" s="156"/>
      <c r="AQ791" s="156"/>
      <c r="AR791" s="156"/>
      <c r="AS791" s="156"/>
      <c r="AT791" s="156"/>
      <c r="AU791" s="156"/>
      <c r="AV791" s="156"/>
      <c r="AW791" s="156"/>
      <c r="AX791" s="156"/>
      <c r="AY791" s="156"/>
      <c r="AZ791" s="156"/>
      <c r="BA791" s="156"/>
      <c r="BB791" s="2828"/>
      <c r="BC791" s="504"/>
      <c r="BD791" s="2829"/>
      <c r="BE791" s="2837"/>
      <c r="BF791" s="156"/>
    </row>
    <row r="792" spans="1:58" ht="29" x14ac:dyDescent="0.35">
      <c r="A792" s="1071"/>
      <c r="B792" s="106"/>
      <c r="C792" s="2379" t="s">
        <v>27</v>
      </c>
      <c r="D792" s="2379" t="s">
        <v>174</v>
      </c>
      <c r="E792" s="2379" t="s">
        <v>29</v>
      </c>
      <c r="F792" s="2379" t="s">
        <v>30</v>
      </c>
      <c r="G792" s="2379" t="s">
        <v>175</v>
      </c>
      <c r="H792" s="2379" t="s">
        <v>176</v>
      </c>
      <c r="I792" s="2379" t="s">
        <v>31</v>
      </c>
      <c r="J792" s="2410" t="s">
        <v>180</v>
      </c>
      <c r="K792" s="2379" t="s">
        <v>169</v>
      </c>
      <c r="L792" s="2379" t="s">
        <v>844</v>
      </c>
      <c r="M792" s="106"/>
      <c r="N792" s="106"/>
      <c r="O792" s="106"/>
      <c r="P792" s="106"/>
      <c r="Q792" s="106"/>
      <c r="R792" s="106"/>
      <c r="S792" s="106"/>
      <c r="T792" s="106"/>
      <c r="U792" s="106"/>
      <c r="V792" s="480" t="s">
        <v>44</v>
      </c>
      <c r="W792" s="1573">
        <f>W$6</f>
        <v>43252</v>
      </c>
      <c r="X792" s="1573">
        <f t="shared" ref="X792:AG792" si="83">X$6</f>
        <v>43465</v>
      </c>
      <c r="Y792" s="1573">
        <f t="shared" si="83"/>
        <v>43800</v>
      </c>
      <c r="Z792" s="1573">
        <f t="shared" si="83"/>
        <v>43862</v>
      </c>
      <c r="AA792" s="1573">
        <f t="shared" si="83"/>
        <v>44013</v>
      </c>
      <c r="AB792" s="1573">
        <f t="shared" si="83"/>
        <v>44166</v>
      </c>
      <c r="AC792" s="1573">
        <f t="shared" si="83"/>
        <v>44531</v>
      </c>
      <c r="AD792" s="1573">
        <f t="shared" si="83"/>
        <v>44774</v>
      </c>
      <c r="AE792" s="1573" t="str">
        <f t="shared" si="83"/>
        <v>-</v>
      </c>
      <c r="AF792" s="1573" t="str">
        <f t="shared" si="83"/>
        <v>-</v>
      </c>
      <c r="AG792" s="1573" t="str">
        <f t="shared" si="83"/>
        <v>-</v>
      </c>
      <c r="AH792" s="156"/>
      <c r="AI792" s="156"/>
      <c r="AJ792" s="156"/>
      <c r="AK792" s="156"/>
      <c r="AL792" s="156"/>
      <c r="AM792" s="156"/>
      <c r="AN792" s="156"/>
      <c r="AO792" s="156"/>
      <c r="AP792" s="156"/>
      <c r="AQ792" s="156"/>
      <c r="AR792" s="156"/>
      <c r="AS792" s="156"/>
      <c r="AT792" s="156"/>
      <c r="AU792" s="156"/>
      <c r="AV792" s="156"/>
      <c r="AW792" s="156"/>
      <c r="AX792" s="156"/>
      <c r="AY792" s="156"/>
      <c r="AZ792" s="156"/>
      <c r="BA792" s="156"/>
      <c r="BB792" s="2830" t="str">
        <f>$BB$6</f>
        <v>TRC (2022)</v>
      </c>
      <c r="BC792" s="2830" t="str">
        <f>$BC$6</f>
        <v>Benefit Lookup</v>
      </c>
      <c r="BD792" s="2866" t="str">
        <f>$BD$6</f>
        <v>Benefits (2019 $)</v>
      </c>
      <c r="BE792" s="2867" t="str">
        <f>$BE$6</f>
        <v>Incremental Cost (2019 $)</v>
      </c>
      <c r="BF792" s="156"/>
    </row>
    <row r="793" spans="1:58" x14ac:dyDescent="0.35">
      <c r="A793" s="1071" t="str">
        <f t="shared" ref="A793:A861" si="84">C793&amp;G793</f>
        <v>351200_2021_12_Cooling RES</v>
      </c>
      <c r="B793" s="106"/>
      <c r="C793" s="50" t="s">
        <v>985</v>
      </c>
      <c r="D793" s="395" t="s">
        <v>318</v>
      </c>
      <c r="E793" s="2348" t="s">
        <v>986</v>
      </c>
      <c r="F793" s="373">
        <f>ROUND((($J$1016*$J$1043*(1/$J$1097-1/$J$1124))/1000)*$J$1151*$J$1220,2)</f>
        <v>1227.25</v>
      </c>
      <c r="G793" s="1279" t="s">
        <v>257</v>
      </c>
      <c r="H793" s="136">
        <f>VLOOKUP(G793,'CP FACTORS'!$A$3:$B$38, 2, FALSE)</f>
        <v>9.4741810000000004E-4</v>
      </c>
      <c r="I793" s="2732">
        <f>ROUND(F793*H793,6)</f>
        <v>1.1627190000000001</v>
      </c>
      <c r="J793" s="92">
        <f t="shared" ref="J793:J803" si="85">J1221</f>
        <v>6</v>
      </c>
      <c r="K793" s="387">
        <f t="shared" ref="K793:K809" si="86">J1267</f>
        <v>1408.9941341172375</v>
      </c>
      <c r="L793" s="2619">
        <f>K1016</f>
        <v>1.75</v>
      </c>
      <c r="M793" s="2804"/>
      <c r="N793" s="106"/>
      <c r="O793" s="106"/>
      <c r="P793" s="106"/>
      <c r="Q793" s="106"/>
      <c r="R793" s="1214"/>
      <c r="S793" s="106"/>
      <c r="T793" s="106"/>
      <c r="U793" s="106"/>
      <c r="V793" s="1592" t="s">
        <v>30</v>
      </c>
      <c r="W793" s="2903">
        <v>2022.4940476190473</v>
      </c>
      <c r="X793" s="559">
        <v>1807.7600345274061</v>
      </c>
      <c r="Y793" s="610">
        <v>1320.98</v>
      </c>
      <c r="Z793" s="1788">
        <v>1320.98</v>
      </c>
      <c r="AA793" s="1788">
        <v>1320.98</v>
      </c>
      <c r="AB793" s="2831">
        <v>1320.98</v>
      </c>
      <c r="AC793" s="1591">
        <v>696.9</v>
      </c>
      <c r="AD793" s="2299">
        <v>1227.25</v>
      </c>
      <c r="AE793" s="373"/>
      <c r="AF793" s="2904"/>
      <c r="AG793" s="851"/>
      <c r="AH793" s="344"/>
      <c r="AI793" s="344"/>
      <c r="AJ793" s="156"/>
      <c r="AK793" s="156"/>
      <c r="AL793" s="156"/>
      <c r="AM793" s="156"/>
      <c r="AN793" s="156"/>
      <c r="AO793" s="156"/>
      <c r="AP793" s="156"/>
      <c r="AQ793" s="156"/>
      <c r="AR793" s="156"/>
      <c r="AS793" s="156"/>
      <c r="AT793" s="156"/>
      <c r="AU793" s="156"/>
      <c r="AV793" s="156"/>
      <c r="AW793" s="156"/>
      <c r="AX793" s="156"/>
      <c r="AY793" s="156"/>
      <c r="AZ793" s="156"/>
      <c r="BA793" s="156"/>
      <c r="BB793" s="2832">
        <f>(BD793+BD794)/(BE793+BE794)</f>
        <v>0.87878729606476891</v>
      </c>
      <c r="BC793" s="2348" t="str">
        <f t="shared" ref="BC793:BC861" si="87">CONCATENATE(G793," ",J793," Year EUL")</f>
        <v>Cooling RES 6 Year EUL</v>
      </c>
      <c r="BD793" s="2869">
        <f>(INDEX('Avoided Cost Benefits'!$E$4:$E$859,MATCH(BC793,'Avoided Cost Benefits'!$A$4:$A$859,0)))*F793</f>
        <v>777.60031388459947</v>
      </c>
      <c r="BE793" s="855">
        <f t="shared" ref="BE793:BE861" si="88">K793/(1.0595^(2020-2019))</f>
        <v>1329.8670449431218</v>
      </c>
      <c r="BF793" s="156"/>
    </row>
    <row r="794" spans="1:58" x14ac:dyDescent="0.35">
      <c r="A794" s="1071" t="str">
        <f t="shared" si="84"/>
        <v>351200_2021_12_Cooling RES ER2</v>
      </c>
      <c r="B794" s="106"/>
      <c r="C794" s="50" t="s">
        <v>985</v>
      </c>
      <c r="D794" s="1279" t="s">
        <v>318</v>
      </c>
      <c r="E794" s="2349" t="s">
        <v>987</v>
      </c>
      <c r="F794" s="373">
        <f>ROUND((($J$1016*$J$1043*(1/$J$1070-1/$J$1124))/1000)*$J$1152*$J$1220,2)</f>
        <v>353.42</v>
      </c>
      <c r="G794" s="1279" t="s">
        <v>848</v>
      </c>
      <c r="H794" s="136">
        <f>VLOOKUP(G794,'CP FACTORS'!$A$3:$B$38, 2, FALSE)</f>
        <v>9.4741810000000004E-4</v>
      </c>
      <c r="I794" s="2732">
        <f t="shared" ref="I794:I861" si="89">ROUND(F794*H794,6)</f>
        <v>0.334837</v>
      </c>
      <c r="J794" s="92">
        <f t="shared" si="85"/>
        <v>12</v>
      </c>
      <c r="K794" s="387">
        <f t="shared" si="86"/>
        <v>0</v>
      </c>
      <c r="L794" s="206"/>
      <c r="M794" s="2804"/>
      <c r="N794" s="106"/>
      <c r="O794" s="106"/>
      <c r="P794" s="106"/>
      <c r="Q794" s="106"/>
      <c r="R794" s="1214"/>
      <c r="S794" s="106"/>
      <c r="T794" s="106"/>
      <c r="U794" s="106"/>
      <c r="V794" s="1592" t="s">
        <v>30</v>
      </c>
      <c r="W794" s="2903">
        <v>572.25082417582416</v>
      </c>
      <c r="X794" s="559">
        <v>528.13366090103261</v>
      </c>
      <c r="Y794" s="610">
        <v>385.92</v>
      </c>
      <c r="Z794" s="1788">
        <v>385.92</v>
      </c>
      <c r="AA794" s="1788">
        <v>385.92</v>
      </c>
      <c r="AB794" s="2831">
        <v>385.92</v>
      </c>
      <c r="AC794" s="1591">
        <v>269.27</v>
      </c>
      <c r="AD794" s="2299">
        <v>353.42</v>
      </c>
      <c r="AE794" s="373"/>
      <c r="AF794" s="2904"/>
      <c r="AG794" s="851"/>
      <c r="AH794" s="344"/>
      <c r="AI794" s="344"/>
      <c r="AJ794" s="156"/>
      <c r="AK794" s="156"/>
      <c r="AL794" s="156"/>
      <c r="AM794" s="156"/>
      <c r="AN794" s="156"/>
      <c r="AO794" s="156"/>
      <c r="AP794" s="156"/>
      <c r="AQ794" s="156"/>
      <c r="AR794" s="156"/>
      <c r="AS794" s="156"/>
      <c r="AT794" s="156"/>
      <c r="AU794" s="156"/>
      <c r="AV794" s="156"/>
      <c r="AW794" s="156"/>
      <c r="AX794" s="156"/>
      <c r="AY794" s="156"/>
      <c r="AZ794" s="156"/>
      <c r="BA794" s="156"/>
      <c r="BB794" s="2835"/>
      <c r="BC794" s="2349" t="str">
        <f t="shared" si="87"/>
        <v>Cooling RES ER2 12 Year EUL</v>
      </c>
      <c r="BD794" s="2829">
        <f>(INDEX('Avoided Cost Benefits'!$E$4:$E$859,MATCH(BC794,'Avoided Cost Benefits'!$A$4:$A$859,0)))*F794</f>
        <v>391.06995066661102</v>
      </c>
      <c r="BE794" s="858">
        <f t="shared" si="88"/>
        <v>0</v>
      </c>
      <c r="BF794" s="156"/>
    </row>
    <row r="795" spans="1:58" x14ac:dyDescent="0.35">
      <c r="A795" s="1071" t="str">
        <f t="shared" si="84"/>
        <v>351250_2021_12_Cooling RES</v>
      </c>
      <c r="B795" s="106"/>
      <c r="C795" s="50" t="s">
        <v>988</v>
      </c>
      <c r="D795" s="1279" t="s">
        <v>318</v>
      </c>
      <c r="E795" s="2352" t="s">
        <v>989</v>
      </c>
      <c r="F795" s="373">
        <f>ROUND((($J$1017*$J$1044*(1/$J$1071-1/$J$1125))/1000)*$J$1153*$J$1220,2)</f>
        <v>258.75</v>
      </c>
      <c r="G795" s="287" t="s">
        <v>257</v>
      </c>
      <c r="H795" s="136">
        <f>VLOOKUP(G795,'CP FACTORS'!$A$3:$B$38, 2, FALSE)</f>
        <v>9.4741810000000004E-4</v>
      </c>
      <c r="I795" s="2732">
        <f t="shared" si="89"/>
        <v>0.245144</v>
      </c>
      <c r="J795" s="92">
        <f t="shared" si="85"/>
        <v>18</v>
      </c>
      <c r="K795" s="387">
        <f t="shared" si="86"/>
        <v>364.64165582663026</v>
      </c>
      <c r="L795" s="206">
        <f>K1017</f>
        <v>1.0555555555555556</v>
      </c>
      <c r="M795" s="2804"/>
      <c r="N795" s="106"/>
      <c r="O795" s="106"/>
      <c r="P795" s="106"/>
      <c r="Q795" s="106"/>
      <c r="R795" s="1214"/>
      <c r="S795" s="106"/>
      <c r="T795" s="106"/>
      <c r="U795" s="106"/>
      <c r="V795" s="1592" t="s">
        <v>30</v>
      </c>
      <c r="W795" s="2903">
        <v>1875.936507936508</v>
      </c>
      <c r="X795" s="559">
        <v>1807.7600345274061</v>
      </c>
      <c r="Y795" s="610">
        <v>1320.98</v>
      </c>
      <c r="Z795" s="1788">
        <v>1320.98</v>
      </c>
      <c r="AA795" s="1788">
        <v>1320.98</v>
      </c>
      <c r="AB795" s="1540">
        <v>332.95</v>
      </c>
      <c r="AC795" s="1591">
        <v>329.12</v>
      </c>
      <c r="AD795" s="2299">
        <v>258.75</v>
      </c>
      <c r="AE795" s="373"/>
      <c r="AF795" s="2904"/>
      <c r="AG795" s="851"/>
      <c r="AH795" s="344"/>
      <c r="AI795" s="344"/>
      <c r="AJ795" s="156"/>
      <c r="AK795" s="156"/>
      <c r="AL795" s="156"/>
      <c r="AM795" s="156"/>
      <c r="AN795" s="156"/>
      <c r="AO795" s="156"/>
      <c r="AP795" s="156"/>
      <c r="AQ795" s="156"/>
      <c r="AR795" s="156"/>
      <c r="AS795" s="156"/>
      <c r="AT795" s="156"/>
      <c r="AU795" s="156"/>
      <c r="AV795" s="156"/>
      <c r="AW795" s="156"/>
      <c r="AX795" s="156"/>
      <c r="AY795" s="156"/>
      <c r="AZ795" s="156"/>
      <c r="BA795" s="156"/>
      <c r="BB795" s="1563">
        <f>(BD795)/(BE795)</f>
        <v>1.3082773106409236</v>
      </c>
      <c r="BC795" s="2352" t="str">
        <f t="shared" si="87"/>
        <v>Cooling RES 18 Year EUL</v>
      </c>
      <c r="BD795" s="2829">
        <f>(INDEX('Avoided Cost Benefits'!$E$4:$E$859,MATCH(BC795,'Avoided Cost Benefits'!$A$4:$A$859,0)))*F795</f>
        <v>450.26182617509869</v>
      </c>
      <c r="BE795" s="858">
        <f t="shared" si="88"/>
        <v>344.16390356454008</v>
      </c>
      <c r="BF795" s="156"/>
    </row>
    <row r="796" spans="1:58" x14ac:dyDescent="0.35">
      <c r="A796" s="1071" t="str">
        <f t="shared" si="84"/>
        <v>351300_2021_12_Cooling RES</v>
      </c>
      <c r="B796" s="106"/>
      <c r="C796" s="50" t="s">
        <v>990</v>
      </c>
      <c r="D796" s="1279" t="s">
        <v>318</v>
      </c>
      <c r="E796" s="2348" t="s">
        <v>991</v>
      </c>
      <c r="F796" s="373">
        <f>ROUND((($J$1018*$J$1045*(1/$J$1072-1/$J$1126))/1000)*$J$1154*$J$1220,2)</f>
        <v>307.27999999999997</v>
      </c>
      <c r="G796" s="287" t="s">
        <v>257</v>
      </c>
      <c r="H796" s="136">
        <f>VLOOKUP(G796,'CP FACTORS'!$A$3:$B$38, 2, FALSE)</f>
        <v>9.4741810000000004E-4</v>
      </c>
      <c r="I796" s="2732">
        <f t="shared" si="89"/>
        <v>0.29112300000000002</v>
      </c>
      <c r="J796" s="92">
        <f t="shared" si="85"/>
        <v>18</v>
      </c>
      <c r="K796" s="387">
        <f t="shared" si="86"/>
        <v>364.64165582663026</v>
      </c>
      <c r="L796" s="206">
        <f>K1018</f>
        <v>1.5323741007194249</v>
      </c>
      <c r="M796" s="2804"/>
      <c r="N796" s="106"/>
      <c r="O796" s="106"/>
      <c r="P796" s="106"/>
      <c r="Q796" s="106"/>
      <c r="R796" s="1214"/>
      <c r="S796" s="106"/>
      <c r="T796" s="106"/>
      <c r="U796" s="106"/>
      <c r="V796" s="1592" t="s">
        <v>30</v>
      </c>
      <c r="W796" s="2903">
        <v>548.43293798712307</v>
      </c>
      <c r="X796" s="559">
        <v>528.13366090103261</v>
      </c>
      <c r="Y796" s="612">
        <v>214.85</v>
      </c>
      <c r="Z796" s="1789">
        <v>214.85</v>
      </c>
      <c r="AA796" s="1789">
        <v>214.85</v>
      </c>
      <c r="AB796" s="2831">
        <v>214.85</v>
      </c>
      <c r="AC796" s="1591">
        <v>305.98</v>
      </c>
      <c r="AD796" s="2299">
        <v>307.27999999999997</v>
      </c>
      <c r="AE796" s="1741"/>
      <c r="AF796" s="2904"/>
      <c r="AG796" s="851"/>
      <c r="AH796" s="344"/>
      <c r="AI796" s="344"/>
      <c r="AJ796" s="156"/>
      <c r="AK796" s="156"/>
      <c r="AL796" s="156"/>
      <c r="AM796" s="156"/>
      <c r="AN796" s="156"/>
      <c r="AO796" s="156"/>
      <c r="AP796" s="156"/>
      <c r="AQ796" s="156"/>
      <c r="AR796" s="156"/>
      <c r="AS796" s="156"/>
      <c r="AT796" s="156"/>
      <c r="AU796" s="156"/>
      <c r="AV796" s="156"/>
      <c r="AW796" s="156"/>
      <c r="AX796" s="156"/>
      <c r="AY796" s="156"/>
      <c r="AZ796" s="156"/>
      <c r="BA796" s="156"/>
      <c r="BB796" s="2833">
        <f>(BD796+BD797)/(BE796+BE797)</f>
        <v>2.4533870291348232</v>
      </c>
      <c r="BC796" s="2348" t="str">
        <f t="shared" si="87"/>
        <v>Cooling RES 18 Year EUL</v>
      </c>
      <c r="BD796" s="2829">
        <f>(INDEX('Avoided Cost Benefits'!$E$4:$E$859,MATCH(BC796,'Avoided Cost Benefits'!$A$4:$A$859,0)))*F796</f>
        <v>534.71093312882829</v>
      </c>
      <c r="BE796" s="858">
        <f t="shared" si="88"/>
        <v>344.16390356454008</v>
      </c>
      <c r="BF796" s="156"/>
    </row>
    <row r="797" spans="1:58" x14ac:dyDescent="0.35">
      <c r="A797" s="1071" t="str">
        <f t="shared" si="84"/>
        <v>351300_2021_12_Heating RES</v>
      </c>
      <c r="B797" s="106"/>
      <c r="C797" s="50" t="s">
        <v>990</v>
      </c>
      <c r="D797" s="1279" t="s">
        <v>318</v>
      </c>
      <c r="E797" s="2349" t="s">
        <v>991</v>
      </c>
      <c r="F797" s="373">
        <f>ROUND((($J$883*$J$910*(1/$J$937-1/$J$991))/1000)*$J$1155*$J$1220,2)</f>
        <v>694.54</v>
      </c>
      <c r="G797" s="287" t="s">
        <v>258</v>
      </c>
      <c r="H797" s="136">
        <f>VLOOKUP(G797,'CP FACTORS'!$A$3:$B$38, 2, FALSE)</f>
        <v>0</v>
      </c>
      <c r="I797" s="2732">
        <f t="shared" si="89"/>
        <v>0</v>
      </c>
      <c r="J797" s="92">
        <f t="shared" si="85"/>
        <v>18</v>
      </c>
      <c r="K797" s="387">
        <f t="shared" si="86"/>
        <v>0</v>
      </c>
      <c r="L797" s="206"/>
      <c r="M797" s="1295"/>
      <c r="N797" s="106"/>
      <c r="O797" s="106"/>
      <c r="P797" s="106"/>
      <c r="Q797" s="106"/>
      <c r="R797" s="1214"/>
      <c r="S797" s="106"/>
      <c r="T797" s="106"/>
      <c r="U797" s="106"/>
      <c r="V797" s="1592" t="s">
        <v>30</v>
      </c>
      <c r="W797" s="2903">
        <v>1059.3684210526314</v>
      </c>
      <c r="X797" s="559">
        <v>905.10385245195232</v>
      </c>
      <c r="Y797" s="612">
        <v>513.91</v>
      </c>
      <c r="Z797" s="1789">
        <v>513.91</v>
      </c>
      <c r="AA797" s="1789">
        <v>513.91</v>
      </c>
      <c r="AB797" s="2831">
        <v>513.91</v>
      </c>
      <c r="AC797" s="1591">
        <v>632.35</v>
      </c>
      <c r="AD797" s="2299">
        <v>694.54</v>
      </c>
      <c r="AE797" s="1741"/>
      <c r="AF797" s="2904"/>
      <c r="AG797" s="851"/>
      <c r="AH797" s="344"/>
      <c r="AI797" s="344"/>
      <c r="AJ797" s="156"/>
      <c r="AK797" s="156"/>
      <c r="AL797" s="156"/>
      <c r="AM797" s="156"/>
      <c r="AN797" s="156"/>
      <c r="AO797" s="156"/>
      <c r="AP797" s="156"/>
      <c r="AQ797" s="156"/>
      <c r="AR797" s="156"/>
      <c r="AS797" s="156"/>
      <c r="AT797" s="156"/>
      <c r="AU797" s="156"/>
      <c r="AV797" s="156"/>
      <c r="AW797" s="156"/>
      <c r="AX797" s="156"/>
      <c r="AY797" s="156"/>
      <c r="AZ797" s="156"/>
      <c r="BA797" s="156"/>
      <c r="BB797" s="2835"/>
      <c r="BC797" s="2349" t="str">
        <f t="shared" si="87"/>
        <v>Heating RES 18 Year EUL</v>
      </c>
      <c r="BD797" s="2829">
        <f>(INDEX('Avoided Cost Benefits'!$E$4:$E$859,MATCH(BC797,'Avoided Cost Benefits'!$A$4:$A$859,0)))*F797</f>
        <v>309.65632377282247</v>
      </c>
      <c r="BE797" s="858">
        <f t="shared" si="88"/>
        <v>0</v>
      </c>
      <c r="BF797" s="156"/>
    </row>
    <row r="798" spans="1:58" x14ac:dyDescent="0.35">
      <c r="A798" s="1663" t="str">
        <f t="shared" si="84"/>
        <v>351350_2021_12_Cooling RES</v>
      </c>
      <c r="B798" s="1663"/>
      <c r="C798" s="50" t="s">
        <v>992</v>
      </c>
      <c r="D798" s="1279" t="s">
        <v>318</v>
      </c>
      <c r="E798" s="2348" t="s">
        <v>993</v>
      </c>
      <c r="F798" s="373">
        <f>ROUND((($J$1019*$J$1046*(1/$J$1073-1/$J$1127))/1000)*$J$1156*$J$1220,2)</f>
        <v>307.27999999999997</v>
      </c>
      <c r="G798" s="287" t="s">
        <v>257</v>
      </c>
      <c r="H798" s="136">
        <f>VLOOKUP(G798,'CP FACTORS'!$A$3:$B$38, 2, FALSE)</f>
        <v>9.4741810000000004E-4</v>
      </c>
      <c r="I798" s="2732">
        <f t="shared" si="89"/>
        <v>0.29112300000000002</v>
      </c>
      <c r="J798" s="92">
        <f t="shared" si="85"/>
        <v>18</v>
      </c>
      <c r="K798" s="387">
        <f t="shared" si="86"/>
        <v>364.64165582663026</v>
      </c>
      <c r="L798" s="206">
        <f>K1016</f>
        <v>1.75</v>
      </c>
      <c r="M798" s="1295"/>
      <c r="N798" s="106"/>
      <c r="O798" s="106"/>
      <c r="P798" s="106"/>
      <c r="Q798" s="106"/>
      <c r="R798" s="1214"/>
      <c r="S798" s="106"/>
      <c r="T798" s="106"/>
      <c r="U798" s="106"/>
      <c r="V798" s="1592" t="s">
        <v>30</v>
      </c>
      <c r="W798" s="2903">
        <v>548.43293798712307</v>
      </c>
      <c r="X798" s="559">
        <v>528.13366090103261</v>
      </c>
      <c r="Y798" s="612">
        <v>214.85</v>
      </c>
      <c r="Z798" s="1789">
        <v>214.85</v>
      </c>
      <c r="AA798" s="1789">
        <v>214.85</v>
      </c>
      <c r="AB798" s="1540">
        <v>312.66000000000003</v>
      </c>
      <c r="AC798" s="1591">
        <v>296.29000000000002</v>
      </c>
      <c r="AD798" s="2299">
        <v>307.27999999999997</v>
      </c>
      <c r="AE798" s="1741"/>
      <c r="AF798" s="2904"/>
      <c r="AG798" s="851"/>
      <c r="AH798" s="344"/>
      <c r="AI798" s="344"/>
      <c r="AJ798" s="156"/>
      <c r="AK798" s="156"/>
      <c r="AL798" s="156"/>
      <c r="AM798" s="156"/>
      <c r="AN798" s="156"/>
      <c r="AO798" s="156"/>
      <c r="AP798" s="156"/>
      <c r="AQ798" s="156"/>
      <c r="AR798" s="156"/>
      <c r="AS798" s="156"/>
      <c r="AT798" s="156"/>
      <c r="AU798" s="156"/>
      <c r="AV798" s="156"/>
      <c r="AW798" s="156"/>
      <c r="AX798" s="156"/>
      <c r="AY798" s="156"/>
      <c r="AZ798" s="156"/>
      <c r="BA798" s="156"/>
      <c r="BB798" s="2833">
        <f>(BD798+BD799)/(BE798+BE799)</f>
        <v>2.4533870291348232</v>
      </c>
      <c r="BC798" s="2348" t="str">
        <f t="shared" si="87"/>
        <v>Cooling RES 18 Year EUL</v>
      </c>
      <c r="BD798" s="2829">
        <f>(INDEX('Avoided Cost Benefits'!$E$4:$E$859,MATCH(BC798,'Avoided Cost Benefits'!$A$4:$A$859,0)))*F798</f>
        <v>534.71093312882829</v>
      </c>
      <c r="BE798" s="858">
        <f t="shared" si="88"/>
        <v>344.16390356454008</v>
      </c>
      <c r="BF798" s="156"/>
    </row>
    <row r="799" spans="1:58" x14ac:dyDescent="0.35">
      <c r="A799" s="1663" t="str">
        <f t="shared" si="84"/>
        <v>351350_2021_12_Heating RES</v>
      </c>
      <c r="B799" s="1663"/>
      <c r="C799" s="50" t="s">
        <v>992</v>
      </c>
      <c r="D799" s="1279" t="s">
        <v>318</v>
      </c>
      <c r="E799" s="2349" t="s">
        <v>993</v>
      </c>
      <c r="F799" s="373">
        <f>ROUND((($J$884*$J$911*(1/$J$938-1/$J$992))/1000)*$J$1157*$J$1220,2)</f>
        <v>694.54</v>
      </c>
      <c r="G799" s="287" t="s">
        <v>258</v>
      </c>
      <c r="H799" s="136">
        <f>VLOOKUP(G799,'CP FACTORS'!$A$3:$B$38, 2, FALSE)</f>
        <v>0</v>
      </c>
      <c r="I799" s="2732">
        <f t="shared" si="89"/>
        <v>0</v>
      </c>
      <c r="J799" s="92">
        <f t="shared" si="85"/>
        <v>18</v>
      </c>
      <c r="K799" s="387">
        <f t="shared" si="86"/>
        <v>0</v>
      </c>
      <c r="L799" s="206"/>
      <c r="M799" s="1295"/>
      <c r="N799" s="106"/>
      <c r="O799" s="106"/>
      <c r="P799" s="106"/>
      <c r="Q799" s="106"/>
      <c r="R799" s="1214"/>
      <c r="S799" s="106"/>
      <c r="T799" s="106"/>
      <c r="U799" s="106"/>
      <c r="V799" s="1592" t="s">
        <v>30</v>
      </c>
      <c r="W799" s="2903">
        <v>1059.3684210526314</v>
      </c>
      <c r="X799" s="559">
        <v>905.10385245195232</v>
      </c>
      <c r="Y799" s="612">
        <v>513.91</v>
      </c>
      <c r="Z799" s="1789">
        <v>513.91</v>
      </c>
      <c r="AA799" s="1789">
        <v>513.91</v>
      </c>
      <c r="AB799" s="1540">
        <v>585.46</v>
      </c>
      <c r="AC799" s="1591">
        <v>639.13</v>
      </c>
      <c r="AD799" s="2299">
        <v>694.54</v>
      </c>
      <c r="AE799" s="1741"/>
      <c r="AF799" s="2904"/>
      <c r="AG799" s="851"/>
      <c r="AH799" s="344"/>
      <c r="AI799" s="344"/>
      <c r="AJ799" s="156"/>
      <c r="AK799" s="156"/>
      <c r="AL799" s="156"/>
      <c r="AM799" s="156"/>
      <c r="AN799" s="156"/>
      <c r="AO799" s="156"/>
      <c r="AP799" s="156"/>
      <c r="AQ799" s="156"/>
      <c r="AR799" s="156"/>
      <c r="AS799" s="156"/>
      <c r="AT799" s="156"/>
      <c r="AU799" s="156"/>
      <c r="AV799" s="156"/>
      <c r="AW799" s="156"/>
      <c r="AX799" s="156"/>
      <c r="AY799" s="156"/>
      <c r="AZ799" s="156"/>
      <c r="BA799" s="156"/>
      <c r="BB799" s="2835"/>
      <c r="BC799" s="2349" t="str">
        <f t="shared" si="87"/>
        <v>Heating RES 18 Year EUL</v>
      </c>
      <c r="BD799" s="2829">
        <f>(INDEX('Avoided Cost Benefits'!$E$4:$E$859,MATCH(BC799,'Avoided Cost Benefits'!$A$4:$A$859,0)))*F799</f>
        <v>309.65632377282247</v>
      </c>
      <c r="BE799" s="858">
        <f t="shared" si="88"/>
        <v>0</v>
      </c>
      <c r="BF799" s="156"/>
    </row>
    <row r="800" spans="1:58" x14ac:dyDescent="0.35">
      <c r="A800" s="1663" t="str">
        <f t="shared" si="84"/>
        <v>351400_2021_12_Cooling RES</v>
      </c>
      <c r="B800" s="1663"/>
      <c r="C800" s="50" t="s">
        <v>994</v>
      </c>
      <c r="D800" s="1279" t="s">
        <v>318</v>
      </c>
      <c r="E800" s="2348" t="s">
        <v>995</v>
      </c>
      <c r="F800" s="373">
        <f>ROUND((($J$1020*$J$1047*(1/$J$1101-1/$J$1128))/1000)*$J$1158*$J$1220,2)</f>
        <v>1085.77</v>
      </c>
      <c r="G800" s="287" t="s">
        <v>257</v>
      </c>
      <c r="H800" s="136">
        <f>VLOOKUP(G800,'CP FACTORS'!$A$3:$B$38, 2, FALSE)</f>
        <v>9.4741810000000004E-4</v>
      </c>
      <c r="I800" s="2732">
        <f t="shared" si="89"/>
        <v>1.028678</v>
      </c>
      <c r="J800" s="92">
        <f t="shared" si="85"/>
        <v>6</v>
      </c>
      <c r="K800" s="387">
        <f t="shared" si="86"/>
        <v>2768.8371103720847</v>
      </c>
      <c r="L800" s="206">
        <f>K1020</f>
        <v>1.740909090909091</v>
      </c>
      <c r="M800" s="1295"/>
      <c r="N800" s="106"/>
      <c r="O800" s="106"/>
      <c r="P800" s="106"/>
      <c r="Q800" s="106"/>
      <c r="R800" s="1214"/>
      <c r="S800" s="106"/>
      <c r="T800" s="106"/>
      <c r="U800" s="106"/>
      <c r="V800" s="1592" t="s">
        <v>30</v>
      </c>
      <c r="W800" s="2903">
        <v>1495.1911764705883</v>
      </c>
      <c r="X800" s="559">
        <v>1625.1970093173225</v>
      </c>
      <c r="Y800" s="612">
        <v>1175.8</v>
      </c>
      <c r="Z800" s="1789">
        <v>1175.8</v>
      </c>
      <c r="AA800" s="1789">
        <v>1175.8</v>
      </c>
      <c r="AB800" s="1540">
        <v>1039.47</v>
      </c>
      <c r="AC800" s="1591">
        <v>884.18</v>
      </c>
      <c r="AD800" s="2299">
        <v>1085.77</v>
      </c>
      <c r="AE800" s="1741"/>
      <c r="AF800" s="2904"/>
      <c r="AG800" s="851"/>
      <c r="AH800" s="344"/>
      <c r="AI800" s="344"/>
      <c r="AJ800" s="156"/>
      <c r="AK800" s="156"/>
      <c r="AL800" s="156"/>
      <c r="AM800" s="156"/>
      <c r="AN800" s="156"/>
      <c r="AO800" s="156"/>
      <c r="AP800" s="156"/>
      <c r="AQ800" s="156"/>
      <c r="AR800" s="156"/>
      <c r="AS800" s="156"/>
      <c r="AT800" s="156"/>
      <c r="AU800" s="156"/>
      <c r="AV800" s="156"/>
      <c r="AW800" s="156"/>
      <c r="AX800" s="156"/>
      <c r="AY800" s="156"/>
      <c r="AZ800" s="156"/>
      <c r="BA800" s="156"/>
      <c r="BB800" s="2833">
        <f>(BD800+BD801+BD802+BD803)/(BE800+BE801+BE802+BE803)</f>
        <v>1.2435700890713957</v>
      </c>
      <c r="BC800" s="2348" t="str">
        <f t="shared" si="87"/>
        <v>Cooling RES 6 Year EUL</v>
      </c>
      <c r="BD800" s="2829">
        <f>(INDEX('Avoided Cost Benefits'!$E$4:$E$859,MATCH(BC800,'Avoided Cost Benefits'!$A$4:$A$859,0)))*F800</f>
        <v>687.95688963657085</v>
      </c>
      <c r="BE800" s="858">
        <f t="shared" si="88"/>
        <v>2613.3431905352377</v>
      </c>
      <c r="BF800" s="156"/>
    </row>
    <row r="801" spans="1:58" x14ac:dyDescent="0.35">
      <c r="A801" s="1663" t="str">
        <f t="shared" si="84"/>
        <v>351400_2021_12_Heating RES</v>
      </c>
      <c r="B801" s="1663"/>
      <c r="C801" s="50" t="s">
        <v>994</v>
      </c>
      <c r="D801" s="1279" t="s">
        <v>318</v>
      </c>
      <c r="E801" s="2357" t="s">
        <v>995</v>
      </c>
      <c r="F801" s="373">
        <f>ROUND((($J$885*$J$912*(1/$J$966-1/$J$993))/1000)*$J$1159*$J$1220,2)</f>
        <v>4719</v>
      </c>
      <c r="G801" s="287" t="s">
        <v>258</v>
      </c>
      <c r="H801" s="136">
        <f>VLOOKUP(G801,'CP FACTORS'!$A$3:$B$38, 2, FALSE)</f>
        <v>0</v>
      </c>
      <c r="I801" s="2732">
        <f t="shared" si="89"/>
        <v>0</v>
      </c>
      <c r="J801" s="92">
        <f t="shared" si="85"/>
        <v>6</v>
      </c>
      <c r="K801" s="387">
        <f t="shared" si="86"/>
        <v>0</v>
      </c>
      <c r="L801" s="206"/>
      <c r="M801" s="1295"/>
      <c r="N801" s="106"/>
      <c r="O801" s="106"/>
      <c r="P801" s="106"/>
      <c r="Q801" s="106"/>
      <c r="R801" s="1214"/>
      <c r="S801" s="106"/>
      <c r="T801" s="106"/>
      <c r="U801" s="106"/>
      <c r="V801" s="1592" t="s">
        <v>30</v>
      </c>
      <c r="W801" s="2903">
        <v>5217.8997805633207</v>
      </c>
      <c r="X801" s="559">
        <v>5513.3467827124387</v>
      </c>
      <c r="Y801" s="612">
        <v>3822.23</v>
      </c>
      <c r="Z801" s="1789">
        <v>3822.23</v>
      </c>
      <c r="AA801" s="1789">
        <v>3822.23</v>
      </c>
      <c r="AB801" s="1540">
        <v>3646.53</v>
      </c>
      <c r="AC801" s="1591">
        <v>3895.33</v>
      </c>
      <c r="AD801" s="2299">
        <v>4719</v>
      </c>
      <c r="AE801" s="1741"/>
      <c r="AF801" s="2904"/>
      <c r="AG801" s="851"/>
      <c r="AH801" s="344"/>
      <c r="AI801" s="344"/>
      <c r="AJ801" s="156"/>
      <c r="AK801" s="156"/>
      <c r="AL801" s="156"/>
      <c r="AM801" s="156"/>
      <c r="AN801" s="156"/>
      <c r="AO801" s="156"/>
      <c r="AP801" s="156"/>
      <c r="AQ801" s="156"/>
      <c r="AR801" s="156"/>
      <c r="AS801" s="156"/>
      <c r="AT801" s="156"/>
      <c r="AU801" s="156"/>
      <c r="AV801" s="156"/>
      <c r="AW801" s="156"/>
      <c r="AX801" s="156"/>
      <c r="AY801" s="156"/>
      <c r="AZ801" s="156"/>
      <c r="BA801" s="156"/>
      <c r="BB801" s="2905"/>
      <c r="BC801" s="2357" t="str">
        <f t="shared" si="87"/>
        <v>Heating RES 6 Year EUL</v>
      </c>
      <c r="BD801" s="2829">
        <f>(INDEX('Avoided Cost Benefits'!$E$4:$E$859,MATCH(BC801,'Avoided Cost Benefits'!$A$4:$A$859,0)))*F801</f>
        <v>768.91946798510048</v>
      </c>
      <c r="BE801" s="858">
        <f t="shared" si="88"/>
        <v>0</v>
      </c>
      <c r="BF801" s="156"/>
    </row>
    <row r="802" spans="1:58" x14ac:dyDescent="0.35">
      <c r="A802" s="1663" t="str">
        <f t="shared" si="84"/>
        <v>351400_2021_12_Cooling RES ER2</v>
      </c>
      <c r="B802" s="1663"/>
      <c r="C802" s="50" t="s">
        <v>994</v>
      </c>
      <c r="D802" s="1279" t="s">
        <v>318</v>
      </c>
      <c r="E802" s="2357" t="s">
        <v>996</v>
      </c>
      <c r="F802" s="373">
        <f>ROUND(((J$1020*J$1047*(1/J$1074-1/J$1128))/1000)*J$1160*$J$1220,2)</f>
        <v>413.89</v>
      </c>
      <c r="G802" s="1279" t="s">
        <v>848</v>
      </c>
      <c r="H802" s="136">
        <f>VLOOKUP(G802,'CP FACTORS'!$A$3:$B$38, 2, FALSE)</f>
        <v>9.4741810000000004E-4</v>
      </c>
      <c r="I802" s="2732">
        <f t="shared" si="89"/>
        <v>0.392127</v>
      </c>
      <c r="J802" s="92">
        <f t="shared" si="85"/>
        <v>12</v>
      </c>
      <c r="K802" s="387">
        <f t="shared" si="86"/>
        <v>0</v>
      </c>
      <c r="L802" s="206"/>
      <c r="M802" s="1295"/>
      <c r="N802" s="106"/>
      <c r="O802" s="106"/>
      <c r="P802" s="106"/>
      <c r="Q802" s="106"/>
      <c r="R802" s="1214"/>
      <c r="S802" s="106"/>
      <c r="T802" s="106"/>
      <c r="U802" s="106"/>
      <c r="V802" s="1592" t="s">
        <v>30</v>
      </c>
      <c r="W802" s="2903">
        <v>471.26538461538468</v>
      </c>
      <c r="X802" s="559">
        <v>528.13366090103261</v>
      </c>
      <c r="Y802" s="612">
        <v>374.15</v>
      </c>
      <c r="Z802" s="1789">
        <v>374.15</v>
      </c>
      <c r="AA802" s="1789">
        <v>374.15</v>
      </c>
      <c r="AB802" s="1540">
        <v>386.88</v>
      </c>
      <c r="AC802" s="1591">
        <v>362.75</v>
      </c>
      <c r="AD802" s="2299">
        <v>413.89</v>
      </c>
      <c r="AE802" s="1741"/>
      <c r="AF802" s="2904"/>
      <c r="AG802" s="851"/>
      <c r="AH802" s="344"/>
      <c r="AI802" s="344"/>
      <c r="AJ802" s="156"/>
      <c r="AK802" s="156"/>
      <c r="AL802" s="156"/>
      <c r="AM802" s="156"/>
      <c r="AN802" s="156"/>
      <c r="AO802" s="156"/>
      <c r="AP802" s="156"/>
      <c r="AQ802" s="156"/>
      <c r="AR802" s="156"/>
      <c r="AS802" s="156"/>
      <c r="AT802" s="156"/>
      <c r="AU802" s="156"/>
      <c r="AV802" s="156"/>
      <c r="AW802" s="156"/>
      <c r="AX802" s="156"/>
      <c r="AY802" s="156"/>
      <c r="AZ802" s="156"/>
      <c r="BA802" s="156"/>
      <c r="BB802" s="2905"/>
      <c r="BC802" s="2357" t="str">
        <f t="shared" si="87"/>
        <v>Cooling RES ER2 12 Year EUL</v>
      </c>
      <c r="BD802" s="2829">
        <f>(INDEX('Avoided Cost Benefits'!$E$4:$E$859,MATCH(BC802,'Avoided Cost Benefits'!$A$4:$A$859,0)))*F802</f>
        <v>457.98183996775401</v>
      </c>
      <c r="BE802" s="858">
        <f t="shared" si="88"/>
        <v>0</v>
      </c>
      <c r="BF802" s="156"/>
    </row>
    <row r="803" spans="1:58" x14ac:dyDescent="0.35">
      <c r="A803" s="1663" t="str">
        <f t="shared" si="84"/>
        <v>351400_2021_12_Heating RES ER2</v>
      </c>
      <c r="B803" s="1663"/>
      <c r="C803" s="50" t="s">
        <v>994</v>
      </c>
      <c r="D803" s="1279" t="s">
        <v>318</v>
      </c>
      <c r="E803" s="2349" t="s">
        <v>996</v>
      </c>
      <c r="F803" s="373">
        <f>ROUND((($J$885*$J$912*(1/$J$939-1/$J$993))/1000)*$J$1161*$J$1220,2)</f>
        <v>4719</v>
      </c>
      <c r="G803" s="74" t="s">
        <v>997</v>
      </c>
      <c r="H803" s="136">
        <f>VLOOKUP(G803,'CP FACTORS'!$A$3:$B$38, 2, FALSE)</f>
        <v>0</v>
      </c>
      <c r="I803" s="2732">
        <f t="shared" si="89"/>
        <v>0</v>
      </c>
      <c r="J803" s="92">
        <f t="shared" si="85"/>
        <v>12</v>
      </c>
      <c r="K803" s="387">
        <f t="shared" si="86"/>
        <v>0</v>
      </c>
      <c r="L803" s="206"/>
      <c r="M803" s="1295"/>
      <c r="N803" s="106"/>
      <c r="O803" s="106"/>
      <c r="P803" s="106"/>
      <c r="Q803" s="106"/>
      <c r="R803" s="1214"/>
      <c r="S803" s="106"/>
      <c r="T803" s="106"/>
      <c r="U803" s="106"/>
      <c r="V803" s="1592" t="s">
        <v>30</v>
      </c>
      <c r="W803" s="2903">
        <v>1115.8974358974356</v>
      </c>
      <c r="X803" s="559">
        <v>5517.9756069759478</v>
      </c>
      <c r="Y803" s="612">
        <v>3822.23</v>
      </c>
      <c r="Z803" s="1789">
        <v>3822.23</v>
      </c>
      <c r="AA803" s="1789">
        <v>3822.23</v>
      </c>
      <c r="AB803" s="1540">
        <v>3646.53</v>
      </c>
      <c r="AC803" s="1591">
        <v>3895.33</v>
      </c>
      <c r="AD803" s="2299">
        <v>4719</v>
      </c>
      <c r="AE803" s="1741"/>
      <c r="AF803" s="2904"/>
      <c r="AG803" s="851"/>
      <c r="AH803" s="344"/>
      <c r="AI803" s="344"/>
      <c r="AJ803" s="156"/>
      <c r="AK803" s="156"/>
      <c r="AL803" s="156"/>
      <c r="AM803" s="156"/>
      <c r="AN803" s="156"/>
      <c r="AO803" s="156"/>
      <c r="AP803" s="156"/>
      <c r="AQ803" s="156"/>
      <c r="AR803" s="156"/>
      <c r="AS803" s="156"/>
      <c r="AT803" s="156"/>
      <c r="AU803" s="156"/>
      <c r="AV803" s="156"/>
      <c r="AW803" s="156"/>
      <c r="AX803" s="156"/>
      <c r="AY803" s="156"/>
      <c r="AZ803" s="156"/>
      <c r="BA803" s="156"/>
      <c r="BB803" s="2905"/>
      <c r="BC803" s="2349" t="str">
        <f t="shared" si="87"/>
        <v>Heating RES ER2 12 Year EUL</v>
      </c>
      <c r="BD803" s="2829">
        <f>(INDEX('Avoided Cost Benefits'!$E$4:$E$859,MATCH(BC803,'Avoided Cost Benefits'!$A$4:$A$859,0)))*F803</f>
        <v>1335.017226638606</v>
      </c>
      <c r="BE803" s="858">
        <f t="shared" si="88"/>
        <v>0</v>
      </c>
      <c r="BF803" s="156"/>
    </row>
    <row r="804" spans="1:58" x14ac:dyDescent="0.35">
      <c r="A804" s="1663" t="str">
        <f t="shared" ref="A804:A807" si="90">C804&amp;G804</f>
        <v>351401_2022_12_Cooling RES</v>
      </c>
      <c r="B804" s="1663"/>
      <c r="C804" s="1599" t="s">
        <v>4377</v>
      </c>
      <c r="D804" s="2141" t="s">
        <v>318</v>
      </c>
      <c r="E804" s="2738" t="s">
        <v>4362</v>
      </c>
      <c r="F804" s="373">
        <f>ROUND((($J$1022*$J$1049*(1/$J$1103-1/$J$1130))/1000)*$J$1162*$J$1220,2)</f>
        <v>1085.77</v>
      </c>
      <c r="G804" s="619" t="s">
        <v>257</v>
      </c>
      <c r="H804" s="2720">
        <f>VLOOKUP(G804,'CP FACTORS'!$A$3:$B$38, 2, FALSE)</f>
        <v>9.4741810000000004E-4</v>
      </c>
      <c r="I804" s="2732">
        <f t="shared" ref="I804:I807" si="91">ROUND(F804*H804,6)</f>
        <v>1.028678</v>
      </c>
      <c r="J804" s="100">
        <f t="shared" ref="J804:J813" si="92">J1232</f>
        <v>6</v>
      </c>
      <c r="K804" s="475">
        <f t="shared" si="86"/>
        <v>2768.8371103720847</v>
      </c>
      <c r="L804" s="207">
        <f>K1022</f>
        <v>1.740909090909091</v>
      </c>
      <c r="M804" s="1499"/>
      <c r="N804" s="106"/>
      <c r="O804" s="106"/>
      <c r="P804" s="84"/>
      <c r="Q804" s="84"/>
      <c r="R804" s="2739"/>
      <c r="S804" s="84"/>
      <c r="T804" s="84"/>
      <c r="U804" s="84"/>
      <c r="V804" s="1589" t="s">
        <v>30</v>
      </c>
      <c r="W804" s="2740"/>
      <c r="X804" s="559"/>
      <c r="Y804" s="612"/>
      <c r="Z804" s="612"/>
      <c r="AA804" s="612"/>
      <c r="AB804" s="1540"/>
      <c r="AC804" s="1591"/>
      <c r="AD804" s="2299">
        <v>1085.77</v>
      </c>
      <c r="AE804" s="373"/>
      <c r="AF804" s="2904"/>
      <c r="AG804" s="1589"/>
      <c r="AH804" s="1779"/>
      <c r="AI804" s="1779"/>
      <c r="AJ804" s="84"/>
      <c r="AK804" s="84"/>
      <c r="AL804" s="84"/>
      <c r="AM804" s="84"/>
      <c r="AN804" s="84"/>
      <c r="AO804" s="84"/>
      <c r="AP804" s="84"/>
      <c r="AQ804" s="84"/>
      <c r="AR804" s="84"/>
      <c r="AS804" s="84"/>
      <c r="AT804" s="84"/>
      <c r="AU804" s="84"/>
      <c r="AV804" s="84"/>
      <c r="AW804" s="84"/>
      <c r="AX804" s="84"/>
      <c r="AY804" s="84"/>
      <c r="AZ804" s="84"/>
      <c r="BA804" s="84"/>
      <c r="BB804" s="2741">
        <f>(BD804+BD805+BD806+BD807)/(BE804+BE805+BE806+BE807)</f>
        <v>0.43849530890339194</v>
      </c>
      <c r="BC804" s="2738" t="str">
        <f t="shared" ref="BC804:BC807" si="93">CONCATENATE(G804," ",J804," Year EUL")</f>
        <v>Cooling RES 6 Year EUL</v>
      </c>
      <c r="BD804" s="1841">
        <f>(INDEX('Avoided Cost Benefits'!$E$4:$E$859,MATCH(BC804,'Avoided Cost Benefits'!$A$4:$A$859,0)))*F804</f>
        <v>687.95688963657085</v>
      </c>
      <c r="BE804" s="2507">
        <f t="shared" ref="BE804:BE807" si="94">K804/(1.0595^(2020-2019))</f>
        <v>2613.3431905352377</v>
      </c>
      <c r="BF804" s="84"/>
    </row>
    <row r="805" spans="1:58" x14ac:dyDescent="0.35">
      <c r="A805" s="1663" t="str">
        <f t="shared" si="90"/>
        <v>351401_2022_12_Heating RES</v>
      </c>
      <c r="B805" s="1663"/>
      <c r="C805" s="1599" t="s">
        <v>4377</v>
      </c>
      <c r="D805" s="2141" t="s">
        <v>318</v>
      </c>
      <c r="E805" s="2742" t="s">
        <v>4362</v>
      </c>
      <c r="F805" s="373">
        <f>0</f>
        <v>0</v>
      </c>
      <c r="G805" s="619" t="s">
        <v>258</v>
      </c>
      <c r="H805" s="2720">
        <f>VLOOKUP(G805,'CP FACTORS'!$A$3:$B$38, 2, FALSE)</f>
        <v>0</v>
      </c>
      <c r="I805" s="2732">
        <f t="shared" si="91"/>
        <v>0</v>
      </c>
      <c r="J805" s="100">
        <f t="shared" si="92"/>
        <v>6</v>
      </c>
      <c r="K805" s="475">
        <f t="shared" si="86"/>
        <v>0</v>
      </c>
      <c r="L805" s="207"/>
      <c r="M805" s="1499"/>
      <c r="N805" s="106"/>
      <c r="O805" s="106"/>
      <c r="P805" s="84"/>
      <c r="Q805" s="84"/>
      <c r="R805" s="2739"/>
      <c r="S805" s="84"/>
      <c r="T805" s="84"/>
      <c r="U805" s="84"/>
      <c r="V805" s="1589" t="s">
        <v>30</v>
      </c>
      <c r="W805" s="2740"/>
      <c r="X805" s="559"/>
      <c r="Y805" s="612"/>
      <c r="Z805" s="612"/>
      <c r="AA805" s="612"/>
      <c r="AB805" s="1540"/>
      <c r="AC805" s="1591"/>
      <c r="AD805" s="2299">
        <v>0</v>
      </c>
      <c r="AE805" s="373"/>
      <c r="AF805" s="2904"/>
      <c r="AG805" s="1589"/>
      <c r="AH805" s="1779"/>
      <c r="AI805" s="1779"/>
      <c r="AJ805" s="84"/>
      <c r="AK805" s="84"/>
      <c r="AL805" s="84"/>
      <c r="AM805" s="84"/>
      <c r="AN805" s="84"/>
      <c r="AO805" s="84"/>
      <c r="AP805" s="84"/>
      <c r="AQ805" s="84"/>
      <c r="AR805" s="84"/>
      <c r="AS805" s="84"/>
      <c r="AT805" s="84"/>
      <c r="AU805" s="84"/>
      <c r="AV805" s="84"/>
      <c r="AW805" s="84"/>
      <c r="AX805" s="84"/>
      <c r="AY805" s="84"/>
      <c r="AZ805" s="84"/>
      <c r="BA805" s="84"/>
      <c r="BB805" s="2743"/>
      <c r="BC805" s="2742" t="str">
        <f t="shared" si="93"/>
        <v>Heating RES 6 Year EUL</v>
      </c>
      <c r="BD805" s="1841">
        <f>(INDEX('Avoided Cost Benefits'!$E$4:$E$859,MATCH(BC805,'Avoided Cost Benefits'!$A$4:$A$859,0)))*F805</f>
        <v>0</v>
      </c>
      <c r="BE805" s="2507">
        <f t="shared" si="94"/>
        <v>0</v>
      </c>
      <c r="BF805" s="84"/>
    </row>
    <row r="806" spans="1:58" x14ac:dyDescent="0.35">
      <c r="A806" s="1663" t="str">
        <f t="shared" si="90"/>
        <v>351401_2022_12_Cooling RES ER2</v>
      </c>
      <c r="B806" s="1663"/>
      <c r="C806" s="1599" t="s">
        <v>4377</v>
      </c>
      <c r="D806" s="2141" t="s">
        <v>318</v>
      </c>
      <c r="E806" s="2742" t="s">
        <v>4363</v>
      </c>
      <c r="F806" s="373">
        <f>ROUND(((J$1022*J$1049*(1/J$1076-1/J$1130))/1000)*J$1164*$J$1220,2)</f>
        <v>413.89</v>
      </c>
      <c r="G806" s="2141" t="s">
        <v>848</v>
      </c>
      <c r="H806" s="2720">
        <f>VLOOKUP(G806,'CP FACTORS'!$A$3:$B$38, 2, FALSE)</f>
        <v>9.4741810000000004E-4</v>
      </c>
      <c r="I806" s="2732">
        <f t="shared" si="91"/>
        <v>0.392127</v>
      </c>
      <c r="J806" s="100">
        <f t="shared" si="92"/>
        <v>12</v>
      </c>
      <c r="K806" s="475">
        <f t="shared" si="86"/>
        <v>0</v>
      </c>
      <c r="L806" s="207"/>
      <c r="M806" s="1499"/>
      <c r="N806" s="106"/>
      <c r="O806" s="106"/>
      <c r="P806" s="84"/>
      <c r="Q806" s="84"/>
      <c r="R806" s="2739"/>
      <c r="S806" s="84"/>
      <c r="T806" s="84"/>
      <c r="U806" s="84"/>
      <c r="V806" s="1589" t="s">
        <v>30</v>
      </c>
      <c r="W806" s="2740"/>
      <c r="X806" s="559"/>
      <c r="Y806" s="612"/>
      <c r="Z806" s="612"/>
      <c r="AA806" s="612"/>
      <c r="AB806" s="1540"/>
      <c r="AC806" s="1591"/>
      <c r="AD806" s="2299">
        <v>413.89</v>
      </c>
      <c r="AE806" s="373"/>
      <c r="AF806" s="2904"/>
      <c r="AG806" s="1589"/>
      <c r="AH806" s="1779"/>
      <c r="AI806" s="1779"/>
      <c r="AJ806" s="84"/>
      <c r="AK806" s="84"/>
      <c r="AL806" s="84"/>
      <c r="AM806" s="84"/>
      <c r="AN806" s="84"/>
      <c r="AO806" s="84"/>
      <c r="AP806" s="84"/>
      <c r="AQ806" s="84"/>
      <c r="AR806" s="84"/>
      <c r="AS806" s="84"/>
      <c r="AT806" s="84"/>
      <c r="AU806" s="84"/>
      <c r="AV806" s="84"/>
      <c r="AW806" s="84"/>
      <c r="AX806" s="84"/>
      <c r="AY806" s="84"/>
      <c r="AZ806" s="84"/>
      <c r="BA806" s="84"/>
      <c r="BB806" s="2743"/>
      <c r="BC806" s="2742" t="str">
        <f t="shared" si="93"/>
        <v>Cooling RES ER2 12 Year EUL</v>
      </c>
      <c r="BD806" s="1841">
        <f>(INDEX('Avoided Cost Benefits'!$E$4:$E$859,MATCH(BC806,'Avoided Cost Benefits'!$A$4:$A$859,0)))*F806</f>
        <v>457.98183996775401</v>
      </c>
      <c r="BE806" s="2507">
        <f t="shared" si="94"/>
        <v>0</v>
      </c>
      <c r="BF806" s="84"/>
    </row>
    <row r="807" spans="1:58" x14ac:dyDescent="0.35">
      <c r="A807" s="1663" t="str">
        <f t="shared" si="90"/>
        <v>351401_2022_12_Heating RES ER2</v>
      </c>
      <c r="B807" s="1663"/>
      <c r="C807" s="1599" t="s">
        <v>4377</v>
      </c>
      <c r="D807" s="2141" t="s">
        <v>318</v>
      </c>
      <c r="E807" s="2744" t="s">
        <v>4363</v>
      </c>
      <c r="F807" s="373">
        <f>0</f>
        <v>0</v>
      </c>
      <c r="G807" s="324" t="s">
        <v>997</v>
      </c>
      <c r="H807" s="2720">
        <f>VLOOKUP(G807,'CP FACTORS'!$A$3:$B$38, 2, FALSE)</f>
        <v>0</v>
      </c>
      <c r="I807" s="2732">
        <f t="shared" si="91"/>
        <v>0</v>
      </c>
      <c r="J807" s="100">
        <f t="shared" si="92"/>
        <v>12</v>
      </c>
      <c r="K807" s="475">
        <f t="shared" si="86"/>
        <v>0</v>
      </c>
      <c r="L807" s="207"/>
      <c r="M807" s="1499"/>
      <c r="N807" s="106"/>
      <c r="O807" s="106"/>
      <c r="P807" s="84"/>
      <c r="Q807" s="84"/>
      <c r="R807" s="2739"/>
      <c r="S807" s="84"/>
      <c r="T807" s="84"/>
      <c r="U807" s="84"/>
      <c r="V807" s="1589" t="s">
        <v>30</v>
      </c>
      <c r="W807" s="2740"/>
      <c r="X807" s="559"/>
      <c r="Y807" s="612"/>
      <c r="Z807" s="612"/>
      <c r="AA807" s="612"/>
      <c r="AB807" s="1540"/>
      <c r="AC807" s="1591"/>
      <c r="AD807" s="2299">
        <v>0</v>
      </c>
      <c r="AE807" s="373"/>
      <c r="AF807" s="2904"/>
      <c r="AG807" s="1589"/>
      <c r="AH807" s="1779"/>
      <c r="AI807" s="1779"/>
      <c r="AJ807" s="84"/>
      <c r="AK807" s="84"/>
      <c r="AL807" s="84"/>
      <c r="AM807" s="84"/>
      <c r="AN807" s="84"/>
      <c r="AO807" s="84"/>
      <c r="AP807" s="84"/>
      <c r="AQ807" s="84"/>
      <c r="AR807" s="84"/>
      <c r="AS807" s="84"/>
      <c r="AT807" s="84"/>
      <c r="AU807" s="84"/>
      <c r="AV807" s="84"/>
      <c r="AW807" s="84"/>
      <c r="AX807" s="84"/>
      <c r="AY807" s="84"/>
      <c r="AZ807" s="84"/>
      <c r="BA807" s="84"/>
      <c r="BB807" s="2743"/>
      <c r="BC807" s="2744" t="str">
        <f t="shared" si="93"/>
        <v>Heating RES ER2 12 Year EUL</v>
      </c>
      <c r="BD807" s="1841">
        <f>(INDEX('Avoided Cost Benefits'!$E$4:$E$859,MATCH(BC807,'Avoided Cost Benefits'!$A$4:$A$859,0)))*F807</f>
        <v>0</v>
      </c>
      <c r="BE807" s="2507">
        <f t="shared" si="94"/>
        <v>0</v>
      </c>
      <c r="BF807" s="84"/>
    </row>
    <row r="808" spans="1:58" x14ac:dyDescent="0.35">
      <c r="A808" s="1663" t="str">
        <f t="shared" si="84"/>
        <v>351450_2021_12_Cooling RES</v>
      </c>
      <c r="B808" s="1663"/>
      <c r="C808" s="50" t="s">
        <v>998</v>
      </c>
      <c r="D808" s="1279" t="s">
        <v>318</v>
      </c>
      <c r="E808" s="2348" t="s">
        <v>999</v>
      </c>
      <c r="F808" s="373">
        <f>ROUND((($J$1021*$J$1048*(1/$J$1075-1/$J$1129))/1000)*$J$1166*$J$1220,2)</f>
        <v>307.27999999999997</v>
      </c>
      <c r="G808" s="287" t="s">
        <v>257</v>
      </c>
      <c r="H808" s="136">
        <f>VLOOKUP(G808,'CP FACTORS'!$A$3:$B$38, 2, FALSE)</f>
        <v>9.4741810000000004E-4</v>
      </c>
      <c r="I808" s="2732">
        <f t="shared" si="89"/>
        <v>0.29112300000000002</v>
      </c>
      <c r="J808" s="92">
        <f t="shared" si="92"/>
        <v>18</v>
      </c>
      <c r="K808" s="387">
        <f t="shared" si="86"/>
        <v>364.64165582663026</v>
      </c>
      <c r="L808" s="206">
        <f>K1021</f>
        <v>1.5323741007194249</v>
      </c>
      <c r="M808" s="1295"/>
      <c r="N808" s="106"/>
      <c r="O808" s="106"/>
      <c r="P808" s="106"/>
      <c r="Q808" s="106"/>
      <c r="R808" s="1214"/>
      <c r="S808" s="106"/>
      <c r="T808" s="106"/>
      <c r="U808" s="106"/>
      <c r="V808" s="1592" t="s">
        <v>30</v>
      </c>
      <c r="W808" s="2903">
        <v>447.12649572649582</v>
      </c>
      <c r="X808" s="559">
        <v>528.13366090103261</v>
      </c>
      <c r="Y808" s="612">
        <v>335.42</v>
      </c>
      <c r="Z808" s="1789">
        <v>335.42</v>
      </c>
      <c r="AA808" s="1789">
        <v>335.42</v>
      </c>
      <c r="AB808" s="1540">
        <v>345.19</v>
      </c>
      <c r="AC808" s="1591">
        <v>346.51</v>
      </c>
      <c r="AD808" s="2299">
        <v>307.27999999999997</v>
      </c>
      <c r="AE808" s="1741"/>
      <c r="AF808" s="2904"/>
      <c r="AG808" s="851"/>
      <c r="AH808" s="344"/>
      <c r="AI808" s="344"/>
      <c r="AJ808" s="156"/>
      <c r="AK808" s="156"/>
      <c r="AL808" s="156"/>
      <c r="AM808" s="156"/>
      <c r="AN808" s="156"/>
      <c r="AO808" s="156"/>
      <c r="AP808" s="156"/>
      <c r="AQ808" s="156"/>
      <c r="AR808" s="156"/>
      <c r="AS808" s="156"/>
      <c r="AT808" s="156"/>
      <c r="AU808" s="156"/>
      <c r="AV808" s="156"/>
      <c r="AW808" s="156"/>
      <c r="AX808" s="156"/>
      <c r="AY808" s="156"/>
      <c r="AZ808" s="156"/>
      <c r="BA808" s="156"/>
      <c r="BB808" s="2833">
        <f>(BD808+BD809)/(BE808+BE809)</f>
        <v>6.9312315540018927</v>
      </c>
      <c r="BC808" s="2348" t="str">
        <f t="shared" si="87"/>
        <v>Cooling RES 18 Year EUL</v>
      </c>
      <c r="BD808" s="2829">
        <f>(INDEX('Avoided Cost Benefits'!$E$4:$E$859,MATCH(BC808,'Avoided Cost Benefits'!$A$4:$A$859,0)))*F808</f>
        <v>534.71093312882829</v>
      </c>
      <c r="BE808" s="858">
        <f t="shared" si="88"/>
        <v>344.16390356454008</v>
      </c>
      <c r="BF808" s="156"/>
    </row>
    <row r="809" spans="1:58" x14ac:dyDescent="0.35">
      <c r="A809" s="1663" t="str">
        <f t="shared" si="84"/>
        <v>351450_2021_12_Heating RES</v>
      </c>
      <c r="B809" s="1663"/>
      <c r="C809" s="50" t="s">
        <v>998</v>
      </c>
      <c r="D809" s="1279" t="s">
        <v>318</v>
      </c>
      <c r="E809" s="2349" t="s">
        <v>999</v>
      </c>
      <c r="F809" s="373">
        <f xml:space="preserve"> ROUND((($J$886*$J$913*(1/$J$940-1/$J$994))/1000)*$J$1167*$J$1220,2)</f>
        <v>4151.16</v>
      </c>
      <c r="G809" s="287" t="s">
        <v>258</v>
      </c>
      <c r="H809" s="136">
        <f>VLOOKUP(G809,'CP FACTORS'!$A$3:$B$38, 2, FALSE)</f>
        <v>0</v>
      </c>
      <c r="I809" s="2732">
        <f t="shared" si="89"/>
        <v>0</v>
      </c>
      <c r="J809" s="92">
        <f t="shared" si="92"/>
        <v>18</v>
      </c>
      <c r="K809" s="387">
        <f t="shared" si="86"/>
        <v>0</v>
      </c>
      <c r="L809" s="826"/>
      <c r="M809" s="1295"/>
      <c r="N809" s="106"/>
      <c r="O809" s="106"/>
      <c r="P809" s="106"/>
      <c r="Q809" s="106"/>
      <c r="R809" s="1214"/>
      <c r="S809" s="106"/>
      <c r="T809" s="106"/>
      <c r="U809" s="106"/>
      <c r="V809" s="1592" t="s">
        <v>30</v>
      </c>
      <c r="W809" s="2903">
        <v>1070.7301587301586</v>
      </c>
      <c r="X809" s="559">
        <v>5517.9756069759478</v>
      </c>
      <c r="Y809" s="612">
        <v>4077.05</v>
      </c>
      <c r="Z809" s="1789">
        <v>4077.05</v>
      </c>
      <c r="AA809" s="1789">
        <v>4077.05</v>
      </c>
      <c r="AB809" s="1540">
        <v>4050.16</v>
      </c>
      <c r="AC809" s="1591">
        <v>4359.3599999999997</v>
      </c>
      <c r="AD809" s="2299">
        <v>4151.16</v>
      </c>
      <c r="AE809" s="1741"/>
      <c r="AF809" s="2904"/>
      <c r="AG809" s="851"/>
      <c r="AH809" s="344"/>
      <c r="AI809" s="344"/>
      <c r="AJ809" s="156"/>
      <c r="AK809" s="156"/>
      <c r="AL809" s="156"/>
      <c r="AM809" s="156"/>
      <c r="AN809" s="156"/>
      <c r="AO809" s="156"/>
      <c r="AP809" s="156"/>
      <c r="AQ809" s="156"/>
      <c r="AR809" s="156"/>
      <c r="AS809" s="156"/>
      <c r="AT809" s="156"/>
      <c r="AU809" s="156"/>
      <c r="AV809" s="156"/>
      <c r="AW809" s="156"/>
      <c r="AX809" s="156"/>
      <c r="AY809" s="156"/>
      <c r="AZ809" s="156"/>
      <c r="BA809" s="156"/>
      <c r="BB809" s="2835"/>
      <c r="BC809" s="2349" t="str">
        <f t="shared" si="87"/>
        <v>Heating RES 18 Year EUL</v>
      </c>
      <c r="BD809" s="2829">
        <f>(INDEX('Avoided Cost Benefits'!$E$4:$E$859,MATCH(BC809,'Avoided Cost Benefits'!$A$4:$A$859,0)))*F809</f>
        <v>1850.7687750061764</v>
      </c>
      <c r="BE809" s="858">
        <f t="shared" si="88"/>
        <v>0</v>
      </c>
      <c r="BF809" s="156"/>
    </row>
    <row r="810" spans="1:58" x14ac:dyDescent="0.35">
      <c r="A810" s="1663" t="str">
        <f t="shared" ref="A810:A811" si="95">C810&amp;G810</f>
        <v>351451_2022_12_Cooling RES</v>
      </c>
      <c r="B810" s="1663"/>
      <c r="C810" s="1599" t="s">
        <v>4376</v>
      </c>
      <c r="D810" s="2141" t="s">
        <v>318</v>
      </c>
      <c r="E810" s="2738" t="s">
        <v>4364</v>
      </c>
      <c r="F810" s="373">
        <f>ROUND((($J$1023*$J$1050*(1/$J$1077-1/$J$1131))/1000)*$J$1168*$J$1220,2)</f>
        <v>307.27999999999997</v>
      </c>
      <c r="G810" s="619" t="s">
        <v>257</v>
      </c>
      <c r="H810" s="2720">
        <f>VLOOKUP(G810,'CP FACTORS'!$A$3:$B$38, 2, FALSE)</f>
        <v>9.4741810000000004E-4</v>
      </c>
      <c r="I810" s="2732">
        <f t="shared" ref="I810:I811" si="96">ROUND(F810*H810,6)</f>
        <v>0.29112300000000002</v>
      </c>
      <c r="J810" s="100">
        <f t="shared" si="92"/>
        <v>18</v>
      </c>
      <c r="K810" s="567">
        <f t="shared" ref="K810:K811" si="97">J1284</f>
        <v>364.64165582663026</v>
      </c>
      <c r="L810" s="2619">
        <f>K1023</f>
        <v>1.5323741007194249</v>
      </c>
      <c r="M810" s="1499"/>
      <c r="N810" s="106"/>
      <c r="O810" s="106"/>
      <c r="P810" s="84"/>
      <c r="Q810" s="84"/>
      <c r="R810" s="2739"/>
      <c r="S810" s="84"/>
      <c r="T810" s="84"/>
      <c r="U810" s="84"/>
      <c r="V810" s="1589" t="s">
        <v>30</v>
      </c>
      <c r="W810" s="2740"/>
      <c r="X810" s="559"/>
      <c r="Y810" s="612"/>
      <c r="Z810" s="612"/>
      <c r="AA810" s="612"/>
      <c r="AB810" s="1540"/>
      <c r="AC810" s="1591"/>
      <c r="AD810" s="2299">
        <v>307.27999999999997</v>
      </c>
      <c r="AE810" s="373"/>
      <c r="AF810" s="2904"/>
      <c r="AG810" s="1589"/>
      <c r="AH810" s="1779"/>
      <c r="AI810" s="1779"/>
      <c r="AJ810" s="84"/>
      <c r="AK810" s="84"/>
      <c r="AL810" s="84"/>
      <c r="AM810" s="84"/>
      <c r="AN810" s="84"/>
      <c r="AO810" s="84"/>
      <c r="AP810" s="84"/>
      <c r="AQ810" s="84"/>
      <c r="AR810" s="84"/>
      <c r="AS810" s="84"/>
      <c r="AT810" s="84"/>
      <c r="AU810" s="84"/>
      <c r="AV810" s="84"/>
      <c r="AW810" s="84"/>
      <c r="AX810" s="84"/>
      <c r="AY810" s="84"/>
      <c r="AZ810" s="84"/>
      <c r="BA810" s="84"/>
      <c r="BB810" s="2741">
        <f>(BD810+BD811)/(BE810+BE811)</f>
        <v>1.5536519884589102</v>
      </c>
      <c r="BC810" s="2738" t="str">
        <f t="shared" ref="BC810:BC811" si="98">CONCATENATE(G810," ",J810," Year EUL")</f>
        <v>Cooling RES 18 Year EUL</v>
      </c>
      <c r="BD810" s="1841">
        <f>(INDEX('Avoided Cost Benefits'!$E$4:$E$859,MATCH(BC810,'Avoided Cost Benefits'!$A$4:$A$859,0)))*F810</f>
        <v>534.71093312882829</v>
      </c>
      <c r="BE810" s="2507">
        <f t="shared" ref="BE810:BE811" si="99">K810/(1.0595^(2020-2019))</f>
        <v>344.16390356454008</v>
      </c>
      <c r="BF810" s="84"/>
    </row>
    <row r="811" spans="1:58" x14ac:dyDescent="0.35">
      <c r="A811" s="1663" t="str">
        <f t="shared" si="95"/>
        <v>351451_2022_12_Heating RES</v>
      </c>
      <c r="B811" s="1663"/>
      <c r="C811" s="1599" t="s">
        <v>4376</v>
      </c>
      <c r="D811" s="2141" t="s">
        <v>318</v>
      </c>
      <c r="E811" s="2744" t="s">
        <v>4364</v>
      </c>
      <c r="F811" s="373">
        <f>0</f>
        <v>0</v>
      </c>
      <c r="G811" s="619" t="s">
        <v>258</v>
      </c>
      <c r="H811" s="2720">
        <f>VLOOKUP(G811,'CP FACTORS'!$A$3:$B$38, 2, FALSE)</f>
        <v>0</v>
      </c>
      <c r="I811" s="2732">
        <f t="shared" si="96"/>
        <v>0</v>
      </c>
      <c r="J811" s="100">
        <f t="shared" si="92"/>
        <v>18</v>
      </c>
      <c r="K811" s="567">
        <f t="shared" si="97"/>
        <v>0</v>
      </c>
      <c r="L811" s="2619"/>
      <c r="M811" s="1499"/>
      <c r="N811" s="106"/>
      <c r="O811" s="106"/>
      <c r="P811" s="84"/>
      <c r="Q811" s="84"/>
      <c r="R811" s="2739"/>
      <c r="S811" s="84"/>
      <c r="T811" s="84"/>
      <c r="U811" s="84"/>
      <c r="V811" s="1589" t="s">
        <v>30</v>
      </c>
      <c r="W811" s="2740"/>
      <c r="X811" s="559"/>
      <c r="Y811" s="612"/>
      <c r="Z811" s="612"/>
      <c r="AA811" s="612"/>
      <c r="AB811" s="1540"/>
      <c r="AC811" s="1591"/>
      <c r="AD811" s="2299">
        <v>0</v>
      </c>
      <c r="AE811" s="373"/>
      <c r="AF811" s="2904"/>
      <c r="AG811" s="1589"/>
      <c r="AH811" s="1779"/>
      <c r="AI811" s="1779"/>
      <c r="AJ811" s="84"/>
      <c r="AK811" s="84"/>
      <c r="AL811" s="84"/>
      <c r="AM811" s="84"/>
      <c r="AN811" s="84"/>
      <c r="AO811" s="84"/>
      <c r="AP811" s="84"/>
      <c r="AQ811" s="84"/>
      <c r="AR811" s="84"/>
      <c r="AS811" s="84"/>
      <c r="AT811" s="84"/>
      <c r="AU811" s="84"/>
      <c r="AV811" s="84"/>
      <c r="AW811" s="84"/>
      <c r="AX811" s="84"/>
      <c r="AY811" s="84"/>
      <c r="AZ811" s="84"/>
      <c r="BA811" s="84"/>
      <c r="BB811" s="2745"/>
      <c r="BC811" s="2744" t="str">
        <f t="shared" si="98"/>
        <v>Heating RES 18 Year EUL</v>
      </c>
      <c r="BD811" s="1841">
        <f>(INDEX('Avoided Cost Benefits'!$E$4:$E$859,MATCH(BC811,'Avoided Cost Benefits'!$A$4:$A$859,0)))*F811</f>
        <v>0</v>
      </c>
      <c r="BE811" s="2507">
        <f t="shared" si="99"/>
        <v>0</v>
      </c>
      <c r="BF811" s="84"/>
    </row>
    <row r="812" spans="1:58" x14ac:dyDescent="0.35">
      <c r="A812" s="1663" t="str">
        <f t="shared" si="84"/>
        <v>351500_2021_12_Cooling RES</v>
      </c>
      <c r="B812" s="1663"/>
      <c r="C812" s="50" t="s">
        <v>1000</v>
      </c>
      <c r="D812" s="1279" t="s">
        <v>318</v>
      </c>
      <c r="E812" s="2348" t="s">
        <v>1001</v>
      </c>
      <c r="F812" s="373">
        <f>ROUND((($J$1024*$J$1051*(1/$J$1105-1/$J$1132))/1000)*$J$1170*$J$1220,2)</f>
        <v>1085.77</v>
      </c>
      <c r="G812" s="287" t="s">
        <v>257</v>
      </c>
      <c r="H812" s="136">
        <f>VLOOKUP(G812,'CP FACTORS'!$A$3:$B$38, 2, FALSE)</f>
        <v>9.4741810000000004E-4</v>
      </c>
      <c r="I812" s="2732">
        <f t="shared" si="89"/>
        <v>1.028678</v>
      </c>
      <c r="J812" s="92">
        <f t="shared" si="92"/>
        <v>6</v>
      </c>
      <c r="K812" s="387">
        <f t="shared" ref="K812:K817" si="100">J1286</f>
        <v>789.39384082840229</v>
      </c>
      <c r="L812" s="206">
        <f>K1024</f>
        <v>1.740909090909091</v>
      </c>
      <c r="M812" s="1295"/>
      <c r="N812" s="106"/>
      <c r="O812" s="106"/>
      <c r="P812" s="106"/>
      <c r="Q812" s="106"/>
      <c r="R812" s="1214"/>
      <c r="S812" s="106"/>
      <c r="T812" s="106"/>
      <c r="U812" s="106"/>
      <c r="V812" s="1592" t="s">
        <v>30</v>
      </c>
      <c r="W812" s="2903">
        <v>1625.9591194968555</v>
      </c>
      <c r="X812" s="559">
        <v>1497.4028916702637</v>
      </c>
      <c r="Y812" s="612">
        <v>1164.32</v>
      </c>
      <c r="Z812" s="1789">
        <v>1164.32</v>
      </c>
      <c r="AA812" s="1789">
        <v>1164.32</v>
      </c>
      <c r="AB812" s="1540">
        <v>779.12</v>
      </c>
      <c r="AC812" s="1591">
        <v>843.09</v>
      </c>
      <c r="AD812" s="2299">
        <v>1085.77</v>
      </c>
      <c r="AE812" s="1741"/>
      <c r="AF812" s="2904"/>
      <c r="AG812" s="851"/>
      <c r="AH812" s="344"/>
      <c r="AI812" s="344"/>
      <c r="AJ812" s="156"/>
      <c r="AK812" s="156"/>
      <c r="AL812" s="156"/>
      <c r="AM812" s="156"/>
      <c r="AN812" s="156"/>
      <c r="AO812" s="156"/>
      <c r="AP812" s="156"/>
      <c r="AQ812" s="156"/>
      <c r="AR812" s="156"/>
      <c r="AS812" s="156"/>
      <c r="AT812" s="156"/>
      <c r="AU812" s="156"/>
      <c r="AV812" s="156"/>
      <c r="AW812" s="156"/>
      <c r="AX812" s="156"/>
      <c r="AY812" s="156"/>
      <c r="AZ812" s="156"/>
      <c r="BA812" s="156"/>
      <c r="BB812" s="2833">
        <f>(BD812+BD813+BD814+BD815)/(BE812+BE813+BE814+BE815)</f>
        <v>2.5587357354086744</v>
      </c>
      <c r="BC812" s="2348" t="str">
        <f t="shared" si="87"/>
        <v>Cooling RES 6 Year EUL</v>
      </c>
      <c r="BD812" s="2829">
        <f>(INDEX('Avoided Cost Benefits'!$E$4:$E$859,MATCH(BC812,'Avoided Cost Benefits'!$A$4:$A$859,0)))*F812</f>
        <v>687.95688963657085</v>
      </c>
      <c r="BE812" s="858">
        <f t="shared" si="88"/>
        <v>745.06261522265424</v>
      </c>
      <c r="BF812" s="156"/>
    </row>
    <row r="813" spans="1:58" x14ac:dyDescent="0.35">
      <c r="A813" s="1663" t="str">
        <f t="shared" si="84"/>
        <v>351500_2021_12_Heating RES</v>
      </c>
      <c r="B813" s="1663"/>
      <c r="C813" s="50" t="s">
        <v>1000</v>
      </c>
      <c r="D813" s="1279" t="s">
        <v>318</v>
      </c>
      <c r="E813" s="2357" t="s">
        <v>1001</v>
      </c>
      <c r="F813" s="373">
        <f xml:space="preserve"> ROUND((($J$889*$J$916*(1/$J$970-1/$J$997))/1000)*$J$1171*$J$1220,2)</f>
        <v>2176.0500000000002</v>
      </c>
      <c r="G813" s="287" t="s">
        <v>258</v>
      </c>
      <c r="H813" s="136">
        <f>VLOOKUP(G813,'CP FACTORS'!$A$3:$B$38, 2, FALSE)</f>
        <v>0</v>
      </c>
      <c r="I813" s="2732">
        <f t="shared" si="89"/>
        <v>0</v>
      </c>
      <c r="J813" s="92">
        <f t="shared" si="92"/>
        <v>6</v>
      </c>
      <c r="K813" s="387">
        <f t="shared" si="100"/>
        <v>0</v>
      </c>
      <c r="L813" s="206"/>
      <c r="M813" s="1295"/>
      <c r="N813" s="106"/>
      <c r="O813" s="106"/>
      <c r="P813" s="106"/>
      <c r="Q813" s="106"/>
      <c r="R813" s="1214"/>
      <c r="S813" s="106"/>
      <c r="T813" s="106"/>
      <c r="U813" s="106"/>
      <c r="V813" s="1592" t="s">
        <v>30</v>
      </c>
      <c r="W813" s="2903">
        <v>2932.947368421052</v>
      </c>
      <c r="X813" s="559">
        <v>2571.2014134275614</v>
      </c>
      <c r="Y813" s="612">
        <v>1944.18</v>
      </c>
      <c r="Z813" s="1789">
        <v>1944.18</v>
      </c>
      <c r="AA813" s="1789">
        <v>1944.18</v>
      </c>
      <c r="AB813" s="1540">
        <v>1021.3</v>
      </c>
      <c r="AC813" s="1591">
        <v>1692.45</v>
      </c>
      <c r="AD813" s="2299">
        <v>2176.0500000000002</v>
      </c>
      <c r="AE813" s="1741"/>
      <c r="AF813" s="2904"/>
      <c r="AG813" s="851"/>
      <c r="AH813" s="344"/>
      <c r="AI813" s="344"/>
      <c r="AJ813" s="156"/>
      <c r="AK813" s="156"/>
      <c r="AL813" s="156"/>
      <c r="AM813" s="156"/>
      <c r="AN813" s="156"/>
      <c r="AO813" s="156"/>
      <c r="AP813" s="156"/>
      <c r="AQ813" s="156"/>
      <c r="AR813" s="156"/>
      <c r="AS813" s="156"/>
      <c r="AT813" s="156"/>
      <c r="AU813" s="156"/>
      <c r="AV813" s="156"/>
      <c r="AW813" s="156"/>
      <c r="AX813" s="156"/>
      <c r="AY813" s="156"/>
      <c r="AZ813" s="156"/>
      <c r="BA813" s="156"/>
      <c r="BB813" s="2905"/>
      <c r="BC813" s="2357" t="str">
        <f t="shared" si="87"/>
        <v>Heating RES 6 Year EUL</v>
      </c>
      <c r="BD813" s="2829">
        <f>(INDEX('Avoided Cost Benefits'!$E$4:$E$859,MATCH(BC813,'Avoided Cost Benefits'!$A$4:$A$859,0)))*F813</f>
        <v>354.56817298346647</v>
      </c>
      <c r="BE813" s="858">
        <f t="shared" si="88"/>
        <v>0</v>
      </c>
      <c r="BF813" s="156"/>
    </row>
    <row r="814" spans="1:58" x14ac:dyDescent="0.35">
      <c r="A814" s="1663" t="str">
        <f t="shared" si="84"/>
        <v>351500_2021_12_Cooling RES ER2</v>
      </c>
      <c r="B814" s="1663"/>
      <c r="C814" s="50" t="s">
        <v>1000</v>
      </c>
      <c r="D814" s="1279" t="s">
        <v>318</v>
      </c>
      <c r="E814" s="2357" t="s">
        <v>1002</v>
      </c>
      <c r="F814" s="373">
        <f>ROUND((($J$1024*$J$1051*(1/$J$1078-1/$J$1132))/1000)*$J$1172*$J$1220,2)</f>
        <v>413.89</v>
      </c>
      <c r="G814" s="1279" t="s">
        <v>848</v>
      </c>
      <c r="H814" s="136">
        <f>VLOOKUP(G814,'CP FACTORS'!$A$3:$B$38, 2, FALSE)</f>
        <v>9.4741810000000004E-4</v>
      </c>
      <c r="I814" s="2732">
        <f t="shared" si="89"/>
        <v>0.392127</v>
      </c>
      <c r="J814" s="92">
        <f t="shared" ref="J814:J817" si="101">J1242</f>
        <v>12</v>
      </c>
      <c r="K814" s="387">
        <f t="shared" si="100"/>
        <v>0</v>
      </c>
      <c r="L814" s="206"/>
      <c r="M814" s="1295"/>
      <c r="N814" s="106"/>
      <c r="O814" s="106"/>
      <c r="P814" s="106"/>
      <c r="Q814" s="106"/>
      <c r="R814" s="1214"/>
      <c r="S814" s="106"/>
      <c r="T814" s="106"/>
      <c r="U814" s="106"/>
      <c r="V814" s="1592" t="s">
        <v>30</v>
      </c>
      <c r="W814" s="2903">
        <v>527.45399129172722</v>
      </c>
      <c r="X814" s="559">
        <v>528.13366090103261</v>
      </c>
      <c r="Y814" s="612">
        <v>456.05</v>
      </c>
      <c r="Z814" s="1789">
        <v>456.05</v>
      </c>
      <c r="AA814" s="1789">
        <v>456.05</v>
      </c>
      <c r="AB814" s="1540">
        <v>312.22000000000003</v>
      </c>
      <c r="AC814" s="1591">
        <v>352.11</v>
      </c>
      <c r="AD814" s="2299">
        <v>413.89</v>
      </c>
      <c r="AE814" s="1741"/>
      <c r="AF814" s="2904"/>
      <c r="AG814" s="851"/>
      <c r="AH814" s="344"/>
      <c r="AI814" s="344"/>
      <c r="AJ814" s="156"/>
      <c r="AK814" s="156"/>
      <c r="AL814" s="156"/>
      <c r="AM814" s="156"/>
      <c r="AN814" s="156"/>
      <c r="AO814" s="156"/>
      <c r="AP814" s="156"/>
      <c r="AQ814" s="156"/>
      <c r="AR814" s="156"/>
      <c r="AS814" s="156"/>
      <c r="AT814" s="156"/>
      <c r="AU814" s="156"/>
      <c r="AV814" s="156"/>
      <c r="AW814" s="156"/>
      <c r="AX814" s="156"/>
      <c r="AY814" s="156"/>
      <c r="AZ814" s="156"/>
      <c r="BA814" s="156"/>
      <c r="BB814" s="2905"/>
      <c r="BC814" s="2357" t="str">
        <f t="shared" si="87"/>
        <v>Cooling RES ER2 12 Year EUL</v>
      </c>
      <c r="BD814" s="2829">
        <f>(INDEX('Avoided Cost Benefits'!$E$4:$E$859,MATCH(BC814,'Avoided Cost Benefits'!$A$4:$A$859,0)))*F814</f>
        <v>457.98183996775401</v>
      </c>
      <c r="BE814" s="858">
        <f t="shared" si="88"/>
        <v>0</v>
      </c>
      <c r="BF814" s="156"/>
    </row>
    <row r="815" spans="1:58" x14ac:dyDescent="0.35">
      <c r="A815" s="1663" t="str">
        <f t="shared" si="84"/>
        <v>351500_2021_12_Heating RES ER2</v>
      </c>
      <c r="B815" s="1663"/>
      <c r="C815" s="2669" t="s">
        <v>1000</v>
      </c>
      <c r="D815" s="1297" t="s">
        <v>318</v>
      </c>
      <c r="E815" s="2357" t="s">
        <v>1002</v>
      </c>
      <c r="F815" s="373">
        <f>ROUND((($J$889*$J$916*(1/$J$943-1/$J$997))/1000)*$J$1173*$J$1220,2)</f>
        <v>1434.81</v>
      </c>
      <c r="G815" s="3079" t="s">
        <v>997</v>
      </c>
      <c r="H815" s="3080">
        <f>VLOOKUP(G815,'CP FACTORS'!$A$3:$B$38, 2, FALSE)</f>
        <v>0</v>
      </c>
      <c r="I815" s="2793">
        <f t="shared" si="89"/>
        <v>0</v>
      </c>
      <c r="J815" s="613">
        <f t="shared" si="101"/>
        <v>12</v>
      </c>
      <c r="K815" s="614">
        <f t="shared" si="100"/>
        <v>0</v>
      </c>
      <c r="L815" s="1298"/>
      <c r="M815" s="1295"/>
      <c r="N815" s="106"/>
      <c r="O815" s="106"/>
      <c r="P815" s="106"/>
      <c r="Q815" s="106"/>
      <c r="R815" s="1214"/>
      <c r="S815" s="106"/>
      <c r="T815" s="106"/>
      <c r="U815" s="106"/>
      <c r="V815" s="1592" t="s">
        <v>30</v>
      </c>
      <c r="W815" s="2903">
        <v>1286.375939849624</v>
      </c>
      <c r="X815" s="559">
        <v>1713.6026292330328</v>
      </c>
      <c r="Y815" s="612">
        <v>1351.43</v>
      </c>
      <c r="Z815" s="1789">
        <v>1351.43</v>
      </c>
      <c r="AA815" s="1789">
        <v>1351.43</v>
      </c>
      <c r="AB815" s="1540">
        <v>515</v>
      </c>
      <c r="AC815" s="1591">
        <v>1108.68</v>
      </c>
      <c r="AD815" s="2299">
        <v>1434.81</v>
      </c>
      <c r="AE815" s="1741"/>
      <c r="AF815" s="2904"/>
      <c r="AG815" s="851"/>
      <c r="AH815" s="344"/>
      <c r="AI815" s="344"/>
      <c r="AJ815" s="156"/>
      <c r="AK815" s="156"/>
      <c r="AL815" s="156"/>
      <c r="AM815" s="156"/>
      <c r="AN815" s="156"/>
      <c r="AO815" s="156"/>
      <c r="AP815" s="156"/>
      <c r="AQ815" s="156"/>
      <c r="AR815" s="156"/>
      <c r="AS815" s="156"/>
      <c r="AT815" s="156"/>
      <c r="AU815" s="156"/>
      <c r="AV815" s="156"/>
      <c r="AW815" s="156"/>
      <c r="AX815" s="156"/>
      <c r="AY815" s="156"/>
      <c r="AZ815" s="156"/>
      <c r="BA815" s="156"/>
      <c r="BB815" s="2905"/>
      <c r="BC815" s="2349" t="str">
        <f t="shared" si="87"/>
        <v>Heating RES ER2 12 Year EUL</v>
      </c>
      <c r="BD815" s="2829">
        <f>(INDEX('Avoided Cost Benefits'!$E$4:$E$859,MATCH(BC815,'Avoided Cost Benefits'!$A$4:$A$859,0)))*F815</f>
        <v>405.91143609945715</v>
      </c>
      <c r="BE815" s="858">
        <f t="shared" si="88"/>
        <v>0</v>
      </c>
      <c r="BF815" s="156"/>
    </row>
    <row r="816" spans="1:58" x14ac:dyDescent="0.35">
      <c r="A816" s="1663" t="str">
        <f t="shared" si="84"/>
        <v>351550_2021_12_Cooling RES</v>
      </c>
      <c r="B816" s="1663"/>
      <c r="C816" s="50" t="s">
        <v>1003</v>
      </c>
      <c r="D816" s="1279" t="s">
        <v>320</v>
      </c>
      <c r="E816" s="2348" t="s">
        <v>1004</v>
      </c>
      <c r="F816" s="373">
        <f>ROUND((($J$1025*$J$1052*(1/$J$1106-1/$J$1133))/1000)*$J$1174*$J$1220,2)</f>
        <v>1402.57</v>
      </c>
      <c r="G816" s="1279" t="s">
        <v>257</v>
      </c>
      <c r="H816" s="136">
        <f>VLOOKUP(G816,'CP FACTORS'!$A$3:$B$38, 2, FALSE)</f>
        <v>9.4741810000000004E-4</v>
      </c>
      <c r="I816" s="2732">
        <f t="shared" si="89"/>
        <v>1.3288199999999999</v>
      </c>
      <c r="J816" s="92">
        <f t="shared" si="101"/>
        <v>6</v>
      </c>
      <c r="K816" s="387">
        <f t="shared" si="100"/>
        <v>1558.1873453016101</v>
      </c>
      <c r="L816" s="206">
        <f>K1016</f>
        <v>1.75</v>
      </c>
      <c r="M816" s="129"/>
      <c r="N816" s="106"/>
      <c r="O816" s="106"/>
      <c r="P816" s="129"/>
      <c r="Q816" s="129"/>
      <c r="R816" s="1299"/>
      <c r="S816" s="106"/>
      <c r="T816" s="129"/>
      <c r="U816" s="129"/>
      <c r="V816" s="112" t="s">
        <v>30</v>
      </c>
      <c r="W816" s="2906">
        <v>1314.6211309523808</v>
      </c>
      <c r="X816" s="617">
        <v>1175.0440224428139</v>
      </c>
      <c r="Y816" s="96">
        <v>1320.98</v>
      </c>
      <c r="Z816" s="93">
        <v>1320.98</v>
      </c>
      <c r="AA816" s="93">
        <v>1320.98</v>
      </c>
      <c r="AB816" s="2831">
        <v>1320.98</v>
      </c>
      <c r="AC816" s="1591">
        <v>696.9</v>
      </c>
      <c r="AD816" s="2299">
        <v>1402.57</v>
      </c>
      <c r="AE816" s="1741"/>
      <c r="AF816" s="2904"/>
      <c r="AG816" s="2834"/>
      <c r="AH816" s="2907"/>
      <c r="AI816" s="2907"/>
      <c r="AJ816" s="2908"/>
      <c r="AK816" s="2908"/>
      <c r="AL816" s="2908"/>
      <c r="AM816" s="2908"/>
      <c r="AN816" s="2908"/>
      <c r="AO816" s="2908"/>
      <c r="AP816" s="156"/>
      <c r="AQ816" s="156"/>
      <c r="AR816" s="156"/>
      <c r="AS816" s="156"/>
      <c r="AT816" s="156"/>
      <c r="AU816" s="156"/>
      <c r="AV816" s="156"/>
      <c r="AW816" s="156"/>
      <c r="AX816" s="156"/>
      <c r="AY816" s="156"/>
      <c r="AZ816" s="156"/>
      <c r="BA816" s="156"/>
      <c r="BB816" s="2833">
        <f>(BD816+BD817)/(BE816+BE817)</f>
        <v>0.90815891545408178</v>
      </c>
      <c r="BC816" s="2348" t="str">
        <f t="shared" si="87"/>
        <v>Cooling RES 6 Year EUL</v>
      </c>
      <c r="BD816" s="2829">
        <f>(INDEX('Avoided Cost Benefits'!$E$4:$E$859,MATCH(BC816,'Avoided Cost Benefits'!$A$4:$A$859,0)))*F816</f>
        <v>888.68516785098598</v>
      </c>
      <c r="BE816" s="858">
        <f t="shared" si="88"/>
        <v>1470.6817794257763</v>
      </c>
      <c r="BF816" s="156"/>
    </row>
    <row r="817" spans="1:58" x14ac:dyDescent="0.35">
      <c r="A817" s="1663" t="str">
        <f t="shared" si="84"/>
        <v>351550_2021_12_Cooling RES ER2</v>
      </c>
      <c r="B817" s="1663"/>
      <c r="C817" s="50" t="s">
        <v>1003</v>
      </c>
      <c r="D817" s="1279" t="s">
        <v>320</v>
      </c>
      <c r="E817" s="2349" t="s">
        <v>1005</v>
      </c>
      <c r="F817" s="373">
        <f>ROUND((($J$1025*$J$1052*(1/$J$1079-1/$J$1133))/1000)*$J$1175*$J$1220,2)</f>
        <v>403.9</v>
      </c>
      <c r="G817" s="1279" t="s">
        <v>848</v>
      </c>
      <c r="H817" s="136">
        <f>VLOOKUP(G817,'CP FACTORS'!$A$3:$B$38, 2, FALSE)</f>
        <v>9.4741810000000004E-4</v>
      </c>
      <c r="I817" s="2732">
        <f t="shared" si="89"/>
        <v>0.382662</v>
      </c>
      <c r="J817" s="92">
        <f t="shared" si="101"/>
        <v>12</v>
      </c>
      <c r="K817" s="387">
        <f t="shared" si="100"/>
        <v>0</v>
      </c>
      <c r="L817" s="206"/>
      <c r="M817" s="129"/>
      <c r="N817" s="106"/>
      <c r="O817" s="106"/>
      <c r="P817" s="129"/>
      <c r="Q817" s="129"/>
      <c r="R817" s="1299"/>
      <c r="S817" s="106"/>
      <c r="T817" s="129"/>
      <c r="U817" s="129"/>
      <c r="V817" s="112" t="s">
        <v>30</v>
      </c>
      <c r="W817" s="2906">
        <v>371.9630357142857</v>
      </c>
      <c r="X817" s="617">
        <v>343.28687958567122</v>
      </c>
      <c r="Y817" s="96">
        <v>385.92</v>
      </c>
      <c r="Z817" s="93">
        <v>385.92</v>
      </c>
      <c r="AA817" s="93">
        <v>385.92</v>
      </c>
      <c r="AB817" s="2831">
        <v>385.92</v>
      </c>
      <c r="AC817" s="1591">
        <v>269.27</v>
      </c>
      <c r="AD817" s="2299">
        <v>403.9</v>
      </c>
      <c r="AE817" s="1741"/>
      <c r="AF817" s="2904"/>
      <c r="AG817" s="2834"/>
      <c r="AH817" s="2907"/>
      <c r="AI817" s="2907"/>
      <c r="AJ817" s="2908"/>
      <c r="AK817" s="2908"/>
      <c r="AL817" s="2908"/>
      <c r="AM817" s="2908"/>
      <c r="AN817" s="2908"/>
      <c r="AO817" s="2908"/>
      <c r="AP817" s="156"/>
      <c r="AQ817" s="156"/>
      <c r="AR817" s="156"/>
      <c r="AS817" s="156"/>
      <c r="AT817" s="156"/>
      <c r="AU817" s="156"/>
      <c r="AV817" s="156"/>
      <c r="AW817" s="156"/>
      <c r="AX817" s="156"/>
      <c r="AY817" s="156"/>
      <c r="AZ817" s="156"/>
      <c r="BA817" s="156"/>
      <c r="BB817" s="2835"/>
      <c r="BC817" s="2349" t="str">
        <f t="shared" si="87"/>
        <v>Cooling RES ER2 12 Year EUL</v>
      </c>
      <c r="BD817" s="2829">
        <f>(INDEX('Avoided Cost Benefits'!$E$4:$E$859,MATCH(BC817,'Avoided Cost Benefits'!$A$4:$A$859,0)))*F817</f>
        <v>446.92760193040624</v>
      </c>
      <c r="BE817" s="858">
        <f t="shared" si="88"/>
        <v>0</v>
      </c>
      <c r="BF817" s="156"/>
    </row>
    <row r="818" spans="1:58" x14ac:dyDescent="0.35">
      <c r="A818" s="1663" t="str">
        <f t="shared" si="84"/>
        <v>351551_2021_12_Cooling RES</v>
      </c>
      <c r="B818" s="1663"/>
      <c r="C818" s="1037" t="s">
        <v>1006</v>
      </c>
      <c r="D818" s="1279" t="s">
        <v>315</v>
      </c>
      <c r="E818" s="2348" t="s">
        <v>1007</v>
      </c>
      <c r="F818" s="373">
        <f>ROUND((($J$1034*$J$1061*(1/$J$1115-1/$J$1142))/1000)*$J$1197*$J$1220,2)</f>
        <v>937.47</v>
      </c>
      <c r="G818" s="1279" t="s">
        <v>257</v>
      </c>
      <c r="H818" s="136">
        <f>VLOOKUP(G818,'CP FACTORS'!$A$3:$B$38, 2, FALSE)</f>
        <v>9.4741810000000004E-4</v>
      </c>
      <c r="I818" s="2732">
        <f>ROUND(F818*H818,6)</f>
        <v>0.88817599999999997</v>
      </c>
      <c r="J818" s="92">
        <f>J816</f>
        <v>6</v>
      </c>
      <c r="K818" s="387">
        <f>K816</f>
        <v>1558.1873453016101</v>
      </c>
      <c r="L818" s="206">
        <f>K1034</f>
        <v>2</v>
      </c>
      <c r="M818" s="129"/>
      <c r="N818" s="106"/>
      <c r="O818" s="106"/>
      <c r="P818" s="129"/>
      <c r="Q818" s="129"/>
      <c r="R818" s="1299"/>
      <c r="S818" s="106"/>
      <c r="T818" s="129"/>
      <c r="U818" s="129"/>
      <c r="V818" s="112" t="s">
        <v>30</v>
      </c>
      <c r="W818" s="2906"/>
      <c r="X818" s="617"/>
      <c r="Y818" s="96">
        <v>1164.95</v>
      </c>
      <c r="Z818" s="93">
        <v>1164.95</v>
      </c>
      <c r="AA818" s="93">
        <v>1164.95</v>
      </c>
      <c r="AB818" s="1540">
        <v>867.48</v>
      </c>
      <c r="AC818" s="1591">
        <v>457.65</v>
      </c>
      <c r="AD818" s="2299">
        <v>937.47</v>
      </c>
      <c r="AE818" s="1741"/>
      <c r="AF818" s="2904"/>
      <c r="AG818" s="2834"/>
      <c r="AH818" s="2907"/>
      <c r="AI818" s="2907"/>
      <c r="AJ818" s="2908"/>
      <c r="AK818" s="2908"/>
      <c r="AL818" s="2908"/>
      <c r="AM818" s="2908"/>
      <c r="AN818" s="2908"/>
      <c r="AO818" s="2908"/>
      <c r="AP818" s="156"/>
      <c r="AQ818" s="156"/>
      <c r="AR818" s="156"/>
      <c r="AS818" s="156"/>
      <c r="AT818" s="156"/>
      <c r="AU818" s="156"/>
      <c r="AV818" s="156"/>
      <c r="AW818" s="156"/>
      <c r="AX818" s="156"/>
      <c r="AY818" s="156"/>
      <c r="AZ818" s="156"/>
      <c r="BA818" s="156"/>
      <c r="BB818" s="2833">
        <f>(BD818+BD819)/(BE818+BE819)</f>
        <v>0.61580044907167031</v>
      </c>
      <c r="BC818" s="2348" t="str">
        <f>CONCATENATE(G818," ",J818," Year EUL")</f>
        <v>Cooling RES 6 Year EUL</v>
      </c>
      <c r="BD818" s="2829">
        <f>(INDEX('Avoided Cost Benefits'!$E$4:$E$859,MATCH(BC818,'Avoided Cost Benefits'!$A$4:$A$859,0)))*F818</f>
        <v>593.9922316214263</v>
      </c>
      <c r="BE818" s="858">
        <f>K818/(1.0595^(2020-2019))</f>
        <v>1470.6817794257763</v>
      </c>
      <c r="BF818" s="156"/>
    </row>
    <row r="819" spans="1:58" x14ac:dyDescent="0.35">
      <c r="A819" s="1663" t="str">
        <f t="shared" si="84"/>
        <v>351551_2021_12_Cooling RES ER2</v>
      </c>
      <c r="B819" s="1663"/>
      <c r="C819" s="2670" t="s">
        <v>1006</v>
      </c>
      <c r="D819" s="1301" t="s">
        <v>315</v>
      </c>
      <c r="E819" s="2349" t="s">
        <v>1008</v>
      </c>
      <c r="F819" s="373">
        <f>ROUND((($J$1034*$J$1061*(1/$J$1088-1/$J$1142))/1000)*$J$1198*$J$1220,2)</f>
        <v>281.64999999999998</v>
      </c>
      <c r="G819" s="1301" t="s">
        <v>848</v>
      </c>
      <c r="H819" s="3081">
        <f>VLOOKUP(G819,'CP FACTORS'!$A$3:$B$38, 2, FALSE)</f>
        <v>9.4741810000000004E-4</v>
      </c>
      <c r="I819" s="2794">
        <f>ROUND(F819*H819,6)</f>
        <v>0.26684000000000002</v>
      </c>
      <c r="J819" s="340">
        <f>J817</f>
        <v>12</v>
      </c>
      <c r="K819" s="1302">
        <f>K817</f>
        <v>0</v>
      </c>
      <c r="L819" s="1303"/>
      <c r="M819" s="129"/>
      <c r="N819" s="106"/>
      <c r="O819" s="106"/>
      <c r="P819" s="129"/>
      <c r="Q819" s="129"/>
      <c r="R819" s="1299"/>
      <c r="S819" s="106"/>
      <c r="T819" s="129"/>
      <c r="U819" s="129"/>
      <c r="V819" s="112" t="s">
        <v>30</v>
      </c>
      <c r="W819" s="2906"/>
      <c r="X819" s="617"/>
      <c r="Y819" s="96">
        <v>340.34</v>
      </c>
      <c r="Z819" s="93">
        <v>340.34</v>
      </c>
      <c r="AA819" s="93">
        <v>340.34</v>
      </c>
      <c r="AB819" s="1540">
        <v>253.43</v>
      </c>
      <c r="AC819" s="1591">
        <v>176.83</v>
      </c>
      <c r="AD819" s="2299">
        <v>281.64999999999998</v>
      </c>
      <c r="AE819" s="1741"/>
      <c r="AF819" s="2904"/>
      <c r="AG819" s="2834"/>
      <c r="AH819" s="2907"/>
      <c r="AI819" s="2907"/>
      <c r="AJ819" s="2908"/>
      <c r="AK819" s="2908"/>
      <c r="AL819" s="2908"/>
      <c r="AM819" s="2908"/>
      <c r="AN819" s="2908"/>
      <c r="AO819" s="2908"/>
      <c r="AP819" s="156"/>
      <c r="AQ819" s="156"/>
      <c r="AR819" s="156"/>
      <c r="AS819" s="156"/>
      <c r="AT819" s="156"/>
      <c r="AU819" s="156"/>
      <c r="AV819" s="156"/>
      <c r="AW819" s="156"/>
      <c r="AX819" s="156"/>
      <c r="AY819" s="156"/>
      <c r="AZ819" s="156"/>
      <c r="BA819" s="156"/>
      <c r="BB819" s="2835"/>
      <c r="BC819" s="2349" t="str">
        <f>CONCATENATE(G819," ",J819," Year EUL")</f>
        <v>Cooling RES ER2 12 Year EUL</v>
      </c>
      <c r="BD819" s="2829">
        <f>(INDEX('Avoided Cost Benefits'!$E$4:$E$859,MATCH(BC819,'Avoided Cost Benefits'!$A$4:$A$859,0)))*F819</f>
        <v>311.65426859049001</v>
      </c>
      <c r="BE819" s="858">
        <f>K819/(1.0595^(2020-2019))</f>
        <v>0</v>
      </c>
      <c r="BF819" s="156"/>
    </row>
    <row r="820" spans="1:58" x14ac:dyDescent="0.35">
      <c r="A820" s="1663" t="str">
        <f t="shared" si="84"/>
        <v>351600_2021_12_Cooling RES</v>
      </c>
      <c r="B820" s="1663"/>
      <c r="C820" s="50" t="s">
        <v>1009</v>
      </c>
      <c r="D820" s="1279" t="s">
        <v>320</v>
      </c>
      <c r="E820" s="2352" t="s">
        <v>1010</v>
      </c>
      <c r="F820" s="373">
        <f>ROUND((($J$1026*$J$1053*(1/$J$1080-1/$J$1134))/1000)*$J$1176*$J$1220,2)</f>
        <v>490.26</v>
      </c>
      <c r="G820" s="287" t="s">
        <v>257</v>
      </c>
      <c r="H820" s="136">
        <f>VLOOKUP(G820,'CP FACTORS'!$A$3:$B$38, 2, FALSE)</f>
        <v>9.4741810000000004E-4</v>
      </c>
      <c r="I820" s="2732">
        <f t="shared" si="89"/>
        <v>0.46448099999999998</v>
      </c>
      <c r="J820" s="92">
        <f>J1246</f>
        <v>18</v>
      </c>
      <c r="K820" s="387">
        <f>J1292</f>
        <v>364.64165582663026</v>
      </c>
      <c r="L820" s="206">
        <f>K1017</f>
        <v>1.0555555555555556</v>
      </c>
      <c r="M820" s="129"/>
      <c r="N820" s="106"/>
      <c r="O820" s="106"/>
      <c r="P820" s="129"/>
      <c r="Q820" s="129"/>
      <c r="R820" s="1299"/>
      <c r="S820" s="106"/>
      <c r="T820" s="129"/>
      <c r="U820" s="129"/>
      <c r="V820" s="112" t="s">
        <v>30</v>
      </c>
      <c r="W820" s="2906">
        <v>1219.3587301587302</v>
      </c>
      <c r="X820" s="617">
        <v>1175.0440224428139</v>
      </c>
      <c r="Y820" s="96">
        <v>1320.98</v>
      </c>
      <c r="Z820" s="93">
        <v>1320.98</v>
      </c>
      <c r="AA820" s="93">
        <v>1320.98</v>
      </c>
      <c r="AB820" s="1540">
        <v>332.95</v>
      </c>
      <c r="AC820" s="1591">
        <v>329.12</v>
      </c>
      <c r="AD820" s="2299">
        <v>490.26</v>
      </c>
      <c r="AE820" s="1741"/>
      <c r="AF820" s="2904"/>
      <c r="AG820" s="2834"/>
      <c r="AH820" s="2907"/>
      <c r="AI820" s="2907"/>
      <c r="AJ820" s="2908"/>
      <c r="AK820" s="2908"/>
      <c r="AL820" s="2908"/>
      <c r="AM820" s="2908"/>
      <c r="AN820" s="2908"/>
      <c r="AO820" s="2908"/>
      <c r="AP820" s="156"/>
      <c r="AQ820" s="156"/>
      <c r="AR820" s="156"/>
      <c r="AS820" s="156"/>
      <c r="AT820" s="156"/>
      <c r="AU820" s="156"/>
      <c r="AV820" s="156"/>
      <c r="AW820" s="156"/>
      <c r="AX820" s="156"/>
      <c r="AY820" s="156"/>
      <c r="AZ820" s="156"/>
      <c r="BA820" s="156"/>
      <c r="BB820" s="1563">
        <f>(BD820)/(BE820)</f>
        <v>2.4788252533906054</v>
      </c>
      <c r="BC820" s="2352" t="str">
        <f t="shared" si="87"/>
        <v>Cooling RES 18 Year EUL</v>
      </c>
      <c r="BD820" s="2829">
        <f>(INDEX('Avoided Cost Benefits'!$E$4:$E$859,MATCH(BC820,'Avoided Cost Benefits'!$A$4:$A$859,0)))*F820</f>
        <v>853.12217546127101</v>
      </c>
      <c r="BE820" s="858">
        <f t="shared" si="88"/>
        <v>344.16390356454008</v>
      </c>
      <c r="BF820" s="156"/>
    </row>
    <row r="821" spans="1:58" x14ac:dyDescent="0.35">
      <c r="A821" s="1663" t="str">
        <f t="shared" si="84"/>
        <v>351601_2021_12_Cooling RES</v>
      </c>
      <c r="B821" s="1663"/>
      <c r="C821" s="1037" t="s">
        <v>1011</v>
      </c>
      <c r="D821" s="1301" t="s">
        <v>315</v>
      </c>
      <c r="E821" s="2352" t="s">
        <v>1012</v>
      </c>
      <c r="F821" s="373">
        <f>ROUND((($J$1035*$J$1062*(1/$J$1116-1/$J$1143))/1000)*$J$1199*$J$1220,2)</f>
        <v>1100.3800000000001</v>
      </c>
      <c r="G821" s="287" t="s">
        <v>257</v>
      </c>
      <c r="H821" s="136">
        <f>VLOOKUP(G821,'CP FACTORS'!$A$3:$B$38, 2, FALSE)</f>
        <v>9.4741810000000004E-4</v>
      </c>
      <c r="I821" s="2732">
        <f>ROUND(F821*H821,6)</f>
        <v>1.0425199999999999</v>
      </c>
      <c r="J821" s="340">
        <f>J820</f>
        <v>18</v>
      </c>
      <c r="K821" s="1302">
        <f>K820</f>
        <v>364.64165582663026</v>
      </c>
      <c r="L821" s="206">
        <f>K1035</f>
        <v>2</v>
      </c>
      <c r="M821" s="129"/>
      <c r="N821" s="106"/>
      <c r="O821" s="106"/>
      <c r="P821" s="129"/>
      <c r="Q821" s="129"/>
      <c r="R821" s="1299"/>
      <c r="S821" s="106"/>
      <c r="T821" s="129"/>
      <c r="U821" s="129"/>
      <c r="V821" s="112" t="s">
        <v>30</v>
      </c>
      <c r="W821" s="2906"/>
      <c r="X821" s="617"/>
      <c r="Y821" s="96">
        <v>1164.95</v>
      </c>
      <c r="Z821" s="93">
        <v>1164.95</v>
      </c>
      <c r="AA821" s="93">
        <v>1164.95</v>
      </c>
      <c r="AB821" s="1540">
        <v>755.93</v>
      </c>
      <c r="AC821" s="1591">
        <v>789.24</v>
      </c>
      <c r="AD821" s="2299">
        <v>1100.3800000000001</v>
      </c>
      <c r="AE821" s="1741"/>
      <c r="AF821" s="2904"/>
      <c r="AG821" s="2834"/>
      <c r="AH821" s="2907"/>
      <c r="AI821" s="2907"/>
      <c r="AJ821" s="2908"/>
      <c r="AK821" s="2908"/>
      <c r="AL821" s="2908"/>
      <c r="AM821" s="2908"/>
      <c r="AN821" s="2908"/>
      <c r="AO821" s="2908"/>
      <c r="AP821" s="156"/>
      <c r="AQ821" s="156"/>
      <c r="AR821" s="156"/>
      <c r="AS821" s="156"/>
      <c r="AT821" s="156"/>
      <c r="AU821" s="156"/>
      <c r="AV821" s="156"/>
      <c r="AW821" s="156"/>
      <c r="AX821" s="156"/>
      <c r="AY821" s="156"/>
      <c r="AZ821" s="156"/>
      <c r="BA821" s="156"/>
      <c r="BB821" s="1563">
        <f>(BD821)/(BE821)</f>
        <v>5.5636799500794583</v>
      </c>
      <c r="BC821" s="2352" t="str">
        <f>CONCATENATE(G821," ",J821," Year EUL")</f>
        <v>Cooling RES 18 Year EUL</v>
      </c>
      <c r="BD821" s="2829">
        <f>(INDEX('Avoided Cost Benefits'!$E$4:$E$859,MATCH(BC821,'Avoided Cost Benefits'!$A$4:$A$859,0)))*F821</f>
        <v>1914.8178098031117</v>
      </c>
      <c r="BE821" s="858">
        <f>K821/(1.0595^(2020-2019))</f>
        <v>344.16390356454008</v>
      </c>
      <c r="BF821" s="156"/>
    </row>
    <row r="822" spans="1:58" x14ac:dyDescent="0.35">
      <c r="A822" s="1663" t="str">
        <f t="shared" si="84"/>
        <v>351650_2021_12_Cooling RES</v>
      </c>
      <c r="B822" s="1663"/>
      <c r="C822" s="50" t="s">
        <v>1013</v>
      </c>
      <c r="D822" s="1279" t="s">
        <v>320</v>
      </c>
      <c r="E822" s="2348" t="s">
        <v>1014</v>
      </c>
      <c r="F822" s="373">
        <f>ROUND((($J$1027*$J$1054*(1/$J$1081-1/$J$1135))/1000)*$J$1177*$J$1220,2)</f>
        <v>345.16</v>
      </c>
      <c r="G822" s="287" t="s">
        <v>257</v>
      </c>
      <c r="H822" s="136">
        <f>VLOOKUP(G822,'CP FACTORS'!$A$3:$B$38, 2, FALSE)</f>
        <v>9.4741810000000004E-4</v>
      </c>
      <c r="I822" s="2732">
        <f t="shared" si="89"/>
        <v>0.327011</v>
      </c>
      <c r="J822" s="92">
        <f>J1247</f>
        <v>18</v>
      </c>
      <c r="K822" s="387">
        <f>J1293</f>
        <v>364.64165582663026</v>
      </c>
      <c r="L822" s="206">
        <f>K1018</f>
        <v>1.5323741007194249</v>
      </c>
      <c r="M822" s="129"/>
      <c r="N822" s="106"/>
      <c r="O822" s="106"/>
      <c r="P822" s="129"/>
      <c r="Q822" s="129"/>
      <c r="R822" s="1299"/>
      <c r="S822" s="106"/>
      <c r="T822" s="129"/>
      <c r="U822" s="129"/>
      <c r="V822" s="112" t="s">
        <v>30</v>
      </c>
      <c r="W822" s="2906">
        <v>356.48140969163001</v>
      </c>
      <c r="X822" s="617">
        <v>343.28687958567122</v>
      </c>
      <c r="Y822" s="96">
        <v>214.85</v>
      </c>
      <c r="Z822" s="93">
        <v>214.85</v>
      </c>
      <c r="AA822" s="93">
        <v>214.85</v>
      </c>
      <c r="AB822" s="2831">
        <v>214.85</v>
      </c>
      <c r="AC822" s="1591">
        <v>305.98</v>
      </c>
      <c r="AD822" s="2299">
        <v>345.16</v>
      </c>
      <c r="AE822" s="1741"/>
      <c r="AF822" s="2904"/>
      <c r="AG822" s="2834"/>
      <c r="AH822" s="2907"/>
      <c r="AI822" s="2907"/>
      <c r="AJ822" s="2908"/>
      <c r="AK822" s="2908"/>
      <c r="AL822" s="2908"/>
      <c r="AM822" s="2908"/>
      <c r="AN822" s="2908"/>
      <c r="AO822" s="2908"/>
      <c r="AP822" s="156"/>
      <c r="AQ822" s="156"/>
      <c r="AR822" s="156"/>
      <c r="AS822" s="156"/>
      <c r="AT822" s="156"/>
      <c r="AU822" s="156"/>
      <c r="AV822" s="156"/>
      <c r="AW822" s="156"/>
      <c r="AX822" s="156"/>
      <c r="AY822" s="156"/>
      <c r="AZ822" s="156"/>
      <c r="BA822" s="156"/>
      <c r="BB822" s="2833">
        <f>(BD822+BD823)/(BE822+BE823)</f>
        <v>3.0938097114519145</v>
      </c>
      <c r="BC822" s="2348" t="str">
        <f t="shared" si="87"/>
        <v>Cooling RES 18 Year EUL</v>
      </c>
      <c r="BD822" s="2829">
        <f>(INDEX('Avoided Cost Benefits'!$E$4:$E$859,MATCH(BC822,'Avoided Cost Benefits'!$A$4:$A$859,0)))*F822</f>
        <v>600.62752433853939</v>
      </c>
      <c r="BE822" s="858">
        <f t="shared" si="88"/>
        <v>344.16390356454008</v>
      </c>
      <c r="BF822" s="156"/>
    </row>
    <row r="823" spans="1:58" x14ac:dyDescent="0.35">
      <c r="A823" s="1663" t="str">
        <f t="shared" si="84"/>
        <v>351650_2021_12_Heating RES</v>
      </c>
      <c r="B823" s="1663"/>
      <c r="C823" s="50" t="s">
        <v>1013</v>
      </c>
      <c r="D823" s="1279" t="s">
        <v>320</v>
      </c>
      <c r="E823" s="2349" t="s">
        <v>1014</v>
      </c>
      <c r="F823" s="373">
        <f>ROUND((($J$892*$J$919*(1/$J$946-1/$J$1000))/1000)*$J$1178*$J$1220,2)</f>
        <v>1041.06</v>
      </c>
      <c r="G823" s="287" t="s">
        <v>258</v>
      </c>
      <c r="H823" s="136">
        <f>VLOOKUP(G823,'CP FACTORS'!$A$3:$B$38, 2, FALSE)</f>
        <v>0</v>
      </c>
      <c r="I823" s="2732">
        <f t="shared" si="89"/>
        <v>0</v>
      </c>
      <c r="J823" s="92">
        <f>J1248</f>
        <v>18</v>
      </c>
      <c r="K823" s="387">
        <f>J1294</f>
        <v>0</v>
      </c>
      <c r="L823" s="206"/>
      <c r="M823" s="129"/>
      <c r="N823" s="106"/>
      <c r="O823" s="106"/>
      <c r="P823" s="129"/>
      <c r="Q823" s="129"/>
      <c r="R823" s="1299"/>
      <c r="S823" s="106"/>
      <c r="T823" s="129"/>
      <c r="U823" s="129"/>
      <c r="V823" s="112" t="s">
        <v>30</v>
      </c>
      <c r="W823" s="2906">
        <v>688.58947368421047</v>
      </c>
      <c r="X823" s="617">
        <v>588.317504093769</v>
      </c>
      <c r="Y823" s="96">
        <v>513.91</v>
      </c>
      <c r="Z823" s="93">
        <v>513.91</v>
      </c>
      <c r="AA823" s="93">
        <v>513.91</v>
      </c>
      <c r="AB823" s="2831">
        <v>513.91</v>
      </c>
      <c r="AC823" s="1591">
        <v>632.35</v>
      </c>
      <c r="AD823" s="2299">
        <v>1041.06</v>
      </c>
      <c r="AE823" s="1741"/>
      <c r="AF823" s="2904"/>
      <c r="AG823" s="2834"/>
      <c r="AH823" s="2907"/>
      <c r="AI823" s="2907"/>
      <c r="AJ823" s="2908"/>
      <c r="AK823" s="2908"/>
      <c r="AL823" s="2908"/>
      <c r="AM823" s="2908"/>
      <c r="AN823" s="2908"/>
      <c r="AO823" s="2908"/>
      <c r="AP823" s="156"/>
      <c r="AQ823" s="156"/>
      <c r="AR823" s="156"/>
      <c r="AS823" s="156"/>
      <c r="AT823" s="156"/>
      <c r="AU823" s="156"/>
      <c r="AV823" s="156"/>
      <c r="AW823" s="156"/>
      <c r="AX823" s="156"/>
      <c r="AY823" s="156"/>
      <c r="AZ823" s="156"/>
      <c r="BA823" s="156"/>
      <c r="BB823" s="2835"/>
      <c r="BC823" s="2349" t="str">
        <f t="shared" si="87"/>
        <v>Heating RES 18 Year EUL</v>
      </c>
      <c r="BD823" s="2829">
        <f>(INDEX('Avoided Cost Benefits'!$E$4:$E$859,MATCH(BC823,'Avoided Cost Benefits'!$A$4:$A$859,0)))*F823</f>
        <v>464.15010284063487</v>
      </c>
      <c r="BE823" s="858">
        <f t="shared" si="88"/>
        <v>0</v>
      </c>
      <c r="BF823" s="156"/>
    </row>
    <row r="824" spans="1:58" x14ac:dyDescent="0.35">
      <c r="A824" s="1663" t="str">
        <f t="shared" si="84"/>
        <v>351651_2021_12_Cooling RES</v>
      </c>
      <c r="B824" s="1663"/>
      <c r="C824" s="1037" t="s">
        <v>1015</v>
      </c>
      <c r="D824" s="1301" t="s">
        <v>315</v>
      </c>
      <c r="E824" s="2348" t="s">
        <v>1016</v>
      </c>
      <c r="F824" s="373">
        <f>ROUND((($J$1036*$J$1063*(1/$J$1090-1/$J$1144))/1000)*$J$1200*$J$1220,2)</f>
        <v>226.66</v>
      </c>
      <c r="G824" s="287" t="s">
        <v>257</v>
      </c>
      <c r="H824" s="136">
        <f>VLOOKUP(G824,'CP FACTORS'!$A$3:$B$38, 2, FALSE)</f>
        <v>9.4741810000000004E-4</v>
      </c>
      <c r="I824" s="2732">
        <f>ROUND(F824*H824,6)</f>
        <v>0.21474199999999999</v>
      </c>
      <c r="J824" s="340">
        <f>J822</f>
        <v>18</v>
      </c>
      <c r="K824" s="1302">
        <f>K822</f>
        <v>364.64165582663026</v>
      </c>
      <c r="L824" s="206">
        <f>K1036</f>
        <v>2</v>
      </c>
      <c r="M824" s="129"/>
      <c r="N824" s="106"/>
      <c r="O824" s="106"/>
      <c r="P824" s="129"/>
      <c r="Q824" s="129"/>
      <c r="R824" s="1299"/>
      <c r="S824" s="106"/>
      <c r="T824" s="129"/>
      <c r="U824" s="129"/>
      <c r="V824" s="112" t="s">
        <v>30</v>
      </c>
      <c r="W824" s="2906">
        <v>356.48140969163001</v>
      </c>
      <c r="X824" s="617"/>
      <c r="Y824" s="96">
        <v>189.47</v>
      </c>
      <c r="Z824" s="93">
        <v>189.47</v>
      </c>
      <c r="AA824" s="93">
        <v>189.47</v>
      </c>
      <c r="AB824" s="1540">
        <v>141.09</v>
      </c>
      <c r="AC824" s="1591">
        <v>200.94</v>
      </c>
      <c r="AD824" s="2299">
        <v>226.66</v>
      </c>
      <c r="AE824" s="1741"/>
      <c r="AF824" s="2904"/>
      <c r="AG824" s="2834"/>
      <c r="AH824" s="2907"/>
      <c r="AI824" s="2907"/>
      <c r="AJ824" s="2908"/>
      <c r="AK824" s="2908"/>
      <c r="AL824" s="2908"/>
      <c r="AM824" s="2908"/>
      <c r="AN824" s="2908"/>
      <c r="AO824" s="2908"/>
      <c r="AP824" s="156"/>
      <c r="AQ824" s="156"/>
      <c r="AR824" s="156"/>
      <c r="AS824" s="156"/>
      <c r="AT824" s="156"/>
      <c r="AU824" s="156"/>
      <c r="AV824" s="156"/>
      <c r="AW824" s="156"/>
      <c r="AX824" s="156"/>
      <c r="AY824" s="156"/>
      <c r="AZ824" s="156"/>
      <c r="BA824" s="156"/>
      <c r="BB824" s="2833">
        <f>(BD824+BD825)/(BE824+BE825)</f>
        <v>1.6586054241109338</v>
      </c>
      <c r="BC824" s="2348" t="str">
        <f>CONCATENATE(G824," ",J824," Year EUL")</f>
        <v>Cooling RES 18 Year EUL</v>
      </c>
      <c r="BD824" s="2829">
        <f>(INDEX('Avoided Cost Benefits'!$E$4:$E$859,MATCH(BC824,'Avoided Cost Benefits'!$A$4:$A$859,0)))*F824</f>
        <v>394.42065901776954</v>
      </c>
      <c r="BE824" s="858">
        <f>K824/(1.0595^(2020-2019))</f>
        <v>344.16390356454008</v>
      </c>
      <c r="BF824" s="156"/>
    </row>
    <row r="825" spans="1:58" x14ac:dyDescent="0.35">
      <c r="A825" s="1663" t="str">
        <f t="shared" si="84"/>
        <v>351651_2021_12_Heating RES</v>
      </c>
      <c r="B825" s="1663"/>
      <c r="C825" s="1037" t="s">
        <v>1015</v>
      </c>
      <c r="D825" s="1301" t="s">
        <v>315</v>
      </c>
      <c r="E825" s="2349" t="s">
        <v>1016</v>
      </c>
      <c r="F825" s="373">
        <f>ROUND((($J$901*$J$928*(1/$J$955-1/$J$1009))/1000)*$J$1201*$J$1220,2)</f>
        <v>395.68</v>
      </c>
      <c r="G825" s="287" t="s">
        <v>258</v>
      </c>
      <c r="H825" s="136">
        <f>VLOOKUP(G825,'CP FACTORS'!$A$3:$B$38, 2, FALSE)</f>
        <v>0</v>
      </c>
      <c r="I825" s="2732">
        <f>ROUND(F825*H825,6)</f>
        <v>0</v>
      </c>
      <c r="J825" s="340">
        <f>J823</f>
        <v>18</v>
      </c>
      <c r="K825" s="1302">
        <f>K823</f>
        <v>0</v>
      </c>
      <c r="L825" s="206"/>
      <c r="M825" s="129"/>
      <c r="N825" s="106"/>
      <c r="O825" s="106"/>
      <c r="P825" s="129"/>
      <c r="Q825" s="129"/>
      <c r="R825" s="1299"/>
      <c r="S825" s="106"/>
      <c r="T825" s="129"/>
      <c r="U825" s="129"/>
      <c r="V825" s="112" t="s">
        <v>30</v>
      </c>
      <c r="W825" s="2906">
        <v>688.58947368421047</v>
      </c>
      <c r="X825" s="617"/>
      <c r="Y825" s="96">
        <v>236.58</v>
      </c>
      <c r="Z825" s="93">
        <v>236.58</v>
      </c>
      <c r="AA825" s="93">
        <v>236.58</v>
      </c>
      <c r="AB825" s="1540">
        <v>195.32</v>
      </c>
      <c r="AC825" s="1591">
        <v>240.34</v>
      </c>
      <c r="AD825" s="2299">
        <v>395.68</v>
      </c>
      <c r="AE825" s="1741"/>
      <c r="AF825" s="2904"/>
      <c r="AG825" s="2834"/>
      <c r="AH825" s="2907"/>
      <c r="AI825" s="2907"/>
      <c r="AJ825" s="2908"/>
      <c r="AK825" s="2908"/>
      <c r="AL825" s="2908"/>
      <c r="AM825" s="2908"/>
      <c r="AN825" s="2908"/>
      <c r="AO825" s="2908"/>
      <c r="AP825" s="156"/>
      <c r="AQ825" s="156"/>
      <c r="AR825" s="156"/>
      <c r="AS825" s="156"/>
      <c r="AT825" s="156"/>
      <c r="AU825" s="156"/>
      <c r="AV825" s="156"/>
      <c r="AW825" s="156"/>
      <c r="AX825" s="156"/>
      <c r="AY825" s="156"/>
      <c r="AZ825" s="156"/>
      <c r="BA825" s="156"/>
      <c r="BB825" s="2835"/>
      <c r="BC825" s="2349" t="str">
        <f>CONCATENATE(G825," ",J825," Year EUL")</f>
        <v>Heating RES 18 Year EUL</v>
      </c>
      <c r="BD825" s="2829">
        <f>(INDEX('Avoided Cost Benefits'!$E$4:$E$859,MATCH(BC825,'Avoided Cost Benefits'!$A$4:$A$859,0)))*F825</f>
        <v>176.41145821756902</v>
      </c>
      <c r="BE825" s="858">
        <f>K825/(1.0595^(2020-2019))</f>
        <v>0</v>
      </c>
      <c r="BF825" s="156"/>
    </row>
    <row r="826" spans="1:58" x14ac:dyDescent="0.35">
      <c r="A826" s="1071" t="str">
        <f t="shared" si="84"/>
        <v>351700_2021_12_Cooling RES</v>
      </c>
      <c r="B826" s="106"/>
      <c r="C826" s="50" t="s">
        <v>1017</v>
      </c>
      <c r="D826" s="1279" t="s">
        <v>320</v>
      </c>
      <c r="E826" s="2348" t="s">
        <v>1018</v>
      </c>
      <c r="F826" s="373">
        <f>ROUND((($J$1028*$J$1055*(1/$J$1082-1/$J$1136))/1000)*$J$1179*$J$1220,2)</f>
        <v>345.16</v>
      </c>
      <c r="G826" s="287" t="s">
        <v>257</v>
      </c>
      <c r="H826" s="136">
        <f>VLOOKUP(G826,'CP FACTORS'!$A$3:$B$38, 2, FALSE)</f>
        <v>9.4741810000000004E-4</v>
      </c>
      <c r="I826" s="2732">
        <f t="shared" si="89"/>
        <v>0.327011</v>
      </c>
      <c r="J826" s="92">
        <f>J1249</f>
        <v>18</v>
      </c>
      <c r="K826" s="387">
        <f>J1295</f>
        <v>364.64165582663026</v>
      </c>
      <c r="L826" s="206">
        <f>K1019</f>
        <v>1.5323741007194249</v>
      </c>
      <c r="M826" s="129"/>
      <c r="N826" s="106"/>
      <c r="O826" s="106"/>
      <c r="P826" s="129"/>
      <c r="Q826" s="129"/>
      <c r="R826" s="1299"/>
      <c r="S826" s="106"/>
      <c r="T826" s="129"/>
      <c r="U826" s="129"/>
      <c r="V826" s="112" t="s">
        <v>30</v>
      </c>
      <c r="W826" s="2906">
        <v>356.48140969163001</v>
      </c>
      <c r="X826" s="617">
        <v>343.28687958567122</v>
      </c>
      <c r="Y826" s="96">
        <v>214.85</v>
      </c>
      <c r="Z826" s="93">
        <v>214.85</v>
      </c>
      <c r="AA826" s="93">
        <v>214.85</v>
      </c>
      <c r="AB826" s="1540">
        <v>312.66000000000003</v>
      </c>
      <c r="AC826" s="1591">
        <v>296.29000000000002</v>
      </c>
      <c r="AD826" s="2299">
        <v>345.16</v>
      </c>
      <c r="AE826" s="1741"/>
      <c r="AF826" s="2904"/>
      <c r="AG826" s="2834"/>
      <c r="AH826" s="2907"/>
      <c r="AI826" s="2907"/>
      <c r="AJ826" s="2908"/>
      <c r="AK826" s="2908"/>
      <c r="AL826" s="2908"/>
      <c r="AM826" s="2908"/>
      <c r="AN826" s="2908"/>
      <c r="AO826" s="2908"/>
      <c r="AP826" s="156"/>
      <c r="AQ826" s="156"/>
      <c r="AR826" s="156"/>
      <c r="AS826" s="156"/>
      <c r="AT826" s="156"/>
      <c r="AU826" s="156"/>
      <c r="AV826" s="156"/>
      <c r="AW826" s="156"/>
      <c r="AX826" s="156"/>
      <c r="AY826" s="156"/>
      <c r="AZ826" s="156"/>
      <c r="BA826" s="156"/>
      <c r="BB826" s="2833">
        <f>(BD826+BD827)/(BE826+BE827)</f>
        <v>3.0938097114519145</v>
      </c>
      <c r="BC826" s="2348" t="str">
        <f t="shared" si="87"/>
        <v>Cooling RES 18 Year EUL</v>
      </c>
      <c r="BD826" s="2829">
        <f>(INDEX('Avoided Cost Benefits'!$E$4:$E$859,MATCH(BC826,'Avoided Cost Benefits'!$A$4:$A$859,0)))*F826</f>
        <v>600.62752433853939</v>
      </c>
      <c r="BE826" s="858">
        <f t="shared" si="88"/>
        <v>344.16390356454008</v>
      </c>
      <c r="BF826" s="156"/>
    </row>
    <row r="827" spans="1:58" x14ac:dyDescent="0.35">
      <c r="A827" s="1071" t="str">
        <f t="shared" si="84"/>
        <v>351700_2021_12_Heating RES</v>
      </c>
      <c r="B827" s="106"/>
      <c r="C827" s="50" t="s">
        <v>1017</v>
      </c>
      <c r="D827" s="1279" t="s">
        <v>320</v>
      </c>
      <c r="E827" s="2349" t="s">
        <v>1018</v>
      </c>
      <c r="F827" s="373">
        <f>ROUND((($J$893*$J$919*(1/$J$947-1/$J$1001))/1000)*$J$1180*$J$1220,2)</f>
        <v>1041.06</v>
      </c>
      <c r="G827" s="287" t="s">
        <v>258</v>
      </c>
      <c r="H827" s="136">
        <f>VLOOKUP(G827,'CP FACTORS'!$A$3:$B$38, 2, FALSE)</f>
        <v>0</v>
      </c>
      <c r="I827" s="2732">
        <f t="shared" si="89"/>
        <v>0</v>
      </c>
      <c r="J827" s="92">
        <f>J1250</f>
        <v>18</v>
      </c>
      <c r="K827" s="387">
        <f>J1296</f>
        <v>0</v>
      </c>
      <c r="L827" s="206"/>
      <c r="M827" s="129"/>
      <c r="N827" s="106"/>
      <c r="O827" s="106"/>
      <c r="P827" s="129"/>
      <c r="Q827" s="129"/>
      <c r="R827" s="1299"/>
      <c r="S827" s="106"/>
      <c r="T827" s="129"/>
      <c r="U827" s="129"/>
      <c r="V827" s="112" t="s">
        <v>30</v>
      </c>
      <c r="W827" s="2906">
        <v>688.58947368421047</v>
      </c>
      <c r="X827" s="617">
        <v>588.317504093769</v>
      </c>
      <c r="Y827" s="96">
        <v>513.91</v>
      </c>
      <c r="Z827" s="93">
        <v>513.91</v>
      </c>
      <c r="AA827" s="93">
        <v>513.91</v>
      </c>
      <c r="AB827" s="1540">
        <v>585.46</v>
      </c>
      <c r="AC827" s="1591">
        <v>639.13</v>
      </c>
      <c r="AD827" s="2299">
        <v>1041.06</v>
      </c>
      <c r="AE827" s="1741"/>
      <c r="AF827" s="2904"/>
      <c r="AG827" s="2834"/>
      <c r="AH827" s="2907"/>
      <c r="AI827" s="2907"/>
      <c r="AJ827" s="2908"/>
      <c r="AK827" s="2908"/>
      <c r="AL827" s="2908"/>
      <c r="AM827" s="2908"/>
      <c r="AN827" s="2908"/>
      <c r="AO827" s="2908"/>
      <c r="AP827" s="156"/>
      <c r="AQ827" s="156"/>
      <c r="AR827" s="156"/>
      <c r="AS827" s="156"/>
      <c r="AT827" s="156"/>
      <c r="AU827" s="156"/>
      <c r="AV827" s="156"/>
      <c r="AW827" s="156"/>
      <c r="AX827" s="156"/>
      <c r="AY827" s="156"/>
      <c r="AZ827" s="156"/>
      <c r="BA827" s="156"/>
      <c r="BB827" s="2835"/>
      <c r="BC827" s="2349" t="str">
        <f t="shared" si="87"/>
        <v>Heating RES 18 Year EUL</v>
      </c>
      <c r="BD827" s="2829">
        <f>(INDEX('Avoided Cost Benefits'!$E$4:$E$859,MATCH(BC827,'Avoided Cost Benefits'!$A$4:$A$859,0)))*F827</f>
        <v>464.15010284063487</v>
      </c>
      <c r="BE827" s="858">
        <f t="shared" si="88"/>
        <v>0</v>
      </c>
      <c r="BF827" s="156"/>
    </row>
    <row r="828" spans="1:58" x14ac:dyDescent="0.35">
      <c r="A828" s="1071" t="str">
        <f t="shared" si="84"/>
        <v>351701_2021_12_Cooling RES</v>
      </c>
      <c r="B828" s="106"/>
      <c r="C828" s="1037" t="s">
        <v>1019</v>
      </c>
      <c r="D828" s="1301" t="s">
        <v>315</v>
      </c>
      <c r="E828" s="2348" t="s">
        <v>1020</v>
      </c>
      <c r="F828" s="373">
        <f>ROUND((($J$1037*$J$1064*(1/$J$1091-1/$J$1145))/1000)*$J$1202*$J$1220,2)</f>
        <v>226.66</v>
      </c>
      <c r="G828" s="287" t="s">
        <v>257</v>
      </c>
      <c r="H828" s="136">
        <f>VLOOKUP(G828,'CP FACTORS'!$A$3:$B$38, 2, FALSE)</f>
        <v>9.4741810000000004E-4</v>
      </c>
      <c r="I828" s="2732">
        <f>ROUND(F828*H828,6)</f>
        <v>0.21474199999999999</v>
      </c>
      <c r="J828" s="340">
        <f>J826</f>
        <v>18</v>
      </c>
      <c r="K828" s="1302">
        <f>K826</f>
        <v>364.64165582663026</v>
      </c>
      <c r="L828" s="206">
        <f>K1037</f>
        <v>2</v>
      </c>
      <c r="M828" s="129"/>
      <c r="N828" s="106"/>
      <c r="O828" s="106"/>
      <c r="P828" s="129"/>
      <c r="Q828" s="129"/>
      <c r="R828" s="1299"/>
      <c r="S828" s="106"/>
      <c r="T828" s="129"/>
      <c r="U828" s="129"/>
      <c r="V828" s="112" t="s">
        <v>30</v>
      </c>
      <c r="W828" s="2906"/>
      <c r="X828" s="617"/>
      <c r="Y828" s="96">
        <v>189.47</v>
      </c>
      <c r="Z828" s="93">
        <v>189.47</v>
      </c>
      <c r="AA828" s="93">
        <v>189.47</v>
      </c>
      <c r="AB828" s="1540">
        <v>205.32</v>
      </c>
      <c r="AC828" s="1591">
        <v>194.57</v>
      </c>
      <c r="AD828" s="2299">
        <v>226.66</v>
      </c>
      <c r="AE828" s="1741"/>
      <c r="AF828" s="2904"/>
      <c r="AG828" s="2834"/>
      <c r="AH828" s="2907"/>
      <c r="AI828" s="2907"/>
      <c r="AJ828" s="2908"/>
      <c r="AK828" s="2908"/>
      <c r="AL828" s="2908"/>
      <c r="AM828" s="2908"/>
      <c r="AN828" s="2908"/>
      <c r="AO828" s="2908"/>
      <c r="AP828" s="156"/>
      <c r="AQ828" s="156"/>
      <c r="AR828" s="156"/>
      <c r="AS828" s="156"/>
      <c r="AT828" s="156"/>
      <c r="AU828" s="156"/>
      <c r="AV828" s="156"/>
      <c r="AW828" s="156"/>
      <c r="AX828" s="156"/>
      <c r="AY828" s="156"/>
      <c r="AZ828" s="156"/>
      <c r="BA828" s="156"/>
      <c r="BB828" s="2833">
        <f>(BD828+BD829)/(BE828+BE829)</f>
        <v>1.6586054241109338</v>
      </c>
      <c r="BC828" s="2348" t="str">
        <f>CONCATENATE(G828," ",J828," Year EUL")</f>
        <v>Cooling RES 18 Year EUL</v>
      </c>
      <c r="BD828" s="2829">
        <f>(INDEX('Avoided Cost Benefits'!$E$4:$E$859,MATCH(BC828,'Avoided Cost Benefits'!$A$4:$A$859,0)))*F828</f>
        <v>394.42065901776954</v>
      </c>
      <c r="BE828" s="858">
        <f>K828/(1.0595^(2020-2019))</f>
        <v>344.16390356454008</v>
      </c>
      <c r="BF828" s="156"/>
    </row>
    <row r="829" spans="1:58" x14ac:dyDescent="0.35">
      <c r="A829" s="1071" t="str">
        <f t="shared" si="84"/>
        <v>351701_2021_12_Heating RES</v>
      </c>
      <c r="B829" s="106"/>
      <c r="C829" s="1037" t="s">
        <v>1019</v>
      </c>
      <c r="D829" s="1301" t="s">
        <v>315</v>
      </c>
      <c r="E829" s="2349" t="s">
        <v>1020</v>
      </c>
      <c r="F829" s="373">
        <f>ROUND((($J$902*$J$929*(1/$J$956-1/$J$1010))/1000)*$J$1203*$J$1220,2)</f>
        <v>395.68</v>
      </c>
      <c r="G829" s="287" t="s">
        <v>258</v>
      </c>
      <c r="H829" s="136">
        <f>VLOOKUP(G829,'CP FACTORS'!$A$3:$B$38, 2, FALSE)</f>
        <v>0</v>
      </c>
      <c r="I829" s="2732">
        <f>ROUND(F829*H829,6)</f>
        <v>0</v>
      </c>
      <c r="J829" s="340">
        <f>J827</f>
        <v>18</v>
      </c>
      <c r="K829" s="1302">
        <f>K827</f>
        <v>0</v>
      </c>
      <c r="L829" s="206"/>
      <c r="M829" s="129"/>
      <c r="N829" s="106"/>
      <c r="O829" s="106"/>
      <c r="P829" s="129"/>
      <c r="Q829" s="129"/>
      <c r="R829" s="1299"/>
      <c r="S829" s="106"/>
      <c r="T829" s="129"/>
      <c r="U829" s="129"/>
      <c r="V829" s="112" t="s">
        <v>30</v>
      </c>
      <c r="W829" s="2906"/>
      <c r="X829" s="617"/>
      <c r="Y829" s="96">
        <v>236.58</v>
      </c>
      <c r="Z829" s="93">
        <v>236.58</v>
      </c>
      <c r="AA829" s="93">
        <v>236.58</v>
      </c>
      <c r="AB829" s="1540">
        <v>222.52</v>
      </c>
      <c r="AC829" s="1591">
        <v>242.92</v>
      </c>
      <c r="AD829" s="2299">
        <v>395.68</v>
      </c>
      <c r="AE829" s="1741"/>
      <c r="AF829" s="2904"/>
      <c r="AG829" s="2834"/>
      <c r="AH829" s="2907"/>
      <c r="AI829" s="2907"/>
      <c r="AJ829" s="2908"/>
      <c r="AK829" s="2908"/>
      <c r="AL829" s="2908"/>
      <c r="AM829" s="2908"/>
      <c r="AN829" s="2908"/>
      <c r="AO829" s="2908"/>
      <c r="AP829" s="156"/>
      <c r="AQ829" s="156"/>
      <c r="AR829" s="156"/>
      <c r="AS829" s="156"/>
      <c r="AT829" s="156"/>
      <c r="AU829" s="156"/>
      <c r="AV829" s="156"/>
      <c r="AW829" s="156"/>
      <c r="AX829" s="156"/>
      <c r="AY829" s="156"/>
      <c r="AZ829" s="156"/>
      <c r="BA829" s="156"/>
      <c r="BB829" s="2835"/>
      <c r="BC829" s="2349" t="str">
        <f>CONCATENATE(G829," ",J829," Year EUL")</f>
        <v>Heating RES 18 Year EUL</v>
      </c>
      <c r="BD829" s="2829">
        <f>(INDEX('Avoided Cost Benefits'!$E$4:$E$859,MATCH(BC829,'Avoided Cost Benefits'!$A$4:$A$859,0)))*F829</f>
        <v>176.41145821756902</v>
      </c>
      <c r="BE829" s="858">
        <f>K829/(1.0595^(2020-2019))</f>
        <v>0</v>
      </c>
      <c r="BF829" s="156"/>
    </row>
    <row r="830" spans="1:58" x14ac:dyDescent="0.35">
      <c r="A830" s="1071" t="str">
        <f t="shared" si="84"/>
        <v>351750_2021_12_Cooling RES</v>
      </c>
      <c r="B830" s="106"/>
      <c r="C830" s="50" t="s">
        <v>1021</v>
      </c>
      <c r="D830" s="1279" t="s">
        <v>320</v>
      </c>
      <c r="E830" s="2348" t="s">
        <v>1022</v>
      </c>
      <c r="F830" s="373">
        <f>ROUND((($J$1029*$J$1056*(1/$J$1110-1/$J$1137))/1000)*$J$1181*$J$1220,2)</f>
        <v>1200.76</v>
      </c>
      <c r="G830" s="287" t="s">
        <v>257</v>
      </c>
      <c r="H830" s="136">
        <f>VLOOKUP(G830,'CP FACTORS'!$A$3:$B$38, 2, FALSE)</f>
        <v>9.4741810000000004E-4</v>
      </c>
      <c r="I830" s="2732">
        <f t="shared" si="89"/>
        <v>1.1376219999999999</v>
      </c>
      <c r="J830" s="92">
        <f>J1251</f>
        <v>6</v>
      </c>
      <c r="K830" s="387">
        <f>J1297</f>
        <v>3126.6416558266301</v>
      </c>
      <c r="L830" s="2619">
        <f>K1029</f>
        <v>2</v>
      </c>
      <c r="M830" s="129"/>
      <c r="N830" s="106"/>
      <c r="O830" s="106"/>
      <c r="P830" s="129"/>
      <c r="Q830" s="129"/>
      <c r="R830" s="1299"/>
      <c r="S830" s="106"/>
      <c r="T830" s="129"/>
      <c r="U830" s="129"/>
      <c r="V830" s="112" t="s">
        <v>30</v>
      </c>
      <c r="W830" s="2906">
        <v>971.87426470588241</v>
      </c>
      <c r="X830" s="617">
        <v>1056.3780560562595</v>
      </c>
      <c r="Y830" s="96">
        <v>1175.8</v>
      </c>
      <c r="Z830" s="93">
        <v>1175.8</v>
      </c>
      <c r="AA830" s="93">
        <v>1175.8</v>
      </c>
      <c r="AB830" s="1540">
        <v>1039.47</v>
      </c>
      <c r="AC830" s="1591">
        <v>884.18</v>
      </c>
      <c r="AD830" s="2299">
        <v>1200.76</v>
      </c>
      <c r="AE830" s="373"/>
      <c r="AF830" s="2904"/>
      <c r="AG830" s="2834"/>
      <c r="AH830" s="2907"/>
      <c r="AI830" s="2907"/>
      <c r="AJ830" s="2908"/>
      <c r="AK830" s="2908"/>
      <c r="AL830" s="2908"/>
      <c r="AM830" s="2908"/>
      <c r="AN830" s="2908"/>
      <c r="AO830" s="2908"/>
      <c r="AP830" s="156"/>
      <c r="AQ830" s="156"/>
      <c r="AR830" s="156"/>
      <c r="AS830" s="156"/>
      <c r="AT830" s="156"/>
      <c r="AU830" s="156"/>
      <c r="AV830" s="156"/>
      <c r="AW830" s="156"/>
      <c r="AX830" s="156"/>
      <c r="AY830" s="156"/>
      <c r="AZ830" s="156"/>
      <c r="BA830" s="156"/>
      <c r="BB830" s="2833">
        <f>(BD830+BD831+BD832+BD833)/(BE830+BE831+BE832+BE833)</f>
        <v>1.2175174111619076</v>
      </c>
      <c r="BC830" s="2348" t="str">
        <f t="shared" si="87"/>
        <v>Cooling RES 6 Year EUL</v>
      </c>
      <c r="BD830" s="2829">
        <f>(INDEX('Avoided Cost Benefits'!$E$4:$E$859,MATCH(BC830,'Avoided Cost Benefits'!$A$4:$A$859,0)))*F830</f>
        <v>760.81593228769327</v>
      </c>
      <c r="BE830" s="858">
        <f t="shared" si="88"/>
        <v>2951.0539460374043</v>
      </c>
      <c r="BF830" s="156"/>
    </row>
    <row r="831" spans="1:58" x14ac:dyDescent="0.35">
      <c r="A831" s="1071" t="str">
        <f t="shared" si="84"/>
        <v>351750_2021_12_Heating RES</v>
      </c>
      <c r="B831" s="106"/>
      <c r="C831" s="50" t="s">
        <v>1021</v>
      </c>
      <c r="D831" s="1279" t="s">
        <v>320</v>
      </c>
      <c r="E831" s="2357" t="s">
        <v>1022</v>
      </c>
      <c r="F831" s="373">
        <f>ROUND((($J$894*$J$920*(1/$J$975-1/$J$1002))/1000)*$J$1182*$J$1220,2)</f>
        <v>5287.87</v>
      </c>
      <c r="G831" s="287" t="s">
        <v>258</v>
      </c>
      <c r="H831" s="136">
        <f>VLOOKUP(G831,'CP FACTORS'!$A$3:$B$38, 2, FALSE)</f>
        <v>0</v>
      </c>
      <c r="I831" s="2732">
        <f t="shared" si="89"/>
        <v>0</v>
      </c>
      <c r="J831" s="92">
        <f>J1252</f>
        <v>6</v>
      </c>
      <c r="K831" s="387">
        <f>J1298</f>
        <v>0</v>
      </c>
      <c r="L831" s="206"/>
      <c r="M831" s="129"/>
      <c r="N831" s="106"/>
      <c r="O831" s="106"/>
      <c r="P831" s="129"/>
      <c r="Q831" s="129"/>
      <c r="R831" s="1299"/>
      <c r="S831" s="106"/>
      <c r="T831" s="129"/>
      <c r="U831" s="129"/>
      <c r="V831" s="112" t="s">
        <v>30</v>
      </c>
      <c r="W831" s="2906">
        <v>3391.6348573661585</v>
      </c>
      <c r="X831" s="617">
        <v>3583.6754087630852</v>
      </c>
      <c r="Y831" s="96">
        <v>3822.23</v>
      </c>
      <c r="Z831" s="93">
        <v>3822.23</v>
      </c>
      <c r="AA831" s="93">
        <v>3822.23</v>
      </c>
      <c r="AB831" s="1540">
        <v>3646.53</v>
      </c>
      <c r="AC831" s="1591">
        <v>3895.33</v>
      </c>
      <c r="AD831" s="2299">
        <v>5287.87</v>
      </c>
      <c r="AE831" s="1741"/>
      <c r="AF831" s="2904"/>
      <c r="AG831" s="2834"/>
      <c r="AH831" s="2907"/>
      <c r="AI831" s="2907"/>
      <c r="AJ831" s="2908"/>
      <c r="AK831" s="2908"/>
      <c r="AL831" s="2908"/>
      <c r="AM831" s="2908"/>
      <c r="AN831" s="2908"/>
      <c r="AO831" s="2908"/>
      <c r="AP831" s="156"/>
      <c r="AQ831" s="156"/>
      <c r="AR831" s="156"/>
      <c r="AS831" s="156"/>
      <c r="AT831" s="156"/>
      <c r="AU831" s="156"/>
      <c r="AV831" s="156"/>
      <c r="AW831" s="156"/>
      <c r="AX831" s="156"/>
      <c r="AY831" s="156"/>
      <c r="AZ831" s="156"/>
      <c r="BA831" s="156"/>
      <c r="BB831" s="2905"/>
      <c r="BC831" s="2357" t="str">
        <f t="shared" si="87"/>
        <v>Heating RES 6 Year EUL</v>
      </c>
      <c r="BD831" s="2829">
        <f>(INDEX('Avoided Cost Benefits'!$E$4:$E$859,MATCH(BC831,'Avoided Cost Benefits'!$A$4:$A$859,0)))*F831</f>
        <v>861.61182182122775</v>
      </c>
      <c r="BE831" s="858">
        <f t="shared" si="88"/>
        <v>0</v>
      </c>
      <c r="BF831" s="156"/>
    </row>
    <row r="832" spans="1:58" x14ac:dyDescent="0.35">
      <c r="A832" s="1071" t="str">
        <f t="shared" si="84"/>
        <v>351750_2021_12_Cooling RES ER2</v>
      </c>
      <c r="B832" s="106"/>
      <c r="C832" s="50" t="s">
        <v>1021</v>
      </c>
      <c r="D832" s="1279" t="s">
        <v>320</v>
      </c>
      <c r="E832" s="2357" t="s">
        <v>1023</v>
      </c>
      <c r="F832" s="373">
        <f>ROUND((($J$1029*$J$1056*(1/$J$1083-1/$J$1137))/1000)*$J$1183*$J$1220,2)</f>
        <v>428.89</v>
      </c>
      <c r="G832" s="1279" t="s">
        <v>848</v>
      </c>
      <c r="H832" s="136">
        <f>VLOOKUP(G832,'CP FACTORS'!$A$3:$B$38, 2, FALSE)</f>
        <v>9.4741810000000004E-4</v>
      </c>
      <c r="I832" s="2732">
        <f t="shared" si="89"/>
        <v>0.40633799999999998</v>
      </c>
      <c r="J832" s="92">
        <f>J1253</f>
        <v>12</v>
      </c>
      <c r="K832" s="387">
        <f>J1299</f>
        <v>0</v>
      </c>
      <c r="L832" s="206"/>
      <c r="M832" s="129"/>
      <c r="N832" s="106"/>
      <c r="O832" s="106"/>
      <c r="P832" s="129"/>
      <c r="Q832" s="129"/>
      <c r="R832" s="1299"/>
      <c r="S832" s="106"/>
      <c r="T832" s="129"/>
      <c r="U832" s="129"/>
      <c r="V832" s="112" t="s">
        <v>30</v>
      </c>
      <c r="W832" s="2906">
        <v>306.32250000000005</v>
      </c>
      <c r="X832" s="617">
        <v>343.28687958567122</v>
      </c>
      <c r="Y832" s="96">
        <v>374.15</v>
      </c>
      <c r="Z832" s="93">
        <v>374.15</v>
      </c>
      <c r="AA832" s="93">
        <v>374.15</v>
      </c>
      <c r="AB832" s="1540">
        <v>386.88</v>
      </c>
      <c r="AC832" s="1591">
        <v>362.75</v>
      </c>
      <c r="AD832" s="2299">
        <v>428.89</v>
      </c>
      <c r="AE832" s="1741"/>
      <c r="AF832" s="2904"/>
      <c r="AG832" s="2834"/>
      <c r="AH832" s="2907"/>
      <c r="AI832" s="2907"/>
      <c r="AJ832" s="2908"/>
      <c r="AK832" s="2908"/>
      <c r="AL832" s="2908"/>
      <c r="AM832" s="2908"/>
      <c r="AN832" s="2908"/>
      <c r="AO832" s="2908"/>
      <c r="AP832" s="156"/>
      <c r="AQ832" s="156"/>
      <c r="AR832" s="156"/>
      <c r="AS832" s="156"/>
      <c r="AT832" s="156"/>
      <c r="AU832" s="156"/>
      <c r="AV832" s="156"/>
      <c r="AW832" s="156"/>
      <c r="AX832" s="156"/>
      <c r="AY832" s="156"/>
      <c r="AZ832" s="156"/>
      <c r="BA832" s="156"/>
      <c r="BB832" s="2905"/>
      <c r="BC832" s="2357" t="str">
        <f t="shared" si="87"/>
        <v>Cooling RES ER2 12 Year EUL</v>
      </c>
      <c r="BD832" s="2829">
        <f>(INDEX('Avoided Cost Benefits'!$E$4:$E$859,MATCH(BC832,'Avoided Cost Benefits'!$A$4:$A$859,0)))*F832</f>
        <v>474.57979497878665</v>
      </c>
      <c r="BE832" s="858">
        <f t="shared" si="88"/>
        <v>0</v>
      </c>
      <c r="BF832" s="156"/>
    </row>
    <row r="833" spans="1:58" x14ac:dyDescent="0.35">
      <c r="A833" s="1071" t="str">
        <f t="shared" si="84"/>
        <v>351750_2021_12_Heating RES ER2</v>
      </c>
      <c r="B833" s="106"/>
      <c r="C833" s="50" t="s">
        <v>1021</v>
      </c>
      <c r="D833" s="1279" t="s">
        <v>320</v>
      </c>
      <c r="E833" s="2349" t="s">
        <v>1023</v>
      </c>
      <c r="F833" s="373">
        <f>ROUND((($J$894*$J$920*(1/$J$948-1/$J$1002))/1000)*$J$1184*$J$1220,2)</f>
        <v>5287.87</v>
      </c>
      <c r="G833" s="74" t="s">
        <v>997</v>
      </c>
      <c r="H833" s="136">
        <f>VLOOKUP(G833,'CP FACTORS'!$A$3:$B$38, 2, FALSE)</f>
        <v>0</v>
      </c>
      <c r="I833" s="2732">
        <f t="shared" si="89"/>
        <v>0</v>
      </c>
      <c r="J833" s="92">
        <f>J1254</f>
        <v>12</v>
      </c>
      <c r="K833" s="387">
        <f>J1300</f>
        <v>0</v>
      </c>
      <c r="L833" s="206"/>
      <c r="M833" s="129"/>
      <c r="N833" s="106"/>
      <c r="O833" s="106"/>
      <c r="P833" s="129"/>
      <c r="Q833" s="129"/>
      <c r="R833" s="1299"/>
      <c r="S833" s="106"/>
      <c r="T833" s="129"/>
      <c r="U833" s="129"/>
      <c r="V833" s="112" t="s">
        <v>30</v>
      </c>
      <c r="W833" s="2906">
        <v>725.33333333333314</v>
      </c>
      <c r="X833" s="617">
        <v>3586.6841445343662</v>
      </c>
      <c r="Y833" s="96">
        <v>3822.23</v>
      </c>
      <c r="Z833" s="93">
        <v>3822.23</v>
      </c>
      <c r="AA833" s="93">
        <v>3822.23</v>
      </c>
      <c r="AB833" s="1540">
        <v>3646.53</v>
      </c>
      <c r="AC833" s="1591">
        <v>3895.33</v>
      </c>
      <c r="AD833" s="2299">
        <v>5287.87</v>
      </c>
      <c r="AE833" s="1741"/>
      <c r="AF833" s="2904"/>
      <c r="AG833" s="2834"/>
      <c r="AH833" s="2907"/>
      <c r="AI833" s="2907"/>
      <c r="AJ833" s="2908"/>
      <c r="AK833" s="2908"/>
      <c r="AL833" s="2908"/>
      <c r="AM833" s="2908"/>
      <c r="AN833" s="2908"/>
      <c r="AO833" s="2908"/>
      <c r="AP833" s="156"/>
      <c r="AQ833" s="156"/>
      <c r="AR833" s="156"/>
      <c r="AS833" s="156"/>
      <c r="AT833" s="156"/>
      <c r="AU833" s="156"/>
      <c r="AV833" s="156"/>
      <c r="AW833" s="156"/>
      <c r="AX833" s="156"/>
      <c r="AY833" s="156"/>
      <c r="AZ833" s="156"/>
      <c r="BA833" s="156"/>
      <c r="BB833" s="2905"/>
      <c r="BC833" s="2349" t="str">
        <f t="shared" si="87"/>
        <v>Heating RES ER2 12 Year EUL</v>
      </c>
      <c r="BD833" s="2829">
        <f>(INDEX('Avoided Cost Benefits'!$E$4:$E$859,MATCH(BC833,'Avoided Cost Benefits'!$A$4:$A$859,0)))*F833</f>
        <v>1495.9520114908848</v>
      </c>
      <c r="BE833" s="858">
        <f t="shared" si="88"/>
        <v>0</v>
      </c>
      <c r="BF833" s="156"/>
    </row>
    <row r="834" spans="1:58" x14ac:dyDescent="0.35">
      <c r="A834" s="1071" t="str">
        <f t="shared" si="84"/>
        <v>351751_2021_12_Cooling RES</v>
      </c>
      <c r="B834" s="106"/>
      <c r="C834" s="1037" t="s">
        <v>1024</v>
      </c>
      <c r="D834" s="1301" t="s">
        <v>315</v>
      </c>
      <c r="E834" s="2348" t="s">
        <v>1025</v>
      </c>
      <c r="F834" s="373">
        <f>ROUND((($J$1038*$J$1065*(1/$J$1119-1/$J$1146))/1000)*$J$1204*$J$1220,2)</f>
        <v>788.53</v>
      </c>
      <c r="G834" s="287" t="s">
        <v>257</v>
      </c>
      <c r="H834" s="136">
        <f>VLOOKUP(G834,'CP FACTORS'!$A$3:$B$38, 2, FALSE)</f>
        <v>9.4741810000000004E-4</v>
      </c>
      <c r="I834" s="2732">
        <f>ROUND(F834*H834,6)</f>
        <v>0.74706799999999995</v>
      </c>
      <c r="J834" s="340">
        <f t="shared" ref="J834:K837" si="102">J830</f>
        <v>6</v>
      </c>
      <c r="K834" s="1302">
        <f t="shared" si="102"/>
        <v>3126.6416558266301</v>
      </c>
      <c r="L834" s="206">
        <f>K1038</f>
        <v>2</v>
      </c>
      <c r="M834" s="129"/>
      <c r="N834" s="106"/>
      <c r="O834" s="106"/>
      <c r="P834" s="129"/>
      <c r="Q834" s="129"/>
      <c r="R834" s="1299"/>
      <c r="S834" s="106"/>
      <c r="T834" s="129"/>
      <c r="U834" s="129"/>
      <c r="V834" s="112" t="s">
        <v>30</v>
      </c>
      <c r="W834" s="2906"/>
      <c r="X834" s="617"/>
      <c r="Y834" s="96">
        <v>1036.93</v>
      </c>
      <c r="Z834" s="93">
        <v>1036.93</v>
      </c>
      <c r="AA834" s="93">
        <v>1036.93</v>
      </c>
      <c r="AB834" s="1540">
        <v>682.61</v>
      </c>
      <c r="AC834" s="1591">
        <v>580.64</v>
      </c>
      <c r="AD834" s="2299">
        <v>788.53</v>
      </c>
      <c r="AE834" s="1741"/>
      <c r="AF834" s="2904"/>
      <c r="AG834" s="2834"/>
      <c r="AH834" s="2907"/>
      <c r="AI834" s="2907"/>
      <c r="AJ834" s="2908"/>
      <c r="AK834" s="2908"/>
      <c r="AL834" s="2908"/>
      <c r="AM834" s="2908"/>
      <c r="AN834" s="2908"/>
      <c r="AO834" s="2908"/>
      <c r="AP834" s="156"/>
      <c r="AQ834" s="156"/>
      <c r="AR834" s="156"/>
      <c r="AS834" s="156"/>
      <c r="AT834" s="156"/>
      <c r="AU834" s="156"/>
      <c r="AV834" s="156"/>
      <c r="AW834" s="156"/>
      <c r="AX834" s="156"/>
      <c r="AY834" s="156"/>
      <c r="AZ834" s="156"/>
      <c r="BA834" s="156"/>
      <c r="BB834" s="2833">
        <f>(BD834+BD835+BD836+BD837)/(BE834+BE835+BE836+BE837)</f>
        <v>0.57855028977337208</v>
      </c>
      <c r="BC834" s="2348" t="str">
        <f>CONCATENATE(G834," ",J834," Year EUL")</f>
        <v>Cooling RES 6 Year EUL</v>
      </c>
      <c r="BD834" s="2829">
        <f>(INDEX('Avoided Cost Benefits'!$E$4:$E$859,MATCH(BC834,'Avoided Cost Benefits'!$A$4:$A$859,0)))*F834</f>
        <v>499.62206193312136</v>
      </c>
      <c r="BE834" s="858">
        <f>K834/(1.0595^(2020-2019))</f>
        <v>2951.0539460374043</v>
      </c>
      <c r="BF834" s="156"/>
    </row>
    <row r="835" spans="1:58" x14ac:dyDescent="0.35">
      <c r="A835" s="1071" t="str">
        <f t="shared" si="84"/>
        <v>351751_2021_12_Heating RES</v>
      </c>
      <c r="B835" s="106"/>
      <c r="C835" s="1037" t="s">
        <v>1024</v>
      </c>
      <c r="D835" s="1301" t="s">
        <v>315</v>
      </c>
      <c r="E835" s="2357" t="s">
        <v>1025</v>
      </c>
      <c r="F835" s="373">
        <f>ROUND((($J$903*$J$930*(1/$J$984-1/$J$1011))/1000)*$J$1205*$J$1220,2)</f>
        <v>2009.8</v>
      </c>
      <c r="G835" s="287" t="s">
        <v>258</v>
      </c>
      <c r="H835" s="136">
        <f>VLOOKUP(G835,'CP FACTORS'!$A$3:$B$38, 2, FALSE)</f>
        <v>0</v>
      </c>
      <c r="I835" s="2732">
        <f>ROUND(F835*H835,6)</f>
        <v>0</v>
      </c>
      <c r="J835" s="340">
        <f t="shared" si="102"/>
        <v>6</v>
      </c>
      <c r="K835" s="1302">
        <f t="shared" si="102"/>
        <v>0</v>
      </c>
      <c r="L835" s="206"/>
      <c r="M835" s="129"/>
      <c r="N835" s="106"/>
      <c r="O835" s="106"/>
      <c r="P835" s="129"/>
      <c r="Q835" s="129"/>
      <c r="R835" s="1299"/>
      <c r="S835" s="106"/>
      <c r="T835" s="129"/>
      <c r="U835" s="129"/>
      <c r="V835" s="112" t="s">
        <v>30</v>
      </c>
      <c r="W835" s="2906"/>
      <c r="X835" s="617"/>
      <c r="Y835" s="96">
        <v>1759.56</v>
      </c>
      <c r="Z835" s="93">
        <v>1759.56</v>
      </c>
      <c r="AA835" s="93">
        <v>1759.56</v>
      </c>
      <c r="AB835" s="1540">
        <v>1385.96</v>
      </c>
      <c r="AC835" s="1591">
        <v>1480.53</v>
      </c>
      <c r="AD835" s="2299">
        <v>2009.8</v>
      </c>
      <c r="AE835" s="1741"/>
      <c r="AF835" s="2904"/>
      <c r="AG835" s="2834"/>
      <c r="AH835" s="2907"/>
      <c r="AI835" s="2907"/>
      <c r="AJ835" s="2908"/>
      <c r="AK835" s="2908"/>
      <c r="AL835" s="2908"/>
      <c r="AM835" s="2908"/>
      <c r="AN835" s="2908"/>
      <c r="AO835" s="2908"/>
      <c r="AP835" s="156"/>
      <c r="AQ835" s="156"/>
      <c r="AR835" s="156"/>
      <c r="AS835" s="156"/>
      <c r="AT835" s="156"/>
      <c r="AU835" s="156"/>
      <c r="AV835" s="156"/>
      <c r="AW835" s="156"/>
      <c r="AX835" s="156"/>
      <c r="AY835" s="156"/>
      <c r="AZ835" s="156"/>
      <c r="BA835" s="156"/>
      <c r="BB835" s="2905"/>
      <c r="BC835" s="2357" t="str">
        <f>CONCATENATE(G835," ",J835," Year EUL")</f>
        <v>Heating RES 6 Year EUL</v>
      </c>
      <c r="BD835" s="2829">
        <f>(INDEX('Avoided Cost Benefits'!$E$4:$E$859,MATCH(BC835,'Avoided Cost Benefits'!$A$4:$A$859,0)))*F835</f>
        <v>327.47920041459099</v>
      </c>
      <c r="BE835" s="858">
        <f>K835/(1.0595^(2020-2019))</f>
        <v>0</v>
      </c>
      <c r="BF835" s="156"/>
    </row>
    <row r="836" spans="1:58" x14ac:dyDescent="0.35">
      <c r="A836" s="1071" t="str">
        <f t="shared" si="84"/>
        <v>351751_2021_12_Cooling RES ER2</v>
      </c>
      <c r="B836" s="1663"/>
      <c r="C836" s="1037" t="s">
        <v>1024</v>
      </c>
      <c r="D836" s="1301" t="s">
        <v>315</v>
      </c>
      <c r="E836" s="2357" t="s">
        <v>1026</v>
      </c>
      <c r="F836" s="373">
        <f>ROUND((($J$1038*$J$1065*(1/$J$1092-1/$J$1146))/1000)*$J$1206*$J$1220,2)</f>
        <v>281.64999999999998</v>
      </c>
      <c r="G836" s="1279" t="s">
        <v>848</v>
      </c>
      <c r="H836" s="136">
        <f>VLOOKUP(G836,'CP FACTORS'!$A$3:$B$38, 2, FALSE)</f>
        <v>9.4741810000000004E-4</v>
      </c>
      <c r="I836" s="2732">
        <f>ROUND(F836*H836,6)</f>
        <v>0.26684000000000002</v>
      </c>
      <c r="J836" s="340">
        <f t="shared" si="102"/>
        <v>12</v>
      </c>
      <c r="K836" s="1302">
        <f t="shared" si="102"/>
        <v>0</v>
      </c>
      <c r="L836" s="206"/>
      <c r="M836" s="129"/>
      <c r="N836" s="106"/>
      <c r="O836" s="106"/>
      <c r="P836" s="129"/>
      <c r="Q836" s="129"/>
      <c r="R836" s="1299"/>
      <c r="S836" s="106"/>
      <c r="T836" s="129"/>
      <c r="U836" s="129"/>
      <c r="V836" s="112" t="s">
        <v>30</v>
      </c>
      <c r="W836" s="2906"/>
      <c r="X836" s="617"/>
      <c r="Y836" s="96">
        <v>329.96</v>
      </c>
      <c r="Z836" s="93">
        <v>329.96</v>
      </c>
      <c r="AA836" s="93">
        <v>329.96</v>
      </c>
      <c r="AB836" s="1540">
        <v>254.06</v>
      </c>
      <c r="AC836" s="1591">
        <v>238.21</v>
      </c>
      <c r="AD836" s="2299">
        <v>281.64999999999998</v>
      </c>
      <c r="AE836" s="1741"/>
      <c r="AF836" s="2904"/>
      <c r="AG836" s="2834"/>
      <c r="AH836" s="2907"/>
      <c r="AI836" s="2907"/>
      <c r="AJ836" s="2908"/>
      <c r="AK836" s="2908"/>
      <c r="AL836" s="2908"/>
      <c r="AM836" s="2908"/>
      <c r="AN836" s="2908"/>
      <c r="AO836" s="2908"/>
      <c r="AP836" s="156"/>
      <c r="AQ836" s="156"/>
      <c r="AR836" s="156"/>
      <c r="AS836" s="156"/>
      <c r="AT836" s="156"/>
      <c r="AU836" s="156"/>
      <c r="AV836" s="156"/>
      <c r="AW836" s="156"/>
      <c r="AX836" s="156"/>
      <c r="AY836" s="156"/>
      <c r="AZ836" s="156"/>
      <c r="BA836" s="156"/>
      <c r="BB836" s="2905"/>
      <c r="BC836" s="2357" t="str">
        <f>CONCATENATE(G836," ",J836," Year EUL")</f>
        <v>Cooling RES ER2 12 Year EUL</v>
      </c>
      <c r="BD836" s="2829">
        <f>(INDEX('Avoided Cost Benefits'!$E$4:$E$859,MATCH(BC836,'Avoided Cost Benefits'!$A$4:$A$859,0)))*F836</f>
        <v>311.65426859049001</v>
      </c>
      <c r="BE836" s="858">
        <f>K836/(1.0595^(2020-2019))</f>
        <v>0</v>
      </c>
      <c r="BF836" s="156"/>
    </row>
    <row r="837" spans="1:58" x14ac:dyDescent="0.35">
      <c r="A837" s="1071" t="str">
        <f t="shared" si="84"/>
        <v>351751_2021_12_Heating RES ER2</v>
      </c>
      <c r="B837" s="1663"/>
      <c r="C837" s="1037" t="s">
        <v>1024</v>
      </c>
      <c r="D837" s="1301" t="s">
        <v>315</v>
      </c>
      <c r="E837" s="2349" t="s">
        <v>1026</v>
      </c>
      <c r="F837" s="373">
        <f>ROUND((($J$903*$J$930*(1/$J$957-1/$J$1011))/1000)*$J$1207*$J$1220,2)</f>
        <v>2009.8</v>
      </c>
      <c r="G837" s="74" t="s">
        <v>997</v>
      </c>
      <c r="H837" s="136">
        <f>VLOOKUP(G837,'CP FACTORS'!$A$3:$B$38, 2, FALSE)</f>
        <v>0</v>
      </c>
      <c r="I837" s="2732">
        <f>ROUND(F837*H837,6)</f>
        <v>0</v>
      </c>
      <c r="J837" s="340">
        <f t="shared" si="102"/>
        <v>12</v>
      </c>
      <c r="K837" s="2769">
        <f t="shared" si="102"/>
        <v>0</v>
      </c>
      <c r="L837" s="206"/>
      <c r="M837" s="129"/>
      <c r="N837" s="106"/>
      <c r="O837" s="106"/>
      <c r="P837" s="129"/>
      <c r="Q837" s="129"/>
      <c r="R837" s="1299"/>
      <c r="S837" s="106"/>
      <c r="T837" s="129"/>
      <c r="U837" s="129"/>
      <c r="V837" s="112" t="s">
        <v>30</v>
      </c>
      <c r="W837" s="2906"/>
      <c r="X837" s="617"/>
      <c r="Y837" s="96">
        <v>1759.56</v>
      </c>
      <c r="Z837" s="93">
        <v>1759.56</v>
      </c>
      <c r="AA837" s="93">
        <v>1759.56</v>
      </c>
      <c r="AB837" s="1540">
        <v>1385.96</v>
      </c>
      <c r="AC837" s="1591">
        <v>1480.53</v>
      </c>
      <c r="AD837" s="2299">
        <v>2009.8</v>
      </c>
      <c r="AE837" s="1741"/>
      <c r="AF837" s="2904"/>
      <c r="AG837" s="2834"/>
      <c r="AH837" s="2907"/>
      <c r="AI837" s="2907"/>
      <c r="AJ837" s="2908"/>
      <c r="AK837" s="2908"/>
      <c r="AL837" s="2908"/>
      <c r="AM837" s="2908"/>
      <c r="AN837" s="2908"/>
      <c r="AO837" s="2908"/>
      <c r="AP837" s="156"/>
      <c r="AQ837" s="156"/>
      <c r="AR837" s="156"/>
      <c r="AS837" s="156"/>
      <c r="AT837" s="156"/>
      <c r="AU837" s="156"/>
      <c r="AV837" s="156"/>
      <c r="AW837" s="156"/>
      <c r="AX837" s="156"/>
      <c r="AY837" s="156"/>
      <c r="AZ837" s="156"/>
      <c r="BA837" s="156"/>
      <c r="BB837" s="2905"/>
      <c r="BC837" s="2349" t="str">
        <f>CONCATENATE(G837," ",J837," Year EUL")</f>
        <v>Heating RES ER2 12 Year EUL</v>
      </c>
      <c r="BD837" s="2829">
        <f>(INDEX('Avoided Cost Benefits'!$E$4:$E$859,MATCH(BC837,'Avoided Cost Benefits'!$A$4:$A$859,0)))*F837</f>
        <v>568.57758467859082</v>
      </c>
      <c r="BE837" s="858">
        <f>K837/(1.0595^(2020-2019))</f>
        <v>0</v>
      </c>
      <c r="BF837" s="156"/>
    </row>
    <row r="838" spans="1:58" x14ac:dyDescent="0.35">
      <c r="A838" s="1071" t="str">
        <f t="shared" ref="A838:A845" si="103">C838&amp;G838</f>
        <v>351752_2022_12_Cooling RES</v>
      </c>
      <c r="B838" s="1663"/>
      <c r="C838" s="1599" t="s">
        <v>4366</v>
      </c>
      <c r="D838" s="2141" t="s">
        <v>320</v>
      </c>
      <c r="E838" s="2738" t="s">
        <v>4368</v>
      </c>
      <c r="F838" s="373">
        <f>ROUND((($J$1031*$J$1058*(1/$J$1112-1/$J$1139))/1000)*$J$1185*$J$1220,2)</f>
        <v>1093.24</v>
      </c>
      <c r="G838" s="619" t="s">
        <v>257</v>
      </c>
      <c r="H838" s="2720">
        <f>VLOOKUP(G838,'CP FACTORS'!$A$3:$B$38, 2, FALSE)</f>
        <v>9.4741810000000004E-4</v>
      </c>
      <c r="I838" s="2732">
        <f t="shared" ref="I838:I841" si="104">ROUND(F838*H838,6)</f>
        <v>1.035755</v>
      </c>
      <c r="J838" s="100">
        <f>J1255</f>
        <v>6</v>
      </c>
      <c r="K838" s="475">
        <f>J1301</f>
        <v>3126.6416558266301</v>
      </c>
      <c r="L838" s="2619">
        <f>K1031</f>
        <v>2</v>
      </c>
      <c r="M838" s="2749"/>
      <c r="N838" s="106"/>
      <c r="O838" s="106"/>
      <c r="P838" s="2749"/>
      <c r="Q838" s="2749"/>
      <c r="R838" s="2750"/>
      <c r="S838" s="106"/>
      <c r="T838" s="2749"/>
      <c r="U838" s="2749"/>
      <c r="V838" s="1575" t="s">
        <v>30</v>
      </c>
      <c r="W838" s="2751"/>
      <c r="X838" s="617"/>
      <c r="Y838" s="96"/>
      <c r="Z838" s="96"/>
      <c r="AA838" s="96"/>
      <c r="AB838" s="1540"/>
      <c r="AC838" s="1591"/>
      <c r="AD838" s="2299">
        <v>1093.24</v>
      </c>
      <c r="AE838" s="373"/>
      <c r="AF838" s="2904"/>
      <c r="AG838" s="1575"/>
      <c r="AH838" s="2752"/>
      <c r="AI838" s="2752"/>
      <c r="AJ838" s="2749"/>
      <c r="AK838" s="2749"/>
      <c r="AL838" s="2749"/>
      <c r="AM838" s="2749"/>
      <c r="AN838" s="2749"/>
      <c r="AO838" s="2749"/>
      <c r="AP838" s="84"/>
      <c r="AQ838" s="84"/>
      <c r="AR838" s="84"/>
      <c r="AS838" s="84"/>
      <c r="AT838" s="84"/>
      <c r="AU838" s="84"/>
      <c r="AV838" s="84"/>
      <c r="AW838" s="84"/>
      <c r="AX838" s="84"/>
      <c r="AY838" s="84"/>
      <c r="AZ838" s="84"/>
      <c r="BA838" s="84"/>
      <c r="BB838" s="2741">
        <f>(BD838+BD839+BD840+BD841)/(BE838+BE839+BE840+BE841)</f>
        <v>0.39554335078926811</v>
      </c>
      <c r="BC838" s="2738" t="str">
        <f t="shared" ref="BC838:BC841" si="105">CONCATENATE(G838," ",J838," Year EUL")</f>
        <v>Cooling RES 6 Year EUL</v>
      </c>
      <c r="BD838" s="1841">
        <f>(INDEX('Avoided Cost Benefits'!$E$4:$E$859,MATCH(BC838,'Avoided Cost Benefits'!$A$4:$A$859,0)))*F838</f>
        <v>692.68997119674032</v>
      </c>
      <c r="BE838" s="2507">
        <f t="shared" ref="BE838:BE841" si="106">K838/(1.0595^(2020-2019))</f>
        <v>2951.0539460374043</v>
      </c>
      <c r="BF838" s="84"/>
    </row>
    <row r="839" spans="1:58" x14ac:dyDescent="0.35">
      <c r="A839" s="1071" t="str">
        <f t="shared" si="103"/>
        <v>351752_2022_12_Heating RES</v>
      </c>
      <c r="B839" s="1663"/>
      <c r="C839" s="1599" t="s">
        <v>4366</v>
      </c>
      <c r="D839" s="2141" t="s">
        <v>320</v>
      </c>
      <c r="E839" s="2742" t="s">
        <v>4368</v>
      </c>
      <c r="F839" s="373">
        <f>0</f>
        <v>0</v>
      </c>
      <c r="G839" s="619" t="s">
        <v>258</v>
      </c>
      <c r="H839" s="2720">
        <f>VLOOKUP(G839,'CP FACTORS'!$A$3:$B$38, 2, FALSE)</f>
        <v>0</v>
      </c>
      <c r="I839" s="2732">
        <f t="shared" si="104"/>
        <v>0</v>
      </c>
      <c r="J839" s="100">
        <f t="shared" ref="J839:J841" si="107">J1256</f>
        <v>6</v>
      </c>
      <c r="K839" s="475">
        <f>J1302</f>
        <v>0</v>
      </c>
      <c r="L839" s="2619"/>
      <c r="M839" s="2749"/>
      <c r="N839" s="106"/>
      <c r="O839" s="106"/>
      <c r="P839" s="2749"/>
      <c r="Q839" s="2749"/>
      <c r="R839" s="2750"/>
      <c r="S839" s="106"/>
      <c r="T839" s="2749"/>
      <c r="U839" s="2749"/>
      <c r="V839" s="1575" t="s">
        <v>30</v>
      </c>
      <c r="W839" s="2751"/>
      <c r="X839" s="617"/>
      <c r="Y839" s="96"/>
      <c r="Z839" s="96"/>
      <c r="AA839" s="96"/>
      <c r="AB839" s="1540"/>
      <c r="AC839" s="1591"/>
      <c r="AD839" s="2299">
        <v>0</v>
      </c>
      <c r="AE839" s="373"/>
      <c r="AF839" s="2904"/>
      <c r="AG839" s="1575"/>
      <c r="AH839" s="2752"/>
      <c r="AI839" s="2752"/>
      <c r="AJ839" s="2749"/>
      <c r="AK839" s="2749"/>
      <c r="AL839" s="2749"/>
      <c r="AM839" s="2749"/>
      <c r="AN839" s="2749"/>
      <c r="AO839" s="2749"/>
      <c r="AP839" s="84"/>
      <c r="AQ839" s="84"/>
      <c r="AR839" s="84"/>
      <c r="AS839" s="84"/>
      <c r="AT839" s="84"/>
      <c r="AU839" s="84"/>
      <c r="AV839" s="84"/>
      <c r="AW839" s="84"/>
      <c r="AX839" s="84"/>
      <c r="AY839" s="84"/>
      <c r="AZ839" s="84"/>
      <c r="BA839" s="84"/>
      <c r="BB839" s="2743"/>
      <c r="BC839" s="2742" t="str">
        <f t="shared" si="105"/>
        <v>Heating RES 6 Year EUL</v>
      </c>
      <c r="BD839" s="1841">
        <f>(INDEX('Avoided Cost Benefits'!$E$4:$E$859,MATCH(BC839,'Avoided Cost Benefits'!$A$4:$A$859,0)))*F839</f>
        <v>0</v>
      </c>
      <c r="BE839" s="2507">
        <f t="shared" si="106"/>
        <v>0</v>
      </c>
      <c r="BF839" s="84"/>
    </row>
    <row r="840" spans="1:58" x14ac:dyDescent="0.35">
      <c r="A840" s="1071" t="str">
        <f t="shared" si="103"/>
        <v>351752_2022_12_Cooling RES ER2</v>
      </c>
      <c r="B840" s="1663"/>
      <c r="C840" s="1599" t="s">
        <v>4366</v>
      </c>
      <c r="D840" s="2141" t="s">
        <v>320</v>
      </c>
      <c r="E840" s="2742" t="s">
        <v>4369</v>
      </c>
      <c r="F840" s="373">
        <f>ROUND((($J$1031*$J$1058*(1/$J$1085-1/$J$1139))/1000)*$J$1188*$J$1220,2)</f>
        <v>428.89</v>
      </c>
      <c r="G840" s="2141" t="s">
        <v>848</v>
      </c>
      <c r="H840" s="2720">
        <f>VLOOKUP(G840,'CP FACTORS'!$A$3:$B$38, 2, FALSE)</f>
        <v>9.4741810000000004E-4</v>
      </c>
      <c r="I840" s="2732">
        <f t="shared" si="104"/>
        <v>0.40633799999999998</v>
      </c>
      <c r="J840" s="100">
        <f t="shared" si="107"/>
        <v>12</v>
      </c>
      <c r="K840" s="475">
        <f>J1303</f>
        <v>0</v>
      </c>
      <c r="L840" s="2619"/>
      <c r="M840" s="2749"/>
      <c r="N840" s="106"/>
      <c r="O840" s="106"/>
      <c r="P840" s="2749"/>
      <c r="Q840" s="2749"/>
      <c r="R840" s="2750"/>
      <c r="S840" s="106"/>
      <c r="T840" s="2749"/>
      <c r="U840" s="2749"/>
      <c r="V840" s="1575" t="s">
        <v>30</v>
      </c>
      <c r="W840" s="2751"/>
      <c r="X840" s="617"/>
      <c r="Y840" s="96"/>
      <c r="Z840" s="96"/>
      <c r="AA840" s="96"/>
      <c r="AB840" s="1540"/>
      <c r="AC840" s="1591"/>
      <c r="AD840" s="2299">
        <v>428.89</v>
      </c>
      <c r="AE840" s="373"/>
      <c r="AF840" s="2904"/>
      <c r="AG840" s="1575"/>
      <c r="AH840" s="2752"/>
      <c r="AI840" s="2752"/>
      <c r="AJ840" s="2749"/>
      <c r="AK840" s="2749"/>
      <c r="AL840" s="2749"/>
      <c r="AM840" s="2749"/>
      <c r="AN840" s="2749"/>
      <c r="AO840" s="2749"/>
      <c r="AP840" s="84"/>
      <c r="AQ840" s="84"/>
      <c r="AR840" s="84"/>
      <c r="AS840" s="84"/>
      <c r="AT840" s="84"/>
      <c r="AU840" s="84"/>
      <c r="AV840" s="84"/>
      <c r="AW840" s="84"/>
      <c r="AX840" s="84"/>
      <c r="AY840" s="84"/>
      <c r="AZ840" s="84"/>
      <c r="BA840" s="84"/>
      <c r="BB840" s="2743"/>
      <c r="BC840" s="2742" t="str">
        <f t="shared" si="105"/>
        <v>Cooling RES ER2 12 Year EUL</v>
      </c>
      <c r="BD840" s="1841">
        <f>(INDEX('Avoided Cost Benefits'!$E$4:$E$859,MATCH(BC840,'Avoided Cost Benefits'!$A$4:$A$859,0)))*F840</f>
        <v>474.57979497878665</v>
      </c>
      <c r="BE840" s="2507">
        <f t="shared" si="106"/>
        <v>0</v>
      </c>
      <c r="BF840" s="84"/>
    </row>
    <row r="841" spans="1:58" x14ac:dyDescent="0.35">
      <c r="A841" s="1071" t="str">
        <f t="shared" si="103"/>
        <v>351752_2022_12_Heating RES ER2</v>
      </c>
      <c r="B841" s="1663"/>
      <c r="C841" s="1599" t="s">
        <v>4366</v>
      </c>
      <c r="D841" s="2141" t="s">
        <v>320</v>
      </c>
      <c r="E841" s="2744" t="s">
        <v>4369</v>
      </c>
      <c r="F841" s="373">
        <f>0</f>
        <v>0</v>
      </c>
      <c r="G841" s="324" t="s">
        <v>997</v>
      </c>
      <c r="H841" s="2720">
        <f>VLOOKUP(G841,'CP FACTORS'!$A$3:$B$38, 2, FALSE)</f>
        <v>0</v>
      </c>
      <c r="I841" s="2732">
        <f t="shared" si="104"/>
        <v>0</v>
      </c>
      <c r="J841" s="100">
        <f t="shared" si="107"/>
        <v>12</v>
      </c>
      <c r="K841" s="475">
        <f>J1304</f>
        <v>0</v>
      </c>
      <c r="L841" s="2619"/>
      <c r="M841" s="2749"/>
      <c r="N841" s="106"/>
      <c r="O841" s="106"/>
      <c r="P841" s="2749"/>
      <c r="Q841" s="2749"/>
      <c r="R841" s="2750"/>
      <c r="S841" s="106"/>
      <c r="T841" s="2749"/>
      <c r="U841" s="2749"/>
      <c r="V841" s="1575" t="s">
        <v>30</v>
      </c>
      <c r="W841" s="2751"/>
      <c r="X841" s="617"/>
      <c r="Y841" s="96"/>
      <c r="Z841" s="96"/>
      <c r="AA841" s="96"/>
      <c r="AB841" s="1540"/>
      <c r="AC841" s="1591"/>
      <c r="AD841" s="2299">
        <v>0</v>
      </c>
      <c r="AE841" s="373"/>
      <c r="AF841" s="2904"/>
      <c r="AG841" s="1575"/>
      <c r="AH841" s="2752"/>
      <c r="AI841" s="2752"/>
      <c r="AJ841" s="2749"/>
      <c r="AK841" s="2749"/>
      <c r="AL841" s="2749"/>
      <c r="AM841" s="2749"/>
      <c r="AN841" s="2749"/>
      <c r="AO841" s="2749"/>
      <c r="AP841" s="84"/>
      <c r="AQ841" s="84"/>
      <c r="AR841" s="84"/>
      <c r="AS841" s="84"/>
      <c r="AT841" s="84"/>
      <c r="AU841" s="84"/>
      <c r="AV841" s="84"/>
      <c r="AW841" s="84"/>
      <c r="AX841" s="84"/>
      <c r="AY841" s="84"/>
      <c r="AZ841" s="84"/>
      <c r="BA841" s="84"/>
      <c r="BB841" s="2743"/>
      <c r="BC841" s="2744" t="str">
        <f t="shared" si="105"/>
        <v>Heating RES ER2 12 Year EUL</v>
      </c>
      <c r="BD841" s="1841">
        <f>(INDEX('Avoided Cost Benefits'!$E$4:$E$859,MATCH(BC841,'Avoided Cost Benefits'!$A$4:$A$859,0)))*F841</f>
        <v>0</v>
      </c>
      <c r="BE841" s="2507">
        <f t="shared" si="106"/>
        <v>0</v>
      </c>
      <c r="BF841" s="84"/>
    </row>
    <row r="842" spans="1:58" x14ac:dyDescent="0.35">
      <c r="A842" s="1071" t="str">
        <f t="shared" si="103"/>
        <v>351753_2022_12_Cooling RES</v>
      </c>
      <c r="B842" s="1663"/>
      <c r="C842" s="2753" t="s">
        <v>4367</v>
      </c>
      <c r="D842" s="2754" t="s">
        <v>315</v>
      </c>
      <c r="E842" s="2738" t="s">
        <v>4370</v>
      </c>
      <c r="F842" s="373">
        <f>ROUND((($J$1040*$J$1067*(1/$J$1121-1/$J$1148))/1000)*$J$1208*$J$1220,2)</f>
        <v>788.53</v>
      </c>
      <c r="G842" s="619" t="s">
        <v>257</v>
      </c>
      <c r="H842" s="2720">
        <f>VLOOKUP(G842,'CP FACTORS'!$A$3:$B$38, 2, FALSE)</f>
        <v>9.4741810000000004E-4</v>
      </c>
      <c r="I842" s="2732">
        <f>ROUND(F842*H842,6)</f>
        <v>0.74706799999999995</v>
      </c>
      <c r="J842" s="2767">
        <f>J838</f>
        <v>6</v>
      </c>
      <c r="K842" s="2768">
        <f>K838</f>
        <v>3126.6416558266301</v>
      </c>
      <c r="L842" s="2619">
        <f>K1040</f>
        <v>2</v>
      </c>
      <c r="M842" s="2749"/>
      <c r="N842" s="106"/>
      <c r="O842" s="106"/>
      <c r="P842" s="2749"/>
      <c r="Q842" s="2749"/>
      <c r="R842" s="2750"/>
      <c r="S842" s="106"/>
      <c r="T842" s="2749"/>
      <c r="U842" s="2749"/>
      <c r="V842" s="1575" t="s">
        <v>30</v>
      </c>
      <c r="W842" s="2751"/>
      <c r="X842" s="617"/>
      <c r="Y842" s="96"/>
      <c r="Z842" s="96"/>
      <c r="AA842" s="96"/>
      <c r="AB842" s="1540"/>
      <c r="AC842" s="1591"/>
      <c r="AD842" s="2299">
        <v>788.53</v>
      </c>
      <c r="AE842" s="373"/>
      <c r="AF842" s="2904"/>
      <c r="AG842" s="1575"/>
      <c r="AH842" s="2752"/>
      <c r="AI842" s="2752"/>
      <c r="AJ842" s="2749"/>
      <c r="AK842" s="2749"/>
      <c r="AL842" s="2749"/>
      <c r="AM842" s="2749"/>
      <c r="AN842" s="2749"/>
      <c r="AO842" s="2749"/>
      <c r="AP842" s="84"/>
      <c r="AQ842" s="84"/>
      <c r="AR842" s="84"/>
      <c r="AS842" s="84"/>
      <c r="AT842" s="84"/>
      <c r="AU842" s="84"/>
      <c r="AV842" s="84"/>
      <c r="AW842" s="84"/>
      <c r="AX842" s="84"/>
      <c r="AY842" s="84"/>
      <c r="AZ842" s="84"/>
      <c r="BA842" s="84"/>
      <c r="BB842" s="2741">
        <f>(BD842+BD843+BD844+BD845)/(BE842+BE843+BE844+BE845)</f>
        <v>0.27491070829558073</v>
      </c>
      <c r="BC842" s="2738" t="str">
        <f>CONCATENATE(G842," ",J842," Year EUL")</f>
        <v>Cooling RES 6 Year EUL</v>
      </c>
      <c r="BD842" s="1841">
        <f>(INDEX('Avoided Cost Benefits'!$E$4:$E$859,MATCH(BC842,'Avoided Cost Benefits'!$A$4:$A$859,0)))*F842</f>
        <v>499.62206193312136</v>
      </c>
      <c r="BE842" s="2507">
        <f>K842/(1.0595^(2020-2019))</f>
        <v>2951.0539460374043</v>
      </c>
      <c r="BF842" s="84"/>
    </row>
    <row r="843" spans="1:58" x14ac:dyDescent="0.35">
      <c r="A843" s="1071" t="str">
        <f t="shared" si="103"/>
        <v>351753_2022_12_Heating RES</v>
      </c>
      <c r="B843" s="1663"/>
      <c r="C843" s="2753" t="s">
        <v>4367</v>
      </c>
      <c r="D843" s="2754" t="s">
        <v>315</v>
      </c>
      <c r="E843" s="2742" t="s">
        <v>4370</v>
      </c>
      <c r="F843" s="373">
        <f>0</f>
        <v>0</v>
      </c>
      <c r="G843" s="619" t="s">
        <v>258</v>
      </c>
      <c r="H843" s="2720">
        <f>VLOOKUP(G843,'CP FACTORS'!$A$3:$B$38, 2, FALSE)</f>
        <v>0</v>
      </c>
      <c r="I843" s="2732">
        <f>ROUND(F843*H843,6)</f>
        <v>0</v>
      </c>
      <c r="J843" s="2767">
        <f t="shared" ref="J843:K843" si="108">J839</f>
        <v>6</v>
      </c>
      <c r="K843" s="2768">
        <f t="shared" si="108"/>
        <v>0</v>
      </c>
      <c r="L843" s="2619"/>
      <c r="M843" s="2749"/>
      <c r="N843" s="106"/>
      <c r="O843" s="106"/>
      <c r="P843" s="2749"/>
      <c r="Q843" s="2749"/>
      <c r="R843" s="2750"/>
      <c r="S843" s="106"/>
      <c r="T843" s="2749"/>
      <c r="U843" s="2749"/>
      <c r="V843" s="1575" t="s">
        <v>30</v>
      </c>
      <c r="W843" s="2751"/>
      <c r="X843" s="617"/>
      <c r="Y843" s="96"/>
      <c r="Z843" s="96"/>
      <c r="AA843" s="96"/>
      <c r="AB843" s="1540"/>
      <c r="AC843" s="1591"/>
      <c r="AD843" s="2299">
        <v>0</v>
      </c>
      <c r="AE843" s="373"/>
      <c r="AF843" s="2904"/>
      <c r="AG843" s="1575"/>
      <c r="AH843" s="2752"/>
      <c r="AI843" s="2752"/>
      <c r="AJ843" s="2749"/>
      <c r="AK843" s="2749"/>
      <c r="AL843" s="2749"/>
      <c r="AM843" s="2749"/>
      <c r="AN843" s="2749"/>
      <c r="AO843" s="2749"/>
      <c r="AP843" s="84"/>
      <c r="AQ843" s="84"/>
      <c r="AR843" s="84"/>
      <c r="AS843" s="84"/>
      <c r="AT843" s="84"/>
      <c r="AU843" s="84"/>
      <c r="AV843" s="84"/>
      <c r="AW843" s="84"/>
      <c r="AX843" s="84"/>
      <c r="AY843" s="84"/>
      <c r="AZ843" s="84"/>
      <c r="BA843" s="84"/>
      <c r="BB843" s="2743"/>
      <c r="BC843" s="2742" t="str">
        <f>CONCATENATE(G843," ",J843," Year EUL")</f>
        <v>Heating RES 6 Year EUL</v>
      </c>
      <c r="BD843" s="1841">
        <f>(INDEX('Avoided Cost Benefits'!$E$4:$E$859,MATCH(BC843,'Avoided Cost Benefits'!$A$4:$A$859,0)))*F843</f>
        <v>0</v>
      </c>
      <c r="BE843" s="2507">
        <f>K843/(1.0595^(2020-2019))</f>
        <v>0</v>
      </c>
      <c r="BF843" s="84"/>
    </row>
    <row r="844" spans="1:58" x14ac:dyDescent="0.35">
      <c r="A844" s="1071" t="str">
        <f t="shared" si="103"/>
        <v>351753_2022_12_Cooling RES ER2</v>
      </c>
      <c r="B844" s="1663"/>
      <c r="C844" s="2753" t="s">
        <v>4367</v>
      </c>
      <c r="D844" s="2754" t="s">
        <v>315</v>
      </c>
      <c r="E844" s="2742" t="s">
        <v>4371</v>
      </c>
      <c r="F844" s="373">
        <f>ROUND((($J$1040*$J$1067*(1/$J$1094-1/$J$1148))/1000)*$J$1210*$J$1220,2)</f>
        <v>281.64999999999998</v>
      </c>
      <c r="G844" s="2141" t="s">
        <v>848</v>
      </c>
      <c r="H844" s="2720">
        <f>VLOOKUP(G844,'CP FACTORS'!$A$3:$B$38, 2, FALSE)</f>
        <v>9.4741810000000004E-4</v>
      </c>
      <c r="I844" s="2732">
        <f>ROUND(F844*H844,6)</f>
        <v>0.26684000000000002</v>
      </c>
      <c r="J844" s="2767">
        <f t="shared" ref="J844:K844" si="109">J840</f>
        <v>12</v>
      </c>
      <c r="K844" s="2768">
        <f t="shared" si="109"/>
        <v>0</v>
      </c>
      <c r="L844" s="2619"/>
      <c r="M844" s="2749"/>
      <c r="N844" s="106"/>
      <c r="O844" s="106"/>
      <c r="P844" s="2749"/>
      <c r="Q844" s="2749"/>
      <c r="R844" s="2750"/>
      <c r="S844" s="106"/>
      <c r="T844" s="2749"/>
      <c r="U844" s="2749"/>
      <c r="V844" s="1575" t="s">
        <v>30</v>
      </c>
      <c r="W844" s="2751"/>
      <c r="X844" s="617"/>
      <c r="Y844" s="96"/>
      <c r="Z844" s="96"/>
      <c r="AA844" s="96"/>
      <c r="AB844" s="1540"/>
      <c r="AC844" s="1591"/>
      <c r="AD844" s="2299">
        <v>281.64999999999998</v>
      </c>
      <c r="AE844" s="373"/>
      <c r="AF844" s="2904"/>
      <c r="AG844" s="1575"/>
      <c r="AH844" s="2752"/>
      <c r="AI844" s="2752"/>
      <c r="AJ844" s="2749"/>
      <c r="AK844" s="2749"/>
      <c r="AL844" s="2749"/>
      <c r="AM844" s="2749"/>
      <c r="AN844" s="2749"/>
      <c r="AO844" s="2749"/>
      <c r="AP844" s="84"/>
      <c r="AQ844" s="84"/>
      <c r="AR844" s="84"/>
      <c r="AS844" s="84"/>
      <c r="AT844" s="84"/>
      <c r="AU844" s="84"/>
      <c r="AV844" s="84"/>
      <c r="AW844" s="84"/>
      <c r="AX844" s="84"/>
      <c r="AY844" s="84"/>
      <c r="AZ844" s="84"/>
      <c r="BA844" s="84"/>
      <c r="BB844" s="2743"/>
      <c r="BC844" s="2742" t="str">
        <f>CONCATENATE(G844," ",J844," Year EUL")</f>
        <v>Cooling RES ER2 12 Year EUL</v>
      </c>
      <c r="BD844" s="1841">
        <f>(INDEX('Avoided Cost Benefits'!$E$4:$E$859,MATCH(BC844,'Avoided Cost Benefits'!$A$4:$A$859,0)))*F844</f>
        <v>311.65426859049001</v>
      </c>
      <c r="BE844" s="2507">
        <f>K844/(1.0595^(2020-2019))</f>
        <v>0</v>
      </c>
      <c r="BF844" s="84"/>
    </row>
    <row r="845" spans="1:58" x14ac:dyDescent="0.35">
      <c r="A845" s="1071" t="str">
        <f t="shared" si="103"/>
        <v>351753_2022_12_Heating RES ER2</v>
      </c>
      <c r="B845" s="1663"/>
      <c r="C845" s="2753" t="s">
        <v>4367</v>
      </c>
      <c r="D845" s="2754" t="s">
        <v>315</v>
      </c>
      <c r="E845" s="2744" t="s">
        <v>4371</v>
      </c>
      <c r="F845" s="373">
        <f>0</f>
        <v>0</v>
      </c>
      <c r="G845" s="324" t="s">
        <v>997</v>
      </c>
      <c r="H845" s="2720">
        <f>VLOOKUP(G845,'CP FACTORS'!$A$3:$B$38, 2, FALSE)</f>
        <v>0</v>
      </c>
      <c r="I845" s="2732">
        <f>ROUND(F845*H845,6)</f>
        <v>0</v>
      </c>
      <c r="J845" s="2767">
        <f t="shared" ref="J845:K845" si="110">J841</f>
        <v>12</v>
      </c>
      <c r="K845" s="2768">
        <f t="shared" si="110"/>
        <v>0</v>
      </c>
      <c r="L845" s="2619"/>
      <c r="M845" s="2749"/>
      <c r="N845" s="106"/>
      <c r="O845" s="106"/>
      <c r="P845" s="2749"/>
      <c r="Q845" s="2749"/>
      <c r="R845" s="2750"/>
      <c r="S845" s="106"/>
      <c r="T845" s="2749"/>
      <c r="U845" s="2749"/>
      <c r="V845" s="1575" t="s">
        <v>30</v>
      </c>
      <c r="W845" s="2751"/>
      <c r="X845" s="617"/>
      <c r="Y845" s="96"/>
      <c r="Z845" s="96"/>
      <c r="AA845" s="96"/>
      <c r="AB845" s="1540"/>
      <c r="AC845" s="1591"/>
      <c r="AD845" s="2299">
        <v>0</v>
      </c>
      <c r="AE845" s="373"/>
      <c r="AF845" s="2904"/>
      <c r="AG845" s="1575"/>
      <c r="AH845" s="2752"/>
      <c r="AI845" s="2752"/>
      <c r="AJ845" s="2749"/>
      <c r="AK845" s="2749"/>
      <c r="AL845" s="2749"/>
      <c r="AM845" s="2749"/>
      <c r="AN845" s="2749"/>
      <c r="AO845" s="2749"/>
      <c r="AP845" s="84"/>
      <c r="AQ845" s="84"/>
      <c r="AR845" s="84"/>
      <c r="AS845" s="84"/>
      <c r="AT845" s="84"/>
      <c r="AU845" s="84"/>
      <c r="AV845" s="84"/>
      <c r="AW845" s="84"/>
      <c r="AX845" s="84"/>
      <c r="AY845" s="84"/>
      <c r="AZ845" s="84"/>
      <c r="BA845" s="84"/>
      <c r="BB845" s="2743"/>
      <c r="BC845" s="2744" t="str">
        <f>CONCATENATE(G845," ",J845," Year EUL")</f>
        <v>Heating RES ER2 12 Year EUL</v>
      </c>
      <c r="BD845" s="1841">
        <f>(INDEX('Avoided Cost Benefits'!$E$4:$E$859,MATCH(BC845,'Avoided Cost Benefits'!$A$4:$A$859,0)))*F845</f>
        <v>0</v>
      </c>
      <c r="BE845" s="2507">
        <f>K845/(1.0595^(2020-2019))</f>
        <v>0</v>
      </c>
      <c r="BF845" s="84"/>
    </row>
    <row r="846" spans="1:58" x14ac:dyDescent="0.35">
      <c r="A846" s="1071" t="str">
        <f t="shared" si="84"/>
        <v>351800_2021_12_Cooling RES</v>
      </c>
      <c r="B846" s="1663"/>
      <c r="C846" s="50" t="s">
        <v>1027</v>
      </c>
      <c r="D846" s="1279" t="s">
        <v>320</v>
      </c>
      <c r="E846" s="2348" t="s">
        <v>1028</v>
      </c>
      <c r="F846" s="373">
        <f>ROUND((($J$1030*$J$1057*(1/$J$1084-1/$J$1138))/1000)*$J$1189*$J$1220,2)</f>
        <v>345.16</v>
      </c>
      <c r="G846" s="287" t="s">
        <v>257</v>
      </c>
      <c r="H846" s="136">
        <f>VLOOKUP(G846,'CP FACTORS'!$A$3:$B$38, 2, FALSE)</f>
        <v>9.4741810000000004E-4</v>
      </c>
      <c r="I846" s="2732">
        <f t="shared" si="89"/>
        <v>0.327011</v>
      </c>
      <c r="J846" s="92">
        <f>J1259</f>
        <v>18</v>
      </c>
      <c r="K846" s="1845">
        <f>J1305</f>
        <v>364.64165582663026</v>
      </c>
      <c r="L846" s="2619">
        <f>K1030</f>
        <v>2</v>
      </c>
      <c r="M846" s="129"/>
      <c r="N846" s="106"/>
      <c r="O846" s="106"/>
      <c r="P846" s="129"/>
      <c r="Q846" s="129"/>
      <c r="R846" s="1299"/>
      <c r="S846" s="106"/>
      <c r="T846" s="129"/>
      <c r="U846" s="129"/>
      <c r="V846" s="112" t="s">
        <v>30</v>
      </c>
      <c r="W846" s="2906">
        <v>290.63222222222231</v>
      </c>
      <c r="X846" s="617">
        <v>343.28687958567122</v>
      </c>
      <c r="Y846" s="96">
        <v>335.42</v>
      </c>
      <c r="Z846" s="93">
        <v>335.42</v>
      </c>
      <c r="AA846" s="93">
        <v>335.42</v>
      </c>
      <c r="AB846" s="1540">
        <v>345.19</v>
      </c>
      <c r="AC846" s="1591">
        <v>346.51</v>
      </c>
      <c r="AD846" s="2299">
        <v>345.16</v>
      </c>
      <c r="AE846" s="1741"/>
      <c r="AF846" s="2904"/>
      <c r="AG846" s="2834"/>
      <c r="AH846" s="2907"/>
      <c r="AI846" s="2907"/>
      <c r="AJ846" s="2908"/>
      <c r="AK846" s="2908"/>
      <c r="AL846" s="2908"/>
      <c r="AM846" s="2908"/>
      <c r="AN846" s="2908"/>
      <c r="AO846" s="2908"/>
      <c r="AP846" s="156"/>
      <c r="AQ846" s="156"/>
      <c r="AR846" s="156"/>
      <c r="AS846" s="156"/>
      <c r="AT846" s="156"/>
      <c r="AU846" s="156"/>
      <c r="AV846" s="156"/>
      <c r="AW846" s="156"/>
      <c r="AX846" s="156"/>
      <c r="AY846" s="156"/>
      <c r="AZ846" s="156"/>
      <c r="BA846" s="156"/>
      <c r="BB846" s="2833">
        <f>(BD846+BD847)/(BE846+BE847)</f>
        <v>7.3207145140145355</v>
      </c>
      <c r="BC846" s="2348" t="str">
        <f t="shared" si="87"/>
        <v>Cooling RES 18 Year EUL</v>
      </c>
      <c r="BD846" s="2829">
        <f>(INDEX('Avoided Cost Benefits'!$E$4:$E$859,MATCH(BC846,'Avoided Cost Benefits'!$A$4:$A$859,0)))*F846</f>
        <v>600.62752433853939</v>
      </c>
      <c r="BE846" s="858">
        <f t="shared" si="88"/>
        <v>344.16390356454008</v>
      </c>
      <c r="BF846" s="156"/>
    </row>
    <row r="847" spans="1:58" x14ac:dyDescent="0.35">
      <c r="A847" s="1071" t="str">
        <f t="shared" si="84"/>
        <v>351800_2021_12_Heating RES</v>
      </c>
      <c r="B847" s="1663"/>
      <c r="C847" s="50" t="s">
        <v>1027</v>
      </c>
      <c r="D847" s="1279" t="s">
        <v>320</v>
      </c>
      <c r="E847" s="2349" t="s">
        <v>1028</v>
      </c>
      <c r="F847" s="373">
        <f xml:space="preserve"> ROUND((($J$886*$J$921*(1/$J$949-1/$J$1003))/1000)*$J$1190*$J$1220,2)</f>
        <v>4303.97</v>
      </c>
      <c r="G847" s="287" t="s">
        <v>258</v>
      </c>
      <c r="H847" s="136">
        <f>VLOOKUP(G847,'CP FACTORS'!$A$3:$B$38, 2, FALSE)</f>
        <v>0</v>
      </c>
      <c r="I847" s="2732">
        <f t="shared" si="89"/>
        <v>0</v>
      </c>
      <c r="J847" s="92">
        <f>J1260</f>
        <v>18</v>
      </c>
      <c r="K847" s="387">
        <f>J1306</f>
        <v>0</v>
      </c>
      <c r="L847" s="206"/>
      <c r="M847" s="129"/>
      <c r="N847" s="106"/>
      <c r="O847" s="106"/>
      <c r="P847" s="129"/>
      <c r="Q847" s="129"/>
      <c r="R847" s="1299"/>
      <c r="S847" s="106"/>
      <c r="T847" s="129"/>
      <c r="U847" s="129"/>
      <c r="V847" s="112" t="s">
        <v>30</v>
      </c>
      <c r="W847" s="2906">
        <v>695.97460317460309</v>
      </c>
      <c r="X847" s="617">
        <v>3586.6841445343662</v>
      </c>
      <c r="Y847" s="96">
        <v>4077.05</v>
      </c>
      <c r="Z847" s="93">
        <v>4077.05</v>
      </c>
      <c r="AA847" s="93">
        <v>4077.05</v>
      </c>
      <c r="AB847" s="1540">
        <v>4050.16</v>
      </c>
      <c r="AC847" s="1591">
        <v>4359.3599999999997</v>
      </c>
      <c r="AD847" s="2299">
        <v>4303.97</v>
      </c>
      <c r="AE847" s="1741"/>
      <c r="AF847" s="2904"/>
      <c r="AG847" s="2834"/>
      <c r="AH847" s="2907"/>
      <c r="AI847" s="2907"/>
      <c r="AJ847" s="2908"/>
      <c r="AK847" s="2908"/>
      <c r="AL847" s="2908"/>
      <c r="AM847" s="2908"/>
      <c r="AN847" s="2908"/>
      <c r="AO847" s="2908"/>
      <c r="AP847" s="156"/>
      <c r="AQ847" s="156"/>
      <c r="AR847" s="156"/>
      <c r="AS847" s="156"/>
      <c r="AT847" s="156"/>
      <c r="AU847" s="156"/>
      <c r="AV847" s="156"/>
      <c r="AW847" s="156"/>
      <c r="AX847" s="156"/>
      <c r="AY847" s="156"/>
      <c r="AZ847" s="156"/>
      <c r="BA847" s="156"/>
      <c r="BB847" s="2835"/>
      <c r="BC847" s="2349" t="str">
        <f t="shared" si="87"/>
        <v>Heating RES 18 Year EUL</v>
      </c>
      <c r="BD847" s="2829">
        <f>(INDEX('Avoided Cost Benefits'!$E$4:$E$859,MATCH(BC847,'Avoided Cost Benefits'!$A$4:$A$859,0)))*F847</f>
        <v>1918.8981596862884</v>
      </c>
      <c r="BE847" s="858">
        <f t="shared" si="88"/>
        <v>0</v>
      </c>
      <c r="BF847" s="156"/>
    </row>
    <row r="848" spans="1:58" x14ac:dyDescent="0.35">
      <c r="A848" s="1071" t="str">
        <f t="shared" si="84"/>
        <v>351801_2021_12_Cooling RES</v>
      </c>
      <c r="B848" s="1663"/>
      <c r="C848" s="1037" t="s">
        <v>1029</v>
      </c>
      <c r="D848" s="1301" t="s">
        <v>315</v>
      </c>
      <c r="E848" s="2348" t="s">
        <v>1030</v>
      </c>
      <c r="F848" s="373">
        <f>ROUND((($J$1039*$J$1066*(1/$J$1093-1/$J$1147))/1000)*$J$1212*$J$1220,2)</f>
        <v>226.66</v>
      </c>
      <c r="G848" s="74" t="s">
        <v>257</v>
      </c>
      <c r="H848" s="136">
        <f>VLOOKUP(G848,'CP FACTORS'!$A$3:$B$38, 2, FALSE)</f>
        <v>9.4741810000000004E-4</v>
      </c>
      <c r="I848" s="2732">
        <f>ROUND(F848*H848,6)</f>
        <v>0.21474199999999999</v>
      </c>
      <c r="J848" s="340">
        <f>J846</f>
        <v>18</v>
      </c>
      <c r="K848" s="1302">
        <f>K846</f>
        <v>364.64165582663026</v>
      </c>
      <c r="L848" s="206">
        <f>K1039</f>
        <v>2</v>
      </c>
      <c r="M848" s="129"/>
      <c r="N848" s="106"/>
      <c r="O848" s="106"/>
      <c r="P848" s="129"/>
      <c r="Q848" s="129"/>
      <c r="R848" s="1299"/>
      <c r="S848" s="106"/>
      <c r="T848" s="129"/>
      <c r="U848" s="129"/>
      <c r="V848" s="112" t="s">
        <v>30</v>
      </c>
      <c r="W848" s="2906"/>
      <c r="X848" s="617"/>
      <c r="Y848" s="96">
        <v>295.8</v>
      </c>
      <c r="Z848" s="93">
        <v>295.8</v>
      </c>
      <c r="AA848" s="93">
        <v>295.8</v>
      </c>
      <c r="AB848" s="1540">
        <v>226.68</v>
      </c>
      <c r="AC848" s="1591">
        <v>227.55</v>
      </c>
      <c r="AD848" s="2299">
        <v>226.66</v>
      </c>
      <c r="AE848" s="373"/>
      <c r="AF848" s="2904"/>
      <c r="AG848" s="2834"/>
      <c r="AH848" s="2907"/>
      <c r="AI848" s="2907"/>
      <c r="AJ848" s="2908"/>
      <c r="AK848" s="2908"/>
      <c r="AL848" s="2908"/>
      <c r="AM848" s="2908"/>
      <c r="AN848" s="2908"/>
      <c r="AO848" s="2908"/>
      <c r="AP848" s="156"/>
      <c r="AQ848" s="156"/>
      <c r="AR848" s="156"/>
      <c r="AS848" s="156"/>
      <c r="AT848" s="156"/>
      <c r="AU848" s="156"/>
      <c r="AV848" s="156"/>
      <c r="AW848" s="156"/>
      <c r="AX848" s="156"/>
      <c r="AY848" s="156"/>
      <c r="AZ848" s="156"/>
      <c r="BA848" s="156"/>
      <c r="BB848" s="2833">
        <f>(BD848+BD849)/(BE848+BE849)</f>
        <v>3.7496013694212178</v>
      </c>
      <c r="BC848" s="2348" t="str">
        <f>CONCATENATE(G848," ",J848," Year EUL")</f>
        <v>Cooling RES 18 Year EUL</v>
      </c>
      <c r="BD848" s="2829">
        <f>(INDEX('Avoided Cost Benefits'!$E$4:$E$859,MATCH(BC848,'Avoided Cost Benefits'!$A$4:$A$859,0)))*F848</f>
        <v>394.42065901776954</v>
      </c>
      <c r="BE848" s="858">
        <f>K848/(1.0595^(2020-2019))</f>
        <v>344.16390356454008</v>
      </c>
      <c r="BF848" s="156"/>
    </row>
    <row r="849" spans="1:58" x14ac:dyDescent="0.35">
      <c r="A849" s="1071" t="str">
        <f t="shared" si="84"/>
        <v>351801_2021_12_Heating RES</v>
      </c>
      <c r="B849" s="1663"/>
      <c r="C849" s="1037" t="s">
        <v>1029</v>
      </c>
      <c r="D849" s="1301" t="s">
        <v>315</v>
      </c>
      <c r="E849" s="2349" t="s">
        <v>1030</v>
      </c>
      <c r="F849" s="373">
        <f xml:space="preserve"> ROUND((($J$904*$J$931*(1/$J$958-1/$J$1012))/1000)*$J$1213*$J$1220,2)</f>
        <v>2009.8</v>
      </c>
      <c r="G849" s="287" t="s">
        <v>258</v>
      </c>
      <c r="H849" s="136">
        <f>VLOOKUP(G849,'CP FACTORS'!$A$3:$B$38, 2, FALSE)</f>
        <v>0</v>
      </c>
      <c r="I849" s="2732">
        <f>ROUND(F849*H849,6)</f>
        <v>0</v>
      </c>
      <c r="J849" s="340">
        <f>J847</f>
        <v>18</v>
      </c>
      <c r="K849" s="1302">
        <f>K847</f>
        <v>0</v>
      </c>
      <c r="L849" s="206"/>
      <c r="M849" s="129"/>
      <c r="N849" s="106"/>
      <c r="O849" s="106"/>
      <c r="P849" s="129"/>
      <c r="Q849" s="129"/>
      <c r="R849" s="1299"/>
      <c r="S849" s="106"/>
      <c r="T849" s="129"/>
      <c r="U849" s="129"/>
      <c r="V849" s="112" t="s">
        <v>30</v>
      </c>
      <c r="W849" s="2906"/>
      <c r="X849" s="617"/>
      <c r="Y849" s="96">
        <v>1876.86</v>
      </c>
      <c r="Z849" s="93">
        <v>1876.86</v>
      </c>
      <c r="AA849" s="93">
        <v>1876.86</v>
      </c>
      <c r="AB849" s="1540">
        <v>1539.37</v>
      </c>
      <c r="AC849" s="1591">
        <v>1656.89</v>
      </c>
      <c r="AD849" s="2299">
        <v>2009.8</v>
      </c>
      <c r="AE849" s="1741"/>
      <c r="AF849" s="2904"/>
      <c r="AG849" s="2834"/>
      <c r="AH849" s="2907"/>
      <c r="AI849" s="2907"/>
      <c r="AJ849" s="2908"/>
      <c r="AK849" s="2908"/>
      <c r="AL849" s="2908"/>
      <c r="AM849" s="2908"/>
      <c r="AN849" s="2908"/>
      <c r="AO849" s="2908"/>
      <c r="AP849" s="156"/>
      <c r="AQ849" s="156"/>
      <c r="AR849" s="156"/>
      <c r="AS849" s="156"/>
      <c r="AT849" s="156"/>
      <c r="AU849" s="156"/>
      <c r="AV849" s="156"/>
      <c r="AW849" s="156"/>
      <c r="AX849" s="156"/>
      <c r="AY849" s="156"/>
      <c r="AZ849" s="156"/>
      <c r="BA849" s="156"/>
      <c r="BB849" s="2835"/>
      <c r="BC849" s="2349" t="str">
        <f>CONCATENATE(G849," ",J849," Year EUL")</f>
        <v>Heating RES 18 Year EUL</v>
      </c>
      <c r="BD849" s="2829">
        <f>(INDEX('Avoided Cost Benefits'!$E$4:$E$859,MATCH(BC849,'Avoided Cost Benefits'!$A$4:$A$859,0)))*F849</f>
        <v>896.05678509318193</v>
      </c>
      <c r="BE849" s="858">
        <f>K849/(1.0595^(2020-2019))</f>
        <v>0</v>
      </c>
      <c r="BF849" s="156"/>
    </row>
    <row r="850" spans="1:58" x14ac:dyDescent="0.35">
      <c r="A850" s="1071" t="str">
        <f t="shared" ref="A850:A853" si="111">C850&amp;G850</f>
        <v>351802_2022_12_Cooling RES</v>
      </c>
      <c r="B850" s="1663"/>
      <c r="C850" s="1599" t="s">
        <v>4374</v>
      </c>
      <c r="D850" s="2141" t="s">
        <v>320</v>
      </c>
      <c r="E850" s="2738" t="s">
        <v>4372</v>
      </c>
      <c r="F850" s="373">
        <f>ROUND((($J$1032*$J$1059*(1/$J$1086-1/$J$1140))/1000)*$J$1191*$J$1220,2)</f>
        <v>345.16</v>
      </c>
      <c r="G850" s="619" t="s">
        <v>257</v>
      </c>
      <c r="H850" s="2720">
        <f>VLOOKUP(G850,'CP FACTORS'!$A$3:$B$38, 2, FALSE)</f>
        <v>9.4741810000000004E-4</v>
      </c>
      <c r="I850" s="2732">
        <f t="shared" ref="I850:I851" si="112">ROUND(F850*H850,6)</f>
        <v>0.327011</v>
      </c>
      <c r="J850" s="100">
        <f>J1261</f>
        <v>18</v>
      </c>
      <c r="K850" s="475">
        <f>J1307</f>
        <v>364.64165582663026</v>
      </c>
      <c r="L850" s="2619">
        <f>K1032</f>
        <v>2</v>
      </c>
      <c r="M850" s="2749"/>
      <c r="N850" s="106"/>
      <c r="O850" s="106"/>
      <c r="P850" s="2749"/>
      <c r="Q850" s="2749"/>
      <c r="R850" s="2750"/>
      <c r="S850" s="106"/>
      <c r="T850" s="2749"/>
      <c r="U850" s="2749"/>
      <c r="V850" s="1575" t="s">
        <v>30</v>
      </c>
      <c r="W850" s="2751"/>
      <c r="X850" s="617"/>
      <c r="Y850" s="96"/>
      <c r="Z850" s="96"/>
      <c r="AA850" s="96"/>
      <c r="AB850" s="1540"/>
      <c r="AC850" s="1591"/>
      <c r="AD850" s="2299">
        <v>345.16</v>
      </c>
      <c r="AE850" s="373"/>
      <c r="AF850" s="2904"/>
      <c r="AG850" s="1575"/>
      <c r="AH850" s="2752"/>
      <c r="AI850" s="2752"/>
      <c r="AJ850" s="2749"/>
      <c r="AK850" s="2749"/>
      <c r="AL850" s="2749"/>
      <c r="AM850" s="2749"/>
      <c r="AN850" s="2749"/>
      <c r="AO850" s="2749"/>
      <c r="AP850" s="84"/>
      <c r="AQ850" s="84"/>
      <c r="AR850" s="84"/>
      <c r="AS850" s="84"/>
      <c r="AT850" s="84"/>
      <c r="AU850" s="84"/>
      <c r="AV850" s="84"/>
      <c r="AW850" s="84"/>
      <c r="AX850" s="84"/>
      <c r="AY850" s="84"/>
      <c r="AZ850" s="84"/>
      <c r="BA850" s="84"/>
      <c r="BB850" s="2741">
        <f>(BD850+BD851)/(BE850+BE851)</f>
        <v>1.7451787305925457</v>
      </c>
      <c r="BC850" s="2738" t="str">
        <f t="shared" ref="BC850:BC851" si="113">CONCATENATE(G850," ",J850," Year EUL")</f>
        <v>Cooling RES 18 Year EUL</v>
      </c>
      <c r="BD850" s="1841">
        <f>(INDEX('Avoided Cost Benefits'!$E$4:$E$859,MATCH(BC850,'Avoided Cost Benefits'!$A$4:$A$859,0)))*F850</f>
        <v>600.62752433853939</v>
      </c>
      <c r="BE850" s="2507">
        <f t="shared" ref="BE850:BE851" si="114">K850/(1.0595^(2020-2019))</f>
        <v>344.16390356454008</v>
      </c>
      <c r="BF850" s="84"/>
    </row>
    <row r="851" spans="1:58" x14ac:dyDescent="0.35">
      <c r="A851" s="1071" t="str">
        <f t="shared" si="111"/>
        <v>351802_2022_12_Heating RES</v>
      </c>
      <c r="B851" s="1663"/>
      <c r="C851" s="1599" t="s">
        <v>4374</v>
      </c>
      <c r="D851" s="2141" t="s">
        <v>320</v>
      </c>
      <c r="E851" s="2744" t="s">
        <v>4372</v>
      </c>
      <c r="F851" s="373">
        <f>0</f>
        <v>0</v>
      </c>
      <c r="G851" s="619" t="s">
        <v>258</v>
      </c>
      <c r="H851" s="2720">
        <f>VLOOKUP(G851,'CP FACTORS'!$A$3:$B$38, 2, FALSE)</f>
        <v>0</v>
      </c>
      <c r="I851" s="2732">
        <f t="shared" si="112"/>
        <v>0</v>
      </c>
      <c r="J851" s="100">
        <f>J1262</f>
        <v>18</v>
      </c>
      <c r="K851" s="475">
        <f>J1308</f>
        <v>0</v>
      </c>
      <c r="L851" s="2619"/>
      <c r="M851" s="2749"/>
      <c r="N851" s="106"/>
      <c r="O851" s="106"/>
      <c r="P851" s="2749"/>
      <c r="Q851" s="2749"/>
      <c r="R851" s="2750"/>
      <c r="S851" s="106"/>
      <c r="T851" s="2749"/>
      <c r="U851" s="2749"/>
      <c r="V851" s="1575" t="s">
        <v>30</v>
      </c>
      <c r="W851" s="2751"/>
      <c r="X851" s="617"/>
      <c r="Y851" s="96"/>
      <c r="Z851" s="96"/>
      <c r="AA851" s="96"/>
      <c r="AB851" s="1540"/>
      <c r="AC851" s="1591"/>
      <c r="AD851" s="2299">
        <v>0</v>
      </c>
      <c r="AE851" s="373"/>
      <c r="AF851" s="2904"/>
      <c r="AG851" s="1575"/>
      <c r="AH851" s="2752"/>
      <c r="AI851" s="2752"/>
      <c r="AJ851" s="2749"/>
      <c r="AK851" s="2749"/>
      <c r="AL851" s="2749"/>
      <c r="AM851" s="2749"/>
      <c r="AN851" s="2749"/>
      <c r="AO851" s="2749"/>
      <c r="AP851" s="84"/>
      <c r="AQ851" s="84"/>
      <c r="AR851" s="84"/>
      <c r="AS851" s="84"/>
      <c r="AT851" s="84"/>
      <c r="AU851" s="84"/>
      <c r="AV851" s="84"/>
      <c r="AW851" s="84"/>
      <c r="AX851" s="84"/>
      <c r="AY851" s="84"/>
      <c r="AZ851" s="84"/>
      <c r="BA851" s="84"/>
      <c r="BB851" s="2745"/>
      <c r="BC851" s="2744" t="str">
        <f t="shared" si="113"/>
        <v>Heating RES 18 Year EUL</v>
      </c>
      <c r="BD851" s="1841">
        <f>(INDEX('Avoided Cost Benefits'!$E$4:$E$859,MATCH(BC851,'Avoided Cost Benefits'!$A$4:$A$859,0)))*F851</f>
        <v>0</v>
      </c>
      <c r="BE851" s="2507">
        <f t="shared" si="114"/>
        <v>0</v>
      </c>
      <c r="BF851" s="84"/>
    </row>
    <row r="852" spans="1:58" x14ac:dyDescent="0.35">
      <c r="A852" s="1071" t="str">
        <f t="shared" si="111"/>
        <v>351803_2022_12_Cooling RES</v>
      </c>
      <c r="B852" s="1663"/>
      <c r="C852" s="2753" t="s">
        <v>4375</v>
      </c>
      <c r="D852" s="2754" t="s">
        <v>315</v>
      </c>
      <c r="E852" s="2738" t="s">
        <v>4373</v>
      </c>
      <c r="F852" s="373">
        <f>ROUND((($J$1041*$J$1068*(1/$J$1095-1/$J$1149))/1000)*$J$1215*$J$1220,2)</f>
        <v>226.66</v>
      </c>
      <c r="G852" s="324" t="s">
        <v>257</v>
      </c>
      <c r="H852" s="2720">
        <f>VLOOKUP(G852,'CP FACTORS'!$A$3:$B$38, 2, FALSE)</f>
        <v>9.4741810000000004E-4</v>
      </c>
      <c r="I852" s="2732">
        <f>ROUND(F852*H852,6)</f>
        <v>0.21474199999999999</v>
      </c>
      <c r="J852" s="2767">
        <f>J850</f>
        <v>18</v>
      </c>
      <c r="K852" s="2768">
        <f>K850</f>
        <v>364.64165582663026</v>
      </c>
      <c r="L852" s="2619">
        <f>K1041</f>
        <v>2</v>
      </c>
      <c r="M852" s="2749"/>
      <c r="N852" s="106"/>
      <c r="O852" s="106"/>
      <c r="P852" s="2749"/>
      <c r="Q852" s="2749"/>
      <c r="R852" s="2750"/>
      <c r="S852" s="106"/>
      <c r="T852" s="2749"/>
      <c r="U852" s="2749"/>
      <c r="V852" s="1575" t="s">
        <v>30</v>
      </c>
      <c r="W852" s="2751"/>
      <c r="X852" s="617"/>
      <c r="Y852" s="96"/>
      <c r="Z852" s="96"/>
      <c r="AA852" s="96"/>
      <c r="AB852" s="1540"/>
      <c r="AC852" s="1591"/>
      <c r="AD852" s="2299">
        <v>226.66</v>
      </c>
      <c r="AE852" s="373"/>
      <c r="AF852" s="2904"/>
      <c r="AG852" s="1575"/>
      <c r="AH852" s="2752"/>
      <c r="AI852" s="2752"/>
      <c r="AJ852" s="2749"/>
      <c r="AK852" s="2749"/>
      <c r="AL852" s="2749"/>
      <c r="AM852" s="2749"/>
      <c r="AN852" s="2749"/>
      <c r="AO852" s="2749"/>
      <c r="AP852" s="84"/>
      <c r="AQ852" s="84"/>
      <c r="AR852" s="84"/>
      <c r="AS852" s="84"/>
      <c r="AT852" s="84"/>
      <c r="AU852" s="84"/>
      <c r="AV852" s="84"/>
      <c r="AW852" s="84"/>
      <c r="AX852" s="84"/>
      <c r="AY852" s="84"/>
      <c r="AZ852" s="84"/>
      <c r="BA852" s="84"/>
      <c r="BB852" s="2741">
        <f>(BD852+BD853)/(BE852+BE853)</f>
        <v>1.1460256434004705</v>
      </c>
      <c r="BC852" s="2738" t="str">
        <f>CONCATENATE(G852," ",J852," Year EUL")</f>
        <v>Cooling RES 18 Year EUL</v>
      </c>
      <c r="BD852" s="1841">
        <f>(INDEX('Avoided Cost Benefits'!$E$4:$E$859,MATCH(BC852,'Avoided Cost Benefits'!$A$4:$A$859,0)))*F852</f>
        <v>394.42065901776954</v>
      </c>
      <c r="BE852" s="2507">
        <f>K852/(1.0595^(2020-2019))</f>
        <v>344.16390356454008</v>
      </c>
      <c r="BF852" s="84"/>
    </row>
    <row r="853" spans="1:58" x14ac:dyDescent="0.35">
      <c r="A853" s="1071" t="str">
        <f t="shared" si="111"/>
        <v>351803_2022_12_Heating RES</v>
      </c>
      <c r="B853" s="1663"/>
      <c r="C853" s="2753" t="s">
        <v>4375</v>
      </c>
      <c r="D853" s="2754" t="s">
        <v>315</v>
      </c>
      <c r="E853" s="2744" t="s">
        <v>4373</v>
      </c>
      <c r="F853" s="373">
        <f>0</f>
        <v>0</v>
      </c>
      <c r="G853" s="619" t="s">
        <v>258</v>
      </c>
      <c r="H853" s="2720">
        <f>VLOOKUP(G853,'CP FACTORS'!$A$3:$B$38, 2, FALSE)</f>
        <v>0</v>
      </c>
      <c r="I853" s="2732">
        <f>ROUND(F853*H853,6)</f>
        <v>0</v>
      </c>
      <c r="J853" s="2767">
        <f>J851</f>
        <v>18</v>
      </c>
      <c r="K853" s="2768">
        <f>K851</f>
        <v>0</v>
      </c>
      <c r="L853" s="2619"/>
      <c r="M853" s="2749"/>
      <c r="N853" s="106"/>
      <c r="O853" s="106"/>
      <c r="P853" s="2749"/>
      <c r="Q853" s="2749"/>
      <c r="R853" s="2750"/>
      <c r="S853" s="106"/>
      <c r="T853" s="2749"/>
      <c r="U853" s="2749"/>
      <c r="V853" s="1575" t="s">
        <v>30</v>
      </c>
      <c r="W853" s="2751"/>
      <c r="X853" s="617"/>
      <c r="Y853" s="96"/>
      <c r="Z853" s="96"/>
      <c r="AA853" s="96"/>
      <c r="AB853" s="1540"/>
      <c r="AC853" s="1591"/>
      <c r="AD853" s="2299">
        <v>0</v>
      </c>
      <c r="AE853" s="373"/>
      <c r="AF853" s="2904"/>
      <c r="AG853" s="1575"/>
      <c r="AH853" s="2752"/>
      <c r="AI853" s="2752"/>
      <c r="AJ853" s="2749"/>
      <c r="AK853" s="2749"/>
      <c r="AL853" s="2749"/>
      <c r="AM853" s="2749"/>
      <c r="AN853" s="2749"/>
      <c r="AO853" s="2749"/>
      <c r="AP853" s="84"/>
      <c r="AQ853" s="84"/>
      <c r="AR853" s="84"/>
      <c r="AS853" s="84"/>
      <c r="AT853" s="84"/>
      <c r="AU853" s="84"/>
      <c r="AV853" s="84"/>
      <c r="AW853" s="84"/>
      <c r="AX853" s="84"/>
      <c r="AY853" s="84"/>
      <c r="AZ853" s="84"/>
      <c r="BA853" s="84"/>
      <c r="BB853" s="2745"/>
      <c r="BC853" s="2744" t="str">
        <f>CONCATENATE(G853," ",J853," Year EUL")</f>
        <v>Heating RES 18 Year EUL</v>
      </c>
      <c r="BD853" s="1841">
        <f>(INDEX('Avoided Cost Benefits'!$E$4:$E$859,MATCH(BC853,'Avoided Cost Benefits'!$A$4:$A$859,0)))*F853</f>
        <v>0</v>
      </c>
      <c r="BE853" s="2507">
        <f>K853/(1.0595^(2020-2019))</f>
        <v>0</v>
      </c>
      <c r="BF853" s="84"/>
    </row>
    <row r="854" spans="1:58" x14ac:dyDescent="0.35">
      <c r="A854" s="1071" t="str">
        <f t="shared" si="84"/>
        <v>351850_2021_12_Cooling RES</v>
      </c>
      <c r="B854" s="1663"/>
      <c r="C854" s="50" t="s">
        <v>1031</v>
      </c>
      <c r="D854" s="1279" t="s">
        <v>320</v>
      </c>
      <c r="E854" s="2348" t="s">
        <v>1032</v>
      </c>
      <c r="F854" s="373">
        <f>ROUND((($J$1033*$J$1060*(1/$J$1114-1/$J$1141))/1000)*$J$1193*$J$1220,2)</f>
        <v>1200.76</v>
      </c>
      <c r="G854" s="287" t="s">
        <v>257</v>
      </c>
      <c r="H854" s="136">
        <f>VLOOKUP(G854,'CP FACTORS'!$A$3:$B$38, 2, FALSE)</f>
        <v>9.4741810000000004E-4</v>
      </c>
      <c r="I854" s="2732">
        <f t="shared" si="89"/>
        <v>1.1376219999999999</v>
      </c>
      <c r="J854" s="92">
        <f>J1263</f>
        <v>6</v>
      </c>
      <c r="K854" s="1845">
        <f>J1309</f>
        <v>852.60761248662948</v>
      </c>
      <c r="L854" s="2619">
        <f>K1033</f>
        <v>2</v>
      </c>
      <c r="M854" s="129"/>
      <c r="N854" s="106"/>
      <c r="O854" s="106"/>
      <c r="P854" s="129"/>
      <c r="Q854" s="129"/>
      <c r="R854" s="1299"/>
      <c r="S854" s="106"/>
      <c r="T854" s="129"/>
      <c r="U854" s="129"/>
      <c r="V854" s="112" t="s">
        <v>30</v>
      </c>
      <c r="W854" s="2906">
        <v>1056.873427672956</v>
      </c>
      <c r="X854" s="617">
        <v>973.31187958567136</v>
      </c>
      <c r="Y854" s="96">
        <v>1164.32</v>
      </c>
      <c r="Z854" s="93">
        <v>1164.32</v>
      </c>
      <c r="AA854" s="93">
        <v>1164.32</v>
      </c>
      <c r="AB854" s="1540">
        <v>779.12</v>
      </c>
      <c r="AC854" s="1591">
        <v>843.09</v>
      </c>
      <c r="AD854" s="2299">
        <v>1200.76</v>
      </c>
      <c r="AE854" s="1741"/>
      <c r="AF854" s="2904"/>
      <c r="AG854" s="2834"/>
      <c r="AH854" s="2907"/>
      <c r="AI854" s="2907"/>
      <c r="AJ854" s="2908"/>
      <c r="AK854" s="2908"/>
      <c r="AL854" s="2908"/>
      <c r="AM854" s="2908"/>
      <c r="AN854" s="2908"/>
      <c r="AO854" s="2908"/>
      <c r="AP854" s="156"/>
      <c r="AQ854" s="156"/>
      <c r="AR854" s="156"/>
      <c r="AS854" s="156"/>
      <c r="AT854" s="156"/>
      <c r="AU854" s="156"/>
      <c r="AV854" s="156"/>
      <c r="AW854" s="156"/>
      <c r="AX854" s="156"/>
      <c r="AY854" s="156"/>
      <c r="AZ854" s="156"/>
      <c r="BA854" s="156"/>
      <c r="BB854" s="2833">
        <f>(BD854+BD855+BD856+BD857)/(BE854+BE855+BE856+BE857)</f>
        <v>2.5612703852031089</v>
      </c>
      <c r="BC854" s="2348" t="str">
        <f t="shared" si="87"/>
        <v>Cooling RES 6 Year EUL</v>
      </c>
      <c r="BD854" s="2829">
        <f>(INDEX('Avoided Cost Benefits'!$E$4:$E$859,MATCH(BC854,'Avoided Cost Benefits'!$A$4:$A$859,0)))*F854</f>
        <v>760.81593228769327</v>
      </c>
      <c r="BE854" s="858">
        <f t="shared" si="88"/>
        <v>804.72639215349636</v>
      </c>
      <c r="BF854" s="156"/>
    </row>
    <row r="855" spans="1:58" x14ac:dyDescent="0.35">
      <c r="A855" s="1071" t="str">
        <f t="shared" si="84"/>
        <v>351850_2021_12_Heating RES</v>
      </c>
      <c r="B855" s="1663"/>
      <c r="C855" s="50" t="s">
        <v>1031</v>
      </c>
      <c r="D855" s="1279" t="s">
        <v>320</v>
      </c>
      <c r="E855" s="2357" t="s">
        <v>1032</v>
      </c>
      <c r="F855" s="373">
        <f xml:space="preserve"> ROUND((($J$898*$J$922*(1/$J$979-1/$J$1006))/1000)*$J$1194*$J$1220,2)</f>
        <v>2576.48</v>
      </c>
      <c r="G855" s="287" t="s">
        <v>258</v>
      </c>
      <c r="H855" s="136">
        <f>VLOOKUP(G855,'CP FACTORS'!$A$3:$B$38, 2, FALSE)</f>
        <v>0</v>
      </c>
      <c r="I855" s="2732">
        <f t="shared" si="89"/>
        <v>0</v>
      </c>
      <c r="J855" s="92">
        <f>J1264</f>
        <v>6</v>
      </c>
      <c r="K855" s="387">
        <f>J1310</f>
        <v>0</v>
      </c>
      <c r="L855" s="826"/>
      <c r="M855" s="129"/>
      <c r="N855" s="106"/>
      <c r="O855" s="106"/>
      <c r="P855" s="129"/>
      <c r="Q855" s="129"/>
      <c r="R855" s="1299"/>
      <c r="S855" s="106"/>
      <c r="T855" s="129"/>
      <c r="U855" s="129"/>
      <c r="V855" s="112" t="s">
        <v>30</v>
      </c>
      <c r="W855" s="2906">
        <v>1906.4157894736838</v>
      </c>
      <c r="X855" s="617">
        <v>1671.2809187279149</v>
      </c>
      <c r="Y855" s="96">
        <v>1944.18</v>
      </c>
      <c r="Z855" s="93">
        <v>1944.18</v>
      </c>
      <c r="AA855" s="93">
        <v>1944.18</v>
      </c>
      <c r="AB855" s="1540">
        <v>1021.3</v>
      </c>
      <c r="AC855" s="1591">
        <v>1692.45</v>
      </c>
      <c r="AD855" s="2299">
        <v>2576.48</v>
      </c>
      <c r="AE855" s="1741"/>
      <c r="AF855" s="2904"/>
      <c r="AG855" s="2834"/>
      <c r="AH855" s="2907"/>
      <c r="AI855" s="2907"/>
      <c r="AJ855" s="2908"/>
      <c r="AK855" s="2908"/>
      <c r="AL855" s="2908"/>
      <c r="AM855" s="2908"/>
      <c r="AN855" s="2908"/>
      <c r="AO855" s="2908"/>
      <c r="AP855" s="156"/>
      <c r="AQ855" s="156"/>
      <c r="AR855" s="156"/>
      <c r="AS855" s="156"/>
      <c r="AT855" s="156"/>
      <c r="AU855" s="156"/>
      <c r="AV855" s="156"/>
      <c r="AW855" s="156"/>
      <c r="AX855" s="156"/>
      <c r="AY855" s="156"/>
      <c r="AZ855" s="156"/>
      <c r="BA855" s="156"/>
      <c r="BB855" s="2905"/>
      <c r="BC855" s="2357" t="str">
        <f t="shared" si="87"/>
        <v>Heating RES 6 Year EUL</v>
      </c>
      <c r="BD855" s="2829">
        <f>(INDEX('Avoided Cost Benefits'!$E$4:$E$859,MATCH(BC855,'Avoided Cost Benefits'!$A$4:$A$859,0)))*F855</f>
        <v>419.81471304815676</v>
      </c>
      <c r="BE855" s="858">
        <f t="shared" si="88"/>
        <v>0</v>
      </c>
      <c r="BF855" s="156"/>
    </row>
    <row r="856" spans="1:58" x14ac:dyDescent="0.35">
      <c r="A856" s="1071" t="str">
        <f t="shared" si="84"/>
        <v>351850_2021_12_Cooling RES ER2</v>
      </c>
      <c r="B856" s="1663"/>
      <c r="C856" s="50" t="s">
        <v>1031</v>
      </c>
      <c r="D856" s="1279" t="s">
        <v>320</v>
      </c>
      <c r="E856" s="2357" t="s">
        <v>1033</v>
      </c>
      <c r="F856" s="373">
        <f>ROUND((($J$1033*$J$1060*(1/$J$1087-1/$J$1141))/1000)*$J$1195*$J$1220,2)</f>
        <v>428.89</v>
      </c>
      <c r="G856" s="1279" t="s">
        <v>848</v>
      </c>
      <c r="H856" s="136">
        <f>VLOOKUP(G856,'CP FACTORS'!$A$3:$B$38, 2, FALSE)</f>
        <v>9.4741810000000004E-4</v>
      </c>
      <c r="I856" s="2732">
        <f t="shared" si="89"/>
        <v>0.40633799999999998</v>
      </c>
      <c r="J856" s="92">
        <f>J1265</f>
        <v>12</v>
      </c>
      <c r="K856" s="387">
        <f>J1311</f>
        <v>0</v>
      </c>
      <c r="L856" s="826"/>
      <c r="M856" s="129"/>
      <c r="N856" s="106"/>
      <c r="O856" s="106"/>
      <c r="P856" s="129"/>
      <c r="Q856" s="129"/>
      <c r="R856" s="1299"/>
      <c r="S856" s="106"/>
      <c r="T856" s="129"/>
      <c r="U856" s="129"/>
      <c r="V856" s="112" t="s">
        <v>30</v>
      </c>
      <c r="W856" s="2906">
        <v>342.84509433962273</v>
      </c>
      <c r="X856" s="617">
        <v>343.28687958567122</v>
      </c>
      <c r="Y856" s="96">
        <v>456.05</v>
      </c>
      <c r="Z856" s="93">
        <v>456.05</v>
      </c>
      <c r="AA856" s="93">
        <v>456.05</v>
      </c>
      <c r="AB856" s="1540">
        <v>312.22000000000003</v>
      </c>
      <c r="AC856" s="1591">
        <v>352.11</v>
      </c>
      <c r="AD856" s="2299">
        <v>428.89</v>
      </c>
      <c r="AE856" s="1741"/>
      <c r="AF856" s="2904"/>
      <c r="AG856" s="2834"/>
      <c r="AH856" s="2907"/>
      <c r="AI856" s="2907"/>
      <c r="AJ856" s="2908"/>
      <c r="AK856" s="2908"/>
      <c r="AL856" s="2908"/>
      <c r="AM856" s="2908"/>
      <c r="AN856" s="2908"/>
      <c r="AO856" s="2908"/>
      <c r="AP856" s="156"/>
      <c r="AQ856" s="156"/>
      <c r="AR856" s="156"/>
      <c r="AS856" s="156"/>
      <c r="AT856" s="156"/>
      <c r="AU856" s="156"/>
      <c r="AV856" s="156"/>
      <c r="AW856" s="156"/>
      <c r="AX856" s="156"/>
      <c r="AY856" s="156"/>
      <c r="AZ856" s="156"/>
      <c r="BA856" s="156"/>
      <c r="BB856" s="2905"/>
      <c r="BC856" s="2357" t="str">
        <f t="shared" si="87"/>
        <v>Cooling RES ER2 12 Year EUL</v>
      </c>
      <c r="BD856" s="2829">
        <f>(INDEX('Avoided Cost Benefits'!$E$4:$E$859,MATCH(BC856,'Avoided Cost Benefits'!$A$4:$A$859,0)))*F856</f>
        <v>474.57979497878665</v>
      </c>
      <c r="BE856" s="858">
        <f t="shared" si="88"/>
        <v>0</v>
      </c>
      <c r="BF856" s="156"/>
    </row>
    <row r="857" spans="1:58" x14ac:dyDescent="0.35">
      <c r="A857" s="1071" t="str">
        <f t="shared" si="84"/>
        <v>351850_2021_12_Heating RES ER2</v>
      </c>
      <c r="B857" s="106"/>
      <c r="C857" s="50" t="s">
        <v>1031</v>
      </c>
      <c r="D857" s="1279" t="s">
        <v>320</v>
      </c>
      <c r="E857" s="2349" t="s">
        <v>1033</v>
      </c>
      <c r="F857" s="373">
        <f>ROUND((($J$889*$J$916*(1/$J$943-1/$J$997))/1000)*$J$1196*$J$1220,2)</f>
        <v>1434.81</v>
      </c>
      <c r="G857" s="74" t="s">
        <v>997</v>
      </c>
      <c r="H857" s="136">
        <f>VLOOKUP(G857,'CP FACTORS'!$A$3:$B$38, 2, FALSE)</f>
        <v>0</v>
      </c>
      <c r="I857" s="2732">
        <f t="shared" si="89"/>
        <v>0</v>
      </c>
      <c r="J857" s="92">
        <f>J1266</f>
        <v>12</v>
      </c>
      <c r="K857" s="387">
        <f>J1312</f>
        <v>0</v>
      </c>
      <c r="L857" s="826"/>
      <c r="M857" s="129"/>
      <c r="N857" s="106"/>
      <c r="O857" s="106"/>
      <c r="P857" s="129"/>
      <c r="Q857" s="129"/>
      <c r="R857" s="1299"/>
      <c r="S857" s="106"/>
      <c r="T857" s="129"/>
      <c r="U857" s="129"/>
      <c r="V857" s="112" t="s">
        <v>30</v>
      </c>
      <c r="W857" s="2906">
        <v>836.1443609022557</v>
      </c>
      <c r="X857" s="617">
        <v>1113.8417090014714</v>
      </c>
      <c r="Y857" s="96">
        <v>1351.43</v>
      </c>
      <c r="Z857" s="93">
        <v>1351.43</v>
      </c>
      <c r="AA857" s="93">
        <v>1351.43</v>
      </c>
      <c r="AB857" s="1540">
        <v>515</v>
      </c>
      <c r="AC857" s="1591">
        <v>1108.68</v>
      </c>
      <c r="AD857" s="2299">
        <v>1434.81</v>
      </c>
      <c r="AE857" s="1741"/>
      <c r="AF857" s="2904"/>
      <c r="AG857" s="2834"/>
      <c r="AH857" s="2907"/>
      <c r="AI857" s="2907"/>
      <c r="AJ857" s="2908"/>
      <c r="AK857" s="2908"/>
      <c r="AL857" s="2908"/>
      <c r="AM857" s="2908"/>
      <c r="AN857" s="2908"/>
      <c r="AO857" s="2908"/>
      <c r="AP857" s="156"/>
      <c r="AQ857" s="156"/>
      <c r="AR857" s="156"/>
      <c r="AS857" s="156"/>
      <c r="AT857" s="156"/>
      <c r="AU857" s="156"/>
      <c r="AV857" s="156"/>
      <c r="AW857" s="156"/>
      <c r="AX857" s="156"/>
      <c r="AY857" s="156"/>
      <c r="AZ857" s="156"/>
      <c r="BA857" s="156"/>
      <c r="BB857" s="2905"/>
      <c r="BC857" s="2349" t="str">
        <f t="shared" si="87"/>
        <v>Heating RES ER2 12 Year EUL</v>
      </c>
      <c r="BD857" s="2829">
        <f>(INDEX('Avoided Cost Benefits'!$E$4:$E$859,MATCH(BC857,'Avoided Cost Benefits'!$A$4:$A$859,0)))*F857</f>
        <v>405.91143609945715</v>
      </c>
      <c r="BE857" s="858">
        <f t="shared" si="88"/>
        <v>0</v>
      </c>
      <c r="BF857" s="156"/>
    </row>
    <row r="858" spans="1:58" x14ac:dyDescent="0.35">
      <c r="A858" s="1071" t="str">
        <f t="shared" si="84"/>
        <v>351851_2021_12_Cooling RES</v>
      </c>
      <c r="B858" s="106"/>
      <c r="C858" s="2670" t="s">
        <v>1034</v>
      </c>
      <c r="D858" s="1301" t="s">
        <v>315</v>
      </c>
      <c r="E858" s="2357" t="s">
        <v>1035</v>
      </c>
      <c r="F858" s="373">
        <f>ROUND((($J$1042*$J$1069*(1/$J$1123-1/$J$1150))/1000)*$J$1219*$J$1220,2)</f>
        <v>788.53</v>
      </c>
      <c r="G858" s="2806" t="s">
        <v>257</v>
      </c>
      <c r="H858" s="3081">
        <f>VLOOKUP(G858,'CP FACTORS'!$A$3:$B$38, 2, FALSE)</f>
        <v>9.4741810000000004E-4</v>
      </c>
      <c r="I858" s="2794">
        <f t="shared" si="89"/>
        <v>0.74706799999999995</v>
      </c>
      <c r="J858" s="340">
        <f t="shared" ref="J858:K861" si="115">J854</f>
        <v>6</v>
      </c>
      <c r="K858" s="1302">
        <f t="shared" si="115"/>
        <v>852.60761248662948</v>
      </c>
      <c r="L858" s="1303">
        <f>K1042</f>
        <v>2</v>
      </c>
      <c r="M858" s="129"/>
      <c r="N858" s="106"/>
      <c r="O858" s="106"/>
      <c r="P858" s="129"/>
      <c r="Q858" s="129"/>
      <c r="R858" s="1299"/>
      <c r="S858" s="106"/>
      <c r="T858" s="129"/>
      <c r="U858" s="129"/>
      <c r="V858" s="112" t="s">
        <v>30</v>
      </c>
      <c r="W858" s="2906"/>
      <c r="X858" s="617"/>
      <c r="Y858" s="96">
        <v>1026.8</v>
      </c>
      <c r="Z858" s="93">
        <v>1026.8</v>
      </c>
      <c r="AA858" s="93">
        <v>1026.8</v>
      </c>
      <c r="AB858" s="1540">
        <v>511.64</v>
      </c>
      <c r="AC858" s="1591">
        <v>553.65</v>
      </c>
      <c r="AD858" s="2299">
        <v>788.53</v>
      </c>
      <c r="AE858" s="1741"/>
      <c r="AF858" s="2904"/>
      <c r="AG858" s="2834"/>
      <c r="AH858" s="2907"/>
      <c r="AI858" s="2907"/>
      <c r="AJ858" s="2908"/>
      <c r="AK858" s="2908"/>
      <c r="AL858" s="2908"/>
      <c r="AM858" s="2908"/>
      <c r="AN858" s="2908"/>
      <c r="AO858" s="2908"/>
      <c r="AP858" s="156"/>
      <c r="AQ858" s="156"/>
      <c r="AR858" s="156"/>
      <c r="AS858" s="156"/>
      <c r="AT858" s="156"/>
      <c r="AU858" s="156"/>
      <c r="AV858" s="156"/>
      <c r="AW858" s="156"/>
      <c r="AX858" s="156"/>
      <c r="AY858" s="156"/>
      <c r="AZ858" s="156"/>
      <c r="BA858" s="156"/>
      <c r="BB858" s="2833">
        <f>(BD858+BD859+BD860+BD861)/(BE858+BE859+BE860+BE861)</f>
        <v>1.4450777276898714</v>
      </c>
      <c r="BC858" s="2348" t="str">
        <f t="shared" si="87"/>
        <v>Cooling RES 6 Year EUL</v>
      </c>
      <c r="BD858" s="2829">
        <f>(INDEX('Avoided Cost Benefits'!$E$4:$E$859,MATCH(BC858,'Avoided Cost Benefits'!$A$4:$A$859,0)))*F858</f>
        <v>499.62206193312136</v>
      </c>
      <c r="BE858" s="858">
        <f t="shared" si="88"/>
        <v>804.72639215349636</v>
      </c>
      <c r="BF858" s="156"/>
    </row>
    <row r="859" spans="1:58" x14ac:dyDescent="0.35">
      <c r="A859" s="1071" t="str">
        <f t="shared" si="84"/>
        <v>351851_2021_12_Heating RES</v>
      </c>
      <c r="B859" s="106"/>
      <c r="C859" s="1037" t="s">
        <v>1034</v>
      </c>
      <c r="D859" s="1301" t="s">
        <v>315</v>
      </c>
      <c r="E859" s="2357" t="s">
        <v>1035</v>
      </c>
      <c r="F859" s="373">
        <f xml:space="preserve"> ROUND((($J$907*$J$934*(1/$J$988-1/$J$1015))/1000)*$J$1217*$J$1220,2)</f>
        <v>979.26</v>
      </c>
      <c r="G859" s="287" t="s">
        <v>258</v>
      </c>
      <c r="H859" s="136">
        <f>VLOOKUP(G859,'CP FACTORS'!$A$3:$B$38, 2, FALSE)</f>
        <v>0</v>
      </c>
      <c r="I859" s="2732">
        <f t="shared" si="89"/>
        <v>0</v>
      </c>
      <c r="J859" s="340">
        <f t="shared" si="115"/>
        <v>6</v>
      </c>
      <c r="K859" s="1302">
        <f t="shared" si="115"/>
        <v>0</v>
      </c>
      <c r="L859" s="206"/>
      <c r="M859" s="129"/>
      <c r="N859" s="106"/>
      <c r="O859" s="106"/>
      <c r="P859" s="129"/>
      <c r="Q859" s="129"/>
      <c r="R859" s="1299"/>
      <c r="S859" s="106"/>
      <c r="T859" s="129"/>
      <c r="U859" s="129"/>
      <c r="V859" s="112" t="s">
        <v>30</v>
      </c>
      <c r="W859" s="2906"/>
      <c r="X859" s="617"/>
      <c r="Y859" s="96">
        <v>895</v>
      </c>
      <c r="Z859" s="93">
        <v>895</v>
      </c>
      <c r="AA859" s="93">
        <v>895</v>
      </c>
      <c r="AB859" s="1540">
        <v>388.17</v>
      </c>
      <c r="AC859" s="1591">
        <v>643.26</v>
      </c>
      <c r="AD859" s="2299">
        <v>979.26</v>
      </c>
      <c r="AE859" s="1741"/>
      <c r="AF859" s="2904"/>
      <c r="AG859" s="2834"/>
      <c r="AH859" s="2907"/>
      <c r="AI859" s="2907"/>
      <c r="AJ859" s="2908"/>
      <c r="AK859" s="2908"/>
      <c r="AL859" s="2908"/>
      <c r="AM859" s="2908"/>
      <c r="AN859" s="2908"/>
      <c r="AO859" s="2908"/>
      <c r="AP859" s="156"/>
      <c r="AQ859" s="156"/>
      <c r="AR859" s="156"/>
      <c r="AS859" s="156"/>
      <c r="AT859" s="156"/>
      <c r="AU859" s="156"/>
      <c r="AV859" s="156"/>
      <c r="AW859" s="156"/>
      <c r="AX859" s="156"/>
      <c r="AY859" s="156"/>
      <c r="AZ859" s="156"/>
      <c r="BA859" s="156"/>
      <c r="BB859" s="2905"/>
      <c r="BC859" s="2357" t="str">
        <f t="shared" si="87"/>
        <v>Heating RES 6 Year EUL</v>
      </c>
      <c r="BD859" s="2829">
        <f>(INDEX('Avoided Cost Benefits'!$E$4:$E$859,MATCH(BC859,'Avoided Cost Benefits'!$A$4:$A$859,0)))*F859</f>
        <v>159.5617881371243</v>
      </c>
      <c r="BE859" s="858">
        <f t="shared" si="88"/>
        <v>0</v>
      </c>
      <c r="BF859" s="156"/>
    </row>
    <row r="860" spans="1:58" x14ac:dyDescent="0.35">
      <c r="A860" s="1071" t="str">
        <f t="shared" si="84"/>
        <v>351851_2021_12_Cooling RES ER2</v>
      </c>
      <c r="B860" s="106"/>
      <c r="C860" s="1037" t="s">
        <v>1034</v>
      </c>
      <c r="D860" s="1301" t="s">
        <v>315</v>
      </c>
      <c r="E860" s="2357" t="s">
        <v>1036</v>
      </c>
      <c r="F860" s="373">
        <f>ROUND((($J$1042*$J$1069*(1/$J$1096-1/$J$1150))/1000)*$J$1218*$J$1220,2)</f>
        <v>281.64999999999998</v>
      </c>
      <c r="G860" s="1279" t="s">
        <v>848</v>
      </c>
      <c r="H860" s="136">
        <f>VLOOKUP(G860,'CP FACTORS'!$A$3:$B$38, 2, FALSE)</f>
        <v>9.4741810000000004E-4</v>
      </c>
      <c r="I860" s="2732">
        <f t="shared" si="89"/>
        <v>0.26684000000000002</v>
      </c>
      <c r="J860" s="340">
        <f t="shared" si="115"/>
        <v>12</v>
      </c>
      <c r="K860" s="1302">
        <f t="shared" si="115"/>
        <v>0</v>
      </c>
      <c r="L860" s="206"/>
      <c r="M860" s="129"/>
      <c r="N860" s="106"/>
      <c r="O860" s="106"/>
      <c r="P860" s="129"/>
      <c r="Q860" s="129"/>
      <c r="R860" s="1299"/>
      <c r="S860" s="106"/>
      <c r="T860" s="129"/>
      <c r="U860" s="129"/>
      <c r="V860" s="112" t="s">
        <v>30</v>
      </c>
      <c r="W860" s="2906"/>
      <c r="X860" s="617"/>
      <c r="Y860" s="96">
        <v>402.19</v>
      </c>
      <c r="Z860" s="93">
        <v>402.19</v>
      </c>
      <c r="AA860" s="93">
        <v>402.19</v>
      </c>
      <c r="AB860" s="1540">
        <v>205.03</v>
      </c>
      <c r="AC860" s="1591">
        <v>231.23</v>
      </c>
      <c r="AD860" s="2299">
        <v>281.64999999999998</v>
      </c>
      <c r="AE860" s="1741"/>
      <c r="AF860" s="2904"/>
      <c r="AG860" s="2834"/>
      <c r="AH860" s="2907"/>
      <c r="AI860" s="2907"/>
      <c r="AJ860" s="2908"/>
      <c r="AK860" s="2908"/>
      <c r="AL860" s="2908"/>
      <c r="AM860" s="2908"/>
      <c r="AN860" s="2908"/>
      <c r="AO860" s="2908"/>
      <c r="AP860" s="156"/>
      <c r="AQ860" s="156"/>
      <c r="AR860" s="156"/>
      <c r="AS860" s="156"/>
      <c r="AT860" s="156"/>
      <c r="AU860" s="156"/>
      <c r="AV860" s="156"/>
      <c r="AW860" s="156"/>
      <c r="AX860" s="156"/>
      <c r="AY860" s="156"/>
      <c r="AZ860" s="156"/>
      <c r="BA860" s="156"/>
      <c r="BB860" s="2905"/>
      <c r="BC860" s="2357" t="str">
        <f t="shared" si="87"/>
        <v>Cooling RES ER2 12 Year EUL</v>
      </c>
      <c r="BD860" s="2829">
        <f>(INDEX('Avoided Cost Benefits'!$E$4:$E$859,MATCH(BC860,'Avoided Cost Benefits'!$A$4:$A$859,0)))*F860</f>
        <v>311.65426859049001</v>
      </c>
      <c r="BE860" s="858">
        <f t="shared" si="88"/>
        <v>0</v>
      </c>
      <c r="BF860" s="156"/>
    </row>
    <row r="861" spans="1:58" x14ac:dyDescent="0.35">
      <c r="A861" s="1071" t="str">
        <f t="shared" si="84"/>
        <v>351851_2021_12_Heating RES ER2</v>
      </c>
      <c r="B861" s="106"/>
      <c r="C861" s="1037" t="s">
        <v>1034</v>
      </c>
      <c r="D861" s="1301" t="s">
        <v>315</v>
      </c>
      <c r="E861" s="2349" t="s">
        <v>1036</v>
      </c>
      <c r="F861" s="373">
        <f>ROUND((($J$907*$J$934*(1/$J$961-1/$J$1015))/1000)*$J$1219*$J$1220,2)</f>
        <v>678.87</v>
      </c>
      <c r="G861" s="74" t="s">
        <v>997</v>
      </c>
      <c r="H861" s="136">
        <f>VLOOKUP(G861,'CP FACTORS'!$A$3:$B$38, 2, FALSE)</f>
        <v>0</v>
      </c>
      <c r="I861" s="2732">
        <f t="shared" si="89"/>
        <v>0</v>
      </c>
      <c r="J861" s="340">
        <f t="shared" si="115"/>
        <v>12</v>
      </c>
      <c r="K861" s="1302">
        <f t="shared" si="115"/>
        <v>0</v>
      </c>
      <c r="L861" s="206"/>
      <c r="M861" s="129"/>
      <c r="N861" s="106"/>
      <c r="O861" s="106"/>
      <c r="P861" s="129"/>
      <c r="Q861" s="129"/>
      <c r="R861" s="1299"/>
      <c r="S861" s="106"/>
      <c r="T861" s="129"/>
      <c r="U861" s="129"/>
      <c r="V861" s="112" t="s">
        <v>30</v>
      </c>
      <c r="W861" s="2906"/>
      <c r="X861" s="617"/>
      <c r="Y861" s="96">
        <v>622.13</v>
      </c>
      <c r="Z861" s="93">
        <v>622.13</v>
      </c>
      <c r="AA861" s="93">
        <v>622.13</v>
      </c>
      <c r="AB861" s="1540">
        <v>195.74</v>
      </c>
      <c r="AC861" s="1591">
        <v>421.38</v>
      </c>
      <c r="AD861" s="2299">
        <v>678.87</v>
      </c>
      <c r="AE861" s="1741"/>
      <c r="AF861" s="2904"/>
      <c r="AG861" s="2834"/>
      <c r="AH861" s="2907"/>
      <c r="AI861" s="2907"/>
      <c r="AJ861" s="2908"/>
      <c r="AK861" s="2908"/>
      <c r="AL861" s="2908"/>
      <c r="AM861" s="2908"/>
      <c r="AN861" s="2908"/>
      <c r="AO861" s="2908"/>
      <c r="AP861" s="156"/>
      <c r="AQ861" s="156"/>
      <c r="AR861" s="156"/>
      <c r="AS861" s="156"/>
      <c r="AT861" s="156"/>
      <c r="AU861" s="156"/>
      <c r="AV861" s="156"/>
      <c r="AW861" s="156"/>
      <c r="AX861" s="156"/>
      <c r="AY861" s="156"/>
      <c r="AZ861" s="156"/>
      <c r="BA861" s="156"/>
      <c r="BB861" s="2909"/>
      <c r="BC861" s="2349" t="str">
        <f t="shared" si="87"/>
        <v>Heating RES ER2 12 Year EUL</v>
      </c>
      <c r="BD861" s="2871">
        <f>(INDEX('Avoided Cost Benefits'!$E$4:$E$859,MATCH(BC861,'Avoided Cost Benefits'!$A$4:$A$859,0)))*F861</f>
        <v>192.05406752450742</v>
      </c>
      <c r="BE861" s="860">
        <f t="shared" si="88"/>
        <v>0</v>
      </c>
      <c r="BF861" s="156"/>
    </row>
    <row r="862" spans="1:58" hidden="1" outlineLevel="1" x14ac:dyDescent="0.35">
      <c r="A862" s="1071"/>
      <c r="B862" s="106"/>
      <c r="C862" s="103"/>
      <c r="D862" s="292" t="s">
        <v>1037</v>
      </c>
      <c r="E862" s="106"/>
      <c r="F862" s="106"/>
      <c r="G862" s="106"/>
      <c r="H862" s="106"/>
      <c r="I862" s="106"/>
      <c r="J862" s="106"/>
      <c r="K862" s="106"/>
      <c r="L862" s="106"/>
      <c r="M862" s="106"/>
      <c r="N862" s="106"/>
      <c r="O862" s="106"/>
      <c r="P862" s="106"/>
      <c r="Q862" s="106"/>
      <c r="R862" s="106"/>
      <c r="S862" s="106"/>
      <c r="T862" s="106"/>
      <c r="U862" s="106"/>
      <c r="V862" s="106"/>
      <c r="W862" s="156"/>
      <c r="X862" s="156"/>
      <c r="Y862" s="156"/>
      <c r="Z862" s="156"/>
      <c r="AA862" s="156"/>
      <c r="AB862" s="156"/>
      <c r="AC862" s="156"/>
      <c r="AD862" s="156"/>
      <c r="AE862" s="156"/>
      <c r="AF862" s="156"/>
      <c r="AG862" s="156"/>
      <c r="AH862" s="156"/>
      <c r="AI862" s="156"/>
      <c r="AJ862" s="156"/>
      <c r="AK862" s="156"/>
      <c r="AL862" s="156"/>
      <c r="AM862" s="156"/>
      <c r="AN862" s="156"/>
      <c r="AO862" s="156"/>
      <c r="AP862" s="156"/>
      <c r="AQ862" s="156"/>
      <c r="AR862" s="156"/>
      <c r="AS862" s="156"/>
      <c r="AT862" s="156"/>
      <c r="AU862" s="156"/>
      <c r="AV862" s="156"/>
      <c r="AW862" s="156"/>
      <c r="AX862" s="156"/>
      <c r="AY862" s="156"/>
      <c r="AZ862" s="156"/>
      <c r="BA862" s="156"/>
      <c r="BB862" s="2828"/>
      <c r="BC862" s="504"/>
      <c r="BD862" s="2829"/>
      <c r="BE862" s="156"/>
      <c r="BF862" s="156"/>
    </row>
    <row r="863" spans="1:58" hidden="1" outlineLevel="1" x14ac:dyDescent="0.35">
      <c r="A863" s="1071"/>
      <c r="B863" s="106"/>
      <c r="C863" s="103"/>
      <c r="D863" s="690"/>
      <c r="E863" s="106"/>
      <c r="F863" s="106"/>
      <c r="G863" s="106"/>
      <c r="H863" s="106"/>
      <c r="I863" s="106"/>
      <c r="J863" s="106"/>
      <c r="K863" s="106"/>
      <c r="L863" s="106"/>
      <c r="M863" s="106"/>
      <c r="N863" s="106"/>
      <c r="O863" s="106"/>
      <c r="P863" s="106"/>
      <c r="Q863" s="106"/>
      <c r="R863" s="106"/>
      <c r="S863" s="106"/>
      <c r="T863" s="106"/>
      <c r="U863" s="106"/>
      <c r="V863" s="106"/>
      <c r="W863" s="156"/>
      <c r="X863" s="156"/>
      <c r="Y863" s="156"/>
      <c r="Z863" s="156"/>
      <c r="AA863" s="156"/>
      <c r="AB863" s="156"/>
      <c r="AC863" s="156"/>
      <c r="AD863" s="156"/>
      <c r="AE863" s="156"/>
      <c r="AF863" s="156"/>
      <c r="AG863" s="156"/>
      <c r="AH863" s="156"/>
      <c r="AI863" s="156"/>
      <c r="AJ863" s="156"/>
      <c r="AK863" s="156"/>
      <c r="AL863" s="156"/>
      <c r="AM863" s="156"/>
      <c r="AN863" s="156"/>
      <c r="AO863" s="156"/>
      <c r="AP863" s="156"/>
      <c r="AQ863" s="156"/>
      <c r="AR863" s="156"/>
      <c r="AS863" s="156"/>
      <c r="AT863" s="156"/>
      <c r="AU863" s="156"/>
      <c r="AV863" s="156"/>
      <c r="AW863" s="156"/>
      <c r="AX863" s="156"/>
      <c r="AY863" s="156"/>
      <c r="AZ863" s="156"/>
      <c r="BA863" s="156"/>
      <c r="BB863" s="2828"/>
      <c r="BC863" s="452"/>
      <c r="BD863" s="2829"/>
      <c r="BE863" s="156"/>
      <c r="BF863" s="156"/>
    </row>
    <row r="864" spans="1:58" hidden="1" outlineLevel="1" x14ac:dyDescent="0.35">
      <c r="A864" s="1071"/>
      <c r="B864" s="106"/>
      <c r="C864" s="103"/>
      <c r="D864" s="152" t="s">
        <v>107</v>
      </c>
      <c r="E864" s="106"/>
      <c r="F864" s="106"/>
      <c r="G864" s="106"/>
      <c r="H864" s="106"/>
      <c r="I864" s="106"/>
      <c r="J864" s="106"/>
      <c r="K864" s="106"/>
      <c r="L864" s="106"/>
      <c r="M864" s="106"/>
      <c r="N864" s="106"/>
      <c r="O864" s="106"/>
      <c r="P864" s="106"/>
      <c r="Q864" s="106"/>
      <c r="R864" s="106"/>
      <c r="S864" s="106"/>
      <c r="T864" s="106"/>
      <c r="U864" s="106"/>
      <c r="V864" s="106"/>
      <c r="W864" s="156"/>
      <c r="X864" s="156"/>
      <c r="Y864" s="156"/>
      <c r="Z864" s="156"/>
      <c r="AA864" s="156"/>
      <c r="AB864" s="156"/>
      <c r="AC864" s="156"/>
      <c r="AD864" s="156"/>
      <c r="AE864" s="156"/>
      <c r="AF864" s="156"/>
      <c r="AG864" s="156"/>
      <c r="AH864" s="156"/>
      <c r="AI864" s="156"/>
      <c r="AJ864" s="156"/>
      <c r="AK864" s="156"/>
      <c r="AL864" s="156"/>
      <c r="AM864" s="156"/>
      <c r="AN864" s="156"/>
      <c r="AO864" s="156"/>
      <c r="AP864" s="156"/>
      <c r="AQ864" s="156"/>
      <c r="AR864" s="156"/>
      <c r="AS864" s="156"/>
      <c r="AT864" s="156"/>
      <c r="AU864" s="156"/>
      <c r="AV864" s="156"/>
      <c r="AW864" s="156"/>
      <c r="AX864" s="156"/>
      <c r="AY864" s="156"/>
      <c r="AZ864" s="156"/>
      <c r="BA864" s="156"/>
      <c r="BB864" s="2828"/>
      <c r="BC864" s="452"/>
      <c r="BD864" s="2829"/>
      <c r="BE864" s="156"/>
      <c r="BF864" s="156"/>
    </row>
    <row r="865" spans="1:58" hidden="1" outlineLevel="1" x14ac:dyDescent="0.35">
      <c r="A865" s="1071"/>
      <c r="B865" s="106"/>
      <c r="C865" s="103"/>
      <c r="D865" s="292"/>
      <c r="E865" s="106"/>
      <c r="F865" s="106"/>
      <c r="G865" s="106"/>
      <c r="H865" s="106"/>
      <c r="I865" s="106"/>
      <c r="J865" s="106"/>
      <c r="K865" s="106"/>
      <c r="L865" s="106"/>
      <c r="M865" s="106"/>
      <c r="N865" s="106"/>
      <c r="O865" s="106"/>
      <c r="P865" s="106"/>
      <c r="Q865" s="106"/>
      <c r="R865" s="106"/>
      <c r="S865" s="106"/>
      <c r="T865" s="106"/>
      <c r="U865" s="106"/>
      <c r="V865" s="106"/>
      <c r="W865" s="156"/>
      <c r="X865" s="156"/>
      <c r="Y865" s="156"/>
      <c r="Z865" s="156"/>
      <c r="AA865" s="156"/>
      <c r="AB865" s="156"/>
      <c r="AC865" s="156"/>
      <c r="AD865" s="156"/>
      <c r="AE865" s="156"/>
      <c r="AF865" s="156"/>
      <c r="AG865" s="156"/>
      <c r="AH865" s="156"/>
      <c r="AI865" s="156"/>
      <c r="AJ865" s="156"/>
      <c r="AK865" s="156"/>
      <c r="AL865" s="156"/>
      <c r="AM865" s="156"/>
      <c r="AN865" s="156"/>
      <c r="AO865" s="156"/>
      <c r="AP865" s="156"/>
      <c r="AQ865" s="156"/>
      <c r="AR865" s="156"/>
      <c r="AS865" s="156"/>
      <c r="AT865" s="156"/>
      <c r="AU865" s="156"/>
      <c r="AV865" s="156"/>
      <c r="AW865" s="156"/>
      <c r="AX865" s="156"/>
      <c r="AY865" s="156"/>
      <c r="AZ865" s="156"/>
      <c r="BA865" s="156"/>
      <c r="BB865" s="2828"/>
      <c r="BC865" s="452"/>
      <c r="BD865" s="2829"/>
      <c r="BE865" s="156"/>
      <c r="BF865" s="156"/>
    </row>
    <row r="866" spans="1:58" hidden="1" outlineLevel="1" x14ac:dyDescent="0.35">
      <c r="A866" s="1071"/>
      <c r="B866" s="106"/>
      <c r="C866" s="103"/>
      <c r="D866" s="292"/>
      <c r="E866" s="106"/>
      <c r="F866" s="106"/>
      <c r="G866" s="106"/>
      <c r="H866" s="106"/>
      <c r="I866" s="106"/>
      <c r="J866" s="106"/>
      <c r="K866" s="106"/>
      <c r="L866" s="106"/>
      <c r="M866" s="106"/>
      <c r="N866" s="1296"/>
      <c r="O866" s="106"/>
      <c r="P866" s="106"/>
      <c r="Q866" s="106"/>
      <c r="R866" s="106"/>
      <c r="S866" s="106"/>
      <c r="T866" s="106"/>
      <c r="U866" s="106"/>
      <c r="V866" s="106"/>
      <c r="W866" s="156"/>
      <c r="X866" s="156"/>
      <c r="Y866" s="156"/>
      <c r="Z866" s="156"/>
      <c r="AA866" s="156"/>
      <c r="AB866" s="156"/>
      <c r="AC866" s="156"/>
      <c r="AD866" s="156"/>
      <c r="AE866" s="156"/>
      <c r="AF866" s="156"/>
      <c r="AG866" s="156"/>
      <c r="AH866" s="156"/>
      <c r="AI866" s="156"/>
      <c r="AJ866" s="156"/>
      <c r="AK866" s="156"/>
      <c r="AL866" s="156"/>
      <c r="AM866" s="156"/>
      <c r="AN866" s="156"/>
      <c r="AO866" s="156"/>
      <c r="AP866" s="156"/>
      <c r="AQ866" s="156"/>
      <c r="AR866" s="156"/>
      <c r="AS866" s="156"/>
      <c r="AT866" s="156"/>
      <c r="AU866" s="156"/>
      <c r="AV866" s="156"/>
      <c r="AW866" s="156"/>
      <c r="AX866" s="156"/>
      <c r="AY866" s="156"/>
      <c r="AZ866" s="156"/>
      <c r="BA866" s="156"/>
      <c r="BB866" s="2828"/>
      <c r="BC866" s="452"/>
      <c r="BD866" s="2829"/>
      <c r="BE866" s="156"/>
      <c r="BF866" s="156"/>
    </row>
    <row r="867" spans="1:58" hidden="1" outlineLevel="1" x14ac:dyDescent="0.35">
      <c r="A867" s="1071"/>
      <c r="B867" s="106"/>
      <c r="C867" s="103"/>
      <c r="D867" s="292"/>
      <c r="E867" s="106"/>
      <c r="F867" s="106"/>
      <c r="G867" s="106"/>
      <c r="H867" s="106"/>
      <c r="I867" s="106"/>
      <c r="J867" s="106"/>
      <c r="K867" s="106"/>
      <c r="L867" s="106"/>
      <c r="M867" s="106"/>
      <c r="N867" s="1296"/>
      <c r="O867" s="106"/>
      <c r="P867" s="106"/>
      <c r="Q867" s="106"/>
      <c r="R867" s="106"/>
      <c r="S867" s="106"/>
      <c r="T867" s="106"/>
      <c r="U867" s="106"/>
      <c r="V867" s="106"/>
      <c r="W867" s="156"/>
      <c r="X867" s="156"/>
      <c r="Y867" s="156"/>
      <c r="Z867" s="156"/>
      <c r="AA867" s="156"/>
      <c r="AB867" s="156"/>
      <c r="AC867" s="156"/>
      <c r="AD867" s="156"/>
      <c r="AE867" s="156"/>
      <c r="AF867" s="156"/>
      <c r="AG867" s="156"/>
      <c r="AH867" s="156"/>
      <c r="AI867" s="156"/>
      <c r="AJ867" s="156"/>
      <c r="AK867" s="156"/>
      <c r="AL867" s="156"/>
      <c r="AM867" s="156"/>
      <c r="AN867" s="156"/>
      <c r="AO867" s="156"/>
      <c r="AP867" s="156"/>
      <c r="AQ867" s="156"/>
      <c r="AR867" s="156"/>
      <c r="AS867" s="156"/>
      <c r="AT867" s="156"/>
      <c r="AU867" s="156"/>
      <c r="AV867" s="156"/>
      <c r="AW867" s="156"/>
      <c r="AX867" s="156"/>
      <c r="AY867" s="156"/>
      <c r="AZ867" s="156"/>
      <c r="BA867" s="156"/>
      <c r="BB867" s="2828"/>
      <c r="BC867" s="452"/>
      <c r="BD867" s="2829"/>
      <c r="BE867" s="156"/>
      <c r="BF867" s="156"/>
    </row>
    <row r="868" spans="1:58" hidden="1" outlineLevel="1" x14ac:dyDescent="0.35">
      <c r="A868" s="1071"/>
      <c r="B868" s="106"/>
      <c r="C868" s="103"/>
      <c r="D868" s="292"/>
      <c r="E868" s="106"/>
      <c r="F868" s="106"/>
      <c r="G868" s="106"/>
      <c r="H868" s="106"/>
      <c r="I868" s="106"/>
      <c r="J868" s="106"/>
      <c r="K868" s="106"/>
      <c r="L868" s="106"/>
      <c r="M868" s="106"/>
      <c r="N868" s="1296"/>
      <c r="O868" s="106"/>
      <c r="P868" s="106"/>
      <c r="Q868" s="106"/>
      <c r="R868" s="106"/>
      <c r="S868" s="106"/>
      <c r="T868" s="106"/>
      <c r="U868" s="106"/>
      <c r="V868" s="106"/>
      <c r="W868" s="156"/>
      <c r="X868" s="156"/>
      <c r="Y868" s="156"/>
      <c r="Z868" s="156"/>
      <c r="AA868" s="156"/>
      <c r="AB868" s="156"/>
      <c r="AC868" s="156"/>
      <c r="AD868" s="156"/>
      <c r="AE868" s="156"/>
      <c r="AF868" s="156"/>
      <c r="AG868" s="156"/>
      <c r="AH868" s="156"/>
      <c r="AI868" s="156"/>
      <c r="AJ868" s="156"/>
      <c r="AK868" s="156"/>
      <c r="AL868" s="156"/>
      <c r="AM868" s="156"/>
      <c r="AN868" s="156"/>
      <c r="AO868" s="156"/>
      <c r="AP868" s="156"/>
      <c r="AQ868" s="156"/>
      <c r="AR868" s="156"/>
      <c r="AS868" s="156"/>
      <c r="AT868" s="156"/>
      <c r="AU868" s="156"/>
      <c r="AV868" s="156"/>
      <c r="AW868" s="156"/>
      <c r="AX868" s="156"/>
      <c r="AY868" s="156"/>
      <c r="AZ868" s="156"/>
      <c r="BA868" s="156"/>
      <c r="BB868" s="2828"/>
      <c r="BC868" s="452"/>
      <c r="BD868" s="2829"/>
      <c r="BE868" s="156"/>
      <c r="BF868" s="156"/>
    </row>
    <row r="869" spans="1:58" hidden="1" outlineLevel="1" x14ac:dyDescent="0.35">
      <c r="A869" s="1071"/>
      <c r="B869" s="106"/>
      <c r="C869" s="103"/>
      <c r="D869" s="292" t="s">
        <v>942</v>
      </c>
      <c r="E869" s="106"/>
      <c r="F869" s="106"/>
      <c r="G869" s="106"/>
      <c r="H869" s="106"/>
      <c r="J869" s="2301" t="s">
        <v>4365</v>
      </c>
      <c r="K869" s="106"/>
      <c r="L869" s="106"/>
      <c r="M869" s="106"/>
      <c r="N869" s="1296"/>
      <c r="O869" s="106"/>
      <c r="P869" s="106"/>
      <c r="Q869" s="106"/>
      <c r="R869" s="106"/>
      <c r="S869" s="106"/>
      <c r="T869" s="106"/>
      <c r="U869" s="106"/>
      <c r="V869" s="106"/>
      <c r="W869" s="156"/>
      <c r="X869" s="156"/>
      <c r="Y869" s="156"/>
      <c r="Z869" s="156"/>
      <c r="AA869" s="156"/>
      <c r="AB869" s="156"/>
      <c r="AC869" s="156"/>
      <c r="AD869" s="156"/>
      <c r="AE869" s="156"/>
      <c r="AF869" s="156"/>
      <c r="AG869" s="156"/>
      <c r="AH869" s="156"/>
      <c r="AI869" s="156"/>
      <c r="AJ869" s="156"/>
      <c r="AK869" s="156"/>
      <c r="AL869" s="156"/>
      <c r="AM869" s="156"/>
      <c r="AN869" s="156"/>
      <c r="AO869" s="156"/>
      <c r="AP869" s="156"/>
      <c r="AQ869" s="156"/>
      <c r="AR869" s="156"/>
      <c r="AS869" s="156"/>
      <c r="AT869" s="156"/>
      <c r="AU869" s="156"/>
      <c r="AV869" s="156"/>
      <c r="AW869" s="156"/>
      <c r="AX869" s="156"/>
      <c r="AY869" s="156"/>
      <c r="AZ869" s="156"/>
      <c r="BA869" s="156"/>
      <c r="BB869" s="2828"/>
      <c r="BC869" s="452"/>
      <c r="BD869" s="2829"/>
      <c r="BE869" s="156"/>
      <c r="BF869" s="156"/>
    </row>
    <row r="870" spans="1:58" hidden="1" outlineLevel="1" x14ac:dyDescent="0.35">
      <c r="A870" s="1071"/>
      <c r="B870" s="106"/>
      <c r="C870" s="103"/>
      <c r="D870" s="292"/>
      <c r="E870" s="106"/>
      <c r="F870" s="106"/>
      <c r="G870" s="106"/>
      <c r="H870" s="106"/>
      <c r="I870" s="106"/>
      <c r="J870" s="106"/>
      <c r="K870" s="106"/>
      <c r="L870" s="106"/>
      <c r="M870" s="106"/>
      <c r="N870" s="1296"/>
      <c r="O870" s="106"/>
      <c r="P870" s="106"/>
      <c r="Q870" s="106"/>
      <c r="R870" s="106"/>
      <c r="S870" s="106"/>
      <c r="T870" s="106"/>
      <c r="U870" s="106"/>
      <c r="V870" s="106"/>
      <c r="W870" s="156"/>
      <c r="X870" s="156"/>
      <c r="Y870" s="156"/>
      <c r="Z870" s="156"/>
      <c r="AA870" s="156"/>
      <c r="AB870" s="156"/>
      <c r="AC870" s="156"/>
      <c r="AD870" s="156"/>
      <c r="AE870" s="156"/>
      <c r="AF870" s="156"/>
      <c r="AG870" s="156"/>
      <c r="AH870" s="156"/>
      <c r="AI870" s="156"/>
      <c r="AJ870" s="156"/>
      <c r="AK870" s="156"/>
      <c r="AL870" s="156"/>
      <c r="AM870" s="156"/>
      <c r="AN870" s="156"/>
      <c r="AO870" s="156"/>
      <c r="AP870" s="156"/>
      <c r="AQ870" s="156"/>
      <c r="AR870" s="156"/>
      <c r="AS870" s="156"/>
      <c r="AT870" s="156"/>
      <c r="AU870" s="156"/>
      <c r="AV870" s="156"/>
      <c r="AW870" s="156"/>
      <c r="AX870" s="156"/>
      <c r="AY870" s="156"/>
      <c r="AZ870" s="156"/>
      <c r="BA870" s="156"/>
      <c r="BB870" s="2828"/>
      <c r="BC870" s="452"/>
      <c r="BD870" s="2829"/>
      <c r="BE870" s="156"/>
      <c r="BF870" s="156"/>
    </row>
    <row r="871" spans="1:58" hidden="1" outlineLevel="1" x14ac:dyDescent="0.35">
      <c r="A871" s="1071"/>
      <c r="B871" s="106"/>
      <c r="C871" s="103"/>
      <c r="D871" s="292"/>
      <c r="E871" s="106"/>
      <c r="F871" s="106"/>
      <c r="G871" s="106"/>
      <c r="H871" s="106"/>
      <c r="I871" s="106"/>
      <c r="J871" s="106"/>
      <c r="K871" s="106"/>
      <c r="L871" s="106"/>
      <c r="M871" s="106"/>
      <c r="N871" s="1296"/>
      <c r="O871" s="106"/>
      <c r="P871" s="106"/>
      <c r="Q871" s="106"/>
      <c r="R871" s="106"/>
      <c r="S871" s="106"/>
      <c r="T871" s="106"/>
      <c r="U871" s="106"/>
      <c r="V871" s="106"/>
      <c r="W871" s="156"/>
      <c r="X871" s="156"/>
      <c r="Y871" s="156"/>
      <c r="Z871" s="156"/>
      <c r="AA871" s="156"/>
      <c r="AB871" s="156"/>
      <c r="AC871" s="156"/>
      <c r="AD871" s="156"/>
      <c r="AE871" s="156"/>
      <c r="AF871" s="156"/>
      <c r="AG871" s="156"/>
      <c r="AH871" s="156"/>
      <c r="AI871" s="156"/>
      <c r="AJ871" s="156"/>
      <c r="AK871" s="156"/>
      <c r="AL871" s="156"/>
      <c r="AM871" s="156"/>
      <c r="AN871" s="156"/>
      <c r="AO871" s="156"/>
      <c r="AP871" s="156"/>
      <c r="AQ871" s="156"/>
      <c r="AR871" s="156"/>
      <c r="AS871" s="156"/>
      <c r="AT871" s="156"/>
      <c r="AU871" s="156"/>
      <c r="AV871" s="156"/>
      <c r="AW871" s="156"/>
      <c r="AX871" s="156"/>
      <c r="AY871" s="156"/>
      <c r="AZ871" s="156"/>
      <c r="BA871" s="156"/>
      <c r="BB871" s="2828"/>
      <c r="BC871" s="452"/>
      <c r="BD871" s="2829"/>
      <c r="BE871" s="156"/>
      <c r="BF871" s="156"/>
    </row>
    <row r="872" spans="1:58" hidden="1" outlineLevel="1" x14ac:dyDescent="0.35">
      <c r="A872" s="1071"/>
      <c r="B872" s="106"/>
      <c r="C872" s="103"/>
      <c r="D872" s="292"/>
      <c r="E872" s="106"/>
      <c r="F872" s="106"/>
      <c r="G872" s="106"/>
      <c r="H872" s="106"/>
      <c r="I872" s="106"/>
      <c r="J872" s="106"/>
      <c r="K872" s="106"/>
      <c r="L872" s="106"/>
      <c r="M872" s="106"/>
      <c r="N872" s="1296"/>
      <c r="O872" s="106"/>
      <c r="P872" s="106"/>
      <c r="Q872" s="106"/>
      <c r="R872" s="106"/>
      <c r="S872" s="106"/>
      <c r="T872" s="106"/>
      <c r="U872" s="106"/>
      <c r="V872" s="106"/>
      <c r="W872" s="156"/>
      <c r="X872" s="156"/>
      <c r="Y872" s="156"/>
      <c r="Z872" s="156"/>
      <c r="AA872" s="156"/>
      <c r="AB872" s="156"/>
      <c r="AC872" s="156"/>
      <c r="AD872" s="156"/>
      <c r="AE872" s="156"/>
      <c r="AF872" s="156"/>
      <c r="AG872" s="156"/>
      <c r="AH872" s="156"/>
      <c r="AI872" s="156"/>
      <c r="AJ872" s="156"/>
      <c r="AK872" s="156"/>
      <c r="AL872" s="156"/>
      <c r="AM872" s="156"/>
      <c r="AN872" s="156"/>
      <c r="AO872" s="156"/>
      <c r="AP872" s="156"/>
      <c r="AQ872" s="156"/>
      <c r="AR872" s="156"/>
      <c r="AS872" s="156"/>
      <c r="AT872" s="156"/>
      <c r="AU872" s="156"/>
      <c r="AV872" s="156"/>
      <c r="AW872" s="156"/>
      <c r="AX872" s="156"/>
      <c r="AY872" s="156"/>
      <c r="AZ872" s="156"/>
      <c r="BA872" s="156"/>
      <c r="BB872" s="2828"/>
      <c r="BC872" s="452"/>
      <c r="BD872" s="2829"/>
      <c r="BE872" s="156"/>
      <c r="BF872" s="156"/>
    </row>
    <row r="873" spans="1:58" hidden="1" outlineLevel="1" x14ac:dyDescent="0.35">
      <c r="A873" s="1071"/>
      <c r="B873" s="106"/>
      <c r="C873" s="103"/>
      <c r="D873" s="292"/>
      <c r="E873" s="106"/>
      <c r="F873" s="106"/>
      <c r="G873" s="106"/>
      <c r="H873" s="106"/>
      <c r="I873" s="106"/>
      <c r="J873" s="106"/>
      <c r="K873" s="106"/>
      <c r="L873" s="106"/>
      <c r="M873" s="106"/>
      <c r="N873" s="1296"/>
      <c r="O873" s="106"/>
      <c r="P873" s="106"/>
      <c r="Q873" s="106"/>
      <c r="R873" s="106"/>
      <c r="S873" s="106"/>
      <c r="T873" s="106"/>
      <c r="U873" s="106"/>
      <c r="V873" s="106"/>
      <c r="W873" s="156"/>
      <c r="X873" s="156"/>
      <c r="Y873" s="156"/>
      <c r="Z873" s="156"/>
      <c r="AA873" s="156"/>
      <c r="AB873" s="156"/>
      <c r="AC873" s="156"/>
      <c r="AD873" s="156"/>
      <c r="AE873" s="156"/>
      <c r="AF873" s="156"/>
      <c r="AG873" s="156"/>
      <c r="AH873" s="156"/>
      <c r="AI873" s="156"/>
      <c r="AJ873" s="156"/>
      <c r="AK873" s="156"/>
      <c r="AL873" s="156"/>
      <c r="AM873" s="156"/>
      <c r="AN873" s="156"/>
      <c r="AO873" s="156"/>
      <c r="AP873" s="156"/>
      <c r="AQ873" s="156"/>
      <c r="AR873" s="156"/>
      <c r="AS873" s="156"/>
      <c r="AT873" s="156"/>
      <c r="AU873" s="156"/>
      <c r="AV873" s="156"/>
      <c r="AW873" s="156"/>
      <c r="AX873" s="156"/>
      <c r="AY873" s="156"/>
      <c r="AZ873" s="156"/>
      <c r="BA873" s="156"/>
      <c r="BB873" s="2828"/>
      <c r="BC873" s="452"/>
      <c r="BD873" s="2829"/>
      <c r="BE873" s="156"/>
      <c r="BF873" s="156"/>
    </row>
    <row r="874" spans="1:58" hidden="1" outlineLevel="1" x14ac:dyDescent="0.35">
      <c r="A874" s="1071"/>
      <c r="B874" s="106"/>
      <c r="C874" s="103"/>
      <c r="D874" s="292"/>
      <c r="E874" s="106"/>
      <c r="F874" s="106"/>
      <c r="G874" s="106"/>
      <c r="H874" s="106"/>
      <c r="I874" s="106"/>
      <c r="J874" s="106"/>
      <c r="K874" s="106"/>
      <c r="L874" s="106"/>
      <c r="M874" s="106"/>
      <c r="N874" s="1296"/>
      <c r="O874" s="106"/>
      <c r="P874" s="106"/>
      <c r="Q874" s="106"/>
      <c r="R874" s="106"/>
      <c r="S874" s="106"/>
      <c r="T874" s="106"/>
      <c r="U874" s="106"/>
      <c r="V874" s="106"/>
      <c r="W874" s="156"/>
      <c r="X874" s="156"/>
      <c r="Y874" s="156"/>
      <c r="Z874" s="156"/>
      <c r="AA874" s="156"/>
      <c r="AB874" s="156"/>
      <c r="AC874" s="156"/>
      <c r="AD874" s="156"/>
      <c r="AE874" s="156"/>
      <c r="AF874" s="156"/>
      <c r="AG874" s="156"/>
      <c r="AH874" s="156"/>
      <c r="AI874" s="156"/>
      <c r="AJ874" s="156"/>
      <c r="AK874" s="156"/>
      <c r="AL874" s="156"/>
      <c r="AM874" s="156"/>
      <c r="AN874" s="156"/>
      <c r="AO874" s="156"/>
      <c r="AP874" s="156"/>
      <c r="AQ874" s="156"/>
      <c r="AR874" s="156"/>
      <c r="AS874" s="156"/>
      <c r="AT874" s="156"/>
      <c r="AU874" s="156"/>
      <c r="AV874" s="156"/>
      <c r="AW874" s="156"/>
      <c r="AX874" s="156"/>
      <c r="AY874" s="156"/>
      <c r="AZ874" s="156"/>
      <c r="BA874" s="156"/>
      <c r="BB874" s="2828"/>
      <c r="BC874" s="452"/>
      <c r="BD874" s="2829"/>
      <c r="BE874" s="156"/>
      <c r="BF874" s="156"/>
    </row>
    <row r="875" spans="1:58" hidden="1" outlineLevel="1" x14ac:dyDescent="0.35">
      <c r="A875" s="1071"/>
      <c r="B875" s="106"/>
      <c r="C875" s="103"/>
      <c r="D875" s="292" t="s">
        <v>1038</v>
      </c>
      <c r="E875" s="106"/>
      <c r="F875" s="106"/>
      <c r="G875" s="106"/>
      <c r="H875" s="106"/>
      <c r="I875" s="106"/>
      <c r="J875" s="106"/>
      <c r="K875" s="106"/>
      <c r="L875" s="106"/>
      <c r="M875" s="106"/>
      <c r="N875" s="1296"/>
      <c r="O875" s="106"/>
      <c r="P875" s="106"/>
      <c r="Q875" s="106"/>
      <c r="R875" s="106"/>
      <c r="S875" s="106"/>
      <c r="T875" s="106"/>
      <c r="U875" s="106"/>
      <c r="V875" s="106"/>
      <c r="W875" s="156"/>
      <c r="X875" s="156"/>
      <c r="Y875" s="156"/>
      <c r="Z875" s="156"/>
      <c r="AA875" s="156"/>
      <c r="AB875" s="156"/>
      <c r="AC875" s="156"/>
      <c r="AD875" s="156"/>
      <c r="AE875" s="156"/>
      <c r="AF875" s="156"/>
      <c r="AG875" s="156"/>
      <c r="AH875" s="156"/>
      <c r="AI875" s="156"/>
      <c r="AJ875" s="156"/>
      <c r="AK875" s="156"/>
      <c r="AL875" s="156"/>
      <c r="AM875" s="156"/>
      <c r="AN875" s="156"/>
      <c r="AO875" s="156"/>
      <c r="AP875" s="156"/>
      <c r="AQ875" s="156"/>
      <c r="AR875" s="156"/>
      <c r="AS875" s="156"/>
      <c r="AT875" s="156"/>
      <c r="AU875" s="156"/>
      <c r="AV875" s="156"/>
      <c r="AW875" s="156"/>
      <c r="AX875" s="156"/>
      <c r="AY875" s="156"/>
      <c r="AZ875" s="156"/>
      <c r="BA875" s="156"/>
      <c r="BB875" s="2828"/>
      <c r="BC875" s="452"/>
      <c r="BD875" s="2829"/>
      <c r="BE875" s="156"/>
      <c r="BF875" s="156"/>
    </row>
    <row r="876" spans="1:58" hidden="1" outlineLevel="1" x14ac:dyDescent="0.35">
      <c r="A876" s="1071"/>
      <c r="B876" s="106"/>
      <c r="C876" s="103"/>
      <c r="D876" s="156"/>
      <c r="E876" s="156"/>
      <c r="F876" s="106"/>
      <c r="G876" s="106"/>
      <c r="H876" s="106"/>
      <c r="I876" s="106"/>
      <c r="J876" s="106"/>
      <c r="K876" s="106"/>
      <c r="L876" s="106"/>
      <c r="M876" s="106"/>
      <c r="N876" s="1296"/>
      <c r="O876" s="106"/>
      <c r="P876" s="106"/>
      <c r="Q876" s="106"/>
      <c r="R876" s="106"/>
      <c r="S876" s="106"/>
      <c r="T876" s="106"/>
      <c r="U876" s="106"/>
      <c r="V876" s="106"/>
      <c r="W876" s="156"/>
      <c r="X876" s="156"/>
      <c r="Y876" s="156"/>
      <c r="Z876" s="156"/>
      <c r="AA876" s="156"/>
      <c r="AB876" s="156"/>
      <c r="AC876" s="156"/>
      <c r="AD876" s="156"/>
      <c r="AE876" s="156"/>
      <c r="AF876" s="156"/>
      <c r="AG876" s="156"/>
      <c r="AH876" s="156"/>
      <c r="AI876" s="156"/>
      <c r="AJ876" s="156"/>
      <c r="AK876" s="156"/>
      <c r="AL876" s="156"/>
      <c r="AM876" s="156"/>
      <c r="AN876" s="156"/>
      <c r="AO876" s="156"/>
      <c r="AP876" s="156"/>
      <c r="AQ876" s="156"/>
      <c r="AR876" s="156"/>
      <c r="AS876" s="156"/>
      <c r="AT876" s="156"/>
      <c r="AU876" s="156"/>
      <c r="AV876" s="156"/>
      <c r="AW876" s="156"/>
      <c r="AX876" s="156"/>
      <c r="AY876" s="156"/>
      <c r="AZ876" s="156"/>
      <c r="BA876" s="156"/>
      <c r="BB876" s="2828"/>
      <c r="BC876" s="452"/>
      <c r="BD876" s="2829"/>
      <c r="BE876" s="156"/>
      <c r="BF876" s="156"/>
    </row>
    <row r="877" spans="1:58" hidden="1" outlineLevel="1" x14ac:dyDescent="0.35">
      <c r="A877" s="1071"/>
      <c r="B877" s="106"/>
      <c r="C877" s="103"/>
      <c r="D877" s="292"/>
      <c r="E877" s="106"/>
      <c r="F877" s="106"/>
      <c r="G877" s="106"/>
      <c r="H877" s="106"/>
      <c r="I877" s="106"/>
      <c r="J877" s="106"/>
      <c r="K877" s="106"/>
      <c r="L877" s="106"/>
      <c r="M877" s="106"/>
      <c r="N877" s="1296"/>
      <c r="O877" s="106"/>
      <c r="P877" s="106"/>
      <c r="Q877" s="106"/>
      <c r="R877" s="106"/>
      <c r="S877" s="106"/>
      <c r="T877" s="106"/>
      <c r="U877" s="106"/>
      <c r="V877" s="106"/>
      <c r="W877" s="156"/>
      <c r="X877" s="156"/>
      <c r="Y877" s="156"/>
      <c r="Z877" s="156"/>
      <c r="AA877" s="156"/>
      <c r="AB877" s="156"/>
      <c r="AC877" s="156"/>
      <c r="AD877" s="156"/>
      <c r="AE877" s="156"/>
      <c r="AF877" s="156"/>
      <c r="AG877" s="156"/>
      <c r="AH877" s="156"/>
      <c r="AI877" s="156"/>
      <c r="AJ877" s="156"/>
      <c r="AK877" s="156"/>
      <c r="AL877" s="156"/>
      <c r="AM877" s="156"/>
      <c r="AN877" s="156"/>
      <c r="AO877" s="156"/>
      <c r="AP877" s="156"/>
      <c r="AQ877" s="156"/>
      <c r="AR877" s="156"/>
      <c r="AS877" s="156"/>
      <c r="AT877" s="156"/>
      <c r="AU877" s="156"/>
      <c r="AV877" s="156"/>
      <c r="AW877" s="156"/>
      <c r="AX877" s="156"/>
      <c r="AY877" s="156"/>
      <c r="AZ877" s="156"/>
      <c r="BA877" s="156"/>
      <c r="BB877" s="2828"/>
      <c r="BC877" s="452"/>
      <c r="BD877" s="2829"/>
      <c r="BE877" s="156"/>
      <c r="BF877" s="156"/>
    </row>
    <row r="878" spans="1:58" hidden="1" outlineLevel="1" x14ac:dyDescent="0.35">
      <c r="A878" s="1071"/>
      <c r="B878" s="106"/>
      <c r="C878" s="103"/>
      <c r="D878" s="292"/>
      <c r="E878" s="106"/>
      <c r="F878" s="106"/>
      <c r="G878" s="106"/>
      <c r="H878" s="106"/>
      <c r="I878" s="106"/>
      <c r="J878" s="156"/>
      <c r="K878" s="106"/>
      <c r="L878" s="106"/>
      <c r="M878" s="106"/>
      <c r="N878" s="1296"/>
      <c r="O878" s="106"/>
      <c r="P878" s="106"/>
      <c r="Q878" s="106"/>
      <c r="R878" s="106"/>
      <c r="S878" s="106"/>
      <c r="T878" s="106"/>
      <c r="U878" s="106"/>
      <c r="V878" s="106"/>
      <c r="W878" s="156"/>
      <c r="X878" s="156"/>
      <c r="Y878" s="156"/>
      <c r="Z878" s="156"/>
      <c r="AA878" s="156"/>
      <c r="AB878" s="156"/>
      <c r="AC878" s="156"/>
      <c r="AD878" s="156"/>
      <c r="AE878" s="156"/>
      <c r="AF878" s="156"/>
      <c r="AG878" s="156"/>
      <c r="AH878" s="156"/>
      <c r="AI878" s="156"/>
      <c r="AJ878" s="156"/>
      <c r="AK878" s="156"/>
      <c r="AL878" s="156"/>
      <c r="AM878" s="156"/>
      <c r="AN878" s="156"/>
      <c r="AO878" s="156"/>
      <c r="AP878" s="156"/>
      <c r="AQ878" s="156"/>
      <c r="AR878" s="156"/>
      <c r="AS878" s="156"/>
      <c r="AT878" s="156"/>
      <c r="AU878" s="156"/>
      <c r="AV878" s="156"/>
      <c r="AW878" s="156"/>
      <c r="AX878" s="156"/>
      <c r="AY878" s="156"/>
      <c r="AZ878" s="156"/>
      <c r="BA878" s="156"/>
      <c r="BB878" s="2828"/>
      <c r="BC878" s="452"/>
      <c r="BD878" s="2829"/>
      <c r="BE878" s="156"/>
      <c r="BF878" s="156"/>
    </row>
    <row r="879" spans="1:58" hidden="1" outlineLevel="1" x14ac:dyDescent="0.35">
      <c r="A879" s="1071"/>
      <c r="B879" s="106"/>
      <c r="C879" s="103"/>
      <c r="D879" s="292"/>
      <c r="E879" s="106"/>
      <c r="F879" s="106"/>
      <c r="G879" s="106"/>
      <c r="H879" s="106"/>
      <c r="I879" s="106"/>
      <c r="J879" s="106"/>
      <c r="K879" s="106"/>
      <c r="L879" s="106"/>
      <c r="M879" s="106"/>
      <c r="N879" s="1296"/>
      <c r="O879" s="106"/>
      <c r="P879" s="106"/>
      <c r="Q879" s="106"/>
      <c r="R879" s="106"/>
      <c r="S879" s="106"/>
      <c r="T879" s="106"/>
      <c r="U879" s="106"/>
      <c r="V879" s="106"/>
      <c r="W879" s="156"/>
      <c r="X879" s="156"/>
      <c r="Y879" s="156"/>
      <c r="Z879" s="156"/>
      <c r="AA879" s="156"/>
      <c r="AB879" s="156"/>
      <c r="AC879" s="156"/>
      <c r="AD879" s="156"/>
      <c r="AE879" s="156"/>
      <c r="AF879" s="156"/>
      <c r="AG879" s="156"/>
      <c r="AH879" s="156"/>
      <c r="AI879" s="156"/>
      <c r="AJ879" s="156"/>
      <c r="AK879" s="156"/>
      <c r="AL879" s="156"/>
      <c r="AM879" s="156"/>
      <c r="AN879" s="156"/>
      <c r="AO879" s="156"/>
      <c r="AP879" s="156"/>
      <c r="AQ879" s="156"/>
      <c r="AR879" s="156"/>
      <c r="AS879" s="156"/>
      <c r="AT879" s="156"/>
      <c r="AU879" s="156"/>
      <c r="AV879" s="156"/>
      <c r="AW879" s="156"/>
      <c r="AX879" s="156"/>
      <c r="AY879" s="156"/>
      <c r="AZ879" s="156"/>
      <c r="BA879" s="156"/>
      <c r="BB879" s="2828"/>
      <c r="BC879" s="452"/>
      <c r="BD879" s="2829"/>
      <c r="BE879" s="156"/>
      <c r="BF879" s="156"/>
    </row>
    <row r="880" spans="1:58" ht="15" hidden="1" outlineLevel="1" thickBot="1" x14ac:dyDescent="0.4">
      <c r="A880" s="1071"/>
      <c r="B880" s="106"/>
      <c r="C880" s="103"/>
      <c r="D880" s="333" t="s">
        <v>108</v>
      </c>
      <c r="E880" s="333" t="s">
        <v>109</v>
      </c>
      <c r="F880" s="4027" t="s">
        <v>185</v>
      </c>
      <c r="G880" s="4027"/>
      <c r="H880" s="4027"/>
      <c r="I880" s="2379" t="s">
        <v>27</v>
      </c>
      <c r="J880" s="2379" t="s">
        <v>111</v>
      </c>
      <c r="K880" s="2379" t="s">
        <v>946</v>
      </c>
      <c r="L880" s="2379" t="s">
        <v>397</v>
      </c>
      <c r="M880" s="2378"/>
      <c r="N880" s="106" t="s">
        <v>1039</v>
      </c>
      <c r="O880" s="574"/>
      <c r="P880" s="702"/>
      <c r="Q880" s="106"/>
      <c r="R880" s="106"/>
      <c r="S880" s="106"/>
      <c r="T880" s="106"/>
      <c r="U880" s="106"/>
      <c r="V880" s="480" t="s">
        <v>44</v>
      </c>
      <c r="W880" s="1573">
        <v>43252</v>
      </c>
      <c r="X880" s="1573">
        <f>$X$6</f>
        <v>43465</v>
      </c>
      <c r="Y880" s="1573">
        <f>$Y$6</f>
        <v>43800</v>
      </c>
      <c r="Z880" s="1573">
        <f>$Z$6</f>
        <v>43862</v>
      </c>
      <c r="AA880" s="1573">
        <f>$AA$6</f>
        <v>44013</v>
      </c>
      <c r="AB880" s="1573">
        <f>$AB$6</f>
        <v>44166</v>
      </c>
      <c r="AC880" s="1573">
        <f>$AC$6</f>
        <v>44531</v>
      </c>
      <c r="AD880" s="1573">
        <f>$AD$6</f>
        <v>44774</v>
      </c>
      <c r="AE880" s="1573" t="str">
        <f>$AE$6</f>
        <v>-</v>
      </c>
      <c r="AF880" s="1573" t="str">
        <f>$AF$6</f>
        <v>-</v>
      </c>
      <c r="AG880" s="1573" t="str">
        <f>$AG$6</f>
        <v>-</v>
      </c>
      <c r="AH880" s="156"/>
      <c r="AI880" s="156"/>
      <c r="AJ880" s="156"/>
      <c r="AK880" s="156"/>
      <c r="AL880" s="156"/>
      <c r="AM880" s="156"/>
      <c r="AN880" s="156"/>
      <c r="AO880" s="156"/>
      <c r="AP880" s="156"/>
      <c r="AQ880" s="156"/>
      <c r="AR880" s="156"/>
      <c r="AS880" s="156"/>
      <c r="AT880" s="156"/>
      <c r="AU880" s="156"/>
      <c r="AV880" s="156"/>
      <c r="AW880" s="156"/>
      <c r="AX880" s="156"/>
      <c r="AY880" s="156"/>
      <c r="AZ880" s="156"/>
      <c r="BA880" s="156"/>
      <c r="BB880" s="2828"/>
      <c r="BC880" s="452"/>
      <c r="BD880" s="2829"/>
      <c r="BE880" s="156"/>
      <c r="BF880" s="156"/>
    </row>
    <row r="881" spans="1:58" hidden="1" outlineLevel="1" x14ac:dyDescent="0.35">
      <c r="A881" s="1071"/>
      <c r="B881" s="106"/>
      <c r="C881" s="103"/>
      <c r="D881" s="4064" t="s">
        <v>1040</v>
      </c>
      <c r="E881" s="4021" t="s">
        <v>1041</v>
      </c>
      <c r="F881" s="3943" t="str">
        <f>E793</f>
        <v>Mini/MultiSplitAC_ER1_SF</v>
      </c>
      <c r="G881" s="3944"/>
      <c r="H881" s="3945"/>
      <c r="I881" s="2671" t="str">
        <f>C793</f>
        <v>351200_2021_12_</v>
      </c>
      <c r="J881" s="2225">
        <v>0</v>
      </c>
      <c r="K881" s="1806">
        <f t="shared" ref="K881:K882" si="116">J881/12000</f>
        <v>0</v>
      </c>
      <c r="L881" s="621" t="s">
        <v>1042</v>
      </c>
      <c r="M881" s="1304"/>
      <c r="N881" s="106"/>
      <c r="O881" s="2074" t="s">
        <v>1043</v>
      </c>
      <c r="P881" s="2075">
        <v>1.5</v>
      </c>
      <c r="Q881" s="106" t="s">
        <v>1044</v>
      </c>
      <c r="R881" s="486"/>
      <c r="S881" s="106"/>
      <c r="T881" s="106"/>
      <c r="U881" s="106"/>
      <c r="V881" s="4064" t="s">
        <v>1040</v>
      </c>
      <c r="W881" s="2228">
        <v>0</v>
      </c>
      <c r="X881" s="2228">
        <v>0</v>
      </c>
      <c r="Y881" s="2228">
        <v>0</v>
      </c>
      <c r="Z881" s="2228">
        <v>0</v>
      </c>
      <c r="AA881" s="2228">
        <v>0</v>
      </c>
      <c r="AB881" s="2225">
        <v>0</v>
      </c>
      <c r="AC881" s="2225">
        <v>0</v>
      </c>
      <c r="AD881" s="2225">
        <v>0</v>
      </c>
      <c r="AE881" s="2228"/>
      <c r="AF881" s="2228"/>
      <c r="AG881" s="622"/>
      <c r="AH881" s="156"/>
      <c r="AI881" s="156"/>
      <c r="AJ881" s="156"/>
      <c r="AK881" s="156"/>
      <c r="AL881" s="156"/>
      <c r="AM881" s="156"/>
      <c r="AN881" s="156"/>
      <c r="AO881" s="156"/>
      <c r="AP881" s="156"/>
      <c r="AQ881" s="156"/>
      <c r="AR881" s="156"/>
      <c r="AS881" s="156"/>
      <c r="AT881" s="156"/>
      <c r="AU881" s="156"/>
      <c r="AV881" s="156"/>
      <c r="AW881" s="156"/>
      <c r="AX881" s="156"/>
      <c r="AY881" s="156"/>
      <c r="AZ881" s="156"/>
      <c r="BA881" s="156"/>
      <c r="BB881" s="2828"/>
      <c r="BC881" s="452"/>
      <c r="BD881" s="2829"/>
      <c r="BE881" s="156"/>
      <c r="BF881" s="156"/>
    </row>
    <row r="882" spans="1:58" hidden="1" outlineLevel="1" x14ac:dyDescent="0.35">
      <c r="A882" s="1071"/>
      <c r="B882" s="106"/>
      <c r="C882" s="103"/>
      <c r="D882" s="4076"/>
      <c r="E882" s="4022"/>
      <c r="F882" s="3934" t="str">
        <f>E795</f>
        <v>Mini/MultiSplitAC_ROF_SF</v>
      </c>
      <c r="G882" s="3935"/>
      <c r="H882" s="3936"/>
      <c r="I882" s="2672" t="str">
        <f>C795</f>
        <v>351250_2021_12_</v>
      </c>
      <c r="J882" s="2223">
        <v>0</v>
      </c>
      <c r="K882" s="1806">
        <f t="shared" si="116"/>
        <v>0</v>
      </c>
      <c r="L882" s="624" t="s">
        <v>1042</v>
      </c>
      <c r="M882" s="1304"/>
      <c r="N882" s="106"/>
      <c r="O882" s="106"/>
      <c r="P882" s="106"/>
      <c r="Q882" s="106"/>
      <c r="R882" s="2378"/>
      <c r="S882" s="106"/>
      <c r="T882" s="106"/>
      <c r="U882" s="106"/>
      <c r="V882" s="4076"/>
      <c r="W882" s="2224">
        <v>0</v>
      </c>
      <c r="X882" s="2224">
        <v>0</v>
      </c>
      <c r="Y882" s="2224">
        <v>0</v>
      </c>
      <c r="Z882" s="2224">
        <v>0</v>
      </c>
      <c r="AA882" s="2224">
        <v>0</v>
      </c>
      <c r="AB882" s="2223">
        <v>0</v>
      </c>
      <c r="AC882" s="2223">
        <v>0</v>
      </c>
      <c r="AD882" s="2223">
        <v>0</v>
      </c>
      <c r="AE882" s="2224"/>
      <c r="AF882" s="2224"/>
      <c r="AG882" s="580"/>
      <c r="AH882" s="156"/>
      <c r="AI882" s="156"/>
      <c r="AJ882" s="156"/>
      <c r="AK882" s="156"/>
      <c r="AL882" s="156"/>
      <c r="AM882" s="156"/>
      <c r="AN882" s="156"/>
      <c r="AO882" s="156"/>
      <c r="AP882" s="156"/>
      <c r="AQ882" s="156"/>
      <c r="AR882" s="156"/>
      <c r="AS882" s="156"/>
      <c r="AT882" s="156"/>
      <c r="AU882" s="156"/>
      <c r="AV882" s="156"/>
      <c r="AW882" s="156"/>
      <c r="AX882" s="156"/>
      <c r="AY882" s="156"/>
      <c r="AZ882" s="156"/>
      <c r="BA882" s="156"/>
      <c r="BB882" s="2828"/>
      <c r="BC882" s="452"/>
      <c r="BD882" s="2829"/>
      <c r="BE882" s="156"/>
      <c r="BF882" s="156"/>
    </row>
    <row r="883" spans="1:58" hidden="1" outlineLevel="1" x14ac:dyDescent="0.35">
      <c r="A883" s="1071"/>
      <c r="B883" s="106"/>
      <c r="C883" s="103"/>
      <c r="D883" s="4076"/>
      <c r="E883" s="4022"/>
      <c r="F883" s="3934" t="str">
        <f>E796</f>
        <v>Mini/MultiSplitASHP_ROF_SF_NC</v>
      </c>
      <c r="G883" s="3935"/>
      <c r="H883" s="3936"/>
      <c r="I883" s="2672" t="str">
        <f>C796</f>
        <v>351300_2021_12_</v>
      </c>
      <c r="J883" s="2813">
        <v>19534.374419283762</v>
      </c>
      <c r="K883" s="2756">
        <f t="shared" ref="K883:K889" si="117">J883/12000</f>
        <v>1.6278645349403136</v>
      </c>
      <c r="L883" s="2729" t="s">
        <v>4360</v>
      </c>
      <c r="M883" s="1304"/>
      <c r="N883" s="3825" t="s">
        <v>945</v>
      </c>
      <c r="O883" s="4088"/>
      <c r="P883" s="4088"/>
      <c r="Q883" s="3826"/>
      <c r="R883" s="1520"/>
      <c r="S883" s="106"/>
      <c r="T883" s="106"/>
      <c r="U883" s="106"/>
      <c r="V883" s="4076"/>
      <c r="W883" s="2224">
        <v>16800</v>
      </c>
      <c r="X883" s="2374">
        <f>1.5*12000</f>
        <v>18000</v>
      </c>
      <c r="Y883" s="2224">
        <v>18000</v>
      </c>
      <c r="Z883" s="2224">
        <v>18000</v>
      </c>
      <c r="AA883" s="2224">
        <v>18000</v>
      </c>
      <c r="AB883" s="2223">
        <v>18000</v>
      </c>
      <c r="AC883" s="2292">
        <v>18101.694915254237</v>
      </c>
      <c r="AD883" s="2813">
        <v>19534.374419283762</v>
      </c>
      <c r="AE883" s="2224"/>
      <c r="AF883" s="2224"/>
      <c r="AG883" s="580"/>
      <c r="AH883" s="156"/>
      <c r="AI883" s="156"/>
      <c r="AJ883" s="156"/>
      <c r="AK883" s="156"/>
      <c r="AL883" s="156"/>
      <c r="AM883" s="156"/>
      <c r="AN883" s="156"/>
      <c r="AO883" s="156"/>
      <c r="AP883" s="156"/>
      <c r="AQ883" s="156"/>
      <c r="AR883" s="156"/>
      <c r="AS883" s="156"/>
      <c r="AT883" s="156"/>
      <c r="AU883" s="156"/>
      <c r="AV883" s="156"/>
      <c r="AW883" s="156"/>
      <c r="AX883" s="156"/>
      <c r="AY883" s="156"/>
      <c r="AZ883" s="156"/>
      <c r="BA883" s="156"/>
      <c r="BB883" s="2828"/>
      <c r="BC883" s="452"/>
      <c r="BD883" s="2829"/>
      <c r="BE883" s="156"/>
      <c r="BF883" s="156"/>
    </row>
    <row r="884" spans="1:58" hidden="1" outlineLevel="1" x14ac:dyDescent="0.35">
      <c r="A884" s="1071"/>
      <c r="B884" s="106"/>
      <c r="C884" s="103"/>
      <c r="D884" s="4076"/>
      <c r="E884" s="4022"/>
      <c r="F884" s="3934" t="str">
        <f>E798</f>
        <v>Mini/MultiSplitASHP_ROF_SF</v>
      </c>
      <c r="G884" s="3935"/>
      <c r="H884" s="3936"/>
      <c r="I884" s="2672" t="str">
        <f>C798</f>
        <v>351350_2021_12_</v>
      </c>
      <c r="J884" s="2782">
        <v>19534.374419283762</v>
      </c>
      <c r="K884" s="2756">
        <f t="shared" si="117"/>
        <v>1.6278645349403136</v>
      </c>
      <c r="L884" s="2729" t="s">
        <v>4360</v>
      </c>
      <c r="M884" s="2809"/>
      <c r="N884" s="2404" t="s">
        <v>1045</v>
      </c>
      <c r="O884" s="692" t="s">
        <v>1046</v>
      </c>
      <c r="P884" s="2331" t="s">
        <v>948</v>
      </c>
      <c r="Q884" s="2404" t="s">
        <v>186</v>
      </c>
      <c r="R884" s="1520"/>
      <c r="S884" s="106"/>
      <c r="T884" s="106"/>
      <c r="U884" s="106"/>
      <c r="V884" s="4076"/>
      <c r="W884" s="2224">
        <v>16800</v>
      </c>
      <c r="X884" s="2374">
        <f>1.5*12000</f>
        <v>18000</v>
      </c>
      <c r="Y884" s="2224">
        <v>18000</v>
      </c>
      <c r="Z884" s="2224">
        <v>18000</v>
      </c>
      <c r="AA884" s="2224">
        <v>18000</v>
      </c>
      <c r="AB884" s="1807">
        <v>18221.05263157895</v>
      </c>
      <c r="AC884" s="1807">
        <v>16500</v>
      </c>
      <c r="AD884" s="2782">
        <v>19534.374419283762</v>
      </c>
      <c r="AE884" s="2224"/>
      <c r="AF884" s="2224"/>
      <c r="AG884" s="580"/>
      <c r="AH884" s="156"/>
      <c r="AI884" s="156"/>
      <c r="AJ884" s="156"/>
      <c r="AK884" s="156"/>
      <c r="AL884" s="156"/>
      <c r="AM884" s="156"/>
      <c r="AN884" s="156"/>
      <c r="AO884" s="156"/>
      <c r="AP884" s="156"/>
      <c r="AQ884" s="156"/>
      <c r="AR884" s="156"/>
      <c r="AS884" s="156"/>
      <c r="AT884" s="156"/>
      <c r="AU884" s="156"/>
      <c r="AV884" s="156"/>
      <c r="AW884" s="156"/>
      <c r="AX884" s="156"/>
      <c r="AY884" s="156"/>
      <c r="AZ884" s="156"/>
      <c r="BA884" s="156"/>
      <c r="BB884" s="2828"/>
      <c r="BC884" s="452"/>
      <c r="BD884" s="2829"/>
      <c r="BE884" s="156"/>
      <c r="BF884" s="156"/>
    </row>
    <row r="885" spans="1:58" hidden="1" outlineLevel="1" x14ac:dyDescent="0.35">
      <c r="A885" s="1071"/>
      <c r="B885" s="106"/>
      <c r="C885" s="103"/>
      <c r="D885" s="4076"/>
      <c r="E885" s="4022"/>
      <c r="F885" s="3934" t="str">
        <f>E800</f>
        <v>Mini/MultiSplitASHP-Replace_CAC_ElectricHeat_ER1_SF</v>
      </c>
      <c r="G885" s="3935"/>
      <c r="H885" s="3936"/>
      <c r="I885" s="2672" t="str">
        <f>C800</f>
        <v>351400_2021_12_</v>
      </c>
      <c r="J885" s="2782">
        <v>22509.090909090908</v>
      </c>
      <c r="K885" s="2756">
        <f t="shared" si="117"/>
        <v>1.8757575757575757</v>
      </c>
      <c r="L885" s="2729" t="s">
        <v>4360</v>
      </c>
      <c r="M885" s="2809"/>
      <c r="N885" s="694" t="s">
        <v>964</v>
      </c>
      <c r="O885" s="1321"/>
      <c r="P885" s="2076">
        <f>(MIN(2000,P$896)-P903)*K$883</f>
        <v>364.64165582663026</v>
      </c>
      <c r="Q885" s="1592" t="s">
        <v>1047</v>
      </c>
      <c r="R885" s="1520"/>
      <c r="S885" s="106"/>
      <c r="T885" s="106"/>
      <c r="U885" s="106"/>
      <c r="V885" s="4076"/>
      <c r="W885" s="2224">
        <v>16800</v>
      </c>
      <c r="X885" s="2374">
        <f>1.5*12000</f>
        <v>18000</v>
      </c>
      <c r="Y885" s="2224">
        <v>18000</v>
      </c>
      <c r="Z885" s="2224">
        <v>18000</v>
      </c>
      <c r="AA885" s="2224">
        <v>18000</v>
      </c>
      <c r="AB885" s="1807">
        <v>18840</v>
      </c>
      <c r="AC885" s="1807">
        <v>18837.20930232558</v>
      </c>
      <c r="AD885" s="2782">
        <v>22509.090909090908</v>
      </c>
      <c r="AE885" s="2224"/>
      <c r="AF885" s="2224"/>
      <c r="AG885" s="580"/>
      <c r="AH885" s="156"/>
      <c r="AI885" s="156"/>
      <c r="AJ885" s="156"/>
      <c r="AK885" s="156"/>
      <c r="AL885" s="156"/>
      <c r="AM885" s="156"/>
      <c r="AN885" s="156"/>
      <c r="AO885" s="156"/>
      <c r="AP885" s="156"/>
      <c r="AQ885" s="156"/>
      <c r="AR885" s="156"/>
      <c r="AS885" s="156"/>
      <c r="AT885" s="156"/>
      <c r="AU885" s="156"/>
      <c r="AV885" s="156"/>
      <c r="AW885" s="156"/>
      <c r="AX885" s="156"/>
      <c r="AY885" s="156"/>
      <c r="AZ885" s="156"/>
      <c r="BA885" s="156"/>
      <c r="BB885" s="2828"/>
      <c r="BC885" s="452"/>
      <c r="BD885" s="2829"/>
      <c r="BE885" s="156"/>
      <c r="BF885" s="156"/>
    </row>
    <row r="886" spans="1:58" hidden="1" outlineLevel="1" x14ac:dyDescent="0.35">
      <c r="A886" s="1071"/>
      <c r="B886" s="106"/>
      <c r="C886" s="103"/>
      <c r="D886" s="4076"/>
      <c r="E886" s="4022"/>
      <c r="F886" s="3934" t="str">
        <f>E808</f>
        <v>Mini/MultiSplitASHP-Replace_CAC_ElectricHeat_ROF_SF</v>
      </c>
      <c r="G886" s="3935"/>
      <c r="H886" s="3936"/>
      <c r="I886" s="2672" t="str">
        <f>C808</f>
        <v>351450_2021_12_</v>
      </c>
      <c r="J886" s="2782">
        <v>19534.374419283762</v>
      </c>
      <c r="K886" s="2756">
        <f t="shared" si="117"/>
        <v>1.6278645349403136</v>
      </c>
      <c r="L886" s="2729" t="s">
        <v>4360</v>
      </c>
      <c r="M886" s="2809"/>
      <c r="N886" s="694" t="s">
        <v>1048</v>
      </c>
      <c r="O886" s="1321">
        <f>((P$903*P$881)+P$885)-((O903*P$881)/((1+P$907)^(P$908-1)))</f>
        <v>730.61612332162986</v>
      </c>
      <c r="P886" s="2076"/>
      <c r="Q886" s="1592" t="s">
        <v>1049</v>
      </c>
      <c r="R886" s="1520"/>
      <c r="S886" s="106"/>
      <c r="T886" s="106"/>
      <c r="U886" s="106"/>
      <c r="V886" s="4076"/>
      <c r="W886" s="2224">
        <v>19200</v>
      </c>
      <c r="X886" s="2374">
        <f>1.5*12000</f>
        <v>18000</v>
      </c>
      <c r="Y886" s="2374">
        <v>19200</v>
      </c>
      <c r="Z886" s="2224">
        <v>19200</v>
      </c>
      <c r="AA886" s="2224">
        <v>19200</v>
      </c>
      <c r="AB886" s="1807">
        <v>19200</v>
      </c>
      <c r="AC886" s="1807">
        <v>20769.23076923077</v>
      </c>
      <c r="AD886" s="2782">
        <v>19534.374419283762</v>
      </c>
      <c r="AE886" s="2224"/>
      <c r="AF886" s="2224"/>
      <c r="AG886" s="580"/>
      <c r="AH886" s="156"/>
      <c r="AI886" s="156"/>
      <c r="AJ886" s="156"/>
      <c r="AK886" s="156"/>
      <c r="AL886" s="156"/>
      <c r="AM886" s="156"/>
      <c r="AN886" s="156"/>
      <c r="AO886" s="156"/>
      <c r="AP886" s="156"/>
      <c r="AQ886" s="156"/>
      <c r="AR886" s="156"/>
      <c r="AS886" s="156"/>
      <c r="AT886" s="156"/>
      <c r="AU886" s="156"/>
      <c r="AV886" s="156"/>
      <c r="AW886" s="156"/>
      <c r="AX886" s="156"/>
      <c r="AY886" s="156"/>
      <c r="AZ886" s="156"/>
      <c r="BA886" s="156"/>
      <c r="BB886" s="2828"/>
      <c r="BC886" s="452"/>
      <c r="BD886" s="2829"/>
      <c r="BE886" s="156"/>
      <c r="BF886" s="156"/>
    </row>
    <row r="887" spans="1:58" hidden="1" outlineLevel="1" x14ac:dyDescent="0.35">
      <c r="A887" s="1071"/>
      <c r="B887" s="106"/>
      <c r="C887" s="103"/>
      <c r="D887" s="4076"/>
      <c r="E887" s="4022"/>
      <c r="F887" s="3937" t="str">
        <f>E804</f>
        <v>Mini/MultiSplitASHP-Replace_CAC_NonElectricHeat_ER1_SF</v>
      </c>
      <c r="G887" s="3938"/>
      <c r="H887" s="3939"/>
      <c r="I887" s="2755" t="str">
        <f>C804</f>
        <v>351401_2022_12_</v>
      </c>
      <c r="J887" s="2782">
        <v>22509.090909090908</v>
      </c>
      <c r="K887" s="2756">
        <f t="shared" si="117"/>
        <v>1.8757575757575757</v>
      </c>
      <c r="L887" s="2729" t="s">
        <v>4360</v>
      </c>
      <c r="M887" s="2809"/>
      <c r="N887" s="694" t="s">
        <v>1050</v>
      </c>
      <c r="O887" s="1321">
        <f>((P$903*P$881)+P$885)-((O904*P$881)/((1+P$907)^(P$908-1)))</f>
        <v>1259.800922932865</v>
      </c>
      <c r="P887" s="2076"/>
      <c r="Q887" s="1592" t="s">
        <v>1049</v>
      </c>
      <c r="R887" s="1520"/>
      <c r="S887" s="106"/>
      <c r="T887" s="106"/>
      <c r="U887" s="106"/>
      <c r="V887" s="4076"/>
      <c r="W887" s="2224"/>
      <c r="X887" s="2374"/>
      <c r="Y887" s="2374"/>
      <c r="Z887" s="2224"/>
      <c r="AA887" s="2224"/>
      <c r="AB887" s="1807"/>
      <c r="AC887" s="1807"/>
      <c r="AD887" s="2782">
        <v>22509.090909090908</v>
      </c>
      <c r="AE887" s="2224"/>
      <c r="AF887" s="2224"/>
      <c r="AG887" s="580"/>
      <c r="AH887" s="156"/>
      <c r="AI887" s="156"/>
      <c r="AJ887" s="156"/>
      <c r="AK887" s="156"/>
      <c r="AL887" s="156"/>
      <c r="AM887" s="156"/>
      <c r="AN887" s="156"/>
      <c r="AO887" s="156"/>
      <c r="AP887" s="156"/>
      <c r="AQ887" s="156"/>
      <c r="AR887" s="156"/>
      <c r="AS887" s="156"/>
      <c r="AT887" s="156"/>
      <c r="AU887" s="156"/>
      <c r="AV887" s="156"/>
      <c r="AW887" s="156"/>
      <c r="AX887" s="156"/>
      <c r="AY887" s="156"/>
      <c r="AZ887" s="156"/>
      <c r="BA887" s="156"/>
      <c r="BB887" s="2828"/>
      <c r="BC887" s="452"/>
      <c r="BD887" s="2829"/>
      <c r="BE887" s="156"/>
      <c r="BF887" s="156"/>
    </row>
    <row r="888" spans="1:58" ht="29" hidden="1" outlineLevel="1" x14ac:dyDescent="0.35">
      <c r="A888" s="1071"/>
      <c r="B888" s="106"/>
      <c r="C888" s="103"/>
      <c r="D888" s="4076"/>
      <c r="E888" s="4022"/>
      <c r="F888" s="3937" t="str">
        <f>E810</f>
        <v>Mini/MultiSplitASHP-Replace_CAC_NonElectricHeat_ROF_SF</v>
      </c>
      <c r="G888" s="3938"/>
      <c r="H888" s="3939"/>
      <c r="I888" s="2755" t="str">
        <f>C810</f>
        <v>351451_2022_12_</v>
      </c>
      <c r="J888" s="2782">
        <v>19534.374419283762</v>
      </c>
      <c r="K888" s="2756">
        <f t="shared" si="117"/>
        <v>1.6278645349403136</v>
      </c>
      <c r="L888" s="2729" t="s">
        <v>4360</v>
      </c>
      <c r="M888" s="2809"/>
      <c r="N888" s="694" t="s">
        <v>1051</v>
      </c>
      <c r="O888" s="1321">
        <f>((P$903*P$881)+P$885)-((O905*P$881)/((1+P$907)^(P$908-1)))</f>
        <v>2436.1416558266301</v>
      </c>
      <c r="P888" s="2076"/>
      <c r="Q888" s="1592" t="s">
        <v>1049</v>
      </c>
      <c r="R888" s="1520"/>
      <c r="S888" s="106"/>
      <c r="T888" s="106"/>
      <c r="U888" s="106"/>
      <c r="V888" s="4076"/>
      <c r="W888" s="2224"/>
      <c r="X888" s="2374"/>
      <c r="Y888" s="2374"/>
      <c r="Z888" s="2224"/>
      <c r="AA888" s="2224"/>
      <c r="AB888" s="1807"/>
      <c r="AC888" s="1807"/>
      <c r="AD888" s="2782">
        <v>19534.374419283762</v>
      </c>
      <c r="AE888" s="2224"/>
      <c r="AF888" s="2224"/>
      <c r="AG888" s="580"/>
      <c r="AH888" s="156"/>
      <c r="AI888" s="156"/>
      <c r="AJ888" s="156"/>
      <c r="AK888" s="156"/>
      <c r="AL888" s="156"/>
      <c r="AM888" s="156"/>
      <c r="AN888" s="156"/>
      <c r="AO888" s="156"/>
      <c r="AP888" s="156"/>
      <c r="AQ888" s="156"/>
      <c r="AR888" s="156"/>
      <c r="AS888" s="156"/>
      <c r="AT888" s="156"/>
      <c r="AU888" s="156"/>
      <c r="AV888" s="156"/>
      <c r="AW888" s="156"/>
      <c r="AX888" s="156"/>
      <c r="AY888" s="156"/>
      <c r="AZ888" s="156"/>
      <c r="BA888" s="156"/>
      <c r="BB888" s="2828"/>
      <c r="BC888" s="452"/>
      <c r="BD888" s="2829"/>
      <c r="BE888" s="156"/>
      <c r="BF888" s="156"/>
    </row>
    <row r="889" spans="1:58" hidden="1" outlineLevel="1" x14ac:dyDescent="0.35">
      <c r="A889" s="1071"/>
      <c r="B889" s="106"/>
      <c r="C889" s="103"/>
      <c r="D889" s="4076"/>
      <c r="E889" s="4022"/>
      <c r="F889" s="3934" t="str">
        <f>E812</f>
        <v>Mini/MultiSplitASHP_ER1_SF</v>
      </c>
      <c r="G889" s="3935"/>
      <c r="H889" s="3936"/>
      <c r="I889" s="2672" t="str">
        <f>C812</f>
        <v>351500_2021_12_</v>
      </c>
      <c r="J889" s="2782">
        <v>22509.090909090908</v>
      </c>
      <c r="K889" s="2756">
        <f t="shared" si="117"/>
        <v>1.8757575757575757</v>
      </c>
      <c r="L889" s="2729" t="s">
        <v>4360</v>
      </c>
      <c r="M889" s="1304"/>
      <c r="N889" s="106"/>
      <c r="O889" s="106"/>
      <c r="P889" s="106"/>
      <c r="Q889" s="106"/>
      <c r="R889" s="1520"/>
      <c r="S889" s="106"/>
      <c r="T889" s="106"/>
      <c r="U889" s="106"/>
      <c r="V889" s="4076"/>
      <c r="W889" s="2224">
        <v>20400</v>
      </c>
      <c r="X889" s="2374">
        <f>1.5*12000</f>
        <v>18000</v>
      </c>
      <c r="Y889" s="2224">
        <v>18000</v>
      </c>
      <c r="Z889" s="2224">
        <v>18000</v>
      </c>
      <c r="AA889" s="2224">
        <v>18000</v>
      </c>
      <c r="AB889" s="1807">
        <v>15375</v>
      </c>
      <c r="AC889" s="1807">
        <v>17727.272727272728</v>
      </c>
      <c r="AD889" s="2782">
        <v>22509.090909090908</v>
      </c>
      <c r="AE889" s="2224"/>
      <c r="AF889" s="2224"/>
      <c r="AG889" s="580"/>
      <c r="AH889" s="156"/>
      <c r="AI889" s="156"/>
      <c r="AJ889" s="156"/>
      <c r="AK889" s="156"/>
      <c r="AL889" s="156"/>
      <c r="AM889" s="156"/>
      <c r="AN889" s="156"/>
      <c r="AO889" s="156"/>
      <c r="AP889" s="156"/>
      <c r="AQ889" s="156"/>
      <c r="AR889" s="156"/>
      <c r="AS889" s="156"/>
      <c r="AT889" s="156"/>
      <c r="AU889" s="156"/>
      <c r="AV889" s="156"/>
      <c r="AW889" s="156"/>
      <c r="AX889" s="156"/>
      <c r="AY889" s="156"/>
      <c r="AZ889" s="156"/>
      <c r="BA889" s="156"/>
      <c r="BB889" s="2828"/>
      <c r="BC889" s="452"/>
      <c r="BD889" s="2829"/>
      <c r="BE889" s="156"/>
      <c r="BF889" s="156"/>
    </row>
    <row r="890" spans="1:58" hidden="1" outlineLevel="1" x14ac:dyDescent="0.35">
      <c r="A890" s="1071"/>
      <c r="B890" s="106"/>
      <c r="C890" s="1288"/>
      <c r="D890" s="4076"/>
      <c r="E890" s="4022"/>
      <c r="F890" s="3934" t="str">
        <f>E816</f>
        <v>Mini/MultiSplitAC_ER1_MF</v>
      </c>
      <c r="G890" s="3935"/>
      <c r="H890" s="3936"/>
      <c r="I890" s="2672" t="str">
        <f>C816</f>
        <v>351550_2021_12_</v>
      </c>
      <c r="J890" s="1808">
        <f t="shared" ref="J890:J891" si="118">J881</f>
        <v>0</v>
      </c>
      <c r="K890" s="1806">
        <f t="shared" ref="K890:K907" si="119">J890/12000</f>
        <v>0</v>
      </c>
      <c r="L890" s="2798" t="s">
        <v>1042</v>
      </c>
      <c r="M890" s="1304"/>
      <c r="N890" s="106"/>
      <c r="O890" s="106"/>
      <c r="P890" s="106"/>
      <c r="Q890" s="106"/>
      <c r="R890" s="1520"/>
      <c r="S890" s="106"/>
      <c r="T890" s="106"/>
      <c r="U890" s="106"/>
      <c r="V890" s="4076"/>
      <c r="W890" s="2224"/>
      <c r="X890" s="2224"/>
      <c r="Y890" s="2373">
        <v>0</v>
      </c>
      <c r="Z890" s="2223">
        <v>0</v>
      </c>
      <c r="AA890" s="2223">
        <v>0</v>
      </c>
      <c r="AB890" s="1808">
        <v>0</v>
      </c>
      <c r="AC890" s="1808">
        <v>0</v>
      </c>
      <c r="AD890" s="1808">
        <v>0</v>
      </c>
      <c r="AE890" s="2224"/>
      <c r="AF890" s="2224"/>
      <c r="AG890" s="580"/>
      <c r="AH890" s="156"/>
      <c r="AI890" s="156"/>
      <c r="AJ890" s="156"/>
      <c r="AK890" s="156"/>
      <c r="AL890" s="156"/>
      <c r="AM890" s="156"/>
      <c r="AN890" s="156"/>
      <c r="AO890" s="156"/>
      <c r="AP890" s="156"/>
      <c r="AQ890" s="156"/>
      <c r="AR890" s="156"/>
      <c r="AS890" s="156"/>
      <c r="AT890" s="156"/>
      <c r="AU890" s="156"/>
      <c r="AV890" s="156"/>
      <c r="AW890" s="156"/>
      <c r="AX890" s="156"/>
      <c r="AY890" s="156"/>
      <c r="AZ890" s="156"/>
      <c r="BA890" s="156"/>
      <c r="BB890" s="2828"/>
      <c r="BC890" s="452"/>
      <c r="BD890" s="2829"/>
      <c r="BE890" s="156"/>
      <c r="BF890" s="156"/>
    </row>
    <row r="891" spans="1:58" hidden="1" outlineLevel="1" x14ac:dyDescent="0.35">
      <c r="A891" s="1071"/>
      <c r="B891" s="106"/>
      <c r="C891" s="1288"/>
      <c r="D891" s="4076"/>
      <c r="E891" s="4022"/>
      <c r="F891" s="3934" t="str">
        <f>E820</f>
        <v>Mini/MultiSplitAC_ROF_MF</v>
      </c>
      <c r="G891" s="3935"/>
      <c r="H891" s="3936"/>
      <c r="I891" s="2672" t="str">
        <f>C820</f>
        <v>351600_2021_12_</v>
      </c>
      <c r="J891" s="1808">
        <f t="shared" si="118"/>
        <v>0</v>
      </c>
      <c r="K891" s="1806">
        <f t="shared" si="119"/>
        <v>0</v>
      </c>
      <c r="L891" s="1809" t="s">
        <v>1042</v>
      </c>
      <c r="M891" s="1304"/>
      <c r="N891" s="129"/>
      <c r="O891" s="106"/>
      <c r="P891" s="103"/>
      <c r="Q891" s="1226"/>
      <c r="R891" s="1520"/>
      <c r="S891" s="106"/>
      <c r="T891" s="106"/>
      <c r="U891" s="106"/>
      <c r="V891" s="4076"/>
      <c r="W891" s="2224"/>
      <c r="X891" s="2224"/>
      <c r="Y891" s="2373">
        <v>0</v>
      </c>
      <c r="Z891" s="2223">
        <v>0</v>
      </c>
      <c r="AA891" s="2223">
        <v>0</v>
      </c>
      <c r="AB891" s="1808">
        <v>0</v>
      </c>
      <c r="AC891" s="1808">
        <v>0</v>
      </c>
      <c r="AD891" s="1808">
        <v>0</v>
      </c>
      <c r="AE891" s="2224"/>
      <c r="AF891" s="2224"/>
      <c r="AG891" s="580"/>
      <c r="AH891" s="156"/>
      <c r="AI891" s="156"/>
      <c r="AJ891" s="156"/>
      <c r="AK891" s="156"/>
      <c r="AL891" s="156"/>
      <c r="AM891" s="156"/>
      <c r="AN891" s="156"/>
      <c r="AO891" s="156"/>
      <c r="AP891" s="156"/>
      <c r="AQ891" s="156"/>
      <c r="AR891" s="156"/>
      <c r="AS891" s="156"/>
      <c r="AT891" s="156"/>
      <c r="AU891" s="156"/>
      <c r="AV891" s="156"/>
      <c r="AW891" s="156"/>
      <c r="AX891" s="156"/>
      <c r="AY891" s="156"/>
      <c r="AZ891" s="156"/>
      <c r="BA891" s="156"/>
      <c r="BB891" s="2828"/>
      <c r="BC891" s="452"/>
      <c r="BD891" s="2829"/>
      <c r="BE891" s="156"/>
      <c r="BF891" s="156"/>
    </row>
    <row r="892" spans="1:58" hidden="1" outlineLevel="1" x14ac:dyDescent="0.35">
      <c r="A892" s="1071"/>
      <c r="B892" s="106"/>
      <c r="C892" s="1288"/>
      <c r="D892" s="4076"/>
      <c r="E892" s="4022"/>
      <c r="F892" s="3934" t="str">
        <f>E822</f>
        <v>Mini/MultiSplitASHP_ROF_MF_NC</v>
      </c>
      <c r="G892" s="3935"/>
      <c r="H892" s="3936"/>
      <c r="I892" s="2672" t="str">
        <f>C822</f>
        <v>351650_2021_12_</v>
      </c>
      <c r="J892" s="2782">
        <v>24000</v>
      </c>
      <c r="K892" s="2756">
        <f t="shared" si="119"/>
        <v>2</v>
      </c>
      <c r="L892" s="2729" t="s">
        <v>4360</v>
      </c>
      <c r="M892" s="1304"/>
      <c r="N892" s="106"/>
      <c r="O892" s="106"/>
      <c r="P892" s="106"/>
      <c r="Q892" s="696"/>
      <c r="R892" s="1520"/>
      <c r="S892" s="106"/>
      <c r="T892" s="106"/>
      <c r="U892" s="106"/>
      <c r="V892" s="4076"/>
      <c r="W892" s="2224"/>
      <c r="X892" s="2224"/>
      <c r="Y892" s="2373">
        <v>18000</v>
      </c>
      <c r="Z892" s="2223">
        <v>18000</v>
      </c>
      <c r="AA892" s="2223">
        <v>18000</v>
      </c>
      <c r="AB892" s="1808">
        <v>18000</v>
      </c>
      <c r="AC892" s="1807">
        <v>18101.694915254237</v>
      </c>
      <c r="AD892" s="2782">
        <v>24000</v>
      </c>
      <c r="AE892" s="2224"/>
      <c r="AF892" s="2224"/>
      <c r="AG892" s="580"/>
      <c r="AH892" s="156"/>
      <c r="AI892" s="156"/>
      <c r="AJ892" s="156"/>
      <c r="AK892" s="156"/>
      <c r="AL892" s="156"/>
      <c r="AM892" s="156"/>
      <c r="AN892" s="156"/>
      <c r="AO892" s="156"/>
      <c r="AP892" s="156"/>
      <c r="AQ892" s="156"/>
      <c r="AR892" s="156"/>
      <c r="AS892" s="156"/>
      <c r="AT892" s="156"/>
      <c r="AU892" s="156"/>
      <c r="AV892" s="156"/>
      <c r="AW892" s="156"/>
      <c r="AX892" s="156"/>
      <c r="AY892" s="156"/>
      <c r="AZ892" s="156"/>
      <c r="BA892" s="156"/>
      <c r="BB892" s="2828"/>
      <c r="BC892" s="452"/>
      <c r="BD892" s="2829"/>
      <c r="BE892" s="156"/>
      <c r="BF892" s="156"/>
    </row>
    <row r="893" spans="1:58" hidden="1" outlineLevel="1" x14ac:dyDescent="0.35">
      <c r="A893" s="1071"/>
      <c r="B893" s="106"/>
      <c r="C893" s="1288"/>
      <c r="D893" s="4076"/>
      <c r="E893" s="4022"/>
      <c r="F893" s="3934" t="str">
        <f>E826</f>
        <v>Mini/MultiSplitASHP_ROF_MF</v>
      </c>
      <c r="G893" s="3935"/>
      <c r="H893" s="3936"/>
      <c r="I893" s="2672" t="str">
        <f>C826</f>
        <v>351700_2021_12_</v>
      </c>
      <c r="J893" s="2782">
        <v>24000</v>
      </c>
      <c r="K893" s="2756">
        <f t="shared" si="119"/>
        <v>2</v>
      </c>
      <c r="L893" s="2729" t="s">
        <v>4360</v>
      </c>
      <c r="M893" s="1304"/>
      <c r="N893" s="106"/>
      <c r="O893" s="106"/>
      <c r="P893" s="106"/>
      <c r="Q893" s="106"/>
      <c r="R893" s="1520"/>
      <c r="S893" s="106"/>
      <c r="T893" s="106"/>
      <c r="U893" s="106"/>
      <c r="V893" s="4076"/>
      <c r="W893" s="2224"/>
      <c r="X893" s="2224"/>
      <c r="Y893" s="2373">
        <v>18000</v>
      </c>
      <c r="Z893" s="2223">
        <v>18000</v>
      </c>
      <c r="AA893" s="2223">
        <v>18000</v>
      </c>
      <c r="AB893" s="1807">
        <v>18221.05263157895</v>
      </c>
      <c r="AC893" s="1807">
        <v>16500</v>
      </c>
      <c r="AD893" s="2782">
        <v>24000</v>
      </c>
      <c r="AE893" s="2224"/>
      <c r="AF893" s="2224"/>
      <c r="AG893" s="580"/>
      <c r="AH893" s="156"/>
      <c r="AI893" s="156"/>
      <c r="AJ893" s="156"/>
      <c r="AK893" s="156"/>
      <c r="AL893" s="156"/>
      <c r="AM893" s="156"/>
      <c r="AN893" s="156"/>
      <c r="AO893" s="156"/>
      <c r="AP893" s="156"/>
      <c r="AQ893" s="156"/>
      <c r="AR893" s="156"/>
      <c r="AS893" s="156"/>
      <c r="AT893" s="156"/>
      <c r="AU893" s="156"/>
      <c r="AV893" s="156"/>
      <c r="AW893" s="156"/>
      <c r="AX893" s="156"/>
      <c r="AY893" s="156"/>
      <c r="AZ893" s="156"/>
      <c r="BA893" s="156"/>
      <c r="BB893" s="2828"/>
      <c r="BC893" s="452"/>
      <c r="BD893" s="2829"/>
      <c r="BE893" s="156"/>
      <c r="BF893" s="156"/>
    </row>
    <row r="894" spans="1:58" hidden="1" outlineLevel="1" x14ac:dyDescent="0.35">
      <c r="A894" s="1071"/>
      <c r="B894" s="106"/>
      <c r="C894" s="1288"/>
      <c r="D894" s="4076"/>
      <c r="E894" s="4022"/>
      <c r="F894" s="3934" t="str">
        <f>E830</f>
        <v>Mini/MultiSplitASHP-Replace_CAC_ElectricHeat_ER1_MF</v>
      </c>
      <c r="G894" s="3935"/>
      <c r="H894" s="3936"/>
      <c r="I894" s="2672" t="str">
        <f>C830</f>
        <v>351750_2021_12_</v>
      </c>
      <c r="J894" s="2782">
        <f>J892</f>
        <v>24000</v>
      </c>
      <c r="K894" s="2756">
        <f t="shared" si="119"/>
        <v>2</v>
      </c>
      <c r="L894" s="1809" t="s">
        <v>1052</v>
      </c>
      <c r="M894" s="1304"/>
      <c r="N894" s="3825" t="s">
        <v>1053</v>
      </c>
      <c r="O894" s="4088"/>
      <c r="P894" s="4088"/>
      <c r="Q894" s="3826"/>
      <c r="R894" s="106"/>
      <c r="S894" s="106"/>
      <c r="T894" s="106"/>
      <c r="U894" s="106"/>
      <c r="V894" s="4076"/>
      <c r="W894" s="2224"/>
      <c r="X894" s="2224"/>
      <c r="Y894" s="2373">
        <v>18000</v>
      </c>
      <c r="Z894" s="2223">
        <v>18000</v>
      </c>
      <c r="AA894" s="2223">
        <v>18000</v>
      </c>
      <c r="AB894" s="1807">
        <v>18840</v>
      </c>
      <c r="AC894" s="1807">
        <v>18837.20930232558</v>
      </c>
      <c r="AD894" s="2782">
        <v>24000</v>
      </c>
      <c r="AE894" s="2224"/>
      <c r="AF894" s="2224"/>
      <c r="AG894" s="580"/>
      <c r="AH894" s="156"/>
      <c r="AI894" s="156"/>
      <c r="AJ894" s="156"/>
      <c r="AK894" s="156"/>
      <c r="AL894" s="156"/>
      <c r="AM894" s="156"/>
      <c r="AN894" s="156"/>
      <c r="AO894" s="156"/>
      <c r="AP894" s="156"/>
      <c r="AQ894" s="156"/>
      <c r="AR894" s="156"/>
      <c r="AS894" s="156"/>
      <c r="AT894" s="156"/>
      <c r="AU894" s="156"/>
      <c r="AV894" s="156"/>
      <c r="AW894" s="156"/>
      <c r="AX894" s="156"/>
      <c r="AY894" s="156"/>
      <c r="AZ894" s="156"/>
      <c r="BA894" s="156"/>
      <c r="BB894" s="2828"/>
      <c r="BC894" s="452"/>
      <c r="BD894" s="2829"/>
      <c r="BE894" s="156"/>
      <c r="BF894" s="156"/>
    </row>
    <row r="895" spans="1:58" hidden="1" outlineLevel="1" x14ac:dyDescent="0.35">
      <c r="A895" s="1071"/>
      <c r="B895" s="106"/>
      <c r="C895" s="1288"/>
      <c r="D895" s="4076"/>
      <c r="E895" s="4022"/>
      <c r="F895" s="3934" t="str">
        <f>E846</f>
        <v>Mini/MultiSplitASHP-Replace_CAC_ElectricHeat_ROF_MF</v>
      </c>
      <c r="G895" s="3935"/>
      <c r="H895" s="3936"/>
      <c r="I895" s="2672" t="str">
        <f>C846</f>
        <v>351800_2021_12_</v>
      </c>
      <c r="J895" s="2782">
        <f>J893</f>
        <v>24000</v>
      </c>
      <c r="K895" s="2756">
        <f t="shared" si="119"/>
        <v>2</v>
      </c>
      <c r="L895" s="1809" t="s">
        <v>1052</v>
      </c>
      <c r="M895" s="1304"/>
      <c r="N895" s="2404" t="s">
        <v>1054</v>
      </c>
      <c r="O895" s="2404"/>
      <c r="P895" s="2404" t="s">
        <v>1055</v>
      </c>
      <c r="Q895" s="2404" t="s">
        <v>186</v>
      </c>
      <c r="R895" s="106"/>
      <c r="S895" s="106"/>
      <c r="T895" s="106"/>
      <c r="U895" s="106"/>
      <c r="V895" s="4076"/>
      <c r="W895" s="2224"/>
      <c r="X895" s="2224"/>
      <c r="Y895" s="2373">
        <v>19200</v>
      </c>
      <c r="Z895" s="2223">
        <v>19200</v>
      </c>
      <c r="AA895" s="2223">
        <v>19200</v>
      </c>
      <c r="AB895" s="1807">
        <v>19200</v>
      </c>
      <c r="AC895" s="1807">
        <v>20769.23076923077</v>
      </c>
      <c r="AD895" s="2782">
        <v>24000</v>
      </c>
      <c r="AE895" s="2224"/>
      <c r="AF895" s="2224"/>
      <c r="AG895" s="580"/>
      <c r="AH895" s="156"/>
      <c r="AI895" s="156"/>
      <c r="AJ895" s="156"/>
      <c r="AK895" s="156"/>
      <c r="AL895" s="156"/>
      <c r="AM895" s="156"/>
      <c r="AN895" s="156"/>
      <c r="AO895" s="156"/>
      <c r="AP895" s="156"/>
      <c r="AQ895" s="156"/>
      <c r="AR895" s="156"/>
      <c r="AS895" s="156"/>
      <c r="AT895" s="156"/>
      <c r="AU895" s="156"/>
      <c r="AV895" s="156"/>
      <c r="AW895" s="156"/>
      <c r="AX895" s="156"/>
      <c r="AY895" s="156"/>
      <c r="AZ895" s="156"/>
      <c r="BA895" s="156"/>
      <c r="BB895" s="2828"/>
      <c r="BC895" s="452"/>
      <c r="BD895" s="2829"/>
      <c r="BE895" s="156"/>
      <c r="BF895" s="156"/>
    </row>
    <row r="896" spans="1:58" ht="29" hidden="1" outlineLevel="1" x14ac:dyDescent="0.35">
      <c r="A896" s="1071"/>
      <c r="B896" s="106"/>
      <c r="C896" s="1288"/>
      <c r="D896" s="4076"/>
      <c r="E896" s="4022"/>
      <c r="F896" s="3937" t="str">
        <f>E838</f>
        <v>Mini/MultiSplitASHP-Replace_CAC_NonElectricHeat_ER1_MF</v>
      </c>
      <c r="G896" s="3938"/>
      <c r="H896" s="3939"/>
      <c r="I896" s="2755" t="str">
        <f>C838</f>
        <v>351752_2022_12_</v>
      </c>
      <c r="J896" s="2782">
        <f>J894</f>
        <v>24000</v>
      </c>
      <c r="K896" s="2756">
        <f t="shared" ref="K896:K897" si="120">J896/12000</f>
        <v>2</v>
      </c>
      <c r="L896" s="2757" t="s">
        <v>1052</v>
      </c>
      <c r="M896" s="2814"/>
      <c r="N896" s="694" t="s">
        <v>1056</v>
      </c>
      <c r="O896" s="1321"/>
      <c r="P896" s="2076">
        <v>1605</v>
      </c>
      <c r="Q896" s="1592" t="s">
        <v>1057</v>
      </c>
      <c r="R896" s="106"/>
      <c r="S896" s="106"/>
      <c r="T896" s="106"/>
      <c r="U896" s="106"/>
      <c r="V896" s="4076"/>
      <c r="W896" s="2224"/>
      <c r="X896" s="2224"/>
      <c r="Y896" s="2373"/>
      <c r="Z896" s="2223"/>
      <c r="AA896" s="2223"/>
      <c r="AB896" s="1807"/>
      <c r="AC896" s="1807"/>
      <c r="AD896" s="2782">
        <v>24000</v>
      </c>
      <c r="AE896" s="2224"/>
      <c r="AF896" s="2224"/>
      <c r="AG896" s="580"/>
      <c r="AH896" s="156"/>
      <c r="AI896" s="156"/>
      <c r="AJ896" s="156"/>
      <c r="AK896" s="156"/>
      <c r="AL896" s="156"/>
      <c r="AM896" s="156"/>
      <c r="AN896" s="156"/>
      <c r="AO896" s="156"/>
      <c r="AP896" s="156"/>
      <c r="AQ896" s="156"/>
      <c r="AR896" s="156"/>
      <c r="AS896" s="156"/>
      <c r="AT896" s="156"/>
      <c r="AU896" s="156"/>
      <c r="AV896" s="156"/>
      <c r="AW896" s="156"/>
      <c r="AX896" s="156"/>
      <c r="AY896" s="156"/>
      <c r="AZ896" s="156"/>
      <c r="BA896" s="156"/>
      <c r="BB896" s="2828"/>
      <c r="BC896" s="452"/>
      <c r="BD896" s="2829"/>
      <c r="BE896" s="156"/>
      <c r="BF896" s="156"/>
    </row>
    <row r="897" spans="1:58" ht="29" hidden="1" outlineLevel="1" x14ac:dyDescent="0.35">
      <c r="A897" s="1071"/>
      <c r="B897" s="106"/>
      <c r="C897" s="1288"/>
      <c r="D897" s="4076"/>
      <c r="E897" s="4022"/>
      <c r="F897" s="3937" t="str">
        <f>E850</f>
        <v>Mini/MultiSplitASHP-Replace_CAC_NonElectricHeat_ROF_MF</v>
      </c>
      <c r="G897" s="3938"/>
      <c r="H897" s="3939"/>
      <c r="I897" s="2755" t="str">
        <f>C850</f>
        <v>351802_2022_12_</v>
      </c>
      <c r="J897" s="2782">
        <f>J895</f>
        <v>24000</v>
      </c>
      <c r="K897" s="2756">
        <f t="shared" si="120"/>
        <v>2</v>
      </c>
      <c r="L897" s="2757" t="s">
        <v>1052</v>
      </c>
      <c r="M897" s="1304"/>
      <c r="N897" s="694" t="s">
        <v>1058</v>
      </c>
      <c r="O897" s="1321"/>
      <c r="P897" s="2076">
        <v>1715</v>
      </c>
      <c r="Q897" s="1592" t="s">
        <v>1057</v>
      </c>
      <c r="R897" s="106"/>
      <c r="S897" s="106"/>
      <c r="T897" s="106"/>
      <c r="U897" s="106"/>
      <c r="V897" s="4076"/>
      <c r="W897" s="2224"/>
      <c r="X897" s="2224"/>
      <c r="Y897" s="2373"/>
      <c r="Z897" s="2223"/>
      <c r="AA897" s="2223"/>
      <c r="AB897" s="1807"/>
      <c r="AC897" s="1807"/>
      <c r="AD897" s="2782">
        <v>24000</v>
      </c>
      <c r="AE897" s="2224"/>
      <c r="AF897" s="2224"/>
      <c r="AG897" s="580"/>
      <c r="AH897" s="156"/>
      <c r="AI897" s="156"/>
      <c r="AJ897" s="156"/>
      <c r="AK897" s="156"/>
      <c r="AL897" s="156"/>
      <c r="AM897" s="156"/>
      <c r="AN897" s="156"/>
      <c r="AO897" s="156"/>
      <c r="AP897" s="156"/>
      <c r="AQ897" s="156"/>
      <c r="AR897" s="156"/>
      <c r="AS897" s="156"/>
      <c r="AT897" s="156"/>
      <c r="AU897" s="156"/>
      <c r="AV897" s="156"/>
      <c r="AW897" s="156"/>
      <c r="AX897" s="156"/>
      <c r="AY897" s="156"/>
      <c r="AZ897" s="156"/>
      <c r="BA897" s="156"/>
      <c r="BB897" s="2828"/>
      <c r="BC897" s="452"/>
      <c r="BD897" s="2829"/>
      <c r="BE897" s="156"/>
      <c r="BF897" s="156"/>
    </row>
    <row r="898" spans="1:58" hidden="1" outlineLevel="1" x14ac:dyDescent="0.35">
      <c r="A898" s="1071"/>
      <c r="B898" s="106"/>
      <c r="C898" s="1288"/>
      <c r="D898" s="4076"/>
      <c r="E898" s="4022"/>
      <c r="F898" s="3934" t="str">
        <f>E854</f>
        <v>Mini/MultiSplitASHP_ER1_MF</v>
      </c>
      <c r="G898" s="3935"/>
      <c r="H898" s="3936"/>
      <c r="I898" s="2672" t="str">
        <f>C854</f>
        <v>351850_2021_12_</v>
      </c>
      <c r="J898" s="1807">
        <f>J896</f>
        <v>24000</v>
      </c>
      <c r="K898" s="2756">
        <f t="shared" si="119"/>
        <v>2</v>
      </c>
      <c r="L898" s="1809" t="s">
        <v>1052</v>
      </c>
      <c r="M898" s="1304"/>
      <c r="N898" s="106"/>
      <c r="O898" s="106"/>
      <c r="P898" s="106"/>
      <c r="Q898" s="106"/>
      <c r="R898" s="106"/>
      <c r="S898" s="106"/>
      <c r="T898" s="106"/>
      <c r="U898" s="106"/>
      <c r="V898" s="4076"/>
      <c r="W898" s="2224"/>
      <c r="X898" s="2224"/>
      <c r="Y898" s="2373">
        <v>18000</v>
      </c>
      <c r="Z898" s="2223">
        <v>18000</v>
      </c>
      <c r="AA898" s="2223">
        <v>18000</v>
      </c>
      <c r="AB898" s="1807">
        <v>15375</v>
      </c>
      <c r="AC898" s="1807">
        <v>17727.272727272728</v>
      </c>
      <c r="AD898" s="1807">
        <v>24000</v>
      </c>
      <c r="AE898" s="2224"/>
      <c r="AF898" s="2224"/>
      <c r="AG898" s="580"/>
      <c r="AH898" s="156"/>
      <c r="AI898" s="156"/>
      <c r="AJ898" s="156"/>
      <c r="AK898" s="156"/>
      <c r="AL898" s="156"/>
      <c r="AM898" s="156"/>
      <c r="AN898" s="156"/>
      <c r="AO898" s="156"/>
      <c r="AP898" s="156"/>
      <c r="AQ898" s="156"/>
      <c r="AR898" s="156"/>
      <c r="AS898" s="156"/>
      <c r="AT898" s="156"/>
      <c r="AU898" s="156"/>
      <c r="AV898" s="156"/>
      <c r="AW898" s="156"/>
      <c r="AX898" s="156"/>
      <c r="AY898" s="156"/>
      <c r="AZ898" s="156"/>
      <c r="BA898" s="156"/>
      <c r="BB898" s="2828"/>
      <c r="BC898" s="452"/>
      <c r="BD898" s="2829"/>
      <c r="BE898" s="156"/>
      <c r="BF898" s="156"/>
    </row>
    <row r="899" spans="1:58" hidden="1" outlineLevel="1" x14ac:dyDescent="0.35">
      <c r="A899" s="1071"/>
      <c r="B899" s="106"/>
      <c r="C899" s="1288"/>
      <c r="D899" s="4081"/>
      <c r="E899" s="4023"/>
      <c r="F899" s="3934" t="str">
        <f>E818</f>
        <v>Mini/MultiSplitAC_ER1_MF_CompE</v>
      </c>
      <c r="G899" s="3935"/>
      <c r="H899" s="3936"/>
      <c r="I899" s="2672" t="str">
        <f>C818</f>
        <v>351551_2021_12_</v>
      </c>
      <c r="J899" s="1808">
        <f t="shared" ref="J899:J900" si="121">J881</f>
        <v>0</v>
      </c>
      <c r="K899" s="1806">
        <f t="shared" si="119"/>
        <v>0</v>
      </c>
      <c r="L899" s="2798" t="s">
        <v>1042</v>
      </c>
      <c r="M899" s="1304"/>
      <c r="N899" s="106"/>
      <c r="O899" s="106"/>
      <c r="P899" s="106"/>
      <c r="Q899" s="106"/>
      <c r="R899" s="103"/>
      <c r="S899" s="106"/>
      <c r="T899" s="106"/>
      <c r="U899" s="106"/>
      <c r="V899" s="4081"/>
      <c r="W899" s="2224"/>
      <c r="X899" s="2224"/>
      <c r="Y899" s="2373">
        <v>0</v>
      </c>
      <c r="Z899" s="2223">
        <v>0</v>
      </c>
      <c r="AA899" s="2223">
        <v>0</v>
      </c>
      <c r="AB899" s="1808">
        <v>0</v>
      </c>
      <c r="AC899" s="1808">
        <v>0</v>
      </c>
      <c r="AD899" s="1808">
        <v>0</v>
      </c>
      <c r="AE899" s="2224"/>
      <c r="AF899" s="2224"/>
      <c r="AG899" s="580"/>
      <c r="AH899" s="156"/>
      <c r="AI899" s="156"/>
      <c r="AJ899" s="156"/>
      <c r="AK899" s="156"/>
      <c r="AL899" s="156"/>
      <c r="AM899" s="156"/>
      <c r="AN899" s="156"/>
      <c r="AO899" s="156"/>
      <c r="AP899" s="156"/>
      <c r="AQ899" s="156"/>
      <c r="AR899" s="156"/>
      <c r="AS899" s="156"/>
      <c r="AT899" s="156"/>
      <c r="AU899" s="156"/>
      <c r="AV899" s="156"/>
      <c r="AW899" s="156"/>
      <c r="AX899" s="156"/>
      <c r="AY899" s="156"/>
      <c r="AZ899" s="156"/>
      <c r="BA899" s="156"/>
      <c r="BB899" s="2828"/>
      <c r="BC899" s="452"/>
      <c r="BD899" s="2829"/>
      <c r="BE899" s="156"/>
      <c r="BF899" s="156"/>
    </row>
    <row r="900" spans="1:58" hidden="1" outlineLevel="1" x14ac:dyDescent="0.35">
      <c r="A900" s="1071"/>
      <c r="B900" s="106"/>
      <c r="C900" s="1288"/>
      <c r="D900" s="4081"/>
      <c r="E900" s="4023"/>
      <c r="F900" s="3934" t="str">
        <f>E821</f>
        <v>Mini/MultiSplitAC_ROF_MF_CompE</v>
      </c>
      <c r="G900" s="3935"/>
      <c r="H900" s="3936"/>
      <c r="I900" s="2672" t="str">
        <f>C821</f>
        <v>351601_2021_12_</v>
      </c>
      <c r="J900" s="1808">
        <f t="shared" si="121"/>
        <v>0</v>
      </c>
      <c r="K900" s="1806">
        <f t="shared" si="119"/>
        <v>0</v>
      </c>
      <c r="L900" s="1809" t="s">
        <v>1042</v>
      </c>
      <c r="M900" s="1304"/>
      <c r="N900" s="106"/>
      <c r="O900" s="106"/>
      <c r="P900" s="106"/>
      <c r="Q900" s="106"/>
      <c r="R900" s="1529"/>
      <c r="S900" s="106"/>
      <c r="T900" s="106"/>
      <c r="U900" s="106"/>
      <c r="V900" s="4081"/>
      <c r="W900" s="2224"/>
      <c r="X900" s="2224"/>
      <c r="Y900" s="2373">
        <v>0</v>
      </c>
      <c r="Z900" s="2223">
        <v>0</v>
      </c>
      <c r="AA900" s="2223">
        <v>0</v>
      </c>
      <c r="AB900" s="1808">
        <v>0</v>
      </c>
      <c r="AC900" s="1808">
        <v>0</v>
      </c>
      <c r="AD900" s="1808">
        <v>0</v>
      </c>
      <c r="AE900" s="2224"/>
      <c r="AF900" s="2224"/>
      <c r="AG900" s="580"/>
      <c r="AH900" s="156"/>
      <c r="AI900" s="156"/>
      <c r="AJ900" s="156"/>
      <c r="AK900" s="156"/>
      <c r="AL900" s="156"/>
      <c r="AM900" s="156"/>
      <c r="AN900" s="156"/>
      <c r="AO900" s="156"/>
      <c r="AP900" s="156"/>
      <c r="AQ900" s="156"/>
      <c r="AR900" s="156"/>
      <c r="AS900" s="156"/>
      <c r="AT900" s="156"/>
      <c r="AU900" s="156"/>
      <c r="AV900" s="156"/>
      <c r="AW900" s="156"/>
      <c r="AX900" s="156"/>
      <c r="AY900" s="156"/>
      <c r="AZ900" s="156"/>
      <c r="BA900" s="156"/>
      <c r="BB900" s="2828"/>
      <c r="BC900" s="452"/>
      <c r="BD900" s="2829"/>
      <c r="BE900" s="156"/>
      <c r="BF900" s="156"/>
    </row>
    <row r="901" spans="1:58" hidden="1" outlineLevel="1" x14ac:dyDescent="0.35">
      <c r="A901" s="1071"/>
      <c r="B901" s="106"/>
      <c r="C901" s="1288"/>
      <c r="D901" s="4081"/>
      <c r="E901" s="4023"/>
      <c r="F901" s="3934" t="str">
        <f>E824</f>
        <v>Mini/MultiSplitASHP_ROF_MF_NC_CompE</v>
      </c>
      <c r="G901" s="3935"/>
      <c r="H901" s="3936"/>
      <c r="I901" s="2672" t="str">
        <f>C824</f>
        <v>351651_2021_12_</v>
      </c>
      <c r="J901" s="1807">
        <f t="shared" ref="J901:J907" si="122">J892</f>
        <v>24000</v>
      </c>
      <c r="K901" s="2756">
        <f t="shared" si="119"/>
        <v>2</v>
      </c>
      <c r="L901" s="1809" t="s">
        <v>1052</v>
      </c>
      <c r="M901" s="1304"/>
      <c r="N901" s="3825" t="s">
        <v>1059</v>
      </c>
      <c r="O901" s="4088"/>
      <c r="P901" s="4088"/>
      <c r="Q901" s="3826"/>
      <c r="R901" s="1530"/>
      <c r="S901" s="106"/>
      <c r="T901" s="106"/>
      <c r="U901" s="106"/>
      <c r="V901" s="4081"/>
      <c r="W901" s="2224"/>
      <c r="X901" s="2224"/>
      <c r="Y901" s="2373">
        <v>18000</v>
      </c>
      <c r="Z901" s="2223">
        <v>18000</v>
      </c>
      <c r="AA901" s="2223">
        <v>18000</v>
      </c>
      <c r="AB901" s="1808">
        <v>18000</v>
      </c>
      <c r="AC901" s="1807">
        <v>18101.694915254237</v>
      </c>
      <c r="AD901" s="1807">
        <v>24000</v>
      </c>
      <c r="AE901" s="2224"/>
      <c r="AF901" s="2224"/>
      <c r="AG901" s="580"/>
      <c r="AH901" s="156"/>
      <c r="AI901" s="156"/>
      <c r="AJ901" s="156"/>
      <c r="AK901" s="156"/>
      <c r="AL901" s="156"/>
      <c r="AM901" s="156"/>
      <c r="AN901" s="156"/>
      <c r="AO901" s="156"/>
      <c r="AP901" s="156"/>
      <c r="AQ901" s="156"/>
      <c r="AR901" s="156"/>
      <c r="AS901" s="156"/>
      <c r="AT901" s="156"/>
      <c r="AU901" s="156"/>
      <c r="AV901" s="156"/>
      <c r="AW901" s="156"/>
      <c r="AX901" s="156"/>
      <c r="AY901" s="156"/>
      <c r="AZ901" s="156"/>
      <c r="BA901" s="156"/>
      <c r="BB901" s="2828"/>
      <c r="BC901" s="452"/>
      <c r="BD901" s="2829"/>
      <c r="BE901" s="156"/>
      <c r="BF901" s="156"/>
    </row>
    <row r="902" spans="1:58" hidden="1" outlineLevel="1" x14ac:dyDescent="0.35">
      <c r="A902" s="1071"/>
      <c r="B902" s="106"/>
      <c r="C902" s="1288"/>
      <c r="D902" s="4081"/>
      <c r="E902" s="4023"/>
      <c r="F902" s="3934" t="str">
        <f>E828</f>
        <v>Mini/MultiSplitASHP_ROF_MF_CompE</v>
      </c>
      <c r="G902" s="3935"/>
      <c r="H902" s="3936"/>
      <c r="I902" s="2672" t="str">
        <f>C828</f>
        <v>351701_2021_12_</v>
      </c>
      <c r="J902" s="1807">
        <f t="shared" si="122"/>
        <v>24000</v>
      </c>
      <c r="K902" s="2756">
        <f t="shared" si="119"/>
        <v>2</v>
      </c>
      <c r="L902" s="1809" t="s">
        <v>1052</v>
      </c>
      <c r="M902" s="1304"/>
      <c r="N902" s="2404"/>
      <c r="O902" s="2404" t="s">
        <v>1060</v>
      </c>
      <c r="P902" s="2404" t="s">
        <v>964</v>
      </c>
      <c r="Q902" s="2404" t="s">
        <v>186</v>
      </c>
      <c r="R902" s="1530"/>
      <c r="S902" s="106"/>
      <c r="T902" s="106"/>
      <c r="U902" s="106"/>
      <c r="V902" s="4081"/>
      <c r="W902" s="2224"/>
      <c r="X902" s="2224"/>
      <c r="Y902" s="2373">
        <v>18000</v>
      </c>
      <c r="Z902" s="2223">
        <v>18000</v>
      </c>
      <c r="AA902" s="2223">
        <v>18000</v>
      </c>
      <c r="AB902" s="1807">
        <v>18221.05263157895</v>
      </c>
      <c r="AC902" s="1807">
        <v>16500</v>
      </c>
      <c r="AD902" s="1807">
        <v>24000</v>
      </c>
      <c r="AE902" s="2224"/>
      <c r="AF902" s="2224"/>
      <c r="AG902" s="580"/>
      <c r="AH902" s="156"/>
      <c r="AI902" s="156"/>
      <c r="AJ902" s="156"/>
      <c r="AK902" s="156"/>
      <c r="AL902" s="156"/>
      <c r="AM902" s="156"/>
      <c r="AN902" s="156"/>
      <c r="AO902" s="156"/>
      <c r="AP902" s="156"/>
      <c r="AQ902" s="156"/>
      <c r="AR902" s="156"/>
      <c r="AS902" s="156"/>
      <c r="AT902" s="156"/>
      <c r="AU902" s="156"/>
      <c r="AV902" s="156"/>
      <c r="AW902" s="156"/>
      <c r="AX902" s="156"/>
      <c r="AY902" s="156"/>
      <c r="AZ902" s="156"/>
      <c r="BA902" s="156"/>
      <c r="BB902" s="2828"/>
      <c r="BC902" s="452"/>
      <c r="BD902" s="2829"/>
      <c r="BE902" s="156"/>
      <c r="BF902" s="156"/>
    </row>
    <row r="903" spans="1:58" hidden="1" outlineLevel="1" x14ac:dyDescent="0.35">
      <c r="A903" s="1071"/>
      <c r="B903" s="106"/>
      <c r="C903" s="1288"/>
      <c r="D903" s="4081"/>
      <c r="E903" s="4023"/>
      <c r="F903" s="3934" t="str">
        <f>E834</f>
        <v>Mini/MultiSplitASHP-Replace_CAC_ElectricHeat_ER1_MF_CompE</v>
      </c>
      <c r="G903" s="3935"/>
      <c r="H903" s="3936"/>
      <c r="I903" s="2672" t="str">
        <f>C834</f>
        <v>351751_2021_12_</v>
      </c>
      <c r="J903" s="1807">
        <f t="shared" si="122"/>
        <v>24000</v>
      </c>
      <c r="K903" s="2756">
        <f t="shared" si="119"/>
        <v>2</v>
      </c>
      <c r="L903" s="1809" t="s">
        <v>1052</v>
      </c>
      <c r="M903" s="1304"/>
      <c r="N903" s="694" t="s">
        <v>1061</v>
      </c>
      <c r="O903" s="2076">
        <v>1518</v>
      </c>
      <c r="P903" s="1321">
        <v>1381</v>
      </c>
      <c r="Q903" s="1592" t="s">
        <v>1057</v>
      </c>
      <c r="R903" s="106"/>
      <c r="S903" s="106"/>
      <c r="T903" s="106"/>
      <c r="U903" s="106"/>
      <c r="V903" s="4081"/>
      <c r="W903" s="2224"/>
      <c r="X903" s="2224"/>
      <c r="Y903" s="2373">
        <v>18000</v>
      </c>
      <c r="Z903" s="2223">
        <v>18000</v>
      </c>
      <c r="AA903" s="2223">
        <v>18000</v>
      </c>
      <c r="AB903" s="1807">
        <v>18840</v>
      </c>
      <c r="AC903" s="1807">
        <v>18837.20930232558</v>
      </c>
      <c r="AD903" s="1807">
        <v>24000</v>
      </c>
      <c r="AE903" s="2224"/>
      <c r="AF903" s="2224"/>
      <c r="AG903" s="580"/>
      <c r="AH903" s="156"/>
      <c r="AI903" s="156"/>
      <c r="AJ903" s="156"/>
      <c r="AK903" s="156"/>
      <c r="AL903" s="156"/>
      <c r="AM903" s="156"/>
      <c r="AN903" s="156"/>
      <c r="AO903" s="156"/>
      <c r="AP903" s="156"/>
      <c r="AQ903" s="156"/>
      <c r="AR903" s="156"/>
      <c r="AS903" s="156"/>
      <c r="AT903" s="156"/>
      <c r="AU903" s="156"/>
      <c r="AV903" s="156"/>
      <c r="AW903" s="156"/>
      <c r="AX903" s="156"/>
      <c r="AY903" s="156"/>
      <c r="AZ903" s="156"/>
      <c r="BA903" s="156"/>
      <c r="BB903" s="2828"/>
      <c r="BC903" s="452"/>
      <c r="BD903" s="2829"/>
      <c r="BE903" s="156"/>
      <c r="BF903" s="156"/>
    </row>
    <row r="904" spans="1:58" hidden="1" outlineLevel="1" x14ac:dyDescent="0.35">
      <c r="A904" s="1071"/>
      <c r="B904" s="106"/>
      <c r="C904" s="1288"/>
      <c r="D904" s="4081"/>
      <c r="E904" s="4023"/>
      <c r="F904" s="3934" t="str">
        <f>E848</f>
        <v>Mini/MultiSplitASHP-Replace_CAC_ElectricHeat_ROF_MF_CompE</v>
      </c>
      <c r="G904" s="3935"/>
      <c r="H904" s="3936"/>
      <c r="I904" s="2672" t="str">
        <f>C848</f>
        <v>351801_2021_12_</v>
      </c>
      <c r="J904" s="1807">
        <f t="shared" si="122"/>
        <v>24000</v>
      </c>
      <c r="K904" s="2756">
        <f t="shared" si="119"/>
        <v>2</v>
      </c>
      <c r="L904" s="1809" t="s">
        <v>1052</v>
      </c>
      <c r="M904" s="1304"/>
      <c r="N904" s="694" t="s">
        <v>944</v>
      </c>
      <c r="O904" s="2076">
        <v>1047</v>
      </c>
      <c r="P904" s="2077" t="s">
        <v>480</v>
      </c>
      <c r="Q904" s="1592" t="s">
        <v>1062</v>
      </c>
      <c r="R904" s="106"/>
      <c r="S904" s="106"/>
      <c r="T904" s="106"/>
      <c r="U904" s="106"/>
      <c r="V904" s="4081"/>
      <c r="W904" s="2224"/>
      <c r="X904" s="2224"/>
      <c r="Y904" s="2373">
        <v>19200</v>
      </c>
      <c r="Z904" s="2223">
        <v>19200</v>
      </c>
      <c r="AA904" s="2223">
        <v>19200</v>
      </c>
      <c r="AB904" s="1807">
        <v>19200</v>
      </c>
      <c r="AC904" s="1807">
        <v>20769.23076923077</v>
      </c>
      <c r="AD904" s="1807">
        <v>24000</v>
      </c>
      <c r="AE904" s="2224"/>
      <c r="AF904" s="2224"/>
      <c r="AG904" s="580"/>
      <c r="AH904" s="156"/>
      <c r="AI904" s="156"/>
      <c r="AJ904" s="156"/>
      <c r="AK904" s="156"/>
      <c r="AL904" s="156"/>
      <c r="AM904" s="156"/>
      <c r="AN904" s="156"/>
      <c r="AO904" s="156"/>
      <c r="AP904" s="156"/>
      <c r="AQ904" s="156"/>
      <c r="AR904" s="156"/>
      <c r="AS904" s="156"/>
      <c r="AT904" s="156"/>
      <c r="AU904" s="156"/>
      <c r="AV904" s="156"/>
      <c r="AW904" s="156"/>
      <c r="AX904" s="156"/>
      <c r="AY904" s="156"/>
      <c r="AZ904" s="156"/>
      <c r="BA904" s="156"/>
      <c r="BB904" s="2828"/>
      <c r="BC904" s="452"/>
      <c r="BD904" s="2829"/>
      <c r="BE904" s="156"/>
      <c r="BF904" s="156"/>
    </row>
    <row r="905" spans="1:58" hidden="1" outlineLevel="1" x14ac:dyDescent="0.35">
      <c r="A905" s="1071"/>
      <c r="B905" s="106"/>
      <c r="C905" s="1288"/>
      <c r="D905" s="4081"/>
      <c r="E905" s="4023"/>
      <c r="F905" s="3937" t="str">
        <f>E842</f>
        <v>Mini/MultiSplitASHP-Replace_CAC_NonElectricHeat_ER1_MF_CompE</v>
      </c>
      <c r="G905" s="3938"/>
      <c r="H905" s="3939"/>
      <c r="I905" s="2755" t="str">
        <f>C842</f>
        <v>351753_2022_12_</v>
      </c>
      <c r="J905" s="1807">
        <f t="shared" si="122"/>
        <v>24000</v>
      </c>
      <c r="K905" s="2756">
        <f t="shared" ref="K905:K906" si="123">J905/12000</f>
        <v>2</v>
      </c>
      <c r="L905" s="2757" t="s">
        <v>1052</v>
      </c>
      <c r="M905" s="1304"/>
      <c r="N905" s="694" t="s">
        <v>1063</v>
      </c>
      <c r="O905" s="2076">
        <v>0</v>
      </c>
      <c r="P905" s="2077" t="s">
        <v>480</v>
      </c>
      <c r="Q905" s="1592" t="s">
        <v>1062</v>
      </c>
      <c r="R905" s="106"/>
      <c r="S905" s="106"/>
      <c r="T905" s="106"/>
      <c r="U905" s="106"/>
      <c r="V905" s="4081"/>
      <c r="W905" s="2224"/>
      <c r="X905" s="2224"/>
      <c r="Y905" s="2373"/>
      <c r="Z905" s="2223"/>
      <c r="AA905" s="2223"/>
      <c r="AB905" s="1807"/>
      <c r="AC905" s="1807"/>
      <c r="AD905" s="1807">
        <v>24000</v>
      </c>
      <c r="AE905" s="576"/>
      <c r="AF905" s="576"/>
      <c r="AG905" s="2758"/>
      <c r="AH905" s="156"/>
      <c r="AI905" s="156"/>
      <c r="AJ905" s="156"/>
      <c r="AK905" s="156"/>
      <c r="AL905" s="156"/>
      <c r="AM905" s="156"/>
      <c r="AN905" s="156"/>
      <c r="AO905" s="156"/>
      <c r="AP905" s="156"/>
      <c r="AQ905" s="156"/>
      <c r="AR905" s="156"/>
      <c r="AS905" s="156"/>
      <c r="AT905" s="156"/>
      <c r="AU905" s="156"/>
      <c r="AV905" s="156"/>
      <c r="AW905" s="156"/>
      <c r="AX905" s="156"/>
      <c r="AY905" s="156"/>
      <c r="AZ905" s="156"/>
      <c r="BA905" s="156"/>
      <c r="BB905" s="2828"/>
      <c r="BC905" s="452"/>
      <c r="BD905" s="2829"/>
      <c r="BE905" s="156"/>
      <c r="BF905" s="156"/>
    </row>
    <row r="906" spans="1:58" ht="29" hidden="1" outlineLevel="1" x14ac:dyDescent="0.35">
      <c r="A906" s="1071"/>
      <c r="B906" s="106"/>
      <c r="C906" s="1288"/>
      <c r="D906" s="4081"/>
      <c r="E906" s="4023"/>
      <c r="F906" s="3937" t="str">
        <f>E852</f>
        <v>Mini/MultiSplitASHP-Replace_CAC_NonElectricHeat_ROF_MF_CompE</v>
      </c>
      <c r="G906" s="3938"/>
      <c r="H906" s="3939"/>
      <c r="I906" s="2755" t="str">
        <f>C852</f>
        <v>351803_2022_12_</v>
      </c>
      <c r="J906" s="1807">
        <f t="shared" si="122"/>
        <v>24000</v>
      </c>
      <c r="K906" s="2756">
        <f t="shared" si="123"/>
        <v>2</v>
      </c>
      <c r="L906" s="2757" t="s">
        <v>1052</v>
      </c>
      <c r="M906" s="1304"/>
      <c r="N906" s="694" t="s">
        <v>839</v>
      </c>
      <c r="O906" s="697"/>
      <c r="P906" s="553">
        <f>$Q$104</f>
        <v>0.02</v>
      </c>
      <c r="Q906" s="1592" t="s">
        <v>1066</v>
      </c>
      <c r="R906" s="106"/>
      <c r="S906" s="106"/>
      <c r="T906" s="106"/>
      <c r="U906" s="106"/>
      <c r="V906" s="4081"/>
      <c r="W906" s="2224"/>
      <c r="X906" s="2224"/>
      <c r="Y906" s="2373"/>
      <c r="Z906" s="2223"/>
      <c r="AA906" s="2223"/>
      <c r="AB906" s="1807"/>
      <c r="AC906" s="1807"/>
      <c r="AD906" s="1807">
        <v>24000</v>
      </c>
      <c r="AE906" s="576"/>
      <c r="AF906" s="576"/>
      <c r="AG906" s="2758"/>
      <c r="AH906" s="156"/>
      <c r="AI906" s="156"/>
      <c r="AJ906" s="156"/>
      <c r="AK906" s="156"/>
      <c r="AL906" s="156"/>
      <c r="AM906" s="156"/>
      <c r="AN906" s="156"/>
      <c r="AO906" s="156"/>
      <c r="AP906" s="156"/>
      <c r="AQ906" s="156"/>
      <c r="AR906" s="156"/>
      <c r="AS906" s="156"/>
      <c r="AT906" s="156"/>
      <c r="AU906" s="156"/>
      <c r="AV906" s="156"/>
      <c r="AW906" s="156"/>
      <c r="AX906" s="156"/>
      <c r="AY906" s="156"/>
      <c r="AZ906" s="156"/>
      <c r="BA906" s="156"/>
      <c r="BB906" s="2828"/>
      <c r="BC906" s="452"/>
      <c r="BD906" s="2829"/>
      <c r="BE906" s="156"/>
      <c r="BF906" s="156"/>
    </row>
    <row r="907" spans="1:58" ht="15" hidden="1" outlineLevel="1" thickBot="1" x14ac:dyDescent="0.4">
      <c r="A907" s="1071"/>
      <c r="B907" s="106"/>
      <c r="C907" s="1288"/>
      <c r="D907" s="4082"/>
      <c r="E907" s="4024"/>
      <c r="F907" s="3940" t="str">
        <f>E858</f>
        <v>Mini/MultiSplitASHP_ER1_MF_CompE</v>
      </c>
      <c r="G907" s="3941"/>
      <c r="H907" s="3942"/>
      <c r="I907" s="2673" t="str">
        <f>C858</f>
        <v>351851_2021_12_</v>
      </c>
      <c r="J907" s="1807">
        <f t="shared" si="122"/>
        <v>24000</v>
      </c>
      <c r="K907" s="2756">
        <f t="shared" si="119"/>
        <v>2</v>
      </c>
      <c r="L907" s="1809" t="s">
        <v>1052</v>
      </c>
      <c r="M907" s="1304"/>
      <c r="N907" s="701" t="s">
        <v>840</v>
      </c>
      <c r="O907" s="701"/>
      <c r="P907" s="553">
        <f>$Q$105</f>
        <v>5.9499999999999997E-2</v>
      </c>
      <c r="Q907" s="1592" t="s">
        <v>1066</v>
      </c>
      <c r="R907" s="106"/>
      <c r="S907" s="106"/>
      <c r="T907" s="106"/>
      <c r="U907" s="106"/>
      <c r="V907" s="4082"/>
      <c r="W907" s="2224"/>
      <c r="X907" s="2224"/>
      <c r="Y907" s="2373">
        <v>18000</v>
      </c>
      <c r="Z907" s="2223">
        <v>18000</v>
      </c>
      <c r="AA907" s="2223">
        <v>18000</v>
      </c>
      <c r="AB907" s="1807">
        <v>15375</v>
      </c>
      <c r="AC907" s="1807">
        <v>17727.272727272728</v>
      </c>
      <c r="AD907" s="1807">
        <v>24000</v>
      </c>
      <c r="AE907" s="2227"/>
      <c r="AF907" s="2227"/>
      <c r="AG907" s="626"/>
      <c r="AH907" s="156"/>
      <c r="AI907" s="156"/>
      <c r="AJ907" s="156"/>
      <c r="AK907" s="156"/>
      <c r="AL907" s="156"/>
      <c r="AM907" s="156"/>
      <c r="AN907" s="156"/>
      <c r="AO907" s="156"/>
      <c r="AP907" s="156"/>
      <c r="AQ907" s="156"/>
      <c r="AR907" s="156"/>
      <c r="AS907" s="156"/>
      <c r="AT907" s="156"/>
      <c r="AU907" s="156"/>
      <c r="AV907" s="156"/>
      <c r="AW907" s="156"/>
      <c r="AX907" s="156"/>
      <c r="AY907" s="156"/>
      <c r="AZ907" s="156"/>
      <c r="BA907" s="156"/>
      <c r="BB907" s="2828"/>
      <c r="BC907" s="452"/>
      <c r="BD907" s="2829"/>
      <c r="BE907" s="156"/>
      <c r="BF907" s="156"/>
    </row>
    <row r="908" spans="1:58" hidden="1" outlineLevel="1" x14ac:dyDescent="0.35">
      <c r="A908" s="1071"/>
      <c r="B908" s="106"/>
      <c r="C908" s="103"/>
      <c r="D908" s="4064" t="s">
        <v>1064</v>
      </c>
      <c r="E908" s="4021" t="s">
        <v>1065</v>
      </c>
      <c r="F908" s="3943" t="str">
        <f t="shared" ref="F908:F913" si="124">F881</f>
        <v>Mini/MultiSplitAC_ER1_SF</v>
      </c>
      <c r="G908" s="3944"/>
      <c r="H908" s="3945"/>
      <c r="I908" s="2671" t="str">
        <f t="shared" ref="I908:I915" si="125">I881</f>
        <v>351200_2021_12_</v>
      </c>
      <c r="J908" s="627">
        <v>0</v>
      </c>
      <c r="K908" s="620"/>
      <c r="L908" s="4078" t="s">
        <v>513</v>
      </c>
      <c r="M908" s="1304"/>
      <c r="N908" s="50" t="s">
        <v>841</v>
      </c>
      <c r="O908" s="50"/>
      <c r="P908" s="2078">
        <f>J$119</f>
        <v>6</v>
      </c>
      <c r="Q908" s="1592" t="s">
        <v>1067</v>
      </c>
      <c r="R908" s="106"/>
      <c r="S908" s="106"/>
      <c r="T908" s="106"/>
      <c r="U908" s="106"/>
      <c r="V908" s="4064" t="s">
        <v>1064</v>
      </c>
      <c r="W908" s="2228">
        <v>0</v>
      </c>
      <c r="X908" s="2228">
        <v>0</v>
      </c>
      <c r="Y908" s="627">
        <v>0</v>
      </c>
      <c r="Z908" s="627">
        <v>0</v>
      </c>
      <c r="AA908" s="627">
        <v>0</v>
      </c>
      <c r="AB908" s="627">
        <v>0</v>
      </c>
      <c r="AC908" s="627">
        <v>0</v>
      </c>
      <c r="AD908" s="627">
        <v>0</v>
      </c>
      <c r="AE908" s="2228"/>
      <c r="AF908" s="2228"/>
      <c r="AG908" s="622"/>
      <c r="AH908" s="156"/>
      <c r="AI908" s="156"/>
      <c r="AJ908" s="156"/>
      <c r="AK908" s="156"/>
      <c r="AL908" s="156"/>
      <c r="AM908" s="156"/>
      <c r="AN908" s="156"/>
      <c r="AO908" s="156"/>
      <c r="AP908" s="156"/>
      <c r="AQ908" s="156"/>
      <c r="AR908" s="156"/>
      <c r="AS908" s="156"/>
      <c r="AT908" s="156"/>
      <c r="AU908" s="156"/>
      <c r="AV908" s="156"/>
      <c r="AW908" s="156"/>
      <c r="AX908" s="156"/>
      <c r="AY908" s="156"/>
      <c r="AZ908" s="156"/>
      <c r="BA908" s="156"/>
      <c r="BB908" s="2828"/>
      <c r="BC908" s="452"/>
      <c r="BD908" s="2829"/>
      <c r="BE908" s="156"/>
      <c r="BF908" s="156"/>
    </row>
    <row r="909" spans="1:58" hidden="1" outlineLevel="1" x14ac:dyDescent="0.35">
      <c r="A909" s="1071"/>
      <c r="B909" s="106"/>
      <c r="C909" s="103"/>
      <c r="D909" s="4076"/>
      <c r="E909" s="4022"/>
      <c r="F909" s="3934" t="str">
        <f t="shared" si="124"/>
        <v>Mini/MultiSplitAC_ROF_SF</v>
      </c>
      <c r="G909" s="3935"/>
      <c r="H909" s="3936"/>
      <c r="I909" s="2672" t="str">
        <f t="shared" si="125"/>
        <v>351250_2021_12_</v>
      </c>
      <c r="J909" s="628">
        <v>0</v>
      </c>
      <c r="K909" s="623"/>
      <c r="L909" s="4086"/>
      <c r="M909" s="1304"/>
      <c r="N909" s="106"/>
      <c r="O909" s="106"/>
      <c r="P909" s="106"/>
      <c r="Q909" s="106"/>
      <c r="R909" s="106"/>
      <c r="S909" s="106"/>
      <c r="T909" s="106"/>
      <c r="U909" s="106"/>
      <c r="V909" s="4076"/>
      <c r="W909" s="2224">
        <v>0</v>
      </c>
      <c r="X909" s="2224">
        <v>0</v>
      </c>
      <c r="Y909" s="628">
        <v>0</v>
      </c>
      <c r="Z909" s="628">
        <v>0</v>
      </c>
      <c r="AA909" s="628">
        <v>0</v>
      </c>
      <c r="AB909" s="628">
        <v>0</v>
      </c>
      <c r="AC909" s="628">
        <v>0</v>
      </c>
      <c r="AD909" s="628">
        <v>0</v>
      </c>
      <c r="AE909" s="2224"/>
      <c r="AF909" s="2224"/>
      <c r="AG909" s="580"/>
      <c r="AH909" s="156"/>
      <c r="AI909" s="156"/>
      <c r="AJ909" s="156"/>
      <c r="AK909" s="156"/>
      <c r="AL909" s="156"/>
      <c r="AM909" s="156"/>
      <c r="AN909" s="156"/>
      <c r="AO909" s="156"/>
      <c r="AP909" s="156"/>
      <c r="AQ909" s="156"/>
      <c r="AR909" s="156"/>
      <c r="AS909" s="156"/>
      <c r="AT909" s="156"/>
      <c r="AU909" s="156"/>
      <c r="AV909" s="156"/>
      <c r="AW909" s="156"/>
      <c r="AX909" s="156"/>
      <c r="AY909" s="156"/>
      <c r="AZ909" s="156"/>
      <c r="BA909" s="156"/>
      <c r="BB909" s="2828"/>
      <c r="BC909" s="452"/>
      <c r="BD909" s="2829"/>
      <c r="BE909" s="156"/>
      <c r="BF909" s="156"/>
    </row>
    <row r="910" spans="1:58" hidden="1" outlineLevel="1" x14ac:dyDescent="0.35">
      <c r="A910" s="1071"/>
      <c r="B910" s="106"/>
      <c r="C910" s="103"/>
      <c r="D910" s="4076"/>
      <c r="E910" s="4022"/>
      <c r="F910" s="3934" t="str">
        <f t="shared" si="124"/>
        <v>Mini/MultiSplitASHP_ROF_SF_NC</v>
      </c>
      <c r="G910" s="3935"/>
      <c r="H910" s="3936"/>
      <c r="I910" s="2672" t="str">
        <f t="shared" si="125"/>
        <v>351300_2021_12_</v>
      </c>
      <c r="J910" s="628">
        <v>1034</v>
      </c>
      <c r="K910" s="623"/>
      <c r="L910" s="4086"/>
      <c r="M910" s="1304"/>
      <c r="N910" s="106"/>
      <c r="O910" s="106"/>
      <c r="P910" s="106"/>
      <c r="Q910" s="106"/>
      <c r="R910" s="106"/>
      <c r="S910" s="106"/>
      <c r="T910" s="106"/>
      <c r="U910" s="106"/>
      <c r="V910" s="4076"/>
      <c r="W910" s="2224">
        <v>1496</v>
      </c>
      <c r="X910" s="2224">
        <v>1496</v>
      </c>
      <c r="Y910" s="629">
        <v>1034</v>
      </c>
      <c r="Z910" s="628">
        <v>1034</v>
      </c>
      <c r="AA910" s="628">
        <v>1034</v>
      </c>
      <c r="AB910" s="628">
        <v>1034</v>
      </c>
      <c r="AC910" s="628">
        <v>1034</v>
      </c>
      <c r="AD910" s="628">
        <v>1034</v>
      </c>
      <c r="AE910" s="2224"/>
      <c r="AF910" s="2224"/>
      <c r="AG910" s="580"/>
      <c r="AH910" s="156"/>
      <c r="AI910" s="156"/>
      <c r="AJ910" s="156"/>
      <c r="AK910" s="156"/>
      <c r="AL910" s="156"/>
      <c r="AM910" s="156"/>
      <c r="AN910" s="156"/>
      <c r="AO910" s="156"/>
      <c r="AP910" s="156"/>
      <c r="AQ910" s="156"/>
      <c r="AR910" s="156"/>
      <c r="AS910" s="156"/>
      <c r="AT910" s="156"/>
      <c r="AU910" s="156"/>
      <c r="AV910" s="156"/>
      <c r="AW910" s="156"/>
      <c r="AX910" s="156"/>
      <c r="AY910" s="156"/>
      <c r="AZ910" s="156"/>
      <c r="BA910" s="156"/>
      <c r="BB910" s="2828"/>
      <c r="BC910" s="452"/>
      <c r="BD910" s="2829"/>
      <c r="BE910" s="156"/>
      <c r="BF910" s="156"/>
    </row>
    <row r="911" spans="1:58" hidden="1" outlineLevel="1" x14ac:dyDescent="0.35">
      <c r="A911" s="1071"/>
      <c r="B911" s="106"/>
      <c r="C911" s="103"/>
      <c r="D911" s="4076"/>
      <c r="E911" s="4022"/>
      <c r="F911" s="3934" t="str">
        <f t="shared" si="124"/>
        <v>Mini/MultiSplitASHP_ROF_SF</v>
      </c>
      <c r="G911" s="3935"/>
      <c r="H911" s="3936"/>
      <c r="I911" s="2672" t="str">
        <f t="shared" si="125"/>
        <v>351350_2021_12_</v>
      </c>
      <c r="J911" s="628">
        <v>1034</v>
      </c>
      <c r="K911" s="623"/>
      <c r="L911" s="4086"/>
      <c r="M911" s="1304"/>
      <c r="N911" s="1296"/>
      <c r="O911" s="106"/>
      <c r="P911" s="106"/>
      <c r="Q911" s="106"/>
      <c r="R911" s="106"/>
      <c r="S911" s="106"/>
      <c r="T911" s="106"/>
      <c r="U911" s="106"/>
      <c r="V911" s="4076"/>
      <c r="W911" s="2224">
        <v>1496</v>
      </c>
      <c r="X911" s="2224">
        <v>1496</v>
      </c>
      <c r="Y911" s="629">
        <v>1034</v>
      </c>
      <c r="Z911" s="628">
        <v>1034</v>
      </c>
      <c r="AA911" s="628">
        <v>1034</v>
      </c>
      <c r="AB911" s="628">
        <v>1034</v>
      </c>
      <c r="AC911" s="628">
        <v>1034</v>
      </c>
      <c r="AD911" s="628">
        <v>1034</v>
      </c>
      <c r="AE911" s="2224"/>
      <c r="AF911" s="2224"/>
      <c r="AG911" s="580"/>
      <c r="AH911" s="156"/>
      <c r="AI911" s="156"/>
      <c r="AJ911" s="156"/>
      <c r="AK911" s="156"/>
      <c r="AL911" s="156"/>
      <c r="AM911" s="156"/>
      <c r="AN911" s="156"/>
      <c r="AO911" s="156"/>
      <c r="AP911" s="156"/>
      <c r="AQ911" s="156"/>
      <c r="AR911" s="156"/>
      <c r="AS911" s="156"/>
      <c r="AT911" s="156"/>
      <c r="AU911" s="156"/>
      <c r="AV911" s="156"/>
      <c r="AW911" s="156"/>
      <c r="AX911" s="156"/>
      <c r="AY911" s="156"/>
      <c r="AZ911" s="156"/>
      <c r="BA911" s="156"/>
      <c r="BB911" s="2828"/>
      <c r="BC911" s="452"/>
      <c r="BD911" s="2829"/>
      <c r="BE911" s="156"/>
      <c r="BF911" s="156"/>
    </row>
    <row r="912" spans="1:58" hidden="1" outlineLevel="1" x14ac:dyDescent="0.35">
      <c r="A912" s="1071"/>
      <c r="B912" s="106"/>
      <c r="C912" s="103"/>
      <c r="D912" s="4076"/>
      <c r="E912" s="4022"/>
      <c r="F912" s="3934" t="str">
        <f t="shared" si="124"/>
        <v>Mini/MultiSplitASHP-Replace_CAC_ElectricHeat_ER1_SF</v>
      </c>
      <c r="G912" s="3935"/>
      <c r="H912" s="3936"/>
      <c r="I912" s="2672" t="str">
        <f t="shared" si="125"/>
        <v>351400_2021_12_</v>
      </c>
      <c r="J912" s="628">
        <v>1034</v>
      </c>
      <c r="K912" s="623"/>
      <c r="L912" s="4086"/>
      <c r="M912" s="1304"/>
      <c r="N912" s="1296"/>
      <c r="O912" s="106"/>
      <c r="P912" s="106"/>
      <c r="Q912" s="106"/>
      <c r="R912" s="106"/>
      <c r="S912" s="106"/>
      <c r="T912" s="106"/>
      <c r="U912" s="106"/>
      <c r="V912" s="4076"/>
      <c r="W912" s="2224">
        <v>1496</v>
      </c>
      <c r="X912" s="2224">
        <v>1496</v>
      </c>
      <c r="Y912" s="629">
        <v>1034</v>
      </c>
      <c r="Z912" s="628">
        <v>1034</v>
      </c>
      <c r="AA912" s="628">
        <v>1034</v>
      </c>
      <c r="AB912" s="628">
        <v>1034</v>
      </c>
      <c r="AC912" s="628">
        <v>1034</v>
      </c>
      <c r="AD912" s="628">
        <v>1034</v>
      </c>
      <c r="AE912" s="2224"/>
      <c r="AF912" s="2224"/>
      <c r="AG912" s="580"/>
      <c r="AH912" s="156"/>
      <c r="AI912" s="156"/>
      <c r="AJ912" s="156"/>
      <c r="AK912" s="156"/>
      <c r="AL912" s="156"/>
      <c r="AM912" s="156"/>
      <c r="AN912" s="156"/>
      <c r="AO912" s="156"/>
      <c r="AP912" s="156"/>
      <c r="AQ912" s="156"/>
      <c r="AR912" s="156"/>
      <c r="AS912" s="156"/>
      <c r="AT912" s="156"/>
      <c r="AU912" s="156"/>
      <c r="AV912" s="156"/>
      <c r="AW912" s="156"/>
      <c r="AX912" s="156"/>
      <c r="AY912" s="156"/>
      <c r="AZ912" s="156"/>
      <c r="BA912" s="156"/>
      <c r="BB912" s="2828"/>
      <c r="BC912" s="452"/>
      <c r="BD912" s="2829"/>
      <c r="BE912" s="156"/>
      <c r="BF912" s="156"/>
    </row>
    <row r="913" spans="1:58" hidden="1" outlineLevel="1" x14ac:dyDescent="0.35">
      <c r="A913" s="1071"/>
      <c r="B913" s="106"/>
      <c r="C913" s="103"/>
      <c r="D913" s="4076"/>
      <c r="E913" s="4022"/>
      <c r="F913" s="3934" t="str">
        <f t="shared" si="124"/>
        <v>Mini/MultiSplitASHP-Replace_CAC_ElectricHeat_ROF_SF</v>
      </c>
      <c r="G913" s="3935"/>
      <c r="H913" s="3936"/>
      <c r="I913" s="2672" t="str">
        <f t="shared" si="125"/>
        <v>351450_2021_12_</v>
      </c>
      <c r="J913" s="628">
        <v>1034</v>
      </c>
      <c r="K913" s="623"/>
      <c r="L913" s="4086"/>
      <c r="M913" s="1304"/>
      <c r="N913" s="1296"/>
      <c r="O913" s="106"/>
      <c r="P913" s="106"/>
      <c r="Q913" s="106"/>
      <c r="R913" s="106"/>
      <c r="S913" s="106"/>
      <c r="T913" s="106"/>
      <c r="U913" s="106"/>
      <c r="V913" s="4076"/>
      <c r="W913" s="2224">
        <v>1496</v>
      </c>
      <c r="X913" s="2224">
        <v>1496</v>
      </c>
      <c r="Y913" s="629">
        <v>1034</v>
      </c>
      <c r="Z913" s="628">
        <v>1034</v>
      </c>
      <c r="AA913" s="628">
        <v>1034</v>
      </c>
      <c r="AB913" s="628">
        <v>1034</v>
      </c>
      <c r="AC913" s="628">
        <v>1034</v>
      </c>
      <c r="AD913" s="628">
        <v>1034</v>
      </c>
      <c r="AE913" s="2224"/>
      <c r="AF913" s="2224"/>
      <c r="AG913" s="580"/>
      <c r="AH913" s="156"/>
      <c r="AI913" s="156"/>
      <c r="AJ913" s="156"/>
      <c r="AK913" s="156"/>
      <c r="AL913" s="156"/>
      <c r="AM913" s="156"/>
      <c r="AN913" s="156"/>
      <c r="AO913" s="156"/>
      <c r="AP913" s="156"/>
      <c r="AQ913" s="156"/>
      <c r="AR913" s="156"/>
      <c r="AS913" s="156"/>
      <c r="AT913" s="156"/>
      <c r="AU913" s="156"/>
      <c r="AV913" s="156"/>
      <c r="AW913" s="156"/>
      <c r="AX913" s="156"/>
      <c r="AY913" s="156"/>
      <c r="AZ913" s="156"/>
      <c r="BA913" s="156"/>
      <c r="BB913" s="2828"/>
      <c r="BC913" s="452"/>
      <c r="BD913" s="2829"/>
      <c r="BE913" s="156"/>
      <c r="BF913" s="156"/>
    </row>
    <row r="914" spans="1:58" hidden="1" outlineLevel="1" x14ac:dyDescent="0.35">
      <c r="A914" s="1071"/>
      <c r="B914" s="106"/>
      <c r="C914" s="103"/>
      <c r="D914" s="4076"/>
      <c r="E914" s="4022"/>
      <c r="F914" s="3937" t="str">
        <f t="shared" ref="F914:F915" si="126">F887</f>
        <v>Mini/MultiSplitASHP-Replace_CAC_NonElectricHeat_ER1_SF</v>
      </c>
      <c r="G914" s="3938"/>
      <c r="H914" s="3939"/>
      <c r="I914" s="2755" t="str">
        <f t="shared" si="125"/>
        <v>351401_2022_12_</v>
      </c>
      <c r="J914" s="629">
        <v>1034</v>
      </c>
      <c r="K914" s="623"/>
      <c r="L914" s="4086"/>
      <c r="M914" s="1304"/>
      <c r="N914" s="1296"/>
      <c r="O914" s="106"/>
      <c r="P914" s="106"/>
      <c r="Q914" s="106"/>
      <c r="R914" s="106"/>
      <c r="S914" s="106"/>
      <c r="T914" s="106"/>
      <c r="U914" s="106"/>
      <c r="V914" s="4076"/>
      <c r="W914" s="2224"/>
      <c r="X914" s="2224"/>
      <c r="Y914" s="629"/>
      <c r="Z914" s="628"/>
      <c r="AA914" s="628"/>
      <c r="AB914" s="628"/>
      <c r="AC914" s="628"/>
      <c r="AD914" s="629">
        <v>1034</v>
      </c>
      <c r="AE914" s="2224"/>
      <c r="AF914" s="2224"/>
      <c r="AG914" s="580"/>
      <c r="AH914" s="156"/>
      <c r="AI914" s="156"/>
      <c r="AJ914" s="156"/>
      <c r="AK914" s="156"/>
      <c r="AL914" s="156"/>
      <c r="AM914" s="156"/>
      <c r="AN914" s="156"/>
      <c r="AO914" s="156"/>
      <c r="AP914" s="156"/>
      <c r="AQ914" s="156"/>
      <c r="AR914" s="156"/>
      <c r="AS914" s="156"/>
      <c r="AT914" s="156"/>
      <c r="AU914" s="156"/>
      <c r="AV914" s="156"/>
      <c r="AW914" s="156"/>
      <c r="AX914" s="156"/>
      <c r="AY914" s="156"/>
      <c r="AZ914" s="156"/>
      <c r="BA914" s="156"/>
      <c r="BB914" s="2828"/>
      <c r="BC914" s="452"/>
      <c r="BD914" s="2829"/>
      <c r="BE914" s="156"/>
      <c r="BF914" s="156"/>
    </row>
    <row r="915" spans="1:58" hidden="1" outlineLevel="1" x14ac:dyDescent="0.35">
      <c r="A915" s="1071"/>
      <c r="B915" s="106"/>
      <c r="C915" s="103"/>
      <c r="D915" s="4076"/>
      <c r="E915" s="4022"/>
      <c r="F915" s="3937" t="str">
        <f t="shared" si="126"/>
        <v>Mini/MultiSplitASHP-Replace_CAC_NonElectricHeat_ROF_SF</v>
      </c>
      <c r="G915" s="3938"/>
      <c r="H915" s="3939"/>
      <c r="I915" s="2755" t="str">
        <f t="shared" si="125"/>
        <v>351451_2022_12_</v>
      </c>
      <c r="J915" s="629">
        <v>1034</v>
      </c>
      <c r="K915" s="623"/>
      <c r="L915" s="4086"/>
      <c r="M915" s="1304"/>
      <c r="N915" s="1296"/>
      <c r="O915" s="106"/>
      <c r="P915" s="106"/>
      <c r="Q915" s="106"/>
      <c r="R915" s="106"/>
      <c r="S915" s="106"/>
      <c r="T915" s="106"/>
      <c r="U915" s="106"/>
      <c r="V915" s="4076"/>
      <c r="W915" s="2224"/>
      <c r="X915" s="2224"/>
      <c r="Y915" s="629"/>
      <c r="Z915" s="628"/>
      <c r="AA915" s="628"/>
      <c r="AB915" s="628"/>
      <c r="AC915" s="628"/>
      <c r="AD915" s="629">
        <v>1034</v>
      </c>
      <c r="AE915" s="2224"/>
      <c r="AF915" s="2224"/>
      <c r="AG915" s="580"/>
      <c r="AH915" s="156"/>
      <c r="AI915" s="156"/>
      <c r="AJ915" s="156"/>
      <c r="AK915" s="156"/>
      <c r="AL915" s="156"/>
      <c r="AM915" s="156"/>
      <c r="AN915" s="156"/>
      <c r="AO915" s="156"/>
      <c r="AP915" s="156"/>
      <c r="AQ915" s="156"/>
      <c r="AR915" s="156"/>
      <c r="AS915" s="156"/>
      <c r="AT915" s="156"/>
      <c r="AU915" s="156"/>
      <c r="AV915" s="156"/>
      <c r="AW915" s="156"/>
      <c r="AX915" s="156"/>
      <c r="AY915" s="156"/>
      <c r="AZ915" s="156"/>
      <c r="BA915" s="156"/>
      <c r="BB915" s="2828"/>
      <c r="BC915" s="452"/>
      <c r="BD915" s="2829"/>
      <c r="BE915" s="156"/>
      <c r="BF915" s="156"/>
    </row>
    <row r="916" spans="1:58" hidden="1" outlineLevel="1" x14ac:dyDescent="0.35">
      <c r="A916" s="1071"/>
      <c r="B916" s="106"/>
      <c r="C916" s="103"/>
      <c r="D916" s="4076"/>
      <c r="E916" s="4022"/>
      <c r="F916" s="3934" t="str">
        <f t="shared" ref="F916:F922" si="127">F889</f>
        <v>Mini/MultiSplitASHP_ER1_SF</v>
      </c>
      <c r="G916" s="3935"/>
      <c r="H916" s="3936"/>
      <c r="I916" s="2672" t="str">
        <f t="shared" ref="I916:I924" si="128">I889</f>
        <v>351500_2021_12_</v>
      </c>
      <c r="J916" s="628">
        <v>1034</v>
      </c>
      <c r="K916" s="623"/>
      <c r="L916" s="4086"/>
      <c r="M916" s="1304"/>
      <c r="N916" s="1296"/>
      <c r="O916" s="106"/>
      <c r="P916" s="106"/>
      <c r="Q916" s="106"/>
      <c r="R916" s="106"/>
      <c r="S916" s="106"/>
      <c r="T916" s="106"/>
      <c r="U916" s="106"/>
      <c r="V916" s="4076"/>
      <c r="W916" s="2224">
        <v>1496</v>
      </c>
      <c r="X916" s="2224">
        <v>1496</v>
      </c>
      <c r="Y916" s="629">
        <v>1034</v>
      </c>
      <c r="Z916" s="628">
        <v>1034</v>
      </c>
      <c r="AA916" s="628">
        <v>1034</v>
      </c>
      <c r="AB916" s="628">
        <v>1034</v>
      </c>
      <c r="AC916" s="628">
        <v>1034</v>
      </c>
      <c r="AD916" s="628">
        <v>1034</v>
      </c>
      <c r="AE916" s="2224"/>
      <c r="AF916" s="2224"/>
      <c r="AG916" s="580"/>
      <c r="AH916" s="156"/>
      <c r="AI916" s="156"/>
      <c r="AJ916" s="156"/>
      <c r="AK916" s="156"/>
      <c r="AL916" s="156"/>
      <c r="AM916" s="156"/>
      <c r="AN916" s="156"/>
      <c r="AO916" s="156"/>
      <c r="AP916" s="156"/>
      <c r="AQ916" s="156"/>
      <c r="AR916" s="156"/>
      <c r="AS916" s="156"/>
      <c r="AT916" s="156"/>
      <c r="AU916" s="156"/>
      <c r="AV916" s="156"/>
      <c r="AW916" s="156"/>
      <c r="AX916" s="156"/>
      <c r="AY916" s="156"/>
      <c r="AZ916" s="156"/>
      <c r="BA916" s="156"/>
      <c r="BB916" s="2828"/>
      <c r="BC916" s="452"/>
      <c r="BD916" s="2829"/>
      <c r="BE916" s="156"/>
      <c r="BF916" s="156"/>
    </row>
    <row r="917" spans="1:58" hidden="1" outlineLevel="1" x14ac:dyDescent="0.35">
      <c r="A917" s="1071"/>
      <c r="B917" s="106"/>
      <c r="C917" s="103"/>
      <c r="D917" s="4076"/>
      <c r="E917" s="4022"/>
      <c r="F917" s="3934" t="str">
        <f t="shared" si="127"/>
        <v>Mini/MultiSplitAC_ER1_MF</v>
      </c>
      <c r="G917" s="3935"/>
      <c r="H917" s="3936"/>
      <c r="I917" s="2672" t="str">
        <f t="shared" si="128"/>
        <v>351550_2021_12_</v>
      </c>
      <c r="J917" s="628">
        <v>0</v>
      </c>
      <c r="K917" s="623"/>
      <c r="L917" s="4086"/>
      <c r="M917" s="1304"/>
      <c r="N917" s="1296"/>
      <c r="O917" s="106"/>
      <c r="P917" s="106"/>
      <c r="Q917" s="106"/>
      <c r="R917" s="106"/>
      <c r="S917" s="106"/>
      <c r="T917" s="106"/>
      <c r="U917" s="106"/>
      <c r="V917" s="4076"/>
      <c r="W917" s="2224"/>
      <c r="X917" s="2224"/>
      <c r="Y917" s="629">
        <v>0</v>
      </c>
      <c r="Z917" s="628">
        <v>0</v>
      </c>
      <c r="AA917" s="628">
        <v>0</v>
      </c>
      <c r="AB917" s="628">
        <v>0</v>
      </c>
      <c r="AC917" s="628">
        <v>0</v>
      </c>
      <c r="AD917" s="628">
        <v>0</v>
      </c>
      <c r="AE917" s="2224"/>
      <c r="AF917" s="2224"/>
      <c r="AG917" s="580"/>
      <c r="AH917" s="156"/>
      <c r="AI917" s="156"/>
      <c r="AJ917" s="156"/>
      <c r="AK917" s="156"/>
      <c r="AL917" s="156"/>
      <c r="AM917" s="156"/>
      <c r="AN917" s="156"/>
      <c r="AO917" s="156"/>
      <c r="AP917" s="156"/>
      <c r="AQ917" s="156"/>
      <c r="AR917" s="156"/>
      <c r="AS917" s="156"/>
      <c r="AT917" s="156"/>
      <c r="AU917" s="156"/>
      <c r="AV917" s="156"/>
      <c r="AW917" s="156"/>
      <c r="AX917" s="156"/>
      <c r="AY917" s="156"/>
      <c r="AZ917" s="156"/>
      <c r="BA917" s="156"/>
      <c r="BB917" s="2828"/>
      <c r="BC917" s="452"/>
      <c r="BD917" s="2829"/>
      <c r="BE917" s="156"/>
      <c r="BF917" s="156"/>
    </row>
    <row r="918" spans="1:58" hidden="1" outlineLevel="1" x14ac:dyDescent="0.35">
      <c r="A918" s="1071"/>
      <c r="B918" s="106"/>
      <c r="C918" s="103"/>
      <c r="D918" s="4076"/>
      <c r="E918" s="4022"/>
      <c r="F918" s="3934" t="str">
        <f t="shared" si="127"/>
        <v>Mini/MultiSplitAC_ROF_MF</v>
      </c>
      <c r="G918" s="3935"/>
      <c r="H918" s="3936"/>
      <c r="I918" s="2672" t="str">
        <f t="shared" si="128"/>
        <v>351600_2021_12_</v>
      </c>
      <c r="J918" s="628">
        <v>0</v>
      </c>
      <c r="K918" s="623"/>
      <c r="L918" s="4086"/>
      <c r="M918" s="1304"/>
      <c r="N918" s="1296"/>
      <c r="O918" s="106"/>
      <c r="P918" s="106"/>
      <c r="Q918" s="106"/>
      <c r="R918" s="106"/>
      <c r="S918" s="106"/>
      <c r="T918" s="106"/>
      <c r="U918" s="106"/>
      <c r="V918" s="4076"/>
      <c r="W918" s="2224"/>
      <c r="X918" s="2224"/>
      <c r="Y918" s="629">
        <v>0</v>
      </c>
      <c r="Z918" s="628">
        <v>0</v>
      </c>
      <c r="AA918" s="628">
        <v>0</v>
      </c>
      <c r="AB918" s="628">
        <v>0</v>
      </c>
      <c r="AC918" s="628">
        <v>0</v>
      </c>
      <c r="AD918" s="628">
        <v>0</v>
      </c>
      <c r="AE918" s="2224"/>
      <c r="AF918" s="2224"/>
      <c r="AG918" s="580"/>
      <c r="AH918" s="156"/>
      <c r="AI918" s="156"/>
      <c r="AJ918" s="156"/>
      <c r="AK918" s="156"/>
      <c r="AL918" s="156"/>
      <c r="AM918" s="156"/>
      <c r="AN918" s="156"/>
      <c r="AO918" s="156"/>
      <c r="AP918" s="156"/>
      <c r="AQ918" s="156"/>
      <c r="AR918" s="156"/>
      <c r="AS918" s="156"/>
      <c r="AT918" s="156"/>
      <c r="AU918" s="156"/>
      <c r="AV918" s="156"/>
      <c r="AW918" s="156"/>
      <c r="AX918" s="156"/>
      <c r="AY918" s="156"/>
      <c r="AZ918" s="156"/>
      <c r="BA918" s="156"/>
      <c r="BB918" s="2828"/>
      <c r="BC918" s="452"/>
      <c r="BD918" s="2829"/>
      <c r="BE918" s="156"/>
      <c r="BF918" s="156"/>
    </row>
    <row r="919" spans="1:58" hidden="1" outlineLevel="1" x14ac:dyDescent="0.35">
      <c r="A919" s="1071"/>
      <c r="B919" s="106"/>
      <c r="C919" s="103"/>
      <c r="D919" s="4076"/>
      <c r="E919" s="4022"/>
      <c r="F919" s="3934" t="str">
        <f t="shared" si="127"/>
        <v>Mini/MultiSplitASHP_ROF_MF_NC</v>
      </c>
      <c r="G919" s="3935"/>
      <c r="H919" s="3936"/>
      <c r="I919" s="2672" t="str">
        <f t="shared" si="128"/>
        <v>351650_2021_12_</v>
      </c>
      <c r="J919" s="628">
        <v>1034</v>
      </c>
      <c r="K919" s="623"/>
      <c r="L919" s="4086"/>
      <c r="M919" s="1304"/>
      <c r="N919" s="1296"/>
      <c r="O919" s="106"/>
      <c r="P919" s="106"/>
      <c r="Q919" s="106"/>
      <c r="R919" s="106"/>
      <c r="S919" s="106"/>
      <c r="T919" s="106"/>
      <c r="U919" s="106"/>
      <c r="V919" s="4076"/>
      <c r="W919" s="2224"/>
      <c r="X919" s="2224"/>
      <c r="Y919" s="629">
        <v>1034</v>
      </c>
      <c r="Z919" s="628">
        <v>1034</v>
      </c>
      <c r="AA919" s="628">
        <v>1034</v>
      </c>
      <c r="AB919" s="628">
        <v>1034</v>
      </c>
      <c r="AC919" s="628">
        <v>1034</v>
      </c>
      <c r="AD919" s="628">
        <v>1034</v>
      </c>
      <c r="AE919" s="2224"/>
      <c r="AF919" s="2224"/>
      <c r="AG919" s="580"/>
      <c r="AH919" s="156"/>
      <c r="AI919" s="156"/>
      <c r="AJ919" s="156"/>
      <c r="AK919" s="156"/>
      <c r="AL919" s="156"/>
      <c r="AM919" s="156"/>
      <c r="AN919" s="156"/>
      <c r="AO919" s="156"/>
      <c r="AP919" s="156"/>
      <c r="AQ919" s="156"/>
      <c r="AR919" s="156"/>
      <c r="AS919" s="156"/>
      <c r="AT919" s="156"/>
      <c r="AU919" s="156"/>
      <c r="AV919" s="156"/>
      <c r="AW919" s="156"/>
      <c r="AX919" s="156"/>
      <c r="AY919" s="156"/>
      <c r="AZ919" s="156"/>
      <c r="BA919" s="156"/>
      <c r="BB919" s="2828"/>
      <c r="BC919" s="452"/>
      <c r="BD919" s="2829"/>
      <c r="BE919" s="156"/>
      <c r="BF919" s="156"/>
    </row>
    <row r="920" spans="1:58" hidden="1" outlineLevel="1" x14ac:dyDescent="0.35">
      <c r="A920" s="1071"/>
      <c r="B920" s="106"/>
      <c r="C920" s="103"/>
      <c r="D920" s="4076"/>
      <c r="E920" s="4022"/>
      <c r="F920" s="3934" t="str">
        <f t="shared" si="127"/>
        <v>Mini/MultiSplitASHP_ROF_MF</v>
      </c>
      <c r="G920" s="3935"/>
      <c r="H920" s="3936"/>
      <c r="I920" s="2672" t="str">
        <f t="shared" si="128"/>
        <v>351700_2021_12_</v>
      </c>
      <c r="J920" s="628">
        <v>1034</v>
      </c>
      <c r="K920" s="623"/>
      <c r="L920" s="4086"/>
      <c r="M920" s="1304"/>
      <c r="N920" s="1296"/>
      <c r="O920" s="106"/>
      <c r="P920" s="106"/>
      <c r="Q920" s="106"/>
      <c r="R920" s="106"/>
      <c r="S920" s="106"/>
      <c r="T920" s="106"/>
      <c r="U920" s="106"/>
      <c r="V920" s="4076"/>
      <c r="W920" s="2224"/>
      <c r="X920" s="2224"/>
      <c r="Y920" s="629">
        <v>1034</v>
      </c>
      <c r="Z920" s="628">
        <v>1034</v>
      </c>
      <c r="AA920" s="628">
        <v>1034</v>
      </c>
      <c r="AB920" s="628">
        <v>1034</v>
      </c>
      <c r="AC920" s="628">
        <v>1034</v>
      </c>
      <c r="AD920" s="628">
        <v>1034</v>
      </c>
      <c r="AE920" s="2224"/>
      <c r="AF920" s="2224"/>
      <c r="AG920" s="580"/>
      <c r="AH920" s="156"/>
      <c r="AI920" s="156"/>
      <c r="AJ920" s="156"/>
      <c r="AK920" s="156"/>
      <c r="AL920" s="156"/>
      <c r="AM920" s="156"/>
      <c r="AN920" s="156"/>
      <c r="AO920" s="156"/>
      <c r="AP920" s="156"/>
      <c r="AQ920" s="156"/>
      <c r="AR920" s="156"/>
      <c r="AS920" s="156"/>
      <c r="AT920" s="156"/>
      <c r="AU920" s="156"/>
      <c r="AV920" s="156"/>
      <c r="AW920" s="156"/>
      <c r="AX920" s="156"/>
      <c r="AY920" s="156"/>
      <c r="AZ920" s="156"/>
      <c r="BA920" s="156"/>
      <c r="BB920" s="2828"/>
      <c r="BC920" s="452"/>
      <c r="BD920" s="2829"/>
      <c r="BE920" s="156"/>
      <c r="BF920" s="156"/>
    </row>
    <row r="921" spans="1:58" hidden="1" outlineLevel="1" x14ac:dyDescent="0.35">
      <c r="A921" s="1071"/>
      <c r="B921" s="106"/>
      <c r="C921" s="103"/>
      <c r="D921" s="4076"/>
      <c r="E921" s="4022"/>
      <c r="F921" s="3934" t="str">
        <f t="shared" si="127"/>
        <v>Mini/MultiSplitASHP-Replace_CAC_ElectricHeat_ER1_MF</v>
      </c>
      <c r="G921" s="3935"/>
      <c r="H921" s="3936"/>
      <c r="I921" s="2672" t="str">
        <f t="shared" si="128"/>
        <v>351750_2021_12_</v>
      </c>
      <c r="J921" s="628">
        <v>1034</v>
      </c>
      <c r="K921" s="623"/>
      <c r="L921" s="4086"/>
      <c r="M921" s="1304"/>
      <c r="N921" s="1296"/>
      <c r="O921" s="106"/>
      <c r="P921" s="106"/>
      <c r="Q921" s="106"/>
      <c r="R921" s="106"/>
      <c r="S921" s="106"/>
      <c r="T921" s="106"/>
      <c r="U921" s="106"/>
      <c r="V921" s="4076"/>
      <c r="W921" s="2224"/>
      <c r="X921" s="2224"/>
      <c r="Y921" s="629">
        <v>1034</v>
      </c>
      <c r="Z921" s="628">
        <v>1034</v>
      </c>
      <c r="AA921" s="628">
        <v>1034</v>
      </c>
      <c r="AB921" s="628">
        <v>1034</v>
      </c>
      <c r="AC921" s="628">
        <v>1034</v>
      </c>
      <c r="AD921" s="628">
        <v>1034</v>
      </c>
      <c r="AE921" s="2224"/>
      <c r="AF921" s="2224"/>
      <c r="AG921" s="580"/>
      <c r="AH921" s="156"/>
      <c r="AI921" s="156"/>
      <c r="AJ921" s="156"/>
      <c r="AK921" s="156"/>
      <c r="AL921" s="156"/>
      <c r="AM921" s="156"/>
      <c r="AN921" s="156"/>
      <c r="AO921" s="156"/>
      <c r="AP921" s="156"/>
      <c r="AQ921" s="156"/>
      <c r="AR921" s="156"/>
      <c r="AS921" s="156"/>
      <c r="AT921" s="156"/>
      <c r="AU921" s="156"/>
      <c r="AV921" s="156"/>
      <c r="AW921" s="156"/>
      <c r="AX921" s="156"/>
      <c r="AY921" s="156"/>
      <c r="AZ921" s="156"/>
      <c r="BA921" s="156"/>
      <c r="BB921" s="2828"/>
      <c r="BC921" s="452"/>
      <c r="BD921" s="2829"/>
      <c r="BE921" s="156"/>
      <c r="BF921" s="156"/>
    </row>
    <row r="922" spans="1:58" hidden="1" outlineLevel="1" x14ac:dyDescent="0.35">
      <c r="A922" s="1071"/>
      <c r="B922" s="106"/>
      <c r="C922" s="103"/>
      <c r="D922" s="4076"/>
      <c r="E922" s="4022"/>
      <c r="F922" s="3934" t="str">
        <f t="shared" si="127"/>
        <v>Mini/MultiSplitASHP-Replace_CAC_ElectricHeat_ROF_MF</v>
      </c>
      <c r="G922" s="3935"/>
      <c r="H922" s="3936"/>
      <c r="I922" s="2672" t="str">
        <f t="shared" si="128"/>
        <v>351800_2021_12_</v>
      </c>
      <c r="J922" s="628">
        <v>1034</v>
      </c>
      <c r="K922" s="623"/>
      <c r="L922" s="4086"/>
      <c r="M922" s="1304"/>
      <c r="N922" s="1296"/>
      <c r="O922" s="106"/>
      <c r="P922" s="106"/>
      <c r="Q922" s="106"/>
      <c r="R922" s="106"/>
      <c r="S922" s="106"/>
      <c r="T922" s="106"/>
      <c r="U922" s="106"/>
      <c r="V922" s="4076"/>
      <c r="W922" s="2224"/>
      <c r="X922" s="2224"/>
      <c r="Y922" s="629">
        <v>1034</v>
      </c>
      <c r="Z922" s="628">
        <v>1034</v>
      </c>
      <c r="AA922" s="628">
        <v>1034</v>
      </c>
      <c r="AB922" s="628">
        <v>1034</v>
      </c>
      <c r="AC922" s="628">
        <v>1034</v>
      </c>
      <c r="AD922" s="628">
        <v>1034</v>
      </c>
      <c r="AE922" s="2224"/>
      <c r="AF922" s="2224"/>
      <c r="AG922" s="580"/>
      <c r="AH922" s="156"/>
      <c r="AI922" s="156"/>
      <c r="AJ922" s="156"/>
      <c r="AK922" s="156"/>
      <c r="AL922" s="156"/>
      <c r="AM922" s="156"/>
      <c r="AN922" s="156"/>
      <c r="AO922" s="156"/>
      <c r="AP922" s="156"/>
      <c r="AQ922" s="156"/>
      <c r="AR922" s="156"/>
      <c r="AS922" s="156"/>
      <c r="AT922" s="156"/>
      <c r="AU922" s="156"/>
      <c r="AV922" s="156"/>
      <c r="AW922" s="156"/>
      <c r="AX922" s="156"/>
      <c r="AY922" s="156"/>
      <c r="AZ922" s="156"/>
      <c r="BA922" s="156"/>
      <c r="BB922" s="2828"/>
      <c r="BC922" s="452"/>
      <c r="BD922" s="2829"/>
      <c r="BE922" s="156"/>
      <c r="BF922" s="156"/>
    </row>
    <row r="923" spans="1:58" hidden="1" outlineLevel="1" x14ac:dyDescent="0.35">
      <c r="A923" s="1071"/>
      <c r="B923" s="106"/>
      <c r="C923" s="103"/>
      <c r="D923" s="4076"/>
      <c r="E923" s="4022"/>
      <c r="F923" s="3937" t="str">
        <f t="shared" ref="F923:F924" si="129">F896</f>
        <v>Mini/MultiSplitASHP-Replace_CAC_NonElectricHeat_ER1_MF</v>
      </c>
      <c r="G923" s="3938"/>
      <c r="H923" s="3939"/>
      <c r="I923" s="2755" t="str">
        <f t="shared" si="128"/>
        <v>351752_2022_12_</v>
      </c>
      <c r="J923" s="629">
        <v>1034</v>
      </c>
      <c r="K923" s="623"/>
      <c r="L923" s="4086"/>
      <c r="M923" s="1304"/>
      <c r="N923" s="1296"/>
      <c r="O923" s="106"/>
      <c r="P923" s="106"/>
      <c r="Q923" s="106"/>
      <c r="R923" s="106"/>
      <c r="S923" s="106"/>
      <c r="T923" s="106"/>
      <c r="U923" s="106"/>
      <c r="V923" s="4076"/>
      <c r="W923" s="2224"/>
      <c r="X923" s="2224"/>
      <c r="Y923" s="629"/>
      <c r="Z923" s="628"/>
      <c r="AA923" s="628"/>
      <c r="AB923" s="628"/>
      <c r="AC923" s="628"/>
      <c r="AD923" s="629">
        <v>1034</v>
      </c>
      <c r="AE923" s="2224"/>
      <c r="AF923" s="2224"/>
      <c r="AG923" s="580"/>
      <c r="AH923" s="156"/>
      <c r="AI923" s="156"/>
      <c r="AJ923" s="156"/>
      <c r="AK923" s="156"/>
      <c r="AL923" s="156"/>
      <c r="AM923" s="156"/>
      <c r="AN923" s="156"/>
      <c r="AO923" s="156"/>
      <c r="AP923" s="156"/>
      <c r="AQ923" s="156"/>
      <c r="AR923" s="156"/>
      <c r="AS923" s="156"/>
      <c r="AT923" s="156"/>
      <c r="AU923" s="156"/>
      <c r="AV923" s="156"/>
      <c r="AW923" s="156"/>
      <c r="AX923" s="156"/>
      <c r="AY923" s="156"/>
      <c r="AZ923" s="156"/>
      <c r="BA923" s="156"/>
      <c r="BB923" s="2828"/>
      <c r="BC923" s="452"/>
      <c r="BD923" s="2829"/>
      <c r="BE923" s="156"/>
      <c r="BF923" s="156"/>
    </row>
    <row r="924" spans="1:58" hidden="1" outlineLevel="1" x14ac:dyDescent="0.35">
      <c r="A924" s="1071"/>
      <c r="B924" s="106"/>
      <c r="C924" s="103"/>
      <c r="D924" s="4076"/>
      <c r="E924" s="4022"/>
      <c r="F924" s="3937" t="str">
        <f t="shared" si="129"/>
        <v>Mini/MultiSplitASHP-Replace_CAC_NonElectricHeat_ROF_MF</v>
      </c>
      <c r="G924" s="3938"/>
      <c r="H924" s="3939"/>
      <c r="I924" s="2755" t="str">
        <f t="shared" si="128"/>
        <v>351802_2022_12_</v>
      </c>
      <c r="J924" s="629">
        <v>1034</v>
      </c>
      <c r="K924" s="623"/>
      <c r="L924" s="4086"/>
      <c r="M924" s="1304"/>
      <c r="N924" s="1296"/>
      <c r="O924" s="106"/>
      <c r="P924" s="106"/>
      <c r="Q924" s="106"/>
      <c r="R924" s="106"/>
      <c r="S924" s="106"/>
      <c r="T924" s="106"/>
      <c r="U924" s="106"/>
      <c r="V924" s="4076"/>
      <c r="W924" s="2224"/>
      <c r="X924" s="2224"/>
      <c r="Y924" s="629"/>
      <c r="Z924" s="628"/>
      <c r="AA924" s="628"/>
      <c r="AB924" s="628"/>
      <c r="AC924" s="628"/>
      <c r="AD924" s="629">
        <v>1034</v>
      </c>
      <c r="AE924" s="2224"/>
      <c r="AF924" s="2224"/>
      <c r="AG924" s="580"/>
      <c r="AH924" s="156"/>
      <c r="AI924" s="156"/>
      <c r="AJ924" s="156"/>
      <c r="AK924" s="156"/>
      <c r="AL924" s="156"/>
      <c r="AM924" s="156"/>
      <c r="AN924" s="156"/>
      <c r="AO924" s="156"/>
      <c r="AP924" s="156"/>
      <c r="AQ924" s="156"/>
      <c r="AR924" s="156"/>
      <c r="AS924" s="156"/>
      <c r="AT924" s="156"/>
      <c r="AU924" s="156"/>
      <c r="AV924" s="156"/>
      <c r="AW924" s="156"/>
      <c r="AX924" s="156"/>
      <c r="AY924" s="156"/>
      <c r="AZ924" s="156"/>
      <c r="BA924" s="156"/>
      <c r="BB924" s="2828"/>
      <c r="BC924" s="452"/>
      <c r="BD924" s="2829"/>
      <c r="BE924" s="156"/>
      <c r="BF924" s="156"/>
    </row>
    <row r="925" spans="1:58" hidden="1" outlineLevel="1" x14ac:dyDescent="0.35">
      <c r="A925" s="1071"/>
      <c r="B925" s="106"/>
      <c r="C925" s="103"/>
      <c r="D925" s="4076"/>
      <c r="E925" s="4022"/>
      <c r="F925" s="3934" t="str">
        <f t="shared" ref="F925:F931" si="130">F898</f>
        <v>Mini/MultiSplitASHP_ER1_MF</v>
      </c>
      <c r="G925" s="3935"/>
      <c r="H925" s="3936"/>
      <c r="I925" s="2672" t="str">
        <f t="shared" ref="I925:I933" si="131">I898</f>
        <v>351850_2021_12_</v>
      </c>
      <c r="J925" s="628">
        <v>1034</v>
      </c>
      <c r="K925" s="623"/>
      <c r="L925" s="4086"/>
      <c r="M925" s="1304"/>
      <c r="N925" s="1296"/>
      <c r="O925" s="106"/>
      <c r="P925" s="106"/>
      <c r="Q925" s="106"/>
      <c r="R925" s="106"/>
      <c r="S925" s="106"/>
      <c r="T925" s="106"/>
      <c r="U925" s="106"/>
      <c r="V925" s="4076"/>
      <c r="W925" s="2224"/>
      <c r="X925" s="2224"/>
      <c r="Y925" s="629">
        <v>1034</v>
      </c>
      <c r="Z925" s="628">
        <v>1034</v>
      </c>
      <c r="AA925" s="628">
        <v>1034</v>
      </c>
      <c r="AB925" s="628">
        <v>1034</v>
      </c>
      <c r="AC925" s="628">
        <v>1034</v>
      </c>
      <c r="AD925" s="628">
        <v>1034</v>
      </c>
      <c r="AE925" s="2224"/>
      <c r="AF925" s="2224"/>
      <c r="AG925" s="580"/>
      <c r="AH925" s="156"/>
      <c r="AI925" s="156"/>
      <c r="AJ925" s="156"/>
      <c r="AK925" s="156"/>
      <c r="AL925" s="156"/>
      <c r="AM925" s="156"/>
      <c r="AN925" s="156"/>
      <c r="AO925" s="156"/>
      <c r="AP925" s="156"/>
      <c r="AQ925" s="156"/>
      <c r="AR925" s="156"/>
      <c r="AS925" s="156"/>
      <c r="AT925" s="156"/>
      <c r="AU925" s="156"/>
      <c r="AV925" s="156"/>
      <c r="AW925" s="156"/>
      <c r="AX925" s="156"/>
      <c r="AY925" s="156"/>
      <c r="AZ925" s="156"/>
      <c r="BA925" s="156"/>
      <c r="BB925" s="2828"/>
      <c r="BC925" s="452"/>
      <c r="BD925" s="2829"/>
      <c r="BE925" s="156"/>
      <c r="BF925" s="156"/>
    </row>
    <row r="926" spans="1:58" hidden="1" outlineLevel="1" x14ac:dyDescent="0.35">
      <c r="A926" s="1071"/>
      <c r="B926" s="106"/>
      <c r="C926" s="103"/>
      <c r="D926" s="4081"/>
      <c r="E926" s="4023"/>
      <c r="F926" s="3934" t="str">
        <f t="shared" si="130"/>
        <v>Mini/MultiSplitAC_ER1_MF_CompE</v>
      </c>
      <c r="G926" s="3935"/>
      <c r="H926" s="3936"/>
      <c r="I926" s="2672" t="str">
        <f t="shared" si="131"/>
        <v>351551_2021_12_</v>
      </c>
      <c r="J926" s="1306">
        <v>0</v>
      </c>
      <c r="K926" s="623"/>
      <c r="L926" s="4086"/>
      <c r="M926" s="1304"/>
      <c r="N926" s="1296"/>
      <c r="O926" s="106"/>
      <c r="P926" s="106"/>
      <c r="Q926" s="106"/>
      <c r="R926" s="106"/>
      <c r="S926" s="106"/>
      <c r="T926" s="106"/>
      <c r="U926" s="106"/>
      <c r="V926" s="4081"/>
      <c r="W926" s="2224"/>
      <c r="X926" s="2224"/>
      <c r="Y926" s="630">
        <v>0</v>
      </c>
      <c r="Z926" s="1306">
        <v>0</v>
      </c>
      <c r="AA926" s="1306">
        <v>0</v>
      </c>
      <c r="AB926" s="1306">
        <v>0</v>
      </c>
      <c r="AC926" s="1306">
        <v>0</v>
      </c>
      <c r="AD926" s="1306">
        <v>0</v>
      </c>
      <c r="AE926" s="2224"/>
      <c r="AF926" s="2224"/>
      <c r="AG926" s="580"/>
      <c r="AH926" s="156"/>
      <c r="AI926" s="156"/>
      <c r="AJ926" s="156"/>
      <c r="AK926" s="156"/>
      <c r="AL926" s="156"/>
      <c r="AM926" s="156"/>
      <c r="AN926" s="156"/>
      <c r="AO926" s="156"/>
      <c r="AP926" s="156"/>
      <c r="AQ926" s="156"/>
      <c r="AR926" s="156"/>
      <c r="AS926" s="156"/>
      <c r="AT926" s="156"/>
      <c r="AU926" s="156"/>
      <c r="AV926" s="156"/>
      <c r="AW926" s="156"/>
      <c r="AX926" s="156"/>
      <c r="AY926" s="156"/>
      <c r="AZ926" s="156"/>
      <c r="BA926" s="156"/>
      <c r="BB926" s="2828"/>
      <c r="BC926" s="452"/>
      <c r="BD926" s="2829"/>
      <c r="BE926" s="156"/>
      <c r="BF926" s="156"/>
    </row>
    <row r="927" spans="1:58" hidden="1" outlineLevel="1" x14ac:dyDescent="0.35">
      <c r="A927" s="1071"/>
      <c r="B927" s="106"/>
      <c r="C927" s="103"/>
      <c r="D927" s="4081"/>
      <c r="E927" s="4023"/>
      <c r="F927" s="3934" t="str">
        <f t="shared" si="130"/>
        <v>Mini/MultiSplitAC_ROF_MF_CompE</v>
      </c>
      <c r="G927" s="3935"/>
      <c r="H927" s="3936"/>
      <c r="I927" s="2672" t="str">
        <f t="shared" si="131"/>
        <v>351601_2021_12_</v>
      </c>
      <c r="J927" s="1306">
        <v>0</v>
      </c>
      <c r="K927" s="623"/>
      <c r="L927" s="4086"/>
      <c r="M927" s="1304"/>
      <c r="N927" s="1296"/>
      <c r="O927" s="106"/>
      <c r="P927" s="106"/>
      <c r="Q927" s="106"/>
      <c r="R927" s="106"/>
      <c r="S927" s="106"/>
      <c r="T927" s="106"/>
      <c r="U927" s="106"/>
      <c r="V927" s="4081"/>
      <c r="W927" s="2224"/>
      <c r="X927" s="2224"/>
      <c r="Y927" s="630">
        <v>0</v>
      </c>
      <c r="Z927" s="1306">
        <v>0</v>
      </c>
      <c r="AA927" s="1306">
        <v>0</v>
      </c>
      <c r="AB927" s="1306">
        <v>0</v>
      </c>
      <c r="AC927" s="1306">
        <v>0</v>
      </c>
      <c r="AD927" s="1306">
        <v>0</v>
      </c>
      <c r="AE927" s="2224"/>
      <c r="AF927" s="2224"/>
      <c r="AG927" s="580"/>
      <c r="AH927" s="156"/>
      <c r="AI927" s="156"/>
      <c r="AJ927" s="156"/>
      <c r="AK927" s="156"/>
      <c r="AL927" s="156"/>
      <c r="AM927" s="156"/>
      <c r="AN927" s="156"/>
      <c r="AO927" s="156"/>
      <c r="AP927" s="156"/>
      <c r="AQ927" s="156"/>
      <c r="AR927" s="156"/>
      <c r="AS927" s="156"/>
      <c r="AT927" s="156"/>
      <c r="AU927" s="156"/>
      <c r="AV927" s="156"/>
      <c r="AW927" s="156"/>
      <c r="AX927" s="156"/>
      <c r="AY927" s="156"/>
      <c r="AZ927" s="156"/>
      <c r="BA927" s="156"/>
      <c r="BB927" s="2828"/>
      <c r="BC927" s="452"/>
      <c r="BD927" s="2829"/>
      <c r="BE927" s="156"/>
      <c r="BF927" s="156"/>
    </row>
    <row r="928" spans="1:58" hidden="1" outlineLevel="1" x14ac:dyDescent="0.35">
      <c r="A928" s="1071"/>
      <c r="B928" s="106"/>
      <c r="C928" s="103"/>
      <c r="D928" s="4081"/>
      <c r="E928" s="4023"/>
      <c r="F928" s="3934" t="str">
        <f t="shared" si="130"/>
        <v>Mini/MultiSplitASHP_ROF_MF_NC_CompE</v>
      </c>
      <c r="G928" s="3935"/>
      <c r="H928" s="3936"/>
      <c r="I928" s="2672" t="str">
        <f t="shared" si="131"/>
        <v>351651_2021_12_</v>
      </c>
      <c r="J928" s="1306">
        <v>393</v>
      </c>
      <c r="K928" s="623"/>
      <c r="L928" s="4086"/>
      <c r="M928" s="1304"/>
      <c r="N928" s="1296"/>
      <c r="O928" s="106"/>
      <c r="P928" s="106"/>
      <c r="Q928" s="106"/>
      <c r="R928" s="106"/>
      <c r="S928" s="106"/>
      <c r="T928" s="106"/>
      <c r="U928" s="106"/>
      <c r="V928" s="4081"/>
      <c r="W928" s="2224"/>
      <c r="X928" s="2224"/>
      <c r="Y928" s="630">
        <v>476</v>
      </c>
      <c r="Z928" s="1306">
        <v>476</v>
      </c>
      <c r="AA928" s="1306">
        <v>476</v>
      </c>
      <c r="AB928" s="1306">
        <v>393</v>
      </c>
      <c r="AC928" s="1306">
        <v>393</v>
      </c>
      <c r="AD928" s="1306">
        <v>393</v>
      </c>
      <c r="AE928" s="2224"/>
      <c r="AF928" s="2224"/>
      <c r="AG928" s="580"/>
      <c r="AH928" s="156"/>
      <c r="AI928" s="156"/>
      <c r="AJ928" s="156"/>
      <c r="AK928" s="156"/>
      <c r="AL928" s="156"/>
      <c r="AM928" s="156"/>
      <c r="AN928" s="156"/>
      <c r="AO928" s="156"/>
      <c r="AP928" s="156"/>
      <c r="AQ928" s="156"/>
      <c r="AR928" s="156"/>
      <c r="AS928" s="156"/>
      <c r="AT928" s="156"/>
      <c r="AU928" s="156"/>
      <c r="AV928" s="156"/>
      <c r="AW928" s="156"/>
      <c r="AX928" s="156"/>
      <c r="AY928" s="156"/>
      <c r="AZ928" s="156"/>
      <c r="BA928" s="156"/>
      <c r="BB928" s="2828"/>
      <c r="BC928" s="452"/>
      <c r="BD928" s="2829"/>
      <c r="BE928" s="156"/>
      <c r="BF928" s="156"/>
    </row>
    <row r="929" spans="1:58" hidden="1" outlineLevel="1" x14ac:dyDescent="0.35">
      <c r="A929" s="1071"/>
      <c r="B929" s="106"/>
      <c r="C929" s="103"/>
      <c r="D929" s="4081"/>
      <c r="E929" s="4023"/>
      <c r="F929" s="3934" t="str">
        <f t="shared" si="130"/>
        <v>Mini/MultiSplitASHP_ROF_MF_CompE</v>
      </c>
      <c r="G929" s="3935"/>
      <c r="H929" s="3936"/>
      <c r="I929" s="2672" t="str">
        <f t="shared" si="131"/>
        <v>351701_2021_12_</v>
      </c>
      <c r="J929" s="1306">
        <v>393</v>
      </c>
      <c r="K929" s="623"/>
      <c r="L929" s="4086"/>
      <c r="M929" s="1304"/>
      <c r="N929" s="1296"/>
      <c r="O929" s="106"/>
      <c r="P929" s="106"/>
      <c r="Q929" s="106"/>
      <c r="R929" s="106"/>
      <c r="S929" s="106"/>
      <c r="T929" s="106"/>
      <c r="U929" s="106"/>
      <c r="V929" s="4081"/>
      <c r="W929" s="2224"/>
      <c r="X929" s="2224"/>
      <c r="Y929" s="630">
        <v>476</v>
      </c>
      <c r="Z929" s="1306">
        <v>476</v>
      </c>
      <c r="AA929" s="1306">
        <v>476</v>
      </c>
      <c r="AB929" s="1306">
        <v>393</v>
      </c>
      <c r="AC929" s="1306">
        <v>393</v>
      </c>
      <c r="AD929" s="1306">
        <v>393</v>
      </c>
      <c r="AE929" s="2224"/>
      <c r="AF929" s="2224"/>
      <c r="AG929" s="580"/>
      <c r="AH929" s="156"/>
      <c r="AI929" s="156"/>
      <c r="AJ929" s="156"/>
      <c r="AK929" s="156"/>
      <c r="AL929" s="156"/>
      <c r="AM929" s="156"/>
      <c r="AN929" s="156"/>
      <c r="AO929" s="156"/>
      <c r="AP929" s="156"/>
      <c r="AQ929" s="156"/>
      <c r="AR929" s="156"/>
      <c r="AS929" s="156"/>
      <c r="AT929" s="156"/>
      <c r="AU929" s="156"/>
      <c r="AV929" s="156"/>
      <c r="AW929" s="156"/>
      <c r="AX929" s="156"/>
      <c r="AY929" s="156"/>
      <c r="AZ929" s="156"/>
      <c r="BA929" s="156"/>
      <c r="BB929" s="2828"/>
      <c r="BC929" s="452"/>
      <c r="BD929" s="2829"/>
      <c r="BE929" s="156"/>
      <c r="BF929" s="156"/>
    </row>
    <row r="930" spans="1:58" hidden="1" outlineLevel="1" x14ac:dyDescent="0.35">
      <c r="A930" s="1071"/>
      <c r="B930" s="106"/>
      <c r="C930" s="103"/>
      <c r="D930" s="4081"/>
      <c r="E930" s="4023"/>
      <c r="F930" s="3934" t="str">
        <f t="shared" si="130"/>
        <v>Mini/MultiSplitASHP-Replace_CAC_ElectricHeat_ER1_MF_CompE</v>
      </c>
      <c r="G930" s="3935"/>
      <c r="H930" s="3936"/>
      <c r="I930" s="2672" t="str">
        <f t="shared" si="131"/>
        <v>351751_2021_12_</v>
      </c>
      <c r="J930" s="1306">
        <v>393</v>
      </c>
      <c r="K930" s="623"/>
      <c r="L930" s="4086"/>
      <c r="M930" s="1304"/>
      <c r="N930" s="1296"/>
      <c r="O930" s="106"/>
      <c r="P930" s="106"/>
      <c r="Q930" s="106"/>
      <c r="R930" s="106"/>
      <c r="S930" s="106"/>
      <c r="T930" s="106"/>
      <c r="U930" s="106"/>
      <c r="V930" s="4081"/>
      <c r="W930" s="2224"/>
      <c r="X930" s="2224"/>
      <c r="Y930" s="630">
        <v>476</v>
      </c>
      <c r="Z930" s="1306">
        <v>476</v>
      </c>
      <c r="AA930" s="1306">
        <v>476</v>
      </c>
      <c r="AB930" s="1306">
        <v>393</v>
      </c>
      <c r="AC930" s="1306">
        <v>393</v>
      </c>
      <c r="AD930" s="1306">
        <v>393</v>
      </c>
      <c r="AE930" s="2224"/>
      <c r="AF930" s="2224"/>
      <c r="AG930" s="580"/>
      <c r="AH930" s="156"/>
      <c r="AI930" s="156"/>
      <c r="AJ930" s="156"/>
      <c r="AK930" s="156"/>
      <c r="AL930" s="156"/>
      <c r="AM930" s="156"/>
      <c r="AN930" s="156"/>
      <c r="AO930" s="156"/>
      <c r="AP930" s="156"/>
      <c r="AQ930" s="156"/>
      <c r="AR930" s="156"/>
      <c r="AS930" s="156"/>
      <c r="AT930" s="156"/>
      <c r="AU930" s="156"/>
      <c r="AV930" s="156"/>
      <c r="AW930" s="156"/>
      <c r="AX930" s="156"/>
      <c r="AY930" s="156"/>
      <c r="AZ930" s="156"/>
      <c r="BA930" s="156"/>
      <c r="BB930" s="2828"/>
      <c r="BC930" s="452"/>
      <c r="BD930" s="2829"/>
      <c r="BE930" s="156"/>
      <c r="BF930" s="156"/>
    </row>
    <row r="931" spans="1:58" hidden="1" outlineLevel="1" x14ac:dyDescent="0.35">
      <c r="A931" s="1071"/>
      <c r="B931" s="106"/>
      <c r="C931" s="103"/>
      <c r="D931" s="4081"/>
      <c r="E931" s="4023"/>
      <c r="F931" s="3934" t="str">
        <f t="shared" si="130"/>
        <v>Mini/MultiSplitASHP-Replace_CAC_ElectricHeat_ROF_MF_CompE</v>
      </c>
      <c r="G931" s="3935"/>
      <c r="H931" s="3936"/>
      <c r="I931" s="2672" t="str">
        <f t="shared" si="131"/>
        <v>351801_2021_12_</v>
      </c>
      <c r="J931" s="1306">
        <v>393</v>
      </c>
      <c r="K931" s="623"/>
      <c r="L931" s="4086"/>
      <c r="M931" s="1304"/>
      <c r="N931" s="1296"/>
      <c r="O931" s="106"/>
      <c r="P931" s="106"/>
      <c r="Q931" s="106"/>
      <c r="R931" s="106"/>
      <c r="S931" s="106"/>
      <c r="T931" s="106"/>
      <c r="U931" s="106"/>
      <c r="V931" s="4081"/>
      <c r="W931" s="2224"/>
      <c r="X931" s="2224"/>
      <c r="Y931" s="630">
        <v>476</v>
      </c>
      <c r="Z931" s="1306">
        <v>476</v>
      </c>
      <c r="AA931" s="1306">
        <v>476</v>
      </c>
      <c r="AB931" s="1306">
        <v>393</v>
      </c>
      <c r="AC931" s="1306">
        <v>393</v>
      </c>
      <c r="AD931" s="1306">
        <v>393</v>
      </c>
      <c r="AE931" s="2224"/>
      <c r="AF931" s="2224"/>
      <c r="AG931" s="580"/>
      <c r="AH931" s="156"/>
      <c r="AI931" s="156"/>
      <c r="AJ931" s="156"/>
      <c r="AK931" s="156"/>
      <c r="AL931" s="156"/>
      <c r="AM931" s="156"/>
      <c r="AN931" s="156"/>
      <c r="AO931" s="156"/>
      <c r="AP931" s="156"/>
      <c r="AQ931" s="156"/>
      <c r="AR931" s="156"/>
      <c r="AS931" s="156"/>
      <c r="AT931" s="156"/>
      <c r="AU931" s="156"/>
      <c r="AV931" s="156"/>
      <c r="AW931" s="156"/>
      <c r="AX931" s="156"/>
      <c r="AY931" s="156"/>
      <c r="AZ931" s="156"/>
      <c r="BA931" s="156"/>
      <c r="BB931" s="2828"/>
      <c r="BC931" s="452"/>
      <c r="BD931" s="2829"/>
      <c r="BE931" s="156"/>
      <c r="BF931" s="156"/>
    </row>
    <row r="932" spans="1:58" hidden="1" outlineLevel="1" x14ac:dyDescent="0.35">
      <c r="A932" s="1071"/>
      <c r="B932" s="106"/>
      <c r="C932" s="103"/>
      <c r="D932" s="4081"/>
      <c r="E932" s="4023"/>
      <c r="F932" s="3937" t="str">
        <f t="shared" ref="F932:F933" si="132">F905</f>
        <v>Mini/MultiSplitASHP-Replace_CAC_NonElectricHeat_ER1_MF_CompE</v>
      </c>
      <c r="G932" s="3938"/>
      <c r="H932" s="3939"/>
      <c r="I932" s="2755" t="str">
        <f t="shared" si="131"/>
        <v>351753_2022_12_</v>
      </c>
      <c r="J932" s="630">
        <v>393</v>
      </c>
      <c r="K932" s="623"/>
      <c r="L932" s="4086"/>
      <c r="M932" s="1304"/>
      <c r="N932" s="1296"/>
      <c r="O932" s="106"/>
      <c r="P932" s="106"/>
      <c r="Q932" s="106"/>
      <c r="R932" s="106"/>
      <c r="S932" s="106"/>
      <c r="T932" s="106"/>
      <c r="U932" s="106"/>
      <c r="V932" s="4081"/>
      <c r="W932" s="2224"/>
      <c r="X932" s="2224"/>
      <c r="Y932" s="2759"/>
      <c r="Z932" s="2760"/>
      <c r="AA932" s="2760"/>
      <c r="AB932" s="1306"/>
      <c r="AC932" s="1306"/>
      <c r="AD932" s="630">
        <v>393</v>
      </c>
      <c r="AE932" s="576"/>
      <c r="AF932" s="576"/>
      <c r="AG932" s="2758"/>
      <c r="AH932" s="156"/>
      <c r="AI932" s="156"/>
      <c r="AJ932" s="156"/>
      <c r="AK932" s="156"/>
      <c r="AL932" s="156"/>
      <c r="AM932" s="156"/>
      <c r="AN932" s="156"/>
      <c r="AO932" s="156"/>
      <c r="AP932" s="156"/>
      <c r="AQ932" s="156"/>
      <c r="AR932" s="156"/>
      <c r="AS932" s="156"/>
      <c r="AT932" s="156"/>
      <c r="AU932" s="156"/>
      <c r="AV932" s="156"/>
      <c r="AW932" s="156"/>
      <c r="AX932" s="156"/>
      <c r="AY932" s="156"/>
      <c r="AZ932" s="156"/>
      <c r="BA932" s="156"/>
      <c r="BB932" s="2828"/>
      <c r="BC932" s="452"/>
      <c r="BD932" s="2829"/>
      <c r="BE932" s="156"/>
      <c r="BF932" s="156"/>
    </row>
    <row r="933" spans="1:58" hidden="1" outlineLevel="1" x14ac:dyDescent="0.35">
      <c r="A933" s="1071"/>
      <c r="B933" s="106"/>
      <c r="C933" s="103"/>
      <c r="D933" s="4081"/>
      <c r="E933" s="4023"/>
      <c r="F933" s="3937" t="str">
        <f t="shared" si="132"/>
        <v>Mini/MultiSplitASHP-Replace_CAC_NonElectricHeat_ROF_MF_CompE</v>
      </c>
      <c r="G933" s="3938"/>
      <c r="H933" s="3939"/>
      <c r="I933" s="2755" t="str">
        <f t="shared" si="131"/>
        <v>351803_2022_12_</v>
      </c>
      <c r="J933" s="630">
        <v>393</v>
      </c>
      <c r="K933" s="623"/>
      <c r="L933" s="4086"/>
      <c r="M933" s="1304"/>
      <c r="N933" s="1296"/>
      <c r="O933" s="106"/>
      <c r="P933" s="106"/>
      <c r="Q933" s="106"/>
      <c r="R933" s="106"/>
      <c r="S933" s="106"/>
      <c r="T933" s="106"/>
      <c r="U933" s="106"/>
      <c r="V933" s="4081"/>
      <c r="W933" s="2224"/>
      <c r="X933" s="2224"/>
      <c r="Y933" s="2759"/>
      <c r="Z933" s="2760"/>
      <c r="AA933" s="2760"/>
      <c r="AB933" s="1306"/>
      <c r="AC933" s="1306"/>
      <c r="AD933" s="630">
        <v>393</v>
      </c>
      <c r="AE933" s="576"/>
      <c r="AF933" s="576"/>
      <c r="AG933" s="2758"/>
      <c r="AH933" s="156"/>
      <c r="AI933" s="156"/>
      <c r="AJ933" s="156"/>
      <c r="AK933" s="156"/>
      <c r="AL933" s="156"/>
      <c r="AM933" s="156"/>
      <c r="AN933" s="156"/>
      <c r="AO933" s="156"/>
      <c r="AP933" s="156"/>
      <c r="AQ933" s="156"/>
      <c r="AR933" s="156"/>
      <c r="AS933" s="156"/>
      <c r="AT933" s="156"/>
      <c r="AU933" s="156"/>
      <c r="AV933" s="156"/>
      <c r="AW933" s="156"/>
      <c r="AX933" s="156"/>
      <c r="AY933" s="156"/>
      <c r="AZ933" s="156"/>
      <c r="BA933" s="156"/>
      <c r="BB933" s="2828"/>
      <c r="BC933" s="452"/>
      <c r="BD933" s="2829"/>
      <c r="BE933" s="156"/>
      <c r="BF933" s="156"/>
    </row>
    <row r="934" spans="1:58" ht="15" hidden="1" outlineLevel="1" thickBot="1" x14ac:dyDescent="0.4">
      <c r="A934" s="1071"/>
      <c r="B934" s="106"/>
      <c r="C934" s="103"/>
      <c r="D934" s="4082"/>
      <c r="E934" s="4024"/>
      <c r="F934" s="3940" t="str">
        <f t="shared" ref="F934:F940" si="133">F907</f>
        <v>Mini/MultiSplitASHP_ER1_MF_CompE</v>
      </c>
      <c r="G934" s="3941"/>
      <c r="H934" s="3942"/>
      <c r="I934" s="2673" t="str">
        <f t="shared" ref="I934:I942" si="134">I907</f>
        <v>351851_2021_12_</v>
      </c>
      <c r="J934" s="1306">
        <v>393</v>
      </c>
      <c r="K934" s="623"/>
      <c r="L934" s="4087"/>
      <c r="M934" s="1304"/>
      <c r="N934" s="1296"/>
      <c r="O934" s="106"/>
      <c r="P934" s="106"/>
      <c r="Q934" s="106"/>
      <c r="R934" s="106"/>
      <c r="S934" s="106"/>
      <c r="T934" s="106"/>
      <c r="U934" s="106"/>
      <c r="V934" s="4082"/>
      <c r="W934" s="2224"/>
      <c r="X934" s="2224"/>
      <c r="Y934" s="631">
        <v>476</v>
      </c>
      <c r="Z934" s="1790">
        <v>476</v>
      </c>
      <c r="AA934" s="1790">
        <v>476</v>
      </c>
      <c r="AB934" s="1306">
        <v>393</v>
      </c>
      <c r="AC934" s="1306">
        <v>393</v>
      </c>
      <c r="AD934" s="1306">
        <v>393</v>
      </c>
      <c r="AE934" s="2227"/>
      <c r="AF934" s="2227"/>
      <c r="AG934" s="626"/>
      <c r="AH934" s="156"/>
      <c r="AI934" s="156"/>
      <c r="AJ934" s="156"/>
      <c r="AK934" s="156"/>
      <c r="AL934" s="156"/>
      <c r="AM934" s="156"/>
      <c r="AN934" s="156"/>
      <c r="AO934" s="156"/>
      <c r="AP934" s="156"/>
      <c r="AQ934" s="156"/>
      <c r="AR934" s="156"/>
      <c r="AS934" s="156"/>
      <c r="AT934" s="156"/>
      <c r="AU934" s="156"/>
      <c r="AV934" s="156"/>
      <c r="AW934" s="156"/>
      <c r="AX934" s="156"/>
      <c r="AY934" s="156"/>
      <c r="AZ934" s="156"/>
      <c r="BA934" s="156"/>
      <c r="BB934" s="2828"/>
      <c r="BC934" s="452"/>
      <c r="BD934" s="2829"/>
      <c r="BE934" s="156"/>
      <c r="BF934" s="156"/>
    </row>
    <row r="935" spans="1:58" hidden="1" outlineLevel="1" x14ac:dyDescent="0.35">
      <c r="A935" s="1071"/>
      <c r="B935" s="106"/>
      <c r="C935" s="103"/>
      <c r="D935" s="4064" t="s">
        <v>1068</v>
      </c>
      <c r="E935" s="4021" t="s">
        <v>1069</v>
      </c>
      <c r="F935" s="3943" t="str">
        <f t="shared" si="133"/>
        <v>Mini/MultiSplitAC_ER1_SF</v>
      </c>
      <c r="G935" s="3944"/>
      <c r="H935" s="3945"/>
      <c r="I935" s="2671" t="str">
        <f t="shared" si="134"/>
        <v>351200_2021_12_</v>
      </c>
      <c r="J935" s="2225">
        <v>0</v>
      </c>
      <c r="K935" s="620"/>
      <c r="L935" s="621"/>
      <c r="M935" s="1304"/>
      <c r="N935" s="1296"/>
      <c r="O935" s="106"/>
      <c r="P935" s="106"/>
      <c r="Q935" s="106"/>
      <c r="R935" s="106"/>
      <c r="S935" s="106"/>
      <c r="T935" s="106"/>
      <c r="U935" s="106"/>
      <c r="V935" s="4064" t="s">
        <v>1068</v>
      </c>
      <c r="W935" s="2228">
        <v>0</v>
      </c>
      <c r="X935" s="2376">
        <v>0</v>
      </c>
      <c r="Y935" s="2228">
        <v>0</v>
      </c>
      <c r="Z935" s="2228">
        <v>0</v>
      </c>
      <c r="AA935" s="2228">
        <v>0</v>
      </c>
      <c r="AB935" s="2225">
        <v>0</v>
      </c>
      <c r="AC935" s="2225">
        <v>0</v>
      </c>
      <c r="AD935" s="2225">
        <v>0</v>
      </c>
      <c r="AE935" s="2228"/>
      <c r="AF935" s="2228"/>
      <c r="AG935" s="622"/>
      <c r="AH935" s="156"/>
      <c r="AI935" s="156"/>
      <c r="AJ935" s="156"/>
      <c r="AK935" s="156"/>
      <c r="AL935" s="156"/>
      <c r="AM935" s="156"/>
      <c r="AN935" s="156"/>
      <c r="AO935" s="156"/>
      <c r="AP935" s="156"/>
      <c r="AQ935" s="156"/>
      <c r="AR935" s="156"/>
      <c r="AS935" s="156"/>
      <c r="AT935" s="156"/>
      <c r="AU935" s="156"/>
      <c r="AV935" s="156"/>
      <c r="AW935" s="156"/>
      <c r="AX935" s="156"/>
      <c r="AY935" s="156"/>
      <c r="AZ935" s="156"/>
      <c r="BA935" s="156"/>
      <c r="BB935" s="2828"/>
      <c r="BC935" s="452"/>
      <c r="BD935" s="2829"/>
      <c r="BE935" s="156"/>
      <c r="BF935" s="156"/>
    </row>
    <row r="936" spans="1:58" hidden="1" outlineLevel="1" x14ac:dyDescent="0.35">
      <c r="A936" s="1071"/>
      <c r="B936" s="106"/>
      <c r="C936" s="103"/>
      <c r="D936" s="4076"/>
      <c r="E936" s="4022"/>
      <c r="F936" s="3934" t="str">
        <f t="shared" si="133"/>
        <v>Mini/MultiSplitAC_ROF_SF</v>
      </c>
      <c r="G936" s="3935"/>
      <c r="H936" s="3936"/>
      <c r="I936" s="2672" t="str">
        <f t="shared" si="134"/>
        <v>351250_2021_12_</v>
      </c>
      <c r="J936" s="2223">
        <v>0</v>
      </c>
      <c r="K936" s="623"/>
      <c r="L936" s="624"/>
      <c r="M936" s="1304"/>
      <c r="N936" s="1296"/>
      <c r="O936" s="106"/>
      <c r="P936" s="106"/>
      <c r="Q936" s="106"/>
      <c r="R936" s="106"/>
      <c r="S936" s="106"/>
      <c r="T936" s="106"/>
      <c r="U936" s="106"/>
      <c r="V936" s="4076"/>
      <c r="W936" s="2224">
        <v>0</v>
      </c>
      <c r="X936" s="2374">
        <v>0</v>
      </c>
      <c r="Y936" s="2224">
        <v>0</v>
      </c>
      <c r="Z936" s="2224">
        <v>0</v>
      </c>
      <c r="AA936" s="2224">
        <v>0</v>
      </c>
      <c r="AB936" s="2223">
        <v>0</v>
      </c>
      <c r="AC936" s="2223">
        <v>0</v>
      </c>
      <c r="AD936" s="2223">
        <v>0</v>
      </c>
      <c r="AE936" s="2224"/>
      <c r="AF936" s="2224"/>
      <c r="AG936" s="580"/>
      <c r="AH936" s="156"/>
      <c r="AI936" s="156"/>
      <c r="AJ936" s="156"/>
      <c r="AK936" s="156"/>
      <c r="AL936" s="156"/>
      <c r="AM936" s="156"/>
      <c r="AN936" s="156"/>
      <c r="AO936" s="156"/>
      <c r="AP936" s="156"/>
      <c r="AQ936" s="156"/>
      <c r="AR936" s="156"/>
      <c r="AS936" s="156"/>
      <c r="AT936" s="156"/>
      <c r="AU936" s="156"/>
      <c r="AV936" s="156"/>
      <c r="AW936" s="156"/>
      <c r="AX936" s="156"/>
      <c r="AY936" s="156"/>
      <c r="AZ936" s="156"/>
      <c r="BA936" s="156"/>
      <c r="BB936" s="2828"/>
      <c r="BC936" s="452"/>
      <c r="BD936" s="2829"/>
      <c r="BE936" s="156"/>
      <c r="BF936" s="156"/>
    </row>
    <row r="937" spans="1:58" hidden="1" outlineLevel="1" x14ac:dyDescent="0.35">
      <c r="A937" s="1071"/>
      <c r="B937" s="106"/>
      <c r="C937" s="103"/>
      <c r="D937" s="4076"/>
      <c r="E937" s="4022"/>
      <c r="F937" s="3934" t="str">
        <f t="shared" si="133"/>
        <v>Mini/MultiSplitASHP_ROF_SF_NC</v>
      </c>
      <c r="G937" s="3935"/>
      <c r="H937" s="3936"/>
      <c r="I937" s="2672" t="str">
        <f t="shared" si="134"/>
        <v>351300_2021_12_</v>
      </c>
      <c r="J937" s="2223">
        <v>8.1999999999999993</v>
      </c>
      <c r="K937" s="623"/>
      <c r="L937" s="4083" t="s">
        <v>1070</v>
      </c>
      <c r="M937" s="1304"/>
      <c r="N937" s="1296"/>
      <c r="O937" s="106"/>
      <c r="P937" s="106"/>
      <c r="Q937" s="106"/>
      <c r="R937" s="106"/>
      <c r="S937" s="106"/>
      <c r="T937" s="106"/>
      <c r="U937" s="106"/>
      <c r="V937" s="4076"/>
      <c r="W937" s="2224">
        <v>7.7</v>
      </c>
      <c r="X937" s="2374">
        <v>8.1999999999999993</v>
      </c>
      <c r="Y937" s="2224">
        <v>8.1999999999999993</v>
      </c>
      <c r="Z937" s="2224">
        <v>8.1999999999999993</v>
      </c>
      <c r="AA937" s="2224">
        <v>8.1999999999999993</v>
      </c>
      <c r="AB937" s="2223">
        <v>8.1999999999999993</v>
      </c>
      <c r="AC937" s="2223">
        <v>8.1999999999999993</v>
      </c>
      <c r="AD937" s="2223">
        <v>8.1999999999999993</v>
      </c>
      <c r="AE937" s="2224"/>
      <c r="AF937" s="2224"/>
      <c r="AG937" s="580"/>
      <c r="AH937" s="156"/>
      <c r="AI937" s="156"/>
      <c r="AJ937" s="156"/>
      <c r="AK937" s="156"/>
      <c r="AL937" s="156"/>
      <c r="AM937" s="156"/>
      <c r="AN937" s="156"/>
      <c r="AO937" s="156"/>
      <c r="AP937" s="156"/>
      <c r="AQ937" s="156"/>
      <c r="AR937" s="156"/>
      <c r="AS937" s="156"/>
      <c r="AT937" s="156"/>
      <c r="AU937" s="156"/>
      <c r="AV937" s="156"/>
      <c r="AW937" s="156"/>
      <c r="AX937" s="156"/>
      <c r="AY937" s="156"/>
      <c r="AZ937" s="156"/>
      <c r="BA937" s="156"/>
      <c r="BB937" s="2828"/>
      <c r="BC937" s="452"/>
      <c r="BD937" s="2829"/>
      <c r="BE937" s="156"/>
      <c r="BF937" s="156"/>
    </row>
    <row r="938" spans="1:58" hidden="1" outlineLevel="1" x14ac:dyDescent="0.35">
      <c r="A938" s="1071"/>
      <c r="B938" s="106"/>
      <c r="C938" s="103"/>
      <c r="D938" s="4076"/>
      <c r="E938" s="4022"/>
      <c r="F938" s="3934" t="str">
        <f t="shared" si="133"/>
        <v>Mini/MultiSplitASHP_ROF_SF</v>
      </c>
      <c r="G938" s="3935"/>
      <c r="H938" s="3936"/>
      <c r="I938" s="2672" t="str">
        <f t="shared" si="134"/>
        <v>351350_2021_12_</v>
      </c>
      <c r="J938" s="2223">
        <v>8.1999999999999993</v>
      </c>
      <c r="K938" s="623"/>
      <c r="L938" s="4084"/>
      <c r="M938" s="1292"/>
      <c r="N938" s="1296"/>
      <c r="O938" s="106"/>
      <c r="P938" s="106"/>
      <c r="Q938" s="106"/>
      <c r="R938" s="106"/>
      <c r="S938" s="106"/>
      <c r="T938" s="106"/>
      <c r="U938" s="106"/>
      <c r="V938" s="4076"/>
      <c r="W938" s="2224">
        <v>7.7</v>
      </c>
      <c r="X938" s="2374">
        <v>8.1999999999999993</v>
      </c>
      <c r="Y938" s="2224">
        <v>8.1999999999999993</v>
      </c>
      <c r="Z938" s="2224">
        <v>8.1999999999999993</v>
      </c>
      <c r="AA938" s="2224">
        <v>8.1999999999999993</v>
      </c>
      <c r="AB938" s="2223">
        <v>8.1999999999999993</v>
      </c>
      <c r="AC938" s="2223">
        <v>8.1999999999999993</v>
      </c>
      <c r="AD938" s="2223">
        <v>8.1999999999999993</v>
      </c>
      <c r="AE938" s="2224"/>
      <c r="AF938" s="2224"/>
      <c r="AG938" s="580"/>
      <c r="AH938" s="156"/>
      <c r="AI938" s="156"/>
      <c r="AJ938" s="156"/>
      <c r="AK938" s="156"/>
      <c r="AL938" s="156"/>
      <c r="AM938" s="156"/>
      <c r="AN938" s="156"/>
      <c r="AO938" s="156"/>
      <c r="AP938" s="156"/>
      <c r="AQ938" s="156"/>
      <c r="AR938" s="156"/>
      <c r="AS938" s="156"/>
      <c r="AT938" s="156"/>
      <c r="AU938" s="156"/>
      <c r="AV938" s="156"/>
      <c r="AW938" s="156"/>
      <c r="AX938" s="156"/>
      <c r="AY938" s="156"/>
      <c r="AZ938" s="156"/>
      <c r="BA938" s="156"/>
      <c r="BB938" s="2828"/>
      <c r="BC938" s="452"/>
      <c r="BD938" s="2829"/>
      <c r="BE938" s="156"/>
      <c r="BF938" s="156"/>
    </row>
    <row r="939" spans="1:58" hidden="1" outlineLevel="1" x14ac:dyDescent="0.35">
      <c r="A939" s="1071"/>
      <c r="B939" s="106"/>
      <c r="C939" s="103"/>
      <c r="D939" s="4076"/>
      <c r="E939" s="4022"/>
      <c r="F939" s="3934" t="str">
        <f t="shared" si="133"/>
        <v>Mini/MultiSplitASHP-Replace_CAC_ElectricHeat_ER1_SF</v>
      </c>
      <c r="G939" s="3935"/>
      <c r="H939" s="3936"/>
      <c r="I939" s="2672" t="str">
        <f t="shared" si="134"/>
        <v>351400_2021_12_</v>
      </c>
      <c r="J939" s="2223">
        <v>3.4119999999999999</v>
      </c>
      <c r="K939" s="623"/>
      <c r="L939" s="4084"/>
      <c r="M939" s="1292"/>
      <c r="N939" s="1296"/>
      <c r="O939" s="106"/>
      <c r="P939" s="106"/>
      <c r="Q939" s="106"/>
      <c r="R939" s="106"/>
      <c r="S939" s="106"/>
      <c r="T939" s="106"/>
      <c r="U939" s="106"/>
      <c r="V939" s="4076"/>
      <c r="W939" s="2224">
        <v>7.7</v>
      </c>
      <c r="X939" s="2374">
        <v>3.41</v>
      </c>
      <c r="Y939" s="2224">
        <v>3.4119999999999999</v>
      </c>
      <c r="Z939" s="2224">
        <v>3.4119999999999999</v>
      </c>
      <c r="AA939" s="2224">
        <v>3.4119999999999999</v>
      </c>
      <c r="AB939" s="2223">
        <v>3.4119999999999999</v>
      </c>
      <c r="AC939" s="2223">
        <v>3.4119999999999999</v>
      </c>
      <c r="AD939" s="2223">
        <v>3.4119999999999999</v>
      </c>
      <c r="AE939" s="2224"/>
      <c r="AF939" s="2224"/>
      <c r="AG939" s="580"/>
      <c r="AH939" s="156"/>
      <c r="AI939" s="156"/>
      <c r="AJ939" s="156"/>
      <c r="AK939" s="156"/>
      <c r="AL939" s="156"/>
      <c r="AM939" s="156"/>
      <c r="AN939" s="156"/>
      <c r="AO939" s="156"/>
      <c r="AP939" s="156"/>
      <c r="AQ939" s="156"/>
      <c r="AR939" s="156"/>
      <c r="AS939" s="156"/>
      <c r="AT939" s="156"/>
      <c r="AU939" s="156"/>
      <c r="AV939" s="156"/>
      <c r="AW939" s="156"/>
      <c r="AX939" s="156"/>
      <c r="AY939" s="156"/>
      <c r="AZ939" s="156"/>
      <c r="BA939" s="156"/>
      <c r="BB939" s="2828"/>
      <c r="BC939" s="452"/>
      <c r="BD939" s="2829"/>
      <c r="BE939" s="156"/>
      <c r="BF939" s="156"/>
    </row>
    <row r="940" spans="1:58" hidden="1" outlineLevel="1" x14ac:dyDescent="0.35">
      <c r="A940" s="1071"/>
      <c r="B940" s="106"/>
      <c r="C940" s="103"/>
      <c r="D940" s="4076"/>
      <c r="E940" s="4022"/>
      <c r="F940" s="3934" t="str">
        <f t="shared" si="133"/>
        <v>Mini/MultiSplitASHP-Replace_CAC_ElectricHeat_ROF_SF</v>
      </c>
      <c r="G940" s="3935"/>
      <c r="H940" s="3936"/>
      <c r="I940" s="2672" t="str">
        <f t="shared" si="134"/>
        <v>351450_2021_12_</v>
      </c>
      <c r="J940" s="2223">
        <v>3.4119999999999999</v>
      </c>
      <c r="K940" s="623"/>
      <c r="L940" s="4084"/>
      <c r="M940" s="1292"/>
      <c r="N940" s="1296"/>
      <c r="O940" s="106"/>
      <c r="P940" s="106"/>
      <c r="Q940" s="106"/>
      <c r="R940" s="106"/>
      <c r="S940" s="106"/>
      <c r="T940" s="106"/>
      <c r="U940" s="106"/>
      <c r="V940" s="4076"/>
      <c r="W940" s="2224">
        <v>7.7</v>
      </c>
      <c r="X940" s="2374">
        <v>3.41</v>
      </c>
      <c r="Y940" s="2224">
        <v>3.4119999999999999</v>
      </c>
      <c r="Z940" s="2224">
        <v>3.4119999999999999</v>
      </c>
      <c r="AA940" s="2224">
        <v>3.4119999999999999</v>
      </c>
      <c r="AB940" s="2223">
        <v>3.4119999999999999</v>
      </c>
      <c r="AC940" s="2223">
        <v>3.4119999999999999</v>
      </c>
      <c r="AD940" s="2223">
        <v>3.4119999999999999</v>
      </c>
      <c r="AE940" s="2224"/>
      <c r="AF940" s="2224"/>
      <c r="AG940" s="580"/>
      <c r="AH940" s="156"/>
      <c r="AI940" s="156"/>
      <c r="AJ940" s="156"/>
      <c r="AK940" s="156"/>
      <c r="AL940" s="156"/>
      <c r="AM940" s="156"/>
      <c r="AN940" s="156"/>
      <c r="AO940" s="156"/>
      <c r="AP940" s="156"/>
      <c r="AQ940" s="156"/>
      <c r="AR940" s="156"/>
      <c r="AS940" s="156"/>
      <c r="AT940" s="156"/>
      <c r="AU940" s="156"/>
      <c r="AV940" s="156"/>
      <c r="AW940" s="156"/>
      <c r="AX940" s="156"/>
      <c r="AY940" s="156"/>
      <c r="AZ940" s="156"/>
      <c r="BA940" s="156"/>
      <c r="BB940" s="2828"/>
      <c r="BC940" s="452"/>
      <c r="BD940" s="2829"/>
      <c r="BE940" s="156"/>
      <c r="BF940" s="156"/>
    </row>
    <row r="941" spans="1:58" hidden="1" outlineLevel="1" x14ac:dyDescent="0.35">
      <c r="A941" s="1071"/>
      <c r="B941" s="106"/>
      <c r="C941" s="103"/>
      <c r="D941" s="4076"/>
      <c r="E941" s="4022"/>
      <c r="F941" s="3937" t="str">
        <f t="shared" ref="F941:F942" si="135">F914</f>
        <v>Mini/MultiSplitASHP-Replace_CAC_NonElectricHeat_ER1_SF</v>
      </c>
      <c r="G941" s="3938"/>
      <c r="H941" s="3939"/>
      <c r="I941" s="2755" t="str">
        <f t="shared" si="134"/>
        <v>351401_2022_12_</v>
      </c>
      <c r="J941" s="2373">
        <v>3.4119999999999999</v>
      </c>
      <c r="K941" s="623"/>
      <c r="L941" s="4084"/>
      <c r="M941" s="1292"/>
      <c r="N941" s="1296"/>
      <c r="O941" s="106"/>
      <c r="P941" s="106"/>
      <c r="Q941" s="106"/>
      <c r="R941" s="106"/>
      <c r="S941" s="106"/>
      <c r="T941" s="106"/>
      <c r="U941" s="106"/>
      <c r="V941" s="4076"/>
      <c r="W941" s="2224"/>
      <c r="X941" s="2374"/>
      <c r="Y941" s="2224"/>
      <c r="Z941" s="2224"/>
      <c r="AA941" s="2224"/>
      <c r="AB941" s="2223"/>
      <c r="AC941" s="2223"/>
      <c r="AD941" s="2373">
        <v>3.4119999999999999</v>
      </c>
      <c r="AE941" s="2224"/>
      <c r="AF941" s="2224"/>
      <c r="AG941" s="580"/>
      <c r="AH941" s="156"/>
      <c r="AI941" s="156"/>
      <c r="AJ941" s="156"/>
      <c r="AK941" s="156"/>
      <c r="AL941" s="156"/>
      <c r="AM941" s="156"/>
      <c r="AN941" s="156"/>
      <c r="AO941" s="156"/>
      <c r="AP941" s="156"/>
      <c r="AQ941" s="156"/>
      <c r="AR941" s="156"/>
      <c r="AS941" s="156"/>
      <c r="AT941" s="156"/>
      <c r="AU941" s="156"/>
      <c r="AV941" s="156"/>
      <c r="AW941" s="156"/>
      <c r="AX941" s="156"/>
      <c r="AY941" s="156"/>
      <c r="AZ941" s="156"/>
      <c r="BA941" s="156"/>
      <c r="BB941" s="2828"/>
      <c r="BC941" s="452"/>
      <c r="BD941" s="2829"/>
      <c r="BE941" s="156"/>
      <c r="BF941" s="156"/>
    </row>
    <row r="942" spans="1:58" hidden="1" outlineLevel="1" x14ac:dyDescent="0.35">
      <c r="A942" s="1071"/>
      <c r="B942" s="106"/>
      <c r="C942" s="103"/>
      <c r="D942" s="4076"/>
      <c r="E942" s="4022"/>
      <c r="F942" s="3937" t="str">
        <f t="shared" si="135"/>
        <v>Mini/MultiSplitASHP-Replace_CAC_NonElectricHeat_ROF_SF</v>
      </c>
      <c r="G942" s="3938"/>
      <c r="H942" s="3939"/>
      <c r="I942" s="2755" t="str">
        <f t="shared" si="134"/>
        <v>351451_2022_12_</v>
      </c>
      <c r="J942" s="2373">
        <v>3.4119999999999999</v>
      </c>
      <c r="K942" s="623"/>
      <c r="L942" s="4084"/>
      <c r="M942" s="1292"/>
      <c r="N942" s="1296"/>
      <c r="O942" s="106"/>
      <c r="P942" s="106"/>
      <c r="Q942" s="106"/>
      <c r="R942" s="106"/>
      <c r="S942" s="106"/>
      <c r="T942" s="106"/>
      <c r="U942" s="106"/>
      <c r="V942" s="4076"/>
      <c r="W942" s="2224"/>
      <c r="X942" s="2374"/>
      <c r="Y942" s="2224"/>
      <c r="Z942" s="2224"/>
      <c r="AA942" s="2224"/>
      <c r="AB942" s="2223"/>
      <c r="AC942" s="2223"/>
      <c r="AD942" s="2373">
        <v>3.4119999999999999</v>
      </c>
      <c r="AE942" s="2224"/>
      <c r="AF942" s="2224"/>
      <c r="AG942" s="580"/>
      <c r="AH942" s="156"/>
      <c r="AI942" s="156"/>
      <c r="AJ942" s="156"/>
      <c r="AK942" s="156"/>
      <c r="AL942" s="156"/>
      <c r="AM942" s="156"/>
      <c r="AN942" s="156"/>
      <c r="AO942" s="156"/>
      <c r="AP942" s="156"/>
      <c r="AQ942" s="156"/>
      <c r="AR942" s="156"/>
      <c r="AS942" s="156"/>
      <c r="AT942" s="156"/>
      <c r="AU942" s="156"/>
      <c r="AV942" s="156"/>
      <c r="AW942" s="156"/>
      <c r="AX942" s="156"/>
      <c r="AY942" s="156"/>
      <c r="AZ942" s="156"/>
      <c r="BA942" s="156"/>
      <c r="BB942" s="2828"/>
      <c r="BC942" s="452"/>
      <c r="BD942" s="2829"/>
      <c r="BE942" s="156"/>
      <c r="BF942" s="156"/>
    </row>
    <row r="943" spans="1:58" hidden="1" outlineLevel="1" x14ac:dyDescent="0.35">
      <c r="A943" s="1071"/>
      <c r="B943" s="106"/>
      <c r="C943" s="103"/>
      <c r="D943" s="4076"/>
      <c r="E943" s="4022"/>
      <c r="F943" s="3934" t="str">
        <f t="shared" ref="F943:F949" si="136">F916</f>
        <v>Mini/MultiSplitASHP_ER1_SF</v>
      </c>
      <c r="G943" s="3935"/>
      <c r="H943" s="3936"/>
      <c r="I943" s="2672" t="str">
        <f t="shared" ref="I943:I951" si="137">I916</f>
        <v>351500_2021_12_</v>
      </c>
      <c r="J943" s="2223">
        <v>6.58</v>
      </c>
      <c r="K943" s="623"/>
      <c r="L943" s="4085"/>
      <c r="M943" s="1304"/>
      <c r="N943" s="1296"/>
      <c r="O943" s="106"/>
      <c r="P943" s="106"/>
      <c r="Q943" s="106"/>
      <c r="R943" s="106"/>
      <c r="S943" s="106"/>
      <c r="T943" s="106"/>
      <c r="U943" s="106"/>
      <c r="V943" s="4076"/>
      <c r="W943" s="2224">
        <v>7.7</v>
      </c>
      <c r="X943" s="2374">
        <v>6.58</v>
      </c>
      <c r="Y943" s="2224">
        <v>6.58</v>
      </c>
      <c r="Z943" s="2224">
        <v>6.58</v>
      </c>
      <c r="AA943" s="2224">
        <v>6.58</v>
      </c>
      <c r="AB943" s="2223">
        <v>6.58</v>
      </c>
      <c r="AC943" s="2223">
        <v>6.58</v>
      </c>
      <c r="AD943" s="2223">
        <v>6.58</v>
      </c>
      <c r="AE943" s="2224"/>
      <c r="AF943" s="2224"/>
      <c r="AG943" s="580"/>
      <c r="AH943" s="156"/>
      <c r="AI943" s="156"/>
      <c r="AJ943" s="156"/>
      <c r="AK943" s="156"/>
      <c r="AL943" s="156"/>
      <c r="AM943" s="156"/>
      <c r="AN943" s="156"/>
      <c r="AO943" s="156"/>
      <c r="AP943" s="156"/>
      <c r="AQ943" s="156"/>
      <c r="AR943" s="156"/>
      <c r="AS943" s="156"/>
      <c r="AT943" s="156"/>
      <c r="AU943" s="156"/>
      <c r="AV943" s="156"/>
      <c r="AW943" s="156"/>
      <c r="AX943" s="156"/>
      <c r="AY943" s="156"/>
      <c r="AZ943" s="156"/>
      <c r="BA943" s="156"/>
      <c r="BB943" s="2828"/>
      <c r="BC943" s="452"/>
      <c r="BD943" s="2829"/>
      <c r="BE943" s="156"/>
      <c r="BF943" s="156"/>
    </row>
    <row r="944" spans="1:58" hidden="1" outlineLevel="1" x14ac:dyDescent="0.35">
      <c r="A944" s="1071"/>
      <c r="B944" s="106"/>
      <c r="C944" s="103"/>
      <c r="D944" s="4076"/>
      <c r="E944" s="4022"/>
      <c r="F944" s="3934" t="str">
        <f t="shared" si="136"/>
        <v>Mini/MultiSplitAC_ER1_MF</v>
      </c>
      <c r="G944" s="3935"/>
      <c r="H944" s="3936"/>
      <c r="I944" s="2672" t="str">
        <f t="shared" si="137"/>
        <v>351550_2021_12_</v>
      </c>
      <c r="J944" s="2223">
        <f t="shared" ref="J944:J951" si="138">J935</f>
        <v>0</v>
      </c>
      <c r="K944" s="623"/>
      <c r="L944" s="624"/>
      <c r="M944" s="1304"/>
      <c r="N944" s="1296"/>
      <c r="O944" s="106"/>
      <c r="P944" s="106"/>
      <c r="Q944" s="106"/>
      <c r="R944" s="106"/>
      <c r="S944" s="106"/>
      <c r="T944" s="106"/>
      <c r="U944" s="106"/>
      <c r="V944" s="4076"/>
      <c r="W944" s="2224"/>
      <c r="X944" s="2374"/>
      <c r="Y944" s="2374">
        <v>0</v>
      </c>
      <c r="Z944" s="2224">
        <v>0</v>
      </c>
      <c r="AA944" s="2224">
        <v>0</v>
      </c>
      <c r="AB944" s="2223">
        <v>0</v>
      </c>
      <c r="AC944" s="2223">
        <v>0</v>
      </c>
      <c r="AD944" s="2223">
        <v>0</v>
      </c>
      <c r="AE944" s="2224"/>
      <c r="AF944" s="2224"/>
      <c r="AG944" s="580"/>
      <c r="AH944" s="156"/>
      <c r="AI944" s="156"/>
      <c r="AJ944" s="156"/>
      <c r="AK944" s="156"/>
      <c r="AL944" s="156"/>
      <c r="AM944" s="156"/>
      <c r="AN944" s="156"/>
      <c r="AO944" s="156"/>
      <c r="AP944" s="156"/>
      <c r="AQ944" s="156"/>
      <c r="AR944" s="156"/>
      <c r="AS944" s="156"/>
      <c r="AT944" s="156"/>
      <c r="AU944" s="156"/>
      <c r="AV944" s="156"/>
      <c r="AW944" s="156"/>
      <c r="AX944" s="156"/>
      <c r="AY944" s="156"/>
      <c r="AZ944" s="156"/>
      <c r="BA944" s="156"/>
      <c r="BB944" s="2828"/>
      <c r="BC944" s="452"/>
      <c r="BD944" s="2829"/>
      <c r="BE944" s="156"/>
      <c r="BF944" s="156"/>
    </row>
    <row r="945" spans="1:58" hidden="1" outlineLevel="1" x14ac:dyDescent="0.35">
      <c r="A945" s="1071"/>
      <c r="B945" s="106"/>
      <c r="C945" s="103"/>
      <c r="D945" s="4076"/>
      <c r="E945" s="4022"/>
      <c r="F945" s="3934" t="str">
        <f t="shared" si="136"/>
        <v>Mini/MultiSplitAC_ROF_MF</v>
      </c>
      <c r="G945" s="3935"/>
      <c r="H945" s="3936"/>
      <c r="I945" s="2672" t="str">
        <f t="shared" si="137"/>
        <v>351600_2021_12_</v>
      </c>
      <c r="J945" s="2223">
        <f t="shared" si="138"/>
        <v>0</v>
      </c>
      <c r="K945" s="623"/>
      <c r="L945" s="624"/>
      <c r="M945" s="1304"/>
      <c r="N945" s="1296"/>
      <c r="O945" s="106"/>
      <c r="P945" s="106"/>
      <c r="Q945" s="106"/>
      <c r="R945" s="106"/>
      <c r="S945" s="106"/>
      <c r="T945" s="106"/>
      <c r="U945" s="106"/>
      <c r="V945" s="4076"/>
      <c r="W945" s="2224"/>
      <c r="X945" s="2374"/>
      <c r="Y945" s="2374">
        <v>0</v>
      </c>
      <c r="Z945" s="2224">
        <v>0</v>
      </c>
      <c r="AA945" s="2224">
        <v>0</v>
      </c>
      <c r="AB945" s="2223">
        <v>0</v>
      </c>
      <c r="AC945" s="2223">
        <v>0</v>
      </c>
      <c r="AD945" s="2223">
        <v>0</v>
      </c>
      <c r="AE945" s="2224"/>
      <c r="AF945" s="2224"/>
      <c r="AG945" s="580"/>
      <c r="AH945" s="156"/>
      <c r="AI945" s="156"/>
      <c r="AJ945" s="156"/>
      <c r="AK945" s="156"/>
      <c r="AL945" s="156"/>
      <c r="AM945" s="156"/>
      <c r="AN945" s="156"/>
      <c r="AO945" s="156"/>
      <c r="AP945" s="156"/>
      <c r="AQ945" s="156"/>
      <c r="AR945" s="156"/>
      <c r="AS945" s="156"/>
      <c r="AT945" s="156"/>
      <c r="AU945" s="156"/>
      <c r="AV945" s="156"/>
      <c r="AW945" s="156"/>
      <c r="AX945" s="156"/>
      <c r="AY945" s="156"/>
      <c r="AZ945" s="156"/>
      <c r="BA945" s="156"/>
      <c r="BB945" s="2828"/>
      <c r="BC945" s="452"/>
      <c r="BD945" s="2829"/>
      <c r="BE945" s="156"/>
      <c r="BF945" s="156"/>
    </row>
    <row r="946" spans="1:58" hidden="1" outlineLevel="1" x14ac:dyDescent="0.35">
      <c r="A946" s="1071"/>
      <c r="B946" s="106"/>
      <c r="C946" s="103"/>
      <c r="D946" s="4076"/>
      <c r="E946" s="4022"/>
      <c r="F946" s="3934" t="str">
        <f t="shared" si="136"/>
        <v>Mini/MultiSplitASHP_ROF_MF_NC</v>
      </c>
      <c r="G946" s="3935"/>
      <c r="H946" s="3936"/>
      <c r="I946" s="2672" t="str">
        <f t="shared" si="137"/>
        <v>351650_2021_12_</v>
      </c>
      <c r="J946" s="2223">
        <f t="shared" si="138"/>
        <v>8.1999999999999993</v>
      </c>
      <c r="K946" s="623"/>
      <c r="L946" s="624"/>
      <c r="M946" s="1304"/>
      <c r="N946" s="1296"/>
      <c r="O946" s="106"/>
      <c r="P946" s="106"/>
      <c r="Q946" s="106"/>
      <c r="R946" s="106"/>
      <c r="S946" s="106"/>
      <c r="T946" s="106"/>
      <c r="U946" s="106"/>
      <c r="V946" s="4076"/>
      <c r="W946" s="2224"/>
      <c r="X946" s="2374"/>
      <c r="Y946" s="2374">
        <v>8.1999999999999993</v>
      </c>
      <c r="Z946" s="2224">
        <v>8.1999999999999993</v>
      </c>
      <c r="AA946" s="2224">
        <v>8.1999999999999993</v>
      </c>
      <c r="AB946" s="2223">
        <v>8.1999999999999993</v>
      </c>
      <c r="AC946" s="2223">
        <v>8.1999999999999993</v>
      </c>
      <c r="AD946" s="2223">
        <v>8.1999999999999993</v>
      </c>
      <c r="AE946" s="2224"/>
      <c r="AF946" s="2224"/>
      <c r="AG946" s="580"/>
      <c r="AH946" s="156"/>
      <c r="AI946" s="156"/>
      <c r="AJ946" s="156"/>
      <c r="AK946" s="156"/>
      <c r="AL946" s="156"/>
      <c r="AM946" s="156"/>
      <c r="AN946" s="156"/>
      <c r="AO946" s="156"/>
      <c r="AP946" s="156"/>
      <c r="AQ946" s="156"/>
      <c r="AR946" s="156"/>
      <c r="AS946" s="156"/>
      <c r="AT946" s="156"/>
      <c r="AU946" s="156"/>
      <c r="AV946" s="156"/>
      <c r="AW946" s="156"/>
      <c r="AX946" s="156"/>
      <c r="AY946" s="156"/>
      <c r="AZ946" s="156"/>
      <c r="BA946" s="156"/>
      <c r="BB946" s="2828"/>
      <c r="BC946" s="452"/>
      <c r="BD946" s="2829"/>
      <c r="BE946" s="156"/>
      <c r="BF946" s="156"/>
    </row>
    <row r="947" spans="1:58" hidden="1" outlineLevel="1" x14ac:dyDescent="0.35">
      <c r="A947" s="1071"/>
      <c r="B947" s="106"/>
      <c r="C947" s="103"/>
      <c r="D947" s="4076"/>
      <c r="E947" s="4022"/>
      <c r="F947" s="3934" t="str">
        <f t="shared" si="136"/>
        <v>Mini/MultiSplitASHP_ROF_MF</v>
      </c>
      <c r="G947" s="3935"/>
      <c r="H947" s="3936"/>
      <c r="I947" s="2672" t="str">
        <f t="shared" si="137"/>
        <v>351700_2021_12_</v>
      </c>
      <c r="J947" s="2223">
        <f t="shared" si="138"/>
        <v>8.1999999999999993</v>
      </c>
      <c r="K947" s="623"/>
      <c r="L947" s="624"/>
      <c r="M947" s="1304"/>
      <c r="N947" s="1296"/>
      <c r="O947" s="106"/>
      <c r="P947" s="106"/>
      <c r="Q947" s="106"/>
      <c r="R947" s="106"/>
      <c r="S947" s="106"/>
      <c r="T947" s="106"/>
      <c r="U947" s="106"/>
      <c r="V947" s="4076"/>
      <c r="W947" s="2224"/>
      <c r="X947" s="2374"/>
      <c r="Y947" s="2374">
        <v>8.1999999999999993</v>
      </c>
      <c r="Z947" s="2224">
        <v>8.1999999999999993</v>
      </c>
      <c r="AA947" s="2224">
        <v>8.1999999999999993</v>
      </c>
      <c r="AB947" s="2223">
        <v>8.1999999999999993</v>
      </c>
      <c r="AC947" s="2223">
        <v>8.1999999999999993</v>
      </c>
      <c r="AD947" s="2223">
        <v>8.1999999999999993</v>
      </c>
      <c r="AE947" s="2224"/>
      <c r="AF947" s="2224"/>
      <c r="AG947" s="580"/>
      <c r="AH947" s="156"/>
      <c r="AI947" s="156"/>
      <c r="AJ947" s="156"/>
      <c r="AK947" s="156"/>
      <c r="AL947" s="156"/>
      <c r="AM947" s="156"/>
      <c r="AN947" s="156"/>
      <c r="AO947" s="156"/>
      <c r="AP947" s="156"/>
      <c r="AQ947" s="156"/>
      <c r="AR947" s="156"/>
      <c r="AS947" s="156"/>
      <c r="AT947" s="156"/>
      <c r="AU947" s="156"/>
      <c r="AV947" s="156"/>
      <c r="AW947" s="156"/>
      <c r="AX947" s="156"/>
      <c r="AY947" s="156"/>
      <c r="AZ947" s="156"/>
      <c r="BA947" s="156"/>
      <c r="BB947" s="2828"/>
      <c r="BC947" s="452"/>
      <c r="BD947" s="2829"/>
      <c r="BE947" s="156"/>
      <c r="BF947" s="156"/>
    </row>
    <row r="948" spans="1:58" hidden="1" outlineLevel="1" x14ac:dyDescent="0.35">
      <c r="A948" s="1071"/>
      <c r="B948" s="106"/>
      <c r="C948" s="103"/>
      <c r="D948" s="4076"/>
      <c r="E948" s="4022"/>
      <c r="F948" s="3934" t="str">
        <f t="shared" si="136"/>
        <v>Mini/MultiSplitASHP-Replace_CAC_ElectricHeat_ER1_MF</v>
      </c>
      <c r="G948" s="3935"/>
      <c r="H948" s="3936"/>
      <c r="I948" s="2672" t="str">
        <f t="shared" si="137"/>
        <v>351750_2021_12_</v>
      </c>
      <c r="J948" s="2223">
        <f t="shared" si="138"/>
        <v>3.4119999999999999</v>
      </c>
      <c r="K948" s="623"/>
      <c r="L948" s="624"/>
      <c r="M948" s="1304"/>
      <c r="N948" s="1296"/>
      <c r="O948" s="106"/>
      <c r="P948" s="106"/>
      <c r="Q948" s="106"/>
      <c r="R948" s="106"/>
      <c r="S948" s="106"/>
      <c r="T948" s="106"/>
      <c r="U948" s="106"/>
      <c r="V948" s="4076"/>
      <c r="W948" s="2224"/>
      <c r="X948" s="2374"/>
      <c r="Y948" s="2374">
        <v>3.4119999999999999</v>
      </c>
      <c r="Z948" s="2224">
        <v>3.4119999999999999</v>
      </c>
      <c r="AA948" s="2224">
        <v>3.4119999999999999</v>
      </c>
      <c r="AB948" s="2223">
        <v>3.4119999999999999</v>
      </c>
      <c r="AC948" s="2223">
        <v>3.4119999999999999</v>
      </c>
      <c r="AD948" s="2223">
        <v>3.4119999999999999</v>
      </c>
      <c r="AE948" s="2224"/>
      <c r="AF948" s="2224"/>
      <c r="AG948" s="580"/>
      <c r="AH948" s="156"/>
      <c r="AI948" s="156"/>
      <c r="AJ948" s="156"/>
      <c r="AK948" s="156"/>
      <c r="AL948" s="156"/>
      <c r="AM948" s="156"/>
      <c r="AN948" s="156"/>
      <c r="AO948" s="156"/>
      <c r="AP948" s="156"/>
      <c r="AQ948" s="156"/>
      <c r="AR948" s="156"/>
      <c r="AS948" s="156"/>
      <c r="AT948" s="156"/>
      <c r="AU948" s="156"/>
      <c r="AV948" s="156"/>
      <c r="AW948" s="156"/>
      <c r="AX948" s="156"/>
      <c r="AY948" s="156"/>
      <c r="AZ948" s="156"/>
      <c r="BA948" s="156"/>
      <c r="BB948" s="2828"/>
      <c r="BC948" s="452"/>
      <c r="BD948" s="2829"/>
      <c r="BE948" s="156"/>
      <c r="BF948" s="156"/>
    </row>
    <row r="949" spans="1:58" hidden="1" outlineLevel="1" x14ac:dyDescent="0.35">
      <c r="A949" s="1071"/>
      <c r="B949" s="106"/>
      <c r="C949" s="103"/>
      <c r="D949" s="4076"/>
      <c r="E949" s="4022"/>
      <c r="F949" s="3934" t="str">
        <f t="shared" si="136"/>
        <v>Mini/MultiSplitASHP-Replace_CAC_ElectricHeat_ROF_MF</v>
      </c>
      <c r="G949" s="3935"/>
      <c r="H949" s="3936"/>
      <c r="I949" s="2672" t="str">
        <f t="shared" si="137"/>
        <v>351800_2021_12_</v>
      </c>
      <c r="J949" s="2223">
        <f t="shared" si="138"/>
        <v>3.4119999999999999</v>
      </c>
      <c r="K949" s="623"/>
      <c r="L949" s="624"/>
      <c r="M949" s="1304"/>
      <c r="N949" s="1296"/>
      <c r="O949" s="106"/>
      <c r="P949" s="106"/>
      <c r="Q949" s="106"/>
      <c r="R949" s="106"/>
      <c r="S949" s="106"/>
      <c r="T949" s="106"/>
      <c r="U949" s="106"/>
      <c r="V949" s="4076"/>
      <c r="W949" s="2224"/>
      <c r="X949" s="2374"/>
      <c r="Y949" s="2374">
        <v>3.4119999999999999</v>
      </c>
      <c r="Z949" s="2224">
        <v>3.4119999999999999</v>
      </c>
      <c r="AA949" s="2224">
        <v>3.4119999999999999</v>
      </c>
      <c r="AB949" s="2223">
        <v>3.4119999999999999</v>
      </c>
      <c r="AC949" s="2223">
        <v>3.4119999999999999</v>
      </c>
      <c r="AD949" s="2223">
        <v>3.4119999999999999</v>
      </c>
      <c r="AE949" s="2224"/>
      <c r="AF949" s="2224"/>
      <c r="AG949" s="580"/>
      <c r="AH949" s="156"/>
      <c r="AI949" s="156"/>
      <c r="AJ949" s="156"/>
      <c r="AK949" s="156"/>
      <c r="AL949" s="156"/>
      <c r="AM949" s="156"/>
      <c r="AN949" s="156"/>
      <c r="AO949" s="156"/>
      <c r="AP949" s="156"/>
      <c r="AQ949" s="156"/>
      <c r="AR949" s="156"/>
      <c r="AS949" s="156"/>
      <c r="AT949" s="156"/>
      <c r="AU949" s="156"/>
      <c r="AV949" s="156"/>
      <c r="AW949" s="156"/>
      <c r="AX949" s="156"/>
      <c r="AY949" s="156"/>
      <c r="AZ949" s="156"/>
      <c r="BA949" s="156"/>
      <c r="BB949" s="2828"/>
      <c r="BC949" s="452"/>
      <c r="BD949" s="2829"/>
      <c r="BE949" s="156"/>
      <c r="BF949" s="156"/>
    </row>
    <row r="950" spans="1:58" hidden="1" outlineLevel="1" x14ac:dyDescent="0.35">
      <c r="A950" s="1071"/>
      <c r="B950" s="106"/>
      <c r="C950" s="103"/>
      <c r="D950" s="4076"/>
      <c r="E950" s="4022"/>
      <c r="F950" s="3937" t="str">
        <f t="shared" ref="F950:F951" si="139">F923</f>
        <v>Mini/MultiSplitASHP-Replace_CAC_NonElectricHeat_ER1_MF</v>
      </c>
      <c r="G950" s="3938"/>
      <c r="H950" s="3939"/>
      <c r="I950" s="2755" t="str">
        <f t="shared" si="137"/>
        <v>351752_2022_12_</v>
      </c>
      <c r="J950" s="2373">
        <f t="shared" si="138"/>
        <v>3.4119999999999999</v>
      </c>
      <c r="K950" s="623"/>
      <c r="L950" s="624"/>
      <c r="M950" s="1304"/>
      <c r="N950" s="1296"/>
      <c r="O950" s="106"/>
      <c r="P950" s="106"/>
      <c r="Q950" s="106"/>
      <c r="R950" s="106"/>
      <c r="S950" s="106"/>
      <c r="T950" s="106"/>
      <c r="U950" s="106"/>
      <c r="V950" s="4076"/>
      <c r="W950" s="2224"/>
      <c r="X950" s="2374"/>
      <c r="Y950" s="2374"/>
      <c r="Z950" s="2224"/>
      <c r="AA950" s="2224"/>
      <c r="AB950" s="2223"/>
      <c r="AC950" s="2223"/>
      <c r="AD950" s="2373">
        <v>3.4119999999999999</v>
      </c>
      <c r="AE950" s="2224"/>
      <c r="AF950" s="2224"/>
      <c r="AG950" s="580"/>
      <c r="AH950" s="156"/>
      <c r="AI950" s="156"/>
      <c r="AJ950" s="156"/>
      <c r="AK950" s="156"/>
      <c r="AL950" s="156"/>
      <c r="AM950" s="156"/>
      <c r="AN950" s="156"/>
      <c r="AO950" s="156"/>
      <c r="AP950" s="156"/>
      <c r="AQ950" s="156"/>
      <c r="AR950" s="156"/>
      <c r="AS950" s="156"/>
      <c r="AT950" s="156"/>
      <c r="AU950" s="156"/>
      <c r="AV950" s="156"/>
      <c r="AW950" s="156"/>
      <c r="AX950" s="156"/>
      <c r="AY950" s="156"/>
      <c r="AZ950" s="156"/>
      <c r="BA950" s="156"/>
      <c r="BB950" s="2828"/>
      <c r="BC950" s="452"/>
      <c r="BD950" s="2829"/>
      <c r="BE950" s="156"/>
      <c r="BF950" s="156"/>
    </row>
    <row r="951" spans="1:58" hidden="1" outlineLevel="1" x14ac:dyDescent="0.35">
      <c r="A951" s="1071"/>
      <c r="B951" s="106"/>
      <c r="C951" s="103"/>
      <c r="D951" s="4076"/>
      <c r="E951" s="4022"/>
      <c r="F951" s="3937" t="str">
        <f t="shared" si="139"/>
        <v>Mini/MultiSplitASHP-Replace_CAC_NonElectricHeat_ROF_MF</v>
      </c>
      <c r="G951" s="3938"/>
      <c r="H951" s="3939"/>
      <c r="I951" s="2755" t="str">
        <f t="shared" si="137"/>
        <v>351802_2022_12_</v>
      </c>
      <c r="J951" s="2373">
        <f t="shared" si="138"/>
        <v>3.4119999999999999</v>
      </c>
      <c r="K951" s="623"/>
      <c r="L951" s="624"/>
      <c r="M951" s="1304"/>
      <c r="N951" s="1296"/>
      <c r="O951" s="106"/>
      <c r="P951" s="106"/>
      <c r="Q951" s="106"/>
      <c r="R951" s="106"/>
      <c r="S951" s="106"/>
      <c r="T951" s="106"/>
      <c r="U951" s="106"/>
      <c r="V951" s="4076"/>
      <c r="W951" s="2224"/>
      <c r="X951" s="2374"/>
      <c r="Y951" s="2374"/>
      <c r="Z951" s="2224"/>
      <c r="AA951" s="2224"/>
      <c r="AB951" s="2223"/>
      <c r="AC951" s="2223"/>
      <c r="AD951" s="2373">
        <v>3.4119999999999999</v>
      </c>
      <c r="AE951" s="2224"/>
      <c r="AF951" s="2224"/>
      <c r="AG951" s="580"/>
      <c r="AH951" s="156"/>
      <c r="AI951" s="156"/>
      <c r="AJ951" s="156"/>
      <c r="AK951" s="156"/>
      <c r="AL951" s="156"/>
      <c r="AM951" s="156"/>
      <c r="AN951" s="156"/>
      <c r="AO951" s="156"/>
      <c r="AP951" s="156"/>
      <c r="AQ951" s="156"/>
      <c r="AR951" s="156"/>
      <c r="AS951" s="156"/>
      <c r="AT951" s="156"/>
      <c r="AU951" s="156"/>
      <c r="AV951" s="156"/>
      <c r="AW951" s="156"/>
      <c r="AX951" s="156"/>
      <c r="AY951" s="156"/>
      <c r="AZ951" s="156"/>
      <c r="BA951" s="156"/>
      <c r="BB951" s="2828"/>
      <c r="BC951" s="452"/>
      <c r="BD951" s="2829"/>
      <c r="BE951" s="156"/>
      <c r="BF951" s="156"/>
    </row>
    <row r="952" spans="1:58" hidden="1" outlineLevel="1" x14ac:dyDescent="0.35">
      <c r="A952" s="1071"/>
      <c r="B952" s="106"/>
      <c r="C952" s="103"/>
      <c r="D952" s="4076"/>
      <c r="E952" s="4022"/>
      <c r="F952" s="3934" t="str">
        <f t="shared" ref="F952:F958" si="140">F925</f>
        <v>Mini/MultiSplitASHP_ER1_MF</v>
      </c>
      <c r="G952" s="3935"/>
      <c r="H952" s="3936"/>
      <c r="I952" s="2672" t="str">
        <f t="shared" ref="I952:I960" si="141">I925</f>
        <v>351850_2021_12_</v>
      </c>
      <c r="J952" s="2223">
        <f t="shared" ref="J952" si="142">J943</f>
        <v>6.58</v>
      </c>
      <c r="K952" s="623"/>
      <c r="L952" s="624"/>
      <c r="M952" s="1304"/>
      <c r="N952" s="1296"/>
      <c r="O952" s="106"/>
      <c r="P952" s="106"/>
      <c r="Q952" s="106"/>
      <c r="R952" s="106"/>
      <c r="S952" s="106"/>
      <c r="T952" s="106"/>
      <c r="U952" s="106"/>
      <c r="V952" s="4076"/>
      <c r="W952" s="2224"/>
      <c r="X952" s="2374"/>
      <c r="Y952" s="2374">
        <v>6.58</v>
      </c>
      <c r="Z952" s="2224">
        <v>6.58</v>
      </c>
      <c r="AA952" s="2224">
        <v>6.58</v>
      </c>
      <c r="AB952" s="2223">
        <v>6.58</v>
      </c>
      <c r="AC952" s="2223">
        <v>6.58</v>
      </c>
      <c r="AD952" s="2223">
        <v>6.58</v>
      </c>
      <c r="AE952" s="2224"/>
      <c r="AF952" s="2224"/>
      <c r="AG952" s="580"/>
      <c r="AH952" s="156"/>
      <c r="AI952" s="156"/>
      <c r="AJ952" s="156"/>
      <c r="AK952" s="156"/>
      <c r="AL952" s="156"/>
      <c r="AM952" s="156"/>
      <c r="AN952" s="156"/>
      <c r="AO952" s="156"/>
      <c r="AP952" s="156"/>
      <c r="AQ952" s="156"/>
      <c r="AR952" s="156"/>
      <c r="AS952" s="156"/>
      <c r="AT952" s="156"/>
      <c r="AU952" s="156"/>
      <c r="AV952" s="156"/>
      <c r="AW952" s="156"/>
      <c r="AX952" s="156"/>
      <c r="AY952" s="156"/>
      <c r="AZ952" s="156"/>
      <c r="BA952" s="156"/>
      <c r="BB952" s="2828"/>
      <c r="BC952" s="452"/>
      <c r="BD952" s="2829"/>
      <c r="BE952" s="156"/>
      <c r="BF952" s="156"/>
    </row>
    <row r="953" spans="1:58" hidden="1" outlineLevel="1" x14ac:dyDescent="0.35">
      <c r="A953" s="1071"/>
      <c r="B953" s="106"/>
      <c r="C953" s="103"/>
      <c r="D953" s="4081"/>
      <c r="E953" s="4023"/>
      <c r="F953" s="3934" t="str">
        <f t="shared" si="140"/>
        <v>Mini/MultiSplitAC_ER1_MF_CompE</v>
      </c>
      <c r="G953" s="3935"/>
      <c r="H953" s="3936"/>
      <c r="I953" s="2672" t="str">
        <f t="shared" si="141"/>
        <v>351551_2021_12_</v>
      </c>
      <c r="J953" s="2223">
        <f t="shared" ref="J953:J960" si="143">J935</f>
        <v>0</v>
      </c>
      <c r="K953" s="623"/>
      <c r="L953" s="624"/>
      <c r="M953" s="1304"/>
      <c r="N953" s="1296"/>
      <c r="O953" s="106"/>
      <c r="P953" s="106"/>
      <c r="Q953" s="106"/>
      <c r="R953" s="106"/>
      <c r="S953" s="106"/>
      <c r="T953" s="106"/>
      <c r="U953" s="106"/>
      <c r="V953" s="4081"/>
      <c r="W953" s="2224"/>
      <c r="X953" s="2374"/>
      <c r="Y953" s="2374">
        <v>0</v>
      </c>
      <c r="Z953" s="2224">
        <v>0</v>
      </c>
      <c r="AA953" s="2224">
        <v>0</v>
      </c>
      <c r="AB953" s="2223">
        <v>0</v>
      </c>
      <c r="AC953" s="2223">
        <v>0</v>
      </c>
      <c r="AD953" s="2223">
        <v>0</v>
      </c>
      <c r="AE953" s="2224"/>
      <c r="AF953" s="2224"/>
      <c r="AG953" s="580"/>
      <c r="AH953" s="156"/>
      <c r="AI953" s="156"/>
      <c r="AJ953" s="156"/>
      <c r="AK953" s="156"/>
      <c r="AL953" s="156"/>
      <c r="AM953" s="156"/>
      <c r="AN953" s="156"/>
      <c r="AO953" s="156"/>
      <c r="AP953" s="156"/>
      <c r="AQ953" s="156"/>
      <c r="AR953" s="156"/>
      <c r="AS953" s="156"/>
      <c r="AT953" s="156"/>
      <c r="AU953" s="156"/>
      <c r="AV953" s="156"/>
      <c r="AW953" s="156"/>
      <c r="AX953" s="156"/>
      <c r="AY953" s="156"/>
      <c r="AZ953" s="156"/>
      <c r="BA953" s="156"/>
      <c r="BB953" s="2828"/>
      <c r="BC953" s="452"/>
      <c r="BD953" s="2829"/>
      <c r="BE953" s="156"/>
      <c r="BF953" s="156"/>
    </row>
    <row r="954" spans="1:58" hidden="1" outlineLevel="1" x14ac:dyDescent="0.35">
      <c r="A954" s="1071"/>
      <c r="B954" s="106"/>
      <c r="C954" s="103"/>
      <c r="D954" s="4081"/>
      <c r="E954" s="4023"/>
      <c r="F954" s="3934" t="str">
        <f t="shared" si="140"/>
        <v>Mini/MultiSplitAC_ROF_MF_CompE</v>
      </c>
      <c r="G954" s="3935"/>
      <c r="H954" s="3936"/>
      <c r="I954" s="2672" t="str">
        <f t="shared" si="141"/>
        <v>351601_2021_12_</v>
      </c>
      <c r="J954" s="2223">
        <f t="shared" si="143"/>
        <v>0</v>
      </c>
      <c r="K954" s="623"/>
      <c r="L954" s="624"/>
      <c r="M954" s="1304"/>
      <c r="N954" s="1296"/>
      <c r="O954" s="106"/>
      <c r="P954" s="106"/>
      <c r="Q954" s="106"/>
      <c r="R954" s="106"/>
      <c r="S954" s="106"/>
      <c r="T954" s="106"/>
      <c r="U954" s="106"/>
      <c r="V954" s="4081"/>
      <c r="W954" s="2224"/>
      <c r="X954" s="2374"/>
      <c r="Y954" s="2374">
        <v>0</v>
      </c>
      <c r="Z954" s="2224">
        <v>0</v>
      </c>
      <c r="AA954" s="2224">
        <v>0</v>
      </c>
      <c r="AB954" s="2223">
        <v>0</v>
      </c>
      <c r="AC954" s="2223">
        <v>0</v>
      </c>
      <c r="AD954" s="2223">
        <v>0</v>
      </c>
      <c r="AE954" s="2224"/>
      <c r="AF954" s="2224"/>
      <c r="AG954" s="580"/>
      <c r="AH954" s="156"/>
      <c r="AI954" s="156"/>
      <c r="AJ954" s="156"/>
      <c r="AK954" s="156"/>
      <c r="AL954" s="156"/>
      <c r="AM954" s="156"/>
      <c r="AN954" s="156"/>
      <c r="AO954" s="156"/>
      <c r="AP954" s="156"/>
      <c r="AQ954" s="156"/>
      <c r="AR954" s="156"/>
      <c r="AS954" s="156"/>
      <c r="AT954" s="156"/>
      <c r="AU954" s="156"/>
      <c r="AV954" s="156"/>
      <c r="AW954" s="156"/>
      <c r="AX954" s="156"/>
      <c r="AY954" s="156"/>
      <c r="AZ954" s="156"/>
      <c r="BA954" s="156"/>
      <c r="BB954" s="2828"/>
      <c r="BC954" s="452"/>
      <c r="BD954" s="2829"/>
      <c r="BE954" s="156"/>
      <c r="BF954" s="156"/>
    </row>
    <row r="955" spans="1:58" hidden="1" outlineLevel="1" x14ac:dyDescent="0.35">
      <c r="A955" s="1071"/>
      <c r="B955" s="106"/>
      <c r="C955" s="103"/>
      <c r="D955" s="4081"/>
      <c r="E955" s="4023"/>
      <c r="F955" s="3934" t="str">
        <f t="shared" si="140"/>
        <v>Mini/MultiSplitASHP_ROF_MF_NC_CompE</v>
      </c>
      <c r="G955" s="3935"/>
      <c r="H955" s="3936"/>
      <c r="I955" s="2672" t="str">
        <f t="shared" si="141"/>
        <v>351651_2021_12_</v>
      </c>
      <c r="J955" s="2223">
        <f t="shared" si="143"/>
        <v>8.1999999999999993</v>
      </c>
      <c r="K955" s="623"/>
      <c r="L955" s="624"/>
      <c r="M955" s="1304"/>
      <c r="N955" s="1296"/>
      <c r="O955" s="106"/>
      <c r="P955" s="106"/>
      <c r="Q955" s="106"/>
      <c r="R955" s="106"/>
      <c r="S955" s="106"/>
      <c r="T955" s="106"/>
      <c r="U955" s="106"/>
      <c r="V955" s="4081"/>
      <c r="W955" s="2224"/>
      <c r="X955" s="2374"/>
      <c r="Y955" s="2374">
        <v>8.1999999999999993</v>
      </c>
      <c r="Z955" s="2224">
        <v>8.1999999999999993</v>
      </c>
      <c r="AA955" s="2224">
        <v>8.1999999999999993</v>
      </c>
      <c r="AB955" s="2223">
        <v>8.1999999999999993</v>
      </c>
      <c r="AC955" s="2223">
        <v>8.1999999999999993</v>
      </c>
      <c r="AD955" s="2223">
        <v>8.1999999999999993</v>
      </c>
      <c r="AE955" s="2224"/>
      <c r="AF955" s="2224"/>
      <c r="AG955" s="580"/>
      <c r="AH955" s="156"/>
      <c r="AI955" s="156"/>
      <c r="AJ955" s="156"/>
      <c r="AK955" s="156"/>
      <c r="AL955" s="156"/>
      <c r="AM955" s="156"/>
      <c r="AN955" s="156"/>
      <c r="AO955" s="156"/>
      <c r="AP955" s="156"/>
      <c r="AQ955" s="156"/>
      <c r="AR955" s="156"/>
      <c r="AS955" s="156"/>
      <c r="AT955" s="156"/>
      <c r="AU955" s="156"/>
      <c r="AV955" s="156"/>
      <c r="AW955" s="156"/>
      <c r="AX955" s="156"/>
      <c r="AY955" s="156"/>
      <c r="AZ955" s="156"/>
      <c r="BA955" s="156"/>
      <c r="BB955" s="2828"/>
      <c r="BC955" s="452"/>
      <c r="BD955" s="2829"/>
      <c r="BE955" s="156"/>
      <c r="BF955" s="156"/>
    </row>
    <row r="956" spans="1:58" hidden="1" outlineLevel="1" x14ac:dyDescent="0.35">
      <c r="A956" s="1071"/>
      <c r="B956" s="106"/>
      <c r="C956" s="103"/>
      <c r="D956" s="4081"/>
      <c r="E956" s="4023"/>
      <c r="F956" s="3934" t="str">
        <f t="shared" si="140"/>
        <v>Mini/MultiSplitASHP_ROF_MF_CompE</v>
      </c>
      <c r="G956" s="3935"/>
      <c r="H956" s="3936"/>
      <c r="I956" s="2672" t="str">
        <f t="shared" si="141"/>
        <v>351701_2021_12_</v>
      </c>
      <c r="J956" s="2223">
        <f t="shared" si="143"/>
        <v>8.1999999999999993</v>
      </c>
      <c r="K956" s="623"/>
      <c r="L956" s="625"/>
      <c r="M956" s="1304"/>
      <c r="N956" s="1296"/>
      <c r="O956" s="106"/>
      <c r="P956" s="106"/>
      <c r="Q956" s="106"/>
      <c r="R956" s="106"/>
      <c r="S956" s="106"/>
      <c r="T956" s="106"/>
      <c r="U956" s="106"/>
      <c r="V956" s="4081"/>
      <c r="W956" s="2224"/>
      <c r="X956" s="2374"/>
      <c r="Y956" s="2374">
        <v>8.1999999999999993</v>
      </c>
      <c r="Z956" s="2224">
        <v>8.1999999999999993</v>
      </c>
      <c r="AA956" s="2224">
        <v>8.1999999999999993</v>
      </c>
      <c r="AB956" s="2223">
        <v>8.1999999999999993</v>
      </c>
      <c r="AC956" s="2223">
        <v>8.1999999999999993</v>
      </c>
      <c r="AD956" s="2223">
        <v>8.1999999999999993</v>
      </c>
      <c r="AE956" s="2224"/>
      <c r="AF956" s="2224"/>
      <c r="AG956" s="580"/>
      <c r="AH956" s="156"/>
      <c r="AI956" s="156"/>
      <c r="AJ956" s="156"/>
      <c r="AK956" s="156"/>
      <c r="AL956" s="156"/>
      <c r="AM956" s="156"/>
      <c r="AN956" s="156"/>
      <c r="AO956" s="156"/>
      <c r="AP956" s="156"/>
      <c r="AQ956" s="156"/>
      <c r="AR956" s="156"/>
      <c r="AS956" s="156"/>
      <c r="AT956" s="156"/>
      <c r="AU956" s="156"/>
      <c r="AV956" s="156"/>
      <c r="AW956" s="156"/>
      <c r="AX956" s="156"/>
      <c r="AY956" s="156"/>
      <c r="AZ956" s="156"/>
      <c r="BA956" s="156"/>
      <c r="BB956" s="2828"/>
      <c r="BC956" s="452"/>
      <c r="BD956" s="2829"/>
      <c r="BE956" s="156"/>
      <c r="BF956" s="156"/>
    </row>
    <row r="957" spans="1:58" hidden="1" outlineLevel="1" x14ac:dyDescent="0.35">
      <c r="A957" s="1071"/>
      <c r="B957" s="106"/>
      <c r="C957" s="103"/>
      <c r="D957" s="4081"/>
      <c r="E957" s="4023"/>
      <c r="F957" s="3934" t="str">
        <f t="shared" si="140"/>
        <v>Mini/MultiSplitASHP-Replace_CAC_ElectricHeat_ER1_MF_CompE</v>
      </c>
      <c r="G957" s="3935"/>
      <c r="H957" s="3936"/>
      <c r="I957" s="2672" t="str">
        <f t="shared" si="141"/>
        <v>351751_2021_12_</v>
      </c>
      <c r="J957" s="2223">
        <f t="shared" si="143"/>
        <v>3.4119999999999999</v>
      </c>
      <c r="K957" s="623"/>
      <c r="L957" s="625"/>
      <c r="M957" s="1304"/>
      <c r="N957" s="1296"/>
      <c r="O957" s="106"/>
      <c r="P957" s="106"/>
      <c r="Q957" s="106"/>
      <c r="R957" s="106"/>
      <c r="S957" s="106"/>
      <c r="T957" s="106"/>
      <c r="U957" s="106"/>
      <c r="V957" s="4081"/>
      <c r="W957" s="2224"/>
      <c r="X957" s="2374"/>
      <c r="Y957" s="2374">
        <v>3.4119999999999999</v>
      </c>
      <c r="Z957" s="2224">
        <v>3.4119999999999999</v>
      </c>
      <c r="AA957" s="2224">
        <v>3.4119999999999999</v>
      </c>
      <c r="AB957" s="2223">
        <v>3.4119999999999999</v>
      </c>
      <c r="AC957" s="2223">
        <v>3.4119999999999999</v>
      </c>
      <c r="AD957" s="2223">
        <v>3.4119999999999999</v>
      </c>
      <c r="AE957" s="2224"/>
      <c r="AF957" s="2224"/>
      <c r="AG957" s="580"/>
      <c r="AH957" s="156"/>
      <c r="AI957" s="156"/>
      <c r="AJ957" s="156"/>
      <c r="AK957" s="156"/>
      <c r="AL957" s="156"/>
      <c r="AM957" s="156"/>
      <c r="AN957" s="156"/>
      <c r="AO957" s="156"/>
      <c r="AP957" s="156"/>
      <c r="AQ957" s="156"/>
      <c r="AR957" s="156"/>
      <c r="AS957" s="156"/>
      <c r="AT957" s="156"/>
      <c r="AU957" s="156"/>
      <c r="AV957" s="156"/>
      <c r="AW957" s="156"/>
      <c r="AX957" s="156"/>
      <c r="AY957" s="156"/>
      <c r="AZ957" s="156"/>
      <c r="BA957" s="156"/>
      <c r="BB957" s="2828"/>
      <c r="BC957" s="452"/>
      <c r="BD957" s="2829"/>
      <c r="BE957" s="156"/>
      <c r="BF957" s="156"/>
    </row>
    <row r="958" spans="1:58" hidden="1" outlineLevel="1" x14ac:dyDescent="0.35">
      <c r="A958" s="1071"/>
      <c r="B958" s="106"/>
      <c r="C958" s="103"/>
      <c r="D958" s="4081"/>
      <c r="E958" s="4023"/>
      <c r="F958" s="3934" t="str">
        <f t="shared" si="140"/>
        <v>Mini/MultiSplitASHP-Replace_CAC_ElectricHeat_ROF_MF_CompE</v>
      </c>
      <c r="G958" s="3935"/>
      <c r="H958" s="3936"/>
      <c r="I958" s="2672" t="str">
        <f t="shared" si="141"/>
        <v>351801_2021_12_</v>
      </c>
      <c r="J958" s="2223">
        <f t="shared" si="143"/>
        <v>3.4119999999999999</v>
      </c>
      <c r="K958" s="623"/>
      <c r="L958" s="625"/>
      <c r="M958" s="1304"/>
      <c r="N958" s="1296"/>
      <c r="O958" s="106"/>
      <c r="P958" s="106"/>
      <c r="Q958" s="106"/>
      <c r="R958" s="106"/>
      <c r="S958" s="106"/>
      <c r="T958" s="106"/>
      <c r="U958" s="106"/>
      <c r="V958" s="4081"/>
      <c r="W958" s="2224"/>
      <c r="X958" s="2374"/>
      <c r="Y958" s="2374">
        <v>3.4119999999999999</v>
      </c>
      <c r="Z958" s="2224">
        <v>3.4119999999999999</v>
      </c>
      <c r="AA958" s="2224">
        <v>3.4119999999999999</v>
      </c>
      <c r="AB958" s="2223">
        <v>3.4119999999999999</v>
      </c>
      <c r="AC958" s="2223">
        <v>3.4119999999999999</v>
      </c>
      <c r="AD958" s="2223">
        <v>3.4119999999999999</v>
      </c>
      <c r="AE958" s="2224"/>
      <c r="AF958" s="2224"/>
      <c r="AG958" s="580"/>
      <c r="AH958" s="156"/>
      <c r="AI958" s="156"/>
      <c r="AJ958" s="156"/>
      <c r="AK958" s="156"/>
      <c r="AL958" s="156"/>
      <c r="AM958" s="156"/>
      <c r="AN958" s="156"/>
      <c r="AO958" s="156"/>
      <c r="AP958" s="156"/>
      <c r="AQ958" s="156"/>
      <c r="AR958" s="156"/>
      <c r="AS958" s="156"/>
      <c r="AT958" s="156"/>
      <c r="AU958" s="156"/>
      <c r="AV958" s="156"/>
      <c r="AW958" s="156"/>
      <c r="AX958" s="156"/>
      <c r="AY958" s="156"/>
      <c r="AZ958" s="156"/>
      <c r="BA958" s="156"/>
      <c r="BB958" s="2828"/>
      <c r="BC958" s="452"/>
      <c r="BD958" s="2829"/>
      <c r="BE958" s="156"/>
      <c r="BF958" s="156"/>
    </row>
    <row r="959" spans="1:58" hidden="1" outlineLevel="1" x14ac:dyDescent="0.35">
      <c r="A959" s="1071"/>
      <c r="B959" s="106"/>
      <c r="C959" s="103"/>
      <c r="D959" s="4081"/>
      <c r="E959" s="4023"/>
      <c r="F959" s="3937" t="str">
        <f t="shared" ref="F959:F960" si="144">F932</f>
        <v>Mini/MultiSplitASHP-Replace_CAC_NonElectricHeat_ER1_MF_CompE</v>
      </c>
      <c r="G959" s="3938"/>
      <c r="H959" s="3939"/>
      <c r="I959" s="2755" t="str">
        <f t="shared" si="141"/>
        <v>351753_2022_12_</v>
      </c>
      <c r="J959" s="2373">
        <f t="shared" si="143"/>
        <v>3.4119999999999999</v>
      </c>
      <c r="K959" s="623"/>
      <c r="L959" s="2761"/>
      <c r="M959" s="1304"/>
      <c r="N959" s="1296"/>
      <c r="O959" s="106"/>
      <c r="P959" s="106"/>
      <c r="Q959" s="106"/>
      <c r="R959" s="106"/>
      <c r="S959" s="106"/>
      <c r="T959" s="106"/>
      <c r="U959" s="106"/>
      <c r="V959" s="4081"/>
      <c r="W959" s="576"/>
      <c r="X959" s="575"/>
      <c r="Y959" s="575"/>
      <c r="Z959" s="576"/>
      <c r="AA959" s="576"/>
      <c r="AB959" s="2223"/>
      <c r="AC959" s="2223"/>
      <c r="AD959" s="2373">
        <v>3.4119999999999999</v>
      </c>
      <c r="AE959" s="576"/>
      <c r="AF959" s="576"/>
      <c r="AG959" s="2758"/>
      <c r="AH959" s="156"/>
      <c r="AI959" s="156"/>
      <c r="AJ959" s="156"/>
      <c r="AK959" s="156"/>
      <c r="AL959" s="156"/>
      <c r="AM959" s="156"/>
      <c r="AN959" s="156"/>
      <c r="AO959" s="156"/>
      <c r="AP959" s="156"/>
      <c r="AQ959" s="156"/>
      <c r="AR959" s="156"/>
      <c r="AS959" s="156"/>
      <c r="AT959" s="156"/>
      <c r="AU959" s="156"/>
      <c r="AV959" s="156"/>
      <c r="AW959" s="156"/>
      <c r="AX959" s="156"/>
      <c r="AY959" s="156"/>
      <c r="AZ959" s="156"/>
      <c r="BA959" s="156"/>
      <c r="BB959" s="2828"/>
      <c r="BC959" s="452"/>
      <c r="BD959" s="2829"/>
      <c r="BE959" s="156"/>
      <c r="BF959" s="156"/>
    </row>
    <row r="960" spans="1:58" hidden="1" outlineLevel="1" x14ac:dyDescent="0.35">
      <c r="A960" s="1071"/>
      <c r="B960" s="106"/>
      <c r="C960" s="103"/>
      <c r="D960" s="4081"/>
      <c r="E960" s="4023"/>
      <c r="F960" s="3937" t="str">
        <f t="shared" si="144"/>
        <v>Mini/MultiSplitASHP-Replace_CAC_NonElectricHeat_ROF_MF_CompE</v>
      </c>
      <c r="G960" s="3938"/>
      <c r="H960" s="3939"/>
      <c r="I960" s="2755" t="str">
        <f t="shared" si="141"/>
        <v>351803_2022_12_</v>
      </c>
      <c r="J960" s="2373">
        <f t="shared" si="143"/>
        <v>3.4119999999999999</v>
      </c>
      <c r="K960" s="623"/>
      <c r="L960" s="2761"/>
      <c r="M960" s="1304"/>
      <c r="N960" s="1296"/>
      <c r="O960" s="106"/>
      <c r="P960" s="106"/>
      <c r="Q960" s="106"/>
      <c r="R960" s="106"/>
      <c r="S960" s="106"/>
      <c r="T960" s="106"/>
      <c r="U960" s="106"/>
      <c r="V960" s="4081"/>
      <c r="W960" s="576"/>
      <c r="X960" s="575"/>
      <c r="Y960" s="575"/>
      <c r="Z960" s="576"/>
      <c r="AA960" s="576"/>
      <c r="AB960" s="2223"/>
      <c r="AC960" s="2223"/>
      <c r="AD960" s="2373">
        <v>3.4119999999999999</v>
      </c>
      <c r="AE960" s="576"/>
      <c r="AF960" s="576"/>
      <c r="AG960" s="2758"/>
      <c r="AH960" s="156"/>
      <c r="AI960" s="156"/>
      <c r="AJ960" s="156"/>
      <c r="AK960" s="156"/>
      <c r="AL960" s="156"/>
      <c r="AM960" s="156"/>
      <c r="AN960" s="156"/>
      <c r="AO960" s="156"/>
      <c r="AP960" s="156"/>
      <c r="AQ960" s="156"/>
      <c r="AR960" s="156"/>
      <c r="AS960" s="156"/>
      <c r="AT960" s="156"/>
      <c r="AU960" s="156"/>
      <c r="AV960" s="156"/>
      <c r="AW960" s="156"/>
      <c r="AX960" s="156"/>
      <c r="AY960" s="156"/>
      <c r="AZ960" s="156"/>
      <c r="BA960" s="156"/>
      <c r="BB960" s="2828"/>
      <c r="BC960" s="452"/>
      <c r="BD960" s="2829"/>
      <c r="BE960" s="156"/>
      <c r="BF960" s="156"/>
    </row>
    <row r="961" spans="1:58" ht="15" hidden="1" outlineLevel="1" thickBot="1" x14ac:dyDescent="0.4">
      <c r="A961" s="1071"/>
      <c r="B961" s="106"/>
      <c r="C961" s="103"/>
      <c r="D961" s="4082"/>
      <c r="E961" s="4024"/>
      <c r="F961" s="3940" t="str">
        <f t="shared" ref="F961:F967" si="145">F934</f>
        <v>Mini/MultiSplitASHP_ER1_MF_CompE</v>
      </c>
      <c r="G961" s="3941"/>
      <c r="H961" s="3942"/>
      <c r="I961" s="2673" t="str">
        <f t="shared" ref="I961:I969" si="146">I934</f>
        <v>351851_2021_12_</v>
      </c>
      <c r="J961" s="2223">
        <f t="shared" ref="J961" si="147">J943</f>
        <v>6.58</v>
      </c>
      <c r="K961" s="623"/>
      <c r="L961" s="1305"/>
      <c r="M961" s="1304"/>
      <c r="N961" s="1296"/>
      <c r="O961" s="106"/>
      <c r="P961" s="106"/>
      <c r="Q961" s="106"/>
      <c r="R961" s="106"/>
      <c r="S961" s="106"/>
      <c r="T961" s="106"/>
      <c r="U961" s="106"/>
      <c r="V961" s="4082"/>
      <c r="W961" s="2227"/>
      <c r="X961" s="2375"/>
      <c r="Y961" s="2375">
        <v>6.58</v>
      </c>
      <c r="Z961" s="2227">
        <v>6.58</v>
      </c>
      <c r="AA961" s="2227">
        <v>6.58</v>
      </c>
      <c r="AB961" s="2223">
        <v>6.58</v>
      </c>
      <c r="AC961" s="2223">
        <v>6.58</v>
      </c>
      <c r="AD961" s="2223">
        <v>6.58</v>
      </c>
      <c r="AE961" s="2227"/>
      <c r="AF961" s="2227"/>
      <c r="AG961" s="626"/>
      <c r="AH961" s="156"/>
      <c r="AI961" s="156"/>
      <c r="AJ961" s="156"/>
      <c r="AK961" s="156"/>
      <c r="AL961" s="156"/>
      <c r="AM961" s="156"/>
      <c r="AN961" s="156"/>
      <c r="AO961" s="156"/>
      <c r="AP961" s="156"/>
      <c r="AQ961" s="156"/>
      <c r="AR961" s="156"/>
      <c r="AS961" s="156"/>
      <c r="AT961" s="156"/>
      <c r="AU961" s="156"/>
      <c r="AV961" s="156"/>
      <c r="AW961" s="156"/>
      <c r="AX961" s="156"/>
      <c r="AY961" s="156"/>
      <c r="AZ961" s="156"/>
      <c r="BA961" s="156"/>
      <c r="BB961" s="2828"/>
      <c r="BC961" s="452"/>
      <c r="BD961" s="2829"/>
      <c r="BE961" s="156"/>
      <c r="BF961" s="156"/>
    </row>
    <row r="962" spans="1:58" hidden="1" outlineLevel="1" x14ac:dyDescent="0.35">
      <c r="A962" s="1071"/>
      <c r="B962" s="106"/>
      <c r="C962" s="103"/>
      <c r="D962" s="4064" t="s">
        <v>1071</v>
      </c>
      <c r="E962" s="4021" t="s">
        <v>1072</v>
      </c>
      <c r="F962" s="3943" t="str">
        <f t="shared" si="145"/>
        <v>Mini/MultiSplitAC_ER1_SF</v>
      </c>
      <c r="G962" s="3944"/>
      <c r="H962" s="3945"/>
      <c r="I962" s="2671" t="str">
        <f t="shared" si="146"/>
        <v>351200_2021_12_</v>
      </c>
      <c r="J962" s="2225">
        <v>0</v>
      </c>
      <c r="K962" s="620"/>
      <c r="L962" s="621"/>
      <c r="M962" s="1304"/>
      <c r="N962" s="1296"/>
      <c r="O962" s="106"/>
      <c r="P962" s="106"/>
      <c r="Q962" s="106"/>
      <c r="R962" s="106"/>
      <c r="S962" s="106"/>
      <c r="T962" s="106"/>
      <c r="U962" s="106"/>
      <c r="V962" s="4064" t="s">
        <v>1071</v>
      </c>
      <c r="W962" s="2228">
        <v>0</v>
      </c>
      <c r="X962" s="2228">
        <v>0</v>
      </c>
      <c r="Y962" s="2228">
        <v>0</v>
      </c>
      <c r="Z962" s="2228">
        <v>0</v>
      </c>
      <c r="AA962" s="2228">
        <v>0</v>
      </c>
      <c r="AB962" s="2225">
        <v>0</v>
      </c>
      <c r="AC962" s="2225">
        <v>0</v>
      </c>
      <c r="AD962" s="2225">
        <v>0</v>
      </c>
      <c r="AE962" s="2228"/>
      <c r="AF962" s="2228"/>
      <c r="AG962" s="622"/>
      <c r="AH962" s="156"/>
      <c r="AI962" s="156"/>
      <c r="AJ962" s="156"/>
      <c r="AK962" s="156"/>
      <c r="AL962" s="156"/>
      <c r="AM962" s="156"/>
      <c r="AN962" s="156"/>
      <c r="AO962" s="156"/>
      <c r="AP962" s="156"/>
      <c r="AQ962" s="156"/>
      <c r="AR962" s="156"/>
      <c r="AS962" s="156"/>
      <c r="AT962" s="156"/>
      <c r="AU962" s="156"/>
      <c r="AV962" s="156"/>
      <c r="AW962" s="156"/>
      <c r="AX962" s="156"/>
      <c r="AY962" s="156"/>
      <c r="AZ962" s="156"/>
      <c r="BA962" s="156"/>
      <c r="BB962" s="2828"/>
      <c r="BC962" s="452"/>
      <c r="BD962" s="2829"/>
      <c r="BE962" s="156"/>
      <c r="BF962" s="156"/>
    </row>
    <row r="963" spans="1:58" hidden="1" outlineLevel="1" x14ac:dyDescent="0.35">
      <c r="A963" s="1071"/>
      <c r="B963" s="106"/>
      <c r="C963" s="103"/>
      <c r="D963" s="4076"/>
      <c r="E963" s="4022"/>
      <c r="F963" s="3934" t="str">
        <f t="shared" si="145"/>
        <v>Mini/MultiSplitAC_ROF_SF</v>
      </c>
      <c r="G963" s="3935"/>
      <c r="H963" s="3936"/>
      <c r="I963" s="2672" t="str">
        <f t="shared" si="146"/>
        <v>351250_2021_12_</v>
      </c>
      <c r="J963" s="2223">
        <v>0</v>
      </c>
      <c r="K963" s="623"/>
      <c r="L963" s="624"/>
      <c r="M963" s="1304"/>
      <c r="N963" s="1296"/>
      <c r="O963" s="106"/>
      <c r="P963" s="106"/>
      <c r="Q963" s="106"/>
      <c r="R963" s="106"/>
      <c r="S963" s="106"/>
      <c r="T963" s="106"/>
      <c r="U963" s="106"/>
      <c r="V963" s="4076"/>
      <c r="W963" s="2224">
        <v>0</v>
      </c>
      <c r="X963" s="2224">
        <v>0</v>
      </c>
      <c r="Y963" s="2224">
        <v>0</v>
      </c>
      <c r="Z963" s="2224">
        <v>0</v>
      </c>
      <c r="AA963" s="2224">
        <v>0</v>
      </c>
      <c r="AB963" s="2223">
        <v>0</v>
      </c>
      <c r="AC963" s="2223">
        <v>0</v>
      </c>
      <c r="AD963" s="2223">
        <v>0</v>
      </c>
      <c r="AE963" s="2224"/>
      <c r="AF963" s="2224"/>
      <c r="AG963" s="580"/>
      <c r="AH963" s="156"/>
      <c r="AI963" s="156"/>
      <c r="AJ963" s="156"/>
      <c r="AK963" s="156"/>
      <c r="AL963" s="156"/>
      <c r="AM963" s="156"/>
      <c r="AN963" s="156"/>
      <c r="AO963" s="156"/>
      <c r="AP963" s="156"/>
      <c r="AQ963" s="156"/>
      <c r="AR963" s="156"/>
      <c r="AS963" s="156"/>
      <c r="AT963" s="156"/>
      <c r="AU963" s="156"/>
      <c r="AV963" s="156"/>
      <c r="AW963" s="156"/>
      <c r="AX963" s="156"/>
      <c r="AY963" s="156"/>
      <c r="AZ963" s="156"/>
      <c r="BA963" s="156"/>
      <c r="BB963" s="2828"/>
      <c r="BC963" s="452"/>
      <c r="BD963" s="2829"/>
      <c r="BE963" s="156"/>
      <c r="BF963" s="156"/>
    </row>
    <row r="964" spans="1:58" hidden="1" outlineLevel="1" x14ac:dyDescent="0.35">
      <c r="A964" s="1071"/>
      <c r="B964" s="106"/>
      <c r="C964" s="103"/>
      <c r="D964" s="4076"/>
      <c r="E964" s="4022"/>
      <c r="F964" s="3934" t="str">
        <f t="shared" si="145"/>
        <v>Mini/MultiSplitASHP_ROF_SF_NC</v>
      </c>
      <c r="G964" s="3935"/>
      <c r="H964" s="3936"/>
      <c r="I964" s="2672" t="str">
        <f t="shared" si="146"/>
        <v>351300_2021_12_</v>
      </c>
      <c r="J964" s="2223">
        <v>5.44</v>
      </c>
      <c r="K964" s="623"/>
      <c r="L964" s="624" t="s">
        <v>1073</v>
      </c>
      <c r="M964" s="1304"/>
      <c r="N964" s="1296"/>
      <c r="O964" s="106"/>
      <c r="P964" s="106"/>
      <c r="Q964" s="106"/>
      <c r="R964" s="106"/>
      <c r="S964" s="106"/>
      <c r="T964" s="106"/>
      <c r="U964" s="106"/>
      <c r="V964" s="4076"/>
      <c r="W964" s="2224">
        <v>5.44</v>
      </c>
      <c r="X964" s="2224">
        <v>5.44</v>
      </c>
      <c r="Y964" s="2224">
        <v>5.44</v>
      </c>
      <c r="Z964" s="2224">
        <v>5.44</v>
      </c>
      <c r="AA964" s="2224">
        <v>5.44</v>
      </c>
      <c r="AB964" s="2223">
        <v>5.44</v>
      </c>
      <c r="AC964" s="2223">
        <v>5.44</v>
      </c>
      <c r="AD964" s="2223">
        <v>5.44</v>
      </c>
      <c r="AE964" s="2224"/>
      <c r="AF964" s="2224"/>
      <c r="AG964" s="580"/>
      <c r="AH964" s="156"/>
      <c r="AI964" s="156"/>
      <c r="AJ964" s="156"/>
      <c r="AK964" s="156"/>
      <c r="AL964" s="156"/>
      <c r="AM964" s="156"/>
      <c r="AN964" s="156"/>
      <c r="AO964" s="156"/>
      <c r="AP964" s="156"/>
      <c r="AQ964" s="156"/>
      <c r="AR964" s="156"/>
      <c r="AS964" s="156"/>
      <c r="AT964" s="156"/>
      <c r="AU964" s="156"/>
      <c r="AV964" s="156"/>
      <c r="AW964" s="156"/>
      <c r="AX964" s="156"/>
      <c r="AY964" s="156"/>
      <c r="AZ964" s="156"/>
      <c r="BA964" s="156"/>
      <c r="BB964" s="2828"/>
      <c r="BC964" s="452"/>
      <c r="BD964" s="2829"/>
      <c r="BE964" s="156"/>
      <c r="BF964" s="156"/>
    </row>
    <row r="965" spans="1:58" hidden="1" outlineLevel="1" x14ac:dyDescent="0.35">
      <c r="A965" s="1071"/>
      <c r="B965" s="106"/>
      <c r="C965" s="103"/>
      <c r="D965" s="4076"/>
      <c r="E965" s="4022"/>
      <c r="F965" s="3934" t="str">
        <f t="shared" si="145"/>
        <v>Mini/MultiSplitASHP_ROF_SF</v>
      </c>
      <c r="G965" s="3935"/>
      <c r="H965" s="3936"/>
      <c r="I965" s="2672" t="str">
        <f t="shared" si="146"/>
        <v>351350_2021_12_</v>
      </c>
      <c r="J965" s="2223">
        <v>5.44</v>
      </c>
      <c r="K965" s="623"/>
      <c r="L965" s="625" t="s">
        <v>1073</v>
      </c>
      <c r="M965" s="1292"/>
      <c r="N965" s="1296"/>
      <c r="O965" s="106"/>
      <c r="P965" s="106"/>
      <c r="Q965" s="106"/>
      <c r="R965" s="106"/>
      <c r="S965" s="106"/>
      <c r="T965" s="106"/>
      <c r="U965" s="106"/>
      <c r="V965" s="4076"/>
      <c r="W965" s="2224">
        <v>5.44</v>
      </c>
      <c r="X965" s="2224">
        <v>5.44</v>
      </c>
      <c r="Y965" s="2224">
        <v>5.44</v>
      </c>
      <c r="Z965" s="2224">
        <v>5.44</v>
      </c>
      <c r="AA965" s="2224">
        <v>5.44</v>
      </c>
      <c r="AB965" s="2223">
        <v>5.44</v>
      </c>
      <c r="AC965" s="2223">
        <v>5.44</v>
      </c>
      <c r="AD965" s="2223">
        <v>5.44</v>
      </c>
      <c r="AE965" s="2224"/>
      <c r="AF965" s="2224"/>
      <c r="AG965" s="580"/>
      <c r="AH965" s="156"/>
      <c r="AI965" s="156"/>
      <c r="AJ965" s="156"/>
      <c r="AK965" s="156"/>
      <c r="AL965" s="156"/>
      <c r="AM965" s="156"/>
      <c r="AN965" s="156"/>
      <c r="AO965" s="156"/>
      <c r="AP965" s="156"/>
      <c r="AQ965" s="156"/>
      <c r="AR965" s="156"/>
      <c r="AS965" s="156"/>
      <c r="AT965" s="156"/>
      <c r="AU965" s="156"/>
      <c r="AV965" s="156"/>
      <c r="AW965" s="156"/>
      <c r="AX965" s="156"/>
      <c r="AY965" s="156"/>
      <c r="AZ965" s="156"/>
      <c r="BA965" s="156"/>
      <c r="BB965" s="2828"/>
      <c r="BC965" s="452"/>
      <c r="BD965" s="2829"/>
      <c r="BE965" s="156"/>
      <c r="BF965" s="156"/>
    </row>
    <row r="966" spans="1:58" hidden="1" outlineLevel="1" x14ac:dyDescent="0.35">
      <c r="A966" s="1071"/>
      <c r="B966" s="106"/>
      <c r="C966" s="103"/>
      <c r="D966" s="4076"/>
      <c r="E966" s="4022"/>
      <c r="F966" s="3934" t="str">
        <f t="shared" si="145"/>
        <v>Mini/MultiSplitASHP-Replace_CAC_ElectricHeat_ER1_SF</v>
      </c>
      <c r="G966" s="3935"/>
      <c r="H966" s="3936"/>
      <c r="I966" s="2672" t="str">
        <f t="shared" si="146"/>
        <v>351400_2021_12_</v>
      </c>
      <c r="J966" s="2223">
        <v>3.4119999999999999</v>
      </c>
      <c r="K966" s="623"/>
      <c r="L966" s="625" t="s">
        <v>1073</v>
      </c>
      <c r="M966" s="1292"/>
      <c r="N966" s="1296"/>
      <c r="O966" s="106"/>
      <c r="P966" s="106"/>
      <c r="Q966" s="106"/>
      <c r="R966" s="106"/>
      <c r="S966" s="106"/>
      <c r="T966" s="106"/>
      <c r="U966" s="106"/>
      <c r="V966" s="4076"/>
      <c r="W966" s="2224">
        <v>3.4119999999999999</v>
      </c>
      <c r="X966" s="2224">
        <v>3.4119999999999999</v>
      </c>
      <c r="Y966" s="2224">
        <v>3.4119999999999999</v>
      </c>
      <c r="Z966" s="2224">
        <v>3.4119999999999999</v>
      </c>
      <c r="AA966" s="2224">
        <v>3.4119999999999999</v>
      </c>
      <c r="AB966" s="2223">
        <v>3.4119999999999999</v>
      </c>
      <c r="AC966" s="2223">
        <v>3.4119999999999999</v>
      </c>
      <c r="AD966" s="2223">
        <v>3.4119999999999999</v>
      </c>
      <c r="AE966" s="2224"/>
      <c r="AF966" s="2224"/>
      <c r="AG966" s="580"/>
      <c r="AH966" s="156"/>
      <c r="AI966" s="156"/>
      <c r="AJ966" s="156"/>
      <c r="AK966" s="156"/>
      <c r="AL966" s="156"/>
      <c r="AM966" s="156"/>
      <c r="AN966" s="156"/>
      <c r="AO966" s="156"/>
      <c r="AP966" s="156"/>
      <c r="AQ966" s="156"/>
      <c r="AR966" s="156"/>
      <c r="AS966" s="156"/>
      <c r="AT966" s="156"/>
      <c r="AU966" s="156"/>
      <c r="AV966" s="156"/>
      <c r="AW966" s="156"/>
      <c r="AX966" s="156"/>
      <c r="AY966" s="156"/>
      <c r="AZ966" s="156"/>
      <c r="BA966" s="156"/>
      <c r="BB966" s="2828"/>
      <c r="BC966" s="452"/>
      <c r="BD966" s="2829"/>
      <c r="BE966" s="156"/>
      <c r="BF966" s="156"/>
    </row>
    <row r="967" spans="1:58" hidden="1" outlineLevel="1" x14ac:dyDescent="0.35">
      <c r="A967" s="1071"/>
      <c r="B967" s="106"/>
      <c r="C967" s="103"/>
      <c r="D967" s="4076"/>
      <c r="E967" s="4022"/>
      <c r="F967" s="3934" t="str">
        <f t="shared" si="145"/>
        <v>Mini/MultiSplitASHP-Replace_CAC_ElectricHeat_ROF_SF</v>
      </c>
      <c r="G967" s="3935"/>
      <c r="H967" s="3936"/>
      <c r="I967" s="2672" t="str">
        <f t="shared" si="146"/>
        <v>351450_2021_12_</v>
      </c>
      <c r="J967" s="2223">
        <v>3.4119999999999999</v>
      </c>
      <c r="K967" s="623"/>
      <c r="L967" s="625" t="s">
        <v>1073</v>
      </c>
      <c r="M967" s="1292"/>
      <c r="N967" s="1296"/>
      <c r="O967" s="106"/>
      <c r="P967" s="106"/>
      <c r="Q967" s="106"/>
      <c r="R967" s="106"/>
      <c r="S967" s="106"/>
      <c r="T967" s="106"/>
      <c r="U967" s="106"/>
      <c r="V967" s="4076"/>
      <c r="W967" s="2224">
        <v>3.4119999999999999</v>
      </c>
      <c r="X967" s="2224">
        <v>3.4119999999999999</v>
      </c>
      <c r="Y967" s="2224">
        <v>3.4119999999999999</v>
      </c>
      <c r="Z967" s="2224">
        <v>3.4119999999999999</v>
      </c>
      <c r="AA967" s="2224">
        <v>3.4119999999999999</v>
      </c>
      <c r="AB967" s="2223">
        <v>3.4119999999999999</v>
      </c>
      <c r="AC967" s="2223">
        <v>3.4119999999999999</v>
      </c>
      <c r="AD967" s="2223">
        <v>3.4119999999999999</v>
      </c>
      <c r="AE967" s="2224"/>
      <c r="AF967" s="2224"/>
      <c r="AG967" s="580"/>
      <c r="AH967" s="156"/>
      <c r="AI967" s="156"/>
      <c r="AJ967" s="156"/>
      <c r="AK967" s="156"/>
      <c r="AL967" s="156"/>
      <c r="AM967" s="156"/>
      <c r="AN967" s="156"/>
      <c r="AO967" s="156"/>
      <c r="AP967" s="156"/>
      <c r="AQ967" s="156"/>
      <c r="AR967" s="156"/>
      <c r="AS967" s="156"/>
      <c r="AT967" s="156"/>
      <c r="AU967" s="156"/>
      <c r="AV967" s="156"/>
      <c r="AW967" s="156"/>
      <c r="AX967" s="156"/>
      <c r="AY967" s="156"/>
      <c r="AZ967" s="156"/>
      <c r="BA967" s="156"/>
      <c r="BB967" s="2828"/>
      <c r="BC967" s="452"/>
      <c r="BD967" s="2829"/>
      <c r="BE967" s="156"/>
      <c r="BF967" s="156"/>
    </row>
    <row r="968" spans="1:58" hidden="1" outlineLevel="1" x14ac:dyDescent="0.35">
      <c r="A968" s="1071"/>
      <c r="B968" s="106"/>
      <c r="C968" s="103"/>
      <c r="D968" s="4076"/>
      <c r="E968" s="4022"/>
      <c r="F968" s="3937" t="str">
        <f t="shared" ref="F968:F969" si="148">F941</f>
        <v>Mini/MultiSplitASHP-Replace_CAC_NonElectricHeat_ER1_SF</v>
      </c>
      <c r="G968" s="3938"/>
      <c r="H968" s="3939"/>
      <c r="I968" s="2755" t="str">
        <f t="shared" si="146"/>
        <v>351401_2022_12_</v>
      </c>
      <c r="J968" s="2373">
        <v>3.4119999999999999</v>
      </c>
      <c r="K968" s="623"/>
      <c r="L968" s="625"/>
      <c r="M968" s="1292"/>
      <c r="N968" s="1296"/>
      <c r="O968" s="106"/>
      <c r="P968" s="106"/>
      <c r="Q968" s="106"/>
      <c r="R968" s="106"/>
      <c r="S968" s="106"/>
      <c r="T968" s="106"/>
      <c r="U968" s="106"/>
      <c r="V968" s="4076"/>
      <c r="W968" s="2224"/>
      <c r="X968" s="2224"/>
      <c r="Y968" s="2224"/>
      <c r="Z968" s="2224"/>
      <c r="AA968" s="2224"/>
      <c r="AB968" s="2223"/>
      <c r="AC968" s="2223"/>
      <c r="AD968" s="2373">
        <v>3.4119999999999999</v>
      </c>
      <c r="AE968" s="2224"/>
      <c r="AF968" s="2224"/>
      <c r="AG968" s="580"/>
      <c r="AH968" s="156"/>
      <c r="AI968" s="156"/>
      <c r="AJ968" s="156"/>
      <c r="AK968" s="156"/>
      <c r="AL968" s="156"/>
      <c r="AM968" s="156"/>
      <c r="AN968" s="156"/>
      <c r="AO968" s="156"/>
      <c r="AP968" s="156"/>
      <c r="AQ968" s="156"/>
      <c r="AR968" s="156"/>
      <c r="AS968" s="156"/>
      <c r="AT968" s="156"/>
      <c r="AU968" s="156"/>
      <c r="AV968" s="156"/>
      <c r="AW968" s="156"/>
      <c r="AX968" s="156"/>
      <c r="AY968" s="156"/>
      <c r="AZ968" s="156"/>
      <c r="BA968" s="156"/>
      <c r="BB968" s="2828"/>
      <c r="BC968" s="452"/>
      <c r="BD968" s="2829"/>
      <c r="BE968" s="156"/>
      <c r="BF968" s="156"/>
    </row>
    <row r="969" spans="1:58" hidden="1" outlineLevel="1" x14ac:dyDescent="0.35">
      <c r="A969" s="1071"/>
      <c r="B969" s="106"/>
      <c r="C969" s="103"/>
      <c r="D969" s="4076"/>
      <c r="E969" s="4022"/>
      <c r="F969" s="3937" t="str">
        <f t="shared" si="148"/>
        <v>Mini/MultiSplitASHP-Replace_CAC_NonElectricHeat_ROF_SF</v>
      </c>
      <c r="G969" s="3938"/>
      <c r="H969" s="3939"/>
      <c r="I969" s="2755" t="str">
        <f t="shared" si="146"/>
        <v>351451_2022_12_</v>
      </c>
      <c r="J969" s="2373">
        <v>3.4119999999999999</v>
      </c>
      <c r="K969" s="623"/>
      <c r="L969" s="625"/>
      <c r="M969" s="1292"/>
      <c r="N969" s="1296"/>
      <c r="O969" s="106"/>
      <c r="P969" s="106"/>
      <c r="Q969" s="106"/>
      <c r="R969" s="106"/>
      <c r="S969" s="106"/>
      <c r="T969" s="106"/>
      <c r="U969" s="106"/>
      <c r="V969" s="4076"/>
      <c r="W969" s="2224"/>
      <c r="X969" s="2224"/>
      <c r="Y969" s="2224"/>
      <c r="Z969" s="2224"/>
      <c r="AA969" s="2224"/>
      <c r="AB969" s="2223"/>
      <c r="AC969" s="2223"/>
      <c r="AD969" s="2373">
        <v>3.4119999999999999</v>
      </c>
      <c r="AE969" s="2224"/>
      <c r="AF969" s="2224"/>
      <c r="AG969" s="580"/>
      <c r="AH969" s="156"/>
      <c r="AI969" s="156"/>
      <c r="AJ969" s="156"/>
      <c r="AK969" s="156"/>
      <c r="AL969" s="156"/>
      <c r="AM969" s="156"/>
      <c r="AN969" s="156"/>
      <c r="AO969" s="156"/>
      <c r="AP969" s="156"/>
      <c r="AQ969" s="156"/>
      <c r="AR969" s="156"/>
      <c r="AS969" s="156"/>
      <c r="AT969" s="156"/>
      <c r="AU969" s="156"/>
      <c r="AV969" s="156"/>
      <c r="AW969" s="156"/>
      <c r="AX969" s="156"/>
      <c r="AY969" s="156"/>
      <c r="AZ969" s="156"/>
      <c r="BA969" s="156"/>
      <c r="BB969" s="2828"/>
      <c r="BC969" s="452"/>
      <c r="BD969" s="2829"/>
      <c r="BE969" s="156"/>
      <c r="BF969" s="156"/>
    </row>
    <row r="970" spans="1:58" hidden="1" outlineLevel="1" x14ac:dyDescent="0.35">
      <c r="A970" s="1071"/>
      <c r="B970" s="106"/>
      <c r="C970" s="103"/>
      <c r="D970" s="4076"/>
      <c r="E970" s="4022"/>
      <c r="F970" s="3934" t="str">
        <f t="shared" ref="F970:F976" si="149">F943</f>
        <v>Mini/MultiSplitASHP_ER1_SF</v>
      </c>
      <c r="G970" s="3935"/>
      <c r="H970" s="3936"/>
      <c r="I970" s="2672" t="str">
        <f t="shared" ref="I970:I978" si="150">I943</f>
        <v>351500_2021_12_</v>
      </c>
      <c r="J970" s="2223">
        <v>5.44</v>
      </c>
      <c r="K970" s="623"/>
      <c r="L970" s="625" t="s">
        <v>1073</v>
      </c>
      <c r="M970" s="1304"/>
      <c r="N970" s="1296"/>
      <c r="O970" s="106"/>
      <c r="P970" s="106"/>
      <c r="Q970" s="106"/>
      <c r="R970" s="106"/>
      <c r="S970" s="106"/>
      <c r="T970" s="106"/>
      <c r="U970" s="106"/>
      <c r="V970" s="4076"/>
      <c r="W970" s="2224">
        <v>5.44</v>
      </c>
      <c r="X970" s="2224">
        <v>5.44</v>
      </c>
      <c r="Y970" s="2224">
        <v>5.44</v>
      </c>
      <c r="Z970" s="2224">
        <v>5.44</v>
      </c>
      <c r="AA970" s="2224">
        <v>5.44</v>
      </c>
      <c r="AB970" s="2223">
        <v>5.44</v>
      </c>
      <c r="AC970" s="2223">
        <v>5.44</v>
      </c>
      <c r="AD970" s="2223">
        <v>5.44</v>
      </c>
      <c r="AE970" s="2224"/>
      <c r="AF970" s="2224"/>
      <c r="AG970" s="580"/>
      <c r="AH970" s="156"/>
      <c r="AI970" s="156"/>
      <c r="AJ970" s="156"/>
      <c r="AK970" s="156"/>
      <c r="AL970" s="156"/>
      <c r="AM970" s="156"/>
      <c r="AN970" s="156"/>
      <c r="AO970" s="156"/>
      <c r="AP970" s="156"/>
      <c r="AQ970" s="156"/>
      <c r="AR970" s="156"/>
      <c r="AS970" s="156"/>
      <c r="AT970" s="156"/>
      <c r="AU970" s="156"/>
      <c r="AV970" s="156"/>
      <c r="AW970" s="156"/>
      <c r="AX970" s="156"/>
      <c r="AY970" s="156"/>
      <c r="AZ970" s="156"/>
      <c r="BA970" s="156"/>
      <c r="BB970" s="2828"/>
      <c r="BC970" s="452"/>
      <c r="BD970" s="2829"/>
      <c r="BE970" s="156"/>
      <c r="BF970" s="156"/>
    </row>
    <row r="971" spans="1:58" hidden="1" outlineLevel="1" x14ac:dyDescent="0.35">
      <c r="A971" s="1071"/>
      <c r="B971" s="106"/>
      <c r="C971" s="103"/>
      <c r="D971" s="4076"/>
      <c r="E971" s="4022"/>
      <c r="F971" s="3934" t="str">
        <f t="shared" si="149"/>
        <v>Mini/MultiSplitAC_ER1_MF</v>
      </c>
      <c r="G971" s="3935"/>
      <c r="H971" s="3936"/>
      <c r="I971" s="2672" t="str">
        <f t="shared" si="150"/>
        <v>351550_2021_12_</v>
      </c>
      <c r="J971" s="2223">
        <f t="shared" ref="J971:J978" si="151">J962</f>
        <v>0</v>
      </c>
      <c r="K971" s="623"/>
      <c r="L971" s="624"/>
      <c r="M971" s="1304"/>
      <c r="N971" s="1296"/>
      <c r="O971" s="106"/>
      <c r="P971" s="106"/>
      <c r="Q971" s="106"/>
      <c r="R971" s="106"/>
      <c r="S971" s="106"/>
      <c r="T971" s="106"/>
      <c r="U971" s="106"/>
      <c r="V971" s="4076"/>
      <c r="W971" s="2224"/>
      <c r="X971" s="2374"/>
      <c r="Y971" s="2374">
        <v>0</v>
      </c>
      <c r="Z971" s="2224">
        <v>0</v>
      </c>
      <c r="AA971" s="2224">
        <v>0</v>
      </c>
      <c r="AB971" s="2223">
        <v>0</v>
      </c>
      <c r="AC971" s="2223">
        <v>0</v>
      </c>
      <c r="AD971" s="2223">
        <v>0</v>
      </c>
      <c r="AE971" s="2224"/>
      <c r="AF971" s="2224"/>
      <c r="AG971" s="580"/>
      <c r="AH971" s="156"/>
      <c r="AI971" s="156"/>
      <c r="AJ971" s="156"/>
      <c r="AK971" s="156"/>
      <c r="AL971" s="156"/>
      <c r="AM971" s="156"/>
      <c r="AN971" s="156"/>
      <c r="AO971" s="156"/>
      <c r="AP971" s="156"/>
      <c r="AQ971" s="156"/>
      <c r="AR971" s="156"/>
      <c r="AS971" s="156"/>
      <c r="AT971" s="156"/>
      <c r="AU971" s="156"/>
      <c r="AV971" s="156"/>
      <c r="AW971" s="156"/>
      <c r="AX971" s="156"/>
      <c r="AY971" s="156"/>
      <c r="AZ971" s="156"/>
      <c r="BA971" s="156"/>
      <c r="BB971" s="2828"/>
      <c r="BC971" s="452"/>
      <c r="BD971" s="2829"/>
      <c r="BE971" s="156"/>
      <c r="BF971" s="156"/>
    </row>
    <row r="972" spans="1:58" hidden="1" outlineLevel="1" x14ac:dyDescent="0.35">
      <c r="A972" s="1071"/>
      <c r="B972" s="106"/>
      <c r="C972" s="103"/>
      <c r="D972" s="4076"/>
      <c r="E972" s="4022"/>
      <c r="F972" s="3934" t="str">
        <f t="shared" si="149"/>
        <v>Mini/MultiSplitAC_ROF_MF</v>
      </c>
      <c r="G972" s="3935"/>
      <c r="H972" s="3936"/>
      <c r="I972" s="2672" t="str">
        <f t="shared" si="150"/>
        <v>351600_2021_12_</v>
      </c>
      <c r="J972" s="2223">
        <f t="shared" si="151"/>
        <v>0</v>
      </c>
      <c r="K972" s="623"/>
      <c r="L972" s="624"/>
      <c r="M972" s="1304"/>
      <c r="N972" s="1296"/>
      <c r="O972" s="106"/>
      <c r="P972" s="106"/>
      <c r="Q972" s="106"/>
      <c r="R972" s="106"/>
      <c r="S972" s="106"/>
      <c r="T972" s="106"/>
      <c r="U972" s="106"/>
      <c r="V972" s="4076"/>
      <c r="W972" s="2224"/>
      <c r="X972" s="2374"/>
      <c r="Y972" s="2374">
        <v>0</v>
      </c>
      <c r="Z972" s="2224">
        <v>0</v>
      </c>
      <c r="AA972" s="2224">
        <v>0</v>
      </c>
      <c r="AB972" s="2223">
        <v>0</v>
      </c>
      <c r="AC972" s="2223">
        <v>0</v>
      </c>
      <c r="AD972" s="2223">
        <v>0</v>
      </c>
      <c r="AE972" s="2224"/>
      <c r="AF972" s="2224"/>
      <c r="AG972" s="580"/>
      <c r="AH972" s="156"/>
      <c r="AI972" s="156"/>
      <c r="AJ972" s="156"/>
      <c r="AK972" s="156"/>
      <c r="AL972" s="156"/>
      <c r="AM972" s="156"/>
      <c r="AN972" s="156"/>
      <c r="AO972" s="156"/>
      <c r="AP972" s="156"/>
      <c r="AQ972" s="156"/>
      <c r="AR972" s="156"/>
      <c r="AS972" s="156"/>
      <c r="AT972" s="156"/>
      <c r="AU972" s="156"/>
      <c r="AV972" s="156"/>
      <c r="AW972" s="156"/>
      <c r="AX972" s="156"/>
      <c r="AY972" s="156"/>
      <c r="AZ972" s="156"/>
      <c r="BA972" s="156"/>
      <c r="BB972" s="2828"/>
      <c r="BC972" s="452"/>
      <c r="BD972" s="2829"/>
      <c r="BE972" s="156"/>
      <c r="BF972" s="156"/>
    </row>
    <row r="973" spans="1:58" hidden="1" outlineLevel="1" x14ac:dyDescent="0.35">
      <c r="A973" s="1071"/>
      <c r="B973" s="106"/>
      <c r="C973" s="103"/>
      <c r="D973" s="4076"/>
      <c r="E973" s="4022"/>
      <c r="F973" s="3934" t="str">
        <f t="shared" si="149"/>
        <v>Mini/MultiSplitASHP_ROF_MF_NC</v>
      </c>
      <c r="G973" s="3935"/>
      <c r="H973" s="3936"/>
      <c r="I973" s="2672" t="str">
        <f t="shared" si="150"/>
        <v>351650_2021_12_</v>
      </c>
      <c r="J973" s="2223">
        <f t="shared" si="151"/>
        <v>5.44</v>
      </c>
      <c r="K973" s="623"/>
      <c r="L973" s="624"/>
      <c r="M973" s="1304"/>
      <c r="N973" s="1296"/>
      <c r="O973" s="106"/>
      <c r="P973" s="106"/>
      <c r="Q973" s="106"/>
      <c r="R973" s="106"/>
      <c r="S973" s="106"/>
      <c r="T973" s="106"/>
      <c r="U973" s="106"/>
      <c r="V973" s="4076"/>
      <c r="W973" s="2224"/>
      <c r="X973" s="2374"/>
      <c r="Y973" s="2374">
        <v>5.44</v>
      </c>
      <c r="Z973" s="2224">
        <v>5.44</v>
      </c>
      <c r="AA973" s="2224">
        <v>5.44</v>
      </c>
      <c r="AB973" s="2223">
        <v>5.44</v>
      </c>
      <c r="AC973" s="2223">
        <v>5.44</v>
      </c>
      <c r="AD973" s="2223">
        <v>5.44</v>
      </c>
      <c r="AE973" s="2224"/>
      <c r="AF973" s="2224"/>
      <c r="AG973" s="580"/>
      <c r="AH973" s="156"/>
      <c r="AI973" s="156"/>
      <c r="AJ973" s="156"/>
      <c r="AK973" s="156"/>
      <c r="AL973" s="156"/>
      <c r="AM973" s="156"/>
      <c r="AN973" s="156"/>
      <c r="AO973" s="156"/>
      <c r="AP973" s="156"/>
      <c r="AQ973" s="156"/>
      <c r="AR973" s="156"/>
      <c r="AS973" s="156"/>
      <c r="AT973" s="156"/>
      <c r="AU973" s="156"/>
      <c r="AV973" s="156"/>
      <c r="AW973" s="156"/>
      <c r="AX973" s="156"/>
      <c r="AY973" s="156"/>
      <c r="AZ973" s="156"/>
      <c r="BA973" s="156"/>
      <c r="BB973" s="2828"/>
      <c r="BC973" s="452"/>
      <c r="BD973" s="2829"/>
      <c r="BE973" s="156"/>
      <c r="BF973" s="156"/>
    </row>
    <row r="974" spans="1:58" hidden="1" outlineLevel="1" x14ac:dyDescent="0.35">
      <c r="A974" s="1071"/>
      <c r="B974" s="106"/>
      <c r="C974" s="103"/>
      <c r="D974" s="4076"/>
      <c r="E974" s="4022"/>
      <c r="F974" s="3934" t="str">
        <f t="shared" si="149"/>
        <v>Mini/MultiSplitASHP_ROF_MF</v>
      </c>
      <c r="G974" s="3935"/>
      <c r="H974" s="3936"/>
      <c r="I974" s="2672" t="str">
        <f t="shared" si="150"/>
        <v>351700_2021_12_</v>
      </c>
      <c r="J974" s="2223">
        <f t="shared" si="151"/>
        <v>5.44</v>
      </c>
      <c r="K974" s="623"/>
      <c r="L974" s="624"/>
      <c r="M974" s="1304"/>
      <c r="N974" s="1296"/>
      <c r="O974" s="106"/>
      <c r="P974" s="106"/>
      <c r="Q974" s="106"/>
      <c r="R974" s="106"/>
      <c r="S974" s="106"/>
      <c r="T974" s="106"/>
      <c r="U974" s="106"/>
      <c r="V974" s="4076"/>
      <c r="W974" s="2224"/>
      <c r="X974" s="2374"/>
      <c r="Y974" s="2374">
        <v>5.44</v>
      </c>
      <c r="Z974" s="2224">
        <v>5.44</v>
      </c>
      <c r="AA974" s="2224">
        <v>5.44</v>
      </c>
      <c r="AB974" s="2223">
        <v>5.44</v>
      </c>
      <c r="AC974" s="2223">
        <v>5.44</v>
      </c>
      <c r="AD974" s="2223">
        <v>5.44</v>
      </c>
      <c r="AE974" s="2224"/>
      <c r="AF974" s="2224"/>
      <c r="AG974" s="580"/>
      <c r="AH974" s="156"/>
      <c r="AI974" s="156"/>
      <c r="AJ974" s="156"/>
      <c r="AK974" s="156"/>
      <c r="AL974" s="156"/>
      <c r="AM974" s="156"/>
      <c r="AN974" s="156"/>
      <c r="AO974" s="156"/>
      <c r="AP974" s="156"/>
      <c r="AQ974" s="156"/>
      <c r="AR974" s="156"/>
      <c r="AS974" s="156"/>
      <c r="AT974" s="156"/>
      <c r="AU974" s="156"/>
      <c r="AV974" s="156"/>
      <c r="AW974" s="156"/>
      <c r="AX974" s="156"/>
      <c r="AY974" s="156"/>
      <c r="AZ974" s="156"/>
      <c r="BA974" s="156"/>
      <c r="BB974" s="2828"/>
      <c r="BC974" s="452"/>
      <c r="BD974" s="2829"/>
      <c r="BE974" s="156"/>
      <c r="BF974" s="156"/>
    </row>
    <row r="975" spans="1:58" hidden="1" outlineLevel="1" x14ac:dyDescent="0.35">
      <c r="A975" s="1071"/>
      <c r="B975" s="106"/>
      <c r="C975" s="103"/>
      <c r="D975" s="4076"/>
      <c r="E975" s="4022"/>
      <c r="F975" s="3934" t="str">
        <f t="shared" si="149"/>
        <v>Mini/MultiSplitASHP-Replace_CAC_ElectricHeat_ER1_MF</v>
      </c>
      <c r="G975" s="3935"/>
      <c r="H975" s="3936"/>
      <c r="I975" s="2672" t="str">
        <f t="shared" si="150"/>
        <v>351750_2021_12_</v>
      </c>
      <c r="J975" s="2223">
        <f t="shared" si="151"/>
        <v>3.4119999999999999</v>
      </c>
      <c r="K975" s="623"/>
      <c r="L975" s="624"/>
      <c r="M975" s="1304"/>
      <c r="N975" s="1296"/>
      <c r="O975" s="106"/>
      <c r="P975" s="106"/>
      <c r="Q975" s="106"/>
      <c r="R975" s="106"/>
      <c r="S975" s="106"/>
      <c r="T975" s="106"/>
      <c r="U975" s="106"/>
      <c r="V975" s="4076"/>
      <c r="W975" s="2224"/>
      <c r="X975" s="2374"/>
      <c r="Y975" s="2374">
        <v>3.4119999999999999</v>
      </c>
      <c r="Z975" s="2224">
        <v>3.4119999999999999</v>
      </c>
      <c r="AA975" s="2224">
        <v>3.4119999999999999</v>
      </c>
      <c r="AB975" s="2223">
        <v>3.4119999999999999</v>
      </c>
      <c r="AC975" s="2223">
        <v>3.4119999999999999</v>
      </c>
      <c r="AD975" s="2223">
        <v>3.4119999999999999</v>
      </c>
      <c r="AE975" s="2224"/>
      <c r="AF975" s="2224"/>
      <c r="AG975" s="580"/>
      <c r="AH975" s="156"/>
      <c r="AI975" s="156"/>
      <c r="AJ975" s="156"/>
      <c r="AK975" s="156"/>
      <c r="AL975" s="156"/>
      <c r="AM975" s="156"/>
      <c r="AN975" s="156"/>
      <c r="AO975" s="156"/>
      <c r="AP975" s="156"/>
      <c r="AQ975" s="156"/>
      <c r="AR975" s="156"/>
      <c r="AS975" s="156"/>
      <c r="AT975" s="156"/>
      <c r="AU975" s="156"/>
      <c r="AV975" s="156"/>
      <c r="AW975" s="156"/>
      <c r="AX975" s="156"/>
      <c r="AY975" s="156"/>
      <c r="AZ975" s="156"/>
      <c r="BA975" s="156"/>
      <c r="BB975" s="2828"/>
      <c r="BC975" s="452"/>
      <c r="BD975" s="2829"/>
      <c r="BE975" s="156"/>
      <c r="BF975" s="156"/>
    </row>
    <row r="976" spans="1:58" hidden="1" outlineLevel="1" x14ac:dyDescent="0.35">
      <c r="A976" s="1071"/>
      <c r="B976" s="106"/>
      <c r="C976" s="103"/>
      <c r="D976" s="4076"/>
      <c r="E976" s="4022"/>
      <c r="F976" s="3934" t="str">
        <f t="shared" si="149"/>
        <v>Mini/MultiSplitASHP-Replace_CAC_ElectricHeat_ROF_MF</v>
      </c>
      <c r="G976" s="3935"/>
      <c r="H976" s="3936"/>
      <c r="I976" s="2672" t="str">
        <f t="shared" si="150"/>
        <v>351800_2021_12_</v>
      </c>
      <c r="J976" s="2223">
        <f t="shared" si="151"/>
        <v>3.4119999999999999</v>
      </c>
      <c r="K976" s="623"/>
      <c r="L976" s="624"/>
      <c r="M976" s="1304"/>
      <c r="N976" s="1296"/>
      <c r="O976" s="106"/>
      <c r="P976" s="106"/>
      <c r="Q976" s="106"/>
      <c r="R976" s="106"/>
      <c r="S976" s="106"/>
      <c r="T976" s="106"/>
      <c r="U976" s="106"/>
      <c r="V976" s="4076"/>
      <c r="W976" s="2224"/>
      <c r="X976" s="2374"/>
      <c r="Y976" s="2374">
        <v>3.4119999999999999</v>
      </c>
      <c r="Z976" s="2224">
        <v>3.4119999999999999</v>
      </c>
      <c r="AA976" s="2224">
        <v>3.4119999999999999</v>
      </c>
      <c r="AB976" s="2223">
        <v>3.4119999999999999</v>
      </c>
      <c r="AC976" s="2223">
        <v>3.4119999999999999</v>
      </c>
      <c r="AD976" s="2223">
        <v>3.4119999999999999</v>
      </c>
      <c r="AE976" s="2224"/>
      <c r="AF976" s="2224"/>
      <c r="AG976" s="580"/>
      <c r="AH976" s="156"/>
      <c r="AI976" s="156"/>
      <c r="AJ976" s="156"/>
      <c r="AK976" s="156"/>
      <c r="AL976" s="156"/>
      <c r="AM976" s="156"/>
      <c r="AN976" s="156"/>
      <c r="AO976" s="156"/>
      <c r="AP976" s="156"/>
      <c r="AQ976" s="156"/>
      <c r="AR976" s="156"/>
      <c r="AS976" s="156"/>
      <c r="AT976" s="156"/>
      <c r="AU976" s="156"/>
      <c r="AV976" s="156"/>
      <c r="AW976" s="156"/>
      <c r="AX976" s="156"/>
      <c r="AY976" s="156"/>
      <c r="AZ976" s="156"/>
      <c r="BA976" s="156"/>
      <c r="BB976" s="2828"/>
      <c r="BC976" s="452"/>
      <c r="BD976" s="2829"/>
      <c r="BE976" s="156"/>
      <c r="BF976" s="156"/>
    </row>
    <row r="977" spans="1:58" hidden="1" outlineLevel="1" x14ac:dyDescent="0.35">
      <c r="A977" s="1071"/>
      <c r="B977" s="106"/>
      <c r="C977" s="103"/>
      <c r="D977" s="4076"/>
      <c r="E977" s="4022"/>
      <c r="F977" s="3937" t="str">
        <f t="shared" ref="F977:F978" si="152">F950</f>
        <v>Mini/MultiSplitASHP-Replace_CAC_NonElectricHeat_ER1_MF</v>
      </c>
      <c r="G977" s="3938"/>
      <c r="H977" s="3939"/>
      <c r="I977" s="2755" t="str">
        <f t="shared" si="150"/>
        <v>351752_2022_12_</v>
      </c>
      <c r="J977" s="2373">
        <f t="shared" si="151"/>
        <v>3.4119999999999999</v>
      </c>
      <c r="K977" s="623"/>
      <c r="L977" s="624"/>
      <c r="M977" s="1304"/>
      <c r="N977" s="1296"/>
      <c r="O977" s="106"/>
      <c r="P977" s="106"/>
      <c r="Q977" s="106"/>
      <c r="R977" s="106"/>
      <c r="S977" s="106"/>
      <c r="T977" s="106"/>
      <c r="U977" s="106"/>
      <c r="V977" s="4076"/>
      <c r="W977" s="2224"/>
      <c r="X977" s="2374"/>
      <c r="Y977" s="2374"/>
      <c r="Z977" s="2224"/>
      <c r="AA977" s="2224"/>
      <c r="AB977" s="2223"/>
      <c r="AC977" s="2223"/>
      <c r="AD977" s="2373">
        <v>3.4119999999999999</v>
      </c>
      <c r="AE977" s="2224"/>
      <c r="AF977" s="2224"/>
      <c r="AG977" s="580"/>
      <c r="AH977" s="156"/>
      <c r="AI977" s="156"/>
      <c r="AJ977" s="156"/>
      <c r="AK977" s="156"/>
      <c r="AL977" s="156"/>
      <c r="AM977" s="156"/>
      <c r="AN977" s="156"/>
      <c r="AO977" s="156"/>
      <c r="AP977" s="156"/>
      <c r="AQ977" s="156"/>
      <c r="AR977" s="156"/>
      <c r="AS977" s="156"/>
      <c r="AT977" s="156"/>
      <c r="AU977" s="156"/>
      <c r="AV977" s="156"/>
      <c r="AW977" s="156"/>
      <c r="AX977" s="156"/>
      <c r="AY977" s="156"/>
      <c r="AZ977" s="156"/>
      <c r="BA977" s="156"/>
      <c r="BB977" s="2828"/>
      <c r="BC977" s="452"/>
      <c r="BD977" s="2829"/>
      <c r="BE977" s="156"/>
      <c r="BF977" s="156"/>
    </row>
    <row r="978" spans="1:58" hidden="1" outlineLevel="1" x14ac:dyDescent="0.35">
      <c r="A978" s="1071"/>
      <c r="B978" s="106"/>
      <c r="C978" s="103"/>
      <c r="D978" s="4076"/>
      <c r="E978" s="4022"/>
      <c r="F978" s="3937" t="str">
        <f t="shared" si="152"/>
        <v>Mini/MultiSplitASHP-Replace_CAC_NonElectricHeat_ROF_MF</v>
      </c>
      <c r="G978" s="3938"/>
      <c r="H978" s="3939"/>
      <c r="I978" s="2755" t="str">
        <f t="shared" si="150"/>
        <v>351802_2022_12_</v>
      </c>
      <c r="J978" s="2373">
        <f t="shared" si="151"/>
        <v>3.4119999999999999</v>
      </c>
      <c r="K978" s="623"/>
      <c r="L978" s="624"/>
      <c r="M978" s="1304"/>
      <c r="N978" s="1296"/>
      <c r="O978" s="106"/>
      <c r="P978" s="106"/>
      <c r="Q978" s="106"/>
      <c r="R978" s="106"/>
      <c r="S978" s="106"/>
      <c r="T978" s="106"/>
      <c r="U978" s="106"/>
      <c r="V978" s="4076"/>
      <c r="W978" s="2224"/>
      <c r="X978" s="2374"/>
      <c r="Y978" s="2374"/>
      <c r="Z978" s="2224"/>
      <c r="AA978" s="2224"/>
      <c r="AB978" s="2223"/>
      <c r="AC978" s="2223"/>
      <c r="AD978" s="2373">
        <v>3.4119999999999999</v>
      </c>
      <c r="AE978" s="2224"/>
      <c r="AF978" s="2224"/>
      <c r="AG978" s="580"/>
      <c r="AH978" s="156"/>
      <c r="AI978" s="156"/>
      <c r="AJ978" s="156"/>
      <c r="AK978" s="156"/>
      <c r="AL978" s="156"/>
      <c r="AM978" s="156"/>
      <c r="AN978" s="156"/>
      <c r="AO978" s="156"/>
      <c r="AP978" s="156"/>
      <c r="AQ978" s="156"/>
      <c r="AR978" s="156"/>
      <c r="AS978" s="156"/>
      <c r="AT978" s="156"/>
      <c r="AU978" s="156"/>
      <c r="AV978" s="156"/>
      <c r="AW978" s="156"/>
      <c r="AX978" s="156"/>
      <c r="AY978" s="156"/>
      <c r="AZ978" s="156"/>
      <c r="BA978" s="156"/>
      <c r="BB978" s="2828"/>
      <c r="BC978" s="452"/>
      <c r="BD978" s="2829"/>
      <c r="BE978" s="156"/>
      <c r="BF978" s="156"/>
    </row>
    <row r="979" spans="1:58" hidden="1" outlineLevel="1" x14ac:dyDescent="0.35">
      <c r="A979" s="1071"/>
      <c r="B979" s="106"/>
      <c r="C979" s="103"/>
      <c r="D979" s="4076"/>
      <c r="E979" s="4022"/>
      <c r="F979" s="3934" t="str">
        <f t="shared" ref="F979:F985" si="153">F952</f>
        <v>Mini/MultiSplitASHP_ER1_MF</v>
      </c>
      <c r="G979" s="3935"/>
      <c r="H979" s="3936"/>
      <c r="I979" s="2672" t="str">
        <f t="shared" ref="I979:I987" si="154">I952</f>
        <v>351850_2021_12_</v>
      </c>
      <c r="J979" s="2223">
        <f t="shared" ref="J979" si="155">J970</f>
        <v>5.44</v>
      </c>
      <c r="K979" s="623"/>
      <c r="L979" s="624"/>
      <c r="M979" s="1304"/>
      <c r="N979" s="1296"/>
      <c r="O979" s="106"/>
      <c r="P979" s="106"/>
      <c r="Q979" s="106"/>
      <c r="R979" s="106"/>
      <c r="S979" s="106"/>
      <c r="T979" s="106"/>
      <c r="U979" s="106"/>
      <c r="V979" s="4076"/>
      <c r="W979" s="2224"/>
      <c r="X979" s="2374"/>
      <c r="Y979" s="2374">
        <v>5.44</v>
      </c>
      <c r="Z979" s="2224">
        <v>5.44</v>
      </c>
      <c r="AA979" s="2224">
        <v>5.44</v>
      </c>
      <c r="AB979" s="2223">
        <v>5.44</v>
      </c>
      <c r="AC979" s="2223">
        <v>5.44</v>
      </c>
      <c r="AD979" s="2223">
        <v>5.44</v>
      </c>
      <c r="AE979" s="2224"/>
      <c r="AF979" s="2224"/>
      <c r="AG979" s="580"/>
      <c r="AH979" s="156"/>
      <c r="AI979" s="156"/>
      <c r="AJ979" s="156"/>
      <c r="AK979" s="156"/>
      <c r="AL979" s="156"/>
      <c r="AM979" s="156"/>
      <c r="AN979" s="156"/>
      <c r="AO979" s="156"/>
      <c r="AP979" s="156"/>
      <c r="AQ979" s="156"/>
      <c r="AR979" s="156"/>
      <c r="AS979" s="156"/>
      <c r="AT979" s="156"/>
      <c r="AU979" s="156"/>
      <c r="AV979" s="156"/>
      <c r="AW979" s="156"/>
      <c r="AX979" s="156"/>
      <c r="AY979" s="156"/>
      <c r="AZ979" s="156"/>
      <c r="BA979" s="156"/>
      <c r="BB979" s="2828"/>
      <c r="BC979" s="452"/>
      <c r="BD979" s="2829"/>
      <c r="BE979" s="156"/>
      <c r="BF979" s="156"/>
    </row>
    <row r="980" spans="1:58" hidden="1" outlineLevel="1" x14ac:dyDescent="0.35">
      <c r="A980" s="1071"/>
      <c r="B980" s="106"/>
      <c r="C980" s="103"/>
      <c r="D980" s="4081"/>
      <c r="E980" s="4023"/>
      <c r="F980" s="3934" t="str">
        <f t="shared" si="153"/>
        <v>Mini/MultiSplitAC_ER1_MF_CompE</v>
      </c>
      <c r="G980" s="3935"/>
      <c r="H980" s="3936"/>
      <c r="I980" s="2672" t="str">
        <f t="shared" si="154"/>
        <v>351551_2021_12_</v>
      </c>
      <c r="J980" s="2223">
        <f t="shared" ref="J980:J987" si="156">J962</f>
        <v>0</v>
      </c>
      <c r="K980" s="623"/>
      <c r="L980" s="624"/>
      <c r="M980" s="1304"/>
      <c r="N980" s="1296"/>
      <c r="O980" s="106"/>
      <c r="P980" s="106"/>
      <c r="Q980" s="106"/>
      <c r="R980" s="106"/>
      <c r="S980" s="106"/>
      <c r="T980" s="106"/>
      <c r="U980" s="106"/>
      <c r="V980" s="4081"/>
      <c r="W980" s="2224"/>
      <c r="X980" s="2224"/>
      <c r="Y980" s="2374">
        <v>0</v>
      </c>
      <c r="Z980" s="2224">
        <v>0</v>
      </c>
      <c r="AA980" s="2224">
        <v>0</v>
      </c>
      <c r="AB980" s="2223">
        <v>0</v>
      </c>
      <c r="AC980" s="2223">
        <v>0</v>
      </c>
      <c r="AD980" s="2223">
        <v>0</v>
      </c>
      <c r="AE980" s="2224"/>
      <c r="AF980" s="2224"/>
      <c r="AG980" s="580"/>
      <c r="AH980" s="156"/>
      <c r="AI980" s="156"/>
      <c r="AJ980" s="156"/>
      <c r="AK980" s="156"/>
      <c r="AL980" s="156"/>
      <c r="AM980" s="156"/>
      <c r="AN980" s="156"/>
      <c r="AO980" s="156"/>
      <c r="AP980" s="156"/>
      <c r="AQ980" s="156"/>
      <c r="AR980" s="156"/>
      <c r="AS980" s="156"/>
      <c r="AT980" s="156"/>
      <c r="AU980" s="156"/>
      <c r="AV980" s="156"/>
      <c r="AW980" s="156"/>
      <c r="AX980" s="156"/>
      <c r="AY980" s="156"/>
      <c r="AZ980" s="156"/>
      <c r="BA980" s="156"/>
      <c r="BB980" s="2828"/>
      <c r="BC980" s="452"/>
      <c r="BD980" s="2829"/>
      <c r="BE980" s="156"/>
      <c r="BF980" s="156"/>
    </row>
    <row r="981" spans="1:58" hidden="1" outlineLevel="1" x14ac:dyDescent="0.35">
      <c r="A981" s="1071"/>
      <c r="B981" s="106"/>
      <c r="C981" s="103"/>
      <c r="D981" s="4081"/>
      <c r="E981" s="4023"/>
      <c r="F981" s="3934" t="str">
        <f t="shared" si="153"/>
        <v>Mini/MultiSplitAC_ROF_MF_CompE</v>
      </c>
      <c r="G981" s="3935"/>
      <c r="H981" s="3936"/>
      <c r="I981" s="2672" t="str">
        <f t="shared" si="154"/>
        <v>351601_2021_12_</v>
      </c>
      <c r="J981" s="2223">
        <f t="shared" si="156"/>
        <v>0</v>
      </c>
      <c r="K981" s="623"/>
      <c r="L981" s="624"/>
      <c r="M981" s="1304"/>
      <c r="N981" s="1296"/>
      <c r="O981" s="106"/>
      <c r="P981" s="106"/>
      <c r="Q981" s="106"/>
      <c r="R981" s="106"/>
      <c r="S981" s="106"/>
      <c r="T981" s="106"/>
      <c r="U981" s="106"/>
      <c r="V981" s="4081"/>
      <c r="W981" s="2224"/>
      <c r="X981" s="2224"/>
      <c r="Y981" s="2374">
        <v>0</v>
      </c>
      <c r="Z981" s="2224">
        <v>0</v>
      </c>
      <c r="AA981" s="2224">
        <v>0</v>
      </c>
      <c r="AB981" s="2223">
        <v>0</v>
      </c>
      <c r="AC981" s="2223">
        <v>0</v>
      </c>
      <c r="AD981" s="2223">
        <v>0</v>
      </c>
      <c r="AE981" s="2224"/>
      <c r="AF981" s="2224"/>
      <c r="AG981" s="580"/>
      <c r="AH981" s="156"/>
      <c r="AI981" s="156"/>
      <c r="AJ981" s="156"/>
      <c r="AK981" s="156"/>
      <c r="AL981" s="156"/>
      <c r="AM981" s="156"/>
      <c r="AN981" s="156"/>
      <c r="AO981" s="156"/>
      <c r="AP981" s="156"/>
      <c r="AQ981" s="156"/>
      <c r="AR981" s="156"/>
      <c r="AS981" s="156"/>
      <c r="AT981" s="156"/>
      <c r="AU981" s="156"/>
      <c r="AV981" s="156"/>
      <c r="AW981" s="156"/>
      <c r="AX981" s="156"/>
      <c r="AY981" s="156"/>
      <c r="AZ981" s="156"/>
      <c r="BA981" s="156"/>
      <c r="BB981" s="2828"/>
      <c r="BC981" s="452"/>
      <c r="BD981" s="2829"/>
      <c r="BE981" s="156"/>
      <c r="BF981" s="156"/>
    </row>
    <row r="982" spans="1:58" hidden="1" outlineLevel="1" x14ac:dyDescent="0.35">
      <c r="A982" s="1071"/>
      <c r="B982" s="106"/>
      <c r="C982" s="103"/>
      <c r="D982" s="4081"/>
      <c r="E982" s="4023"/>
      <c r="F982" s="3934" t="str">
        <f t="shared" si="153"/>
        <v>Mini/MultiSplitASHP_ROF_MF_NC_CompE</v>
      </c>
      <c r="G982" s="3935"/>
      <c r="H982" s="3936"/>
      <c r="I982" s="2672" t="str">
        <f t="shared" si="154"/>
        <v>351651_2021_12_</v>
      </c>
      <c r="J982" s="2223">
        <f t="shared" si="156"/>
        <v>5.44</v>
      </c>
      <c r="K982" s="623"/>
      <c r="L982" s="624"/>
      <c r="M982" s="1304"/>
      <c r="N982" s="1296"/>
      <c r="O982" s="106"/>
      <c r="P982" s="106"/>
      <c r="Q982" s="106"/>
      <c r="R982" s="106"/>
      <c r="S982" s="106"/>
      <c r="T982" s="106"/>
      <c r="U982" s="106"/>
      <c r="V982" s="4081"/>
      <c r="W982" s="2224"/>
      <c r="X982" s="2224"/>
      <c r="Y982" s="2374">
        <v>5.44</v>
      </c>
      <c r="Z982" s="2224">
        <v>5.44</v>
      </c>
      <c r="AA982" s="2224">
        <v>5.44</v>
      </c>
      <c r="AB982" s="2223">
        <v>5.44</v>
      </c>
      <c r="AC982" s="2223">
        <v>5.44</v>
      </c>
      <c r="AD982" s="2223">
        <v>5.44</v>
      </c>
      <c r="AE982" s="2224"/>
      <c r="AF982" s="2224"/>
      <c r="AG982" s="580"/>
      <c r="AH982" s="156"/>
      <c r="AI982" s="156"/>
      <c r="AJ982" s="156"/>
      <c r="AK982" s="156"/>
      <c r="AL982" s="156"/>
      <c r="AM982" s="156"/>
      <c r="AN982" s="156"/>
      <c r="AO982" s="156"/>
      <c r="AP982" s="156"/>
      <c r="AQ982" s="156"/>
      <c r="AR982" s="156"/>
      <c r="AS982" s="156"/>
      <c r="AT982" s="156"/>
      <c r="AU982" s="156"/>
      <c r="AV982" s="156"/>
      <c r="AW982" s="156"/>
      <c r="AX982" s="156"/>
      <c r="AY982" s="156"/>
      <c r="AZ982" s="156"/>
      <c r="BA982" s="156"/>
      <c r="BB982" s="2828"/>
      <c r="BC982" s="452"/>
      <c r="BD982" s="2829"/>
      <c r="BE982" s="156"/>
      <c r="BF982" s="156"/>
    </row>
    <row r="983" spans="1:58" hidden="1" outlineLevel="1" x14ac:dyDescent="0.35">
      <c r="A983" s="1071"/>
      <c r="B983" s="106"/>
      <c r="C983" s="103"/>
      <c r="D983" s="4081"/>
      <c r="E983" s="4023"/>
      <c r="F983" s="3934" t="str">
        <f t="shared" si="153"/>
        <v>Mini/MultiSplitASHP_ROF_MF_CompE</v>
      </c>
      <c r="G983" s="3935"/>
      <c r="H983" s="3936"/>
      <c r="I983" s="2672" t="str">
        <f t="shared" si="154"/>
        <v>351701_2021_12_</v>
      </c>
      <c r="J983" s="2223">
        <f t="shared" si="156"/>
        <v>5.44</v>
      </c>
      <c r="K983" s="623"/>
      <c r="L983" s="625"/>
      <c r="M983" s="1304"/>
      <c r="N983" s="1296"/>
      <c r="O983" s="106"/>
      <c r="P983" s="106"/>
      <c r="Q983" s="106"/>
      <c r="R983" s="106"/>
      <c r="S983" s="106"/>
      <c r="T983" s="106"/>
      <c r="U983" s="106"/>
      <c r="V983" s="4081"/>
      <c r="W983" s="2224"/>
      <c r="X983" s="2224"/>
      <c r="Y983" s="2374">
        <v>5.44</v>
      </c>
      <c r="Z983" s="2224">
        <v>5.44</v>
      </c>
      <c r="AA983" s="2224">
        <v>5.44</v>
      </c>
      <c r="AB983" s="2223">
        <v>5.44</v>
      </c>
      <c r="AC983" s="2223">
        <v>5.44</v>
      </c>
      <c r="AD983" s="2223">
        <v>5.44</v>
      </c>
      <c r="AE983" s="2224"/>
      <c r="AF983" s="2224"/>
      <c r="AG983" s="580"/>
      <c r="AH983" s="156"/>
      <c r="AI983" s="156"/>
      <c r="AJ983" s="156"/>
      <c r="AK983" s="156"/>
      <c r="AL983" s="156"/>
      <c r="AM983" s="156"/>
      <c r="AN983" s="156"/>
      <c r="AO983" s="156"/>
      <c r="AP983" s="156"/>
      <c r="AQ983" s="156"/>
      <c r="AR983" s="156"/>
      <c r="AS983" s="156"/>
      <c r="AT983" s="156"/>
      <c r="AU983" s="156"/>
      <c r="AV983" s="156"/>
      <c r="AW983" s="156"/>
      <c r="AX983" s="156"/>
      <c r="AY983" s="156"/>
      <c r="AZ983" s="156"/>
      <c r="BA983" s="156"/>
      <c r="BB983" s="2828"/>
      <c r="BC983" s="452"/>
      <c r="BD983" s="2829"/>
      <c r="BE983" s="156"/>
      <c r="BF983" s="156"/>
    </row>
    <row r="984" spans="1:58" hidden="1" outlineLevel="1" x14ac:dyDescent="0.35">
      <c r="A984" s="1071"/>
      <c r="B984" s="106"/>
      <c r="C984" s="103"/>
      <c r="D984" s="4081"/>
      <c r="E984" s="4023"/>
      <c r="F984" s="3934" t="str">
        <f t="shared" si="153"/>
        <v>Mini/MultiSplitASHP-Replace_CAC_ElectricHeat_ER1_MF_CompE</v>
      </c>
      <c r="G984" s="3935"/>
      <c r="H984" s="3936"/>
      <c r="I984" s="2672" t="str">
        <f t="shared" si="154"/>
        <v>351751_2021_12_</v>
      </c>
      <c r="J984" s="2223">
        <f t="shared" si="156"/>
        <v>3.4119999999999999</v>
      </c>
      <c r="K984" s="623"/>
      <c r="L984" s="625"/>
      <c r="M984" s="1304"/>
      <c r="N984" s="1296"/>
      <c r="O984" s="106"/>
      <c r="P984" s="106"/>
      <c r="Q984" s="106"/>
      <c r="R984" s="106"/>
      <c r="S984" s="106"/>
      <c r="T984" s="106"/>
      <c r="U984" s="106"/>
      <c r="V984" s="4081"/>
      <c r="W984" s="2224"/>
      <c r="X984" s="2224"/>
      <c r="Y984" s="2374">
        <v>3.4119999999999999</v>
      </c>
      <c r="Z984" s="2224">
        <v>3.4119999999999999</v>
      </c>
      <c r="AA984" s="2224">
        <v>3.4119999999999999</v>
      </c>
      <c r="AB984" s="2223">
        <v>3.4119999999999999</v>
      </c>
      <c r="AC984" s="2223">
        <v>3.4119999999999999</v>
      </c>
      <c r="AD984" s="2223">
        <v>3.4119999999999999</v>
      </c>
      <c r="AE984" s="2224"/>
      <c r="AF984" s="2224"/>
      <c r="AG984" s="580"/>
      <c r="AH984" s="156"/>
      <c r="AI984" s="156"/>
      <c r="AJ984" s="156"/>
      <c r="AK984" s="156"/>
      <c r="AL984" s="156"/>
      <c r="AM984" s="156"/>
      <c r="AN984" s="156"/>
      <c r="AO984" s="156"/>
      <c r="AP984" s="156"/>
      <c r="AQ984" s="156"/>
      <c r="AR984" s="156"/>
      <c r="AS984" s="156"/>
      <c r="AT984" s="156"/>
      <c r="AU984" s="156"/>
      <c r="AV984" s="156"/>
      <c r="AW984" s="156"/>
      <c r="AX984" s="156"/>
      <c r="AY984" s="156"/>
      <c r="AZ984" s="156"/>
      <c r="BA984" s="156"/>
      <c r="BB984" s="2828"/>
      <c r="BC984" s="452"/>
      <c r="BD984" s="2829"/>
      <c r="BE984" s="156"/>
      <c r="BF984" s="156"/>
    </row>
    <row r="985" spans="1:58" hidden="1" outlineLevel="1" x14ac:dyDescent="0.35">
      <c r="A985" s="1071"/>
      <c r="B985" s="106"/>
      <c r="C985" s="103"/>
      <c r="D985" s="4081"/>
      <c r="E985" s="4023"/>
      <c r="F985" s="3934" t="str">
        <f t="shared" si="153"/>
        <v>Mini/MultiSplitASHP-Replace_CAC_ElectricHeat_ROF_MF_CompE</v>
      </c>
      <c r="G985" s="3935"/>
      <c r="H985" s="3936"/>
      <c r="I985" s="2672" t="str">
        <f t="shared" si="154"/>
        <v>351801_2021_12_</v>
      </c>
      <c r="J985" s="2223">
        <f t="shared" si="156"/>
        <v>3.4119999999999999</v>
      </c>
      <c r="K985" s="623"/>
      <c r="L985" s="625"/>
      <c r="M985" s="1304"/>
      <c r="N985" s="1296"/>
      <c r="O985" s="106"/>
      <c r="P985" s="106"/>
      <c r="Q985" s="106"/>
      <c r="R985" s="106"/>
      <c r="S985" s="106"/>
      <c r="T985" s="106"/>
      <c r="U985" s="106"/>
      <c r="V985" s="4081"/>
      <c r="W985" s="2224"/>
      <c r="X985" s="2224"/>
      <c r="Y985" s="2374">
        <v>3.4119999999999999</v>
      </c>
      <c r="Z985" s="2224">
        <v>3.4119999999999999</v>
      </c>
      <c r="AA985" s="2224">
        <v>3.4119999999999999</v>
      </c>
      <c r="AB985" s="2223">
        <v>3.4119999999999999</v>
      </c>
      <c r="AC985" s="2223">
        <v>3.4119999999999999</v>
      </c>
      <c r="AD985" s="2223">
        <v>3.4119999999999999</v>
      </c>
      <c r="AE985" s="2224"/>
      <c r="AF985" s="2224"/>
      <c r="AG985" s="580"/>
      <c r="AH985" s="156"/>
      <c r="AI985" s="156"/>
      <c r="AJ985" s="156"/>
      <c r="AK985" s="156"/>
      <c r="AL985" s="156"/>
      <c r="AM985" s="156"/>
      <c r="AN985" s="156"/>
      <c r="AO985" s="156"/>
      <c r="AP985" s="156"/>
      <c r="AQ985" s="156"/>
      <c r="AR985" s="156"/>
      <c r="AS985" s="156"/>
      <c r="AT985" s="156"/>
      <c r="AU985" s="156"/>
      <c r="AV985" s="156"/>
      <c r="AW985" s="156"/>
      <c r="AX985" s="156"/>
      <c r="AY985" s="156"/>
      <c r="AZ985" s="156"/>
      <c r="BA985" s="156"/>
      <c r="BB985" s="2828"/>
      <c r="BC985" s="452"/>
      <c r="BD985" s="2829"/>
      <c r="BE985" s="156"/>
      <c r="BF985" s="156"/>
    </row>
    <row r="986" spans="1:58" hidden="1" outlineLevel="1" x14ac:dyDescent="0.35">
      <c r="A986" s="1071"/>
      <c r="B986" s="106"/>
      <c r="C986" s="103"/>
      <c r="D986" s="4081"/>
      <c r="E986" s="4023"/>
      <c r="F986" s="3937" t="str">
        <f t="shared" ref="F986:F987" si="157">F959</f>
        <v>Mini/MultiSplitASHP-Replace_CAC_NonElectricHeat_ER1_MF_CompE</v>
      </c>
      <c r="G986" s="3938"/>
      <c r="H986" s="3939"/>
      <c r="I986" s="2755" t="str">
        <f t="shared" si="154"/>
        <v>351753_2022_12_</v>
      </c>
      <c r="J986" s="2373">
        <f t="shared" si="156"/>
        <v>3.4119999999999999</v>
      </c>
      <c r="K986" s="623"/>
      <c r="L986" s="2761"/>
      <c r="M986" s="1304"/>
      <c r="N986" s="1296"/>
      <c r="O986" s="106"/>
      <c r="P986" s="106"/>
      <c r="Q986" s="106"/>
      <c r="R986" s="106"/>
      <c r="S986" s="106"/>
      <c r="T986" s="106"/>
      <c r="U986" s="106"/>
      <c r="V986" s="4081"/>
      <c r="W986" s="576"/>
      <c r="X986" s="576"/>
      <c r="Y986" s="575"/>
      <c r="Z986" s="576"/>
      <c r="AA986" s="576"/>
      <c r="AB986" s="2223"/>
      <c r="AC986" s="2223"/>
      <c r="AD986" s="2373">
        <v>3.4119999999999999</v>
      </c>
      <c r="AE986" s="576"/>
      <c r="AF986" s="576"/>
      <c r="AG986" s="2758"/>
      <c r="AH986" s="156"/>
      <c r="AI986" s="156"/>
      <c r="AJ986" s="156"/>
      <c r="AK986" s="156"/>
      <c r="AL986" s="156"/>
      <c r="AM986" s="156"/>
      <c r="AN986" s="156"/>
      <c r="AO986" s="156"/>
      <c r="AP986" s="156"/>
      <c r="AQ986" s="156"/>
      <c r="AR986" s="156"/>
      <c r="AS986" s="156"/>
      <c r="AT986" s="156"/>
      <c r="AU986" s="156"/>
      <c r="AV986" s="156"/>
      <c r="AW986" s="156"/>
      <c r="AX986" s="156"/>
      <c r="AY986" s="156"/>
      <c r="AZ986" s="156"/>
      <c r="BA986" s="156"/>
      <c r="BB986" s="2828"/>
      <c r="BC986" s="452"/>
      <c r="BD986" s="2829"/>
      <c r="BE986" s="156"/>
      <c r="BF986" s="156"/>
    </row>
    <row r="987" spans="1:58" hidden="1" outlineLevel="1" x14ac:dyDescent="0.35">
      <c r="A987" s="1071"/>
      <c r="B987" s="106"/>
      <c r="C987" s="103"/>
      <c r="D987" s="4081"/>
      <c r="E987" s="4023"/>
      <c r="F987" s="3937" t="str">
        <f t="shared" si="157"/>
        <v>Mini/MultiSplitASHP-Replace_CAC_NonElectricHeat_ROF_MF_CompE</v>
      </c>
      <c r="G987" s="3938"/>
      <c r="H987" s="3939"/>
      <c r="I987" s="2755" t="str">
        <f t="shared" si="154"/>
        <v>351803_2022_12_</v>
      </c>
      <c r="J987" s="2373">
        <f t="shared" si="156"/>
        <v>3.4119999999999999</v>
      </c>
      <c r="K987" s="623"/>
      <c r="L987" s="2761"/>
      <c r="M987" s="1304"/>
      <c r="N987" s="1296"/>
      <c r="O987" s="106"/>
      <c r="P987" s="106"/>
      <c r="Q987" s="106"/>
      <c r="R987" s="106"/>
      <c r="S987" s="106"/>
      <c r="T987" s="106"/>
      <c r="U987" s="106"/>
      <c r="V987" s="4081"/>
      <c r="W987" s="576"/>
      <c r="X987" s="576"/>
      <c r="Y987" s="575"/>
      <c r="Z987" s="576"/>
      <c r="AA987" s="576"/>
      <c r="AB987" s="2223"/>
      <c r="AC987" s="2223"/>
      <c r="AD987" s="2373">
        <v>3.4119999999999999</v>
      </c>
      <c r="AE987" s="576"/>
      <c r="AF987" s="576"/>
      <c r="AG987" s="2758"/>
      <c r="AH987" s="156"/>
      <c r="AI987" s="156"/>
      <c r="AJ987" s="156"/>
      <c r="AK987" s="156"/>
      <c r="AL987" s="156"/>
      <c r="AM987" s="156"/>
      <c r="AN987" s="156"/>
      <c r="AO987" s="156"/>
      <c r="AP987" s="156"/>
      <c r="AQ987" s="156"/>
      <c r="AR987" s="156"/>
      <c r="AS987" s="156"/>
      <c r="AT987" s="156"/>
      <c r="AU987" s="156"/>
      <c r="AV987" s="156"/>
      <c r="AW987" s="156"/>
      <c r="AX987" s="156"/>
      <c r="AY987" s="156"/>
      <c r="AZ987" s="156"/>
      <c r="BA987" s="156"/>
      <c r="BB987" s="2828"/>
      <c r="BC987" s="452"/>
      <c r="BD987" s="2829"/>
      <c r="BE987" s="156"/>
      <c r="BF987" s="156"/>
    </row>
    <row r="988" spans="1:58" ht="15" hidden="1" outlineLevel="1" thickBot="1" x14ac:dyDescent="0.4">
      <c r="A988" s="1071"/>
      <c r="B988" s="106"/>
      <c r="C988" s="103"/>
      <c r="D988" s="4082"/>
      <c r="E988" s="4024"/>
      <c r="F988" s="3940" t="str">
        <f t="shared" ref="F988:F994" si="158">F961</f>
        <v>Mini/MultiSplitASHP_ER1_MF_CompE</v>
      </c>
      <c r="G988" s="3941"/>
      <c r="H988" s="3942"/>
      <c r="I988" s="2673" t="str">
        <f t="shared" ref="I988:I996" si="159">I961</f>
        <v>351851_2021_12_</v>
      </c>
      <c r="J988" s="2223">
        <f t="shared" ref="J988" si="160">J970</f>
        <v>5.44</v>
      </c>
      <c r="K988" s="623"/>
      <c r="L988" s="1305"/>
      <c r="M988" s="1304"/>
      <c r="N988" s="1296"/>
      <c r="O988" s="106"/>
      <c r="P988" s="106"/>
      <c r="Q988" s="106"/>
      <c r="R988" s="106"/>
      <c r="S988" s="106"/>
      <c r="T988" s="106"/>
      <c r="U988" s="106"/>
      <c r="V988" s="4082"/>
      <c r="W988" s="2227"/>
      <c r="X988" s="2227"/>
      <c r="Y988" s="2375">
        <v>5.44</v>
      </c>
      <c r="Z988" s="2227">
        <v>5.44</v>
      </c>
      <c r="AA988" s="2227">
        <v>5.44</v>
      </c>
      <c r="AB988" s="2223">
        <v>5.44</v>
      </c>
      <c r="AC988" s="2223">
        <v>5.44</v>
      </c>
      <c r="AD988" s="2223">
        <v>5.44</v>
      </c>
      <c r="AE988" s="2227"/>
      <c r="AF988" s="2227"/>
      <c r="AG988" s="626"/>
      <c r="AH988" s="156"/>
      <c r="AI988" s="156"/>
      <c r="AJ988" s="156"/>
      <c r="AK988" s="156"/>
      <c r="AL988" s="156"/>
      <c r="AM988" s="156"/>
      <c r="AN988" s="156"/>
      <c r="AO988" s="156"/>
      <c r="AP988" s="156"/>
      <c r="AQ988" s="156"/>
      <c r="AR988" s="156"/>
      <c r="AS988" s="156"/>
      <c r="AT988" s="156"/>
      <c r="AU988" s="156"/>
      <c r="AV988" s="156"/>
      <c r="AW988" s="156"/>
      <c r="AX988" s="156"/>
      <c r="AY988" s="156"/>
      <c r="AZ988" s="156"/>
      <c r="BA988" s="156"/>
      <c r="BB988" s="2828"/>
      <c r="BC988" s="452"/>
      <c r="BD988" s="2829"/>
      <c r="BE988" s="156"/>
      <c r="BF988" s="156"/>
    </row>
    <row r="989" spans="1:58" hidden="1" outlineLevel="1" x14ac:dyDescent="0.35">
      <c r="A989" s="1071"/>
      <c r="B989" s="106"/>
      <c r="C989" s="103"/>
      <c r="D989" s="4064" t="s">
        <v>1074</v>
      </c>
      <c r="E989" s="4021" t="s">
        <v>1075</v>
      </c>
      <c r="F989" s="3943" t="str">
        <f t="shared" si="158"/>
        <v>Mini/MultiSplitAC_ER1_SF</v>
      </c>
      <c r="G989" s="3944"/>
      <c r="H989" s="3945"/>
      <c r="I989" s="2671" t="str">
        <f t="shared" si="159"/>
        <v>351200_2021_12_</v>
      </c>
      <c r="J989" s="1815">
        <v>0</v>
      </c>
      <c r="K989" s="620"/>
      <c r="L989" s="621" t="s">
        <v>1042</v>
      </c>
      <c r="M989" s="1304"/>
      <c r="N989" s="1296"/>
      <c r="O989" s="2815"/>
      <c r="P989" s="106"/>
      <c r="Q989" s="106"/>
      <c r="R989" s="106"/>
      <c r="S989" s="106"/>
      <c r="T989" s="106"/>
      <c r="U989" s="106"/>
      <c r="V989" s="4064" t="s">
        <v>1074</v>
      </c>
      <c r="W989" s="2228">
        <v>0</v>
      </c>
      <c r="X989" s="2228">
        <v>0</v>
      </c>
      <c r="Y989" s="2376">
        <v>0</v>
      </c>
      <c r="Z989" s="2228">
        <v>0</v>
      </c>
      <c r="AA989" s="2228">
        <v>0</v>
      </c>
      <c r="AB989" s="1810">
        <v>0</v>
      </c>
      <c r="AC989" s="1815">
        <v>0</v>
      </c>
      <c r="AD989" s="1815">
        <v>0</v>
      </c>
      <c r="AE989" s="2228"/>
      <c r="AF989" s="2228"/>
      <c r="AG989" s="622"/>
      <c r="AH989" s="156"/>
      <c r="AI989" s="156"/>
      <c r="AJ989" s="156"/>
      <c r="AK989" s="156"/>
      <c r="AL989" s="156"/>
      <c r="AM989" s="156"/>
      <c r="AN989" s="156"/>
      <c r="AO989" s="156"/>
      <c r="AP989" s="156"/>
      <c r="AQ989" s="156"/>
      <c r="AR989" s="156"/>
      <c r="AS989" s="156"/>
      <c r="AT989" s="156"/>
      <c r="AU989" s="156"/>
      <c r="AV989" s="156"/>
      <c r="AW989" s="156"/>
      <c r="AX989" s="156"/>
      <c r="AY989" s="156"/>
      <c r="AZ989" s="156"/>
      <c r="BA989" s="156"/>
      <c r="BB989" s="2828"/>
      <c r="BC989" s="452"/>
      <c r="BD989" s="2829"/>
      <c r="BE989" s="156"/>
      <c r="BF989" s="156"/>
    </row>
    <row r="990" spans="1:58" hidden="1" outlineLevel="1" x14ac:dyDescent="0.35">
      <c r="A990" s="1071"/>
      <c r="B990" s="106"/>
      <c r="C990" s="103"/>
      <c r="D990" s="4076"/>
      <c r="E990" s="4022"/>
      <c r="F990" s="3934" t="str">
        <f t="shared" si="158"/>
        <v>Mini/MultiSplitAC_ROF_SF</v>
      </c>
      <c r="G990" s="3935"/>
      <c r="H990" s="3936"/>
      <c r="I990" s="2672" t="str">
        <f t="shared" si="159"/>
        <v>351250_2021_12_</v>
      </c>
      <c r="J990" s="1816">
        <v>0</v>
      </c>
      <c r="K990" s="623"/>
      <c r="L990" s="1809" t="s">
        <v>1042</v>
      </c>
      <c r="M990" s="1304"/>
      <c r="N990" s="1296"/>
      <c r="O990" s="2815"/>
      <c r="P990" s="106"/>
      <c r="Q990" s="106"/>
      <c r="R990" s="106"/>
      <c r="S990" s="106"/>
      <c r="T990" s="106"/>
      <c r="U990" s="106"/>
      <c r="V990" s="4076"/>
      <c r="W990" s="2224">
        <v>0</v>
      </c>
      <c r="X990" s="2224">
        <v>0</v>
      </c>
      <c r="Y990" s="2374">
        <v>0</v>
      </c>
      <c r="Z990" s="2224">
        <v>0</v>
      </c>
      <c r="AA990" s="2224">
        <v>0</v>
      </c>
      <c r="AB990" s="1808">
        <v>0</v>
      </c>
      <c r="AC990" s="1816">
        <v>0</v>
      </c>
      <c r="AD990" s="1816">
        <v>0</v>
      </c>
      <c r="AE990" s="2224"/>
      <c r="AF990" s="2224"/>
      <c r="AG990" s="580"/>
      <c r="AH990" s="156"/>
      <c r="AI990" s="156"/>
      <c r="AJ990" s="156"/>
      <c r="AK990" s="156"/>
      <c r="AL990" s="156"/>
      <c r="AM990" s="156"/>
      <c r="AN990" s="156"/>
      <c r="AO990" s="156"/>
      <c r="AP990" s="156"/>
      <c r="AQ990" s="156"/>
      <c r="AR990" s="156"/>
      <c r="AS990" s="156"/>
      <c r="AT990" s="156"/>
      <c r="AU990" s="156"/>
      <c r="AV990" s="156"/>
      <c r="AW990" s="156"/>
      <c r="AX990" s="156"/>
      <c r="AY990" s="156"/>
      <c r="AZ990" s="156"/>
      <c r="BA990" s="156"/>
      <c r="BB990" s="2828"/>
      <c r="BC990" s="452"/>
      <c r="BD990" s="2829"/>
      <c r="BE990" s="156"/>
      <c r="BF990" s="156"/>
    </row>
    <row r="991" spans="1:58" hidden="1" outlineLevel="1" x14ac:dyDescent="0.35">
      <c r="A991" s="1071"/>
      <c r="B991" s="106"/>
      <c r="C991" s="103"/>
      <c r="D991" s="4076"/>
      <c r="E991" s="4022"/>
      <c r="F991" s="3934" t="str">
        <f t="shared" si="158"/>
        <v>Mini/MultiSplitASHP_ROF_SF_NC</v>
      </c>
      <c r="G991" s="3935"/>
      <c r="H991" s="3936"/>
      <c r="I991" s="2672" t="str">
        <f t="shared" si="159"/>
        <v>351300_2021_12_</v>
      </c>
      <c r="J991" s="2779">
        <v>11.420000000000002</v>
      </c>
      <c r="K991" s="623"/>
      <c r="L991" s="2729" t="s">
        <v>4360</v>
      </c>
      <c r="M991" s="1304"/>
      <c r="N991" s="1296"/>
      <c r="O991" s="2815"/>
      <c r="P991" s="106"/>
      <c r="Q991" s="106"/>
      <c r="R991" s="106"/>
      <c r="S991" s="106"/>
      <c r="T991" s="106"/>
      <c r="U991" s="106"/>
      <c r="V991" s="4076"/>
      <c r="W991" s="2224">
        <v>11.4</v>
      </c>
      <c r="X991" s="2374">
        <v>11.32</v>
      </c>
      <c r="Y991" s="2374">
        <v>10.6</v>
      </c>
      <c r="Z991" s="2224">
        <v>10.6</v>
      </c>
      <c r="AA991" s="2224">
        <v>10.6</v>
      </c>
      <c r="AB991" s="1808">
        <v>10.6</v>
      </c>
      <c r="AC991" s="1811">
        <v>11.342156862745099</v>
      </c>
      <c r="AD991" s="2779">
        <v>11.420000000000002</v>
      </c>
      <c r="AE991" s="2224"/>
      <c r="AF991" s="2224"/>
      <c r="AG991" s="580"/>
      <c r="AH991" s="156"/>
      <c r="AI991" s="156"/>
      <c r="AJ991" s="156"/>
      <c r="AK991" s="156"/>
      <c r="AL991" s="156"/>
      <c r="AM991" s="156"/>
      <c r="AN991" s="156"/>
      <c r="AO991" s="156"/>
      <c r="AP991" s="156"/>
      <c r="AQ991" s="156"/>
      <c r="AR991" s="156"/>
      <c r="AS991" s="156"/>
      <c r="AT991" s="156"/>
      <c r="AU991" s="156"/>
      <c r="AV991" s="156"/>
      <c r="AW991" s="156"/>
      <c r="AX991" s="156"/>
      <c r="AY991" s="156"/>
      <c r="AZ991" s="156"/>
      <c r="BA991" s="156"/>
      <c r="BB991" s="2828"/>
      <c r="BC991" s="452"/>
      <c r="BD991" s="2829"/>
      <c r="BE991" s="156"/>
      <c r="BF991" s="156"/>
    </row>
    <row r="992" spans="1:58" hidden="1" outlineLevel="1" x14ac:dyDescent="0.35">
      <c r="A992" s="1071"/>
      <c r="B992" s="106"/>
      <c r="C992" s="103"/>
      <c r="D992" s="4076"/>
      <c r="E992" s="4022"/>
      <c r="F992" s="3934" t="str">
        <f t="shared" si="158"/>
        <v>Mini/MultiSplitASHP_ROF_SF</v>
      </c>
      <c r="G992" s="3935"/>
      <c r="H992" s="3936"/>
      <c r="I992" s="2672" t="str">
        <f t="shared" si="159"/>
        <v>351350_2021_12_</v>
      </c>
      <c r="J992" s="2779">
        <v>11.420000000000002</v>
      </c>
      <c r="K992" s="623"/>
      <c r="L992" s="2729" t="s">
        <v>4360</v>
      </c>
      <c r="M992" s="2809"/>
      <c r="N992" s="1296"/>
      <c r="O992" s="2815"/>
      <c r="P992" s="106"/>
      <c r="Q992" s="106"/>
      <c r="R992" s="106"/>
      <c r="S992" s="106"/>
      <c r="T992" s="106"/>
      <c r="U992" s="106"/>
      <c r="V992" s="4076"/>
      <c r="W992" s="2224">
        <v>11.4</v>
      </c>
      <c r="X992" s="2374">
        <v>11.32</v>
      </c>
      <c r="Y992" s="2374">
        <v>10.6</v>
      </c>
      <c r="Z992" s="2224">
        <v>10.6</v>
      </c>
      <c r="AA992" s="2224">
        <v>10.6</v>
      </c>
      <c r="AB992" s="1811">
        <v>11.003896103896107</v>
      </c>
      <c r="AC992" s="1811">
        <v>11.835714285714287</v>
      </c>
      <c r="AD992" s="2779">
        <v>11.420000000000002</v>
      </c>
      <c r="AE992" s="2224"/>
      <c r="AF992" s="2224"/>
      <c r="AG992" s="580"/>
      <c r="AH992" s="156"/>
      <c r="AI992" s="156"/>
      <c r="AJ992" s="156"/>
      <c r="AK992" s="156"/>
      <c r="AL992" s="156"/>
      <c r="AM992" s="156"/>
      <c r="AN992" s="156"/>
      <c r="AO992" s="156"/>
      <c r="AP992" s="156"/>
      <c r="AQ992" s="156"/>
      <c r="AR992" s="156"/>
      <c r="AS992" s="156"/>
      <c r="AT992" s="156"/>
      <c r="AU992" s="156"/>
      <c r="AV992" s="156"/>
      <c r="AW992" s="156"/>
      <c r="AX992" s="156"/>
      <c r="AY992" s="156"/>
      <c r="AZ992" s="156"/>
      <c r="BA992" s="156"/>
      <c r="BB992" s="2828"/>
      <c r="BC992" s="452"/>
      <c r="BD992" s="2829"/>
      <c r="BE992" s="156"/>
      <c r="BF992" s="156"/>
    </row>
    <row r="993" spans="1:58" hidden="1" outlineLevel="1" x14ac:dyDescent="0.35">
      <c r="A993" s="1071"/>
      <c r="B993" s="106"/>
      <c r="C993" s="103"/>
      <c r="D993" s="4076"/>
      <c r="E993" s="4022"/>
      <c r="F993" s="3934" t="str">
        <f t="shared" si="158"/>
        <v>Mini/MultiSplitASHP-Replace_CAC_ElectricHeat_ER1_SF</v>
      </c>
      <c r="G993" s="3935"/>
      <c r="H993" s="3936"/>
      <c r="I993" s="2672" t="str">
        <f t="shared" si="159"/>
        <v>351400_2021_12_</v>
      </c>
      <c r="J993" s="2779">
        <v>11.070754716981131</v>
      </c>
      <c r="K993" s="623"/>
      <c r="L993" s="2729" t="s">
        <v>4360</v>
      </c>
      <c r="M993" s="2809"/>
      <c r="N993" s="1296"/>
      <c r="O993" s="2815"/>
      <c r="P993" s="106"/>
      <c r="Q993" s="106"/>
      <c r="R993" s="106"/>
      <c r="S993" s="106"/>
      <c r="T993" s="106"/>
      <c r="U993" s="106"/>
      <c r="V993" s="4076"/>
      <c r="W993" s="2224">
        <v>11.7</v>
      </c>
      <c r="X993" s="2374">
        <v>11.32</v>
      </c>
      <c r="Y993" s="2374">
        <v>11.4</v>
      </c>
      <c r="Z993" s="2224">
        <v>11.4</v>
      </c>
      <c r="AA993" s="2224">
        <v>11.4</v>
      </c>
      <c r="AB993" s="1811">
        <v>9.4433000000000007</v>
      </c>
      <c r="AC993" s="1811">
        <v>10.741860465116279</v>
      </c>
      <c r="AD993" s="2779">
        <v>11.070754716981131</v>
      </c>
      <c r="AE993" s="2224"/>
      <c r="AF993" s="2224"/>
      <c r="AG993" s="580"/>
      <c r="AH993" s="156"/>
      <c r="AI993" s="156"/>
      <c r="AJ993" s="156"/>
      <c r="AK993" s="156"/>
      <c r="AL993" s="156"/>
      <c r="AM993" s="156"/>
      <c r="AN993" s="156"/>
      <c r="AO993" s="156"/>
      <c r="AP993" s="156"/>
      <c r="AQ993" s="156"/>
      <c r="AR993" s="156"/>
      <c r="AS993" s="156"/>
      <c r="AT993" s="156"/>
      <c r="AU993" s="156"/>
      <c r="AV993" s="156"/>
      <c r="AW993" s="156"/>
      <c r="AX993" s="156"/>
      <c r="AY993" s="156"/>
      <c r="AZ993" s="156"/>
      <c r="BA993" s="156"/>
      <c r="BB993" s="2828"/>
      <c r="BC993" s="452"/>
      <c r="BD993" s="2829"/>
      <c r="BE993" s="156"/>
      <c r="BF993" s="156"/>
    </row>
    <row r="994" spans="1:58" hidden="1" outlineLevel="1" x14ac:dyDescent="0.35">
      <c r="A994" s="1071"/>
      <c r="B994" s="106"/>
      <c r="C994" s="103"/>
      <c r="D994" s="4076"/>
      <c r="E994" s="4022"/>
      <c r="F994" s="3934" t="str">
        <f t="shared" si="158"/>
        <v>Mini/MultiSplitASHP-Replace_CAC_ElectricHeat_ROF_SF</v>
      </c>
      <c r="G994" s="3935"/>
      <c r="H994" s="3936"/>
      <c r="I994" s="2672" t="str">
        <f t="shared" si="159"/>
        <v>351450_2021_12_</v>
      </c>
      <c r="J994" s="2779">
        <v>11.420000000000002</v>
      </c>
      <c r="K994" s="623"/>
      <c r="L994" s="2729" t="s">
        <v>4360</v>
      </c>
      <c r="M994" s="1292"/>
      <c r="N994" s="1296"/>
      <c r="O994" s="2815"/>
      <c r="P994" s="106"/>
      <c r="Q994" s="106"/>
      <c r="R994" s="106"/>
      <c r="S994" s="106"/>
      <c r="T994" s="106"/>
      <c r="U994" s="106"/>
      <c r="V994" s="4076"/>
      <c r="W994" s="2224">
        <v>10.8</v>
      </c>
      <c r="X994" s="2374">
        <v>11.32</v>
      </c>
      <c r="Y994" s="2374">
        <v>11.4</v>
      </c>
      <c r="Z994" s="2224">
        <v>11.4</v>
      </c>
      <c r="AA994" s="2224">
        <v>11.4</v>
      </c>
      <c r="AB994" s="1811">
        <v>11.226666666666667</v>
      </c>
      <c r="AC994" s="1811">
        <v>11.1</v>
      </c>
      <c r="AD994" s="2779">
        <v>11.420000000000002</v>
      </c>
      <c r="AE994" s="2224"/>
      <c r="AF994" s="2224"/>
      <c r="AG994" s="580"/>
      <c r="AH994" s="156"/>
      <c r="AI994" s="156"/>
      <c r="AJ994" s="156"/>
      <c r="AK994" s="156"/>
      <c r="AL994" s="156"/>
      <c r="AM994" s="156"/>
      <c r="AN994" s="156"/>
      <c r="AO994" s="156"/>
      <c r="AP994" s="156"/>
      <c r="AQ994" s="156"/>
      <c r="AR994" s="156"/>
      <c r="AS994" s="156"/>
      <c r="AT994" s="156"/>
      <c r="AU994" s="156"/>
      <c r="AV994" s="156"/>
      <c r="AW994" s="156"/>
      <c r="AX994" s="156"/>
      <c r="AY994" s="156"/>
      <c r="AZ994" s="156"/>
      <c r="BA994" s="156"/>
      <c r="BB994" s="2828"/>
      <c r="BC994" s="452"/>
      <c r="BD994" s="2829"/>
      <c r="BE994" s="156"/>
      <c r="BF994" s="156"/>
    </row>
    <row r="995" spans="1:58" hidden="1" outlineLevel="1" x14ac:dyDescent="0.35">
      <c r="A995" s="1071"/>
      <c r="B995" s="106"/>
      <c r="C995" s="103"/>
      <c r="D995" s="4076"/>
      <c r="E995" s="4022"/>
      <c r="F995" s="3937" t="str">
        <f t="shared" ref="F995:F996" si="161">F968</f>
        <v>Mini/MultiSplitASHP-Replace_CAC_NonElectricHeat_ER1_SF</v>
      </c>
      <c r="G995" s="3938"/>
      <c r="H995" s="3939"/>
      <c r="I995" s="2755" t="str">
        <f t="shared" si="159"/>
        <v>351401_2022_12_</v>
      </c>
      <c r="J995" s="2779">
        <v>11.070754716981131</v>
      </c>
      <c r="K995" s="623"/>
      <c r="L995" s="2729" t="s">
        <v>4360</v>
      </c>
      <c r="M995" s="1292"/>
      <c r="N995" s="1296"/>
      <c r="O995" s="2815"/>
      <c r="P995" s="106"/>
      <c r="Q995" s="106"/>
      <c r="R995" s="106"/>
      <c r="S995" s="106"/>
      <c r="T995" s="106"/>
      <c r="U995" s="106"/>
      <c r="V995" s="4076"/>
      <c r="W995" s="2224"/>
      <c r="X995" s="2374"/>
      <c r="Y995" s="2374"/>
      <c r="Z995" s="2224"/>
      <c r="AA995" s="2224"/>
      <c r="AB995" s="1811"/>
      <c r="AC995" s="1811"/>
      <c r="AD995" s="2779">
        <v>11.070754716981131</v>
      </c>
      <c r="AE995" s="2224"/>
      <c r="AF995" s="2224"/>
      <c r="AG995" s="580"/>
      <c r="AH995" s="156"/>
      <c r="AI995" s="156"/>
      <c r="AJ995" s="156"/>
      <c r="AK995" s="156"/>
      <c r="AL995" s="156"/>
      <c r="AM995" s="156"/>
      <c r="AN995" s="156"/>
      <c r="AO995" s="156"/>
      <c r="AP995" s="156"/>
      <c r="AQ995" s="156"/>
      <c r="AR995" s="156"/>
      <c r="AS995" s="156"/>
      <c r="AT995" s="156"/>
      <c r="AU995" s="156"/>
      <c r="AV995" s="156"/>
      <c r="AW995" s="156"/>
      <c r="AX995" s="156"/>
      <c r="AY995" s="156"/>
      <c r="AZ995" s="156"/>
      <c r="BA995" s="156"/>
      <c r="BB995" s="2828"/>
      <c r="BC995" s="452"/>
      <c r="BD995" s="2829"/>
      <c r="BE995" s="156"/>
      <c r="BF995" s="156"/>
    </row>
    <row r="996" spans="1:58" hidden="1" outlineLevel="1" x14ac:dyDescent="0.35">
      <c r="A996" s="1071"/>
      <c r="B996" s="106"/>
      <c r="C996" s="103"/>
      <c r="D996" s="4076"/>
      <c r="E996" s="4022"/>
      <c r="F996" s="3937" t="str">
        <f t="shared" si="161"/>
        <v>Mini/MultiSplitASHP-Replace_CAC_NonElectricHeat_ROF_SF</v>
      </c>
      <c r="G996" s="3938"/>
      <c r="H996" s="3939"/>
      <c r="I996" s="2755" t="str">
        <f t="shared" si="159"/>
        <v>351451_2022_12_</v>
      </c>
      <c r="J996" s="2779">
        <v>11.420000000000002</v>
      </c>
      <c r="K996" s="623"/>
      <c r="L996" s="2729" t="s">
        <v>4360</v>
      </c>
      <c r="M996" s="1292"/>
      <c r="N996" s="1296"/>
      <c r="O996" s="2815"/>
      <c r="P996" s="106"/>
      <c r="Q996" s="106"/>
      <c r="R996" s="106"/>
      <c r="S996" s="106"/>
      <c r="T996" s="106"/>
      <c r="U996" s="106"/>
      <c r="V996" s="4076"/>
      <c r="W996" s="2224"/>
      <c r="X996" s="2374"/>
      <c r="Y996" s="2374"/>
      <c r="Z996" s="2224"/>
      <c r="AA996" s="2224"/>
      <c r="AB996" s="1811"/>
      <c r="AC996" s="1811"/>
      <c r="AD996" s="2779">
        <v>11.420000000000002</v>
      </c>
      <c r="AE996" s="2224"/>
      <c r="AF996" s="2224"/>
      <c r="AG996" s="580"/>
      <c r="AH996" s="156"/>
      <c r="AI996" s="156"/>
      <c r="AJ996" s="156"/>
      <c r="AK996" s="156"/>
      <c r="AL996" s="156"/>
      <c r="AM996" s="156"/>
      <c r="AN996" s="156"/>
      <c r="AO996" s="156"/>
      <c r="AP996" s="156"/>
      <c r="AQ996" s="156"/>
      <c r="AR996" s="156"/>
      <c r="AS996" s="156"/>
      <c r="AT996" s="156"/>
      <c r="AU996" s="156"/>
      <c r="AV996" s="156"/>
      <c r="AW996" s="156"/>
      <c r="AX996" s="156"/>
      <c r="AY996" s="156"/>
      <c r="AZ996" s="156"/>
      <c r="BA996" s="156"/>
      <c r="BB996" s="2828"/>
      <c r="BC996" s="452"/>
      <c r="BD996" s="2829"/>
      <c r="BE996" s="156"/>
      <c r="BF996" s="156"/>
    </row>
    <row r="997" spans="1:58" hidden="1" outlineLevel="1" x14ac:dyDescent="0.35">
      <c r="A997" s="1071"/>
      <c r="B997" s="106"/>
      <c r="C997" s="103"/>
      <c r="D997" s="4076"/>
      <c r="E997" s="4022"/>
      <c r="F997" s="3934" t="str">
        <f t="shared" ref="F997:F1003" si="162">F970</f>
        <v>Mini/MultiSplitASHP_ER1_SF</v>
      </c>
      <c r="G997" s="3935"/>
      <c r="H997" s="3936"/>
      <c r="I997" s="2672" t="str">
        <f t="shared" ref="I997:I1005" si="163">I970</f>
        <v>351500_2021_12_</v>
      </c>
      <c r="J997" s="2779">
        <v>11.070754716981131</v>
      </c>
      <c r="K997" s="623"/>
      <c r="L997" s="2729" t="s">
        <v>4360</v>
      </c>
      <c r="M997" s="1307"/>
      <c r="N997" s="1296"/>
      <c r="O997" s="2815"/>
      <c r="P997" s="106"/>
      <c r="Q997" s="106"/>
      <c r="R997" s="106"/>
      <c r="S997" s="106"/>
      <c r="T997" s="106"/>
      <c r="U997" s="106"/>
      <c r="V997" s="4076"/>
      <c r="W997" s="2224">
        <v>11.4</v>
      </c>
      <c r="X997" s="2374">
        <v>11.32</v>
      </c>
      <c r="Y997" s="2374">
        <v>12.6</v>
      </c>
      <c r="Z997" s="2224">
        <v>12.6</v>
      </c>
      <c r="AA997" s="2224">
        <v>12.6</v>
      </c>
      <c r="AB997" s="1811">
        <v>8.3625000000000007</v>
      </c>
      <c r="AC997" s="1811">
        <v>10.93</v>
      </c>
      <c r="AD997" s="2779">
        <v>11.070754716981131</v>
      </c>
      <c r="AE997" s="2224"/>
      <c r="AF997" s="2224"/>
      <c r="AG997" s="580"/>
      <c r="AH997" s="156"/>
      <c r="AI997" s="156"/>
      <c r="AJ997" s="156"/>
      <c r="AK997" s="156"/>
      <c r="AL997" s="156"/>
      <c r="AM997" s="156"/>
      <c r="AN997" s="156"/>
      <c r="AO997" s="156"/>
      <c r="AP997" s="156"/>
      <c r="AQ997" s="156"/>
      <c r="AR997" s="156"/>
      <c r="AS997" s="156"/>
      <c r="AT997" s="156"/>
      <c r="AU997" s="156"/>
      <c r="AV997" s="156"/>
      <c r="AW997" s="156"/>
      <c r="AX997" s="156"/>
      <c r="AY997" s="156"/>
      <c r="AZ997" s="156"/>
      <c r="BA997" s="156"/>
      <c r="BB997" s="2828"/>
      <c r="BC997" s="452"/>
      <c r="BD997" s="2829"/>
      <c r="BE997" s="156"/>
      <c r="BF997" s="156"/>
    </row>
    <row r="998" spans="1:58" hidden="1" outlineLevel="1" x14ac:dyDescent="0.35">
      <c r="A998" s="1071"/>
      <c r="B998" s="106"/>
      <c r="C998" s="103"/>
      <c r="D998" s="4076"/>
      <c r="E998" s="4022"/>
      <c r="F998" s="3934" t="str">
        <f t="shared" si="162"/>
        <v>Mini/MultiSplitAC_ER1_MF</v>
      </c>
      <c r="G998" s="3935"/>
      <c r="H998" s="3936"/>
      <c r="I998" s="2672" t="str">
        <f t="shared" si="163"/>
        <v>351550_2021_12_</v>
      </c>
      <c r="J998" s="1816">
        <f t="shared" ref="J998:J999" si="164">J989</f>
        <v>0</v>
      </c>
      <c r="K998" s="623"/>
      <c r="L998" s="1809" t="s">
        <v>1042</v>
      </c>
      <c r="M998" s="1304"/>
      <c r="N998" s="1296"/>
      <c r="O998" s="2815"/>
      <c r="P998" s="106"/>
      <c r="Q998" s="106"/>
      <c r="R998" s="106"/>
      <c r="S998" s="106"/>
      <c r="T998" s="106"/>
      <c r="U998" s="106"/>
      <c r="V998" s="4076"/>
      <c r="W998" s="2224"/>
      <c r="X998" s="2374"/>
      <c r="Y998" s="2374">
        <v>0</v>
      </c>
      <c r="Z998" s="2224">
        <v>0</v>
      </c>
      <c r="AA998" s="2224">
        <v>0</v>
      </c>
      <c r="AB998" s="1808">
        <v>0</v>
      </c>
      <c r="AC998" s="1816">
        <v>0</v>
      </c>
      <c r="AD998" s="1816">
        <v>0</v>
      </c>
      <c r="AE998" s="2224"/>
      <c r="AF998" s="2224"/>
      <c r="AG998" s="580"/>
      <c r="AH998" s="156"/>
      <c r="AI998" s="156"/>
      <c r="AJ998" s="156"/>
      <c r="AK998" s="156"/>
      <c r="AL998" s="156"/>
      <c r="AM998" s="156"/>
      <c r="AN998" s="156"/>
      <c r="AO998" s="156"/>
      <c r="AP998" s="156"/>
      <c r="AQ998" s="156"/>
      <c r="AR998" s="156"/>
      <c r="AS998" s="156"/>
      <c r="AT998" s="156"/>
      <c r="AU998" s="156"/>
      <c r="AV998" s="156"/>
      <c r="AW998" s="156"/>
      <c r="AX998" s="156"/>
      <c r="AY998" s="156"/>
      <c r="AZ998" s="156"/>
      <c r="BA998" s="156"/>
      <c r="BB998" s="2828"/>
      <c r="BC998" s="452"/>
      <c r="BD998" s="2829"/>
      <c r="BE998" s="156"/>
      <c r="BF998" s="156"/>
    </row>
    <row r="999" spans="1:58" hidden="1" outlineLevel="1" x14ac:dyDescent="0.35">
      <c r="A999" s="1071"/>
      <c r="B999" s="106"/>
      <c r="C999" s="103"/>
      <c r="D999" s="4076"/>
      <c r="E999" s="4022"/>
      <c r="F999" s="3934" t="str">
        <f t="shared" si="162"/>
        <v>Mini/MultiSplitAC_ROF_MF</v>
      </c>
      <c r="G999" s="3935"/>
      <c r="H999" s="3936"/>
      <c r="I999" s="2672" t="str">
        <f t="shared" si="163"/>
        <v>351600_2021_12_</v>
      </c>
      <c r="J999" s="1816">
        <f t="shared" si="164"/>
        <v>0</v>
      </c>
      <c r="K999" s="623"/>
      <c r="L999" s="1809" t="s">
        <v>1042</v>
      </c>
      <c r="M999" s="1304"/>
      <c r="N999" s="1296"/>
      <c r="O999" s="2815"/>
      <c r="P999" s="106"/>
      <c r="Q999" s="106"/>
      <c r="R999" s="106"/>
      <c r="S999" s="106"/>
      <c r="T999" s="106"/>
      <c r="U999" s="106"/>
      <c r="V999" s="4076"/>
      <c r="W999" s="2224"/>
      <c r="X999" s="2374"/>
      <c r="Y999" s="2374">
        <v>0</v>
      </c>
      <c r="Z999" s="2224">
        <v>0</v>
      </c>
      <c r="AA999" s="2224">
        <v>0</v>
      </c>
      <c r="AB999" s="1808">
        <v>0</v>
      </c>
      <c r="AC999" s="1816">
        <v>0</v>
      </c>
      <c r="AD999" s="1816">
        <v>0</v>
      </c>
      <c r="AE999" s="2224"/>
      <c r="AF999" s="2224"/>
      <c r="AG999" s="580"/>
      <c r="AH999" s="156"/>
      <c r="AI999" s="156"/>
      <c r="AJ999" s="156"/>
      <c r="AK999" s="156"/>
      <c r="AL999" s="156"/>
      <c r="AM999" s="156"/>
      <c r="AN999" s="156"/>
      <c r="AO999" s="156"/>
      <c r="AP999" s="156"/>
      <c r="AQ999" s="156"/>
      <c r="AR999" s="156"/>
      <c r="AS999" s="156"/>
      <c r="AT999" s="156"/>
      <c r="AU999" s="156"/>
      <c r="AV999" s="156"/>
      <c r="AW999" s="156"/>
      <c r="AX999" s="156"/>
      <c r="AY999" s="156"/>
      <c r="AZ999" s="156"/>
      <c r="BA999" s="156"/>
      <c r="BB999" s="2828"/>
      <c r="BC999" s="452"/>
      <c r="BD999" s="2829"/>
      <c r="BE999" s="156"/>
      <c r="BF999" s="156"/>
    </row>
    <row r="1000" spans="1:58" hidden="1" outlineLevel="1" x14ac:dyDescent="0.35">
      <c r="A1000" s="1071"/>
      <c r="B1000" s="106"/>
      <c r="C1000" s="103"/>
      <c r="D1000" s="4076"/>
      <c r="E1000" s="4022"/>
      <c r="F1000" s="3934" t="str">
        <f t="shared" si="162"/>
        <v>Mini/MultiSplitASHP_ROF_MF_NC</v>
      </c>
      <c r="G1000" s="3935"/>
      <c r="H1000" s="3936"/>
      <c r="I1000" s="2672" t="str">
        <f t="shared" si="163"/>
        <v>351650_2021_12_</v>
      </c>
      <c r="J1000" s="2779">
        <v>12.5</v>
      </c>
      <c r="K1000" s="623"/>
      <c r="L1000" s="2729" t="s">
        <v>4360</v>
      </c>
      <c r="M1000" s="1304"/>
      <c r="N1000" s="1296"/>
      <c r="O1000" s="2815"/>
      <c r="P1000" s="106"/>
      <c r="Q1000" s="106"/>
      <c r="R1000" s="106"/>
      <c r="S1000" s="106"/>
      <c r="T1000" s="106"/>
      <c r="U1000" s="106"/>
      <c r="V1000" s="4076"/>
      <c r="W1000" s="2224"/>
      <c r="X1000" s="2374"/>
      <c r="Y1000" s="2374">
        <v>10.6</v>
      </c>
      <c r="Z1000" s="2224">
        <v>10.6</v>
      </c>
      <c r="AA1000" s="2224">
        <v>10.6</v>
      </c>
      <c r="AB1000" s="1808">
        <v>10.6</v>
      </c>
      <c r="AC1000" s="1811">
        <v>11.342156862745099</v>
      </c>
      <c r="AD1000" s="2779">
        <v>12.5</v>
      </c>
      <c r="AE1000" s="2224"/>
      <c r="AF1000" s="2224"/>
      <c r="AG1000" s="580"/>
      <c r="AH1000" s="156"/>
      <c r="AI1000" s="156"/>
      <c r="AJ1000" s="156"/>
      <c r="AK1000" s="156"/>
      <c r="AL1000" s="156"/>
      <c r="AM1000" s="156"/>
      <c r="AN1000" s="156"/>
      <c r="AO1000" s="156"/>
      <c r="AP1000" s="156"/>
      <c r="AQ1000" s="156"/>
      <c r="AR1000" s="156"/>
      <c r="AS1000" s="156"/>
      <c r="AT1000" s="156"/>
      <c r="AU1000" s="156"/>
      <c r="AV1000" s="156"/>
      <c r="AW1000" s="156"/>
      <c r="AX1000" s="156"/>
      <c r="AY1000" s="156"/>
      <c r="AZ1000" s="156"/>
      <c r="BA1000" s="156"/>
      <c r="BB1000" s="2828"/>
      <c r="BC1000" s="452"/>
      <c r="BD1000" s="2829"/>
      <c r="BE1000" s="156"/>
      <c r="BF1000" s="156"/>
    </row>
    <row r="1001" spans="1:58" hidden="1" outlineLevel="1" x14ac:dyDescent="0.35">
      <c r="A1001" s="1071"/>
      <c r="B1001" s="106"/>
      <c r="C1001" s="103"/>
      <c r="D1001" s="4076"/>
      <c r="E1001" s="4022"/>
      <c r="F1001" s="3934" t="str">
        <f t="shared" si="162"/>
        <v>Mini/MultiSplitASHP_ROF_MF</v>
      </c>
      <c r="G1001" s="3935"/>
      <c r="H1001" s="3936"/>
      <c r="I1001" s="2910" t="str">
        <f t="shared" si="163"/>
        <v>351700_2021_12_</v>
      </c>
      <c r="J1001" s="2779">
        <v>12.5</v>
      </c>
      <c r="K1001" s="623"/>
      <c r="L1001" s="2729" t="s">
        <v>4360</v>
      </c>
      <c r="M1001" s="1304"/>
      <c r="N1001" s="1296"/>
      <c r="O1001" s="2815"/>
      <c r="P1001" s="106"/>
      <c r="Q1001" s="106"/>
      <c r="R1001" s="106"/>
      <c r="S1001" s="106"/>
      <c r="T1001" s="106"/>
      <c r="U1001" s="106"/>
      <c r="V1001" s="4076"/>
      <c r="W1001" s="2224"/>
      <c r="X1001" s="2374"/>
      <c r="Y1001" s="2374">
        <v>10.6</v>
      </c>
      <c r="Z1001" s="2224">
        <v>10.6</v>
      </c>
      <c r="AA1001" s="2224">
        <v>10.6</v>
      </c>
      <c r="AB1001" s="1811">
        <v>11.003896103896107</v>
      </c>
      <c r="AC1001" s="1811">
        <v>11.835714285714287</v>
      </c>
      <c r="AD1001" s="2779">
        <v>12.5</v>
      </c>
      <c r="AE1001" s="2224"/>
      <c r="AF1001" s="2224"/>
      <c r="AG1001" s="580"/>
      <c r="AH1001" s="156"/>
      <c r="AI1001" s="156"/>
      <c r="AJ1001" s="156"/>
      <c r="AK1001" s="156"/>
      <c r="AL1001" s="156"/>
      <c r="AM1001" s="156"/>
      <c r="AN1001" s="156"/>
      <c r="AO1001" s="156"/>
      <c r="AP1001" s="156"/>
      <c r="AQ1001" s="156"/>
      <c r="AR1001" s="156"/>
      <c r="AS1001" s="156"/>
      <c r="AT1001" s="156"/>
      <c r="AU1001" s="156"/>
      <c r="AV1001" s="156"/>
      <c r="AW1001" s="156"/>
      <c r="AX1001" s="156"/>
      <c r="AY1001" s="156"/>
      <c r="AZ1001" s="156"/>
      <c r="BA1001" s="156"/>
      <c r="BB1001" s="2828"/>
      <c r="BC1001" s="452"/>
      <c r="BD1001" s="2829"/>
      <c r="BE1001" s="156"/>
      <c r="BF1001" s="156"/>
    </row>
    <row r="1002" spans="1:58" hidden="1" outlineLevel="1" x14ac:dyDescent="0.35">
      <c r="A1002" s="1071"/>
      <c r="B1002" s="106"/>
      <c r="C1002" s="103"/>
      <c r="D1002" s="4076"/>
      <c r="E1002" s="4022"/>
      <c r="F1002" s="3934" t="str">
        <f t="shared" si="162"/>
        <v>Mini/MultiSplitASHP-Replace_CAC_ElectricHeat_ER1_MF</v>
      </c>
      <c r="G1002" s="3935"/>
      <c r="H1002" s="3936"/>
      <c r="I1002" s="2672" t="str">
        <f t="shared" si="163"/>
        <v>351750_2021_12_</v>
      </c>
      <c r="J1002" s="1816">
        <f>J1000</f>
        <v>12.5</v>
      </c>
      <c r="K1002" s="623"/>
      <c r="L1002" s="1809" t="s">
        <v>1052</v>
      </c>
      <c r="M1002" s="1304"/>
      <c r="N1002" s="1296"/>
      <c r="O1002" s="2815"/>
      <c r="P1002" s="106"/>
      <c r="Q1002" s="106"/>
      <c r="R1002" s="106"/>
      <c r="S1002" s="106"/>
      <c r="T1002" s="106"/>
      <c r="U1002" s="106"/>
      <c r="V1002" s="4076"/>
      <c r="W1002" s="2224"/>
      <c r="X1002" s="2374"/>
      <c r="Y1002" s="2374">
        <v>11.4</v>
      </c>
      <c r="Z1002" s="2224">
        <v>11.4</v>
      </c>
      <c r="AA1002" s="2224">
        <v>11.4</v>
      </c>
      <c r="AB1002" s="1811">
        <v>9.4433000000000007</v>
      </c>
      <c r="AC1002" s="1811">
        <v>10.741860465116279</v>
      </c>
      <c r="AD1002" s="1816">
        <v>12.5</v>
      </c>
      <c r="AE1002" s="2224"/>
      <c r="AF1002" s="2224"/>
      <c r="AG1002" s="580"/>
      <c r="AH1002" s="156"/>
      <c r="AI1002" s="156"/>
      <c r="AJ1002" s="156"/>
      <c r="AK1002" s="156"/>
      <c r="AL1002" s="156"/>
      <c r="AM1002" s="156"/>
      <c r="AN1002" s="156"/>
      <c r="AO1002" s="156"/>
      <c r="AP1002" s="156"/>
      <c r="AQ1002" s="156"/>
      <c r="AR1002" s="156"/>
      <c r="AS1002" s="156"/>
      <c r="AT1002" s="156"/>
      <c r="AU1002" s="156"/>
      <c r="AV1002" s="156"/>
      <c r="AW1002" s="156"/>
      <c r="AX1002" s="156"/>
      <c r="AY1002" s="156"/>
      <c r="AZ1002" s="156"/>
      <c r="BA1002" s="156"/>
      <c r="BB1002" s="2828"/>
      <c r="BC1002" s="452"/>
      <c r="BD1002" s="2829"/>
      <c r="BE1002" s="156"/>
      <c r="BF1002" s="156"/>
    </row>
    <row r="1003" spans="1:58" hidden="1" outlineLevel="1" x14ac:dyDescent="0.35">
      <c r="A1003" s="1071"/>
      <c r="B1003" s="106"/>
      <c r="C1003" s="103"/>
      <c r="D1003" s="4076"/>
      <c r="E1003" s="4022"/>
      <c r="F1003" s="3934" t="str">
        <f t="shared" si="162"/>
        <v>Mini/MultiSplitASHP-Replace_CAC_ElectricHeat_ROF_MF</v>
      </c>
      <c r="G1003" s="3935"/>
      <c r="H1003" s="3936"/>
      <c r="I1003" s="2672" t="str">
        <f t="shared" si="163"/>
        <v>351800_2021_12_</v>
      </c>
      <c r="J1003" s="1816">
        <f>J1001</f>
        <v>12.5</v>
      </c>
      <c r="K1003" s="623"/>
      <c r="L1003" s="1809" t="s">
        <v>1052</v>
      </c>
      <c r="M1003" s="1304"/>
      <c r="N1003" s="1296"/>
      <c r="O1003" s="2815"/>
      <c r="P1003" s="106"/>
      <c r="Q1003" s="106"/>
      <c r="R1003" s="106"/>
      <c r="S1003" s="106"/>
      <c r="T1003" s="106"/>
      <c r="U1003" s="106"/>
      <c r="V1003" s="4076"/>
      <c r="W1003" s="2224"/>
      <c r="X1003" s="2374"/>
      <c r="Y1003" s="2374">
        <v>11.4</v>
      </c>
      <c r="Z1003" s="2224">
        <v>11.4</v>
      </c>
      <c r="AA1003" s="2224">
        <v>11.4</v>
      </c>
      <c r="AB1003" s="1811">
        <v>11.226666666666667</v>
      </c>
      <c r="AC1003" s="1811">
        <v>11.1</v>
      </c>
      <c r="AD1003" s="1816">
        <v>12.5</v>
      </c>
      <c r="AE1003" s="2224"/>
      <c r="AF1003" s="2224"/>
      <c r="AG1003" s="580"/>
      <c r="AH1003" s="156"/>
      <c r="AI1003" s="156"/>
      <c r="AJ1003" s="156"/>
      <c r="AK1003" s="156"/>
      <c r="AL1003" s="156"/>
      <c r="AM1003" s="156"/>
      <c r="AN1003" s="156"/>
      <c r="AO1003" s="156"/>
      <c r="AP1003" s="156"/>
      <c r="AQ1003" s="156"/>
      <c r="AR1003" s="156"/>
      <c r="AS1003" s="156"/>
      <c r="AT1003" s="156"/>
      <c r="AU1003" s="156"/>
      <c r="AV1003" s="156"/>
      <c r="AW1003" s="156"/>
      <c r="AX1003" s="156"/>
      <c r="AY1003" s="156"/>
      <c r="AZ1003" s="156"/>
      <c r="BA1003" s="156"/>
      <c r="BB1003" s="2828"/>
      <c r="BC1003" s="452"/>
      <c r="BD1003" s="2829"/>
      <c r="BE1003" s="156"/>
      <c r="BF1003" s="156"/>
    </row>
    <row r="1004" spans="1:58" hidden="1" outlineLevel="1" x14ac:dyDescent="0.35">
      <c r="A1004" s="1071"/>
      <c r="B1004" s="106"/>
      <c r="C1004" s="103"/>
      <c r="D1004" s="4076"/>
      <c r="E1004" s="4022"/>
      <c r="F1004" s="3937" t="str">
        <f t="shared" ref="F1004:F1005" si="165">F977</f>
        <v>Mini/MultiSplitASHP-Replace_CAC_NonElectricHeat_ER1_MF</v>
      </c>
      <c r="G1004" s="3938"/>
      <c r="H1004" s="3939"/>
      <c r="I1004" s="2755" t="str">
        <f t="shared" si="163"/>
        <v>351752_2022_12_</v>
      </c>
      <c r="J1004" s="1811">
        <f>J1002</f>
        <v>12.5</v>
      </c>
      <c r="K1004" s="623"/>
      <c r="L1004" s="2757" t="s">
        <v>1083</v>
      </c>
      <c r="M1004" s="2814"/>
      <c r="N1004" s="1296"/>
      <c r="O1004" s="2815"/>
      <c r="P1004" s="106"/>
      <c r="Q1004" s="106"/>
      <c r="R1004" s="106"/>
      <c r="S1004" s="106"/>
      <c r="T1004" s="106"/>
      <c r="U1004" s="106"/>
      <c r="V1004" s="4076"/>
      <c r="W1004" s="2224"/>
      <c r="X1004" s="2374"/>
      <c r="Y1004" s="2374"/>
      <c r="Z1004" s="2224"/>
      <c r="AA1004" s="2224"/>
      <c r="AB1004" s="1811"/>
      <c r="AC1004" s="1811"/>
      <c r="AD1004" s="1811">
        <v>12.5</v>
      </c>
      <c r="AE1004" s="2224"/>
      <c r="AF1004" s="2224"/>
      <c r="AG1004" s="580"/>
      <c r="AH1004" s="156"/>
      <c r="AI1004" s="156"/>
      <c r="AJ1004" s="156"/>
      <c r="AK1004" s="156"/>
      <c r="AL1004" s="156"/>
      <c r="AM1004" s="156"/>
      <c r="AN1004" s="156"/>
      <c r="AO1004" s="156"/>
      <c r="AP1004" s="156"/>
      <c r="AQ1004" s="156"/>
      <c r="AR1004" s="156"/>
      <c r="AS1004" s="156"/>
      <c r="AT1004" s="156"/>
      <c r="AU1004" s="156"/>
      <c r="AV1004" s="156"/>
      <c r="AW1004" s="156"/>
      <c r="AX1004" s="156"/>
      <c r="AY1004" s="156"/>
      <c r="AZ1004" s="156"/>
      <c r="BA1004" s="156"/>
      <c r="BB1004" s="2828"/>
      <c r="BC1004" s="452"/>
      <c r="BD1004" s="2829"/>
      <c r="BE1004" s="156"/>
      <c r="BF1004" s="156"/>
    </row>
    <row r="1005" spans="1:58" hidden="1" outlineLevel="1" x14ac:dyDescent="0.35">
      <c r="A1005" s="1071"/>
      <c r="B1005" s="106"/>
      <c r="C1005" s="103"/>
      <c r="D1005" s="4076"/>
      <c r="E1005" s="4022"/>
      <c r="F1005" s="3937" t="str">
        <f t="shared" si="165"/>
        <v>Mini/MultiSplitASHP-Replace_CAC_NonElectricHeat_ROF_MF</v>
      </c>
      <c r="G1005" s="3938"/>
      <c r="H1005" s="3939"/>
      <c r="I1005" s="2755" t="str">
        <f t="shared" si="163"/>
        <v>351802_2022_12_</v>
      </c>
      <c r="J1005" s="1811">
        <f>J1003</f>
        <v>12.5</v>
      </c>
      <c r="K1005" s="623"/>
      <c r="L1005" s="2757" t="s">
        <v>1083</v>
      </c>
      <c r="M1005" s="1304"/>
      <c r="N1005" s="1296"/>
      <c r="O1005" s="2815"/>
      <c r="P1005" s="106"/>
      <c r="Q1005" s="106"/>
      <c r="R1005" s="106"/>
      <c r="S1005" s="106"/>
      <c r="T1005" s="106"/>
      <c r="U1005" s="106"/>
      <c r="V1005" s="4076"/>
      <c r="W1005" s="2224"/>
      <c r="X1005" s="2374"/>
      <c r="Y1005" s="2374"/>
      <c r="Z1005" s="2224"/>
      <c r="AA1005" s="2224"/>
      <c r="AB1005" s="1811"/>
      <c r="AC1005" s="1811"/>
      <c r="AD1005" s="1811">
        <v>12.5</v>
      </c>
      <c r="AE1005" s="2224"/>
      <c r="AF1005" s="2224"/>
      <c r="AG1005" s="580"/>
      <c r="AH1005" s="156"/>
      <c r="AI1005" s="156"/>
      <c r="AJ1005" s="156"/>
      <c r="AK1005" s="156"/>
      <c r="AL1005" s="156"/>
      <c r="AM1005" s="156"/>
      <c r="AN1005" s="156"/>
      <c r="AO1005" s="156"/>
      <c r="AP1005" s="156"/>
      <c r="AQ1005" s="156"/>
      <c r="AR1005" s="156"/>
      <c r="AS1005" s="156"/>
      <c r="AT1005" s="156"/>
      <c r="AU1005" s="156"/>
      <c r="AV1005" s="156"/>
      <c r="AW1005" s="156"/>
      <c r="AX1005" s="156"/>
      <c r="AY1005" s="156"/>
      <c r="AZ1005" s="156"/>
      <c r="BA1005" s="156"/>
      <c r="BB1005" s="2828"/>
      <c r="BC1005" s="452"/>
      <c r="BD1005" s="2829"/>
      <c r="BE1005" s="156"/>
      <c r="BF1005" s="156"/>
    </row>
    <row r="1006" spans="1:58" hidden="1" outlineLevel="1" x14ac:dyDescent="0.35">
      <c r="A1006" s="1071"/>
      <c r="B1006" s="106"/>
      <c r="C1006" s="103"/>
      <c r="D1006" s="4076"/>
      <c r="E1006" s="4022"/>
      <c r="F1006" s="3934" t="str">
        <f t="shared" ref="F1006:F1012" si="166">F979</f>
        <v>Mini/MultiSplitASHP_ER1_MF</v>
      </c>
      <c r="G1006" s="3935"/>
      <c r="H1006" s="3936"/>
      <c r="I1006" s="2672" t="str">
        <f t="shared" ref="I1006:I1014" si="167">I979</f>
        <v>351850_2021_12_</v>
      </c>
      <c r="J1006" s="1811">
        <f>J1004</f>
        <v>12.5</v>
      </c>
      <c r="K1006" s="623"/>
      <c r="L1006" s="1809" t="s">
        <v>1052</v>
      </c>
      <c r="M1006" s="1304"/>
      <c r="N1006" s="1296"/>
      <c r="O1006" s="2815"/>
      <c r="P1006" s="106"/>
      <c r="Q1006" s="106"/>
      <c r="R1006" s="106"/>
      <c r="S1006" s="106"/>
      <c r="T1006" s="106"/>
      <c r="U1006" s="106"/>
      <c r="V1006" s="4076"/>
      <c r="W1006" s="2224"/>
      <c r="X1006" s="2374"/>
      <c r="Y1006" s="2374">
        <v>12.6</v>
      </c>
      <c r="Z1006" s="2224">
        <v>12.6</v>
      </c>
      <c r="AA1006" s="2224">
        <v>12.6</v>
      </c>
      <c r="AB1006" s="1811">
        <v>8.3625000000000007</v>
      </c>
      <c r="AC1006" s="1811">
        <v>10.93</v>
      </c>
      <c r="AD1006" s="1811">
        <v>12.5</v>
      </c>
      <c r="AE1006" s="2224"/>
      <c r="AF1006" s="2224"/>
      <c r="AG1006" s="580"/>
      <c r="AH1006" s="156"/>
      <c r="AI1006" s="156"/>
      <c r="AJ1006" s="156"/>
      <c r="AK1006" s="156"/>
      <c r="AL1006" s="156"/>
      <c r="AM1006" s="156"/>
      <c r="AN1006" s="156"/>
      <c r="AO1006" s="156"/>
      <c r="AP1006" s="156"/>
      <c r="AQ1006" s="156"/>
      <c r="AR1006" s="156"/>
      <c r="AS1006" s="156"/>
      <c r="AT1006" s="156"/>
      <c r="AU1006" s="156"/>
      <c r="AV1006" s="156"/>
      <c r="AW1006" s="156"/>
      <c r="AX1006" s="156"/>
      <c r="AY1006" s="156"/>
      <c r="AZ1006" s="156"/>
      <c r="BA1006" s="156"/>
      <c r="BB1006" s="2828"/>
      <c r="BC1006" s="452"/>
      <c r="BD1006" s="2829"/>
      <c r="BE1006" s="156"/>
      <c r="BF1006" s="156"/>
    </row>
    <row r="1007" spans="1:58" hidden="1" outlineLevel="1" x14ac:dyDescent="0.35">
      <c r="A1007" s="1071"/>
      <c r="B1007" s="106"/>
      <c r="C1007" s="103"/>
      <c r="D1007" s="4076"/>
      <c r="E1007" s="4022"/>
      <c r="F1007" s="3934" t="str">
        <f t="shared" si="166"/>
        <v>Mini/MultiSplitAC_ER1_MF_CompE</v>
      </c>
      <c r="G1007" s="3935"/>
      <c r="H1007" s="3936"/>
      <c r="I1007" s="2672" t="str">
        <f t="shared" si="167"/>
        <v>351551_2021_12_</v>
      </c>
      <c r="J1007" s="1816">
        <f t="shared" ref="J1007:J1008" si="168">J989</f>
        <v>0</v>
      </c>
      <c r="K1007" s="623"/>
      <c r="L1007" s="1809" t="s">
        <v>1042</v>
      </c>
      <c r="M1007" s="1307"/>
      <c r="N1007" s="1296"/>
      <c r="O1007" s="2815"/>
      <c r="P1007" s="106"/>
      <c r="Q1007" s="106"/>
      <c r="R1007" s="106"/>
      <c r="S1007" s="106"/>
      <c r="T1007" s="106"/>
      <c r="U1007" s="106"/>
      <c r="V1007" s="4076"/>
      <c r="W1007" s="2224"/>
      <c r="X1007" s="2374"/>
      <c r="Y1007" s="2374">
        <v>0</v>
      </c>
      <c r="Z1007" s="2224">
        <v>0</v>
      </c>
      <c r="AA1007" s="2224">
        <v>0</v>
      </c>
      <c r="AB1007" s="1808">
        <v>0</v>
      </c>
      <c r="AC1007" s="1816">
        <v>0</v>
      </c>
      <c r="AD1007" s="1816">
        <v>0</v>
      </c>
      <c r="AE1007" s="2224"/>
      <c r="AF1007" s="2224"/>
      <c r="AG1007" s="580"/>
      <c r="AH1007" s="156"/>
      <c r="AI1007" s="156"/>
      <c r="AJ1007" s="156"/>
      <c r="AK1007" s="156"/>
      <c r="AL1007" s="156"/>
      <c r="AM1007" s="156"/>
      <c r="AN1007" s="156"/>
      <c r="AO1007" s="156"/>
      <c r="AP1007" s="156"/>
      <c r="AQ1007" s="156"/>
      <c r="AR1007" s="156"/>
      <c r="AS1007" s="156"/>
      <c r="AT1007" s="156"/>
      <c r="AU1007" s="156"/>
      <c r="AV1007" s="156"/>
      <c r="AW1007" s="156"/>
      <c r="AX1007" s="156"/>
      <c r="AY1007" s="156"/>
      <c r="AZ1007" s="156"/>
      <c r="BA1007" s="156"/>
      <c r="BB1007" s="2828"/>
      <c r="BC1007" s="452"/>
      <c r="BD1007" s="2829"/>
      <c r="BE1007" s="156"/>
      <c r="BF1007" s="156"/>
    </row>
    <row r="1008" spans="1:58" hidden="1" outlineLevel="1" x14ac:dyDescent="0.35">
      <c r="A1008" s="1071"/>
      <c r="B1008" s="106"/>
      <c r="C1008" s="103"/>
      <c r="D1008" s="4076"/>
      <c r="E1008" s="4022"/>
      <c r="F1008" s="3934" t="str">
        <f t="shared" si="166"/>
        <v>Mini/MultiSplitAC_ROF_MF_CompE</v>
      </c>
      <c r="G1008" s="3935"/>
      <c r="H1008" s="3936"/>
      <c r="I1008" s="2672" t="str">
        <f t="shared" si="167"/>
        <v>351601_2021_12_</v>
      </c>
      <c r="J1008" s="1816">
        <f t="shared" si="168"/>
        <v>0</v>
      </c>
      <c r="K1008" s="623"/>
      <c r="L1008" s="1809" t="s">
        <v>1042</v>
      </c>
      <c r="M1008" s="1307"/>
      <c r="N1008" s="1296"/>
      <c r="O1008" s="2815"/>
      <c r="P1008" s="106"/>
      <c r="Q1008" s="106"/>
      <c r="R1008" s="106"/>
      <c r="S1008" s="106"/>
      <c r="T1008" s="106"/>
      <c r="U1008" s="106"/>
      <c r="V1008" s="4076"/>
      <c r="W1008" s="2224"/>
      <c r="X1008" s="2374"/>
      <c r="Y1008" s="2374">
        <v>0</v>
      </c>
      <c r="Z1008" s="2224">
        <v>0</v>
      </c>
      <c r="AA1008" s="2224">
        <v>0</v>
      </c>
      <c r="AB1008" s="1808">
        <v>0</v>
      </c>
      <c r="AC1008" s="1816">
        <v>0</v>
      </c>
      <c r="AD1008" s="1816">
        <v>0</v>
      </c>
      <c r="AE1008" s="2224"/>
      <c r="AF1008" s="2224"/>
      <c r="AG1008" s="580"/>
      <c r="AH1008" s="156"/>
      <c r="AI1008" s="156"/>
      <c r="AJ1008" s="156"/>
      <c r="AK1008" s="156"/>
      <c r="AL1008" s="156"/>
      <c r="AM1008" s="156"/>
      <c r="AN1008" s="156"/>
      <c r="AO1008" s="156"/>
      <c r="AP1008" s="156"/>
      <c r="AQ1008" s="156"/>
      <c r="AR1008" s="156"/>
      <c r="AS1008" s="156"/>
      <c r="AT1008" s="156"/>
      <c r="AU1008" s="156"/>
      <c r="AV1008" s="156"/>
      <c r="AW1008" s="156"/>
      <c r="AX1008" s="156"/>
      <c r="AY1008" s="156"/>
      <c r="AZ1008" s="156"/>
      <c r="BA1008" s="156"/>
      <c r="BB1008" s="2828"/>
      <c r="BC1008" s="452"/>
      <c r="BD1008" s="2829"/>
      <c r="BE1008" s="156"/>
      <c r="BF1008" s="156"/>
    </row>
    <row r="1009" spans="1:58" hidden="1" outlineLevel="1" x14ac:dyDescent="0.35">
      <c r="A1009" s="1071"/>
      <c r="B1009" s="106"/>
      <c r="C1009" s="103"/>
      <c r="D1009" s="4076"/>
      <c r="E1009" s="4022"/>
      <c r="F1009" s="3934" t="str">
        <f t="shared" si="166"/>
        <v>Mini/MultiSplitASHP_ROF_MF_NC_CompE</v>
      </c>
      <c r="G1009" s="3935"/>
      <c r="H1009" s="3936"/>
      <c r="I1009" s="2672" t="str">
        <f t="shared" si="167"/>
        <v>351651_2021_12_</v>
      </c>
      <c r="J1009" s="1811">
        <f t="shared" ref="J1009:J1015" si="169">J1000</f>
        <v>12.5</v>
      </c>
      <c r="K1009" s="623"/>
      <c r="L1009" s="1809" t="s">
        <v>1052</v>
      </c>
      <c r="M1009" s="1307"/>
      <c r="N1009" s="1296"/>
      <c r="O1009" s="2815"/>
      <c r="P1009" s="106"/>
      <c r="Q1009" s="106"/>
      <c r="R1009" s="106"/>
      <c r="S1009" s="106"/>
      <c r="T1009" s="106"/>
      <c r="U1009" s="106"/>
      <c r="V1009" s="4076"/>
      <c r="W1009" s="2224"/>
      <c r="X1009" s="2374"/>
      <c r="Y1009" s="2374">
        <v>10.6</v>
      </c>
      <c r="Z1009" s="2224">
        <v>10.6</v>
      </c>
      <c r="AA1009" s="2224">
        <v>10.6</v>
      </c>
      <c r="AB1009" s="1808">
        <v>10.6</v>
      </c>
      <c r="AC1009" s="1811">
        <v>11.342156862745099</v>
      </c>
      <c r="AD1009" s="1811">
        <v>12.5</v>
      </c>
      <c r="AE1009" s="2224"/>
      <c r="AF1009" s="2224"/>
      <c r="AG1009" s="580"/>
      <c r="AH1009" s="156"/>
      <c r="AI1009" s="156"/>
      <c r="AJ1009" s="156"/>
      <c r="AK1009" s="156"/>
      <c r="AL1009" s="156"/>
      <c r="AM1009" s="156"/>
      <c r="AN1009" s="156"/>
      <c r="AO1009" s="156"/>
      <c r="AP1009" s="156"/>
      <c r="AQ1009" s="156"/>
      <c r="AR1009" s="156"/>
      <c r="AS1009" s="156"/>
      <c r="AT1009" s="156"/>
      <c r="AU1009" s="156"/>
      <c r="AV1009" s="156"/>
      <c r="AW1009" s="156"/>
      <c r="AX1009" s="156"/>
      <c r="AY1009" s="156"/>
      <c r="AZ1009" s="156"/>
      <c r="BA1009" s="156"/>
      <c r="BB1009" s="2828"/>
      <c r="BC1009" s="452"/>
      <c r="BD1009" s="2829"/>
      <c r="BE1009" s="156"/>
      <c r="BF1009" s="156"/>
    </row>
    <row r="1010" spans="1:58" hidden="1" outlineLevel="1" x14ac:dyDescent="0.35">
      <c r="A1010" s="1071"/>
      <c r="B1010" s="106"/>
      <c r="C1010" s="103"/>
      <c r="D1010" s="4076"/>
      <c r="E1010" s="4022"/>
      <c r="F1010" s="3934" t="str">
        <f t="shared" si="166"/>
        <v>Mini/MultiSplitASHP_ROF_MF_CompE</v>
      </c>
      <c r="G1010" s="3935"/>
      <c r="H1010" s="3936"/>
      <c r="I1010" s="2672" t="str">
        <f t="shared" si="167"/>
        <v>351701_2021_12_</v>
      </c>
      <c r="J1010" s="1811">
        <f t="shared" si="169"/>
        <v>12.5</v>
      </c>
      <c r="K1010" s="623"/>
      <c r="L1010" s="1809" t="s">
        <v>1052</v>
      </c>
      <c r="M1010" s="1307"/>
      <c r="N1010" s="1296"/>
      <c r="O1010" s="2815"/>
      <c r="P1010" s="106"/>
      <c r="Q1010" s="106"/>
      <c r="R1010" s="106"/>
      <c r="S1010" s="106"/>
      <c r="T1010" s="106"/>
      <c r="U1010" s="106"/>
      <c r="V1010" s="4076"/>
      <c r="W1010" s="2224"/>
      <c r="X1010" s="2374"/>
      <c r="Y1010" s="2374">
        <v>10.6</v>
      </c>
      <c r="Z1010" s="2224">
        <v>10.6</v>
      </c>
      <c r="AA1010" s="2224">
        <v>10.6</v>
      </c>
      <c r="AB1010" s="1811">
        <v>11.003896103896107</v>
      </c>
      <c r="AC1010" s="1811">
        <v>11.835714285714287</v>
      </c>
      <c r="AD1010" s="1811">
        <v>12.5</v>
      </c>
      <c r="AE1010" s="2224"/>
      <c r="AF1010" s="2224"/>
      <c r="AG1010" s="580"/>
      <c r="AH1010" s="156"/>
      <c r="AI1010" s="156"/>
      <c r="AJ1010" s="156"/>
      <c r="AK1010" s="156"/>
      <c r="AL1010" s="156"/>
      <c r="AM1010" s="156"/>
      <c r="AN1010" s="156"/>
      <c r="AO1010" s="156"/>
      <c r="AP1010" s="156"/>
      <c r="AQ1010" s="156"/>
      <c r="AR1010" s="156"/>
      <c r="AS1010" s="156"/>
      <c r="AT1010" s="156"/>
      <c r="AU1010" s="156"/>
      <c r="AV1010" s="156"/>
      <c r="AW1010" s="156"/>
      <c r="AX1010" s="156"/>
      <c r="AY1010" s="156"/>
      <c r="AZ1010" s="156"/>
      <c r="BA1010" s="156"/>
      <c r="BB1010" s="2828"/>
      <c r="BC1010" s="452"/>
      <c r="BD1010" s="2829"/>
      <c r="BE1010" s="156"/>
      <c r="BF1010" s="156"/>
    </row>
    <row r="1011" spans="1:58" hidden="1" outlineLevel="1" x14ac:dyDescent="0.35">
      <c r="A1011" s="1071"/>
      <c r="B1011" s="106"/>
      <c r="C1011" s="103"/>
      <c r="D1011" s="4076"/>
      <c r="E1011" s="4022"/>
      <c r="F1011" s="3934" t="str">
        <f t="shared" si="166"/>
        <v>Mini/MultiSplitASHP-Replace_CAC_ElectricHeat_ER1_MF_CompE</v>
      </c>
      <c r="G1011" s="3935"/>
      <c r="H1011" s="3936"/>
      <c r="I1011" s="2672" t="str">
        <f t="shared" si="167"/>
        <v>351751_2021_12_</v>
      </c>
      <c r="J1011" s="1811">
        <f t="shared" si="169"/>
        <v>12.5</v>
      </c>
      <c r="K1011" s="623"/>
      <c r="L1011" s="625" t="s">
        <v>1052</v>
      </c>
      <c r="M1011" s="1307"/>
      <c r="N1011" s="1296"/>
      <c r="O1011" s="2815"/>
      <c r="P1011" s="106"/>
      <c r="Q1011" s="106"/>
      <c r="R1011" s="106"/>
      <c r="S1011" s="106"/>
      <c r="T1011" s="106"/>
      <c r="U1011" s="106"/>
      <c r="V1011" s="4076"/>
      <c r="W1011" s="2224"/>
      <c r="X1011" s="2374"/>
      <c r="Y1011" s="2374">
        <v>11.4</v>
      </c>
      <c r="Z1011" s="2224">
        <v>11.4</v>
      </c>
      <c r="AA1011" s="2224">
        <v>11.4</v>
      </c>
      <c r="AB1011" s="1811">
        <v>9.4433000000000007</v>
      </c>
      <c r="AC1011" s="1811">
        <v>10.741860465116279</v>
      </c>
      <c r="AD1011" s="1811">
        <v>12.5</v>
      </c>
      <c r="AE1011" s="2224"/>
      <c r="AF1011" s="2224"/>
      <c r="AG1011" s="580"/>
      <c r="AH1011" s="156"/>
      <c r="AI1011" s="156"/>
      <c r="AJ1011" s="156"/>
      <c r="AK1011" s="156"/>
      <c r="AL1011" s="156"/>
      <c r="AM1011" s="156"/>
      <c r="AN1011" s="156"/>
      <c r="AO1011" s="156"/>
      <c r="AP1011" s="156"/>
      <c r="AQ1011" s="156"/>
      <c r="AR1011" s="156"/>
      <c r="AS1011" s="156"/>
      <c r="AT1011" s="156"/>
      <c r="AU1011" s="156"/>
      <c r="AV1011" s="156"/>
      <c r="AW1011" s="156"/>
      <c r="AX1011" s="156"/>
      <c r="AY1011" s="156"/>
      <c r="AZ1011" s="156"/>
      <c r="BA1011" s="156"/>
      <c r="BB1011" s="2828"/>
      <c r="BC1011" s="452"/>
      <c r="BD1011" s="2829"/>
      <c r="BE1011" s="156"/>
      <c r="BF1011" s="156"/>
    </row>
    <row r="1012" spans="1:58" hidden="1" outlineLevel="1" x14ac:dyDescent="0.35">
      <c r="A1012" s="1071"/>
      <c r="B1012" s="106"/>
      <c r="C1012" s="103"/>
      <c r="D1012" s="4076"/>
      <c r="E1012" s="4022"/>
      <c r="F1012" s="3934" t="str">
        <f t="shared" si="166"/>
        <v>Mini/MultiSplitASHP-Replace_CAC_ElectricHeat_ROF_MF_CompE</v>
      </c>
      <c r="G1012" s="3935"/>
      <c r="H1012" s="3936"/>
      <c r="I1012" s="2672" t="str">
        <f t="shared" si="167"/>
        <v>351801_2021_12_</v>
      </c>
      <c r="J1012" s="1811">
        <f t="shared" si="169"/>
        <v>12.5</v>
      </c>
      <c r="K1012" s="623"/>
      <c r="L1012" s="625" t="s">
        <v>1052</v>
      </c>
      <c r="M1012" s="1307"/>
      <c r="N1012" s="1296"/>
      <c r="O1012" s="2815"/>
      <c r="P1012" s="106"/>
      <c r="Q1012" s="106"/>
      <c r="R1012" s="106"/>
      <c r="S1012" s="106"/>
      <c r="T1012" s="106"/>
      <c r="U1012" s="106"/>
      <c r="V1012" s="4076"/>
      <c r="W1012" s="2224"/>
      <c r="X1012" s="2374"/>
      <c r="Y1012" s="2374">
        <v>11.4</v>
      </c>
      <c r="Z1012" s="2224">
        <v>11.4</v>
      </c>
      <c r="AA1012" s="2224">
        <v>11.4</v>
      </c>
      <c r="AB1012" s="1811">
        <v>11.226666666666667</v>
      </c>
      <c r="AC1012" s="1811">
        <v>11.1</v>
      </c>
      <c r="AD1012" s="1811">
        <v>12.5</v>
      </c>
      <c r="AE1012" s="2224"/>
      <c r="AF1012" s="2224"/>
      <c r="AG1012" s="580"/>
      <c r="AH1012" s="156"/>
      <c r="AI1012" s="156"/>
      <c r="AJ1012" s="156"/>
      <c r="AK1012" s="156"/>
      <c r="AL1012" s="156"/>
      <c r="AM1012" s="156"/>
      <c r="AN1012" s="156"/>
      <c r="AO1012" s="156"/>
      <c r="AP1012" s="156"/>
      <c r="AQ1012" s="156"/>
      <c r="AR1012" s="156"/>
      <c r="AS1012" s="156"/>
      <c r="AT1012" s="156"/>
      <c r="AU1012" s="156"/>
      <c r="AV1012" s="156"/>
      <c r="AW1012" s="156"/>
      <c r="AX1012" s="156"/>
      <c r="AY1012" s="156"/>
      <c r="AZ1012" s="156"/>
      <c r="BA1012" s="156"/>
      <c r="BB1012" s="2828"/>
      <c r="BC1012" s="452"/>
      <c r="BD1012" s="2829"/>
      <c r="BE1012" s="156"/>
      <c r="BF1012" s="156"/>
    </row>
    <row r="1013" spans="1:58" hidden="1" outlineLevel="1" x14ac:dyDescent="0.35">
      <c r="A1013" s="1071"/>
      <c r="B1013" s="106"/>
      <c r="C1013" s="103"/>
      <c r="D1013" s="4076"/>
      <c r="E1013" s="4022"/>
      <c r="F1013" s="3937" t="str">
        <f t="shared" ref="F1013:F1014" si="170">F986</f>
        <v>Mini/MultiSplitASHP-Replace_CAC_NonElectricHeat_ER1_MF_CompE</v>
      </c>
      <c r="G1013" s="3938"/>
      <c r="H1013" s="3939"/>
      <c r="I1013" s="2755" t="str">
        <f t="shared" si="167"/>
        <v>351753_2022_12_</v>
      </c>
      <c r="J1013" s="1811">
        <f t="shared" si="169"/>
        <v>12.5</v>
      </c>
      <c r="K1013" s="623"/>
      <c r="L1013" s="2757" t="s">
        <v>1083</v>
      </c>
      <c r="M1013" s="1307"/>
      <c r="N1013" s="1296"/>
      <c r="O1013" s="2815"/>
      <c r="P1013" s="106"/>
      <c r="Q1013" s="106"/>
      <c r="R1013" s="106"/>
      <c r="S1013" s="106"/>
      <c r="T1013" s="106"/>
      <c r="U1013" s="106"/>
      <c r="V1013" s="4076"/>
      <c r="W1013" s="576"/>
      <c r="X1013" s="575"/>
      <c r="Y1013" s="575"/>
      <c r="Z1013" s="576"/>
      <c r="AA1013" s="576"/>
      <c r="AB1013" s="1811"/>
      <c r="AC1013" s="1811"/>
      <c r="AD1013" s="1811">
        <v>12.5</v>
      </c>
      <c r="AE1013" s="576"/>
      <c r="AF1013" s="576"/>
      <c r="AG1013" s="2758"/>
      <c r="AH1013" s="156"/>
      <c r="AI1013" s="156"/>
      <c r="AJ1013" s="156"/>
      <c r="AK1013" s="156"/>
      <c r="AL1013" s="156"/>
      <c r="AM1013" s="156"/>
      <c r="AN1013" s="156"/>
      <c r="AO1013" s="156"/>
      <c r="AP1013" s="156"/>
      <c r="AQ1013" s="156"/>
      <c r="AR1013" s="156"/>
      <c r="AS1013" s="156"/>
      <c r="AT1013" s="156"/>
      <c r="AU1013" s="156"/>
      <c r="AV1013" s="156"/>
      <c r="AW1013" s="156"/>
      <c r="AX1013" s="156"/>
      <c r="AY1013" s="156"/>
      <c r="AZ1013" s="156"/>
      <c r="BA1013" s="156"/>
      <c r="BB1013" s="2828"/>
      <c r="BC1013" s="452"/>
      <c r="BD1013" s="2829"/>
      <c r="BE1013" s="156"/>
      <c r="BF1013" s="156"/>
    </row>
    <row r="1014" spans="1:58" hidden="1" outlineLevel="1" x14ac:dyDescent="0.35">
      <c r="A1014" s="1071"/>
      <c r="B1014" s="106"/>
      <c r="C1014" s="103"/>
      <c r="D1014" s="4076"/>
      <c r="E1014" s="4022"/>
      <c r="F1014" s="3937" t="str">
        <f t="shared" si="170"/>
        <v>Mini/MultiSplitASHP-Replace_CAC_NonElectricHeat_ROF_MF_CompE</v>
      </c>
      <c r="G1014" s="3938"/>
      <c r="H1014" s="3939"/>
      <c r="I1014" s="2755" t="str">
        <f t="shared" si="167"/>
        <v>351803_2022_12_</v>
      </c>
      <c r="J1014" s="1811">
        <f t="shared" si="169"/>
        <v>12.5</v>
      </c>
      <c r="K1014" s="623"/>
      <c r="L1014" s="2757" t="s">
        <v>1083</v>
      </c>
      <c r="M1014" s="1307"/>
      <c r="N1014" s="1296"/>
      <c r="O1014" s="2815"/>
      <c r="P1014" s="106"/>
      <c r="Q1014" s="106"/>
      <c r="R1014" s="106"/>
      <c r="S1014" s="106"/>
      <c r="T1014" s="106"/>
      <c r="U1014" s="106"/>
      <c r="V1014" s="4076"/>
      <c r="W1014" s="576"/>
      <c r="X1014" s="575"/>
      <c r="Y1014" s="575"/>
      <c r="Z1014" s="576"/>
      <c r="AA1014" s="576"/>
      <c r="AB1014" s="1811"/>
      <c r="AC1014" s="1811"/>
      <c r="AD1014" s="1811">
        <v>12.5</v>
      </c>
      <c r="AE1014" s="576"/>
      <c r="AF1014" s="576"/>
      <c r="AG1014" s="2758"/>
      <c r="AH1014" s="156"/>
      <c r="AI1014" s="156"/>
      <c r="AJ1014" s="156"/>
      <c r="AK1014" s="156"/>
      <c r="AL1014" s="156"/>
      <c r="AM1014" s="156"/>
      <c r="AN1014" s="156"/>
      <c r="AO1014" s="156"/>
      <c r="AP1014" s="156"/>
      <c r="AQ1014" s="156"/>
      <c r="AR1014" s="156"/>
      <c r="AS1014" s="156"/>
      <c r="AT1014" s="156"/>
      <c r="AU1014" s="156"/>
      <c r="AV1014" s="156"/>
      <c r="AW1014" s="156"/>
      <c r="AX1014" s="156"/>
      <c r="AY1014" s="156"/>
      <c r="AZ1014" s="156"/>
      <c r="BA1014" s="156"/>
      <c r="BB1014" s="2828"/>
      <c r="BC1014" s="452"/>
      <c r="BD1014" s="2829"/>
      <c r="BE1014" s="156"/>
      <c r="BF1014" s="156"/>
    </row>
    <row r="1015" spans="1:58" ht="15" hidden="1" outlineLevel="1" thickBot="1" x14ac:dyDescent="0.4">
      <c r="A1015" s="1071"/>
      <c r="B1015" s="106"/>
      <c r="C1015" s="103"/>
      <c r="D1015" s="4077"/>
      <c r="E1015" s="4104"/>
      <c r="F1015" s="3940" t="str">
        <f t="shared" ref="F1015:F1021" si="171">F988</f>
        <v>Mini/MultiSplitASHP_ER1_MF_CompE</v>
      </c>
      <c r="G1015" s="3941"/>
      <c r="H1015" s="3942"/>
      <c r="I1015" s="2673" t="str">
        <f t="shared" ref="I1015:I1023" si="172">I988</f>
        <v>351851_2021_12_</v>
      </c>
      <c r="J1015" s="1811">
        <f t="shared" si="169"/>
        <v>12.5</v>
      </c>
      <c r="K1015" s="623"/>
      <c r="L1015" s="1305" t="s">
        <v>1052</v>
      </c>
      <c r="M1015" s="1307"/>
      <c r="N1015" s="1296"/>
      <c r="O1015" s="2815"/>
      <c r="P1015" s="106"/>
      <c r="Q1015" s="106"/>
      <c r="R1015" s="106"/>
      <c r="S1015" s="106"/>
      <c r="T1015" s="106"/>
      <c r="U1015" s="106"/>
      <c r="V1015" s="4077"/>
      <c r="W1015" s="2227"/>
      <c r="X1015" s="2375"/>
      <c r="Y1015" s="2375">
        <v>12.6</v>
      </c>
      <c r="Z1015" s="2227">
        <v>12.6</v>
      </c>
      <c r="AA1015" s="2227">
        <v>12.6</v>
      </c>
      <c r="AB1015" s="1811">
        <v>8.3625000000000007</v>
      </c>
      <c r="AC1015" s="1811">
        <v>10.93</v>
      </c>
      <c r="AD1015" s="1811">
        <v>12.5</v>
      </c>
      <c r="AE1015" s="2227"/>
      <c r="AF1015" s="2227"/>
      <c r="AG1015" s="626"/>
      <c r="AH1015" s="156"/>
      <c r="AI1015" s="156"/>
      <c r="AJ1015" s="156"/>
      <c r="AK1015" s="156"/>
      <c r="AL1015" s="156"/>
      <c r="AM1015" s="156"/>
      <c r="AN1015" s="156"/>
      <c r="AO1015" s="156"/>
      <c r="AP1015" s="156"/>
      <c r="AQ1015" s="156"/>
      <c r="AR1015" s="156"/>
      <c r="AS1015" s="156"/>
      <c r="AT1015" s="156"/>
      <c r="AU1015" s="156"/>
      <c r="AV1015" s="156"/>
      <c r="AW1015" s="156"/>
      <c r="AX1015" s="156"/>
      <c r="AY1015" s="156"/>
      <c r="AZ1015" s="156"/>
      <c r="BA1015" s="156"/>
      <c r="BB1015" s="2828"/>
      <c r="BC1015" s="452"/>
      <c r="BD1015" s="2829"/>
      <c r="BE1015" s="156"/>
      <c r="BF1015" s="156"/>
    </row>
    <row r="1016" spans="1:58" hidden="1" outlineLevel="1" x14ac:dyDescent="0.35">
      <c r="A1016" s="1071"/>
      <c r="B1016" s="106"/>
      <c r="C1016" s="103"/>
      <c r="D1016" s="4064" t="s">
        <v>1076</v>
      </c>
      <c r="E1016" s="4021" t="s">
        <v>1077</v>
      </c>
      <c r="F1016" s="3943" t="str">
        <f t="shared" si="171"/>
        <v>Mini/MultiSplitAC_ER1_SF</v>
      </c>
      <c r="G1016" s="3944"/>
      <c r="H1016" s="3945"/>
      <c r="I1016" s="2671" t="str">
        <f t="shared" si="172"/>
        <v>351200_2021_12_</v>
      </c>
      <c r="J1016" s="2781">
        <v>21000</v>
      </c>
      <c r="K1016" s="2817">
        <f>J1016/12000</f>
        <v>1.75</v>
      </c>
      <c r="L1016" s="2729" t="s">
        <v>4360</v>
      </c>
      <c r="M1016" s="1307"/>
      <c r="N1016" s="1296"/>
      <c r="O1016" s="2811"/>
      <c r="P1016" s="106"/>
      <c r="Q1016" s="106"/>
      <c r="R1016" s="106"/>
      <c r="S1016" s="106"/>
      <c r="T1016" s="106"/>
      <c r="U1016" s="106"/>
      <c r="V1016" s="4064" t="s">
        <v>1076</v>
      </c>
      <c r="W1016" s="2228">
        <v>20400</v>
      </c>
      <c r="X1016" s="2376">
        <f t="shared" ref="X1016:X1024" si="173">1.5*12000</f>
        <v>18000</v>
      </c>
      <c r="Y1016" s="2228">
        <v>18000</v>
      </c>
      <c r="Z1016" s="2228">
        <v>18000</v>
      </c>
      <c r="AA1016" s="2228">
        <v>18000</v>
      </c>
      <c r="AB1016" s="1810">
        <v>18000</v>
      </c>
      <c r="AC1016" s="2293">
        <v>16000</v>
      </c>
      <c r="AD1016" s="2781">
        <v>21000</v>
      </c>
      <c r="AE1016" s="2228"/>
      <c r="AF1016" s="2228"/>
      <c r="AG1016" s="622"/>
      <c r="AH1016" s="156"/>
      <c r="AI1016" s="156"/>
      <c r="AJ1016" s="156"/>
      <c r="AK1016" s="156"/>
      <c r="AL1016" s="156"/>
      <c r="AM1016" s="156"/>
      <c r="AN1016" s="156"/>
      <c r="AO1016" s="156"/>
      <c r="AP1016" s="156"/>
      <c r="AQ1016" s="156"/>
      <c r="AR1016" s="156"/>
      <c r="AS1016" s="156"/>
      <c r="AT1016" s="156"/>
      <c r="AU1016" s="156"/>
      <c r="AV1016" s="156"/>
      <c r="AW1016" s="156"/>
      <c r="AX1016" s="156"/>
      <c r="AY1016" s="156"/>
      <c r="AZ1016" s="156"/>
      <c r="BA1016" s="156"/>
      <c r="BB1016" s="2828"/>
      <c r="BC1016" s="452"/>
      <c r="BD1016" s="2829"/>
      <c r="BE1016" s="156"/>
      <c r="BF1016" s="156"/>
    </row>
    <row r="1017" spans="1:58" hidden="1" outlineLevel="1" x14ac:dyDescent="0.35">
      <c r="A1017" s="1071"/>
      <c r="B1017" s="106"/>
      <c r="C1017" s="103"/>
      <c r="D1017" s="4076"/>
      <c r="E1017" s="4022"/>
      <c r="F1017" s="3934" t="str">
        <f t="shared" si="171"/>
        <v>Mini/MultiSplitAC_ROF_SF</v>
      </c>
      <c r="G1017" s="3935"/>
      <c r="H1017" s="3936"/>
      <c r="I1017" s="2672" t="str">
        <f t="shared" si="172"/>
        <v>351250_2021_12_</v>
      </c>
      <c r="J1017" s="2782">
        <v>12666.666666666666</v>
      </c>
      <c r="K1017" s="2756">
        <f t="shared" ref="K1017:K1042" si="174">J1017/12000</f>
        <v>1.0555555555555556</v>
      </c>
      <c r="L1017" s="2729" t="s">
        <v>4360</v>
      </c>
      <c r="M1017" s="1307"/>
      <c r="N1017" s="1296"/>
      <c r="O1017" s="2811"/>
      <c r="P1017" s="106"/>
      <c r="Q1017" s="106"/>
      <c r="R1017" s="106"/>
      <c r="S1017" s="106"/>
      <c r="T1017" s="106"/>
      <c r="U1017" s="106"/>
      <c r="V1017" s="4076"/>
      <c r="W1017" s="2224">
        <v>19200</v>
      </c>
      <c r="X1017" s="2374">
        <f t="shared" si="173"/>
        <v>18000</v>
      </c>
      <c r="Y1017" s="2224">
        <v>18000</v>
      </c>
      <c r="Z1017" s="2224">
        <v>18000</v>
      </c>
      <c r="AA1017" s="2224">
        <v>18000</v>
      </c>
      <c r="AB1017" s="2371">
        <v>15750</v>
      </c>
      <c r="AC1017" s="2371">
        <v>16800</v>
      </c>
      <c r="AD1017" s="2782">
        <v>12666.666666666666</v>
      </c>
      <c r="AE1017" s="2224"/>
      <c r="AF1017" s="2224"/>
      <c r="AG1017" s="580"/>
      <c r="AH1017" s="156"/>
      <c r="AI1017" s="156"/>
      <c r="AJ1017" s="156"/>
      <c r="AK1017" s="156"/>
      <c r="AL1017" s="156"/>
      <c r="AM1017" s="156"/>
      <c r="AN1017" s="156"/>
      <c r="AO1017" s="156"/>
      <c r="AP1017" s="156"/>
      <c r="AQ1017" s="156"/>
      <c r="AR1017" s="156"/>
      <c r="AS1017" s="156"/>
      <c r="AT1017" s="156"/>
      <c r="AU1017" s="156"/>
      <c r="AV1017" s="156"/>
      <c r="AW1017" s="156"/>
      <c r="AX1017" s="156"/>
      <c r="AY1017" s="156"/>
      <c r="AZ1017" s="156"/>
      <c r="BA1017" s="156"/>
      <c r="BB1017" s="2828"/>
      <c r="BC1017" s="452"/>
      <c r="BD1017" s="2829"/>
      <c r="BE1017" s="156"/>
      <c r="BF1017" s="156"/>
    </row>
    <row r="1018" spans="1:58" hidden="1" outlineLevel="1" x14ac:dyDescent="0.35">
      <c r="A1018" s="1071"/>
      <c r="B1018" s="106"/>
      <c r="C1018" s="103"/>
      <c r="D1018" s="4076"/>
      <c r="E1018" s="4022"/>
      <c r="F1018" s="3934" t="str">
        <f t="shared" si="171"/>
        <v>Mini/MultiSplitASHP_ROF_SF_NC</v>
      </c>
      <c r="G1018" s="3935"/>
      <c r="H1018" s="3936"/>
      <c r="I1018" s="2672" t="str">
        <f t="shared" si="172"/>
        <v>351300_2021_12_</v>
      </c>
      <c r="J1018" s="2782">
        <v>18388.489208633098</v>
      </c>
      <c r="K1018" s="2756">
        <f t="shared" si="174"/>
        <v>1.5323741007194249</v>
      </c>
      <c r="L1018" s="2729" t="s">
        <v>4360</v>
      </c>
      <c r="M1018" s="1304"/>
      <c r="N1018" s="1296"/>
      <c r="O1018" s="2811"/>
      <c r="P1018" s="106"/>
      <c r="Q1018" s="106"/>
      <c r="R1018" s="106"/>
      <c r="S1018" s="106"/>
      <c r="T1018" s="106"/>
      <c r="U1018" s="106"/>
      <c r="V1018" s="4076"/>
      <c r="W1018" s="2224">
        <v>19200</v>
      </c>
      <c r="X1018" s="2374">
        <f t="shared" si="173"/>
        <v>18000</v>
      </c>
      <c r="Y1018" s="2224">
        <v>18000</v>
      </c>
      <c r="Z1018" s="2224">
        <v>18000</v>
      </c>
      <c r="AA1018" s="2224">
        <v>18000</v>
      </c>
      <c r="AB1018" s="1808">
        <v>18000</v>
      </c>
      <c r="AC1018" s="1807">
        <v>18101.694915254237</v>
      </c>
      <c r="AD1018" s="2782">
        <v>18388.489208633098</v>
      </c>
      <c r="AE1018" s="2224"/>
      <c r="AF1018" s="2224"/>
      <c r="AG1018" s="580"/>
      <c r="AH1018" s="156"/>
      <c r="AI1018" s="156"/>
      <c r="AJ1018" s="156"/>
      <c r="AK1018" s="156"/>
      <c r="AL1018" s="156"/>
      <c r="AM1018" s="156"/>
      <c r="AN1018" s="156"/>
      <c r="AO1018" s="156"/>
      <c r="AP1018" s="156"/>
      <c r="AQ1018" s="156"/>
      <c r="AR1018" s="156"/>
      <c r="AS1018" s="156"/>
      <c r="AT1018" s="156"/>
      <c r="AU1018" s="156"/>
      <c r="AV1018" s="156"/>
      <c r="AW1018" s="156"/>
      <c r="AX1018" s="156"/>
      <c r="AY1018" s="156"/>
      <c r="AZ1018" s="156"/>
      <c r="BA1018" s="156"/>
      <c r="BB1018" s="2828"/>
      <c r="BC1018" s="452"/>
      <c r="BD1018" s="2829"/>
      <c r="BE1018" s="156"/>
      <c r="BF1018" s="156"/>
    </row>
    <row r="1019" spans="1:58" hidden="1" outlineLevel="1" x14ac:dyDescent="0.35">
      <c r="A1019" s="1071"/>
      <c r="B1019" s="106"/>
      <c r="C1019" s="103"/>
      <c r="D1019" s="4076"/>
      <c r="E1019" s="4022"/>
      <c r="F1019" s="3934" t="str">
        <f t="shared" si="171"/>
        <v>Mini/MultiSplitASHP_ROF_SF</v>
      </c>
      <c r="G1019" s="3935"/>
      <c r="H1019" s="3936"/>
      <c r="I1019" s="2672" t="str">
        <f t="shared" si="172"/>
        <v>351350_2021_12_</v>
      </c>
      <c r="J1019" s="2782">
        <v>18388.489208633098</v>
      </c>
      <c r="K1019" s="2756">
        <f t="shared" si="174"/>
        <v>1.5323741007194249</v>
      </c>
      <c r="L1019" s="2729" t="s">
        <v>4360</v>
      </c>
      <c r="M1019" s="1304"/>
      <c r="N1019" s="1296"/>
      <c r="O1019" s="2811"/>
      <c r="P1019" s="106"/>
      <c r="Q1019" s="106"/>
      <c r="R1019" s="106"/>
      <c r="S1019" s="106"/>
      <c r="T1019" s="106"/>
      <c r="U1019" s="106"/>
      <c r="V1019" s="4076"/>
      <c r="W1019" s="2224">
        <v>19200</v>
      </c>
      <c r="X1019" s="2374">
        <f t="shared" si="173"/>
        <v>18000</v>
      </c>
      <c r="Y1019" s="2224">
        <v>18000</v>
      </c>
      <c r="Z1019" s="2224">
        <v>18000</v>
      </c>
      <c r="AA1019" s="2224">
        <v>18000</v>
      </c>
      <c r="AB1019" s="1807">
        <v>18221.05263157895</v>
      </c>
      <c r="AC1019" s="1807">
        <v>16500</v>
      </c>
      <c r="AD1019" s="2782">
        <v>18388.489208633098</v>
      </c>
      <c r="AE1019" s="2224"/>
      <c r="AF1019" s="2224"/>
      <c r="AG1019" s="580"/>
      <c r="AH1019" s="156"/>
      <c r="AI1019" s="156"/>
      <c r="AJ1019" s="156"/>
      <c r="AK1019" s="156"/>
      <c r="AL1019" s="156"/>
      <c r="AM1019" s="156"/>
      <c r="AN1019" s="156"/>
      <c r="AO1019" s="156"/>
      <c r="AP1019" s="156"/>
      <c r="AQ1019" s="156"/>
      <c r="AR1019" s="156"/>
      <c r="AS1019" s="156"/>
      <c r="AT1019" s="156"/>
      <c r="AU1019" s="156"/>
      <c r="AV1019" s="156"/>
      <c r="AW1019" s="156"/>
      <c r="AX1019" s="156"/>
      <c r="AY1019" s="156"/>
      <c r="AZ1019" s="156"/>
      <c r="BA1019" s="156"/>
      <c r="BB1019" s="2828"/>
      <c r="BC1019" s="452"/>
      <c r="BD1019" s="2829"/>
      <c r="BE1019" s="156"/>
      <c r="BF1019" s="156"/>
    </row>
    <row r="1020" spans="1:58" hidden="1" outlineLevel="1" x14ac:dyDescent="0.35">
      <c r="A1020" s="1071"/>
      <c r="B1020" s="106"/>
      <c r="C1020" s="103"/>
      <c r="D1020" s="4076"/>
      <c r="E1020" s="4022"/>
      <c r="F1020" s="3934" t="str">
        <f t="shared" si="171"/>
        <v>Mini/MultiSplitASHP-Replace_CAC_ElectricHeat_ER1_SF</v>
      </c>
      <c r="G1020" s="3935"/>
      <c r="H1020" s="3936"/>
      <c r="I1020" s="2672" t="str">
        <f t="shared" si="172"/>
        <v>351400_2021_12_</v>
      </c>
      <c r="J1020" s="2782">
        <v>20890.909090909092</v>
      </c>
      <c r="K1020" s="2756">
        <f>J1020/12000</f>
        <v>1.740909090909091</v>
      </c>
      <c r="L1020" s="2729" t="s">
        <v>4360</v>
      </c>
      <c r="M1020" s="1304"/>
      <c r="N1020" s="1296"/>
      <c r="O1020" s="2811"/>
      <c r="P1020" s="106"/>
      <c r="Q1020" s="106"/>
      <c r="R1020" s="106"/>
      <c r="S1020" s="106"/>
      <c r="T1020" s="106"/>
      <c r="U1020" s="106"/>
      <c r="V1020" s="4076"/>
      <c r="W1020" s="2224">
        <v>16800</v>
      </c>
      <c r="X1020" s="2374">
        <f t="shared" si="173"/>
        <v>18000</v>
      </c>
      <c r="Y1020" s="2224">
        <v>18000</v>
      </c>
      <c r="Z1020" s="2224">
        <v>18000</v>
      </c>
      <c r="AA1020" s="2224">
        <v>18000</v>
      </c>
      <c r="AB1020" s="1807">
        <v>18840</v>
      </c>
      <c r="AC1020" s="1807">
        <v>18837.20930232558</v>
      </c>
      <c r="AD1020" s="2782">
        <v>20890.909090909092</v>
      </c>
      <c r="AE1020" s="2224"/>
      <c r="AF1020" s="2224"/>
      <c r="AG1020" s="580"/>
      <c r="AH1020" s="156"/>
      <c r="AI1020" s="156"/>
      <c r="AJ1020" s="156"/>
      <c r="AK1020" s="156"/>
      <c r="AL1020" s="156"/>
      <c r="AM1020" s="156"/>
      <c r="AN1020" s="156"/>
      <c r="AO1020" s="156"/>
      <c r="AP1020" s="156"/>
      <c r="AQ1020" s="156"/>
      <c r="AR1020" s="156"/>
      <c r="AS1020" s="156"/>
      <c r="AT1020" s="156"/>
      <c r="AU1020" s="156"/>
      <c r="AV1020" s="156"/>
      <c r="AW1020" s="156"/>
      <c r="AX1020" s="156"/>
      <c r="AY1020" s="156"/>
      <c r="AZ1020" s="156"/>
      <c r="BA1020" s="156"/>
      <c r="BB1020" s="2828"/>
      <c r="BC1020" s="452"/>
      <c r="BD1020" s="2829"/>
      <c r="BE1020" s="156"/>
      <c r="BF1020" s="156"/>
    </row>
    <row r="1021" spans="1:58" hidden="1" outlineLevel="1" x14ac:dyDescent="0.35">
      <c r="A1021" s="1071"/>
      <c r="B1021" s="106"/>
      <c r="C1021" s="103"/>
      <c r="D1021" s="4076"/>
      <c r="E1021" s="4022"/>
      <c r="F1021" s="3934" t="str">
        <f t="shared" si="171"/>
        <v>Mini/MultiSplitASHP-Replace_CAC_ElectricHeat_ROF_SF</v>
      </c>
      <c r="G1021" s="3935"/>
      <c r="H1021" s="3936"/>
      <c r="I1021" s="2672" t="str">
        <f t="shared" si="172"/>
        <v>351450_2021_12_</v>
      </c>
      <c r="J1021" s="2782">
        <v>18388.489208633098</v>
      </c>
      <c r="K1021" s="2756">
        <f t="shared" si="174"/>
        <v>1.5323741007194249</v>
      </c>
      <c r="L1021" s="2729" t="s">
        <v>4360</v>
      </c>
      <c r="M1021" s="1304"/>
      <c r="N1021" s="1296"/>
      <c r="O1021" s="2811"/>
      <c r="P1021" s="106"/>
      <c r="Q1021" s="106"/>
      <c r="R1021" s="106"/>
      <c r="S1021" s="106"/>
      <c r="T1021" s="106"/>
      <c r="U1021" s="106"/>
      <c r="V1021" s="4076"/>
      <c r="W1021" s="2224">
        <v>16800</v>
      </c>
      <c r="X1021" s="2374">
        <f t="shared" si="173"/>
        <v>18000</v>
      </c>
      <c r="Y1021" s="2374">
        <v>19200</v>
      </c>
      <c r="Z1021" s="2224">
        <v>19200</v>
      </c>
      <c r="AA1021" s="2224">
        <v>19200</v>
      </c>
      <c r="AB1021" s="1807">
        <v>19200</v>
      </c>
      <c r="AC1021" s="1807">
        <v>20769.23076923077</v>
      </c>
      <c r="AD1021" s="2782">
        <v>18388.489208633098</v>
      </c>
      <c r="AE1021" s="2224"/>
      <c r="AF1021" s="2224"/>
      <c r="AG1021" s="580"/>
      <c r="AH1021" s="156"/>
      <c r="AI1021" s="156"/>
      <c r="AJ1021" s="156"/>
      <c r="AK1021" s="156"/>
      <c r="AL1021" s="156"/>
      <c r="AM1021" s="156"/>
      <c r="AN1021" s="156"/>
      <c r="AO1021" s="156"/>
      <c r="AP1021" s="156"/>
      <c r="AQ1021" s="156"/>
      <c r="AR1021" s="156"/>
      <c r="AS1021" s="156"/>
      <c r="AT1021" s="156"/>
      <c r="AU1021" s="156"/>
      <c r="AV1021" s="156"/>
      <c r="AW1021" s="156"/>
      <c r="AX1021" s="156"/>
      <c r="AY1021" s="156"/>
      <c r="AZ1021" s="156"/>
      <c r="BA1021" s="156"/>
      <c r="BB1021" s="2828"/>
      <c r="BC1021" s="452"/>
      <c r="BD1021" s="2829"/>
      <c r="BE1021" s="156"/>
      <c r="BF1021" s="156"/>
    </row>
    <row r="1022" spans="1:58" hidden="1" outlineLevel="1" x14ac:dyDescent="0.35">
      <c r="A1022" s="1071"/>
      <c r="B1022" s="106"/>
      <c r="C1022" s="103"/>
      <c r="D1022" s="4076"/>
      <c r="E1022" s="4022"/>
      <c r="F1022" s="3937" t="str">
        <f t="shared" ref="F1022:F1023" si="175">F995</f>
        <v>Mini/MultiSplitASHP-Replace_CAC_NonElectricHeat_ER1_SF</v>
      </c>
      <c r="G1022" s="3938"/>
      <c r="H1022" s="3939"/>
      <c r="I1022" s="2755" t="str">
        <f t="shared" si="172"/>
        <v>351401_2022_12_</v>
      </c>
      <c r="J1022" s="2782">
        <f>J1020</f>
        <v>20890.909090909092</v>
      </c>
      <c r="K1022" s="2756">
        <f>J1022/12000</f>
        <v>1.740909090909091</v>
      </c>
      <c r="L1022" s="2757" t="s">
        <v>1083</v>
      </c>
      <c r="M1022" s="1304"/>
      <c r="N1022" s="1296"/>
      <c r="O1022" s="2811"/>
      <c r="P1022" s="106"/>
      <c r="Q1022" s="106"/>
      <c r="R1022" s="106"/>
      <c r="S1022" s="106"/>
      <c r="T1022" s="106"/>
      <c r="U1022" s="106"/>
      <c r="V1022" s="4076"/>
      <c r="W1022" s="2224"/>
      <c r="X1022" s="2374"/>
      <c r="Y1022" s="2374"/>
      <c r="Z1022" s="2224"/>
      <c r="AA1022" s="2224"/>
      <c r="AB1022" s="1807"/>
      <c r="AC1022" s="1807"/>
      <c r="AD1022" s="2782">
        <v>20890.909090909092</v>
      </c>
      <c r="AE1022" s="2224"/>
      <c r="AF1022" s="2224"/>
      <c r="AG1022" s="580"/>
      <c r="AH1022" s="156"/>
      <c r="AI1022" s="156"/>
      <c r="AJ1022" s="156"/>
      <c r="AK1022" s="156"/>
      <c r="AL1022" s="156"/>
      <c r="AM1022" s="156"/>
      <c r="AN1022" s="156"/>
      <c r="AO1022" s="156"/>
      <c r="AP1022" s="156"/>
      <c r="AQ1022" s="156"/>
      <c r="AR1022" s="156"/>
      <c r="AS1022" s="156"/>
      <c r="AT1022" s="156"/>
      <c r="AU1022" s="156"/>
      <c r="AV1022" s="156"/>
      <c r="AW1022" s="156"/>
      <c r="AX1022" s="156"/>
      <c r="AY1022" s="156"/>
      <c r="AZ1022" s="156"/>
      <c r="BA1022" s="156"/>
      <c r="BB1022" s="2828"/>
      <c r="BC1022" s="452"/>
      <c r="BD1022" s="2829"/>
      <c r="BE1022" s="156"/>
      <c r="BF1022" s="156"/>
    </row>
    <row r="1023" spans="1:58" hidden="1" outlineLevel="1" x14ac:dyDescent="0.35">
      <c r="A1023" s="1071"/>
      <c r="B1023" s="106"/>
      <c r="C1023" s="103"/>
      <c r="D1023" s="4076"/>
      <c r="E1023" s="4022"/>
      <c r="F1023" s="3937" t="str">
        <f t="shared" si="175"/>
        <v>Mini/MultiSplitASHP-Replace_CAC_NonElectricHeat_ROF_SF</v>
      </c>
      <c r="G1023" s="3938"/>
      <c r="H1023" s="3939"/>
      <c r="I1023" s="2755" t="str">
        <f t="shared" si="172"/>
        <v>351451_2022_12_</v>
      </c>
      <c r="J1023" s="2782">
        <f>J1021</f>
        <v>18388.489208633098</v>
      </c>
      <c r="K1023" s="2756">
        <f t="shared" si="174"/>
        <v>1.5323741007194249</v>
      </c>
      <c r="L1023" s="2757" t="s">
        <v>1083</v>
      </c>
      <c r="M1023" s="1304"/>
      <c r="N1023" s="1296"/>
      <c r="O1023" s="2811"/>
      <c r="P1023" s="106"/>
      <c r="Q1023" s="106"/>
      <c r="R1023" s="106"/>
      <c r="S1023" s="106"/>
      <c r="T1023" s="106"/>
      <c r="U1023" s="106"/>
      <c r="V1023" s="4076"/>
      <c r="W1023" s="2224"/>
      <c r="X1023" s="2374"/>
      <c r="Y1023" s="2374"/>
      <c r="Z1023" s="2224"/>
      <c r="AA1023" s="2224"/>
      <c r="AB1023" s="1807"/>
      <c r="AC1023" s="1807"/>
      <c r="AD1023" s="2782">
        <v>18388.489208633098</v>
      </c>
      <c r="AE1023" s="2224"/>
      <c r="AF1023" s="2224"/>
      <c r="AG1023" s="580"/>
      <c r="AH1023" s="156"/>
      <c r="AI1023" s="156"/>
      <c r="AJ1023" s="156"/>
      <c r="AK1023" s="156"/>
      <c r="AL1023" s="156"/>
      <c r="AM1023" s="156"/>
      <c r="AN1023" s="156"/>
      <c r="AO1023" s="156"/>
      <c r="AP1023" s="156"/>
      <c r="AQ1023" s="156"/>
      <c r="AR1023" s="156"/>
      <c r="AS1023" s="156"/>
      <c r="AT1023" s="156"/>
      <c r="AU1023" s="156"/>
      <c r="AV1023" s="156"/>
      <c r="AW1023" s="156"/>
      <c r="AX1023" s="156"/>
      <c r="AY1023" s="156"/>
      <c r="AZ1023" s="156"/>
      <c r="BA1023" s="156"/>
      <c r="BB1023" s="2828"/>
      <c r="BC1023" s="452"/>
      <c r="BD1023" s="2829"/>
      <c r="BE1023" s="156"/>
      <c r="BF1023" s="156"/>
    </row>
    <row r="1024" spans="1:58" hidden="1" outlineLevel="1" x14ac:dyDescent="0.35">
      <c r="A1024" s="1071"/>
      <c r="B1024" s="106"/>
      <c r="C1024" s="103"/>
      <c r="D1024" s="4076"/>
      <c r="E1024" s="4022"/>
      <c r="F1024" s="3934" t="str">
        <f t="shared" ref="F1024:F1030" si="176">F997</f>
        <v>Mini/MultiSplitASHP_ER1_SF</v>
      </c>
      <c r="G1024" s="3935"/>
      <c r="H1024" s="3936"/>
      <c r="I1024" s="2672" t="str">
        <f t="shared" ref="I1024:I1032" si="177">I997</f>
        <v>351500_2021_12_</v>
      </c>
      <c r="J1024" s="2782">
        <v>20890.909090909092</v>
      </c>
      <c r="K1024" s="2756">
        <f t="shared" si="174"/>
        <v>1.740909090909091</v>
      </c>
      <c r="L1024" s="2729" t="s">
        <v>4360</v>
      </c>
      <c r="M1024" s="1304"/>
      <c r="N1024" s="1296"/>
      <c r="O1024" s="2811"/>
      <c r="P1024" s="106"/>
      <c r="Q1024" s="106"/>
      <c r="R1024" s="106"/>
      <c r="S1024" s="106"/>
      <c r="T1024" s="106"/>
      <c r="U1024" s="106"/>
      <c r="V1024" s="4076"/>
      <c r="W1024" s="2224">
        <v>20400</v>
      </c>
      <c r="X1024" s="2374">
        <f t="shared" si="173"/>
        <v>18000</v>
      </c>
      <c r="Y1024" s="2224">
        <v>18000</v>
      </c>
      <c r="Z1024" s="2224">
        <v>18000</v>
      </c>
      <c r="AA1024" s="2224">
        <v>18000</v>
      </c>
      <c r="AB1024" s="1807">
        <v>15375</v>
      </c>
      <c r="AC1024" s="1807">
        <v>17727.272727272728</v>
      </c>
      <c r="AD1024" s="2782">
        <v>20890.909090909092</v>
      </c>
      <c r="AE1024" s="2224"/>
      <c r="AF1024" s="2224"/>
      <c r="AG1024" s="580"/>
      <c r="AH1024" s="156"/>
      <c r="AI1024" s="156"/>
      <c r="AJ1024" s="156"/>
      <c r="AK1024" s="156"/>
      <c r="AL1024" s="156"/>
      <c r="AM1024" s="156"/>
      <c r="AN1024" s="156"/>
      <c r="AO1024" s="156"/>
      <c r="AP1024" s="156"/>
      <c r="AQ1024" s="156"/>
      <c r="AR1024" s="156"/>
      <c r="AS1024" s="156"/>
      <c r="AT1024" s="156"/>
      <c r="AU1024" s="156"/>
      <c r="AV1024" s="156"/>
      <c r="AW1024" s="156"/>
      <c r="AX1024" s="156"/>
      <c r="AY1024" s="156"/>
      <c r="AZ1024" s="156"/>
      <c r="BA1024" s="156"/>
      <c r="BB1024" s="2828"/>
      <c r="BC1024" s="452"/>
      <c r="BD1024" s="2829"/>
      <c r="BE1024" s="156"/>
      <c r="BF1024" s="156"/>
    </row>
    <row r="1025" spans="1:58" hidden="1" outlineLevel="1" x14ac:dyDescent="0.35">
      <c r="A1025" s="1071"/>
      <c r="B1025" s="106"/>
      <c r="C1025" s="103"/>
      <c r="D1025" s="4076"/>
      <c r="E1025" s="4022"/>
      <c r="F1025" s="3934" t="str">
        <f t="shared" si="176"/>
        <v>Mini/MultiSplitAC_ER1_MF</v>
      </c>
      <c r="G1025" s="3935"/>
      <c r="H1025" s="3936"/>
      <c r="I1025" s="2672" t="str">
        <f t="shared" si="177"/>
        <v>351550_2021_12_</v>
      </c>
      <c r="J1025" s="2782">
        <f>J1027</f>
        <v>24000</v>
      </c>
      <c r="K1025" s="2756">
        <f t="shared" si="174"/>
        <v>2</v>
      </c>
      <c r="L1025" s="625" t="s">
        <v>1052</v>
      </c>
      <c r="M1025" s="1304"/>
      <c r="N1025" s="1296"/>
      <c r="O1025" s="2811"/>
      <c r="P1025" s="106"/>
      <c r="Q1025" s="106"/>
      <c r="R1025" s="106"/>
      <c r="S1025" s="106"/>
      <c r="T1025" s="106"/>
      <c r="U1025" s="106"/>
      <c r="V1025" s="4076"/>
      <c r="W1025" s="2224"/>
      <c r="X1025" s="2374"/>
      <c r="Y1025" s="2374">
        <v>18000</v>
      </c>
      <c r="Z1025" s="2224">
        <v>18000</v>
      </c>
      <c r="AA1025" s="2224">
        <v>18000</v>
      </c>
      <c r="AB1025" s="1808">
        <v>18000</v>
      </c>
      <c r="AC1025" s="2371">
        <v>16000</v>
      </c>
      <c r="AD1025" s="2782">
        <v>24000</v>
      </c>
      <c r="AE1025" s="2224"/>
      <c r="AF1025" s="2224"/>
      <c r="AG1025" s="580"/>
      <c r="AH1025" s="156"/>
      <c r="AI1025" s="156"/>
      <c r="AJ1025" s="156"/>
      <c r="AK1025" s="156"/>
      <c r="AL1025" s="156"/>
      <c r="AM1025" s="156"/>
      <c r="AN1025" s="156"/>
      <c r="AO1025" s="156"/>
      <c r="AP1025" s="156"/>
      <c r="AQ1025" s="156"/>
      <c r="AR1025" s="156"/>
      <c r="AS1025" s="156"/>
      <c r="AT1025" s="156"/>
      <c r="AU1025" s="156"/>
      <c r="AV1025" s="156"/>
      <c r="AW1025" s="156"/>
      <c r="AX1025" s="156"/>
      <c r="AY1025" s="156"/>
      <c r="AZ1025" s="156"/>
      <c r="BA1025" s="156"/>
      <c r="BB1025" s="2828"/>
      <c r="BC1025" s="452"/>
      <c r="BD1025" s="2829"/>
      <c r="BE1025" s="156"/>
      <c r="BF1025" s="156"/>
    </row>
    <row r="1026" spans="1:58" hidden="1" outlineLevel="1" x14ac:dyDescent="0.35">
      <c r="A1026" s="1071"/>
      <c r="B1026" s="106"/>
      <c r="C1026" s="103"/>
      <c r="D1026" s="4076"/>
      <c r="E1026" s="4022"/>
      <c r="F1026" s="3934" t="str">
        <f t="shared" si="176"/>
        <v>Mini/MultiSplitAC_ROF_MF</v>
      </c>
      <c r="G1026" s="3935"/>
      <c r="H1026" s="3936"/>
      <c r="I1026" s="2672" t="str">
        <f t="shared" si="177"/>
        <v>351600_2021_12_</v>
      </c>
      <c r="J1026" s="2782">
        <f>J1027</f>
        <v>24000</v>
      </c>
      <c r="K1026" s="2756">
        <f t="shared" si="174"/>
        <v>2</v>
      </c>
      <c r="L1026" s="2757" t="s">
        <v>1083</v>
      </c>
      <c r="M1026" s="1304"/>
      <c r="N1026" s="1296"/>
      <c r="O1026" s="2811"/>
      <c r="P1026" s="106"/>
      <c r="Q1026" s="106"/>
      <c r="R1026" s="106"/>
      <c r="S1026" s="106"/>
      <c r="T1026" s="106"/>
      <c r="U1026" s="106"/>
      <c r="V1026" s="4076"/>
      <c r="W1026" s="2224"/>
      <c r="X1026" s="2374"/>
      <c r="Y1026" s="2374">
        <v>18000</v>
      </c>
      <c r="Z1026" s="2224">
        <v>18000</v>
      </c>
      <c r="AA1026" s="2224">
        <v>18000</v>
      </c>
      <c r="AB1026" s="2371">
        <v>15750</v>
      </c>
      <c r="AC1026" s="2371">
        <v>16800</v>
      </c>
      <c r="AD1026" s="2782">
        <v>24000</v>
      </c>
      <c r="AE1026" s="2224"/>
      <c r="AF1026" s="2224"/>
      <c r="AG1026" s="580"/>
      <c r="AH1026" s="156"/>
      <c r="AI1026" s="156"/>
      <c r="AJ1026" s="156"/>
      <c r="AK1026" s="156"/>
      <c r="AL1026" s="156"/>
      <c r="AM1026" s="156"/>
      <c r="AN1026" s="156"/>
      <c r="AO1026" s="156"/>
      <c r="AP1026" s="156"/>
      <c r="AQ1026" s="156"/>
      <c r="AR1026" s="156"/>
      <c r="AS1026" s="156"/>
      <c r="AT1026" s="156"/>
      <c r="AU1026" s="156"/>
      <c r="AV1026" s="156"/>
      <c r="AW1026" s="156"/>
      <c r="AX1026" s="156"/>
      <c r="AY1026" s="156"/>
      <c r="AZ1026" s="156"/>
      <c r="BA1026" s="156"/>
      <c r="BB1026" s="2828"/>
      <c r="BC1026" s="452"/>
      <c r="BD1026" s="2829"/>
      <c r="BE1026" s="156"/>
      <c r="BF1026" s="156"/>
    </row>
    <row r="1027" spans="1:58" hidden="1" outlineLevel="1" x14ac:dyDescent="0.35">
      <c r="A1027" s="1071"/>
      <c r="B1027" s="106"/>
      <c r="C1027" s="103"/>
      <c r="D1027" s="4076"/>
      <c r="E1027" s="4022"/>
      <c r="F1027" s="3934" t="str">
        <f t="shared" si="176"/>
        <v>Mini/MultiSplitASHP_ROF_MF_NC</v>
      </c>
      <c r="G1027" s="3935"/>
      <c r="H1027" s="3936"/>
      <c r="I1027" s="2672" t="str">
        <f t="shared" si="177"/>
        <v>351650_2021_12_</v>
      </c>
      <c r="J1027" s="2782">
        <v>24000</v>
      </c>
      <c r="K1027" s="2756">
        <f t="shared" si="174"/>
        <v>2</v>
      </c>
      <c r="L1027" s="2729" t="s">
        <v>4360</v>
      </c>
      <c r="M1027" s="1304"/>
      <c r="N1027" s="1296"/>
      <c r="O1027" s="2811"/>
      <c r="P1027" s="106"/>
      <c r="Q1027" s="106"/>
      <c r="R1027" s="106"/>
      <c r="S1027" s="106"/>
      <c r="T1027" s="106"/>
      <c r="U1027" s="106"/>
      <c r="V1027" s="4076"/>
      <c r="W1027" s="2224"/>
      <c r="X1027" s="2374"/>
      <c r="Y1027" s="2374">
        <v>18000</v>
      </c>
      <c r="Z1027" s="2224">
        <v>18000</v>
      </c>
      <c r="AA1027" s="2224">
        <v>18000</v>
      </c>
      <c r="AB1027" s="1808">
        <v>18000</v>
      </c>
      <c r="AC1027" s="1807">
        <v>18101.694915254237</v>
      </c>
      <c r="AD1027" s="2782">
        <v>24000</v>
      </c>
      <c r="AE1027" s="2224"/>
      <c r="AF1027" s="2224"/>
      <c r="AG1027" s="580"/>
      <c r="AH1027" s="156"/>
      <c r="AI1027" s="156"/>
      <c r="AJ1027" s="156"/>
      <c r="AK1027" s="156"/>
      <c r="AL1027" s="156"/>
      <c r="AM1027" s="156"/>
      <c r="AN1027" s="156"/>
      <c r="AO1027" s="156"/>
      <c r="AP1027" s="156"/>
      <c r="AQ1027" s="156"/>
      <c r="AR1027" s="156"/>
      <c r="AS1027" s="156"/>
      <c r="AT1027" s="156"/>
      <c r="AU1027" s="156"/>
      <c r="AV1027" s="156"/>
      <c r="AW1027" s="156"/>
      <c r="AX1027" s="156"/>
      <c r="AY1027" s="156"/>
      <c r="AZ1027" s="156"/>
      <c r="BA1027" s="156"/>
      <c r="BB1027" s="2828"/>
      <c r="BC1027" s="452"/>
      <c r="BD1027" s="2829"/>
      <c r="BE1027" s="156"/>
      <c r="BF1027" s="156"/>
    </row>
    <row r="1028" spans="1:58" hidden="1" outlineLevel="1" x14ac:dyDescent="0.35">
      <c r="A1028" s="1071"/>
      <c r="B1028" s="106"/>
      <c r="C1028" s="103"/>
      <c r="D1028" s="4076"/>
      <c r="E1028" s="4022"/>
      <c r="F1028" s="3934" t="str">
        <f t="shared" si="176"/>
        <v>Mini/MultiSplitASHP_ROF_MF</v>
      </c>
      <c r="G1028" s="3935"/>
      <c r="H1028" s="3936"/>
      <c r="I1028" s="2672" t="str">
        <f t="shared" si="177"/>
        <v>351700_2021_12_</v>
      </c>
      <c r="J1028" s="2782">
        <v>24000</v>
      </c>
      <c r="K1028" s="2756">
        <f t="shared" si="174"/>
        <v>2</v>
      </c>
      <c r="L1028" s="2729" t="s">
        <v>4360</v>
      </c>
      <c r="M1028" s="1304"/>
      <c r="N1028" s="1296"/>
      <c r="O1028" s="2811"/>
      <c r="P1028" s="106"/>
      <c r="Q1028" s="106"/>
      <c r="R1028" s="106"/>
      <c r="S1028" s="106"/>
      <c r="T1028" s="106"/>
      <c r="U1028" s="106"/>
      <c r="V1028" s="4076"/>
      <c r="W1028" s="2224"/>
      <c r="X1028" s="2374"/>
      <c r="Y1028" s="2374">
        <v>18000</v>
      </c>
      <c r="Z1028" s="2224">
        <v>18000</v>
      </c>
      <c r="AA1028" s="2224">
        <v>18000</v>
      </c>
      <c r="AB1028" s="1807">
        <v>18221.05263157895</v>
      </c>
      <c r="AC1028" s="1807">
        <v>16500</v>
      </c>
      <c r="AD1028" s="2782">
        <v>24000</v>
      </c>
      <c r="AE1028" s="2224"/>
      <c r="AF1028" s="2224"/>
      <c r="AG1028" s="580"/>
      <c r="AH1028" s="156"/>
      <c r="AI1028" s="156"/>
      <c r="AJ1028" s="156"/>
      <c r="AK1028" s="156"/>
      <c r="AL1028" s="156"/>
      <c r="AM1028" s="156"/>
      <c r="AN1028" s="156"/>
      <c r="AO1028" s="156"/>
      <c r="AP1028" s="156"/>
      <c r="AQ1028" s="156"/>
      <c r="AR1028" s="156"/>
      <c r="AS1028" s="156"/>
      <c r="AT1028" s="156"/>
      <c r="AU1028" s="156"/>
      <c r="AV1028" s="156"/>
      <c r="AW1028" s="156"/>
      <c r="AX1028" s="156"/>
      <c r="AY1028" s="156"/>
      <c r="AZ1028" s="156"/>
      <c r="BA1028" s="156"/>
      <c r="BB1028" s="2828"/>
      <c r="BC1028" s="452"/>
      <c r="BD1028" s="2829"/>
      <c r="BE1028" s="156"/>
      <c r="BF1028" s="156"/>
    </row>
    <row r="1029" spans="1:58" hidden="1" outlineLevel="1" x14ac:dyDescent="0.35">
      <c r="A1029" s="1071"/>
      <c r="B1029" s="106"/>
      <c r="C1029" s="103"/>
      <c r="D1029" s="4076"/>
      <c r="E1029" s="4022"/>
      <c r="F1029" s="3934" t="str">
        <f t="shared" si="176"/>
        <v>Mini/MultiSplitASHP-Replace_CAC_ElectricHeat_ER1_MF</v>
      </c>
      <c r="G1029" s="3935"/>
      <c r="H1029" s="3936"/>
      <c r="I1029" s="2672" t="str">
        <f t="shared" si="177"/>
        <v>351750_2021_12_</v>
      </c>
      <c r="J1029" s="1807">
        <f>J1030</f>
        <v>24000</v>
      </c>
      <c r="K1029" s="2756">
        <f t="shared" si="174"/>
        <v>2</v>
      </c>
      <c r="L1029" s="1809" t="s">
        <v>1052</v>
      </c>
      <c r="M1029" s="1304"/>
      <c r="N1029" s="1296"/>
      <c r="O1029" s="2811"/>
      <c r="P1029" s="106"/>
      <c r="Q1029" s="106"/>
      <c r="R1029" s="106"/>
      <c r="S1029" s="106"/>
      <c r="T1029" s="106"/>
      <c r="U1029" s="106"/>
      <c r="V1029" s="4076"/>
      <c r="W1029" s="2224"/>
      <c r="X1029" s="2374"/>
      <c r="Y1029" s="2374">
        <v>18000</v>
      </c>
      <c r="Z1029" s="2224">
        <v>18000</v>
      </c>
      <c r="AA1029" s="2224">
        <v>18000</v>
      </c>
      <c r="AB1029" s="1807">
        <v>18840</v>
      </c>
      <c r="AC1029" s="1807">
        <v>18837.20930232558</v>
      </c>
      <c r="AD1029" s="1807">
        <v>24000</v>
      </c>
      <c r="AE1029" s="2224"/>
      <c r="AF1029" s="2224"/>
      <c r="AG1029" s="580"/>
      <c r="AH1029" s="156"/>
      <c r="AI1029" s="156"/>
      <c r="AJ1029" s="156"/>
      <c r="AK1029" s="156"/>
      <c r="AL1029" s="156"/>
      <c r="AM1029" s="156"/>
      <c r="AN1029" s="156"/>
      <c r="AO1029" s="156"/>
      <c r="AP1029" s="156"/>
      <c r="AQ1029" s="156"/>
      <c r="AR1029" s="156"/>
      <c r="AS1029" s="156"/>
      <c r="AT1029" s="156"/>
      <c r="AU1029" s="156"/>
      <c r="AV1029" s="156"/>
      <c r="AW1029" s="156"/>
      <c r="AX1029" s="156"/>
      <c r="AY1029" s="156"/>
      <c r="AZ1029" s="156"/>
      <c r="BA1029" s="156"/>
      <c r="BB1029" s="2828"/>
      <c r="BC1029" s="452"/>
      <c r="BD1029" s="2829"/>
      <c r="BE1029" s="156"/>
      <c r="BF1029" s="156"/>
    </row>
    <row r="1030" spans="1:58" hidden="1" outlineLevel="1" x14ac:dyDescent="0.35">
      <c r="A1030" s="1071"/>
      <c r="B1030" s="106"/>
      <c r="C1030" s="103"/>
      <c r="D1030" s="4076"/>
      <c r="E1030" s="4022"/>
      <c r="F1030" s="3934" t="str">
        <f t="shared" si="176"/>
        <v>Mini/MultiSplitASHP-Replace_CAC_ElectricHeat_ROF_MF</v>
      </c>
      <c r="G1030" s="3935"/>
      <c r="H1030" s="3936"/>
      <c r="I1030" s="2672" t="str">
        <f t="shared" si="177"/>
        <v>351800_2021_12_</v>
      </c>
      <c r="J1030" s="2782">
        <v>24000</v>
      </c>
      <c r="K1030" s="2756">
        <f t="shared" si="174"/>
        <v>2</v>
      </c>
      <c r="L1030" s="2729" t="s">
        <v>4360</v>
      </c>
      <c r="M1030" s="1304"/>
      <c r="N1030" s="1296"/>
      <c r="O1030" s="2811"/>
      <c r="P1030" s="106"/>
      <c r="Q1030" s="106"/>
      <c r="R1030" s="106"/>
      <c r="S1030" s="106"/>
      <c r="T1030" s="106"/>
      <c r="U1030" s="106"/>
      <c r="V1030" s="4076"/>
      <c r="W1030" s="2224"/>
      <c r="X1030" s="2374"/>
      <c r="Y1030" s="2374">
        <v>19200</v>
      </c>
      <c r="Z1030" s="2224">
        <v>19200</v>
      </c>
      <c r="AA1030" s="2224">
        <v>19200</v>
      </c>
      <c r="AB1030" s="1807">
        <v>19200</v>
      </c>
      <c r="AC1030" s="1807">
        <v>20769.23076923077</v>
      </c>
      <c r="AD1030" s="2782">
        <v>24000</v>
      </c>
      <c r="AE1030" s="2224"/>
      <c r="AF1030" s="2224"/>
      <c r="AG1030" s="580"/>
      <c r="AH1030" s="156"/>
      <c r="AI1030" s="156"/>
      <c r="AJ1030" s="156"/>
      <c r="AK1030" s="156"/>
      <c r="AL1030" s="156"/>
      <c r="AM1030" s="156"/>
      <c r="AN1030" s="156"/>
      <c r="AO1030" s="156"/>
      <c r="AP1030" s="156"/>
      <c r="AQ1030" s="156"/>
      <c r="AR1030" s="156"/>
      <c r="AS1030" s="156"/>
      <c r="AT1030" s="156"/>
      <c r="AU1030" s="156"/>
      <c r="AV1030" s="156"/>
      <c r="AW1030" s="156"/>
      <c r="AX1030" s="156"/>
      <c r="AY1030" s="156"/>
      <c r="AZ1030" s="156"/>
      <c r="BA1030" s="156"/>
      <c r="BB1030" s="2828"/>
      <c r="BC1030" s="452"/>
      <c r="BD1030" s="2829"/>
      <c r="BE1030" s="156"/>
      <c r="BF1030" s="156"/>
    </row>
    <row r="1031" spans="1:58" hidden="1" outlineLevel="1" x14ac:dyDescent="0.35">
      <c r="A1031" s="1071"/>
      <c r="B1031" s="106"/>
      <c r="C1031" s="103"/>
      <c r="D1031" s="4076"/>
      <c r="E1031" s="4022"/>
      <c r="F1031" s="3937" t="str">
        <f t="shared" ref="F1031:F1032" si="178">F1004</f>
        <v>Mini/MultiSplitASHP-Replace_CAC_NonElectricHeat_ER1_MF</v>
      </c>
      <c r="G1031" s="3938"/>
      <c r="H1031" s="3939"/>
      <c r="I1031" s="2755" t="str">
        <f t="shared" si="177"/>
        <v>351752_2022_12_</v>
      </c>
      <c r="J1031" s="1807">
        <f>J1032</f>
        <v>24000</v>
      </c>
      <c r="K1031" s="2756">
        <f t="shared" si="174"/>
        <v>2</v>
      </c>
      <c r="L1031" s="2757" t="s">
        <v>1083</v>
      </c>
      <c r="M1031" s="1304"/>
      <c r="N1031" s="1296"/>
      <c r="O1031" s="2811"/>
      <c r="P1031" s="106"/>
      <c r="Q1031" s="106"/>
      <c r="R1031" s="106"/>
      <c r="S1031" s="106"/>
      <c r="T1031" s="106"/>
      <c r="U1031" s="106"/>
      <c r="V1031" s="4076"/>
      <c r="W1031" s="2224"/>
      <c r="X1031" s="2374"/>
      <c r="Y1031" s="2374"/>
      <c r="Z1031" s="2224"/>
      <c r="AA1031" s="2224"/>
      <c r="AB1031" s="1807"/>
      <c r="AC1031" s="1807"/>
      <c r="AD1031" s="1807">
        <v>24000</v>
      </c>
      <c r="AE1031" s="2224"/>
      <c r="AF1031" s="2224"/>
      <c r="AG1031" s="580"/>
      <c r="AH1031" s="156"/>
      <c r="AI1031" s="156"/>
      <c r="AJ1031" s="156"/>
      <c r="AK1031" s="156"/>
      <c r="AL1031" s="156"/>
      <c r="AM1031" s="156"/>
      <c r="AN1031" s="156"/>
      <c r="AO1031" s="156"/>
      <c r="AP1031" s="156"/>
      <c r="AQ1031" s="156"/>
      <c r="AR1031" s="156"/>
      <c r="AS1031" s="156"/>
      <c r="AT1031" s="156"/>
      <c r="AU1031" s="156"/>
      <c r="AV1031" s="156"/>
      <c r="AW1031" s="156"/>
      <c r="AX1031" s="156"/>
      <c r="AY1031" s="156"/>
      <c r="AZ1031" s="156"/>
      <c r="BA1031" s="156"/>
      <c r="BB1031" s="2828"/>
      <c r="BC1031" s="452"/>
      <c r="BD1031" s="2829"/>
      <c r="BE1031" s="156"/>
      <c r="BF1031" s="156"/>
    </row>
    <row r="1032" spans="1:58" hidden="1" outlineLevel="1" x14ac:dyDescent="0.35">
      <c r="A1032" s="1071"/>
      <c r="B1032" s="106"/>
      <c r="C1032" s="103"/>
      <c r="D1032" s="4076"/>
      <c r="E1032" s="4022"/>
      <c r="F1032" s="3937" t="str">
        <f t="shared" si="178"/>
        <v>Mini/MultiSplitASHP-Replace_CAC_NonElectricHeat_ROF_MF</v>
      </c>
      <c r="G1032" s="3938"/>
      <c r="H1032" s="3939"/>
      <c r="I1032" s="2755" t="str">
        <f t="shared" si="177"/>
        <v>351802_2022_12_</v>
      </c>
      <c r="J1032" s="2782">
        <v>24000</v>
      </c>
      <c r="K1032" s="2756">
        <f t="shared" si="174"/>
        <v>2</v>
      </c>
      <c r="L1032" s="2729" t="s">
        <v>4360</v>
      </c>
      <c r="M1032" s="1304"/>
      <c r="N1032" s="1296"/>
      <c r="O1032" s="2811"/>
      <c r="P1032" s="106"/>
      <c r="Q1032" s="106"/>
      <c r="R1032" s="106"/>
      <c r="S1032" s="106"/>
      <c r="T1032" s="106"/>
      <c r="U1032" s="106"/>
      <c r="V1032" s="4076"/>
      <c r="W1032" s="2224"/>
      <c r="X1032" s="2374"/>
      <c r="Y1032" s="2374"/>
      <c r="Z1032" s="2224"/>
      <c r="AA1032" s="2224"/>
      <c r="AB1032" s="1807"/>
      <c r="AC1032" s="1807"/>
      <c r="AD1032" s="2782">
        <v>24000</v>
      </c>
      <c r="AE1032" s="2224"/>
      <c r="AF1032" s="2224"/>
      <c r="AG1032" s="580"/>
      <c r="AH1032" s="156"/>
      <c r="AI1032" s="156"/>
      <c r="AJ1032" s="156"/>
      <c r="AK1032" s="156"/>
      <c r="AL1032" s="156"/>
      <c r="AM1032" s="156"/>
      <c r="AN1032" s="156"/>
      <c r="AO1032" s="156"/>
      <c r="AP1032" s="156"/>
      <c r="AQ1032" s="156"/>
      <c r="AR1032" s="156"/>
      <c r="AS1032" s="156"/>
      <c r="AT1032" s="156"/>
      <c r="AU1032" s="156"/>
      <c r="AV1032" s="156"/>
      <c r="AW1032" s="156"/>
      <c r="AX1032" s="156"/>
      <c r="AY1032" s="156"/>
      <c r="AZ1032" s="156"/>
      <c r="BA1032" s="156"/>
      <c r="BB1032" s="2828"/>
      <c r="BC1032" s="452"/>
      <c r="BD1032" s="2829"/>
      <c r="BE1032" s="156"/>
      <c r="BF1032" s="156"/>
    </row>
    <row r="1033" spans="1:58" hidden="1" outlineLevel="1" x14ac:dyDescent="0.35">
      <c r="A1033" s="1071"/>
      <c r="B1033" s="106"/>
      <c r="C1033" s="103"/>
      <c r="D1033" s="4076"/>
      <c r="E1033" s="4022"/>
      <c r="F1033" s="3934" t="str">
        <f t="shared" ref="F1033:F1039" si="179">F1006</f>
        <v>Mini/MultiSplitASHP_ER1_MF</v>
      </c>
      <c r="G1033" s="3935"/>
      <c r="H1033" s="3936"/>
      <c r="I1033" s="2672" t="str">
        <f t="shared" ref="I1033:I1041" si="180">I1006</f>
        <v>351850_2021_12_</v>
      </c>
      <c r="J1033" s="1807">
        <f>J1031</f>
        <v>24000</v>
      </c>
      <c r="K1033" s="2756">
        <f t="shared" si="174"/>
        <v>2</v>
      </c>
      <c r="L1033" s="1809" t="s">
        <v>1052</v>
      </c>
      <c r="M1033" s="1304"/>
      <c r="N1033" s="1296"/>
      <c r="O1033" s="2811"/>
      <c r="P1033" s="106"/>
      <c r="Q1033" s="106"/>
      <c r="R1033" s="106"/>
      <c r="S1033" s="106"/>
      <c r="T1033" s="106"/>
      <c r="U1033" s="106"/>
      <c r="V1033" s="4076"/>
      <c r="W1033" s="2224"/>
      <c r="X1033" s="2374"/>
      <c r="Y1033" s="2374">
        <v>18000</v>
      </c>
      <c r="Z1033" s="2224">
        <v>18000</v>
      </c>
      <c r="AA1033" s="2224">
        <v>18000</v>
      </c>
      <c r="AB1033" s="1807">
        <v>15375</v>
      </c>
      <c r="AC1033" s="1807">
        <v>17727.272727272728</v>
      </c>
      <c r="AD1033" s="1807">
        <v>24000</v>
      </c>
      <c r="AE1033" s="2224"/>
      <c r="AF1033" s="2224"/>
      <c r="AG1033" s="580"/>
      <c r="AH1033" s="156"/>
      <c r="AI1033" s="156"/>
      <c r="AJ1033" s="156"/>
      <c r="AK1033" s="156"/>
      <c r="AL1033" s="156"/>
      <c r="AM1033" s="156"/>
      <c r="AN1033" s="156"/>
      <c r="AO1033" s="156"/>
      <c r="AP1033" s="156"/>
      <c r="AQ1033" s="156"/>
      <c r="AR1033" s="156"/>
      <c r="AS1033" s="156"/>
      <c r="AT1033" s="156"/>
      <c r="AU1033" s="156"/>
      <c r="AV1033" s="156"/>
      <c r="AW1033" s="156"/>
      <c r="AX1033" s="156"/>
      <c r="AY1033" s="156"/>
      <c r="AZ1033" s="156"/>
      <c r="BA1033" s="156"/>
      <c r="BB1033" s="2828"/>
      <c r="BC1033" s="452"/>
      <c r="BD1033" s="2829"/>
      <c r="BE1033" s="156"/>
      <c r="BF1033" s="156"/>
    </row>
    <row r="1034" spans="1:58" hidden="1" outlineLevel="1" x14ac:dyDescent="0.35">
      <c r="A1034" s="1071"/>
      <c r="B1034" s="106"/>
      <c r="C1034" s="103"/>
      <c r="D1034" s="4076"/>
      <c r="E1034" s="4022"/>
      <c r="F1034" s="3934" t="str">
        <f t="shared" si="179"/>
        <v>Mini/MultiSplitAC_ER1_MF_CompE</v>
      </c>
      <c r="G1034" s="3935"/>
      <c r="H1034" s="3936"/>
      <c r="I1034" s="2672" t="str">
        <f t="shared" si="180"/>
        <v>351551_2021_12_</v>
      </c>
      <c r="J1034" s="1807">
        <f>J1033</f>
        <v>24000</v>
      </c>
      <c r="K1034" s="2756">
        <f t="shared" si="174"/>
        <v>2</v>
      </c>
      <c r="L1034" s="1809" t="s">
        <v>1052</v>
      </c>
      <c r="M1034" s="1292"/>
      <c r="N1034" s="1296"/>
      <c r="O1034" s="2811"/>
      <c r="P1034" s="106"/>
      <c r="Q1034" s="106"/>
      <c r="R1034" s="106"/>
      <c r="S1034" s="106"/>
      <c r="T1034" s="106"/>
      <c r="U1034" s="106"/>
      <c r="V1034" s="4076"/>
      <c r="W1034" s="2224"/>
      <c r="X1034" s="2374"/>
      <c r="Y1034" s="2374">
        <v>18000</v>
      </c>
      <c r="Z1034" s="2224">
        <v>18000</v>
      </c>
      <c r="AA1034" s="2224">
        <v>18000</v>
      </c>
      <c r="AB1034" s="1808">
        <v>18000</v>
      </c>
      <c r="AC1034" s="2371">
        <v>16000</v>
      </c>
      <c r="AD1034" s="1807">
        <v>24000</v>
      </c>
      <c r="AE1034" s="2224"/>
      <c r="AF1034" s="2224"/>
      <c r="AG1034" s="580"/>
      <c r="AH1034" s="156"/>
      <c r="AI1034" s="156"/>
      <c r="AJ1034" s="156"/>
      <c r="AK1034" s="156"/>
      <c r="AL1034" s="156"/>
      <c r="AM1034" s="156"/>
      <c r="AN1034" s="156"/>
      <c r="AO1034" s="156"/>
      <c r="AP1034" s="156"/>
      <c r="AQ1034" s="156"/>
      <c r="AR1034" s="156"/>
      <c r="AS1034" s="156"/>
      <c r="AT1034" s="156"/>
      <c r="AU1034" s="156"/>
      <c r="AV1034" s="156"/>
      <c r="AW1034" s="156"/>
      <c r="AX1034" s="156"/>
      <c r="AY1034" s="156"/>
      <c r="AZ1034" s="156"/>
      <c r="BA1034" s="156"/>
      <c r="BB1034" s="2828"/>
      <c r="BC1034" s="452"/>
      <c r="BD1034" s="2829"/>
      <c r="BE1034" s="156"/>
      <c r="BF1034" s="156"/>
    </row>
    <row r="1035" spans="1:58" hidden="1" outlineLevel="1" x14ac:dyDescent="0.35">
      <c r="A1035" s="1071"/>
      <c r="B1035" s="106"/>
      <c r="C1035" s="103"/>
      <c r="D1035" s="4076"/>
      <c r="E1035" s="4022"/>
      <c r="F1035" s="3934" t="str">
        <f t="shared" si="179"/>
        <v>Mini/MultiSplitAC_ROF_MF_CompE</v>
      </c>
      <c r="G1035" s="3935"/>
      <c r="H1035" s="3936"/>
      <c r="I1035" s="2672" t="str">
        <f t="shared" si="180"/>
        <v>351601_2021_12_</v>
      </c>
      <c r="J1035" s="2782">
        <f>J1028</f>
        <v>24000</v>
      </c>
      <c r="K1035" s="2756">
        <f t="shared" si="174"/>
        <v>2</v>
      </c>
      <c r="L1035" s="1809" t="s">
        <v>1052</v>
      </c>
      <c r="M1035" s="1292"/>
      <c r="N1035" s="1296"/>
      <c r="O1035" s="2811"/>
      <c r="P1035" s="106"/>
      <c r="Q1035" s="106"/>
      <c r="R1035" s="106"/>
      <c r="S1035" s="106"/>
      <c r="T1035" s="106"/>
      <c r="U1035" s="106"/>
      <c r="V1035" s="4076"/>
      <c r="W1035" s="2224"/>
      <c r="X1035" s="2374"/>
      <c r="Y1035" s="2374">
        <v>18000</v>
      </c>
      <c r="Z1035" s="2224">
        <v>18000</v>
      </c>
      <c r="AA1035" s="2224">
        <v>18000</v>
      </c>
      <c r="AB1035" s="2371">
        <v>15750</v>
      </c>
      <c r="AC1035" s="2371">
        <v>16800</v>
      </c>
      <c r="AD1035" s="2782">
        <v>24000</v>
      </c>
      <c r="AE1035" s="2224"/>
      <c r="AF1035" s="2224"/>
      <c r="AG1035" s="580"/>
      <c r="AH1035" s="156"/>
      <c r="AI1035" s="156"/>
      <c r="AJ1035" s="156"/>
      <c r="AK1035" s="156"/>
      <c r="AL1035" s="156"/>
      <c r="AM1035" s="156"/>
      <c r="AN1035" s="156"/>
      <c r="AO1035" s="156"/>
      <c r="AP1035" s="156"/>
      <c r="AQ1035" s="156"/>
      <c r="AR1035" s="156"/>
      <c r="AS1035" s="156"/>
      <c r="AT1035" s="156"/>
      <c r="AU1035" s="156"/>
      <c r="AV1035" s="156"/>
      <c r="AW1035" s="156"/>
      <c r="AX1035" s="156"/>
      <c r="AY1035" s="156"/>
      <c r="AZ1035" s="156"/>
      <c r="BA1035" s="156"/>
      <c r="BB1035" s="2828"/>
      <c r="BC1035" s="452"/>
      <c r="BD1035" s="2829"/>
      <c r="BE1035" s="156"/>
      <c r="BF1035" s="156"/>
    </row>
    <row r="1036" spans="1:58" hidden="1" outlineLevel="1" x14ac:dyDescent="0.35">
      <c r="A1036" s="1071"/>
      <c r="B1036" s="106"/>
      <c r="C1036" s="103"/>
      <c r="D1036" s="4076"/>
      <c r="E1036" s="4022"/>
      <c r="F1036" s="3934" t="str">
        <f t="shared" si="179"/>
        <v>Mini/MultiSplitASHP_ROF_MF_NC_CompE</v>
      </c>
      <c r="G1036" s="3935"/>
      <c r="H1036" s="3936"/>
      <c r="I1036" s="2672" t="str">
        <f t="shared" si="180"/>
        <v>351651_2021_12_</v>
      </c>
      <c r="J1036" s="1807">
        <f t="shared" ref="J1036:J1042" si="181">J1027</f>
        <v>24000</v>
      </c>
      <c r="K1036" s="2756">
        <f t="shared" si="174"/>
        <v>2</v>
      </c>
      <c r="L1036" s="625" t="s">
        <v>1052</v>
      </c>
      <c r="M1036" s="1292"/>
      <c r="N1036" s="1296"/>
      <c r="O1036" s="2811"/>
      <c r="P1036" s="106"/>
      <c r="Q1036" s="106"/>
      <c r="R1036" s="106"/>
      <c r="S1036" s="106"/>
      <c r="T1036" s="106"/>
      <c r="U1036" s="106"/>
      <c r="V1036" s="4076"/>
      <c r="W1036" s="2224"/>
      <c r="X1036" s="2374"/>
      <c r="Y1036" s="2374">
        <v>18000</v>
      </c>
      <c r="Z1036" s="2224">
        <v>18000</v>
      </c>
      <c r="AA1036" s="2224">
        <v>18000</v>
      </c>
      <c r="AB1036" s="1808">
        <v>18000</v>
      </c>
      <c r="AC1036" s="1807">
        <v>18101.694915254237</v>
      </c>
      <c r="AD1036" s="1807">
        <v>24000</v>
      </c>
      <c r="AE1036" s="2224"/>
      <c r="AF1036" s="2224"/>
      <c r="AG1036" s="580"/>
      <c r="AH1036" s="156"/>
      <c r="AI1036" s="156"/>
      <c r="AJ1036" s="156"/>
      <c r="AK1036" s="156"/>
      <c r="AL1036" s="156"/>
      <c r="AM1036" s="156"/>
      <c r="AN1036" s="156"/>
      <c r="AO1036" s="156"/>
      <c r="AP1036" s="156"/>
      <c r="AQ1036" s="156"/>
      <c r="AR1036" s="156"/>
      <c r="AS1036" s="156"/>
      <c r="AT1036" s="156"/>
      <c r="AU1036" s="156"/>
      <c r="AV1036" s="156"/>
      <c r="AW1036" s="156"/>
      <c r="AX1036" s="156"/>
      <c r="AY1036" s="156"/>
      <c r="AZ1036" s="156"/>
      <c r="BA1036" s="156"/>
      <c r="BB1036" s="2828"/>
      <c r="BC1036" s="452"/>
      <c r="BD1036" s="2829"/>
      <c r="BE1036" s="156"/>
      <c r="BF1036" s="156"/>
    </row>
    <row r="1037" spans="1:58" hidden="1" outlineLevel="1" x14ac:dyDescent="0.35">
      <c r="A1037" s="1071"/>
      <c r="B1037" s="106"/>
      <c r="C1037" s="103"/>
      <c r="D1037" s="4076"/>
      <c r="E1037" s="4022"/>
      <c r="F1037" s="3934" t="str">
        <f t="shared" si="179"/>
        <v>Mini/MultiSplitASHP_ROF_MF_CompE</v>
      </c>
      <c r="G1037" s="3935"/>
      <c r="H1037" s="3936"/>
      <c r="I1037" s="2672" t="str">
        <f t="shared" si="180"/>
        <v>351701_2021_12_</v>
      </c>
      <c r="J1037" s="1807">
        <f t="shared" si="181"/>
        <v>24000</v>
      </c>
      <c r="K1037" s="2756">
        <f t="shared" si="174"/>
        <v>2</v>
      </c>
      <c r="L1037" s="1809" t="s">
        <v>1052</v>
      </c>
      <c r="M1037" s="1292"/>
      <c r="N1037" s="1296"/>
      <c r="O1037" s="2811"/>
      <c r="P1037" s="106"/>
      <c r="Q1037" s="106"/>
      <c r="R1037" s="106"/>
      <c r="S1037" s="106"/>
      <c r="T1037" s="106"/>
      <c r="U1037" s="106"/>
      <c r="V1037" s="4076"/>
      <c r="W1037" s="2224"/>
      <c r="X1037" s="2374"/>
      <c r="Y1037" s="2374">
        <v>18000</v>
      </c>
      <c r="Z1037" s="2224">
        <v>18000</v>
      </c>
      <c r="AA1037" s="2224">
        <v>18000</v>
      </c>
      <c r="AB1037" s="1807">
        <v>18221.05263157895</v>
      </c>
      <c r="AC1037" s="1807">
        <v>16500</v>
      </c>
      <c r="AD1037" s="1807">
        <v>24000</v>
      </c>
      <c r="AE1037" s="2224"/>
      <c r="AF1037" s="2224"/>
      <c r="AG1037" s="580"/>
      <c r="AH1037" s="156"/>
      <c r="AI1037" s="156"/>
      <c r="AJ1037" s="156"/>
      <c r="AK1037" s="156"/>
      <c r="AL1037" s="156"/>
      <c r="AM1037" s="156"/>
      <c r="AN1037" s="156"/>
      <c r="AO1037" s="156"/>
      <c r="AP1037" s="156"/>
      <c r="AQ1037" s="156"/>
      <c r="AR1037" s="156"/>
      <c r="AS1037" s="156"/>
      <c r="AT1037" s="156"/>
      <c r="AU1037" s="156"/>
      <c r="AV1037" s="156"/>
      <c r="AW1037" s="156"/>
      <c r="AX1037" s="156"/>
      <c r="AY1037" s="156"/>
      <c r="AZ1037" s="156"/>
      <c r="BA1037" s="156"/>
      <c r="BB1037" s="2828"/>
      <c r="BC1037" s="452"/>
      <c r="BD1037" s="2829"/>
      <c r="BE1037" s="156"/>
      <c r="BF1037" s="156"/>
    </row>
    <row r="1038" spans="1:58" hidden="1" outlineLevel="1" x14ac:dyDescent="0.35">
      <c r="A1038" s="1071"/>
      <c r="B1038" s="106"/>
      <c r="C1038" s="103"/>
      <c r="D1038" s="4076"/>
      <c r="E1038" s="4022"/>
      <c r="F1038" s="3934" t="str">
        <f t="shared" si="179"/>
        <v>Mini/MultiSplitASHP-Replace_CAC_ElectricHeat_ER1_MF_CompE</v>
      </c>
      <c r="G1038" s="3935"/>
      <c r="H1038" s="3936"/>
      <c r="I1038" s="2672" t="str">
        <f t="shared" si="180"/>
        <v>351751_2021_12_</v>
      </c>
      <c r="J1038" s="1807">
        <f t="shared" si="181"/>
        <v>24000</v>
      </c>
      <c r="K1038" s="2756">
        <f t="shared" si="174"/>
        <v>2</v>
      </c>
      <c r="L1038" s="1809" t="s">
        <v>1052</v>
      </c>
      <c r="M1038" s="1292"/>
      <c r="N1038" s="1296"/>
      <c r="O1038" s="2811"/>
      <c r="P1038" s="106"/>
      <c r="Q1038" s="106"/>
      <c r="R1038" s="106"/>
      <c r="S1038" s="106"/>
      <c r="T1038" s="106"/>
      <c r="U1038" s="106"/>
      <c r="V1038" s="4076"/>
      <c r="W1038" s="2224"/>
      <c r="X1038" s="2374"/>
      <c r="Y1038" s="2374">
        <v>18000</v>
      </c>
      <c r="Z1038" s="2224">
        <v>18000</v>
      </c>
      <c r="AA1038" s="2224">
        <v>18000</v>
      </c>
      <c r="AB1038" s="1807">
        <v>18840</v>
      </c>
      <c r="AC1038" s="1807">
        <v>18837.20930232558</v>
      </c>
      <c r="AD1038" s="1807">
        <v>24000</v>
      </c>
      <c r="AE1038" s="2224"/>
      <c r="AF1038" s="2224"/>
      <c r="AG1038" s="580"/>
      <c r="AH1038" s="156"/>
      <c r="AI1038" s="156"/>
      <c r="AJ1038" s="156"/>
      <c r="AK1038" s="156"/>
      <c r="AL1038" s="156"/>
      <c r="AM1038" s="156"/>
      <c r="AN1038" s="156"/>
      <c r="AO1038" s="156"/>
      <c r="AP1038" s="156"/>
      <c r="AQ1038" s="156"/>
      <c r="AR1038" s="156"/>
      <c r="AS1038" s="156"/>
      <c r="AT1038" s="156"/>
      <c r="AU1038" s="156"/>
      <c r="AV1038" s="156"/>
      <c r="AW1038" s="156"/>
      <c r="AX1038" s="156"/>
      <c r="AY1038" s="156"/>
      <c r="AZ1038" s="156"/>
      <c r="BA1038" s="156"/>
      <c r="BB1038" s="2828"/>
      <c r="BC1038" s="452"/>
      <c r="BD1038" s="2829"/>
      <c r="BE1038" s="156"/>
      <c r="BF1038" s="156"/>
    </row>
    <row r="1039" spans="1:58" hidden="1" outlineLevel="1" x14ac:dyDescent="0.35">
      <c r="A1039" s="1071"/>
      <c r="B1039" s="106"/>
      <c r="C1039" s="103"/>
      <c r="D1039" s="4076"/>
      <c r="E1039" s="4022"/>
      <c r="F1039" s="3934" t="str">
        <f t="shared" si="179"/>
        <v>Mini/MultiSplitASHP-Replace_CAC_ElectricHeat_ROF_MF_CompE</v>
      </c>
      <c r="G1039" s="3935"/>
      <c r="H1039" s="3936"/>
      <c r="I1039" s="2672" t="str">
        <f t="shared" si="180"/>
        <v>351801_2021_12_</v>
      </c>
      <c r="J1039" s="1807">
        <f t="shared" si="181"/>
        <v>24000</v>
      </c>
      <c r="K1039" s="2756">
        <f t="shared" si="174"/>
        <v>2</v>
      </c>
      <c r="L1039" s="1809" t="s">
        <v>1052</v>
      </c>
      <c r="M1039" s="1292"/>
      <c r="N1039" s="1296"/>
      <c r="O1039" s="2811"/>
      <c r="P1039" s="106"/>
      <c r="Q1039" s="106"/>
      <c r="R1039" s="106"/>
      <c r="S1039" s="106"/>
      <c r="T1039" s="106"/>
      <c r="U1039" s="106"/>
      <c r="V1039" s="4076"/>
      <c r="W1039" s="2224"/>
      <c r="X1039" s="2374"/>
      <c r="Y1039" s="2374">
        <v>19200</v>
      </c>
      <c r="Z1039" s="2224">
        <v>19200</v>
      </c>
      <c r="AA1039" s="2224">
        <v>19200</v>
      </c>
      <c r="AB1039" s="1807">
        <v>19200</v>
      </c>
      <c r="AC1039" s="1807">
        <v>20769.23076923077</v>
      </c>
      <c r="AD1039" s="1807">
        <v>24000</v>
      </c>
      <c r="AE1039" s="2224"/>
      <c r="AF1039" s="2224"/>
      <c r="AG1039" s="580"/>
      <c r="AH1039" s="156"/>
      <c r="AI1039" s="156"/>
      <c r="AJ1039" s="156"/>
      <c r="AK1039" s="156"/>
      <c r="AL1039" s="156"/>
      <c r="AM1039" s="156"/>
      <c r="AN1039" s="156"/>
      <c r="AO1039" s="156"/>
      <c r="AP1039" s="156"/>
      <c r="AQ1039" s="156"/>
      <c r="AR1039" s="156"/>
      <c r="AS1039" s="156"/>
      <c r="AT1039" s="156"/>
      <c r="AU1039" s="156"/>
      <c r="AV1039" s="156"/>
      <c r="AW1039" s="156"/>
      <c r="AX1039" s="156"/>
      <c r="AY1039" s="156"/>
      <c r="AZ1039" s="156"/>
      <c r="BA1039" s="156"/>
      <c r="BB1039" s="2828"/>
      <c r="BC1039" s="452"/>
      <c r="BD1039" s="2829"/>
      <c r="BE1039" s="156"/>
      <c r="BF1039" s="156"/>
    </row>
    <row r="1040" spans="1:58" hidden="1" outlineLevel="1" x14ac:dyDescent="0.35">
      <c r="A1040" s="1071"/>
      <c r="B1040" s="106"/>
      <c r="C1040" s="103"/>
      <c r="D1040" s="4076"/>
      <c r="E1040" s="4022"/>
      <c r="F1040" s="3937" t="str">
        <f t="shared" ref="F1040:F1041" si="182">F1013</f>
        <v>Mini/MultiSplitASHP-Replace_CAC_NonElectricHeat_ER1_MF_CompE</v>
      </c>
      <c r="G1040" s="3938"/>
      <c r="H1040" s="3939"/>
      <c r="I1040" s="2755" t="str">
        <f t="shared" si="180"/>
        <v>351753_2022_12_</v>
      </c>
      <c r="J1040" s="1807">
        <f t="shared" si="181"/>
        <v>24000</v>
      </c>
      <c r="K1040" s="2756">
        <f t="shared" si="174"/>
        <v>2</v>
      </c>
      <c r="L1040" s="2757" t="s">
        <v>1083</v>
      </c>
      <c r="M1040" s="1292"/>
      <c r="N1040" s="1296"/>
      <c r="O1040" s="2811"/>
      <c r="P1040" s="106"/>
      <c r="Q1040" s="106"/>
      <c r="R1040" s="106"/>
      <c r="S1040" s="106"/>
      <c r="T1040" s="106"/>
      <c r="U1040" s="106"/>
      <c r="V1040" s="4076"/>
      <c r="W1040" s="576"/>
      <c r="X1040" s="575"/>
      <c r="Y1040" s="575"/>
      <c r="Z1040" s="576"/>
      <c r="AA1040" s="576"/>
      <c r="AB1040" s="1807"/>
      <c r="AC1040" s="1807"/>
      <c r="AD1040" s="1807">
        <v>24000</v>
      </c>
      <c r="AE1040" s="576"/>
      <c r="AF1040" s="576"/>
      <c r="AG1040" s="2758"/>
      <c r="AH1040" s="156"/>
      <c r="AI1040" s="156"/>
      <c r="AJ1040" s="156"/>
      <c r="AK1040" s="156"/>
      <c r="AL1040" s="156"/>
      <c r="AM1040" s="156"/>
      <c r="AN1040" s="156"/>
      <c r="AO1040" s="156"/>
      <c r="AP1040" s="156"/>
      <c r="AQ1040" s="156"/>
      <c r="AR1040" s="156"/>
      <c r="AS1040" s="156"/>
      <c r="AT1040" s="156"/>
      <c r="AU1040" s="156"/>
      <c r="AV1040" s="156"/>
      <c r="AW1040" s="156"/>
      <c r="AX1040" s="156"/>
      <c r="AY1040" s="156"/>
      <c r="AZ1040" s="156"/>
      <c r="BA1040" s="156"/>
      <c r="BB1040" s="2828"/>
      <c r="BC1040" s="452"/>
      <c r="BD1040" s="2829"/>
      <c r="BE1040" s="156"/>
      <c r="BF1040" s="156"/>
    </row>
    <row r="1041" spans="1:58" hidden="1" outlineLevel="1" x14ac:dyDescent="0.35">
      <c r="A1041" s="1071"/>
      <c r="B1041" s="106"/>
      <c r="C1041" s="103"/>
      <c r="D1041" s="4076"/>
      <c r="E1041" s="4022"/>
      <c r="F1041" s="3937" t="str">
        <f t="shared" si="182"/>
        <v>Mini/MultiSplitASHP-Replace_CAC_NonElectricHeat_ROF_MF_CompE</v>
      </c>
      <c r="G1041" s="3938"/>
      <c r="H1041" s="3939"/>
      <c r="I1041" s="2755" t="str">
        <f t="shared" si="180"/>
        <v>351803_2022_12_</v>
      </c>
      <c r="J1041" s="1807">
        <f t="shared" si="181"/>
        <v>24000</v>
      </c>
      <c r="K1041" s="2756">
        <f t="shared" si="174"/>
        <v>2</v>
      </c>
      <c r="L1041" s="2757" t="s">
        <v>1083</v>
      </c>
      <c r="M1041" s="1292"/>
      <c r="N1041" s="1296"/>
      <c r="O1041" s="2811"/>
      <c r="P1041" s="106"/>
      <c r="Q1041" s="106"/>
      <c r="R1041" s="106"/>
      <c r="S1041" s="106"/>
      <c r="T1041" s="106"/>
      <c r="U1041" s="106"/>
      <c r="V1041" s="4076"/>
      <c r="W1041" s="576"/>
      <c r="X1041" s="575"/>
      <c r="Y1041" s="575"/>
      <c r="Z1041" s="576"/>
      <c r="AA1041" s="576"/>
      <c r="AB1041" s="1807"/>
      <c r="AC1041" s="1807"/>
      <c r="AD1041" s="1807">
        <v>24000</v>
      </c>
      <c r="AE1041" s="576"/>
      <c r="AF1041" s="576"/>
      <c r="AG1041" s="2758"/>
      <c r="AH1041" s="156"/>
      <c r="AI1041" s="156"/>
      <c r="AJ1041" s="156"/>
      <c r="AK1041" s="156"/>
      <c r="AL1041" s="156"/>
      <c r="AM1041" s="156"/>
      <c r="AN1041" s="156"/>
      <c r="AO1041" s="156"/>
      <c r="AP1041" s="156"/>
      <c r="AQ1041" s="156"/>
      <c r="AR1041" s="156"/>
      <c r="AS1041" s="156"/>
      <c r="AT1041" s="156"/>
      <c r="AU1041" s="156"/>
      <c r="AV1041" s="156"/>
      <c r="AW1041" s="156"/>
      <c r="AX1041" s="156"/>
      <c r="AY1041" s="156"/>
      <c r="AZ1041" s="156"/>
      <c r="BA1041" s="156"/>
      <c r="BB1041" s="2828"/>
      <c r="BC1041" s="452"/>
      <c r="BD1041" s="2829"/>
      <c r="BE1041" s="156"/>
      <c r="BF1041" s="156"/>
    </row>
    <row r="1042" spans="1:58" ht="15" hidden="1" outlineLevel="1" thickBot="1" x14ac:dyDescent="0.4">
      <c r="A1042" s="1071"/>
      <c r="B1042" s="106"/>
      <c r="C1042" s="103"/>
      <c r="D1042" s="4077"/>
      <c r="E1042" s="4104"/>
      <c r="F1042" s="3940" t="str">
        <f t="shared" ref="F1042:F1048" si="183">F1015</f>
        <v>Mini/MultiSplitASHP_ER1_MF_CompE</v>
      </c>
      <c r="G1042" s="3941"/>
      <c r="H1042" s="3942"/>
      <c r="I1042" s="2673" t="str">
        <f t="shared" ref="I1042:I1050" si="184">I1015</f>
        <v>351851_2021_12_</v>
      </c>
      <c r="J1042" s="1807">
        <f t="shared" si="181"/>
        <v>24000</v>
      </c>
      <c r="K1042" s="2756">
        <f t="shared" si="174"/>
        <v>2</v>
      </c>
      <c r="L1042" s="1809" t="s">
        <v>1052</v>
      </c>
      <c r="M1042" s="1292"/>
      <c r="N1042" s="1296"/>
      <c r="O1042" s="2811"/>
      <c r="P1042" s="106"/>
      <c r="Q1042" s="106"/>
      <c r="R1042" s="106"/>
      <c r="S1042" s="106"/>
      <c r="T1042" s="106"/>
      <c r="U1042" s="106"/>
      <c r="V1042" s="4077"/>
      <c r="W1042" s="2227"/>
      <c r="X1042" s="2375"/>
      <c r="Y1042" s="2375">
        <v>18000</v>
      </c>
      <c r="Z1042" s="2227">
        <v>18000</v>
      </c>
      <c r="AA1042" s="2227">
        <v>18000</v>
      </c>
      <c r="AB1042" s="1807">
        <v>15375</v>
      </c>
      <c r="AC1042" s="1807">
        <v>17727.272727272728</v>
      </c>
      <c r="AD1042" s="1807">
        <v>24000</v>
      </c>
      <c r="AE1042" s="2227"/>
      <c r="AF1042" s="2227"/>
      <c r="AG1042" s="626"/>
      <c r="AH1042" s="156"/>
      <c r="AI1042" s="156"/>
      <c r="AJ1042" s="156"/>
      <c r="AK1042" s="156"/>
      <c r="AL1042" s="156"/>
      <c r="AM1042" s="156"/>
      <c r="AN1042" s="156"/>
      <c r="AO1042" s="156"/>
      <c r="AP1042" s="156"/>
      <c r="AQ1042" s="156"/>
      <c r="AR1042" s="156"/>
      <c r="AS1042" s="156"/>
      <c r="AT1042" s="156"/>
      <c r="AU1042" s="156"/>
      <c r="AV1042" s="156"/>
      <c r="AW1042" s="156"/>
      <c r="AX1042" s="156"/>
      <c r="AY1042" s="156"/>
      <c r="AZ1042" s="156"/>
      <c r="BA1042" s="156"/>
      <c r="BB1042" s="2828"/>
      <c r="BC1042" s="452"/>
      <c r="BD1042" s="2829"/>
      <c r="BE1042" s="156"/>
      <c r="BF1042" s="156"/>
    </row>
    <row r="1043" spans="1:58" hidden="1" outlineLevel="1" x14ac:dyDescent="0.35">
      <c r="A1043" s="1071"/>
      <c r="B1043" s="106"/>
      <c r="C1043" s="103"/>
      <c r="D1043" s="4064" t="s">
        <v>1078</v>
      </c>
      <c r="E1043" s="4021" t="s">
        <v>1079</v>
      </c>
      <c r="F1043" s="3943" t="str">
        <f t="shared" si="183"/>
        <v>Mini/MultiSplitAC_ER1_SF</v>
      </c>
      <c r="G1043" s="3944"/>
      <c r="H1043" s="3945"/>
      <c r="I1043" s="2671" t="str">
        <f t="shared" si="184"/>
        <v>351200_2021_12_</v>
      </c>
      <c r="J1043" s="627">
        <v>635</v>
      </c>
      <c r="K1043" s="620"/>
      <c r="L1043" s="4078" t="s">
        <v>513</v>
      </c>
      <c r="M1043" s="1304"/>
      <c r="N1043" s="1296"/>
      <c r="O1043" s="106"/>
      <c r="P1043" s="106"/>
      <c r="Q1043" s="106"/>
      <c r="R1043" s="106"/>
      <c r="S1043" s="106"/>
      <c r="T1043" s="106"/>
      <c r="U1043" s="106"/>
      <c r="V1043" s="4064" t="s">
        <v>1078</v>
      </c>
      <c r="W1043" s="2228">
        <v>869</v>
      </c>
      <c r="X1043" s="2228">
        <v>869</v>
      </c>
      <c r="Y1043" s="2376">
        <v>635</v>
      </c>
      <c r="Z1043" s="2228">
        <v>635</v>
      </c>
      <c r="AA1043" s="2228">
        <v>635</v>
      </c>
      <c r="AB1043" s="2949">
        <v>635</v>
      </c>
      <c r="AC1043" s="2949">
        <v>635</v>
      </c>
      <c r="AD1043" s="2949">
        <v>635</v>
      </c>
      <c r="AE1043" s="2228"/>
      <c r="AF1043" s="2228"/>
      <c r="AG1043" s="622"/>
      <c r="AH1043" s="156"/>
      <c r="AI1043" s="156"/>
      <c r="AJ1043" s="156"/>
      <c r="AK1043" s="156"/>
      <c r="AL1043" s="156"/>
      <c r="AM1043" s="156"/>
      <c r="AN1043" s="156"/>
      <c r="AO1043" s="156"/>
      <c r="AP1043" s="156"/>
      <c r="AQ1043" s="156"/>
      <c r="AR1043" s="156"/>
      <c r="AS1043" s="156"/>
      <c r="AT1043" s="156"/>
      <c r="AU1043" s="156"/>
      <c r="AV1043" s="156"/>
      <c r="AW1043" s="156"/>
      <c r="AX1043" s="156"/>
      <c r="AY1043" s="156"/>
      <c r="AZ1043" s="156"/>
      <c r="BA1043" s="156"/>
      <c r="BB1043" s="2828"/>
      <c r="BC1043" s="452"/>
      <c r="BD1043" s="2829"/>
      <c r="BE1043" s="156"/>
      <c r="BF1043" s="156"/>
    </row>
    <row r="1044" spans="1:58" hidden="1" outlineLevel="1" x14ac:dyDescent="0.35">
      <c r="A1044" s="1071"/>
      <c r="B1044" s="106"/>
      <c r="C1044" s="103"/>
      <c r="D1044" s="4076"/>
      <c r="E1044" s="4022"/>
      <c r="F1044" s="3934" t="str">
        <f t="shared" si="183"/>
        <v>Mini/MultiSplitAC_ROF_SF</v>
      </c>
      <c r="G1044" s="3935"/>
      <c r="H1044" s="3936"/>
      <c r="I1044" s="2672" t="str">
        <f t="shared" si="184"/>
        <v>351250_2021_12_</v>
      </c>
      <c r="J1044" s="628">
        <v>635</v>
      </c>
      <c r="K1044" s="623"/>
      <c r="L1044" s="4079"/>
      <c r="M1044" s="1304"/>
      <c r="N1044" s="1296"/>
      <c r="O1044" s="106"/>
      <c r="P1044" s="106"/>
      <c r="Q1044" s="106"/>
      <c r="R1044" s="106"/>
      <c r="S1044" s="106"/>
      <c r="T1044" s="106"/>
      <c r="U1044" s="106"/>
      <c r="V1044" s="4076"/>
      <c r="W1044" s="2224">
        <v>869</v>
      </c>
      <c r="X1044" s="2224">
        <v>869</v>
      </c>
      <c r="Y1044" s="2374">
        <v>635</v>
      </c>
      <c r="Z1044" s="2224">
        <v>635</v>
      </c>
      <c r="AA1044" s="2224">
        <v>635</v>
      </c>
      <c r="AB1044" s="2950">
        <v>635</v>
      </c>
      <c r="AC1044" s="2950">
        <v>635</v>
      </c>
      <c r="AD1044" s="2950">
        <v>635</v>
      </c>
      <c r="AE1044" s="2224"/>
      <c r="AF1044" s="2224"/>
      <c r="AG1044" s="580"/>
      <c r="AH1044" s="156"/>
      <c r="AI1044" s="156"/>
      <c r="AJ1044" s="156"/>
      <c r="AK1044" s="156"/>
      <c r="AL1044" s="156"/>
      <c r="AM1044" s="156"/>
      <c r="AN1044" s="156"/>
      <c r="AO1044" s="156"/>
      <c r="AP1044" s="156"/>
      <c r="AQ1044" s="156"/>
      <c r="AR1044" s="156"/>
      <c r="AS1044" s="156"/>
      <c r="AT1044" s="156"/>
      <c r="AU1044" s="156"/>
      <c r="AV1044" s="156"/>
      <c r="AW1044" s="156"/>
      <c r="AX1044" s="156"/>
      <c r="AY1044" s="156"/>
      <c r="AZ1044" s="156"/>
      <c r="BA1044" s="156"/>
      <c r="BB1044" s="2828"/>
      <c r="BC1044" s="452"/>
      <c r="BD1044" s="2829"/>
      <c r="BE1044" s="156"/>
      <c r="BF1044" s="156"/>
    </row>
    <row r="1045" spans="1:58" hidden="1" outlineLevel="1" x14ac:dyDescent="0.35">
      <c r="A1045" s="1071"/>
      <c r="B1045" s="106"/>
      <c r="C1045" s="103"/>
      <c r="D1045" s="4076"/>
      <c r="E1045" s="4022"/>
      <c r="F1045" s="3934" t="str">
        <f t="shared" si="183"/>
        <v>Mini/MultiSplitASHP_ROF_SF_NC</v>
      </c>
      <c r="G1045" s="3935"/>
      <c r="H1045" s="3936"/>
      <c r="I1045" s="2672" t="str">
        <f t="shared" si="184"/>
        <v>351300_2021_12_</v>
      </c>
      <c r="J1045" s="628">
        <v>635</v>
      </c>
      <c r="K1045" s="623"/>
      <c r="L1045" s="4079"/>
      <c r="M1045" s="1304"/>
      <c r="N1045" s="1296"/>
      <c r="O1045" s="106"/>
      <c r="P1045" s="106"/>
      <c r="Q1045" s="106"/>
      <c r="R1045" s="106"/>
      <c r="S1045" s="106"/>
      <c r="T1045" s="106"/>
      <c r="U1045" s="106"/>
      <c r="V1045" s="4076"/>
      <c r="W1045" s="2224">
        <v>869</v>
      </c>
      <c r="X1045" s="2224">
        <v>869</v>
      </c>
      <c r="Y1045" s="2374">
        <v>635</v>
      </c>
      <c r="Z1045" s="2224">
        <v>635</v>
      </c>
      <c r="AA1045" s="2224">
        <v>635</v>
      </c>
      <c r="AB1045" s="2950">
        <v>635</v>
      </c>
      <c r="AC1045" s="2950">
        <v>635</v>
      </c>
      <c r="AD1045" s="2950">
        <v>635</v>
      </c>
      <c r="AE1045" s="2224"/>
      <c r="AF1045" s="2224"/>
      <c r="AG1045" s="580"/>
      <c r="AH1045" s="156"/>
      <c r="AI1045" s="156"/>
      <c r="AJ1045" s="156"/>
      <c r="AK1045" s="156"/>
      <c r="AL1045" s="156"/>
      <c r="AM1045" s="156"/>
      <c r="AN1045" s="156"/>
      <c r="AO1045" s="156"/>
      <c r="AP1045" s="156"/>
      <c r="AQ1045" s="156"/>
      <c r="AR1045" s="156"/>
      <c r="AS1045" s="156"/>
      <c r="AT1045" s="156"/>
      <c r="AU1045" s="156"/>
      <c r="AV1045" s="156"/>
      <c r="AW1045" s="156"/>
      <c r="AX1045" s="156"/>
      <c r="AY1045" s="156"/>
      <c r="AZ1045" s="156"/>
      <c r="BA1045" s="156"/>
      <c r="BB1045" s="2828"/>
      <c r="BC1045" s="452"/>
      <c r="BD1045" s="2829"/>
      <c r="BE1045" s="156"/>
      <c r="BF1045" s="156"/>
    </row>
    <row r="1046" spans="1:58" hidden="1" outlineLevel="1" x14ac:dyDescent="0.35">
      <c r="A1046" s="1071"/>
      <c r="B1046" s="106"/>
      <c r="C1046" s="103"/>
      <c r="D1046" s="4076"/>
      <c r="E1046" s="4022"/>
      <c r="F1046" s="3934" t="str">
        <f t="shared" si="183"/>
        <v>Mini/MultiSplitASHP_ROF_SF</v>
      </c>
      <c r="G1046" s="3935"/>
      <c r="H1046" s="3936"/>
      <c r="I1046" s="2672" t="str">
        <f t="shared" si="184"/>
        <v>351350_2021_12_</v>
      </c>
      <c r="J1046" s="628">
        <v>635</v>
      </c>
      <c r="K1046" s="623"/>
      <c r="L1046" s="4079"/>
      <c r="M1046" s="1304"/>
      <c r="N1046" s="1296"/>
      <c r="O1046" s="106"/>
      <c r="P1046" s="106"/>
      <c r="Q1046" s="106"/>
      <c r="R1046" s="106"/>
      <c r="S1046" s="106"/>
      <c r="T1046" s="106"/>
      <c r="U1046" s="106"/>
      <c r="V1046" s="4076"/>
      <c r="W1046" s="2224">
        <v>869</v>
      </c>
      <c r="X1046" s="2224">
        <v>869</v>
      </c>
      <c r="Y1046" s="2374">
        <v>635</v>
      </c>
      <c r="Z1046" s="2224">
        <v>635</v>
      </c>
      <c r="AA1046" s="2224">
        <v>635</v>
      </c>
      <c r="AB1046" s="2950">
        <v>635</v>
      </c>
      <c r="AC1046" s="2950">
        <v>635</v>
      </c>
      <c r="AD1046" s="2950">
        <v>635</v>
      </c>
      <c r="AE1046" s="2224"/>
      <c r="AF1046" s="2224"/>
      <c r="AG1046" s="580"/>
      <c r="AH1046" s="156"/>
      <c r="AI1046" s="156"/>
      <c r="AJ1046" s="156"/>
      <c r="AK1046" s="156"/>
      <c r="AL1046" s="156"/>
      <c r="AM1046" s="156"/>
      <c r="AN1046" s="156"/>
      <c r="AO1046" s="156"/>
      <c r="AP1046" s="156"/>
      <c r="AQ1046" s="156"/>
      <c r="AR1046" s="156"/>
      <c r="AS1046" s="156"/>
      <c r="AT1046" s="156"/>
      <c r="AU1046" s="156"/>
      <c r="AV1046" s="156"/>
      <c r="AW1046" s="156"/>
      <c r="AX1046" s="156"/>
      <c r="AY1046" s="156"/>
      <c r="AZ1046" s="156"/>
      <c r="BA1046" s="156"/>
      <c r="BB1046" s="2828"/>
      <c r="BC1046" s="452"/>
      <c r="BD1046" s="2829"/>
      <c r="BE1046" s="156"/>
      <c r="BF1046" s="156"/>
    </row>
    <row r="1047" spans="1:58" hidden="1" outlineLevel="1" x14ac:dyDescent="0.35">
      <c r="A1047" s="1071"/>
      <c r="B1047" s="106"/>
      <c r="C1047" s="103"/>
      <c r="D1047" s="4076"/>
      <c r="E1047" s="4022"/>
      <c r="F1047" s="3934" t="str">
        <f t="shared" si="183"/>
        <v>Mini/MultiSplitASHP-Replace_CAC_ElectricHeat_ER1_SF</v>
      </c>
      <c r="G1047" s="3935"/>
      <c r="H1047" s="3936"/>
      <c r="I1047" s="2672" t="str">
        <f t="shared" si="184"/>
        <v>351400_2021_12_</v>
      </c>
      <c r="J1047" s="628">
        <v>635</v>
      </c>
      <c r="K1047" s="623"/>
      <c r="L1047" s="4079"/>
      <c r="M1047" s="1304"/>
      <c r="N1047" s="1296"/>
      <c r="O1047" s="106"/>
      <c r="P1047" s="106"/>
      <c r="Q1047" s="106"/>
      <c r="R1047" s="106"/>
      <c r="S1047" s="106"/>
      <c r="T1047" s="106"/>
      <c r="U1047" s="106"/>
      <c r="V1047" s="4076"/>
      <c r="W1047" s="2224">
        <v>869</v>
      </c>
      <c r="X1047" s="2224">
        <v>869</v>
      </c>
      <c r="Y1047" s="2374">
        <v>635</v>
      </c>
      <c r="Z1047" s="2224">
        <v>635</v>
      </c>
      <c r="AA1047" s="2224">
        <v>635</v>
      </c>
      <c r="AB1047" s="2950">
        <v>635</v>
      </c>
      <c r="AC1047" s="2950">
        <v>635</v>
      </c>
      <c r="AD1047" s="2950">
        <v>635</v>
      </c>
      <c r="AE1047" s="2224"/>
      <c r="AF1047" s="2224"/>
      <c r="AG1047" s="580"/>
      <c r="AH1047" s="156"/>
      <c r="AI1047" s="156"/>
      <c r="AJ1047" s="156"/>
      <c r="AK1047" s="156"/>
      <c r="AL1047" s="156"/>
      <c r="AM1047" s="156"/>
      <c r="AN1047" s="156"/>
      <c r="AO1047" s="156"/>
      <c r="AP1047" s="156"/>
      <c r="AQ1047" s="156"/>
      <c r="AR1047" s="156"/>
      <c r="AS1047" s="156"/>
      <c r="AT1047" s="156"/>
      <c r="AU1047" s="156"/>
      <c r="AV1047" s="156"/>
      <c r="AW1047" s="156"/>
      <c r="AX1047" s="156"/>
      <c r="AY1047" s="156"/>
      <c r="AZ1047" s="156"/>
      <c r="BA1047" s="156"/>
      <c r="BB1047" s="2828"/>
      <c r="BC1047" s="452"/>
      <c r="BD1047" s="2829"/>
      <c r="BE1047" s="156"/>
      <c r="BF1047" s="156"/>
    </row>
    <row r="1048" spans="1:58" hidden="1" outlineLevel="1" x14ac:dyDescent="0.35">
      <c r="A1048" s="1071"/>
      <c r="B1048" s="106"/>
      <c r="C1048" s="103"/>
      <c r="D1048" s="4076"/>
      <c r="E1048" s="4022"/>
      <c r="F1048" s="3934" t="str">
        <f t="shared" si="183"/>
        <v>Mini/MultiSplitASHP-Replace_CAC_ElectricHeat_ROF_SF</v>
      </c>
      <c r="G1048" s="3935"/>
      <c r="H1048" s="3936"/>
      <c r="I1048" s="2672" t="str">
        <f t="shared" si="184"/>
        <v>351450_2021_12_</v>
      </c>
      <c r="J1048" s="628">
        <v>635</v>
      </c>
      <c r="K1048" s="623"/>
      <c r="L1048" s="4079"/>
      <c r="M1048" s="1304"/>
      <c r="N1048" s="1296"/>
      <c r="O1048" s="106"/>
      <c r="P1048" s="106"/>
      <c r="Q1048" s="106"/>
      <c r="R1048" s="106"/>
      <c r="S1048" s="106"/>
      <c r="T1048" s="106"/>
      <c r="U1048" s="106"/>
      <c r="V1048" s="4076"/>
      <c r="W1048" s="2224">
        <v>869</v>
      </c>
      <c r="X1048" s="2224">
        <v>869</v>
      </c>
      <c r="Y1048" s="2374">
        <v>635</v>
      </c>
      <c r="Z1048" s="2224">
        <v>635</v>
      </c>
      <c r="AA1048" s="2224">
        <v>635</v>
      </c>
      <c r="AB1048" s="2950">
        <v>635</v>
      </c>
      <c r="AC1048" s="2950">
        <v>635</v>
      </c>
      <c r="AD1048" s="2950">
        <v>635</v>
      </c>
      <c r="AE1048" s="2224"/>
      <c r="AF1048" s="2224"/>
      <c r="AG1048" s="580"/>
      <c r="AH1048" s="156"/>
      <c r="AI1048" s="156"/>
      <c r="AJ1048" s="156"/>
      <c r="AK1048" s="156"/>
      <c r="AL1048" s="156"/>
      <c r="AM1048" s="156"/>
      <c r="AN1048" s="156"/>
      <c r="AO1048" s="156"/>
      <c r="AP1048" s="156"/>
      <c r="AQ1048" s="156"/>
      <c r="AR1048" s="156"/>
      <c r="AS1048" s="156"/>
      <c r="AT1048" s="156"/>
      <c r="AU1048" s="156"/>
      <c r="AV1048" s="156"/>
      <c r="AW1048" s="156"/>
      <c r="AX1048" s="156"/>
      <c r="AY1048" s="156"/>
      <c r="AZ1048" s="156"/>
      <c r="BA1048" s="156"/>
      <c r="BB1048" s="2828"/>
      <c r="BC1048" s="452"/>
      <c r="BD1048" s="2829"/>
      <c r="BE1048" s="156"/>
      <c r="BF1048" s="156"/>
    </row>
    <row r="1049" spans="1:58" hidden="1" outlineLevel="1" x14ac:dyDescent="0.35">
      <c r="A1049" s="1071"/>
      <c r="B1049" s="106"/>
      <c r="C1049" s="103"/>
      <c r="D1049" s="4076"/>
      <c r="E1049" s="4022"/>
      <c r="F1049" s="3937" t="str">
        <f t="shared" ref="F1049:F1050" si="185">F1022</f>
        <v>Mini/MultiSplitASHP-Replace_CAC_NonElectricHeat_ER1_SF</v>
      </c>
      <c r="G1049" s="3938"/>
      <c r="H1049" s="3939"/>
      <c r="I1049" s="2755" t="str">
        <f t="shared" si="184"/>
        <v>351401_2022_12_</v>
      </c>
      <c r="J1049" s="629">
        <v>635</v>
      </c>
      <c r="K1049" s="623"/>
      <c r="L1049" s="4079"/>
      <c r="M1049" s="1304"/>
      <c r="N1049" s="1296"/>
      <c r="O1049" s="106"/>
      <c r="P1049" s="106"/>
      <c r="Q1049" s="106"/>
      <c r="R1049" s="106"/>
      <c r="S1049" s="106"/>
      <c r="T1049" s="106"/>
      <c r="U1049" s="106"/>
      <c r="V1049" s="4076"/>
      <c r="W1049" s="2224"/>
      <c r="X1049" s="2224"/>
      <c r="Y1049" s="2374"/>
      <c r="Z1049" s="2224"/>
      <c r="AA1049" s="2224"/>
      <c r="AB1049" s="2950"/>
      <c r="AC1049" s="2950"/>
      <c r="AD1049" s="2951">
        <v>635</v>
      </c>
      <c r="AE1049" s="2224"/>
      <c r="AF1049" s="2224"/>
      <c r="AG1049" s="580"/>
      <c r="AH1049" s="156"/>
      <c r="AI1049" s="156"/>
      <c r="AJ1049" s="156"/>
      <c r="AK1049" s="156"/>
      <c r="AL1049" s="156"/>
      <c r="AM1049" s="156"/>
      <c r="AN1049" s="156"/>
      <c r="AO1049" s="156"/>
      <c r="AP1049" s="156"/>
      <c r="AQ1049" s="156"/>
      <c r="AR1049" s="156"/>
      <c r="AS1049" s="156"/>
      <c r="AT1049" s="156"/>
      <c r="AU1049" s="156"/>
      <c r="AV1049" s="156"/>
      <c r="AW1049" s="156"/>
      <c r="AX1049" s="156"/>
      <c r="AY1049" s="156"/>
      <c r="AZ1049" s="156"/>
      <c r="BA1049" s="156"/>
      <c r="BB1049" s="2828"/>
      <c r="BC1049" s="452"/>
      <c r="BD1049" s="2829"/>
      <c r="BE1049" s="156"/>
      <c r="BF1049" s="156"/>
    </row>
    <row r="1050" spans="1:58" hidden="1" outlineLevel="1" x14ac:dyDescent="0.35">
      <c r="A1050" s="1071"/>
      <c r="B1050" s="106"/>
      <c r="C1050" s="103"/>
      <c r="D1050" s="4076"/>
      <c r="E1050" s="4022"/>
      <c r="F1050" s="3937" t="str">
        <f t="shared" si="185"/>
        <v>Mini/MultiSplitASHP-Replace_CAC_NonElectricHeat_ROF_SF</v>
      </c>
      <c r="G1050" s="3938"/>
      <c r="H1050" s="3939"/>
      <c r="I1050" s="2755" t="str">
        <f t="shared" si="184"/>
        <v>351451_2022_12_</v>
      </c>
      <c r="J1050" s="629">
        <v>635</v>
      </c>
      <c r="K1050" s="623"/>
      <c r="L1050" s="4079"/>
      <c r="M1050" s="1304"/>
      <c r="N1050" s="1296"/>
      <c r="O1050" s="106"/>
      <c r="P1050" s="106"/>
      <c r="Q1050" s="106"/>
      <c r="R1050" s="106"/>
      <c r="S1050" s="106"/>
      <c r="T1050" s="106"/>
      <c r="U1050" s="106"/>
      <c r="V1050" s="4076"/>
      <c r="W1050" s="2224"/>
      <c r="X1050" s="2224"/>
      <c r="Y1050" s="2374"/>
      <c r="Z1050" s="2224"/>
      <c r="AA1050" s="2224"/>
      <c r="AB1050" s="2950"/>
      <c r="AC1050" s="2950"/>
      <c r="AD1050" s="2951">
        <v>635</v>
      </c>
      <c r="AE1050" s="2224"/>
      <c r="AF1050" s="2224"/>
      <c r="AG1050" s="580"/>
      <c r="AH1050" s="156"/>
      <c r="AI1050" s="156"/>
      <c r="AJ1050" s="156"/>
      <c r="AK1050" s="156"/>
      <c r="AL1050" s="156"/>
      <c r="AM1050" s="156"/>
      <c r="AN1050" s="156"/>
      <c r="AO1050" s="156"/>
      <c r="AP1050" s="156"/>
      <c r="AQ1050" s="156"/>
      <c r="AR1050" s="156"/>
      <c r="AS1050" s="156"/>
      <c r="AT1050" s="156"/>
      <c r="AU1050" s="156"/>
      <c r="AV1050" s="156"/>
      <c r="AW1050" s="156"/>
      <c r="AX1050" s="156"/>
      <c r="AY1050" s="156"/>
      <c r="AZ1050" s="156"/>
      <c r="BA1050" s="156"/>
      <c r="BB1050" s="2828"/>
      <c r="BC1050" s="452"/>
      <c r="BD1050" s="2829"/>
      <c r="BE1050" s="156"/>
      <c r="BF1050" s="156"/>
    </row>
    <row r="1051" spans="1:58" hidden="1" outlineLevel="1" x14ac:dyDescent="0.35">
      <c r="A1051" s="1071"/>
      <c r="B1051" s="106"/>
      <c r="C1051" s="103"/>
      <c r="D1051" s="4076"/>
      <c r="E1051" s="4022"/>
      <c r="F1051" s="3934" t="str">
        <f t="shared" ref="F1051:F1057" si="186">F1024</f>
        <v>Mini/MultiSplitASHP_ER1_SF</v>
      </c>
      <c r="G1051" s="3935"/>
      <c r="H1051" s="3936"/>
      <c r="I1051" s="2672" t="str">
        <f t="shared" ref="I1051:I1059" si="187">I1024</f>
        <v>351500_2021_12_</v>
      </c>
      <c r="J1051" s="628">
        <v>635</v>
      </c>
      <c r="K1051" s="623"/>
      <c r="L1051" s="4079"/>
      <c r="M1051" s="1304"/>
      <c r="N1051" s="1296"/>
      <c r="O1051" s="106"/>
      <c r="P1051" s="106"/>
      <c r="Q1051" s="106"/>
      <c r="R1051" s="106"/>
      <c r="S1051" s="106"/>
      <c r="T1051" s="106"/>
      <c r="U1051" s="106"/>
      <c r="V1051" s="4076"/>
      <c r="W1051" s="2224">
        <v>869</v>
      </c>
      <c r="X1051" s="2224">
        <v>869</v>
      </c>
      <c r="Y1051" s="2374">
        <v>635</v>
      </c>
      <c r="Z1051" s="2224">
        <v>635</v>
      </c>
      <c r="AA1051" s="2224">
        <v>635</v>
      </c>
      <c r="AB1051" s="2950">
        <v>635</v>
      </c>
      <c r="AC1051" s="2950">
        <v>635</v>
      </c>
      <c r="AD1051" s="2950">
        <v>635</v>
      </c>
      <c r="AE1051" s="2224"/>
      <c r="AF1051" s="2224"/>
      <c r="AG1051" s="580"/>
      <c r="AH1051" s="156"/>
      <c r="AI1051" s="156"/>
      <c r="AJ1051" s="156"/>
      <c r="AK1051" s="156"/>
      <c r="AL1051" s="156"/>
      <c r="AM1051" s="156"/>
      <c r="AN1051" s="156"/>
      <c r="AO1051" s="156"/>
      <c r="AP1051" s="156"/>
      <c r="AQ1051" s="156"/>
      <c r="AR1051" s="156"/>
      <c r="AS1051" s="156"/>
      <c r="AT1051" s="156"/>
      <c r="AU1051" s="156"/>
      <c r="AV1051" s="156"/>
      <c r="AW1051" s="156"/>
      <c r="AX1051" s="156"/>
      <c r="AY1051" s="156"/>
      <c r="AZ1051" s="156"/>
      <c r="BA1051" s="156"/>
      <c r="BB1051" s="2828"/>
      <c r="BC1051" s="452"/>
      <c r="BD1051" s="2829"/>
      <c r="BE1051" s="156"/>
      <c r="BF1051" s="156"/>
    </row>
    <row r="1052" spans="1:58" hidden="1" outlineLevel="1" x14ac:dyDescent="0.35">
      <c r="A1052" s="1071"/>
      <c r="B1052" s="106"/>
      <c r="C1052" s="103"/>
      <c r="D1052" s="4076"/>
      <c r="E1052" s="4022"/>
      <c r="F1052" s="3934" t="str">
        <f t="shared" si="186"/>
        <v>Mini/MultiSplitAC_ER1_MF</v>
      </c>
      <c r="G1052" s="3935"/>
      <c r="H1052" s="3936"/>
      <c r="I1052" s="2672" t="str">
        <f t="shared" si="187"/>
        <v>351550_2021_12_</v>
      </c>
      <c r="J1052" s="628">
        <v>635</v>
      </c>
      <c r="K1052" s="623"/>
      <c r="L1052" s="4079"/>
      <c r="M1052" s="1304"/>
      <c r="N1052" s="1296"/>
      <c r="O1052" s="106"/>
      <c r="P1052" s="106"/>
      <c r="Q1052" s="106"/>
      <c r="R1052" s="106"/>
      <c r="S1052" s="106"/>
      <c r="T1052" s="106"/>
      <c r="U1052" s="106"/>
      <c r="V1052" s="4076"/>
      <c r="W1052" s="2224"/>
      <c r="X1052" s="2374"/>
      <c r="Y1052" s="2374">
        <v>635</v>
      </c>
      <c r="Z1052" s="2224">
        <v>635</v>
      </c>
      <c r="AA1052" s="2224">
        <v>635</v>
      </c>
      <c r="AB1052" s="2950">
        <v>635</v>
      </c>
      <c r="AC1052" s="2950">
        <v>635</v>
      </c>
      <c r="AD1052" s="2950">
        <v>635</v>
      </c>
      <c r="AE1052" s="2224"/>
      <c r="AF1052" s="2224"/>
      <c r="AG1052" s="580"/>
      <c r="AH1052" s="156"/>
      <c r="AI1052" s="156"/>
      <c r="AJ1052" s="156"/>
      <c r="AK1052" s="156"/>
      <c r="AL1052" s="156"/>
      <c r="AM1052" s="156"/>
      <c r="AN1052" s="156"/>
      <c r="AO1052" s="156"/>
      <c r="AP1052" s="156"/>
      <c r="AQ1052" s="156"/>
      <c r="AR1052" s="156"/>
      <c r="AS1052" s="156"/>
      <c r="AT1052" s="156"/>
      <c r="AU1052" s="156"/>
      <c r="AV1052" s="156"/>
      <c r="AW1052" s="156"/>
      <c r="AX1052" s="156"/>
      <c r="AY1052" s="156"/>
      <c r="AZ1052" s="156"/>
      <c r="BA1052" s="156"/>
      <c r="BB1052" s="2828"/>
      <c r="BC1052" s="452"/>
      <c r="BD1052" s="2829"/>
      <c r="BE1052" s="156"/>
      <c r="BF1052" s="156"/>
    </row>
    <row r="1053" spans="1:58" hidden="1" outlineLevel="1" x14ac:dyDescent="0.35">
      <c r="A1053" s="1071"/>
      <c r="B1053" s="106"/>
      <c r="C1053" s="103"/>
      <c r="D1053" s="4076"/>
      <c r="E1053" s="4022"/>
      <c r="F1053" s="3934" t="str">
        <f t="shared" si="186"/>
        <v>Mini/MultiSplitAC_ROF_MF</v>
      </c>
      <c r="G1053" s="3935"/>
      <c r="H1053" s="3936"/>
      <c r="I1053" s="2672" t="str">
        <f t="shared" si="187"/>
        <v>351600_2021_12_</v>
      </c>
      <c r="J1053" s="628">
        <v>635</v>
      </c>
      <c r="K1053" s="623"/>
      <c r="L1053" s="4079"/>
      <c r="M1053" s="1304"/>
      <c r="N1053" s="1296"/>
      <c r="O1053" s="106"/>
      <c r="P1053" s="106"/>
      <c r="Q1053" s="106"/>
      <c r="R1053" s="106"/>
      <c r="S1053" s="106"/>
      <c r="T1053" s="106"/>
      <c r="U1053" s="106"/>
      <c r="V1053" s="4076"/>
      <c r="W1053" s="2224"/>
      <c r="X1053" s="2374"/>
      <c r="Y1053" s="2374">
        <v>635</v>
      </c>
      <c r="Z1053" s="2224">
        <v>635</v>
      </c>
      <c r="AA1053" s="2224">
        <v>635</v>
      </c>
      <c r="AB1053" s="2950">
        <v>635</v>
      </c>
      <c r="AC1053" s="2950">
        <v>635</v>
      </c>
      <c r="AD1053" s="2950">
        <v>635</v>
      </c>
      <c r="AE1053" s="2224"/>
      <c r="AF1053" s="2224"/>
      <c r="AG1053" s="580"/>
      <c r="AH1053" s="156"/>
      <c r="AI1053" s="156"/>
      <c r="AJ1053" s="156"/>
      <c r="AK1053" s="156"/>
      <c r="AL1053" s="156"/>
      <c r="AM1053" s="156"/>
      <c r="AN1053" s="156"/>
      <c r="AO1053" s="156"/>
      <c r="AP1053" s="156"/>
      <c r="AQ1053" s="156"/>
      <c r="AR1053" s="156"/>
      <c r="AS1053" s="156"/>
      <c r="AT1053" s="156"/>
      <c r="AU1053" s="156"/>
      <c r="AV1053" s="156"/>
      <c r="AW1053" s="156"/>
      <c r="AX1053" s="156"/>
      <c r="AY1053" s="156"/>
      <c r="AZ1053" s="156"/>
      <c r="BA1053" s="156"/>
      <c r="BB1053" s="2828"/>
      <c r="BC1053" s="452"/>
      <c r="BD1053" s="2829"/>
      <c r="BE1053" s="156"/>
      <c r="BF1053" s="156"/>
    </row>
    <row r="1054" spans="1:58" hidden="1" outlineLevel="1" x14ac:dyDescent="0.35">
      <c r="A1054" s="1071"/>
      <c r="B1054" s="106"/>
      <c r="C1054" s="103"/>
      <c r="D1054" s="4076"/>
      <c r="E1054" s="4022"/>
      <c r="F1054" s="3934" t="str">
        <f t="shared" si="186"/>
        <v>Mini/MultiSplitASHP_ROF_MF_NC</v>
      </c>
      <c r="G1054" s="3935"/>
      <c r="H1054" s="3936"/>
      <c r="I1054" s="2672" t="str">
        <f t="shared" si="187"/>
        <v>351650_2021_12_</v>
      </c>
      <c r="J1054" s="628">
        <v>635</v>
      </c>
      <c r="K1054" s="623"/>
      <c r="L1054" s="4079"/>
      <c r="M1054" s="1304"/>
      <c r="N1054" s="1296"/>
      <c r="O1054" s="106"/>
      <c r="P1054" s="106"/>
      <c r="Q1054" s="106"/>
      <c r="R1054" s="106"/>
      <c r="S1054" s="106"/>
      <c r="T1054" s="106"/>
      <c r="U1054" s="106"/>
      <c r="V1054" s="4076"/>
      <c r="W1054" s="2224"/>
      <c r="X1054" s="2374"/>
      <c r="Y1054" s="2374">
        <v>635</v>
      </c>
      <c r="Z1054" s="2224">
        <v>635</v>
      </c>
      <c r="AA1054" s="2224">
        <v>635</v>
      </c>
      <c r="AB1054" s="2950">
        <v>635</v>
      </c>
      <c r="AC1054" s="2950">
        <v>635</v>
      </c>
      <c r="AD1054" s="2950">
        <v>635</v>
      </c>
      <c r="AE1054" s="2224"/>
      <c r="AF1054" s="2224"/>
      <c r="AG1054" s="580"/>
      <c r="AH1054" s="156"/>
      <c r="AI1054" s="156"/>
      <c r="AJ1054" s="156"/>
      <c r="AK1054" s="156"/>
      <c r="AL1054" s="156"/>
      <c r="AM1054" s="156"/>
      <c r="AN1054" s="156"/>
      <c r="AO1054" s="156"/>
      <c r="AP1054" s="156"/>
      <c r="AQ1054" s="156"/>
      <c r="AR1054" s="156"/>
      <c r="AS1054" s="156"/>
      <c r="AT1054" s="156"/>
      <c r="AU1054" s="156"/>
      <c r="AV1054" s="156"/>
      <c r="AW1054" s="156"/>
      <c r="AX1054" s="156"/>
      <c r="AY1054" s="156"/>
      <c r="AZ1054" s="156"/>
      <c r="BA1054" s="156"/>
      <c r="BB1054" s="2828"/>
      <c r="BC1054" s="452"/>
      <c r="BD1054" s="2829"/>
      <c r="BE1054" s="156"/>
      <c r="BF1054" s="156"/>
    </row>
    <row r="1055" spans="1:58" hidden="1" outlineLevel="1" x14ac:dyDescent="0.35">
      <c r="A1055" s="1071"/>
      <c r="B1055" s="106"/>
      <c r="C1055" s="103"/>
      <c r="D1055" s="4076"/>
      <c r="E1055" s="4022"/>
      <c r="F1055" s="3934" t="str">
        <f t="shared" si="186"/>
        <v>Mini/MultiSplitASHP_ROF_MF</v>
      </c>
      <c r="G1055" s="3935"/>
      <c r="H1055" s="3936"/>
      <c r="I1055" s="2672" t="str">
        <f t="shared" si="187"/>
        <v>351700_2021_12_</v>
      </c>
      <c r="J1055" s="628">
        <v>635</v>
      </c>
      <c r="K1055" s="623"/>
      <c r="L1055" s="4079"/>
      <c r="M1055" s="1304"/>
      <c r="N1055" s="1296"/>
      <c r="O1055" s="106"/>
      <c r="P1055" s="106"/>
      <c r="Q1055" s="106"/>
      <c r="R1055" s="106"/>
      <c r="S1055" s="106"/>
      <c r="T1055" s="106"/>
      <c r="U1055" s="106"/>
      <c r="V1055" s="4076"/>
      <c r="W1055" s="2224"/>
      <c r="X1055" s="2374"/>
      <c r="Y1055" s="2374">
        <v>635</v>
      </c>
      <c r="Z1055" s="2224">
        <v>635</v>
      </c>
      <c r="AA1055" s="2224">
        <v>635</v>
      </c>
      <c r="AB1055" s="2950">
        <v>635</v>
      </c>
      <c r="AC1055" s="2950">
        <v>635</v>
      </c>
      <c r="AD1055" s="2950">
        <v>635</v>
      </c>
      <c r="AE1055" s="2224"/>
      <c r="AF1055" s="2224"/>
      <c r="AG1055" s="580"/>
      <c r="AH1055" s="156"/>
      <c r="AI1055" s="156"/>
      <c r="AJ1055" s="156"/>
      <c r="AK1055" s="156"/>
      <c r="AL1055" s="156"/>
      <c r="AM1055" s="156"/>
      <c r="AN1055" s="156"/>
      <c r="AO1055" s="156"/>
      <c r="AP1055" s="156"/>
      <c r="AQ1055" s="156"/>
      <c r="AR1055" s="156"/>
      <c r="AS1055" s="156"/>
      <c r="AT1055" s="156"/>
      <c r="AU1055" s="156"/>
      <c r="AV1055" s="156"/>
      <c r="AW1055" s="156"/>
      <c r="AX1055" s="156"/>
      <c r="AY1055" s="156"/>
      <c r="AZ1055" s="156"/>
      <c r="BA1055" s="156"/>
      <c r="BB1055" s="2828"/>
      <c r="BC1055" s="452"/>
      <c r="BD1055" s="2829"/>
      <c r="BE1055" s="156"/>
      <c r="BF1055" s="156"/>
    </row>
    <row r="1056" spans="1:58" hidden="1" outlineLevel="1" x14ac:dyDescent="0.35">
      <c r="A1056" s="1071"/>
      <c r="B1056" s="106"/>
      <c r="C1056" s="103"/>
      <c r="D1056" s="4076"/>
      <c r="E1056" s="4022"/>
      <c r="F1056" s="3934" t="str">
        <f t="shared" si="186"/>
        <v>Mini/MultiSplitASHP-Replace_CAC_ElectricHeat_ER1_MF</v>
      </c>
      <c r="G1056" s="3935"/>
      <c r="H1056" s="3936"/>
      <c r="I1056" s="2672" t="str">
        <f t="shared" si="187"/>
        <v>351750_2021_12_</v>
      </c>
      <c r="J1056" s="628">
        <v>635</v>
      </c>
      <c r="K1056" s="623"/>
      <c r="L1056" s="4079"/>
      <c r="M1056" s="1304"/>
      <c r="N1056" s="1296"/>
      <c r="O1056" s="106"/>
      <c r="P1056" s="106"/>
      <c r="Q1056" s="106"/>
      <c r="R1056" s="106"/>
      <c r="S1056" s="106"/>
      <c r="T1056" s="106"/>
      <c r="U1056" s="106"/>
      <c r="V1056" s="4076"/>
      <c r="W1056" s="2224"/>
      <c r="X1056" s="2374"/>
      <c r="Y1056" s="2374">
        <v>635</v>
      </c>
      <c r="Z1056" s="2224">
        <v>635</v>
      </c>
      <c r="AA1056" s="2224">
        <v>635</v>
      </c>
      <c r="AB1056" s="2950">
        <v>635</v>
      </c>
      <c r="AC1056" s="2950">
        <v>635</v>
      </c>
      <c r="AD1056" s="2950">
        <v>635</v>
      </c>
      <c r="AE1056" s="2224"/>
      <c r="AF1056" s="2224"/>
      <c r="AG1056" s="580"/>
      <c r="AH1056" s="156"/>
      <c r="AI1056" s="156"/>
      <c r="AJ1056" s="156"/>
      <c r="AK1056" s="156"/>
      <c r="AL1056" s="156"/>
      <c r="AM1056" s="156"/>
      <c r="AN1056" s="156"/>
      <c r="AO1056" s="156"/>
      <c r="AP1056" s="156"/>
      <c r="AQ1056" s="156"/>
      <c r="AR1056" s="156"/>
      <c r="AS1056" s="156"/>
      <c r="AT1056" s="156"/>
      <c r="AU1056" s="156"/>
      <c r="AV1056" s="156"/>
      <c r="AW1056" s="156"/>
      <c r="AX1056" s="156"/>
      <c r="AY1056" s="156"/>
      <c r="AZ1056" s="156"/>
      <c r="BA1056" s="156"/>
      <c r="BB1056" s="2828"/>
      <c r="BC1056" s="452"/>
      <c r="BD1056" s="2829"/>
      <c r="BE1056" s="156"/>
      <c r="BF1056" s="156"/>
    </row>
    <row r="1057" spans="1:58" hidden="1" outlineLevel="1" x14ac:dyDescent="0.35">
      <c r="A1057" s="1071"/>
      <c r="B1057" s="106"/>
      <c r="C1057" s="103"/>
      <c r="D1057" s="4076"/>
      <c r="E1057" s="4022"/>
      <c r="F1057" s="3934" t="str">
        <f t="shared" si="186"/>
        <v>Mini/MultiSplitASHP-Replace_CAC_ElectricHeat_ROF_MF</v>
      </c>
      <c r="G1057" s="3935"/>
      <c r="H1057" s="3936"/>
      <c r="I1057" s="2672" t="str">
        <f t="shared" si="187"/>
        <v>351800_2021_12_</v>
      </c>
      <c r="J1057" s="628">
        <v>635</v>
      </c>
      <c r="K1057" s="623"/>
      <c r="L1057" s="4079"/>
      <c r="M1057" s="1304"/>
      <c r="N1057" s="1296"/>
      <c r="O1057" s="106"/>
      <c r="P1057" s="106"/>
      <c r="Q1057" s="106"/>
      <c r="R1057" s="106"/>
      <c r="S1057" s="106"/>
      <c r="T1057" s="106"/>
      <c r="U1057" s="106"/>
      <c r="V1057" s="4076"/>
      <c r="W1057" s="2224"/>
      <c r="X1057" s="2374"/>
      <c r="Y1057" s="2374">
        <v>635</v>
      </c>
      <c r="Z1057" s="2224">
        <v>635</v>
      </c>
      <c r="AA1057" s="2224">
        <v>635</v>
      </c>
      <c r="AB1057" s="2950">
        <v>635</v>
      </c>
      <c r="AC1057" s="2950">
        <v>635</v>
      </c>
      <c r="AD1057" s="2950">
        <v>635</v>
      </c>
      <c r="AE1057" s="2224"/>
      <c r="AF1057" s="2224"/>
      <c r="AG1057" s="580"/>
      <c r="AH1057" s="156"/>
      <c r="AI1057" s="156"/>
      <c r="AJ1057" s="156"/>
      <c r="AK1057" s="156"/>
      <c r="AL1057" s="156"/>
      <c r="AM1057" s="156"/>
      <c r="AN1057" s="156"/>
      <c r="AO1057" s="156"/>
      <c r="AP1057" s="156"/>
      <c r="AQ1057" s="156"/>
      <c r="AR1057" s="156"/>
      <c r="AS1057" s="156"/>
      <c r="AT1057" s="156"/>
      <c r="AU1057" s="156"/>
      <c r="AV1057" s="156"/>
      <c r="AW1057" s="156"/>
      <c r="AX1057" s="156"/>
      <c r="AY1057" s="156"/>
      <c r="AZ1057" s="156"/>
      <c r="BA1057" s="156"/>
      <c r="BB1057" s="2828"/>
      <c r="BC1057" s="452"/>
      <c r="BD1057" s="2829"/>
      <c r="BE1057" s="156"/>
      <c r="BF1057" s="156"/>
    </row>
    <row r="1058" spans="1:58" hidden="1" outlineLevel="1" x14ac:dyDescent="0.35">
      <c r="A1058" s="1071"/>
      <c r="B1058" s="106"/>
      <c r="C1058" s="103"/>
      <c r="D1058" s="4076"/>
      <c r="E1058" s="4022"/>
      <c r="F1058" s="3937" t="str">
        <f t="shared" ref="F1058:F1059" si="188">F1031</f>
        <v>Mini/MultiSplitASHP-Replace_CAC_NonElectricHeat_ER1_MF</v>
      </c>
      <c r="G1058" s="3938"/>
      <c r="H1058" s="3939"/>
      <c r="I1058" s="2755" t="str">
        <f t="shared" si="187"/>
        <v>351752_2022_12_</v>
      </c>
      <c r="J1058" s="629">
        <v>635</v>
      </c>
      <c r="K1058" s="623"/>
      <c r="L1058" s="4079"/>
      <c r="M1058" s="1304"/>
      <c r="N1058" s="1296"/>
      <c r="O1058" s="106"/>
      <c r="P1058" s="106"/>
      <c r="Q1058" s="106"/>
      <c r="R1058" s="106"/>
      <c r="S1058" s="106"/>
      <c r="T1058" s="106"/>
      <c r="U1058" s="106"/>
      <c r="V1058" s="4076"/>
      <c r="W1058" s="2224"/>
      <c r="X1058" s="2374"/>
      <c r="Y1058" s="2374"/>
      <c r="Z1058" s="2224"/>
      <c r="AA1058" s="2224"/>
      <c r="AB1058" s="2950"/>
      <c r="AC1058" s="2950"/>
      <c r="AD1058" s="2951">
        <v>635</v>
      </c>
      <c r="AE1058" s="2224"/>
      <c r="AF1058" s="2224"/>
      <c r="AG1058" s="580"/>
      <c r="AH1058" s="156"/>
      <c r="AI1058" s="156"/>
      <c r="AJ1058" s="156"/>
      <c r="AK1058" s="156"/>
      <c r="AL1058" s="156"/>
      <c r="AM1058" s="156"/>
      <c r="AN1058" s="156"/>
      <c r="AO1058" s="156"/>
      <c r="AP1058" s="156"/>
      <c r="AQ1058" s="156"/>
      <c r="AR1058" s="156"/>
      <c r="AS1058" s="156"/>
      <c r="AT1058" s="156"/>
      <c r="AU1058" s="156"/>
      <c r="AV1058" s="156"/>
      <c r="AW1058" s="156"/>
      <c r="AX1058" s="156"/>
      <c r="AY1058" s="156"/>
      <c r="AZ1058" s="156"/>
      <c r="BA1058" s="156"/>
      <c r="BB1058" s="2828"/>
      <c r="BC1058" s="452"/>
      <c r="BD1058" s="2829"/>
      <c r="BE1058" s="156"/>
      <c r="BF1058" s="156"/>
    </row>
    <row r="1059" spans="1:58" hidden="1" outlineLevel="1" x14ac:dyDescent="0.35">
      <c r="A1059" s="1071"/>
      <c r="B1059" s="106"/>
      <c r="C1059" s="103"/>
      <c r="D1059" s="4076"/>
      <c r="E1059" s="4022"/>
      <c r="F1059" s="3937" t="str">
        <f t="shared" si="188"/>
        <v>Mini/MultiSplitASHP-Replace_CAC_NonElectricHeat_ROF_MF</v>
      </c>
      <c r="G1059" s="3938"/>
      <c r="H1059" s="3939"/>
      <c r="I1059" s="2755" t="str">
        <f t="shared" si="187"/>
        <v>351802_2022_12_</v>
      </c>
      <c r="J1059" s="629">
        <v>635</v>
      </c>
      <c r="K1059" s="623"/>
      <c r="L1059" s="4079"/>
      <c r="M1059" s="1304"/>
      <c r="N1059" s="1296"/>
      <c r="O1059" s="106"/>
      <c r="P1059" s="106"/>
      <c r="Q1059" s="106"/>
      <c r="R1059" s="106"/>
      <c r="S1059" s="106"/>
      <c r="T1059" s="106"/>
      <c r="U1059" s="106"/>
      <c r="V1059" s="4076"/>
      <c r="W1059" s="2224"/>
      <c r="X1059" s="2374"/>
      <c r="Y1059" s="2374"/>
      <c r="Z1059" s="2224"/>
      <c r="AA1059" s="2224"/>
      <c r="AB1059" s="2950"/>
      <c r="AC1059" s="2950"/>
      <c r="AD1059" s="2951">
        <v>635</v>
      </c>
      <c r="AE1059" s="2224"/>
      <c r="AF1059" s="2224"/>
      <c r="AG1059" s="580"/>
      <c r="AH1059" s="156"/>
      <c r="AI1059" s="156"/>
      <c r="AJ1059" s="156"/>
      <c r="AK1059" s="156"/>
      <c r="AL1059" s="156"/>
      <c r="AM1059" s="156"/>
      <c r="AN1059" s="156"/>
      <c r="AO1059" s="156"/>
      <c r="AP1059" s="156"/>
      <c r="AQ1059" s="156"/>
      <c r="AR1059" s="156"/>
      <c r="AS1059" s="156"/>
      <c r="AT1059" s="156"/>
      <c r="AU1059" s="156"/>
      <c r="AV1059" s="156"/>
      <c r="AW1059" s="156"/>
      <c r="AX1059" s="156"/>
      <c r="AY1059" s="156"/>
      <c r="AZ1059" s="156"/>
      <c r="BA1059" s="156"/>
      <c r="BB1059" s="2828"/>
      <c r="BC1059" s="452"/>
      <c r="BD1059" s="2829"/>
      <c r="BE1059" s="156"/>
      <c r="BF1059" s="156"/>
    </row>
    <row r="1060" spans="1:58" hidden="1" outlineLevel="1" x14ac:dyDescent="0.35">
      <c r="A1060" s="1071"/>
      <c r="B1060" s="106"/>
      <c r="C1060" s="103"/>
      <c r="D1060" s="4076"/>
      <c r="E1060" s="4022"/>
      <c r="F1060" s="3934" t="str">
        <f t="shared" ref="F1060:F1066" si="189">F1033</f>
        <v>Mini/MultiSplitASHP_ER1_MF</v>
      </c>
      <c r="G1060" s="3935"/>
      <c r="H1060" s="3936"/>
      <c r="I1060" s="2672" t="str">
        <f t="shared" ref="I1060:I1068" si="190">I1033</f>
        <v>351850_2021_12_</v>
      </c>
      <c r="J1060" s="628">
        <v>635</v>
      </c>
      <c r="K1060" s="623"/>
      <c r="L1060" s="4079"/>
      <c r="M1060" s="1304"/>
      <c r="N1060" s="1296"/>
      <c r="O1060" s="106"/>
      <c r="P1060" s="106"/>
      <c r="Q1060" s="106"/>
      <c r="R1060" s="106"/>
      <c r="S1060" s="106"/>
      <c r="T1060" s="106"/>
      <c r="U1060" s="106"/>
      <c r="V1060" s="4076"/>
      <c r="W1060" s="2224"/>
      <c r="X1060" s="2374"/>
      <c r="Y1060" s="2374">
        <v>635</v>
      </c>
      <c r="Z1060" s="2224">
        <v>635</v>
      </c>
      <c r="AA1060" s="2224">
        <v>635</v>
      </c>
      <c r="AB1060" s="2950">
        <v>635</v>
      </c>
      <c r="AC1060" s="2950">
        <v>635</v>
      </c>
      <c r="AD1060" s="2950">
        <v>635</v>
      </c>
      <c r="AE1060" s="2224"/>
      <c r="AF1060" s="2224"/>
      <c r="AG1060" s="580"/>
      <c r="AH1060" s="156"/>
      <c r="AI1060" s="156"/>
      <c r="AJ1060" s="156"/>
      <c r="AK1060" s="156"/>
      <c r="AL1060" s="156"/>
      <c r="AM1060" s="156"/>
      <c r="AN1060" s="156"/>
      <c r="AO1060" s="156"/>
      <c r="AP1060" s="156"/>
      <c r="AQ1060" s="156"/>
      <c r="AR1060" s="156"/>
      <c r="AS1060" s="156"/>
      <c r="AT1060" s="156"/>
      <c r="AU1060" s="156"/>
      <c r="AV1060" s="156"/>
      <c r="AW1060" s="156"/>
      <c r="AX1060" s="156"/>
      <c r="AY1060" s="156"/>
      <c r="AZ1060" s="156"/>
      <c r="BA1060" s="156"/>
      <c r="BB1060" s="2828"/>
      <c r="BC1060" s="452"/>
      <c r="BD1060" s="2829"/>
      <c r="BE1060" s="156"/>
      <c r="BF1060" s="156"/>
    </row>
    <row r="1061" spans="1:58" hidden="1" outlineLevel="1" x14ac:dyDescent="0.35">
      <c r="A1061" s="1071"/>
      <c r="B1061" s="106"/>
      <c r="C1061" s="103"/>
      <c r="D1061" s="4076"/>
      <c r="E1061" s="4022"/>
      <c r="F1061" s="3934" t="str">
        <f t="shared" si="189"/>
        <v>Mini/MultiSplitAC_ER1_MF_CompE</v>
      </c>
      <c r="G1061" s="3935"/>
      <c r="H1061" s="3936"/>
      <c r="I1061" s="2672" t="str">
        <f t="shared" si="190"/>
        <v>351551_2021_12_</v>
      </c>
      <c r="J1061" s="1306">
        <v>417</v>
      </c>
      <c r="K1061" s="623"/>
      <c r="L1061" s="4079"/>
      <c r="M1061" s="1304"/>
      <c r="N1061" s="1296"/>
      <c r="O1061" s="106"/>
      <c r="P1061" s="106"/>
      <c r="Q1061" s="106"/>
      <c r="R1061" s="106"/>
      <c r="S1061" s="106"/>
      <c r="T1061" s="106"/>
      <c r="U1061" s="106"/>
      <c r="V1061" s="4076"/>
      <c r="W1061" s="2224"/>
      <c r="X1061" s="2224"/>
      <c r="Y1061" s="2374">
        <v>560</v>
      </c>
      <c r="Z1061" s="2224">
        <v>560</v>
      </c>
      <c r="AA1061" s="2224">
        <v>560</v>
      </c>
      <c r="AB1061" s="2952">
        <v>417</v>
      </c>
      <c r="AC1061" s="2952">
        <v>417</v>
      </c>
      <c r="AD1061" s="2952">
        <v>417</v>
      </c>
      <c r="AE1061" s="2224"/>
      <c r="AF1061" s="2224"/>
      <c r="AG1061" s="580"/>
      <c r="AH1061" s="156"/>
      <c r="AI1061" s="156"/>
      <c r="AJ1061" s="156"/>
      <c r="AK1061" s="156"/>
      <c r="AL1061" s="156"/>
      <c r="AM1061" s="156"/>
      <c r="AN1061" s="156"/>
      <c r="AO1061" s="156"/>
      <c r="AP1061" s="156"/>
      <c r="AQ1061" s="156"/>
      <c r="AR1061" s="156"/>
      <c r="AS1061" s="156"/>
      <c r="AT1061" s="156"/>
      <c r="AU1061" s="156"/>
      <c r="AV1061" s="156"/>
      <c r="AW1061" s="156"/>
      <c r="AX1061" s="156"/>
      <c r="AY1061" s="156"/>
      <c r="AZ1061" s="156"/>
      <c r="BA1061" s="156"/>
      <c r="BB1061" s="2828"/>
      <c r="BC1061" s="452"/>
      <c r="BD1061" s="2829"/>
      <c r="BE1061" s="156"/>
      <c r="BF1061" s="156"/>
    </row>
    <row r="1062" spans="1:58" hidden="1" outlineLevel="1" x14ac:dyDescent="0.35">
      <c r="A1062" s="1071"/>
      <c r="B1062" s="106"/>
      <c r="C1062" s="103"/>
      <c r="D1062" s="4076"/>
      <c r="E1062" s="4022"/>
      <c r="F1062" s="3934" t="str">
        <f t="shared" si="189"/>
        <v>Mini/MultiSplitAC_ROF_MF_CompE</v>
      </c>
      <c r="G1062" s="3935"/>
      <c r="H1062" s="3936"/>
      <c r="I1062" s="2672" t="str">
        <f t="shared" si="190"/>
        <v>351601_2021_12_</v>
      </c>
      <c r="J1062" s="1306">
        <v>417</v>
      </c>
      <c r="K1062" s="623"/>
      <c r="L1062" s="4079"/>
      <c r="M1062" s="1304"/>
      <c r="N1062" s="1296"/>
      <c r="O1062" s="106"/>
      <c r="P1062" s="106"/>
      <c r="Q1062" s="106"/>
      <c r="R1062" s="106"/>
      <c r="S1062" s="106"/>
      <c r="T1062" s="106"/>
      <c r="U1062" s="106"/>
      <c r="V1062" s="4076"/>
      <c r="W1062" s="2224"/>
      <c r="X1062" s="2224"/>
      <c r="Y1062" s="2374">
        <v>560</v>
      </c>
      <c r="Z1062" s="2224">
        <v>560</v>
      </c>
      <c r="AA1062" s="2224">
        <v>560</v>
      </c>
      <c r="AB1062" s="2952">
        <v>417</v>
      </c>
      <c r="AC1062" s="2952">
        <v>417</v>
      </c>
      <c r="AD1062" s="2952">
        <v>417</v>
      </c>
      <c r="AE1062" s="2224"/>
      <c r="AF1062" s="2224"/>
      <c r="AG1062" s="580"/>
      <c r="AH1062" s="156"/>
      <c r="AI1062" s="156"/>
      <c r="AJ1062" s="156"/>
      <c r="AK1062" s="156"/>
      <c r="AL1062" s="156"/>
      <c r="AM1062" s="156"/>
      <c r="AN1062" s="156"/>
      <c r="AO1062" s="156"/>
      <c r="AP1062" s="156"/>
      <c r="AQ1062" s="156"/>
      <c r="AR1062" s="156"/>
      <c r="AS1062" s="156"/>
      <c r="AT1062" s="156"/>
      <c r="AU1062" s="156"/>
      <c r="AV1062" s="156"/>
      <c r="AW1062" s="156"/>
      <c r="AX1062" s="156"/>
      <c r="AY1062" s="156"/>
      <c r="AZ1062" s="156"/>
      <c r="BA1062" s="156"/>
      <c r="BB1062" s="2828"/>
      <c r="BC1062" s="452"/>
      <c r="BD1062" s="2829"/>
      <c r="BE1062" s="156"/>
      <c r="BF1062" s="156"/>
    </row>
    <row r="1063" spans="1:58" hidden="1" outlineLevel="1" x14ac:dyDescent="0.35">
      <c r="A1063" s="1071"/>
      <c r="B1063" s="106"/>
      <c r="C1063" s="103"/>
      <c r="D1063" s="4076"/>
      <c r="E1063" s="4022"/>
      <c r="F1063" s="3934" t="str">
        <f t="shared" si="189"/>
        <v>Mini/MultiSplitASHP_ROF_MF_NC_CompE</v>
      </c>
      <c r="G1063" s="3935"/>
      <c r="H1063" s="3936"/>
      <c r="I1063" s="2672" t="str">
        <f t="shared" si="190"/>
        <v>351651_2021_12_</v>
      </c>
      <c r="J1063" s="1306">
        <v>417</v>
      </c>
      <c r="K1063" s="623"/>
      <c r="L1063" s="4079"/>
      <c r="M1063" s="1304"/>
      <c r="N1063" s="1296"/>
      <c r="O1063" s="106"/>
      <c r="P1063" s="106"/>
      <c r="Q1063" s="106"/>
      <c r="R1063" s="106"/>
      <c r="S1063" s="106"/>
      <c r="T1063" s="106"/>
      <c r="U1063" s="106"/>
      <c r="V1063" s="4076"/>
      <c r="W1063" s="2224"/>
      <c r="X1063" s="2224"/>
      <c r="Y1063" s="2374">
        <v>560</v>
      </c>
      <c r="Z1063" s="2224">
        <v>560</v>
      </c>
      <c r="AA1063" s="2224">
        <v>560</v>
      </c>
      <c r="AB1063" s="2952">
        <v>417</v>
      </c>
      <c r="AC1063" s="2952">
        <v>417</v>
      </c>
      <c r="AD1063" s="2952">
        <v>417</v>
      </c>
      <c r="AE1063" s="2224"/>
      <c r="AF1063" s="2224"/>
      <c r="AG1063" s="580"/>
      <c r="AH1063" s="156"/>
      <c r="AI1063" s="156"/>
      <c r="AJ1063" s="156"/>
      <c r="AK1063" s="156"/>
      <c r="AL1063" s="156"/>
      <c r="AM1063" s="156"/>
      <c r="AN1063" s="156"/>
      <c r="AO1063" s="156"/>
      <c r="AP1063" s="156"/>
      <c r="AQ1063" s="156"/>
      <c r="AR1063" s="156"/>
      <c r="AS1063" s="156"/>
      <c r="AT1063" s="156"/>
      <c r="AU1063" s="156"/>
      <c r="AV1063" s="156"/>
      <c r="AW1063" s="156"/>
      <c r="AX1063" s="156"/>
      <c r="AY1063" s="156"/>
      <c r="AZ1063" s="156"/>
      <c r="BA1063" s="156"/>
      <c r="BB1063" s="2828"/>
      <c r="BC1063" s="452"/>
      <c r="BD1063" s="2829"/>
      <c r="BE1063" s="156"/>
      <c r="BF1063" s="156"/>
    </row>
    <row r="1064" spans="1:58" hidden="1" outlineLevel="1" x14ac:dyDescent="0.35">
      <c r="A1064" s="1071"/>
      <c r="B1064" s="106"/>
      <c r="C1064" s="103"/>
      <c r="D1064" s="4076"/>
      <c r="E1064" s="4022"/>
      <c r="F1064" s="3934" t="str">
        <f t="shared" si="189"/>
        <v>Mini/MultiSplitASHP_ROF_MF_CompE</v>
      </c>
      <c r="G1064" s="3935"/>
      <c r="H1064" s="3936"/>
      <c r="I1064" s="2672" t="str">
        <f t="shared" si="190"/>
        <v>351701_2021_12_</v>
      </c>
      <c r="J1064" s="1306">
        <v>417</v>
      </c>
      <c r="K1064" s="623"/>
      <c r="L1064" s="4079"/>
      <c r="M1064" s="1304"/>
      <c r="N1064" s="1296"/>
      <c r="O1064" s="106"/>
      <c r="P1064" s="106"/>
      <c r="Q1064" s="106"/>
      <c r="R1064" s="106"/>
      <c r="S1064" s="106"/>
      <c r="T1064" s="106"/>
      <c r="U1064" s="106"/>
      <c r="V1064" s="4076"/>
      <c r="W1064" s="2224"/>
      <c r="X1064" s="2224"/>
      <c r="Y1064" s="2374">
        <v>560</v>
      </c>
      <c r="Z1064" s="2224">
        <v>560</v>
      </c>
      <c r="AA1064" s="2224">
        <v>560</v>
      </c>
      <c r="AB1064" s="2952">
        <v>417</v>
      </c>
      <c r="AC1064" s="2952">
        <v>417</v>
      </c>
      <c r="AD1064" s="2952">
        <v>417</v>
      </c>
      <c r="AE1064" s="2224"/>
      <c r="AF1064" s="2224"/>
      <c r="AG1064" s="580"/>
      <c r="AH1064" s="156"/>
      <c r="AI1064" s="156"/>
      <c r="AJ1064" s="156"/>
      <c r="AK1064" s="156"/>
      <c r="AL1064" s="156"/>
      <c r="AM1064" s="156"/>
      <c r="AN1064" s="156"/>
      <c r="AO1064" s="156"/>
      <c r="AP1064" s="156"/>
      <c r="AQ1064" s="156"/>
      <c r="AR1064" s="156"/>
      <c r="AS1064" s="156"/>
      <c r="AT1064" s="156"/>
      <c r="AU1064" s="156"/>
      <c r="AV1064" s="156"/>
      <c r="AW1064" s="156"/>
      <c r="AX1064" s="156"/>
      <c r="AY1064" s="156"/>
      <c r="AZ1064" s="156"/>
      <c r="BA1064" s="156"/>
      <c r="BB1064" s="2828"/>
      <c r="BC1064" s="452"/>
      <c r="BD1064" s="2829"/>
      <c r="BE1064" s="156"/>
      <c r="BF1064" s="156"/>
    </row>
    <row r="1065" spans="1:58" hidden="1" outlineLevel="1" x14ac:dyDescent="0.35">
      <c r="A1065" s="1071"/>
      <c r="B1065" s="106"/>
      <c r="C1065" s="103"/>
      <c r="D1065" s="4076"/>
      <c r="E1065" s="4022"/>
      <c r="F1065" s="3934" t="str">
        <f t="shared" si="189"/>
        <v>Mini/MultiSplitASHP-Replace_CAC_ElectricHeat_ER1_MF_CompE</v>
      </c>
      <c r="G1065" s="3935"/>
      <c r="H1065" s="3936"/>
      <c r="I1065" s="2672" t="str">
        <f t="shared" si="190"/>
        <v>351751_2021_12_</v>
      </c>
      <c r="J1065" s="1306">
        <v>417</v>
      </c>
      <c r="K1065" s="623"/>
      <c r="L1065" s="4079"/>
      <c r="M1065" s="1304"/>
      <c r="N1065" s="1296"/>
      <c r="O1065" s="106"/>
      <c r="P1065" s="106"/>
      <c r="Q1065" s="106"/>
      <c r="R1065" s="106"/>
      <c r="S1065" s="106"/>
      <c r="T1065" s="106"/>
      <c r="U1065" s="106"/>
      <c r="V1065" s="4076"/>
      <c r="W1065" s="2224"/>
      <c r="X1065" s="2224"/>
      <c r="Y1065" s="2374">
        <v>560</v>
      </c>
      <c r="Z1065" s="2224">
        <v>560</v>
      </c>
      <c r="AA1065" s="2224">
        <v>560</v>
      </c>
      <c r="AB1065" s="2952">
        <v>417</v>
      </c>
      <c r="AC1065" s="2952">
        <v>417</v>
      </c>
      <c r="AD1065" s="2952">
        <v>417</v>
      </c>
      <c r="AE1065" s="2224"/>
      <c r="AF1065" s="2224"/>
      <c r="AG1065" s="580"/>
      <c r="AH1065" s="156"/>
      <c r="AI1065" s="156"/>
      <c r="AJ1065" s="156"/>
      <c r="AK1065" s="156"/>
      <c r="AL1065" s="156"/>
      <c r="AM1065" s="156"/>
      <c r="AN1065" s="156"/>
      <c r="AO1065" s="156"/>
      <c r="AP1065" s="156"/>
      <c r="AQ1065" s="156"/>
      <c r="AR1065" s="156"/>
      <c r="AS1065" s="156"/>
      <c r="AT1065" s="156"/>
      <c r="AU1065" s="156"/>
      <c r="AV1065" s="156"/>
      <c r="AW1065" s="156"/>
      <c r="AX1065" s="156"/>
      <c r="AY1065" s="156"/>
      <c r="AZ1065" s="156"/>
      <c r="BA1065" s="156"/>
      <c r="BB1065" s="2828"/>
      <c r="BC1065" s="452"/>
      <c r="BD1065" s="2829"/>
      <c r="BE1065" s="156"/>
      <c r="BF1065" s="156"/>
    </row>
    <row r="1066" spans="1:58" hidden="1" outlineLevel="1" x14ac:dyDescent="0.35">
      <c r="A1066" s="1071"/>
      <c r="B1066" s="106"/>
      <c r="C1066" s="103"/>
      <c r="D1066" s="4076"/>
      <c r="E1066" s="4022"/>
      <c r="F1066" s="3934" t="str">
        <f t="shared" si="189"/>
        <v>Mini/MultiSplitASHP-Replace_CAC_ElectricHeat_ROF_MF_CompE</v>
      </c>
      <c r="G1066" s="3935"/>
      <c r="H1066" s="3936"/>
      <c r="I1066" s="2672" t="str">
        <f t="shared" si="190"/>
        <v>351801_2021_12_</v>
      </c>
      <c r="J1066" s="1306">
        <v>417</v>
      </c>
      <c r="K1066" s="623"/>
      <c r="L1066" s="4079"/>
      <c r="M1066" s="1304"/>
      <c r="N1066" s="1296"/>
      <c r="O1066" s="106"/>
      <c r="P1066" s="106"/>
      <c r="Q1066" s="106"/>
      <c r="R1066" s="106"/>
      <c r="S1066" s="106"/>
      <c r="T1066" s="106"/>
      <c r="U1066" s="106"/>
      <c r="V1066" s="4076"/>
      <c r="W1066" s="2224"/>
      <c r="X1066" s="2224"/>
      <c r="Y1066" s="2374">
        <v>560</v>
      </c>
      <c r="Z1066" s="2224">
        <v>560</v>
      </c>
      <c r="AA1066" s="2224">
        <v>560</v>
      </c>
      <c r="AB1066" s="2952">
        <v>417</v>
      </c>
      <c r="AC1066" s="2952">
        <v>417</v>
      </c>
      <c r="AD1066" s="2952">
        <v>417</v>
      </c>
      <c r="AE1066" s="2224"/>
      <c r="AF1066" s="2224"/>
      <c r="AG1066" s="580"/>
      <c r="AH1066" s="156"/>
      <c r="AI1066" s="156"/>
      <c r="AJ1066" s="156"/>
      <c r="AK1066" s="156"/>
      <c r="AL1066" s="156"/>
      <c r="AM1066" s="156"/>
      <c r="AN1066" s="156"/>
      <c r="AO1066" s="156"/>
      <c r="AP1066" s="156"/>
      <c r="AQ1066" s="156"/>
      <c r="AR1066" s="156"/>
      <c r="AS1066" s="156"/>
      <c r="AT1066" s="156"/>
      <c r="AU1066" s="156"/>
      <c r="AV1066" s="156"/>
      <c r="AW1066" s="156"/>
      <c r="AX1066" s="156"/>
      <c r="AY1066" s="156"/>
      <c r="AZ1066" s="156"/>
      <c r="BA1066" s="156"/>
      <c r="BB1066" s="2828"/>
      <c r="BC1066" s="452"/>
      <c r="BD1066" s="2829"/>
      <c r="BE1066" s="156"/>
      <c r="BF1066" s="156"/>
    </row>
    <row r="1067" spans="1:58" hidden="1" outlineLevel="1" x14ac:dyDescent="0.35">
      <c r="A1067" s="1071"/>
      <c r="B1067" s="106"/>
      <c r="C1067" s="103"/>
      <c r="D1067" s="4076"/>
      <c r="E1067" s="4022"/>
      <c r="F1067" s="3937" t="str">
        <f t="shared" ref="F1067:F1068" si="191">F1040</f>
        <v>Mini/MultiSplitASHP-Replace_CAC_NonElectricHeat_ER1_MF_CompE</v>
      </c>
      <c r="G1067" s="3938"/>
      <c r="H1067" s="3939"/>
      <c r="I1067" s="2755" t="str">
        <f t="shared" si="190"/>
        <v>351753_2022_12_</v>
      </c>
      <c r="J1067" s="630">
        <v>417</v>
      </c>
      <c r="K1067" s="623"/>
      <c r="L1067" s="4079"/>
      <c r="M1067" s="1304"/>
      <c r="N1067" s="1296"/>
      <c r="O1067" s="106"/>
      <c r="P1067" s="106"/>
      <c r="Q1067" s="106"/>
      <c r="R1067" s="106"/>
      <c r="S1067" s="106"/>
      <c r="T1067" s="106"/>
      <c r="U1067" s="106"/>
      <c r="V1067" s="4076"/>
      <c r="W1067" s="576"/>
      <c r="X1067" s="576"/>
      <c r="Y1067" s="575"/>
      <c r="Z1067" s="576"/>
      <c r="AA1067" s="576"/>
      <c r="AB1067" s="2952"/>
      <c r="AC1067" s="2952"/>
      <c r="AD1067" s="2953">
        <v>417</v>
      </c>
      <c r="AE1067" s="576"/>
      <c r="AF1067" s="576"/>
      <c r="AG1067" s="2758"/>
      <c r="AH1067" s="156"/>
      <c r="AI1067" s="156"/>
      <c r="AJ1067" s="156"/>
      <c r="AK1067" s="156"/>
      <c r="AL1067" s="156"/>
      <c r="AM1067" s="156"/>
      <c r="AN1067" s="156"/>
      <c r="AO1067" s="156"/>
      <c r="AP1067" s="156"/>
      <c r="AQ1067" s="156"/>
      <c r="AR1067" s="156"/>
      <c r="AS1067" s="156"/>
      <c r="AT1067" s="156"/>
      <c r="AU1067" s="156"/>
      <c r="AV1067" s="156"/>
      <c r="AW1067" s="156"/>
      <c r="AX1067" s="156"/>
      <c r="AY1067" s="156"/>
      <c r="AZ1067" s="156"/>
      <c r="BA1067" s="156"/>
      <c r="BB1067" s="2828"/>
      <c r="BC1067" s="452"/>
      <c r="BD1067" s="2829"/>
      <c r="BE1067" s="156"/>
      <c r="BF1067" s="156"/>
    </row>
    <row r="1068" spans="1:58" hidden="1" outlineLevel="1" x14ac:dyDescent="0.35">
      <c r="A1068" s="1071"/>
      <c r="B1068" s="106"/>
      <c r="C1068" s="103"/>
      <c r="D1068" s="4076"/>
      <c r="E1068" s="4022"/>
      <c r="F1068" s="3937" t="str">
        <f t="shared" si="191"/>
        <v>Mini/MultiSplitASHP-Replace_CAC_NonElectricHeat_ROF_MF_CompE</v>
      </c>
      <c r="G1068" s="3938"/>
      <c r="H1068" s="3939"/>
      <c r="I1068" s="2755" t="str">
        <f t="shared" si="190"/>
        <v>351803_2022_12_</v>
      </c>
      <c r="J1068" s="630">
        <v>417</v>
      </c>
      <c r="K1068" s="623"/>
      <c r="L1068" s="4079"/>
      <c r="M1068" s="1304"/>
      <c r="N1068" s="1296"/>
      <c r="O1068" s="106"/>
      <c r="P1068" s="106"/>
      <c r="Q1068" s="106"/>
      <c r="R1068" s="106"/>
      <c r="S1068" s="106"/>
      <c r="T1068" s="106"/>
      <c r="U1068" s="106"/>
      <c r="V1068" s="4076"/>
      <c r="W1068" s="576"/>
      <c r="X1068" s="576"/>
      <c r="Y1068" s="575"/>
      <c r="Z1068" s="576"/>
      <c r="AA1068" s="576"/>
      <c r="AB1068" s="2952"/>
      <c r="AC1068" s="2952"/>
      <c r="AD1068" s="2953">
        <v>417</v>
      </c>
      <c r="AE1068" s="576"/>
      <c r="AF1068" s="576"/>
      <c r="AG1068" s="2758"/>
      <c r="AH1068" s="156"/>
      <c r="AI1068" s="156"/>
      <c r="AJ1068" s="156"/>
      <c r="AK1068" s="156"/>
      <c r="AL1068" s="156"/>
      <c r="AM1068" s="156"/>
      <c r="AN1068" s="156"/>
      <c r="AO1068" s="156"/>
      <c r="AP1068" s="156"/>
      <c r="AQ1068" s="156"/>
      <c r="AR1068" s="156"/>
      <c r="AS1068" s="156"/>
      <c r="AT1068" s="156"/>
      <c r="AU1068" s="156"/>
      <c r="AV1068" s="156"/>
      <c r="AW1068" s="156"/>
      <c r="AX1068" s="156"/>
      <c r="AY1068" s="156"/>
      <c r="AZ1068" s="156"/>
      <c r="BA1068" s="156"/>
      <c r="BB1068" s="2828"/>
      <c r="BC1068" s="452"/>
      <c r="BD1068" s="2829"/>
      <c r="BE1068" s="156"/>
      <c r="BF1068" s="156"/>
    </row>
    <row r="1069" spans="1:58" ht="15" hidden="1" outlineLevel="1" thickBot="1" x14ac:dyDescent="0.4">
      <c r="A1069" s="1071"/>
      <c r="B1069" s="106"/>
      <c r="C1069" s="103"/>
      <c r="D1069" s="4077"/>
      <c r="E1069" s="4104"/>
      <c r="F1069" s="3940" t="str">
        <f t="shared" ref="F1069:F1075" si="192">F1042</f>
        <v>Mini/MultiSplitASHP_ER1_MF_CompE</v>
      </c>
      <c r="G1069" s="3941"/>
      <c r="H1069" s="3942"/>
      <c r="I1069" s="2673" t="str">
        <f t="shared" ref="I1069:I1077" si="193">I1042</f>
        <v>351851_2021_12_</v>
      </c>
      <c r="J1069" s="1306">
        <v>417</v>
      </c>
      <c r="K1069" s="623"/>
      <c r="L1069" s="4080"/>
      <c r="M1069" s="1304"/>
      <c r="N1069" s="1296"/>
      <c r="O1069" s="106"/>
      <c r="P1069" s="106"/>
      <c r="Q1069" s="106"/>
      <c r="R1069" s="106"/>
      <c r="S1069" s="106"/>
      <c r="T1069" s="106"/>
      <c r="U1069" s="106"/>
      <c r="V1069" s="4077"/>
      <c r="W1069" s="2227"/>
      <c r="X1069" s="2227"/>
      <c r="Y1069" s="2375">
        <v>560</v>
      </c>
      <c r="Z1069" s="2227">
        <v>560</v>
      </c>
      <c r="AA1069" s="2227">
        <v>560</v>
      </c>
      <c r="AB1069" s="2952">
        <v>417</v>
      </c>
      <c r="AC1069" s="2952">
        <v>417</v>
      </c>
      <c r="AD1069" s="2952">
        <v>417</v>
      </c>
      <c r="AE1069" s="2227"/>
      <c r="AF1069" s="2227"/>
      <c r="AG1069" s="626"/>
      <c r="AH1069" s="156"/>
      <c r="AI1069" s="156"/>
      <c r="AJ1069" s="156"/>
      <c r="AK1069" s="156"/>
      <c r="AL1069" s="156"/>
      <c r="AM1069" s="156"/>
      <c r="AN1069" s="156"/>
      <c r="AO1069" s="156"/>
      <c r="AP1069" s="156"/>
      <c r="AQ1069" s="156"/>
      <c r="AR1069" s="156"/>
      <c r="AS1069" s="156"/>
      <c r="AT1069" s="156"/>
      <c r="AU1069" s="156"/>
      <c r="AV1069" s="156"/>
      <c r="AW1069" s="156"/>
      <c r="AX1069" s="156"/>
      <c r="AY1069" s="156"/>
      <c r="AZ1069" s="156"/>
      <c r="BA1069" s="156"/>
      <c r="BB1069" s="2828"/>
      <c r="BC1069" s="452"/>
      <c r="BD1069" s="2829"/>
      <c r="BE1069" s="156"/>
      <c r="BF1069" s="156"/>
    </row>
    <row r="1070" spans="1:58" hidden="1" outlineLevel="1" x14ac:dyDescent="0.35">
      <c r="A1070" s="1071"/>
      <c r="B1070" s="106"/>
      <c r="C1070" s="103"/>
      <c r="D1070" s="4064" t="s">
        <v>975</v>
      </c>
      <c r="E1070" s="4021" t="s">
        <v>1080</v>
      </c>
      <c r="F1070" s="3943" t="str">
        <f t="shared" si="192"/>
        <v>Mini/MultiSplitAC_ER1_SF</v>
      </c>
      <c r="G1070" s="3944"/>
      <c r="H1070" s="3945"/>
      <c r="I1070" s="2671" t="str">
        <f>I1043</f>
        <v>351200_2021_12_</v>
      </c>
      <c r="J1070" s="2225">
        <v>13</v>
      </c>
      <c r="K1070" s="620"/>
      <c r="L1070" s="4147" t="s">
        <v>1081</v>
      </c>
      <c r="M1070" s="1304"/>
      <c r="N1070" s="1296"/>
      <c r="O1070" s="106"/>
      <c r="P1070" s="106"/>
      <c r="Q1070" s="106"/>
      <c r="R1070" s="106"/>
      <c r="S1070" s="106"/>
      <c r="T1070" s="106"/>
      <c r="U1070" s="106"/>
      <c r="V1070" s="4064" t="s">
        <v>975</v>
      </c>
      <c r="W1070" s="2228">
        <v>13</v>
      </c>
      <c r="X1070" s="2228">
        <v>13</v>
      </c>
      <c r="Y1070" s="2228">
        <v>13</v>
      </c>
      <c r="Z1070" s="2228">
        <v>13</v>
      </c>
      <c r="AA1070" s="2228">
        <v>13</v>
      </c>
      <c r="AB1070" s="2225">
        <v>13</v>
      </c>
      <c r="AC1070" s="2225">
        <v>13</v>
      </c>
      <c r="AD1070" s="2225">
        <v>13</v>
      </c>
      <c r="AE1070" s="2228"/>
      <c r="AF1070" s="2228"/>
      <c r="AG1070" s="622"/>
      <c r="AH1070" s="156"/>
      <c r="AI1070" s="156"/>
      <c r="AJ1070" s="156"/>
      <c r="AK1070" s="156"/>
      <c r="AL1070" s="156"/>
      <c r="AM1070" s="156"/>
      <c r="AN1070" s="156"/>
      <c r="AO1070" s="156"/>
      <c r="AP1070" s="156"/>
      <c r="AQ1070" s="156"/>
      <c r="AR1070" s="156"/>
      <c r="AS1070" s="156"/>
      <c r="AT1070" s="156"/>
      <c r="AU1070" s="156"/>
      <c r="AV1070" s="156"/>
      <c r="AW1070" s="156"/>
      <c r="AX1070" s="156"/>
      <c r="AY1070" s="156"/>
      <c r="AZ1070" s="156"/>
      <c r="BA1070" s="156"/>
      <c r="BB1070" s="2828"/>
      <c r="BC1070" s="452"/>
      <c r="BD1070" s="2829"/>
      <c r="BE1070" s="156"/>
      <c r="BF1070" s="156"/>
    </row>
    <row r="1071" spans="1:58" hidden="1" outlineLevel="1" x14ac:dyDescent="0.35">
      <c r="A1071" s="1071"/>
      <c r="B1071" s="106"/>
      <c r="C1071" s="103"/>
      <c r="D1071" s="4076"/>
      <c r="E1071" s="4022"/>
      <c r="F1071" s="3934" t="str">
        <f t="shared" si="192"/>
        <v>Mini/MultiSplitAC_ROF_SF</v>
      </c>
      <c r="G1071" s="3935"/>
      <c r="H1071" s="3936"/>
      <c r="I1071" s="2672" t="str">
        <f t="shared" si="193"/>
        <v>351250_2021_12_</v>
      </c>
      <c r="J1071" s="2223">
        <v>13</v>
      </c>
      <c r="K1071" s="623"/>
      <c r="L1071" s="4174"/>
      <c r="M1071" s="1304"/>
      <c r="N1071" s="1296"/>
      <c r="O1071" s="106"/>
      <c r="P1071" s="106"/>
      <c r="Q1071" s="106"/>
      <c r="R1071" s="106"/>
      <c r="S1071" s="106"/>
      <c r="T1071" s="106"/>
      <c r="U1071" s="106"/>
      <c r="V1071" s="4076"/>
      <c r="W1071" s="2224">
        <v>13</v>
      </c>
      <c r="X1071" s="2224">
        <v>13</v>
      </c>
      <c r="Y1071" s="2224">
        <v>13</v>
      </c>
      <c r="Z1071" s="2224">
        <v>13</v>
      </c>
      <c r="AA1071" s="2224">
        <v>13</v>
      </c>
      <c r="AB1071" s="2223">
        <v>13</v>
      </c>
      <c r="AC1071" s="2223">
        <v>13</v>
      </c>
      <c r="AD1071" s="2223">
        <v>13</v>
      </c>
      <c r="AE1071" s="2224"/>
      <c r="AF1071" s="2224"/>
      <c r="AG1071" s="580"/>
      <c r="AH1071" s="156"/>
      <c r="AI1071" s="156"/>
      <c r="AJ1071" s="156"/>
      <c r="AK1071" s="156"/>
      <c r="AL1071" s="156"/>
      <c r="AM1071" s="156"/>
      <c r="AN1071" s="156"/>
      <c r="AO1071" s="156"/>
      <c r="AP1071" s="156"/>
      <c r="AQ1071" s="156"/>
      <c r="AR1071" s="156"/>
      <c r="AS1071" s="156"/>
      <c r="AT1071" s="156"/>
      <c r="AU1071" s="156"/>
      <c r="AV1071" s="156"/>
      <c r="AW1071" s="156"/>
      <c r="AX1071" s="156"/>
      <c r="AY1071" s="156"/>
      <c r="AZ1071" s="156"/>
      <c r="BA1071" s="156"/>
      <c r="BB1071" s="2828"/>
      <c r="BC1071" s="452"/>
      <c r="BD1071" s="2829"/>
      <c r="BE1071" s="156"/>
      <c r="BF1071" s="156"/>
    </row>
    <row r="1072" spans="1:58" hidden="1" outlineLevel="1" x14ac:dyDescent="0.35">
      <c r="A1072" s="1071"/>
      <c r="B1072" s="106"/>
      <c r="C1072" s="103"/>
      <c r="D1072" s="4076"/>
      <c r="E1072" s="4022"/>
      <c r="F1072" s="3934" t="str">
        <f t="shared" si="192"/>
        <v>Mini/MultiSplitASHP_ROF_SF_NC</v>
      </c>
      <c r="G1072" s="3935"/>
      <c r="H1072" s="3936"/>
      <c r="I1072" s="2672" t="str">
        <f t="shared" si="193"/>
        <v>351300_2021_12_</v>
      </c>
      <c r="J1072" s="2223">
        <v>14</v>
      </c>
      <c r="K1072" s="623"/>
      <c r="L1072" s="4174"/>
      <c r="M1072" s="1304"/>
      <c r="N1072" s="1296"/>
      <c r="O1072" s="106"/>
      <c r="P1072" s="106"/>
      <c r="Q1072" s="106"/>
      <c r="R1072" s="106"/>
      <c r="S1072" s="106"/>
      <c r="T1072" s="106"/>
      <c r="U1072" s="106"/>
      <c r="V1072" s="4076"/>
      <c r="W1072" s="2224">
        <v>13</v>
      </c>
      <c r="X1072" s="2224">
        <v>13</v>
      </c>
      <c r="Y1072" s="2374">
        <v>14</v>
      </c>
      <c r="Z1072" s="2224">
        <v>14</v>
      </c>
      <c r="AA1072" s="2224">
        <v>14</v>
      </c>
      <c r="AB1072" s="2223">
        <v>14</v>
      </c>
      <c r="AC1072" s="2223">
        <v>14</v>
      </c>
      <c r="AD1072" s="2223">
        <v>14</v>
      </c>
      <c r="AE1072" s="2224"/>
      <c r="AF1072" s="2224"/>
      <c r="AG1072" s="580"/>
      <c r="AH1072" s="156"/>
      <c r="AI1072" s="156"/>
      <c r="AJ1072" s="156"/>
      <c r="AK1072" s="156"/>
      <c r="AL1072" s="156"/>
      <c r="AM1072" s="156"/>
      <c r="AN1072" s="156"/>
      <c r="AO1072" s="156"/>
      <c r="AP1072" s="156"/>
      <c r="AQ1072" s="156"/>
      <c r="AR1072" s="156"/>
      <c r="AS1072" s="156"/>
      <c r="AT1072" s="156"/>
      <c r="AU1072" s="156"/>
      <c r="AV1072" s="156"/>
      <c r="AW1072" s="156"/>
      <c r="AX1072" s="156"/>
      <c r="AY1072" s="156"/>
      <c r="AZ1072" s="156"/>
      <c r="BA1072" s="156"/>
      <c r="BB1072" s="2828"/>
      <c r="BC1072" s="452"/>
      <c r="BD1072" s="2829"/>
      <c r="BE1072" s="156"/>
      <c r="BF1072" s="156"/>
    </row>
    <row r="1073" spans="1:58" hidden="1" outlineLevel="1" x14ac:dyDescent="0.35">
      <c r="A1073" s="1071"/>
      <c r="B1073" s="106"/>
      <c r="C1073" s="103"/>
      <c r="D1073" s="4076"/>
      <c r="E1073" s="4022"/>
      <c r="F1073" s="3934" t="str">
        <f t="shared" si="192"/>
        <v>Mini/MultiSplitASHP_ROF_SF</v>
      </c>
      <c r="G1073" s="3935"/>
      <c r="H1073" s="3936"/>
      <c r="I1073" s="2672" t="str">
        <f t="shared" si="193"/>
        <v>351350_2021_12_</v>
      </c>
      <c r="J1073" s="2223">
        <v>14</v>
      </c>
      <c r="K1073" s="623"/>
      <c r="L1073" s="4174"/>
      <c r="M1073" s="1292"/>
      <c r="N1073" s="1296"/>
      <c r="O1073" s="106"/>
      <c r="P1073" s="106"/>
      <c r="Q1073" s="106"/>
      <c r="R1073" s="106"/>
      <c r="S1073" s="106"/>
      <c r="T1073" s="106"/>
      <c r="U1073" s="106"/>
      <c r="V1073" s="4076"/>
      <c r="W1073" s="2224">
        <v>13</v>
      </c>
      <c r="X1073" s="2224">
        <v>13</v>
      </c>
      <c r="Y1073" s="2374">
        <v>14</v>
      </c>
      <c r="Z1073" s="2224">
        <v>14</v>
      </c>
      <c r="AA1073" s="2224">
        <v>14</v>
      </c>
      <c r="AB1073" s="2223">
        <v>14</v>
      </c>
      <c r="AC1073" s="2223">
        <v>14</v>
      </c>
      <c r="AD1073" s="2223">
        <v>14</v>
      </c>
      <c r="AE1073" s="2224"/>
      <c r="AF1073" s="2224"/>
      <c r="AG1073" s="580"/>
      <c r="AH1073" s="156"/>
      <c r="AI1073" s="156"/>
      <c r="AJ1073" s="156"/>
      <c r="AK1073" s="156"/>
      <c r="AL1073" s="156"/>
      <c r="AM1073" s="156"/>
      <c r="AN1073" s="156"/>
      <c r="AO1073" s="156"/>
      <c r="AP1073" s="156"/>
      <c r="AQ1073" s="156"/>
      <c r="AR1073" s="156"/>
      <c r="AS1073" s="156"/>
      <c r="AT1073" s="156"/>
      <c r="AU1073" s="156"/>
      <c r="AV1073" s="156"/>
      <c r="AW1073" s="156"/>
      <c r="AX1073" s="156"/>
      <c r="AY1073" s="156"/>
      <c r="AZ1073" s="156"/>
      <c r="BA1073" s="156"/>
      <c r="BB1073" s="2828"/>
      <c r="BC1073" s="452"/>
      <c r="BD1073" s="2829"/>
      <c r="BE1073" s="156"/>
      <c r="BF1073" s="156"/>
    </row>
    <row r="1074" spans="1:58" hidden="1" outlineLevel="1" x14ac:dyDescent="0.35">
      <c r="A1074" s="1071"/>
      <c r="B1074" s="106"/>
      <c r="C1074" s="103"/>
      <c r="D1074" s="4076"/>
      <c r="E1074" s="4022"/>
      <c r="F1074" s="3934" t="str">
        <f t="shared" si="192"/>
        <v>Mini/MultiSplitASHP-Replace_CAC_ElectricHeat_ER1_SF</v>
      </c>
      <c r="G1074" s="3935"/>
      <c r="H1074" s="3936"/>
      <c r="I1074" s="2672" t="str">
        <f t="shared" si="193"/>
        <v>351400_2021_12_</v>
      </c>
      <c r="J1074" s="2223">
        <v>13</v>
      </c>
      <c r="K1074" s="623"/>
      <c r="L1074" s="4174"/>
      <c r="M1074" s="1292"/>
      <c r="N1074" s="1296"/>
      <c r="O1074" s="106"/>
      <c r="P1074" s="106"/>
      <c r="Q1074" s="106"/>
      <c r="R1074" s="106"/>
      <c r="S1074" s="106"/>
      <c r="T1074" s="106"/>
      <c r="U1074" s="106"/>
      <c r="V1074" s="4076"/>
      <c r="W1074" s="2224">
        <v>13</v>
      </c>
      <c r="X1074" s="2224">
        <v>13</v>
      </c>
      <c r="Y1074" s="2224">
        <v>13</v>
      </c>
      <c r="Z1074" s="2224">
        <v>13</v>
      </c>
      <c r="AA1074" s="2224">
        <v>13</v>
      </c>
      <c r="AB1074" s="2223">
        <v>13</v>
      </c>
      <c r="AC1074" s="2223">
        <v>13</v>
      </c>
      <c r="AD1074" s="2223">
        <v>13</v>
      </c>
      <c r="AE1074" s="2224"/>
      <c r="AF1074" s="2224"/>
      <c r="AG1074" s="580"/>
      <c r="AH1074" s="156"/>
      <c r="AI1074" s="156"/>
      <c r="AJ1074" s="156"/>
      <c r="AK1074" s="156"/>
      <c r="AL1074" s="156"/>
      <c r="AM1074" s="156"/>
      <c r="AN1074" s="156"/>
      <c r="AO1074" s="156"/>
      <c r="AP1074" s="156"/>
      <c r="AQ1074" s="156"/>
      <c r="AR1074" s="156"/>
      <c r="AS1074" s="156"/>
      <c r="AT1074" s="156"/>
      <c r="AU1074" s="156"/>
      <c r="AV1074" s="156"/>
      <c r="AW1074" s="156"/>
      <c r="AX1074" s="156"/>
      <c r="AY1074" s="156"/>
      <c r="AZ1074" s="156"/>
      <c r="BA1074" s="156"/>
      <c r="BB1074" s="2828"/>
      <c r="BC1074" s="452"/>
      <c r="BD1074" s="2829"/>
      <c r="BE1074" s="156"/>
      <c r="BF1074" s="156"/>
    </row>
    <row r="1075" spans="1:58" hidden="1" outlineLevel="1" x14ac:dyDescent="0.35">
      <c r="A1075" s="1071"/>
      <c r="B1075" s="106"/>
      <c r="C1075" s="103"/>
      <c r="D1075" s="4076"/>
      <c r="E1075" s="4022"/>
      <c r="F1075" s="3934" t="str">
        <f t="shared" si="192"/>
        <v>Mini/MultiSplitASHP-Replace_CAC_ElectricHeat_ROF_SF</v>
      </c>
      <c r="G1075" s="3935"/>
      <c r="H1075" s="3936"/>
      <c r="I1075" s="2672" t="str">
        <f t="shared" si="193"/>
        <v>351450_2021_12_</v>
      </c>
      <c r="J1075" s="2223">
        <v>14</v>
      </c>
      <c r="K1075" s="623"/>
      <c r="L1075" s="4174"/>
      <c r="M1075" s="1292"/>
      <c r="N1075" s="1296"/>
      <c r="O1075" s="106"/>
      <c r="P1075" s="106"/>
      <c r="Q1075" s="106"/>
      <c r="R1075" s="106"/>
      <c r="S1075" s="106"/>
      <c r="T1075" s="106"/>
      <c r="U1075" s="106"/>
      <c r="V1075" s="4076"/>
      <c r="W1075" s="2224">
        <v>13</v>
      </c>
      <c r="X1075" s="2224">
        <v>13</v>
      </c>
      <c r="Y1075" s="2374">
        <v>14</v>
      </c>
      <c r="Z1075" s="2224">
        <v>14</v>
      </c>
      <c r="AA1075" s="2224">
        <v>14</v>
      </c>
      <c r="AB1075" s="2223">
        <v>14</v>
      </c>
      <c r="AC1075" s="2223">
        <v>14</v>
      </c>
      <c r="AD1075" s="2223">
        <v>14</v>
      </c>
      <c r="AE1075" s="2224"/>
      <c r="AF1075" s="2224"/>
      <c r="AG1075" s="580"/>
      <c r="AH1075" s="156"/>
      <c r="AI1075" s="156"/>
      <c r="AJ1075" s="156"/>
      <c r="AK1075" s="156"/>
      <c r="AL1075" s="156"/>
      <c r="AM1075" s="156"/>
      <c r="AN1075" s="156"/>
      <c r="AO1075" s="156"/>
      <c r="AP1075" s="156"/>
      <c r="AQ1075" s="156"/>
      <c r="AR1075" s="156"/>
      <c r="AS1075" s="156"/>
      <c r="AT1075" s="156"/>
      <c r="AU1075" s="156"/>
      <c r="AV1075" s="156"/>
      <c r="AW1075" s="156"/>
      <c r="AX1075" s="156"/>
      <c r="AY1075" s="156"/>
      <c r="AZ1075" s="156"/>
      <c r="BA1075" s="156"/>
      <c r="BB1075" s="2828"/>
      <c r="BC1075" s="452"/>
      <c r="BD1075" s="2829"/>
      <c r="BE1075" s="156"/>
      <c r="BF1075" s="156"/>
    </row>
    <row r="1076" spans="1:58" hidden="1" outlineLevel="1" x14ac:dyDescent="0.35">
      <c r="A1076" s="1071"/>
      <c r="B1076" s="106"/>
      <c r="C1076" s="103"/>
      <c r="D1076" s="4076"/>
      <c r="E1076" s="4022"/>
      <c r="F1076" s="3937" t="str">
        <f t="shared" ref="F1076:F1077" si="194">F1049</f>
        <v>Mini/MultiSplitASHP-Replace_CAC_NonElectricHeat_ER1_SF</v>
      </c>
      <c r="G1076" s="3938"/>
      <c r="H1076" s="3939"/>
      <c r="I1076" s="2755" t="str">
        <f t="shared" si="193"/>
        <v>351401_2022_12_</v>
      </c>
      <c r="J1076" s="2373">
        <v>13</v>
      </c>
      <c r="K1076" s="623"/>
      <c r="L1076" s="4174"/>
      <c r="M1076" s="1292"/>
      <c r="N1076" s="1296"/>
      <c r="O1076" s="106"/>
      <c r="P1076" s="106"/>
      <c r="Q1076" s="106"/>
      <c r="R1076" s="106"/>
      <c r="S1076" s="106"/>
      <c r="T1076" s="106"/>
      <c r="U1076" s="106"/>
      <c r="V1076" s="4076"/>
      <c r="W1076" s="2224"/>
      <c r="X1076" s="2224"/>
      <c r="Y1076" s="2374"/>
      <c r="Z1076" s="2224"/>
      <c r="AA1076" s="2224"/>
      <c r="AB1076" s="2223"/>
      <c r="AC1076" s="2223"/>
      <c r="AD1076" s="2373">
        <v>13</v>
      </c>
      <c r="AE1076" s="2224"/>
      <c r="AF1076" s="2224"/>
      <c r="AG1076" s="580"/>
      <c r="AH1076" s="156"/>
      <c r="AI1076" s="156"/>
      <c r="AJ1076" s="156"/>
      <c r="AK1076" s="156"/>
      <c r="AL1076" s="156"/>
      <c r="AM1076" s="156"/>
      <c r="AN1076" s="156"/>
      <c r="AO1076" s="156"/>
      <c r="AP1076" s="156"/>
      <c r="AQ1076" s="156"/>
      <c r="AR1076" s="156"/>
      <c r="AS1076" s="156"/>
      <c r="AT1076" s="156"/>
      <c r="AU1076" s="156"/>
      <c r="AV1076" s="156"/>
      <c r="AW1076" s="156"/>
      <c r="AX1076" s="156"/>
      <c r="AY1076" s="156"/>
      <c r="AZ1076" s="156"/>
      <c r="BA1076" s="156"/>
      <c r="BB1076" s="2828"/>
      <c r="BC1076" s="452"/>
      <c r="BD1076" s="2829"/>
      <c r="BE1076" s="156"/>
      <c r="BF1076" s="156"/>
    </row>
    <row r="1077" spans="1:58" hidden="1" outlineLevel="1" x14ac:dyDescent="0.35">
      <c r="A1077" s="1071"/>
      <c r="B1077" s="106"/>
      <c r="C1077" s="103"/>
      <c r="D1077" s="4076"/>
      <c r="E1077" s="4022"/>
      <c r="F1077" s="3937" t="str">
        <f t="shared" si="194"/>
        <v>Mini/MultiSplitASHP-Replace_CAC_NonElectricHeat_ROF_SF</v>
      </c>
      <c r="G1077" s="3938"/>
      <c r="H1077" s="3939"/>
      <c r="I1077" s="2755" t="str">
        <f t="shared" si="193"/>
        <v>351451_2022_12_</v>
      </c>
      <c r="J1077" s="2373">
        <v>14</v>
      </c>
      <c r="K1077" s="623"/>
      <c r="L1077" s="4174"/>
      <c r="M1077" s="1292"/>
      <c r="N1077" s="1296"/>
      <c r="O1077" s="106"/>
      <c r="P1077" s="106"/>
      <c r="Q1077" s="106"/>
      <c r="R1077" s="106"/>
      <c r="S1077" s="106"/>
      <c r="T1077" s="106"/>
      <c r="U1077" s="106"/>
      <c r="V1077" s="4076"/>
      <c r="W1077" s="2224"/>
      <c r="X1077" s="2224"/>
      <c r="Y1077" s="2374"/>
      <c r="Z1077" s="2224"/>
      <c r="AA1077" s="2224"/>
      <c r="AB1077" s="2223"/>
      <c r="AC1077" s="2223"/>
      <c r="AD1077" s="2373">
        <v>14</v>
      </c>
      <c r="AE1077" s="2224"/>
      <c r="AF1077" s="2224"/>
      <c r="AG1077" s="580"/>
      <c r="AH1077" s="156"/>
      <c r="AI1077" s="156"/>
      <c r="AJ1077" s="156"/>
      <c r="AK1077" s="156"/>
      <c r="AL1077" s="156"/>
      <c r="AM1077" s="156"/>
      <c r="AN1077" s="156"/>
      <c r="AO1077" s="156"/>
      <c r="AP1077" s="156"/>
      <c r="AQ1077" s="156"/>
      <c r="AR1077" s="156"/>
      <c r="AS1077" s="156"/>
      <c r="AT1077" s="156"/>
      <c r="AU1077" s="156"/>
      <c r="AV1077" s="156"/>
      <c r="AW1077" s="156"/>
      <c r="AX1077" s="156"/>
      <c r="AY1077" s="156"/>
      <c r="AZ1077" s="156"/>
      <c r="BA1077" s="156"/>
      <c r="BB1077" s="2828"/>
      <c r="BC1077" s="452"/>
      <c r="BD1077" s="2829"/>
      <c r="BE1077" s="156"/>
      <c r="BF1077" s="156"/>
    </row>
    <row r="1078" spans="1:58" hidden="1" outlineLevel="1" x14ac:dyDescent="0.35">
      <c r="A1078" s="1071"/>
      <c r="B1078" s="106"/>
      <c r="C1078" s="103"/>
      <c r="D1078" s="4076"/>
      <c r="E1078" s="4022"/>
      <c r="F1078" s="3934" t="str">
        <f t="shared" ref="F1078:F1084" si="195">F1051</f>
        <v>Mini/MultiSplitASHP_ER1_SF</v>
      </c>
      <c r="G1078" s="3935"/>
      <c r="H1078" s="3936"/>
      <c r="I1078" s="2672" t="str">
        <f t="shared" ref="I1078:I1086" si="196">I1051</f>
        <v>351500_2021_12_</v>
      </c>
      <c r="J1078" s="2223">
        <v>13</v>
      </c>
      <c r="K1078" s="623"/>
      <c r="L1078" s="4175"/>
      <c r="M1078" s="1304"/>
      <c r="N1078" s="1296"/>
      <c r="O1078" s="106"/>
      <c r="P1078" s="106"/>
      <c r="Q1078" s="106"/>
      <c r="R1078" s="106"/>
      <c r="S1078" s="106"/>
      <c r="T1078" s="106"/>
      <c r="U1078" s="106"/>
      <c r="V1078" s="4076"/>
      <c r="W1078" s="2224">
        <v>13</v>
      </c>
      <c r="X1078" s="2224">
        <v>13</v>
      </c>
      <c r="Y1078" s="2224">
        <v>13</v>
      </c>
      <c r="Z1078" s="2224">
        <v>13</v>
      </c>
      <c r="AA1078" s="2224">
        <v>13</v>
      </c>
      <c r="AB1078" s="2223">
        <v>13</v>
      </c>
      <c r="AC1078" s="2223">
        <v>13</v>
      </c>
      <c r="AD1078" s="2223">
        <v>13</v>
      </c>
      <c r="AE1078" s="2224"/>
      <c r="AF1078" s="2224"/>
      <c r="AG1078" s="580"/>
      <c r="AH1078" s="156"/>
      <c r="AI1078" s="156"/>
      <c r="AJ1078" s="156"/>
      <c r="AK1078" s="156"/>
      <c r="AL1078" s="156"/>
      <c r="AM1078" s="156"/>
      <c r="AN1078" s="156"/>
      <c r="AO1078" s="156"/>
      <c r="AP1078" s="156"/>
      <c r="AQ1078" s="156"/>
      <c r="AR1078" s="156"/>
      <c r="AS1078" s="156"/>
      <c r="AT1078" s="156"/>
      <c r="AU1078" s="156"/>
      <c r="AV1078" s="156"/>
      <c r="AW1078" s="156"/>
      <c r="AX1078" s="156"/>
      <c r="AY1078" s="156"/>
      <c r="AZ1078" s="156"/>
      <c r="BA1078" s="156"/>
      <c r="BB1078" s="2828"/>
      <c r="BC1078" s="452"/>
      <c r="BD1078" s="2829"/>
      <c r="BE1078" s="156"/>
      <c r="BF1078" s="156"/>
    </row>
    <row r="1079" spans="1:58" hidden="1" outlineLevel="1" x14ac:dyDescent="0.35">
      <c r="A1079" s="1071"/>
      <c r="B1079" s="106"/>
      <c r="C1079" s="103"/>
      <c r="D1079" s="4076"/>
      <c r="E1079" s="4022"/>
      <c r="F1079" s="3934" t="str">
        <f t="shared" si="195"/>
        <v>Mini/MultiSplitAC_ER1_MF</v>
      </c>
      <c r="G1079" s="3935"/>
      <c r="H1079" s="3936"/>
      <c r="I1079" s="2672" t="str">
        <f t="shared" si="196"/>
        <v>351550_2021_12_</v>
      </c>
      <c r="J1079" s="2223">
        <f t="shared" ref="J1079:J1084" si="197">J1070</f>
        <v>13</v>
      </c>
      <c r="K1079" s="623"/>
      <c r="L1079" s="624"/>
      <c r="M1079" s="1304"/>
      <c r="N1079" s="1296"/>
      <c r="O1079" s="106"/>
      <c r="P1079" s="106"/>
      <c r="Q1079" s="106"/>
      <c r="R1079" s="106"/>
      <c r="S1079" s="106"/>
      <c r="T1079" s="106"/>
      <c r="U1079" s="106"/>
      <c r="V1079" s="4076"/>
      <c r="W1079" s="2224"/>
      <c r="X1079" s="2374"/>
      <c r="Y1079" s="2374">
        <v>13</v>
      </c>
      <c r="Z1079" s="2224">
        <v>13</v>
      </c>
      <c r="AA1079" s="2224">
        <v>13</v>
      </c>
      <c r="AB1079" s="2223">
        <v>13</v>
      </c>
      <c r="AC1079" s="2223">
        <v>13</v>
      </c>
      <c r="AD1079" s="2223">
        <v>13</v>
      </c>
      <c r="AE1079" s="2224"/>
      <c r="AF1079" s="2224"/>
      <c r="AG1079" s="580"/>
      <c r="AH1079" s="156"/>
      <c r="AI1079" s="156"/>
      <c r="AJ1079" s="156"/>
      <c r="AK1079" s="156"/>
      <c r="AL1079" s="156"/>
      <c r="AM1079" s="156"/>
      <c r="AN1079" s="156"/>
      <c r="AO1079" s="156"/>
      <c r="AP1079" s="156"/>
      <c r="AQ1079" s="156"/>
      <c r="AR1079" s="156"/>
      <c r="AS1079" s="156"/>
      <c r="AT1079" s="156"/>
      <c r="AU1079" s="156"/>
      <c r="AV1079" s="156"/>
      <c r="AW1079" s="156"/>
      <c r="AX1079" s="156"/>
      <c r="AY1079" s="156"/>
      <c r="AZ1079" s="156"/>
      <c r="BA1079" s="156"/>
      <c r="BB1079" s="2828"/>
      <c r="BC1079" s="452"/>
      <c r="BD1079" s="2829"/>
      <c r="BE1079" s="156"/>
      <c r="BF1079" s="156"/>
    </row>
    <row r="1080" spans="1:58" hidden="1" outlineLevel="1" x14ac:dyDescent="0.35">
      <c r="A1080" s="1071"/>
      <c r="B1080" s="106"/>
      <c r="C1080" s="103"/>
      <c r="D1080" s="4076"/>
      <c r="E1080" s="4022"/>
      <c r="F1080" s="3934" t="str">
        <f t="shared" si="195"/>
        <v>Mini/MultiSplitAC_ROF_MF</v>
      </c>
      <c r="G1080" s="3935"/>
      <c r="H1080" s="3936"/>
      <c r="I1080" s="2672" t="str">
        <f t="shared" si="196"/>
        <v>351600_2021_12_</v>
      </c>
      <c r="J1080" s="2223">
        <f t="shared" si="197"/>
        <v>13</v>
      </c>
      <c r="K1080" s="623"/>
      <c r="L1080" s="624"/>
      <c r="M1080" s="1304"/>
      <c r="N1080" s="1296"/>
      <c r="O1080" s="106"/>
      <c r="P1080" s="106"/>
      <c r="Q1080" s="106"/>
      <c r="R1080" s="106"/>
      <c r="S1080" s="106"/>
      <c r="T1080" s="106"/>
      <c r="U1080" s="106"/>
      <c r="V1080" s="4076"/>
      <c r="W1080" s="2224"/>
      <c r="X1080" s="2374"/>
      <c r="Y1080" s="2374">
        <v>13</v>
      </c>
      <c r="Z1080" s="2224">
        <v>13</v>
      </c>
      <c r="AA1080" s="2224">
        <v>13</v>
      </c>
      <c r="AB1080" s="2223">
        <v>13</v>
      </c>
      <c r="AC1080" s="2223">
        <v>13</v>
      </c>
      <c r="AD1080" s="2223">
        <v>13</v>
      </c>
      <c r="AE1080" s="2224"/>
      <c r="AF1080" s="2224"/>
      <c r="AG1080" s="580"/>
      <c r="AH1080" s="156"/>
      <c r="AI1080" s="156"/>
      <c r="AJ1080" s="156"/>
      <c r="AK1080" s="156"/>
      <c r="AL1080" s="156"/>
      <c r="AM1080" s="156"/>
      <c r="AN1080" s="156"/>
      <c r="AO1080" s="156"/>
      <c r="AP1080" s="156"/>
      <c r="AQ1080" s="156"/>
      <c r="AR1080" s="156"/>
      <c r="AS1080" s="156"/>
      <c r="AT1080" s="156"/>
      <c r="AU1080" s="156"/>
      <c r="AV1080" s="156"/>
      <c r="AW1080" s="156"/>
      <c r="AX1080" s="156"/>
      <c r="AY1080" s="156"/>
      <c r="AZ1080" s="156"/>
      <c r="BA1080" s="156"/>
      <c r="BB1080" s="2828"/>
      <c r="BC1080" s="452"/>
      <c r="BD1080" s="2829"/>
      <c r="BE1080" s="156"/>
      <c r="BF1080" s="156"/>
    </row>
    <row r="1081" spans="1:58" hidden="1" outlineLevel="1" x14ac:dyDescent="0.35">
      <c r="A1081" s="1071"/>
      <c r="B1081" s="106"/>
      <c r="C1081" s="103"/>
      <c r="D1081" s="4076"/>
      <c r="E1081" s="4022"/>
      <c r="F1081" s="3934" t="str">
        <f t="shared" si="195"/>
        <v>Mini/MultiSplitASHP_ROF_MF_NC</v>
      </c>
      <c r="G1081" s="3935"/>
      <c r="H1081" s="3936"/>
      <c r="I1081" s="2672" t="str">
        <f t="shared" si="196"/>
        <v>351650_2021_12_</v>
      </c>
      <c r="J1081" s="2223">
        <f t="shared" si="197"/>
        <v>14</v>
      </c>
      <c r="K1081" s="623"/>
      <c r="L1081" s="624"/>
      <c r="M1081" s="1304"/>
      <c r="N1081" s="1296"/>
      <c r="O1081" s="106"/>
      <c r="P1081" s="106"/>
      <c r="Q1081" s="106"/>
      <c r="R1081" s="106"/>
      <c r="S1081" s="106"/>
      <c r="T1081" s="106"/>
      <c r="U1081" s="106"/>
      <c r="V1081" s="4076"/>
      <c r="W1081" s="2224"/>
      <c r="X1081" s="2374"/>
      <c r="Y1081" s="2374">
        <v>14</v>
      </c>
      <c r="Z1081" s="2224">
        <v>14</v>
      </c>
      <c r="AA1081" s="2224">
        <v>14</v>
      </c>
      <c r="AB1081" s="2223">
        <v>14</v>
      </c>
      <c r="AC1081" s="2223">
        <v>14</v>
      </c>
      <c r="AD1081" s="2223">
        <v>14</v>
      </c>
      <c r="AE1081" s="2224"/>
      <c r="AF1081" s="2224"/>
      <c r="AG1081" s="580"/>
      <c r="AH1081" s="156"/>
      <c r="AI1081" s="156"/>
      <c r="AJ1081" s="156"/>
      <c r="AK1081" s="156"/>
      <c r="AL1081" s="156"/>
      <c r="AM1081" s="156"/>
      <c r="AN1081" s="156"/>
      <c r="AO1081" s="156"/>
      <c r="AP1081" s="156"/>
      <c r="AQ1081" s="156"/>
      <c r="AR1081" s="156"/>
      <c r="AS1081" s="156"/>
      <c r="AT1081" s="156"/>
      <c r="AU1081" s="156"/>
      <c r="AV1081" s="156"/>
      <c r="AW1081" s="156"/>
      <c r="AX1081" s="156"/>
      <c r="AY1081" s="156"/>
      <c r="AZ1081" s="156"/>
      <c r="BA1081" s="156"/>
      <c r="BB1081" s="2828"/>
      <c r="BC1081" s="452"/>
      <c r="BD1081" s="2829"/>
      <c r="BE1081" s="156"/>
      <c r="BF1081" s="156"/>
    </row>
    <row r="1082" spans="1:58" hidden="1" outlineLevel="1" x14ac:dyDescent="0.35">
      <c r="A1082" s="1071"/>
      <c r="B1082" s="106"/>
      <c r="C1082" s="103"/>
      <c r="D1082" s="4076"/>
      <c r="E1082" s="4022"/>
      <c r="F1082" s="3934" t="str">
        <f t="shared" si="195"/>
        <v>Mini/MultiSplitASHP_ROF_MF</v>
      </c>
      <c r="G1082" s="3935"/>
      <c r="H1082" s="3936"/>
      <c r="I1082" s="2672" t="str">
        <f t="shared" si="196"/>
        <v>351700_2021_12_</v>
      </c>
      <c r="J1082" s="2223">
        <f t="shared" si="197"/>
        <v>14</v>
      </c>
      <c r="K1082" s="623"/>
      <c r="L1082" s="624"/>
      <c r="M1082" s="1304"/>
      <c r="N1082" s="1296"/>
      <c r="O1082" s="106"/>
      <c r="P1082" s="106"/>
      <c r="Q1082" s="106"/>
      <c r="R1082" s="106"/>
      <c r="S1082" s="106"/>
      <c r="T1082" s="106"/>
      <c r="U1082" s="106"/>
      <c r="V1082" s="4076"/>
      <c r="W1082" s="2224"/>
      <c r="X1082" s="2374"/>
      <c r="Y1082" s="2374">
        <v>14</v>
      </c>
      <c r="Z1082" s="2224">
        <v>14</v>
      </c>
      <c r="AA1082" s="2224">
        <v>14</v>
      </c>
      <c r="AB1082" s="2223">
        <v>14</v>
      </c>
      <c r="AC1082" s="2223">
        <v>14</v>
      </c>
      <c r="AD1082" s="2223">
        <v>14</v>
      </c>
      <c r="AE1082" s="2224"/>
      <c r="AF1082" s="2224"/>
      <c r="AG1082" s="580"/>
      <c r="AH1082" s="156"/>
      <c r="AI1082" s="156"/>
      <c r="AJ1082" s="156"/>
      <c r="AK1082" s="156"/>
      <c r="AL1082" s="156"/>
      <c r="AM1082" s="156"/>
      <c r="AN1082" s="156"/>
      <c r="AO1082" s="156"/>
      <c r="AP1082" s="156"/>
      <c r="AQ1082" s="156"/>
      <c r="AR1082" s="156"/>
      <c r="AS1082" s="156"/>
      <c r="AT1082" s="156"/>
      <c r="AU1082" s="156"/>
      <c r="AV1082" s="156"/>
      <c r="AW1082" s="156"/>
      <c r="AX1082" s="156"/>
      <c r="AY1082" s="156"/>
      <c r="AZ1082" s="156"/>
      <c r="BA1082" s="156"/>
      <c r="BB1082" s="2828"/>
      <c r="BC1082" s="452"/>
      <c r="BD1082" s="2829"/>
      <c r="BE1082" s="156"/>
      <c r="BF1082" s="156"/>
    </row>
    <row r="1083" spans="1:58" hidden="1" outlineLevel="1" x14ac:dyDescent="0.35">
      <c r="A1083" s="1071"/>
      <c r="B1083" s="106"/>
      <c r="C1083" s="103"/>
      <c r="D1083" s="4076"/>
      <c r="E1083" s="4022"/>
      <c r="F1083" s="3934" t="str">
        <f t="shared" si="195"/>
        <v>Mini/MultiSplitASHP-Replace_CAC_ElectricHeat_ER1_MF</v>
      </c>
      <c r="G1083" s="3935"/>
      <c r="H1083" s="3936"/>
      <c r="I1083" s="2672" t="str">
        <f t="shared" si="196"/>
        <v>351750_2021_12_</v>
      </c>
      <c r="J1083" s="2223">
        <f t="shared" si="197"/>
        <v>13</v>
      </c>
      <c r="K1083" s="623"/>
      <c r="L1083" s="624"/>
      <c r="M1083" s="1304"/>
      <c r="N1083" s="1296"/>
      <c r="O1083" s="106"/>
      <c r="P1083" s="106"/>
      <c r="Q1083" s="106"/>
      <c r="R1083" s="106"/>
      <c r="S1083" s="106"/>
      <c r="T1083" s="106"/>
      <c r="U1083" s="106"/>
      <c r="V1083" s="4076"/>
      <c r="W1083" s="2224"/>
      <c r="X1083" s="2374"/>
      <c r="Y1083" s="2374">
        <v>13</v>
      </c>
      <c r="Z1083" s="2224">
        <v>13</v>
      </c>
      <c r="AA1083" s="2224">
        <v>13</v>
      </c>
      <c r="AB1083" s="2223">
        <v>13</v>
      </c>
      <c r="AC1083" s="2223">
        <v>13</v>
      </c>
      <c r="AD1083" s="2223">
        <v>13</v>
      </c>
      <c r="AE1083" s="2224"/>
      <c r="AF1083" s="2224"/>
      <c r="AG1083" s="580"/>
      <c r="AH1083" s="156"/>
      <c r="AI1083" s="156"/>
      <c r="AJ1083" s="156"/>
      <c r="AK1083" s="156"/>
      <c r="AL1083" s="156"/>
      <c r="AM1083" s="156"/>
      <c r="AN1083" s="156"/>
      <c r="AO1083" s="156"/>
      <c r="AP1083" s="156"/>
      <c r="AQ1083" s="156"/>
      <c r="AR1083" s="156"/>
      <c r="AS1083" s="156"/>
      <c r="AT1083" s="156"/>
      <c r="AU1083" s="156"/>
      <c r="AV1083" s="156"/>
      <c r="AW1083" s="156"/>
      <c r="AX1083" s="156"/>
      <c r="AY1083" s="156"/>
      <c r="AZ1083" s="156"/>
      <c r="BA1083" s="156"/>
      <c r="BB1083" s="2828"/>
      <c r="BC1083" s="452"/>
      <c r="BD1083" s="2829"/>
      <c r="BE1083" s="156"/>
      <c r="BF1083" s="156"/>
    </row>
    <row r="1084" spans="1:58" hidden="1" outlineLevel="1" x14ac:dyDescent="0.35">
      <c r="A1084" s="1071"/>
      <c r="B1084" s="106"/>
      <c r="C1084" s="103"/>
      <c r="D1084" s="4076"/>
      <c r="E1084" s="4022"/>
      <c r="F1084" s="3934" t="str">
        <f t="shared" si="195"/>
        <v>Mini/MultiSplitASHP-Replace_CAC_ElectricHeat_ROF_MF</v>
      </c>
      <c r="G1084" s="3935"/>
      <c r="H1084" s="3936"/>
      <c r="I1084" s="2672" t="str">
        <f t="shared" si="196"/>
        <v>351800_2021_12_</v>
      </c>
      <c r="J1084" s="2223">
        <f t="shared" si="197"/>
        <v>14</v>
      </c>
      <c r="K1084" s="623"/>
      <c r="L1084" s="624"/>
      <c r="M1084" s="1304"/>
      <c r="N1084" s="1296"/>
      <c r="O1084" s="106"/>
      <c r="P1084" s="106"/>
      <c r="Q1084" s="106"/>
      <c r="R1084" s="106"/>
      <c r="S1084" s="106"/>
      <c r="T1084" s="106"/>
      <c r="U1084" s="106"/>
      <c r="V1084" s="4076"/>
      <c r="W1084" s="2224"/>
      <c r="X1084" s="2374"/>
      <c r="Y1084" s="2374">
        <v>14</v>
      </c>
      <c r="Z1084" s="2224">
        <v>14</v>
      </c>
      <c r="AA1084" s="2224">
        <v>14</v>
      </c>
      <c r="AB1084" s="2223">
        <v>14</v>
      </c>
      <c r="AC1084" s="2223">
        <v>14</v>
      </c>
      <c r="AD1084" s="2223">
        <v>14</v>
      </c>
      <c r="AE1084" s="2224"/>
      <c r="AF1084" s="2224"/>
      <c r="AG1084" s="580"/>
      <c r="AH1084" s="156"/>
      <c r="AI1084" s="156"/>
      <c r="AJ1084" s="156"/>
      <c r="AK1084" s="156"/>
      <c r="AL1084" s="156"/>
      <c r="AM1084" s="156"/>
      <c r="AN1084" s="156"/>
      <c r="AO1084" s="156"/>
      <c r="AP1084" s="156"/>
      <c r="AQ1084" s="156"/>
      <c r="AR1084" s="156"/>
      <c r="AS1084" s="156"/>
      <c r="AT1084" s="156"/>
      <c r="AU1084" s="156"/>
      <c r="AV1084" s="156"/>
      <c r="AW1084" s="156"/>
      <c r="AX1084" s="156"/>
      <c r="AY1084" s="156"/>
      <c r="AZ1084" s="156"/>
      <c r="BA1084" s="156"/>
      <c r="BB1084" s="2828"/>
      <c r="BC1084" s="452"/>
      <c r="BD1084" s="2829"/>
      <c r="BE1084" s="156"/>
      <c r="BF1084" s="156"/>
    </row>
    <row r="1085" spans="1:58" hidden="1" outlineLevel="1" x14ac:dyDescent="0.35">
      <c r="A1085" s="1071"/>
      <c r="B1085" s="106"/>
      <c r="C1085" s="103"/>
      <c r="D1085" s="4076"/>
      <c r="E1085" s="4022"/>
      <c r="F1085" s="3937" t="str">
        <f t="shared" ref="F1085:F1086" si="198">F1058</f>
        <v>Mini/MultiSplitASHP-Replace_CAC_NonElectricHeat_ER1_MF</v>
      </c>
      <c r="G1085" s="3938"/>
      <c r="H1085" s="3939"/>
      <c r="I1085" s="2755" t="str">
        <f t="shared" si="196"/>
        <v>351752_2022_12_</v>
      </c>
      <c r="J1085" s="2373">
        <v>13</v>
      </c>
      <c r="K1085" s="623"/>
      <c r="L1085" s="2757" t="s">
        <v>1083</v>
      </c>
      <c r="M1085" s="1304"/>
      <c r="N1085" s="1296"/>
      <c r="O1085" s="106"/>
      <c r="P1085" s="106"/>
      <c r="Q1085" s="106"/>
      <c r="R1085" s="106"/>
      <c r="S1085" s="106"/>
      <c r="T1085" s="106"/>
      <c r="U1085" s="106"/>
      <c r="V1085" s="4076"/>
      <c r="W1085" s="2224"/>
      <c r="X1085" s="2374"/>
      <c r="Y1085" s="2374"/>
      <c r="Z1085" s="2224"/>
      <c r="AA1085" s="2224"/>
      <c r="AB1085" s="2223"/>
      <c r="AC1085" s="2223"/>
      <c r="AD1085" s="2373">
        <v>13</v>
      </c>
      <c r="AE1085" s="2224"/>
      <c r="AF1085" s="2224"/>
      <c r="AG1085" s="580"/>
      <c r="AH1085" s="156"/>
      <c r="AI1085" s="156"/>
      <c r="AJ1085" s="156"/>
      <c r="AK1085" s="156"/>
      <c r="AL1085" s="156"/>
      <c r="AM1085" s="156"/>
      <c r="AN1085" s="156"/>
      <c r="AO1085" s="156"/>
      <c r="AP1085" s="156"/>
      <c r="AQ1085" s="156"/>
      <c r="AR1085" s="156"/>
      <c r="AS1085" s="156"/>
      <c r="AT1085" s="156"/>
      <c r="AU1085" s="156"/>
      <c r="AV1085" s="156"/>
      <c r="AW1085" s="156"/>
      <c r="AX1085" s="156"/>
      <c r="AY1085" s="156"/>
      <c r="AZ1085" s="156"/>
      <c r="BA1085" s="156"/>
      <c r="BB1085" s="2828"/>
      <c r="BC1085" s="452"/>
      <c r="BD1085" s="2829"/>
      <c r="BE1085" s="156"/>
      <c r="BF1085" s="156"/>
    </row>
    <row r="1086" spans="1:58" hidden="1" outlineLevel="1" x14ac:dyDescent="0.35">
      <c r="A1086" s="1071"/>
      <c r="B1086" s="106"/>
      <c r="C1086" s="103"/>
      <c r="D1086" s="4076"/>
      <c r="E1086" s="4022"/>
      <c r="F1086" s="3937" t="str">
        <f t="shared" si="198"/>
        <v>Mini/MultiSplitASHP-Replace_CAC_NonElectricHeat_ROF_MF</v>
      </c>
      <c r="G1086" s="3938"/>
      <c r="H1086" s="3939"/>
      <c r="I1086" s="2755" t="str">
        <f t="shared" si="196"/>
        <v>351802_2022_12_</v>
      </c>
      <c r="J1086" s="2373">
        <v>14</v>
      </c>
      <c r="K1086" s="623"/>
      <c r="L1086" s="624"/>
      <c r="M1086" s="1304"/>
      <c r="N1086" s="1296"/>
      <c r="O1086" s="106"/>
      <c r="P1086" s="106"/>
      <c r="Q1086" s="106"/>
      <c r="R1086" s="106"/>
      <c r="S1086" s="106"/>
      <c r="T1086" s="106"/>
      <c r="U1086" s="106"/>
      <c r="V1086" s="4076"/>
      <c r="W1086" s="2224"/>
      <c r="X1086" s="2374"/>
      <c r="Y1086" s="2374"/>
      <c r="Z1086" s="2224"/>
      <c r="AA1086" s="2224"/>
      <c r="AB1086" s="2223"/>
      <c r="AC1086" s="2223"/>
      <c r="AD1086" s="2373">
        <v>14</v>
      </c>
      <c r="AE1086" s="2224"/>
      <c r="AF1086" s="2224"/>
      <c r="AG1086" s="580"/>
      <c r="AH1086" s="156"/>
      <c r="AI1086" s="156"/>
      <c r="AJ1086" s="156"/>
      <c r="AK1086" s="156"/>
      <c r="AL1086" s="156"/>
      <c r="AM1086" s="156"/>
      <c r="AN1086" s="156"/>
      <c r="AO1086" s="156"/>
      <c r="AP1086" s="156"/>
      <c r="AQ1086" s="156"/>
      <c r="AR1086" s="156"/>
      <c r="AS1086" s="156"/>
      <c r="AT1086" s="156"/>
      <c r="AU1086" s="156"/>
      <c r="AV1086" s="156"/>
      <c r="AW1086" s="156"/>
      <c r="AX1086" s="156"/>
      <c r="AY1086" s="156"/>
      <c r="AZ1086" s="156"/>
      <c r="BA1086" s="156"/>
      <c r="BB1086" s="2828"/>
      <c r="BC1086" s="452"/>
      <c r="BD1086" s="2829"/>
      <c r="BE1086" s="156"/>
      <c r="BF1086" s="156"/>
    </row>
    <row r="1087" spans="1:58" hidden="1" outlineLevel="1" x14ac:dyDescent="0.35">
      <c r="A1087" s="1071"/>
      <c r="B1087" s="106"/>
      <c r="C1087" s="103"/>
      <c r="D1087" s="4076"/>
      <c r="E1087" s="4022"/>
      <c r="F1087" s="3934" t="str">
        <f t="shared" ref="F1087:F1093" si="199">F1060</f>
        <v>Mini/MultiSplitASHP_ER1_MF</v>
      </c>
      <c r="G1087" s="3935"/>
      <c r="H1087" s="3936"/>
      <c r="I1087" s="2672" t="str">
        <f t="shared" ref="I1087:I1095" si="200">I1060</f>
        <v>351850_2021_12_</v>
      </c>
      <c r="J1087" s="2223">
        <f t="shared" ref="J1087" si="201">J1078</f>
        <v>13</v>
      </c>
      <c r="K1087" s="623"/>
      <c r="L1087" s="624"/>
      <c r="M1087" s="1304"/>
      <c r="N1087" s="1296"/>
      <c r="O1087" s="106"/>
      <c r="P1087" s="106"/>
      <c r="Q1087" s="106"/>
      <c r="R1087" s="106"/>
      <c r="S1087" s="106"/>
      <c r="T1087" s="106"/>
      <c r="U1087" s="106"/>
      <c r="V1087" s="4076"/>
      <c r="W1087" s="2224"/>
      <c r="X1087" s="2374"/>
      <c r="Y1087" s="2374">
        <v>13</v>
      </c>
      <c r="Z1087" s="2224">
        <v>13</v>
      </c>
      <c r="AA1087" s="2224">
        <v>13</v>
      </c>
      <c r="AB1087" s="2223">
        <v>13</v>
      </c>
      <c r="AC1087" s="2223">
        <v>13</v>
      </c>
      <c r="AD1087" s="2223">
        <v>13</v>
      </c>
      <c r="AE1087" s="2224"/>
      <c r="AF1087" s="2224"/>
      <c r="AG1087" s="580"/>
      <c r="AH1087" s="156"/>
      <c r="AI1087" s="156"/>
      <c r="AJ1087" s="156"/>
      <c r="AK1087" s="156"/>
      <c r="AL1087" s="156"/>
      <c r="AM1087" s="156"/>
      <c r="AN1087" s="156"/>
      <c r="AO1087" s="156"/>
      <c r="AP1087" s="156"/>
      <c r="AQ1087" s="156"/>
      <c r="AR1087" s="156"/>
      <c r="AS1087" s="156"/>
      <c r="AT1087" s="156"/>
      <c r="AU1087" s="156"/>
      <c r="AV1087" s="156"/>
      <c r="AW1087" s="156"/>
      <c r="AX1087" s="156"/>
      <c r="AY1087" s="156"/>
      <c r="AZ1087" s="156"/>
      <c r="BA1087" s="156"/>
      <c r="BB1087" s="2828"/>
      <c r="BC1087" s="452"/>
      <c r="BD1087" s="2829"/>
      <c r="BE1087" s="156"/>
      <c r="BF1087" s="156"/>
    </row>
    <row r="1088" spans="1:58" hidden="1" outlineLevel="1" x14ac:dyDescent="0.35">
      <c r="A1088" s="1071"/>
      <c r="B1088" s="106"/>
      <c r="C1088" s="103"/>
      <c r="D1088" s="4076"/>
      <c r="E1088" s="4022"/>
      <c r="F1088" s="3934" t="str">
        <f t="shared" si="199"/>
        <v>Mini/MultiSplitAC_ER1_MF_CompE</v>
      </c>
      <c r="G1088" s="3935"/>
      <c r="H1088" s="3936"/>
      <c r="I1088" s="2672" t="str">
        <f t="shared" si="200"/>
        <v>351551_2021_12_</v>
      </c>
      <c r="J1088" s="2223">
        <f t="shared" ref="J1088:J1093" si="202">J1070</f>
        <v>13</v>
      </c>
      <c r="K1088" s="623"/>
      <c r="L1088" s="624"/>
      <c r="M1088" s="1304"/>
      <c r="N1088" s="1296"/>
      <c r="O1088" s="106"/>
      <c r="P1088" s="106"/>
      <c r="Q1088" s="106"/>
      <c r="R1088" s="106"/>
      <c r="S1088" s="106"/>
      <c r="T1088" s="106"/>
      <c r="U1088" s="106"/>
      <c r="V1088" s="4076"/>
      <c r="W1088" s="2224"/>
      <c r="X1088" s="2224"/>
      <c r="Y1088" s="2374">
        <v>13</v>
      </c>
      <c r="Z1088" s="2224">
        <v>13</v>
      </c>
      <c r="AA1088" s="2224">
        <v>13</v>
      </c>
      <c r="AB1088" s="2223">
        <v>13</v>
      </c>
      <c r="AC1088" s="2223">
        <v>13</v>
      </c>
      <c r="AD1088" s="2223">
        <v>13</v>
      </c>
      <c r="AE1088" s="2224"/>
      <c r="AF1088" s="2224"/>
      <c r="AG1088" s="580"/>
      <c r="AH1088" s="156"/>
      <c r="AI1088" s="156"/>
      <c r="AJ1088" s="156"/>
      <c r="AK1088" s="156"/>
      <c r="AL1088" s="156"/>
      <c r="AM1088" s="156"/>
      <c r="AN1088" s="156"/>
      <c r="AO1088" s="156"/>
      <c r="AP1088" s="156"/>
      <c r="AQ1088" s="156"/>
      <c r="AR1088" s="156"/>
      <c r="AS1088" s="156"/>
      <c r="AT1088" s="156"/>
      <c r="AU1088" s="156"/>
      <c r="AV1088" s="156"/>
      <c r="AW1088" s="156"/>
      <c r="AX1088" s="156"/>
      <c r="AY1088" s="156"/>
      <c r="AZ1088" s="156"/>
      <c r="BA1088" s="156"/>
      <c r="BB1088" s="2828"/>
      <c r="BC1088" s="452"/>
      <c r="BD1088" s="2829"/>
      <c r="BE1088" s="156"/>
      <c r="BF1088" s="156"/>
    </row>
    <row r="1089" spans="1:58" hidden="1" outlineLevel="1" x14ac:dyDescent="0.35">
      <c r="A1089" s="1071"/>
      <c r="B1089" s="106"/>
      <c r="C1089" s="103"/>
      <c r="D1089" s="4076"/>
      <c r="E1089" s="4022"/>
      <c r="F1089" s="3934" t="str">
        <f t="shared" si="199"/>
        <v>Mini/MultiSplitAC_ROF_MF_CompE</v>
      </c>
      <c r="G1089" s="3935"/>
      <c r="H1089" s="3936"/>
      <c r="I1089" s="2672" t="str">
        <f t="shared" si="200"/>
        <v>351601_2021_12_</v>
      </c>
      <c r="J1089" s="2223">
        <f t="shared" si="202"/>
        <v>13</v>
      </c>
      <c r="K1089" s="623"/>
      <c r="L1089" s="624"/>
      <c r="M1089" s="1304"/>
      <c r="N1089" s="1296"/>
      <c r="O1089" s="106"/>
      <c r="P1089" s="106"/>
      <c r="Q1089" s="106"/>
      <c r="R1089" s="106"/>
      <c r="S1089" s="106"/>
      <c r="T1089" s="106"/>
      <c r="U1089" s="106"/>
      <c r="V1089" s="4076"/>
      <c r="W1089" s="2224"/>
      <c r="X1089" s="2224"/>
      <c r="Y1089" s="2374">
        <v>13</v>
      </c>
      <c r="Z1089" s="2224">
        <v>13</v>
      </c>
      <c r="AA1089" s="2224">
        <v>13</v>
      </c>
      <c r="AB1089" s="2223">
        <v>13</v>
      </c>
      <c r="AC1089" s="2223">
        <v>13</v>
      </c>
      <c r="AD1089" s="2223">
        <v>13</v>
      </c>
      <c r="AE1089" s="2224"/>
      <c r="AF1089" s="2224"/>
      <c r="AG1089" s="580"/>
      <c r="AH1089" s="156"/>
      <c r="AI1089" s="156"/>
      <c r="AJ1089" s="156"/>
      <c r="AK1089" s="156"/>
      <c r="AL1089" s="156"/>
      <c r="AM1089" s="156"/>
      <c r="AN1089" s="156"/>
      <c r="AO1089" s="156"/>
      <c r="AP1089" s="156"/>
      <c r="AQ1089" s="156"/>
      <c r="AR1089" s="156"/>
      <c r="AS1089" s="156"/>
      <c r="AT1089" s="156"/>
      <c r="AU1089" s="156"/>
      <c r="AV1089" s="156"/>
      <c r="AW1089" s="156"/>
      <c r="AX1089" s="156"/>
      <c r="AY1089" s="156"/>
      <c r="AZ1089" s="156"/>
      <c r="BA1089" s="156"/>
      <c r="BB1089" s="2828"/>
      <c r="BC1089" s="452"/>
      <c r="BD1089" s="2829"/>
      <c r="BE1089" s="156"/>
      <c r="BF1089" s="156"/>
    </row>
    <row r="1090" spans="1:58" hidden="1" outlineLevel="1" x14ac:dyDescent="0.35">
      <c r="A1090" s="1071"/>
      <c r="B1090" s="106"/>
      <c r="C1090" s="103"/>
      <c r="D1090" s="4076"/>
      <c r="E1090" s="4022"/>
      <c r="F1090" s="3934" t="str">
        <f t="shared" si="199"/>
        <v>Mini/MultiSplitASHP_ROF_MF_NC_CompE</v>
      </c>
      <c r="G1090" s="3935"/>
      <c r="H1090" s="3936"/>
      <c r="I1090" s="2672" t="str">
        <f t="shared" si="200"/>
        <v>351651_2021_12_</v>
      </c>
      <c r="J1090" s="2223">
        <f t="shared" si="202"/>
        <v>14</v>
      </c>
      <c r="K1090" s="623"/>
      <c r="L1090" s="624"/>
      <c r="M1090" s="1304"/>
      <c r="N1090" s="1296"/>
      <c r="O1090" s="106"/>
      <c r="P1090" s="106"/>
      <c r="Q1090" s="106"/>
      <c r="R1090" s="106"/>
      <c r="S1090" s="106"/>
      <c r="T1090" s="106"/>
      <c r="U1090" s="106"/>
      <c r="V1090" s="4076"/>
      <c r="W1090" s="2224"/>
      <c r="X1090" s="2224"/>
      <c r="Y1090" s="2374">
        <v>14</v>
      </c>
      <c r="Z1090" s="2224">
        <v>14</v>
      </c>
      <c r="AA1090" s="2224">
        <v>14</v>
      </c>
      <c r="AB1090" s="2223">
        <v>14</v>
      </c>
      <c r="AC1090" s="2223">
        <v>14</v>
      </c>
      <c r="AD1090" s="2223">
        <v>14</v>
      </c>
      <c r="AE1090" s="2224"/>
      <c r="AF1090" s="2224"/>
      <c r="AG1090" s="580"/>
      <c r="AH1090" s="156"/>
      <c r="AI1090" s="156"/>
      <c r="AJ1090" s="156"/>
      <c r="AK1090" s="156"/>
      <c r="AL1090" s="156"/>
      <c r="AM1090" s="156"/>
      <c r="AN1090" s="156"/>
      <c r="AO1090" s="156"/>
      <c r="AP1090" s="156"/>
      <c r="AQ1090" s="156"/>
      <c r="AR1090" s="156"/>
      <c r="AS1090" s="156"/>
      <c r="AT1090" s="156"/>
      <c r="AU1090" s="156"/>
      <c r="AV1090" s="156"/>
      <c r="AW1090" s="156"/>
      <c r="AX1090" s="156"/>
      <c r="AY1090" s="156"/>
      <c r="AZ1090" s="156"/>
      <c r="BA1090" s="156"/>
      <c r="BB1090" s="2828"/>
      <c r="BC1090" s="452"/>
      <c r="BD1090" s="2829"/>
      <c r="BE1090" s="156"/>
      <c r="BF1090" s="156"/>
    </row>
    <row r="1091" spans="1:58" hidden="1" outlineLevel="1" x14ac:dyDescent="0.35">
      <c r="A1091" s="1071"/>
      <c r="B1091" s="106"/>
      <c r="C1091" s="103"/>
      <c r="D1091" s="4076"/>
      <c r="E1091" s="4022"/>
      <c r="F1091" s="3934" t="str">
        <f t="shared" si="199"/>
        <v>Mini/MultiSplitASHP_ROF_MF_CompE</v>
      </c>
      <c r="G1091" s="3935"/>
      <c r="H1091" s="3936"/>
      <c r="I1091" s="2672" t="str">
        <f t="shared" si="200"/>
        <v>351701_2021_12_</v>
      </c>
      <c r="J1091" s="2223">
        <f t="shared" si="202"/>
        <v>14</v>
      </c>
      <c r="K1091" s="623"/>
      <c r="L1091" s="625"/>
      <c r="M1091" s="1304"/>
      <c r="N1091" s="1296"/>
      <c r="O1091" s="106"/>
      <c r="P1091" s="106"/>
      <c r="Q1091" s="106"/>
      <c r="R1091" s="106"/>
      <c r="S1091" s="106"/>
      <c r="T1091" s="106"/>
      <c r="U1091" s="106"/>
      <c r="V1091" s="4076"/>
      <c r="W1091" s="2224"/>
      <c r="X1091" s="2224"/>
      <c r="Y1091" s="2374">
        <v>14</v>
      </c>
      <c r="Z1091" s="2224">
        <v>14</v>
      </c>
      <c r="AA1091" s="2224">
        <v>14</v>
      </c>
      <c r="AB1091" s="2223">
        <v>14</v>
      </c>
      <c r="AC1091" s="2223">
        <v>14</v>
      </c>
      <c r="AD1091" s="2223">
        <v>14</v>
      </c>
      <c r="AE1091" s="2224"/>
      <c r="AF1091" s="2224"/>
      <c r="AG1091" s="580"/>
      <c r="AH1091" s="156"/>
      <c r="AI1091" s="156"/>
      <c r="AJ1091" s="156"/>
      <c r="AK1091" s="156"/>
      <c r="AL1091" s="156"/>
      <c r="AM1091" s="156"/>
      <c r="AN1091" s="156"/>
      <c r="AO1091" s="156"/>
      <c r="AP1091" s="156"/>
      <c r="AQ1091" s="156"/>
      <c r="AR1091" s="156"/>
      <c r="AS1091" s="156"/>
      <c r="AT1091" s="156"/>
      <c r="AU1091" s="156"/>
      <c r="AV1091" s="156"/>
      <c r="AW1091" s="156"/>
      <c r="AX1091" s="156"/>
      <c r="AY1091" s="156"/>
      <c r="AZ1091" s="156"/>
      <c r="BA1091" s="156"/>
      <c r="BB1091" s="2828"/>
      <c r="BC1091" s="452"/>
      <c r="BD1091" s="2829"/>
      <c r="BE1091" s="156"/>
      <c r="BF1091" s="156"/>
    </row>
    <row r="1092" spans="1:58" hidden="1" outlineLevel="1" x14ac:dyDescent="0.35">
      <c r="A1092" s="1071"/>
      <c r="B1092" s="106"/>
      <c r="C1092" s="103"/>
      <c r="D1092" s="4076"/>
      <c r="E1092" s="4022"/>
      <c r="F1092" s="3934" t="str">
        <f t="shared" si="199"/>
        <v>Mini/MultiSplitASHP-Replace_CAC_ElectricHeat_ER1_MF_CompE</v>
      </c>
      <c r="G1092" s="3935"/>
      <c r="H1092" s="3936"/>
      <c r="I1092" s="2672" t="str">
        <f t="shared" si="200"/>
        <v>351751_2021_12_</v>
      </c>
      <c r="J1092" s="2223">
        <f t="shared" si="202"/>
        <v>13</v>
      </c>
      <c r="K1092" s="623"/>
      <c r="L1092" s="625"/>
      <c r="M1092" s="1304"/>
      <c r="N1092" s="1296"/>
      <c r="O1092" s="106"/>
      <c r="P1092" s="106"/>
      <c r="Q1092" s="106"/>
      <c r="R1092" s="106"/>
      <c r="S1092" s="106"/>
      <c r="T1092" s="106"/>
      <c r="U1092" s="106"/>
      <c r="V1092" s="4076"/>
      <c r="W1092" s="2224"/>
      <c r="X1092" s="2224"/>
      <c r="Y1092" s="2374">
        <v>13</v>
      </c>
      <c r="Z1092" s="2224">
        <v>13</v>
      </c>
      <c r="AA1092" s="2224">
        <v>13</v>
      </c>
      <c r="AB1092" s="2223">
        <v>13</v>
      </c>
      <c r="AC1092" s="2223">
        <v>13</v>
      </c>
      <c r="AD1092" s="2223">
        <v>13</v>
      </c>
      <c r="AE1092" s="2224"/>
      <c r="AF1092" s="2224"/>
      <c r="AG1092" s="580"/>
      <c r="AH1092" s="156"/>
      <c r="AI1092" s="156"/>
      <c r="AJ1092" s="156"/>
      <c r="AK1092" s="156"/>
      <c r="AL1092" s="156"/>
      <c r="AM1092" s="156"/>
      <c r="AN1092" s="156"/>
      <c r="AO1092" s="156"/>
      <c r="AP1092" s="156"/>
      <c r="AQ1092" s="156"/>
      <c r="AR1092" s="156"/>
      <c r="AS1092" s="156"/>
      <c r="AT1092" s="156"/>
      <c r="AU1092" s="156"/>
      <c r="AV1092" s="156"/>
      <c r="AW1092" s="156"/>
      <c r="AX1092" s="156"/>
      <c r="AY1092" s="156"/>
      <c r="AZ1092" s="156"/>
      <c r="BA1092" s="156"/>
      <c r="BB1092" s="2828"/>
      <c r="BC1092" s="452"/>
      <c r="BD1092" s="2829"/>
      <c r="BE1092" s="156"/>
      <c r="BF1092" s="156"/>
    </row>
    <row r="1093" spans="1:58" hidden="1" outlineLevel="1" x14ac:dyDescent="0.35">
      <c r="A1093" s="1071"/>
      <c r="B1093" s="106"/>
      <c r="C1093" s="103"/>
      <c r="D1093" s="4076"/>
      <c r="E1093" s="4022"/>
      <c r="F1093" s="3934" t="str">
        <f t="shared" si="199"/>
        <v>Mini/MultiSplitASHP-Replace_CAC_ElectricHeat_ROF_MF_CompE</v>
      </c>
      <c r="G1093" s="3935"/>
      <c r="H1093" s="3936"/>
      <c r="I1093" s="2672" t="str">
        <f t="shared" si="200"/>
        <v>351801_2021_12_</v>
      </c>
      <c r="J1093" s="2223">
        <f t="shared" si="202"/>
        <v>14</v>
      </c>
      <c r="K1093" s="623"/>
      <c r="L1093" s="625"/>
      <c r="M1093" s="1304"/>
      <c r="N1093" s="1296"/>
      <c r="O1093" s="106"/>
      <c r="P1093" s="106"/>
      <c r="Q1093" s="106"/>
      <c r="R1093" s="106"/>
      <c r="S1093" s="106"/>
      <c r="T1093" s="106"/>
      <c r="U1093" s="106"/>
      <c r="V1093" s="4076"/>
      <c r="W1093" s="2224"/>
      <c r="X1093" s="2224"/>
      <c r="Y1093" s="2374">
        <v>14</v>
      </c>
      <c r="Z1093" s="2224">
        <v>14</v>
      </c>
      <c r="AA1093" s="2224">
        <v>14</v>
      </c>
      <c r="AB1093" s="2223">
        <v>14</v>
      </c>
      <c r="AC1093" s="2223">
        <v>14</v>
      </c>
      <c r="AD1093" s="2223">
        <v>14</v>
      </c>
      <c r="AE1093" s="2224"/>
      <c r="AF1093" s="2224"/>
      <c r="AG1093" s="580"/>
      <c r="AH1093" s="156"/>
      <c r="AI1093" s="156"/>
      <c r="AJ1093" s="156"/>
      <c r="AK1093" s="156"/>
      <c r="AL1093" s="156"/>
      <c r="AM1093" s="156"/>
      <c r="AN1093" s="156"/>
      <c r="AO1093" s="156"/>
      <c r="AP1093" s="156"/>
      <c r="AQ1093" s="156"/>
      <c r="AR1093" s="156"/>
      <c r="AS1093" s="156"/>
      <c r="AT1093" s="156"/>
      <c r="AU1093" s="156"/>
      <c r="AV1093" s="156"/>
      <c r="AW1093" s="156"/>
      <c r="AX1093" s="156"/>
      <c r="AY1093" s="156"/>
      <c r="AZ1093" s="156"/>
      <c r="BA1093" s="156"/>
      <c r="BB1093" s="2828"/>
      <c r="BC1093" s="452"/>
      <c r="BD1093" s="2829"/>
      <c r="BE1093" s="156"/>
      <c r="BF1093" s="156"/>
    </row>
    <row r="1094" spans="1:58" hidden="1" outlineLevel="1" x14ac:dyDescent="0.35">
      <c r="A1094" s="1071"/>
      <c r="B1094" s="106"/>
      <c r="C1094" s="103"/>
      <c r="D1094" s="4076"/>
      <c r="E1094" s="4022"/>
      <c r="F1094" s="3937" t="str">
        <f t="shared" ref="F1094:F1095" si="203">F1067</f>
        <v>Mini/MultiSplitASHP-Replace_CAC_NonElectricHeat_ER1_MF_CompE</v>
      </c>
      <c r="G1094" s="3938"/>
      <c r="H1094" s="3939"/>
      <c r="I1094" s="2755" t="str">
        <f t="shared" si="200"/>
        <v>351753_2022_12_</v>
      </c>
      <c r="J1094" s="2373">
        <v>13</v>
      </c>
      <c r="K1094" s="623"/>
      <c r="L1094" s="2757" t="s">
        <v>1083</v>
      </c>
      <c r="M1094" s="1304"/>
      <c r="N1094" s="1296"/>
      <c r="O1094" s="106"/>
      <c r="P1094" s="106"/>
      <c r="Q1094" s="106"/>
      <c r="R1094" s="106"/>
      <c r="S1094" s="106"/>
      <c r="T1094" s="106"/>
      <c r="U1094" s="106"/>
      <c r="V1094" s="4076"/>
      <c r="W1094" s="576"/>
      <c r="X1094" s="576"/>
      <c r="Y1094" s="2374"/>
      <c r="Z1094" s="2224"/>
      <c r="AA1094" s="2224"/>
      <c r="AB1094" s="2223"/>
      <c r="AC1094" s="2223"/>
      <c r="AD1094" s="2373">
        <v>13</v>
      </c>
      <c r="AE1094" s="576"/>
      <c r="AF1094" s="576"/>
      <c r="AG1094" s="2758"/>
      <c r="AH1094" s="156"/>
      <c r="AI1094" s="156"/>
      <c r="AJ1094" s="156"/>
      <c r="AK1094" s="156"/>
      <c r="AL1094" s="156"/>
      <c r="AM1094" s="156"/>
      <c r="AN1094" s="156"/>
      <c r="AO1094" s="156"/>
      <c r="AP1094" s="156"/>
      <c r="AQ1094" s="156"/>
      <c r="AR1094" s="156"/>
      <c r="AS1094" s="156"/>
      <c r="AT1094" s="156"/>
      <c r="AU1094" s="156"/>
      <c r="AV1094" s="156"/>
      <c r="AW1094" s="156"/>
      <c r="AX1094" s="156"/>
      <c r="AY1094" s="156"/>
      <c r="AZ1094" s="156"/>
      <c r="BA1094" s="156"/>
      <c r="BB1094" s="2828"/>
      <c r="BC1094" s="452"/>
      <c r="BD1094" s="2829"/>
      <c r="BE1094" s="156"/>
      <c r="BF1094" s="156"/>
    </row>
    <row r="1095" spans="1:58" hidden="1" outlineLevel="1" x14ac:dyDescent="0.35">
      <c r="A1095" s="1071"/>
      <c r="B1095" s="106"/>
      <c r="C1095" s="103"/>
      <c r="D1095" s="4076"/>
      <c r="E1095" s="4022"/>
      <c r="F1095" s="3937" t="str">
        <f t="shared" si="203"/>
        <v>Mini/MultiSplitASHP-Replace_CAC_NonElectricHeat_ROF_MF_CompE</v>
      </c>
      <c r="G1095" s="3938"/>
      <c r="H1095" s="3939"/>
      <c r="I1095" s="2755" t="str">
        <f t="shared" si="200"/>
        <v>351803_2022_12_</v>
      </c>
      <c r="J1095" s="2373">
        <v>14</v>
      </c>
      <c r="K1095" s="623"/>
      <c r="L1095" s="2761"/>
      <c r="M1095" s="1304"/>
      <c r="N1095" s="1296"/>
      <c r="O1095" s="106"/>
      <c r="P1095" s="106"/>
      <c r="Q1095" s="106"/>
      <c r="R1095" s="106"/>
      <c r="S1095" s="106"/>
      <c r="T1095" s="106"/>
      <c r="U1095" s="106"/>
      <c r="V1095" s="4076"/>
      <c r="W1095" s="576"/>
      <c r="X1095" s="576"/>
      <c r="Y1095" s="2374"/>
      <c r="Z1095" s="2224"/>
      <c r="AA1095" s="2224"/>
      <c r="AB1095" s="2223"/>
      <c r="AC1095" s="2223"/>
      <c r="AD1095" s="2373">
        <v>14</v>
      </c>
      <c r="AE1095" s="576"/>
      <c r="AF1095" s="576"/>
      <c r="AG1095" s="2758"/>
      <c r="AH1095" s="156"/>
      <c r="AI1095" s="156"/>
      <c r="AJ1095" s="156"/>
      <c r="AK1095" s="156"/>
      <c r="AL1095" s="156"/>
      <c r="AM1095" s="156"/>
      <c r="AN1095" s="156"/>
      <c r="AO1095" s="156"/>
      <c r="AP1095" s="156"/>
      <c r="AQ1095" s="156"/>
      <c r="AR1095" s="156"/>
      <c r="AS1095" s="156"/>
      <c r="AT1095" s="156"/>
      <c r="AU1095" s="156"/>
      <c r="AV1095" s="156"/>
      <c r="AW1095" s="156"/>
      <c r="AX1095" s="156"/>
      <c r="AY1095" s="156"/>
      <c r="AZ1095" s="156"/>
      <c r="BA1095" s="156"/>
      <c r="BB1095" s="2828"/>
      <c r="BC1095" s="452"/>
      <c r="BD1095" s="2829"/>
      <c r="BE1095" s="156"/>
      <c r="BF1095" s="156"/>
    </row>
    <row r="1096" spans="1:58" ht="15" hidden="1" outlineLevel="1" thickBot="1" x14ac:dyDescent="0.4">
      <c r="A1096" s="1071"/>
      <c r="B1096" s="106"/>
      <c r="C1096" s="103"/>
      <c r="D1096" s="4077"/>
      <c r="E1096" s="4104"/>
      <c r="F1096" s="3940" t="str">
        <f t="shared" ref="F1096:F1102" si="204">F1069</f>
        <v>Mini/MultiSplitASHP_ER1_MF_CompE</v>
      </c>
      <c r="G1096" s="3941"/>
      <c r="H1096" s="3942"/>
      <c r="I1096" s="2673" t="str">
        <f t="shared" ref="I1096:I1104" si="205">I1069</f>
        <v>351851_2021_12_</v>
      </c>
      <c r="J1096" s="2223">
        <f t="shared" ref="J1096" si="206">J1078</f>
        <v>13</v>
      </c>
      <c r="K1096" s="623"/>
      <c r="L1096" s="1305"/>
      <c r="M1096" s="1304"/>
      <c r="N1096" s="1296"/>
      <c r="O1096" s="106"/>
      <c r="P1096" s="106"/>
      <c r="Q1096" s="106"/>
      <c r="R1096" s="106"/>
      <c r="S1096" s="106"/>
      <c r="T1096" s="106"/>
      <c r="U1096" s="106"/>
      <c r="V1096" s="4077"/>
      <c r="W1096" s="2227"/>
      <c r="X1096" s="2227"/>
      <c r="Y1096" s="2374">
        <v>13</v>
      </c>
      <c r="Z1096" s="2224">
        <v>13</v>
      </c>
      <c r="AA1096" s="2224">
        <v>13</v>
      </c>
      <c r="AB1096" s="2223">
        <v>13</v>
      </c>
      <c r="AC1096" s="2223">
        <v>13</v>
      </c>
      <c r="AD1096" s="2223">
        <v>13</v>
      </c>
      <c r="AE1096" s="2227"/>
      <c r="AF1096" s="2227"/>
      <c r="AG1096" s="626"/>
      <c r="AH1096" s="156"/>
      <c r="AI1096" s="156"/>
      <c r="AJ1096" s="156"/>
      <c r="AK1096" s="156"/>
      <c r="AL1096" s="156"/>
      <c r="AM1096" s="156"/>
      <c r="AN1096" s="156"/>
      <c r="AO1096" s="156"/>
      <c r="AP1096" s="156"/>
      <c r="AQ1096" s="156"/>
      <c r="AR1096" s="156"/>
      <c r="AS1096" s="156"/>
      <c r="AT1096" s="156"/>
      <c r="AU1096" s="156"/>
      <c r="AV1096" s="156"/>
      <c r="AW1096" s="156"/>
      <c r="AX1096" s="156"/>
      <c r="AY1096" s="156"/>
      <c r="AZ1096" s="156"/>
      <c r="BA1096" s="156"/>
      <c r="BB1096" s="2828"/>
      <c r="BC1096" s="452"/>
      <c r="BD1096" s="2829"/>
      <c r="BE1096" s="156"/>
      <c r="BF1096" s="156"/>
    </row>
    <row r="1097" spans="1:58" hidden="1" outlineLevel="1" x14ac:dyDescent="0.35">
      <c r="A1097" s="1071"/>
      <c r="B1097" s="106"/>
      <c r="C1097" s="103"/>
      <c r="D1097" s="4064" t="s">
        <v>981</v>
      </c>
      <c r="E1097" s="4021" t="s">
        <v>1082</v>
      </c>
      <c r="F1097" s="3943" t="str">
        <f t="shared" si="204"/>
        <v>Mini/MultiSplitAC_ER1_SF</v>
      </c>
      <c r="G1097" s="3944"/>
      <c r="H1097" s="3945"/>
      <c r="I1097" s="2671" t="str">
        <f t="shared" si="205"/>
        <v>351200_2021_12_</v>
      </c>
      <c r="J1097" s="2777">
        <v>7.0198996256246149</v>
      </c>
      <c r="K1097" s="620"/>
      <c r="L1097" s="2778" t="s">
        <v>4360</v>
      </c>
      <c r="M1097" s="1304"/>
      <c r="N1097" s="1296"/>
      <c r="O1097" s="106"/>
      <c r="P1097" s="106"/>
      <c r="Q1097" s="106"/>
      <c r="R1097" s="106"/>
      <c r="S1097" s="106"/>
      <c r="T1097" s="106"/>
      <c r="U1097" s="106"/>
      <c r="V1097" s="4064" t="s">
        <v>981</v>
      </c>
      <c r="W1097" s="2228">
        <v>6.3</v>
      </c>
      <c r="X1097" s="2228">
        <v>6.3</v>
      </c>
      <c r="Y1097" s="2228">
        <v>6.3</v>
      </c>
      <c r="Z1097" s="2228">
        <v>6.3</v>
      </c>
      <c r="AA1097" s="2228">
        <v>6.3</v>
      </c>
      <c r="AB1097" s="1810">
        <v>6.3</v>
      </c>
      <c r="AC1097" s="2294">
        <v>8.402496453661275</v>
      </c>
      <c r="AD1097" s="2777">
        <v>7.0198996256246149</v>
      </c>
      <c r="AE1097" s="2228"/>
      <c r="AF1097" s="2228"/>
      <c r="AG1097" s="622"/>
      <c r="AH1097" s="156"/>
      <c r="AI1097" s="156"/>
      <c r="AJ1097" s="156"/>
      <c r="AK1097" s="156"/>
      <c r="AL1097" s="156"/>
      <c r="AM1097" s="156"/>
      <c r="AN1097" s="156"/>
      <c r="AO1097" s="156"/>
      <c r="AP1097" s="156"/>
      <c r="AQ1097" s="156"/>
      <c r="AR1097" s="156"/>
      <c r="AS1097" s="156"/>
      <c r="AT1097" s="156"/>
      <c r="AU1097" s="156"/>
      <c r="AV1097" s="156"/>
      <c r="AW1097" s="156"/>
      <c r="AX1097" s="156"/>
      <c r="AY1097" s="156"/>
      <c r="AZ1097" s="156"/>
      <c r="BA1097" s="156"/>
      <c r="BB1097" s="2828"/>
      <c r="BC1097" s="452"/>
      <c r="BD1097" s="2829"/>
      <c r="BE1097" s="156"/>
      <c r="BF1097" s="156"/>
    </row>
    <row r="1098" spans="1:58" hidden="1" outlineLevel="1" x14ac:dyDescent="0.35">
      <c r="A1098" s="1071"/>
      <c r="B1098" s="106"/>
      <c r="C1098" s="103"/>
      <c r="D1098" s="4076"/>
      <c r="E1098" s="4022"/>
      <c r="F1098" s="3934" t="str">
        <f t="shared" si="204"/>
        <v>Mini/MultiSplitAC_ROF_SF</v>
      </c>
      <c r="G1098" s="3935"/>
      <c r="H1098" s="3936"/>
      <c r="I1098" s="2672" t="str">
        <f t="shared" si="205"/>
        <v>351250_2021_12_</v>
      </c>
      <c r="J1098" s="2816">
        <v>6.3</v>
      </c>
      <c r="K1098" s="623"/>
      <c r="L1098" s="624" t="s">
        <v>977</v>
      </c>
      <c r="M1098" s="1304"/>
      <c r="N1098" s="1296"/>
      <c r="O1098" s="106"/>
      <c r="P1098" s="106"/>
      <c r="Q1098" s="106"/>
      <c r="R1098" s="106"/>
      <c r="S1098" s="106"/>
      <c r="T1098" s="106"/>
      <c r="U1098" s="106"/>
      <c r="V1098" s="4076"/>
      <c r="W1098" s="2224">
        <v>6.3</v>
      </c>
      <c r="X1098" s="2224">
        <v>6.3</v>
      </c>
      <c r="Y1098" s="2224">
        <v>6.3</v>
      </c>
      <c r="Z1098" s="2224">
        <v>6.3</v>
      </c>
      <c r="AA1098" s="2224">
        <v>6.3</v>
      </c>
      <c r="AB1098" s="1808">
        <v>6.3</v>
      </c>
      <c r="AC1098" s="1808">
        <v>6.3</v>
      </c>
      <c r="AD1098" s="2816">
        <v>6.3</v>
      </c>
      <c r="AE1098" s="2224"/>
      <c r="AF1098" s="2224"/>
      <c r="AG1098" s="580"/>
      <c r="AH1098" s="156"/>
      <c r="AI1098" s="156"/>
      <c r="AJ1098" s="156"/>
      <c r="AK1098" s="156"/>
      <c r="AL1098" s="156"/>
      <c r="AM1098" s="156"/>
      <c r="AN1098" s="156"/>
      <c r="AO1098" s="156"/>
      <c r="AP1098" s="156"/>
      <c r="AQ1098" s="156"/>
      <c r="AR1098" s="156"/>
      <c r="AS1098" s="156"/>
      <c r="AT1098" s="156"/>
      <c r="AU1098" s="156"/>
      <c r="AV1098" s="156"/>
      <c r="AW1098" s="156"/>
      <c r="AX1098" s="156"/>
      <c r="AY1098" s="156"/>
      <c r="AZ1098" s="156"/>
      <c r="BA1098" s="156"/>
      <c r="BB1098" s="2828"/>
      <c r="BC1098" s="452"/>
      <c r="BD1098" s="2829"/>
      <c r="BE1098" s="156"/>
      <c r="BF1098" s="156"/>
    </row>
    <row r="1099" spans="1:58" hidden="1" outlineLevel="1" x14ac:dyDescent="0.35">
      <c r="A1099" s="1071"/>
      <c r="B1099" s="106"/>
      <c r="C1099" s="103"/>
      <c r="D1099" s="4076"/>
      <c r="E1099" s="4022"/>
      <c r="F1099" s="3934" t="str">
        <f t="shared" si="204"/>
        <v>Mini/MultiSplitASHP_ROF_SF_NC</v>
      </c>
      <c r="G1099" s="3935"/>
      <c r="H1099" s="3936"/>
      <c r="I1099" s="2672" t="str">
        <f t="shared" si="205"/>
        <v>351300_2021_12_</v>
      </c>
      <c r="J1099" s="2816">
        <v>7.2</v>
      </c>
      <c r="K1099" s="623"/>
      <c r="L1099" s="624" t="s">
        <v>977</v>
      </c>
      <c r="M1099" s="1304"/>
      <c r="N1099" s="1296"/>
      <c r="O1099" s="106"/>
      <c r="P1099" s="106"/>
      <c r="Q1099" s="106"/>
      <c r="R1099" s="106"/>
      <c r="S1099" s="106"/>
      <c r="T1099" s="106"/>
      <c r="U1099" s="106"/>
      <c r="V1099" s="4076"/>
      <c r="W1099" s="2224">
        <v>7.2</v>
      </c>
      <c r="X1099" s="2224">
        <v>7.2</v>
      </c>
      <c r="Y1099" s="2224">
        <v>7.2</v>
      </c>
      <c r="Z1099" s="2224">
        <v>7.2</v>
      </c>
      <c r="AA1099" s="2224">
        <v>7.2</v>
      </c>
      <c r="AB1099" s="1808">
        <v>7.2</v>
      </c>
      <c r="AC1099" s="1808">
        <v>7.2</v>
      </c>
      <c r="AD1099" s="2816">
        <v>7.2</v>
      </c>
      <c r="AE1099" s="2224"/>
      <c r="AF1099" s="2224"/>
      <c r="AG1099" s="580"/>
      <c r="AH1099" s="156"/>
      <c r="AI1099" s="156"/>
      <c r="AJ1099" s="156"/>
      <c r="AK1099" s="156"/>
      <c r="AL1099" s="156"/>
      <c r="AM1099" s="156"/>
      <c r="AN1099" s="156"/>
      <c r="AO1099" s="156"/>
      <c r="AP1099" s="156"/>
      <c r="AQ1099" s="156"/>
      <c r="AR1099" s="156"/>
      <c r="AS1099" s="156"/>
      <c r="AT1099" s="156"/>
      <c r="AU1099" s="156"/>
      <c r="AV1099" s="156"/>
      <c r="AW1099" s="156"/>
      <c r="AX1099" s="156"/>
      <c r="AY1099" s="156"/>
      <c r="AZ1099" s="156"/>
      <c r="BA1099" s="156"/>
      <c r="BB1099" s="2828"/>
      <c r="BC1099" s="452"/>
      <c r="BD1099" s="2829"/>
      <c r="BE1099" s="156"/>
      <c r="BF1099" s="156"/>
    </row>
    <row r="1100" spans="1:58" hidden="1" outlineLevel="1" x14ac:dyDescent="0.35">
      <c r="A1100" s="1071"/>
      <c r="B1100" s="106"/>
      <c r="C1100" s="103"/>
      <c r="D1100" s="4076"/>
      <c r="E1100" s="4022"/>
      <c r="F1100" s="3934" t="str">
        <f t="shared" si="204"/>
        <v>Mini/MultiSplitASHP_ROF_SF</v>
      </c>
      <c r="G1100" s="3935"/>
      <c r="H1100" s="3936"/>
      <c r="I1100" s="2672" t="str">
        <f t="shared" si="205"/>
        <v>351350_2021_12_</v>
      </c>
      <c r="J1100" s="2816">
        <v>7.2</v>
      </c>
      <c r="K1100" s="623"/>
      <c r="L1100" s="625" t="s">
        <v>977</v>
      </c>
      <c r="M1100" s="1304"/>
      <c r="N1100" s="1296"/>
      <c r="O1100" s="106"/>
      <c r="P1100" s="106"/>
      <c r="Q1100" s="106"/>
      <c r="R1100" s="106"/>
      <c r="S1100" s="106"/>
      <c r="T1100" s="106"/>
      <c r="U1100" s="106"/>
      <c r="V1100" s="4076"/>
      <c r="W1100" s="2224">
        <v>7.2</v>
      </c>
      <c r="X1100" s="2224">
        <v>7.2</v>
      </c>
      <c r="Y1100" s="2224">
        <v>7.2</v>
      </c>
      <c r="Z1100" s="2224">
        <v>7.2</v>
      </c>
      <c r="AA1100" s="2224">
        <v>7.2</v>
      </c>
      <c r="AB1100" s="1812">
        <v>7.2</v>
      </c>
      <c r="AC1100" s="1812">
        <v>7.2</v>
      </c>
      <c r="AD1100" s="2816">
        <v>7.2</v>
      </c>
      <c r="AE1100" s="2224"/>
      <c r="AF1100" s="2224"/>
      <c r="AG1100" s="580"/>
      <c r="AH1100" s="156"/>
      <c r="AI1100" s="156"/>
      <c r="AJ1100" s="156"/>
      <c r="AK1100" s="156"/>
      <c r="AL1100" s="156"/>
      <c r="AM1100" s="156"/>
      <c r="AN1100" s="156"/>
      <c r="AO1100" s="156"/>
      <c r="AP1100" s="156"/>
      <c r="AQ1100" s="156"/>
      <c r="AR1100" s="156"/>
      <c r="AS1100" s="156"/>
      <c r="AT1100" s="156"/>
      <c r="AU1100" s="156"/>
      <c r="AV1100" s="156"/>
      <c r="AW1100" s="156"/>
      <c r="AX1100" s="156"/>
      <c r="AY1100" s="156"/>
      <c r="AZ1100" s="156"/>
      <c r="BA1100" s="156"/>
      <c r="BB1100" s="2828"/>
      <c r="BC1100" s="452"/>
      <c r="BD1100" s="2829"/>
      <c r="BE1100" s="156"/>
      <c r="BF1100" s="156"/>
    </row>
    <row r="1101" spans="1:58" hidden="1" outlineLevel="1" x14ac:dyDescent="0.35">
      <c r="A1101" s="1071"/>
      <c r="B1101" s="106"/>
      <c r="C1101" s="103"/>
      <c r="D1101" s="4076"/>
      <c r="E1101" s="4022"/>
      <c r="F1101" s="3934" t="str">
        <f t="shared" si="204"/>
        <v>Mini/MultiSplitASHP-Replace_CAC_ElectricHeat_ER1_SF</v>
      </c>
      <c r="G1101" s="3935"/>
      <c r="H1101" s="3936"/>
      <c r="I1101" s="2672" t="str">
        <f t="shared" si="205"/>
        <v>351400_2021_12_</v>
      </c>
      <c r="J1101" s="2779">
        <v>7.838789123969689</v>
      </c>
      <c r="K1101" s="623"/>
      <c r="L1101" s="2729" t="s">
        <v>4360</v>
      </c>
      <c r="M1101" s="1304"/>
      <c r="N1101" s="1296"/>
      <c r="O1101" s="106"/>
      <c r="P1101" s="106"/>
      <c r="Q1101" s="106"/>
      <c r="R1101" s="106"/>
      <c r="S1101" s="106"/>
      <c r="T1101" s="106"/>
      <c r="U1101" s="106"/>
      <c r="V1101" s="4076"/>
      <c r="W1101" s="2224">
        <v>6.8</v>
      </c>
      <c r="X1101" s="2224">
        <v>6.8</v>
      </c>
      <c r="Y1101" s="2224">
        <v>6.8</v>
      </c>
      <c r="Z1101" s="2224">
        <v>6.8</v>
      </c>
      <c r="AA1101" s="2224">
        <v>6.8</v>
      </c>
      <c r="AB1101" s="1813">
        <v>7.6061892029279887</v>
      </c>
      <c r="AC1101" s="1813">
        <v>8.2976860977532869</v>
      </c>
      <c r="AD1101" s="2779">
        <v>7.838789123969689</v>
      </c>
      <c r="AE1101" s="2224"/>
      <c r="AF1101" s="2224"/>
      <c r="AG1101" s="580"/>
      <c r="AH1101" s="156"/>
      <c r="AI1101" s="156"/>
      <c r="AJ1101" s="156"/>
      <c r="AK1101" s="156"/>
      <c r="AL1101" s="156"/>
      <c r="AM1101" s="156"/>
      <c r="AN1101" s="156"/>
      <c r="AO1101" s="156"/>
      <c r="AP1101" s="156"/>
      <c r="AQ1101" s="156"/>
      <c r="AR1101" s="156"/>
      <c r="AS1101" s="156"/>
      <c r="AT1101" s="156"/>
      <c r="AU1101" s="156"/>
      <c r="AV1101" s="156"/>
      <c r="AW1101" s="156"/>
      <c r="AX1101" s="156"/>
      <c r="AY1101" s="156"/>
      <c r="AZ1101" s="156"/>
      <c r="BA1101" s="156"/>
      <c r="BB1101" s="2828"/>
      <c r="BC1101" s="452"/>
      <c r="BD1101" s="2829"/>
      <c r="BE1101" s="156"/>
      <c r="BF1101" s="156"/>
    </row>
    <row r="1102" spans="1:58" hidden="1" outlineLevel="1" x14ac:dyDescent="0.35">
      <c r="A1102" s="1071"/>
      <c r="B1102" s="106"/>
      <c r="C1102" s="103"/>
      <c r="D1102" s="4076"/>
      <c r="E1102" s="4022"/>
      <c r="F1102" s="3934" t="str">
        <f t="shared" si="204"/>
        <v>Mini/MultiSplitASHP-Replace_CAC_ElectricHeat_ROF_SF</v>
      </c>
      <c r="G1102" s="3935"/>
      <c r="H1102" s="3936"/>
      <c r="I1102" s="2672" t="str">
        <f t="shared" si="205"/>
        <v>351450_2021_12_</v>
      </c>
      <c r="J1102" s="2816">
        <v>6.8</v>
      </c>
      <c r="K1102" s="623"/>
      <c r="L1102" s="625" t="s">
        <v>977</v>
      </c>
      <c r="M1102" s="1304"/>
      <c r="N1102" s="1296"/>
      <c r="O1102" s="106"/>
      <c r="P1102" s="106"/>
      <c r="Q1102" s="106"/>
      <c r="R1102" s="106"/>
      <c r="S1102" s="106"/>
      <c r="T1102" s="106"/>
      <c r="U1102" s="106"/>
      <c r="V1102" s="4076"/>
      <c r="W1102" s="2224">
        <v>6.8</v>
      </c>
      <c r="X1102" s="2224">
        <v>6.8</v>
      </c>
      <c r="Y1102" s="2224">
        <v>6.8</v>
      </c>
      <c r="Z1102" s="2224">
        <v>6.8</v>
      </c>
      <c r="AA1102" s="2224">
        <v>6.8</v>
      </c>
      <c r="AB1102" s="1812">
        <v>6.8</v>
      </c>
      <c r="AC1102" s="1812">
        <v>6.8</v>
      </c>
      <c r="AD1102" s="2816">
        <v>6.8</v>
      </c>
      <c r="AE1102" s="2224"/>
      <c r="AF1102" s="2224"/>
      <c r="AG1102" s="580"/>
      <c r="AH1102" s="156"/>
      <c r="AI1102" s="156"/>
      <c r="AJ1102" s="156"/>
      <c r="AK1102" s="156"/>
      <c r="AL1102" s="156"/>
      <c r="AM1102" s="156"/>
      <c r="AN1102" s="156"/>
      <c r="AO1102" s="156"/>
      <c r="AP1102" s="156"/>
      <c r="AQ1102" s="156"/>
      <c r="AR1102" s="156"/>
      <c r="AS1102" s="156"/>
      <c r="AT1102" s="156"/>
      <c r="AU1102" s="156"/>
      <c r="AV1102" s="156"/>
      <c r="AW1102" s="156"/>
      <c r="AX1102" s="156"/>
      <c r="AY1102" s="156"/>
      <c r="AZ1102" s="156"/>
      <c r="BA1102" s="156"/>
      <c r="BB1102" s="2828"/>
      <c r="BC1102" s="452"/>
      <c r="BD1102" s="2829"/>
      <c r="BE1102" s="156"/>
      <c r="BF1102" s="156"/>
    </row>
    <row r="1103" spans="1:58" hidden="1" outlineLevel="1" x14ac:dyDescent="0.35">
      <c r="A1103" s="1071"/>
      <c r="B1103" s="106"/>
      <c r="C1103" s="103"/>
      <c r="D1103" s="4076"/>
      <c r="E1103" s="4022"/>
      <c r="F1103" s="3937" t="str">
        <f t="shared" ref="F1103:F1104" si="207">F1076</f>
        <v>Mini/MultiSplitASHP-Replace_CAC_NonElectricHeat_ER1_SF</v>
      </c>
      <c r="G1103" s="3938"/>
      <c r="H1103" s="3939"/>
      <c r="I1103" s="2755" t="str">
        <f t="shared" si="205"/>
        <v>351401_2022_12_</v>
      </c>
      <c r="J1103" s="2779">
        <f>J1101</f>
        <v>7.838789123969689</v>
      </c>
      <c r="K1103" s="623"/>
      <c r="L1103" s="2757" t="s">
        <v>1083</v>
      </c>
      <c r="M1103" s="1304"/>
      <c r="N1103" s="1296"/>
      <c r="O1103" s="106"/>
      <c r="P1103" s="106"/>
      <c r="Q1103" s="106"/>
      <c r="R1103" s="106"/>
      <c r="S1103" s="106"/>
      <c r="T1103" s="106"/>
      <c r="U1103" s="106"/>
      <c r="V1103" s="4076"/>
      <c r="W1103" s="2224"/>
      <c r="X1103" s="2224"/>
      <c r="Y1103" s="2224"/>
      <c r="Z1103" s="2224"/>
      <c r="AA1103" s="2224"/>
      <c r="AB1103" s="1812"/>
      <c r="AC1103" s="1812"/>
      <c r="AD1103" s="2779">
        <v>7.838789123969689</v>
      </c>
      <c r="AE1103" s="2224"/>
      <c r="AF1103" s="2224"/>
      <c r="AG1103" s="580"/>
      <c r="AH1103" s="156"/>
      <c r="AI1103" s="156"/>
      <c r="AJ1103" s="156"/>
      <c r="AK1103" s="156"/>
      <c r="AL1103" s="156"/>
      <c r="AM1103" s="156"/>
      <c r="AN1103" s="156"/>
      <c r="AO1103" s="156"/>
      <c r="AP1103" s="156"/>
      <c r="AQ1103" s="156"/>
      <c r="AR1103" s="156"/>
      <c r="AS1103" s="156"/>
      <c r="AT1103" s="156"/>
      <c r="AU1103" s="156"/>
      <c r="AV1103" s="156"/>
      <c r="AW1103" s="156"/>
      <c r="AX1103" s="156"/>
      <c r="AY1103" s="156"/>
      <c r="AZ1103" s="156"/>
      <c r="BA1103" s="156"/>
      <c r="BB1103" s="2828"/>
      <c r="BC1103" s="452"/>
      <c r="BD1103" s="2829"/>
      <c r="BE1103" s="156"/>
      <c r="BF1103" s="156"/>
    </row>
    <row r="1104" spans="1:58" hidden="1" outlineLevel="1" x14ac:dyDescent="0.35">
      <c r="A1104" s="1071"/>
      <c r="B1104" s="106"/>
      <c r="C1104" s="103"/>
      <c r="D1104" s="4076"/>
      <c r="E1104" s="4022"/>
      <c r="F1104" s="3937" t="str">
        <f t="shared" si="207"/>
        <v>Mini/MultiSplitASHP-Replace_CAC_NonElectricHeat_ROF_SF</v>
      </c>
      <c r="G1104" s="3938"/>
      <c r="H1104" s="3939"/>
      <c r="I1104" s="2755" t="str">
        <f t="shared" si="205"/>
        <v>351451_2022_12_</v>
      </c>
      <c r="J1104" s="2779">
        <f>J1102</f>
        <v>6.8</v>
      </c>
      <c r="K1104" s="623"/>
      <c r="L1104" s="625"/>
      <c r="M1104" s="1304"/>
      <c r="N1104" s="1296"/>
      <c r="O1104" s="106"/>
      <c r="P1104" s="106"/>
      <c r="Q1104" s="106"/>
      <c r="R1104" s="106"/>
      <c r="S1104" s="106"/>
      <c r="T1104" s="106"/>
      <c r="U1104" s="106"/>
      <c r="V1104" s="4076"/>
      <c r="W1104" s="2224"/>
      <c r="X1104" s="2224"/>
      <c r="Y1104" s="2224"/>
      <c r="Z1104" s="2224"/>
      <c r="AA1104" s="2224"/>
      <c r="AB1104" s="1812"/>
      <c r="AC1104" s="1812"/>
      <c r="AD1104" s="2779">
        <v>6.8</v>
      </c>
      <c r="AE1104" s="2224"/>
      <c r="AF1104" s="2224"/>
      <c r="AG1104" s="580"/>
      <c r="AH1104" s="156"/>
      <c r="AI1104" s="156"/>
      <c r="AJ1104" s="156"/>
      <c r="AK1104" s="156"/>
      <c r="AL1104" s="156"/>
      <c r="AM1104" s="156"/>
      <c r="AN1104" s="156"/>
      <c r="AO1104" s="156"/>
      <c r="AP1104" s="156"/>
      <c r="AQ1104" s="156"/>
      <c r="AR1104" s="156"/>
      <c r="AS1104" s="156"/>
      <c r="AT1104" s="156"/>
      <c r="AU1104" s="156"/>
      <c r="AV1104" s="156"/>
      <c r="AW1104" s="156"/>
      <c r="AX1104" s="156"/>
      <c r="AY1104" s="156"/>
      <c r="AZ1104" s="156"/>
      <c r="BA1104" s="156"/>
      <c r="BB1104" s="2828"/>
      <c r="BC1104" s="452"/>
      <c r="BD1104" s="2829"/>
      <c r="BE1104" s="156"/>
      <c r="BF1104" s="156"/>
    </row>
    <row r="1105" spans="1:58" hidden="1" outlineLevel="1" x14ac:dyDescent="0.35">
      <c r="A1105" s="1071"/>
      <c r="B1105" s="106"/>
      <c r="C1105" s="103"/>
      <c r="D1105" s="4076"/>
      <c r="E1105" s="4022"/>
      <c r="F1105" s="3934" t="str">
        <f t="shared" ref="F1105:F1111" si="208">F1078</f>
        <v>Mini/MultiSplitASHP_ER1_SF</v>
      </c>
      <c r="G1105" s="3935"/>
      <c r="H1105" s="3936"/>
      <c r="I1105" s="2672" t="str">
        <f t="shared" ref="I1105:I1113" si="209">I1078</f>
        <v>351500_2021_12_</v>
      </c>
      <c r="J1105" s="2779">
        <f>J1101</f>
        <v>7.838789123969689</v>
      </c>
      <c r="K1105" s="623"/>
      <c r="L1105" s="2729" t="str">
        <f>L1101</f>
        <v>Ameren Missouri HVAC PY2021 Program Data Averages</v>
      </c>
      <c r="M1105" s="1304"/>
      <c r="N1105" s="1296"/>
      <c r="O1105" s="106"/>
      <c r="P1105" s="106"/>
      <c r="Q1105" s="106"/>
      <c r="R1105" s="106"/>
      <c r="S1105" s="106"/>
      <c r="T1105" s="106"/>
      <c r="U1105" s="106"/>
      <c r="V1105" s="4076"/>
      <c r="W1105" s="2224">
        <v>7.2</v>
      </c>
      <c r="X1105" s="2224">
        <v>7.2</v>
      </c>
      <c r="Y1105" s="2224">
        <v>7.2</v>
      </c>
      <c r="Z1105" s="2224">
        <v>7.2</v>
      </c>
      <c r="AA1105" s="2224">
        <v>7.2</v>
      </c>
      <c r="AB1105" s="1813">
        <v>8.0162959726442171</v>
      </c>
      <c r="AC1105" s="1813">
        <v>8.2960580500029604</v>
      </c>
      <c r="AD1105" s="2779">
        <v>7.838789123969689</v>
      </c>
      <c r="AE1105" s="2224"/>
      <c r="AF1105" s="2224"/>
      <c r="AG1105" s="580"/>
      <c r="AH1105" s="156"/>
      <c r="AI1105" s="156"/>
      <c r="AJ1105" s="156"/>
      <c r="AK1105" s="156"/>
      <c r="AL1105" s="156"/>
      <c r="AM1105" s="156"/>
      <c r="AN1105" s="156"/>
      <c r="AO1105" s="156"/>
      <c r="AP1105" s="156"/>
      <c r="AQ1105" s="156"/>
      <c r="AR1105" s="156"/>
      <c r="AS1105" s="156"/>
      <c r="AT1105" s="156"/>
      <c r="AU1105" s="156"/>
      <c r="AV1105" s="156"/>
      <c r="AW1105" s="156"/>
      <c r="AX1105" s="156"/>
      <c r="AY1105" s="156"/>
      <c r="AZ1105" s="156"/>
      <c r="BA1105" s="156"/>
      <c r="BB1105" s="2828"/>
      <c r="BC1105" s="452"/>
      <c r="BD1105" s="2829"/>
      <c r="BE1105" s="156"/>
      <c r="BF1105" s="156"/>
    </row>
    <row r="1106" spans="1:58" hidden="1" outlineLevel="1" x14ac:dyDescent="0.35">
      <c r="A1106" s="1071"/>
      <c r="B1106" s="106"/>
      <c r="C1106" s="103"/>
      <c r="D1106" s="4076"/>
      <c r="E1106" s="4022"/>
      <c r="F1106" s="3934" t="str">
        <f t="shared" si="208"/>
        <v>Mini/MultiSplitAC_ER1_MF</v>
      </c>
      <c r="G1106" s="3935"/>
      <c r="H1106" s="3936"/>
      <c r="I1106" s="2672" t="str">
        <f t="shared" si="209"/>
        <v>351550_2021_12_</v>
      </c>
      <c r="J1106" s="2779">
        <f>J1097</f>
        <v>7.0198996256246149</v>
      </c>
      <c r="K1106" s="623"/>
      <c r="L1106" s="1809" t="s">
        <v>1083</v>
      </c>
      <c r="M1106" s="1304"/>
      <c r="N1106" s="1296"/>
      <c r="O1106" s="106"/>
      <c r="P1106" s="106"/>
      <c r="Q1106" s="106"/>
      <c r="R1106" s="106"/>
      <c r="S1106" s="106"/>
      <c r="T1106" s="106"/>
      <c r="U1106" s="106"/>
      <c r="V1106" s="4076"/>
      <c r="W1106" s="2224"/>
      <c r="X1106" s="2374"/>
      <c r="Y1106" s="2374">
        <v>6.3</v>
      </c>
      <c r="Z1106" s="2224">
        <v>6.3</v>
      </c>
      <c r="AA1106" s="2224">
        <v>6.3</v>
      </c>
      <c r="AB1106" s="1812">
        <v>6.3</v>
      </c>
      <c r="AC1106" s="1813">
        <v>8.402496453661275</v>
      </c>
      <c r="AD1106" s="2779">
        <v>7.0198996256246149</v>
      </c>
      <c r="AE1106" s="2224"/>
      <c r="AF1106" s="2224"/>
      <c r="AG1106" s="580"/>
      <c r="AH1106" s="156"/>
      <c r="AI1106" s="156"/>
      <c r="AJ1106" s="156"/>
      <c r="AK1106" s="156"/>
      <c r="AL1106" s="156"/>
      <c r="AM1106" s="156"/>
      <c r="AN1106" s="156"/>
      <c r="AO1106" s="156"/>
      <c r="AP1106" s="156"/>
      <c r="AQ1106" s="156"/>
      <c r="AR1106" s="156"/>
      <c r="AS1106" s="156"/>
      <c r="AT1106" s="156"/>
      <c r="AU1106" s="156"/>
      <c r="AV1106" s="156"/>
      <c r="AW1106" s="156"/>
      <c r="AX1106" s="156"/>
      <c r="AY1106" s="156"/>
      <c r="AZ1106" s="156"/>
      <c r="BA1106" s="156"/>
      <c r="BB1106" s="2828"/>
      <c r="BC1106" s="452"/>
      <c r="BD1106" s="2829"/>
      <c r="BE1106" s="156"/>
      <c r="BF1106" s="156"/>
    </row>
    <row r="1107" spans="1:58" hidden="1" outlineLevel="1" x14ac:dyDescent="0.35">
      <c r="A1107" s="1071"/>
      <c r="B1107" s="106"/>
      <c r="C1107" s="103"/>
      <c r="D1107" s="4076"/>
      <c r="E1107" s="4022"/>
      <c r="F1107" s="3934" t="str">
        <f t="shared" si="208"/>
        <v>Mini/MultiSplitAC_ROF_MF</v>
      </c>
      <c r="G1107" s="3935"/>
      <c r="H1107" s="3936"/>
      <c r="I1107" s="2672" t="str">
        <f t="shared" si="209"/>
        <v>351600_2021_12_</v>
      </c>
      <c r="J1107" s="2816">
        <f t="shared" ref="J1107:J1111" si="210">J1098</f>
        <v>6.3</v>
      </c>
      <c r="K1107" s="623"/>
      <c r="L1107" s="1809"/>
      <c r="M1107" s="1304"/>
      <c r="N1107" s="1296"/>
      <c r="O1107" s="106"/>
      <c r="P1107" s="106"/>
      <c r="Q1107" s="106"/>
      <c r="R1107" s="106"/>
      <c r="S1107" s="106"/>
      <c r="T1107" s="106"/>
      <c r="U1107" s="106"/>
      <c r="V1107" s="4076"/>
      <c r="W1107" s="2224"/>
      <c r="X1107" s="2374"/>
      <c r="Y1107" s="2374">
        <v>6.3</v>
      </c>
      <c r="Z1107" s="2224">
        <v>6.3</v>
      </c>
      <c r="AA1107" s="2224">
        <v>6.3</v>
      </c>
      <c r="AB1107" s="1812">
        <v>6.3</v>
      </c>
      <c r="AC1107" s="1812">
        <v>6.3</v>
      </c>
      <c r="AD1107" s="2816">
        <v>6.3</v>
      </c>
      <c r="AE1107" s="2224"/>
      <c r="AF1107" s="2224"/>
      <c r="AG1107" s="580"/>
      <c r="AH1107" s="156"/>
      <c r="AI1107" s="156"/>
      <c r="AJ1107" s="156"/>
      <c r="AK1107" s="156"/>
      <c r="AL1107" s="156"/>
      <c r="AM1107" s="156"/>
      <c r="AN1107" s="156"/>
      <c r="AO1107" s="156"/>
      <c r="AP1107" s="156"/>
      <c r="AQ1107" s="156"/>
      <c r="AR1107" s="156"/>
      <c r="AS1107" s="156"/>
      <c r="AT1107" s="156"/>
      <c r="AU1107" s="156"/>
      <c r="AV1107" s="156"/>
      <c r="AW1107" s="156"/>
      <c r="AX1107" s="156"/>
      <c r="AY1107" s="156"/>
      <c r="AZ1107" s="156"/>
      <c r="BA1107" s="156"/>
      <c r="BB1107" s="2828"/>
      <c r="BC1107" s="452"/>
      <c r="BD1107" s="2829"/>
      <c r="BE1107" s="156"/>
      <c r="BF1107" s="156"/>
    </row>
    <row r="1108" spans="1:58" hidden="1" outlineLevel="1" x14ac:dyDescent="0.35">
      <c r="A1108" s="1071"/>
      <c r="B1108" s="106"/>
      <c r="C1108" s="103"/>
      <c r="D1108" s="4076"/>
      <c r="E1108" s="4022"/>
      <c r="F1108" s="3934" t="str">
        <f t="shared" si="208"/>
        <v>Mini/MultiSplitASHP_ROF_MF_NC</v>
      </c>
      <c r="G1108" s="3935"/>
      <c r="H1108" s="3936"/>
      <c r="I1108" s="2672" t="str">
        <f t="shared" si="209"/>
        <v>351650_2021_12_</v>
      </c>
      <c r="J1108" s="2816">
        <f t="shared" si="210"/>
        <v>7.2</v>
      </c>
      <c r="K1108" s="623"/>
      <c r="L1108" s="1809"/>
      <c r="M1108" s="1304"/>
      <c r="N1108" s="1296"/>
      <c r="O1108" s="106"/>
      <c r="P1108" s="106"/>
      <c r="Q1108" s="106"/>
      <c r="R1108" s="106"/>
      <c r="S1108" s="106"/>
      <c r="T1108" s="106"/>
      <c r="U1108" s="106"/>
      <c r="V1108" s="4076"/>
      <c r="W1108" s="2224"/>
      <c r="X1108" s="2374"/>
      <c r="Y1108" s="2374">
        <v>7.2</v>
      </c>
      <c r="Z1108" s="2224">
        <v>7.2</v>
      </c>
      <c r="AA1108" s="2224">
        <v>7.2</v>
      </c>
      <c r="AB1108" s="1812">
        <v>7.2</v>
      </c>
      <c r="AC1108" s="1812">
        <v>7.2</v>
      </c>
      <c r="AD1108" s="2816">
        <v>7.2</v>
      </c>
      <c r="AE1108" s="2224"/>
      <c r="AF1108" s="2224"/>
      <c r="AG1108" s="580"/>
      <c r="AH1108" s="156"/>
      <c r="AI1108" s="156"/>
      <c r="AJ1108" s="156"/>
      <c r="AK1108" s="156"/>
      <c r="AL1108" s="156"/>
      <c r="AM1108" s="156"/>
      <c r="AN1108" s="156"/>
      <c r="AO1108" s="156"/>
      <c r="AP1108" s="156"/>
      <c r="AQ1108" s="156"/>
      <c r="AR1108" s="156"/>
      <c r="AS1108" s="156"/>
      <c r="AT1108" s="156"/>
      <c r="AU1108" s="156"/>
      <c r="AV1108" s="156"/>
      <c r="AW1108" s="156"/>
      <c r="AX1108" s="156"/>
      <c r="AY1108" s="156"/>
      <c r="AZ1108" s="156"/>
      <c r="BA1108" s="156"/>
      <c r="BB1108" s="2828"/>
      <c r="BC1108" s="452"/>
      <c r="BD1108" s="2829"/>
      <c r="BE1108" s="156"/>
      <c r="BF1108" s="156"/>
    </row>
    <row r="1109" spans="1:58" hidden="1" outlineLevel="1" x14ac:dyDescent="0.35">
      <c r="A1109" s="1071"/>
      <c r="B1109" s="106"/>
      <c r="C1109" s="103"/>
      <c r="D1109" s="4076"/>
      <c r="E1109" s="4022"/>
      <c r="F1109" s="3934" t="str">
        <f t="shared" si="208"/>
        <v>Mini/MultiSplitASHP_ROF_MF</v>
      </c>
      <c r="G1109" s="3935"/>
      <c r="H1109" s="3936"/>
      <c r="I1109" s="2672" t="str">
        <f t="shared" si="209"/>
        <v>351700_2021_12_</v>
      </c>
      <c r="J1109" s="2816">
        <f t="shared" si="210"/>
        <v>7.2</v>
      </c>
      <c r="K1109" s="623"/>
      <c r="L1109" s="1809"/>
      <c r="M1109" s="1304"/>
      <c r="N1109" s="1296"/>
      <c r="O1109" s="106"/>
      <c r="P1109" s="106"/>
      <c r="Q1109" s="106"/>
      <c r="R1109" s="106"/>
      <c r="S1109" s="106"/>
      <c r="T1109" s="106"/>
      <c r="U1109" s="106"/>
      <c r="V1109" s="4076"/>
      <c r="W1109" s="2224"/>
      <c r="X1109" s="2374"/>
      <c r="Y1109" s="2374">
        <v>7.2</v>
      </c>
      <c r="Z1109" s="2224">
        <v>7.2</v>
      </c>
      <c r="AA1109" s="2224">
        <v>7.2</v>
      </c>
      <c r="AB1109" s="1812">
        <v>7.2</v>
      </c>
      <c r="AC1109" s="1812">
        <v>7.2</v>
      </c>
      <c r="AD1109" s="2816">
        <v>7.2</v>
      </c>
      <c r="AE1109" s="2224"/>
      <c r="AF1109" s="2224"/>
      <c r="AG1109" s="580"/>
      <c r="AH1109" s="156"/>
      <c r="AI1109" s="156"/>
      <c r="AJ1109" s="156"/>
      <c r="AK1109" s="156"/>
      <c r="AL1109" s="156"/>
      <c r="AM1109" s="156"/>
      <c r="AN1109" s="156"/>
      <c r="AO1109" s="156"/>
      <c r="AP1109" s="156"/>
      <c r="AQ1109" s="156"/>
      <c r="AR1109" s="156"/>
      <c r="AS1109" s="156"/>
      <c r="AT1109" s="156"/>
      <c r="AU1109" s="156"/>
      <c r="AV1109" s="156"/>
      <c r="AW1109" s="156"/>
      <c r="AX1109" s="156"/>
      <c r="AY1109" s="156"/>
      <c r="AZ1109" s="156"/>
      <c r="BA1109" s="156"/>
      <c r="BB1109" s="2828"/>
      <c r="BC1109" s="452"/>
      <c r="BD1109" s="2829"/>
      <c r="BE1109" s="156"/>
      <c r="BF1109" s="156"/>
    </row>
    <row r="1110" spans="1:58" hidden="1" outlineLevel="1" x14ac:dyDescent="0.35">
      <c r="A1110" s="1071"/>
      <c r="B1110" s="106"/>
      <c r="C1110" s="103"/>
      <c r="D1110" s="4076"/>
      <c r="E1110" s="4022"/>
      <c r="F1110" s="3934" t="str">
        <f t="shared" si="208"/>
        <v>Mini/MultiSplitASHP-Replace_CAC_ElectricHeat_ER1_MF</v>
      </c>
      <c r="G1110" s="3935"/>
      <c r="H1110" s="3936"/>
      <c r="I1110" s="2672" t="str">
        <f t="shared" si="209"/>
        <v>351750_2021_12_</v>
      </c>
      <c r="J1110" s="2779">
        <f t="shared" si="210"/>
        <v>7.838789123969689</v>
      </c>
      <c r="K1110" s="623"/>
      <c r="L1110" s="1809" t="s">
        <v>1083</v>
      </c>
      <c r="M1110" s="1304"/>
      <c r="N1110" s="1296"/>
      <c r="O1110" s="106"/>
      <c r="P1110" s="106"/>
      <c r="Q1110" s="106"/>
      <c r="R1110" s="106"/>
      <c r="S1110" s="106"/>
      <c r="T1110" s="106"/>
      <c r="U1110" s="106"/>
      <c r="V1110" s="4076"/>
      <c r="W1110" s="2224"/>
      <c r="X1110" s="2374"/>
      <c r="Y1110" s="2374">
        <v>6.8</v>
      </c>
      <c r="Z1110" s="2224">
        <v>6.8</v>
      </c>
      <c r="AA1110" s="2224">
        <v>6.8</v>
      </c>
      <c r="AB1110" s="1813">
        <v>7.6061892029279887</v>
      </c>
      <c r="AC1110" s="1813">
        <v>8.2976860977532869</v>
      </c>
      <c r="AD1110" s="2779">
        <v>7.838789123969689</v>
      </c>
      <c r="AE1110" s="2224"/>
      <c r="AF1110" s="2224"/>
      <c r="AG1110" s="580"/>
      <c r="AH1110" s="156"/>
      <c r="AI1110" s="156"/>
      <c r="AJ1110" s="156"/>
      <c r="AK1110" s="156"/>
      <c r="AL1110" s="156"/>
      <c r="AM1110" s="156"/>
      <c r="AN1110" s="156"/>
      <c r="AO1110" s="156"/>
      <c r="AP1110" s="156"/>
      <c r="AQ1110" s="156"/>
      <c r="AR1110" s="156"/>
      <c r="AS1110" s="156"/>
      <c r="AT1110" s="156"/>
      <c r="AU1110" s="156"/>
      <c r="AV1110" s="156"/>
      <c r="AW1110" s="156"/>
      <c r="AX1110" s="156"/>
      <c r="AY1110" s="156"/>
      <c r="AZ1110" s="156"/>
      <c r="BA1110" s="156"/>
      <c r="BB1110" s="2828"/>
      <c r="BC1110" s="452"/>
      <c r="BD1110" s="2829"/>
      <c r="BE1110" s="156"/>
      <c r="BF1110" s="156"/>
    </row>
    <row r="1111" spans="1:58" hidden="1" outlineLevel="1" x14ac:dyDescent="0.35">
      <c r="A1111" s="1071"/>
      <c r="B1111" s="106"/>
      <c r="C1111" s="103"/>
      <c r="D1111" s="4076"/>
      <c r="E1111" s="4022"/>
      <c r="F1111" s="3934" t="str">
        <f t="shared" si="208"/>
        <v>Mini/MultiSplitASHP-Replace_CAC_ElectricHeat_ROF_MF</v>
      </c>
      <c r="G1111" s="3935"/>
      <c r="H1111" s="3936"/>
      <c r="I1111" s="2672" t="str">
        <f t="shared" si="209"/>
        <v>351800_2021_12_</v>
      </c>
      <c r="J1111" s="2816">
        <f t="shared" si="210"/>
        <v>6.8</v>
      </c>
      <c r="K1111" s="623"/>
      <c r="L1111" s="1809"/>
      <c r="M1111" s="1304"/>
      <c r="N1111" s="1296"/>
      <c r="O1111" s="106"/>
      <c r="P1111" s="106"/>
      <c r="Q1111" s="106"/>
      <c r="R1111" s="106"/>
      <c r="S1111" s="106"/>
      <c r="T1111" s="106"/>
      <c r="U1111" s="106"/>
      <c r="V1111" s="4076"/>
      <c r="W1111" s="2224"/>
      <c r="X1111" s="2374"/>
      <c r="Y1111" s="2374">
        <v>6.8</v>
      </c>
      <c r="Z1111" s="2224">
        <v>6.8</v>
      </c>
      <c r="AA1111" s="2224">
        <v>6.8</v>
      </c>
      <c r="AB1111" s="1812">
        <v>6.8</v>
      </c>
      <c r="AC1111" s="1812">
        <v>6.8</v>
      </c>
      <c r="AD1111" s="2816">
        <v>6.8</v>
      </c>
      <c r="AE1111" s="2224"/>
      <c r="AF1111" s="2224"/>
      <c r="AG1111" s="580"/>
      <c r="AH1111" s="156"/>
      <c r="AI1111" s="156"/>
      <c r="AJ1111" s="156"/>
      <c r="AK1111" s="156"/>
      <c r="AL1111" s="156"/>
      <c r="AM1111" s="156"/>
      <c r="AN1111" s="156"/>
      <c r="AO1111" s="156"/>
      <c r="AP1111" s="156"/>
      <c r="AQ1111" s="156"/>
      <c r="AR1111" s="156"/>
      <c r="AS1111" s="156"/>
      <c r="AT1111" s="156"/>
      <c r="AU1111" s="156"/>
      <c r="AV1111" s="156"/>
      <c r="AW1111" s="156"/>
      <c r="AX1111" s="156"/>
      <c r="AY1111" s="156"/>
      <c r="AZ1111" s="156"/>
      <c r="BA1111" s="156"/>
      <c r="BB1111" s="2828"/>
      <c r="BC1111" s="452"/>
      <c r="BD1111" s="2829"/>
      <c r="BE1111" s="156"/>
      <c r="BF1111" s="156"/>
    </row>
    <row r="1112" spans="1:58" hidden="1" outlineLevel="1" x14ac:dyDescent="0.35">
      <c r="A1112" s="1071"/>
      <c r="B1112" s="106"/>
      <c r="C1112" s="103"/>
      <c r="D1112" s="4076"/>
      <c r="E1112" s="4022"/>
      <c r="F1112" s="3937" t="str">
        <f t="shared" ref="F1112:F1113" si="211">F1085</f>
        <v>Mini/MultiSplitASHP-Replace_CAC_NonElectricHeat_ER1_MF</v>
      </c>
      <c r="G1112" s="3938"/>
      <c r="H1112" s="3939"/>
      <c r="I1112" s="2755" t="str">
        <f t="shared" si="209"/>
        <v>351752_2022_12_</v>
      </c>
      <c r="J1112" s="2779">
        <v>8.2976860977532869</v>
      </c>
      <c r="K1112" s="623"/>
      <c r="L1112" s="2757" t="s">
        <v>1083</v>
      </c>
      <c r="M1112" s="1304"/>
      <c r="N1112" s="1296"/>
      <c r="O1112" s="106"/>
      <c r="P1112" s="106"/>
      <c r="Q1112" s="106"/>
      <c r="R1112" s="106"/>
      <c r="S1112" s="106"/>
      <c r="T1112" s="106"/>
      <c r="U1112" s="106"/>
      <c r="V1112" s="4076"/>
      <c r="W1112" s="2224"/>
      <c r="X1112" s="2374"/>
      <c r="Y1112" s="2374"/>
      <c r="Z1112" s="2224"/>
      <c r="AA1112" s="2224"/>
      <c r="AB1112" s="1812"/>
      <c r="AC1112" s="1812"/>
      <c r="AD1112" s="2779">
        <v>8.2976860977532869</v>
      </c>
      <c r="AE1112" s="2224"/>
      <c r="AF1112" s="2224"/>
      <c r="AG1112" s="580"/>
      <c r="AH1112" s="156"/>
      <c r="AI1112" s="156"/>
      <c r="AJ1112" s="156"/>
      <c r="AK1112" s="156"/>
      <c r="AL1112" s="156"/>
      <c r="AM1112" s="156"/>
      <c r="AN1112" s="156"/>
      <c r="AO1112" s="156"/>
      <c r="AP1112" s="156"/>
      <c r="AQ1112" s="156"/>
      <c r="AR1112" s="156"/>
      <c r="AS1112" s="156"/>
      <c r="AT1112" s="156"/>
      <c r="AU1112" s="156"/>
      <c r="AV1112" s="156"/>
      <c r="AW1112" s="156"/>
      <c r="AX1112" s="156"/>
      <c r="AY1112" s="156"/>
      <c r="AZ1112" s="156"/>
      <c r="BA1112" s="156"/>
      <c r="BB1112" s="2828"/>
      <c r="BC1112" s="452"/>
      <c r="BD1112" s="2829"/>
      <c r="BE1112" s="156"/>
      <c r="BF1112" s="156"/>
    </row>
    <row r="1113" spans="1:58" hidden="1" outlineLevel="1" x14ac:dyDescent="0.35">
      <c r="A1113" s="1071"/>
      <c r="B1113" s="106"/>
      <c r="C1113" s="103"/>
      <c r="D1113" s="4076"/>
      <c r="E1113" s="4022"/>
      <c r="F1113" s="3937" t="str">
        <f t="shared" si="211"/>
        <v>Mini/MultiSplitASHP-Replace_CAC_NonElectricHeat_ROF_MF</v>
      </c>
      <c r="G1113" s="3938"/>
      <c r="H1113" s="3939"/>
      <c r="I1113" s="2755" t="str">
        <f t="shared" si="209"/>
        <v>351802_2022_12_</v>
      </c>
      <c r="J1113" s="2779">
        <v>6.8</v>
      </c>
      <c r="K1113" s="623"/>
      <c r="L1113" s="1809"/>
      <c r="M1113" s="1304"/>
      <c r="N1113" s="1296"/>
      <c r="O1113" s="106"/>
      <c r="P1113" s="106"/>
      <c r="Q1113" s="106"/>
      <c r="R1113" s="106"/>
      <c r="S1113" s="106"/>
      <c r="T1113" s="106"/>
      <c r="U1113" s="106"/>
      <c r="V1113" s="4076"/>
      <c r="W1113" s="2224"/>
      <c r="X1113" s="2374"/>
      <c r="Y1113" s="2374"/>
      <c r="Z1113" s="2224"/>
      <c r="AA1113" s="2224"/>
      <c r="AB1113" s="1812"/>
      <c r="AC1113" s="1812"/>
      <c r="AD1113" s="2779">
        <v>6.8</v>
      </c>
      <c r="AE1113" s="2224"/>
      <c r="AF1113" s="2224"/>
      <c r="AG1113" s="580"/>
      <c r="AH1113" s="156"/>
      <c r="AI1113" s="156"/>
      <c r="AJ1113" s="156"/>
      <c r="AK1113" s="156"/>
      <c r="AL1113" s="156"/>
      <c r="AM1113" s="156"/>
      <c r="AN1113" s="156"/>
      <c r="AO1113" s="156"/>
      <c r="AP1113" s="156"/>
      <c r="AQ1113" s="156"/>
      <c r="AR1113" s="156"/>
      <c r="AS1113" s="156"/>
      <c r="AT1113" s="156"/>
      <c r="AU1113" s="156"/>
      <c r="AV1113" s="156"/>
      <c r="AW1113" s="156"/>
      <c r="AX1113" s="156"/>
      <c r="AY1113" s="156"/>
      <c r="AZ1113" s="156"/>
      <c r="BA1113" s="156"/>
      <c r="BB1113" s="2828"/>
      <c r="BC1113" s="452"/>
      <c r="BD1113" s="2829"/>
      <c r="BE1113" s="156"/>
      <c r="BF1113" s="156"/>
    </row>
    <row r="1114" spans="1:58" hidden="1" outlineLevel="1" x14ac:dyDescent="0.35">
      <c r="A1114" s="1071"/>
      <c r="B1114" s="106"/>
      <c r="C1114" s="103"/>
      <c r="D1114" s="4076"/>
      <c r="E1114" s="4022"/>
      <c r="F1114" s="3934" t="str">
        <f t="shared" ref="F1114:F1120" si="212">F1087</f>
        <v>Mini/MultiSplitASHP_ER1_MF</v>
      </c>
      <c r="G1114" s="3935"/>
      <c r="H1114" s="3936"/>
      <c r="I1114" s="2672" t="str">
        <f t="shared" ref="I1114:I1122" si="213">I1087</f>
        <v>351850_2021_12_</v>
      </c>
      <c r="J1114" s="2779">
        <f>J1105</f>
        <v>7.838789123969689</v>
      </c>
      <c r="K1114" s="623"/>
      <c r="L1114" s="1809" t="s">
        <v>1083</v>
      </c>
      <c r="M1114" s="1304"/>
      <c r="N1114" s="1296"/>
      <c r="O1114" s="106"/>
      <c r="P1114" s="106"/>
      <c r="Q1114" s="106"/>
      <c r="R1114" s="106"/>
      <c r="S1114" s="106"/>
      <c r="T1114" s="106"/>
      <c r="U1114" s="106"/>
      <c r="V1114" s="4076"/>
      <c r="W1114" s="2224"/>
      <c r="X1114" s="2374"/>
      <c r="Y1114" s="2374">
        <v>7.2</v>
      </c>
      <c r="Z1114" s="2224">
        <v>7.2</v>
      </c>
      <c r="AA1114" s="2224">
        <v>7.2</v>
      </c>
      <c r="AB1114" s="1813">
        <v>8.0162959726442171</v>
      </c>
      <c r="AC1114" s="1813">
        <v>8.2960580500029604</v>
      </c>
      <c r="AD1114" s="2779">
        <v>7.838789123969689</v>
      </c>
      <c r="AE1114" s="2224"/>
      <c r="AF1114" s="2224"/>
      <c r="AG1114" s="580"/>
      <c r="AH1114" s="156"/>
      <c r="AI1114" s="156"/>
      <c r="AJ1114" s="156"/>
      <c r="AK1114" s="156"/>
      <c r="AL1114" s="156"/>
      <c r="AM1114" s="156"/>
      <c r="AN1114" s="156"/>
      <c r="AO1114" s="156"/>
      <c r="AP1114" s="156"/>
      <c r="AQ1114" s="156"/>
      <c r="AR1114" s="156"/>
      <c r="AS1114" s="156"/>
      <c r="AT1114" s="156"/>
      <c r="AU1114" s="156"/>
      <c r="AV1114" s="156"/>
      <c r="AW1114" s="156"/>
      <c r="AX1114" s="156"/>
      <c r="AY1114" s="156"/>
      <c r="AZ1114" s="156"/>
      <c r="BA1114" s="156"/>
      <c r="BB1114" s="2828"/>
      <c r="BC1114" s="452"/>
      <c r="BD1114" s="2829"/>
      <c r="BE1114" s="156"/>
      <c r="BF1114" s="156"/>
    </row>
    <row r="1115" spans="1:58" hidden="1" outlineLevel="1" x14ac:dyDescent="0.35">
      <c r="A1115" s="1071"/>
      <c r="B1115" s="106"/>
      <c r="C1115" s="103"/>
      <c r="D1115" s="4076"/>
      <c r="E1115" s="4022"/>
      <c r="F1115" s="3934" t="str">
        <f t="shared" si="212"/>
        <v>Mini/MultiSplitAC_ER1_MF_CompE</v>
      </c>
      <c r="G1115" s="3935"/>
      <c r="H1115" s="3936"/>
      <c r="I1115" s="2672" t="str">
        <f t="shared" si="213"/>
        <v>351551_2021_12_</v>
      </c>
      <c r="J1115" s="2779">
        <f t="shared" ref="J1115:J1120" si="214">J1097</f>
        <v>7.0198996256246149</v>
      </c>
      <c r="K1115" s="623"/>
      <c r="L1115" s="1809" t="s">
        <v>1083</v>
      </c>
      <c r="M1115" s="1304"/>
      <c r="N1115" s="1296"/>
      <c r="O1115" s="106"/>
      <c r="P1115" s="106"/>
      <c r="Q1115" s="106"/>
      <c r="R1115" s="106"/>
      <c r="S1115" s="106"/>
      <c r="T1115" s="106"/>
      <c r="U1115" s="106"/>
      <c r="V1115" s="4076"/>
      <c r="W1115" s="2224"/>
      <c r="X1115" s="2224"/>
      <c r="Y1115" s="2374">
        <v>6.3</v>
      </c>
      <c r="Z1115" s="2224">
        <v>6.3</v>
      </c>
      <c r="AA1115" s="2224">
        <v>6.3</v>
      </c>
      <c r="AB1115" s="1812">
        <v>6.3</v>
      </c>
      <c r="AC1115" s="1813">
        <v>8.402496453661275</v>
      </c>
      <c r="AD1115" s="2779">
        <v>7.0198996256246149</v>
      </c>
      <c r="AE1115" s="2224"/>
      <c r="AF1115" s="2224"/>
      <c r="AG1115" s="580"/>
      <c r="AH1115" s="156"/>
      <c r="AI1115" s="156"/>
      <c r="AJ1115" s="156"/>
      <c r="AK1115" s="156"/>
      <c r="AL1115" s="156"/>
      <c r="AM1115" s="156"/>
      <c r="AN1115" s="156"/>
      <c r="AO1115" s="156"/>
      <c r="AP1115" s="156"/>
      <c r="AQ1115" s="156"/>
      <c r="AR1115" s="156"/>
      <c r="AS1115" s="156"/>
      <c r="AT1115" s="156"/>
      <c r="AU1115" s="156"/>
      <c r="AV1115" s="156"/>
      <c r="AW1115" s="156"/>
      <c r="AX1115" s="156"/>
      <c r="AY1115" s="156"/>
      <c r="AZ1115" s="156"/>
      <c r="BA1115" s="156"/>
      <c r="BB1115" s="2828"/>
      <c r="BC1115" s="452"/>
      <c r="BD1115" s="2829"/>
      <c r="BE1115" s="156"/>
      <c r="BF1115" s="156"/>
    </row>
    <row r="1116" spans="1:58" hidden="1" outlineLevel="1" x14ac:dyDescent="0.35">
      <c r="A1116" s="1071"/>
      <c r="B1116" s="106"/>
      <c r="C1116" s="103"/>
      <c r="D1116" s="4076"/>
      <c r="E1116" s="4022"/>
      <c r="F1116" s="3934" t="str">
        <f t="shared" si="212"/>
        <v>Mini/MultiSplitAC_ROF_MF_CompE</v>
      </c>
      <c r="G1116" s="3935"/>
      <c r="H1116" s="3936"/>
      <c r="I1116" s="2672" t="str">
        <f t="shared" si="213"/>
        <v>351601_2021_12_</v>
      </c>
      <c r="J1116" s="2816">
        <f t="shared" si="214"/>
        <v>6.3</v>
      </c>
      <c r="K1116" s="623"/>
      <c r="L1116" s="1809"/>
      <c r="M1116" s="1304"/>
      <c r="N1116" s="1296"/>
      <c r="O1116" s="106"/>
      <c r="P1116" s="106"/>
      <c r="Q1116" s="106"/>
      <c r="R1116" s="106"/>
      <c r="S1116" s="106"/>
      <c r="T1116" s="106"/>
      <c r="U1116" s="106"/>
      <c r="V1116" s="4076"/>
      <c r="W1116" s="2224"/>
      <c r="X1116" s="2224"/>
      <c r="Y1116" s="2374">
        <v>6.3</v>
      </c>
      <c r="Z1116" s="2224">
        <v>6.3</v>
      </c>
      <c r="AA1116" s="2224">
        <v>6.3</v>
      </c>
      <c r="AB1116" s="1812">
        <v>6.3</v>
      </c>
      <c r="AC1116" s="1812">
        <v>6.3</v>
      </c>
      <c r="AD1116" s="2816">
        <v>6.3</v>
      </c>
      <c r="AE1116" s="2224"/>
      <c r="AF1116" s="2224"/>
      <c r="AG1116" s="580"/>
      <c r="AH1116" s="156"/>
      <c r="AI1116" s="156"/>
      <c r="AJ1116" s="156"/>
      <c r="AK1116" s="156"/>
      <c r="AL1116" s="156"/>
      <c r="AM1116" s="156"/>
      <c r="AN1116" s="156"/>
      <c r="AO1116" s="156"/>
      <c r="AP1116" s="156"/>
      <c r="AQ1116" s="156"/>
      <c r="AR1116" s="156"/>
      <c r="AS1116" s="156"/>
      <c r="AT1116" s="156"/>
      <c r="AU1116" s="156"/>
      <c r="AV1116" s="156"/>
      <c r="AW1116" s="156"/>
      <c r="AX1116" s="156"/>
      <c r="AY1116" s="156"/>
      <c r="AZ1116" s="156"/>
      <c r="BA1116" s="156"/>
      <c r="BB1116" s="2828"/>
      <c r="BC1116" s="452"/>
      <c r="BD1116" s="2829"/>
      <c r="BE1116" s="156"/>
      <c r="BF1116" s="156"/>
    </row>
    <row r="1117" spans="1:58" hidden="1" outlineLevel="1" x14ac:dyDescent="0.35">
      <c r="A1117" s="1071"/>
      <c r="B1117" s="106"/>
      <c r="C1117" s="103"/>
      <c r="D1117" s="4076"/>
      <c r="E1117" s="4022"/>
      <c r="F1117" s="3934" t="str">
        <f t="shared" si="212"/>
        <v>Mini/MultiSplitASHP_ROF_MF_NC_CompE</v>
      </c>
      <c r="G1117" s="3935"/>
      <c r="H1117" s="3936"/>
      <c r="I1117" s="2672" t="str">
        <f t="shared" si="213"/>
        <v>351651_2021_12_</v>
      </c>
      <c r="J1117" s="2816">
        <f t="shared" si="214"/>
        <v>7.2</v>
      </c>
      <c r="K1117" s="623"/>
      <c r="L1117" s="1809"/>
      <c r="M1117" s="1304"/>
      <c r="N1117" s="1296"/>
      <c r="O1117" s="106"/>
      <c r="P1117" s="106"/>
      <c r="Q1117" s="106"/>
      <c r="R1117" s="106"/>
      <c r="S1117" s="106"/>
      <c r="T1117" s="106"/>
      <c r="U1117" s="106"/>
      <c r="V1117" s="4076"/>
      <c r="W1117" s="2224"/>
      <c r="X1117" s="2224"/>
      <c r="Y1117" s="2374">
        <v>7.2</v>
      </c>
      <c r="Z1117" s="2224">
        <v>7.2</v>
      </c>
      <c r="AA1117" s="2224">
        <v>7.2</v>
      </c>
      <c r="AB1117" s="1812">
        <v>7.2</v>
      </c>
      <c r="AC1117" s="1812">
        <v>7.2</v>
      </c>
      <c r="AD1117" s="2816">
        <v>7.2</v>
      </c>
      <c r="AE1117" s="2224"/>
      <c r="AF1117" s="2224"/>
      <c r="AG1117" s="580"/>
      <c r="AH1117" s="156"/>
      <c r="AI1117" s="156"/>
      <c r="AJ1117" s="156"/>
      <c r="AK1117" s="156"/>
      <c r="AL1117" s="156"/>
      <c r="AM1117" s="156"/>
      <c r="AN1117" s="156"/>
      <c r="AO1117" s="156"/>
      <c r="AP1117" s="156"/>
      <c r="AQ1117" s="156"/>
      <c r="AR1117" s="156"/>
      <c r="AS1117" s="156"/>
      <c r="AT1117" s="156"/>
      <c r="AU1117" s="156"/>
      <c r="AV1117" s="156"/>
      <c r="AW1117" s="156"/>
      <c r="AX1117" s="156"/>
      <c r="AY1117" s="156"/>
      <c r="AZ1117" s="156"/>
      <c r="BA1117" s="156"/>
      <c r="BB1117" s="2828"/>
      <c r="BC1117" s="452"/>
      <c r="BD1117" s="2829"/>
      <c r="BE1117" s="156"/>
      <c r="BF1117" s="156"/>
    </row>
    <row r="1118" spans="1:58" hidden="1" outlineLevel="1" x14ac:dyDescent="0.35">
      <c r="A1118" s="1071"/>
      <c r="B1118" s="106"/>
      <c r="C1118" s="103"/>
      <c r="D1118" s="4076"/>
      <c r="E1118" s="4022"/>
      <c r="F1118" s="3934" t="str">
        <f t="shared" si="212"/>
        <v>Mini/MultiSplitASHP_ROF_MF_CompE</v>
      </c>
      <c r="G1118" s="3935"/>
      <c r="H1118" s="3936"/>
      <c r="I1118" s="2672" t="str">
        <f t="shared" si="213"/>
        <v>351701_2021_12_</v>
      </c>
      <c r="J1118" s="2816">
        <f t="shared" si="214"/>
        <v>7.2</v>
      </c>
      <c r="K1118" s="623"/>
      <c r="L1118" s="625"/>
      <c r="M1118" s="1304"/>
      <c r="N1118" s="1296"/>
      <c r="O1118" s="106"/>
      <c r="P1118" s="106"/>
      <c r="Q1118" s="106"/>
      <c r="R1118" s="106"/>
      <c r="S1118" s="106"/>
      <c r="T1118" s="106"/>
      <c r="U1118" s="106"/>
      <c r="V1118" s="4076"/>
      <c r="W1118" s="2224"/>
      <c r="X1118" s="2224"/>
      <c r="Y1118" s="2374">
        <v>7.2</v>
      </c>
      <c r="Z1118" s="2224">
        <v>7.2</v>
      </c>
      <c r="AA1118" s="2224">
        <v>7.2</v>
      </c>
      <c r="AB1118" s="1812">
        <v>7.2</v>
      </c>
      <c r="AC1118" s="1812">
        <v>7.2</v>
      </c>
      <c r="AD1118" s="2816">
        <v>7.2</v>
      </c>
      <c r="AE1118" s="2224"/>
      <c r="AF1118" s="2224"/>
      <c r="AG1118" s="580"/>
      <c r="AH1118" s="156"/>
      <c r="AI1118" s="156"/>
      <c r="AJ1118" s="156"/>
      <c r="AK1118" s="156"/>
      <c r="AL1118" s="156"/>
      <c r="AM1118" s="156"/>
      <c r="AN1118" s="156"/>
      <c r="AO1118" s="156"/>
      <c r="AP1118" s="156"/>
      <c r="AQ1118" s="156"/>
      <c r="AR1118" s="156"/>
      <c r="AS1118" s="156"/>
      <c r="AT1118" s="156"/>
      <c r="AU1118" s="156"/>
      <c r="AV1118" s="156"/>
      <c r="AW1118" s="156"/>
      <c r="AX1118" s="156"/>
      <c r="AY1118" s="156"/>
      <c r="AZ1118" s="156"/>
      <c r="BA1118" s="156"/>
      <c r="BB1118" s="2828"/>
      <c r="BC1118" s="452"/>
      <c r="BD1118" s="2829"/>
      <c r="BE1118" s="156"/>
      <c r="BF1118" s="156"/>
    </row>
    <row r="1119" spans="1:58" hidden="1" outlineLevel="1" x14ac:dyDescent="0.35">
      <c r="A1119" s="1071"/>
      <c r="B1119" s="106"/>
      <c r="C1119" s="103"/>
      <c r="D1119" s="4076"/>
      <c r="E1119" s="4022"/>
      <c r="F1119" s="3934" t="str">
        <f t="shared" si="212"/>
        <v>Mini/MultiSplitASHP-Replace_CAC_ElectricHeat_ER1_MF_CompE</v>
      </c>
      <c r="G1119" s="3935"/>
      <c r="H1119" s="3936"/>
      <c r="I1119" s="2672" t="str">
        <f t="shared" si="213"/>
        <v>351751_2021_12_</v>
      </c>
      <c r="J1119" s="2779">
        <f t="shared" si="214"/>
        <v>7.838789123969689</v>
      </c>
      <c r="K1119" s="623"/>
      <c r="L1119" s="1809" t="s">
        <v>1083</v>
      </c>
      <c r="M1119" s="1304"/>
      <c r="N1119" s="1296"/>
      <c r="O1119" s="106"/>
      <c r="P1119" s="106"/>
      <c r="Q1119" s="106"/>
      <c r="R1119" s="106"/>
      <c r="S1119" s="106"/>
      <c r="T1119" s="106"/>
      <c r="U1119" s="106"/>
      <c r="V1119" s="4076"/>
      <c r="W1119" s="2224"/>
      <c r="X1119" s="2224"/>
      <c r="Y1119" s="2374">
        <v>6.8</v>
      </c>
      <c r="Z1119" s="2224">
        <v>6.8</v>
      </c>
      <c r="AA1119" s="2224">
        <v>6.8</v>
      </c>
      <c r="AB1119" s="1813">
        <v>7.6061892029279887</v>
      </c>
      <c r="AC1119" s="1813">
        <v>8.2976860977532869</v>
      </c>
      <c r="AD1119" s="2779">
        <v>7.838789123969689</v>
      </c>
      <c r="AE1119" s="2224"/>
      <c r="AF1119" s="2224"/>
      <c r="AG1119" s="580"/>
      <c r="AH1119" s="156"/>
      <c r="AI1119" s="156"/>
      <c r="AJ1119" s="156"/>
      <c r="AK1119" s="156"/>
      <c r="AL1119" s="156"/>
      <c r="AM1119" s="156"/>
      <c r="AN1119" s="156"/>
      <c r="AO1119" s="156"/>
      <c r="AP1119" s="156"/>
      <c r="AQ1119" s="156"/>
      <c r="AR1119" s="156"/>
      <c r="AS1119" s="156"/>
      <c r="AT1119" s="156"/>
      <c r="AU1119" s="156"/>
      <c r="AV1119" s="156"/>
      <c r="AW1119" s="156"/>
      <c r="AX1119" s="156"/>
      <c r="AY1119" s="156"/>
      <c r="AZ1119" s="156"/>
      <c r="BA1119" s="156"/>
      <c r="BB1119" s="2828"/>
      <c r="BC1119" s="452"/>
      <c r="BD1119" s="2829"/>
      <c r="BE1119" s="156"/>
      <c r="BF1119" s="156"/>
    </row>
    <row r="1120" spans="1:58" hidden="1" outlineLevel="1" x14ac:dyDescent="0.35">
      <c r="A1120" s="1071"/>
      <c r="B1120" s="106"/>
      <c r="C1120" s="103"/>
      <c r="D1120" s="4076"/>
      <c r="E1120" s="4022"/>
      <c r="F1120" s="3934" t="str">
        <f t="shared" si="212"/>
        <v>Mini/MultiSplitASHP-Replace_CAC_ElectricHeat_ROF_MF_CompE</v>
      </c>
      <c r="G1120" s="3935"/>
      <c r="H1120" s="3936"/>
      <c r="I1120" s="2672" t="str">
        <f t="shared" si="213"/>
        <v>351801_2021_12_</v>
      </c>
      <c r="J1120" s="2816">
        <f t="shared" si="214"/>
        <v>6.8</v>
      </c>
      <c r="K1120" s="623"/>
      <c r="L1120" s="625"/>
      <c r="M1120" s="2809"/>
      <c r="N1120" s="1296"/>
      <c r="O1120" s="106"/>
      <c r="P1120" s="106"/>
      <c r="Q1120" s="106"/>
      <c r="R1120" s="106"/>
      <c r="S1120" s="106"/>
      <c r="T1120" s="106"/>
      <c r="U1120" s="106"/>
      <c r="V1120" s="4076"/>
      <c r="W1120" s="2224"/>
      <c r="X1120" s="2224"/>
      <c r="Y1120" s="2374">
        <v>6.8</v>
      </c>
      <c r="Z1120" s="2224">
        <v>6.8</v>
      </c>
      <c r="AA1120" s="2224">
        <v>6.8</v>
      </c>
      <c r="AB1120" s="1812">
        <v>6.8</v>
      </c>
      <c r="AC1120" s="1812">
        <v>6.8</v>
      </c>
      <c r="AD1120" s="2816">
        <v>6.8</v>
      </c>
      <c r="AE1120" s="2224"/>
      <c r="AF1120" s="2224"/>
      <c r="AG1120" s="580"/>
      <c r="AH1120" s="156"/>
      <c r="AI1120" s="156"/>
      <c r="AJ1120" s="156"/>
      <c r="AK1120" s="156"/>
      <c r="AL1120" s="156"/>
      <c r="AM1120" s="156"/>
      <c r="AN1120" s="156"/>
      <c r="AO1120" s="156"/>
      <c r="AP1120" s="156"/>
      <c r="AQ1120" s="156"/>
      <c r="AR1120" s="156"/>
      <c r="AS1120" s="156"/>
      <c r="AT1120" s="156"/>
      <c r="AU1120" s="156"/>
      <c r="AV1120" s="156"/>
      <c r="AW1120" s="156"/>
      <c r="AX1120" s="156"/>
      <c r="AY1120" s="156"/>
      <c r="AZ1120" s="156"/>
      <c r="BA1120" s="156"/>
      <c r="BB1120" s="2828"/>
      <c r="BC1120" s="452"/>
      <c r="BD1120" s="2829"/>
      <c r="BE1120" s="156"/>
      <c r="BF1120" s="156"/>
    </row>
    <row r="1121" spans="1:58" hidden="1" outlineLevel="1" x14ac:dyDescent="0.35">
      <c r="A1121" s="1071"/>
      <c r="B1121" s="106"/>
      <c r="C1121" s="103"/>
      <c r="D1121" s="4076"/>
      <c r="E1121" s="4022"/>
      <c r="F1121" s="3937" t="str">
        <f t="shared" ref="F1121:F1122" si="215">F1094</f>
        <v>Mini/MultiSplitASHP-Replace_CAC_NonElectricHeat_ER1_MF_CompE</v>
      </c>
      <c r="G1121" s="3938"/>
      <c r="H1121" s="3939"/>
      <c r="I1121" s="2755" t="str">
        <f t="shared" si="213"/>
        <v>351753_2022_12_</v>
      </c>
      <c r="J1121" s="2779">
        <f t="shared" ref="J1121:J1122" si="216">J1103</f>
        <v>7.838789123969689</v>
      </c>
      <c r="K1121" s="623"/>
      <c r="L1121" s="2757" t="s">
        <v>1083</v>
      </c>
      <c r="M1121" s="2809"/>
      <c r="N1121" s="1296"/>
      <c r="O1121" s="106"/>
      <c r="P1121" s="106"/>
      <c r="Q1121" s="106"/>
      <c r="R1121" s="106"/>
      <c r="S1121" s="106"/>
      <c r="T1121" s="106"/>
      <c r="U1121" s="106"/>
      <c r="V1121" s="4076"/>
      <c r="W1121" s="576"/>
      <c r="X1121" s="576"/>
      <c r="Y1121" s="575"/>
      <c r="Z1121" s="576"/>
      <c r="AA1121" s="576"/>
      <c r="AB1121" s="1812"/>
      <c r="AC1121" s="1812"/>
      <c r="AD1121" s="2779">
        <v>7.838789123969689</v>
      </c>
      <c r="AE1121" s="576"/>
      <c r="AF1121" s="576"/>
      <c r="AG1121" s="2758"/>
      <c r="AH1121" s="156"/>
      <c r="AI1121" s="156"/>
      <c r="AJ1121" s="156"/>
      <c r="AK1121" s="156"/>
      <c r="AL1121" s="156"/>
      <c r="AM1121" s="156"/>
      <c r="AN1121" s="156"/>
      <c r="AO1121" s="156"/>
      <c r="AP1121" s="156"/>
      <c r="AQ1121" s="156"/>
      <c r="AR1121" s="156"/>
      <c r="AS1121" s="156"/>
      <c r="AT1121" s="156"/>
      <c r="AU1121" s="156"/>
      <c r="AV1121" s="156"/>
      <c r="AW1121" s="156"/>
      <c r="AX1121" s="156"/>
      <c r="AY1121" s="156"/>
      <c r="AZ1121" s="156"/>
      <c r="BA1121" s="156"/>
      <c r="BB1121" s="2828"/>
      <c r="BC1121" s="452"/>
      <c r="BD1121" s="2829"/>
      <c r="BE1121" s="156"/>
      <c r="BF1121" s="156"/>
    </row>
    <row r="1122" spans="1:58" hidden="1" outlineLevel="1" x14ac:dyDescent="0.35">
      <c r="A1122" s="1071"/>
      <c r="B1122" s="106"/>
      <c r="C1122" s="103"/>
      <c r="D1122" s="4076"/>
      <c r="E1122" s="4022"/>
      <c r="F1122" s="3937" t="str">
        <f t="shared" si="215"/>
        <v>Mini/MultiSplitASHP-Replace_CAC_NonElectricHeat_ROF_MF_CompE</v>
      </c>
      <c r="G1122" s="3938"/>
      <c r="H1122" s="3939"/>
      <c r="I1122" s="2755" t="str">
        <f t="shared" si="213"/>
        <v>351803_2022_12_</v>
      </c>
      <c r="J1122" s="2779">
        <f t="shared" si="216"/>
        <v>6.8</v>
      </c>
      <c r="K1122" s="623"/>
      <c r="L1122" s="625"/>
      <c r="M1122" s="2809"/>
      <c r="N1122" s="1296"/>
      <c r="O1122" s="106"/>
      <c r="P1122" s="106"/>
      <c r="Q1122" s="106"/>
      <c r="R1122" s="106"/>
      <c r="S1122" s="106"/>
      <c r="T1122" s="106"/>
      <c r="U1122" s="106"/>
      <c r="V1122" s="4076"/>
      <c r="W1122" s="576"/>
      <c r="X1122" s="576"/>
      <c r="Y1122" s="575"/>
      <c r="Z1122" s="576"/>
      <c r="AA1122" s="576"/>
      <c r="AB1122" s="1812"/>
      <c r="AC1122" s="1812"/>
      <c r="AD1122" s="2779">
        <v>6.8</v>
      </c>
      <c r="AE1122" s="576"/>
      <c r="AF1122" s="576"/>
      <c r="AG1122" s="2758"/>
      <c r="AH1122" s="156"/>
      <c r="AI1122" s="156"/>
      <c r="AJ1122" s="156"/>
      <c r="AK1122" s="156"/>
      <c r="AL1122" s="156"/>
      <c r="AM1122" s="156"/>
      <c r="AN1122" s="156"/>
      <c r="AO1122" s="156"/>
      <c r="AP1122" s="156"/>
      <c r="AQ1122" s="156"/>
      <c r="AR1122" s="156"/>
      <c r="AS1122" s="156"/>
      <c r="AT1122" s="156"/>
      <c r="AU1122" s="156"/>
      <c r="AV1122" s="156"/>
      <c r="AW1122" s="156"/>
      <c r="AX1122" s="156"/>
      <c r="AY1122" s="156"/>
      <c r="AZ1122" s="156"/>
      <c r="BA1122" s="156"/>
      <c r="BB1122" s="2828"/>
      <c r="BC1122" s="452"/>
      <c r="BD1122" s="2829"/>
      <c r="BE1122" s="156"/>
      <c r="BF1122" s="156"/>
    </row>
    <row r="1123" spans="1:58" ht="15" hidden="1" outlineLevel="1" thickBot="1" x14ac:dyDescent="0.4">
      <c r="A1123" s="1071"/>
      <c r="B1123" s="106"/>
      <c r="C1123" s="103"/>
      <c r="D1123" s="4077"/>
      <c r="E1123" s="4104"/>
      <c r="F1123" s="3940" t="str">
        <f t="shared" ref="F1123:F1129" si="217">F1096</f>
        <v>Mini/MultiSplitASHP_ER1_MF_CompE</v>
      </c>
      <c r="G1123" s="3941"/>
      <c r="H1123" s="3942"/>
      <c r="I1123" s="2673" t="str">
        <f t="shared" ref="I1123:I1131" si="218">I1096</f>
        <v>351851_2021_12_</v>
      </c>
      <c r="J1123" s="2779">
        <f>J1105</f>
        <v>7.838789123969689</v>
      </c>
      <c r="K1123" s="623"/>
      <c r="L1123" s="1809" t="s">
        <v>1083</v>
      </c>
      <c r="M1123" s="2809"/>
      <c r="N1123" s="1296"/>
      <c r="O1123" s="106"/>
      <c r="P1123" s="106"/>
      <c r="Q1123" s="106"/>
      <c r="R1123" s="106"/>
      <c r="S1123" s="106"/>
      <c r="T1123" s="106"/>
      <c r="U1123" s="106"/>
      <c r="V1123" s="4077"/>
      <c r="W1123" s="2227"/>
      <c r="X1123" s="2227"/>
      <c r="Y1123" s="2375">
        <v>7.2</v>
      </c>
      <c r="Z1123" s="2227">
        <v>7.2</v>
      </c>
      <c r="AA1123" s="2227">
        <v>7.2</v>
      </c>
      <c r="AB1123" s="1813">
        <v>8.0162959726442171</v>
      </c>
      <c r="AC1123" s="1813">
        <v>8.2960580500029604</v>
      </c>
      <c r="AD1123" s="2779">
        <v>7.838789123969689</v>
      </c>
      <c r="AE1123" s="2227"/>
      <c r="AF1123" s="2227"/>
      <c r="AG1123" s="626"/>
      <c r="AH1123" s="156"/>
      <c r="AI1123" s="156"/>
      <c r="AJ1123" s="156"/>
      <c r="AK1123" s="156"/>
      <c r="AL1123" s="156"/>
      <c r="AM1123" s="156"/>
      <c r="AN1123" s="156"/>
      <c r="AO1123" s="156"/>
      <c r="AP1123" s="156"/>
      <c r="AQ1123" s="156"/>
      <c r="AR1123" s="156"/>
      <c r="AS1123" s="156"/>
      <c r="AT1123" s="156"/>
      <c r="AU1123" s="156"/>
      <c r="AV1123" s="156"/>
      <c r="AW1123" s="156"/>
      <c r="AX1123" s="156"/>
      <c r="AY1123" s="156"/>
      <c r="AZ1123" s="156"/>
      <c r="BA1123" s="156"/>
      <c r="BB1123" s="2828"/>
      <c r="BC1123" s="452"/>
      <c r="BD1123" s="2829"/>
      <c r="BE1123" s="156"/>
      <c r="BF1123" s="156"/>
    </row>
    <row r="1124" spans="1:58" hidden="1" outlineLevel="1" x14ac:dyDescent="0.35">
      <c r="A1124" s="1071"/>
      <c r="B1124" s="106"/>
      <c r="C1124" s="103"/>
      <c r="D1124" s="4064" t="s">
        <v>978</v>
      </c>
      <c r="E1124" s="4021" t="s">
        <v>1084</v>
      </c>
      <c r="F1124" s="3934" t="str">
        <f t="shared" si="217"/>
        <v>Mini/MultiSplitAC_ER1_SF</v>
      </c>
      <c r="G1124" s="3935"/>
      <c r="H1124" s="3936"/>
      <c r="I1124" s="2671" t="str">
        <f t="shared" si="218"/>
        <v>351200_2021_12_</v>
      </c>
      <c r="J1124" s="2777">
        <v>19.833333333333332</v>
      </c>
      <c r="K1124" s="620"/>
      <c r="L1124" s="2780" t="s">
        <v>4378</v>
      </c>
      <c r="M1124" s="2809"/>
      <c r="N1124" s="1296"/>
      <c r="O1124" s="106"/>
      <c r="P1124" s="106"/>
      <c r="Q1124" s="106"/>
      <c r="R1124" s="106"/>
      <c r="S1124" s="106"/>
      <c r="T1124" s="106"/>
      <c r="U1124" s="106"/>
      <c r="V1124" s="4064" t="s">
        <v>978</v>
      </c>
      <c r="W1124" s="2228">
        <v>22.4</v>
      </c>
      <c r="X1124" s="2376">
        <v>23.17</v>
      </c>
      <c r="Y1124" s="2228">
        <v>23.17</v>
      </c>
      <c r="Z1124" s="2228">
        <v>23.17</v>
      </c>
      <c r="AA1124" s="2228">
        <v>23.17</v>
      </c>
      <c r="AB1124" s="1815">
        <v>23.17</v>
      </c>
      <c r="AC1124" s="2295">
        <v>19.833333333333332</v>
      </c>
      <c r="AD1124" s="2777">
        <v>19.833333333333332</v>
      </c>
      <c r="AE1124" s="2228"/>
      <c r="AF1124" s="2228"/>
      <c r="AG1124" s="622"/>
      <c r="AH1124" s="156"/>
      <c r="AI1124" s="156"/>
      <c r="AJ1124" s="156"/>
      <c r="AK1124" s="156"/>
      <c r="AL1124" s="156"/>
      <c r="AM1124" s="156"/>
      <c r="AN1124" s="156"/>
      <c r="AO1124" s="156"/>
      <c r="AP1124" s="156"/>
      <c r="AQ1124" s="156"/>
      <c r="AR1124" s="156"/>
      <c r="AS1124" s="156"/>
      <c r="AT1124" s="156"/>
      <c r="AU1124" s="156"/>
      <c r="AV1124" s="156"/>
      <c r="AW1124" s="156"/>
      <c r="AX1124" s="156"/>
      <c r="AY1124" s="156"/>
      <c r="AZ1124" s="156"/>
      <c r="BA1124" s="156"/>
      <c r="BB1124" s="2828"/>
      <c r="BC1124" s="452"/>
      <c r="BD1124" s="2829"/>
      <c r="BE1124" s="156"/>
      <c r="BF1124" s="156"/>
    </row>
    <row r="1125" spans="1:58" hidden="1" outlineLevel="1" x14ac:dyDescent="0.35">
      <c r="A1125" s="1071"/>
      <c r="B1125" s="106"/>
      <c r="C1125" s="103"/>
      <c r="D1125" s="4076"/>
      <c r="E1125" s="4022"/>
      <c r="F1125" s="3934" t="str">
        <f t="shared" si="217"/>
        <v>Mini/MultiSplitAC_ROF_SF</v>
      </c>
      <c r="G1125" s="3935"/>
      <c r="H1125" s="3936"/>
      <c r="I1125" s="2672" t="str">
        <f t="shared" si="218"/>
        <v>351250_2021_12_</v>
      </c>
      <c r="J1125" s="2779">
        <v>22.344444444444445</v>
      </c>
      <c r="K1125" s="623"/>
      <c r="L1125" s="2729" t="s">
        <v>4360</v>
      </c>
      <c r="M1125" s="2809"/>
      <c r="N1125" s="1296"/>
      <c r="O1125" s="106"/>
      <c r="P1125" s="106"/>
      <c r="Q1125" s="106"/>
      <c r="R1125" s="106"/>
      <c r="S1125" s="106"/>
      <c r="T1125" s="106"/>
      <c r="U1125" s="106"/>
      <c r="V1125" s="4076"/>
      <c r="W1125" s="2224">
        <v>21.6</v>
      </c>
      <c r="X1125" s="2374">
        <v>23.17</v>
      </c>
      <c r="Y1125" s="2224">
        <v>23.17</v>
      </c>
      <c r="Z1125" s="2224">
        <v>23.17</v>
      </c>
      <c r="AA1125" s="2224">
        <v>23.17</v>
      </c>
      <c r="AB1125" s="1811">
        <v>22.918750000000003</v>
      </c>
      <c r="AC1125" s="1811">
        <v>21.705000000000005</v>
      </c>
      <c r="AD1125" s="2779">
        <v>22.344444444444445</v>
      </c>
      <c r="AE1125" s="2224"/>
      <c r="AF1125" s="2224"/>
      <c r="AG1125" s="580"/>
      <c r="AH1125" s="156"/>
      <c r="AI1125" s="156"/>
      <c r="AJ1125" s="156"/>
      <c r="AK1125" s="156"/>
      <c r="AL1125" s="156"/>
      <c r="AM1125" s="156"/>
      <c r="AN1125" s="156"/>
      <c r="AO1125" s="156"/>
      <c r="AP1125" s="156"/>
      <c r="AQ1125" s="156"/>
      <c r="AR1125" s="156"/>
      <c r="AS1125" s="156"/>
      <c r="AT1125" s="156"/>
      <c r="AU1125" s="156"/>
      <c r="AV1125" s="156"/>
      <c r="AW1125" s="156"/>
      <c r="AX1125" s="156"/>
      <c r="AY1125" s="156"/>
      <c r="AZ1125" s="156"/>
      <c r="BA1125" s="156"/>
      <c r="BB1125" s="2828"/>
      <c r="BC1125" s="452"/>
      <c r="BD1125" s="2829"/>
      <c r="BE1125" s="156"/>
      <c r="BF1125" s="156"/>
    </row>
    <row r="1126" spans="1:58" hidden="1" outlineLevel="1" x14ac:dyDescent="0.35">
      <c r="A1126" s="1071"/>
      <c r="B1126" s="106"/>
      <c r="C1126" s="103"/>
      <c r="D1126" s="4076"/>
      <c r="E1126" s="4022"/>
      <c r="F1126" s="3934" t="str">
        <f t="shared" si="217"/>
        <v>Mini/MultiSplitASHP_ROF_SF_NC</v>
      </c>
      <c r="G1126" s="3935"/>
      <c r="H1126" s="3936"/>
      <c r="I1126" s="2672" t="str">
        <f t="shared" si="218"/>
        <v>351300_2021_12_</v>
      </c>
      <c r="J1126" s="2779">
        <v>22.166726618705052</v>
      </c>
      <c r="K1126" s="623"/>
      <c r="L1126" s="2729" t="s">
        <v>4360</v>
      </c>
      <c r="M1126" s="2809"/>
      <c r="N1126" s="1296"/>
      <c r="O1126" s="106"/>
      <c r="P1126" s="106"/>
      <c r="Q1126" s="106"/>
      <c r="R1126" s="106"/>
      <c r="S1126" s="106"/>
      <c r="T1126" s="106"/>
      <c r="U1126" s="106"/>
      <c r="V1126" s="4076"/>
      <c r="W1126" s="2224">
        <v>22.7</v>
      </c>
      <c r="X1126" s="2374">
        <v>23.17</v>
      </c>
      <c r="Y1126" s="2374">
        <v>19</v>
      </c>
      <c r="Z1126" s="2224">
        <v>19</v>
      </c>
      <c r="AA1126" s="2224">
        <v>19</v>
      </c>
      <c r="AB1126" s="1816">
        <v>19</v>
      </c>
      <c r="AC1126" s="1811">
        <v>22.316949152542367</v>
      </c>
      <c r="AD1126" s="2779">
        <v>22.166726618705052</v>
      </c>
      <c r="AE1126" s="2224"/>
      <c r="AF1126" s="2224"/>
      <c r="AG1126" s="580"/>
      <c r="AH1126" s="156"/>
      <c r="AI1126" s="156"/>
      <c r="AJ1126" s="156"/>
      <c r="AK1126" s="156"/>
      <c r="AL1126" s="156"/>
      <c r="AM1126" s="156"/>
      <c r="AN1126" s="156"/>
      <c r="AO1126" s="156"/>
      <c r="AP1126" s="156"/>
      <c r="AQ1126" s="156"/>
      <c r="AR1126" s="156"/>
      <c r="AS1126" s="156"/>
      <c r="AT1126" s="156"/>
      <c r="AU1126" s="156"/>
      <c r="AV1126" s="156"/>
      <c r="AW1126" s="156"/>
      <c r="AX1126" s="156"/>
      <c r="AY1126" s="156"/>
      <c r="AZ1126" s="156"/>
      <c r="BA1126" s="156"/>
      <c r="BB1126" s="2828"/>
      <c r="BC1126" s="452"/>
      <c r="BD1126" s="2829"/>
      <c r="BE1126" s="156"/>
      <c r="BF1126" s="156"/>
    </row>
    <row r="1127" spans="1:58" hidden="1" outlineLevel="1" x14ac:dyDescent="0.35">
      <c r="A1127" s="1071"/>
      <c r="B1127" s="106"/>
      <c r="C1127" s="103"/>
      <c r="D1127" s="4076"/>
      <c r="E1127" s="4022"/>
      <c r="F1127" s="3934" t="str">
        <f t="shared" si="217"/>
        <v>Mini/MultiSplitASHP_ROF_SF</v>
      </c>
      <c r="G1127" s="3935"/>
      <c r="H1127" s="3936"/>
      <c r="I1127" s="2672" t="str">
        <f t="shared" si="218"/>
        <v>351350_2021_12_</v>
      </c>
      <c r="J1127" s="2779">
        <v>22.166726618705052</v>
      </c>
      <c r="K1127" s="623"/>
      <c r="L1127" s="2729" t="s">
        <v>4360</v>
      </c>
      <c r="M1127" s="1292"/>
      <c r="N1127" s="1296"/>
      <c r="O1127" s="106"/>
      <c r="P1127" s="106"/>
      <c r="Q1127" s="106"/>
      <c r="R1127" s="106"/>
      <c r="S1127" s="106"/>
      <c r="T1127" s="106"/>
      <c r="U1127" s="106"/>
      <c r="V1127" s="4076"/>
      <c r="W1127" s="2224">
        <v>22.7</v>
      </c>
      <c r="X1127" s="2374">
        <v>23.17</v>
      </c>
      <c r="Y1127" s="2374">
        <v>19</v>
      </c>
      <c r="Z1127" s="2224">
        <v>19</v>
      </c>
      <c r="AA1127" s="2224">
        <v>19</v>
      </c>
      <c r="AB1127" s="1811">
        <v>22.519480519480521</v>
      </c>
      <c r="AC1127" s="1811">
        <v>23.175000000000001</v>
      </c>
      <c r="AD1127" s="2779">
        <v>22.166726618705052</v>
      </c>
      <c r="AE1127" s="2224"/>
      <c r="AF1127" s="2224"/>
      <c r="AG1127" s="580"/>
      <c r="AH1127" s="156"/>
      <c r="AI1127" s="156"/>
      <c r="AJ1127" s="156"/>
      <c r="AK1127" s="156"/>
      <c r="AL1127" s="156"/>
      <c r="AM1127" s="156"/>
      <c r="AN1127" s="156"/>
      <c r="AO1127" s="156"/>
      <c r="AP1127" s="156"/>
      <c r="AQ1127" s="156"/>
      <c r="AR1127" s="156"/>
      <c r="AS1127" s="156"/>
      <c r="AT1127" s="156"/>
      <c r="AU1127" s="156"/>
      <c r="AV1127" s="156"/>
      <c r="AW1127" s="156"/>
      <c r="AX1127" s="156"/>
      <c r="AY1127" s="156"/>
      <c r="AZ1127" s="156"/>
      <c r="BA1127" s="156"/>
      <c r="BB1127" s="2828"/>
      <c r="BC1127" s="452"/>
      <c r="BD1127" s="2829"/>
      <c r="BE1127" s="156"/>
      <c r="BF1127" s="156"/>
    </row>
    <row r="1128" spans="1:58" hidden="1" outlineLevel="1" x14ac:dyDescent="0.35">
      <c r="A1128" s="1071"/>
      <c r="B1128" s="106"/>
      <c r="C1128" s="103"/>
      <c r="D1128" s="4076"/>
      <c r="E1128" s="4022"/>
      <c r="F1128" s="3934" t="str">
        <f t="shared" si="217"/>
        <v>Mini/MultiSplitASHP-Replace_CAC_ElectricHeat_ER1_SF</v>
      </c>
      <c r="G1128" s="3935"/>
      <c r="H1128" s="3936"/>
      <c r="I1128" s="2672" t="str">
        <f t="shared" si="218"/>
        <v>351400_2021_12_</v>
      </c>
      <c r="J1128" s="2779">
        <v>21.870909090909091</v>
      </c>
      <c r="K1128" s="623"/>
      <c r="L1128" s="2729" t="s">
        <v>4360</v>
      </c>
      <c r="M1128" s="1292"/>
      <c r="N1128" s="1296"/>
      <c r="O1128" s="106"/>
      <c r="P1128" s="106"/>
      <c r="Q1128" s="106"/>
      <c r="R1128" s="106"/>
      <c r="S1128" s="106"/>
      <c r="T1128" s="106"/>
      <c r="U1128" s="106"/>
      <c r="V1128" s="4076"/>
      <c r="W1128" s="2224">
        <v>22.4</v>
      </c>
      <c r="X1128" s="2374">
        <v>23.17</v>
      </c>
      <c r="Y1128" s="2374">
        <v>22.63</v>
      </c>
      <c r="Z1128" s="2224">
        <v>22.63</v>
      </c>
      <c r="AA1128" s="2224">
        <v>22.63</v>
      </c>
      <c r="AB1128" s="1811">
        <v>22.429399999999998</v>
      </c>
      <c r="AC1128" s="1811">
        <v>21.460465116279071</v>
      </c>
      <c r="AD1128" s="2779">
        <v>21.870909090909091</v>
      </c>
      <c r="AE1128" s="2224"/>
      <c r="AF1128" s="2224"/>
      <c r="AG1128" s="580"/>
      <c r="AH1128" s="156"/>
      <c r="AI1128" s="156"/>
      <c r="AJ1128" s="156"/>
      <c r="AK1128" s="156"/>
      <c r="AL1128" s="156"/>
      <c r="AM1128" s="156"/>
      <c r="AN1128" s="156"/>
      <c r="AO1128" s="156"/>
      <c r="AP1128" s="156"/>
      <c r="AQ1128" s="156"/>
      <c r="AR1128" s="156"/>
      <c r="AS1128" s="156"/>
      <c r="AT1128" s="156"/>
      <c r="AU1128" s="156"/>
      <c r="AV1128" s="156"/>
      <c r="AW1128" s="156"/>
      <c r="AX1128" s="156"/>
      <c r="AY1128" s="156"/>
      <c r="AZ1128" s="156"/>
      <c r="BA1128" s="156"/>
      <c r="BB1128" s="2828"/>
      <c r="BC1128" s="452"/>
      <c r="BD1128" s="2829"/>
      <c r="BE1128" s="156"/>
      <c r="BF1128" s="156"/>
    </row>
    <row r="1129" spans="1:58" hidden="1" outlineLevel="1" x14ac:dyDescent="0.35">
      <c r="A1129" s="1071"/>
      <c r="B1129" s="106"/>
      <c r="C1129" s="103"/>
      <c r="D1129" s="4076"/>
      <c r="E1129" s="4022"/>
      <c r="F1129" s="3934" t="str">
        <f t="shared" si="217"/>
        <v>Mini/MultiSplitASHP-Replace_CAC_ElectricHeat_ROF_SF</v>
      </c>
      <c r="G1129" s="3935"/>
      <c r="H1129" s="3936"/>
      <c r="I1129" s="2672" t="str">
        <f t="shared" si="218"/>
        <v>351450_2021_12_</v>
      </c>
      <c r="J1129" s="2779">
        <v>22.166726618705052</v>
      </c>
      <c r="K1129" s="623"/>
      <c r="L1129" s="2729" t="s">
        <v>4360</v>
      </c>
      <c r="M1129" s="1292"/>
      <c r="N1129" s="1296"/>
      <c r="O1129" s="106"/>
      <c r="P1129" s="106"/>
      <c r="Q1129" s="106"/>
      <c r="R1129" s="106"/>
      <c r="S1129" s="106"/>
      <c r="T1129" s="106"/>
      <c r="U1129" s="106"/>
      <c r="V1129" s="4076"/>
      <c r="W1129" s="2224">
        <v>21.6</v>
      </c>
      <c r="X1129" s="2374">
        <v>23.17</v>
      </c>
      <c r="Y1129" s="2374">
        <v>22.77</v>
      </c>
      <c r="Z1129" s="2224">
        <v>22.77</v>
      </c>
      <c r="AA1129" s="2224">
        <v>22.77</v>
      </c>
      <c r="AB1129" s="1811">
        <v>23.193333333333332</v>
      </c>
      <c r="AC1129" s="1811">
        <v>22.146153846153844</v>
      </c>
      <c r="AD1129" s="2779">
        <v>22.166726618705052</v>
      </c>
      <c r="AE1129" s="2224"/>
      <c r="AF1129" s="2224"/>
      <c r="AG1129" s="580"/>
      <c r="AH1129" s="156"/>
      <c r="AI1129" s="156"/>
      <c r="AJ1129" s="156"/>
      <c r="AK1129" s="156"/>
      <c r="AL1129" s="156"/>
      <c r="AM1129" s="156"/>
      <c r="AN1129" s="156"/>
      <c r="AO1129" s="156"/>
      <c r="AP1129" s="156"/>
      <c r="AQ1129" s="156"/>
      <c r="AR1129" s="156"/>
      <c r="AS1129" s="156"/>
      <c r="AT1129" s="156"/>
      <c r="AU1129" s="156"/>
      <c r="AV1129" s="156"/>
      <c r="AW1129" s="156"/>
      <c r="AX1129" s="156"/>
      <c r="AY1129" s="156"/>
      <c r="AZ1129" s="156"/>
      <c r="BA1129" s="156"/>
      <c r="BB1129" s="2828"/>
      <c r="BC1129" s="452"/>
      <c r="BD1129" s="2829"/>
      <c r="BE1129" s="156"/>
      <c r="BF1129" s="156"/>
    </row>
    <row r="1130" spans="1:58" hidden="1" outlineLevel="1" x14ac:dyDescent="0.35">
      <c r="A1130" s="1071"/>
      <c r="B1130" s="106"/>
      <c r="C1130" s="103"/>
      <c r="D1130" s="4076"/>
      <c r="E1130" s="4022"/>
      <c r="F1130" s="3937" t="str">
        <f t="shared" ref="F1130:F1131" si="219">F1103</f>
        <v>Mini/MultiSplitASHP-Replace_CAC_NonElectricHeat_ER1_SF</v>
      </c>
      <c r="G1130" s="3938"/>
      <c r="H1130" s="3939"/>
      <c r="I1130" s="2755" t="str">
        <f t="shared" si="218"/>
        <v>351401_2022_12_</v>
      </c>
      <c r="J1130" s="2779">
        <f>J1128</f>
        <v>21.870909090909091</v>
      </c>
      <c r="K1130" s="623"/>
      <c r="L1130" s="2757" t="s">
        <v>1083</v>
      </c>
      <c r="M1130" s="1292"/>
      <c r="N1130" s="1296"/>
      <c r="O1130" s="106"/>
      <c r="P1130" s="106"/>
      <c r="Q1130" s="106"/>
      <c r="R1130" s="106"/>
      <c r="S1130" s="106"/>
      <c r="T1130" s="106"/>
      <c r="U1130" s="106"/>
      <c r="V1130" s="4076"/>
      <c r="W1130" s="2224"/>
      <c r="X1130" s="2374"/>
      <c r="Y1130" s="2374"/>
      <c r="Z1130" s="2224"/>
      <c r="AA1130" s="2224"/>
      <c r="AB1130" s="1811"/>
      <c r="AC1130" s="1811"/>
      <c r="AD1130" s="2779">
        <v>21.870909090909091</v>
      </c>
      <c r="AE1130" s="2224"/>
      <c r="AF1130" s="2224"/>
      <c r="AG1130" s="580"/>
      <c r="AH1130" s="156"/>
      <c r="AI1130" s="156"/>
      <c r="AJ1130" s="156"/>
      <c r="AK1130" s="156"/>
      <c r="AL1130" s="156"/>
      <c r="AM1130" s="156"/>
      <c r="AN1130" s="156"/>
      <c r="AO1130" s="156"/>
      <c r="AP1130" s="156"/>
      <c r="AQ1130" s="156"/>
      <c r="AR1130" s="156"/>
      <c r="AS1130" s="156"/>
      <c r="AT1130" s="156"/>
      <c r="AU1130" s="156"/>
      <c r="AV1130" s="156"/>
      <c r="AW1130" s="156"/>
      <c r="AX1130" s="156"/>
      <c r="AY1130" s="156"/>
      <c r="AZ1130" s="156"/>
      <c r="BA1130" s="156"/>
      <c r="BB1130" s="2828"/>
      <c r="BC1130" s="452"/>
      <c r="BD1130" s="2829"/>
      <c r="BE1130" s="156"/>
      <c r="BF1130" s="156"/>
    </row>
    <row r="1131" spans="1:58" hidden="1" outlineLevel="1" x14ac:dyDescent="0.35">
      <c r="A1131" s="1071"/>
      <c r="B1131" s="106"/>
      <c r="C1131" s="103"/>
      <c r="D1131" s="4076"/>
      <c r="E1131" s="4022"/>
      <c r="F1131" s="3937" t="str">
        <f t="shared" si="219"/>
        <v>Mini/MultiSplitASHP-Replace_CAC_NonElectricHeat_ROF_SF</v>
      </c>
      <c r="G1131" s="3938"/>
      <c r="H1131" s="3939"/>
      <c r="I1131" s="2755" t="str">
        <f t="shared" si="218"/>
        <v>351451_2022_12_</v>
      </c>
      <c r="J1131" s="2779">
        <f>J1129</f>
        <v>22.166726618705052</v>
      </c>
      <c r="K1131" s="623"/>
      <c r="L1131" s="2757" t="s">
        <v>1083</v>
      </c>
      <c r="M1131" s="1292"/>
      <c r="N1131" s="1296"/>
      <c r="O1131" s="106"/>
      <c r="P1131" s="106"/>
      <c r="Q1131" s="106"/>
      <c r="R1131" s="106"/>
      <c r="S1131" s="106"/>
      <c r="T1131" s="106"/>
      <c r="U1131" s="106"/>
      <c r="V1131" s="4076"/>
      <c r="W1131" s="2224"/>
      <c r="X1131" s="2374"/>
      <c r="Y1131" s="2374"/>
      <c r="Z1131" s="2224"/>
      <c r="AA1131" s="2224"/>
      <c r="AB1131" s="1811"/>
      <c r="AC1131" s="1811"/>
      <c r="AD1131" s="2779">
        <v>22.166726618705052</v>
      </c>
      <c r="AE1131" s="2224"/>
      <c r="AF1131" s="2224"/>
      <c r="AG1131" s="580"/>
      <c r="AH1131" s="156"/>
      <c r="AI1131" s="156"/>
      <c r="AJ1131" s="156"/>
      <c r="AK1131" s="156"/>
      <c r="AL1131" s="156"/>
      <c r="AM1131" s="156"/>
      <c r="AN1131" s="156"/>
      <c r="AO1131" s="156"/>
      <c r="AP1131" s="156"/>
      <c r="AQ1131" s="156"/>
      <c r="AR1131" s="156"/>
      <c r="AS1131" s="156"/>
      <c r="AT1131" s="156"/>
      <c r="AU1131" s="156"/>
      <c r="AV1131" s="156"/>
      <c r="AW1131" s="156"/>
      <c r="AX1131" s="156"/>
      <c r="AY1131" s="156"/>
      <c r="AZ1131" s="156"/>
      <c r="BA1131" s="156"/>
      <c r="BB1131" s="2828"/>
      <c r="BC1131" s="452"/>
      <c r="BD1131" s="2829"/>
      <c r="BE1131" s="156"/>
      <c r="BF1131" s="156"/>
    </row>
    <row r="1132" spans="1:58" hidden="1" outlineLevel="1" x14ac:dyDescent="0.35">
      <c r="A1132" s="1071"/>
      <c r="B1132" s="106"/>
      <c r="C1132" s="103"/>
      <c r="D1132" s="4076"/>
      <c r="E1132" s="4022"/>
      <c r="F1132" s="3934" t="str">
        <f t="shared" ref="F1132:F1138" si="220">F1105</f>
        <v>Mini/MultiSplitASHP_ER1_SF</v>
      </c>
      <c r="G1132" s="3935"/>
      <c r="H1132" s="3936"/>
      <c r="I1132" s="2672" t="str">
        <f t="shared" ref="I1132:I1140" si="221">I1105</f>
        <v>351500_2021_12_</v>
      </c>
      <c r="J1132" s="2779">
        <v>21.870909090909091</v>
      </c>
      <c r="K1132" s="623"/>
      <c r="L1132" s="2729" t="s">
        <v>4360</v>
      </c>
      <c r="M1132" s="1304"/>
      <c r="N1132" s="1296"/>
      <c r="O1132" s="106"/>
      <c r="P1132" s="106"/>
      <c r="Q1132" s="106"/>
      <c r="R1132" s="106"/>
      <c r="S1132" s="106"/>
      <c r="T1132" s="106"/>
      <c r="U1132" s="106"/>
      <c r="V1132" s="4076"/>
      <c r="W1132" s="2224">
        <v>21.2</v>
      </c>
      <c r="X1132" s="2374">
        <v>23.17</v>
      </c>
      <c r="Y1132" s="2374">
        <v>27.01</v>
      </c>
      <c r="Z1132" s="2224">
        <v>27.01</v>
      </c>
      <c r="AA1132" s="2224">
        <v>27.01</v>
      </c>
      <c r="AB1132" s="1811">
        <v>22.249999999999996</v>
      </c>
      <c r="AC1132" s="1811">
        <v>21.90909090909091</v>
      </c>
      <c r="AD1132" s="2779">
        <v>21.870909090909091</v>
      </c>
      <c r="AE1132" s="2224"/>
      <c r="AF1132" s="2224"/>
      <c r="AG1132" s="580"/>
      <c r="AH1132" s="156"/>
      <c r="AI1132" s="156"/>
      <c r="AJ1132" s="156"/>
      <c r="AK1132" s="156"/>
      <c r="AL1132" s="156"/>
      <c r="AM1132" s="156"/>
      <c r="AN1132" s="156"/>
      <c r="AO1132" s="156"/>
      <c r="AP1132" s="156"/>
      <c r="AQ1132" s="156"/>
      <c r="AR1132" s="156"/>
      <c r="AS1132" s="156"/>
      <c r="AT1132" s="156"/>
      <c r="AU1132" s="156"/>
      <c r="AV1132" s="156"/>
      <c r="AW1132" s="156"/>
      <c r="AX1132" s="156"/>
      <c r="AY1132" s="156"/>
      <c r="AZ1132" s="156"/>
      <c r="BA1132" s="156"/>
      <c r="BB1132" s="2828"/>
      <c r="BC1132" s="452"/>
      <c r="BD1132" s="2829"/>
      <c r="BE1132" s="156"/>
      <c r="BF1132" s="156"/>
    </row>
    <row r="1133" spans="1:58" hidden="1" outlineLevel="1" x14ac:dyDescent="0.35">
      <c r="A1133" s="1071"/>
      <c r="B1133" s="106"/>
      <c r="C1133" s="103"/>
      <c r="D1133" s="4076"/>
      <c r="E1133" s="4022"/>
      <c r="F1133" s="3934" t="str">
        <f t="shared" si="220"/>
        <v>Mini/MultiSplitAC_ER1_MF</v>
      </c>
      <c r="G1133" s="3935"/>
      <c r="H1133" s="3936"/>
      <c r="I1133" s="2672" t="str">
        <f t="shared" si="221"/>
        <v>351550_2021_12_</v>
      </c>
      <c r="J1133" s="2779">
        <f>J1124</f>
        <v>19.833333333333332</v>
      </c>
      <c r="K1133" s="623"/>
      <c r="L1133" s="1809" t="s">
        <v>1083</v>
      </c>
      <c r="M1133" s="1304"/>
      <c r="N1133" s="1296"/>
      <c r="O1133" s="106"/>
      <c r="P1133" s="106"/>
      <c r="Q1133" s="106"/>
      <c r="R1133" s="106"/>
      <c r="S1133" s="106"/>
      <c r="T1133" s="106"/>
      <c r="U1133" s="106"/>
      <c r="V1133" s="4076"/>
      <c r="W1133" s="2224"/>
      <c r="X1133" s="2374"/>
      <c r="Y1133" s="2374">
        <v>23.17</v>
      </c>
      <c r="Z1133" s="2224">
        <v>23.17</v>
      </c>
      <c r="AA1133" s="2224">
        <v>23.17</v>
      </c>
      <c r="AB1133" s="1816">
        <v>23.17</v>
      </c>
      <c r="AC1133" s="1811">
        <v>19.833333333333332</v>
      </c>
      <c r="AD1133" s="2779">
        <v>19.833333333333332</v>
      </c>
      <c r="AE1133" s="2224"/>
      <c r="AF1133" s="2224"/>
      <c r="AG1133" s="580"/>
      <c r="AH1133" s="156"/>
      <c r="AI1133" s="156"/>
      <c r="AJ1133" s="156"/>
      <c r="AK1133" s="156"/>
      <c r="AL1133" s="156"/>
      <c r="AM1133" s="156"/>
      <c r="AN1133" s="156"/>
      <c r="AO1133" s="156"/>
      <c r="AP1133" s="156"/>
      <c r="AQ1133" s="156"/>
      <c r="AR1133" s="156"/>
      <c r="AS1133" s="156"/>
      <c r="AT1133" s="156"/>
      <c r="AU1133" s="156"/>
      <c r="AV1133" s="156"/>
      <c r="AW1133" s="156"/>
      <c r="AX1133" s="156"/>
      <c r="AY1133" s="156"/>
      <c r="AZ1133" s="156"/>
      <c r="BA1133" s="156"/>
      <c r="BB1133" s="2828"/>
      <c r="BC1133" s="452"/>
      <c r="BD1133" s="2829"/>
      <c r="BE1133" s="156"/>
      <c r="BF1133" s="156"/>
    </row>
    <row r="1134" spans="1:58" hidden="1" outlineLevel="1" x14ac:dyDescent="0.35">
      <c r="A1134" s="1071"/>
      <c r="B1134" s="106"/>
      <c r="C1134" s="103"/>
      <c r="D1134" s="4076"/>
      <c r="E1134" s="4022"/>
      <c r="F1134" s="3934" t="str">
        <f t="shared" si="220"/>
        <v>Mini/MultiSplitAC_ROF_MF</v>
      </c>
      <c r="G1134" s="3935"/>
      <c r="H1134" s="3936"/>
      <c r="I1134" s="2672" t="str">
        <f t="shared" si="221"/>
        <v>351600_2021_12_</v>
      </c>
      <c r="J1134" s="2779">
        <f>J1125</f>
        <v>22.344444444444445</v>
      </c>
      <c r="K1134" s="623"/>
      <c r="L1134" s="1809" t="s">
        <v>1083</v>
      </c>
      <c r="M1134" s="1304"/>
      <c r="N1134" s="1296"/>
      <c r="O1134" s="106"/>
      <c r="P1134" s="106"/>
      <c r="Q1134" s="106"/>
      <c r="R1134" s="106"/>
      <c r="S1134" s="106"/>
      <c r="T1134" s="106"/>
      <c r="U1134" s="106"/>
      <c r="V1134" s="4076"/>
      <c r="W1134" s="2224"/>
      <c r="X1134" s="2374"/>
      <c r="Y1134" s="2374">
        <v>23.17</v>
      </c>
      <c r="Z1134" s="2224">
        <v>23.17</v>
      </c>
      <c r="AA1134" s="2224">
        <v>23.17</v>
      </c>
      <c r="AB1134" s="1811">
        <v>22.918750000000003</v>
      </c>
      <c r="AC1134" s="1811">
        <v>21.705000000000005</v>
      </c>
      <c r="AD1134" s="2779">
        <v>22.344444444444445</v>
      </c>
      <c r="AE1134" s="2224"/>
      <c r="AF1134" s="2224"/>
      <c r="AG1134" s="580"/>
      <c r="AH1134" s="156"/>
      <c r="AI1134" s="156"/>
      <c r="AJ1134" s="156"/>
      <c r="AK1134" s="156"/>
      <c r="AL1134" s="156"/>
      <c r="AM1134" s="156"/>
      <c r="AN1134" s="156"/>
      <c r="AO1134" s="156"/>
      <c r="AP1134" s="156"/>
      <c r="AQ1134" s="156"/>
      <c r="AR1134" s="156"/>
      <c r="AS1134" s="156"/>
      <c r="AT1134" s="156"/>
      <c r="AU1134" s="156"/>
      <c r="AV1134" s="156"/>
      <c r="AW1134" s="156"/>
      <c r="AX1134" s="156"/>
      <c r="AY1134" s="156"/>
      <c r="AZ1134" s="156"/>
      <c r="BA1134" s="156"/>
      <c r="BB1134" s="2828"/>
      <c r="BC1134" s="452"/>
      <c r="BD1134" s="2829"/>
      <c r="BE1134" s="156"/>
      <c r="BF1134" s="156"/>
    </row>
    <row r="1135" spans="1:58" hidden="1" outlineLevel="1" x14ac:dyDescent="0.35">
      <c r="A1135" s="1071"/>
      <c r="B1135" s="106"/>
      <c r="C1135" s="103"/>
      <c r="D1135" s="4076"/>
      <c r="E1135" s="4022"/>
      <c r="F1135" s="3934" t="str">
        <f t="shared" si="220"/>
        <v>Mini/MultiSplitASHP_ROF_MF_NC</v>
      </c>
      <c r="G1135" s="3935"/>
      <c r="H1135" s="3936"/>
      <c r="I1135" s="2672" t="str">
        <f t="shared" si="221"/>
        <v>351650_2021_12_</v>
      </c>
      <c r="J1135" s="2779">
        <v>20.5</v>
      </c>
      <c r="K1135" s="623"/>
      <c r="L1135" s="2729" t="s">
        <v>4360</v>
      </c>
      <c r="M1135" s="1304"/>
      <c r="N1135" s="1296"/>
      <c r="O1135" s="106"/>
      <c r="P1135" s="106"/>
      <c r="Q1135" s="106"/>
      <c r="R1135" s="106"/>
      <c r="S1135" s="106"/>
      <c r="T1135" s="106"/>
      <c r="U1135" s="106"/>
      <c r="V1135" s="4076"/>
      <c r="W1135" s="2224"/>
      <c r="X1135" s="2374"/>
      <c r="Y1135" s="2374">
        <v>19</v>
      </c>
      <c r="Z1135" s="2224">
        <v>19</v>
      </c>
      <c r="AA1135" s="2224">
        <v>19</v>
      </c>
      <c r="AB1135" s="1816">
        <v>19</v>
      </c>
      <c r="AC1135" s="1811">
        <v>22.316949152542367</v>
      </c>
      <c r="AD1135" s="2779">
        <v>20.5</v>
      </c>
      <c r="AE1135" s="2224"/>
      <c r="AF1135" s="2224"/>
      <c r="AG1135" s="580"/>
      <c r="AH1135" s="156"/>
      <c r="AI1135" s="156"/>
      <c r="AJ1135" s="156"/>
      <c r="AK1135" s="156"/>
      <c r="AL1135" s="156"/>
      <c r="AM1135" s="156"/>
      <c r="AN1135" s="156"/>
      <c r="AO1135" s="156"/>
      <c r="AP1135" s="156"/>
      <c r="AQ1135" s="156"/>
      <c r="AR1135" s="156"/>
      <c r="AS1135" s="156"/>
      <c r="AT1135" s="156"/>
      <c r="AU1135" s="156"/>
      <c r="AV1135" s="156"/>
      <c r="AW1135" s="156"/>
      <c r="AX1135" s="156"/>
      <c r="AY1135" s="156"/>
      <c r="AZ1135" s="156"/>
      <c r="BA1135" s="156"/>
      <c r="BB1135" s="2828"/>
      <c r="BC1135" s="452"/>
      <c r="BD1135" s="2829"/>
      <c r="BE1135" s="156"/>
      <c r="BF1135" s="156"/>
    </row>
    <row r="1136" spans="1:58" hidden="1" outlineLevel="1" x14ac:dyDescent="0.35">
      <c r="A1136" s="1071"/>
      <c r="B1136" s="106"/>
      <c r="C1136" s="103"/>
      <c r="D1136" s="4076"/>
      <c r="E1136" s="4022"/>
      <c r="F1136" s="3934" t="str">
        <f t="shared" si="220"/>
        <v>Mini/MultiSplitASHP_ROF_MF</v>
      </c>
      <c r="G1136" s="3935"/>
      <c r="H1136" s="3936"/>
      <c r="I1136" s="2672" t="str">
        <f t="shared" si="221"/>
        <v>351700_2021_12_</v>
      </c>
      <c r="J1136" s="2779">
        <v>20.5</v>
      </c>
      <c r="K1136" s="623"/>
      <c r="L1136" s="2729" t="s">
        <v>4360</v>
      </c>
      <c r="M1136" s="1304"/>
      <c r="N1136" s="1296"/>
      <c r="O1136" s="106"/>
      <c r="P1136" s="106"/>
      <c r="Q1136" s="106"/>
      <c r="R1136" s="106"/>
      <c r="S1136" s="106"/>
      <c r="T1136" s="106"/>
      <c r="U1136" s="106"/>
      <c r="V1136" s="4076"/>
      <c r="W1136" s="2224"/>
      <c r="X1136" s="2374"/>
      <c r="Y1136" s="2374">
        <v>19</v>
      </c>
      <c r="Z1136" s="2224">
        <v>19</v>
      </c>
      <c r="AA1136" s="2224">
        <v>19</v>
      </c>
      <c r="AB1136" s="1811">
        <v>22.519480519480521</v>
      </c>
      <c r="AC1136" s="1811">
        <v>23.175000000000001</v>
      </c>
      <c r="AD1136" s="2779">
        <v>20.5</v>
      </c>
      <c r="AE1136" s="2224"/>
      <c r="AF1136" s="2224"/>
      <c r="AG1136" s="580"/>
      <c r="AH1136" s="156"/>
      <c r="AI1136" s="156"/>
      <c r="AJ1136" s="156"/>
      <c r="AK1136" s="156"/>
      <c r="AL1136" s="156"/>
      <c r="AM1136" s="156"/>
      <c r="AN1136" s="156"/>
      <c r="AO1136" s="156"/>
      <c r="AP1136" s="156"/>
      <c r="AQ1136" s="156"/>
      <c r="AR1136" s="156"/>
      <c r="AS1136" s="156"/>
      <c r="AT1136" s="156"/>
      <c r="AU1136" s="156"/>
      <c r="AV1136" s="156"/>
      <c r="AW1136" s="156"/>
      <c r="AX1136" s="156"/>
      <c r="AY1136" s="156"/>
      <c r="AZ1136" s="156"/>
      <c r="BA1136" s="156"/>
      <c r="BB1136" s="2828"/>
      <c r="BC1136" s="452"/>
      <c r="BD1136" s="2829"/>
      <c r="BE1136" s="156"/>
      <c r="BF1136" s="156"/>
    </row>
    <row r="1137" spans="1:58" hidden="1" outlineLevel="1" x14ac:dyDescent="0.35">
      <c r="A1137" s="1071"/>
      <c r="B1137" s="106"/>
      <c r="C1137" s="103"/>
      <c r="D1137" s="4076"/>
      <c r="E1137" s="4022"/>
      <c r="F1137" s="3934" t="str">
        <f t="shared" si="220"/>
        <v>Mini/MultiSplitASHP-Replace_CAC_ElectricHeat_ER1_MF</v>
      </c>
      <c r="G1137" s="3935"/>
      <c r="H1137" s="3936"/>
      <c r="I1137" s="2672" t="str">
        <f t="shared" si="221"/>
        <v>351750_2021_12_</v>
      </c>
      <c r="J1137" s="2779">
        <f>J1138</f>
        <v>20.5</v>
      </c>
      <c r="K1137" s="623"/>
      <c r="L1137" s="1809" t="s">
        <v>1083</v>
      </c>
      <c r="M1137" s="1304"/>
      <c r="N1137" s="1296"/>
      <c r="O1137" s="106"/>
      <c r="P1137" s="106"/>
      <c r="Q1137" s="106"/>
      <c r="R1137" s="106"/>
      <c r="S1137" s="106"/>
      <c r="T1137" s="106"/>
      <c r="U1137" s="106"/>
      <c r="V1137" s="4076"/>
      <c r="W1137" s="2224"/>
      <c r="X1137" s="2374"/>
      <c r="Y1137" s="2374">
        <v>22.63</v>
      </c>
      <c r="Z1137" s="2224">
        <v>22.63</v>
      </c>
      <c r="AA1137" s="2224">
        <v>22.63</v>
      </c>
      <c r="AB1137" s="1811">
        <v>22.429399999999998</v>
      </c>
      <c r="AC1137" s="1811">
        <v>21.460465116279071</v>
      </c>
      <c r="AD1137" s="2779">
        <v>20.5</v>
      </c>
      <c r="AE1137" s="2224"/>
      <c r="AF1137" s="2224"/>
      <c r="AG1137" s="580"/>
      <c r="AH1137" s="156"/>
      <c r="AI1137" s="156"/>
      <c r="AJ1137" s="156"/>
      <c r="AK1137" s="156"/>
      <c r="AL1137" s="156"/>
      <c r="AM1137" s="156"/>
      <c r="AN1137" s="156"/>
      <c r="AO1137" s="156"/>
      <c r="AP1137" s="156"/>
      <c r="AQ1137" s="156"/>
      <c r="AR1137" s="156"/>
      <c r="AS1137" s="156"/>
      <c r="AT1137" s="156"/>
      <c r="AU1137" s="156"/>
      <c r="AV1137" s="156"/>
      <c r="AW1137" s="156"/>
      <c r="AX1137" s="156"/>
      <c r="AY1137" s="156"/>
      <c r="AZ1137" s="156"/>
      <c r="BA1137" s="156"/>
      <c r="BB1137" s="2828"/>
      <c r="BC1137" s="452"/>
      <c r="BD1137" s="2829"/>
      <c r="BE1137" s="156"/>
      <c r="BF1137" s="156"/>
    </row>
    <row r="1138" spans="1:58" hidden="1" outlineLevel="1" x14ac:dyDescent="0.35">
      <c r="A1138" s="1071"/>
      <c r="B1138" s="106"/>
      <c r="C1138" s="103"/>
      <c r="D1138" s="4076"/>
      <c r="E1138" s="4022"/>
      <c r="F1138" s="3934" t="str">
        <f t="shared" si="220"/>
        <v>Mini/MultiSplitASHP-Replace_CAC_ElectricHeat_ROF_MF</v>
      </c>
      <c r="G1138" s="3935"/>
      <c r="H1138" s="3936"/>
      <c r="I1138" s="2672" t="str">
        <f t="shared" si="221"/>
        <v>351800_2021_12_</v>
      </c>
      <c r="J1138" s="2779">
        <v>20.5</v>
      </c>
      <c r="K1138" s="623"/>
      <c r="L1138" s="2729" t="s">
        <v>4360</v>
      </c>
      <c r="M1138" s="1304"/>
      <c r="N1138" s="1296"/>
      <c r="O1138" s="106"/>
      <c r="P1138" s="106"/>
      <c r="Q1138" s="106"/>
      <c r="R1138" s="106"/>
      <c r="S1138" s="106"/>
      <c r="T1138" s="106"/>
      <c r="U1138" s="106"/>
      <c r="V1138" s="4076"/>
      <c r="W1138" s="2224"/>
      <c r="X1138" s="2374"/>
      <c r="Y1138" s="2374">
        <v>22.77</v>
      </c>
      <c r="Z1138" s="2224">
        <v>22.77</v>
      </c>
      <c r="AA1138" s="2224">
        <v>22.77</v>
      </c>
      <c r="AB1138" s="1811">
        <v>23.193333333333332</v>
      </c>
      <c r="AC1138" s="1811">
        <v>22.146153846153844</v>
      </c>
      <c r="AD1138" s="2779">
        <v>20.5</v>
      </c>
      <c r="AE1138" s="2224"/>
      <c r="AF1138" s="2224"/>
      <c r="AG1138" s="580"/>
      <c r="AH1138" s="156"/>
      <c r="AI1138" s="156"/>
      <c r="AJ1138" s="156"/>
      <c r="AK1138" s="156"/>
      <c r="AL1138" s="156"/>
      <c r="AM1138" s="156"/>
      <c r="AN1138" s="156"/>
      <c r="AO1138" s="156"/>
      <c r="AP1138" s="156"/>
      <c r="AQ1138" s="156"/>
      <c r="AR1138" s="156"/>
      <c r="AS1138" s="156"/>
      <c r="AT1138" s="156"/>
      <c r="AU1138" s="156"/>
      <c r="AV1138" s="156"/>
      <c r="AW1138" s="156"/>
      <c r="AX1138" s="156"/>
      <c r="AY1138" s="156"/>
      <c r="AZ1138" s="156"/>
      <c r="BA1138" s="156"/>
      <c r="BB1138" s="2828"/>
      <c r="BC1138" s="452"/>
      <c r="BD1138" s="2829"/>
      <c r="BE1138" s="156"/>
      <c r="BF1138" s="156"/>
    </row>
    <row r="1139" spans="1:58" hidden="1" outlineLevel="1" x14ac:dyDescent="0.35">
      <c r="A1139" s="1071"/>
      <c r="B1139" s="106"/>
      <c r="C1139" s="103"/>
      <c r="D1139" s="4076"/>
      <c r="E1139" s="4022"/>
      <c r="F1139" s="3937" t="str">
        <f t="shared" ref="F1139:F1140" si="222">F1112</f>
        <v>Mini/MultiSplitASHP-Replace_CAC_NonElectricHeat_ER1_MF</v>
      </c>
      <c r="G1139" s="3938"/>
      <c r="H1139" s="3939"/>
      <c r="I1139" s="2755" t="str">
        <f t="shared" si="221"/>
        <v>351752_2022_12_</v>
      </c>
      <c r="J1139" s="2779">
        <f>J1137</f>
        <v>20.5</v>
      </c>
      <c r="K1139" s="623"/>
      <c r="L1139" s="2757" t="s">
        <v>1083</v>
      </c>
      <c r="M1139" s="1304"/>
      <c r="N1139" s="1296"/>
      <c r="O1139" s="106"/>
      <c r="P1139" s="106"/>
      <c r="Q1139" s="106"/>
      <c r="R1139" s="106"/>
      <c r="S1139" s="106"/>
      <c r="T1139" s="106"/>
      <c r="U1139" s="106"/>
      <c r="V1139" s="4076"/>
      <c r="W1139" s="2224"/>
      <c r="X1139" s="2374"/>
      <c r="Y1139" s="2374"/>
      <c r="Z1139" s="2224"/>
      <c r="AA1139" s="2224"/>
      <c r="AB1139" s="1811"/>
      <c r="AC1139" s="1811"/>
      <c r="AD1139" s="2779">
        <v>20.5</v>
      </c>
      <c r="AE1139" s="2224"/>
      <c r="AF1139" s="2224"/>
      <c r="AG1139" s="580"/>
      <c r="AH1139" s="156"/>
      <c r="AI1139" s="156"/>
      <c r="AJ1139" s="156"/>
      <c r="AK1139" s="156"/>
      <c r="AL1139" s="156"/>
      <c r="AM1139" s="156"/>
      <c r="AN1139" s="156"/>
      <c r="AO1139" s="156"/>
      <c r="AP1139" s="156"/>
      <c r="AQ1139" s="156"/>
      <c r="AR1139" s="156"/>
      <c r="AS1139" s="156"/>
      <c r="AT1139" s="156"/>
      <c r="AU1139" s="156"/>
      <c r="AV1139" s="156"/>
      <c r="AW1139" s="156"/>
      <c r="AX1139" s="156"/>
      <c r="AY1139" s="156"/>
      <c r="AZ1139" s="156"/>
      <c r="BA1139" s="156"/>
      <c r="BB1139" s="2828"/>
      <c r="BC1139" s="452"/>
      <c r="BD1139" s="2829"/>
      <c r="BE1139" s="156"/>
      <c r="BF1139" s="156"/>
    </row>
    <row r="1140" spans="1:58" hidden="1" outlineLevel="1" x14ac:dyDescent="0.35">
      <c r="A1140" s="1071"/>
      <c r="B1140" s="106"/>
      <c r="C1140" s="103"/>
      <c r="D1140" s="4076"/>
      <c r="E1140" s="4022"/>
      <c r="F1140" s="3937" t="str">
        <f t="shared" si="222"/>
        <v>Mini/MultiSplitASHP-Replace_CAC_NonElectricHeat_ROF_MF</v>
      </c>
      <c r="G1140" s="3938"/>
      <c r="H1140" s="3939"/>
      <c r="I1140" s="2755" t="str">
        <f t="shared" si="221"/>
        <v>351802_2022_12_</v>
      </c>
      <c r="J1140" s="2779">
        <f>J1138</f>
        <v>20.5</v>
      </c>
      <c r="K1140" s="623"/>
      <c r="L1140" s="2757" t="s">
        <v>1083</v>
      </c>
      <c r="M1140" s="1304"/>
      <c r="N1140" s="1296"/>
      <c r="O1140" s="106"/>
      <c r="P1140" s="106"/>
      <c r="Q1140" s="106"/>
      <c r="R1140" s="106"/>
      <c r="S1140" s="106"/>
      <c r="T1140" s="106"/>
      <c r="U1140" s="106"/>
      <c r="V1140" s="4076"/>
      <c r="W1140" s="2224"/>
      <c r="X1140" s="2374"/>
      <c r="Y1140" s="2374"/>
      <c r="Z1140" s="2224"/>
      <c r="AA1140" s="2224"/>
      <c r="AB1140" s="1811"/>
      <c r="AC1140" s="1811"/>
      <c r="AD1140" s="2779">
        <v>20.5</v>
      </c>
      <c r="AE1140" s="2224"/>
      <c r="AF1140" s="2224"/>
      <c r="AG1140" s="580"/>
      <c r="AH1140" s="156"/>
      <c r="AI1140" s="156"/>
      <c r="AJ1140" s="156"/>
      <c r="AK1140" s="156"/>
      <c r="AL1140" s="156"/>
      <c r="AM1140" s="156"/>
      <c r="AN1140" s="156"/>
      <c r="AO1140" s="156"/>
      <c r="AP1140" s="156"/>
      <c r="AQ1140" s="156"/>
      <c r="AR1140" s="156"/>
      <c r="AS1140" s="156"/>
      <c r="AT1140" s="156"/>
      <c r="AU1140" s="156"/>
      <c r="AV1140" s="156"/>
      <c r="AW1140" s="156"/>
      <c r="AX1140" s="156"/>
      <c r="AY1140" s="156"/>
      <c r="AZ1140" s="156"/>
      <c r="BA1140" s="156"/>
      <c r="BB1140" s="2828"/>
      <c r="BC1140" s="452"/>
      <c r="BD1140" s="2829"/>
      <c r="BE1140" s="156"/>
      <c r="BF1140" s="156"/>
    </row>
    <row r="1141" spans="1:58" hidden="1" outlineLevel="1" x14ac:dyDescent="0.35">
      <c r="A1141" s="1071"/>
      <c r="B1141" s="106"/>
      <c r="C1141" s="103"/>
      <c r="D1141" s="4076"/>
      <c r="E1141" s="4022"/>
      <c r="F1141" s="3934" t="str">
        <f t="shared" ref="F1141:F1147" si="223">F1114</f>
        <v>Mini/MultiSplitASHP_ER1_MF</v>
      </c>
      <c r="G1141" s="3935"/>
      <c r="H1141" s="3936"/>
      <c r="I1141" s="2672" t="str">
        <f t="shared" ref="I1141:I1149" si="224">I1114</f>
        <v>351850_2021_12_</v>
      </c>
      <c r="J1141" s="2779">
        <f>J1139</f>
        <v>20.5</v>
      </c>
      <c r="K1141" s="623"/>
      <c r="L1141" s="1809" t="s">
        <v>1083</v>
      </c>
      <c r="M1141" s="1304"/>
      <c r="N1141" s="1296"/>
      <c r="O1141" s="106"/>
      <c r="P1141" s="106"/>
      <c r="Q1141" s="106"/>
      <c r="R1141" s="106"/>
      <c r="S1141" s="106"/>
      <c r="T1141" s="106"/>
      <c r="U1141" s="106"/>
      <c r="V1141" s="4076"/>
      <c r="W1141" s="2224"/>
      <c r="X1141" s="2374"/>
      <c r="Y1141" s="2374">
        <v>27.01</v>
      </c>
      <c r="Z1141" s="2224">
        <v>27.01</v>
      </c>
      <c r="AA1141" s="2224">
        <v>27.01</v>
      </c>
      <c r="AB1141" s="1811">
        <v>22.249999999999996</v>
      </c>
      <c r="AC1141" s="1811">
        <v>21.90909090909091</v>
      </c>
      <c r="AD1141" s="2779">
        <v>20.5</v>
      </c>
      <c r="AE1141" s="2224"/>
      <c r="AF1141" s="2224"/>
      <c r="AG1141" s="580"/>
      <c r="AH1141" s="156"/>
      <c r="AI1141" s="156"/>
      <c r="AJ1141" s="156"/>
      <c r="AK1141" s="156"/>
      <c r="AL1141" s="156"/>
      <c r="AM1141" s="156"/>
      <c r="AN1141" s="156"/>
      <c r="AO1141" s="156"/>
      <c r="AP1141" s="156"/>
      <c r="AQ1141" s="156"/>
      <c r="AR1141" s="156"/>
      <c r="AS1141" s="156"/>
      <c r="AT1141" s="156"/>
      <c r="AU1141" s="156"/>
      <c r="AV1141" s="156"/>
      <c r="AW1141" s="156"/>
      <c r="AX1141" s="156"/>
      <c r="AY1141" s="156"/>
      <c r="AZ1141" s="156"/>
      <c r="BA1141" s="156"/>
      <c r="BB1141" s="2828"/>
      <c r="BC1141" s="452"/>
      <c r="BD1141" s="2829"/>
      <c r="BE1141" s="156"/>
      <c r="BF1141" s="156"/>
    </row>
    <row r="1142" spans="1:58" hidden="1" outlineLevel="1" x14ac:dyDescent="0.35">
      <c r="A1142" s="1071"/>
      <c r="B1142" s="106"/>
      <c r="C1142" s="103"/>
      <c r="D1142" s="4076"/>
      <c r="E1142" s="4022"/>
      <c r="F1142" s="3934" t="str">
        <f t="shared" si="223"/>
        <v>Mini/MultiSplitAC_ER1_MF_CompE</v>
      </c>
      <c r="G1142" s="3935"/>
      <c r="H1142" s="3936"/>
      <c r="I1142" s="2672" t="str">
        <f t="shared" si="224"/>
        <v>351551_2021_12_</v>
      </c>
      <c r="J1142" s="2779">
        <f>J1141</f>
        <v>20.5</v>
      </c>
      <c r="K1142" s="623"/>
      <c r="L1142" s="1809" t="s">
        <v>1083</v>
      </c>
      <c r="M1142" s="1304"/>
      <c r="N1142" s="1296"/>
      <c r="O1142" s="106"/>
      <c r="P1142" s="106"/>
      <c r="Q1142" s="106"/>
      <c r="R1142" s="106"/>
      <c r="S1142" s="106"/>
      <c r="T1142" s="106"/>
      <c r="U1142" s="106"/>
      <c r="V1142" s="4076"/>
      <c r="W1142" s="2224"/>
      <c r="X1142" s="2224"/>
      <c r="Y1142" s="2374">
        <v>23.17</v>
      </c>
      <c r="Z1142" s="2224">
        <v>23.17</v>
      </c>
      <c r="AA1142" s="2224">
        <v>23.17</v>
      </c>
      <c r="AB1142" s="1816">
        <v>23.17</v>
      </c>
      <c r="AC1142" s="1811">
        <v>19.833333333333332</v>
      </c>
      <c r="AD1142" s="2779">
        <v>20.5</v>
      </c>
      <c r="AE1142" s="2224"/>
      <c r="AF1142" s="2224"/>
      <c r="AG1142" s="580"/>
      <c r="AH1142" s="156"/>
      <c r="AI1142" s="156"/>
      <c r="AJ1142" s="156"/>
      <c r="AK1142" s="156"/>
      <c r="AL1142" s="156"/>
      <c r="AM1142" s="156"/>
      <c r="AN1142" s="156"/>
      <c r="AO1142" s="156"/>
      <c r="AP1142" s="156"/>
      <c r="AQ1142" s="156"/>
      <c r="AR1142" s="156"/>
      <c r="AS1142" s="156"/>
      <c r="AT1142" s="156"/>
      <c r="AU1142" s="156"/>
      <c r="AV1142" s="156"/>
      <c r="AW1142" s="156"/>
      <c r="AX1142" s="156"/>
      <c r="AY1142" s="156"/>
      <c r="AZ1142" s="156"/>
      <c r="BA1142" s="156"/>
      <c r="BB1142" s="2828"/>
      <c r="BC1142" s="452"/>
      <c r="BD1142" s="2829"/>
      <c r="BE1142" s="156"/>
      <c r="BF1142" s="156"/>
    </row>
    <row r="1143" spans="1:58" hidden="1" outlineLevel="1" x14ac:dyDescent="0.35">
      <c r="A1143" s="1071"/>
      <c r="B1143" s="106"/>
      <c r="C1143" s="103"/>
      <c r="D1143" s="4076"/>
      <c r="E1143" s="4022"/>
      <c r="F1143" s="3934" t="str">
        <f t="shared" si="223"/>
        <v>Mini/MultiSplitAC_ROF_MF_CompE</v>
      </c>
      <c r="G1143" s="3935"/>
      <c r="H1143" s="3936"/>
      <c r="I1143" s="2672" t="str">
        <f t="shared" si="224"/>
        <v>351601_2021_12_</v>
      </c>
      <c r="J1143" s="2779">
        <f>J1136</f>
        <v>20.5</v>
      </c>
      <c r="K1143" s="623"/>
      <c r="L1143" s="1809" t="s">
        <v>1083</v>
      </c>
      <c r="M1143" s="1304"/>
      <c r="N1143" s="1296"/>
      <c r="O1143" s="106"/>
      <c r="P1143" s="106"/>
      <c r="Q1143" s="106"/>
      <c r="R1143" s="106"/>
      <c r="S1143" s="106"/>
      <c r="T1143" s="106"/>
      <c r="U1143" s="106"/>
      <c r="V1143" s="4076"/>
      <c r="W1143" s="2224"/>
      <c r="X1143" s="2224"/>
      <c r="Y1143" s="2374">
        <v>23.17</v>
      </c>
      <c r="Z1143" s="2224">
        <v>23.17</v>
      </c>
      <c r="AA1143" s="2224">
        <v>23.17</v>
      </c>
      <c r="AB1143" s="1811">
        <v>22.918750000000003</v>
      </c>
      <c r="AC1143" s="1811">
        <v>21.705000000000005</v>
      </c>
      <c r="AD1143" s="2779">
        <v>20.5</v>
      </c>
      <c r="AE1143" s="2224"/>
      <c r="AF1143" s="2224"/>
      <c r="AG1143" s="580"/>
      <c r="AH1143" s="156"/>
      <c r="AI1143" s="156"/>
      <c r="AJ1143" s="156"/>
      <c r="AK1143" s="156"/>
      <c r="AL1143" s="156"/>
      <c r="AM1143" s="156"/>
      <c r="AN1143" s="156"/>
      <c r="AO1143" s="156"/>
      <c r="AP1143" s="156"/>
      <c r="AQ1143" s="156"/>
      <c r="AR1143" s="156"/>
      <c r="AS1143" s="156"/>
      <c r="AT1143" s="156"/>
      <c r="AU1143" s="156"/>
      <c r="AV1143" s="156"/>
      <c r="AW1143" s="156"/>
      <c r="AX1143" s="156"/>
      <c r="AY1143" s="156"/>
      <c r="AZ1143" s="156"/>
      <c r="BA1143" s="156"/>
      <c r="BB1143" s="2828"/>
      <c r="BC1143" s="452"/>
      <c r="BD1143" s="2829"/>
      <c r="BE1143" s="156"/>
      <c r="BF1143" s="156"/>
    </row>
    <row r="1144" spans="1:58" hidden="1" outlineLevel="1" x14ac:dyDescent="0.35">
      <c r="A1144" s="1071"/>
      <c r="B1144" s="106"/>
      <c r="C1144" s="103"/>
      <c r="D1144" s="4076"/>
      <c r="E1144" s="4022"/>
      <c r="F1144" s="3934" t="str">
        <f t="shared" si="223"/>
        <v>Mini/MultiSplitASHP_ROF_MF_NC_CompE</v>
      </c>
      <c r="G1144" s="3935"/>
      <c r="H1144" s="3936"/>
      <c r="I1144" s="2672" t="str">
        <f t="shared" si="224"/>
        <v>351651_2021_12_</v>
      </c>
      <c r="J1144" s="2779">
        <f t="shared" ref="J1144:J1150" si="225">J1135</f>
        <v>20.5</v>
      </c>
      <c r="K1144" s="623"/>
      <c r="L1144" s="1809" t="s">
        <v>1083</v>
      </c>
      <c r="M1144" s="1304"/>
      <c r="N1144" s="1296"/>
      <c r="O1144" s="106"/>
      <c r="P1144" s="106"/>
      <c r="Q1144" s="106"/>
      <c r="R1144" s="106"/>
      <c r="S1144" s="106"/>
      <c r="T1144" s="106"/>
      <c r="U1144" s="106"/>
      <c r="V1144" s="4076"/>
      <c r="W1144" s="2224"/>
      <c r="X1144" s="2224"/>
      <c r="Y1144" s="2374">
        <v>19</v>
      </c>
      <c r="Z1144" s="2224">
        <v>19</v>
      </c>
      <c r="AA1144" s="2224">
        <v>19</v>
      </c>
      <c r="AB1144" s="1816">
        <v>19</v>
      </c>
      <c r="AC1144" s="1811">
        <v>22.316949152542367</v>
      </c>
      <c r="AD1144" s="2779">
        <v>20.5</v>
      </c>
      <c r="AE1144" s="2224"/>
      <c r="AF1144" s="2224"/>
      <c r="AG1144" s="580"/>
      <c r="AH1144" s="156"/>
      <c r="AI1144" s="156"/>
      <c r="AJ1144" s="156"/>
      <c r="AK1144" s="156"/>
      <c r="AL1144" s="156"/>
      <c r="AM1144" s="156"/>
      <c r="AN1144" s="156"/>
      <c r="AO1144" s="156"/>
      <c r="AP1144" s="156"/>
      <c r="AQ1144" s="156"/>
      <c r="AR1144" s="156"/>
      <c r="AS1144" s="156"/>
      <c r="AT1144" s="156"/>
      <c r="AU1144" s="156"/>
      <c r="AV1144" s="156"/>
      <c r="AW1144" s="156"/>
      <c r="AX1144" s="156"/>
      <c r="AY1144" s="156"/>
      <c r="AZ1144" s="156"/>
      <c r="BA1144" s="156"/>
      <c r="BB1144" s="2828"/>
      <c r="BC1144" s="452"/>
      <c r="BD1144" s="2829"/>
      <c r="BE1144" s="156"/>
      <c r="BF1144" s="156"/>
    </row>
    <row r="1145" spans="1:58" hidden="1" outlineLevel="1" x14ac:dyDescent="0.35">
      <c r="A1145" s="1071"/>
      <c r="B1145" s="106"/>
      <c r="C1145" s="103"/>
      <c r="D1145" s="4076"/>
      <c r="E1145" s="4022"/>
      <c r="F1145" s="3934" t="str">
        <f t="shared" si="223"/>
        <v>Mini/MultiSplitASHP_ROF_MF_CompE</v>
      </c>
      <c r="G1145" s="3935"/>
      <c r="H1145" s="3936"/>
      <c r="I1145" s="2672" t="str">
        <f t="shared" si="224"/>
        <v>351701_2021_12_</v>
      </c>
      <c r="J1145" s="2779">
        <f t="shared" si="225"/>
        <v>20.5</v>
      </c>
      <c r="K1145" s="623"/>
      <c r="L1145" s="1809" t="s">
        <v>1083</v>
      </c>
      <c r="M1145" s="1304"/>
      <c r="N1145" s="1296"/>
      <c r="O1145" s="106"/>
      <c r="P1145" s="106"/>
      <c r="Q1145" s="106"/>
      <c r="R1145" s="106"/>
      <c r="S1145" s="106"/>
      <c r="T1145" s="106"/>
      <c r="U1145" s="106"/>
      <c r="V1145" s="4076"/>
      <c r="W1145" s="2224"/>
      <c r="X1145" s="2224"/>
      <c r="Y1145" s="2374">
        <v>19</v>
      </c>
      <c r="Z1145" s="2224">
        <v>19</v>
      </c>
      <c r="AA1145" s="2224">
        <v>19</v>
      </c>
      <c r="AB1145" s="1811">
        <v>22.519480519480521</v>
      </c>
      <c r="AC1145" s="1811">
        <v>23.175000000000001</v>
      </c>
      <c r="AD1145" s="2779">
        <v>20.5</v>
      </c>
      <c r="AE1145" s="2224"/>
      <c r="AF1145" s="2224"/>
      <c r="AG1145" s="580"/>
      <c r="AH1145" s="156"/>
      <c r="AI1145" s="156"/>
      <c r="AJ1145" s="156"/>
      <c r="AK1145" s="156"/>
      <c r="AL1145" s="156"/>
      <c r="AM1145" s="156"/>
      <c r="AN1145" s="156"/>
      <c r="AO1145" s="156"/>
      <c r="AP1145" s="156"/>
      <c r="AQ1145" s="156"/>
      <c r="AR1145" s="156"/>
      <c r="AS1145" s="156"/>
      <c r="AT1145" s="156"/>
      <c r="AU1145" s="156"/>
      <c r="AV1145" s="156"/>
      <c r="AW1145" s="156"/>
      <c r="AX1145" s="156"/>
      <c r="AY1145" s="156"/>
      <c r="AZ1145" s="156"/>
      <c r="BA1145" s="156"/>
      <c r="BB1145" s="2828"/>
      <c r="BC1145" s="452"/>
      <c r="BD1145" s="2829"/>
      <c r="BE1145" s="156"/>
      <c r="BF1145" s="156"/>
    </row>
    <row r="1146" spans="1:58" hidden="1" outlineLevel="1" x14ac:dyDescent="0.35">
      <c r="A1146" s="1071"/>
      <c r="B1146" s="106"/>
      <c r="C1146" s="103"/>
      <c r="D1146" s="4076"/>
      <c r="E1146" s="4022"/>
      <c r="F1146" s="3934" t="str">
        <f t="shared" si="223"/>
        <v>Mini/MultiSplitASHP-Replace_CAC_ElectricHeat_ER1_MF_CompE</v>
      </c>
      <c r="G1146" s="3935"/>
      <c r="H1146" s="3936"/>
      <c r="I1146" s="2672" t="str">
        <f t="shared" si="224"/>
        <v>351751_2021_12_</v>
      </c>
      <c r="J1146" s="2779">
        <f t="shared" si="225"/>
        <v>20.5</v>
      </c>
      <c r="K1146" s="623"/>
      <c r="L1146" s="1809" t="s">
        <v>1083</v>
      </c>
      <c r="M1146" s="1304"/>
      <c r="N1146" s="1296"/>
      <c r="O1146" s="106"/>
      <c r="P1146" s="106"/>
      <c r="Q1146" s="106"/>
      <c r="R1146" s="106"/>
      <c r="S1146" s="106"/>
      <c r="T1146" s="106"/>
      <c r="U1146" s="106"/>
      <c r="V1146" s="4076"/>
      <c r="W1146" s="2224"/>
      <c r="X1146" s="2224"/>
      <c r="Y1146" s="2374">
        <v>22.63</v>
      </c>
      <c r="Z1146" s="2224">
        <v>22.63</v>
      </c>
      <c r="AA1146" s="2224">
        <v>22.63</v>
      </c>
      <c r="AB1146" s="1811">
        <v>22.429399999999998</v>
      </c>
      <c r="AC1146" s="1811">
        <v>21.460465116279071</v>
      </c>
      <c r="AD1146" s="2779">
        <v>20.5</v>
      </c>
      <c r="AE1146" s="2224"/>
      <c r="AF1146" s="2224"/>
      <c r="AG1146" s="580"/>
      <c r="AH1146" s="156"/>
      <c r="AI1146" s="156"/>
      <c r="AJ1146" s="156"/>
      <c r="AK1146" s="156"/>
      <c r="AL1146" s="156"/>
      <c r="AM1146" s="156"/>
      <c r="AN1146" s="156"/>
      <c r="AO1146" s="156"/>
      <c r="AP1146" s="156"/>
      <c r="AQ1146" s="156"/>
      <c r="AR1146" s="156"/>
      <c r="AS1146" s="156"/>
      <c r="AT1146" s="156"/>
      <c r="AU1146" s="156"/>
      <c r="AV1146" s="156"/>
      <c r="AW1146" s="156"/>
      <c r="AX1146" s="156"/>
      <c r="AY1146" s="156"/>
      <c r="AZ1146" s="156"/>
      <c r="BA1146" s="156"/>
      <c r="BB1146" s="2828"/>
      <c r="BC1146" s="452"/>
      <c r="BD1146" s="2829"/>
      <c r="BE1146" s="156"/>
      <c r="BF1146" s="156"/>
    </row>
    <row r="1147" spans="1:58" hidden="1" outlineLevel="1" x14ac:dyDescent="0.35">
      <c r="A1147" s="1071"/>
      <c r="B1147" s="106"/>
      <c r="C1147" s="103"/>
      <c r="D1147" s="4076"/>
      <c r="E1147" s="4022"/>
      <c r="F1147" s="3934" t="str">
        <f t="shared" si="223"/>
        <v>Mini/MultiSplitASHP-Replace_CAC_ElectricHeat_ROF_MF_CompE</v>
      </c>
      <c r="G1147" s="3935"/>
      <c r="H1147" s="3936"/>
      <c r="I1147" s="2672" t="str">
        <f t="shared" si="224"/>
        <v>351801_2021_12_</v>
      </c>
      <c r="J1147" s="2779">
        <f t="shared" si="225"/>
        <v>20.5</v>
      </c>
      <c r="K1147" s="623"/>
      <c r="L1147" s="624" t="s">
        <v>1083</v>
      </c>
      <c r="M1147" s="1304"/>
      <c r="N1147" s="1296"/>
      <c r="O1147" s="106"/>
      <c r="P1147" s="106"/>
      <c r="Q1147" s="106"/>
      <c r="R1147" s="106"/>
      <c r="S1147" s="106"/>
      <c r="T1147" s="106"/>
      <c r="U1147" s="106"/>
      <c r="V1147" s="4076"/>
      <c r="W1147" s="2224"/>
      <c r="X1147" s="2224"/>
      <c r="Y1147" s="2374">
        <v>22.77</v>
      </c>
      <c r="Z1147" s="2224">
        <v>22.77</v>
      </c>
      <c r="AA1147" s="2224">
        <v>22.77</v>
      </c>
      <c r="AB1147" s="1811">
        <v>23.193333333333332</v>
      </c>
      <c r="AC1147" s="1811">
        <v>22.146153846153844</v>
      </c>
      <c r="AD1147" s="2779">
        <v>20.5</v>
      </c>
      <c r="AE1147" s="2224"/>
      <c r="AF1147" s="2224"/>
      <c r="AG1147" s="580"/>
      <c r="AH1147" s="156"/>
      <c r="AI1147" s="156"/>
      <c r="AJ1147" s="156"/>
      <c r="AK1147" s="156"/>
      <c r="AL1147" s="156"/>
      <c r="AM1147" s="156"/>
      <c r="AN1147" s="156"/>
      <c r="AO1147" s="156"/>
      <c r="AP1147" s="156"/>
      <c r="AQ1147" s="156"/>
      <c r="AR1147" s="156"/>
      <c r="AS1147" s="156"/>
      <c r="AT1147" s="156"/>
      <c r="AU1147" s="156"/>
      <c r="AV1147" s="156"/>
      <c r="AW1147" s="156"/>
      <c r="AX1147" s="156"/>
      <c r="AY1147" s="156"/>
      <c r="AZ1147" s="156"/>
      <c r="BA1147" s="156"/>
      <c r="BB1147" s="2828"/>
      <c r="BC1147" s="452"/>
      <c r="BD1147" s="2829"/>
      <c r="BE1147" s="156"/>
      <c r="BF1147" s="156"/>
    </row>
    <row r="1148" spans="1:58" hidden="1" outlineLevel="1" x14ac:dyDescent="0.35">
      <c r="A1148" s="1071"/>
      <c r="B1148" s="106"/>
      <c r="C1148" s="103"/>
      <c r="D1148" s="4076"/>
      <c r="E1148" s="4022"/>
      <c r="F1148" s="3937" t="str">
        <f t="shared" ref="F1148:F1149" si="226">F1121</f>
        <v>Mini/MultiSplitASHP-Replace_CAC_NonElectricHeat_ER1_MF_CompE</v>
      </c>
      <c r="G1148" s="3938"/>
      <c r="H1148" s="3939"/>
      <c r="I1148" s="2755" t="str">
        <f t="shared" si="224"/>
        <v>351753_2022_12_</v>
      </c>
      <c r="J1148" s="2779">
        <f t="shared" si="225"/>
        <v>20.5</v>
      </c>
      <c r="K1148" s="623"/>
      <c r="L1148" s="2757" t="s">
        <v>1083</v>
      </c>
      <c r="M1148" s="1304"/>
      <c r="N1148" s="1296"/>
      <c r="O1148" s="106"/>
      <c r="P1148" s="106"/>
      <c r="Q1148" s="106"/>
      <c r="R1148" s="106"/>
      <c r="S1148" s="106"/>
      <c r="T1148" s="106"/>
      <c r="U1148" s="106"/>
      <c r="V1148" s="4076"/>
      <c r="W1148" s="576"/>
      <c r="X1148" s="576"/>
      <c r="Y1148" s="575"/>
      <c r="Z1148" s="576"/>
      <c r="AA1148" s="576"/>
      <c r="AB1148" s="2762"/>
      <c r="AC1148" s="2762"/>
      <c r="AD1148" s="2779">
        <v>20.5</v>
      </c>
      <c r="AE1148" s="576"/>
      <c r="AF1148" s="576"/>
      <c r="AG1148" s="2758"/>
      <c r="AH1148" s="156"/>
      <c r="AI1148" s="156"/>
      <c r="AJ1148" s="156"/>
      <c r="AK1148" s="156"/>
      <c r="AL1148" s="156"/>
      <c r="AM1148" s="156"/>
      <c r="AN1148" s="156"/>
      <c r="AO1148" s="156"/>
      <c r="AP1148" s="156"/>
      <c r="AQ1148" s="156"/>
      <c r="AR1148" s="156"/>
      <c r="AS1148" s="156"/>
      <c r="AT1148" s="156"/>
      <c r="AU1148" s="156"/>
      <c r="AV1148" s="156"/>
      <c r="AW1148" s="156"/>
      <c r="AX1148" s="156"/>
      <c r="AY1148" s="156"/>
      <c r="AZ1148" s="156"/>
      <c r="BA1148" s="156"/>
      <c r="BB1148" s="2828"/>
      <c r="BC1148" s="452"/>
      <c r="BD1148" s="2829"/>
      <c r="BE1148" s="156"/>
      <c r="BF1148" s="156"/>
    </row>
    <row r="1149" spans="1:58" hidden="1" outlineLevel="1" x14ac:dyDescent="0.35">
      <c r="A1149" s="1071"/>
      <c r="B1149" s="106"/>
      <c r="C1149" s="103"/>
      <c r="D1149" s="4076"/>
      <c r="E1149" s="4022"/>
      <c r="F1149" s="3937" t="str">
        <f t="shared" si="226"/>
        <v>Mini/MultiSplitASHP-Replace_CAC_NonElectricHeat_ROF_MF_CompE</v>
      </c>
      <c r="G1149" s="3938"/>
      <c r="H1149" s="3939"/>
      <c r="I1149" s="2755" t="str">
        <f t="shared" si="224"/>
        <v>351803_2022_12_</v>
      </c>
      <c r="J1149" s="2779">
        <f t="shared" si="225"/>
        <v>20.5</v>
      </c>
      <c r="K1149" s="623"/>
      <c r="L1149" s="2757" t="s">
        <v>1083</v>
      </c>
      <c r="M1149" s="1304"/>
      <c r="N1149" s="1296"/>
      <c r="O1149" s="106"/>
      <c r="P1149" s="106"/>
      <c r="Q1149" s="106"/>
      <c r="R1149" s="106"/>
      <c r="S1149" s="106"/>
      <c r="T1149" s="106"/>
      <c r="U1149" s="106"/>
      <c r="V1149" s="4076"/>
      <c r="W1149" s="576"/>
      <c r="X1149" s="576"/>
      <c r="Y1149" s="575"/>
      <c r="Z1149" s="576"/>
      <c r="AA1149" s="576"/>
      <c r="AB1149" s="2762"/>
      <c r="AC1149" s="2762"/>
      <c r="AD1149" s="2779">
        <v>20.5</v>
      </c>
      <c r="AE1149" s="576"/>
      <c r="AF1149" s="576"/>
      <c r="AG1149" s="2758"/>
      <c r="AH1149" s="156"/>
      <c r="AI1149" s="156"/>
      <c r="AJ1149" s="156"/>
      <c r="AK1149" s="156"/>
      <c r="AL1149" s="156"/>
      <c r="AM1149" s="156"/>
      <c r="AN1149" s="156"/>
      <c r="AO1149" s="156"/>
      <c r="AP1149" s="156"/>
      <c r="AQ1149" s="156"/>
      <c r="AR1149" s="156"/>
      <c r="AS1149" s="156"/>
      <c r="AT1149" s="156"/>
      <c r="AU1149" s="156"/>
      <c r="AV1149" s="156"/>
      <c r="AW1149" s="156"/>
      <c r="AX1149" s="156"/>
      <c r="AY1149" s="156"/>
      <c r="AZ1149" s="156"/>
      <c r="BA1149" s="156"/>
      <c r="BB1149" s="2828"/>
      <c r="BC1149" s="452"/>
      <c r="BD1149" s="2829"/>
      <c r="BE1149" s="156"/>
      <c r="BF1149" s="156"/>
    </row>
    <row r="1150" spans="1:58" ht="15" hidden="1" outlineLevel="1" thickBot="1" x14ac:dyDescent="0.4">
      <c r="A1150" s="1071"/>
      <c r="B1150" s="106"/>
      <c r="C1150" s="103"/>
      <c r="D1150" s="4077"/>
      <c r="E1150" s="4104"/>
      <c r="F1150" s="3940" t="str">
        <f t="shared" ref="F1150" si="227">F1123</f>
        <v>Mini/MultiSplitASHP_ER1_MF_CompE</v>
      </c>
      <c r="G1150" s="3941"/>
      <c r="H1150" s="3942"/>
      <c r="I1150" s="2673" t="str">
        <f t="shared" ref="I1150" si="228">I1123</f>
        <v>351851_2021_12_</v>
      </c>
      <c r="J1150" s="2779">
        <f t="shared" si="225"/>
        <v>20.5</v>
      </c>
      <c r="K1150" s="1932"/>
      <c r="L1150" s="649" t="s">
        <v>1083</v>
      </c>
      <c r="M1150" s="1304"/>
      <c r="N1150" s="1296"/>
      <c r="O1150" s="106"/>
      <c r="P1150" s="106"/>
      <c r="Q1150" s="106"/>
      <c r="R1150" s="106"/>
      <c r="S1150" s="106"/>
      <c r="T1150" s="106"/>
      <c r="U1150" s="106"/>
      <c r="V1150" s="4077"/>
      <c r="W1150" s="2227"/>
      <c r="X1150" s="2227"/>
      <c r="Y1150" s="2375">
        <v>27.01</v>
      </c>
      <c r="Z1150" s="2227">
        <v>27.01</v>
      </c>
      <c r="AA1150" s="2227">
        <v>27.01</v>
      </c>
      <c r="AB1150" s="1817">
        <v>22.249999999999996</v>
      </c>
      <c r="AC1150" s="1817">
        <v>21.90909090909091</v>
      </c>
      <c r="AD1150" s="2779">
        <v>20.5</v>
      </c>
      <c r="AE1150" s="2227"/>
      <c r="AF1150" s="2227"/>
      <c r="AG1150" s="626"/>
      <c r="AH1150" s="156"/>
      <c r="AI1150" s="156"/>
      <c r="AJ1150" s="156"/>
      <c r="AK1150" s="156"/>
      <c r="AL1150" s="156"/>
      <c r="AM1150" s="156"/>
      <c r="AN1150" s="156"/>
      <c r="AO1150" s="156"/>
      <c r="AP1150" s="156"/>
      <c r="AQ1150" s="156"/>
      <c r="AR1150" s="156"/>
      <c r="AS1150" s="156"/>
      <c r="AT1150" s="156"/>
      <c r="AU1150" s="156"/>
      <c r="AV1150" s="156"/>
      <c r="AW1150" s="156"/>
      <c r="AX1150" s="156"/>
      <c r="AY1150" s="156"/>
      <c r="AZ1150" s="156"/>
      <c r="BA1150" s="156"/>
      <c r="BB1150" s="2828"/>
      <c r="BC1150" s="452"/>
      <c r="BD1150" s="2829"/>
      <c r="BE1150" s="156"/>
      <c r="BF1150" s="156"/>
    </row>
    <row r="1151" spans="1:58" hidden="1" outlineLevel="1" x14ac:dyDescent="0.35">
      <c r="A1151" s="1071"/>
      <c r="B1151" s="106"/>
      <c r="C1151" s="103"/>
      <c r="D1151" s="4021" t="s">
        <v>293</v>
      </c>
      <c r="E1151" s="4115" t="s">
        <v>1085</v>
      </c>
      <c r="F1151" s="3973" t="str">
        <f t="shared" ref="F1151:F1162" si="229">E793</f>
        <v>Mini/MultiSplitAC_ER1_SF</v>
      </c>
      <c r="G1151" s="3974"/>
      <c r="H1151" s="3975"/>
      <c r="I1151" s="2674" t="str">
        <f>C793</f>
        <v>351200_2021_12_</v>
      </c>
      <c r="J1151" s="1933">
        <v>1</v>
      </c>
      <c r="K1151" s="633"/>
      <c r="L1151" s="4170"/>
      <c r="M1151" s="1304"/>
      <c r="N1151" s="1296"/>
      <c r="O1151" s="106"/>
      <c r="P1151" s="106"/>
      <c r="Q1151" s="106"/>
      <c r="R1151" s="106"/>
      <c r="S1151" s="106"/>
      <c r="T1151" s="106"/>
      <c r="U1151" s="106"/>
      <c r="V1151" s="4021" t="s">
        <v>293</v>
      </c>
      <c r="W1151" s="634">
        <v>1</v>
      </c>
      <c r="X1151" s="634">
        <v>1</v>
      </c>
      <c r="Y1151" s="634">
        <v>1</v>
      </c>
      <c r="Z1151" s="634">
        <v>1</v>
      </c>
      <c r="AA1151" s="634">
        <v>1</v>
      </c>
      <c r="AB1151" s="1814">
        <v>1</v>
      </c>
      <c r="AC1151" s="1933">
        <v>1</v>
      </c>
      <c r="AD1151" s="1933">
        <v>1</v>
      </c>
      <c r="AE1151" s="634"/>
      <c r="AF1151" s="634"/>
      <c r="AG1151" s="635"/>
      <c r="AH1151" s="156"/>
      <c r="AI1151" s="156"/>
      <c r="AJ1151" s="156"/>
      <c r="AK1151" s="156"/>
      <c r="AL1151" s="156"/>
      <c r="AM1151" s="156"/>
      <c r="AN1151" s="156"/>
      <c r="AO1151" s="156"/>
      <c r="AP1151" s="156"/>
      <c r="AQ1151" s="156"/>
      <c r="AR1151" s="156"/>
      <c r="AS1151" s="156"/>
      <c r="AT1151" s="156"/>
      <c r="AU1151" s="156"/>
      <c r="AV1151" s="156"/>
      <c r="AW1151" s="156"/>
      <c r="AX1151" s="156"/>
      <c r="AY1151" s="156"/>
      <c r="AZ1151" s="156"/>
      <c r="BA1151" s="156"/>
      <c r="BB1151" s="2828"/>
      <c r="BC1151" s="452"/>
      <c r="BD1151" s="2829"/>
      <c r="BE1151" s="156"/>
      <c r="BF1151" s="156"/>
    </row>
    <row r="1152" spans="1:58" hidden="1" outlineLevel="1" x14ac:dyDescent="0.35">
      <c r="A1152" s="1071"/>
      <c r="B1152" s="106"/>
      <c r="C1152" s="103"/>
      <c r="D1152" s="4022"/>
      <c r="E1152" s="4111"/>
      <c r="F1152" s="3955" t="str">
        <f t="shared" si="229"/>
        <v>Mini/MultiSplitAC_ER2_SF</v>
      </c>
      <c r="G1152" s="3956"/>
      <c r="H1152" s="3957"/>
      <c r="I1152" s="2674" t="str">
        <f t="shared" ref="I1152:I1160" si="230">C794</f>
        <v>351200_2021_12_</v>
      </c>
      <c r="J1152" s="636">
        <v>1</v>
      </c>
      <c r="K1152" s="637"/>
      <c r="L1152" s="4171"/>
      <c r="M1152" s="1304"/>
      <c r="N1152" s="1296"/>
      <c r="O1152" s="106"/>
      <c r="P1152" s="106"/>
      <c r="Q1152" s="106"/>
      <c r="R1152" s="106"/>
      <c r="S1152" s="106"/>
      <c r="T1152" s="106"/>
      <c r="U1152" s="106"/>
      <c r="V1152" s="4022"/>
      <c r="W1152" s="636">
        <v>1</v>
      </c>
      <c r="X1152" s="636">
        <v>1</v>
      </c>
      <c r="Y1152" s="636">
        <v>1</v>
      </c>
      <c r="Z1152" s="636">
        <v>1</v>
      </c>
      <c r="AA1152" s="636">
        <v>1</v>
      </c>
      <c r="AB1152" s="636">
        <v>1</v>
      </c>
      <c r="AC1152" s="636">
        <v>1</v>
      </c>
      <c r="AD1152" s="636">
        <v>1</v>
      </c>
      <c r="AE1152" s="636"/>
      <c r="AF1152" s="636"/>
      <c r="AG1152" s="638"/>
      <c r="AH1152" s="156"/>
      <c r="AI1152" s="156"/>
      <c r="AJ1152" s="156"/>
      <c r="AK1152" s="156"/>
      <c r="AL1152" s="156"/>
      <c r="AM1152" s="156"/>
      <c r="AN1152" s="156"/>
      <c r="AO1152" s="156"/>
      <c r="AP1152" s="156"/>
      <c r="AQ1152" s="156"/>
      <c r="AR1152" s="156"/>
      <c r="AS1152" s="156"/>
      <c r="AT1152" s="156"/>
      <c r="AU1152" s="156"/>
      <c r="AV1152" s="156"/>
      <c r="AW1152" s="156"/>
      <c r="AX1152" s="156"/>
      <c r="AY1152" s="156"/>
      <c r="AZ1152" s="156"/>
      <c r="BA1152" s="156"/>
      <c r="BB1152" s="2828"/>
      <c r="BC1152" s="452"/>
      <c r="BD1152" s="2829"/>
      <c r="BE1152" s="156"/>
      <c r="BF1152" s="156"/>
    </row>
    <row r="1153" spans="1:58" hidden="1" outlineLevel="1" x14ac:dyDescent="0.35">
      <c r="A1153" s="1071"/>
      <c r="B1153" s="106"/>
      <c r="C1153" s="103"/>
      <c r="D1153" s="4022"/>
      <c r="E1153" s="4111"/>
      <c r="F1153" s="3970" t="str">
        <f t="shared" si="229"/>
        <v>Mini/MultiSplitAC_ROF_SF</v>
      </c>
      <c r="G1153" s="3971"/>
      <c r="H1153" s="3972"/>
      <c r="I1153" s="2674" t="str">
        <f t="shared" si="230"/>
        <v>351250_2021_12_</v>
      </c>
      <c r="J1153" s="636">
        <v>1</v>
      </c>
      <c r="K1153" s="637"/>
      <c r="L1153" s="4171"/>
      <c r="M1153" s="1304"/>
      <c r="N1153" s="1296"/>
      <c r="O1153" s="106"/>
      <c r="P1153" s="106"/>
      <c r="Q1153" s="106"/>
      <c r="R1153" s="106"/>
      <c r="S1153" s="106"/>
      <c r="T1153" s="106"/>
      <c r="U1153" s="106"/>
      <c r="V1153" s="4022"/>
      <c r="W1153" s="636">
        <v>1</v>
      </c>
      <c r="X1153" s="636">
        <v>1</v>
      </c>
      <c r="Y1153" s="636">
        <v>1</v>
      </c>
      <c r="Z1153" s="636">
        <v>1</v>
      </c>
      <c r="AA1153" s="636">
        <v>1</v>
      </c>
      <c r="AB1153" s="636">
        <v>1</v>
      </c>
      <c r="AC1153" s="636">
        <v>1</v>
      </c>
      <c r="AD1153" s="636">
        <v>1</v>
      </c>
      <c r="AE1153" s="636"/>
      <c r="AF1153" s="636"/>
      <c r="AG1153" s="638"/>
      <c r="AH1153" s="156"/>
      <c r="AI1153" s="156"/>
      <c r="AJ1153" s="156"/>
      <c r="AK1153" s="156"/>
      <c r="AL1153" s="156"/>
      <c r="AM1153" s="156"/>
      <c r="AN1153" s="156"/>
      <c r="AO1153" s="156"/>
      <c r="AP1153" s="156"/>
      <c r="AQ1153" s="156"/>
      <c r="AR1153" s="156"/>
      <c r="AS1153" s="156"/>
      <c r="AT1153" s="156"/>
      <c r="AU1153" s="156"/>
      <c r="AV1153" s="156"/>
      <c r="AW1153" s="156"/>
      <c r="AX1153" s="156"/>
      <c r="AY1153" s="156"/>
      <c r="AZ1153" s="156"/>
      <c r="BA1153" s="156"/>
      <c r="BB1153" s="2828"/>
      <c r="BC1153" s="452"/>
      <c r="BD1153" s="2829"/>
      <c r="BE1153" s="156"/>
      <c r="BF1153" s="156"/>
    </row>
    <row r="1154" spans="1:58" hidden="1" outlineLevel="1" x14ac:dyDescent="0.35">
      <c r="A1154" s="1071"/>
      <c r="B1154" s="106"/>
      <c r="C1154" s="103"/>
      <c r="D1154" s="4022"/>
      <c r="E1154" s="4111"/>
      <c r="F1154" s="3949" t="str">
        <f t="shared" si="229"/>
        <v>Mini/MultiSplitASHP_ROF_SF_NC</v>
      </c>
      <c r="G1154" s="3950"/>
      <c r="H1154" s="3951"/>
      <c r="I1154" s="2674" t="str">
        <f t="shared" si="230"/>
        <v>351300_2021_12_</v>
      </c>
      <c r="J1154" s="636">
        <v>1</v>
      </c>
      <c r="K1154" s="637"/>
      <c r="L1154" s="4171"/>
      <c r="M1154" s="1304"/>
      <c r="N1154" s="1296"/>
      <c r="O1154" s="106"/>
      <c r="P1154" s="106"/>
      <c r="Q1154" s="106"/>
      <c r="R1154" s="106"/>
      <c r="S1154" s="106"/>
      <c r="T1154" s="106"/>
      <c r="U1154" s="106"/>
      <c r="V1154" s="4022"/>
      <c r="W1154" s="636">
        <v>1</v>
      </c>
      <c r="X1154" s="636">
        <v>1</v>
      </c>
      <c r="Y1154" s="636">
        <v>1</v>
      </c>
      <c r="Z1154" s="636">
        <v>1</v>
      </c>
      <c r="AA1154" s="636">
        <v>1</v>
      </c>
      <c r="AB1154" s="636">
        <v>1</v>
      </c>
      <c r="AC1154" s="636">
        <v>1</v>
      </c>
      <c r="AD1154" s="636">
        <v>1</v>
      </c>
      <c r="AE1154" s="636"/>
      <c r="AF1154" s="636"/>
      <c r="AG1154" s="638"/>
      <c r="AH1154" s="156"/>
      <c r="AI1154" s="156"/>
      <c r="AJ1154" s="156"/>
      <c r="AK1154" s="156"/>
      <c r="AL1154" s="156"/>
      <c r="AM1154" s="156"/>
      <c r="AN1154" s="156"/>
      <c r="AO1154" s="156"/>
      <c r="AP1154" s="156"/>
      <c r="AQ1154" s="156"/>
      <c r="AR1154" s="156"/>
      <c r="AS1154" s="156"/>
      <c r="AT1154" s="156"/>
      <c r="AU1154" s="156"/>
      <c r="AV1154" s="156"/>
      <c r="AW1154" s="156"/>
      <c r="AX1154" s="156"/>
      <c r="AY1154" s="156"/>
      <c r="AZ1154" s="156"/>
      <c r="BA1154" s="156"/>
      <c r="BB1154" s="2828"/>
      <c r="BC1154" s="452"/>
      <c r="BD1154" s="2829"/>
      <c r="BE1154" s="156"/>
      <c r="BF1154" s="156"/>
    </row>
    <row r="1155" spans="1:58" hidden="1" outlineLevel="1" x14ac:dyDescent="0.35">
      <c r="A1155" s="1071"/>
      <c r="B1155" s="106"/>
      <c r="C1155" s="103"/>
      <c r="D1155" s="4022"/>
      <c r="E1155" s="4111"/>
      <c r="F1155" s="3955" t="str">
        <f t="shared" si="229"/>
        <v>Mini/MultiSplitASHP_ROF_SF_NC</v>
      </c>
      <c r="G1155" s="3956"/>
      <c r="H1155" s="3957"/>
      <c r="I1155" s="2674" t="str">
        <f t="shared" si="230"/>
        <v>351300_2021_12_</v>
      </c>
      <c r="J1155" s="636">
        <v>1</v>
      </c>
      <c r="K1155" s="637"/>
      <c r="L1155" s="4171"/>
      <c r="M1155" s="1304"/>
      <c r="N1155" s="1296"/>
      <c r="O1155" s="106"/>
      <c r="P1155" s="106"/>
      <c r="Q1155" s="106"/>
      <c r="R1155" s="106"/>
      <c r="S1155" s="106"/>
      <c r="T1155" s="106"/>
      <c r="U1155" s="106"/>
      <c r="V1155" s="4022"/>
      <c r="W1155" s="636">
        <v>1</v>
      </c>
      <c r="X1155" s="636">
        <v>1</v>
      </c>
      <c r="Y1155" s="636">
        <v>1</v>
      </c>
      <c r="Z1155" s="636">
        <v>1</v>
      </c>
      <c r="AA1155" s="636">
        <v>1</v>
      </c>
      <c r="AB1155" s="636">
        <v>1</v>
      </c>
      <c r="AC1155" s="636">
        <v>1</v>
      </c>
      <c r="AD1155" s="636">
        <v>1</v>
      </c>
      <c r="AE1155" s="636"/>
      <c r="AF1155" s="636"/>
      <c r="AG1155" s="638"/>
      <c r="AH1155" s="156"/>
      <c r="AI1155" s="156"/>
      <c r="AJ1155" s="156"/>
      <c r="AK1155" s="156"/>
      <c r="AL1155" s="156"/>
      <c r="AM1155" s="156"/>
      <c r="AN1155" s="156"/>
      <c r="AO1155" s="156"/>
      <c r="AP1155" s="156"/>
      <c r="AQ1155" s="156"/>
      <c r="AR1155" s="156"/>
      <c r="AS1155" s="156"/>
      <c r="AT1155" s="156"/>
      <c r="AU1155" s="156"/>
      <c r="AV1155" s="156"/>
      <c r="AW1155" s="156"/>
      <c r="AX1155" s="156"/>
      <c r="AY1155" s="156"/>
      <c r="AZ1155" s="156"/>
      <c r="BA1155" s="156"/>
      <c r="BB1155" s="2828"/>
      <c r="BC1155" s="452"/>
      <c r="BD1155" s="2829"/>
      <c r="BE1155" s="156"/>
      <c r="BF1155" s="156"/>
    </row>
    <row r="1156" spans="1:58" hidden="1" outlineLevel="1" x14ac:dyDescent="0.35">
      <c r="A1156" s="1071"/>
      <c r="B1156" s="106"/>
      <c r="C1156" s="103"/>
      <c r="D1156" s="4022"/>
      <c r="E1156" s="4111"/>
      <c r="F1156" s="3949" t="str">
        <f t="shared" si="229"/>
        <v>Mini/MultiSplitASHP_ROF_SF</v>
      </c>
      <c r="G1156" s="3950"/>
      <c r="H1156" s="3951"/>
      <c r="I1156" s="2674" t="str">
        <f t="shared" si="230"/>
        <v>351350_2021_12_</v>
      </c>
      <c r="J1156" s="636">
        <v>1</v>
      </c>
      <c r="K1156" s="637"/>
      <c r="L1156" s="4171"/>
      <c r="M1156" s="1304"/>
      <c r="N1156" s="1296"/>
      <c r="O1156" s="106"/>
      <c r="P1156" s="106"/>
      <c r="Q1156" s="106"/>
      <c r="R1156" s="106"/>
      <c r="S1156" s="106"/>
      <c r="T1156" s="106"/>
      <c r="U1156" s="106"/>
      <c r="V1156" s="4022"/>
      <c r="W1156" s="636">
        <v>1</v>
      </c>
      <c r="X1156" s="636">
        <v>1</v>
      </c>
      <c r="Y1156" s="636">
        <v>1</v>
      </c>
      <c r="Z1156" s="636">
        <v>1</v>
      </c>
      <c r="AA1156" s="636">
        <v>1</v>
      </c>
      <c r="AB1156" s="636">
        <v>1</v>
      </c>
      <c r="AC1156" s="636">
        <v>1</v>
      </c>
      <c r="AD1156" s="636">
        <v>1</v>
      </c>
      <c r="AE1156" s="636"/>
      <c r="AF1156" s="636"/>
      <c r="AG1156" s="638"/>
      <c r="AH1156" s="156"/>
      <c r="AI1156" s="156"/>
      <c r="AJ1156" s="156"/>
      <c r="AK1156" s="156"/>
      <c r="AL1156" s="156"/>
      <c r="AM1156" s="156"/>
      <c r="AN1156" s="156"/>
      <c r="AO1156" s="156"/>
      <c r="AP1156" s="156"/>
      <c r="AQ1156" s="156"/>
      <c r="AR1156" s="156"/>
      <c r="AS1156" s="156"/>
      <c r="AT1156" s="156"/>
      <c r="AU1156" s="156"/>
      <c r="AV1156" s="156"/>
      <c r="AW1156" s="156"/>
      <c r="AX1156" s="156"/>
      <c r="AY1156" s="156"/>
      <c r="AZ1156" s="156"/>
      <c r="BA1156" s="156"/>
      <c r="BB1156" s="2828"/>
      <c r="BC1156" s="452"/>
      <c r="BD1156" s="2829"/>
      <c r="BE1156" s="156"/>
      <c r="BF1156" s="156"/>
    </row>
    <row r="1157" spans="1:58" hidden="1" outlineLevel="1" x14ac:dyDescent="0.35">
      <c r="A1157" s="1071"/>
      <c r="B1157" s="106"/>
      <c r="C1157" s="103"/>
      <c r="D1157" s="4022"/>
      <c r="E1157" s="4111"/>
      <c r="F1157" s="3955" t="str">
        <f t="shared" si="229"/>
        <v>Mini/MultiSplitASHP_ROF_SF</v>
      </c>
      <c r="G1157" s="3956"/>
      <c r="H1157" s="3957"/>
      <c r="I1157" s="2674" t="str">
        <f t="shared" si="230"/>
        <v>351350_2021_12_</v>
      </c>
      <c r="J1157" s="636">
        <v>1</v>
      </c>
      <c r="K1157" s="637"/>
      <c r="L1157" s="4171"/>
      <c r="M1157" s="1304"/>
      <c r="N1157" s="1296"/>
      <c r="O1157" s="106"/>
      <c r="P1157" s="106"/>
      <c r="Q1157" s="106"/>
      <c r="R1157" s="106"/>
      <c r="S1157" s="106"/>
      <c r="T1157" s="106"/>
      <c r="U1157" s="106"/>
      <c r="V1157" s="4022"/>
      <c r="W1157" s="636">
        <v>1</v>
      </c>
      <c r="X1157" s="636">
        <v>1</v>
      </c>
      <c r="Y1157" s="636">
        <v>1</v>
      </c>
      <c r="Z1157" s="636">
        <v>1</v>
      </c>
      <c r="AA1157" s="636">
        <v>1</v>
      </c>
      <c r="AB1157" s="636">
        <v>1</v>
      </c>
      <c r="AC1157" s="636">
        <v>1</v>
      </c>
      <c r="AD1157" s="636">
        <v>1</v>
      </c>
      <c r="AE1157" s="636"/>
      <c r="AF1157" s="636"/>
      <c r="AG1157" s="638"/>
      <c r="AH1157" s="156"/>
      <c r="AI1157" s="156"/>
      <c r="AJ1157" s="156"/>
      <c r="AK1157" s="156"/>
      <c r="AL1157" s="156"/>
      <c r="AM1157" s="156"/>
      <c r="AN1157" s="156"/>
      <c r="AO1157" s="156"/>
      <c r="AP1157" s="156"/>
      <c r="AQ1157" s="156"/>
      <c r="AR1157" s="156"/>
      <c r="AS1157" s="156"/>
      <c r="AT1157" s="156"/>
      <c r="AU1157" s="156"/>
      <c r="AV1157" s="156"/>
      <c r="AW1157" s="156"/>
      <c r="AX1157" s="156"/>
      <c r="AY1157" s="156"/>
      <c r="AZ1157" s="156"/>
      <c r="BA1157" s="156"/>
      <c r="BB1157" s="2828"/>
      <c r="BC1157" s="452"/>
      <c r="BD1157" s="2829"/>
      <c r="BE1157" s="156"/>
      <c r="BF1157" s="156"/>
    </row>
    <row r="1158" spans="1:58" hidden="1" outlineLevel="1" x14ac:dyDescent="0.35">
      <c r="A1158" s="1071"/>
      <c r="B1158" s="106"/>
      <c r="C1158" s="103"/>
      <c r="D1158" s="4022"/>
      <c r="E1158" s="4111"/>
      <c r="F1158" s="3949" t="str">
        <f t="shared" si="229"/>
        <v>Mini/MultiSplitASHP-Replace_CAC_ElectricHeat_ER1_SF</v>
      </c>
      <c r="G1158" s="3950"/>
      <c r="H1158" s="3951"/>
      <c r="I1158" s="2674" t="str">
        <f t="shared" si="230"/>
        <v>351400_2021_12_</v>
      </c>
      <c r="J1158" s="636">
        <v>1</v>
      </c>
      <c r="K1158" s="637"/>
      <c r="L1158" s="4171"/>
      <c r="M1158" s="1304"/>
      <c r="N1158" s="1296"/>
      <c r="O1158" s="106"/>
      <c r="P1158" s="106"/>
      <c r="Q1158" s="106"/>
      <c r="R1158" s="106"/>
      <c r="S1158" s="106"/>
      <c r="T1158" s="106"/>
      <c r="U1158" s="106"/>
      <c r="V1158" s="4022"/>
      <c r="W1158" s="636">
        <v>1</v>
      </c>
      <c r="X1158" s="636">
        <v>1</v>
      </c>
      <c r="Y1158" s="636">
        <v>1</v>
      </c>
      <c r="Z1158" s="636">
        <v>1</v>
      </c>
      <c r="AA1158" s="636">
        <v>1</v>
      </c>
      <c r="AB1158" s="636">
        <v>1</v>
      </c>
      <c r="AC1158" s="636">
        <v>1</v>
      </c>
      <c r="AD1158" s="636">
        <v>1</v>
      </c>
      <c r="AE1158" s="636"/>
      <c r="AF1158" s="636"/>
      <c r="AG1158" s="638"/>
      <c r="AH1158" s="156"/>
      <c r="AI1158" s="156"/>
      <c r="AJ1158" s="156"/>
      <c r="AK1158" s="156"/>
      <c r="AL1158" s="156"/>
      <c r="AM1158" s="156"/>
      <c r="AN1158" s="156"/>
      <c r="AO1158" s="156"/>
      <c r="AP1158" s="156"/>
      <c r="AQ1158" s="156"/>
      <c r="AR1158" s="156"/>
      <c r="AS1158" s="156"/>
      <c r="AT1158" s="156"/>
      <c r="AU1158" s="156"/>
      <c r="AV1158" s="156"/>
      <c r="AW1158" s="156"/>
      <c r="AX1158" s="156"/>
      <c r="AY1158" s="156"/>
      <c r="AZ1158" s="156"/>
      <c r="BA1158" s="156"/>
      <c r="BB1158" s="2828"/>
      <c r="BC1158" s="452"/>
      <c r="BD1158" s="2829"/>
      <c r="BE1158" s="156"/>
      <c r="BF1158" s="156"/>
    </row>
    <row r="1159" spans="1:58" hidden="1" outlineLevel="1" x14ac:dyDescent="0.35">
      <c r="A1159" s="1071"/>
      <c r="B1159" s="106"/>
      <c r="C1159" s="103"/>
      <c r="D1159" s="4022"/>
      <c r="E1159" s="4111"/>
      <c r="F1159" s="3952" t="str">
        <f t="shared" si="229"/>
        <v>Mini/MultiSplitASHP-Replace_CAC_ElectricHeat_ER1_SF</v>
      </c>
      <c r="G1159" s="3953"/>
      <c r="H1159" s="3954"/>
      <c r="I1159" s="2674" t="str">
        <f t="shared" si="230"/>
        <v>351400_2021_12_</v>
      </c>
      <c r="J1159" s="636">
        <v>1</v>
      </c>
      <c r="K1159" s="637"/>
      <c r="L1159" s="4171"/>
      <c r="M1159" s="1304"/>
      <c r="N1159" s="1296"/>
      <c r="O1159" s="106"/>
      <c r="P1159" s="106"/>
      <c r="Q1159" s="106"/>
      <c r="R1159" s="106"/>
      <c r="S1159" s="106"/>
      <c r="T1159" s="106"/>
      <c r="U1159" s="106"/>
      <c r="V1159" s="4022"/>
      <c r="W1159" s="636">
        <v>1</v>
      </c>
      <c r="X1159" s="636">
        <v>1</v>
      </c>
      <c r="Y1159" s="636">
        <v>1</v>
      </c>
      <c r="Z1159" s="636">
        <v>1</v>
      </c>
      <c r="AA1159" s="636">
        <v>1</v>
      </c>
      <c r="AB1159" s="636">
        <v>1</v>
      </c>
      <c r="AC1159" s="636">
        <v>1</v>
      </c>
      <c r="AD1159" s="636">
        <v>1</v>
      </c>
      <c r="AE1159" s="636"/>
      <c r="AF1159" s="636"/>
      <c r="AG1159" s="638"/>
      <c r="AH1159" s="156"/>
      <c r="AI1159" s="156"/>
      <c r="AJ1159" s="156"/>
      <c r="AK1159" s="156"/>
      <c r="AL1159" s="156"/>
      <c r="AM1159" s="156"/>
      <c r="AN1159" s="156"/>
      <c r="AO1159" s="156"/>
      <c r="AP1159" s="156"/>
      <c r="AQ1159" s="156"/>
      <c r="AR1159" s="156"/>
      <c r="AS1159" s="156"/>
      <c r="AT1159" s="156"/>
      <c r="AU1159" s="156"/>
      <c r="AV1159" s="156"/>
      <c r="AW1159" s="156"/>
      <c r="AX1159" s="156"/>
      <c r="AY1159" s="156"/>
      <c r="AZ1159" s="156"/>
      <c r="BA1159" s="156"/>
      <c r="BB1159" s="2828"/>
      <c r="BC1159" s="452"/>
      <c r="BD1159" s="2829"/>
      <c r="BE1159" s="156"/>
      <c r="BF1159" s="156"/>
    </row>
    <row r="1160" spans="1:58" hidden="1" outlineLevel="1" x14ac:dyDescent="0.35">
      <c r="A1160" s="1071"/>
      <c r="B1160" s="106"/>
      <c r="C1160" s="103"/>
      <c r="D1160" s="4022"/>
      <c r="E1160" s="4111"/>
      <c r="F1160" s="3952" t="str">
        <f t="shared" si="229"/>
        <v>Mini/MultiSplitASHP-Replace_CAC_ElectricHeat_ER2_SF</v>
      </c>
      <c r="G1160" s="3953"/>
      <c r="H1160" s="3954"/>
      <c r="I1160" s="2674" t="str">
        <f t="shared" si="230"/>
        <v>351400_2021_12_</v>
      </c>
      <c r="J1160" s="636">
        <v>1</v>
      </c>
      <c r="K1160" s="637"/>
      <c r="L1160" s="4171"/>
      <c r="M1160" s="1304"/>
      <c r="N1160" s="1296"/>
      <c r="O1160" s="106"/>
      <c r="P1160" s="106"/>
      <c r="Q1160" s="106"/>
      <c r="R1160" s="106"/>
      <c r="S1160" s="106"/>
      <c r="T1160" s="106"/>
      <c r="U1160" s="106"/>
      <c r="V1160" s="4022"/>
      <c r="W1160" s="636">
        <v>1</v>
      </c>
      <c r="X1160" s="636">
        <v>1</v>
      </c>
      <c r="Y1160" s="636">
        <v>1</v>
      </c>
      <c r="Z1160" s="636">
        <v>1</v>
      </c>
      <c r="AA1160" s="636">
        <v>1</v>
      </c>
      <c r="AB1160" s="636">
        <v>1</v>
      </c>
      <c r="AC1160" s="636">
        <v>1</v>
      </c>
      <c r="AD1160" s="636">
        <v>1</v>
      </c>
      <c r="AE1160" s="636"/>
      <c r="AF1160" s="636"/>
      <c r="AG1160" s="638"/>
      <c r="AH1160" s="156"/>
      <c r="AI1160" s="156"/>
      <c r="AJ1160" s="156"/>
      <c r="AK1160" s="156"/>
      <c r="AL1160" s="156"/>
      <c r="AM1160" s="156"/>
      <c r="AN1160" s="156"/>
      <c r="AO1160" s="156"/>
      <c r="AP1160" s="156"/>
      <c r="AQ1160" s="156"/>
      <c r="AR1160" s="156"/>
      <c r="AS1160" s="156"/>
      <c r="AT1160" s="156"/>
      <c r="AU1160" s="156"/>
      <c r="AV1160" s="156"/>
      <c r="AW1160" s="156"/>
      <c r="AX1160" s="156"/>
      <c r="AY1160" s="156"/>
      <c r="AZ1160" s="156"/>
      <c r="BA1160" s="156"/>
      <c r="BB1160" s="2828"/>
      <c r="BC1160" s="452"/>
      <c r="BD1160" s="2829"/>
      <c r="BE1160" s="156"/>
      <c r="BF1160" s="156"/>
    </row>
    <row r="1161" spans="1:58" hidden="1" outlineLevel="1" x14ac:dyDescent="0.35">
      <c r="A1161" s="1071"/>
      <c r="B1161" s="106"/>
      <c r="C1161" s="103"/>
      <c r="D1161" s="4022"/>
      <c r="E1161" s="4111"/>
      <c r="F1161" s="3955" t="str">
        <f t="shared" si="229"/>
        <v>Mini/MultiSplitASHP-Replace_CAC_ElectricHeat_ER2_SF</v>
      </c>
      <c r="G1161" s="3956"/>
      <c r="H1161" s="3957"/>
      <c r="I1161" s="2674" t="str">
        <f>C803</f>
        <v>351400_2021_12_</v>
      </c>
      <c r="J1161" s="636">
        <v>1</v>
      </c>
      <c r="K1161" s="637"/>
      <c r="L1161" s="4171"/>
      <c r="M1161" s="1304"/>
      <c r="N1161" s="1296"/>
      <c r="O1161" s="106"/>
      <c r="P1161" s="106"/>
      <c r="Q1161" s="106"/>
      <c r="R1161" s="106"/>
      <c r="S1161" s="106"/>
      <c r="T1161" s="106"/>
      <c r="U1161" s="106"/>
      <c r="V1161" s="4022"/>
      <c r="W1161" s="636">
        <v>1</v>
      </c>
      <c r="X1161" s="636">
        <v>1</v>
      </c>
      <c r="Y1161" s="636">
        <v>1</v>
      </c>
      <c r="Z1161" s="636">
        <v>1</v>
      </c>
      <c r="AA1161" s="636">
        <v>1</v>
      </c>
      <c r="AB1161" s="636">
        <v>1</v>
      </c>
      <c r="AC1161" s="636">
        <v>1</v>
      </c>
      <c r="AD1161" s="636">
        <v>1</v>
      </c>
      <c r="AE1161" s="636"/>
      <c r="AF1161" s="636"/>
      <c r="AG1161" s="638"/>
      <c r="AH1161" s="156"/>
      <c r="AI1161" s="156"/>
      <c r="AJ1161" s="156"/>
      <c r="AK1161" s="156"/>
      <c r="AL1161" s="156"/>
      <c r="AM1161" s="156"/>
      <c r="AN1161" s="156"/>
      <c r="AO1161" s="156"/>
      <c r="AP1161" s="156"/>
      <c r="AQ1161" s="156"/>
      <c r="AR1161" s="156"/>
      <c r="AS1161" s="156"/>
      <c r="AT1161" s="156"/>
      <c r="AU1161" s="156"/>
      <c r="AV1161" s="156"/>
      <c r="AW1161" s="156"/>
      <c r="AX1161" s="156"/>
      <c r="AY1161" s="156"/>
      <c r="AZ1161" s="156"/>
      <c r="BA1161" s="156"/>
      <c r="BB1161" s="2828"/>
      <c r="BC1161" s="452"/>
      <c r="BD1161" s="2829"/>
      <c r="BE1161" s="156"/>
      <c r="BF1161" s="156"/>
    </row>
    <row r="1162" spans="1:58" hidden="1" outlineLevel="1" x14ac:dyDescent="0.35">
      <c r="A1162" s="1071"/>
      <c r="B1162" s="106"/>
      <c r="C1162" s="103"/>
      <c r="D1162" s="4022"/>
      <c r="E1162" s="4111"/>
      <c r="F1162" s="3961" t="str">
        <f t="shared" si="229"/>
        <v>Mini/MultiSplitASHP-Replace_CAC_NonElectricHeat_ER1_SF</v>
      </c>
      <c r="G1162" s="3962"/>
      <c r="H1162" s="3963"/>
      <c r="I1162" s="2763" t="str">
        <f>C804</f>
        <v>351401_2022_12_</v>
      </c>
      <c r="J1162" s="639">
        <v>1</v>
      </c>
      <c r="K1162" s="637"/>
      <c r="L1162" s="4171"/>
      <c r="M1162" s="1304"/>
      <c r="N1162" s="1296"/>
      <c r="O1162" s="106"/>
      <c r="P1162" s="106"/>
      <c r="Q1162" s="106"/>
      <c r="R1162" s="106"/>
      <c r="S1162" s="106"/>
      <c r="T1162" s="106"/>
      <c r="U1162" s="106"/>
      <c r="V1162" s="4022"/>
      <c r="W1162" s="636"/>
      <c r="X1162" s="636"/>
      <c r="Y1162" s="636"/>
      <c r="Z1162" s="636"/>
      <c r="AA1162" s="636"/>
      <c r="AB1162" s="636"/>
      <c r="AC1162" s="636"/>
      <c r="AD1162" s="639">
        <v>1</v>
      </c>
      <c r="AE1162" s="636"/>
      <c r="AF1162" s="636"/>
      <c r="AG1162" s="638"/>
      <c r="AH1162" s="156"/>
      <c r="AI1162" s="156"/>
      <c r="AJ1162" s="156"/>
      <c r="AK1162" s="156"/>
      <c r="AL1162" s="156"/>
      <c r="AM1162" s="156"/>
      <c r="AN1162" s="156"/>
      <c r="AO1162" s="156"/>
      <c r="AP1162" s="156"/>
      <c r="AQ1162" s="156"/>
      <c r="AR1162" s="156"/>
      <c r="AS1162" s="156"/>
      <c r="AT1162" s="156"/>
      <c r="AU1162" s="156"/>
      <c r="AV1162" s="156"/>
      <c r="AW1162" s="156"/>
      <c r="AX1162" s="156"/>
      <c r="AY1162" s="156"/>
      <c r="AZ1162" s="156"/>
      <c r="BA1162" s="156"/>
      <c r="BB1162" s="2828"/>
      <c r="BC1162" s="452"/>
      <c r="BD1162" s="2829"/>
      <c r="BE1162" s="156"/>
      <c r="BF1162" s="156"/>
    </row>
    <row r="1163" spans="1:58" hidden="1" outlineLevel="1" x14ac:dyDescent="0.35">
      <c r="A1163" s="1071"/>
      <c r="B1163" s="106"/>
      <c r="C1163" s="103"/>
      <c r="D1163" s="4022"/>
      <c r="E1163" s="4111"/>
      <c r="F1163" s="3964" t="str">
        <f t="shared" ref="F1163:F1165" si="231">E805</f>
        <v>Mini/MultiSplitASHP-Replace_CAC_NonElectricHeat_ER1_SF</v>
      </c>
      <c r="G1163" s="3965"/>
      <c r="H1163" s="3966"/>
      <c r="I1163" s="2763" t="str">
        <f t="shared" ref="I1163" si="232">C805</f>
        <v>351401_2022_12_</v>
      </c>
      <c r="J1163" s="639">
        <v>1</v>
      </c>
      <c r="K1163" s="637"/>
      <c r="L1163" s="4171"/>
      <c r="M1163" s="1304"/>
      <c r="N1163" s="1296"/>
      <c r="O1163" s="106"/>
      <c r="P1163" s="106"/>
      <c r="Q1163" s="106"/>
      <c r="R1163" s="106"/>
      <c r="S1163" s="106"/>
      <c r="T1163" s="106"/>
      <c r="U1163" s="106"/>
      <c r="V1163" s="4022"/>
      <c r="W1163" s="636"/>
      <c r="X1163" s="636"/>
      <c r="Y1163" s="636"/>
      <c r="Z1163" s="636"/>
      <c r="AA1163" s="636"/>
      <c r="AB1163" s="636"/>
      <c r="AC1163" s="636"/>
      <c r="AD1163" s="639">
        <v>1</v>
      </c>
      <c r="AE1163" s="636"/>
      <c r="AF1163" s="636"/>
      <c r="AG1163" s="638"/>
      <c r="AH1163" s="156"/>
      <c r="AI1163" s="156"/>
      <c r="AJ1163" s="156"/>
      <c r="AK1163" s="156"/>
      <c r="AL1163" s="156"/>
      <c r="AM1163" s="156"/>
      <c r="AN1163" s="156"/>
      <c r="AO1163" s="156"/>
      <c r="AP1163" s="156"/>
      <c r="AQ1163" s="156"/>
      <c r="AR1163" s="156"/>
      <c r="AS1163" s="156"/>
      <c r="AT1163" s="156"/>
      <c r="AU1163" s="156"/>
      <c r="AV1163" s="156"/>
      <c r="AW1163" s="156"/>
      <c r="AX1163" s="156"/>
      <c r="AY1163" s="156"/>
      <c r="AZ1163" s="156"/>
      <c r="BA1163" s="156"/>
      <c r="BB1163" s="2828"/>
      <c r="BC1163" s="452"/>
      <c r="BD1163" s="2829"/>
      <c r="BE1163" s="156"/>
      <c r="BF1163" s="156"/>
    </row>
    <row r="1164" spans="1:58" hidden="1" outlineLevel="1" x14ac:dyDescent="0.35">
      <c r="A1164" s="1071"/>
      <c r="B1164" s="106"/>
      <c r="C1164" s="103"/>
      <c r="D1164" s="4022"/>
      <c r="E1164" s="4111"/>
      <c r="F1164" s="3964" t="str">
        <f t="shared" si="231"/>
        <v>Mini/MultiSplitASHP-Replace_CAC_NonElectricHeat_ER2_SF</v>
      </c>
      <c r="G1164" s="3965"/>
      <c r="H1164" s="3966"/>
      <c r="I1164" s="2763" t="str">
        <f>C806</f>
        <v>351401_2022_12_</v>
      </c>
      <c r="J1164" s="639">
        <v>1</v>
      </c>
      <c r="K1164" s="637"/>
      <c r="L1164" s="4171"/>
      <c r="M1164" s="1304"/>
      <c r="N1164" s="1296"/>
      <c r="O1164" s="106"/>
      <c r="P1164" s="106"/>
      <c r="Q1164" s="106"/>
      <c r="R1164" s="106"/>
      <c r="S1164" s="106"/>
      <c r="T1164" s="106"/>
      <c r="U1164" s="106"/>
      <c r="V1164" s="4022"/>
      <c r="W1164" s="636"/>
      <c r="X1164" s="636"/>
      <c r="Y1164" s="636"/>
      <c r="Z1164" s="636"/>
      <c r="AA1164" s="636"/>
      <c r="AB1164" s="636"/>
      <c r="AC1164" s="636"/>
      <c r="AD1164" s="639">
        <v>1</v>
      </c>
      <c r="AE1164" s="636"/>
      <c r="AF1164" s="636"/>
      <c r="AG1164" s="638"/>
      <c r="AH1164" s="156"/>
      <c r="AI1164" s="156"/>
      <c r="AJ1164" s="156"/>
      <c r="AK1164" s="156"/>
      <c r="AL1164" s="156"/>
      <c r="AM1164" s="156"/>
      <c r="AN1164" s="156"/>
      <c r="AO1164" s="156"/>
      <c r="AP1164" s="156"/>
      <c r="AQ1164" s="156"/>
      <c r="AR1164" s="156"/>
      <c r="AS1164" s="156"/>
      <c r="AT1164" s="156"/>
      <c r="AU1164" s="156"/>
      <c r="AV1164" s="156"/>
      <c r="AW1164" s="156"/>
      <c r="AX1164" s="156"/>
      <c r="AY1164" s="156"/>
      <c r="AZ1164" s="156"/>
      <c r="BA1164" s="156"/>
      <c r="BB1164" s="2828"/>
      <c r="BC1164" s="452"/>
      <c r="BD1164" s="2829"/>
      <c r="BE1164" s="156"/>
      <c r="BF1164" s="156"/>
    </row>
    <row r="1165" spans="1:58" hidden="1" outlineLevel="1" x14ac:dyDescent="0.35">
      <c r="A1165" s="1071"/>
      <c r="B1165" s="106"/>
      <c r="C1165" s="103"/>
      <c r="D1165" s="4022"/>
      <c r="E1165" s="4111"/>
      <c r="F1165" s="3946" t="str">
        <f t="shared" si="231"/>
        <v>Mini/MultiSplitASHP-Replace_CAC_NonElectricHeat_ER2_SF</v>
      </c>
      <c r="G1165" s="3947"/>
      <c r="H1165" s="3948"/>
      <c r="I1165" s="2763" t="str">
        <f>C807</f>
        <v>351401_2022_12_</v>
      </c>
      <c r="J1165" s="639">
        <v>1</v>
      </c>
      <c r="K1165" s="637"/>
      <c r="L1165" s="4171"/>
      <c r="M1165" s="1304"/>
      <c r="N1165" s="1296"/>
      <c r="O1165" s="106"/>
      <c r="P1165" s="106"/>
      <c r="Q1165" s="106"/>
      <c r="R1165" s="106"/>
      <c r="S1165" s="106"/>
      <c r="T1165" s="106"/>
      <c r="U1165" s="106"/>
      <c r="V1165" s="4022"/>
      <c r="W1165" s="636"/>
      <c r="X1165" s="636"/>
      <c r="Y1165" s="636"/>
      <c r="Z1165" s="636"/>
      <c r="AA1165" s="636"/>
      <c r="AB1165" s="636"/>
      <c r="AC1165" s="636"/>
      <c r="AD1165" s="639">
        <v>1</v>
      </c>
      <c r="AE1165" s="636"/>
      <c r="AF1165" s="636"/>
      <c r="AG1165" s="638"/>
      <c r="AH1165" s="156"/>
      <c r="AI1165" s="156"/>
      <c r="AJ1165" s="156"/>
      <c r="AK1165" s="156"/>
      <c r="AL1165" s="156"/>
      <c r="AM1165" s="156"/>
      <c r="AN1165" s="156"/>
      <c r="AO1165" s="156"/>
      <c r="AP1165" s="156"/>
      <c r="AQ1165" s="156"/>
      <c r="AR1165" s="156"/>
      <c r="AS1165" s="156"/>
      <c r="AT1165" s="156"/>
      <c r="AU1165" s="156"/>
      <c r="AV1165" s="156"/>
      <c r="AW1165" s="156"/>
      <c r="AX1165" s="156"/>
      <c r="AY1165" s="156"/>
      <c r="AZ1165" s="156"/>
      <c r="BA1165" s="156"/>
      <c r="BB1165" s="2828"/>
      <c r="BC1165" s="452"/>
      <c r="BD1165" s="2829"/>
      <c r="BE1165" s="156"/>
      <c r="BF1165" s="156"/>
    </row>
    <row r="1166" spans="1:58" hidden="1" outlineLevel="1" x14ac:dyDescent="0.35">
      <c r="A1166" s="1071"/>
      <c r="B1166" s="106"/>
      <c r="C1166" s="103"/>
      <c r="D1166" s="4022"/>
      <c r="E1166" s="4111"/>
      <c r="F1166" s="3949" t="str">
        <f t="shared" ref="F1166:F1175" si="233">E808</f>
        <v>Mini/MultiSplitASHP-Replace_CAC_ElectricHeat_ROF_SF</v>
      </c>
      <c r="G1166" s="3950"/>
      <c r="H1166" s="3951"/>
      <c r="I1166" s="2674" t="str">
        <f t="shared" ref="I1166:I1175" si="234">C808</f>
        <v>351450_2021_12_</v>
      </c>
      <c r="J1166" s="636">
        <v>1</v>
      </c>
      <c r="K1166" s="637"/>
      <c r="L1166" s="4171"/>
      <c r="M1166" s="1304"/>
      <c r="N1166" s="1296"/>
      <c r="O1166" s="106"/>
      <c r="P1166" s="106"/>
      <c r="Q1166" s="106"/>
      <c r="R1166" s="106"/>
      <c r="S1166" s="106"/>
      <c r="T1166" s="106"/>
      <c r="U1166" s="106"/>
      <c r="V1166" s="4022"/>
      <c r="W1166" s="636">
        <v>1</v>
      </c>
      <c r="X1166" s="636">
        <v>1</v>
      </c>
      <c r="Y1166" s="636">
        <v>1</v>
      </c>
      <c r="Z1166" s="636">
        <v>1</v>
      </c>
      <c r="AA1166" s="636">
        <v>1</v>
      </c>
      <c r="AB1166" s="636">
        <v>1</v>
      </c>
      <c r="AC1166" s="636">
        <v>1</v>
      </c>
      <c r="AD1166" s="636">
        <v>1</v>
      </c>
      <c r="AE1166" s="636"/>
      <c r="AF1166" s="636"/>
      <c r="AG1166" s="638"/>
      <c r="AH1166" s="156"/>
      <c r="AI1166" s="156"/>
      <c r="AJ1166" s="156"/>
      <c r="AK1166" s="156"/>
      <c r="AL1166" s="156"/>
      <c r="AM1166" s="156"/>
      <c r="AN1166" s="156"/>
      <c r="AO1166" s="156"/>
      <c r="AP1166" s="156"/>
      <c r="AQ1166" s="156"/>
      <c r="AR1166" s="156"/>
      <c r="AS1166" s="156"/>
      <c r="AT1166" s="156"/>
      <c r="AU1166" s="156"/>
      <c r="AV1166" s="156"/>
      <c r="AW1166" s="156"/>
      <c r="AX1166" s="156"/>
      <c r="AY1166" s="156"/>
      <c r="AZ1166" s="156"/>
      <c r="BA1166" s="156"/>
      <c r="BB1166" s="2828"/>
      <c r="BC1166" s="452"/>
      <c r="BD1166" s="2829"/>
      <c r="BE1166" s="156"/>
      <c r="BF1166" s="156"/>
    </row>
    <row r="1167" spans="1:58" hidden="1" outlineLevel="1" x14ac:dyDescent="0.35">
      <c r="A1167" s="1071"/>
      <c r="B1167" s="106"/>
      <c r="C1167" s="103"/>
      <c r="D1167" s="4022"/>
      <c r="E1167" s="4111"/>
      <c r="F1167" s="3955" t="str">
        <f t="shared" si="233"/>
        <v>Mini/MultiSplitASHP-Replace_CAC_ElectricHeat_ROF_SF</v>
      </c>
      <c r="G1167" s="3956"/>
      <c r="H1167" s="3957"/>
      <c r="I1167" s="2674" t="str">
        <f t="shared" si="234"/>
        <v>351450_2021_12_</v>
      </c>
      <c r="J1167" s="636">
        <v>1</v>
      </c>
      <c r="K1167" s="637"/>
      <c r="L1167" s="4171"/>
      <c r="M1167" s="1304"/>
      <c r="N1167" s="1296"/>
      <c r="O1167" s="106"/>
      <c r="P1167" s="106"/>
      <c r="Q1167" s="106"/>
      <c r="R1167" s="106"/>
      <c r="S1167" s="106"/>
      <c r="T1167" s="106"/>
      <c r="U1167" s="106"/>
      <c r="V1167" s="4022"/>
      <c r="W1167" s="636">
        <v>1</v>
      </c>
      <c r="X1167" s="636">
        <v>1</v>
      </c>
      <c r="Y1167" s="636">
        <v>1</v>
      </c>
      <c r="Z1167" s="636">
        <v>1</v>
      </c>
      <c r="AA1167" s="636">
        <v>1</v>
      </c>
      <c r="AB1167" s="636">
        <v>1</v>
      </c>
      <c r="AC1167" s="636">
        <v>1</v>
      </c>
      <c r="AD1167" s="636">
        <v>1</v>
      </c>
      <c r="AE1167" s="636"/>
      <c r="AF1167" s="636"/>
      <c r="AG1167" s="638"/>
      <c r="AH1167" s="156"/>
      <c r="AI1167" s="156"/>
      <c r="AJ1167" s="156"/>
      <c r="AK1167" s="156"/>
      <c r="AL1167" s="156"/>
      <c r="AM1167" s="156"/>
      <c r="AN1167" s="156"/>
      <c r="AO1167" s="156"/>
      <c r="AP1167" s="156"/>
      <c r="AQ1167" s="156"/>
      <c r="AR1167" s="156"/>
      <c r="AS1167" s="156"/>
      <c r="AT1167" s="156"/>
      <c r="AU1167" s="156"/>
      <c r="AV1167" s="156"/>
      <c r="AW1167" s="156"/>
      <c r="AX1167" s="156"/>
      <c r="AY1167" s="156"/>
      <c r="AZ1167" s="156"/>
      <c r="BA1167" s="156"/>
      <c r="BB1167" s="2828"/>
      <c r="BC1167" s="452"/>
      <c r="BD1167" s="2829"/>
      <c r="BE1167" s="156"/>
      <c r="BF1167" s="156"/>
    </row>
    <row r="1168" spans="1:58" hidden="1" outlineLevel="1" x14ac:dyDescent="0.35">
      <c r="A1168" s="1071"/>
      <c r="B1168" s="106"/>
      <c r="C1168" s="103"/>
      <c r="D1168" s="4022"/>
      <c r="E1168" s="4111"/>
      <c r="F1168" s="3961" t="str">
        <f t="shared" si="233"/>
        <v>Mini/MultiSplitASHP-Replace_CAC_NonElectricHeat_ROF_SF</v>
      </c>
      <c r="G1168" s="3962"/>
      <c r="H1168" s="3963"/>
      <c r="I1168" s="2763" t="str">
        <f t="shared" si="234"/>
        <v>351451_2022_12_</v>
      </c>
      <c r="J1168" s="639">
        <v>1</v>
      </c>
      <c r="K1168" s="637"/>
      <c r="L1168" s="4171"/>
      <c r="M1168" s="1304"/>
      <c r="N1168" s="1296"/>
      <c r="O1168" s="106"/>
      <c r="P1168" s="106"/>
      <c r="Q1168" s="106"/>
      <c r="R1168" s="106"/>
      <c r="S1168" s="106"/>
      <c r="T1168" s="106"/>
      <c r="U1168" s="106"/>
      <c r="V1168" s="4022"/>
      <c r="W1168" s="636"/>
      <c r="X1168" s="636"/>
      <c r="Y1168" s="636"/>
      <c r="Z1168" s="636"/>
      <c r="AA1168" s="636"/>
      <c r="AB1168" s="636"/>
      <c r="AC1168" s="636"/>
      <c r="AD1168" s="639">
        <v>1</v>
      </c>
      <c r="AE1168" s="636"/>
      <c r="AF1168" s="636"/>
      <c r="AG1168" s="638"/>
      <c r="AH1168" s="156"/>
      <c r="AI1168" s="156"/>
      <c r="AJ1168" s="156"/>
      <c r="AK1168" s="156"/>
      <c r="AL1168" s="156"/>
      <c r="AM1168" s="156"/>
      <c r="AN1168" s="156"/>
      <c r="AO1168" s="156"/>
      <c r="AP1168" s="156"/>
      <c r="AQ1168" s="156"/>
      <c r="AR1168" s="156"/>
      <c r="AS1168" s="156"/>
      <c r="AT1168" s="156"/>
      <c r="AU1168" s="156"/>
      <c r="AV1168" s="156"/>
      <c r="AW1168" s="156"/>
      <c r="AX1168" s="156"/>
      <c r="AY1168" s="156"/>
      <c r="AZ1168" s="156"/>
      <c r="BA1168" s="156"/>
      <c r="BB1168" s="2828"/>
      <c r="BC1168" s="452"/>
      <c r="BD1168" s="2829"/>
      <c r="BE1168" s="156"/>
      <c r="BF1168" s="156"/>
    </row>
    <row r="1169" spans="1:58" hidden="1" outlineLevel="1" x14ac:dyDescent="0.35">
      <c r="A1169" s="1071"/>
      <c r="B1169" s="106"/>
      <c r="C1169" s="103"/>
      <c r="D1169" s="4022"/>
      <c r="E1169" s="4111"/>
      <c r="F1169" s="3946" t="str">
        <f t="shared" si="233"/>
        <v>Mini/MultiSplitASHP-Replace_CAC_NonElectricHeat_ROF_SF</v>
      </c>
      <c r="G1169" s="3947"/>
      <c r="H1169" s="3948"/>
      <c r="I1169" s="2763" t="str">
        <f t="shared" si="234"/>
        <v>351451_2022_12_</v>
      </c>
      <c r="J1169" s="639">
        <v>1</v>
      </c>
      <c r="K1169" s="637"/>
      <c r="L1169" s="4171"/>
      <c r="M1169" s="1304"/>
      <c r="N1169" s="1296"/>
      <c r="O1169" s="106"/>
      <c r="P1169" s="106"/>
      <c r="Q1169" s="106"/>
      <c r="R1169" s="106"/>
      <c r="S1169" s="106"/>
      <c r="T1169" s="106"/>
      <c r="U1169" s="106"/>
      <c r="V1169" s="4022"/>
      <c r="W1169" s="636"/>
      <c r="X1169" s="636"/>
      <c r="Y1169" s="636"/>
      <c r="Z1169" s="636"/>
      <c r="AA1169" s="636"/>
      <c r="AB1169" s="636"/>
      <c r="AC1169" s="636"/>
      <c r="AD1169" s="639">
        <v>1</v>
      </c>
      <c r="AE1169" s="636"/>
      <c r="AF1169" s="636"/>
      <c r="AG1169" s="638"/>
      <c r="AH1169" s="156"/>
      <c r="AI1169" s="156"/>
      <c r="AJ1169" s="156"/>
      <c r="AK1169" s="156"/>
      <c r="AL1169" s="156"/>
      <c r="AM1169" s="156"/>
      <c r="AN1169" s="156"/>
      <c r="AO1169" s="156"/>
      <c r="AP1169" s="156"/>
      <c r="AQ1169" s="156"/>
      <c r="AR1169" s="156"/>
      <c r="AS1169" s="156"/>
      <c r="AT1169" s="156"/>
      <c r="AU1169" s="156"/>
      <c r="AV1169" s="156"/>
      <c r="AW1169" s="156"/>
      <c r="AX1169" s="156"/>
      <c r="AY1169" s="156"/>
      <c r="AZ1169" s="156"/>
      <c r="BA1169" s="156"/>
      <c r="BB1169" s="2828"/>
      <c r="BC1169" s="452"/>
      <c r="BD1169" s="2829"/>
      <c r="BE1169" s="156"/>
      <c r="BF1169" s="156"/>
    </row>
    <row r="1170" spans="1:58" hidden="1" outlineLevel="1" x14ac:dyDescent="0.35">
      <c r="A1170" s="1071"/>
      <c r="B1170" s="106"/>
      <c r="C1170" s="103"/>
      <c r="D1170" s="4022"/>
      <c r="E1170" s="4111"/>
      <c r="F1170" s="3949" t="str">
        <f t="shared" si="233"/>
        <v>Mini/MultiSplitASHP_ER1_SF</v>
      </c>
      <c r="G1170" s="3950"/>
      <c r="H1170" s="3951"/>
      <c r="I1170" s="2674" t="str">
        <f t="shared" si="234"/>
        <v>351500_2021_12_</v>
      </c>
      <c r="J1170" s="636">
        <v>1</v>
      </c>
      <c r="K1170" s="637"/>
      <c r="L1170" s="4171"/>
      <c r="M1170" s="1304"/>
      <c r="N1170" s="1296"/>
      <c r="O1170" s="106"/>
      <c r="P1170" s="106"/>
      <c r="Q1170" s="106"/>
      <c r="R1170" s="106"/>
      <c r="S1170" s="106"/>
      <c r="T1170" s="106"/>
      <c r="U1170" s="106"/>
      <c r="V1170" s="4022"/>
      <c r="W1170" s="636">
        <v>1</v>
      </c>
      <c r="X1170" s="636">
        <v>1</v>
      </c>
      <c r="Y1170" s="636">
        <v>1</v>
      </c>
      <c r="Z1170" s="636">
        <v>1</v>
      </c>
      <c r="AA1170" s="636">
        <v>1</v>
      </c>
      <c r="AB1170" s="636">
        <v>1</v>
      </c>
      <c r="AC1170" s="636">
        <v>1</v>
      </c>
      <c r="AD1170" s="636">
        <v>1</v>
      </c>
      <c r="AE1170" s="636"/>
      <c r="AF1170" s="636"/>
      <c r="AG1170" s="638"/>
      <c r="AH1170" s="156"/>
      <c r="AI1170" s="156"/>
      <c r="AJ1170" s="156"/>
      <c r="AK1170" s="156"/>
      <c r="AL1170" s="156"/>
      <c r="AM1170" s="156"/>
      <c r="AN1170" s="156"/>
      <c r="AO1170" s="156"/>
      <c r="AP1170" s="156"/>
      <c r="AQ1170" s="156"/>
      <c r="AR1170" s="156"/>
      <c r="AS1170" s="156"/>
      <c r="AT1170" s="156"/>
      <c r="AU1170" s="156"/>
      <c r="AV1170" s="156"/>
      <c r="AW1170" s="156"/>
      <c r="AX1170" s="156"/>
      <c r="AY1170" s="156"/>
      <c r="AZ1170" s="156"/>
      <c r="BA1170" s="156"/>
      <c r="BB1170" s="2828"/>
      <c r="BC1170" s="452"/>
      <c r="BD1170" s="2829"/>
      <c r="BE1170" s="156"/>
      <c r="BF1170" s="156"/>
    </row>
    <row r="1171" spans="1:58" hidden="1" outlineLevel="1" x14ac:dyDescent="0.35">
      <c r="A1171" s="1071"/>
      <c r="B1171" s="106"/>
      <c r="C1171" s="103"/>
      <c r="D1171" s="4022"/>
      <c r="E1171" s="4111"/>
      <c r="F1171" s="3952" t="str">
        <f t="shared" si="233"/>
        <v>Mini/MultiSplitASHP_ER1_SF</v>
      </c>
      <c r="G1171" s="3953"/>
      <c r="H1171" s="3954"/>
      <c r="I1171" s="2674" t="str">
        <f t="shared" si="234"/>
        <v>351500_2021_12_</v>
      </c>
      <c r="J1171" s="636">
        <v>1</v>
      </c>
      <c r="K1171" s="637"/>
      <c r="L1171" s="4171"/>
      <c r="M1171" s="1304"/>
      <c r="N1171" s="1296"/>
      <c r="O1171" s="106"/>
      <c r="P1171" s="106"/>
      <c r="Q1171" s="106"/>
      <c r="R1171" s="106"/>
      <c r="S1171" s="106"/>
      <c r="T1171" s="106"/>
      <c r="U1171" s="106"/>
      <c r="V1171" s="4022"/>
      <c r="W1171" s="636">
        <v>1</v>
      </c>
      <c r="X1171" s="636">
        <v>1</v>
      </c>
      <c r="Y1171" s="636">
        <v>1</v>
      </c>
      <c r="Z1171" s="636">
        <v>1</v>
      </c>
      <c r="AA1171" s="636">
        <v>1</v>
      </c>
      <c r="AB1171" s="636">
        <v>1</v>
      </c>
      <c r="AC1171" s="636">
        <v>1</v>
      </c>
      <c r="AD1171" s="636">
        <v>1</v>
      </c>
      <c r="AE1171" s="636"/>
      <c r="AF1171" s="636"/>
      <c r="AG1171" s="638"/>
      <c r="AH1171" s="156"/>
      <c r="AI1171" s="156"/>
      <c r="AJ1171" s="156"/>
      <c r="AK1171" s="156"/>
      <c r="AL1171" s="156"/>
      <c r="AM1171" s="156"/>
      <c r="AN1171" s="156"/>
      <c r="AO1171" s="156"/>
      <c r="AP1171" s="156"/>
      <c r="AQ1171" s="156"/>
      <c r="AR1171" s="156"/>
      <c r="AS1171" s="156"/>
      <c r="AT1171" s="156"/>
      <c r="AU1171" s="156"/>
      <c r="AV1171" s="156"/>
      <c r="AW1171" s="156"/>
      <c r="AX1171" s="156"/>
      <c r="AY1171" s="156"/>
      <c r="AZ1171" s="156"/>
      <c r="BA1171" s="156"/>
      <c r="BB1171" s="2828"/>
      <c r="BC1171" s="452"/>
      <c r="BD1171" s="2829"/>
      <c r="BE1171" s="156"/>
      <c r="BF1171" s="156"/>
    </row>
    <row r="1172" spans="1:58" hidden="1" outlineLevel="1" x14ac:dyDescent="0.35">
      <c r="A1172" s="1071"/>
      <c r="B1172" s="106"/>
      <c r="C1172" s="103"/>
      <c r="D1172" s="4022"/>
      <c r="E1172" s="4111"/>
      <c r="F1172" s="3952" t="str">
        <f t="shared" si="233"/>
        <v>Mini/MultiSplitASHP_ER2_SF</v>
      </c>
      <c r="G1172" s="3953"/>
      <c r="H1172" s="3954"/>
      <c r="I1172" s="2674" t="str">
        <f t="shared" si="234"/>
        <v>351500_2021_12_</v>
      </c>
      <c r="J1172" s="636">
        <v>1</v>
      </c>
      <c r="K1172" s="637"/>
      <c r="L1172" s="4171"/>
      <c r="M1172" s="1304"/>
      <c r="N1172" s="1296"/>
      <c r="O1172" s="106"/>
      <c r="P1172" s="106"/>
      <c r="Q1172" s="106"/>
      <c r="R1172" s="106"/>
      <c r="S1172" s="106"/>
      <c r="T1172" s="106"/>
      <c r="U1172" s="106"/>
      <c r="V1172" s="4022"/>
      <c r="W1172" s="636">
        <v>1</v>
      </c>
      <c r="X1172" s="636">
        <v>1</v>
      </c>
      <c r="Y1172" s="636">
        <v>1</v>
      </c>
      <c r="Z1172" s="636">
        <v>1</v>
      </c>
      <c r="AA1172" s="636">
        <v>1</v>
      </c>
      <c r="AB1172" s="636">
        <v>1</v>
      </c>
      <c r="AC1172" s="636">
        <v>1</v>
      </c>
      <c r="AD1172" s="636">
        <v>1</v>
      </c>
      <c r="AE1172" s="636"/>
      <c r="AF1172" s="636"/>
      <c r="AG1172" s="638"/>
      <c r="AH1172" s="156"/>
      <c r="AI1172" s="156"/>
      <c r="AJ1172" s="156"/>
      <c r="AK1172" s="156"/>
      <c r="AL1172" s="156"/>
      <c r="AM1172" s="156"/>
      <c r="AN1172" s="156"/>
      <c r="AO1172" s="156"/>
      <c r="AP1172" s="156"/>
      <c r="AQ1172" s="156"/>
      <c r="AR1172" s="156"/>
      <c r="AS1172" s="156"/>
      <c r="AT1172" s="156"/>
      <c r="AU1172" s="156"/>
      <c r="AV1172" s="156"/>
      <c r="AW1172" s="156"/>
      <c r="AX1172" s="156"/>
      <c r="AY1172" s="156"/>
      <c r="AZ1172" s="156"/>
      <c r="BA1172" s="156"/>
      <c r="BB1172" s="2828"/>
      <c r="BC1172" s="452"/>
      <c r="BD1172" s="2829"/>
      <c r="BE1172" s="156"/>
      <c r="BF1172" s="156"/>
    </row>
    <row r="1173" spans="1:58" hidden="1" outlineLevel="1" x14ac:dyDescent="0.35">
      <c r="A1173" s="1071"/>
      <c r="B1173" s="106"/>
      <c r="C1173" s="103"/>
      <c r="D1173" s="4022"/>
      <c r="E1173" s="4111"/>
      <c r="F1173" s="3955" t="str">
        <f t="shared" si="233"/>
        <v>Mini/MultiSplitASHP_ER2_SF</v>
      </c>
      <c r="G1173" s="3956"/>
      <c r="H1173" s="3957"/>
      <c r="I1173" s="2674" t="str">
        <f t="shared" si="234"/>
        <v>351500_2021_12_</v>
      </c>
      <c r="J1173" s="636">
        <v>1</v>
      </c>
      <c r="K1173" s="637"/>
      <c r="L1173" s="4172"/>
      <c r="M1173" s="1304"/>
      <c r="N1173" s="1296"/>
      <c r="O1173" s="106"/>
      <c r="P1173" s="106"/>
      <c r="Q1173" s="106"/>
      <c r="R1173" s="106"/>
      <c r="S1173" s="106"/>
      <c r="T1173" s="106"/>
      <c r="U1173" s="106"/>
      <c r="V1173" s="4022"/>
      <c r="W1173" s="636">
        <v>1</v>
      </c>
      <c r="X1173" s="636">
        <v>1</v>
      </c>
      <c r="Y1173" s="636">
        <v>1</v>
      </c>
      <c r="Z1173" s="636">
        <v>1</v>
      </c>
      <c r="AA1173" s="636">
        <v>1</v>
      </c>
      <c r="AB1173" s="636">
        <v>1</v>
      </c>
      <c r="AC1173" s="636">
        <v>1</v>
      </c>
      <c r="AD1173" s="636">
        <v>1</v>
      </c>
      <c r="AE1173" s="636"/>
      <c r="AF1173" s="636"/>
      <c r="AG1173" s="638"/>
      <c r="AH1173" s="156"/>
      <c r="AI1173" s="156"/>
      <c r="AJ1173" s="156"/>
      <c r="AK1173" s="156"/>
      <c r="AL1173" s="156"/>
      <c r="AM1173" s="156"/>
      <c r="AN1173" s="156"/>
      <c r="AO1173" s="156"/>
      <c r="AP1173" s="156"/>
      <c r="AQ1173" s="156"/>
      <c r="AR1173" s="156"/>
      <c r="AS1173" s="156"/>
      <c r="AT1173" s="156"/>
      <c r="AU1173" s="156"/>
      <c r="AV1173" s="156"/>
      <c r="AW1173" s="156"/>
      <c r="AX1173" s="156"/>
      <c r="AY1173" s="156"/>
      <c r="AZ1173" s="156"/>
      <c r="BA1173" s="156"/>
      <c r="BB1173" s="2828"/>
      <c r="BC1173" s="452"/>
      <c r="BD1173" s="2829"/>
      <c r="BE1173" s="156"/>
      <c r="BF1173" s="156"/>
    </row>
    <row r="1174" spans="1:58" hidden="1" outlineLevel="1" x14ac:dyDescent="0.35">
      <c r="A1174" s="1071"/>
      <c r="B1174" s="106"/>
      <c r="C1174" s="103"/>
      <c r="D1174" s="4022"/>
      <c r="E1174" s="4111"/>
      <c r="F1174" s="3952" t="str">
        <f t="shared" si="233"/>
        <v>Mini/MultiSplitAC_ER1_MF</v>
      </c>
      <c r="G1174" s="3953"/>
      <c r="H1174" s="3954"/>
      <c r="I1174" s="2674" t="str">
        <f t="shared" si="234"/>
        <v>351550_2021_12_</v>
      </c>
      <c r="J1174" s="636">
        <v>1</v>
      </c>
      <c r="K1174" s="637"/>
      <c r="L1174" s="4083" t="s">
        <v>1086</v>
      </c>
      <c r="M1174" s="1304"/>
      <c r="N1174" s="1296"/>
      <c r="O1174" s="106"/>
      <c r="P1174" s="106"/>
      <c r="Q1174" s="106"/>
      <c r="R1174" s="106"/>
      <c r="S1174" s="106"/>
      <c r="T1174" s="106"/>
      <c r="U1174" s="106"/>
      <c r="V1174" s="4022"/>
      <c r="W1174" s="636">
        <v>0.65</v>
      </c>
      <c r="X1174" s="636">
        <v>0.65</v>
      </c>
      <c r="Y1174" s="639">
        <v>1</v>
      </c>
      <c r="Z1174" s="636">
        <v>1</v>
      </c>
      <c r="AA1174" s="636">
        <v>1</v>
      </c>
      <c r="AB1174" s="636">
        <v>1</v>
      </c>
      <c r="AC1174" s="636">
        <v>1</v>
      </c>
      <c r="AD1174" s="636">
        <v>1</v>
      </c>
      <c r="AE1174" s="636"/>
      <c r="AF1174" s="636"/>
      <c r="AG1174" s="638"/>
      <c r="AH1174" s="156"/>
      <c r="AI1174" s="156"/>
      <c r="AJ1174" s="156"/>
      <c r="AK1174" s="156"/>
      <c r="AL1174" s="156"/>
      <c r="AM1174" s="156"/>
      <c r="AN1174" s="156"/>
      <c r="AO1174" s="156"/>
      <c r="AP1174" s="156"/>
      <c r="AQ1174" s="156"/>
      <c r="AR1174" s="156"/>
      <c r="AS1174" s="156"/>
      <c r="AT1174" s="156"/>
      <c r="AU1174" s="156"/>
      <c r="AV1174" s="156"/>
      <c r="AW1174" s="156"/>
      <c r="AX1174" s="156"/>
      <c r="AY1174" s="156"/>
      <c r="AZ1174" s="156"/>
      <c r="BA1174" s="156"/>
      <c r="BB1174" s="2828"/>
      <c r="BC1174" s="452"/>
      <c r="BD1174" s="2829"/>
      <c r="BE1174" s="156"/>
      <c r="BF1174" s="156"/>
    </row>
    <row r="1175" spans="1:58" hidden="1" outlineLevel="1" x14ac:dyDescent="0.35">
      <c r="A1175" s="1071"/>
      <c r="B1175" s="106"/>
      <c r="C1175" s="103"/>
      <c r="D1175" s="4022"/>
      <c r="E1175" s="4111"/>
      <c r="F1175" s="3955" t="str">
        <f t="shared" si="233"/>
        <v>Mini/MultiSplitAC_ER2_MF</v>
      </c>
      <c r="G1175" s="3956"/>
      <c r="H1175" s="3957"/>
      <c r="I1175" s="2674" t="str">
        <f t="shared" si="234"/>
        <v>351550_2021_12_</v>
      </c>
      <c r="J1175" s="636">
        <f>J1174</f>
        <v>1</v>
      </c>
      <c r="K1175" s="637"/>
      <c r="L1175" s="4084"/>
      <c r="M1175" s="1304"/>
      <c r="N1175" s="1296"/>
      <c r="O1175" s="106"/>
      <c r="P1175" s="106"/>
      <c r="Q1175" s="106"/>
      <c r="R1175" s="106"/>
      <c r="S1175" s="106"/>
      <c r="T1175" s="106"/>
      <c r="U1175" s="106"/>
      <c r="V1175" s="4022"/>
      <c r="W1175" s="636">
        <v>0.65</v>
      </c>
      <c r="X1175" s="636">
        <v>0.65</v>
      </c>
      <c r="Y1175" s="639">
        <f>Y1174</f>
        <v>1</v>
      </c>
      <c r="Z1175" s="636">
        <v>1</v>
      </c>
      <c r="AA1175" s="636">
        <v>1</v>
      </c>
      <c r="AB1175" s="636">
        <v>1</v>
      </c>
      <c r="AC1175" s="636">
        <v>1</v>
      </c>
      <c r="AD1175" s="636">
        <v>1</v>
      </c>
      <c r="AE1175" s="636"/>
      <c r="AF1175" s="636"/>
      <c r="AG1175" s="638"/>
      <c r="AH1175" s="156"/>
      <c r="AI1175" s="156"/>
      <c r="AJ1175" s="156"/>
      <c r="AK1175" s="156"/>
      <c r="AL1175" s="156"/>
      <c r="AM1175" s="156"/>
      <c r="AN1175" s="156"/>
      <c r="AO1175" s="156"/>
      <c r="AP1175" s="156"/>
      <c r="AQ1175" s="156"/>
      <c r="AR1175" s="156"/>
      <c r="AS1175" s="156"/>
      <c r="AT1175" s="156"/>
      <c r="AU1175" s="156"/>
      <c r="AV1175" s="156"/>
      <c r="AW1175" s="156"/>
      <c r="AX1175" s="156"/>
      <c r="AY1175" s="156"/>
      <c r="AZ1175" s="156"/>
      <c r="BA1175" s="156"/>
      <c r="BB1175" s="2828"/>
      <c r="BC1175" s="452"/>
      <c r="BD1175" s="2829"/>
      <c r="BE1175" s="156"/>
      <c r="BF1175" s="156"/>
    </row>
    <row r="1176" spans="1:58" hidden="1" outlineLevel="1" x14ac:dyDescent="0.35">
      <c r="A1176" s="1071"/>
      <c r="B1176" s="106"/>
      <c r="C1176" s="103"/>
      <c r="D1176" s="4022"/>
      <c r="E1176" s="4111"/>
      <c r="F1176" s="3970" t="str">
        <f>E820</f>
        <v>Mini/MultiSplitAC_ROF_MF</v>
      </c>
      <c r="G1176" s="3971"/>
      <c r="H1176" s="3972"/>
      <c r="I1176" s="2674" t="str">
        <f>C820</f>
        <v>351600_2021_12_</v>
      </c>
      <c r="J1176" s="636">
        <f t="shared" ref="J1176:J1219" si="235">J1175</f>
        <v>1</v>
      </c>
      <c r="K1176" s="637"/>
      <c r="L1176" s="4084"/>
      <c r="M1176" s="1304"/>
      <c r="N1176" s="1296"/>
      <c r="O1176" s="106"/>
      <c r="P1176" s="106"/>
      <c r="Q1176" s="106"/>
      <c r="R1176" s="106"/>
      <c r="S1176" s="106"/>
      <c r="T1176" s="106"/>
      <c r="U1176" s="106"/>
      <c r="V1176" s="4022"/>
      <c r="W1176" s="636">
        <v>0.65</v>
      </c>
      <c r="X1176" s="636">
        <v>0.65</v>
      </c>
      <c r="Y1176" s="639">
        <f t="shared" ref="Y1176:Y1219" si="236">Y1175</f>
        <v>1</v>
      </c>
      <c r="Z1176" s="636">
        <v>1</v>
      </c>
      <c r="AA1176" s="636">
        <v>1</v>
      </c>
      <c r="AB1176" s="636">
        <v>1</v>
      </c>
      <c r="AC1176" s="636">
        <v>1</v>
      </c>
      <c r="AD1176" s="636">
        <v>1</v>
      </c>
      <c r="AE1176" s="636"/>
      <c r="AF1176" s="636"/>
      <c r="AG1176" s="638"/>
      <c r="AH1176" s="156"/>
      <c r="AI1176" s="156"/>
      <c r="AJ1176" s="156"/>
      <c r="AK1176" s="156"/>
      <c r="AL1176" s="156"/>
      <c r="AM1176" s="156"/>
      <c r="AN1176" s="156"/>
      <c r="AO1176" s="156"/>
      <c r="AP1176" s="156"/>
      <c r="AQ1176" s="156"/>
      <c r="AR1176" s="156"/>
      <c r="AS1176" s="156"/>
      <c r="AT1176" s="156"/>
      <c r="AU1176" s="156"/>
      <c r="AV1176" s="156"/>
      <c r="AW1176" s="156"/>
      <c r="AX1176" s="156"/>
      <c r="AY1176" s="156"/>
      <c r="AZ1176" s="156"/>
      <c r="BA1176" s="156"/>
      <c r="BB1176" s="2828"/>
      <c r="BC1176" s="452"/>
      <c r="BD1176" s="2829"/>
      <c r="BE1176" s="156"/>
      <c r="BF1176" s="156"/>
    </row>
    <row r="1177" spans="1:58" hidden="1" outlineLevel="1" x14ac:dyDescent="0.35">
      <c r="A1177" s="1071"/>
      <c r="B1177" s="106"/>
      <c r="C1177" s="103"/>
      <c r="D1177" s="4022"/>
      <c r="E1177" s="4111"/>
      <c r="F1177" s="3949" t="str">
        <f>E822</f>
        <v>Mini/MultiSplitASHP_ROF_MF_NC</v>
      </c>
      <c r="G1177" s="3950"/>
      <c r="H1177" s="3951"/>
      <c r="I1177" s="2674" t="str">
        <f>C822</f>
        <v>351650_2021_12_</v>
      </c>
      <c r="J1177" s="636">
        <f t="shared" si="235"/>
        <v>1</v>
      </c>
      <c r="K1177" s="637"/>
      <c r="L1177" s="4084"/>
      <c r="M1177" s="1304"/>
      <c r="N1177" s="1296"/>
      <c r="O1177" s="106"/>
      <c r="P1177" s="106"/>
      <c r="Q1177" s="106"/>
      <c r="R1177" s="106"/>
      <c r="S1177" s="106"/>
      <c r="T1177" s="106"/>
      <c r="U1177" s="106"/>
      <c r="V1177" s="4022"/>
      <c r="W1177" s="636">
        <v>0.65</v>
      </c>
      <c r="X1177" s="636">
        <v>0.65</v>
      </c>
      <c r="Y1177" s="639">
        <f t="shared" si="236"/>
        <v>1</v>
      </c>
      <c r="Z1177" s="636">
        <v>1</v>
      </c>
      <c r="AA1177" s="636">
        <v>1</v>
      </c>
      <c r="AB1177" s="636">
        <v>1</v>
      </c>
      <c r="AC1177" s="636">
        <v>1</v>
      </c>
      <c r="AD1177" s="636">
        <v>1</v>
      </c>
      <c r="AE1177" s="636"/>
      <c r="AF1177" s="636"/>
      <c r="AG1177" s="638"/>
      <c r="AH1177" s="156"/>
      <c r="AI1177" s="156"/>
      <c r="AJ1177" s="156"/>
      <c r="AK1177" s="156"/>
      <c r="AL1177" s="156"/>
      <c r="AM1177" s="156"/>
      <c r="AN1177" s="156"/>
      <c r="AO1177" s="156"/>
      <c r="AP1177" s="156"/>
      <c r="AQ1177" s="156"/>
      <c r="AR1177" s="156"/>
      <c r="AS1177" s="156"/>
      <c r="AT1177" s="156"/>
      <c r="AU1177" s="156"/>
      <c r="AV1177" s="156"/>
      <c r="AW1177" s="156"/>
      <c r="AX1177" s="156"/>
      <c r="AY1177" s="156"/>
      <c r="AZ1177" s="156"/>
      <c r="BA1177" s="156"/>
      <c r="BB1177" s="2828"/>
      <c r="BC1177" s="452"/>
      <c r="BD1177" s="2829"/>
      <c r="BE1177" s="156"/>
      <c r="BF1177" s="156"/>
    </row>
    <row r="1178" spans="1:58" hidden="1" outlineLevel="1" x14ac:dyDescent="0.35">
      <c r="A1178" s="1071"/>
      <c r="B1178" s="106"/>
      <c r="C1178" s="103"/>
      <c r="D1178" s="4022"/>
      <c r="E1178" s="4111"/>
      <c r="F1178" s="3955" t="str">
        <f>E823</f>
        <v>Mini/MultiSplitASHP_ROF_MF_NC</v>
      </c>
      <c r="G1178" s="3956"/>
      <c r="H1178" s="3957"/>
      <c r="I1178" s="2674" t="str">
        <f>C823</f>
        <v>351650_2021_12_</v>
      </c>
      <c r="J1178" s="636">
        <f t="shared" si="235"/>
        <v>1</v>
      </c>
      <c r="K1178" s="637"/>
      <c r="L1178" s="4084"/>
      <c r="M1178" s="1304"/>
      <c r="N1178" s="1296"/>
      <c r="O1178" s="106"/>
      <c r="P1178" s="106"/>
      <c r="Q1178" s="106"/>
      <c r="R1178" s="106"/>
      <c r="S1178" s="106"/>
      <c r="T1178" s="106"/>
      <c r="U1178" s="106"/>
      <c r="V1178" s="4022"/>
      <c r="W1178" s="636">
        <v>0.65</v>
      </c>
      <c r="X1178" s="636">
        <v>0.65</v>
      </c>
      <c r="Y1178" s="639">
        <f t="shared" si="236"/>
        <v>1</v>
      </c>
      <c r="Z1178" s="636">
        <v>1</v>
      </c>
      <c r="AA1178" s="636">
        <v>1</v>
      </c>
      <c r="AB1178" s="636">
        <v>1</v>
      </c>
      <c r="AC1178" s="636">
        <v>1</v>
      </c>
      <c r="AD1178" s="636">
        <v>1</v>
      </c>
      <c r="AE1178" s="636"/>
      <c r="AF1178" s="636"/>
      <c r="AG1178" s="638"/>
      <c r="AH1178" s="156"/>
      <c r="AI1178" s="156"/>
      <c r="AJ1178" s="156"/>
      <c r="AK1178" s="156"/>
      <c r="AL1178" s="156"/>
      <c r="AM1178" s="156"/>
      <c r="AN1178" s="156"/>
      <c r="AO1178" s="156"/>
      <c r="AP1178" s="156"/>
      <c r="AQ1178" s="156"/>
      <c r="AR1178" s="156"/>
      <c r="AS1178" s="156"/>
      <c r="AT1178" s="156"/>
      <c r="AU1178" s="156"/>
      <c r="AV1178" s="156"/>
      <c r="AW1178" s="156"/>
      <c r="AX1178" s="156"/>
      <c r="AY1178" s="156"/>
      <c r="AZ1178" s="156"/>
      <c r="BA1178" s="156"/>
      <c r="BB1178" s="2828"/>
      <c r="BC1178" s="452"/>
      <c r="BD1178" s="2829"/>
      <c r="BE1178" s="156"/>
      <c r="BF1178" s="156"/>
    </row>
    <row r="1179" spans="1:58" hidden="1" outlineLevel="1" x14ac:dyDescent="0.35">
      <c r="A1179" s="1071"/>
      <c r="B1179" s="106"/>
      <c r="C1179" s="103"/>
      <c r="D1179" s="4022"/>
      <c r="E1179" s="4111"/>
      <c r="F1179" s="3949" t="str">
        <f>E826</f>
        <v>Mini/MultiSplitASHP_ROF_MF</v>
      </c>
      <c r="G1179" s="3950"/>
      <c r="H1179" s="3951"/>
      <c r="I1179" s="2674" t="str">
        <f>C826</f>
        <v>351700_2021_12_</v>
      </c>
      <c r="J1179" s="636">
        <f t="shared" si="235"/>
        <v>1</v>
      </c>
      <c r="K1179" s="637"/>
      <c r="L1179" s="4084"/>
      <c r="M1179" s="1304"/>
      <c r="N1179" s="1296"/>
      <c r="O1179" s="106"/>
      <c r="P1179" s="106"/>
      <c r="Q1179" s="106"/>
      <c r="R1179" s="106"/>
      <c r="S1179" s="106"/>
      <c r="T1179" s="106"/>
      <c r="U1179" s="106"/>
      <c r="V1179" s="4022"/>
      <c r="W1179" s="636">
        <v>0.65</v>
      </c>
      <c r="X1179" s="636">
        <v>0.65</v>
      </c>
      <c r="Y1179" s="639">
        <f t="shared" si="236"/>
        <v>1</v>
      </c>
      <c r="Z1179" s="636">
        <v>1</v>
      </c>
      <c r="AA1179" s="636">
        <v>1</v>
      </c>
      <c r="AB1179" s="636">
        <v>1</v>
      </c>
      <c r="AC1179" s="636">
        <v>1</v>
      </c>
      <c r="AD1179" s="636">
        <v>1</v>
      </c>
      <c r="AE1179" s="636"/>
      <c r="AF1179" s="636"/>
      <c r="AG1179" s="638"/>
      <c r="AH1179" s="156"/>
      <c r="AI1179" s="156"/>
      <c r="AJ1179" s="156"/>
      <c r="AK1179" s="156"/>
      <c r="AL1179" s="156"/>
      <c r="AM1179" s="156"/>
      <c r="AN1179" s="156"/>
      <c r="AO1179" s="156"/>
      <c r="AP1179" s="156"/>
      <c r="AQ1179" s="156"/>
      <c r="AR1179" s="156"/>
      <c r="AS1179" s="156"/>
      <c r="AT1179" s="156"/>
      <c r="AU1179" s="156"/>
      <c r="AV1179" s="156"/>
      <c r="AW1179" s="156"/>
      <c r="AX1179" s="156"/>
      <c r="AY1179" s="156"/>
      <c r="AZ1179" s="156"/>
      <c r="BA1179" s="156"/>
      <c r="BB1179" s="2828"/>
      <c r="BC1179" s="452"/>
      <c r="BD1179" s="2829"/>
      <c r="BE1179" s="156"/>
      <c r="BF1179" s="156"/>
    </row>
    <row r="1180" spans="1:58" hidden="1" outlineLevel="1" x14ac:dyDescent="0.35">
      <c r="A1180" s="1071"/>
      <c r="B1180" s="106"/>
      <c r="C1180" s="103"/>
      <c r="D1180" s="4022"/>
      <c r="E1180" s="4111"/>
      <c r="F1180" s="3955" t="str">
        <f>E827</f>
        <v>Mini/MultiSplitASHP_ROF_MF</v>
      </c>
      <c r="G1180" s="3956"/>
      <c r="H1180" s="3957"/>
      <c r="I1180" s="2674" t="str">
        <f>C827</f>
        <v>351700_2021_12_</v>
      </c>
      <c r="J1180" s="636">
        <f t="shared" si="235"/>
        <v>1</v>
      </c>
      <c r="K1180" s="637"/>
      <c r="L1180" s="4084"/>
      <c r="M1180" s="1304"/>
      <c r="N1180" s="1296"/>
      <c r="O1180" s="106"/>
      <c r="P1180" s="106"/>
      <c r="Q1180" s="106"/>
      <c r="R1180" s="106"/>
      <c r="S1180" s="106"/>
      <c r="T1180" s="106"/>
      <c r="U1180" s="106"/>
      <c r="V1180" s="4022"/>
      <c r="W1180" s="636">
        <v>0.65</v>
      </c>
      <c r="X1180" s="636">
        <v>0.65</v>
      </c>
      <c r="Y1180" s="639">
        <f t="shared" si="236"/>
        <v>1</v>
      </c>
      <c r="Z1180" s="636">
        <v>1</v>
      </c>
      <c r="AA1180" s="636">
        <v>1</v>
      </c>
      <c r="AB1180" s="636">
        <v>1</v>
      </c>
      <c r="AC1180" s="636">
        <v>1</v>
      </c>
      <c r="AD1180" s="636">
        <v>1</v>
      </c>
      <c r="AE1180" s="636"/>
      <c r="AF1180" s="636"/>
      <c r="AG1180" s="638"/>
      <c r="AH1180" s="156"/>
      <c r="AI1180" s="156"/>
      <c r="AJ1180" s="156"/>
      <c r="AK1180" s="156"/>
      <c r="AL1180" s="156"/>
      <c r="AM1180" s="156"/>
      <c r="AN1180" s="156"/>
      <c r="AO1180" s="156"/>
      <c r="AP1180" s="156"/>
      <c r="AQ1180" s="156"/>
      <c r="AR1180" s="156"/>
      <c r="AS1180" s="156"/>
      <c r="AT1180" s="156"/>
      <c r="AU1180" s="156"/>
      <c r="AV1180" s="156"/>
      <c r="AW1180" s="156"/>
      <c r="AX1180" s="156"/>
      <c r="AY1180" s="156"/>
      <c r="AZ1180" s="156"/>
      <c r="BA1180" s="156"/>
      <c r="BB1180" s="2828"/>
      <c r="BC1180" s="452"/>
      <c r="BD1180" s="2829"/>
      <c r="BE1180" s="156"/>
      <c r="BF1180" s="156"/>
    </row>
    <row r="1181" spans="1:58" hidden="1" outlineLevel="1" x14ac:dyDescent="0.35">
      <c r="A1181" s="1071"/>
      <c r="B1181" s="106"/>
      <c r="C1181" s="103"/>
      <c r="D1181" s="4022"/>
      <c r="E1181" s="4111"/>
      <c r="F1181" s="3949" t="str">
        <f>E830</f>
        <v>Mini/MultiSplitASHP-Replace_CAC_ElectricHeat_ER1_MF</v>
      </c>
      <c r="G1181" s="3950"/>
      <c r="H1181" s="3951"/>
      <c r="I1181" s="2674" t="str">
        <f t="shared" ref="I1181:I1184" si="237">C830</f>
        <v>351750_2021_12_</v>
      </c>
      <c r="J1181" s="636">
        <f t="shared" si="235"/>
        <v>1</v>
      </c>
      <c r="K1181" s="637"/>
      <c r="L1181" s="4084"/>
      <c r="M1181" s="1304"/>
      <c r="N1181" s="1296"/>
      <c r="O1181" s="106"/>
      <c r="P1181" s="106"/>
      <c r="Q1181" s="106"/>
      <c r="R1181" s="106"/>
      <c r="S1181" s="106"/>
      <c r="T1181" s="106"/>
      <c r="U1181" s="106"/>
      <c r="V1181" s="4022"/>
      <c r="W1181" s="636">
        <v>0.65</v>
      </c>
      <c r="X1181" s="636">
        <v>0.65</v>
      </c>
      <c r="Y1181" s="639">
        <f t="shared" si="236"/>
        <v>1</v>
      </c>
      <c r="Z1181" s="636">
        <v>1</v>
      </c>
      <c r="AA1181" s="636">
        <v>1</v>
      </c>
      <c r="AB1181" s="636">
        <v>1</v>
      </c>
      <c r="AC1181" s="636">
        <v>1</v>
      </c>
      <c r="AD1181" s="636">
        <v>1</v>
      </c>
      <c r="AE1181" s="636"/>
      <c r="AF1181" s="636"/>
      <c r="AG1181" s="638"/>
      <c r="AH1181" s="156"/>
      <c r="AI1181" s="156"/>
      <c r="AJ1181" s="156"/>
      <c r="AK1181" s="156"/>
      <c r="AL1181" s="156"/>
      <c r="AM1181" s="156"/>
      <c r="AN1181" s="156"/>
      <c r="AO1181" s="156"/>
      <c r="AP1181" s="156"/>
      <c r="AQ1181" s="156"/>
      <c r="AR1181" s="156"/>
      <c r="AS1181" s="156"/>
      <c r="AT1181" s="156"/>
      <c r="AU1181" s="156"/>
      <c r="AV1181" s="156"/>
      <c r="AW1181" s="156"/>
      <c r="AX1181" s="156"/>
      <c r="AY1181" s="156"/>
      <c r="AZ1181" s="156"/>
      <c r="BA1181" s="156"/>
      <c r="BB1181" s="2828"/>
      <c r="BC1181" s="452"/>
      <c r="BD1181" s="2829"/>
      <c r="BE1181" s="156"/>
      <c r="BF1181" s="156"/>
    </row>
    <row r="1182" spans="1:58" hidden="1" outlineLevel="1" x14ac:dyDescent="0.35">
      <c r="A1182" s="1071"/>
      <c r="B1182" s="106"/>
      <c r="C1182" s="103"/>
      <c r="D1182" s="4022"/>
      <c r="E1182" s="4111"/>
      <c r="F1182" s="3952" t="str">
        <f>E831</f>
        <v>Mini/MultiSplitASHP-Replace_CAC_ElectricHeat_ER1_MF</v>
      </c>
      <c r="G1182" s="3953"/>
      <c r="H1182" s="3954"/>
      <c r="I1182" s="2674" t="str">
        <f t="shared" si="237"/>
        <v>351750_2021_12_</v>
      </c>
      <c r="J1182" s="636">
        <f t="shared" si="235"/>
        <v>1</v>
      </c>
      <c r="K1182" s="637"/>
      <c r="L1182" s="4084"/>
      <c r="M1182" s="1304"/>
      <c r="N1182" s="1296"/>
      <c r="O1182" s="106"/>
      <c r="P1182" s="106"/>
      <c r="Q1182" s="106"/>
      <c r="R1182" s="106"/>
      <c r="S1182" s="106"/>
      <c r="T1182" s="106"/>
      <c r="U1182" s="106"/>
      <c r="V1182" s="4022"/>
      <c r="W1182" s="636">
        <v>0.65</v>
      </c>
      <c r="X1182" s="636">
        <v>0.65</v>
      </c>
      <c r="Y1182" s="639">
        <f t="shared" si="236"/>
        <v>1</v>
      </c>
      <c r="Z1182" s="636">
        <v>1</v>
      </c>
      <c r="AA1182" s="636">
        <v>1</v>
      </c>
      <c r="AB1182" s="636">
        <v>1</v>
      </c>
      <c r="AC1182" s="636">
        <v>1</v>
      </c>
      <c r="AD1182" s="636">
        <v>1</v>
      </c>
      <c r="AE1182" s="636"/>
      <c r="AF1182" s="636"/>
      <c r="AG1182" s="638"/>
      <c r="AH1182" s="156"/>
      <c r="AI1182" s="156"/>
      <c r="AJ1182" s="156"/>
      <c r="AK1182" s="156"/>
      <c r="AL1182" s="156"/>
      <c r="AM1182" s="156"/>
      <c r="AN1182" s="156"/>
      <c r="AO1182" s="156"/>
      <c r="AP1182" s="156"/>
      <c r="AQ1182" s="156"/>
      <c r="AR1182" s="156"/>
      <c r="AS1182" s="156"/>
      <c r="AT1182" s="156"/>
      <c r="AU1182" s="156"/>
      <c r="AV1182" s="156"/>
      <c r="AW1182" s="156"/>
      <c r="AX1182" s="156"/>
      <c r="AY1182" s="156"/>
      <c r="AZ1182" s="156"/>
      <c r="BA1182" s="156"/>
      <c r="BB1182" s="2828"/>
      <c r="BC1182" s="452"/>
      <c r="BD1182" s="2829"/>
      <c r="BE1182" s="156"/>
      <c r="BF1182" s="156"/>
    </row>
    <row r="1183" spans="1:58" hidden="1" outlineLevel="1" x14ac:dyDescent="0.35">
      <c r="A1183" s="1071"/>
      <c r="B1183" s="106"/>
      <c r="C1183" s="103"/>
      <c r="D1183" s="4022"/>
      <c r="E1183" s="4111"/>
      <c r="F1183" s="3952" t="str">
        <f>E832</f>
        <v>Mini/MultiSplitASHP-Replace_CAC_ElectricHeat_ER2_MF</v>
      </c>
      <c r="G1183" s="3953"/>
      <c r="H1183" s="3954"/>
      <c r="I1183" s="2674" t="str">
        <f t="shared" si="237"/>
        <v>351750_2021_12_</v>
      </c>
      <c r="J1183" s="636">
        <f t="shared" si="235"/>
        <v>1</v>
      </c>
      <c r="K1183" s="637"/>
      <c r="L1183" s="4084"/>
      <c r="M1183" s="1304"/>
      <c r="N1183" s="1296"/>
      <c r="O1183" s="106"/>
      <c r="P1183" s="106"/>
      <c r="Q1183" s="106"/>
      <c r="R1183" s="106"/>
      <c r="S1183" s="106"/>
      <c r="T1183" s="106"/>
      <c r="U1183" s="106"/>
      <c r="V1183" s="4022"/>
      <c r="W1183" s="636">
        <v>0.65</v>
      </c>
      <c r="X1183" s="636">
        <v>0.65</v>
      </c>
      <c r="Y1183" s="639">
        <f t="shared" si="236"/>
        <v>1</v>
      </c>
      <c r="Z1183" s="636">
        <v>1</v>
      </c>
      <c r="AA1183" s="636">
        <v>1</v>
      </c>
      <c r="AB1183" s="636">
        <v>1</v>
      </c>
      <c r="AC1183" s="636">
        <v>1</v>
      </c>
      <c r="AD1183" s="636">
        <v>1</v>
      </c>
      <c r="AE1183" s="636"/>
      <c r="AF1183" s="636"/>
      <c r="AG1183" s="638"/>
      <c r="AH1183" s="156"/>
      <c r="AI1183" s="156"/>
      <c r="AJ1183" s="156"/>
      <c r="AK1183" s="156"/>
      <c r="AL1183" s="156"/>
      <c r="AM1183" s="156"/>
      <c r="AN1183" s="156"/>
      <c r="AO1183" s="156"/>
      <c r="AP1183" s="156"/>
      <c r="AQ1183" s="156"/>
      <c r="AR1183" s="156"/>
      <c r="AS1183" s="156"/>
      <c r="AT1183" s="156"/>
      <c r="AU1183" s="156"/>
      <c r="AV1183" s="156"/>
      <c r="AW1183" s="156"/>
      <c r="AX1183" s="156"/>
      <c r="AY1183" s="156"/>
      <c r="AZ1183" s="156"/>
      <c r="BA1183" s="156"/>
      <c r="BB1183" s="2828"/>
      <c r="BC1183" s="452"/>
      <c r="BD1183" s="2829"/>
      <c r="BE1183" s="156"/>
      <c r="BF1183" s="156"/>
    </row>
    <row r="1184" spans="1:58" hidden="1" outlineLevel="1" x14ac:dyDescent="0.35">
      <c r="A1184" s="1071"/>
      <c r="B1184" s="106"/>
      <c r="C1184" s="103"/>
      <c r="D1184" s="4022"/>
      <c r="E1184" s="4111"/>
      <c r="F1184" s="3955" t="str">
        <f>E833</f>
        <v>Mini/MultiSplitASHP-Replace_CAC_ElectricHeat_ER2_MF</v>
      </c>
      <c r="G1184" s="3956"/>
      <c r="H1184" s="3957"/>
      <c r="I1184" s="2674" t="str">
        <f t="shared" si="237"/>
        <v>351750_2021_12_</v>
      </c>
      <c r="J1184" s="636">
        <f t="shared" si="235"/>
        <v>1</v>
      </c>
      <c r="K1184" s="637"/>
      <c r="L1184" s="4084"/>
      <c r="M1184" s="1304"/>
      <c r="N1184" s="1296"/>
      <c r="O1184" s="106"/>
      <c r="P1184" s="106"/>
      <c r="Q1184" s="106"/>
      <c r="R1184" s="106"/>
      <c r="S1184" s="106"/>
      <c r="T1184" s="106"/>
      <c r="U1184" s="106"/>
      <c r="V1184" s="4022"/>
      <c r="W1184" s="636">
        <v>0.65</v>
      </c>
      <c r="X1184" s="636">
        <v>0.65</v>
      </c>
      <c r="Y1184" s="639">
        <f t="shared" si="236"/>
        <v>1</v>
      </c>
      <c r="Z1184" s="636">
        <v>1</v>
      </c>
      <c r="AA1184" s="636">
        <v>1</v>
      </c>
      <c r="AB1184" s="636">
        <v>1</v>
      </c>
      <c r="AC1184" s="636">
        <v>1</v>
      </c>
      <c r="AD1184" s="636">
        <v>1</v>
      </c>
      <c r="AE1184" s="636"/>
      <c r="AF1184" s="636"/>
      <c r="AG1184" s="638"/>
      <c r="AH1184" s="156"/>
      <c r="AI1184" s="156"/>
      <c r="AJ1184" s="156"/>
      <c r="AK1184" s="156"/>
      <c r="AL1184" s="156"/>
      <c r="AM1184" s="156"/>
      <c r="AN1184" s="156"/>
      <c r="AO1184" s="156"/>
      <c r="AP1184" s="156"/>
      <c r="AQ1184" s="156"/>
      <c r="AR1184" s="156"/>
      <c r="AS1184" s="156"/>
      <c r="AT1184" s="156"/>
      <c r="AU1184" s="156"/>
      <c r="AV1184" s="156"/>
      <c r="AW1184" s="156"/>
      <c r="AX1184" s="156"/>
      <c r="AY1184" s="156"/>
      <c r="AZ1184" s="156"/>
      <c r="BA1184" s="156"/>
      <c r="BB1184" s="2828"/>
      <c r="BC1184" s="452"/>
      <c r="BD1184" s="2829"/>
      <c r="BE1184" s="156"/>
      <c r="BF1184" s="156"/>
    </row>
    <row r="1185" spans="1:58" hidden="1" outlineLevel="1" x14ac:dyDescent="0.35">
      <c r="A1185" s="1071"/>
      <c r="B1185" s="106"/>
      <c r="C1185" s="103"/>
      <c r="D1185" s="4022"/>
      <c r="E1185" s="4111"/>
      <c r="F1185" s="3961" t="str">
        <f>E838</f>
        <v>Mini/MultiSplitASHP-Replace_CAC_NonElectricHeat_ER1_MF</v>
      </c>
      <c r="G1185" s="3962"/>
      <c r="H1185" s="3963"/>
      <c r="I1185" s="2763" t="str">
        <f>C838</f>
        <v>351752_2022_12_</v>
      </c>
      <c r="J1185" s="639">
        <f t="shared" si="235"/>
        <v>1</v>
      </c>
      <c r="K1185" s="637"/>
      <c r="L1185" s="4084"/>
      <c r="M1185" s="1304"/>
      <c r="N1185" s="1296"/>
      <c r="O1185" s="106"/>
      <c r="P1185" s="106"/>
      <c r="Q1185" s="106"/>
      <c r="R1185" s="106"/>
      <c r="S1185" s="106"/>
      <c r="T1185" s="106"/>
      <c r="U1185" s="106"/>
      <c r="V1185" s="4022"/>
      <c r="W1185" s="636"/>
      <c r="X1185" s="636"/>
      <c r="Y1185" s="639"/>
      <c r="Z1185" s="636"/>
      <c r="AA1185" s="636"/>
      <c r="AB1185" s="636"/>
      <c r="AC1185" s="636"/>
      <c r="AD1185" s="639">
        <v>1</v>
      </c>
      <c r="AE1185" s="636"/>
      <c r="AF1185" s="636"/>
      <c r="AG1185" s="638"/>
      <c r="AH1185" s="156"/>
      <c r="AI1185" s="156"/>
      <c r="AJ1185" s="156"/>
      <c r="AK1185" s="156"/>
      <c r="AL1185" s="156"/>
      <c r="AM1185" s="156"/>
      <c r="AN1185" s="156"/>
      <c r="AO1185" s="156"/>
      <c r="AP1185" s="156"/>
      <c r="AQ1185" s="156"/>
      <c r="AR1185" s="156"/>
      <c r="AS1185" s="156"/>
      <c r="AT1185" s="156"/>
      <c r="AU1185" s="156"/>
      <c r="AV1185" s="156"/>
      <c r="AW1185" s="156"/>
      <c r="AX1185" s="156"/>
      <c r="AY1185" s="156"/>
      <c r="AZ1185" s="156"/>
      <c r="BA1185" s="156"/>
      <c r="BB1185" s="2828"/>
      <c r="BC1185" s="452"/>
      <c r="BD1185" s="2829"/>
      <c r="BE1185" s="156"/>
      <c r="BF1185" s="156"/>
    </row>
    <row r="1186" spans="1:58" hidden="1" outlineLevel="1" x14ac:dyDescent="0.35">
      <c r="A1186" s="1071"/>
      <c r="B1186" s="106"/>
      <c r="C1186" s="103"/>
      <c r="D1186" s="4022"/>
      <c r="E1186" s="4111"/>
      <c r="F1186" s="3964" t="str">
        <f>E839</f>
        <v>Mini/MultiSplitASHP-Replace_CAC_NonElectricHeat_ER1_MF</v>
      </c>
      <c r="G1186" s="3965"/>
      <c r="H1186" s="3966"/>
      <c r="I1186" s="2763" t="str">
        <f t="shared" ref="I1186:I1188" si="238">C839</f>
        <v>351752_2022_12_</v>
      </c>
      <c r="J1186" s="639">
        <f t="shared" si="235"/>
        <v>1</v>
      </c>
      <c r="K1186" s="637"/>
      <c r="L1186" s="4084"/>
      <c r="M1186" s="1304"/>
      <c r="N1186" s="1296"/>
      <c r="O1186" s="106"/>
      <c r="P1186" s="106"/>
      <c r="Q1186" s="106"/>
      <c r="R1186" s="106"/>
      <c r="S1186" s="106"/>
      <c r="T1186" s="106"/>
      <c r="U1186" s="106"/>
      <c r="V1186" s="4022"/>
      <c r="W1186" s="636"/>
      <c r="X1186" s="636"/>
      <c r="Y1186" s="639"/>
      <c r="Z1186" s="636"/>
      <c r="AA1186" s="636"/>
      <c r="AB1186" s="636"/>
      <c r="AC1186" s="636"/>
      <c r="AD1186" s="639">
        <v>1</v>
      </c>
      <c r="AE1186" s="636"/>
      <c r="AF1186" s="636"/>
      <c r="AG1186" s="638"/>
      <c r="AH1186" s="156"/>
      <c r="AI1186" s="156"/>
      <c r="AJ1186" s="156"/>
      <c r="AK1186" s="156"/>
      <c r="AL1186" s="156"/>
      <c r="AM1186" s="156"/>
      <c r="AN1186" s="156"/>
      <c r="AO1186" s="156"/>
      <c r="AP1186" s="156"/>
      <c r="AQ1186" s="156"/>
      <c r="AR1186" s="156"/>
      <c r="AS1186" s="156"/>
      <c r="AT1186" s="156"/>
      <c r="AU1186" s="156"/>
      <c r="AV1186" s="156"/>
      <c r="AW1186" s="156"/>
      <c r="AX1186" s="156"/>
      <c r="AY1186" s="156"/>
      <c r="AZ1186" s="156"/>
      <c r="BA1186" s="156"/>
      <c r="BB1186" s="2828"/>
      <c r="BC1186" s="452"/>
      <c r="BD1186" s="2829"/>
      <c r="BE1186" s="156"/>
      <c r="BF1186" s="156"/>
    </row>
    <row r="1187" spans="1:58" hidden="1" outlineLevel="1" x14ac:dyDescent="0.35">
      <c r="A1187" s="1071"/>
      <c r="B1187" s="106"/>
      <c r="C1187" s="103"/>
      <c r="D1187" s="4022"/>
      <c r="E1187" s="4111"/>
      <c r="F1187" s="3964" t="str">
        <f>E840</f>
        <v>Mini/MultiSplitASHP-Replace_CAC_NonElectricHeat_ER2_MF</v>
      </c>
      <c r="G1187" s="3965"/>
      <c r="H1187" s="3966"/>
      <c r="I1187" s="2763" t="str">
        <f t="shared" si="238"/>
        <v>351752_2022_12_</v>
      </c>
      <c r="J1187" s="639">
        <f t="shared" si="235"/>
        <v>1</v>
      </c>
      <c r="K1187" s="637"/>
      <c r="L1187" s="4084"/>
      <c r="M1187" s="1304"/>
      <c r="N1187" s="1296"/>
      <c r="O1187" s="106"/>
      <c r="P1187" s="106"/>
      <c r="Q1187" s="106"/>
      <c r="R1187" s="106"/>
      <c r="S1187" s="106"/>
      <c r="T1187" s="106"/>
      <c r="U1187" s="106"/>
      <c r="V1187" s="4022"/>
      <c r="W1187" s="636"/>
      <c r="X1187" s="636"/>
      <c r="Y1187" s="639"/>
      <c r="Z1187" s="636"/>
      <c r="AA1187" s="636"/>
      <c r="AB1187" s="636"/>
      <c r="AC1187" s="636"/>
      <c r="AD1187" s="639">
        <v>1</v>
      </c>
      <c r="AE1187" s="636"/>
      <c r="AF1187" s="636"/>
      <c r="AG1187" s="638"/>
      <c r="AH1187" s="156"/>
      <c r="AI1187" s="156"/>
      <c r="AJ1187" s="156"/>
      <c r="AK1187" s="156"/>
      <c r="AL1187" s="156"/>
      <c r="AM1187" s="156"/>
      <c r="AN1187" s="156"/>
      <c r="AO1187" s="156"/>
      <c r="AP1187" s="156"/>
      <c r="AQ1187" s="156"/>
      <c r="AR1187" s="156"/>
      <c r="AS1187" s="156"/>
      <c r="AT1187" s="156"/>
      <c r="AU1187" s="156"/>
      <c r="AV1187" s="156"/>
      <c r="AW1187" s="156"/>
      <c r="AX1187" s="156"/>
      <c r="AY1187" s="156"/>
      <c r="AZ1187" s="156"/>
      <c r="BA1187" s="156"/>
      <c r="BB1187" s="2828"/>
      <c r="BC1187" s="452"/>
      <c r="BD1187" s="2829"/>
      <c r="BE1187" s="156"/>
      <c r="BF1187" s="156"/>
    </row>
    <row r="1188" spans="1:58" hidden="1" outlineLevel="1" x14ac:dyDescent="0.35">
      <c r="A1188" s="1071"/>
      <c r="B1188" s="106"/>
      <c r="C1188" s="103"/>
      <c r="D1188" s="4022"/>
      <c r="E1188" s="4111"/>
      <c r="F1188" s="3946" t="str">
        <f>E841</f>
        <v>Mini/MultiSplitASHP-Replace_CAC_NonElectricHeat_ER2_MF</v>
      </c>
      <c r="G1188" s="3947"/>
      <c r="H1188" s="3948"/>
      <c r="I1188" s="2763" t="str">
        <f t="shared" si="238"/>
        <v>351752_2022_12_</v>
      </c>
      <c r="J1188" s="639">
        <f t="shared" si="235"/>
        <v>1</v>
      </c>
      <c r="K1188" s="637"/>
      <c r="L1188" s="4084"/>
      <c r="M1188" s="1304"/>
      <c r="N1188" s="1296"/>
      <c r="O1188" s="106"/>
      <c r="P1188" s="106"/>
      <c r="Q1188" s="106"/>
      <c r="R1188" s="106"/>
      <c r="S1188" s="106"/>
      <c r="T1188" s="106"/>
      <c r="U1188" s="106"/>
      <c r="V1188" s="4022"/>
      <c r="W1188" s="636"/>
      <c r="X1188" s="636"/>
      <c r="Y1188" s="639"/>
      <c r="Z1188" s="636"/>
      <c r="AA1188" s="636"/>
      <c r="AB1188" s="636"/>
      <c r="AC1188" s="636"/>
      <c r="AD1188" s="639">
        <v>1</v>
      </c>
      <c r="AE1188" s="636"/>
      <c r="AF1188" s="636"/>
      <c r="AG1188" s="638"/>
      <c r="AH1188" s="156"/>
      <c r="AI1188" s="156"/>
      <c r="AJ1188" s="156"/>
      <c r="AK1188" s="156"/>
      <c r="AL1188" s="156"/>
      <c r="AM1188" s="156"/>
      <c r="AN1188" s="156"/>
      <c r="AO1188" s="156"/>
      <c r="AP1188" s="156"/>
      <c r="AQ1188" s="156"/>
      <c r="AR1188" s="156"/>
      <c r="AS1188" s="156"/>
      <c r="AT1188" s="156"/>
      <c r="AU1188" s="156"/>
      <c r="AV1188" s="156"/>
      <c r="AW1188" s="156"/>
      <c r="AX1188" s="156"/>
      <c r="AY1188" s="156"/>
      <c r="AZ1188" s="156"/>
      <c r="BA1188" s="156"/>
      <c r="BB1188" s="2828"/>
      <c r="BC1188" s="452"/>
      <c r="BD1188" s="2829"/>
      <c r="BE1188" s="156"/>
      <c r="BF1188" s="156"/>
    </row>
    <row r="1189" spans="1:58" hidden="1" outlineLevel="1" x14ac:dyDescent="0.35">
      <c r="A1189" s="1071"/>
      <c r="B1189" s="106"/>
      <c r="C1189" s="103"/>
      <c r="D1189" s="4022"/>
      <c r="E1189" s="4111"/>
      <c r="F1189" s="3949" t="str">
        <f>E846</f>
        <v>Mini/MultiSplitASHP-Replace_CAC_ElectricHeat_ROF_MF</v>
      </c>
      <c r="G1189" s="3950"/>
      <c r="H1189" s="3951"/>
      <c r="I1189" s="2674" t="str">
        <f>C846</f>
        <v>351800_2021_12_</v>
      </c>
      <c r="J1189" s="636">
        <f>J1184</f>
        <v>1</v>
      </c>
      <c r="K1189" s="637"/>
      <c r="L1189" s="4084"/>
      <c r="M1189" s="1304"/>
      <c r="N1189" s="1296"/>
      <c r="O1189" s="106"/>
      <c r="P1189" s="106"/>
      <c r="Q1189" s="106"/>
      <c r="R1189" s="106"/>
      <c r="S1189" s="106"/>
      <c r="T1189" s="106"/>
      <c r="U1189" s="106"/>
      <c r="V1189" s="4022"/>
      <c r="W1189" s="636">
        <v>0.65</v>
      </c>
      <c r="X1189" s="636">
        <v>0.65</v>
      </c>
      <c r="Y1189" s="639">
        <f>Y1184</f>
        <v>1</v>
      </c>
      <c r="Z1189" s="636">
        <v>1</v>
      </c>
      <c r="AA1189" s="636">
        <v>1</v>
      </c>
      <c r="AB1189" s="636">
        <v>1</v>
      </c>
      <c r="AC1189" s="636">
        <v>1</v>
      </c>
      <c r="AD1189" s="636">
        <v>1</v>
      </c>
      <c r="AE1189" s="636"/>
      <c r="AF1189" s="636"/>
      <c r="AG1189" s="638"/>
      <c r="AH1189" s="156"/>
      <c r="AI1189" s="156"/>
      <c r="AJ1189" s="156"/>
      <c r="AK1189" s="156"/>
      <c r="AL1189" s="156"/>
      <c r="AM1189" s="156"/>
      <c r="AN1189" s="156"/>
      <c r="AO1189" s="156"/>
      <c r="AP1189" s="156"/>
      <c r="AQ1189" s="156"/>
      <c r="AR1189" s="156"/>
      <c r="AS1189" s="156"/>
      <c r="AT1189" s="156"/>
      <c r="AU1189" s="156"/>
      <c r="AV1189" s="156"/>
      <c r="AW1189" s="156"/>
      <c r="AX1189" s="156"/>
      <c r="AY1189" s="156"/>
      <c r="AZ1189" s="156"/>
      <c r="BA1189" s="156"/>
      <c r="BB1189" s="2828"/>
      <c r="BC1189" s="452"/>
      <c r="BD1189" s="2829"/>
      <c r="BE1189" s="156"/>
      <c r="BF1189" s="156"/>
    </row>
    <row r="1190" spans="1:58" hidden="1" outlineLevel="1" x14ac:dyDescent="0.35">
      <c r="A1190" s="1071"/>
      <c r="B1190" s="106"/>
      <c r="C1190" s="103"/>
      <c r="D1190" s="4022"/>
      <c r="E1190" s="4111"/>
      <c r="F1190" s="3955" t="str">
        <f>E847</f>
        <v>Mini/MultiSplitASHP-Replace_CAC_ElectricHeat_ROF_MF</v>
      </c>
      <c r="G1190" s="3956"/>
      <c r="H1190" s="3957"/>
      <c r="I1190" s="2674" t="str">
        <f>C847</f>
        <v>351800_2021_12_</v>
      </c>
      <c r="J1190" s="636">
        <f t="shared" si="235"/>
        <v>1</v>
      </c>
      <c r="K1190" s="637"/>
      <c r="L1190" s="4084"/>
      <c r="M1190" s="1304"/>
      <c r="N1190" s="1296"/>
      <c r="O1190" s="106"/>
      <c r="P1190" s="106"/>
      <c r="Q1190" s="106"/>
      <c r="R1190" s="106"/>
      <c r="S1190" s="106"/>
      <c r="T1190" s="106"/>
      <c r="U1190" s="106"/>
      <c r="V1190" s="4022"/>
      <c r="W1190" s="636">
        <v>0.65</v>
      </c>
      <c r="X1190" s="636">
        <v>0.65</v>
      </c>
      <c r="Y1190" s="639">
        <f t="shared" si="236"/>
        <v>1</v>
      </c>
      <c r="Z1190" s="636">
        <v>1</v>
      </c>
      <c r="AA1190" s="636">
        <v>1</v>
      </c>
      <c r="AB1190" s="636">
        <v>1</v>
      </c>
      <c r="AC1190" s="636">
        <v>1</v>
      </c>
      <c r="AD1190" s="636">
        <v>1</v>
      </c>
      <c r="AE1190" s="636"/>
      <c r="AF1190" s="636"/>
      <c r="AG1190" s="638"/>
      <c r="AH1190" s="156"/>
      <c r="AI1190" s="156"/>
      <c r="AJ1190" s="156"/>
      <c r="AK1190" s="156"/>
      <c r="AL1190" s="156"/>
      <c r="AM1190" s="156"/>
      <c r="AN1190" s="156"/>
      <c r="AO1190" s="156"/>
      <c r="AP1190" s="156"/>
      <c r="AQ1190" s="156"/>
      <c r="AR1190" s="156"/>
      <c r="AS1190" s="156"/>
      <c r="AT1190" s="156"/>
      <c r="AU1190" s="156"/>
      <c r="AV1190" s="156"/>
      <c r="AW1190" s="156"/>
      <c r="AX1190" s="156"/>
      <c r="AY1190" s="156"/>
      <c r="AZ1190" s="156"/>
      <c r="BA1190" s="156"/>
      <c r="BB1190" s="2828"/>
      <c r="BC1190" s="452"/>
      <c r="BD1190" s="2829"/>
      <c r="BE1190" s="156"/>
      <c r="BF1190" s="156"/>
    </row>
    <row r="1191" spans="1:58" hidden="1" outlineLevel="1" x14ac:dyDescent="0.35">
      <c r="A1191" s="1071"/>
      <c r="B1191" s="106"/>
      <c r="C1191" s="103"/>
      <c r="D1191" s="4022"/>
      <c r="E1191" s="4111"/>
      <c r="F1191" s="3961" t="str">
        <f>E850</f>
        <v>Mini/MultiSplitASHP-Replace_CAC_NonElectricHeat_ROF_MF</v>
      </c>
      <c r="G1191" s="3962"/>
      <c r="H1191" s="3963"/>
      <c r="I1191" s="2763" t="str">
        <f>C850</f>
        <v>351802_2022_12_</v>
      </c>
      <c r="J1191" s="639">
        <f>J1186</f>
        <v>1</v>
      </c>
      <c r="K1191" s="637"/>
      <c r="L1191" s="4084"/>
      <c r="M1191" s="1304"/>
      <c r="N1191" s="1296"/>
      <c r="O1191" s="106"/>
      <c r="P1191" s="106"/>
      <c r="Q1191" s="106"/>
      <c r="R1191" s="106"/>
      <c r="S1191" s="106"/>
      <c r="T1191" s="106"/>
      <c r="U1191" s="106"/>
      <c r="V1191" s="4022"/>
      <c r="W1191" s="636"/>
      <c r="X1191" s="636"/>
      <c r="Y1191" s="639"/>
      <c r="Z1191" s="636"/>
      <c r="AA1191" s="636"/>
      <c r="AB1191" s="636"/>
      <c r="AC1191" s="636"/>
      <c r="AD1191" s="639">
        <v>1</v>
      </c>
      <c r="AE1191" s="636"/>
      <c r="AF1191" s="636"/>
      <c r="AG1191" s="638"/>
      <c r="AH1191" s="156"/>
      <c r="AI1191" s="156"/>
      <c r="AJ1191" s="156"/>
      <c r="AK1191" s="156"/>
      <c r="AL1191" s="156"/>
      <c r="AM1191" s="156"/>
      <c r="AN1191" s="156"/>
      <c r="AO1191" s="156"/>
      <c r="AP1191" s="156"/>
      <c r="AQ1191" s="156"/>
      <c r="AR1191" s="156"/>
      <c r="AS1191" s="156"/>
      <c r="AT1191" s="156"/>
      <c r="AU1191" s="156"/>
      <c r="AV1191" s="156"/>
      <c r="AW1191" s="156"/>
      <c r="AX1191" s="156"/>
      <c r="AY1191" s="156"/>
      <c r="AZ1191" s="156"/>
      <c r="BA1191" s="156"/>
      <c r="BB1191" s="2828"/>
      <c r="BC1191" s="452"/>
      <c r="BD1191" s="2829"/>
      <c r="BE1191" s="156"/>
      <c r="BF1191" s="156"/>
    </row>
    <row r="1192" spans="1:58" hidden="1" outlineLevel="1" x14ac:dyDescent="0.35">
      <c r="A1192" s="1071"/>
      <c r="B1192" s="106"/>
      <c r="C1192" s="103"/>
      <c r="D1192" s="4022"/>
      <c r="E1192" s="4111"/>
      <c r="F1192" s="3946" t="str">
        <f>E851</f>
        <v>Mini/MultiSplitASHP-Replace_CAC_NonElectricHeat_ROF_MF</v>
      </c>
      <c r="G1192" s="3947"/>
      <c r="H1192" s="3948"/>
      <c r="I1192" s="2763" t="str">
        <f>C851</f>
        <v>351802_2022_12_</v>
      </c>
      <c r="J1192" s="639">
        <f t="shared" si="235"/>
        <v>1</v>
      </c>
      <c r="K1192" s="637"/>
      <c r="L1192" s="4084"/>
      <c r="M1192" s="1304"/>
      <c r="N1192" s="1296"/>
      <c r="O1192" s="106"/>
      <c r="P1192" s="106"/>
      <c r="Q1192" s="106"/>
      <c r="R1192" s="106"/>
      <c r="S1192" s="106"/>
      <c r="T1192" s="106"/>
      <c r="U1192" s="106"/>
      <c r="V1192" s="4022"/>
      <c r="W1192" s="636"/>
      <c r="X1192" s="636"/>
      <c r="Y1192" s="639"/>
      <c r="Z1192" s="636"/>
      <c r="AA1192" s="636"/>
      <c r="AB1192" s="636"/>
      <c r="AC1192" s="636"/>
      <c r="AD1192" s="639">
        <v>1</v>
      </c>
      <c r="AE1192" s="636"/>
      <c r="AF1192" s="636"/>
      <c r="AG1192" s="638"/>
      <c r="AH1192" s="156"/>
      <c r="AI1192" s="156"/>
      <c r="AJ1192" s="156"/>
      <c r="AK1192" s="156"/>
      <c r="AL1192" s="156"/>
      <c r="AM1192" s="156"/>
      <c r="AN1192" s="156"/>
      <c r="AO1192" s="156"/>
      <c r="AP1192" s="156"/>
      <c r="AQ1192" s="156"/>
      <c r="AR1192" s="156"/>
      <c r="AS1192" s="156"/>
      <c r="AT1192" s="156"/>
      <c r="AU1192" s="156"/>
      <c r="AV1192" s="156"/>
      <c r="AW1192" s="156"/>
      <c r="AX1192" s="156"/>
      <c r="AY1192" s="156"/>
      <c r="AZ1192" s="156"/>
      <c r="BA1192" s="156"/>
      <c r="BB1192" s="2828"/>
      <c r="BC1192" s="452"/>
      <c r="BD1192" s="2829"/>
      <c r="BE1192" s="156"/>
      <c r="BF1192" s="156"/>
    </row>
    <row r="1193" spans="1:58" hidden="1" outlineLevel="1" x14ac:dyDescent="0.35">
      <c r="A1193" s="1071"/>
      <c r="B1193" s="106"/>
      <c r="C1193" s="103"/>
      <c r="D1193" s="4022"/>
      <c r="E1193" s="4111"/>
      <c r="F1193" s="3949" t="str">
        <f>E854</f>
        <v>Mini/MultiSplitASHP_ER1_MF</v>
      </c>
      <c r="G1193" s="3950"/>
      <c r="H1193" s="3951"/>
      <c r="I1193" s="2674" t="str">
        <f>C854</f>
        <v>351850_2021_12_</v>
      </c>
      <c r="J1193" s="636">
        <f>J1190</f>
        <v>1</v>
      </c>
      <c r="K1193" s="637"/>
      <c r="L1193" s="4084"/>
      <c r="M1193" s="1304"/>
      <c r="N1193" s="1296"/>
      <c r="O1193" s="106"/>
      <c r="P1193" s="106"/>
      <c r="Q1193" s="106"/>
      <c r="R1193" s="106"/>
      <c r="S1193" s="106"/>
      <c r="T1193" s="106"/>
      <c r="U1193" s="106"/>
      <c r="V1193" s="4022"/>
      <c r="W1193" s="636">
        <v>0.65</v>
      </c>
      <c r="X1193" s="636">
        <v>0.65</v>
      </c>
      <c r="Y1193" s="639">
        <f>Y1190</f>
        <v>1</v>
      </c>
      <c r="Z1193" s="636">
        <v>1</v>
      </c>
      <c r="AA1193" s="636">
        <v>1</v>
      </c>
      <c r="AB1193" s="636">
        <v>1</v>
      </c>
      <c r="AC1193" s="636">
        <v>1</v>
      </c>
      <c r="AD1193" s="636">
        <v>1</v>
      </c>
      <c r="AE1193" s="636"/>
      <c r="AF1193" s="636"/>
      <c r="AG1193" s="638"/>
      <c r="AH1193" s="156"/>
      <c r="AI1193" s="156"/>
      <c r="AJ1193" s="156"/>
      <c r="AK1193" s="156"/>
      <c r="AL1193" s="156"/>
      <c r="AM1193" s="156"/>
      <c r="AN1193" s="156"/>
      <c r="AO1193" s="156"/>
      <c r="AP1193" s="156"/>
      <c r="AQ1193" s="156"/>
      <c r="AR1193" s="156"/>
      <c r="AS1193" s="156"/>
      <c r="AT1193" s="156"/>
      <c r="AU1193" s="156"/>
      <c r="AV1193" s="156"/>
      <c r="AW1193" s="156"/>
      <c r="AX1193" s="156"/>
      <c r="AY1193" s="156"/>
      <c r="AZ1193" s="156"/>
      <c r="BA1193" s="156"/>
      <c r="BB1193" s="2828"/>
      <c r="BC1193" s="452"/>
      <c r="BD1193" s="2829"/>
      <c r="BE1193" s="156"/>
      <c r="BF1193" s="156"/>
    </row>
    <row r="1194" spans="1:58" hidden="1" outlineLevel="1" x14ac:dyDescent="0.35">
      <c r="A1194" s="1071"/>
      <c r="B1194" s="106"/>
      <c r="C1194" s="103"/>
      <c r="D1194" s="4022"/>
      <c r="E1194" s="4111"/>
      <c r="F1194" s="3952" t="str">
        <f>E855</f>
        <v>Mini/MultiSplitASHP_ER1_MF</v>
      </c>
      <c r="G1194" s="3953"/>
      <c r="H1194" s="3954"/>
      <c r="I1194" s="2674" t="str">
        <f>C855</f>
        <v>351850_2021_12_</v>
      </c>
      <c r="J1194" s="636">
        <f t="shared" si="235"/>
        <v>1</v>
      </c>
      <c r="K1194" s="637"/>
      <c r="L1194" s="4084"/>
      <c r="M1194" s="1304"/>
      <c r="N1194" s="1296"/>
      <c r="O1194" s="106"/>
      <c r="P1194" s="106"/>
      <c r="Q1194" s="106"/>
      <c r="R1194" s="106"/>
      <c r="S1194" s="106"/>
      <c r="T1194" s="106"/>
      <c r="U1194" s="106"/>
      <c r="V1194" s="4022"/>
      <c r="W1194" s="636">
        <v>0.65</v>
      </c>
      <c r="X1194" s="636">
        <v>0.65</v>
      </c>
      <c r="Y1194" s="639">
        <f t="shared" si="236"/>
        <v>1</v>
      </c>
      <c r="Z1194" s="636">
        <v>1</v>
      </c>
      <c r="AA1194" s="636">
        <v>1</v>
      </c>
      <c r="AB1194" s="636">
        <v>1</v>
      </c>
      <c r="AC1194" s="636">
        <v>1</v>
      </c>
      <c r="AD1194" s="636">
        <v>1</v>
      </c>
      <c r="AE1194" s="636"/>
      <c r="AF1194" s="636"/>
      <c r="AG1194" s="638"/>
      <c r="AH1194" s="156"/>
      <c r="AI1194" s="156"/>
      <c r="AJ1194" s="156"/>
      <c r="AK1194" s="156"/>
      <c r="AL1194" s="156"/>
      <c r="AM1194" s="156"/>
      <c r="AN1194" s="156"/>
      <c r="AO1194" s="156"/>
      <c r="AP1194" s="156"/>
      <c r="AQ1194" s="156"/>
      <c r="AR1194" s="156"/>
      <c r="AS1194" s="156"/>
      <c r="AT1194" s="156"/>
      <c r="AU1194" s="156"/>
      <c r="AV1194" s="156"/>
      <c r="AW1194" s="156"/>
      <c r="AX1194" s="156"/>
      <c r="AY1194" s="156"/>
      <c r="AZ1194" s="156"/>
      <c r="BA1194" s="156"/>
      <c r="BB1194" s="2828"/>
      <c r="BC1194" s="452"/>
      <c r="BD1194" s="2829"/>
      <c r="BE1194" s="156"/>
      <c r="BF1194" s="156"/>
    </row>
    <row r="1195" spans="1:58" hidden="1" outlineLevel="1" x14ac:dyDescent="0.35">
      <c r="A1195" s="1071"/>
      <c r="B1195" s="106"/>
      <c r="C1195" s="103"/>
      <c r="D1195" s="4022"/>
      <c r="E1195" s="4111"/>
      <c r="F1195" s="3952" t="str">
        <f>E856</f>
        <v>Mini/MultiSplitASHP_ER2_MF</v>
      </c>
      <c r="G1195" s="3953"/>
      <c r="H1195" s="3954"/>
      <c r="I1195" s="2674" t="str">
        <f>C856</f>
        <v>351850_2021_12_</v>
      </c>
      <c r="J1195" s="636">
        <f t="shared" si="235"/>
        <v>1</v>
      </c>
      <c r="K1195" s="637"/>
      <c r="L1195" s="4084"/>
      <c r="M1195" s="1304"/>
      <c r="N1195" s="1296"/>
      <c r="O1195" s="106"/>
      <c r="P1195" s="106"/>
      <c r="Q1195" s="106"/>
      <c r="R1195" s="106"/>
      <c r="S1195" s="106"/>
      <c r="T1195" s="106"/>
      <c r="U1195" s="106"/>
      <c r="V1195" s="4022"/>
      <c r="W1195" s="636">
        <v>0.65</v>
      </c>
      <c r="X1195" s="636">
        <v>0.65</v>
      </c>
      <c r="Y1195" s="639">
        <f t="shared" si="236"/>
        <v>1</v>
      </c>
      <c r="Z1195" s="636">
        <v>1</v>
      </c>
      <c r="AA1195" s="636">
        <v>1</v>
      </c>
      <c r="AB1195" s="636">
        <v>1</v>
      </c>
      <c r="AC1195" s="636">
        <v>1</v>
      </c>
      <c r="AD1195" s="636">
        <v>1</v>
      </c>
      <c r="AE1195" s="636"/>
      <c r="AF1195" s="636"/>
      <c r="AG1195" s="638"/>
      <c r="AH1195" s="156"/>
      <c r="AI1195" s="156"/>
      <c r="AJ1195" s="156"/>
      <c r="AK1195" s="156"/>
      <c r="AL1195" s="156"/>
      <c r="AM1195" s="156"/>
      <c r="AN1195" s="156"/>
      <c r="AO1195" s="156"/>
      <c r="AP1195" s="156"/>
      <c r="AQ1195" s="156"/>
      <c r="AR1195" s="156"/>
      <c r="AS1195" s="156"/>
      <c r="AT1195" s="156"/>
      <c r="AU1195" s="156"/>
      <c r="AV1195" s="156"/>
      <c r="AW1195" s="156"/>
      <c r="AX1195" s="156"/>
      <c r="AY1195" s="156"/>
      <c r="AZ1195" s="156"/>
      <c r="BA1195" s="156"/>
      <c r="BB1195" s="2828"/>
      <c r="BC1195" s="452"/>
      <c r="BD1195" s="2829"/>
      <c r="BE1195" s="156"/>
      <c r="BF1195" s="156"/>
    </row>
    <row r="1196" spans="1:58" hidden="1" outlineLevel="1" x14ac:dyDescent="0.35">
      <c r="A1196" s="1071"/>
      <c r="B1196" s="106"/>
      <c r="C1196" s="103"/>
      <c r="D1196" s="4022"/>
      <c r="E1196" s="4111"/>
      <c r="F1196" s="3955" t="str">
        <f>E857</f>
        <v>Mini/MultiSplitASHP_ER2_MF</v>
      </c>
      <c r="G1196" s="3956"/>
      <c r="H1196" s="3957"/>
      <c r="I1196" s="2674" t="str">
        <f>C857</f>
        <v>351850_2021_12_</v>
      </c>
      <c r="J1196" s="636">
        <f t="shared" si="235"/>
        <v>1</v>
      </c>
      <c r="K1196" s="637"/>
      <c r="L1196" s="4084"/>
      <c r="M1196" s="1304"/>
      <c r="N1196" s="1296"/>
      <c r="O1196" s="106"/>
      <c r="P1196" s="106"/>
      <c r="Q1196" s="106"/>
      <c r="R1196" s="106"/>
      <c r="S1196" s="106"/>
      <c r="T1196" s="106"/>
      <c r="U1196" s="106"/>
      <c r="V1196" s="4022"/>
      <c r="W1196" s="636">
        <v>0.65</v>
      </c>
      <c r="X1196" s="636">
        <v>0.65</v>
      </c>
      <c r="Y1196" s="639">
        <f t="shared" si="236"/>
        <v>1</v>
      </c>
      <c r="Z1196" s="636">
        <v>1</v>
      </c>
      <c r="AA1196" s="636">
        <v>1</v>
      </c>
      <c r="AB1196" s="636">
        <v>1</v>
      </c>
      <c r="AC1196" s="636">
        <v>1</v>
      </c>
      <c r="AD1196" s="636">
        <v>1</v>
      </c>
      <c r="AE1196" s="636"/>
      <c r="AF1196" s="636"/>
      <c r="AG1196" s="638"/>
      <c r="AH1196" s="156"/>
      <c r="AI1196" s="156"/>
      <c r="AJ1196" s="156"/>
      <c r="AK1196" s="156"/>
      <c r="AL1196" s="156"/>
      <c r="AM1196" s="156"/>
      <c r="AN1196" s="156"/>
      <c r="AO1196" s="156"/>
      <c r="AP1196" s="156"/>
      <c r="AQ1196" s="156"/>
      <c r="AR1196" s="156"/>
      <c r="AS1196" s="156"/>
      <c r="AT1196" s="156"/>
      <c r="AU1196" s="156"/>
      <c r="AV1196" s="156"/>
      <c r="AW1196" s="156"/>
      <c r="AX1196" s="156"/>
      <c r="AY1196" s="156"/>
      <c r="AZ1196" s="156"/>
      <c r="BA1196" s="156"/>
      <c r="BB1196" s="2828"/>
      <c r="BC1196" s="452"/>
      <c r="BD1196" s="2829"/>
      <c r="BE1196" s="156"/>
      <c r="BF1196" s="156"/>
    </row>
    <row r="1197" spans="1:58" hidden="1" outlineLevel="1" x14ac:dyDescent="0.35">
      <c r="A1197" s="1071"/>
      <c r="B1197" s="106"/>
      <c r="C1197" s="103"/>
      <c r="D1197" s="4023"/>
      <c r="E1197" s="3839"/>
      <c r="F1197" s="3949" t="str">
        <f>E818</f>
        <v>Mini/MultiSplitAC_ER1_MF_CompE</v>
      </c>
      <c r="G1197" s="3950"/>
      <c r="H1197" s="3951"/>
      <c r="I1197" s="2674" t="str">
        <f>C818</f>
        <v>351551_2021_12_</v>
      </c>
      <c r="J1197" s="636">
        <f t="shared" si="235"/>
        <v>1</v>
      </c>
      <c r="K1197" s="637"/>
      <c r="L1197" s="4084"/>
      <c r="M1197" s="1304"/>
      <c r="N1197" s="1296"/>
      <c r="O1197" s="106"/>
      <c r="P1197" s="106"/>
      <c r="Q1197" s="106"/>
      <c r="R1197" s="106"/>
      <c r="S1197" s="106"/>
      <c r="T1197" s="106"/>
      <c r="U1197" s="106"/>
      <c r="V1197" s="4023"/>
      <c r="W1197" s="632"/>
      <c r="X1197" s="632"/>
      <c r="Y1197" s="639">
        <f t="shared" si="236"/>
        <v>1</v>
      </c>
      <c r="Z1197" s="636">
        <v>1</v>
      </c>
      <c r="AA1197" s="636">
        <v>1</v>
      </c>
      <c r="AB1197" s="636">
        <v>1</v>
      </c>
      <c r="AC1197" s="636">
        <v>1</v>
      </c>
      <c r="AD1197" s="636">
        <v>1</v>
      </c>
      <c r="AE1197" s="632"/>
      <c r="AF1197" s="632"/>
      <c r="AG1197" s="640"/>
      <c r="AH1197" s="156"/>
      <c r="AI1197" s="156"/>
      <c r="AJ1197" s="156"/>
      <c r="AK1197" s="156"/>
      <c r="AL1197" s="156"/>
      <c r="AM1197" s="156"/>
      <c r="AN1197" s="156"/>
      <c r="AO1197" s="156"/>
      <c r="AP1197" s="156"/>
      <c r="AQ1197" s="156"/>
      <c r="AR1197" s="156"/>
      <c r="AS1197" s="156"/>
      <c r="AT1197" s="156"/>
      <c r="AU1197" s="156"/>
      <c r="AV1197" s="156"/>
      <c r="AW1197" s="156"/>
      <c r="AX1197" s="156"/>
      <c r="AY1197" s="156"/>
      <c r="AZ1197" s="156"/>
      <c r="BA1197" s="156"/>
      <c r="BB1197" s="2828"/>
      <c r="BC1197" s="452"/>
      <c r="BD1197" s="2829"/>
      <c r="BE1197" s="156"/>
      <c r="BF1197" s="156"/>
    </row>
    <row r="1198" spans="1:58" hidden="1" outlineLevel="1" x14ac:dyDescent="0.35">
      <c r="A1198" s="1071"/>
      <c r="B1198" s="106"/>
      <c r="C1198" s="103"/>
      <c r="D1198" s="4023"/>
      <c r="E1198" s="3839"/>
      <c r="F1198" s="3955" t="str">
        <f>E819</f>
        <v>Mini/MultiSplitAC_ER2_MF_CompE</v>
      </c>
      <c r="G1198" s="3956"/>
      <c r="H1198" s="3957"/>
      <c r="I1198" s="2674" t="str">
        <f>C819</f>
        <v>351551_2021_12_</v>
      </c>
      <c r="J1198" s="636">
        <f t="shared" si="235"/>
        <v>1</v>
      </c>
      <c r="K1198" s="637"/>
      <c r="L1198" s="4084"/>
      <c r="M1198" s="1304"/>
      <c r="N1198" s="1296"/>
      <c r="O1198" s="106"/>
      <c r="P1198" s="106"/>
      <c r="Q1198" s="106"/>
      <c r="R1198" s="106"/>
      <c r="S1198" s="106"/>
      <c r="T1198" s="106"/>
      <c r="U1198" s="106"/>
      <c r="V1198" s="4023"/>
      <c r="W1198" s="636"/>
      <c r="X1198" s="636"/>
      <c r="Y1198" s="639">
        <f t="shared" si="236"/>
        <v>1</v>
      </c>
      <c r="Z1198" s="636">
        <v>1</v>
      </c>
      <c r="AA1198" s="636">
        <v>1</v>
      </c>
      <c r="AB1198" s="636">
        <v>1</v>
      </c>
      <c r="AC1198" s="636">
        <v>1</v>
      </c>
      <c r="AD1198" s="636">
        <v>1</v>
      </c>
      <c r="AE1198" s="636"/>
      <c r="AF1198" s="636"/>
      <c r="AG1198" s="638"/>
      <c r="AH1198" s="156"/>
      <c r="AI1198" s="156"/>
      <c r="AJ1198" s="156"/>
      <c r="AK1198" s="156"/>
      <c r="AL1198" s="156"/>
      <c r="AM1198" s="156"/>
      <c r="AN1198" s="156"/>
      <c r="AO1198" s="156"/>
      <c r="AP1198" s="156"/>
      <c r="AQ1198" s="156"/>
      <c r="AR1198" s="156"/>
      <c r="AS1198" s="156"/>
      <c r="AT1198" s="156"/>
      <c r="AU1198" s="156"/>
      <c r="AV1198" s="156"/>
      <c r="AW1198" s="156"/>
      <c r="AX1198" s="156"/>
      <c r="AY1198" s="156"/>
      <c r="AZ1198" s="156"/>
      <c r="BA1198" s="156"/>
      <c r="BB1198" s="2828"/>
      <c r="BC1198" s="452"/>
      <c r="BD1198" s="2829"/>
      <c r="BE1198" s="156"/>
      <c r="BF1198" s="156"/>
    </row>
    <row r="1199" spans="1:58" hidden="1" outlineLevel="1" x14ac:dyDescent="0.35">
      <c r="A1199" s="1071"/>
      <c r="B1199" s="106"/>
      <c r="C1199" s="103"/>
      <c r="D1199" s="4023"/>
      <c r="E1199" s="3839"/>
      <c r="F1199" s="3970" t="str">
        <f>E821</f>
        <v>Mini/MultiSplitAC_ROF_MF_CompE</v>
      </c>
      <c r="G1199" s="3971"/>
      <c r="H1199" s="3972"/>
      <c r="I1199" s="2674" t="str">
        <f>C821</f>
        <v>351601_2021_12_</v>
      </c>
      <c r="J1199" s="636">
        <f t="shared" si="235"/>
        <v>1</v>
      </c>
      <c r="K1199" s="637"/>
      <c r="L1199" s="4084"/>
      <c r="M1199" s="1304"/>
      <c r="N1199" s="1296"/>
      <c r="O1199" s="106"/>
      <c r="P1199" s="106"/>
      <c r="Q1199" s="106"/>
      <c r="R1199" s="106"/>
      <c r="S1199" s="106"/>
      <c r="T1199" s="106"/>
      <c r="U1199" s="106"/>
      <c r="V1199" s="4023"/>
      <c r="W1199" s="636"/>
      <c r="X1199" s="636"/>
      <c r="Y1199" s="639">
        <f t="shared" si="236"/>
        <v>1</v>
      </c>
      <c r="Z1199" s="636">
        <v>1</v>
      </c>
      <c r="AA1199" s="636">
        <v>1</v>
      </c>
      <c r="AB1199" s="636">
        <v>1</v>
      </c>
      <c r="AC1199" s="636">
        <v>1</v>
      </c>
      <c r="AD1199" s="636">
        <v>1</v>
      </c>
      <c r="AE1199" s="636"/>
      <c r="AF1199" s="636"/>
      <c r="AG1199" s="638"/>
      <c r="AH1199" s="156"/>
      <c r="AI1199" s="156"/>
      <c r="AJ1199" s="156"/>
      <c r="AK1199" s="156"/>
      <c r="AL1199" s="156"/>
      <c r="AM1199" s="156"/>
      <c r="AN1199" s="156"/>
      <c r="AO1199" s="156"/>
      <c r="AP1199" s="156"/>
      <c r="AQ1199" s="156"/>
      <c r="AR1199" s="156"/>
      <c r="AS1199" s="156"/>
      <c r="AT1199" s="156"/>
      <c r="AU1199" s="156"/>
      <c r="AV1199" s="156"/>
      <c r="AW1199" s="156"/>
      <c r="AX1199" s="156"/>
      <c r="AY1199" s="156"/>
      <c r="AZ1199" s="156"/>
      <c r="BA1199" s="156"/>
      <c r="BB1199" s="2828"/>
      <c r="BC1199" s="452"/>
      <c r="BD1199" s="2829"/>
      <c r="BE1199" s="156"/>
      <c r="BF1199" s="156"/>
    </row>
    <row r="1200" spans="1:58" hidden="1" outlineLevel="1" x14ac:dyDescent="0.35">
      <c r="A1200" s="1071"/>
      <c r="B1200" s="106"/>
      <c r="C1200" s="103"/>
      <c r="D1200" s="4023"/>
      <c r="E1200" s="3839"/>
      <c r="F1200" s="3949" t="str">
        <f>E824</f>
        <v>Mini/MultiSplitASHP_ROF_MF_NC_CompE</v>
      </c>
      <c r="G1200" s="3950"/>
      <c r="H1200" s="3951"/>
      <c r="I1200" s="2674" t="str">
        <f>C824</f>
        <v>351651_2021_12_</v>
      </c>
      <c r="J1200" s="636">
        <f t="shared" si="235"/>
        <v>1</v>
      </c>
      <c r="K1200" s="637"/>
      <c r="L1200" s="4084"/>
      <c r="M1200" s="1304"/>
      <c r="N1200" s="1296"/>
      <c r="O1200" s="106"/>
      <c r="P1200" s="106"/>
      <c r="Q1200" s="106"/>
      <c r="R1200" s="106"/>
      <c r="S1200" s="106"/>
      <c r="T1200" s="106"/>
      <c r="U1200" s="106"/>
      <c r="V1200" s="4023"/>
      <c r="W1200" s="636"/>
      <c r="X1200" s="636"/>
      <c r="Y1200" s="639">
        <f t="shared" si="236"/>
        <v>1</v>
      </c>
      <c r="Z1200" s="636">
        <v>1</v>
      </c>
      <c r="AA1200" s="636">
        <v>1</v>
      </c>
      <c r="AB1200" s="636">
        <v>1</v>
      </c>
      <c r="AC1200" s="636">
        <v>1</v>
      </c>
      <c r="AD1200" s="636">
        <v>1</v>
      </c>
      <c r="AE1200" s="636"/>
      <c r="AF1200" s="636"/>
      <c r="AG1200" s="638"/>
      <c r="AH1200" s="156"/>
      <c r="AI1200" s="156"/>
      <c r="AJ1200" s="156"/>
      <c r="AK1200" s="156"/>
      <c r="AL1200" s="156"/>
      <c r="AM1200" s="156"/>
      <c r="AN1200" s="156"/>
      <c r="AO1200" s="156"/>
      <c r="AP1200" s="156"/>
      <c r="AQ1200" s="156"/>
      <c r="AR1200" s="156"/>
      <c r="AS1200" s="156"/>
      <c r="AT1200" s="156"/>
      <c r="AU1200" s="156"/>
      <c r="AV1200" s="156"/>
      <c r="AW1200" s="156"/>
      <c r="AX1200" s="156"/>
      <c r="AY1200" s="156"/>
      <c r="AZ1200" s="156"/>
      <c r="BA1200" s="156"/>
      <c r="BB1200" s="2828"/>
      <c r="BC1200" s="452"/>
      <c r="BD1200" s="2829"/>
      <c r="BE1200" s="156"/>
      <c r="BF1200" s="156"/>
    </row>
    <row r="1201" spans="1:58" hidden="1" outlineLevel="1" x14ac:dyDescent="0.35">
      <c r="A1201" s="1071"/>
      <c r="B1201" s="106"/>
      <c r="C1201" s="103"/>
      <c r="D1201" s="4023"/>
      <c r="E1201" s="3839"/>
      <c r="F1201" s="3955" t="str">
        <f>E825</f>
        <v>Mini/MultiSplitASHP_ROF_MF_NC_CompE</v>
      </c>
      <c r="G1201" s="3956"/>
      <c r="H1201" s="3957"/>
      <c r="I1201" s="2674" t="str">
        <f>C825</f>
        <v>351651_2021_12_</v>
      </c>
      <c r="J1201" s="636">
        <f t="shared" si="235"/>
        <v>1</v>
      </c>
      <c r="K1201" s="637"/>
      <c r="L1201" s="4084"/>
      <c r="M1201" s="1304"/>
      <c r="N1201" s="1296"/>
      <c r="O1201" s="106"/>
      <c r="P1201" s="106"/>
      <c r="Q1201" s="106"/>
      <c r="R1201" s="106"/>
      <c r="S1201" s="106"/>
      <c r="T1201" s="106"/>
      <c r="U1201" s="106"/>
      <c r="V1201" s="4023"/>
      <c r="W1201" s="636"/>
      <c r="X1201" s="636"/>
      <c r="Y1201" s="639">
        <f t="shared" si="236"/>
        <v>1</v>
      </c>
      <c r="Z1201" s="636">
        <v>1</v>
      </c>
      <c r="AA1201" s="636">
        <v>1</v>
      </c>
      <c r="AB1201" s="636">
        <v>1</v>
      </c>
      <c r="AC1201" s="636">
        <v>1</v>
      </c>
      <c r="AD1201" s="636">
        <v>1</v>
      </c>
      <c r="AE1201" s="636"/>
      <c r="AF1201" s="636"/>
      <c r="AG1201" s="638"/>
      <c r="AH1201" s="156"/>
      <c r="AI1201" s="156"/>
      <c r="AJ1201" s="156"/>
      <c r="AK1201" s="156"/>
      <c r="AL1201" s="156"/>
      <c r="AM1201" s="156"/>
      <c r="AN1201" s="156"/>
      <c r="AO1201" s="156"/>
      <c r="AP1201" s="156"/>
      <c r="AQ1201" s="156"/>
      <c r="AR1201" s="156"/>
      <c r="AS1201" s="156"/>
      <c r="AT1201" s="156"/>
      <c r="AU1201" s="156"/>
      <c r="AV1201" s="156"/>
      <c r="AW1201" s="156"/>
      <c r="AX1201" s="156"/>
      <c r="AY1201" s="156"/>
      <c r="AZ1201" s="156"/>
      <c r="BA1201" s="156"/>
      <c r="BB1201" s="2828"/>
      <c r="BC1201" s="452"/>
      <c r="BD1201" s="2829"/>
      <c r="BE1201" s="156"/>
      <c r="BF1201" s="156"/>
    </row>
    <row r="1202" spans="1:58" hidden="1" outlineLevel="1" x14ac:dyDescent="0.35">
      <c r="A1202" s="1071"/>
      <c r="B1202" s="106"/>
      <c r="C1202" s="103"/>
      <c r="D1202" s="4023"/>
      <c r="E1202" s="3839"/>
      <c r="F1202" s="3949" t="str">
        <f>E828</f>
        <v>Mini/MultiSplitASHP_ROF_MF_CompE</v>
      </c>
      <c r="G1202" s="3950"/>
      <c r="H1202" s="3951"/>
      <c r="I1202" s="2674" t="str">
        <f>C828</f>
        <v>351701_2021_12_</v>
      </c>
      <c r="J1202" s="636">
        <f t="shared" si="235"/>
        <v>1</v>
      </c>
      <c r="K1202" s="637"/>
      <c r="L1202" s="4084"/>
      <c r="M1202" s="1304"/>
      <c r="N1202" s="1296"/>
      <c r="O1202" s="106"/>
      <c r="P1202" s="106"/>
      <c r="Q1202" s="106"/>
      <c r="R1202" s="106"/>
      <c r="S1202" s="106"/>
      <c r="T1202" s="106"/>
      <c r="U1202" s="106"/>
      <c r="V1202" s="4023"/>
      <c r="W1202" s="636"/>
      <c r="X1202" s="636"/>
      <c r="Y1202" s="639">
        <f t="shared" si="236"/>
        <v>1</v>
      </c>
      <c r="Z1202" s="636">
        <v>1</v>
      </c>
      <c r="AA1202" s="636">
        <v>1</v>
      </c>
      <c r="AB1202" s="636">
        <v>1</v>
      </c>
      <c r="AC1202" s="636">
        <v>1</v>
      </c>
      <c r="AD1202" s="636">
        <v>1</v>
      </c>
      <c r="AE1202" s="636"/>
      <c r="AF1202" s="636"/>
      <c r="AG1202" s="638"/>
      <c r="AH1202" s="156"/>
      <c r="AI1202" s="156"/>
      <c r="AJ1202" s="156"/>
      <c r="AK1202" s="156"/>
      <c r="AL1202" s="156"/>
      <c r="AM1202" s="156"/>
      <c r="AN1202" s="156"/>
      <c r="AO1202" s="156"/>
      <c r="AP1202" s="156"/>
      <c r="AQ1202" s="156"/>
      <c r="AR1202" s="156"/>
      <c r="AS1202" s="156"/>
      <c r="AT1202" s="156"/>
      <c r="AU1202" s="156"/>
      <c r="AV1202" s="156"/>
      <c r="AW1202" s="156"/>
      <c r="AX1202" s="156"/>
      <c r="AY1202" s="156"/>
      <c r="AZ1202" s="156"/>
      <c r="BA1202" s="156"/>
      <c r="BB1202" s="2828"/>
      <c r="BC1202" s="452"/>
      <c r="BD1202" s="2829"/>
      <c r="BE1202" s="156"/>
      <c r="BF1202" s="156"/>
    </row>
    <row r="1203" spans="1:58" hidden="1" outlineLevel="1" x14ac:dyDescent="0.35">
      <c r="A1203" s="1071"/>
      <c r="B1203" s="106"/>
      <c r="C1203" s="103"/>
      <c r="D1203" s="4023"/>
      <c r="E1203" s="3839"/>
      <c r="F1203" s="3955" t="str">
        <f>E829</f>
        <v>Mini/MultiSplitASHP_ROF_MF_CompE</v>
      </c>
      <c r="G1203" s="3956"/>
      <c r="H1203" s="3957"/>
      <c r="I1203" s="2674" t="str">
        <f>C829</f>
        <v>351701_2021_12_</v>
      </c>
      <c r="J1203" s="636">
        <f t="shared" si="235"/>
        <v>1</v>
      </c>
      <c r="K1203" s="637"/>
      <c r="L1203" s="4084"/>
      <c r="M1203" s="1304"/>
      <c r="N1203" s="1296"/>
      <c r="O1203" s="106"/>
      <c r="P1203" s="106"/>
      <c r="Q1203" s="106"/>
      <c r="R1203" s="106"/>
      <c r="S1203" s="106"/>
      <c r="T1203" s="106"/>
      <c r="U1203" s="106"/>
      <c r="V1203" s="4023"/>
      <c r="W1203" s="636"/>
      <c r="X1203" s="636"/>
      <c r="Y1203" s="639">
        <f t="shared" si="236"/>
        <v>1</v>
      </c>
      <c r="Z1203" s="636">
        <v>1</v>
      </c>
      <c r="AA1203" s="636">
        <v>1</v>
      </c>
      <c r="AB1203" s="636">
        <v>1</v>
      </c>
      <c r="AC1203" s="636">
        <v>1</v>
      </c>
      <c r="AD1203" s="636">
        <v>1</v>
      </c>
      <c r="AE1203" s="636"/>
      <c r="AF1203" s="636"/>
      <c r="AG1203" s="638"/>
      <c r="AH1203" s="156"/>
      <c r="AI1203" s="156"/>
      <c r="AJ1203" s="156"/>
      <c r="AK1203" s="156"/>
      <c r="AL1203" s="156"/>
      <c r="AM1203" s="156"/>
      <c r="AN1203" s="156"/>
      <c r="AO1203" s="156"/>
      <c r="AP1203" s="156"/>
      <c r="AQ1203" s="156"/>
      <c r="AR1203" s="156"/>
      <c r="AS1203" s="156"/>
      <c r="AT1203" s="156"/>
      <c r="AU1203" s="156"/>
      <c r="AV1203" s="156"/>
      <c r="AW1203" s="156"/>
      <c r="AX1203" s="156"/>
      <c r="AY1203" s="156"/>
      <c r="AZ1203" s="156"/>
      <c r="BA1203" s="156"/>
      <c r="BB1203" s="2828"/>
      <c r="BC1203" s="452"/>
      <c r="BD1203" s="2829"/>
      <c r="BE1203" s="156"/>
      <c r="BF1203" s="156"/>
    </row>
    <row r="1204" spans="1:58" hidden="1" outlineLevel="1" x14ac:dyDescent="0.35">
      <c r="A1204" s="1071"/>
      <c r="B1204" s="106"/>
      <c r="C1204" s="103"/>
      <c r="D1204" s="4023"/>
      <c r="E1204" s="3839"/>
      <c r="F1204" s="3949" t="str">
        <f>E834</f>
        <v>Mini/MultiSplitASHP-Replace_CAC_ElectricHeat_ER1_MF_CompE</v>
      </c>
      <c r="G1204" s="3950"/>
      <c r="H1204" s="3951"/>
      <c r="I1204" s="2674" t="str">
        <f t="shared" ref="I1204:I1211" si="239">C834</f>
        <v>351751_2021_12_</v>
      </c>
      <c r="J1204" s="636">
        <f t="shared" si="235"/>
        <v>1</v>
      </c>
      <c r="K1204" s="637"/>
      <c r="L1204" s="4084"/>
      <c r="M1204" s="1304"/>
      <c r="N1204" s="1296"/>
      <c r="O1204" s="106"/>
      <c r="P1204" s="106"/>
      <c r="Q1204" s="106"/>
      <c r="R1204" s="106"/>
      <c r="S1204" s="106"/>
      <c r="T1204" s="106"/>
      <c r="U1204" s="106"/>
      <c r="V1204" s="4023"/>
      <c r="W1204" s="636"/>
      <c r="X1204" s="636"/>
      <c r="Y1204" s="639">
        <f t="shared" si="236"/>
        <v>1</v>
      </c>
      <c r="Z1204" s="636">
        <v>1</v>
      </c>
      <c r="AA1204" s="636">
        <v>1</v>
      </c>
      <c r="AB1204" s="636">
        <v>1</v>
      </c>
      <c r="AC1204" s="636">
        <v>1</v>
      </c>
      <c r="AD1204" s="636">
        <v>1</v>
      </c>
      <c r="AE1204" s="636"/>
      <c r="AF1204" s="636"/>
      <c r="AG1204" s="638"/>
      <c r="AH1204" s="156"/>
      <c r="AI1204" s="156"/>
      <c r="AJ1204" s="156"/>
      <c r="AK1204" s="156"/>
      <c r="AL1204" s="156"/>
      <c r="AM1204" s="156"/>
      <c r="AN1204" s="156"/>
      <c r="AO1204" s="156"/>
      <c r="AP1204" s="156"/>
      <c r="AQ1204" s="156"/>
      <c r="AR1204" s="156"/>
      <c r="AS1204" s="156"/>
      <c r="AT1204" s="156"/>
      <c r="AU1204" s="156"/>
      <c r="AV1204" s="156"/>
      <c r="AW1204" s="156"/>
      <c r="AX1204" s="156"/>
      <c r="AY1204" s="156"/>
      <c r="AZ1204" s="156"/>
      <c r="BA1204" s="156"/>
      <c r="BB1204" s="2828"/>
      <c r="BC1204" s="452"/>
      <c r="BD1204" s="2829"/>
      <c r="BE1204" s="156"/>
      <c r="BF1204" s="156"/>
    </row>
    <row r="1205" spans="1:58" hidden="1" outlineLevel="1" x14ac:dyDescent="0.35">
      <c r="A1205" s="1071"/>
      <c r="B1205" s="106"/>
      <c r="C1205" s="103"/>
      <c r="D1205" s="4023"/>
      <c r="E1205" s="3839"/>
      <c r="F1205" s="3952" t="str">
        <f>E835</f>
        <v>Mini/MultiSplitASHP-Replace_CAC_ElectricHeat_ER1_MF_CompE</v>
      </c>
      <c r="G1205" s="3953"/>
      <c r="H1205" s="3954"/>
      <c r="I1205" s="2674" t="str">
        <f t="shared" si="239"/>
        <v>351751_2021_12_</v>
      </c>
      <c r="J1205" s="636">
        <f t="shared" si="235"/>
        <v>1</v>
      </c>
      <c r="K1205" s="637"/>
      <c r="L1205" s="4084"/>
      <c r="M1205" s="1304"/>
      <c r="N1205" s="1296"/>
      <c r="O1205" s="106"/>
      <c r="P1205" s="106"/>
      <c r="Q1205" s="106"/>
      <c r="R1205" s="106"/>
      <c r="S1205" s="106"/>
      <c r="T1205" s="106"/>
      <c r="U1205" s="106"/>
      <c r="V1205" s="4023"/>
      <c r="W1205" s="636"/>
      <c r="X1205" s="636"/>
      <c r="Y1205" s="639">
        <f t="shared" si="236"/>
        <v>1</v>
      </c>
      <c r="Z1205" s="636">
        <v>1</v>
      </c>
      <c r="AA1205" s="636">
        <v>1</v>
      </c>
      <c r="AB1205" s="636">
        <v>1</v>
      </c>
      <c r="AC1205" s="636">
        <v>1</v>
      </c>
      <c r="AD1205" s="636">
        <v>1</v>
      </c>
      <c r="AE1205" s="636"/>
      <c r="AF1205" s="636"/>
      <c r="AG1205" s="638"/>
      <c r="AH1205" s="156"/>
      <c r="AI1205" s="156"/>
      <c r="AJ1205" s="156"/>
      <c r="AK1205" s="156"/>
      <c r="AL1205" s="156"/>
      <c r="AM1205" s="156"/>
      <c r="AN1205" s="156"/>
      <c r="AO1205" s="156"/>
      <c r="AP1205" s="156"/>
      <c r="AQ1205" s="156"/>
      <c r="AR1205" s="156"/>
      <c r="AS1205" s="156"/>
      <c r="AT1205" s="156"/>
      <c r="AU1205" s="156"/>
      <c r="AV1205" s="156"/>
      <c r="AW1205" s="156"/>
      <c r="AX1205" s="156"/>
      <c r="AY1205" s="156"/>
      <c r="AZ1205" s="156"/>
      <c r="BA1205" s="156"/>
      <c r="BB1205" s="2828"/>
      <c r="BC1205" s="452"/>
      <c r="BD1205" s="2829"/>
      <c r="BE1205" s="156"/>
      <c r="BF1205" s="156"/>
    </row>
    <row r="1206" spans="1:58" hidden="1" outlineLevel="1" x14ac:dyDescent="0.35">
      <c r="A1206" s="1071"/>
      <c r="B1206" s="106"/>
      <c r="C1206" s="103"/>
      <c r="D1206" s="4023"/>
      <c r="E1206" s="3839"/>
      <c r="F1206" s="3952" t="str">
        <f>E836</f>
        <v>Mini/MultiSplitASHP-Replace_CAC_ElectricHeat_ER2_MF_CompE</v>
      </c>
      <c r="G1206" s="3953"/>
      <c r="H1206" s="3954"/>
      <c r="I1206" s="2674" t="str">
        <f t="shared" si="239"/>
        <v>351751_2021_12_</v>
      </c>
      <c r="J1206" s="636">
        <f t="shared" si="235"/>
        <v>1</v>
      </c>
      <c r="K1206" s="637"/>
      <c r="L1206" s="4084"/>
      <c r="M1206" s="1304"/>
      <c r="N1206" s="1296"/>
      <c r="O1206" s="106"/>
      <c r="P1206" s="106"/>
      <c r="Q1206" s="106"/>
      <c r="R1206" s="106"/>
      <c r="S1206" s="106"/>
      <c r="T1206" s="106"/>
      <c r="U1206" s="106"/>
      <c r="V1206" s="4023"/>
      <c r="W1206" s="636"/>
      <c r="X1206" s="636"/>
      <c r="Y1206" s="639">
        <f t="shared" si="236"/>
        <v>1</v>
      </c>
      <c r="Z1206" s="636">
        <v>1</v>
      </c>
      <c r="AA1206" s="636">
        <v>1</v>
      </c>
      <c r="AB1206" s="636">
        <v>1</v>
      </c>
      <c r="AC1206" s="636">
        <v>1</v>
      </c>
      <c r="AD1206" s="636">
        <v>1</v>
      </c>
      <c r="AE1206" s="636"/>
      <c r="AF1206" s="636"/>
      <c r="AG1206" s="638"/>
      <c r="AH1206" s="156"/>
      <c r="AI1206" s="156"/>
      <c r="AJ1206" s="156"/>
      <c r="AK1206" s="156"/>
      <c r="AL1206" s="156"/>
      <c r="AM1206" s="156"/>
      <c r="AN1206" s="156"/>
      <c r="AO1206" s="156"/>
      <c r="AP1206" s="156"/>
      <c r="AQ1206" s="156"/>
      <c r="AR1206" s="156"/>
      <c r="AS1206" s="156"/>
      <c r="AT1206" s="156"/>
      <c r="AU1206" s="156"/>
      <c r="AV1206" s="156"/>
      <c r="AW1206" s="156"/>
      <c r="AX1206" s="156"/>
      <c r="AY1206" s="156"/>
      <c r="AZ1206" s="156"/>
      <c r="BA1206" s="156"/>
      <c r="BB1206" s="2828"/>
      <c r="BC1206" s="452"/>
      <c r="BD1206" s="2829"/>
      <c r="BE1206" s="156"/>
      <c r="BF1206" s="156"/>
    </row>
    <row r="1207" spans="1:58" hidden="1" outlineLevel="1" x14ac:dyDescent="0.35">
      <c r="A1207" s="1071"/>
      <c r="B1207" s="106"/>
      <c r="C1207" s="103"/>
      <c r="D1207" s="4023"/>
      <c r="E1207" s="3839"/>
      <c r="F1207" s="3955" t="str">
        <f>E837</f>
        <v>Mini/MultiSplitASHP-Replace_CAC_ElectricHeat_ER2_MF_CompE</v>
      </c>
      <c r="G1207" s="3956"/>
      <c r="H1207" s="3957"/>
      <c r="I1207" s="2674" t="str">
        <f t="shared" si="239"/>
        <v>351751_2021_12_</v>
      </c>
      <c r="J1207" s="636">
        <f t="shared" si="235"/>
        <v>1</v>
      </c>
      <c r="K1207" s="637"/>
      <c r="L1207" s="4084"/>
      <c r="M1207" s="1304"/>
      <c r="N1207" s="1296"/>
      <c r="O1207" s="106"/>
      <c r="P1207" s="106"/>
      <c r="Q1207" s="106"/>
      <c r="R1207" s="106"/>
      <c r="S1207" s="106"/>
      <c r="T1207" s="106"/>
      <c r="U1207" s="106"/>
      <c r="V1207" s="4023"/>
      <c r="W1207" s="636"/>
      <c r="X1207" s="636"/>
      <c r="Y1207" s="639">
        <f t="shared" si="236"/>
        <v>1</v>
      </c>
      <c r="Z1207" s="636">
        <v>1</v>
      </c>
      <c r="AA1207" s="636">
        <v>1</v>
      </c>
      <c r="AB1207" s="636">
        <v>1</v>
      </c>
      <c r="AC1207" s="636">
        <v>1</v>
      </c>
      <c r="AD1207" s="636">
        <v>1</v>
      </c>
      <c r="AE1207" s="636"/>
      <c r="AF1207" s="636"/>
      <c r="AG1207" s="638"/>
      <c r="AH1207" s="156"/>
      <c r="AI1207" s="156"/>
      <c r="AJ1207" s="156"/>
      <c r="AK1207" s="156"/>
      <c r="AL1207" s="156"/>
      <c r="AM1207" s="156"/>
      <c r="AN1207" s="156"/>
      <c r="AO1207" s="156"/>
      <c r="AP1207" s="156"/>
      <c r="AQ1207" s="156"/>
      <c r="AR1207" s="156"/>
      <c r="AS1207" s="156"/>
      <c r="AT1207" s="156"/>
      <c r="AU1207" s="156"/>
      <c r="AV1207" s="156"/>
      <c r="AW1207" s="156"/>
      <c r="AX1207" s="156"/>
      <c r="AY1207" s="156"/>
      <c r="AZ1207" s="156"/>
      <c r="BA1207" s="156"/>
      <c r="BB1207" s="2828"/>
      <c r="BC1207" s="452"/>
      <c r="BD1207" s="2829"/>
      <c r="BE1207" s="156"/>
      <c r="BF1207" s="156"/>
    </row>
    <row r="1208" spans="1:58" hidden="1" outlineLevel="1" x14ac:dyDescent="0.35">
      <c r="A1208" s="1071"/>
      <c r="B1208" s="106"/>
      <c r="C1208" s="103"/>
      <c r="D1208" s="4023"/>
      <c r="E1208" s="3839"/>
      <c r="F1208" s="3961" t="str">
        <f>E842</f>
        <v>Mini/MultiSplitASHP-Replace_CAC_NonElectricHeat_ER1_MF_CompE</v>
      </c>
      <c r="G1208" s="3962"/>
      <c r="H1208" s="3963"/>
      <c r="I1208" s="2763" t="str">
        <f t="shared" si="239"/>
        <v>351752_2022_12_</v>
      </c>
      <c r="J1208" s="639">
        <f t="shared" si="235"/>
        <v>1</v>
      </c>
      <c r="K1208" s="637"/>
      <c r="L1208" s="4084"/>
      <c r="M1208" s="1304"/>
      <c r="N1208" s="1296"/>
      <c r="O1208" s="106"/>
      <c r="P1208" s="106"/>
      <c r="Q1208" s="106"/>
      <c r="R1208" s="106"/>
      <c r="S1208" s="106"/>
      <c r="T1208" s="106"/>
      <c r="U1208" s="106"/>
      <c r="V1208" s="4023"/>
      <c r="W1208" s="636"/>
      <c r="X1208" s="636"/>
      <c r="Y1208" s="639"/>
      <c r="Z1208" s="636"/>
      <c r="AA1208" s="636"/>
      <c r="AB1208" s="636"/>
      <c r="AC1208" s="636"/>
      <c r="AD1208" s="639">
        <v>1</v>
      </c>
      <c r="AE1208" s="636"/>
      <c r="AF1208" s="636"/>
      <c r="AG1208" s="638"/>
      <c r="AH1208" s="156"/>
      <c r="AI1208" s="156"/>
      <c r="AJ1208" s="156"/>
      <c r="AK1208" s="156"/>
      <c r="AL1208" s="156"/>
      <c r="AM1208" s="156"/>
      <c r="AN1208" s="156"/>
      <c r="AO1208" s="156"/>
      <c r="AP1208" s="156"/>
      <c r="AQ1208" s="156"/>
      <c r="AR1208" s="156"/>
      <c r="AS1208" s="156"/>
      <c r="AT1208" s="156"/>
      <c r="AU1208" s="156"/>
      <c r="AV1208" s="156"/>
      <c r="AW1208" s="156"/>
      <c r="AX1208" s="156"/>
      <c r="AY1208" s="156"/>
      <c r="AZ1208" s="156"/>
      <c r="BA1208" s="156"/>
      <c r="BB1208" s="2828"/>
      <c r="BC1208" s="452"/>
      <c r="BD1208" s="2829"/>
      <c r="BE1208" s="156"/>
      <c r="BF1208" s="156"/>
    </row>
    <row r="1209" spans="1:58" hidden="1" outlineLevel="1" x14ac:dyDescent="0.35">
      <c r="A1209" s="1071"/>
      <c r="B1209" s="106"/>
      <c r="C1209" s="103"/>
      <c r="D1209" s="4023"/>
      <c r="E1209" s="3839"/>
      <c r="F1209" s="3964" t="str">
        <f>E843</f>
        <v>Mini/MultiSplitASHP-Replace_CAC_NonElectricHeat_ER1_MF_CompE</v>
      </c>
      <c r="G1209" s="3965"/>
      <c r="H1209" s="3966"/>
      <c r="I1209" s="2763" t="str">
        <f t="shared" si="239"/>
        <v>351752_2022_12_</v>
      </c>
      <c r="J1209" s="639">
        <f t="shared" si="235"/>
        <v>1</v>
      </c>
      <c r="K1209" s="637"/>
      <c r="L1209" s="4084"/>
      <c r="M1209" s="1304"/>
      <c r="N1209" s="1296"/>
      <c r="O1209" s="106"/>
      <c r="P1209" s="106"/>
      <c r="Q1209" s="106"/>
      <c r="R1209" s="106"/>
      <c r="S1209" s="106"/>
      <c r="T1209" s="106"/>
      <c r="U1209" s="106"/>
      <c r="V1209" s="4023"/>
      <c r="W1209" s="636"/>
      <c r="X1209" s="636"/>
      <c r="Y1209" s="639"/>
      <c r="Z1209" s="636"/>
      <c r="AA1209" s="636"/>
      <c r="AB1209" s="636"/>
      <c r="AC1209" s="636"/>
      <c r="AD1209" s="639">
        <v>1</v>
      </c>
      <c r="AE1209" s="636"/>
      <c r="AF1209" s="636"/>
      <c r="AG1209" s="638"/>
      <c r="AH1209" s="156"/>
      <c r="AI1209" s="156"/>
      <c r="AJ1209" s="156"/>
      <c r="AK1209" s="156"/>
      <c r="AL1209" s="156"/>
      <c r="AM1209" s="156"/>
      <c r="AN1209" s="156"/>
      <c r="AO1209" s="156"/>
      <c r="AP1209" s="156"/>
      <c r="AQ1209" s="156"/>
      <c r="AR1209" s="156"/>
      <c r="AS1209" s="156"/>
      <c r="AT1209" s="156"/>
      <c r="AU1209" s="156"/>
      <c r="AV1209" s="156"/>
      <c r="AW1209" s="156"/>
      <c r="AX1209" s="156"/>
      <c r="AY1209" s="156"/>
      <c r="AZ1209" s="156"/>
      <c r="BA1209" s="156"/>
      <c r="BB1209" s="2828"/>
      <c r="BC1209" s="452"/>
      <c r="BD1209" s="2829"/>
      <c r="BE1209" s="156"/>
      <c r="BF1209" s="156"/>
    </row>
    <row r="1210" spans="1:58" hidden="1" outlineLevel="1" x14ac:dyDescent="0.35">
      <c r="A1210" s="1071"/>
      <c r="B1210" s="106"/>
      <c r="C1210" s="103"/>
      <c r="D1210" s="4023"/>
      <c r="E1210" s="3839"/>
      <c r="F1210" s="3964" t="str">
        <f>E844</f>
        <v>Mini/MultiSplitASHP-Replace_CAC_NonElectricHeat_ER2_MF_CompE</v>
      </c>
      <c r="G1210" s="3965"/>
      <c r="H1210" s="3966"/>
      <c r="I1210" s="2763" t="str">
        <f t="shared" si="239"/>
        <v>351752_2022_12_</v>
      </c>
      <c r="J1210" s="639">
        <f t="shared" si="235"/>
        <v>1</v>
      </c>
      <c r="K1210" s="637"/>
      <c r="L1210" s="4084"/>
      <c r="M1210" s="1304"/>
      <c r="N1210" s="1296"/>
      <c r="O1210" s="106"/>
      <c r="P1210" s="106"/>
      <c r="Q1210" s="106"/>
      <c r="R1210" s="106"/>
      <c r="S1210" s="106"/>
      <c r="T1210" s="106"/>
      <c r="U1210" s="106"/>
      <c r="V1210" s="4023"/>
      <c r="W1210" s="636"/>
      <c r="X1210" s="636"/>
      <c r="Y1210" s="639"/>
      <c r="Z1210" s="636"/>
      <c r="AA1210" s="636"/>
      <c r="AB1210" s="636"/>
      <c r="AC1210" s="636"/>
      <c r="AD1210" s="639">
        <v>1</v>
      </c>
      <c r="AE1210" s="636"/>
      <c r="AF1210" s="636"/>
      <c r="AG1210" s="638"/>
      <c r="AH1210" s="156"/>
      <c r="AI1210" s="156"/>
      <c r="AJ1210" s="156"/>
      <c r="AK1210" s="156"/>
      <c r="AL1210" s="156"/>
      <c r="AM1210" s="156"/>
      <c r="AN1210" s="156"/>
      <c r="AO1210" s="156"/>
      <c r="AP1210" s="156"/>
      <c r="AQ1210" s="156"/>
      <c r="AR1210" s="156"/>
      <c r="AS1210" s="156"/>
      <c r="AT1210" s="156"/>
      <c r="AU1210" s="156"/>
      <c r="AV1210" s="156"/>
      <c r="AW1210" s="156"/>
      <c r="AX1210" s="156"/>
      <c r="AY1210" s="156"/>
      <c r="AZ1210" s="156"/>
      <c r="BA1210" s="156"/>
      <c r="BB1210" s="2828"/>
      <c r="BC1210" s="452"/>
      <c r="BD1210" s="2829"/>
      <c r="BE1210" s="156"/>
      <c r="BF1210" s="156"/>
    </row>
    <row r="1211" spans="1:58" hidden="1" outlineLevel="1" x14ac:dyDescent="0.35">
      <c r="A1211" s="1071"/>
      <c r="B1211" s="106"/>
      <c r="C1211" s="103"/>
      <c r="D1211" s="4023"/>
      <c r="E1211" s="3839"/>
      <c r="F1211" s="3946" t="str">
        <f>E845</f>
        <v>Mini/MultiSplitASHP-Replace_CAC_NonElectricHeat_ER2_MF_CompE</v>
      </c>
      <c r="G1211" s="3947"/>
      <c r="H1211" s="3948"/>
      <c r="I1211" s="2763" t="str">
        <f t="shared" si="239"/>
        <v>351752_2022_12_</v>
      </c>
      <c r="J1211" s="639">
        <f t="shared" si="235"/>
        <v>1</v>
      </c>
      <c r="K1211" s="637"/>
      <c r="L1211" s="4084"/>
      <c r="M1211" s="1304"/>
      <c r="N1211" s="1296"/>
      <c r="O1211" s="106"/>
      <c r="P1211" s="106"/>
      <c r="Q1211" s="106"/>
      <c r="R1211" s="106"/>
      <c r="S1211" s="106"/>
      <c r="T1211" s="106"/>
      <c r="U1211" s="106"/>
      <c r="V1211" s="4023"/>
      <c r="W1211" s="636"/>
      <c r="X1211" s="636"/>
      <c r="Y1211" s="639"/>
      <c r="Z1211" s="636"/>
      <c r="AA1211" s="636"/>
      <c r="AB1211" s="636"/>
      <c r="AC1211" s="636"/>
      <c r="AD1211" s="639">
        <v>1</v>
      </c>
      <c r="AE1211" s="636"/>
      <c r="AF1211" s="636"/>
      <c r="AG1211" s="638"/>
      <c r="AH1211" s="156"/>
      <c r="AI1211" s="156"/>
      <c r="AJ1211" s="156"/>
      <c r="AK1211" s="156"/>
      <c r="AL1211" s="156"/>
      <c r="AM1211" s="156"/>
      <c r="AN1211" s="156"/>
      <c r="AO1211" s="156"/>
      <c r="AP1211" s="156"/>
      <c r="AQ1211" s="156"/>
      <c r="AR1211" s="156"/>
      <c r="AS1211" s="156"/>
      <c r="AT1211" s="156"/>
      <c r="AU1211" s="156"/>
      <c r="AV1211" s="156"/>
      <c r="AW1211" s="156"/>
      <c r="AX1211" s="156"/>
      <c r="AY1211" s="156"/>
      <c r="AZ1211" s="156"/>
      <c r="BA1211" s="156"/>
      <c r="BB1211" s="2828"/>
      <c r="BC1211" s="452"/>
      <c r="BD1211" s="2829"/>
      <c r="BE1211" s="156"/>
      <c r="BF1211" s="156"/>
    </row>
    <row r="1212" spans="1:58" hidden="1" outlineLevel="1" x14ac:dyDescent="0.35">
      <c r="A1212" s="1071"/>
      <c r="B1212" s="106"/>
      <c r="C1212" s="103"/>
      <c r="D1212" s="4023"/>
      <c r="E1212" s="3839"/>
      <c r="F1212" s="3949" t="str">
        <f>E848</f>
        <v>Mini/MultiSplitASHP-Replace_CAC_ElectricHeat_ROF_MF_CompE</v>
      </c>
      <c r="G1212" s="3950"/>
      <c r="H1212" s="3951"/>
      <c r="I1212" s="2674" t="str">
        <f>C848</f>
        <v>351801_2021_12_</v>
      </c>
      <c r="J1212" s="636">
        <f>J1207</f>
        <v>1</v>
      </c>
      <c r="K1212" s="637"/>
      <c r="L1212" s="4084"/>
      <c r="M1212" s="1304"/>
      <c r="N1212" s="1296"/>
      <c r="O1212" s="106"/>
      <c r="P1212" s="106"/>
      <c r="Q1212" s="106"/>
      <c r="R1212" s="106"/>
      <c r="S1212" s="106"/>
      <c r="T1212" s="106"/>
      <c r="U1212" s="106"/>
      <c r="V1212" s="4023"/>
      <c r="W1212" s="636"/>
      <c r="X1212" s="636"/>
      <c r="Y1212" s="639">
        <f>Y1207</f>
        <v>1</v>
      </c>
      <c r="Z1212" s="636">
        <v>1</v>
      </c>
      <c r="AA1212" s="636">
        <v>1</v>
      </c>
      <c r="AB1212" s="636">
        <v>1</v>
      </c>
      <c r="AC1212" s="636">
        <v>1</v>
      </c>
      <c r="AD1212" s="636">
        <v>1</v>
      </c>
      <c r="AE1212" s="636"/>
      <c r="AF1212" s="636"/>
      <c r="AG1212" s="638"/>
      <c r="AH1212" s="156"/>
      <c r="AI1212" s="156"/>
      <c r="AJ1212" s="156"/>
      <c r="AK1212" s="156"/>
      <c r="AL1212" s="156"/>
      <c r="AM1212" s="156"/>
      <c r="AN1212" s="156"/>
      <c r="AO1212" s="156"/>
      <c r="AP1212" s="156"/>
      <c r="AQ1212" s="156"/>
      <c r="AR1212" s="156"/>
      <c r="AS1212" s="156"/>
      <c r="AT1212" s="156"/>
      <c r="AU1212" s="156"/>
      <c r="AV1212" s="156"/>
      <c r="AW1212" s="156"/>
      <c r="AX1212" s="156"/>
      <c r="AY1212" s="156"/>
      <c r="AZ1212" s="156"/>
      <c r="BA1212" s="156"/>
      <c r="BB1212" s="2828"/>
      <c r="BC1212" s="452"/>
      <c r="BD1212" s="2829"/>
      <c r="BE1212" s="156"/>
      <c r="BF1212" s="156"/>
    </row>
    <row r="1213" spans="1:58" hidden="1" outlineLevel="1" x14ac:dyDescent="0.35">
      <c r="A1213" s="1071"/>
      <c r="B1213" s="106"/>
      <c r="C1213" s="103"/>
      <c r="D1213" s="4023"/>
      <c r="E1213" s="3839"/>
      <c r="F1213" s="3955" t="str">
        <f>E849</f>
        <v>Mini/MultiSplitASHP-Replace_CAC_ElectricHeat_ROF_MF_CompE</v>
      </c>
      <c r="G1213" s="3956"/>
      <c r="H1213" s="3957"/>
      <c r="I1213" s="2674" t="str">
        <f>C849</f>
        <v>351801_2021_12_</v>
      </c>
      <c r="J1213" s="636">
        <f t="shared" si="235"/>
        <v>1</v>
      </c>
      <c r="K1213" s="637"/>
      <c r="L1213" s="4084"/>
      <c r="M1213" s="1304"/>
      <c r="N1213" s="1296"/>
      <c r="O1213" s="106"/>
      <c r="P1213" s="106"/>
      <c r="Q1213" s="106"/>
      <c r="R1213" s="106"/>
      <c r="S1213" s="106"/>
      <c r="T1213" s="106"/>
      <c r="U1213" s="106"/>
      <c r="V1213" s="4023"/>
      <c r="W1213" s="636"/>
      <c r="X1213" s="636"/>
      <c r="Y1213" s="639">
        <f t="shared" si="236"/>
        <v>1</v>
      </c>
      <c r="Z1213" s="636">
        <v>1</v>
      </c>
      <c r="AA1213" s="636">
        <v>1</v>
      </c>
      <c r="AB1213" s="636">
        <v>1</v>
      </c>
      <c r="AC1213" s="636">
        <v>1</v>
      </c>
      <c r="AD1213" s="636">
        <v>1</v>
      </c>
      <c r="AE1213" s="636"/>
      <c r="AF1213" s="636"/>
      <c r="AG1213" s="638"/>
      <c r="AH1213" s="156"/>
      <c r="AI1213" s="156"/>
      <c r="AJ1213" s="156"/>
      <c r="AK1213" s="156"/>
      <c r="AL1213" s="156"/>
      <c r="AM1213" s="156"/>
      <c r="AN1213" s="156"/>
      <c r="AO1213" s="156"/>
      <c r="AP1213" s="156"/>
      <c r="AQ1213" s="156"/>
      <c r="AR1213" s="156"/>
      <c r="AS1213" s="156"/>
      <c r="AT1213" s="156"/>
      <c r="AU1213" s="156"/>
      <c r="AV1213" s="156"/>
      <c r="AW1213" s="156"/>
      <c r="AX1213" s="156"/>
      <c r="AY1213" s="156"/>
      <c r="AZ1213" s="156"/>
      <c r="BA1213" s="156"/>
      <c r="BB1213" s="2828"/>
      <c r="BC1213" s="452"/>
      <c r="BD1213" s="2829"/>
      <c r="BE1213" s="156"/>
      <c r="BF1213" s="156"/>
    </row>
    <row r="1214" spans="1:58" hidden="1" outlineLevel="1" x14ac:dyDescent="0.35">
      <c r="A1214" s="1071"/>
      <c r="B1214" s="106"/>
      <c r="C1214" s="103"/>
      <c r="D1214" s="4023"/>
      <c r="E1214" s="3839"/>
      <c r="F1214" s="3961" t="str">
        <f>E852</f>
        <v>Mini/MultiSplitASHP-Replace_CAC_NonElectricHeat_ROF_MF_CompE</v>
      </c>
      <c r="G1214" s="3962"/>
      <c r="H1214" s="3963"/>
      <c r="I1214" s="2763" t="str">
        <f>C850</f>
        <v>351802_2022_12_</v>
      </c>
      <c r="J1214" s="639">
        <f>J1209</f>
        <v>1</v>
      </c>
      <c r="K1214" s="637"/>
      <c r="L1214" s="4084"/>
      <c r="M1214" s="1304"/>
      <c r="N1214" s="1296"/>
      <c r="O1214" s="106"/>
      <c r="P1214" s="106"/>
      <c r="Q1214" s="106"/>
      <c r="R1214" s="106"/>
      <c r="S1214" s="106"/>
      <c r="T1214" s="106"/>
      <c r="U1214" s="106"/>
      <c r="V1214" s="4023"/>
      <c r="W1214" s="636"/>
      <c r="X1214" s="636"/>
      <c r="Y1214" s="639"/>
      <c r="Z1214" s="636"/>
      <c r="AA1214" s="636"/>
      <c r="AB1214" s="636"/>
      <c r="AC1214" s="636"/>
      <c r="AD1214" s="639">
        <v>1</v>
      </c>
      <c r="AE1214" s="636"/>
      <c r="AF1214" s="636"/>
      <c r="AG1214" s="638"/>
      <c r="AH1214" s="156"/>
      <c r="AI1214" s="156"/>
      <c r="AJ1214" s="156"/>
      <c r="AK1214" s="156"/>
      <c r="AL1214" s="156"/>
      <c r="AM1214" s="156"/>
      <c r="AN1214" s="156"/>
      <c r="AO1214" s="156"/>
      <c r="AP1214" s="156"/>
      <c r="AQ1214" s="156"/>
      <c r="AR1214" s="156"/>
      <c r="AS1214" s="156"/>
      <c r="AT1214" s="156"/>
      <c r="AU1214" s="156"/>
      <c r="AV1214" s="156"/>
      <c r="AW1214" s="156"/>
      <c r="AX1214" s="156"/>
      <c r="AY1214" s="156"/>
      <c r="AZ1214" s="156"/>
      <c r="BA1214" s="156"/>
      <c r="BB1214" s="2828"/>
      <c r="BC1214" s="452"/>
      <c r="BD1214" s="2829"/>
      <c r="BE1214" s="156"/>
      <c r="BF1214" s="156"/>
    </row>
    <row r="1215" spans="1:58" hidden="1" outlineLevel="1" x14ac:dyDescent="0.35">
      <c r="A1215" s="1071"/>
      <c r="B1215" s="106"/>
      <c r="C1215" s="103"/>
      <c r="D1215" s="4023"/>
      <c r="E1215" s="3839"/>
      <c r="F1215" s="3946" t="str">
        <f>E853</f>
        <v>Mini/MultiSplitASHP-Replace_CAC_NonElectricHeat_ROF_MF_CompE</v>
      </c>
      <c r="G1215" s="3947"/>
      <c r="H1215" s="3948"/>
      <c r="I1215" s="2763" t="str">
        <f>C851</f>
        <v>351802_2022_12_</v>
      </c>
      <c r="J1215" s="639">
        <f t="shared" si="235"/>
        <v>1</v>
      </c>
      <c r="K1215" s="637"/>
      <c r="L1215" s="4084"/>
      <c r="M1215" s="1304"/>
      <c r="N1215" s="1296"/>
      <c r="O1215" s="106"/>
      <c r="P1215" s="106"/>
      <c r="Q1215" s="106"/>
      <c r="R1215" s="106"/>
      <c r="S1215" s="106"/>
      <c r="T1215" s="106"/>
      <c r="U1215" s="106"/>
      <c r="V1215" s="4023"/>
      <c r="W1215" s="636"/>
      <c r="X1215" s="636"/>
      <c r="Y1215" s="639"/>
      <c r="Z1215" s="636"/>
      <c r="AA1215" s="636"/>
      <c r="AB1215" s="636"/>
      <c r="AC1215" s="636"/>
      <c r="AD1215" s="639">
        <v>1</v>
      </c>
      <c r="AE1215" s="636"/>
      <c r="AF1215" s="636"/>
      <c r="AG1215" s="638"/>
      <c r="AH1215" s="156"/>
      <c r="AI1215" s="156"/>
      <c r="AJ1215" s="156"/>
      <c r="AK1215" s="156"/>
      <c r="AL1215" s="156"/>
      <c r="AM1215" s="156"/>
      <c r="AN1215" s="156"/>
      <c r="AO1215" s="156"/>
      <c r="AP1215" s="156"/>
      <c r="AQ1215" s="156"/>
      <c r="AR1215" s="156"/>
      <c r="AS1215" s="156"/>
      <c r="AT1215" s="156"/>
      <c r="AU1215" s="156"/>
      <c r="AV1215" s="156"/>
      <c r="AW1215" s="156"/>
      <c r="AX1215" s="156"/>
      <c r="AY1215" s="156"/>
      <c r="AZ1215" s="156"/>
      <c r="BA1215" s="156"/>
      <c r="BB1215" s="2828"/>
      <c r="BC1215" s="452"/>
      <c r="BD1215" s="2829"/>
      <c r="BE1215" s="156"/>
      <c r="BF1215" s="156"/>
    </row>
    <row r="1216" spans="1:58" hidden="1" outlineLevel="1" x14ac:dyDescent="0.35">
      <c r="A1216" s="1071"/>
      <c r="B1216" s="106"/>
      <c r="C1216" s="103"/>
      <c r="D1216" s="4023"/>
      <c r="E1216" s="3839"/>
      <c r="F1216" s="3949" t="str">
        <f>E858</f>
        <v>Mini/MultiSplitASHP_ER1_MF_CompE</v>
      </c>
      <c r="G1216" s="3950"/>
      <c r="H1216" s="3951"/>
      <c r="I1216" s="2674" t="str">
        <f>C858</f>
        <v>351851_2021_12_</v>
      </c>
      <c r="J1216" s="636">
        <f>J1213</f>
        <v>1</v>
      </c>
      <c r="K1216" s="637"/>
      <c r="L1216" s="4084"/>
      <c r="M1216" s="1304"/>
      <c r="N1216" s="1296"/>
      <c r="O1216" s="106"/>
      <c r="P1216" s="106"/>
      <c r="Q1216" s="106"/>
      <c r="R1216" s="106"/>
      <c r="S1216" s="106"/>
      <c r="T1216" s="106"/>
      <c r="U1216" s="106"/>
      <c r="V1216" s="4023"/>
      <c r="W1216" s="636"/>
      <c r="X1216" s="636"/>
      <c r="Y1216" s="639">
        <f>Y1213</f>
        <v>1</v>
      </c>
      <c r="Z1216" s="636">
        <v>1</v>
      </c>
      <c r="AA1216" s="636">
        <v>1</v>
      </c>
      <c r="AB1216" s="636">
        <v>1</v>
      </c>
      <c r="AC1216" s="636">
        <v>1</v>
      </c>
      <c r="AD1216" s="636">
        <v>1</v>
      </c>
      <c r="AE1216" s="636"/>
      <c r="AF1216" s="636"/>
      <c r="AG1216" s="638"/>
      <c r="AH1216" s="156"/>
      <c r="AI1216" s="156"/>
      <c r="AJ1216" s="156"/>
      <c r="AK1216" s="156"/>
      <c r="AL1216" s="156"/>
      <c r="AM1216" s="156"/>
      <c r="AN1216" s="156"/>
      <c r="AO1216" s="156"/>
      <c r="AP1216" s="156"/>
      <c r="AQ1216" s="156"/>
      <c r="AR1216" s="156"/>
      <c r="AS1216" s="156"/>
      <c r="AT1216" s="156"/>
      <c r="AU1216" s="156"/>
      <c r="AV1216" s="156"/>
      <c r="AW1216" s="156"/>
      <c r="AX1216" s="156"/>
      <c r="AY1216" s="156"/>
      <c r="AZ1216" s="156"/>
      <c r="BA1216" s="156"/>
      <c r="BB1216" s="2828"/>
      <c r="BC1216" s="452"/>
      <c r="BD1216" s="2829"/>
      <c r="BE1216" s="156"/>
      <c r="BF1216" s="156"/>
    </row>
    <row r="1217" spans="1:58" hidden="1" outlineLevel="1" x14ac:dyDescent="0.35">
      <c r="A1217" s="1071"/>
      <c r="B1217" s="106"/>
      <c r="C1217" s="103"/>
      <c r="D1217" s="4023"/>
      <c r="E1217" s="3839"/>
      <c r="F1217" s="3952" t="str">
        <f>E859</f>
        <v>Mini/MultiSplitASHP_ER1_MF_CompE</v>
      </c>
      <c r="G1217" s="3953"/>
      <c r="H1217" s="3954"/>
      <c r="I1217" s="2674" t="str">
        <f>C859</f>
        <v>351851_2021_12_</v>
      </c>
      <c r="J1217" s="636">
        <f t="shared" si="235"/>
        <v>1</v>
      </c>
      <c r="K1217" s="637"/>
      <c r="L1217" s="4084"/>
      <c r="M1217" s="1304"/>
      <c r="N1217" s="1296"/>
      <c r="O1217" s="106"/>
      <c r="P1217" s="106"/>
      <c r="Q1217" s="106"/>
      <c r="R1217" s="106"/>
      <c r="S1217" s="106"/>
      <c r="T1217" s="106"/>
      <c r="U1217" s="106"/>
      <c r="V1217" s="4023"/>
      <c r="W1217" s="636"/>
      <c r="X1217" s="636"/>
      <c r="Y1217" s="639">
        <f t="shared" si="236"/>
        <v>1</v>
      </c>
      <c r="Z1217" s="636">
        <v>1</v>
      </c>
      <c r="AA1217" s="636">
        <v>1</v>
      </c>
      <c r="AB1217" s="636">
        <v>1</v>
      </c>
      <c r="AC1217" s="636">
        <v>1</v>
      </c>
      <c r="AD1217" s="636">
        <v>1</v>
      </c>
      <c r="AE1217" s="636"/>
      <c r="AF1217" s="636"/>
      <c r="AG1217" s="638"/>
      <c r="AH1217" s="156"/>
      <c r="AI1217" s="156"/>
      <c r="AJ1217" s="156"/>
      <c r="AK1217" s="156"/>
      <c r="AL1217" s="156"/>
      <c r="AM1217" s="156"/>
      <c r="AN1217" s="156"/>
      <c r="AO1217" s="156"/>
      <c r="AP1217" s="156"/>
      <c r="AQ1217" s="156"/>
      <c r="AR1217" s="156"/>
      <c r="AS1217" s="156"/>
      <c r="AT1217" s="156"/>
      <c r="AU1217" s="156"/>
      <c r="AV1217" s="156"/>
      <c r="AW1217" s="156"/>
      <c r="AX1217" s="156"/>
      <c r="AY1217" s="156"/>
      <c r="AZ1217" s="156"/>
      <c r="BA1217" s="156"/>
      <c r="BB1217" s="2828"/>
      <c r="BC1217" s="452"/>
      <c r="BD1217" s="2829"/>
      <c r="BE1217" s="156"/>
      <c r="BF1217" s="156"/>
    </row>
    <row r="1218" spans="1:58" hidden="1" outlineLevel="1" x14ac:dyDescent="0.35">
      <c r="A1218" s="1071"/>
      <c r="B1218" s="106"/>
      <c r="C1218" s="103"/>
      <c r="D1218" s="4023"/>
      <c r="E1218" s="3839"/>
      <c r="F1218" s="3952" t="str">
        <f>E860</f>
        <v>Mini/MultiSplitASHP_ER2_MF_CompE</v>
      </c>
      <c r="G1218" s="3953"/>
      <c r="H1218" s="3954"/>
      <c r="I1218" s="2674" t="str">
        <f>C860</f>
        <v>351851_2021_12_</v>
      </c>
      <c r="J1218" s="636">
        <f t="shared" si="235"/>
        <v>1</v>
      </c>
      <c r="K1218" s="637"/>
      <c r="L1218" s="4084"/>
      <c r="M1218" s="1304"/>
      <c r="N1218" s="1296"/>
      <c r="O1218" s="106"/>
      <c r="P1218" s="106"/>
      <c r="Q1218" s="106"/>
      <c r="R1218" s="106"/>
      <c r="S1218" s="106"/>
      <c r="T1218" s="106"/>
      <c r="U1218" s="106"/>
      <c r="V1218" s="4023"/>
      <c r="W1218" s="636"/>
      <c r="X1218" s="636"/>
      <c r="Y1218" s="639">
        <f t="shared" si="236"/>
        <v>1</v>
      </c>
      <c r="Z1218" s="636">
        <v>1</v>
      </c>
      <c r="AA1218" s="636">
        <v>1</v>
      </c>
      <c r="AB1218" s="636">
        <v>1</v>
      </c>
      <c r="AC1218" s="636">
        <v>1</v>
      </c>
      <c r="AD1218" s="636">
        <v>1</v>
      </c>
      <c r="AE1218" s="636"/>
      <c r="AF1218" s="636"/>
      <c r="AG1218" s="638"/>
      <c r="AH1218" s="156"/>
      <c r="AI1218" s="156"/>
      <c r="AJ1218" s="156"/>
      <c r="AK1218" s="156"/>
      <c r="AL1218" s="156"/>
      <c r="AM1218" s="156"/>
      <c r="AN1218" s="156"/>
      <c r="AO1218" s="156"/>
      <c r="AP1218" s="156"/>
      <c r="AQ1218" s="156"/>
      <c r="AR1218" s="156"/>
      <c r="AS1218" s="156"/>
      <c r="AT1218" s="156"/>
      <c r="AU1218" s="156"/>
      <c r="AV1218" s="156"/>
      <c r="AW1218" s="156"/>
      <c r="AX1218" s="156"/>
      <c r="AY1218" s="156"/>
      <c r="AZ1218" s="156"/>
      <c r="BA1218" s="156"/>
      <c r="BB1218" s="2828"/>
      <c r="BC1218" s="452"/>
      <c r="BD1218" s="2829"/>
      <c r="BE1218" s="156"/>
      <c r="BF1218" s="156"/>
    </row>
    <row r="1219" spans="1:58" ht="15" hidden="1" outlineLevel="1" thickBot="1" x14ac:dyDescent="0.4">
      <c r="A1219" s="1071"/>
      <c r="B1219" s="106"/>
      <c r="C1219" s="103"/>
      <c r="D1219" s="4024"/>
      <c r="E1219" s="3907"/>
      <c r="F1219" s="3967" t="str">
        <f>E861</f>
        <v>Mini/MultiSplitASHP_ER2_MF_CompE</v>
      </c>
      <c r="G1219" s="3968"/>
      <c r="H1219" s="3969"/>
      <c r="I1219" s="2675" t="str">
        <f>C861</f>
        <v>351851_2021_12_</v>
      </c>
      <c r="J1219" s="643">
        <f t="shared" si="235"/>
        <v>1</v>
      </c>
      <c r="K1219" s="642"/>
      <c r="L1219" s="4173"/>
      <c r="M1219" s="1304"/>
      <c r="N1219" s="1296"/>
      <c r="O1219" s="106"/>
      <c r="P1219" s="106"/>
      <c r="Q1219" s="106"/>
      <c r="R1219" s="106"/>
      <c r="S1219" s="106"/>
      <c r="T1219" s="106"/>
      <c r="U1219" s="106"/>
      <c r="V1219" s="4024"/>
      <c r="W1219" s="643"/>
      <c r="X1219" s="643"/>
      <c r="Y1219" s="641">
        <f t="shared" si="236"/>
        <v>1</v>
      </c>
      <c r="Z1219" s="643">
        <v>1</v>
      </c>
      <c r="AA1219" s="643">
        <v>1</v>
      </c>
      <c r="AB1219" s="643">
        <v>1</v>
      </c>
      <c r="AC1219" s="643">
        <v>1</v>
      </c>
      <c r="AD1219" s="643">
        <v>1</v>
      </c>
      <c r="AE1219" s="643"/>
      <c r="AF1219" s="643"/>
      <c r="AG1219" s="644"/>
      <c r="AH1219" s="156"/>
      <c r="AI1219" s="156"/>
      <c r="AJ1219" s="156"/>
      <c r="AK1219" s="156"/>
      <c r="AL1219" s="156"/>
      <c r="AM1219" s="156"/>
      <c r="AN1219" s="156"/>
      <c r="AO1219" s="156"/>
      <c r="AP1219" s="156"/>
      <c r="AQ1219" s="156"/>
      <c r="AR1219" s="156"/>
      <c r="AS1219" s="156"/>
      <c r="AT1219" s="156"/>
      <c r="AU1219" s="156"/>
      <c r="AV1219" s="156"/>
      <c r="AW1219" s="156"/>
      <c r="AX1219" s="156"/>
      <c r="AY1219" s="156"/>
      <c r="AZ1219" s="156"/>
      <c r="BA1219" s="156"/>
      <c r="BB1219" s="2828"/>
      <c r="BC1219" s="452"/>
      <c r="BD1219" s="2829"/>
      <c r="BE1219" s="156"/>
      <c r="BF1219" s="156"/>
    </row>
    <row r="1220" spans="1:58" ht="58.5" hidden="1" outlineLevel="1" thickBot="1" x14ac:dyDescent="0.4">
      <c r="A1220" s="1071"/>
      <c r="B1220" s="106"/>
      <c r="C1220" s="103"/>
      <c r="D1220" s="2070" t="s">
        <v>132</v>
      </c>
      <c r="E1220" s="2071" t="s">
        <v>832</v>
      </c>
      <c r="F1220" s="3958" t="s">
        <v>134</v>
      </c>
      <c r="G1220" s="3959"/>
      <c r="H1220" s="3960"/>
      <c r="I1220" s="2465" t="s">
        <v>134</v>
      </c>
      <c r="J1220" s="2072">
        <v>1</v>
      </c>
      <c r="K1220" s="2073"/>
      <c r="L1220" s="2677" t="s">
        <v>4250</v>
      </c>
      <c r="M1220" s="1801"/>
      <c r="N1220" s="1802"/>
      <c r="O1220" s="84"/>
      <c r="P1220" s="84"/>
      <c r="Q1220" s="84"/>
      <c r="R1220" s="84"/>
      <c r="S1220" s="84"/>
      <c r="T1220" s="84"/>
      <c r="U1220" s="84"/>
      <c r="V1220" s="2084" t="s">
        <v>132</v>
      </c>
      <c r="W1220" s="1799"/>
      <c r="X1220" s="1799"/>
      <c r="Y1220" s="1799"/>
      <c r="Z1220" s="1799"/>
      <c r="AA1220" s="1799">
        <v>1</v>
      </c>
      <c r="AB1220" s="1800">
        <v>1</v>
      </c>
      <c r="AC1220" s="2072">
        <v>1</v>
      </c>
      <c r="AD1220" s="2072">
        <v>1</v>
      </c>
      <c r="AE1220" s="1799"/>
      <c r="AF1220" s="1799"/>
      <c r="AG1220" s="1803"/>
      <c r="AH1220" s="84"/>
      <c r="AI1220" s="84"/>
      <c r="AJ1220" s="84"/>
      <c r="AK1220" s="84"/>
      <c r="AL1220" s="84"/>
      <c r="AM1220" s="84"/>
      <c r="AN1220" s="84"/>
      <c r="AO1220" s="84"/>
      <c r="AP1220" s="84"/>
      <c r="AQ1220" s="84"/>
      <c r="AR1220" s="84"/>
      <c r="AS1220" s="84"/>
      <c r="AT1220" s="84"/>
      <c r="AU1220" s="84"/>
      <c r="AV1220" s="84"/>
      <c r="AW1220" s="84"/>
      <c r="AX1220" s="84"/>
      <c r="AY1220" s="84"/>
      <c r="AZ1220" s="84"/>
      <c r="BA1220" s="84"/>
      <c r="BB1220" s="1804"/>
      <c r="BC1220" s="452"/>
      <c r="BD1220" s="2829"/>
      <c r="BE1220" s="156"/>
      <c r="BF1220" s="156"/>
    </row>
    <row r="1221" spans="1:58" hidden="1" outlineLevel="1" x14ac:dyDescent="0.35">
      <c r="A1221" s="1071"/>
      <c r="B1221" s="106"/>
      <c r="C1221" s="103"/>
      <c r="D1221" s="4021" t="s">
        <v>180</v>
      </c>
      <c r="E1221" s="4021" t="str">
        <f>E643</f>
        <v>End of Useful Life</v>
      </c>
      <c r="F1221" s="3973" t="str">
        <f t="shared" ref="F1221:F1266" si="240">F1151</f>
        <v>Mini/MultiSplitAC_ER1_SF</v>
      </c>
      <c r="G1221" s="3974"/>
      <c r="H1221" s="3975"/>
      <c r="I1221" s="2792" t="str">
        <f>I1151</f>
        <v>351200_2021_12_</v>
      </c>
      <c r="J1221" s="645">
        <v>6</v>
      </c>
      <c r="K1221" s="633"/>
      <c r="L1221" s="621"/>
      <c r="M1221" s="1304"/>
      <c r="N1221" s="1296"/>
      <c r="O1221" s="106"/>
      <c r="P1221" s="106"/>
      <c r="Q1221" s="106"/>
      <c r="R1221" s="106"/>
      <c r="S1221" s="106"/>
      <c r="T1221" s="106"/>
      <c r="U1221" s="106"/>
      <c r="V1221" s="4021" t="str">
        <f>D1221</f>
        <v>EUL</v>
      </c>
      <c r="W1221" s="646">
        <v>6</v>
      </c>
      <c r="X1221" s="646">
        <v>6</v>
      </c>
      <c r="Y1221" s="646">
        <v>6</v>
      </c>
      <c r="Z1221" s="646">
        <v>6</v>
      </c>
      <c r="AA1221" s="646">
        <v>6</v>
      </c>
      <c r="AB1221" s="645">
        <v>6</v>
      </c>
      <c r="AC1221" s="645">
        <v>6</v>
      </c>
      <c r="AD1221" s="645">
        <v>6</v>
      </c>
      <c r="AE1221" s="634"/>
      <c r="AF1221" s="634"/>
      <c r="AG1221" s="635"/>
      <c r="AH1221" s="156"/>
      <c r="AI1221" s="156"/>
      <c r="AJ1221" s="156"/>
      <c r="AK1221" s="156"/>
      <c r="AL1221" s="156"/>
      <c r="AM1221" s="156"/>
      <c r="AN1221" s="156"/>
      <c r="AO1221" s="156"/>
      <c r="AP1221" s="156"/>
      <c r="AQ1221" s="156"/>
      <c r="AR1221" s="156"/>
      <c r="AS1221" s="156"/>
      <c r="AT1221" s="156"/>
      <c r="AU1221" s="156"/>
      <c r="AV1221" s="156"/>
      <c r="AW1221" s="156"/>
      <c r="AX1221" s="156"/>
      <c r="AY1221" s="156"/>
      <c r="AZ1221" s="156"/>
      <c r="BA1221" s="156"/>
      <c r="BB1221" s="2828"/>
      <c r="BC1221" s="452"/>
      <c r="BD1221" s="2829"/>
      <c r="BE1221" s="156"/>
      <c r="BF1221" s="156"/>
    </row>
    <row r="1222" spans="1:58" hidden="1" outlineLevel="1" x14ac:dyDescent="0.35">
      <c r="A1222" s="1071"/>
      <c r="B1222" s="106"/>
      <c r="C1222" s="103"/>
      <c r="D1222" s="4022"/>
      <c r="E1222" s="4022"/>
      <c r="F1222" s="3955" t="str">
        <f t="shared" si="240"/>
        <v>Mini/MultiSplitAC_ER2_SF</v>
      </c>
      <c r="G1222" s="3956"/>
      <c r="H1222" s="3957"/>
      <c r="I1222" s="2672" t="str">
        <f t="shared" ref="I1222:I1266" si="241">I1152</f>
        <v>351200_2021_12_</v>
      </c>
      <c r="J1222" s="647">
        <v>12</v>
      </c>
      <c r="K1222" s="637"/>
      <c r="L1222" s="624"/>
      <c r="M1222" s="1304"/>
      <c r="N1222" s="1296"/>
      <c r="O1222" s="106"/>
      <c r="P1222" s="106"/>
      <c r="Q1222" s="106"/>
      <c r="R1222" s="106"/>
      <c r="S1222" s="106"/>
      <c r="T1222" s="106"/>
      <c r="U1222" s="106"/>
      <c r="V1222" s="4022"/>
      <c r="W1222" s="647">
        <v>12</v>
      </c>
      <c r="X1222" s="647">
        <v>12</v>
      </c>
      <c r="Y1222" s="647">
        <v>12</v>
      </c>
      <c r="Z1222" s="647">
        <v>12</v>
      </c>
      <c r="AA1222" s="647">
        <v>12</v>
      </c>
      <c r="AB1222" s="647">
        <v>12</v>
      </c>
      <c r="AC1222" s="647">
        <v>12</v>
      </c>
      <c r="AD1222" s="647">
        <v>12</v>
      </c>
      <c r="AE1222" s="636"/>
      <c r="AF1222" s="636"/>
      <c r="AG1222" s="638"/>
      <c r="AH1222" s="156"/>
      <c r="AI1222" s="156"/>
      <c r="AJ1222" s="156"/>
      <c r="AK1222" s="156"/>
      <c r="AL1222" s="156"/>
      <c r="AM1222" s="156"/>
      <c r="AN1222" s="156"/>
      <c r="AO1222" s="156"/>
      <c r="AP1222" s="156"/>
      <c r="AQ1222" s="156"/>
      <c r="AR1222" s="156"/>
      <c r="AS1222" s="156"/>
      <c r="AT1222" s="156"/>
      <c r="AU1222" s="156"/>
      <c r="AV1222" s="156"/>
      <c r="AW1222" s="156"/>
      <c r="AX1222" s="156"/>
      <c r="AY1222" s="156"/>
      <c r="AZ1222" s="156"/>
      <c r="BA1222" s="156"/>
      <c r="BB1222" s="2828"/>
      <c r="BC1222" s="452"/>
      <c r="BD1222" s="2829"/>
      <c r="BE1222" s="156"/>
      <c r="BF1222" s="156"/>
    </row>
    <row r="1223" spans="1:58" hidden="1" outlineLevel="1" x14ac:dyDescent="0.35">
      <c r="A1223" s="1071"/>
      <c r="B1223" s="106"/>
      <c r="C1223" s="103"/>
      <c r="D1223" s="4022"/>
      <c r="E1223" s="4022"/>
      <c r="F1223" s="3970" t="str">
        <f t="shared" si="240"/>
        <v>Mini/MultiSplitAC_ROF_SF</v>
      </c>
      <c r="G1223" s="3971"/>
      <c r="H1223" s="3972"/>
      <c r="I1223" s="2672" t="str">
        <f t="shared" si="241"/>
        <v>351250_2021_12_</v>
      </c>
      <c r="J1223" s="647">
        <v>18</v>
      </c>
      <c r="K1223" s="637"/>
      <c r="L1223" s="624"/>
      <c r="M1223" s="1304"/>
      <c r="N1223" s="1296"/>
      <c r="O1223" s="106"/>
      <c r="P1223" s="106"/>
      <c r="Q1223" s="106"/>
      <c r="R1223" s="106"/>
      <c r="S1223" s="106"/>
      <c r="T1223" s="106"/>
      <c r="U1223" s="106"/>
      <c r="V1223" s="4022"/>
      <c r="W1223" s="647">
        <v>18</v>
      </c>
      <c r="X1223" s="647">
        <v>18</v>
      </c>
      <c r="Y1223" s="647">
        <v>18</v>
      </c>
      <c r="Z1223" s="647">
        <v>18</v>
      </c>
      <c r="AA1223" s="647">
        <v>18</v>
      </c>
      <c r="AB1223" s="647">
        <v>18</v>
      </c>
      <c r="AC1223" s="647">
        <v>18</v>
      </c>
      <c r="AD1223" s="647">
        <v>18</v>
      </c>
      <c r="AE1223" s="636"/>
      <c r="AF1223" s="636"/>
      <c r="AG1223" s="638"/>
      <c r="AH1223" s="156"/>
      <c r="AI1223" s="156"/>
      <c r="AJ1223" s="156"/>
      <c r="AK1223" s="156"/>
      <c r="AL1223" s="156"/>
      <c r="AM1223" s="156"/>
      <c r="AN1223" s="156"/>
      <c r="AO1223" s="156"/>
      <c r="AP1223" s="156"/>
      <c r="AQ1223" s="156"/>
      <c r="AR1223" s="156"/>
      <c r="AS1223" s="156"/>
      <c r="AT1223" s="156"/>
      <c r="AU1223" s="156"/>
      <c r="AV1223" s="156"/>
      <c r="AW1223" s="156"/>
      <c r="AX1223" s="156"/>
      <c r="AY1223" s="156"/>
      <c r="AZ1223" s="156"/>
      <c r="BA1223" s="156"/>
      <c r="BB1223" s="2828"/>
      <c r="BC1223" s="452"/>
      <c r="BD1223" s="2829"/>
      <c r="BE1223" s="156"/>
      <c r="BF1223" s="156"/>
    </row>
    <row r="1224" spans="1:58" hidden="1" outlineLevel="1" x14ac:dyDescent="0.35">
      <c r="A1224" s="1071"/>
      <c r="B1224" s="106"/>
      <c r="C1224" s="103"/>
      <c r="D1224" s="4022"/>
      <c r="E1224" s="4022"/>
      <c r="F1224" s="3949" t="str">
        <f t="shared" si="240"/>
        <v>Mini/MultiSplitASHP_ROF_SF_NC</v>
      </c>
      <c r="G1224" s="3950"/>
      <c r="H1224" s="3951"/>
      <c r="I1224" s="2672" t="str">
        <f t="shared" si="241"/>
        <v>351300_2021_12_</v>
      </c>
      <c r="J1224" s="647">
        <v>18</v>
      </c>
      <c r="K1224" s="637"/>
      <c r="L1224" s="624"/>
      <c r="M1224" s="1304"/>
      <c r="N1224" s="1296"/>
      <c r="O1224" s="106"/>
      <c r="P1224" s="106"/>
      <c r="Q1224" s="106"/>
      <c r="R1224" s="106"/>
      <c r="S1224" s="106"/>
      <c r="T1224" s="106"/>
      <c r="U1224" s="106"/>
      <c r="V1224" s="4022"/>
      <c r="W1224" s="647">
        <v>18</v>
      </c>
      <c r="X1224" s="647">
        <v>18</v>
      </c>
      <c r="Y1224" s="647">
        <v>18</v>
      </c>
      <c r="Z1224" s="647">
        <v>18</v>
      </c>
      <c r="AA1224" s="647">
        <v>18</v>
      </c>
      <c r="AB1224" s="647">
        <v>18</v>
      </c>
      <c r="AC1224" s="647">
        <v>18</v>
      </c>
      <c r="AD1224" s="647">
        <v>18</v>
      </c>
      <c r="AE1224" s="636"/>
      <c r="AF1224" s="636"/>
      <c r="AG1224" s="638"/>
      <c r="AH1224" s="156"/>
      <c r="AI1224" s="156"/>
      <c r="AJ1224" s="156"/>
      <c r="AK1224" s="156"/>
      <c r="AL1224" s="156"/>
      <c r="AM1224" s="156"/>
      <c r="AN1224" s="156"/>
      <c r="AO1224" s="156"/>
      <c r="AP1224" s="156"/>
      <c r="AQ1224" s="156"/>
      <c r="AR1224" s="156"/>
      <c r="AS1224" s="156"/>
      <c r="AT1224" s="156"/>
      <c r="AU1224" s="156"/>
      <c r="AV1224" s="156"/>
      <c r="AW1224" s="156"/>
      <c r="AX1224" s="156"/>
      <c r="AY1224" s="156"/>
      <c r="AZ1224" s="156"/>
      <c r="BA1224" s="156"/>
      <c r="BB1224" s="2828"/>
      <c r="BC1224" s="452"/>
      <c r="BD1224" s="2829"/>
      <c r="BE1224" s="156"/>
      <c r="BF1224" s="156"/>
    </row>
    <row r="1225" spans="1:58" hidden="1" outlineLevel="1" x14ac:dyDescent="0.35">
      <c r="A1225" s="1071"/>
      <c r="B1225" s="106"/>
      <c r="C1225" s="103"/>
      <c r="D1225" s="4022"/>
      <c r="E1225" s="4022"/>
      <c r="F1225" s="3955" t="str">
        <f t="shared" si="240"/>
        <v>Mini/MultiSplitASHP_ROF_SF_NC</v>
      </c>
      <c r="G1225" s="3956"/>
      <c r="H1225" s="3957"/>
      <c r="I1225" s="2672" t="str">
        <f t="shared" si="241"/>
        <v>351300_2021_12_</v>
      </c>
      <c r="J1225" s="647">
        <v>18</v>
      </c>
      <c r="K1225" s="637"/>
      <c r="L1225" s="624"/>
      <c r="M1225" s="1304"/>
      <c r="N1225" s="1296"/>
      <c r="O1225" s="106"/>
      <c r="P1225" s="106"/>
      <c r="Q1225" s="106"/>
      <c r="R1225" s="106"/>
      <c r="S1225" s="106"/>
      <c r="T1225" s="106"/>
      <c r="U1225" s="106"/>
      <c r="V1225" s="4022"/>
      <c r="W1225" s="647">
        <v>18</v>
      </c>
      <c r="X1225" s="647">
        <v>18</v>
      </c>
      <c r="Y1225" s="647">
        <v>18</v>
      </c>
      <c r="Z1225" s="647">
        <v>18</v>
      </c>
      <c r="AA1225" s="647">
        <v>18</v>
      </c>
      <c r="AB1225" s="647">
        <v>18</v>
      </c>
      <c r="AC1225" s="647">
        <v>18</v>
      </c>
      <c r="AD1225" s="647">
        <v>18</v>
      </c>
      <c r="AE1225" s="636"/>
      <c r="AF1225" s="636"/>
      <c r="AG1225" s="638"/>
      <c r="AH1225" s="156"/>
      <c r="AI1225" s="156"/>
      <c r="AJ1225" s="156"/>
      <c r="AK1225" s="156"/>
      <c r="AL1225" s="156"/>
      <c r="AM1225" s="156"/>
      <c r="AN1225" s="156"/>
      <c r="AO1225" s="156"/>
      <c r="AP1225" s="156"/>
      <c r="AQ1225" s="156"/>
      <c r="AR1225" s="156"/>
      <c r="AS1225" s="156"/>
      <c r="AT1225" s="156"/>
      <c r="AU1225" s="156"/>
      <c r="AV1225" s="156"/>
      <c r="AW1225" s="156"/>
      <c r="AX1225" s="156"/>
      <c r="AY1225" s="156"/>
      <c r="AZ1225" s="156"/>
      <c r="BA1225" s="156"/>
      <c r="BB1225" s="2828"/>
      <c r="BC1225" s="452"/>
      <c r="BD1225" s="2829"/>
      <c r="BE1225" s="156"/>
      <c r="BF1225" s="156"/>
    </row>
    <row r="1226" spans="1:58" hidden="1" outlineLevel="1" x14ac:dyDescent="0.35">
      <c r="A1226" s="1071"/>
      <c r="B1226" s="106"/>
      <c r="C1226" s="103"/>
      <c r="D1226" s="4022"/>
      <c r="E1226" s="4022"/>
      <c r="F1226" s="3949" t="str">
        <f t="shared" si="240"/>
        <v>Mini/MultiSplitASHP_ROF_SF</v>
      </c>
      <c r="G1226" s="3950"/>
      <c r="H1226" s="3951"/>
      <c r="I1226" s="2672" t="str">
        <f t="shared" si="241"/>
        <v>351350_2021_12_</v>
      </c>
      <c r="J1226" s="647">
        <v>18</v>
      </c>
      <c r="K1226" s="637"/>
      <c r="L1226" s="624"/>
      <c r="M1226" s="1304"/>
      <c r="N1226" s="1296"/>
      <c r="O1226" s="106"/>
      <c r="P1226" s="106"/>
      <c r="Q1226" s="106"/>
      <c r="R1226" s="106"/>
      <c r="S1226" s="106"/>
      <c r="T1226" s="106"/>
      <c r="U1226" s="106"/>
      <c r="V1226" s="4022"/>
      <c r="W1226" s="647">
        <v>18</v>
      </c>
      <c r="X1226" s="647">
        <v>18</v>
      </c>
      <c r="Y1226" s="647">
        <v>18</v>
      </c>
      <c r="Z1226" s="647">
        <v>18</v>
      </c>
      <c r="AA1226" s="647">
        <v>18</v>
      </c>
      <c r="AB1226" s="647">
        <v>18</v>
      </c>
      <c r="AC1226" s="647">
        <v>18</v>
      </c>
      <c r="AD1226" s="647">
        <v>18</v>
      </c>
      <c r="AE1226" s="636"/>
      <c r="AF1226" s="636"/>
      <c r="AG1226" s="638"/>
      <c r="AH1226" s="156"/>
      <c r="AI1226" s="156"/>
      <c r="AJ1226" s="156"/>
      <c r="AK1226" s="156"/>
      <c r="AL1226" s="156"/>
      <c r="AM1226" s="156"/>
      <c r="AN1226" s="156"/>
      <c r="AO1226" s="156"/>
      <c r="AP1226" s="156"/>
      <c r="AQ1226" s="156"/>
      <c r="AR1226" s="156"/>
      <c r="AS1226" s="156"/>
      <c r="AT1226" s="156"/>
      <c r="AU1226" s="156"/>
      <c r="AV1226" s="156"/>
      <c r="AW1226" s="156"/>
      <c r="AX1226" s="156"/>
      <c r="AY1226" s="156"/>
      <c r="AZ1226" s="156"/>
      <c r="BA1226" s="156"/>
      <c r="BB1226" s="2828"/>
      <c r="BC1226" s="452"/>
      <c r="BD1226" s="2829"/>
      <c r="BE1226" s="156"/>
      <c r="BF1226" s="156"/>
    </row>
    <row r="1227" spans="1:58" hidden="1" outlineLevel="1" x14ac:dyDescent="0.35">
      <c r="A1227" s="1071"/>
      <c r="B1227" s="106"/>
      <c r="C1227" s="103"/>
      <c r="D1227" s="4022"/>
      <c r="E1227" s="4022"/>
      <c r="F1227" s="3955" t="str">
        <f t="shared" si="240"/>
        <v>Mini/MultiSplitASHP_ROF_SF</v>
      </c>
      <c r="G1227" s="3956"/>
      <c r="H1227" s="3957"/>
      <c r="I1227" s="2672" t="str">
        <f t="shared" si="241"/>
        <v>351350_2021_12_</v>
      </c>
      <c r="J1227" s="647">
        <v>18</v>
      </c>
      <c r="K1227" s="637"/>
      <c r="L1227" s="624"/>
      <c r="M1227" s="1304"/>
      <c r="N1227" s="1296"/>
      <c r="O1227" s="106"/>
      <c r="P1227" s="106"/>
      <c r="Q1227" s="106"/>
      <c r="R1227" s="106"/>
      <c r="S1227" s="106"/>
      <c r="T1227" s="106"/>
      <c r="U1227" s="106"/>
      <c r="V1227" s="4022"/>
      <c r="W1227" s="647">
        <v>18</v>
      </c>
      <c r="X1227" s="647">
        <v>18</v>
      </c>
      <c r="Y1227" s="647">
        <v>18</v>
      </c>
      <c r="Z1227" s="647">
        <v>18</v>
      </c>
      <c r="AA1227" s="647">
        <v>18</v>
      </c>
      <c r="AB1227" s="647">
        <v>18</v>
      </c>
      <c r="AC1227" s="647">
        <v>18</v>
      </c>
      <c r="AD1227" s="647">
        <v>18</v>
      </c>
      <c r="AE1227" s="636"/>
      <c r="AF1227" s="636"/>
      <c r="AG1227" s="638"/>
      <c r="AH1227" s="156"/>
      <c r="AI1227" s="156"/>
      <c r="AJ1227" s="156"/>
      <c r="AK1227" s="156"/>
      <c r="AL1227" s="156"/>
      <c r="AM1227" s="156"/>
      <c r="AN1227" s="156"/>
      <c r="AO1227" s="156"/>
      <c r="AP1227" s="156"/>
      <c r="AQ1227" s="156"/>
      <c r="AR1227" s="156"/>
      <c r="AS1227" s="156"/>
      <c r="AT1227" s="156"/>
      <c r="AU1227" s="156"/>
      <c r="AV1227" s="156"/>
      <c r="AW1227" s="156"/>
      <c r="AX1227" s="156"/>
      <c r="AY1227" s="156"/>
      <c r="AZ1227" s="156"/>
      <c r="BA1227" s="156"/>
      <c r="BB1227" s="2828"/>
      <c r="BC1227" s="452"/>
      <c r="BD1227" s="2829"/>
      <c r="BE1227" s="156"/>
      <c r="BF1227" s="156"/>
    </row>
    <row r="1228" spans="1:58" hidden="1" outlineLevel="1" x14ac:dyDescent="0.35">
      <c r="A1228" s="1071"/>
      <c r="B1228" s="106"/>
      <c r="C1228" s="103"/>
      <c r="D1228" s="4022"/>
      <c r="E1228" s="4022"/>
      <c r="F1228" s="3949" t="str">
        <f t="shared" si="240"/>
        <v>Mini/MultiSplitASHP-Replace_CAC_ElectricHeat_ER1_SF</v>
      </c>
      <c r="G1228" s="3950"/>
      <c r="H1228" s="3951"/>
      <c r="I1228" s="2672" t="str">
        <f t="shared" si="241"/>
        <v>351400_2021_12_</v>
      </c>
      <c r="J1228" s="647">
        <v>6</v>
      </c>
      <c r="K1228" s="637"/>
      <c r="L1228" s="624"/>
      <c r="M1228" s="1304"/>
      <c r="N1228" s="1296"/>
      <c r="O1228" s="106"/>
      <c r="P1228" s="106"/>
      <c r="Q1228" s="106"/>
      <c r="R1228" s="106"/>
      <c r="S1228" s="106"/>
      <c r="T1228" s="106"/>
      <c r="U1228" s="106"/>
      <c r="V1228" s="4022"/>
      <c r="W1228" s="647">
        <v>6</v>
      </c>
      <c r="X1228" s="647">
        <v>6</v>
      </c>
      <c r="Y1228" s="647">
        <v>6</v>
      </c>
      <c r="Z1228" s="647">
        <v>6</v>
      </c>
      <c r="AA1228" s="647">
        <v>6</v>
      </c>
      <c r="AB1228" s="647">
        <v>6</v>
      </c>
      <c r="AC1228" s="647">
        <v>6</v>
      </c>
      <c r="AD1228" s="647">
        <v>6</v>
      </c>
      <c r="AE1228" s="636"/>
      <c r="AF1228" s="636"/>
      <c r="AG1228" s="638"/>
      <c r="AH1228" s="156"/>
      <c r="AI1228" s="156"/>
      <c r="AJ1228" s="156"/>
      <c r="AK1228" s="156"/>
      <c r="AL1228" s="156"/>
      <c r="AM1228" s="156"/>
      <c r="AN1228" s="156"/>
      <c r="AO1228" s="156"/>
      <c r="AP1228" s="156"/>
      <c r="AQ1228" s="156"/>
      <c r="AR1228" s="156"/>
      <c r="AS1228" s="156"/>
      <c r="AT1228" s="156"/>
      <c r="AU1228" s="156"/>
      <c r="AV1228" s="156"/>
      <c r="AW1228" s="156"/>
      <c r="AX1228" s="156"/>
      <c r="AY1228" s="156"/>
      <c r="AZ1228" s="156"/>
      <c r="BA1228" s="156"/>
      <c r="BB1228" s="2828"/>
      <c r="BC1228" s="452"/>
      <c r="BD1228" s="2829"/>
      <c r="BE1228" s="156"/>
      <c r="BF1228" s="156"/>
    </row>
    <row r="1229" spans="1:58" hidden="1" outlineLevel="1" x14ac:dyDescent="0.35">
      <c r="A1229" s="1071"/>
      <c r="B1229" s="106"/>
      <c r="C1229" s="103"/>
      <c r="D1229" s="4022"/>
      <c r="E1229" s="4022"/>
      <c r="F1229" s="3952" t="str">
        <f t="shared" si="240"/>
        <v>Mini/MultiSplitASHP-Replace_CAC_ElectricHeat_ER1_SF</v>
      </c>
      <c r="G1229" s="3953"/>
      <c r="H1229" s="3954"/>
      <c r="I1229" s="2672" t="str">
        <f t="shared" si="241"/>
        <v>351400_2021_12_</v>
      </c>
      <c r="J1229" s="647">
        <v>6</v>
      </c>
      <c r="K1229" s="637"/>
      <c r="L1229" s="624"/>
      <c r="M1229" s="1304"/>
      <c r="N1229" s="1296"/>
      <c r="O1229" s="106"/>
      <c r="P1229" s="106"/>
      <c r="Q1229" s="106"/>
      <c r="R1229" s="106"/>
      <c r="S1229" s="106"/>
      <c r="T1229" s="106"/>
      <c r="U1229" s="106"/>
      <c r="V1229" s="4022"/>
      <c r="W1229" s="647">
        <v>6</v>
      </c>
      <c r="X1229" s="647">
        <v>6</v>
      </c>
      <c r="Y1229" s="647">
        <v>6</v>
      </c>
      <c r="Z1229" s="647">
        <v>6</v>
      </c>
      <c r="AA1229" s="647">
        <v>6</v>
      </c>
      <c r="AB1229" s="647">
        <v>6</v>
      </c>
      <c r="AC1229" s="647">
        <v>6</v>
      </c>
      <c r="AD1229" s="647">
        <v>6</v>
      </c>
      <c r="AE1229" s="636"/>
      <c r="AF1229" s="636"/>
      <c r="AG1229" s="638"/>
      <c r="AH1229" s="156"/>
      <c r="AI1229" s="156"/>
      <c r="AJ1229" s="156"/>
      <c r="AK1229" s="156"/>
      <c r="AL1229" s="156"/>
      <c r="AM1229" s="156"/>
      <c r="AN1229" s="156"/>
      <c r="AO1229" s="156"/>
      <c r="AP1229" s="156"/>
      <c r="AQ1229" s="156"/>
      <c r="AR1229" s="156"/>
      <c r="AS1229" s="156"/>
      <c r="AT1229" s="156"/>
      <c r="AU1229" s="156"/>
      <c r="AV1229" s="156"/>
      <c r="AW1229" s="156"/>
      <c r="AX1229" s="156"/>
      <c r="AY1229" s="156"/>
      <c r="AZ1229" s="156"/>
      <c r="BA1229" s="156"/>
      <c r="BB1229" s="2828"/>
      <c r="BC1229" s="452"/>
      <c r="BD1229" s="2829"/>
      <c r="BE1229" s="156"/>
      <c r="BF1229" s="156"/>
    </row>
    <row r="1230" spans="1:58" hidden="1" outlineLevel="1" x14ac:dyDescent="0.35">
      <c r="A1230" s="1071"/>
      <c r="B1230" s="106"/>
      <c r="C1230" s="103"/>
      <c r="D1230" s="4022"/>
      <c r="E1230" s="4022"/>
      <c r="F1230" s="3952" t="str">
        <f t="shared" si="240"/>
        <v>Mini/MultiSplitASHP-Replace_CAC_ElectricHeat_ER2_SF</v>
      </c>
      <c r="G1230" s="3953"/>
      <c r="H1230" s="3954"/>
      <c r="I1230" s="2672" t="str">
        <f t="shared" si="241"/>
        <v>351400_2021_12_</v>
      </c>
      <c r="J1230" s="647">
        <v>12</v>
      </c>
      <c r="K1230" s="637"/>
      <c r="L1230" s="624"/>
      <c r="M1230" s="1304"/>
      <c r="N1230" s="1296"/>
      <c r="O1230" s="106"/>
      <c r="P1230" s="106"/>
      <c r="Q1230" s="106"/>
      <c r="R1230" s="106"/>
      <c r="S1230" s="106"/>
      <c r="T1230" s="106"/>
      <c r="U1230" s="106"/>
      <c r="V1230" s="4022"/>
      <c r="W1230" s="647">
        <v>12</v>
      </c>
      <c r="X1230" s="647">
        <v>12</v>
      </c>
      <c r="Y1230" s="647">
        <v>12</v>
      </c>
      <c r="Z1230" s="647">
        <v>12</v>
      </c>
      <c r="AA1230" s="647">
        <v>12</v>
      </c>
      <c r="AB1230" s="647">
        <v>12</v>
      </c>
      <c r="AC1230" s="647">
        <v>12</v>
      </c>
      <c r="AD1230" s="647">
        <v>12</v>
      </c>
      <c r="AE1230" s="636"/>
      <c r="AF1230" s="636"/>
      <c r="AG1230" s="638"/>
      <c r="AH1230" s="156"/>
      <c r="AI1230" s="156"/>
      <c r="AJ1230" s="156"/>
      <c r="AK1230" s="156"/>
      <c r="AL1230" s="156"/>
      <c r="AM1230" s="156"/>
      <c r="AN1230" s="156"/>
      <c r="AO1230" s="156"/>
      <c r="AP1230" s="156"/>
      <c r="AQ1230" s="156"/>
      <c r="AR1230" s="156"/>
      <c r="AS1230" s="156"/>
      <c r="AT1230" s="156"/>
      <c r="AU1230" s="156"/>
      <c r="AV1230" s="156"/>
      <c r="AW1230" s="156"/>
      <c r="AX1230" s="156"/>
      <c r="AY1230" s="156"/>
      <c r="AZ1230" s="156"/>
      <c r="BA1230" s="156"/>
      <c r="BB1230" s="2828"/>
      <c r="BC1230" s="452"/>
      <c r="BD1230" s="2829"/>
      <c r="BE1230" s="156"/>
      <c r="BF1230" s="156"/>
    </row>
    <row r="1231" spans="1:58" hidden="1" outlineLevel="1" x14ac:dyDescent="0.35">
      <c r="A1231" s="1071"/>
      <c r="B1231" s="106"/>
      <c r="C1231" s="103"/>
      <c r="D1231" s="4022"/>
      <c r="E1231" s="4022"/>
      <c r="F1231" s="3955" t="str">
        <f t="shared" si="240"/>
        <v>Mini/MultiSplitASHP-Replace_CAC_ElectricHeat_ER2_SF</v>
      </c>
      <c r="G1231" s="3956"/>
      <c r="H1231" s="3957"/>
      <c r="I1231" s="2672" t="str">
        <f t="shared" si="241"/>
        <v>351400_2021_12_</v>
      </c>
      <c r="J1231" s="647">
        <v>12</v>
      </c>
      <c r="K1231" s="637"/>
      <c r="L1231" s="624"/>
      <c r="M1231" s="1304"/>
      <c r="N1231" s="1296"/>
      <c r="O1231" s="106"/>
      <c r="P1231" s="106"/>
      <c r="Q1231" s="106"/>
      <c r="R1231" s="106"/>
      <c r="S1231" s="106"/>
      <c r="T1231" s="106"/>
      <c r="U1231" s="106"/>
      <c r="V1231" s="4022"/>
      <c r="W1231" s="647">
        <v>12</v>
      </c>
      <c r="X1231" s="647">
        <v>12</v>
      </c>
      <c r="Y1231" s="647">
        <v>12</v>
      </c>
      <c r="Z1231" s="647">
        <v>12</v>
      </c>
      <c r="AA1231" s="647">
        <v>12</v>
      </c>
      <c r="AB1231" s="647">
        <v>12</v>
      </c>
      <c r="AC1231" s="647">
        <v>12</v>
      </c>
      <c r="AD1231" s="647">
        <v>12</v>
      </c>
      <c r="AE1231" s="636"/>
      <c r="AF1231" s="636"/>
      <c r="AG1231" s="638"/>
      <c r="AH1231" s="156"/>
      <c r="AI1231" s="156"/>
      <c r="AJ1231" s="156"/>
      <c r="AK1231" s="156"/>
      <c r="AL1231" s="156"/>
      <c r="AM1231" s="156"/>
      <c r="AN1231" s="156"/>
      <c r="AO1231" s="156"/>
      <c r="AP1231" s="156"/>
      <c r="AQ1231" s="156"/>
      <c r="AR1231" s="156"/>
      <c r="AS1231" s="156"/>
      <c r="AT1231" s="156"/>
      <c r="AU1231" s="156"/>
      <c r="AV1231" s="156"/>
      <c r="AW1231" s="156"/>
      <c r="AX1231" s="156"/>
      <c r="AY1231" s="156"/>
      <c r="AZ1231" s="156"/>
      <c r="BA1231" s="156"/>
      <c r="BB1231" s="2828"/>
      <c r="BC1231" s="452"/>
      <c r="BD1231" s="2829"/>
      <c r="BE1231" s="156"/>
      <c r="BF1231" s="156"/>
    </row>
    <row r="1232" spans="1:58" hidden="1" outlineLevel="1" x14ac:dyDescent="0.35">
      <c r="A1232" s="1071"/>
      <c r="B1232" s="106"/>
      <c r="C1232" s="103"/>
      <c r="D1232" s="4022"/>
      <c r="E1232" s="4022"/>
      <c r="F1232" s="3961" t="str">
        <f t="shared" si="240"/>
        <v>Mini/MultiSplitASHP-Replace_CAC_NonElectricHeat_ER1_SF</v>
      </c>
      <c r="G1232" s="3962"/>
      <c r="H1232" s="3963"/>
      <c r="I1232" s="2763" t="str">
        <f>I1162</f>
        <v>351401_2022_12_</v>
      </c>
      <c r="J1232" s="664">
        <v>6</v>
      </c>
      <c r="K1232" s="637"/>
      <c r="L1232" s="2757" t="s">
        <v>1083</v>
      </c>
      <c r="M1232" s="1304"/>
      <c r="N1232" s="1296"/>
      <c r="O1232" s="106"/>
      <c r="P1232" s="106"/>
      <c r="Q1232" s="106"/>
      <c r="R1232" s="106"/>
      <c r="S1232" s="106"/>
      <c r="T1232" s="106"/>
      <c r="U1232" s="106"/>
      <c r="V1232" s="4022"/>
      <c r="W1232" s="647"/>
      <c r="X1232" s="647"/>
      <c r="Y1232" s="647"/>
      <c r="Z1232" s="647"/>
      <c r="AA1232" s="647"/>
      <c r="AB1232" s="647"/>
      <c r="AC1232" s="647"/>
      <c r="AD1232" s="664">
        <v>6</v>
      </c>
      <c r="AE1232" s="636"/>
      <c r="AF1232" s="636"/>
      <c r="AG1232" s="638"/>
      <c r="AH1232" s="156"/>
      <c r="AI1232" s="156"/>
      <c r="AJ1232" s="156"/>
      <c r="AK1232" s="156"/>
      <c r="AL1232" s="156"/>
      <c r="AM1232" s="156"/>
      <c r="AN1232" s="156"/>
      <c r="AO1232" s="156"/>
      <c r="AP1232" s="156"/>
      <c r="AQ1232" s="156"/>
      <c r="AR1232" s="156"/>
      <c r="AS1232" s="156"/>
      <c r="AT1232" s="156"/>
      <c r="AU1232" s="156"/>
      <c r="AV1232" s="156"/>
      <c r="AW1232" s="156"/>
      <c r="AX1232" s="156"/>
      <c r="AY1232" s="156"/>
      <c r="AZ1232" s="156"/>
      <c r="BA1232" s="156"/>
      <c r="BB1232" s="2828"/>
      <c r="BC1232" s="452"/>
      <c r="BD1232" s="2829"/>
      <c r="BE1232" s="156"/>
      <c r="BF1232" s="156"/>
    </row>
    <row r="1233" spans="1:58" hidden="1" outlineLevel="1" x14ac:dyDescent="0.35">
      <c r="A1233" s="1071"/>
      <c r="B1233" s="106"/>
      <c r="C1233" s="103"/>
      <c r="D1233" s="4022"/>
      <c r="E1233" s="4022"/>
      <c r="F1233" s="3964" t="str">
        <f t="shared" si="240"/>
        <v>Mini/MultiSplitASHP-Replace_CAC_NonElectricHeat_ER1_SF</v>
      </c>
      <c r="G1233" s="3965"/>
      <c r="H1233" s="3966"/>
      <c r="I1233" s="2763" t="str">
        <f t="shared" ref="I1233:I1235" si="242">I1163</f>
        <v>351401_2022_12_</v>
      </c>
      <c r="J1233" s="664">
        <v>6</v>
      </c>
      <c r="K1233" s="637"/>
      <c r="L1233" s="2757" t="s">
        <v>1083</v>
      </c>
      <c r="M1233" s="1304"/>
      <c r="N1233" s="1296"/>
      <c r="O1233" s="106"/>
      <c r="P1233" s="106"/>
      <c r="Q1233" s="106"/>
      <c r="R1233" s="106"/>
      <c r="S1233" s="106"/>
      <c r="T1233" s="106"/>
      <c r="U1233" s="106"/>
      <c r="V1233" s="4022"/>
      <c r="W1233" s="647"/>
      <c r="X1233" s="647"/>
      <c r="Y1233" s="647"/>
      <c r="Z1233" s="647"/>
      <c r="AA1233" s="647"/>
      <c r="AB1233" s="647"/>
      <c r="AC1233" s="647"/>
      <c r="AD1233" s="664">
        <v>6</v>
      </c>
      <c r="AE1233" s="636"/>
      <c r="AF1233" s="636"/>
      <c r="AG1233" s="638"/>
      <c r="AH1233" s="156"/>
      <c r="AI1233" s="156"/>
      <c r="AJ1233" s="156"/>
      <c r="AK1233" s="156"/>
      <c r="AL1233" s="156"/>
      <c r="AM1233" s="156"/>
      <c r="AN1233" s="156"/>
      <c r="AO1233" s="156"/>
      <c r="AP1233" s="156"/>
      <c r="AQ1233" s="156"/>
      <c r="AR1233" s="156"/>
      <c r="AS1233" s="156"/>
      <c r="AT1233" s="156"/>
      <c r="AU1233" s="156"/>
      <c r="AV1233" s="156"/>
      <c r="AW1233" s="156"/>
      <c r="AX1233" s="156"/>
      <c r="AY1233" s="156"/>
      <c r="AZ1233" s="156"/>
      <c r="BA1233" s="156"/>
      <c r="BB1233" s="2828"/>
      <c r="BC1233" s="452"/>
      <c r="BD1233" s="2829"/>
      <c r="BE1233" s="156"/>
      <c r="BF1233" s="156"/>
    </row>
    <row r="1234" spans="1:58" hidden="1" outlineLevel="1" x14ac:dyDescent="0.35">
      <c r="A1234" s="1071"/>
      <c r="B1234" s="106"/>
      <c r="C1234" s="103"/>
      <c r="D1234" s="4022"/>
      <c r="E1234" s="4022"/>
      <c r="F1234" s="3964" t="str">
        <f t="shared" si="240"/>
        <v>Mini/MultiSplitASHP-Replace_CAC_NonElectricHeat_ER2_SF</v>
      </c>
      <c r="G1234" s="3965"/>
      <c r="H1234" s="3966"/>
      <c r="I1234" s="2763" t="str">
        <f t="shared" si="242"/>
        <v>351401_2022_12_</v>
      </c>
      <c r="J1234" s="664">
        <v>12</v>
      </c>
      <c r="K1234" s="637"/>
      <c r="L1234" s="2757" t="s">
        <v>1083</v>
      </c>
      <c r="M1234" s="1304"/>
      <c r="N1234" s="1296"/>
      <c r="O1234" s="106"/>
      <c r="P1234" s="106"/>
      <c r="Q1234" s="106"/>
      <c r="R1234" s="106"/>
      <c r="S1234" s="106"/>
      <c r="T1234" s="106"/>
      <c r="U1234" s="106"/>
      <c r="V1234" s="4022"/>
      <c r="W1234" s="647"/>
      <c r="X1234" s="647"/>
      <c r="Y1234" s="647"/>
      <c r="Z1234" s="647"/>
      <c r="AA1234" s="647"/>
      <c r="AB1234" s="647"/>
      <c r="AC1234" s="647"/>
      <c r="AD1234" s="664">
        <v>12</v>
      </c>
      <c r="AE1234" s="636"/>
      <c r="AF1234" s="636"/>
      <c r="AG1234" s="638"/>
      <c r="AH1234" s="156"/>
      <c r="AI1234" s="156"/>
      <c r="AJ1234" s="156"/>
      <c r="AK1234" s="156"/>
      <c r="AL1234" s="156"/>
      <c r="AM1234" s="156"/>
      <c r="AN1234" s="156"/>
      <c r="AO1234" s="156"/>
      <c r="AP1234" s="156"/>
      <c r="AQ1234" s="156"/>
      <c r="AR1234" s="156"/>
      <c r="AS1234" s="156"/>
      <c r="AT1234" s="156"/>
      <c r="AU1234" s="156"/>
      <c r="AV1234" s="156"/>
      <c r="AW1234" s="156"/>
      <c r="AX1234" s="156"/>
      <c r="AY1234" s="156"/>
      <c r="AZ1234" s="156"/>
      <c r="BA1234" s="156"/>
      <c r="BB1234" s="2828"/>
      <c r="BC1234" s="452"/>
      <c r="BD1234" s="2829"/>
      <c r="BE1234" s="156"/>
      <c r="BF1234" s="156"/>
    </row>
    <row r="1235" spans="1:58" hidden="1" outlineLevel="1" x14ac:dyDescent="0.35">
      <c r="A1235" s="1071"/>
      <c r="B1235" s="106"/>
      <c r="C1235" s="103"/>
      <c r="D1235" s="4022"/>
      <c r="E1235" s="4022"/>
      <c r="F1235" s="3946" t="str">
        <f t="shared" si="240"/>
        <v>Mini/MultiSplitASHP-Replace_CAC_NonElectricHeat_ER2_SF</v>
      </c>
      <c r="G1235" s="3947"/>
      <c r="H1235" s="3948"/>
      <c r="I1235" s="2763" t="str">
        <f t="shared" si="242"/>
        <v>351401_2022_12_</v>
      </c>
      <c r="J1235" s="664">
        <v>12</v>
      </c>
      <c r="K1235" s="637"/>
      <c r="L1235" s="2757" t="s">
        <v>1083</v>
      </c>
      <c r="M1235" s="1304"/>
      <c r="N1235" s="1296"/>
      <c r="O1235" s="106"/>
      <c r="P1235" s="106"/>
      <c r="Q1235" s="106"/>
      <c r="R1235" s="106"/>
      <c r="S1235" s="106"/>
      <c r="T1235" s="106"/>
      <c r="U1235" s="106"/>
      <c r="V1235" s="4022"/>
      <c r="W1235" s="647"/>
      <c r="X1235" s="647"/>
      <c r="Y1235" s="647"/>
      <c r="Z1235" s="647"/>
      <c r="AA1235" s="647"/>
      <c r="AB1235" s="647"/>
      <c r="AC1235" s="647"/>
      <c r="AD1235" s="664">
        <v>12</v>
      </c>
      <c r="AE1235" s="636"/>
      <c r="AF1235" s="636"/>
      <c r="AG1235" s="638"/>
      <c r="AH1235" s="156"/>
      <c r="AI1235" s="156"/>
      <c r="AJ1235" s="156"/>
      <c r="AK1235" s="156"/>
      <c r="AL1235" s="156"/>
      <c r="AM1235" s="156"/>
      <c r="AN1235" s="156"/>
      <c r="AO1235" s="156"/>
      <c r="AP1235" s="156"/>
      <c r="AQ1235" s="156"/>
      <c r="AR1235" s="156"/>
      <c r="AS1235" s="156"/>
      <c r="AT1235" s="156"/>
      <c r="AU1235" s="156"/>
      <c r="AV1235" s="156"/>
      <c r="AW1235" s="156"/>
      <c r="AX1235" s="156"/>
      <c r="AY1235" s="156"/>
      <c r="AZ1235" s="156"/>
      <c r="BA1235" s="156"/>
      <c r="BB1235" s="2828"/>
      <c r="BC1235" s="452"/>
      <c r="BD1235" s="2829"/>
      <c r="BE1235" s="156"/>
      <c r="BF1235" s="156"/>
    </row>
    <row r="1236" spans="1:58" hidden="1" outlineLevel="1" x14ac:dyDescent="0.35">
      <c r="A1236" s="1071"/>
      <c r="B1236" s="106"/>
      <c r="C1236" s="103"/>
      <c r="D1236" s="4022"/>
      <c r="E1236" s="4022"/>
      <c r="F1236" s="3949" t="str">
        <f t="shared" si="240"/>
        <v>Mini/MultiSplitASHP-Replace_CAC_ElectricHeat_ROF_SF</v>
      </c>
      <c r="G1236" s="3950"/>
      <c r="H1236" s="3951"/>
      <c r="I1236" s="2672" t="str">
        <f t="shared" si="241"/>
        <v>351450_2021_12_</v>
      </c>
      <c r="J1236" s="647">
        <v>18</v>
      </c>
      <c r="K1236" s="637"/>
      <c r="L1236" s="624"/>
      <c r="M1236" s="1304"/>
      <c r="N1236" s="1296"/>
      <c r="O1236" s="106"/>
      <c r="P1236" s="106"/>
      <c r="Q1236" s="106"/>
      <c r="R1236" s="106"/>
      <c r="S1236" s="106"/>
      <c r="T1236" s="106"/>
      <c r="U1236" s="106"/>
      <c r="V1236" s="4022"/>
      <c r="W1236" s="647">
        <v>18</v>
      </c>
      <c r="X1236" s="647">
        <v>18</v>
      </c>
      <c r="Y1236" s="647">
        <v>18</v>
      </c>
      <c r="Z1236" s="647">
        <v>18</v>
      </c>
      <c r="AA1236" s="647">
        <v>18</v>
      </c>
      <c r="AB1236" s="647">
        <v>18</v>
      </c>
      <c r="AC1236" s="647">
        <v>18</v>
      </c>
      <c r="AD1236" s="647">
        <v>18</v>
      </c>
      <c r="AE1236" s="636"/>
      <c r="AF1236" s="636"/>
      <c r="AG1236" s="638"/>
      <c r="AH1236" s="156"/>
      <c r="AI1236" s="156"/>
      <c r="AJ1236" s="156"/>
      <c r="AK1236" s="156"/>
      <c r="AL1236" s="156"/>
      <c r="AM1236" s="156"/>
      <c r="AN1236" s="156"/>
      <c r="AO1236" s="156"/>
      <c r="AP1236" s="156"/>
      <c r="AQ1236" s="156"/>
      <c r="AR1236" s="156"/>
      <c r="AS1236" s="156"/>
      <c r="AT1236" s="156"/>
      <c r="AU1236" s="156"/>
      <c r="AV1236" s="156"/>
      <c r="AW1236" s="156"/>
      <c r="AX1236" s="156"/>
      <c r="AY1236" s="156"/>
      <c r="AZ1236" s="156"/>
      <c r="BA1236" s="156"/>
      <c r="BB1236" s="2828"/>
      <c r="BC1236" s="452"/>
      <c r="BD1236" s="2829"/>
      <c r="BE1236" s="156"/>
      <c r="BF1236" s="156"/>
    </row>
    <row r="1237" spans="1:58" hidden="1" outlineLevel="1" x14ac:dyDescent="0.35">
      <c r="A1237" s="1071"/>
      <c r="B1237" s="106"/>
      <c r="C1237" s="103"/>
      <c r="D1237" s="4022"/>
      <c r="E1237" s="4022"/>
      <c r="F1237" s="3955" t="str">
        <f t="shared" si="240"/>
        <v>Mini/MultiSplitASHP-Replace_CAC_ElectricHeat_ROF_SF</v>
      </c>
      <c r="G1237" s="3956"/>
      <c r="H1237" s="3957"/>
      <c r="I1237" s="2672" t="str">
        <f t="shared" si="241"/>
        <v>351450_2021_12_</v>
      </c>
      <c r="J1237" s="647">
        <v>18</v>
      </c>
      <c r="K1237" s="637"/>
      <c r="L1237" s="2757" t="s">
        <v>1083</v>
      </c>
      <c r="M1237" s="1304"/>
      <c r="N1237" s="1296"/>
      <c r="O1237" s="106"/>
      <c r="P1237" s="106"/>
      <c r="Q1237" s="106"/>
      <c r="R1237" s="106"/>
      <c r="S1237" s="106"/>
      <c r="T1237" s="106"/>
      <c r="U1237" s="106"/>
      <c r="V1237" s="4022"/>
      <c r="W1237" s="647">
        <v>18</v>
      </c>
      <c r="X1237" s="647">
        <v>18</v>
      </c>
      <c r="Y1237" s="647">
        <v>18</v>
      </c>
      <c r="Z1237" s="647">
        <v>18</v>
      </c>
      <c r="AA1237" s="647">
        <v>18</v>
      </c>
      <c r="AB1237" s="647">
        <v>18</v>
      </c>
      <c r="AC1237" s="647">
        <v>18</v>
      </c>
      <c r="AD1237" s="647">
        <v>18</v>
      </c>
      <c r="AE1237" s="636"/>
      <c r="AF1237" s="636"/>
      <c r="AG1237" s="638"/>
      <c r="AH1237" s="156"/>
      <c r="AI1237" s="156"/>
      <c r="AJ1237" s="156"/>
      <c r="AK1237" s="156"/>
      <c r="AL1237" s="156"/>
      <c r="AM1237" s="156"/>
      <c r="AN1237" s="156"/>
      <c r="AO1237" s="156"/>
      <c r="AP1237" s="156"/>
      <c r="AQ1237" s="156"/>
      <c r="AR1237" s="156"/>
      <c r="AS1237" s="156"/>
      <c r="AT1237" s="156"/>
      <c r="AU1237" s="156"/>
      <c r="AV1237" s="156"/>
      <c r="AW1237" s="156"/>
      <c r="AX1237" s="156"/>
      <c r="AY1237" s="156"/>
      <c r="AZ1237" s="156"/>
      <c r="BA1237" s="156"/>
      <c r="BB1237" s="2828"/>
      <c r="BC1237" s="452"/>
      <c r="BD1237" s="2829"/>
      <c r="BE1237" s="156"/>
      <c r="BF1237" s="156"/>
    </row>
    <row r="1238" spans="1:58" hidden="1" outlineLevel="1" x14ac:dyDescent="0.35">
      <c r="A1238" s="1071"/>
      <c r="B1238" s="106"/>
      <c r="C1238" s="103"/>
      <c r="D1238" s="4022"/>
      <c r="E1238" s="4022"/>
      <c r="F1238" s="3961" t="str">
        <f t="shared" si="240"/>
        <v>Mini/MultiSplitASHP-Replace_CAC_NonElectricHeat_ROF_SF</v>
      </c>
      <c r="G1238" s="3962"/>
      <c r="H1238" s="3963"/>
      <c r="I1238" s="2755" t="str">
        <f t="shared" si="241"/>
        <v>351451_2022_12_</v>
      </c>
      <c r="J1238" s="664">
        <v>18</v>
      </c>
      <c r="K1238" s="637"/>
      <c r="L1238" s="2757" t="s">
        <v>1083</v>
      </c>
      <c r="M1238" s="1304"/>
      <c r="N1238" s="1296"/>
      <c r="O1238" s="106"/>
      <c r="P1238" s="106"/>
      <c r="Q1238" s="106"/>
      <c r="R1238" s="106"/>
      <c r="S1238" s="106"/>
      <c r="T1238" s="106"/>
      <c r="U1238" s="106"/>
      <c r="V1238" s="4022"/>
      <c r="W1238" s="647"/>
      <c r="X1238" s="647"/>
      <c r="Y1238" s="647"/>
      <c r="Z1238" s="647"/>
      <c r="AA1238" s="647"/>
      <c r="AB1238" s="647"/>
      <c r="AC1238" s="647"/>
      <c r="AD1238" s="664">
        <v>18</v>
      </c>
      <c r="AE1238" s="636"/>
      <c r="AF1238" s="636"/>
      <c r="AG1238" s="638"/>
      <c r="AH1238" s="156"/>
      <c r="AI1238" s="156"/>
      <c r="AJ1238" s="156"/>
      <c r="AK1238" s="156"/>
      <c r="AL1238" s="156"/>
      <c r="AM1238" s="156"/>
      <c r="AN1238" s="156"/>
      <c r="AO1238" s="156"/>
      <c r="AP1238" s="156"/>
      <c r="AQ1238" s="156"/>
      <c r="AR1238" s="156"/>
      <c r="AS1238" s="156"/>
      <c r="AT1238" s="156"/>
      <c r="AU1238" s="156"/>
      <c r="AV1238" s="156"/>
      <c r="AW1238" s="156"/>
      <c r="AX1238" s="156"/>
      <c r="AY1238" s="156"/>
      <c r="AZ1238" s="156"/>
      <c r="BA1238" s="156"/>
      <c r="BB1238" s="2828"/>
      <c r="BC1238" s="452"/>
      <c r="BD1238" s="2829"/>
      <c r="BE1238" s="156"/>
      <c r="BF1238" s="156"/>
    </row>
    <row r="1239" spans="1:58" hidden="1" outlineLevel="1" x14ac:dyDescent="0.35">
      <c r="A1239" s="1071"/>
      <c r="B1239" s="106"/>
      <c r="C1239" s="103"/>
      <c r="D1239" s="4022"/>
      <c r="E1239" s="4022"/>
      <c r="F1239" s="3946" t="str">
        <f t="shared" si="240"/>
        <v>Mini/MultiSplitASHP-Replace_CAC_NonElectricHeat_ROF_SF</v>
      </c>
      <c r="G1239" s="3947"/>
      <c r="H1239" s="3948"/>
      <c r="I1239" s="2755" t="str">
        <f t="shared" si="241"/>
        <v>351451_2022_12_</v>
      </c>
      <c r="J1239" s="664">
        <v>18</v>
      </c>
      <c r="K1239" s="637"/>
      <c r="L1239" s="624"/>
      <c r="M1239" s="1304"/>
      <c r="N1239" s="1296"/>
      <c r="O1239" s="106"/>
      <c r="P1239" s="106"/>
      <c r="Q1239" s="106"/>
      <c r="R1239" s="106"/>
      <c r="S1239" s="106"/>
      <c r="T1239" s="106"/>
      <c r="U1239" s="106"/>
      <c r="V1239" s="4022"/>
      <c r="W1239" s="647"/>
      <c r="X1239" s="647"/>
      <c r="Y1239" s="647"/>
      <c r="Z1239" s="647"/>
      <c r="AA1239" s="647"/>
      <c r="AB1239" s="647"/>
      <c r="AC1239" s="647"/>
      <c r="AD1239" s="664">
        <v>18</v>
      </c>
      <c r="AE1239" s="636"/>
      <c r="AF1239" s="636"/>
      <c r="AG1239" s="638"/>
      <c r="AH1239" s="156"/>
      <c r="AI1239" s="156"/>
      <c r="AJ1239" s="156"/>
      <c r="AK1239" s="156"/>
      <c r="AL1239" s="156"/>
      <c r="AM1239" s="156"/>
      <c r="AN1239" s="156"/>
      <c r="AO1239" s="156"/>
      <c r="AP1239" s="156"/>
      <c r="AQ1239" s="156"/>
      <c r="AR1239" s="156"/>
      <c r="AS1239" s="156"/>
      <c r="AT1239" s="156"/>
      <c r="AU1239" s="156"/>
      <c r="AV1239" s="156"/>
      <c r="AW1239" s="156"/>
      <c r="AX1239" s="156"/>
      <c r="AY1239" s="156"/>
      <c r="AZ1239" s="156"/>
      <c r="BA1239" s="156"/>
      <c r="BB1239" s="2828"/>
      <c r="BC1239" s="452"/>
      <c r="BD1239" s="2829"/>
      <c r="BE1239" s="156"/>
      <c r="BF1239" s="156"/>
    </row>
    <row r="1240" spans="1:58" hidden="1" outlineLevel="1" x14ac:dyDescent="0.35">
      <c r="A1240" s="1071"/>
      <c r="B1240" s="106"/>
      <c r="C1240" s="103"/>
      <c r="D1240" s="4022"/>
      <c r="E1240" s="4022"/>
      <c r="F1240" s="3949" t="str">
        <f t="shared" si="240"/>
        <v>Mini/MultiSplitASHP_ER1_SF</v>
      </c>
      <c r="G1240" s="3950"/>
      <c r="H1240" s="3951"/>
      <c r="I1240" s="2672" t="str">
        <f t="shared" si="241"/>
        <v>351500_2021_12_</v>
      </c>
      <c r="J1240" s="647">
        <v>6</v>
      </c>
      <c r="K1240" s="637"/>
      <c r="L1240" s="624"/>
      <c r="M1240" s="1304"/>
      <c r="N1240" s="1296"/>
      <c r="O1240" s="106"/>
      <c r="P1240" s="106"/>
      <c r="Q1240" s="106"/>
      <c r="R1240" s="106"/>
      <c r="S1240" s="106"/>
      <c r="T1240" s="106"/>
      <c r="U1240" s="106"/>
      <c r="V1240" s="4022"/>
      <c r="W1240" s="647">
        <v>6</v>
      </c>
      <c r="X1240" s="647">
        <v>6</v>
      </c>
      <c r="Y1240" s="647">
        <v>6</v>
      </c>
      <c r="Z1240" s="647">
        <v>6</v>
      </c>
      <c r="AA1240" s="647">
        <v>6</v>
      </c>
      <c r="AB1240" s="647">
        <v>6</v>
      </c>
      <c r="AC1240" s="647">
        <v>6</v>
      </c>
      <c r="AD1240" s="647">
        <v>6</v>
      </c>
      <c r="AE1240" s="636"/>
      <c r="AF1240" s="636"/>
      <c r="AG1240" s="638"/>
      <c r="AH1240" s="156"/>
      <c r="AI1240" s="156"/>
      <c r="AJ1240" s="156"/>
      <c r="AK1240" s="156"/>
      <c r="AL1240" s="156"/>
      <c r="AM1240" s="156"/>
      <c r="AN1240" s="156"/>
      <c r="AO1240" s="156"/>
      <c r="AP1240" s="156"/>
      <c r="AQ1240" s="156"/>
      <c r="AR1240" s="156"/>
      <c r="AS1240" s="156"/>
      <c r="AT1240" s="156"/>
      <c r="AU1240" s="156"/>
      <c r="AV1240" s="156"/>
      <c r="AW1240" s="156"/>
      <c r="AX1240" s="156"/>
      <c r="AY1240" s="156"/>
      <c r="AZ1240" s="156"/>
      <c r="BA1240" s="156"/>
      <c r="BB1240" s="2828"/>
      <c r="BC1240" s="452"/>
      <c r="BD1240" s="2829"/>
      <c r="BE1240" s="156"/>
      <c r="BF1240" s="156"/>
    </row>
    <row r="1241" spans="1:58" hidden="1" outlineLevel="1" x14ac:dyDescent="0.35">
      <c r="A1241" s="1071"/>
      <c r="B1241" s="106"/>
      <c r="C1241" s="103"/>
      <c r="D1241" s="4022"/>
      <c r="E1241" s="4022"/>
      <c r="F1241" s="3952" t="str">
        <f t="shared" si="240"/>
        <v>Mini/MultiSplitASHP_ER1_SF</v>
      </c>
      <c r="G1241" s="3953"/>
      <c r="H1241" s="3954"/>
      <c r="I1241" s="2672" t="str">
        <f t="shared" si="241"/>
        <v>351500_2021_12_</v>
      </c>
      <c r="J1241" s="647">
        <v>6</v>
      </c>
      <c r="K1241" s="637"/>
      <c r="L1241" s="624"/>
      <c r="M1241" s="1304"/>
      <c r="N1241" s="1296"/>
      <c r="O1241" s="106"/>
      <c r="P1241" s="106"/>
      <c r="Q1241" s="106"/>
      <c r="R1241" s="106"/>
      <c r="S1241" s="106"/>
      <c r="T1241" s="106"/>
      <c r="U1241" s="106"/>
      <c r="V1241" s="4022"/>
      <c r="W1241" s="647">
        <v>6</v>
      </c>
      <c r="X1241" s="647">
        <v>6</v>
      </c>
      <c r="Y1241" s="647">
        <v>6</v>
      </c>
      <c r="Z1241" s="647">
        <v>6</v>
      </c>
      <c r="AA1241" s="647">
        <v>6</v>
      </c>
      <c r="AB1241" s="647">
        <v>6</v>
      </c>
      <c r="AC1241" s="647">
        <v>6</v>
      </c>
      <c r="AD1241" s="647">
        <v>6</v>
      </c>
      <c r="AE1241" s="636"/>
      <c r="AF1241" s="636"/>
      <c r="AG1241" s="638"/>
      <c r="AH1241" s="156"/>
      <c r="AI1241" s="156"/>
      <c r="AJ1241" s="156"/>
      <c r="AK1241" s="156"/>
      <c r="AL1241" s="156"/>
      <c r="AM1241" s="156"/>
      <c r="AN1241" s="156"/>
      <c r="AO1241" s="156"/>
      <c r="AP1241" s="156"/>
      <c r="AQ1241" s="156"/>
      <c r="AR1241" s="156"/>
      <c r="AS1241" s="156"/>
      <c r="AT1241" s="156"/>
      <c r="AU1241" s="156"/>
      <c r="AV1241" s="156"/>
      <c r="AW1241" s="156"/>
      <c r="AX1241" s="156"/>
      <c r="AY1241" s="156"/>
      <c r="AZ1241" s="156"/>
      <c r="BA1241" s="156"/>
      <c r="BB1241" s="2828"/>
      <c r="BC1241" s="452"/>
      <c r="BD1241" s="2829"/>
      <c r="BE1241" s="156"/>
      <c r="BF1241" s="156"/>
    </row>
    <row r="1242" spans="1:58" hidden="1" outlineLevel="1" x14ac:dyDescent="0.35">
      <c r="A1242" s="1071"/>
      <c r="B1242" s="106"/>
      <c r="C1242" s="103"/>
      <c r="D1242" s="4022"/>
      <c r="E1242" s="4022"/>
      <c r="F1242" s="3952" t="str">
        <f t="shared" si="240"/>
        <v>Mini/MultiSplitASHP_ER2_SF</v>
      </c>
      <c r="G1242" s="3953"/>
      <c r="H1242" s="3954"/>
      <c r="I1242" s="2672" t="str">
        <f t="shared" si="241"/>
        <v>351500_2021_12_</v>
      </c>
      <c r="J1242" s="647">
        <v>12</v>
      </c>
      <c r="K1242" s="637"/>
      <c r="L1242" s="624"/>
      <c r="M1242" s="1304"/>
      <c r="N1242" s="1296"/>
      <c r="O1242" s="106"/>
      <c r="P1242" s="106"/>
      <c r="Q1242" s="106"/>
      <c r="R1242" s="106"/>
      <c r="S1242" s="106"/>
      <c r="T1242" s="106"/>
      <c r="U1242" s="106"/>
      <c r="V1242" s="4022"/>
      <c r="W1242" s="647">
        <v>12</v>
      </c>
      <c r="X1242" s="647">
        <v>12</v>
      </c>
      <c r="Y1242" s="647">
        <v>12</v>
      </c>
      <c r="Z1242" s="647">
        <v>12</v>
      </c>
      <c r="AA1242" s="647">
        <v>12</v>
      </c>
      <c r="AB1242" s="647">
        <v>12</v>
      </c>
      <c r="AC1242" s="647">
        <v>12</v>
      </c>
      <c r="AD1242" s="647">
        <v>12</v>
      </c>
      <c r="AE1242" s="636"/>
      <c r="AF1242" s="636"/>
      <c r="AG1242" s="638"/>
      <c r="AH1242" s="156"/>
      <c r="AI1242" s="156"/>
      <c r="AJ1242" s="156"/>
      <c r="AK1242" s="156"/>
      <c r="AL1242" s="156"/>
      <c r="AM1242" s="156"/>
      <c r="AN1242" s="156"/>
      <c r="AO1242" s="156"/>
      <c r="AP1242" s="156"/>
      <c r="AQ1242" s="156"/>
      <c r="AR1242" s="156"/>
      <c r="AS1242" s="156"/>
      <c r="AT1242" s="156"/>
      <c r="AU1242" s="156"/>
      <c r="AV1242" s="156"/>
      <c r="AW1242" s="156"/>
      <c r="AX1242" s="156"/>
      <c r="AY1242" s="156"/>
      <c r="AZ1242" s="156"/>
      <c r="BA1242" s="156"/>
      <c r="BB1242" s="2828"/>
      <c r="BC1242" s="452"/>
      <c r="BD1242" s="2829"/>
      <c r="BE1242" s="156"/>
      <c r="BF1242" s="156"/>
    </row>
    <row r="1243" spans="1:58" hidden="1" outlineLevel="1" x14ac:dyDescent="0.35">
      <c r="A1243" s="1071"/>
      <c r="B1243" s="106"/>
      <c r="C1243" s="103"/>
      <c r="D1243" s="4022"/>
      <c r="E1243" s="4022"/>
      <c r="F1243" s="3955" t="str">
        <f t="shared" si="240"/>
        <v>Mini/MultiSplitASHP_ER2_SF</v>
      </c>
      <c r="G1243" s="3956"/>
      <c r="H1243" s="3957"/>
      <c r="I1243" s="2672" t="str">
        <f t="shared" si="241"/>
        <v>351500_2021_12_</v>
      </c>
      <c r="J1243" s="647">
        <v>12</v>
      </c>
      <c r="K1243" s="637"/>
      <c r="L1243" s="624"/>
      <c r="M1243" s="1304"/>
      <c r="N1243" s="1296"/>
      <c r="O1243" s="106"/>
      <c r="P1243" s="106"/>
      <c r="Q1243" s="106"/>
      <c r="R1243" s="106"/>
      <c r="S1243" s="106"/>
      <c r="T1243" s="106"/>
      <c r="U1243" s="106"/>
      <c r="V1243" s="4022"/>
      <c r="W1243" s="647">
        <v>12</v>
      </c>
      <c r="X1243" s="647">
        <v>12</v>
      </c>
      <c r="Y1243" s="647">
        <v>12</v>
      </c>
      <c r="Z1243" s="647">
        <v>12</v>
      </c>
      <c r="AA1243" s="647">
        <v>12</v>
      </c>
      <c r="AB1243" s="647">
        <v>12</v>
      </c>
      <c r="AC1243" s="647">
        <v>12</v>
      </c>
      <c r="AD1243" s="647">
        <v>12</v>
      </c>
      <c r="AE1243" s="636"/>
      <c r="AF1243" s="636"/>
      <c r="AG1243" s="638"/>
      <c r="AH1243" s="156"/>
      <c r="AI1243" s="156"/>
      <c r="AJ1243" s="156"/>
      <c r="AK1243" s="156"/>
      <c r="AL1243" s="156"/>
      <c r="AM1243" s="156"/>
      <c r="AN1243" s="156"/>
      <c r="AO1243" s="156"/>
      <c r="AP1243" s="156"/>
      <c r="AQ1243" s="156"/>
      <c r="AR1243" s="156"/>
      <c r="AS1243" s="156"/>
      <c r="AT1243" s="156"/>
      <c r="AU1243" s="156"/>
      <c r="AV1243" s="156"/>
      <c r="AW1243" s="156"/>
      <c r="AX1243" s="156"/>
      <c r="AY1243" s="156"/>
      <c r="AZ1243" s="156"/>
      <c r="BA1243" s="156"/>
      <c r="BB1243" s="2828"/>
      <c r="BC1243" s="452"/>
      <c r="BD1243" s="2829"/>
      <c r="BE1243" s="156"/>
      <c r="BF1243" s="156"/>
    </row>
    <row r="1244" spans="1:58" hidden="1" outlineLevel="1" x14ac:dyDescent="0.35">
      <c r="A1244" s="1071"/>
      <c r="B1244" s="106"/>
      <c r="C1244" s="103"/>
      <c r="D1244" s="4022"/>
      <c r="E1244" s="4022"/>
      <c r="F1244" s="3949" t="str">
        <f t="shared" si="240"/>
        <v>Mini/MultiSplitAC_ER1_MF</v>
      </c>
      <c r="G1244" s="3950"/>
      <c r="H1244" s="3951"/>
      <c r="I1244" s="2672" t="str">
        <f t="shared" si="241"/>
        <v>351550_2021_12_</v>
      </c>
      <c r="J1244" s="647">
        <v>6</v>
      </c>
      <c r="K1244" s="637"/>
      <c r="L1244" s="624"/>
      <c r="M1244" s="1304"/>
      <c r="N1244" s="1296"/>
      <c r="O1244" s="106"/>
      <c r="P1244" s="106"/>
      <c r="Q1244" s="106"/>
      <c r="R1244" s="106"/>
      <c r="S1244" s="106"/>
      <c r="T1244" s="106"/>
      <c r="U1244" s="106"/>
      <c r="V1244" s="4022"/>
      <c r="W1244" s="647">
        <v>6</v>
      </c>
      <c r="X1244" s="647">
        <v>6</v>
      </c>
      <c r="Y1244" s="647">
        <v>6</v>
      </c>
      <c r="Z1244" s="647">
        <v>6</v>
      </c>
      <c r="AA1244" s="647">
        <v>6</v>
      </c>
      <c r="AB1244" s="647">
        <v>6</v>
      </c>
      <c r="AC1244" s="647">
        <v>6</v>
      </c>
      <c r="AD1244" s="647">
        <v>6</v>
      </c>
      <c r="AE1244" s="636"/>
      <c r="AF1244" s="636"/>
      <c r="AG1244" s="638"/>
      <c r="AH1244" s="156"/>
      <c r="AI1244" s="156"/>
      <c r="AJ1244" s="156"/>
      <c r="AK1244" s="156"/>
      <c r="AL1244" s="156"/>
      <c r="AM1244" s="156"/>
      <c r="AN1244" s="156"/>
      <c r="AO1244" s="156"/>
      <c r="AP1244" s="156"/>
      <c r="AQ1244" s="156"/>
      <c r="AR1244" s="156"/>
      <c r="AS1244" s="156"/>
      <c r="AT1244" s="156"/>
      <c r="AU1244" s="156"/>
      <c r="AV1244" s="156"/>
      <c r="AW1244" s="156"/>
      <c r="AX1244" s="156"/>
      <c r="AY1244" s="156"/>
      <c r="AZ1244" s="156"/>
      <c r="BA1244" s="156"/>
      <c r="BB1244" s="2828"/>
      <c r="BC1244" s="452"/>
      <c r="BD1244" s="2829"/>
      <c r="BE1244" s="156"/>
      <c r="BF1244" s="156"/>
    </row>
    <row r="1245" spans="1:58" hidden="1" outlineLevel="1" x14ac:dyDescent="0.35">
      <c r="A1245" s="1071"/>
      <c r="B1245" s="106"/>
      <c r="C1245" s="103"/>
      <c r="D1245" s="4022"/>
      <c r="E1245" s="4022"/>
      <c r="F1245" s="3955" t="str">
        <f t="shared" si="240"/>
        <v>Mini/MultiSplitAC_ER2_MF</v>
      </c>
      <c r="G1245" s="3956"/>
      <c r="H1245" s="3957"/>
      <c r="I1245" s="2672" t="str">
        <f t="shared" si="241"/>
        <v>351550_2021_12_</v>
      </c>
      <c r="J1245" s="647">
        <v>12</v>
      </c>
      <c r="K1245" s="637"/>
      <c r="L1245" s="624"/>
      <c r="M1245" s="1304"/>
      <c r="N1245" s="1296"/>
      <c r="O1245" s="106"/>
      <c r="P1245" s="106"/>
      <c r="Q1245" s="106"/>
      <c r="R1245" s="106"/>
      <c r="S1245" s="106"/>
      <c r="T1245" s="106"/>
      <c r="U1245" s="106"/>
      <c r="V1245" s="4022"/>
      <c r="W1245" s="647">
        <v>12</v>
      </c>
      <c r="X1245" s="647">
        <v>12</v>
      </c>
      <c r="Y1245" s="647">
        <v>12</v>
      </c>
      <c r="Z1245" s="647">
        <v>12</v>
      </c>
      <c r="AA1245" s="647">
        <v>12</v>
      </c>
      <c r="AB1245" s="647">
        <v>12</v>
      </c>
      <c r="AC1245" s="647">
        <v>12</v>
      </c>
      <c r="AD1245" s="647">
        <v>12</v>
      </c>
      <c r="AE1245" s="636"/>
      <c r="AF1245" s="636"/>
      <c r="AG1245" s="638"/>
      <c r="AH1245" s="156"/>
      <c r="AI1245" s="156"/>
      <c r="AJ1245" s="156"/>
      <c r="AK1245" s="156"/>
      <c r="AL1245" s="156"/>
      <c r="AM1245" s="156"/>
      <c r="AN1245" s="156"/>
      <c r="AO1245" s="156"/>
      <c r="AP1245" s="156"/>
      <c r="AQ1245" s="156"/>
      <c r="AR1245" s="156"/>
      <c r="AS1245" s="156"/>
      <c r="AT1245" s="156"/>
      <c r="AU1245" s="156"/>
      <c r="AV1245" s="156"/>
      <c r="AW1245" s="156"/>
      <c r="AX1245" s="156"/>
      <c r="AY1245" s="156"/>
      <c r="AZ1245" s="156"/>
      <c r="BA1245" s="156"/>
      <c r="BB1245" s="2828"/>
      <c r="BC1245" s="452"/>
      <c r="BD1245" s="2829"/>
      <c r="BE1245" s="156"/>
      <c r="BF1245" s="156"/>
    </row>
    <row r="1246" spans="1:58" hidden="1" outlineLevel="1" x14ac:dyDescent="0.35">
      <c r="A1246" s="1071"/>
      <c r="B1246" s="106"/>
      <c r="C1246" s="103"/>
      <c r="D1246" s="4022"/>
      <c r="E1246" s="4022"/>
      <c r="F1246" s="3970" t="str">
        <f t="shared" si="240"/>
        <v>Mini/MultiSplitAC_ROF_MF</v>
      </c>
      <c r="G1246" s="3971"/>
      <c r="H1246" s="3972"/>
      <c r="I1246" s="2672" t="str">
        <f t="shared" si="241"/>
        <v>351600_2021_12_</v>
      </c>
      <c r="J1246" s="647">
        <v>18</v>
      </c>
      <c r="K1246" s="637"/>
      <c r="L1246" s="624"/>
      <c r="M1246" s="1304"/>
      <c r="N1246" s="1296"/>
      <c r="O1246" s="106"/>
      <c r="P1246" s="106"/>
      <c r="Q1246" s="106"/>
      <c r="R1246" s="106"/>
      <c r="S1246" s="106"/>
      <c r="T1246" s="106"/>
      <c r="U1246" s="106"/>
      <c r="V1246" s="4022"/>
      <c r="W1246" s="647">
        <v>18</v>
      </c>
      <c r="X1246" s="647">
        <v>18</v>
      </c>
      <c r="Y1246" s="647">
        <v>18</v>
      </c>
      <c r="Z1246" s="647">
        <v>18</v>
      </c>
      <c r="AA1246" s="647">
        <v>18</v>
      </c>
      <c r="AB1246" s="647">
        <v>18</v>
      </c>
      <c r="AC1246" s="647">
        <v>18</v>
      </c>
      <c r="AD1246" s="647">
        <v>18</v>
      </c>
      <c r="AE1246" s="636"/>
      <c r="AF1246" s="636"/>
      <c r="AG1246" s="638"/>
      <c r="AH1246" s="156"/>
      <c r="AI1246" s="156"/>
      <c r="AJ1246" s="156"/>
      <c r="AK1246" s="156"/>
      <c r="AL1246" s="156"/>
      <c r="AM1246" s="156"/>
      <c r="AN1246" s="156"/>
      <c r="AO1246" s="156"/>
      <c r="AP1246" s="156"/>
      <c r="AQ1246" s="156"/>
      <c r="AR1246" s="156"/>
      <c r="AS1246" s="156"/>
      <c r="AT1246" s="156"/>
      <c r="AU1246" s="156"/>
      <c r="AV1246" s="156"/>
      <c r="AW1246" s="156"/>
      <c r="AX1246" s="156"/>
      <c r="AY1246" s="156"/>
      <c r="AZ1246" s="156"/>
      <c r="BA1246" s="156"/>
      <c r="BB1246" s="2828"/>
      <c r="BC1246" s="452"/>
      <c r="BD1246" s="2829"/>
      <c r="BE1246" s="156"/>
      <c r="BF1246" s="156"/>
    </row>
    <row r="1247" spans="1:58" hidden="1" outlineLevel="1" x14ac:dyDescent="0.35">
      <c r="A1247" s="1071"/>
      <c r="B1247" s="106"/>
      <c r="C1247" s="103"/>
      <c r="D1247" s="4022"/>
      <c r="E1247" s="4022"/>
      <c r="F1247" s="3949" t="str">
        <f t="shared" si="240"/>
        <v>Mini/MultiSplitASHP_ROF_MF_NC</v>
      </c>
      <c r="G1247" s="3950"/>
      <c r="H1247" s="3951"/>
      <c r="I1247" s="2672" t="str">
        <f t="shared" si="241"/>
        <v>351650_2021_12_</v>
      </c>
      <c r="J1247" s="647">
        <v>18</v>
      </c>
      <c r="K1247" s="637"/>
      <c r="L1247" s="624"/>
      <c r="M1247" s="1304"/>
      <c r="N1247" s="1296"/>
      <c r="O1247" s="106"/>
      <c r="P1247" s="106"/>
      <c r="Q1247" s="106"/>
      <c r="R1247" s="106"/>
      <c r="S1247" s="106"/>
      <c r="T1247" s="106"/>
      <c r="U1247" s="106"/>
      <c r="V1247" s="4022"/>
      <c r="W1247" s="647">
        <v>18</v>
      </c>
      <c r="X1247" s="647">
        <v>18</v>
      </c>
      <c r="Y1247" s="647">
        <v>18</v>
      </c>
      <c r="Z1247" s="647">
        <v>18</v>
      </c>
      <c r="AA1247" s="647">
        <v>18</v>
      </c>
      <c r="AB1247" s="647">
        <v>18</v>
      </c>
      <c r="AC1247" s="647">
        <v>18</v>
      </c>
      <c r="AD1247" s="647">
        <v>18</v>
      </c>
      <c r="AE1247" s="636"/>
      <c r="AF1247" s="636"/>
      <c r="AG1247" s="638"/>
      <c r="AH1247" s="156"/>
      <c r="AI1247" s="156"/>
      <c r="AJ1247" s="156"/>
      <c r="AK1247" s="156"/>
      <c r="AL1247" s="156"/>
      <c r="AM1247" s="156"/>
      <c r="AN1247" s="156"/>
      <c r="AO1247" s="156"/>
      <c r="AP1247" s="156"/>
      <c r="AQ1247" s="156"/>
      <c r="AR1247" s="156"/>
      <c r="AS1247" s="156"/>
      <c r="AT1247" s="156"/>
      <c r="AU1247" s="156"/>
      <c r="AV1247" s="156"/>
      <c r="AW1247" s="156"/>
      <c r="AX1247" s="156"/>
      <c r="AY1247" s="156"/>
      <c r="AZ1247" s="156"/>
      <c r="BA1247" s="156"/>
      <c r="BB1247" s="2828"/>
      <c r="BC1247" s="452"/>
      <c r="BD1247" s="2829"/>
      <c r="BE1247" s="156"/>
      <c r="BF1247" s="156"/>
    </row>
    <row r="1248" spans="1:58" hidden="1" outlineLevel="1" x14ac:dyDescent="0.35">
      <c r="A1248" s="1071"/>
      <c r="B1248" s="106"/>
      <c r="C1248" s="103"/>
      <c r="D1248" s="4022"/>
      <c r="E1248" s="4022"/>
      <c r="F1248" s="3955" t="str">
        <f t="shared" si="240"/>
        <v>Mini/MultiSplitASHP_ROF_MF_NC</v>
      </c>
      <c r="G1248" s="3956"/>
      <c r="H1248" s="3957"/>
      <c r="I1248" s="2672" t="str">
        <f t="shared" si="241"/>
        <v>351650_2021_12_</v>
      </c>
      <c r="J1248" s="647">
        <v>18</v>
      </c>
      <c r="K1248" s="637"/>
      <c r="L1248" s="624"/>
      <c r="M1248" s="1304"/>
      <c r="N1248" s="1296"/>
      <c r="O1248" s="106"/>
      <c r="P1248" s="106"/>
      <c r="Q1248" s="106"/>
      <c r="R1248" s="106"/>
      <c r="S1248" s="106"/>
      <c r="T1248" s="106"/>
      <c r="U1248" s="106"/>
      <c r="V1248" s="4022"/>
      <c r="W1248" s="647">
        <v>18</v>
      </c>
      <c r="X1248" s="647">
        <v>18</v>
      </c>
      <c r="Y1248" s="647">
        <v>18</v>
      </c>
      <c r="Z1248" s="647">
        <v>18</v>
      </c>
      <c r="AA1248" s="647">
        <v>18</v>
      </c>
      <c r="AB1248" s="647">
        <v>18</v>
      </c>
      <c r="AC1248" s="647">
        <v>18</v>
      </c>
      <c r="AD1248" s="647">
        <v>18</v>
      </c>
      <c r="AE1248" s="636"/>
      <c r="AF1248" s="636"/>
      <c r="AG1248" s="638"/>
      <c r="AH1248" s="156"/>
      <c r="AI1248" s="156"/>
      <c r="AJ1248" s="156"/>
      <c r="AK1248" s="156"/>
      <c r="AL1248" s="156"/>
      <c r="AM1248" s="156"/>
      <c r="AN1248" s="156"/>
      <c r="AO1248" s="156"/>
      <c r="AP1248" s="156"/>
      <c r="AQ1248" s="156"/>
      <c r="AR1248" s="156"/>
      <c r="AS1248" s="156"/>
      <c r="AT1248" s="156"/>
      <c r="AU1248" s="156"/>
      <c r="AV1248" s="156"/>
      <c r="AW1248" s="156"/>
      <c r="AX1248" s="156"/>
      <c r="AY1248" s="156"/>
      <c r="AZ1248" s="156"/>
      <c r="BA1248" s="156"/>
      <c r="BB1248" s="2828"/>
      <c r="BC1248" s="452"/>
      <c r="BD1248" s="2829"/>
      <c r="BE1248" s="156"/>
      <c r="BF1248" s="156"/>
    </row>
    <row r="1249" spans="1:58" hidden="1" outlineLevel="1" x14ac:dyDescent="0.35">
      <c r="A1249" s="1071"/>
      <c r="B1249" s="106"/>
      <c r="C1249" s="103"/>
      <c r="D1249" s="4022"/>
      <c r="E1249" s="4022"/>
      <c r="F1249" s="3949" t="str">
        <f t="shared" si="240"/>
        <v>Mini/MultiSplitASHP_ROF_MF</v>
      </c>
      <c r="G1249" s="3950"/>
      <c r="H1249" s="3951"/>
      <c r="I1249" s="2672" t="str">
        <f t="shared" si="241"/>
        <v>351700_2021_12_</v>
      </c>
      <c r="J1249" s="647">
        <v>18</v>
      </c>
      <c r="K1249" s="637"/>
      <c r="L1249" s="624"/>
      <c r="M1249" s="1304"/>
      <c r="N1249" s="1296"/>
      <c r="O1249" s="106"/>
      <c r="P1249" s="106"/>
      <c r="Q1249" s="106"/>
      <c r="R1249" s="106"/>
      <c r="S1249" s="106"/>
      <c r="T1249" s="106"/>
      <c r="U1249" s="106"/>
      <c r="V1249" s="4022"/>
      <c r="W1249" s="647">
        <v>18</v>
      </c>
      <c r="X1249" s="647">
        <v>18</v>
      </c>
      <c r="Y1249" s="647">
        <v>18</v>
      </c>
      <c r="Z1249" s="647">
        <v>18</v>
      </c>
      <c r="AA1249" s="647">
        <v>18</v>
      </c>
      <c r="AB1249" s="647">
        <v>18</v>
      </c>
      <c r="AC1249" s="647">
        <v>18</v>
      </c>
      <c r="AD1249" s="647">
        <v>18</v>
      </c>
      <c r="AE1249" s="636"/>
      <c r="AF1249" s="636"/>
      <c r="AG1249" s="638"/>
      <c r="AH1249" s="156"/>
      <c r="AI1249" s="156"/>
      <c r="AJ1249" s="156"/>
      <c r="AK1249" s="156"/>
      <c r="AL1249" s="156"/>
      <c r="AM1249" s="156"/>
      <c r="AN1249" s="156"/>
      <c r="AO1249" s="156"/>
      <c r="AP1249" s="156"/>
      <c r="AQ1249" s="156"/>
      <c r="AR1249" s="156"/>
      <c r="AS1249" s="156"/>
      <c r="AT1249" s="156"/>
      <c r="AU1249" s="156"/>
      <c r="AV1249" s="156"/>
      <c r="AW1249" s="156"/>
      <c r="AX1249" s="156"/>
      <c r="AY1249" s="156"/>
      <c r="AZ1249" s="156"/>
      <c r="BA1249" s="156"/>
      <c r="BB1249" s="2828"/>
      <c r="BC1249" s="452"/>
      <c r="BD1249" s="2829"/>
      <c r="BE1249" s="156"/>
      <c r="BF1249" s="156"/>
    </row>
    <row r="1250" spans="1:58" hidden="1" outlineLevel="1" x14ac:dyDescent="0.35">
      <c r="A1250" s="1071"/>
      <c r="B1250" s="106"/>
      <c r="C1250" s="103"/>
      <c r="D1250" s="4022"/>
      <c r="E1250" s="4022"/>
      <c r="F1250" s="3955" t="str">
        <f t="shared" si="240"/>
        <v>Mini/MultiSplitASHP_ROF_MF</v>
      </c>
      <c r="G1250" s="3956"/>
      <c r="H1250" s="3957"/>
      <c r="I1250" s="2672" t="str">
        <f t="shared" si="241"/>
        <v>351700_2021_12_</v>
      </c>
      <c r="J1250" s="647">
        <v>18</v>
      </c>
      <c r="K1250" s="637"/>
      <c r="L1250" s="624"/>
      <c r="M1250" s="1304"/>
      <c r="N1250" s="1296"/>
      <c r="O1250" s="106"/>
      <c r="P1250" s="106"/>
      <c r="Q1250" s="106"/>
      <c r="R1250" s="106"/>
      <c r="S1250" s="106"/>
      <c r="T1250" s="106"/>
      <c r="U1250" s="106"/>
      <c r="V1250" s="4022"/>
      <c r="W1250" s="647">
        <v>18</v>
      </c>
      <c r="X1250" s="647">
        <v>18</v>
      </c>
      <c r="Y1250" s="647">
        <v>18</v>
      </c>
      <c r="Z1250" s="647">
        <v>18</v>
      </c>
      <c r="AA1250" s="647">
        <v>18</v>
      </c>
      <c r="AB1250" s="647">
        <v>18</v>
      </c>
      <c r="AC1250" s="647">
        <v>18</v>
      </c>
      <c r="AD1250" s="647">
        <v>18</v>
      </c>
      <c r="AE1250" s="636"/>
      <c r="AF1250" s="636"/>
      <c r="AG1250" s="638"/>
      <c r="AH1250" s="156"/>
      <c r="AI1250" s="156"/>
      <c r="AJ1250" s="156"/>
      <c r="AK1250" s="156"/>
      <c r="AL1250" s="156"/>
      <c r="AM1250" s="156"/>
      <c r="AN1250" s="156"/>
      <c r="AO1250" s="156"/>
      <c r="AP1250" s="156"/>
      <c r="AQ1250" s="156"/>
      <c r="AR1250" s="156"/>
      <c r="AS1250" s="156"/>
      <c r="AT1250" s="156"/>
      <c r="AU1250" s="156"/>
      <c r="AV1250" s="156"/>
      <c r="AW1250" s="156"/>
      <c r="AX1250" s="156"/>
      <c r="AY1250" s="156"/>
      <c r="AZ1250" s="156"/>
      <c r="BA1250" s="156"/>
      <c r="BB1250" s="2828"/>
      <c r="BC1250" s="452"/>
      <c r="BD1250" s="2829"/>
      <c r="BE1250" s="156"/>
      <c r="BF1250" s="156"/>
    </row>
    <row r="1251" spans="1:58" hidden="1" outlineLevel="1" x14ac:dyDescent="0.35">
      <c r="A1251" s="1071"/>
      <c r="B1251" s="106"/>
      <c r="C1251" s="103"/>
      <c r="D1251" s="4022"/>
      <c r="E1251" s="4022"/>
      <c r="F1251" s="3949" t="str">
        <f t="shared" si="240"/>
        <v>Mini/MultiSplitASHP-Replace_CAC_ElectricHeat_ER1_MF</v>
      </c>
      <c r="G1251" s="3950"/>
      <c r="H1251" s="3951"/>
      <c r="I1251" s="2672" t="str">
        <f t="shared" si="241"/>
        <v>351750_2021_12_</v>
      </c>
      <c r="J1251" s="647">
        <v>6</v>
      </c>
      <c r="K1251" s="637"/>
      <c r="L1251" s="624"/>
      <c r="M1251" s="1304"/>
      <c r="N1251" s="1296"/>
      <c r="O1251" s="106"/>
      <c r="P1251" s="106"/>
      <c r="Q1251" s="106"/>
      <c r="R1251" s="106"/>
      <c r="S1251" s="106"/>
      <c r="T1251" s="106"/>
      <c r="U1251" s="106"/>
      <c r="V1251" s="4022"/>
      <c r="W1251" s="647">
        <v>6</v>
      </c>
      <c r="X1251" s="647">
        <v>6</v>
      </c>
      <c r="Y1251" s="647">
        <v>6</v>
      </c>
      <c r="Z1251" s="647">
        <v>6</v>
      </c>
      <c r="AA1251" s="647">
        <v>6</v>
      </c>
      <c r="AB1251" s="647">
        <v>6</v>
      </c>
      <c r="AC1251" s="647">
        <v>6</v>
      </c>
      <c r="AD1251" s="647">
        <v>6</v>
      </c>
      <c r="AE1251" s="636"/>
      <c r="AF1251" s="636"/>
      <c r="AG1251" s="638"/>
      <c r="AH1251" s="156"/>
      <c r="AI1251" s="156"/>
      <c r="AJ1251" s="156"/>
      <c r="AK1251" s="156"/>
      <c r="AL1251" s="156"/>
      <c r="AM1251" s="156"/>
      <c r="AN1251" s="156"/>
      <c r="AO1251" s="156"/>
      <c r="AP1251" s="156"/>
      <c r="AQ1251" s="156"/>
      <c r="AR1251" s="156"/>
      <c r="AS1251" s="156"/>
      <c r="AT1251" s="156"/>
      <c r="AU1251" s="156"/>
      <c r="AV1251" s="156"/>
      <c r="AW1251" s="156"/>
      <c r="AX1251" s="156"/>
      <c r="AY1251" s="156"/>
      <c r="AZ1251" s="156"/>
      <c r="BA1251" s="156"/>
      <c r="BB1251" s="2828"/>
      <c r="BC1251" s="452"/>
      <c r="BD1251" s="2829"/>
      <c r="BE1251" s="156"/>
      <c r="BF1251" s="156"/>
    </row>
    <row r="1252" spans="1:58" hidden="1" outlineLevel="1" x14ac:dyDescent="0.35">
      <c r="A1252" s="1071"/>
      <c r="B1252" s="106"/>
      <c r="C1252" s="103"/>
      <c r="D1252" s="4022"/>
      <c r="E1252" s="4022"/>
      <c r="F1252" s="3952" t="str">
        <f t="shared" si="240"/>
        <v>Mini/MultiSplitASHP-Replace_CAC_ElectricHeat_ER1_MF</v>
      </c>
      <c r="G1252" s="3953"/>
      <c r="H1252" s="3954"/>
      <c r="I1252" s="2672" t="str">
        <f t="shared" si="241"/>
        <v>351750_2021_12_</v>
      </c>
      <c r="J1252" s="647">
        <v>6</v>
      </c>
      <c r="K1252" s="637"/>
      <c r="L1252" s="624"/>
      <c r="M1252" s="1304"/>
      <c r="N1252" s="1296"/>
      <c r="O1252" s="106"/>
      <c r="P1252" s="106"/>
      <c r="Q1252" s="106"/>
      <c r="R1252" s="106"/>
      <c r="S1252" s="106"/>
      <c r="T1252" s="106"/>
      <c r="U1252" s="106"/>
      <c r="V1252" s="4022"/>
      <c r="W1252" s="647">
        <v>6</v>
      </c>
      <c r="X1252" s="647">
        <v>6</v>
      </c>
      <c r="Y1252" s="647">
        <v>6</v>
      </c>
      <c r="Z1252" s="647">
        <v>6</v>
      </c>
      <c r="AA1252" s="647">
        <v>6</v>
      </c>
      <c r="AB1252" s="647">
        <v>6</v>
      </c>
      <c r="AC1252" s="647">
        <v>6</v>
      </c>
      <c r="AD1252" s="647">
        <v>6</v>
      </c>
      <c r="AE1252" s="636"/>
      <c r="AF1252" s="636"/>
      <c r="AG1252" s="638"/>
      <c r="AH1252" s="156"/>
      <c r="AI1252" s="156"/>
      <c r="AJ1252" s="156"/>
      <c r="AK1252" s="156"/>
      <c r="AL1252" s="156"/>
      <c r="AM1252" s="156"/>
      <c r="AN1252" s="156"/>
      <c r="AO1252" s="156"/>
      <c r="AP1252" s="156"/>
      <c r="AQ1252" s="156"/>
      <c r="AR1252" s="156"/>
      <c r="AS1252" s="156"/>
      <c r="AT1252" s="156"/>
      <c r="AU1252" s="156"/>
      <c r="AV1252" s="156"/>
      <c r="AW1252" s="156"/>
      <c r="AX1252" s="156"/>
      <c r="AY1252" s="156"/>
      <c r="AZ1252" s="156"/>
      <c r="BA1252" s="156"/>
      <c r="BB1252" s="2828"/>
      <c r="BC1252" s="452"/>
      <c r="BD1252" s="2829"/>
      <c r="BE1252" s="156"/>
      <c r="BF1252" s="156"/>
    </row>
    <row r="1253" spans="1:58" hidden="1" outlineLevel="1" x14ac:dyDescent="0.35">
      <c r="A1253" s="1071"/>
      <c r="B1253" s="106"/>
      <c r="C1253" s="103"/>
      <c r="D1253" s="4022"/>
      <c r="E1253" s="4022"/>
      <c r="F1253" s="3952" t="str">
        <f t="shared" si="240"/>
        <v>Mini/MultiSplitASHP-Replace_CAC_ElectricHeat_ER2_MF</v>
      </c>
      <c r="G1253" s="3953"/>
      <c r="H1253" s="3954"/>
      <c r="I1253" s="2672" t="str">
        <f t="shared" si="241"/>
        <v>351750_2021_12_</v>
      </c>
      <c r="J1253" s="647">
        <v>12</v>
      </c>
      <c r="K1253" s="637"/>
      <c r="L1253" s="624"/>
      <c r="M1253" s="1304"/>
      <c r="N1253" s="1296"/>
      <c r="O1253" s="106"/>
      <c r="P1253" s="106"/>
      <c r="Q1253" s="106"/>
      <c r="R1253" s="106"/>
      <c r="S1253" s="106"/>
      <c r="T1253" s="106"/>
      <c r="U1253" s="106"/>
      <c r="V1253" s="4022"/>
      <c r="W1253" s="647">
        <v>12</v>
      </c>
      <c r="X1253" s="647">
        <v>12</v>
      </c>
      <c r="Y1253" s="647">
        <v>12</v>
      </c>
      <c r="Z1253" s="647">
        <v>12</v>
      </c>
      <c r="AA1253" s="647">
        <v>12</v>
      </c>
      <c r="AB1253" s="647">
        <v>12</v>
      </c>
      <c r="AC1253" s="647">
        <v>12</v>
      </c>
      <c r="AD1253" s="647">
        <v>12</v>
      </c>
      <c r="AE1253" s="636"/>
      <c r="AF1253" s="636"/>
      <c r="AG1253" s="638"/>
      <c r="AH1253" s="156"/>
      <c r="AI1253" s="156"/>
      <c r="AJ1253" s="156"/>
      <c r="AK1253" s="156"/>
      <c r="AL1253" s="156"/>
      <c r="AM1253" s="156"/>
      <c r="AN1253" s="156"/>
      <c r="AO1253" s="156"/>
      <c r="AP1253" s="156"/>
      <c r="AQ1253" s="156"/>
      <c r="AR1253" s="156"/>
      <c r="AS1253" s="156"/>
      <c r="AT1253" s="156"/>
      <c r="AU1253" s="156"/>
      <c r="AV1253" s="156"/>
      <c r="AW1253" s="156"/>
      <c r="AX1253" s="156"/>
      <c r="AY1253" s="156"/>
      <c r="AZ1253" s="156"/>
      <c r="BA1253" s="156"/>
      <c r="BB1253" s="2828"/>
      <c r="BC1253" s="452"/>
      <c r="BD1253" s="2829"/>
      <c r="BE1253" s="156"/>
      <c r="BF1253" s="156"/>
    </row>
    <row r="1254" spans="1:58" hidden="1" outlineLevel="1" x14ac:dyDescent="0.35">
      <c r="A1254" s="1071"/>
      <c r="B1254" s="106"/>
      <c r="C1254" s="103"/>
      <c r="D1254" s="4022"/>
      <c r="E1254" s="4022"/>
      <c r="F1254" s="3955" t="str">
        <f t="shared" si="240"/>
        <v>Mini/MultiSplitASHP-Replace_CAC_ElectricHeat_ER2_MF</v>
      </c>
      <c r="G1254" s="3956"/>
      <c r="H1254" s="3957"/>
      <c r="I1254" s="2672" t="str">
        <f t="shared" si="241"/>
        <v>351750_2021_12_</v>
      </c>
      <c r="J1254" s="647">
        <v>12</v>
      </c>
      <c r="K1254" s="637"/>
      <c r="L1254" s="624"/>
      <c r="M1254" s="1304"/>
      <c r="N1254" s="1296"/>
      <c r="O1254" s="106"/>
      <c r="P1254" s="106"/>
      <c r="Q1254" s="106"/>
      <c r="R1254" s="106"/>
      <c r="S1254" s="106"/>
      <c r="T1254" s="106"/>
      <c r="U1254" s="106"/>
      <c r="V1254" s="4022"/>
      <c r="W1254" s="647">
        <v>12</v>
      </c>
      <c r="X1254" s="647">
        <v>12</v>
      </c>
      <c r="Y1254" s="647">
        <v>12</v>
      </c>
      <c r="Z1254" s="647">
        <v>12</v>
      </c>
      <c r="AA1254" s="647">
        <v>12</v>
      </c>
      <c r="AB1254" s="647">
        <v>12</v>
      </c>
      <c r="AC1254" s="647">
        <v>12</v>
      </c>
      <c r="AD1254" s="647">
        <v>12</v>
      </c>
      <c r="AE1254" s="636"/>
      <c r="AF1254" s="636"/>
      <c r="AG1254" s="638"/>
      <c r="AH1254" s="156"/>
      <c r="AI1254" s="156"/>
      <c r="AJ1254" s="156"/>
      <c r="AK1254" s="156"/>
      <c r="AL1254" s="156"/>
      <c r="AM1254" s="156"/>
      <c r="AN1254" s="156"/>
      <c r="AO1254" s="156"/>
      <c r="AP1254" s="156"/>
      <c r="AQ1254" s="156"/>
      <c r="AR1254" s="156"/>
      <c r="AS1254" s="156"/>
      <c r="AT1254" s="156"/>
      <c r="AU1254" s="156"/>
      <c r="AV1254" s="156"/>
      <c r="AW1254" s="156"/>
      <c r="AX1254" s="156"/>
      <c r="AY1254" s="156"/>
      <c r="AZ1254" s="156"/>
      <c r="BA1254" s="156"/>
      <c r="BB1254" s="2828"/>
      <c r="BC1254" s="452"/>
      <c r="BD1254" s="2829"/>
      <c r="BE1254" s="156"/>
      <c r="BF1254" s="156"/>
    </row>
    <row r="1255" spans="1:58" hidden="1" outlineLevel="1" x14ac:dyDescent="0.35">
      <c r="A1255" s="1071"/>
      <c r="B1255" s="106"/>
      <c r="C1255" s="103"/>
      <c r="D1255" s="4022"/>
      <c r="E1255" s="4022"/>
      <c r="F1255" s="3961" t="str">
        <f t="shared" si="240"/>
        <v>Mini/MultiSplitASHP-Replace_CAC_NonElectricHeat_ER1_MF</v>
      </c>
      <c r="G1255" s="3962"/>
      <c r="H1255" s="3963"/>
      <c r="I1255" s="2755" t="str">
        <f t="shared" si="241"/>
        <v>351752_2022_12_</v>
      </c>
      <c r="J1255" s="664">
        <v>6</v>
      </c>
      <c r="K1255" s="637"/>
      <c r="L1255" s="2757" t="s">
        <v>1083</v>
      </c>
      <c r="M1255" s="1304"/>
      <c r="N1255" s="1296"/>
      <c r="O1255" s="106"/>
      <c r="P1255" s="106"/>
      <c r="Q1255" s="106"/>
      <c r="R1255" s="106"/>
      <c r="S1255" s="106"/>
      <c r="T1255" s="106"/>
      <c r="U1255" s="106"/>
      <c r="V1255" s="4022"/>
      <c r="W1255" s="647"/>
      <c r="X1255" s="647"/>
      <c r="Y1255" s="647"/>
      <c r="Z1255" s="647"/>
      <c r="AA1255" s="647"/>
      <c r="AB1255" s="647"/>
      <c r="AC1255" s="647"/>
      <c r="AD1255" s="664">
        <v>6</v>
      </c>
      <c r="AE1255" s="636"/>
      <c r="AF1255" s="636"/>
      <c r="AG1255" s="638"/>
      <c r="AH1255" s="156"/>
      <c r="AI1255" s="156"/>
      <c r="AJ1255" s="156"/>
      <c r="AK1255" s="156"/>
      <c r="AL1255" s="156"/>
      <c r="AM1255" s="156"/>
      <c r="AN1255" s="156"/>
      <c r="AO1255" s="156"/>
      <c r="AP1255" s="156"/>
      <c r="AQ1255" s="156"/>
      <c r="AR1255" s="156"/>
      <c r="AS1255" s="156"/>
      <c r="AT1255" s="156"/>
      <c r="AU1255" s="156"/>
      <c r="AV1255" s="156"/>
      <c r="AW1255" s="156"/>
      <c r="AX1255" s="156"/>
      <c r="AY1255" s="156"/>
      <c r="AZ1255" s="156"/>
      <c r="BA1255" s="156"/>
      <c r="BB1255" s="2828"/>
      <c r="BC1255" s="452"/>
      <c r="BD1255" s="2829"/>
      <c r="BE1255" s="156"/>
      <c r="BF1255" s="156"/>
    </row>
    <row r="1256" spans="1:58" hidden="1" outlineLevel="1" x14ac:dyDescent="0.35">
      <c r="A1256" s="1071"/>
      <c r="B1256" s="106"/>
      <c r="C1256" s="103"/>
      <c r="D1256" s="4022"/>
      <c r="E1256" s="4022"/>
      <c r="F1256" s="3964" t="str">
        <f t="shared" si="240"/>
        <v>Mini/MultiSplitASHP-Replace_CAC_NonElectricHeat_ER1_MF</v>
      </c>
      <c r="G1256" s="3965"/>
      <c r="H1256" s="3966"/>
      <c r="I1256" s="2755" t="str">
        <f t="shared" si="241"/>
        <v>351752_2022_12_</v>
      </c>
      <c r="J1256" s="664">
        <v>6</v>
      </c>
      <c r="K1256" s="637"/>
      <c r="L1256" s="2757" t="s">
        <v>1083</v>
      </c>
      <c r="M1256" s="1304"/>
      <c r="N1256" s="1296"/>
      <c r="O1256" s="106"/>
      <c r="P1256" s="106"/>
      <c r="Q1256" s="106"/>
      <c r="R1256" s="106"/>
      <c r="S1256" s="106"/>
      <c r="T1256" s="106"/>
      <c r="U1256" s="106"/>
      <c r="V1256" s="4022"/>
      <c r="W1256" s="647"/>
      <c r="X1256" s="647"/>
      <c r="Y1256" s="647"/>
      <c r="Z1256" s="647"/>
      <c r="AA1256" s="647"/>
      <c r="AB1256" s="647"/>
      <c r="AC1256" s="647"/>
      <c r="AD1256" s="664">
        <v>6</v>
      </c>
      <c r="AE1256" s="636"/>
      <c r="AF1256" s="636"/>
      <c r="AG1256" s="638"/>
      <c r="AH1256" s="156"/>
      <c r="AI1256" s="156"/>
      <c r="AJ1256" s="156"/>
      <c r="AK1256" s="156"/>
      <c r="AL1256" s="156"/>
      <c r="AM1256" s="156"/>
      <c r="AN1256" s="156"/>
      <c r="AO1256" s="156"/>
      <c r="AP1256" s="156"/>
      <c r="AQ1256" s="156"/>
      <c r="AR1256" s="156"/>
      <c r="AS1256" s="156"/>
      <c r="AT1256" s="156"/>
      <c r="AU1256" s="156"/>
      <c r="AV1256" s="156"/>
      <c r="AW1256" s="156"/>
      <c r="AX1256" s="156"/>
      <c r="AY1256" s="156"/>
      <c r="AZ1256" s="156"/>
      <c r="BA1256" s="156"/>
      <c r="BB1256" s="2828"/>
      <c r="BC1256" s="452"/>
      <c r="BD1256" s="2829"/>
      <c r="BE1256" s="156"/>
      <c r="BF1256" s="156"/>
    </row>
    <row r="1257" spans="1:58" hidden="1" outlineLevel="1" x14ac:dyDescent="0.35">
      <c r="A1257" s="1071"/>
      <c r="B1257" s="106"/>
      <c r="C1257" s="103"/>
      <c r="D1257" s="4022"/>
      <c r="E1257" s="4022"/>
      <c r="F1257" s="3964" t="str">
        <f t="shared" si="240"/>
        <v>Mini/MultiSplitASHP-Replace_CAC_NonElectricHeat_ER2_MF</v>
      </c>
      <c r="G1257" s="3965"/>
      <c r="H1257" s="3966"/>
      <c r="I1257" s="2755" t="str">
        <f t="shared" si="241"/>
        <v>351752_2022_12_</v>
      </c>
      <c r="J1257" s="664">
        <v>12</v>
      </c>
      <c r="K1257" s="637"/>
      <c r="L1257" s="2757" t="s">
        <v>1083</v>
      </c>
      <c r="M1257" s="1304"/>
      <c r="N1257" s="1296"/>
      <c r="O1257" s="106"/>
      <c r="P1257" s="106"/>
      <c r="Q1257" s="106"/>
      <c r="R1257" s="106"/>
      <c r="S1257" s="106"/>
      <c r="T1257" s="106"/>
      <c r="U1257" s="106"/>
      <c r="V1257" s="4022"/>
      <c r="W1257" s="647"/>
      <c r="X1257" s="647"/>
      <c r="Y1257" s="647"/>
      <c r="Z1257" s="647"/>
      <c r="AA1257" s="647"/>
      <c r="AB1257" s="647"/>
      <c r="AC1257" s="647"/>
      <c r="AD1257" s="664">
        <v>12</v>
      </c>
      <c r="AE1257" s="636"/>
      <c r="AF1257" s="636"/>
      <c r="AG1257" s="638"/>
      <c r="AH1257" s="156"/>
      <c r="AI1257" s="156"/>
      <c r="AJ1257" s="156"/>
      <c r="AK1257" s="156"/>
      <c r="AL1257" s="156"/>
      <c r="AM1257" s="156"/>
      <c r="AN1257" s="156"/>
      <c r="AO1257" s="156"/>
      <c r="AP1257" s="156"/>
      <c r="AQ1257" s="156"/>
      <c r="AR1257" s="156"/>
      <c r="AS1257" s="156"/>
      <c r="AT1257" s="156"/>
      <c r="AU1257" s="156"/>
      <c r="AV1257" s="156"/>
      <c r="AW1257" s="156"/>
      <c r="AX1257" s="156"/>
      <c r="AY1257" s="156"/>
      <c r="AZ1257" s="156"/>
      <c r="BA1257" s="156"/>
      <c r="BB1257" s="2828"/>
      <c r="BC1257" s="452"/>
      <c r="BD1257" s="2829"/>
      <c r="BE1257" s="156"/>
      <c r="BF1257" s="156"/>
    </row>
    <row r="1258" spans="1:58" hidden="1" outlineLevel="1" x14ac:dyDescent="0.35">
      <c r="A1258" s="1071"/>
      <c r="B1258" s="106"/>
      <c r="C1258" s="103"/>
      <c r="D1258" s="4022"/>
      <c r="E1258" s="4022"/>
      <c r="F1258" s="3946" t="str">
        <f t="shared" si="240"/>
        <v>Mini/MultiSplitASHP-Replace_CAC_NonElectricHeat_ER2_MF</v>
      </c>
      <c r="G1258" s="3947"/>
      <c r="H1258" s="3948"/>
      <c r="I1258" s="2755" t="str">
        <f t="shared" si="241"/>
        <v>351752_2022_12_</v>
      </c>
      <c r="J1258" s="664">
        <v>12</v>
      </c>
      <c r="K1258" s="637"/>
      <c r="L1258" s="2757" t="s">
        <v>1083</v>
      </c>
      <c r="M1258" s="1304"/>
      <c r="N1258" s="1296"/>
      <c r="O1258" s="106"/>
      <c r="P1258" s="106"/>
      <c r="Q1258" s="106"/>
      <c r="R1258" s="106"/>
      <c r="S1258" s="106"/>
      <c r="T1258" s="106"/>
      <c r="U1258" s="106"/>
      <c r="V1258" s="4022"/>
      <c r="W1258" s="647"/>
      <c r="X1258" s="647"/>
      <c r="Y1258" s="647"/>
      <c r="Z1258" s="647"/>
      <c r="AA1258" s="647"/>
      <c r="AB1258" s="647"/>
      <c r="AC1258" s="647"/>
      <c r="AD1258" s="664">
        <v>12</v>
      </c>
      <c r="AE1258" s="636"/>
      <c r="AF1258" s="636"/>
      <c r="AG1258" s="638"/>
      <c r="AH1258" s="156"/>
      <c r="AI1258" s="156"/>
      <c r="AJ1258" s="156"/>
      <c r="AK1258" s="156"/>
      <c r="AL1258" s="156"/>
      <c r="AM1258" s="156"/>
      <c r="AN1258" s="156"/>
      <c r="AO1258" s="156"/>
      <c r="AP1258" s="156"/>
      <c r="AQ1258" s="156"/>
      <c r="AR1258" s="156"/>
      <c r="AS1258" s="156"/>
      <c r="AT1258" s="156"/>
      <c r="AU1258" s="156"/>
      <c r="AV1258" s="156"/>
      <c r="AW1258" s="156"/>
      <c r="AX1258" s="156"/>
      <c r="AY1258" s="156"/>
      <c r="AZ1258" s="156"/>
      <c r="BA1258" s="156"/>
      <c r="BB1258" s="2828"/>
      <c r="BC1258" s="452"/>
      <c r="BD1258" s="2829"/>
      <c r="BE1258" s="156"/>
      <c r="BF1258" s="156"/>
    </row>
    <row r="1259" spans="1:58" hidden="1" outlineLevel="1" x14ac:dyDescent="0.35">
      <c r="A1259" s="1071"/>
      <c r="B1259" s="106"/>
      <c r="C1259" s="103"/>
      <c r="D1259" s="4022"/>
      <c r="E1259" s="4022"/>
      <c r="F1259" s="3949" t="str">
        <f t="shared" si="240"/>
        <v>Mini/MultiSplitASHP-Replace_CAC_ElectricHeat_ROF_MF</v>
      </c>
      <c r="G1259" s="3950"/>
      <c r="H1259" s="3951"/>
      <c r="I1259" s="2672" t="str">
        <f t="shared" si="241"/>
        <v>351800_2021_12_</v>
      </c>
      <c r="J1259" s="647">
        <v>18</v>
      </c>
      <c r="K1259" s="637"/>
      <c r="L1259" s="624"/>
      <c r="M1259" s="1304"/>
      <c r="N1259" s="1296"/>
      <c r="O1259" s="106"/>
      <c r="P1259" s="106"/>
      <c r="Q1259" s="106"/>
      <c r="R1259" s="106"/>
      <c r="S1259" s="106"/>
      <c r="T1259" s="106"/>
      <c r="U1259" s="106"/>
      <c r="V1259" s="4022"/>
      <c r="W1259" s="647">
        <v>18</v>
      </c>
      <c r="X1259" s="647">
        <v>18</v>
      </c>
      <c r="Y1259" s="647">
        <v>18</v>
      </c>
      <c r="Z1259" s="647">
        <v>18</v>
      </c>
      <c r="AA1259" s="647">
        <v>18</v>
      </c>
      <c r="AB1259" s="647">
        <v>18</v>
      </c>
      <c r="AC1259" s="647">
        <v>18</v>
      </c>
      <c r="AD1259" s="647">
        <v>18</v>
      </c>
      <c r="AE1259" s="636"/>
      <c r="AF1259" s="636"/>
      <c r="AG1259" s="638"/>
      <c r="AH1259" s="156"/>
      <c r="AI1259" s="156"/>
      <c r="AJ1259" s="156"/>
      <c r="AK1259" s="156"/>
      <c r="AL1259" s="156"/>
      <c r="AM1259" s="156"/>
      <c r="AN1259" s="156"/>
      <c r="AO1259" s="156"/>
      <c r="AP1259" s="156"/>
      <c r="AQ1259" s="156"/>
      <c r="AR1259" s="156"/>
      <c r="AS1259" s="156"/>
      <c r="AT1259" s="156"/>
      <c r="AU1259" s="156"/>
      <c r="AV1259" s="156"/>
      <c r="AW1259" s="156"/>
      <c r="AX1259" s="156"/>
      <c r="AY1259" s="156"/>
      <c r="AZ1259" s="156"/>
      <c r="BA1259" s="156"/>
      <c r="BB1259" s="2828"/>
      <c r="BC1259" s="452"/>
      <c r="BD1259" s="2829"/>
      <c r="BE1259" s="156"/>
      <c r="BF1259" s="156"/>
    </row>
    <row r="1260" spans="1:58" hidden="1" outlineLevel="1" x14ac:dyDescent="0.35">
      <c r="A1260" s="1071"/>
      <c r="B1260" s="106"/>
      <c r="C1260" s="103"/>
      <c r="D1260" s="4022"/>
      <c r="E1260" s="4022"/>
      <c r="F1260" s="3955" t="str">
        <f t="shared" si="240"/>
        <v>Mini/MultiSplitASHP-Replace_CAC_ElectricHeat_ROF_MF</v>
      </c>
      <c r="G1260" s="3956"/>
      <c r="H1260" s="3957"/>
      <c r="I1260" s="2672" t="str">
        <f t="shared" si="241"/>
        <v>351800_2021_12_</v>
      </c>
      <c r="J1260" s="647">
        <v>18</v>
      </c>
      <c r="K1260" s="637"/>
      <c r="L1260" s="2757" t="s">
        <v>1083</v>
      </c>
      <c r="M1260" s="1304"/>
      <c r="N1260" s="1296"/>
      <c r="O1260" s="106"/>
      <c r="P1260" s="106"/>
      <c r="Q1260" s="106"/>
      <c r="R1260" s="106"/>
      <c r="S1260" s="106"/>
      <c r="T1260" s="106"/>
      <c r="U1260" s="106"/>
      <c r="V1260" s="4022"/>
      <c r="W1260" s="647">
        <v>18</v>
      </c>
      <c r="X1260" s="647">
        <v>18</v>
      </c>
      <c r="Y1260" s="647">
        <v>18</v>
      </c>
      <c r="Z1260" s="647">
        <v>18</v>
      </c>
      <c r="AA1260" s="647">
        <v>18</v>
      </c>
      <c r="AB1260" s="647">
        <v>18</v>
      </c>
      <c r="AC1260" s="647">
        <v>18</v>
      </c>
      <c r="AD1260" s="647">
        <v>18</v>
      </c>
      <c r="AE1260" s="636"/>
      <c r="AF1260" s="636"/>
      <c r="AG1260" s="638"/>
      <c r="AH1260" s="156"/>
      <c r="AI1260" s="156"/>
      <c r="AJ1260" s="156"/>
      <c r="AK1260" s="156"/>
      <c r="AL1260" s="156"/>
      <c r="AM1260" s="156"/>
      <c r="AN1260" s="156"/>
      <c r="AO1260" s="156"/>
      <c r="AP1260" s="156"/>
      <c r="AQ1260" s="156"/>
      <c r="AR1260" s="156"/>
      <c r="AS1260" s="156"/>
      <c r="AT1260" s="156"/>
      <c r="AU1260" s="156"/>
      <c r="AV1260" s="156"/>
      <c r="AW1260" s="156"/>
      <c r="AX1260" s="156"/>
      <c r="AY1260" s="156"/>
      <c r="AZ1260" s="156"/>
      <c r="BA1260" s="156"/>
      <c r="BB1260" s="2828"/>
      <c r="BC1260" s="452"/>
      <c r="BD1260" s="2829"/>
      <c r="BE1260" s="156"/>
      <c r="BF1260" s="156"/>
    </row>
    <row r="1261" spans="1:58" hidden="1" outlineLevel="1" x14ac:dyDescent="0.35">
      <c r="A1261" s="1071"/>
      <c r="B1261" s="106"/>
      <c r="C1261" s="103"/>
      <c r="D1261" s="4022"/>
      <c r="E1261" s="4022"/>
      <c r="F1261" s="3961" t="str">
        <f t="shared" si="240"/>
        <v>Mini/MultiSplitASHP-Replace_CAC_NonElectricHeat_ROF_MF</v>
      </c>
      <c r="G1261" s="3962"/>
      <c r="H1261" s="3963"/>
      <c r="I1261" s="2755" t="str">
        <f t="shared" si="241"/>
        <v>351802_2022_12_</v>
      </c>
      <c r="J1261" s="664">
        <v>18</v>
      </c>
      <c r="K1261" s="637"/>
      <c r="L1261" s="2757" t="s">
        <v>1083</v>
      </c>
      <c r="M1261" s="1304"/>
      <c r="N1261" s="1296"/>
      <c r="O1261" s="106"/>
      <c r="P1261" s="106"/>
      <c r="Q1261" s="106"/>
      <c r="R1261" s="106"/>
      <c r="S1261" s="106"/>
      <c r="T1261" s="106"/>
      <c r="U1261" s="106"/>
      <c r="V1261" s="4022"/>
      <c r="W1261" s="647"/>
      <c r="X1261" s="647"/>
      <c r="Y1261" s="647"/>
      <c r="Z1261" s="647"/>
      <c r="AA1261" s="647"/>
      <c r="AB1261" s="647"/>
      <c r="AC1261" s="647"/>
      <c r="AD1261" s="664">
        <v>18</v>
      </c>
      <c r="AE1261" s="636"/>
      <c r="AF1261" s="636"/>
      <c r="AG1261" s="638"/>
      <c r="AH1261" s="156"/>
      <c r="AI1261" s="156"/>
      <c r="AJ1261" s="156"/>
      <c r="AK1261" s="156"/>
      <c r="AL1261" s="156"/>
      <c r="AM1261" s="156"/>
      <c r="AN1261" s="156"/>
      <c r="AO1261" s="156"/>
      <c r="AP1261" s="156"/>
      <c r="AQ1261" s="156"/>
      <c r="AR1261" s="156"/>
      <c r="AS1261" s="156"/>
      <c r="AT1261" s="156"/>
      <c r="AU1261" s="156"/>
      <c r="AV1261" s="156"/>
      <c r="AW1261" s="156"/>
      <c r="AX1261" s="156"/>
      <c r="AY1261" s="156"/>
      <c r="AZ1261" s="156"/>
      <c r="BA1261" s="156"/>
      <c r="BB1261" s="2828"/>
      <c r="BC1261" s="452"/>
      <c r="BD1261" s="2829"/>
      <c r="BE1261" s="156"/>
      <c r="BF1261" s="156"/>
    </row>
    <row r="1262" spans="1:58" hidden="1" outlineLevel="1" x14ac:dyDescent="0.35">
      <c r="A1262" s="1071"/>
      <c r="B1262" s="106"/>
      <c r="C1262" s="103"/>
      <c r="D1262" s="4022"/>
      <c r="E1262" s="4022"/>
      <c r="F1262" s="3946" t="str">
        <f t="shared" si="240"/>
        <v>Mini/MultiSplitASHP-Replace_CAC_NonElectricHeat_ROF_MF</v>
      </c>
      <c r="G1262" s="3947"/>
      <c r="H1262" s="3948"/>
      <c r="I1262" s="2755" t="str">
        <f t="shared" si="241"/>
        <v>351802_2022_12_</v>
      </c>
      <c r="J1262" s="664">
        <v>18</v>
      </c>
      <c r="K1262" s="637"/>
      <c r="L1262" s="624"/>
      <c r="M1262" s="1304"/>
      <c r="N1262" s="1296"/>
      <c r="O1262" s="106"/>
      <c r="P1262" s="106"/>
      <c r="Q1262" s="106"/>
      <c r="R1262" s="106"/>
      <c r="S1262" s="106"/>
      <c r="T1262" s="106"/>
      <c r="U1262" s="106"/>
      <c r="V1262" s="4022"/>
      <c r="W1262" s="647"/>
      <c r="X1262" s="647"/>
      <c r="Y1262" s="647"/>
      <c r="Z1262" s="647"/>
      <c r="AA1262" s="647"/>
      <c r="AB1262" s="647"/>
      <c r="AC1262" s="647"/>
      <c r="AD1262" s="664">
        <v>18</v>
      </c>
      <c r="AE1262" s="636"/>
      <c r="AF1262" s="636"/>
      <c r="AG1262" s="638"/>
      <c r="AH1262" s="156"/>
      <c r="AI1262" s="156"/>
      <c r="AJ1262" s="156"/>
      <c r="AK1262" s="156"/>
      <c r="AL1262" s="156"/>
      <c r="AM1262" s="156"/>
      <c r="AN1262" s="156"/>
      <c r="AO1262" s="156"/>
      <c r="AP1262" s="156"/>
      <c r="AQ1262" s="156"/>
      <c r="AR1262" s="156"/>
      <c r="AS1262" s="156"/>
      <c r="AT1262" s="156"/>
      <c r="AU1262" s="156"/>
      <c r="AV1262" s="156"/>
      <c r="AW1262" s="156"/>
      <c r="AX1262" s="156"/>
      <c r="AY1262" s="156"/>
      <c r="AZ1262" s="156"/>
      <c r="BA1262" s="156"/>
      <c r="BB1262" s="2828"/>
      <c r="BC1262" s="452"/>
      <c r="BD1262" s="2829"/>
      <c r="BE1262" s="156"/>
      <c r="BF1262" s="156"/>
    </row>
    <row r="1263" spans="1:58" hidden="1" outlineLevel="1" x14ac:dyDescent="0.35">
      <c r="A1263" s="1071"/>
      <c r="B1263" s="106"/>
      <c r="C1263" s="103"/>
      <c r="D1263" s="4022"/>
      <c r="E1263" s="4022"/>
      <c r="F1263" s="3949" t="str">
        <f t="shared" si="240"/>
        <v>Mini/MultiSplitASHP_ER1_MF</v>
      </c>
      <c r="G1263" s="3950"/>
      <c r="H1263" s="3951"/>
      <c r="I1263" s="2672" t="str">
        <f t="shared" si="241"/>
        <v>351850_2021_12_</v>
      </c>
      <c r="J1263" s="647">
        <v>6</v>
      </c>
      <c r="K1263" s="637"/>
      <c r="L1263" s="624"/>
      <c r="M1263" s="1304"/>
      <c r="N1263" s="1296"/>
      <c r="O1263" s="106"/>
      <c r="P1263" s="106"/>
      <c r="Q1263" s="106"/>
      <c r="R1263" s="106"/>
      <c r="S1263" s="106"/>
      <c r="T1263" s="106"/>
      <c r="U1263" s="106"/>
      <c r="V1263" s="4022"/>
      <c r="W1263" s="647">
        <v>6</v>
      </c>
      <c r="X1263" s="647">
        <v>6</v>
      </c>
      <c r="Y1263" s="647">
        <v>6</v>
      </c>
      <c r="Z1263" s="647">
        <v>6</v>
      </c>
      <c r="AA1263" s="647">
        <v>6</v>
      </c>
      <c r="AB1263" s="647">
        <v>6</v>
      </c>
      <c r="AC1263" s="647">
        <v>6</v>
      </c>
      <c r="AD1263" s="647">
        <v>6</v>
      </c>
      <c r="AE1263" s="636"/>
      <c r="AF1263" s="636"/>
      <c r="AG1263" s="638"/>
      <c r="AH1263" s="156"/>
      <c r="AI1263" s="156"/>
      <c r="AJ1263" s="156"/>
      <c r="AK1263" s="156"/>
      <c r="AL1263" s="156"/>
      <c r="AM1263" s="156"/>
      <c r="AN1263" s="156"/>
      <c r="AO1263" s="156"/>
      <c r="AP1263" s="156"/>
      <c r="AQ1263" s="156"/>
      <c r="AR1263" s="156"/>
      <c r="AS1263" s="156"/>
      <c r="AT1263" s="156"/>
      <c r="AU1263" s="156"/>
      <c r="AV1263" s="156"/>
      <c r="AW1263" s="156"/>
      <c r="AX1263" s="156"/>
      <c r="AY1263" s="156"/>
      <c r="AZ1263" s="156"/>
      <c r="BA1263" s="156"/>
      <c r="BB1263" s="2828"/>
      <c r="BC1263" s="452"/>
      <c r="BD1263" s="2829"/>
      <c r="BE1263" s="156"/>
      <c r="BF1263" s="156"/>
    </row>
    <row r="1264" spans="1:58" hidden="1" outlineLevel="1" x14ac:dyDescent="0.35">
      <c r="A1264" s="1071"/>
      <c r="B1264" s="106"/>
      <c r="C1264" s="103"/>
      <c r="D1264" s="4022"/>
      <c r="E1264" s="4022"/>
      <c r="F1264" s="3952" t="str">
        <f t="shared" si="240"/>
        <v>Mini/MultiSplitASHP_ER1_MF</v>
      </c>
      <c r="G1264" s="3953"/>
      <c r="H1264" s="3954"/>
      <c r="I1264" s="2672" t="str">
        <f t="shared" si="241"/>
        <v>351850_2021_12_</v>
      </c>
      <c r="J1264" s="647">
        <v>6</v>
      </c>
      <c r="K1264" s="637"/>
      <c r="L1264" s="624"/>
      <c r="M1264" s="1304"/>
      <c r="N1264" s="1296"/>
      <c r="O1264" s="106"/>
      <c r="P1264" s="106"/>
      <c r="Q1264" s="106"/>
      <c r="R1264" s="106"/>
      <c r="S1264" s="106"/>
      <c r="T1264" s="106"/>
      <c r="U1264" s="106"/>
      <c r="V1264" s="4022"/>
      <c r="W1264" s="647">
        <v>6</v>
      </c>
      <c r="X1264" s="647">
        <v>6</v>
      </c>
      <c r="Y1264" s="647">
        <v>6</v>
      </c>
      <c r="Z1264" s="647">
        <v>6</v>
      </c>
      <c r="AA1264" s="647">
        <v>6</v>
      </c>
      <c r="AB1264" s="647">
        <v>6</v>
      </c>
      <c r="AC1264" s="647">
        <v>6</v>
      </c>
      <c r="AD1264" s="647">
        <v>6</v>
      </c>
      <c r="AE1264" s="636"/>
      <c r="AF1264" s="636"/>
      <c r="AG1264" s="638"/>
      <c r="AH1264" s="156"/>
      <c r="AI1264" s="156"/>
      <c r="AJ1264" s="156"/>
      <c r="AK1264" s="156"/>
      <c r="AL1264" s="156"/>
      <c r="AM1264" s="156"/>
      <c r="AN1264" s="156"/>
      <c r="AO1264" s="156"/>
      <c r="AP1264" s="156"/>
      <c r="AQ1264" s="156"/>
      <c r="AR1264" s="156"/>
      <c r="AS1264" s="156"/>
      <c r="AT1264" s="156"/>
      <c r="AU1264" s="156"/>
      <c r="AV1264" s="156"/>
      <c r="AW1264" s="156"/>
      <c r="AX1264" s="156"/>
      <c r="AY1264" s="156"/>
      <c r="AZ1264" s="156"/>
      <c r="BA1264" s="156"/>
      <c r="BB1264" s="2828"/>
      <c r="BC1264" s="452"/>
      <c r="BD1264" s="2829"/>
      <c r="BE1264" s="156"/>
      <c r="BF1264" s="156"/>
    </row>
    <row r="1265" spans="1:58" hidden="1" outlineLevel="1" x14ac:dyDescent="0.35">
      <c r="A1265" s="1071"/>
      <c r="B1265" s="106"/>
      <c r="C1265" s="103"/>
      <c r="D1265" s="4022"/>
      <c r="E1265" s="4022"/>
      <c r="F1265" s="3952" t="str">
        <f t="shared" si="240"/>
        <v>Mini/MultiSplitASHP_ER2_MF</v>
      </c>
      <c r="G1265" s="3953"/>
      <c r="H1265" s="3954"/>
      <c r="I1265" s="2672" t="str">
        <f t="shared" si="241"/>
        <v>351850_2021_12_</v>
      </c>
      <c r="J1265" s="647">
        <v>12</v>
      </c>
      <c r="K1265" s="637"/>
      <c r="L1265" s="1805"/>
      <c r="M1265" s="1304"/>
      <c r="N1265" s="1296"/>
      <c r="O1265" s="106"/>
      <c r="P1265" s="106"/>
      <c r="Q1265" s="106"/>
      <c r="R1265" s="106"/>
      <c r="S1265" s="106"/>
      <c r="T1265" s="106"/>
      <c r="U1265" s="106"/>
      <c r="V1265" s="4022"/>
      <c r="W1265" s="647">
        <v>12</v>
      </c>
      <c r="X1265" s="647">
        <v>12</v>
      </c>
      <c r="Y1265" s="647">
        <v>12</v>
      </c>
      <c r="Z1265" s="647">
        <v>12</v>
      </c>
      <c r="AA1265" s="647">
        <v>12</v>
      </c>
      <c r="AB1265" s="647">
        <v>12</v>
      </c>
      <c r="AC1265" s="647">
        <v>12</v>
      </c>
      <c r="AD1265" s="647">
        <v>12</v>
      </c>
      <c r="AE1265" s="636"/>
      <c r="AF1265" s="636"/>
      <c r="AG1265" s="638"/>
      <c r="AH1265" s="156"/>
      <c r="AI1265" s="156"/>
      <c r="AJ1265" s="156"/>
      <c r="AK1265" s="156"/>
      <c r="AL1265" s="156"/>
      <c r="AM1265" s="156"/>
      <c r="AN1265" s="156"/>
      <c r="AO1265" s="156"/>
      <c r="AP1265" s="156"/>
      <c r="AQ1265" s="156"/>
      <c r="AR1265" s="156"/>
      <c r="AS1265" s="156"/>
      <c r="AT1265" s="156"/>
      <c r="AU1265" s="156"/>
      <c r="AV1265" s="156"/>
      <c r="AW1265" s="156"/>
      <c r="AX1265" s="156"/>
      <c r="AY1265" s="156"/>
      <c r="AZ1265" s="156"/>
      <c r="BA1265" s="156"/>
      <c r="BB1265" s="2828"/>
      <c r="BC1265" s="452"/>
      <c r="BD1265" s="2829"/>
      <c r="BE1265" s="156"/>
      <c r="BF1265" s="156"/>
    </row>
    <row r="1266" spans="1:58" ht="15" hidden="1" outlineLevel="1" thickBot="1" x14ac:dyDescent="0.4">
      <c r="A1266" s="1071"/>
      <c r="B1266" s="106"/>
      <c r="C1266" s="103"/>
      <c r="D1266" s="4104"/>
      <c r="E1266" s="4104"/>
      <c r="F1266" s="3967" t="str">
        <f t="shared" si="240"/>
        <v>Mini/MultiSplitASHP_ER2_MF</v>
      </c>
      <c r="G1266" s="3968"/>
      <c r="H1266" s="3969"/>
      <c r="I1266" s="2673" t="str">
        <f t="shared" si="241"/>
        <v>351850_2021_12_</v>
      </c>
      <c r="J1266" s="648">
        <v>12</v>
      </c>
      <c r="K1266" s="642"/>
      <c r="L1266" s="1931"/>
      <c r="M1266" s="1304"/>
      <c r="N1266" s="1296"/>
      <c r="O1266" s="106"/>
      <c r="P1266" s="106"/>
      <c r="Q1266" s="106"/>
      <c r="R1266" s="106"/>
      <c r="S1266" s="106"/>
      <c r="T1266" s="106"/>
      <c r="U1266" s="106"/>
      <c r="V1266" s="4104"/>
      <c r="W1266" s="648">
        <v>12</v>
      </c>
      <c r="X1266" s="648">
        <v>12</v>
      </c>
      <c r="Y1266" s="648">
        <v>12</v>
      </c>
      <c r="Z1266" s="648">
        <v>12</v>
      </c>
      <c r="AA1266" s="648">
        <v>12</v>
      </c>
      <c r="AB1266" s="648">
        <v>12</v>
      </c>
      <c r="AC1266" s="648">
        <v>12</v>
      </c>
      <c r="AD1266" s="648">
        <v>12</v>
      </c>
      <c r="AE1266" s="643"/>
      <c r="AF1266" s="643"/>
      <c r="AG1266" s="644"/>
      <c r="AH1266" s="156"/>
      <c r="AI1266" s="156"/>
      <c r="AJ1266" s="156"/>
      <c r="AK1266" s="156"/>
      <c r="AL1266" s="156"/>
      <c r="AM1266" s="156"/>
      <c r="AN1266" s="156"/>
      <c r="AO1266" s="156"/>
      <c r="AP1266" s="156"/>
      <c r="AQ1266" s="156"/>
      <c r="AR1266" s="156"/>
      <c r="AS1266" s="156"/>
      <c r="AT1266" s="156"/>
      <c r="AU1266" s="156"/>
      <c r="AV1266" s="156"/>
      <c r="AW1266" s="156"/>
      <c r="AX1266" s="156"/>
      <c r="AY1266" s="156"/>
      <c r="AZ1266" s="156"/>
      <c r="BA1266" s="156"/>
      <c r="BB1266" s="2828"/>
      <c r="BC1266" s="452"/>
      <c r="BD1266" s="2829"/>
      <c r="BE1266" s="156"/>
      <c r="BF1266" s="156"/>
    </row>
    <row r="1267" spans="1:58" hidden="1" outlineLevel="1" x14ac:dyDescent="0.35">
      <c r="A1267" s="1071"/>
      <c r="B1267" s="106"/>
      <c r="C1267" s="103"/>
      <c r="D1267" s="3979" t="s">
        <v>169</v>
      </c>
      <c r="E1267" s="3979" t="str">
        <f>E715</f>
        <v>Incremental Cost ($)</v>
      </c>
      <c r="F1267" s="3973" t="str">
        <f t="shared" ref="F1267:F1312" si="243">F1221</f>
        <v>Mini/MultiSplitAC_ER1_SF</v>
      </c>
      <c r="G1267" s="3974"/>
      <c r="H1267" s="3975"/>
      <c r="I1267" s="2676" t="str">
        <f t="shared" ref="I1267:I1299" si="244">I1221</f>
        <v>351200_2021_12_</v>
      </c>
      <c r="J1267" s="2320">
        <f>((P$903*K1267)+P$885)-((O$904*K1267)/((1+P$907)^(P$908-1)))</f>
        <v>1408.9941341172375</v>
      </c>
      <c r="K1267" s="2818">
        <f>K1016</f>
        <v>1.75</v>
      </c>
      <c r="L1267" s="658" t="s">
        <v>1087</v>
      </c>
      <c r="M1267" s="1304"/>
      <c r="N1267" s="1296"/>
      <c r="O1267" s="106"/>
      <c r="P1267" s="106"/>
      <c r="Q1267" s="106"/>
      <c r="R1267" s="106"/>
      <c r="S1267" s="106"/>
      <c r="T1267" s="106"/>
      <c r="U1267" s="106"/>
      <c r="V1267" s="4021" t="str">
        <f>D1267</f>
        <v>Inc. Cost</v>
      </c>
      <c r="W1267" s="651">
        <v>2389.0666666666666</v>
      </c>
      <c r="X1267" s="652">
        <f>(2108*(X$1016/12000)/1.5)*X$1151</f>
        <v>2108</v>
      </c>
      <c r="Y1267" s="652">
        <f>(2108*(Y$1016/12000)/1.5)*Y$1151</f>
        <v>2108</v>
      </c>
      <c r="Z1267" s="651">
        <v>2108</v>
      </c>
      <c r="AA1267" s="651">
        <v>2108</v>
      </c>
      <c r="AB1267" s="1821">
        <v>1231.1592671062349</v>
      </c>
      <c r="AC1267" s="2320">
        <v>1133.5954314013989</v>
      </c>
      <c r="AD1267" s="2320">
        <v>1408.9941341172375</v>
      </c>
      <c r="AE1267" s="634"/>
      <c r="AF1267" s="634"/>
      <c r="AG1267" s="635"/>
      <c r="AH1267" s="156"/>
      <c r="AI1267" s="156"/>
      <c r="AJ1267" s="156"/>
      <c r="AK1267" s="156"/>
      <c r="AL1267" s="156"/>
      <c r="AM1267" s="156"/>
      <c r="AN1267" s="156"/>
      <c r="AO1267" s="156"/>
      <c r="AP1267" s="156"/>
      <c r="AQ1267" s="156"/>
      <c r="AR1267" s="156"/>
      <c r="AS1267" s="156"/>
      <c r="AT1267" s="156"/>
      <c r="AU1267" s="156"/>
      <c r="AV1267" s="156"/>
      <c r="AW1267" s="156"/>
      <c r="AX1267" s="156"/>
      <c r="AY1267" s="156"/>
      <c r="AZ1267" s="156"/>
      <c r="BA1267" s="156"/>
      <c r="BB1267" s="2828"/>
      <c r="BC1267" s="452"/>
      <c r="BD1267" s="2829"/>
      <c r="BE1267" s="156"/>
      <c r="BF1267" s="156"/>
    </row>
    <row r="1268" spans="1:58" hidden="1" outlineLevel="1" x14ac:dyDescent="0.35">
      <c r="A1268" s="1071"/>
      <c r="B1268" s="106"/>
      <c r="C1268" s="103"/>
      <c r="D1268" s="3980"/>
      <c r="E1268" s="3980"/>
      <c r="F1268" s="3955" t="str">
        <f t="shared" si="243"/>
        <v>Mini/MultiSplitAC_ER2_SF</v>
      </c>
      <c r="G1268" s="3956"/>
      <c r="H1268" s="3957"/>
      <c r="I1268" s="2672" t="str">
        <f t="shared" si="244"/>
        <v>351200_2021_12_</v>
      </c>
      <c r="J1268" s="650"/>
      <c r="K1268" s="2764"/>
      <c r="L1268" s="624"/>
      <c r="M1268" s="1304"/>
      <c r="N1268" s="1296"/>
      <c r="O1268" s="106"/>
      <c r="P1268" s="106"/>
      <c r="Q1268" s="106"/>
      <c r="R1268" s="106"/>
      <c r="S1268" s="106"/>
      <c r="T1268" s="106"/>
      <c r="U1268" s="106"/>
      <c r="V1268" s="4022"/>
      <c r="W1268" s="653"/>
      <c r="X1268" s="650"/>
      <c r="Y1268" s="650"/>
      <c r="Z1268" s="653"/>
      <c r="AA1268" s="653"/>
      <c r="AB1268" s="1822"/>
      <c r="AC1268" s="650"/>
      <c r="AD1268" s="650"/>
      <c r="AE1268" s="636"/>
      <c r="AF1268" s="636"/>
      <c r="AG1268" s="638"/>
      <c r="AH1268" s="156"/>
      <c r="AI1268" s="156"/>
      <c r="AJ1268" s="156"/>
      <c r="AK1268" s="156"/>
      <c r="AL1268" s="156"/>
      <c r="AM1268" s="156"/>
      <c r="AN1268" s="156"/>
      <c r="AO1268" s="156"/>
      <c r="AP1268" s="156"/>
      <c r="AQ1268" s="156"/>
      <c r="AR1268" s="156"/>
      <c r="AS1268" s="156"/>
      <c r="AT1268" s="156"/>
      <c r="AU1268" s="156"/>
      <c r="AV1268" s="156"/>
      <c r="AW1268" s="156"/>
      <c r="AX1268" s="156"/>
      <c r="AY1268" s="156"/>
      <c r="AZ1268" s="156"/>
      <c r="BA1268" s="156"/>
      <c r="BB1268" s="2828"/>
      <c r="BC1268" s="452"/>
      <c r="BD1268" s="2829"/>
      <c r="BE1268" s="156"/>
      <c r="BF1268" s="156"/>
    </row>
    <row r="1269" spans="1:58" hidden="1" outlineLevel="1" x14ac:dyDescent="0.35">
      <c r="A1269" s="1071"/>
      <c r="B1269" s="106"/>
      <c r="C1269" s="103"/>
      <c r="D1269" s="3980"/>
      <c r="E1269" s="3980"/>
      <c r="F1269" s="3970" t="str">
        <f t="shared" si="243"/>
        <v>Mini/MultiSplitAC_ROF_SF</v>
      </c>
      <c r="G1269" s="3971"/>
      <c r="H1269" s="3972"/>
      <c r="I1269" s="2672" t="str">
        <f t="shared" si="244"/>
        <v>351250_2021_12_</v>
      </c>
      <c r="J1269" s="650">
        <f>(MIN(2000,P$896)-P$903)*K$883</f>
        <v>364.64165582663026</v>
      </c>
      <c r="K1269" s="2764">
        <f>K1017</f>
        <v>1.0555555555555556</v>
      </c>
      <c r="L1269" s="624" t="s">
        <v>1087</v>
      </c>
      <c r="M1269" s="1304"/>
      <c r="N1269" s="1296"/>
      <c r="O1269" s="106"/>
      <c r="P1269" s="106"/>
      <c r="Q1269" s="106"/>
      <c r="R1269" s="106"/>
      <c r="S1269" s="106"/>
      <c r="T1269" s="106"/>
      <c r="U1269" s="106"/>
      <c r="V1269" s="4022"/>
      <c r="W1269" s="653">
        <v>1648</v>
      </c>
      <c r="X1269" s="650">
        <f>(1545*(X$1017/12000)/1.5)*X$1153</f>
        <v>1545</v>
      </c>
      <c r="Y1269" s="650">
        <f>(1545*(Y$1017/12000)/1.5)*Y$1153</f>
        <v>1545</v>
      </c>
      <c r="Z1269" s="653">
        <v>1545</v>
      </c>
      <c r="AA1269" s="653">
        <v>1545</v>
      </c>
      <c r="AB1269" s="1822">
        <v>336</v>
      </c>
      <c r="AC1269" s="650">
        <v>337.89830508474574</v>
      </c>
      <c r="AD1269" s="650">
        <v>364.64165582663026</v>
      </c>
      <c r="AE1269" s="636"/>
      <c r="AF1269" s="636"/>
      <c r="AG1269" s="638"/>
      <c r="AH1269" s="156"/>
      <c r="AI1269" s="156"/>
      <c r="AJ1269" s="156"/>
      <c r="AK1269" s="156"/>
      <c r="AL1269" s="156"/>
      <c r="AM1269" s="156"/>
      <c r="AN1269" s="156"/>
      <c r="AO1269" s="156"/>
      <c r="AP1269" s="156"/>
      <c r="AQ1269" s="156"/>
      <c r="AR1269" s="156"/>
      <c r="AS1269" s="156"/>
      <c r="AT1269" s="156"/>
      <c r="AU1269" s="156"/>
      <c r="AV1269" s="156"/>
      <c r="AW1269" s="156"/>
      <c r="AX1269" s="156"/>
      <c r="AY1269" s="156"/>
      <c r="AZ1269" s="156"/>
      <c r="BA1269" s="156"/>
      <c r="BB1269" s="2828"/>
      <c r="BC1269" s="452"/>
      <c r="BD1269" s="2829"/>
      <c r="BE1269" s="156"/>
      <c r="BF1269" s="156"/>
    </row>
    <row r="1270" spans="1:58" hidden="1" outlineLevel="1" x14ac:dyDescent="0.35">
      <c r="A1270" s="1071"/>
      <c r="B1270" s="106"/>
      <c r="C1270" s="103"/>
      <c r="D1270" s="3980"/>
      <c r="E1270" s="3980"/>
      <c r="F1270" s="3949" t="str">
        <f t="shared" si="243"/>
        <v>Mini/MultiSplitASHP_ROF_SF_NC</v>
      </c>
      <c r="G1270" s="3950"/>
      <c r="H1270" s="3951"/>
      <c r="I1270" s="2672" t="str">
        <f t="shared" si="244"/>
        <v>351300_2021_12_</v>
      </c>
      <c r="J1270" s="650">
        <f>(MIN(2000,P$896)-P$903)*K$883</f>
        <v>364.64165582663026</v>
      </c>
      <c r="K1270" s="2764">
        <f t="shared" ref="K1270" si="245">K1018</f>
        <v>1.5323741007194249</v>
      </c>
      <c r="L1270" s="624" t="s">
        <v>1087</v>
      </c>
      <c r="M1270" s="1304"/>
      <c r="N1270" s="1296"/>
      <c r="O1270" s="106"/>
      <c r="P1270" s="106"/>
      <c r="Q1270" s="106"/>
      <c r="R1270" s="106"/>
      <c r="S1270" s="106"/>
      <c r="T1270" s="106"/>
      <c r="U1270" s="106"/>
      <c r="V1270" s="4022"/>
      <c r="W1270" s="653">
        <v>828.79999999999984</v>
      </c>
      <c r="X1270" s="650">
        <f>(888*(X$1018/12000)/1.5)*X$1154</f>
        <v>888</v>
      </c>
      <c r="Y1270" s="650">
        <f>(888*(Y$1018/12000)/1.5)*Y$1154</f>
        <v>888</v>
      </c>
      <c r="Z1270" s="653">
        <v>888</v>
      </c>
      <c r="AA1270" s="653">
        <v>888</v>
      </c>
      <c r="AB1270" s="1822">
        <v>336</v>
      </c>
      <c r="AC1270" s="650">
        <v>337.89830508474574</v>
      </c>
      <c r="AD1270" s="650">
        <v>364.64165582663026</v>
      </c>
      <c r="AE1270" s="636"/>
      <c r="AF1270" s="636"/>
      <c r="AG1270" s="638"/>
      <c r="AH1270" s="156"/>
      <c r="AI1270" s="156"/>
      <c r="AJ1270" s="156"/>
      <c r="AK1270" s="156"/>
      <c r="AL1270" s="156"/>
      <c r="AM1270" s="156"/>
      <c r="AN1270" s="156"/>
      <c r="AO1270" s="156"/>
      <c r="AP1270" s="156"/>
      <c r="AQ1270" s="156"/>
      <c r="AR1270" s="156"/>
      <c r="AS1270" s="156"/>
      <c r="AT1270" s="156"/>
      <c r="AU1270" s="156"/>
      <c r="AV1270" s="156"/>
      <c r="AW1270" s="156"/>
      <c r="AX1270" s="156"/>
      <c r="AY1270" s="156"/>
      <c r="AZ1270" s="156"/>
      <c r="BA1270" s="156"/>
      <c r="BB1270" s="2828"/>
      <c r="BC1270" s="452"/>
      <c r="BD1270" s="2829"/>
      <c r="BE1270" s="156"/>
      <c r="BF1270" s="156"/>
    </row>
    <row r="1271" spans="1:58" hidden="1" outlineLevel="1" x14ac:dyDescent="0.35">
      <c r="A1271" s="1071"/>
      <c r="B1271" s="106"/>
      <c r="C1271" s="103"/>
      <c r="D1271" s="3980"/>
      <c r="E1271" s="3980"/>
      <c r="F1271" s="3955" t="str">
        <f t="shared" si="243"/>
        <v>Mini/MultiSplitASHP_ROF_SF_NC</v>
      </c>
      <c r="G1271" s="3956"/>
      <c r="H1271" s="3957"/>
      <c r="I1271" s="2672" t="str">
        <f t="shared" si="244"/>
        <v>351300_2021_12_</v>
      </c>
      <c r="J1271" s="650"/>
      <c r="K1271" s="2764"/>
      <c r="L1271" s="624"/>
      <c r="M1271" s="1304"/>
      <c r="N1271" s="1296"/>
      <c r="O1271" s="106"/>
      <c r="P1271" s="106"/>
      <c r="Q1271" s="106"/>
      <c r="R1271" s="106"/>
      <c r="S1271" s="106"/>
      <c r="T1271" s="106"/>
      <c r="U1271" s="106"/>
      <c r="V1271" s="4022"/>
      <c r="W1271" s="653"/>
      <c r="X1271" s="650"/>
      <c r="Y1271" s="650"/>
      <c r="Z1271" s="653"/>
      <c r="AA1271" s="653"/>
      <c r="AB1271" s="1822"/>
      <c r="AC1271" s="650"/>
      <c r="AD1271" s="650"/>
      <c r="AE1271" s="636"/>
      <c r="AF1271" s="636"/>
      <c r="AG1271" s="638"/>
      <c r="AH1271" s="156"/>
      <c r="AI1271" s="156"/>
      <c r="AJ1271" s="156"/>
      <c r="AK1271" s="156"/>
      <c r="AL1271" s="156"/>
      <c r="AM1271" s="156"/>
      <c r="AN1271" s="156"/>
      <c r="AO1271" s="156"/>
      <c r="AP1271" s="156"/>
      <c r="AQ1271" s="156"/>
      <c r="AR1271" s="156"/>
      <c r="AS1271" s="156"/>
      <c r="AT1271" s="156"/>
      <c r="AU1271" s="156"/>
      <c r="AV1271" s="156"/>
      <c r="AW1271" s="156"/>
      <c r="AX1271" s="156"/>
      <c r="AY1271" s="156"/>
      <c r="AZ1271" s="156"/>
      <c r="BA1271" s="156"/>
      <c r="BB1271" s="2828"/>
      <c r="BC1271" s="452"/>
      <c r="BD1271" s="2829"/>
      <c r="BE1271" s="156"/>
      <c r="BF1271" s="156"/>
    </row>
    <row r="1272" spans="1:58" hidden="1" outlineLevel="1" x14ac:dyDescent="0.35">
      <c r="A1272" s="1071"/>
      <c r="B1272" s="106"/>
      <c r="C1272" s="103"/>
      <c r="D1272" s="3980"/>
      <c r="E1272" s="3980"/>
      <c r="F1272" s="3949" t="str">
        <f t="shared" si="243"/>
        <v>Mini/MultiSplitASHP_ROF_SF</v>
      </c>
      <c r="G1272" s="3950"/>
      <c r="H1272" s="3951"/>
      <c r="I1272" s="2672" t="str">
        <f t="shared" si="244"/>
        <v>351350_2021_12_</v>
      </c>
      <c r="J1272" s="650">
        <f>(MIN(2000,P$896)-P$903)*K$883</f>
        <v>364.64165582663026</v>
      </c>
      <c r="K1272" s="2764">
        <f>K1019</f>
        <v>1.5323741007194249</v>
      </c>
      <c r="L1272" s="624" t="s">
        <v>1087</v>
      </c>
      <c r="M1272" s="1304"/>
      <c r="N1272" s="1296"/>
      <c r="O1272" s="106"/>
      <c r="P1272" s="106"/>
      <c r="Q1272" s="106"/>
      <c r="R1272" s="106"/>
      <c r="S1272" s="106"/>
      <c r="T1272" s="106"/>
      <c r="U1272" s="106"/>
      <c r="V1272" s="4022"/>
      <c r="W1272" s="653">
        <v>1006.4</v>
      </c>
      <c r="X1272" s="650">
        <f>(888*(X$1016/12000)/1.5)*X$1156</f>
        <v>888</v>
      </c>
      <c r="Y1272" s="650">
        <f>(888*(Y$1016/12000)/1.5)*Y$1156</f>
        <v>888</v>
      </c>
      <c r="Z1272" s="653">
        <v>888</v>
      </c>
      <c r="AA1272" s="653">
        <v>888</v>
      </c>
      <c r="AB1272" s="1822">
        <v>336</v>
      </c>
      <c r="AC1272" s="650">
        <v>337.89830508474574</v>
      </c>
      <c r="AD1272" s="650">
        <v>364.64165582663026</v>
      </c>
      <c r="AE1272" s="636"/>
      <c r="AF1272" s="636"/>
      <c r="AG1272" s="638"/>
      <c r="AH1272" s="156"/>
      <c r="AI1272" s="156"/>
      <c r="AJ1272" s="156"/>
      <c r="AK1272" s="156"/>
      <c r="AL1272" s="156"/>
      <c r="AM1272" s="156"/>
      <c r="AN1272" s="156"/>
      <c r="AO1272" s="156"/>
      <c r="AP1272" s="156"/>
      <c r="AQ1272" s="156"/>
      <c r="AR1272" s="156"/>
      <c r="AS1272" s="156"/>
      <c r="AT1272" s="156"/>
      <c r="AU1272" s="156"/>
      <c r="AV1272" s="156"/>
      <c r="AW1272" s="156"/>
      <c r="AX1272" s="156"/>
      <c r="AY1272" s="156"/>
      <c r="AZ1272" s="156"/>
      <c r="BA1272" s="156"/>
      <c r="BB1272" s="2828"/>
      <c r="BC1272" s="452"/>
      <c r="BD1272" s="2829"/>
      <c r="BE1272" s="156"/>
      <c r="BF1272" s="156"/>
    </row>
    <row r="1273" spans="1:58" hidden="1" outlineLevel="1" x14ac:dyDescent="0.35">
      <c r="A1273" s="1071"/>
      <c r="B1273" s="106"/>
      <c r="C1273" s="103"/>
      <c r="D1273" s="3980"/>
      <c r="E1273" s="3980"/>
      <c r="F1273" s="3955" t="str">
        <f t="shared" si="243"/>
        <v>Mini/MultiSplitASHP_ROF_SF</v>
      </c>
      <c r="G1273" s="3956"/>
      <c r="H1273" s="3957"/>
      <c r="I1273" s="2672" t="str">
        <f t="shared" si="244"/>
        <v>351350_2021_12_</v>
      </c>
      <c r="J1273" s="650"/>
      <c r="K1273" s="2764"/>
      <c r="L1273" s="624"/>
      <c r="M1273" s="1304"/>
      <c r="N1273" s="1296"/>
      <c r="O1273" s="106"/>
      <c r="P1273" s="106"/>
      <c r="Q1273" s="106"/>
      <c r="R1273" s="106"/>
      <c r="S1273" s="106"/>
      <c r="T1273" s="106"/>
      <c r="U1273" s="106"/>
      <c r="V1273" s="4022"/>
      <c r="W1273" s="653"/>
      <c r="X1273" s="650"/>
      <c r="Y1273" s="650"/>
      <c r="Z1273" s="653"/>
      <c r="AA1273" s="653"/>
      <c r="AB1273" s="1822"/>
      <c r="AC1273" s="650"/>
      <c r="AD1273" s="650"/>
      <c r="AE1273" s="636"/>
      <c r="AF1273" s="636"/>
      <c r="AG1273" s="638"/>
      <c r="AH1273" s="156"/>
      <c r="AI1273" s="156"/>
      <c r="AJ1273" s="156"/>
      <c r="AK1273" s="156"/>
      <c r="AL1273" s="156"/>
      <c r="AM1273" s="156"/>
      <c r="AN1273" s="156"/>
      <c r="AO1273" s="156"/>
      <c r="AP1273" s="156"/>
      <c r="AQ1273" s="156"/>
      <c r="AR1273" s="156"/>
      <c r="AS1273" s="156"/>
      <c r="AT1273" s="156"/>
      <c r="AU1273" s="156"/>
      <c r="AV1273" s="156"/>
      <c r="AW1273" s="156"/>
      <c r="AX1273" s="156"/>
      <c r="AY1273" s="156"/>
      <c r="AZ1273" s="156"/>
      <c r="BA1273" s="156"/>
      <c r="BB1273" s="2828"/>
      <c r="BC1273" s="452"/>
      <c r="BD1273" s="2829"/>
      <c r="BE1273" s="156"/>
      <c r="BF1273" s="156"/>
    </row>
    <row r="1274" spans="1:58" hidden="1" outlineLevel="1" x14ac:dyDescent="0.35">
      <c r="A1274" s="1071"/>
      <c r="B1274" s="106"/>
      <c r="C1274" s="103"/>
      <c r="D1274" s="3980"/>
      <c r="E1274" s="3980"/>
      <c r="F1274" s="3949" t="str">
        <f t="shared" si="243"/>
        <v>Mini/MultiSplitASHP-Replace_CAC_ElectricHeat_ER1_SF</v>
      </c>
      <c r="G1274" s="3950"/>
      <c r="H1274" s="3951"/>
      <c r="I1274" s="2672" t="str">
        <f t="shared" si="244"/>
        <v>351400_2021_12_</v>
      </c>
      <c r="J1274" s="650">
        <f>((P$903*K1274)+P$885)-((O$905*K1274)/((1+P$907)^(P$908-1)))</f>
        <v>2768.8371103720847</v>
      </c>
      <c r="K1274" s="2764">
        <f>K1020</f>
        <v>1.740909090909091</v>
      </c>
      <c r="L1274" s="624" t="s">
        <v>1087</v>
      </c>
      <c r="M1274" s="1304"/>
      <c r="N1274" s="1296"/>
      <c r="O1274" s="106"/>
      <c r="P1274" s="106"/>
      <c r="Q1274" s="106"/>
      <c r="R1274" s="106"/>
      <c r="S1274" s="106"/>
      <c r="T1274" s="106"/>
      <c r="U1274" s="106"/>
      <c r="V1274" s="4022"/>
      <c r="W1274" s="653">
        <v>1967.4666666666665</v>
      </c>
      <c r="X1274" s="650">
        <f>(2108*(X$1020/12000)/1.5)*X$1158</f>
        <v>2108</v>
      </c>
      <c r="Y1274" s="650">
        <f>(2108*(Y$1020/12000)/1.5)*Y$1158</f>
        <v>2108</v>
      </c>
      <c r="Z1274" s="653">
        <v>2108</v>
      </c>
      <c r="AA1274" s="653">
        <v>2108</v>
      </c>
      <c r="AB1274" s="1822">
        <v>2504.17</v>
      </c>
      <c r="AC1274" s="650">
        <v>2505.747142294048</v>
      </c>
      <c r="AD1274" s="650">
        <v>2768.8371103720847</v>
      </c>
      <c r="AE1274" s="636"/>
      <c r="AF1274" s="636"/>
      <c r="AG1274" s="638"/>
      <c r="AH1274" s="156"/>
      <c r="AI1274" s="156"/>
      <c r="AJ1274" s="156"/>
      <c r="AK1274" s="156"/>
      <c r="AL1274" s="156"/>
      <c r="AM1274" s="156"/>
      <c r="AN1274" s="156"/>
      <c r="AO1274" s="156"/>
      <c r="AP1274" s="156"/>
      <c r="AQ1274" s="156"/>
      <c r="AR1274" s="156"/>
      <c r="AS1274" s="156"/>
      <c r="AT1274" s="156"/>
      <c r="AU1274" s="156"/>
      <c r="AV1274" s="156"/>
      <c r="AW1274" s="156"/>
      <c r="AX1274" s="156"/>
      <c r="AY1274" s="156"/>
      <c r="AZ1274" s="156"/>
      <c r="BA1274" s="156"/>
      <c r="BB1274" s="2828"/>
      <c r="BC1274" s="452"/>
      <c r="BD1274" s="2829"/>
      <c r="BE1274" s="156"/>
      <c r="BF1274" s="156"/>
    </row>
    <row r="1275" spans="1:58" hidden="1" outlineLevel="1" x14ac:dyDescent="0.35">
      <c r="A1275" s="1071"/>
      <c r="B1275" s="106"/>
      <c r="C1275" s="103"/>
      <c r="D1275" s="3980"/>
      <c r="E1275" s="3980"/>
      <c r="F1275" s="3952" t="str">
        <f t="shared" si="243"/>
        <v>Mini/MultiSplitASHP-Replace_CAC_ElectricHeat_ER1_SF</v>
      </c>
      <c r="G1275" s="3953"/>
      <c r="H1275" s="3954"/>
      <c r="I1275" s="2672" t="str">
        <f t="shared" si="244"/>
        <v>351400_2021_12_</v>
      </c>
      <c r="J1275" s="650"/>
      <c r="K1275" s="2764"/>
      <c r="L1275" s="624"/>
      <c r="M1275" s="1304"/>
      <c r="N1275" s="1296"/>
      <c r="O1275" s="106"/>
      <c r="P1275" s="106"/>
      <c r="Q1275" s="106"/>
      <c r="R1275" s="106"/>
      <c r="S1275" s="106"/>
      <c r="T1275" s="106"/>
      <c r="U1275" s="106"/>
      <c r="V1275" s="4022"/>
      <c r="W1275" s="653"/>
      <c r="X1275" s="650"/>
      <c r="Y1275" s="650"/>
      <c r="Z1275" s="653"/>
      <c r="AA1275" s="653"/>
      <c r="AB1275" s="1822"/>
      <c r="AC1275" s="650"/>
      <c r="AD1275" s="650"/>
      <c r="AE1275" s="636"/>
      <c r="AF1275" s="636"/>
      <c r="AG1275" s="638"/>
      <c r="AH1275" s="156"/>
      <c r="AI1275" s="156"/>
      <c r="AJ1275" s="156"/>
      <c r="AK1275" s="156"/>
      <c r="AL1275" s="156"/>
      <c r="AM1275" s="156"/>
      <c r="AN1275" s="156"/>
      <c r="AO1275" s="156"/>
      <c r="AP1275" s="156"/>
      <c r="AQ1275" s="156"/>
      <c r="AR1275" s="156"/>
      <c r="AS1275" s="156"/>
      <c r="AT1275" s="156"/>
      <c r="AU1275" s="156"/>
      <c r="AV1275" s="156"/>
      <c r="AW1275" s="156"/>
      <c r="AX1275" s="156"/>
      <c r="AY1275" s="156"/>
      <c r="AZ1275" s="156"/>
      <c r="BA1275" s="156"/>
      <c r="BB1275" s="2828"/>
      <c r="BC1275" s="452"/>
      <c r="BD1275" s="2829"/>
      <c r="BE1275" s="156"/>
      <c r="BF1275" s="156"/>
    </row>
    <row r="1276" spans="1:58" hidden="1" outlineLevel="1" x14ac:dyDescent="0.35">
      <c r="A1276" s="1071"/>
      <c r="B1276" s="106"/>
      <c r="C1276" s="103"/>
      <c r="D1276" s="3980"/>
      <c r="E1276" s="3980"/>
      <c r="F1276" s="3952" t="str">
        <f t="shared" si="243"/>
        <v>Mini/MultiSplitASHP-Replace_CAC_ElectricHeat_ER2_SF</v>
      </c>
      <c r="G1276" s="3953"/>
      <c r="H1276" s="3954"/>
      <c r="I1276" s="2672" t="str">
        <f t="shared" si="244"/>
        <v>351400_2021_12_</v>
      </c>
      <c r="J1276" s="650"/>
      <c r="K1276" s="2764"/>
      <c r="L1276" s="624"/>
      <c r="M1276" s="1304"/>
      <c r="N1276" s="1296"/>
      <c r="O1276" s="106"/>
      <c r="P1276" s="106"/>
      <c r="Q1276" s="106"/>
      <c r="R1276" s="106"/>
      <c r="S1276" s="106"/>
      <c r="T1276" s="106"/>
      <c r="U1276" s="106"/>
      <c r="V1276" s="4022"/>
      <c r="W1276" s="653"/>
      <c r="X1276" s="650"/>
      <c r="Y1276" s="650"/>
      <c r="Z1276" s="653"/>
      <c r="AA1276" s="653"/>
      <c r="AB1276" s="1822"/>
      <c r="AC1276" s="650"/>
      <c r="AD1276" s="650"/>
      <c r="AE1276" s="636"/>
      <c r="AF1276" s="636"/>
      <c r="AG1276" s="638"/>
      <c r="AH1276" s="156"/>
      <c r="AI1276" s="156"/>
      <c r="AJ1276" s="156"/>
      <c r="AK1276" s="156"/>
      <c r="AL1276" s="156"/>
      <c r="AM1276" s="156"/>
      <c r="AN1276" s="156"/>
      <c r="AO1276" s="156"/>
      <c r="AP1276" s="156"/>
      <c r="AQ1276" s="156"/>
      <c r="AR1276" s="156"/>
      <c r="AS1276" s="156"/>
      <c r="AT1276" s="156"/>
      <c r="AU1276" s="156"/>
      <c r="AV1276" s="156"/>
      <c r="AW1276" s="156"/>
      <c r="AX1276" s="156"/>
      <c r="AY1276" s="156"/>
      <c r="AZ1276" s="156"/>
      <c r="BA1276" s="156"/>
      <c r="BB1276" s="2828"/>
      <c r="BC1276" s="452"/>
      <c r="BD1276" s="2829"/>
      <c r="BE1276" s="156"/>
      <c r="BF1276" s="156"/>
    </row>
    <row r="1277" spans="1:58" hidden="1" outlineLevel="1" x14ac:dyDescent="0.35">
      <c r="A1277" s="1071"/>
      <c r="B1277" s="106"/>
      <c r="C1277" s="103"/>
      <c r="D1277" s="3980"/>
      <c r="E1277" s="3980"/>
      <c r="F1277" s="3955" t="str">
        <f t="shared" si="243"/>
        <v>Mini/MultiSplitASHP-Replace_CAC_ElectricHeat_ER2_SF</v>
      </c>
      <c r="G1277" s="3956"/>
      <c r="H1277" s="3957"/>
      <c r="I1277" s="2672" t="str">
        <f t="shared" si="244"/>
        <v>351400_2021_12_</v>
      </c>
      <c r="J1277" s="650"/>
      <c r="K1277" s="2764"/>
      <c r="L1277" s="624"/>
      <c r="M1277" s="1304"/>
      <c r="N1277" s="1296"/>
      <c r="O1277" s="106"/>
      <c r="P1277" s="106"/>
      <c r="Q1277" s="106"/>
      <c r="R1277" s="106"/>
      <c r="S1277" s="106"/>
      <c r="T1277" s="106"/>
      <c r="U1277" s="106"/>
      <c r="V1277" s="4022"/>
      <c r="W1277" s="653"/>
      <c r="X1277" s="650"/>
      <c r="Y1277" s="650"/>
      <c r="Z1277" s="653"/>
      <c r="AA1277" s="653"/>
      <c r="AB1277" s="1822"/>
      <c r="AC1277" s="650"/>
      <c r="AD1277" s="650"/>
      <c r="AE1277" s="636"/>
      <c r="AF1277" s="636"/>
      <c r="AG1277" s="638"/>
      <c r="AH1277" s="156"/>
      <c r="AI1277" s="156"/>
      <c r="AJ1277" s="156"/>
      <c r="AK1277" s="156"/>
      <c r="AL1277" s="156"/>
      <c r="AM1277" s="156"/>
      <c r="AN1277" s="156"/>
      <c r="AO1277" s="156"/>
      <c r="AP1277" s="156"/>
      <c r="AQ1277" s="156"/>
      <c r="AR1277" s="156"/>
      <c r="AS1277" s="156"/>
      <c r="AT1277" s="156"/>
      <c r="AU1277" s="156"/>
      <c r="AV1277" s="156"/>
      <c r="AW1277" s="156"/>
      <c r="AX1277" s="156"/>
      <c r="AY1277" s="156"/>
      <c r="AZ1277" s="156"/>
      <c r="BA1277" s="156"/>
      <c r="BB1277" s="2828"/>
      <c r="BC1277" s="452"/>
      <c r="BD1277" s="2829"/>
      <c r="BE1277" s="156"/>
      <c r="BF1277" s="156"/>
    </row>
    <row r="1278" spans="1:58" hidden="1" outlineLevel="1" x14ac:dyDescent="0.35">
      <c r="A1278" s="1071"/>
      <c r="B1278" s="106"/>
      <c r="C1278" s="103"/>
      <c r="D1278" s="3980"/>
      <c r="E1278" s="3980"/>
      <c r="F1278" s="3961" t="str">
        <f t="shared" si="243"/>
        <v>Mini/MultiSplitASHP-Replace_CAC_NonElectricHeat_ER1_SF</v>
      </c>
      <c r="G1278" s="3962"/>
      <c r="H1278" s="3963"/>
      <c r="I1278" s="2755" t="str">
        <f t="shared" si="244"/>
        <v>351401_2022_12_</v>
      </c>
      <c r="J1278" s="650">
        <f>((P$903*K1278)+P$885)-((O$905*K1278)/((1+P$907)^(P$908-1)))</f>
        <v>2768.8371103720847</v>
      </c>
      <c r="K1278" s="2764">
        <f>K1022</f>
        <v>1.740909090909091</v>
      </c>
      <c r="L1278" s="1805" t="s">
        <v>1087</v>
      </c>
      <c r="M1278" s="1304"/>
      <c r="N1278" s="1296"/>
      <c r="O1278" s="106"/>
      <c r="P1278" s="106"/>
      <c r="Q1278" s="106"/>
      <c r="R1278" s="106"/>
      <c r="S1278" s="106"/>
      <c r="T1278" s="106"/>
      <c r="U1278" s="106"/>
      <c r="V1278" s="4022"/>
      <c r="W1278" s="653"/>
      <c r="X1278" s="650"/>
      <c r="Y1278" s="650"/>
      <c r="Z1278" s="653"/>
      <c r="AA1278" s="653"/>
      <c r="AB1278" s="1822"/>
      <c r="AC1278" s="650"/>
      <c r="AD1278" s="650">
        <v>2768.8371103720847</v>
      </c>
      <c r="AE1278" s="636"/>
      <c r="AF1278" s="636"/>
      <c r="AG1278" s="638"/>
      <c r="AH1278" s="156"/>
      <c r="AI1278" s="156"/>
      <c r="AJ1278" s="156"/>
      <c r="AK1278" s="156"/>
      <c r="AL1278" s="156"/>
      <c r="AM1278" s="156"/>
      <c r="AN1278" s="156"/>
      <c r="AO1278" s="156"/>
      <c r="AP1278" s="156"/>
      <c r="AQ1278" s="156"/>
      <c r="AR1278" s="156"/>
      <c r="AS1278" s="156"/>
      <c r="AT1278" s="156"/>
      <c r="AU1278" s="156"/>
      <c r="AV1278" s="156"/>
      <c r="AW1278" s="156"/>
      <c r="AX1278" s="156"/>
      <c r="AY1278" s="156"/>
      <c r="AZ1278" s="156"/>
      <c r="BA1278" s="156"/>
      <c r="BB1278" s="2828"/>
      <c r="BC1278" s="452"/>
      <c r="BD1278" s="2829"/>
      <c r="BE1278" s="156"/>
      <c r="BF1278" s="156"/>
    </row>
    <row r="1279" spans="1:58" hidden="1" outlineLevel="1" x14ac:dyDescent="0.35">
      <c r="A1279" s="1071"/>
      <c r="B1279" s="106"/>
      <c r="C1279" s="103"/>
      <c r="D1279" s="3980"/>
      <c r="E1279" s="3980"/>
      <c r="F1279" s="3964" t="str">
        <f t="shared" si="243"/>
        <v>Mini/MultiSplitASHP-Replace_CAC_NonElectricHeat_ER1_SF</v>
      </c>
      <c r="G1279" s="3965"/>
      <c r="H1279" s="3966"/>
      <c r="I1279" s="2755" t="str">
        <f t="shared" si="244"/>
        <v>351401_2022_12_</v>
      </c>
      <c r="J1279" s="650"/>
      <c r="K1279" s="2764"/>
      <c r="L1279" s="1805"/>
      <c r="M1279" s="1304"/>
      <c r="N1279" s="1296"/>
      <c r="O1279" s="106"/>
      <c r="P1279" s="106"/>
      <c r="Q1279" s="106"/>
      <c r="R1279" s="106"/>
      <c r="S1279" s="106"/>
      <c r="T1279" s="106"/>
      <c r="U1279" s="106"/>
      <c r="V1279" s="4022"/>
      <c r="W1279" s="653"/>
      <c r="X1279" s="650"/>
      <c r="Y1279" s="650"/>
      <c r="Z1279" s="653"/>
      <c r="AA1279" s="653"/>
      <c r="AB1279" s="1822"/>
      <c r="AC1279" s="650"/>
      <c r="AD1279" s="650"/>
      <c r="AE1279" s="636"/>
      <c r="AF1279" s="636"/>
      <c r="AG1279" s="638"/>
      <c r="AH1279" s="156"/>
      <c r="AI1279" s="156"/>
      <c r="AJ1279" s="156"/>
      <c r="AK1279" s="156"/>
      <c r="AL1279" s="156"/>
      <c r="AM1279" s="156"/>
      <c r="AN1279" s="156"/>
      <c r="AO1279" s="156"/>
      <c r="AP1279" s="156"/>
      <c r="AQ1279" s="156"/>
      <c r="AR1279" s="156"/>
      <c r="AS1279" s="156"/>
      <c r="AT1279" s="156"/>
      <c r="AU1279" s="156"/>
      <c r="AV1279" s="156"/>
      <c r="AW1279" s="156"/>
      <c r="AX1279" s="156"/>
      <c r="AY1279" s="156"/>
      <c r="AZ1279" s="156"/>
      <c r="BA1279" s="156"/>
      <c r="BB1279" s="2828"/>
      <c r="BC1279" s="452"/>
      <c r="BD1279" s="2829"/>
      <c r="BE1279" s="156"/>
      <c r="BF1279" s="156"/>
    </row>
    <row r="1280" spans="1:58" hidden="1" outlineLevel="1" x14ac:dyDescent="0.35">
      <c r="A1280" s="1071"/>
      <c r="B1280" s="106"/>
      <c r="C1280" s="103"/>
      <c r="D1280" s="3980"/>
      <c r="E1280" s="3980"/>
      <c r="F1280" s="3964" t="str">
        <f t="shared" si="243"/>
        <v>Mini/MultiSplitASHP-Replace_CAC_NonElectricHeat_ER2_SF</v>
      </c>
      <c r="G1280" s="3965"/>
      <c r="H1280" s="3966"/>
      <c r="I1280" s="2755" t="str">
        <f t="shared" si="244"/>
        <v>351401_2022_12_</v>
      </c>
      <c r="J1280" s="650"/>
      <c r="K1280" s="2764"/>
      <c r="L1280" s="1805"/>
      <c r="M1280" s="1304"/>
      <c r="N1280" s="1296"/>
      <c r="O1280" s="106"/>
      <c r="P1280" s="106"/>
      <c r="Q1280" s="106"/>
      <c r="R1280" s="106"/>
      <c r="S1280" s="106"/>
      <c r="T1280" s="106"/>
      <c r="U1280" s="106"/>
      <c r="V1280" s="4022"/>
      <c r="W1280" s="653"/>
      <c r="X1280" s="650"/>
      <c r="Y1280" s="650"/>
      <c r="Z1280" s="653"/>
      <c r="AA1280" s="653"/>
      <c r="AB1280" s="1822"/>
      <c r="AC1280" s="650"/>
      <c r="AD1280" s="650"/>
      <c r="AE1280" s="636"/>
      <c r="AF1280" s="636"/>
      <c r="AG1280" s="638"/>
      <c r="AH1280" s="156"/>
      <c r="AI1280" s="156"/>
      <c r="AJ1280" s="156"/>
      <c r="AK1280" s="156"/>
      <c r="AL1280" s="156"/>
      <c r="AM1280" s="156"/>
      <c r="AN1280" s="156"/>
      <c r="AO1280" s="156"/>
      <c r="AP1280" s="156"/>
      <c r="AQ1280" s="156"/>
      <c r="AR1280" s="156"/>
      <c r="AS1280" s="156"/>
      <c r="AT1280" s="156"/>
      <c r="AU1280" s="156"/>
      <c r="AV1280" s="156"/>
      <c r="AW1280" s="156"/>
      <c r="AX1280" s="156"/>
      <c r="AY1280" s="156"/>
      <c r="AZ1280" s="156"/>
      <c r="BA1280" s="156"/>
      <c r="BB1280" s="2828"/>
      <c r="BC1280" s="452"/>
      <c r="BD1280" s="2829"/>
      <c r="BE1280" s="156"/>
      <c r="BF1280" s="156"/>
    </row>
    <row r="1281" spans="1:58" hidden="1" outlineLevel="1" x14ac:dyDescent="0.35">
      <c r="A1281" s="1071"/>
      <c r="B1281" s="106"/>
      <c r="C1281" s="103"/>
      <c r="D1281" s="3980"/>
      <c r="E1281" s="3980"/>
      <c r="F1281" s="3946" t="str">
        <f t="shared" si="243"/>
        <v>Mini/MultiSplitASHP-Replace_CAC_NonElectricHeat_ER2_SF</v>
      </c>
      <c r="G1281" s="3947"/>
      <c r="H1281" s="3948"/>
      <c r="I1281" s="2755" t="str">
        <f t="shared" si="244"/>
        <v>351401_2022_12_</v>
      </c>
      <c r="J1281" s="650"/>
      <c r="K1281" s="2764"/>
      <c r="L1281" s="1805"/>
      <c r="M1281" s="1304"/>
      <c r="N1281" s="1296"/>
      <c r="O1281" s="106"/>
      <c r="P1281" s="106"/>
      <c r="Q1281" s="106"/>
      <c r="R1281" s="106"/>
      <c r="S1281" s="106"/>
      <c r="T1281" s="106"/>
      <c r="U1281" s="106"/>
      <c r="V1281" s="4022"/>
      <c r="W1281" s="653"/>
      <c r="X1281" s="650"/>
      <c r="Y1281" s="650"/>
      <c r="Z1281" s="653"/>
      <c r="AA1281" s="653"/>
      <c r="AB1281" s="1822"/>
      <c r="AC1281" s="650"/>
      <c r="AD1281" s="650"/>
      <c r="AE1281" s="636"/>
      <c r="AF1281" s="636"/>
      <c r="AG1281" s="638"/>
      <c r="AH1281" s="156"/>
      <c r="AI1281" s="156"/>
      <c r="AJ1281" s="156"/>
      <c r="AK1281" s="156"/>
      <c r="AL1281" s="156"/>
      <c r="AM1281" s="156"/>
      <c r="AN1281" s="156"/>
      <c r="AO1281" s="156"/>
      <c r="AP1281" s="156"/>
      <c r="AQ1281" s="156"/>
      <c r="AR1281" s="156"/>
      <c r="AS1281" s="156"/>
      <c r="AT1281" s="156"/>
      <c r="AU1281" s="156"/>
      <c r="AV1281" s="156"/>
      <c r="AW1281" s="156"/>
      <c r="AX1281" s="156"/>
      <c r="AY1281" s="156"/>
      <c r="AZ1281" s="156"/>
      <c r="BA1281" s="156"/>
      <c r="BB1281" s="2828"/>
      <c r="BC1281" s="452"/>
      <c r="BD1281" s="2829"/>
      <c r="BE1281" s="156"/>
      <c r="BF1281" s="156"/>
    </row>
    <row r="1282" spans="1:58" hidden="1" outlineLevel="1" x14ac:dyDescent="0.35">
      <c r="A1282" s="1071"/>
      <c r="B1282" s="106"/>
      <c r="C1282" s="103"/>
      <c r="D1282" s="3980"/>
      <c r="E1282" s="3980"/>
      <c r="F1282" s="3949" t="str">
        <f t="shared" si="243"/>
        <v>Mini/MultiSplitASHP-Replace_CAC_ElectricHeat_ROF_SF</v>
      </c>
      <c r="G1282" s="3950"/>
      <c r="H1282" s="3951"/>
      <c r="I1282" s="2672" t="str">
        <f t="shared" si="244"/>
        <v>351450_2021_12_</v>
      </c>
      <c r="J1282" s="650">
        <f>(MIN(2000,P$896)-P$903)*K$883</f>
        <v>364.64165582663026</v>
      </c>
      <c r="K1282" s="2764">
        <f>K1021</f>
        <v>1.5323741007194249</v>
      </c>
      <c r="L1282" s="624" t="s">
        <v>1087</v>
      </c>
      <c r="M1282" s="1304"/>
      <c r="N1282" s="1296"/>
      <c r="O1282" s="106"/>
      <c r="P1282" s="106"/>
      <c r="Q1282" s="106"/>
      <c r="R1282" s="106"/>
      <c r="S1282" s="106"/>
      <c r="T1282" s="106"/>
      <c r="U1282" s="106"/>
      <c r="V1282" s="4022"/>
      <c r="W1282" s="653">
        <v>1121.0666666666668</v>
      </c>
      <c r="X1282" s="650">
        <f>(1051*(X$1021/12000)/1.5)*X$1166</f>
        <v>1051</v>
      </c>
      <c r="Y1282" s="650">
        <f>(1051*(Y$1021/12000)/1.5)*Y$1166</f>
        <v>1121.0666666666668</v>
      </c>
      <c r="Z1282" s="653">
        <v>1121.0666666666668</v>
      </c>
      <c r="AA1282" s="653">
        <v>1121.0666666666668</v>
      </c>
      <c r="AB1282" s="1822">
        <v>336</v>
      </c>
      <c r="AC1282" s="650">
        <v>337.89830508474574</v>
      </c>
      <c r="AD1282" s="650">
        <v>364.64165582663026</v>
      </c>
      <c r="AE1282" s="636"/>
      <c r="AF1282" s="636"/>
      <c r="AG1282" s="638"/>
      <c r="AH1282" s="156"/>
      <c r="AI1282" s="156"/>
      <c r="AJ1282" s="156"/>
      <c r="AK1282" s="156"/>
      <c r="AL1282" s="156"/>
      <c r="AM1282" s="156"/>
      <c r="AN1282" s="156"/>
      <c r="AO1282" s="156"/>
      <c r="AP1282" s="156"/>
      <c r="AQ1282" s="156"/>
      <c r="AR1282" s="156"/>
      <c r="AS1282" s="156"/>
      <c r="AT1282" s="156"/>
      <c r="AU1282" s="156"/>
      <c r="AV1282" s="156"/>
      <c r="AW1282" s="156"/>
      <c r="AX1282" s="156"/>
      <c r="AY1282" s="156"/>
      <c r="AZ1282" s="156"/>
      <c r="BA1282" s="156"/>
      <c r="BB1282" s="2828"/>
      <c r="BC1282" s="452"/>
      <c r="BD1282" s="2829"/>
      <c r="BE1282" s="156"/>
      <c r="BF1282" s="156"/>
    </row>
    <row r="1283" spans="1:58" hidden="1" outlineLevel="1" x14ac:dyDescent="0.35">
      <c r="A1283" s="1071"/>
      <c r="B1283" s="106"/>
      <c r="C1283" s="103"/>
      <c r="D1283" s="3980"/>
      <c r="E1283" s="3980"/>
      <c r="F1283" s="3955" t="str">
        <f t="shared" si="243"/>
        <v>Mini/MultiSplitASHP-Replace_CAC_ElectricHeat_ROF_SF</v>
      </c>
      <c r="G1283" s="3956"/>
      <c r="H1283" s="3957"/>
      <c r="I1283" s="2672" t="str">
        <f t="shared" si="244"/>
        <v>351450_2021_12_</v>
      </c>
      <c r="J1283" s="650"/>
      <c r="K1283" s="2764"/>
      <c r="L1283" s="624"/>
      <c r="M1283" s="1304"/>
      <c r="N1283" s="1296"/>
      <c r="O1283" s="106"/>
      <c r="P1283" s="106"/>
      <c r="Q1283" s="106"/>
      <c r="R1283" s="106"/>
      <c r="S1283" s="106"/>
      <c r="T1283" s="106"/>
      <c r="U1283" s="106"/>
      <c r="V1283" s="4022"/>
      <c r="W1283" s="653"/>
      <c r="X1283" s="650"/>
      <c r="Y1283" s="650"/>
      <c r="Z1283" s="653"/>
      <c r="AA1283" s="653"/>
      <c r="AB1283" s="1822"/>
      <c r="AC1283" s="650"/>
      <c r="AD1283" s="650"/>
      <c r="AE1283" s="636"/>
      <c r="AF1283" s="636"/>
      <c r="AG1283" s="638"/>
      <c r="AH1283" s="156"/>
      <c r="AI1283" s="156"/>
      <c r="AJ1283" s="156"/>
      <c r="AK1283" s="156"/>
      <c r="AL1283" s="156"/>
      <c r="AM1283" s="156"/>
      <c r="AN1283" s="156"/>
      <c r="AO1283" s="156"/>
      <c r="AP1283" s="156"/>
      <c r="AQ1283" s="156"/>
      <c r="AR1283" s="156"/>
      <c r="AS1283" s="156"/>
      <c r="AT1283" s="156"/>
      <c r="AU1283" s="156"/>
      <c r="AV1283" s="156"/>
      <c r="AW1283" s="156"/>
      <c r="AX1283" s="156"/>
      <c r="AY1283" s="156"/>
      <c r="AZ1283" s="156"/>
      <c r="BA1283" s="156"/>
      <c r="BB1283" s="2828"/>
      <c r="BC1283" s="452"/>
      <c r="BD1283" s="2829"/>
      <c r="BE1283" s="156"/>
      <c r="BF1283" s="156"/>
    </row>
    <row r="1284" spans="1:58" hidden="1" outlineLevel="1" x14ac:dyDescent="0.35">
      <c r="A1284" s="1071"/>
      <c r="B1284" s="106"/>
      <c r="C1284" s="103"/>
      <c r="D1284" s="3980"/>
      <c r="E1284" s="3980"/>
      <c r="F1284" s="3961" t="str">
        <f t="shared" si="243"/>
        <v>Mini/MultiSplitASHP-Replace_CAC_NonElectricHeat_ROF_SF</v>
      </c>
      <c r="G1284" s="3962"/>
      <c r="H1284" s="3963"/>
      <c r="I1284" s="2755" t="str">
        <f t="shared" si="244"/>
        <v>351451_2022_12_</v>
      </c>
      <c r="J1284" s="650">
        <f>(MIN(2000,P$896)-P$903)*K$883</f>
        <v>364.64165582663026</v>
      </c>
      <c r="K1284" s="2764">
        <f>K1023</f>
        <v>1.5323741007194249</v>
      </c>
      <c r="L1284" s="1805" t="s">
        <v>1087</v>
      </c>
      <c r="M1284" s="1304"/>
      <c r="N1284" s="1296"/>
      <c r="O1284" s="106"/>
      <c r="P1284" s="106"/>
      <c r="Q1284" s="106"/>
      <c r="R1284" s="106"/>
      <c r="S1284" s="106"/>
      <c r="T1284" s="106"/>
      <c r="U1284" s="106"/>
      <c r="V1284" s="4022"/>
      <c r="W1284" s="653"/>
      <c r="X1284" s="650"/>
      <c r="Y1284" s="650"/>
      <c r="Z1284" s="653"/>
      <c r="AA1284" s="653"/>
      <c r="AB1284" s="1822"/>
      <c r="AC1284" s="650"/>
      <c r="AD1284" s="650">
        <v>364.64165582663026</v>
      </c>
      <c r="AE1284" s="636"/>
      <c r="AF1284" s="636"/>
      <c r="AG1284" s="638"/>
      <c r="AH1284" s="156"/>
      <c r="AI1284" s="156"/>
      <c r="AJ1284" s="156"/>
      <c r="AK1284" s="156"/>
      <c r="AL1284" s="156"/>
      <c r="AM1284" s="156"/>
      <c r="AN1284" s="156"/>
      <c r="AO1284" s="156"/>
      <c r="AP1284" s="156"/>
      <c r="AQ1284" s="156"/>
      <c r="AR1284" s="156"/>
      <c r="AS1284" s="156"/>
      <c r="AT1284" s="156"/>
      <c r="AU1284" s="156"/>
      <c r="AV1284" s="156"/>
      <c r="AW1284" s="156"/>
      <c r="AX1284" s="156"/>
      <c r="AY1284" s="156"/>
      <c r="AZ1284" s="156"/>
      <c r="BA1284" s="156"/>
      <c r="BB1284" s="2828"/>
      <c r="BC1284" s="452"/>
      <c r="BD1284" s="2829"/>
      <c r="BE1284" s="156"/>
      <c r="BF1284" s="156"/>
    </row>
    <row r="1285" spans="1:58" hidden="1" outlineLevel="1" x14ac:dyDescent="0.35">
      <c r="A1285" s="1071"/>
      <c r="B1285" s="106"/>
      <c r="C1285" s="103"/>
      <c r="D1285" s="3980"/>
      <c r="E1285" s="3980"/>
      <c r="F1285" s="3946" t="str">
        <f t="shared" si="243"/>
        <v>Mini/MultiSplitASHP-Replace_CAC_NonElectricHeat_ROF_SF</v>
      </c>
      <c r="G1285" s="3947"/>
      <c r="H1285" s="3948"/>
      <c r="I1285" s="2755" t="str">
        <f t="shared" si="244"/>
        <v>351451_2022_12_</v>
      </c>
      <c r="J1285" s="650"/>
      <c r="K1285" s="2764"/>
      <c r="L1285" s="1805"/>
      <c r="M1285" s="1304"/>
      <c r="N1285" s="1296"/>
      <c r="O1285" s="106"/>
      <c r="P1285" s="106"/>
      <c r="Q1285" s="106"/>
      <c r="R1285" s="106"/>
      <c r="S1285" s="106"/>
      <c r="T1285" s="106"/>
      <c r="U1285" s="106"/>
      <c r="V1285" s="4022"/>
      <c r="W1285" s="653"/>
      <c r="X1285" s="650"/>
      <c r="Y1285" s="650"/>
      <c r="Z1285" s="653"/>
      <c r="AA1285" s="653"/>
      <c r="AB1285" s="1822"/>
      <c r="AC1285" s="650"/>
      <c r="AD1285" s="650"/>
      <c r="AE1285" s="636"/>
      <c r="AF1285" s="636"/>
      <c r="AG1285" s="638"/>
      <c r="AH1285" s="156"/>
      <c r="AI1285" s="156"/>
      <c r="AJ1285" s="156"/>
      <c r="AK1285" s="156"/>
      <c r="AL1285" s="156"/>
      <c r="AM1285" s="156"/>
      <c r="AN1285" s="156"/>
      <c r="AO1285" s="156"/>
      <c r="AP1285" s="156"/>
      <c r="AQ1285" s="156"/>
      <c r="AR1285" s="156"/>
      <c r="AS1285" s="156"/>
      <c r="AT1285" s="156"/>
      <c r="AU1285" s="156"/>
      <c r="AV1285" s="156"/>
      <c r="AW1285" s="156"/>
      <c r="AX1285" s="156"/>
      <c r="AY1285" s="156"/>
      <c r="AZ1285" s="156"/>
      <c r="BA1285" s="156"/>
      <c r="BB1285" s="2828"/>
      <c r="BC1285" s="452"/>
      <c r="BD1285" s="2829"/>
      <c r="BE1285" s="156"/>
      <c r="BF1285" s="156"/>
    </row>
    <row r="1286" spans="1:58" hidden="1" outlineLevel="1" x14ac:dyDescent="0.35">
      <c r="A1286" s="1071"/>
      <c r="B1286" s="106"/>
      <c r="C1286" s="103"/>
      <c r="D1286" s="3980"/>
      <c r="E1286" s="3980"/>
      <c r="F1286" s="3949" t="str">
        <f t="shared" si="243"/>
        <v>Mini/MultiSplitASHP_ER1_SF</v>
      </c>
      <c r="G1286" s="3950"/>
      <c r="H1286" s="3951"/>
      <c r="I1286" s="2672" t="str">
        <f t="shared" si="244"/>
        <v>351500_2021_12_</v>
      </c>
      <c r="J1286" s="650">
        <f>((P$903*K1286)+P$885)-((O$903*K1286)/((1+P$907)^(P$908-1)))</f>
        <v>789.39384082840229</v>
      </c>
      <c r="K1286" s="2764">
        <f>K1024</f>
        <v>1.740909090909091</v>
      </c>
      <c r="L1286" s="624" t="s">
        <v>1087</v>
      </c>
      <c r="M1286" s="1304"/>
      <c r="N1286" s="1296"/>
      <c r="O1286" s="106"/>
      <c r="P1286" s="106"/>
      <c r="Q1286" s="106"/>
      <c r="R1286" s="106"/>
      <c r="S1286" s="106"/>
      <c r="T1286" s="106"/>
      <c r="U1286" s="106"/>
      <c r="V1286" s="4022"/>
      <c r="W1286" s="653">
        <v>2246.2666666666669</v>
      </c>
      <c r="X1286" s="650">
        <f>(1982*(X$1024/12000)/1.5)*X$1170</f>
        <v>1982</v>
      </c>
      <c r="Y1286" s="650">
        <f>(1982*(Y$1024/12000)/1.5)*Y$1170</f>
        <v>1982</v>
      </c>
      <c r="Z1286" s="653">
        <v>1982</v>
      </c>
      <c r="AA1286" s="653">
        <v>1982</v>
      </c>
      <c r="AB1286" s="1822">
        <v>648.60319098531227</v>
      </c>
      <c r="AC1286" s="650">
        <v>698.32770489042764</v>
      </c>
      <c r="AD1286" s="650">
        <v>789.39384082840229</v>
      </c>
      <c r="AE1286" s="636"/>
      <c r="AF1286" s="636"/>
      <c r="AG1286" s="638"/>
      <c r="AH1286" s="156"/>
      <c r="AI1286" s="156"/>
      <c r="AJ1286" s="156"/>
      <c r="AK1286" s="156"/>
      <c r="AL1286" s="156"/>
      <c r="AM1286" s="156"/>
      <c r="AN1286" s="156"/>
      <c r="AO1286" s="156"/>
      <c r="AP1286" s="156"/>
      <c r="AQ1286" s="156"/>
      <c r="AR1286" s="156"/>
      <c r="AS1286" s="156"/>
      <c r="AT1286" s="156"/>
      <c r="AU1286" s="156"/>
      <c r="AV1286" s="156"/>
      <c r="AW1286" s="156"/>
      <c r="AX1286" s="156"/>
      <c r="AY1286" s="156"/>
      <c r="AZ1286" s="156"/>
      <c r="BA1286" s="156"/>
      <c r="BB1286" s="2828"/>
      <c r="BC1286" s="452"/>
      <c r="BD1286" s="2829"/>
      <c r="BE1286" s="156"/>
      <c r="BF1286" s="156"/>
    </row>
    <row r="1287" spans="1:58" hidden="1" outlineLevel="1" x14ac:dyDescent="0.35">
      <c r="A1287" s="1071"/>
      <c r="B1287" s="106"/>
      <c r="C1287" s="103"/>
      <c r="D1287" s="3980"/>
      <c r="E1287" s="3980"/>
      <c r="F1287" s="3952" t="str">
        <f t="shared" si="243"/>
        <v>Mini/MultiSplitASHP_ER1_SF</v>
      </c>
      <c r="G1287" s="3953"/>
      <c r="H1287" s="3954"/>
      <c r="I1287" s="2672" t="str">
        <f t="shared" si="244"/>
        <v>351500_2021_12_</v>
      </c>
      <c r="J1287" s="654"/>
      <c r="K1287" s="2764"/>
      <c r="L1287" s="624"/>
      <c r="M1287" s="1304"/>
      <c r="N1287" s="1296"/>
      <c r="O1287" s="106"/>
      <c r="P1287" s="106"/>
      <c r="Q1287" s="106"/>
      <c r="R1287" s="106"/>
      <c r="S1287" s="106"/>
      <c r="T1287" s="106"/>
      <c r="U1287" s="106"/>
      <c r="V1287" s="4022"/>
      <c r="W1287" s="655"/>
      <c r="X1287" s="654"/>
      <c r="Y1287" s="654"/>
      <c r="Z1287" s="655"/>
      <c r="AA1287" s="655"/>
      <c r="AB1287" s="1822"/>
      <c r="AC1287" s="654"/>
      <c r="AD1287" s="654"/>
      <c r="AE1287" s="636"/>
      <c r="AF1287" s="636"/>
      <c r="AG1287" s="638"/>
      <c r="AH1287" s="156"/>
      <c r="AI1287" s="156"/>
      <c r="AJ1287" s="156"/>
      <c r="AK1287" s="156"/>
      <c r="AL1287" s="156"/>
      <c r="AM1287" s="156"/>
      <c r="AN1287" s="156"/>
      <c r="AO1287" s="156"/>
      <c r="AP1287" s="156"/>
      <c r="AQ1287" s="156"/>
      <c r="AR1287" s="156"/>
      <c r="AS1287" s="156"/>
      <c r="AT1287" s="156"/>
      <c r="AU1287" s="156"/>
      <c r="AV1287" s="156"/>
      <c r="AW1287" s="156"/>
      <c r="AX1287" s="156"/>
      <c r="AY1287" s="156"/>
      <c r="AZ1287" s="156"/>
      <c r="BA1287" s="156"/>
      <c r="BB1287" s="2828"/>
      <c r="BC1287" s="452"/>
      <c r="BD1287" s="2829"/>
      <c r="BE1287" s="156"/>
      <c r="BF1287" s="156"/>
    </row>
    <row r="1288" spans="1:58" hidden="1" outlineLevel="1" x14ac:dyDescent="0.35">
      <c r="A1288" s="1071"/>
      <c r="B1288" s="106"/>
      <c r="C1288" s="103"/>
      <c r="D1288" s="3980"/>
      <c r="E1288" s="3980"/>
      <c r="F1288" s="3952" t="str">
        <f t="shared" si="243"/>
        <v>Mini/MultiSplitASHP_ER2_SF</v>
      </c>
      <c r="G1288" s="3953"/>
      <c r="H1288" s="3954"/>
      <c r="I1288" s="2672" t="str">
        <f t="shared" si="244"/>
        <v>351500_2021_12_</v>
      </c>
      <c r="J1288" s="654"/>
      <c r="K1288" s="2764"/>
      <c r="L1288" s="624"/>
      <c r="M1288" s="1304"/>
      <c r="N1288" s="1296"/>
      <c r="O1288" s="106"/>
      <c r="P1288" s="106"/>
      <c r="Q1288" s="106"/>
      <c r="R1288" s="106"/>
      <c r="S1288" s="106"/>
      <c r="T1288" s="106"/>
      <c r="U1288" s="106"/>
      <c r="V1288" s="4022"/>
      <c r="W1288" s="655"/>
      <c r="X1288" s="654"/>
      <c r="Y1288" s="654"/>
      <c r="Z1288" s="655"/>
      <c r="AA1288" s="655"/>
      <c r="AB1288" s="1822"/>
      <c r="AC1288" s="654"/>
      <c r="AD1288" s="654"/>
      <c r="AE1288" s="636"/>
      <c r="AF1288" s="636"/>
      <c r="AG1288" s="638"/>
      <c r="AH1288" s="156"/>
      <c r="AI1288" s="156"/>
      <c r="AJ1288" s="156"/>
      <c r="AK1288" s="156"/>
      <c r="AL1288" s="156"/>
      <c r="AM1288" s="156"/>
      <c r="AN1288" s="156"/>
      <c r="AO1288" s="156"/>
      <c r="AP1288" s="156"/>
      <c r="AQ1288" s="156"/>
      <c r="AR1288" s="156"/>
      <c r="AS1288" s="156"/>
      <c r="AT1288" s="156"/>
      <c r="AU1288" s="156"/>
      <c r="AV1288" s="156"/>
      <c r="AW1288" s="156"/>
      <c r="AX1288" s="156"/>
      <c r="AY1288" s="156"/>
      <c r="AZ1288" s="156"/>
      <c r="BA1288" s="156"/>
      <c r="BB1288" s="2828"/>
      <c r="BC1288" s="452"/>
      <c r="BD1288" s="2829"/>
      <c r="BE1288" s="156"/>
      <c r="BF1288" s="156"/>
    </row>
    <row r="1289" spans="1:58" hidden="1" outlineLevel="1" x14ac:dyDescent="0.35">
      <c r="A1289" s="1071"/>
      <c r="B1289" s="106"/>
      <c r="C1289" s="103"/>
      <c r="D1289" s="3980"/>
      <c r="E1289" s="3980"/>
      <c r="F1289" s="3955" t="str">
        <f t="shared" si="243"/>
        <v>Mini/MultiSplitASHP_ER2_SF</v>
      </c>
      <c r="G1289" s="3956"/>
      <c r="H1289" s="3957"/>
      <c r="I1289" s="2672" t="str">
        <f t="shared" si="244"/>
        <v>351500_2021_12_</v>
      </c>
      <c r="J1289" s="654"/>
      <c r="K1289" s="2764"/>
      <c r="L1289" s="624"/>
      <c r="M1289" s="1304"/>
      <c r="N1289" s="1296"/>
      <c r="O1289" s="106"/>
      <c r="P1289" s="106"/>
      <c r="Q1289" s="106"/>
      <c r="R1289" s="106"/>
      <c r="S1289" s="106"/>
      <c r="T1289" s="106"/>
      <c r="U1289" s="106"/>
      <c r="V1289" s="4022"/>
      <c r="W1289" s="655"/>
      <c r="X1289" s="654"/>
      <c r="Y1289" s="654"/>
      <c r="Z1289" s="655"/>
      <c r="AA1289" s="655"/>
      <c r="AB1289" s="1822"/>
      <c r="AC1289" s="654"/>
      <c r="AD1289" s="654"/>
      <c r="AE1289" s="636"/>
      <c r="AF1289" s="636"/>
      <c r="AG1289" s="638"/>
      <c r="AH1289" s="156"/>
      <c r="AI1289" s="156"/>
      <c r="AJ1289" s="156"/>
      <c r="AK1289" s="156"/>
      <c r="AL1289" s="156"/>
      <c r="AM1289" s="156"/>
      <c r="AN1289" s="156"/>
      <c r="AO1289" s="156"/>
      <c r="AP1289" s="156"/>
      <c r="AQ1289" s="156"/>
      <c r="AR1289" s="156"/>
      <c r="AS1289" s="156"/>
      <c r="AT1289" s="156"/>
      <c r="AU1289" s="156"/>
      <c r="AV1289" s="156"/>
      <c r="AW1289" s="156"/>
      <c r="AX1289" s="156"/>
      <c r="AY1289" s="156"/>
      <c r="AZ1289" s="156"/>
      <c r="BA1289" s="156"/>
      <c r="BB1289" s="2828"/>
      <c r="BC1289" s="452"/>
      <c r="BD1289" s="2829"/>
      <c r="BE1289" s="156"/>
      <c r="BF1289" s="156"/>
    </row>
    <row r="1290" spans="1:58" hidden="1" outlineLevel="1" x14ac:dyDescent="0.35">
      <c r="A1290" s="1071"/>
      <c r="B1290" s="106"/>
      <c r="C1290" s="103"/>
      <c r="D1290" s="3980"/>
      <c r="E1290" s="3980"/>
      <c r="F1290" s="3949" t="str">
        <f t="shared" si="243"/>
        <v>Mini/MultiSplitAC_ER1_MF</v>
      </c>
      <c r="G1290" s="3950"/>
      <c r="H1290" s="3951"/>
      <c r="I1290" s="2672" t="str">
        <f t="shared" si="244"/>
        <v>351550_2021_12_</v>
      </c>
      <c r="J1290" s="650">
        <f>((P$903*K1290)+P$885)-((O$904*K1290)/((1+P$907)^(P$908-1)))</f>
        <v>1558.1873453016101</v>
      </c>
      <c r="K1290" s="2764">
        <f>K1025</f>
        <v>2</v>
      </c>
      <c r="L1290" s="624" t="s">
        <v>1087</v>
      </c>
      <c r="M1290" s="1304"/>
      <c r="N1290" s="1296"/>
      <c r="O1290" s="106"/>
      <c r="P1290" s="106"/>
      <c r="Q1290" s="106"/>
      <c r="R1290" s="106"/>
      <c r="S1290" s="106"/>
      <c r="T1290" s="106"/>
      <c r="U1290" s="106"/>
      <c r="V1290" s="4022"/>
      <c r="W1290" s="655">
        <v>1601.3999999999999</v>
      </c>
      <c r="X1290" s="654">
        <f>(1413*(X$1016/12000)/1.5*X$1174)</f>
        <v>918.45</v>
      </c>
      <c r="Y1290" s="654">
        <f>(1413*(Y$1016/12000)/1.5*Y$1174)</f>
        <v>1413</v>
      </c>
      <c r="Z1290" s="655">
        <v>1413</v>
      </c>
      <c r="AA1290" s="655">
        <v>1413</v>
      </c>
      <c r="AB1290" s="1822">
        <v>1231.1592671062349</v>
      </c>
      <c r="AC1290" s="650">
        <v>1133.5954314013989</v>
      </c>
      <c r="AD1290" s="650">
        <v>1558.1873453016101</v>
      </c>
      <c r="AE1290" s="636"/>
      <c r="AF1290" s="636"/>
      <c r="AG1290" s="638"/>
      <c r="AH1290" s="156"/>
      <c r="AI1290" s="156"/>
      <c r="AJ1290" s="156"/>
      <c r="AK1290" s="156"/>
      <c r="AL1290" s="156"/>
      <c r="AM1290" s="156"/>
      <c r="AN1290" s="156"/>
      <c r="AO1290" s="156"/>
      <c r="AP1290" s="156"/>
      <c r="AQ1290" s="156"/>
      <c r="AR1290" s="156"/>
      <c r="AS1290" s="156"/>
      <c r="AT1290" s="156"/>
      <c r="AU1290" s="156"/>
      <c r="AV1290" s="156"/>
      <c r="AW1290" s="156"/>
      <c r="AX1290" s="156"/>
      <c r="AY1290" s="156"/>
      <c r="AZ1290" s="156"/>
      <c r="BA1290" s="156"/>
      <c r="BB1290" s="2828"/>
      <c r="BC1290" s="452"/>
      <c r="BD1290" s="2829"/>
      <c r="BE1290" s="156"/>
      <c r="BF1290" s="156"/>
    </row>
    <row r="1291" spans="1:58" hidden="1" outlineLevel="1" x14ac:dyDescent="0.35">
      <c r="A1291" s="1071"/>
      <c r="B1291" s="106"/>
      <c r="C1291" s="103"/>
      <c r="D1291" s="3980"/>
      <c r="E1291" s="3980"/>
      <c r="F1291" s="3955" t="str">
        <f t="shared" si="243"/>
        <v>Mini/MultiSplitAC_ER2_MF</v>
      </c>
      <c r="G1291" s="3956"/>
      <c r="H1291" s="3957"/>
      <c r="I1291" s="2672" t="str">
        <f t="shared" si="244"/>
        <v>351550_2021_12_</v>
      </c>
      <c r="J1291" s="654"/>
      <c r="K1291" s="2764"/>
      <c r="L1291" s="624"/>
      <c r="M1291" s="1304"/>
      <c r="N1291" s="1296"/>
      <c r="O1291" s="106"/>
      <c r="P1291" s="106"/>
      <c r="Q1291" s="106"/>
      <c r="R1291" s="106"/>
      <c r="S1291" s="106"/>
      <c r="T1291" s="106"/>
      <c r="U1291" s="106"/>
      <c r="V1291" s="4022"/>
      <c r="W1291" s="655"/>
      <c r="X1291" s="654"/>
      <c r="Y1291" s="654"/>
      <c r="Z1291" s="655"/>
      <c r="AA1291" s="655"/>
      <c r="AB1291" s="1822"/>
      <c r="AC1291" s="654"/>
      <c r="AD1291" s="654"/>
      <c r="AE1291" s="636"/>
      <c r="AF1291" s="636"/>
      <c r="AG1291" s="638"/>
      <c r="AH1291" s="156"/>
      <c r="AI1291" s="156"/>
      <c r="AJ1291" s="156"/>
      <c r="AK1291" s="156"/>
      <c r="AL1291" s="156"/>
      <c r="AM1291" s="156"/>
      <c r="AN1291" s="156"/>
      <c r="AO1291" s="156"/>
      <c r="AP1291" s="156"/>
      <c r="AQ1291" s="156"/>
      <c r="AR1291" s="156"/>
      <c r="AS1291" s="156"/>
      <c r="AT1291" s="156"/>
      <c r="AU1291" s="156"/>
      <c r="AV1291" s="156"/>
      <c r="AW1291" s="156"/>
      <c r="AX1291" s="156"/>
      <c r="AY1291" s="156"/>
      <c r="AZ1291" s="156"/>
      <c r="BA1291" s="156"/>
      <c r="BB1291" s="2828"/>
      <c r="BC1291" s="452"/>
      <c r="BD1291" s="2829"/>
      <c r="BE1291" s="156"/>
      <c r="BF1291" s="156"/>
    </row>
    <row r="1292" spans="1:58" hidden="1" outlineLevel="1" x14ac:dyDescent="0.35">
      <c r="A1292" s="1071"/>
      <c r="B1292" s="106"/>
      <c r="C1292" s="103"/>
      <c r="D1292" s="3980"/>
      <c r="E1292" s="3980"/>
      <c r="F1292" s="3970" t="str">
        <f t="shared" si="243"/>
        <v>Mini/MultiSplitAC_ROF_MF</v>
      </c>
      <c r="G1292" s="3971"/>
      <c r="H1292" s="3972"/>
      <c r="I1292" s="2672" t="str">
        <f t="shared" si="244"/>
        <v>351600_2021_12_</v>
      </c>
      <c r="J1292" s="650">
        <f>(MIN(2000,P$896)-P$903)*K$883</f>
        <v>364.64165582663026</v>
      </c>
      <c r="K1292" s="2764">
        <f>K1026</f>
        <v>2</v>
      </c>
      <c r="L1292" s="624" t="s">
        <v>1087</v>
      </c>
      <c r="M1292" s="1304"/>
      <c r="N1292" s="1296"/>
      <c r="O1292" s="106"/>
      <c r="P1292" s="106"/>
      <c r="Q1292" s="106"/>
      <c r="R1292" s="106"/>
      <c r="S1292" s="106"/>
      <c r="T1292" s="106"/>
      <c r="U1292" s="106"/>
      <c r="V1292" s="4022"/>
      <c r="W1292" s="655">
        <v>1043.7333333333333</v>
      </c>
      <c r="X1292" s="654">
        <f>(978.5/1.5*(X$1017/12000))*X$1176</f>
        <v>636.02499999999998</v>
      </c>
      <c r="Y1292" s="654">
        <f>(978.5/1.5*(Y$1017/12000))*Y$1176</f>
        <v>978.5</v>
      </c>
      <c r="Z1292" s="655">
        <v>978.5</v>
      </c>
      <c r="AA1292" s="655">
        <v>978.5</v>
      </c>
      <c r="AB1292" s="1822">
        <v>336</v>
      </c>
      <c r="AC1292" s="650">
        <v>337.89830508474574</v>
      </c>
      <c r="AD1292" s="650">
        <v>364.64165582663026</v>
      </c>
      <c r="AE1292" s="636"/>
      <c r="AF1292" s="636"/>
      <c r="AG1292" s="638"/>
      <c r="AH1292" s="156"/>
      <c r="AI1292" s="156"/>
      <c r="AJ1292" s="156"/>
      <c r="AK1292" s="156"/>
      <c r="AL1292" s="156"/>
      <c r="AM1292" s="156"/>
      <c r="AN1292" s="156"/>
      <c r="AO1292" s="156"/>
      <c r="AP1292" s="156"/>
      <c r="AQ1292" s="156"/>
      <c r="AR1292" s="156"/>
      <c r="AS1292" s="156"/>
      <c r="AT1292" s="156"/>
      <c r="AU1292" s="156"/>
      <c r="AV1292" s="156"/>
      <c r="AW1292" s="156"/>
      <c r="AX1292" s="156"/>
      <c r="AY1292" s="156"/>
      <c r="AZ1292" s="156"/>
      <c r="BA1292" s="156"/>
      <c r="BB1292" s="2828"/>
      <c r="BC1292" s="452"/>
      <c r="BD1292" s="2829"/>
      <c r="BE1292" s="156"/>
      <c r="BF1292" s="156"/>
    </row>
    <row r="1293" spans="1:58" hidden="1" outlineLevel="1" x14ac:dyDescent="0.35">
      <c r="A1293" s="1071"/>
      <c r="B1293" s="106"/>
      <c r="C1293" s="103"/>
      <c r="D1293" s="3980"/>
      <c r="E1293" s="3980"/>
      <c r="F1293" s="3949" t="str">
        <f t="shared" si="243"/>
        <v>Mini/MultiSplitASHP_ROF_MF_NC</v>
      </c>
      <c r="G1293" s="3950"/>
      <c r="H1293" s="3951"/>
      <c r="I1293" s="2672" t="str">
        <f t="shared" si="244"/>
        <v>351650_2021_12_</v>
      </c>
      <c r="J1293" s="650">
        <f>(MIN(2000,P$896)-P$903)*K$883</f>
        <v>364.64165582663026</v>
      </c>
      <c r="K1293" s="2764">
        <f>K1027</f>
        <v>2</v>
      </c>
      <c r="L1293" s="624" t="s">
        <v>1087</v>
      </c>
      <c r="M1293" s="1304"/>
      <c r="N1293" s="1296"/>
      <c r="O1293" s="106"/>
      <c r="P1293" s="106"/>
      <c r="Q1293" s="106"/>
      <c r="R1293" s="106"/>
      <c r="S1293" s="106"/>
      <c r="T1293" s="106"/>
      <c r="U1293" s="106"/>
      <c r="V1293" s="4022"/>
      <c r="W1293" s="655">
        <v>658</v>
      </c>
      <c r="X1293" s="654">
        <f>(705/1.5*(X$1018/12000)*X$1177)</f>
        <v>458.25</v>
      </c>
      <c r="Y1293" s="654">
        <f>(705/1.5*(Y$1018/12000)*Y$1177)</f>
        <v>705</v>
      </c>
      <c r="Z1293" s="655">
        <v>705</v>
      </c>
      <c r="AA1293" s="655">
        <v>705</v>
      </c>
      <c r="AB1293" s="1822">
        <v>336</v>
      </c>
      <c r="AC1293" s="650">
        <v>337.89830508474574</v>
      </c>
      <c r="AD1293" s="650">
        <v>364.64165582663026</v>
      </c>
      <c r="AE1293" s="636"/>
      <c r="AF1293" s="636"/>
      <c r="AG1293" s="638"/>
      <c r="AH1293" s="156"/>
      <c r="AI1293" s="156"/>
      <c r="AJ1293" s="156"/>
      <c r="AK1293" s="156"/>
      <c r="AL1293" s="156"/>
      <c r="AM1293" s="156"/>
      <c r="AN1293" s="156"/>
      <c r="AO1293" s="156"/>
      <c r="AP1293" s="156"/>
      <c r="AQ1293" s="156"/>
      <c r="AR1293" s="156"/>
      <c r="AS1293" s="156"/>
      <c r="AT1293" s="156"/>
      <c r="AU1293" s="156"/>
      <c r="AV1293" s="156"/>
      <c r="AW1293" s="156"/>
      <c r="AX1293" s="156"/>
      <c r="AY1293" s="156"/>
      <c r="AZ1293" s="156"/>
      <c r="BA1293" s="156"/>
      <c r="BB1293" s="2828"/>
      <c r="BC1293" s="452"/>
      <c r="BD1293" s="2829"/>
      <c r="BE1293" s="156"/>
      <c r="BF1293" s="156"/>
    </row>
    <row r="1294" spans="1:58" hidden="1" outlineLevel="1" x14ac:dyDescent="0.35">
      <c r="A1294" s="1071"/>
      <c r="B1294" s="106"/>
      <c r="C1294" s="103"/>
      <c r="D1294" s="3980"/>
      <c r="E1294" s="3980"/>
      <c r="F1294" s="3955" t="str">
        <f t="shared" si="243"/>
        <v>Mini/MultiSplitASHP_ROF_MF_NC</v>
      </c>
      <c r="G1294" s="3956"/>
      <c r="H1294" s="3957"/>
      <c r="I1294" s="2672" t="str">
        <f t="shared" si="244"/>
        <v>351650_2021_12_</v>
      </c>
      <c r="J1294" s="650"/>
      <c r="K1294" s="2764"/>
      <c r="L1294" s="624"/>
      <c r="M1294" s="1304"/>
      <c r="N1294" s="1296"/>
      <c r="O1294" s="106"/>
      <c r="P1294" s="106"/>
      <c r="Q1294" s="106"/>
      <c r="R1294" s="106"/>
      <c r="S1294" s="106"/>
      <c r="T1294" s="106"/>
      <c r="U1294" s="106"/>
      <c r="V1294" s="4022"/>
      <c r="W1294" s="653"/>
      <c r="X1294" s="650"/>
      <c r="Y1294" s="650"/>
      <c r="Z1294" s="653"/>
      <c r="AA1294" s="653"/>
      <c r="AB1294" s="1822"/>
      <c r="AC1294" s="650"/>
      <c r="AD1294" s="650"/>
      <c r="AE1294" s="636"/>
      <c r="AF1294" s="636"/>
      <c r="AG1294" s="638"/>
      <c r="AH1294" s="156"/>
      <c r="AI1294" s="156"/>
      <c r="AJ1294" s="156"/>
      <c r="AK1294" s="156"/>
      <c r="AL1294" s="156"/>
      <c r="AM1294" s="156"/>
      <c r="AN1294" s="156"/>
      <c r="AO1294" s="156"/>
      <c r="AP1294" s="156"/>
      <c r="AQ1294" s="156"/>
      <c r="AR1294" s="156"/>
      <c r="AS1294" s="156"/>
      <c r="AT1294" s="156"/>
      <c r="AU1294" s="156"/>
      <c r="AV1294" s="156"/>
      <c r="AW1294" s="156"/>
      <c r="AX1294" s="156"/>
      <c r="AY1294" s="156"/>
      <c r="AZ1294" s="156"/>
      <c r="BA1294" s="156"/>
      <c r="BB1294" s="2828"/>
      <c r="BC1294" s="452"/>
      <c r="BD1294" s="2829"/>
      <c r="BE1294" s="156"/>
      <c r="BF1294" s="156"/>
    </row>
    <row r="1295" spans="1:58" hidden="1" outlineLevel="1" x14ac:dyDescent="0.35">
      <c r="A1295" s="1071"/>
      <c r="B1295" s="106"/>
      <c r="C1295" s="103"/>
      <c r="D1295" s="3980"/>
      <c r="E1295" s="3980"/>
      <c r="F1295" s="3949" t="str">
        <f t="shared" si="243"/>
        <v>Mini/MultiSplitASHP_ROF_MF</v>
      </c>
      <c r="G1295" s="3950"/>
      <c r="H1295" s="3951"/>
      <c r="I1295" s="2672" t="str">
        <f t="shared" si="244"/>
        <v>351700_2021_12_</v>
      </c>
      <c r="J1295" s="650">
        <f>(MIN(2000,P$896)-P$903)*K$883</f>
        <v>364.64165582663026</v>
      </c>
      <c r="K1295" s="2764">
        <f>K1028</f>
        <v>2</v>
      </c>
      <c r="L1295" s="624" t="s">
        <v>1087</v>
      </c>
      <c r="M1295" s="1304"/>
      <c r="N1295" s="1296"/>
      <c r="O1295" s="106"/>
      <c r="P1295" s="106"/>
      <c r="Q1295" s="106"/>
      <c r="R1295" s="106"/>
      <c r="S1295" s="106"/>
      <c r="T1295" s="106"/>
      <c r="U1295" s="106"/>
      <c r="V1295" s="4022"/>
      <c r="W1295" s="655">
        <v>658</v>
      </c>
      <c r="X1295" s="654">
        <f>(705*(X$1019/12000)/1.5*X$1179)</f>
        <v>458.25</v>
      </c>
      <c r="Y1295" s="654">
        <f>(705*(Y$1019/12000)/1.5*Y$1179)</f>
        <v>705</v>
      </c>
      <c r="Z1295" s="655">
        <v>705</v>
      </c>
      <c r="AA1295" s="655">
        <v>705</v>
      </c>
      <c r="AB1295" s="1822">
        <v>336</v>
      </c>
      <c r="AC1295" s="650">
        <v>337.89830508474574</v>
      </c>
      <c r="AD1295" s="650">
        <v>364.64165582663026</v>
      </c>
      <c r="AE1295" s="636"/>
      <c r="AF1295" s="636"/>
      <c r="AG1295" s="638"/>
      <c r="AH1295" s="156"/>
      <c r="AI1295" s="156"/>
      <c r="AJ1295" s="156"/>
      <c r="AK1295" s="156"/>
      <c r="AL1295" s="156"/>
      <c r="AM1295" s="156"/>
      <c r="AN1295" s="156"/>
      <c r="AO1295" s="156"/>
      <c r="AP1295" s="156"/>
      <c r="AQ1295" s="156"/>
      <c r="AR1295" s="156"/>
      <c r="AS1295" s="156"/>
      <c r="AT1295" s="156"/>
      <c r="AU1295" s="156"/>
      <c r="AV1295" s="156"/>
      <c r="AW1295" s="156"/>
      <c r="AX1295" s="156"/>
      <c r="AY1295" s="156"/>
      <c r="AZ1295" s="156"/>
      <c r="BA1295" s="156"/>
      <c r="BB1295" s="2828"/>
      <c r="BC1295" s="452"/>
      <c r="BD1295" s="2829"/>
      <c r="BE1295" s="156"/>
      <c r="BF1295" s="156"/>
    </row>
    <row r="1296" spans="1:58" hidden="1" outlineLevel="1" x14ac:dyDescent="0.35">
      <c r="A1296" s="1071"/>
      <c r="B1296" s="106"/>
      <c r="C1296" s="103"/>
      <c r="D1296" s="3980"/>
      <c r="E1296" s="3980"/>
      <c r="F1296" s="3955" t="str">
        <f t="shared" si="243"/>
        <v>Mini/MultiSplitASHP_ROF_MF</v>
      </c>
      <c r="G1296" s="3956"/>
      <c r="H1296" s="3957"/>
      <c r="I1296" s="2672" t="str">
        <f t="shared" si="244"/>
        <v>351700_2021_12_</v>
      </c>
      <c r="J1296" s="650"/>
      <c r="K1296" s="2764"/>
      <c r="L1296" s="624"/>
      <c r="M1296" s="1304"/>
      <c r="N1296" s="1296"/>
      <c r="O1296" s="106"/>
      <c r="P1296" s="106"/>
      <c r="Q1296" s="106"/>
      <c r="R1296" s="106"/>
      <c r="S1296" s="106"/>
      <c r="T1296" s="106"/>
      <c r="U1296" s="106"/>
      <c r="V1296" s="4022"/>
      <c r="W1296" s="653"/>
      <c r="X1296" s="650"/>
      <c r="Y1296" s="650"/>
      <c r="Z1296" s="653"/>
      <c r="AA1296" s="653"/>
      <c r="AB1296" s="1822"/>
      <c r="AC1296" s="650"/>
      <c r="AD1296" s="650"/>
      <c r="AE1296" s="636"/>
      <c r="AF1296" s="636"/>
      <c r="AG1296" s="638"/>
      <c r="AH1296" s="156"/>
      <c r="AI1296" s="156"/>
      <c r="AJ1296" s="156"/>
      <c r="AK1296" s="156"/>
      <c r="AL1296" s="156"/>
      <c r="AM1296" s="156"/>
      <c r="AN1296" s="156"/>
      <c r="AO1296" s="156"/>
      <c r="AP1296" s="156"/>
      <c r="AQ1296" s="156"/>
      <c r="AR1296" s="156"/>
      <c r="AS1296" s="156"/>
      <c r="AT1296" s="156"/>
      <c r="AU1296" s="156"/>
      <c r="AV1296" s="156"/>
      <c r="AW1296" s="156"/>
      <c r="AX1296" s="156"/>
      <c r="AY1296" s="156"/>
      <c r="AZ1296" s="156"/>
      <c r="BA1296" s="156"/>
      <c r="BB1296" s="2828"/>
      <c r="BC1296" s="452"/>
      <c r="BD1296" s="2829"/>
      <c r="BE1296" s="156"/>
      <c r="BF1296" s="156"/>
    </row>
    <row r="1297" spans="1:58" hidden="1" outlineLevel="1" x14ac:dyDescent="0.35">
      <c r="A1297" s="1071"/>
      <c r="B1297" s="106"/>
      <c r="C1297" s="103"/>
      <c r="D1297" s="3980"/>
      <c r="E1297" s="3980"/>
      <c r="F1297" s="3949" t="str">
        <f t="shared" si="243"/>
        <v>Mini/MultiSplitASHP-Replace_CAC_ElectricHeat_ER1_MF</v>
      </c>
      <c r="G1297" s="3950"/>
      <c r="H1297" s="3951"/>
      <c r="I1297" s="2672" t="str">
        <f t="shared" si="244"/>
        <v>351750_2021_12_</v>
      </c>
      <c r="J1297" s="650">
        <f>((P$903*K1297)+P$885)-((O$905*K1297)/((1+P$907)^(P$908-1)))</f>
        <v>3126.6416558266301</v>
      </c>
      <c r="K1297" s="2764">
        <f>K1029</f>
        <v>2</v>
      </c>
      <c r="L1297" s="624" t="s">
        <v>1087</v>
      </c>
      <c r="M1297" s="1304"/>
      <c r="N1297" s="1296"/>
      <c r="O1297" s="106"/>
      <c r="P1297" s="106"/>
      <c r="Q1297" s="106"/>
      <c r="R1297" s="106"/>
      <c r="S1297" s="106"/>
      <c r="T1297" s="106"/>
      <c r="U1297" s="106"/>
      <c r="V1297" s="4022"/>
      <c r="W1297" s="655">
        <v>1484</v>
      </c>
      <c r="X1297" s="654">
        <f>(1590*(X$1020/12000)/1.5*$J$1181)</f>
        <v>1590</v>
      </c>
      <c r="Y1297" s="654">
        <f>(1590*(Y$1020/12000)/1.5*$J$1181)</f>
        <v>1590</v>
      </c>
      <c r="Z1297" s="655">
        <v>1590</v>
      </c>
      <c r="AA1297" s="655">
        <v>1590</v>
      </c>
      <c r="AB1297" s="1822">
        <v>2504.17</v>
      </c>
      <c r="AC1297" s="650">
        <v>2505.747142294048</v>
      </c>
      <c r="AD1297" s="650">
        <v>3126.6416558266301</v>
      </c>
      <c r="AE1297" s="636"/>
      <c r="AF1297" s="636"/>
      <c r="AG1297" s="638"/>
      <c r="AH1297" s="156"/>
      <c r="AI1297" s="156"/>
      <c r="AJ1297" s="156"/>
      <c r="AK1297" s="156"/>
      <c r="AL1297" s="156"/>
      <c r="AM1297" s="156"/>
      <c r="AN1297" s="156"/>
      <c r="AO1297" s="156"/>
      <c r="AP1297" s="156"/>
      <c r="AQ1297" s="156"/>
      <c r="AR1297" s="156"/>
      <c r="AS1297" s="156"/>
      <c r="AT1297" s="156"/>
      <c r="AU1297" s="156"/>
      <c r="AV1297" s="156"/>
      <c r="AW1297" s="156"/>
      <c r="AX1297" s="156"/>
      <c r="AY1297" s="156"/>
      <c r="AZ1297" s="156"/>
      <c r="BA1297" s="156"/>
      <c r="BB1297" s="2828"/>
      <c r="BC1297" s="452"/>
      <c r="BD1297" s="2829"/>
      <c r="BE1297" s="156"/>
      <c r="BF1297" s="156"/>
    </row>
    <row r="1298" spans="1:58" hidden="1" outlineLevel="1" x14ac:dyDescent="0.35">
      <c r="A1298" s="1071"/>
      <c r="B1298" s="106"/>
      <c r="C1298" s="103"/>
      <c r="D1298" s="3980"/>
      <c r="E1298" s="3980"/>
      <c r="F1298" s="3952" t="str">
        <f t="shared" si="243"/>
        <v>Mini/MultiSplitASHP-Replace_CAC_ElectricHeat_ER1_MF</v>
      </c>
      <c r="G1298" s="3953"/>
      <c r="H1298" s="3954"/>
      <c r="I1298" s="2672" t="str">
        <f t="shared" si="244"/>
        <v>351750_2021_12_</v>
      </c>
      <c r="J1298" s="654"/>
      <c r="K1298" s="2764"/>
      <c r="L1298" s="624"/>
      <c r="M1298" s="1304"/>
      <c r="N1298" s="1296"/>
      <c r="O1298" s="106"/>
      <c r="P1298" s="106"/>
      <c r="Q1298" s="106"/>
      <c r="R1298" s="106"/>
      <c r="S1298" s="106"/>
      <c r="T1298" s="106"/>
      <c r="U1298" s="106"/>
      <c r="V1298" s="4022"/>
      <c r="W1298" s="655"/>
      <c r="X1298" s="654"/>
      <c r="Y1298" s="654"/>
      <c r="Z1298" s="655"/>
      <c r="AA1298" s="655"/>
      <c r="AB1298" s="1822"/>
      <c r="AC1298" s="654"/>
      <c r="AD1298" s="654"/>
      <c r="AE1298" s="636"/>
      <c r="AF1298" s="636"/>
      <c r="AG1298" s="638"/>
      <c r="AH1298" s="156"/>
      <c r="AI1298" s="156"/>
      <c r="AJ1298" s="156"/>
      <c r="AK1298" s="156"/>
      <c r="AL1298" s="156"/>
      <c r="AM1298" s="156"/>
      <c r="AN1298" s="156"/>
      <c r="AO1298" s="156"/>
      <c r="AP1298" s="156"/>
      <c r="AQ1298" s="156"/>
      <c r="AR1298" s="156"/>
      <c r="AS1298" s="156"/>
      <c r="AT1298" s="156"/>
      <c r="AU1298" s="156"/>
      <c r="AV1298" s="156"/>
      <c r="AW1298" s="156"/>
      <c r="AX1298" s="156"/>
      <c r="AY1298" s="156"/>
      <c r="AZ1298" s="156"/>
      <c r="BA1298" s="156"/>
      <c r="BB1298" s="2828"/>
      <c r="BC1298" s="452"/>
      <c r="BD1298" s="2829"/>
      <c r="BE1298" s="156"/>
      <c r="BF1298" s="156"/>
    </row>
    <row r="1299" spans="1:58" hidden="1" outlineLevel="1" x14ac:dyDescent="0.35">
      <c r="A1299" s="1071"/>
      <c r="B1299" s="106"/>
      <c r="C1299" s="103"/>
      <c r="D1299" s="3980"/>
      <c r="E1299" s="3980"/>
      <c r="F1299" s="3952" t="str">
        <f t="shared" si="243"/>
        <v>Mini/MultiSplitASHP-Replace_CAC_ElectricHeat_ER2_MF</v>
      </c>
      <c r="G1299" s="3953"/>
      <c r="H1299" s="3954"/>
      <c r="I1299" s="2672" t="str">
        <f t="shared" si="244"/>
        <v>351750_2021_12_</v>
      </c>
      <c r="J1299" s="654"/>
      <c r="K1299" s="2764"/>
      <c r="L1299" s="624"/>
      <c r="M1299" s="1304"/>
      <c r="N1299" s="1296"/>
      <c r="O1299" s="106"/>
      <c r="P1299" s="106"/>
      <c r="Q1299" s="106"/>
      <c r="R1299" s="106"/>
      <c r="S1299" s="106"/>
      <c r="T1299" s="106"/>
      <c r="U1299" s="106"/>
      <c r="V1299" s="4022"/>
      <c r="W1299" s="655"/>
      <c r="X1299" s="654"/>
      <c r="Y1299" s="654"/>
      <c r="Z1299" s="655"/>
      <c r="AA1299" s="655"/>
      <c r="AB1299" s="1822"/>
      <c r="AC1299" s="654"/>
      <c r="AD1299" s="654"/>
      <c r="AE1299" s="636"/>
      <c r="AF1299" s="636"/>
      <c r="AG1299" s="638"/>
      <c r="AH1299" s="156"/>
      <c r="AI1299" s="156"/>
      <c r="AJ1299" s="156"/>
      <c r="AK1299" s="156"/>
      <c r="AL1299" s="156"/>
      <c r="AM1299" s="156"/>
      <c r="AN1299" s="156"/>
      <c r="AO1299" s="156"/>
      <c r="AP1299" s="156"/>
      <c r="AQ1299" s="156"/>
      <c r="AR1299" s="156"/>
      <c r="AS1299" s="156"/>
      <c r="AT1299" s="156"/>
      <c r="AU1299" s="156"/>
      <c r="AV1299" s="156"/>
      <c r="AW1299" s="156"/>
      <c r="AX1299" s="156"/>
      <c r="AY1299" s="156"/>
      <c r="AZ1299" s="156"/>
      <c r="BA1299" s="156"/>
      <c r="BB1299" s="2828"/>
      <c r="BC1299" s="452"/>
      <c r="BD1299" s="2829"/>
      <c r="BE1299" s="156"/>
      <c r="BF1299" s="156"/>
    </row>
    <row r="1300" spans="1:58" hidden="1" outlineLevel="1" x14ac:dyDescent="0.35">
      <c r="A1300" s="1071"/>
      <c r="B1300" s="106"/>
      <c r="C1300" s="103"/>
      <c r="D1300" s="3980"/>
      <c r="E1300" s="3980"/>
      <c r="F1300" s="3955" t="str">
        <f t="shared" si="243"/>
        <v>Mini/MultiSplitASHP-Replace_CAC_ElectricHeat_ER2_MF</v>
      </c>
      <c r="G1300" s="3956"/>
      <c r="H1300" s="3957"/>
      <c r="I1300" s="2672" t="str">
        <f>I1254</f>
        <v>351750_2021_12_</v>
      </c>
      <c r="J1300" s="654"/>
      <c r="K1300" s="2764"/>
      <c r="L1300" s="624"/>
      <c r="M1300" s="1304"/>
      <c r="N1300" s="1296"/>
      <c r="O1300" s="106"/>
      <c r="P1300" s="106"/>
      <c r="Q1300" s="106"/>
      <c r="R1300" s="106"/>
      <c r="S1300" s="106"/>
      <c r="T1300" s="106"/>
      <c r="U1300" s="106"/>
      <c r="V1300" s="4022"/>
      <c r="W1300" s="655"/>
      <c r="X1300" s="654"/>
      <c r="Y1300" s="654"/>
      <c r="Z1300" s="655"/>
      <c r="AA1300" s="655"/>
      <c r="AB1300" s="1822"/>
      <c r="AC1300" s="654"/>
      <c r="AD1300" s="654"/>
      <c r="AE1300" s="636"/>
      <c r="AF1300" s="636"/>
      <c r="AG1300" s="638"/>
      <c r="AH1300" s="156"/>
      <c r="AI1300" s="156"/>
      <c r="AJ1300" s="156"/>
      <c r="AK1300" s="156"/>
      <c r="AL1300" s="156"/>
      <c r="AM1300" s="156"/>
      <c r="AN1300" s="156"/>
      <c r="AO1300" s="156"/>
      <c r="AP1300" s="156"/>
      <c r="AQ1300" s="156"/>
      <c r="AR1300" s="156"/>
      <c r="AS1300" s="156"/>
      <c r="AT1300" s="156"/>
      <c r="AU1300" s="156"/>
      <c r="AV1300" s="156"/>
      <c r="AW1300" s="156"/>
      <c r="AX1300" s="156"/>
      <c r="AY1300" s="156"/>
      <c r="AZ1300" s="156"/>
      <c r="BA1300" s="156"/>
      <c r="BB1300" s="2828"/>
      <c r="BC1300" s="452"/>
      <c r="BD1300" s="2829"/>
      <c r="BE1300" s="156"/>
      <c r="BF1300" s="156"/>
    </row>
    <row r="1301" spans="1:58" hidden="1" outlineLevel="1" x14ac:dyDescent="0.35">
      <c r="A1301" s="1071"/>
      <c r="B1301" s="106"/>
      <c r="C1301" s="103"/>
      <c r="D1301" s="3980"/>
      <c r="E1301" s="3980"/>
      <c r="F1301" s="3961" t="str">
        <f t="shared" si="243"/>
        <v>Mini/MultiSplitASHP-Replace_CAC_NonElectricHeat_ER1_MF</v>
      </c>
      <c r="G1301" s="3962"/>
      <c r="H1301" s="3963"/>
      <c r="I1301" s="2755" t="str">
        <f>I1255</f>
        <v>351752_2022_12_</v>
      </c>
      <c r="J1301" s="650">
        <f>((P$903*K1301)+P$885)-((O$905*K1301)/((1+P$907)^(P$908-1)))</f>
        <v>3126.6416558266301</v>
      </c>
      <c r="K1301" s="2764">
        <f>K1031</f>
        <v>2</v>
      </c>
      <c r="L1301" s="1805" t="s">
        <v>1087</v>
      </c>
      <c r="M1301" s="1304"/>
      <c r="N1301" s="1296"/>
      <c r="O1301" s="106"/>
      <c r="P1301" s="106"/>
      <c r="Q1301" s="106"/>
      <c r="R1301" s="106"/>
      <c r="S1301" s="106"/>
      <c r="T1301" s="106"/>
      <c r="U1301" s="106"/>
      <c r="V1301" s="4022"/>
      <c r="W1301" s="655"/>
      <c r="X1301" s="654"/>
      <c r="Y1301" s="654"/>
      <c r="Z1301" s="655"/>
      <c r="AA1301" s="655"/>
      <c r="AB1301" s="1822"/>
      <c r="AC1301" s="654"/>
      <c r="AD1301" s="650">
        <v>3126.6416558266301</v>
      </c>
      <c r="AE1301" s="636"/>
      <c r="AF1301" s="636"/>
      <c r="AG1301" s="638"/>
      <c r="AH1301" s="156"/>
      <c r="AI1301" s="156"/>
      <c r="AJ1301" s="156"/>
      <c r="AK1301" s="156"/>
      <c r="AL1301" s="156"/>
      <c r="AM1301" s="156"/>
      <c r="AN1301" s="156"/>
      <c r="AO1301" s="156"/>
      <c r="AP1301" s="156"/>
      <c r="AQ1301" s="156"/>
      <c r="AR1301" s="156"/>
      <c r="AS1301" s="156"/>
      <c r="AT1301" s="156"/>
      <c r="AU1301" s="156"/>
      <c r="AV1301" s="156"/>
      <c r="AW1301" s="156"/>
      <c r="AX1301" s="156"/>
      <c r="AY1301" s="156"/>
      <c r="AZ1301" s="156"/>
      <c r="BA1301" s="156"/>
      <c r="BB1301" s="2828"/>
      <c r="BC1301" s="452"/>
      <c r="BD1301" s="2829"/>
      <c r="BE1301" s="156"/>
      <c r="BF1301" s="156"/>
    </row>
    <row r="1302" spans="1:58" hidden="1" outlineLevel="1" x14ac:dyDescent="0.35">
      <c r="A1302" s="1071"/>
      <c r="B1302" s="106"/>
      <c r="C1302" s="103"/>
      <c r="D1302" s="3980"/>
      <c r="E1302" s="3980"/>
      <c r="F1302" s="3964" t="str">
        <f t="shared" si="243"/>
        <v>Mini/MultiSplitASHP-Replace_CAC_NonElectricHeat_ER1_MF</v>
      </c>
      <c r="G1302" s="3965"/>
      <c r="H1302" s="3966"/>
      <c r="I1302" s="2755" t="str">
        <f t="shared" ref="I1302:I1304" si="246">I1256</f>
        <v>351752_2022_12_</v>
      </c>
      <c r="J1302" s="654"/>
      <c r="K1302" s="2764"/>
      <c r="L1302" s="1805"/>
      <c r="M1302" s="1304"/>
      <c r="N1302" s="1296"/>
      <c r="O1302" s="106"/>
      <c r="P1302" s="106"/>
      <c r="Q1302" s="106"/>
      <c r="R1302" s="106"/>
      <c r="S1302" s="106"/>
      <c r="T1302" s="106"/>
      <c r="U1302" s="106"/>
      <c r="V1302" s="4022"/>
      <c r="W1302" s="655"/>
      <c r="X1302" s="654"/>
      <c r="Y1302" s="654"/>
      <c r="Z1302" s="655"/>
      <c r="AA1302" s="655"/>
      <c r="AB1302" s="1822"/>
      <c r="AC1302" s="654"/>
      <c r="AD1302" s="654"/>
      <c r="AE1302" s="636"/>
      <c r="AF1302" s="636"/>
      <c r="AG1302" s="638"/>
      <c r="AH1302" s="156"/>
      <c r="AI1302" s="156"/>
      <c r="AJ1302" s="156"/>
      <c r="AK1302" s="156"/>
      <c r="AL1302" s="156"/>
      <c r="AM1302" s="156"/>
      <c r="AN1302" s="156"/>
      <c r="AO1302" s="156"/>
      <c r="AP1302" s="156"/>
      <c r="AQ1302" s="156"/>
      <c r="AR1302" s="156"/>
      <c r="AS1302" s="156"/>
      <c r="AT1302" s="156"/>
      <c r="AU1302" s="156"/>
      <c r="AV1302" s="156"/>
      <c r="AW1302" s="156"/>
      <c r="AX1302" s="156"/>
      <c r="AY1302" s="156"/>
      <c r="AZ1302" s="156"/>
      <c r="BA1302" s="156"/>
      <c r="BB1302" s="2828"/>
      <c r="BC1302" s="452"/>
      <c r="BD1302" s="2829"/>
      <c r="BE1302" s="156"/>
      <c r="BF1302" s="156"/>
    </row>
    <row r="1303" spans="1:58" hidden="1" outlineLevel="1" x14ac:dyDescent="0.35">
      <c r="A1303" s="1071"/>
      <c r="B1303" s="106"/>
      <c r="C1303" s="103"/>
      <c r="D1303" s="3980"/>
      <c r="E1303" s="3980"/>
      <c r="F1303" s="3964" t="str">
        <f t="shared" si="243"/>
        <v>Mini/MultiSplitASHP-Replace_CAC_NonElectricHeat_ER2_MF</v>
      </c>
      <c r="G1303" s="3965"/>
      <c r="H1303" s="3966"/>
      <c r="I1303" s="2755" t="str">
        <f t="shared" si="246"/>
        <v>351752_2022_12_</v>
      </c>
      <c r="J1303" s="654"/>
      <c r="K1303" s="2764"/>
      <c r="L1303" s="1805"/>
      <c r="M1303" s="1304"/>
      <c r="N1303" s="1296"/>
      <c r="O1303" s="106"/>
      <c r="P1303" s="106"/>
      <c r="Q1303" s="106"/>
      <c r="R1303" s="106"/>
      <c r="S1303" s="106"/>
      <c r="T1303" s="106"/>
      <c r="U1303" s="106"/>
      <c r="V1303" s="4022"/>
      <c r="W1303" s="655"/>
      <c r="X1303" s="654"/>
      <c r="Y1303" s="654"/>
      <c r="Z1303" s="655"/>
      <c r="AA1303" s="655"/>
      <c r="AB1303" s="1822"/>
      <c r="AC1303" s="654"/>
      <c r="AD1303" s="654"/>
      <c r="AE1303" s="636"/>
      <c r="AF1303" s="636"/>
      <c r="AG1303" s="638"/>
      <c r="AH1303" s="156"/>
      <c r="AI1303" s="156"/>
      <c r="AJ1303" s="156"/>
      <c r="AK1303" s="156"/>
      <c r="AL1303" s="156"/>
      <c r="AM1303" s="156"/>
      <c r="AN1303" s="156"/>
      <c r="AO1303" s="156"/>
      <c r="AP1303" s="156"/>
      <c r="AQ1303" s="156"/>
      <c r="AR1303" s="156"/>
      <c r="AS1303" s="156"/>
      <c r="AT1303" s="156"/>
      <c r="AU1303" s="156"/>
      <c r="AV1303" s="156"/>
      <c r="AW1303" s="156"/>
      <c r="AX1303" s="156"/>
      <c r="AY1303" s="156"/>
      <c r="AZ1303" s="156"/>
      <c r="BA1303" s="156"/>
      <c r="BB1303" s="2828"/>
      <c r="BC1303" s="452"/>
      <c r="BD1303" s="2829"/>
      <c r="BE1303" s="156"/>
      <c r="BF1303" s="156"/>
    </row>
    <row r="1304" spans="1:58" hidden="1" outlineLevel="1" x14ac:dyDescent="0.35">
      <c r="A1304" s="1071"/>
      <c r="B1304" s="106"/>
      <c r="C1304" s="103"/>
      <c r="D1304" s="3980"/>
      <c r="E1304" s="3980"/>
      <c r="F1304" s="3946" t="str">
        <f t="shared" si="243"/>
        <v>Mini/MultiSplitASHP-Replace_CAC_NonElectricHeat_ER2_MF</v>
      </c>
      <c r="G1304" s="3947"/>
      <c r="H1304" s="3948"/>
      <c r="I1304" s="2755" t="str">
        <f t="shared" si="246"/>
        <v>351752_2022_12_</v>
      </c>
      <c r="J1304" s="654"/>
      <c r="K1304" s="2764"/>
      <c r="L1304" s="1805"/>
      <c r="M1304" s="1304"/>
      <c r="N1304" s="1296"/>
      <c r="O1304" s="106"/>
      <c r="P1304" s="106"/>
      <c r="Q1304" s="106"/>
      <c r="R1304" s="106"/>
      <c r="S1304" s="106"/>
      <c r="T1304" s="106"/>
      <c r="U1304" s="106"/>
      <c r="V1304" s="4022"/>
      <c r="W1304" s="655"/>
      <c r="X1304" s="654"/>
      <c r="Y1304" s="654"/>
      <c r="Z1304" s="655"/>
      <c r="AA1304" s="655"/>
      <c r="AB1304" s="1822"/>
      <c r="AC1304" s="654"/>
      <c r="AD1304" s="654"/>
      <c r="AE1304" s="636"/>
      <c r="AF1304" s="636"/>
      <c r="AG1304" s="638"/>
      <c r="AH1304" s="156"/>
      <c r="AI1304" s="156"/>
      <c r="AJ1304" s="156"/>
      <c r="AK1304" s="156"/>
      <c r="AL1304" s="156"/>
      <c r="AM1304" s="156"/>
      <c r="AN1304" s="156"/>
      <c r="AO1304" s="156"/>
      <c r="AP1304" s="156"/>
      <c r="AQ1304" s="156"/>
      <c r="AR1304" s="156"/>
      <c r="AS1304" s="156"/>
      <c r="AT1304" s="156"/>
      <c r="AU1304" s="156"/>
      <c r="AV1304" s="156"/>
      <c r="AW1304" s="156"/>
      <c r="AX1304" s="156"/>
      <c r="AY1304" s="156"/>
      <c r="AZ1304" s="156"/>
      <c r="BA1304" s="156"/>
      <c r="BB1304" s="2828"/>
      <c r="BC1304" s="452"/>
      <c r="BD1304" s="2829"/>
      <c r="BE1304" s="156"/>
      <c r="BF1304" s="156"/>
    </row>
    <row r="1305" spans="1:58" hidden="1" outlineLevel="1" x14ac:dyDescent="0.35">
      <c r="A1305" s="1071"/>
      <c r="B1305" s="106"/>
      <c r="C1305" s="103"/>
      <c r="D1305" s="3980"/>
      <c r="E1305" s="3980"/>
      <c r="F1305" s="3949" t="str">
        <f t="shared" si="243"/>
        <v>Mini/MultiSplitASHP-Replace_CAC_ElectricHeat_ROF_MF</v>
      </c>
      <c r="G1305" s="3950"/>
      <c r="H1305" s="3951"/>
      <c r="I1305" s="2672" t="str">
        <f t="shared" ref="I1305:I1312" si="247">I1259</f>
        <v>351800_2021_12_</v>
      </c>
      <c r="J1305" s="650">
        <f>(MIN(2000,P$896)-P$903)*K$883</f>
        <v>364.64165582663026</v>
      </c>
      <c r="K1305" s="2764">
        <f>K1030</f>
        <v>2</v>
      </c>
      <c r="L1305" s="624" t="s">
        <v>1087</v>
      </c>
      <c r="M1305" s="1304"/>
      <c r="N1305" s="1296"/>
      <c r="O1305" s="106"/>
      <c r="P1305" s="106"/>
      <c r="Q1305" s="106"/>
      <c r="R1305" s="106"/>
      <c r="S1305" s="106"/>
      <c r="T1305" s="106"/>
      <c r="U1305" s="106"/>
      <c r="V1305" s="4022"/>
      <c r="W1305" s="655">
        <v>752</v>
      </c>
      <c r="X1305" s="654">
        <f>(705*(X$1021/12000))/1.5*$J$1189</f>
        <v>705</v>
      </c>
      <c r="Y1305" s="654">
        <f>(705*(Y$1021/12000))/1.5*$J$1189</f>
        <v>752</v>
      </c>
      <c r="Z1305" s="655">
        <v>752</v>
      </c>
      <c r="AA1305" s="655">
        <v>752</v>
      </c>
      <c r="AB1305" s="1822">
        <v>336</v>
      </c>
      <c r="AC1305" s="650">
        <v>337.89830508474574</v>
      </c>
      <c r="AD1305" s="650">
        <v>364.64165582663026</v>
      </c>
      <c r="AE1305" s="636"/>
      <c r="AF1305" s="636"/>
      <c r="AG1305" s="638"/>
      <c r="AH1305" s="156"/>
      <c r="AI1305" s="156"/>
      <c r="AJ1305" s="156"/>
      <c r="AK1305" s="156"/>
      <c r="AL1305" s="156"/>
      <c r="AM1305" s="156"/>
      <c r="AN1305" s="156"/>
      <c r="AO1305" s="156"/>
      <c r="AP1305" s="156"/>
      <c r="AQ1305" s="156"/>
      <c r="AR1305" s="156"/>
      <c r="AS1305" s="156"/>
      <c r="AT1305" s="156"/>
      <c r="AU1305" s="156"/>
      <c r="AV1305" s="156"/>
      <c r="AW1305" s="156"/>
      <c r="AX1305" s="156"/>
      <c r="AY1305" s="156"/>
      <c r="AZ1305" s="156"/>
      <c r="BA1305" s="156"/>
      <c r="BB1305" s="2828"/>
      <c r="BC1305" s="452"/>
      <c r="BD1305" s="2829"/>
      <c r="BE1305" s="156"/>
      <c r="BF1305" s="156"/>
    </row>
    <row r="1306" spans="1:58" hidden="1" outlineLevel="1" x14ac:dyDescent="0.35">
      <c r="A1306" s="1071"/>
      <c r="B1306" s="106"/>
      <c r="C1306" s="103"/>
      <c r="D1306" s="3980"/>
      <c r="E1306" s="3980"/>
      <c r="F1306" s="3955" t="str">
        <f t="shared" si="243"/>
        <v>Mini/MultiSplitASHP-Replace_CAC_ElectricHeat_ROF_MF</v>
      </c>
      <c r="G1306" s="3956"/>
      <c r="H1306" s="3957"/>
      <c r="I1306" s="2672" t="str">
        <f t="shared" si="247"/>
        <v>351800_2021_12_</v>
      </c>
      <c r="J1306" s="654"/>
      <c r="K1306" s="2764"/>
      <c r="L1306" s="624"/>
      <c r="M1306" s="1304"/>
      <c r="N1306" s="1296"/>
      <c r="O1306" s="106"/>
      <c r="P1306" s="106"/>
      <c r="Q1306" s="106"/>
      <c r="R1306" s="106"/>
      <c r="S1306" s="106"/>
      <c r="T1306" s="106"/>
      <c r="U1306" s="106"/>
      <c r="V1306" s="4022"/>
      <c r="W1306" s="655"/>
      <c r="X1306" s="654"/>
      <c r="Y1306" s="654"/>
      <c r="Z1306" s="655"/>
      <c r="AA1306" s="655"/>
      <c r="AB1306" s="1822"/>
      <c r="AC1306" s="654"/>
      <c r="AD1306" s="654"/>
      <c r="AE1306" s="636"/>
      <c r="AF1306" s="636"/>
      <c r="AG1306" s="638"/>
      <c r="AH1306" s="156"/>
      <c r="AI1306" s="156"/>
      <c r="AJ1306" s="156"/>
      <c r="AK1306" s="156"/>
      <c r="AL1306" s="156"/>
      <c r="AM1306" s="156"/>
      <c r="AN1306" s="156"/>
      <c r="AO1306" s="156"/>
      <c r="AP1306" s="156"/>
      <c r="AQ1306" s="156"/>
      <c r="AR1306" s="156"/>
      <c r="AS1306" s="156"/>
      <c r="AT1306" s="156"/>
      <c r="AU1306" s="156"/>
      <c r="AV1306" s="156"/>
      <c r="AW1306" s="156"/>
      <c r="AX1306" s="156"/>
      <c r="AY1306" s="156"/>
      <c r="AZ1306" s="156"/>
      <c r="BA1306" s="156"/>
      <c r="BB1306" s="2828"/>
      <c r="BC1306" s="452"/>
      <c r="BD1306" s="2829"/>
      <c r="BE1306" s="156"/>
      <c r="BF1306" s="156"/>
    </row>
    <row r="1307" spans="1:58" hidden="1" outlineLevel="1" x14ac:dyDescent="0.35">
      <c r="A1307" s="300"/>
      <c r="B1307" s="84"/>
      <c r="C1307" s="103"/>
      <c r="D1307" s="3980"/>
      <c r="E1307" s="3980"/>
      <c r="F1307" s="3961" t="str">
        <f t="shared" si="243"/>
        <v>Mini/MultiSplitASHP-Replace_CAC_NonElectricHeat_ROF_MF</v>
      </c>
      <c r="G1307" s="3962"/>
      <c r="H1307" s="3963"/>
      <c r="I1307" s="2755" t="str">
        <f t="shared" si="247"/>
        <v>351802_2022_12_</v>
      </c>
      <c r="J1307" s="650">
        <f>(MIN(2000,P$896)-P$903)*K$883</f>
        <v>364.64165582663026</v>
      </c>
      <c r="K1307" s="2764">
        <f>K1032</f>
        <v>2</v>
      </c>
      <c r="L1307" s="1805" t="s">
        <v>1087</v>
      </c>
      <c r="M1307" s="1801"/>
      <c r="N1307" s="1802"/>
      <c r="O1307" s="84"/>
      <c r="P1307" s="84"/>
      <c r="Q1307" s="84"/>
      <c r="R1307" s="84"/>
      <c r="S1307" s="84"/>
      <c r="T1307" s="84"/>
      <c r="U1307" s="84"/>
      <c r="V1307" s="4022"/>
      <c r="W1307" s="654"/>
      <c r="X1307" s="654"/>
      <c r="Y1307" s="654"/>
      <c r="Z1307" s="654"/>
      <c r="AA1307" s="654"/>
      <c r="AB1307" s="1822"/>
      <c r="AC1307" s="654"/>
      <c r="AD1307" s="650">
        <v>364.64165582663026</v>
      </c>
      <c r="AE1307" s="639"/>
      <c r="AF1307" s="639"/>
      <c r="AG1307" s="2765"/>
      <c r="AH1307" s="84"/>
      <c r="AI1307" s="84"/>
      <c r="AJ1307" s="84"/>
      <c r="AK1307" s="84"/>
      <c r="AL1307" s="84"/>
      <c r="AM1307" s="84"/>
      <c r="AN1307" s="84"/>
      <c r="AO1307" s="84"/>
      <c r="AP1307" s="84"/>
      <c r="AQ1307" s="84"/>
      <c r="AR1307" s="84"/>
      <c r="AS1307" s="84"/>
      <c r="AT1307" s="84"/>
      <c r="AU1307" s="84"/>
      <c r="AV1307" s="84"/>
      <c r="AW1307" s="84"/>
      <c r="AX1307" s="84"/>
      <c r="AY1307" s="84"/>
      <c r="AZ1307" s="84"/>
      <c r="BA1307" s="84"/>
      <c r="BB1307" s="2766"/>
      <c r="BC1307" s="300"/>
      <c r="BD1307" s="1841"/>
      <c r="BE1307" s="84"/>
      <c r="BF1307" s="84"/>
    </row>
    <row r="1308" spans="1:58" hidden="1" outlineLevel="1" x14ac:dyDescent="0.35">
      <c r="A1308" s="300"/>
      <c r="B1308" s="84"/>
      <c r="C1308" s="103"/>
      <c r="D1308" s="3980"/>
      <c r="E1308" s="3980"/>
      <c r="F1308" s="3946" t="str">
        <f t="shared" si="243"/>
        <v>Mini/MultiSplitASHP-Replace_CAC_NonElectricHeat_ROF_MF</v>
      </c>
      <c r="G1308" s="3947"/>
      <c r="H1308" s="3948"/>
      <c r="I1308" s="2755" t="str">
        <f t="shared" si="247"/>
        <v>351802_2022_12_</v>
      </c>
      <c r="J1308" s="654"/>
      <c r="K1308" s="2764"/>
      <c r="L1308" s="1805"/>
      <c r="M1308" s="1801"/>
      <c r="N1308" s="1802"/>
      <c r="O1308" s="84"/>
      <c r="P1308" s="84"/>
      <c r="Q1308" s="84"/>
      <c r="R1308" s="84"/>
      <c r="S1308" s="84"/>
      <c r="T1308" s="84"/>
      <c r="U1308" s="84"/>
      <c r="V1308" s="4022"/>
      <c r="W1308" s="654"/>
      <c r="X1308" s="654"/>
      <c r="Y1308" s="654"/>
      <c r="Z1308" s="654"/>
      <c r="AA1308" s="654"/>
      <c r="AB1308" s="1822"/>
      <c r="AC1308" s="654"/>
      <c r="AD1308" s="654"/>
      <c r="AE1308" s="639"/>
      <c r="AF1308" s="639"/>
      <c r="AG1308" s="2765"/>
      <c r="AH1308" s="84"/>
      <c r="AI1308" s="84"/>
      <c r="AJ1308" s="84"/>
      <c r="AK1308" s="84"/>
      <c r="AL1308" s="84"/>
      <c r="AM1308" s="84"/>
      <c r="AN1308" s="84"/>
      <c r="AO1308" s="84"/>
      <c r="AP1308" s="84"/>
      <c r="AQ1308" s="84"/>
      <c r="AR1308" s="84"/>
      <c r="AS1308" s="84"/>
      <c r="AT1308" s="84"/>
      <c r="AU1308" s="84"/>
      <c r="AV1308" s="84"/>
      <c r="AW1308" s="84"/>
      <c r="AX1308" s="84"/>
      <c r="AY1308" s="84"/>
      <c r="AZ1308" s="84"/>
      <c r="BA1308" s="84"/>
      <c r="BB1308" s="2766"/>
      <c r="BC1308" s="300"/>
      <c r="BD1308" s="1841"/>
      <c r="BE1308" s="84"/>
      <c r="BF1308" s="84"/>
    </row>
    <row r="1309" spans="1:58" hidden="1" outlineLevel="1" x14ac:dyDescent="0.35">
      <c r="A1309" s="1071"/>
      <c r="B1309" s="106"/>
      <c r="C1309" s="103"/>
      <c r="D1309" s="3980"/>
      <c r="E1309" s="3980"/>
      <c r="F1309" s="3949" t="str">
        <f t="shared" si="243"/>
        <v>Mini/MultiSplitASHP_ER1_MF</v>
      </c>
      <c r="G1309" s="3950"/>
      <c r="H1309" s="3951"/>
      <c r="I1309" s="2672" t="str">
        <f t="shared" si="247"/>
        <v>351850_2021_12_</v>
      </c>
      <c r="J1309" s="650">
        <f>((P$903*K1309)+P$885)-((O$903*K1309)/((1+P$907)^(P$908-1)))</f>
        <v>852.60761248662948</v>
      </c>
      <c r="K1309" s="2764">
        <f>K1033</f>
        <v>2</v>
      </c>
      <c r="L1309" s="624" t="s">
        <v>1087</v>
      </c>
      <c r="M1309" s="1304"/>
      <c r="N1309" s="1296"/>
      <c r="O1309" s="106"/>
      <c r="P1309" s="106"/>
      <c r="Q1309" s="106"/>
      <c r="R1309" s="106"/>
      <c r="S1309" s="106"/>
      <c r="T1309" s="106"/>
      <c r="U1309" s="106"/>
      <c r="V1309" s="4022"/>
      <c r="W1309" s="655">
        <v>1632</v>
      </c>
      <c r="X1309" s="654">
        <f>(1440*(X$1024/12000)/1.5)*$J$1193</f>
        <v>1440</v>
      </c>
      <c r="Y1309" s="654">
        <f>(1440*(Y$1024/12000)/1.5)*$J$1193</f>
        <v>1440</v>
      </c>
      <c r="Z1309" s="655">
        <v>1440</v>
      </c>
      <c r="AA1309" s="655">
        <v>1440</v>
      </c>
      <c r="AB1309" s="1822">
        <v>648.60319098531227</v>
      </c>
      <c r="AC1309" s="650">
        <v>698.32770489042764</v>
      </c>
      <c r="AD1309" s="650">
        <v>852.60761248662948</v>
      </c>
      <c r="AE1309" s="636"/>
      <c r="AF1309" s="636"/>
      <c r="AG1309" s="638"/>
      <c r="AH1309" s="156"/>
      <c r="AI1309" s="156"/>
      <c r="AJ1309" s="156"/>
      <c r="AK1309" s="156"/>
      <c r="AL1309" s="156"/>
      <c r="AM1309" s="156"/>
      <c r="AN1309" s="156"/>
      <c r="AO1309" s="156"/>
      <c r="AP1309" s="156"/>
      <c r="AQ1309" s="156"/>
      <c r="AR1309" s="156"/>
      <c r="AS1309" s="156"/>
      <c r="AT1309" s="156"/>
      <c r="AU1309" s="156"/>
      <c r="AV1309" s="156"/>
      <c r="AW1309" s="156"/>
      <c r="AX1309" s="156"/>
      <c r="AY1309" s="156"/>
      <c r="AZ1309" s="156"/>
      <c r="BA1309" s="156"/>
      <c r="BB1309" s="2828"/>
      <c r="BC1309" s="452"/>
      <c r="BD1309" s="2829"/>
      <c r="BE1309" s="156"/>
      <c r="BF1309" s="156"/>
    </row>
    <row r="1310" spans="1:58" hidden="1" outlineLevel="1" x14ac:dyDescent="0.35">
      <c r="A1310" s="1071"/>
      <c r="B1310" s="106"/>
      <c r="C1310" s="103"/>
      <c r="D1310" s="3980"/>
      <c r="E1310" s="3980"/>
      <c r="F1310" s="3952" t="str">
        <f t="shared" si="243"/>
        <v>Mini/MultiSplitASHP_ER1_MF</v>
      </c>
      <c r="G1310" s="3953"/>
      <c r="H1310" s="3954"/>
      <c r="I1310" s="2672" t="str">
        <f t="shared" si="247"/>
        <v>351850_2021_12_</v>
      </c>
      <c r="J1310" s="654"/>
      <c r="K1310" s="2764"/>
      <c r="L1310" s="624"/>
      <c r="M1310" s="1304"/>
      <c r="N1310" s="1296"/>
      <c r="O1310" s="106"/>
      <c r="P1310" s="106"/>
      <c r="Q1310" s="106"/>
      <c r="R1310" s="106"/>
      <c r="S1310" s="106"/>
      <c r="T1310" s="106"/>
      <c r="U1310" s="106"/>
      <c r="V1310" s="4022"/>
      <c r="W1310" s="656"/>
      <c r="X1310" s="656"/>
      <c r="Y1310" s="655"/>
      <c r="Z1310" s="655"/>
      <c r="AA1310" s="655"/>
      <c r="AB1310" s="1822"/>
      <c r="AC1310" s="654"/>
      <c r="AD1310" s="654"/>
      <c r="AE1310" s="636"/>
      <c r="AF1310" s="636"/>
      <c r="AG1310" s="638"/>
      <c r="AH1310" s="156"/>
      <c r="AI1310" s="156"/>
      <c r="AJ1310" s="156"/>
      <c r="AK1310" s="156"/>
      <c r="AL1310" s="156"/>
      <c r="AM1310" s="156"/>
      <c r="AN1310" s="156"/>
      <c r="AO1310" s="156"/>
      <c r="AP1310" s="156"/>
      <c r="AQ1310" s="156"/>
      <c r="AR1310" s="156"/>
      <c r="AS1310" s="156"/>
      <c r="AT1310" s="156"/>
      <c r="AU1310" s="156"/>
      <c r="AV1310" s="156"/>
      <c r="AW1310" s="156"/>
      <c r="AX1310" s="156"/>
      <c r="AY1310" s="156"/>
      <c r="AZ1310" s="156"/>
      <c r="BA1310" s="156"/>
      <c r="BB1310" s="2828"/>
      <c r="BC1310" s="452"/>
      <c r="BD1310" s="2829"/>
      <c r="BE1310" s="156"/>
      <c r="BF1310" s="156"/>
    </row>
    <row r="1311" spans="1:58" hidden="1" outlineLevel="1" x14ac:dyDescent="0.35">
      <c r="A1311" s="1071"/>
      <c r="B1311" s="106"/>
      <c r="C1311" s="103"/>
      <c r="D1311" s="3980"/>
      <c r="E1311" s="3980"/>
      <c r="F1311" s="3952" t="str">
        <f t="shared" si="243"/>
        <v>Mini/MultiSplitASHP_ER2_MF</v>
      </c>
      <c r="G1311" s="3953"/>
      <c r="H1311" s="3954"/>
      <c r="I1311" s="2672" t="str">
        <f t="shared" si="247"/>
        <v>351850_2021_12_</v>
      </c>
      <c r="J1311" s="655"/>
      <c r="K1311" s="2764"/>
      <c r="L1311" s="624"/>
      <c r="M1311" s="1304"/>
      <c r="N1311" s="1296"/>
      <c r="O1311" s="106"/>
      <c r="P1311" s="106"/>
      <c r="Q1311" s="106"/>
      <c r="R1311" s="106"/>
      <c r="S1311" s="106"/>
      <c r="T1311" s="106"/>
      <c r="U1311" s="106"/>
      <c r="V1311" s="4022"/>
      <c r="W1311" s="656"/>
      <c r="X1311" s="656"/>
      <c r="Y1311" s="655"/>
      <c r="Z1311" s="655"/>
      <c r="AA1311" s="655"/>
      <c r="AB1311" s="1822"/>
      <c r="AC1311" s="654"/>
      <c r="AD1311" s="655"/>
      <c r="AE1311" s="636"/>
      <c r="AF1311" s="636"/>
      <c r="AG1311" s="638"/>
      <c r="AH1311" s="156"/>
      <c r="AI1311" s="156"/>
      <c r="AJ1311" s="156"/>
      <c r="AK1311" s="156"/>
      <c r="AL1311" s="156"/>
      <c r="AM1311" s="156"/>
      <c r="AN1311" s="156"/>
      <c r="AO1311" s="156"/>
      <c r="AP1311" s="156"/>
      <c r="AQ1311" s="156"/>
      <c r="AR1311" s="156"/>
      <c r="AS1311" s="156"/>
      <c r="AT1311" s="156"/>
      <c r="AU1311" s="156"/>
      <c r="AV1311" s="156"/>
      <c r="AW1311" s="156"/>
      <c r="AX1311" s="156"/>
      <c r="AY1311" s="156"/>
      <c r="AZ1311" s="156"/>
      <c r="BA1311" s="156"/>
      <c r="BB1311" s="2828"/>
      <c r="BC1311" s="452"/>
      <c r="BD1311" s="2829"/>
      <c r="BE1311" s="156"/>
      <c r="BF1311" s="156"/>
    </row>
    <row r="1312" spans="1:58" ht="15" hidden="1" outlineLevel="1" thickBot="1" x14ac:dyDescent="0.4">
      <c r="A1312" s="1071"/>
      <c r="B1312" s="106"/>
      <c r="C1312" s="103"/>
      <c r="D1312" s="3981"/>
      <c r="E1312" s="3981"/>
      <c r="F1312" s="3967" t="str">
        <f t="shared" si="243"/>
        <v>Mini/MultiSplitASHP_ER2_MF</v>
      </c>
      <c r="G1312" s="3968"/>
      <c r="H1312" s="3969"/>
      <c r="I1312" s="2673" t="str">
        <f t="shared" si="247"/>
        <v>351850_2021_12_</v>
      </c>
      <c r="J1312" s="643"/>
      <c r="K1312" s="1820"/>
      <c r="L1312" s="649"/>
      <c r="M1312" s="1304"/>
      <c r="N1312" s="1296"/>
      <c r="O1312" s="106"/>
      <c r="P1312" s="106"/>
      <c r="Q1312" s="106"/>
      <c r="R1312" s="106"/>
      <c r="S1312" s="106"/>
      <c r="T1312" s="106"/>
      <c r="U1312" s="106"/>
      <c r="V1312" s="4104"/>
      <c r="W1312" s="643"/>
      <c r="X1312" s="643"/>
      <c r="Y1312" s="643"/>
      <c r="Z1312" s="643"/>
      <c r="AA1312" s="643"/>
      <c r="AB1312" s="643"/>
      <c r="AC1312" s="641"/>
      <c r="AD1312" s="643"/>
      <c r="AE1312" s="643"/>
      <c r="AF1312" s="643"/>
      <c r="AG1312" s="644"/>
      <c r="AH1312" s="156"/>
      <c r="AI1312" s="156"/>
      <c r="AJ1312" s="156"/>
      <c r="AK1312" s="156"/>
      <c r="AL1312" s="156"/>
      <c r="AM1312" s="156"/>
      <c r="AN1312" s="156"/>
      <c r="AO1312" s="156"/>
      <c r="AP1312" s="156"/>
      <c r="AQ1312" s="156"/>
      <c r="AR1312" s="156"/>
      <c r="AS1312" s="156"/>
      <c r="AT1312" s="156"/>
      <c r="AU1312" s="156"/>
      <c r="AV1312" s="156"/>
      <c r="AW1312" s="156"/>
      <c r="AX1312" s="156"/>
      <c r="AY1312" s="156"/>
      <c r="AZ1312" s="156"/>
      <c r="BA1312" s="156"/>
      <c r="BB1312" s="2828"/>
      <c r="BC1312" s="452"/>
      <c r="BD1312" s="2829"/>
      <c r="BE1312" s="156"/>
      <c r="BF1312" s="156"/>
    </row>
    <row r="1313" spans="1:58" collapsed="1" x14ac:dyDescent="0.35">
      <c r="A1313" s="1071"/>
      <c r="B1313" s="106"/>
      <c r="C1313" s="103"/>
      <c r="D1313" s="292"/>
      <c r="E1313" s="292"/>
      <c r="F1313" s="106"/>
      <c r="G1313" s="292"/>
      <c r="H1313" s="106"/>
      <c r="I1313" s="106"/>
      <c r="J1313" s="106"/>
      <c r="K1313" s="106"/>
      <c r="L1313" s="106"/>
      <c r="M1313" s="106"/>
      <c r="N1313" s="1296"/>
      <c r="O1313" s="106"/>
      <c r="P1313" s="106"/>
      <c r="Q1313" s="106"/>
      <c r="R1313" s="106"/>
      <c r="S1313" s="106"/>
      <c r="T1313" s="106"/>
      <c r="U1313" s="106"/>
      <c r="V1313" s="106"/>
      <c r="W1313" s="156"/>
      <c r="X1313" s="156"/>
      <c r="Y1313" s="156"/>
      <c r="Z1313" s="156"/>
      <c r="AA1313" s="156"/>
      <c r="AB1313" s="156"/>
      <c r="AC1313" s="156"/>
      <c r="AD1313" s="156"/>
      <c r="AE1313" s="156"/>
      <c r="AF1313" s="156"/>
      <c r="AG1313" s="156"/>
      <c r="AH1313" s="156"/>
      <c r="AI1313" s="156"/>
      <c r="AJ1313" s="156"/>
      <c r="AK1313" s="156"/>
      <c r="AL1313" s="156"/>
      <c r="AM1313" s="156"/>
      <c r="AN1313" s="156"/>
      <c r="AO1313" s="156"/>
      <c r="AP1313" s="156"/>
      <c r="AQ1313" s="156"/>
      <c r="AR1313" s="156"/>
      <c r="AS1313" s="156"/>
      <c r="AT1313" s="156"/>
      <c r="AU1313" s="156"/>
      <c r="AV1313" s="156"/>
      <c r="AW1313" s="156"/>
      <c r="AX1313" s="156"/>
      <c r="AY1313" s="156"/>
      <c r="AZ1313" s="156"/>
      <c r="BA1313" s="156"/>
      <c r="BB1313" s="2828"/>
      <c r="BC1313" s="452"/>
      <c r="BD1313" s="2829"/>
      <c r="BE1313" s="156"/>
      <c r="BF1313" s="156"/>
    </row>
    <row r="1314" spans="1:58" x14ac:dyDescent="0.35">
      <c r="A1314" s="1071"/>
      <c r="B1314" s="106"/>
      <c r="C1314" s="103"/>
      <c r="D1314" s="292"/>
      <c r="E1314" s="292"/>
      <c r="F1314" s="106"/>
      <c r="G1314" s="292"/>
      <c r="H1314" s="106"/>
      <c r="I1314" s="106"/>
      <c r="J1314" s="106"/>
      <c r="K1314" s="106"/>
      <c r="L1314" s="106"/>
      <c r="M1314" s="106"/>
      <c r="N1314" s="106"/>
      <c r="O1314" s="106"/>
      <c r="P1314" s="106"/>
      <c r="Q1314" s="106"/>
      <c r="R1314" s="106"/>
      <c r="S1314" s="106"/>
      <c r="T1314" s="106"/>
      <c r="U1314" s="106"/>
      <c r="V1314" s="106"/>
      <c r="W1314" s="156"/>
      <c r="X1314" s="156"/>
      <c r="Y1314" s="156"/>
      <c r="Z1314" s="156"/>
      <c r="AA1314" s="156"/>
      <c r="AB1314" s="156"/>
      <c r="AC1314" s="156"/>
      <c r="AD1314" s="156"/>
      <c r="AE1314" s="156"/>
      <c r="AF1314" s="156"/>
      <c r="AG1314" s="156"/>
      <c r="AH1314" s="156"/>
      <c r="AI1314" s="156"/>
      <c r="AJ1314" s="156"/>
      <c r="AK1314" s="156"/>
      <c r="AL1314" s="156"/>
      <c r="AM1314" s="156"/>
      <c r="AN1314" s="156"/>
      <c r="AO1314" s="156"/>
      <c r="AP1314" s="156"/>
      <c r="AQ1314" s="156"/>
      <c r="AR1314" s="156"/>
      <c r="AS1314" s="156"/>
      <c r="AT1314" s="156"/>
      <c r="AU1314" s="156"/>
      <c r="AV1314" s="156"/>
      <c r="AW1314" s="156"/>
      <c r="AX1314" s="156"/>
      <c r="AY1314" s="156"/>
      <c r="AZ1314" s="156"/>
      <c r="BA1314" s="156"/>
      <c r="BB1314" s="2828"/>
      <c r="BC1314" s="452"/>
      <c r="BD1314" s="2829"/>
      <c r="BE1314" s="156"/>
      <c r="BF1314" s="156"/>
    </row>
    <row r="1315" spans="1:58" x14ac:dyDescent="0.35">
      <c r="A1315" s="1071"/>
      <c r="B1315" s="2325" t="s">
        <v>1088</v>
      </c>
      <c r="C1315" s="609"/>
      <c r="D1315" s="2326"/>
      <c r="E1315" s="2326"/>
      <c r="F1315" s="2326"/>
      <c r="G1315" s="2326"/>
      <c r="H1315" s="2326"/>
      <c r="I1315" s="2326"/>
      <c r="J1315" s="2326"/>
      <c r="K1315" s="2326"/>
      <c r="L1315" s="2326"/>
      <c r="M1315" s="2326"/>
      <c r="N1315" s="2326"/>
      <c r="O1315" s="2326"/>
      <c r="P1315" s="2326"/>
      <c r="Q1315" s="2384"/>
      <c r="R1315" s="106"/>
      <c r="S1315" s="106"/>
      <c r="T1315" s="106"/>
      <c r="U1315" s="106"/>
      <c r="V1315" s="3664" t="str">
        <f>B1315</f>
        <v>Dual Fuel Heat Pumps</v>
      </c>
      <c r="W1315" s="3665"/>
      <c r="X1315" s="3665"/>
      <c r="Y1315" s="3665"/>
      <c r="Z1315" s="3665"/>
      <c r="AA1315" s="3665"/>
      <c r="AB1315" s="3665"/>
      <c r="AC1315" s="4018"/>
      <c r="AD1315" s="4018"/>
      <c r="AE1315" s="4018"/>
      <c r="AF1315" s="4018"/>
      <c r="AG1315" s="4018"/>
      <c r="AH1315" s="4019"/>
      <c r="AI1315" s="156"/>
      <c r="AJ1315" s="156"/>
      <c r="AK1315" s="156"/>
      <c r="AL1315" s="156"/>
      <c r="AM1315" s="156"/>
      <c r="AN1315" s="156"/>
      <c r="AO1315" s="156"/>
      <c r="AP1315" s="156"/>
      <c r="AQ1315" s="156"/>
      <c r="AR1315" s="156"/>
      <c r="AS1315" s="156"/>
      <c r="AT1315" s="156"/>
      <c r="AU1315" s="156"/>
      <c r="AV1315" s="156"/>
      <c r="AW1315" s="156"/>
      <c r="AX1315" s="156"/>
      <c r="AY1315" s="156"/>
      <c r="AZ1315" s="156"/>
      <c r="BA1315" s="156"/>
      <c r="BB1315" s="2828"/>
      <c r="BC1315" s="452"/>
      <c r="BD1315" s="2829"/>
      <c r="BE1315" s="156"/>
      <c r="BF1315" s="156"/>
    </row>
    <row r="1316" spans="1:58" x14ac:dyDescent="0.35">
      <c r="A1316" s="1071"/>
      <c r="B1316" s="106"/>
      <c r="C1316" s="103"/>
      <c r="D1316" s="292"/>
      <c r="E1316" s="292"/>
      <c r="F1316" s="106"/>
      <c r="G1316" s="292"/>
      <c r="H1316" s="103"/>
      <c r="I1316" s="103"/>
      <c r="J1316" s="103"/>
      <c r="K1316" s="103"/>
      <c r="L1316" s="103"/>
      <c r="M1316" s="103"/>
      <c r="N1316" s="106"/>
      <c r="O1316" s="106"/>
      <c r="P1316" s="106"/>
      <c r="Q1316" s="292"/>
      <c r="R1316" s="106"/>
      <c r="S1316" s="106"/>
      <c r="T1316" s="106"/>
      <c r="U1316" s="106"/>
      <c r="V1316" s="106"/>
      <c r="W1316" s="156"/>
      <c r="X1316" s="156"/>
      <c r="Y1316" s="156"/>
      <c r="Z1316" s="156"/>
      <c r="AA1316" s="156"/>
      <c r="AB1316" s="156"/>
      <c r="AC1316" s="156"/>
      <c r="AD1316" s="156"/>
      <c r="AE1316" s="156"/>
      <c r="AF1316" s="156"/>
      <c r="AG1316" s="156"/>
      <c r="AH1316" s="156"/>
      <c r="AI1316" s="156"/>
      <c r="AJ1316" s="156"/>
      <c r="AK1316" s="156"/>
      <c r="AL1316" s="156"/>
      <c r="AM1316" s="156"/>
      <c r="AN1316" s="156"/>
      <c r="AO1316" s="156"/>
      <c r="AP1316" s="156"/>
      <c r="AQ1316" s="156"/>
      <c r="AR1316" s="156"/>
      <c r="AS1316" s="156"/>
      <c r="AT1316" s="156"/>
      <c r="AU1316" s="156"/>
      <c r="AV1316" s="156"/>
      <c r="AW1316" s="156"/>
      <c r="AX1316" s="156"/>
      <c r="AY1316" s="156"/>
      <c r="AZ1316" s="156"/>
      <c r="BA1316" s="156"/>
      <c r="BB1316" s="2828"/>
      <c r="BC1316" s="452"/>
      <c r="BD1316" s="2829"/>
      <c r="BE1316" s="156"/>
      <c r="BF1316" s="156"/>
    </row>
    <row r="1317" spans="1:58" x14ac:dyDescent="0.35">
      <c r="A1317" s="1071"/>
      <c r="B1317" s="106"/>
      <c r="C1317" s="103"/>
      <c r="D1317" s="292" t="s">
        <v>843</v>
      </c>
      <c r="E1317" s="292"/>
      <c r="F1317" s="106"/>
      <c r="G1317" s="292"/>
      <c r="H1317" s="106"/>
      <c r="I1317" s="103"/>
      <c r="J1317" s="103"/>
      <c r="K1317" s="103"/>
      <c r="L1317" s="103"/>
      <c r="M1317" s="103"/>
      <c r="N1317" s="106"/>
      <c r="O1317" s="106"/>
      <c r="P1317" s="106"/>
      <c r="Q1317" s="292"/>
      <c r="R1317" s="106"/>
      <c r="S1317" s="106"/>
      <c r="T1317" s="106"/>
      <c r="U1317" s="106"/>
      <c r="V1317" s="106"/>
      <c r="W1317" s="156"/>
      <c r="X1317" s="156"/>
      <c r="Y1317" s="156"/>
      <c r="Z1317" s="156"/>
      <c r="AA1317" s="156"/>
      <c r="AB1317" s="156"/>
      <c r="AC1317" s="156"/>
      <c r="AD1317" s="156"/>
      <c r="AE1317" s="156"/>
      <c r="AF1317" s="156"/>
      <c r="AG1317" s="156"/>
      <c r="AH1317" s="156"/>
      <c r="AI1317" s="156"/>
      <c r="AJ1317" s="156"/>
      <c r="AK1317" s="156"/>
      <c r="AL1317" s="156"/>
      <c r="AM1317" s="156"/>
      <c r="AN1317" s="156"/>
      <c r="AO1317" s="156"/>
      <c r="AP1317" s="156"/>
      <c r="AQ1317" s="156"/>
      <c r="AR1317" s="156"/>
      <c r="AS1317" s="156"/>
      <c r="AT1317" s="156"/>
      <c r="AU1317" s="156"/>
      <c r="AV1317" s="156"/>
      <c r="AW1317" s="156"/>
      <c r="AX1317" s="156"/>
      <c r="AY1317" s="156"/>
      <c r="AZ1317" s="156"/>
      <c r="BA1317" s="156"/>
      <c r="BB1317" s="2828"/>
      <c r="BC1317" s="452"/>
      <c r="BD1317" s="2829"/>
      <c r="BE1317" s="156"/>
      <c r="BF1317" s="156"/>
    </row>
    <row r="1318" spans="1:58" ht="29" x14ac:dyDescent="0.35">
      <c r="A1318" s="1071"/>
      <c r="B1318" s="106"/>
      <c r="C1318" s="2331" t="s">
        <v>27</v>
      </c>
      <c r="D1318" s="2379" t="s">
        <v>174</v>
      </c>
      <c r="E1318" s="2331" t="s">
        <v>29</v>
      </c>
      <c r="F1318" s="2331" t="s">
        <v>30</v>
      </c>
      <c r="G1318" s="2331" t="s">
        <v>175</v>
      </c>
      <c r="H1318" s="2331" t="s">
        <v>176</v>
      </c>
      <c r="I1318" s="2331" t="s">
        <v>31</v>
      </c>
      <c r="J1318" s="2363" t="s">
        <v>180</v>
      </c>
      <c r="K1318" s="2331" t="s">
        <v>169</v>
      </c>
      <c r="L1318" s="2331" t="s">
        <v>844</v>
      </c>
      <c r="M1318" s="106"/>
      <c r="N1318" s="106"/>
      <c r="O1318" s="106"/>
      <c r="P1318" s="106"/>
      <c r="Q1318" s="106"/>
      <c r="R1318" s="106"/>
      <c r="S1318" s="106"/>
      <c r="T1318" s="106"/>
      <c r="U1318" s="106"/>
      <c r="V1318" s="480" t="s">
        <v>44</v>
      </c>
      <c r="W1318" s="1573">
        <f>W$6</f>
        <v>43252</v>
      </c>
      <c r="X1318" s="1573">
        <f t="shared" ref="X1318:AG1318" si="248">X$6</f>
        <v>43465</v>
      </c>
      <c r="Y1318" s="1573">
        <f t="shared" si="248"/>
        <v>43800</v>
      </c>
      <c r="Z1318" s="1573">
        <f t="shared" si="248"/>
        <v>43862</v>
      </c>
      <c r="AA1318" s="1573">
        <f t="shared" si="248"/>
        <v>44013</v>
      </c>
      <c r="AB1318" s="1573">
        <f t="shared" si="248"/>
        <v>44166</v>
      </c>
      <c r="AC1318" s="1573">
        <f t="shared" si="248"/>
        <v>44531</v>
      </c>
      <c r="AD1318" s="1573">
        <f t="shared" si="248"/>
        <v>44774</v>
      </c>
      <c r="AE1318" s="1573" t="str">
        <f t="shared" si="248"/>
        <v>-</v>
      </c>
      <c r="AF1318" s="1573" t="str">
        <f t="shared" si="248"/>
        <v>-</v>
      </c>
      <c r="AG1318" s="1573" t="str">
        <f t="shared" si="248"/>
        <v>-</v>
      </c>
      <c r="AH1318" s="156"/>
      <c r="AI1318" s="156"/>
      <c r="AJ1318" s="156"/>
      <c r="AK1318" s="156"/>
      <c r="AL1318" s="156"/>
      <c r="AM1318" s="156"/>
      <c r="AN1318" s="156"/>
      <c r="AO1318" s="156"/>
      <c r="AP1318" s="156"/>
      <c r="AQ1318" s="156"/>
      <c r="AR1318" s="156"/>
      <c r="AS1318" s="156"/>
      <c r="AT1318" s="156"/>
      <c r="AU1318" s="156"/>
      <c r="AV1318" s="156"/>
      <c r="AW1318" s="156"/>
      <c r="AX1318" s="156"/>
      <c r="AY1318" s="156"/>
      <c r="AZ1318" s="156"/>
      <c r="BA1318" s="156"/>
      <c r="BB1318" s="2830" t="str">
        <f>$BB$6</f>
        <v>TRC (2022)</v>
      </c>
      <c r="BC1318" s="2830" t="str">
        <f>$BC$6</f>
        <v>Benefit Lookup</v>
      </c>
      <c r="BD1318" s="2866" t="str">
        <f>$BD$6</f>
        <v>Benefits (2019 $)</v>
      </c>
      <c r="BE1318" s="2867" t="str">
        <f>$BE$6</f>
        <v>Incremental Cost (2019 $)</v>
      </c>
      <c r="BF1318" s="156"/>
    </row>
    <row r="1319" spans="1:58" x14ac:dyDescent="0.35">
      <c r="A1319" s="1071" t="str">
        <f t="shared" ref="A1319:A1330" si="249">C1319&amp;G1319</f>
        <v>351900_2019_12_Cooling Res</v>
      </c>
      <c r="B1319" s="106"/>
      <c r="C1319" s="1037" t="s">
        <v>1089</v>
      </c>
      <c r="D1319" s="395" t="s">
        <v>320</v>
      </c>
      <c r="E1319" s="2348" t="s">
        <v>1090</v>
      </c>
      <c r="F1319" s="615">
        <f>ROUND(((J1376*J1382*(1/J1388-1/J1394))/1000)*J1400,2)</f>
        <v>433.19</v>
      </c>
      <c r="G1319" s="188" t="s">
        <v>1091</v>
      </c>
      <c r="H1319" s="136">
        <f>VLOOKUP(G1319,'CP FACTORS'!$A$3:$B$38, 2, FALSE)</f>
        <v>9.4741810000000004E-4</v>
      </c>
      <c r="I1319" s="90">
        <f t="shared" ref="I1319:I1330" si="250">ROUND(F1319*H1319,6)</f>
        <v>0.410412</v>
      </c>
      <c r="J1319" s="92">
        <f>J1406</f>
        <v>18</v>
      </c>
      <c r="K1319" s="420">
        <f>J1412</f>
        <v>2936.6</v>
      </c>
      <c r="L1319" s="1308">
        <f>K1376</f>
        <v>3.4</v>
      </c>
      <c r="M1319" s="657"/>
      <c r="N1319" s="106"/>
      <c r="O1319" s="106"/>
      <c r="P1319" s="106"/>
      <c r="Q1319" s="106"/>
      <c r="R1319" s="1214"/>
      <c r="S1319" s="106"/>
      <c r="T1319" s="106"/>
      <c r="U1319" s="106"/>
      <c r="V1319" s="1592" t="s">
        <v>30</v>
      </c>
      <c r="W1319" s="2911">
        <v>433.19323308270674</v>
      </c>
      <c r="X1319" s="2911">
        <v>433.19323308270674</v>
      </c>
      <c r="Y1319" s="2912">
        <v>433.19</v>
      </c>
      <c r="Z1319" s="615">
        <v>433.19</v>
      </c>
      <c r="AA1319" s="615">
        <v>433.19</v>
      </c>
      <c r="AB1319" s="2913">
        <v>433.19</v>
      </c>
      <c r="AC1319" s="2913">
        <v>433.19</v>
      </c>
      <c r="AD1319" s="2913">
        <v>433.19</v>
      </c>
      <c r="AE1319" s="851"/>
      <c r="AF1319" s="851"/>
      <c r="AG1319" s="851"/>
      <c r="AH1319" s="156"/>
      <c r="AI1319" s="156"/>
      <c r="AJ1319" s="156"/>
      <c r="AK1319" s="156"/>
      <c r="AL1319" s="156"/>
      <c r="AM1319" s="156"/>
      <c r="AN1319" s="156"/>
      <c r="AO1319" s="156"/>
      <c r="AP1319" s="156"/>
      <c r="AQ1319" s="156"/>
      <c r="AR1319" s="156"/>
      <c r="AS1319" s="156"/>
      <c r="AT1319" s="156"/>
      <c r="AU1319" s="156"/>
      <c r="AV1319" s="156"/>
      <c r="AW1319" s="156"/>
      <c r="AX1319" s="156"/>
      <c r="AY1319" s="156"/>
      <c r="AZ1319" s="156"/>
      <c r="BA1319" s="156"/>
      <c r="BB1319" s="2832">
        <f>(BD1319+BD1320)/(BE1319+BE1320)</f>
        <v>0.37675417139900874</v>
      </c>
      <c r="BC1319" s="2348" t="str">
        <f t="shared" ref="BC1319:BC1330" si="251">CONCATENATE(G1319," ",J1319," Year EUL")</f>
        <v>Cooling Res 18 Year EUL</v>
      </c>
      <c r="BD1319" s="2869">
        <f>(INDEX('Avoided Cost Benefits'!$E$4:$E$859,MATCH(BC1319,'Avoided Cost Benefits'!$A$4:$A$859,0)))*F1319</f>
        <v>753.81225306585895</v>
      </c>
      <c r="BE1319" s="855">
        <f t="shared" ref="BE1319:BE1330" si="252">K1319/(1.0595^(2020-2019))</f>
        <v>2771.6847569608303</v>
      </c>
      <c r="BF1319" s="156"/>
    </row>
    <row r="1320" spans="1:58" x14ac:dyDescent="0.35">
      <c r="A1320" s="1071" t="str">
        <f t="shared" si="249"/>
        <v>351900_2019_12_Heating Res</v>
      </c>
      <c r="B1320" s="106"/>
      <c r="C1320" s="1037" t="s">
        <v>1089</v>
      </c>
      <c r="D1320" s="1279" t="s">
        <v>320</v>
      </c>
      <c r="E1320" s="2349" t="s">
        <v>1090</v>
      </c>
      <c r="F1320" s="615">
        <f>ROUND(((J1352*J1358*(1/J1364-1/J1370))/1000)*J1400,2)</f>
        <v>651.41999999999996</v>
      </c>
      <c r="G1320" s="188" t="s">
        <v>1092</v>
      </c>
      <c r="H1320" s="136">
        <f>VLOOKUP(G1320,'CP FACTORS'!$A$3:$B$38, 2, FALSE)</f>
        <v>0</v>
      </c>
      <c r="I1320" s="90">
        <f t="shared" si="250"/>
        <v>0</v>
      </c>
      <c r="J1320" s="92">
        <f>J1319</f>
        <v>18</v>
      </c>
      <c r="K1320" s="420"/>
      <c r="L1320" s="1308"/>
      <c r="M1320" s="657"/>
      <c r="N1320" s="106"/>
      <c r="O1320" s="106"/>
      <c r="P1320" s="106"/>
      <c r="Q1320" s="106"/>
      <c r="R1320" s="1214"/>
      <c r="S1320" s="106"/>
      <c r="T1320" s="106"/>
      <c r="U1320" s="106"/>
      <c r="V1320" s="1592" t="s">
        <v>30</v>
      </c>
      <c r="W1320" s="2911">
        <v>651.42175609756123</v>
      </c>
      <c r="X1320" s="2911">
        <v>651.42175609756123</v>
      </c>
      <c r="Y1320" s="2912">
        <v>651.41999999999996</v>
      </c>
      <c r="Z1320" s="615">
        <v>651.41999999999996</v>
      </c>
      <c r="AA1320" s="615">
        <v>651.41999999999996</v>
      </c>
      <c r="AB1320" s="2913">
        <v>651.41999999999996</v>
      </c>
      <c r="AC1320" s="2913">
        <v>651.41999999999996</v>
      </c>
      <c r="AD1320" s="2913">
        <v>651.41999999999996</v>
      </c>
      <c r="AE1320" s="851"/>
      <c r="AF1320" s="851"/>
      <c r="AG1320" s="851"/>
      <c r="AH1320" s="156"/>
      <c r="AI1320" s="156"/>
      <c r="AJ1320" s="156"/>
      <c r="AK1320" s="156"/>
      <c r="AL1320" s="156"/>
      <c r="AM1320" s="156"/>
      <c r="AN1320" s="156"/>
      <c r="AO1320" s="156"/>
      <c r="AP1320" s="156"/>
      <c r="AQ1320" s="156"/>
      <c r="AR1320" s="156"/>
      <c r="AS1320" s="156"/>
      <c r="AT1320" s="156"/>
      <c r="AU1320" s="156"/>
      <c r="AV1320" s="156"/>
      <c r="AW1320" s="156"/>
      <c r="AX1320" s="156"/>
      <c r="AY1320" s="156"/>
      <c r="AZ1320" s="156"/>
      <c r="BA1320" s="156"/>
      <c r="BB1320" s="2835"/>
      <c r="BC1320" s="2349" t="str">
        <f t="shared" si="251"/>
        <v>Heating Res 18 Year EUL</v>
      </c>
      <c r="BD1320" s="2829">
        <f>(INDEX('Avoided Cost Benefits'!$E$4:$E$859,MATCH(BC1320,'Avoided Cost Benefits'!$A$4:$A$859,0)))*F1320</f>
        <v>290.43154092218157</v>
      </c>
      <c r="BE1320" s="858">
        <f t="shared" si="252"/>
        <v>0</v>
      </c>
      <c r="BF1320" s="156"/>
    </row>
    <row r="1321" spans="1:58" x14ac:dyDescent="0.35">
      <c r="A1321" s="1071" t="str">
        <f t="shared" si="249"/>
        <v>351901_2019_12_Cooling Res</v>
      </c>
      <c r="B1321" s="106"/>
      <c r="C1321" s="1037" t="s">
        <v>1093</v>
      </c>
      <c r="D1321" s="1279" t="s">
        <v>315</v>
      </c>
      <c r="E1321" s="2348" t="s">
        <v>1094</v>
      </c>
      <c r="F1321" s="615">
        <f>ROUND((($J$1377*$J$1383*(1/$J$1389-1/$J$1395))/1000)*$J$1401,2)</f>
        <v>315.05</v>
      </c>
      <c r="G1321" s="188" t="s">
        <v>1091</v>
      </c>
      <c r="H1321" s="136">
        <f>VLOOKUP(G1321,'CP FACTORS'!$A$3:$B$38, 2, FALSE)</f>
        <v>9.4741810000000004E-4</v>
      </c>
      <c r="I1321" s="90">
        <f t="shared" si="250"/>
        <v>0.29848400000000003</v>
      </c>
      <c r="J1321" s="92">
        <f>J1407</f>
        <v>18</v>
      </c>
      <c r="K1321" s="420">
        <f>J1413</f>
        <v>2936.6</v>
      </c>
      <c r="L1321" s="1308">
        <f>K1377</f>
        <v>3.4</v>
      </c>
      <c r="M1321" s="657"/>
      <c r="N1321" s="106"/>
      <c r="O1321" s="106"/>
      <c r="P1321" s="106"/>
      <c r="Q1321" s="106"/>
      <c r="R1321" s="1214"/>
      <c r="S1321" s="106"/>
      <c r="T1321" s="106"/>
      <c r="U1321" s="106"/>
      <c r="V1321" s="1592" t="s">
        <v>30</v>
      </c>
      <c r="W1321" s="2911"/>
      <c r="X1321" s="2911"/>
      <c r="Y1321" s="618">
        <v>315.05</v>
      </c>
      <c r="Z1321" s="615">
        <v>315.05</v>
      </c>
      <c r="AA1321" s="615">
        <v>315.05</v>
      </c>
      <c r="AB1321" s="2913">
        <v>315.05</v>
      </c>
      <c r="AC1321" s="2913">
        <v>315.05</v>
      </c>
      <c r="AD1321" s="2913">
        <v>315.05</v>
      </c>
      <c r="AE1321" s="851"/>
      <c r="AF1321" s="851"/>
      <c r="AG1321" s="851"/>
      <c r="AH1321" s="156"/>
      <c r="AI1321" s="156"/>
      <c r="AJ1321" s="156"/>
      <c r="AK1321" s="156"/>
      <c r="AL1321" s="156"/>
      <c r="AM1321" s="156"/>
      <c r="AN1321" s="156"/>
      <c r="AO1321" s="156"/>
      <c r="AP1321" s="156"/>
      <c r="AQ1321" s="156"/>
      <c r="AR1321" s="156"/>
      <c r="AS1321" s="156"/>
      <c r="AT1321" s="156"/>
      <c r="AU1321" s="156"/>
      <c r="AV1321" s="156"/>
      <c r="AW1321" s="156"/>
      <c r="AX1321" s="156"/>
      <c r="AY1321" s="156"/>
      <c r="AZ1321" s="156"/>
      <c r="BA1321" s="156"/>
      <c r="BB1321" s="2833">
        <f>(BD1321+BD1322)/(BE1321+BE1322)</f>
        <v>0.24555404095793382</v>
      </c>
      <c r="BC1321" s="2348" t="str">
        <f t="shared" si="251"/>
        <v>Cooling Res 18 Year EUL</v>
      </c>
      <c r="BD1321" s="2829">
        <f>(INDEX('Avoided Cost Benefits'!$E$4:$E$859,MATCH(BC1321,'Avoided Cost Benefits'!$A$4:$A$859,0)))*F1321</f>
        <v>548.2318389815066</v>
      </c>
      <c r="BE1321" s="858">
        <f t="shared" si="252"/>
        <v>2771.6847569608303</v>
      </c>
      <c r="BF1321" s="156"/>
    </row>
    <row r="1322" spans="1:58" x14ac:dyDescent="0.35">
      <c r="A1322" s="1071" t="str">
        <f t="shared" si="249"/>
        <v>351901_2019_12_Heating Res</v>
      </c>
      <c r="B1322" s="106"/>
      <c r="C1322" s="1037" t="s">
        <v>1093</v>
      </c>
      <c r="D1322" s="1279" t="s">
        <v>315</v>
      </c>
      <c r="E1322" s="2349" t="s">
        <v>1094</v>
      </c>
      <c r="F1322" s="615">
        <f>ROUND((($J$1353*$J$1359*(1/$J$1365-1/$J$1371))/1000)*$J$1401,2)</f>
        <v>296.89</v>
      </c>
      <c r="G1322" s="188" t="s">
        <v>1092</v>
      </c>
      <c r="H1322" s="136">
        <f>VLOOKUP(G1322,'CP FACTORS'!$A$3:$B$38, 2, FALSE)</f>
        <v>0</v>
      </c>
      <c r="I1322" s="90">
        <f t="shared" si="250"/>
        <v>0</v>
      </c>
      <c r="J1322" s="92">
        <f>J1321</f>
        <v>18</v>
      </c>
      <c r="K1322" s="420"/>
      <c r="L1322" s="1308"/>
      <c r="M1322" s="657"/>
      <c r="N1322" s="106"/>
      <c r="O1322" s="106"/>
      <c r="P1322" s="106"/>
      <c r="Q1322" s="106"/>
      <c r="R1322" s="1214"/>
      <c r="S1322" s="106"/>
      <c r="T1322" s="106"/>
      <c r="U1322" s="106"/>
      <c r="V1322" s="1592" t="s">
        <v>30</v>
      </c>
      <c r="W1322" s="2911"/>
      <c r="X1322" s="2911"/>
      <c r="Y1322" s="618">
        <v>296.89</v>
      </c>
      <c r="Z1322" s="615">
        <v>296.89</v>
      </c>
      <c r="AA1322" s="615">
        <v>296.89</v>
      </c>
      <c r="AB1322" s="2913">
        <v>296.89</v>
      </c>
      <c r="AC1322" s="2913">
        <v>296.89</v>
      </c>
      <c r="AD1322" s="2913">
        <v>296.89</v>
      </c>
      <c r="AE1322" s="851"/>
      <c r="AF1322" s="851"/>
      <c r="AG1322" s="851"/>
      <c r="AH1322" s="156"/>
      <c r="AI1322" s="156"/>
      <c r="AJ1322" s="156"/>
      <c r="AK1322" s="156"/>
      <c r="AL1322" s="156"/>
      <c r="AM1322" s="156"/>
      <c r="AN1322" s="156"/>
      <c r="AO1322" s="156"/>
      <c r="AP1322" s="156"/>
      <c r="AQ1322" s="156"/>
      <c r="AR1322" s="156"/>
      <c r="AS1322" s="156"/>
      <c r="AT1322" s="156"/>
      <c r="AU1322" s="156"/>
      <c r="AV1322" s="156"/>
      <c r="AW1322" s="156"/>
      <c r="AX1322" s="156"/>
      <c r="AY1322" s="156"/>
      <c r="AZ1322" s="156"/>
      <c r="BA1322" s="156"/>
      <c r="BB1322" s="2835"/>
      <c r="BC1322" s="2349" t="str">
        <f t="shared" si="251"/>
        <v>Heating Res 18 Year EUL</v>
      </c>
      <c r="BD1322" s="2829">
        <f>(INDEX('Avoided Cost Benefits'!$E$4:$E$859,MATCH(BC1322,'Avoided Cost Benefits'!$A$4:$A$859,0)))*F1322</f>
        <v>132.3665533517339</v>
      </c>
      <c r="BE1322" s="858">
        <f t="shared" si="252"/>
        <v>0</v>
      </c>
      <c r="BF1322" s="156"/>
    </row>
    <row r="1323" spans="1:58" x14ac:dyDescent="0.35">
      <c r="A1323" s="1071" t="str">
        <f t="shared" si="249"/>
        <v>351950_2019_12_Cooling Res</v>
      </c>
      <c r="B1323" s="106"/>
      <c r="C1323" s="1037" t="s">
        <v>1095</v>
      </c>
      <c r="D1323" s="1279" t="s">
        <v>320</v>
      </c>
      <c r="E1323" s="2348" t="s">
        <v>1096</v>
      </c>
      <c r="F1323" s="615">
        <f>ROUND(((J1378*J1384*(1/J1390-1/J1396))/1000)*J1402,2)</f>
        <v>639.09</v>
      </c>
      <c r="G1323" s="188" t="s">
        <v>1091</v>
      </c>
      <c r="H1323" s="136">
        <f>VLOOKUP(G1323,'CP FACTORS'!$A$3:$B$38, 2, FALSE)</f>
        <v>9.4741810000000004E-4</v>
      </c>
      <c r="I1323" s="90">
        <f t="shared" si="250"/>
        <v>0.60548500000000005</v>
      </c>
      <c r="J1323" s="92">
        <f>J1408</f>
        <v>18</v>
      </c>
      <c r="K1323" s="420">
        <f>J1414</f>
        <v>3176.6</v>
      </c>
      <c r="L1323" s="1308">
        <f>K1378</f>
        <v>4.4000000000000004</v>
      </c>
      <c r="M1323" s="657"/>
      <c r="N1323" s="106"/>
      <c r="O1323" s="106"/>
      <c r="P1323" s="106"/>
      <c r="Q1323" s="106"/>
      <c r="R1323" s="1214"/>
      <c r="S1323" s="106"/>
      <c r="T1323" s="106"/>
      <c r="U1323" s="106"/>
      <c r="V1323" s="1592" t="s">
        <v>30</v>
      </c>
      <c r="W1323" s="2911">
        <v>639.08742857142852</v>
      </c>
      <c r="X1323" s="2911">
        <v>639.08742857142852</v>
      </c>
      <c r="Y1323" s="2912">
        <v>639.09</v>
      </c>
      <c r="Z1323" s="615">
        <v>639.09</v>
      </c>
      <c r="AA1323" s="615">
        <v>639.09</v>
      </c>
      <c r="AB1323" s="2913">
        <v>639.09</v>
      </c>
      <c r="AC1323" s="2913">
        <v>639.09</v>
      </c>
      <c r="AD1323" s="2913">
        <v>639.09</v>
      </c>
      <c r="AE1323" s="851"/>
      <c r="AF1323" s="851"/>
      <c r="AG1323" s="851"/>
      <c r="AH1323" s="156"/>
      <c r="AI1323" s="156"/>
      <c r="AJ1323" s="156"/>
      <c r="AK1323" s="156"/>
      <c r="AL1323" s="156"/>
      <c r="AM1323" s="156"/>
      <c r="AN1323" s="156"/>
      <c r="AO1323" s="156"/>
      <c r="AP1323" s="156"/>
      <c r="AQ1323" s="156"/>
      <c r="AR1323" s="156"/>
      <c r="AS1323" s="156"/>
      <c r="AT1323" s="156"/>
      <c r="AU1323" s="156"/>
      <c r="AV1323" s="156"/>
      <c r="AW1323" s="156"/>
      <c r="AX1323" s="156"/>
      <c r="AY1323" s="156"/>
      <c r="AZ1323" s="156"/>
      <c r="BA1323" s="156"/>
      <c r="BB1323" s="2833">
        <f>(BD1323+BD1324)/(BE1323+BE1324)</f>
        <v>0.51824775284711244</v>
      </c>
      <c r="BC1323" s="2348" t="str">
        <f t="shared" si="251"/>
        <v>Cooling Res 18 Year EUL</v>
      </c>
      <c r="BD1323" s="2829">
        <f>(INDEX('Avoided Cost Benefits'!$E$4:$E$859,MATCH(BC1323,'Avoided Cost Benefits'!$A$4:$A$859,0)))*F1323</f>
        <v>1112.1075574502177</v>
      </c>
      <c r="BE1323" s="858">
        <f t="shared" si="252"/>
        <v>2998.2067012741854</v>
      </c>
      <c r="BF1323" s="156"/>
    </row>
    <row r="1324" spans="1:58" x14ac:dyDescent="0.35">
      <c r="A1324" s="1071" t="str">
        <f t="shared" si="249"/>
        <v>351950_2019_12_Heating Res</v>
      </c>
      <c r="B1324" s="106"/>
      <c r="C1324" s="1037" t="s">
        <v>1095</v>
      </c>
      <c r="D1324" s="1279" t="s">
        <v>320</v>
      </c>
      <c r="E1324" s="2349" t="s">
        <v>1096</v>
      </c>
      <c r="F1324" s="615">
        <f>ROUND(((J1354*J1360*(1/J1366-1/J1372))/1000)*J1402,2)</f>
        <v>990.72</v>
      </c>
      <c r="G1324" s="188" t="s">
        <v>1092</v>
      </c>
      <c r="H1324" s="136">
        <f>VLOOKUP(G1324,'CP FACTORS'!$A$3:$B$38, 2, FALSE)</f>
        <v>0</v>
      </c>
      <c r="I1324" s="90">
        <f t="shared" si="250"/>
        <v>0</v>
      </c>
      <c r="J1324" s="92">
        <f>J1323</f>
        <v>18</v>
      </c>
      <c r="K1324" s="420"/>
      <c r="L1324" s="1308"/>
      <c r="M1324" s="657"/>
      <c r="N1324" s="106"/>
      <c r="O1324" s="106"/>
      <c r="P1324" s="106"/>
      <c r="Q1324" s="106"/>
      <c r="R1324" s="1214"/>
      <c r="S1324" s="106"/>
      <c r="T1324" s="106"/>
      <c r="U1324" s="106"/>
      <c r="V1324" s="1592" t="s">
        <v>30</v>
      </c>
      <c r="W1324" s="2911">
        <v>990.72439024390337</v>
      </c>
      <c r="X1324" s="2911">
        <v>990.72439024390337</v>
      </c>
      <c r="Y1324" s="2912">
        <v>990.72</v>
      </c>
      <c r="Z1324" s="615">
        <v>990.72</v>
      </c>
      <c r="AA1324" s="615">
        <v>990.72</v>
      </c>
      <c r="AB1324" s="2913">
        <v>990.72</v>
      </c>
      <c r="AC1324" s="2913">
        <v>990.72</v>
      </c>
      <c r="AD1324" s="2913">
        <v>990.72</v>
      </c>
      <c r="AE1324" s="851"/>
      <c r="AF1324" s="851"/>
      <c r="AG1324" s="851"/>
      <c r="AH1324" s="156"/>
      <c r="AI1324" s="156"/>
      <c r="AJ1324" s="156"/>
      <c r="AK1324" s="156"/>
      <c r="AL1324" s="156"/>
      <c r="AM1324" s="156"/>
      <c r="AN1324" s="156"/>
      <c r="AO1324" s="156"/>
      <c r="AP1324" s="156"/>
      <c r="AQ1324" s="156"/>
      <c r="AR1324" s="156"/>
      <c r="AS1324" s="156"/>
      <c r="AT1324" s="156"/>
      <c r="AU1324" s="156"/>
      <c r="AV1324" s="156"/>
      <c r="AW1324" s="156"/>
      <c r="AX1324" s="156"/>
      <c r="AY1324" s="156"/>
      <c r="AZ1324" s="156"/>
      <c r="BA1324" s="156"/>
      <c r="BB1324" s="2835"/>
      <c r="BC1324" s="2349" t="str">
        <f t="shared" si="251"/>
        <v>Heating Res 18 Year EUL</v>
      </c>
      <c r="BD1324" s="2829">
        <f>(INDEX('Avoided Cost Benefits'!$E$4:$E$859,MATCH(BC1324,'Avoided Cost Benefits'!$A$4:$A$859,0)))*F1324</f>
        <v>441.70632805628281</v>
      </c>
      <c r="BE1324" s="858">
        <f t="shared" si="252"/>
        <v>0</v>
      </c>
      <c r="BF1324" s="156"/>
    </row>
    <row r="1325" spans="1:58" x14ac:dyDescent="0.35">
      <c r="A1325" s="1071" t="str">
        <f t="shared" si="249"/>
        <v>351951_2019_12_Cooling Res</v>
      </c>
      <c r="B1325" s="106"/>
      <c r="C1325" s="1037" t="s">
        <v>1097</v>
      </c>
      <c r="D1325" s="1279" t="s">
        <v>315</v>
      </c>
      <c r="E1325" s="2348" t="s">
        <v>1098</v>
      </c>
      <c r="F1325" s="615">
        <f>ROUND((($J$1379*$J$1385*(1/$J$1391-1/$J$1397))/1000)*$J$1403,2)</f>
        <v>464.79</v>
      </c>
      <c r="G1325" s="188" t="s">
        <v>1091</v>
      </c>
      <c r="H1325" s="136">
        <f>VLOOKUP(G1325,'CP FACTORS'!$A$3:$B$38, 2, FALSE)</f>
        <v>9.4741810000000004E-4</v>
      </c>
      <c r="I1325" s="90">
        <f t="shared" si="250"/>
        <v>0.44035000000000002</v>
      </c>
      <c r="J1325" s="92">
        <f>J1409</f>
        <v>18</v>
      </c>
      <c r="K1325" s="420">
        <f>J1415</f>
        <v>3176.6</v>
      </c>
      <c r="L1325" s="1308">
        <f>K1379</f>
        <v>4.4000000000000004</v>
      </c>
      <c r="M1325" s="657"/>
      <c r="N1325" s="106"/>
      <c r="O1325" s="106"/>
      <c r="P1325" s="106"/>
      <c r="Q1325" s="106"/>
      <c r="R1325" s="1214"/>
      <c r="S1325" s="106"/>
      <c r="T1325" s="106"/>
      <c r="U1325" s="106"/>
      <c r="V1325" s="1592" t="s">
        <v>30</v>
      </c>
      <c r="W1325" s="2911"/>
      <c r="X1325" s="2911"/>
      <c r="Y1325" s="618">
        <v>464.79</v>
      </c>
      <c r="Z1325" s="615">
        <v>464.79</v>
      </c>
      <c r="AA1325" s="615">
        <v>464.79</v>
      </c>
      <c r="AB1325" s="2913">
        <v>464.79</v>
      </c>
      <c r="AC1325" s="2913">
        <v>464.79</v>
      </c>
      <c r="AD1325" s="2913">
        <v>464.79</v>
      </c>
      <c r="AE1325" s="851"/>
      <c r="AF1325" s="851"/>
      <c r="AG1325" s="851"/>
      <c r="AH1325" s="156"/>
      <c r="AI1325" s="156"/>
      <c r="AJ1325" s="156"/>
      <c r="AK1325" s="156"/>
      <c r="AL1325" s="156"/>
      <c r="AM1325" s="156"/>
      <c r="AN1325" s="156"/>
      <c r="AO1325" s="156"/>
      <c r="AP1325" s="156"/>
      <c r="AQ1325" s="156"/>
      <c r="AR1325" s="156"/>
      <c r="AS1325" s="156"/>
      <c r="AT1325" s="156"/>
      <c r="AU1325" s="156"/>
      <c r="AV1325" s="156"/>
      <c r="AW1325" s="156"/>
      <c r="AX1325" s="156"/>
      <c r="AY1325" s="156"/>
      <c r="AZ1325" s="156"/>
      <c r="BA1325" s="156"/>
      <c r="BB1325" s="2833">
        <f>(BD1325+BD1326)/(BE1325+BE1326)</f>
        <v>0.33690707201816911</v>
      </c>
      <c r="BC1325" s="2348" t="str">
        <f t="shared" si="251"/>
        <v>Cooling Res 18 Year EUL</v>
      </c>
      <c r="BD1325" s="2829">
        <f>(INDEX('Avoided Cost Benefits'!$E$4:$E$859,MATCH(BC1325,'Avoided Cost Benefits'!$A$4:$A$859,0)))*F1325</f>
        <v>808.80075048473088</v>
      </c>
      <c r="BE1325" s="858">
        <f t="shared" si="252"/>
        <v>2998.2067012741854</v>
      </c>
      <c r="BF1325" s="156"/>
    </row>
    <row r="1326" spans="1:58" x14ac:dyDescent="0.35">
      <c r="A1326" s="1071" t="str">
        <f t="shared" si="249"/>
        <v>351951_2019_12_Heating Res</v>
      </c>
      <c r="B1326" s="106"/>
      <c r="C1326" s="1037" t="s">
        <v>1097</v>
      </c>
      <c r="D1326" s="1279" t="s">
        <v>315</v>
      </c>
      <c r="E1326" s="2349" t="s">
        <v>1098</v>
      </c>
      <c r="F1326" s="615">
        <f>ROUND((($J$1355*$J$1361*(1/$J$1367-1/$J$1373))/1000)*$J$1403,2)</f>
        <v>451.54</v>
      </c>
      <c r="G1326" s="188" t="s">
        <v>1092</v>
      </c>
      <c r="H1326" s="136">
        <f>VLOOKUP(G1326,'CP FACTORS'!$A$3:$B$38, 2, FALSE)</f>
        <v>0</v>
      </c>
      <c r="I1326" s="90">
        <f t="shared" si="250"/>
        <v>0</v>
      </c>
      <c r="J1326" s="92">
        <f>J1325</f>
        <v>18</v>
      </c>
      <c r="K1326" s="420"/>
      <c r="L1326" s="1308"/>
      <c r="M1326" s="657"/>
      <c r="N1326" s="106"/>
      <c r="O1326" s="106"/>
      <c r="P1326" s="106"/>
      <c r="Q1326" s="106"/>
      <c r="R1326" s="1214"/>
      <c r="S1326" s="106"/>
      <c r="T1326" s="106"/>
      <c r="U1326" s="106"/>
      <c r="V1326" s="1592" t="s">
        <v>30</v>
      </c>
      <c r="W1326" s="2911"/>
      <c r="X1326" s="2911"/>
      <c r="Y1326" s="618">
        <v>451.54</v>
      </c>
      <c r="Z1326" s="615">
        <v>451.54</v>
      </c>
      <c r="AA1326" s="615">
        <v>451.54</v>
      </c>
      <c r="AB1326" s="2913">
        <v>451.54</v>
      </c>
      <c r="AC1326" s="2913">
        <v>451.54</v>
      </c>
      <c r="AD1326" s="2913">
        <v>451.54</v>
      </c>
      <c r="AE1326" s="851"/>
      <c r="AF1326" s="851"/>
      <c r="AG1326" s="851"/>
      <c r="AH1326" s="156"/>
      <c r="AI1326" s="156"/>
      <c r="AJ1326" s="156"/>
      <c r="AK1326" s="156"/>
      <c r="AL1326" s="156"/>
      <c r="AM1326" s="156"/>
      <c r="AN1326" s="156"/>
      <c r="AO1326" s="156"/>
      <c r="AP1326" s="156"/>
      <c r="AQ1326" s="156"/>
      <c r="AR1326" s="156"/>
      <c r="AS1326" s="156"/>
      <c r="AT1326" s="156"/>
      <c r="AU1326" s="156"/>
      <c r="AV1326" s="156"/>
      <c r="AW1326" s="156"/>
      <c r="AX1326" s="156"/>
      <c r="AY1326" s="156"/>
      <c r="AZ1326" s="156"/>
      <c r="BA1326" s="156"/>
      <c r="BB1326" s="2835"/>
      <c r="BC1326" s="2349" t="str">
        <f t="shared" si="251"/>
        <v>Heating Res 18 Year EUL</v>
      </c>
      <c r="BD1326" s="2829">
        <f>(INDEX('Avoided Cost Benefits'!$E$4:$E$859,MATCH(BC1326,'Avoided Cost Benefits'!$A$4:$A$859,0)))*F1326</f>
        <v>201.31629054680835</v>
      </c>
      <c r="BE1326" s="858">
        <f t="shared" si="252"/>
        <v>0</v>
      </c>
      <c r="BF1326" s="156"/>
    </row>
    <row r="1327" spans="1:58" x14ac:dyDescent="0.35">
      <c r="A1327" s="1071" t="str">
        <f t="shared" si="249"/>
        <v>352000_2019_12_Cooling Res</v>
      </c>
      <c r="B1327" s="106"/>
      <c r="C1327" s="1037" t="s">
        <v>1099</v>
      </c>
      <c r="D1327" s="1279" t="s">
        <v>320</v>
      </c>
      <c r="E1327" s="2348" t="s">
        <v>1100</v>
      </c>
      <c r="F1327" s="615">
        <f>ROUND(((J1380*J1386*(1/J1392-1/J1398))/1000)*J1404,2)</f>
        <v>871.48</v>
      </c>
      <c r="G1327" s="188" t="s">
        <v>1091</v>
      </c>
      <c r="H1327" s="136">
        <f>VLOOKUP(G1327,'CP FACTORS'!$A$3:$B$38, 2, FALSE)</f>
        <v>9.4741810000000004E-4</v>
      </c>
      <c r="I1327" s="90">
        <f t="shared" si="250"/>
        <v>0.82565599999999995</v>
      </c>
      <c r="J1327" s="92">
        <f>J1410</f>
        <v>18</v>
      </c>
      <c r="K1327" s="420">
        <f>J1416</f>
        <v>3626.6</v>
      </c>
      <c r="L1327" s="1308">
        <f>K1380</f>
        <v>5.4</v>
      </c>
      <c r="M1327" s="657"/>
      <c r="N1327" s="106"/>
      <c r="O1327" s="106"/>
      <c r="P1327" s="106"/>
      <c r="Q1327" s="106"/>
      <c r="R1327" s="1214"/>
      <c r="S1327" s="106"/>
      <c r="T1327" s="106"/>
      <c r="U1327" s="106"/>
      <c r="V1327" s="1592" t="s">
        <v>30</v>
      </c>
      <c r="W1327" s="2911">
        <v>871.48285714285726</v>
      </c>
      <c r="X1327" s="2911">
        <v>871.48285714285726</v>
      </c>
      <c r="Y1327" s="2912">
        <v>871.48</v>
      </c>
      <c r="Z1327" s="615">
        <v>871.48</v>
      </c>
      <c r="AA1327" s="615">
        <v>871.48</v>
      </c>
      <c r="AB1327" s="2913">
        <v>871.48</v>
      </c>
      <c r="AC1327" s="2913">
        <v>871.48</v>
      </c>
      <c r="AD1327" s="2913">
        <v>871.48</v>
      </c>
      <c r="AE1327" s="851"/>
      <c r="AF1327" s="851"/>
      <c r="AG1327" s="851"/>
      <c r="AH1327" s="156"/>
      <c r="AI1327" s="156"/>
      <c r="AJ1327" s="156"/>
      <c r="AK1327" s="156"/>
      <c r="AL1327" s="156"/>
      <c r="AM1327" s="156"/>
      <c r="AN1327" s="156"/>
      <c r="AO1327" s="156"/>
      <c r="AP1327" s="156"/>
      <c r="AQ1327" s="156"/>
      <c r="AR1327" s="156"/>
      <c r="AS1327" s="156"/>
      <c r="AT1327" s="156"/>
      <c r="AU1327" s="156"/>
      <c r="AV1327" s="156"/>
      <c r="AW1327" s="156"/>
      <c r="AX1327" s="156"/>
      <c r="AY1327" s="156"/>
      <c r="AZ1327" s="156"/>
      <c r="BA1327" s="156"/>
      <c r="BB1327" s="2833">
        <f>(BD1327+BD1328)/(BE1327+BE1328)</f>
        <v>0.62327530545214527</v>
      </c>
      <c r="BC1327" s="2348" t="str">
        <f t="shared" si="251"/>
        <v>Cooling Res 18 Year EUL</v>
      </c>
      <c r="BD1327" s="2829">
        <f>(INDEX('Avoided Cost Benefits'!$E$4:$E$859,MATCH(BC1327,'Avoided Cost Benefits'!$A$4:$A$859,0)))*F1327</f>
        <v>1516.4992319809662</v>
      </c>
      <c r="BE1327" s="858">
        <f t="shared" si="252"/>
        <v>3422.9353468617269</v>
      </c>
      <c r="BF1327" s="156"/>
    </row>
    <row r="1328" spans="1:58" x14ac:dyDescent="0.35">
      <c r="A1328" s="1071" t="str">
        <f t="shared" si="249"/>
        <v>352000_2019_12_Heating Res</v>
      </c>
      <c r="B1328" s="106"/>
      <c r="C1328" s="1037" t="s">
        <v>1099</v>
      </c>
      <c r="D1328" s="1279" t="s">
        <v>320</v>
      </c>
      <c r="E1328" s="2349" t="s">
        <v>1100</v>
      </c>
      <c r="F1328" s="615">
        <f>ROUND(((J1356*J1362*(1/J1368-1/J1374))/1000)*J1404,2)</f>
        <v>1383.74</v>
      </c>
      <c r="G1328" s="188" t="s">
        <v>1092</v>
      </c>
      <c r="H1328" s="136">
        <f>VLOOKUP(G1328,'CP FACTORS'!$A$3:$B$38, 2, FALSE)</f>
        <v>0</v>
      </c>
      <c r="I1328" s="90">
        <f t="shared" si="250"/>
        <v>0</v>
      </c>
      <c r="J1328" s="92">
        <f>J1327</f>
        <v>18</v>
      </c>
      <c r="K1328" s="420"/>
      <c r="L1328" s="1308"/>
      <c r="M1328" s="657"/>
      <c r="N1328" s="106"/>
      <c r="O1328" s="106"/>
      <c r="P1328" s="106"/>
      <c r="Q1328" s="106"/>
      <c r="R1328" s="1214"/>
      <c r="S1328" s="106"/>
      <c r="T1328" s="106"/>
      <c r="U1328" s="106"/>
      <c r="V1328" s="1592" t="s">
        <v>30</v>
      </c>
      <c r="W1328" s="2911">
        <v>1383.739024390245</v>
      </c>
      <c r="X1328" s="2911">
        <v>1383.739024390245</v>
      </c>
      <c r="Y1328" s="2912">
        <v>1383.74</v>
      </c>
      <c r="Z1328" s="615">
        <v>1383.74</v>
      </c>
      <c r="AA1328" s="615">
        <v>1383.74</v>
      </c>
      <c r="AB1328" s="2913">
        <v>1383.74</v>
      </c>
      <c r="AC1328" s="2913">
        <v>1383.74</v>
      </c>
      <c r="AD1328" s="2913">
        <v>1383.74</v>
      </c>
      <c r="AE1328" s="851"/>
      <c r="AF1328" s="851"/>
      <c r="AG1328" s="851"/>
      <c r="AH1328" s="156"/>
      <c r="AI1328" s="156"/>
      <c r="AJ1328" s="156"/>
      <c r="AK1328" s="156"/>
      <c r="AL1328" s="156"/>
      <c r="AM1328" s="156"/>
      <c r="AN1328" s="156"/>
      <c r="AO1328" s="156"/>
      <c r="AP1328" s="156"/>
      <c r="AQ1328" s="156"/>
      <c r="AR1328" s="156"/>
      <c r="AS1328" s="156"/>
      <c r="AT1328" s="156"/>
      <c r="AU1328" s="156"/>
      <c r="AV1328" s="156"/>
      <c r="AW1328" s="156"/>
      <c r="AX1328" s="156"/>
      <c r="AY1328" s="156"/>
      <c r="AZ1328" s="156"/>
      <c r="BA1328" s="156"/>
      <c r="BB1328" s="2835"/>
      <c r="BC1328" s="2349" t="str">
        <f t="shared" si="251"/>
        <v>Heating Res 18 Year EUL</v>
      </c>
      <c r="BD1328" s="2829">
        <f>(INDEX('Avoided Cost Benefits'!$E$4:$E$859,MATCH(BC1328,'Avoided Cost Benefits'!$A$4:$A$859,0)))*F1328</f>
        <v>616.93184187722147</v>
      </c>
      <c r="BE1328" s="858">
        <f t="shared" si="252"/>
        <v>0</v>
      </c>
      <c r="BF1328" s="156"/>
    </row>
    <row r="1329" spans="1:58" x14ac:dyDescent="0.35">
      <c r="A1329" s="1071" t="str">
        <f t="shared" si="249"/>
        <v>352001_2019_12_Cooling Res</v>
      </c>
      <c r="B1329" s="106"/>
      <c r="C1329" s="1037" t="s">
        <v>1101</v>
      </c>
      <c r="D1329" s="1279" t="s">
        <v>315</v>
      </c>
      <c r="E1329" s="2348" t="s">
        <v>1102</v>
      </c>
      <c r="F1329" s="615">
        <f>ROUND((($J$1381*$J$1387*(1/$J$1393-1/$J$1399))/1000)*$J$1405,2)</f>
        <v>633.80999999999995</v>
      </c>
      <c r="G1329" s="188" t="s">
        <v>1091</v>
      </c>
      <c r="H1329" s="136">
        <f>VLOOKUP(G1329,'CP FACTORS'!$A$3:$B$38, 2, FALSE)</f>
        <v>9.4741810000000004E-4</v>
      </c>
      <c r="I1329" s="90">
        <f t="shared" si="250"/>
        <v>0.60048299999999999</v>
      </c>
      <c r="J1329" s="92">
        <f>J1411</f>
        <v>18</v>
      </c>
      <c r="K1329" s="420">
        <f>J1417</f>
        <v>3626.6</v>
      </c>
      <c r="L1329" s="1308">
        <f>K1381</f>
        <v>5.4</v>
      </c>
      <c r="M1329" s="657"/>
      <c r="N1329" s="106"/>
      <c r="O1329" s="106"/>
      <c r="P1329" s="106"/>
      <c r="Q1329" s="106"/>
      <c r="R1329" s="1214"/>
      <c r="S1329" s="106"/>
      <c r="T1329" s="106"/>
      <c r="U1329" s="106"/>
      <c r="V1329" s="1592" t="s">
        <v>30</v>
      </c>
      <c r="W1329" s="2911"/>
      <c r="X1329" s="2911"/>
      <c r="Y1329" s="618">
        <v>633.80999999999995</v>
      </c>
      <c r="Z1329" s="615">
        <v>633.80999999999995</v>
      </c>
      <c r="AA1329" s="615">
        <v>633.80999999999995</v>
      </c>
      <c r="AB1329" s="2913">
        <v>633.80999999999995</v>
      </c>
      <c r="AC1329" s="2913">
        <v>633.80999999999995</v>
      </c>
      <c r="AD1329" s="2913">
        <v>633.80999999999995</v>
      </c>
      <c r="AE1329" s="851"/>
      <c r="AF1329" s="851"/>
      <c r="AG1329" s="851"/>
      <c r="AH1329" s="156"/>
      <c r="AI1329" s="156"/>
      <c r="AJ1329" s="156"/>
      <c r="AK1329" s="156"/>
      <c r="AL1329" s="156"/>
      <c r="AM1329" s="156"/>
      <c r="AN1329" s="156"/>
      <c r="AO1329" s="156"/>
      <c r="AP1329" s="156"/>
      <c r="AQ1329" s="156"/>
      <c r="AR1329" s="156"/>
      <c r="AS1329" s="156"/>
      <c r="AT1329" s="156"/>
      <c r="AU1329" s="156"/>
      <c r="AV1329" s="156"/>
      <c r="AW1329" s="156"/>
      <c r="AX1329" s="156"/>
      <c r="AY1329" s="156"/>
      <c r="AZ1329" s="156"/>
      <c r="BA1329" s="156"/>
      <c r="BB1329" s="2833">
        <f>(BD1329+BD1330)/(BE1329+BE1330)</f>
        <v>0.40435920934209774</v>
      </c>
      <c r="BC1329" s="2348" t="str">
        <f t="shared" si="251"/>
        <v>Cooling Res 18 Year EUL</v>
      </c>
      <c r="BD1329" s="2829">
        <f>(INDEX('Avoided Cost Benefits'!$E$4:$E$859,MATCH(BC1329,'Avoided Cost Benefits'!$A$4:$A$859,0)))*F1329</f>
        <v>1102.9196059827605</v>
      </c>
      <c r="BE1329" s="858">
        <f t="shared" si="252"/>
        <v>3422.9353468617269</v>
      </c>
      <c r="BF1329" s="156"/>
    </row>
    <row r="1330" spans="1:58" x14ac:dyDescent="0.35">
      <c r="A1330" s="1071" t="str">
        <f t="shared" si="249"/>
        <v>352001_2019_12_Heating Res</v>
      </c>
      <c r="B1330" s="106"/>
      <c r="C1330" s="1037" t="s">
        <v>1101</v>
      </c>
      <c r="D1330" s="1279" t="s">
        <v>315</v>
      </c>
      <c r="E1330" s="2349" t="s">
        <v>1102</v>
      </c>
      <c r="F1330" s="615">
        <f>ROUND((($J$1357*$J$1363*(1/$J$1369-1/$J$1375))/1000)*$J$1405,2)</f>
        <v>630.66</v>
      </c>
      <c r="G1330" s="188" t="s">
        <v>1092</v>
      </c>
      <c r="H1330" s="136">
        <f>VLOOKUP(G1330,'CP FACTORS'!$A$3:$B$38, 2, FALSE)</f>
        <v>0</v>
      </c>
      <c r="I1330" s="90">
        <f t="shared" si="250"/>
        <v>0</v>
      </c>
      <c r="J1330" s="92">
        <f>J1329</f>
        <v>18</v>
      </c>
      <c r="K1330" s="420"/>
      <c r="L1330" s="1308"/>
      <c r="M1330" s="106"/>
      <c r="N1330" s="106"/>
      <c r="O1330" s="106"/>
      <c r="P1330" s="106"/>
      <c r="Q1330" s="106"/>
      <c r="R1330" s="1214"/>
      <c r="S1330" s="106"/>
      <c r="T1330" s="106"/>
      <c r="U1330" s="106"/>
      <c r="V1330" s="1592" t="s">
        <v>30</v>
      </c>
      <c r="W1330" s="2911"/>
      <c r="X1330" s="2911"/>
      <c r="Y1330" s="618">
        <v>630.66</v>
      </c>
      <c r="Z1330" s="615">
        <v>630.66</v>
      </c>
      <c r="AA1330" s="615">
        <v>630.66</v>
      </c>
      <c r="AB1330" s="2913">
        <v>630.66</v>
      </c>
      <c r="AC1330" s="2913">
        <v>630.66</v>
      </c>
      <c r="AD1330" s="2913">
        <v>630.66</v>
      </c>
      <c r="AE1330" s="851"/>
      <c r="AF1330" s="851"/>
      <c r="AG1330" s="851"/>
      <c r="AH1330" s="156"/>
      <c r="AI1330" s="156"/>
      <c r="AJ1330" s="156"/>
      <c r="AK1330" s="156"/>
      <c r="AL1330" s="156"/>
      <c r="AM1330" s="156"/>
      <c r="AN1330" s="156"/>
      <c r="AO1330" s="156"/>
      <c r="AP1330" s="156"/>
      <c r="AQ1330" s="156"/>
      <c r="AR1330" s="156"/>
      <c r="AS1330" s="156"/>
      <c r="AT1330" s="156"/>
      <c r="AU1330" s="156"/>
      <c r="AV1330" s="156"/>
      <c r="AW1330" s="156"/>
      <c r="AX1330" s="156"/>
      <c r="AY1330" s="156"/>
      <c r="AZ1330" s="156"/>
      <c r="BA1330" s="156"/>
      <c r="BB1330" s="2836"/>
      <c r="BC1330" s="2349" t="str">
        <f t="shared" si="251"/>
        <v>Heating Res 18 Year EUL</v>
      </c>
      <c r="BD1330" s="2871">
        <f>(INDEX('Avoided Cost Benefits'!$E$4:$E$859,MATCH(BC1330,'Avoided Cost Benefits'!$A$4:$A$859,0)))*F1330</f>
        <v>281.17582450336658</v>
      </c>
      <c r="BE1330" s="860">
        <f t="shared" si="252"/>
        <v>0</v>
      </c>
      <c r="BF1330" s="156"/>
    </row>
    <row r="1331" spans="1:58" hidden="1" outlineLevel="1" x14ac:dyDescent="0.35">
      <c r="A1331" s="1071"/>
      <c r="B1331" s="106"/>
      <c r="C1331" s="103"/>
      <c r="D1331" s="292"/>
      <c r="E1331" s="106"/>
      <c r="F1331" s="1242"/>
      <c r="G1331" s="1309"/>
      <c r="H1331" s="103"/>
      <c r="I1331" s="103"/>
      <c r="J1331" s="103"/>
      <c r="K1331" s="292" t="s">
        <v>1103</v>
      </c>
      <c r="L1331" s="103"/>
      <c r="M1331" s="103"/>
      <c r="N1331" s="106"/>
      <c r="O1331" s="106"/>
      <c r="P1331" s="106"/>
      <c r="Q1331" s="292"/>
      <c r="R1331" s="106"/>
      <c r="S1331" s="106"/>
      <c r="T1331" s="106"/>
      <c r="U1331" s="106"/>
      <c r="V1331" s="106"/>
      <c r="W1331" s="156"/>
      <c r="X1331" s="156"/>
      <c r="Y1331" s="156"/>
      <c r="Z1331" s="156"/>
      <c r="AA1331" s="156"/>
      <c r="AB1331" s="156"/>
      <c r="AC1331" s="156"/>
      <c r="AD1331" s="156"/>
      <c r="AE1331" s="156"/>
      <c r="AF1331" s="156"/>
      <c r="AG1331" s="156"/>
      <c r="AH1331" s="156"/>
      <c r="AI1331" s="156"/>
      <c r="AJ1331" s="156"/>
      <c r="AK1331" s="156"/>
      <c r="AL1331" s="156"/>
      <c r="AM1331" s="156"/>
      <c r="AN1331" s="156"/>
      <c r="AO1331" s="156"/>
      <c r="AP1331" s="156"/>
      <c r="AQ1331" s="156"/>
      <c r="AR1331" s="156"/>
      <c r="AS1331" s="156"/>
      <c r="AT1331" s="156"/>
      <c r="AU1331" s="156"/>
      <c r="AV1331" s="156"/>
      <c r="AW1331" s="156"/>
      <c r="AX1331" s="156"/>
      <c r="AY1331" s="156"/>
      <c r="AZ1331" s="156"/>
      <c r="BA1331" s="156"/>
      <c r="BB1331" s="2828"/>
      <c r="BC1331" s="452"/>
      <c r="BD1331" s="2829"/>
      <c r="BE1331" s="156"/>
      <c r="BF1331" s="156"/>
    </row>
    <row r="1332" spans="1:58" hidden="1" outlineLevel="1" x14ac:dyDescent="0.35">
      <c r="A1332" s="1071"/>
      <c r="B1332" s="106"/>
      <c r="C1332" s="103"/>
      <c r="D1332" s="292"/>
      <c r="E1332" s="292"/>
      <c r="F1332" s="1242"/>
      <c r="G1332" s="1309"/>
      <c r="H1332" s="103"/>
      <c r="I1332" s="103"/>
      <c r="J1332" s="103"/>
      <c r="K1332" s="103"/>
      <c r="L1332" s="103"/>
      <c r="M1332" s="103"/>
      <c r="N1332" s="106"/>
      <c r="O1332" s="106"/>
      <c r="P1332" s="106"/>
      <c r="Q1332" s="292"/>
      <c r="R1332" s="106"/>
      <c r="S1332" s="106"/>
      <c r="T1332" s="106"/>
      <c r="U1332" s="106"/>
      <c r="V1332" s="106"/>
      <c r="W1332" s="156"/>
      <c r="X1332" s="156"/>
      <c r="Y1332" s="156"/>
      <c r="Z1332" s="156"/>
      <c r="AA1332" s="156"/>
      <c r="AB1332" s="156"/>
      <c r="AC1332" s="156"/>
      <c r="AD1332" s="156"/>
      <c r="AE1332" s="156"/>
      <c r="AF1332" s="156"/>
      <c r="AG1332" s="156"/>
      <c r="AH1332" s="156"/>
      <c r="AI1332" s="156"/>
      <c r="AJ1332" s="156"/>
      <c r="AK1332" s="156"/>
      <c r="AL1332" s="156"/>
      <c r="AM1332" s="156"/>
      <c r="AN1332" s="156"/>
      <c r="AO1332" s="156"/>
      <c r="AP1332" s="156"/>
      <c r="AQ1332" s="156"/>
      <c r="AR1332" s="156"/>
      <c r="AS1332" s="156"/>
      <c r="AT1332" s="156"/>
      <c r="AU1332" s="156"/>
      <c r="AV1332" s="156"/>
      <c r="AW1332" s="156"/>
      <c r="AX1332" s="156"/>
      <c r="AY1332" s="156"/>
      <c r="AZ1332" s="156"/>
      <c r="BA1332" s="156"/>
      <c r="BB1332" s="2828"/>
      <c r="BC1332" s="452"/>
      <c r="BD1332" s="2829"/>
      <c r="BE1332" s="156"/>
      <c r="BF1332" s="156"/>
    </row>
    <row r="1333" spans="1:58" hidden="1" outlineLevel="1" x14ac:dyDescent="0.35">
      <c r="A1333" s="1071"/>
      <c r="B1333" s="106"/>
      <c r="C1333" s="103"/>
      <c r="D1333" s="152" t="s">
        <v>107</v>
      </c>
      <c r="E1333" s="292"/>
      <c r="F1333" s="106"/>
      <c r="G1333" s="292"/>
      <c r="H1333" s="106"/>
      <c r="I1333" s="106"/>
      <c r="J1333" s="106"/>
      <c r="K1333" s="106"/>
      <c r="L1333" s="106"/>
      <c r="M1333" s="106"/>
      <c r="N1333" s="106"/>
      <c r="O1333" s="106"/>
      <c r="P1333" s="106"/>
      <c r="Q1333" s="106"/>
      <c r="R1333" s="106"/>
      <c r="S1333" s="106"/>
      <c r="T1333" s="106"/>
      <c r="U1333" s="106"/>
      <c r="V1333" s="106"/>
      <c r="W1333" s="156"/>
      <c r="X1333" s="156"/>
      <c r="Y1333" s="156"/>
      <c r="Z1333" s="156"/>
      <c r="AA1333" s="156"/>
      <c r="AB1333" s="156"/>
      <c r="AC1333" s="156"/>
      <c r="AD1333" s="156"/>
      <c r="AE1333" s="156"/>
      <c r="AF1333" s="156"/>
      <c r="AG1333" s="156"/>
      <c r="AH1333" s="156"/>
      <c r="AI1333" s="156"/>
      <c r="AJ1333" s="156"/>
      <c r="AK1333" s="156"/>
      <c r="AL1333" s="156"/>
      <c r="AM1333" s="156"/>
      <c r="AN1333" s="156"/>
      <c r="AO1333" s="156"/>
      <c r="AP1333" s="156"/>
      <c r="AQ1333" s="156"/>
      <c r="AR1333" s="156"/>
      <c r="AS1333" s="156"/>
      <c r="AT1333" s="156"/>
      <c r="AU1333" s="156"/>
      <c r="AV1333" s="156"/>
      <c r="AW1333" s="156"/>
      <c r="AX1333" s="156"/>
      <c r="AY1333" s="156"/>
      <c r="AZ1333" s="156"/>
      <c r="BA1333" s="156"/>
      <c r="BB1333" s="2828"/>
      <c r="BC1333" s="452"/>
      <c r="BD1333" s="2829"/>
      <c r="BE1333" s="156"/>
      <c r="BF1333" s="156"/>
    </row>
    <row r="1334" spans="1:58" hidden="1" outlineLevel="1" x14ac:dyDescent="0.35">
      <c r="A1334" s="1071"/>
      <c r="B1334" s="106"/>
      <c r="C1334" s="103"/>
      <c r="D1334" s="292"/>
      <c r="E1334" s="292"/>
      <c r="F1334" s="106"/>
      <c r="G1334" s="292"/>
      <c r="H1334" s="103"/>
      <c r="I1334" s="106"/>
      <c r="J1334" s="106"/>
      <c r="K1334" s="106"/>
      <c r="L1334" s="106"/>
      <c r="M1334" s="106"/>
      <c r="N1334" s="106"/>
      <c r="O1334" s="106"/>
      <c r="P1334" s="106"/>
      <c r="Q1334" s="106"/>
      <c r="R1334" s="106"/>
      <c r="S1334" s="106"/>
      <c r="T1334" s="106"/>
      <c r="U1334" s="106"/>
      <c r="V1334" s="106"/>
      <c r="W1334" s="156"/>
      <c r="X1334" s="156"/>
      <c r="Y1334" s="156"/>
      <c r="Z1334" s="156"/>
      <c r="AA1334" s="156"/>
      <c r="AB1334" s="156"/>
      <c r="AC1334" s="156"/>
      <c r="AD1334" s="156"/>
      <c r="AE1334" s="156"/>
      <c r="AF1334" s="156"/>
      <c r="AG1334" s="156"/>
      <c r="AH1334" s="156"/>
      <c r="AI1334" s="156"/>
      <c r="AJ1334" s="156"/>
      <c r="AK1334" s="156"/>
      <c r="AL1334" s="156"/>
      <c r="AM1334" s="156"/>
      <c r="AN1334" s="156"/>
      <c r="AO1334" s="156"/>
      <c r="AP1334" s="156"/>
      <c r="AQ1334" s="156"/>
      <c r="AR1334" s="156"/>
      <c r="AS1334" s="156"/>
      <c r="AT1334" s="156"/>
      <c r="AU1334" s="156"/>
      <c r="AV1334" s="156"/>
      <c r="AW1334" s="156"/>
      <c r="AX1334" s="156"/>
      <c r="AY1334" s="156"/>
      <c r="AZ1334" s="156"/>
      <c r="BA1334" s="156"/>
      <c r="BB1334" s="2828"/>
      <c r="BC1334" s="452"/>
      <c r="BD1334" s="2829"/>
      <c r="BE1334" s="156"/>
      <c r="BF1334" s="156"/>
    </row>
    <row r="1335" spans="1:58" hidden="1" outlineLevel="1" x14ac:dyDescent="0.35">
      <c r="A1335" s="1071"/>
      <c r="B1335" s="106"/>
      <c r="C1335" s="103"/>
      <c r="D1335" s="292"/>
      <c r="E1335" s="292"/>
      <c r="F1335" s="106"/>
      <c r="G1335" s="292"/>
      <c r="H1335" s="103"/>
      <c r="I1335" s="106"/>
      <c r="J1335" s="106"/>
      <c r="K1335" s="106"/>
      <c r="L1335" s="106"/>
      <c r="M1335" s="106"/>
      <c r="N1335" s="106"/>
      <c r="O1335" s="106"/>
      <c r="P1335" s="106"/>
      <c r="Q1335" s="106"/>
      <c r="R1335" s="106"/>
      <c r="S1335" s="106"/>
      <c r="T1335" s="106"/>
      <c r="U1335" s="106"/>
      <c r="V1335" s="106"/>
      <c r="W1335" s="156"/>
      <c r="X1335" s="156"/>
      <c r="Y1335" s="156"/>
      <c r="Z1335" s="156"/>
      <c r="AA1335" s="156"/>
      <c r="AB1335" s="156"/>
      <c r="AC1335" s="156"/>
      <c r="AD1335" s="156"/>
      <c r="AE1335" s="156"/>
      <c r="AF1335" s="156"/>
      <c r="AG1335" s="156"/>
      <c r="AH1335" s="156"/>
      <c r="AI1335" s="156"/>
      <c r="AJ1335" s="156"/>
      <c r="AK1335" s="156"/>
      <c r="AL1335" s="156"/>
      <c r="AM1335" s="156"/>
      <c r="AN1335" s="156"/>
      <c r="AO1335" s="156"/>
      <c r="AP1335" s="156"/>
      <c r="AQ1335" s="156"/>
      <c r="AR1335" s="156"/>
      <c r="AS1335" s="156"/>
      <c r="AT1335" s="156"/>
      <c r="AU1335" s="156"/>
      <c r="AV1335" s="156"/>
      <c r="AW1335" s="156"/>
      <c r="AX1335" s="156"/>
      <c r="AY1335" s="156"/>
      <c r="AZ1335" s="156"/>
      <c r="BA1335" s="156"/>
      <c r="BB1335" s="2828"/>
      <c r="BC1335" s="452"/>
      <c r="BD1335" s="2829"/>
      <c r="BE1335" s="156"/>
      <c r="BF1335" s="156"/>
    </row>
    <row r="1336" spans="1:58" hidden="1" outlineLevel="1" x14ac:dyDescent="0.35">
      <c r="A1336" s="1071"/>
      <c r="B1336" s="106"/>
      <c r="C1336" s="103"/>
      <c r="D1336" s="292"/>
      <c r="E1336" s="292"/>
      <c r="F1336" s="106"/>
      <c r="G1336" s="292"/>
      <c r="H1336" s="103"/>
      <c r="I1336" s="106"/>
      <c r="J1336" s="106"/>
      <c r="K1336" s="106"/>
      <c r="L1336" s="106"/>
      <c r="M1336" s="106"/>
      <c r="N1336" s="106"/>
      <c r="O1336" s="106"/>
      <c r="P1336" s="106"/>
      <c r="Q1336" s="106"/>
      <c r="R1336" s="106"/>
      <c r="S1336" s="106"/>
      <c r="T1336" s="106"/>
      <c r="U1336" s="106"/>
      <c r="V1336" s="106"/>
      <c r="W1336" s="156"/>
      <c r="X1336" s="156"/>
      <c r="Y1336" s="156"/>
      <c r="Z1336" s="156"/>
      <c r="AA1336" s="156"/>
      <c r="AB1336" s="156"/>
      <c r="AC1336" s="156"/>
      <c r="AD1336" s="156"/>
      <c r="AE1336" s="156"/>
      <c r="AF1336" s="156"/>
      <c r="AG1336" s="156"/>
      <c r="AH1336" s="156"/>
      <c r="AI1336" s="156"/>
      <c r="AJ1336" s="156"/>
      <c r="AK1336" s="156"/>
      <c r="AL1336" s="156"/>
      <c r="AM1336" s="156"/>
      <c r="AN1336" s="156"/>
      <c r="AO1336" s="156"/>
      <c r="AP1336" s="156"/>
      <c r="AQ1336" s="156"/>
      <c r="AR1336" s="156"/>
      <c r="AS1336" s="156"/>
      <c r="AT1336" s="156"/>
      <c r="AU1336" s="156"/>
      <c r="AV1336" s="156"/>
      <c r="AW1336" s="156"/>
      <c r="AX1336" s="156"/>
      <c r="AY1336" s="156"/>
      <c r="AZ1336" s="156"/>
      <c r="BA1336" s="156"/>
      <c r="BB1336" s="2828"/>
      <c r="BC1336" s="452"/>
      <c r="BD1336" s="2829"/>
      <c r="BE1336" s="156"/>
      <c r="BF1336" s="156"/>
    </row>
    <row r="1337" spans="1:58" hidden="1" outlineLevel="1" x14ac:dyDescent="0.35">
      <c r="A1337" s="1071"/>
      <c r="B1337" s="106"/>
      <c r="C1337" s="103"/>
      <c r="D1337" s="292"/>
      <c r="E1337" s="292"/>
      <c r="F1337" s="106"/>
      <c r="G1337" s="292"/>
      <c r="H1337" s="103"/>
      <c r="I1337" s="106"/>
      <c r="J1337" s="106"/>
      <c r="K1337" s="106"/>
      <c r="L1337" s="106"/>
      <c r="M1337" s="106"/>
      <c r="N1337" s="106"/>
      <c r="O1337" s="106"/>
      <c r="P1337" s="106"/>
      <c r="Q1337" s="106"/>
      <c r="R1337" s="106"/>
      <c r="S1337" s="106"/>
      <c r="T1337" s="106"/>
      <c r="U1337" s="106"/>
      <c r="V1337" s="106"/>
      <c r="W1337" s="156"/>
      <c r="X1337" s="156"/>
      <c r="Y1337" s="156"/>
      <c r="Z1337" s="156"/>
      <c r="AA1337" s="156"/>
      <c r="AB1337" s="156"/>
      <c r="AC1337" s="156"/>
      <c r="AD1337" s="156"/>
      <c r="AE1337" s="156"/>
      <c r="AF1337" s="156"/>
      <c r="AG1337" s="156"/>
      <c r="AH1337" s="156"/>
      <c r="AI1337" s="156"/>
      <c r="AJ1337" s="156"/>
      <c r="AK1337" s="156"/>
      <c r="AL1337" s="156"/>
      <c r="AM1337" s="156"/>
      <c r="AN1337" s="156"/>
      <c r="AO1337" s="156"/>
      <c r="AP1337" s="156"/>
      <c r="AQ1337" s="156"/>
      <c r="AR1337" s="156"/>
      <c r="AS1337" s="156"/>
      <c r="AT1337" s="156"/>
      <c r="AU1337" s="156"/>
      <c r="AV1337" s="156"/>
      <c r="AW1337" s="156"/>
      <c r="AX1337" s="156"/>
      <c r="AY1337" s="156"/>
      <c r="AZ1337" s="156"/>
      <c r="BA1337" s="156"/>
      <c r="BB1337" s="2828"/>
      <c r="BC1337" s="452"/>
      <c r="BD1337" s="2829"/>
      <c r="BE1337" s="156"/>
      <c r="BF1337" s="156"/>
    </row>
    <row r="1338" spans="1:58" hidden="1" outlineLevel="1" x14ac:dyDescent="0.35">
      <c r="A1338" s="1071"/>
      <c r="B1338" s="106"/>
      <c r="C1338" s="103"/>
      <c r="D1338" s="292" t="s">
        <v>942</v>
      </c>
      <c r="E1338" s="292"/>
      <c r="F1338" s="106"/>
      <c r="G1338" s="292"/>
      <c r="H1338" s="103"/>
      <c r="J1338" s="2301" t="s">
        <v>4365</v>
      </c>
      <c r="K1338" s="106"/>
      <c r="L1338" s="106"/>
      <c r="M1338" s="106"/>
      <c r="N1338" s="106"/>
      <c r="O1338" s="106"/>
      <c r="P1338" s="106"/>
      <c r="Q1338" s="106"/>
      <c r="R1338" s="106"/>
      <c r="S1338" s="106"/>
      <c r="T1338" s="106"/>
      <c r="U1338" s="106"/>
      <c r="V1338" s="106"/>
      <c r="W1338" s="156"/>
      <c r="X1338" s="156"/>
      <c r="Y1338" s="156"/>
      <c r="Z1338" s="156"/>
      <c r="AA1338" s="156"/>
      <c r="AB1338" s="156"/>
      <c r="AC1338" s="156"/>
      <c r="AD1338" s="156"/>
      <c r="AE1338" s="156"/>
      <c r="AF1338" s="156"/>
      <c r="AG1338" s="156"/>
      <c r="AH1338" s="156"/>
      <c r="AI1338" s="156"/>
      <c r="AJ1338" s="156"/>
      <c r="AK1338" s="156"/>
      <c r="AL1338" s="156"/>
      <c r="AM1338" s="156"/>
      <c r="AN1338" s="156"/>
      <c r="AO1338" s="156"/>
      <c r="AP1338" s="156"/>
      <c r="AQ1338" s="156"/>
      <c r="AR1338" s="156"/>
      <c r="AS1338" s="156"/>
      <c r="AT1338" s="156"/>
      <c r="AU1338" s="156"/>
      <c r="AV1338" s="156"/>
      <c r="AW1338" s="156"/>
      <c r="AX1338" s="156"/>
      <c r="AY1338" s="156"/>
      <c r="AZ1338" s="156"/>
      <c r="BA1338" s="156"/>
      <c r="BB1338" s="2828"/>
      <c r="BC1338" s="452"/>
      <c r="BD1338" s="2829"/>
      <c r="BE1338" s="156"/>
      <c r="BF1338" s="156"/>
    </row>
    <row r="1339" spans="1:58" hidden="1" outlineLevel="1" x14ac:dyDescent="0.35">
      <c r="A1339" s="1071"/>
      <c r="B1339" s="106"/>
      <c r="C1339" s="103"/>
      <c r="D1339" s="156"/>
      <c r="E1339" s="292"/>
      <c r="F1339" s="106"/>
      <c r="G1339" s="292"/>
      <c r="H1339" s="103"/>
      <c r="I1339" s="106"/>
      <c r="J1339" s="106"/>
      <c r="K1339" s="106"/>
      <c r="L1339" s="106"/>
      <c r="M1339" s="106"/>
      <c r="N1339" s="106"/>
      <c r="O1339" s="106"/>
      <c r="P1339" s="106"/>
      <c r="Q1339" s="106"/>
      <c r="R1339" s="106"/>
      <c r="S1339" s="106"/>
      <c r="T1339" s="106"/>
      <c r="U1339" s="106"/>
      <c r="V1339" s="106"/>
      <c r="W1339" s="156"/>
      <c r="X1339" s="156"/>
      <c r="Y1339" s="156"/>
      <c r="Z1339" s="156"/>
      <c r="AA1339" s="156"/>
      <c r="AB1339" s="156"/>
      <c r="AC1339" s="156"/>
      <c r="AD1339" s="156"/>
      <c r="AE1339" s="156"/>
      <c r="AF1339" s="156"/>
      <c r="AG1339" s="156"/>
      <c r="AH1339" s="156"/>
      <c r="AI1339" s="156"/>
      <c r="AJ1339" s="156"/>
      <c r="AK1339" s="156"/>
      <c r="AL1339" s="156"/>
      <c r="AM1339" s="156"/>
      <c r="AN1339" s="156"/>
      <c r="AO1339" s="156"/>
      <c r="AP1339" s="156"/>
      <c r="AQ1339" s="156"/>
      <c r="AR1339" s="156"/>
      <c r="AS1339" s="156"/>
      <c r="AT1339" s="156"/>
      <c r="AU1339" s="156"/>
      <c r="AV1339" s="156"/>
      <c r="AW1339" s="156"/>
      <c r="AX1339" s="156"/>
      <c r="AY1339" s="156"/>
      <c r="AZ1339" s="156"/>
      <c r="BA1339" s="156"/>
      <c r="BB1339" s="2828"/>
      <c r="BC1339" s="452"/>
      <c r="BD1339" s="2829"/>
      <c r="BE1339" s="156"/>
      <c r="BF1339" s="156"/>
    </row>
    <row r="1340" spans="1:58" hidden="1" outlineLevel="1" x14ac:dyDescent="0.35">
      <c r="A1340" s="1071"/>
      <c r="B1340" s="106"/>
      <c r="C1340" s="103"/>
      <c r="D1340" s="292"/>
      <c r="E1340" s="292"/>
      <c r="F1340" s="106"/>
      <c r="G1340" s="292"/>
      <c r="H1340" s="103"/>
      <c r="I1340" s="106"/>
      <c r="J1340" s="106"/>
      <c r="K1340" s="106"/>
      <c r="L1340" s="106"/>
      <c r="M1340" s="106"/>
      <c r="N1340" s="106"/>
      <c r="O1340" s="106"/>
      <c r="P1340" s="106"/>
      <c r="Q1340" s="106"/>
      <c r="R1340" s="106"/>
      <c r="S1340" s="106"/>
      <c r="T1340" s="106"/>
      <c r="U1340" s="106"/>
      <c r="V1340" s="106"/>
      <c r="W1340" s="156"/>
      <c r="X1340" s="156"/>
      <c r="Y1340" s="156"/>
      <c r="Z1340" s="156"/>
      <c r="AA1340" s="156"/>
      <c r="AB1340" s="156"/>
      <c r="AC1340" s="156"/>
      <c r="AD1340" s="156"/>
      <c r="AE1340" s="156"/>
      <c r="AF1340" s="156"/>
      <c r="AG1340" s="156"/>
      <c r="AH1340" s="156"/>
      <c r="AI1340" s="156"/>
      <c r="AJ1340" s="156"/>
      <c r="AK1340" s="156"/>
      <c r="AL1340" s="156"/>
      <c r="AM1340" s="156"/>
      <c r="AN1340" s="156"/>
      <c r="AO1340" s="156"/>
      <c r="AP1340" s="156"/>
      <c r="AQ1340" s="156"/>
      <c r="AR1340" s="156"/>
      <c r="AS1340" s="156"/>
      <c r="AT1340" s="156"/>
      <c r="AU1340" s="156"/>
      <c r="AV1340" s="156"/>
      <c r="AW1340" s="156"/>
      <c r="AX1340" s="156"/>
      <c r="AY1340" s="156"/>
      <c r="AZ1340" s="156"/>
      <c r="BA1340" s="156"/>
      <c r="BB1340" s="2828"/>
      <c r="BC1340" s="452"/>
      <c r="BD1340" s="2829"/>
      <c r="BE1340" s="156"/>
      <c r="BF1340" s="156"/>
    </row>
    <row r="1341" spans="1:58" hidden="1" outlineLevel="1" x14ac:dyDescent="0.35">
      <c r="A1341" s="1071"/>
      <c r="B1341" s="106"/>
      <c r="C1341" s="103"/>
      <c r="D1341" s="292"/>
      <c r="E1341" s="292"/>
      <c r="F1341" s="106"/>
      <c r="G1341" s="292"/>
      <c r="H1341" s="103"/>
      <c r="I1341" s="106"/>
      <c r="J1341" s="106"/>
      <c r="K1341" s="106"/>
      <c r="L1341" s="106"/>
      <c r="M1341" s="106"/>
      <c r="N1341" s="106"/>
      <c r="O1341" s="106"/>
      <c r="P1341" s="106"/>
      <c r="Q1341" s="106"/>
      <c r="R1341" s="106"/>
      <c r="S1341" s="106"/>
      <c r="T1341" s="106"/>
      <c r="U1341" s="106"/>
      <c r="V1341" s="106"/>
      <c r="W1341" s="156"/>
      <c r="X1341" s="156"/>
      <c r="Y1341" s="156"/>
      <c r="Z1341" s="156"/>
      <c r="AA1341" s="156"/>
      <c r="AB1341" s="156"/>
      <c r="AC1341" s="156"/>
      <c r="AD1341" s="156"/>
      <c r="AE1341" s="156"/>
      <c r="AF1341" s="156"/>
      <c r="AG1341" s="156"/>
      <c r="AH1341" s="156"/>
      <c r="AI1341" s="156"/>
      <c r="AJ1341" s="156"/>
      <c r="AK1341" s="156"/>
      <c r="AL1341" s="156"/>
      <c r="AM1341" s="156"/>
      <c r="AN1341" s="156"/>
      <c r="AO1341" s="156"/>
      <c r="AP1341" s="156"/>
      <c r="AQ1341" s="156"/>
      <c r="AR1341" s="156"/>
      <c r="AS1341" s="156"/>
      <c r="AT1341" s="156"/>
      <c r="AU1341" s="156"/>
      <c r="AV1341" s="156"/>
      <c r="AW1341" s="156"/>
      <c r="AX1341" s="156"/>
      <c r="AY1341" s="156"/>
      <c r="AZ1341" s="156"/>
      <c r="BA1341" s="156"/>
      <c r="BB1341" s="2828"/>
      <c r="BC1341" s="452"/>
      <c r="BD1341" s="2829"/>
      <c r="BE1341" s="156"/>
      <c r="BF1341" s="156"/>
    </row>
    <row r="1342" spans="1:58" hidden="1" outlineLevel="1" x14ac:dyDescent="0.35">
      <c r="A1342" s="1071"/>
      <c r="B1342" s="106"/>
      <c r="C1342" s="103"/>
      <c r="D1342" s="292"/>
      <c r="E1342" s="292"/>
      <c r="F1342" s="106"/>
      <c r="G1342" s="292"/>
      <c r="H1342" s="103"/>
      <c r="I1342" s="106"/>
      <c r="J1342" s="106"/>
      <c r="K1342" s="106"/>
      <c r="L1342" s="106"/>
      <c r="M1342" s="106"/>
      <c r="N1342" s="106"/>
      <c r="O1342" s="106"/>
      <c r="P1342" s="106"/>
      <c r="Q1342" s="106"/>
      <c r="R1342" s="106"/>
      <c r="S1342" s="106"/>
      <c r="T1342" s="106"/>
      <c r="U1342" s="106"/>
      <c r="V1342" s="106"/>
      <c r="W1342" s="156"/>
      <c r="X1342" s="156"/>
      <c r="Y1342" s="156"/>
      <c r="Z1342" s="156"/>
      <c r="AA1342" s="156"/>
      <c r="AB1342" s="156"/>
      <c r="AC1342" s="156"/>
      <c r="AD1342" s="156"/>
      <c r="AE1342" s="156"/>
      <c r="AF1342" s="156"/>
      <c r="AG1342" s="156"/>
      <c r="AH1342" s="156"/>
      <c r="AI1342" s="156"/>
      <c r="AJ1342" s="156"/>
      <c r="AK1342" s="156"/>
      <c r="AL1342" s="156"/>
      <c r="AM1342" s="156"/>
      <c r="AN1342" s="156"/>
      <c r="AO1342" s="156"/>
      <c r="AP1342" s="156"/>
      <c r="AQ1342" s="156"/>
      <c r="AR1342" s="156"/>
      <c r="AS1342" s="156"/>
      <c r="AT1342" s="156"/>
      <c r="AU1342" s="156"/>
      <c r="AV1342" s="156"/>
      <c r="AW1342" s="156"/>
      <c r="AX1342" s="156"/>
      <c r="AY1342" s="156"/>
      <c r="AZ1342" s="156"/>
      <c r="BA1342" s="156"/>
      <c r="BB1342" s="2828"/>
      <c r="BC1342" s="452"/>
      <c r="BD1342" s="2829"/>
      <c r="BE1342" s="156"/>
      <c r="BF1342" s="156"/>
    </row>
    <row r="1343" spans="1:58" hidden="1" outlineLevel="1" x14ac:dyDescent="0.35">
      <c r="A1343" s="1071"/>
      <c r="B1343" s="106"/>
      <c r="C1343" s="103"/>
      <c r="D1343" s="292"/>
      <c r="E1343" s="292"/>
      <c r="F1343" s="106"/>
      <c r="G1343" s="292"/>
      <c r="H1343" s="103"/>
      <c r="I1343" s="106"/>
      <c r="J1343" s="106"/>
      <c r="K1343" s="106"/>
      <c r="L1343" s="106"/>
      <c r="M1343" s="106"/>
      <c r="N1343" s="106"/>
      <c r="O1343" s="106"/>
      <c r="P1343" s="106"/>
      <c r="Q1343" s="106"/>
      <c r="R1343" s="106"/>
      <c r="S1343" s="106"/>
      <c r="T1343" s="106"/>
      <c r="U1343" s="106"/>
      <c r="V1343" s="106"/>
      <c r="W1343" s="156"/>
      <c r="X1343" s="156"/>
      <c r="Y1343" s="156"/>
      <c r="Z1343" s="156"/>
      <c r="AA1343" s="156"/>
      <c r="AB1343" s="156"/>
      <c r="AC1343" s="156"/>
      <c r="AD1343" s="156"/>
      <c r="AE1343" s="156"/>
      <c r="AF1343" s="156"/>
      <c r="AG1343" s="156"/>
      <c r="AH1343" s="156"/>
      <c r="AI1343" s="156"/>
      <c r="AJ1343" s="156"/>
      <c r="AK1343" s="156"/>
      <c r="AL1343" s="156"/>
      <c r="AM1343" s="156"/>
      <c r="AN1343" s="156"/>
      <c r="AO1343" s="156"/>
      <c r="AP1343" s="156"/>
      <c r="AQ1343" s="156"/>
      <c r="AR1343" s="156"/>
      <c r="AS1343" s="156"/>
      <c r="AT1343" s="156"/>
      <c r="AU1343" s="156"/>
      <c r="AV1343" s="156"/>
      <c r="AW1343" s="156"/>
      <c r="AX1343" s="156"/>
      <c r="AY1343" s="156"/>
      <c r="AZ1343" s="156"/>
      <c r="BA1343" s="156"/>
      <c r="BB1343" s="2828"/>
      <c r="BC1343" s="452"/>
      <c r="BD1343" s="2829"/>
      <c r="BE1343" s="156"/>
      <c r="BF1343" s="156"/>
    </row>
    <row r="1344" spans="1:58" hidden="1" outlineLevel="1" x14ac:dyDescent="0.35">
      <c r="A1344" s="1071"/>
      <c r="B1344" s="106"/>
      <c r="C1344" s="103"/>
      <c r="D1344" s="292" t="s">
        <v>1038</v>
      </c>
      <c r="E1344" s="292"/>
      <c r="F1344" s="106"/>
      <c r="G1344" s="292"/>
      <c r="H1344" s="103"/>
      <c r="I1344" s="106"/>
      <c r="J1344" s="106"/>
      <c r="K1344" s="106"/>
      <c r="L1344" s="106"/>
      <c r="M1344" s="106"/>
      <c r="N1344" s="106"/>
      <c r="O1344" s="106"/>
      <c r="P1344" s="106"/>
      <c r="Q1344" s="106"/>
      <c r="R1344" s="106"/>
      <c r="S1344" s="106"/>
      <c r="T1344" s="106"/>
      <c r="U1344" s="106"/>
      <c r="V1344" s="106"/>
      <c r="W1344" s="156"/>
      <c r="X1344" s="156"/>
      <c r="Y1344" s="156"/>
      <c r="Z1344" s="156"/>
      <c r="AA1344" s="156"/>
      <c r="AB1344" s="156"/>
      <c r="AC1344" s="156"/>
      <c r="AD1344" s="156"/>
      <c r="AE1344" s="156"/>
      <c r="AF1344" s="156"/>
      <c r="AG1344" s="156"/>
      <c r="AH1344" s="156"/>
      <c r="AI1344" s="156"/>
      <c r="AJ1344" s="156"/>
      <c r="AK1344" s="156"/>
      <c r="AL1344" s="156"/>
      <c r="AM1344" s="156"/>
      <c r="AN1344" s="156"/>
      <c r="AO1344" s="156"/>
      <c r="AP1344" s="156"/>
      <c r="AQ1344" s="156"/>
      <c r="AR1344" s="156"/>
      <c r="AS1344" s="156"/>
      <c r="AT1344" s="156"/>
      <c r="AU1344" s="156"/>
      <c r="AV1344" s="156"/>
      <c r="AW1344" s="156"/>
      <c r="AX1344" s="156"/>
      <c r="AY1344" s="156"/>
      <c r="AZ1344" s="156"/>
      <c r="BA1344" s="156"/>
      <c r="BB1344" s="2828"/>
      <c r="BC1344" s="452"/>
      <c r="BD1344" s="2829"/>
      <c r="BE1344" s="156"/>
      <c r="BF1344" s="156"/>
    </row>
    <row r="1345" spans="1:58" hidden="1" outlineLevel="1" x14ac:dyDescent="0.35">
      <c r="A1345" s="1071"/>
      <c r="B1345" s="106"/>
      <c r="C1345" s="103"/>
      <c r="D1345" s="156"/>
      <c r="E1345" s="292"/>
      <c r="F1345" s="106"/>
      <c r="G1345" s="292"/>
      <c r="H1345" s="103"/>
      <c r="I1345" s="106"/>
      <c r="J1345" s="106"/>
      <c r="K1345" s="106"/>
      <c r="L1345" s="106"/>
      <c r="M1345" s="106"/>
      <c r="N1345" s="106"/>
      <c r="O1345" s="106"/>
      <c r="P1345" s="106"/>
      <c r="Q1345" s="106"/>
      <c r="R1345" s="106"/>
      <c r="S1345" s="106"/>
      <c r="T1345" s="106"/>
      <c r="U1345" s="106"/>
      <c r="V1345" s="106"/>
      <c r="W1345" s="156"/>
      <c r="X1345" s="156"/>
      <c r="Y1345" s="156"/>
      <c r="Z1345" s="156"/>
      <c r="AA1345" s="156"/>
      <c r="AB1345" s="156"/>
      <c r="AC1345" s="156"/>
      <c r="AD1345" s="156"/>
      <c r="AE1345" s="156"/>
      <c r="AF1345" s="156"/>
      <c r="AG1345" s="156"/>
      <c r="AH1345" s="156"/>
      <c r="AI1345" s="156"/>
      <c r="AJ1345" s="156"/>
      <c r="AK1345" s="156"/>
      <c r="AL1345" s="156"/>
      <c r="AM1345" s="156"/>
      <c r="AN1345" s="156"/>
      <c r="AO1345" s="156"/>
      <c r="AP1345" s="156"/>
      <c r="AQ1345" s="156"/>
      <c r="AR1345" s="156"/>
      <c r="AS1345" s="156"/>
      <c r="AT1345" s="156"/>
      <c r="AU1345" s="156"/>
      <c r="AV1345" s="156"/>
      <c r="AW1345" s="156"/>
      <c r="AX1345" s="156"/>
      <c r="AY1345" s="156"/>
      <c r="AZ1345" s="156"/>
      <c r="BA1345" s="156"/>
      <c r="BB1345" s="2828"/>
      <c r="BC1345" s="452"/>
      <c r="BD1345" s="2829"/>
      <c r="BE1345" s="156"/>
      <c r="BF1345" s="156"/>
    </row>
    <row r="1346" spans="1:58" hidden="1" outlineLevel="1" x14ac:dyDescent="0.35">
      <c r="A1346" s="1071"/>
      <c r="B1346" s="106"/>
      <c r="C1346" s="103"/>
      <c r="D1346" s="292"/>
      <c r="E1346" s="292"/>
      <c r="F1346" s="106"/>
      <c r="G1346" s="292"/>
      <c r="H1346" s="103"/>
      <c r="I1346" s="106"/>
      <c r="J1346" s="106"/>
      <c r="K1346" s="106"/>
      <c r="L1346" s="106"/>
      <c r="M1346" s="106"/>
      <c r="N1346" s="106"/>
      <c r="O1346" s="106"/>
      <c r="P1346" s="106"/>
      <c r="Q1346" s="106"/>
      <c r="R1346" s="106"/>
      <c r="S1346" s="106"/>
      <c r="T1346" s="106"/>
      <c r="U1346" s="106"/>
      <c r="V1346" s="106"/>
      <c r="W1346" s="156"/>
      <c r="X1346" s="156"/>
      <c r="Y1346" s="156"/>
      <c r="Z1346" s="156"/>
      <c r="AA1346" s="156"/>
      <c r="AB1346" s="156"/>
      <c r="AC1346" s="156"/>
      <c r="AD1346" s="156"/>
      <c r="AE1346" s="156"/>
      <c r="AF1346" s="156"/>
      <c r="AG1346" s="156"/>
      <c r="AH1346" s="156"/>
      <c r="AI1346" s="156"/>
      <c r="AJ1346" s="156"/>
      <c r="AK1346" s="156"/>
      <c r="AL1346" s="156"/>
      <c r="AM1346" s="156"/>
      <c r="AN1346" s="156"/>
      <c r="AO1346" s="156"/>
      <c r="AP1346" s="156"/>
      <c r="AQ1346" s="156"/>
      <c r="AR1346" s="156"/>
      <c r="AS1346" s="156"/>
      <c r="AT1346" s="156"/>
      <c r="AU1346" s="156"/>
      <c r="AV1346" s="156"/>
      <c r="AW1346" s="156"/>
      <c r="AX1346" s="156"/>
      <c r="AY1346" s="156"/>
      <c r="AZ1346" s="156"/>
      <c r="BA1346" s="156"/>
      <c r="BB1346" s="2828"/>
      <c r="BC1346" s="452"/>
      <c r="BD1346" s="2829"/>
      <c r="BE1346" s="156"/>
      <c r="BF1346" s="156"/>
    </row>
    <row r="1347" spans="1:58" hidden="1" outlineLevel="1" x14ac:dyDescent="0.35">
      <c r="A1347" s="1071"/>
      <c r="B1347" s="106"/>
      <c r="C1347" s="103"/>
      <c r="D1347" s="292"/>
      <c r="E1347" s="292"/>
      <c r="F1347" s="106"/>
      <c r="G1347" s="292"/>
      <c r="H1347" s="103"/>
      <c r="I1347" s="106"/>
      <c r="J1347" s="156"/>
      <c r="K1347" s="106"/>
      <c r="L1347" s="106"/>
      <c r="M1347" s="106"/>
      <c r="N1347" s="106"/>
      <c r="O1347" s="106"/>
      <c r="P1347" s="106"/>
      <c r="Q1347" s="106"/>
      <c r="R1347" s="106"/>
      <c r="S1347" s="106"/>
      <c r="T1347" s="106"/>
      <c r="U1347" s="106"/>
      <c r="V1347" s="106"/>
      <c r="W1347" s="156"/>
      <c r="X1347" s="156"/>
      <c r="Y1347" s="156"/>
      <c r="Z1347" s="156"/>
      <c r="AA1347" s="156"/>
      <c r="AB1347" s="156"/>
      <c r="AC1347" s="156"/>
      <c r="AD1347" s="156"/>
      <c r="AE1347" s="156"/>
      <c r="AF1347" s="156"/>
      <c r="AG1347" s="156"/>
      <c r="AH1347" s="156"/>
      <c r="AI1347" s="156"/>
      <c r="AJ1347" s="156"/>
      <c r="AK1347" s="156"/>
      <c r="AL1347" s="156"/>
      <c r="AM1347" s="156"/>
      <c r="AN1347" s="156"/>
      <c r="AO1347" s="156"/>
      <c r="AP1347" s="156"/>
      <c r="AQ1347" s="156"/>
      <c r="AR1347" s="156"/>
      <c r="AS1347" s="156"/>
      <c r="AT1347" s="156"/>
      <c r="AU1347" s="156"/>
      <c r="AV1347" s="156"/>
      <c r="AW1347" s="156"/>
      <c r="AX1347" s="156"/>
      <c r="AY1347" s="156"/>
      <c r="AZ1347" s="156"/>
      <c r="BA1347" s="156"/>
      <c r="BB1347" s="2828"/>
      <c r="BC1347" s="452"/>
      <c r="BD1347" s="2829"/>
      <c r="BE1347" s="156"/>
      <c r="BF1347" s="156"/>
    </row>
    <row r="1348" spans="1:58" hidden="1" outlineLevel="1" x14ac:dyDescent="0.35">
      <c r="A1348" s="1071"/>
      <c r="B1348" s="106"/>
      <c r="C1348" s="103"/>
      <c r="D1348" s="292"/>
      <c r="E1348" s="292"/>
      <c r="F1348" s="106"/>
      <c r="G1348" s="292"/>
      <c r="H1348" s="103"/>
      <c r="I1348" s="106"/>
      <c r="J1348" s="106"/>
      <c r="K1348" s="106"/>
      <c r="L1348" s="106"/>
      <c r="M1348" s="106"/>
      <c r="N1348" s="106"/>
      <c r="O1348" s="106"/>
      <c r="P1348" s="106"/>
      <c r="Q1348" s="106"/>
      <c r="R1348" s="106"/>
      <c r="S1348" s="106"/>
      <c r="T1348" s="106"/>
      <c r="U1348" s="106"/>
      <c r="V1348" s="106"/>
      <c r="W1348" s="156"/>
      <c r="X1348" s="156"/>
      <c r="Y1348" s="156"/>
      <c r="Z1348" s="156"/>
      <c r="AA1348" s="156"/>
      <c r="AB1348" s="156"/>
      <c r="AC1348" s="156"/>
      <c r="AD1348" s="156"/>
      <c r="AE1348" s="156"/>
      <c r="AF1348" s="156"/>
      <c r="AG1348" s="156"/>
      <c r="AH1348" s="156"/>
      <c r="AI1348" s="156"/>
      <c r="AJ1348" s="156"/>
      <c r="AK1348" s="156"/>
      <c r="AL1348" s="156"/>
      <c r="AM1348" s="156"/>
      <c r="AN1348" s="156"/>
      <c r="AO1348" s="156"/>
      <c r="AP1348" s="156"/>
      <c r="AQ1348" s="156"/>
      <c r="AR1348" s="156"/>
      <c r="AS1348" s="156"/>
      <c r="AT1348" s="156"/>
      <c r="AU1348" s="156"/>
      <c r="AV1348" s="156"/>
      <c r="AW1348" s="156"/>
      <c r="AX1348" s="156"/>
      <c r="AY1348" s="156"/>
      <c r="AZ1348" s="156"/>
      <c r="BA1348" s="156"/>
      <c r="BB1348" s="2828"/>
      <c r="BC1348" s="452"/>
      <c r="BD1348" s="2829"/>
      <c r="BE1348" s="156"/>
      <c r="BF1348" s="156"/>
    </row>
    <row r="1349" spans="1:58" hidden="1" outlineLevel="1" x14ac:dyDescent="0.35">
      <c r="A1349" s="1071"/>
      <c r="B1349" s="106"/>
      <c r="C1349" s="103"/>
      <c r="D1349" s="292"/>
      <c r="E1349" s="292"/>
      <c r="F1349" s="106"/>
      <c r="G1349" s="292"/>
      <c r="H1349" s="103"/>
      <c r="I1349" s="103"/>
      <c r="J1349" s="103"/>
      <c r="K1349" s="103"/>
      <c r="L1349" s="103"/>
      <c r="M1349" s="103"/>
      <c r="N1349" s="106"/>
      <c r="O1349" s="106"/>
      <c r="P1349" s="106"/>
      <c r="Q1349" s="106"/>
      <c r="R1349" s="106"/>
      <c r="S1349" s="106"/>
      <c r="T1349" s="106"/>
      <c r="U1349" s="106"/>
      <c r="V1349" s="106"/>
      <c r="W1349" s="156"/>
      <c r="X1349" s="156"/>
      <c r="Y1349" s="156"/>
      <c r="Z1349" s="156"/>
      <c r="AA1349" s="156"/>
      <c r="AB1349" s="156"/>
      <c r="AC1349" s="156"/>
      <c r="AD1349" s="156"/>
      <c r="AE1349" s="156"/>
      <c r="AF1349" s="156"/>
      <c r="AG1349" s="156"/>
      <c r="AH1349" s="156"/>
      <c r="AI1349" s="156"/>
      <c r="AJ1349" s="156"/>
      <c r="AK1349" s="156"/>
      <c r="AL1349" s="156"/>
      <c r="AM1349" s="156"/>
      <c r="AN1349" s="156"/>
      <c r="AO1349" s="156"/>
      <c r="AP1349" s="156"/>
      <c r="AQ1349" s="156"/>
      <c r="AR1349" s="156"/>
      <c r="AS1349" s="156"/>
      <c r="AT1349" s="156"/>
      <c r="AU1349" s="156"/>
      <c r="AV1349" s="156"/>
      <c r="AW1349" s="156"/>
      <c r="AX1349" s="156"/>
      <c r="AY1349" s="156"/>
      <c r="AZ1349" s="156"/>
      <c r="BA1349" s="156"/>
      <c r="BB1349" s="2828"/>
      <c r="BC1349" s="452"/>
      <c r="BD1349" s="2829"/>
      <c r="BE1349" s="156"/>
      <c r="BF1349" s="156"/>
    </row>
    <row r="1350" spans="1:58" hidden="1" outlineLevel="1" x14ac:dyDescent="0.35">
      <c r="A1350" s="1071"/>
      <c r="B1350" s="106"/>
      <c r="C1350" s="103"/>
      <c r="D1350" s="333" t="s">
        <v>108</v>
      </c>
      <c r="E1350" s="333" t="s">
        <v>109</v>
      </c>
      <c r="F1350" s="4027" t="s">
        <v>185</v>
      </c>
      <c r="G1350" s="4027"/>
      <c r="H1350" s="4027"/>
      <c r="I1350" s="2379" t="s">
        <v>27</v>
      </c>
      <c r="J1350" s="2379" t="s">
        <v>111</v>
      </c>
      <c r="K1350" s="2379" t="s">
        <v>946</v>
      </c>
      <c r="L1350" s="2379" t="s">
        <v>397</v>
      </c>
      <c r="M1350" s="106"/>
      <c r="N1350" s="106"/>
      <c r="O1350" s="106"/>
      <c r="P1350" s="106"/>
      <c r="Q1350" s="106"/>
      <c r="R1350" s="106"/>
      <c r="S1350" s="106"/>
      <c r="T1350" s="106"/>
      <c r="U1350" s="106"/>
      <c r="V1350" s="480" t="s">
        <v>44</v>
      </c>
      <c r="W1350" s="1573">
        <v>43252</v>
      </c>
      <c r="X1350" s="1573">
        <f>$X$6</f>
        <v>43465</v>
      </c>
      <c r="Y1350" s="1573">
        <f>$Y$6</f>
        <v>43800</v>
      </c>
      <c r="Z1350" s="1573">
        <f>$Z$6</f>
        <v>43862</v>
      </c>
      <c r="AA1350" s="1573">
        <f>$AA$6</f>
        <v>44013</v>
      </c>
      <c r="AB1350" s="1573">
        <f>$AB$6</f>
        <v>44166</v>
      </c>
      <c r="AC1350" s="1573">
        <f>$AC$6</f>
        <v>44531</v>
      </c>
      <c r="AD1350" s="1573">
        <f>$AD$6</f>
        <v>44774</v>
      </c>
      <c r="AE1350" s="1573" t="str">
        <f>$AE$6</f>
        <v>-</v>
      </c>
      <c r="AF1350" s="1573" t="str">
        <f>$AF$6</f>
        <v>-</v>
      </c>
      <c r="AG1350" s="1573" t="str">
        <f>$AG$6</f>
        <v>-</v>
      </c>
      <c r="AH1350" s="156"/>
      <c r="AI1350" s="156"/>
      <c r="AJ1350" s="156"/>
      <c r="AK1350" s="156"/>
      <c r="AL1350" s="156"/>
      <c r="AM1350" s="156"/>
      <c r="AN1350" s="156"/>
      <c r="AO1350" s="156"/>
      <c r="AP1350" s="156"/>
      <c r="AQ1350" s="156"/>
      <c r="AR1350" s="156"/>
      <c r="AS1350" s="156"/>
      <c r="AT1350" s="156"/>
      <c r="AU1350" s="156"/>
      <c r="AV1350" s="156"/>
      <c r="AW1350" s="156"/>
      <c r="AX1350" s="156"/>
      <c r="AY1350" s="156"/>
      <c r="AZ1350" s="156"/>
      <c r="BA1350" s="156"/>
      <c r="BB1350" s="2828"/>
      <c r="BC1350" s="452"/>
      <c r="BD1350" s="2829"/>
      <c r="BE1350" s="156"/>
      <c r="BF1350" s="156"/>
    </row>
    <row r="1351" spans="1:58" ht="15" hidden="1" outlineLevel="1" thickBot="1" x14ac:dyDescent="0.4">
      <c r="A1351" s="1071"/>
      <c r="B1351" s="106"/>
      <c r="C1351" s="103"/>
      <c r="D1351" s="1522"/>
      <c r="E1351" s="1523"/>
      <c r="F1351" s="1524"/>
      <c r="G1351" s="1525"/>
      <c r="H1351" s="1526"/>
      <c r="I1351" s="1527"/>
      <c r="J1351" s="1527"/>
      <c r="K1351" s="1524"/>
      <c r="L1351" s="1524"/>
      <c r="M1351" s="106"/>
      <c r="N1351" s="106"/>
      <c r="O1351" s="106"/>
      <c r="P1351" s="106"/>
      <c r="Q1351" s="106"/>
      <c r="R1351" s="106"/>
      <c r="S1351" s="106"/>
      <c r="T1351" s="106"/>
      <c r="U1351" s="106"/>
      <c r="V1351" s="480"/>
      <c r="W1351" s="1573"/>
      <c r="X1351" s="1573"/>
      <c r="Y1351" s="1573"/>
      <c r="Z1351" s="1573"/>
      <c r="AA1351" s="1573"/>
      <c r="AB1351" s="1573"/>
      <c r="AC1351" s="1573"/>
      <c r="AD1351" s="1573"/>
      <c r="AE1351" s="1573"/>
      <c r="AF1351" s="1573"/>
      <c r="AG1351" s="1573"/>
      <c r="AH1351" s="156"/>
      <c r="AI1351" s="156"/>
      <c r="AJ1351" s="156"/>
      <c r="AK1351" s="156"/>
      <c r="AL1351" s="156"/>
      <c r="AM1351" s="156"/>
      <c r="AN1351" s="156"/>
      <c r="AO1351" s="156"/>
      <c r="AP1351" s="156"/>
      <c r="AQ1351" s="156"/>
      <c r="AR1351" s="156"/>
      <c r="AS1351" s="156"/>
      <c r="AT1351" s="156"/>
      <c r="AU1351" s="156"/>
      <c r="AV1351" s="156"/>
      <c r="AW1351" s="156"/>
      <c r="AX1351" s="156"/>
      <c r="AY1351" s="156"/>
      <c r="AZ1351" s="156"/>
      <c r="BA1351" s="156"/>
      <c r="BB1351" s="2828"/>
      <c r="BC1351" s="452"/>
      <c r="BD1351" s="2829"/>
      <c r="BE1351" s="156"/>
      <c r="BF1351" s="156"/>
    </row>
    <row r="1352" spans="1:58" hidden="1" outlineLevel="1" x14ac:dyDescent="0.35">
      <c r="A1352" s="1071"/>
      <c r="B1352" s="106"/>
      <c r="C1352" s="103"/>
      <c r="D1352" s="4021" t="s">
        <v>1104</v>
      </c>
      <c r="E1352" s="4147" t="s">
        <v>1105</v>
      </c>
      <c r="F1352" s="3935" t="str">
        <f>E1319</f>
        <v>DFHP-SEER19-ROF_MF</v>
      </c>
      <c r="G1352" s="3935"/>
      <c r="H1352" s="3936"/>
      <c r="I1352" s="660"/>
      <c r="J1352" s="2224">
        <v>40800</v>
      </c>
      <c r="K1352" s="675">
        <f t="shared" ref="K1352:K1357" si="253">J1352/12000</f>
        <v>3.4</v>
      </c>
      <c r="L1352" s="658" t="s">
        <v>1106</v>
      </c>
      <c r="M1352" s="106"/>
      <c r="N1352" s="106"/>
      <c r="O1352" s="106"/>
      <c r="P1352" s="106"/>
      <c r="Q1352" s="106"/>
      <c r="R1352" s="106"/>
      <c r="S1352" s="106"/>
      <c r="T1352" s="106"/>
      <c r="U1352" s="106"/>
      <c r="V1352" s="4022"/>
      <c r="W1352" s="579">
        <f>$K1359*12000</f>
        <v>0</v>
      </c>
      <c r="X1352" s="579">
        <v>40800</v>
      </c>
      <c r="Y1352" s="579">
        <v>40800</v>
      </c>
      <c r="Z1352" s="579">
        <v>40800</v>
      </c>
      <c r="AA1352" s="579">
        <v>40800</v>
      </c>
      <c r="AB1352" s="579">
        <v>40800</v>
      </c>
      <c r="AC1352" s="2224">
        <v>40800</v>
      </c>
      <c r="AD1352" s="2224">
        <v>40800</v>
      </c>
      <c r="AE1352" s="579"/>
      <c r="AF1352" s="579"/>
      <c r="AG1352" s="579"/>
      <c r="AH1352" s="156"/>
      <c r="AI1352" s="156"/>
      <c r="AJ1352" s="156"/>
      <c r="AK1352" s="156"/>
      <c r="AL1352" s="156"/>
      <c r="AM1352" s="156"/>
      <c r="AN1352" s="156"/>
      <c r="AO1352" s="156"/>
      <c r="AP1352" s="156"/>
      <c r="AQ1352" s="156"/>
      <c r="AR1352" s="156"/>
      <c r="AS1352" s="156"/>
      <c r="AT1352" s="156"/>
      <c r="AU1352" s="156"/>
      <c r="AV1352" s="156"/>
      <c r="AW1352" s="156"/>
      <c r="AX1352" s="156"/>
      <c r="AY1352" s="156"/>
      <c r="AZ1352" s="156"/>
      <c r="BA1352" s="156"/>
      <c r="BB1352" s="2828"/>
      <c r="BC1352" s="452"/>
      <c r="BD1352" s="2829"/>
      <c r="BE1352" s="156"/>
      <c r="BF1352" s="156"/>
    </row>
    <row r="1353" spans="1:58" hidden="1" outlineLevel="1" x14ac:dyDescent="0.35">
      <c r="A1353" s="1071"/>
      <c r="B1353" s="106"/>
      <c r="C1353" s="103"/>
      <c r="D1353" s="4022"/>
      <c r="E1353" s="4148"/>
      <c r="F1353" s="3935" t="str">
        <f>E1321</f>
        <v>DFHP-SEER19-ROF_MF_CompE</v>
      </c>
      <c r="G1353" s="3935"/>
      <c r="H1353" s="3936"/>
      <c r="I1353" s="660"/>
      <c r="J1353" s="2224">
        <v>40800</v>
      </c>
      <c r="K1353" s="675">
        <f t="shared" si="253"/>
        <v>3.4</v>
      </c>
      <c r="L1353" s="658"/>
      <c r="M1353" s="106"/>
      <c r="N1353" s="106"/>
      <c r="O1353" s="106"/>
      <c r="P1353" s="106"/>
      <c r="Q1353" s="106"/>
      <c r="R1353" s="106"/>
      <c r="S1353" s="106"/>
      <c r="T1353" s="106"/>
      <c r="U1353" s="106"/>
      <c r="V1353" s="4022"/>
      <c r="W1353" s="579"/>
      <c r="X1353" s="579"/>
      <c r="Y1353" s="2224">
        <v>40800</v>
      </c>
      <c r="Z1353" s="2224">
        <v>40800</v>
      </c>
      <c r="AA1353" s="2224">
        <v>40800</v>
      </c>
      <c r="AB1353" s="2224">
        <v>40800</v>
      </c>
      <c r="AC1353" s="2224">
        <v>40800</v>
      </c>
      <c r="AD1353" s="2224">
        <v>40800</v>
      </c>
      <c r="AE1353" s="579"/>
      <c r="AF1353" s="579"/>
      <c r="AG1353" s="579"/>
      <c r="AH1353" s="156"/>
      <c r="AI1353" s="156"/>
      <c r="AJ1353" s="156"/>
      <c r="AK1353" s="156"/>
      <c r="AL1353" s="156"/>
      <c r="AM1353" s="156"/>
      <c r="AN1353" s="156"/>
      <c r="AO1353" s="156"/>
      <c r="AP1353" s="156"/>
      <c r="AQ1353" s="156"/>
      <c r="AR1353" s="156"/>
      <c r="AS1353" s="156"/>
      <c r="AT1353" s="156"/>
      <c r="AU1353" s="156"/>
      <c r="AV1353" s="156"/>
      <c r="AW1353" s="156"/>
      <c r="AX1353" s="156"/>
      <c r="AY1353" s="156"/>
      <c r="AZ1353" s="156"/>
      <c r="BA1353" s="156"/>
      <c r="BB1353" s="2828"/>
      <c r="BC1353" s="452"/>
      <c r="BD1353" s="2829"/>
      <c r="BE1353" s="156"/>
      <c r="BF1353" s="156"/>
    </row>
    <row r="1354" spans="1:58" hidden="1" outlineLevel="1" x14ac:dyDescent="0.35">
      <c r="A1354" s="1071"/>
      <c r="B1354" s="106"/>
      <c r="C1354" s="103"/>
      <c r="D1354" s="4022"/>
      <c r="E1354" s="4148"/>
      <c r="F1354" s="3935" t="str">
        <f>E1323</f>
        <v>DFHP-SEER20-ROF_MF</v>
      </c>
      <c r="G1354" s="3935"/>
      <c r="H1354" s="3936"/>
      <c r="I1354" s="2229"/>
      <c r="J1354" s="2224">
        <v>52800.000000000007</v>
      </c>
      <c r="K1354" s="675">
        <f t="shared" si="253"/>
        <v>4.4000000000000004</v>
      </c>
      <c r="L1354" s="624" t="s">
        <v>1106</v>
      </c>
      <c r="M1354" s="106"/>
      <c r="N1354" s="106"/>
      <c r="O1354" s="106"/>
      <c r="P1354" s="106"/>
      <c r="Q1354" s="106"/>
      <c r="R1354" s="106"/>
      <c r="S1354" s="106"/>
      <c r="T1354" s="106"/>
      <c r="U1354" s="106"/>
      <c r="V1354" s="4022"/>
      <c r="W1354" s="2224">
        <f>$K1354*12000</f>
        <v>52800.000000000007</v>
      </c>
      <c r="X1354" s="2224">
        <v>52800.000000000007</v>
      </c>
      <c r="Y1354" s="2224">
        <v>52800.000000000007</v>
      </c>
      <c r="Z1354" s="2224">
        <v>52800.000000000007</v>
      </c>
      <c r="AA1354" s="2224">
        <v>52800.000000000007</v>
      </c>
      <c r="AB1354" s="2224">
        <v>52800.000000000007</v>
      </c>
      <c r="AC1354" s="2224">
        <v>52800.000000000007</v>
      </c>
      <c r="AD1354" s="2224">
        <v>52800.000000000007</v>
      </c>
      <c r="AE1354" s="2224"/>
      <c r="AF1354" s="2224"/>
      <c r="AG1354" s="2224"/>
      <c r="AH1354" s="156"/>
      <c r="AI1354" s="156"/>
      <c r="AJ1354" s="156"/>
      <c r="AK1354" s="156"/>
      <c r="AL1354" s="156"/>
      <c r="AM1354" s="156"/>
      <c r="AN1354" s="156"/>
      <c r="AO1354" s="156"/>
      <c r="AP1354" s="156"/>
      <c r="AQ1354" s="156"/>
      <c r="AR1354" s="156"/>
      <c r="AS1354" s="156"/>
      <c r="AT1354" s="156"/>
      <c r="AU1354" s="156"/>
      <c r="AV1354" s="156"/>
      <c r="AW1354" s="156"/>
      <c r="AX1354" s="156"/>
      <c r="AY1354" s="156"/>
      <c r="AZ1354" s="156"/>
      <c r="BA1354" s="156"/>
      <c r="BB1354" s="2828"/>
      <c r="BC1354" s="452"/>
      <c r="BD1354" s="2829"/>
      <c r="BE1354" s="156"/>
      <c r="BF1354" s="156"/>
    </row>
    <row r="1355" spans="1:58" hidden="1" outlineLevel="1" x14ac:dyDescent="0.35">
      <c r="A1355" s="1071"/>
      <c r="B1355" s="106"/>
      <c r="C1355" s="103"/>
      <c r="D1355" s="4022"/>
      <c r="E1355" s="4148"/>
      <c r="F1355" s="3935" t="str">
        <f>E1325</f>
        <v>DFHP-SEER20-ROF_MF_CompE</v>
      </c>
      <c r="G1355" s="3935"/>
      <c r="H1355" s="3936"/>
      <c r="I1355" s="2229"/>
      <c r="J1355" s="2224">
        <v>52800.000000000007</v>
      </c>
      <c r="K1355" s="675">
        <f t="shared" si="253"/>
        <v>4.4000000000000004</v>
      </c>
      <c r="L1355" s="624"/>
      <c r="M1355" s="106"/>
      <c r="N1355" s="106"/>
      <c r="O1355" s="106"/>
      <c r="P1355" s="106"/>
      <c r="Q1355" s="106"/>
      <c r="R1355" s="106"/>
      <c r="S1355" s="106"/>
      <c r="T1355" s="106"/>
      <c r="U1355" s="106"/>
      <c r="V1355" s="4022"/>
      <c r="W1355" s="2224"/>
      <c r="X1355" s="2224"/>
      <c r="Y1355" s="2224">
        <v>52800.000000000007</v>
      </c>
      <c r="Z1355" s="2224">
        <v>52800.000000000007</v>
      </c>
      <c r="AA1355" s="2224">
        <v>52800.000000000007</v>
      </c>
      <c r="AB1355" s="2224">
        <v>52800.000000000007</v>
      </c>
      <c r="AC1355" s="2224">
        <v>52800.000000000007</v>
      </c>
      <c r="AD1355" s="2224">
        <v>52800.000000000007</v>
      </c>
      <c r="AE1355" s="2224"/>
      <c r="AF1355" s="2224"/>
      <c r="AG1355" s="2224"/>
      <c r="AH1355" s="156"/>
      <c r="AI1355" s="156"/>
      <c r="AJ1355" s="156"/>
      <c r="AK1355" s="156"/>
      <c r="AL1355" s="156"/>
      <c r="AM1355" s="156"/>
      <c r="AN1355" s="156"/>
      <c r="AO1355" s="156"/>
      <c r="AP1355" s="156"/>
      <c r="AQ1355" s="156"/>
      <c r="AR1355" s="156"/>
      <c r="AS1355" s="156"/>
      <c r="AT1355" s="156"/>
      <c r="AU1355" s="156"/>
      <c r="AV1355" s="156"/>
      <c r="AW1355" s="156"/>
      <c r="AX1355" s="156"/>
      <c r="AY1355" s="156"/>
      <c r="AZ1355" s="156"/>
      <c r="BA1355" s="156"/>
      <c r="BB1355" s="2828"/>
      <c r="BC1355" s="452"/>
      <c r="BD1355" s="2829"/>
      <c r="BE1355" s="156"/>
      <c r="BF1355" s="156"/>
    </row>
    <row r="1356" spans="1:58" hidden="1" outlineLevel="1" x14ac:dyDescent="0.35">
      <c r="A1356" s="1071"/>
      <c r="B1356" s="106"/>
      <c r="C1356" s="103"/>
      <c r="D1356" s="4022"/>
      <c r="E1356" s="4148"/>
      <c r="F1356" s="3935" t="str">
        <f>E1327</f>
        <v>DFHP-SEER21-ROF_MF</v>
      </c>
      <c r="G1356" s="3935"/>
      <c r="H1356" s="3936"/>
      <c r="I1356" s="2229"/>
      <c r="J1356" s="2224">
        <v>64800.000000000007</v>
      </c>
      <c r="K1356" s="675">
        <f t="shared" si="253"/>
        <v>5.4</v>
      </c>
      <c r="L1356" s="624" t="s">
        <v>1106</v>
      </c>
      <c r="M1356" s="106"/>
      <c r="N1356" s="106"/>
      <c r="O1356" s="106"/>
      <c r="P1356" s="106"/>
      <c r="Q1356" s="106"/>
      <c r="R1356" s="106"/>
      <c r="S1356" s="106"/>
      <c r="T1356" s="106"/>
      <c r="U1356" s="106"/>
      <c r="V1356" s="4022"/>
      <c r="W1356" s="2224">
        <f>$K1356*12000</f>
        <v>64800.000000000007</v>
      </c>
      <c r="X1356" s="2224">
        <v>64800.000000000007</v>
      </c>
      <c r="Y1356" s="2224">
        <v>64800.000000000007</v>
      </c>
      <c r="Z1356" s="2224">
        <v>64800.000000000007</v>
      </c>
      <c r="AA1356" s="2224">
        <v>64800.000000000007</v>
      </c>
      <c r="AB1356" s="2224">
        <v>64800.000000000007</v>
      </c>
      <c r="AC1356" s="2224">
        <v>64800.000000000007</v>
      </c>
      <c r="AD1356" s="2224">
        <v>64800.000000000007</v>
      </c>
      <c r="AE1356" s="2224"/>
      <c r="AF1356" s="2224"/>
      <c r="AG1356" s="2224"/>
      <c r="AH1356" s="156"/>
      <c r="AI1356" s="156"/>
      <c r="AJ1356" s="156"/>
      <c r="AK1356" s="156"/>
      <c r="AL1356" s="156"/>
      <c r="AM1356" s="156"/>
      <c r="AN1356" s="156"/>
      <c r="AO1356" s="156"/>
      <c r="AP1356" s="156"/>
      <c r="AQ1356" s="156"/>
      <c r="AR1356" s="156"/>
      <c r="AS1356" s="156"/>
      <c r="AT1356" s="156"/>
      <c r="AU1356" s="156"/>
      <c r="AV1356" s="156"/>
      <c r="AW1356" s="156"/>
      <c r="AX1356" s="156"/>
      <c r="AY1356" s="156"/>
      <c r="AZ1356" s="156"/>
      <c r="BA1356" s="156"/>
      <c r="BB1356" s="2828"/>
      <c r="BC1356" s="452"/>
      <c r="BD1356" s="2829"/>
      <c r="BE1356" s="156"/>
      <c r="BF1356" s="156"/>
    </row>
    <row r="1357" spans="1:58" ht="15" hidden="1" outlineLevel="1" thickBot="1" x14ac:dyDescent="0.4">
      <c r="A1357" s="1071"/>
      <c r="B1357" s="106"/>
      <c r="C1357" s="103"/>
      <c r="D1357" s="4104"/>
      <c r="E1357" s="4149"/>
      <c r="F1357" s="3941" t="str">
        <f>E1329</f>
        <v>DFHP-SEER21-ROF_MF_CompE</v>
      </c>
      <c r="G1357" s="3941"/>
      <c r="H1357" s="3942"/>
      <c r="I1357" s="2230"/>
      <c r="J1357" s="2227">
        <v>64800.000000000007</v>
      </c>
      <c r="K1357" s="1314">
        <f t="shared" si="253"/>
        <v>5.4</v>
      </c>
      <c r="L1357" s="649"/>
      <c r="M1357" s="106"/>
      <c r="N1357" s="106"/>
      <c r="O1357" s="106"/>
      <c r="P1357" s="106"/>
      <c r="Q1357" s="106"/>
      <c r="R1357" s="106"/>
      <c r="S1357" s="106"/>
      <c r="T1357" s="106"/>
      <c r="U1357" s="106"/>
      <c r="V1357" s="4022"/>
      <c r="W1357" s="2224"/>
      <c r="X1357" s="2224"/>
      <c r="Y1357" s="2224">
        <v>64800.000000000007</v>
      </c>
      <c r="Z1357" s="2224">
        <v>64800.000000000007</v>
      </c>
      <c r="AA1357" s="2224">
        <v>64800.000000000007</v>
      </c>
      <c r="AB1357" s="2224">
        <v>64800.000000000007</v>
      </c>
      <c r="AC1357" s="2227">
        <v>64800.000000000007</v>
      </c>
      <c r="AD1357" s="2227">
        <v>64800.000000000007</v>
      </c>
      <c r="AE1357" s="2224"/>
      <c r="AF1357" s="2224"/>
      <c r="AG1357" s="2224"/>
      <c r="AH1357" s="156"/>
      <c r="AI1357" s="156"/>
      <c r="AJ1357" s="156"/>
      <c r="AK1357" s="156"/>
      <c r="AL1357" s="156"/>
      <c r="AM1357" s="156"/>
      <c r="AN1357" s="156"/>
      <c r="AO1357" s="156"/>
      <c r="AP1357" s="156"/>
      <c r="AQ1357" s="156"/>
      <c r="AR1357" s="156"/>
      <c r="AS1357" s="156"/>
      <c r="AT1357" s="156"/>
      <c r="AU1357" s="156"/>
      <c r="AV1357" s="156"/>
      <c r="AW1357" s="156"/>
      <c r="AX1357" s="156"/>
      <c r="AY1357" s="156"/>
      <c r="AZ1357" s="156"/>
      <c r="BA1357" s="156"/>
      <c r="BB1357" s="2828"/>
      <c r="BC1357" s="452"/>
      <c r="BD1357" s="2829"/>
      <c r="BE1357" s="156"/>
      <c r="BF1357" s="156"/>
    </row>
    <row r="1358" spans="1:58" hidden="1" outlineLevel="1" x14ac:dyDescent="0.35">
      <c r="A1358" s="1071"/>
      <c r="B1358" s="106"/>
      <c r="C1358" s="103"/>
      <c r="D1358" s="4021" t="s">
        <v>1107</v>
      </c>
      <c r="E1358" s="4147" t="s">
        <v>1108</v>
      </c>
      <c r="F1358" s="4092" t="str">
        <f>$F$1352</f>
        <v>DFHP-SEER19-ROF_MF</v>
      </c>
      <c r="G1358" s="3935"/>
      <c r="H1358" s="3936"/>
      <c r="I1358" s="2229"/>
      <c r="J1358" s="2224">
        <v>1119</v>
      </c>
      <c r="K1358" s="675"/>
      <c r="L1358" s="624" t="s">
        <v>1109</v>
      </c>
      <c r="M1358" s="106"/>
      <c r="N1358" s="106"/>
      <c r="O1358" s="106"/>
      <c r="P1358" s="106"/>
      <c r="Q1358" s="106"/>
      <c r="R1358" s="106"/>
      <c r="S1358" s="106"/>
      <c r="T1358" s="106"/>
      <c r="U1358" s="106"/>
      <c r="V1358" s="4021" t="s">
        <v>1107</v>
      </c>
      <c r="W1358" s="2228">
        <v>1119</v>
      </c>
      <c r="X1358" s="2228">
        <v>1119</v>
      </c>
      <c r="Y1358" s="2228">
        <v>1119</v>
      </c>
      <c r="Z1358" s="2228">
        <v>1119</v>
      </c>
      <c r="AA1358" s="2228">
        <v>1119</v>
      </c>
      <c r="AB1358" s="2228">
        <v>1119</v>
      </c>
      <c r="AC1358" s="2224">
        <v>1119</v>
      </c>
      <c r="AD1358" s="2224">
        <v>1119</v>
      </c>
      <c r="AE1358" s="2228"/>
      <c r="AF1358" s="2228"/>
      <c r="AG1358" s="2228"/>
      <c r="AH1358" s="156"/>
      <c r="AI1358" s="156"/>
      <c r="AJ1358" s="156"/>
      <c r="AK1358" s="156"/>
      <c r="AL1358" s="156"/>
      <c r="AM1358" s="156"/>
      <c r="AN1358" s="156"/>
      <c r="AO1358" s="156"/>
      <c r="AP1358" s="156"/>
      <c r="AQ1358" s="156"/>
      <c r="AR1358" s="156"/>
      <c r="AS1358" s="156"/>
      <c r="AT1358" s="156"/>
      <c r="AU1358" s="156"/>
      <c r="AV1358" s="156"/>
      <c r="AW1358" s="156"/>
      <c r="AX1358" s="156"/>
      <c r="AY1358" s="156"/>
      <c r="AZ1358" s="156"/>
      <c r="BA1358" s="156"/>
      <c r="BB1358" s="2828"/>
      <c r="BC1358" s="452"/>
      <c r="BD1358" s="2829"/>
      <c r="BE1358" s="156"/>
      <c r="BF1358" s="156"/>
    </row>
    <row r="1359" spans="1:58" hidden="1" outlineLevel="1" x14ac:dyDescent="0.35">
      <c r="A1359" s="1071"/>
      <c r="B1359" s="106"/>
      <c r="C1359" s="103"/>
      <c r="D1359" s="4022"/>
      <c r="E1359" s="4148"/>
      <c r="F1359" s="4092" t="str">
        <f>$F$1353</f>
        <v>DFHP-SEER19-ROF_MF_CompE</v>
      </c>
      <c r="G1359" s="3935"/>
      <c r="H1359" s="3936"/>
      <c r="I1359" s="2229"/>
      <c r="J1359" s="2224">
        <v>510</v>
      </c>
      <c r="K1359" s="675"/>
      <c r="L1359" s="624" t="s">
        <v>1110</v>
      </c>
      <c r="M1359" s="106"/>
      <c r="N1359" s="106"/>
      <c r="O1359" s="106"/>
      <c r="P1359" s="106"/>
      <c r="Q1359" s="106"/>
      <c r="R1359" s="106"/>
      <c r="S1359" s="106"/>
      <c r="T1359" s="106"/>
      <c r="U1359" s="106"/>
      <c r="V1359" s="4022"/>
      <c r="W1359" s="579"/>
      <c r="X1359" s="579"/>
      <c r="Y1359" s="2377">
        <v>510</v>
      </c>
      <c r="Z1359" s="579">
        <v>510</v>
      </c>
      <c r="AA1359" s="579">
        <v>510</v>
      </c>
      <c r="AB1359" s="579">
        <v>510</v>
      </c>
      <c r="AC1359" s="2224">
        <v>510</v>
      </c>
      <c r="AD1359" s="2224">
        <v>510</v>
      </c>
      <c r="AE1359" s="579"/>
      <c r="AF1359" s="579"/>
      <c r="AG1359" s="579"/>
      <c r="AH1359" s="156"/>
      <c r="AI1359" s="156"/>
      <c r="AJ1359" s="156"/>
      <c r="AK1359" s="156"/>
      <c r="AL1359" s="156"/>
      <c r="AM1359" s="156"/>
      <c r="AN1359" s="156"/>
      <c r="AO1359" s="156"/>
      <c r="AP1359" s="156"/>
      <c r="AQ1359" s="156"/>
      <c r="AR1359" s="156"/>
      <c r="AS1359" s="156"/>
      <c r="AT1359" s="156"/>
      <c r="AU1359" s="156"/>
      <c r="AV1359" s="156"/>
      <c r="AW1359" s="156"/>
      <c r="AX1359" s="156"/>
      <c r="AY1359" s="156"/>
      <c r="AZ1359" s="156"/>
      <c r="BA1359" s="156"/>
      <c r="BB1359" s="2828"/>
      <c r="BC1359" s="452"/>
      <c r="BD1359" s="2829"/>
      <c r="BE1359" s="156"/>
      <c r="BF1359" s="156"/>
    </row>
    <row r="1360" spans="1:58" hidden="1" outlineLevel="1" x14ac:dyDescent="0.35">
      <c r="A1360" s="1071"/>
      <c r="B1360" s="106"/>
      <c r="C1360" s="103"/>
      <c r="D1360" s="4022"/>
      <c r="E1360" s="4148"/>
      <c r="F1360" s="4092" t="str">
        <f>$F$1354</f>
        <v>DFHP-SEER20-ROF_MF</v>
      </c>
      <c r="G1360" s="3935"/>
      <c r="H1360" s="3936"/>
      <c r="I1360" s="2229"/>
      <c r="J1360" s="2224">
        <v>1119</v>
      </c>
      <c r="K1360" s="675"/>
      <c r="L1360" s="624"/>
      <c r="M1360" s="106"/>
      <c r="N1360" s="106"/>
      <c r="O1360" s="106"/>
      <c r="P1360" s="106"/>
      <c r="Q1360" s="106"/>
      <c r="R1360" s="106"/>
      <c r="S1360" s="106"/>
      <c r="T1360" s="106"/>
      <c r="U1360" s="106"/>
      <c r="V1360" s="4022"/>
      <c r="W1360" s="2224">
        <v>1119</v>
      </c>
      <c r="X1360" s="2224">
        <v>1119</v>
      </c>
      <c r="Y1360" s="2224">
        <v>1119</v>
      </c>
      <c r="Z1360" s="2224">
        <v>1119</v>
      </c>
      <c r="AA1360" s="2224">
        <v>1119</v>
      </c>
      <c r="AB1360" s="2224">
        <v>1119</v>
      </c>
      <c r="AC1360" s="2224">
        <v>1119</v>
      </c>
      <c r="AD1360" s="2224">
        <v>1119</v>
      </c>
      <c r="AE1360" s="2224"/>
      <c r="AF1360" s="2224"/>
      <c r="AG1360" s="2224"/>
      <c r="AH1360" s="156"/>
      <c r="AI1360" s="156"/>
      <c r="AJ1360" s="156"/>
      <c r="AK1360" s="156"/>
      <c r="AL1360" s="156"/>
      <c r="AM1360" s="156"/>
      <c r="AN1360" s="156"/>
      <c r="AO1360" s="156"/>
      <c r="AP1360" s="156"/>
      <c r="AQ1360" s="156"/>
      <c r="AR1360" s="156"/>
      <c r="AS1360" s="156"/>
      <c r="AT1360" s="156"/>
      <c r="AU1360" s="156"/>
      <c r="AV1360" s="156"/>
      <c r="AW1360" s="156"/>
      <c r="AX1360" s="156"/>
      <c r="AY1360" s="156"/>
      <c r="AZ1360" s="156"/>
      <c r="BA1360" s="156"/>
      <c r="BB1360" s="2828"/>
      <c r="BC1360" s="452"/>
      <c r="BD1360" s="2829"/>
      <c r="BE1360" s="156"/>
      <c r="BF1360" s="156"/>
    </row>
    <row r="1361" spans="1:58" hidden="1" outlineLevel="1" x14ac:dyDescent="0.35">
      <c r="A1361" s="1071"/>
      <c r="B1361" s="106"/>
      <c r="C1361" s="103"/>
      <c r="D1361" s="4022"/>
      <c r="E1361" s="4148"/>
      <c r="F1361" s="4092" t="str">
        <f>$F$1355</f>
        <v>DFHP-SEER20-ROF_MF_CompE</v>
      </c>
      <c r="G1361" s="3935"/>
      <c r="H1361" s="3936"/>
      <c r="I1361" s="2229"/>
      <c r="J1361" s="2224">
        <v>510</v>
      </c>
      <c r="K1361" s="675"/>
      <c r="L1361" s="624" t="s">
        <v>1110</v>
      </c>
      <c r="M1361" s="106"/>
      <c r="N1361" s="106"/>
      <c r="O1361" s="106"/>
      <c r="P1361" s="106"/>
      <c r="Q1361" s="106"/>
      <c r="R1361" s="106"/>
      <c r="S1361" s="106"/>
      <c r="T1361" s="106"/>
      <c r="U1361" s="106"/>
      <c r="V1361" s="4022"/>
      <c r="W1361" s="2224"/>
      <c r="X1361" s="2224"/>
      <c r="Y1361" s="2377">
        <v>510</v>
      </c>
      <c r="Z1361" s="579">
        <v>510</v>
      </c>
      <c r="AA1361" s="579">
        <v>510</v>
      </c>
      <c r="AB1361" s="579">
        <v>510</v>
      </c>
      <c r="AC1361" s="2224">
        <v>510</v>
      </c>
      <c r="AD1361" s="2224">
        <v>510</v>
      </c>
      <c r="AE1361" s="2224"/>
      <c r="AF1361" s="2224"/>
      <c r="AG1361" s="2224"/>
      <c r="AH1361" s="156"/>
      <c r="AI1361" s="156"/>
      <c r="AJ1361" s="156"/>
      <c r="AK1361" s="156"/>
      <c r="AL1361" s="156"/>
      <c r="AM1361" s="156"/>
      <c r="AN1361" s="156"/>
      <c r="AO1361" s="156"/>
      <c r="AP1361" s="156"/>
      <c r="AQ1361" s="156"/>
      <c r="AR1361" s="156"/>
      <c r="AS1361" s="156"/>
      <c r="AT1361" s="156"/>
      <c r="AU1361" s="156"/>
      <c r="AV1361" s="156"/>
      <c r="AW1361" s="156"/>
      <c r="AX1361" s="156"/>
      <c r="AY1361" s="156"/>
      <c r="AZ1361" s="156"/>
      <c r="BA1361" s="156"/>
      <c r="BB1361" s="2828"/>
      <c r="BC1361" s="452"/>
      <c r="BD1361" s="2829"/>
      <c r="BE1361" s="156"/>
      <c r="BF1361" s="156"/>
    </row>
    <row r="1362" spans="1:58" hidden="1" outlineLevel="1" x14ac:dyDescent="0.35">
      <c r="A1362" s="1071"/>
      <c r="B1362" s="106"/>
      <c r="C1362" s="103"/>
      <c r="D1362" s="4022"/>
      <c r="E1362" s="4148"/>
      <c r="F1362" s="4092" t="str">
        <f>$F$1356</f>
        <v>DFHP-SEER21-ROF_MF</v>
      </c>
      <c r="G1362" s="3935"/>
      <c r="H1362" s="3936"/>
      <c r="I1362" s="2229"/>
      <c r="J1362" s="2224">
        <v>1119</v>
      </c>
      <c r="K1362" s="675"/>
      <c r="L1362" s="624"/>
      <c r="M1362" s="106"/>
      <c r="N1362" s="106"/>
      <c r="O1362" s="106"/>
      <c r="P1362" s="106"/>
      <c r="Q1362" s="106"/>
      <c r="R1362" s="106"/>
      <c r="S1362" s="106"/>
      <c r="T1362" s="106"/>
      <c r="U1362" s="106"/>
      <c r="V1362" s="4022"/>
      <c r="W1362" s="2224">
        <v>1119</v>
      </c>
      <c r="X1362" s="2224">
        <v>1119</v>
      </c>
      <c r="Y1362" s="2224">
        <v>1119</v>
      </c>
      <c r="Z1362" s="2224">
        <v>1119</v>
      </c>
      <c r="AA1362" s="2224">
        <v>1119</v>
      </c>
      <c r="AB1362" s="2224">
        <v>1119</v>
      </c>
      <c r="AC1362" s="2224">
        <v>1119</v>
      </c>
      <c r="AD1362" s="2224">
        <v>1119</v>
      </c>
      <c r="AE1362" s="2224"/>
      <c r="AF1362" s="2224"/>
      <c r="AG1362" s="2224"/>
      <c r="AH1362" s="156"/>
      <c r="AI1362" s="156"/>
      <c r="AJ1362" s="156"/>
      <c r="AK1362" s="156"/>
      <c r="AL1362" s="156"/>
      <c r="AM1362" s="156"/>
      <c r="AN1362" s="156"/>
      <c r="AO1362" s="156"/>
      <c r="AP1362" s="156"/>
      <c r="AQ1362" s="156"/>
      <c r="AR1362" s="156"/>
      <c r="AS1362" s="156"/>
      <c r="AT1362" s="156"/>
      <c r="AU1362" s="156"/>
      <c r="AV1362" s="156"/>
      <c r="AW1362" s="156"/>
      <c r="AX1362" s="156"/>
      <c r="AY1362" s="156"/>
      <c r="AZ1362" s="156"/>
      <c r="BA1362" s="156"/>
      <c r="BB1362" s="2828"/>
      <c r="BC1362" s="452"/>
      <c r="BD1362" s="2829"/>
      <c r="BE1362" s="156"/>
      <c r="BF1362" s="156"/>
    </row>
    <row r="1363" spans="1:58" ht="15" hidden="1" outlineLevel="1" thickBot="1" x14ac:dyDescent="0.4">
      <c r="A1363" s="1071"/>
      <c r="B1363" s="106"/>
      <c r="C1363" s="103"/>
      <c r="D1363" s="4104"/>
      <c r="E1363" s="4149"/>
      <c r="F1363" s="4093" t="str">
        <f>$F$1357</f>
        <v>DFHP-SEER21-ROF_MF_CompE</v>
      </c>
      <c r="G1363" s="3941"/>
      <c r="H1363" s="3942"/>
      <c r="I1363" s="2230"/>
      <c r="J1363" s="2227">
        <v>510</v>
      </c>
      <c r="K1363" s="1314"/>
      <c r="L1363" s="649" t="s">
        <v>1110</v>
      </c>
      <c r="M1363" s="106"/>
      <c r="N1363" s="106"/>
      <c r="O1363" s="106"/>
      <c r="P1363" s="106"/>
      <c r="Q1363" s="106"/>
      <c r="R1363" s="106"/>
      <c r="S1363" s="106"/>
      <c r="T1363" s="106"/>
      <c r="U1363" s="106"/>
      <c r="V1363" s="4022"/>
      <c r="W1363" s="2224">
        <v>1119</v>
      </c>
      <c r="X1363" s="2224">
        <v>1119</v>
      </c>
      <c r="Y1363" s="2377">
        <v>510</v>
      </c>
      <c r="Z1363" s="579">
        <v>510</v>
      </c>
      <c r="AA1363" s="579">
        <v>510</v>
      </c>
      <c r="AB1363" s="579">
        <v>510</v>
      </c>
      <c r="AC1363" s="2227">
        <v>510</v>
      </c>
      <c r="AD1363" s="2227">
        <v>510</v>
      </c>
      <c r="AE1363" s="2224"/>
      <c r="AF1363" s="2224"/>
      <c r="AG1363" s="2224"/>
      <c r="AH1363" s="156"/>
      <c r="AI1363" s="156"/>
      <c r="AJ1363" s="156"/>
      <c r="AK1363" s="156"/>
      <c r="AL1363" s="156"/>
      <c r="AM1363" s="156"/>
      <c r="AN1363" s="156"/>
      <c r="AO1363" s="156"/>
      <c r="AP1363" s="156"/>
      <c r="AQ1363" s="156"/>
      <c r="AR1363" s="156"/>
      <c r="AS1363" s="156"/>
      <c r="AT1363" s="156"/>
      <c r="AU1363" s="156"/>
      <c r="AV1363" s="156"/>
      <c r="AW1363" s="156"/>
      <c r="AX1363" s="156"/>
      <c r="AY1363" s="156"/>
      <c r="AZ1363" s="156"/>
      <c r="BA1363" s="156"/>
      <c r="BB1363" s="2828"/>
      <c r="BC1363" s="452"/>
      <c r="BD1363" s="2829"/>
      <c r="BE1363" s="156"/>
      <c r="BF1363" s="156"/>
    </row>
    <row r="1364" spans="1:58" hidden="1" outlineLevel="1" x14ac:dyDescent="0.35">
      <c r="A1364" s="1071"/>
      <c r="B1364" s="106"/>
      <c r="C1364" s="103"/>
      <c r="D1364" s="4021" t="s">
        <v>1111</v>
      </c>
      <c r="E1364" s="4147" t="s">
        <v>1112</v>
      </c>
      <c r="F1364" s="4092" t="str">
        <f>$F$1352</f>
        <v>DFHP-SEER19-ROF_MF</v>
      </c>
      <c r="G1364" s="3935"/>
      <c r="H1364" s="3936"/>
      <c r="I1364" s="2229"/>
      <c r="J1364" s="2224">
        <v>8.1999999999999993</v>
      </c>
      <c r="K1364" s="675"/>
      <c r="L1364" s="624" t="s">
        <v>977</v>
      </c>
      <c r="M1364" s="106"/>
      <c r="N1364" s="106"/>
      <c r="O1364" s="106"/>
      <c r="P1364" s="106"/>
      <c r="Q1364" s="106"/>
      <c r="R1364" s="106"/>
      <c r="S1364" s="106"/>
      <c r="T1364" s="106"/>
      <c r="U1364" s="106"/>
      <c r="V1364" s="4021" t="s">
        <v>1111</v>
      </c>
      <c r="W1364" s="2228">
        <v>8.1999999999999993</v>
      </c>
      <c r="X1364" s="2228">
        <v>8.1999999999999993</v>
      </c>
      <c r="Y1364" s="2228">
        <v>8.1999999999999993</v>
      </c>
      <c r="Z1364" s="2228">
        <v>8.1999999999999993</v>
      </c>
      <c r="AA1364" s="2228">
        <v>8.1999999999999993</v>
      </c>
      <c r="AB1364" s="2228">
        <v>8.1999999999999993</v>
      </c>
      <c r="AC1364" s="2224">
        <v>8.1999999999999993</v>
      </c>
      <c r="AD1364" s="2224">
        <v>8.1999999999999993</v>
      </c>
      <c r="AE1364" s="2228"/>
      <c r="AF1364" s="2228"/>
      <c r="AG1364" s="2228"/>
      <c r="AH1364" s="156"/>
      <c r="AI1364" s="156"/>
      <c r="AJ1364" s="156"/>
      <c r="AK1364" s="156"/>
      <c r="AL1364" s="156"/>
      <c r="AM1364" s="156"/>
      <c r="AN1364" s="156"/>
      <c r="AO1364" s="156"/>
      <c r="AP1364" s="156"/>
      <c r="AQ1364" s="156"/>
      <c r="AR1364" s="156"/>
      <c r="AS1364" s="156"/>
      <c r="AT1364" s="156"/>
      <c r="AU1364" s="156"/>
      <c r="AV1364" s="156"/>
      <c r="AW1364" s="156"/>
      <c r="AX1364" s="156"/>
      <c r="AY1364" s="156"/>
      <c r="AZ1364" s="156"/>
      <c r="BA1364" s="156"/>
      <c r="BB1364" s="2828"/>
      <c r="BC1364" s="452"/>
      <c r="BD1364" s="2829"/>
      <c r="BE1364" s="156"/>
      <c r="BF1364" s="156"/>
    </row>
    <row r="1365" spans="1:58" hidden="1" outlineLevel="1" x14ac:dyDescent="0.35">
      <c r="A1365" s="1071"/>
      <c r="B1365" s="106"/>
      <c r="C1365" s="103"/>
      <c r="D1365" s="4022"/>
      <c r="E1365" s="4148"/>
      <c r="F1365" s="3935" t="str">
        <f>$F$1353</f>
        <v>DFHP-SEER19-ROF_MF_CompE</v>
      </c>
      <c r="G1365" s="3935"/>
      <c r="H1365" s="3936"/>
      <c r="I1365" s="660"/>
      <c r="J1365" s="2224">
        <v>8.1999999999999993</v>
      </c>
      <c r="K1365" s="675"/>
      <c r="L1365" s="658"/>
      <c r="M1365" s="106"/>
      <c r="N1365" s="106"/>
      <c r="O1365" s="106"/>
      <c r="P1365" s="106"/>
      <c r="Q1365" s="106"/>
      <c r="R1365" s="106"/>
      <c r="S1365" s="106"/>
      <c r="T1365" s="106"/>
      <c r="U1365" s="106"/>
      <c r="V1365" s="4022"/>
      <c r="W1365" s="579"/>
      <c r="X1365" s="579"/>
      <c r="Y1365" s="2377">
        <v>8.1999999999999993</v>
      </c>
      <c r="Z1365" s="579">
        <v>8.1999999999999993</v>
      </c>
      <c r="AA1365" s="579">
        <v>8.1999999999999993</v>
      </c>
      <c r="AB1365" s="579">
        <v>8.1999999999999993</v>
      </c>
      <c r="AC1365" s="2224">
        <v>8.1999999999999993</v>
      </c>
      <c r="AD1365" s="2224">
        <v>8.1999999999999993</v>
      </c>
      <c r="AE1365" s="579"/>
      <c r="AF1365" s="579"/>
      <c r="AG1365" s="579"/>
      <c r="AH1365" s="156"/>
      <c r="AI1365" s="156"/>
      <c r="AJ1365" s="156"/>
      <c r="AK1365" s="156"/>
      <c r="AL1365" s="156"/>
      <c r="AM1365" s="156"/>
      <c r="AN1365" s="156"/>
      <c r="AO1365" s="156"/>
      <c r="AP1365" s="156"/>
      <c r="AQ1365" s="156"/>
      <c r="AR1365" s="156"/>
      <c r="AS1365" s="156"/>
      <c r="AT1365" s="156"/>
      <c r="AU1365" s="156"/>
      <c r="AV1365" s="156"/>
      <c r="AW1365" s="156"/>
      <c r="AX1365" s="156"/>
      <c r="AY1365" s="156"/>
      <c r="AZ1365" s="156"/>
      <c r="BA1365" s="156"/>
      <c r="BB1365" s="2828"/>
      <c r="BC1365" s="452"/>
      <c r="BD1365" s="2829"/>
      <c r="BE1365" s="156"/>
      <c r="BF1365" s="156"/>
    </row>
    <row r="1366" spans="1:58" hidden="1" outlineLevel="1" x14ac:dyDescent="0.35">
      <c r="A1366" s="1071"/>
      <c r="B1366" s="106"/>
      <c r="C1366" s="103"/>
      <c r="D1366" s="4022"/>
      <c r="E1366" s="4148"/>
      <c r="F1366" s="3935" t="str">
        <f>$F$1354</f>
        <v>DFHP-SEER20-ROF_MF</v>
      </c>
      <c r="G1366" s="3935"/>
      <c r="H1366" s="3936"/>
      <c r="I1366" s="2229"/>
      <c r="J1366" s="2224">
        <v>8.1999999999999993</v>
      </c>
      <c r="K1366" s="675"/>
      <c r="L1366" s="624" t="s">
        <v>977</v>
      </c>
      <c r="M1366" s="106"/>
      <c r="N1366" s="106"/>
      <c r="O1366" s="106"/>
      <c r="P1366" s="106"/>
      <c r="Q1366" s="106"/>
      <c r="R1366" s="106"/>
      <c r="S1366" s="106"/>
      <c r="T1366" s="106"/>
      <c r="U1366" s="106"/>
      <c r="V1366" s="4022"/>
      <c r="W1366" s="2224">
        <v>8.1999999999999993</v>
      </c>
      <c r="X1366" s="2224">
        <v>8.1999999999999993</v>
      </c>
      <c r="Y1366" s="2224">
        <v>8.1999999999999993</v>
      </c>
      <c r="Z1366" s="2224">
        <v>8.1999999999999993</v>
      </c>
      <c r="AA1366" s="2224">
        <v>8.1999999999999993</v>
      </c>
      <c r="AB1366" s="2224">
        <v>8.1999999999999993</v>
      </c>
      <c r="AC1366" s="2224">
        <v>8.1999999999999993</v>
      </c>
      <c r="AD1366" s="2224">
        <v>8.1999999999999993</v>
      </c>
      <c r="AE1366" s="2224"/>
      <c r="AF1366" s="2224"/>
      <c r="AG1366" s="2224"/>
      <c r="AH1366" s="156"/>
      <c r="AI1366" s="156"/>
      <c r="AJ1366" s="156"/>
      <c r="AK1366" s="156"/>
      <c r="AL1366" s="156"/>
      <c r="AM1366" s="156"/>
      <c r="AN1366" s="156"/>
      <c r="AO1366" s="156"/>
      <c r="AP1366" s="156"/>
      <c r="AQ1366" s="156"/>
      <c r="AR1366" s="156"/>
      <c r="AS1366" s="156"/>
      <c r="AT1366" s="156"/>
      <c r="AU1366" s="156"/>
      <c r="AV1366" s="156"/>
      <c r="AW1366" s="156"/>
      <c r="AX1366" s="156"/>
      <c r="AY1366" s="156"/>
      <c r="AZ1366" s="156"/>
      <c r="BA1366" s="156"/>
      <c r="BB1366" s="2828"/>
      <c r="BC1366" s="452"/>
      <c r="BD1366" s="2829"/>
      <c r="BE1366" s="156"/>
      <c r="BF1366" s="156"/>
    </row>
    <row r="1367" spans="1:58" hidden="1" outlineLevel="1" x14ac:dyDescent="0.35">
      <c r="A1367" s="1071"/>
      <c r="B1367" s="106"/>
      <c r="C1367" s="103"/>
      <c r="D1367" s="4022"/>
      <c r="E1367" s="4148"/>
      <c r="F1367" s="3935" t="str">
        <f>$F$1355</f>
        <v>DFHP-SEER20-ROF_MF_CompE</v>
      </c>
      <c r="G1367" s="3935"/>
      <c r="H1367" s="3936"/>
      <c r="I1367" s="2229"/>
      <c r="J1367" s="2224">
        <v>8.1999999999999993</v>
      </c>
      <c r="K1367" s="675"/>
      <c r="L1367" s="624"/>
      <c r="M1367" s="106"/>
      <c r="N1367" s="106"/>
      <c r="O1367" s="106"/>
      <c r="P1367" s="106"/>
      <c r="Q1367" s="106"/>
      <c r="R1367" s="106"/>
      <c r="S1367" s="106"/>
      <c r="T1367" s="106"/>
      <c r="U1367" s="106"/>
      <c r="V1367" s="4022"/>
      <c r="W1367" s="2224"/>
      <c r="X1367" s="2224"/>
      <c r="Y1367" s="2374">
        <v>8.1999999999999993</v>
      </c>
      <c r="Z1367" s="2224">
        <v>8.1999999999999993</v>
      </c>
      <c r="AA1367" s="2224">
        <v>8.1999999999999993</v>
      </c>
      <c r="AB1367" s="2224">
        <v>8.1999999999999993</v>
      </c>
      <c r="AC1367" s="2224">
        <v>8.1999999999999993</v>
      </c>
      <c r="AD1367" s="2224">
        <v>8.1999999999999993</v>
      </c>
      <c r="AE1367" s="2224"/>
      <c r="AF1367" s="2224"/>
      <c r="AG1367" s="2224"/>
      <c r="AH1367" s="156"/>
      <c r="AI1367" s="156"/>
      <c r="AJ1367" s="156"/>
      <c r="AK1367" s="156"/>
      <c r="AL1367" s="156"/>
      <c r="AM1367" s="156"/>
      <c r="AN1367" s="156"/>
      <c r="AO1367" s="156"/>
      <c r="AP1367" s="156"/>
      <c r="AQ1367" s="156"/>
      <c r="AR1367" s="156"/>
      <c r="AS1367" s="156"/>
      <c r="AT1367" s="156"/>
      <c r="AU1367" s="156"/>
      <c r="AV1367" s="156"/>
      <c r="AW1367" s="156"/>
      <c r="AX1367" s="156"/>
      <c r="AY1367" s="156"/>
      <c r="AZ1367" s="156"/>
      <c r="BA1367" s="156"/>
      <c r="BB1367" s="2828"/>
      <c r="BC1367" s="452"/>
      <c r="BD1367" s="2829"/>
      <c r="BE1367" s="156"/>
      <c r="BF1367" s="156"/>
    </row>
    <row r="1368" spans="1:58" hidden="1" outlineLevel="1" x14ac:dyDescent="0.35">
      <c r="A1368" s="1071"/>
      <c r="B1368" s="106"/>
      <c r="C1368" s="103"/>
      <c r="D1368" s="4022"/>
      <c r="E1368" s="4148"/>
      <c r="F1368" s="3935" t="str">
        <f>$F$1356</f>
        <v>DFHP-SEER21-ROF_MF</v>
      </c>
      <c r="G1368" s="3935"/>
      <c r="H1368" s="3936"/>
      <c r="I1368" s="2229"/>
      <c r="J1368" s="2224">
        <v>8.1999999999999993</v>
      </c>
      <c r="K1368" s="675"/>
      <c r="L1368" s="624" t="s">
        <v>977</v>
      </c>
      <c r="M1368" s="106"/>
      <c r="N1368" s="106"/>
      <c r="O1368" s="106"/>
      <c r="P1368" s="106"/>
      <c r="Q1368" s="106"/>
      <c r="R1368" s="486"/>
      <c r="S1368" s="106"/>
      <c r="T1368" s="106"/>
      <c r="U1368" s="106"/>
      <c r="V1368" s="4022"/>
      <c r="W1368" s="2224">
        <v>8.1999999999999993</v>
      </c>
      <c r="X1368" s="2224">
        <v>8.1999999999999993</v>
      </c>
      <c r="Y1368" s="2224">
        <v>8.1999999999999993</v>
      </c>
      <c r="Z1368" s="2224">
        <v>8.1999999999999993</v>
      </c>
      <c r="AA1368" s="2224">
        <v>8.1999999999999993</v>
      </c>
      <c r="AB1368" s="2224">
        <v>8.1999999999999993</v>
      </c>
      <c r="AC1368" s="2224">
        <v>8.1999999999999993</v>
      </c>
      <c r="AD1368" s="2224">
        <v>8.1999999999999993</v>
      </c>
      <c r="AE1368" s="2224"/>
      <c r="AF1368" s="2224"/>
      <c r="AG1368" s="2224"/>
      <c r="AH1368" s="156"/>
      <c r="AI1368" s="156"/>
      <c r="AJ1368" s="156"/>
      <c r="AK1368" s="156"/>
      <c r="AL1368" s="156"/>
      <c r="AM1368" s="156"/>
      <c r="AN1368" s="156"/>
      <c r="AO1368" s="156"/>
      <c r="AP1368" s="156"/>
      <c r="AQ1368" s="156"/>
      <c r="AR1368" s="156"/>
      <c r="AS1368" s="156"/>
      <c r="AT1368" s="156"/>
      <c r="AU1368" s="156"/>
      <c r="AV1368" s="156"/>
      <c r="AW1368" s="156"/>
      <c r="AX1368" s="156"/>
      <c r="AY1368" s="156"/>
      <c r="AZ1368" s="156"/>
      <c r="BA1368" s="156"/>
      <c r="BB1368" s="2828"/>
      <c r="BC1368" s="452"/>
      <c r="BD1368" s="2829"/>
      <c r="BE1368" s="156"/>
      <c r="BF1368" s="156"/>
    </row>
    <row r="1369" spans="1:58" ht="15" hidden="1" outlineLevel="1" thickBot="1" x14ac:dyDescent="0.4">
      <c r="A1369" s="1071"/>
      <c r="B1369" s="106"/>
      <c r="C1369" s="103"/>
      <c r="D1369" s="4104"/>
      <c r="E1369" s="4149"/>
      <c r="F1369" s="4089" t="str">
        <f>$F$1357</f>
        <v>DFHP-SEER21-ROF_MF_CompE</v>
      </c>
      <c r="G1369" s="4089"/>
      <c r="H1369" s="4090"/>
      <c r="I1369" s="1538"/>
      <c r="J1369" s="576">
        <v>8.1999999999999993</v>
      </c>
      <c r="K1369" s="1539"/>
      <c r="L1369" s="2786"/>
      <c r="M1369" s="106"/>
      <c r="N1369" s="106"/>
      <c r="O1369" s="106"/>
      <c r="P1369" s="106"/>
      <c r="Q1369" s="106"/>
      <c r="R1369" s="486"/>
      <c r="S1369" s="106"/>
      <c r="T1369" s="106"/>
      <c r="U1369" s="106"/>
      <c r="V1369" s="4022"/>
      <c r="W1369" s="2224"/>
      <c r="X1369" s="2224"/>
      <c r="Y1369" s="2374">
        <v>8.1999999999999993</v>
      </c>
      <c r="Z1369" s="2224">
        <v>8.1999999999999993</v>
      </c>
      <c r="AA1369" s="2224">
        <v>8.1999999999999993</v>
      </c>
      <c r="AB1369" s="2224">
        <v>8.1999999999999993</v>
      </c>
      <c r="AC1369" s="576">
        <v>8.1999999999999993</v>
      </c>
      <c r="AD1369" s="576">
        <v>8.1999999999999993</v>
      </c>
      <c r="AE1369" s="2224"/>
      <c r="AF1369" s="2224"/>
      <c r="AG1369" s="2224"/>
      <c r="AH1369" s="156"/>
      <c r="AI1369" s="156"/>
      <c r="AJ1369" s="156"/>
      <c r="AK1369" s="156"/>
      <c r="AL1369" s="156"/>
      <c r="AM1369" s="156"/>
      <c r="AN1369" s="156"/>
      <c r="AO1369" s="156"/>
      <c r="AP1369" s="156"/>
      <c r="AQ1369" s="156"/>
      <c r="AR1369" s="156"/>
      <c r="AS1369" s="156"/>
      <c r="AT1369" s="156"/>
      <c r="AU1369" s="156"/>
      <c r="AV1369" s="156"/>
      <c r="AW1369" s="156"/>
      <c r="AX1369" s="156"/>
      <c r="AY1369" s="156"/>
      <c r="AZ1369" s="156"/>
      <c r="BA1369" s="156"/>
      <c r="BB1369" s="2828"/>
      <c r="BC1369" s="452"/>
      <c r="BD1369" s="2829"/>
      <c r="BE1369" s="156"/>
      <c r="BF1369" s="156"/>
    </row>
    <row r="1370" spans="1:58" hidden="1" outlineLevel="1" x14ac:dyDescent="0.35">
      <c r="A1370" s="1071"/>
      <c r="B1370" s="106"/>
      <c r="C1370" s="103"/>
      <c r="D1370" s="4021" t="s">
        <v>1113</v>
      </c>
      <c r="E1370" s="4147" t="s">
        <v>1114</v>
      </c>
      <c r="F1370" s="4091" t="str">
        <f>$F$1352</f>
        <v>DFHP-SEER19-ROF_MF</v>
      </c>
      <c r="G1370" s="3944"/>
      <c r="H1370" s="3945"/>
      <c r="I1370" s="2231"/>
      <c r="J1370" s="2228">
        <v>10</v>
      </c>
      <c r="K1370" s="680"/>
      <c r="L1370" s="621" t="s">
        <v>1115</v>
      </c>
      <c r="M1370" s="106"/>
      <c r="N1370" s="106"/>
      <c r="O1370" s="106"/>
      <c r="P1370" s="106"/>
      <c r="Q1370" s="106"/>
      <c r="R1370" s="486"/>
      <c r="S1370" s="106"/>
      <c r="T1370" s="106"/>
      <c r="U1370" s="106"/>
      <c r="V1370" s="4021" t="s">
        <v>1113</v>
      </c>
      <c r="W1370" s="2228">
        <v>10</v>
      </c>
      <c r="X1370" s="2228">
        <v>10</v>
      </c>
      <c r="Y1370" s="2228">
        <v>10</v>
      </c>
      <c r="Z1370" s="2228">
        <v>10</v>
      </c>
      <c r="AA1370" s="2228">
        <v>10</v>
      </c>
      <c r="AB1370" s="2228">
        <v>10</v>
      </c>
      <c r="AC1370" s="2228">
        <v>10</v>
      </c>
      <c r="AD1370" s="2228">
        <v>10</v>
      </c>
      <c r="AE1370" s="2228"/>
      <c r="AF1370" s="2228"/>
      <c r="AG1370" s="2228"/>
      <c r="AH1370" s="156"/>
      <c r="AI1370" s="156"/>
      <c r="AJ1370" s="156"/>
      <c r="AK1370" s="156"/>
      <c r="AL1370" s="156"/>
      <c r="AM1370" s="156"/>
      <c r="AN1370" s="156"/>
      <c r="AO1370" s="156"/>
      <c r="AP1370" s="156"/>
      <c r="AQ1370" s="156"/>
      <c r="AR1370" s="156"/>
      <c r="AS1370" s="156"/>
      <c r="AT1370" s="156"/>
      <c r="AU1370" s="156"/>
      <c r="AV1370" s="156"/>
      <c r="AW1370" s="156"/>
      <c r="AX1370" s="156"/>
      <c r="AY1370" s="156"/>
      <c r="AZ1370" s="156"/>
      <c r="BA1370" s="156"/>
      <c r="BB1370" s="2828"/>
      <c r="BC1370" s="452"/>
      <c r="BD1370" s="2829"/>
      <c r="BE1370" s="156"/>
      <c r="BF1370" s="156"/>
    </row>
    <row r="1371" spans="1:58" hidden="1" outlineLevel="1" x14ac:dyDescent="0.35">
      <c r="A1371" s="1071"/>
      <c r="B1371" s="106"/>
      <c r="C1371" s="103"/>
      <c r="D1371" s="4022"/>
      <c r="E1371" s="4148"/>
      <c r="F1371" s="4092" t="str">
        <f>$F$1353</f>
        <v>DFHP-SEER19-ROF_MF_CompE</v>
      </c>
      <c r="G1371" s="3935"/>
      <c r="H1371" s="3936"/>
      <c r="I1371" s="660"/>
      <c r="J1371" s="2224">
        <v>10</v>
      </c>
      <c r="K1371" s="675"/>
      <c r="L1371" s="658"/>
      <c r="M1371" s="106"/>
      <c r="N1371" s="106"/>
      <c r="O1371" s="106"/>
      <c r="P1371" s="106"/>
      <c r="Q1371" s="106"/>
      <c r="R1371" s="486"/>
      <c r="S1371" s="106"/>
      <c r="T1371" s="106"/>
      <c r="U1371" s="106"/>
      <c r="V1371" s="4022"/>
      <c r="W1371" s="579"/>
      <c r="X1371" s="579"/>
      <c r="Y1371" s="2374">
        <v>10</v>
      </c>
      <c r="Z1371" s="2224">
        <v>10</v>
      </c>
      <c r="AA1371" s="2224">
        <v>10</v>
      </c>
      <c r="AB1371" s="2224">
        <v>10</v>
      </c>
      <c r="AC1371" s="2224">
        <v>10</v>
      </c>
      <c r="AD1371" s="2224">
        <v>10</v>
      </c>
      <c r="AE1371" s="579"/>
      <c r="AF1371" s="579"/>
      <c r="AG1371" s="579"/>
      <c r="AH1371" s="156"/>
      <c r="AI1371" s="156"/>
      <c r="AJ1371" s="156"/>
      <c r="AK1371" s="156"/>
      <c r="AL1371" s="156"/>
      <c r="AM1371" s="156"/>
      <c r="AN1371" s="156"/>
      <c r="AO1371" s="156"/>
      <c r="AP1371" s="156"/>
      <c r="AQ1371" s="156"/>
      <c r="AR1371" s="156"/>
      <c r="AS1371" s="156"/>
      <c r="AT1371" s="156"/>
      <c r="AU1371" s="156"/>
      <c r="AV1371" s="156"/>
      <c r="AW1371" s="156"/>
      <c r="AX1371" s="156"/>
      <c r="AY1371" s="156"/>
      <c r="AZ1371" s="156"/>
      <c r="BA1371" s="156"/>
      <c r="BB1371" s="2828"/>
      <c r="BC1371" s="452"/>
      <c r="BD1371" s="2829"/>
      <c r="BE1371" s="156"/>
      <c r="BF1371" s="156"/>
    </row>
    <row r="1372" spans="1:58" hidden="1" outlineLevel="1" x14ac:dyDescent="0.35">
      <c r="A1372" s="1071"/>
      <c r="B1372" s="106"/>
      <c r="C1372" s="103"/>
      <c r="D1372" s="4022"/>
      <c r="E1372" s="4148"/>
      <c r="F1372" s="4092" t="str">
        <f>$F$1354</f>
        <v>DFHP-SEER20-ROF_MF</v>
      </c>
      <c r="G1372" s="3935"/>
      <c r="H1372" s="3936"/>
      <c r="I1372" s="2229"/>
      <c r="J1372" s="2224">
        <v>10.4</v>
      </c>
      <c r="K1372" s="675"/>
      <c r="L1372" s="624" t="s">
        <v>1115</v>
      </c>
      <c r="M1372" s="106"/>
      <c r="N1372" s="106"/>
      <c r="O1372" s="106"/>
      <c r="P1372" s="106"/>
      <c r="Q1372" s="106"/>
      <c r="R1372" s="486"/>
      <c r="S1372" s="106"/>
      <c r="T1372" s="106"/>
      <c r="U1372" s="106"/>
      <c r="V1372" s="4022"/>
      <c r="W1372" s="2224">
        <v>10.4</v>
      </c>
      <c r="X1372" s="2224">
        <v>10.4</v>
      </c>
      <c r="Y1372" s="2224">
        <v>10.4</v>
      </c>
      <c r="Z1372" s="2224">
        <v>10.4</v>
      </c>
      <c r="AA1372" s="2224">
        <v>10.4</v>
      </c>
      <c r="AB1372" s="2224">
        <v>10.4</v>
      </c>
      <c r="AC1372" s="2224">
        <v>10.4</v>
      </c>
      <c r="AD1372" s="2224">
        <v>10.4</v>
      </c>
      <c r="AE1372" s="2224"/>
      <c r="AF1372" s="2224"/>
      <c r="AG1372" s="2224"/>
      <c r="AH1372" s="156"/>
      <c r="AI1372" s="156"/>
      <c r="AJ1372" s="156"/>
      <c r="AK1372" s="156"/>
      <c r="AL1372" s="156"/>
      <c r="AM1372" s="156"/>
      <c r="AN1372" s="156"/>
      <c r="AO1372" s="156"/>
      <c r="AP1372" s="156"/>
      <c r="AQ1372" s="156"/>
      <c r="AR1372" s="156"/>
      <c r="AS1372" s="156"/>
      <c r="AT1372" s="156"/>
      <c r="AU1372" s="156"/>
      <c r="AV1372" s="156"/>
      <c r="AW1372" s="156"/>
      <c r="AX1372" s="156"/>
      <c r="AY1372" s="156"/>
      <c r="AZ1372" s="156"/>
      <c r="BA1372" s="156"/>
      <c r="BB1372" s="2828"/>
      <c r="BC1372" s="452"/>
      <c r="BD1372" s="2829"/>
      <c r="BE1372" s="156"/>
      <c r="BF1372" s="156"/>
    </row>
    <row r="1373" spans="1:58" hidden="1" outlineLevel="1" x14ac:dyDescent="0.35">
      <c r="A1373" s="1071"/>
      <c r="B1373" s="106"/>
      <c r="C1373" s="103"/>
      <c r="D1373" s="4022"/>
      <c r="E1373" s="4148"/>
      <c r="F1373" s="4092" t="str">
        <f>$F$1355</f>
        <v>DFHP-SEER20-ROF_MF_CompE</v>
      </c>
      <c r="G1373" s="3935"/>
      <c r="H1373" s="3936"/>
      <c r="I1373" s="2229"/>
      <c r="J1373" s="2224">
        <v>10.4</v>
      </c>
      <c r="K1373" s="675"/>
      <c r="L1373" s="624"/>
      <c r="M1373" s="106"/>
      <c r="N1373" s="106"/>
      <c r="O1373" s="106"/>
      <c r="P1373" s="106"/>
      <c r="Q1373" s="106"/>
      <c r="R1373" s="486"/>
      <c r="S1373" s="106"/>
      <c r="T1373" s="106"/>
      <c r="U1373" s="106"/>
      <c r="V1373" s="4022"/>
      <c r="W1373" s="2224"/>
      <c r="X1373" s="2224"/>
      <c r="Y1373" s="2374">
        <v>10.4</v>
      </c>
      <c r="Z1373" s="2224">
        <v>10.4</v>
      </c>
      <c r="AA1373" s="2224">
        <v>10.4</v>
      </c>
      <c r="AB1373" s="2224">
        <v>10.4</v>
      </c>
      <c r="AC1373" s="2224">
        <v>10.4</v>
      </c>
      <c r="AD1373" s="2224">
        <v>10.4</v>
      </c>
      <c r="AE1373" s="2224"/>
      <c r="AF1373" s="2224"/>
      <c r="AG1373" s="2224"/>
      <c r="AH1373" s="156"/>
      <c r="AI1373" s="156"/>
      <c r="AJ1373" s="156"/>
      <c r="AK1373" s="156"/>
      <c r="AL1373" s="156"/>
      <c r="AM1373" s="156"/>
      <c r="AN1373" s="156"/>
      <c r="AO1373" s="156"/>
      <c r="AP1373" s="156"/>
      <c r="AQ1373" s="156"/>
      <c r="AR1373" s="156"/>
      <c r="AS1373" s="156"/>
      <c r="AT1373" s="156"/>
      <c r="AU1373" s="156"/>
      <c r="AV1373" s="156"/>
      <c r="AW1373" s="156"/>
      <c r="AX1373" s="156"/>
      <c r="AY1373" s="156"/>
      <c r="AZ1373" s="156"/>
      <c r="BA1373" s="156"/>
      <c r="BB1373" s="2828"/>
      <c r="BC1373" s="452"/>
      <c r="BD1373" s="2829"/>
      <c r="BE1373" s="156"/>
      <c r="BF1373" s="156"/>
    </row>
    <row r="1374" spans="1:58" hidden="1" outlineLevel="1" x14ac:dyDescent="0.35">
      <c r="A1374" s="1071"/>
      <c r="B1374" s="106"/>
      <c r="C1374" s="103"/>
      <c r="D1374" s="4022"/>
      <c r="E1374" s="4148"/>
      <c r="F1374" s="4092" t="str">
        <f>$F$1356</f>
        <v>DFHP-SEER21-ROF_MF</v>
      </c>
      <c r="G1374" s="3935"/>
      <c r="H1374" s="3936"/>
      <c r="I1374" s="2229"/>
      <c r="J1374" s="2224">
        <v>10.8</v>
      </c>
      <c r="K1374" s="675"/>
      <c r="L1374" s="624" t="s">
        <v>1115</v>
      </c>
      <c r="M1374" s="106"/>
      <c r="N1374" s="106"/>
      <c r="O1374" s="106"/>
      <c r="P1374" s="106"/>
      <c r="Q1374" s="106"/>
      <c r="R1374" s="486"/>
      <c r="S1374" s="106"/>
      <c r="T1374" s="106"/>
      <c r="U1374" s="106"/>
      <c r="V1374" s="4022"/>
      <c r="W1374" s="2224">
        <v>10.8</v>
      </c>
      <c r="X1374" s="2224">
        <v>10.8</v>
      </c>
      <c r="Y1374" s="2224">
        <v>10.8</v>
      </c>
      <c r="Z1374" s="2224">
        <v>10.8</v>
      </c>
      <c r="AA1374" s="2224">
        <v>10.8</v>
      </c>
      <c r="AB1374" s="2224">
        <v>10.8</v>
      </c>
      <c r="AC1374" s="2224">
        <v>10.8</v>
      </c>
      <c r="AD1374" s="2224">
        <v>10.8</v>
      </c>
      <c r="AE1374" s="2224"/>
      <c r="AF1374" s="2224"/>
      <c r="AG1374" s="2224"/>
      <c r="AH1374" s="156"/>
      <c r="AI1374" s="156"/>
      <c r="AJ1374" s="156"/>
      <c r="AK1374" s="156"/>
      <c r="AL1374" s="156"/>
      <c r="AM1374" s="156"/>
      <c r="AN1374" s="156"/>
      <c r="AO1374" s="156"/>
      <c r="AP1374" s="156"/>
      <c r="AQ1374" s="156"/>
      <c r="AR1374" s="156"/>
      <c r="AS1374" s="156"/>
      <c r="AT1374" s="156"/>
      <c r="AU1374" s="156"/>
      <c r="AV1374" s="156"/>
      <c r="AW1374" s="156"/>
      <c r="AX1374" s="156"/>
      <c r="AY1374" s="156"/>
      <c r="AZ1374" s="156"/>
      <c r="BA1374" s="156"/>
      <c r="BB1374" s="2828"/>
      <c r="BC1374" s="452"/>
      <c r="BD1374" s="2829"/>
      <c r="BE1374" s="156"/>
      <c r="BF1374" s="156"/>
    </row>
    <row r="1375" spans="1:58" ht="15" hidden="1" outlineLevel="1" thickBot="1" x14ac:dyDescent="0.4">
      <c r="A1375" s="1071"/>
      <c r="B1375" s="106"/>
      <c r="C1375" s="103"/>
      <c r="D1375" s="4104"/>
      <c r="E1375" s="4149"/>
      <c r="F1375" s="4093" t="str">
        <f>$F$1357</f>
        <v>DFHP-SEER21-ROF_MF_CompE</v>
      </c>
      <c r="G1375" s="3941"/>
      <c r="H1375" s="3942"/>
      <c r="I1375" s="2230"/>
      <c r="J1375" s="2227">
        <v>10.8</v>
      </c>
      <c r="K1375" s="1314"/>
      <c r="L1375" s="649"/>
      <c r="M1375" s="106"/>
      <c r="N1375" s="106"/>
      <c r="O1375" s="106"/>
      <c r="P1375" s="106"/>
      <c r="Q1375" s="106"/>
      <c r="R1375" s="486"/>
      <c r="S1375" s="106"/>
      <c r="T1375" s="106"/>
      <c r="U1375" s="106"/>
      <c r="V1375" s="4022"/>
      <c r="W1375" s="2224"/>
      <c r="X1375" s="2224"/>
      <c r="Y1375" s="2374">
        <v>10.8</v>
      </c>
      <c r="Z1375" s="2224">
        <v>10.8</v>
      </c>
      <c r="AA1375" s="2224">
        <v>10.8</v>
      </c>
      <c r="AB1375" s="2224">
        <v>10.8</v>
      </c>
      <c r="AC1375" s="2227">
        <v>10.8</v>
      </c>
      <c r="AD1375" s="2227">
        <v>10.8</v>
      </c>
      <c r="AE1375" s="2224"/>
      <c r="AF1375" s="2224"/>
      <c r="AG1375" s="2224"/>
      <c r="AH1375" s="156"/>
      <c r="AI1375" s="156"/>
      <c r="AJ1375" s="156"/>
      <c r="AK1375" s="156"/>
      <c r="AL1375" s="156"/>
      <c r="AM1375" s="156"/>
      <c r="AN1375" s="156"/>
      <c r="AO1375" s="156"/>
      <c r="AP1375" s="156"/>
      <c r="AQ1375" s="156"/>
      <c r="AR1375" s="156"/>
      <c r="AS1375" s="156"/>
      <c r="AT1375" s="156"/>
      <c r="AU1375" s="156"/>
      <c r="AV1375" s="156"/>
      <c r="AW1375" s="156"/>
      <c r="AX1375" s="156"/>
      <c r="AY1375" s="156"/>
      <c r="AZ1375" s="156"/>
      <c r="BA1375" s="156"/>
      <c r="BB1375" s="2828"/>
      <c r="BC1375" s="452"/>
      <c r="BD1375" s="2829"/>
      <c r="BE1375" s="156"/>
      <c r="BF1375" s="156"/>
    </row>
    <row r="1376" spans="1:58" hidden="1" outlineLevel="1" x14ac:dyDescent="0.35">
      <c r="A1376" s="1071"/>
      <c r="B1376" s="106"/>
      <c r="C1376" s="103"/>
      <c r="D1376" s="4021" t="s">
        <v>1116</v>
      </c>
      <c r="E1376" s="4147" t="s">
        <v>1117</v>
      </c>
      <c r="F1376" s="4092" t="str">
        <f>$F$1352</f>
        <v>DFHP-SEER19-ROF_MF</v>
      </c>
      <c r="G1376" s="3935"/>
      <c r="H1376" s="3936"/>
      <c r="I1376" s="2229"/>
      <c r="J1376" s="2224">
        <v>40800</v>
      </c>
      <c r="K1376" s="675">
        <f t="shared" ref="K1376:K1381" si="254">J1376/12000</f>
        <v>3.4</v>
      </c>
      <c r="L1376" s="624" t="s">
        <v>1106</v>
      </c>
      <c r="M1376" s="106"/>
      <c r="N1376" s="106"/>
      <c r="O1376" s="106"/>
      <c r="P1376" s="106"/>
      <c r="Q1376" s="106"/>
      <c r="R1376" s="486"/>
      <c r="S1376" s="106"/>
      <c r="T1376" s="106"/>
      <c r="U1376" s="106"/>
      <c r="V1376" s="4021" t="s">
        <v>1116</v>
      </c>
      <c r="W1376" s="2228">
        <f>$K1376*12000</f>
        <v>40800</v>
      </c>
      <c r="X1376" s="2228">
        <f>$K1376*12000</f>
        <v>40800</v>
      </c>
      <c r="Y1376" s="2228">
        <v>40800</v>
      </c>
      <c r="Z1376" s="2228">
        <v>40800</v>
      </c>
      <c r="AA1376" s="2228">
        <v>40800</v>
      </c>
      <c r="AB1376" s="2228">
        <v>40800</v>
      </c>
      <c r="AC1376" s="2224">
        <v>40800</v>
      </c>
      <c r="AD1376" s="2224">
        <v>40800</v>
      </c>
      <c r="AE1376" s="2228"/>
      <c r="AF1376" s="2228"/>
      <c r="AG1376" s="2228"/>
      <c r="AH1376" s="156"/>
      <c r="AI1376" s="156"/>
      <c r="AJ1376" s="156"/>
      <c r="AK1376" s="156"/>
      <c r="AL1376" s="156"/>
      <c r="AM1376" s="156"/>
      <c r="AN1376" s="156"/>
      <c r="AO1376" s="156"/>
      <c r="AP1376" s="156"/>
      <c r="AQ1376" s="156"/>
      <c r="AR1376" s="156"/>
      <c r="AS1376" s="156"/>
      <c r="AT1376" s="156"/>
      <c r="AU1376" s="156"/>
      <c r="AV1376" s="156"/>
      <c r="AW1376" s="156"/>
      <c r="AX1376" s="156"/>
      <c r="AY1376" s="156"/>
      <c r="AZ1376" s="156"/>
      <c r="BA1376" s="156"/>
      <c r="BB1376" s="2828"/>
      <c r="BC1376" s="452"/>
      <c r="BD1376" s="2829"/>
      <c r="BE1376" s="156"/>
      <c r="BF1376" s="156"/>
    </row>
    <row r="1377" spans="1:58" hidden="1" outlineLevel="1" x14ac:dyDescent="0.35">
      <c r="A1377" s="1071"/>
      <c r="B1377" s="106"/>
      <c r="C1377" s="103"/>
      <c r="D1377" s="4022"/>
      <c r="E1377" s="4148"/>
      <c r="F1377" s="4092" t="str">
        <f>$F$1353</f>
        <v>DFHP-SEER19-ROF_MF_CompE</v>
      </c>
      <c r="G1377" s="3935"/>
      <c r="H1377" s="3936"/>
      <c r="I1377" s="660"/>
      <c r="J1377" s="2224">
        <v>40800</v>
      </c>
      <c r="K1377" s="675">
        <f t="shared" si="254"/>
        <v>3.4</v>
      </c>
      <c r="L1377" s="658"/>
      <c r="M1377" s="106"/>
      <c r="N1377" s="106"/>
      <c r="O1377" s="106"/>
      <c r="P1377" s="106"/>
      <c r="Q1377" s="106"/>
      <c r="R1377" s="486"/>
      <c r="S1377" s="106"/>
      <c r="T1377" s="106"/>
      <c r="U1377" s="106"/>
      <c r="V1377" s="4022"/>
      <c r="W1377" s="579"/>
      <c r="X1377" s="579"/>
      <c r="Y1377" s="2224">
        <v>40800</v>
      </c>
      <c r="Z1377" s="2224">
        <v>40800</v>
      </c>
      <c r="AA1377" s="2224">
        <v>40800</v>
      </c>
      <c r="AB1377" s="2224">
        <v>40800</v>
      </c>
      <c r="AC1377" s="2224">
        <v>40800</v>
      </c>
      <c r="AD1377" s="2224">
        <v>40800</v>
      </c>
      <c r="AE1377" s="579"/>
      <c r="AF1377" s="579"/>
      <c r="AG1377" s="579"/>
      <c r="AH1377" s="156"/>
      <c r="AI1377" s="156"/>
      <c r="AJ1377" s="156"/>
      <c r="AK1377" s="156"/>
      <c r="AL1377" s="156"/>
      <c r="AM1377" s="156"/>
      <c r="AN1377" s="156"/>
      <c r="AO1377" s="156"/>
      <c r="AP1377" s="156"/>
      <c r="AQ1377" s="156"/>
      <c r="AR1377" s="156"/>
      <c r="AS1377" s="156"/>
      <c r="AT1377" s="156"/>
      <c r="AU1377" s="156"/>
      <c r="AV1377" s="156"/>
      <c r="AW1377" s="156"/>
      <c r="AX1377" s="156"/>
      <c r="AY1377" s="156"/>
      <c r="AZ1377" s="156"/>
      <c r="BA1377" s="156"/>
      <c r="BB1377" s="2828"/>
      <c r="BC1377" s="452"/>
      <c r="BD1377" s="2829"/>
      <c r="BE1377" s="156"/>
      <c r="BF1377" s="156"/>
    </row>
    <row r="1378" spans="1:58" hidden="1" outlineLevel="1" x14ac:dyDescent="0.35">
      <c r="A1378" s="1071"/>
      <c r="B1378" s="106"/>
      <c r="C1378" s="103"/>
      <c r="D1378" s="4022"/>
      <c r="E1378" s="4148"/>
      <c r="F1378" s="4092" t="str">
        <f>$F$1354</f>
        <v>DFHP-SEER20-ROF_MF</v>
      </c>
      <c r="G1378" s="3935"/>
      <c r="H1378" s="3936"/>
      <c r="I1378" s="2229"/>
      <c r="J1378" s="2224">
        <v>52800.000000000007</v>
      </c>
      <c r="K1378" s="675">
        <f t="shared" si="254"/>
        <v>4.4000000000000004</v>
      </c>
      <c r="L1378" s="624" t="s">
        <v>1106</v>
      </c>
      <c r="M1378" s="106"/>
      <c r="N1378" s="106"/>
      <c r="O1378" s="106"/>
      <c r="P1378" s="106"/>
      <c r="Q1378" s="106"/>
      <c r="R1378" s="486"/>
      <c r="S1378" s="106"/>
      <c r="T1378" s="106"/>
      <c r="U1378" s="106"/>
      <c r="V1378" s="4022"/>
      <c r="W1378" s="2224">
        <f t="shared" ref="W1378:X1380" si="255">$K1378*12000</f>
        <v>52800.000000000007</v>
      </c>
      <c r="X1378" s="2224">
        <f t="shared" si="255"/>
        <v>52800.000000000007</v>
      </c>
      <c r="Y1378" s="2224">
        <v>52800.000000000007</v>
      </c>
      <c r="Z1378" s="2224">
        <v>52800.000000000007</v>
      </c>
      <c r="AA1378" s="2224">
        <v>52800.000000000007</v>
      </c>
      <c r="AB1378" s="2224">
        <v>52800.000000000007</v>
      </c>
      <c r="AC1378" s="2224">
        <v>52800.000000000007</v>
      </c>
      <c r="AD1378" s="2224">
        <v>52800.000000000007</v>
      </c>
      <c r="AE1378" s="2224"/>
      <c r="AF1378" s="2224"/>
      <c r="AG1378" s="2224"/>
      <c r="AH1378" s="156"/>
      <c r="AI1378" s="156"/>
      <c r="AJ1378" s="156"/>
      <c r="AK1378" s="156"/>
      <c r="AL1378" s="156"/>
      <c r="AM1378" s="156"/>
      <c r="AN1378" s="156"/>
      <c r="AO1378" s="156"/>
      <c r="AP1378" s="156"/>
      <c r="AQ1378" s="156"/>
      <c r="AR1378" s="156"/>
      <c r="AS1378" s="156"/>
      <c r="AT1378" s="156"/>
      <c r="AU1378" s="156"/>
      <c r="AV1378" s="156"/>
      <c r="AW1378" s="156"/>
      <c r="AX1378" s="156"/>
      <c r="AY1378" s="156"/>
      <c r="AZ1378" s="156"/>
      <c r="BA1378" s="156"/>
      <c r="BB1378" s="2828"/>
      <c r="BC1378" s="452"/>
      <c r="BD1378" s="2829"/>
      <c r="BE1378" s="156"/>
      <c r="BF1378" s="156"/>
    </row>
    <row r="1379" spans="1:58" hidden="1" outlineLevel="1" x14ac:dyDescent="0.35">
      <c r="A1379" s="1071"/>
      <c r="B1379" s="106"/>
      <c r="C1379" s="103"/>
      <c r="D1379" s="4022"/>
      <c r="E1379" s="4148"/>
      <c r="F1379" s="4092" t="str">
        <f>$F$1355</f>
        <v>DFHP-SEER20-ROF_MF_CompE</v>
      </c>
      <c r="G1379" s="3935"/>
      <c r="H1379" s="3936"/>
      <c r="I1379" s="2229"/>
      <c r="J1379" s="2224">
        <v>52800.000000000007</v>
      </c>
      <c r="K1379" s="675">
        <f t="shared" si="254"/>
        <v>4.4000000000000004</v>
      </c>
      <c r="L1379" s="624"/>
      <c r="M1379" s="106"/>
      <c r="N1379" s="106"/>
      <c r="O1379" s="106"/>
      <c r="P1379" s="106"/>
      <c r="Q1379" s="106"/>
      <c r="R1379" s="486"/>
      <c r="S1379" s="106"/>
      <c r="T1379" s="106"/>
      <c r="U1379" s="106"/>
      <c r="V1379" s="4022"/>
      <c r="W1379" s="2224"/>
      <c r="X1379" s="2224"/>
      <c r="Y1379" s="2224">
        <v>52800.000000000007</v>
      </c>
      <c r="Z1379" s="2224">
        <v>52800.000000000007</v>
      </c>
      <c r="AA1379" s="2224">
        <v>52800.000000000007</v>
      </c>
      <c r="AB1379" s="2224">
        <v>52800.000000000007</v>
      </c>
      <c r="AC1379" s="2224">
        <v>52800.000000000007</v>
      </c>
      <c r="AD1379" s="2224">
        <v>52800.000000000007</v>
      </c>
      <c r="AE1379" s="2224"/>
      <c r="AF1379" s="2224"/>
      <c r="AG1379" s="2224"/>
      <c r="AH1379" s="156"/>
      <c r="AI1379" s="156"/>
      <c r="AJ1379" s="156"/>
      <c r="AK1379" s="156"/>
      <c r="AL1379" s="156"/>
      <c r="AM1379" s="156"/>
      <c r="AN1379" s="156"/>
      <c r="AO1379" s="156"/>
      <c r="AP1379" s="156"/>
      <c r="AQ1379" s="156"/>
      <c r="AR1379" s="156"/>
      <c r="AS1379" s="156"/>
      <c r="AT1379" s="156"/>
      <c r="AU1379" s="156"/>
      <c r="AV1379" s="156"/>
      <c r="AW1379" s="156"/>
      <c r="AX1379" s="156"/>
      <c r="AY1379" s="156"/>
      <c r="AZ1379" s="156"/>
      <c r="BA1379" s="156"/>
      <c r="BB1379" s="2828"/>
      <c r="BC1379" s="452"/>
      <c r="BD1379" s="2829"/>
      <c r="BE1379" s="156"/>
      <c r="BF1379" s="156"/>
    </row>
    <row r="1380" spans="1:58" hidden="1" outlineLevel="1" x14ac:dyDescent="0.35">
      <c r="A1380" s="1071"/>
      <c r="B1380" s="106"/>
      <c r="C1380" s="103"/>
      <c r="D1380" s="4022"/>
      <c r="E1380" s="4148"/>
      <c r="F1380" s="4092" t="str">
        <f>$F$1356</f>
        <v>DFHP-SEER21-ROF_MF</v>
      </c>
      <c r="G1380" s="3935"/>
      <c r="H1380" s="3936"/>
      <c r="I1380" s="2229"/>
      <c r="J1380" s="2224">
        <v>64800.000000000007</v>
      </c>
      <c r="K1380" s="675">
        <f t="shared" si="254"/>
        <v>5.4</v>
      </c>
      <c r="L1380" s="624" t="s">
        <v>1106</v>
      </c>
      <c r="M1380" s="106"/>
      <c r="N1380" s="106"/>
      <c r="O1380" s="106"/>
      <c r="P1380" s="106"/>
      <c r="Q1380" s="106"/>
      <c r="R1380" s="486"/>
      <c r="S1380" s="106"/>
      <c r="T1380" s="106"/>
      <c r="U1380" s="106"/>
      <c r="V1380" s="4022"/>
      <c r="W1380" s="2224">
        <f t="shared" si="255"/>
        <v>64800.000000000007</v>
      </c>
      <c r="X1380" s="2224">
        <f t="shared" si="255"/>
        <v>64800.000000000007</v>
      </c>
      <c r="Y1380" s="2224">
        <v>64800.000000000007</v>
      </c>
      <c r="Z1380" s="2224">
        <v>64800.000000000007</v>
      </c>
      <c r="AA1380" s="2224">
        <v>64800.000000000007</v>
      </c>
      <c r="AB1380" s="2224">
        <v>64800.000000000007</v>
      </c>
      <c r="AC1380" s="2224">
        <v>64800.000000000007</v>
      </c>
      <c r="AD1380" s="2224">
        <v>64800.000000000007</v>
      </c>
      <c r="AE1380" s="2224"/>
      <c r="AF1380" s="2224"/>
      <c r="AG1380" s="2224"/>
      <c r="AH1380" s="156"/>
      <c r="AI1380" s="156"/>
      <c r="AJ1380" s="156"/>
      <c r="AK1380" s="156"/>
      <c r="AL1380" s="156"/>
      <c r="AM1380" s="156"/>
      <c r="AN1380" s="156"/>
      <c r="AO1380" s="156"/>
      <c r="AP1380" s="156"/>
      <c r="AQ1380" s="156"/>
      <c r="AR1380" s="156"/>
      <c r="AS1380" s="156"/>
      <c r="AT1380" s="156"/>
      <c r="AU1380" s="156"/>
      <c r="AV1380" s="156"/>
      <c r="AW1380" s="156"/>
      <c r="AX1380" s="156"/>
      <c r="AY1380" s="156"/>
      <c r="AZ1380" s="156"/>
      <c r="BA1380" s="156"/>
      <c r="BB1380" s="2828"/>
      <c r="BC1380" s="452"/>
      <c r="BD1380" s="2829"/>
      <c r="BE1380" s="156"/>
      <c r="BF1380" s="156"/>
    </row>
    <row r="1381" spans="1:58" ht="15" hidden="1" outlineLevel="1" thickBot="1" x14ac:dyDescent="0.4">
      <c r="A1381" s="1071"/>
      <c r="B1381" s="106"/>
      <c r="C1381" s="103"/>
      <c r="D1381" s="4104"/>
      <c r="E1381" s="4149"/>
      <c r="F1381" s="4093" t="str">
        <f>$F$1357</f>
        <v>DFHP-SEER21-ROF_MF_CompE</v>
      </c>
      <c r="G1381" s="3941"/>
      <c r="H1381" s="3942"/>
      <c r="I1381" s="2230"/>
      <c r="J1381" s="2227">
        <v>64800.000000000007</v>
      </c>
      <c r="K1381" s="1314">
        <f t="shared" si="254"/>
        <v>5.4</v>
      </c>
      <c r="L1381" s="649"/>
      <c r="M1381" s="106"/>
      <c r="N1381" s="106"/>
      <c r="O1381" s="106"/>
      <c r="P1381" s="106"/>
      <c r="Q1381" s="106"/>
      <c r="R1381" s="486"/>
      <c r="S1381" s="106"/>
      <c r="T1381" s="106"/>
      <c r="U1381" s="106"/>
      <c r="V1381" s="4022"/>
      <c r="W1381" s="2224"/>
      <c r="X1381" s="2224"/>
      <c r="Y1381" s="2224">
        <v>64800.000000000007</v>
      </c>
      <c r="Z1381" s="2224">
        <v>64800.000000000007</v>
      </c>
      <c r="AA1381" s="2224">
        <v>64800.000000000007</v>
      </c>
      <c r="AB1381" s="2224">
        <v>64800.000000000007</v>
      </c>
      <c r="AC1381" s="2227">
        <v>64800.000000000007</v>
      </c>
      <c r="AD1381" s="2227">
        <v>64800.000000000007</v>
      </c>
      <c r="AE1381" s="2224"/>
      <c r="AF1381" s="2224"/>
      <c r="AG1381" s="2224"/>
      <c r="AH1381" s="156"/>
      <c r="AI1381" s="156"/>
      <c r="AJ1381" s="156"/>
      <c r="AK1381" s="156"/>
      <c r="AL1381" s="156"/>
      <c r="AM1381" s="156"/>
      <c r="AN1381" s="156"/>
      <c r="AO1381" s="156"/>
      <c r="AP1381" s="156"/>
      <c r="AQ1381" s="156"/>
      <c r="AR1381" s="156"/>
      <c r="AS1381" s="156"/>
      <c r="AT1381" s="156"/>
      <c r="AU1381" s="156"/>
      <c r="AV1381" s="156"/>
      <c r="AW1381" s="156"/>
      <c r="AX1381" s="156"/>
      <c r="AY1381" s="156"/>
      <c r="AZ1381" s="156"/>
      <c r="BA1381" s="156"/>
      <c r="BB1381" s="2828"/>
      <c r="BC1381" s="452"/>
      <c r="BD1381" s="2829"/>
      <c r="BE1381" s="156"/>
      <c r="BF1381" s="156"/>
    </row>
    <row r="1382" spans="1:58" hidden="1" outlineLevel="1" x14ac:dyDescent="0.35">
      <c r="A1382" s="1071"/>
      <c r="B1382" s="106"/>
      <c r="C1382" s="103"/>
      <c r="D1382" s="4021" t="s">
        <v>1118</v>
      </c>
      <c r="E1382" s="4147" t="s">
        <v>1119</v>
      </c>
      <c r="F1382" s="4091" t="str">
        <f>$F$1352</f>
        <v>DFHP-SEER19-ROF_MF</v>
      </c>
      <c r="G1382" s="3944"/>
      <c r="H1382" s="3945"/>
      <c r="I1382" s="2231"/>
      <c r="J1382" s="2228">
        <v>869</v>
      </c>
      <c r="K1382" s="680"/>
      <c r="L1382" s="621" t="s">
        <v>977</v>
      </c>
      <c r="M1382" s="106"/>
      <c r="N1382" s="106"/>
      <c r="O1382" s="106"/>
      <c r="P1382" s="106"/>
      <c r="Q1382" s="106"/>
      <c r="R1382" s="486"/>
      <c r="S1382" s="106"/>
      <c r="T1382" s="106"/>
      <c r="U1382" s="106"/>
      <c r="V1382" s="4021" t="s">
        <v>1118</v>
      </c>
      <c r="W1382" s="2228">
        <v>869</v>
      </c>
      <c r="X1382" s="2228">
        <v>869</v>
      </c>
      <c r="Y1382" s="2228">
        <v>869</v>
      </c>
      <c r="Z1382" s="2228">
        <v>869</v>
      </c>
      <c r="AA1382" s="2228">
        <v>869</v>
      </c>
      <c r="AB1382" s="2228">
        <v>869</v>
      </c>
      <c r="AC1382" s="2228">
        <v>869</v>
      </c>
      <c r="AD1382" s="2228">
        <v>869</v>
      </c>
      <c r="AE1382" s="2228"/>
      <c r="AF1382" s="2228"/>
      <c r="AG1382" s="2228"/>
      <c r="AH1382" s="156"/>
      <c r="AI1382" s="156"/>
      <c r="AJ1382" s="156"/>
      <c r="AK1382" s="156"/>
      <c r="AL1382" s="156"/>
      <c r="AM1382" s="156"/>
      <c r="AN1382" s="156"/>
      <c r="AO1382" s="156"/>
      <c r="AP1382" s="156"/>
      <c r="AQ1382" s="156"/>
      <c r="AR1382" s="156"/>
      <c r="AS1382" s="156"/>
      <c r="AT1382" s="156"/>
      <c r="AU1382" s="156"/>
      <c r="AV1382" s="156"/>
      <c r="AW1382" s="156"/>
      <c r="AX1382" s="156"/>
      <c r="AY1382" s="156"/>
      <c r="AZ1382" s="156"/>
      <c r="BA1382" s="156"/>
      <c r="BB1382" s="2828"/>
      <c r="BC1382" s="452"/>
      <c r="BD1382" s="2829"/>
      <c r="BE1382" s="156"/>
      <c r="BF1382" s="156"/>
    </row>
    <row r="1383" spans="1:58" hidden="1" outlineLevel="1" x14ac:dyDescent="0.35">
      <c r="A1383" s="1071"/>
      <c r="B1383" s="106"/>
      <c r="C1383" s="103"/>
      <c r="D1383" s="4022"/>
      <c r="E1383" s="4148"/>
      <c r="F1383" s="4092" t="str">
        <f>$F$1353</f>
        <v>DFHP-SEER19-ROF_MF_CompE</v>
      </c>
      <c r="G1383" s="3935"/>
      <c r="H1383" s="3936"/>
      <c r="I1383" s="660"/>
      <c r="J1383" s="2224">
        <v>632</v>
      </c>
      <c r="K1383" s="675"/>
      <c r="L1383" s="658" t="s">
        <v>1110</v>
      </c>
      <c r="M1383" s="106"/>
      <c r="N1383" s="106"/>
      <c r="O1383" s="106"/>
      <c r="P1383" s="106"/>
      <c r="Q1383" s="106"/>
      <c r="R1383" s="486"/>
      <c r="S1383" s="106"/>
      <c r="T1383" s="106"/>
      <c r="U1383" s="106"/>
      <c r="V1383" s="4022"/>
      <c r="W1383" s="579"/>
      <c r="X1383" s="579"/>
      <c r="Y1383" s="2377">
        <v>632</v>
      </c>
      <c r="Z1383" s="579">
        <v>632</v>
      </c>
      <c r="AA1383" s="579">
        <v>632</v>
      </c>
      <c r="AB1383" s="579">
        <v>632</v>
      </c>
      <c r="AC1383" s="2224">
        <v>632</v>
      </c>
      <c r="AD1383" s="2224">
        <v>632</v>
      </c>
      <c r="AE1383" s="579"/>
      <c r="AF1383" s="579"/>
      <c r="AG1383" s="579"/>
      <c r="AH1383" s="156"/>
      <c r="AI1383" s="156"/>
      <c r="AJ1383" s="156"/>
      <c r="AK1383" s="156"/>
      <c r="AL1383" s="156"/>
      <c r="AM1383" s="156"/>
      <c r="AN1383" s="156"/>
      <c r="AO1383" s="156"/>
      <c r="AP1383" s="156"/>
      <c r="AQ1383" s="156"/>
      <c r="AR1383" s="156"/>
      <c r="AS1383" s="156"/>
      <c r="AT1383" s="156"/>
      <c r="AU1383" s="156"/>
      <c r="AV1383" s="156"/>
      <c r="AW1383" s="156"/>
      <c r="AX1383" s="156"/>
      <c r="AY1383" s="156"/>
      <c r="AZ1383" s="156"/>
      <c r="BA1383" s="156"/>
      <c r="BB1383" s="2828"/>
      <c r="BC1383" s="452"/>
      <c r="BD1383" s="2829"/>
      <c r="BE1383" s="156"/>
      <c r="BF1383" s="156"/>
    </row>
    <row r="1384" spans="1:58" hidden="1" outlineLevel="1" x14ac:dyDescent="0.35">
      <c r="A1384" s="1071"/>
      <c r="B1384" s="106"/>
      <c r="C1384" s="103"/>
      <c r="D1384" s="4022"/>
      <c r="E1384" s="4148"/>
      <c r="F1384" s="4092" t="str">
        <f>$F$1354</f>
        <v>DFHP-SEER20-ROF_MF</v>
      </c>
      <c r="G1384" s="3935"/>
      <c r="H1384" s="3936"/>
      <c r="I1384" s="2229"/>
      <c r="J1384" s="2224">
        <v>869</v>
      </c>
      <c r="K1384" s="675"/>
      <c r="L1384" s="624" t="s">
        <v>977</v>
      </c>
      <c r="M1384" s="106"/>
      <c r="N1384" s="106"/>
      <c r="O1384" s="106"/>
      <c r="P1384" s="106"/>
      <c r="Q1384" s="106"/>
      <c r="R1384" s="486"/>
      <c r="S1384" s="106"/>
      <c r="T1384" s="106"/>
      <c r="U1384" s="106"/>
      <c r="V1384" s="4022"/>
      <c r="W1384" s="2224">
        <v>869</v>
      </c>
      <c r="X1384" s="2224">
        <v>869</v>
      </c>
      <c r="Y1384" s="2224">
        <v>869</v>
      </c>
      <c r="Z1384" s="2224">
        <v>869</v>
      </c>
      <c r="AA1384" s="2224">
        <v>869</v>
      </c>
      <c r="AB1384" s="2224">
        <v>869</v>
      </c>
      <c r="AC1384" s="2224">
        <v>869</v>
      </c>
      <c r="AD1384" s="2224">
        <v>869</v>
      </c>
      <c r="AE1384" s="2224"/>
      <c r="AF1384" s="2224"/>
      <c r="AG1384" s="2224"/>
      <c r="AH1384" s="156"/>
      <c r="AI1384" s="156"/>
      <c r="AJ1384" s="156"/>
      <c r="AK1384" s="156"/>
      <c r="AL1384" s="156"/>
      <c r="AM1384" s="156"/>
      <c r="AN1384" s="156"/>
      <c r="AO1384" s="156"/>
      <c r="AP1384" s="156"/>
      <c r="AQ1384" s="156"/>
      <c r="AR1384" s="156"/>
      <c r="AS1384" s="156"/>
      <c r="AT1384" s="156"/>
      <c r="AU1384" s="156"/>
      <c r="AV1384" s="156"/>
      <c r="AW1384" s="156"/>
      <c r="AX1384" s="156"/>
      <c r="AY1384" s="156"/>
      <c r="AZ1384" s="156"/>
      <c r="BA1384" s="156"/>
      <c r="BB1384" s="2828"/>
      <c r="BC1384" s="452"/>
      <c r="BD1384" s="2829"/>
      <c r="BE1384" s="156"/>
      <c r="BF1384" s="156"/>
    </row>
    <row r="1385" spans="1:58" hidden="1" outlineLevel="1" x14ac:dyDescent="0.35">
      <c r="A1385" s="1071"/>
      <c r="B1385" s="106"/>
      <c r="C1385" s="103"/>
      <c r="D1385" s="4022"/>
      <c r="E1385" s="4148"/>
      <c r="F1385" s="4092" t="str">
        <f>$F$1355</f>
        <v>DFHP-SEER20-ROF_MF_CompE</v>
      </c>
      <c r="G1385" s="3935"/>
      <c r="H1385" s="3936"/>
      <c r="I1385" s="2229"/>
      <c r="J1385" s="2224">
        <v>632</v>
      </c>
      <c r="K1385" s="675"/>
      <c r="L1385" s="624" t="s">
        <v>1110</v>
      </c>
      <c r="M1385" s="106"/>
      <c r="N1385" s="106"/>
      <c r="O1385" s="106"/>
      <c r="P1385" s="106"/>
      <c r="Q1385" s="106"/>
      <c r="R1385" s="486"/>
      <c r="S1385" s="106"/>
      <c r="T1385" s="106"/>
      <c r="U1385" s="106"/>
      <c r="V1385" s="4022"/>
      <c r="W1385" s="2224"/>
      <c r="X1385" s="2224"/>
      <c r="Y1385" s="2377">
        <v>632</v>
      </c>
      <c r="Z1385" s="579">
        <v>632</v>
      </c>
      <c r="AA1385" s="579">
        <v>632</v>
      </c>
      <c r="AB1385" s="579">
        <v>632</v>
      </c>
      <c r="AC1385" s="2224">
        <v>632</v>
      </c>
      <c r="AD1385" s="2224">
        <v>632</v>
      </c>
      <c r="AE1385" s="2224"/>
      <c r="AF1385" s="2224"/>
      <c r="AG1385" s="2224"/>
      <c r="AH1385" s="156"/>
      <c r="AI1385" s="156"/>
      <c r="AJ1385" s="156"/>
      <c r="AK1385" s="156"/>
      <c r="AL1385" s="156"/>
      <c r="AM1385" s="156"/>
      <c r="AN1385" s="156"/>
      <c r="AO1385" s="156"/>
      <c r="AP1385" s="156"/>
      <c r="AQ1385" s="156"/>
      <c r="AR1385" s="156"/>
      <c r="AS1385" s="156"/>
      <c r="AT1385" s="156"/>
      <c r="AU1385" s="156"/>
      <c r="AV1385" s="156"/>
      <c r="AW1385" s="156"/>
      <c r="AX1385" s="156"/>
      <c r="AY1385" s="156"/>
      <c r="AZ1385" s="156"/>
      <c r="BA1385" s="156"/>
      <c r="BB1385" s="2828"/>
      <c r="BC1385" s="452"/>
      <c r="BD1385" s="2829"/>
      <c r="BE1385" s="156"/>
      <c r="BF1385" s="156"/>
    </row>
    <row r="1386" spans="1:58" hidden="1" outlineLevel="1" x14ac:dyDescent="0.35">
      <c r="A1386" s="1071"/>
      <c r="B1386" s="106"/>
      <c r="C1386" s="103"/>
      <c r="D1386" s="4022"/>
      <c r="E1386" s="4148"/>
      <c r="F1386" s="4092" t="str">
        <f>$F$1356</f>
        <v>DFHP-SEER21-ROF_MF</v>
      </c>
      <c r="G1386" s="3935"/>
      <c r="H1386" s="3936"/>
      <c r="I1386" s="2229"/>
      <c r="J1386" s="2224">
        <v>869</v>
      </c>
      <c r="K1386" s="675"/>
      <c r="L1386" s="624" t="s">
        <v>977</v>
      </c>
      <c r="M1386" s="106"/>
      <c r="N1386" s="106"/>
      <c r="O1386" s="106"/>
      <c r="P1386" s="106"/>
      <c r="Q1386" s="106"/>
      <c r="R1386" s="486"/>
      <c r="S1386" s="106"/>
      <c r="T1386" s="106"/>
      <c r="U1386" s="106"/>
      <c r="V1386" s="4022"/>
      <c r="W1386" s="2224">
        <v>869</v>
      </c>
      <c r="X1386" s="2224">
        <v>869</v>
      </c>
      <c r="Y1386" s="2224">
        <v>869</v>
      </c>
      <c r="Z1386" s="2224">
        <v>869</v>
      </c>
      <c r="AA1386" s="2224">
        <v>869</v>
      </c>
      <c r="AB1386" s="2224">
        <v>869</v>
      </c>
      <c r="AC1386" s="2224">
        <v>869</v>
      </c>
      <c r="AD1386" s="2224">
        <v>869</v>
      </c>
      <c r="AE1386" s="2224"/>
      <c r="AF1386" s="2224"/>
      <c r="AG1386" s="2224"/>
      <c r="AH1386" s="156"/>
      <c r="AI1386" s="156"/>
      <c r="AJ1386" s="156"/>
      <c r="AK1386" s="156"/>
      <c r="AL1386" s="156"/>
      <c r="AM1386" s="156"/>
      <c r="AN1386" s="156"/>
      <c r="AO1386" s="156"/>
      <c r="AP1386" s="156"/>
      <c r="AQ1386" s="156"/>
      <c r="AR1386" s="156"/>
      <c r="AS1386" s="156"/>
      <c r="AT1386" s="156"/>
      <c r="AU1386" s="156"/>
      <c r="AV1386" s="156"/>
      <c r="AW1386" s="156"/>
      <c r="AX1386" s="156"/>
      <c r="AY1386" s="156"/>
      <c r="AZ1386" s="156"/>
      <c r="BA1386" s="156"/>
      <c r="BB1386" s="2828"/>
      <c r="BC1386" s="452"/>
      <c r="BD1386" s="2829"/>
      <c r="BE1386" s="156"/>
      <c r="BF1386" s="156"/>
    </row>
    <row r="1387" spans="1:58" ht="15" hidden="1" outlineLevel="1" thickBot="1" x14ac:dyDescent="0.4">
      <c r="A1387" s="1071"/>
      <c r="B1387" s="106"/>
      <c r="C1387" s="103"/>
      <c r="D1387" s="4104"/>
      <c r="E1387" s="4149"/>
      <c r="F1387" s="4093" t="str">
        <f>$F$1357</f>
        <v>DFHP-SEER21-ROF_MF_CompE</v>
      </c>
      <c r="G1387" s="3941"/>
      <c r="H1387" s="3942"/>
      <c r="I1387" s="2230"/>
      <c r="J1387" s="2227">
        <v>632</v>
      </c>
      <c r="K1387" s="1314"/>
      <c r="L1387" s="649" t="s">
        <v>1110</v>
      </c>
      <c r="M1387" s="106"/>
      <c r="N1387" s="106"/>
      <c r="O1387" s="106"/>
      <c r="P1387" s="106"/>
      <c r="Q1387" s="106"/>
      <c r="R1387" s="486"/>
      <c r="S1387" s="106"/>
      <c r="T1387" s="106"/>
      <c r="U1387" s="106"/>
      <c r="V1387" s="4022"/>
      <c r="W1387" s="2224"/>
      <c r="X1387" s="2224"/>
      <c r="Y1387" s="2377">
        <v>632</v>
      </c>
      <c r="Z1387" s="579">
        <v>632</v>
      </c>
      <c r="AA1387" s="579">
        <v>632</v>
      </c>
      <c r="AB1387" s="579">
        <v>632</v>
      </c>
      <c r="AC1387" s="2227">
        <v>632</v>
      </c>
      <c r="AD1387" s="2227">
        <v>632</v>
      </c>
      <c r="AE1387" s="2224"/>
      <c r="AF1387" s="2224"/>
      <c r="AG1387" s="2224"/>
      <c r="AH1387" s="156"/>
      <c r="AI1387" s="156"/>
      <c r="AJ1387" s="156"/>
      <c r="AK1387" s="156"/>
      <c r="AL1387" s="156"/>
      <c r="AM1387" s="156"/>
      <c r="AN1387" s="156"/>
      <c r="AO1387" s="156"/>
      <c r="AP1387" s="156"/>
      <c r="AQ1387" s="156"/>
      <c r="AR1387" s="156"/>
      <c r="AS1387" s="156"/>
      <c r="AT1387" s="156"/>
      <c r="AU1387" s="156"/>
      <c r="AV1387" s="156"/>
      <c r="AW1387" s="156"/>
      <c r="AX1387" s="156"/>
      <c r="AY1387" s="156"/>
      <c r="AZ1387" s="156"/>
      <c r="BA1387" s="156"/>
      <c r="BB1387" s="2828"/>
      <c r="BC1387" s="452"/>
      <c r="BD1387" s="2829"/>
      <c r="BE1387" s="156"/>
      <c r="BF1387" s="156"/>
    </row>
    <row r="1388" spans="1:58" hidden="1" outlineLevel="1" x14ac:dyDescent="0.35">
      <c r="A1388" s="1071"/>
      <c r="B1388" s="106"/>
      <c r="C1388" s="103"/>
      <c r="D1388" s="4021" t="s">
        <v>1120</v>
      </c>
      <c r="E1388" s="4147" t="s">
        <v>1121</v>
      </c>
      <c r="F1388" s="4094" t="str">
        <f>$F$1352</f>
        <v>DFHP-SEER19-ROF_MF</v>
      </c>
      <c r="G1388" s="4095"/>
      <c r="H1388" s="4096"/>
      <c r="I1388" s="660"/>
      <c r="J1388" s="579">
        <v>14</v>
      </c>
      <c r="K1388" s="1315"/>
      <c r="L1388" s="658" t="s">
        <v>977</v>
      </c>
      <c r="M1388" s="106"/>
      <c r="N1388" s="106"/>
      <c r="O1388" s="106"/>
      <c r="P1388" s="106"/>
      <c r="Q1388" s="106"/>
      <c r="R1388" s="486"/>
      <c r="S1388" s="106"/>
      <c r="T1388" s="106"/>
      <c r="U1388" s="106"/>
      <c r="V1388" s="4021" t="s">
        <v>1120</v>
      </c>
      <c r="W1388" s="2228">
        <v>14</v>
      </c>
      <c r="X1388" s="2228">
        <v>14</v>
      </c>
      <c r="Y1388" s="2228">
        <v>14</v>
      </c>
      <c r="Z1388" s="2228">
        <v>14</v>
      </c>
      <c r="AA1388" s="2228">
        <v>14</v>
      </c>
      <c r="AB1388" s="2228">
        <v>14</v>
      </c>
      <c r="AC1388" s="579">
        <v>14</v>
      </c>
      <c r="AD1388" s="579">
        <v>14</v>
      </c>
      <c r="AE1388" s="2228"/>
      <c r="AF1388" s="2228"/>
      <c r="AG1388" s="2228"/>
      <c r="AH1388" s="156"/>
      <c r="AI1388" s="156"/>
      <c r="AJ1388" s="156"/>
      <c r="AK1388" s="156"/>
      <c r="AL1388" s="156"/>
      <c r="AM1388" s="156"/>
      <c r="AN1388" s="156"/>
      <c r="AO1388" s="156"/>
      <c r="AP1388" s="156"/>
      <c r="AQ1388" s="156"/>
      <c r="AR1388" s="156"/>
      <c r="AS1388" s="156"/>
      <c r="AT1388" s="156"/>
      <c r="AU1388" s="156"/>
      <c r="AV1388" s="156"/>
      <c r="AW1388" s="156"/>
      <c r="AX1388" s="156"/>
      <c r="AY1388" s="156"/>
      <c r="AZ1388" s="156"/>
      <c r="BA1388" s="156"/>
      <c r="BB1388" s="2828"/>
      <c r="BC1388" s="452"/>
      <c r="BD1388" s="2829"/>
      <c r="BE1388" s="156"/>
      <c r="BF1388" s="156"/>
    </row>
    <row r="1389" spans="1:58" hidden="1" outlineLevel="1" x14ac:dyDescent="0.35">
      <c r="A1389" s="1071"/>
      <c r="B1389" s="106"/>
      <c r="C1389" s="103"/>
      <c r="D1389" s="4022"/>
      <c r="E1389" s="4148"/>
      <c r="F1389" s="3935" t="str">
        <f>$F$1353</f>
        <v>DFHP-SEER19-ROF_MF_CompE</v>
      </c>
      <c r="G1389" s="3935"/>
      <c r="H1389" s="3936"/>
      <c r="I1389" s="660"/>
      <c r="J1389" s="2224">
        <v>14</v>
      </c>
      <c r="K1389" s="675"/>
      <c r="L1389" s="658"/>
      <c r="M1389" s="106"/>
      <c r="N1389" s="106"/>
      <c r="O1389" s="106"/>
      <c r="P1389" s="106"/>
      <c r="Q1389" s="106"/>
      <c r="R1389" s="486"/>
      <c r="S1389" s="106"/>
      <c r="T1389" s="106"/>
      <c r="U1389" s="106"/>
      <c r="V1389" s="4022"/>
      <c r="W1389" s="579"/>
      <c r="X1389" s="579"/>
      <c r="Y1389" s="2374">
        <v>14</v>
      </c>
      <c r="Z1389" s="2224">
        <v>14</v>
      </c>
      <c r="AA1389" s="2224">
        <v>14</v>
      </c>
      <c r="AB1389" s="2224">
        <v>14</v>
      </c>
      <c r="AC1389" s="2224">
        <v>14</v>
      </c>
      <c r="AD1389" s="2224">
        <v>14</v>
      </c>
      <c r="AE1389" s="579"/>
      <c r="AF1389" s="579"/>
      <c r="AG1389" s="579"/>
      <c r="AH1389" s="156"/>
      <c r="AI1389" s="156"/>
      <c r="AJ1389" s="156"/>
      <c r="AK1389" s="156"/>
      <c r="AL1389" s="156"/>
      <c r="AM1389" s="156"/>
      <c r="AN1389" s="156"/>
      <c r="AO1389" s="156"/>
      <c r="AP1389" s="156"/>
      <c r="AQ1389" s="156"/>
      <c r="AR1389" s="156"/>
      <c r="AS1389" s="156"/>
      <c r="AT1389" s="156"/>
      <c r="AU1389" s="156"/>
      <c r="AV1389" s="156"/>
      <c r="AW1389" s="156"/>
      <c r="AX1389" s="156"/>
      <c r="AY1389" s="156"/>
      <c r="AZ1389" s="156"/>
      <c r="BA1389" s="156"/>
      <c r="BB1389" s="2828"/>
      <c r="BC1389" s="452"/>
      <c r="BD1389" s="2829"/>
      <c r="BE1389" s="156"/>
      <c r="BF1389" s="156"/>
    </row>
    <row r="1390" spans="1:58" hidden="1" outlineLevel="1" x14ac:dyDescent="0.35">
      <c r="A1390" s="1071"/>
      <c r="B1390" s="106"/>
      <c r="C1390" s="103"/>
      <c r="D1390" s="4022"/>
      <c r="E1390" s="4148"/>
      <c r="F1390" s="3935" t="str">
        <f>$F$1354</f>
        <v>DFHP-SEER20-ROF_MF</v>
      </c>
      <c r="G1390" s="3935"/>
      <c r="H1390" s="3936"/>
      <c r="I1390" s="2229"/>
      <c r="J1390" s="2224">
        <v>14</v>
      </c>
      <c r="K1390" s="675"/>
      <c r="L1390" s="624" t="s">
        <v>977</v>
      </c>
      <c r="M1390" s="106"/>
      <c r="N1390" s="106"/>
      <c r="O1390" s="106"/>
      <c r="P1390" s="106"/>
      <c r="Q1390" s="106"/>
      <c r="R1390" s="486"/>
      <c r="S1390" s="106"/>
      <c r="T1390" s="106"/>
      <c r="U1390" s="106"/>
      <c r="V1390" s="4022"/>
      <c r="W1390" s="2224">
        <v>14</v>
      </c>
      <c r="X1390" s="2224">
        <v>14</v>
      </c>
      <c r="Y1390" s="2224">
        <v>14</v>
      </c>
      <c r="Z1390" s="2224">
        <v>14</v>
      </c>
      <c r="AA1390" s="2224">
        <v>14</v>
      </c>
      <c r="AB1390" s="2224">
        <v>14</v>
      </c>
      <c r="AC1390" s="2224">
        <v>14</v>
      </c>
      <c r="AD1390" s="2224">
        <v>14</v>
      </c>
      <c r="AE1390" s="2224"/>
      <c r="AF1390" s="2224"/>
      <c r="AG1390" s="2224"/>
      <c r="AH1390" s="156"/>
      <c r="AI1390" s="156"/>
      <c r="AJ1390" s="156"/>
      <c r="AK1390" s="156"/>
      <c r="AL1390" s="156"/>
      <c r="AM1390" s="156"/>
      <c r="AN1390" s="156"/>
      <c r="AO1390" s="156"/>
      <c r="AP1390" s="156"/>
      <c r="AQ1390" s="156"/>
      <c r="AR1390" s="156"/>
      <c r="AS1390" s="156"/>
      <c r="AT1390" s="156"/>
      <c r="AU1390" s="156"/>
      <c r="AV1390" s="156"/>
      <c r="AW1390" s="156"/>
      <c r="AX1390" s="156"/>
      <c r="AY1390" s="156"/>
      <c r="AZ1390" s="156"/>
      <c r="BA1390" s="156"/>
      <c r="BB1390" s="2828"/>
      <c r="BC1390" s="452"/>
      <c r="BD1390" s="2829"/>
      <c r="BE1390" s="156"/>
      <c r="BF1390" s="156"/>
    </row>
    <row r="1391" spans="1:58" hidden="1" outlineLevel="1" x14ac:dyDescent="0.35">
      <c r="A1391" s="1071"/>
      <c r="B1391" s="106"/>
      <c r="C1391" s="103"/>
      <c r="D1391" s="4022"/>
      <c r="E1391" s="4148"/>
      <c r="F1391" s="3935" t="str">
        <f>$F$1355</f>
        <v>DFHP-SEER20-ROF_MF_CompE</v>
      </c>
      <c r="G1391" s="3935"/>
      <c r="H1391" s="3936"/>
      <c r="I1391" s="2229"/>
      <c r="J1391" s="2224">
        <v>14</v>
      </c>
      <c r="K1391" s="675"/>
      <c r="L1391" s="624"/>
      <c r="M1391" s="106"/>
      <c r="N1391" s="106"/>
      <c r="O1391" s="106"/>
      <c r="P1391" s="106"/>
      <c r="Q1391" s="106"/>
      <c r="R1391" s="486"/>
      <c r="S1391" s="106"/>
      <c r="T1391" s="106"/>
      <c r="U1391" s="106"/>
      <c r="V1391" s="4022"/>
      <c r="W1391" s="2224"/>
      <c r="X1391" s="2224"/>
      <c r="Y1391" s="2374">
        <v>14</v>
      </c>
      <c r="Z1391" s="2224">
        <v>14</v>
      </c>
      <c r="AA1391" s="2224">
        <v>14</v>
      </c>
      <c r="AB1391" s="2224">
        <v>14</v>
      </c>
      <c r="AC1391" s="2224">
        <v>14</v>
      </c>
      <c r="AD1391" s="2224">
        <v>14</v>
      </c>
      <c r="AE1391" s="2224"/>
      <c r="AF1391" s="2224"/>
      <c r="AG1391" s="2224"/>
      <c r="AH1391" s="156"/>
      <c r="AI1391" s="156"/>
      <c r="AJ1391" s="156"/>
      <c r="AK1391" s="156"/>
      <c r="AL1391" s="156"/>
      <c r="AM1391" s="156"/>
      <c r="AN1391" s="156"/>
      <c r="AO1391" s="156"/>
      <c r="AP1391" s="156"/>
      <c r="AQ1391" s="156"/>
      <c r="AR1391" s="156"/>
      <c r="AS1391" s="156"/>
      <c r="AT1391" s="156"/>
      <c r="AU1391" s="156"/>
      <c r="AV1391" s="156"/>
      <c r="AW1391" s="156"/>
      <c r="AX1391" s="156"/>
      <c r="AY1391" s="156"/>
      <c r="AZ1391" s="156"/>
      <c r="BA1391" s="156"/>
      <c r="BB1391" s="2828"/>
      <c r="BC1391" s="452"/>
      <c r="BD1391" s="2829"/>
      <c r="BE1391" s="156"/>
      <c r="BF1391" s="156"/>
    </row>
    <row r="1392" spans="1:58" hidden="1" outlineLevel="1" x14ac:dyDescent="0.35">
      <c r="A1392" s="1071"/>
      <c r="B1392" s="106"/>
      <c r="C1392" s="103"/>
      <c r="D1392" s="4022"/>
      <c r="E1392" s="4148"/>
      <c r="F1392" s="3935" t="str">
        <f>$F$1356</f>
        <v>DFHP-SEER21-ROF_MF</v>
      </c>
      <c r="G1392" s="3935"/>
      <c r="H1392" s="3936"/>
      <c r="I1392" s="2229"/>
      <c r="J1392" s="2224">
        <v>14</v>
      </c>
      <c r="K1392" s="675"/>
      <c r="L1392" s="624" t="s">
        <v>977</v>
      </c>
      <c r="M1392" s="106"/>
      <c r="N1392" s="106"/>
      <c r="O1392" s="106"/>
      <c r="P1392" s="106"/>
      <c r="Q1392" s="106"/>
      <c r="R1392" s="486"/>
      <c r="S1392" s="106"/>
      <c r="T1392" s="106"/>
      <c r="U1392" s="106"/>
      <c r="V1392" s="4022"/>
      <c r="W1392" s="2224">
        <v>14</v>
      </c>
      <c r="X1392" s="2224">
        <v>14</v>
      </c>
      <c r="Y1392" s="2224">
        <v>14</v>
      </c>
      <c r="Z1392" s="2224">
        <v>14</v>
      </c>
      <c r="AA1392" s="2224">
        <v>14</v>
      </c>
      <c r="AB1392" s="2224">
        <v>14</v>
      </c>
      <c r="AC1392" s="2224">
        <v>14</v>
      </c>
      <c r="AD1392" s="2224">
        <v>14</v>
      </c>
      <c r="AE1392" s="2224"/>
      <c r="AF1392" s="2224"/>
      <c r="AG1392" s="2224"/>
      <c r="AH1392" s="156"/>
      <c r="AI1392" s="156"/>
      <c r="AJ1392" s="156"/>
      <c r="AK1392" s="156"/>
      <c r="AL1392" s="156"/>
      <c r="AM1392" s="156"/>
      <c r="AN1392" s="156"/>
      <c r="AO1392" s="156"/>
      <c r="AP1392" s="156"/>
      <c r="AQ1392" s="156"/>
      <c r="AR1392" s="156"/>
      <c r="AS1392" s="156"/>
      <c r="AT1392" s="156"/>
      <c r="AU1392" s="156"/>
      <c r="AV1392" s="156"/>
      <c r="AW1392" s="156"/>
      <c r="AX1392" s="156"/>
      <c r="AY1392" s="156"/>
      <c r="AZ1392" s="156"/>
      <c r="BA1392" s="156"/>
      <c r="BB1392" s="2828"/>
      <c r="BC1392" s="452"/>
      <c r="BD1392" s="2829"/>
      <c r="BE1392" s="156"/>
      <c r="BF1392" s="156"/>
    </row>
    <row r="1393" spans="1:58" ht="15" hidden="1" outlineLevel="1" thickBot="1" x14ac:dyDescent="0.4">
      <c r="A1393" s="1071"/>
      <c r="B1393" s="106"/>
      <c r="C1393" s="103"/>
      <c r="D1393" s="4104"/>
      <c r="E1393" s="4149"/>
      <c r="F1393" s="4089" t="str">
        <f>$F$1357</f>
        <v>DFHP-SEER21-ROF_MF_CompE</v>
      </c>
      <c r="G1393" s="4089"/>
      <c r="H1393" s="4090"/>
      <c r="I1393" s="1538"/>
      <c r="J1393" s="576">
        <v>14</v>
      </c>
      <c r="K1393" s="1539"/>
      <c r="L1393" s="2786"/>
      <c r="M1393" s="106"/>
      <c r="N1393" s="106"/>
      <c r="O1393" s="106"/>
      <c r="P1393" s="106"/>
      <c r="Q1393" s="106"/>
      <c r="R1393" s="486"/>
      <c r="S1393" s="106"/>
      <c r="T1393" s="106"/>
      <c r="U1393" s="106"/>
      <c r="V1393" s="4022"/>
      <c r="W1393" s="2224"/>
      <c r="X1393" s="2224"/>
      <c r="Y1393" s="2374">
        <v>14</v>
      </c>
      <c r="Z1393" s="2224">
        <v>14</v>
      </c>
      <c r="AA1393" s="2224">
        <v>14</v>
      </c>
      <c r="AB1393" s="2224">
        <v>14</v>
      </c>
      <c r="AC1393" s="576">
        <v>14</v>
      </c>
      <c r="AD1393" s="576">
        <v>14</v>
      </c>
      <c r="AE1393" s="2224"/>
      <c r="AF1393" s="2224"/>
      <c r="AG1393" s="2224"/>
      <c r="AH1393" s="156"/>
      <c r="AI1393" s="156"/>
      <c r="AJ1393" s="156"/>
      <c r="AK1393" s="156"/>
      <c r="AL1393" s="156"/>
      <c r="AM1393" s="156"/>
      <c r="AN1393" s="156"/>
      <c r="AO1393" s="156"/>
      <c r="AP1393" s="156"/>
      <c r="AQ1393" s="156"/>
      <c r="AR1393" s="156"/>
      <c r="AS1393" s="156"/>
      <c r="AT1393" s="156"/>
      <c r="AU1393" s="156"/>
      <c r="AV1393" s="156"/>
      <c r="AW1393" s="156"/>
      <c r="AX1393" s="156"/>
      <c r="AY1393" s="156"/>
      <c r="AZ1393" s="156"/>
      <c r="BA1393" s="156"/>
      <c r="BB1393" s="2828"/>
      <c r="BC1393" s="452"/>
      <c r="BD1393" s="2829"/>
      <c r="BE1393" s="156"/>
      <c r="BF1393" s="156"/>
    </row>
    <row r="1394" spans="1:58" hidden="1" outlineLevel="1" x14ac:dyDescent="0.35">
      <c r="A1394" s="1071"/>
      <c r="B1394" s="106"/>
      <c r="C1394" s="103"/>
      <c r="D1394" s="4021" t="s">
        <v>1122</v>
      </c>
      <c r="E1394" s="4147" t="s">
        <v>1123</v>
      </c>
      <c r="F1394" s="4091" t="str">
        <f>$F$1352</f>
        <v>DFHP-SEER19-ROF_MF</v>
      </c>
      <c r="G1394" s="3944"/>
      <c r="H1394" s="3945"/>
      <c r="I1394" s="2231"/>
      <c r="J1394" s="2228">
        <v>19</v>
      </c>
      <c r="K1394" s="680"/>
      <c r="L1394" s="621" t="s">
        <v>1124</v>
      </c>
      <c r="M1394" s="106"/>
      <c r="N1394" s="106"/>
      <c r="O1394" s="106"/>
      <c r="P1394" s="106"/>
      <c r="Q1394" s="106"/>
      <c r="R1394" s="486"/>
      <c r="S1394" s="106"/>
      <c r="T1394" s="106"/>
      <c r="U1394" s="106"/>
      <c r="V1394" s="4021" t="s">
        <v>1122</v>
      </c>
      <c r="W1394" s="2228">
        <v>19</v>
      </c>
      <c r="X1394" s="2228">
        <v>19</v>
      </c>
      <c r="Y1394" s="2228">
        <v>19</v>
      </c>
      <c r="Z1394" s="2228">
        <v>19</v>
      </c>
      <c r="AA1394" s="2228">
        <v>19</v>
      </c>
      <c r="AB1394" s="2228">
        <v>19</v>
      </c>
      <c r="AC1394" s="2228">
        <v>19</v>
      </c>
      <c r="AD1394" s="2228">
        <v>19</v>
      </c>
      <c r="AE1394" s="2228"/>
      <c r="AF1394" s="2228"/>
      <c r="AG1394" s="2228"/>
      <c r="AH1394" s="156"/>
      <c r="AI1394" s="156"/>
      <c r="AJ1394" s="156"/>
      <c r="AK1394" s="156"/>
      <c r="AL1394" s="156"/>
      <c r="AM1394" s="156"/>
      <c r="AN1394" s="156"/>
      <c r="AO1394" s="156"/>
      <c r="AP1394" s="156"/>
      <c r="AQ1394" s="156"/>
      <c r="AR1394" s="156"/>
      <c r="AS1394" s="156"/>
      <c r="AT1394" s="156"/>
      <c r="AU1394" s="156"/>
      <c r="AV1394" s="156"/>
      <c r="AW1394" s="156"/>
      <c r="AX1394" s="156"/>
      <c r="AY1394" s="156"/>
      <c r="AZ1394" s="156"/>
      <c r="BA1394" s="156"/>
      <c r="BB1394" s="2828"/>
      <c r="BC1394" s="452"/>
      <c r="BD1394" s="2829"/>
      <c r="BE1394" s="156"/>
      <c r="BF1394" s="156"/>
    </row>
    <row r="1395" spans="1:58" hidden="1" outlineLevel="1" x14ac:dyDescent="0.35">
      <c r="A1395" s="1071"/>
      <c r="B1395" s="106"/>
      <c r="C1395" s="103"/>
      <c r="D1395" s="4022"/>
      <c r="E1395" s="4148"/>
      <c r="F1395" s="4092" t="str">
        <f>$F$1353</f>
        <v>DFHP-SEER19-ROF_MF_CompE</v>
      </c>
      <c r="G1395" s="3935"/>
      <c r="H1395" s="3936"/>
      <c r="I1395" s="660"/>
      <c r="J1395" s="2224">
        <v>19</v>
      </c>
      <c r="K1395" s="675"/>
      <c r="L1395" s="658"/>
      <c r="M1395" s="106"/>
      <c r="N1395" s="106"/>
      <c r="O1395" s="106"/>
      <c r="P1395" s="106"/>
      <c r="Q1395" s="106"/>
      <c r="R1395" s="486"/>
      <c r="S1395" s="106"/>
      <c r="T1395" s="106"/>
      <c r="U1395" s="106"/>
      <c r="V1395" s="4022"/>
      <c r="W1395" s="579"/>
      <c r="X1395" s="579"/>
      <c r="Y1395" s="2377">
        <v>19</v>
      </c>
      <c r="Z1395" s="579">
        <v>19</v>
      </c>
      <c r="AA1395" s="579">
        <v>19</v>
      </c>
      <c r="AB1395" s="579">
        <v>19</v>
      </c>
      <c r="AC1395" s="2224">
        <v>19</v>
      </c>
      <c r="AD1395" s="2224">
        <v>19</v>
      </c>
      <c r="AE1395" s="579"/>
      <c r="AF1395" s="579"/>
      <c r="AG1395" s="579"/>
      <c r="AH1395" s="156"/>
      <c r="AI1395" s="156"/>
      <c r="AJ1395" s="156"/>
      <c r="AK1395" s="156"/>
      <c r="AL1395" s="156"/>
      <c r="AM1395" s="156"/>
      <c r="AN1395" s="156"/>
      <c r="AO1395" s="156"/>
      <c r="AP1395" s="156"/>
      <c r="AQ1395" s="156"/>
      <c r="AR1395" s="156"/>
      <c r="AS1395" s="156"/>
      <c r="AT1395" s="156"/>
      <c r="AU1395" s="156"/>
      <c r="AV1395" s="156"/>
      <c r="AW1395" s="156"/>
      <c r="AX1395" s="156"/>
      <c r="AY1395" s="156"/>
      <c r="AZ1395" s="156"/>
      <c r="BA1395" s="156"/>
      <c r="BB1395" s="2828"/>
      <c r="BC1395" s="452"/>
      <c r="BD1395" s="2829"/>
      <c r="BE1395" s="156"/>
      <c r="BF1395" s="156"/>
    </row>
    <row r="1396" spans="1:58" hidden="1" outlineLevel="1" x14ac:dyDescent="0.35">
      <c r="A1396" s="1071"/>
      <c r="B1396" s="106"/>
      <c r="C1396" s="103"/>
      <c r="D1396" s="4022"/>
      <c r="E1396" s="4148"/>
      <c r="F1396" s="4092" t="str">
        <f>$F$1354</f>
        <v>DFHP-SEER20-ROF_MF</v>
      </c>
      <c r="G1396" s="3935"/>
      <c r="H1396" s="3936"/>
      <c r="I1396" s="2229"/>
      <c r="J1396" s="2224">
        <v>20</v>
      </c>
      <c r="K1396" s="675"/>
      <c r="L1396" s="624" t="s">
        <v>1124</v>
      </c>
      <c r="M1396" s="106"/>
      <c r="N1396" s="106"/>
      <c r="O1396" s="106"/>
      <c r="P1396" s="106"/>
      <c r="Q1396" s="106"/>
      <c r="R1396" s="486"/>
      <c r="S1396" s="106"/>
      <c r="T1396" s="106"/>
      <c r="U1396" s="106"/>
      <c r="V1396" s="4022"/>
      <c r="W1396" s="2224">
        <v>20</v>
      </c>
      <c r="X1396" s="2224">
        <v>20</v>
      </c>
      <c r="Y1396" s="2224">
        <v>20</v>
      </c>
      <c r="Z1396" s="2224">
        <v>20</v>
      </c>
      <c r="AA1396" s="2224">
        <v>20</v>
      </c>
      <c r="AB1396" s="2224">
        <v>20</v>
      </c>
      <c r="AC1396" s="2224">
        <v>20</v>
      </c>
      <c r="AD1396" s="2224">
        <v>20</v>
      </c>
      <c r="AE1396" s="2224"/>
      <c r="AF1396" s="2224"/>
      <c r="AG1396" s="2224"/>
      <c r="AH1396" s="156"/>
      <c r="AI1396" s="156"/>
      <c r="AJ1396" s="156"/>
      <c r="AK1396" s="156"/>
      <c r="AL1396" s="156"/>
      <c r="AM1396" s="156"/>
      <c r="AN1396" s="156"/>
      <c r="AO1396" s="156"/>
      <c r="AP1396" s="156"/>
      <c r="AQ1396" s="156"/>
      <c r="AR1396" s="156"/>
      <c r="AS1396" s="156"/>
      <c r="AT1396" s="156"/>
      <c r="AU1396" s="156"/>
      <c r="AV1396" s="156"/>
      <c r="AW1396" s="156"/>
      <c r="AX1396" s="156"/>
      <c r="AY1396" s="156"/>
      <c r="AZ1396" s="156"/>
      <c r="BA1396" s="156"/>
      <c r="BB1396" s="2828"/>
      <c r="BC1396" s="452"/>
      <c r="BD1396" s="2829"/>
      <c r="BE1396" s="156"/>
      <c r="BF1396" s="156"/>
    </row>
    <row r="1397" spans="1:58" hidden="1" outlineLevel="1" x14ac:dyDescent="0.35">
      <c r="A1397" s="1071"/>
      <c r="B1397" s="106"/>
      <c r="C1397" s="103"/>
      <c r="D1397" s="4022"/>
      <c r="E1397" s="4148"/>
      <c r="F1397" s="4092" t="str">
        <f>$F$1355</f>
        <v>DFHP-SEER20-ROF_MF_CompE</v>
      </c>
      <c r="G1397" s="3935"/>
      <c r="H1397" s="3936"/>
      <c r="I1397" s="2229"/>
      <c r="J1397" s="2224">
        <v>20</v>
      </c>
      <c r="K1397" s="675"/>
      <c r="L1397" s="624"/>
      <c r="M1397" s="106"/>
      <c r="N1397" s="106"/>
      <c r="O1397" s="106"/>
      <c r="P1397" s="106"/>
      <c r="Q1397" s="106"/>
      <c r="R1397" s="486"/>
      <c r="S1397" s="106"/>
      <c r="T1397" s="106"/>
      <c r="U1397" s="106"/>
      <c r="V1397" s="4022"/>
      <c r="W1397" s="2224"/>
      <c r="X1397" s="2224"/>
      <c r="Y1397" s="2374">
        <v>20</v>
      </c>
      <c r="Z1397" s="2224">
        <v>20</v>
      </c>
      <c r="AA1397" s="2224">
        <v>20</v>
      </c>
      <c r="AB1397" s="2224">
        <v>20</v>
      </c>
      <c r="AC1397" s="2224">
        <v>20</v>
      </c>
      <c r="AD1397" s="2224">
        <v>20</v>
      </c>
      <c r="AE1397" s="2224"/>
      <c r="AF1397" s="2224"/>
      <c r="AG1397" s="2224"/>
      <c r="AH1397" s="156"/>
      <c r="AI1397" s="156"/>
      <c r="AJ1397" s="156"/>
      <c r="AK1397" s="156"/>
      <c r="AL1397" s="156"/>
      <c r="AM1397" s="156"/>
      <c r="AN1397" s="156"/>
      <c r="AO1397" s="156"/>
      <c r="AP1397" s="156"/>
      <c r="AQ1397" s="156"/>
      <c r="AR1397" s="156"/>
      <c r="AS1397" s="156"/>
      <c r="AT1397" s="156"/>
      <c r="AU1397" s="156"/>
      <c r="AV1397" s="156"/>
      <c r="AW1397" s="156"/>
      <c r="AX1397" s="156"/>
      <c r="AY1397" s="156"/>
      <c r="AZ1397" s="156"/>
      <c r="BA1397" s="156"/>
      <c r="BB1397" s="2828"/>
      <c r="BC1397" s="452"/>
      <c r="BD1397" s="2829"/>
      <c r="BE1397" s="156"/>
      <c r="BF1397" s="156"/>
    </row>
    <row r="1398" spans="1:58" hidden="1" outlineLevel="1" x14ac:dyDescent="0.35">
      <c r="A1398" s="1071"/>
      <c r="B1398" s="106"/>
      <c r="C1398" s="103"/>
      <c r="D1398" s="4022"/>
      <c r="E1398" s="4148"/>
      <c r="F1398" s="4092" t="str">
        <f>$F$1356</f>
        <v>DFHP-SEER21-ROF_MF</v>
      </c>
      <c r="G1398" s="3935"/>
      <c r="H1398" s="3936"/>
      <c r="I1398" s="2229"/>
      <c r="J1398" s="2224">
        <v>21</v>
      </c>
      <c r="K1398" s="675"/>
      <c r="L1398" s="624" t="s">
        <v>1124</v>
      </c>
      <c r="M1398" s="106"/>
      <c r="N1398" s="106"/>
      <c r="O1398" s="106"/>
      <c r="P1398" s="106"/>
      <c r="Q1398" s="106"/>
      <c r="R1398" s="486"/>
      <c r="S1398" s="106"/>
      <c r="T1398" s="106"/>
      <c r="U1398" s="106"/>
      <c r="V1398" s="4022"/>
      <c r="W1398" s="2224">
        <v>21</v>
      </c>
      <c r="X1398" s="2224">
        <v>21</v>
      </c>
      <c r="Y1398" s="2224">
        <v>21</v>
      </c>
      <c r="Z1398" s="2224">
        <v>21</v>
      </c>
      <c r="AA1398" s="2224">
        <v>21</v>
      </c>
      <c r="AB1398" s="2224">
        <v>21</v>
      </c>
      <c r="AC1398" s="2224">
        <v>21</v>
      </c>
      <c r="AD1398" s="2224">
        <v>21</v>
      </c>
      <c r="AE1398" s="2224"/>
      <c r="AF1398" s="2224"/>
      <c r="AG1398" s="2224"/>
      <c r="AH1398" s="156"/>
      <c r="AI1398" s="156"/>
      <c r="AJ1398" s="156"/>
      <c r="AK1398" s="156"/>
      <c r="AL1398" s="156"/>
      <c r="AM1398" s="156"/>
      <c r="AN1398" s="156"/>
      <c r="AO1398" s="156"/>
      <c r="AP1398" s="156"/>
      <c r="AQ1398" s="156"/>
      <c r="AR1398" s="156"/>
      <c r="AS1398" s="156"/>
      <c r="AT1398" s="156"/>
      <c r="AU1398" s="156"/>
      <c r="AV1398" s="156"/>
      <c r="AW1398" s="156"/>
      <c r="AX1398" s="156"/>
      <c r="AY1398" s="156"/>
      <c r="AZ1398" s="156"/>
      <c r="BA1398" s="156"/>
      <c r="BB1398" s="2828"/>
      <c r="BC1398" s="452"/>
      <c r="BD1398" s="2829"/>
      <c r="BE1398" s="156"/>
      <c r="BF1398" s="156"/>
    </row>
    <row r="1399" spans="1:58" ht="15" hidden="1" outlineLevel="1" thickBot="1" x14ac:dyDescent="0.4">
      <c r="A1399" s="1071"/>
      <c r="B1399" s="106"/>
      <c r="C1399" s="103"/>
      <c r="D1399" s="4104"/>
      <c r="E1399" s="4149"/>
      <c r="F1399" s="4093" t="str">
        <f>$F$1357</f>
        <v>DFHP-SEER21-ROF_MF_CompE</v>
      </c>
      <c r="G1399" s="3941"/>
      <c r="H1399" s="3942"/>
      <c r="I1399" s="2230"/>
      <c r="J1399" s="2227">
        <v>21</v>
      </c>
      <c r="K1399" s="1314"/>
      <c r="L1399" s="649"/>
      <c r="M1399" s="106"/>
      <c r="N1399" s="106"/>
      <c r="O1399" s="106"/>
      <c r="P1399" s="106"/>
      <c r="Q1399" s="106"/>
      <c r="R1399" s="486"/>
      <c r="S1399" s="106"/>
      <c r="T1399" s="106"/>
      <c r="U1399" s="106"/>
      <c r="V1399" s="4022"/>
      <c r="W1399" s="2224"/>
      <c r="X1399" s="2224"/>
      <c r="Y1399" s="2374">
        <v>21</v>
      </c>
      <c r="Z1399" s="2224">
        <v>21</v>
      </c>
      <c r="AA1399" s="2224">
        <v>21</v>
      </c>
      <c r="AB1399" s="2224">
        <v>21</v>
      </c>
      <c r="AC1399" s="2227">
        <v>21</v>
      </c>
      <c r="AD1399" s="2227">
        <v>21</v>
      </c>
      <c r="AE1399" s="2224"/>
      <c r="AF1399" s="2224"/>
      <c r="AG1399" s="2224"/>
      <c r="AH1399" s="156"/>
      <c r="AI1399" s="156"/>
      <c r="AJ1399" s="156"/>
      <c r="AK1399" s="156"/>
      <c r="AL1399" s="156"/>
      <c r="AM1399" s="156"/>
      <c r="AN1399" s="156"/>
      <c r="AO1399" s="156"/>
      <c r="AP1399" s="156"/>
      <c r="AQ1399" s="156"/>
      <c r="AR1399" s="156"/>
      <c r="AS1399" s="156"/>
      <c r="AT1399" s="156"/>
      <c r="AU1399" s="156"/>
      <c r="AV1399" s="156"/>
      <c r="AW1399" s="156"/>
      <c r="AX1399" s="156"/>
      <c r="AY1399" s="156"/>
      <c r="AZ1399" s="156"/>
      <c r="BA1399" s="156"/>
      <c r="BB1399" s="2828"/>
      <c r="BC1399" s="452"/>
      <c r="BD1399" s="2829"/>
      <c r="BE1399" s="156"/>
      <c r="BF1399" s="156"/>
    </row>
    <row r="1400" spans="1:58" hidden="1" outlineLevel="1" x14ac:dyDescent="0.35">
      <c r="A1400" s="1071"/>
      <c r="B1400" s="106"/>
      <c r="C1400" s="103"/>
      <c r="D1400" s="4021" t="s">
        <v>293</v>
      </c>
      <c r="E1400" s="4147" t="s">
        <v>1125</v>
      </c>
      <c r="F1400" s="4094" t="str">
        <f>$F$1352</f>
        <v>DFHP-SEER19-ROF_MF</v>
      </c>
      <c r="G1400" s="4095"/>
      <c r="H1400" s="4096"/>
      <c r="I1400" s="660"/>
      <c r="J1400" s="662">
        <v>0.65</v>
      </c>
      <c r="K1400" s="1315"/>
      <c r="L1400" s="658" t="s">
        <v>977</v>
      </c>
      <c r="M1400" s="106"/>
      <c r="N1400" s="106"/>
      <c r="O1400" s="106"/>
      <c r="P1400" s="106"/>
      <c r="Q1400" s="106"/>
      <c r="R1400" s="486"/>
      <c r="S1400" s="106"/>
      <c r="T1400" s="106"/>
      <c r="U1400" s="106"/>
      <c r="V1400" s="4021" t="s">
        <v>293</v>
      </c>
      <c r="W1400" s="659">
        <v>0.65</v>
      </c>
      <c r="X1400" s="659">
        <v>0.65</v>
      </c>
      <c r="Y1400" s="659">
        <v>0.65</v>
      </c>
      <c r="Z1400" s="659">
        <v>0.65</v>
      </c>
      <c r="AA1400" s="659">
        <v>0.65</v>
      </c>
      <c r="AB1400" s="659">
        <v>0.65</v>
      </c>
      <c r="AC1400" s="662">
        <v>0.65</v>
      </c>
      <c r="AD1400" s="662">
        <v>0.65</v>
      </c>
      <c r="AE1400" s="659"/>
      <c r="AF1400" s="659"/>
      <c r="AG1400" s="659"/>
      <c r="AH1400" s="156"/>
      <c r="AI1400" s="156"/>
      <c r="AJ1400" s="156"/>
      <c r="AK1400" s="156"/>
      <c r="AL1400" s="156"/>
      <c r="AM1400" s="156"/>
      <c r="AN1400" s="156"/>
      <c r="AO1400" s="156"/>
      <c r="AP1400" s="156"/>
      <c r="AQ1400" s="156"/>
      <c r="AR1400" s="156"/>
      <c r="AS1400" s="156"/>
      <c r="AT1400" s="156"/>
      <c r="AU1400" s="156"/>
      <c r="AV1400" s="156"/>
      <c r="AW1400" s="156"/>
      <c r="AX1400" s="156"/>
      <c r="AY1400" s="156"/>
      <c r="AZ1400" s="156"/>
      <c r="BA1400" s="156"/>
      <c r="BB1400" s="2828"/>
      <c r="BC1400" s="452"/>
      <c r="BD1400" s="2829"/>
      <c r="BE1400" s="156"/>
      <c r="BF1400" s="156"/>
    </row>
    <row r="1401" spans="1:58" hidden="1" outlineLevel="1" x14ac:dyDescent="0.35">
      <c r="A1401" s="1071"/>
      <c r="B1401" s="106"/>
      <c r="C1401" s="103"/>
      <c r="D1401" s="4022"/>
      <c r="E1401" s="4148"/>
      <c r="F1401" s="3935" t="str">
        <f>$F$1353</f>
        <v>DFHP-SEER19-ROF_MF_CompE</v>
      </c>
      <c r="G1401" s="3935"/>
      <c r="H1401" s="3936"/>
      <c r="I1401" s="660"/>
      <c r="J1401" s="663">
        <v>0.65</v>
      </c>
      <c r="K1401" s="675"/>
      <c r="L1401" s="624"/>
      <c r="M1401" s="106"/>
      <c r="N1401" s="106"/>
      <c r="O1401" s="106"/>
      <c r="P1401" s="106"/>
      <c r="Q1401" s="106"/>
      <c r="R1401" s="486"/>
      <c r="S1401" s="106"/>
      <c r="T1401" s="106"/>
      <c r="U1401" s="106"/>
      <c r="V1401" s="4022"/>
      <c r="W1401" s="662"/>
      <c r="X1401" s="662"/>
      <c r="Y1401" s="661">
        <v>0.65</v>
      </c>
      <c r="Z1401" s="663">
        <v>0.65</v>
      </c>
      <c r="AA1401" s="663">
        <v>0.65</v>
      </c>
      <c r="AB1401" s="663">
        <v>0.65</v>
      </c>
      <c r="AC1401" s="663">
        <v>0.65</v>
      </c>
      <c r="AD1401" s="663">
        <v>0.65</v>
      </c>
      <c r="AE1401" s="662"/>
      <c r="AF1401" s="662"/>
      <c r="AG1401" s="662"/>
      <c r="AH1401" s="156"/>
      <c r="AI1401" s="156"/>
      <c r="AJ1401" s="156"/>
      <c r="AK1401" s="156"/>
      <c r="AL1401" s="156"/>
      <c r="AM1401" s="156"/>
      <c r="AN1401" s="156"/>
      <c r="AO1401" s="156"/>
      <c r="AP1401" s="156"/>
      <c r="AQ1401" s="156"/>
      <c r="AR1401" s="156"/>
      <c r="AS1401" s="156"/>
      <c r="AT1401" s="156"/>
      <c r="AU1401" s="156"/>
      <c r="AV1401" s="156"/>
      <c r="AW1401" s="156"/>
      <c r="AX1401" s="156"/>
      <c r="AY1401" s="156"/>
      <c r="AZ1401" s="156"/>
      <c r="BA1401" s="156"/>
      <c r="BB1401" s="2828"/>
      <c r="BC1401" s="452"/>
      <c r="BD1401" s="2829"/>
      <c r="BE1401" s="156"/>
      <c r="BF1401" s="156"/>
    </row>
    <row r="1402" spans="1:58" hidden="1" outlineLevel="1" x14ac:dyDescent="0.35">
      <c r="A1402" s="1071"/>
      <c r="B1402" s="106"/>
      <c r="C1402" s="103"/>
      <c r="D1402" s="4022"/>
      <c r="E1402" s="4148"/>
      <c r="F1402" s="3935" t="str">
        <f>$F$1354</f>
        <v>DFHP-SEER20-ROF_MF</v>
      </c>
      <c r="G1402" s="3935"/>
      <c r="H1402" s="3936"/>
      <c r="I1402" s="2229"/>
      <c r="J1402" s="663">
        <v>0.65</v>
      </c>
      <c r="K1402" s="675"/>
      <c r="L1402" s="624" t="s">
        <v>977</v>
      </c>
      <c r="M1402" s="106"/>
      <c r="N1402" s="106"/>
      <c r="O1402" s="106"/>
      <c r="P1402" s="106"/>
      <c r="Q1402" s="106"/>
      <c r="R1402" s="486"/>
      <c r="S1402" s="106"/>
      <c r="T1402" s="106"/>
      <c r="U1402" s="106"/>
      <c r="V1402" s="4022"/>
      <c r="W1402" s="663">
        <v>0.65</v>
      </c>
      <c r="X1402" s="663">
        <v>0.65</v>
      </c>
      <c r="Y1402" s="663">
        <v>0.65</v>
      </c>
      <c r="Z1402" s="663">
        <v>0.65</v>
      </c>
      <c r="AA1402" s="663">
        <v>0.65</v>
      </c>
      <c r="AB1402" s="663">
        <v>0.65</v>
      </c>
      <c r="AC1402" s="663">
        <v>0.65</v>
      </c>
      <c r="AD1402" s="663">
        <v>0.65</v>
      </c>
      <c r="AE1402" s="663"/>
      <c r="AF1402" s="663"/>
      <c r="AG1402" s="663"/>
      <c r="AH1402" s="156"/>
      <c r="AI1402" s="156"/>
      <c r="AJ1402" s="156"/>
      <c r="AK1402" s="156"/>
      <c r="AL1402" s="156"/>
      <c r="AM1402" s="156"/>
      <c r="AN1402" s="156"/>
      <c r="AO1402" s="156"/>
      <c r="AP1402" s="156"/>
      <c r="AQ1402" s="156"/>
      <c r="AR1402" s="156"/>
      <c r="AS1402" s="156"/>
      <c r="AT1402" s="156"/>
      <c r="AU1402" s="156"/>
      <c r="AV1402" s="156"/>
      <c r="AW1402" s="156"/>
      <c r="AX1402" s="156"/>
      <c r="AY1402" s="156"/>
      <c r="AZ1402" s="156"/>
      <c r="BA1402" s="156"/>
      <c r="BB1402" s="2828"/>
      <c r="BC1402" s="452"/>
      <c r="BD1402" s="2829"/>
      <c r="BE1402" s="156"/>
      <c r="BF1402" s="156"/>
    </row>
    <row r="1403" spans="1:58" hidden="1" outlineLevel="1" x14ac:dyDescent="0.35">
      <c r="A1403" s="1071"/>
      <c r="B1403" s="106"/>
      <c r="C1403" s="103"/>
      <c r="D1403" s="4022"/>
      <c r="E1403" s="4148"/>
      <c r="F1403" s="3935" t="str">
        <f>$F$1355</f>
        <v>DFHP-SEER20-ROF_MF_CompE</v>
      </c>
      <c r="G1403" s="3935"/>
      <c r="H1403" s="3936"/>
      <c r="I1403" s="2229"/>
      <c r="J1403" s="663">
        <v>0.65</v>
      </c>
      <c r="K1403" s="675"/>
      <c r="L1403" s="624"/>
      <c r="M1403" s="106"/>
      <c r="N1403" s="106"/>
      <c r="O1403" s="106"/>
      <c r="P1403" s="106"/>
      <c r="Q1403" s="106"/>
      <c r="R1403" s="486"/>
      <c r="S1403" s="106"/>
      <c r="T1403" s="106"/>
      <c r="U1403" s="106"/>
      <c r="V1403" s="4022"/>
      <c r="W1403" s="663"/>
      <c r="X1403" s="663"/>
      <c r="Y1403" s="661">
        <v>0.65</v>
      </c>
      <c r="Z1403" s="663">
        <v>0.65</v>
      </c>
      <c r="AA1403" s="663">
        <v>0.65</v>
      </c>
      <c r="AB1403" s="663">
        <v>0.65</v>
      </c>
      <c r="AC1403" s="663">
        <v>0.65</v>
      </c>
      <c r="AD1403" s="663">
        <v>0.65</v>
      </c>
      <c r="AE1403" s="663"/>
      <c r="AF1403" s="663"/>
      <c r="AG1403" s="663"/>
      <c r="AH1403" s="156"/>
      <c r="AI1403" s="156"/>
      <c r="AJ1403" s="156"/>
      <c r="AK1403" s="156"/>
      <c r="AL1403" s="156"/>
      <c r="AM1403" s="156"/>
      <c r="AN1403" s="156"/>
      <c r="AO1403" s="156"/>
      <c r="AP1403" s="156"/>
      <c r="AQ1403" s="156"/>
      <c r="AR1403" s="156"/>
      <c r="AS1403" s="156"/>
      <c r="AT1403" s="156"/>
      <c r="AU1403" s="156"/>
      <c r="AV1403" s="156"/>
      <c r="AW1403" s="156"/>
      <c r="AX1403" s="156"/>
      <c r="AY1403" s="156"/>
      <c r="AZ1403" s="156"/>
      <c r="BA1403" s="156"/>
      <c r="BB1403" s="2828"/>
      <c r="BC1403" s="452"/>
      <c r="BD1403" s="2829"/>
      <c r="BE1403" s="156"/>
      <c r="BF1403" s="156"/>
    </row>
    <row r="1404" spans="1:58" hidden="1" outlineLevel="1" x14ac:dyDescent="0.35">
      <c r="A1404" s="1071"/>
      <c r="B1404" s="106"/>
      <c r="C1404" s="103"/>
      <c r="D1404" s="4022"/>
      <c r="E1404" s="4148"/>
      <c r="F1404" s="3935" t="str">
        <f>$F$1356</f>
        <v>DFHP-SEER21-ROF_MF</v>
      </c>
      <c r="G1404" s="3935"/>
      <c r="H1404" s="3936"/>
      <c r="I1404" s="2229"/>
      <c r="J1404" s="663">
        <v>0.65</v>
      </c>
      <c r="K1404" s="675"/>
      <c r="L1404" s="624" t="s">
        <v>977</v>
      </c>
      <c r="M1404" s="106"/>
      <c r="N1404" s="106"/>
      <c r="O1404" s="106"/>
      <c r="P1404" s="106"/>
      <c r="Q1404" s="106"/>
      <c r="R1404" s="486"/>
      <c r="S1404" s="106"/>
      <c r="T1404" s="106"/>
      <c r="U1404" s="106"/>
      <c r="V1404" s="4022"/>
      <c r="W1404" s="663">
        <v>0.65</v>
      </c>
      <c r="X1404" s="663">
        <v>0.65</v>
      </c>
      <c r="Y1404" s="663">
        <v>0.65</v>
      </c>
      <c r="Z1404" s="663">
        <v>0.65</v>
      </c>
      <c r="AA1404" s="663">
        <v>0.65</v>
      </c>
      <c r="AB1404" s="663">
        <v>0.65</v>
      </c>
      <c r="AC1404" s="663">
        <v>0.65</v>
      </c>
      <c r="AD1404" s="663">
        <v>0.65</v>
      </c>
      <c r="AE1404" s="663"/>
      <c r="AF1404" s="663"/>
      <c r="AG1404" s="663"/>
      <c r="AH1404" s="156"/>
      <c r="AI1404" s="156"/>
      <c r="AJ1404" s="156"/>
      <c r="AK1404" s="156"/>
      <c r="AL1404" s="156"/>
      <c r="AM1404" s="156"/>
      <c r="AN1404" s="156"/>
      <c r="AO1404" s="156"/>
      <c r="AP1404" s="156"/>
      <c r="AQ1404" s="156"/>
      <c r="AR1404" s="156"/>
      <c r="AS1404" s="156"/>
      <c r="AT1404" s="156"/>
      <c r="AU1404" s="156"/>
      <c r="AV1404" s="156"/>
      <c r="AW1404" s="156"/>
      <c r="AX1404" s="156"/>
      <c r="AY1404" s="156"/>
      <c r="AZ1404" s="156"/>
      <c r="BA1404" s="156"/>
      <c r="BB1404" s="2828"/>
      <c r="BC1404" s="452"/>
      <c r="BD1404" s="2829"/>
      <c r="BE1404" s="156"/>
      <c r="BF1404" s="156"/>
    </row>
    <row r="1405" spans="1:58" ht="15" hidden="1" outlineLevel="1" thickBot="1" x14ac:dyDescent="0.4">
      <c r="A1405" s="1071"/>
      <c r="B1405" s="106"/>
      <c r="C1405" s="103"/>
      <c r="D1405" s="4104"/>
      <c r="E1405" s="4149"/>
      <c r="F1405" s="4089" t="str">
        <f>$F$1357</f>
        <v>DFHP-SEER21-ROF_MF_CompE</v>
      </c>
      <c r="G1405" s="4089"/>
      <c r="H1405" s="4090"/>
      <c r="I1405" s="1538"/>
      <c r="J1405" s="715">
        <v>0.65</v>
      </c>
      <c r="K1405" s="1539"/>
      <c r="L1405" s="2786"/>
      <c r="M1405" s="106"/>
      <c r="N1405" s="106"/>
      <c r="O1405" s="106"/>
      <c r="P1405" s="106"/>
      <c r="Q1405" s="106"/>
      <c r="R1405" s="486"/>
      <c r="S1405" s="106"/>
      <c r="T1405" s="106"/>
      <c r="U1405" s="106"/>
      <c r="V1405" s="4022"/>
      <c r="W1405" s="663"/>
      <c r="X1405" s="663"/>
      <c r="Y1405" s="661">
        <v>0.65</v>
      </c>
      <c r="Z1405" s="663">
        <v>0.65</v>
      </c>
      <c r="AA1405" s="663">
        <v>0.65</v>
      </c>
      <c r="AB1405" s="663">
        <v>0.65</v>
      </c>
      <c r="AC1405" s="715">
        <v>0.65</v>
      </c>
      <c r="AD1405" s="715">
        <v>0.65</v>
      </c>
      <c r="AE1405" s="663"/>
      <c r="AF1405" s="663"/>
      <c r="AG1405" s="663"/>
      <c r="AH1405" s="156"/>
      <c r="AI1405" s="156"/>
      <c r="AJ1405" s="156"/>
      <c r="AK1405" s="156"/>
      <c r="AL1405" s="156"/>
      <c r="AM1405" s="156"/>
      <c r="AN1405" s="156"/>
      <c r="AO1405" s="156"/>
      <c r="AP1405" s="156"/>
      <c r="AQ1405" s="156"/>
      <c r="AR1405" s="156"/>
      <c r="AS1405" s="156"/>
      <c r="AT1405" s="156"/>
      <c r="AU1405" s="156"/>
      <c r="AV1405" s="156"/>
      <c r="AW1405" s="156"/>
      <c r="AX1405" s="156"/>
      <c r="AY1405" s="156"/>
      <c r="AZ1405" s="156"/>
      <c r="BA1405" s="156"/>
      <c r="BB1405" s="2828"/>
      <c r="BC1405" s="452"/>
      <c r="BD1405" s="2829"/>
      <c r="BE1405" s="156"/>
      <c r="BF1405" s="156"/>
    </row>
    <row r="1406" spans="1:58" hidden="1" outlineLevel="1" x14ac:dyDescent="0.35">
      <c r="A1406" s="1071"/>
      <c r="B1406" s="106"/>
      <c r="C1406" s="103"/>
      <c r="D1406" s="4021" t="s">
        <v>180</v>
      </c>
      <c r="E1406" s="4147" t="s">
        <v>1126</v>
      </c>
      <c r="F1406" s="4091" t="str">
        <f>$F$1352</f>
        <v>DFHP-SEER19-ROF_MF</v>
      </c>
      <c r="G1406" s="3944"/>
      <c r="H1406" s="3945"/>
      <c r="I1406" s="2231"/>
      <c r="J1406" s="2228">
        <v>18</v>
      </c>
      <c r="K1406" s="680"/>
      <c r="L1406" s="621"/>
      <c r="M1406" s="106"/>
      <c r="N1406" s="106"/>
      <c r="O1406" s="106"/>
      <c r="P1406" s="106"/>
      <c r="Q1406" s="106"/>
      <c r="R1406" s="486"/>
      <c r="S1406" s="106"/>
      <c r="T1406" s="106"/>
      <c r="U1406" s="106"/>
      <c r="V1406" s="4021" t="str">
        <f>D1406</f>
        <v>EUL</v>
      </c>
      <c r="W1406" s="646">
        <v>18</v>
      </c>
      <c r="X1406" s="646">
        <v>18</v>
      </c>
      <c r="Y1406" s="646">
        <v>18</v>
      </c>
      <c r="Z1406" s="646">
        <v>18</v>
      </c>
      <c r="AA1406" s="646">
        <v>18</v>
      </c>
      <c r="AB1406" s="646">
        <v>18</v>
      </c>
      <c r="AC1406" s="2228">
        <v>18</v>
      </c>
      <c r="AD1406" s="2228">
        <v>18</v>
      </c>
      <c r="AE1406" s="646"/>
      <c r="AF1406" s="646"/>
      <c r="AG1406" s="646"/>
      <c r="AH1406" s="156"/>
      <c r="AI1406" s="156"/>
      <c r="AJ1406" s="156"/>
      <c r="AK1406" s="156"/>
      <c r="AL1406" s="156"/>
      <c r="AM1406" s="156"/>
      <c r="AN1406" s="156"/>
      <c r="AO1406" s="156"/>
      <c r="AP1406" s="156"/>
      <c r="AQ1406" s="156"/>
      <c r="AR1406" s="156"/>
      <c r="AS1406" s="156"/>
      <c r="AT1406" s="156"/>
      <c r="AU1406" s="156"/>
      <c r="AV1406" s="156"/>
      <c r="AW1406" s="156"/>
      <c r="AX1406" s="156"/>
      <c r="AY1406" s="156"/>
      <c r="AZ1406" s="156"/>
      <c r="BA1406" s="156"/>
      <c r="BB1406" s="2828"/>
      <c r="BC1406" s="452"/>
      <c r="BD1406" s="2829"/>
      <c r="BE1406" s="156"/>
      <c r="BF1406" s="156"/>
    </row>
    <row r="1407" spans="1:58" hidden="1" outlineLevel="1" x14ac:dyDescent="0.35">
      <c r="A1407" s="1071"/>
      <c r="B1407" s="106"/>
      <c r="C1407" s="103"/>
      <c r="D1407" s="4022"/>
      <c r="E1407" s="4148"/>
      <c r="F1407" s="4092" t="str">
        <f>$F$1353</f>
        <v>DFHP-SEER19-ROF_MF_CompE</v>
      </c>
      <c r="G1407" s="3935"/>
      <c r="H1407" s="3936"/>
      <c r="I1407" s="660"/>
      <c r="J1407" s="2224">
        <v>18</v>
      </c>
      <c r="K1407" s="675"/>
      <c r="L1407" s="624"/>
      <c r="M1407" s="106"/>
      <c r="N1407" s="106"/>
      <c r="O1407" s="106"/>
      <c r="P1407" s="106"/>
      <c r="Q1407" s="106"/>
      <c r="R1407" s="486"/>
      <c r="S1407" s="106"/>
      <c r="T1407" s="106"/>
      <c r="U1407" s="106"/>
      <c r="V1407" s="4022"/>
      <c r="W1407" s="645"/>
      <c r="X1407" s="645"/>
      <c r="Y1407" s="664">
        <v>18</v>
      </c>
      <c r="Z1407" s="647">
        <v>18</v>
      </c>
      <c r="AA1407" s="647">
        <v>18</v>
      </c>
      <c r="AB1407" s="647">
        <v>18</v>
      </c>
      <c r="AC1407" s="2224">
        <v>18</v>
      </c>
      <c r="AD1407" s="2224">
        <v>18</v>
      </c>
      <c r="AE1407" s="645"/>
      <c r="AF1407" s="645"/>
      <c r="AG1407" s="645"/>
      <c r="AH1407" s="156"/>
      <c r="AI1407" s="156"/>
      <c r="AJ1407" s="156"/>
      <c r="AK1407" s="156"/>
      <c r="AL1407" s="156"/>
      <c r="AM1407" s="156"/>
      <c r="AN1407" s="156"/>
      <c r="AO1407" s="156"/>
      <c r="AP1407" s="156"/>
      <c r="AQ1407" s="156"/>
      <c r="AR1407" s="156"/>
      <c r="AS1407" s="156"/>
      <c r="AT1407" s="156"/>
      <c r="AU1407" s="156"/>
      <c r="AV1407" s="156"/>
      <c r="AW1407" s="156"/>
      <c r="AX1407" s="156"/>
      <c r="AY1407" s="156"/>
      <c r="AZ1407" s="156"/>
      <c r="BA1407" s="156"/>
      <c r="BB1407" s="2828"/>
      <c r="BC1407" s="452"/>
      <c r="BD1407" s="2829"/>
      <c r="BE1407" s="156"/>
      <c r="BF1407" s="156"/>
    </row>
    <row r="1408" spans="1:58" hidden="1" outlineLevel="1" x14ac:dyDescent="0.35">
      <c r="A1408" s="1071"/>
      <c r="B1408" s="106"/>
      <c r="C1408" s="103"/>
      <c r="D1408" s="4022"/>
      <c r="E1408" s="4148"/>
      <c r="F1408" s="4092" t="str">
        <f>$F$1354</f>
        <v>DFHP-SEER20-ROF_MF</v>
      </c>
      <c r="G1408" s="3935"/>
      <c r="H1408" s="3936"/>
      <c r="I1408" s="2229"/>
      <c r="J1408" s="2224">
        <v>18</v>
      </c>
      <c r="K1408" s="675"/>
      <c r="L1408" s="624"/>
      <c r="M1408" s="106"/>
      <c r="N1408" s="106"/>
      <c r="O1408" s="106"/>
      <c r="P1408" s="106"/>
      <c r="Q1408" s="106"/>
      <c r="R1408" s="486"/>
      <c r="S1408" s="106"/>
      <c r="T1408" s="106"/>
      <c r="U1408" s="106"/>
      <c r="V1408" s="4022"/>
      <c r="W1408" s="647">
        <v>18</v>
      </c>
      <c r="X1408" s="647">
        <v>18</v>
      </c>
      <c r="Y1408" s="647">
        <v>18</v>
      </c>
      <c r="Z1408" s="647">
        <v>18</v>
      </c>
      <c r="AA1408" s="647">
        <v>18</v>
      </c>
      <c r="AB1408" s="647">
        <v>18</v>
      </c>
      <c r="AC1408" s="2224">
        <v>18</v>
      </c>
      <c r="AD1408" s="2224">
        <v>18</v>
      </c>
      <c r="AE1408" s="647"/>
      <c r="AF1408" s="647"/>
      <c r="AG1408" s="647"/>
      <c r="AH1408" s="156"/>
      <c r="AI1408" s="156"/>
      <c r="AJ1408" s="156"/>
      <c r="AK1408" s="156"/>
      <c r="AL1408" s="156"/>
      <c r="AM1408" s="156"/>
      <c r="AN1408" s="156"/>
      <c r="AO1408" s="156"/>
      <c r="AP1408" s="156"/>
      <c r="AQ1408" s="156"/>
      <c r="AR1408" s="156"/>
      <c r="AS1408" s="156"/>
      <c r="AT1408" s="156"/>
      <c r="AU1408" s="156"/>
      <c r="AV1408" s="156"/>
      <c r="AW1408" s="156"/>
      <c r="AX1408" s="156"/>
      <c r="AY1408" s="156"/>
      <c r="AZ1408" s="156"/>
      <c r="BA1408" s="156"/>
      <c r="BB1408" s="2828"/>
      <c r="BC1408" s="452"/>
      <c r="BD1408" s="2829"/>
      <c r="BE1408" s="156"/>
      <c r="BF1408" s="156"/>
    </row>
    <row r="1409" spans="1:58" hidden="1" outlineLevel="1" x14ac:dyDescent="0.35">
      <c r="A1409" s="1071"/>
      <c r="B1409" s="106"/>
      <c r="C1409" s="103"/>
      <c r="D1409" s="4022"/>
      <c r="E1409" s="4148"/>
      <c r="F1409" s="4092" t="str">
        <f>$F$1355</f>
        <v>DFHP-SEER20-ROF_MF_CompE</v>
      </c>
      <c r="G1409" s="3935"/>
      <c r="H1409" s="3936"/>
      <c r="I1409" s="2229"/>
      <c r="J1409" s="2224">
        <v>18</v>
      </c>
      <c r="K1409" s="675"/>
      <c r="L1409" s="624"/>
      <c r="M1409" s="106"/>
      <c r="N1409" s="106"/>
      <c r="O1409" s="106"/>
      <c r="P1409" s="106"/>
      <c r="Q1409" s="106"/>
      <c r="R1409" s="486"/>
      <c r="S1409" s="106"/>
      <c r="T1409" s="106"/>
      <c r="U1409" s="106"/>
      <c r="V1409" s="4022"/>
      <c r="W1409" s="647"/>
      <c r="X1409" s="647"/>
      <c r="Y1409" s="664">
        <v>18</v>
      </c>
      <c r="Z1409" s="647">
        <v>18</v>
      </c>
      <c r="AA1409" s="647">
        <v>18</v>
      </c>
      <c r="AB1409" s="647">
        <v>18</v>
      </c>
      <c r="AC1409" s="2224">
        <v>18</v>
      </c>
      <c r="AD1409" s="2224">
        <v>18</v>
      </c>
      <c r="AE1409" s="647"/>
      <c r="AF1409" s="647"/>
      <c r="AG1409" s="647"/>
      <c r="AH1409" s="156"/>
      <c r="AI1409" s="156"/>
      <c r="AJ1409" s="156"/>
      <c r="AK1409" s="156"/>
      <c r="AL1409" s="156"/>
      <c r="AM1409" s="156"/>
      <c r="AN1409" s="156"/>
      <c r="AO1409" s="156"/>
      <c r="AP1409" s="156"/>
      <c r="AQ1409" s="156"/>
      <c r="AR1409" s="156"/>
      <c r="AS1409" s="156"/>
      <c r="AT1409" s="156"/>
      <c r="AU1409" s="156"/>
      <c r="AV1409" s="156"/>
      <c r="AW1409" s="156"/>
      <c r="AX1409" s="156"/>
      <c r="AY1409" s="156"/>
      <c r="AZ1409" s="156"/>
      <c r="BA1409" s="156"/>
      <c r="BB1409" s="2828"/>
      <c r="BC1409" s="452"/>
      <c r="BD1409" s="2829"/>
      <c r="BE1409" s="156"/>
      <c r="BF1409" s="156"/>
    </row>
    <row r="1410" spans="1:58" hidden="1" outlineLevel="1" x14ac:dyDescent="0.35">
      <c r="A1410" s="1071"/>
      <c r="B1410" s="106"/>
      <c r="C1410" s="103"/>
      <c r="D1410" s="4022"/>
      <c r="E1410" s="4148"/>
      <c r="F1410" s="4092" t="str">
        <f>$F$1356</f>
        <v>DFHP-SEER21-ROF_MF</v>
      </c>
      <c r="G1410" s="3935"/>
      <c r="H1410" s="3936"/>
      <c r="I1410" s="2229"/>
      <c r="J1410" s="2224">
        <v>18</v>
      </c>
      <c r="K1410" s="675"/>
      <c r="L1410" s="624"/>
      <c r="M1410" s="106"/>
      <c r="N1410" s="106"/>
      <c r="O1410" s="106"/>
      <c r="P1410" s="106"/>
      <c r="Q1410" s="106"/>
      <c r="R1410" s="486"/>
      <c r="S1410" s="106"/>
      <c r="T1410" s="106"/>
      <c r="U1410" s="106"/>
      <c r="V1410" s="4022"/>
      <c r="W1410" s="647">
        <v>18</v>
      </c>
      <c r="X1410" s="647">
        <v>18</v>
      </c>
      <c r="Y1410" s="647">
        <v>18</v>
      </c>
      <c r="Z1410" s="647">
        <v>18</v>
      </c>
      <c r="AA1410" s="647">
        <v>18</v>
      </c>
      <c r="AB1410" s="647">
        <v>18</v>
      </c>
      <c r="AC1410" s="2224">
        <v>18</v>
      </c>
      <c r="AD1410" s="2224">
        <v>18</v>
      </c>
      <c r="AE1410" s="647"/>
      <c r="AF1410" s="647"/>
      <c r="AG1410" s="647"/>
      <c r="AH1410" s="156"/>
      <c r="AI1410" s="156"/>
      <c r="AJ1410" s="156"/>
      <c r="AK1410" s="156"/>
      <c r="AL1410" s="156"/>
      <c r="AM1410" s="156"/>
      <c r="AN1410" s="156"/>
      <c r="AO1410" s="156"/>
      <c r="AP1410" s="156"/>
      <c r="AQ1410" s="156"/>
      <c r="AR1410" s="156"/>
      <c r="AS1410" s="156"/>
      <c r="AT1410" s="156"/>
      <c r="AU1410" s="156"/>
      <c r="AV1410" s="156"/>
      <c r="AW1410" s="156"/>
      <c r="AX1410" s="156"/>
      <c r="AY1410" s="156"/>
      <c r="AZ1410" s="156"/>
      <c r="BA1410" s="156"/>
      <c r="BB1410" s="2828"/>
      <c r="BC1410" s="452"/>
      <c r="BD1410" s="2829"/>
      <c r="BE1410" s="156"/>
      <c r="BF1410" s="156"/>
    </row>
    <row r="1411" spans="1:58" ht="15" hidden="1" outlineLevel="1" thickBot="1" x14ac:dyDescent="0.4">
      <c r="A1411" s="1071"/>
      <c r="B1411" s="106"/>
      <c r="C1411" s="103"/>
      <c r="D1411" s="4104"/>
      <c r="E1411" s="4149"/>
      <c r="F1411" s="4093" t="str">
        <f>$F$1357</f>
        <v>DFHP-SEER21-ROF_MF_CompE</v>
      </c>
      <c r="G1411" s="3941"/>
      <c r="H1411" s="3942"/>
      <c r="I1411" s="2230"/>
      <c r="J1411" s="2227">
        <v>18</v>
      </c>
      <c r="K1411" s="1314"/>
      <c r="L1411" s="649"/>
      <c r="M1411" s="106"/>
      <c r="N1411" s="106"/>
      <c r="O1411" s="106"/>
      <c r="P1411" s="106"/>
      <c r="Q1411" s="106"/>
      <c r="R1411" s="486"/>
      <c r="S1411" s="106"/>
      <c r="T1411" s="106"/>
      <c r="U1411" s="106"/>
      <c r="V1411" s="4022"/>
      <c r="W1411" s="647"/>
      <c r="X1411" s="647"/>
      <c r="Y1411" s="664">
        <v>18</v>
      </c>
      <c r="Z1411" s="647">
        <v>18</v>
      </c>
      <c r="AA1411" s="647">
        <v>18</v>
      </c>
      <c r="AB1411" s="647">
        <v>18</v>
      </c>
      <c r="AC1411" s="2227">
        <v>18</v>
      </c>
      <c r="AD1411" s="2227">
        <v>18</v>
      </c>
      <c r="AE1411" s="647"/>
      <c r="AF1411" s="647"/>
      <c r="AG1411" s="647"/>
      <c r="AH1411" s="156"/>
      <c r="AI1411" s="156"/>
      <c r="AJ1411" s="156"/>
      <c r="AK1411" s="156"/>
      <c r="AL1411" s="156"/>
      <c r="AM1411" s="156"/>
      <c r="AN1411" s="156"/>
      <c r="AO1411" s="156"/>
      <c r="AP1411" s="156"/>
      <c r="AQ1411" s="156"/>
      <c r="AR1411" s="156"/>
      <c r="AS1411" s="156"/>
      <c r="AT1411" s="156"/>
      <c r="AU1411" s="156"/>
      <c r="AV1411" s="156"/>
      <c r="AW1411" s="156"/>
      <c r="AX1411" s="156"/>
      <c r="AY1411" s="156"/>
      <c r="AZ1411" s="156"/>
      <c r="BA1411" s="156"/>
      <c r="BB1411" s="2828"/>
      <c r="BC1411" s="452"/>
      <c r="BD1411" s="2829"/>
      <c r="BE1411" s="156"/>
      <c r="BF1411" s="156"/>
    </row>
    <row r="1412" spans="1:58" hidden="1" outlineLevel="1" x14ac:dyDescent="0.35">
      <c r="A1412" s="1071"/>
      <c r="B1412" s="106"/>
      <c r="C1412" s="103"/>
      <c r="D1412" s="4021" t="s">
        <v>169</v>
      </c>
      <c r="E1412" s="4147" t="s">
        <v>527</v>
      </c>
      <c r="F1412" s="4091" t="str">
        <f>$F$1352</f>
        <v>DFHP-SEER19-ROF_MF</v>
      </c>
      <c r="G1412" s="3944"/>
      <c r="H1412" s="3945"/>
      <c r="I1412" s="2231"/>
      <c r="J1412" s="665">
        <v>2936.6</v>
      </c>
      <c r="K1412" s="680"/>
      <c r="L1412" s="621"/>
      <c r="M1412" s="106"/>
      <c r="N1412" s="106"/>
      <c r="O1412" s="106"/>
      <c r="P1412" s="106"/>
      <c r="Q1412" s="106"/>
      <c r="R1412" s="486"/>
      <c r="S1412" s="106"/>
      <c r="T1412" s="106"/>
      <c r="U1412" s="106"/>
      <c r="V1412" s="4021" t="str">
        <f>D1412</f>
        <v>Inc. Cost</v>
      </c>
      <c r="W1412" s="665">
        <v>2936.6</v>
      </c>
      <c r="X1412" s="665">
        <v>2936.6</v>
      </c>
      <c r="Y1412" s="665">
        <v>2936.6</v>
      </c>
      <c r="Z1412" s="665">
        <v>2936.6</v>
      </c>
      <c r="AA1412" s="665">
        <v>2936.6</v>
      </c>
      <c r="AB1412" s="665">
        <v>2936.6</v>
      </c>
      <c r="AC1412" s="665">
        <v>2936.6</v>
      </c>
      <c r="AD1412" s="665">
        <v>2936.6</v>
      </c>
      <c r="AE1412" s="665"/>
      <c r="AF1412" s="665"/>
      <c r="AG1412" s="665"/>
      <c r="AH1412" s="156"/>
      <c r="AI1412" s="156"/>
      <c r="AJ1412" s="156"/>
      <c r="AK1412" s="156"/>
      <c r="AL1412" s="156"/>
      <c r="AM1412" s="156"/>
      <c r="AN1412" s="156"/>
      <c r="AO1412" s="156"/>
      <c r="AP1412" s="156"/>
      <c r="AQ1412" s="156"/>
      <c r="AR1412" s="156"/>
      <c r="AS1412" s="156"/>
      <c r="AT1412" s="156"/>
      <c r="AU1412" s="156"/>
      <c r="AV1412" s="156"/>
      <c r="AW1412" s="156"/>
      <c r="AX1412" s="156"/>
      <c r="AY1412" s="156"/>
      <c r="AZ1412" s="156"/>
      <c r="BA1412" s="156"/>
      <c r="BB1412" s="2828"/>
      <c r="BC1412" s="452"/>
      <c r="BD1412" s="2829"/>
      <c r="BE1412" s="156"/>
      <c r="BF1412" s="156"/>
    </row>
    <row r="1413" spans="1:58" hidden="1" outlineLevel="1" x14ac:dyDescent="0.35">
      <c r="A1413" s="1071"/>
      <c r="B1413" s="106"/>
      <c r="C1413" s="103"/>
      <c r="D1413" s="4022"/>
      <c r="E1413" s="4148"/>
      <c r="F1413" s="4092" t="str">
        <f>$F$1353</f>
        <v>DFHP-SEER19-ROF_MF_CompE</v>
      </c>
      <c r="G1413" s="3935"/>
      <c r="H1413" s="3936"/>
      <c r="I1413" s="660"/>
      <c r="J1413" s="668">
        <v>2936.6</v>
      </c>
      <c r="K1413" s="675"/>
      <c r="L1413" s="658"/>
      <c r="M1413" s="106"/>
      <c r="N1413" s="106"/>
      <c r="O1413" s="106"/>
      <c r="P1413" s="106"/>
      <c r="Q1413" s="106"/>
      <c r="R1413" s="486"/>
      <c r="S1413" s="106"/>
      <c r="T1413" s="106"/>
      <c r="U1413" s="106"/>
      <c r="V1413" s="4022"/>
      <c r="W1413" s="667"/>
      <c r="X1413" s="667"/>
      <c r="Y1413" s="666">
        <v>2936.6</v>
      </c>
      <c r="Z1413" s="668">
        <v>2936.6</v>
      </c>
      <c r="AA1413" s="668">
        <v>2936.6</v>
      </c>
      <c r="AB1413" s="668">
        <v>2936.6</v>
      </c>
      <c r="AC1413" s="668">
        <v>2936.6</v>
      </c>
      <c r="AD1413" s="668">
        <v>2936.6</v>
      </c>
      <c r="AE1413" s="667"/>
      <c r="AF1413" s="667"/>
      <c r="AG1413" s="667"/>
      <c r="AH1413" s="156"/>
      <c r="AI1413" s="156"/>
      <c r="AJ1413" s="156"/>
      <c r="AK1413" s="156"/>
      <c r="AL1413" s="156"/>
      <c r="AM1413" s="156"/>
      <c r="AN1413" s="156"/>
      <c r="AO1413" s="156"/>
      <c r="AP1413" s="156"/>
      <c r="AQ1413" s="156"/>
      <c r="AR1413" s="156"/>
      <c r="AS1413" s="156"/>
      <c r="AT1413" s="156"/>
      <c r="AU1413" s="156"/>
      <c r="AV1413" s="156"/>
      <c r="AW1413" s="156"/>
      <c r="AX1413" s="156"/>
      <c r="AY1413" s="156"/>
      <c r="AZ1413" s="156"/>
      <c r="BA1413" s="156"/>
      <c r="BB1413" s="2828"/>
      <c r="BC1413" s="452"/>
      <c r="BD1413" s="2829"/>
      <c r="BE1413" s="156"/>
      <c r="BF1413" s="156"/>
    </row>
    <row r="1414" spans="1:58" hidden="1" outlineLevel="1" x14ac:dyDescent="0.35">
      <c r="A1414" s="1071"/>
      <c r="B1414" s="106"/>
      <c r="C1414" s="103"/>
      <c r="D1414" s="4022"/>
      <c r="E1414" s="4148"/>
      <c r="F1414" s="4092" t="str">
        <f>$F$1354</f>
        <v>DFHP-SEER20-ROF_MF</v>
      </c>
      <c r="G1414" s="3935"/>
      <c r="H1414" s="3936"/>
      <c r="I1414" s="2229"/>
      <c r="J1414" s="668">
        <v>3176.6</v>
      </c>
      <c r="K1414" s="675"/>
      <c r="L1414" s="658"/>
      <c r="M1414" s="106"/>
      <c r="N1414" s="106"/>
      <c r="O1414" s="106"/>
      <c r="P1414" s="106"/>
      <c r="Q1414" s="106"/>
      <c r="R1414" s="486"/>
      <c r="S1414" s="106"/>
      <c r="T1414" s="106"/>
      <c r="U1414" s="106"/>
      <c r="V1414" s="4022"/>
      <c r="W1414" s="668">
        <v>3176.6</v>
      </c>
      <c r="X1414" s="668">
        <v>3176.6</v>
      </c>
      <c r="Y1414" s="668">
        <v>3176.6</v>
      </c>
      <c r="Z1414" s="668">
        <v>3176.6</v>
      </c>
      <c r="AA1414" s="668">
        <v>3176.6</v>
      </c>
      <c r="AB1414" s="668">
        <v>3176.6</v>
      </c>
      <c r="AC1414" s="668">
        <v>3176.6</v>
      </c>
      <c r="AD1414" s="668">
        <v>3176.6</v>
      </c>
      <c r="AE1414" s="668"/>
      <c r="AF1414" s="668"/>
      <c r="AG1414" s="668"/>
      <c r="AH1414" s="156"/>
      <c r="AI1414" s="156"/>
      <c r="AJ1414" s="156"/>
      <c r="AK1414" s="156"/>
      <c r="AL1414" s="156"/>
      <c r="AM1414" s="156"/>
      <c r="AN1414" s="156"/>
      <c r="AO1414" s="156"/>
      <c r="AP1414" s="156"/>
      <c r="AQ1414" s="156"/>
      <c r="AR1414" s="156"/>
      <c r="AS1414" s="156"/>
      <c r="AT1414" s="156"/>
      <c r="AU1414" s="156"/>
      <c r="AV1414" s="156"/>
      <c r="AW1414" s="156"/>
      <c r="AX1414" s="156"/>
      <c r="AY1414" s="156"/>
      <c r="AZ1414" s="156"/>
      <c r="BA1414" s="156"/>
      <c r="BB1414" s="2828"/>
      <c r="BC1414" s="452"/>
      <c r="BD1414" s="2829"/>
      <c r="BE1414" s="156"/>
      <c r="BF1414" s="156"/>
    </row>
    <row r="1415" spans="1:58" hidden="1" outlineLevel="1" x14ac:dyDescent="0.35">
      <c r="A1415" s="1071"/>
      <c r="B1415" s="106"/>
      <c r="C1415" s="103"/>
      <c r="D1415" s="4022"/>
      <c r="E1415" s="4148"/>
      <c r="F1415" s="4092" t="str">
        <f>$F$1355</f>
        <v>DFHP-SEER20-ROF_MF_CompE</v>
      </c>
      <c r="G1415" s="3935"/>
      <c r="H1415" s="3936"/>
      <c r="I1415" s="2229"/>
      <c r="J1415" s="668">
        <v>3176.6</v>
      </c>
      <c r="K1415" s="675"/>
      <c r="L1415" s="658"/>
      <c r="M1415" s="106"/>
      <c r="N1415" s="106"/>
      <c r="O1415" s="106"/>
      <c r="P1415" s="106"/>
      <c r="Q1415" s="106"/>
      <c r="R1415" s="486"/>
      <c r="S1415" s="106"/>
      <c r="T1415" s="106"/>
      <c r="U1415" s="106"/>
      <c r="V1415" s="4022"/>
      <c r="W1415" s="668"/>
      <c r="X1415" s="668"/>
      <c r="Y1415" s="666">
        <v>3176.6</v>
      </c>
      <c r="Z1415" s="668">
        <v>3176.6</v>
      </c>
      <c r="AA1415" s="668">
        <v>3176.6</v>
      </c>
      <c r="AB1415" s="668">
        <v>3176.6</v>
      </c>
      <c r="AC1415" s="668">
        <v>3176.6</v>
      </c>
      <c r="AD1415" s="668">
        <v>3176.6</v>
      </c>
      <c r="AE1415" s="668"/>
      <c r="AF1415" s="668"/>
      <c r="AG1415" s="668"/>
      <c r="AH1415" s="156"/>
      <c r="AI1415" s="156"/>
      <c r="AJ1415" s="156"/>
      <c r="AK1415" s="156"/>
      <c r="AL1415" s="156"/>
      <c r="AM1415" s="156"/>
      <c r="AN1415" s="156"/>
      <c r="AO1415" s="156"/>
      <c r="AP1415" s="156"/>
      <c r="AQ1415" s="156"/>
      <c r="AR1415" s="156"/>
      <c r="AS1415" s="156"/>
      <c r="AT1415" s="156"/>
      <c r="AU1415" s="156"/>
      <c r="AV1415" s="156"/>
      <c r="AW1415" s="156"/>
      <c r="AX1415" s="156"/>
      <c r="AY1415" s="156"/>
      <c r="AZ1415" s="156"/>
      <c r="BA1415" s="156"/>
      <c r="BB1415" s="2828"/>
      <c r="BC1415" s="452"/>
      <c r="BD1415" s="2829"/>
      <c r="BE1415" s="156"/>
      <c r="BF1415" s="156"/>
    </row>
    <row r="1416" spans="1:58" hidden="1" outlineLevel="1" x14ac:dyDescent="0.35">
      <c r="A1416" s="1071"/>
      <c r="B1416" s="106"/>
      <c r="C1416" s="103"/>
      <c r="D1416" s="4022"/>
      <c r="E1416" s="4148"/>
      <c r="F1416" s="4092" t="str">
        <f>$F$1356</f>
        <v>DFHP-SEER21-ROF_MF</v>
      </c>
      <c r="G1416" s="3935"/>
      <c r="H1416" s="3936"/>
      <c r="I1416" s="2229"/>
      <c r="J1416" s="668">
        <v>3626.6</v>
      </c>
      <c r="K1416" s="675"/>
      <c r="L1416" s="658"/>
      <c r="M1416" s="106"/>
      <c r="N1416" s="106"/>
      <c r="O1416" s="106"/>
      <c r="P1416" s="106"/>
      <c r="Q1416" s="106"/>
      <c r="R1416" s="486"/>
      <c r="S1416" s="106"/>
      <c r="T1416" s="106"/>
      <c r="U1416" s="106"/>
      <c r="V1416" s="4022"/>
      <c r="W1416" s="668">
        <v>3626.6</v>
      </c>
      <c r="X1416" s="668">
        <v>3626.6</v>
      </c>
      <c r="Y1416" s="668">
        <v>3626.6</v>
      </c>
      <c r="Z1416" s="668">
        <v>3626.6</v>
      </c>
      <c r="AA1416" s="668">
        <v>3626.6</v>
      </c>
      <c r="AB1416" s="668">
        <v>3626.6</v>
      </c>
      <c r="AC1416" s="668">
        <v>3626.6</v>
      </c>
      <c r="AD1416" s="668">
        <v>3626.6</v>
      </c>
      <c r="AE1416" s="668"/>
      <c r="AF1416" s="668"/>
      <c r="AG1416" s="668"/>
      <c r="AH1416" s="156"/>
      <c r="AI1416" s="156"/>
      <c r="AJ1416" s="156"/>
      <c r="AK1416" s="156"/>
      <c r="AL1416" s="156"/>
      <c r="AM1416" s="156"/>
      <c r="AN1416" s="156"/>
      <c r="AO1416" s="156"/>
      <c r="AP1416" s="156"/>
      <c r="AQ1416" s="156"/>
      <c r="AR1416" s="156"/>
      <c r="AS1416" s="156"/>
      <c r="AT1416" s="156"/>
      <c r="AU1416" s="156"/>
      <c r="AV1416" s="156"/>
      <c r="AW1416" s="156"/>
      <c r="AX1416" s="156"/>
      <c r="AY1416" s="156"/>
      <c r="AZ1416" s="156"/>
      <c r="BA1416" s="156"/>
      <c r="BB1416" s="2828"/>
      <c r="BC1416" s="452"/>
      <c r="BD1416" s="2829"/>
      <c r="BE1416" s="156"/>
      <c r="BF1416" s="156"/>
    </row>
    <row r="1417" spans="1:58" ht="15" hidden="1" outlineLevel="1" thickBot="1" x14ac:dyDescent="0.4">
      <c r="A1417" s="1071"/>
      <c r="B1417" s="106"/>
      <c r="C1417" s="103"/>
      <c r="D1417" s="4104"/>
      <c r="E1417" s="4149"/>
      <c r="F1417" s="4093" t="str">
        <f>$F$1357</f>
        <v>DFHP-SEER21-ROF_MF_CompE</v>
      </c>
      <c r="G1417" s="3941"/>
      <c r="H1417" s="3942"/>
      <c r="I1417" s="2230"/>
      <c r="J1417" s="683">
        <v>3626.6</v>
      </c>
      <c r="K1417" s="1314"/>
      <c r="L1417" s="3057"/>
      <c r="M1417" s="106"/>
      <c r="N1417" s="106"/>
      <c r="O1417" s="106"/>
      <c r="P1417" s="106"/>
      <c r="Q1417" s="106"/>
      <c r="R1417" s="486"/>
      <c r="S1417" s="106"/>
      <c r="T1417" s="106"/>
      <c r="U1417" s="106"/>
      <c r="V1417" s="4104"/>
      <c r="W1417" s="668"/>
      <c r="X1417" s="668"/>
      <c r="Y1417" s="666">
        <v>3626.6</v>
      </c>
      <c r="Z1417" s="668">
        <v>3626.6</v>
      </c>
      <c r="AA1417" s="668">
        <v>3626.6</v>
      </c>
      <c r="AB1417" s="668">
        <v>3626.6</v>
      </c>
      <c r="AC1417" s="668">
        <v>3626.6</v>
      </c>
      <c r="AD1417" s="668">
        <v>3626.6</v>
      </c>
      <c r="AE1417" s="668"/>
      <c r="AF1417" s="668"/>
      <c r="AG1417" s="668"/>
      <c r="AH1417" s="156"/>
      <c r="AI1417" s="156"/>
      <c r="AJ1417" s="156"/>
      <c r="AK1417" s="156"/>
      <c r="AL1417" s="156"/>
      <c r="AM1417" s="156"/>
      <c r="AN1417" s="156"/>
      <c r="AO1417" s="156"/>
      <c r="AP1417" s="156"/>
      <c r="AQ1417" s="156"/>
      <c r="AR1417" s="156"/>
      <c r="AS1417" s="156"/>
      <c r="AT1417" s="156"/>
      <c r="AU1417" s="156"/>
      <c r="AV1417" s="156"/>
      <c r="AW1417" s="156"/>
      <c r="AX1417" s="156"/>
      <c r="AY1417" s="156"/>
      <c r="AZ1417" s="156"/>
      <c r="BA1417" s="156"/>
      <c r="BB1417" s="2828"/>
      <c r="BC1417" s="452"/>
      <c r="BD1417" s="2829"/>
      <c r="BE1417" s="156"/>
      <c r="BF1417" s="156"/>
    </row>
    <row r="1418" spans="1:58" collapsed="1" x14ac:dyDescent="0.35">
      <c r="A1418" s="1071"/>
      <c r="B1418" s="106"/>
      <c r="C1418" s="103"/>
      <c r="D1418" s="942"/>
      <c r="E1418" s="942"/>
      <c r="F1418" s="1304"/>
      <c r="G1418" s="1304"/>
      <c r="H1418" s="1304"/>
      <c r="I1418" s="1304"/>
      <c r="J1418" s="2625"/>
      <c r="K1418" s="1292"/>
      <c r="L1418" s="1304"/>
      <c r="M1418" s="106"/>
      <c r="N1418" s="106"/>
      <c r="O1418" s="106"/>
      <c r="P1418" s="106"/>
      <c r="Q1418" s="106"/>
      <c r="R1418" s="486"/>
      <c r="S1418" s="106"/>
      <c r="T1418" s="106"/>
      <c r="U1418" s="106"/>
      <c r="V1418" s="106"/>
      <c r="W1418" s="156"/>
      <c r="X1418" s="156"/>
      <c r="Y1418" s="156"/>
      <c r="Z1418" s="156"/>
      <c r="AA1418" s="156"/>
      <c r="AB1418" s="156"/>
      <c r="AC1418" s="156"/>
      <c r="AD1418" s="156"/>
      <c r="AE1418" s="156"/>
      <c r="AF1418" s="156"/>
      <c r="AG1418" s="156"/>
      <c r="AH1418" s="156"/>
      <c r="AI1418" s="156"/>
      <c r="AJ1418" s="156"/>
      <c r="AK1418" s="156"/>
      <c r="AL1418" s="156"/>
      <c r="AM1418" s="156"/>
      <c r="AN1418" s="156"/>
      <c r="AO1418" s="156"/>
      <c r="AP1418" s="156"/>
      <c r="AQ1418" s="156"/>
      <c r="AR1418" s="156"/>
      <c r="AS1418" s="156"/>
      <c r="AT1418" s="156"/>
      <c r="AU1418" s="156"/>
      <c r="AV1418" s="156"/>
      <c r="AW1418" s="156"/>
      <c r="AX1418" s="156"/>
      <c r="AY1418" s="156"/>
      <c r="AZ1418" s="156"/>
      <c r="BA1418" s="156"/>
      <c r="BB1418" s="2828"/>
      <c r="BC1418" s="452"/>
      <c r="BD1418" s="2829"/>
      <c r="BE1418" s="156"/>
      <c r="BF1418" s="156"/>
    </row>
    <row r="1419" spans="1:58" x14ac:dyDescent="0.35">
      <c r="A1419" s="1071"/>
      <c r="B1419" s="106"/>
      <c r="C1419" s="103"/>
      <c r="D1419" s="292"/>
      <c r="E1419" s="292"/>
      <c r="F1419" s="106"/>
      <c r="G1419" s="292"/>
      <c r="H1419" s="106"/>
      <c r="I1419" s="106"/>
      <c r="J1419" s="106"/>
      <c r="K1419" s="106"/>
      <c r="L1419" s="106"/>
      <c r="M1419" s="106"/>
      <c r="N1419" s="106"/>
      <c r="O1419" s="106"/>
      <c r="P1419" s="106"/>
      <c r="Q1419" s="106"/>
      <c r="R1419" s="106"/>
      <c r="S1419" s="106"/>
      <c r="T1419" s="106"/>
      <c r="U1419" s="106"/>
      <c r="V1419" s="106"/>
      <c r="W1419" s="156"/>
      <c r="X1419" s="156"/>
      <c r="Y1419" s="156"/>
      <c r="Z1419" s="156"/>
      <c r="AA1419" s="156"/>
      <c r="AB1419" s="156"/>
      <c r="AC1419" s="156"/>
      <c r="AD1419" s="156"/>
      <c r="AE1419" s="156"/>
      <c r="AF1419" s="156"/>
      <c r="AG1419" s="156"/>
      <c r="AH1419" s="156"/>
      <c r="AI1419" s="156"/>
      <c r="AJ1419" s="156"/>
      <c r="AK1419" s="156"/>
      <c r="AL1419" s="156"/>
      <c r="AM1419" s="156"/>
      <c r="AN1419" s="156"/>
      <c r="AO1419" s="156"/>
      <c r="AP1419" s="156"/>
      <c r="AQ1419" s="156"/>
      <c r="AR1419" s="156"/>
      <c r="AS1419" s="156"/>
      <c r="AT1419" s="156"/>
      <c r="AU1419" s="156"/>
      <c r="AV1419" s="156"/>
      <c r="AW1419" s="156"/>
      <c r="AX1419" s="156"/>
      <c r="AY1419" s="156"/>
      <c r="AZ1419" s="156"/>
      <c r="BA1419" s="156"/>
      <c r="BB1419" s="2828"/>
      <c r="BC1419" s="452"/>
      <c r="BD1419" s="2829"/>
      <c r="BE1419" s="156"/>
      <c r="BF1419" s="156"/>
    </row>
    <row r="1420" spans="1:58" x14ac:dyDescent="0.35">
      <c r="A1420" s="1071"/>
      <c r="B1420" s="2325" t="s">
        <v>1127</v>
      </c>
      <c r="C1420" s="609"/>
      <c r="D1420" s="2326"/>
      <c r="E1420" s="2326"/>
      <c r="F1420" s="2326"/>
      <c r="G1420" s="2326"/>
      <c r="H1420" s="2326"/>
      <c r="I1420" s="2326"/>
      <c r="J1420" s="2326"/>
      <c r="K1420" s="2326"/>
      <c r="L1420" s="2326"/>
      <c r="M1420" s="2326"/>
      <c r="N1420" s="2326"/>
      <c r="O1420" s="2326"/>
      <c r="P1420" s="2326"/>
      <c r="Q1420" s="2384"/>
      <c r="R1420" s="106"/>
      <c r="S1420" s="106"/>
      <c r="T1420" s="106"/>
      <c r="U1420" s="106"/>
      <c r="V1420" s="3664" t="str">
        <f>B1420</f>
        <v>Ground Source Heat Pumps</v>
      </c>
      <c r="W1420" s="3665"/>
      <c r="X1420" s="3665"/>
      <c r="Y1420" s="3665"/>
      <c r="Z1420" s="3665"/>
      <c r="AA1420" s="3665"/>
      <c r="AB1420" s="3665"/>
      <c r="AC1420" s="4018"/>
      <c r="AD1420" s="4018"/>
      <c r="AE1420" s="4018"/>
      <c r="AF1420" s="4018"/>
      <c r="AG1420" s="4018"/>
      <c r="AH1420" s="4019"/>
      <c r="AI1420" s="156"/>
      <c r="AJ1420" s="156"/>
      <c r="AK1420" s="156"/>
      <c r="AL1420" s="156"/>
      <c r="AM1420" s="156"/>
      <c r="AN1420" s="156"/>
      <c r="AO1420" s="156"/>
      <c r="AP1420" s="156"/>
      <c r="AQ1420" s="156"/>
      <c r="AR1420" s="156"/>
      <c r="AS1420" s="156"/>
      <c r="AT1420" s="156"/>
      <c r="AU1420" s="156"/>
      <c r="AV1420" s="156"/>
      <c r="AW1420" s="156"/>
      <c r="AX1420" s="156"/>
      <c r="AY1420" s="156"/>
      <c r="AZ1420" s="156"/>
      <c r="BA1420" s="156"/>
      <c r="BB1420" s="2828"/>
      <c r="BC1420" s="452"/>
      <c r="BD1420" s="2829"/>
      <c r="BE1420" s="156"/>
      <c r="BF1420" s="156"/>
    </row>
    <row r="1421" spans="1:58" x14ac:dyDescent="0.35">
      <c r="A1421" s="1071"/>
      <c r="B1421" s="106"/>
      <c r="C1421" s="103"/>
      <c r="D1421" s="292"/>
      <c r="E1421" s="292"/>
      <c r="F1421" s="106"/>
      <c r="G1421" s="292"/>
      <c r="H1421" s="106"/>
      <c r="I1421" s="103"/>
      <c r="J1421" s="103"/>
      <c r="K1421" s="103"/>
      <c r="L1421" s="103"/>
      <c r="M1421" s="103"/>
      <c r="N1421" s="106"/>
      <c r="O1421" s="106"/>
      <c r="P1421" s="106"/>
      <c r="Q1421" s="292"/>
      <c r="R1421" s="106"/>
      <c r="S1421" s="106"/>
      <c r="T1421" s="106"/>
      <c r="U1421" s="106"/>
      <c r="V1421" s="106"/>
      <c r="W1421" s="156"/>
      <c r="X1421" s="156"/>
      <c r="Y1421" s="156"/>
      <c r="Z1421" s="156"/>
      <c r="AA1421" s="156"/>
      <c r="AB1421" s="156"/>
      <c r="AC1421" s="156"/>
      <c r="AD1421" s="84"/>
      <c r="AE1421" s="156"/>
      <c r="AF1421" s="156"/>
      <c r="AG1421" s="156"/>
      <c r="AH1421" s="156"/>
      <c r="AI1421" s="156"/>
      <c r="AJ1421" s="156"/>
      <c r="AK1421" s="156"/>
      <c r="AL1421" s="156"/>
      <c r="AM1421" s="156"/>
      <c r="AN1421" s="156"/>
      <c r="AO1421" s="156"/>
      <c r="AP1421" s="156"/>
      <c r="AQ1421" s="156"/>
      <c r="AR1421" s="156"/>
      <c r="AS1421" s="156"/>
      <c r="AT1421" s="156"/>
      <c r="AU1421" s="156"/>
      <c r="AV1421" s="156"/>
      <c r="AW1421" s="156"/>
      <c r="AX1421" s="156"/>
      <c r="AY1421" s="156"/>
      <c r="AZ1421" s="156"/>
      <c r="BA1421" s="156"/>
      <c r="BB1421" s="2828"/>
      <c r="BC1421" s="452"/>
      <c r="BD1421" s="2829"/>
      <c r="BE1421" s="156"/>
      <c r="BF1421" s="156"/>
    </row>
    <row r="1422" spans="1:58" ht="29" x14ac:dyDescent="0.35">
      <c r="A1422" s="1071"/>
      <c r="B1422" s="106"/>
      <c r="C1422" s="2331" t="s">
        <v>27</v>
      </c>
      <c r="D1422" s="2331" t="s">
        <v>174</v>
      </c>
      <c r="E1422" s="2331" t="s">
        <v>29</v>
      </c>
      <c r="F1422" s="2331" t="s">
        <v>30</v>
      </c>
      <c r="G1422" s="2331" t="s">
        <v>175</v>
      </c>
      <c r="H1422" s="2331" t="s">
        <v>176</v>
      </c>
      <c r="I1422" s="2331" t="s">
        <v>31</v>
      </c>
      <c r="J1422" s="2363" t="s">
        <v>180</v>
      </c>
      <c r="K1422" s="2331" t="s">
        <v>169</v>
      </c>
      <c r="L1422" s="2331" t="s">
        <v>844</v>
      </c>
      <c r="M1422" s="103"/>
      <c r="N1422" s="106"/>
      <c r="O1422" s="106"/>
      <c r="P1422" s="106"/>
      <c r="Q1422" s="106"/>
      <c r="R1422" s="106"/>
      <c r="S1422" s="106"/>
      <c r="T1422" s="106"/>
      <c r="U1422" s="106"/>
      <c r="V1422" s="480" t="s">
        <v>44</v>
      </c>
      <c r="W1422" s="1573">
        <f>W$6</f>
        <v>43252</v>
      </c>
      <c r="X1422" s="1573">
        <f t="shared" ref="X1422:AG1422" si="256">X$6</f>
        <v>43465</v>
      </c>
      <c r="Y1422" s="1573">
        <f t="shared" si="256"/>
        <v>43800</v>
      </c>
      <c r="Z1422" s="1573">
        <f t="shared" si="256"/>
        <v>43862</v>
      </c>
      <c r="AA1422" s="1573">
        <f t="shared" si="256"/>
        <v>44013</v>
      </c>
      <c r="AB1422" s="1573">
        <f t="shared" si="256"/>
        <v>44166</v>
      </c>
      <c r="AC1422" s="1573">
        <f t="shared" si="256"/>
        <v>44531</v>
      </c>
      <c r="AD1422" s="1573">
        <f t="shared" si="256"/>
        <v>44774</v>
      </c>
      <c r="AE1422" s="1573" t="str">
        <f t="shared" si="256"/>
        <v>-</v>
      </c>
      <c r="AF1422" s="1573" t="str">
        <f t="shared" si="256"/>
        <v>-</v>
      </c>
      <c r="AG1422" s="1573" t="str">
        <f t="shared" si="256"/>
        <v>-</v>
      </c>
      <c r="AH1422" s="156"/>
      <c r="AI1422" s="156"/>
      <c r="AJ1422" s="156"/>
      <c r="AK1422" s="156"/>
      <c r="AL1422" s="156"/>
      <c r="AM1422" s="156"/>
      <c r="AN1422" s="156"/>
      <c r="AO1422" s="156"/>
      <c r="AP1422" s="156"/>
      <c r="AQ1422" s="156"/>
      <c r="AR1422" s="156"/>
      <c r="AS1422" s="156"/>
      <c r="AT1422" s="156"/>
      <c r="AU1422" s="156"/>
      <c r="AV1422" s="156"/>
      <c r="AW1422" s="156"/>
      <c r="AX1422" s="156"/>
      <c r="AY1422" s="156"/>
      <c r="AZ1422" s="156"/>
      <c r="BA1422" s="156"/>
      <c r="BB1422" s="2830" t="str">
        <f>$BB$6</f>
        <v>TRC (2022)</v>
      </c>
      <c r="BC1422" s="2830" t="str">
        <f>$BC$6</f>
        <v>Benefit Lookup</v>
      </c>
      <c r="BD1422" s="2866" t="str">
        <f>$BD$6</f>
        <v>Benefits (2019 $)</v>
      </c>
      <c r="BE1422" s="2867" t="str">
        <f>$BE$6</f>
        <v>Incremental Cost (2019 $)</v>
      </c>
      <c r="BF1422" s="156"/>
    </row>
    <row r="1423" spans="1:58" x14ac:dyDescent="0.35">
      <c r="A1423" s="1071" t="str">
        <f t="shared" ref="A1423:A1434" si="257">C1423&amp;G1423</f>
        <v>352050_2021_12_Cooling Res</v>
      </c>
      <c r="B1423" s="106"/>
      <c r="C1423" s="1037" t="s">
        <v>1128</v>
      </c>
      <c r="D1423" s="395" t="s">
        <v>318</v>
      </c>
      <c r="E1423" s="2348" t="s">
        <v>1129</v>
      </c>
      <c r="F1423" s="2787">
        <f>ROUND((($J$1479*$J$1485*(1/$J$1491-1/$J$1497))/1000)*$J$1503,2)</f>
        <v>1510.41</v>
      </c>
      <c r="G1423" s="188" t="s">
        <v>1091</v>
      </c>
      <c r="H1423" s="136">
        <f>VLOOKUP(G1423,'CP FACTORS'!$A$3:$B$38, 2, FALSE)</f>
        <v>9.4741810000000004E-4</v>
      </c>
      <c r="I1423" s="2732">
        <f t="shared" ref="I1423:I1434" si="258">ROUND(F1423*H1423,6)</f>
        <v>1.43099</v>
      </c>
      <c r="J1423" s="124">
        <v>18</v>
      </c>
      <c r="K1423" s="1310">
        <v>4717</v>
      </c>
      <c r="L1423" s="322">
        <f>K1479</f>
        <v>3.8698630136986303</v>
      </c>
      <c r="M1423" s="103"/>
      <c r="N1423" s="106"/>
      <c r="O1423" s="106"/>
      <c r="P1423" s="106"/>
      <c r="Q1423" s="106"/>
      <c r="R1423" s="1214"/>
      <c r="S1423" s="106"/>
      <c r="T1423" s="106"/>
      <c r="U1423" s="106"/>
      <c r="V1423" s="1592" t="s">
        <v>30</v>
      </c>
      <c r="W1423" s="671">
        <v>1811.005012964564</v>
      </c>
      <c r="X1423" s="671">
        <v>1413.8603840319427</v>
      </c>
      <c r="Y1423" s="672">
        <v>1413.86</v>
      </c>
      <c r="Z1423" s="1791">
        <v>1413.86</v>
      </c>
      <c r="AA1423" s="1791">
        <v>1413.86</v>
      </c>
      <c r="AB1423" s="1540">
        <v>1387.05</v>
      </c>
      <c r="AC1423" s="1591">
        <v>1403.37</v>
      </c>
      <c r="AD1423" s="2787">
        <v>1510.41</v>
      </c>
      <c r="AE1423" s="851"/>
      <c r="AF1423" s="851"/>
      <c r="AG1423" s="851"/>
      <c r="AH1423" s="344"/>
      <c r="AI1423" s="344"/>
      <c r="AJ1423" s="156"/>
      <c r="AK1423" s="156"/>
      <c r="AL1423" s="156"/>
      <c r="AM1423" s="156"/>
      <c r="AN1423" s="156"/>
      <c r="AO1423" s="156"/>
      <c r="AP1423" s="156"/>
      <c r="AQ1423" s="156"/>
      <c r="AR1423" s="156"/>
      <c r="AS1423" s="156"/>
      <c r="AT1423" s="156"/>
      <c r="AU1423" s="156"/>
      <c r="AV1423" s="156"/>
      <c r="AW1423" s="156"/>
      <c r="AX1423" s="156"/>
      <c r="AY1423" s="156"/>
      <c r="AZ1423" s="156"/>
      <c r="BA1423" s="156"/>
      <c r="BB1423" s="2832">
        <f>(BD1423+BD1424)/(BE1423+BE1424)</f>
        <v>2.215005374849111</v>
      </c>
      <c r="BC1423" s="2348" t="str">
        <f t="shared" ref="BC1423:BC1434" si="259">CONCATENATE(G1423," ",J1423," Year EUL")</f>
        <v>Cooling Res 18 Year EUL</v>
      </c>
      <c r="BD1423" s="2869">
        <f>(INDEX('Avoided Cost Benefits'!$E$4:$E$859,MATCH(BC1423,'Avoided Cost Benefits'!$A$4:$A$859,0)))*F1423</f>
        <v>2628.328366659443</v>
      </c>
      <c r="BE1423" s="855">
        <f t="shared" ref="BE1423:BE1434" si="260">K1423/(1.0595^(2020-2019))</f>
        <v>4452.1000471920715</v>
      </c>
      <c r="BF1423" s="156"/>
    </row>
    <row r="1424" spans="1:58" x14ac:dyDescent="0.35">
      <c r="A1424" s="1071" t="str">
        <f t="shared" si="257"/>
        <v>352050_2021_12_Heating RES</v>
      </c>
      <c r="B1424" s="106"/>
      <c r="C1424" s="1037" t="s">
        <v>1128</v>
      </c>
      <c r="D1424" s="1311" t="s">
        <v>318</v>
      </c>
      <c r="E1424" s="2349" t="s">
        <v>1129</v>
      </c>
      <c r="F1424" s="2787">
        <f>ROUND((($J$1455*$J$1461*(1/$J$1467-1/$J$1473))/1000)*$J$1503,2)</f>
        <v>16223.39</v>
      </c>
      <c r="G1424" s="188" t="s">
        <v>258</v>
      </c>
      <c r="H1424" s="136">
        <f>VLOOKUP(G1424,'CP FACTORS'!$A$3:$B$38, 2, FALSE)</f>
        <v>0</v>
      </c>
      <c r="I1424" s="90">
        <f t="shared" si="258"/>
        <v>0</v>
      </c>
      <c r="J1424" s="124">
        <v>18</v>
      </c>
      <c r="K1424" s="1312"/>
      <c r="L1424" s="49"/>
      <c r="M1424" s="103"/>
      <c r="N1424" s="106"/>
      <c r="O1424" s="106"/>
      <c r="P1424" s="106"/>
      <c r="Q1424" s="106"/>
      <c r="R1424" s="1214"/>
      <c r="S1424" s="106"/>
      <c r="T1424" s="106"/>
      <c r="U1424" s="106"/>
      <c r="V1424" s="1592" t="s">
        <v>30</v>
      </c>
      <c r="W1424" s="671">
        <v>6530.865353107697</v>
      </c>
      <c r="X1424" s="673">
        <v>21786.888829533</v>
      </c>
      <c r="Y1424" s="672">
        <v>16223.59</v>
      </c>
      <c r="Z1424" s="1791">
        <v>16223.59</v>
      </c>
      <c r="AA1424" s="1791">
        <v>16223.59</v>
      </c>
      <c r="AB1424" s="1540">
        <v>16908.54</v>
      </c>
      <c r="AC1424" s="1591">
        <v>15839.4</v>
      </c>
      <c r="AD1424" s="2787">
        <v>16223.39</v>
      </c>
      <c r="AE1424" s="851"/>
      <c r="AF1424" s="851"/>
      <c r="AG1424" s="851"/>
      <c r="AH1424" s="344"/>
      <c r="AI1424" s="344"/>
      <c r="AJ1424" s="156"/>
      <c r="AK1424" s="156"/>
      <c r="AL1424" s="156"/>
      <c r="AM1424" s="156"/>
      <c r="AN1424" s="156"/>
      <c r="AO1424" s="156"/>
      <c r="AP1424" s="156"/>
      <c r="AQ1424" s="156"/>
      <c r="AR1424" s="156"/>
      <c r="AS1424" s="156"/>
      <c r="AT1424" s="156"/>
      <c r="AU1424" s="156"/>
      <c r="AV1424" s="156"/>
      <c r="AW1424" s="156"/>
      <c r="AX1424" s="156"/>
      <c r="AY1424" s="156"/>
      <c r="AZ1424" s="156"/>
      <c r="BA1424" s="156"/>
      <c r="BB1424" s="2835"/>
      <c r="BC1424" s="2349" t="str">
        <f t="shared" si="259"/>
        <v>Heating RES 18 Year EUL</v>
      </c>
      <c r="BD1424" s="2829">
        <f>(INDEX('Avoided Cost Benefits'!$E$4:$E$859,MATCH(BC1424,'Avoided Cost Benefits'!$A$4:$A$859,0)))*F1424</f>
        <v>7233.0971672369769</v>
      </c>
      <c r="BE1424" s="858">
        <f t="shared" si="260"/>
        <v>0</v>
      </c>
      <c r="BF1424" s="156"/>
    </row>
    <row r="1425" spans="1:58" x14ac:dyDescent="0.35">
      <c r="A1425" s="1071" t="str">
        <f t="shared" si="257"/>
        <v>352100_2021_12_Cooling Res</v>
      </c>
      <c r="B1425" s="106"/>
      <c r="C1425" s="1037" t="s">
        <v>1130</v>
      </c>
      <c r="D1425" s="1311" t="s">
        <v>318</v>
      </c>
      <c r="E1425" s="2348" t="s">
        <v>1131</v>
      </c>
      <c r="F1425" s="2787">
        <f>ROUND((($J$1480*$J$1486*(1/$J$1492-1/$J$1498))/1000)*$J$1503,2)</f>
        <v>4933.84</v>
      </c>
      <c r="G1425" s="188" t="s">
        <v>1091</v>
      </c>
      <c r="H1425" s="136">
        <f>VLOOKUP(G1425,'CP FACTORS'!$A$3:$B$38, 2, FALSE)</f>
        <v>9.4741810000000004E-4</v>
      </c>
      <c r="I1425" s="2732">
        <f t="shared" si="258"/>
        <v>4.6744089999999998</v>
      </c>
      <c r="J1425" s="124">
        <v>6</v>
      </c>
      <c r="K1425" s="1310">
        <v>5250</v>
      </c>
      <c r="L1425" s="322">
        <f>K1480</f>
        <v>3.8698630136986303</v>
      </c>
      <c r="M1425" s="103"/>
      <c r="N1425" s="106"/>
      <c r="O1425" s="106"/>
      <c r="P1425" s="106"/>
      <c r="Q1425" s="106"/>
      <c r="R1425" s="1214"/>
      <c r="S1425" s="106"/>
      <c r="T1425" s="106"/>
      <c r="U1425" s="106"/>
      <c r="V1425" s="1592" t="s">
        <v>30</v>
      </c>
      <c r="W1425" s="671">
        <v>4715.6029411764694</v>
      </c>
      <c r="X1425" s="671">
        <v>4824.9949536200738</v>
      </c>
      <c r="Y1425" s="672">
        <v>4824.99</v>
      </c>
      <c r="Z1425" s="1791">
        <v>4824.99</v>
      </c>
      <c r="AA1425" s="1791">
        <v>4824.99</v>
      </c>
      <c r="AB1425" s="1540">
        <v>4734.18</v>
      </c>
      <c r="AC1425" s="1591">
        <v>5417.2</v>
      </c>
      <c r="AD1425" s="2787">
        <v>4933.84</v>
      </c>
      <c r="AE1425" s="851"/>
      <c r="AF1425" s="851"/>
      <c r="AG1425" s="851"/>
      <c r="AH1425" s="344"/>
      <c r="AI1425" s="344"/>
      <c r="AJ1425" s="156"/>
      <c r="AK1425" s="156"/>
      <c r="AL1425" s="156"/>
      <c r="AM1425" s="156"/>
      <c r="AN1425" s="156"/>
      <c r="AO1425" s="156"/>
      <c r="AP1425" s="156"/>
      <c r="AQ1425" s="156"/>
      <c r="AR1425" s="156"/>
      <c r="AS1425" s="156"/>
      <c r="AT1425" s="156"/>
      <c r="AU1425" s="156"/>
      <c r="AV1425" s="156"/>
      <c r="AW1425" s="156"/>
      <c r="AX1425" s="156"/>
      <c r="AY1425" s="156"/>
      <c r="AZ1425" s="156"/>
      <c r="BA1425" s="156"/>
      <c r="BB1425" s="2833">
        <f>(BD1425+BD1426+BD1427+BD1428)/(BE1425+BE1426+BE1427+BE1428)</f>
        <v>2.3707715186227403</v>
      </c>
      <c r="BC1425" s="2348" t="str">
        <f t="shared" si="259"/>
        <v>Cooling Res 6 Year EUL</v>
      </c>
      <c r="BD1425" s="2829">
        <f>(INDEX('Avoided Cost Benefits'!$E$4:$E$859,MATCH(BC1425,'Avoided Cost Benefits'!$A$4:$A$859,0)))*F1425</f>
        <v>3126.1401773529374</v>
      </c>
      <c r="BE1425" s="858">
        <f t="shared" si="260"/>
        <v>4955.1675318546477</v>
      </c>
      <c r="BF1425" s="156"/>
    </row>
    <row r="1426" spans="1:58" x14ac:dyDescent="0.35">
      <c r="A1426" s="1071" t="str">
        <f t="shared" si="257"/>
        <v>352100_2021_12_Heating RES</v>
      </c>
      <c r="B1426" s="106"/>
      <c r="C1426" s="1037" t="s">
        <v>1130</v>
      </c>
      <c r="D1426" s="1311" t="s">
        <v>318</v>
      </c>
      <c r="E1426" s="2357" t="s">
        <v>1131</v>
      </c>
      <c r="F1426" s="2787">
        <f>ROUND((($J$1456*$J$1462*(1/$J$1468-1/$J$1474))/1000)*$J$1503,2)</f>
        <v>15784.45</v>
      </c>
      <c r="G1426" s="188" t="s">
        <v>258</v>
      </c>
      <c r="H1426" s="136">
        <f>VLOOKUP(G1426,'CP FACTORS'!$A$3:$B$38, 2, FALSE)</f>
        <v>0</v>
      </c>
      <c r="I1426" s="90">
        <f t="shared" si="258"/>
        <v>0</v>
      </c>
      <c r="J1426" s="124">
        <v>6</v>
      </c>
      <c r="K1426" s="1312"/>
      <c r="L1426" s="49"/>
      <c r="M1426" s="103"/>
      <c r="N1426" s="106"/>
      <c r="O1426" s="106"/>
      <c r="P1426" s="106"/>
      <c r="Q1426" s="106"/>
      <c r="R1426" s="1214"/>
      <c r="S1426" s="106"/>
      <c r="T1426" s="106"/>
      <c r="U1426" s="106"/>
      <c r="V1426" s="1592" t="s">
        <v>30</v>
      </c>
      <c r="W1426" s="671">
        <v>6530.865353107697</v>
      </c>
      <c r="X1426" s="673">
        <v>21786.888829533</v>
      </c>
      <c r="Y1426" s="672">
        <v>16223.59</v>
      </c>
      <c r="Z1426" s="1791">
        <v>16223.59</v>
      </c>
      <c r="AA1426" s="1791">
        <v>16223.59</v>
      </c>
      <c r="AB1426" s="1540">
        <v>15550.48</v>
      </c>
      <c r="AC1426" s="1591">
        <v>16555.189999999999</v>
      </c>
      <c r="AD1426" s="2787">
        <v>15784.45</v>
      </c>
      <c r="AE1426" s="851"/>
      <c r="AF1426" s="851"/>
      <c r="AG1426" s="851"/>
      <c r="AH1426" s="344"/>
      <c r="AI1426" s="344"/>
      <c r="AJ1426" s="156"/>
      <c r="AK1426" s="156"/>
      <c r="AL1426" s="156"/>
      <c r="AM1426" s="156"/>
      <c r="AN1426" s="156"/>
      <c r="AO1426" s="156"/>
      <c r="AP1426" s="156"/>
      <c r="AQ1426" s="156"/>
      <c r="AR1426" s="156"/>
      <c r="AS1426" s="156"/>
      <c r="AT1426" s="156"/>
      <c r="AU1426" s="156"/>
      <c r="AV1426" s="156"/>
      <c r="AW1426" s="156"/>
      <c r="AX1426" s="156"/>
      <c r="AY1426" s="156"/>
      <c r="AZ1426" s="156"/>
      <c r="BA1426" s="156"/>
      <c r="BB1426" s="2905"/>
      <c r="BC1426" s="2357" t="str">
        <f t="shared" si="259"/>
        <v>Heating RES 6 Year EUL</v>
      </c>
      <c r="BD1426" s="2829">
        <f>(INDEX('Avoided Cost Benefits'!$E$4:$E$859,MATCH(BC1426,'Avoided Cost Benefits'!$A$4:$A$859,0)))*F1426</f>
        <v>2571.937040991189</v>
      </c>
      <c r="BE1426" s="858">
        <f t="shared" si="260"/>
        <v>0</v>
      </c>
      <c r="BF1426" s="156"/>
    </row>
    <row r="1427" spans="1:58" x14ac:dyDescent="0.35">
      <c r="A1427" s="1071" t="str">
        <f t="shared" si="257"/>
        <v>352100_2021_12_Cooling Res ER2</v>
      </c>
      <c r="B1427" s="106"/>
      <c r="C1427" s="1037" t="s">
        <v>1130</v>
      </c>
      <c r="D1427" s="1311" t="s">
        <v>318</v>
      </c>
      <c r="E1427" s="2357" t="s">
        <v>1132</v>
      </c>
      <c r="F1427" s="2787">
        <f>ROUND((($J$1481*$J$1487*(1/$J$1493-1/$J$1499))/1000)*$J$1503,2)</f>
        <v>1431.53</v>
      </c>
      <c r="G1427" s="1313" t="s">
        <v>1133</v>
      </c>
      <c r="H1427" s="136">
        <f>VLOOKUP(G1427,'CP FACTORS'!$A$3:$B$38, 2, FALSE)</f>
        <v>9.4741810000000004E-4</v>
      </c>
      <c r="I1427" s="2732">
        <f t="shared" si="258"/>
        <v>1.356257</v>
      </c>
      <c r="J1427" s="124">
        <v>12</v>
      </c>
      <c r="K1427" s="1312"/>
      <c r="L1427" s="49"/>
      <c r="M1427" s="103"/>
      <c r="N1427" s="106"/>
      <c r="O1427" s="106"/>
      <c r="P1427" s="106"/>
      <c r="Q1427" s="106"/>
      <c r="R1427" s="1214"/>
      <c r="S1427" s="106"/>
      <c r="T1427" s="106"/>
      <c r="U1427" s="106"/>
      <c r="V1427" s="1592" t="s">
        <v>30</v>
      </c>
      <c r="W1427" s="671">
        <v>1716.9631221719455</v>
      </c>
      <c r="X1427" s="671">
        <v>1413.8603840319427</v>
      </c>
      <c r="Y1427" s="672">
        <v>1413.86</v>
      </c>
      <c r="Z1427" s="1791">
        <v>1413.86</v>
      </c>
      <c r="AA1427" s="1791">
        <v>1413.86</v>
      </c>
      <c r="AB1427" s="1540">
        <v>1603.59</v>
      </c>
      <c r="AC1427" s="1591">
        <v>1743.88</v>
      </c>
      <c r="AD1427" s="2787">
        <v>1431.53</v>
      </c>
      <c r="AE1427" s="851"/>
      <c r="AF1427" s="851"/>
      <c r="AG1427" s="851"/>
      <c r="AH1427" s="344"/>
      <c r="AI1427" s="344"/>
      <c r="AJ1427" s="156"/>
      <c r="AK1427" s="156"/>
      <c r="AL1427" s="156"/>
      <c r="AM1427" s="156"/>
      <c r="AN1427" s="156"/>
      <c r="AO1427" s="156"/>
      <c r="AP1427" s="156"/>
      <c r="AQ1427" s="156"/>
      <c r="AR1427" s="156"/>
      <c r="AS1427" s="156"/>
      <c r="AT1427" s="156"/>
      <c r="AU1427" s="156"/>
      <c r="AV1427" s="156"/>
      <c r="AW1427" s="156"/>
      <c r="AX1427" s="156"/>
      <c r="AY1427" s="156"/>
      <c r="AZ1427" s="156"/>
      <c r="BA1427" s="156"/>
      <c r="BB1427" s="2905"/>
      <c r="BC1427" s="2357" t="str">
        <f t="shared" si="259"/>
        <v>Cooling Res ER2 12 Year EUL</v>
      </c>
      <c r="BD1427" s="2829">
        <f>(INDEX('Avoided Cost Benefits'!$E$4:$E$859,MATCH(BC1427,'Avoided Cost Benefits'!$A$4:$A$859,0)))*F1427</f>
        <v>1584.0313691295728</v>
      </c>
      <c r="BE1427" s="858">
        <f t="shared" si="260"/>
        <v>0</v>
      </c>
      <c r="BF1427" s="156"/>
    </row>
    <row r="1428" spans="1:58" x14ac:dyDescent="0.35">
      <c r="A1428" s="1071" t="str">
        <f t="shared" si="257"/>
        <v>352100_2021_12_Heating RES ER2</v>
      </c>
      <c r="B1428" s="106"/>
      <c r="C1428" s="1037" t="s">
        <v>1130</v>
      </c>
      <c r="D1428" s="1311" t="s">
        <v>318</v>
      </c>
      <c r="E1428" s="2349" t="s">
        <v>1132</v>
      </c>
      <c r="F1428" s="2787">
        <f>ROUND((($J$1457*$J$1463*(1/$J$1469-1/$J$1475))/1000)*$J$1503,2)</f>
        <v>15784.45</v>
      </c>
      <c r="G1428" s="1313" t="s">
        <v>997</v>
      </c>
      <c r="H1428" s="136">
        <f>VLOOKUP(G1428,'CP FACTORS'!$A$3:$B$38, 2, FALSE)</f>
        <v>0</v>
      </c>
      <c r="I1428" s="90">
        <f t="shared" si="258"/>
        <v>0</v>
      </c>
      <c r="J1428" s="124">
        <v>12</v>
      </c>
      <c r="K1428" s="1312"/>
      <c r="L1428" s="49"/>
      <c r="M1428" s="106"/>
      <c r="N1428" s="106"/>
      <c r="O1428" s="106"/>
      <c r="P1428" s="106"/>
      <c r="Q1428" s="106"/>
      <c r="R1428" s="1214"/>
      <c r="S1428" s="106"/>
      <c r="T1428" s="106"/>
      <c r="U1428" s="106"/>
      <c r="V1428" s="1592" t="s">
        <v>30</v>
      </c>
      <c r="W1428" s="671">
        <v>6530.865353107697</v>
      </c>
      <c r="X1428" s="673">
        <v>21786.888829533</v>
      </c>
      <c r="Y1428" s="672">
        <v>16223.59</v>
      </c>
      <c r="Z1428" s="1791">
        <v>16223.59</v>
      </c>
      <c r="AA1428" s="1791">
        <v>16223.59</v>
      </c>
      <c r="AB1428" s="1540">
        <v>15550.48</v>
      </c>
      <c r="AC1428" s="1591">
        <v>16555.189999999999</v>
      </c>
      <c r="AD1428" s="2787">
        <v>15784.45</v>
      </c>
      <c r="AE1428" s="851"/>
      <c r="AF1428" s="851"/>
      <c r="AG1428" s="851"/>
      <c r="AH1428" s="344"/>
      <c r="AI1428" s="344"/>
      <c r="AJ1428" s="156"/>
      <c r="AK1428" s="156"/>
      <c r="AL1428" s="156"/>
      <c r="AM1428" s="156"/>
      <c r="AN1428" s="156"/>
      <c r="AO1428" s="156"/>
      <c r="AP1428" s="156"/>
      <c r="AQ1428" s="156"/>
      <c r="AR1428" s="156"/>
      <c r="AS1428" s="156"/>
      <c r="AT1428" s="156"/>
      <c r="AU1428" s="156"/>
      <c r="AV1428" s="156"/>
      <c r="AW1428" s="156"/>
      <c r="AX1428" s="156"/>
      <c r="AY1428" s="156"/>
      <c r="AZ1428" s="156"/>
      <c r="BA1428" s="156"/>
      <c r="BB1428" s="2905"/>
      <c r="BC1428" s="2349" t="str">
        <f t="shared" si="259"/>
        <v>Heating RES ER2 12 Year EUL</v>
      </c>
      <c r="BD1428" s="2829">
        <f>(INDEX('Avoided Cost Benefits'!$E$4:$E$859,MATCH(BC1428,'Avoided Cost Benefits'!$A$4:$A$859,0)))*F1428</f>
        <v>4465.4614670514402</v>
      </c>
      <c r="BE1428" s="858">
        <f t="shared" si="260"/>
        <v>0</v>
      </c>
      <c r="BF1428" s="156"/>
    </row>
    <row r="1429" spans="1:58" x14ac:dyDescent="0.35">
      <c r="A1429" s="1071" t="str">
        <f t="shared" si="257"/>
        <v>352200_2021_12_Cooling Res</v>
      </c>
      <c r="B1429" s="106"/>
      <c r="C1429" s="1037" t="s">
        <v>1134</v>
      </c>
      <c r="D1429" s="1311" t="s">
        <v>318</v>
      </c>
      <c r="E1429" s="2348" t="s">
        <v>1135</v>
      </c>
      <c r="F1429" s="2787">
        <f>ROUND(((J1482*J1488*(1/J1494-1/J1500))/1000)*$J$1503,2)</f>
        <v>3557.73</v>
      </c>
      <c r="G1429" s="188" t="s">
        <v>1091</v>
      </c>
      <c r="H1429" s="136">
        <f>VLOOKUP(G1429,'CP FACTORS'!$A$3:$B$38, 2, FALSE)</f>
        <v>9.4741810000000004E-4</v>
      </c>
      <c r="I1429" s="2732">
        <f t="shared" si="258"/>
        <v>3.3706580000000002</v>
      </c>
      <c r="J1429" s="124">
        <v>6</v>
      </c>
      <c r="K1429" s="1310">
        <v>4859</v>
      </c>
      <c r="L1429" s="322">
        <f>K1482</f>
        <v>3.8698630136986303</v>
      </c>
      <c r="M1429" s="106"/>
      <c r="N1429" s="106"/>
      <c r="O1429" s="106"/>
      <c r="P1429" s="106"/>
      <c r="Q1429" s="106"/>
      <c r="R1429" s="1214"/>
      <c r="S1429" s="106"/>
      <c r="T1429" s="106"/>
      <c r="U1429" s="106"/>
      <c r="V1429" s="1592" t="s">
        <v>30</v>
      </c>
      <c r="W1429" s="671">
        <v>4715.6029411764694</v>
      </c>
      <c r="X1429" s="671">
        <v>1930.2682563723677</v>
      </c>
      <c r="Y1429" s="672">
        <v>1930.27</v>
      </c>
      <c r="Z1429" s="1791">
        <v>1930.27</v>
      </c>
      <c r="AA1429" s="1791">
        <v>1930.27</v>
      </c>
      <c r="AB1429" s="1540">
        <v>2089.52</v>
      </c>
      <c r="AC1429" s="1591">
        <v>3155.16</v>
      </c>
      <c r="AD1429" s="2787">
        <v>3557.73</v>
      </c>
      <c r="AE1429" s="851"/>
      <c r="AF1429" s="851"/>
      <c r="AG1429" s="851"/>
      <c r="AH1429" s="344"/>
      <c r="AI1429" s="344"/>
      <c r="AJ1429" s="156"/>
      <c r="AK1429" s="156"/>
      <c r="AL1429" s="156"/>
      <c r="AM1429" s="156"/>
      <c r="AN1429" s="156"/>
      <c r="AO1429" s="156"/>
      <c r="AP1429" s="156"/>
      <c r="AQ1429" s="156"/>
      <c r="AR1429" s="156"/>
      <c r="AS1429" s="156"/>
      <c r="AT1429" s="156"/>
      <c r="AU1429" s="156"/>
      <c r="AV1429" s="156"/>
      <c r="AW1429" s="156"/>
      <c r="AX1429" s="156"/>
      <c r="AY1429" s="156"/>
      <c r="AZ1429" s="156"/>
      <c r="BA1429" s="156"/>
      <c r="BB1429" s="2833">
        <f>(BD1429+BD1430+BD1431+BD1432)/(BE1429+BE1430+BE1431+BE1432)</f>
        <v>1.054364916319209</v>
      </c>
      <c r="BC1429" s="2348" t="str">
        <f t="shared" si="259"/>
        <v>Cooling Res 6 Year EUL</v>
      </c>
      <c r="BD1429" s="2829">
        <f>(INDEX('Avoided Cost Benefits'!$E$4:$E$859,MATCH(BC1429,'Avoided Cost Benefits'!$A$4:$A$859,0)))*F1429</f>
        <v>2254.2203827391777</v>
      </c>
      <c r="BE1429" s="858">
        <f t="shared" si="260"/>
        <v>4586.1255309108064</v>
      </c>
      <c r="BF1429" s="156"/>
    </row>
    <row r="1430" spans="1:58" x14ac:dyDescent="0.35">
      <c r="A1430" s="1071" t="str">
        <f t="shared" si="257"/>
        <v>352200_2021_12_Heating RES</v>
      </c>
      <c r="B1430" s="106"/>
      <c r="C1430" s="1037" t="s">
        <v>1134</v>
      </c>
      <c r="D1430" s="1311" t="s">
        <v>318</v>
      </c>
      <c r="E1430" s="2357" t="s">
        <v>1135</v>
      </c>
      <c r="F1430" s="2787">
        <f>ROUND(((J1459*J1465*(1/J1470-1/J1477))/1000)*$J$1503,2)</f>
        <v>2686.03</v>
      </c>
      <c r="G1430" s="188" t="s">
        <v>258</v>
      </c>
      <c r="H1430" s="136">
        <f>VLOOKUP(G1430,'CP FACTORS'!$A$3:$B$38, 2, FALSE)</f>
        <v>0</v>
      </c>
      <c r="I1430" s="90">
        <f t="shared" si="258"/>
        <v>0</v>
      </c>
      <c r="J1430" s="124">
        <v>6</v>
      </c>
      <c r="K1430" s="1312"/>
      <c r="L1430" s="49"/>
      <c r="M1430" s="106"/>
      <c r="N1430" s="106"/>
      <c r="O1430" s="106"/>
      <c r="P1430" s="106"/>
      <c r="Q1430" s="106"/>
      <c r="R1430" s="1214"/>
      <c r="S1430" s="106"/>
      <c r="T1430" s="106"/>
      <c r="U1430" s="106"/>
      <c r="V1430" s="1592" t="s">
        <v>30</v>
      </c>
      <c r="W1430" s="671">
        <v>6530.865353107697</v>
      </c>
      <c r="X1430" s="673">
        <v>3650.7555350956377</v>
      </c>
      <c r="Y1430" s="672">
        <v>2718.53</v>
      </c>
      <c r="Z1430" s="1791">
        <v>2718.53</v>
      </c>
      <c r="AA1430" s="1791">
        <v>2718.53</v>
      </c>
      <c r="AB1430" s="1540">
        <v>2968.34</v>
      </c>
      <c r="AC1430" s="1591">
        <v>2827.56</v>
      </c>
      <c r="AD1430" s="2787">
        <v>2686.03</v>
      </c>
      <c r="AE1430" s="851"/>
      <c r="AF1430" s="851"/>
      <c r="AG1430" s="851"/>
      <c r="AH1430" s="344"/>
      <c r="AI1430" s="344"/>
      <c r="AJ1430" s="156"/>
      <c r="AK1430" s="156"/>
      <c r="AL1430" s="156"/>
      <c r="AM1430" s="156"/>
      <c r="AN1430" s="156"/>
      <c r="AO1430" s="156"/>
      <c r="AP1430" s="156"/>
      <c r="AQ1430" s="156"/>
      <c r="AR1430" s="156"/>
      <c r="AS1430" s="156"/>
      <c r="AT1430" s="156"/>
      <c r="AU1430" s="156"/>
      <c r="AV1430" s="156"/>
      <c r="AW1430" s="156"/>
      <c r="AX1430" s="156"/>
      <c r="AY1430" s="156"/>
      <c r="AZ1430" s="156"/>
      <c r="BA1430" s="156"/>
      <c r="BB1430" s="2905"/>
      <c r="BC1430" s="2357" t="str">
        <f t="shared" si="259"/>
        <v>Heating RES 6 Year EUL</v>
      </c>
      <c r="BD1430" s="2829">
        <f>(INDEX('Avoided Cost Benefits'!$E$4:$E$859,MATCH(BC1430,'Avoided Cost Benefits'!$A$4:$A$859,0)))*F1430</f>
        <v>437.66492023564734</v>
      </c>
      <c r="BE1430" s="858">
        <f t="shared" si="260"/>
        <v>0</v>
      </c>
      <c r="BF1430" s="156"/>
    </row>
    <row r="1431" spans="1:58" x14ac:dyDescent="0.35">
      <c r="A1431" s="1071" t="str">
        <f t="shared" si="257"/>
        <v>352200_2021_12_Cooling Res ER2</v>
      </c>
      <c r="B1431" s="106"/>
      <c r="C1431" s="1037" t="s">
        <v>1134</v>
      </c>
      <c r="D1431" s="1311" t="s">
        <v>318</v>
      </c>
      <c r="E1431" s="2357" t="s">
        <v>1136</v>
      </c>
      <c r="F1431" s="1493">
        <f>ROUND(((J1482*J1488*(1/J1496-1/J1500))/1000)*$J$1503,2)</f>
        <v>1431.53</v>
      </c>
      <c r="G1431" s="1313" t="s">
        <v>1133</v>
      </c>
      <c r="H1431" s="136">
        <f>VLOOKUP(G1431,'CP FACTORS'!$A$3:$B$38, 2, FALSE)</f>
        <v>9.4741810000000004E-4</v>
      </c>
      <c r="I1431" s="2732">
        <f t="shared" si="258"/>
        <v>1.356257</v>
      </c>
      <c r="J1431" s="124">
        <v>12</v>
      </c>
      <c r="K1431" s="1312"/>
      <c r="L1431" s="49"/>
      <c r="M1431" s="106"/>
      <c r="N1431" s="106"/>
      <c r="O1431" s="106"/>
      <c r="P1431" s="106"/>
      <c r="Q1431" s="106"/>
      <c r="R1431" s="1214"/>
      <c r="S1431" s="106"/>
      <c r="T1431" s="106"/>
      <c r="U1431" s="106"/>
      <c r="V1431" s="1592" t="s">
        <v>30</v>
      </c>
      <c r="W1431" s="372">
        <v>1460.3876720901126</v>
      </c>
      <c r="X1431" s="372">
        <v>1413.8603840319427</v>
      </c>
      <c r="Y1431" s="672">
        <v>1413.86</v>
      </c>
      <c r="Z1431" s="1791">
        <v>1413.86</v>
      </c>
      <c r="AA1431" s="1791">
        <v>1413.86</v>
      </c>
      <c r="AB1431" s="1540">
        <v>1536.02</v>
      </c>
      <c r="AC1431" s="1591">
        <v>1481.42</v>
      </c>
      <c r="AD1431" s="1493">
        <v>1431.53</v>
      </c>
      <c r="AE1431" s="851"/>
      <c r="AF1431" s="851"/>
      <c r="AG1431" s="851"/>
      <c r="AH1431" s="344"/>
      <c r="AI1431" s="344"/>
      <c r="AJ1431" s="156"/>
      <c r="AK1431" s="156"/>
      <c r="AL1431" s="156"/>
      <c r="AM1431" s="156"/>
      <c r="AN1431" s="156"/>
      <c r="AO1431" s="156"/>
      <c r="AP1431" s="156"/>
      <c r="AQ1431" s="156"/>
      <c r="AR1431" s="156"/>
      <c r="AS1431" s="156"/>
      <c r="AT1431" s="156"/>
      <c r="AU1431" s="156"/>
      <c r="AV1431" s="156"/>
      <c r="AW1431" s="156"/>
      <c r="AX1431" s="156"/>
      <c r="AY1431" s="156"/>
      <c r="AZ1431" s="156"/>
      <c r="BA1431" s="156"/>
      <c r="BB1431" s="2905"/>
      <c r="BC1431" s="2357" t="str">
        <f t="shared" si="259"/>
        <v>Cooling Res ER2 12 Year EUL</v>
      </c>
      <c r="BD1431" s="2829">
        <f>(INDEX('Avoided Cost Benefits'!$E$4:$E$859,MATCH(BC1431,'Avoided Cost Benefits'!$A$4:$A$859,0)))*F1431</f>
        <v>1584.0313691295728</v>
      </c>
      <c r="BE1431" s="858">
        <f t="shared" si="260"/>
        <v>0</v>
      </c>
      <c r="BF1431" s="156"/>
    </row>
    <row r="1432" spans="1:58" x14ac:dyDescent="0.35">
      <c r="A1432" s="1071" t="str">
        <f t="shared" si="257"/>
        <v>352200_2021_12_Heating RES ER2</v>
      </c>
      <c r="B1432" s="106"/>
      <c r="C1432" s="1037" t="s">
        <v>1134</v>
      </c>
      <c r="D1432" s="1311" t="s">
        <v>318</v>
      </c>
      <c r="E1432" s="2349" t="s">
        <v>1136</v>
      </c>
      <c r="F1432" s="1493">
        <f>ROUND(((J1459*J1465*(1/J1471-1/J1477))/1000)*$J$1503,2)</f>
        <v>1977.83</v>
      </c>
      <c r="G1432" s="1313" t="s">
        <v>997</v>
      </c>
      <c r="H1432" s="136">
        <f>VLOOKUP(G1432,'CP FACTORS'!$A$3:$B$38, 2, FALSE)</f>
        <v>0</v>
      </c>
      <c r="I1432" s="90">
        <f t="shared" si="258"/>
        <v>0</v>
      </c>
      <c r="J1432" s="124">
        <v>12</v>
      </c>
      <c r="K1432" s="1312"/>
      <c r="L1432" s="49"/>
      <c r="M1432" s="106"/>
      <c r="N1432" s="106"/>
      <c r="O1432" s="106"/>
      <c r="P1432" s="106"/>
      <c r="Q1432" s="106"/>
      <c r="R1432" s="1214"/>
      <c r="S1432" s="106"/>
      <c r="T1432" s="106"/>
      <c r="U1432" s="106"/>
      <c r="V1432" s="1592" t="s">
        <v>30</v>
      </c>
      <c r="W1432" s="372">
        <v>6530.865353107697</v>
      </c>
      <c r="X1432" s="674">
        <v>2670.177267298056</v>
      </c>
      <c r="Y1432" s="672">
        <v>1988.35</v>
      </c>
      <c r="Z1432" s="1791">
        <v>1988.35</v>
      </c>
      <c r="AA1432" s="1791">
        <v>1988.35</v>
      </c>
      <c r="AB1432" s="1540">
        <v>2185.6999999999998</v>
      </c>
      <c r="AC1432" s="1591">
        <v>2082.04</v>
      </c>
      <c r="AD1432" s="1493">
        <v>1977.83</v>
      </c>
      <c r="AE1432" s="851"/>
      <c r="AF1432" s="851"/>
      <c r="AG1432" s="851"/>
      <c r="AH1432" s="344"/>
      <c r="AI1432" s="344"/>
      <c r="AJ1432" s="156"/>
      <c r="AK1432" s="156"/>
      <c r="AL1432" s="156"/>
      <c r="AM1432" s="156"/>
      <c r="AN1432" s="156"/>
      <c r="AO1432" s="156"/>
      <c r="AP1432" s="156"/>
      <c r="AQ1432" s="156"/>
      <c r="AR1432" s="156"/>
      <c r="AS1432" s="156"/>
      <c r="AT1432" s="156"/>
      <c r="AU1432" s="156"/>
      <c r="AV1432" s="156"/>
      <c r="AW1432" s="156"/>
      <c r="AX1432" s="156"/>
      <c r="AY1432" s="156"/>
      <c r="AZ1432" s="156"/>
      <c r="BA1432" s="156"/>
      <c r="BB1432" s="2905"/>
      <c r="BC1432" s="2349" t="str">
        <f t="shared" si="259"/>
        <v>Heating RES ER2 12 Year EUL</v>
      </c>
      <c r="BD1432" s="2829">
        <f>(INDEX('Avoided Cost Benefits'!$E$4:$E$859,MATCH(BC1432,'Avoided Cost Benefits'!$A$4:$A$859,0)))*F1432</f>
        <v>559.53318952376219</v>
      </c>
      <c r="BE1432" s="858">
        <f t="shared" si="260"/>
        <v>0</v>
      </c>
      <c r="BF1432" s="156"/>
    </row>
    <row r="1433" spans="1:58" x14ac:dyDescent="0.35">
      <c r="A1433" s="1071" t="str">
        <f t="shared" si="257"/>
        <v>352250_2021_12_Cooling Res</v>
      </c>
      <c r="B1433" s="106"/>
      <c r="C1433" s="1037" t="s">
        <v>1137</v>
      </c>
      <c r="D1433" s="1311" t="s">
        <v>318</v>
      </c>
      <c r="E1433" s="2348" t="s">
        <v>1138</v>
      </c>
      <c r="F1433" s="2787">
        <f>ROUND(((J1484*J1490*(1/J1496-1/J1502))/1000)*$J$1503,2)</f>
        <v>1510.41</v>
      </c>
      <c r="G1433" s="188" t="s">
        <v>1091</v>
      </c>
      <c r="H1433" s="136">
        <f>VLOOKUP(G1433,'CP FACTORS'!$A$3:$B$38, 2, FALSE)</f>
        <v>9.4741810000000004E-4</v>
      </c>
      <c r="I1433" s="2732">
        <f t="shared" si="258"/>
        <v>1.43099</v>
      </c>
      <c r="J1433" s="124">
        <v>18</v>
      </c>
      <c r="K1433" s="1310">
        <v>3200</v>
      </c>
      <c r="L1433" s="322">
        <f>K1484</f>
        <v>3.977477477477477</v>
      </c>
      <c r="M1433" s="106"/>
      <c r="N1433" s="106"/>
      <c r="O1433" s="106"/>
      <c r="P1433" s="106"/>
      <c r="Q1433" s="106"/>
      <c r="R1433" s="1214"/>
      <c r="S1433" s="106"/>
      <c r="T1433" s="106"/>
      <c r="U1433" s="106"/>
      <c r="V1433" s="1592" t="s">
        <v>30</v>
      </c>
      <c r="W1433" s="671">
        <v>1535.655749462109</v>
      </c>
      <c r="X1433" s="671">
        <v>1413.8603840319427</v>
      </c>
      <c r="Y1433" s="672">
        <v>1413.86</v>
      </c>
      <c r="Z1433" s="1791">
        <v>1413.86</v>
      </c>
      <c r="AA1433" s="1791">
        <v>1413.86</v>
      </c>
      <c r="AB1433" s="1540">
        <v>1553.75</v>
      </c>
      <c r="AC1433" s="1591">
        <v>1520.53</v>
      </c>
      <c r="AD1433" s="2787">
        <v>1510.41</v>
      </c>
      <c r="AE1433" s="851"/>
      <c r="AF1433" s="851"/>
      <c r="AG1433" s="851"/>
      <c r="AH1433" s="344"/>
      <c r="AI1433" s="344"/>
      <c r="AJ1433" s="156"/>
      <c r="AK1433" s="156"/>
      <c r="AL1433" s="156"/>
      <c r="AM1433" s="156"/>
      <c r="AN1433" s="156"/>
      <c r="AO1433" s="156"/>
      <c r="AP1433" s="156"/>
      <c r="AQ1433" s="156"/>
      <c r="AR1433" s="156"/>
      <c r="AS1433" s="156"/>
      <c r="AT1433" s="156"/>
      <c r="AU1433" s="156"/>
      <c r="AV1433" s="156"/>
      <c r="AW1433" s="156"/>
      <c r="AX1433" s="156"/>
      <c r="AY1433" s="156"/>
      <c r="AZ1433" s="156"/>
      <c r="BA1433" s="156"/>
      <c r="BB1433" s="2833">
        <f>(BD1433+BD1434)/(BE1433+BE1434)</f>
        <v>1.17030149470181</v>
      </c>
      <c r="BC1433" s="2348" t="str">
        <f t="shared" si="259"/>
        <v>Cooling Res 18 Year EUL</v>
      </c>
      <c r="BD1433" s="2829">
        <f>(INDEX('Avoided Cost Benefits'!$E$4:$E$859,MATCH(BC1433,'Avoided Cost Benefits'!$A$4:$A$859,0)))*F1433</f>
        <v>2628.328366659443</v>
      </c>
      <c r="BE1433" s="858">
        <f t="shared" si="260"/>
        <v>3020.2925908447378</v>
      </c>
      <c r="BF1433" s="156"/>
    </row>
    <row r="1434" spans="1:58" x14ac:dyDescent="0.35">
      <c r="A1434" s="1071" t="str">
        <f t="shared" si="257"/>
        <v>352250_2021_12_Heating RES</v>
      </c>
      <c r="B1434" s="106"/>
      <c r="C1434" s="1037" t="s">
        <v>1137</v>
      </c>
      <c r="D1434" s="1311" t="s">
        <v>318</v>
      </c>
      <c r="E1434" s="2349" t="s">
        <v>1138</v>
      </c>
      <c r="F1434" s="2787">
        <f>ROUND(((J1460*J1466*(1/J1472-1/J1478))/1000)*$J$1503,2)</f>
        <v>2032.83</v>
      </c>
      <c r="G1434" s="188" t="s">
        <v>258</v>
      </c>
      <c r="H1434" s="136">
        <f>VLOOKUP(G1434,'CP FACTORS'!$A$3:$B$38, 2, FALSE)</f>
        <v>0</v>
      </c>
      <c r="I1434" s="90">
        <f t="shared" si="258"/>
        <v>0</v>
      </c>
      <c r="J1434" s="124">
        <v>18</v>
      </c>
      <c r="K1434" s="1037"/>
      <c r="L1434" s="50"/>
      <c r="M1434" s="106"/>
      <c r="N1434" s="106"/>
      <c r="O1434" s="106"/>
      <c r="P1434" s="106"/>
      <c r="Q1434" s="106"/>
      <c r="R1434" s="1214"/>
      <c r="S1434" s="106"/>
      <c r="T1434" s="106"/>
      <c r="U1434" s="106"/>
      <c r="V1434" s="1592" t="s">
        <v>30</v>
      </c>
      <c r="W1434" s="671">
        <v>7008.7335496765554</v>
      </c>
      <c r="X1434" s="673">
        <v>2670.177267298056</v>
      </c>
      <c r="Y1434" s="672">
        <v>1988.35</v>
      </c>
      <c r="Z1434" s="1791">
        <v>1988.35</v>
      </c>
      <c r="AA1434" s="1791">
        <v>1988.35</v>
      </c>
      <c r="AB1434" s="1540">
        <v>2199.89</v>
      </c>
      <c r="AC1434" s="1591">
        <v>2128.5500000000002</v>
      </c>
      <c r="AD1434" s="2787">
        <v>2032.83</v>
      </c>
      <c r="AE1434" s="851"/>
      <c r="AF1434" s="851"/>
      <c r="AG1434" s="851"/>
      <c r="AH1434" s="344"/>
      <c r="AI1434" s="344"/>
      <c r="AJ1434" s="156"/>
      <c r="AK1434" s="156"/>
      <c r="AL1434" s="156"/>
      <c r="AM1434" s="156"/>
      <c r="AN1434" s="156"/>
      <c r="AO1434" s="156"/>
      <c r="AP1434" s="156"/>
      <c r="AQ1434" s="156"/>
      <c r="AR1434" s="156"/>
      <c r="AS1434" s="156"/>
      <c r="AT1434" s="156"/>
      <c r="AU1434" s="156"/>
      <c r="AV1434" s="156"/>
      <c r="AW1434" s="156"/>
      <c r="AX1434" s="156"/>
      <c r="AY1434" s="156"/>
      <c r="AZ1434" s="156"/>
      <c r="BA1434" s="156"/>
      <c r="BB1434" s="2836"/>
      <c r="BC1434" s="2349" t="str">
        <f t="shared" si="259"/>
        <v>Heating RES 18 Year EUL</v>
      </c>
      <c r="BD1434" s="2871">
        <f>(INDEX('Avoided Cost Benefits'!$E$4:$E$859,MATCH(BC1434,'Avoided Cost Benefits'!$A$4:$A$859,0)))*F1434</f>
        <v>906.32456684295607</v>
      </c>
      <c r="BE1434" s="860">
        <f t="shared" si="260"/>
        <v>0</v>
      </c>
      <c r="BF1434" s="156"/>
    </row>
    <row r="1435" spans="1:58" hidden="1" outlineLevel="1" x14ac:dyDescent="0.35">
      <c r="A1435" s="1071"/>
      <c r="B1435" s="106"/>
      <c r="C1435" s="103"/>
      <c r="D1435" s="292"/>
      <c r="E1435" s="292" t="s">
        <v>1085</v>
      </c>
      <c r="F1435" s="1242"/>
      <c r="G1435" s="1309"/>
      <c r="H1435" s="103"/>
      <c r="I1435" s="103"/>
      <c r="J1435" s="103"/>
      <c r="K1435" s="103"/>
      <c r="L1435" s="103"/>
      <c r="M1435" s="103"/>
      <c r="N1435" s="106"/>
      <c r="O1435" s="106"/>
      <c r="P1435" s="106"/>
      <c r="Q1435" s="106"/>
      <c r="R1435" s="106"/>
      <c r="S1435" s="106"/>
      <c r="T1435" s="106"/>
      <c r="U1435" s="106"/>
      <c r="V1435" s="106"/>
      <c r="W1435" s="156"/>
      <c r="X1435" s="156"/>
      <c r="Y1435" s="156"/>
      <c r="Z1435" s="156"/>
      <c r="AA1435" s="156"/>
      <c r="AB1435" s="156"/>
      <c r="AC1435" s="156"/>
      <c r="AD1435" s="156"/>
      <c r="AE1435" s="156"/>
      <c r="AF1435" s="156"/>
      <c r="AG1435" s="156"/>
      <c r="AH1435" s="156"/>
      <c r="AI1435" s="156"/>
      <c r="AJ1435" s="156"/>
      <c r="AK1435" s="156"/>
      <c r="AL1435" s="156"/>
      <c r="AM1435" s="156"/>
      <c r="AN1435" s="156"/>
      <c r="AO1435" s="156"/>
      <c r="AP1435" s="156"/>
      <c r="AQ1435" s="156"/>
      <c r="AR1435" s="156"/>
      <c r="AS1435" s="156"/>
      <c r="AT1435" s="156"/>
      <c r="AU1435" s="156"/>
      <c r="AV1435" s="156"/>
      <c r="AW1435" s="156"/>
      <c r="AX1435" s="156"/>
      <c r="AY1435" s="156"/>
      <c r="AZ1435" s="156"/>
      <c r="BA1435" s="156"/>
      <c r="BB1435" s="2828"/>
      <c r="BC1435" s="504"/>
      <c r="BD1435" s="2829"/>
      <c r="BE1435" s="2837"/>
      <c r="BF1435" s="156"/>
    </row>
    <row r="1436" spans="1:58" hidden="1" outlineLevel="1" x14ac:dyDescent="0.35">
      <c r="A1436" s="1071"/>
      <c r="B1436" s="106"/>
      <c r="C1436" s="103"/>
      <c r="D1436" s="292"/>
      <c r="E1436" s="292"/>
      <c r="F1436" s="1242"/>
      <c r="G1436" s="1309"/>
      <c r="H1436" s="103"/>
      <c r="I1436" s="103"/>
      <c r="J1436" s="103"/>
      <c r="K1436" s="103"/>
      <c r="L1436" s="103"/>
      <c r="M1436" s="103"/>
      <c r="N1436" s="106"/>
      <c r="O1436" s="106"/>
      <c r="P1436" s="106"/>
      <c r="Q1436" s="106"/>
      <c r="R1436" s="106"/>
      <c r="S1436" s="106"/>
      <c r="T1436" s="106"/>
      <c r="U1436" s="106"/>
      <c r="V1436" s="106"/>
      <c r="W1436" s="156"/>
      <c r="X1436" s="156"/>
      <c r="Y1436" s="156"/>
      <c r="Z1436" s="156"/>
      <c r="AA1436" s="156"/>
      <c r="AB1436" s="156"/>
      <c r="AC1436" s="156"/>
      <c r="AD1436" s="156"/>
      <c r="AE1436" s="156"/>
      <c r="AF1436" s="156"/>
      <c r="AG1436" s="156"/>
      <c r="AH1436" s="156"/>
      <c r="AI1436" s="156"/>
      <c r="AJ1436" s="156"/>
      <c r="AK1436" s="156"/>
      <c r="AL1436" s="156"/>
      <c r="AM1436" s="156"/>
      <c r="AN1436" s="156"/>
      <c r="AO1436" s="156"/>
      <c r="AP1436" s="156"/>
      <c r="AQ1436" s="156"/>
      <c r="AR1436" s="156"/>
      <c r="AS1436" s="156"/>
      <c r="AT1436" s="156"/>
      <c r="AU1436" s="156"/>
      <c r="AV1436" s="156"/>
      <c r="AW1436" s="156"/>
      <c r="AX1436" s="156"/>
      <c r="AY1436" s="156"/>
      <c r="AZ1436" s="156"/>
      <c r="BA1436" s="156"/>
      <c r="BB1436" s="2828"/>
      <c r="BC1436" s="504"/>
      <c r="BD1436" s="2829"/>
      <c r="BE1436" s="2837"/>
      <c r="BF1436" s="156"/>
    </row>
    <row r="1437" spans="1:58" hidden="1" outlineLevel="1" x14ac:dyDescent="0.35">
      <c r="A1437" s="1071"/>
      <c r="B1437" s="106"/>
      <c r="C1437" s="103"/>
      <c r="D1437" s="152" t="s">
        <v>107</v>
      </c>
      <c r="E1437" s="292"/>
      <c r="F1437" s="106"/>
      <c r="G1437" s="292"/>
      <c r="H1437" s="106"/>
      <c r="I1437" s="106"/>
      <c r="J1437" s="106"/>
      <c r="K1437" s="106"/>
      <c r="L1437" s="106"/>
      <c r="M1437" s="106"/>
      <c r="N1437" s="106"/>
      <c r="O1437" s="106"/>
      <c r="P1437" s="106"/>
      <c r="Q1437" s="106"/>
      <c r="R1437" s="106"/>
      <c r="S1437" s="106"/>
      <c r="T1437" s="106"/>
      <c r="U1437" s="106"/>
      <c r="V1437" s="106"/>
      <c r="W1437" s="156"/>
      <c r="X1437" s="156"/>
      <c r="Y1437" s="156"/>
      <c r="Z1437" s="156"/>
      <c r="AA1437" s="156"/>
      <c r="AB1437" s="156"/>
      <c r="AC1437" s="156"/>
      <c r="AD1437" s="156"/>
      <c r="AE1437" s="156"/>
      <c r="AF1437" s="156"/>
      <c r="AG1437" s="156"/>
      <c r="AH1437" s="156"/>
      <c r="AI1437" s="156"/>
      <c r="AJ1437" s="156"/>
      <c r="AK1437" s="156"/>
      <c r="AL1437" s="156"/>
      <c r="AM1437" s="156"/>
      <c r="AN1437" s="156"/>
      <c r="AO1437" s="156"/>
      <c r="AP1437" s="156"/>
      <c r="AQ1437" s="156"/>
      <c r="AR1437" s="156"/>
      <c r="AS1437" s="156"/>
      <c r="AT1437" s="156"/>
      <c r="AU1437" s="156"/>
      <c r="AV1437" s="156"/>
      <c r="AW1437" s="156"/>
      <c r="AX1437" s="156"/>
      <c r="AY1437" s="156"/>
      <c r="AZ1437" s="156"/>
      <c r="BA1437" s="156"/>
      <c r="BB1437" s="2828"/>
      <c r="BC1437" s="504"/>
      <c r="BD1437" s="2829"/>
      <c r="BE1437" s="2837"/>
      <c r="BF1437" s="156"/>
    </row>
    <row r="1438" spans="1:58" hidden="1" outlineLevel="1" x14ac:dyDescent="0.35">
      <c r="A1438" s="1071"/>
      <c r="B1438" s="106"/>
      <c r="C1438" s="103"/>
      <c r="D1438" s="292"/>
      <c r="E1438" s="292"/>
      <c r="F1438" s="106"/>
      <c r="G1438" s="292"/>
      <c r="H1438" s="103"/>
      <c r="I1438" s="106"/>
      <c r="J1438" s="106"/>
      <c r="K1438" s="106"/>
      <c r="L1438" s="106"/>
      <c r="M1438" s="106"/>
      <c r="N1438" s="106"/>
      <c r="O1438" s="106"/>
      <c r="P1438" s="106"/>
      <c r="Q1438" s="106"/>
      <c r="R1438" s="106"/>
      <c r="S1438" s="106"/>
      <c r="T1438" s="106"/>
      <c r="U1438" s="106"/>
      <c r="V1438" s="106"/>
      <c r="W1438" s="156"/>
      <c r="X1438" s="156"/>
      <c r="Y1438" s="156"/>
      <c r="Z1438" s="156"/>
      <c r="AA1438" s="156"/>
      <c r="AB1438" s="156"/>
      <c r="AC1438" s="156"/>
      <c r="AD1438" s="156"/>
      <c r="AE1438" s="156"/>
      <c r="AF1438" s="156"/>
      <c r="AG1438" s="156"/>
      <c r="AH1438" s="156"/>
      <c r="AI1438" s="156"/>
      <c r="AJ1438" s="156"/>
      <c r="AK1438" s="156"/>
      <c r="AL1438" s="156"/>
      <c r="AM1438" s="156"/>
      <c r="AN1438" s="156"/>
      <c r="AO1438" s="156"/>
      <c r="AP1438" s="156"/>
      <c r="AQ1438" s="156"/>
      <c r="AR1438" s="156"/>
      <c r="AS1438" s="156"/>
      <c r="AT1438" s="156"/>
      <c r="AU1438" s="156"/>
      <c r="AV1438" s="156"/>
      <c r="AW1438" s="156"/>
      <c r="AX1438" s="156"/>
      <c r="AY1438" s="156"/>
      <c r="AZ1438" s="156"/>
      <c r="BA1438" s="156"/>
      <c r="BB1438" s="2828"/>
      <c r="BC1438" s="504"/>
      <c r="BD1438" s="2829"/>
      <c r="BE1438" s="2837"/>
      <c r="BF1438" s="156"/>
    </row>
    <row r="1439" spans="1:58" hidden="1" outlineLevel="1" x14ac:dyDescent="0.35">
      <c r="A1439" s="1071"/>
      <c r="B1439" s="106"/>
      <c r="C1439" s="103"/>
      <c r="D1439" s="292"/>
      <c r="E1439" s="292"/>
      <c r="F1439" s="106"/>
      <c r="G1439" s="292"/>
      <c r="H1439" s="103"/>
      <c r="I1439" s="106"/>
      <c r="J1439" s="106"/>
      <c r="K1439" s="106"/>
      <c r="L1439" s="106"/>
      <c r="M1439" s="106"/>
      <c r="N1439" s="106"/>
      <c r="O1439" s="106"/>
      <c r="P1439" s="106"/>
      <c r="Q1439" s="106"/>
      <c r="R1439" s="106"/>
      <c r="S1439" s="106"/>
      <c r="T1439" s="106"/>
      <c r="U1439" s="106"/>
      <c r="V1439" s="106"/>
      <c r="W1439" s="156"/>
      <c r="X1439" s="156"/>
      <c r="Y1439" s="156"/>
      <c r="Z1439" s="156"/>
      <c r="AA1439" s="156"/>
      <c r="AB1439" s="156"/>
      <c r="AC1439" s="156"/>
      <c r="AD1439" s="156"/>
      <c r="AE1439" s="156"/>
      <c r="AF1439" s="156"/>
      <c r="AG1439" s="156"/>
      <c r="AH1439" s="156"/>
      <c r="AI1439" s="156"/>
      <c r="AJ1439" s="156"/>
      <c r="AK1439" s="156"/>
      <c r="AL1439" s="156"/>
      <c r="AM1439" s="156"/>
      <c r="AN1439" s="156"/>
      <c r="AO1439" s="156"/>
      <c r="AP1439" s="156"/>
      <c r="AQ1439" s="156"/>
      <c r="AR1439" s="156"/>
      <c r="AS1439" s="156"/>
      <c r="AT1439" s="156"/>
      <c r="AU1439" s="156"/>
      <c r="AV1439" s="156"/>
      <c r="AW1439" s="156"/>
      <c r="AX1439" s="156"/>
      <c r="AY1439" s="156"/>
      <c r="AZ1439" s="156"/>
      <c r="BA1439" s="156"/>
      <c r="BB1439" s="2828"/>
      <c r="BC1439" s="504"/>
      <c r="BD1439" s="2829"/>
      <c r="BE1439" s="2837"/>
      <c r="BF1439" s="156"/>
    </row>
    <row r="1440" spans="1:58" hidden="1" outlineLevel="1" x14ac:dyDescent="0.35">
      <c r="A1440" s="1071"/>
      <c r="B1440" s="106"/>
      <c r="C1440" s="103"/>
      <c r="D1440" s="292"/>
      <c r="E1440" s="292"/>
      <c r="F1440" s="106"/>
      <c r="G1440" s="292"/>
      <c r="H1440" s="103"/>
      <c r="I1440" s="106"/>
      <c r="J1440" s="106"/>
      <c r="K1440" s="106"/>
      <c r="L1440" s="106"/>
      <c r="M1440" s="106"/>
      <c r="N1440" s="106"/>
      <c r="O1440" s="106"/>
      <c r="P1440" s="106"/>
      <c r="Q1440" s="106"/>
      <c r="R1440" s="106"/>
      <c r="S1440" s="106"/>
      <c r="T1440" s="106"/>
      <c r="U1440" s="106"/>
      <c r="V1440" s="106"/>
      <c r="W1440" s="156"/>
      <c r="X1440" s="156"/>
      <c r="Y1440" s="156"/>
      <c r="Z1440" s="156"/>
      <c r="AA1440" s="156"/>
      <c r="AB1440" s="156"/>
      <c r="AC1440" s="156"/>
      <c r="AD1440" s="156"/>
      <c r="AE1440" s="156"/>
      <c r="AF1440" s="156"/>
      <c r="AG1440" s="156"/>
      <c r="AH1440" s="156"/>
      <c r="AI1440" s="156"/>
      <c r="AJ1440" s="156"/>
      <c r="AK1440" s="156"/>
      <c r="AL1440" s="156"/>
      <c r="AM1440" s="156"/>
      <c r="AN1440" s="156"/>
      <c r="AO1440" s="156"/>
      <c r="AP1440" s="156"/>
      <c r="AQ1440" s="156"/>
      <c r="AR1440" s="156"/>
      <c r="AS1440" s="156"/>
      <c r="AT1440" s="156"/>
      <c r="AU1440" s="156"/>
      <c r="AV1440" s="156"/>
      <c r="AW1440" s="156"/>
      <c r="AX1440" s="156"/>
      <c r="AY1440" s="156"/>
      <c r="AZ1440" s="156"/>
      <c r="BA1440" s="156"/>
      <c r="BB1440" s="2828"/>
      <c r="BC1440" s="504"/>
      <c r="BD1440" s="2829"/>
      <c r="BE1440" s="2837"/>
      <c r="BF1440" s="156"/>
    </row>
    <row r="1441" spans="1:58" hidden="1" outlineLevel="1" x14ac:dyDescent="0.35">
      <c r="A1441" s="1071"/>
      <c r="B1441" s="106"/>
      <c r="C1441" s="103"/>
      <c r="D1441" s="292"/>
      <c r="E1441" s="292"/>
      <c r="F1441" s="106"/>
      <c r="G1441" s="292"/>
      <c r="H1441" s="103"/>
      <c r="I1441" s="106"/>
      <c r="J1441" s="106"/>
      <c r="K1441" s="106"/>
      <c r="L1441" s="106"/>
      <c r="M1441" s="106"/>
      <c r="N1441" s="106"/>
      <c r="O1441" s="106"/>
      <c r="P1441" s="106"/>
      <c r="Q1441" s="106"/>
      <c r="R1441" s="106"/>
      <c r="S1441" s="106"/>
      <c r="T1441" s="106"/>
      <c r="U1441" s="106"/>
      <c r="V1441" s="106"/>
      <c r="W1441" s="156"/>
      <c r="X1441" s="156"/>
      <c r="Y1441" s="156"/>
      <c r="Z1441" s="156"/>
      <c r="AA1441" s="156"/>
      <c r="AB1441" s="156"/>
      <c r="AC1441" s="156"/>
      <c r="AD1441" s="156"/>
      <c r="AE1441" s="156"/>
      <c r="AF1441" s="156"/>
      <c r="AG1441" s="156"/>
      <c r="AH1441" s="156"/>
      <c r="AI1441" s="156"/>
      <c r="AJ1441" s="156"/>
      <c r="AK1441" s="156"/>
      <c r="AL1441" s="156"/>
      <c r="AM1441" s="156"/>
      <c r="AN1441" s="156"/>
      <c r="AO1441" s="156"/>
      <c r="AP1441" s="156"/>
      <c r="AQ1441" s="156"/>
      <c r="AR1441" s="156"/>
      <c r="AS1441" s="156"/>
      <c r="AT1441" s="156"/>
      <c r="AU1441" s="156"/>
      <c r="AV1441" s="156"/>
      <c r="AW1441" s="156"/>
      <c r="AX1441" s="156"/>
      <c r="AY1441" s="156"/>
      <c r="AZ1441" s="156"/>
      <c r="BA1441" s="156"/>
      <c r="BB1441" s="2828"/>
      <c r="BC1441" s="504"/>
      <c r="BD1441" s="2829"/>
      <c r="BE1441" s="2837"/>
      <c r="BF1441" s="156"/>
    </row>
    <row r="1442" spans="1:58" hidden="1" outlineLevel="1" x14ac:dyDescent="0.35">
      <c r="A1442" s="1071"/>
      <c r="B1442" s="106"/>
      <c r="C1442" s="103"/>
      <c r="D1442" s="292" t="s">
        <v>942</v>
      </c>
      <c r="E1442" s="292"/>
      <c r="F1442" s="106"/>
      <c r="G1442" s="292"/>
      <c r="H1442" s="103"/>
      <c r="I1442" s="156"/>
      <c r="J1442" s="2301" t="s">
        <v>4365</v>
      </c>
      <c r="K1442" s="106"/>
      <c r="L1442" s="106"/>
      <c r="M1442" s="106"/>
      <c r="N1442" s="106"/>
      <c r="O1442" s="106"/>
      <c r="P1442" s="106"/>
      <c r="Q1442" s="106"/>
      <c r="R1442" s="106"/>
      <c r="S1442" s="106"/>
      <c r="T1442" s="106"/>
      <c r="U1442" s="106"/>
      <c r="V1442" s="106"/>
      <c r="W1442" s="156"/>
      <c r="X1442" s="156"/>
      <c r="Y1442" s="156"/>
      <c r="Z1442" s="156"/>
      <c r="AA1442" s="156"/>
      <c r="AB1442" s="156"/>
      <c r="AC1442" s="156"/>
      <c r="AD1442" s="156"/>
      <c r="AE1442" s="156"/>
      <c r="AF1442" s="156"/>
      <c r="AG1442" s="156"/>
      <c r="AH1442" s="156"/>
      <c r="AI1442" s="156"/>
      <c r="AJ1442" s="156"/>
      <c r="AK1442" s="156"/>
      <c r="AL1442" s="156"/>
      <c r="AM1442" s="156"/>
      <c r="AN1442" s="156"/>
      <c r="AO1442" s="156"/>
      <c r="AP1442" s="156"/>
      <c r="AQ1442" s="156"/>
      <c r="AR1442" s="156"/>
      <c r="AS1442" s="156"/>
      <c r="AT1442" s="156"/>
      <c r="AU1442" s="156"/>
      <c r="AV1442" s="156"/>
      <c r="AW1442" s="156"/>
      <c r="AX1442" s="156"/>
      <c r="AY1442" s="156"/>
      <c r="AZ1442" s="156"/>
      <c r="BA1442" s="156"/>
      <c r="BB1442" s="2828"/>
      <c r="BC1442" s="504"/>
      <c r="BD1442" s="2829"/>
      <c r="BE1442" s="2837"/>
      <c r="BF1442" s="156"/>
    </row>
    <row r="1443" spans="1:58" hidden="1" outlineLevel="1" x14ac:dyDescent="0.35">
      <c r="A1443" s="1071"/>
      <c r="B1443" s="106"/>
      <c r="C1443" s="103"/>
      <c r="D1443" s="156"/>
      <c r="E1443" s="292"/>
      <c r="F1443" s="106"/>
      <c r="G1443" s="292"/>
      <c r="H1443" s="103"/>
      <c r="I1443" s="106"/>
      <c r="J1443" s="106"/>
      <c r="K1443" s="106"/>
      <c r="L1443" s="106"/>
      <c r="M1443" s="106"/>
      <c r="N1443" s="106"/>
      <c r="O1443" s="106"/>
      <c r="P1443" s="106"/>
      <c r="Q1443" s="106"/>
      <c r="R1443" s="106"/>
      <c r="S1443" s="106"/>
      <c r="T1443" s="106"/>
      <c r="U1443" s="106"/>
      <c r="V1443" s="106"/>
      <c r="W1443" s="156"/>
      <c r="X1443" s="156"/>
      <c r="Y1443" s="156"/>
      <c r="Z1443" s="156"/>
      <c r="AA1443" s="156"/>
      <c r="AB1443" s="156"/>
      <c r="AC1443" s="156"/>
      <c r="AD1443" s="156"/>
      <c r="AE1443" s="156"/>
      <c r="AF1443" s="156"/>
      <c r="AG1443" s="156"/>
      <c r="AH1443" s="156"/>
      <c r="AI1443" s="156"/>
      <c r="AJ1443" s="156"/>
      <c r="AK1443" s="156"/>
      <c r="AL1443" s="156"/>
      <c r="AM1443" s="156"/>
      <c r="AN1443" s="156"/>
      <c r="AO1443" s="156"/>
      <c r="AP1443" s="156"/>
      <c r="AQ1443" s="156"/>
      <c r="AR1443" s="156"/>
      <c r="AS1443" s="156"/>
      <c r="AT1443" s="156"/>
      <c r="AU1443" s="156"/>
      <c r="AV1443" s="156"/>
      <c r="AW1443" s="156"/>
      <c r="AX1443" s="156"/>
      <c r="AY1443" s="156"/>
      <c r="AZ1443" s="156"/>
      <c r="BA1443" s="156"/>
      <c r="BB1443" s="2828"/>
      <c r="BC1443" s="504"/>
      <c r="BD1443" s="2829"/>
      <c r="BE1443" s="2837"/>
      <c r="BF1443" s="156"/>
    </row>
    <row r="1444" spans="1:58" hidden="1" outlineLevel="1" x14ac:dyDescent="0.35">
      <c r="A1444" s="1071"/>
      <c r="B1444" s="106"/>
      <c r="C1444" s="103"/>
      <c r="D1444" s="292"/>
      <c r="E1444" s="292"/>
      <c r="F1444" s="106"/>
      <c r="G1444" s="292"/>
      <c r="H1444" s="103"/>
      <c r="I1444" s="106"/>
      <c r="J1444" s="106"/>
      <c r="K1444" s="106"/>
      <c r="L1444" s="106"/>
      <c r="M1444" s="106"/>
      <c r="N1444" s="106"/>
      <c r="O1444" s="106"/>
      <c r="P1444" s="106"/>
      <c r="Q1444" s="106"/>
      <c r="R1444" s="106"/>
      <c r="S1444" s="106"/>
      <c r="T1444" s="106"/>
      <c r="U1444" s="106"/>
      <c r="V1444" s="106"/>
      <c r="W1444" s="156"/>
      <c r="X1444" s="156"/>
      <c r="Y1444" s="156"/>
      <c r="Z1444" s="156"/>
      <c r="AA1444" s="156"/>
      <c r="AB1444" s="156"/>
      <c r="AC1444" s="156"/>
      <c r="AD1444" s="156"/>
      <c r="AE1444" s="156"/>
      <c r="AF1444" s="156"/>
      <c r="AG1444" s="156"/>
      <c r="AH1444" s="156"/>
      <c r="AI1444" s="156"/>
      <c r="AJ1444" s="156"/>
      <c r="AK1444" s="156"/>
      <c r="AL1444" s="156"/>
      <c r="AM1444" s="156"/>
      <c r="AN1444" s="156"/>
      <c r="AO1444" s="156"/>
      <c r="AP1444" s="156"/>
      <c r="AQ1444" s="156"/>
      <c r="AR1444" s="156"/>
      <c r="AS1444" s="156"/>
      <c r="AT1444" s="156"/>
      <c r="AU1444" s="156"/>
      <c r="AV1444" s="156"/>
      <c r="AW1444" s="156"/>
      <c r="AX1444" s="156"/>
      <c r="AY1444" s="156"/>
      <c r="AZ1444" s="156"/>
      <c r="BA1444" s="156"/>
      <c r="BB1444" s="2828"/>
      <c r="BC1444" s="504"/>
      <c r="BD1444" s="2829"/>
      <c r="BE1444" s="2837"/>
      <c r="BF1444" s="156"/>
    </row>
    <row r="1445" spans="1:58" hidden="1" outlineLevel="1" x14ac:dyDescent="0.35">
      <c r="A1445" s="1071"/>
      <c r="B1445" s="106"/>
      <c r="C1445" s="103"/>
      <c r="D1445" s="292"/>
      <c r="E1445" s="292"/>
      <c r="F1445" s="106"/>
      <c r="G1445" s="292"/>
      <c r="H1445" s="103"/>
      <c r="I1445" s="106"/>
      <c r="J1445" s="106"/>
      <c r="K1445" s="106"/>
      <c r="L1445" s="106"/>
      <c r="M1445" s="106"/>
      <c r="N1445" s="106"/>
      <c r="O1445" s="106"/>
      <c r="P1445" s="106"/>
      <c r="Q1445" s="106"/>
      <c r="R1445" s="106"/>
      <c r="S1445" s="106"/>
      <c r="T1445" s="106"/>
      <c r="U1445" s="106"/>
      <c r="V1445" s="106"/>
      <c r="W1445" s="156"/>
      <c r="X1445" s="156"/>
      <c r="Y1445" s="156"/>
      <c r="Z1445" s="156"/>
      <c r="AA1445" s="156"/>
      <c r="AB1445" s="156"/>
      <c r="AC1445" s="156"/>
      <c r="AD1445" s="156"/>
      <c r="AE1445" s="156"/>
      <c r="AF1445" s="156"/>
      <c r="AG1445" s="156"/>
      <c r="AH1445" s="156"/>
      <c r="AI1445" s="156"/>
      <c r="AJ1445" s="156"/>
      <c r="AK1445" s="156"/>
      <c r="AL1445" s="156"/>
      <c r="AM1445" s="156"/>
      <c r="AN1445" s="156"/>
      <c r="AO1445" s="156"/>
      <c r="AP1445" s="156"/>
      <c r="AQ1445" s="156"/>
      <c r="AR1445" s="156"/>
      <c r="AS1445" s="156"/>
      <c r="AT1445" s="156"/>
      <c r="AU1445" s="156"/>
      <c r="AV1445" s="156"/>
      <c r="AW1445" s="156"/>
      <c r="AX1445" s="156"/>
      <c r="AY1445" s="156"/>
      <c r="AZ1445" s="156"/>
      <c r="BA1445" s="156"/>
      <c r="BB1445" s="2828"/>
      <c r="BC1445" s="504"/>
      <c r="BD1445" s="2829"/>
      <c r="BE1445" s="2837"/>
      <c r="BF1445" s="156"/>
    </row>
    <row r="1446" spans="1:58" hidden="1" outlineLevel="1" x14ac:dyDescent="0.35">
      <c r="A1446" s="1071"/>
      <c r="B1446" s="106"/>
      <c r="C1446" s="103"/>
      <c r="D1446" s="292"/>
      <c r="E1446" s="292"/>
      <c r="F1446" s="106"/>
      <c r="G1446" s="292"/>
      <c r="H1446" s="103"/>
      <c r="I1446" s="106"/>
      <c r="J1446" s="106"/>
      <c r="K1446" s="106"/>
      <c r="L1446" s="106"/>
      <c r="M1446" s="106"/>
      <c r="N1446" s="106"/>
      <c r="O1446" s="106"/>
      <c r="P1446" s="106"/>
      <c r="Q1446" s="106"/>
      <c r="R1446" s="106"/>
      <c r="S1446" s="106"/>
      <c r="T1446" s="106"/>
      <c r="U1446" s="106"/>
      <c r="V1446" s="106"/>
      <c r="W1446" s="156"/>
      <c r="X1446" s="156"/>
      <c r="Y1446" s="156"/>
      <c r="Z1446" s="156"/>
      <c r="AA1446" s="156"/>
      <c r="AB1446" s="156"/>
      <c r="AC1446" s="156"/>
      <c r="AD1446" s="156"/>
      <c r="AE1446" s="156"/>
      <c r="AF1446" s="156"/>
      <c r="AG1446" s="156"/>
      <c r="AH1446" s="156"/>
      <c r="AI1446" s="156"/>
      <c r="AJ1446" s="156"/>
      <c r="AK1446" s="156"/>
      <c r="AL1446" s="156"/>
      <c r="AM1446" s="156"/>
      <c r="AN1446" s="156"/>
      <c r="AO1446" s="156"/>
      <c r="AP1446" s="156"/>
      <c r="AQ1446" s="156"/>
      <c r="AR1446" s="156"/>
      <c r="AS1446" s="156"/>
      <c r="AT1446" s="156"/>
      <c r="AU1446" s="156"/>
      <c r="AV1446" s="156"/>
      <c r="AW1446" s="156"/>
      <c r="AX1446" s="156"/>
      <c r="AY1446" s="156"/>
      <c r="AZ1446" s="156"/>
      <c r="BA1446" s="156"/>
      <c r="BB1446" s="2828"/>
      <c r="BC1446" s="504"/>
      <c r="BD1446" s="2829"/>
      <c r="BE1446" s="2837"/>
      <c r="BF1446" s="156"/>
    </row>
    <row r="1447" spans="1:58" hidden="1" outlineLevel="1" x14ac:dyDescent="0.35">
      <c r="A1447" s="1071"/>
      <c r="B1447" s="106"/>
      <c r="C1447" s="103"/>
      <c r="D1447" s="292"/>
      <c r="E1447" s="292"/>
      <c r="F1447" s="106"/>
      <c r="G1447" s="292"/>
      <c r="H1447" s="103"/>
      <c r="I1447" s="106"/>
      <c r="J1447" s="106"/>
      <c r="K1447" s="106"/>
      <c r="L1447" s="106"/>
      <c r="M1447" s="106"/>
      <c r="N1447" s="106"/>
      <c r="O1447" s="106"/>
      <c r="P1447" s="106"/>
      <c r="Q1447" s="106"/>
      <c r="R1447" s="106"/>
      <c r="S1447" s="106"/>
      <c r="T1447" s="106"/>
      <c r="U1447" s="106"/>
      <c r="V1447" s="106"/>
      <c r="W1447" s="156"/>
      <c r="X1447" s="156"/>
      <c r="Y1447" s="156"/>
      <c r="Z1447" s="156"/>
      <c r="AA1447" s="156"/>
      <c r="AB1447" s="156"/>
      <c r="AC1447" s="156"/>
      <c r="AD1447" s="156"/>
      <c r="AE1447" s="156"/>
      <c r="AF1447" s="156"/>
      <c r="AG1447" s="156"/>
      <c r="AH1447" s="156"/>
      <c r="AI1447" s="156"/>
      <c r="AJ1447" s="156"/>
      <c r="AK1447" s="156"/>
      <c r="AL1447" s="156"/>
      <c r="AM1447" s="156"/>
      <c r="AN1447" s="156"/>
      <c r="AO1447" s="156"/>
      <c r="AP1447" s="156"/>
      <c r="AQ1447" s="156"/>
      <c r="AR1447" s="156"/>
      <c r="AS1447" s="156"/>
      <c r="AT1447" s="156"/>
      <c r="AU1447" s="156"/>
      <c r="AV1447" s="156"/>
      <c r="AW1447" s="156"/>
      <c r="AX1447" s="156"/>
      <c r="AY1447" s="156"/>
      <c r="AZ1447" s="156"/>
      <c r="BA1447" s="156"/>
      <c r="BB1447" s="2828"/>
      <c r="BC1447" s="504"/>
      <c r="BD1447" s="2829"/>
      <c r="BE1447" s="2837"/>
      <c r="BF1447" s="156"/>
    </row>
    <row r="1448" spans="1:58" hidden="1" outlineLevel="1" x14ac:dyDescent="0.35">
      <c r="A1448" s="1071"/>
      <c r="B1448" s="106"/>
      <c r="C1448" s="103"/>
      <c r="D1448" s="292"/>
      <c r="E1448" s="292"/>
      <c r="F1448" s="106"/>
      <c r="G1448" s="292"/>
      <c r="H1448" s="103"/>
      <c r="I1448" s="106"/>
      <c r="J1448" s="106"/>
      <c r="K1448" s="106"/>
      <c r="L1448" s="106"/>
      <c r="M1448" s="106"/>
      <c r="N1448" s="106"/>
      <c r="O1448" s="106"/>
      <c r="P1448" s="106"/>
      <c r="Q1448" s="106"/>
      <c r="R1448" s="106"/>
      <c r="S1448" s="106"/>
      <c r="T1448" s="106"/>
      <c r="U1448" s="106"/>
      <c r="V1448" s="106"/>
      <c r="W1448" s="156"/>
      <c r="X1448" s="156"/>
      <c r="Y1448" s="156"/>
      <c r="Z1448" s="156"/>
      <c r="AA1448" s="156"/>
      <c r="AB1448" s="156"/>
      <c r="AC1448" s="156"/>
      <c r="AD1448" s="156"/>
      <c r="AE1448" s="156"/>
      <c r="AF1448" s="156"/>
      <c r="AG1448" s="156"/>
      <c r="AH1448" s="156"/>
      <c r="AI1448" s="156"/>
      <c r="AJ1448" s="156"/>
      <c r="AK1448" s="156"/>
      <c r="AL1448" s="156"/>
      <c r="AM1448" s="156"/>
      <c r="AN1448" s="156"/>
      <c r="AO1448" s="156"/>
      <c r="AP1448" s="156"/>
      <c r="AQ1448" s="156"/>
      <c r="AR1448" s="156"/>
      <c r="AS1448" s="156"/>
      <c r="AT1448" s="156"/>
      <c r="AU1448" s="156"/>
      <c r="AV1448" s="156"/>
      <c r="AW1448" s="156"/>
      <c r="AX1448" s="156"/>
      <c r="AY1448" s="156"/>
      <c r="AZ1448" s="156"/>
      <c r="BA1448" s="156"/>
      <c r="BB1448" s="2828"/>
      <c r="BC1448" s="504"/>
      <c r="BD1448" s="2829"/>
      <c r="BE1448" s="2837"/>
      <c r="BF1448" s="156"/>
    </row>
    <row r="1449" spans="1:58" hidden="1" outlineLevel="1" x14ac:dyDescent="0.35">
      <c r="A1449" s="1071"/>
      <c r="B1449" s="106"/>
      <c r="C1449" s="103"/>
      <c r="D1449" s="292" t="s">
        <v>1038</v>
      </c>
      <c r="E1449" s="292"/>
      <c r="F1449" s="106"/>
      <c r="G1449" s="292"/>
      <c r="H1449" s="103"/>
      <c r="I1449" s="106"/>
      <c r="J1449" s="106"/>
      <c r="K1449" s="106"/>
      <c r="L1449" s="106"/>
      <c r="M1449" s="106"/>
      <c r="N1449" s="106"/>
      <c r="O1449" s="106"/>
      <c r="P1449" s="106"/>
      <c r="Q1449" s="106"/>
      <c r="R1449" s="106"/>
      <c r="S1449" s="106"/>
      <c r="T1449" s="106"/>
      <c r="U1449" s="106"/>
      <c r="V1449" s="106"/>
      <c r="W1449" s="156"/>
      <c r="X1449" s="156"/>
      <c r="Y1449" s="156"/>
      <c r="Z1449" s="156"/>
      <c r="AA1449" s="156"/>
      <c r="AB1449" s="156"/>
      <c r="AC1449" s="156"/>
      <c r="AD1449" s="156"/>
      <c r="AE1449" s="156"/>
      <c r="AF1449" s="156"/>
      <c r="AG1449" s="156"/>
      <c r="AH1449" s="156"/>
      <c r="AI1449" s="156"/>
      <c r="AJ1449" s="156"/>
      <c r="AK1449" s="156"/>
      <c r="AL1449" s="156"/>
      <c r="AM1449" s="156"/>
      <c r="AN1449" s="156"/>
      <c r="AO1449" s="156"/>
      <c r="AP1449" s="156"/>
      <c r="AQ1449" s="156"/>
      <c r="AR1449" s="156"/>
      <c r="AS1449" s="156"/>
      <c r="AT1449" s="156"/>
      <c r="AU1449" s="156"/>
      <c r="AV1449" s="156"/>
      <c r="AW1449" s="156"/>
      <c r="AX1449" s="156"/>
      <c r="AY1449" s="156"/>
      <c r="AZ1449" s="156"/>
      <c r="BA1449" s="156"/>
      <c r="BB1449" s="2828"/>
      <c r="BC1449" s="504"/>
      <c r="BD1449" s="2829"/>
      <c r="BE1449" s="2837"/>
      <c r="BF1449" s="156"/>
    </row>
    <row r="1450" spans="1:58" hidden="1" outlineLevel="1" x14ac:dyDescent="0.35">
      <c r="A1450" s="1071"/>
      <c r="B1450" s="106"/>
      <c r="C1450" s="103"/>
      <c r="D1450" s="292"/>
      <c r="E1450" s="292"/>
      <c r="F1450" s="106"/>
      <c r="G1450" s="292"/>
      <c r="H1450" s="103"/>
      <c r="I1450" s="106"/>
      <c r="J1450" s="106"/>
      <c r="K1450" s="106"/>
      <c r="L1450" s="106"/>
      <c r="M1450" s="106"/>
      <c r="N1450" s="106"/>
      <c r="O1450" s="106"/>
      <c r="P1450" s="106"/>
      <c r="Q1450" s="106"/>
      <c r="R1450" s="106"/>
      <c r="S1450" s="106"/>
      <c r="T1450" s="106"/>
      <c r="U1450" s="106"/>
      <c r="V1450" s="106"/>
      <c r="W1450" s="156"/>
      <c r="X1450" s="156"/>
      <c r="Y1450" s="156"/>
      <c r="Z1450" s="156"/>
      <c r="AA1450" s="156"/>
      <c r="AB1450" s="156"/>
      <c r="AC1450" s="156"/>
      <c r="AD1450" s="156"/>
      <c r="AE1450" s="156"/>
      <c r="AF1450" s="156"/>
      <c r="AG1450" s="156"/>
      <c r="AH1450" s="156"/>
      <c r="AI1450" s="156"/>
      <c r="AJ1450" s="156"/>
      <c r="AK1450" s="156"/>
      <c r="AL1450" s="156"/>
      <c r="AM1450" s="156"/>
      <c r="AN1450" s="156"/>
      <c r="AO1450" s="156"/>
      <c r="AP1450" s="156"/>
      <c r="AQ1450" s="156"/>
      <c r="AR1450" s="156"/>
      <c r="AS1450" s="156"/>
      <c r="AT1450" s="156"/>
      <c r="AU1450" s="156"/>
      <c r="AV1450" s="156"/>
      <c r="AW1450" s="156"/>
      <c r="AX1450" s="156"/>
      <c r="AY1450" s="156"/>
      <c r="AZ1450" s="156"/>
      <c r="BA1450" s="156"/>
      <c r="BB1450" s="2828"/>
      <c r="BC1450" s="504"/>
      <c r="BD1450" s="2829"/>
      <c r="BE1450" s="2837"/>
      <c r="BF1450" s="156"/>
    </row>
    <row r="1451" spans="1:58" hidden="1" outlineLevel="1" x14ac:dyDescent="0.35">
      <c r="A1451" s="1071"/>
      <c r="B1451" s="106"/>
      <c r="C1451" s="103"/>
      <c r="D1451" s="292"/>
      <c r="E1451" s="292"/>
      <c r="F1451" s="106"/>
      <c r="G1451" s="292"/>
      <c r="H1451" s="103"/>
      <c r="I1451" s="106"/>
      <c r="J1451" s="106"/>
      <c r="K1451" s="106"/>
      <c r="L1451" s="106"/>
      <c r="M1451" s="106"/>
      <c r="N1451" s="106"/>
      <c r="O1451" s="106"/>
      <c r="P1451" s="106"/>
      <c r="Q1451" s="106"/>
      <c r="R1451" s="106"/>
      <c r="S1451" s="106"/>
      <c r="T1451" s="106"/>
      <c r="U1451" s="106"/>
      <c r="V1451" s="106"/>
      <c r="W1451" s="156"/>
      <c r="X1451" s="156"/>
      <c r="Y1451" s="156"/>
      <c r="Z1451" s="156"/>
      <c r="AA1451" s="156"/>
      <c r="AB1451" s="156"/>
      <c r="AC1451" s="156"/>
      <c r="AD1451" s="156"/>
      <c r="AE1451" s="156"/>
      <c r="AF1451" s="156"/>
      <c r="AG1451" s="156"/>
      <c r="AH1451" s="156"/>
      <c r="AI1451" s="156"/>
      <c r="AJ1451" s="156"/>
      <c r="AK1451" s="156"/>
      <c r="AL1451" s="156"/>
      <c r="AM1451" s="156"/>
      <c r="AN1451" s="156"/>
      <c r="AO1451" s="156"/>
      <c r="AP1451" s="156"/>
      <c r="AQ1451" s="156"/>
      <c r="AR1451" s="156"/>
      <c r="AS1451" s="156"/>
      <c r="AT1451" s="156"/>
      <c r="AU1451" s="156"/>
      <c r="AV1451" s="156"/>
      <c r="AW1451" s="156"/>
      <c r="AX1451" s="156"/>
      <c r="AY1451" s="156"/>
      <c r="AZ1451" s="156"/>
      <c r="BA1451" s="156"/>
      <c r="BB1451" s="2828"/>
      <c r="BC1451" s="504"/>
      <c r="BD1451" s="2829"/>
      <c r="BE1451" s="2837"/>
      <c r="BF1451" s="156"/>
    </row>
    <row r="1452" spans="1:58" hidden="1" outlineLevel="1" x14ac:dyDescent="0.35">
      <c r="A1452" s="1071"/>
      <c r="B1452" s="106"/>
      <c r="C1452" s="103"/>
      <c r="D1452" s="292"/>
      <c r="E1452" s="292"/>
      <c r="F1452" s="106"/>
      <c r="G1452" s="292"/>
      <c r="H1452" s="103"/>
      <c r="I1452" s="106"/>
      <c r="J1452" s="156"/>
      <c r="K1452" s="106"/>
      <c r="L1452" s="106"/>
      <c r="M1452" s="106"/>
      <c r="N1452" s="106"/>
      <c r="O1452" s="106"/>
      <c r="P1452" s="415"/>
      <c r="Q1452" s="106"/>
      <c r="R1452" s="106"/>
      <c r="S1452" s="106"/>
      <c r="T1452" s="106"/>
      <c r="U1452" s="106"/>
      <c r="V1452" s="106"/>
      <c r="W1452" s="156"/>
      <c r="X1452" s="156"/>
      <c r="Y1452" s="156"/>
      <c r="Z1452" s="156"/>
      <c r="AA1452" s="156"/>
      <c r="AB1452" s="156"/>
      <c r="AC1452" s="156"/>
      <c r="AD1452" s="156"/>
      <c r="AE1452" s="156"/>
      <c r="AF1452" s="156"/>
      <c r="AG1452" s="156"/>
      <c r="AH1452" s="156"/>
      <c r="AI1452" s="156"/>
      <c r="AJ1452" s="156"/>
      <c r="AK1452" s="156"/>
      <c r="AL1452" s="156"/>
      <c r="AM1452" s="156"/>
      <c r="AN1452" s="156"/>
      <c r="AO1452" s="156"/>
      <c r="AP1452" s="156"/>
      <c r="AQ1452" s="156"/>
      <c r="AR1452" s="156"/>
      <c r="AS1452" s="156"/>
      <c r="AT1452" s="156"/>
      <c r="AU1452" s="156"/>
      <c r="AV1452" s="156"/>
      <c r="AW1452" s="156"/>
      <c r="AX1452" s="156"/>
      <c r="AY1452" s="156"/>
      <c r="AZ1452" s="156"/>
      <c r="BA1452" s="156"/>
      <c r="BB1452" s="2828"/>
      <c r="BC1452" s="504"/>
      <c r="BD1452" s="2829"/>
      <c r="BE1452" s="2837"/>
      <c r="BF1452" s="156"/>
    </row>
    <row r="1453" spans="1:58" hidden="1" outlineLevel="1" x14ac:dyDescent="0.35">
      <c r="A1453" s="1071"/>
      <c r="B1453" s="106"/>
      <c r="C1453" s="103"/>
      <c r="D1453" s="292"/>
      <c r="E1453" s="292"/>
      <c r="F1453" s="106"/>
      <c r="G1453" s="292"/>
      <c r="H1453" s="103"/>
      <c r="I1453" s="103"/>
      <c r="J1453" s="103"/>
      <c r="K1453" s="103"/>
      <c r="L1453" s="103"/>
      <c r="M1453" s="103"/>
      <c r="N1453" s="106"/>
      <c r="O1453" s="106"/>
      <c r="P1453" s="106"/>
      <c r="Q1453" s="106"/>
      <c r="R1453" s="106"/>
      <c r="S1453" s="106"/>
      <c r="T1453" s="106"/>
      <c r="U1453" s="106"/>
      <c r="V1453" s="106"/>
      <c r="W1453" s="156"/>
      <c r="X1453" s="156"/>
      <c r="Y1453" s="156"/>
      <c r="Z1453" s="156"/>
      <c r="AA1453" s="156"/>
      <c r="AB1453" s="156"/>
      <c r="AC1453" s="156"/>
      <c r="AD1453" s="156"/>
      <c r="AE1453" s="156"/>
      <c r="AF1453" s="156"/>
      <c r="AG1453" s="156"/>
      <c r="AH1453" s="156"/>
      <c r="AI1453" s="156"/>
      <c r="AJ1453" s="156"/>
      <c r="AK1453" s="156"/>
      <c r="AL1453" s="156"/>
      <c r="AM1453" s="156"/>
      <c r="AN1453" s="156"/>
      <c r="AO1453" s="156"/>
      <c r="AP1453" s="156"/>
      <c r="AQ1453" s="156"/>
      <c r="AR1453" s="156"/>
      <c r="AS1453" s="156"/>
      <c r="AT1453" s="156"/>
      <c r="AU1453" s="156"/>
      <c r="AV1453" s="156"/>
      <c r="AW1453" s="156"/>
      <c r="AX1453" s="156"/>
      <c r="AY1453" s="156"/>
      <c r="AZ1453" s="156"/>
      <c r="BA1453" s="156"/>
      <c r="BB1453" s="2828"/>
      <c r="BC1453" s="504"/>
      <c r="BD1453" s="2829"/>
      <c r="BE1453" s="2837"/>
      <c r="BF1453" s="156"/>
    </row>
    <row r="1454" spans="1:58" ht="15" hidden="1" outlineLevel="1" thickBot="1" x14ac:dyDescent="0.4">
      <c r="A1454" s="1071"/>
      <c r="B1454" s="106"/>
      <c r="C1454" s="103"/>
      <c r="D1454" s="333" t="s">
        <v>108</v>
      </c>
      <c r="E1454" s="333" t="s">
        <v>109</v>
      </c>
      <c r="F1454" s="4027" t="s">
        <v>185</v>
      </c>
      <c r="G1454" s="4027"/>
      <c r="H1454" s="4027"/>
      <c r="I1454" s="2379" t="s">
        <v>27</v>
      </c>
      <c r="J1454" s="2379" t="s">
        <v>111</v>
      </c>
      <c r="K1454" s="2379" t="s">
        <v>946</v>
      </c>
      <c r="L1454" s="2379" t="s">
        <v>397</v>
      </c>
      <c r="M1454" s="106"/>
      <c r="N1454" s="106"/>
      <c r="O1454" s="106"/>
      <c r="P1454" s="106"/>
      <c r="Q1454" s="106"/>
      <c r="R1454" s="106"/>
      <c r="S1454" s="106"/>
      <c r="T1454" s="106"/>
      <c r="U1454" s="106"/>
      <c r="V1454" s="480" t="s">
        <v>44</v>
      </c>
      <c r="W1454" s="1573">
        <v>43252</v>
      </c>
      <c r="X1454" s="1573">
        <f>$X$6</f>
        <v>43465</v>
      </c>
      <c r="Y1454" s="1573">
        <f>$Y$6</f>
        <v>43800</v>
      </c>
      <c r="Z1454" s="1573">
        <f>$Z$6</f>
        <v>43862</v>
      </c>
      <c r="AA1454" s="1573">
        <f>$AA$6</f>
        <v>44013</v>
      </c>
      <c r="AB1454" s="1573">
        <f>$AB$6</f>
        <v>44166</v>
      </c>
      <c r="AC1454" s="1573">
        <f>$AC$6</f>
        <v>44531</v>
      </c>
      <c r="AD1454" s="1573">
        <f>$AD$6</f>
        <v>44774</v>
      </c>
      <c r="AE1454" s="1573" t="str">
        <f>$AE$6</f>
        <v>-</v>
      </c>
      <c r="AF1454" s="1573" t="str">
        <f>$AF$6</f>
        <v>-</v>
      </c>
      <c r="AG1454" s="1573" t="str">
        <f>$AG$6</f>
        <v>-</v>
      </c>
      <c r="AH1454" s="156"/>
      <c r="AI1454" s="156"/>
      <c r="AJ1454" s="156"/>
      <c r="AK1454" s="156"/>
      <c r="AL1454" s="156"/>
      <c r="AM1454" s="156"/>
      <c r="AN1454" s="156"/>
      <c r="AO1454" s="156"/>
      <c r="AP1454" s="156"/>
      <c r="AQ1454" s="156"/>
      <c r="AR1454" s="156"/>
      <c r="AS1454" s="156"/>
      <c r="AT1454" s="156"/>
      <c r="AU1454" s="156"/>
      <c r="AV1454" s="156"/>
      <c r="AW1454" s="156"/>
      <c r="AX1454" s="156"/>
      <c r="AY1454" s="156"/>
      <c r="AZ1454" s="156"/>
      <c r="BA1454" s="156"/>
      <c r="BB1454" s="2828"/>
      <c r="BC1454" s="504"/>
      <c r="BD1454" s="2829"/>
      <c r="BE1454" s="2837"/>
      <c r="BF1454" s="156"/>
    </row>
    <row r="1455" spans="1:58" hidden="1" outlineLevel="1" x14ac:dyDescent="0.35">
      <c r="A1455" s="1071"/>
      <c r="B1455" s="106"/>
      <c r="C1455" s="103"/>
      <c r="D1455" s="4021" t="s">
        <v>1104</v>
      </c>
      <c r="E1455" s="4115" t="s">
        <v>1139</v>
      </c>
      <c r="F1455" s="3984" t="str">
        <f>$E$1424</f>
        <v>GSHP-EER23-Replace_CAC_ElectricHeat_ROF_SF</v>
      </c>
      <c r="G1455" s="3984"/>
      <c r="H1455" s="3984"/>
      <c r="I1455" s="2224"/>
      <c r="J1455" s="2789">
        <v>47729.729729729726</v>
      </c>
      <c r="K1455" s="112">
        <f>J1455/12000</f>
        <v>3.977477477477477</v>
      </c>
      <c r="L1455" s="4101" t="s">
        <v>4402</v>
      </c>
      <c r="M1455" s="3058"/>
      <c r="N1455" s="2804"/>
      <c r="O1455" s="3058"/>
      <c r="P1455" s="4105"/>
      <c r="Q1455" s="3684"/>
      <c r="R1455" s="3684"/>
      <c r="S1455" s="106"/>
      <c r="T1455" s="106"/>
      <c r="U1455" s="106"/>
      <c r="V1455" s="4021" t="s">
        <v>1104</v>
      </c>
      <c r="W1455" s="2224">
        <v>49199.999999999993</v>
      </c>
      <c r="X1455" s="2374">
        <f>3.99*12000</f>
        <v>47880</v>
      </c>
      <c r="Y1455" s="2374">
        <f>3.98*12000</f>
        <v>47760</v>
      </c>
      <c r="Z1455" s="2224">
        <f t="shared" ref="Z1455:AA1455" si="261">3.98*12000</f>
        <v>47760</v>
      </c>
      <c r="AA1455" s="2224">
        <f t="shared" si="261"/>
        <v>47760</v>
      </c>
      <c r="AB1455" s="1796">
        <v>49745.454545454544</v>
      </c>
      <c r="AC1455" s="1796">
        <v>46600</v>
      </c>
      <c r="AD1455" s="1796">
        <v>47729.729729729726</v>
      </c>
      <c r="AE1455" s="2228"/>
      <c r="AF1455" s="2228"/>
      <c r="AG1455" s="2228"/>
      <c r="AH1455" s="156"/>
      <c r="AI1455" s="156"/>
      <c r="AJ1455" s="156"/>
      <c r="AK1455" s="156"/>
      <c r="AL1455" s="156"/>
      <c r="AM1455" s="156"/>
      <c r="AN1455" s="156"/>
      <c r="AO1455" s="156"/>
      <c r="AP1455" s="156"/>
      <c r="AQ1455" s="156"/>
      <c r="AR1455" s="156"/>
      <c r="AS1455" s="156"/>
      <c r="AT1455" s="156"/>
      <c r="AU1455" s="156"/>
      <c r="AV1455" s="156"/>
      <c r="AW1455" s="156"/>
      <c r="AX1455" s="156"/>
      <c r="AY1455" s="156"/>
      <c r="AZ1455" s="156"/>
      <c r="BA1455" s="156"/>
      <c r="BB1455" s="2828"/>
      <c r="BC1455" s="504"/>
      <c r="BD1455" s="2829"/>
      <c r="BE1455" s="2837"/>
      <c r="BF1455" s="156"/>
    </row>
    <row r="1456" spans="1:58" hidden="1" outlineLevel="1" x14ac:dyDescent="0.35">
      <c r="A1456" s="1071"/>
      <c r="B1456" s="106"/>
      <c r="C1456" s="103"/>
      <c r="D1456" s="4022"/>
      <c r="E1456" s="4111"/>
      <c r="F1456" s="4100" t="str">
        <f>$E$1426</f>
        <v>GSHP-EER23-Replace_CAC_ElectricHeat_ER1_SF</v>
      </c>
      <c r="G1456" s="4100"/>
      <c r="H1456" s="4100"/>
      <c r="I1456" s="579"/>
      <c r="J1456" s="2788">
        <v>46438.356164383564</v>
      </c>
      <c r="K1456" s="2679">
        <f>J1456/12000</f>
        <v>3.8698630136986303</v>
      </c>
      <c r="L1456" s="4102"/>
      <c r="M1456" s="3058"/>
      <c r="N1456" s="2804"/>
      <c r="O1456" s="3058"/>
      <c r="P1456" s="2378"/>
      <c r="Q1456" s="2378"/>
      <c r="R1456" s="2378"/>
      <c r="S1456" s="106"/>
      <c r="T1456" s="4063"/>
      <c r="U1456" s="106"/>
      <c r="V1456" s="4022"/>
      <c r="W1456" s="579">
        <v>49199.999999999993</v>
      </c>
      <c r="X1456" s="2377">
        <f>3.99*12000</f>
        <v>47880</v>
      </c>
      <c r="Y1456" s="2377">
        <f>3.86*12000</f>
        <v>46320</v>
      </c>
      <c r="Z1456" s="579">
        <f t="shared" ref="Z1456:AA1457" si="262">3.86*12000</f>
        <v>46320</v>
      </c>
      <c r="AA1456" s="579">
        <f t="shared" si="262"/>
        <v>46320</v>
      </c>
      <c r="AB1456" s="1837">
        <v>45750</v>
      </c>
      <c r="AC1456" s="1837">
        <v>48705.882352941175</v>
      </c>
      <c r="AD1456" s="1837">
        <v>46438.356164383564</v>
      </c>
      <c r="AE1456" s="2224"/>
      <c r="AF1456" s="2224"/>
      <c r="AG1456" s="2224"/>
      <c r="AH1456" s="156"/>
      <c r="AI1456" s="156"/>
      <c r="AJ1456" s="156"/>
      <c r="AK1456" s="156"/>
      <c r="AL1456" s="156"/>
      <c r="AM1456" s="156"/>
      <c r="AN1456" s="156"/>
      <c r="AO1456" s="156"/>
      <c r="AP1456" s="156"/>
      <c r="AQ1456" s="156"/>
      <c r="AR1456" s="156"/>
      <c r="AS1456" s="156"/>
      <c r="AT1456" s="156"/>
      <c r="AU1456" s="156"/>
      <c r="AV1456" s="156"/>
      <c r="AW1456" s="156"/>
      <c r="AX1456" s="156"/>
      <c r="AY1456" s="156"/>
      <c r="AZ1456" s="156"/>
      <c r="BA1456" s="156"/>
      <c r="BB1456" s="2828"/>
      <c r="BC1456" s="504"/>
      <c r="BD1456" s="2829"/>
      <c r="BE1456" s="2837"/>
      <c r="BF1456" s="156"/>
    </row>
    <row r="1457" spans="1:58" hidden="1" outlineLevel="1" x14ac:dyDescent="0.35">
      <c r="A1457" s="1071"/>
      <c r="B1457" s="106"/>
      <c r="C1457" s="103"/>
      <c r="D1457" s="4022"/>
      <c r="E1457" s="4111"/>
      <c r="F1457" s="3984" t="str">
        <f>$E$1428</f>
        <v>GSHP-EER23-Replace_CAC_ElectricHeat_ER2_SF</v>
      </c>
      <c r="G1457" s="3984"/>
      <c r="H1457" s="3984"/>
      <c r="I1457" s="2224"/>
      <c r="J1457" s="1796">
        <f>J1456</f>
        <v>46438.356164383564</v>
      </c>
      <c r="K1457" s="2680">
        <f>J1457/12000</f>
        <v>3.8698630136986303</v>
      </c>
      <c r="L1457" s="4102"/>
      <c r="M1457" s="3058"/>
      <c r="N1457" s="2804"/>
      <c r="O1457" s="3058"/>
      <c r="P1457" s="1292"/>
      <c r="Q1457" s="1520"/>
      <c r="R1457" s="1520"/>
      <c r="S1457" s="1280"/>
      <c r="T1457" s="3684"/>
      <c r="U1457" s="106"/>
      <c r="V1457" s="4022"/>
      <c r="W1457" s="2224">
        <v>49199.999999999993</v>
      </c>
      <c r="X1457" s="2374">
        <f>3.99*12000</f>
        <v>47880</v>
      </c>
      <c r="Y1457" s="2374">
        <f>3.86*12000</f>
        <v>46320</v>
      </c>
      <c r="Z1457" s="2224">
        <f t="shared" si="262"/>
        <v>46320</v>
      </c>
      <c r="AA1457" s="2224">
        <f t="shared" si="262"/>
        <v>46320</v>
      </c>
      <c r="AB1457" s="1796">
        <v>45750</v>
      </c>
      <c r="AC1457" s="1796">
        <v>48705.882352941175</v>
      </c>
      <c r="AD1457" s="1796">
        <v>46438.356164383564</v>
      </c>
      <c r="AE1457" s="2224"/>
      <c r="AF1457" s="2224"/>
      <c r="AG1457" s="2224"/>
      <c r="AH1457" s="156"/>
      <c r="AI1457" s="156"/>
      <c r="AJ1457" s="156"/>
      <c r="AK1457" s="156"/>
      <c r="AL1457" s="156"/>
      <c r="AM1457" s="156"/>
      <c r="AN1457" s="156"/>
      <c r="AO1457" s="156"/>
      <c r="AP1457" s="156"/>
      <c r="AQ1457" s="156"/>
      <c r="AR1457" s="156"/>
      <c r="AS1457" s="156"/>
      <c r="AT1457" s="156"/>
      <c r="AU1457" s="156"/>
      <c r="AV1457" s="156"/>
      <c r="AW1457" s="156"/>
      <c r="AX1457" s="156"/>
      <c r="AY1457" s="156"/>
      <c r="AZ1457" s="156"/>
      <c r="BA1457" s="156"/>
      <c r="BB1457" s="2828"/>
      <c r="BC1457" s="504"/>
      <c r="BD1457" s="2829"/>
      <c r="BE1457" s="2837"/>
      <c r="BF1457" s="156"/>
    </row>
    <row r="1458" spans="1:58" hidden="1" outlineLevel="1" x14ac:dyDescent="0.35">
      <c r="A1458" s="1071"/>
      <c r="B1458" s="106"/>
      <c r="C1458" s="103"/>
      <c r="D1458" s="4022"/>
      <c r="E1458" s="4111"/>
      <c r="F1458" s="4107" t="str">
        <f>$E$1430</f>
        <v>GSHP-EER23_ER1_SF</v>
      </c>
      <c r="G1458" s="4107"/>
      <c r="H1458" s="4107"/>
      <c r="I1458" s="2224"/>
      <c r="J1458" s="1796">
        <f>J1456</f>
        <v>46438.356164383564</v>
      </c>
      <c r="K1458" s="2680">
        <v>4.2</v>
      </c>
      <c r="L1458" s="4102"/>
      <c r="M1458" s="3058"/>
      <c r="N1458" s="3058"/>
      <c r="O1458" s="3058"/>
      <c r="P1458" s="1292"/>
      <c r="Q1458" s="1520"/>
      <c r="R1458" s="1520"/>
      <c r="S1458" s="1280"/>
      <c r="T1458" s="3684"/>
      <c r="U1458" s="106"/>
      <c r="V1458" s="4022"/>
      <c r="W1458" s="2224"/>
      <c r="X1458" s="2374"/>
      <c r="Y1458" s="2374"/>
      <c r="Z1458" s="2224"/>
      <c r="AA1458" s="2224"/>
      <c r="AB1458" s="1796">
        <v>51319.148936170212</v>
      </c>
      <c r="AC1458" s="1796">
        <v>48885.24590163934</v>
      </c>
      <c r="AD1458" s="1796">
        <v>46438.356164383564</v>
      </c>
      <c r="AE1458" s="2224"/>
      <c r="AF1458" s="2224"/>
      <c r="AG1458" s="2224"/>
      <c r="AH1458" s="156"/>
      <c r="AI1458" s="156"/>
      <c r="AJ1458" s="156"/>
      <c r="AK1458" s="156"/>
      <c r="AL1458" s="156"/>
      <c r="AM1458" s="156"/>
      <c r="AN1458" s="156"/>
      <c r="AO1458" s="156"/>
      <c r="AP1458" s="156"/>
      <c r="AQ1458" s="156"/>
      <c r="AR1458" s="156"/>
      <c r="AS1458" s="156"/>
      <c r="AT1458" s="156"/>
      <c r="AU1458" s="156"/>
      <c r="AV1458" s="156"/>
      <c r="AW1458" s="156"/>
      <c r="AX1458" s="156"/>
      <c r="AY1458" s="156"/>
      <c r="AZ1458" s="156"/>
      <c r="BA1458" s="156"/>
      <c r="BB1458" s="2828"/>
      <c r="BC1458" s="504"/>
      <c r="BD1458" s="2829"/>
      <c r="BE1458" s="2837"/>
      <c r="BF1458" s="156"/>
    </row>
    <row r="1459" spans="1:58" hidden="1" outlineLevel="1" x14ac:dyDescent="0.35">
      <c r="A1459" s="1071"/>
      <c r="B1459" s="106"/>
      <c r="C1459" s="103"/>
      <c r="D1459" s="4022"/>
      <c r="E1459" s="4111"/>
      <c r="F1459" s="3984" t="str">
        <f>$E$1432</f>
        <v>GSHP-EER23_ER2_SF</v>
      </c>
      <c r="G1459" s="3984"/>
      <c r="H1459" s="3984"/>
      <c r="I1459" s="2224"/>
      <c r="J1459" s="1796">
        <f>J1456</f>
        <v>46438.356164383564</v>
      </c>
      <c r="K1459" s="2680">
        <f>J1459/12000</f>
        <v>3.8698630136986303</v>
      </c>
      <c r="L1459" s="4102"/>
      <c r="M1459" s="3058"/>
      <c r="N1459" s="3058"/>
      <c r="O1459" s="3058"/>
      <c r="P1459" s="1292"/>
      <c r="Q1459" s="1520"/>
      <c r="R1459" s="1520"/>
      <c r="S1459" s="1280"/>
      <c r="T1459" s="3684"/>
      <c r="U1459" s="106"/>
      <c r="V1459" s="4022"/>
      <c r="W1459" s="2224">
        <v>49199.999999999993</v>
      </c>
      <c r="X1459" s="2374">
        <f>3.99*12000</f>
        <v>47880</v>
      </c>
      <c r="Y1459" s="2374">
        <f>4.2*12000</f>
        <v>50400</v>
      </c>
      <c r="Z1459" s="2224">
        <f t="shared" ref="Z1459:AA1459" si="263">4.2*12000</f>
        <v>50400</v>
      </c>
      <c r="AA1459" s="2224">
        <f t="shared" si="263"/>
        <v>50400</v>
      </c>
      <c r="AB1459" s="1796">
        <v>51319.148936170212</v>
      </c>
      <c r="AC1459" s="1796">
        <v>48885.24590163934</v>
      </c>
      <c r="AD1459" s="1796">
        <v>46438.356164383564</v>
      </c>
      <c r="AE1459" s="2224"/>
      <c r="AF1459" s="2224"/>
      <c r="AG1459" s="2224"/>
      <c r="AH1459" s="156"/>
      <c r="AI1459" s="156"/>
      <c r="AJ1459" s="156"/>
      <c r="AK1459" s="156"/>
      <c r="AL1459" s="156"/>
      <c r="AM1459" s="156"/>
      <c r="AN1459" s="156"/>
      <c r="AO1459" s="156"/>
      <c r="AP1459" s="156"/>
      <c r="AQ1459" s="156"/>
      <c r="AR1459" s="156"/>
      <c r="AS1459" s="156"/>
      <c r="AT1459" s="156"/>
      <c r="AU1459" s="156"/>
      <c r="AV1459" s="156"/>
      <c r="AW1459" s="156"/>
      <c r="AX1459" s="156"/>
      <c r="AY1459" s="156"/>
      <c r="AZ1459" s="156"/>
      <c r="BA1459" s="156"/>
      <c r="BB1459" s="2828"/>
      <c r="BC1459" s="504"/>
      <c r="BD1459" s="2829"/>
      <c r="BE1459" s="2837"/>
      <c r="BF1459" s="156"/>
    </row>
    <row r="1460" spans="1:58" ht="15" hidden="1" outlineLevel="1" thickBot="1" x14ac:dyDescent="0.4">
      <c r="A1460" s="1071"/>
      <c r="B1460" s="106"/>
      <c r="C1460" s="103"/>
      <c r="D1460" s="4104"/>
      <c r="E1460" s="4112"/>
      <c r="F1460" s="4106" t="str">
        <f>$E$1434</f>
        <v>GSHP-EER23_ROF_SF</v>
      </c>
      <c r="G1460" s="4106"/>
      <c r="H1460" s="4106"/>
      <c r="I1460" s="2227"/>
      <c r="J1460" s="1823">
        <f>J1455</f>
        <v>47729.729729729726</v>
      </c>
      <c r="K1460" s="2681">
        <f>J1460/12000</f>
        <v>3.977477477477477</v>
      </c>
      <c r="L1460" s="4103"/>
      <c r="M1460" s="3058"/>
      <c r="N1460" s="3058"/>
      <c r="O1460" s="3058"/>
      <c r="P1460" s="1292"/>
      <c r="Q1460" s="1520"/>
      <c r="R1460" s="1520"/>
      <c r="S1460" s="1280"/>
      <c r="T1460" s="3684"/>
      <c r="U1460" s="106"/>
      <c r="V1460" s="4104"/>
      <c r="W1460" s="2227">
        <v>52800.000000000007</v>
      </c>
      <c r="X1460" s="2375">
        <f>3.99*12000</f>
        <v>47880</v>
      </c>
      <c r="Y1460" s="2375">
        <f>3.93*12000</f>
        <v>47160</v>
      </c>
      <c r="Z1460" s="2227">
        <f t="shared" ref="Z1460:AA1460" si="264">3.93*12000</f>
        <v>47160</v>
      </c>
      <c r="AA1460" s="2227">
        <f t="shared" si="264"/>
        <v>47160</v>
      </c>
      <c r="AB1460" s="1823">
        <v>51652.173913043473</v>
      </c>
      <c r="AC1460" s="1823">
        <v>49977.272727272728</v>
      </c>
      <c r="AD1460" s="1823">
        <v>47729.729729729726</v>
      </c>
      <c r="AE1460" s="2227"/>
      <c r="AF1460" s="2227"/>
      <c r="AG1460" s="2227"/>
      <c r="AH1460" s="156"/>
      <c r="AI1460" s="156"/>
      <c r="AJ1460" s="156"/>
      <c r="AK1460" s="156"/>
      <c r="AL1460" s="156"/>
      <c r="AM1460" s="156"/>
      <c r="AN1460" s="156"/>
      <c r="AO1460" s="156"/>
      <c r="AP1460" s="156"/>
      <c r="AQ1460" s="156"/>
      <c r="AR1460" s="156"/>
      <c r="AS1460" s="156"/>
      <c r="AT1460" s="156"/>
      <c r="AU1460" s="156"/>
      <c r="AV1460" s="156"/>
      <c r="AW1460" s="156"/>
      <c r="AX1460" s="156"/>
      <c r="AY1460" s="156"/>
      <c r="AZ1460" s="156"/>
      <c r="BA1460" s="156"/>
      <c r="BB1460" s="2828"/>
      <c r="BC1460" s="504"/>
      <c r="BD1460" s="2829"/>
      <c r="BE1460" s="2837"/>
      <c r="BF1460" s="156"/>
    </row>
    <row r="1461" spans="1:58" hidden="1" outlineLevel="1" x14ac:dyDescent="0.35">
      <c r="A1461" s="1071"/>
      <c r="B1461" s="106"/>
      <c r="C1461" s="103"/>
      <c r="D1461" s="4144" t="s">
        <v>1107</v>
      </c>
      <c r="E1461" s="4021" t="s">
        <v>1108</v>
      </c>
      <c r="F1461" s="3984" t="str">
        <f>$E$1424</f>
        <v>GSHP-EER23-Replace_CAC_ElectricHeat_ROF_SF</v>
      </c>
      <c r="G1461" s="3984"/>
      <c r="H1461" s="3984"/>
      <c r="I1461" s="2223"/>
      <c r="J1461" s="2224">
        <v>1496</v>
      </c>
      <c r="K1461" s="2050"/>
      <c r="L1461" s="4097" t="s">
        <v>1110</v>
      </c>
      <c r="M1461" s="3058"/>
      <c r="N1461" s="3058"/>
      <c r="O1461" s="3058"/>
      <c r="P1461" s="1292"/>
      <c r="Q1461" s="1520"/>
      <c r="R1461" s="1520"/>
      <c r="S1461" s="1280"/>
      <c r="T1461" s="452"/>
      <c r="U1461" s="106"/>
      <c r="V1461" s="4021" t="s">
        <v>1107</v>
      </c>
      <c r="W1461" s="2228">
        <v>2009</v>
      </c>
      <c r="X1461" s="2228">
        <v>2009</v>
      </c>
      <c r="Y1461" s="2376">
        <v>1496</v>
      </c>
      <c r="Z1461" s="2228">
        <v>1496</v>
      </c>
      <c r="AA1461" s="2228">
        <v>1496</v>
      </c>
      <c r="AB1461" s="2228">
        <v>1496</v>
      </c>
      <c r="AC1461" s="2224">
        <v>1496</v>
      </c>
      <c r="AD1461" s="2801">
        <v>1496</v>
      </c>
      <c r="AE1461" s="2228"/>
      <c r="AF1461" s="2228"/>
      <c r="AG1461" s="2228"/>
      <c r="AH1461" s="156"/>
      <c r="AI1461" s="156"/>
      <c r="AJ1461" s="156"/>
      <c r="AK1461" s="156"/>
      <c r="AL1461" s="156"/>
      <c r="AM1461" s="156"/>
      <c r="AN1461" s="156"/>
      <c r="AO1461" s="156"/>
      <c r="AP1461" s="156"/>
      <c r="AQ1461" s="156"/>
      <c r="AR1461" s="156"/>
      <c r="AS1461" s="156"/>
      <c r="AT1461" s="156"/>
      <c r="AU1461" s="156"/>
      <c r="AV1461" s="156"/>
      <c r="AW1461" s="156"/>
      <c r="AX1461" s="156"/>
      <c r="AY1461" s="156"/>
      <c r="AZ1461" s="156"/>
      <c r="BA1461" s="156"/>
      <c r="BB1461" s="2828"/>
      <c r="BC1461" s="504"/>
      <c r="BD1461" s="2829"/>
      <c r="BE1461" s="2837"/>
      <c r="BF1461" s="156"/>
    </row>
    <row r="1462" spans="1:58" hidden="1" outlineLevel="1" x14ac:dyDescent="0.35">
      <c r="A1462" s="1071"/>
      <c r="B1462" s="106"/>
      <c r="C1462" s="103"/>
      <c r="D1462" s="4145"/>
      <c r="E1462" s="4022"/>
      <c r="F1462" s="4100" t="str">
        <f>$E$1426</f>
        <v>GSHP-EER23-Replace_CAC_ElectricHeat_ER1_SF</v>
      </c>
      <c r="G1462" s="4100"/>
      <c r="H1462" s="4100"/>
      <c r="I1462" s="2132"/>
      <c r="J1462" s="579">
        <v>1496</v>
      </c>
      <c r="K1462" s="1315"/>
      <c r="L1462" s="4098"/>
      <c r="M1462" s="3058"/>
      <c r="N1462" s="3058"/>
      <c r="O1462" s="3058"/>
      <c r="P1462" s="1292"/>
      <c r="Q1462" s="1520"/>
      <c r="R1462" s="1520"/>
      <c r="S1462" s="1226"/>
      <c r="T1462" s="1290"/>
      <c r="U1462" s="106"/>
      <c r="V1462" s="4022"/>
      <c r="W1462" s="2224">
        <v>2009</v>
      </c>
      <c r="X1462" s="2224">
        <v>2009</v>
      </c>
      <c r="Y1462" s="2374">
        <v>1496</v>
      </c>
      <c r="Z1462" s="2224">
        <v>1496</v>
      </c>
      <c r="AA1462" s="2224">
        <v>1496</v>
      </c>
      <c r="AB1462" s="2224">
        <v>1496</v>
      </c>
      <c r="AC1462" s="579">
        <v>1496</v>
      </c>
      <c r="AD1462" s="2800">
        <v>1496</v>
      </c>
      <c r="AE1462" s="2224"/>
      <c r="AF1462" s="2224"/>
      <c r="AG1462" s="2224"/>
      <c r="AH1462" s="156"/>
      <c r="AI1462" s="156"/>
      <c r="AJ1462" s="156"/>
      <c r="AK1462" s="156"/>
      <c r="AL1462" s="156"/>
      <c r="AM1462" s="156"/>
      <c r="AN1462" s="156"/>
      <c r="AO1462" s="156"/>
      <c r="AP1462" s="156"/>
      <c r="AQ1462" s="156"/>
      <c r="AR1462" s="156"/>
      <c r="AS1462" s="156"/>
      <c r="AT1462" s="156"/>
      <c r="AU1462" s="156"/>
      <c r="AV1462" s="156"/>
      <c r="AW1462" s="156"/>
      <c r="AX1462" s="156"/>
      <c r="AY1462" s="156"/>
      <c r="AZ1462" s="156"/>
      <c r="BA1462" s="156"/>
      <c r="BB1462" s="2828"/>
      <c r="BC1462" s="504"/>
      <c r="BD1462" s="2829"/>
      <c r="BE1462" s="2837"/>
      <c r="BF1462" s="156"/>
    </row>
    <row r="1463" spans="1:58" hidden="1" outlineLevel="1" x14ac:dyDescent="0.35">
      <c r="A1463" s="1071"/>
      <c r="B1463" s="106"/>
      <c r="C1463" s="103"/>
      <c r="D1463" s="4145"/>
      <c r="E1463" s="4022"/>
      <c r="F1463" s="3984" t="str">
        <f>$E$1428</f>
        <v>GSHP-EER23-Replace_CAC_ElectricHeat_ER2_SF</v>
      </c>
      <c r="G1463" s="3984"/>
      <c r="H1463" s="3984"/>
      <c r="I1463" s="2223"/>
      <c r="J1463" s="2224">
        <v>1496</v>
      </c>
      <c r="K1463" s="675"/>
      <c r="L1463" s="4098"/>
      <c r="M1463" s="3058"/>
      <c r="N1463" s="3058"/>
      <c r="O1463" s="3058"/>
      <c r="P1463" s="1292"/>
      <c r="Q1463" s="1520"/>
      <c r="R1463" s="1520"/>
      <c r="S1463" s="1226"/>
      <c r="T1463" s="1290"/>
      <c r="U1463" s="106"/>
      <c r="V1463" s="4022"/>
      <c r="W1463" s="2224">
        <v>2009</v>
      </c>
      <c r="X1463" s="2224">
        <v>2009</v>
      </c>
      <c r="Y1463" s="2374">
        <v>1496</v>
      </c>
      <c r="Z1463" s="2224">
        <v>1496</v>
      </c>
      <c r="AA1463" s="2224">
        <v>1496</v>
      </c>
      <c r="AB1463" s="2224">
        <v>1496</v>
      </c>
      <c r="AC1463" s="2224">
        <v>1496</v>
      </c>
      <c r="AD1463" s="2801">
        <v>1496</v>
      </c>
      <c r="AE1463" s="2224"/>
      <c r="AF1463" s="2224"/>
      <c r="AG1463" s="2224"/>
      <c r="AH1463" s="156"/>
      <c r="AI1463" s="156"/>
      <c r="AJ1463" s="156"/>
      <c r="AK1463" s="156"/>
      <c r="AL1463" s="156"/>
      <c r="AM1463" s="156"/>
      <c r="AN1463" s="156"/>
      <c r="AO1463" s="156"/>
      <c r="AP1463" s="156"/>
      <c r="AQ1463" s="156"/>
      <c r="AR1463" s="156"/>
      <c r="AS1463" s="156"/>
      <c r="AT1463" s="156"/>
      <c r="AU1463" s="156"/>
      <c r="AV1463" s="156"/>
      <c r="AW1463" s="156"/>
      <c r="AX1463" s="156"/>
      <c r="AY1463" s="156"/>
      <c r="AZ1463" s="156"/>
      <c r="BA1463" s="156"/>
      <c r="BB1463" s="2828"/>
      <c r="BC1463" s="504"/>
      <c r="BD1463" s="2829"/>
      <c r="BE1463" s="2837"/>
      <c r="BF1463" s="156"/>
    </row>
    <row r="1464" spans="1:58" hidden="1" outlineLevel="1" x14ac:dyDescent="0.35">
      <c r="A1464" s="1071"/>
      <c r="B1464" s="106"/>
      <c r="C1464" s="103"/>
      <c r="D1464" s="4145"/>
      <c r="E1464" s="4022"/>
      <c r="F1464" s="4107" t="str">
        <f>$E$1430</f>
        <v>GSHP-EER23_ER1_SF</v>
      </c>
      <c r="G1464" s="4107"/>
      <c r="H1464" s="4107"/>
      <c r="I1464" s="2223"/>
      <c r="J1464" s="2224">
        <v>1496</v>
      </c>
      <c r="K1464" s="675"/>
      <c r="L1464" s="4098"/>
      <c r="M1464" s="3058"/>
      <c r="N1464" s="3058"/>
      <c r="O1464" s="3058"/>
      <c r="P1464" s="1292"/>
      <c r="Q1464" s="1520"/>
      <c r="R1464" s="1520"/>
      <c r="S1464" s="1226"/>
      <c r="T1464" s="1290"/>
      <c r="U1464" s="106"/>
      <c r="V1464" s="4022"/>
      <c r="W1464" s="2224"/>
      <c r="X1464" s="2224"/>
      <c r="Y1464" s="2374"/>
      <c r="Z1464" s="2224"/>
      <c r="AA1464" s="2224"/>
      <c r="AB1464" s="2374">
        <v>1496</v>
      </c>
      <c r="AC1464" s="2224">
        <v>1496</v>
      </c>
      <c r="AD1464" s="2801">
        <v>1496</v>
      </c>
      <c r="AE1464" s="2224"/>
      <c r="AF1464" s="2224"/>
      <c r="AG1464" s="2224"/>
      <c r="AH1464" s="156"/>
      <c r="AI1464" s="156"/>
      <c r="AJ1464" s="156"/>
      <c r="AK1464" s="156"/>
      <c r="AL1464" s="156"/>
      <c r="AM1464" s="156"/>
      <c r="AN1464" s="156"/>
      <c r="AO1464" s="156"/>
      <c r="AP1464" s="156"/>
      <c r="AQ1464" s="156"/>
      <c r="AR1464" s="156"/>
      <c r="AS1464" s="156"/>
      <c r="AT1464" s="156"/>
      <c r="AU1464" s="156"/>
      <c r="AV1464" s="156"/>
      <c r="AW1464" s="156"/>
      <c r="AX1464" s="156"/>
      <c r="AY1464" s="156"/>
      <c r="AZ1464" s="156"/>
      <c r="BA1464" s="156"/>
      <c r="BB1464" s="2828"/>
      <c r="BC1464" s="504"/>
      <c r="BD1464" s="2829"/>
      <c r="BE1464" s="2837"/>
      <c r="BF1464" s="156"/>
    </row>
    <row r="1465" spans="1:58" hidden="1" outlineLevel="1" x14ac:dyDescent="0.35">
      <c r="A1465" s="1071"/>
      <c r="B1465" s="106"/>
      <c r="C1465" s="103"/>
      <c r="D1465" s="4145"/>
      <c r="E1465" s="4022"/>
      <c r="F1465" s="3984" t="str">
        <f>$E$1432</f>
        <v>GSHP-EER23_ER2_SF</v>
      </c>
      <c r="G1465" s="3984"/>
      <c r="H1465" s="3984"/>
      <c r="I1465" s="2223"/>
      <c r="J1465" s="2224">
        <v>1496</v>
      </c>
      <c r="K1465" s="675"/>
      <c r="L1465" s="4098"/>
      <c r="M1465" s="3058"/>
      <c r="N1465" s="3058"/>
      <c r="O1465" s="3058"/>
      <c r="P1465" s="1292"/>
      <c r="Q1465" s="1520"/>
      <c r="R1465" s="1520"/>
      <c r="S1465" s="1226"/>
      <c r="T1465" s="1290"/>
      <c r="U1465" s="106"/>
      <c r="V1465" s="4022"/>
      <c r="W1465" s="2224">
        <v>2009</v>
      </c>
      <c r="X1465" s="2224">
        <v>2009</v>
      </c>
      <c r="Y1465" s="2374">
        <v>1496</v>
      </c>
      <c r="Z1465" s="2224">
        <v>1496</v>
      </c>
      <c r="AA1465" s="2224">
        <v>1496</v>
      </c>
      <c r="AB1465" s="2224">
        <v>1496</v>
      </c>
      <c r="AC1465" s="2224">
        <v>1496</v>
      </c>
      <c r="AD1465" s="2801">
        <v>1496</v>
      </c>
      <c r="AE1465" s="2224"/>
      <c r="AF1465" s="2224"/>
      <c r="AG1465" s="2224"/>
      <c r="AH1465" s="156"/>
      <c r="AI1465" s="156"/>
      <c r="AJ1465" s="156"/>
      <c r="AK1465" s="156"/>
      <c r="AL1465" s="156"/>
      <c r="AM1465" s="156"/>
      <c r="AN1465" s="156"/>
      <c r="AO1465" s="156"/>
      <c r="AP1465" s="156"/>
      <c r="AQ1465" s="156"/>
      <c r="AR1465" s="156"/>
      <c r="AS1465" s="156"/>
      <c r="AT1465" s="156"/>
      <c r="AU1465" s="156"/>
      <c r="AV1465" s="156"/>
      <c r="AW1465" s="156"/>
      <c r="AX1465" s="156"/>
      <c r="AY1465" s="156"/>
      <c r="AZ1465" s="156"/>
      <c r="BA1465" s="156"/>
      <c r="BB1465" s="2828"/>
      <c r="BC1465" s="504"/>
      <c r="BD1465" s="2829"/>
      <c r="BE1465" s="2837"/>
      <c r="BF1465" s="156"/>
    </row>
    <row r="1466" spans="1:58" ht="15" hidden="1" outlineLevel="1" thickBot="1" x14ac:dyDescent="0.4">
      <c r="A1466" s="1071"/>
      <c r="B1466" s="106"/>
      <c r="C1466" s="103"/>
      <c r="D1466" s="4146"/>
      <c r="E1466" s="4104"/>
      <c r="F1466" s="4106" t="str">
        <f>$E$1434</f>
        <v>GSHP-EER23_ROF_SF</v>
      </c>
      <c r="G1466" s="4106"/>
      <c r="H1466" s="4106"/>
      <c r="I1466" s="2226"/>
      <c r="J1466" s="2227">
        <v>1496</v>
      </c>
      <c r="K1466" s="1314"/>
      <c r="L1466" s="4099"/>
      <c r="M1466" s="3058"/>
      <c r="N1466" s="3058"/>
      <c r="O1466" s="3058"/>
      <c r="P1466" s="1292"/>
      <c r="Q1466" s="1520"/>
      <c r="R1466" s="1520"/>
      <c r="S1466" s="1226"/>
      <c r="T1466" s="1290"/>
      <c r="U1466" s="106"/>
      <c r="V1466" s="4104"/>
      <c r="W1466" s="2227">
        <v>2009</v>
      </c>
      <c r="X1466" s="2227">
        <v>2009</v>
      </c>
      <c r="Y1466" s="2375">
        <v>1496</v>
      </c>
      <c r="Z1466" s="2227">
        <v>1496</v>
      </c>
      <c r="AA1466" s="2227">
        <v>1496</v>
      </c>
      <c r="AB1466" s="2227">
        <v>1496</v>
      </c>
      <c r="AC1466" s="2227">
        <v>1496</v>
      </c>
      <c r="AD1466" s="2803">
        <v>1496</v>
      </c>
      <c r="AE1466" s="2227"/>
      <c r="AF1466" s="2227"/>
      <c r="AG1466" s="2227"/>
      <c r="AH1466" s="156"/>
      <c r="AI1466" s="156"/>
      <c r="AJ1466" s="156"/>
      <c r="AK1466" s="156"/>
      <c r="AL1466" s="156"/>
      <c r="AM1466" s="156"/>
      <c r="AN1466" s="156"/>
      <c r="AO1466" s="156"/>
      <c r="AP1466" s="156"/>
      <c r="AQ1466" s="156"/>
      <c r="AR1466" s="156"/>
      <c r="AS1466" s="156"/>
      <c r="AT1466" s="156"/>
      <c r="AU1466" s="156"/>
      <c r="AV1466" s="156"/>
      <c r="AW1466" s="156"/>
      <c r="AX1466" s="156"/>
      <c r="AY1466" s="156"/>
      <c r="AZ1466" s="156"/>
      <c r="BA1466" s="156"/>
      <c r="BB1466" s="2828"/>
      <c r="BC1466" s="504"/>
      <c r="BD1466" s="2829"/>
      <c r="BE1466" s="2837"/>
      <c r="BF1466" s="156"/>
    </row>
    <row r="1467" spans="1:58" hidden="1" outlineLevel="1" x14ac:dyDescent="0.35">
      <c r="A1467" s="1071"/>
      <c r="B1467" s="106"/>
      <c r="C1467" s="103"/>
      <c r="D1467" s="4144" t="s">
        <v>1111</v>
      </c>
      <c r="E1467" s="4021" t="s">
        <v>1112</v>
      </c>
      <c r="F1467" s="3984" t="str">
        <f>$E$1424</f>
        <v>GSHP-EER23-Replace_CAC_ElectricHeat_ROF_SF</v>
      </c>
      <c r="G1467" s="3984"/>
      <c r="H1467" s="3984"/>
      <c r="I1467" s="2225"/>
      <c r="J1467" s="2228">
        <v>3.41</v>
      </c>
      <c r="K1467" s="680"/>
      <c r="L1467" s="4097" t="s">
        <v>971</v>
      </c>
      <c r="M1467" s="3058"/>
      <c r="N1467" s="3058"/>
      <c r="O1467" s="3058"/>
      <c r="P1467" s="1292"/>
      <c r="Q1467" s="1520"/>
      <c r="R1467" s="1520"/>
      <c r="S1467" s="106"/>
      <c r="T1467" s="106"/>
      <c r="U1467" s="106"/>
      <c r="V1467" s="4021" t="s">
        <v>1111</v>
      </c>
      <c r="W1467" s="2228">
        <v>3.41</v>
      </c>
      <c r="X1467" s="2228">
        <v>3.41</v>
      </c>
      <c r="Y1467" s="2228">
        <v>3.41</v>
      </c>
      <c r="Z1467" s="2228">
        <v>3.41</v>
      </c>
      <c r="AA1467" s="2228">
        <v>3.41</v>
      </c>
      <c r="AB1467" s="2228">
        <v>3.41</v>
      </c>
      <c r="AC1467" s="2228">
        <v>3.41</v>
      </c>
      <c r="AD1467" s="2799">
        <v>3.41</v>
      </c>
      <c r="AE1467" s="2228"/>
      <c r="AF1467" s="2228"/>
      <c r="AG1467" s="2228"/>
      <c r="AH1467" s="156"/>
      <c r="AI1467" s="156"/>
      <c r="AJ1467" s="156"/>
      <c r="AK1467" s="156"/>
      <c r="AL1467" s="156"/>
      <c r="AM1467" s="156"/>
      <c r="AN1467" s="156"/>
      <c r="AO1467" s="156"/>
      <c r="AP1467" s="156"/>
      <c r="AQ1467" s="156"/>
      <c r="AR1467" s="156"/>
      <c r="AS1467" s="156"/>
      <c r="AT1467" s="156"/>
      <c r="AU1467" s="156"/>
      <c r="AV1467" s="156"/>
      <c r="AW1467" s="156"/>
      <c r="AX1467" s="156"/>
      <c r="AY1467" s="156"/>
      <c r="AZ1467" s="156"/>
      <c r="BA1467" s="156"/>
      <c r="BB1467" s="2828"/>
      <c r="BC1467" s="504"/>
      <c r="BD1467" s="2829"/>
      <c r="BE1467" s="2837"/>
      <c r="BF1467" s="156"/>
    </row>
    <row r="1468" spans="1:58" hidden="1" outlineLevel="1" x14ac:dyDescent="0.35">
      <c r="A1468" s="1664"/>
      <c r="B1468" s="106"/>
      <c r="C1468" s="416"/>
      <c r="D1468" s="4145"/>
      <c r="E1468" s="4022"/>
      <c r="F1468" s="4100" t="str">
        <f>$E$1426</f>
        <v>GSHP-EER23-Replace_CAC_ElectricHeat_ER1_SF</v>
      </c>
      <c r="G1468" s="4100"/>
      <c r="H1468" s="4100"/>
      <c r="I1468" s="2223"/>
      <c r="J1468" s="579">
        <v>3.41</v>
      </c>
      <c r="K1468" s="675"/>
      <c r="L1468" s="4098"/>
      <c r="M1468" s="3058"/>
      <c r="N1468" s="3058"/>
      <c r="O1468" s="3058"/>
      <c r="P1468" s="129"/>
      <c r="Q1468" s="103"/>
      <c r="R1468" s="106"/>
      <c r="S1468" s="106"/>
      <c r="T1468" s="106"/>
      <c r="U1468" s="106"/>
      <c r="V1468" s="4022"/>
      <c r="W1468" s="2224">
        <v>3.41</v>
      </c>
      <c r="X1468" s="2224">
        <v>3.41</v>
      </c>
      <c r="Y1468" s="2224">
        <v>3.41</v>
      </c>
      <c r="Z1468" s="2224">
        <v>3.41</v>
      </c>
      <c r="AA1468" s="2224">
        <v>3.41</v>
      </c>
      <c r="AB1468" s="2224">
        <v>3.41</v>
      </c>
      <c r="AC1468" s="579">
        <v>3.41</v>
      </c>
      <c r="AD1468" s="2800">
        <v>3.41</v>
      </c>
      <c r="AE1468" s="2224"/>
      <c r="AF1468" s="2224"/>
      <c r="AG1468" s="2224"/>
      <c r="AH1468" s="156"/>
      <c r="AI1468" s="156"/>
      <c r="AJ1468" s="156"/>
      <c r="AK1468" s="156"/>
      <c r="AL1468" s="156"/>
      <c r="AM1468" s="156"/>
      <c r="AN1468" s="156"/>
      <c r="AO1468" s="156"/>
      <c r="AP1468" s="156"/>
      <c r="AQ1468" s="156"/>
      <c r="AR1468" s="156"/>
      <c r="AS1468" s="156"/>
      <c r="AT1468" s="156"/>
      <c r="AU1468" s="156"/>
      <c r="AV1468" s="156"/>
      <c r="AW1468" s="156"/>
      <c r="AX1468" s="156"/>
      <c r="AY1468" s="156"/>
      <c r="AZ1468" s="156"/>
      <c r="BA1468" s="156"/>
      <c r="BB1468" s="2828"/>
      <c r="BC1468" s="504"/>
      <c r="BD1468" s="2829"/>
      <c r="BE1468" s="2837"/>
      <c r="BF1468" s="156"/>
    </row>
    <row r="1469" spans="1:58" hidden="1" outlineLevel="1" x14ac:dyDescent="0.35">
      <c r="A1469" s="1071"/>
      <c r="B1469" s="106"/>
      <c r="C1469" s="103"/>
      <c r="D1469" s="4145"/>
      <c r="E1469" s="4022"/>
      <c r="F1469" s="3984" t="str">
        <f>$E$1428</f>
        <v>GSHP-EER23-Replace_CAC_ElectricHeat_ER2_SF</v>
      </c>
      <c r="G1469" s="3984"/>
      <c r="H1469" s="3984"/>
      <c r="I1469" s="2223"/>
      <c r="J1469" s="2224">
        <v>3.41</v>
      </c>
      <c r="K1469" s="675"/>
      <c r="L1469" s="4098"/>
      <c r="M1469" s="3058"/>
      <c r="N1469" s="3058"/>
      <c r="O1469" s="3058"/>
      <c r="P1469" s="156"/>
      <c r="Q1469" s="156"/>
      <c r="R1469" s="156"/>
      <c r="S1469" s="156"/>
      <c r="T1469" s="106"/>
      <c r="U1469" s="106"/>
      <c r="V1469" s="4022"/>
      <c r="W1469" s="2224">
        <v>3.41</v>
      </c>
      <c r="X1469" s="2224">
        <v>3.41</v>
      </c>
      <c r="Y1469" s="2224">
        <v>3.41</v>
      </c>
      <c r="Z1469" s="2224">
        <v>3.41</v>
      </c>
      <c r="AA1469" s="2224">
        <v>3.41</v>
      </c>
      <c r="AB1469" s="2224">
        <v>3.41</v>
      </c>
      <c r="AC1469" s="2224">
        <v>3.41</v>
      </c>
      <c r="AD1469" s="2801">
        <v>3.41</v>
      </c>
      <c r="AE1469" s="2224"/>
      <c r="AF1469" s="2224"/>
      <c r="AG1469" s="2224"/>
      <c r="AH1469" s="156"/>
      <c r="AI1469" s="156"/>
      <c r="AJ1469" s="156"/>
      <c r="AK1469" s="156"/>
      <c r="AL1469" s="156"/>
      <c r="AM1469" s="156"/>
      <c r="AN1469" s="156"/>
      <c r="AO1469" s="156"/>
      <c r="AP1469" s="156"/>
      <c r="AQ1469" s="156"/>
      <c r="AR1469" s="156"/>
      <c r="AS1469" s="156"/>
      <c r="AT1469" s="156"/>
      <c r="AU1469" s="156"/>
      <c r="AV1469" s="156"/>
      <c r="AW1469" s="156"/>
      <c r="AX1469" s="156"/>
      <c r="AY1469" s="156"/>
      <c r="AZ1469" s="156"/>
      <c r="BA1469" s="156"/>
      <c r="BB1469" s="2828"/>
      <c r="BC1469" s="504"/>
      <c r="BD1469" s="2829"/>
      <c r="BE1469" s="2837"/>
      <c r="BF1469" s="156"/>
    </row>
    <row r="1470" spans="1:58" hidden="1" outlineLevel="1" x14ac:dyDescent="0.35">
      <c r="A1470" s="1071"/>
      <c r="B1470" s="106"/>
      <c r="C1470" s="103"/>
      <c r="D1470" s="4145"/>
      <c r="E1470" s="4022"/>
      <c r="F1470" s="4107" t="str">
        <f>$E$1430</f>
        <v>GSHP-EER23_ER1_SF</v>
      </c>
      <c r="G1470" s="4107"/>
      <c r="H1470" s="4107"/>
      <c r="I1470" s="2223"/>
      <c r="J1470" s="2224">
        <v>9.5500000000000007</v>
      </c>
      <c r="K1470" s="675"/>
      <c r="L1470" s="4108"/>
      <c r="M1470" s="3058"/>
      <c r="N1470" s="3058"/>
      <c r="O1470" s="3058"/>
      <c r="P1470" s="4105"/>
      <c r="Q1470" s="4110"/>
      <c r="R1470" s="4110"/>
      <c r="S1470" s="106"/>
      <c r="T1470" s="106"/>
      <c r="U1470" s="106"/>
      <c r="V1470" s="4022"/>
      <c r="W1470" s="2224"/>
      <c r="X1470" s="2374">
        <v>9.5500000000000007</v>
      </c>
      <c r="Y1470" s="2224">
        <v>9.5500000000000007</v>
      </c>
      <c r="Z1470" s="2224">
        <v>9.5500000000000007</v>
      </c>
      <c r="AA1470" s="2224">
        <v>9.5500000000000007</v>
      </c>
      <c r="AB1470" s="2224">
        <v>9.5500000000000007</v>
      </c>
      <c r="AC1470" s="2224">
        <v>9.5500000000000007</v>
      </c>
      <c r="AD1470" s="2801">
        <v>9.5500000000000007</v>
      </c>
      <c r="AE1470" s="2224"/>
      <c r="AF1470" s="2224"/>
      <c r="AG1470" s="2224"/>
      <c r="AH1470" s="156"/>
      <c r="AI1470" s="156"/>
      <c r="AJ1470" s="156"/>
      <c r="AK1470" s="156"/>
      <c r="AL1470" s="156"/>
      <c r="AM1470" s="156"/>
      <c r="AN1470" s="156"/>
      <c r="AO1470" s="156"/>
      <c r="AP1470" s="156"/>
      <c r="AQ1470" s="156"/>
      <c r="AR1470" s="156"/>
      <c r="AS1470" s="156"/>
      <c r="AT1470" s="156"/>
      <c r="AU1470" s="156"/>
      <c r="AV1470" s="156"/>
      <c r="AW1470" s="156"/>
      <c r="AX1470" s="156"/>
      <c r="AY1470" s="156"/>
      <c r="AZ1470" s="156"/>
      <c r="BA1470" s="156"/>
      <c r="BB1470" s="2828"/>
      <c r="BC1470" s="504"/>
      <c r="BD1470" s="2829"/>
      <c r="BE1470" s="2837"/>
      <c r="BF1470" s="156"/>
    </row>
    <row r="1471" spans="1:58" hidden="1" outlineLevel="1" x14ac:dyDescent="0.35">
      <c r="A1471" s="1071"/>
      <c r="B1471" s="106"/>
      <c r="C1471" s="103"/>
      <c r="D1471" s="4145"/>
      <c r="E1471" s="4022"/>
      <c r="F1471" s="3984" t="str">
        <f>$E$1432</f>
        <v>GSHP-EER23_ER2_SF</v>
      </c>
      <c r="G1471" s="3984"/>
      <c r="H1471" s="3984"/>
      <c r="I1471" s="2223"/>
      <c r="J1471" s="2224">
        <v>10.58</v>
      </c>
      <c r="K1471" s="675"/>
      <c r="L1471" s="4109" t="s">
        <v>1070</v>
      </c>
      <c r="M1471" s="3058"/>
      <c r="N1471" s="3058"/>
      <c r="O1471" s="3058"/>
      <c r="P1471" s="1528"/>
      <c r="Q1471" s="103"/>
      <c r="R1471" s="103"/>
      <c r="S1471" s="106"/>
      <c r="T1471" s="106"/>
      <c r="U1471" s="106"/>
      <c r="V1471" s="4022"/>
      <c r="W1471" s="2224">
        <v>3.41</v>
      </c>
      <c r="X1471" s="2374">
        <v>10.58</v>
      </c>
      <c r="Y1471" s="2224">
        <v>10.58</v>
      </c>
      <c r="Z1471" s="2224">
        <v>10.58</v>
      </c>
      <c r="AA1471" s="2224">
        <v>10.58</v>
      </c>
      <c r="AB1471" s="2224">
        <v>10.58</v>
      </c>
      <c r="AC1471" s="2224">
        <v>10.58</v>
      </c>
      <c r="AD1471" s="2801">
        <v>10.58</v>
      </c>
      <c r="AE1471" s="2224"/>
      <c r="AF1471" s="2224"/>
      <c r="AG1471" s="2224"/>
      <c r="AH1471" s="156"/>
      <c r="AI1471" s="156"/>
      <c r="AJ1471" s="156"/>
      <c r="AK1471" s="156"/>
      <c r="AL1471" s="156"/>
      <c r="AM1471" s="156"/>
      <c r="AN1471" s="156"/>
      <c r="AO1471" s="156"/>
      <c r="AP1471" s="156"/>
      <c r="AQ1471" s="156"/>
      <c r="AR1471" s="156"/>
      <c r="AS1471" s="156"/>
      <c r="AT1471" s="156"/>
      <c r="AU1471" s="156"/>
      <c r="AV1471" s="156"/>
      <c r="AW1471" s="156"/>
      <c r="AX1471" s="156"/>
      <c r="AY1471" s="156"/>
      <c r="AZ1471" s="156"/>
      <c r="BA1471" s="156"/>
      <c r="BB1471" s="2828"/>
      <c r="BC1471" s="504"/>
      <c r="BD1471" s="2829"/>
      <c r="BE1471" s="2837"/>
      <c r="BF1471" s="156"/>
    </row>
    <row r="1472" spans="1:58" ht="15" hidden="1" outlineLevel="1" thickBot="1" x14ac:dyDescent="0.4">
      <c r="A1472" s="1071"/>
      <c r="B1472" s="106"/>
      <c r="C1472" s="103"/>
      <c r="D1472" s="4146"/>
      <c r="E1472" s="4104"/>
      <c r="F1472" s="4106" t="str">
        <f>$E$1434</f>
        <v>GSHP-EER23_ROF_SF</v>
      </c>
      <c r="G1472" s="4106"/>
      <c r="H1472" s="4106"/>
      <c r="I1472" s="2226"/>
      <c r="J1472" s="2227">
        <v>10.58</v>
      </c>
      <c r="K1472" s="1314"/>
      <c r="L1472" s="4099"/>
      <c r="M1472" s="3058"/>
      <c r="N1472" s="3058"/>
      <c r="O1472" s="3058"/>
      <c r="P1472" s="1528"/>
      <c r="Q1472" s="1529"/>
      <c r="R1472" s="1529"/>
      <c r="S1472" s="106"/>
      <c r="T1472" s="1521"/>
      <c r="U1472" s="106"/>
      <c r="V1472" s="4104"/>
      <c r="W1472" s="2227">
        <v>3.41</v>
      </c>
      <c r="X1472" s="2375">
        <v>10.58</v>
      </c>
      <c r="Y1472" s="2227">
        <v>10.58</v>
      </c>
      <c r="Z1472" s="2227">
        <v>10.58</v>
      </c>
      <c r="AA1472" s="2227">
        <v>10.58</v>
      </c>
      <c r="AB1472" s="2227">
        <v>10.58</v>
      </c>
      <c r="AC1472" s="2227">
        <v>10.58</v>
      </c>
      <c r="AD1472" s="2803">
        <v>10.58</v>
      </c>
      <c r="AE1472" s="2227"/>
      <c r="AF1472" s="2227"/>
      <c r="AG1472" s="2227"/>
      <c r="AH1472" s="156"/>
      <c r="AI1472" s="156"/>
      <c r="AJ1472" s="156"/>
      <c r="AK1472" s="156"/>
      <c r="AL1472" s="156"/>
      <c r="AM1472" s="156"/>
      <c r="AN1472" s="156"/>
      <c r="AO1472" s="156"/>
      <c r="AP1472" s="156"/>
      <c r="AQ1472" s="156"/>
      <c r="AR1472" s="156"/>
      <c r="AS1472" s="156"/>
      <c r="AT1472" s="156"/>
      <c r="AU1472" s="156"/>
      <c r="AV1472" s="156"/>
      <c r="AW1472" s="156"/>
      <c r="AX1472" s="156"/>
      <c r="AY1472" s="156"/>
      <c r="AZ1472" s="156"/>
      <c r="BA1472" s="156"/>
      <c r="BB1472" s="2828"/>
      <c r="BC1472" s="504"/>
      <c r="BD1472" s="2829"/>
      <c r="BE1472" s="2837"/>
      <c r="BF1472" s="156"/>
    </row>
    <row r="1473" spans="1:58" hidden="1" outlineLevel="1" x14ac:dyDescent="0.35">
      <c r="A1473" s="1071"/>
      <c r="B1473" s="106"/>
      <c r="C1473" s="103"/>
      <c r="D1473" s="4021" t="s">
        <v>1113</v>
      </c>
      <c r="E1473" s="4111" t="s">
        <v>1140</v>
      </c>
      <c r="F1473" s="3984" t="str">
        <f>$E$1424</f>
        <v>GSHP-EER23-Replace_CAC_ElectricHeat_ROF_SF</v>
      </c>
      <c r="G1473" s="3984"/>
      <c r="H1473" s="3984"/>
      <c r="I1473" s="2225"/>
      <c r="J1473" s="1785">
        <v>15.140400000000001</v>
      </c>
      <c r="K1473" s="1315"/>
      <c r="L1473" s="4097" t="s">
        <v>1110</v>
      </c>
      <c r="M1473" s="3058"/>
      <c r="N1473" s="3058"/>
      <c r="O1473" s="3058"/>
      <c r="P1473" s="1528"/>
      <c r="Q1473" s="106"/>
      <c r="R1473" s="1530"/>
      <c r="S1473" s="106"/>
      <c r="T1473" s="106"/>
      <c r="U1473" s="106"/>
      <c r="V1473" s="4021" t="s">
        <v>1113</v>
      </c>
      <c r="W1473" s="579">
        <f>15.01/3.41</f>
        <v>4.4017595307917885</v>
      </c>
      <c r="X1473" s="677">
        <v>14.979294599999999</v>
      </c>
      <c r="Y1473" s="2377">
        <f>4.44*3.41</f>
        <v>15.140400000000001</v>
      </c>
      <c r="Z1473" s="579">
        <f t="shared" ref="Z1473:AA1478" si="265">4.44*3.41</f>
        <v>15.140400000000001</v>
      </c>
      <c r="AA1473" s="579">
        <f t="shared" si="265"/>
        <v>15.140400000000001</v>
      </c>
      <c r="AB1473" s="676">
        <v>15.140400000000001</v>
      </c>
      <c r="AC1473" s="1785">
        <v>15.140400000000001</v>
      </c>
      <c r="AD1473" s="1785">
        <v>15.140400000000001</v>
      </c>
      <c r="AE1473" s="579"/>
      <c r="AF1473" s="579"/>
      <c r="AG1473" s="579"/>
      <c r="AH1473" s="156"/>
      <c r="AI1473" s="156"/>
      <c r="AJ1473" s="156"/>
      <c r="AK1473" s="156"/>
      <c r="AL1473" s="156"/>
      <c r="AM1473" s="156"/>
      <c r="AN1473" s="156"/>
      <c r="AO1473" s="156"/>
      <c r="AP1473" s="156"/>
      <c r="AQ1473" s="156"/>
      <c r="AR1473" s="156"/>
      <c r="AS1473" s="156"/>
      <c r="AT1473" s="156"/>
      <c r="AU1473" s="156"/>
      <c r="AV1473" s="156"/>
      <c r="AW1473" s="156"/>
      <c r="AX1473" s="156"/>
      <c r="AY1473" s="156"/>
      <c r="AZ1473" s="156"/>
      <c r="BA1473" s="156"/>
      <c r="BB1473" s="2828"/>
      <c r="BC1473" s="504"/>
      <c r="BD1473" s="2829"/>
      <c r="BE1473" s="2837"/>
      <c r="BF1473" s="156"/>
    </row>
    <row r="1474" spans="1:58" hidden="1" outlineLevel="1" x14ac:dyDescent="0.35">
      <c r="A1474" s="1071"/>
      <c r="B1474" s="106"/>
      <c r="C1474" s="103"/>
      <c r="D1474" s="4022"/>
      <c r="E1474" s="4111"/>
      <c r="F1474" s="4100" t="str">
        <f>$E$1426</f>
        <v>GSHP-EER23-Replace_CAC_ElectricHeat_ER1_SF</v>
      </c>
      <c r="G1474" s="4100"/>
      <c r="H1474" s="4100"/>
      <c r="I1474" s="2132"/>
      <c r="J1474" s="676">
        <v>15.140400000000001</v>
      </c>
      <c r="K1474" s="675"/>
      <c r="L1474" s="4098"/>
      <c r="M1474" s="3058"/>
      <c r="N1474" s="3058"/>
      <c r="O1474" s="3058"/>
      <c r="P1474" s="1531"/>
      <c r="Q1474" s="106"/>
      <c r="R1474" s="1530"/>
      <c r="S1474" s="106"/>
      <c r="T1474" s="106"/>
      <c r="U1474" s="106"/>
      <c r="V1474" s="4022"/>
      <c r="W1474" s="2224">
        <f>15.01/3.41</f>
        <v>4.4017595307917885</v>
      </c>
      <c r="X1474" s="584">
        <v>14.979294599999999</v>
      </c>
      <c r="Y1474" s="2377">
        <f>4.44*3.41</f>
        <v>15.140400000000001</v>
      </c>
      <c r="Z1474" s="579">
        <f t="shared" si="265"/>
        <v>15.140400000000001</v>
      </c>
      <c r="AA1474" s="579">
        <f t="shared" si="265"/>
        <v>15.140400000000001</v>
      </c>
      <c r="AB1474" s="583">
        <v>15.140400000000001</v>
      </c>
      <c r="AC1474" s="676">
        <v>15.140400000000001</v>
      </c>
      <c r="AD1474" s="676">
        <v>15.140400000000001</v>
      </c>
      <c r="AE1474" s="2224"/>
      <c r="AF1474" s="2224"/>
      <c r="AG1474" s="2224"/>
      <c r="AH1474" s="156"/>
      <c r="AI1474" s="156"/>
      <c r="AJ1474" s="156"/>
      <c r="AK1474" s="156"/>
      <c r="AL1474" s="156"/>
      <c r="AM1474" s="156"/>
      <c r="AN1474" s="156"/>
      <c r="AO1474" s="156"/>
      <c r="AP1474" s="156"/>
      <c r="AQ1474" s="156"/>
      <c r="AR1474" s="156"/>
      <c r="AS1474" s="156"/>
      <c r="AT1474" s="156"/>
      <c r="AU1474" s="156"/>
      <c r="AV1474" s="156"/>
      <c r="AW1474" s="156"/>
      <c r="AX1474" s="156"/>
      <c r="AY1474" s="156"/>
      <c r="AZ1474" s="156"/>
      <c r="BA1474" s="156"/>
      <c r="BB1474" s="2828"/>
      <c r="BC1474" s="504"/>
      <c r="BD1474" s="2829"/>
      <c r="BE1474" s="2837"/>
      <c r="BF1474" s="156"/>
    </row>
    <row r="1475" spans="1:58" hidden="1" outlineLevel="1" x14ac:dyDescent="0.35">
      <c r="A1475" s="1071"/>
      <c r="B1475" s="106"/>
      <c r="C1475" s="103"/>
      <c r="D1475" s="4022"/>
      <c r="E1475" s="4111"/>
      <c r="F1475" s="3984" t="str">
        <f>$E$1428</f>
        <v>GSHP-EER23-Replace_CAC_ElectricHeat_ER2_SF</v>
      </c>
      <c r="G1475" s="3984"/>
      <c r="H1475" s="3984"/>
      <c r="I1475" s="2223"/>
      <c r="J1475" s="583">
        <v>15.140400000000001</v>
      </c>
      <c r="K1475" s="682"/>
      <c r="L1475" s="4098"/>
      <c r="M1475" s="3058"/>
      <c r="N1475" s="3058"/>
      <c r="O1475" s="3058"/>
      <c r="P1475" s="292"/>
      <c r="Q1475" s="106"/>
      <c r="R1475" s="106"/>
      <c r="S1475" s="106"/>
      <c r="T1475" s="106"/>
      <c r="U1475" s="106"/>
      <c r="V1475" s="4022"/>
      <c r="W1475" s="2224">
        <f>15.01/3.41</f>
        <v>4.4017595307917885</v>
      </c>
      <c r="X1475" s="584">
        <v>14.979294599999999</v>
      </c>
      <c r="Y1475" s="2377">
        <f>4.44*3.41</f>
        <v>15.140400000000001</v>
      </c>
      <c r="Z1475" s="579">
        <f t="shared" si="265"/>
        <v>15.140400000000001</v>
      </c>
      <c r="AA1475" s="579">
        <f t="shared" si="265"/>
        <v>15.140400000000001</v>
      </c>
      <c r="AB1475" s="583">
        <v>15.140400000000001</v>
      </c>
      <c r="AC1475" s="583">
        <v>15.140400000000001</v>
      </c>
      <c r="AD1475" s="583">
        <v>15.140400000000001</v>
      </c>
      <c r="AE1475" s="2224"/>
      <c r="AF1475" s="2224"/>
      <c r="AG1475" s="2224"/>
      <c r="AH1475" s="156"/>
      <c r="AI1475" s="156"/>
      <c r="AJ1475" s="156"/>
      <c r="AK1475" s="156"/>
      <c r="AL1475" s="156"/>
      <c r="AM1475" s="156"/>
      <c r="AN1475" s="156"/>
      <c r="AO1475" s="156"/>
      <c r="AP1475" s="156"/>
      <c r="AQ1475" s="156"/>
      <c r="AR1475" s="156"/>
      <c r="AS1475" s="156"/>
      <c r="AT1475" s="156"/>
      <c r="AU1475" s="156"/>
      <c r="AV1475" s="156"/>
      <c r="AW1475" s="156"/>
      <c r="AX1475" s="156"/>
      <c r="AY1475" s="156"/>
      <c r="AZ1475" s="156"/>
      <c r="BA1475" s="156"/>
      <c r="BB1475" s="2828"/>
      <c r="BC1475" s="504"/>
      <c r="BD1475" s="2829"/>
      <c r="BE1475" s="2837"/>
      <c r="BF1475" s="156"/>
    </row>
    <row r="1476" spans="1:58" hidden="1" outlineLevel="1" x14ac:dyDescent="0.35">
      <c r="A1476" s="1071"/>
      <c r="B1476" s="106"/>
      <c r="C1476" s="103"/>
      <c r="D1476" s="4022"/>
      <c r="E1476" s="4111"/>
      <c r="F1476" s="4107" t="str">
        <f>$E$1430</f>
        <v>GSHP-EER23_ER1_SF</v>
      </c>
      <c r="G1476" s="4107"/>
      <c r="H1476" s="4107"/>
      <c r="I1476" s="1808"/>
      <c r="J1476" s="1840">
        <v>15.140400000000001</v>
      </c>
      <c r="K1476" s="682"/>
      <c r="L1476" s="4098"/>
      <c r="M1476" s="3058"/>
      <c r="N1476" s="3058"/>
      <c r="O1476" s="3058"/>
      <c r="P1476" s="292"/>
      <c r="Q1476" s="106"/>
      <c r="R1476" s="106"/>
      <c r="S1476" s="106"/>
      <c r="T1476" s="106"/>
      <c r="U1476" s="106"/>
      <c r="V1476" s="4022"/>
      <c r="W1476" s="2224"/>
      <c r="X1476" s="584"/>
      <c r="Y1476" s="2377"/>
      <c r="Z1476" s="579"/>
      <c r="AA1476" s="579"/>
      <c r="AB1476" s="1797">
        <v>15.140400000000001</v>
      </c>
      <c r="AC1476" s="1840">
        <v>15.140400000000001</v>
      </c>
      <c r="AD1476" s="1840">
        <v>15.140400000000001</v>
      </c>
      <c r="AE1476" s="2224"/>
      <c r="AF1476" s="2224"/>
      <c r="AG1476" s="2224"/>
      <c r="AH1476" s="156"/>
      <c r="AI1476" s="156"/>
      <c r="AJ1476" s="156"/>
      <c r="AK1476" s="156"/>
      <c r="AL1476" s="156"/>
      <c r="AM1476" s="156"/>
      <c r="AN1476" s="156"/>
      <c r="AO1476" s="156"/>
      <c r="AP1476" s="156"/>
      <c r="AQ1476" s="156"/>
      <c r="AR1476" s="156"/>
      <c r="AS1476" s="156"/>
      <c r="AT1476" s="156"/>
      <c r="AU1476" s="156"/>
      <c r="AV1476" s="156"/>
      <c r="AW1476" s="156"/>
      <c r="AX1476" s="156"/>
      <c r="AY1476" s="156"/>
      <c r="AZ1476" s="156"/>
      <c r="BA1476" s="156"/>
      <c r="BB1476" s="2828"/>
      <c r="BC1476" s="504"/>
      <c r="BD1476" s="2829"/>
      <c r="BE1476" s="2837"/>
      <c r="BF1476" s="156"/>
    </row>
    <row r="1477" spans="1:58" hidden="1" outlineLevel="1" x14ac:dyDescent="0.35">
      <c r="A1477" s="1071"/>
      <c r="B1477" s="106"/>
      <c r="C1477" s="103"/>
      <c r="D1477" s="4022"/>
      <c r="E1477" s="4111"/>
      <c r="F1477" s="3984" t="str">
        <f>$E$1432</f>
        <v>GSHP-EER23_ER2_SF</v>
      </c>
      <c r="G1477" s="3984"/>
      <c r="H1477" s="3984"/>
      <c r="I1477" s="2223"/>
      <c r="J1477" s="583">
        <v>15.140400000000001</v>
      </c>
      <c r="K1477" s="682"/>
      <c r="L1477" s="4113"/>
      <c r="M1477" s="3058"/>
      <c r="N1477" s="3058"/>
      <c r="O1477" s="3058"/>
      <c r="P1477" s="574"/>
      <c r="Q1477" s="106"/>
      <c r="R1477" s="106"/>
      <c r="S1477" s="106"/>
      <c r="T1477" s="106"/>
      <c r="U1477" s="106"/>
      <c r="V1477" s="4022"/>
      <c r="W1477" s="2224">
        <f>15.01/3.41</f>
        <v>4.4017595307917885</v>
      </c>
      <c r="X1477" s="584">
        <v>14.979294599999999</v>
      </c>
      <c r="Y1477" s="2377">
        <f>4.44*3.41</f>
        <v>15.140400000000001</v>
      </c>
      <c r="Z1477" s="579">
        <f t="shared" si="265"/>
        <v>15.140400000000001</v>
      </c>
      <c r="AA1477" s="579">
        <f t="shared" si="265"/>
        <v>15.140400000000001</v>
      </c>
      <c r="AB1477" s="583">
        <v>15.140400000000001</v>
      </c>
      <c r="AC1477" s="583">
        <v>15.140400000000001</v>
      </c>
      <c r="AD1477" s="583">
        <v>15.140400000000001</v>
      </c>
      <c r="AE1477" s="2224"/>
      <c r="AF1477" s="2224"/>
      <c r="AG1477" s="2224"/>
      <c r="AH1477" s="156"/>
      <c r="AI1477" s="156"/>
      <c r="AJ1477" s="156"/>
      <c r="AK1477" s="156"/>
      <c r="AL1477" s="156"/>
      <c r="AM1477" s="156"/>
      <c r="AN1477" s="156"/>
      <c r="AO1477" s="156"/>
      <c r="AP1477" s="156"/>
      <c r="AQ1477" s="156"/>
      <c r="AR1477" s="156"/>
      <c r="AS1477" s="156"/>
      <c r="AT1477" s="156"/>
      <c r="AU1477" s="156"/>
      <c r="AV1477" s="156"/>
      <c r="AW1477" s="156"/>
      <c r="AX1477" s="156"/>
      <c r="AY1477" s="156"/>
      <c r="AZ1477" s="156"/>
      <c r="BA1477" s="156"/>
      <c r="BB1477" s="2828"/>
      <c r="BC1477" s="504"/>
      <c r="BD1477" s="2829"/>
      <c r="BE1477" s="2837"/>
      <c r="BF1477" s="156"/>
    </row>
    <row r="1478" spans="1:58" ht="15" hidden="1" outlineLevel="1" thickBot="1" x14ac:dyDescent="0.4">
      <c r="A1478" s="1071"/>
      <c r="B1478" s="106"/>
      <c r="C1478" s="103"/>
      <c r="D1478" s="4104"/>
      <c r="E1478" s="4112"/>
      <c r="F1478" s="4106" t="str">
        <f>$E$1434</f>
        <v>GSHP-EER23_ROF_SF</v>
      </c>
      <c r="G1478" s="4106"/>
      <c r="H1478" s="4106"/>
      <c r="I1478" s="2226"/>
      <c r="J1478" s="2137">
        <v>15.140400000000001</v>
      </c>
      <c r="K1478" s="682"/>
      <c r="L1478" s="4114"/>
      <c r="M1478" s="3058"/>
      <c r="N1478" s="3058"/>
      <c r="O1478" s="3058"/>
      <c r="P1478" s="106"/>
      <c r="Q1478" s="106"/>
      <c r="R1478" s="106"/>
      <c r="S1478" s="106"/>
      <c r="T1478" s="106"/>
      <c r="U1478" s="106"/>
      <c r="V1478" s="4104"/>
      <c r="W1478" s="2224">
        <f>15.01/3.41</f>
        <v>4.4017595307917885</v>
      </c>
      <c r="X1478" s="584">
        <v>14.979294599999999</v>
      </c>
      <c r="Y1478" s="2377">
        <f>4.44*3.41</f>
        <v>15.140400000000001</v>
      </c>
      <c r="Z1478" s="579">
        <f t="shared" si="265"/>
        <v>15.140400000000001</v>
      </c>
      <c r="AA1478" s="579">
        <f t="shared" si="265"/>
        <v>15.140400000000001</v>
      </c>
      <c r="AB1478" s="2137">
        <v>15.140400000000001</v>
      </c>
      <c r="AC1478" s="2137">
        <v>15.140400000000001</v>
      </c>
      <c r="AD1478" s="2137">
        <v>15.140400000000001</v>
      </c>
      <c r="AE1478" s="2224"/>
      <c r="AF1478" s="2224"/>
      <c r="AG1478" s="2224"/>
      <c r="AH1478" s="156"/>
      <c r="AI1478" s="156"/>
      <c r="AJ1478" s="156"/>
      <c r="AK1478" s="156"/>
      <c r="AL1478" s="156"/>
      <c r="AM1478" s="156"/>
      <c r="AN1478" s="156"/>
      <c r="AO1478" s="156"/>
      <c r="AP1478" s="156"/>
      <c r="AQ1478" s="156"/>
      <c r="AR1478" s="156"/>
      <c r="AS1478" s="156"/>
      <c r="AT1478" s="156"/>
      <c r="AU1478" s="156"/>
      <c r="AV1478" s="156"/>
      <c r="AW1478" s="156"/>
      <c r="AX1478" s="156"/>
      <c r="AY1478" s="156"/>
      <c r="AZ1478" s="156"/>
      <c r="BA1478" s="156"/>
      <c r="BB1478" s="2828"/>
      <c r="BC1478" s="504"/>
      <c r="BD1478" s="2829"/>
      <c r="BE1478" s="2837"/>
      <c r="BF1478" s="156"/>
    </row>
    <row r="1479" spans="1:58" hidden="1" outlineLevel="1" x14ac:dyDescent="0.35">
      <c r="A1479" s="1071"/>
      <c r="B1479" s="106"/>
      <c r="C1479" s="103"/>
      <c r="D1479" s="4021" t="s">
        <v>1116</v>
      </c>
      <c r="E1479" s="4115" t="s">
        <v>1141</v>
      </c>
      <c r="F1479" s="4116" t="str">
        <f>$E$1423</f>
        <v>GSHP-EER23-Replace_CAC_ElectricHeat_ROF_SF</v>
      </c>
      <c r="G1479" s="4116"/>
      <c r="H1479" s="4116"/>
      <c r="I1479" s="2228"/>
      <c r="J1479" s="2789">
        <v>47729.729729729726</v>
      </c>
      <c r="K1479" s="2682">
        <f>J1480/12000</f>
        <v>3.8698630136986303</v>
      </c>
      <c r="L1479" s="4101" t="s">
        <v>4402</v>
      </c>
      <c r="M1479" s="3058"/>
      <c r="N1479" s="3058"/>
      <c r="O1479" s="3058"/>
      <c r="P1479" s="106"/>
      <c r="Q1479" s="106"/>
      <c r="R1479" s="106"/>
      <c r="S1479" s="106"/>
      <c r="T1479" s="106"/>
      <c r="U1479" s="106"/>
      <c r="V1479" s="4021" t="s">
        <v>1116</v>
      </c>
      <c r="W1479" s="2228">
        <v>52800.000000000007</v>
      </c>
      <c r="X1479" s="2376">
        <f>3.99*12000</f>
        <v>47880</v>
      </c>
      <c r="Y1479" s="2376">
        <f t="shared" ref="Y1479:AA1480" si="266">Y1456</f>
        <v>46320</v>
      </c>
      <c r="Z1479" s="2228">
        <f t="shared" si="266"/>
        <v>46320</v>
      </c>
      <c r="AA1479" s="2228">
        <f t="shared" si="266"/>
        <v>46320</v>
      </c>
      <c r="AB1479" s="1837">
        <v>49745.454545454544</v>
      </c>
      <c r="AC1479" s="1837">
        <v>46600</v>
      </c>
      <c r="AD1479" s="1837">
        <v>47729.729729729726</v>
      </c>
      <c r="AE1479" s="2228"/>
      <c r="AF1479" s="2228"/>
      <c r="AG1479" s="2228"/>
      <c r="AH1479" s="156"/>
      <c r="AI1479" s="156"/>
      <c r="AJ1479" s="156"/>
      <c r="AK1479" s="156"/>
      <c r="AL1479" s="156"/>
      <c r="AM1479" s="156"/>
      <c r="AN1479" s="156"/>
      <c r="AO1479" s="156"/>
      <c r="AP1479" s="156"/>
      <c r="AQ1479" s="156"/>
      <c r="AR1479" s="156"/>
      <c r="AS1479" s="156"/>
      <c r="AT1479" s="156"/>
      <c r="AU1479" s="156"/>
      <c r="AV1479" s="156"/>
      <c r="AW1479" s="156"/>
      <c r="AX1479" s="156"/>
      <c r="AY1479" s="156"/>
      <c r="AZ1479" s="156"/>
      <c r="BA1479" s="156"/>
      <c r="BB1479" s="2828"/>
      <c r="BC1479" s="504"/>
      <c r="BD1479" s="2829"/>
      <c r="BE1479" s="2837"/>
      <c r="BF1479" s="156"/>
    </row>
    <row r="1480" spans="1:58" hidden="1" outlineLevel="1" x14ac:dyDescent="0.35">
      <c r="A1480" s="1071"/>
      <c r="B1480" s="106"/>
      <c r="C1480" s="103"/>
      <c r="D1480" s="4022"/>
      <c r="E1480" s="4111"/>
      <c r="F1480" s="3984" t="str">
        <f>$E$1425</f>
        <v>GSHP-EER23-Replace_CAC_ElectricHeat_ER1_SF</v>
      </c>
      <c r="G1480" s="3984"/>
      <c r="H1480" s="3984"/>
      <c r="I1480" s="2224"/>
      <c r="J1480" s="2788">
        <v>46438.356164383564</v>
      </c>
      <c r="K1480" s="2680">
        <f>J1481/12000</f>
        <v>3.8698630136986303</v>
      </c>
      <c r="L1480" s="4102"/>
      <c r="M1480" s="3058"/>
      <c r="N1480" s="3058"/>
      <c r="O1480" s="3058"/>
      <c r="P1480" s="106"/>
      <c r="Q1480" s="106"/>
      <c r="R1480" s="106"/>
      <c r="S1480" s="106"/>
      <c r="T1480" s="106"/>
      <c r="U1480" s="106"/>
      <c r="V1480" s="4022"/>
      <c r="W1480" s="2224">
        <v>49199.999999999993</v>
      </c>
      <c r="X1480" s="2374">
        <f>3.99*12000</f>
        <v>47880</v>
      </c>
      <c r="Y1480" s="2374">
        <f t="shared" si="266"/>
        <v>46320</v>
      </c>
      <c r="Z1480" s="2224">
        <f t="shared" si="266"/>
        <v>46320</v>
      </c>
      <c r="AA1480" s="2224">
        <f t="shared" si="266"/>
        <v>46320</v>
      </c>
      <c r="AB1480" s="1837">
        <v>45750</v>
      </c>
      <c r="AC1480" s="1837">
        <v>48705.882352941175</v>
      </c>
      <c r="AD1480" s="1837">
        <v>46438.356164383564</v>
      </c>
      <c r="AE1480" s="2224"/>
      <c r="AF1480" s="2224"/>
      <c r="AG1480" s="2224"/>
      <c r="AH1480" s="156"/>
      <c r="AI1480" s="156"/>
      <c r="AJ1480" s="156"/>
      <c r="AK1480" s="156"/>
      <c r="AL1480" s="156"/>
      <c r="AM1480" s="156"/>
      <c r="AN1480" s="156"/>
      <c r="AO1480" s="156"/>
      <c r="AP1480" s="156"/>
      <c r="AQ1480" s="156"/>
      <c r="AR1480" s="156"/>
      <c r="AS1480" s="156"/>
      <c r="AT1480" s="156"/>
      <c r="AU1480" s="156"/>
      <c r="AV1480" s="156"/>
      <c r="AW1480" s="156"/>
      <c r="AX1480" s="156"/>
      <c r="AY1480" s="156"/>
      <c r="AZ1480" s="156"/>
      <c r="BA1480" s="156"/>
      <c r="BB1480" s="2828"/>
      <c r="BC1480" s="504"/>
      <c r="BD1480" s="2829"/>
      <c r="BE1480" s="2837"/>
      <c r="BF1480" s="156"/>
    </row>
    <row r="1481" spans="1:58" hidden="1" outlineLevel="1" x14ac:dyDescent="0.35">
      <c r="A1481" s="1071"/>
      <c r="B1481" s="106"/>
      <c r="C1481" s="103"/>
      <c r="D1481" s="4022"/>
      <c r="E1481" s="4111"/>
      <c r="F1481" s="3984" t="str">
        <f>$E$1427</f>
        <v>GSHP-EER23-Replace_CAC_ElectricHeat_ER2_SF</v>
      </c>
      <c r="G1481" s="3984"/>
      <c r="H1481" s="3984"/>
      <c r="I1481" s="2224"/>
      <c r="J1481" s="1796">
        <f>J1480</f>
        <v>46438.356164383564</v>
      </c>
      <c r="K1481" s="2680">
        <f>J1479/12000</f>
        <v>3.977477477477477</v>
      </c>
      <c r="L1481" s="4102"/>
      <c r="M1481" s="3058"/>
      <c r="N1481" s="3058"/>
      <c r="O1481" s="3058"/>
      <c r="P1481" s="106"/>
      <c r="Q1481" s="106"/>
      <c r="R1481" s="106"/>
      <c r="S1481" s="106"/>
      <c r="T1481" s="106"/>
      <c r="U1481" s="106"/>
      <c r="V1481" s="4022"/>
      <c r="W1481" s="2224">
        <v>49199.999999999993</v>
      </c>
      <c r="X1481" s="2374">
        <f>3.99*12000</f>
        <v>47880</v>
      </c>
      <c r="Y1481" s="2374">
        <f>Y1455</f>
        <v>47760</v>
      </c>
      <c r="Z1481" s="2224">
        <f>Z1455</f>
        <v>47760</v>
      </c>
      <c r="AA1481" s="2224">
        <f>AA1455</f>
        <v>47760</v>
      </c>
      <c r="AB1481" s="1796">
        <v>45750</v>
      </c>
      <c r="AC1481" s="1796">
        <v>48705.882352941175</v>
      </c>
      <c r="AD1481" s="1796">
        <v>46438.356164383564</v>
      </c>
      <c r="AE1481" s="2224"/>
      <c r="AF1481" s="2224"/>
      <c r="AG1481" s="2224"/>
      <c r="AH1481" s="156"/>
      <c r="AI1481" s="156"/>
      <c r="AJ1481" s="156"/>
      <c r="AK1481" s="156"/>
      <c r="AL1481" s="156"/>
      <c r="AM1481" s="156"/>
      <c r="AN1481" s="156"/>
      <c r="AO1481" s="156"/>
      <c r="AP1481" s="156"/>
      <c r="AQ1481" s="156"/>
      <c r="AR1481" s="156"/>
      <c r="AS1481" s="156"/>
      <c r="AT1481" s="156"/>
      <c r="AU1481" s="156"/>
      <c r="AV1481" s="156"/>
      <c r="AW1481" s="156"/>
      <c r="AX1481" s="156"/>
      <c r="AY1481" s="156"/>
      <c r="AZ1481" s="156"/>
      <c r="BA1481" s="156"/>
      <c r="BB1481" s="2828"/>
      <c r="BC1481" s="504"/>
      <c r="BD1481" s="2829"/>
      <c r="BE1481" s="2837"/>
      <c r="BF1481" s="156"/>
    </row>
    <row r="1482" spans="1:58" hidden="1" outlineLevel="1" x14ac:dyDescent="0.35">
      <c r="A1482" s="1071"/>
      <c r="B1482" s="106"/>
      <c r="C1482" s="103"/>
      <c r="D1482" s="4022"/>
      <c r="E1482" s="4111"/>
      <c r="F1482" s="3984" t="str">
        <f>$E$1429</f>
        <v>GSHP-EER23_ER1_SF</v>
      </c>
      <c r="G1482" s="3984"/>
      <c r="H1482" s="3984"/>
      <c r="I1482" s="2224"/>
      <c r="J1482" s="1796">
        <f>J1480</f>
        <v>46438.356164383564</v>
      </c>
      <c r="K1482" s="2680">
        <f>J1482/12000</f>
        <v>3.8698630136986303</v>
      </c>
      <c r="L1482" s="4102"/>
      <c r="M1482" s="3058"/>
      <c r="N1482" s="3058"/>
      <c r="O1482" s="3058"/>
      <c r="P1482" s="106"/>
      <c r="Q1482" s="106"/>
      <c r="R1482" s="106"/>
      <c r="S1482" s="106"/>
      <c r="T1482" s="106"/>
      <c r="U1482" s="106"/>
      <c r="V1482" s="4022"/>
      <c r="W1482" s="2224">
        <v>49199.999999999993</v>
      </c>
      <c r="X1482" s="2374">
        <f>3.99*12000</f>
        <v>47880</v>
      </c>
      <c r="Y1482" s="2374">
        <f>Y1459</f>
        <v>50400</v>
      </c>
      <c r="Z1482" s="2224">
        <f t="shared" ref="Z1482:AA1482" si="267">Z1459</f>
        <v>50400</v>
      </c>
      <c r="AA1482" s="2224">
        <f t="shared" si="267"/>
        <v>50400</v>
      </c>
      <c r="AB1482" s="1796">
        <v>51319.148936170212</v>
      </c>
      <c r="AC1482" s="1796">
        <v>48885.24590163934</v>
      </c>
      <c r="AD1482" s="1796">
        <v>46438.356164383564</v>
      </c>
      <c r="AE1482" s="2224"/>
      <c r="AF1482" s="2224"/>
      <c r="AG1482" s="2224"/>
      <c r="AH1482" s="156"/>
      <c r="AI1482" s="156"/>
      <c r="AJ1482" s="156"/>
      <c r="AK1482" s="156"/>
      <c r="AL1482" s="156"/>
      <c r="AM1482" s="156"/>
      <c r="AN1482" s="156"/>
      <c r="AO1482" s="156"/>
      <c r="AP1482" s="156"/>
      <c r="AQ1482" s="156"/>
      <c r="AR1482" s="156"/>
      <c r="AS1482" s="156"/>
      <c r="AT1482" s="156"/>
      <c r="AU1482" s="156"/>
      <c r="AV1482" s="156"/>
      <c r="AW1482" s="156"/>
      <c r="AX1482" s="156"/>
      <c r="AY1482" s="156"/>
      <c r="AZ1482" s="156"/>
      <c r="BA1482" s="156"/>
      <c r="BB1482" s="2828"/>
      <c r="BC1482" s="504"/>
      <c r="BD1482" s="2829"/>
      <c r="BE1482" s="2837"/>
      <c r="BF1482" s="156"/>
    </row>
    <row r="1483" spans="1:58" hidden="1" outlineLevel="1" x14ac:dyDescent="0.35">
      <c r="A1483" s="1071"/>
      <c r="B1483" s="106"/>
      <c r="C1483" s="103"/>
      <c r="D1483" s="4022"/>
      <c r="E1483" s="4111"/>
      <c r="F1483" s="4107" t="str">
        <f>$E$1431</f>
        <v>GSHP-EER23_ER2_SF</v>
      </c>
      <c r="G1483" s="4107"/>
      <c r="H1483" s="4107"/>
      <c r="I1483" s="2224"/>
      <c r="J1483" s="1796">
        <f>J1480</f>
        <v>46438.356164383564</v>
      </c>
      <c r="K1483" s="2680">
        <f>J1483/12000</f>
        <v>3.8698630136986303</v>
      </c>
      <c r="L1483" s="4102"/>
      <c r="M1483" s="3058"/>
      <c r="N1483" s="3058"/>
      <c r="O1483" s="3058"/>
      <c r="P1483" s="106"/>
      <c r="Q1483" s="106"/>
      <c r="R1483" s="106"/>
      <c r="S1483" s="106"/>
      <c r="T1483" s="106"/>
      <c r="U1483" s="106"/>
      <c r="V1483" s="4022"/>
      <c r="W1483" s="576"/>
      <c r="X1483" s="575"/>
      <c r="Y1483" s="575"/>
      <c r="Z1483" s="576"/>
      <c r="AA1483" s="576"/>
      <c r="AB1483" s="1824">
        <v>51319.148936170212</v>
      </c>
      <c r="AC1483" s="1824">
        <v>48885.24590163934</v>
      </c>
      <c r="AD1483" s="1824">
        <v>46438.356164383564</v>
      </c>
      <c r="AE1483" s="576"/>
      <c r="AF1483" s="576"/>
      <c r="AG1483" s="576"/>
      <c r="AH1483" s="156"/>
      <c r="AI1483" s="156"/>
      <c r="AJ1483" s="156"/>
      <c r="AK1483" s="156"/>
      <c r="AL1483" s="156"/>
      <c r="AM1483" s="156"/>
      <c r="AN1483" s="156"/>
      <c r="AO1483" s="156"/>
      <c r="AP1483" s="156"/>
      <c r="AQ1483" s="156"/>
      <c r="AR1483" s="156"/>
      <c r="AS1483" s="156"/>
      <c r="AT1483" s="156"/>
      <c r="AU1483" s="156"/>
      <c r="AV1483" s="156"/>
      <c r="AW1483" s="156"/>
      <c r="AX1483" s="156"/>
      <c r="AY1483" s="156"/>
      <c r="AZ1483" s="156"/>
      <c r="BA1483" s="156"/>
      <c r="BB1483" s="2828"/>
      <c r="BC1483" s="504"/>
      <c r="BD1483" s="2829"/>
      <c r="BE1483" s="2837"/>
      <c r="BF1483" s="156"/>
    </row>
    <row r="1484" spans="1:58" ht="15" hidden="1" outlineLevel="1" thickBot="1" x14ac:dyDescent="0.4">
      <c r="A1484" s="1071"/>
      <c r="B1484" s="106"/>
      <c r="C1484" s="103"/>
      <c r="D1484" s="4104"/>
      <c r="E1484" s="4112"/>
      <c r="F1484" s="3984" t="str">
        <f>$E$1433</f>
        <v>GSHP-EER23_ROF_SF</v>
      </c>
      <c r="G1484" s="3984"/>
      <c r="H1484" s="3984"/>
      <c r="I1484" s="2224"/>
      <c r="J1484" s="1823">
        <f>J1479</f>
        <v>47729.729729729726</v>
      </c>
      <c r="K1484" s="566">
        <f>J1484/12000</f>
        <v>3.977477477477477</v>
      </c>
      <c r="L1484" s="4103"/>
      <c r="M1484" s="3058"/>
      <c r="N1484" s="3058"/>
      <c r="O1484" s="3058"/>
      <c r="P1484" s="106"/>
      <c r="Q1484" s="106"/>
      <c r="R1484" s="106"/>
      <c r="S1484" s="106"/>
      <c r="T1484" s="106"/>
      <c r="U1484" s="106"/>
      <c r="V1484" s="4104"/>
      <c r="W1484" s="2227">
        <v>52800.000000000007</v>
      </c>
      <c r="X1484" s="2375">
        <f>3.99*12000</f>
        <v>47880</v>
      </c>
      <c r="Y1484" s="2375">
        <f>Y1460</f>
        <v>47160</v>
      </c>
      <c r="Z1484" s="2227">
        <f t="shared" ref="Z1484:AA1484" si="268">Z1460</f>
        <v>47160</v>
      </c>
      <c r="AA1484" s="2227">
        <f t="shared" si="268"/>
        <v>47160</v>
      </c>
      <c r="AB1484" s="1823">
        <v>51652.173913043473</v>
      </c>
      <c r="AC1484" s="1823">
        <v>49977.272727272728</v>
      </c>
      <c r="AD1484" s="1823">
        <v>47729.729729729726</v>
      </c>
      <c r="AE1484" s="2227"/>
      <c r="AF1484" s="2227"/>
      <c r="AG1484" s="2227"/>
      <c r="AH1484" s="156"/>
      <c r="AI1484" s="156"/>
      <c r="AJ1484" s="156"/>
      <c r="AK1484" s="156"/>
      <c r="AL1484" s="156"/>
      <c r="AM1484" s="156"/>
      <c r="AN1484" s="156"/>
      <c r="AO1484" s="156"/>
      <c r="AP1484" s="156"/>
      <c r="AQ1484" s="156"/>
      <c r="AR1484" s="156"/>
      <c r="AS1484" s="156"/>
      <c r="AT1484" s="156"/>
      <c r="AU1484" s="156"/>
      <c r="AV1484" s="156"/>
      <c r="AW1484" s="156"/>
      <c r="AX1484" s="156"/>
      <c r="AY1484" s="156"/>
      <c r="AZ1484" s="156"/>
      <c r="BA1484" s="156"/>
      <c r="BB1484" s="2828"/>
      <c r="BC1484" s="504"/>
      <c r="BD1484" s="2829"/>
      <c r="BE1484" s="2837"/>
      <c r="BF1484" s="156"/>
    </row>
    <row r="1485" spans="1:58" hidden="1" outlineLevel="1" x14ac:dyDescent="0.35">
      <c r="A1485" s="1071"/>
      <c r="B1485" s="106"/>
      <c r="C1485" s="103"/>
      <c r="D1485" s="4021" t="s">
        <v>1142</v>
      </c>
      <c r="E1485" s="4142" t="s">
        <v>1119</v>
      </c>
      <c r="F1485" s="4116" t="str">
        <f>$E$1423</f>
        <v>GSHP-EER23-Replace_CAC_ElectricHeat_ROF_SF</v>
      </c>
      <c r="G1485" s="4116"/>
      <c r="H1485" s="4116"/>
      <c r="I1485" s="2228"/>
      <c r="J1485" s="2228">
        <v>869</v>
      </c>
      <c r="K1485" s="680"/>
      <c r="L1485" s="4097" t="s">
        <v>977</v>
      </c>
      <c r="M1485" s="3058"/>
      <c r="N1485" s="3058"/>
      <c r="O1485" s="3058"/>
      <c r="P1485" s="106"/>
      <c r="Q1485" s="106"/>
      <c r="R1485" s="106"/>
      <c r="S1485" s="106"/>
      <c r="T1485" s="106"/>
      <c r="U1485" s="106"/>
      <c r="V1485" s="4021" t="s">
        <v>1142</v>
      </c>
      <c r="W1485" s="2228">
        <v>869</v>
      </c>
      <c r="X1485" s="2228">
        <v>869</v>
      </c>
      <c r="Y1485" s="2228">
        <v>869</v>
      </c>
      <c r="Z1485" s="2228">
        <v>869</v>
      </c>
      <c r="AA1485" s="2228">
        <v>869</v>
      </c>
      <c r="AB1485" s="2228">
        <v>869</v>
      </c>
      <c r="AC1485" s="2228">
        <v>869</v>
      </c>
      <c r="AD1485" s="2228">
        <v>869</v>
      </c>
      <c r="AE1485" s="2228"/>
      <c r="AF1485" s="2228"/>
      <c r="AG1485" s="2228"/>
      <c r="AH1485" s="156"/>
      <c r="AI1485" s="156"/>
      <c r="AJ1485" s="156"/>
      <c r="AK1485" s="156"/>
      <c r="AL1485" s="156"/>
      <c r="AM1485" s="156"/>
      <c r="AN1485" s="156"/>
      <c r="AO1485" s="156"/>
      <c r="AP1485" s="156"/>
      <c r="AQ1485" s="156"/>
      <c r="AR1485" s="156"/>
      <c r="AS1485" s="156"/>
      <c r="AT1485" s="156"/>
      <c r="AU1485" s="156"/>
      <c r="AV1485" s="156"/>
      <c r="AW1485" s="156"/>
      <c r="AX1485" s="156"/>
      <c r="AY1485" s="156"/>
      <c r="AZ1485" s="156"/>
      <c r="BA1485" s="156"/>
      <c r="BB1485" s="2828"/>
      <c r="BC1485" s="504"/>
      <c r="BD1485" s="2829"/>
      <c r="BE1485" s="2837"/>
      <c r="BF1485" s="156"/>
    </row>
    <row r="1486" spans="1:58" hidden="1" outlineLevel="1" x14ac:dyDescent="0.35">
      <c r="A1486" s="1071"/>
      <c r="B1486" s="106"/>
      <c r="C1486" s="103"/>
      <c r="D1486" s="4022"/>
      <c r="E1486" s="3804"/>
      <c r="F1486" s="3984" t="str">
        <f>$E$1425</f>
        <v>GSHP-EER23-Replace_CAC_ElectricHeat_ER1_SF</v>
      </c>
      <c r="G1486" s="3984"/>
      <c r="H1486" s="3984"/>
      <c r="I1486" s="2224"/>
      <c r="J1486" s="2224">
        <v>869</v>
      </c>
      <c r="K1486" s="675"/>
      <c r="L1486" s="4123"/>
      <c r="M1486" s="3058"/>
      <c r="N1486" s="3058"/>
      <c r="O1486" s="3058"/>
      <c r="P1486" s="106"/>
      <c r="Q1486" s="106"/>
      <c r="R1486" s="106"/>
      <c r="S1486" s="106"/>
      <c r="T1486" s="106"/>
      <c r="U1486" s="106"/>
      <c r="V1486" s="4022"/>
      <c r="W1486" s="2224">
        <v>869</v>
      </c>
      <c r="X1486" s="2224">
        <v>869</v>
      </c>
      <c r="Y1486" s="2224">
        <v>869</v>
      </c>
      <c r="Z1486" s="2224">
        <v>869</v>
      </c>
      <c r="AA1486" s="2224">
        <v>869</v>
      </c>
      <c r="AB1486" s="2224">
        <v>869</v>
      </c>
      <c r="AC1486" s="2224">
        <v>869</v>
      </c>
      <c r="AD1486" s="2224">
        <v>869</v>
      </c>
      <c r="AE1486" s="2224"/>
      <c r="AF1486" s="2224"/>
      <c r="AG1486" s="2224"/>
      <c r="AH1486" s="156"/>
      <c r="AI1486" s="156"/>
      <c r="AJ1486" s="156"/>
      <c r="AK1486" s="156"/>
      <c r="AL1486" s="156"/>
      <c r="AM1486" s="156"/>
      <c r="AN1486" s="156"/>
      <c r="AO1486" s="156"/>
      <c r="AP1486" s="156"/>
      <c r="AQ1486" s="156"/>
      <c r="AR1486" s="156"/>
      <c r="AS1486" s="156"/>
      <c r="AT1486" s="156"/>
      <c r="AU1486" s="156"/>
      <c r="AV1486" s="156"/>
      <c r="AW1486" s="156"/>
      <c r="AX1486" s="156"/>
      <c r="AY1486" s="156"/>
      <c r="AZ1486" s="156"/>
      <c r="BA1486" s="156"/>
      <c r="BB1486" s="2828"/>
      <c r="BC1486" s="504"/>
      <c r="BD1486" s="2829"/>
      <c r="BE1486" s="2837"/>
      <c r="BF1486" s="156"/>
    </row>
    <row r="1487" spans="1:58" hidden="1" outlineLevel="1" x14ac:dyDescent="0.35">
      <c r="A1487" s="1071"/>
      <c r="B1487" s="106"/>
      <c r="C1487" s="103"/>
      <c r="D1487" s="4022"/>
      <c r="E1487" s="3804"/>
      <c r="F1487" s="3984" t="str">
        <f>$E$1427</f>
        <v>GSHP-EER23-Replace_CAC_ElectricHeat_ER2_SF</v>
      </c>
      <c r="G1487" s="3984"/>
      <c r="H1487" s="3984"/>
      <c r="I1487" s="2224"/>
      <c r="J1487" s="2224">
        <v>869</v>
      </c>
      <c r="K1487" s="675"/>
      <c r="L1487" s="4123"/>
      <c r="M1487" s="3058"/>
      <c r="N1487" s="3058"/>
      <c r="O1487" s="3058"/>
      <c r="P1487" s="106"/>
      <c r="Q1487" s="106"/>
      <c r="R1487" s="106"/>
      <c r="S1487" s="106"/>
      <c r="T1487" s="106"/>
      <c r="U1487" s="106"/>
      <c r="V1487" s="4022"/>
      <c r="W1487" s="2224">
        <v>869</v>
      </c>
      <c r="X1487" s="2224">
        <v>869</v>
      </c>
      <c r="Y1487" s="2224">
        <v>869</v>
      </c>
      <c r="Z1487" s="2224">
        <v>869</v>
      </c>
      <c r="AA1487" s="2224">
        <v>869</v>
      </c>
      <c r="AB1487" s="2224">
        <v>869</v>
      </c>
      <c r="AC1487" s="2224">
        <v>869</v>
      </c>
      <c r="AD1487" s="2224">
        <v>869</v>
      </c>
      <c r="AE1487" s="2224"/>
      <c r="AF1487" s="2224"/>
      <c r="AG1487" s="2224"/>
      <c r="AH1487" s="156"/>
      <c r="AI1487" s="156"/>
      <c r="AJ1487" s="156"/>
      <c r="AK1487" s="156"/>
      <c r="AL1487" s="156"/>
      <c r="AM1487" s="156"/>
      <c r="AN1487" s="156"/>
      <c r="AO1487" s="156"/>
      <c r="AP1487" s="156"/>
      <c r="AQ1487" s="156"/>
      <c r="AR1487" s="156"/>
      <c r="AS1487" s="156"/>
      <c r="AT1487" s="156"/>
      <c r="AU1487" s="156"/>
      <c r="AV1487" s="156"/>
      <c r="AW1487" s="156"/>
      <c r="AX1487" s="156"/>
      <c r="AY1487" s="156"/>
      <c r="AZ1487" s="156"/>
      <c r="BA1487" s="156"/>
      <c r="BB1487" s="2828"/>
      <c r="BC1487" s="504"/>
      <c r="BD1487" s="2829"/>
      <c r="BE1487" s="2837"/>
      <c r="BF1487" s="156"/>
    </row>
    <row r="1488" spans="1:58" hidden="1" outlineLevel="1" x14ac:dyDescent="0.35">
      <c r="A1488" s="1071"/>
      <c r="B1488" s="106"/>
      <c r="C1488" s="103"/>
      <c r="D1488" s="4022"/>
      <c r="E1488" s="3804"/>
      <c r="F1488" s="3984" t="str">
        <f>$E$1429</f>
        <v>GSHP-EER23_ER1_SF</v>
      </c>
      <c r="G1488" s="3984"/>
      <c r="H1488" s="3984"/>
      <c r="I1488" s="2224"/>
      <c r="J1488" s="2224">
        <v>869</v>
      </c>
      <c r="K1488" s="675"/>
      <c r="L1488" s="4123"/>
      <c r="M1488" s="3058"/>
      <c r="N1488" s="3058"/>
      <c r="O1488" s="3058"/>
      <c r="P1488" s="106"/>
      <c r="Q1488" s="106"/>
      <c r="R1488" s="106"/>
      <c r="S1488" s="106"/>
      <c r="T1488" s="106"/>
      <c r="U1488" s="106"/>
      <c r="V1488" s="4022"/>
      <c r="W1488" s="2224">
        <v>869</v>
      </c>
      <c r="X1488" s="2224">
        <v>869</v>
      </c>
      <c r="Y1488" s="2224">
        <v>869</v>
      </c>
      <c r="Z1488" s="2224">
        <v>869</v>
      </c>
      <c r="AA1488" s="2224">
        <v>869</v>
      </c>
      <c r="AB1488" s="2224">
        <v>869</v>
      </c>
      <c r="AC1488" s="2224">
        <v>869</v>
      </c>
      <c r="AD1488" s="2224">
        <v>869</v>
      </c>
      <c r="AE1488" s="2224"/>
      <c r="AF1488" s="2224"/>
      <c r="AG1488" s="2224"/>
      <c r="AH1488" s="156"/>
      <c r="AI1488" s="156"/>
      <c r="AJ1488" s="156"/>
      <c r="AK1488" s="156"/>
      <c r="AL1488" s="156"/>
      <c r="AM1488" s="156"/>
      <c r="AN1488" s="156"/>
      <c r="AO1488" s="156"/>
      <c r="AP1488" s="156"/>
      <c r="AQ1488" s="156"/>
      <c r="AR1488" s="156"/>
      <c r="AS1488" s="156"/>
      <c r="AT1488" s="156"/>
      <c r="AU1488" s="156"/>
      <c r="AV1488" s="156"/>
      <c r="AW1488" s="156"/>
      <c r="AX1488" s="156"/>
      <c r="AY1488" s="156"/>
      <c r="AZ1488" s="156"/>
      <c r="BA1488" s="156"/>
      <c r="BB1488" s="2828"/>
      <c r="BC1488" s="504"/>
      <c r="BD1488" s="2829"/>
      <c r="BE1488" s="2837"/>
      <c r="BF1488" s="156"/>
    </row>
    <row r="1489" spans="1:58" hidden="1" outlineLevel="1" x14ac:dyDescent="0.35">
      <c r="A1489" s="1071"/>
      <c r="B1489" s="106"/>
      <c r="C1489" s="103"/>
      <c r="D1489" s="4022"/>
      <c r="E1489" s="3804"/>
      <c r="F1489" s="4107" t="str">
        <f>$E$1431</f>
        <v>GSHP-EER23_ER2_SF</v>
      </c>
      <c r="G1489" s="4107"/>
      <c r="H1489" s="4107"/>
      <c r="I1489" s="2222"/>
      <c r="J1489" s="2079">
        <v>869</v>
      </c>
      <c r="K1489" s="675"/>
      <c r="L1489" s="4123"/>
      <c r="M1489" s="3058"/>
      <c r="N1489" s="3058"/>
      <c r="O1489" s="3058"/>
      <c r="P1489" s="106"/>
      <c r="Q1489" s="106"/>
      <c r="R1489" s="106"/>
      <c r="S1489" s="106"/>
      <c r="T1489" s="106"/>
      <c r="U1489" s="106"/>
      <c r="V1489" s="4022"/>
      <c r="W1489" s="2224"/>
      <c r="X1489" s="2224"/>
      <c r="Y1489" s="2224"/>
      <c r="Z1489" s="2224"/>
      <c r="AA1489" s="2224"/>
      <c r="AB1489" s="1826">
        <v>869</v>
      </c>
      <c r="AC1489" s="2079">
        <v>869</v>
      </c>
      <c r="AD1489" s="2079">
        <v>869</v>
      </c>
      <c r="AE1489" s="2224"/>
      <c r="AF1489" s="2224"/>
      <c r="AG1489" s="2224"/>
      <c r="AH1489" s="156"/>
      <c r="AI1489" s="156"/>
      <c r="AJ1489" s="156"/>
      <c r="AK1489" s="156"/>
      <c r="AL1489" s="156"/>
      <c r="AM1489" s="156"/>
      <c r="AN1489" s="156"/>
      <c r="AO1489" s="156"/>
      <c r="AP1489" s="156"/>
      <c r="AQ1489" s="156"/>
      <c r="AR1489" s="156"/>
      <c r="AS1489" s="156"/>
      <c r="AT1489" s="156"/>
      <c r="AU1489" s="156"/>
      <c r="AV1489" s="156"/>
      <c r="AW1489" s="156"/>
      <c r="AX1489" s="156"/>
      <c r="AY1489" s="156"/>
      <c r="AZ1489" s="156"/>
      <c r="BA1489" s="156"/>
      <c r="BB1489" s="2828"/>
      <c r="BC1489" s="504"/>
      <c r="BD1489" s="2829"/>
      <c r="BE1489" s="2837"/>
      <c r="BF1489" s="156"/>
    </row>
    <row r="1490" spans="1:58" ht="15" hidden="1" outlineLevel="1" thickBot="1" x14ac:dyDescent="0.4">
      <c r="A1490" s="1071"/>
      <c r="B1490" s="106"/>
      <c r="C1490" s="103"/>
      <c r="D1490" s="4022"/>
      <c r="E1490" s="3804"/>
      <c r="F1490" s="3984" t="str">
        <f>$E$1433</f>
        <v>GSHP-EER23_ROF_SF</v>
      </c>
      <c r="G1490" s="3984"/>
      <c r="H1490" s="3984"/>
      <c r="I1490" s="2224"/>
      <c r="J1490" s="2224">
        <v>869</v>
      </c>
      <c r="K1490" s="675"/>
      <c r="L1490" s="4124"/>
      <c r="M1490" s="3058"/>
      <c r="N1490" s="3058"/>
      <c r="O1490" s="3058"/>
      <c r="P1490" s="106"/>
      <c r="Q1490" s="106"/>
      <c r="R1490" s="106"/>
      <c r="S1490" s="106"/>
      <c r="T1490" s="106"/>
      <c r="U1490" s="106"/>
      <c r="V1490" s="4022"/>
      <c r="W1490" s="2224">
        <v>869</v>
      </c>
      <c r="X1490" s="2224">
        <v>869</v>
      </c>
      <c r="Y1490" s="2224">
        <v>869</v>
      </c>
      <c r="Z1490" s="2224">
        <v>869</v>
      </c>
      <c r="AA1490" s="2224">
        <v>869</v>
      </c>
      <c r="AB1490" s="2224">
        <v>869</v>
      </c>
      <c r="AC1490" s="2224">
        <v>869</v>
      </c>
      <c r="AD1490" s="2224">
        <v>869</v>
      </c>
      <c r="AE1490" s="2224"/>
      <c r="AF1490" s="2224"/>
      <c r="AG1490" s="2224"/>
      <c r="AH1490" s="156"/>
      <c r="AI1490" s="156"/>
      <c r="AJ1490" s="156"/>
      <c r="AK1490" s="156"/>
      <c r="AL1490" s="156"/>
      <c r="AM1490" s="156"/>
      <c r="AN1490" s="156"/>
      <c r="AO1490" s="156"/>
      <c r="AP1490" s="156"/>
      <c r="AQ1490" s="156"/>
      <c r="AR1490" s="156"/>
      <c r="AS1490" s="156"/>
      <c r="AT1490" s="156"/>
      <c r="AU1490" s="156"/>
      <c r="AV1490" s="156"/>
      <c r="AW1490" s="156"/>
      <c r="AX1490" s="156"/>
      <c r="AY1490" s="156"/>
      <c r="AZ1490" s="156"/>
      <c r="BA1490" s="156"/>
      <c r="BB1490" s="2828"/>
      <c r="BC1490" s="504"/>
      <c r="BD1490" s="2829"/>
      <c r="BE1490" s="2837"/>
      <c r="BF1490" s="156"/>
    </row>
    <row r="1491" spans="1:58" hidden="1" outlineLevel="1" x14ac:dyDescent="0.35">
      <c r="A1491" s="1071"/>
      <c r="B1491" s="106"/>
      <c r="C1491" s="103"/>
      <c r="D1491" s="4021" t="s">
        <v>1143</v>
      </c>
      <c r="E1491" s="4142" t="s">
        <v>1121</v>
      </c>
      <c r="F1491" s="4117" t="str">
        <f>$E$1423</f>
        <v>GSHP-EER23-Replace_CAC_ElectricHeat_ROF_SF</v>
      </c>
      <c r="G1491" s="4118"/>
      <c r="H1491" s="4119"/>
      <c r="I1491" s="2228"/>
      <c r="J1491" s="3083">
        <v>14.1</v>
      </c>
      <c r="K1491" s="680"/>
      <c r="L1491" s="3059" t="s">
        <v>971</v>
      </c>
      <c r="M1491" s="3058"/>
      <c r="N1491" s="3058"/>
      <c r="O1491" s="3058"/>
      <c r="P1491" s="106"/>
      <c r="Q1491" s="106"/>
      <c r="R1491" s="106"/>
      <c r="S1491" s="106"/>
      <c r="T1491" s="106"/>
      <c r="U1491" s="106"/>
      <c r="V1491" s="4021" t="s">
        <v>1143</v>
      </c>
      <c r="W1491" s="2228">
        <v>13</v>
      </c>
      <c r="X1491" s="679">
        <v>14.1</v>
      </c>
      <c r="Y1491" s="678">
        <v>14.1</v>
      </c>
      <c r="Z1491" s="678">
        <v>14.1</v>
      </c>
      <c r="AA1491" s="678">
        <v>14.1</v>
      </c>
      <c r="AB1491" s="678">
        <v>14.1</v>
      </c>
      <c r="AC1491" s="678">
        <v>14.1</v>
      </c>
      <c r="AD1491" s="3083">
        <v>14.1</v>
      </c>
      <c r="AE1491" s="2228"/>
      <c r="AF1491" s="2228"/>
      <c r="AG1491" s="2228"/>
      <c r="AH1491" s="156"/>
      <c r="AI1491" s="156"/>
      <c r="AJ1491" s="156"/>
      <c r="AK1491" s="156"/>
      <c r="AL1491" s="156"/>
      <c r="AM1491" s="156"/>
      <c r="AN1491" s="156"/>
      <c r="AO1491" s="156"/>
      <c r="AP1491" s="156"/>
      <c r="AQ1491" s="156"/>
      <c r="AR1491" s="156"/>
      <c r="AS1491" s="156"/>
      <c r="AT1491" s="156"/>
      <c r="AU1491" s="156"/>
      <c r="AV1491" s="156"/>
      <c r="AW1491" s="156"/>
      <c r="AX1491" s="156"/>
      <c r="AY1491" s="156"/>
      <c r="AZ1491" s="156"/>
      <c r="BA1491" s="156"/>
      <c r="BB1491" s="2828"/>
      <c r="BC1491" s="504"/>
      <c r="BD1491" s="2829"/>
      <c r="BE1491" s="2837"/>
      <c r="BF1491" s="156"/>
    </row>
    <row r="1492" spans="1:58" hidden="1" outlineLevel="1" x14ac:dyDescent="0.35">
      <c r="A1492" s="1071"/>
      <c r="B1492" s="106"/>
      <c r="C1492" s="103"/>
      <c r="D1492" s="4022"/>
      <c r="E1492" s="4143"/>
      <c r="F1492" s="4120" t="str">
        <f>$E$1425</f>
        <v>GSHP-EER23-Replace_CAC_ElectricHeat_ER1_SF</v>
      </c>
      <c r="G1492" s="4121"/>
      <c r="H1492" s="4122"/>
      <c r="I1492" s="2224"/>
      <c r="J1492" s="3084">
        <v>6.3407685330503476</v>
      </c>
      <c r="K1492" s="675"/>
      <c r="L1492" s="3060" t="s">
        <v>4251</v>
      </c>
      <c r="M1492" s="3058"/>
      <c r="N1492" s="3058"/>
      <c r="O1492" s="3058"/>
      <c r="P1492" s="106"/>
      <c r="Q1492" s="106"/>
      <c r="R1492" s="106"/>
      <c r="S1492" s="106"/>
      <c r="T1492" s="106"/>
      <c r="U1492" s="106"/>
      <c r="V1492" s="4022"/>
      <c r="W1492" s="2224">
        <v>6.8</v>
      </c>
      <c r="X1492" s="2374">
        <v>6.54</v>
      </c>
      <c r="Y1492" s="2224">
        <v>6.54</v>
      </c>
      <c r="Z1492" s="2224">
        <v>6.54</v>
      </c>
      <c r="AA1492" s="2224">
        <v>6.54</v>
      </c>
      <c r="AB1492" s="2224">
        <v>6.54</v>
      </c>
      <c r="AC1492" s="584">
        <v>6.3407685330503476</v>
      </c>
      <c r="AD1492" s="3084">
        <v>6.3407685330503476</v>
      </c>
      <c r="AE1492" s="2224"/>
      <c r="AF1492" s="2224"/>
      <c r="AG1492" s="2224"/>
      <c r="AH1492" s="156"/>
      <c r="AI1492" s="156"/>
      <c r="AJ1492" s="156"/>
      <c r="AK1492" s="156"/>
      <c r="AL1492" s="156"/>
      <c r="AM1492" s="156"/>
      <c r="AN1492" s="156"/>
      <c r="AO1492" s="156"/>
      <c r="AP1492" s="156"/>
      <c r="AQ1492" s="156"/>
      <c r="AR1492" s="156"/>
      <c r="AS1492" s="156"/>
      <c r="AT1492" s="156"/>
      <c r="AU1492" s="156"/>
      <c r="AV1492" s="156"/>
      <c r="AW1492" s="156"/>
      <c r="AX1492" s="156"/>
      <c r="AY1492" s="156"/>
      <c r="AZ1492" s="156"/>
      <c r="BA1492" s="156"/>
      <c r="BB1492" s="2828"/>
      <c r="BC1492" s="504"/>
      <c r="BD1492" s="2829"/>
      <c r="BE1492" s="2837"/>
      <c r="BF1492" s="156"/>
    </row>
    <row r="1493" spans="1:58" hidden="1" outlineLevel="1" x14ac:dyDescent="0.35">
      <c r="A1493" s="1071"/>
      <c r="B1493" s="106"/>
      <c r="C1493" s="103"/>
      <c r="D1493" s="4022"/>
      <c r="E1493" s="4143"/>
      <c r="F1493" s="4120" t="str">
        <f>$E$1427</f>
        <v>GSHP-EER23-Replace_CAC_ElectricHeat_ER2_SF</v>
      </c>
      <c r="G1493" s="4121"/>
      <c r="H1493" s="4122"/>
      <c r="I1493" s="2224"/>
      <c r="J1493" s="2952">
        <v>14.1</v>
      </c>
      <c r="K1493" s="675"/>
      <c r="L1493" s="3060" t="s">
        <v>971</v>
      </c>
      <c r="M1493" s="3058"/>
      <c r="N1493" s="3058"/>
      <c r="O1493" s="3058"/>
      <c r="P1493" s="106"/>
      <c r="Q1493" s="106"/>
      <c r="R1493" s="106"/>
      <c r="S1493" s="106"/>
      <c r="T1493" s="106"/>
      <c r="U1493" s="106"/>
      <c r="V1493" s="4022"/>
      <c r="W1493" s="2224">
        <v>13</v>
      </c>
      <c r="X1493" s="2374">
        <v>14.1</v>
      </c>
      <c r="Y1493" s="2224">
        <v>14.1</v>
      </c>
      <c r="Z1493" s="2224">
        <v>14.1</v>
      </c>
      <c r="AA1493" s="2224">
        <v>14.1</v>
      </c>
      <c r="AB1493" s="2224">
        <v>14.1</v>
      </c>
      <c r="AC1493" s="2224">
        <v>14.1</v>
      </c>
      <c r="AD1493" s="2952">
        <v>14.1</v>
      </c>
      <c r="AE1493" s="2224"/>
      <c r="AF1493" s="2224"/>
      <c r="AG1493" s="2224"/>
      <c r="AH1493" s="156"/>
      <c r="AI1493" s="156"/>
      <c r="AJ1493" s="156"/>
      <c r="AK1493" s="156"/>
      <c r="AL1493" s="156"/>
      <c r="AM1493" s="156"/>
      <c r="AN1493" s="156"/>
      <c r="AO1493" s="156"/>
      <c r="AP1493" s="156"/>
      <c r="AQ1493" s="156"/>
      <c r="AR1493" s="156"/>
      <c r="AS1493" s="156"/>
      <c r="AT1493" s="156"/>
      <c r="AU1493" s="156"/>
      <c r="AV1493" s="156"/>
      <c r="AW1493" s="156"/>
      <c r="AX1493" s="156"/>
      <c r="AY1493" s="156"/>
      <c r="AZ1493" s="156"/>
      <c r="BA1493" s="156"/>
      <c r="BB1493" s="2828"/>
      <c r="BC1493" s="504"/>
      <c r="BD1493" s="2829"/>
      <c r="BE1493" s="2837"/>
      <c r="BF1493" s="156"/>
    </row>
    <row r="1494" spans="1:58" hidden="1" outlineLevel="1" x14ac:dyDescent="0.35">
      <c r="A1494" s="1071"/>
      <c r="B1494" s="106"/>
      <c r="C1494" s="103"/>
      <c r="D1494" s="4022"/>
      <c r="E1494" s="4143"/>
      <c r="F1494" s="4120" t="str">
        <f>$E$1429</f>
        <v>GSHP-EER23_ER1_SF</v>
      </c>
      <c r="G1494" s="4121"/>
      <c r="H1494" s="4122"/>
      <c r="I1494" s="2224"/>
      <c r="J1494" s="3086">
        <v>8.09</v>
      </c>
      <c r="K1494" s="675"/>
      <c r="L1494" s="3082" t="s">
        <v>4402</v>
      </c>
      <c r="M1494" s="3058"/>
      <c r="N1494" s="3058"/>
      <c r="O1494" s="3058"/>
      <c r="P1494" s="106"/>
      <c r="Q1494" s="106"/>
      <c r="R1494" s="106"/>
      <c r="S1494" s="106"/>
      <c r="T1494" s="106"/>
      <c r="U1494" s="106"/>
      <c r="V1494" s="4022"/>
      <c r="W1494" s="2224">
        <v>6.8</v>
      </c>
      <c r="X1494" s="2374">
        <v>12</v>
      </c>
      <c r="Y1494" s="2224">
        <v>12</v>
      </c>
      <c r="Z1494" s="2224">
        <v>12</v>
      </c>
      <c r="AA1494" s="2224">
        <v>12</v>
      </c>
      <c r="AB1494" s="2224">
        <v>12</v>
      </c>
      <c r="AC1494" s="584">
        <v>9.0644192432638082</v>
      </c>
      <c r="AD1494" s="3086">
        <v>8.09</v>
      </c>
      <c r="AE1494" s="2224"/>
      <c r="AF1494" s="2224"/>
      <c r="AG1494" s="2224"/>
      <c r="AH1494" s="156"/>
      <c r="AI1494" s="156"/>
      <c r="AJ1494" s="156"/>
      <c r="AK1494" s="156"/>
      <c r="AL1494" s="156"/>
      <c r="AM1494" s="156"/>
      <c r="AN1494" s="156"/>
      <c r="AO1494" s="156"/>
      <c r="AP1494" s="156"/>
      <c r="AQ1494" s="156"/>
      <c r="AR1494" s="156"/>
      <c r="AS1494" s="156"/>
      <c r="AT1494" s="156"/>
      <c r="AU1494" s="156"/>
      <c r="AV1494" s="156"/>
      <c r="AW1494" s="156"/>
      <c r="AX1494" s="156"/>
      <c r="AY1494" s="156"/>
      <c r="AZ1494" s="156"/>
      <c r="BA1494" s="156"/>
      <c r="BB1494" s="2828"/>
      <c r="BC1494" s="504"/>
      <c r="BD1494" s="2829"/>
      <c r="BE1494" s="2837"/>
      <c r="BF1494" s="156"/>
    </row>
    <row r="1495" spans="1:58" hidden="1" outlineLevel="1" x14ac:dyDescent="0.35">
      <c r="A1495" s="1071"/>
      <c r="B1495" s="106"/>
      <c r="C1495" s="103"/>
      <c r="D1495" s="4022"/>
      <c r="E1495" s="4143"/>
      <c r="F1495" s="4157" t="str">
        <f>$E$1431</f>
        <v>GSHP-EER23_ER2_SF</v>
      </c>
      <c r="G1495" s="4158"/>
      <c r="H1495" s="4159"/>
      <c r="I1495" s="2222"/>
      <c r="J1495" s="3085">
        <v>12</v>
      </c>
      <c r="K1495" s="1291"/>
      <c r="L1495" s="3060" t="s">
        <v>971</v>
      </c>
      <c r="M1495" s="3058"/>
      <c r="N1495" s="3058"/>
      <c r="O1495" s="3058"/>
      <c r="P1495" s="106"/>
      <c r="Q1495" s="106"/>
      <c r="R1495" s="106"/>
      <c r="S1495" s="106"/>
      <c r="T1495" s="106"/>
      <c r="U1495" s="106"/>
      <c r="V1495" s="4022"/>
      <c r="W1495" s="2224"/>
      <c r="X1495" s="2374"/>
      <c r="Y1495" s="2224"/>
      <c r="Z1495" s="2224"/>
      <c r="AA1495" s="2224"/>
      <c r="AB1495" s="1826">
        <v>12</v>
      </c>
      <c r="AC1495" s="2079">
        <v>12</v>
      </c>
      <c r="AD1495" s="3085">
        <v>12</v>
      </c>
      <c r="AE1495" s="2224"/>
      <c r="AF1495" s="2224"/>
      <c r="AG1495" s="2224"/>
      <c r="AH1495" s="156"/>
      <c r="AI1495" s="156"/>
      <c r="AJ1495" s="156"/>
      <c r="AK1495" s="156"/>
      <c r="AL1495" s="156"/>
      <c r="AM1495" s="156"/>
      <c r="AN1495" s="156"/>
      <c r="AO1495" s="156"/>
      <c r="AP1495" s="156"/>
      <c r="AQ1495" s="156"/>
      <c r="AR1495" s="156"/>
      <c r="AS1495" s="156"/>
      <c r="AT1495" s="156"/>
      <c r="AU1495" s="156"/>
      <c r="AV1495" s="156"/>
      <c r="AW1495" s="156"/>
      <c r="AX1495" s="156"/>
      <c r="AY1495" s="156"/>
      <c r="AZ1495" s="156"/>
      <c r="BA1495" s="156"/>
      <c r="BB1495" s="2828"/>
      <c r="BC1495" s="504"/>
      <c r="BD1495" s="2829"/>
      <c r="BE1495" s="2837"/>
      <c r="BF1495" s="156"/>
    </row>
    <row r="1496" spans="1:58" ht="15" hidden="1" outlineLevel="1" thickBot="1" x14ac:dyDescent="0.4">
      <c r="A1496" s="1071"/>
      <c r="B1496" s="106"/>
      <c r="C1496" s="103"/>
      <c r="D1496" s="4022"/>
      <c r="E1496" s="4143"/>
      <c r="F1496" s="4125" t="str">
        <f>$E$1433</f>
        <v>GSHP-EER23_ROF_SF</v>
      </c>
      <c r="G1496" s="4126"/>
      <c r="H1496" s="4127"/>
      <c r="I1496" s="2224"/>
      <c r="J1496" s="2952">
        <v>14.1</v>
      </c>
      <c r="K1496" s="675"/>
      <c r="L1496" s="3061" t="s">
        <v>971</v>
      </c>
      <c r="M1496" s="3058"/>
      <c r="N1496" s="3058"/>
      <c r="O1496" s="3058"/>
      <c r="P1496" s="106"/>
      <c r="Q1496" s="106"/>
      <c r="R1496" s="106"/>
      <c r="S1496" s="106"/>
      <c r="T1496" s="106"/>
      <c r="U1496" s="106"/>
      <c r="V1496" s="4022"/>
      <c r="W1496" s="2224">
        <v>14.1</v>
      </c>
      <c r="X1496" s="2374">
        <v>14.1</v>
      </c>
      <c r="Y1496" s="2224">
        <v>14.1</v>
      </c>
      <c r="Z1496" s="2224">
        <v>14.1</v>
      </c>
      <c r="AA1496" s="2224">
        <v>14.1</v>
      </c>
      <c r="AB1496" s="2224">
        <v>14.1</v>
      </c>
      <c r="AC1496" s="2224">
        <v>14.1</v>
      </c>
      <c r="AD1496" s="2952">
        <v>14.1</v>
      </c>
      <c r="AE1496" s="2224"/>
      <c r="AF1496" s="2224"/>
      <c r="AG1496" s="2224"/>
      <c r="AH1496" s="156"/>
      <c r="AI1496" s="156"/>
      <c r="AJ1496" s="156"/>
      <c r="AK1496" s="156"/>
      <c r="AL1496" s="156"/>
      <c r="AM1496" s="156"/>
      <c r="AN1496" s="156"/>
      <c r="AO1496" s="156"/>
      <c r="AP1496" s="156"/>
      <c r="AQ1496" s="156"/>
      <c r="AR1496" s="156"/>
      <c r="AS1496" s="156"/>
      <c r="AT1496" s="156"/>
      <c r="AU1496" s="156"/>
      <c r="AV1496" s="156"/>
      <c r="AW1496" s="156"/>
      <c r="AX1496" s="156"/>
      <c r="AY1496" s="156"/>
      <c r="AZ1496" s="156"/>
      <c r="BA1496" s="156"/>
      <c r="BB1496" s="2828"/>
      <c r="BC1496" s="504"/>
      <c r="BD1496" s="2829"/>
      <c r="BE1496" s="2837"/>
      <c r="BF1496" s="156"/>
    </row>
    <row r="1497" spans="1:58" hidden="1" outlineLevel="1" x14ac:dyDescent="0.35">
      <c r="A1497" s="1071"/>
      <c r="B1497" s="106"/>
      <c r="C1497" s="103"/>
      <c r="D1497" s="4021" t="s">
        <v>978</v>
      </c>
      <c r="E1497" s="4142" t="s">
        <v>1144</v>
      </c>
      <c r="F1497" s="4116" t="str">
        <f>$E$1423</f>
        <v>GSHP-EER23-Replace_CAC_ElectricHeat_ROF_SF</v>
      </c>
      <c r="G1497" s="4116"/>
      <c r="H1497" s="4116"/>
      <c r="I1497" s="2228"/>
      <c r="J1497" s="2783">
        <v>28.98</v>
      </c>
      <c r="K1497" s="2080"/>
      <c r="L1497" s="4101" t="s">
        <v>4402</v>
      </c>
      <c r="M1497" s="3058"/>
      <c r="N1497" s="3058"/>
      <c r="O1497" s="3058"/>
      <c r="P1497" s="106"/>
      <c r="Q1497" s="106"/>
      <c r="R1497" s="106"/>
      <c r="S1497" s="106"/>
      <c r="T1497" s="106"/>
      <c r="U1497" s="106"/>
      <c r="V1497" s="4021" t="s">
        <v>978</v>
      </c>
      <c r="W1497" s="2228">
        <v>26.7</v>
      </c>
      <c r="X1497" s="2376">
        <v>27.07</v>
      </c>
      <c r="Y1497" s="679">
        <v>28</v>
      </c>
      <c r="Z1497" s="678">
        <v>28</v>
      </c>
      <c r="AA1497" s="678">
        <v>28</v>
      </c>
      <c r="AB1497" s="1827">
        <v>27.751818181818177</v>
      </c>
      <c r="AC1497" s="1827">
        <v>27.573333333333338</v>
      </c>
      <c r="AD1497" s="2783">
        <v>28.98</v>
      </c>
      <c r="AE1497" s="2228"/>
      <c r="AF1497" s="2228"/>
      <c r="AG1497" s="2228"/>
      <c r="AH1497" s="156"/>
      <c r="AI1497" s="156"/>
      <c r="AJ1497" s="156"/>
      <c r="AK1497" s="156"/>
      <c r="AL1497" s="156"/>
      <c r="AM1497" s="156"/>
      <c r="AN1497" s="156"/>
      <c r="AO1497" s="156"/>
      <c r="AP1497" s="156"/>
      <c r="AQ1497" s="156"/>
      <c r="AR1497" s="156"/>
      <c r="AS1497" s="156"/>
      <c r="AT1497" s="156"/>
      <c r="AU1497" s="156"/>
      <c r="AV1497" s="156"/>
      <c r="AW1497" s="156"/>
      <c r="AX1497" s="156"/>
      <c r="AY1497" s="156"/>
      <c r="AZ1497" s="156"/>
      <c r="BA1497" s="156"/>
      <c r="BB1497" s="2828"/>
      <c r="BC1497" s="504"/>
      <c r="BD1497" s="2829"/>
      <c r="BE1497" s="2837"/>
      <c r="BF1497" s="156"/>
    </row>
    <row r="1498" spans="1:58" hidden="1" outlineLevel="1" x14ac:dyDescent="0.35">
      <c r="A1498" s="1071"/>
      <c r="B1498" s="106"/>
      <c r="C1498" s="103"/>
      <c r="D1498" s="4022"/>
      <c r="E1498" s="3804"/>
      <c r="F1498" s="3984" t="str">
        <f>$E$1425</f>
        <v>GSHP-EER23-Replace_CAC_ElectricHeat_ER1_SF</v>
      </c>
      <c r="G1498" s="3984"/>
      <c r="H1498" s="3984"/>
      <c r="I1498" s="2224"/>
      <c r="J1498" s="2730">
        <v>28.21</v>
      </c>
      <c r="K1498" s="1291"/>
      <c r="L1498" s="4102"/>
      <c r="M1498" s="3058"/>
      <c r="N1498" s="3058"/>
      <c r="O1498" s="3058"/>
      <c r="P1498" s="106"/>
      <c r="Q1498" s="106"/>
      <c r="R1498" s="106"/>
      <c r="S1498" s="106"/>
      <c r="T1498" s="106"/>
      <c r="U1498" s="106"/>
      <c r="V1498" s="4022"/>
      <c r="W1498" s="2224">
        <v>27.2</v>
      </c>
      <c r="X1498" s="2374">
        <v>27.07</v>
      </c>
      <c r="Y1498" s="681">
        <v>28.1</v>
      </c>
      <c r="Z1498" s="1792">
        <v>28.1</v>
      </c>
      <c r="AA1498" s="1792">
        <v>28.1</v>
      </c>
      <c r="AB1498" s="1828">
        <v>29.562499999999996</v>
      </c>
      <c r="AC1498" s="1828">
        <v>33.647058823529413</v>
      </c>
      <c r="AD1498" s="2730">
        <v>28.21</v>
      </c>
      <c r="AE1498" s="2224"/>
      <c r="AF1498" s="2224"/>
      <c r="AG1498" s="2224"/>
      <c r="AH1498" s="156"/>
      <c r="AI1498" s="156"/>
      <c r="AJ1498" s="156"/>
      <c r="AK1498" s="156"/>
      <c r="AL1498" s="156"/>
      <c r="AM1498" s="156"/>
      <c r="AN1498" s="156"/>
      <c r="AO1498" s="156"/>
      <c r="AP1498" s="156"/>
      <c r="AQ1498" s="156"/>
      <c r="AR1498" s="156"/>
      <c r="AS1498" s="156"/>
      <c r="AT1498" s="156"/>
      <c r="AU1498" s="156"/>
      <c r="AV1498" s="156"/>
      <c r="AW1498" s="156"/>
      <c r="AX1498" s="156"/>
      <c r="AY1498" s="156"/>
      <c r="AZ1498" s="156"/>
      <c r="BA1498" s="156"/>
      <c r="BB1498" s="2828"/>
      <c r="BC1498" s="504"/>
      <c r="BD1498" s="2829"/>
      <c r="BE1498" s="2837"/>
      <c r="BF1498" s="156"/>
    </row>
    <row r="1499" spans="1:58" hidden="1" outlineLevel="1" x14ac:dyDescent="0.35">
      <c r="A1499" s="1071"/>
      <c r="B1499" s="106"/>
      <c r="C1499" s="103"/>
      <c r="D1499" s="4022"/>
      <c r="E1499" s="3804"/>
      <c r="F1499" s="3984" t="str">
        <f>$E$1427</f>
        <v>GSHP-EER23-Replace_CAC_ElectricHeat_ER2_SF</v>
      </c>
      <c r="G1499" s="3984"/>
      <c r="H1499" s="3984"/>
      <c r="I1499" s="2224"/>
      <c r="J1499" s="2730">
        <f>J1498</f>
        <v>28.21</v>
      </c>
      <c r="K1499" s="566"/>
      <c r="L1499" s="4102"/>
      <c r="M1499" s="3058"/>
      <c r="N1499" s="3058"/>
      <c r="O1499" s="3058"/>
      <c r="P1499" s="106"/>
      <c r="Q1499" s="106"/>
      <c r="R1499" s="106"/>
      <c r="S1499" s="106"/>
      <c r="T1499" s="106"/>
      <c r="U1499" s="106"/>
      <c r="V1499" s="4022"/>
      <c r="W1499" s="2224">
        <v>27.2</v>
      </c>
      <c r="X1499" s="2374">
        <v>27.07</v>
      </c>
      <c r="Y1499" s="681">
        <v>28.1</v>
      </c>
      <c r="Z1499" s="1792">
        <v>28.1</v>
      </c>
      <c r="AA1499" s="1792">
        <v>28.1</v>
      </c>
      <c r="AB1499" s="1828">
        <v>29.562499999999996</v>
      </c>
      <c r="AC1499" s="1828">
        <v>33.647058823529413</v>
      </c>
      <c r="AD1499" s="2730">
        <v>28.213698630136992</v>
      </c>
      <c r="AE1499" s="2224"/>
      <c r="AF1499" s="2224"/>
      <c r="AG1499" s="2224"/>
      <c r="AH1499" s="156"/>
      <c r="AI1499" s="156"/>
      <c r="AJ1499" s="156"/>
      <c r="AK1499" s="156"/>
      <c r="AL1499" s="156"/>
      <c r="AM1499" s="156"/>
      <c r="AN1499" s="156"/>
      <c r="AO1499" s="156"/>
      <c r="AP1499" s="156"/>
      <c r="AQ1499" s="156"/>
      <c r="AR1499" s="156"/>
      <c r="AS1499" s="156"/>
      <c r="AT1499" s="156"/>
      <c r="AU1499" s="156"/>
      <c r="AV1499" s="156"/>
      <c r="AW1499" s="156"/>
      <c r="AX1499" s="156"/>
      <c r="AY1499" s="156"/>
      <c r="AZ1499" s="156"/>
      <c r="BA1499" s="156"/>
      <c r="BB1499" s="2828"/>
      <c r="BC1499" s="504"/>
      <c r="BD1499" s="2829"/>
      <c r="BE1499" s="2837"/>
      <c r="BF1499" s="156"/>
    </row>
    <row r="1500" spans="1:58" hidden="1" outlineLevel="1" x14ac:dyDescent="0.35">
      <c r="A1500" s="1071"/>
      <c r="B1500" s="106"/>
      <c r="C1500" s="103"/>
      <c r="D1500" s="4022"/>
      <c r="E1500" s="3804"/>
      <c r="F1500" s="3984" t="str">
        <f>$E$1429</f>
        <v>GSHP-EER23_ER1_SF</v>
      </c>
      <c r="G1500" s="3984"/>
      <c r="H1500" s="3984"/>
      <c r="I1500" s="2224"/>
      <c r="J1500" s="2730">
        <f>J1498</f>
        <v>28.21</v>
      </c>
      <c r="K1500" s="566"/>
      <c r="L1500" s="4102"/>
      <c r="M1500" s="3058"/>
      <c r="N1500" s="3058"/>
      <c r="O1500" s="3058"/>
      <c r="P1500" s="106"/>
      <c r="Q1500" s="106"/>
      <c r="R1500" s="106"/>
      <c r="S1500" s="106"/>
      <c r="T1500" s="106"/>
      <c r="U1500" s="106"/>
      <c r="V1500" s="4022"/>
      <c r="W1500" s="2224">
        <v>27.2</v>
      </c>
      <c r="X1500" s="2374">
        <v>27.07</v>
      </c>
      <c r="Y1500" s="681">
        <v>28</v>
      </c>
      <c r="Z1500" s="1792">
        <v>28</v>
      </c>
      <c r="AA1500" s="1792">
        <v>28</v>
      </c>
      <c r="AB1500" s="1828">
        <v>27.412765957446812</v>
      </c>
      <c r="AC1500" s="1828">
        <v>27.739508196721314</v>
      </c>
      <c r="AD1500" s="2730">
        <v>28.213698630136992</v>
      </c>
      <c r="AE1500" s="2224"/>
      <c r="AF1500" s="2224"/>
      <c r="AG1500" s="2224"/>
      <c r="AH1500" s="156"/>
      <c r="AI1500" s="156"/>
      <c r="AJ1500" s="156"/>
      <c r="AK1500" s="156"/>
      <c r="AL1500" s="156"/>
      <c r="AM1500" s="156"/>
      <c r="AN1500" s="156"/>
      <c r="AO1500" s="156"/>
      <c r="AP1500" s="156"/>
      <c r="AQ1500" s="156"/>
      <c r="AR1500" s="156"/>
      <c r="AS1500" s="156"/>
      <c r="AT1500" s="156"/>
      <c r="AU1500" s="156"/>
      <c r="AV1500" s="156"/>
      <c r="AW1500" s="156"/>
      <c r="AX1500" s="156"/>
      <c r="AY1500" s="156"/>
      <c r="AZ1500" s="156"/>
      <c r="BA1500" s="156"/>
      <c r="BB1500" s="2828"/>
      <c r="BC1500" s="504"/>
      <c r="BD1500" s="2829"/>
      <c r="BE1500" s="2837"/>
      <c r="BF1500" s="156"/>
    </row>
    <row r="1501" spans="1:58" hidden="1" outlineLevel="1" x14ac:dyDescent="0.35">
      <c r="A1501" s="1071"/>
      <c r="B1501" s="106"/>
      <c r="C1501" s="103"/>
      <c r="D1501" s="4022"/>
      <c r="E1501" s="3804"/>
      <c r="F1501" s="4107" t="str">
        <f>$E$1431</f>
        <v>GSHP-EER23_ER2_SF</v>
      </c>
      <c r="G1501" s="4107"/>
      <c r="H1501" s="4107"/>
      <c r="I1501" s="2224"/>
      <c r="J1501" s="2790">
        <f>J1498</f>
        <v>28.21</v>
      </c>
      <c r="K1501" s="2081"/>
      <c r="L1501" s="4102"/>
      <c r="M1501" s="3058"/>
      <c r="N1501" s="3058"/>
      <c r="O1501" s="3058"/>
      <c r="P1501" s="106"/>
      <c r="Q1501" s="106"/>
      <c r="R1501" s="106"/>
      <c r="S1501" s="106"/>
      <c r="T1501" s="106"/>
      <c r="U1501" s="106"/>
      <c r="V1501" s="4022"/>
      <c r="W1501" s="2224"/>
      <c r="X1501" s="2374"/>
      <c r="Y1501" s="681"/>
      <c r="Z1501" s="1792"/>
      <c r="AA1501" s="1792"/>
      <c r="AB1501" s="1829">
        <v>27.412765957446812</v>
      </c>
      <c r="AC1501" s="1829">
        <v>27.739508196721314</v>
      </c>
      <c r="AD1501" s="2790">
        <v>28.213698630136992</v>
      </c>
      <c r="AE1501" s="2224"/>
      <c r="AF1501" s="2224"/>
      <c r="AG1501" s="2224"/>
      <c r="AH1501" s="156"/>
      <c r="AI1501" s="156"/>
      <c r="AJ1501" s="156"/>
      <c r="AK1501" s="156"/>
      <c r="AL1501" s="156"/>
      <c r="AM1501" s="156"/>
      <c r="AN1501" s="156"/>
      <c r="AO1501" s="156"/>
      <c r="AP1501" s="156"/>
      <c r="AQ1501" s="156"/>
      <c r="AR1501" s="156"/>
      <c r="AS1501" s="156"/>
      <c r="AT1501" s="156"/>
      <c r="AU1501" s="156"/>
      <c r="AV1501" s="156"/>
      <c r="AW1501" s="156"/>
      <c r="AX1501" s="156"/>
      <c r="AY1501" s="156"/>
      <c r="AZ1501" s="156"/>
      <c r="BA1501" s="156"/>
      <c r="BB1501" s="2828"/>
      <c r="BC1501" s="504"/>
      <c r="BD1501" s="2829"/>
      <c r="BE1501" s="2837"/>
      <c r="BF1501" s="156"/>
    </row>
    <row r="1502" spans="1:58" ht="15" hidden="1" outlineLevel="1" thickBot="1" x14ac:dyDescent="0.4">
      <c r="A1502" s="1071"/>
      <c r="B1502" s="106"/>
      <c r="C1502" s="103"/>
      <c r="D1502" s="4104"/>
      <c r="E1502" s="3805"/>
      <c r="F1502" s="4106" t="str">
        <f>$E$1433</f>
        <v>GSHP-EER23_ROF_SF</v>
      </c>
      <c r="G1502" s="4106"/>
      <c r="H1502" s="4106"/>
      <c r="I1502" s="2227"/>
      <c r="J1502" s="2791">
        <f>J1497</f>
        <v>28.98</v>
      </c>
      <c r="K1502" s="2082"/>
      <c r="L1502" s="4103"/>
      <c r="M1502" s="3058"/>
      <c r="N1502" s="3058"/>
      <c r="O1502" s="3058"/>
      <c r="P1502" s="106"/>
      <c r="Q1502" s="106"/>
      <c r="R1502" s="106"/>
      <c r="S1502" s="106"/>
      <c r="T1502" s="106"/>
      <c r="U1502" s="106"/>
      <c r="V1502" s="4104"/>
      <c r="W1502" s="2227">
        <v>26.7</v>
      </c>
      <c r="X1502" s="2375">
        <v>27.07</v>
      </c>
      <c r="Y1502" s="1834">
        <v>28</v>
      </c>
      <c r="Z1502" s="1835">
        <v>28</v>
      </c>
      <c r="AA1502" s="1835">
        <v>28</v>
      </c>
      <c r="AB1502" s="1825">
        <v>27.543478260869559</v>
      </c>
      <c r="AC1502" s="1825">
        <v>27.846590909090903</v>
      </c>
      <c r="AD1502" s="2791">
        <v>28.98468468468467</v>
      </c>
      <c r="AE1502" s="2227"/>
      <c r="AF1502" s="2227"/>
      <c r="AG1502" s="2227"/>
      <c r="AH1502" s="156"/>
      <c r="AI1502" s="156"/>
      <c r="AJ1502" s="156"/>
      <c r="AK1502" s="156"/>
      <c r="AL1502" s="156"/>
      <c r="AM1502" s="156"/>
      <c r="AN1502" s="156"/>
      <c r="AO1502" s="156"/>
      <c r="AP1502" s="156"/>
      <c r="AQ1502" s="156"/>
      <c r="AR1502" s="156"/>
      <c r="AS1502" s="156"/>
      <c r="AT1502" s="156"/>
      <c r="AU1502" s="156"/>
      <c r="AV1502" s="156"/>
      <c r="AW1502" s="156"/>
      <c r="AX1502" s="156"/>
      <c r="AY1502" s="156"/>
      <c r="AZ1502" s="156"/>
      <c r="BA1502" s="156"/>
      <c r="BB1502" s="2828"/>
      <c r="BC1502" s="504"/>
      <c r="BD1502" s="2829"/>
      <c r="BE1502" s="2837"/>
      <c r="BF1502" s="156"/>
    </row>
    <row r="1503" spans="1:58" ht="26.25" hidden="1" customHeight="1" outlineLevel="1" thickBot="1" x14ac:dyDescent="0.4">
      <c r="A1503" s="1071"/>
      <c r="B1503" s="106"/>
      <c r="C1503" s="103"/>
      <c r="D1503" s="2084" t="s">
        <v>132</v>
      </c>
      <c r="E1503" s="2345" t="s">
        <v>832</v>
      </c>
      <c r="F1503" s="4154" t="s">
        <v>134</v>
      </c>
      <c r="G1503" s="4155"/>
      <c r="H1503" s="4156"/>
      <c r="I1503" s="1838"/>
      <c r="J1503" s="1814">
        <v>1</v>
      </c>
      <c r="K1503" s="2083"/>
      <c r="L1503" s="3060" t="s">
        <v>4248</v>
      </c>
      <c r="M1503" s="3062"/>
      <c r="N1503" s="3062"/>
      <c r="O1503" s="3062"/>
      <c r="P1503" s="84"/>
      <c r="Q1503" s="84"/>
      <c r="R1503" s="84"/>
      <c r="S1503" s="84"/>
      <c r="T1503" s="84"/>
      <c r="U1503" s="84"/>
      <c r="V1503" s="2084" t="s">
        <v>132</v>
      </c>
      <c r="W1503" s="1830"/>
      <c r="X1503" s="1830"/>
      <c r="Y1503" s="1832"/>
      <c r="Z1503" s="1833"/>
      <c r="AA1503" s="1836"/>
      <c r="AB1503" s="1831">
        <v>1</v>
      </c>
      <c r="AC1503" s="1814">
        <v>1</v>
      </c>
      <c r="AD1503" s="1814">
        <v>1</v>
      </c>
      <c r="AE1503" s="1830"/>
      <c r="AF1503" s="1830"/>
      <c r="AG1503" s="1830"/>
      <c r="AH1503" s="84"/>
      <c r="AI1503" s="84"/>
      <c r="AJ1503" s="84"/>
      <c r="AK1503" s="84"/>
      <c r="AL1503" s="84"/>
      <c r="AM1503" s="84"/>
      <c r="AN1503" s="84"/>
      <c r="AO1503" s="84"/>
      <c r="AP1503" s="84"/>
      <c r="AQ1503" s="84"/>
      <c r="AR1503" s="84"/>
      <c r="AS1503" s="84"/>
      <c r="AT1503" s="84"/>
      <c r="AU1503" s="84"/>
      <c r="AV1503" s="84"/>
      <c r="AW1503" s="84"/>
      <c r="AX1503" s="84"/>
      <c r="AY1503" s="156"/>
      <c r="AZ1503" s="156"/>
      <c r="BA1503" s="156"/>
      <c r="BB1503" s="2828"/>
      <c r="BC1503" s="504"/>
      <c r="BD1503" s="2829"/>
      <c r="BE1503" s="2837"/>
      <c r="BF1503" s="156"/>
    </row>
    <row r="1504" spans="1:58" hidden="1" outlineLevel="1" x14ac:dyDescent="0.35">
      <c r="A1504" s="1071"/>
      <c r="B1504" s="486"/>
      <c r="C1504" s="103"/>
      <c r="D1504" s="4021" t="s">
        <v>180</v>
      </c>
      <c r="E1504" s="4142" t="s">
        <v>166</v>
      </c>
      <c r="F1504" s="4117" t="str">
        <f t="shared" ref="F1504:F1515" si="269">E1423</f>
        <v>GSHP-EER23-Replace_CAC_ElectricHeat_ROF_SF</v>
      </c>
      <c r="G1504" s="4118"/>
      <c r="H1504" s="4119"/>
      <c r="I1504" s="2228"/>
      <c r="J1504" s="2228">
        <v>18</v>
      </c>
      <c r="K1504" s="680"/>
      <c r="L1504" s="3063"/>
      <c r="M1504" s="3058"/>
      <c r="N1504" s="3058"/>
      <c r="O1504" s="3058"/>
      <c r="P1504" s="106"/>
      <c r="Q1504" s="106"/>
      <c r="R1504" s="106"/>
      <c r="S1504" s="106"/>
      <c r="T1504" s="106"/>
      <c r="U1504" s="106"/>
      <c r="V1504" s="4021" t="str">
        <f>D1504</f>
        <v>EUL</v>
      </c>
      <c r="W1504" s="2228">
        <v>18</v>
      </c>
      <c r="X1504" s="2228">
        <v>18</v>
      </c>
      <c r="Y1504" s="2228">
        <v>18</v>
      </c>
      <c r="Z1504" s="2228">
        <v>18</v>
      </c>
      <c r="AA1504" s="2228">
        <v>18</v>
      </c>
      <c r="AB1504" s="2228">
        <v>18</v>
      </c>
      <c r="AC1504" s="2228">
        <v>18</v>
      </c>
      <c r="AD1504" s="2228">
        <v>18</v>
      </c>
      <c r="AE1504" s="2228"/>
      <c r="AF1504" s="2228"/>
      <c r="AG1504" s="2228"/>
      <c r="AH1504" s="156"/>
      <c r="AI1504" s="156"/>
      <c r="AJ1504" s="156"/>
      <c r="AK1504" s="156"/>
      <c r="AL1504" s="156"/>
      <c r="AM1504" s="156"/>
      <c r="AN1504" s="156"/>
      <c r="AO1504" s="156"/>
      <c r="AP1504" s="156"/>
      <c r="AQ1504" s="156"/>
      <c r="AR1504" s="156"/>
      <c r="AS1504" s="156"/>
      <c r="AT1504" s="156"/>
      <c r="AU1504" s="156"/>
      <c r="AV1504" s="156"/>
      <c r="AW1504" s="156"/>
      <c r="AX1504" s="156"/>
      <c r="AY1504" s="156"/>
      <c r="AZ1504" s="156"/>
      <c r="BA1504" s="156"/>
      <c r="BB1504" s="2828"/>
      <c r="BC1504" s="504"/>
      <c r="BD1504" s="2829"/>
      <c r="BE1504" s="2837"/>
      <c r="BF1504" s="156"/>
    </row>
    <row r="1505" spans="1:58" hidden="1" outlineLevel="1" x14ac:dyDescent="0.35">
      <c r="A1505" s="1071"/>
      <c r="B1505" s="486"/>
      <c r="C1505" s="103"/>
      <c r="D1505" s="4022"/>
      <c r="E1505" s="3804"/>
      <c r="F1505" s="4120" t="str">
        <f t="shared" si="269"/>
        <v>GSHP-EER23-Replace_CAC_ElectricHeat_ROF_SF</v>
      </c>
      <c r="G1505" s="4121"/>
      <c r="H1505" s="4122"/>
      <c r="I1505" s="2224"/>
      <c r="J1505" s="2224">
        <v>18</v>
      </c>
      <c r="K1505" s="675"/>
      <c r="L1505" s="3064"/>
      <c r="M1505" s="3058"/>
      <c r="N1505" s="3058"/>
      <c r="O1505" s="3058"/>
      <c r="P1505" s="106"/>
      <c r="Q1505" s="106"/>
      <c r="R1505" s="106"/>
      <c r="S1505" s="106"/>
      <c r="T1505" s="106"/>
      <c r="U1505" s="106"/>
      <c r="V1505" s="4022"/>
      <c r="W1505" s="2224">
        <v>18</v>
      </c>
      <c r="X1505" s="2224">
        <v>18</v>
      </c>
      <c r="Y1505" s="2224">
        <v>18</v>
      </c>
      <c r="Z1505" s="2224">
        <v>18</v>
      </c>
      <c r="AA1505" s="2224">
        <v>18</v>
      </c>
      <c r="AB1505" s="2224">
        <v>18</v>
      </c>
      <c r="AC1505" s="2224">
        <v>18</v>
      </c>
      <c r="AD1505" s="2224">
        <v>18</v>
      </c>
      <c r="AE1505" s="2224"/>
      <c r="AF1505" s="2224"/>
      <c r="AG1505" s="2224"/>
      <c r="AH1505" s="156"/>
      <c r="AI1505" s="156"/>
      <c r="AJ1505" s="156"/>
      <c r="AK1505" s="156"/>
      <c r="AL1505" s="156"/>
      <c r="AM1505" s="156"/>
      <c r="AN1505" s="156"/>
      <c r="AO1505" s="156"/>
      <c r="AP1505" s="156"/>
      <c r="AQ1505" s="156"/>
      <c r="AR1505" s="156"/>
      <c r="AS1505" s="156"/>
      <c r="AT1505" s="156"/>
      <c r="AU1505" s="156"/>
      <c r="AV1505" s="156"/>
      <c r="AW1505" s="156"/>
      <c r="AX1505" s="156"/>
      <c r="AY1505" s="156"/>
      <c r="AZ1505" s="156"/>
      <c r="BA1505" s="156"/>
      <c r="BB1505" s="2828"/>
      <c r="BC1505" s="504"/>
      <c r="BD1505" s="2829"/>
      <c r="BE1505" s="2837"/>
      <c r="BF1505" s="156"/>
    </row>
    <row r="1506" spans="1:58" hidden="1" outlineLevel="1" x14ac:dyDescent="0.35">
      <c r="A1506" s="1071"/>
      <c r="B1506" s="486"/>
      <c r="C1506" s="103"/>
      <c r="D1506" s="4022"/>
      <c r="E1506" s="3804"/>
      <c r="F1506" s="3984" t="str">
        <f t="shared" si="269"/>
        <v>GSHP-EER23-Replace_CAC_ElectricHeat_ER1_SF</v>
      </c>
      <c r="G1506" s="3984"/>
      <c r="H1506" s="3984"/>
      <c r="I1506" s="2224"/>
      <c r="J1506" s="2224">
        <v>6</v>
      </c>
      <c r="K1506" s="682"/>
      <c r="L1506" s="3064"/>
      <c r="M1506" s="3058"/>
      <c r="N1506" s="3058"/>
      <c r="O1506" s="3058"/>
      <c r="P1506" s="106"/>
      <c r="Q1506" s="106"/>
      <c r="R1506" s="106"/>
      <c r="S1506" s="106"/>
      <c r="T1506" s="106"/>
      <c r="U1506" s="106"/>
      <c r="V1506" s="4022"/>
      <c r="W1506" s="2224">
        <v>6</v>
      </c>
      <c r="X1506" s="2224">
        <v>6</v>
      </c>
      <c r="Y1506" s="2224">
        <v>6</v>
      </c>
      <c r="Z1506" s="2224">
        <v>6</v>
      </c>
      <c r="AA1506" s="2224">
        <v>6</v>
      </c>
      <c r="AB1506" s="2224">
        <v>6</v>
      </c>
      <c r="AC1506" s="2224">
        <v>6</v>
      </c>
      <c r="AD1506" s="2224">
        <v>6</v>
      </c>
      <c r="AE1506" s="2224"/>
      <c r="AF1506" s="2224"/>
      <c r="AG1506" s="2224"/>
      <c r="AH1506" s="156"/>
      <c r="AI1506" s="156"/>
      <c r="AJ1506" s="156"/>
      <c r="AK1506" s="156"/>
      <c r="AL1506" s="156"/>
      <c r="AM1506" s="156"/>
      <c r="AN1506" s="156"/>
      <c r="AO1506" s="156"/>
      <c r="AP1506" s="156"/>
      <c r="AQ1506" s="156"/>
      <c r="AR1506" s="156"/>
      <c r="AS1506" s="156"/>
      <c r="AT1506" s="156"/>
      <c r="AU1506" s="156"/>
      <c r="AV1506" s="156"/>
      <c r="AW1506" s="156"/>
      <c r="AX1506" s="156"/>
      <c r="AY1506" s="156"/>
      <c r="AZ1506" s="156"/>
      <c r="BA1506" s="156"/>
      <c r="BB1506" s="2828"/>
      <c r="BC1506" s="504"/>
      <c r="BD1506" s="2829"/>
      <c r="BE1506" s="2837"/>
      <c r="BF1506" s="156"/>
    </row>
    <row r="1507" spans="1:58" hidden="1" outlineLevel="1" x14ac:dyDescent="0.35">
      <c r="A1507" s="1071"/>
      <c r="B1507" s="486"/>
      <c r="C1507" s="103"/>
      <c r="D1507" s="4022"/>
      <c r="E1507" s="3804"/>
      <c r="F1507" s="3984" t="str">
        <f t="shared" si="269"/>
        <v>GSHP-EER23-Replace_CAC_ElectricHeat_ER1_SF</v>
      </c>
      <c r="G1507" s="3984"/>
      <c r="H1507" s="3984"/>
      <c r="I1507" s="2224"/>
      <c r="J1507" s="2224">
        <v>6</v>
      </c>
      <c r="K1507" s="682"/>
      <c r="L1507" s="3064"/>
      <c r="M1507" s="3058"/>
      <c r="N1507" s="3058"/>
      <c r="O1507" s="3058"/>
      <c r="P1507" s="106"/>
      <c r="Q1507" s="106"/>
      <c r="R1507" s="106"/>
      <c r="S1507" s="106"/>
      <c r="T1507" s="106"/>
      <c r="U1507" s="106"/>
      <c r="V1507" s="4022"/>
      <c r="W1507" s="2224">
        <v>6</v>
      </c>
      <c r="X1507" s="2224">
        <v>6</v>
      </c>
      <c r="Y1507" s="2224">
        <v>6</v>
      </c>
      <c r="Z1507" s="2224">
        <v>6</v>
      </c>
      <c r="AA1507" s="2224">
        <v>6</v>
      </c>
      <c r="AB1507" s="2224">
        <v>6</v>
      </c>
      <c r="AC1507" s="2224">
        <v>6</v>
      </c>
      <c r="AD1507" s="2224">
        <v>6</v>
      </c>
      <c r="AE1507" s="2224"/>
      <c r="AF1507" s="2224"/>
      <c r="AG1507" s="2224"/>
      <c r="AH1507" s="156"/>
      <c r="AI1507" s="156"/>
      <c r="AJ1507" s="156"/>
      <c r="AK1507" s="156"/>
      <c r="AL1507" s="156"/>
      <c r="AM1507" s="156"/>
      <c r="AN1507" s="156"/>
      <c r="AO1507" s="156"/>
      <c r="AP1507" s="156"/>
      <c r="AQ1507" s="156"/>
      <c r="AR1507" s="156"/>
      <c r="AS1507" s="156"/>
      <c r="AT1507" s="156"/>
      <c r="AU1507" s="156"/>
      <c r="AV1507" s="156"/>
      <c r="AW1507" s="156"/>
      <c r="AX1507" s="156"/>
      <c r="AY1507" s="156"/>
      <c r="AZ1507" s="156"/>
      <c r="BA1507" s="156"/>
      <c r="BB1507" s="2828"/>
      <c r="BC1507" s="504"/>
      <c r="BD1507" s="2829"/>
      <c r="BE1507" s="2837"/>
      <c r="BF1507" s="156"/>
    </row>
    <row r="1508" spans="1:58" hidden="1" outlineLevel="1" x14ac:dyDescent="0.35">
      <c r="A1508" s="1071"/>
      <c r="B1508" s="486"/>
      <c r="C1508" s="103"/>
      <c r="D1508" s="4022"/>
      <c r="E1508" s="3804"/>
      <c r="F1508" s="3984" t="str">
        <f t="shared" si="269"/>
        <v>GSHP-EER23-Replace_CAC_ElectricHeat_ER2_SF</v>
      </c>
      <c r="G1508" s="3984"/>
      <c r="H1508" s="3984"/>
      <c r="I1508" s="2224"/>
      <c r="J1508" s="2224">
        <v>12</v>
      </c>
      <c r="K1508" s="675"/>
      <c r="L1508" s="3064"/>
      <c r="M1508" s="3058"/>
      <c r="N1508" s="3058"/>
      <c r="O1508" s="3058"/>
      <c r="P1508" s="106"/>
      <c r="Q1508" s="106"/>
      <c r="R1508" s="106"/>
      <c r="S1508" s="106"/>
      <c r="T1508" s="106"/>
      <c r="U1508" s="106"/>
      <c r="V1508" s="4022"/>
      <c r="W1508" s="2224">
        <v>12</v>
      </c>
      <c r="X1508" s="2224">
        <v>12</v>
      </c>
      <c r="Y1508" s="2224">
        <v>12</v>
      </c>
      <c r="Z1508" s="2224">
        <v>12</v>
      </c>
      <c r="AA1508" s="2224">
        <v>12</v>
      </c>
      <c r="AB1508" s="2224">
        <v>12</v>
      </c>
      <c r="AC1508" s="2224">
        <v>12</v>
      </c>
      <c r="AD1508" s="2224">
        <v>12</v>
      </c>
      <c r="AE1508" s="2224"/>
      <c r="AF1508" s="2224"/>
      <c r="AG1508" s="2224"/>
      <c r="AH1508" s="156"/>
      <c r="AI1508" s="156"/>
      <c r="AJ1508" s="156"/>
      <c r="AK1508" s="156"/>
      <c r="AL1508" s="156"/>
      <c r="AM1508" s="156"/>
      <c r="AN1508" s="156"/>
      <c r="AO1508" s="156"/>
      <c r="AP1508" s="156"/>
      <c r="AQ1508" s="156"/>
      <c r="AR1508" s="156"/>
      <c r="AS1508" s="156"/>
      <c r="AT1508" s="156"/>
      <c r="AU1508" s="156"/>
      <c r="AV1508" s="156"/>
      <c r="AW1508" s="156"/>
      <c r="AX1508" s="156"/>
      <c r="AY1508" s="156"/>
      <c r="AZ1508" s="156"/>
      <c r="BA1508" s="156"/>
      <c r="BB1508" s="2828"/>
      <c r="BC1508" s="504"/>
      <c r="BD1508" s="2829"/>
      <c r="BE1508" s="2837"/>
      <c r="BF1508" s="156"/>
    </row>
    <row r="1509" spans="1:58" hidden="1" outlineLevel="1" x14ac:dyDescent="0.35">
      <c r="A1509" s="1071"/>
      <c r="B1509" s="486"/>
      <c r="C1509" s="103"/>
      <c r="D1509" s="4022"/>
      <c r="E1509" s="3804"/>
      <c r="F1509" s="3984" t="str">
        <f t="shared" si="269"/>
        <v>GSHP-EER23-Replace_CAC_ElectricHeat_ER2_SF</v>
      </c>
      <c r="G1509" s="3984"/>
      <c r="H1509" s="3984"/>
      <c r="I1509" s="2224"/>
      <c r="J1509" s="2224">
        <v>12</v>
      </c>
      <c r="K1509" s="675"/>
      <c r="L1509" s="3064"/>
      <c r="M1509" s="3058"/>
      <c r="N1509" s="3058"/>
      <c r="O1509" s="3058"/>
      <c r="P1509" s="106"/>
      <c r="Q1509" s="106"/>
      <c r="R1509" s="106"/>
      <c r="S1509" s="106"/>
      <c r="T1509" s="106"/>
      <c r="U1509" s="106"/>
      <c r="V1509" s="4022"/>
      <c r="W1509" s="2224">
        <v>12</v>
      </c>
      <c r="X1509" s="2224">
        <v>12</v>
      </c>
      <c r="Y1509" s="2224">
        <v>12</v>
      </c>
      <c r="Z1509" s="2224">
        <v>12</v>
      </c>
      <c r="AA1509" s="2224">
        <v>12</v>
      </c>
      <c r="AB1509" s="2224">
        <v>12</v>
      </c>
      <c r="AC1509" s="2224">
        <v>12</v>
      </c>
      <c r="AD1509" s="2224">
        <v>12</v>
      </c>
      <c r="AE1509" s="2224"/>
      <c r="AF1509" s="2224"/>
      <c r="AG1509" s="2224"/>
      <c r="AH1509" s="156"/>
      <c r="AI1509" s="156"/>
      <c r="AJ1509" s="156"/>
      <c r="AK1509" s="156"/>
      <c r="AL1509" s="156"/>
      <c r="AM1509" s="156"/>
      <c r="AN1509" s="156"/>
      <c r="AO1509" s="156"/>
      <c r="AP1509" s="156"/>
      <c r="AQ1509" s="156"/>
      <c r="AR1509" s="156"/>
      <c r="AS1509" s="156"/>
      <c r="AT1509" s="156"/>
      <c r="AU1509" s="156"/>
      <c r="AV1509" s="156"/>
      <c r="AW1509" s="156"/>
      <c r="AX1509" s="156"/>
      <c r="AY1509" s="156"/>
      <c r="AZ1509" s="156"/>
      <c r="BA1509" s="156"/>
      <c r="BB1509" s="2828"/>
      <c r="BC1509" s="504"/>
      <c r="BD1509" s="2829"/>
      <c r="BE1509" s="2837"/>
      <c r="BF1509" s="156"/>
    </row>
    <row r="1510" spans="1:58" hidden="1" outlineLevel="1" x14ac:dyDescent="0.35">
      <c r="A1510" s="1071"/>
      <c r="B1510" s="486"/>
      <c r="C1510" s="103"/>
      <c r="D1510" s="4022"/>
      <c r="E1510" s="3804"/>
      <c r="F1510" s="3984" t="str">
        <f t="shared" si="269"/>
        <v>GSHP-EER23_ER1_SF</v>
      </c>
      <c r="G1510" s="3984"/>
      <c r="H1510" s="3984"/>
      <c r="I1510" s="2224"/>
      <c r="J1510" s="2224">
        <v>6</v>
      </c>
      <c r="K1510" s="682"/>
      <c r="L1510" s="3064"/>
      <c r="M1510" s="3058"/>
      <c r="N1510" s="3058"/>
      <c r="O1510" s="3058"/>
      <c r="P1510" s="106"/>
      <c r="Q1510" s="106"/>
      <c r="R1510" s="106"/>
      <c r="S1510" s="106"/>
      <c r="T1510" s="106"/>
      <c r="U1510" s="106"/>
      <c r="V1510" s="4022"/>
      <c r="W1510" s="2224">
        <v>6</v>
      </c>
      <c r="X1510" s="2224">
        <v>6</v>
      </c>
      <c r="Y1510" s="2224">
        <v>6</v>
      </c>
      <c r="Z1510" s="2224">
        <v>6</v>
      </c>
      <c r="AA1510" s="2224">
        <v>6</v>
      </c>
      <c r="AB1510" s="2224">
        <v>6</v>
      </c>
      <c r="AC1510" s="2224">
        <v>6</v>
      </c>
      <c r="AD1510" s="2224">
        <v>6</v>
      </c>
      <c r="AE1510" s="2224"/>
      <c r="AF1510" s="2224"/>
      <c r="AG1510" s="2224"/>
      <c r="AH1510" s="156"/>
      <c r="AI1510" s="156"/>
      <c r="AJ1510" s="156"/>
      <c r="AK1510" s="156"/>
      <c r="AL1510" s="156"/>
      <c r="AM1510" s="156"/>
      <c r="AN1510" s="156"/>
      <c r="AO1510" s="156"/>
      <c r="AP1510" s="156"/>
      <c r="AQ1510" s="156"/>
      <c r="AR1510" s="156"/>
      <c r="AS1510" s="156"/>
      <c r="AT1510" s="156"/>
      <c r="AU1510" s="156"/>
      <c r="AV1510" s="156"/>
      <c r="AW1510" s="156"/>
      <c r="AX1510" s="156"/>
      <c r="AY1510" s="156"/>
      <c r="AZ1510" s="156"/>
      <c r="BA1510" s="156"/>
      <c r="BB1510" s="2828"/>
      <c r="BC1510" s="504"/>
      <c r="BD1510" s="2829"/>
      <c r="BE1510" s="2837"/>
      <c r="BF1510" s="156"/>
    </row>
    <row r="1511" spans="1:58" hidden="1" outlineLevel="1" x14ac:dyDescent="0.35">
      <c r="A1511" s="1071"/>
      <c r="B1511" s="486"/>
      <c r="C1511" s="103"/>
      <c r="D1511" s="4022"/>
      <c r="E1511" s="3804"/>
      <c r="F1511" s="3984" t="str">
        <f t="shared" si="269"/>
        <v>GSHP-EER23_ER1_SF</v>
      </c>
      <c r="G1511" s="3984"/>
      <c r="H1511" s="3984"/>
      <c r="I1511" s="2224"/>
      <c r="J1511" s="2224">
        <v>6</v>
      </c>
      <c r="K1511" s="682"/>
      <c r="L1511" s="3064"/>
      <c r="M1511" s="3058"/>
      <c r="N1511" s="3058"/>
      <c r="O1511" s="3058"/>
      <c r="P1511" s="106"/>
      <c r="Q1511" s="106"/>
      <c r="R1511" s="106"/>
      <c r="S1511" s="106"/>
      <c r="T1511" s="106"/>
      <c r="U1511" s="106"/>
      <c r="V1511" s="4022"/>
      <c r="W1511" s="2224">
        <v>6</v>
      </c>
      <c r="X1511" s="2224">
        <v>6</v>
      </c>
      <c r="Y1511" s="2224">
        <v>6</v>
      </c>
      <c r="Z1511" s="2224">
        <v>6</v>
      </c>
      <c r="AA1511" s="2224">
        <v>6</v>
      </c>
      <c r="AB1511" s="2224">
        <v>6</v>
      </c>
      <c r="AC1511" s="2224">
        <v>6</v>
      </c>
      <c r="AD1511" s="2224">
        <v>6</v>
      </c>
      <c r="AE1511" s="2224"/>
      <c r="AF1511" s="2224"/>
      <c r="AG1511" s="2224"/>
      <c r="AH1511" s="156"/>
      <c r="AI1511" s="156"/>
      <c r="AJ1511" s="156"/>
      <c r="AK1511" s="156"/>
      <c r="AL1511" s="156"/>
      <c r="AM1511" s="156"/>
      <c r="AN1511" s="156"/>
      <c r="AO1511" s="156"/>
      <c r="AP1511" s="156"/>
      <c r="AQ1511" s="156"/>
      <c r="AR1511" s="156"/>
      <c r="AS1511" s="156"/>
      <c r="AT1511" s="156"/>
      <c r="AU1511" s="156"/>
      <c r="AV1511" s="156"/>
      <c r="AW1511" s="156"/>
      <c r="AX1511" s="156"/>
      <c r="AY1511" s="156"/>
      <c r="AZ1511" s="156"/>
      <c r="BA1511" s="156"/>
      <c r="BB1511" s="2828"/>
      <c r="BC1511" s="504"/>
      <c r="BD1511" s="2829"/>
      <c r="BE1511" s="2837"/>
      <c r="BF1511" s="156"/>
    </row>
    <row r="1512" spans="1:58" hidden="1" outlineLevel="1" x14ac:dyDescent="0.35">
      <c r="A1512" s="1071"/>
      <c r="B1512" s="486"/>
      <c r="C1512" s="103"/>
      <c r="D1512" s="4022"/>
      <c r="E1512" s="3804"/>
      <c r="F1512" s="3984" t="str">
        <f t="shared" si="269"/>
        <v>GSHP-EER23_ER2_SF</v>
      </c>
      <c r="G1512" s="3984"/>
      <c r="H1512" s="3984"/>
      <c r="I1512" s="2224"/>
      <c r="J1512" s="2224">
        <v>12</v>
      </c>
      <c r="K1512" s="675"/>
      <c r="L1512" s="3064"/>
      <c r="M1512" s="3058"/>
      <c r="N1512" s="3058"/>
      <c r="O1512" s="3058"/>
      <c r="P1512" s="106"/>
      <c r="Q1512" s="106"/>
      <c r="R1512" s="106"/>
      <c r="S1512" s="106"/>
      <c r="T1512" s="106"/>
      <c r="U1512" s="106"/>
      <c r="V1512" s="4022"/>
      <c r="W1512" s="2224">
        <v>12</v>
      </c>
      <c r="X1512" s="2224">
        <v>12</v>
      </c>
      <c r="Y1512" s="2224">
        <v>12</v>
      </c>
      <c r="Z1512" s="2224">
        <v>12</v>
      </c>
      <c r="AA1512" s="2224">
        <v>12</v>
      </c>
      <c r="AB1512" s="2224">
        <v>12</v>
      </c>
      <c r="AC1512" s="2224">
        <v>12</v>
      </c>
      <c r="AD1512" s="2224">
        <v>12</v>
      </c>
      <c r="AE1512" s="2224"/>
      <c r="AF1512" s="2224"/>
      <c r="AG1512" s="2224"/>
      <c r="AH1512" s="156"/>
      <c r="AI1512" s="156"/>
      <c r="AJ1512" s="156"/>
      <c r="AK1512" s="156"/>
      <c r="AL1512" s="156"/>
      <c r="AM1512" s="156"/>
      <c r="AN1512" s="156"/>
      <c r="AO1512" s="156"/>
      <c r="AP1512" s="156"/>
      <c r="AQ1512" s="156"/>
      <c r="AR1512" s="156"/>
      <c r="AS1512" s="156"/>
      <c r="AT1512" s="156"/>
      <c r="AU1512" s="156"/>
      <c r="AV1512" s="156"/>
      <c r="AW1512" s="156"/>
      <c r="AX1512" s="156"/>
      <c r="AY1512" s="156"/>
      <c r="AZ1512" s="156"/>
      <c r="BA1512" s="156"/>
      <c r="BB1512" s="2828"/>
      <c r="BC1512" s="504"/>
      <c r="BD1512" s="2829"/>
      <c r="BE1512" s="2837"/>
      <c r="BF1512" s="156"/>
    </row>
    <row r="1513" spans="1:58" hidden="1" outlineLevel="1" x14ac:dyDescent="0.35">
      <c r="A1513" s="1071"/>
      <c r="B1513" s="486"/>
      <c r="C1513" s="103"/>
      <c r="D1513" s="4022"/>
      <c r="E1513" s="3804"/>
      <c r="F1513" s="4120" t="str">
        <f t="shared" si="269"/>
        <v>GSHP-EER23_ER2_SF</v>
      </c>
      <c r="G1513" s="4121"/>
      <c r="H1513" s="4122"/>
      <c r="I1513" s="2224"/>
      <c r="J1513" s="2224">
        <v>12</v>
      </c>
      <c r="K1513" s="682"/>
      <c r="L1513" s="3064"/>
      <c r="M1513" s="3058"/>
      <c r="N1513" s="3058"/>
      <c r="O1513" s="3058"/>
      <c r="P1513" s="106"/>
      <c r="Q1513" s="106"/>
      <c r="R1513" s="106"/>
      <c r="S1513" s="106"/>
      <c r="T1513" s="106"/>
      <c r="U1513" s="106"/>
      <c r="V1513" s="4022"/>
      <c r="W1513" s="2224">
        <v>12</v>
      </c>
      <c r="X1513" s="2224">
        <v>12</v>
      </c>
      <c r="Y1513" s="2224">
        <v>12</v>
      </c>
      <c r="Z1513" s="2224">
        <v>12</v>
      </c>
      <c r="AA1513" s="2224">
        <v>12</v>
      </c>
      <c r="AB1513" s="2224">
        <v>12</v>
      </c>
      <c r="AC1513" s="2224">
        <v>12</v>
      </c>
      <c r="AD1513" s="2224">
        <v>12</v>
      </c>
      <c r="AE1513" s="2224"/>
      <c r="AF1513" s="2224"/>
      <c r="AG1513" s="2224"/>
      <c r="AH1513" s="156"/>
      <c r="AI1513" s="156"/>
      <c r="AJ1513" s="156"/>
      <c r="AK1513" s="156"/>
      <c r="AL1513" s="156"/>
      <c r="AM1513" s="156"/>
      <c r="AN1513" s="156"/>
      <c r="AO1513" s="156"/>
      <c r="AP1513" s="156"/>
      <c r="AQ1513" s="156"/>
      <c r="AR1513" s="156"/>
      <c r="AS1513" s="156"/>
      <c r="AT1513" s="156"/>
      <c r="AU1513" s="156"/>
      <c r="AV1513" s="156"/>
      <c r="AW1513" s="156"/>
      <c r="AX1513" s="156"/>
      <c r="AY1513" s="156"/>
      <c r="AZ1513" s="156"/>
      <c r="BA1513" s="156"/>
      <c r="BB1513" s="2828"/>
      <c r="BC1513" s="504"/>
      <c r="BD1513" s="2829"/>
      <c r="BE1513" s="2837"/>
      <c r="BF1513" s="156"/>
    </row>
    <row r="1514" spans="1:58" hidden="1" outlineLevel="1" x14ac:dyDescent="0.35">
      <c r="A1514" s="1071"/>
      <c r="B1514" s="486"/>
      <c r="C1514" s="103"/>
      <c r="D1514" s="4022"/>
      <c r="E1514" s="3804"/>
      <c r="F1514" s="4120" t="str">
        <f t="shared" si="269"/>
        <v>GSHP-EER23_ROF_SF</v>
      </c>
      <c r="G1514" s="4121"/>
      <c r="H1514" s="4122"/>
      <c r="I1514" s="2224"/>
      <c r="J1514" s="2224">
        <v>18</v>
      </c>
      <c r="K1514" s="682"/>
      <c r="L1514" s="3064"/>
      <c r="M1514" s="3058"/>
      <c r="N1514" s="3058"/>
      <c r="O1514" s="3058"/>
      <c r="P1514" s="106"/>
      <c r="Q1514" s="106"/>
      <c r="R1514" s="106"/>
      <c r="S1514" s="106"/>
      <c r="T1514" s="106"/>
      <c r="U1514" s="106"/>
      <c r="V1514" s="4022"/>
      <c r="W1514" s="2224">
        <v>18</v>
      </c>
      <c r="X1514" s="2224">
        <v>18</v>
      </c>
      <c r="Y1514" s="2224">
        <v>18</v>
      </c>
      <c r="Z1514" s="2224">
        <v>18</v>
      </c>
      <c r="AA1514" s="2224">
        <v>18</v>
      </c>
      <c r="AB1514" s="2224">
        <v>18</v>
      </c>
      <c r="AC1514" s="2224">
        <v>18</v>
      </c>
      <c r="AD1514" s="2224">
        <v>18</v>
      </c>
      <c r="AE1514" s="2224"/>
      <c r="AF1514" s="2224"/>
      <c r="AG1514" s="2224"/>
      <c r="AH1514" s="156"/>
      <c r="AI1514" s="156"/>
      <c r="AJ1514" s="156"/>
      <c r="AK1514" s="156"/>
      <c r="AL1514" s="156"/>
      <c r="AM1514" s="156"/>
      <c r="AN1514" s="156"/>
      <c r="AO1514" s="156"/>
      <c r="AP1514" s="156"/>
      <c r="AQ1514" s="156"/>
      <c r="AR1514" s="156"/>
      <c r="AS1514" s="156"/>
      <c r="AT1514" s="156"/>
      <c r="AU1514" s="156"/>
      <c r="AV1514" s="156"/>
      <c r="AW1514" s="156"/>
      <c r="AX1514" s="156"/>
      <c r="AY1514" s="156"/>
      <c r="AZ1514" s="156"/>
      <c r="BA1514" s="156"/>
      <c r="BB1514" s="2828"/>
      <c r="BC1514" s="504"/>
      <c r="BD1514" s="2829"/>
      <c r="BE1514" s="2837"/>
      <c r="BF1514" s="156"/>
    </row>
    <row r="1515" spans="1:58" ht="15" hidden="1" outlineLevel="1" thickBot="1" x14ac:dyDescent="0.4">
      <c r="A1515" s="1071"/>
      <c r="B1515" s="486"/>
      <c r="C1515" s="103"/>
      <c r="D1515" s="4150"/>
      <c r="E1515" s="3804"/>
      <c r="F1515" s="4120" t="str">
        <f t="shared" si="269"/>
        <v>GSHP-EER23_ROF_SF</v>
      </c>
      <c r="G1515" s="4121"/>
      <c r="H1515" s="4122"/>
      <c r="I1515" s="2224"/>
      <c r="J1515" s="2224">
        <v>18</v>
      </c>
      <c r="K1515" s="682"/>
      <c r="L1515" s="3064"/>
      <c r="M1515" s="3058"/>
      <c r="N1515" s="3058"/>
      <c r="O1515" s="3058"/>
      <c r="P1515" s="106"/>
      <c r="Q1515" s="106"/>
      <c r="R1515" s="106"/>
      <c r="S1515" s="106"/>
      <c r="T1515" s="106"/>
      <c r="U1515" s="106"/>
      <c r="V1515" s="4150"/>
      <c r="W1515" s="2224">
        <v>18</v>
      </c>
      <c r="X1515" s="2224">
        <v>18</v>
      </c>
      <c r="Y1515" s="2224">
        <v>18</v>
      </c>
      <c r="Z1515" s="2224">
        <v>18</v>
      </c>
      <c r="AA1515" s="2224">
        <v>18</v>
      </c>
      <c r="AB1515" s="2224">
        <v>18</v>
      </c>
      <c r="AC1515" s="2224">
        <v>18</v>
      </c>
      <c r="AD1515" s="2224">
        <v>18</v>
      </c>
      <c r="AE1515" s="2224"/>
      <c r="AF1515" s="2224"/>
      <c r="AG1515" s="2224"/>
      <c r="AH1515" s="156"/>
      <c r="AI1515" s="156"/>
      <c r="AJ1515" s="156"/>
      <c r="AK1515" s="156"/>
      <c r="AL1515" s="156"/>
      <c r="AM1515" s="156"/>
      <c r="AN1515" s="156"/>
      <c r="AO1515" s="156"/>
      <c r="AP1515" s="156"/>
      <c r="AQ1515" s="156"/>
      <c r="AR1515" s="156"/>
      <c r="AS1515" s="156"/>
      <c r="AT1515" s="156"/>
      <c r="AU1515" s="156"/>
      <c r="AV1515" s="156"/>
      <c r="AW1515" s="156"/>
      <c r="AX1515" s="156"/>
      <c r="AY1515" s="156"/>
      <c r="AZ1515" s="156"/>
      <c r="BA1515" s="156"/>
      <c r="BB1515" s="2828"/>
      <c r="BC1515" s="504"/>
      <c r="BD1515" s="2829"/>
      <c r="BE1515" s="2837"/>
      <c r="BF1515" s="156"/>
    </row>
    <row r="1516" spans="1:58" hidden="1" outlineLevel="1" x14ac:dyDescent="0.35">
      <c r="A1516" s="1071"/>
      <c r="B1516" s="486"/>
      <c r="C1516" s="103"/>
      <c r="D1516" s="4021" t="s">
        <v>169</v>
      </c>
      <c r="E1516" s="4115" t="s">
        <v>527</v>
      </c>
      <c r="F1516" s="4117" t="str">
        <f t="shared" ref="F1516:F1527" si="270">E1423</f>
        <v>GSHP-EER23-Replace_CAC_ElectricHeat_ROF_SF</v>
      </c>
      <c r="G1516" s="4118"/>
      <c r="H1516" s="4119"/>
      <c r="I1516" s="2228"/>
      <c r="J1516" s="665">
        <v>4717</v>
      </c>
      <c r="K1516" s="680"/>
      <c r="L1516" s="3063"/>
      <c r="M1516" s="3058"/>
      <c r="N1516" s="3058"/>
      <c r="O1516" s="3058"/>
      <c r="P1516" s="106"/>
      <c r="Q1516" s="106"/>
      <c r="R1516" s="106"/>
      <c r="S1516" s="106"/>
      <c r="T1516" s="106"/>
      <c r="U1516" s="106"/>
      <c r="V1516" s="4021" t="str">
        <f>D1516</f>
        <v>Inc. Cost</v>
      </c>
      <c r="W1516" s="665">
        <v>4717</v>
      </c>
      <c r="X1516" s="665">
        <v>4717</v>
      </c>
      <c r="Y1516" s="665">
        <v>4717</v>
      </c>
      <c r="Z1516" s="665">
        <v>4717</v>
      </c>
      <c r="AA1516" s="665">
        <v>4717</v>
      </c>
      <c r="AB1516" s="665">
        <v>4717</v>
      </c>
      <c r="AC1516" s="665">
        <v>4717</v>
      </c>
      <c r="AD1516" s="665">
        <v>4717</v>
      </c>
      <c r="AE1516" s="665"/>
      <c r="AF1516" s="665"/>
      <c r="AG1516" s="665"/>
      <c r="AH1516" s="156"/>
      <c r="AI1516" s="156"/>
      <c r="AJ1516" s="156"/>
      <c r="AK1516" s="156"/>
      <c r="AL1516" s="156"/>
      <c r="AM1516" s="156"/>
      <c r="AN1516" s="156"/>
      <c r="AO1516" s="156"/>
      <c r="AP1516" s="156"/>
      <c r="AQ1516" s="156"/>
      <c r="AR1516" s="156"/>
      <c r="AS1516" s="156"/>
      <c r="AT1516" s="156"/>
      <c r="AU1516" s="156"/>
      <c r="AV1516" s="156"/>
      <c r="AW1516" s="156"/>
      <c r="AX1516" s="156"/>
      <c r="AY1516" s="156"/>
      <c r="AZ1516" s="156"/>
      <c r="BA1516" s="156"/>
      <c r="BB1516" s="2828"/>
      <c r="BC1516" s="504"/>
      <c r="BD1516" s="2829"/>
      <c r="BE1516" s="2837"/>
      <c r="BF1516" s="156"/>
    </row>
    <row r="1517" spans="1:58" hidden="1" outlineLevel="1" x14ac:dyDescent="0.35">
      <c r="A1517" s="1071"/>
      <c r="B1517" s="486"/>
      <c r="C1517" s="103"/>
      <c r="D1517" s="4022"/>
      <c r="E1517" s="4111"/>
      <c r="F1517" s="4120" t="str">
        <f t="shared" si="270"/>
        <v>GSHP-EER23-Replace_CAC_ElectricHeat_ROF_SF</v>
      </c>
      <c r="G1517" s="4121"/>
      <c r="H1517" s="4122"/>
      <c r="I1517" s="2224"/>
      <c r="J1517" s="668"/>
      <c r="K1517" s="675"/>
      <c r="L1517" s="3064"/>
      <c r="M1517" s="3058"/>
      <c r="N1517" s="3058"/>
      <c r="O1517" s="3058"/>
      <c r="P1517" s="106"/>
      <c r="Q1517" s="106"/>
      <c r="R1517" s="106"/>
      <c r="S1517" s="106"/>
      <c r="T1517" s="106"/>
      <c r="U1517" s="106"/>
      <c r="V1517" s="4022"/>
      <c r="W1517" s="668"/>
      <c r="X1517" s="668"/>
      <c r="Y1517" s="668"/>
      <c r="Z1517" s="668"/>
      <c r="AA1517" s="668"/>
      <c r="AB1517" s="668"/>
      <c r="AC1517" s="668"/>
      <c r="AD1517" s="668"/>
      <c r="AE1517" s="668"/>
      <c r="AF1517" s="668"/>
      <c r="AG1517" s="668"/>
      <c r="AH1517" s="156"/>
      <c r="AI1517" s="156"/>
      <c r="AJ1517" s="156"/>
      <c r="AK1517" s="156"/>
      <c r="AL1517" s="156"/>
      <c r="AM1517" s="156"/>
      <c r="AN1517" s="156"/>
      <c r="AO1517" s="156"/>
      <c r="AP1517" s="156"/>
      <c r="AQ1517" s="156"/>
      <c r="AR1517" s="156"/>
      <c r="AS1517" s="156"/>
      <c r="AT1517" s="156"/>
      <c r="AU1517" s="156"/>
      <c r="AV1517" s="156"/>
      <c r="AW1517" s="156"/>
      <c r="AX1517" s="156"/>
      <c r="AY1517" s="156"/>
      <c r="AZ1517" s="156"/>
      <c r="BA1517" s="156"/>
      <c r="BB1517" s="2828"/>
      <c r="BC1517" s="504"/>
      <c r="BD1517" s="2829"/>
      <c r="BE1517" s="2837"/>
      <c r="BF1517" s="156"/>
    </row>
    <row r="1518" spans="1:58" hidden="1" outlineLevel="1" x14ac:dyDescent="0.35">
      <c r="A1518" s="1071"/>
      <c r="B1518" s="486"/>
      <c r="C1518" s="103"/>
      <c r="D1518" s="4022"/>
      <c r="E1518" s="4111"/>
      <c r="F1518" s="3984" t="str">
        <f t="shared" si="270"/>
        <v>GSHP-EER23-Replace_CAC_ElectricHeat_ER1_SF</v>
      </c>
      <c r="G1518" s="3984"/>
      <c r="H1518" s="3984"/>
      <c r="I1518" s="2224"/>
      <c r="J1518" s="668">
        <v>5250</v>
      </c>
      <c r="K1518" s="682"/>
      <c r="L1518" s="3064"/>
      <c r="M1518" s="3058"/>
      <c r="N1518" s="3058"/>
      <c r="O1518" s="3058"/>
      <c r="P1518" s="106"/>
      <c r="Q1518" s="106"/>
      <c r="R1518" s="106"/>
      <c r="S1518" s="106"/>
      <c r="T1518" s="106"/>
      <c r="U1518" s="106"/>
      <c r="V1518" s="4022"/>
      <c r="W1518" s="668">
        <v>5250</v>
      </c>
      <c r="X1518" s="668">
        <v>5250</v>
      </c>
      <c r="Y1518" s="668">
        <v>5250</v>
      </c>
      <c r="Z1518" s="668">
        <v>5250</v>
      </c>
      <c r="AA1518" s="668">
        <v>5250</v>
      </c>
      <c r="AB1518" s="668">
        <v>5250</v>
      </c>
      <c r="AC1518" s="668">
        <v>5250</v>
      </c>
      <c r="AD1518" s="668">
        <v>5250</v>
      </c>
      <c r="AE1518" s="668"/>
      <c r="AF1518" s="668"/>
      <c r="AG1518" s="668"/>
      <c r="AH1518" s="156"/>
      <c r="AI1518" s="156"/>
      <c r="AJ1518" s="156"/>
      <c r="AK1518" s="156"/>
      <c r="AL1518" s="156"/>
      <c r="AM1518" s="156"/>
      <c r="AN1518" s="156"/>
      <c r="AO1518" s="156"/>
      <c r="AP1518" s="156"/>
      <c r="AQ1518" s="156"/>
      <c r="AR1518" s="156"/>
      <c r="AS1518" s="156"/>
      <c r="AT1518" s="156"/>
      <c r="AU1518" s="156"/>
      <c r="AV1518" s="156"/>
      <c r="AW1518" s="156"/>
      <c r="AX1518" s="156"/>
      <c r="AY1518" s="156"/>
      <c r="AZ1518" s="156"/>
      <c r="BA1518" s="156"/>
      <c r="BB1518" s="2828"/>
      <c r="BC1518" s="504"/>
      <c r="BD1518" s="2829"/>
      <c r="BE1518" s="2837"/>
      <c r="BF1518" s="156"/>
    </row>
    <row r="1519" spans="1:58" hidden="1" outlineLevel="1" x14ac:dyDescent="0.35">
      <c r="A1519" s="1071"/>
      <c r="B1519" s="486"/>
      <c r="C1519" s="103"/>
      <c r="D1519" s="4022"/>
      <c r="E1519" s="4111"/>
      <c r="F1519" s="3984" t="str">
        <f t="shared" si="270"/>
        <v>GSHP-EER23-Replace_CAC_ElectricHeat_ER1_SF</v>
      </c>
      <c r="G1519" s="3984"/>
      <c r="H1519" s="3984"/>
      <c r="I1519" s="2224"/>
      <c r="J1519" s="668"/>
      <c r="K1519" s="682"/>
      <c r="L1519" s="3064"/>
      <c r="M1519" s="3058"/>
      <c r="N1519" s="3058"/>
      <c r="O1519" s="3058"/>
      <c r="P1519" s="106"/>
      <c r="Q1519" s="106"/>
      <c r="R1519" s="106"/>
      <c r="S1519" s="106"/>
      <c r="T1519" s="106"/>
      <c r="U1519" s="106"/>
      <c r="V1519" s="4022"/>
      <c r="W1519" s="668"/>
      <c r="X1519" s="668"/>
      <c r="Y1519" s="668"/>
      <c r="Z1519" s="668"/>
      <c r="AA1519" s="668"/>
      <c r="AB1519" s="668"/>
      <c r="AC1519" s="668"/>
      <c r="AD1519" s="668"/>
      <c r="AE1519" s="668"/>
      <c r="AF1519" s="668"/>
      <c r="AG1519" s="668"/>
      <c r="AH1519" s="156"/>
      <c r="AI1519" s="156"/>
      <c r="AJ1519" s="156"/>
      <c r="AK1519" s="156"/>
      <c r="AL1519" s="156"/>
      <c r="AM1519" s="156"/>
      <c r="AN1519" s="156"/>
      <c r="AO1519" s="156"/>
      <c r="AP1519" s="156"/>
      <c r="AQ1519" s="156"/>
      <c r="AR1519" s="156"/>
      <c r="AS1519" s="156"/>
      <c r="AT1519" s="156"/>
      <c r="AU1519" s="156"/>
      <c r="AV1519" s="156"/>
      <c r="AW1519" s="156"/>
      <c r="AX1519" s="156"/>
      <c r="AY1519" s="156"/>
      <c r="AZ1519" s="156"/>
      <c r="BA1519" s="156"/>
      <c r="BB1519" s="2828"/>
      <c r="BC1519" s="504"/>
      <c r="BD1519" s="2829"/>
      <c r="BE1519" s="2837"/>
      <c r="BF1519" s="156"/>
    </row>
    <row r="1520" spans="1:58" hidden="1" outlineLevel="1" x14ac:dyDescent="0.35">
      <c r="A1520" s="1071"/>
      <c r="B1520" s="486"/>
      <c r="C1520" s="103"/>
      <c r="D1520" s="4022"/>
      <c r="E1520" s="4111"/>
      <c r="F1520" s="3984" t="str">
        <f t="shared" si="270"/>
        <v>GSHP-EER23-Replace_CAC_ElectricHeat_ER2_SF</v>
      </c>
      <c r="G1520" s="3984"/>
      <c r="H1520" s="3984"/>
      <c r="I1520" s="2224"/>
      <c r="J1520" s="668"/>
      <c r="K1520" s="675"/>
      <c r="L1520" s="3064"/>
      <c r="M1520" s="3058"/>
      <c r="N1520" s="3058"/>
      <c r="O1520" s="3058"/>
      <c r="P1520" s="106"/>
      <c r="Q1520" s="106"/>
      <c r="R1520" s="106"/>
      <c r="S1520" s="106"/>
      <c r="T1520" s="106"/>
      <c r="U1520" s="106"/>
      <c r="V1520" s="4022"/>
      <c r="W1520" s="668"/>
      <c r="X1520" s="668"/>
      <c r="Y1520" s="668"/>
      <c r="Z1520" s="668"/>
      <c r="AA1520" s="668"/>
      <c r="AB1520" s="668"/>
      <c r="AC1520" s="668"/>
      <c r="AD1520" s="668"/>
      <c r="AE1520" s="668"/>
      <c r="AF1520" s="668"/>
      <c r="AG1520" s="668"/>
      <c r="AH1520" s="156"/>
      <c r="AI1520" s="156"/>
      <c r="AJ1520" s="156"/>
      <c r="AK1520" s="156"/>
      <c r="AL1520" s="156"/>
      <c r="AM1520" s="156"/>
      <c r="AN1520" s="156"/>
      <c r="AO1520" s="156"/>
      <c r="AP1520" s="156"/>
      <c r="AQ1520" s="156"/>
      <c r="AR1520" s="156"/>
      <c r="AS1520" s="156"/>
      <c r="AT1520" s="156"/>
      <c r="AU1520" s="156"/>
      <c r="AV1520" s="156"/>
      <c r="AW1520" s="156"/>
      <c r="AX1520" s="156"/>
      <c r="AY1520" s="156"/>
      <c r="AZ1520" s="156"/>
      <c r="BA1520" s="156"/>
      <c r="BB1520" s="2828"/>
      <c r="BC1520" s="504"/>
      <c r="BD1520" s="2829"/>
      <c r="BE1520" s="2837"/>
      <c r="BF1520" s="156"/>
    </row>
    <row r="1521" spans="1:60" hidden="1" outlineLevel="1" x14ac:dyDescent="0.35">
      <c r="A1521" s="1071"/>
      <c r="B1521" s="486"/>
      <c r="C1521" s="103"/>
      <c r="D1521" s="4022"/>
      <c r="E1521" s="4111"/>
      <c r="F1521" s="3984" t="str">
        <f t="shared" si="270"/>
        <v>GSHP-EER23-Replace_CAC_ElectricHeat_ER2_SF</v>
      </c>
      <c r="G1521" s="3984"/>
      <c r="H1521" s="3984"/>
      <c r="I1521" s="2224"/>
      <c r="J1521" s="668"/>
      <c r="K1521" s="675"/>
      <c r="L1521" s="3064"/>
      <c r="M1521" s="3058"/>
      <c r="N1521" s="3058"/>
      <c r="O1521" s="3058"/>
      <c r="P1521" s="106"/>
      <c r="Q1521" s="106"/>
      <c r="R1521" s="106"/>
      <c r="S1521" s="106"/>
      <c r="T1521" s="106"/>
      <c r="U1521" s="106"/>
      <c r="V1521" s="4022"/>
      <c r="W1521" s="668"/>
      <c r="X1521" s="668"/>
      <c r="Y1521" s="668"/>
      <c r="Z1521" s="668"/>
      <c r="AA1521" s="668"/>
      <c r="AB1521" s="668"/>
      <c r="AC1521" s="668"/>
      <c r="AD1521" s="668"/>
      <c r="AE1521" s="668"/>
      <c r="AF1521" s="668"/>
      <c r="AG1521" s="668"/>
      <c r="AH1521" s="156"/>
      <c r="AI1521" s="156"/>
      <c r="AJ1521" s="156"/>
      <c r="AK1521" s="156"/>
      <c r="AL1521" s="156"/>
      <c r="AM1521" s="156"/>
      <c r="AN1521" s="156"/>
      <c r="AO1521" s="156"/>
      <c r="AP1521" s="156"/>
      <c r="AQ1521" s="156"/>
      <c r="AR1521" s="156"/>
      <c r="AS1521" s="156"/>
      <c r="AT1521" s="156"/>
      <c r="AU1521" s="156"/>
      <c r="AV1521" s="156"/>
      <c r="AW1521" s="156"/>
      <c r="AX1521" s="156"/>
      <c r="AY1521" s="156"/>
      <c r="AZ1521" s="156"/>
      <c r="BA1521" s="156"/>
      <c r="BB1521" s="2828"/>
      <c r="BC1521" s="504"/>
      <c r="BD1521" s="2829"/>
      <c r="BE1521" s="2837"/>
      <c r="BF1521" s="156"/>
    </row>
    <row r="1522" spans="1:60" hidden="1" outlineLevel="1" x14ac:dyDescent="0.35">
      <c r="A1522" s="1071"/>
      <c r="B1522" s="486"/>
      <c r="C1522" s="103"/>
      <c r="D1522" s="4022"/>
      <c r="E1522" s="4111"/>
      <c r="F1522" s="3984" t="str">
        <f t="shared" si="270"/>
        <v>GSHP-EER23_ER1_SF</v>
      </c>
      <c r="G1522" s="3984"/>
      <c r="H1522" s="3984"/>
      <c r="I1522" s="2224"/>
      <c r="J1522" s="668">
        <v>4859</v>
      </c>
      <c r="K1522" s="682"/>
      <c r="L1522" s="3064"/>
      <c r="M1522" s="3058"/>
      <c r="N1522" s="3058"/>
      <c r="O1522" s="3058"/>
      <c r="P1522" s="106"/>
      <c r="Q1522" s="106"/>
      <c r="R1522" s="106"/>
      <c r="S1522" s="106"/>
      <c r="T1522" s="106"/>
      <c r="U1522" s="106"/>
      <c r="V1522" s="4022"/>
      <c r="W1522" s="668">
        <v>4859</v>
      </c>
      <c r="X1522" s="668">
        <v>4859</v>
      </c>
      <c r="Y1522" s="668">
        <v>4859</v>
      </c>
      <c r="Z1522" s="668">
        <v>4859</v>
      </c>
      <c r="AA1522" s="668">
        <v>4859</v>
      </c>
      <c r="AB1522" s="668">
        <v>4859</v>
      </c>
      <c r="AC1522" s="668">
        <v>4859</v>
      </c>
      <c r="AD1522" s="668">
        <v>4859</v>
      </c>
      <c r="AE1522" s="668"/>
      <c r="AF1522" s="668"/>
      <c r="AG1522" s="668"/>
      <c r="AH1522" s="156"/>
      <c r="AI1522" s="156"/>
      <c r="AJ1522" s="156"/>
      <c r="AK1522" s="156"/>
      <c r="AL1522" s="156"/>
      <c r="AM1522" s="156"/>
      <c r="AN1522" s="156"/>
      <c r="AO1522" s="156"/>
      <c r="AP1522" s="156"/>
      <c r="AQ1522" s="156"/>
      <c r="AR1522" s="156"/>
      <c r="AS1522" s="156"/>
      <c r="AT1522" s="156"/>
      <c r="AU1522" s="156"/>
      <c r="AV1522" s="156"/>
      <c r="AW1522" s="156"/>
      <c r="AX1522" s="156"/>
      <c r="AY1522" s="156"/>
      <c r="AZ1522" s="156"/>
      <c r="BA1522" s="156"/>
      <c r="BB1522" s="2828"/>
      <c r="BC1522" s="504"/>
      <c r="BD1522" s="2829"/>
      <c r="BE1522" s="2837"/>
      <c r="BF1522" s="156"/>
    </row>
    <row r="1523" spans="1:60" hidden="1" outlineLevel="1" x14ac:dyDescent="0.35">
      <c r="A1523" s="1071"/>
      <c r="B1523" s="486"/>
      <c r="C1523" s="103"/>
      <c r="D1523" s="4022"/>
      <c r="E1523" s="4111"/>
      <c r="F1523" s="3984" t="str">
        <f t="shared" si="270"/>
        <v>GSHP-EER23_ER1_SF</v>
      </c>
      <c r="G1523" s="3984"/>
      <c r="H1523" s="3984"/>
      <c r="I1523" s="2224"/>
      <c r="J1523" s="668"/>
      <c r="K1523" s="682"/>
      <c r="L1523" s="3064"/>
      <c r="M1523" s="3058"/>
      <c r="N1523" s="3058"/>
      <c r="O1523" s="3058"/>
      <c r="P1523" s="106"/>
      <c r="Q1523" s="106"/>
      <c r="R1523" s="106"/>
      <c r="S1523" s="106"/>
      <c r="T1523" s="106"/>
      <c r="U1523" s="106"/>
      <c r="V1523" s="4022"/>
      <c r="W1523" s="668"/>
      <c r="X1523" s="668"/>
      <c r="Y1523" s="668"/>
      <c r="Z1523" s="668"/>
      <c r="AA1523" s="668"/>
      <c r="AB1523" s="668"/>
      <c r="AC1523" s="668"/>
      <c r="AD1523" s="668"/>
      <c r="AE1523" s="668"/>
      <c r="AF1523" s="668"/>
      <c r="AG1523" s="668"/>
      <c r="AH1523" s="156"/>
      <c r="AI1523" s="156"/>
      <c r="AJ1523" s="156"/>
      <c r="AK1523" s="156"/>
      <c r="AL1523" s="156"/>
      <c r="AM1523" s="156"/>
      <c r="AN1523" s="156"/>
      <c r="AO1523" s="156"/>
      <c r="AP1523" s="156"/>
      <c r="AQ1523" s="156"/>
      <c r="AR1523" s="156"/>
      <c r="AS1523" s="156"/>
      <c r="AT1523" s="156"/>
      <c r="AU1523" s="156"/>
      <c r="AV1523" s="156"/>
      <c r="AW1523" s="156"/>
      <c r="AX1523" s="156"/>
      <c r="AY1523" s="156"/>
      <c r="AZ1523" s="156"/>
      <c r="BA1523" s="156"/>
      <c r="BB1523" s="2828"/>
      <c r="BC1523" s="504"/>
      <c r="BD1523" s="2829"/>
      <c r="BE1523" s="2837"/>
      <c r="BF1523" s="156"/>
    </row>
    <row r="1524" spans="1:60" hidden="1" outlineLevel="1" x14ac:dyDescent="0.35">
      <c r="A1524" s="1071"/>
      <c r="B1524" s="486"/>
      <c r="C1524" s="103"/>
      <c r="D1524" s="4022"/>
      <c r="E1524" s="4111"/>
      <c r="F1524" s="3984" t="str">
        <f t="shared" si="270"/>
        <v>GSHP-EER23_ER2_SF</v>
      </c>
      <c r="G1524" s="3984"/>
      <c r="H1524" s="3984"/>
      <c r="I1524" s="2224"/>
      <c r="J1524" s="668"/>
      <c r="K1524" s="675"/>
      <c r="L1524" s="3064"/>
      <c r="M1524" s="3058"/>
      <c r="N1524" s="3058"/>
      <c r="O1524" s="3058"/>
      <c r="P1524" s="106"/>
      <c r="Q1524" s="106"/>
      <c r="R1524" s="106"/>
      <c r="S1524" s="106"/>
      <c r="T1524" s="106"/>
      <c r="U1524" s="106"/>
      <c r="V1524" s="4022"/>
      <c r="W1524" s="668"/>
      <c r="X1524" s="668"/>
      <c r="Y1524" s="668"/>
      <c r="Z1524" s="668"/>
      <c r="AA1524" s="668"/>
      <c r="AB1524" s="668"/>
      <c r="AC1524" s="668"/>
      <c r="AD1524" s="668"/>
      <c r="AE1524" s="668"/>
      <c r="AF1524" s="668"/>
      <c r="AG1524" s="668"/>
      <c r="AH1524" s="156"/>
      <c r="AI1524" s="156"/>
      <c r="AJ1524" s="156"/>
      <c r="AK1524" s="156"/>
      <c r="AL1524" s="156"/>
      <c r="AM1524" s="156"/>
      <c r="AN1524" s="156"/>
      <c r="AO1524" s="156"/>
      <c r="AP1524" s="156"/>
      <c r="AQ1524" s="156"/>
      <c r="AR1524" s="156"/>
      <c r="AS1524" s="156"/>
      <c r="AT1524" s="156"/>
      <c r="AU1524" s="156"/>
      <c r="AV1524" s="156"/>
      <c r="AW1524" s="156"/>
      <c r="AX1524" s="156"/>
      <c r="AY1524" s="156"/>
      <c r="AZ1524" s="156"/>
      <c r="BA1524" s="156"/>
      <c r="BB1524" s="2828"/>
      <c r="BC1524" s="504"/>
      <c r="BD1524" s="2829"/>
      <c r="BE1524" s="2837"/>
      <c r="BF1524" s="156"/>
    </row>
    <row r="1525" spans="1:60" hidden="1" outlineLevel="1" x14ac:dyDescent="0.35">
      <c r="A1525" s="1071"/>
      <c r="B1525" s="486"/>
      <c r="C1525" s="103"/>
      <c r="D1525" s="4022"/>
      <c r="E1525" s="4111"/>
      <c r="F1525" s="4120" t="str">
        <f t="shared" si="270"/>
        <v>GSHP-EER23_ER2_SF</v>
      </c>
      <c r="G1525" s="4121"/>
      <c r="H1525" s="4122"/>
      <c r="I1525" s="2224"/>
      <c r="J1525" s="668"/>
      <c r="K1525" s="682"/>
      <c r="L1525" s="3064"/>
      <c r="M1525" s="3058"/>
      <c r="N1525" s="3058"/>
      <c r="O1525" s="3058"/>
      <c r="P1525" s="106"/>
      <c r="Q1525" s="106"/>
      <c r="R1525" s="106"/>
      <c r="S1525" s="106"/>
      <c r="T1525" s="106"/>
      <c r="U1525" s="106"/>
      <c r="V1525" s="4022"/>
      <c r="W1525" s="668"/>
      <c r="X1525" s="668"/>
      <c r="Y1525" s="668"/>
      <c r="Z1525" s="668"/>
      <c r="AA1525" s="668"/>
      <c r="AB1525" s="668"/>
      <c r="AC1525" s="668"/>
      <c r="AD1525" s="668"/>
      <c r="AE1525" s="668"/>
      <c r="AF1525" s="668"/>
      <c r="AG1525" s="668"/>
      <c r="AH1525" s="156"/>
      <c r="AI1525" s="156"/>
      <c r="AJ1525" s="156"/>
      <c r="AK1525" s="156"/>
      <c r="AL1525" s="156"/>
      <c r="AM1525" s="156"/>
      <c r="AN1525" s="156"/>
      <c r="AO1525" s="156"/>
      <c r="AP1525" s="156"/>
      <c r="AQ1525" s="156"/>
      <c r="AR1525" s="156"/>
      <c r="AS1525" s="156"/>
      <c r="AT1525" s="156"/>
      <c r="AU1525" s="156"/>
      <c r="AV1525" s="156"/>
      <c r="AW1525" s="156"/>
      <c r="AX1525" s="156"/>
      <c r="AY1525" s="156"/>
      <c r="AZ1525" s="156"/>
      <c r="BA1525" s="156"/>
      <c r="BB1525" s="2828"/>
      <c r="BC1525" s="504"/>
      <c r="BD1525" s="2829"/>
      <c r="BE1525" s="2837"/>
      <c r="BF1525" s="156"/>
    </row>
    <row r="1526" spans="1:60" hidden="1" outlineLevel="1" x14ac:dyDescent="0.35">
      <c r="A1526" s="1071"/>
      <c r="B1526" s="486"/>
      <c r="C1526" s="103"/>
      <c r="D1526" s="4022"/>
      <c r="E1526" s="4111"/>
      <c r="F1526" s="4120" t="str">
        <f t="shared" si="270"/>
        <v>GSHP-EER23_ROF_SF</v>
      </c>
      <c r="G1526" s="4121"/>
      <c r="H1526" s="4122"/>
      <c r="I1526" s="2224"/>
      <c r="J1526" s="668">
        <v>3200</v>
      </c>
      <c r="K1526" s="682"/>
      <c r="L1526" s="3064"/>
      <c r="M1526" s="3058"/>
      <c r="N1526" s="3058"/>
      <c r="O1526" s="3058"/>
      <c r="P1526" s="106"/>
      <c r="Q1526" s="106"/>
      <c r="R1526" s="106"/>
      <c r="S1526" s="106"/>
      <c r="T1526" s="106"/>
      <c r="U1526" s="106"/>
      <c r="V1526" s="4022"/>
      <c r="W1526" s="668">
        <v>3200</v>
      </c>
      <c r="X1526" s="668">
        <v>3200</v>
      </c>
      <c r="Y1526" s="668">
        <v>3200</v>
      </c>
      <c r="Z1526" s="668">
        <v>3200</v>
      </c>
      <c r="AA1526" s="668">
        <v>3200</v>
      </c>
      <c r="AB1526" s="668">
        <v>3200</v>
      </c>
      <c r="AC1526" s="668">
        <v>3200</v>
      </c>
      <c r="AD1526" s="668">
        <v>3200</v>
      </c>
      <c r="AE1526" s="668"/>
      <c r="AF1526" s="668"/>
      <c r="AG1526" s="668"/>
      <c r="AH1526" s="156"/>
      <c r="AI1526" s="156"/>
      <c r="AJ1526" s="156"/>
      <c r="AK1526" s="156"/>
      <c r="AL1526" s="156"/>
      <c r="AM1526" s="156"/>
      <c r="AN1526" s="156"/>
      <c r="AO1526" s="156"/>
      <c r="AP1526" s="156"/>
      <c r="AQ1526" s="156"/>
      <c r="AR1526" s="156"/>
      <c r="AS1526" s="156"/>
      <c r="AT1526" s="156"/>
      <c r="AU1526" s="156"/>
      <c r="AV1526" s="156"/>
      <c r="AW1526" s="156"/>
      <c r="AX1526" s="156"/>
      <c r="AY1526" s="156"/>
      <c r="AZ1526" s="156"/>
      <c r="BA1526" s="156"/>
      <c r="BB1526" s="2828"/>
      <c r="BC1526" s="504"/>
      <c r="BD1526" s="2829"/>
      <c r="BE1526" s="2837"/>
      <c r="BF1526" s="156"/>
    </row>
    <row r="1527" spans="1:60" ht="15" hidden="1" outlineLevel="1" thickBot="1" x14ac:dyDescent="0.4">
      <c r="A1527" s="1071"/>
      <c r="B1527" s="486"/>
      <c r="C1527" s="103"/>
      <c r="D1527" s="4104"/>
      <c r="E1527" s="4112"/>
      <c r="F1527" s="4125" t="str">
        <f t="shared" si="270"/>
        <v>GSHP-EER23_ROF_SF</v>
      </c>
      <c r="G1527" s="4126"/>
      <c r="H1527" s="4127"/>
      <c r="I1527" s="2227"/>
      <c r="J1527" s="683"/>
      <c r="K1527" s="684"/>
      <c r="L1527" s="3065"/>
      <c r="M1527" s="3058"/>
      <c r="N1527" s="3058"/>
      <c r="O1527" s="3058"/>
      <c r="P1527" s="106"/>
      <c r="Q1527" s="106"/>
      <c r="R1527" s="106"/>
      <c r="S1527" s="106"/>
      <c r="T1527" s="106"/>
      <c r="U1527" s="106"/>
      <c r="V1527" s="4104"/>
      <c r="W1527" s="683"/>
      <c r="X1527" s="683"/>
      <c r="Y1527" s="683"/>
      <c r="Z1527" s="683"/>
      <c r="AA1527" s="683"/>
      <c r="AB1527" s="683"/>
      <c r="AC1527" s="683"/>
      <c r="AD1527" s="683"/>
      <c r="AE1527" s="683"/>
      <c r="AF1527" s="683"/>
      <c r="AG1527" s="683"/>
      <c r="AH1527" s="156"/>
      <c r="AI1527" s="156"/>
      <c r="AJ1527" s="156"/>
      <c r="AK1527" s="156"/>
      <c r="AL1527" s="156"/>
      <c r="AM1527" s="156"/>
      <c r="AN1527" s="156"/>
      <c r="AO1527" s="156"/>
      <c r="AP1527" s="156"/>
      <c r="AQ1527" s="156"/>
      <c r="AR1527" s="156"/>
      <c r="AS1527" s="156"/>
      <c r="AT1527" s="156"/>
      <c r="AU1527" s="156"/>
      <c r="AV1527" s="156"/>
      <c r="AW1527" s="156"/>
      <c r="AX1527" s="156"/>
      <c r="AY1527" s="156"/>
      <c r="AZ1527" s="156"/>
      <c r="BA1527" s="156"/>
      <c r="BB1527" s="2828"/>
      <c r="BC1527" s="504"/>
      <c r="BD1527" s="2829"/>
      <c r="BE1527" s="2837"/>
      <c r="BF1527" s="156"/>
    </row>
    <row r="1528" spans="1:60" collapsed="1" x14ac:dyDescent="0.35">
      <c r="A1528" s="1071"/>
      <c r="B1528" s="106"/>
      <c r="C1528" s="1316"/>
      <c r="D1528" s="415"/>
      <c r="E1528" s="415"/>
      <c r="F1528" s="1243"/>
      <c r="G1528" s="415"/>
      <c r="H1528" s="1243"/>
      <c r="I1528" s="486"/>
      <c r="J1528" s="1243"/>
      <c r="K1528" s="1243"/>
      <c r="L1528" s="1243"/>
      <c r="M1528" s="106"/>
      <c r="N1528" s="106"/>
      <c r="O1528" s="106"/>
      <c r="P1528" s="106"/>
      <c r="Q1528" s="292"/>
      <c r="R1528" s="106"/>
      <c r="S1528" s="106"/>
      <c r="T1528" s="106"/>
      <c r="U1528" s="106"/>
      <c r="V1528" s="106"/>
      <c r="W1528" s="156"/>
      <c r="X1528" s="156"/>
      <c r="Y1528" s="156"/>
      <c r="Z1528" s="156"/>
      <c r="AA1528" s="156"/>
      <c r="AB1528" s="156"/>
      <c r="AC1528" s="156"/>
      <c r="AD1528" s="156"/>
      <c r="AE1528" s="156"/>
      <c r="AF1528" s="156"/>
      <c r="AG1528" s="156"/>
      <c r="AH1528" s="156"/>
      <c r="AI1528" s="156"/>
      <c r="AJ1528" s="156"/>
      <c r="AK1528" s="156"/>
      <c r="AL1528" s="156"/>
      <c r="AM1528" s="156"/>
      <c r="AN1528" s="156"/>
      <c r="AO1528" s="156"/>
      <c r="AP1528" s="156"/>
      <c r="AQ1528" s="156"/>
      <c r="AR1528" s="156"/>
      <c r="AS1528" s="156"/>
      <c r="AT1528" s="156"/>
      <c r="AU1528" s="156"/>
      <c r="AV1528" s="156"/>
      <c r="AW1528" s="156"/>
      <c r="AX1528" s="156"/>
      <c r="AY1528" s="156"/>
      <c r="AZ1528" s="156"/>
      <c r="BA1528" s="156"/>
      <c r="BB1528" s="2828"/>
      <c r="BC1528" s="504"/>
      <c r="BD1528" s="2829"/>
      <c r="BE1528" s="156"/>
      <c r="BF1528" s="156"/>
    </row>
    <row r="1529" spans="1:60" x14ac:dyDescent="0.35">
      <c r="A1529" s="1071"/>
      <c r="B1529" s="106"/>
      <c r="C1529" s="103"/>
      <c r="D1529" s="292"/>
      <c r="E1529" s="415"/>
      <c r="F1529" s="1243"/>
      <c r="G1529" s="415"/>
      <c r="H1529" s="1243"/>
      <c r="I1529" s="1243"/>
      <c r="J1529" s="1243"/>
      <c r="K1529" s="1243"/>
      <c r="L1529" s="1243"/>
      <c r="M1529" s="1243"/>
      <c r="N1529" s="1243"/>
      <c r="O1529" s="669"/>
      <c r="P1529" s="669"/>
      <c r="Q1529" s="292"/>
      <c r="R1529" s="106"/>
      <c r="S1529" s="106"/>
      <c r="T1529" s="106"/>
      <c r="U1529" s="106"/>
      <c r="V1529" s="106"/>
      <c r="W1529" s="156"/>
      <c r="X1529" s="156"/>
      <c r="Y1529" s="156"/>
      <c r="Z1529" s="156"/>
      <c r="AA1529" s="156"/>
      <c r="AB1529" s="156"/>
      <c r="AC1529" s="156"/>
      <c r="AD1529" s="156"/>
      <c r="AE1529" s="156"/>
      <c r="AF1529" s="156"/>
      <c r="AG1529" s="156"/>
      <c r="AH1529" s="156"/>
      <c r="AI1529" s="156"/>
      <c r="AJ1529" s="156"/>
      <c r="AK1529" s="156"/>
      <c r="AL1529" s="156"/>
      <c r="AM1529" s="156"/>
      <c r="AN1529" s="156"/>
      <c r="AO1529" s="156"/>
      <c r="AP1529" s="156"/>
      <c r="AQ1529" s="156"/>
      <c r="AR1529" s="156"/>
      <c r="AS1529" s="156"/>
      <c r="AT1529" s="156"/>
      <c r="AU1529" s="156"/>
      <c r="AV1529" s="156"/>
      <c r="AW1529" s="156"/>
      <c r="AX1529" s="156"/>
      <c r="AY1529" s="156"/>
      <c r="AZ1529" s="156"/>
      <c r="BA1529" s="156"/>
      <c r="BB1529" s="2828"/>
      <c r="BC1529" s="452"/>
      <c r="BD1529" s="2829"/>
      <c r="BE1529" s="156"/>
      <c r="BF1529" s="156"/>
    </row>
    <row r="1530" spans="1:60" x14ac:dyDescent="0.35">
      <c r="A1530" s="1071"/>
      <c r="B1530" s="2325" t="s">
        <v>1145</v>
      </c>
      <c r="C1530" s="609"/>
      <c r="D1530" s="2326"/>
      <c r="E1530" s="2326"/>
      <c r="F1530" s="2326"/>
      <c r="G1530" s="2326"/>
      <c r="H1530" s="2326"/>
      <c r="I1530" s="2326"/>
      <c r="J1530" s="2326"/>
      <c r="K1530" s="2326"/>
      <c r="L1530" s="2326"/>
      <c r="M1530" s="2326"/>
      <c r="N1530" s="2326"/>
      <c r="O1530" s="2326"/>
      <c r="P1530" s="2326"/>
      <c r="Q1530" s="2384"/>
      <c r="R1530" s="106"/>
      <c r="S1530" s="106"/>
      <c r="T1530" s="106"/>
      <c r="U1530" s="106"/>
      <c r="V1530" s="3664" t="str">
        <f>B1530</f>
        <v>Air Source Heat Pumps</v>
      </c>
      <c r="W1530" s="3665"/>
      <c r="X1530" s="3665"/>
      <c r="Y1530" s="3665"/>
      <c r="Z1530" s="3665"/>
      <c r="AA1530" s="3665"/>
      <c r="AB1530" s="3665"/>
      <c r="AC1530" s="4018"/>
      <c r="AD1530" s="4018"/>
      <c r="AE1530" s="4018"/>
      <c r="AF1530" s="4018"/>
      <c r="AG1530" s="4018"/>
      <c r="AH1530" s="4019"/>
      <c r="AI1530" s="156"/>
      <c r="AJ1530" s="156"/>
      <c r="AK1530" s="156"/>
      <c r="AL1530" s="156"/>
      <c r="AM1530" s="156"/>
      <c r="AN1530" s="156"/>
      <c r="AO1530" s="156"/>
      <c r="AP1530" s="156"/>
      <c r="AQ1530" s="156"/>
      <c r="AR1530" s="156"/>
      <c r="AS1530" s="156"/>
      <c r="AT1530" s="156"/>
      <c r="AU1530" s="156"/>
      <c r="AV1530" s="156"/>
      <c r="AW1530" s="156"/>
      <c r="AX1530" s="156"/>
      <c r="AY1530" s="156"/>
      <c r="AZ1530" s="156"/>
      <c r="BA1530" s="156"/>
      <c r="BB1530" s="2828"/>
      <c r="BC1530" s="452"/>
      <c r="BD1530" s="2829"/>
      <c r="BE1530" s="156"/>
      <c r="BF1530" s="156"/>
    </row>
    <row r="1531" spans="1:60" x14ac:dyDescent="0.35">
      <c r="A1531" s="1071"/>
      <c r="B1531" s="106"/>
      <c r="C1531" s="103"/>
      <c r="D1531" s="292"/>
      <c r="E1531" s="292"/>
      <c r="F1531" s="106"/>
      <c r="G1531" s="292"/>
      <c r="H1531" s="103"/>
      <c r="I1531" s="103"/>
      <c r="J1531" s="103"/>
      <c r="K1531" s="103"/>
      <c r="L1531" s="103"/>
      <c r="M1531" s="103"/>
      <c r="N1531" s="106"/>
      <c r="O1531" s="106"/>
      <c r="P1531" s="106"/>
      <c r="Q1531" s="292"/>
      <c r="R1531" s="106"/>
      <c r="S1531" s="106"/>
      <c r="T1531" s="106"/>
      <c r="U1531" s="106"/>
      <c r="V1531" s="106"/>
      <c r="W1531" s="156"/>
      <c r="X1531" s="156"/>
      <c r="Y1531" s="156"/>
      <c r="Z1531" s="156"/>
      <c r="AA1531" s="156"/>
      <c r="AB1531" s="156"/>
      <c r="AC1531" s="156"/>
      <c r="AD1531" s="156"/>
      <c r="AE1531" s="156"/>
      <c r="AF1531" s="156"/>
      <c r="AG1531" s="156"/>
      <c r="AH1531" s="156"/>
      <c r="AI1531" s="156"/>
      <c r="AJ1531" s="156"/>
      <c r="AK1531" s="156"/>
      <c r="AL1531" s="156"/>
      <c r="AM1531" s="156"/>
      <c r="AN1531" s="156"/>
      <c r="AO1531" s="156"/>
      <c r="AP1531" s="156"/>
      <c r="AQ1531" s="156"/>
      <c r="AR1531" s="156"/>
      <c r="AS1531" s="156"/>
      <c r="AT1531" s="156"/>
      <c r="AU1531" s="156"/>
      <c r="AV1531" s="156"/>
      <c r="AW1531" s="156"/>
      <c r="AX1531" s="156"/>
      <c r="AY1531" s="156"/>
      <c r="AZ1531" s="156"/>
      <c r="BA1531" s="156"/>
      <c r="BB1531" s="2828"/>
      <c r="BC1531" s="452"/>
      <c r="BD1531" s="2829"/>
      <c r="BE1531" s="156"/>
      <c r="BF1531" s="156"/>
    </row>
    <row r="1532" spans="1:60" x14ac:dyDescent="0.35">
      <c r="A1532" s="1071"/>
      <c r="B1532" s="106"/>
      <c r="C1532" s="103"/>
      <c r="D1532" s="292" t="s">
        <v>843</v>
      </c>
      <c r="E1532" s="292"/>
      <c r="F1532" s="106"/>
      <c r="G1532" s="292"/>
      <c r="H1532" s="106"/>
      <c r="I1532" s="103"/>
      <c r="J1532" s="103"/>
      <c r="K1532" s="103"/>
      <c r="L1532" s="103"/>
      <c r="M1532" s="103"/>
      <c r="N1532" s="106"/>
      <c r="O1532" s="106"/>
      <c r="P1532" s="106"/>
      <c r="Q1532" s="292"/>
      <c r="R1532" s="106"/>
      <c r="S1532" s="106"/>
      <c r="T1532" s="106"/>
      <c r="U1532" s="106"/>
      <c r="V1532" s="106"/>
      <c r="W1532" s="156"/>
      <c r="X1532" s="156"/>
      <c r="Y1532" s="156"/>
      <c r="Z1532" s="156"/>
      <c r="AA1532" s="156"/>
      <c r="AB1532" s="156"/>
      <c r="AC1532" s="156"/>
      <c r="AD1532" s="156"/>
      <c r="AE1532" s="156"/>
      <c r="AF1532" s="156"/>
      <c r="AG1532" s="156"/>
      <c r="AH1532" s="156"/>
      <c r="AI1532" s="156"/>
      <c r="AJ1532" s="156"/>
      <c r="AK1532" s="156"/>
      <c r="AL1532" s="156"/>
      <c r="AM1532" s="156"/>
      <c r="AN1532" s="156"/>
      <c r="AO1532" s="156"/>
      <c r="AP1532" s="156"/>
      <c r="AQ1532" s="156"/>
      <c r="AR1532" s="156"/>
      <c r="AS1532" s="156"/>
      <c r="AT1532" s="156"/>
      <c r="AU1532" s="156"/>
      <c r="AV1532" s="156"/>
      <c r="AW1532" s="156"/>
      <c r="AX1532" s="156"/>
      <c r="AY1532" s="156"/>
      <c r="AZ1532" s="156"/>
      <c r="BA1532" s="156"/>
      <c r="BB1532" s="2828"/>
      <c r="BC1532" s="452"/>
      <c r="BD1532" s="2829"/>
      <c r="BE1532" s="156"/>
      <c r="BF1532" s="156"/>
    </row>
    <row r="1533" spans="1:60" ht="29" x14ac:dyDescent="0.35">
      <c r="A1533" s="1071"/>
      <c r="B1533" s="2812"/>
      <c r="C1533" s="2331" t="s">
        <v>27</v>
      </c>
      <c r="D1533" s="2331" t="s">
        <v>174</v>
      </c>
      <c r="E1533" s="2331" t="s">
        <v>29</v>
      </c>
      <c r="F1533" s="2331" t="s">
        <v>30</v>
      </c>
      <c r="G1533" s="306" t="s">
        <v>175</v>
      </c>
      <c r="H1533" s="2331" t="s">
        <v>176</v>
      </c>
      <c r="I1533" s="2331" t="s">
        <v>31</v>
      </c>
      <c r="J1533" s="2363" t="s">
        <v>180</v>
      </c>
      <c r="K1533" s="2331" t="s">
        <v>169</v>
      </c>
      <c r="L1533" s="2331" t="s">
        <v>844</v>
      </c>
      <c r="M1533" s="103"/>
      <c r="N1533" s="1317"/>
      <c r="O1533" s="106"/>
      <c r="P1533" s="106"/>
      <c r="Q1533" s="106"/>
      <c r="R1533" s="106"/>
      <c r="S1533" s="106"/>
      <c r="T1533" s="1318"/>
      <c r="U1533" s="106"/>
      <c r="V1533" s="480" t="str">
        <f>V1422</f>
        <v>REVISION DATE</v>
      </c>
      <c r="W1533" s="1573">
        <f>W$6</f>
        <v>43252</v>
      </c>
      <c r="X1533" s="1573">
        <f t="shared" ref="X1533:AG1533" si="271">X$6</f>
        <v>43465</v>
      </c>
      <c r="Y1533" s="1573">
        <f t="shared" si="271"/>
        <v>43800</v>
      </c>
      <c r="Z1533" s="1573">
        <f t="shared" si="271"/>
        <v>43862</v>
      </c>
      <c r="AA1533" s="1573">
        <f t="shared" si="271"/>
        <v>44013</v>
      </c>
      <c r="AB1533" s="1573">
        <f t="shared" si="271"/>
        <v>44166</v>
      </c>
      <c r="AC1533" s="1573">
        <f t="shared" si="271"/>
        <v>44531</v>
      </c>
      <c r="AD1533" s="1573">
        <f t="shared" si="271"/>
        <v>44774</v>
      </c>
      <c r="AE1533" s="1573" t="str">
        <f t="shared" si="271"/>
        <v>-</v>
      </c>
      <c r="AF1533" s="1573" t="str">
        <f t="shared" si="271"/>
        <v>-</v>
      </c>
      <c r="AG1533" s="1573" t="str">
        <f t="shared" si="271"/>
        <v>-</v>
      </c>
      <c r="AH1533" s="156"/>
      <c r="AI1533" s="156"/>
      <c r="AJ1533" s="156"/>
      <c r="AK1533" s="156"/>
      <c r="AL1533" s="156"/>
      <c r="AM1533" s="156"/>
      <c r="AN1533" s="156"/>
      <c r="AO1533" s="156"/>
      <c r="AP1533" s="156"/>
      <c r="AQ1533" s="156"/>
      <c r="AR1533" s="156"/>
      <c r="AS1533" s="156"/>
      <c r="AT1533" s="156"/>
      <c r="AU1533" s="156"/>
      <c r="AV1533" s="156"/>
      <c r="AW1533" s="156"/>
      <c r="AX1533" s="156"/>
      <c r="AY1533" s="156"/>
      <c r="AZ1533" s="156"/>
      <c r="BA1533" s="156"/>
      <c r="BB1533" s="2830" t="str">
        <f>$BB$6</f>
        <v>TRC (2022)</v>
      </c>
      <c r="BC1533" s="2830" t="str">
        <f>$BC$6</f>
        <v>Benefit Lookup</v>
      </c>
      <c r="BD1533" s="2866" t="str">
        <f>$BD$6</f>
        <v>Benefits (2019 $)</v>
      </c>
      <c r="BE1533" s="2867" t="str">
        <f>$BE$6</f>
        <v>Incremental Cost (2019 $)</v>
      </c>
      <c r="BF1533" s="156"/>
      <c r="BH1533" s="3390"/>
    </row>
    <row r="1534" spans="1:60" x14ac:dyDescent="0.35">
      <c r="A1534" s="1071" t="str">
        <f t="shared" ref="A1534:A1625" si="272">C1534&amp;G1534</f>
        <v>352300_2021_12_Cooling Res</v>
      </c>
      <c r="B1534" s="2812"/>
      <c r="C1534" s="1037" t="s">
        <v>1147</v>
      </c>
      <c r="D1534" s="3433" t="s">
        <v>318</v>
      </c>
      <c r="E1534" s="3418" t="s">
        <v>1148</v>
      </c>
      <c r="F1534" s="618">
        <f>ROUND(((K2712*K2905*(1/K3098-1/K3291)*K3484)/1000)*$K$3677,2)</f>
        <v>2105.67</v>
      </c>
      <c r="G1534" s="2810" t="s">
        <v>1091</v>
      </c>
      <c r="H1534" s="2720">
        <f>VLOOKUP(G1534,'CP FACTORS'!$A$3:$B$38, 2, FALSE)</f>
        <v>9.4741810000000004E-4</v>
      </c>
      <c r="I1534" s="2995">
        <f t="shared" ref="I1534:I1625" si="273">ROUND(F1534*H1534,6)</f>
        <v>1.99495</v>
      </c>
      <c r="J1534" s="124">
        <f t="shared" ref="J1534:J1565" si="274">K3678</f>
        <v>6</v>
      </c>
      <c r="K1534" s="462">
        <f t="shared" ref="K1534:K1565" si="275">K4064</f>
        <v>952.43682540301188</v>
      </c>
      <c r="L1534" s="3496">
        <f>L1940</f>
        <v>2.7180155017750378</v>
      </c>
      <c r="M1534" s="103"/>
      <c r="N1534" s="1317"/>
      <c r="O1534" s="963"/>
      <c r="P1534" s="106"/>
      <c r="Q1534" s="106"/>
      <c r="R1534" s="1214"/>
      <c r="S1534" s="106"/>
      <c r="T1534" s="106"/>
      <c r="U1534" s="1319"/>
      <c r="V1534" s="3436" t="s">
        <v>30</v>
      </c>
      <c r="W1534" s="2914">
        <v>2360.2134787689906</v>
      </c>
      <c r="X1534" s="685">
        <v>1720.2653061224485</v>
      </c>
      <c r="Y1534" s="618">
        <v>1628.99</v>
      </c>
      <c r="Z1534" s="615">
        <v>1628.99</v>
      </c>
      <c r="AA1534" s="615">
        <v>1628.99</v>
      </c>
      <c r="AB1534" s="3494">
        <v>2165.13</v>
      </c>
      <c r="AC1534" s="618">
        <v>1696.71</v>
      </c>
      <c r="AD1534" s="618">
        <v>2105.67</v>
      </c>
      <c r="AE1534" s="2914"/>
      <c r="AF1534" s="2914"/>
      <c r="AG1534" s="2914"/>
      <c r="AH1534" s="344"/>
      <c r="AI1534" s="156"/>
      <c r="AJ1534" s="3640"/>
      <c r="AK1534" s="2915"/>
      <c r="AL1534" s="156"/>
      <c r="AM1534" s="3640"/>
      <c r="AN1534" s="3640"/>
      <c r="AO1534" s="156"/>
      <c r="AP1534" s="156"/>
      <c r="AQ1534" s="156"/>
      <c r="AR1534" s="156"/>
      <c r="AS1534" s="156"/>
      <c r="AT1534" s="156"/>
      <c r="AU1534" s="156"/>
      <c r="AV1534" s="156"/>
      <c r="AW1534" s="156"/>
      <c r="AX1534" s="156"/>
      <c r="AY1534" s="156"/>
      <c r="AZ1534" s="156"/>
      <c r="BA1534" s="156"/>
      <c r="BB1534" s="2832">
        <f>(BD1534+BD1535+BD1536+BD1537)/(BE1534+BE1535+BE1536+BE1537)</f>
        <v>6.2352961397515472</v>
      </c>
      <c r="BC1534" s="2348" t="str">
        <f t="shared" ref="BC1534:BC1625" si="276">CONCATENATE(G1534," ",J1534," Year EUL")</f>
        <v>Cooling Res 6 Year EUL</v>
      </c>
      <c r="BD1534" s="2869">
        <f>(INDEX('Avoided Cost Benefits'!$E$4:$E$859,MATCH(BC1534,'Avoided Cost Benefits'!$A$4:$A$859,0)))*F1534</f>
        <v>1334.1777575370825</v>
      </c>
      <c r="BE1534" s="855">
        <f t="shared" ref="BE1534:BE1547" si="277">K1534/(1.0595^(2020-2019))</f>
        <v>898.94933969137492</v>
      </c>
      <c r="BF1534" s="156"/>
      <c r="BH1534" s="686"/>
    </row>
    <row r="1535" spans="1:60" x14ac:dyDescent="0.35">
      <c r="A1535" s="1071" t="str">
        <f t="shared" si="272"/>
        <v>352300_2021_12_Heating Res</v>
      </c>
      <c r="B1535" s="2812"/>
      <c r="C1535" s="1037" t="s">
        <v>1147</v>
      </c>
      <c r="D1535" s="1311" t="s">
        <v>318</v>
      </c>
      <c r="E1535" s="3420" t="s">
        <v>1148</v>
      </c>
      <c r="F1535" s="618">
        <f>ROUND(((K1940*K2133*(1/K2326-1/K2519)*K3484)/1000)*$K$3677,2)</f>
        <v>8749.4599999999991</v>
      </c>
      <c r="G1535" s="2810" t="s">
        <v>1092</v>
      </c>
      <c r="H1535" s="2720">
        <f>VLOOKUP(G1535,'CP FACTORS'!$A$3:$B$38, 2, FALSE)</f>
        <v>0</v>
      </c>
      <c r="I1535" s="2995">
        <f t="shared" si="273"/>
        <v>0</v>
      </c>
      <c r="J1535" s="124">
        <f t="shared" si="274"/>
        <v>6</v>
      </c>
      <c r="K1535" s="462">
        <f t="shared" si="275"/>
        <v>0</v>
      </c>
      <c r="L1535" s="3496"/>
      <c r="M1535" s="103"/>
      <c r="N1535" s="1317"/>
      <c r="O1535" s="963"/>
      <c r="P1535" s="106"/>
      <c r="Q1535" s="106"/>
      <c r="R1535" s="1214"/>
      <c r="S1535" s="106"/>
      <c r="T1535" s="106"/>
      <c r="U1535" s="1319"/>
      <c r="V1535" s="3436" t="s">
        <v>30</v>
      </c>
      <c r="W1535" s="2914">
        <v>12036.528668217206</v>
      </c>
      <c r="X1535" s="685">
        <v>9788.00163331972</v>
      </c>
      <c r="Y1535" s="618">
        <v>9262.39</v>
      </c>
      <c r="Z1535" s="615">
        <v>9262.39</v>
      </c>
      <c r="AA1535" s="615">
        <v>9262.39</v>
      </c>
      <c r="AB1535" s="3494">
        <v>9075</v>
      </c>
      <c r="AC1535" s="618">
        <v>9228.66</v>
      </c>
      <c r="AD1535" s="618">
        <v>8749.4599999999991</v>
      </c>
      <c r="AE1535" s="2914"/>
      <c r="AF1535" s="2914"/>
      <c r="AG1535" s="2914"/>
      <c r="AH1535" s="344"/>
      <c r="AI1535" s="156"/>
      <c r="AJ1535" s="3640"/>
      <c r="AK1535" s="2915"/>
      <c r="AL1535" s="156"/>
      <c r="AM1535" s="3640"/>
      <c r="AN1535" s="3640"/>
      <c r="AO1535" s="156"/>
      <c r="AP1535" s="156"/>
      <c r="AQ1535" s="156"/>
      <c r="AR1535" s="156"/>
      <c r="AS1535" s="156"/>
      <c r="AT1535" s="156"/>
      <c r="AU1535" s="156"/>
      <c r="AV1535" s="156"/>
      <c r="AW1535" s="156"/>
      <c r="AX1535" s="156"/>
      <c r="AY1535" s="156"/>
      <c r="AZ1535" s="156"/>
      <c r="BA1535" s="156"/>
      <c r="BB1535" s="2905"/>
      <c r="BC1535" s="2357" t="str">
        <f t="shared" si="276"/>
        <v>Heating Res 6 Year EUL</v>
      </c>
      <c r="BD1535" s="2829">
        <f>(INDEX('Avoided Cost Benefits'!$E$4:$E$859,MATCH(BC1535,'Avoided Cost Benefits'!$A$4:$A$859,0)))*F1535</f>
        <v>1425.647410120135</v>
      </c>
      <c r="BE1535" s="858">
        <f t="shared" si="277"/>
        <v>0</v>
      </c>
      <c r="BF1535" s="156"/>
      <c r="BH1535" s="686"/>
    </row>
    <row r="1536" spans="1:60" x14ac:dyDescent="0.35">
      <c r="A1536" s="1071" t="str">
        <f t="shared" si="272"/>
        <v>352300_2021_12_Cooling Res ER2</v>
      </c>
      <c r="B1536" s="2812"/>
      <c r="C1536" s="1037" t="s">
        <v>1147</v>
      </c>
      <c r="D1536" s="1311" t="s">
        <v>318</v>
      </c>
      <c r="E1536" s="3420" t="s">
        <v>1149</v>
      </c>
      <c r="F1536" s="618">
        <f>ROUND(((K2713*K2906*(1/K3099-1/K3292)*K3485)/1000)*$K$3677,2)</f>
        <v>334.51</v>
      </c>
      <c r="G1536" s="2810" t="s">
        <v>1133</v>
      </c>
      <c r="H1536" s="2720">
        <f>VLOOKUP(G1536,'CP FACTORS'!$A$3:$B$38, 2, FALSE)</f>
        <v>9.4741810000000004E-4</v>
      </c>
      <c r="I1536" s="2995">
        <f t="shared" si="273"/>
        <v>0.31692100000000001</v>
      </c>
      <c r="J1536" s="124">
        <f t="shared" si="274"/>
        <v>12</v>
      </c>
      <c r="K1536" s="462">
        <f t="shared" si="275"/>
        <v>0</v>
      </c>
      <c r="L1536" s="3496"/>
      <c r="M1536" s="103"/>
      <c r="N1536" s="1317"/>
      <c r="O1536" s="963"/>
      <c r="P1536" s="106"/>
      <c r="Q1536" s="106"/>
      <c r="R1536" s="1214"/>
      <c r="S1536" s="106"/>
      <c r="T1536" s="106"/>
      <c r="U1536" s="1319"/>
      <c r="V1536" s="3436" t="s">
        <v>30</v>
      </c>
      <c r="W1536" s="2914">
        <v>312.36189505858374</v>
      </c>
      <c r="X1536" s="685">
        <v>344.16219780219757</v>
      </c>
      <c r="Y1536" s="618">
        <v>324.83999999999997</v>
      </c>
      <c r="Z1536" s="615">
        <v>324.83999999999997</v>
      </c>
      <c r="AA1536" s="615">
        <v>324.83999999999997</v>
      </c>
      <c r="AB1536" s="3494">
        <v>324.12</v>
      </c>
      <c r="AC1536" s="618">
        <v>324.06</v>
      </c>
      <c r="AD1536" s="618">
        <v>334.51</v>
      </c>
      <c r="AE1536" s="2914"/>
      <c r="AF1536" s="2914"/>
      <c r="AG1536" s="2914"/>
      <c r="AH1536" s="344"/>
      <c r="AI1536" s="156"/>
      <c r="AJ1536" s="3640"/>
      <c r="AK1536" s="2915"/>
      <c r="AL1536" s="156"/>
      <c r="AM1536" s="3640"/>
      <c r="AN1536" s="3640"/>
      <c r="AO1536" s="156"/>
      <c r="AP1536" s="156"/>
      <c r="AQ1536" s="156"/>
      <c r="AR1536" s="156"/>
      <c r="AS1536" s="156"/>
      <c r="AT1536" s="156"/>
      <c r="AU1536" s="156"/>
      <c r="AV1536" s="156"/>
      <c r="AW1536" s="156"/>
      <c r="AX1536" s="156"/>
      <c r="AY1536" s="156"/>
      <c r="AZ1536" s="156"/>
      <c r="BA1536" s="156"/>
      <c r="BB1536" s="2905"/>
      <c r="BC1536" s="2357" t="str">
        <f t="shared" si="276"/>
        <v>Cooling Res ER2 12 Year EUL</v>
      </c>
      <c r="BD1536" s="2829">
        <f>(INDEX('Avoided Cost Benefits'!$E$4:$E$859,MATCH(BC1536,'Avoided Cost Benefits'!$A$4:$A$859,0)))*F1536</f>
        <v>370.14546204936914</v>
      </c>
      <c r="BE1536" s="858">
        <f t="shared" si="277"/>
        <v>0</v>
      </c>
      <c r="BF1536" s="156"/>
      <c r="BH1536" s="686"/>
    </row>
    <row r="1537" spans="1:60" x14ac:dyDescent="0.35">
      <c r="A1537" s="1071" t="str">
        <f t="shared" si="272"/>
        <v>352300_2021_12_Heating Res ER2</v>
      </c>
      <c r="B1537" s="2812"/>
      <c r="C1537" s="1037" t="s">
        <v>1147</v>
      </c>
      <c r="D1537" s="1311" t="s">
        <v>318</v>
      </c>
      <c r="E1537" s="3419" t="s">
        <v>1149</v>
      </c>
      <c r="F1537" s="618">
        <f>ROUND(((K1941*K2134*(1/K2327-1/K2520)*K3485)/1000)*$K$3677,2)</f>
        <v>8749.4599999999991</v>
      </c>
      <c r="G1537" s="2810" t="s">
        <v>1150</v>
      </c>
      <c r="H1537" s="2720">
        <f>VLOOKUP(G1537,'CP FACTORS'!$A$3:$B$38, 2, FALSE)</f>
        <v>0</v>
      </c>
      <c r="I1537" s="2995">
        <f t="shared" si="273"/>
        <v>0</v>
      </c>
      <c r="J1537" s="124">
        <f t="shared" si="274"/>
        <v>12</v>
      </c>
      <c r="K1537" s="462">
        <f t="shared" si="275"/>
        <v>0</v>
      </c>
      <c r="L1537" s="3496"/>
      <c r="M1537" s="103"/>
      <c r="N1537" s="1317"/>
      <c r="O1537" s="963"/>
      <c r="P1537" s="106"/>
      <c r="Q1537" s="106"/>
      <c r="R1537" s="1214"/>
      <c r="S1537" s="106"/>
      <c r="T1537" s="106"/>
      <c r="U1537" s="1319"/>
      <c r="V1537" s="3436" t="s">
        <v>30</v>
      </c>
      <c r="W1537" s="2914">
        <v>12036.528668217206</v>
      </c>
      <c r="X1537" s="685">
        <v>9788.00163331972</v>
      </c>
      <c r="Y1537" s="618">
        <v>9262.39</v>
      </c>
      <c r="Z1537" s="615">
        <v>9262.39</v>
      </c>
      <c r="AA1537" s="615">
        <v>9262.39</v>
      </c>
      <c r="AB1537" s="3494">
        <v>9075</v>
      </c>
      <c r="AC1537" s="618">
        <v>9228.66</v>
      </c>
      <c r="AD1537" s="618">
        <v>8749.4599999999991</v>
      </c>
      <c r="AE1537" s="2914"/>
      <c r="AF1537" s="2914"/>
      <c r="AG1537" s="2914"/>
      <c r="AH1537" s="344"/>
      <c r="AI1537" s="156"/>
      <c r="AJ1537" s="3640"/>
      <c r="AK1537" s="2915"/>
      <c r="AL1537" s="156"/>
      <c r="AM1537" s="3640"/>
      <c r="AN1537" s="3640"/>
      <c r="AO1537" s="156"/>
      <c r="AP1537" s="156"/>
      <c r="AQ1537" s="156"/>
      <c r="AR1537" s="156"/>
      <c r="AS1537" s="156"/>
      <c r="AT1537" s="156"/>
      <c r="AU1537" s="156"/>
      <c r="AV1537" s="156"/>
      <c r="AW1537" s="156"/>
      <c r="AX1537" s="156"/>
      <c r="AY1537" s="156"/>
      <c r="AZ1537" s="156"/>
      <c r="BA1537" s="156"/>
      <c r="BB1537" s="2905"/>
      <c r="BC1537" s="2349" t="str">
        <f t="shared" si="276"/>
        <v>Heating Res ER2 12 Year EUL</v>
      </c>
      <c r="BD1537" s="2829">
        <f>(INDEX('Avoided Cost Benefits'!$E$4:$E$859,MATCH(BC1537,'Avoided Cost Benefits'!$A$4:$A$859,0)))*F1537</f>
        <v>2475.2447179032456</v>
      </c>
      <c r="BE1537" s="858">
        <f t="shared" si="277"/>
        <v>0</v>
      </c>
      <c r="BF1537" s="156"/>
      <c r="BH1537" s="686"/>
    </row>
    <row r="1538" spans="1:60" x14ac:dyDescent="0.35">
      <c r="A1538" s="1071" t="str">
        <f t="shared" si="272"/>
        <v>352310_2021_12_Cooling Res</v>
      </c>
      <c r="B1538" s="2812"/>
      <c r="C1538" s="1037" t="s">
        <v>1151</v>
      </c>
      <c r="D1538" s="1311" t="s">
        <v>318</v>
      </c>
      <c r="E1538" s="3420" t="s">
        <v>1152</v>
      </c>
      <c r="F1538" s="618">
        <f>ROUND(((K2714*K2907*(1/K3100-1/K3293)*K3486)/1000)*$K$3677,2)</f>
        <v>2105.67</v>
      </c>
      <c r="G1538" s="2810" t="s">
        <v>1091</v>
      </c>
      <c r="H1538" s="2720">
        <f>VLOOKUP(G1538,'CP FACTORS'!$A$3:$B$38, 2, FALSE)</f>
        <v>9.4741810000000004E-4</v>
      </c>
      <c r="I1538" s="2995">
        <f t="shared" si="273"/>
        <v>1.99495</v>
      </c>
      <c r="J1538" s="124">
        <f t="shared" si="274"/>
        <v>6</v>
      </c>
      <c r="K1538" s="462">
        <f t="shared" si="275"/>
        <v>952.43682540301188</v>
      </c>
      <c r="L1538" s="3496">
        <f>L1942</f>
        <v>2.7180155017750378</v>
      </c>
      <c r="M1538" s="103"/>
      <c r="N1538" s="1317"/>
      <c r="O1538" s="963"/>
      <c r="P1538" s="106"/>
      <c r="Q1538" s="106"/>
      <c r="R1538" s="1214"/>
      <c r="S1538" s="106"/>
      <c r="T1538" s="106"/>
      <c r="U1538" s="1319"/>
      <c r="V1538" s="1590" t="s">
        <v>30</v>
      </c>
      <c r="W1538" s="2914"/>
      <c r="X1538" s="685"/>
      <c r="Y1538" s="618"/>
      <c r="Z1538" s="615"/>
      <c r="AA1538" s="615"/>
      <c r="AB1538" s="3494"/>
      <c r="AC1538" s="618">
        <v>1696.71</v>
      </c>
      <c r="AD1538" s="618">
        <v>2105.67</v>
      </c>
      <c r="AE1538" s="2914"/>
      <c r="AF1538" s="2914"/>
      <c r="AG1538" s="2914"/>
      <c r="AH1538" s="344"/>
      <c r="AI1538" s="156"/>
      <c r="AJ1538" s="3640"/>
      <c r="AK1538" s="2915"/>
      <c r="AL1538" s="156"/>
      <c r="AM1538" s="3640"/>
      <c r="AN1538" s="3640"/>
      <c r="AO1538" s="156"/>
      <c r="AP1538" s="156"/>
      <c r="AQ1538" s="156"/>
      <c r="AR1538" s="156"/>
      <c r="AS1538" s="156"/>
      <c r="AT1538" s="156"/>
      <c r="AU1538" s="156"/>
      <c r="AV1538" s="156"/>
      <c r="AW1538" s="156"/>
      <c r="AX1538" s="156"/>
      <c r="AY1538" s="156"/>
      <c r="AZ1538" s="156"/>
      <c r="BA1538" s="156"/>
      <c r="BB1538" s="3292">
        <f>(BD1538+BD1539+BD1540+BD1541)/(BE1538+BE1539+BE1540+BE1541)</f>
        <v>1.8959057472266188</v>
      </c>
      <c r="BC1538" s="2742" t="str">
        <f t="shared" si="276"/>
        <v>Cooling Res 6 Year EUL</v>
      </c>
      <c r="BD1538" s="1841">
        <f>(INDEX('Avoided Cost Benefits'!$E$4:$E$859,MATCH(BC1538,'Avoided Cost Benefits'!$A$4:$A$859,0)))*F1538</f>
        <v>1334.1777575370825</v>
      </c>
      <c r="BE1538" s="2507">
        <f t="shared" ref="BE1538:BE1541" si="278">K1538/(1.0595^(2020-2019))</f>
        <v>898.94933969137492</v>
      </c>
      <c r="BF1538" s="156"/>
      <c r="BH1538" s="686"/>
    </row>
    <row r="1539" spans="1:60" x14ac:dyDescent="0.35">
      <c r="A1539" s="1071" t="str">
        <f t="shared" si="272"/>
        <v>352310_2021_12_Heating Res</v>
      </c>
      <c r="B1539" s="2812"/>
      <c r="C1539" s="1037" t="s">
        <v>1151</v>
      </c>
      <c r="D1539" s="1311" t="s">
        <v>318</v>
      </c>
      <c r="E1539" s="3420" t="s">
        <v>1152</v>
      </c>
      <c r="F1539" s="615">
        <f>0</f>
        <v>0</v>
      </c>
      <c r="G1539" s="1313" t="s">
        <v>1092</v>
      </c>
      <c r="H1539" s="136">
        <f>VLOOKUP(G1539,'CP FACTORS'!$A$3:$B$38, 2, FALSE)</f>
        <v>0</v>
      </c>
      <c r="I1539" s="3497">
        <f t="shared" si="273"/>
        <v>0</v>
      </c>
      <c r="J1539" s="124">
        <f t="shared" si="274"/>
        <v>6</v>
      </c>
      <c r="K1539" s="462">
        <f t="shared" si="275"/>
        <v>0</v>
      </c>
      <c r="L1539" s="3496"/>
      <c r="M1539" s="103"/>
      <c r="N1539" s="1317"/>
      <c r="O1539" s="963"/>
      <c r="P1539" s="106"/>
      <c r="Q1539" s="106"/>
      <c r="R1539" s="1214"/>
      <c r="S1539" s="106"/>
      <c r="T1539" s="106"/>
      <c r="U1539" s="1319"/>
      <c r="V1539" s="1590" t="s">
        <v>30</v>
      </c>
      <c r="W1539" s="2914"/>
      <c r="X1539" s="685"/>
      <c r="Y1539" s="618"/>
      <c r="Z1539" s="615"/>
      <c r="AA1539" s="615"/>
      <c r="AB1539" s="3494"/>
      <c r="AC1539" s="618">
        <v>0</v>
      </c>
      <c r="AD1539" s="615">
        <v>0</v>
      </c>
      <c r="AE1539" s="2914"/>
      <c r="AF1539" s="2914"/>
      <c r="AG1539" s="2914"/>
      <c r="AH1539" s="344"/>
      <c r="AI1539" s="156"/>
      <c r="AJ1539" s="3640"/>
      <c r="AK1539" s="2915"/>
      <c r="AL1539" s="156"/>
      <c r="AM1539" s="3640"/>
      <c r="AN1539" s="3640"/>
      <c r="AO1539" s="156"/>
      <c r="AP1539" s="156"/>
      <c r="AQ1539" s="156"/>
      <c r="AR1539" s="156"/>
      <c r="AS1539" s="156"/>
      <c r="AT1539" s="156"/>
      <c r="AU1539" s="156"/>
      <c r="AV1539" s="156"/>
      <c r="AW1539" s="156"/>
      <c r="AX1539" s="156"/>
      <c r="AY1539" s="156"/>
      <c r="AZ1539" s="156"/>
      <c r="BA1539" s="156"/>
      <c r="BB1539" s="2905"/>
      <c r="BC1539" s="2742" t="str">
        <f t="shared" si="276"/>
        <v>Heating Res 6 Year EUL</v>
      </c>
      <c r="BD1539" s="1841">
        <f>(INDEX('Avoided Cost Benefits'!$E$4:$E$859,MATCH(BC1539,'Avoided Cost Benefits'!$A$4:$A$859,0)))*F1539</f>
        <v>0</v>
      </c>
      <c r="BE1539" s="2507">
        <f t="shared" si="278"/>
        <v>0</v>
      </c>
      <c r="BF1539" s="156"/>
      <c r="BH1539" s="686"/>
    </row>
    <row r="1540" spans="1:60" x14ac:dyDescent="0.35">
      <c r="A1540" s="1071" t="str">
        <f t="shared" si="272"/>
        <v>352310_2021_12_Cooling Res ER2</v>
      </c>
      <c r="B1540" s="2812"/>
      <c r="C1540" s="1037" t="s">
        <v>1151</v>
      </c>
      <c r="D1540" s="1311" t="s">
        <v>318</v>
      </c>
      <c r="E1540" s="3420" t="s">
        <v>1153</v>
      </c>
      <c r="F1540" s="618">
        <f>ROUND(((K2715*K2908*(1/K3101-1/K3294)*K3487)/1000)*$K$3677,2)</f>
        <v>334.51</v>
      </c>
      <c r="G1540" s="2810" t="s">
        <v>1133</v>
      </c>
      <c r="H1540" s="2720">
        <f>VLOOKUP(G1540,'CP FACTORS'!$A$3:$B$38, 2, FALSE)</f>
        <v>9.4741810000000004E-4</v>
      </c>
      <c r="I1540" s="2995">
        <f t="shared" si="273"/>
        <v>0.31692100000000001</v>
      </c>
      <c r="J1540" s="124">
        <f t="shared" si="274"/>
        <v>12</v>
      </c>
      <c r="K1540" s="462">
        <f t="shared" si="275"/>
        <v>0</v>
      </c>
      <c r="L1540" s="3496"/>
      <c r="M1540" s="103"/>
      <c r="N1540" s="1317"/>
      <c r="O1540" s="963"/>
      <c r="P1540" s="106"/>
      <c r="Q1540" s="106"/>
      <c r="R1540" s="1214"/>
      <c r="S1540" s="106"/>
      <c r="T1540" s="106"/>
      <c r="U1540" s="1319"/>
      <c r="V1540" s="1590" t="s">
        <v>30</v>
      </c>
      <c r="W1540" s="2914"/>
      <c r="X1540" s="685"/>
      <c r="Y1540" s="618"/>
      <c r="Z1540" s="615"/>
      <c r="AA1540" s="615"/>
      <c r="AB1540" s="3494"/>
      <c r="AC1540" s="618">
        <v>324.06</v>
      </c>
      <c r="AD1540" s="618">
        <v>334.51</v>
      </c>
      <c r="AE1540" s="2914"/>
      <c r="AF1540" s="2914"/>
      <c r="AG1540" s="2914"/>
      <c r="AH1540" s="344"/>
      <c r="AI1540" s="156"/>
      <c r="AJ1540" s="3640"/>
      <c r="AK1540" s="2915"/>
      <c r="AL1540" s="156"/>
      <c r="AM1540" s="3640"/>
      <c r="AN1540" s="3640"/>
      <c r="AO1540" s="156"/>
      <c r="AP1540" s="156"/>
      <c r="AQ1540" s="156"/>
      <c r="AR1540" s="156"/>
      <c r="AS1540" s="156"/>
      <c r="AT1540" s="156"/>
      <c r="AU1540" s="156"/>
      <c r="AV1540" s="156"/>
      <c r="AW1540" s="156"/>
      <c r="AX1540" s="156"/>
      <c r="AY1540" s="156"/>
      <c r="AZ1540" s="156"/>
      <c r="BA1540" s="156"/>
      <c r="BB1540" s="2905"/>
      <c r="BC1540" s="2742" t="str">
        <f t="shared" si="276"/>
        <v>Cooling Res ER2 12 Year EUL</v>
      </c>
      <c r="BD1540" s="1841">
        <f>(INDEX('Avoided Cost Benefits'!$E$4:$E$859,MATCH(BC1540,'Avoided Cost Benefits'!$A$4:$A$859,0)))*F1540</f>
        <v>370.14546204936914</v>
      </c>
      <c r="BE1540" s="2507">
        <f t="shared" si="278"/>
        <v>0</v>
      </c>
      <c r="BF1540" s="156"/>
      <c r="BH1540" s="686"/>
    </row>
    <row r="1541" spans="1:60" x14ac:dyDescent="0.35">
      <c r="A1541" s="1071" t="str">
        <f t="shared" si="272"/>
        <v>352310_2021_12_Heating Res ER2</v>
      </c>
      <c r="B1541" s="2812"/>
      <c r="C1541" s="1037" t="s">
        <v>1151</v>
      </c>
      <c r="D1541" s="1311" t="s">
        <v>318</v>
      </c>
      <c r="E1541" s="3420" t="s">
        <v>1153</v>
      </c>
      <c r="F1541" s="615">
        <f>0</f>
        <v>0</v>
      </c>
      <c r="G1541" s="1313" t="s">
        <v>1150</v>
      </c>
      <c r="H1541" s="136">
        <f>VLOOKUP(G1541,'CP FACTORS'!$A$3:$B$38, 2, FALSE)</f>
        <v>0</v>
      </c>
      <c r="I1541" s="3497">
        <f t="shared" si="273"/>
        <v>0</v>
      </c>
      <c r="J1541" s="124">
        <f t="shared" si="274"/>
        <v>12</v>
      </c>
      <c r="K1541" s="462">
        <f t="shared" si="275"/>
        <v>0</v>
      </c>
      <c r="L1541" s="3496"/>
      <c r="M1541" s="103"/>
      <c r="N1541" s="1317"/>
      <c r="O1541" s="963"/>
      <c r="P1541" s="106"/>
      <c r="Q1541" s="106"/>
      <c r="R1541" s="1214"/>
      <c r="S1541" s="106"/>
      <c r="T1541" s="106"/>
      <c r="U1541" s="1319"/>
      <c r="V1541" s="1590" t="s">
        <v>30</v>
      </c>
      <c r="W1541" s="2914"/>
      <c r="X1541" s="685"/>
      <c r="Y1541" s="618"/>
      <c r="Z1541" s="615"/>
      <c r="AA1541" s="615"/>
      <c r="AB1541" s="3494"/>
      <c r="AC1541" s="618">
        <v>0</v>
      </c>
      <c r="AD1541" s="615">
        <v>0</v>
      </c>
      <c r="AE1541" s="2914"/>
      <c r="AF1541" s="2914"/>
      <c r="AG1541" s="2914"/>
      <c r="AH1541" s="344"/>
      <c r="AI1541" s="156"/>
      <c r="AJ1541" s="3640"/>
      <c r="AK1541" s="2915"/>
      <c r="AL1541" s="156"/>
      <c r="AM1541" s="3640"/>
      <c r="AN1541" s="3640"/>
      <c r="AO1541" s="156"/>
      <c r="AP1541" s="156"/>
      <c r="AQ1541" s="156"/>
      <c r="AR1541" s="156"/>
      <c r="AS1541" s="156"/>
      <c r="AT1541" s="156"/>
      <c r="AU1541" s="156"/>
      <c r="AV1541" s="156"/>
      <c r="AW1541" s="156"/>
      <c r="AX1541" s="156"/>
      <c r="AY1541" s="156"/>
      <c r="AZ1541" s="156"/>
      <c r="BA1541" s="156"/>
      <c r="BB1541" s="2905"/>
      <c r="BC1541" s="2742" t="str">
        <f t="shared" si="276"/>
        <v>Heating Res ER2 12 Year EUL</v>
      </c>
      <c r="BD1541" s="1841">
        <f>(INDEX('Avoided Cost Benefits'!$E$4:$E$859,MATCH(BC1541,'Avoided Cost Benefits'!$A$4:$A$859,0)))*F1541</f>
        <v>0</v>
      </c>
      <c r="BE1541" s="2507">
        <f t="shared" si="278"/>
        <v>0</v>
      </c>
      <c r="BF1541" s="156"/>
      <c r="BH1541" s="686"/>
    </row>
    <row r="1542" spans="1:60" x14ac:dyDescent="0.35">
      <c r="A1542" s="1071" t="str">
        <f t="shared" si="272"/>
        <v>352350_2021_12_Cooling Res</v>
      </c>
      <c r="B1542" s="2812"/>
      <c r="C1542" s="1037" t="s">
        <v>1155</v>
      </c>
      <c r="D1542" s="1311" t="s">
        <v>318</v>
      </c>
      <c r="E1542" s="3418" t="s">
        <v>1156</v>
      </c>
      <c r="F1542" s="618">
        <f>ROUND(((K2716*K2909*(1/K3102-1/K3295)*K3488)/1000)*$K$3677,2)</f>
        <v>2105.67</v>
      </c>
      <c r="G1542" s="2810" t="s">
        <v>1091</v>
      </c>
      <c r="H1542" s="2720">
        <f>VLOOKUP(G1542,'CP FACTORS'!$A$3:$B$38, 2, FALSE)</f>
        <v>9.4741810000000004E-4</v>
      </c>
      <c r="I1542" s="2995">
        <f t="shared" si="273"/>
        <v>1.99495</v>
      </c>
      <c r="J1542" s="124">
        <f t="shared" si="274"/>
        <v>6</v>
      </c>
      <c r="K1542" s="462">
        <f t="shared" si="275"/>
        <v>952.43682540301188</v>
      </c>
      <c r="L1542" s="3496">
        <f>L1944</f>
        <v>2.7180155017750378</v>
      </c>
      <c r="M1542" s="103"/>
      <c r="N1542" s="1317"/>
      <c r="O1542" s="963"/>
      <c r="P1542" s="106"/>
      <c r="Q1542" s="106"/>
      <c r="R1542" s="1214"/>
      <c r="S1542" s="106"/>
      <c r="T1542" s="106"/>
      <c r="U1542" s="1319"/>
      <c r="V1542" s="3436" t="s">
        <v>30</v>
      </c>
      <c r="W1542" s="2914">
        <v>2348.9856512141278</v>
      </c>
      <c r="X1542" s="685">
        <v>1720.2653061224485</v>
      </c>
      <c r="Y1542" s="618">
        <v>1647.18</v>
      </c>
      <c r="Z1542" s="615">
        <v>1647.18</v>
      </c>
      <c r="AA1542" s="615">
        <v>1647.18</v>
      </c>
      <c r="AB1542" s="3494">
        <v>2190.89</v>
      </c>
      <c r="AC1542" s="618">
        <v>1735.46</v>
      </c>
      <c r="AD1542" s="618">
        <v>2105.67</v>
      </c>
      <c r="AE1542" s="2914"/>
      <c r="AF1542" s="2914"/>
      <c r="AG1542" s="2914"/>
      <c r="AH1542" s="344"/>
      <c r="AI1542" s="156"/>
      <c r="AJ1542" s="3640"/>
      <c r="AK1542" s="2915"/>
      <c r="AL1542" s="156"/>
      <c r="AM1542" s="3640"/>
      <c r="AN1542" s="3640"/>
      <c r="AO1542" s="156"/>
      <c r="AP1542" s="156"/>
      <c r="AQ1542" s="156"/>
      <c r="AR1542" s="156"/>
      <c r="AS1542" s="156"/>
      <c r="AT1542" s="156"/>
      <c r="AU1542" s="156"/>
      <c r="AV1542" s="156"/>
      <c r="AW1542" s="156"/>
      <c r="AX1542" s="156"/>
      <c r="AY1542" s="156"/>
      <c r="AZ1542" s="156"/>
      <c r="BA1542" s="156"/>
      <c r="BB1542" s="2833">
        <f>(BD1542+BD1543+BD1544+BD1545)/(BE1542+BE1543+BE1544+BE1545)</f>
        <v>2.1464910203783085</v>
      </c>
      <c r="BC1542" s="2348" t="str">
        <f t="shared" si="276"/>
        <v>Cooling Res 6 Year EUL</v>
      </c>
      <c r="BD1542" s="2829">
        <f>(INDEX('Avoided Cost Benefits'!$E$4:$E$859,MATCH(BC1542,'Avoided Cost Benefits'!$A$4:$A$859,0)))*F1542</f>
        <v>1334.1777575370825</v>
      </c>
      <c r="BE1542" s="858">
        <f t="shared" si="277"/>
        <v>898.94933969137492</v>
      </c>
      <c r="BF1542" s="156"/>
      <c r="BH1542" s="686"/>
    </row>
    <row r="1543" spans="1:60" x14ac:dyDescent="0.35">
      <c r="A1543" s="1071" t="str">
        <f t="shared" si="272"/>
        <v>352350_2021_12_Heating Res</v>
      </c>
      <c r="B1543" s="2812"/>
      <c r="C1543" s="1037" t="s">
        <v>1155</v>
      </c>
      <c r="D1543" s="1311" t="s">
        <v>318</v>
      </c>
      <c r="E1543" s="3420" t="s">
        <v>1156</v>
      </c>
      <c r="F1543" s="618">
        <f>ROUND(((K1944*K2137*(1/K2330-1/K2523)*K3488)/1000)*$K$3677,2)</f>
        <v>1855.9</v>
      </c>
      <c r="G1543" s="2810" t="s">
        <v>1092</v>
      </c>
      <c r="H1543" s="2720">
        <f>VLOOKUP(G1543,'CP FACTORS'!$A$3:$B$38, 2, FALSE)</f>
        <v>0</v>
      </c>
      <c r="I1543" s="2995">
        <f t="shared" si="273"/>
        <v>0</v>
      </c>
      <c r="J1543" s="124">
        <f t="shared" si="274"/>
        <v>6</v>
      </c>
      <c r="K1543" s="462">
        <f t="shared" si="275"/>
        <v>0</v>
      </c>
      <c r="L1543" s="3496"/>
      <c r="M1543" s="103"/>
      <c r="N1543" s="1317"/>
      <c r="O1543" s="963"/>
      <c r="P1543" s="106"/>
      <c r="Q1543" s="106"/>
      <c r="R1543" s="1214"/>
      <c r="S1543" s="106"/>
      <c r="T1543" s="106"/>
      <c r="U1543" s="1319"/>
      <c r="V1543" s="3436" t="s">
        <v>30</v>
      </c>
      <c r="W1543" s="2914">
        <v>5147.8078093306267</v>
      </c>
      <c r="X1543" s="685">
        <v>2027.0807587241729</v>
      </c>
      <c r="Y1543" s="618">
        <v>1982.47</v>
      </c>
      <c r="Z1543" s="615">
        <v>1982.47</v>
      </c>
      <c r="AA1543" s="615">
        <v>1982.47</v>
      </c>
      <c r="AB1543" s="3494">
        <v>1893.17</v>
      </c>
      <c r="AC1543" s="618">
        <v>2167.42</v>
      </c>
      <c r="AD1543" s="618">
        <v>1855.9</v>
      </c>
      <c r="AE1543" s="2914"/>
      <c r="AF1543" s="2914"/>
      <c r="AG1543" s="2914"/>
      <c r="AH1543" s="344"/>
      <c r="AI1543" s="156"/>
      <c r="AJ1543" s="3640"/>
      <c r="AK1543" s="2915"/>
      <c r="AL1543" s="156"/>
      <c r="AM1543" s="3640"/>
      <c r="AN1543" s="3640"/>
      <c r="AO1543" s="156"/>
      <c r="AP1543" s="156"/>
      <c r="AQ1543" s="156"/>
      <c r="AR1543" s="156"/>
      <c r="AS1543" s="156"/>
      <c r="AT1543" s="156"/>
      <c r="AU1543" s="156"/>
      <c r="AV1543" s="156"/>
      <c r="AW1543" s="156"/>
      <c r="AX1543" s="156"/>
      <c r="AY1543" s="156"/>
      <c r="AZ1543" s="156"/>
      <c r="BA1543" s="156"/>
      <c r="BB1543" s="2905"/>
      <c r="BC1543" s="2357" t="str">
        <f t="shared" si="276"/>
        <v>Heating Res 6 Year EUL</v>
      </c>
      <c r="BD1543" s="2829">
        <f>(INDEX('Avoided Cost Benefits'!$E$4:$E$859,MATCH(BC1543,'Avoided Cost Benefits'!$A$4:$A$859,0)))*F1543</f>
        <v>302.40255152226069</v>
      </c>
      <c r="BE1543" s="858">
        <f t="shared" si="277"/>
        <v>0</v>
      </c>
      <c r="BF1543" s="156"/>
      <c r="BH1543" s="686"/>
    </row>
    <row r="1544" spans="1:60" x14ac:dyDescent="0.35">
      <c r="A1544" s="1071" t="str">
        <f t="shared" si="272"/>
        <v>352350_2021_12_Cooling Res ER2</v>
      </c>
      <c r="B1544" s="2812"/>
      <c r="C1544" s="1037" t="s">
        <v>1155</v>
      </c>
      <c r="D1544" s="1311" t="s">
        <v>318</v>
      </c>
      <c r="E1544" s="3420" t="s">
        <v>1157</v>
      </c>
      <c r="F1544" s="618">
        <f>ROUND(((K2717*K2910*(1/K3103-1/K3296)*K3489)/1000)*$K$3677,2)</f>
        <v>164.86</v>
      </c>
      <c r="G1544" s="2810" t="s">
        <v>1133</v>
      </c>
      <c r="H1544" s="2720">
        <f>VLOOKUP(G1544,'CP FACTORS'!$A$3:$B$38, 2, FALSE)</f>
        <v>9.4741810000000004E-4</v>
      </c>
      <c r="I1544" s="2995">
        <f t="shared" si="273"/>
        <v>0.156191</v>
      </c>
      <c r="J1544" s="124">
        <f t="shared" si="274"/>
        <v>12</v>
      </c>
      <c r="K1544" s="462">
        <f t="shared" si="275"/>
        <v>0</v>
      </c>
      <c r="L1544" s="3496"/>
      <c r="M1544" s="103"/>
      <c r="N1544" s="1317"/>
      <c r="O1544" s="963"/>
      <c r="P1544" s="106"/>
      <c r="Q1544" s="106"/>
      <c r="R1544" s="1214"/>
      <c r="S1544" s="106"/>
      <c r="T1544" s="106"/>
      <c r="U1544" s="1319"/>
      <c r="V1544" s="3436" t="s">
        <v>30</v>
      </c>
      <c r="W1544" s="2914">
        <v>168.20946073793726</v>
      </c>
      <c r="X1544" s="685">
        <v>168.83428571428527</v>
      </c>
      <c r="Y1544" s="618">
        <v>161.66</v>
      </c>
      <c r="Z1544" s="615">
        <v>161.66</v>
      </c>
      <c r="AA1544" s="615">
        <v>161.66</v>
      </c>
      <c r="AB1544" s="3494">
        <v>171.72</v>
      </c>
      <c r="AC1544" s="618">
        <v>175.54</v>
      </c>
      <c r="AD1544" s="618">
        <v>164.86</v>
      </c>
      <c r="AE1544" s="2914"/>
      <c r="AF1544" s="2914"/>
      <c r="AG1544" s="2914"/>
      <c r="AH1544" s="344"/>
      <c r="AI1544" s="156"/>
      <c r="AJ1544" s="3640"/>
      <c r="AK1544" s="2915"/>
      <c r="AL1544" s="156"/>
      <c r="AM1544" s="3640"/>
      <c r="AN1544" s="3640"/>
      <c r="AO1544" s="156"/>
      <c r="AP1544" s="156"/>
      <c r="AQ1544" s="156"/>
      <c r="AR1544" s="156"/>
      <c r="AS1544" s="156"/>
      <c r="AT1544" s="156"/>
      <c r="AU1544" s="156"/>
      <c r="AV1544" s="156"/>
      <c r="AW1544" s="156"/>
      <c r="AX1544" s="156"/>
      <c r="AY1544" s="156"/>
      <c r="AZ1544" s="156"/>
      <c r="BA1544" s="156"/>
      <c r="BB1544" s="2905"/>
      <c r="BC1544" s="2357" t="str">
        <f t="shared" si="276"/>
        <v>Cooling Res ER2 12 Year EUL</v>
      </c>
      <c r="BD1544" s="2829">
        <f>(INDEX('Avoided Cost Benefits'!$E$4:$E$859,MATCH(BC1544,'Avoided Cost Benefits'!$A$4:$A$859,0)))*F1544</f>
        <v>182.4225908745897</v>
      </c>
      <c r="BE1544" s="858">
        <f t="shared" si="277"/>
        <v>0</v>
      </c>
      <c r="BF1544" s="156"/>
      <c r="BH1544" s="686"/>
    </row>
    <row r="1545" spans="1:60" x14ac:dyDescent="0.35">
      <c r="A1545" s="1071" t="str">
        <f t="shared" si="272"/>
        <v>352350_2021_12_Heating Res ER2</v>
      </c>
      <c r="B1545" s="2812"/>
      <c r="C1545" s="1037" t="s">
        <v>1155</v>
      </c>
      <c r="D1545" s="1311" t="s">
        <v>318</v>
      </c>
      <c r="E1545" s="3419" t="s">
        <v>1157</v>
      </c>
      <c r="F1545" s="618">
        <f>ROUND(((K1945*K2138*(1/K2331-1/K2524)*K3489)/1000)*$K$3677,2)</f>
        <v>390.89</v>
      </c>
      <c r="G1545" s="2810" t="s">
        <v>1150</v>
      </c>
      <c r="H1545" s="2720">
        <f>VLOOKUP(G1545,'CP FACTORS'!$A$3:$B$38, 2, FALSE)</f>
        <v>0</v>
      </c>
      <c r="I1545" s="2995">
        <f t="shared" si="273"/>
        <v>0</v>
      </c>
      <c r="J1545" s="124">
        <f t="shared" si="274"/>
        <v>12</v>
      </c>
      <c r="K1545" s="462">
        <f t="shared" si="275"/>
        <v>0</v>
      </c>
      <c r="L1545" s="3496"/>
      <c r="M1545" s="103"/>
      <c r="N1545" s="1317"/>
      <c r="O1545" s="963"/>
      <c r="P1545" s="106"/>
      <c r="Q1545" s="106"/>
      <c r="R1545" s="1214"/>
      <c r="S1545" s="106"/>
      <c r="T1545" s="106"/>
      <c r="U1545" s="1319"/>
      <c r="V1545" s="3436" t="s">
        <v>30</v>
      </c>
      <c r="W1545" s="2914">
        <v>523.79310344827582</v>
      </c>
      <c r="X1545" s="685">
        <v>377.74325409076874</v>
      </c>
      <c r="Y1545" s="618">
        <v>403.2</v>
      </c>
      <c r="Z1545" s="615">
        <v>403.2</v>
      </c>
      <c r="AA1545" s="615">
        <v>403.2</v>
      </c>
      <c r="AB1545" s="3494">
        <v>221.27</v>
      </c>
      <c r="AC1545" s="618">
        <v>483.92</v>
      </c>
      <c r="AD1545" s="618">
        <v>390.89</v>
      </c>
      <c r="AE1545" s="2914"/>
      <c r="AF1545" s="2914"/>
      <c r="AG1545" s="2914"/>
      <c r="AH1545" s="344"/>
      <c r="AI1545" s="156"/>
      <c r="AJ1545" s="3640"/>
      <c r="AK1545" s="2915"/>
      <c r="AL1545" s="156"/>
      <c r="AM1545" s="3640"/>
      <c r="AN1545" s="3640"/>
      <c r="AO1545" s="156"/>
      <c r="AP1545" s="156"/>
      <c r="AQ1545" s="156"/>
      <c r="AR1545" s="156"/>
      <c r="AS1545" s="156"/>
      <c r="AT1545" s="156"/>
      <c r="AU1545" s="156"/>
      <c r="AV1545" s="156"/>
      <c r="AW1545" s="156"/>
      <c r="AX1545" s="156"/>
      <c r="AY1545" s="156"/>
      <c r="AZ1545" s="156"/>
      <c r="BA1545" s="156"/>
      <c r="BB1545" s="2905"/>
      <c r="BC1545" s="2349" t="str">
        <f t="shared" si="276"/>
        <v>Heating Res ER2 12 Year EUL</v>
      </c>
      <c r="BD1545" s="2829">
        <f>(INDEX('Avoided Cost Benefits'!$E$4:$E$859,MATCH(BC1545,'Avoided Cost Benefits'!$A$4:$A$859,0)))*F1545</f>
        <v>110.58378548861299</v>
      </c>
      <c r="BE1545" s="858">
        <f t="shared" si="277"/>
        <v>0</v>
      </c>
      <c r="BF1545" s="156"/>
      <c r="BH1545" s="686"/>
    </row>
    <row r="1546" spans="1:60" x14ac:dyDescent="0.35">
      <c r="A1546" s="1071" t="str">
        <f t="shared" si="272"/>
        <v>352400_2021_12_Cooling Res</v>
      </c>
      <c r="B1546" s="2812"/>
      <c r="C1546" s="1037" t="s">
        <v>1159</v>
      </c>
      <c r="D1546" s="1311" t="s">
        <v>318</v>
      </c>
      <c r="E1546" s="590" t="s">
        <v>1160</v>
      </c>
      <c r="F1546" s="618">
        <f>ROUND(((K2718*K2911*(1/K3104-1/K3297)*K3490)/1000)*$K$3677,2)</f>
        <v>351.14</v>
      </c>
      <c r="G1546" s="2810" t="s">
        <v>1091</v>
      </c>
      <c r="H1546" s="2720">
        <f>VLOOKUP(G1546,'CP FACTORS'!$A$3:$B$38, 2, FALSE)</f>
        <v>9.4741810000000004E-4</v>
      </c>
      <c r="I1546" s="2995">
        <f t="shared" si="273"/>
        <v>0.33267600000000003</v>
      </c>
      <c r="J1546" s="124">
        <f t="shared" si="274"/>
        <v>18</v>
      </c>
      <c r="K1546" s="462">
        <f t="shared" si="275"/>
        <v>303</v>
      </c>
      <c r="L1546" s="3496">
        <f>L1946</f>
        <v>2.8136754587155961</v>
      </c>
      <c r="M1546" s="103"/>
      <c r="N1546" s="1317"/>
      <c r="O1546" s="963"/>
      <c r="P1546" s="106"/>
      <c r="Q1546" s="106"/>
      <c r="R1546" s="1214"/>
      <c r="S1546" s="106"/>
      <c r="T1546" s="106"/>
      <c r="U1546" s="1319"/>
      <c r="V1546" s="3436" t="s">
        <v>30</v>
      </c>
      <c r="W1546" s="2914">
        <v>301.86315789473701</v>
      </c>
      <c r="X1546" s="685">
        <v>344.16219780219757</v>
      </c>
      <c r="Y1546" s="618">
        <v>320.36</v>
      </c>
      <c r="Z1546" s="615">
        <v>320.36</v>
      </c>
      <c r="AA1546" s="615">
        <v>320.36</v>
      </c>
      <c r="AB1546" s="3494">
        <v>345.06</v>
      </c>
      <c r="AC1546" s="618">
        <v>349.89</v>
      </c>
      <c r="AD1546" s="618">
        <v>351.14</v>
      </c>
      <c r="AE1546" s="2914"/>
      <c r="AF1546" s="2914"/>
      <c r="AG1546" s="2914"/>
      <c r="AH1546" s="344"/>
      <c r="AI1546" s="156"/>
      <c r="AJ1546" s="3640"/>
      <c r="AK1546" s="2915"/>
      <c r="AL1546" s="156"/>
      <c r="AM1546" s="3640"/>
      <c r="AN1546" s="3640"/>
      <c r="AO1546" s="156"/>
      <c r="AP1546" s="156"/>
      <c r="AQ1546" s="156"/>
      <c r="AR1546" s="156"/>
      <c r="AS1546" s="156"/>
      <c r="AT1546" s="156"/>
      <c r="AU1546" s="156"/>
      <c r="AV1546" s="156"/>
      <c r="AW1546" s="156"/>
      <c r="AX1546" s="156"/>
      <c r="AY1546" s="156"/>
      <c r="AZ1546" s="156"/>
      <c r="BA1546" s="156"/>
      <c r="BB1546" s="2833">
        <f>(BD1546+BD1547)/(BE1546+BE1547)</f>
        <v>16.240178485942788</v>
      </c>
      <c r="BC1546" s="590" t="str">
        <f t="shared" si="276"/>
        <v>Cooling Res 18 Year EUL</v>
      </c>
      <c r="BD1546" s="2829">
        <f>(INDEX('Avoided Cost Benefits'!$E$4:$E$859,MATCH(BC1546,'Avoided Cost Benefits'!$A$4:$A$859,0)))*F1546</f>
        <v>611.03357543236382</v>
      </c>
      <c r="BE1546" s="858">
        <f t="shared" si="277"/>
        <v>285.98395469561109</v>
      </c>
      <c r="BF1546" s="156"/>
      <c r="BH1546" s="686"/>
    </row>
    <row r="1547" spans="1:60" x14ac:dyDescent="0.35">
      <c r="A1547" s="1071" t="str">
        <f t="shared" si="272"/>
        <v>352400_2021_12_Heating Res</v>
      </c>
      <c r="B1547" s="2812"/>
      <c r="C1547" s="1037" t="s">
        <v>1159</v>
      </c>
      <c r="D1547" s="1311" t="s">
        <v>318</v>
      </c>
      <c r="E1547" s="687" t="s">
        <v>1160</v>
      </c>
      <c r="F1547" s="618">
        <f>ROUND(((K1946*K2139*(1/K2332-1/K2525)*K3490)/1000)*$K$3677,2)</f>
        <v>9046.66</v>
      </c>
      <c r="G1547" s="2810" t="s">
        <v>1092</v>
      </c>
      <c r="H1547" s="2720">
        <f>VLOOKUP(G1547,'CP FACTORS'!$A$3:$B$38, 2, FALSE)</f>
        <v>0</v>
      </c>
      <c r="I1547" s="2995">
        <f t="shared" si="273"/>
        <v>0</v>
      </c>
      <c r="J1547" s="124">
        <f t="shared" si="274"/>
        <v>18</v>
      </c>
      <c r="K1547" s="462">
        <f t="shared" si="275"/>
        <v>0</v>
      </c>
      <c r="L1547" s="3496"/>
      <c r="M1547" s="103"/>
      <c r="N1547" s="1317"/>
      <c r="O1547" s="963"/>
      <c r="P1547" s="106"/>
      <c r="Q1547" s="106"/>
      <c r="R1547" s="1214"/>
      <c r="S1547" s="106"/>
      <c r="T1547" s="106"/>
      <c r="U1547" s="1319"/>
      <c r="V1547" s="3436" t="s">
        <v>30</v>
      </c>
      <c r="W1547" s="2914">
        <v>11093.001159380752</v>
      </c>
      <c r="X1547" s="685">
        <v>9788.00163331972</v>
      </c>
      <c r="Y1547" s="618">
        <v>9127.7999999999993</v>
      </c>
      <c r="Z1547" s="615">
        <v>9127.7999999999993</v>
      </c>
      <c r="AA1547" s="615">
        <v>9127.7999999999993</v>
      </c>
      <c r="AB1547" s="3494">
        <v>9372.23</v>
      </c>
      <c r="AC1547" s="618">
        <v>9964.14</v>
      </c>
      <c r="AD1547" s="618">
        <v>9046.66</v>
      </c>
      <c r="AE1547" s="2914"/>
      <c r="AF1547" s="2914"/>
      <c r="AG1547" s="2914"/>
      <c r="AH1547" s="344"/>
      <c r="AI1547" s="156"/>
      <c r="AJ1547" s="3640"/>
      <c r="AK1547" s="2915"/>
      <c r="AL1547" s="156"/>
      <c r="AM1547" s="3640"/>
      <c r="AN1547" s="3640"/>
      <c r="AO1547" s="156"/>
      <c r="AP1547" s="156"/>
      <c r="AQ1547" s="156"/>
      <c r="AR1547" s="156"/>
      <c r="AS1547" s="156"/>
      <c r="AT1547" s="156"/>
      <c r="AU1547" s="156"/>
      <c r="AV1547" s="156"/>
      <c r="AW1547" s="156"/>
      <c r="AX1547" s="156"/>
      <c r="AY1547" s="156"/>
      <c r="AZ1547" s="156"/>
      <c r="BA1547" s="156"/>
      <c r="BB1547" s="2835"/>
      <c r="BC1547" s="687" t="str">
        <f t="shared" si="276"/>
        <v>Heating Res 18 Year EUL</v>
      </c>
      <c r="BD1547" s="2829">
        <f>(INDEX('Avoided Cost Benefits'!$E$4:$E$859,MATCH(BC1547,'Avoided Cost Benefits'!$A$4:$A$859,0)))*F1547</f>
        <v>4033.3968929401362</v>
      </c>
      <c r="BE1547" s="858">
        <f t="shared" si="277"/>
        <v>0</v>
      </c>
      <c r="BF1547" s="156"/>
      <c r="BH1547" s="686"/>
    </row>
    <row r="1548" spans="1:60" x14ac:dyDescent="0.35">
      <c r="A1548" s="1071" t="str">
        <f t="shared" si="272"/>
        <v>352410_2021_12_Cooling Res</v>
      </c>
      <c r="B1548" s="2812"/>
      <c r="C1548" s="1037" t="s">
        <v>1161</v>
      </c>
      <c r="D1548" s="1311" t="s">
        <v>318</v>
      </c>
      <c r="E1548" s="2321" t="s">
        <v>1162</v>
      </c>
      <c r="F1548" s="618">
        <f>ROUND(((K2719*K2912*(1/K3105-1/K3298)*K3491)/1000)*$K$3677,2)</f>
        <v>351.14</v>
      </c>
      <c r="G1548" s="2810" t="s">
        <v>1091</v>
      </c>
      <c r="H1548" s="2720">
        <f>VLOOKUP(G1548,'CP FACTORS'!$A$3:$B$38, 2, FALSE)</f>
        <v>9.4741810000000004E-4</v>
      </c>
      <c r="I1548" s="2995">
        <f t="shared" si="273"/>
        <v>0.33267600000000003</v>
      </c>
      <c r="J1548" s="124">
        <f t="shared" si="274"/>
        <v>18</v>
      </c>
      <c r="K1548" s="462">
        <f t="shared" si="275"/>
        <v>303</v>
      </c>
      <c r="L1548" s="3496">
        <f>L1947</f>
        <v>2.8136754587155961</v>
      </c>
      <c r="M1548" s="103"/>
      <c r="N1548" s="1317"/>
      <c r="O1548" s="963"/>
      <c r="P1548" s="106"/>
      <c r="Q1548" s="106"/>
      <c r="R1548" s="1214"/>
      <c r="S1548" s="106"/>
      <c r="T1548" s="106"/>
      <c r="U1548" s="1319"/>
      <c r="V1548" s="1590" t="s">
        <v>30</v>
      </c>
      <c r="W1548" s="2914"/>
      <c r="X1548" s="685"/>
      <c r="Y1548" s="618"/>
      <c r="Z1548" s="615"/>
      <c r="AA1548" s="615"/>
      <c r="AB1548" s="3494"/>
      <c r="AC1548" s="618">
        <v>349.89</v>
      </c>
      <c r="AD1548" s="618">
        <v>351.14</v>
      </c>
      <c r="AE1548" s="2914"/>
      <c r="AF1548" s="2914"/>
      <c r="AG1548" s="2914"/>
      <c r="AH1548" s="344"/>
      <c r="AI1548" s="156"/>
      <c r="AJ1548" s="3640"/>
      <c r="AK1548" s="2915"/>
      <c r="AL1548" s="156"/>
      <c r="AM1548" s="3640"/>
      <c r="AN1548" s="3640"/>
      <c r="AO1548" s="156"/>
      <c r="AP1548" s="156"/>
      <c r="AQ1548" s="156"/>
      <c r="AR1548" s="156"/>
      <c r="AS1548" s="156"/>
      <c r="AT1548" s="156"/>
      <c r="AU1548" s="156"/>
      <c r="AV1548" s="156"/>
      <c r="AW1548" s="156"/>
      <c r="AX1548" s="156"/>
      <c r="AY1548" s="156"/>
      <c r="AZ1548" s="156"/>
      <c r="BA1548" s="156"/>
      <c r="BB1548" s="2741">
        <f>(BD1548+BD1549)/(BE1548+BE1549)</f>
        <v>2.1366009015531011</v>
      </c>
      <c r="BC1548" s="3392" t="str">
        <f t="shared" si="276"/>
        <v>Cooling Res 18 Year EUL</v>
      </c>
      <c r="BD1548" s="1841">
        <f>(INDEX('Avoided Cost Benefits'!$E$4:$E$859,MATCH(BC1548,'Avoided Cost Benefits'!$A$4:$A$859,0)))*F1548</f>
        <v>611.03357543236382</v>
      </c>
      <c r="BE1548" s="2507">
        <f t="shared" ref="BE1548:BE1613" si="279">K1548/(1.0595^(2020-2019))</f>
        <v>285.98395469561109</v>
      </c>
      <c r="BF1548" s="156"/>
      <c r="BH1548" s="686"/>
    </row>
    <row r="1549" spans="1:60" x14ac:dyDescent="0.35">
      <c r="A1549" s="1071" t="str">
        <f t="shared" si="272"/>
        <v>352410_2021_12_Heating Res</v>
      </c>
      <c r="B1549" s="2812"/>
      <c r="C1549" s="1037" t="s">
        <v>1161</v>
      </c>
      <c r="D1549" s="1311" t="s">
        <v>318</v>
      </c>
      <c r="E1549" s="2321" t="s">
        <v>1162</v>
      </c>
      <c r="F1549" s="615">
        <f>0</f>
        <v>0</v>
      </c>
      <c r="G1549" s="1313" t="s">
        <v>1092</v>
      </c>
      <c r="H1549" s="136">
        <f>VLOOKUP(G1549,'CP FACTORS'!$A$3:$B$38, 2, FALSE)</f>
        <v>0</v>
      </c>
      <c r="I1549" s="3497">
        <f t="shared" si="273"/>
        <v>0</v>
      </c>
      <c r="J1549" s="124">
        <f t="shared" si="274"/>
        <v>18</v>
      </c>
      <c r="K1549" s="462">
        <f t="shared" si="275"/>
        <v>0</v>
      </c>
      <c r="L1549" s="3496"/>
      <c r="M1549" s="103"/>
      <c r="N1549" s="1317"/>
      <c r="O1549" s="963"/>
      <c r="P1549" s="106"/>
      <c r="Q1549" s="106"/>
      <c r="R1549" s="1214"/>
      <c r="S1549" s="106"/>
      <c r="T1549" s="106"/>
      <c r="U1549" s="1319"/>
      <c r="V1549" s="1590" t="s">
        <v>30</v>
      </c>
      <c r="W1549" s="2914"/>
      <c r="X1549" s="685"/>
      <c r="Y1549" s="618"/>
      <c r="Z1549" s="615"/>
      <c r="AA1549" s="615"/>
      <c r="AB1549" s="3494"/>
      <c r="AC1549" s="618">
        <v>0</v>
      </c>
      <c r="AD1549" s="615">
        <v>0</v>
      </c>
      <c r="AE1549" s="2914"/>
      <c r="AF1549" s="2914"/>
      <c r="AG1549" s="2914"/>
      <c r="AH1549" s="344"/>
      <c r="AI1549" s="156"/>
      <c r="AJ1549" s="3640"/>
      <c r="AK1549" s="2915"/>
      <c r="AL1549" s="156"/>
      <c r="AM1549" s="3640"/>
      <c r="AN1549" s="3640"/>
      <c r="AO1549" s="156"/>
      <c r="AP1549" s="156"/>
      <c r="AQ1549" s="156"/>
      <c r="AR1549" s="156"/>
      <c r="AS1549" s="156"/>
      <c r="AT1549" s="156"/>
      <c r="AU1549" s="156"/>
      <c r="AV1549" s="156"/>
      <c r="AW1549" s="156"/>
      <c r="AX1549" s="156"/>
      <c r="AY1549" s="156"/>
      <c r="AZ1549" s="156"/>
      <c r="BA1549" s="156"/>
      <c r="BB1549" s="2835"/>
      <c r="BC1549" s="3392" t="str">
        <f t="shared" si="276"/>
        <v>Heating Res 18 Year EUL</v>
      </c>
      <c r="BD1549" s="1841">
        <f>(INDEX('Avoided Cost Benefits'!$E$4:$E$859,MATCH(BC1549,'Avoided Cost Benefits'!$A$4:$A$859,0)))*F1549</f>
        <v>0</v>
      </c>
      <c r="BE1549" s="2507">
        <f t="shared" si="279"/>
        <v>0</v>
      </c>
      <c r="BF1549" s="156"/>
      <c r="BH1549" s="686"/>
    </row>
    <row r="1550" spans="1:60" x14ac:dyDescent="0.35">
      <c r="A1550" s="1071" t="str">
        <f t="shared" si="272"/>
        <v>352450_2021_12_Cooling Res</v>
      </c>
      <c r="B1550" s="2812"/>
      <c r="C1550" s="1037" t="s">
        <v>1164</v>
      </c>
      <c r="D1550" s="1311" t="s">
        <v>318</v>
      </c>
      <c r="E1550" s="590" t="s">
        <v>1165</v>
      </c>
      <c r="F1550" s="618">
        <f>ROUND(((K2720*K2913*(1/K3106-1/K3299)*K3492)/1000)*$K$3677,2)</f>
        <v>176.89</v>
      </c>
      <c r="G1550" s="2810" t="s">
        <v>1091</v>
      </c>
      <c r="H1550" s="2720">
        <f>VLOOKUP(G1550,'CP FACTORS'!$A$3:$B$38, 2, FALSE)</f>
        <v>9.4741810000000004E-4</v>
      </c>
      <c r="I1550" s="2995">
        <f t="shared" si="273"/>
        <v>0.16758899999999999</v>
      </c>
      <c r="J1550" s="124">
        <f t="shared" si="274"/>
        <v>18</v>
      </c>
      <c r="K1550" s="462">
        <f t="shared" si="275"/>
        <v>303</v>
      </c>
      <c r="L1550" s="3496">
        <f>L1948</f>
        <v>2.8136754587155961</v>
      </c>
      <c r="M1550" s="103"/>
      <c r="N1550" s="1317"/>
      <c r="O1550" s="963"/>
      <c r="P1550" s="106"/>
      <c r="Q1550" s="106"/>
      <c r="R1550" s="1214"/>
      <c r="S1550" s="106"/>
      <c r="T1550" s="106"/>
      <c r="U1550" s="1319"/>
      <c r="V1550" s="3436" t="s">
        <v>30</v>
      </c>
      <c r="W1550" s="2914">
        <v>168.20946073793726</v>
      </c>
      <c r="X1550" s="685">
        <v>168.83428571428527</v>
      </c>
      <c r="Y1550" s="618">
        <v>166.02</v>
      </c>
      <c r="Z1550" s="615">
        <v>166.02</v>
      </c>
      <c r="AA1550" s="615">
        <v>166.02</v>
      </c>
      <c r="AB1550" s="3495">
        <v>166.02</v>
      </c>
      <c r="AC1550" s="618">
        <v>159.12</v>
      </c>
      <c r="AD1550" s="618">
        <v>176.89</v>
      </c>
      <c r="AE1550" s="2914"/>
      <c r="AF1550" s="2914"/>
      <c r="AG1550" s="2914"/>
      <c r="AH1550" s="344"/>
      <c r="AI1550" s="156"/>
      <c r="AJ1550" s="3640"/>
      <c r="AK1550" s="2915"/>
      <c r="AL1550" s="156"/>
      <c r="AM1550" s="3640"/>
      <c r="AN1550" s="3640"/>
      <c r="AO1550" s="156"/>
      <c r="AP1550" s="156"/>
      <c r="AQ1550" s="156"/>
      <c r="AR1550" s="156"/>
      <c r="AS1550" s="156"/>
      <c r="AT1550" s="156"/>
      <c r="AU1550" s="156"/>
      <c r="AV1550" s="156"/>
      <c r="AW1550" s="156"/>
      <c r="AX1550" s="156"/>
      <c r="AY1550" s="156"/>
      <c r="AZ1550" s="156"/>
      <c r="BA1550" s="156"/>
      <c r="BB1550" s="2833">
        <f>(BD1550+BD1551)/(BE1550+BE1551)</f>
        <v>1.6904308175725118</v>
      </c>
      <c r="BC1550" s="590" t="str">
        <f t="shared" si="276"/>
        <v>Cooling Res 18 Year EUL</v>
      </c>
      <c r="BD1550" s="2829">
        <f>(INDEX('Avoided Cost Benefits'!$E$4:$E$859,MATCH(BC1550,'Avoided Cost Benefits'!$A$4:$A$859,0)))*F1550</f>
        <v>307.81377558304621</v>
      </c>
      <c r="BE1550" s="858">
        <f t="shared" si="279"/>
        <v>285.98395469561109</v>
      </c>
      <c r="BF1550" s="156"/>
      <c r="BH1550" s="686"/>
    </row>
    <row r="1551" spans="1:60" x14ac:dyDescent="0.35">
      <c r="A1551" s="1071" t="str">
        <f t="shared" si="272"/>
        <v>352450_2021_12_Heating Res</v>
      </c>
      <c r="B1551" s="2812"/>
      <c r="C1551" s="1037" t="s">
        <v>1164</v>
      </c>
      <c r="D1551" s="1311" t="s">
        <v>318</v>
      </c>
      <c r="E1551" s="687" t="s">
        <v>1165</v>
      </c>
      <c r="F1551" s="618">
        <f>ROUND(((K1948*K2141*(1/K2334-1/K2527)*K3492)/1000)*$K$3677,2)</f>
        <v>393.91</v>
      </c>
      <c r="G1551" s="2810" t="s">
        <v>1092</v>
      </c>
      <c r="H1551" s="2720">
        <f>VLOOKUP(G1551,'CP FACTORS'!$A$3:$B$38, 2, FALSE)</f>
        <v>0</v>
      </c>
      <c r="I1551" s="2995">
        <f t="shared" si="273"/>
        <v>0</v>
      </c>
      <c r="J1551" s="124">
        <f t="shared" si="274"/>
        <v>18</v>
      </c>
      <c r="K1551" s="462">
        <f t="shared" si="275"/>
        <v>0</v>
      </c>
      <c r="L1551" s="3496"/>
      <c r="M1551" s="103"/>
      <c r="N1551" s="1317"/>
      <c r="O1551" s="963"/>
      <c r="P1551" s="106"/>
      <c r="Q1551" s="106"/>
      <c r="R1551" s="1214"/>
      <c r="S1551" s="106"/>
      <c r="T1551" s="106"/>
      <c r="U1551" s="1319"/>
      <c r="V1551" s="3436" t="s">
        <v>30</v>
      </c>
      <c r="W1551" s="2914">
        <v>523.79310344827582</v>
      </c>
      <c r="X1551" s="685">
        <v>377.74325409076874</v>
      </c>
      <c r="Y1551" s="618">
        <v>363.62</v>
      </c>
      <c r="Z1551" s="615">
        <v>363.62</v>
      </c>
      <c r="AA1551" s="615">
        <v>363.62</v>
      </c>
      <c r="AB1551" s="3495">
        <v>363.62</v>
      </c>
      <c r="AC1551" s="618">
        <v>342.62</v>
      </c>
      <c r="AD1551" s="618">
        <v>393.91</v>
      </c>
      <c r="AE1551" s="2914"/>
      <c r="AF1551" s="2914"/>
      <c r="AG1551" s="2914"/>
      <c r="AH1551" s="344"/>
      <c r="AI1551" s="156"/>
      <c r="AJ1551" s="3640"/>
      <c r="AK1551" s="2915"/>
      <c r="AL1551" s="156"/>
      <c r="AM1551" s="3640"/>
      <c r="AN1551" s="3640"/>
      <c r="AO1551" s="156"/>
      <c r="AP1551" s="156"/>
      <c r="AQ1551" s="156"/>
      <c r="AR1551" s="156"/>
      <c r="AS1551" s="156"/>
      <c r="AT1551" s="156"/>
      <c r="AU1551" s="156"/>
      <c r="AV1551" s="156"/>
      <c r="AW1551" s="156"/>
      <c r="AX1551" s="156"/>
      <c r="AY1551" s="156"/>
      <c r="AZ1551" s="156"/>
      <c r="BA1551" s="156"/>
      <c r="BB1551" s="2835"/>
      <c r="BC1551" s="687" t="str">
        <f t="shared" si="276"/>
        <v>Heating Res 18 Year EUL</v>
      </c>
      <c r="BD1551" s="2829">
        <f>(INDEX('Avoided Cost Benefits'!$E$4:$E$859,MATCH(BC1551,'Avoided Cost Benefits'!$A$4:$A$859,0)))*F1551</f>
        <v>175.62231476567584</v>
      </c>
      <c r="BE1551" s="858">
        <f t="shared" si="279"/>
        <v>0</v>
      </c>
      <c r="BF1551" s="156"/>
      <c r="BH1551" s="686"/>
    </row>
    <row r="1552" spans="1:60" x14ac:dyDescent="0.35">
      <c r="A1552" s="1071" t="str">
        <f t="shared" si="272"/>
        <v>352500_2021_12_Cooling Res</v>
      </c>
      <c r="B1552" s="2812"/>
      <c r="C1552" s="1037" t="s">
        <v>1167</v>
      </c>
      <c r="D1552" s="1311" t="s">
        <v>318</v>
      </c>
      <c r="E1552" s="3418" t="s">
        <v>1168</v>
      </c>
      <c r="F1552" s="618">
        <f>ROUND(((K2721*K2914*(1/K3107-1/K3300)*K3493)/1000)*$K$3677,2)</f>
        <v>2194.71</v>
      </c>
      <c r="G1552" s="2810" t="s">
        <v>1091</v>
      </c>
      <c r="H1552" s="2720">
        <f>VLOOKUP(G1552,'CP FACTORS'!$A$3:$B$38, 2, FALSE)</f>
        <v>9.4741810000000004E-4</v>
      </c>
      <c r="I1552" s="2995">
        <f t="shared" si="273"/>
        <v>2.0793080000000002</v>
      </c>
      <c r="J1552" s="124">
        <f t="shared" si="274"/>
        <v>6</v>
      </c>
      <c r="K1552" s="462">
        <f t="shared" si="275"/>
        <v>1096.0970591411706</v>
      </c>
      <c r="L1552" s="3496">
        <f>L1949</f>
        <v>2.754260212004862</v>
      </c>
      <c r="M1552" s="103"/>
      <c r="N1552" s="1317"/>
      <c r="O1552" s="963"/>
      <c r="P1552" s="106"/>
      <c r="Q1552" s="106"/>
      <c r="R1552" s="1214"/>
      <c r="S1552" s="106"/>
      <c r="T1552" s="106"/>
      <c r="U1552" s="1319"/>
      <c r="V1552" s="3436" t="s">
        <v>30</v>
      </c>
      <c r="W1552" s="2914">
        <v>2733.5161764705886</v>
      </c>
      <c r="X1552" s="685">
        <v>1836.3388775510205</v>
      </c>
      <c r="Y1552" s="618">
        <v>1908.35</v>
      </c>
      <c r="Z1552" s="615">
        <v>1908.35</v>
      </c>
      <c r="AA1552" s="615">
        <v>1908.35</v>
      </c>
      <c r="AB1552" s="3494">
        <v>2277.63</v>
      </c>
      <c r="AC1552" s="618">
        <v>1835.16</v>
      </c>
      <c r="AD1552" s="618">
        <v>2194.71</v>
      </c>
      <c r="AE1552" s="2914"/>
      <c r="AF1552" s="2914"/>
      <c r="AG1552" s="2914"/>
      <c r="AH1552" s="344"/>
      <c r="AI1552" s="156"/>
      <c r="AJ1552" s="3640"/>
      <c r="AK1552" s="2915"/>
      <c r="AL1552" s="156"/>
      <c r="AM1552" s="3640"/>
      <c r="AN1552" s="3640"/>
      <c r="AO1552" s="156"/>
      <c r="AP1552" s="156"/>
      <c r="AQ1552" s="156"/>
      <c r="AR1552" s="156"/>
      <c r="AS1552" s="156"/>
      <c r="AT1552" s="156"/>
      <c r="AU1552" s="156"/>
      <c r="AV1552" s="156"/>
      <c r="AW1552" s="156"/>
      <c r="AX1552" s="156"/>
      <c r="AY1552" s="156"/>
      <c r="AZ1552" s="156"/>
      <c r="BA1552" s="156"/>
      <c r="BB1552" s="2833">
        <f>(BD1552+BD1553+BD1554+BD1555)/(BE1552+BE1553+BE1554+BE1555)</f>
        <v>5.7242061536934443</v>
      </c>
      <c r="BC1552" s="2348" t="str">
        <f t="shared" si="276"/>
        <v>Cooling Res 6 Year EUL</v>
      </c>
      <c r="BD1552" s="2829">
        <f>(INDEX('Avoided Cost Benefits'!$E$4:$E$859,MATCH(BC1552,'Avoided Cost Benefits'!$A$4:$A$859,0)))*F1552</f>
        <v>1390.594569065528</v>
      </c>
      <c r="BE1552" s="858">
        <f t="shared" si="279"/>
        <v>1034.54182080337</v>
      </c>
      <c r="BF1552" s="156"/>
      <c r="BH1552" s="686"/>
    </row>
    <row r="1553" spans="1:60" x14ac:dyDescent="0.35">
      <c r="A1553" s="1071" t="str">
        <f t="shared" si="272"/>
        <v>352500_2021_12_Heating Res</v>
      </c>
      <c r="B1553" s="2812"/>
      <c r="C1553" s="1037" t="s">
        <v>1167</v>
      </c>
      <c r="D1553" s="1311" t="s">
        <v>318</v>
      </c>
      <c r="E1553" s="3420" t="s">
        <v>1168</v>
      </c>
      <c r="F1553" s="618">
        <f>ROUND(((K1949*K2142*(1/K2335-1/K2528)*K3493)/1000)*$K$3677,2)</f>
        <v>9041.35</v>
      </c>
      <c r="G1553" s="2810" t="s">
        <v>1092</v>
      </c>
      <c r="H1553" s="2720">
        <f>VLOOKUP(G1553,'CP FACTORS'!$A$3:$B$38, 2, FALSE)</f>
        <v>0</v>
      </c>
      <c r="I1553" s="2995">
        <f t="shared" si="273"/>
        <v>0</v>
      </c>
      <c r="J1553" s="124">
        <f t="shared" si="274"/>
        <v>6</v>
      </c>
      <c r="K1553" s="462">
        <f t="shared" si="275"/>
        <v>0</v>
      </c>
      <c r="L1553" s="3496"/>
      <c r="M1553" s="103"/>
      <c r="N1553" s="1317"/>
      <c r="O1553" s="963"/>
      <c r="P1553" s="106"/>
      <c r="Q1553" s="106"/>
      <c r="R1553" s="1214"/>
      <c r="S1553" s="106"/>
      <c r="T1553" s="106"/>
      <c r="U1553" s="1319"/>
      <c r="V1553" s="3436" t="s">
        <v>30</v>
      </c>
      <c r="W1553" s="2914">
        <v>13965.852998065762</v>
      </c>
      <c r="X1553" s="685">
        <v>9788.00163331972</v>
      </c>
      <c r="Y1553" s="618">
        <v>10635.56</v>
      </c>
      <c r="Z1553" s="615">
        <v>10635.56</v>
      </c>
      <c r="AA1553" s="615">
        <v>10635.56</v>
      </c>
      <c r="AB1553" s="3494">
        <v>9240.1</v>
      </c>
      <c r="AC1553" s="618">
        <v>9585.06</v>
      </c>
      <c r="AD1553" s="618">
        <v>9041.35</v>
      </c>
      <c r="AE1553" s="2914"/>
      <c r="AF1553" s="2914"/>
      <c r="AG1553" s="2914"/>
      <c r="AH1553" s="344"/>
      <c r="AI1553" s="156"/>
      <c r="AJ1553" s="3640"/>
      <c r="AK1553" s="2915"/>
      <c r="AL1553" s="156"/>
      <c r="AM1553" s="3640"/>
      <c r="AN1553" s="3640"/>
      <c r="AO1553" s="156"/>
      <c r="AP1553" s="156"/>
      <c r="AQ1553" s="156"/>
      <c r="AR1553" s="156"/>
      <c r="AS1553" s="156"/>
      <c r="AT1553" s="156"/>
      <c r="AU1553" s="156"/>
      <c r="AV1553" s="156"/>
      <c r="AW1553" s="156"/>
      <c r="AX1553" s="156"/>
      <c r="AY1553" s="156"/>
      <c r="AZ1553" s="156"/>
      <c r="BA1553" s="156"/>
      <c r="BB1553" s="2905"/>
      <c r="BC1553" s="2357" t="str">
        <f t="shared" si="276"/>
        <v>Heating Res 6 Year EUL</v>
      </c>
      <c r="BD1553" s="2829">
        <f>(INDEX('Avoided Cost Benefits'!$E$4:$E$859,MATCH(BC1553,'Avoided Cost Benefits'!$A$4:$A$859,0)))*F1553</f>
        <v>1473.2083135976031</v>
      </c>
      <c r="BE1553" s="858">
        <f t="shared" si="279"/>
        <v>0</v>
      </c>
      <c r="BF1553" s="156"/>
      <c r="BH1553" s="686"/>
    </row>
    <row r="1554" spans="1:60" x14ac:dyDescent="0.35">
      <c r="A1554" s="1071" t="str">
        <f t="shared" si="272"/>
        <v>352500_2021_12_Cooling Res ER2</v>
      </c>
      <c r="B1554" s="2812"/>
      <c r="C1554" s="1037" t="s">
        <v>1167</v>
      </c>
      <c r="D1554" s="1311" t="s">
        <v>318</v>
      </c>
      <c r="E1554" s="3420" t="s">
        <v>1169</v>
      </c>
      <c r="F1554" s="618">
        <f>ROUND(((K2722*K2915*(1/K3108-1/K3301)*K3494)/1000)*$K$3677,2)</f>
        <v>452.14</v>
      </c>
      <c r="G1554" s="2810" t="s">
        <v>1133</v>
      </c>
      <c r="H1554" s="2720">
        <f>VLOOKUP(G1554,'CP FACTORS'!$A$3:$B$38, 2, FALSE)</f>
        <v>9.4741810000000004E-4</v>
      </c>
      <c r="I1554" s="2995">
        <f t="shared" si="273"/>
        <v>0.42836600000000002</v>
      </c>
      <c r="J1554" s="124">
        <f t="shared" si="274"/>
        <v>12</v>
      </c>
      <c r="K1554" s="462">
        <f t="shared" si="275"/>
        <v>0</v>
      </c>
      <c r="L1554" s="3496"/>
      <c r="M1554" s="103"/>
      <c r="N1554" s="1317"/>
      <c r="O1554" s="963"/>
      <c r="P1554" s="106"/>
      <c r="Q1554" s="106"/>
      <c r="R1554" s="1214"/>
      <c r="S1554" s="106"/>
      <c r="T1554" s="106"/>
      <c r="U1554" s="1319"/>
      <c r="V1554" s="3436" t="s">
        <v>30</v>
      </c>
      <c r="W1554" s="2914">
        <v>466.25192307692322</v>
      </c>
      <c r="X1554" s="685">
        <v>460.23576923076939</v>
      </c>
      <c r="Y1554" s="618">
        <v>478.28</v>
      </c>
      <c r="Z1554" s="615">
        <v>478.28</v>
      </c>
      <c r="AA1554" s="615">
        <v>478.28</v>
      </c>
      <c r="AB1554" s="3494">
        <v>473.24</v>
      </c>
      <c r="AC1554" s="618">
        <v>447.63</v>
      </c>
      <c r="AD1554" s="618">
        <v>452.14</v>
      </c>
      <c r="AE1554" s="2914"/>
      <c r="AF1554" s="2914"/>
      <c r="AG1554" s="2914"/>
      <c r="AH1554" s="344"/>
      <c r="AI1554" s="156"/>
      <c r="AJ1554" s="3640"/>
      <c r="AK1554" s="2915"/>
      <c r="AL1554" s="156"/>
      <c r="AM1554" s="3640"/>
      <c r="AN1554" s="3640"/>
      <c r="AO1554" s="156"/>
      <c r="AP1554" s="156"/>
      <c r="AQ1554" s="156"/>
      <c r="AR1554" s="156"/>
      <c r="AS1554" s="156"/>
      <c r="AT1554" s="156"/>
      <c r="AU1554" s="156"/>
      <c r="AV1554" s="156"/>
      <c r="AW1554" s="156"/>
      <c r="AX1554" s="156"/>
      <c r="AY1554" s="156"/>
      <c r="AZ1554" s="156"/>
      <c r="BA1554" s="156"/>
      <c r="BB1554" s="2905"/>
      <c r="BC1554" s="2357" t="str">
        <f t="shared" si="276"/>
        <v>Cooling Res ER2 12 Year EUL</v>
      </c>
      <c r="BD1554" s="2829">
        <f>(INDEX('Avoided Cost Benefits'!$E$4:$E$859,MATCH(BC1554,'Avoided Cost Benefits'!$A$4:$A$859,0)))*F1554</f>
        <v>500.30662524588729</v>
      </c>
      <c r="BE1554" s="858">
        <f t="shared" si="279"/>
        <v>0</v>
      </c>
      <c r="BF1554" s="156"/>
      <c r="BH1554" s="686"/>
    </row>
    <row r="1555" spans="1:60" x14ac:dyDescent="0.35">
      <c r="A1555" s="1071" t="str">
        <f t="shared" si="272"/>
        <v>352500_2021_12_Heating Res ER2</v>
      </c>
      <c r="B1555" s="2812"/>
      <c r="C1555" s="1037" t="s">
        <v>1167</v>
      </c>
      <c r="D1555" s="1311" t="s">
        <v>318</v>
      </c>
      <c r="E1555" s="3419" t="s">
        <v>1169</v>
      </c>
      <c r="F1555" s="618">
        <f>ROUND(((K1950*K2143*(1/K2336-1/K2529)*K3494)/1000)*$K$3677,2)</f>
        <v>9041.35</v>
      </c>
      <c r="G1555" s="2810" t="s">
        <v>1150</v>
      </c>
      <c r="H1555" s="2720">
        <f>VLOOKUP(G1555,'CP FACTORS'!$A$3:$B$38, 2, FALSE)</f>
        <v>0</v>
      </c>
      <c r="I1555" s="2995">
        <f t="shared" si="273"/>
        <v>0</v>
      </c>
      <c r="J1555" s="124">
        <f t="shared" si="274"/>
        <v>12</v>
      </c>
      <c r="K1555" s="462">
        <f t="shared" si="275"/>
        <v>0</v>
      </c>
      <c r="L1555" s="3496"/>
      <c r="M1555" s="103"/>
      <c r="N1555" s="1317"/>
      <c r="O1555" s="963"/>
      <c r="P1555" s="106"/>
      <c r="Q1555" s="106"/>
      <c r="R1555" s="1214"/>
      <c r="S1555" s="106"/>
      <c r="T1555" s="106"/>
      <c r="U1555" s="1319"/>
      <c r="V1555" s="3436" t="s">
        <v>30</v>
      </c>
      <c r="W1555" s="2914">
        <v>13965.852998065762</v>
      </c>
      <c r="X1555" s="685">
        <v>9788.00163331972</v>
      </c>
      <c r="Y1555" s="618">
        <v>10635.56</v>
      </c>
      <c r="Z1555" s="615">
        <v>10635.56</v>
      </c>
      <c r="AA1555" s="615">
        <v>10635.56</v>
      </c>
      <c r="AB1555" s="3494">
        <v>9240.1</v>
      </c>
      <c r="AC1555" s="618">
        <v>9585.06</v>
      </c>
      <c r="AD1555" s="618">
        <v>9041.35</v>
      </c>
      <c r="AE1555" s="2914"/>
      <c r="AF1555" s="2914"/>
      <c r="AG1555" s="2914"/>
      <c r="AH1555" s="344"/>
      <c r="AI1555" s="156"/>
      <c r="AJ1555" s="3640"/>
      <c r="AK1555" s="2915"/>
      <c r="AL1555" s="156"/>
      <c r="AM1555" s="3640"/>
      <c r="AN1555" s="3640"/>
      <c r="AO1555" s="156"/>
      <c r="AP1555" s="156"/>
      <c r="AQ1555" s="156"/>
      <c r="AR1555" s="156"/>
      <c r="AS1555" s="156"/>
      <c r="AT1555" s="156"/>
      <c r="AU1555" s="156"/>
      <c r="AV1555" s="156"/>
      <c r="AW1555" s="156"/>
      <c r="AX1555" s="156"/>
      <c r="AY1555" s="156"/>
      <c r="AZ1555" s="156"/>
      <c r="BA1555" s="156"/>
      <c r="BB1555" s="2905"/>
      <c r="BC1555" s="2349" t="str">
        <f t="shared" si="276"/>
        <v>Heating Res ER2 12 Year EUL</v>
      </c>
      <c r="BD1555" s="2829">
        <f>(INDEX('Avoided Cost Benefits'!$E$4:$E$859,MATCH(BC1555,'Avoided Cost Benefits'!$A$4:$A$859,0)))*F1555</f>
        <v>2557.8211489868531</v>
      </c>
      <c r="BE1555" s="858">
        <f t="shared" si="279"/>
        <v>0</v>
      </c>
      <c r="BF1555" s="156"/>
      <c r="BH1555" s="686"/>
    </row>
    <row r="1556" spans="1:60" x14ac:dyDescent="0.35">
      <c r="A1556" s="1071" t="str">
        <f t="shared" si="272"/>
        <v>352510_2021_12_Cooling Res</v>
      </c>
      <c r="B1556" s="2812"/>
      <c r="C1556" s="1037" t="s">
        <v>1170</v>
      </c>
      <c r="D1556" s="1311" t="s">
        <v>318</v>
      </c>
      <c r="E1556" s="3420" t="s">
        <v>1171</v>
      </c>
      <c r="F1556" s="618">
        <f>ROUND(((K2723*K2916*(1/K3109-1/K3302)*K3495)/1000)*$K$3677,2)</f>
        <v>2194.71</v>
      </c>
      <c r="G1556" s="2810" t="s">
        <v>1091</v>
      </c>
      <c r="H1556" s="2720">
        <f>VLOOKUP(G1556,'CP FACTORS'!$A$3:$B$38, 2, FALSE)</f>
        <v>9.4741810000000004E-4</v>
      </c>
      <c r="I1556" s="2995">
        <f t="shared" si="273"/>
        <v>2.0793080000000002</v>
      </c>
      <c r="J1556" s="124">
        <f t="shared" si="274"/>
        <v>6</v>
      </c>
      <c r="K1556" s="462">
        <f t="shared" si="275"/>
        <v>1096.0970591411706</v>
      </c>
      <c r="L1556" s="3496">
        <f>L1951</f>
        <v>2.754260212004862</v>
      </c>
      <c r="M1556" s="103"/>
      <c r="N1556" s="1317"/>
      <c r="O1556" s="963"/>
      <c r="P1556" s="106"/>
      <c r="Q1556" s="106"/>
      <c r="R1556" s="1214"/>
      <c r="S1556" s="106"/>
      <c r="T1556" s="106"/>
      <c r="U1556" s="1319"/>
      <c r="V1556" s="1590" t="s">
        <v>30</v>
      </c>
      <c r="W1556" s="2914"/>
      <c r="X1556" s="685"/>
      <c r="Y1556" s="618"/>
      <c r="Z1556" s="615"/>
      <c r="AA1556" s="615"/>
      <c r="AB1556" s="3494"/>
      <c r="AC1556" s="618">
        <v>1835.16</v>
      </c>
      <c r="AD1556" s="618">
        <v>2194.71</v>
      </c>
      <c r="AE1556" s="2914"/>
      <c r="AF1556" s="2914"/>
      <c r="AG1556" s="2914"/>
      <c r="AH1556" s="344"/>
      <c r="AI1556" s="156"/>
      <c r="AJ1556" s="3640"/>
      <c r="AK1556" s="2915"/>
      <c r="AL1556" s="156"/>
      <c r="AM1556" s="3640"/>
      <c r="AN1556" s="3640"/>
      <c r="AO1556" s="156"/>
      <c r="AP1556" s="156"/>
      <c r="AQ1556" s="156"/>
      <c r="AR1556" s="156"/>
      <c r="AS1556" s="156"/>
      <c r="AT1556" s="156"/>
      <c r="AU1556" s="156"/>
      <c r="AV1556" s="156"/>
      <c r="AW1556" s="156"/>
      <c r="AX1556" s="156"/>
      <c r="AY1556" s="156"/>
      <c r="AZ1556" s="156"/>
      <c r="BA1556" s="156"/>
      <c r="BB1556" s="2741">
        <f>(BD1556+BD1557+BD1558+BD1559)/(BE1556+BE1557+BE1558+BE1559)</f>
        <v>1.8277668010008936</v>
      </c>
      <c r="BC1556" s="2742" t="str">
        <f t="shared" si="276"/>
        <v>Cooling Res 6 Year EUL</v>
      </c>
      <c r="BD1556" s="1841">
        <f>(INDEX('Avoided Cost Benefits'!$E$4:$E$859,MATCH(BC1556,'Avoided Cost Benefits'!$A$4:$A$859,0)))*F1556</f>
        <v>1390.594569065528</v>
      </c>
      <c r="BE1556" s="2507">
        <f t="shared" si="279"/>
        <v>1034.54182080337</v>
      </c>
      <c r="BF1556" s="156"/>
      <c r="BH1556" s="686"/>
    </row>
    <row r="1557" spans="1:60" x14ac:dyDescent="0.35">
      <c r="A1557" s="1071" t="str">
        <f t="shared" si="272"/>
        <v>352510_2021_12_Heating Res</v>
      </c>
      <c r="B1557" s="2812"/>
      <c r="C1557" s="1037" t="s">
        <v>1170</v>
      </c>
      <c r="D1557" s="1311" t="s">
        <v>318</v>
      </c>
      <c r="E1557" s="3420" t="s">
        <v>1171</v>
      </c>
      <c r="F1557" s="615">
        <v>0</v>
      </c>
      <c r="G1557" s="1313" t="s">
        <v>1092</v>
      </c>
      <c r="H1557" s="136">
        <f>VLOOKUP(G1557,'CP FACTORS'!$A$3:$B$38, 2, FALSE)</f>
        <v>0</v>
      </c>
      <c r="I1557" s="3497">
        <f t="shared" si="273"/>
        <v>0</v>
      </c>
      <c r="J1557" s="124">
        <f t="shared" si="274"/>
        <v>6</v>
      </c>
      <c r="K1557" s="462">
        <f t="shared" si="275"/>
        <v>0</v>
      </c>
      <c r="L1557" s="3496"/>
      <c r="M1557" s="103"/>
      <c r="N1557" s="1317"/>
      <c r="O1557" s="963"/>
      <c r="P1557" s="106"/>
      <c r="Q1557" s="106"/>
      <c r="R1557" s="1214"/>
      <c r="S1557" s="106"/>
      <c r="T1557" s="106"/>
      <c r="U1557" s="1319"/>
      <c r="V1557" s="1590" t="s">
        <v>30</v>
      </c>
      <c r="W1557" s="2914"/>
      <c r="X1557" s="685"/>
      <c r="Y1557" s="618"/>
      <c r="Z1557" s="615"/>
      <c r="AA1557" s="615"/>
      <c r="AB1557" s="3494"/>
      <c r="AC1557" s="618">
        <v>0</v>
      </c>
      <c r="AD1557" s="615">
        <v>0</v>
      </c>
      <c r="AE1557" s="2914"/>
      <c r="AF1557" s="2914"/>
      <c r="AG1557" s="2914"/>
      <c r="AH1557" s="344"/>
      <c r="AI1557" s="156"/>
      <c r="AJ1557" s="3640"/>
      <c r="AK1557" s="2915"/>
      <c r="AL1557" s="156"/>
      <c r="AM1557" s="3640"/>
      <c r="AN1557" s="3640"/>
      <c r="AO1557" s="156"/>
      <c r="AP1557" s="156"/>
      <c r="AQ1557" s="156"/>
      <c r="AR1557" s="156"/>
      <c r="AS1557" s="156"/>
      <c r="AT1557" s="156"/>
      <c r="AU1557" s="156"/>
      <c r="AV1557" s="156"/>
      <c r="AW1557" s="156"/>
      <c r="AX1557" s="156"/>
      <c r="AY1557" s="156"/>
      <c r="AZ1557" s="156"/>
      <c r="BA1557" s="156"/>
      <c r="BB1557" s="2905"/>
      <c r="BC1557" s="2742" t="str">
        <f t="shared" si="276"/>
        <v>Heating Res 6 Year EUL</v>
      </c>
      <c r="BD1557" s="1841">
        <f>(INDEX('Avoided Cost Benefits'!$E$4:$E$859,MATCH(BC1557,'Avoided Cost Benefits'!$A$4:$A$859,0)))*F1557</f>
        <v>0</v>
      </c>
      <c r="BE1557" s="2507">
        <f t="shared" si="279"/>
        <v>0</v>
      </c>
      <c r="BF1557" s="156"/>
      <c r="BH1557" s="686"/>
    </row>
    <row r="1558" spans="1:60" x14ac:dyDescent="0.35">
      <c r="A1558" s="1071" t="str">
        <f t="shared" si="272"/>
        <v>352510_2021_12_Cooling Res ER2</v>
      </c>
      <c r="B1558" s="2812"/>
      <c r="C1558" s="1037" t="s">
        <v>1170</v>
      </c>
      <c r="D1558" s="1311" t="s">
        <v>318</v>
      </c>
      <c r="E1558" s="3420" t="s">
        <v>1172</v>
      </c>
      <c r="F1558" s="618">
        <f>ROUND(((K2724*K2917*(1/K3110-1/K3303)*K3496)/1000)*$K$3677,2)</f>
        <v>452.14</v>
      </c>
      <c r="G1558" s="2810" t="s">
        <v>1133</v>
      </c>
      <c r="H1558" s="2720">
        <f>VLOOKUP(G1558,'CP FACTORS'!$A$3:$B$38, 2, FALSE)</f>
        <v>9.4741810000000004E-4</v>
      </c>
      <c r="I1558" s="2995">
        <f t="shared" si="273"/>
        <v>0.42836600000000002</v>
      </c>
      <c r="J1558" s="124">
        <f t="shared" si="274"/>
        <v>12</v>
      </c>
      <c r="K1558" s="462">
        <f t="shared" si="275"/>
        <v>0</v>
      </c>
      <c r="L1558" s="3496"/>
      <c r="M1558" s="103"/>
      <c r="N1558" s="1317"/>
      <c r="O1558" s="963"/>
      <c r="P1558" s="106"/>
      <c r="Q1558" s="106"/>
      <c r="R1558" s="1214"/>
      <c r="S1558" s="106"/>
      <c r="T1558" s="106"/>
      <c r="U1558" s="1319"/>
      <c r="V1558" s="1590" t="s">
        <v>30</v>
      </c>
      <c r="W1558" s="2914"/>
      <c r="X1558" s="685"/>
      <c r="Y1558" s="618"/>
      <c r="Z1558" s="615"/>
      <c r="AA1558" s="615"/>
      <c r="AB1558" s="3494"/>
      <c r="AC1558" s="618">
        <v>447.63</v>
      </c>
      <c r="AD1558" s="618">
        <v>452.14</v>
      </c>
      <c r="AE1558" s="2914"/>
      <c r="AF1558" s="2914"/>
      <c r="AG1558" s="2914"/>
      <c r="AH1558" s="344"/>
      <c r="AI1558" s="156"/>
      <c r="AJ1558" s="3640"/>
      <c r="AK1558" s="2915"/>
      <c r="AL1558" s="156"/>
      <c r="AM1558" s="3640"/>
      <c r="AN1558" s="3640"/>
      <c r="AO1558" s="156"/>
      <c r="AP1558" s="156"/>
      <c r="AQ1558" s="156"/>
      <c r="AR1558" s="156"/>
      <c r="AS1558" s="156"/>
      <c r="AT1558" s="156"/>
      <c r="AU1558" s="156"/>
      <c r="AV1558" s="156"/>
      <c r="AW1558" s="156"/>
      <c r="AX1558" s="156"/>
      <c r="AY1558" s="156"/>
      <c r="AZ1558" s="156"/>
      <c r="BA1558" s="156"/>
      <c r="BB1558" s="2905"/>
      <c r="BC1558" s="2742" t="str">
        <f t="shared" si="276"/>
        <v>Cooling Res ER2 12 Year EUL</v>
      </c>
      <c r="BD1558" s="1841">
        <f>(INDEX('Avoided Cost Benefits'!$E$4:$E$859,MATCH(BC1558,'Avoided Cost Benefits'!$A$4:$A$859,0)))*F1558</f>
        <v>500.30662524588729</v>
      </c>
      <c r="BE1558" s="2507">
        <f t="shared" si="279"/>
        <v>0</v>
      </c>
      <c r="BF1558" s="156"/>
      <c r="BH1558" s="686"/>
    </row>
    <row r="1559" spans="1:60" x14ac:dyDescent="0.35">
      <c r="A1559" s="1071" t="str">
        <f t="shared" si="272"/>
        <v>352510_2021_12_Heating Res ER2</v>
      </c>
      <c r="B1559" s="2812"/>
      <c r="C1559" s="1037" t="s">
        <v>1170</v>
      </c>
      <c r="D1559" s="1311" t="s">
        <v>318</v>
      </c>
      <c r="E1559" s="3420" t="s">
        <v>1172</v>
      </c>
      <c r="F1559" s="615">
        <f>0</f>
        <v>0</v>
      </c>
      <c r="G1559" s="1313" t="s">
        <v>1150</v>
      </c>
      <c r="H1559" s="136">
        <f>VLOOKUP(G1559,'CP FACTORS'!$A$3:$B$38, 2, FALSE)</f>
        <v>0</v>
      </c>
      <c r="I1559" s="3497">
        <f t="shared" si="273"/>
        <v>0</v>
      </c>
      <c r="J1559" s="124">
        <f t="shared" si="274"/>
        <v>12</v>
      </c>
      <c r="K1559" s="462">
        <f t="shared" si="275"/>
        <v>0</v>
      </c>
      <c r="L1559" s="3496"/>
      <c r="M1559" s="103"/>
      <c r="N1559" s="1317"/>
      <c r="O1559" s="963"/>
      <c r="P1559" s="106"/>
      <c r="Q1559" s="106"/>
      <c r="R1559" s="1214"/>
      <c r="S1559" s="106"/>
      <c r="T1559" s="106"/>
      <c r="U1559" s="1319"/>
      <c r="V1559" s="1590" t="s">
        <v>30</v>
      </c>
      <c r="W1559" s="2914"/>
      <c r="X1559" s="685"/>
      <c r="Y1559" s="618"/>
      <c r="Z1559" s="615"/>
      <c r="AA1559" s="615"/>
      <c r="AB1559" s="3494"/>
      <c r="AC1559" s="618">
        <v>0</v>
      </c>
      <c r="AD1559" s="615">
        <v>0</v>
      </c>
      <c r="AE1559" s="2914"/>
      <c r="AF1559" s="2914"/>
      <c r="AG1559" s="2914"/>
      <c r="AH1559" s="344"/>
      <c r="AI1559" s="156"/>
      <c r="AJ1559" s="3640"/>
      <c r="AK1559" s="2915"/>
      <c r="AL1559" s="156"/>
      <c r="AM1559" s="3640"/>
      <c r="AN1559" s="3640"/>
      <c r="AO1559" s="156"/>
      <c r="AP1559" s="156"/>
      <c r="AQ1559" s="156"/>
      <c r="AR1559" s="156"/>
      <c r="AS1559" s="156"/>
      <c r="AT1559" s="156"/>
      <c r="AU1559" s="156"/>
      <c r="AV1559" s="156"/>
      <c r="AW1559" s="156"/>
      <c r="AX1559" s="156"/>
      <c r="AY1559" s="156"/>
      <c r="AZ1559" s="156"/>
      <c r="BA1559" s="156"/>
      <c r="BB1559" s="2905"/>
      <c r="BC1559" s="2742" t="str">
        <f t="shared" si="276"/>
        <v>Heating Res ER2 12 Year EUL</v>
      </c>
      <c r="BD1559" s="1841">
        <f>(INDEX('Avoided Cost Benefits'!$E$4:$E$859,MATCH(BC1559,'Avoided Cost Benefits'!$A$4:$A$859,0)))*F1559</f>
        <v>0</v>
      </c>
      <c r="BE1559" s="2507">
        <f t="shared" si="279"/>
        <v>0</v>
      </c>
      <c r="BF1559" s="156"/>
      <c r="BH1559" s="686"/>
    </row>
    <row r="1560" spans="1:60" x14ac:dyDescent="0.35">
      <c r="A1560" s="1071" t="str">
        <f t="shared" si="272"/>
        <v>352550_2021_12_Cooling Res</v>
      </c>
      <c r="B1560" s="2812"/>
      <c r="C1560" s="1037" t="s">
        <v>1174</v>
      </c>
      <c r="D1560" s="1311" t="s">
        <v>318</v>
      </c>
      <c r="E1560" s="3418" t="s">
        <v>1175</v>
      </c>
      <c r="F1560" s="618">
        <f>ROUND(((K2725*K2918*(1/K3111-1/K3304)*K3497)/1000)*$K$3677,2)</f>
        <v>2194.71</v>
      </c>
      <c r="G1560" s="2810" t="s">
        <v>1091</v>
      </c>
      <c r="H1560" s="2720">
        <f>VLOOKUP(G1560,'CP FACTORS'!$A$3:$B$38, 2, FALSE)</f>
        <v>9.4741810000000004E-4</v>
      </c>
      <c r="I1560" s="2995">
        <f t="shared" si="273"/>
        <v>2.0793080000000002</v>
      </c>
      <c r="J1560" s="124">
        <f t="shared" si="274"/>
        <v>6</v>
      </c>
      <c r="K1560" s="462">
        <f t="shared" si="275"/>
        <v>1096.0970591411706</v>
      </c>
      <c r="L1560" s="3496">
        <f>L1953</f>
        <v>2.754260212004862</v>
      </c>
      <c r="M1560" s="103"/>
      <c r="N1560" s="1317"/>
      <c r="O1560" s="963"/>
      <c r="P1560" s="106"/>
      <c r="Q1560" s="106"/>
      <c r="R1560" s="1214"/>
      <c r="S1560" s="106"/>
      <c r="T1560" s="106"/>
      <c r="U1560" s="1319"/>
      <c r="V1560" s="3436" t="s">
        <v>30</v>
      </c>
      <c r="W1560" s="2914">
        <v>2628.7249999999999</v>
      </c>
      <c r="X1560" s="685">
        <v>1836.3388775510205</v>
      </c>
      <c r="Y1560" s="618">
        <v>1890.35</v>
      </c>
      <c r="Z1560" s="615">
        <v>1890.35</v>
      </c>
      <c r="AA1560" s="615">
        <v>1890.35</v>
      </c>
      <c r="AB1560" s="3494">
        <v>2180.1</v>
      </c>
      <c r="AC1560" s="618">
        <v>1797.54</v>
      </c>
      <c r="AD1560" s="618">
        <v>2194.71</v>
      </c>
      <c r="AE1560" s="2914"/>
      <c r="AF1560" s="2914"/>
      <c r="AG1560" s="2914"/>
      <c r="AH1560" s="344"/>
      <c r="AI1560" s="156"/>
      <c r="AJ1560" s="3640"/>
      <c r="AK1560" s="2915"/>
      <c r="AL1560" s="156"/>
      <c r="AM1560" s="3640"/>
      <c r="AN1560" s="3640"/>
      <c r="AO1560" s="156"/>
      <c r="AP1560" s="156"/>
      <c r="AQ1560" s="156"/>
      <c r="AR1560" s="156"/>
      <c r="AS1560" s="156"/>
      <c r="AT1560" s="156"/>
      <c r="AU1560" s="156"/>
      <c r="AV1560" s="156"/>
      <c r="AW1560" s="156"/>
      <c r="AX1560" s="156"/>
      <c r="AY1560" s="156"/>
      <c r="AZ1560" s="156"/>
      <c r="BA1560" s="156"/>
      <c r="BB1560" s="2833">
        <f>(BD1560+BD1561+BD1562+BD1563)/(BE1560+BE1561+BE1562+BE1563)</f>
        <v>2.1266101371440223</v>
      </c>
      <c r="BC1560" s="2348" t="str">
        <f t="shared" si="276"/>
        <v>Cooling Res 6 Year EUL</v>
      </c>
      <c r="BD1560" s="2829">
        <f>(INDEX('Avoided Cost Benefits'!$E$4:$E$859,MATCH(BC1560,'Avoided Cost Benefits'!$A$4:$A$859,0)))*F1560</f>
        <v>1390.594569065528</v>
      </c>
      <c r="BE1560" s="858">
        <f t="shared" si="279"/>
        <v>1034.54182080337</v>
      </c>
      <c r="BF1560" s="156"/>
      <c r="BH1560" s="686"/>
    </row>
    <row r="1561" spans="1:60" x14ac:dyDescent="0.35">
      <c r="A1561" s="1071" t="str">
        <f t="shared" si="272"/>
        <v>352550_2021_12_Heating Res</v>
      </c>
      <c r="B1561" s="2812"/>
      <c r="C1561" s="1037" t="s">
        <v>1174</v>
      </c>
      <c r="D1561" s="1311" t="s">
        <v>318</v>
      </c>
      <c r="E1561" s="3420" t="s">
        <v>1175</v>
      </c>
      <c r="F1561" s="618">
        <f>ROUND(((K1953*K2146*(1/K2339-1/K2532)*K3497)/1000)*$K$3677,2)</f>
        <v>2055.86</v>
      </c>
      <c r="G1561" s="2810" t="s">
        <v>1092</v>
      </c>
      <c r="H1561" s="2720">
        <f>VLOOKUP(G1561,'CP FACTORS'!$A$3:$B$38, 2, FALSE)</f>
        <v>0</v>
      </c>
      <c r="I1561" s="2995">
        <f t="shared" si="273"/>
        <v>0</v>
      </c>
      <c r="J1561" s="124">
        <f t="shared" si="274"/>
        <v>6</v>
      </c>
      <c r="K1561" s="462">
        <f t="shared" si="275"/>
        <v>0</v>
      </c>
      <c r="L1561" s="3496"/>
      <c r="M1561" s="103"/>
      <c r="N1561" s="1317"/>
      <c r="O1561" s="963"/>
      <c r="P1561" s="106"/>
      <c r="Q1561" s="106"/>
      <c r="R1561" s="1214"/>
      <c r="S1561" s="106"/>
      <c r="T1561" s="106"/>
      <c r="U1561" s="1319"/>
      <c r="V1561" s="3436" t="s">
        <v>30</v>
      </c>
      <c r="W1561" s="2914">
        <v>6249.9803405572748</v>
      </c>
      <c r="X1561" s="685">
        <v>2027.0807587241729</v>
      </c>
      <c r="Y1561" s="618">
        <v>2533.08</v>
      </c>
      <c r="Z1561" s="615">
        <v>2533.08</v>
      </c>
      <c r="AA1561" s="615">
        <v>2533.08</v>
      </c>
      <c r="AB1561" s="3494">
        <v>2201.9299999999998</v>
      </c>
      <c r="AC1561" s="618">
        <v>2313.4299999999998</v>
      </c>
      <c r="AD1561" s="618">
        <v>2055.86</v>
      </c>
      <c r="AE1561" s="2914"/>
      <c r="AF1561" s="2914"/>
      <c r="AG1561" s="2914"/>
      <c r="AH1561" s="344"/>
      <c r="AI1561" s="156"/>
      <c r="AJ1561" s="3640"/>
      <c r="AK1561" s="2915"/>
      <c r="AL1561" s="156"/>
      <c r="AM1561" s="3640"/>
      <c r="AN1561" s="3640"/>
      <c r="AO1561" s="156"/>
      <c r="AP1561" s="156"/>
      <c r="AQ1561" s="156"/>
      <c r="AR1561" s="156"/>
      <c r="AS1561" s="156"/>
      <c r="AT1561" s="156"/>
      <c r="AU1561" s="156"/>
      <c r="AV1561" s="156"/>
      <c r="AW1561" s="156"/>
      <c r="AX1561" s="156"/>
      <c r="AY1561" s="156"/>
      <c r="AZ1561" s="156"/>
      <c r="BA1561" s="156"/>
      <c r="BB1561" s="2905"/>
      <c r="BC1561" s="2357" t="str">
        <f t="shared" si="276"/>
        <v>Heating Res 6 Year EUL</v>
      </c>
      <c r="BD1561" s="2829">
        <f>(INDEX('Avoided Cost Benefits'!$E$4:$E$859,MATCH(BC1561,'Avoided Cost Benefits'!$A$4:$A$859,0)))*F1561</f>
        <v>334.98427155156787</v>
      </c>
      <c r="BE1561" s="858">
        <f t="shared" si="279"/>
        <v>0</v>
      </c>
      <c r="BF1561" s="156"/>
      <c r="BH1561" s="686"/>
    </row>
    <row r="1562" spans="1:60" x14ac:dyDescent="0.35">
      <c r="A1562" s="1071" t="str">
        <f t="shared" si="272"/>
        <v>352550_2021_12_Cooling Res ER2</v>
      </c>
      <c r="B1562" s="2812"/>
      <c r="C1562" s="1037" t="s">
        <v>1174</v>
      </c>
      <c r="D1562" s="1311" t="s">
        <v>318</v>
      </c>
      <c r="E1562" s="3420" t="s">
        <v>1176</v>
      </c>
      <c r="F1562" s="618">
        <f>ROUND(((K2726*K2919*(1/K3112-1/K3305)*K3498)/1000)*$K$3677,2)</f>
        <v>282.74</v>
      </c>
      <c r="G1562" s="2810" t="s">
        <v>1133</v>
      </c>
      <c r="H1562" s="2720">
        <f>VLOOKUP(G1562,'CP FACTORS'!$A$3:$B$38, 2, FALSE)</f>
        <v>9.4741810000000004E-4</v>
      </c>
      <c r="I1562" s="2995">
        <f t="shared" si="273"/>
        <v>0.26787300000000003</v>
      </c>
      <c r="J1562" s="124">
        <f t="shared" si="274"/>
        <v>12</v>
      </c>
      <c r="K1562" s="462">
        <f t="shared" si="275"/>
        <v>0</v>
      </c>
      <c r="L1562" s="3496"/>
      <c r="M1562" s="103"/>
      <c r="N1562" s="1317"/>
      <c r="O1562" s="963"/>
      <c r="P1562" s="106"/>
      <c r="Q1562" s="106"/>
      <c r="R1562" s="1214"/>
      <c r="S1562" s="106"/>
      <c r="T1562" s="106"/>
      <c r="U1562" s="1319"/>
      <c r="V1562" s="3436" t="s">
        <v>30</v>
      </c>
      <c r="W1562" s="2914">
        <v>307.25357142857132</v>
      </c>
      <c r="X1562" s="685">
        <v>284.90785714285704</v>
      </c>
      <c r="Y1562" s="618">
        <v>293.29000000000002</v>
      </c>
      <c r="Z1562" s="615">
        <v>293.29000000000002</v>
      </c>
      <c r="AA1562" s="615">
        <v>293.29000000000002</v>
      </c>
      <c r="AB1562" s="3494">
        <v>333.47</v>
      </c>
      <c r="AC1562" s="618">
        <v>297.11</v>
      </c>
      <c r="AD1562" s="618">
        <v>282.74</v>
      </c>
      <c r="AE1562" s="2914"/>
      <c r="AF1562" s="2914"/>
      <c r="AG1562" s="2914"/>
      <c r="AH1562" s="344"/>
      <c r="AI1562" s="156"/>
      <c r="AJ1562" s="3640"/>
      <c r="AK1562" s="2915"/>
      <c r="AL1562" s="156"/>
      <c r="AM1562" s="3640"/>
      <c r="AN1562" s="3640"/>
      <c r="AO1562" s="156"/>
      <c r="AP1562" s="156"/>
      <c r="AQ1562" s="156"/>
      <c r="AR1562" s="156"/>
      <c r="AS1562" s="156"/>
      <c r="AT1562" s="156"/>
      <c r="AU1562" s="156"/>
      <c r="AV1562" s="156"/>
      <c r="AW1562" s="156"/>
      <c r="AX1562" s="156"/>
      <c r="AY1562" s="156"/>
      <c r="AZ1562" s="156"/>
      <c r="BA1562" s="156"/>
      <c r="BB1562" s="2905"/>
      <c r="BC1562" s="2357" t="str">
        <f t="shared" si="276"/>
        <v>Cooling Res ER2 12 Year EUL</v>
      </c>
      <c r="BD1562" s="2829">
        <f>(INDEX('Avoided Cost Benefits'!$E$4:$E$859,MATCH(BC1562,'Avoided Cost Benefits'!$A$4:$A$859,0)))*F1562</f>
        <v>312.86038665462507</v>
      </c>
      <c r="BE1562" s="858">
        <f t="shared" si="279"/>
        <v>0</v>
      </c>
      <c r="BF1562" s="156"/>
      <c r="BH1562" s="686"/>
    </row>
    <row r="1563" spans="1:60" x14ac:dyDescent="0.35">
      <c r="A1563" s="1071" t="str">
        <f t="shared" si="272"/>
        <v>352550_2021_12_Heating Res ER2</v>
      </c>
      <c r="B1563" s="2812"/>
      <c r="C1563" s="1037" t="s">
        <v>1174</v>
      </c>
      <c r="D1563" s="1311" t="s">
        <v>318</v>
      </c>
      <c r="E1563" s="3419" t="s">
        <v>1176</v>
      </c>
      <c r="F1563" s="618">
        <f>ROUND(((K1954*K2147*(1/K2340-1/K2533)*K3498)/1000)*$K$3677,2)</f>
        <v>571.32000000000005</v>
      </c>
      <c r="G1563" s="2810" t="s">
        <v>1150</v>
      </c>
      <c r="H1563" s="2720">
        <f>VLOOKUP(G1563,'CP FACTORS'!$A$3:$B$38, 2, FALSE)</f>
        <v>0</v>
      </c>
      <c r="I1563" s="2995">
        <f t="shared" si="273"/>
        <v>0</v>
      </c>
      <c r="J1563" s="124">
        <f t="shared" si="274"/>
        <v>12</v>
      </c>
      <c r="K1563" s="462">
        <f t="shared" si="275"/>
        <v>0</v>
      </c>
      <c r="L1563" s="3496"/>
      <c r="M1563" s="103"/>
      <c r="N1563" s="1317"/>
      <c r="O1563" s="963"/>
      <c r="P1563" s="106"/>
      <c r="Q1563" s="106"/>
      <c r="R1563" s="1214"/>
      <c r="S1563" s="106"/>
      <c r="T1563" s="106"/>
      <c r="U1563" s="1319"/>
      <c r="V1563" s="3436" t="s">
        <v>30</v>
      </c>
      <c r="W1563" s="2914">
        <v>1327.6421052631592</v>
      </c>
      <c r="X1563" s="685">
        <v>377.74325409076874</v>
      </c>
      <c r="Y1563" s="618">
        <v>835.23</v>
      </c>
      <c r="Z1563" s="615">
        <v>835.23</v>
      </c>
      <c r="AA1563" s="615">
        <v>835.23</v>
      </c>
      <c r="AB1563" s="3494">
        <v>525.75</v>
      </c>
      <c r="AC1563" s="618">
        <v>672.35</v>
      </c>
      <c r="AD1563" s="618">
        <v>571.32000000000005</v>
      </c>
      <c r="AE1563" s="2914"/>
      <c r="AF1563" s="2914"/>
      <c r="AG1563" s="2914"/>
      <c r="AH1563" s="344"/>
      <c r="AI1563" s="156"/>
      <c r="AJ1563" s="3640"/>
      <c r="AK1563" s="2915"/>
      <c r="AL1563" s="156"/>
      <c r="AM1563" s="3640"/>
      <c r="AN1563" s="3640"/>
      <c r="AO1563" s="156"/>
      <c r="AP1563" s="156"/>
      <c r="AQ1563" s="156"/>
      <c r="AR1563" s="156"/>
      <c r="AS1563" s="156"/>
      <c r="AT1563" s="156"/>
      <c r="AU1563" s="156"/>
      <c r="AV1563" s="156"/>
      <c r="AW1563" s="156"/>
      <c r="AX1563" s="156"/>
      <c r="AY1563" s="156"/>
      <c r="AZ1563" s="156"/>
      <c r="BA1563" s="156"/>
      <c r="BB1563" s="2905"/>
      <c r="BC1563" s="2349" t="str">
        <f t="shared" si="276"/>
        <v>Heating Res ER2 12 Year EUL</v>
      </c>
      <c r="BD1563" s="2829">
        <f>(INDEX('Avoided Cost Benefits'!$E$4:$E$859,MATCH(BC1563,'Avoided Cost Benefits'!$A$4:$A$859,0)))*F1563</f>
        <v>161.62789614816029</v>
      </c>
      <c r="BE1563" s="858">
        <f t="shared" si="279"/>
        <v>0</v>
      </c>
      <c r="BF1563" s="156"/>
      <c r="BH1563" s="686"/>
    </row>
    <row r="1564" spans="1:60" x14ac:dyDescent="0.35">
      <c r="A1564" s="3493" t="str">
        <f t="shared" si="272"/>
        <v>352600_2021_12_Cooling Res</v>
      </c>
      <c r="B1564" s="2812"/>
      <c r="C1564" s="1037" t="s">
        <v>1178</v>
      </c>
      <c r="D1564" s="1311" t="s">
        <v>318</v>
      </c>
      <c r="E1564" s="590" t="s">
        <v>1179</v>
      </c>
      <c r="F1564" s="618">
        <f>ROUND(((K2727*K2920*(1/K3113-1/K3306)*K3499)/1000)*$K$3677,2)</f>
        <v>480.91</v>
      </c>
      <c r="G1564" s="2810" t="s">
        <v>1091</v>
      </c>
      <c r="H1564" s="2720">
        <f>VLOOKUP(G1564,'CP FACTORS'!$A$3:$B$38, 2, FALSE)</f>
        <v>9.4741810000000004E-4</v>
      </c>
      <c r="I1564" s="2995">
        <f t="shared" si="273"/>
        <v>0.455623</v>
      </c>
      <c r="J1564" s="124">
        <f t="shared" si="274"/>
        <v>18</v>
      </c>
      <c r="K1564" s="462">
        <f t="shared" si="275"/>
        <v>438</v>
      </c>
      <c r="L1564" s="3496">
        <f>L1955</f>
        <v>2.9702472838686789</v>
      </c>
      <c r="M1564" s="103"/>
      <c r="N1564" s="1317"/>
      <c r="O1564" s="963"/>
      <c r="P1564" s="106"/>
      <c r="Q1564" s="106"/>
      <c r="R1564" s="1214"/>
      <c r="S1564" s="106"/>
      <c r="T1564" s="106"/>
      <c r="U1564" s="1319"/>
      <c r="V1564" s="3436" t="s">
        <v>30</v>
      </c>
      <c r="W1564" s="2914">
        <v>481.29230769230787</v>
      </c>
      <c r="X1564" s="685">
        <v>460.23576923076939</v>
      </c>
      <c r="Y1564" s="618">
        <v>467.76</v>
      </c>
      <c r="Z1564" s="615">
        <v>467.76</v>
      </c>
      <c r="AA1564" s="615">
        <v>467.76</v>
      </c>
      <c r="AB1564" s="3494">
        <v>463.89</v>
      </c>
      <c r="AC1564" s="618">
        <v>506.78</v>
      </c>
      <c r="AD1564" s="618">
        <v>480.91</v>
      </c>
      <c r="AE1564" s="2914"/>
      <c r="AF1564" s="2914"/>
      <c r="AG1564" s="2914"/>
      <c r="AH1564" s="344"/>
      <c r="AI1564" s="156"/>
      <c r="AJ1564" s="3640"/>
      <c r="AK1564" s="2915"/>
      <c r="AL1564" s="156"/>
      <c r="AM1564" s="3640"/>
      <c r="AN1564" s="3640"/>
      <c r="AO1564" s="156"/>
      <c r="AP1564" s="156"/>
      <c r="AQ1564" s="156"/>
      <c r="AR1564" s="156"/>
      <c r="AS1564" s="156"/>
      <c r="AT1564" s="156"/>
      <c r="AU1564" s="156"/>
      <c r="AV1564" s="156"/>
      <c r="AW1564" s="156"/>
      <c r="AX1564" s="156"/>
      <c r="AY1564" s="156"/>
      <c r="AZ1564" s="156"/>
      <c r="BA1564" s="156"/>
      <c r="BB1564" s="2833">
        <f>(BD1564+BD1565)/(BE1564+BE1565)</f>
        <v>12.605973343320201</v>
      </c>
      <c r="BC1564" s="590" t="str">
        <f t="shared" si="276"/>
        <v>Cooling Res 18 Year EUL</v>
      </c>
      <c r="BD1564" s="2829">
        <f>(INDEX('Avoided Cost Benefits'!$E$4:$E$859,MATCH(BC1564,'Avoided Cost Benefits'!$A$4:$A$859,0)))*F1564</f>
        <v>836.85184473764912</v>
      </c>
      <c r="BE1564" s="858">
        <f t="shared" si="279"/>
        <v>413.40254837187348</v>
      </c>
      <c r="BF1564" s="156"/>
      <c r="BH1564" s="686"/>
    </row>
    <row r="1565" spans="1:60" x14ac:dyDescent="0.35">
      <c r="A1565" s="3493" t="str">
        <f t="shared" si="272"/>
        <v>352600_2021_12_Heating Res</v>
      </c>
      <c r="B1565" s="2812"/>
      <c r="C1565" s="1037" t="s">
        <v>1178</v>
      </c>
      <c r="D1565" s="1311" t="s">
        <v>318</v>
      </c>
      <c r="E1565" s="687" t="s">
        <v>1179</v>
      </c>
      <c r="F1565" s="618">
        <f>ROUND(((K1955*K2148*(1/K2341-1/K2534)*K3499)/1000)*$K$3677,2)</f>
        <v>9811.7099999999991</v>
      </c>
      <c r="G1565" s="2810" t="s">
        <v>1092</v>
      </c>
      <c r="H1565" s="2720">
        <f>VLOOKUP(G1565,'CP FACTORS'!$A$3:$B$38, 2, FALSE)</f>
        <v>0</v>
      </c>
      <c r="I1565" s="2995">
        <f t="shared" si="273"/>
        <v>0</v>
      </c>
      <c r="J1565" s="124">
        <f t="shared" si="274"/>
        <v>18</v>
      </c>
      <c r="K1565" s="462">
        <f t="shared" si="275"/>
        <v>0</v>
      </c>
      <c r="L1565" s="3496"/>
      <c r="M1565" s="103"/>
      <c r="N1565" s="1317"/>
      <c r="O1565" s="963"/>
      <c r="P1565" s="106"/>
      <c r="Q1565" s="106"/>
      <c r="R1565" s="1214"/>
      <c r="S1565" s="106"/>
      <c r="T1565" s="106"/>
      <c r="U1565" s="1319"/>
      <c r="V1565" s="3436" t="s">
        <v>30</v>
      </c>
      <c r="W1565" s="2914">
        <v>14670.188469329136</v>
      </c>
      <c r="X1565" s="685">
        <v>9788.00163331972</v>
      </c>
      <c r="Y1565" s="618">
        <v>10452.1</v>
      </c>
      <c r="Z1565" s="615">
        <v>10452.1</v>
      </c>
      <c r="AA1565" s="615">
        <v>10452.1</v>
      </c>
      <c r="AB1565" s="3494">
        <v>9504.2099999999991</v>
      </c>
      <c r="AC1565" s="618">
        <v>9883.59</v>
      </c>
      <c r="AD1565" s="618">
        <v>9811.7099999999991</v>
      </c>
      <c r="AE1565" s="2914"/>
      <c r="AF1565" s="2914"/>
      <c r="AG1565" s="2914"/>
      <c r="AH1565" s="344"/>
      <c r="AI1565" s="156"/>
      <c r="AJ1565" s="3640"/>
      <c r="AK1565" s="2915"/>
      <c r="AL1565" s="156"/>
      <c r="AM1565" s="3640"/>
      <c r="AN1565" s="3640"/>
      <c r="AO1565" s="156"/>
      <c r="AP1565" s="156"/>
      <c r="AQ1565" s="156"/>
      <c r="AR1565" s="156"/>
      <c r="AS1565" s="156"/>
      <c r="AT1565" s="156"/>
      <c r="AU1565" s="156"/>
      <c r="AV1565" s="156"/>
      <c r="AW1565" s="156"/>
      <c r="AX1565" s="156"/>
      <c r="AY1565" s="156"/>
      <c r="AZ1565" s="156"/>
      <c r="BA1565" s="156"/>
      <c r="BB1565" s="2835"/>
      <c r="BC1565" s="687" t="str">
        <f t="shared" si="276"/>
        <v>Heating Res 18 Year EUL</v>
      </c>
      <c r="BD1565" s="2829">
        <f>(INDEX('Avoided Cost Benefits'!$E$4:$E$859,MATCH(BC1565,'Avoided Cost Benefits'!$A$4:$A$859,0)))*F1565</f>
        <v>4374.4896600988277</v>
      </c>
      <c r="BE1565" s="858">
        <f t="shared" si="279"/>
        <v>0</v>
      </c>
      <c r="BF1565" s="156"/>
      <c r="BH1565" s="686"/>
    </row>
    <row r="1566" spans="1:60" x14ac:dyDescent="0.35">
      <c r="A1566" s="3493" t="str">
        <f t="shared" si="272"/>
        <v>352610_2022_12_Cooling Res</v>
      </c>
      <c r="B1566" s="2812"/>
      <c r="C1566" s="2753" t="s">
        <v>4458</v>
      </c>
      <c r="D1566" s="2998" t="s">
        <v>318</v>
      </c>
      <c r="E1566" s="3498" t="s">
        <v>4457</v>
      </c>
      <c r="F1566" s="618">
        <f>ROUND(((K2728*K2921*(1/K3114-1/K3307)*K3500)/1000)*$K$3677,2)</f>
        <v>480.91</v>
      </c>
      <c r="G1566" s="2810" t="s">
        <v>1091</v>
      </c>
      <c r="H1566" s="2720">
        <f>VLOOKUP(G1566,'CP FACTORS'!$A$3:$B$38, 2, FALSE)</f>
        <v>9.4741810000000004E-4</v>
      </c>
      <c r="I1566" s="2995">
        <f t="shared" ref="I1566:I1567" si="280">ROUND(F1566*H1566,6)</f>
        <v>0.455623</v>
      </c>
      <c r="J1566" s="464">
        <f>K3712</f>
        <v>18</v>
      </c>
      <c r="K1566" s="465">
        <f>K4098</f>
        <v>438</v>
      </c>
      <c r="L1566" s="3496">
        <f>L1958</f>
        <v>2.9733333333333332</v>
      </c>
      <c r="M1566" s="103"/>
      <c r="N1566" s="1317"/>
      <c r="O1566" s="963"/>
      <c r="P1566" s="3391"/>
      <c r="Q1566" s="3391"/>
      <c r="R1566" s="1214"/>
      <c r="S1566" s="3391"/>
      <c r="T1566" s="3391"/>
      <c r="U1566" s="1319"/>
      <c r="V1566" s="1590" t="s">
        <v>30</v>
      </c>
      <c r="W1566" s="2914"/>
      <c r="X1566" s="685"/>
      <c r="Y1566" s="618"/>
      <c r="Z1566" s="615"/>
      <c r="AA1566" s="615"/>
      <c r="AB1566" s="3494"/>
      <c r="AC1566" s="618"/>
      <c r="AD1566" s="618">
        <v>480.91</v>
      </c>
      <c r="AE1566" s="2914"/>
      <c r="AF1566" s="2914"/>
      <c r="AG1566" s="2914"/>
      <c r="AH1566" s="344"/>
      <c r="AI1566" s="156"/>
      <c r="AJ1566" s="3640"/>
      <c r="AK1566" s="2915"/>
      <c r="AL1566" s="156"/>
      <c r="AM1566" s="3640"/>
      <c r="AN1566" s="3640"/>
      <c r="AO1566" s="156"/>
      <c r="AP1566" s="156"/>
      <c r="AQ1566" s="156"/>
      <c r="AR1566" s="156"/>
      <c r="AS1566" s="156"/>
      <c r="AT1566" s="156"/>
      <c r="AU1566" s="156"/>
      <c r="AV1566" s="156"/>
      <c r="AW1566" s="156"/>
      <c r="AX1566" s="156"/>
      <c r="AY1566" s="156"/>
      <c r="AZ1566" s="156"/>
      <c r="BA1566" s="156"/>
      <c r="BB1566" s="2741">
        <f>(BD1566+BD1567)/(BE1566+BE1567)</f>
        <v>2.0243025787660716</v>
      </c>
      <c r="BC1566" s="3498" t="str">
        <f t="shared" ref="BC1566:BC1567" si="281">CONCATENATE(G1566," ",J1566," Year EUL")</f>
        <v>Cooling Res 18 Year EUL</v>
      </c>
      <c r="BD1566" s="1841">
        <f>(INDEX('Avoided Cost Benefits'!$E$4:$E$859,MATCH(BC1566,'Avoided Cost Benefits'!$A$4:$A$859,0)))*F1566</f>
        <v>836.85184473764912</v>
      </c>
      <c r="BE1566" s="2507">
        <f t="shared" ref="BE1566:BE1567" si="282">K1566/(1.0595^(2020-2019))</f>
        <v>413.40254837187348</v>
      </c>
      <c r="BF1566" s="156"/>
      <c r="BH1566" s="686"/>
    </row>
    <row r="1567" spans="1:60" x14ac:dyDescent="0.35">
      <c r="A1567" s="3493" t="str">
        <f t="shared" si="272"/>
        <v>352610_2022_12_Heating Res</v>
      </c>
      <c r="B1567" s="2812"/>
      <c r="C1567" s="2753" t="s">
        <v>4458</v>
      </c>
      <c r="D1567" s="2998" t="s">
        <v>318</v>
      </c>
      <c r="E1567" s="3393" t="s">
        <v>4457</v>
      </c>
      <c r="F1567" s="618">
        <f>0</f>
        <v>0</v>
      </c>
      <c r="G1567" s="2810" t="s">
        <v>1092</v>
      </c>
      <c r="H1567" s="2720">
        <f>VLOOKUP(G1567,'CP FACTORS'!$A$3:$B$38, 2, FALSE)</f>
        <v>0</v>
      </c>
      <c r="I1567" s="2995">
        <f t="shared" si="280"/>
        <v>0</v>
      </c>
      <c r="J1567" s="464">
        <f>K3713</f>
        <v>18</v>
      </c>
      <c r="K1567" s="465">
        <f>K4099</f>
        <v>0</v>
      </c>
      <c r="L1567" s="3496"/>
      <c r="M1567" s="103"/>
      <c r="N1567" s="1317"/>
      <c r="O1567" s="963"/>
      <c r="P1567" s="3391"/>
      <c r="Q1567" s="3391"/>
      <c r="R1567" s="1214"/>
      <c r="S1567" s="3391"/>
      <c r="T1567" s="3391"/>
      <c r="U1567" s="1319"/>
      <c r="V1567" s="1590" t="s">
        <v>30</v>
      </c>
      <c r="W1567" s="2914"/>
      <c r="X1567" s="685"/>
      <c r="Y1567" s="618"/>
      <c r="Z1567" s="615"/>
      <c r="AA1567" s="615"/>
      <c r="AB1567" s="3494"/>
      <c r="AC1567" s="618"/>
      <c r="AD1567" s="618">
        <v>0</v>
      </c>
      <c r="AE1567" s="2914"/>
      <c r="AF1567" s="2914"/>
      <c r="AG1567" s="2914"/>
      <c r="AH1567" s="344"/>
      <c r="AI1567" s="156"/>
      <c r="AJ1567" s="3640"/>
      <c r="AK1567" s="2915"/>
      <c r="AL1567" s="156"/>
      <c r="AM1567" s="3640"/>
      <c r="AN1567" s="3640"/>
      <c r="AO1567" s="156"/>
      <c r="AP1567" s="156"/>
      <c r="AQ1567" s="156"/>
      <c r="AR1567" s="156"/>
      <c r="AS1567" s="156"/>
      <c r="AT1567" s="156"/>
      <c r="AU1567" s="156"/>
      <c r="AV1567" s="156"/>
      <c r="AW1567" s="156"/>
      <c r="AX1567" s="156"/>
      <c r="AY1567" s="156"/>
      <c r="AZ1567" s="156"/>
      <c r="BA1567" s="156"/>
      <c r="BB1567" s="2745"/>
      <c r="BC1567" s="3393" t="str">
        <f t="shared" si="281"/>
        <v>Heating Res 18 Year EUL</v>
      </c>
      <c r="BD1567" s="1841">
        <f>(INDEX('Avoided Cost Benefits'!$E$4:$E$859,MATCH(BC1567,'Avoided Cost Benefits'!$A$4:$A$859,0)))*F1567</f>
        <v>0</v>
      </c>
      <c r="BE1567" s="2507">
        <f t="shared" si="282"/>
        <v>0</v>
      </c>
      <c r="BF1567" s="156"/>
      <c r="BH1567" s="686"/>
    </row>
    <row r="1568" spans="1:60" x14ac:dyDescent="0.35">
      <c r="A1568" s="3493" t="str">
        <f t="shared" si="272"/>
        <v>352650_2021_12_Cooling Res</v>
      </c>
      <c r="B1568" s="2812"/>
      <c r="C1568" s="1037" t="s">
        <v>1181</v>
      </c>
      <c r="D1568" s="1311" t="s">
        <v>318</v>
      </c>
      <c r="E1568" s="590" t="s">
        <v>1182</v>
      </c>
      <c r="F1568" s="618">
        <f>ROUND(((K2729*K2922*(1/K3115-1/K3308)*K3501)/1000)*$K$3677,2)</f>
        <v>300.64</v>
      </c>
      <c r="G1568" s="2810" t="s">
        <v>1091</v>
      </c>
      <c r="H1568" s="2720">
        <f>VLOOKUP(G1568,'CP FACTORS'!$A$3:$B$38, 2, FALSE)</f>
        <v>9.4741810000000004E-4</v>
      </c>
      <c r="I1568" s="2995">
        <f t="shared" si="273"/>
        <v>0.28483199999999997</v>
      </c>
      <c r="J1568" s="124">
        <f t="shared" ref="J1568:J1600" si="283">K3712</f>
        <v>18</v>
      </c>
      <c r="K1568" s="462">
        <f t="shared" ref="K1568:K1600" si="284">K4098</f>
        <v>438</v>
      </c>
      <c r="L1568" s="3496">
        <f>L1957</f>
        <v>2.9702472838686789</v>
      </c>
      <c r="M1568" s="103"/>
      <c r="N1568" s="1317"/>
      <c r="O1568" s="963"/>
      <c r="P1568" s="106"/>
      <c r="Q1568" s="106"/>
      <c r="R1568" s="1214"/>
      <c r="S1568" s="106"/>
      <c r="T1568" s="106"/>
      <c r="U1568" s="1319"/>
      <c r="V1568" s="3436" t="s">
        <v>30</v>
      </c>
      <c r="W1568" s="2914">
        <v>307.25357142857132</v>
      </c>
      <c r="X1568" s="685">
        <v>284.90785714285704</v>
      </c>
      <c r="Y1568" s="618">
        <v>302.60000000000002</v>
      </c>
      <c r="Z1568" s="615">
        <v>302.60000000000002</v>
      </c>
      <c r="AA1568" s="615">
        <v>302.60000000000002</v>
      </c>
      <c r="AB1568" s="3495">
        <v>302.60000000000002</v>
      </c>
      <c r="AC1568" s="618">
        <v>292.86</v>
      </c>
      <c r="AD1568" s="618">
        <v>300.64</v>
      </c>
      <c r="AE1568" s="2914"/>
      <c r="AF1568" s="2914"/>
      <c r="AG1568" s="2914"/>
      <c r="AH1568" s="344"/>
      <c r="AI1568" s="156"/>
      <c r="AJ1568" s="3640"/>
      <c r="AK1568" s="2915"/>
      <c r="AL1568" s="156"/>
      <c r="AM1568" s="3640"/>
      <c r="AN1568" s="3640"/>
      <c r="AO1568" s="156"/>
      <c r="AP1568" s="156"/>
      <c r="AQ1568" s="156"/>
      <c r="AR1568" s="156"/>
      <c r="AS1568" s="156"/>
      <c r="AT1568" s="156"/>
      <c r="AU1568" s="156"/>
      <c r="AV1568" s="156"/>
      <c r="AW1568" s="156"/>
      <c r="AX1568" s="156"/>
      <c r="AY1568" s="156"/>
      <c r="AZ1568" s="156"/>
      <c r="BA1568" s="156"/>
      <c r="BB1568" s="2833">
        <f>(BD1568+BD1569)/(BE1568+BE1569)</f>
        <v>1.9961117891881084</v>
      </c>
      <c r="BC1568" s="590" t="str">
        <f t="shared" si="276"/>
        <v>Cooling Res 18 Year EUL</v>
      </c>
      <c r="BD1568" s="2829">
        <f>(INDEX('Avoided Cost Benefits'!$E$4:$E$859,MATCH(BC1568,'Avoided Cost Benefits'!$A$4:$A$859,0)))*F1568</f>
        <v>523.15638810157168</v>
      </c>
      <c r="BE1568" s="858">
        <f t="shared" si="279"/>
        <v>413.40254837187348</v>
      </c>
      <c r="BF1568" s="156"/>
      <c r="BH1568" s="686"/>
    </row>
    <row r="1569" spans="1:60" x14ac:dyDescent="0.35">
      <c r="A1569" s="3493" t="str">
        <f t="shared" si="272"/>
        <v>352650_2021_12_Heating Res</v>
      </c>
      <c r="B1569" s="2812"/>
      <c r="C1569" s="1037" t="s">
        <v>1181</v>
      </c>
      <c r="D1569" s="1311" t="s">
        <v>318</v>
      </c>
      <c r="E1569" s="687" t="s">
        <v>1182</v>
      </c>
      <c r="F1569" s="618">
        <f>ROUND(((K1957*K2150*(1/K2343-1/K2536)*K3501)/1000)*$K$3677,2)</f>
        <v>677.46</v>
      </c>
      <c r="G1569" s="2810" t="s">
        <v>1092</v>
      </c>
      <c r="H1569" s="2720">
        <f>VLOOKUP(G1569,'CP FACTORS'!$A$3:$B$38, 2, FALSE)</f>
        <v>0</v>
      </c>
      <c r="I1569" s="2995">
        <f t="shared" si="273"/>
        <v>0</v>
      </c>
      <c r="J1569" s="124">
        <f t="shared" si="283"/>
        <v>18</v>
      </c>
      <c r="K1569" s="462">
        <f t="shared" si="284"/>
        <v>0</v>
      </c>
      <c r="L1569" s="3496"/>
      <c r="M1569" s="103"/>
      <c r="N1569" s="1317"/>
      <c r="O1569" s="963"/>
      <c r="P1569" s="106"/>
      <c r="Q1569" s="106"/>
      <c r="R1569" s="1214"/>
      <c r="S1569" s="106"/>
      <c r="T1569" s="106"/>
      <c r="U1569" s="1319"/>
      <c r="V1569" s="3436" t="s">
        <v>30</v>
      </c>
      <c r="W1569" s="2914">
        <v>1584.0000000000018</v>
      </c>
      <c r="X1569" s="685">
        <v>377.74325409076874</v>
      </c>
      <c r="Y1569" s="618">
        <v>928.06</v>
      </c>
      <c r="Z1569" s="615">
        <v>928.06</v>
      </c>
      <c r="AA1569" s="615">
        <v>928.06</v>
      </c>
      <c r="AB1569" s="3495">
        <v>928.06</v>
      </c>
      <c r="AC1569" s="618">
        <v>637.16</v>
      </c>
      <c r="AD1569" s="618">
        <v>677.46</v>
      </c>
      <c r="AE1569" s="2914"/>
      <c r="AF1569" s="2914"/>
      <c r="AG1569" s="2914"/>
      <c r="AH1569" s="344"/>
      <c r="AI1569" s="156"/>
      <c r="AJ1569" s="3640"/>
      <c r="AK1569" s="2915"/>
      <c r="AL1569" s="156"/>
      <c r="AM1569" s="3640"/>
      <c r="AN1569" s="3640"/>
      <c r="AO1569" s="156"/>
      <c r="AP1569" s="156"/>
      <c r="AQ1569" s="156"/>
      <c r="AR1569" s="156"/>
      <c r="AS1569" s="156"/>
      <c r="AT1569" s="156"/>
      <c r="AU1569" s="156"/>
      <c r="AV1569" s="156"/>
      <c r="AW1569" s="156"/>
      <c r="AX1569" s="156"/>
      <c r="AY1569" s="156"/>
      <c r="AZ1569" s="156"/>
      <c r="BA1569" s="156"/>
      <c r="BB1569" s="2835"/>
      <c r="BC1569" s="687" t="str">
        <f t="shared" si="276"/>
        <v>Heating Res 18 Year EUL</v>
      </c>
      <c r="BD1569" s="2829">
        <f>(INDEX('Avoided Cost Benefits'!$E$4:$E$859,MATCH(BC1569,'Avoided Cost Benefits'!$A$4:$A$859,0)))*F1569</f>
        <v>302.04131238393228</v>
      </c>
      <c r="BE1569" s="858">
        <f t="shared" si="279"/>
        <v>0</v>
      </c>
      <c r="BF1569" s="156"/>
      <c r="BH1569" s="686"/>
    </row>
    <row r="1570" spans="1:60" x14ac:dyDescent="0.35">
      <c r="A1570" s="3493" t="str">
        <f t="shared" si="272"/>
        <v>352700_2021_12_Cooling Res</v>
      </c>
      <c r="B1570" s="2812"/>
      <c r="C1570" s="1037" t="s">
        <v>1184</v>
      </c>
      <c r="D1570" s="1311" t="s">
        <v>320</v>
      </c>
      <c r="E1570" s="3418" t="s">
        <v>1185</v>
      </c>
      <c r="F1570" s="618">
        <f>ROUND(((K2730*K2923*(1/K3116-1/K3309)*K3502)/1000)*$K$3677,2)</f>
        <v>2374.39</v>
      </c>
      <c r="G1570" s="2810" t="s">
        <v>1091</v>
      </c>
      <c r="H1570" s="2720">
        <f>VLOOKUP(G1570,'CP FACTORS'!$A$3:$B$38, 2, FALSE)</f>
        <v>9.4741810000000004E-4</v>
      </c>
      <c r="I1570" s="2995">
        <f t="shared" si="273"/>
        <v>2.2495400000000001</v>
      </c>
      <c r="J1570" s="124">
        <f t="shared" si="283"/>
        <v>6</v>
      </c>
      <c r="K1570" s="462">
        <f t="shared" si="284"/>
        <v>1013.4419233826643</v>
      </c>
      <c r="L1570" s="3496">
        <f>L1958</f>
        <v>2.9733333333333332</v>
      </c>
      <c r="M1570" s="103"/>
      <c r="N1570" s="1317"/>
      <c r="O1570" s="963"/>
      <c r="P1570" s="106"/>
      <c r="Q1570" s="106"/>
      <c r="R1570" s="1214"/>
      <c r="S1570" s="106"/>
      <c r="T1570" s="106"/>
      <c r="U1570" s="1319"/>
      <c r="V1570" s="3436" t="s">
        <v>30</v>
      </c>
      <c r="W1570" s="2914">
        <v>1526.8406732891833</v>
      </c>
      <c r="X1570" s="685">
        <v>1130.9484063824204</v>
      </c>
      <c r="Y1570" s="615">
        <v>1130.95</v>
      </c>
      <c r="Z1570" s="615">
        <v>1130.95</v>
      </c>
      <c r="AA1570" s="615">
        <v>1130.95</v>
      </c>
      <c r="AB1570" s="3494">
        <v>1328.6</v>
      </c>
      <c r="AC1570" s="618">
        <v>1068.07</v>
      </c>
      <c r="AD1570" s="618">
        <v>2374.39</v>
      </c>
      <c r="AE1570" s="2914"/>
      <c r="AF1570" s="2914"/>
      <c r="AG1570" s="2914"/>
      <c r="AH1570" s="344"/>
      <c r="AI1570" s="156"/>
      <c r="AJ1570" s="3640"/>
      <c r="AK1570" s="2915"/>
      <c r="AL1570" s="156"/>
      <c r="AM1570" s="3640"/>
      <c r="AN1570" s="3640"/>
      <c r="AO1570" s="156"/>
      <c r="AP1570" s="156"/>
      <c r="AQ1570" s="156"/>
      <c r="AR1570" s="156"/>
      <c r="AS1570" s="156"/>
      <c r="AT1570" s="156"/>
      <c r="AU1570" s="156"/>
      <c r="AV1570" s="156"/>
      <c r="AW1570" s="156"/>
      <c r="AX1570" s="156"/>
      <c r="AY1570" s="156"/>
      <c r="AZ1570" s="156"/>
      <c r="BA1570" s="156"/>
      <c r="BB1570" s="2833">
        <f>(BD1570+BD1571+BD1572+BD1573)/(BE1570+BE1571+BE1572+BE1573)</f>
        <v>2.4030688374314648</v>
      </c>
      <c r="BC1570" s="2348" t="str">
        <f t="shared" si="276"/>
        <v>Cooling Res 6 Year EUL</v>
      </c>
      <c r="BD1570" s="2829">
        <f>(INDEX('Avoided Cost Benefits'!$E$4:$E$859,MATCH(BC1570,'Avoided Cost Benefits'!$A$4:$A$859,0)))*F1570</f>
        <v>1504.4419713053201</v>
      </c>
      <c r="BE1570" s="858">
        <f t="shared" si="279"/>
        <v>956.52847888878171</v>
      </c>
      <c r="BF1570" s="156"/>
      <c r="BH1570" s="686"/>
    </row>
    <row r="1571" spans="1:60" x14ac:dyDescent="0.35">
      <c r="A1571" s="3493" t="str">
        <f t="shared" si="272"/>
        <v>352700_2021_12_Heating Res</v>
      </c>
      <c r="B1571" s="2812"/>
      <c r="C1571" s="1037" t="s">
        <v>1184</v>
      </c>
      <c r="D1571" s="1311" t="s">
        <v>320</v>
      </c>
      <c r="E1571" s="3420" t="s">
        <v>1185</v>
      </c>
      <c r="F1571" s="618">
        <f>ROUND(((K1958*K2151*(1/K2344-1/K2537)*K3502)/1000)*$K$3677,2)</f>
        <v>2372.56</v>
      </c>
      <c r="G1571" s="2810" t="s">
        <v>1092</v>
      </c>
      <c r="H1571" s="2720">
        <f>VLOOKUP(G1571,'CP FACTORS'!$A$3:$B$38, 2, FALSE)</f>
        <v>0</v>
      </c>
      <c r="I1571" s="2995">
        <f t="shared" si="273"/>
        <v>0</v>
      </c>
      <c r="J1571" s="124">
        <f t="shared" si="283"/>
        <v>6</v>
      </c>
      <c r="K1571" s="462">
        <f t="shared" si="284"/>
        <v>0</v>
      </c>
      <c r="L1571" s="3496"/>
      <c r="M1571" s="103"/>
      <c r="N1571" s="1317"/>
      <c r="O1571" s="963"/>
      <c r="P1571" s="106"/>
      <c r="Q1571" s="106"/>
      <c r="R1571" s="1214"/>
      <c r="S1571" s="106"/>
      <c r="T1571" s="106"/>
      <c r="U1571" s="1319"/>
      <c r="V1571" s="3436" t="s">
        <v>30</v>
      </c>
      <c r="W1571" s="2914">
        <v>3346.0750760649075</v>
      </c>
      <c r="X1571" s="685">
        <v>2491.6517241379302</v>
      </c>
      <c r="Y1571" s="615">
        <v>2491.65</v>
      </c>
      <c r="Z1571" s="615">
        <v>2491.65</v>
      </c>
      <c r="AA1571" s="615">
        <v>2491.65</v>
      </c>
      <c r="AB1571" s="3494">
        <v>1396.62</v>
      </c>
      <c r="AC1571" s="618">
        <v>1319.43</v>
      </c>
      <c r="AD1571" s="618">
        <v>2372.56</v>
      </c>
      <c r="AE1571" s="2914"/>
      <c r="AF1571" s="2914"/>
      <c r="AG1571" s="2914"/>
      <c r="AH1571" s="344"/>
      <c r="AI1571" s="156"/>
      <c r="AJ1571" s="3640"/>
      <c r="AK1571" s="2915"/>
      <c r="AL1571" s="156"/>
      <c r="AM1571" s="3640"/>
      <c r="AN1571" s="3640"/>
      <c r="AO1571" s="156"/>
      <c r="AP1571" s="156"/>
      <c r="AQ1571" s="156"/>
      <c r="AR1571" s="156"/>
      <c r="AS1571" s="156"/>
      <c r="AT1571" s="156"/>
      <c r="AU1571" s="156"/>
      <c r="AV1571" s="156"/>
      <c r="AW1571" s="156"/>
      <c r="AX1571" s="156"/>
      <c r="AY1571" s="156"/>
      <c r="AZ1571" s="156"/>
      <c r="BA1571" s="156"/>
      <c r="BB1571" s="2905"/>
      <c r="BC1571" s="2357" t="str">
        <f t="shared" si="276"/>
        <v>Heating Res 6 Year EUL</v>
      </c>
      <c r="BD1571" s="2829">
        <f>(INDEX('Avoided Cost Benefits'!$E$4:$E$859,MATCH(BC1571,'Avoided Cost Benefits'!$A$4:$A$859,0)))*F1571</f>
        <v>386.58774591284811</v>
      </c>
      <c r="BE1571" s="858">
        <f t="shared" si="279"/>
        <v>0</v>
      </c>
      <c r="BF1571" s="156"/>
      <c r="BH1571" s="686"/>
    </row>
    <row r="1572" spans="1:60" x14ac:dyDescent="0.35">
      <c r="A1572" s="3493" t="str">
        <f t="shared" si="272"/>
        <v>352700_2021_12_Cooling Res ER2</v>
      </c>
      <c r="B1572" s="2812"/>
      <c r="C1572" s="1037" t="s">
        <v>1184</v>
      </c>
      <c r="D1572" s="1311" t="s">
        <v>320</v>
      </c>
      <c r="E1572" s="3420" t="s">
        <v>1186</v>
      </c>
      <c r="F1572" s="618">
        <f>ROUND(((K2731*K2924*(1/K3117-1/K3310)*K3503)/1000)*$K$3677,2)</f>
        <v>171.49</v>
      </c>
      <c r="G1572" s="2810" t="s">
        <v>1133</v>
      </c>
      <c r="H1572" s="2720">
        <f>VLOOKUP(G1572,'CP FACTORS'!$A$3:$B$38, 2, FALSE)</f>
        <v>9.4741810000000004E-4</v>
      </c>
      <c r="I1572" s="2995">
        <f t="shared" si="273"/>
        <v>0.16247300000000001</v>
      </c>
      <c r="J1572" s="124">
        <f t="shared" si="283"/>
        <v>12</v>
      </c>
      <c r="K1572" s="462">
        <f t="shared" si="284"/>
        <v>0</v>
      </c>
      <c r="L1572" s="3496"/>
      <c r="M1572" s="103"/>
      <c r="N1572" s="1317"/>
      <c r="O1572" s="963"/>
      <c r="P1572" s="106"/>
      <c r="Q1572" s="106"/>
      <c r="R1572" s="1214"/>
      <c r="S1572" s="106"/>
      <c r="T1572" s="106"/>
      <c r="U1572" s="1319"/>
      <c r="V1572" s="3436" t="s">
        <v>30</v>
      </c>
      <c r="W1572" s="2914">
        <v>109.33614947965923</v>
      </c>
      <c r="X1572" s="685">
        <v>109.33614947965923</v>
      </c>
      <c r="Y1572" s="615">
        <v>109.34</v>
      </c>
      <c r="Z1572" s="615">
        <v>109.34</v>
      </c>
      <c r="AA1572" s="615">
        <v>109.34</v>
      </c>
      <c r="AB1572" s="3494">
        <v>103.53</v>
      </c>
      <c r="AC1572" s="618">
        <v>105.03</v>
      </c>
      <c r="AD1572" s="618">
        <v>171.49</v>
      </c>
      <c r="AE1572" s="2914"/>
      <c r="AF1572" s="2914"/>
      <c r="AG1572" s="2914"/>
      <c r="AH1572" s="344"/>
      <c r="AI1572" s="156"/>
      <c r="AJ1572" s="3640"/>
      <c r="AK1572" s="2915"/>
      <c r="AL1572" s="156"/>
      <c r="AM1572" s="3640"/>
      <c r="AN1572" s="3640"/>
      <c r="AO1572" s="156"/>
      <c r="AP1572" s="156"/>
      <c r="AQ1572" s="156"/>
      <c r="AR1572" s="156"/>
      <c r="AS1572" s="156"/>
      <c r="AT1572" s="156"/>
      <c r="AU1572" s="156"/>
      <c r="AV1572" s="156"/>
      <c r="AW1572" s="156"/>
      <c r="AX1572" s="156"/>
      <c r="AY1572" s="156"/>
      <c r="AZ1572" s="156"/>
      <c r="BA1572" s="156"/>
      <c r="BB1572" s="2905"/>
      <c r="BC1572" s="2357" t="str">
        <f t="shared" si="276"/>
        <v>Cooling Res ER2 12 Year EUL</v>
      </c>
      <c r="BD1572" s="2829">
        <f>(INDEX('Avoided Cost Benefits'!$E$4:$E$859,MATCH(BC1572,'Avoided Cost Benefits'!$A$4:$A$859,0)))*F1572</f>
        <v>189.75888698946613</v>
      </c>
      <c r="BE1572" s="858">
        <f t="shared" si="279"/>
        <v>0</v>
      </c>
      <c r="BF1572" s="156"/>
      <c r="BH1572" s="686"/>
    </row>
    <row r="1573" spans="1:60" x14ac:dyDescent="0.35">
      <c r="A1573" s="3493" t="str">
        <f t="shared" si="272"/>
        <v>352700_2021_12_Heating Res ER2</v>
      </c>
      <c r="B1573" s="2812"/>
      <c r="C1573" s="1037" t="s">
        <v>1184</v>
      </c>
      <c r="D1573" s="1311" t="s">
        <v>320</v>
      </c>
      <c r="E1573" s="3419" t="s">
        <v>1186</v>
      </c>
      <c r="F1573" s="618">
        <f>ROUND(((K1959*K2152*(1/K2345-1/K2538)*K3503)/1000)*$K$3677,2)</f>
        <v>769.93</v>
      </c>
      <c r="G1573" s="2810" t="s">
        <v>1150</v>
      </c>
      <c r="H1573" s="2720">
        <f>VLOOKUP(G1573,'CP FACTORS'!$A$3:$B$38, 2, FALSE)</f>
        <v>0</v>
      </c>
      <c r="I1573" s="2995">
        <f t="shared" si="273"/>
        <v>0</v>
      </c>
      <c r="J1573" s="124">
        <f t="shared" si="283"/>
        <v>12</v>
      </c>
      <c r="K1573" s="462">
        <f t="shared" si="284"/>
        <v>0</v>
      </c>
      <c r="L1573" s="3496"/>
      <c r="M1573" s="103"/>
      <c r="N1573" s="1317"/>
      <c r="O1573" s="963"/>
      <c r="P1573" s="106"/>
      <c r="Q1573" s="106"/>
      <c r="R1573" s="1214"/>
      <c r="S1573" s="106"/>
      <c r="T1573" s="106"/>
      <c r="U1573" s="1319"/>
      <c r="V1573" s="3436" t="s">
        <v>30</v>
      </c>
      <c r="W1573" s="2914">
        <v>340.46551724137925</v>
      </c>
      <c r="X1573" s="685">
        <v>253.52733389402857</v>
      </c>
      <c r="Y1573" s="615">
        <v>253.53</v>
      </c>
      <c r="Z1573" s="615">
        <v>253.53</v>
      </c>
      <c r="AA1573" s="615">
        <v>253.53</v>
      </c>
      <c r="AB1573" s="3494">
        <v>389.37</v>
      </c>
      <c r="AC1573" s="618">
        <v>297.58</v>
      </c>
      <c r="AD1573" s="618">
        <v>769.93</v>
      </c>
      <c r="AE1573" s="2914"/>
      <c r="AF1573" s="2914"/>
      <c r="AG1573" s="2914"/>
      <c r="AH1573" s="344"/>
      <c r="AI1573" s="156"/>
      <c r="AJ1573" s="3640"/>
      <c r="AK1573" s="2915"/>
      <c r="AL1573" s="156"/>
      <c r="AM1573" s="3640"/>
      <c r="AN1573" s="3640"/>
      <c r="AO1573" s="156"/>
      <c r="AP1573" s="156"/>
      <c r="AQ1573" s="156"/>
      <c r="AR1573" s="156"/>
      <c r="AS1573" s="156"/>
      <c r="AT1573" s="156"/>
      <c r="AU1573" s="156"/>
      <c r="AV1573" s="156"/>
      <c r="AW1573" s="156"/>
      <c r="AX1573" s="156"/>
      <c r="AY1573" s="156"/>
      <c r="AZ1573" s="156"/>
      <c r="BA1573" s="156"/>
      <c r="BB1573" s="2905"/>
      <c r="BC1573" s="2349" t="str">
        <f t="shared" si="276"/>
        <v>Heating Res ER2 12 Year EUL</v>
      </c>
      <c r="BD1573" s="2829">
        <f>(INDEX('Avoided Cost Benefits'!$E$4:$E$859,MATCH(BC1573,'Avoided Cost Benefits'!$A$4:$A$859,0)))*F1573</f>
        <v>217.81517552571771</v>
      </c>
      <c r="BE1573" s="858">
        <f t="shared" si="279"/>
        <v>0</v>
      </c>
      <c r="BF1573" s="156"/>
      <c r="BH1573" s="686"/>
    </row>
    <row r="1574" spans="1:60" x14ac:dyDescent="0.35">
      <c r="A1574" s="3493" t="str">
        <f t="shared" si="272"/>
        <v>352701_2021_12_Cooling Res</v>
      </c>
      <c r="B1574" s="2812"/>
      <c r="C1574" s="1037" t="s">
        <v>1188</v>
      </c>
      <c r="D1574" s="1311" t="s">
        <v>315</v>
      </c>
      <c r="E1574" s="3418" t="s">
        <v>1189</v>
      </c>
      <c r="F1574" s="618">
        <f>ROUND((($K$2732*$K$2925*(1/$K$3118-1/$K$3311)*$K$3504)/1000)*$K$3677,2)</f>
        <v>1122.44</v>
      </c>
      <c r="G1574" s="2810" t="str">
        <f t="shared" ref="G1574:G1577" si="285">G1570</f>
        <v>Cooling Res</v>
      </c>
      <c r="H1574" s="2720">
        <f>VLOOKUP(G1574,'CP FACTORS'!$A$3:$B$38, 2, FALSE)</f>
        <v>9.4741810000000004E-4</v>
      </c>
      <c r="I1574" s="2995">
        <f t="shared" si="273"/>
        <v>1.06342</v>
      </c>
      <c r="J1574" s="124">
        <f t="shared" si="283"/>
        <v>6</v>
      </c>
      <c r="K1574" s="462">
        <f t="shared" si="284"/>
        <v>764.78725019873173</v>
      </c>
      <c r="L1574" s="3496">
        <f>L1960</f>
        <v>2.9733333333333332</v>
      </c>
      <c r="M1574" s="103"/>
      <c r="N1574" s="1317"/>
      <c r="O1574" s="963"/>
      <c r="P1574" s="106"/>
      <c r="Q1574" s="106"/>
      <c r="R1574" s="1214"/>
      <c r="S1574" s="106"/>
      <c r="T1574" s="106"/>
      <c r="U1574" s="1319"/>
      <c r="V1574" s="3436" t="s">
        <v>30</v>
      </c>
      <c r="W1574" s="2914"/>
      <c r="X1574" s="685"/>
      <c r="Y1574" s="618">
        <v>822.51</v>
      </c>
      <c r="Z1574" s="615">
        <v>822.51</v>
      </c>
      <c r="AA1574" s="615">
        <v>822.51</v>
      </c>
      <c r="AB1574" s="3494">
        <v>1041.8800000000001</v>
      </c>
      <c r="AC1574" s="618">
        <v>980.26</v>
      </c>
      <c r="AD1574" s="618">
        <v>1122.44</v>
      </c>
      <c r="AE1574" s="2914"/>
      <c r="AF1574" s="2914"/>
      <c r="AG1574" s="2914"/>
      <c r="AH1574" s="344"/>
      <c r="AI1574" s="156"/>
      <c r="AJ1574" s="3640"/>
      <c r="AK1574" s="2915"/>
      <c r="AL1574" s="156"/>
      <c r="AM1574" s="3640"/>
      <c r="AN1574" s="3640"/>
      <c r="AO1574" s="156"/>
      <c r="AP1574" s="156"/>
      <c r="AQ1574" s="156"/>
      <c r="AR1574" s="156"/>
      <c r="AS1574" s="156"/>
      <c r="AT1574" s="156"/>
      <c r="AU1574" s="156"/>
      <c r="AV1574" s="156"/>
      <c r="AW1574" s="156"/>
      <c r="AX1574" s="156"/>
      <c r="AY1574" s="156"/>
      <c r="AZ1574" s="156"/>
      <c r="BA1574" s="156"/>
      <c r="BB1574" s="2833">
        <f>(BD1574+BD1575+BD1576+BD1577)/(BE1574+BE1575+BE1576+BE1577)</f>
        <v>1.2950671739503827</v>
      </c>
      <c r="BC1574" s="2348" t="str">
        <f t="shared" si="276"/>
        <v>Cooling Res 6 Year EUL</v>
      </c>
      <c r="BD1574" s="2829">
        <f>(INDEX('Avoided Cost Benefits'!$E$4:$E$859,MATCH(BC1574,'Avoided Cost Benefits'!$A$4:$A$859,0)))*F1574</f>
        <v>711.19144128468508</v>
      </c>
      <c r="BE1574" s="858">
        <f t="shared" si="279"/>
        <v>721.83789542117188</v>
      </c>
      <c r="BF1574" s="156"/>
      <c r="BH1574" s="686"/>
    </row>
    <row r="1575" spans="1:60" x14ac:dyDescent="0.35">
      <c r="A1575" s="3493" t="str">
        <f t="shared" si="272"/>
        <v>352701_2021_12_Heating Res</v>
      </c>
      <c r="B1575" s="2812"/>
      <c r="C1575" s="1037" t="str">
        <f>C1574</f>
        <v>352701_2021_12_</v>
      </c>
      <c r="D1575" s="1311" t="s">
        <v>315</v>
      </c>
      <c r="E1575" s="3420" t="s">
        <v>1189</v>
      </c>
      <c r="F1575" s="618">
        <f>ROUND((($K$1960*$K$2153*(1/$K$2346-1/$K$2539)*$K$3504)/1000)*$K$3677,2)</f>
        <v>525.74</v>
      </c>
      <c r="G1575" s="2810" t="str">
        <f t="shared" si="285"/>
        <v>Heating Res</v>
      </c>
      <c r="H1575" s="2720">
        <f>VLOOKUP(G1575,'CP FACTORS'!$A$3:$B$38, 2, FALSE)</f>
        <v>0</v>
      </c>
      <c r="I1575" s="2995">
        <f t="shared" si="273"/>
        <v>0</v>
      </c>
      <c r="J1575" s="124">
        <f t="shared" si="283"/>
        <v>6</v>
      </c>
      <c r="K1575" s="462">
        <f t="shared" si="284"/>
        <v>0</v>
      </c>
      <c r="L1575" s="3496"/>
      <c r="M1575" s="103"/>
      <c r="N1575" s="1317"/>
      <c r="O1575" s="963"/>
      <c r="P1575" s="106"/>
      <c r="Q1575" s="106"/>
      <c r="R1575" s="1214"/>
      <c r="S1575" s="106"/>
      <c r="T1575" s="106"/>
      <c r="U1575" s="1319"/>
      <c r="V1575" s="3436" t="s">
        <v>30</v>
      </c>
      <c r="W1575" s="2914"/>
      <c r="X1575" s="685"/>
      <c r="Y1575" s="618">
        <v>849.43</v>
      </c>
      <c r="Z1575" s="615">
        <v>849.43</v>
      </c>
      <c r="AA1575" s="615">
        <v>849.43</v>
      </c>
      <c r="AB1575" s="3494">
        <v>423.54</v>
      </c>
      <c r="AC1575" s="618">
        <v>449.81</v>
      </c>
      <c r="AD1575" s="618">
        <v>525.74</v>
      </c>
      <c r="AE1575" s="2914"/>
      <c r="AF1575" s="2914"/>
      <c r="AG1575" s="2914"/>
      <c r="AH1575" s="344"/>
      <c r="AI1575" s="156"/>
      <c r="AJ1575" s="3640"/>
      <c r="AK1575" s="2915"/>
      <c r="AL1575" s="156"/>
      <c r="AM1575" s="3640"/>
      <c r="AN1575" s="3640"/>
      <c r="AO1575" s="156"/>
      <c r="AP1575" s="156"/>
      <c r="AQ1575" s="156"/>
      <c r="AR1575" s="156"/>
      <c r="AS1575" s="156"/>
      <c r="AT1575" s="156"/>
      <c r="AU1575" s="156"/>
      <c r="AV1575" s="156"/>
      <c r="AW1575" s="156"/>
      <c r="AX1575" s="156"/>
      <c r="AY1575" s="156"/>
      <c r="AZ1575" s="156"/>
      <c r="BA1575" s="156"/>
      <c r="BB1575" s="2905"/>
      <c r="BC1575" s="2357" t="str">
        <f t="shared" si="276"/>
        <v>Heating Res 6 Year EUL</v>
      </c>
      <c r="BD1575" s="2829">
        <f>(INDEX('Avoided Cost Benefits'!$E$4:$E$859,MATCH(BC1575,'Avoided Cost Benefits'!$A$4:$A$859,0)))*F1575</f>
        <v>85.664700381116077</v>
      </c>
      <c r="BE1575" s="858">
        <f t="shared" si="279"/>
        <v>0</v>
      </c>
      <c r="BF1575" s="156"/>
      <c r="BH1575" s="686"/>
    </row>
    <row r="1576" spans="1:60" x14ac:dyDescent="0.35">
      <c r="A1576" s="3493" t="str">
        <f t="shared" si="272"/>
        <v>352701_2021_12_Cooling Res ER2</v>
      </c>
      <c r="B1576" s="2812"/>
      <c r="C1576" s="1037" t="str">
        <f>C1575</f>
        <v>352701_2021_12_</v>
      </c>
      <c r="D1576" s="1311" t="s">
        <v>315</v>
      </c>
      <c r="E1576" s="3420" t="s">
        <v>1190</v>
      </c>
      <c r="F1576" s="618">
        <f>ROUND((($K$2733*$K$2926*(1/$K$3119-1/$K$3312)*$K$3505)/1000)*$K$3677,2)</f>
        <v>81.069999999999993</v>
      </c>
      <c r="G1576" s="2810" t="str">
        <f t="shared" si="285"/>
        <v>Cooling Res ER2</v>
      </c>
      <c r="H1576" s="2720">
        <f>VLOOKUP(G1576,'CP FACTORS'!$A$3:$B$38, 2, FALSE)</f>
        <v>9.4741810000000004E-4</v>
      </c>
      <c r="I1576" s="2995">
        <f t="shared" si="273"/>
        <v>7.6807E-2</v>
      </c>
      <c r="J1576" s="124">
        <f t="shared" si="283"/>
        <v>12</v>
      </c>
      <c r="K1576" s="462">
        <f t="shared" si="284"/>
        <v>0</v>
      </c>
      <c r="L1576" s="3496"/>
      <c r="M1576" s="103"/>
      <c r="N1576" s="1317"/>
      <c r="O1576" s="963"/>
      <c r="P1576" s="106"/>
      <c r="Q1576" s="106"/>
      <c r="R1576" s="1214"/>
      <c r="S1576" s="106"/>
      <c r="T1576" s="106"/>
      <c r="U1576" s="1319"/>
      <c r="V1576" s="3436" t="s">
        <v>30</v>
      </c>
      <c r="W1576" s="2914"/>
      <c r="X1576" s="685"/>
      <c r="Y1576" s="618">
        <v>79.52</v>
      </c>
      <c r="Z1576" s="615">
        <v>79.52</v>
      </c>
      <c r="AA1576" s="615">
        <v>79.52</v>
      </c>
      <c r="AB1576" s="3494">
        <v>81.19</v>
      </c>
      <c r="AC1576" s="618">
        <v>76.39</v>
      </c>
      <c r="AD1576" s="618">
        <v>81.069999999999993</v>
      </c>
      <c r="AE1576" s="2914"/>
      <c r="AF1576" s="2914"/>
      <c r="AG1576" s="2914"/>
      <c r="AH1576" s="344"/>
      <c r="AI1576" s="156"/>
      <c r="AJ1576" s="3640"/>
      <c r="AK1576" s="2915"/>
      <c r="AL1576" s="156"/>
      <c r="AM1576" s="3640"/>
      <c r="AN1576" s="3640"/>
      <c r="AO1576" s="156"/>
      <c r="AP1576" s="156"/>
      <c r="AQ1576" s="156"/>
      <c r="AR1576" s="156"/>
      <c r="AS1576" s="156"/>
      <c r="AT1576" s="156"/>
      <c r="AU1576" s="156"/>
      <c r="AV1576" s="156"/>
      <c r="AW1576" s="156"/>
      <c r="AX1576" s="156"/>
      <c r="AY1576" s="156"/>
      <c r="AZ1576" s="156"/>
      <c r="BA1576" s="156"/>
      <c r="BB1576" s="2905"/>
      <c r="BC1576" s="2357" t="str">
        <f t="shared" si="276"/>
        <v>Cooling Res ER2 12 Year EUL</v>
      </c>
      <c r="BD1576" s="2829">
        <f>(INDEX('Avoided Cost Benefits'!$E$4:$E$859,MATCH(BC1576,'Avoided Cost Benefits'!$A$4:$A$859,0)))*F1576</f>
        <v>89.706414182961211</v>
      </c>
      <c r="BE1576" s="858">
        <f t="shared" si="279"/>
        <v>0</v>
      </c>
      <c r="BF1576" s="156"/>
      <c r="BH1576" s="686"/>
    </row>
    <row r="1577" spans="1:60" x14ac:dyDescent="0.35">
      <c r="A1577" s="3493" t="str">
        <f t="shared" si="272"/>
        <v>352701_2021_12_Heating Res ER2</v>
      </c>
      <c r="B1577" s="2812"/>
      <c r="C1577" s="1037" t="str">
        <f>C1576</f>
        <v>352701_2021_12_</v>
      </c>
      <c r="D1577" s="1311" t="s">
        <v>315</v>
      </c>
      <c r="E1577" s="3419" t="s">
        <v>1190</v>
      </c>
      <c r="F1577" s="618">
        <f>ROUND((($K$1961*$K$2154*(1/$K$2347-1/$K$2540)*$K$3505)/1000)*$K$3677,2)</f>
        <v>170.61</v>
      </c>
      <c r="G1577" s="2810" t="str">
        <f t="shared" si="285"/>
        <v>Heating Res ER2</v>
      </c>
      <c r="H1577" s="2720">
        <f>VLOOKUP(G1577,'CP FACTORS'!$A$3:$B$38, 2, FALSE)</f>
        <v>0</v>
      </c>
      <c r="I1577" s="2995">
        <f t="shared" si="273"/>
        <v>0</v>
      </c>
      <c r="J1577" s="124">
        <f t="shared" si="283"/>
        <v>12</v>
      </c>
      <c r="K1577" s="462">
        <f t="shared" si="284"/>
        <v>0</v>
      </c>
      <c r="L1577" s="3496"/>
      <c r="M1577" s="103"/>
      <c r="N1577" s="1317"/>
      <c r="O1577" s="963"/>
      <c r="P1577" s="106"/>
      <c r="Q1577" s="106"/>
      <c r="R1577" s="1214"/>
      <c r="S1577" s="106"/>
      <c r="T1577" s="106"/>
      <c r="U1577" s="1319"/>
      <c r="V1577" s="3436" t="s">
        <v>30</v>
      </c>
      <c r="W1577" s="2914"/>
      <c r="X1577" s="685"/>
      <c r="Y1577" s="618">
        <v>86.43</v>
      </c>
      <c r="Z1577" s="615">
        <v>86.43</v>
      </c>
      <c r="AA1577" s="615">
        <v>86.43</v>
      </c>
      <c r="AB1577" s="3494">
        <v>80.16</v>
      </c>
      <c r="AC1577" s="618">
        <v>101.45</v>
      </c>
      <c r="AD1577" s="618">
        <v>170.61</v>
      </c>
      <c r="AE1577" s="2914"/>
      <c r="AF1577" s="2914"/>
      <c r="AG1577" s="2914"/>
      <c r="AH1577" s="344"/>
      <c r="AI1577" s="156"/>
      <c r="AJ1577" s="3640"/>
      <c r="AK1577" s="2915"/>
      <c r="AL1577" s="156"/>
      <c r="AM1577" s="3640"/>
      <c r="AN1577" s="3640"/>
      <c r="AO1577" s="156"/>
      <c r="AP1577" s="156"/>
      <c r="AQ1577" s="156"/>
      <c r="AR1577" s="156"/>
      <c r="AS1577" s="156"/>
      <c r="AT1577" s="156"/>
      <c r="AU1577" s="156"/>
      <c r="AV1577" s="156"/>
      <c r="AW1577" s="156"/>
      <c r="AX1577" s="156"/>
      <c r="AY1577" s="156"/>
      <c r="AZ1577" s="156"/>
      <c r="BA1577" s="156"/>
      <c r="BB1577" s="2905"/>
      <c r="BC1577" s="2349" t="str">
        <f t="shared" si="276"/>
        <v>Heating Res ER2 12 Year EUL</v>
      </c>
      <c r="BD1577" s="2829">
        <f>(INDEX('Avoided Cost Benefits'!$E$4:$E$859,MATCH(BC1577,'Avoided Cost Benefits'!$A$4:$A$859,0)))*F1577</f>
        <v>48.26600742462653</v>
      </c>
      <c r="BE1577" s="858">
        <f t="shared" si="279"/>
        <v>0</v>
      </c>
      <c r="BF1577" s="156"/>
      <c r="BH1577" s="686"/>
    </row>
    <row r="1578" spans="1:60" x14ac:dyDescent="0.35">
      <c r="A1578" s="3493" t="str">
        <f t="shared" si="272"/>
        <v>352750_2021_12_Cooling Res</v>
      </c>
      <c r="B1578" s="2812"/>
      <c r="C1578" s="1037" t="s">
        <v>1192</v>
      </c>
      <c r="D1578" s="1311" t="s">
        <v>320</v>
      </c>
      <c r="E1578" s="3418" t="s">
        <v>1193</v>
      </c>
      <c r="F1578" s="618">
        <f>ROUND(((K2734*K2927*(1/K3120-1/K3313)*K3506)/1000)*$K$3677,2)</f>
        <v>2374.39</v>
      </c>
      <c r="G1578" s="2810" t="s">
        <v>1091</v>
      </c>
      <c r="H1578" s="2720">
        <f>VLOOKUP(G1578,'CP FACTORS'!$A$3:$B$38, 2, FALSE)</f>
        <v>9.4741810000000004E-4</v>
      </c>
      <c r="I1578" s="2995">
        <f t="shared" si="273"/>
        <v>2.2495400000000001</v>
      </c>
      <c r="J1578" s="124">
        <f t="shared" si="283"/>
        <v>6</v>
      </c>
      <c r="K1578" s="462">
        <f t="shared" si="284"/>
        <v>1013.4419233826643</v>
      </c>
      <c r="L1578" s="3496">
        <f>L1962</f>
        <v>2.9733333333333332</v>
      </c>
      <c r="M1578" s="103"/>
      <c r="N1578" s="1317"/>
      <c r="O1578" s="963"/>
      <c r="P1578" s="106"/>
      <c r="Q1578" s="106"/>
      <c r="R1578" s="1214"/>
      <c r="S1578" s="106"/>
      <c r="T1578" s="106"/>
      <c r="U1578" s="1319"/>
      <c r="V1578" s="3436" t="s">
        <v>30</v>
      </c>
      <c r="W1578" s="2914">
        <v>1534.1387611998441</v>
      </c>
      <c r="X1578" s="685">
        <v>1021.5017864099281</v>
      </c>
      <c r="Y1578" s="615">
        <v>1021.5</v>
      </c>
      <c r="Z1578" s="615">
        <v>1021.5</v>
      </c>
      <c r="AA1578" s="615">
        <v>1021.5</v>
      </c>
      <c r="AB1578" s="3494">
        <v>1281.8399999999999</v>
      </c>
      <c r="AC1578" s="618">
        <v>914.58</v>
      </c>
      <c r="AD1578" s="618">
        <v>2374.39</v>
      </c>
      <c r="AE1578" s="2914"/>
      <c r="AF1578" s="2914"/>
      <c r="AG1578" s="2914"/>
      <c r="AH1578" s="344"/>
      <c r="AI1578" s="156"/>
      <c r="AJ1578" s="3640"/>
      <c r="AK1578" s="2915"/>
      <c r="AL1578" s="156"/>
      <c r="AM1578" s="3640"/>
      <c r="AN1578" s="3640"/>
      <c r="AO1578" s="156"/>
      <c r="AP1578" s="156"/>
      <c r="AQ1578" s="156"/>
      <c r="AR1578" s="156"/>
      <c r="AS1578" s="156"/>
      <c r="AT1578" s="156"/>
      <c r="AU1578" s="156"/>
      <c r="AV1578" s="156"/>
      <c r="AW1578" s="156"/>
      <c r="AX1578" s="156"/>
      <c r="AY1578" s="156"/>
      <c r="AZ1578" s="156"/>
      <c r="BA1578" s="156"/>
      <c r="BB1578" s="2833">
        <f>(BD1578+BD1579+BD1580+BD1581)/(BE1578+BE1579+BE1580+BE1581)</f>
        <v>6.6107509008873944</v>
      </c>
      <c r="BC1578" s="2348" t="str">
        <f t="shared" si="276"/>
        <v>Cooling Res 6 Year EUL</v>
      </c>
      <c r="BD1578" s="2829">
        <f>(INDEX('Avoided Cost Benefits'!$E$4:$E$859,MATCH(BC1578,'Avoided Cost Benefits'!$A$4:$A$859,0)))*F1578</f>
        <v>1504.4419713053201</v>
      </c>
      <c r="BE1578" s="858">
        <f t="shared" si="279"/>
        <v>956.52847888878171</v>
      </c>
      <c r="BF1578" s="156"/>
      <c r="BH1578" s="686"/>
    </row>
    <row r="1579" spans="1:60" x14ac:dyDescent="0.35">
      <c r="A1579" s="3493" t="str">
        <f t="shared" si="272"/>
        <v>352750_2021_12_Heating Res</v>
      </c>
      <c r="B1579" s="2812"/>
      <c r="C1579" s="1037" t="s">
        <v>1192</v>
      </c>
      <c r="D1579" s="1311" t="s">
        <v>320</v>
      </c>
      <c r="E1579" s="3420" t="s">
        <v>1193</v>
      </c>
      <c r="F1579" s="618">
        <f>ROUND(((K1962*K2155*(1/K2348-1/K2541)*K3506)/1000)*$K$3677,2)</f>
        <v>9913.67</v>
      </c>
      <c r="G1579" s="2810" t="s">
        <v>1092</v>
      </c>
      <c r="H1579" s="2720">
        <f>VLOOKUP(G1579,'CP FACTORS'!$A$3:$B$38, 2, FALSE)</f>
        <v>0</v>
      </c>
      <c r="I1579" s="2995">
        <f t="shared" si="273"/>
        <v>0</v>
      </c>
      <c r="J1579" s="124">
        <f t="shared" si="283"/>
        <v>6</v>
      </c>
      <c r="K1579" s="462">
        <f t="shared" si="284"/>
        <v>0</v>
      </c>
      <c r="L1579" s="3496"/>
      <c r="M1579" s="103"/>
      <c r="N1579" s="1317"/>
      <c r="O1579" s="963"/>
      <c r="P1579" s="106"/>
      <c r="Q1579" s="106"/>
      <c r="R1579" s="1214"/>
      <c r="S1579" s="106"/>
      <c r="T1579" s="106"/>
      <c r="U1579" s="1319"/>
      <c r="V1579" s="3436" t="s">
        <v>30</v>
      </c>
      <c r="W1579" s="2914">
        <v>7823.7436343411837</v>
      </c>
      <c r="X1579" s="685">
        <v>5825.9434927697412</v>
      </c>
      <c r="Y1579" s="615">
        <v>5825.94</v>
      </c>
      <c r="Z1579" s="615">
        <v>5825.94</v>
      </c>
      <c r="AA1579" s="615">
        <v>5825.94</v>
      </c>
      <c r="AB1579" s="3494">
        <v>5742.99</v>
      </c>
      <c r="AC1579" s="618">
        <v>5401.11</v>
      </c>
      <c r="AD1579" s="618">
        <v>9913.67</v>
      </c>
      <c r="AE1579" s="2914"/>
      <c r="AF1579" s="2914"/>
      <c r="AG1579" s="2914"/>
      <c r="AH1579" s="344"/>
      <c r="AI1579" s="156"/>
      <c r="AJ1579" s="3640"/>
      <c r="AK1579" s="2915"/>
      <c r="AL1579" s="156"/>
      <c r="AM1579" s="3640"/>
      <c r="AN1579" s="3640"/>
      <c r="AO1579" s="156"/>
      <c r="AP1579" s="156"/>
      <c r="AQ1579" s="156"/>
      <c r="AR1579" s="156"/>
      <c r="AS1579" s="156"/>
      <c r="AT1579" s="156"/>
      <c r="AU1579" s="156"/>
      <c r="AV1579" s="156"/>
      <c r="AW1579" s="156"/>
      <c r="AX1579" s="156"/>
      <c r="AY1579" s="156"/>
      <c r="AZ1579" s="156"/>
      <c r="BA1579" s="156"/>
      <c r="BB1579" s="2905"/>
      <c r="BC1579" s="2357" t="str">
        <f t="shared" si="276"/>
        <v>Heating Res 6 Year EUL</v>
      </c>
      <c r="BD1579" s="2829">
        <f>(INDEX('Avoided Cost Benefits'!$E$4:$E$859,MATCH(BC1579,'Avoided Cost Benefits'!$A$4:$A$859,0)))*F1579</f>
        <v>1615.3451710489196</v>
      </c>
      <c r="BE1579" s="858">
        <f t="shared" si="279"/>
        <v>0</v>
      </c>
      <c r="BF1579" s="156"/>
      <c r="BH1579" s="686"/>
    </row>
    <row r="1580" spans="1:60" x14ac:dyDescent="0.35">
      <c r="A1580" s="3493" t="str">
        <f t="shared" si="272"/>
        <v>352750_2021_12_Cooling Res ER2</v>
      </c>
      <c r="B1580" s="2812"/>
      <c r="C1580" s="1037" t="s">
        <v>1192</v>
      </c>
      <c r="D1580" s="1311" t="s">
        <v>320</v>
      </c>
      <c r="E1580" s="3420" t="s">
        <v>1194</v>
      </c>
      <c r="F1580" s="618">
        <f>ROUND(((K2735*K2928*(1/K3121-1/K3314)*K3507)/1000)*$K$3677,2)</f>
        <v>360.57</v>
      </c>
      <c r="G1580" s="2810" t="s">
        <v>1133</v>
      </c>
      <c r="H1580" s="2720">
        <f>VLOOKUP(G1580,'CP FACTORS'!$A$3:$B$38, 2, FALSE)</f>
        <v>9.4741810000000004E-4</v>
      </c>
      <c r="I1580" s="2995">
        <f t="shared" si="273"/>
        <v>0.341611</v>
      </c>
      <c r="J1580" s="124">
        <f t="shared" si="283"/>
        <v>12</v>
      </c>
      <c r="K1580" s="462">
        <f t="shared" si="284"/>
        <v>0</v>
      </c>
      <c r="L1580" s="3496"/>
      <c r="M1580" s="103"/>
      <c r="N1580" s="1317"/>
      <c r="O1580" s="963"/>
      <c r="P1580" s="106"/>
      <c r="Q1580" s="106"/>
      <c r="R1580" s="1214"/>
      <c r="S1580" s="106"/>
      <c r="T1580" s="106"/>
      <c r="U1580" s="1319"/>
      <c r="V1580" s="3436" t="s">
        <v>30</v>
      </c>
      <c r="W1580" s="2914">
        <v>203.03523178807947</v>
      </c>
      <c r="X1580" s="688">
        <v>203.03523178807947</v>
      </c>
      <c r="Y1580" s="615">
        <v>203.04</v>
      </c>
      <c r="Z1580" s="615">
        <v>203.04</v>
      </c>
      <c r="AA1580" s="615">
        <v>203.04</v>
      </c>
      <c r="AB1580" s="3494">
        <v>199.41</v>
      </c>
      <c r="AC1580" s="618">
        <v>201.35</v>
      </c>
      <c r="AD1580" s="618">
        <v>360.57</v>
      </c>
      <c r="AE1580" s="2914"/>
      <c r="AF1580" s="2914"/>
      <c r="AG1580" s="2914"/>
      <c r="AH1580" s="344"/>
      <c r="AI1580" s="156"/>
      <c r="AJ1580" s="3640"/>
      <c r="AK1580" s="2915"/>
      <c r="AL1580" s="156"/>
      <c r="AM1580" s="3640"/>
      <c r="AN1580" s="3640"/>
      <c r="AO1580" s="156"/>
      <c r="AP1580" s="156"/>
      <c r="AQ1580" s="156"/>
      <c r="AR1580" s="156"/>
      <c r="AS1580" s="156"/>
      <c r="AT1580" s="156"/>
      <c r="AU1580" s="156"/>
      <c r="AV1580" s="156"/>
      <c r="AW1580" s="156"/>
      <c r="AX1580" s="156"/>
      <c r="AY1580" s="156"/>
      <c r="AZ1580" s="156"/>
      <c r="BA1580" s="156"/>
      <c r="BB1580" s="2905"/>
      <c r="BC1580" s="2357" t="str">
        <f t="shared" si="276"/>
        <v>Cooling Res ER2 12 Year EUL</v>
      </c>
      <c r="BD1580" s="2829">
        <f>(INDEX('Avoided Cost Benefits'!$E$4:$E$859,MATCH(BC1580,'Avoided Cost Benefits'!$A$4:$A$859,0)))*F1580</f>
        <v>398.98164255520322</v>
      </c>
      <c r="BE1580" s="858">
        <f t="shared" si="279"/>
        <v>0</v>
      </c>
      <c r="BF1580" s="156"/>
      <c r="BH1580" s="686"/>
    </row>
    <row r="1581" spans="1:60" x14ac:dyDescent="0.35">
      <c r="A1581" s="3493" t="str">
        <f t="shared" si="272"/>
        <v>352750_2021_12_Heating Res ER2</v>
      </c>
      <c r="B1581" s="2812"/>
      <c r="C1581" s="1037" t="s">
        <v>1192</v>
      </c>
      <c r="D1581" s="1311" t="s">
        <v>320</v>
      </c>
      <c r="E1581" s="3419" t="s">
        <v>1194</v>
      </c>
      <c r="F1581" s="618">
        <f>ROUND(((K1963*K2156*(1/K2349-1/K2542)*K3507)/1000)*$K$3677,2)</f>
        <v>9913.67</v>
      </c>
      <c r="G1581" s="2810" t="s">
        <v>1150</v>
      </c>
      <c r="H1581" s="2720">
        <f>VLOOKUP(G1581,'CP FACTORS'!$A$3:$B$38, 2, FALSE)</f>
        <v>0</v>
      </c>
      <c r="I1581" s="2995">
        <f t="shared" si="273"/>
        <v>0</v>
      </c>
      <c r="J1581" s="124">
        <f t="shared" si="283"/>
        <v>12</v>
      </c>
      <c r="K1581" s="462">
        <f t="shared" si="284"/>
        <v>0</v>
      </c>
      <c r="L1581" s="3496"/>
      <c r="M1581" s="103"/>
      <c r="N1581" s="1317"/>
      <c r="O1581" s="963"/>
      <c r="P1581" s="106"/>
      <c r="Q1581" s="106"/>
      <c r="R1581" s="1214"/>
      <c r="S1581" s="106"/>
      <c r="T1581" s="106"/>
      <c r="U1581" s="1319"/>
      <c r="V1581" s="3436" t="s">
        <v>30</v>
      </c>
      <c r="W1581" s="2914">
        <v>7823.7436343411837</v>
      </c>
      <c r="X1581" s="685">
        <v>5825.9434927697412</v>
      </c>
      <c r="Y1581" s="615">
        <v>5825.94</v>
      </c>
      <c r="Z1581" s="615">
        <v>5825.94</v>
      </c>
      <c r="AA1581" s="615">
        <v>5825.94</v>
      </c>
      <c r="AB1581" s="3494">
        <v>5742.99</v>
      </c>
      <c r="AC1581" s="618">
        <v>5401.11</v>
      </c>
      <c r="AD1581" s="618">
        <v>9913.67</v>
      </c>
      <c r="AE1581" s="2914"/>
      <c r="AF1581" s="2914"/>
      <c r="AG1581" s="2914"/>
      <c r="AH1581" s="344"/>
      <c r="AI1581" s="156"/>
      <c r="AJ1581" s="3640"/>
      <c r="AK1581" s="2915"/>
      <c r="AL1581" s="156"/>
      <c r="AM1581" s="3640"/>
      <c r="AN1581" s="3640"/>
      <c r="AO1581" s="156"/>
      <c r="AP1581" s="156"/>
      <c r="AQ1581" s="156"/>
      <c r="AR1581" s="156"/>
      <c r="AS1581" s="156"/>
      <c r="AT1581" s="156"/>
      <c r="AU1581" s="156"/>
      <c r="AV1581" s="156"/>
      <c r="AW1581" s="156"/>
      <c r="AX1581" s="156"/>
      <c r="AY1581" s="156"/>
      <c r="AZ1581" s="156"/>
      <c r="BA1581" s="156"/>
      <c r="BB1581" s="2905"/>
      <c r="BC1581" s="2349" t="str">
        <f t="shared" si="276"/>
        <v>Heating Res ER2 12 Year EUL</v>
      </c>
      <c r="BD1581" s="2829">
        <f>(INDEX('Avoided Cost Benefits'!$E$4:$E$859,MATCH(BC1581,'Avoided Cost Benefits'!$A$4:$A$859,0)))*F1581</f>
        <v>2804.6027186290207</v>
      </c>
      <c r="BE1581" s="858">
        <f t="shared" si="279"/>
        <v>0</v>
      </c>
      <c r="BF1581" s="156"/>
      <c r="BH1581" s="686"/>
    </row>
    <row r="1582" spans="1:60" x14ac:dyDescent="0.35">
      <c r="A1582" s="3493" t="str">
        <f t="shared" si="272"/>
        <v>352751_2021_12_Cooling Res</v>
      </c>
      <c r="B1582" s="2812"/>
      <c r="C1582" s="1037" t="s">
        <v>1196</v>
      </c>
      <c r="D1582" s="1311" t="s">
        <v>315</v>
      </c>
      <c r="E1582" s="3418" t="s">
        <v>1197</v>
      </c>
      <c r="F1582" s="618">
        <f>ROUND((($K$2736*$K$2929*(1/$K$3122-1/$K$3315)*$K$3508)/1000)*$K$3677,2)</f>
        <v>1726.83</v>
      </c>
      <c r="G1582" s="2810" t="str">
        <f>G1578</f>
        <v>Cooling Res</v>
      </c>
      <c r="H1582" s="2720">
        <f>VLOOKUP(G1582,'CP FACTORS'!$A$3:$B$38, 2, FALSE)</f>
        <v>9.4741810000000004E-4</v>
      </c>
      <c r="I1582" s="2995">
        <f t="shared" si="273"/>
        <v>1.6360300000000001</v>
      </c>
      <c r="J1582" s="124">
        <f t="shared" si="283"/>
        <v>6</v>
      </c>
      <c r="K1582" s="462">
        <f t="shared" si="284"/>
        <v>1013.4419233826643</v>
      </c>
      <c r="L1582" s="3496">
        <f>L1964</f>
        <v>2.9733333333333332</v>
      </c>
      <c r="M1582" s="103"/>
      <c r="N1582" s="1317"/>
      <c r="O1582" s="963"/>
      <c r="P1582" s="106"/>
      <c r="Q1582" s="106"/>
      <c r="R1582" s="1214"/>
      <c r="S1582" s="106"/>
      <c r="T1582" s="106"/>
      <c r="U1582" s="1319"/>
      <c r="V1582" s="3436" t="s">
        <v>30</v>
      </c>
      <c r="W1582" s="2914"/>
      <c r="X1582" s="685"/>
      <c r="Y1582" s="618">
        <v>742.91</v>
      </c>
      <c r="Z1582" s="615">
        <v>742.91</v>
      </c>
      <c r="AA1582" s="615">
        <v>742.91</v>
      </c>
      <c r="AB1582" s="3494">
        <v>923.42</v>
      </c>
      <c r="AC1582" s="618">
        <v>839.47</v>
      </c>
      <c r="AD1582" s="618">
        <v>1726.83</v>
      </c>
      <c r="AE1582" s="2914"/>
      <c r="AF1582" s="2914"/>
      <c r="AG1582" s="2914"/>
      <c r="AH1582" s="344"/>
      <c r="AI1582" s="156"/>
      <c r="AJ1582" s="3640"/>
      <c r="AK1582" s="2915"/>
      <c r="AL1582" s="156"/>
      <c r="AM1582" s="3640"/>
      <c r="AN1582" s="3640"/>
      <c r="AO1582" s="156"/>
      <c r="AP1582" s="156"/>
      <c r="AQ1582" s="156"/>
      <c r="AR1582" s="156"/>
      <c r="AS1582" s="156"/>
      <c r="AT1582" s="156"/>
      <c r="AU1582" s="156"/>
      <c r="AV1582" s="156"/>
      <c r="AW1582" s="156"/>
      <c r="AX1582" s="156"/>
      <c r="AY1582" s="156"/>
      <c r="AZ1582" s="156"/>
      <c r="BA1582" s="156"/>
      <c r="BB1582" s="2833">
        <f>(BD1582+BD1583+BD1584+BD1585)/(BE1582+BE1583+BE1584+BE1585)</f>
        <v>3.0224985668746016</v>
      </c>
      <c r="BC1582" s="2348" t="str">
        <f t="shared" si="276"/>
        <v>Cooling Res 6 Year EUL</v>
      </c>
      <c r="BD1582" s="2829">
        <f>(INDEX('Avoided Cost Benefits'!$E$4:$E$859,MATCH(BC1582,'Avoided Cost Benefits'!$A$4:$A$859,0)))*F1582</f>
        <v>1094.1401915056776</v>
      </c>
      <c r="BE1582" s="858">
        <f t="shared" si="279"/>
        <v>956.52847888878171</v>
      </c>
      <c r="BF1582" s="156"/>
      <c r="BH1582" s="686"/>
    </row>
    <row r="1583" spans="1:60" x14ac:dyDescent="0.35">
      <c r="A1583" s="3493" t="str">
        <f t="shared" si="272"/>
        <v>352751_2021_12_Heating Res</v>
      </c>
      <c r="B1583" s="2812"/>
      <c r="C1583" s="1037" t="str">
        <f>C1582</f>
        <v>352751_2021_12_</v>
      </c>
      <c r="D1583" s="1311" t="s">
        <v>315</v>
      </c>
      <c r="E1583" s="3420" t="s">
        <v>1197</v>
      </c>
      <c r="F1583" s="618">
        <f>ROUND((($K$1964*$K$2157*(1/$K$2350-1/$K$2543)*$K$3508)/1000)*$K$3677,2)</f>
        <v>3379.66</v>
      </c>
      <c r="G1583" s="2810" t="str">
        <f>G1579</f>
        <v>Heating Res</v>
      </c>
      <c r="H1583" s="2720">
        <f>VLOOKUP(G1583,'CP FACTORS'!$A$3:$B$38, 2, FALSE)</f>
        <v>0</v>
      </c>
      <c r="I1583" s="2995">
        <f t="shared" si="273"/>
        <v>0</v>
      </c>
      <c r="J1583" s="124">
        <f t="shared" si="283"/>
        <v>6</v>
      </c>
      <c r="K1583" s="462">
        <f t="shared" si="284"/>
        <v>0</v>
      </c>
      <c r="L1583" s="3496"/>
      <c r="M1583" s="103"/>
      <c r="N1583" s="1317"/>
      <c r="O1583" s="963"/>
      <c r="P1583" s="106"/>
      <c r="Q1583" s="106"/>
      <c r="R1583" s="1214"/>
      <c r="S1583" s="106"/>
      <c r="T1583" s="106"/>
      <c r="U1583" s="1319"/>
      <c r="V1583" s="3436" t="s">
        <v>30</v>
      </c>
      <c r="W1583" s="2914"/>
      <c r="X1583" s="685"/>
      <c r="Y1583" s="618">
        <v>1986.12</v>
      </c>
      <c r="Z1583" s="615">
        <v>1986.12</v>
      </c>
      <c r="AA1583" s="615">
        <v>1986.12</v>
      </c>
      <c r="AB1583" s="3494">
        <v>1957.84</v>
      </c>
      <c r="AC1583" s="618">
        <v>1841.29</v>
      </c>
      <c r="AD1583" s="618">
        <v>3379.66</v>
      </c>
      <c r="AE1583" s="2914"/>
      <c r="AF1583" s="2914"/>
      <c r="AG1583" s="2914"/>
      <c r="AH1583" s="344"/>
      <c r="AI1583" s="156"/>
      <c r="AJ1583" s="3640"/>
      <c r="AK1583" s="2915"/>
      <c r="AL1583" s="156"/>
      <c r="AM1583" s="3640"/>
      <c r="AN1583" s="3640"/>
      <c r="AO1583" s="156"/>
      <c r="AP1583" s="156"/>
      <c r="AQ1583" s="156"/>
      <c r="AR1583" s="156"/>
      <c r="AS1583" s="156"/>
      <c r="AT1583" s="156"/>
      <c r="AU1583" s="156"/>
      <c r="AV1583" s="156"/>
      <c r="AW1583" s="156"/>
      <c r="AX1583" s="156"/>
      <c r="AY1583" s="156"/>
      <c r="AZ1583" s="156"/>
      <c r="BA1583" s="156"/>
      <c r="BB1583" s="2905"/>
      <c r="BC1583" s="2357" t="str">
        <f t="shared" si="276"/>
        <v>Heating Res 6 Year EUL</v>
      </c>
      <c r="BD1583" s="2829">
        <f>(INDEX('Avoided Cost Benefits'!$E$4:$E$859,MATCH(BC1583,'Avoided Cost Benefits'!$A$4:$A$859,0)))*F1583</f>
        <v>550.6858167345888</v>
      </c>
      <c r="BE1583" s="858">
        <f t="shared" si="279"/>
        <v>0</v>
      </c>
      <c r="BF1583" s="156"/>
      <c r="BH1583" s="686"/>
    </row>
    <row r="1584" spans="1:60" x14ac:dyDescent="0.35">
      <c r="A1584" s="3493" t="str">
        <f t="shared" si="272"/>
        <v>352751_2021_12_Cooling Res ER2</v>
      </c>
      <c r="B1584" s="2812"/>
      <c r="C1584" s="1037" t="str">
        <f>C1583</f>
        <v>352751_2021_12_</v>
      </c>
      <c r="D1584" s="1311" t="s">
        <v>315</v>
      </c>
      <c r="E1584" s="3420" t="s">
        <v>1198</v>
      </c>
      <c r="F1584" s="618">
        <f>ROUND((($K$2737*$K$2930*(1/$K$3123-1/$K$3316)*$K$3509)/1000)*$K$3677,2)</f>
        <v>262.23</v>
      </c>
      <c r="G1584" s="2810" t="str">
        <f>G1580</f>
        <v>Cooling Res ER2</v>
      </c>
      <c r="H1584" s="2720">
        <f>VLOOKUP(G1584,'CP FACTORS'!$A$3:$B$38, 2, FALSE)</f>
        <v>9.4741810000000004E-4</v>
      </c>
      <c r="I1584" s="2995">
        <f t="shared" si="273"/>
        <v>0.248441</v>
      </c>
      <c r="J1584" s="124">
        <f t="shared" si="283"/>
        <v>12</v>
      </c>
      <c r="K1584" s="462">
        <f t="shared" si="284"/>
        <v>0</v>
      </c>
      <c r="L1584" s="3496"/>
      <c r="M1584" s="103"/>
      <c r="N1584" s="1317"/>
      <c r="O1584" s="963"/>
      <c r="P1584" s="106"/>
      <c r="Q1584" s="106"/>
      <c r="R1584" s="1214"/>
      <c r="S1584" s="106"/>
      <c r="T1584" s="106"/>
      <c r="U1584" s="1319"/>
      <c r="V1584" s="3436" t="s">
        <v>30</v>
      </c>
      <c r="W1584" s="2914"/>
      <c r="X1584" s="685"/>
      <c r="Y1584" s="618">
        <v>147.66</v>
      </c>
      <c r="Z1584" s="615">
        <v>147.66</v>
      </c>
      <c r="AA1584" s="615">
        <v>147.66</v>
      </c>
      <c r="AB1584" s="3494">
        <v>145.03</v>
      </c>
      <c r="AC1584" s="618">
        <v>131.84</v>
      </c>
      <c r="AD1584" s="618">
        <v>262.23</v>
      </c>
      <c r="AE1584" s="2914"/>
      <c r="AF1584" s="2914"/>
      <c r="AG1584" s="2914"/>
      <c r="AH1584" s="344"/>
      <c r="AI1584" s="156"/>
      <c r="AJ1584" s="3640"/>
      <c r="AK1584" s="2915"/>
      <c r="AL1584" s="156"/>
      <c r="AM1584" s="3640"/>
      <c r="AN1584" s="3640"/>
      <c r="AO1584" s="156"/>
      <c r="AP1584" s="156"/>
      <c r="AQ1584" s="156"/>
      <c r="AR1584" s="156"/>
      <c r="AS1584" s="156"/>
      <c r="AT1584" s="156"/>
      <c r="AU1584" s="156"/>
      <c r="AV1584" s="156"/>
      <c r="AW1584" s="156"/>
      <c r="AX1584" s="156"/>
      <c r="AY1584" s="156"/>
      <c r="AZ1584" s="156"/>
      <c r="BA1584" s="156"/>
      <c r="BB1584" s="2905"/>
      <c r="BC1584" s="2357" t="str">
        <f t="shared" si="276"/>
        <v>Cooling Res ER2 12 Year EUL</v>
      </c>
      <c r="BD1584" s="2829">
        <f>(INDEX('Avoided Cost Benefits'!$E$4:$E$859,MATCH(BC1584,'Avoided Cost Benefits'!$A$4:$A$859,0)))*F1584</f>
        <v>290.16544950287306</v>
      </c>
      <c r="BE1584" s="858">
        <f t="shared" si="279"/>
        <v>0</v>
      </c>
      <c r="BF1584" s="156"/>
      <c r="BH1584" s="686"/>
    </row>
    <row r="1585" spans="1:60" x14ac:dyDescent="0.35">
      <c r="A1585" s="3493" t="str">
        <f t="shared" si="272"/>
        <v>352751_2021_12_Heating Res ER2</v>
      </c>
      <c r="B1585" s="2812"/>
      <c r="C1585" s="1037" t="str">
        <f>C1584</f>
        <v>352751_2021_12_</v>
      </c>
      <c r="D1585" s="1311" t="s">
        <v>315</v>
      </c>
      <c r="E1585" s="3419" t="s">
        <v>1198</v>
      </c>
      <c r="F1585" s="618">
        <f>ROUND((($K$1965*$K$2158*(1/$K$2351-1/$K$2544)*$K$3509)/1000)*$K$3677,2)</f>
        <v>3379.66</v>
      </c>
      <c r="G1585" s="2810" t="str">
        <f>G1581</f>
        <v>Heating Res ER2</v>
      </c>
      <c r="H1585" s="2720">
        <f>VLOOKUP(G1585,'CP FACTORS'!$A$3:$B$38, 2, FALSE)</f>
        <v>0</v>
      </c>
      <c r="I1585" s="2995">
        <f t="shared" si="273"/>
        <v>0</v>
      </c>
      <c r="J1585" s="124">
        <f t="shared" si="283"/>
        <v>12</v>
      </c>
      <c r="K1585" s="462">
        <f t="shared" si="284"/>
        <v>0</v>
      </c>
      <c r="L1585" s="3496"/>
      <c r="M1585" s="103"/>
      <c r="N1585" s="1317"/>
      <c r="O1585" s="963"/>
      <c r="P1585" s="106"/>
      <c r="Q1585" s="106"/>
      <c r="R1585" s="1214"/>
      <c r="S1585" s="106"/>
      <c r="T1585" s="106"/>
      <c r="U1585" s="1319"/>
      <c r="V1585" s="3436" t="s">
        <v>30</v>
      </c>
      <c r="W1585" s="2914"/>
      <c r="X1585" s="685"/>
      <c r="Y1585" s="618">
        <v>1986.12</v>
      </c>
      <c r="Z1585" s="615">
        <v>1986.12</v>
      </c>
      <c r="AA1585" s="615">
        <v>1986.12</v>
      </c>
      <c r="AB1585" s="3494">
        <v>1957.84</v>
      </c>
      <c r="AC1585" s="618">
        <v>1841.29</v>
      </c>
      <c r="AD1585" s="618">
        <v>3379.66</v>
      </c>
      <c r="AE1585" s="2914"/>
      <c r="AF1585" s="2914"/>
      <c r="AG1585" s="2914"/>
      <c r="AH1585" s="344"/>
      <c r="AI1585" s="156"/>
      <c r="AJ1585" s="3640"/>
      <c r="AK1585" s="2915"/>
      <c r="AL1585" s="156"/>
      <c r="AM1585" s="3640"/>
      <c r="AN1585" s="3640"/>
      <c r="AO1585" s="156"/>
      <c r="AP1585" s="156"/>
      <c r="AQ1585" s="156"/>
      <c r="AR1585" s="156"/>
      <c r="AS1585" s="156"/>
      <c r="AT1585" s="156"/>
      <c r="AU1585" s="156"/>
      <c r="AV1585" s="156"/>
      <c r="AW1585" s="156"/>
      <c r="AX1585" s="156"/>
      <c r="AY1585" s="156"/>
      <c r="AZ1585" s="156"/>
      <c r="BA1585" s="156"/>
      <c r="BB1585" s="2905"/>
      <c r="BC1585" s="2349" t="str">
        <f t="shared" si="276"/>
        <v>Heating Res ER2 12 Year EUL</v>
      </c>
      <c r="BD1585" s="2829">
        <f>(INDEX('Avoided Cost Benefits'!$E$4:$E$859,MATCH(BC1585,'Avoided Cost Benefits'!$A$4:$A$859,0)))*F1585</f>
        <v>956.11449887294577</v>
      </c>
      <c r="BE1585" s="858">
        <f t="shared" si="279"/>
        <v>0</v>
      </c>
      <c r="BF1585" s="156"/>
      <c r="BH1585" s="686"/>
    </row>
    <row r="1586" spans="1:60" x14ac:dyDescent="0.35">
      <c r="A1586" s="3493" t="str">
        <f t="shared" si="272"/>
        <v>352760_2021_12_Cooling Res</v>
      </c>
      <c r="B1586" s="2812"/>
      <c r="C1586" s="1037" t="s">
        <v>1199</v>
      </c>
      <c r="D1586" s="1311" t="s">
        <v>320</v>
      </c>
      <c r="E1586" s="3420" t="s">
        <v>1200</v>
      </c>
      <c r="F1586" s="618">
        <f>ROUND((($K$2738*$K$2931*(1/$K$3124-1/$K$3317)*$K$3510)/1000)*$K$3677,2)</f>
        <v>2374.39</v>
      </c>
      <c r="G1586" s="2810" t="s">
        <v>1091</v>
      </c>
      <c r="H1586" s="2720">
        <f>VLOOKUP(G1586,'CP FACTORS'!$A$3:$B$38, 2, FALSE)</f>
        <v>9.4741810000000004E-4</v>
      </c>
      <c r="I1586" s="2995">
        <f t="shared" si="273"/>
        <v>2.2495400000000001</v>
      </c>
      <c r="J1586" s="124">
        <f t="shared" si="283"/>
        <v>6</v>
      </c>
      <c r="K1586" s="462">
        <f t="shared" si="284"/>
        <v>1013.4419233826643</v>
      </c>
      <c r="L1586" s="3496">
        <f>L1966</f>
        <v>2.9733333333333332</v>
      </c>
      <c r="M1586" s="103"/>
      <c r="N1586" s="1317"/>
      <c r="O1586" s="963"/>
      <c r="P1586" s="106"/>
      <c r="Q1586" s="106"/>
      <c r="R1586" s="1214"/>
      <c r="S1586" s="106"/>
      <c r="T1586" s="106"/>
      <c r="U1586" s="1319"/>
      <c r="V1586" s="1590" t="s">
        <v>30</v>
      </c>
      <c r="W1586" s="2914"/>
      <c r="X1586" s="685"/>
      <c r="Y1586" s="618"/>
      <c r="Z1586" s="615"/>
      <c r="AA1586" s="615"/>
      <c r="AB1586" s="3494"/>
      <c r="AC1586" s="618">
        <v>914.58</v>
      </c>
      <c r="AD1586" s="618">
        <v>2374.39</v>
      </c>
      <c r="AE1586" s="2914"/>
      <c r="AF1586" s="2914"/>
      <c r="AG1586" s="2914"/>
      <c r="AH1586" s="344"/>
      <c r="AI1586" s="156"/>
      <c r="AJ1586" s="3640"/>
      <c r="AK1586" s="2915"/>
      <c r="AL1586" s="156"/>
      <c r="AM1586" s="3640"/>
      <c r="AN1586" s="3640"/>
      <c r="AO1586" s="156"/>
      <c r="AP1586" s="156"/>
      <c r="AQ1586" s="156"/>
      <c r="AR1586" s="156"/>
      <c r="AS1586" s="156"/>
      <c r="AT1586" s="156"/>
      <c r="AU1586" s="156"/>
      <c r="AV1586" s="156"/>
      <c r="AW1586" s="156"/>
      <c r="AX1586" s="156"/>
      <c r="AY1586" s="156"/>
      <c r="AZ1586" s="156"/>
      <c r="BA1586" s="156"/>
      <c r="BB1586" s="2741">
        <f>(BD1586+BD1587+BD1588+BD1589)/(BE1586+BE1587+BE1588+BE1589)</f>
        <v>1.9899288477764601</v>
      </c>
      <c r="BC1586" s="2742" t="str">
        <f t="shared" si="276"/>
        <v>Cooling Res 6 Year EUL</v>
      </c>
      <c r="BD1586" s="1841">
        <f>(INDEX('Avoided Cost Benefits'!$E$4:$E$859,MATCH(BC1586,'Avoided Cost Benefits'!$A$4:$A$859,0)))*F1586</f>
        <v>1504.4419713053201</v>
      </c>
      <c r="BE1586" s="2507">
        <f t="shared" si="279"/>
        <v>956.52847888878171</v>
      </c>
      <c r="BF1586" s="156"/>
      <c r="BH1586" s="686"/>
    </row>
    <row r="1587" spans="1:60" x14ac:dyDescent="0.35">
      <c r="A1587" s="3493" t="str">
        <f t="shared" si="272"/>
        <v>352760_2021_12_Heating Res</v>
      </c>
      <c r="B1587" s="2812"/>
      <c r="C1587" s="1037" t="s">
        <v>1199</v>
      </c>
      <c r="D1587" s="1311" t="s">
        <v>320</v>
      </c>
      <c r="E1587" s="3420" t="s">
        <v>1200</v>
      </c>
      <c r="F1587" s="615">
        <f>0</f>
        <v>0</v>
      </c>
      <c r="G1587" s="1313" t="s">
        <v>1092</v>
      </c>
      <c r="H1587" s="136">
        <f>VLOOKUP(G1587,'CP FACTORS'!$A$3:$B$38, 2, FALSE)</f>
        <v>0</v>
      </c>
      <c r="I1587" s="3497">
        <f t="shared" si="273"/>
        <v>0</v>
      </c>
      <c r="J1587" s="124">
        <f t="shared" si="283"/>
        <v>6</v>
      </c>
      <c r="K1587" s="462">
        <f t="shared" si="284"/>
        <v>0</v>
      </c>
      <c r="L1587" s="3496"/>
      <c r="M1587" s="103"/>
      <c r="N1587" s="1317"/>
      <c r="O1587" s="963"/>
      <c r="P1587" s="106"/>
      <c r="Q1587" s="106"/>
      <c r="R1587" s="1214"/>
      <c r="S1587" s="106"/>
      <c r="T1587" s="106"/>
      <c r="U1587" s="1319"/>
      <c r="V1587" s="1590" t="s">
        <v>30</v>
      </c>
      <c r="W1587" s="2914"/>
      <c r="X1587" s="685"/>
      <c r="Y1587" s="618"/>
      <c r="Z1587" s="615"/>
      <c r="AA1587" s="615"/>
      <c r="AB1587" s="3494"/>
      <c r="AC1587" s="618">
        <v>0</v>
      </c>
      <c r="AD1587" s="615">
        <v>0</v>
      </c>
      <c r="AE1587" s="2914"/>
      <c r="AF1587" s="2914"/>
      <c r="AG1587" s="2914"/>
      <c r="AH1587" s="344"/>
      <c r="AI1587" s="156"/>
      <c r="AJ1587" s="3640"/>
      <c r="AK1587" s="2915"/>
      <c r="AL1587" s="156"/>
      <c r="AM1587" s="3640"/>
      <c r="AN1587" s="3640"/>
      <c r="AO1587" s="156"/>
      <c r="AP1587" s="156"/>
      <c r="AQ1587" s="156"/>
      <c r="AR1587" s="156"/>
      <c r="AS1587" s="156"/>
      <c r="AT1587" s="156"/>
      <c r="AU1587" s="156"/>
      <c r="AV1587" s="156"/>
      <c r="AW1587" s="156"/>
      <c r="AX1587" s="156"/>
      <c r="AY1587" s="156"/>
      <c r="AZ1587" s="156"/>
      <c r="BA1587" s="156"/>
      <c r="BB1587" s="2905"/>
      <c r="BC1587" s="2742" t="str">
        <f t="shared" si="276"/>
        <v>Heating Res 6 Year EUL</v>
      </c>
      <c r="BD1587" s="1841">
        <f>(INDEX('Avoided Cost Benefits'!$E$4:$E$859,MATCH(BC1587,'Avoided Cost Benefits'!$A$4:$A$859,0)))*F1587</f>
        <v>0</v>
      </c>
      <c r="BE1587" s="2507">
        <f t="shared" si="279"/>
        <v>0</v>
      </c>
      <c r="BF1587" s="156"/>
      <c r="BH1587" s="686"/>
    </row>
    <row r="1588" spans="1:60" x14ac:dyDescent="0.35">
      <c r="A1588" s="3493" t="str">
        <f t="shared" si="272"/>
        <v>352760_2021_12_Cooling Res ER2</v>
      </c>
      <c r="B1588" s="2812"/>
      <c r="C1588" s="1037" t="s">
        <v>1199</v>
      </c>
      <c r="D1588" s="1311" t="s">
        <v>320</v>
      </c>
      <c r="E1588" s="3420" t="s">
        <v>1201</v>
      </c>
      <c r="F1588" s="618">
        <f>ROUND((($K$2739*$K$2932*(1/$K$3125-1/$K$3318)*$K$3511)/1000)*$K$3677,2)</f>
        <v>360.57</v>
      </c>
      <c r="G1588" s="2810" t="s">
        <v>1133</v>
      </c>
      <c r="H1588" s="2720">
        <f>VLOOKUP(G1588,'CP FACTORS'!$A$3:$B$38, 2, FALSE)</f>
        <v>9.4741810000000004E-4</v>
      </c>
      <c r="I1588" s="2995">
        <f t="shared" si="273"/>
        <v>0.341611</v>
      </c>
      <c r="J1588" s="124">
        <f t="shared" si="283"/>
        <v>12</v>
      </c>
      <c r="K1588" s="462">
        <f t="shared" si="284"/>
        <v>0</v>
      </c>
      <c r="L1588" s="3496"/>
      <c r="M1588" s="103"/>
      <c r="N1588" s="1317"/>
      <c r="O1588" s="963"/>
      <c r="P1588" s="106"/>
      <c r="Q1588" s="106"/>
      <c r="R1588" s="1214"/>
      <c r="S1588" s="106"/>
      <c r="T1588" s="106"/>
      <c r="U1588" s="1319"/>
      <c r="V1588" s="1590" t="s">
        <v>30</v>
      </c>
      <c r="W1588" s="2914"/>
      <c r="X1588" s="685"/>
      <c r="Y1588" s="618"/>
      <c r="Z1588" s="615"/>
      <c r="AA1588" s="615"/>
      <c r="AB1588" s="3494"/>
      <c r="AC1588" s="618">
        <v>201.35</v>
      </c>
      <c r="AD1588" s="618">
        <v>360.57</v>
      </c>
      <c r="AE1588" s="2914"/>
      <c r="AF1588" s="2914"/>
      <c r="AG1588" s="2914"/>
      <c r="AH1588" s="344"/>
      <c r="AI1588" s="156"/>
      <c r="AJ1588" s="3640"/>
      <c r="AK1588" s="2915"/>
      <c r="AL1588" s="156"/>
      <c r="AM1588" s="3640"/>
      <c r="AN1588" s="3640"/>
      <c r="AO1588" s="156"/>
      <c r="AP1588" s="156"/>
      <c r="AQ1588" s="156"/>
      <c r="AR1588" s="156"/>
      <c r="AS1588" s="156"/>
      <c r="AT1588" s="156"/>
      <c r="AU1588" s="156"/>
      <c r="AV1588" s="156"/>
      <c r="AW1588" s="156"/>
      <c r="AX1588" s="156"/>
      <c r="AY1588" s="156"/>
      <c r="AZ1588" s="156"/>
      <c r="BA1588" s="156"/>
      <c r="BB1588" s="2905"/>
      <c r="BC1588" s="2742" t="str">
        <f t="shared" si="276"/>
        <v>Cooling Res ER2 12 Year EUL</v>
      </c>
      <c r="BD1588" s="1841">
        <f>(INDEX('Avoided Cost Benefits'!$E$4:$E$859,MATCH(BC1588,'Avoided Cost Benefits'!$A$4:$A$859,0)))*F1588</f>
        <v>398.98164255520322</v>
      </c>
      <c r="BE1588" s="2507">
        <f t="shared" si="279"/>
        <v>0</v>
      </c>
      <c r="BF1588" s="156"/>
      <c r="BH1588" s="686"/>
    </row>
    <row r="1589" spans="1:60" x14ac:dyDescent="0.35">
      <c r="A1589" s="3493" t="str">
        <f t="shared" si="272"/>
        <v>352760_2021_12_Heating Res ER2</v>
      </c>
      <c r="B1589" s="2812"/>
      <c r="C1589" s="1037" t="s">
        <v>1199</v>
      </c>
      <c r="D1589" s="1311" t="s">
        <v>320</v>
      </c>
      <c r="E1589" s="3419" t="s">
        <v>1201</v>
      </c>
      <c r="F1589" s="615">
        <f>0</f>
        <v>0</v>
      </c>
      <c r="G1589" s="1313" t="s">
        <v>1150</v>
      </c>
      <c r="H1589" s="136">
        <f>VLOOKUP(G1589,'CP FACTORS'!$A$3:$B$38, 2, FALSE)</f>
        <v>0</v>
      </c>
      <c r="I1589" s="3497">
        <f t="shared" si="273"/>
        <v>0</v>
      </c>
      <c r="J1589" s="124">
        <f t="shared" si="283"/>
        <v>12</v>
      </c>
      <c r="K1589" s="462">
        <f t="shared" si="284"/>
        <v>0</v>
      </c>
      <c r="L1589" s="3496"/>
      <c r="M1589" s="103"/>
      <c r="N1589" s="1317"/>
      <c r="O1589" s="963"/>
      <c r="P1589" s="106"/>
      <c r="Q1589" s="106"/>
      <c r="R1589" s="1214"/>
      <c r="S1589" s="106"/>
      <c r="T1589" s="106"/>
      <c r="U1589" s="1319"/>
      <c r="V1589" s="1590" t="s">
        <v>30</v>
      </c>
      <c r="W1589" s="2914"/>
      <c r="X1589" s="685"/>
      <c r="Y1589" s="618"/>
      <c r="Z1589" s="615"/>
      <c r="AA1589" s="615"/>
      <c r="AB1589" s="3494"/>
      <c r="AC1589" s="618">
        <v>0</v>
      </c>
      <c r="AD1589" s="615">
        <v>0</v>
      </c>
      <c r="AE1589" s="2914"/>
      <c r="AF1589" s="2914"/>
      <c r="AG1589" s="2914"/>
      <c r="AH1589" s="344"/>
      <c r="AI1589" s="156"/>
      <c r="AJ1589" s="3640"/>
      <c r="AK1589" s="2915"/>
      <c r="AL1589" s="156"/>
      <c r="AM1589" s="3640"/>
      <c r="AN1589" s="3640"/>
      <c r="AO1589" s="156"/>
      <c r="AP1589" s="156"/>
      <c r="AQ1589" s="156"/>
      <c r="AR1589" s="156"/>
      <c r="AS1589" s="156"/>
      <c r="AT1589" s="156"/>
      <c r="AU1589" s="156"/>
      <c r="AV1589" s="156"/>
      <c r="AW1589" s="156"/>
      <c r="AX1589" s="156"/>
      <c r="AY1589" s="156"/>
      <c r="AZ1589" s="156"/>
      <c r="BA1589" s="156"/>
      <c r="BB1589" s="2905"/>
      <c r="BC1589" s="2744" t="str">
        <f t="shared" si="276"/>
        <v>Heating Res ER2 12 Year EUL</v>
      </c>
      <c r="BD1589" s="1841">
        <f>(INDEX('Avoided Cost Benefits'!$E$4:$E$859,MATCH(BC1589,'Avoided Cost Benefits'!$A$4:$A$859,0)))*F1589</f>
        <v>0</v>
      </c>
      <c r="BE1589" s="2507">
        <f t="shared" si="279"/>
        <v>0</v>
      </c>
      <c r="BF1589" s="156"/>
      <c r="BH1589" s="686"/>
    </row>
    <row r="1590" spans="1:60" x14ac:dyDescent="0.35">
      <c r="A1590" s="3493" t="str">
        <f t="shared" si="272"/>
        <v>352761_2021_12_Cooling Res</v>
      </c>
      <c r="B1590" s="2812"/>
      <c r="C1590" s="1037" t="s">
        <v>1202</v>
      </c>
      <c r="D1590" s="1311" t="s">
        <v>315</v>
      </c>
      <c r="E1590" s="3420" t="s">
        <v>1203</v>
      </c>
      <c r="F1590" s="618">
        <f>ROUND((($K$2740*$K$2933*(1/$K$3126-1/$K$3319)*$K$3512)/1000)*$K$3677,2)</f>
        <v>1726.83</v>
      </c>
      <c r="G1590" s="2810" t="s">
        <v>1091</v>
      </c>
      <c r="H1590" s="2720">
        <f>VLOOKUP(G1590,'CP FACTORS'!$A$3:$B$38, 2, FALSE)</f>
        <v>9.4741810000000004E-4</v>
      </c>
      <c r="I1590" s="2995">
        <f t="shared" si="273"/>
        <v>1.6360300000000001</v>
      </c>
      <c r="J1590" s="124">
        <f t="shared" si="283"/>
        <v>6</v>
      </c>
      <c r="K1590" s="462">
        <f t="shared" si="284"/>
        <v>1013.4419233826643</v>
      </c>
      <c r="L1590" s="3496">
        <f>L1968</f>
        <v>2.9733333333333332</v>
      </c>
      <c r="M1590" s="103"/>
      <c r="N1590" s="1317"/>
      <c r="O1590" s="963"/>
      <c r="P1590" s="106"/>
      <c r="Q1590" s="106"/>
      <c r="R1590" s="1214"/>
      <c r="S1590" s="106"/>
      <c r="T1590" s="106"/>
      <c r="U1590" s="1319"/>
      <c r="V1590" s="1590" t="s">
        <v>30</v>
      </c>
      <c r="W1590" s="2914"/>
      <c r="X1590" s="685"/>
      <c r="Y1590" s="618"/>
      <c r="Z1590" s="615"/>
      <c r="AA1590" s="615"/>
      <c r="AB1590" s="3494"/>
      <c r="AC1590" s="618">
        <v>839.47</v>
      </c>
      <c r="AD1590" s="618">
        <v>1726.83</v>
      </c>
      <c r="AE1590" s="2914"/>
      <c r="AF1590" s="2914"/>
      <c r="AG1590" s="2914"/>
      <c r="AH1590" s="344"/>
      <c r="AI1590" s="156"/>
      <c r="AJ1590" s="3640"/>
      <c r="AK1590" s="2915"/>
      <c r="AL1590" s="156"/>
      <c r="AM1590" s="3640"/>
      <c r="AN1590" s="3640"/>
      <c r="AO1590" s="156"/>
      <c r="AP1590" s="156"/>
      <c r="AQ1590" s="156"/>
      <c r="AR1590" s="156"/>
      <c r="AS1590" s="156"/>
      <c r="AT1590" s="156"/>
      <c r="AU1590" s="156"/>
      <c r="AV1590" s="156"/>
      <c r="AW1590" s="156"/>
      <c r="AX1590" s="156"/>
      <c r="AY1590" s="156"/>
      <c r="AZ1590" s="156"/>
      <c r="BA1590" s="156"/>
      <c r="BB1590" s="2741">
        <f>(BD1590+BD1591+BD1592+BD1593)/(BE1590+BE1591+BE1592+BE1593)</f>
        <v>1.447218427429078</v>
      </c>
      <c r="BC1590" s="2742" t="str">
        <f t="shared" si="276"/>
        <v>Cooling Res 6 Year EUL</v>
      </c>
      <c r="BD1590" s="1841">
        <f>(INDEX('Avoided Cost Benefits'!$E$4:$E$859,MATCH(BC1590,'Avoided Cost Benefits'!$A$4:$A$859,0)))*F1590</f>
        <v>1094.1401915056776</v>
      </c>
      <c r="BE1590" s="2507">
        <f t="shared" si="279"/>
        <v>956.52847888878171</v>
      </c>
      <c r="BF1590" s="156"/>
      <c r="BH1590" s="686"/>
    </row>
    <row r="1591" spans="1:60" x14ac:dyDescent="0.35">
      <c r="A1591" s="3493" t="str">
        <f t="shared" si="272"/>
        <v>352761_2021_12_Heating Res</v>
      </c>
      <c r="B1591" s="2812"/>
      <c r="C1591" s="1037" t="s">
        <v>1202</v>
      </c>
      <c r="D1591" s="1311" t="s">
        <v>315</v>
      </c>
      <c r="E1591" s="3420" t="s">
        <v>1203</v>
      </c>
      <c r="F1591" s="615">
        <f>0</f>
        <v>0</v>
      </c>
      <c r="G1591" s="1313" t="s">
        <v>1092</v>
      </c>
      <c r="H1591" s="136">
        <f>VLOOKUP(G1591,'CP FACTORS'!$A$3:$B$38, 2, FALSE)</f>
        <v>0</v>
      </c>
      <c r="I1591" s="3497">
        <f t="shared" si="273"/>
        <v>0</v>
      </c>
      <c r="J1591" s="124">
        <f t="shared" si="283"/>
        <v>6</v>
      </c>
      <c r="K1591" s="462">
        <f t="shared" si="284"/>
        <v>0</v>
      </c>
      <c r="L1591" s="3496"/>
      <c r="M1591" s="103"/>
      <c r="N1591" s="1317"/>
      <c r="O1591" s="963"/>
      <c r="P1591" s="106"/>
      <c r="Q1591" s="106"/>
      <c r="R1591" s="1214"/>
      <c r="S1591" s="106"/>
      <c r="T1591" s="106"/>
      <c r="U1591" s="1319"/>
      <c r="V1591" s="1590" t="s">
        <v>30</v>
      </c>
      <c r="W1591" s="2914"/>
      <c r="X1591" s="685"/>
      <c r="Y1591" s="618"/>
      <c r="Z1591" s="615"/>
      <c r="AA1591" s="615"/>
      <c r="AB1591" s="3494"/>
      <c r="AC1591" s="618">
        <v>0</v>
      </c>
      <c r="AD1591" s="615">
        <v>0</v>
      </c>
      <c r="AE1591" s="2914"/>
      <c r="AF1591" s="2914"/>
      <c r="AG1591" s="2914"/>
      <c r="AH1591" s="344"/>
      <c r="AI1591" s="156"/>
      <c r="AJ1591" s="3640"/>
      <c r="AK1591" s="2915"/>
      <c r="AL1591" s="156"/>
      <c r="AM1591" s="3640"/>
      <c r="AN1591" s="3640"/>
      <c r="AO1591" s="156"/>
      <c r="AP1591" s="156"/>
      <c r="AQ1591" s="156"/>
      <c r="AR1591" s="156"/>
      <c r="AS1591" s="156"/>
      <c r="AT1591" s="156"/>
      <c r="AU1591" s="156"/>
      <c r="AV1591" s="156"/>
      <c r="AW1591" s="156"/>
      <c r="AX1591" s="156"/>
      <c r="AY1591" s="156"/>
      <c r="AZ1591" s="156"/>
      <c r="BA1591" s="156"/>
      <c r="BB1591" s="2905"/>
      <c r="BC1591" s="2742" t="str">
        <f t="shared" si="276"/>
        <v>Heating Res 6 Year EUL</v>
      </c>
      <c r="BD1591" s="1841">
        <f>(INDEX('Avoided Cost Benefits'!$E$4:$E$859,MATCH(BC1591,'Avoided Cost Benefits'!$A$4:$A$859,0)))*F1591</f>
        <v>0</v>
      </c>
      <c r="BE1591" s="2507">
        <f t="shared" si="279"/>
        <v>0</v>
      </c>
      <c r="BF1591" s="156"/>
      <c r="BH1591" s="686"/>
    </row>
    <row r="1592" spans="1:60" x14ac:dyDescent="0.35">
      <c r="A1592" s="3493" t="str">
        <f t="shared" si="272"/>
        <v>352761_2021_12_Cooling Res ER2</v>
      </c>
      <c r="B1592" s="2812"/>
      <c r="C1592" s="1037" t="s">
        <v>1202</v>
      </c>
      <c r="D1592" s="1311" t="s">
        <v>315</v>
      </c>
      <c r="E1592" s="3420" t="s">
        <v>1204</v>
      </c>
      <c r="F1592" s="618">
        <f>ROUND((($K$2741*$K$2934*(1/$K$3127-1/$K$3320)*$K$3513)/1000)*$K$3677,2)</f>
        <v>262.23</v>
      </c>
      <c r="G1592" s="2810" t="s">
        <v>1133</v>
      </c>
      <c r="H1592" s="2720">
        <f>VLOOKUP(G1592,'CP FACTORS'!$A$3:$B$38, 2, FALSE)</f>
        <v>9.4741810000000004E-4</v>
      </c>
      <c r="I1592" s="2995">
        <f t="shared" si="273"/>
        <v>0.248441</v>
      </c>
      <c r="J1592" s="124">
        <f t="shared" si="283"/>
        <v>12</v>
      </c>
      <c r="K1592" s="462">
        <f t="shared" si="284"/>
        <v>0</v>
      </c>
      <c r="L1592" s="3496"/>
      <c r="M1592" s="103"/>
      <c r="N1592" s="1317"/>
      <c r="O1592" s="963"/>
      <c r="P1592" s="106"/>
      <c r="Q1592" s="106"/>
      <c r="R1592" s="1214"/>
      <c r="S1592" s="106"/>
      <c r="T1592" s="106"/>
      <c r="U1592" s="1319"/>
      <c r="V1592" s="1590" t="s">
        <v>30</v>
      </c>
      <c r="W1592" s="2914"/>
      <c r="X1592" s="685"/>
      <c r="Y1592" s="618"/>
      <c r="Z1592" s="615"/>
      <c r="AA1592" s="615"/>
      <c r="AB1592" s="3494"/>
      <c r="AC1592" s="618">
        <v>131.84</v>
      </c>
      <c r="AD1592" s="618">
        <v>262.23</v>
      </c>
      <c r="AE1592" s="2914"/>
      <c r="AF1592" s="2914"/>
      <c r="AG1592" s="2914"/>
      <c r="AH1592" s="344"/>
      <c r="AI1592" s="156"/>
      <c r="AJ1592" s="3640"/>
      <c r="AK1592" s="2915"/>
      <c r="AL1592" s="156"/>
      <c r="AM1592" s="3640"/>
      <c r="AN1592" s="3640"/>
      <c r="AO1592" s="156"/>
      <c r="AP1592" s="156"/>
      <c r="AQ1592" s="156"/>
      <c r="AR1592" s="156"/>
      <c r="AS1592" s="156"/>
      <c r="AT1592" s="156"/>
      <c r="AU1592" s="156"/>
      <c r="AV1592" s="156"/>
      <c r="AW1592" s="156"/>
      <c r="AX1592" s="156"/>
      <c r="AY1592" s="156"/>
      <c r="AZ1592" s="156"/>
      <c r="BA1592" s="156"/>
      <c r="BB1592" s="2905"/>
      <c r="BC1592" s="2742" t="str">
        <f t="shared" si="276"/>
        <v>Cooling Res ER2 12 Year EUL</v>
      </c>
      <c r="BD1592" s="1841">
        <f>(INDEX('Avoided Cost Benefits'!$E$4:$E$859,MATCH(BC1592,'Avoided Cost Benefits'!$A$4:$A$859,0)))*F1592</f>
        <v>290.16544950287306</v>
      </c>
      <c r="BE1592" s="2507">
        <f t="shared" si="279"/>
        <v>0</v>
      </c>
      <c r="BF1592" s="156"/>
      <c r="BH1592" s="686"/>
    </row>
    <row r="1593" spans="1:60" x14ac:dyDescent="0.35">
      <c r="A1593" s="3493" t="str">
        <f t="shared" si="272"/>
        <v>352761_2021_12_Heating Res ER2</v>
      </c>
      <c r="B1593" s="2812"/>
      <c r="C1593" s="1037" t="s">
        <v>1202</v>
      </c>
      <c r="D1593" s="1311" t="s">
        <v>315</v>
      </c>
      <c r="E1593" s="3420" t="s">
        <v>1204</v>
      </c>
      <c r="F1593" s="615">
        <f>0</f>
        <v>0</v>
      </c>
      <c r="G1593" s="1313" t="s">
        <v>1150</v>
      </c>
      <c r="H1593" s="136">
        <f>VLOOKUP(G1593,'CP FACTORS'!$A$3:$B$38, 2, FALSE)</f>
        <v>0</v>
      </c>
      <c r="I1593" s="3497">
        <f t="shared" si="273"/>
        <v>0</v>
      </c>
      <c r="J1593" s="124">
        <f t="shared" si="283"/>
        <v>12</v>
      </c>
      <c r="K1593" s="462">
        <f t="shared" si="284"/>
        <v>0</v>
      </c>
      <c r="L1593" s="3496"/>
      <c r="M1593" s="103"/>
      <c r="N1593" s="1317"/>
      <c r="O1593" s="963"/>
      <c r="P1593" s="106"/>
      <c r="Q1593" s="106"/>
      <c r="R1593" s="1214"/>
      <c r="S1593" s="106"/>
      <c r="T1593" s="106"/>
      <c r="U1593" s="1319"/>
      <c r="V1593" s="1590" t="s">
        <v>30</v>
      </c>
      <c r="W1593" s="2914"/>
      <c r="X1593" s="685"/>
      <c r="Y1593" s="618"/>
      <c r="Z1593" s="615"/>
      <c r="AA1593" s="615"/>
      <c r="AB1593" s="3494"/>
      <c r="AC1593" s="618">
        <v>0</v>
      </c>
      <c r="AD1593" s="615">
        <v>0</v>
      </c>
      <c r="AE1593" s="2914"/>
      <c r="AF1593" s="2914"/>
      <c r="AG1593" s="2914"/>
      <c r="AH1593" s="344"/>
      <c r="AI1593" s="156"/>
      <c r="AJ1593" s="3640"/>
      <c r="AK1593" s="2915"/>
      <c r="AL1593" s="156"/>
      <c r="AM1593" s="3640"/>
      <c r="AN1593" s="3640"/>
      <c r="AO1593" s="156"/>
      <c r="AP1593" s="156"/>
      <c r="AQ1593" s="156"/>
      <c r="AR1593" s="156"/>
      <c r="AS1593" s="156"/>
      <c r="AT1593" s="156"/>
      <c r="AU1593" s="156"/>
      <c r="AV1593" s="156"/>
      <c r="AW1593" s="156"/>
      <c r="AX1593" s="156"/>
      <c r="AY1593" s="156"/>
      <c r="AZ1593" s="156"/>
      <c r="BA1593" s="156"/>
      <c r="BB1593" s="2905"/>
      <c r="BC1593" s="2742" t="str">
        <f t="shared" si="276"/>
        <v>Heating Res ER2 12 Year EUL</v>
      </c>
      <c r="BD1593" s="1841">
        <f>(INDEX('Avoided Cost Benefits'!$E$4:$E$859,MATCH(BC1593,'Avoided Cost Benefits'!$A$4:$A$859,0)))*F1593</f>
        <v>0</v>
      </c>
      <c r="BE1593" s="2507">
        <f t="shared" si="279"/>
        <v>0</v>
      </c>
      <c r="BF1593" s="156"/>
      <c r="BH1593" s="686"/>
    </row>
    <row r="1594" spans="1:60" x14ac:dyDescent="0.35">
      <c r="A1594" s="3493" t="str">
        <f t="shared" si="272"/>
        <v>352800_2019_12_Cooling Res</v>
      </c>
      <c r="B1594" s="2812"/>
      <c r="C1594" s="1037" t="s">
        <v>1205</v>
      </c>
      <c r="D1594" s="1311" t="s">
        <v>320</v>
      </c>
      <c r="E1594" s="590" t="s">
        <v>1206</v>
      </c>
      <c r="F1594" s="618">
        <f>ROUND(((K2742*K2935*(1/K3128-1/K3321)*K3514)/1000)*$K$3677,2)</f>
        <v>267.38</v>
      </c>
      <c r="G1594" s="2810" t="s">
        <v>1091</v>
      </c>
      <c r="H1594" s="2720">
        <f>VLOOKUP(G1594,'CP FACTORS'!$A$3:$B$38, 2, FALSE)</f>
        <v>9.4741810000000004E-4</v>
      </c>
      <c r="I1594" s="2995">
        <f t="shared" si="273"/>
        <v>0.25332100000000002</v>
      </c>
      <c r="J1594" s="124">
        <f t="shared" si="283"/>
        <v>18</v>
      </c>
      <c r="K1594" s="462">
        <f t="shared" si="284"/>
        <v>303</v>
      </c>
      <c r="L1594" s="3496">
        <f>L1970</f>
        <v>2.1833333333333331</v>
      </c>
      <c r="M1594" s="103"/>
      <c r="N1594" s="1317"/>
      <c r="O1594" s="963"/>
      <c r="P1594" s="106"/>
      <c r="Q1594" s="106"/>
      <c r="R1594" s="1214"/>
      <c r="S1594" s="106"/>
      <c r="T1594" s="106"/>
      <c r="U1594" s="1319"/>
      <c r="V1594" s="3436" t="s">
        <v>30</v>
      </c>
      <c r="W1594" s="2914">
        <v>196.21105263157907</v>
      </c>
      <c r="X1594" s="2916">
        <v>196.21105263157907</v>
      </c>
      <c r="Y1594" s="615">
        <v>196.21</v>
      </c>
      <c r="Z1594" s="615">
        <v>196.21</v>
      </c>
      <c r="AA1594" s="615">
        <v>196.21</v>
      </c>
      <c r="AB1594" s="3495">
        <v>196.21</v>
      </c>
      <c r="AC1594" s="2912">
        <v>196.21</v>
      </c>
      <c r="AD1594" s="618">
        <v>267.38</v>
      </c>
      <c r="AE1594" s="2914"/>
      <c r="AF1594" s="2914"/>
      <c r="AG1594" s="2914"/>
      <c r="AH1594" s="344"/>
      <c r="AI1594" s="156"/>
      <c r="AJ1594" s="3640"/>
      <c r="AK1594" s="2915"/>
      <c r="AL1594" s="156"/>
      <c r="AM1594" s="3640"/>
      <c r="AN1594" s="3640"/>
      <c r="AO1594" s="156"/>
      <c r="AP1594" s="156"/>
      <c r="AQ1594" s="156"/>
      <c r="AR1594" s="156"/>
      <c r="AS1594" s="156"/>
      <c r="AT1594" s="156"/>
      <c r="AU1594" s="156"/>
      <c r="AV1594" s="156"/>
      <c r="AW1594" s="156"/>
      <c r="AX1594" s="156"/>
      <c r="AY1594" s="156"/>
      <c r="AZ1594" s="156"/>
      <c r="BA1594" s="156"/>
      <c r="BB1594" s="2833">
        <f>(BD1594+BD1595)/(BE1594+BE1595)</f>
        <v>12.357397417524918</v>
      </c>
      <c r="BC1594" s="590" t="str">
        <f t="shared" si="276"/>
        <v>Cooling Res 18 Year EUL</v>
      </c>
      <c r="BD1594" s="2829">
        <f>(INDEX('Avoided Cost Benefits'!$E$4:$E$859,MATCH(BC1594,'Avoided Cost Benefits'!$A$4:$A$859,0)))*F1594</f>
        <v>465.27925442588554</v>
      </c>
      <c r="BE1594" s="858">
        <f t="shared" si="279"/>
        <v>285.98395469561109</v>
      </c>
      <c r="BF1594" s="156"/>
      <c r="BH1594" s="686"/>
    </row>
    <row r="1595" spans="1:60" x14ac:dyDescent="0.35">
      <c r="A1595" s="3493" t="str">
        <f t="shared" si="272"/>
        <v>352800_2019_12_Heating Res</v>
      </c>
      <c r="B1595" s="2812"/>
      <c r="C1595" s="1037" t="s">
        <v>1205</v>
      </c>
      <c r="D1595" s="1311" t="s">
        <v>320</v>
      </c>
      <c r="E1595" s="687" t="s">
        <v>1206</v>
      </c>
      <c r="F1595" s="618">
        <f>ROUND(((K1970*K2163*(1/K2356-1/K2549)*K3514)/1000)*$K$3677,2)</f>
        <v>6882.99</v>
      </c>
      <c r="G1595" s="2810" t="s">
        <v>1092</v>
      </c>
      <c r="H1595" s="2720">
        <f>VLOOKUP(G1595,'CP FACTORS'!$A$3:$B$38, 2, FALSE)</f>
        <v>0</v>
      </c>
      <c r="I1595" s="2995">
        <f t="shared" si="273"/>
        <v>0</v>
      </c>
      <c r="J1595" s="124">
        <f t="shared" si="283"/>
        <v>18</v>
      </c>
      <c r="K1595" s="462">
        <f t="shared" si="284"/>
        <v>0</v>
      </c>
      <c r="L1595" s="3496"/>
      <c r="M1595" s="103"/>
      <c r="N1595" s="1317"/>
      <c r="O1595" s="963"/>
      <c r="P1595" s="106"/>
      <c r="Q1595" s="106"/>
      <c r="R1595" s="1214"/>
      <c r="S1595" s="106"/>
      <c r="T1595" s="106"/>
      <c r="U1595" s="1319"/>
      <c r="V1595" s="3436" t="s">
        <v>30</v>
      </c>
      <c r="W1595" s="2914">
        <v>7210.4507535974899</v>
      </c>
      <c r="X1595" s="685">
        <v>5369.2555138784683</v>
      </c>
      <c r="Y1595" s="615">
        <v>5369.26</v>
      </c>
      <c r="Z1595" s="615">
        <v>5369.26</v>
      </c>
      <c r="AA1595" s="615">
        <v>5369.26</v>
      </c>
      <c r="AB1595" s="3495">
        <v>5369.26</v>
      </c>
      <c r="AC1595" s="2912">
        <v>5369.26</v>
      </c>
      <c r="AD1595" s="618">
        <v>6882.99</v>
      </c>
      <c r="AE1595" s="2914"/>
      <c r="AF1595" s="2914"/>
      <c r="AG1595" s="2914"/>
      <c r="AH1595" s="344"/>
      <c r="AI1595" s="156"/>
      <c r="AJ1595" s="3640"/>
      <c r="AK1595" s="2915"/>
      <c r="AL1595" s="156"/>
      <c r="AM1595" s="3640"/>
      <c r="AN1595" s="3640"/>
      <c r="AO1595" s="156"/>
      <c r="AP1595" s="156"/>
      <c r="AQ1595" s="156"/>
      <c r="AR1595" s="156"/>
      <c r="AS1595" s="156"/>
      <c r="AT1595" s="156"/>
      <c r="AU1595" s="156"/>
      <c r="AV1595" s="156"/>
      <c r="AW1595" s="156"/>
      <c r="AX1595" s="156"/>
      <c r="AY1595" s="156"/>
      <c r="AZ1595" s="156"/>
      <c r="BA1595" s="156"/>
      <c r="BB1595" s="2835"/>
      <c r="BC1595" s="687" t="str">
        <f t="shared" si="276"/>
        <v>Heating Res 18 Year EUL</v>
      </c>
      <c r="BD1595" s="2829">
        <f>(INDEX('Avoided Cost Benefits'!$E$4:$E$859,MATCH(BC1595,'Avoided Cost Benefits'!$A$4:$A$859,0)))*F1595</f>
        <v>3068.7381287832222</v>
      </c>
      <c r="BE1595" s="858">
        <f t="shared" si="279"/>
        <v>0</v>
      </c>
      <c r="BF1595" s="156"/>
      <c r="BH1595" s="686"/>
    </row>
    <row r="1596" spans="1:60" x14ac:dyDescent="0.35">
      <c r="A1596" s="3493" t="str">
        <f t="shared" si="272"/>
        <v>352801_2021_12_Cooling Res</v>
      </c>
      <c r="B1596" s="2812"/>
      <c r="C1596" s="1037" t="s">
        <v>4171</v>
      </c>
      <c r="D1596" s="1311" t="s">
        <v>315</v>
      </c>
      <c r="E1596" s="3418" t="s">
        <v>1208</v>
      </c>
      <c r="F1596" s="618">
        <f>ROUND((($K$2743*$K$2936*(1/$K$3129-1/$K$3322)*$K$3515)/1000)*$K$3677,2)</f>
        <v>194.46</v>
      </c>
      <c r="G1596" s="2810" t="str">
        <f>G1594</f>
        <v>Cooling Res</v>
      </c>
      <c r="H1596" s="2720">
        <f>VLOOKUP(G1596,'CP FACTORS'!$A$3:$B$38, 2, FALSE)</f>
        <v>9.4741810000000004E-4</v>
      </c>
      <c r="I1596" s="2995">
        <f t="shared" si="273"/>
        <v>0.18423500000000001</v>
      </c>
      <c r="J1596" s="124">
        <f t="shared" si="283"/>
        <v>18</v>
      </c>
      <c r="K1596" s="462">
        <f t="shared" si="284"/>
        <v>303</v>
      </c>
      <c r="L1596" s="3496">
        <f>L1971</f>
        <v>2.1833333333333331</v>
      </c>
      <c r="M1596" s="103"/>
      <c r="N1596" s="1317"/>
      <c r="O1596" s="963"/>
      <c r="P1596" s="106"/>
      <c r="Q1596" s="106"/>
      <c r="R1596" s="1214"/>
      <c r="S1596" s="106"/>
      <c r="T1596" s="106"/>
      <c r="U1596" s="1319"/>
      <c r="V1596" s="3436" t="s">
        <v>30</v>
      </c>
      <c r="W1596" s="2914"/>
      <c r="X1596" s="685"/>
      <c r="Y1596" s="618">
        <v>219.54</v>
      </c>
      <c r="Z1596" s="615">
        <v>219.54</v>
      </c>
      <c r="AA1596" s="615">
        <v>219.54</v>
      </c>
      <c r="AB1596" s="3495">
        <v>219.54</v>
      </c>
      <c r="AC1596" s="618">
        <v>142.69999999999999</v>
      </c>
      <c r="AD1596" s="618">
        <v>194.46</v>
      </c>
      <c r="AE1596" s="2914"/>
      <c r="AF1596" s="2914"/>
      <c r="AG1596" s="2914"/>
      <c r="AH1596" s="344"/>
      <c r="AI1596" s="156"/>
      <c r="AJ1596" s="3640"/>
      <c r="AK1596" s="2915"/>
      <c r="AL1596" s="156"/>
      <c r="AM1596" s="3640"/>
      <c r="AN1596" s="3640"/>
      <c r="AO1596" s="156"/>
      <c r="AP1596" s="156"/>
      <c r="AQ1596" s="156"/>
      <c r="AR1596" s="156"/>
      <c r="AS1596" s="156"/>
      <c r="AT1596" s="156"/>
      <c r="AU1596" s="156"/>
      <c r="AV1596" s="156"/>
      <c r="AW1596" s="156"/>
      <c r="AX1596" s="156"/>
      <c r="AY1596" s="156"/>
      <c r="AZ1596" s="156"/>
      <c r="BA1596" s="156"/>
      <c r="BB1596" s="2833">
        <f>(BD1596+BD1597)/(BE1596+BE1597)</f>
        <v>4.8413609052280675</v>
      </c>
      <c r="BC1596" s="590" t="str">
        <f t="shared" si="276"/>
        <v>Cooling Res 18 Year EUL</v>
      </c>
      <c r="BD1596" s="2829">
        <f>(INDEX('Avoided Cost Benefits'!$E$4:$E$859,MATCH(BC1596,'Avoided Cost Benefits'!$A$4:$A$859,0)))*F1596</f>
        <v>338.38807620486836</v>
      </c>
      <c r="BE1596" s="858">
        <f t="shared" si="279"/>
        <v>285.98395469561109</v>
      </c>
      <c r="BF1596" s="156"/>
      <c r="BH1596" s="686"/>
    </row>
    <row r="1597" spans="1:60" x14ac:dyDescent="0.35">
      <c r="A1597" s="3493" t="str">
        <f t="shared" si="272"/>
        <v>352801_2021_12_Heating Res</v>
      </c>
      <c r="B1597" s="2812"/>
      <c r="C1597" s="1037" t="str">
        <f>C1596</f>
        <v>352801_2021_12_</v>
      </c>
      <c r="D1597" s="1311" t="s">
        <v>315</v>
      </c>
      <c r="E1597" s="3419" t="s">
        <v>1208</v>
      </c>
      <c r="F1597" s="618">
        <f>ROUND((($K$1971*$K$2164*(1/$K$2357-1/$K$2550)*$K$3515)/1000)*$K$3677,2)</f>
        <v>2346.48</v>
      </c>
      <c r="G1597" s="2810" t="str">
        <f>G1595</f>
        <v>Heating Res</v>
      </c>
      <c r="H1597" s="2720">
        <f>VLOOKUP(G1597,'CP FACTORS'!$A$3:$B$38, 2, FALSE)</f>
        <v>0</v>
      </c>
      <c r="I1597" s="2995">
        <f t="shared" si="273"/>
        <v>0</v>
      </c>
      <c r="J1597" s="124">
        <f t="shared" si="283"/>
        <v>18</v>
      </c>
      <c r="K1597" s="462">
        <f t="shared" si="284"/>
        <v>0</v>
      </c>
      <c r="L1597" s="3496"/>
      <c r="M1597" s="103"/>
      <c r="N1597" s="1317"/>
      <c r="O1597" s="963"/>
      <c r="P1597" s="106"/>
      <c r="Q1597" s="106"/>
      <c r="R1597" s="1214"/>
      <c r="S1597" s="106"/>
      <c r="T1597" s="106"/>
      <c r="U1597" s="1319"/>
      <c r="V1597" s="3436" t="s">
        <v>30</v>
      </c>
      <c r="W1597" s="2914"/>
      <c r="X1597" s="685"/>
      <c r="Y1597" s="618">
        <v>2816.04</v>
      </c>
      <c r="Z1597" s="615">
        <v>2816.04</v>
      </c>
      <c r="AA1597" s="615">
        <v>2816.04</v>
      </c>
      <c r="AB1597" s="3495">
        <v>2816.04</v>
      </c>
      <c r="AC1597" s="618">
        <v>1830.43</v>
      </c>
      <c r="AD1597" s="618">
        <v>2346.48</v>
      </c>
      <c r="AE1597" s="2914"/>
      <c r="AF1597" s="2914"/>
      <c r="AG1597" s="2914"/>
      <c r="AH1597" s="344"/>
      <c r="AI1597" s="156"/>
      <c r="AJ1597" s="3640"/>
      <c r="AK1597" s="2915"/>
      <c r="AL1597" s="156"/>
      <c r="AM1597" s="3640"/>
      <c r="AN1597" s="3640"/>
      <c r="AO1597" s="156"/>
      <c r="AP1597" s="156"/>
      <c r="AQ1597" s="156"/>
      <c r="AR1597" s="156"/>
      <c r="AS1597" s="156"/>
      <c r="AT1597" s="156"/>
      <c r="AU1597" s="156"/>
      <c r="AV1597" s="156"/>
      <c r="AW1597" s="156"/>
      <c r="AX1597" s="156"/>
      <c r="AY1597" s="156"/>
      <c r="AZ1597" s="156"/>
      <c r="BA1597" s="156"/>
      <c r="BB1597" s="2835"/>
      <c r="BC1597" s="687" t="str">
        <f t="shared" si="276"/>
        <v>Heating Res 18 Year EUL</v>
      </c>
      <c r="BD1597" s="2829">
        <f>(INDEX('Avoided Cost Benefits'!$E$4:$E$859,MATCH(BC1597,'Avoided Cost Benefits'!$A$4:$A$859,0)))*F1597</f>
        <v>1046.163461580978</v>
      </c>
      <c r="BE1597" s="858">
        <f t="shared" si="279"/>
        <v>0</v>
      </c>
      <c r="BF1597" s="156"/>
      <c r="BH1597" s="686"/>
    </row>
    <row r="1598" spans="1:60" x14ac:dyDescent="0.35">
      <c r="A1598" s="3493" t="str">
        <f t="shared" si="272"/>
        <v>352810_2021_12_Cooling Res</v>
      </c>
      <c r="B1598" s="2812"/>
      <c r="C1598" s="1037" t="s">
        <v>1209</v>
      </c>
      <c r="D1598" s="1311" t="s">
        <v>320</v>
      </c>
      <c r="E1598" s="3420" t="s">
        <v>1210</v>
      </c>
      <c r="F1598" s="618">
        <f>ROUND(((K2744*K2937*(1/K3130-1/K3323)*K3516)/1000)*$K$3677,2)</f>
        <v>267.38</v>
      </c>
      <c r="G1598" s="2810" t="s">
        <v>1091</v>
      </c>
      <c r="H1598" s="2720">
        <f>VLOOKUP(G1598,'CP FACTORS'!$A$3:$B$38, 2, FALSE)</f>
        <v>9.4741810000000004E-4</v>
      </c>
      <c r="I1598" s="2995">
        <f t="shared" si="273"/>
        <v>0.25332100000000002</v>
      </c>
      <c r="J1598" s="124">
        <f t="shared" si="283"/>
        <v>18</v>
      </c>
      <c r="K1598" s="462">
        <f t="shared" si="284"/>
        <v>303</v>
      </c>
      <c r="L1598" s="3496">
        <f>L1972</f>
        <v>2.1833333333333331</v>
      </c>
      <c r="M1598" s="103"/>
      <c r="N1598" s="1317"/>
      <c r="O1598" s="963"/>
      <c r="P1598" s="106"/>
      <c r="Q1598" s="106"/>
      <c r="R1598" s="1214"/>
      <c r="S1598" s="106"/>
      <c r="T1598" s="106"/>
      <c r="U1598" s="1319"/>
      <c r="V1598" s="1590" t="s">
        <v>30</v>
      </c>
      <c r="W1598" s="2914"/>
      <c r="X1598" s="685"/>
      <c r="Y1598" s="618"/>
      <c r="Z1598" s="615"/>
      <c r="AA1598" s="615"/>
      <c r="AB1598" s="3495"/>
      <c r="AC1598" s="618">
        <v>196.21</v>
      </c>
      <c r="AD1598" s="618">
        <v>267.38</v>
      </c>
      <c r="AE1598" s="2914"/>
      <c r="AF1598" s="2914"/>
      <c r="AG1598" s="2914"/>
      <c r="AH1598" s="344"/>
      <c r="AI1598" s="156"/>
      <c r="AJ1598" s="3640"/>
      <c r="AK1598" s="2915"/>
      <c r="AL1598" s="156"/>
      <c r="AM1598" s="3640"/>
      <c r="AN1598" s="3640"/>
      <c r="AO1598" s="156"/>
      <c r="AP1598" s="156"/>
      <c r="AQ1598" s="156"/>
      <c r="AR1598" s="156"/>
      <c r="AS1598" s="156"/>
      <c r="AT1598" s="156"/>
      <c r="AU1598" s="156"/>
      <c r="AV1598" s="156"/>
      <c r="AW1598" s="156"/>
      <c r="AX1598" s="156"/>
      <c r="AY1598" s="156"/>
      <c r="AZ1598" s="156"/>
      <c r="BA1598" s="156"/>
      <c r="BB1598" s="2741">
        <f>(BD1598+BD1599)/(BE1598+BE1599)</f>
        <v>1.6269418153934845</v>
      </c>
      <c r="BC1598" s="3392" t="str">
        <f t="shared" si="276"/>
        <v>Cooling Res 18 Year EUL</v>
      </c>
      <c r="BD1598" s="1841">
        <f>(INDEX('Avoided Cost Benefits'!$E$4:$E$859,MATCH(BC1598,'Avoided Cost Benefits'!$A$4:$A$859,0)))*F1598</f>
        <v>465.27925442588554</v>
      </c>
      <c r="BE1598" s="2507">
        <f t="shared" si="279"/>
        <v>285.98395469561109</v>
      </c>
      <c r="BF1598" s="156"/>
      <c r="BH1598" s="686"/>
    </row>
    <row r="1599" spans="1:60" x14ac:dyDescent="0.35">
      <c r="A1599" s="3493" t="str">
        <f t="shared" si="272"/>
        <v>352810_2021_12_Heating Res</v>
      </c>
      <c r="B1599" s="2812"/>
      <c r="C1599" s="1037" t="s">
        <v>1209</v>
      </c>
      <c r="D1599" s="1311" t="s">
        <v>320</v>
      </c>
      <c r="E1599" s="3419" t="s">
        <v>1210</v>
      </c>
      <c r="F1599" s="615">
        <v>0</v>
      </c>
      <c r="G1599" s="1313" t="s">
        <v>1092</v>
      </c>
      <c r="H1599" s="136">
        <f>VLOOKUP(G1599,'CP FACTORS'!$A$3:$B$38, 2, FALSE)</f>
        <v>0</v>
      </c>
      <c r="I1599" s="3497">
        <f t="shared" si="273"/>
        <v>0</v>
      </c>
      <c r="J1599" s="124">
        <f t="shared" si="283"/>
        <v>18</v>
      </c>
      <c r="K1599" s="462">
        <f t="shared" si="284"/>
        <v>0</v>
      </c>
      <c r="L1599" s="3496"/>
      <c r="M1599" s="103"/>
      <c r="N1599" s="1317"/>
      <c r="O1599" s="963"/>
      <c r="P1599" s="106"/>
      <c r="Q1599" s="106"/>
      <c r="R1599" s="1214"/>
      <c r="S1599" s="106"/>
      <c r="T1599" s="106"/>
      <c r="U1599" s="1319"/>
      <c r="V1599" s="1590" t="s">
        <v>30</v>
      </c>
      <c r="W1599" s="2914"/>
      <c r="X1599" s="685"/>
      <c r="Y1599" s="618"/>
      <c r="Z1599" s="615"/>
      <c r="AA1599" s="615"/>
      <c r="AB1599" s="3495"/>
      <c r="AC1599" s="618">
        <v>0</v>
      </c>
      <c r="AD1599" s="618">
        <v>0</v>
      </c>
      <c r="AE1599" s="2914"/>
      <c r="AF1599" s="2914"/>
      <c r="AG1599" s="2914"/>
      <c r="AH1599" s="344"/>
      <c r="AI1599" s="156"/>
      <c r="AJ1599" s="3640"/>
      <c r="AK1599" s="2915"/>
      <c r="AL1599" s="156"/>
      <c r="AM1599" s="3640"/>
      <c r="AN1599" s="3640"/>
      <c r="AO1599" s="156"/>
      <c r="AP1599" s="156"/>
      <c r="AQ1599" s="156"/>
      <c r="AR1599" s="156"/>
      <c r="AS1599" s="156"/>
      <c r="AT1599" s="156"/>
      <c r="AU1599" s="156"/>
      <c r="AV1599" s="156"/>
      <c r="AW1599" s="156"/>
      <c r="AX1599" s="156"/>
      <c r="AY1599" s="156"/>
      <c r="AZ1599" s="156"/>
      <c r="BA1599" s="156"/>
      <c r="BB1599" s="2835"/>
      <c r="BC1599" s="3393" t="str">
        <f t="shared" si="276"/>
        <v>Heating Res 18 Year EUL</v>
      </c>
      <c r="BD1599" s="1841">
        <f>(INDEX('Avoided Cost Benefits'!$E$4:$E$859,MATCH(BC1599,'Avoided Cost Benefits'!$A$4:$A$859,0)))*F1599</f>
        <v>0</v>
      </c>
      <c r="BE1599" s="2507">
        <f t="shared" si="279"/>
        <v>0</v>
      </c>
      <c r="BF1599" s="156"/>
      <c r="BH1599" s="686"/>
    </row>
    <row r="1600" spans="1:60" x14ac:dyDescent="0.35">
      <c r="A1600" s="3493" t="str">
        <f t="shared" si="272"/>
        <v>352811_2021_12_Cooling Res</v>
      </c>
      <c r="B1600" s="2812"/>
      <c r="C1600" s="1037" t="s">
        <v>1211</v>
      </c>
      <c r="D1600" s="1311" t="s">
        <v>315</v>
      </c>
      <c r="E1600" s="3420" t="s">
        <v>1212</v>
      </c>
      <c r="F1600" s="618">
        <f>ROUND(((K2745*K2938*(1/K3131-1/K3324)*K3517)/1000)*$K$3677,2)</f>
        <v>194.46</v>
      </c>
      <c r="G1600" s="2810" t="s">
        <v>1091</v>
      </c>
      <c r="H1600" s="2720">
        <f>VLOOKUP(G1600,'CP FACTORS'!$A$3:$B$38, 2, FALSE)</f>
        <v>9.4741810000000004E-4</v>
      </c>
      <c r="I1600" s="2995">
        <f t="shared" si="273"/>
        <v>0.18423500000000001</v>
      </c>
      <c r="J1600" s="124">
        <f t="shared" si="283"/>
        <v>18</v>
      </c>
      <c r="K1600" s="462">
        <f t="shared" si="284"/>
        <v>303</v>
      </c>
      <c r="L1600" s="3496">
        <f>L1973</f>
        <v>2.1833333333333331</v>
      </c>
      <c r="M1600" s="103"/>
      <c r="N1600" s="1317"/>
      <c r="O1600" s="963"/>
      <c r="P1600" s="106"/>
      <c r="Q1600" s="106"/>
      <c r="R1600" s="1214"/>
      <c r="S1600" s="106"/>
      <c r="T1600" s="106"/>
      <c r="U1600" s="1319"/>
      <c r="V1600" s="1590" t="s">
        <v>30</v>
      </c>
      <c r="W1600" s="2914"/>
      <c r="X1600" s="685"/>
      <c r="Y1600" s="618"/>
      <c r="Z1600" s="615"/>
      <c r="AA1600" s="615"/>
      <c r="AB1600" s="3495"/>
      <c r="AC1600" s="618">
        <v>142.69999999999999</v>
      </c>
      <c r="AD1600" s="618">
        <v>194.46</v>
      </c>
      <c r="AE1600" s="2914"/>
      <c r="AF1600" s="2914"/>
      <c r="AG1600" s="2914"/>
      <c r="AH1600" s="344"/>
      <c r="AI1600" s="156"/>
      <c r="AJ1600" s="3640"/>
      <c r="AK1600" s="2915"/>
      <c r="AL1600" s="156"/>
      <c r="AM1600" s="3640"/>
      <c r="AN1600" s="3640"/>
      <c r="AO1600" s="156"/>
      <c r="AP1600" s="156"/>
      <c r="AQ1600" s="156"/>
      <c r="AR1600" s="156"/>
      <c r="AS1600" s="156"/>
      <c r="AT1600" s="156"/>
      <c r="AU1600" s="156"/>
      <c r="AV1600" s="156"/>
      <c r="AW1600" s="156"/>
      <c r="AX1600" s="156"/>
      <c r="AY1600" s="156"/>
      <c r="AZ1600" s="156"/>
      <c r="BA1600" s="156"/>
      <c r="BB1600" s="2741">
        <f>(BD1600+BD1601)/(BE1600+BE1601)</f>
        <v>1.1832414743863302</v>
      </c>
      <c r="BC1600" s="3392" t="str">
        <f t="shared" si="276"/>
        <v>Cooling Res 18 Year EUL</v>
      </c>
      <c r="BD1600" s="1841">
        <f>(INDEX('Avoided Cost Benefits'!$E$4:$E$859,MATCH(BC1600,'Avoided Cost Benefits'!$A$4:$A$859,0)))*F1600</f>
        <v>338.38807620486836</v>
      </c>
      <c r="BE1600" s="2507">
        <f t="shared" si="279"/>
        <v>285.98395469561109</v>
      </c>
      <c r="BF1600" s="156"/>
      <c r="BH1600" s="686"/>
    </row>
    <row r="1601" spans="1:60" x14ac:dyDescent="0.35">
      <c r="A1601" s="3493" t="str">
        <f t="shared" si="272"/>
        <v>352811_2021_12_Heating Res</v>
      </c>
      <c r="B1601" s="2812"/>
      <c r="C1601" s="1037" t="s">
        <v>1211</v>
      </c>
      <c r="D1601" s="1311" t="s">
        <v>315</v>
      </c>
      <c r="E1601" s="3420" t="s">
        <v>1212</v>
      </c>
      <c r="F1601" s="615">
        <f>0</f>
        <v>0</v>
      </c>
      <c r="G1601" s="1313" t="s">
        <v>1092</v>
      </c>
      <c r="H1601" s="136">
        <f>VLOOKUP(G1601,'CP FACTORS'!$A$3:$B$38, 2, FALSE)</f>
        <v>0</v>
      </c>
      <c r="I1601" s="3497">
        <f t="shared" si="273"/>
        <v>0</v>
      </c>
      <c r="J1601" s="124">
        <f t="shared" ref="J1601:J1643" si="286">K3745</f>
        <v>18</v>
      </c>
      <c r="K1601" s="462">
        <f t="shared" ref="K1601:K1643" si="287">K4131</f>
        <v>0</v>
      </c>
      <c r="L1601" s="3496"/>
      <c r="M1601" s="103"/>
      <c r="N1601" s="1317"/>
      <c r="O1601" s="963"/>
      <c r="P1601" s="106"/>
      <c r="Q1601" s="106"/>
      <c r="R1601" s="1214"/>
      <c r="S1601" s="106"/>
      <c r="T1601" s="106"/>
      <c r="U1601" s="1319"/>
      <c r="V1601" s="1590" t="s">
        <v>30</v>
      </c>
      <c r="W1601" s="2914"/>
      <c r="X1601" s="685"/>
      <c r="Y1601" s="618"/>
      <c r="Z1601" s="615"/>
      <c r="AA1601" s="615"/>
      <c r="AB1601" s="3495"/>
      <c r="AC1601" s="618">
        <v>0</v>
      </c>
      <c r="AD1601" s="615">
        <v>0</v>
      </c>
      <c r="AE1601" s="2914"/>
      <c r="AF1601" s="2914"/>
      <c r="AG1601" s="2914"/>
      <c r="AH1601" s="344"/>
      <c r="AI1601" s="156"/>
      <c r="AJ1601" s="3640"/>
      <c r="AK1601" s="2915"/>
      <c r="AL1601" s="156"/>
      <c r="AM1601" s="3640"/>
      <c r="AN1601" s="3640"/>
      <c r="AO1601" s="156"/>
      <c r="AP1601" s="156"/>
      <c r="AQ1601" s="156"/>
      <c r="AR1601" s="156"/>
      <c r="AS1601" s="156"/>
      <c r="AT1601" s="156"/>
      <c r="AU1601" s="156"/>
      <c r="AV1601" s="156"/>
      <c r="AW1601" s="156"/>
      <c r="AX1601" s="156"/>
      <c r="AY1601" s="156"/>
      <c r="AZ1601" s="156"/>
      <c r="BA1601" s="156"/>
      <c r="BB1601" s="2835"/>
      <c r="BC1601" s="3392" t="str">
        <f t="shared" si="276"/>
        <v>Heating Res 18 Year EUL</v>
      </c>
      <c r="BD1601" s="1841">
        <f>(INDEX('Avoided Cost Benefits'!$E$4:$E$859,MATCH(BC1601,'Avoided Cost Benefits'!$A$4:$A$859,0)))*F1601</f>
        <v>0</v>
      </c>
      <c r="BE1601" s="2507">
        <f t="shared" si="279"/>
        <v>0</v>
      </c>
      <c r="BF1601" s="156"/>
      <c r="BH1601" s="686"/>
    </row>
    <row r="1602" spans="1:60" x14ac:dyDescent="0.35">
      <c r="A1602" s="3493" t="str">
        <f t="shared" si="272"/>
        <v>352850_2021_12_Cooling Res</v>
      </c>
      <c r="B1602" s="2812"/>
      <c r="C1602" s="1037" t="s">
        <v>1214</v>
      </c>
      <c r="D1602" s="1311" t="s">
        <v>320</v>
      </c>
      <c r="E1602" s="3418" t="s">
        <v>1215</v>
      </c>
      <c r="F1602" s="618">
        <f>ROUND(((K2746*K2939*(1/K3132-1/K3325)*K3518)/1000)*$K$3677,2)</f>
        <v>2088.29</v>
      </c>
      <c r="G1602" s="2810" t="s">
        <v>1091</v>
      </c>
      <c r="H1602" s="2720">
        <f>VLOOKUP(G1602,'CP FACTORS'!$A$3:$B$38, 2, FALSE)</f>
        <v>9.4741810000000004E-4</v>
      </c>
      <c r="I1602" s="2995">
        <f t="shared" si="273"/>
        <v>1.9784839999999999</v>
      </c>
      <c r="J1602" s="124">
        <f t="shared" si="286"/>
        <v>6</v>
      </c>
      <c r="K1602" s="462">
        <f t="shared" si="287"/>
        <v>1116.318054649741</v>
      </c>
      <c r="L1602" s="3496">
        <f>L1974</f>
        <v>2.8388888888888886</v>
      </c>
      <c r="M1602" s="103"/>
      <c r="N1602" s="1317"/>
      <c r="O1602" s="963"/>
      <c r="P1602" s="106"/>
      <c r="Q1602" s="106"/>
      <c r="R1602" s="1214"/>
      <c r="S1602" s="106"/>
      <c r="T1602" s="106"/>
      <c r="U1602" s="1319"/>
      <c r="V1602" s="3436" t="s">
        <v>30</v>
      </c>
      <c r="W1602" s="2914">
        <v>1708.6712500000001</v>
      </c>
      <c r="X1602" s="685">
        <v>1287.2375465186074</v>
      </c>
      <c r="Y1602" s="615">
        <v>1287.24</v>
      </c>
      <c r="Z1602" s="615">
        <v>1287.24</v>
      </c>
      <c r="AA1602" s="615">
        <v>1287.24</v>
      </c>
      <c r="AB1602" s="3495">
        <v>1287.24</v>
      </c>
      <c r="AC1602" s="618">
        <v>1217.31</v>
      </c>
      <c r="AD1602" s="618">
        <v>2088.29</v>
      </c>
      <c r="AE1602" s="2914"/>
      <c r="AF1602" s="2914"/>
      <c r="AG1602" s="2914"/>
      <c r="AH1602" s="344"/>
      <c r="AI1602" s="156"/>
      <c r="AJ1602" s="3640"/>
      <c r="AK1602" s="2915"/>
      <c r="AL1602" s="156"/>
      <c r="AM1602" s="3640"/>
      <c r="AN1602" s="3640"/>
      <c r="AO1602" s="156"/>
      <c r="AP1602" s="156"/>
      <c r="AQ1602" s="156"/>
      <c r="AR1602" s="156"/>
      <c r="AS1602" s="156"/>
      <c r="AT1602" s="156"/>
      <c r="AU1602" s="156"/>
      <c r="AV1602" s="156"/>
      <c r="AW1602" s="156"/>
      <c r="AX1602" s="156"/>
      <c r="AY1602" s="156"/>
      <c r="AZ1602" s="156"/>
      <c r="BA1602" s="156"/>
      <c r="BB1602" s="2833">
        <f>(BD1602+BD1603+BD1604+BD1605)/(BE1602+BE1603+BE1604+BE1605)</f>
        <v>2.1048246051889397</v>
      </c>
      <c r="BC1602" s="2348" t="str">
        <f t="shared" si="276"/>
        <v>Cooling Res 6 Year EUL</v>
      </c>
      <c r="BD1602" s="2829">
        <f>(INDEX('Avoided Cost Benefits'!$E$4:$E$859,MATCH(BC1602,'Avoided Cost Benefits'!$A$4:$A$859,0)))*F1602</f>
        <v>1323.1655811628193</v>
      </c>
      <c r="BE1602" s="858">
        <f t="shared" si="279"/>
        <v>1053.6272342140076</v>
      </c>
      <c r="BF1602" s="156"/>
      <c r="BH1602" s="686"/>
    </row>
    <row r="1603" spans="1:60" x14ac:dyDescent="0.35">
      <c r="A1603" s="3493" t="str">
        <f t="shared" si="272"/>
        <v>352850_2021_12_Heating Res</v>
      </c>
      <c r="B1603" s="2812"/>
      <c r="C1603" s="1037" t="s">
        <v>1214</v>
      </c>
      <c r="D1603" s="1311" t="s">
        <v>320</v>
      </c>
      <c r="E1603" s="3420" t="s">
        <v>1215</v>
      </c>
      <c r="F1603" s="618">
        <f>ROUND(((K1974*K2167*(1/K2360-1/K2553)*K3518)/1000)*$K$3677,2)</f>
        <v>2245.56</v>
      </c>
      <c r="G1603" s="2810" t="s">
        <v>1092</v>
      </c>
      <c r="H1603" s="2720">
        <f>VLOOKUP(G1603,'CP FACTORS'!$A$3:$B$38, 2, FALSE)</f>
        <v>0</v>
      </c>
      <c r="I1603" s="2995">
        <f t="shared" si="273"/>
        <v>0</v>
      </c>
      <c r="J1603" s="124">
        <f t="shared" si="286"/>
        <v>6</v>
      </c>
      <c r="K1603" s="462">
        <f t="shared" si="287"/>
        <v>0</v>
      </c>
      <c r="L1603" s="3496"/>
      <c r="M1603" s="103"/>
      <c r="N1603" s="1317"/>
      <c r="O1603" s="963"/>
      <c r="P1603" s="106"/>
      <c r="Q1603" s="106"/>
      <c r="R1603" s="1214"/>
      <c r="S1603" s="106"/>
      <c r="T1603" s="106"/>
      <c r="U1603" s="1319"/>
      <c r="V1603" s="3436" t="s">
        <v>30</v>
      </c>
      <c r="W1603" s="2914">
        <v>4062.4872213622284</v>
      </c>
      <c r="X1603" s="685">
        <v>1798.7611070228763</v>
      </c>
      <c r="Y1603" s="615">
        <v>1798.76</v>
      </c>
      <c r="Z1603" s="615">
        <v>1798.76</v>
      </c>
      <c r="AA1603" s="615">
        <v>1798.76</v>
      </c>
      <c r="AB1603" s="3495">
        <v>1798.76</v>
      </c>
      <c r="AC1603" s="618">
        <v>1441.3</v>
      </c>
      <c r="AD1603" s="618">
        <v>2245.56</v>
      </c>
      <c r="AE1603" s="2914"/>
      <c r="AF1603" s="2914"/>
      <c r="AG1603" s="2914"/>
      <c r="AH1603" s="344"/>
      <c r="AI1603" s="156"/>
      <c r="AJ1603" s="3640"/>
      <c r="AK1603" s="2915"/>
      <c r="AL1603" s="156"/>
      <c r="AM1603" s="3640"/>
      <c r="AN1603" s="3640"/>
      <c r="AO1603" s="156"/>
      <c r="AP1603" s="156"/>
      <c r="AQ1603" s="156"/>
      <c r="AR1603" s="156"/>
      <c r="AS1603" s="156"/>
      <c r="AT1603" s="156"/>
      <c r="AU1603" s="156"/>
      <c r="AV1603" s="156"/>
      <c r="AW1603" s="156"/>
      <c r="AX1603" s="156"/>
      <c r="AY1603" s="156"/>
      <c r="AZ1603" s="156"/>
      <c r="BA1603" s="156"/>
      <c r="BB1603" s="2905"/>
      <c r="BC1603" s="2357" t="str">
        <f t="shared" si="276"/>
        <v>Heating Res 6 Year EUL</v>
      </c>
      <c r="BD1603" s="2829">
        <f>(INDEX('Avoided Cost Benefits'!$E$4:$E$859,MATCH(BC1603,'Avoided Cost Benefits'!$A$4:$A$859,0)))*F1603</f>
        <v>365.89421498805302</v>
      </c>
      <c r="BE1603" s="858">
        <f t="shared" si="279"/>
        <v>0</v>
      </c>
      <c r="BF1603" s="156"/>
      <c r="BH1603" s="686"/>
    </row>
    <row r="1604" spans="1:60" x14ac:dyDescent="0.35">
      <c r="A1604" s="3493" t="str">
        <f t="shared" si="272"/>
        <v>352850_2021_12_Cooling Res ER2</v>
      </c>
      <c r="B1604" s="2812"/>
      <c r="C1604" s="1037" t="s">
        <v>1214</v>
      </c>
      <c r="D1604" s="1311" t="s">
        <v>320</v>
      </c>
      <c r="E1604" s="3420" t="s">
        <v>1216</v>
      </c>
      <c r="F1604" s="618">
        <f>ROUND(((K2747*K2940*(1/K3133-1/K3326)*K3519)/1000)*$K$3677,2)</f>
        <v>294.83999999999997</v>
      </c>
      <c r="G1604" s="2810" t="s">
        <v>1133</v>
      </c>
      <c r="H1604" s="2720">
        <f>VLOOKUP(G1604,'CP FACTORS'!$A$3:$B$38, 2, FALSE)</f>
        <v>9.4741810000000004E-4</v>
      </c>
      <c r="I1604" s="2995">
        <f t="shared" si="273"/>
        <v>0.279337</v>
      </c>
      <c r="J1604" s="124">
        <f t="shared" si="286"/>
        <v>12</v>
      </c>
      <c r="K1604" s="462">
        <f t="shared" si="287"/>
        <v>0</v>
      </c>
      <c r="L1604" s="3496"/>
      <c r="M1604" s="103"/>
      <c r="N1604" s="1317"/>
      <c r="O1604" s="963"/>
      <c r="P1604" s="106"/>
      <c r="Q1604" s="106"/>
      <c r="R1604" s="1214"/>
      <c r="S1604" s="106"/>
      <c r="T1604" s="106"/>
      <c r="U1604" s="1319"/>
      <c r="V1604" s="3436" t="s">
        <v>30</v>
      </c>
      <c r="W1604" s="2914">
        <v>199.71482142857135</v>
      </c>
      <c r="X1604" s="685">
        <v>199.71482142857135</v>
      </c>
      <c r="Y1604" s="615">
        <v>199.71</v>
      </c>
      <c r="Z1604" s="615">
        <v>199.71</v>
      </c>
      <c r="AA1604" s="615">
        <v>199.71</v>
      </c>
      <c r="AB1604" s="3495">
        <v>199.71</v>
      </c>
      <c r="AC1604" s="618">
        <v>181.56</v>
      </c>
      <c r="AD1604" s="618">
        <v>294.83999999999997</v>
      </c>
      <c r="AE1604" s="2914"/>
      <c r="AF1604" s="2914"/>
      <c r="AG1604" s="2914"/>
      <c r="AH1604" s="344"/>
      <c r="AI1604" s="156"/>
      <c r="AJ1604" s="3640"/>
      <c r="AK1604" s="2915"/>
      <c r="AL1604" s="156"/>
      <c r="AM1604" s="3640"/>
      <c r="AN1604" s="3640"/>
      <c r="AO1604" s="156"/>
      <c r="AP1604" s="156"/>
      <c r="AQ1604" s="156"/>
      <c r="AR1604" s="156"/>
      <c r="AS1604" s="156"/>
      <c r="AT1604" s="156"/>
      <c r="AU1604" s="156"/>
      <c r="AV1604" s="156"/>
      <c r="AW1604" s="156"/>
      <c r="AX1604" s="156"/>
      <c r="AY1604" s="156"/>
      <c r="AZ1604" s="156"/>
      <c r="BA1604" s="156"/>
      <c r="BB1604" s="2905"/>
      <c r="BC1604" s="2357" t="str">
        <f t="shared" si="276"/>
        <v>Cooling Res ER2 12 Year EUL</v>
      </c>
      <c r="BD1604" s="2829">
        <f>(INDEX('Avoided Cost Benefits'!$E$4:$E$859,MATCH(BC1604,'Avoided Cost Benefits'!$A$4:$A$859,0)))*F1604</f>
        <v>326.24940369685805</v>
      </c>
      <c r="BE1604" s="858">
        <f t="shared" si="279"/>
        <v>0</v>
      </c>
      <c r="BF1604" s="156"/>
      <c r="BH1604" s="686"/>
    </row>
    <row r="1605" spans="1:60" x14ac:dyDescent="0.35">
      <c r="A1605" s="3493" t="str">
        <f t="shared" si="272"/>
        <v>352850_2021_12_Heating Res ER2</v>
      </c>
      <c r="B1605" s="2812"/>
      <c r="C1605" s="1037" t="s">
        <v>1214</v>
      </c>
      <c r="D1605" s="1311" t="s">
        <v>320</v>
      </c>
      <c r="E1605" s="3419" t="s">
        <v>1216</v>
      </c>
      <c r="F1605" s="618">
        <f>ROUND(((K1975*K2168*(1/K2361-1/K2554)*K3519)/1000)*$K$3677,2)</f>
        <v>715.41</v>
      </c>
      <c r="G1605" s="2810" t="s">
        <v>1150</v>
      </c>
      <c r="H1605" s="2720">
        <f>VLOOKUP(G1605,'CP FACTORS'!$A$3:$B$38, 2, FALSE)</f>
        <v>0</v>
      </c>
      <c r="I1605" s="2995">
        <f t="shared" si="273"/>
        <v>0</v>
      </c>
      <c r="J1605" s="124">
        <f t="shared" si="286"/>
        <v>12</v>
      </c>
      <c r="K1605" s="462">
        <f t="shared" si="287"/>
        <v>0</v>
      </c>
      <c r="L1605" s="3496"/>
      <c r="M1605" s="103"/>
      <c r="N1605" s="1317"/>
      <c r="O1605" s="963"/>
      <c r="P1605" s="106"/>
      <c r="Q1605" s="106"/>
      <c r="R1605" s="1214"/>
      <c r="S1605" s="106"/>
      <c r="T1605" s="106"/>
      <c r="U1605" s="1319"/>
      <c r="V1605" s="3436" t="s">
        <v>30</v>
      </c>
      <c r="W1605" s="2914">
        <v>862.96736842105349</v>
      </c>
      <c r="X1605" s="685">
        <v>642.6078562259313</v>
      </c>
      <c r="Y1605" s="615">
        <v>642.61</v>
      </c>
      <c r="Z1605" s="615">
        <v>642.61</v>
      </c>
      <c r="AA1605" s="615">
        <v>642.61</v>
      </c>
      <c r="AB1605" s="3495">
        <v>642.61</v>
      </c>
      <c r="AC1605" s="618">
        <v>390.25</v>
      </c>
      <c r="AD1605" s="618">
        <v>715.41</v>
      </c>
      <c r="AE1605" s="2914"/>
      <c r="AF1605" s="2914"/>
      <c r="AG1605" s="2914"/>
      <c r="AH1605" s="344"/>
      <c r="AI1605" s="156"/>
      <c r="AJ1605" s="3640"/>
      <c r="AK1605" s="2915"/>
      <c r="AL1605" s="156"/>
      <c r="AM1605" s="3640"/>
      <c r="AN1605" s="3640"/>
      <c r="AO1605" s="156"/>
      <c r="AP1605" s="156"/>
      <c r="AQ1605" s="156"/>
      <c r="AR1605" s="156"/>
      <c r="AS1605" s="156"/>
      <c r="AT1605" s="156"/>
      <c r="AU1605" s="156"/>
      <c r="AV1605" s="156"/>
      <c r="AW1605" s="156"/>
      <c r="AX1605" s="156"/>
      <c r="AY1605" s="156"/>
      <c r="AZ1605" s="156"/>
      <c r="BA1605" s="156"/>
      <c r="BB1605" s="2905"/>
      <c r="BC1605" s="2349" t="str">
        <f t="shared" si="276"/>
        <v>Heating Res ER2 12 Year EUL</v>
      </c>
      <c r="BD1605" s="2829">
        <f>(INDEX('Avoided Cost Benefits'!$E$4:$E$859,MATCH(BC1605,'Avoided Cost Benefits'!$A$4:$A$859,0)))*F1605</f>
        <v>202.39132742308223</v>
      </c>
      <c r="BE1605" s="858">
        <f t="shared" si="279"/>
        <v>0</v>
      </c>
      <c r="BF1605" s="156"/>
      <c r="BH1605" s="686"/>
    </row>
    <row r="1606" spans="1:60" x14ac:dyDescent="0.35">
      <c r="A1606" s="3493" t="str">
        <f t="shared" si="272"/>
        <v>352851_2021_12_Cooling Res</v>
      </c>
      <c r="B1606" s="2812"/>
      <c r="C1606" s="1037" t="s">
        <v>1218</v>
      </c>
      <c r="D1606" s="1311" t="s">
        <v>315</v>
      </c>
      <c r="E1606" s="3418" t="s">
        <v>1219</v>
      </c>
      <c r="F1606" s="618">
        <f>ROUND((($K$2748*$K$2941*(1/$K$3134-1/$K$3327)*$K$3520)/1000)*$K$3677,2)</f>
        <v>1518.75</v>
      </c>
      <c r="G1606" s="2810" t="str">
        <f t="shared" ref="G1606:G1609" si="288">G1602</f>
        <v>Cooling Res</v>
      </c>
      <c r="H1606" s="2720">
        <f>VLOOKUP(G1606,'CP FACTORS'!$A$3:$B$38, 2, FALSE)</f>
        <v>9.4741810000000004E-4</v>
      </c>
      <c r="I1606" s="2995">
        <f t="shared" si="273"/>
        <v>1.4388909999999999</v>
      </c>
      <c r="J1606" s="124">
        <f t="shared" si="286"/>
        <v>6</v>
      </c>
      <c r="K1606" s="462">
        <f t="shared" si="287"/>
        <v>1116.318054649741</v>
      </c>
      <c r="L1606" s="3496">
        <f>L1976</f>
        <v>2.8388888888888886</v>
      </c>
      <c r="M1606" s="103"/>
      <c r="N1606" s="1317"/>
      <c r="O1606" s="963"/>
      <c r="P1606" s="106"/>
      <c r="Q1606" s="106"/>
      <c r="R1606" s="1214"/>
      <c r="S1606" s="106"/>
      <c r="T1606" s="106"/>
      <c r="U1606" s="1319"/>
      <c r="V1606" s="3436" t="s">
        <v>30</v>
      </c>
      <c r="W1606" s="2914"/>
      <c r="X1606" s="685"/>
      <c r="Y1606" s="618">
        <v>936.17</v>
      </c>
      <c r="Z1606" s="615">
        <v>936.17</v>
      </c>
      <c r="AA1606" s="615">
        <v>936.17</v>
      </c>
      <c r="AB1606" s="3495">
        <v>936.17</v>
      </c>
      <c r="AC1606" s="618">
        <v>851.07</v>
      </c>
      <c r="AD1606" s="618">
        <v>1518.75</v>
      </c>
      <c r="AE1606" s="2914"/>
      <c r="AF1606" s="2914"/>
      <c r="AG1606" s="2914"/>
      <c r="AH1606" s="344"/>
      <c r="AI1606" s="156"/>
      <c r="AJ1606" s="3640"/>
      <c r="AK1606" s="2915"/>
      <c r="AL1606" s="156"/>
      <c r="AM1606" s="3640"/>
      <c r="AN1606" s="3640"/>
      <c r="AO1606" s="156"/>
      <c r="AP1606" s="156"/>
      <c r="AQ1606" s="156"/>
      <c r="AR1606" s="156"/>
      <c r="AS1606" s="156"/>
      <c r="AT1606" s="156"/>
      <c r="AU1606" s="156"/>
      <c r="AV1606" s="156"/>
      <c r="AW1606" s="156"/>
      <c r="AX1606" s="156"/>
      <c r="AY1606" s="156"/>
      <c r="AZ1606" s="156"/>
      <c r="BA1606" s="156"/>
      <c r="BB1606" s="2833">
        <f>(BD1606+BD1607+BD1608+BD1609)/(BE1606+BE1607+BE1608+BE1609)</f>
        <v>1.3223889234627209</v>
      </c>
      <c r="BC1606" s="2348" t="str">
        <f t="shared" si="276"/>
        <v>Cooling Res 6 Year EUL</v>
      </c>
      <c r="BD1606" s="2829">
        <f>(INDEX('Avoided Cost Benefits'!$E$4:$E$859,MATCH(BC1606,'Avoided Cost Benefits'!$A$4:$A$859,0)))*F1606</f>
        <v>962.29820876939118</v>
      </c>
      <c r="BE1606" s="858">
        <f t="shared" si="279"/>
        <v>1053.6272342140076</v>
      </c>
      <c r="BF1606" s="156"/>
      <c r="BH1606" s="686"/>
    </row>
    <row r="1607" spans="1:60" x14ac:dyDescent="0.35">
      <c r="A1607" s="3493" t="str">
        <f t="shared" si="272"/>
        <v>352851_2021_12_Heating Res</v>
      </c>
      <c r="B1607" s="2812"/>
      <c r="C1607" s="1037" t="str">
        <f>C1606</f>
        <v>352851_2021_12_</v>
      </c>
      <c r="D1607" s="1311" t="s">
        <v>315</v>
      </c>
      <c r="E1607" s="3420" t="s">
        <v>1219</v>
      </c>
      <c r="F1607" s="618">
        <f>ROUND((($K$1976*$K$2169*(1/$K$2362-1/$K$2555)*$K$3520)/1000)*$K$3677,2)</f>
        <v>765.53</v>
      </c>
      <c r="G1607" s="2810" t="str">
        <f t="shared" si="288"/>
        <v>Heating Res</v>
      </c>
      <c r="H1607" s="2720">
        <f>VLOOKUP(G1607,'CP FACTORS'!$A$3:$B$38, 2, FALSE)</f>
        <v>0</v>
      </c>
      <c r="I1607" s="2995">
        <f t="shared" si="273"/>
        <v>0</v>
      </c>
      <c r="J1607" s="124">
        <f t="shared" si="286"/>
        <v>6</v>
      </c>
      <c r="K1607" s="462">
        <f t="shared" si="287"/>
        <v>0</v>
      </c>
      <c r="L1607" s="3496"/>
      <c r="M1607" s="103"/>
      <c r="N1607" s="1317"/>
      <c r="O1607" s="963"/>
      <c r="P1607" s="106"/>
      <c r="Q1607" s="106"/>
      <c r="R1607" s="1214"/>
      <c r="S1607" s="106"/>
      <c r="T1607" s="106"/>
      <c r="U1607" s="1319"/>
      <c r="V1607" s="3436" t="s">
        <v>30</v>
      </c>
      <c r="W1607" s="2914"/>
      <c r="X1607" s="685"/>
      <c r="Y1607" s="618">
        <v>613.21</v>
      </c>
      <c r="Z1607" s="615">
        <v>613.21</v>
      </c>
      <c r="AA1607" s="615">
        <v>613.21</v>
      </c>
      <c r="AB1607" s="3495">
        <v>613.21</v>
      </c>
      <c r="AC1607" s="618">
        <v>491.35</v>
      </c>
      <c r="AD1607" s="618">
        <v>765.53</v>
      </c>
      <c r="AE1607" s="2914"/>
      <c r="AF1607" s="2914"/>
      <c r="AG1607" s="2914"/>
      <c r="AH1607" s="344"/>
      <c r="AI1607" s="156"/>
      <c r="AJ1607" s="3640"/>
      <c r="AK1607" s="2915"/>
      <c r="AL1607" s="156"/>
      <c r="AM1607" s="3640"/>
      <c r="AN1607" s="3640"/>
      <c r="AO1607" s="156"/>
      <c r="AP1607" s="156"/>
      <c r="AQ1607" s="156"/>
      <c r="AR1607" s="156"/>
      <c r="AS1607" s="156"/>
      <c r="AT1607" s="156"/>
      <c r="AU1607" s="156"/>
      <c r="AV1607" s="156"/>
      <c r="AW1607" s="156"/>
      <c r="AX1607" s="156"/>
      <c r="AY1607" s="156"/>
      <c r="AZ1607" s="156"/>
      <c r="BA1607" s="156"/>
      <c r="BB1607" s="2905"/>
      <c r="BC1607" s="2357" t="str">
        <f t="shared" si="276"/>
        <v>Heating Res 6 Year EUL</v>
      </c>
      <c r="BD1607" s="2829">
        <f>(INDEX('Avoided Cost Benefits'!$E$4:$E$859,MATCH(BC1607,'Avoided Cost Benefits'!$A$4:$A$859,0)))*F1607</f>
        <v>124.73636794376648</v>
      </c>
      <c r="BE1607" s="858">
        <f t="shared" si="279"/>
        <v>0</v>
      </c>
      <c r="BF1607" s="156"/>
      <c r="BH1607" s="686"/>
    </row>
    <row r="1608" spans="1:60" x14ac:dyDescent="0.35">
      <c r="A1608" s="3493" t="str">
        <f t="shared" si="272"/>
        <v>352851_2021_12_Cooling Res ER2</v>
      </c>
      <c r="B1608" s="2812"/>
      <c r="C1608" s="1037" t="str">
        <f>C1607</f>
        <v>352851_2021_12_</v>
      </c>
      <c r="D1608" s="1311" t="s">
        <v>315</v>
      </c>
      <c r="E1608" s="3420" t="s">
        <v>1220</v>
      </c>
      <c r="F1608" s="618">
        <f>ROUND((($K$2749*$K$2942*(1/$K$3135-1/$K$3328)*$K$3521)/1000)*$K$3677,2)</f>
        <v>214.43</v>
      </c>
      <c r="G1608" s="2810" t="str">
        <f t="shared" si="288"/>
        <v>Cooling Res ER2</v>
      </c>
      <c r="H1608" s="2720">
        <f>VLOOKUP(G1608,'CP FACTORS'!$A$3:$B$38, 2, FALSE)</f>
        <v>9.4741810000000004E-4</v>
      </c>
      <c r="I1608" s="2995">
        <f t="shared" si="273"/>
        <v>0.203155</v>
      </c>
      <c r="J1608" s="124">
        <f t="shared" si="286"/>
        <v>12</v>
      </c>
      <c r="K1608" s="462">
        <f t="shared" si="287"/>
        <v>0</v>
      </c>
      <c r="L1608" s="3496"/>
      <c r="M1608" s="103"/>
      <c r="N1608" s="1317"/>
      <c r="O1608" s="963"/>
      <c r="P1608" s="106"/>
      <c r="Q1608" s="106"/>
      <c r="R1608" s="1214"/>
      <c r="S1608" s="106"/>
      <c r="T1608" s="106"/>
      <c r="U1608" s="1319"/>
      <c r="V1608" s="3436" t="s">
        <v>30</v>
      </c>
      <c r="W1608" s="2914"/>
      <c r="X1608" s="685"/>
      <c r="Y1608" s="618">
        <v>145.25</v>
      </c>
      <c r="Z1608" s="615">
        <v>145.25</v>
      </c>
      <c r="AA1608" s="615">
        <v>145.25</v>
      </c>
      <c r="AB1608" s="3495">
        <v>145.25</v>
      </c>
      <c r="AC1608" s="618">
        <v>132.04</v>
      </c>
      <c r="AD1608" s="618">
        <v>214.43</v>
      </c>
      <c r="AE1608" s="2914"/>
      <c r="AF1608" s="2914"/>
      <c r="AG1608" s="2914"/>
      <c r="AH1608" s="344"/>
      <c r="AI1608" s="156"/>
      <c r="AJ1608" s="3640"/>
      <c r="AK1608" s="2915"/>
      <c r="AL1608" s="156"/>
      <c r="AM1608" s="3640"/>
      <c r="AN1608" s="3640"/>
      <c r="AO1608" s="156"/>
      <c r="AP1608" s="156"/>
      <c r="AQ1608" s="156"/>
      <c r="AR1608" s="156"/>
      <c r="AS1608" s="156"/>
      <c r="AT1608" s="156"/>
      <c r="AU1608" s="156"/>
      <c r="AV1608" s="156"/>
      <c r="AW1608" s="156"/>
      <c r="AX1608" s="156"/>
      <c r="AY1608" s="156"/>
      <c r="AZ1608" s="156"/>
      <c r="BA1608" s="156"/>
      <c r="BB1608" s="2905"/>
      <c r="BC1608" s="2357" t="str">
        <f t="shared" si="276"/>
        <v>Cooling Res ER2 12 Year EUL</v>
      </c>
      <c r="BD1608" s="2829">
        <f>(INDEX('Avoided Cost Benefits'!$E$4:$E$859,MATCH(BC1608,'Avoided Cost Benefits'!$A$4:$A$859,0)))*F1608</f>
        <v>237.27329953438232</v>
      </c>
      <c r="BE1608" s="858">
        <f t="shared" si="279"/>
        <v>0</v>
      </c>
      <c r="BF1608" s="156"/>
      <c r="BH1608" s="686"/>
    </row>
    <row r="1609" spans="1:60" x14ac:dyDescent="0.35">
      <c r="A1609" s="3493" t="str">
        <f t="shared" si="272"/>
        <v>352851_2021_12_Heating Res ER2</v>
      </c>
      <c r="B1609" s="2812"/>
      <c r="C1609" s="1037" t="str">
        <f>C1608</f>
        <v>352851_2021_12_</v>
      </c>
      <c r="D1609" s="1311" t="s">
        <v>315</v>
      </c>
      <c r="E1609" s="3419" t="s">
        <v>1220</v>
      </c>
      <c r="F1609" s="618">
        <f>ROUND((($K$1977*$K$2170*(1/$K$2363-1/$K$2556)*$K$3521)/1000)*$K$3677,2)</f>
        <v>243.89</v>
      </c>
      <c r="G1609" s="2810" t="str">
        <f t="shared" si="288"/>
        <v>Heating Res ER2</v>
      </c>
      <c r="H1609" s="2720">
        <f>VLOOKUP(G1609,'CP FACTORS'!$A$3:$B$38, 2, FALSE)</f>
        <v>0</v>
      </c>
      <c r="I1609" s="2995">
        <f t="shared" si="273"/>
        <v>0</v>
      </c>
      <c r="J1609" s="124">
        <f t="shared" si="286"/>
        <v>12</v>
      </c>
      <c r="K1609" s="462">
        <f t="shared" si="287"/>
        <v>0</v>
      </c>
      <c r="L1609" s="3496"/>
      <c r="M1609" s="103"/>
      <c r="N1609" s="1317"/>
      <c r="O1609" s="963"/>
      <c r="P1609" s="106"/>
      <c r="Q1609" s="106"/>
      <c r="R1609" s="1214"/>
      <c r="S1609" s="106"/>
      <c r="T1609" s="106"/>
      <c r="U1609" s="1319"/>
      <c r="V1609" s="3436" t="s">
        <v>30</v>
      </c>
      <c r="W1609" s="2914"/>
      <c r="X1609" s="685"/>
      <c r="Y1609" s="618">
        <v>219.07</v>
      </c>
      <c r="Z1609" s="615">
        <v>219.07</v>
      </c>
      <c r="AA1609" s="615">
        <v>219.07</v>
      </c>
      <c r="AB1609" s="3495">
        <v>219.07</v>
      </c>
      <c r="AC1609" s="618">
        <v>133.04</v>
      </c>
      <c r="AD1609" s="618">
        <v>243.89</v>
      </c>
      <c r="AE1609" s="2914"/>
      <c r="AF1609" s="2914"/>
      <c r="AG1609" s="2914"/>
      <c r="AH1609" s="344"/>
      <c r="AI1609" s="156"/>
      <c r="AJ1609" s="3640"/>
      <c r="AK1609" s="2915"/>
      <c r="AL1609" s="156"/>
      <c r="AM1609" s="3640"/>
      <c r="AN1609" s="3640"/>
      <c r="AO1609" s="156"/>
      <c r="AP1609" s="156"/>
      <c r="AQ1609" s="156"/>
      <c r="AR1609" s="156"/>
      <c r="AS1609" s="156"/>
      <c r="AT1609" s="156"/>
      <c r="AU1609" s="156"/>
      <c r="AV1609" s="156"/>
      <c r="AW1609" s="156"/>
      <c r="AX1609" s="156"/>
      <c r="AY1609" s="156"/>
      <c r="AZ1609" s="156"/>
      <c r="BA1609" s="156"/>
      <c r="BB1609" s="2905"/>
      <c r="BC1609" s="2349" t="str">
        <f t="shared" si="276"/>
        <v>Heating Res ER2 12 Year EUL</v>
      </c>
      <c r="BD1609" s="2829">
        <f>(INDEX('Avoided Cost Benefits'!$E$4:$E$859,MATCH(BC1609,'Avoided Cost Benefits'!$A$4:$A$859,0)))*F1609</f>
        <v>68.997107735725706</v>
      </c>
      <c r="BE1609" s="858">
        <f t="shared" si="279"/>
        <v>0</v>
      </c>
      <c r="BF1609" s="156"/>
      <c r="BH1609" s="686"/>
    </row>
    <row r="1610" spans="1:60" x14ac:dyDescent="0.35">
      <c r="A1610" s="3493" t="str">
        <f t="shared" si="272"/>
        <v>352900_2021_12_Cooling Res</v>
      </c>
      <c r="B1610" s="2812"/>
      <c r="C1610" s="1037" t="s">
        <v>1222</v>
      </c>
      <c r="D1610" s="1311" t="s">
        <v>320</v>
      </c>
      <c r="E1610" s="590" t="s">
        <v>1223</v>
      </c>
      <c r="F1610" s="618">
        <f>ROUND(((K2750*K2943*(1/K3136-1/K3329)*K3522)/1000)*$K$3677,2)</f>
        <v>209.49</v>
      </c>
      <c r="G1610" s="2810" t="s">
        <v>1091</v>
      </c>
      <c r="H1610" s="2720">
        <f>VLOOKUP(G1610,'CP FACTORS'!$A$3:$B$38, 2, FALSE)</f>
        <v>9.4741810000000004E-4</v>
      </c>
      <c r="I1610" s="2995">
        <f t="shared" si="273"/>
        <v>0.19847500000000001</v>
      </c>
      <c r="J1610" s="124">
        <f t="shared" si="286"/>
        <v>18</v>
      </c>
      <c r="K1610" s="462">
        <f t="shared" si="287"/>
        <v>438</v>
      </c>
      <c r="L1610" s="3496">
        <f>L1978</f>
        <v>2.2333333333333334</v>
      </c>
      <c r="M1610" s="103"/>
      <c r="N1610" s="1317"/>
      <c r="O1610" s="963"/>
      <c r="P1610" s="106"/>
      <c r="Q1610" s="106"/>
      <c r="R1610" s="1214"/>
      <c r="S1610" s="106"/>
      <c r="T1610" s="106"/>
      <c r="U1610" s="1319"/>
      <c r="V1610" s="3436" t="s">
        <v>30</v>
      </c>
      <c r="W1610" s="2914">
        <v>199.71482142857135</v>
      </c>
      <c r="X1610" s="2916">
        <v>199.71482142857135</v>
      </c>
      <c r="Y1610" s="615">
        <v>199.71</v>
      </c>
      <c r="Z1610" s="615">
        <v>199.71</v>
      </c>
      <c r="AA1610" s="615">
        <v>199.71</v>
      </c>
      <c r="AB1610" s="3495">
        <v>199.71</v>
      </c>
      <c r="AC1610" s="618">
        <v>181.56</v>
      </c>
      <c r="AD1610" s="618">
        <v>209.49</v>
      </c>
      <c r="AE1610" s="2914"/>
      <c r="AF1610" s="2914"/>
      <c r="AG1610" s="2914"/>
      <c r="AH1610" s="344"/>
      <c r="AI1610" s="156"/>
      <c r="AJ1610" s="3640"/>
      <c r="AK1610" s="2915"/>
      <c r="AL1610" s="156"/>
      <c r="AM1610" s="3640"/>
      <c r="AN1610" s="3640"/>
      <c r="AO1610" s="156"/>
      <c r="AP1610" s="156"/>
      <c r="AQ1610" s="156"/>
      <c r="AR1610" s="156"/>
      <c r="AS1610" s="156"/>
      <c r="AT1610" s="156"/>
      <c r="AU1610" s="156"/>
      <c r="AV1610" s="156"/>
      <c r="AW1610" s="156"/>
      <c r="AX1610" s="156"/>
      <c r="AY1610" s="156"/>
      <c r="AZ1610" s="156"/>
      <c r="BA1610" s="156"/>
      <c r="BB1610" s="2833">
        <f>(BD1610+BD1611)/(BE1610+BE1611)</f>
        <v>1.3505252283658242</v>
      </c>
      <c r="BC1610" s="590" t="str">
        <f t="shared" si="276"/>
        <v>Cooling Res 18 Year EUL</v>
      </c>
      <c r="BD1610" s="2829">
        <f>(INDEX('Avoided Cost Benefits'!$E$4:$E$859,MATCH(BC1610,'Avoided Cost Benefits'!$A$4:$A$859,0)))*F1610</f>
        <v>364.54241532530023</v>
      </c>
      <c r="BE1610" s="858">
        <f t="shared" si="279"/>
        <v>413.40254837187348</v>
      </c>
      <c r="BF1610" s="156"/>
      <c r="BH1610" s="686"/>
    </row>
    <row r="1611" spans="1:60" x14ac:dyDescent="0.35">
      <c r="A1611" s="3493" t="str">
        <f t="shared" si="272"/>
        <v>352900_2021_12_Heating Res</v>
      </c>
      <c r="B1611" s="2812"/>
      <c r="C1611" s="1037" t="s">
        <v>1222</v>
      </c>
      <c r="D1611" s="1311" t="s">
        <v>320</v>
      </c>
      <c r="E1611" s="687" t="s">
        <v>1223</v>
      </c>
      <c r="F1611" s="618">
        <f>ROUND(((K1978*K2171*(1/K2364-1/K2557)*K3522)/1000)*$K$3677,2)</f>
        <v>434.61</v>
      </c>
      <c r="G1611" s="2810" t="s">
        <v>1092</v>
      </c>
      <c r="H1611" s="2720">
        <f>VLOOKUP(G1611,'CP FACTORS'!$A$3:$B$38, 2, FALSE)</f>
        <v>0</v>
      </c>
      <c r="I1611" s="2995">
        <f t="shared" si="273"/>
        <v>0</v>
      </c>
      <c r="J1611" s="124">
        <f t="shared" si="286"/>
        <v>18</v>
      </c>
      <c r="K1611" s="462">
        <f t="shared" si="287"/>
        <v>0</v>
      </c>
      <c r="L1611" s="3496"/>
      <c r="M1611" s="103"/>
      <c r="N1611" s="1317"/>
      <c r="O1611" s="963"/>
      <c r="P1611" s="106"/>
      <c r="Q1611" s="106"/>
      <c r="R1611" s="1214"/>
      <c r="S1611" s="106"/>
      <c r="T1611" s="106"/>
      <c r="U1611" s="1319"/>
      <c r="V1611" s="3436" t="s">
        <v>30</v>
      </c>
      <c r="W1611" s="2914">
        <v>1029.6000000000013</v>
      </c>
      <c r="X1611" s="685">
        <v>766.69069188651167</v>
      </c>
      <c r="Y1611" s="615">
        <v>766.69</v>
      </c>
      <c r="Z1611" s="615">
        <v>766.69</v>
      </c>
      <c r="AA1611" s="615">
        <v>766.69</v>
      </c>
      <c r="AB1611" s="3495">
        <v>766.69</v>
      </c>
      <c r="AC1611" s="618">
        <v>379.47</v>
      </c>
      <c r="AD1611" s="618">
        <v>434.61</v>
      </c>
      <c r="AE1611" s="2914"/>
      <c r="AF1611" s="2914"/>
      <c r="AG1611" s="2914"/>
      <c r="AH1611" s="344"/>
      <c r="AI1611" s="156"/>
      <c r="AJ1611" s="3640"/>
      <c r="AK1611" s="2915"/>
      <c r="AL1611" s="156"/>
      <c r="AM1611" s="3640"/>
      <c r="AN1611" s="3640"/>
      <c r="AO1611" s="156"/>
      <c r="AP1611" s="156"/>
      <c r="AQ1611" s="156"/>
      <c r="AR1611" s="156"/>
      <c r="AS1611" s="156"/>
      <c r="AT1611" s="156"/>
      <c r="AU1611" s="156"/>
      <c r="AV1611" s="156"/>
      <c r="AW1611" s="156"/>
      <c r="AX1611" s="156"/>
      <c r="AY1611" s="156"/>
      <c r="AZ1611" s="156"/>
      <c r="BA1611" s="156"/>
      <c r="BB1611" s="2835"/>
      <c r="BC1611" s="687" t="str">
        <f t="shared" si="276"/>
        <v>Heating Res 18 Year EUL</v>
      </c>
      <c r="BD1611" s="2829">
        <f>(INDEX('Avoided Cost Benefits'!$E$4:$E$859,MATCH(BC1611,'Avoided Cost Benefits'!$A$4:$A$859,0)))*F1611</f>
        <v>193.7681557216379</v>
      </c>
      <c r="BE1611" s="858">
        <f t="shared" si="279"/>
        <v>0</v>
      </c>
      <c r="BF1611" s="156"/>
      <c r="BH1611" s="686"/>
    </row>
    <row r="1612" spans="1:60" x14ac:dyDescent="0.35">
      <c r="A1612" s="3493" t="str">
        <f t="shared" si="272"/>
        <v>352901_2021_12_Cooling Res</v>
      </c>
      <c r="B1612" s="2812"/>
      <c r="C1612" s="1037" t="s">
        <v>1225</v>
      </c>
      <c r="D1612" s="1311" t="s">
        <v>315</v>
      </c>
      <c r="E1612" s="3418" t="s">
        <v>1226</v>
      </c>
      <c r="F1612" s="618">
        <f>ROUND((($K$2751*$K$2944*(1/$K$3137-1/$K$3330)*$K$3523)/1000)*$K$3677,2)</f>
        <v>152.36000000000001</v>
      </c>
      <c r="G1612" s="2810" t="str">
        <f>G1610</f>
        <v>Cooling Res</v>
      </c>
      <c r="H1612" s="2720">
        <f>VLOOKUP(G1612,'CP FACTORS'!$A$3:$B$38, 2, FALSE)</f>
        <v>9.4741810000000004E-4</v>
      </c>
      <c r="I1612" s="2995">
        <f t="shared" si="273"/>
        <v>0.14434900000000001</v>
      </c>
      <c r="J1612" s="124">
        <f t="shared" si="286"/>
        <v>18</v>
      </c>
      <c r="K1612" s="462">
        <f t="shared" si="287"/>
        <v>438</v>
      </c>
      <c r="L1612" s="3496">
        <f>L1979</f>
        <v>2.2333333333333334</v>
      </c>
      <c r="M1612" s="103"/>
      <c r="N1612" s="1317"/>
      <c r="O1612" s="963"/>
      <c r="P1612" s="106"/>
      <c r="Q1612" s="106"/>
      <c r="R1612" s="1214"/>
      <c r="S1612" s="106"/>
      <c r="T1612" s="106"/>
      <c r="U1612" s="1319"/>
      <c r="V1612" s="3436" t="s">
        <v>30</v>
      </c>
      <c r="W1612" s="2914"/>
      <c r="X1612" s="685"/>
      <c r="Y1612" s="618">
        <v>145.25</v>
      </c>
      <c r="Z1612" s="615">
        <v>145.25</v>
      </c>
      <c r="AA1612" s="615">
        <v>145.25</v>
      </c>
      <c r="AB1612" s="3495">
        <v>145.25</v>
      </c>
      <c r="AC1612" s="618">
        <v>132.04</v>
      </c>
      <c r="AD1612" s="618">
        <v>152.36000000000001</v>
      </c>
      <c r="AE1612" s="2914"/>
      <c r="AF1612" s="2914"/>
      <c r="AG1612" s="2914"/>
      <c r="AH1612" s="344"/>
      <c r="AI1612" s="156"/>
      <c r="AJ1612" s="3640"/>
      <c r="AK1612" s="2915"/>
      <c r="AL1612" s="156"/>
      <c r="AM1612" s="3640"/>
      <c r="AN1612" s="3640"/>
      <c r="AO1612" s="156"/>
      <c r="AP1612" s="156"/>
      <c r="AQ1612" s="156"/>
      <c r="AR1612" s="156"/>
      <c r="AS1612" s="156"/>
      <c r="AT1612" s="156"/>
      <c r="AU1612" s="156"/>
      <c r="AV1612" s="156"/>
      <c r="AW1612" s="156"/>
      <c r="AX1612" s="156"/>
      <c r="AY1612" s="156"/>
      <c r="AZ1612" s="156"/>
      <c r="BA1612" s="156"/>
      <c r="BB1612" s="2833">
        <f>(BD1612+BD1613)/(BE1612+BE1613)</f>
        <v>0.80111817621736092</v>
      </c>
      <c r="BC1612" s="590" t="str">
        <f t="shared" si="276"/>
        <v>Cooling Res 18 Year EUL</v>
      </c>
      <c r="BD1612" s="2829">
        <f>(INDEX('Avoided Cost Benefits'!$E$4:$E$859,MATCH(BC1612,'Avoided Cost Benefits'!$A$4:$A$859,0)))*F1612</f>
        <v>265.12808439048518</v>
      </c>
      <c r="BE1612" s="858">
        <f t="shared" si="279"/>
        <v>413.40254837187348</v>
      </c>
      <c r="BF1612" s="156"/>
      <c r="BH1612" s="686"/>
    </row>
    <row r="1613" spans="1:60" x14ac:dyDescent="0.35">
      <c r="A1613" s="3493" t="str">
        <f t="shared" si="272"/>
        <v>352901_2021_12_Heating Res</v>
      </c>
      <c r="B1613" s="2812"/>
      <c r="C1613" s="1037" t="str">
        <f>C1612</f>
        <v>352901_2021_12_</v>
      </c>
      <c r="D1613" s="1311" t="s">
        <v>315</v>
      </c>
      <c r="E1613" s="3419" t="s">
        <v>1226</v>
      </c>
      <c r="F1613" s="618">
        <f>ROUND((($K$1979*$K$2172*(1/$K$2365-1/$K$2558)*$K$3523)/1000)*$K$3677,2)</f>
        <v>148.16</v>
      </c>
      <c r="G1613" s="2810" t="str">
        <f>G1611</f>
        <v>Heating Res</v>
      </c>
      <c r="H1613" s="2720">
        <f>VLOOKUP(G1613,'CP FACTORS'!$A$3:$B$38, 2, FALSE)</f>
        <v>0</v>
      </c>
      <c r="I1613" s="2995">
        <f t="shared" si="273"/>
        <v>0</v>
      </c>
      <c r="J1613" s="124">
        <f t="shared" si="286"/>
        <v>18</v>
      </c>
      <c r="K1613" s="462">
        <f t="shared" si="287"/>
        <v>0</v>
      </c>
      <c r="L1613" s="3496"/>
      <c r="M1613" s="103"/>
      <c r="N1613" s="1317"/>
      <c r="O1613" s="963"/>
      <c r="P1613" s="106"/>
      <c r="Q1613" s="106"/>
      <c r="R1613" s="1214"/>
      <c r="S1613" s="106"/>
      <c r="T1613" s="106"/>
      <c r="U1613" s="1319"/>
      <c r="V1613" s="3436" t="s">
        <v>30</v>
      </c>
      <c r="W1613" s="2914"/>
      <c r="X1613" s="685"/>
      <c r="Y1613" s="618">
        <v>261.37</v>
      </c>
      <c r="Z1613" s="615">
        <v>261.37</v>
      </c>
      <c r="AA1613" s="615">
        <v>261.37</v>
      </c>
      <c r="AB1613" s="3495">
        <v>261.37</v>
      </c>
      <c r="AC1613" s="618">
        <v>129.37</v>
      </c>
      <c r="AD1613" s="618">
        <v>148.16</v>
      </c>
      <c r="AE1613" s="2914"/>
      <c r="AF1613" s="2914"/>
      <c r="AG1613" s="2914"/>
      <c r="AH1613" s="344"/>
      <c r="AI1613" s="156"/>
      <c r="AJ1613" s="3640"/>
      <c r="AK1613" s="2915"/>
      <c r="AL1613" s="156"/>
      <c r="AM1613" s="3640"/>
      <c r="AN1613" s="3640"/>
      <c r="AO1613" s="156"/>
      <c r="AP1613" s="156"/>
      <c r="AQ1613" s="156"/>
      <c r="AR1613" s="156"/>
      <c r="AS1613" s="156"/>
      <c r="AT1613" s="156"/>
      <c r="AU1613" s="156"/>
      <c r="AV1613" s="156"/>
      <c r="AW1613" s="156"/>
      <c r="AX1613" s="156"/>
      <c r="AY1613" s="156"/>
      <c r="AZ1613" s="156"/>
      <c r="BA1613" s="156"/>
      <c r="BB1613" s="2835"/>
      <c r="BC1613" s="687" t="str">
        <f t="shared" si="276"/>
        <v>Heating Res 18 Year EUL</v>
      </c>
      <c r="BD1613" s="2829">
        <f>(INDEX('Avoided Cost Benefits'!$E$4:$E$859,MATCH(BC1613,'Avoided Cost Benefits'!$A$4:$A$859,0)))*F1613</f>
        <v>66.056211204799396</v>
      </c>
      <c r="BE1613" s="858">
        <f t="shared" si="279"/>
        <v>0</v>
      </c>
      <c r="BF1613" s="156"/>
      <c r="BH1613" s="686"/>
    </row>
    <row r="1614" spans="1:60" x14ac:dyDescent="0.35">
      <c r="A1614" s="3493" t="str">
        <f t="shared" si="272"/>
        <v>352950_2019_12_Cooling Res</v>
      </c>
      <c r="B1614" s="2812"/>
      <c r="C1614" s="1037" t="s">
        <v>1227</v>
      </c>
      <c r="D1614" s="1311" t="s">
        <v>320</v>
      </c>
      <c r="E1614" s="590" t="s">
        <v>1228</v>
      </c>
      <c r="F1614" s="618">
        <f>ROUND(((K2752*K2945*(1/K3138-1/K3331)*K3524)/1000)*$K$3677,2)</f>
        <v>338.41</v>
      </c>
      <c r="G1614" s="2810" t="s">
        <v>1091</v>
      </c>
      <c r="H1614" s="2720">
        <f>VLOOKUP(G1614,'CP FACTORS'!$A$3:$B$38, 2, FALSE)</f>
        <v>9.4741810000000004E-4</v>
      </c>
      <c r="I1614" s="2995">
        <f t="shared" si="273"/>
        <v>0.32061600000000001</v>
      </c>
      <c r="J1614" s="124">
        <f t="shared" si="286"/>
        <v>18</v>
      </c>
      <c r="K1614" s="462">
        <f t="shared" si="287"/>
        <v>438</v>
      </c>
      <c r="L1614" s="3496">
        <f>L1980</f>
        <v>2.2333333333333334</v>
      </c>
      <c r="M1614" s="103"/>
      <c r="N1614" s="1317"/>
      <c r="O1614" s="963"/>
      <c r="P1614" s="106"/>
      <c r="Q1614" s="106"/>
      <c r="R1614" s="1214"/>
      <c r="S1614" s="106"/>
      <c r="T1614" s="106"/>
      <c r="U1614" s="1319"/>
      <c r="V1614" s="3436" t="s">
        <v>30</v>
      </c>
      <c r="W1614" s="2914">
        <v>312.84000000000009</v>
      </c>
      <c r="X1614" s="688">
        <v>312.84000000000009</v>
      </c>
      <c r="Y1614" s="615">
        <v>312.83999999999997</v>
      </c>
      <c r="Z1614" s="615">
        <v>312.83999999999997</v>
      </c>
      <c r="AA1614" s="615">
        <v>312.83999999999997</v>
      </c>
      <c r="AB1614" s="3494">
        <v>245.36</v>
      </c>
      <c r="AC1614" s="2912">
        <v>245.36</v>
      </c>
      <c r="AD1614" s="618">
        <v>338.41</v>
      </c>
      <c r="AE1614" s="2914"/>
      <c r="AF1614" s="2914"/>
      <c r="AG1614" s="2914"/>
      <c r="AH1614" s="344"/>
      <c r="AI1614" s="156"/>
      <c r="AJ1614" s="3640"/>
      <c r="AK1614" s="2915"/>
      <c r="AL1614" s="156"/>
      <c r="AM1614" s="3640"/>
      <c r="AN1614" s="3640"/>
      <c r="AO1614" s="156"/>
      <c r="AP1614" s="156"/>
      <c r="AQ1614" s="156"/>
      <c r="AR1614" s="156"/>
      <c r="AS1614" s="156"/>
      <c r="AT1614" s="156"/>
      <c r="AU1614" s="156"/>
      <c r="AV1614" s="156"/>
      <c r="AW1614" s="156"/>
      <c r="AX1614" s="156"/>
      <c r="AY1614" s="156"/>
      <c r="AZ1614" s="156"/>
      <c r="BA1614" s="156"/>
      <c r="BB1614" s="2833">
        <f>(BD1614+BD1615)/(BE1614+BE1615)</f>
        <v>9.300201359561008</v>
      </c>
      <c r="BC1614" s="590" t="str">
        <f t="shared" si="276"/>
        <v>Cooling Res 18 Year EUL</v>
      </c>
      <c r="BD1614" s="2829">
        <f>(INDEX('Avoided Cost Benefits'!$E$4:$E$859,MATCH(BC1614,'Avoided Cost Benefits'!$A$4:$A$859,0)))*F1614</f>
        <v>588.88156365571081</v>
      </c>
      <c r="BE1614" s="858">
        <f t="shared" ref="BE1614:BE1683" si="289">K1614/(1.0595^(2020-2019))</f>
        <v>413.40254837187348</v>
      </c>
      <c r="BF1614" s="156"/>
      <c r="BH1614" s="686"/>
    </row>
    <row r="1615" spans="1:60" x14ac:dyDescent="0.35">
      <c r="A1615" s="3493" t="str">
        <f t="shared" si="272"/>
        <v>352950_2019_12_Heating Res</v>
      </c>
      <c r="B1615" s="2812"/>
      <c r="C1615" s="1037" t="s">
        <v>1227</v>
      </c>
      <c r="D1615" s="1311" t="s">
        <v>320</v>
      </c>
      <c r="E1615" s="687" t="s">
        <v>1228</v>
      </c>
      <c r="F1615" s="618">
        <f>ROUND(((K1980*K2173*(1/K2366-1/K2559)*K3524)/1000)*$K$3677,2)</f>
        <v>7302.66</v>
      </c>
      <c r="G1615" s="2810" t="s">
        <v>1092</v>
      </c>
      <c r="H1615" s="2720">
        <f>VLOOKUP(G1615,'CP FACTORS'!$A$3:$B$38, 2, FALSE)</f>
        <v>0</v>
      </c>
      <c r="I1615" s="2995">
        <f t="shared" si="273"/>
        <v>0</v>
      </c>
      <c r="J1615" s="124">
        <f t="shared" si="286"/>
        <v>18</v>
      </c>
      <c r="K1615" s="462">
        <f t="shared" si="287"/>
        <v>0</v>
      </c>
      <c r="L1615" s="3496"/>
      <c r="M1615" s="103"/>
      <c r="N1615" s="1317"/>
      <c r="O1615" s="963"/>
      <c r="P1615" s="106"/>
      <c r="Q1615" s="106"/>
      <c r="R1615" s="1214"/>
      <c r="S1615" s="106"/>
      <c r="T1615" s="106"/>
      <c r="U1615" s="1319"/>
      <c r="V1615" s="3436" t="s">
        <v>30</v>
      </c>
      <c r="W1615" s="2914">
        <v>9535.6225050639387</v>
      </c>
      <c r="X1615" s="685">
        <v>7100.6925174592607</v>
      </c>
      <c r="Y1615" s="615">
        <v>7100.69</v>
      </c>
      <c r="Z1615" s="615">
        <v>7100.69</v>
      </c>
      <c r="AA1615" s="615">
        <v>7100.69</v>
      </c>
      <c r="AB1615" s="3494">
        <v>4307.18</v>
      </c>
      <c r="AC1615" s="2912">
        <v>4307.18</v>
      </c>
      <c r="AD1615" s="618">
        <v>7302.66</v>
      </c>
      <c r="AE1615" s="2914"/>
      <c r="AF1615" s="2914"/>
      <c r="AG1615" s="2914"/>
      <c r="AH1615" s="344"/>
      <c r="AI1615" s="156"/>
      <c r="AJ1615" s="3640"/>
      <c r="AK1615" s="2915"/>
      <c r="AL1615" s="156"/>
      <c r="AM1615" s="3640"/>
      <c r="AN1615" s="3640"/>
      <c r="AO1615" s="156"/>
      <c r="AP1615" s="156"/>
      <c r="AQ1615" s="156"/>
      <c r="AR1615" s="156"/>
      <c r="AS1615" s="156"/>
      <c r="AT1615" s="156"/>
      <c r="AU1615" s="156"/>
      <c r="AV1615" s="156"/>
      <c r="AW1615" s="156"/>
      <c r="AX1615" s="156"/>
      <c r="AY1615" s="156"/>
      <c r="AZ1615" s="156"/>
      <c r="BA1615" s="156"/>
      <c r="BB1615" s="2835"/>
      <c r="BC1615" s="687" t="str">
        <f t="shared" si="276"/>
        <v>Heating Res 18 Year EUL</v>
      </c>
      <c r="BD1615" s="2829">
        <f>(INDEX('Avoided Cost Benefits'!$E$4:$E$859,MATCH(BC1615,'Avoided Cost Benefits'!$A$4:$A$859,0)))*F1615</f>
        <v>3255.8453787583721</v>
      </c>
      <c r="BE1615" s="858">
        <f t="shared" si="289"/>
        <v>0</v>
      </c>
      <c r="BF1615" s="156"/>
      <c r="BH1615" s="686"/>
    </row>
    <row r="1616" spans="1:60" x14ac:dyDescent="0.35">
      <c r="A1616" s="3493" t="str">
        <f t="shared" si="272"/>
        <v>352951_2019_12_Cooling Res</v>
      </c>
      <c r="B1616" s="2812"/>
      <c r="C1616" s="1037" t="s">
        <v>1229</v>
      </c>
      <c r="D1616" s="1311" t="s">
        <v>315</v>
      </c>
      <c r="E1616" s="3418" t="s">
        <v>1230</v>
      </c>
      <c r="F1616" s="618">
        <f>ROUND((($K$2753*$K$2946*(1/$K$3139-1/$K$3332)*$K$3525)/1000)*$K$3677,2)</f>
        <v>246.12</v>
      </c>
      <c r="G1616" s="2810" t="str">
        <f>G1614</f>
        <v>Cooling Res</v>
      </c>
      <c r="H1616" s="2720">
        <f>VLOOKUP(G1616,'CP FACTORS'!$A$3:$B$38, 2, FALSE)</f>
        <v>9.4741810000000004E-4</v>
      </c>
      <c r="I1616" s="2995">
        <f t="shared" si="273"/>
        <v>0.233179</v>
      </c>
      <c r="J1616" s="124">
        <f t="shared" si="286"/>
        <v>18</v>
      </c>
      <c r="K1616" s="462">
        <f t="shared" si="287"/>
        <v>438</v>
      </c>
      <c r="L1616" s="3496">
        <f>L1981</f>
        <v>2.2333333333333334</v>
      </c>
      <c r="M1616" s="103"/>
      <c r="N1616" s="1317"/>
      <c r="O1616" s="963"/>
      <c r="P1616" s="106"/>
      <c r="Q1616" s="106"/>
      <c r="R1616" s="1214"/>
      <c r="S1616" s="106"/>
      <c r="T1616" s="106"/>
      <c r="U1616" s="1319"/>
      <c r="V1616" s="3436" t="s">
        <v>30</v>
      </c>
      <c r="W1616" s="2914"/>
      <c r="X1616" s="685"/>
      <c r="Y1616" s="618">
        <v>227.52</v>
      </c>
      <c r="Z1616" s="615">
        <v>227.52</v>
      </c>
      <c r="AA1616" s="615">
        <v>227.52</v>
      </c>
      <c r="AB1616" s="3494">
        <v>178.45</v>
      </c>
      <c r="AC1616" s="2912">
        <v>178.45</v>
      </c>
      <c r="AD1616" s="618">
        <v>246.12</v>
      </c>
      <c r="AE1616" s="2914"/>
      <c r="AF1616" s="2914"/>
      <c r="AG1616" s="2914"/>
      <c r="AH1616" s="344"/>
      <c r="AI1616" s="156"/>
      <c r="AJ1616" s="3640"/>
      <c r="AK1616" s="2915"/>
      <c r="AL1616" s="156"/>
      <c r="AM1616" s="3640"/>
      <c r="AN1616" s="3640"/>
      <c r="AO1616" s="156"/>
      <c r="AP1616" s="156"/>
      <c r="AQ1616" s="156"/>
      <c r="AR1616" s="156"/>
      <c r="AS1616" s="156"/>
      <c r="AT1616" s="156"/>
      <c r="AU1616" s="156"/>
      <c r="AV1616" s="156"/>
      <c r="AW1616" s="156"/>
      <c r="AX1616" s="156"/>
      <c r="AY1616" s="156"/>
      <c r="AZ1616" s="156"/>
      <c r="BA1616" s="156"/>
      <c r="BB1616" s="2833">
        <f>(BD1616+BD1617)/(BE1616+BE1617)</f>
        <v>3.7209003773880589</v>
      </c>
      <c r="BC1616" s="590" t="str">
        <f t="shared" si="276"/>
        <v>Cooling Res 18 Year EUL</v>
      </c>
      <c r="BD1616" s="2829">
        <f>(INDEX('Avoided Cost Benefits'!$E$4:$E$859,MATCH(BC1616,'Avoided Cost Benefits'!$A$4:$A$859,0)))*F1616</f>
        <v>428.28382863078372</v>
      </c>
      <c r="BE1616" s="858">
        <f t="shared" si="289"/>
        <v>413.40254837187348</v>
      </c>
      <c r="BF1616" s="156"/>
      <c r="BH1616" s="686"/>
    </row>
    <row r="1617" spans="1:60" x14ac:dyDescent="0.35">
      <c r="A1617" s="3493" t="str">
        <f t="shared" si="272"/>
        <v>352951_2019_12_Heating Res</v>
      </c>
      <c r="B1617" s="2812"/>
      <c r="C1617" s="1037" t="str">
        <f>C1616</f>
        <v>352951_2019_12_</v>
      </c>
      <c r="D1617" s="1311" t="s">
        <v>315</v>
      </c>
      <c r="E1617" s="3419" t="s">
        <v>1230</v>
      </c>
      <c r="F1617" s="618">
        <f>ROUND((($K$1981*$K$2174*(1/$K$2367-1/$K$2560)*$K$3525)/1000)*$K$3677,2)</f>
        <v>2489.54</v>
      </c>
      <c r="G1617" s="2810" t="str">
        <f>G1615</f>
        <v>Heating Res</v>
      </c>
      <c r="H1617" s="2720">
        <f>VLOOKUP(G1617,'CP FACTORS'!$A$3:$B$38, 2, FALSE)</f>
        <v>0</v>
      </c>
      <c r="I1617" s="2995">
        <f t="shared" si="273"/>
        <v>0</v>
      </c>
      <c r="J1617" s="124">
        <f t="shared" si="286"/>
        <v>18</v>
      </c>
      <c r="K1617" s="462">
        <f t="shared" si="287"/>
        <v>0</v>
      </c>
      <c r="L1617" s="3496"/>
      <c r="M1617" s="103"/>
      <c r="N1617" s="1317"/>
      <c r="O1617" s="963"/>
      <c r="P1617" s="106"/>
      <c r="Q1617" s="106"/>
      <c r="R1617" s="1214"/>
      <c r="S1617" s="106"/>
      <c r="T1617" s="106"/>
      <c r="U1617" s="1319"/>
      <c r="V1617" s="3436" t="s">
        <v>30</v>
      </c>
      <c r="W1617" s="2914"/>
      <c r="X1617" s="685"/>
      <c r="Y1617" s="618">
        <v>2420.69</v>
      </c>
      <c r="Z1617" s="615">
        <v>2420.69</v>
      </c>
      <c r="AA1617" s="615">
        <v>2420.69</v>
      </c>
      <c r="AB1617" s="3494">
        <v>1468.36</v>
      </c>
      <c r="AC1617" s="2912">
        <v>1468.36</v>
      </c>
      <c r="AD1617" s="618">
        <v>2489.54</v>
      </c>
      <c r="AE1617" s="2914"/>
      <c r="AF1617" s="2914"/>
      <c r="AG1617" s="2914"/>
      <c r="AH1617" s="344"/>
      <c r="AI1617" s="156"/>
      <c r="AJ1617" s="3640"/>
      <c r="AK1617" s="2915"/>
      <c r="AL1617" s="156"/>
      <c r="AM1617" s="3640"/>
      <c r="AN1617" s="3640"/>
      <c r="AO1617" s="156"/>
      <c r="AP1617" s="156"/>
      <c r="AQ1617" s="156"/>
      <c r="AR1617" s="156"/>
      <c r="AS1617" s="156"/>
      <c r="AT1617" s="156"/>
      <c r="AU1617" s="156"/>
      <c r="AV1617" s="156"/>
      <c r="AW1617" s="156"/>
      <c r="AX1617" s="156"/>
      <c r="AY1617" s="156"/>
      <c r="AZ1617" s="156"/>
      <c r="BA1617" s="156"/>
      <c r="BB1617" s="2835"/>
      <c r="BC1617" s="687" t="str">
        <f t="shared" si="276"/>
        <v>Heating Res 18 Year EUL</v>
      </c>
      <c r="BD1617" s="2829">
        <f>(INDEX('Avoided Cost Benefits'!$E$4:$E$859,MATCH(BC1617,'Avoided Cost Benefits'!$A$4:$A$859,0)))*F1617</f>
        <v>1109.9458696193055</v>
      </c>
      <c r="BE1617" s="858">
        <f t="shared" si="289"/>
        <v>0</v>
      </c>
      <c r="BF1617" s="156"/>
      <c r="BH1617" s="686"/>
    </row>
    <row r="1618" spans="1:60" x14ac:dyDescent="0.35">
      <c r="A1618" s="3493" t="str">
        <f t="shared" si="272"/>
        <v>352960_2021_12_Cooling Res</v>
      </c>
      <c r="B1618" s="2812"/>
      <c r="C1618" s="1037" t="s">
        <v>1231</v>
      </c>
      <c r="D1618" s="1311" t="s">
        <v>320</v>
      </c>
      <c r="E1618" s="3420" t="s">
        <v>1232</v>
      </c>
      <c r="F1618" s="618">
        <f>ROUND(((K2754*K2947*(1/K3140-1/K3333)*K3526)/1000)*$K$3677,2)</f>
        <v>338.41</v>
      </c>
      <c r="G1618" s="2810" t="s">
        <v>1091</v>
      </c>
      <c r="H1618" s="2720">
        <f>VLOOKUP(G1618,'CP FACTORS'!$A$3:$B$38, 2, FALSE)</f>
        <v>9.4741810000000004E-4</v>
      </c>
      <c r="I1618" s="2995">
        <f t="shared" si="273"/>
        <v>0.32061600000000001</v>
      </c>
      <c r="J1618" s="124">
        <f t="shared" si="286"/>
        <v>18</v>
      </c>
      <c r="K1618" s="462">
        <f t="shared" si="287"/>
        <v>438</v>
      </c>
      <c r="L1618" s="3496">
        <f>L1982</f>
        <v>2.2333333333333334</v>
      </c>
      <c r="M1618" s="103"/>
      <c r="N1618" s="1317"/>
      <c r="O1618" s="963"/>
      <c r="P1618" s="106"/>
      <c r="Q1618" s="106"/>
      <c r="R1618" s="1214"/>
      <c r="S1618" s="106"/>
      <c r="T1618" s="106"/>
      <c r="U1618" s="1319"/>
      <c r="V1618" s="1590" t="s">
        <v>30</v>
      </c>
      <c r="W1618" s="2914"/>
      <c r="X1618" s="685"/>
      <c r="Y1618" s="618"/>
      <c r="Z1618" s="615"/>
      <c r="AA1618" s="615"/>
      <c r="AB1618" s="3494"/>
      <c r="AC1618" s="618">
        <v>245.36</v>
      </c>
      <c r="AD1618" s="618">
        <v>338.41</v>
      </c>
      <c r="AE1618" s="2914"/>
      <c r="AF1618" s="2914"/>
      <c r="AG1618" s="2914"/>
      <c r="AH1618" s="344"/>
      <c r="AI1618" s="156"/>
      <c r="AJ1618" s="3640"/>
      <c r="AK1618" s="2915"/>
      <c r="AL1618" s="156"/>
      <c r="AM1618" s="3640"/>
      <c r="AN1618" s="3640"/>
      <c r="AO1618" s="156"/>
      <c r="AP1618" s="156"/>
      <c r="AQ1618" s="156"/>
      <c r="AR1618" s="156"/>
      <c r="AS1618" s="156"/>
      <c r="AT1618" s="156"/>
      <c r="AU1618" s="156"/>
      <c r="AV1618" s="156"/>
      <c r="AW1618" s="156"/>
      <c r="AX1618" s="156"/>
      <c r="AY1618" s="156"/>
      <c r="AZ1618" s="156"/>
      <c r="BA1618" s="156"/>
      <c r="BB1618" s="2741">
        <f>(BD1618+BD1619)/(BE1618+BE1619)</f>
        <v>1.4244749239571362</v>
      </c>
      <c r="BC1618" s="3392" t="str">
        <f t="shared" si="276"/>
        <v>Cooling Res 18 Year EUL</v>
      </c>
      <c r="BD1618" s="1841">
        <f>(INDEX('Avoided Cost Benefits'!$E$4:$E$859,MATCH(BC1618,'Avoided Cost Benefits'!$A$4:$A$859,0)))*F1618</f>
        <v>588.88156365571081</v>
      </c>
      <c r="BE1618" s="2507">
        <f t="shared" si="289"/>
        <v>413.40254837187348</v>
      </c>
      <c r="BF1618" s="156"/>
      <c r="BH1618" s="686"/>
    </row>
    <row r="1619" spans="1:60" x14ac:dyDescent="0.35">
      <c r="A1619" s="3493" t="str">
        <f t="shared" si="272"/>
        <v>352960_2021_12_Heating Res</v>
      </c>
      <c r="B1619" s="2812"/>
      <c r="C1619" s="1037" t="s">
        <v>1231</v>
      </c>
      <c r="D1619" s="1311" t="s">
        <v>320</v>
      </c>
      <c r="E1619" s="3419" t="s">
        <v>1232</v>
      </c>
      <c r="F1619" s="615">
        <v>0</v>
      </c>
      <c r="G1619" s="1313" t="s">
        <v>1092</v>
      </c>
      <c r="H1619" s="136">
        <f>VLOOKUP(G1619,'CP FACTORS'!$A$3:$B$38, 2, FALSE)</f>
        <v>0</v>
      </c>
      <c r="I1619" s="3497">
        <f t="shared" si="273"/>
        <v>0</v>
      </c>
      <c r="J1619" s="124">
        <f t="shared" si="286"/>
        <v>18</v>
      </c>
      <c r="K1619" s="462">
        <f t="shared" si="287"/>
        <v>0</v>
      </c>
      <c r="L1619" s="3496"/>
      <c r="M1619" s="103"/>
      <c r="N1619" s="1317"/>
      <c r="O1619" s="963"/>
      <c r="P1619" s="106"/>
      <c r="Q1619" s="106"/>
      <c r="R1619" s="1214"/>
      <c r="S1619" s="106"/>
      <c r="T1619" s="106"/>
      <c r="U1619" s="1319"/>
      <c r="V1619" s="1590" t="s">
        <v>30</v>
      </c>
      <c r="W1619" s="2914"/>
      <c r="X1619" s="685"/>
      <c r="Y1619" s="618"/>
      <c r="Z1619" s="615"/>
      <c r="AA1619" s="615"/>
      <c r="AB1619" s="3494"/>
      <c r="AC1619" s="618">
        <v>0</v>
      </c>
      <c r="AD1619" s="615">
        <v>0</v>
      </c>
      <c r="AE1619" s="2914"/>
      <c r="AF1619" s="2914"/>
      <c r="AG1619" s="2914"/>
      <c r="AH1619" s="344"/>
      <c r="AI1619" s="156"/>
      <c r="AJ1619" s="3640"/>
      <c r="AK1619" s="2915"/>
      <c r="AL1619" s="156"/>
      <c r="AM1619" s="3640"/>
      <c r="AN1619" s="3640"/>
      <c r="AO1619" s="156"/>
      <c r="AP1619" s="156"/>
      <c r="AQ1619" s="156"/>
      <c r="AR1619" s="156"/>
      <c r="AS1619" s="156"/>
      <c r="AT1619" s="156"/>
      <c r="AU1619" s="156"/>
      <c r="AV1619" s="156"/>
      <c r="AW1619" s="156"/>
      <c r="AX1619" s="156"/>
      <c r="AY1619" s="156"/>
      <c r="AZ1619" s="156"/>
      <c r="BA1619" s="156"/>
      <c r="BB1619" s="2835"/>
      <c r="BC1619" s="3393" t="str">
        <f t="shared" si="276"/>
        <v>Heating Res 18 Year EUL</v>
      </c>
      <c r="BD1619" s="1841">
        <f>(INDEX('Avoided Cost Benefits'!$E$4:$E$859,MATCH(BC1619,'Avoided Cost Benefits'!$A$4:$A$859,0)))*F1619</f>
        <v>0</v>
      </c>
      <c r="BE1619" s="2507">
        <f t="shared" si="289"/>
        <v>0</v>
      </c>
      <c r="BF1619" s="156"/>
      <c r="BH1619" s="686"/>
    </row>
    <row r="1620" spans="1:60" x14ac:dyDescent="0.35">
      <c r="A1620" s="3493" t="str">
        <f t="shared" si="272"/>
        <v>352961_2021_12_Cooling Res</v>
      </c>
      <c r="B1620" s="2812"/>
      <c r="C1620" s="1037" t="s">
        <v>1233</v>
      </c>
      <c r="D1620" s="1311" t="s">
        <v>315</v>
      </c>
      <c r="E1620" s="3420" t="s">
        <v>1234</v>
      </c>
      <c r="F1620" s="618">
        <f>ROUND(((K2755*K2948*(1/K3141-1/K3334)*K3527)/1000)*$K$3677,2)</f>
        <v>246.12</v>
      </c>
      <c r="G1620" s="2810" t="s">
        <v>1091</v>
      </c>
      <c r="H1620" s="2720">
        <f>VLOOKUP(G1620,'CP FACTORS'!$A$3:$B$38, 2, FALSE)</f>
        <v>9.4741810000000004E-4</v>
      </c>
      <c r="I1620" s="2995">
        <f t="shared" si="273"/>
        <v>0.233179</v>
      </c>
      <c r="J1620" s="124">
        <f t="shared" si="286"/>
        <v>18</v>
      </c>
      <c r="K1620" s="462">
        <f t="shared" si="287"/>
        <v>438</v>
      </c>
      <c r="L1620" s="3496">
        <f>L1983</f>
        <v>2.2333333333333334</v>
      </c>
      <c r="M1620" s="103"/>
      <c r="N1620" s="1317"/>
      <c r="O1620" s="963"/>
      <c r="P1620" s="106"/>
      <c r="Q1620" s="106"/>
      <c r="R1620" s="1214"/>
      <c r="S1620" s="106"/>
      <c r="T1620" s="106"/>
      <c r="U1620" s="1319"/>
      <c r="V1620" s="1590" t="s">
        <v>30</v>
      </c>
      <c r="W1620" s="2914"/>
      <c r="X1620" s="685"/>
      <c r="Y1620" s="618"/>
      <c r="Z1620" s="615"/>
      <c r="AA1620" s="615"/>
      <c r="AB1620" s="3494"/>
      <c r="AC1620" s="618">
        <v>178.45</v>
      </c>
      <c r="AD1620" s="618">
        <v>246.12</v>
      </c>
      <c r="AE1620" s="2914"/>
      <c r="AF1620" s="2914"/>
      <c r="AG1620" s="2914"/>
      <c r="AH1620" s="344"/>
      <c r="AI1620" s="156"/>
      <c r="AJ1620" s="3640"/>
      <c r="AK1620" s="2915"/>
      <c r="AL1620" s="156"/>
      <c r="AM1620" s="3640"/>
      <c r="AN1620" s="3640"/>
      <c r="AO1620" s="156"/>
      <c r="AP1620" s="156"/>
      <c r="AQ1620" s="156"/>
      <c r="AR1620" s="156"/>
      <c r="AS1620" s="156"/>
      <c r="AT1620" s="156"/>
      <c r="AU1620" s="156"/>
      <c r="AV1620" s="156"/>
      <c r="AW1620" s="156"/>
      <c r="AX1620" s="156"/>
      <c r="AY1620" s="156"/>
      <c r="AZ1620" s="156"/>
      <c r="BA1620" s="156"/>
      <c r="BB1620" s="2741">
        <f>(BD1620+BD1621)/(BE1620+BE1621)</f>
        <v>1.0359970694847382</v>
      </c>
      <c r="BC1620" s="3392" t="str">
        <f t="shared" si="276"/>
        <v>Cooling Res 18 Year EUL</v>
      </c>
      <c r="BD1620" s="1841">
        <f>(INDEX('Avoided Cost Benefits'!$E$4:$E$859,MATCH(BC1620,'Avoided Cost Benefits'!$A$4:$A$859,0)))*F1620</f>
        <v>428.28382863078372</v>
      </c>
      <c r="BE1620" s="2507">
        <f t="shared" si="289"/>
        <v>413.40254837187348</v>
      </c>
      <c r="BF1620" s="156"/>
      <c r="BH1620" s="686"/>
    </row>
    <row r="1621" spans="1:60" x14ac:dyDescent="0.35">
      <c r="A1621" s="3493" t="str">
        <f t="shared" si="272"/>
        <v>352961_2021_12_Heating Res</v>
      </c>
      <c r="B1621" s="2812"/>
      <c r="C1621" s="1037" t="s">
        <v>1233</v>
      </c>
      <c r="D1621" s="1311" t="s">
        <v>315</v>
      </c>
      <c r="E1621" s="3420" t="s">
        <v>1234</v>
      </c>
      <c r="F1621" s="615">
        <f>0</f>
        <v>0</v>
      </c>
      <c r="G1621" s="1313" t="s">
        <v>1092</v>
      </c>
      <c r="H1621" s="136">
        <f>VLOOKUP(G1621,'CP FACTORS'!$A$3:$B$38, 2, FALSE)</f>
        <v>0</v>
      </c>
      <c r="I1621" s="3497">
        <f t="shared" si="273"/>
        <v>0</v>
      </c>
      <c r="J1621" s="124">
        <f t="shared" si="286"/>
        <v>18</v>
      </c>
      <c r="K1621" s="462">
        <f t="shared" si="287"/>
        <v>0</v>
      </c>
      <c r="L1621" s="3496"/>
      <c r="M1621" s="103"/>
      <c r="N1621" s="1317"/>
      <c r="O1621" s="963"/>
      <c r="P1621" s="106"/>
      <c r="Q1621" s="106"/>
      <c r="R1621" s="1214"/>
      <c r="S1621" s="106"/>
      <c r="T1621" s="106"/>
      <c r="U1621" s="1319"/>
      <c r="V1621" s="1590" t="s">
        <v>30</v>
      </c>
      <c r="W1621" s="2914"/>
      <c r="X1621" s="685"/>
      <c r="Y1621" s="618"/>
      <c r="Z1621" s="615"/>
      <c r="AA1621" s="615"/>
      <c r="AB1621" s="3494"/>
      <c r="AC1621" s="618">
        <v>0</v>
      </c>
      <c r="AD1621" s="615">
        <v>0</v>
      </c>
      <c r="AE1621" s="2914"/>
      <c r="AF1621" s="2914"/>
      <c r="AG1621" s="2914"/>
      <c r="AH1621" s="344"/>
      <c r="AI1621" s="156"/>
      <c r="AJ1621" s="3640"/>
      <c r="AK1621" s="2915"/>
      <c r="AL1621" s="156"/>
      <c r="AM1621" s="3640"/>
      <c r="AN1621" s="3640"/>
      <c r="AO1621" s="156"/>
      <c r="AP1621" s="156"/>
      <c r="AQ1621" s="156"/>
      <c r="AR1621" s="156"/>
      <c r="AS1621" s="156"/>
      <c r="AT1621" s="156"/>
      <c r="AU1621" s="156"/>
      <c r="AV1621" s="156"/>
      <c r="AW1621" s="156"/>
      <c r="AX1621" s="156"/>
      <c r="AY1621" s="156"/>
      <c r="AZ1621" s="156"/>
      <c r="BA1621" s="156"/>
      <c r="BB1621" s="2835"/>
      <c r="BC1621" s="3392" t="str">
        <f t="shared" si="276"/>
        <v>Heating Res 18 Year EUL</v>
      </c>
      <c r="BD1621" s="1841">
        <f>(INDEX('Avoided Cost Benefits'!$E$4:$E$859,MATCH(BC1621,'Avoided Cost Benefits'!$A$4:$A$859,0)))*F1621</f>
        <v>0</v>
      </c>
      <c r="BE1621" s="2507">
        <f t="shared" si="289"/>
        <v>0</v>
      </c>
      <c r="BF1621" s="156"/>
      <c r="BH1621" s="686"/>
    </row>
    <row r="1622" spans="1:60" x14ac:dyDescent="0.35">
      <c r="A1622" s="3493" t="str">
        <f t="shared" si="272"/>
        <v>353000_2021_12_Cooling Res</v>
      </c>
      <c r="B1622" s="2812"/>
      <c r="C1622" s="1037" t="s">
        <v>1236</v>
      </c>
      <c r="D1622" s="1311" t="s">
        <v>320</v>
      </c>
      <c r="E1622" s="3418" t="s">
        <v>1237</v>
      </c>
      <c r="F1622" s="618">
        <f>ROUND(((K2756*K2949*(1/K3142-1/K3335)*K3528)/1000)*$K$3677,2)</f>
        <v>2088.29</v>
      </c>
      <c r="G1622" s="2810" t="s">
        <v>1091</v>
      </c>
      <c r="H1622" s="2720">
        <f>VLOOKUP(G1622,'CP FACTORS'!$A$3:$B$38, 2, FALSE)</f>
        <v>9.4741810000000004E-4</v>
      </c>
      <c r="I1622" s="2995">
        <f t="shared" si="273"/>
        <v>1.9784839999999999</v>
      </c>
      <c r="J1622" s="124">
        <f t="shared" si="286"/>
        <v>6</v>
      </c>
      <c r="K1622" s="462">
        <f t="shared" si="287"/>
        <v>1116.318054649741</v>
      </c>
      <c r="L1622" s="3496">
        <f>L1984</f>
        <v>2.8388888888888886</v>
      </c>
      <c r="M1622" s="103"/>
      <c r="N1622" s="1317"/>
      <c r="O1622" s="963"/>
      <c r="P1622" s="106"/>
      <c r="Q1622" s="106"/>
      <c r="R1622" s="1214"/>
      <c r="S1622" s="106"/>
      <c r="T1622" s="106"/>
      <c r="U1622" s="1319"/>
      <c r="V1622" s="3436" t="s">
        <v>30</v>
      </c>
      <c r="W1622" s="2914">
        <v>1776.7855147058826</v>
      </c>
      <c r="X1622" s="685">
        <v>1209.2231497599041</v>
      </c>
      <c r="Y1622" s="615">
        <v>1209.22</v>
      </c>
      <c r="Z1622" s="615">
        <v>1209.22</v>
      </c>
      <c r="AA1622" s="615">
        <v>1209.22</v>
      </c>
      <c r="AB1622" s="3494">
        <v>1329.6</v>
      </c>
      <c r="AC1622" s="618">
        <v>1169.45</v>
      </c>
      <c r="AD1622" s="618">
        <v>2088.29</v>
      </c>
      <c r="AE1622" s="2914"/>
      <c r="AF1622" s="2914"/>
      <c r="AG1622" s="2914"/>
      <c r="AH1622" s="344"/>
      <c r="AI1622" s="156"/>
      <c r="AJ1622" s="3640"/>
      <c r="AK1622" s="2915"/>
      <c r="AL1622" s="156"/>
      <c r="AM1622" s="3640"/>
      <c r="AN1622" s="3640"/>
      <c r="AO1622" s="156"/>
      <c r="AP1622" s="156"/>
      <c r="AQ1622" s="156"/>
      <c r="AR1622" s="156"/>
      <c r="AS1622" s="156"/>
      <c r="AT1622" s="156"/>
      <c r="AU1622" s="156"/>
      <c r="AV1622" s="156"/>
      <c r="AW1622" s="156"/>
      <c r="AX1622" s="156"/>
      <c r="AY1622" s="156"/>
      <c r="AZ1622" s="156"/>
      <c r="BA1622" s="156"/>
      <c r="BB1622" s="2833">
        <f>(BD1622+BD1623+BD1624+BD1625)/(BE1622+BE1623+BE1624+BE1625)</f>
        <v>5.7529699115478596</v>
      </c>
      <c r="BC1622" s="2348" t="str">
        <f t="shared" si="276"/>
        <v>Cooling Res 6 Year EUL</v>
      </c>
      <c r="BD1622" s="2829">
        <f>(INDEX('Avoided Cost Benefits'!$E$4:$E$859,MATCH(BC1622,'Avoided Cost Benefits'!$A$4:$A$859,0)))*F1622</f>
        <v>1323.1655811628193</v>
      </c>
      <c r="BE1622" s="858">
        <f t="shared" si="289"/>
        <v>1053.6272342140076</v>
      </c>
      <c r="BF1622" s="156"/>
      <c r="BH1622" s="686"/>
    </row>
    <row r="1623" spans="1:60" x14ac:dyDescent="0.35">
      <c r="A1623" s="3493" t="str">
        <f t="shared" si="272"/>
        <v>353000_2021_12_Heating Res</v>
      </c>
      <c r="B1623" s="2812"/>
      <c r="C1623" s="1037" t="s">
        <v>1236</v>
      </c>
      <c r="D1623" s="1311" t="s">
        <v>320</v>
      </c>
      <c r="E1623" s="3420" t="s">
        <v>1237</v>
      </c>
      <c r="F1623" s="618">
        <f>ROUND(((K1984*K2177*(1/K2370-1/K2563)*K3528)/1000)*$K$3677,2)</f>
        <v>9445.69</v>
      </c>
      <c r="G1623" s="2810" t="s">
        <v>1092</v>
      </c>
      <c r="H1623" s="2720">
        <f>VLOOKUP(G1623,'CP FACTORS'!$A$3:$B$38, 2, FALSE)</f>
        <v>0</v>
      </c>
      <c r="I1623" s="2995">
        <f t="shared" si="273"/>
        <v>0</v>
      </c>
      <c r="J1623" s="124">
        <f t="shared" si="286"/>
        <v>6</v>
      </c>
      <c r="K1623" s="462">
        <f t="shared" si="287"/>
        <v>0</v>
      </c>
      <c r="L1623" s="3496"/>
      <c r="M1623" s="103"/>
      <c r="N1623" s="1317"/>
      <c r="O1623" s="963"/>
      <c r="P1623" s="106"/>
      <c r="Q1623" s="106"/>
      <c r="R1623" s="1214"/>
      <c r="S1623" s="106"/>
      <c r="T1623" s="106"/>
      <c r="U1623" s="1319"/>
      <c r="V1623" s="3436" t="s">
        <v>30</v>
      </c>
      <c r="W1623" s="2914">
        <v>9077.8044487427451</v>
      </c>
      <c r="X1623" s="685">
        <v>6759.7787234042544</v>
      </c>
      <c r="Y1623" s="615">
        <v>6759.78</v>
      </c>
      <c r="Z1623" s="615">
        <v>6759.78</v>
      </c>
      <c r="AA1623" s="615">
        <v>6759.78</v>
      </c>
      <c r="AB1623" s="3494">
        <v>6102.76</v>
      </c>
      <c r="AC1623" s="618">
        <v>4250.8</v>
      </c>
      <c r="AD1623" s="618">
        <v>9445.69</v>
      </c>
      <c r="AE1623" s="2914"/>
      <c r="AF1623" s="2914"/>
      <c r="AG1623" s="2914"/>
      <c r="AH1623" s="344"/>
      <c r="AI1623" s="156"/>
      <c r="AJ1623" s="3640"/>
      <c r="AK1623" s="2915"/>
      <c r="AL1623" s="156"/>
      <c r="AM1623" s="3640"/>
      <c r="AN1623" s="3640"/>
      <c r="AO1623" s="156"/>
      <c r="AP1623" s="156"/>
      <c r="AQ1623" s="156"/>
      <c r="AR1623" s="156"/>
      <c r="AS1623" s="156"/>
      <c r="AT1623" s="156"/>
      <c r="AU1623" s="156"/>
      <c r="AV1623" s="156"/>
      <c r="AW1623" s="156"/>
      <c r="AX1623" s="156"/>
      <c r="AY1623" s="156"/>
      <c r="AZ1623" s="156"/>
      <c r="BA1623" s="156"/>
      <c r="BB1623" s="2905"/>
      <c r="BC1623" s="2357" t="str">
        <f t="shared" si="276"/>
        <v>Heating Res 6 Year EUL</v>
      </c>
      <c r="BD1623" s="2829">
        <f>(INDEX('Avoided Cost Benefits'!$E$4:$E$859,MATCH(BC1623,'Avoided Cost Benefits'!$A$4:$A$859,0)))*F1623</f>
        <v>1539.0919537088757</v>
      </c>
      <c r="BE1623" s="858">
        <f t="shared" si="289"/>
        <v>0</v>
      </c>
      <c r="BF1623" s="156"/>
      <c r="BH1623" s="686"/>
    </row>
    <row r="1624" spans="1:60" x14ac:dyDescent="0.35">
      <c r="A1624" s="3493" t="str">
        <f t="shared" si="272"/>
        <v>353000_2021_12_Cooling Res ER2</v>
      </c>
      <c r="B1624" s="2812"/>
      <c r="C1624" s="1037" t="s">
        <v>1236</v>
      </c>
      <c r="D1624" s="1311" t="s">
        <v>320</v>
      </c>
      <c r="E1624" s="3420" t="s">
        <v>1238</v>
      </c>
      <c r="F1624" s="618">
        <f>ROUND(((K2757*K2950*(1/K3143-1/K3336)*K3529)/1000)*$K$3677,2)</f>
        <v>476.28</v>
      </c>
      <c r="G1624" s="2810" t="s">
        <v>1133</v>
      </c>
      <c r="H1624" s="2720">
        <f>VLOOKUP(G1624,'CP FACTORS'!$A$3:$B$38, 2, FALSE)</f>
        <v>9.4741810000000004E-4</v>
      </c>
      <c r="I1624" s="2995">
        <f t="shared" si="273"/>
        <v>0.45123600000000003</v>
      </c>
      <c r="J1624" s="124">
        <f t="shared" si="286"/>
        <v>12</v>
      </c>
      <c r="K1624" s="462">
        <f t="shared" si="287"/>
        <v>0</v>
      </c>
      <c r="L1624" s="3496"/>
      <c r="M1624" s="103"/>
      <c r="N1624" s="1317"/>
      <c r="O1624" s="963"/>
      <c r="P1624" s="106"/>
      <c r="Q1624" s="106"/>
      <c r="R1624" s="1214"/>
      <c r="S1624" s="106"/>
      <c r="T1624" s="106"/>
      <c r="U1624" s="1319"/>
      <c r="V1624" s="3436" t="s">
        <v>30</v>
      </c>
      <c r="W1624" s="2914">
        <v>303.06375000000014</v>
      </c>
      <c r="X1624" s="688">
        <v>303.06375000000014</v>
      </c>
      <c r="Y1624" s="615">
        <v>303.06</v>
      </c>
      <c r="Z1624" s="615">
        <v>303.06</v>
      </c>
      <c r="AA1624" s="615">
        <v>303.06</v>
      </c>
      <c r="AB1624" s="3494">
        <v>364.98</v>
      </c>
      <c r="AC1624" s="618">
        <v>195.53</v>
      </c>
      <c r="AD1624" s="618">
        <v>476.28</v>
      </c>
      <c r="AE1624" s="2914"/>
      <c r="AF1624" s="2914"/>
      <c r="AG1624" s="2914"/>
      <c r="AH1624" s="344"/>
      <c r="AI1624" s="156"/>
      <c r="AJ1624" s="3640"/>
      <c r="AK1624" s="2915"/>
      <c r="AL1624" s="156"/>
      <c r="AM1624" s="3640"/>
      <c r="AN1624" s="3640"/>
      <c r="AO1624" s="156"/>
      <c r="AP1624" s="156"/>
      <c r="AQ1624" s="156"/>
      <c r="AR1624" s="156"/>
      <c r="AS1624" s="156"/>
      <c r="AT1624" s="156"/>
      <c r="AU1624" s="156"/>
      <c r="AV1624" s="156"/>
      <c r="AW1624" s="156"/>
      <c r="AX1624" s="156"/>
      <c r="AY1624" s="156"/>
      <c r="AZ1624" s="156"/>
      <c r="BA1624" s="156"/>
      <c r="BB1624" s="2905"/>
      <c r="BC1624" s="2357" t="str">
        <f t="shared" si="276"/>
        <v>Cooling Res ER2 12 Year EUL</v>
      </c>
      <c r="BD1624" s="2829">
        <f>(INDEX('Avoided Cost Benefits'!$E$4:$E$859,MATCH(BC1624,'Avoided Cost Benefits'!$A$4:$A$859,0)))*F1624</f>
        <v>527.01826751030922</v>
      </c>
      <c r="BE1624" s="858">
        <f t="shared" si="289"/>
        <v>0</v>
      </c>
      <c r="BF1624" s="156"/>
      <c r="BH1624" s="686"/>
    </row>
    <row r="1625" spans="1:60" x14ac:dyDescent="0.35">
      <c r="A1625" s="3493" t="str">
        <f t="shared" si="272"/>
        <v>353000_2021_12_Heating Res ER2</v>
      </c>
      <c r="B1625" s="2812"/>
      <c r="C1625" s="1037" t="s">
        <v>1236</v>
      </c>
      <c r="D1625" s="1311" t="s">
        <v>320</v>
      </c>
      <c r="E1625" s="3419" t="s">
        <v>1238</v>
      </c>
      <c r="F1625" s="618">
        <f>ROUND(((K1985*K2178*(1/K2371-1/K2564)*K3529)/1000)*$K$3677,2)</f>
        <v>9445.69</v>
      </c>
      <c r="G1625" s="2810" t="s">
        <v>1150</v>
      </c>
      <c r="H1625" s="2720">
        <f>VLOOKUP(G1625,'CP FACTORS'!$A$3:$B$38, 2, FALSE)</f>
        <v>0</v>
      </c>
      <c r="I1625" s="2995">
        <f t="shared" si="273"/>
        <v>0</v>
      </c>
      <c r="J1625" s="124">
        <f t="shared" si="286"/>
        <v>12</v>
      </c>
      <c r="K1625" s="462">
        <f t="shared" si="287"/>
        <v>0</v>
      </c>
      <c r="L1625" s="3496"/>
      <c r="M1625" s="103"/>
      <c r="N1625" s="1317"/>
      <c r="O1625" s="963"/>
      <c r="P1625" s="106"/>
      <c r="Q1625" s="106"/>
      <c r="R1625" s="1214"/>
      <c r="S1625" s="106"/>
      <c r="T1625" s="106"/>
      <c r="U1625" s="1319"/>
      <c r="V1625" s="3436" t="s">
        <v>30</v>
      </c>
      <c r="W1625" s="2914">
        <v>9077.8044487427451</v>
      </c>
      <c r="X1625" s="685">
        <v>6759.7787234042544</v>
      </c>
      <c r="Y1625" s="615">
        <v>6759.78</v>
      </c>
      <c r="Z1625" s="615">
        <v>6759.78</v>
      </c>
      <c r="AA1625" s="615">
        <v>6759.78</v>
      </c>
      <c r="AB1625" s="3494">
        <v>6102.76</v>
      </c>
      <c r="AC1625" s="618">
        <v>4250.8</v>
      </c>
      <c r="AD1625" s="618">
        <v>9445.69</v>
      </c>
      <c r="AE1625" s="2914"/>
      <c r="AF1625" s="2914"/>
      <c r="AG1625" s="2914"/>
      <c r="AH1625" s="344"/>
      <c r="AI1625" s="156"/>
      <c r="AJ1625" s="3640"/>
      <c r="AK1625" s="2915"/>
      <c r="AL1625" s="156"/>
      <c r="AM1625" s="3640"/>
      <c r="AN1625" s="3640"/>
      <c r="AO1625" s="156"/>
      <c r="AP1625" s="156"/>
      <c r="AQ1625" s="156"/>
      <c r="AR1625" s="156"/>
      <c r="AS1625" s="156"/>
      <c r="AT1625" s="156"/>
      <c r="AU1625" s="156"/>
      <c r="AV1625" s="156"/>
      <c r="AW1625" s="156"/>
      <c r="AX1625" s="156"/>
      <c r="AY1625" s="156"/>
      <c r="AZ1625" s="156"/>
      <c r="BA1625" s="156"/>
      <c r="BB1625" s="2905"/>
      <c r="BC1625" s="2349" t="str">
        <f t="shared" si="276"/>
        <v>Heating Res ER2 12 Year EUL</v>
      </c>
      <c r="BD1625" s="2829">
        <f>(INDEX('Avoided Cost Benefits'!$E$4:$E$859,MATCH(BC1625,'Avoided Cost Benefits'!$A$4:$A$859,0)))*F1625</f>
        <v>2672.2099740385706</v>
      </c>
      <c r="BE1625" s="858">
        <f t="shared" si="289"/>
        <v>0</v>
      </c>
      <c r="BF1625" s="156"/>
      <c r="BH1625" s="686"/>
    </row>
    <row r="1626" spans="1:60" x14ac:dyDescent="0.35">
      <c r="A1626" s="3493" t="str">
        <f t="shared" ref="A1626:A1697" si="290">C1626&amp;G1626</f>
        <v>353001_2021_12_Cooling Res</v>
      </c>
      <c r="B1626" s="2812"/>
      <c r="C1626" s="1037" t="s">
        <v>1240</v>
      </c>
      <c r="D1626" s="1311" t="s">
        <v>315</v>
      </c>
      <c r="E1626" s="3418" t="s">
        <v>1241</v>
      </c>
      <c r="F1626" s="618">
        <f>ROUND((($K$2758*$K$2951*(1/$K$3144-1/$K$3337)*$K$3530)/1000)*$K$3677,2)</f>
        <v>987.19</v>
      </c>
      <c r="G1626" s="2810" t="str">
        <f>G1622</f>
        <v>Cooling Res</v>
      </c>
      <c r="H1626" s="2720">
        <f>VLOOKUP(G1626,'CP FACTORS'!$A$3:$B$38, 2, FALSE)</f>
        <v>9.4741810000000004E-4</v>
      </c>
      <c r="I1626" s="2995">
        <f t="shared" ref="I1626:I1697" si="291">ROUND(F1626*H1626,6)</f>
        <v>0.93528199999999995</v>
      </c>
      <c r="J1626" s="124">
        <f t="shared" si="286"/>
        <v>6</v>
      </c>
      <c r="K1626" s="462">
        <f t="shared" si="287"/>
        <v>878.90673552233147</v>
      </c>
      <c r="L1626" s="3496">
        <f>L1986</f>
        <v>2.8388888888888886</v>
      </c>
      <c r="M1626" s="103"/>
      <c r="N1626" s="1317"/>
      <c r="O1626" s="963"/>
      <c r="P1626" s="106"/>
      <c r="Q1626" s="106"/>
      <c r="R1626" s="1214"/>
      <c r="S1626" s="106"/>
      <c r="T1626" s="106"/>
      <c r="U1626" s="1319"/>
      <c r="V1626" s="3436" t="s">
        <v>30</v>
      </c>
      <c r="W1626" s="2914"/>
      <c r="X1626" s="685"/>
      <c r="Y1626" s="618">
        <v>879.44</v>
      </c>
      <c r="Z1626" s="615">
        <v>879.44</v>
      </c>
      <c r="AA1626" s="615">
        <v>879.44</v>
      </c>
      <c r="AB1626" s="3494">
        <v>966.98</v>
      </c>
      <c r="AC1626" s="618">
        <v>567.38</v>
      </c>
      <c r="AD1626" s="618">
        <v>987.19</v>
      </c>
      <c r="AE1626" s="2914"/>
      <c r="AF1626" s="2914"/>
      <c r="AG1626" s="2914"/>
      <c r="AH1626" s="344"/>
      <c r="AI1626" s="156"/>
      <c r="AJ1626" s="3640"/>
      <c r="AK1626" s="2915"/>
      <c r="AL1626" s="156"/>
      <c r="AM1626" s="3640"/>
      <c r="AN1626" s="3640"/>
      <c r="AO1626" s="156"/>
      <c r="AP1626" s="156"/>
      <c r="AQ1626" s="156"/>
      <c r="AR1626" s="156"/>
      <c r="AS1626" s="156"/>
      <c r="AT1626" s="156"/>
      <c r="AU1626" s="156"/>
      <c r="AV1626" s="156"/>
      <c r="AW1626" s="156"/>
      <c r="AX1626" s="156"/>
      <c r="AY1626" s="156"/>
      <c r="AZ1626" s="156"/>
      <c r="BA1626" s="156"/>
      <c r="BB1626" s="2833">
        <f>(BD1626+BD1627+BD1628+BD1629)/(BE1626+BE1627+BE1628+BE1629)</f>
        <v>2.1792784538758507</v>
      </c>
      <c r="BC1626" s="2348" t="str">
        <f t="shared" ref="BC1626:BC1697" si="292">CONCATENATE(G1626," ",J1626," Year EUL")</f>
        <v>Cooling Res 6 Year EUL</v>
      </c>
      <c r="BD1626" s="2829">
        <f>(INDEX('Avoided Cost Benefits'!$E$4:$E$859,MATCH(BC1626,'Avoided Cost Benefits'!$A$4:$A$859,0)))*F1626</f>
        <v>625.49541973007763</v>
      </c>
      <c r="BE1626" s="858">
        <f t="shared" si="289"/>
        <v>829.54859416926035</v>
      </c>
      <c r="BF1626" s="156"/>
      <c r="BH1626" s="686"/>
    </row>
    <row r="1627" spans="1:60" x14ac:dyDescent="0.35">
      <c r="A1627" s="3493" t="str">
        <f t="shared" si="290"/>
        <v>353001_2021_12_Heating Res</v>
      </c>
      <c r="B1627" s="2812"/>
      <c r="C1627" s="1037" t="str">
        <f>C1626</f>
        <v>353001_2021_12_</v>
      </c>
      <c r="D1627" s="1311" t="s">
        <v>315</v>
      </c>
      <c r="E1627" s="3420" t="s">
        <v>1241</v>
      </c>
      <c r="F1627" s="618">
        <f>ROUND((($K$1986*$K$2179*(1/$K$2372-1/$K$2565)*$K$3530)/1000)*$K$3677,2)</f>
        <v>2093.08</v>
      </c>
      <c r="G1627" s="2810" t="str">
        <f>G1623</f>
        <v>Heating Res</v>
      </c>
      <c r="H1627" s="2720">
        <f>VLOOKUP(G1627,'CP FACTORS'!$A$3:$B$38, 2, FALSE)</f>
        <v>0</v>
      </c>
      <c r="I1627" s="2995">
        <f t="shared" si="291"/>
        <v>0</v>
      </c>
      <c r="J1627" s="124">
        <f t="shared" si="286"/>
        <v>6</v>
      </c>
      <c r="K1627" s="462">
        <f t="shared" si="287"/>
        <v>0</v>
      </c>
      <c r="L1627" s="3496"/>
      <c r="M1627" s="103"/>
      <c r="N1627" s="1317"/>
      <c r="O1627" s="963"/>
      <c r="P1627" s="106"/>
      <c r="Q1627" s="106"/>
      <c r="R1627" s="1214"/>
      <c r="S1627" s="106"/>
      <c r="T1627" s="106"/>
      <c r="U1627" s="1319"/>
      <c r="V1627" s="3436" t="s">
        <v>30</v>
      </c>
      <c r="W1627" s="2914"/>
      <c r="X1627" s="685"/>
      <c r="Y1627" s="618">
        <v>2304.4699999999998</v>
      </c>
      <c r="Z1627" s="615">
        <v>2304.4699999999998</v>
      </c>
      <c r="AA1627" s="615">
        <v>2304.4699999999998</v>
      </c>
      <c r="AB1627" s="3494">
        <v>2080.4899999999998</v>
      </c>
      <c r="AC1627" s="618">
        <v>1449.14</v>
      </c>
      <c r="AD1627" s="618">
        <v>2093.08</v>
      </c>
      <c r="AE1627" s="2914"/>
      <c r="AF1627" s="2914"/>
      <c r="AG1627" s="2914"/>
      <c r="AH1627" s="344"/>
      <c r="AI1627" s="156"/>
      <c r="AJ1627" s="3640"/>
      <c r="AK1627" s="2915"/>
      <c r="AL1627" s="156"/>
      <c r="AM1627" s="3640"/>
      <c r="AN1627" s="3640"/>
      <c r="AO1627" s="156"/>
      <c r="AP1627" s="156"/>
      <c r="AQ1627" s="156"/>
      <c r="AR1627" s="156"/>
      <c r="AS1627" s="156"/>
      <c r="AT1627" s="156"/>
      <c r="AU1627" s="156"/>
      <c r="AV1627" s="156"/>
      <c r="AW1627" s="156"/>
      <c r="AX1627" s="156"/>
      <c r="AY1627" s="156"/>
      <c r="AZ1627" s="156"/>
      <c r="BA1627" s="156"/>
      <c r="BB1627" s="2905"/>
      <c r="BC1627" s="2357" t="str">
        <f t="shared" si="292"/>
        <v>Heating Res 6 Year EUL</v>
      </c>
      <c r="BD1627" s="2829">
        <f>(INDEX('Avoided Cost Benefits'!$E$4:$E$859,MATCH(BC1627,'Avoided Cost Benefits'!$A$4:$A$859,0)))*F1627</f>
        <v>341.04894258322827</v>
      </c>
      <c r="BE1627" s="858">
        <f t="shared" si="289"/>
        <v>0</v>
      </c>
      <c r="BF1627" s="156"/>
      <c r="BH1627" s="686"/>
    </row>
    <row r="1628" spans="1:60" x14ac:dyDescent="0.35">
      <c r="A1628" s="3493" t="str">
        <f t="shared" si="290"/>
        <v>353001_2021_12_Cooling Res ER2</v>
      </c>
      <c r="B1628" s="2812"/>
      <c r="C1628" s="1037" t="str">
        <f>C1627</f>
        <v>353001_2021_12_</v>
      </c>
      <c r="D1628" s="1311" t="s">
        <v>315</v>
      </c>
      <c r="E1628" s="3420" t="s">
        <v>1242</v>
      </c>
      <c r="F1628" s="618">
        <f>ROUND((($K$2759*$K$2952*(1/$K$3145-1/$K$3338)*$K$3531)/1000)*$K$3677,2)</f>
        <v>225.15</v>
      </c>
      <c r="G1628" s="2810" t="str">
        <f>G1624</f>
        <v>Cooling Res ER2</v>
      </c>
      <c r="H1628" s="2720">
        <f>VLOOKUP(G1628,'CP FACTORS'!$A$3:$B$38, 2, FALSE)</f>
        <v>9.4741810000000004E-4</v>
      </c>
      <c r="I1628" s="2995">
        <f t="shared" si="291"/>
        <v>0.213311</v>
      </c>
      <c r="J1628" s="124">
        <f t="shared" si="286"/>
        <v>12</v>
      </c>
      <c r="K1628" s="462">
        <f t="shared" si="287"/>
        <v>0</v>
      </c>
      <c r="L1628" s="3496"/>
      <c r="M1628" s="103"/>
      <c r="N1628" s="1317"/>
      <c r="O1628" s="963"/>
      <c r="P1628" s="106"/>
      <c r="Q1628" s="106"/>
      <c r="R1628" s="1214"/>
      <c r="S1628" s="106"/>
      <c r="T1628" s="106"/>
      <c r="U1628" s="1319"/>
      <c r="V1628" s="3436" t="s">
        <v>30</v>
      </c>
      <c r="W1628" s="2914"/>
      <c r="X1628" s="685"/>
      <c r="Y1628" s="618">
        <v>220.41</v>
      </c>
      <c r="Z1628" s="615">
        <v>220.41</v>
      </c>
      <c r="AA1628" s="615">
        <v>220.41</v>
      </c>
      <c r="AB1628" s="3494">
        <v>265.44</v>
      </c>
      <c r="AC1628" s="618">
        <v>142.19999999999999</v>
      </c>
      <c r="AD1628" s="618">
        <v>225.15</v>
      </c>
      <c r="AE1628" s="2914"/>
      <c r="AF1628" s="2914"/>
      <c r="AG1628" s="2914"/>
      <c r="AH1628" s="344"/>
      <c r="AI1628" s="156"/>
      <c r="AJ1628" s="3640"/>
      <c r="AK1628" s="2915"/>
      <c r="AL1628" s="156"/>
      <c r="AM1628" s="3640"/>
      <c r="AN1628" s="3640"/>
      <c r="AO1628" s="156"/>
      <c r="AP1628" s="156"/>
      <c r="AQ1628" s="156"/>
      <c r="AR1628" s="156"/>
      <c r="AS1628" s="156"/>
      <c r="AT1628" s="156"/>
      <c r="AU1628" s="156"/>
      <c r="AV1628" s="156"/>
      <c r="AW1628" s="156"/>
      <c r="AX1628" s="156"/>
      <c r="AY1628" s="156"/>
      <c r="AZ1628" s="156"/>
      <c r="BA1628" s="156"/>
      <c r="BB1628" s="2905"/>
      <c r="BC1628" s="2357" t="str">
        <f t="shared" si="292"/>
        <v>Cooling Res ER2 12 Year EUL</v>
      </c>
      <c r="BD1628" s="2829">
        <f>(INDEX('Avoided Cost Benefits'!$E$4:$E$859,MATCH(BC1628,'Avoided Cost Benefits'!$A$4:$A$859,0)))*F1628</f>
        <v>249.13530471560031</v>
      </c>
      <c r="BE1628" s="858">
        <f t="shared" si="289"/>
        <v>0</v>
      </c>
      <c r="BF1628" s="156"/>
      <c r="BH1628" s="686"/>
    </row>
    <row r="1629" spans="1:60" x14ac:dyDescent="0.35">
      <c r="A1629" s="3493" t="str">
        <f t="shared" si="290"/>
        <v>353001_2021_12_Heating Res ER2</v>
      </c>
      <c r="B1629" s="2812"/>
      <c r="C1629" s="1037" t="str">
        <f>C1628</f>
        <v>353001_2021_12_</v>
      </c>
      <c r="D1629" s="1311" t="s">
        <v>315</v>
      </c>
      <c r="E1629" s="3419" t="s">
        <v>1242</v>
      </c>
      <c r="F1629" s="618">
        <f>ROUND((($K$1987*$K$2180*(1/$K$2373-1/$K$2566)*$K$3531)/1000)*$K$3677,2)</f>
        <v>2093.08</v>
      </c>
      <c r="G1629" s="2810" t="str">
        <f>G1625</f>
        <v>Heating Res ER2</v>
      </c>
      <c r="H1629" s="2720">
        <f>VLOOKUP(G1629,'CP FACTORS'!$A$3:$B$38, 2, FALSE)</f>
        <v>0</v>
      </c>
      <c r="I1629" s="2995">
        <f t="shared" si="291"/>
        <v>0</v>
      </c>
      <c r="J1629" s="124">
        <f t="shared" si="286"/>
        <v>12</v>
      </c>
      <c r="K1629" s="462">
        <f t="shared" si="287"/>
        <v>0</v>
      </c>
      <c r="L1629" s="3496"/>
      <c r="M1629" s="103"/>
      <c r="N1629" s="1317"/>
      <c r="O1629" s="963"/>
      <c r="P1629" s="106"/>
      <c r="Q1629" s="106"/>
      <c r="R1629" s="1214"/>
      <c r="S1629" s="106"/>
      <c r="T1629" s="106"/>
      <c r="U1629" s="1319"/>
      <c r="V1629" s="3436" t="s">
        <v>30</v>
      </c>
      <c r="W1629" s="2914"/>
      <c r="X1629" s="685"/>
      <c r="Y1629" s="618">
        <v>2304.4699999999998</v>
      </c>
      <c r="Z1629" s="615">
        <v>2304.4699999999998</v>
      </c>
      <c r="AA1629" s="615">
        <v>2304.4699999999998</v>
      </c>
      <c r="AB1629" s="3494">
        <v>2080.4899999999998</v>
      </c>
      <c r="AC1629" s="618">
        <v>1449.14</v>
      </c>
      <c r="AD1629" s="618">
        <v>2093.08</v>
      </c>
      <c r="AE1629" s="2914"/>
      <c r="AF1629" s="2914"/>
      <c r="AG1629" s="2914"/>
      <c r="AH1629" s="344"/>
      <c r="AI1629" s="156"/>
      <c r="AJ1629" s="3640"/>
      <c r="AK1629" s="2915"/>
      <c r="AL1629" s="156"/>
      <c r="AM1629" s="3640"/>
      <c r="AN1629" s="3640"/>
      <c r="AO1629" s="156"/>
      <c r="AP1629" s="156"/>
      <c r="AQ1629" s="156"/>
      <c r="AR1629" s="156"/>
      <c r="AS1629" s="156"/>
      <c r="AT1629" s="156"/>
      <c r="AU1629" s="156"/>
      <c r="AV1629" s="156"/>
      <c r="AW1629" s="156"/>
      <c r="AX1629" s="156"/>
      <c r="AY1629" s="156"/>
      <c r="AZ1629" s="156"/>
      <c r="BA1629" s="156"/>
      <c r="BB1629" s="2905"/>
      <c r="BC1629" s="2349" t="str">
        <f t="shared" si="292"/>
        <v>Heating Res ER2 12 Year EUL</v>
      </c>
      <c r="BD1629" s="2829">
        <f>(INDEX('Avoided Cost Benefits'!$E$4:$E$859,MATCH(BC1629,'Avoided Cost Benefits'!$A$4:$A$859,0)))*F1629</f>
        <v>592.1377106871654</v>
      </c>
      <c r="BE1629" s="858">
        <f t="shared" si="289"/>
        <v>0</v>
      </c>
      <c r="BF1629" s="156"/>
      <c r="BH1629" s="686"/>
    </row>
    <row r="1630" spans="1:60" x14ac:dyDescent="0.35">
      <c r="A1630" s="3493" t="str">
        <f t="shared" si="290"/>
        <v>353010_2021_12_Cooling Res</v>
      </c>
      <c r="B1630" s="2812"/>
      <c r="C1630" s="1037" t="s">
        <v>1243</v>
      </c>
      <c r="D1630" s="1311" t="s">
        <v>320</v>
      </c>
      <c r="E1630" s="3420" t="s">
        <v>1244</v>
      </c>
      <c r="F1630" s="618">
        <f>ROUND(((K2760*K2953*(1/K3146-1/K3339)*K3532)/1000)*$K$3677,2)</f>
        <v>1357.39</v>
      </c>
      <c r="G1630" s="2810" t="s">
        <v>1091</v>
      </c>
      <c r="H1630" s="2720">
        <f>VLOOKUP(G1630,'CP FACTORS'!$A$3:$B$38, 2, FALSE)</f>
        <v>9.4741810000000004E-4</v>
      </c>
      <c r="I1630" s="2995">
        <f t="shared" si="291"/>
        <v>1.286016</v>
      </c>
      <c r="J1630" s="124">
        <f t="shared" si="286"/>
        <v>6</v>
      </c>
      <c r="K1630" s="462">
        <f t="shared" si="287"/>
        <v>878.90673552233147</v>
      </c>
      <c r="L1630" s="3496">
        <f>L1988</f>
        <v>2.8388888888888886</v>
      </c>
      <c r="M1630" s="103"/>
      <c r="N1630" s="1317"/>
      <c r="O1630" s="963"/>
      <c r="P1630" s="106"/>
      <c r="Q1630" s="106"/>
      <c r="R1630" s="1214"/>
      <c r="S1630" s="106"/>
      <c r="T1630" s="106"/>
      <c r="U1630" s="1319"/>
      <c r="V1630" s="1590" t="s">
        <v>30</v>
      </c>
      <c r="W1630" s="2914"/>
      <c r="X1630" s="685"/>
      <c r="Y1630" s="618"/>
      <c r="Z1630" s="615"/>
      <c r="AA1630" s="615"/>
      <c r="AB1630" s="3494"/>
      <c r="AC1630" s="618">
        <v>1169.45</v>
      </c>
      <c r="AD1630" s="618">
        <v>1357.39</v>
      </c>
      <c r="AE1630" s="2914"/>
      <c r="AF1630" s="2914"/>
      <c r="AG1630" s="2914"/>
      <c r="AH1630" s="344"/>
      <c r="AI1630" s="156"/>
      <c r="AJ1630" s="3640"/>
      <c r="AK1630" s="2915"/>
      <c r="AL1630" s="156"/>
      <c r="AM1630" s="3640"/>
      <c r="AN1630" s="3640"/>
      <c r="AO1630" s="156"/>
      <c r="AP1630" s="156"/>
      <c r="AQ1630" s="156"/>
      <c r="AR1630" s="156"/>
      <c r="AS1630" s="156"/>
      <c r="AT1630" s="156"/>
      <c r="AU1630" s="156"/>
      <c r="AV1630" s="156"/>
      <c r="AW1630" s="156"/>
      <c r="AX1630" s="156"/>
      <c r="AY1630" s="156"/>
      <c r="AZ1630" s="156"/>
      <c r="BA1630" s="156"/>
      <c r="BB1630" s="2741">
        <f>(BD1630+BD1631+BD1632+BD1633)/(BE1630+BE1631+BE1632+BE1633)</f>
        <v>1.4497260889209203</v>
      </c>
      <c r="BC1630" s="2742" t="str">
        <f t="shared" si="292"/>
        <v>Cooling Res 6 Year EUL</v>
      </c>
      <c r="BD1630" s="1841">
        <f>(INDEX('Avoided Cost Benefits'!$E$4:$E$859,MATCH(BC1630,'Avoided Cost Benefits'!$A$4:$A$859,0)))*F1630</f>
        <v>860.05857817381661</v>
      </c>
      <c r="BE1630" s="2507">
        <f t="shared" si="289"/>
        <v>829.54859416926035</v>
      </c>
      <c r="BF1630" s="156"/>
      <c r="BH1630" s="686"/>
    </row>
    <row r="1631" spans="1:60" x14ac:dyDescent="0.35">
      <c r="A1631" s="3493" t="str">
        <f t="shared" si="290"/>
        <v>353010_2021_12_Heating Res</v>
      </c>
      <c r="B1631" s="2812"/>
      <c r="C1631" s="1037" t="s">
        <v>1243</v>
      </c>
      <c r="D1631" s="1311" t="s">
        <v>320</v>
      </c>
      <c r="E1631" s="3420" t="s">
        <v>1244</v>
      </c>
      <c r="F1631" s="615">
        <v>0</v>
      </c>
      <c r="G1631" s="1313" t="s">
        <v>1092</v>
      </c>
      <c r="H1631" s="136">
        <f>VLOOKUP(G1631,'CP FACTORS'!$A$3:$B$38, 2, FALSE)</f>
        <v>0</v>
      </c>
      <c r="I1631" s="3497">
        <f t="shared" si="291"/>
        <v>0</v>
      </c>
      <c r="J1631" s="124">
        <f t="shared" si="286"/>
        <v>6</v>
      </c>
      <c r="K1631" s="462">
        <f t="shared" si="287"/>
        <v>0</v>
      </c>
      <c r="L1631" s="3496"/>
      <c r="M1631" s="103"/>
      <c r="N1631" s="1317"/>
      <c r="O1631" s="963"/>
      <c r="P1631" s="106"/>
      <c r="Q1631" s="106"/>
      <c r="R1631" s="1214"/>
      <c r="S1631" s="106"/>
      <c r="T1631" s="106"/>
      <c r="U1631" s="1319"/>
      <c r="V1631" s="1590" t="s">
        <v>30</v>
      </c>
      <c r="W1631" s="2914"/>
      <c r="X1631" s="685"/>
      <c r="Y1631" s="618"/>
      <c r="Z1631" s="615"/>
      <c r="AA1631" s="615"/>
      <c r="AB1631" s="3494"/>
      <c r="AC1631" s="618">
        <v>0</v>
      </c>
      <c r="AD1631" s="615">
        <v>0</v>
      </c>
      <c r="AE1631" s="2914"/>
      <c r="AF1631" s="2914"/>
      <c r="AG1631" s="2914"/>
      <c r="AH1631" s="344"/>
      <c r="AI1631" s="156"/>
      <c r="AJ1631" s="3640"/>
      <c r="AK1631" s="2915"/>
      <c r="AL1631" s="156"/>
      <c r="AM1631" s="3640"/>
      <c r="AN1631" s="3640"/>
      <c r="AO1631" s="156"/>
      <c r="AP1631" s="156"/>
      <c r="AQ1631" s="156"/>
      <c r="AR1631" s="156"/>
      <c r="AS1631" s="156"/>
      <c r="AT1631" s="156"/>
      <c r="AU1631" s="156"/>
      <c r="AV1631" s="156"/>
      <c r="AW1631" s="156"/>
      <c r="AX1631" s="156"/>
      <c r="AY1631" s="156"/>
      <c r="AZ1631" s="156"/>
      <c r="BA1631" s="156"/>
      <c r="BB1631" s="2905"/>
      <c r="BC1631" s="2742" t="str">
        <f t="shared" si="292"/>
        <v>Heating Res 6 Year EUL</v>
      </c>
      <c r="BD1631" s="1841">
        <f>(INDEX('Avoided Cost Benefits'!$E$4:$E$859,MATCH(BC1631,'Avoided Cost Benefits'!$A$4:$A$859,0)))*F1631</f>
        <v>0</v>
      </c>
      <c r="BE1631" s="2507">
        <f t="shared" si="289"/>
        <v>0</v>
      </c>
      <c r="BF1631" s="156"/>
      <c r="BH1631" s="686"/>
    </row>
    <row r="1632" spans="1:60" x14ac:dyDescent="0.35">
      <c r="A1632" s="3493" t="str">
        <f t="shared" si="290"/>
        <v>353010_2021_12_Cooling Res ER2</v>
      </c>
      <c r="B1632" s="2812"/>
      <c r="C1632" s="1037" t="s">
        <v>1243</v>
      </c>
      <c r="D1632" s="1311" t="s">
        <v>320</v>
      </c>
      <c r="E1632" s="3420" t="s">
        <v>1245</v>
      </c>
      <c r="F1632" s="618">
        <f>ROUND(((K2761*K2954*(1/K3147-1/K3340)*K3533)/1000)*$K$3677,2)</f>
        <v>309.58</v>
      </c>
      <c r="G1632" s="2810" t="s">
        <v>1133</v>
      </c>
      <c r="H1632" s="2720">
        <f>VLOOKUP(G1632,'CP FACTORS'!$A$3:$B$38, 2, FALSE)</f>
        <v>9.4741810000000004E-4</v>
      </c>
      <c r="I1632" s="2995">
        <f t="shared" si="291"/>
        <v>0.29330200000000001</v>
      </c>
      <c r="J1632" s="124">
        <f t="shared" si="286"/>
        <v>12</v>
      </c>
      <c r="K1632" s="462">
        <f t="shared" si="287"/>
        <v>0</v>
      </c>
      <c r="L1632" s="3496"/>
      <c r="M1632" s="103"/>
      <c r="N1632" s="1317"/>
      <c r="O1632" s="963"/>
      <c r="P1632" s="106"/>
      <c r="Q1632" s="106"/>
      <c r="R1632" s="1214"/>
      <c r="S1632" s="106"/>
      <c r="T1632" s="106"/>
      <c r="U1632" s="1319"/>
      <c r="V1632" s="1590" t="s">
        <v>30</v>
      </c>
      <c r="W1632" s="2914"/>
      <c r="X1632" s="685"/>
      <c r="Y1632" s="618"/>
      <c r="Z1632" s="615"/>
      <c r="AA1632" s="615"/>
      <c r="AB1632" s="3494"/>
      <c r="AC1632" s="618">
        <v>195.53</v>
      </c>
      <c r="AD1632" s="618">
        <v>309.58</v>
      </c>
      <c r="AE1632" s="2914"/>
      <c r="AF1632" s="2914"/>
      <c r="AG1632" s="2914"/>
      <c r="AH1632" s="344"/>
      <c r="AI1632" s="156"/>
      <c r="AJ1632" s="3640"/>
      <c r="AK1632" s="2915"/>
      <c r="AL1632" s="156"/>
      <c r="AM1632" s="3640"/>
      <c r="AN1632" s="3640"/>
      <c r="AO1632" s="156"/>
      <c r="AP1632" s="156"/>
      <c r="AQ1632" s="156"/>
      <c r="AR1632" s="156"/>
      <c r="AS1632" s="156"/>
      <c r="AT1632" s="156"/>
      <c r="AU1632" s="156"/>
      <c r="AV1632" s="156"/>
      <c r="AW1632" s="156"/>
      <c r="AX1632" s="156"/>
      <c r="AY1632" s="156"/>
      <c r="AZ1632" s="156"/>
      <c r="BA1632" s="156"/>
      <c r="BB1632" s="2905"/>
      <c r="BC1632" s="2742" t="str">
        <f t="shared" si="292"/>
        <v>Cooling Res ER2 12 Year EUL</v>
      </c>
      <c r="BD1632" s="1841">
        <f>(INDEX('Avoided Cost Benefits'!$E$4:$E$859,MATCH(BC1632,'Avoided Cost Benefits'!$A$4:$A$859,0)))*F1632</f>
        <v>342.55966082103282</v>
      </c>
      <c r="BE1632" s="2507">
        <f t="shared" si="289"/>
        <v>0</v>
      </c>
      <c r="BF1632" s="156"/>
      <c r="BH1632" s="686"/>
    </row>
    <row r="1633" spans="1:60" x14ac:dyDescent="0.35">
      <c r="A1633" s="3493" t="str">
        <f t="shared" si="290"/>
        <v>353010_2021_12_Heating Res ER2</v>
      </c>
      <c r="B1633" s="2812"/>
      <c r="C1633" s="1037" t="s">
        <v>1243</v>
      </c>
      <c r="D1633" s="1311" t="s">
        <v>320</v>
      </c>
      <c r="E1633" s="3419" t="s">
        <v>1245</v>
      </c>
      <c r="F1633" s="615">
        <v>0</v>
      </c>
      <c r="G1633" s="1313" t="s">
        <v>1150</v>
      </c>
      <c r="H1633" s="136">
        <f>VLOOKUP(G1633,'CP FACTORS'!$A$3:$B$38, 2, FALSE)</f>
        <v>0</v>
      </c>
      <c r="I1633" s="3497">
        <f t="shared" si="291"/>
        <v>0</v>
      </c>
      <c r="J1633" s="124">
        <f t="shared" si="286"/>
        <v>12</v>
      </c>
      <c r="K1633" s="462">
        <f t="shared" si="287"/>
        <v>0</v>
      </c>
      <c r="L1633" s="3496"/>
      <c r="M1633" s="103"/>
      <c r="N1633" s="1317"/>
      <c r="O1633" s="963"/>
      <c r="P1633" s="106"/>
      <c r="Q1633" s="106"/>
      <c r="R1633" s="1214"/>
      <c r="S1633" s="106"/>
      <c r="T1633" s="106"/>
      <c r="U1633" s="1319"/>
      <c r="V1633" s="1590" t="s">
        <v>30</v>
      </c>
      <c r="W1633" s="2914"/>
      <c r="X1633" s="685"/>
      <c r="Y1633" s="618"/>
      <c r="Z1633" s="615"/>
      <c r="AA1633" s="615"/>
      <c r="AB1633" s="3494"/>
      <c r="AC1633" s="618">
        <v>0</v>
      </c>
      <c r="AD1633" s="615">
        <v>0</v>
      </c>
      <c r="AE1633" s="2914"/>
      <c r="AF1633" s="2914"/>
      <c r="AG1633" s="2914"/>
      <c r="AH1633" s="344"/>
      <c r="AI1633" s="156"/>
      <c r="AJ1633" s="3640"/>
      <c r="AK1633" s="2915"/>
      <c r="AL1633" s="156"/>
      <c r="AM1633" s="3640"/>
      <c r="AN1633" s="3640"/>
      <c r="AO1633" s="156"/>
      <c r="AP1633" s="156"/>
      <c r="AQ1633" s="156"/>
      <c r="AR1633" s="156"/>
      <c r="AS1633" s="156"/>
      <c r="AT1633" s="156"/>
      <c r="AU1633" s="156"/>
      <c r="AV1633" s="156"/>
      <c r="AW1633" s="156"/>
      <c r="AX1633" s="156"/>
      <c r="AY1633" s="156"/>
      <c r="AZ1633" s="156"/>
      <c r="BA1633" s="156"/>
      <c r="BB1633" s="2905"/>
      <c r="BC1633" s="2744" t="str">
        <f t="shared" si="292"/>
        <v>Heating Res ER2 12 Year EUL</v>
      </c>
      <c r="BD1633" s="1841">
        <f>(INDEX('Avoided Cost Benefits'!$E$4:$E$859,MATCH(BC1633,'Avoided Cost Benefits'!$A$4:$A$859,0)))*F1633</f>
        <v>0</v>
      </c>
      <c r="BE1633" s="2507">
        <f t="shared" si="289"/>
        <v>0</v>
      </c>
      <c r="BF1633" s="156"/>
      <c r="BH1633" s="686"/>
    </row>
    <row r="1634" spans="1:60" x14ac:dyDescent="0.35">
      <c r="A1634" s="3493" t="str">
        <f t="shared" si="290"/>
        <v>353011_2021_12_Cooling Res</v>
      </c>
      <c r="B1634" s="2812"/>
      <c r="C1634" s="1037" t="s">
        <v>1246</v>
      </c>
      <c r="D1634" s="1311" t="s">
        <v>315</v>
      </c>
      <c r="E1634" s="3420" t="s">
        <v>1247</v>
      </c>
      <c r="F1634" s="618">
        <f>ROUND(((K2762*K2955*(1/K3148-1/K3341)*K3534)/1000)*$K$3677,2)</f>
        <v>987.19</v>
      </c>
      <c r="G1634" s="2810" t="s">
        <v>1091</v>
      </c>
      <c r="H1634" s="2720">
        <f>VLOOKUP(G1634,'CP FACTORS'!$A$3:$B$38, 2, FALSE)</f>
        <v>9.4741810000000004E-4</v>
      </c>
      <c r="I1634" s="2995">
        <f t="shared" si="291"/>
        <v>0.93528199999999995</v>
      </c>
      <c r="J1634" s="124">
        <f t="shared" si="286"/>
        <v>6</v>
      </c>
      <c r="K1634" s="462">
        <f t="shared" si="287"/>
        <v>878.90673552233147</v>
      </c>
      <c r="L1634" s="3496">
        <f>L1990</f>
        <v>2.8388888888888886</v>
      </c>
      <c r="M1634" s="103"/>
      <c r="N1634" s="1317"/>
      <c r="O1634" s="963"/>
      <c r="P1634" s="106"/>
      <c r="Q1634" s="106"/>
      <c r="R1634" s="1214"/>
      <c r="S1634" s="106"/>
      <c r="T1634" s="106"/>
      <c r="U1634" s="1319"/>
      <c r="V1634" s="1590" t="s">
        <v>30</v>
      </c>
      <c r="W1634" s="2914"/>
      <c r="X1634" s="685"/>
      <c r="Y1634" s="618"/>
      <c r="Z1634" s="615"/>
      <c r="AA1634" s="615"/>
      <c r="AB1634" s="3494"/>
      <c r="AC1634" s="618">
        <v>567.38</v>
      </c>
      <c r="AD1634" s="618">
        <v>987.19</v>
      </c>
      <c r="AE1634" s="2914"/>
      <c r="AF1634" s="2914"/>
      <c r="AG1634" s="2914"/>
      <c r="AH1634" s="344"/>
      <c r="AI1634" s="156"/>
      <c r="AJ1634" s="3640"/>
      <c r="AK1634" s="2915"/>
      <c r="AL1634" s="156"/>
      <c r="AM1634" s="3640"/>
      <c r="AN1634" s="3640"/>
      <c r="AO1634" s="156"/>
      <c r="AP1634" s="156"/>
      <c r="AQ1634" s="156"/>
      <c r="AR1634" s="156"/>
      <c r="AS1634" s="156"/>
      <c r="AT1634" s="156"/>
      <c r="AU1634" s="156"/>
      <c r="AV1634" s="156"/>
      <c r="AW1634" s="156"/>
      <c r="AX1634" s="156"/>
      <c r="AY1634" s="156"/>
      <c r="AZ1634" s="156"/>
      <c r="BA1634" s="156"/>
      <c r="BB1634" s="2741">
        <f>(BD1634+BD1635+BD1636+BD1637)/(BE1634+BE1635+BE1636+BE1637)</f>
        <v>1.0543453760193091</v>
      </c>
      <c r="BC1634" s="2742" t="str">
        <f t="shared" si="292"/>
        <v>Cooling Res 6 Year EUL</v>
      </c>
      <c r="BD1634" s="1841">
        <f>(INDEX('Avoided Cost Benefits'!$E$4:$E$859,MATCH(BC1634,'Avoided Cost Benefits'!$A$4:$A$859,0)))*F1634</f>
        <v>625.49541973007763</v>
      </c>
      <c r="BE1634" s="2507">
        <f t="shared" si="289"/>
        <v>829.54859416926035</v>
      </c>
      <c r="BF1634" s="156"/>
      <c r="BH1634" s="686"/>
    </row>
    <row r="1635" spans="1:60" x14ac:dyDescent="0.35">
      <c r="A1635" s="3493" t="str">
        <f t="shared" si="290"/>
        <v>353011_2021_12_Heating Res</v>
      </c>
      <c r="B1635" s="2812"/>
      <c r="C1635" s="1037" t="s">
        <v>1246</v>
      </c>
      <c r="D1635" s="1311" t="s">
        <v>315</v>
      </c>
      <c r="E1635" s="3420" t="s">
        <v>1247</v>
      </c>
      <c r="F1635" s="615">
        <v>0</v>
      </c>
      <c r="G1635" s="1313" t="s">
        <v>1092</v>
      </c>
      <c r="H1635" s="136">
        <f>VLOOKUP(G1635,'CP FACTORS'!$A$3:$B$38, 2, FALSE)</f>
        <v>0</v>
      </c>
      <c r="I1635" s="3497">
        <f t="shared" si="291"/>
        <v>0</v>
      </c>
      <c r="J1635" s="124">
        <f t="shared" si="286"/>
        <v>6</v>
      </c>
      <c r="K1635" s="462">
        <f t="shared" si="287"/>
        <v>0</v>
      </c>
      <c r="L1635" s="3496"/>
      <c r="M1635" s="103"/>
      <c r="N1635" s="1317"/>
      <c r="O1635" s="963"/>
      <c r="P1635" s="106"/>
      <c r="Q1635" s="106"/>
      <c r="R1635" s="1214"/>
      <c r="S1635" s="106"/>
      <c r="T1635" s="106"/>
      <c r="U1635" s="1319"/>
      <c r="V1635" s="1590" t="s">
        <v>30</v>
      </c>
      <c r="W1635" s="2914"/>
      <c r="X1635" s="685"/>
      <c r="Y1635" s="618"/>
      <c r="Z1635" s="615"/>
      <c r="AA1635" s="615"/>
      <c r="AB1635" s="3494"/>
      <c r="AC1635" s="618">
        <v>0</v>
      </c>
      <c r="AD1635" s="618">
        <v>0</v>
      </c>
      <c r="AE1635" s="2914"/>
      <c r="AF1635" s="2914"/>
      <c r="AG1635" s="2914"/>
      <c r="AH1635" s="344"/>
      <c r="AI1635" s="156"/>
      <c r="AJ1635" s="3640"/>
      <c r="AK1635" s="2915"/>
      <c r="AL1635" s="156"/>
      <c r="AM1635" s="3640"/>
      <c r="AN1635" s="3640"/>
      <c r="AO1635" s="156"/>
      <c r="AP1635" s="156"/>
      <c r="AQ1635" s="156"/>
      <c r="AR1635" s="156"/>
      <c r="AS1635" s="156"/>
      <c r="AT1635" s="156"/>
      <c r="AU1635" s="156"/>
      <c r="AV1635" s="156"/>
      <c r="AW1635" s="156"/>
      <c r="AX1635" s="156"/>
      <c r="AY1635" s="156"/>
      <c r="AZ1635" s="156"/>
      <c r="BA1635" s="156"/>
      <c r="BB1635" s="2905"/>
      <c r="BC1635" s="2742" t="str">
        <f t="shared" si="292"/>
        <v>Heating Res 6 Year EUL</v>
      </c>
      <c r="BD1635" s="1841">
        <f>(INDEX('Avoided Cost Benefits'!$E$4:$E$859,MATCH(BC1635,'Avoided Cost Benefits'!$A$4:$A$859,0)))*F1635</f>
        <v>0</v>
      </c>
      <c r="BE1635" s="2507">
        <f t="shared" si="289"/>
        <v>0</v>
      </c>
      <c r="BF1635" s="156"/>
      <c r="BH1635" s="686"/>
    </row>
    <row r="1636" spans="1:60" x14ac:dyDescent="0.35">
      <c r="A1636" s="3493" t="str">
        <f t="shared" si="290"/>
        <v>353011_2021_12_Cooling Res ER2</v>
      </c>
      <c r="B1636" s="2812"/>
      <c r="C1636" s="1037" t="s">
        <v>1246</v>
      </c>
      <c r="D1636" s="1311" t="s">
        <v>315</v>
      </c>
      <c r="E1636" s="3420" t="s">
        <v>1248</v>
      </c>
      <c r="F1636" s="618">
        <f>ROUND(((K2763*K2956*(1/K3149-1/K3342)*K3535)/1000)*$K$3677,2)</f>
        <v>225.15</v>
      </c>
      <c r="G1636" s="2810" t="s">
        <v>1133</v>
      </c>
      <c r="H1636" s="2720">
        <f>VLOOKUP(G1636,'CP FACTORS'!$A$3:$B$38, 2, FALSE)</f>
        <v>9.4741810000000004E-4</v>
      </c>
      <c r="I1636" s="2995">
        <f t="shared" si="291"/>
        <v>0.213311</v>
      </c>
      <c r="J1636" s="124">
        <f t="shared" si="286"/>
        <v>12</v>
      </c>
      <c r="K1636" s="462">
        <f t="shared" si="287"/>
        <v>0</v>
      </c>
      <c r="L1636" s="3496"/>
      <c r="M1636" s="103"/>
      <c r="N1636" s="1317"/>
      <c r="O1636" s="963"/>
      <c r="P1636" s="106"/>
      <c r="Q1636" s="106"/>
      <c r="R1636" s="1214"/>
      <c r="S1636" s="106"/>
      <c r="T1636" s="106"/>
      <c r="U1636" s="1319"/>
      <c r="V1636" s="1590" t="s">
        <v>30</v>
      </c>
      <c r="W1636" s="2914"/>
      <c r="X1636" s="685"/>
      <c r="Y1636" s="618"/>
      <c r="Z1636" s="615"/>
      <c r="AA1636" s="615"/>
      <c r="AB1636" s="3494"/>
      <c r="AC1636" s="618">
        <v>142.19999999999999</v>
      </c>
      <c r="AD1636" s="618">
        <v>225.15</v>
      </c>
      <c r="AE1636" s="2914"/>
      <c r="AF1636" s="2914"/>
      <c r="AG1636" s="2914"/>
      <c r="AH1636" s="344"/>
      <c r="AI1636" s="156"/>
      <c r="AJ1636" s="3640"/>
      <c r="AK1636" s="2915"/>
      <c r="AL1636" s="156"/>
      <c r="AM1636" s="3640"/>
      <c r="AN1636" s="3640"/>
      <c r="AO1636" s="156"/>
      <c r="AP1636" s="156"/>
      <c r="AQ1636" s="156"/>
      <c r="AR1636" s="156"/>
      <c r="AS1636" s="156"/>
      <c r="AT1636" s="156"/>
      <c r="AU1636" s="156"/>
      <c r="AV1636" s="156"/>
      <c r="AW1636" s="156"/>
      <c r="AX1636" s="156"/>
      <c r="AY1636" s="156"/>
      <c r="AZ1636" s="156"/>
      <c r="BA1636" s="156"/>
      <c r="BB1636" s="2905"/>
      <c r="BC1636" s="2742" t="str">
        <f t="shared" si="292"/>
        <v>Cooling Res ER2 12 Year EUL</v>
      </c>
      <c r="BD1636" s="1841">
        <f>(INDEX('Avoided Cost Benefits'!$E$4:$E$859,MATCH(BC1636,'Avoided Cost Benefits'!$A$4:$A$859,0)))*F1636</f>
        <v>249.13530471560031</v>
      </c>
      <c r="BE1636" s="2507">
        <f t="shared" si="289"/>
        <v>0</v>
      </c>
      <c r="BF1636" s="156"/>
      <c r="BH1636" s="686"/>
    </row>
    <row r="1637" spans="1:60" x14ac:dyDescent="0.35">
      <c r="A1637" s="3493" t="str">
        <f t="shared" si="290"/>
        <v>353011_2021_12_Heating Res ER2</v>
      </c>
      <c r="B1637" s="2812"/>
      <c r="C1637" s="1037" t="s">
        <v>1246</v>
      </c>
      <c r="D1637" s="1311" t="s">
        <v>315</v>
      </c>
      <c r="E1637" s="3420" t="s">
        <v>1248</v>
      </c>
      <c r="F1637" s="615">
        <f>0</f>
        <v>0</v>
      </c>
      <c r="G1637" s="1313" t="s">
        <v>1150</v>
      </c>
      <c r="H1637" s="136">
        <f>VLOOKUP(G1637,'CP FACTORS'!$A$3:$B$38, 2, FALSE)</f>
        <v>0</v>
      </c>
      <c r="I1637" s="3497">
        <f t="shared" si="291"/>
        <v>0</v>
      </c>
      <c r="J1637" s="124">
        <f t="shared" si="286"/>
        <v>12</v>
      </c>
      <c r="K1637" s="462">
        <f t="shared" si="287"/>
        <v>0</v>
      </c>
      <c r="L1637" s="3496"/>
      <c r="M1637" s="103"/>
      <c r="N1637" s="1317"/>
      <c r="O1637" s="963"/>
      <c r="P1637" s="106"/>
      <c r="Q1637" s="106"/>
      <c r="R1637" s="1214"/>
      <c r="S1637" s="106"/>
      <c r="T1637" s="106"/>
      <c r="U1637" s="1319"/>
      <c r="V1637" s="1590" t="s">
        <v>30</v>
      </c>
      <c r="W1637" s="2914"/>
      <c r="X1637" s="685"/>
      <c r="Y1637" s="618"/>
      <c r="Z1637" s="615"/>
      <c r="AA1637" s="615"/>
      <c r="AB1637" s="3494"/>
      <c r="AC1637" s="618">
        <v>0</v>
      </c>
      <c r="AD1637" s="615">
        <v>0</v>
      </c>
      <c r="AE1637" s="2914"/>
      <c r="AF1637" s="2914"/>
      <c r="AG1637" s="2914"/>
      <c r="AH1637" s="344"/>
      <c r="AI1637" s="156"/>
      <c r="AJ1637" s="3640"/>
      <c r="AK1637" s="2915"/>
      <c r="AL1637" s="156"/>
      <c r="AM1637" s="3640"/>
      <c r="AN1637" s="3640"/>
      <c r="AO1637" s="156"/>
      <c r="AP1637" s="156"/>
      <c r="AQ1637" s="156"/>
      <c r="AR1637" s="156"/>
      <c r="AS1637" s="156"/>
      <c r="AT1637" s="156"/>
      <c r="AU1637" s="156"/>
      <c r="AV1637" s="156"/>
      <c r="AW1637" s="156"/>
      <c r="AX1637" s="156"/>
      <c r="AY1637" s="156"/>
      <c r="AZ1637" s="156"/>
      <c r="BA1637" s="156"/>
      <c r="BB1637" s="2905"/>
      <c r="BC1637" s="2742" t="str">
        <f t="shared" si="292"/>
        <v>Heating Res ER2 12 Year EUL</v>
      </c>
      <c r="BD1637" s="1841">
        <f>(INDEX('Avoided Cost Benefits'!$E$4:$E$859,MATCH(BC1637,'Avoided Cost Benefits'!$A$4:$A$859,0)))*F1637</f>
        <v>0</v>
      </c>
      <c r="BE1637" s="2507">
        <f t="shared" si="289"/>
        <v>0</v>
      </c>
      <c r="BF1637" s="156"/>
      <c r="BH1637" s="686"/>
    </row>
    <row r="1638" spans="1:60" x14ac:dyDescent="0.35">
      <c r="A1638" s="3493" t="str">
        <f t="shared" si="290"/>
        <v>353050_2021_12_Cooling Res</v>
      </c>
      <c r="B1638" s="2812"/>
      <c r="C1638" s="1037" t="s">
        <v>1250</v>
      </c>
      <c r="D1638" s="1311" t="s">
        <v>320</v>
      </c>
      <c r="E1638" s="590" t="s">
        <v>1251</v>
      </c>
      <c r="F1638" s="618">
        <f>ROUND(((K2764*K2957*(1/K3150-1/K3343)*K3536)/1000)*$K$3677,2)</f>
        <v>124.14</v>
      </c>
      <c r="G1638" s="2810" t="s">
        <v>1091</v>
      </c>
      <c r="H1638" s="2720">
        <f>VLOOKUP(G1638,'CP FACTORS'!$A$3:$B$38, 2, FALSE)</f>
        <v>9.4741810000000004E-4</v>
      </c>
      <c r="I1638" s="2995">
        <f t="shared" si="291"/>
        <v>0.11761199999999999</v>
      </c>
      <c r="J1638" s="124">
        <f t="shared" si="286"/>
        <v>18</v>
      </c>
      <c r="K1638" s="462">
        <f t="shared" si="287"/>
        <v>303</v>
      </c>
      <c r="L1638" s="3496">
        <f>L1992</f>
        <v>2.1833333333333331</v>
      </c>
      <c r="M1638" s="103"/>
      <c r="N1638" s="1317"/>
      <c r="O1638" s="963"/>
      <c r="P1638" s="106"/>
      <c r="Q1638" s="106"/>
      <c r="R1638" s="1214"/>
      <c r="S1638" s="106"/>
      <c r="T1638" s="106"/>
      <c r="U1638" s="1319"/>
      <c r="V1638" s="3436" t="s">
        <v>30</v>
      </c>
      <c r="W1638" s="2914">
        <v>109.33614947965923</v>
      </c>
      <c r="X1638" s="688">
        <v>109.33614947965923</v>
      </c>
      <c r="Y1638" s="615">
        <v>109.34</v>
      </c>
      <c r="Z1638" s="615">
        <v>109.34</v>
      </c>
      <c r="AA1638" s="615">
        <v>109.34</v>
      </c>
      <c r="AB1638" s="3495">
        <v>109.34</v>
      </c>
      <c r="AC1638" s="618">
        <v>64.98</v>
      </c>
      <c r="AD1638" s="618">
        <v>124.14</v>
      </c>
      <c r="AE1638" s="2914"/>
      <c r="AF1638" s="2914"/>
      <c r="AG1638" s="2914"/>
      <c r="AH1638" s="344"/>
      <c r="AI1638" s="156"/>
      <c r="AJ1638" s="3640"/>
      <c r="AK1638" s="2915"/>
      <c r="AL1638" s="156"/>
      <c r="AM1638" s="3640"/>
      <c r="AN1638" s="3640"/>
      <c r="AO1638" s="156"/>
      <c r="AP1638" s="156"/>
      <c r="AQ1638" s="156"/>
      <c r="AR1638" s="156"/>
      <c r="AS1638" s="156"/>
      <c r="AT1638" s="156"/>
      <c r="AU1638" s="156"/>
      <c r="AV1638" s="156"/>
      <c r="AW1638" s="156"/>
      <c r="AX1638" s="156"/>
      <c r="AY1638" s="156"/>
      <c r="AZ1638" s="156"/>
      <c r="BA1638" s="156"/>
      <c r="BB1638" s="2833">
        <f>(BD1638+BD1639)/(BE1638+BE1639)</f>
        <v>1.0183617130948759</v>
      </c>
      <c r="BC1638" s="590" t="str">
        <f t="shared" si="292"/>
        <v>Cooling Res 18 Year EUL</v>
      </c>
      <c r="BD1638" s="2829">
        <f>(INDEX('Avoided Cost Benefits'!$E$4:$E$859,MATCH(BC1638,'Avoided Cost Benefits'!$A$4:$A$859,0)))*F1638</f>
        <v>216.02126802464446</v>
      </c>
      <c r="BE1638" s="858">
        <f t="shared" si="289"/>
        <v>285.98395469561109</v>
      </c>
      <c r="BF1638" s="156"/>
      <c r="BH1638" s="686"/>
    </row>
    <row r="1639" spans="1:60" x14ac:dyDescent="0.35">
      <c r="A1639" s="3493" t="str">
        <f t="shared" si="290"/>
        <v>353050_2021_12_Heating Res</v>
      </c>
      <c r="B1639" s="2812"/>
      <c r="C1639" s="1037" t="s">
        <v>1250</v>
      </c>
      <c r="D1639" s="1311" t="s">
        <v>320</v>
      </c>
      <c r="E1639" s="687" t="s">
        <v>1251</v>
      </c>
      <c r="F1639" s="618">
        <f>ROUND(((K1992*K2185*(1/K2378-1/K2571)*K3536)/1000)*$K$3677,2)</f>
        <v>168.7</v>
      </c>
      <c r="G1639" s="2810" t="s">
        <v>1092</v>
      </c>
      <c r="H1639" s="2720">
        <f>VLOOKUP(G1639,'CP FACTORS'!$A$3:$B$38, 2, FALSE)</f>
        <v>0</v>
      </c>
      <c r="I1639" s="2995">
        <f t="shared" si="291"/>
        <v>0</v>
      </c>
      <c r="J1639" s="124">
        <f t="shared" si="286"/>
        <v>18</v>
      </c>
      <c r="K1639" s="462">
        <f t="shared" si="287"/>
        <v>0</v>
      </c>
      <c r="L1639" s="3496"/>
      <c r="M1639" s="103"/>
      <c r="N1639" s="1317"/>
      <c r="O1639" s="963"/>
      <c r="P1639" s="106"/>
      <c r="Q1639" s="106"/>
      <c r="R1639" s="1214"/>
      <c r="S1639" s="106"/>
      <c r="T1639" s="106"/>
      <c r="U1639" s="1319"/>
      <c r="V1639" s="3436" t="s">
        <v>30</v>
      </c>
      <c r="W1639" s="2914">
        <v>340.46551724137925</v>
      </c>
      <c r="X1639" s="685">
        <v>253.52733389402857</v>
      </c>
      <c r="Y1639" s="615">
        <v>253.53</v>
      </c>
      <c r="Z1639" s="615">
        <v>253.53</v>
      </c>
      <c r="AA1639" s="615">
        <v>253.53</v>
      </c>
      <c r="AB1639" s="3495">
        <v>253.53</v>
      </c>
      <c r="AC1639" s="618">
        <v>254.65</v>
      </c>
      <c r="AD1639" s="618">
        <v>168.7</v>
      </c>
      <c r="AE1639" s="2914"/>
      <c r="AF1639" s="2914"/>
      <c r="AG1639" s="2914"/>
      <c r="AH1639" s="344"/>
      <c r="AI1639" s="156"/>
      <c r="AJ1639" s="3640"/>
      <c r="AK1639" s="2915"/>
      <c r="AL1639" s="156"/>
      <c r="AM1639" s="3640"/>
      <c r="AN1639" s="3640"/>
      <c r="AO1639" s="156"/>
      <c r="AP1639" s="156"/>
      <c r="AQ1639" s="156"/>
      <c r="AR1639" s="156"/>
      <c r="AS1639" s="156"/>
      <c r="AT1639" s="156"/>
      <c r="AU1639" s="156"/>
      <c r="AV1639" s="156"/>
      <c r="AW1639" s="156"/>
      <c r="AX1639" s="156"/>
      <c r="AY1639" s="156"/>
      <c r="AZ1639" s="156"/>
      <c r="BA1639" s="156"/>
      <c r="BB1639" s="2835"/>
      <c r="BC1639" s="687" t="str">
        <f t="shared" si="292"/>
        <v>Heating Res 18 Year EUL</v>
      </c>
      <c r="BD1639" s="2829">
        <f>(INDEX('Avoided Cost Benefits'!$E$4:$E$859,MATCH(BC1639,'Avoided Cost Benefits'!$A$4:$A$859,0)))*F1639</f>
        <v>75.213841996825451</v>
      </c>
      <c r="BE1639" s="858">
        <f t="shared" si="289"/>
        <v>0</v>
      </c>
      <c r="BF1639" s="156"/>
      <c r="BH1639" s="686"/>
    </row>
    <row r="1640" spans="1:60" x14ac:dyDescent="0.35">
      <c r="A1640" s="3493" t="str">
        <f t="shared" si="290"/>
        <v>353051_2021_12_Cooling Res</v>
      </c>
      <c r="B1640" s="2812"/>
      <c r="C1640" s="1037" t="s">
        <v>1253</v>
      </c>
      <c r="D1640" s="1311" t="s">
        <v>315</v>
      </c>
      <c r="E1640" s="3418" t="s">
        <v>1254</v>
      </c>
      <c r="F1640" s="618">
        <f>ROUND((($K$2765*$K$2958*(1/$K$3151-1/$K$3344)*$K$3537)/1000)*$K$3677,2)</f>
        <v>90.29</v>
      </c>
      <c r="G1640" s="2810" t="str">
        <f>G1638</f>
        <v>Cooling Res</v>
      </c>
      <c r="H1640" s="2720">
        <f>VLOOKUP(G1640,'CP FACTORS'!$A$3:$B$38, 2, FALSE)</f>
        <v>9.4741810000000004E-4</v>
      </c>
      <c r="I1640" s="2995">
        <f t="shared" si="291"/>
        <v>8.5542000000000007E-2</v>
      </c>
      <c r="J1640" s="124">
        <f t="shared" si="286"/>
        <v>18</v>
      </c>
      <c r="K1640" s="462">
        <f t="shared" si="287"/>
        <v>303</v>
      </c>
      <c r="L1640" s="3496">
        <f>L1993</f>
        <v>2.1833333333333331</v>
      </c>
      <c r="M1640" s="103"/>
      <c r="N1640" s="1317"/>
      <c r="O1640" s="963"/>
      <c r="P1640" s="106"/>
      <c r="Q1640" s="106"/>
      <c r="R1640" s="1214"/>
      <c r="S1640" s="106"/>
      <c r="T1640" s="106"/>
      <c r="U1640" s="1319"/>
      <c r="V1640" s="3436" t="s">
        <v>30</v>
      </c>
      <c r="W1640" s="2914"/>
      <c r="X1640" s="685"/>
      <c r="Y1640" s="618">
        <v>79.52</v>
      </c>
      <c r="Z1640" s="615">
        <v>79.52</v>
      </c>
      <c r="AA1640" s="615">
        <v>79.52</v>
      </c>
      <c r="AB1640" s="3495">
        <v>79.52</v>
      </c>
      <c r="AC1640" s="618">
        <v>51.64</v>
      </c>
      <c r="AD1640" s="618">
        <v>90.29</v>
      </c>
      <c r="AE1640" s="2914"/>
      <c r="AF1640" s="2914"/>
      <c r="AG1640" s="2914"/>
      <c r="AH1640" s="344"/>
      <c r="AI1640" s="156"/>
      <c r="AJ1640" s="3640"/>
      <c r="AK1640" s="2915"/>
      <c r="AL1640" s="156"/>
      <c r="AM1640" s="3640"/>
      <c r="AN1640" s="3640"/>
      <c r="AO1640" s="156"/>
      <c r="AP1640" s="156"/>
      <c r="AQ1640" s="156"/>
      <c r="AR1640" s="156"/>
      <c r="AS1640" s="156"/>
      <c r="AT1640" s="156"/>
      <c r="AU1640" s="156"/>
      <c r="AV1640" s="156"/>
      <c r="AW1640" s="156"/>
      <c r="AX1640" s="156"/>
      <c r="AY1640" s="156"/>
      <c r="AZ1640" s="156"/>
      <c r="BA1640" s="156"/>
      <c r="BB1640" s="2833">
        <f>(BD1640+BD1641)/(BE1640+BE1641)</f>
        <v>0.63904957571077448</v>
      </c>
      <c r="BC1640" s="590" t="str">
        <f t="shared" si="292"/>
        <v>Cooling Res 18 Year EUL</v>
      </c>
      <c r="BD1640" s="2829">
        <f>(INDEX('Avoided Cost Benefits'!$E$4:$E$859,MATCH(BC1640,'Avoided Cost Benefits'!$A$4:$A$859,0)))*F1640</f>
        <v>157.11745037816294</v>
      </c>
      <c r="BE1640" s="858">
        <f t="shared" si="289"/>
        <v>285.98395469561109</v>
      </c>
      <c r="BF1640" s="156"/>
      <c r="BH1640" s="686"/>
    </row>
    <row r="1641" spans="1:60" x14ac:dyDescent="0.35">
      <c r="A1641" s="3493" t="str">
        <f t="shared" si="290"/>
        <v>353051_2021_12_Heating Res</v>
      </c>
      <c r="B1641" s="2812"/>
      <c r="C1641" s="1037" t="str">
        <f>C1640</f>
        <v>353051_2021_12_</v>
      </c>
      <c r="D1641" s="1311" t="s">
        <v>315</v>
      </c>
      <c r="E1641" s="3419" t="s">
        <v>1254</v>
      </c>
      <c r="F1641" s="618">
        <f>ROUND((($K$1993*$K$2186*(1/$K$2379-1/$K$2572)*$K$3537)/1000)*$K$3677,2)</f>
        <v>57.51</v>
      </c>
      <c r="G1641" s="2810" t="str">
        <f>G1639</f>
        <v>Heating Res</v>
      </c>
      <c r="H1641" s="2720">
        <f>VLOOKUP(G1641,'CP FACTORS'!$A$3:$B$38, 2, FALSE)</f>
        <v>0</v>
      </c>
      <c r="I1641" s="2995">
        <f t="shared" si="291"/>
        <v>0</v>
      </c>
      <c r="J1641" s="124">
        <f t="shared" si="286"/>
        <v>18</v>
      </c>
      <c r="K1641" s="462">
        <f t="shared" si="287"/>
        <v>0</v>
      </c>
      <c r="L1641" s="3496"/>
      <c r="M1641" s="103"/>
      <c r="N1641" s="1317"/>
      <c r="O1641" s="963"/>
      <c r="P1641" s="106"/>
      <c r="Q1641" s="106"/>
      <c r="R1641" s="1214"/>
      <c r="S1641" s="106"/>
      <c r="T1641" s="106"/>
      <c r="U1641" s="1319"/>
      <c r="V1641" s="3436" t="s">
        <v>30</v>
      </c>
      <c r="W1641" s="2914"/>
      <c r="X1641" s="685"/>
      <c r="Y1641" s="618">
        <v>86.43</v>
      </c>
      <c r="Z1641" s="615">
        <v>86.43</v>
      </c>
      <c r="AA1641" s="615">
        <v>86.43</v>
      </c>
      <c r="AB1641" s="3495">
        <v>86.43</v>
      </c>
      <c r="AC1641" s="618">
        <v>86.81</v>
      </c>
      <c r="AD1641" s="618">
        <v>57.51</v>
      </c>
      <c r="AE1641" s="2914"/>
      <c r="AF1641" s="2914"/>
      <c r="AG1641" s="2914"/>
      <c r="AH1641" s="344"/>
      <c r="AI1641" s="156"/>
      <c r="AJ1641" s="3640"/>
      <c r="AK1641" s="2915"/>
      <c r="AL1641" s="156"/>
      <c r="AM1641" s="3640"/>
      <c r="AN1641" s="3640"/>
      <c r="AO1641" s="156"/>
      <c r="AP1641" s="156"/>
      <c r="AQ1641" s="156"/>
      <c r="AR1641" s="156"/>
      <c r="AS1641" s="156"/>
      <c r="AT1641" s="156"/>
      <c r="AU1641" s="156"/>
      <c r="AV1641" s="156"/>
      <c r="AW1641" s="156"/>
      <c r="AX1641" s="156"/>
      <c r="AY1641" s="156"/>
      <c r="AZ1641" s="156"/>
      <c r="BA1641" s="156"/>
      <c r="BB1641" s="2835"/>
      <c r="BC1641" s="687" t="str">
        <f t="shared" si="292"/>
        <v>Heating Res 18 Year EUL</v>
      </c>
      <c r="BD1641" s="2829">
        <f>(INDEX('Avoided Cost Benefits'!$E$4:$E$859,MATCH(BC1641,'Avoided Cost Benefits'!$A$4:$A$859,0)))*F1641</f>
        <v>25.640474530156677</v>
      </c>
      <c r="BE1641" s="858">
        <f t="shared" si="289"/>
        <v>0</v>
      </c>
      <c r="BF1641" s="156"/>
      <c r="BH1641" s="686"/>
    </row>
    <row r="1642" spans="1:60" x14ac:dyDescent="0.35">
      <c r="A1642" s="3493" t="str">
        <f t="shared" si="290"/>
        <v>353100_2021_12_Cooling Res</v>
      </c>
      <c r="B1642" s="2812"/>
      <c r="C1642" s="1037" t="s">
        <v>1256</v>
      </c>
      <c r="D1642" s="1311" t="s">
        <v>318</v>
      </c>
      <c r="E1642" s="590" t="s">
        <v>1257</v>
      </c>
      <c r="F1642" s="618">
        <f>ROUND(((K2766*K2959*(1/K3152-1/K3345)*K3538)/1000)*$K$3677,2)</f>
        <v>605.63</v>
      </c>
      <c r="G1642" s="2810" t="s">
        <v>1091</v>
      </c>
      <c r="H1642" s="2720">
        <f>VLOOKUP(G1642,'CP FACTORS'!$A$3:$B$38, 2, FALSE)</f>
        <v>9.4741810000000004E-4</v>
      </c>
      <c r="I1642" s="2995">
        <f t="shared" si="291"/>
        <v>0.57378499999999999</v>
      </c>
      <c r="J1642" s="124">
        <f t="shared" si="286"/>
        <v>18</v>
      </c>
      <c r="K1642" s="462">
        <f t="shared" si="287"/>
        <v>724</v>
      </c>
      <c r="L1642" s="3496">
        <f>L1994</f>
        <v>2.9502063491666668</v>
      </c>
      <c r="M1642" s="103"/>
      <c r="N1642" s="1317"/>
      <c r="O1642" s="963"/>
      <c r="P1642" s="106"/>
      <c r="Q1642" s="106"/>
      <c r="R1642" s="1214"/>
      <c r="S1642" s="106"/>
      <c r="T1642" s="106"/>
      <c r="U1642" s="1319"/>
      <c r="V1642" s="3436" t="s">
        <v>30</v>
      </c>
      <c r="W1642" s="2914">
        <v>2576.329411764706</v>
      </c>
      <c r="X1642" s="685">
        <v>1787.6571428571426</v>
      </c>
      <c r="Y1642" s="618">
        <v>528.48</v>
      </c>
      <c r="Z1642" s="615">
        <v>528.48</v>
      </c>
      <c r="AA1642" s="615">
        <v>528.48</v>
      </c>
      <c r="AB1642" s="3495">
        <v>528.48</v>
      </c>
      <c r="AC1642" s="618">
        <v>538.32000000000005</v>
      </c>
      <c r="AD1642" s="618">
        <v>605.63</v>
      </c>
      <c r="AE1642" s="2914"/>
      <c r="AF1642" s="2914"/>
      <c r="AG1642" s="2914"/>
      <c r="AH1642" s="344"/>
      <c r="AI1642" s="156"/>
      <c r="AJ1642" s="3640"/>
      <c r="AK1642" s="2915"/>
      <c r="AL1642" s="156"/>
      <c r="AM1642" s="3640"/>
      <c r="AN1642" s="3640"/>
      <c r="AO1642" s="156"/>
      <c r="AP1642" s="156"/>
      <c r="AQ1642" s="156"/>
      <c r="AR1642" s="156"/>
      <c r="AS1642" s="156"/>
      <c r="AT1642" s="156"/>
      <c r="AU1642" s="156"/>
      <c r="AV1642" s="156"/>
      <c r="AW1642" s="156"/>
      <c r="AX1642" s="156"/>
      <c r="AY1642" s="156"/>
      <c r="AZ1642" s="156"/>
      <c r="BA1642" s="156"/>
      <c r="BB1642" s="2833">
        <f>(BD1642+BD1643)/(BE1642+BE1643)</f>
        <v>8.0066787200652847</v>
      </c>
      <c r="BC1642" s="590" t="str">
        <f t="shared" si="292"/>
        <v>Cooling Res 18 Year EUL</v>
      </c>
      <c r="BD1642" s="2829">
        <f>(INDEX('Avoided Cost Benefits'!$E$4:$E$859,MATCH(BC1642,'Avoided Cost Benefits'!$A$4:$A$859,0)))*F1642</f>
        <v>1053.8823953098552</v>
      </c>
      <c r="BE1642" s="858">
        <f t="shared" si="289"/>
        <v>683.34119867862194</v>
      </c>
      <c r="BF1642" s="156"/>
      <c r="BH1642" s="686"/>
    </row>
    <row r="1643" spans="1:60" x14ac:dyDescent="0.35">
      <c r="A1643" s="3493" t="str">
        <f t="shared" si="290"/>
        <v>353100_2021_12_Heating Res</v>
      </c>
      <c r="B1643" s="2812"/>
      <c r="C1643" s="1037" t="s">
        <v>1256</v>
      </c>
      <c r="D1643" s="1311" t="s">
        <v>318</v>
      </c>
      <c r="E1643" s="687" t="s">
        <v>1257</v>
      </c>
      <c r="F1643" s="618">
        <f>ROUND(((K1994*K2187*(1/K2380-1/K2573)*K3538)/1000)*$K$3677,2)</f>
        <v>9907.98</v>
      </c>
      <c r="G1643" s="2810" t="s">
        <v>1092</v>
      </c>
      <c r="H1643" s="2720">
        <f>VLOOKUP(G1643,'CP FACTORS'!$A$3:$B$38, 2, FALSE)</f>
        <v>0</v>
      </c>
      <c r="I1643" s="2995">
        <f t="shared" si="291"/>
        <v>0</v>
      </c>
      <c r="J1643" s="124">
        <f t="shared" si="286"/>
        <v>18</v>
      </c>
      <c r="K1643" s="462">
        <f t="shared" si="287"/>
        <v>0</v>
      </c>
      <c r="L1643" s="3496"/>
      <c r="M1643" s="103"/>
      <c r="N1643" s="1317"/>
      <c r="O1643" s="963"/>
      <c r="P1643" s="106"/>
      <c r="Q1643" s="106"/>
      <c r="R1643" s="1214"/>
      <c r="S1643" s="106"/>
      <c r="T1643" s="106"/>
      <c r="U1643" s="1319"/>
      <c r="V1643" s="3436" t="s">
        <v>30</v>
      </c>
      <c r="W1643" s="2914">
        <v>12836.414910662994</v>
      </c>
      <c r="X1643" s="685">
        <v>9558.6245427336198</v>
      </c>
      <c r="Y1643" s="615">
        <v>9558.6200000000008</v>
      </c>
      <c r="Z1643" s="615">
        <v>9558.6200000000008</v>
      </c>
      <c r="AA1643" s="615">
        <v>9558.6200000000008</v>
      </c>
      <c r="AB1643" s="3495">
        <v>9558.6200000000008</v>
      </c>
      <c r="AC1643" s="618">
        <v>9112.0499999999993</v>
      </c>
      <c r="AD1643" s="618">
        <v>9907.98</v>
      </c>
      <c r="AE1643" s="2914"/>
      <c r="AF1643" s="2914"/>
      <c r="AG1643" s="2914"/>
      <c r="AH1643" s="344"/>
      <c r="AI1643" s="156"/>
      <c r="AJ1643" s="3640"/>
      <c r="AK1643" s="2915"/>
      <c r="AL1643" s="156"/>
      <c r="AM1643" s="3640"/>
      <c r="AN1643" s="3640"/>
      <c r="AO1643" s="156"/>
      <c r="AP1643" s="156"/>
      <c r="AQ1643" s="156"/>
      <c r="AR1643" s="156"/>
      <c r="AS1643" s="156"/>
      <c r="AT1643" s="156"/>
      <c r="AU1643" s="156"/>
      <c r="AV1643" s="156"/>
      <c r="AW1643" s="156"/>
      <c r="AX1643" s="156"/>
      <c r="AY1643" s="156"/>
      <c r="AZ1643" s="156"/>
      <c r="BA1643" s="156"/>
      <c r="BB1643" s="2835"/>
      <c r="BC1643" s="687" t="str">
        <f t="shared" si="292"/>
        <v>Heating Res 18 Year EUL</v>
      </c>
      <c r="BD1643" s="2829">
        <f>(INDEX('Avoided Cost Benefits'!$E$4:$E$859,MATCH(BC1643,'Avoided Cost Benefits'!$A$4:$A$859,0)))*F1643</f>
        <v>4417.4110386941711</v>
      </c>
      <c r="BE1643" s="858">
        <f t="shared" si="289"/>
        <v>0</v>
      </c>
      <c r="BF1643" s="156"/>
      <c r="BH1643" s="686"/>
    </row>
    <row r="1644" spans="1:60" s="3398" customFormat="1" x14ac:dyDescent="0.35">
      <c r="A1644" s="3493" t="str">
        <f t="shared" si="290"/>
        <v>353110_2022_12_Cooling Res</v>
      </c>
      <c r="B1644" s="2812"/>
      <c r="C1644" s="2753" t="s">
        <v>4480</v>
      </c>
      <c r="D1644" s="2998" t="s">
        <v>318</v>
      </c>
      <c r="E1644" s="3498" t="s">
        <v>4481</v>
      </c>
      <c r="F1644" s="618">
        <f>ROUND(((K2767*K2960*(1/K3153-1/K3346)*K3539)/1000)*$K$3677,2)</f>
        <v>605.63</v>
      </c>
      <c r="G1644" s="2810" t="s">
        <v>1091</v>
      </c>
      <c r="H1644" s="2720">
        <f>VLOOKUP(G1644,'CP FACTORS'!$A$3:$B$38, 2, FALSE)</f>
        <v>9.4741810000000004E-4</v>
      </c>
      <c r="I1644" s="2995">
        <f t="shared" si="291"/>
        <v>0.57378499999999999</v>
      </c>
      <c r="J1644" s="464">
        <f t="shared" ref="J1644:J1645" si="293">K3788</f>
        <v>18</v>
      </c>
      <c r="K1644" s="465">
        <f t="shared" ref="K1644:K1645" si="294">K4174</f>
        <v>724</v>
      </c>
      <c r="L1644" s="3496">
        <f>L1995</f>
        <v>2.9502063491666668</v>
      </c>
      <c r="M1644" s="103"/>
      <c r="N1644" s="1317"/>
      <c r="O1644" s="963"/>
      <c r="R1644" s="1214"/>
      <c r="U1644" s="1319"/>
      <c r="V1644" s="1590" t="s">
        <v>30</v>
      </c>
      <c r="W1644" s="2914"/>
      <c r="X1644" s="685"/>
      <c r="Y1644" s="618"/>
      <c r="Z1644" s="615"/>
      <c r="AA1644" s="615"/>
      <c r="AB1644" s="3494"/>
      <c r="AC1644" s="618"/>
      <c r="AD1644" s="618">
        <v>605.63</v>
      </c>
      <c r="AE1644" s="2914"/>
      <c r="AF1644" s="2914"/>
      <c r="AG1644" s="2914"/>
      <c r="AH1644" s="344"/>
      <c r="AI1644" s="156"/>
      <c r="AJ1644" s="3640"/>
      <c r="AK1644" s="2915"/>
      <c r="AL1644" s="156"/>
      <c r="AM1644" s="3640"/>
      <c r="AN1644" s="3640"/>
      <c r="AO1644" s="156"/>
      <c r="AP1644" s="156"/>
      <c r="AQ1644" s="156"/>
      <c r="AR1644" s="156"/>
      <c r="AS1644" s="156"/>
      <c r="AT1644" s="156"/>
      <c r="AU1644" s="156"/>
      <c r="AV1644" s="156"/>
      <c r="AW1644" s="156"/>
      <c r="AX1644" s="156"/>
      <c r="AY1644" s="156"/>
      <c r="AZ1644" s="156"/>
      <c r="BA1644" s="156"/>
      <c r="BB1644" s="2741">
        <f>(BD1644+BD1645)/(BE1644+BE1645)</f>
        <v>1.542249168274574</v>
      </c>
      <c r="BC1644" s="3498" t="str">
        <f t="shared" ref="BC1644:BC1645" si="295">CONCATENATE(G1644," ",J1644," Year EUL")</f>
        <v>Cooling Res 18 Year EUL</v>
      </c>
      <c r="BD1644" s="1841">
        <f>(INDEX('Avoided Cost Benefits'!$E$4:$E$859,MATCH(BC1644,'Avoided Cost Benefits'!$A$4:$A$859,0)))*F1644</f>
        <v>1053.8823953098552</v>
      </c>
      <c r="BE1644" s="2507">
        <f t="shared" ref="BE1644:BE1645" si="296">K1644/(1.0595^(2020-2019))</f>
        <v>683.34119867862194</v>
      </c>
      <c r="BF1644" s="156"/>
      <c r="BH1644" s="686"/>
    </row>
    <row r="1645" spans="1:60" s="3398" customFormat="1" x14ac:dyDescent="0.35">
      <c r="A1645" s="3493" t="str">
        <f t="shared" si="290"/>
        <v>353110_2022_12_Heating Res</v>
      </c>
      <c r="B1645" s="2812"/>
      <c r="C1645" s="2753" t="s">
        <v>4480</v>
      </c>
      <c r="D1645" s="2998" t="s">
        <v>318</v>
      </c>
      <c r="E1645" s="3393" t="s">
        <v>4481</v>
      </c>
      <c r="F1645" s="618">
        <f>0</f>
        <v>0</v>
      </c>
      <c r="G1645" s="2810" t="s">
        <v>1092</v>
      </c>
      <c r="H1645" s="2720">
        <f>VLOOKUP(G1645,'CP FACTORS'!$A$3:$B$38, 2, FALSE)</f>
        <v>0</v>
      </c>
      <c r="I1645" s="2995">
        <f t="shared" si="291"/>
        <v>0</v>
      </c>
      <c r="J1645" s="464">
        <f t="shared" si="293"/>
        <v>18</v>
      </c>
      <c r="K1645" s="465">
        <f t="shared" si="294"/>
        <v>0</v>
      </c>
      <c r="L1645" s="3496"/>
      <c r="M1645" s="103"/>
      <c r="N1645" s="1317"/>
      <c r="O1645" s="963"/>
      <c r="R1645" s="1214"/>
      <c r="U1645" s="1319"/>
      <c r="V1645" s="1590" t="s">
        <v>30</v>
      </c>
      <c r="W1645" s="2914"/>
      <c r="X1645" s="685"/>
      <c r="Y1645" s="618"/>
      <c r="Z1645" s="615"/>
      <c r="AA1645" s="615"/>
      <c r="AB1645" s="3494"/>
      <c r="AC1645" s="618"/>
      <c r="AD1645" s="618">
        <v>0</v>
      </c>
      <c r="AE1645" s="2914"/>
      <c r="AF1645" s="2914"/>
      <c r="AG1645" s="2914"/>
      <c r="AH1645" s="344"/>
      <c r="AI1645" s="156"/>
      <c r="AJ1645" s="3640"/>
      <c r="AK1645" s="2915"/>
      <c r="AL1645" s="156"/>
      <c r="AM1645" s="3640"/>
      <c r="AN1645" s="3640"/>
      <c r="AO1645" s="156"/>
      <c r="AP1645" s="156"/>
      <c r="AQ1645" s="156"/>
      <c r="AR1645" s="156"/>
      <c r="AS1645" s="156"/>
      <c r="AT1645" s="156"/>
      <c r="AU1645" s="156"/>
      <c r="AV1645" s="156"/>
      <c r="AW1645" s="156"/>
      <c r="AX1645" s="156"/>
      <c r="AY1645" s="156"/>
      <c r="AZ1645" s="156"/>
      <c r="BA1645" s="156"/>
      <c r="BB1645" s="2745"/>
      <c r="BC1645" s="3393" t="str">
        <f t="shared" si="295"/>
        <v>Heating Res 18 Year EUL</v>
      </c>
      <c r="BD1645" s="1841">
        <f>(INDEX('Avoided Cost Benefits'!$E$4:$E$859,MATCH(BC1645,'Avoided Cost Benefits'!$A$4:$A$859,0)))*F1645</f>
        <v>0</v>
      </c>
      <c r="BE1645" s="2507">
        <f t="shared" si="296"/>
        <v>0</v>
      </c>
      <c r="BF1645" s="156"/>
      <c r="BH1645" s="686"/>
    </row>
    <row r="1646" spans="1:60" x14ac:dyDescent="0.35">
      <c r="A1646" s="3493" t="str">
        <f t="shared" si="290"/>
        <v>353150_2019_12_Cooling Res</v>
      </c>
      <c r="B1646" s="2812"/>
      <c r="C1646" s="1037" t="s">
        <v>1258</v>
      </c>
      <c r="D1646" s="1311" t="s">
        <v>320</v>
      </c>
      <c r="E1646" s="590" t="s">
        <v>1259</v>
      </c>
      <c r="F1646" s="615">
        <f>ROUND(((K2768*K2961*(1/K3154-1/K3347)*K3540)/1000)*$K$3677,2)</f>
        <v>343.51</v>
      </c>
      <c r="G1646" s="1313" t="s">
        <v>1091</v>
      </c>
      <c r="H1646" s="136">
        <f>VLOOKUP(G1646,'CP FACTORS'!$A$3:$B$38, 2, FALSE)</f>
        <v>9.4741810000000004E-4</v>
      </c>
      <c r="I1646" s="3497">
        <f t="shared" si="291"/>
        <v>0.32544800000000002</v>
      </c>
      <c r="J1646" s="124">
        <f t="shared" ref="J1646:J1655" si="297">K3790</f>
        <v>18</v>
      </c>
      <c r="K1646" s="462">
        <f t="shared" ref="K1646:K1655" si="298">K4176</f>
        <v>724</v>
      </c>
      <c r="L1646" s="689">
        <f>L1996</f>
        <v>2.8</v>
      </c>
      <c r="M1646" s="103"/>
      <c r="N1646" s="1317"/>
      <c r="O1646" s="963"/>
      <c r="P1646" s="106"/>
      <c r="Q1646" s="106"/>
      <c r="R1646" s="1214"/>
      <c r="S1646" s="106"/>
      <c r="T1646" s="106"/>
      <c r="U1646" s="1319"/>
      <c r="V1646" s="3436" t="s">
        <v>30</v>
      </c>
      <c r="W1646" s="2914">
        <v>1674.6141176470589</v>
      </c>
      <c r="X1646" s="685">
        <v>1161.9771428571428</v>
      </c>
      <c r="Y1646" s="618">
        <v>343.51</v>
      </c>
      <c r="Z1646" s="615">
        <v>343.51</v>
      </c>
      <c r="AA1646" s="615">
        <v>343.51</v>
      </c>
      <c r="AB1646" s="3495">
        <v>343.51</v>
      </c>
      <c r="AC1646" s="2912">
        <v>343.51</v>
      </c>
      <c r="AD1646" s="615">
        <v>343.51</v>
      </c>
      <c r="AE1646" s="2914"/>
      <c r="AF1646" s="2914"/>
      <c r="AG1646" s="2914"/>
      <c r="AH1646" s="344"/>
      <c r="AI1646" s="156"/>
      <c r="AJ1646" s="3640"/>
      <c r="AK1646" s="2915"/>
      <c r="AL1646" s="156"/>
      <c r="AM1646" s="3640"/>
      <c r="AN1646" s="3640"/>
      <c r="AO1646" s="156"/>
      <c r="AP1646" s="156"/>
      <c r="AQ1646" s="156"/>
      <c r="AR1646" s="156"/>
      <c r="AS1646" s="156"/>
      <c r="AT1646" s="156"/>
      <c r="AU1646" s="156"/>
      <c r="AV1646" s="156"/>
      <c r="AW1646" s="156"/>
      <c r="AX1646" s="156"/>
      <c r="AY1646" s="156"/>
      <c r="AZ1646" s="156"/>
      <c r="BA1646" s="156"/>
      <c r="BB1646" s="2833">
        <f>(BD1646+BD1647)/(BE1646+BE1647)</f>
        <v>4.9284787864441242</v>
      </c>
      <c r="BC1646" s="590" t="str">
        <f t="shared" si="292"/>
        <v>Cooling Res 18 Year EUL</v>
      </c>
      <c r="BD1646" s="2829">
        <f>(INDEX('Avoided Cost Benefits'!$E$4:$E$859,MATCH(BC1646,'Avoided Cost Benefits'!$A$4:$A$859,0)))*F1646</f>
        <v>597.756289504959</v>
      </c>
      <c r="BE1646" s="858">
        <f t="shared" si="289"/>
        <v>683.34119867862194</v>
      </c>
      <c r="BF1646" s="156"/>
      <c r="BH1646" s="686"/>
    </row>
    <row r="1647" spans="1:60" x14ac:dyDescent="0.35">
      <c r="A1647" s="3493" t="str">
        <f t="shared" si="290"/>
        <v>353150_2019_12_Heating Res</v>
      </c>
      <c r="B1647" s="2812"/>
      <c r="C1647" s="1037" t="s">
        <v>1258</v>
      </c>
      <c r="D1647" s="1311" t="s">
        <v>320</v>
      </c>
      <c r="E1647" s="687" t="s">
        <v>1259</v>
      </c>
      <c r="F1647" s="615">
        <f>ROUND(((K1996*K2189*(1/K2382-1/K2575)*K3540)/1000)*$K$3677,2)</f>
        <v>6213.11</v>
      </c>
      <c r="G1647" s="1313" t="s">
        <v>1092</v>
      </c>
      <c r="H1647" s="136">
        <f>VLOOKUP(G1647,'CP FACTORS'!$A$3:$B$38, 2, FALSE)</f>
        <v>0</v>
      </c>
      <c r="I1647" s="3497">
        <f t="shared" si="291"/>
        <v>0</v>
      </c>
      <c r="J1647" s="124">
        <f t="shared" si="297"/>
        <v>18</v>
      </c>
      <c r="K1647" s="462">
        <f t="shared" si="298"/>
        <v>0</v>
      </c>
      <c r="L1647" s="689"/>
      <c r="M1647" s="103"/>
      <c r="N1647" s="1317"/>
      <c r="O1647" s="963"/>
      <c r="P1647" s="106"/>
      <c r="Q1647" s="106"/>
      <c r="R1647" s="1214"/>
      <c r="S1647" s="106"/>
      <c r="T1647" s="106"/>
      <c r="U1647" s="1319"/>
      <c r="V1647" s="3436" t="s">
        <v>30</v>
      </c>
      <c r="W1647" s="2914">
        <v>8343.6696919309452</v>
      </c>
      <c r="X1647" s="685">
        <v>6213.105952776853</v>
      </c>
      <c r="Y1647" s="615">
        <v>6213.11</v>
      </c>
      <c r="Z1647" s="615">
        <v>6213.11</v>
      </c>
      <c r="AA1647" s="615">
        <v>6213.11</v>
      </c>
      <c r="AB1647" s="3495">
        <v>6213.11</v>
      </c>
      <c r="AC1647" s="2912">
        <v>6213.11</v>
      </c>
      <c r="AD1647" s="615">
        <v>6213.11</v>
      </c>
      <c r="AE1647" s="2914"/>
      <c r="AF1647" s="2914"/>
      <c r="AG1647" s="2914"/>
      <c r="AH1647" s="344"/>
      <c r="AI1647" s="156"/>
      <c r="AJ1647" s="3640"/>
      <c r="AK1647" s="2915"/>
      <c r="AL1647" s="156"/>
      <c r="AM1647" s="3640"/>
      <c r="AN1647" s="3640"/>
      <c r="AO1647" s="156"/>
      <c r="AP1647" s="156"/>
      <c r="AQ1647" s="156"/>
      <c r="AR1647" s="156"/>
      <c r="AS1647" s="156"/>
      <c r="AT1647" s="156"/>
      <c r="AU1647" s="156"/>
      <c r="AV1647" s="156"/>
      <c r="AW1647" s="156"/>
      <c r="AX1647" s="156"/>
      <c r="AY1647" s="156"/>
      <c r="AZ1647" s="156"/>
      <c r="BA1647" s="156"/>
      <c r="BB1647" s="2835"/>
      <c r="BC1647" s="687" t="str">
        <f t="shared" si="292"/>
        <v>Heating Res 18 Year EUL</v>
      </c>
      <c r="BD1647" s="2829">
        <f>(INDEX('Avoided Cost Benefits'!$E$4:$E$859,MATCH(BC1647,'Avoided Cost Benefits'!$A$4:$A$859,0)))*F1647</f>
        <v>2770.0763120859287</v>
      </c>
      <c r="BE1647" s="858">
        <f t="shared" si="289"/>
        <v>0</v>
      </c>
      <c r="BF1647" s="156"/>
      <c r="BH1647" s="686"/>
    </row>
    <row r="1648" spans="1:60" x14ac:dyDescent="0.35">
      <c r="A1648" s="3493" t="str">
        <f t="shared" si="290"/>
        <v>353151_2019_12_Cooling Res</v>
      </c>
      <c r="B1648" s="2812"/>
      <c r="C1648" s="1037" t="s">
        <v>1260</v>
      </c>
      <c r="D1648" s="1311" t="s">
        <v>315</v>
      </c>
      <c r="E1648" s="3418" t="s">
        <v>1261</v>
      </c>
      <c r="F1648" s="615">
        <f>ROUND((($K$2769*$K$2962*(1/$K$3155-1/$K$3348)*$K$3541)/1000)*$K$3677,2)</f>
        <v>249.83</v>
      </c>
      <c r="G1648" s="1313" t="str">
        <f>G1646</f>
        <v>Cooling Res</v>
      </c>
      <c r="H1648" s="136">
        <f>VLOOKUP(G1648,'CP FACTORS'!$A$3:$B$38, 2, FALSE)</f>
        <v>9.4741810000000004E-4</v>
      </c>
      <c r="I1648" s="3497">
        <f t="shared" si="291"/>
        <v>0.23669299999999999</v>
      </c>
      <c r="J1648" s="124">
        <f t="shared" si="297"/>
        <v>18</v>
      </c>
      <c r="K1648" s="462">
        <f t="shared" si="298"/>
        <v>724</v>
      </c>
      <c r="L1648" s="689">
        <f>L1997</f>
        <v>2.8</v>
      </c>
      <c r="M1648" s="103"/>
      <c r="N1648" s="1317"/>
      <c r="O1648" s="963"/>
      <c r="P1648" s="106"/>
      <c r="Q1648" s="106"/>
      <c r="R1648" s="1214"/>
      <c r="S1648" s="106"/>
      <c r="T1648" s="106"/>
      <c r="U1648" s="1319"/>
      <c r="V1648" s="3436" t="s">
        <v>30</v>
      </c>
      <c r="W1648" s="2914"/>
      <c r="X1648" s="685"/>
      <c r="Y1648" s="618">
        <v>249.83</v>
      </c>
      <c r="Z1648" s="615">
        <v>249.83</v>
      </c>
      <c r="AA1648" s="615">
        <v>249.83</v>
      </c>
      <c r="AB1648" s="3495">
        <v>249.83</v>
      </c>
      <c r="AC1648" s="2912">
        <v>249.83</v>
      </c>
      <c r="AD1648" s="615">
        <v>249.83</v>
      </c>
      <c r="AE1648" s="2914"/>
      <c r="AF1648" s="2914"/>
      <c r="AG1648" s="2914"/>
      <c r="AH1648" s="344"/>
      <c r="AI1648" s="156"/>
      <c r="AJ1648" s="3640"/>
      <c r="AK1648" s="2915"/>
      <c r="AL1648" s="156"/>
      <c r="AM1648" s="3640"/>
      <c r="AN1648" s="3640"/>
      <c r="AO1648" s="156"/>
      <c r="AP1648" s="156"/>
      <c r="AQ1648" s="156"/>
      <c r="AR1648" s="156"/>
      <c r="AS1648" s="156"/>
      <c r="AT1648" s="156"/>
      <c r="AU1648" s="156"/>
      <c r="AV1648" s="156"/>
      <c r="AW1648" s="156"/>
      <c r="AX1648" s="156"/>
      <c r="AY1648" s="156"/>
      <c r="AZ1648" s="156"/>
      <c r="BA1648" s="156"/>
      <c r="BB1648" s="2833">
        <f>(BD1648+BD1649)/(BE1648+BE1649)</f>
        <v>2.0181447034308966</v>
      </c>
      <c r="BC1648" s="590" t="str">
        <f t="shared" si="292"/>
        <v>Cooling Res 18 Year EUL</v>
      </c>
      <c r="BD1648" s="2829">
        <f>(INDEX('Avoided Cost Benefits'!$E$4:$E$859,MATCH(BC1648,'Avoided Cost Benefits'!$A$4:$A$859,0)))*F1648</f>
        <v>434.73975665053104</v>
      </c>
      <c r="BE1648" s="858">
        <f t="shared" si="289"/>
        <v>683.34119867862194</v>
      </c>
      <c r="BF1648" s="156"/>
      <c r="BH1648" s="686"/>
    </row>
    <row r="1649" spans="1:60" x14ac:dyDescent="0.35">
      <c r="A1649" s="3493" t="str">
        <f t="shared" si="290"/>
        <v>353151_2019_12_Heating Res</v>
      </c>
      <c r="B1649" s="2812"/>
      <c r="C1649" s="1037" t="str">
        <f>C1648</f>
        <v>353151_2019_12_</v>
      </c>
      <c r="D1649" s="1311" t="s">
        <v>315</v>
      </c>
      <c r="E1649" s="3419" t="s">
        <v>1261</v>
      </c>
      <c r="F1649" s="615">
        <f>ROUND((($K$1997*$K$2190*(1/$K$2383-1/$K$2576)*$K$3541)/1000)*$K$3677,2)</f>
        <v>2118.1</v>
      </c>
      <c r="G1649" s="1313" t="str">
        <f>G1647</f>
        <v>Heating Res</v>
      </c>
      <c r="H1649" s="136">
        <f>VLOOKUP(G1649,'CP FACTORS'!$A$3:$B$38, 2, FALSE)</f>
        <v>0</v>
      </c>
      <c r="I1649" s="3497">
        <f t="shared" si="291"/>
        <v>0</v>
      </c>
      <c r="J1649" s="124">
        <f t="shared" si="297"/>
        <v>18</v>
      </c>
      <c r="K1649" s="462">
        <f t="shared" si="298"/>
        <v>0</v>
      </c>
      <c r="L1649" s="689"/>
      <c r="M1649" s="103"/>
      <c r="N1649" s="1317"/>
      <c r="O1649" s="963"/>
      <c r="P1649" s="106"/>
      <c r="Q1649" s="106"/>
      <c r="R1649" s="1214"/>
      <c r="S1649" s="106"/>
      <c r="T1649" s="106"/>
      <c r="U1649" s="1319"/>
      <c r="V1649" s="3436" t="s">
        <v>30</v>
      </c>
      <c r="W1649" s="2914"/>
      <c r="X1649" s="685"/>
      <c r="Y1649" s="618">
        <v>2118.1</v>
      </c>
      <c r="Z1649" s="615">
        <v>2118.1</v>
      </c>
      <c r="AA1649" s="615">
        <v>2118.1</v>
      </c>
      <c r="AB1649" s="3495">
        <v>2118.1</v>
      </c>
      <c r="AC1649" s="2912">
        <v>2118.1</v>
      </c>
      <c r="AD1649" s="615">
        <v>2118.1</v>
      </c>
      <c r="AE1649" s="2914"/>
      <c r="AF1649" s="2914"/>
      <c r="AG1649" s="2914"/>
      <c r="AH1649" s="344"/>
      <c r="AI1649" s="156"/>
      <c r="AJ1649" s="3640"/>
      <c r="AK1649" s="2915"/>
      <c r="AL1649" s="156"/>
      <c r="AM1649" s="3640"/>
      <c r="AN1649" s="3640"/>
      <c r="AO1649" s="156"/>
      <c r="AP1649" s="156"/>
      <c r="AQ1649" s="156"/>
      <c r="AR1649" s="156"/>
      <c r="AS1649" s="156"/>
      <c r="AT1649" s="156"/>
      <c r="AU1649" s="156"/>
      <c r="AV1649" s="156"/>
      <c r="AW1649" s="156"/>
      <c r="AX1649" s="156"/>
      <c r="AY1649" s="156"/>
      <c r="AZ1649" s="156"/>
      <c r="BA1649" s="156"/>
      <c r="BB1649" s="2835"/>
      <c r="BC1649" s="687" t="str">
        <f t="shared" si="292"/>
        <v>Heating Res 18 Year EUL</v>
      </c>
      <c r="BD1649" s="2829">
        <f>(INDEX('Avoided Cost Benefits'!$E$4:$E$859,MATCH(BC1649,'Avoided Cost Benefits'!$A$4:$A$859,0)))*F1649</f>
        <v>944.34166409884995</v>
      </c>
      <c r="BE1649" s="858">
        <f t="shared" si="289"/>
        <v>0</v>
      </c>
      <c r="BF1649" s="156"/>
      <c r="BH1649" s="686"/>
    </row>
    <row r="1650" spans="1:60" x14ac:dyDescent="0.35">
      <c r="A1650" s="3493" t="str">
        <f t="shared" si="290"/>
        <v>353160_2021_12_Cooling Res</v>
      </c>
      <c r="B1650" s="2812"/>
      <c r="C1650" s="1037" t="s">
        <v>1262</v>
      </c>
      <c r="D1650" s="1311" t="s">
        <v>320</v>
      </c>
      <c r="E1650" s="3420" t="s">
        <v>1263</v>
      </c>
      <c r="F1650" s="615">
        <f>ROUND(((K2770*K2963*(1/K3156-1/K3349)*K3542)/1000)*$K$3677,2)</f>
        <v>343.51</v>
      </c>
      <c r="G1650" s="1313" t="s">
        <v>1091</v>
      </c>
      <c r="H1650" s="136">
        <f>VLOOKUP(G1650,'CP FACTORS'!$A$3:$B$38, 2, FALSE)</f>
        <v>9.4741810000000004E-4</v>
      </c>
      <c r="I1650" s="3497">
        <f t="shared" si="291"/>
        <v>0.32544800000000002</v>
      </c>
      <c r="J1650" s="124">
        <f t="shared" si="297"/>
        <v>18</v>
      </c>
      <c r="K1650" s="462">
        <f t="shared" si="298"/>
        <v>724</v>
      </c>
      <c r="L1650" s="3496">
        <f>L1998</f>
        <v>2.8</v>
      </c>
      <c r="M1650" s="103"/>
      <c r="N1650" s="1317"/>
      <c r="O1650" s="963"/>
      <c r="P1650" s="106"/>
      <c r="Q1650" s="106"/>
      <c r="R1650" s="1214"/>
      <c r="S1650" s="106"/>
      <c r="T1650" s="106"/>
      <c r="U1650" s="1319"/>
      <c r="V1650" s="1590" t="s">
        <v>30</v>
      </c>
      <c r="W1650" s="2914"/>
      <c r="X1650" s="685"/>
      <c r="Y1650" s="618"/>
      <c r="Z1650" s="615"/>
      <c r="AA1650" s="615"/>
      <c r="AB1650" s="3495"/>
      <c r="AC1650" s="618">
        <v>343.51</v>
      </c>
      <c r="AD1650" s="615">
        <v>343.51</v>
      </c>
      <c r="AE1650" s="2914"/>
      <c r="AF1650" s="2914"/>
      <c r="AG1650" s="2914"/>
      <c r="AH1650" s="344"/>
      <c r="AI1650" s="156"/>
      <c r="AJ1650" s="3640"/>
      <c r="AK1650" s="2915"/>
      <c r="AL1650" s="156"/>
      <c r="AM1650" s="3640"/>
      <c r="AN1650" s="3640"/>
      <c r="AO1650" s="156"/>
      <c r="AP1650" s="156"/>
      <c r="AQ1650" s="156"/>
      <c r="AR1650" s="156"/>
      <c r="AS1650" s="156"/>
      <c r="AT1650" s="156"/>
      <c r="AU1650" s="156"/>
      <c r="AV1650" s="156"/>
      <c r="AW1650" s="156"/>
      <c r="AX1650" s="156"/>
      <c r="AY1650" s="156"/>
      <c r="AZ1650" s="156"/>
      <c r="BA1650" s="156"/>
      <c r="BB1650" s="2741">
        <f>(BD1650+BD1651)/(BE1650+BE1651)</f>
        <v>0.87475523305318248</v>
      </c>
      <c r="BC1650" s="3392" t="str">
        <f t="shared" si="292"/>
        <v>Cooling Res 18 Year EUL</v>
      </c>
      <c r="BD1650" s="1841">
        <f>(INDEX('Avoided Cost Benefits'!$E$4:$E$859,MATCH(BC1650,'Avoided Cost Benefits'!$A$4:$A$859,0)))*F1650</f>
        <v>597.756289504959</v>
      </c>
      <c r="BE1650" s="2507">
        <f t="shared" si="289"/>
        <v>683.34119867862194</v>
      </c>
      <c r="BF1650" s="156"/>
      <c r="BH1650" s="686"/>
    </row>
    <row r="1651" spans="1:60" x14ac:dyDescent="0.35">
      <c r="A1651" s="3493" t="str">
        <f t="shared" si="290"/>
        <v>353160_2021_12_Heating Res</v>
      </c>
      <c r="B1651" s="2812"/>
      <c r="C1651" s="1037" t="s">
        <v>1262</v>
      </c>
      <c r="D1651" s="1311" t="s">
        <v>320</v>
      </c>
      <c r="E1651" s="3419" t="s">
        <v>1263</v>
      </c>
      <c r="F1651" s="615">
        <v>0</v>
      </c>
      <c r="G1651" s="1313" t="s">
        <v>1092</v>
      </c>
      <c r="H1651" s="136">
        <f>VLOOKUP(G1651,'CP FACTORS'!$A$3:$B$38, 2, FALSE)</f>
        <v>0</v>
      </c>
      <c r="I1651" s="3497">
        <f t="shared" si="291"/>
        <v>0</v>
      </c>
      <c r="J1651" s="124">
        <f t="shared" si="297"/>
        <v>18</v>
      </c>
      <c r="K1651" s="462">
        <f t="shared" si="298"/>
        <v>0</v>
      </c>
      <c r="L1651" s="3496"/>
      <c r="M1651" s="103"/>
      <c r="N1651" s="1317"/>
      <c r="O1651" s="963"/>
      <c r="P1651" s="106"/>
      <c r="Q1651" s="106"/>
      <c r="R1651" s="1214"/>
      <c r="S1651" s="106"/>
      <c r="T1651" s="106"/>
      <c r="U1651" s="1319"/>
      <c r="V1651" s="1590" t="s">
        <v>30</v>
      </c>
      <c r="W1651" s="2914"/>
      <c r="X1651" s="685"/>
      <c r="Y1651" s="618"/>
      <c r="Z1651" s="615"/>
      <c r="AA1651" s="615"/>
      <c r="AB1651" s="3495"/>
      <c r="AC1651" s="618">
        <v>0</v>
      </c>
      <c r="AD1651" s="615">
        <v>0</v>
      </c>
      <c r="AE1651" s="2914"/>
      <c r="AF1651" s="2914"/>
      <c r="AG1651" s="2914"/>
      <c r="AH1651" s="344"/>
      <c r="AI1651" s="156"/>
      <c r="AJ1651" s="3640"/>
      <c r="AK1651" s="2915"/>
      <c r="AL1651" s="156"/>
      <c r="AM1651" s="3640"/>
      <c r="AN1651" s="3640"/>
      <c r="AO1651" s="156"/>
      <c r="AP1651" s="156"/>
      <c r="AQ1651" s="156"/>
      <c r="AR1651" s="156"/>
      <c r="AS1651" s="156"/>
      <c r="AT1651" s="156"/>
      <c r="AU1651" s="156"/>
      <c r="AV1651" s="156"/>
      <c r="AW1651" s="156"/>
      <c r="AX1651" s="156"/>
      <c r="AY1651" s="156"/>
      <c r="AZ1651" s="156"/>
      <c r="BA1651" s="156"/>
      <c r="BB1651" s="2745"/>
      <c r="BC1651" s="3393" t="str">
        <f t="shared" si="292"/>
        <v>Heating Res 18 Year EUL</v>
      </c>
      <c r="BD1651" s="1841">
        <f>(INDEX('Avoided Cost Benefits'!$E$4:$E$859,MATCH(BC1651,'Avoided Cost Benefits'!$A$4:$A$859,0)))*F1651</f>
        <v>0</v>
      </c>
      <c r="BE1651" s="2507">
        <f t="shared" si="289"/>
        <v>0</v>
      </c>
      <c r="BF1651" s="156"/>
      <c r="BH1651" s="686"/>
    </row>
    <row r="1652" spans="1:60" x14ac:dyDescent="0.35">
      <c r="A1652" s="3493" t="str">
        <f t="shared" si="290"/>
        <v>353161_2021_12_Cooling Res</v>
      </c>
      <c r="B1652" s="2812"/>
      <c r="C1652" s="1037" t="s">
        <v>1264</v>
      </c>
      <c r="D1652" s="1311" t="s">
        <v>315</v>
      </c>
      <c r="E1652" s="3420" t="s">
        <v>1265</v>
      </c>
      <c r="F1652" s="615">
        <f>ROUND(((K2771*K2964*(1/K3157-1/K3350)*K3543)/1000)*$K$3677,2)</f>
        <v>249.83</v>
      </c>
      <c r="G1652" s="1313" t="s">
        <v>1091</v>
      </c>
      <c r="H1652" s="136">
        <f>VLOOKUP(G1652,'CP FACTORS'!$A$3:$B$38, 2, FALSE)</f>
        <v>9.4741810000000004E-4</v>
      </c>
      <c r="I1652" s="3497">
        <f t="shared" si="291"/>
        <v>0.23669299999999999</v>
      </c>
      <c r="J1652" s="124">
        <f t="shared" si="297"/>
        <v>18</v>
      </c>
      <c r="K1652" s="462">
        <f t="shared" si="298"/>
        <v>724</v>
      </c>
      <c r="L1652" s="3496">
        <f>L1999</f>
        <v>2.8</v>
      </c>
      <c r="M1652" s="103"/>
      <c r="N1652" s="1317"/>
      <c r="O1652" s="963"/>
      <c r="P1652" s="106"/>
      <c r="Q1652" s="106"/>
      <c r="R1652" s="1214"/>
      <c r="S1652" s="106"/>
      <c r="T1652" s="106"/>
      <c r="U1652" s="1319"/>
      <c r="V1652" s="1590" t="s">
        <v>30</v>
      </c>
      <c r="W1652" s="2914"/>
      <c r="X1652" s="685"/>
      <c r="Y1652" s="618"/>
      <c r="Z1652" s="615"/>
      <c r="AA1652" s="615"/>
      <c r="AB1652" s="3495"/>
      <c r="AC1652" s="618">
        <v>249.83</v>
      </c>
      <c r="AD1652" s="615">
        <v>249.83</v>
      </c>
      <c r="AE1652" s="2914"/>
      <c r="AF1652" s="2914"/>
      <c r="AG1652" s="2914"/>
      <c r="AH1652" s="344"/>
      <c r="AI1652" s="156"/>
      <c r="AJ1652" s="3640"/>
      <c r="AK1652" s="2915"/>
      <c r="AL1652" s="156"/>
      <c r="AM1652" s="3640"/>
      <c r="AN1652" s="3640"/>
      <c r="AO1652" s="156"/>
      <c r="AP1652" s="156"/>
      <c r="AQ1652" s="156"/>
      <c r="AR1652" s="156"/>
      <c r="AS1652" s="156"/>
      <c r="AT1652" s="156"/>
      <c r="AU1652" s="156"/>
      <c r="AV1652" s="156"/>
      <c r="AW1652" s="156"/>
      <c r="AX1652" s="156"/>
      <c r="AY1652" s="156"/>
      <c r="AZ1652" s="156"/>
      <c r="BA1652" s="156"/>
      <c r="BB1652" s="2741">
        <f>(BD1652+BD1653)/(BE1652+BE1653)</f>
        <v>0.63619719913154371</v>
      </c>
      <c r="BC1652" s="3392" t="str">
        <f t="shared" si="292"/>
        <v>Cooling Res 18 Year EUL</v>
      </c>
      <c r="BD1652" s="1841">
        <f>(INDEX('Avoided Cost Benefits'!$E$4:$E$859,MATCH(BC1652,'Avoided Cost Benefits'!$A$4:$A$859,0)))*F1652</f>
        <v>434.73975665053104</v>
      </c>
      <c r="BE1652" s="2507">
        <f t="shared" si="289"/>
        <v>683.34119867862194</v>
      </c>
      <c r="BF1652" s="156"/>
      <c r="BH1652" s="686"/>
    </row>
    <row r="1653" spans="1:60" x14ac:dyDescent="0.35">
      <c r="A1653" s="3493" t="str">
        <f t="shared" si="290"/>
        <v>353161_2021_12_Heating Res</v>
      </c>
      <c r="B1653" s="2812"/>
      <c r="C1653" s="1037" t="s">
        <v>1264</v>
      </c>
      <c r="D1653" s="1311" t="s">
        <v>315</v>
      </c>
      <c r="E1653" s="3420" t="s">
        <v>1265</v>
      </c>
      <c r="F1653" s="615">
        <f>0</f>
        <v>0</v>
      </c>
      <c r="G1653" s="1313" t="s">
        <v>1092</v>
      </c>
      <c r="H1653" s="136">
        <f>VLOOKUP(G1653,'CP FACTORS'!$A$3:$B$38, 2, FALSE)</f>
        <v>0</v>
      </c>
      <c r="I1653" s="3497">
        <f t="shared" si="291"/>
        <v>0</v>
      </c>
      <c r="J1653" s="124">
        <f t="shared" si="297"/>
        <v>18</v>
      </c>
      <c r="K1653" s="462">
        <f t="shared" si="298"/>
        <v>0</v>
      </c>
      <c r="L1653" s="3496"/>
      <c r="M1653" s="103"/>
      <c r="N1653" s="1317"/>
      <c r="O1653" s="963"/>
      <c r="P1653" s="106"/>
      <c r="Q1653" s="106"/>
      <c r="R1653" s="1214"/>
      <c r="S1653" s="106"/>
      <c r="T1653" s="106"/>
      <c r="U1653" s="1319"/>
      <c r="V1653" s="1590" t="s">
        <v>30</v>
      </c>
      <c r="W1653" s="2914"/>
      <c r="X1653" s="685"/>
      <c r="Y1653" s="618"/>
      <c r="Z1653" s="615"/>
      <c r="AA1653" s="615"/>
      <c r="AB1653" s="3495"/>
      <c r="AC1653" s="618">
        <v>0</v>
      </c>
      <c r="AD1653" s="615">
        <v>0</v>
      </c>
      <c r="AE1653" s="2914"/>
      <c r="AF1653" s="2914"/>
      <c r="AG1653" s="2914"/>
      <c r="AH1653" s="344"/>
      <c r="AI1653" s="156"/>
      <c r="AJ1653" s="3640"/>
      <c r="AK1653" s="2915"/>
      <c r="AL1653" s="156"/>
      <c r="AM1653" s="3640"/>
      <c r="AN1653" s="3640"/>
      <c r="AO1653" s="156"/>
      <c r="AP1653" s="156"/>
      <c r="AQ1653" s="156"/>
      <c r="AR1653" s="156"/>
      <c r="AS1653" s="156"/>
      <c r="AT1653" s="156"/>
      <c r="AU1653" s="156"/>
      <c r="AV1653" s="156"/>
      <c r="AW1653" s="156"/>
      <c r="AX1653" s="156"/>
      <c r="AY1653" s="156"/>
      <c r="AZ1653" s="156"/>
      <c r="BA1653" s="156"/>
      <c r="BB1653" s="2745"/>
      <c r="BC1653" s="3392" t="str">
        <f t="shared" si="292"/>
        <v>Heating Res 18 Year EUL</v>
      </c>
      <c r="BD1653" s="1841">
        <f>(INDEX('Avoided Cost Benefits'!$E$4:$E$859,MATCH(BC1653,'Avoided Cost Benefits'!$A$4:$A$859,0)))*F1653</f>
        <v>0</v>
      </c>
      <c r="BE1653" s="2507">
        <f t="shared" si="289"/>
        <v>0</v>
      </c>
      <c r="BF1653" s="156"/>
      <c r="BH1653" s="686"/>
    </row>
    <row r="1654" spans="1:60" x14ac:dyDescent="0.35">
      <c r="A1654" s="3493" t="str">
        <f t="shared" si="290"/>
        <v>353200_2021_12_Cooling Res</v>
      </c>
      <c r="B1654" s="2812"/>
      <c r="C1654" s="1037" t="s">
        <v>1267</v>
      </c>
      <c r="D1654" s="1311" t="s">
        <v>318</v>
      </c>
      <c r="E1654" s="590" t="s">
        <v>1268</v>
      </c>
      <c r="F1654" s="618">
        <f>ROUND(((K2772*K2965*(1/K3158-1/K3351)*K3544)/1000)*$K$3677,2)</f>
        <v>707.23</v>
      </c>
      <c r="G1654" s="2810" t="s">
        <v>1091</v>
      </c>
      <c r="H1654" s="2720">
        <f>VLOOKUP(G1654,'CP FACTORS'!$A$3:$B$38, 2, FALSE)</f>
        <v>9.4741810000000004E-4</v>
      </c>
      <c r="I1654" s="2995">
        <f t="shared" si="291"/>
        <v>0.67004300000000006</v>
      </c>
      <c r="J1654" s="124">
        <f t="shared" si="297"/>
        <v>18</v>
      </c>
      <c r="K1654" s="462">
        <f t="shared" si="298"/>
        <v>962.92000000000007</v>
      </c>
      <c r="L1654" s="3496">
        <f>L2000</f>
        <v>3.1232222977546749</v>
      </c>
      <c r="M1654" s="103"/>
      <c r="N1654" s="1317"/>
      <c r="O1654" s="963"/>
      <c r="P1654" s="106"/>
      <c r="Q1654" s="106"/>
      <c r="R1654" s="1214"/>
      <c r="S1654" s="106"/>
      <c r="T1654" s="106"/>
      <c r="U1654" s="1319"/>
      <c r="V1654" s="3436" t="s">
        <v>30</v>
      </c>
      <c r="W1654" s="2914">
        <v>2671.7490196078434</v>
      </c>
      <c r="X1654" s="685">
        <v>1883.0767507002802</v>
      </c>
      <c r="Y1654" s="618">
        <v>623.9</v>
      </c>
      <c r="Z1654" s="615">
        <v>623.9</v>
      </c>
      <c r="AA1654" s="615">
        <v>623.9</v>
      </c>
      <c r="AB1654" s="3494">
        <v>759.94</v>
      </c>
      <c r="AC1654" s="618">
        <v>651.29999999999995</v>
      </c>
      <c r="AD1654" s="618">
        <v>707.23</v>
      </c>
      <c r="AE1654" s="2914"/>
      <c r="AF1654" s="2914"/>
      <c r="AG1654" s="2914"/>
      <c r="AH1654" s="344"/>
      <c r="AI1654" s="156"/>
      <c r="AJ1654" s="3640"/>
      <c r="AK1654" s="2915"/>
      <c r="AL1654" s="156"/>
      <c r="AM1654" s="3640"/>
      <c r="AN1654" s="3640"/>
      <c r="AO1654" s="156"/>
      <c r="AP1654" s="156"/>
      <c r="AQ1654" s="156"/>
      <c r="AR1654" s="156"/>
      <c r="AS1654" s="156"/>
      <c r="AT1654" s="156"/>
      <c r="AU1654" s="156"/>
      <c r="AV1654" s="156"/>
      <c r="AW1654" s="156"/>
      <c r="AX1654" s="156"/>
      <c r="AY1654" s="156"/>
      <c r="AZ1654" s="156"/>
      <c r="BA1654" s="156"/>
      <c r="BB1654" s="2833">
        <f>(BD1654+BD1655)/(BE1654+BE1655)</f>
        <v>6.709934828696821</v>
      </c>
      <c r="BC1654" s="590" t="str">
        <f t="shared" si="292"/>
        <v>Cooling Res 18 Year EUL</v>
      </c>
      <c r="BD1654" s="2829">
        <f>(INDEX('Avoided Cost Benefits'!$E$4:$E$859,MATCH(BC1654,'Avoided Cost Benefits'!$A$4:$A$859,0)))*F1654</f>
        <v>1230.6808553654687</v>
      </c>
      <c r="BE1654" s="858">
        <f t="shared" si="289"/>
        <v>908.84379424256724</v>
      </c>
      <c r="BF1654" s="156"/>
      <c r="BH1654" s="686"/>
    </row>
    <row r="1655" spans="1:60" x14ac:dyDescent="0.35">
      <c r="A1655" s="3493" t="str">
        <f t="shared" si="290"/>
        <v>353200_2021_12_Heating Res</v>
      </c>
      <c r="B1655" s="2812"/>
      <c r="C1655" s="1037" t="s">
        <v>1267</v>
      </c>
      <c r="D1655" s="1311" t="s">
        <v>318</v>
      </c>
      <c r="E1655" s="687" t="s">
        <v>1268</v>
      </c>
      <c r="F1655" s="618">
        <f>ROUND(((K2000*K2193*(1/K2386-1/K2579)*K3544)/1000)*$K$3677,2)</f>
        <v>10917.73</v>
      </c>
      <c r="G1655" s="2810" t="s">
        <v>1092</v>
      </c>
      <c r="H1655" s="2720">
        <f>VLOOKUP(G1655,'CP FACTORS'!$A$3:$B$38, 2, FALSE)</f>
        <v>0</v>
      </c>
      <c r="I1655" s="2995">
        <f t="shared" si="291"/>
        <v>0</v>
      </c>
      <c r="J1655" s="124">
        <f t="shared" si="297"/>
        <v>18</v>
      </c>
      <c r="K1655" s="462">
        <f t="shared" si="298"/>
        <v>0</v>
      </c>
      <c r="L1655" s="3496"/>
      <c r="M1655" s="103"/>
      <c r="N1655" s="1317"/>
      <c r="O1655" s="963"/>
      <c r="P1655" s="106"/>
      <c r="Q1655" s="106"/>
      <c r="R1655" s="1214"/>
      <c r="S1655" s="106"/>
      <c r="T1655" s="106"/>
      <c r="U1655" s="1319"/>
      <c r="V1655" s="3436" t="s">
        <v>30</v>
      </c>
      <c r="W1655" s="2914">
        <v>12836.414910662994</v>
      </c>
      <c r="X1655" s="685">
        <v>9558.6245427336198</v>
      </c>
      <c r="Y1655" s="615">
        <v>9558.6200000000008</v>
      </c>
      <c r="Z1655" s="615">
        <v>9558.6200000000008</v>
      </c>
      <c r="AA1655" s="615">
        <v>9558.6200000000008</v>
      </c>
      <c r="AB1655" s="3494">
        <v>10664.41</v>
      </c>
      <c r="AC1655" s="618">
        <v>10428.83</v>
      </c>
      <c r="AD1655" s="618">
        <v>10917.73</v>
      </c>
      <c r="AE1655" s="2914"/>
      <c r="AF1655" s="2914"/>
      <c r="AG1655" s="2914"/>
      <c r="AH1655" s="344"/>
      <c r="AI1655" s="156"/>
      <c r="AJ1655" s="3640"/>
      <c r="AK1655" s="2915"/>
      <c r="AL1655" s="156"/>
      <c r="AM1655" s="3640"/>
      <c r="AN1655" s="3640"/>
      <c r="AO1655" s="156"/>
      <c r="AP1655" s="156"/>
      <c r="AQ1655" s="156"/>
      <c r="AR1655" s="156"/>
      <c r="AS1655" s="156"/>
      <c r="AT1655" s="156"/>
      <c r="AU1655" s="156"/>
      <c r="AV1655" s="156"/>
      <c r="AW1655" s="156"/>
      <c r="AX1655" s="156"/>
      <c r="AY1655" s="156"/>
      <c r="AZ1655" s="156"/>
      <c r="BA1655" s="156"/>
      <c r="BB1655" s="2835"/>
      <c r="BC1655" s="687" t="str">
        <f t="shared" si="292"/>
        <v>Heating Res 18 Year EUL</v>
      </c>
      <c r="BD1655" s="2829">
        <f>(INDEX('Avoided Cost Benefits'!$E$4:$E$859,MATCH(BC1655,'Avoided Cost Benefits'!$A$4:$A$859,0)))*F1655</f>
        <v>4867.6017734677007</v>
      </c>
      <c r="BE1655" s="858">
        <f t="shared" si="289"/>
        <v>0</v>
      </c>
      <c r="BF1655" s="156"/>
      <c r="BH1655" s="686"/>
    </row>
    <row r="1656" spans="1:60" s="3398" customFormat="1" x14ac:dyDescent="0.35">
      <c r="A1656" s="3493" t="str">
        <f t="shared" si="290"/>
        <v>353210_2022_12_Cooling Res</v>
      </c>
      <c r="B1656" s="2812"/>
      <c r="C1656" s="2753" t="s">
        <v>4482</v>
      </c>
      <c r="D1656" s="2998" t="s">
        <v>318</v>
      </c>
      <c r="E1656" s="3498" t="s">
        <v>4483</v>
      </c>
      <c r="F1656" s="618">
        <f>ROUND(((K2773*K2966*(1/K3159-1/K3352)*K3545)/1000)*$K$3677,2)</f>
        <v>707.23</v>
      </c>
      <c r="G1656" s="2810" t="s">
        <v>1091</v>
      </c>
      <c r="H1656" s="2720">
        <f>VLOOKUP(G1656,'CP FACTORS'!$A$3:$B$38, 2, FALSE)</f>
        <v>9.4741810000000004E-4</v>
      </c>
      <c r="I1656" s="2995">
        <f t="shared" si="291"/>
        <v>0.67004300000000006</v>
      </c>
      <c r="J1656" s="464">
        <f t="shared" ref="J1656:J1657" si="299">K3800</f>
        <v>18</v>
      </c>
      <c r="K1656" s="465">
        <f t="shared" ref="K1656:K1657" si="300">K4186</f>
        <v>962.92000000000007</v>
      </c>
      <c r="L1656" s="3496">
        <f>L2001</f>
        <v>3.1232222977546749</v>
      </c>
      <c r="M1656" s="103"/>
      <c r="N1656" s="1317"/>
      <c r="O1656" s="963"/>
      <c r="R1656" s="1214"/>
      <c r="U1656" s="1319"/>
      <c r="V1656" s="1590" t="s">
        <v>30</v>
      </c>
      <c r="W1656" s="2914"/>
      <c r="X1656" s="685"/>
      <c r="Y1656" s="618"/>
      <c r="Z1656" s="615"/>
      <c r="AA1656" s="615"/>
      <c r="AB1656" s="3494"/>
      <c r="AC1656" s="618"/>
      <c r="AD1656" s="618">
        <v>707.23</v>
      </c>
      <c r="AE1656" s="2914"/>
      <c r="AF1656" s="2914"/>
      <c r="AG1656" s="2914"/>
      <c r="AH1656" s="344"/>
      <c r="AI1656" s="156"/>
      <c r="AJ1656" s="3640"/>
      <c r="AK1656" s="2915"/>
      <c r="AL1656" s="156"/>
      <c r="AM1656" s="3640"/>
      <c r="AN1656" s="3640"/>
      <c r="AO1656" s="156"/>
      <c r="AP1656" s="156"/>
      <c r="AQ1656" s="156"/>
      <c r="AR1656" s="156"/>
      <c r="AS1656" s="156"/>
      <c r="AT1656" s="156"/>
      <c r="AU1656" s="156"/>
      <c r="AV1656" s="156"/>
      <c r="AW1656" s="156"/>
      <c r="AX1656" s="156"/>
      <c r="AY1656" s="156"/>
      <c r="AZ1656" s="156"/>
      <c r="BA1656" s="156"/>
      <c r="BB1656" s="2741">
        <f>(BD1656+BD1657)/(BE1656+BE1657)</f>
        <v>1.3541170255677668</v>
      </c>
      <c r="BC1656" s="3498" t="str">
        <f t="shared" ref="BC1656:BC1657" si="301">CONCATENATE(G1656," ",J1656," Year EUL")</f>
        <v>Cooling Res 18 Year EUL</v>
      </c>
      <c r="BD1656" s="1841">
        <f>(INDEX('Avoided Cost Benefits'!$E$4:$E$859,MATCH(BC1656,'Avoided Cost Benefits'!$A$4:$A$859,0)))*F1656</f>
        <v>1230.6808553654687</v>
      </c>
      <c r="BE1656" s="2507">
        <f t="shared" ref="BE1656:BE1657" si="302">K1656/(1.0595^(2020-2019))</f>
        <v>908.84379424256724</v>
      </c>
      <c r="BF1656" s="156"/>
      <c r="BH1656" s="686"/>
    </row>
    <row r="1657" spans="1:60" s="3398" customFormat="1" x14ac:dyDescent="0.35">
      <c r="A1657" s="3493" t="str">
        <f t="shared" si="290"/>
        <v>353210_2022_12_Heating Res</v>
      </c>
      <c r="B1657" s="2812"/>
      <c r="C1657" s="2753" t="s">
        <v>4482</v>
      </c>
      <c r="D1657" s="2998" t="s">
        <v>318</v>
      </c>
      <c r="E1657" s="3393" t="s">
        <v>4483</v>
      </c>
      <c r="F1657" s="618">
        <f>0</f>
        <v>0</v>
      </c>
      <c r="G1657" s="2810" t="s">
        <v>1092</v>
      </c>
      <c r="H1657" s="2720">
        <f>VLOOKUP(G1657,'CP FACTORS'!$A$3:$B$38, 2, FALSE)</f>
        <v>0</v>
      </c>
      <c r="I1657" s="2995">
        <f t="shared" si="291"/>
        <v>0</v>
      </c>
      <c r="J1657" s="464">
        <f t="shared" si="299"/>
        <v>18</v>
      </c>
      <c r="K1657" s="465">
        <f t="shared" si="300"/>
        <v>0</v>
      </c>
      <c r="L1657" s="3496"/>
      <c r="M1657" s="103"/>
      <c r="N1657" s="1317"/>
      <c r="O1657" s="963"/>
      <c r="R1657" s="1214"/>
      <c r="U1657" s="1319"/>
      <c r="V1657" s="1590" t="s">
        <v>30</v>
      </c>
      <c r="W1657" s="2914"/>
      <c r="X1657" s="685"/>
      <c r="Y1657" s="618"/>
      <c r="Z1657" s="615"/>
      <c r="AA1657" s="615"/>
      <c r="AB1657" s="3494"/>
      <c r="AC1657" s="618"/>
      <c r="AD1657" s="618">
        <v>0</v>
      </c>
      <c r="AE1657" s="2914"/>
      <c r="AF1657" s="2914"/>
      <c r="AG1657" s="2914"/>
      <c r="AH1657" s="344"/>
      <c r="AI1657" s="156"/>
      <c r="AJ1657" s="3640"/>
      <c r="AK1657" s="2915"/>
      <c r="AL1657" s="156"/>
      <c r="AM1657" s="3640"/>
      <c r="AN1657" s="3640"/>
      <c r="AO1657" s="156"/>
      <c r="AP1657" s="156"/>
      <c r="AQ1657" s="156"/>
      <c r="AR1657" s="156"/>
      <c r="AS1657" s="156"/>
      <c r="AT1657" s="156"/>
      <c r="AU1657" s="156"/>
      <c r="AV1657" s="156"/>
      <c r="AW1657" s="156"/>
      <c r="AX1657" s="156"/>
      <c r="AY1657" s="156"/>
      <c r="AZ1657" s="156"/>
      <c r="BA1657" s="156"/>
      <c r="BB1657" s="2745"/>
      <c r="BC1657" s="3393" t="str">
        <f t="shared" si="301"/>
        <v>Heating Res 18 Year EUL</v>
      </c>
      <c r="BD1657" s="1841">
        <f>(INDEX('Avoided Cost Benefits'!$E$4:$E$859,MATCH(BC1657,'Avoided Cost Benefits'!$A$4:$A$859,0)))*F1657</f>
        <v>0</v>
      </c>
      <c r="BE1657" s="2507">
        <f t="shared" si="302"/>
        <v>0</v>
      </c>
      <c r="BF1657" s="156"/>
      <c r="BH1657" s="686"/>
    </row>
    <row r="1658" spans="1:60" x14ac:dyDescent="0.35">
      <c r="A1658" s="3493" t="str">
        <f t="shared" si="290"/>
        <v>353250_2021_12_Cooling Res</v>
      </c>
      <c r="B1658" s="2812"/>
      <c r="C1658" s="1037" t="s">
        <v>1270</v>
      </c>
      <c r="D1658" s="1311" t="s">
        <v>320</v>
      </c>
      <c r="E1658" s="590" t="s">
        <v>1271</v>
      </c>
      <c r="F1658" s="615">
        <f>ROUND(((K2774*K2967*(1/K3160-1/K3353)*K3546)/1000)*$K$3677,2)</f>
        <v>668.46</v>
      </c>
      <c r="G1658" s="1313" t="s">
        <v>1091</v>
      </c>
      <c r="H1658" s="136">
        <f>VLOOKUP(G1658,'CP FACTORS'!$A$3:$B$38, 2, FALSE)</f>
        <v>9.4741810000000004E-4</v>
      </c>
      <c r="I1658" s="3497">
        <f t="shared" si="291"/>
        <v>0.63331099999999996</v>
      </c>
      <c r="J1658" s="124">
        <f t="shared" ref="J1658:J1667" si="303">K3802</f>
        <v>18</v>
      </c>
      <c r="K1658" s="462">
        <f t="shared" ref="K1658:K1667" si="304">K4188</f>
        <v>962.92000000000007</v>
      </c>
      <c r="L1658" s="689">
        <f>L2002</f>
        <v>3</v>
      </c>
      <c r="M1658" s="103"/>
      <c r="N1658" s="1317"/>
      <c r="O1658" s="963"/>
      <c r="P1658" s="106"/>
      <c r="Q1658" s="106"/>
      <c r="R1658" s="1214"/>
      <c r="S1658" s="106"/>
      <c r="T1658" s="106"/>
      <c r="U1658" s="1319"/>
      <c r="V1658" s="3436" t="s">
        <v>30</v>
      </c>
      <c r="W1658" s="2914">
        <v>1736.6368627450984</v>
      </c>
      <c r="X1658" s="685">
        <v>1223.999887955182</v>
      </c>
      <c r="Y1658" s="618">
        <v>405.53</v>
      </c>
      <c r="Z1658" s="615">
        <v>405.53</v>
      </c>
      <c r="AA1658" s="615">
        <v>405.53</v>
      </c>
      <c r="AB1658" s="3494">
        <v>658.61</v>
      </c>
      <c r="AC1658" s="618">
        <v>434.5</v>
      </c>
      <c r="AD1658" s="3642">
        <v>668.46</v>
      </c>
      <c r="AE1658" s="2914"/>
      <c r="AF1658" s="2914"/>
      <c r="AG1658" s="2914"/>
      <c r="AH1658" s="344"/>
      <c r="AI1658" s="156"/>
      <c r="AJ1658" s="3640"/>
      <c r="AK1658" s="2915"/>
      <c r="AL1658" s="156"/>
      <c r="AM1658" s="3640"/>
      <c r="AN1658" s="3640"/>
      <c r="AO1658" s="156"/>
      <c r="AP1658" s="156"/>
      <c r="AQ1658" s="156"/>
      <c r="AR1658" s="156"/>
      <c r="AS1658" s="156"/>
      <c r="AT1658" s="156"/>
      <c r="AU1658" s="156"/>
      <c r="AV1658" s="156"/>
      <c r="AW1658" s="156"/>
      <c r="AX1658" s="156"/>
      <c r="AY1658" s="156"/>
      <c r="AZ1658" s="156"/>
      <c r="BA1658" s="156"/>
      <c r="BB1658" s="2833">
        <f>(BD1658+BD1659)/(BE1658+BE1659)</f>
        <v>6.2465747168622787</v>
      </c>
      <c r="BC1658" s="590" t="str">
        <f t="shared" si="292"/>
        <v>Cooling Res 18 Year EUL</v>
      </c>
      <c r="BD1658" s="2829">
        <f>(INDEX('Avoided Cost Benefits'!$E$4:$E$859,MATCH(BC1658,'Avoided Cost Benefits'!$A$4:$A$859,0)))*F1658</f>
        <v>1163.2155374879478</v>
      </c>
      <c r="BE1658" s="858">
        <f t="shared" si="289"/>
        <v>908.84379424256724</v>
      </c>
      <c r="BF1658" s="156"/>
      <c r="BH1658" s="686"/>
    </row>
    <row r="1659" spans="1:60" x14ac:dyDescent="0.35">
      <c r="A1659" s="3493" t="str">
        <f t="shared" si="290"/>
        <v>353250_2021_12_Heating Res</v>
      </c>
      <c r="B1659" s="2812"/>
      <c r="C1659" s="1037" t="s">
        <v>1270</v>
      </c>
      <c r="D1659" s="1311" t="s">
        <v>320</v>
      </c>
      <c r="E1659" s="687" t="s">
        <v>1271</v>
      </c>
      <c r="F1659" s="615">
        <f>ROUND(((K2002*K2195*(1/K2388-1/K2581)*K3546)/1000)*$K$3677,2)</f>
        <v>10124.5</v>
      </c>
      <c r="G1659" s="1313" t="s">
        <v>1092</v>
      </c>
      <c r="H1659" s="136">
        <f>VLOOKUP(G1659,'CP FACTORS'!$A$3:$B$38, 2, FALSE)</f>
        <v>0</v>
      </c>
      <c r="I1659" s="3497">
        <f t="shared" si="291"/>
        <v>0</v>
      </c>
      <c r="J1659" s="124">
        <f t="shared" si="303"/>
        <v>18</v>
      </c>
      <c r="K1659" s="462">
        <f t="shared" si="304"/>
        <v>0</v>
      </c>
      <c r="L1659" s="689"/>
      <c r="M1659" s="103"/>
      <c r="N1659" s="1317"/>
      <c r="O1659" s="963"/>
      <c r="P1659" s="106"/>
      <c r="Q1659" s="106"/>
      <c r="R1659" s="1214"/>
      <c r="S1659" s="106"/>
      <c r="T1659" s="106"/>
      <c r="U1659" s="1319"/>
      <c r="V1659" s="3436" t="s">
        <v>30</v>
      </c>
      <c r="W1659" s="2914">
        <v>8343.6696919309452</v>
      </c>
      <c r="X1659" s="685">
        <v>6213.105952776853</v>
      </c>
      <c r="Y1659" s="615">
        <v>6213.11</v>
      </c>
      <c r="Z1659" s="615">
        <v>6213.11</v>
      </c>
      <c r="AA1659" s="615">
        <v>6213.11</v>
      </c>
      <c r="AB1659" s="3494">
        <v>9020.2199999999993</v>
      </c>
      <c r="AC1659" s="618">
        <v>6580.92</v>
      </c>
      <c r="AD1659" s="3642">
        <v>10124.5</v>
      </c>
      <c r="AE1659" s="2914"/>
      <c r="AF1659" s="2914"/>
      <c r="AG1659" s="2914"/>
      <c r="AH1659" s="344"/>
      <c r="AI1659" s="156"/>
      <c r="AJ1659" s="3640"/>
      <c r="AK1659" s="2915"/>
      <c r="AL1659" s="156"/>
      <c r="AM1659" s="3640"/>
      <c r="AN1659" s="3640"/>
      <c r="AO1659" s="156"/>
      <c r="AP1659" s="156"/>
      <c r="AQ1659" s="156"/>
      <c r="AR1659" s="156"/>
      <c r="AS1659" s="156"/>
      <c r="AT1659" s="156"/>
      <c r="AU1659" s="156"/>
      <c r="AV1659" s="156"/>
      <c r="AW1659" s="156"/>
      <c r="AX1659" s="156"/>
      <c r="AY1659" s="156"/>
      <c r="AZ1659" s="156"/>
      <c r="BA1659" s="156"/>
      <c r="BB1659" s="2835"/>
      <c r="BC1659" s="687" t="str">
        <f t="shared" si="292"/>
        <v>Heating Res 18 Year EUL</v>
      </c>
      <c r="BD1659" s="2829">
        <f>(INDEX('Avoided Cost Benefits'!$E$4:$E$859,MATCH(BC1659,'Avoided Cost Benefits'!$A$4:$A$859,0)))*F1659</f>
        <v>4513.9451292048561</v>
      </c>
      <c r="BE1659" s="858">
        <f t="shared" si="289"/>
        <v>0</v>
      </c>
      <c r="BF1659" s="156"/>
      <c r="BH1659" s="686"/>
    </row>
    <row r="1660" spans="1:60" x14ac:dyDescent="0.35">
      <c r="A1660" s="3493" t="str">
        <f t="shared" si="290"/>
        <v>353251_2021_12_Cooling Res</v>
      </c>
      <c r="B1660" s="2812"/>
      <c r="C1660" s="1037" t="s">
        <v>1273</v>
      </c>
      <c r="D1660" s="1311" t="s">
        <v>315</v>
      </c>
      <c r="E1660" s="3418" t="s">
        <v>1274</v>
      </c>
      <c r="F1660" s="615">
        <f>ROUND((($K$2775*$K$2968*(1/$K$3161-1/$K$3354)*$K$3547)/1000)*$K$3677,2)</f>
        <v>486.15</v>
      </c>
      <c r="G1660" s="1313" t="str">
        <f>G1658</f>
        <v>Cooling Res</v>
      </c>
      <c r="H1660" s="136">
        <f>VLOOKUP(G1660,'CP FACTORS'!$A$3:$B$38, 2, FALSE)</f>
        <v>9.4741810000000004E-4</v>
      </c>
      <c r="I1660" s="3497">
        <f t="shared" si="291"/>
        <v>0.46058700000000002</v>
      </c>
      <c r="J1660" s="124">
        <f t="shared" si="303"/>
        <v>18</v>
      </c>
      <c r="K1660" s="462">
        <f t="shared" si="304"/>
        <v>962.92000000000007</v>
      </c>
      <c r="L1660" s="689">
        <f>L2003</f>
        <v>3</v>
      </c>
      <c r="M1660" s="103"/>
      <c r="N1660" s="1317"/>
      <c r="O1660" s="963"/>
      <c r="P1660" s="106"/>
      <c r="Q1660" s="106"/>
      <c r="R1660" s="1214"/>
      <c r="S1660" s="106"/>
      <c r="T1660" s="106"/>
      <c r="U1660" s="1319"/>
      <c r="V1660" s="3436" t="s">
        <v>30</v>
      </c>
      <c r="W1660" s="2914"/>
      <c r="X1660" s="685"/>
      <c r="Y1660" s="618">
        <v>294.93</v>
      </c>
      <c r="Z1660" s="615">
        <v>294.93</v>
      </c>
      <c r="AA1660" s="615">
        <v>294.93</v>
      </c>
      <c r="AB1660" s="3494">
        <v>478.99</v>
      </c>
      <c r="AC1660" s="618">
        <v>316</v>
      </c>
      <c r="AD1660" s="3642">
        <v>486.15</v>
      </c>
      <c r="AE1660" s="2914"/>
      <c r="AF1660" s="2914"/>
      <c r="AG1660" s="2914"/>
      <c r="AH1660" s="344"/>
      <c r="AI1660" s="156"/>
      <c r="AJ1660" s="3640"/>
      <c r="AK1660" s="2915"/>
      <c r="AL1660" s="156"/>
      <c r="AM1660" s="3640"/>
      <c r="AN1660" s="3640"/>
      <c r="AO1660" s="156"/>
      <c r="AP1660" s="156"/>
      <c r="AQ1660" s="156"/>
      <c r="AR1660" s="156"/>
      <c r="AS1660" s="156"/>
      <c r="AT1660" s="156"/>
      <c r="AU1660" s="156"/>
      <c r="AV1660" s="156"/>
      <c r="AW1660" s="156"/>
      <c r="AX1660" s="156"/>
      <c r="AY1660" s="156"/>
      <c r="AZ1660" s="156"/>
      <c r="BA1660" s="156"/>
      <c r="BB1660" s="2833">
        <f>(BD1660+BD1661)/(BE1660+BE1661)</f>
        <v>2.6240079011642963</v>
      </c>
      <c r="BC1660" s="590" t="str">
        <f t="shared" si="292"/>
        <v>Cooling Res 18 Year EUL</v>
      </c>
      <c r="BD1660" s="2829">
        <f>(INDEX('Avoided Cost Benefits'!$E$4:$E$859,MATCH(BC1660,'Avoided Cost Benefits'!$A$4:$A$859,0)))*F1660</f>
        <v>845.97019051217092</v>
      </c>
      <c r="BE1660" s="858">
        <f t="shared" si="289"/>
        <v>908.84379424256724</v>
      </c>
      <c r="BF1660" s="156"/>
      <c r="BH1660" s="686"/>
    </row>
    <row r="1661" spans="1:60" x14ac:dyDescent="0.35">
      <c r="A1661" s="3493" t="str">
        <f t="shared" si="290"/>
        <v>353251_2021_12_Heating Res</v>
      </c>
      <c r="B1661" s="2812"/>
      <c r="C1661" s="1037" t="str">
        <f>C1660</f>
        <v>353251_2021_12_</v>
      </c>
      <c r="D1661" s="1311" t="s">
        <v>315</v>
      </c>
      <c r="E1661" s="3419" t="s">
        <v>1274</v>
      </c>
      <c r="F1661" s="615">
        <f>ROUND((($K$2003*$K$2196*(1/$K$2389-1/$K$2582)*$K$3547)/1000)*$K$3677,2)</f>
        <v>3451.53</v>
      </c>
      <c r="G1661" s="1313" t="str">
        <f>G1659</f>
        <v>Heating Res</v>
      </c>
      <c r="H1661" s="136">
        <f>VLOOKUP(G1661,'CP FACTORS'!$A$3:$B$38, 2, FALSE)</f>
        <v>0</v>
      </c>
      <c r="I1661" s="3497">
        <f t="shared" si="291"/>
        <v>0</v>
      </c>
      <c r="J1661" s="124">
        <f t="shared" si="303"/>
        <v>18</v>
      </c>
      <c r="K1661" s="462">
        <f t="shared" si="304"/>
        <v>0</v>
      </c>
      <c r="L1661" s="689"/>
      <c r="M1661" s="103"/>
      <c r="N1661" s="1317"/>
      <c r="O1661" s="963"/>
      <c r="P1661" s="106"/>
      <c r="Q1661" s="106"/>
      <c r="R1661" s="1214"/>
      <c r="S1661" s="106"/>
      <c r="T1661" s="106"/>
      <c r="U1661" s="1319"/>
      <c r="V1661" s="3436" t="s">
        <v>30</v>
      </c>
      <c r="W1661" s="2914"/>
      <c r="X1661" s="685"/>
      <c r="Y1661" s="618">
        <v>2118.1</v>
      </c>
      <c r="Z1661" s="615">
        <v>2118.1</v>
      </c>
      <c r="AA1661" s="615">
        <v>2118.1</v>
      </c>
      <c r="AB1661" s="3494">
        <v>3075.08</v>
      </c>
      <c r="AC1661" s="618">
        <v>2243.5</v>
      </c>
      <c r="AD1661" s="3642">
        <v>3451.53</v>
      </c>
      <c r="AE1661" s="2914"/>
      <c r="AF1661" s="2914"/>
      <c r="AG1661" s="2914"/>
      <c r="AH1661" s="344"/>
      <c r="AI1661" s="156"/>
      <c r="AJ1661" s="3640"/>
      <c r="AK1661" s="2915"/>
      <c r="AL1661" s="156"/>
      <c r="AM1661" s="3640"/>
      <c r="AN1661" s="3640"/>
      <c r="AO1661" s="156"/>
      <c r="AP1661" s="156"/>
      <c r="AQ1661" s="156"/>
      <c r="AR1661" s="156"/>
      <c r="AS1661" s="156"/>
      <c r="AT1661" s="156"/>
      <c r="AU1661" s="156"/>
      <c r="AV1661" s="156"/>
      <c r="AW1661" s="156"/>
      <c r="AX1661" s="156"/>
      <c r="AY1661" s="156"/>
      <c r="AZ1661" s="156"/>
      <c r="BA1661" s="156"/>
      <c r="BB1661" s="2835"/>
      <c r="BC1661" s="687" t="str">
        <f t="shared" si="292"/>
        <v>Heating Res 18 Year EUL</v>
      </c>
      <c r="BD1661" s="2829">
        <f>(INDEX('Avoided Cost Benefits'!$E$4:$E$859,MATCH(BC1661,'Avoided Cost Benefits'!$A$4:$A$859,0)))*F1661</f>
        <v>1538.8431065044633</v>
      </c>
      <c r="BE1661" s="858">
        <f t="shared" si="289"/>
        <v>0</v>
      </c>
      <c r="BF1661" s="156"/>
      <c r="BH1661" s="686"/>
    </row>
    <row r="1662" spans="1:60" x14ac:dyDescent="0.35">
      <c r="A1662" s="3493" t="str">
        <f t="shared" si="290"/>
        <v>353260_2021_12_Cooling Res</v>
      </c>
      <c r="B1662" s="2812"/>
      <c r="C1662" s="1037" t="s">
        <v>1275</v>
      </c>
      <c r="D1662" s="1311" t="s">
        <v>320</v>
      </c>
      <c r="E1662" s="3420" t="s">
        <v>1276</v>
      </c>
      <c r="F1662" s="615">
        <f>ROUND(((K2776*K2969*(1/K3162-1/K3355)*K3548)/1000)*$K$3677,2)</f>
        <v>668.46</v>
      </c>
      <c r="G1662" s="1313" t="s">
        <v>1091</v>
      </c>
      <c r="H1662" s="136">
        <f>VLOOKUP(G1662,'CP FACTORS'!$A$3:$B$38, 2, FALSE)</f>
        <v>9.4741810000000004E-4</v>
      </c>
      <c r="I1662" s="3497">
        <f t="shared" si="291"/>
        <v>0.63331099999999996</v>
      </c>
      <c r="J1662" s="124">
        <f t="shared" si="303"/>
        <v>18</v>
      </c>
      <c r="K1662" s="462">
        <f t="shared" si="304"/>
        <v>962.92000000000007</v>
      </c>
      <c r="L1662" s="3496">
        <f>L2004</f>
        <v>3</v>
      </c>
      <c r="M1662" s="103"/>
      <c r="N1662" s="1317"/>
      <c r="O1662" s="963"/>
      <c r="P1662" s="106"/>
      <c r="Q1662" s="106"/>
      <c r="R1662" s="1214"/>
      <c r="S1662" s="106"/>
      <c r="T1662" s="106"/>
      <c r="U1662" s="1319"/>
      <c r="V1662" s="1590" t="s">
        <v>30</v>
      </c>
      <c r="W1662" s="2914"/>
      <c r="X1662" s="685"/>
      <c r="Y1662" s="618"/>
      <c r="Z1662" s="615"/>
      <c r="AA1662" s="615"/>
      <c r="AB1662" s="3494"/>
      <c r="AC1662" s="618">
        <v>434.5</v>
      </c>
      <c r="AD1662" s="3642">
        <v>668.46</v>
      </c>
      <c r="AE1662" s="2914"/>
      <c r="AF1662" s="2914"/>
      <c r="AG1662" s="2914"/>
      <c r="AH1662" s="344"/>
      <c r="AI1662" s="156"/>
      <c r="AJ1662" s="3640"/>
      <c r="AK1662" s="2915"/>
      <c r="AL1662" s="156"/>
      <c r="AM1662" s="3640"/>
      <c r="AN1662" s="3640"/>
      <c r="AO1662" s="156"/>
      <c r="AP1662" s="156"/>
      <c r="AQ1662" s="156"/>
      <c r="AR1662" s="156"/>
      <c r="AS1662" s="156"/>
      <c r="AT1662" s="156"/>
      <c r="AU1662" s="156"/>
      <c r="AV1662" s="156"/>
      <c r="AW1662" s="156"/>
      <c r="AX1662" s="156"/>
      <c r="AY1662" s="156"/>
      <c r="AZ1662" s="156"/>
      <c r="BA1662" s="156"/>
      <c r="BB1662" s="2741">
        <f>(BD1662+BD1663)/(BE1662+BE1663)</f>
        <v>1.2798849976825497</v>
      </c>
      <c r="BC1662" s="3392" t="str">
        <f t="shared" si="292"/>
        <v>Cooling Res 18 Year EUL</v>
      </c>
      <c r="BD1662" s="1841">
        <f>(INDEX('Avoided Cost Benefits'!$E$4:$E$859,MATCH(BC1662,'Avoided Cost Benefits'!$A$4:$A$859,0)))*F1662</f>
        <v>1163.2155374879478</v>
      </c>
      <c r="BE1662" s="2507">
        <f t="shared" si="289"/>
        <v>908.84379424256724</v>
      </c>
      <c r="BF1662" s="156"/>
      <c r="BH1662" s="686"/>
    </row>
    <row r="1663" spans="1:60" x14ac:dyDescent="0.35">
      <c r="A1663" s="3493" t="str">
        <f t="shared" si="290"/>
        <v>353260_2021_12_Heating Res</v>
      </c>
      <c r="B1663" s="2812"/>
      <c r="C1663" s="1037" t="s">
        <v>1275</v>
      </c>
      <c r="D1663" s="1311" t="s">
        <v>320</v>
      </c>
      <c r="E1663" s="3419" t="s">
        <v>1276</v>
      </c>
      <c r="F1663" s="615">
        <v>0</v>
      </c>
      <c r="G1663" s="1313" t="s">
        <v>1092</v>
      </c>
      <c r="H1663" s="136">
        <f>VLOOKUP(G1663,'CP FACTORS'!$A$3:$B$38, 2, FALSE)</f>
        <v>0</v>
      </c>
      <c r="I1663" s="3497">
        <f t="shared" si="291"/>
        <v>0</v>
      </c>
      <c r="J1663" s="124">
        <f t="shared" si="303"/>
        <v>18</v>
      </c>
      <c r="K1663" s="462">
        <f t="shared" si="304"/>
        <v>0</v>
      </c>
      <c r="L1663" s="3496"/>
      <c r="M1663" s="103"/>
      <c r="N1663" s="1317"/>
      <c r="O1663" s="963"/>
      <c r="P1663" s="106"/>
      <c r="Q1663" s="106"/>
      <c r="R1663" s="1214"/>
      <c r="S1663" s="106"/>
      <c r="T1663" s="106"/>
      <c r="U1663" s="1319"/>
      <c r="V1663" s="1590" t="s">
        <v>30</v>
      </c>
      <c r="W1663" s="2914"/>
      <c r="X1663" s="685"/>
      <c r="Y1663" s="618"/>
      <c r="Z1663" s="615"/>
      <c r="AA1663" s="615"/>
      <c r="AB1663" s="3494"/>
      <c r="AC1663" s="618">
        <v>0</v>
      </c>
      <c r="AD1663" s="615">
        <v>0</v>
      </c>
      <c r="AE1663" s="2914"/>
      <c r="AF1663" s="2914"/>
      <c r="AG1663" s="2914"/>
      <c r="AH1663" s="344"/>
      <c r="AI1663" s="156"/>
      <c r="AJ1663" s="3640"/>
      <c r="AK1663" s="2915"/>
      <c r="AL1663" s="156"/>
      <c r="AM1663" s="3640"/>
      <c r="AN1663" s="3640"/>
      <c r="AO1663" s="156"/>
      <c r="AP1663" s="156"/>
      <c r="AQ1663" s="156"/>
      <c r="AR1663" s="156"/>
      <c r="AS1663" s="156"/>
      <c r="AT1663" s="156"/>
      <c r="AU1663" s="156"/>
      <c r="AV1663" s="156"/>
      <c r="AW1663" s="156"/>
      <c r="AX1663" s="156"/>
      <c r="AY1663" s="156"/>
      <c r="AZ1663" s="156"/>
      <c r="BA1663" s="156"/>
      <c r="BB1663" s="2745"/>
      <c r="BC1663" s="3393" t="str">
        <f t="shared" si="292"/>
        <v>Heating Res 18 Year EUL</v>
      </c>
      <c r="BD1663" s="1841">
        <f>(INDEX('Avoided Cost Benefits'!$E$4:$E$859,MATCH(BC1663,'Avoided Cost Benefits'!$A$4:$A$859,0)))*F1663</f>
        <v>0</v>
      </c>
      <c r="BE1663" s="2507">
        <f t="shared" si="289"/>
        <v>0</v>
      </c>
      <c r="BF1663" s="156"/>
      <c r="BH1663" s="686"/>
    </row>
    <row r="1664" spans="1:60" x14ac:dyDescent="0.35">
      <c r="A1664" s="3493" t="str">
        <f t="shared" si="290"/>
        <v>353261_2021_12_Cooling Res</v>
      </c>
      <c r="B1664" s="2812"/>
      <c r="C1664" s="1037" t="s">
        <v>1277</v>
      </c>
      <c r="D1664" s="1311" t="s">
        <v>315</v>
      </c>
      <c r="E1664" s="3420" t="s">
        <v>1278</v>
      </c>
      <c r="F1664" s="615">
        <f>ROUND(((K2777*K2970*(1/K3163-1/K3356)*K3549)/1000)*$K$3677,2)</f>
        <v>486.15</v>
      </c>
      <c r="G1664" s="1313" t="s">
        <v>1091</v>
      </c>
      <c r="H1664" s="136">
        <f>VLOOKUP(G1664,'CP FACTORS'!$A$3:$B$38, 2, FALSE)</f>
        <v>9.4741810000000004E-4</v>
      </c>
      <c r="I1664" s="3497">
        <f t="shared" si="291"/>
        <v>0.46058700000000002</v>
      </c>
      <c r="J1664" s="124">
        <f t="shared" si="303"/>
        <v>18</v>
      </c>
      <c r="K1664" s="462">
        <f t="shared" si="304"/>
        <v>962.92000000000007</v>
      </c>
      <c r="L1664" s="3496">
        <f>L2005</f>
        <v>3</v>
      </c>
      <c r="M1664" s="103"/>
      <c r="N1664" s="1317"/>
      <c r="O1664" s="963"/>
      <c r="P1664" s="106"/>
      <c r="Q1664" s="106"/>
      <c r="R1664" s="1214"/>
      <c r="S1664" s="106"/>
      <c r="T1664" s="106"/>
      <c r="U1664" s="1319"/>
      <c r="V1664" s="1590" t="s">
        <v>30</v>
      </c>
      <c r="W1664" s="2914"/>
      <c r="X1664" s="685"/>
      <c r="Y1664" s="618"/>
      <c r="Z1664" s="615"/>
      <c r="AA1664" s="615"/>
      <c r="AB1664" s="3494"/>
      <c r="AC1664" s="618">
        <v>316</v>
      </c>
      <c r="AD1664" s="3642">
        <v>486.15</v>
      </c>
      <c r="AE1664" s="2914"/>
      <c r="AF1664" s="2914"/>
      <c r="AG1664" s="2914"/>
      <c r="AH1664" s="344"/>
      <c r="AI1664" s="156"/>
      <c r="AJ1664" s="3640"/>
      <c r="AK1664" s="2915"/>
      <c r="AL1664" s="156"/>
      <c r="AM1664" s="3640"/>
      <c r="AN1664" s="3640"/>
      <c r="AO1664" s="156"/>
      <c r="AP1664" s="156"/>
      <c r="AQ1664" s="156"/>
      <c r="AR1664" s="156"/>
      <c r="AS1664" s="156"/>
      <c r="AT1664" s="156"/>
      <c r="AU1664" s="156"/>
      <c r="AV1664" s="156"/>
      <c r="AW1664" s="156"/>
      <c r="AX1664" s="156"/>
      <c r="AY1664" s="156"/>
      <c r="AZ1664" s="156"/>
      <c r="BA1664" s="156"/>
      <c r="BB1664" s="2741">
        <f>(BD1664+BD1665)/(BE1664+BE1665)</f>
        <v>0.93082023101363054</v>
      </c>
      <c r="BC1664" s="3392" t="str">
        <f t="shared" si="292"/>
        <v>Cooling Res 18 Year EUL</v>
      </c>
      <c r="BD1664" s="1841">
        <f>(INDEX('Avoided Cost Benefits'!$E$4:$E$859,MATCH(BC1664,'Avoided Cost Benefits'!$A$4:$A$859,0)))*F1664</f>
        <v>845.97019051217092</v>
      </c>
      <c r="BE1664" s="2507">
        <f t="shared" si="289"/>
        <v>908.84379424256724</v>
      </c>
      <c r="BF1664" s="156"/>
      <c r="BH1664" s="686"/>
    </row>
    <row r="1665" spans="1:60" x14ac:dyDescent="0.35">
      <c r="A1665" s="3493" t="str">
        <f t="shared" si="290"/>
        <v>353261_2021_12_Heating Res</v>
      </c>
      <c r="B1665" s="2812"/>
      <c r="C1665" s="1037" t="s">
        <v>1277</v>
      </c>
      <c r="D1665" s="1311" t="s">
        <v>315</v>
      </c>
      <c r="E1665" s="3420" t="s">
        <v>1278</v>
      </c>
      <c r="F1665" s="615">
        <f>0</f>
        <v>0</v>
      </c>
      <c r="G1665" s="1313" t="s">
        <v>1092</v>
      </c>
      <c r="H1665" s="136">
        <f>VLOOKUP(G1665,'CP FACTORS'!$A$3:$B$38, 2, FALSE)</f>
        <v>0</v>
      </c>
      <c r="I1665" s="3497">
        <f t="shared" si="291"/>
        <v>0</v>
      </c>
      <c r="J1665" s="124">
        <f t="shared" si="303"/>
        <v>18</v>
      </c>
      <c r="K1665" s="462">
        <f t="shared" si="304"/>
        <v>0</v>
      </c>
      <c r="L1665" s="3496"/>
      <c r="M1665" s="103"/>
      <c r="N1665" s="1317"/>
      <c r="O1665" s="963"/>
      <c r="P1665" s="106"/>
      <c r="Q1665" s="106"/>
      <c r="R1665" s="1214"/>
      <c r="S1665" s="106"/>
      <c r="T1665" s="106"/>
      <c r="U1665" s="1319"/>
      <c r="V1665" s="1590" t="s">
        <v>30</v>
      </c>
      <c r="W1665" s="2914"/>
      <c r="X1665" s="685"/>
      <c r="Y1665" s="618"/>
      <c r="Z1665" s="615"/>
      <c r="AA1665" s="615"/>
      <c r="AB1665" s="3494"/>
      <c r="AC1665" s="618">
        <v>0</v>
      </c>
      <c r="AD1665" s="615">
        <v>0</v>
      </c>
      <c r="AE1665" s="2914"/>
      <c r="AF1665" s="2914"/>
      <c r="AG1665" s="2914"/>
      <c r="AH1665" s="344"/>
      <c r="AI1665" s="156"/>
      <c r="AJ1665" s="3640"/>
      <c r="AK1665" s="2915"/>
      <c r="AL1665" s="156"/>
      <c r="AM1665" s="3640"/>
      <c r="AN1665" s="3640"/>
      <c r="AO1665" s="156"/>
      <c r="AP1665" s="156"/>
      <c r="AQ1665" s="156"/>
      <c r="AR1665" s="156"/>
      <c r="AS1665" s="156"/>
      <c r="AT1665" s="156"/>
      <c r="AU1665" s="156"/>
      <c r="AV1665" s="156"/>
      <c r="AW1665" s="156"/>
      <c r="AX1665" s="156"/>
      <c r="AY1665" s="156"/>
      <c r="AZ1665" s="156"/>
      <c r="BA1665" s="156"/>
      <c r="BB1665" s="2745"/>
      <c r="BC1665" s="3392" t="str">
        <f t="shared" si="292"/>
        <v>Heating Res 18 Year EUL</v>
      </c>
      <c r="BD1665" s="1841">
        <f>(INDEX('Avoided Cost Benefits'!$E$4:$E$859,MATCH(BC1665,'Avoided Cost Benefits'!$A$4:$A$859,0)))*F1665</f>
        <v>0</v>
      </c>
      <c r="BE1665" s="2507">
        <f t="shared" si="289"/>
        <v>0</v>
      </c>
      <c r="BF1665" s="156"/>
      <c r="BH1665" s="686"/>
    </row>
    <row r="1666" spans="1:60" x14ac:dyDescent="0.35">
      <c r="A1666" s="3493" t="str">
        <f t="shared" si="290"/>
        <v>353300_2021_12_Cooling Res</v>
      </c>
      <c r="B1666" s="2812"/>
      <c r="C1666" s="1037" t="s">
        <v>1280</v>
      </c>
      <c r="D1666" s="1311" t="s">
        <v>318</v>
      </c>
      <c r="E1666" s="590" t="s">
        <v>1281</v>
      </c>
      <c r="F1666" s="618">
        <f>ROUND(((K2778*K2971*(1/K3164-1/K3357)*K3550)/1000)*$K$3677,2)</f>
        <v>895.2</v>
      </c>
      <c r="G1666" s="2810" t="s">
        <v>1091</v>
      </c>
      <c r="H1666" s="2720">
        <f>VLOOKUP(G1666,'CP FACTORS'!$A$3:$B$38, 2, FALSE)</f>
        <v>9.4741810000000004E-4</v>
      </c>
      <c r="I1666" s="2995">
        <f t="shared" si="291"/>
        <v>0.84812900000000002</v>
      </c>
      <c r="J1666" s="124">
        <f t="shared" si="303"/>
        <v>18</v>
      </c>
      <c r="K1666" s="462">
        <f t="shared" si="304"/>
        <v>1203.6500000000003</v>
      </c>
      <c r="L1666" s="3496">
        <f>L2006</f>
        <v>2.9920329673076922</v>
      </c>
      <c r="M1666" s="103"/>
      <c r="N1666" s="1317"/>
      <c r="O1666" s="963"/>
      <c r="P1666" s="106"/>
      <c r="Q1666" s="106"/>
      <c r="R1666" s="1214"/>
      <c r="S1666" s="106"/>
      <c r="T1666" s="106"/>
      <c r="U1666" s="1319"/>
      <c r="V1666" s="3436" t="s">
        <v>30</v>
      </c>
      <c r="W1666" s="2914">
        <v>2757.1244582043346</v>
      </c>
      <c r="X1666" s="685">
        <v>1968.4521892967714</v>
      </c>
      <c r="Y1666" s="618">
        <v>709.27</v>
      </c>
      <c r="Z1666" s="615">
        <v>709.27</v>
      </c>
      <c r="AA1666" s="615">
        <v>709.27</v>
      </c>
      <c r="AB1666" s="3495">
        <v>709.27</v>
      </c>
      <c r="AC1666" s="618">
        <v>1013.25</v>
      </c>
      <c r="AD1666" s="618">
        <v>895.2</v>
      </c>
      <c r="AE1666" s="2914"/>
      <c r="AF1666" s="2914"/>
      <c r="AG1666" s="2914"/>
      <c r="AH1666" s="344"/>
      <c r="AI1666" s="156"/>
      <c r="AJ1666" s="3640"/>
      <c r="AK1666" s="2915"/>
      <c r="AL1666" s="156"/>
      <c r="AM1666" s="3640"/>
      <c r="AN1666" s="3640"/>
      <c r="AO1666" s="156"/>
      <c r="AP1666" s="156"/>
      <c r="AQ1666" s="156"/>
      <c r="AR1666" s="156"/>
      <c r="AS1666" s="156"/>
      <c r="AT1666" s="156"/>
      <c r="AU1666" s="156"/>
      <c r="AV1666" s="156"/>
      <c r="AW1666" s="156"/>
      <c r="AX1666" s="156"/>
      <c r="AY1666" s="156"/>
      <c r="AZ1666" s="156"/>
      <c r="BA1666" s="156"/>
      <c r="BB1666" s="2833">
        <f>(BD1666+BD1667)/(BE1666+BE1667)</f>
        <v>5.4690046542951745</v>
      </c>
      <c r="BC1666" s="590" t="str">
        <f t="shared" si="292"/>
        <v>Cooling Res 18 Year EUL</v>
      </c>
      <c r="BD1666" s="2829">
        <f>(INDEX('Avoided Cost Benefits'!$E$4:$E$859,MATCH(BC1666,'Avoided Cost Benefits'!$A$4:$A$859,0)))*F1666</f>
        <v>1557.775407891588</v>
      </c>
      <c r="BE1666" s="858">
        <f t="shared" si="289"/>
        <v>1136.0547428032091</v>
      </c>
      <c r="BF1666" s="156"/>
      <c r="BH1666" s="686"/>
    </row>
    <row r="1667" spans="1:60" x14ac:dyDescent="0.35">
      <c r="A1667" s="3493" t="str">
        <f t="shared" si="290"/>
        <v>353300_2021_12_Heating Res</v>
      </c>
      <c r="B1667" s="2812"/>
      <c r="C1667" s="1037" t="s">
        <v>1280</v>
      </c>
      <c r="D1667" s="1311" t="s">
        <v>318</v>
      </c>
      <c r="E1667" s="687" t="s">
        <v>1281</v>
      </c>
      <c r="F1667" s="618">
        <f>ROUND(((K2006*K2199*(1/K2392-1/K2585)*K3550)/1000)*$K$3677,2)</f>
        <v>10441.58</v>
      </c>
      <c r="G1667" s="2810" t="s">
        <v>1092</v>
      </c>
      <c r="H1667" s="2720">
        <f>VLOOKUP(G1667,'CP FACTORS'!$A$3:$B$38, 2, FALSE)</f>
        <v>0</v>
      </c>
      <c r="I1667" s="2995">
        <f t="shared" si="291"/>
        <v>0</v>
      </c>
      <c r="J1667" s="124">
        <f t="shared" si="303"/>
        <v>18</v>
      </c>
      <c r="K1667" s="462">
        <f t="shared" si="304"/>
        <v>0</v>
      </c>
      <c r="L1667" s="3496"/>
      <c r="M1667" s="103"/>
      <c r="N1667" s="1317"/>
      <c r="O1667" s="963"/>
      <c r="P1667" s="106"/>
      <c r="Q1667" s="106"/>
      <c r="R1667" s="1214"/>
      <c r="S1667" s="106"/>
      <c r="T1667" s="106"/>
      <c r="U1667" s="1319"/>
      <c r="V1667" s="3436" t="s">
        <v>30</v>
      </c>
      <c r="W1667" s="2914">
        <v>12836.414910662994</v>
      </c>
      <c r="X1667" s="685">
        <v>9558.6245427336198</v>
      </c>
      <c r="Y1667" s="615">
        <v>9558.6200000000008</v>
      </c>
      <c r="Z1667" s="615">
        <v>9558.6200000000008</v>
      </c>
      <c r="AA1667" s="615">
        <v>9558.6200000000008</v>
      </c>
      <c r="AB1667" s="3495">
        <v>9558.6200000000008</v>
      </c>
      <c r="AC1667" s="618">
        <v>14530.06</v>
      </c>
      <c r="AD1667" s="618">
        <v>10441.58</v>
      </c>
      <c r="AE1667" s="2914"/>
      <c r="AF1667" s="2914"/>
      <c r="AG1667" s="2914"/>
      <c r="AH1667" s="344"/>
      <c r="AI1667" s="156"/>
      <c r="AJ1667" s="3640"/>
      <c r="AK1667" s="2915"/>
      <c r="AL1667" s="156"/>
      <c r="AM1667" s="3640"/>
      <c r="AN1667" s="3640"/>
      <c r="AO1667" s="156"/>
      <c r="AP1667" s="156"/>
      <c r="AQ1667" s="156"/>
      <c r="AR1667" s="156"/>
      <c r="AS1667" s="156"/>
      <c r="AT1667" s="156"/>
      <c r="AU1667" s="156"/>
      <c r="AV1667" s="156"/>
      <c r="AW1667" s="156"/>
      <c r="AX1667" s="156"/>
      <c r="AY1667" s="156"/>
      <c r="AZ1667" s="156"/>
      <c r="BA1667" s="156"/>
      <c r="BB1667" s="2835"/>
      <c r="BC1667" s="687" t="str">
        <f t="shared" si="292"/>
        <v>Heating Res 18 Year EUL</v>
      </c>
      <c r="BD1667" s="2829">
        <f>(INDEX('Avoided Cost Benefits'!$E$4:$E$859,MATCH(BC1667,'Avoided Cost Benefits'!$A$4:$A$859,0)))*F1667</f>
        <v>4655.3132680332701</v>
      </c>
      <c r="BE1667" s="858">
        <f t="shared" si="289"/>
        <v>0</v>
      </c>
      <c r="BF1667" s="156"/>
      <c r="BH1667" s="686"/>
    </row>
    <row r="1668" spans="1:60" s="3398" customFormat="1" x14ac:dyDescent="0.35">
      <c r="A1668" s="3493" t="str">
        <f t="shared" si="290"/>
        <v>353310_2022_12_Cooling Res</v>
      </c>
      <c r="B1668" s="2812"/>
      <c r="C1668" s="2753" t="s">
        <v>4488</v>
      </c>
      <c r="D1668" s="2998" t="s">
        <v>318</v>
      </c>
      <c r="E1668" s="3498" t="s">
        <v>4489</v>
      </c>
      <c r="F1668" s="618">
        <f>ROUND(((K2779*K2972*(1/K3165-1/K3358)*K3551)/1000)*$K$3677,2)</f>
        <v>895.2</v>
      </c>
      <c r="G1668" s="2810" t="s">
        <v>1091</v>
      </c>
      <c r="H1668" s="2720">
        <f>VLOOKUP(G1668,'CP FACTORS'!$A$3:$B$38, 2, FALSE)</f>
        <v>9.4741810000000004E-4</v>
      </c>
      <c r="I1668" s="2995">
        <f t="shared" si="291"/>
        <v>0.84812900000000002</v>
      </c>
      <c r="J1668" s="464">
        <f t="shared" ref="J1668:J1669" si="305">K3812</f>
        <v>18</v>
      </c>
      <c r="K1668" s="465">
        <f t="shared" ref="K1668:K1669" si="306">K4198</f>
        <v>1203.6500000000003</v>
      </c>
      <c r="L1668" s="3496">
        <f>L2007</f>
        <v>2.9920329673076922</v>
      </c>
      <c r="M1668" s="103"/>
      <c r="N1668" s="1317"/>
      <c r="O1668" s="963"/>
      <c r="R1668" s="1214"/>
      <c r="U1668" s="1319"/>
      <c r="V1668" s="1590" t="s">
        <v>30</v>
      </c>
      <c r="W1668" s="2914"/>
      <c r="X1668" s="685"/>
      <c r="Y1668" s="618"/>
      <c r="Z1668" s="615"/>
      <c r="AA1668" s="615"/>
      <c r="AB1668" s="3494"/>
      <c r="AC1668" s="618"/>
      <c r="AD1668" s="618">
        <v>895.2</v>
      </c>
      <c r="AE1668" s="2914"/>
      <c r="AF1668" s="2914"/>
      <c r="AG1668" s="2914"/>
      <c r="AH1668" s="344"/>
      <c r="AI1668" s="156"/>
      <c r="AJ1668" s="3640"/>
      <c r="AK1668" s="2915"/>
      <c r="AL1668" s="156"/>
      <c r="AM1668" s="3640"/>
      <c r="AN1668" s="3640"/>
      <c r="AO1668" s="156"/>
      <c r="AP1668" s="156"/>
      <c r="AQ1668" s="156"/>
      <c r="AR1668" s="156"/>
      <c r="AS1668" s="156"/>
      <c r="AT1668" s="156"/>
      <c r="AU1668" s="156"/>
      <c r="AV1668" s="156"/>
      <c r="AW1668" s="156"/>
      <c r="AX1668" s="156"/>
      <c r="AY1668" s="156"/>
      <c r="AZ1668" s="156"/>
      <c r="BA1668" s="156"/>
      <c r="BB1668" s="2741">
        <f>(BD1668+BD1669)/(BE1668+BE1669)</f>
        <v>1.3712150913148651</v>
      </c>
      <c r="BC1668" s="3498" t="str">
        <f t="shared" ref="BC1668:BC1669" si="307">CONCATENATE(G1668," ",J1668," Year EUL")</f>
        <v>Cooling Res 18 Year EUL</v>
      </c>
      <c r="BD1668" s="1841">
        <f>(INDEX('Avoided Cost Benefits'!$E$4:$E$859,MATCH(BC1668,'Avoided Cost Benefits'!$A$4:$A$859,0)))*F1668</f>
        <v>1557.775407891588</v>
      </c>
      <c r="BE1668" s="2507">
        <f t="shared" ref="BE1668:BE1669" si="308">K1668/(1.0595^(2020-2019))</f>
        <v>1136.0547428032091</v>
      </c>
      <c r="BF1668" s="156"/>
      <c r="BH1668" s="686"/>
    </row>
    <row r="1669" spans="1:60" s="3398" customFormat="1" x14ac:dyDescent="0.35">
      <c r="A1669" s="3493" t="str">
        <f t="shared" si="290"/>
        <v>353310_2022_12_Heating Res</v>
      </c>
      <c r="B1669" s="2812"/>
      <c r="C1669" s="2753" t="s">
        <v>4488</v>
      </c>
      <c r="D1669" s="2998" t="s">
        <v>318</v>
      </c>
      <c r="E1669" s="3393" t="s">
        <v>4489</v>
      </c>
      <c r="F1669" s="618">
        <f>0</f>
        <v>0</v>
      </c>
      <c r="G1669" s="2810" t="s">
        <v>1092</v>
      </c>
      <c r="H1669" s="2720">
        <f>VLOOKUP(G1669,'CP FACTORS'!$A$3:$B$38, 2, FALSE)</f>
        <v>0</v>
      </c>
      <c r="I1669" s="2995">
        <f t="shared" si="291"/>
        <v>0</v>
      </c>
      <c r="J1669" s="464">
        <f t="shared" si="305"/>
        <v>18</v>
      </c>
      <c r="K1669" s="465">
        <f t="shared" si="306"/>
        <v>0</v>
      </c>
      <c r="L1669" s="3496"/>
      <c r="M1669" s="103"/>
      <c r="N1669" s="1317"/>
      <c r="O1669" s="963"/>
      <c r="R1669" s="1214"/>
      <c r="U1669" s="1319"/>
      <c r="V1669" s="1590" t="s">
        <v>30</v>
      </c>
      <c r="W1669" s="2914"/>
      <c r="X1669" s="685"/>
      <c r="Y1669" s="618"/>
      <c r="Z1669" s="615"/>
      <c r="AA1669" s="615"/>
      <c r="AB1669" s="3494"/>
      <c r="AC1669" s="618"/>
      <c r="AD1669" s="618">
        <v>0</v>
      </c>
      <c r="AE1669" s="2914"/>
      <c r="AF1669" s="2914"/>
      <c r="AG1669" s="2914"/>
      <c r="AH1669" s="344"/>
      <c r="AI1669" s="156"/>
      <c r="AJ1669" s="3640"/>
      <c r="AK1669" s="2915"/>
      <c r="AL1669" s="156"/>
      <c r="AM1669" s="3640"/>
      <c r="AN1669" s="3640"/>
      <c r="AO1669" s="156"/>
      <c r="AP1669" s="156"/>
      <c r="AQ1669" s="156"/>
      <c r="AR1669" s="156"/>
      <c r="AS1669" s="156"/>
      <c r="AT1669" s="156"/>
      <c r="AU1669" s="156"/>
      <c r="AV1669" s="156"/>
      <c r="AW1669" s="156"/>
      <c r="AX1669" s="156"/>
      <c r="AY1669" s="156"/>
      <c r="AZ1669" s="156"/>
      <c r="BA1669" s="156"/>
      <c r="BB1669" s="2745"/>
      <c r="BC1669" s="3393" t="str">
        <f t="shared" si="307"/>
        <v>Heating Res 18 Year EUL</v>
      </c>
      <c r="BD1669" s="1841">
        <f>(INDEX('Avoided Cost Benefits'!$E$4:$E$859,MATCH(BC1669,'Avoided Cost Benefits'!$A$4:$A$859,0)))*F1669</f>
        <v>0</v>
      </c>
      <c r="BE1669" s="2507">
        <f t="shared" si="308"/>
        <v>0</v>
      </c>
      <c r="BF1669" s="156"/>
      <c r="BH1669" s="686"/>
    </row>
    <row r="1670" spans="1:60" x14ac:dyDescent="0.35">
      <c r="A1670" s="3493" t="str">
        <f t="shared" si="290"/>
        <v>353350_2021_12_Cooling Res</v>
      </c>
      <c r="B1670" s="2812"/>
      <c r="C1670" s="1037" t="s">
        <v>1283</v>
      </c>
      <c r="D1670" s="1311" t="s">
        <v>320</v>
      </c>
      <c r="E1670" s="590" t="s">
        <v>1284</v>
      </c>
      <c r="F1670" s="615">
        <f>ROUND(((K2780*K2973*(1/K3166-1/K3359)*K3552)/1000)*$K$3677,2)</f>
        <v>486.64</v>
      </c>
      <c r="G1670" s="1313" t="s">
        <v>1091</v>
      </c>
      <c r="H1670" s="136">
        <f>VLOOKUP(G1670,'CP FACTORS'!$A$3:$B$38, 2, FALSE)</f>
        <v>9.4741810000000004E-4</v>
      </c>
      <c r="I1670" s="3497">
        <f t="shared" si="291"/>
        <v>0.46105200000000002</v>
      </c>
      <c r="J1670" s="124">
        <f t="shared" ref="J1670" si="309">K3814</f>
        <v>18</v>
      </c>
      <c r="K1670" s="462">
        <f t="shared" ref="K1670" si="310">K4200</f>
        <v>1203.6500000000003</v>
      </c>
      <c r="L1670" s="689">
        <f>L2008</f>
        <v>2.8</v>
      </c>
      <c r="M1670" s="103"/>
      <c r="N1670" s="1317"/>
      <c r="O1670" s="963"/>
      <c r="P1670" s="106"/>
      <c r="Q1670" s="106"/>
      <c r="R1670" s="1214"/>
      <c r="S1670" s="106"/>
      <c r="T1670" s="106"/>
      <c r="U1670" s="1319"/>
      <c r="V1670" s="3436" t="s">
        <v>30</v>
      </c>
      <c r="W1670" s="2914">
        <v>1792.1308978328177</v>
      </c>
      <c r="X1670" s="685">
        <v>1279.4939230429013</v>
      </c>
      <c r="Y1670" s="618">
        <v>461.03</v>
      </c>
      <c r="Z1670" s="615">
        <v>461.03</v>
      </c>
      <c r="AA1670" s="615">
        <v>461.03</v>
      </c>
      <c r="AB1670" s="3495">
        <v>461.03</v>
      </c>
      <c r="AC1670" s="618">
        <v>486.64</v>
      </c>
      <c r="AD1670" s="615">
        <v>486.64</v>
      </c>
      <c r="AE1670" s="2914"/>
      <c r="AF1670" s="2914"/>
      <c r="AG1670" s="2914"/>
      <c r="AH1670" s="344"/>
      <c r="AI1670" s="156"/>
      <c r="AJ1670" s="3640"/>
      <c r="AK1670" s="2915"/>
      <c r="AL1670" s="156"/>
      <c r="AM1670" s="3640"/>
      <c r="AN1670" s="3640"/>
      <c r="AO1670" s="156"/>
      <c r="AP1670" s="156"/>
      <c r="AQ1670" s="156"/>
      <c r="AR1670" s="156"/>
      <c r="AS1670" s="156"/>
      <c r="AT1670" s="156"/>
      <c r="AU1670" s="156"/>
      <c r="AV1670" s="156"/>
      <c r="AW1670" s="156"/>
      <c r="AX1670" s="156"/>
      <c r="AY1670" s="156"/>
      <c r="AZ1670" s="156"/>
      <c r="BA1670" s="156"/>
      <c r="BB1670" s="2833">
        <f>(BD1670+BD1671)/(BE1670+BE1671)</f>
        <v>3.1837366951278043</v>
      </c>
      <c r="BC1670" s="590" t="str">
        <f t="shared" si="292"/>
        <v>Cooling Res 18 Year EUL</v>
      </c>
      <c r="BD1670" s="2829">
        <f>(INDEX('Avoided Cost Benefits'!$E$4:$E$859,MATCH(BC1670,'Avoided Cost Benefits'!$A$4:$A$859,0)))*F1670</f>
        <v>846.82286025062808</v>
      </c>
      <c r="BE1670" s="858">
        <f t="shared" si="289"/>
        <v>1136.0547428032091</v>
      </c>
      <c r="BF1670" s="156"/>
      <c r="BH1670" s="686"/>
    </row>
    <row r="1671" spans="1:60" x14ac:dyDescent="0.35">
      <c r="A1671" s="3493" t="str">
        <f t="shared" si="290"/>
        <v>353350_2021_12_Heating Res</v>
      </c>
      <c r="B1671" s="2812"/>
      <c r="C1671" s="1037" t="s">
        <v>1283</v>
      </c>
      <c r="D1671" s="1311" t="s">
        <v>320</v>
      </c>
      <c r="E1671" s="687" t="s">
        <v>1284</v>
      </c>
      <c r="F1671" s="615">
        <f>ROUND(((K2008*K2201*(1/K2394-1/K2587)*K3552)/1000)*$K$3677,2)</f>
        <v>6213.11</v>
      </c>
      <c r="G1671" s="1313" t="s">
        <v>1092</v>
      </c>
      <c r="H1671" s="136">
        <f>VLOOKUP(G1671,'CP FACTORS'!$A$3:$B$38, 2, FALSE)</f>
        <v>0</v>
      </c>
      <c r="I1671" s="3497">
        <f t="shared" si="291"/>
        <v>0</v>
      </c>
      <c r="J1671" s="124">
        <f t="shared" ref="J1671:J1687" si="311">K3815</f>
        <v>18</v>
      </c>
      <c r="K1671" s="462">
        <f t="shared" ref="K1671:K1687" si="312">K4201</f>
        <v>0</v>
      </c>
      <c r="L1671" s="689"/>
      <c r="M1671" s="103"/>
      <c r="N1671" s="1317"/>
      <c r="O1671" s="963"/>
      <c r="P1671" s="106"/>
      <c r="Q1671" s="106"/>
      <c r="R1671" s="1214"/>
      <c r="S1671" s="106"/>
      <c r="T1671" s="106"/>
      <c r="U1671" s="1319"/>
      <c r="V1671" s="3436" t="s">
        <v>30</v>
      </c>
      <c r="W1671" s="2914">
        <v>8343.6696919309452</v>
      </c>
      <c r="X1671" s="685">
        <v>6213.105952776853</v>
      </c>
      <c r="Y1671" s="615">
        <v>6213.11</v>
      </c>
      <c r="Z1671" s="615">
        <v>6213.11</v>
      </c>
      <c r="AA1671" s="615">
        <v>6213.11</v>
      </c>
      <c r="AB1671" s="3495">
        <v>6213.11</v>
      </c>
      <c r="AC1671" s="2912">
        <v>6213.11</v>
      </c>
      <c r="AD1671" s="615">
        <v>6213.11</v>
      </c>
      <c r="AE1671" s="2914"/>
      <c r="AF1671" s="2914"/>
      <c r="AG1671" s="2914"/>
      <c r="AH1671" s="344"/>
      <c r="AI1671" s="156"/>
      <c r="AJ1671" s="3640"/>
      <c r="AK1671" s="2915"/>
      <c r="AL1671" s="156"/>
      <c r="AM1671" s="3640"/>
      <c r="AN1671" s="3640"/>
      <c r="AO1671" s="156"/>
      <c r="AP1671" s="156"/>
      <c r="AQ1671" s="156"/>
      <c r="AR1671" s="156"/>
      <c r="AS1671" s="156"/>
      <c r="AT1671" s="156"/>
      <c r="AU1671" s="156"/>
      <c r="AV1671" s="156"/>
      <c r="AW1671" s="156"/>
      <c r="AX1671" s="156"/>
      <c r="AY1671" s="156"/>
      <c r="AZ1671" s="156"/>
      <c r="BA1671" s="156"/>
      <c r="BB1671" s="2835"/>
      <c r="BC1671" s="687" t="str">
        <f t="shared" si="292"/>
        <v>Heating Res 18 Year EUL</v>
      </c>
      <c r="BD1671" s="2829">
        <f>(INDEX('Avoided Cost Benefits'!$E$4:$E$859,MATCH(BC1671,'Avoided Cost Benefits'!$A$4:$A$859,0)))*F1671</f>
        <v>2770.0763120859287</v>
      </c>
      <c r="BE1671" s="858">
        <f t="shared" si="289"/>
        <v>0</v>
      </c>
      <c r="BF1671" s="156"/>
      <c r="BH1671" s="686"/>
    </row>
    <row r="1672" spans="1:60" x14ac:dyDescent="0.35">
      <c r="A1672" s="3493" t="str">
        <f t="shared" si="290"/>
        <v>353351_2019_12_Cooling Res</v>
      </c>
      <c r="B1672" s="2812"/>
      <c r="C1672" s="1037" t="s">
        <v>1285</v>
      </c>
      <c r="D1672" s="1311" t="s">
        <v>315</v>
      </c>
      <c r="E1672" s="3418" t="s">
        <v>1286</v>
      </c>
      <c r="F1672" s="615">
        <f>ROUND((($K$2781*$K$2974*(1/$K$3167-1/$K$3360)*$K$3553)/1000)*$K$3677,2)</f>
        <v>335.29</v>
      </c>
      <c r="G1672" s="1313" t="str">
        <f>G1670</f>
        <v>Cooling Res</v>
      </c>
      <c r="H1672" s="136">
        <f>VLOOKUP(G1672,'CP FACTORS'!$A$3:$B$38, 2, FALSE)</f>
        <v>9.4741810000000004E-4</v>
      </c>
      <c r="I1672" s="3497">
        <f t="shared" si="291"/>
        <v>0.31766</v>
      </c>
      <c r="J1672" s="124">
        <f t="shared" si="311"/>
        <v>18</v>
      </c>
      <c r="K1672" s="462">
        <f t="shared" si="312"/>
        <v>1203.6500000000003</v>
      </c>
      <c r="L1672" s="689">
        <f>L2009</f>
        <v>2.8</v>
      </c>
      <c r="M1672" s="103"/>
      <c r="N1672" s="1317"/>
      <c r="O1672" s="963"/>
      <c r="P1672" s="106"/>
      <c r="Q1672" s="106"/>
      <c r="R1672" s="1214"/>
      <c r="S1672" s="106"/>
      <c r="T1672" s="106"/>
      <c r="U1672" s="1319"/>
      <c r="V1672" s="3436" t="s">
        <v>30</v>
      </c>
      <c r="W1672" s="2914"/>
      <c r="X1672" s="685"/>
      <c r="Y1672" s="618">
        <v>335.29</v>
      </c>
      <c r="Z1672" s="615">
        <v>335.29</v>
      </c>
      <c r="AA1672" s="615">
        <v>335.29</v>
      </c>
      <c r="AB1672" s="3495">
        <v>335.29</v>
      </c>
      <c r="AC1672" s="2912">
        <v>335.29</v>
      </c>
      <c r="AD1672" s="615">
        <v>335.29</v>
      </c>
      <c r="AE1672" s="2914"/>
      <c r="AF1672" s="2914"/>
      <c r="AG1672" s="2914"/>
      <c r="AH1672" s="344"/>
      <c r="AI1672" s="156"/>
      <c r="AJ1672" s="3640"/>
      <c r="AK1672" s="2915"/>
      <c r="AL1672" s="156"/>
      <c r="AM1672" s="3640"/>
      <c r="AN1672" s="3640"/>
      <c r="AO1672" s="156"/>
      <c r="AP1672" s="156"/>
      <c r="AQ1672" s="156"/>
      <c r="AR1672" s="156"/>
      <c r="AS1672" s="156"/>
      <c r="AT1672" s="156"/>
      <c r="AU1672" s="156"/>
      <c r="AV1672" s="156"/>
      <c r="AW1672" s="156"/>
      <c r="AX1672" s="156"/>
      <c r="AY1672" s="156"/>
      <c r="AZ1672" s="156"/>
      <c r="BA1672" s="156"/>
      <c r="BB1672" s="2833">
        <f>(BD1672+BD1673)/(BE1672+BE1673)</f>
        <v>1.344824264309469</v>
      </c>
      <c r="BC1672" s="590" t="str">
        <f t="shared" si="292"/>
        <v>Cooling Res 18 Year EUL</v>
      </c>
      <c r="BD1672" s="2829">
        <f>(INDEX('Avoided Cost Benefits'!$E$4:$E$859,MATCH(BC1672,'Avoided Cost Benefits'!$A$4:$A$859,0)))*F1672</f>
        <v>583.45231960675881</v>
      </c>
      <c r="BE1672" s="858">
        <f t="shared" si="289"/>
        <v>1136.0547428032091</v>
      </c>
      <c r="BF1672" s="156"/>
      <c r="BH1672" s="686"/>
    </row>
    <row r="1673" spans="1:60" x14ac:dyDescent="0.35">
      <c r="A1673" s="3493" t="str">
        <f t="shared" si="290"/>
        <v>353351_2019_12_Heating Res</v>
      </c>
      <c r="B1673" s="2812"/>
      <c r="C1673" s="1037" t="str">
        <f>C1672</f>
        <v>353351_2019_12_</v>
      </c>
      <c r="D1673" s="1311" t="s">
        <v>315</v>
      </c>
      <c r="E1673" s="3419" t="s">
        <v>1286</v>
      </c>
      <c r="F1673" s="615">
        <f>ROUND((($K$2009*$K$2202*(1/$K$2395-1/$K$2588)*$K$3553)/1000)*$K$3677,2)</f>
        <v>2118.1</v>
      </c>
      <c r="G1673" s="1313" t="str">
        <f>G1671</f>
        <v>Heating Res</v>
      </c>
      <c r="H1673" s="136">
        <f>VLOOKUP(G1673,'CP FACTORS'!$A$3:$B$38, 2, FALSE)</f>
        <v>0</v>
      </c>
      <c r="I1673" s="3497">
        <f t="shared" si="291"/>
        <v>0</v>
      </c>
      <c r="J1673" s="124">
        <f t="shared" si="311"/>
        <v>18</v>
      </c>
      <c r="K1673" s="462">
        <f t="shared" si="312"/>
        <v>0</v>
      </c>
      <c r="L1673" s="689"/>
      <c r="M1673" s="103"/>
      <c r="N1673" s="1317"/>
      <c r="O1673" s="963"/>
      <c r="P1673" s="106"/>
      <c r="Q1673" s="106"/>
      <c r="R1673" s="1214"/>
      <c r="S1673" s="106"/>
      <c r="T1673" s="106"/>
      <c r="U1673" s="1319"/>
      <c r="V1673" s="3436" t="s">
        <v>30</v>
      </c>
      <c r="W1673" s="2914"/>
      <c r="X1673" s="685"/>
      <c r="Y1673" s="618">
        <v>2118.1</v>
      </c>
      <c r="Z1673" s="615">
        <v>2118.1</v>
      </c>
      <c r="AA1673" s="615">
        <v>2118.1</v>
      </c>
      <c r="AB1673" s="3495">
        <v>2118.1</v>
      </c>
      <c r="AC1673" s="2912">
        <v>2118.1</v>
      </c>
      <c r="AD1673" s="615">
        <v>2118.1</v>
      </c>
      <c r="AE1673" s="2914"/>
      <c r="AF1673" s="2914"/>
      <c r="AG1673" s="2914"/>
      <c r="AH1673" s="344"/>
      <c r="AI1673" s="156"/>
      <c r="AJ1673" s="3640"/>
      <c r="AK1673" s="2915"/>
      <c r="AL1673" s="156"/>
      <c r="AM1673" s="3640"/>
      <c r="AN1673" s="3640"/>
      <c r="AO1673" s="156"/>
      <c r="AP1673" s="156"/>
      <c r="AQ1673" s="156"/>
      <c r="AR1673" s="156"/>
      <c r="AS1673" s="156"/>
      <c r="AT1673" s="156"/>
      <c r="AU1673" s="156"/>
      <c r="AV1673" s="156"/>
      <c r="AW1673" s="156"/>
      <c r="AX1673" s="156"/>
      <c r="AY1673" s="156"/>
      <c r="AZ1673" s="156"/>
      <c r="BA1673" s="156"/>
      <c r="BB1673" s="2835"/>
      <c r="BC1673" s="687" t="str">
        <f t="shared" si="292"/>
        <v>Heating Res 18 Year EUL</v>
      </c>
      <c r="BD1673" s="2829">
        <f>(INDEX('Avoided Cost Benefits'!$E$4:$E$859,MATCH(BC1673,'Avoided Cost Benefits'!$A$4:$A$859,0)))*F1673</f>
        <v>944.34166409884995</v>
      </c>
      <c r="BE1673" s="858">
        <f t="shared" si="289"/>
        <v>0</v>
      </c>
      <c r="BF1673" s="156"/>
      <c r="BH1673" s="686"/>
    </row>
    <row r="1674" spans="1:60" x14ac:dyDescent="0.35">
      <c r="A1674" s="3493" t="str">
        <f t="shared" si="290"/>
        <v>353360_2021_12_Cooling Res</v>
      </c>
      <c r="B1674" s="2812"/>
      <c r="C1674" s="1037" t="s">
        <v>1287</v>
      </c>
      <c r="D1674" s="1311" t="s">
        <v>320</v>
      </c>
      <c r="E1674" s="3420" t="s">
        <v>1288</v>
      </c>
      <c r="F1674" s="615">
        <f>ROUND(((K2782*K2975*(1/K3168-1/K3361)*K3554)/1000)*$K$3677,2)</f>
        <v>486.64</v>
      </c>
      <c r="G1674" s="1313" t="s">
        <v>1091</v>
      </c>
      <c r="H1674" s="136">
        <f>VLOOKUP(G1674,'CP FACTORS'!$A$3:$B$38, 2, FALSE)</f>
        <v>9.4741810000000004E-4</v>
      </c>
      <c r="I1674" s="3497">
        <f t="shared" si="291"/>
        <v>0.46105200000000002</v>
      </c>
      <c r="J1674" s="124">
        <f t="shared" si="311"/>
        <v>18</v>
      </c>
      <c r="K1674" s="462">
        <f t="shared" si="312"/>
        <v>1203.6500000000003</v>
      </c>
      <c r="L1674" s="3496">
        <f>L2010</f>
        <v>2.8</v>
      </c>
      <c r="M1674" s="103"/>
      <c r="N1674" s="1317"/>
      <c r="O1674" s="963"/>
      <c r="P1674" s="106"/>
      <c r="Q1674" s="106"/>
      <c r="R1674" s="1214"/>
      <c r="S1674" s="106"/>
      <c r="T1674" s="106"/>
      <c r="U1674" s="1319"/>
      <c r="V1674" s="1590" t="s">
        <v>30</v>
      </c>
      <c r="W1674" s="2914"/>
      <c r="X1674" s="685"/>
      <c r="Y1674" s="618"/>
      <c r="Z1674" s="615"/>
      <c r="AA1674" s="615"/>
      <c r="AB1674" s="3495"/>
      <c r="AC1674" s="618">
        <v>486.64</v>
      </c>
      <c r="AD1674" s="615">
        <v>486.64</v>
      </c>
      <c r="AE1674" s="2914"/>
      <c r="AF1674" s="2914"/>
      <c r="AG1674" s="2914"/>
      <c r="AH1674" s="344"/>
      <c r="AI1674" s="156"/>
      <c r="AJ1674" s="3640"/>
      <c r="AK1674" s="2915"/>
      <c r="AL1674" s="156"/>
      <c r="AM1674" s="3640"/>
      <c r="AN1674" s="3640"/>
      <c r="AO1674" s="156"/>
      <c r="AP1674" s="156"/>
      <c r="AQ1674" s="156"/>
      <c r="AR1674" s="156"/>
      <c r="AS1674" s="156"/>
      <c r="AT1674" s="156"/>
      <c r="AU1674" s="156"/>
      <c r="AV1674" s="156"/>
      <c r="AW1674" s="156"/>
      <c r="AX1674" s="156"/>
      <c r="AY1674" s="156"/>
      <c r="AZ1674" s="156"/>
      <c r="BA1674" s="156"/>
      <c r="BB1674" s="2741">
        <f>(BD1674+BD1675)/(BE1674+BE1675)</f>
        <v>0.74540673820092251</v>
      </c>
      <c r="BC1674" s="3392" t="str">
        <f t="shared" si="292"/>
        <v>Cooling Res 18 Year EUL</v>
      </c>
      <c r="BD1674" s="1841">
        <f>(INDEX('Avoided Cost Benefits'!$E$4:$E$859,MATCH(BC1674,'Avoided Cost Benefits'!$A$4:$A$859,0)))*F1674</f>
        <v>846.82286025062808</v>
      </c>
      <c r="BE1674" s="2507">
        <f t="shared" si="289"/>
        <v>1136.0547428032091</v>
      </c>
      <c r="BF1674" s="156"/>
      <c r="BH1674" s="686"/>
    </row>
    <row r="1675" spans="1:60" x14ac:dyDescent="0.35">
      <c r="A1675" s="3493" t="str">
        <f t="shared" si="290"/>
        <v>353360_2021_12_Heating Res</v>
      </c>
      <c r="B1675" s="2812"/>
      <c r="C1675" s="1037" t="s">
        <v>1287</v>
      </c>
      <c r="D1675" s="1311" t="s">
        <v>320</v>
      </c>
      <c r="E1675" s="3419" t="s">
        <v>1288</v>
      </c>
      <c r="F1675" s="615">
        <v>0</v>
      </c>
      <c r="G1675" s="1313" t="s">
        <v>1092</v>
      </c>
      <c r="H1675" s="136">
        <f>VLOOKUP(G1675,'CP FACTORS'!$A$3:$B$38, 2, FALSE)</f>
        <v>0</v>
      </c>
      <c r="I1675" s="3497">
        <f t="shared" si="291"/>
        <v>0</v>
      </c>
      <c r="J1675" s="124">
        <f t="shared" si="311"/>
        <v>18</v>
      </c>
      <c r="K1675" s="462">
        <f t="shared" si="312"/>
        <v>0</v>
      </c>
      <c r="L1675" s="3496"/>
      <c r="M1675" s="103"/>
      <c r="N1675" s="1317"/>
      <c r="O1675" s="963"/>
      <c r="P1675" s="106"/>
      <c r="Q1675" s="106"/>
      <c r="R1675" s="1214"/>
      <c r="S1675" s="106"/>
      <c r="T1675" s="106"/>
      <c r="U1675" s="1319"/>
      <c r="V1675" s="1590" t="s">
        <v>30</v>
      </c>
      <c r="W1675" s="2914"/>
      <c r="X1675" s="685"/>
      <c r="Y1675" s="618"/>
      <c r="Z1675" s="615"/>
      <c r="AA1675" s="615"/>
      <c r="AB1675" s="3495"/>
      <c r="AC1675" s="618">
        <v>0</v>
      </c>
      <c r="AD1675" s="615">
        <v>0</v>
      </c>
      <c r="AE1675" s="2914"/>
      <c r="AF1675" s="2914"/>
      <c r="AG1675" s="2914"/>
      <c r="AH1675" s="344"/>
      <c r="AI1675" s="156"/>
      <c r="AJ1675" s="3640"/>
      <c r="AK1675" s="2915"/>
      <c r="AL1675" s="156"/>
      <c r="AM1675" s="3640"/>
      <c r="AN1675" s="3640"/>
      <c r="AO1675" s="156"/>
      <c r="AP1675" s="156"/>
      <c r="AQ1675" s="156"/>
      <c r="AR1675" s="156"/>
      <c r="AS1675" s="156"/>
      <c r="AT1675" s="156"/>
      <c r="AU1675" s="156"/>
      <c r="AV1675" s="156"/>
      <c r="AW1675" s="156"/>
      <c r="AX1675" s="156"/>
      <c r="AY1675" s="156"/>
      <c r="AZ1675" s="156"/>
      <c r="BA1675" s="156"/>
      <c r="BB1675" s="2745"/>
      <c r="BC1675" s="3393" t="str">
        <f t="shared" si="292"/>
        <v>Heating Res 18 Year EUL</v>
      </c>
      <c r="BD1675" s="1841">
        <f>(INDEX('Avoided Cost Benefits'!$E$4:$E$859,MATCH(BC1675,'Avoided Cost Benefits'!$A$4:$A$859,0)))*F1675</f>
        <v>0</v>
      </c>
      <c r="BE1675" s="2507">
        <f t="shared" si="289"/>
        <v>0</v>
      </c>
      <c r="BF1675" s="156"/>
      <c r="BH1675" s="686"/>
    </row>
    <row r="1676" spans="1:60" x14ac:dyDescent="0.35">
      <c r="A1676" s="3493" t="str">
        <f t="shared" si="290"/>
        <v>353361_2021_12_Cooling Res</v>
      </c>
      <c r="B1676" s="2812"/>
      <c r="C1676" s="1037" t="s">
        <v>1289</v>
      </c>
      <c r="D1676" s="1311" t="s">
        <v>315</v>
      </c>
      <c r="E1676" s="3420" t="s">
        <v>1290</v>
      </c>
      <c r="F1676" s="615">
        <f>ROUND(((K2783*K2976*(1/K3169-1/K3362)*K3555)/1000)*$K$3677,2)</f>
        <v>335.29</v>
      </c>
      <c r="G1676" s="1313" t="s">
        <v>1091</v>
      </c>
      <c r="H1676" s="136">
        <f>VLOOKUP(G1676,'CP FACTORS'!$A$3:$B$38, 2, FALSE)</f>
        <v>9.4741810000000004E-4</v>
      </c>
      <c r="I1676" s="3497">
        <f t="shared" si="291"/>
        <v>0.31766</v>
      </c>
      <c r="J1676" s="124">
        <f t="shared" si="311"/>
        <v>18</v>
      </c>
      <c r="K1676" s="462">
        <f t="shared" si="312"/>
        <v>1203.6500000000003</v>
      </c>
      <c r="L1676" s="3496">
        <f>L2011</f>
        <v>2.8</v>
      </c>
      <c r="M1676" s="103"/>
      <c r="N1676" s="1317"/>
      <c r="O1676" s="963"/>
      <c r="P1676" s="106"/>
      <c r="Q1676" s="106"/>
      <c r="R1676" s="1214"/>
      <c r="S1676" s="106"/>
      <c r="T1676" s="106"/>
      <c r="U1676" s="1319"/>
      <c r="V1676" s="1590" t="s">
        <v>30</v>
      </c>
      <c r="W1676" s="2914"/>
      <c r="X1676" s="685"/>
      <c r="Y1676" s="618"/>
      <c r="Z1676" s="615"/>
      <c r="AA1676" s="615"/>
      <c r="AB1676" s="3495"/>
      <c r="AC1676" s="618">
        <v>335.29</v>
      </c>
      <c r="AD1676" s="615">
        <v>335.29</v>
      </c>
      <c r="AE1676" s="2914"/>
      <c r="AF1676" s="2914"/>
      <c r="AG1676" s="2914"/>
      <c r="AH1676" s="344"/>
      <c r="AI1676" s="156"/>
      <c r="AJ1676" s="3640"/>
      <c r="AK1676" s="2915"/>
      <c r="AL1676" s="156"/>
      <c r="AM1676" s="3640"/>
      <c r="AN1676" s="3640"/>
      <c r="AO1676" s="156"/>
      <c r="AP1676" s="156"/>
      <c r="AQ1676" s="156"/>
      <c r="AR1676" s="156"/>
      <c r="AS1676" s="156"/>
      <c r="AT1676" s="156"/>
      <c r="AU1676" s="156"/>
      <c r="AV1676" s="156"/>
      <c r="AW1676" s="156"/>
      <c r="AX1676" s="156"/>
      <c r="AY1676" s="156"/>
      <c r="AZ1676" s="156"/>
      <c r="BA1676" s="156"/>
      <c r="BB1676" s="2741">
        <f>(BD1676+BD1677)/(BE1676+BE1677)</f>
        <v>0.51357764518203874</v>
      </c>
      <c r="BC1676" s="3392" t="str">
        <f t="shared" si="292"/>
        <v>Cooling Res 18 Year EUL</v>
      </c>
      <c r="BD1676" s="1841">
        <f>(INDEX('Avoided Cost Benefits'!$E$4:$E$859,MATCH(BC1676,'Avoided Cost Benefits'!$A$4:$A$859,0)))*F1676</f>
        <v>583.45231960675881</v>
      </c>
      <c r="BE1676" s="2507">
        <f t="shared" si="289"/>
        <v>1136.0547428032091</v>
      </c>
      <c r="BF1676" s="156"/>
      <c r="BH1676" s="686"/>
    </row>
    <row r="1677" spans="1:60" x14ac:dyDescent="0.35">
      <c r="A1677" s="3493" t="str">
        <f t="shared" si="290"/>
        <v>353361_2021_12_Heating Res</v>
      </c>
      <c r="B1677" s="2812"/>
      <c r="C1677" s="1037" t="s">
        <v>1289</v>
      </c>
      <c r="D1677" s="1311" t="s">
        <v>315</v>
      </c>
      <c r="E1677" s="3420" t="s">
        <v>1290</v>
      </c>
      <c r="F1677" s="615">
        <v>0</v>
      </c>
      <c r="G1677" s="1313" t="s">
        <v>1092</v>
      </c>
      <c r="H1677" s="136">
        <f>VLOOKUP(G1677,'CP FACTORS'!$A$3:$B$38, 2, FALSE)</f>
        <v>0</v>
      </c>
      <c r="I1677" s="3497">
        <f t="shared" si="291"/>
        <v>0</v>
      </c>
      <c r="J1677" s="124">
        <f t="shared" si="311"/>
        <v>18</v>
      </c>
      <c r="K1677" s="462">
        <f t="shared" si="312"/>
        <v>0</v>
      </c>
      <c r="L1677" s="3496"/>
      <c r="M1677" s="103"/>
      <c r="N1677" s="1317"/>
      <c r="O1677" s="963"/>
      <c r="P1677" s="106"/>
      <c r="Q1677" s="106"/>
      <c r="R1677" s="1214"/>
      <c r="S1677" s="106"/>
      <c r="T1677" s="106"/>
      <c r="U1677" s="1319"/>
      <c r="V1677" s="1590" t="s">
        <v>30</v>
      </c>
      <c r="W1677" s="2914"/>
      <c r="X1677" s="685"/>
      <c r="Y1677" s="618"/>
      <c r="Z1677" s="615"/>
      <c r="AA1677" s="615"/>
      <c r="AB1677" s="3495"/>
      <c r="AC1677" s="618">
        <v>0</v>
      </c>
      <c r="AD1677" s="615">
        <v>0</v>
      </c>
      <c r="AE1677" s="2914"/>
      <c r="AF1677" s="2914"/>
      <c r="AG1677" s="2914"/>
      <c r="AH1677" s="344"/>
      <c r="AI1677" s="156"/>
      <c r="AJ1677" s="3640"/>
      <c r="AK1677" s="2915"/>
      <c r="AL1677" s="156"/>
      <c r="AM1677" s="3640"/>
      <c r="AN1677" s="3640"/>
      <c r="AO1677" s="156"/>
      <c r="AP1677" s="156"/>
      <c r="AQ1677" s="156"/>
      <c r="AR1677" s="156"/>
      <c r="AS1677" s="156"/>
      <c r="AT1677" s="156"/>
      <c r="AU1677" s="156"/>
      <c r="AV1677" s="156"/>
      <c r="AW1677" s="156"/>
      <c r="AX1677" s="156"/>
      <c r="AY1677" s="156"/>
      <c r="AZ1677" s="156"/>
      <c r="BA1677" s="156"/>
      <c r="BB1677" s="2745"/>
      <c r="BC1677" s="3392" t="str">
        <f t="shared" si="292"/>
        <v>Heating Res 18 Year EUL</v>
      </c>
      <c r="BD1677" s="1841">
        <f>(INDEX('Avoided Cost Benefits'!$E$4:$E$859,MATCH(BC1677,'Avoided Cost Benefits'!$A$4:$A$859,0)))*F1677</f>
        <v>0</v>
      </c>
      <c r="BE1677" s="2507">
        <f t="shared" si="289"/>
        <v>0</v>
      </c>
      <c r="BF1677" s="156"/>
      <c r="BH1677" s="686"/>
    </row>
    <row r="1678" spans="1:60" x14ac:dyDescent="0.35">
      <c r="A1678" s="3493" t="str">
        <f t="shared" si="290"/>
        <v>353400_2021_12_Cooling Res</v>
      </c>
      <c r="B1678" s="2812"/>
      <c r="C1678" s="1037" t="s">
        <v>1292</v>
      </c>
      <c r="D1678" s="1311" t="s">
        <v>318</v>
      </c>
      <c r="E1678" s="3418" t="s">
        <v>1293</v>
      </c>
      <c r="F1678" s="618">
        <f>ROUND(((K2784*K2977*(1/K3170-1/K3363)*K3556)/1000)*$K$3677,2)</f>
        <v>2594.98</v>
      </c>
      <c r="G1678" s="2810" t="s">
        <v>1091</v>
      </c>
      <c r="H1678" s="2720">
        <f>VLOOKUP(G1678,'CP FACTORS'!$A$3:$B$38, 2, FALSE)</f>
        <v>9.4741810000000004E-4</v>
      </c>
      <c r="I1678" s="2995">
        <f t="shared" si="291"/>
        <v>2.4585309999999998</v>
      </c>
      <c r="J1678" s="124">
        <f t="shared" si="311"/>
        <v>6</v>
      </c>
      <c r="K1678" s="462">
        <f t="shared" si="312"/>
        <v>2109.0699962597669</v>
      </c>
      <c r="L1678" s="3496">
        <f>L2012</f>
        <v>2.7818528962962961</v>
      </c>
      <c r="M1678" s="103"/>
      <c r="N1678" s="1317"/>
      <c r="O1678" s="963"/>
      <c r="P1678" s="106"/>
      <c r="Q1678" s="106"/>
      <c r="R1678" s="1214"/>
      <c r="S1678" s="106"/>
      <c r="T1678" s="106"/>
      <c r="U1678" s="1319"/>
      <c r="V1678" s="3436" t="s">
        <v>30</v>
      </c>
      <c r="W1678" s="2914">
        <v>3137.6011764705886</v>
      </c>
      <c r="X1678" s="685">
        <v>2264.428307322929</v>
      </c>
      <c r="Y1678" s="615">
        <v>2264.4299999999998</v>
      </c>
      <c r="Z1678" s="615">
        <v>2264.4299999999998</v>
      </c>
      <c r="AA1678" s="615">
        <v>2264.4299999999998</v>
      </c>
      <c r="AB1678" s="3495">
        <v>2264.4299999999998</v>
      </c>
      <c r="AC1678" s="618">
        <v>2197.42</v>
      </c>
      <c r="AD1678" s="618">
        <v>2594.98</v>
      </c>
      <c r="AE1678" s="2914"/>
      <c r="AF1678" s="2914"/>
      <c r="AG1678" s="2914"/>
      <c r="AH1678" s="344"/>
      <c r="AI1678" s="156"/>
      <c r="AJ1678" s="3640"/>
      <c r="AK1678" s="2915"/>
      <c r="AL1678" s="156"/>
      <c r="AM1678" s="3640"/>
      <c r="AN1678" s="3640"/>
      <c r="AO1678" s="156"/>
      <c r="AP1678" s="156"/>
      <c r="AQ1678" s="156"/>
      <c r="AR1678" s="156"/>
      <c r="AS1678" s="156"/>
      <c r="AT1678" s="156"/>
      <c r="AU1678" s="156"/>
      <c r="AV1678" s="156"/>
      <c r="AW1678" s="156"/>
      <c r="AX1678" s="156"/>
      <c r="AY1678" s="156"/>
      <c r="AZ1678" s="156"/>
      <c r="BA1678" s="156"/>
      <c r="BB1678" s="2833">
        <f>(BD1678+BD1679+BD1680+BD1681)/(BE1678+BE1679+BE1680+BE1681)</f>
        <v>3.4819949105236416</v>
      </c>
      <c r="BC1678" s="2348" t="str">
        <f t="shared" si="292"/>
        <v>Cooling Res 6 Year EUL</v>
      </c>
      <c r="BD1678" s="2829">
        <f>(INDEX('Avoided Cost Benefits'!$E$4:$E$859,MATCH(BC1678,'Avoided Cost Benefits'!$A$4:$A$859,0)))*F1678</f>
        <v>1644.2104400279143</v>
      </c>
      <c r="BE1678" s="858">
        <f t="shared" si="289"/>
        <v>1990.6276510238476</v>
      </c>
      <c r="BF1678" s="156"/>
      <c r="BH1678" s="686"/>
    </row>
    <row r="1679" spans="1:60" x14ac:dyDescent="0.35">
      <c r="A1679" s="3493" t="str">
        <f t="shared" si="290"/>
        <v>353400_2021_12_Heating Res</v>
      </c>
      <c r="B1679" s="2812"/>
      <c r="C1679" s="1037" t="s">
        <v>1292</v>
      </c>
      <c r="D1679" s="1311" t="s">
        <v>318</v>
      </c>
      <c r="E1679" s="3420" t="s">
        <v>1293</v>
      </c>
      <c r="F1679" s="618">
        <f>ROUND(((K2012*K2205*(1/K2398-1/K2591)*K3556)/1000)*$K$3677,2)</f>
        <v>9717.92</v>
      </c>
      <c r="G1679" s="2810" t="s">
        <v>1092</v>
      </c>
      <c r="H1679" s="2720">
        <f>VLOOKUP(G1679,'CP FACTORS'!$A$3:$B$38, 2, FALSE)</f>
        <v>0</v>
      </c>
      <c r="I1679" s="2995">
        <f t="shared" si="291"/>
        <v>0</v>
      </c>
      <c r="J1679" s="124">
        <f t="shared" si="311"/>
        <v>6</v>
      </c>
      <c r="K1679" s="462">
        <f t="shared" si="312"/>
        <v>0</v>
      </c>
      <c r="L1679" s="3496"/>
      <c r="M1679" s="103"/>
      <c r="N1679" s="1317"/>
      <c r="O1679" s="963"/>
      <c r="P1679" s="106"/>
      <c r="Q1679" s="106"/>
      <c r="R1679" s="1214"/>
      <c r="S1679" s="106"/>
      <c r="T1679" s="106"/>
      <c r="U1679" s="1319"/>
      <c r="V1679" s="3436" t="s">
        <v>30</v>
      </c>
      <c r="W1679" s="2914">
        <v>13965.852998065762</v>
      </c>
      <c r="X1679" s="685">
        <v>10399.659574468084</v>
      </c>
      <c r="Y1679" s="615">
        <v>10399.66</v>
      </c>
      <c r="Z1679" s="615">
        <v>10399.66</v>
      </c>
      <c r="AA1679" s="615">
        <v>10399.66</v>
      </c>
      <c r="AB1679" s="3495">
        <v>10399.66</v>
      </c>
      <c r="AC1679" s="618">
        <v>10941.66</v>
      </c>
      <c r="AD1679" s="618">
        <v>9717.92</v>
      </c>
      <c r="AE1679" s="2914"/>
      <c r="AF1679" s="2914"/>
      <c r="AG1679" s="2914"/>
      <c r="AH1679" s="344"/>
      <c r="AI1679" s="156"/>
      <c r="AJ1679" s="3640"/>
      <c r="AK1679" s="2915"/>
      <c r="AL1679" s="156"/>
      <c r="AM1679" s="3640"/>
      <c r="AN1679" s="3640"/>
      <c r="AO1679" s="156"/>
      <c r="AP1679" s="156"/>
      <c r="AQ1679" s="156"/>
      <c r="AR1679" s="156"/>
      <c r="AS1679" s="156"/>
      <c r="AT1679" s="156"/>
      <c r="AU1679" s="156"/>
      <c r="AV1679" s="156"/>
      <c r="AW1679" s="156"/>
      <c r="AX1679" s="156"/>
      <c r="AY1679" s="156"/>
      <c r="AZ1679" s="156"/>
      <c r="BA1679" s="156"/>
      <c r="BB1679" s="2905"/>
      <c r="BC1679" s="2357" t="str">
        <f t="shared" si="292"/>
        <v>Heating Res 6 Year EUL</v>
      </c>
      <c r="BD1679" s="2829">
        <f>(INDEX('Avoided Cost Benefits'!$E$4:$E$859,MATCH(BC1679,'Avoided Cost Benefits'!$A$4:$A$859,0)))*F1679</f>
        <v>1583.4494334227099</v>
      </c>
      <c r="BE1679" s="858">
        <f t="shared" si="289"/>
        <v>0</v>
      </c>
      <c r="BF1679" s="156"/>
      <c r="BH1679" s="686"/>
    </row>
    <row r="1680" spans="1:60" x14ac:dyDescent="0.35">
      <c r="A1680" s="3493" t="str">
        <f t="shared" si="290"/>
        <v>353400_2021_12_Cooling Res ER2</v>
      </c>
      <c r="B1680" s="2812"/>
      <c r="C1680" s="1037" t="s">
        <v>1292</v>
      </c>
      <c r="D1680" s="1311" t="s">
        <v>318</v>
      </c>
      <c r="E1680" s="3420" t="s">
        <v>1294</v>
      </c>
      <c r="F1680" s="618">
        <f>ROUND(((K2785*K2978*(1/K3171-1/K3364)*K3557)/1000)*$K$3677,2)</f>
        <v>862.58</v>
      </c>
      <c r="G1680" s="2810" t="s">
        <v>1133</v>
      </c>
      <c r="H1680" s="2720">
        <f>VLOOKUP(G1680,'CP FACTORS'!$A$3:$B$38, 2, FALSE)</f>
        <v>9.4741810000000004E-4</v>
      </c>
      <c r="I1680" s="2995">
        <f t="shared" si="291"/>
        <v>0.81722399999999995</v>
      </c>
      <c r="J1680" s="124">
        <f t="shared" si="311"/>
        <v>12</v>
      </c>
      <c r="K1680" s="462">
        <f t="shared" si="312"/>
        <v>0</v>
      </c>
      <c r="L1680" s="3496"/>
      <c r="M1680" s="103"/>
      <c r="N1680" s="1317"/>
      <c r="O1680" s="963"/>
      <c r="P1680" s="106"/>
      <c r="Q1680" s="106"/>
      <c r="R1680" s="1214"/>
      <c r="S1680" s="106"/>
      <c r="T1680" s="106"/>
      <c r="U1680" s="1319"/>
      <c r="V1680" s="3436" t="s">
        <v>30</v>
      </c>
      <c r="W1680" s="2914">
        <v>870.33692307692309</v>
      </c>
      <c r="X1680" s="688">
        <v>870.33692307692309</v>
      </c>
      <c r="Y1680" s="615">
        <v>870.34</v>
      </c>
      <c r="Z1680" s="615">
        <v>870.34</v>
      </c>
      <c r="AA1680" s="615">
        <v>870.34</v>
      </c>
      <c r="AB1680" s="3495">
        <v>870.34</v>
      </c>
      <c r="AC1680" s="618">
        <v>842.26</v>
      </c>
      <c r="AD1680" s="618">
        <v>862.58</v>
      </c>
      <c r="AE1680" s="2914"/>
      <c r="AF1680" s="2914"/>
      <c r="AG1680" s="2914"/>
      <c r="AH1680" s="344"/>
      <c r="AI1680" s="156"/>
      <c r="AJ1680" s="3640"/>
      <c r="AK1680" s="2915"/>
      <c r="AL1680" s="156"/>
      <c r="AM1680" s="3640"/>
      <c r="AN1680" s="3640"/>
      <c r="AO1680" s="156"/>
      <c r="AP1680" s="156"/>
      <c r="AQ1680" s="156"/>
      <c r="AR1680" s="156"/>
      <c r="AS1680" s="156"/>
      <c r="AT1680" s="156"/>
      <c r="AU1680" s="156"/>
      <c r="AV1680" s="156"/>
      <c r="AW1680" s="156"/>
      <c r="AX1680" s="156"/>
      <c r="AY1680" s="156"/>
      <c r="AZ1680" s="156"/>
      <c r="BA1680" s="156"/>
      <c r="BB1680" s="2905"/>
      <c r="BC1680" s="2357" t="str">
        <f t="shared" si="292"/>
        <v>Cooling Res ER2 12 Year EUL</v>
      </c>
      <c r="BD1680" s="2829">
        <f>(INDEX('Avoided Cost Benefits'!$E$4:$E$859,MATCH(BC1680,'Avoided Cost Benefits'!$A$4:$A$859,0)))*F1680</f>
        <v>954.47093556110383</v>
      </c>
      <c r="BE1680" s="858">
        <f t="shared" si="289"/>
        <v>0</v>
      </c>
      <c r="BF1680" s="156"/>
      <c r="BH1680" s="686"/>
    </row>
    <row r="1681" spans="1:60" x14ac:dyDescent="0.35">
      <c r="A1681" s="3493" t="str">
        <f t="shared" si="290"/>
        <v>353400_2021_12_Heating Res ER2</v>
      </c>
      <c r="B1681" s="2812"/>
      <c r="C1681" s="1037" t="s">
        <v>1292</v>
      </c>
      <c r="D1681" s="1311" t="s">
        <v>318</v>
      </c>
      <c r="E1681" s="3419" t="s">
        <v>1294</v>
      </c>
      <c r="F1681" s="618">
        <f>ROUND(((K2013*K2206*(1/K2399-1/K2592)*K3557)/1000)*$K$3677,2)</f>
        <v>9717.92</v>
      </c>
      <c r="G1681" s="2810" t="s">
        <v>1150</v>
      </c>
      <c r="H1681" s="2720">
        <f>VLOOKUP(G1681,'CP FACTORS'!$A$3:$B$38, 2, FALSE)</f>
        <v>0</v>
      </c>
      <c r="I1681" s="2995">
        <f t="shared" si="291"/>
        <v>0</v>
      </c>
      <c r="J1681" s="124">
        <f t="shared" si="311"/>
        <v>12</v>
      </c>
      <c r="K1681" s="462">
        <f t="shared" si="312"/>
        <v>0</v>
      </c>
      <c r="L1681" s="3496"/>
      <c r="M1681" s="103"/>
      <c r="N1681" s="1317"/>
      <c r="O1681" s="963"/>
      <c r="P1681" s="106"/>
      <c r="Q1681" s="106"/>
      <c r="R1681" s="1214"/>
      <c r="S1681" s="106"/>
      <c r="T1681" s="106"/>
      <c r="U1681" s="1319"/>
      <c r="V1681" s="3436" t="s">
        <v>30</v>
      </c>
      <c r="W1681" s="2914">
        <v>13965.852998065762</v>
      </c>
      <c r="X1681" s="685">
        <v>10399.659574468084</v>
      </c>
      <c r="Y1681" s="615">
        <v>10399.66</v>
      </c>
      <c r="Z1681" s="615">
        <v>10399.66</v>
      </c>
      <c r="AA1681" s="615">
        <v>10399.66</v>
      </c>
      <c r="AB1681" s="3495">
        <v>10399.66</v>
      </c>
      <c r="AC1681" s="618">
        <v>10941.66</v>
      </c>
      <c r="AD1681" s="618">
        <v>9717.92</v>
      </c>
      <c r="AE1681" s="2914"/>
      <c r="AF1681" s="2914"/>
      <c r="AG1681" s="2914"/>
      <c r="AH1681" s="344"/>
      <c r="AI1681" s="156"/>
      <c r="AJ1681" s="3640"/>
      <c r="AK1681" s="2915"/>
      <c r="AL1681" s="156"/>
      <c r="AM1681" s="3640"/>
      <c r="AN1681" s="3640"/>
      <c r="AO1681" s="156"/>
      <c r="AP1681" s="156"/>
      <c r="AQ1681" s="156"/>
      <c r="AR1681" s="156"/>
      <c r="AS1681" s="156"/>
      <c r="AT1681" s="156"/>
      <c r="AU1681" s="156"/>
      <c r="AV1681" s="156"/>
      <c r="AW1681" s="156"/>
      <c r="AX1681" s="156"/>
      <c r="AY1681" s="156"/>
      <c r="AZ1681" s="156"/>
      <c r="BA1681" s="156"/>
      <c r="BB1681" s="2905"/>
      <c r="BC1681" s="2349" t="str">
        <f t="shared" si="292"/>
        <v>Heating Res ER2 12 Year EUL</v>
      </c>
      <c r="BD1681" s="2829">
        <f>(INDEX('Avoided Cost Benefits'!$E$4:$E$859,MATCH(BC1681,'Avoided Cost Benefits'!$A$4:$A$859,0)))*F1681</f>
        <v>2749.2245406009415</v>
      </c>
      <c r="BE1681" s="858">
        <f t="shared" si="289"/>
        <v>0</v>
      </c>
      <c r="BF1681" s="156"/>
      <c r="BH1681" s="686"/>
    </row>
    <row r="1682" spans="1:60" x14ac:dyDescent="0.35">
      <c r="A1682" s="3493" t="str">
        <f t="shared" si="290"/>
        <v>353410_2021_12_Cooling Res</v>
      </c>
      <c r="B1682" s="2812"/>
      <c r="C1682" s="1037" t="s">
        <v>1295</v>
      </c>
      <c r="D1682" s="1311" t="s">
        <v>318</v>
      </c>
      <c r="E1682" s="3420" t="s">
        <v>1296</v>
      </c>
      <c r="F1682" s="618">
        <f>ROUND(((K2786*K2979*(1/K3172-1/K3365)*K3558)/1000)*$K$3677,2)</f>
        <v>2594.98</v>
      </c>
      <c r="G1682" s="2810" t="s">
        <v>1091</v>
      </c>
      <c r="H1682" s="2720">
        <f>VLOOKUP(G1682,'CP FACTORS'!$A$3:$B$38, 2, FALSE)</f>
        <v>9.4741810000000004E-4</v>
      </c>
      <c r="I1682" s="2995">
        <f t="shared" si="291"/>
        <v>2.4585309999999998</v>
      </c>
      <c r="J1682" s="124">
        <f t="shared" si="311"/>
        <v>6</v>
      </c>
      <c r="K1682" s="462">
        <f t="shared" si="312"/>
        <v>2109.0699962597669</v>
      </c>
      <c r="L1682" s="3496">
        <f>L2014</f>
        <v>2.7818528962962961</v>
      </c>
      <c r="M1682" s="103"/>
      <c r="N1682" s="1317"/>
      <c r="O1682" s="963"/>
      <c r="P1682" s="106"/>
      <c r="Q1682" s="106"/>
      <c r="R1682" s="1214"/>
      <c r="S1682" s="106"/>
      <c r="T1682" s="106"/>
      <c r="U1682" s="1319"/>
      <c r="V1682" s="1590" t="s">
        <v>30</v>
      </c>
      <c r="W1682" s="2914"/>
      <c r="X1682" s="685"/>
      <c r="Y1682" s="615"/>
      <c r="Z1682" s="615"/>
      <c r="AA1682" s="615"/>
      <c r="AB1682" s="3495"/>
      <c r="AC1682" s="618">
        <v>2197.42</v>
      </c>
      <c r="AD1682" s="618">
        <v>2594.98</v>
      </c>
      <c r="AE1682" s="2914"/>
      <c r="AF1682" s="2914"/>
      <c r="AG1682" s="2914"/>
      <c r="AH1682" s="344"/>
      <c r="AI1682" s="156"/>
      <c r="AJ1682" s="3640"/>
      <c r="AK1682" s="2915"/>
      <c r="AL1682" s="156"/>
      <c r="AM1682" s="3640"/>
      <c r="AN1682" s="3640"/>
      <c r="AO1682" s="156"/>
      <c r="AP1682" s="156"/>
      <c r="AQ1682" s="156"/>
      <c r="AR1682" s="156"/>
      <c r="AS1682" s="156"/>
      <c r="AT1682" s="156"/>
      <c r="AU1682" s="156"/>
      <c r="AV1682" s="156"/>
      <c r="AW1682" s="156"/>
      <c r="AX1682" s="156"/>
      <c r="AY1682" s="156"/>
      <c r="AZ1682" s="156"/>
      <c r="BA1682" s="156"/>
      <c r="BB1682" s="2741">
        <f>(BD1682+BD1683+BD1684+BD1685)/(BE1682+BE1683+BE1684+BE1685)</f>
        <v>1.3054582931430836</v>
      </c>
      <c r="BC1682" s="2742" t="str">
        <f t="shared" si="292"/>
        <v>Cooling Res 6 Year EUL</v>
      </c>
      <c r="BD1682" s="1841">
        <f>(INDEX('Avoided Cost Benefits'!$E$4:$E$859,MATCH(BC1682,'Avoided Cost Benefits'!$A$4:$A$859,0)))*F1682</f>
        <v>1644.2104400279143</v>
      </c>
      <c r="BE1682" s="2507">
        <f t="shared" si="289"/>
        <v>1990.6276510238476</v>
      </c>
      <c r="BF1682" s="156"/>
      <c r="BH1682" s="686"/>
    </row>
    <row r="1683" spans="1:60" x14ac:dyDescent="0.35">
      <c r="A1683" s="3493" t="str">
        <f t="shared" si="290"/>
        <v>353410_2021_12_Heating Res</v>
      </c>
      <c r="B1683" s="2812"/>
      <c r="C1683" s="1037" t="s">
        <v>1295</v>
      </c>
      <c r="D1683" s="1311" t="s">
        <v>318</v>
      </c>
      <c r="E1683" s="3420" t="s">
        <v>1296</v>
      </c>
      <c r="F1683" s="615">
        <v>0</v>
      </c>
      <c r="G1683" s="1313" t="s">
        <v>1092</v>
      </c>
      <c r="H1683" s="136">
        <f>VLOOKUP(G1683,'CP FACTORS'!$A$3:$B$38, 2, FALSE)</f>
        <v>0</v>
      </c>
      <c r="I1683" s="3497">
        <f t="shared" si="291"/>
        <v>0</v>
      </c>
      <c r="J1683" s="124">
        <f t="shared" si="311"/>
        <v>6</v>
      </c>
      <c r="K1683" s="462">
        <f t="shared" si="312"/>
        <v>0</v>
      </c>
      <c r="L1683" s="3496"/>
      <c r="M1683" s="103"/>
      <c r="N1683" s="1317"/>
      <c r="O1683" s="963"/>
      <c r="P1683" s="106"/>
      <c r="Q1683" s="106"/>
      <c r="R1683" s="1214"/>
      <c r="S1683" s="106"/>
      <c r="T1683" s="106"/>
      <c r="U1683" s="1319"/>
      <c r="V1683" s="1590" t="s">
        <v>30</v>
      </c>
      <c r="W1683" s="2914"/>
      <c r="X1683" s="685"/>
      <c r="Y1683" s="615"/>
      <c r="Z1683" s="615"/>
      <c r="AA1683" s="615"/>
      <c r="AB1683" s="3495"/>
      <c r="AC1683" s="618">
        <v>0</v>
      </c>
      <c r="AD1683" s="618">
        <v>0</v>
      </c>
      <c r="AE1683" s="2914"/>
      <c r="AF1683" s="2914"/>
      <c r="AG1683" s="2914"/>
      <c r="AH1683" s="344"/>
      <c r="AI1683" s="156"/>
      <c r="AJ1683" s="3640"/>
      <c r="AK1683" s="2915"/>
      <c r="AL1683" s="156"/>
      <c r="AM1683" s="3640"/>
      <c r="AN1683" s="3640"/>
      <c r="AO1683" s="156"/>
      <c r="AP1683" s="156"/>
      <c r="AQ1683" s="156"/>
      <c r="AR1683" s="156"/>
      <c r="AS1683" s="156"/>
      <c r="AT1683" s="156"/>
      <c r="AU1683" s="156"/>
      <c r="AV1683" s="156"/>
      <c r="AW1683" s="156"/>
      <c r="AX1683" s="156"/>
      <c r="AY1683" s="156"/>
      <c r="AZ1683" s="156"/>
      <c r="BA1683" s="156"/>
      <c r="BB1683" s="2743"/>
      <c r="BC1683" s="2742" t="str">
        <f t="shared" si="292"/>
        <v>Heating Res 6 Year EUL</v>
      </c>
      <c r="BD1683" s="1841">
        <f>(INDEX('Avoided Cost Benefits'!$E$4:$E$859,MATCH(BC1683,'Avoided Cost Benefits'!$A$4:$A$859,0)))*F1683</f>
        <v>0</v>
      </c>
      <c r="BE1683" s="2507">
        <f t="shared" si="289"/>
        <v>0</v>
      </c>
      <c r="BF1683" s="156"/>
      <c r="BH1683" s="686"/>
    </row>
    <row r="1684" spans="1:60" x14ac:dyDescent="0.35">
      <c r="A1684" s="3493" t="str">
        <f t="shared" si="290"/>
        <v>353410_2021_12_Cooling Res ER2</v>
      </c>
      <c r="B1684" s="2812"/>
      <c r="C1684" s="1037" t="s">
        <v>1295</v>
      </c>
      <c r="D1684" s="1311" t="s">
        <v>318</v>
      </c>
      <c r="E1684" s="3420" t="s">
        <v>1297</v>
      </c>
      <c r="F1684" s="618">
        <f>ROUND(((K2787*K2980*(1/K3173-1/K3366)*K3559)/1000)*$K$3677,2)</f>
        <v>862.58</v>
      </c>
      <c r="G1684" s="2810" t="s">
        <v>1133</v>
      </c>
      <c r="H1684" s="2720">
        <f>VLOOKUP(G1684,'CP FACTORS'!$A$3:$B$38, 2, FALSE)</f>
        <v>9.4741810000000004E-4</v>
      </c>
      <c r="I1684" s="2995">
        <f t="shared" si="291"/>
        <v>0.81722399999999995</v>
      </c>
      <c r="J1684" s="124">
        <f t="shared" si="311"/>
        <v>12</v>
      </c>
      <c r="K1684" s="462">
        <f t="shared" si="312"/>
        <v>0</v>
      </c>
      <c r="L1684" s="3496"/>
      <c r="M1684" s="103"/>
      <c r="N1684" s="1317"/>
      <c r="O1684" s="963"/>
      <c r="P1684" s="106"/>
      <c r="Q1684" s="106"/>
      <c r="R1684" s="1214"/>
      <c r="S1684" s="106"/>
      <c r="T1684" s="106"/>
      <c r="U1684" s="1319"/>
      <c r="V1684" s="1590" t="s">
        <v>30</v>
      </c>
      <c r="W1684" s="2914"/>
      <c r="X1684" s="685"/>
      <c r="Y1684" s="615"/>
      <c r="Z1684" s="615"/>
      <c r="AA1684" s="615"/>
      <c r="AB1684" s="3495"/>
      <c r="AC1684" s="618">
        <v>842.26</v>
      </c>
      <c r="AD1684" s="618">
        <v>862.58</v>
      </c>
      <c r="AE1684" s="2914"/>
      <c r="AF1684" s="2914"/>
      <c r="AG1684" s="2914"/>
      <c r="AH1684" s="344"/>
      <c r="AI1684" s="156"/>
      <c r="AJ1684" s="3640"/>
      <c r="AK1684" s="2915"/>
      <c r="AL1684" s="156"/>
      <c r="AM1684" s="3640"/>
      <c r="AN1684" s="3640"/>
      <c r="AO1684" s="156"/>
      <c r="AP1684" s="156"/>
      <c r="AQ1684" s="156"/>
      <c r="AR1684" s="156"/>
      <c r="AS1684" s="156"/>
      <c r="AT1684" s="156"/>
      <c r="AU1684" s="156"/>
      <c r="AV1684" s="156"/>
      <c r="AW1684" s="156"/>
      <c r="AX1684" s="156"/>
      <c r="AY1684" s="156"/>
      <c r="AZ1684" s="156"/>
      <c r="BA1684" s="156"/>
      <c r="BB1684" s="2743"/>
      <c r="BC1684" s="2742" t="str">
        <f t="shared" si="292"/>
        <v>Cooling Res ER2 12 Year EUL</v>
      </c>
      <c r="BD1684" s="1841">
        <f>(INDEX('Avoided Cost Benefits'!$E$4:$E$859,MATCH(BC1684,'Avoided Cost Benefits'!$A$4:$A$859,0)))*F1684</f>
        <v>954.47093556110383</v>
      </c>
      <c r="BE1684" s="2507">
        <f t="shared" ref="BE1684:BE1751" si="313">K1684/(1.0595^(2020-2019))</f>
        <v>0</v>
      </c>
      <c r="BF1684" s="156"/>
      <c r="BH1684" s="686"/>
    </row>
    <row r="1685" spans="1:60" x14ac:dyDescent="0.35">
      <c r="A1685" s="3493" t="str">
        <f t="shared" si="290"/>
        <v>353410_2021_12_Heating Res ER2</v>
      </c>
      <c r="B1685" s="2812"/>
      <c r="C1685" s="1037" t="s">
        <v>1295</v>
      </c>
      <c r="D1685" s="1311" t="s">
        <v>318</v>
      </c>
      <c r="E1685" s="3420" t="s">
        <v>1297</v>
      </c>
      <c r="F1685" s="615">
        <f>0</f>
        <v>0</v>
      </c>
      <c r="G1685" s="1313" t="s">
        <v>1150</v>
      </c>
      <c r="H1685" s="136">
        <f>VLOOKUP(G1685,'CP FACTORS'!$A$3:$B$38, 2, FALSE)</f>
        <v>0</v>
      </c>
      <c r="I1685" s="3497">
        <f t="shared" si="291"/>
        <v>0</v>
      </c>
      <c r="J1685" s="124">
        <f t="shared" si="311"/>
        <v>12</v>
      </c>
      <c r="K1685" s="462">
        <f t="shared" si="312"/>
        <v>0</v>
      </c>
      <c r="L1685" s="3496"/>
      <c r="M1685" s="103"/>
      <c r="N1685" s="1317"/>
      <c r="O1685" s="963"/>
      <c r="P1685" s="106"/>
      <c r="Q1685" s="106"/>
      <c r="R1685" s="1214"/>
      <c r="S1685" s="106"/>
      <c r="T1685" s="106"/>
      <c r="U1685" s="1319"/>
      <c r="V1685" s="1590" t="s">
        <v>30</v>
      </c>
      <c r="W1685" s="2914"/>
      <c r="X1685" s="685"/>
      <c r="Y1685" s="615"/>
      <c r="Z1685" s="615"/>
      <c r="AA1685" s="615"/>
      <c r="AB1685" s="3495"/>
      <c r="AC1685" s="618">
        <v>0</v>
      </c>
      <c r="AD1685" s="618">
        <v>0</v>
      </c>
      <c r="AE1685" s="2914"/>
      <c r="AF1685" s="2914"/>
      <c r="AG1685" s="2914"/>
      <c r="AH1685" s="344"/>
      <c r="AI1685" s="156"/>
      <c r="AJ1685" s="3640"/>
      <c r="AK1685" s="2915"/>
      <c r="AL1685" s="156"/>
      <c r="AM1685" s="3640"/>
      <c r="AN1685" s="3640"/>
      <c r="AO1685" s="156"/>
      <c r="AP1685" s="156"/>
      <c r="AQ1685" s="156"/>
      <c r="AR1685" s="156"/>
      <c r="AS1685" s="156"/>
      <c r="AT1685" s="156"/>
      <c r="AU1685" s="156"/>
      <c r="AV1685" s="156"/>
      <c r="AW1685" s="156"/>
      <c r="AX1685" s="156"/>
      <c r="AY1685" s="156"/>
      <c r="AZ1685" s="156"/>
      <c r="BA1685" s="156"/>
      <c r="BB1685" s="2743"/>
      <c r="BC1685" s="2742" t="str">
        <f t="shared" si="292"/>
        <v>Heating Res ER2 12 Year EUL</v>
      </c>
      <c r="BD1685" s="1841">
        <f>(INDEX('Avoided Cost Benefits'!$E$4:$E$859,MATCH(BC1685,'Avoided Cost Benefits'!$A$4:$A$859,0)))*F1685</f>
        <v>0</v>
      </c>
      <c r="BE1685" s="2507">
        <f t="shared" si="313"/>
        <v>0</v>
      </c>
      <c r="BF1685" s="156"/>
      <c r="BH1685" s="686"/>
    </row>
    <row r="1686" spans="1:60" x14ac:dyDescent="0.35">
      <c r="A1686" s="3493" t="str">
        <f t="shared" si="290"/>
        <v>353450_2021_12_Cooling Res</v>
      </c>
      <c r="B1686" s="2812"/>
      <c r="C1686" s="1037" t="s">
        <v>1299</v>
      </c>
      <c r="D1686" s="1311" t="s">
        <v>318</v>
      </c>
      <c r="E1686" s="590" t="s">
        <v>1300</v>
      </c>
      <c r="F1686" s="618">
        <f>ROUND(((K2788*K2981*(1/K3174-1/K3367)*K3560)/1000)*$K$3677,2)</f>
        <v>899.76</v>
      </c>
      <c r="G1686" s="2810" t="s">
        <v>1091</v>
      </c>
      <c r="H1686" s="2720">
        <f>VLOOKUP(G1686,'CP FACTORS'!$A$3:$B$38, 2, FALSE)</f>
        <v>9.4741810000000004E-4</v>
      </c>
      <c r="I1686" s="2995">
        <f t="shared" si="291"/>
        <v>0.85244900000000001</v>
      </c>
      <c r="J1686" s="124">
        <f t="shared" si="311"/>
        <v>18</v>
      </c>
      <c r="K1686" s="462">
        <f t="shared" si="312"/>
        <v>1444.3799999999994</v>
      </c>
      <c r="L1686" s="3496">
        <f>L2016</f>
        <v>2.8870833333333334</v>
      </c>
      <c r="M1686" s="103"/>
      <c r="N1686" s="1317"/>
      <c r="O1686" s="963"/>
      <c r="P1686" s="106"/>
      <c r="Q1686" s="106"/>
      <c r="R1686" s="1214"/>
      <c r="S1686" s="106"/>
      <c r="T1686" s="106"/>
      <c r="U1686" s="1319"/>
      <c r="V1686" s="3436" t="s">
        <v>30</v>
      </c>
      <c r="W1686" s="2914">
        <v>898.41230769230776</v>
      </c>
      <c r="X1686" s="688">
        <v>898.41230769230776</v>
      </c>
      <c r="Y1686" s="615">
        <v>898.41</v>
      </c>
      <c r="Z1686" s="615">
        <v>898.41</v>
      </c>
      <c r="AA1686" s="615">
        <v>898.41</v>
      </c>
      <c r="AB1686" s="3495">
        <v>898.41</v>
      </c>
      <c r="AC1686" s="618">
        <v>701.88</v>
      </c>
      <c r="AD1686" s="618">
        <v>899.76</v>
      </c>
      <c r="AE1686" s="2914"/>
      <c r="AF1686" s="2914"/>
      <c r="AG1686" s="2914"/>
      <c r="AH1686" s="344"/>
      <c r="AI1686" s="156"/>
      <c r="AJ1686" s="3640"/>
      <c r="AK1686" s="2915"/>
      <c r="AL1686" s="156"/>
      <c r="AM1686" s="3640"/>
      <c r="AN1686" s="3640"/>
      <c r="AO1686" s="156"/>
      <c r="AP1686" s="156"/>
      <c r="AQ1686" s="156"/>
      <c r="AR1686" s="156"/>
      <c r="AS1686" s="156"/>
      <c r="AT1686" s="156"/>
      <c r="AU1686" s="156"/>
      <c r="AV1686" s="156"/>
      <c r="AW1686" s="156"/>
      <c r="AX1686" s="156"/>
      <c r="AY1686" s="156"/>
      <c r="AZ1686" s="156"/>
      <c r="BA1686" s="156"/>
      <c r="BB1686" s="2833">
        <f>(BD1686+BD1687)/(BE1686+BE1687)</f>
        <v>4.4899626623565441</v>
      </c>
      <c r="BC1686" s="590" t="str">
        <f t="shared" si="292"/>
        <v>Cooling Res 18 Year EUL</v>
      </c>
      <c r="BD1686" s="2829">
        <f>(INDEX('Avoided Cost Benefits'!$E$4:$E$859,MATCH(BC1686,'Avoided Cost Benefits'!$A$4:$A$859,0)))*F1686</f>
        <v>1565.7104568862098</v>
      </c>
      <c r="BE1686" s="858">
        <f t="shared" si="313"/>
        <v>1363.2656913638502</v>
      </c>
      <c r="BF1686" s="156"/>
      <c r="BH1686" s="686"/>
    </row>
    <row r="1687" spans="1:60" x14ac:dyDescent="0.35">
      <c r="A1687" s="3493" t="str">
        <f t="shared" si="290"/>
        <v>353450_2021_12_Heating Res</v>
      </c>
      <c r="B1687" s="2812"/>
      <c r="C1687" s="1037" t="s">
        <v>1299</v>
      </c>
      <c r="D1687" s="1311" t="s">
        <v>318</v>
      </c>
      <c r="E1687" s="687" t="s">
        <v>1300</v>
      </c>
      <c r="F1687" s="618">
        <f>ROUND(((K2016*K2209*(1/K2402-1/K2595)*K3560)/1000)*$K$3677,2)</f>
        <v>10217.26</v>
      </c>
      <c r="G1687" s="2810" t="s">
        <v>1092</v>
      </c>
      <c r="H1687" s="2720">
        <f>VLOOKUP(G1687,'CP FACTORS'!$A$3:$B$38, 2, FALSE)</f>
        <v>0</v>
      </c>
      <c r="I1687" s="2995">
        <f t="shared" si="291"/>
        <v>0</v>
      </c>
      <c r="J1687" s="124">
        <f t="shared" si="311"/>
        <v>18</v>
      </c>
      <c r="K1687" s="462">
        <f t="shared" si="312"/>
        <v>0</v>
      </c>
      <c r="L1687" s="3496"/>
      <c r="M1687" s="103"/>
      <c r="N1687" s="1317"/>
      <c r="O1687" s="963"/>
      <c r="P1687" s="106"/>
      <c r="Q1687" s="106"/>
      <c r="R1687" s="1214"/>
      <c r="S1687" s="106"/>
      <c r="T1687" s="106"/>
      <c r="U1687" s="1319"/>
      <c r="V1687" s="3436" t="s">
        <v>30</v>
      </c>
      <c r="W1687" s="2914">
        <v>14670.188469329136</v>
      </c>
      <c r="X1687" s="685">
        <v>10924.142334552707</v>
      </c>
      <c r="Y1687" s="615">
        <v>10924.14</v>
      </c>
      <c r="Z1687" s="615">
        <v>10924.14</v>
      </c>
      <c r="AA1687" s="615">
        <v>10924.14</v>
      </c>
      <c r="AB1687" s="3495">
        <v>10924.14</v>
      </c>
      <c r="AC1687" s="618">
        <v>8887</v>
      </c>
      <c r="AD1687" s="618">
        <v>10217.26</v>
      </c>
      <c r="AE1687" s="2914"/>
      <c r="AF1687" s="2914"/>
      <c r="AG1687" s="2914"/>
      <c r="AH1687" s="344"/>
      <c r="AI1687" s="156"/>
      <c r="AJ1687" s="3640"/>
      <c r="AK1687" s="2915"/>
      <c r="AL1687" s="156"/>
      <c r="AM1687" s="3640"/>
      <c r="AN1687" s="3640"/>
      <c r="AO1687" s="156"/>
      <c r="AP1687" s="156"/>
      <c r="AQ1687" s="156"/>
      <c r="AR1687" s="156"/>
      <c r="AS1687" s="156"/>
      <c r="AT1687" s="156"/>
      <c r="AU1687" s="156"/>
      <c r="AV1687" s="156"/>
      <c r="AW1687" s="156"/>
      <c r="AX1687" s="156"/>
      <c r="AY1687" s="156"/>
      <c r="AZ1687" s="156"/>
      <c r="BA1687" s="156"/>
      <c r="BB1687" s="2835"/>
      <c r="BC1687" s="687" t="str">
        <f t="shared" si="292"/>
        <v>Heating Res 18 Year EUL</v>
      </c>
      <c r="BD1687" s="2829">
        <f>(INDEX('Avoided Cost Benefits'!$E$4:$E$859,MATCH(BC1687,'Avoided Cost Benefits'!$A$4:$A$859,0)))*F1687</f>
        <v>4555.3015962091577</v>
      </c>
      <c r="BE1687" s="858">
        <f t="shared" si="313"/>
        <v>0</v>
      </c>
      <c r="BF1687" s="156"/>
      <c r="BH1687" s="686"/>
    </row>
    <row r="1688" spans="1:60" s="3398" customFormat="1" x14ac:dyDescent="0.35">
      <c r="A1688" s="3493" t="str">
        <f t="shared" si="290"/>
        <v>353460_2022_12_Cooling Res</v>
      </c>
      <c r="B1688" s="2812"/>
      <c r="C1688" s="2753" t="s">
        <v>4486</v>
      </c>
      <c r="D1688" s="2998" t="s">
        <v>318</v>
      </c>
      <c r="E1688" s="3498" t="s">
        <v>4487</v>
      </c>
      <c r="F1688" s="618">
        <f>ROUND(((K2789*K2982*(1/K3175-1/K3368)*K3561)/1000)*$K$3677,2)</f>
        <v>899.76</v>
      </c>
      <c r="G1688" s="2810" t="s">
        <v>1091</v>
      </c>
      <c r="H1688" s="2720">
        <f>VLOOKUP(G1688,'CP FACTORS'!$A$3:$B$38, 2, FALSE)</f>
        <v>9.4741810000000004E-4</v>
      </c>
      <c r="I1688" s="2995">
        <f t="shared" si="291"/>
        <v>0.85244900000000001</v>
      </c>
      <c r="J1688" s="464">
        <f t="shared" ref="J1688:J1689" si="314">K3832</f>
        <v>18</v>
      </c>
      <c r="K1688" s="465">
        <f t="shared" ref="K1688:K1689" si="315">K4218</f>
        <v>1444.3799999999994</v>
      </c>
      <c r="L1688" s="3496">
        <f>L2017</f>
        <v>2.8870833333333334</v>
      </c>
      <c r="M1688" s="103"/>
      <c r="N1688" s="1317"/>
      <c r="O1688" s="963"/>
      <c r="R1688" s="1214"/>
      <c r="U1688" s="1319"/>
      <c r="V1688" s="1590" t="s">
        <v>30</v>
      </c>
      <c r="W1688" s="2914"/>
      <c r="X1688" s="685"/>
      <c r="Y1688" s="618"/>
      <c r="Z1688" s="615"/>
      <c r="AA1688" s="615"/>
      <c r="AB1688" s="3494"/>
      <c r="AC1688" s="618"/>
      <c r="AD1688" s="618">
        <v>899.76</v>
      </c>
      <c r="AE1688" s="2914"/>
      <c r="AF1688" s="2914"/>
      <c r="AG1688" s="2914"/>
      <c r="AH1688" s="344"/>
      <c r="AI1688" s="156"/>
      <c r="AJ1688" s="3640"/>
      <c r="AK1688" s="2915"/>
      <c r="AL1688" s="156"/>
      <c r="AM1688" s="3640"/>
      <c r="AN1688" s="3640"/>
      <c r="AO1688" s="156"/>
      <c r="AP1688" s="156"/>
      <c r="AQ1688" s="156"/>
      <c r="AR1688" s="156"/>
      <c r="AS1688" s="156"/>
      <c r="AT1688" s="156"/>
      <c r="AU1688" s="156"/>
      <c r="AV1688" s="156"/>
      <c r="AW1688" s="156"/>
      <c r="AX1688" s="156"/>
      <c r="AY1688" s="156"/>
      <c r="AZ1688" s="156"/>
      <c r="BA1688" s="156"/>
      <c r="BB1688" s="2741">
        <f>(BD1688+BD1689)/(BE1688+BE1689)</f>
        <v>1.1484998608890598</v>
      </c>
      <c r="BC1688" s="3498" t="str">
        <f t="shared" ref="BC1688:BC1689" si="316">CONCATENATE(G1688," ",J1688," Year EUL")</f>
        <v>Cooling Res 18 Year EUL</v>
      </c>
      <c r="BD1688" s="1841">
        <f>(INDEX('Avoided Cost Benefits'!$E$4:$E$859,MATCH(BC1688,'Avoided Cost Benefits'!$A$4:$A$859,0)))*F1688</f>
        <v>1565.7104568862098</v>
      </c>
      <c r="BE1688" s="2507">
        <f t="shared" si="313"/>
        <v>1363.2656913638502</v>
      </c>
      <c r="BF1688" s="156"/>
      <c r="BH1688" s="686"/>
    </row>
    <row r="1689" spans="1:60" s="3398" customFormat="1" x14ac:dyDescent="0.35">
      <c r="A1689" s="3493" t="str">
        <f t="shared" si="290"/>
        <v>353460_2022_12_Heating Res</v>
      </c>
      <c r="B1689" s="2812"/>
      <c r="C1689" s="2753" t="s">
        <v>4486</v>
      </c>
      <c r="D1689" s="2998" t="s">
        <v>318</v>
      </c>
      <c r="E1689" s="3393" t="s">
        <v>4487</v>
      </c>
      <c r="F1689" s="618">
        <f>0</f>
        <v>0</v>
      </c>
      <c r="G1689" s="2810" t="s">
        <v>1092</v>
      </c>
      <c r="H1689" s="2720">
        <f>VLOOKUP(G1689,'CP FACTORS'!$A$3:$B$38, 2, FALSE)</f>
        <v>0</v>
      </c>
      <c r="I1689" s="2995">
        <f t="shared" si="291"/>
        <v>0</v>
      </c>
      <c r="J1689" s="464">
        <f t="shared" si="314"/>
        <v>18</v>
      </c>
      <c r="K1689" s="465">
        <f t="shared" si="315"/>
        <v>0</v>
      </c>
      <c r="L1689" s="3496"/>
      <c r="M1689" s="103"/>
      <c r="N1689" s="1317"/>
      <c r="O1689" s="963"/>
      <c r="R1689" s="1214"/>
      <c r="U1689" s="1319"/>
      <c r="V1689" s="1590" t="s">
        <v>30</v>
      </c>
      <c r="W1689" s="2914"/>
      <c r="X1689" s="685"/>
      <c r="Y1689" s="618"/>
      <c r="Z1689" s="615"/>
      <c r="AA1689" s="615"/>
      <c r="AB1689" s="3494"/>
      <c r="AC1689" s="618"/>
      <c r="AD1689" s="618">
        <v>0</v>
      </c>
      <c r="AE1689" s="2914"/>
      <c r="AF1689" s="2914"/>
      <c r="AG1689" s="2914"/>
      <c r="AH1689" s="344"/>
      <c r="AI1689" s="156"/>
      <c r="AJ1689" s="3640"/>
      <c r="AK1689" s="2915"/>
      <c r="AL1689" s="156"/>
      <c r="AM1689" s="3640"/>
      <c r="AN1689" s="3640"/>
      <c r="AO1689" s="156"/>
      <c r="AP1689" s="156"/>
      <c r="AQ1689" s="156"/>
      <c r="AR1689" s="156"/>
      <c r="AS1689" s="156"/>
      <c r="AT1689" s="156"/>
      <c r="AU1689" s="156"/>
      <c r="AV1689" s="156"/>
      <c r="AW1689" s="156"/>
      <c r="AX1689" s="156"/>
      <c r="AY1689" s="156"/>
      <c r="AZ1689" s="156"/>
      <c r="BA1689" s="156"/>
      <c r="BB1689" s="2745"/>
      <c r="BC1689" s="3393" t="str">
        <f t="shared" si="316"/>
        <v>Heating Res 18 Year EUL</v>
      </c>
      <c r="BD1689" s="1841">
        <f>(INDEX('Avoided Cost Benefits'!$E$4:$E$859,MATCH(BC1689,'Avoided Cost Benefits'!$A$4:$A$859,0)))*F1689</f>
        <v>0</v>
      </c>
      <c r="BE1689" s="2507">
        <f t="shared" si="313"/>
        <v>0</v>
      </c>
      <c r="BF1689" s="156"/>
      <c r="BH1689" s="686"/>
    </row>
    <row r="1690" spans="1:60" x14ac:dyDescent="0.35">
      <c r="A1690" s="3493" t="str">
        <f t="shared" si="290"/>
        <v>353500_2019_12_Cooling Res</v>
      </c>
      <c r="B1690" s="2812"/>
      <c r="C1690" s="1037" t="s">
        <v>1301</v>
      </c>
      <c r="D1690" s="1311" t="s">
        <v>320</v>
      </c>
      <c r="E1690" s="590" t="s">
        <v>1302</v>
      </c>
      <c r="F1690" s="615">
        <f>ROUND(((K2790*K2983*(1/K3176-1/K3369)*K3562)/1000)*$K$3677,2)</f>
        <v>583.97</v>
      </c>
      <c r="G1690" s="1313" t="s">
        <v>1091</v>
      </c>
      <c r="H1690" s="136">
        <f>VLOOKUP(G1690,'CP FACTORS'!$A$3:$B$38, 2, FALSE)</f>
        <v>9.4741810000000004E-4</v>
      </c>
      <c r="I1690" s="3497">
        <f t="shared" si="291"/>
        <v>0.55326399999999998</v>
      </c>
      <c r="J1690" s="124">
        <f t="shared" ref="J1690:J1723" si="317">K3834</f>
        <v>18</v>
      </c>
      <c r="K1690" s="462">
        <f t="shared" ref="K1690:K1723" si="318">K4220</f>
        <v>1444.3799999999994</v>
      </c>
      <c r="L1690" s="689">
        <f>L2018</f>
        <v>3.2</v>
      </c>
      <c r="M1690" s="103"/>
      <c r="N1690" s="1317"/>
      <c r="O1690" s="963"/>
      <c r="P1690" s="106"/>
      <c r="Q1690" s="106"/>
      <c r="R1690" s="1214"/>
      <c r="S1690" s="106"/>
      <c r="T1690" s="106"/>
      <c r="U1690" s="1319"/>
      <c r="V1690" s="3436" t="s">
        <v>30</v>
      </c>
      <c r="W1690" s="2914">
        <v>583.96799999999996</v>
      </c>
      <c r="X1690" s="688">
        <v>583.96799999999996</v>
      </c>
      <c r="Y1690" s="615">
        <v>583.97</v>
      </c>
      <c r="Z1690" s="615">
        <v>583.97</v>
      </c>
      <c r="AA1690" s="615">
        <v>583.97</v>
      </c>
      <c r="AB1690" s="3495">
        <v>583.97</v>
      </c>
      <c r="AC1690" s="2912">
        <v>583.97</v>
      </c>
      <c r="AD1690" s="615">
        <v>583.97</v>
      </c>
      <c r="AE1690" s="2914"/>
      <c r="AF1690" s="2914"/>
      <c r="AG1690" s="2914"/>
      <c r="AH1690" s="344"/>
      <c r="AI1690" s="156"/>
      <c r="AJ1690" s="3640"/>
      <c r="AK1690" s="2915"/>
      <c r="AL1690" s="156"/>
      <c r="AM1690" s="3640"/>
      <c r="AN1690" s="3640"/>
      <c r="AO1690" s="156"/>
      <c r="AP1690" s="156"/>
      <c r="AQ1690" s="156"/>
      <c r="AR1690" s="156"/>
      <c r="AS1690" s="156"/>
      <c r="AT1690" s="156"/>
      <c r="AU1690" s="156"/>
      <c r="AV1690" s="156"/>
      <c r="AW1690" s="156"/>
      <c r="AX1690" s="156"/>
      <c r="AY1690" s="156"/>
      <c r="AZ1690" s="156"/>
      <c r="BA1690" s="156"/>
      <c r="BB1690" s="2833">
        <f>(BD1690+BD1691)/(BE1690+BE1691)</f>
        <v>3.067625961693587</v>
      </c>
      <c r="BC1690" s="590" t="str">
        <f t="shared" si="292"/>
        <v>Cooling Res 18 Year EUL</v>
      </c>
      <c r="BD1690" s="2829">
        <f>(INDEX('Avoided Cost Benefits'!$E$4:$E$859,MATCH(BC1690,'Avoided Cost Benefits'!$A$4:$A$859,0)))*F1690</f>
        <v>1016.1909125854005</v>
      </c>
      <c r="BE1690" s="858">
        <f t="shared" si="313"/>
        <v>1363.2656913638502</v>
      </c>
      <c r="BF1690" s="156"/>
      <c r="BH1690" s="686"/>
    </row>
    <row r="1691" spans="1:60" x14ac:dyDescent="0.35">
      <c r="A1691" s="3493" t="str">
        <f t="shared" si="290"/>
        <v>353500_2019_12_Heating Res</v>
      </c>
      <c r="B1691" s="2812"/>
      <c r="C1691" s="1037" t="s">
        <v>1301</v>
      </c>
      <c r="D1691" s="1311" t="s">
        <v>320</v>
      </c>
      <c r="E1691" s="687" t="s">
        <v>1302</v>
      </c>
      <c r="F1691" s="615">
        <f>ROUND(((K2018*K2211*(1/K2404-1/K2597)*K3562)/1000)*$K$3677,2)</f>
        <v>7100.69</v>
      </c>
      <c r="G1691" s="1313" t="s">
        <v>1092</v>
      </c>
      <c r="H1691" s="136">
        <f>VLOOKUP(G1691,'CP FACTORS'!$A$3:$B$38, 2, FALSE)</f>
        <v>0</v>
      </c>
      <c r="I1691" s="3497">
        <f t="shared" si="291"/>
        <v>0</v>
      </c>
      <c r="J1691" s="124">
        <f t="shared" si="317"/>
        <v>18</v>
      </c>
      <c r="K1691" s="462">
        <f t="shared" si="318"/>
        <v>0</v>
      </c>
      <c r="L1691" s="689"/>
      <c r="M1691" s="103"/>
      <c r="N1691" s="1317"/>
      <c r="O1691" s="963"/>
      <c r="P1691" s="106"/>
      <c r="Q1691" s="106"/>
      <c r="R1691" s="1214"/>
      <c r="S1691" s="106"/>
      <c r="T1691" s="106"/>
      <c r="U1691" s="1319"/>
      <c r="V1691" s="3436" t="s">
        <v>30</v>
      </c>
      <c r="W1691" s="2914">
        <v>9535.6225050639387</v>
      </c>
      <c r="X1691" s="685">
        <v>7100.6925174592607</v>
      </c>
      <c r="Y1691" s="615">
        <v>7100.69</v>
      </c>
      <c r="Z1691" s="615">
        <v>7100.69</v>
      </c>
      <c r="AA1691" s="615">
        <v>7100.69</v>
      </c>
      <c r="AB1691" s="3495">
        <v>7100.69</v>
      </c>
      <c r="AC1691" s="2912">
        <v>7100.69</v>
      </c>
      <c r="AD1691" s="615">
        <v>7100.69</v>
      </c>
      <c r="AE1691" s="2914"/>
      <c r="AF1691" s="2914"/>
      <c r="AG1691" s="2914"/>
      <c r="AH1691" s="344"/>
      <c r="AI1691" s="156"/>
      <c r="AJ1691" s="3640"/>
      <c r="AK1691" s="2915"/>
      <c r="AL1691" s="156"/>
      <c r="AM1691" s="3640"/>
      <c r="AN1691" s="3640"/>
      <c r="AO1691" s="156"/>
      <c r="AP1691" s="156"/>
      <c r="AQ1691" s="156"/>
      <c r="AR1691" s="156"/>
      <c r="AS1691" s="156"/>
      <c r="AT1691" s="156"/>
      <c r="AU1691" s="156"/>
      <c r="AV1691" s="156"/>
      <c r="AW1691" s="156"/>
      <c r="AX1691" s="156"/>
      <c r="AY1691" s="156"/>
      <c r="AZ1691" s="156"/>
      <c r="BA1691" s="156"/>
      <c r="BB1691" s="2835"/>
      <c r="BC1691" s="687" t="str">
        <f t="shared" si="292"/>
        <v>Heating Res 18 Year EUL</v>
      </c>
      <c r="BD1691" s="2829">
        <f>(INDEX('Avoided Cost Benefits'!$E$4:$E$859,MATCH(BC1691,'Avoided Cost Benefits'!$A$4:$A$859,0)))*F1691</f>
        <v>3165.7983149285033</v>
      </c>
      <c r="BE1691" s="858">
        <f t="shared" si="313"/>
        <v>0</v>
      </c>
      <c r="BF1691" s="156"/>
      <c r="BH1691" s="686"/>
    </row>
    <row r="1692" spans="1:60" x14ac:dyDescent="0.35">
      <c r="A1692" s="3493" t="str">
        <f t="shared" si="290"/>
        <v>353501_2019_12_Cooling Res</v>
      </c>
      <c r="B1692" s="2812"/>
      <c r="C1692" s="1037" t="s">
        <v>1303</v>
      </c>
      <c r="D1692" s="1311" t="s">
        <v>315</v>
      </c>
      <c r="E1692" s="3418" t="s">
        <v>1304</v>
      </c>
      <c r="F1692" s="615">
        <f>ROUND((($K$2791*$K$2984*(1/$K$3177-1/$K$3370)*$K$3563)/1000)*$K$3677,2)</f>
        <v>424.7</v>
      </c>
      <c r="G1692" s="1313" t="str">
        <f>G1690</f>
        <v>Cooling Res</v>
      </c>
      <c r="H1692" s="136">
        <f>VLOOKUP(G1692,'CP FACTORS'!$A$3:$B$38, 2, FALSE)</f>
        <v>9.4741810000000004E-4</v>
      </c>
      <c r="I1692" s="3497">
        <f t="shared" si="291"/>
        <v>0.402368</v>
      </c>
      <c r="J1692" s="124">
        <f t="shared" si="317"/>
        <v>18</v>
      </c>
      <c r="K1692" s="462">
        <f t="shared" si="318"/>
        <v>1444.3799999999994</v>
      </c>
      <c r="L1692" s="689">
        <f>L2019</f>
        <v>3.2</v>
      </c>
      <c r="M1692" s="103"/>
      <c r="N1692" s="1317"/>
      <c r="O1692" s="963"/>
      <c r="P1692" s="106"/>
      <c r="Q1692" s="106"/>
      <c r="R1692" s="1214"/>
      <c r="S1692" s="106"/>
      <c r="T1692" s="106"/>
      <c r="U1692" s="1319"/>
      <c r="V1692" s="3436" t="s">
        <v>30</v>
      </c>
      <c r="W1692" s="2914"/>
      <c r="X1692" s="685"/>
      <c r="Y1692" s="618">
        <v>424.7</v>
      </c>
      <c r="Z1692" s="615">
        <v>424.7</v>
      </c>
      <c r="AA1692" s="615">
        <v>424.7</v>
      </c>
      <c r="AB1692" s="3495">
        <v>424.7</v>
      </c>
      <c r="AC1692" s="2912">
        <v>424.7</v>
      </c>
      <c r="AD1692" s="615">
        <v>424.7</v>
      </c>
      <c r="AE1692" s="2914"/>
      <c r="AF1692" s="2914"/>
      <c r="AG1692" s="2914"/>
      <c r="AH1692" s="344"/>
      <c r="AI1692" s="156"/>
      <c r="AJ1692" s="3640"/>
      <c r="AK1692" s="2915"/>
      <c r="AL1692" s="156"/>
      <c r="AM1692" s="3640"/>
      <c r="AN1692" s="3640"/>
      <c r="AO1692" s="156"/>
      <c r="AP1692" s="156"/>
      <c r="AQ1692" s="156"/>
      <c r="AR1692" s="156"/>
      <c r="AS1692" s="156"/>
      <c r="AT1692" s="156"/>
      <c r="AU1692" s="156"/>
      <c r="AV1692" s="156"/>
      <c r="AW1692" s="156"/>
      <c r="AX1692" s="156"/>
      <c r="AY1692" s="156"/>
      <c r="AZ1692" s="156"/>
      <c r="BA1692" s="156"/>
      <c r="BB1692" s="2833">
        <f>(BD1692+BD1693)/(BE1692+BE1693)</f>
        <v>1.333773734005741</v>
      </c>
      <c r="BC1692" s="590" t="str">
        <f t="shared" si="292"/>
        <v>Cooling Res 18 Year EUL</v>
      </c>
      <c r="BD1692" s="2829">
        <f>(INDEX('Avoided Cost Benefits'!$E$4:$E$859,MATCH(BC1692,'Avoided Cost Benefits'!$A$4:$A$859,0)))*F1692</f>
        <v>739.03844474034554</v>
      </c>
      <c r="BE1692" s="858">
        <f t="shared" si="313"/>
        <v>1363.2656913638502</v>
      </c>
      <c r="BF1692" s="156"/>
      <c r="BH1692" s="686"/>
    </row>
    <row r="1693" spans="1:60" x14ac:dyDescent="0.35">
      <c r="A1693" s="3493" t="str">
        <f t="shared" si="290"/>
        <v>353501_2019_12_Heating Res</v>
      </c>
      <c r="B1693" s="2812"/>
      <c r="C1693" s="1037" t="str">
        <f>C1692</f>
        <v>353501_2019_12_</v>
      </c>
      <c r="D1693" s="1311" t="s">
        <v>315</v>
      </c>
      <c r="E1693" s="3419" t="s">
        <v>1304</v>
      </c>
      <c r="F1693" s="615">
        <f>ROUND((($K$2019*$K$2212*(1/$K$2405-1/$K$2598)*$K$3563)/1000)*$K$3677,2)</f>
        <v>2420.69</v>
      </c>
      <c r="G1693" s="1313" t="str">
        <f>G1691</f>
        <v>Heating Res</v>
      </c>
      <c r="H1693" s="136">
        <f>VLOOKUP(G1693,'CP FACTORS'!$A$3:$B$38, 2, FALSE)</f>
        <v>0</v>
      </c>
      <c r="I1693" s="3497">
        <f t="shared" si="291"/>
        <v>0</v>
      </c>
      <c r="J1693" s="124">
        <f t="shared" si="317"/>
        <v>18</v>
      </c>
      <c r="K1693" s="462">
        <f t="shared" si="318"/>
        <v>0</v>
      </c>
      <c r="L1693" s="689"/>
      <c r="M1693" s="103"/>
      <c r="N1693" s="1317"/>
      <c r="O1693" s="963"/>
      <c r="P1693" s="106"/>
      <c r="Q1693" s="106"/>
      <c r="R1693" s="1214"/>
      <c r="S1693" s="106"/>
      <c r="T1693" s="106"/>
      <c r="U1693" s="1319"/>
      <c r="V1693" s="3436" t="s">
        <v>30</v>
      </c>
      <c r="W1693" s="2914"/>
      <c r="X1693" s="685"/>
      <c r="Y1693" s="618">
        <v>2420.69</v>
      </c>
      <c r="Z1693" s="615">
        <v>2420.69</v>
      </c>
      <c r="AA1693" s="615">
        <v>2420.69</v>
      </c>
      <c r="AB1693" s="3495">
        <v>2420.69</v>
      </c>
      <c r="AC1693" s="2912">
        <v>2420.69</v>
      </c>
      <c r="AD1693" s="615">
        <v>2420.69</v>
      </c>
      <c r="AE1693" s="2914"/>
      <c r="AF1693" s="2914"/>
      <c r="AG1693" s="2914"/>
      <c r="AH1693" s="344"/>
      <c r="AI1693" s="156"/>
      <c r="AJ1693" s="3640"/>
      <c r="AK1693" s="2915"/>
      <c r="AL1693" s="156"/>
      <c r="AM1693" s="3640"/>
      <c r="AN1693" s="3640"/>
      <c r="AO1693" s="156"/>
      <c r="AP1693" s="156"/>
      <c r="AQ1693" s="156"/>
      <c r="AR1693" s="156"/>
      <c r="AS1693" s="156"/>
      <c r="AT1693" s="156"/>
      <c r="AU1693" s="156"/>
      <c r="AV1693" s="156"/>
      <c r="AW1693" s="156"/>
      <c r="AX1693" s="156"/>
      <c r="AY1693" s="156"/>
      <c r="AZ1693" s="156"/>
      <c r="BA1693" s="156"/>
      <c r="BB1693" s="2835"/>
      <c r="BC1693" s="687" t="str">
        <f t="shared" si="292"/>
        <v>Heating Res 18 Year EUL</v>
      </c>
      <c r="BD1693" s="2829">
        <f>(INDEX('Avoided Cost Benefits'!$E$4:$E$859,MATCH(BC1693,'Avoided Cost Benefits'!$A$4:$A$859,0)))*F1693</f>
        <v>1079.2495268719349</v>
      </c>
      <c r="BE1693" s="858">
        <f t="shared" si="313"/>
        <v>0</v>
      </c>
      <c r="BF1693" s="156"/>
      <c r="BH1693" s="686"/>
    </row>
    <row r="1694" spans="1:60" x14ac:dyDescent="0.35">
      <c r="A1694" s="3493" t="str">
        <f t="shared" si="290"/>
        <v>353510_2021_12_Cooling Res</v>
      </c>
      <c r="B1694" s="2812"/>
      <c r="C1694" s="1037" t="s">
        <v>1305</v>
      </c>
      <c r="D1694" s="1311" t="s">
        <v>320</v>
      </c>
      <c r="E1694" s="3420" t="s">
        <v>1306</v>
      </c>
      <c r="F1694" s="615">
        <f>ROUND(((K2792*K2985*(1/K3178-1/K3371)*K3564)/1000)*$K$3677,2)</f>
        <v>583.97</v>
      </c>
      <c r="G1694" s="1313" t="s">
        <v>1091</v>
      </c>
      <c r="H1694" s="136">
        <f>VLOOKUP(G1694,'CP FACTORS'!$A$3:$B$38, 2, FALSE)</f>
        <v>9.4741810000000004E-4</v>
      </c>
      <c r="I1694" s="3497">
        <f t="shared" si="291"/>
        <v>0.55326399999999998</v>
      </c>
      <c r="J1694" s="124">
        <f t="shared" si="317"/>
        <v>18</v>
      </c>
      <c r="K1694" s="462">
        <f t="shared" si="318"/>
        <v>1444.3799999999994</v>
      </c>
      <c r="L1694" s="3496">
        <f>L2020</f>
        <v>3.2</v>
      </c>
      <c r="M1694" s="103"/>
      <c r="N1694" s="1317"/>
      <c r="O1694" s="963"/>
      <c r="P1694" s="106"/>
      <c r="Q1694" s="106"/>
      <c r="R1694" s="1214"/>
      <c r="S1694" s="106"/>
      <c r="T1694" s="106"/>
      <c r="U1694" s="1319"/>
      <c r="V1694" s="1590" t="s">
        <v>30</v>
      </c>
      <c r="W1694" s="2914"/>
      <c r="X1694" s="685"/>
      <c r="Y1694" s="618"/>
      <c r="Z1694" s="615"/>
      <c r="AA1694" s="615"/>
      <c r="AB1694" s="3495"/>
      <c r="AC1694" s="618">
        <v>583.97</v>
      </c>
      <c r="AD1694" s="615">
        <v>583.97</v>
      </c>
      <c r="AE1694" s="2914"/>
      <c r="AF1694" s="2914"/>
      <c r="AG1694" s="2914"/>
      <c r="AH1694" s="344"/>
      <c r="AI1694" s="156"/>
      <c r="AJ1694" s="3640"/>
      <c r="AK1694" s="2915"/>
      <c r="AL1694" s="156"/>
      <c r="AM1694" s="3640"/>
      <c r="AN1694" s="3640"/>
      <c r="AO1694" s="156"/>
      <c r="AP1694" s="156"/>
      <c r="AQ1694" s="156"/>
      <c r="AR1694" s="156"/>
      <c r="AS1694" s="156"/>
      <c r="AT1694" s="156"/>
      <c r="AU1694" s="156"/>
      <c r="AV1694" s="156"/>
      <c r="AW1694" s="156"/>
      <c r="AX1694" s="156"/>
      <c r="AY1694" s="156"/>
      <c r="AZ1694" s="156"/>
      <c r="BA1694" s="156"/>
      <c r="BB1694" s="2741">
        <f>(BD1694+BD1695)/(BE1694+BE1695)</f>
        <v>0.74540929110361009</v>
      </c>
      <c r="BC1694" s="3392" t="str">
        <f t="shared" si="292"/>
        <v>Cooling Res 18 Year EUL</v>
      </c>
      <c r="BD1694" s="1841">
        <f>(INDEX('Avoided Cost Benefits'!$E$4:$E$859,MATCH(BC1694,'Avoided Cost Benefits'!$A$4:$A$859,0)))*F1694</f>
        <v>1016.1909125854005</v>
      </c>
      <c r="BE1694" s="2507">
        <f t="shared" si="313"/>
        <v>1363.2656913638502</v>
      </c>
      <c r="BF1694" s="156"/>
      <c r="BH1694" s="686"/>
    </row>
    <row r="1695" spans="1:60" x14ac:dyDescent="0.35">
      <c r="A1695" s="3493" t="str">
        <f t="shared" si="290"/>
        <v>353510_2021_12_Heating Res</v>
      </c>
      <c r="B1695" s="2812"/>
      <c r="C1695" s="1037" t="s">
        <v>1305</v>
      </c>
      <c r="D1695" s="1311" t="s">
        <v>320</v>
      </c>
      <c r="E1695" s="3419" t="s">
        <v>1306</v>
      </c>
      <c r="F1695" s="615">
        <v>0</v>
      </c>
      <c r="G1695" s="1313" t="s">
        <v>1092</v>
      </c>
      <c r="H1695" s="136">
        <f>VLOOKUP(G1695,'CP FACTORS'!$A$3:$B$38, 2, FALSE)</f>
        <v>0</v>
      </c>
      <c r="I1695" s="3497">
        <f t="shared" si="291"/>
        <v>0</v>
      </c>
      <c r="J1695" s="124">
        <f t="shared" si="317"/>
        <v>18</v>
      </c>
      <c r="K1695" s="462">
        <f t="shared" si="318"/>
        <v>0</v>
      </c>
      <c r="L1695" s="3496"/>
      <c r="M1695" s="103"/>
      <c r="N1695" s="1317"/>
      <c r="O1695" s="963"/>
      <c r="P1695" s="106"/>
      <c r="Q1695" s="106"/>
      <c r="R1695" s="1214"/>
      <c r="S1695" s="106"/>
      <c r="T1695" s="106"/>
      <c r="U1695" s="1319"/>
      <c r="V1695" s="1590" t="s">
        <v>30</v>
      </c>
      <c r="W1695" s="2914"/>
      <c r="X1695" s="685"/>
      <c r="Y1695" s="618"/>
      <c r="Z1695" s="615"/>
      <c r="AA1695" s="615"/>
      <c r="AB1695" s="3495"/>
      <c r="AC1695" s="618">
        <v>0</v>
      </c>
      <c r="AD1695" s="615">
        <v>0</v>
      </c>
      <c r="AE1695" s="2914"/>
      <c r="AF1695" s="2914"/>
      <c r="AG1695" s="2914"/>
      <c r="AH1695" s="344"/>
      <c r="AI1695" s="156"/>
      <c r="AJ1695" s="3640"/>
      <c r="AK1695" s="2915"/>
      <c r="AL1695" s="156"/>
      <c r="AM1695" s="3640"/>
      <c r="AN1695" s="3640"/>
      <c r="AO1695" s="156"/>
      <c r="AP1695" s="156"/>
      <c r="AQ1695" s="156"/>
      <c r="AR1695" s="156"/>
      <c r="AS1695" s="156"/>
      <c r="AT1695" s="156"/>
      <c r="AU1695" s="156"/>
      <c r="AV1695" s="156"/>
      <c r="AW1695" s="156"/>
      <c r="AX1695" s="156"/>
      <c r="AY1695" s="156"/>
      <c r="AZ1695" s="156"/>
      <c r="BA1695" s="156"/>
      <c r="BB1695" s="2745"/>
      <c r="BC1695" s="3393" t="str">
        <f t="shared" si="292"/>
        <v>Heating Res 18 Year EUL</v>
      </c>
      <c r="BD1695" s="1841">
        <f>(INDEX('Avoided Cost Benefits'!$E$4:$E$859,MATCH(BC1695,'Avoided Cost Benefits'!$A$4:$A$859,0)))*F1695</f>
        <v>0</v>
      </c>
      <c r="BE1695" s="2507">
        <f t="shared" si="313"/>
        <v>0</v>
      </c>
      <c r="BF1695" s="156"/>
      <c r="BH1695" s="686"/>
    </row>
    <row r="1696" spans="1:60" x14ac:dyDescent="0.35">
      <c r="A1696" s="3493" t="str">
        <f t="shared" si="290"/>
        <v>353511_2021_12_Cooling Res</v>
      </c>
      <c r="B1696" s="2812"/>
      <c r="C1696" s="1037" t="s">
        <v>1307</v>
      </c>
      <c r="D1696" s="1311" t="s">
        <v>315</v>
      </c>
      <c r="E1696" s="3420" t="s">
        <v>1308</v>
      </c>
      <c r="F1696" s="615">
        <f>ROUND(((K2793*K2986*(1/K3179-1/K3372)*K3565)/1000)*$K$3677,2)</f>
        <v>424.7</v>
      </c>
      <c r="G1696" s="1313" t="s">
        <v>1091</v>
      </c>
      <c r="H1696" s="136">
        <f>VLOOKUP(G1696,'CP FACTORS'!$A$3:$B$38, 2, FALSE)</f>
        <v>9.4741810000000004E-4</v>
      </c>
      <c r="I1696" s="3497">
        <f t="shared" si="291"/>
        <v>0.402368</v>
      </c>
      <c r="J1696" s="124">
        <f t="shared" si="317"/>
        <v>18</v>
      </c>
      <c r="K1696" s="462">
        <f t="shared" si="318"/>
        <v>1444.3799999999994</v>
      </c>
      <c r="L1696" s="3496">
        <f>L2021</f>
        <v>3.2</v>
      </c>
      <c r="M1696" s="103"/>
      <c r="N1696" s="1317"/>
      <c r="O1696" s="963"/>
      <c r="P1696" s="106"/>
      <c r="Q1696" s="106"/>
      <c r="R1696" s="1214"/>
      <c r="S1696" s="106"/>
      <c r="T1696" s="106"/>
      <c r="U1696" s="1319"/>
      <c r="V1696" s="1590" t="s">
        <v>30</v>
      </c>
      <c r="W1696" s="2914"/>
      <c r="X1696" s="685"/>
      <c r="Y1696" s="618"/>
      <c r="Z1696" s="615"/>
      <c r="AA1696" s="615"/>
      <c r="AB1696" s="3495"/>
      <c r="AC1696" s="618">
        <v>424.7</v>
      </c>
      <c r="AD1696" s="615">
        <v>424.7</v>
      </c>
      <c r="AE1696" s="2914"/>
      <c r="AF1696" s="2914"/>
      <c r="AG1696" s="2914"/>
      <c r="AH1696" s="344"/>
      <c r="AI1696" s="156"/>
      <c r="AJ1696" s="3640"/>
      <c r="AK1696" s="2915"/>
      <c r="AL1696" s="156"/>
      <c r="AM1696" s="3640"/>
      <c r="AN1696" s="3640"/>
      <c r="AO1696" s="156"/>
      <c r="AP1696" s="156"/>
      <c r="AQ1696" s="156"/>
      <c r="AR1696" s="156"/>
      <c r="AS1696" s="156"/>
      <c r="AT1696" s="156"/>
      <c r="AU1696" s="156"/>
      <c r="AV1696" s="156"/>
      <c r="AW1696" s="156"/>
      <c r="AX1696" s="156"/>
      <c r="AY1696" s="156"/>
      <c r="AZ1696" s="156"/>
      <c r="BA1696" s="156"/>
      <c r="BB1696" s="2741">
        <f>(BD1696+BD1697)/(BE1696+BE1697)</f>
        <v>0.54210888561347881</v>
      </c>
      <c r="BC1696" s="3392" t="str">
        <f t="shared" si="292"/>
        <v>Cooling Res 18 Year EUL</v>
      </c>
      <c r="BD1696" s="1841">
        <f>(INDEX('Avoided Cost Benefits'!$E$4:$E$859,MATCH(BC1696,'Avoided Cost Benefits'!$A$4:$A$859,0)))*F1696</f>
        <v>739.03844474034554</v>
      </c>
      <c r="BE1696" s="2507">
        <f t="shared" si="313"/>
        <v>1363.2656913638502</v>
      </c>
      <c r="BF1696" s="156"/>
      <c r="BH1696" s="686"/>
    </row>
    <row r="1697" spans="1:60" x14ac:dyDescent="0.35">
      <c r="A1697" s="3493" t="str">
        <f t="shared" si="290"/>
        <v>353511_2021_12_Heating Res</v>
      </c>
      <c r="B1697" s="2812"/>
      <c r="C1697" s="1037" t="s">
        <v>1307</v>
      </c>
      <c r="D1697" s="1311" t="s">
        <v>315</v>
      </c>
      <c r="E1697" s="3420" t="s">
        <v>1308</v>
      </c>
      <c r="F1697" s="615">
        <f>0</f>
        <v>0</v>
      </c>
      <c r="G1697" s="1313" t="s">
        <v>1092</v>
      </c>
      <c r="H1697" s="136">
        <f>VLOOKUP(G1697,'CP FACTORS'!$A$3:$B$38, 2, FALSE)</f>
        <v>0</v>
      </c>
      <c r="I1697" s="3497">
        <f t="shared" si="291"/>
        <v>0</v>
      </c>
      <c r="J1697" s="124">
        <f t="shared" si="317"/>
        <v>18</v>
      </c>
      <c r="K1697" s="462">
        <f t="shared" si="318"/>
        <v>0</v>
      </c>
      <c r="L1697" s="3496"/>
      <c r="M1697" s="103"/>
      <c r="N1697" s="1317"/>
      <c r="O1697" s="963"/>
      <c r="P1697" s="106"/>
      <c r="Q1697" s="106"/>
      <c r="R1697" s="1214"/>
      <c r="S1697" s="106"/>
      <c r="T1697" s="106"/>
      <c r="U1697" s="1319"/>
      <c r="V1697" s="1590" t="s">
        <v>30</v>
      </c>
      <c r="W1697" s="2914"/>
      <c r="X1697" s="685"/>
      <c r="Y1697" s="618"/>
      <c r="Z1697" s="615"/>
      <c r="AA1697" s="615"/>
      <c r="AB1697" s="3495"/>
      <c r="AC1697" s="618">
        <v>0</v>
      </c>
      <c r="AD1697" s="615">
        <v>0</v>
      </c>
      <c r="AE1697" s="2914"/>
      <c r="AF1697" s="2914"/>
      <c r="AG1697" s="2914"/>
      <c r="AH1697" s="344"/>
      <c r="AI1697" s="156"/>
      <c r="AJ1697" s="3640"/>
      <c r="AK1697" s="2915"/>
      <c r="AL1697" s="156"/>
      <c r="AM1697" s="3640"/>
      <c r="AN1697" s="3640"/>
      <c r="AO1697" s="156"/>
      <c r="AP1697" s="156"/>
      <c r="AQ1697" s="156"/>
      <c r="AR1697" s="156"/>
      <c r="AS1697" s="156"/>
      <c r="AT1697" s="156"/>
      <c r="AU1697" s="156"/>
      <c r="AV1697" s="156"/>
      <c r="AW1697" s="156"/>
      <c r="AX1697" s="156"/>
      <c r="AY1697" s="156"/>
      <c r="AZ1697" s="156"/>
      <c r="BA1697" s="156"/>
      <c r="BB1697" s="2745"/>
      <c r="BC1697" s="3392" t="str">
        <f t="shared" si="292"/>
        <v>Heating Res 18 Year EUL</v>
      </c>
      <c r="BD1697" s="1841">
        <f>(INDEX('Avoided Cost Benefits'!$E$4:$E$859,MATCH(BC1697,'Avoided Cost Benefits'!$A$4:$A$859,0)))*F1697</f>
        <v>0</v>
      </c>
      <c r="BE1697" s="2507">
        <f t="shared" si="313"/>
        <v>0</v>
      </c>
      <c r="BF1697" s="156"/>
      <c r="BH1697" s="686"/>
    </row>
    <row r="1698" spans="1:60" x14ac:dyDescent="0.35">
      <c r="A1698" s="3493" t="str">
        <f t="shared" ref="A1698:A1725" si="319">C1698&amp;G1698</f>
        <v>353550_2021_12_Cooling Res</v>
      </c>
      <c r="B1698" s="2812"/>
      <c r="C1698" s="1037" t="s">
        <v>1310</v>
      </c>
      <c r="D1698" s="1311" t="s">
        <v>318</v>
      </c>
      <c r="E1698" s="3418" t="s">
        <v>1311</v>
      </c>
      <c r="F1698" s="618">
        <f>ROUND(((K2794*K2987*(1/K3180-1/K3373)*K3566)/1000)*$K$3677,2)</f>
        <v>2958.13</v>
      </c>
      <c r="G1698" s="2810" t="s">
        <v>1091</v>
      </c>
      <c r="H1698" s="2720">
        <f>VLOOKUP(G1698,'CP FACTORS'!$A$3:$B$38, 2, FALSE)</f>
        <v>9.4741810000000004E-4</v>
      </c>
      <c r="I1698" s="2995">
        <f t="shared" ref="I1698:I1763" si="320">ROUND(F1698*H1698,6)</f>
        <v>2.8025859999999998</v>
      </c>
      <c r="J1698" s="124">
        <f t="shared" si="317"/>
        <v>6</v>
      </c>
      <c r="K1698" s="462">
        <f t="shared" si="318"/>
        <v>2490.8675578660959</v>
      </c>
      <c r="L1698" s="3496">
        <f>L2022</f>
        <v>3.3520972177188546</v>
      </c>
      <c r="M1698" s="103"/>
      <c r="N1698" s="1317"/>
      <c r="O1698" s="963"/>
      <c r="P1698" s="106"/>
      <c r="Q1698" s="106"/>
      <c r="R1698" s="1214"/>
      <c r="S1698" s="106"/>
      <c r="T1698" s="106"/>
      <c r="U1698" s="1319"/>
      <c r="V1698" s="3436" t="s">
        <v>30</v>
      </c>
      <c r="W1698" s="2914">
        <v>3214.5697478991597</v>
      </c>
      <c r="X1698" s="685">
        <v>2341.3968787515005</v>
      </c>
      <c r="Y1698" s="615">
        <v>2341.4</v>
      </c>
      <c r="Z1698" s="615">
        <v>2341.4</v>
      </c>
      <c r="AA1698" s="615">
        <v>2341.4</v>
      </c>
      <c r="AB1698" s="3495">
        <v>2341.4</v>
      </c>
      <c r="AC1698" s="618">
        <v>2697.17</v>
      </c>
      <c r="AD1698" s="618">
        <v>2958.13</v>
      </c>
      <c r="AE1698" s="2914"/>
      <c r="AF1698" s="2914"/>
      <c r="AG1698" s="2914"/>
      <c r="AH1698" s="344"/>
      <c r="AI1698" s="156"/>
      <c r="AJ1698" s="3640"/>
      <c r="AK1698" s="2915"/>
      <c r="AL1698" s="156"/>
      <c r="AM1698" s="3640"/>
      <c r="AN1698" s="3640"/>
      <c r="AO1698" s="156"/>
      <c r="AP1698" s="156"/>
      <c r="AQ1698" s="156"/>
      <c r="AR1698" s="156"/>
      <c r="AS1698" s="156"/>
      <c r="AT1698" s="156"/>
      <c r="AU1698" s="156"/>
      <c r="AV1698" s="156"/>
      <c r="AW1698" s="156"/>
      <c r="AX1698" s="156"/>
      <c r="AY1698" s="156"/>
      <c r="AZ1698" s="156"/>
      <c r="BA1698" s="156"/>
      <c r="BB1698" s="2833">
        <f>(BD1698+BD1699+BD1700+BD1701)/(BE1698+BE1699+BE1700+BE1701)</f>
        <v>3.5836759093227708</v>
      </c>
      <c r="BC1698" s="2348" t="str">
        <f t="shared" ref="BC1698:BC1763" si="321">CONCATENATE(G1698," ",J1698," Year EUL")</f>
        <v>Cooling Res 6 Year EUL</v>
      </c>
      <c r="BD1698" s="2829">
        <f>(INDEX('Avoided Cost Benefits'!$E$4:$E$859,MATCH(BC1698,'Avoided Cost Benefits'!$A$4:$A$859,0)))*F1698</f>
        <v>1874.3066339469956</v>
      </c>
      <c r="BE1698" s="858">
        <f t="shared" si="313"/>
        <v>2350.9840093120297</v>
      </c>
      <c r="BF1698" s="156"/>
      <c r="BH1698" s="686"/>
    </row>
    <row r="1699" spans="1:60" x14ac:dyDescent="0.35">
      <c r="A1699" s="3493" t="str">
        <f t="shared" si="319"/>
        <v>353550_2021_12_Heating Res</v>
      </c>
      <c r="B1699" s="2812"/>
      <c r="C1699" s="1037" t="s">
        <v>1310</v>
      </c>
      <c r="D1699" s="1311" t="s">
        <v>318</v>
      </c>
      <c r="E1699" s="3420" t="s">
        <v>1311</v>
      </c>
      <c r="F1699" s="618">
        <f>ROUND(((K2022*K2215*(1/K2408-1/K2601)*K3566)/1000)*$K$3677,2)</f>
        <v>12037.46</v>
      </c>
      <c r="G1699" s="2810" t="s">
        <v>1092</v>
      </c>
      <c r="H1699" s="2720">
        <f>VLOOKUP(G1699,'CP FACTORS'!$A$3:$B$38, 2, FALSE)</f>
        <v>0</v>
      </c>
      <c r="I1699" s="2995">
        <f t="shared" si="320"/>
        <v>0</v>
      </c>
      <c r="J1699" s="124">
        <f t="shared" si="317"/>
        <v>6</v>
      </c>
      <c r="K1699" s="462">
        <f t="shared" si="318"/>
        <v>0</v>
      </c>
      <c r="L1699" s="3496"/>
      <c r="M1699" s="103"/>
      <c r="N1699" s="1317"/>
      <c r="O1699" s="963"/>
      <c r="P1699" s="106"/>
      <c r="Q1699" s="106"/>
      <c r="R1699" s="1214"/>
      <c r="S1699" s="106"/>
      <c r="T1699" s="106"/>
      <c r="U1699" s="1319"/>
      <c r="V1699" s="3436" t="s">
        <v>30</v>
      </c>
      <c r="W1699" s="2914">
        <v>13965.852998065762</v>
      </c>
      <c r="X1699" s="685">
        <v>10399.659574468084</v>
      </c>
      <c r="Y1699" s="615">
        <v>10399.66</v>
      </c>
      <c r="Z1699" s="615">
        <v>10399.66</v>
      </c>
      <c r="AA1699" s="615">
        <v>10399.66</v>
      </c>
      <c r="AB1699" s="3495">
        <v>10399.66</v>
      </c>
      <c r="AC1699" s="618">
        <v>12895.04</v>
      </c>
      <c r="AD1699" s="618">
        <v>12037.46</v>
      </c>
      <c r="AE1699" s="2914"/>
      <c r="AF1699" s="2914"/>
      <c r="AG1699" s="2914"/>
      <c r="AH1699" s="344"/>
      <c r="AI1699" s="156"/>
      <c r="AJ1699" s="3640"/>
      <c r="AK1699" s="2915"/>
      <c r="AL1699" s="156"/>
      <c r="AM1699" s="3640"/>
      <c r="AN1699" s="3640"/>
      <c r="AO1699" s="156"/>
      <c r="AP1699" s="156"/>
      <c r="AQ1699" s="156"/>
      <c r="AR1699" s="156"/>
      <c r="AS1699" s="156"/>
      <c r="AT1699" s="156"/>
      <c r="AU1699" s="156"/>
      <c r="AV1699" s="156"/>
      <c r="AW1699" s="156"/>
      <c r="AX1699" s="156"/>
      <c r="AY1699" s="156"/>
      <c r="AZ1699" s="156"/>
      <c r="BA1699" s="156"/>
      <c r="BB1699" s="2905"/>
      <c r="BC1699" s="2357" t="str">
        <f t="shared" si="321"/>
        <v>Heating Res 6 Year EUL</v>
      </c>
      <c r="BD1699" s="2829">
        <f>(INDEX('Avoided Cost Benefits'!$E$4:$E$859,MATCH(BC1699,'Avoided Cost Benefits'!$A$4:$A$859,0)))*F1699</f>
        <v>1961.3980375274268</v>
      </c>
      <c r="BE1699" s="858">
        <f t="shared" si="313"/>
        <v>0</v>
      </c>
      <c r="BF1699" s="156"/>
      <c r="BH1699" s="686"/>
    </row>
    <row r="1700" spans="1:60" x14ac:dyDescent="0.35">
      <c r="A1700" s="3493" t="str">
        <f t="shared" si="319"/>
        <v>353550_2021_12_Cooling Res ER2</v>
      </c>
      <c r="B1700" s="2812"/>
      <c r="C1700" s="1037" t="s">
        <v>1310</v>
      </c>
      <c r="D1700" s="1311" t="s">
        <v>318</v>
      </c>
      <c r="E1700" s="3420" t="s">
        <v>1312</v>
      </c>
      <c r="F1700" s="618">
        <f>ROUND(((K2795*K2988*(1/K3181-1/K3374)*K3567)/1000)*$K$3677,2)</f>
        <v>1070.04</v>
      </c>
      <c r="G1700" s="2810" t="s">
        <v>1133</v>
      </c>
      <c r="H1700" s="2720">
        <f>VLOOKUP(G1700,'CP FACTORS'!$A$3:$B$38, 2, FALSE)</f>
        <v>9.4741810000000004E-4</v>
      </c>
      <c r="I1700" s="2995">
        <f t="shared" si="320"/>
        <v>1.0137750000000001</v>
      </c>
      <c r="J1700" s="124">
        <f t="shared" si="317"/>
        <v>12</v>
      </c>
      <c r="K1700" s="462">
        <f t="shared" si="318"/>
        <v>0</v>
      </c>
      <c r="L1700" s="3496"/>
      <c r="M1700" s="103"/>
      <c r="N1700" s="1317"/>
      <c r="O1700" s="963"/>
      <c r="P1700" s="106"/>
      <c r="Q1700" s="106"/>
      <c r="R1700" s="1214"/>
      <c r="S1700" s="106"/>
      <c r="T1700" s="106"/>
      <c r="U1700" s="1319"/>
      <c r="V1700" s="3436" t="s">
        <v>30</v>
      </c>
      <c r="W1700" s="2914">
        <v>947.30549450549472</v>
      </c>
      <c r="X1700" s="688">
        <v>947.30549450549472</v>
      </c>
      <c r="Y1700" s="615">
        <v>947.31</v>
      </c>
      <c r="Z1700" s="615">
        <v>947.31</v>
      </c>
      <c r="AA1700" s="615">
        <v>947.31</v>
      </c>
      <c r="AB1700" s="3495">
        <v>947.31</v>
      </c>
      <c r="AC1700" s="618">
        <v>1151.58</v>
      </c>
      <c r="AD1700" s="618">
        <v>1070.04</v>
      </c>
      <c r="AE1700" s="2914"/>
      <c r="AF1700" s="2914"/>
      <c r="AG1700" s="2914"/>
      <c r="AH1700" s="344"/>
      <c r="AI1700" s="156"/>
      <c r="AJ1700" s="3640"/>
      <c r="AK1700" s="2915"/>
      <c r="AL1700" s="156"/>
      <c r="AM1700" s="3640"/>
      <c r="AN1700" s="3640"/>
      <c r="AO1700" s="156"/>
      <c r="AP1700" s="156"/>
      <c r="AQ1700" s="156"/>
      <c r="AR1700" s="156"/>
      <c r="AS1700" s="156"/>
      <c r="AT1700" s="156"/>
      <c r="AU1700" s="156"/>
      <c r="AV1700" s="156"/>
      <c r="AW1700" s="156"/>
      <c r="AX1700" s="156"/>
      <c r="AY1700" s="156"/>
      <c r="AZ1700" s="156"/>
      <c r="BA1700" s="156"/>
      <c r="BB1700" s="2905"/>
      <c r="BC1700" s="2357" t="str">
        <f t="shared" si="321"/>
        <v>Cooling Res ER2 12 Year EUL</v>
      </c>
      <c r="BD1700" s="2829">
        <f>(INDEX('Avoided Cost Benefits'!$E$4:$E$859,MATCH(BC1700,'Avoided Cost Benefits'!$A$4:$A$859,0)))*F1700</f>
        <v>1184.0317186670261</v>
      </c>
      <c r="BE1700" s="858">
        <f t="shared" si="313"/>
        <v>0</v>
      </c>
      <c r="BF1700" s="156"/>
      <c r="BH1700" s="686"/>
    </row>
    <row r="1701" spans="1:60" x14ac:dyDescent="0.35">
      <c r="A1701" s="3493" t="str">
        <f t="shared" si="319"/>
        <v>353550_2021_12_Heating Res ER2</v>
      </c>
      <c r="B1701" s="2812"/>
      <c r="C1701" s="1037" t="s">
        <v>1310</v>
      </c>
      <c r="D1701" s="1311" t="s">
        <v>318</v>
      </c>
      <c r="E1701" s="3419" t="s">
        <v>1312</v>
      </c>
      <c r="F1701" s="618">
        <f>ROUND(((K2023*K2216*(1/K2409-1/K2602)*K3567)/1000)*$K$3677,2)</f>
        <v>12037.46</v>
      </c>
      <c r="G1701" s="2810" t="s">
        <v>1150</v>
      </c>
      <c r="H1701" s="2720">
        <f>VLOOKUP(G1701,'CP FACTORS'!$A$3:$B$38, 2, FALSE)</f>
        <v>0</v>
      </c>
      <c r="I1701" s="2995">
        <f t="shared" si="320"/>
        <v>0</v>
      </c>
      <c r="J1701" s="124">
        <f t="shared" si="317"/>
        <v>12</v>
      </c>
      <c r="K1701" s="462">
        <f t="shared" si="318"/>
        <v>0</v>
      </c>
      <c r="L1701" s="3496"/>
      <c r="M1701" s="103"/>
      <c r="N1701" s="1317"/>
      <c r="O1701" s="963"/>
      <c r="P1701" s="106"/>
      <c r="Q1701" s="106"/>
      <c r="R1701" s="1214"/>
      <c r="S1701" s="106"/>
      <c r="T1701" s="106"/>
      <c r="U1701" s="1319"/>
      <c r="V1701" s="3436" t="s">
        <v>30</v>
      </c>
      <c r="W1701" s="2914">
        <v>13965.852998065762</v>
      </c>
      <c r="X1701" s="685">
        <v>10399.659574468084</v>
      </c>
      <c r="Y1701" s="615">
        <v>10399.66</v>
      </c>
      <c r="Z1701" s="615">
        <v>10399.66</v>
      </c>
      <c r="AA1701" s="615">
        <v>10399.66</v>
      </c>
      <c r="AB1701" s="3495">
        <v>10399.66</v>
      </c>
      <c r="AC1701" s="618">
        <v>12895.04</v>
      </c>
      <c r="AD1701" s="618">
        <v>12037.46</v>
      </c>
      <c r="AE1701" s="2914"/>
      <c r="AF1701" s="2914"/>
      <c r="AG1701" s="2914"/>
      <c r="AH1701" s="344"/>
      <c r="AI1701" s="156"/>
      <c r="AJ1701" s="3640"/>
      <c r="AK1701" s="2915"/>
      <c r="AL1701" s="156"/>
      <c r="AM1701" s="3640"/>
      <c r="AN1701" s="3640"/>
      <c r="AO1701" s="156"/>
      <c r="AP1701" s="156"/>
      <c r="AQ1701" s="156"/>
      <c r="AR1701" s="156"/>
      <c r="AS1701" s="156"/>
      <c r="AT1701" s="156"/>
      <c r="AU1701" s="156"/>
      <c r="AV1701" s="156"/>
      <c r="AW1701" s="156"/>
      <c r="AX1701" s="156"/>
      <c r="AY1701" s="156"/>
      <c r="AZ1701" s="156"/>
      <c r="BA1701" s="156"/>
      <c r="BB1701" s="2905"/>
      <c r="BC1701" s="2349" t="str">
        <f t="shared" si="321"/>
        <v>Heating Res ER2 12 Year EUL</v>
      </c>
      <c r="BD1701" s="2829">
        <f>(INDEX('Avoided Cost Benefits'!$E$4:$E$859,MATCH(BC1701,'Avoided Cost Benefits'!$A$4:$A$859,0)))*F1701</f>
        <v>3405.4283672331326</v>
      </c>
      <c r="BE1701" s="858">
        <f t="shared" si="313"/>
        <v>0</v>
      </c>
      <c r="BF1701" s="156"/>
      <c r="BH1701" s="686"/>
    </row>
    <row r="1702" spans="1:60" x14ac:dyDescent="0.35">
      <c r="A1702" s="3493" t="str">
        <f t="shared" si="319"/>
        <v>353560_2021_12_Cooling Res</v>
      </c>
      <c r="B1702" s="2812"/>
      <c r="C1702" s="1037" t="s">
        <v>1313</v>
      </c>
      <c r="D1702" s="1311" t="s">
        <v>318</v>
      </c>
      <c r="E1702" s="3420" t="s">
        <v>1314</v>
      </c>
      <c r="F1702" s="618">
        <f>ROUND(((K2796*K2989*(1/K3182-1/K3375)*K3568)/1000)*$K$3677,2)</f>
        <v>2958.13</v>
      </c>
      <c r="G1702" s="2810" t="s">
        <v>1091</v>
      </c>
      <c r="H1702" s="2720">
        <f>VLOOKUP(G1702,'CP FACTORS'!$A$3:$B$38, 2, FALSE)</f>
        <v>9.4741810000000004E-4</v>
      </c>
      <c r="I1702" s="2995">
        <f t="shared" si="320"/>
        <v>2.8025859999999998</v>
      </c>
      <c r="J1702" s="124">
        <f t="shared" si="317"/>
        <v>6</v>
      </c>
      <c r="K1702" s="462">
        <f t="shared" si="318"/>
        <v>2490.8675578660959</v>
      </c>
      <c r="L1702" s="3496">
        <f>L2024</f>
        <v>3.3520972177188546</v>
      </c>
      <c r="M1702" s="103"/>
      <c r="N1702" s="1317"/>
      <c r="O1702" s="963"/>
      <c r="P1702" s="106"/>
      <c r="Q1702" s="106"/>
      <c r="R1702" s="1214"/>
      <c r="S1702" s="106"/>
      <c r="T1702" s="106"/>
      <c r="U1702" s="1319"/>
      <c r="V1702" s="1590" t="s">
        <v>30</v>
      </c>
      <c r="W1702" s="2914"/>
      <c r="X1702" s="685"/>
      <c r="Y1702" s="615"/>
      <c r="Z1702" s="615"/>
      <c r="AA1702" s="615"/>
      <c r="AB1702" s="3495"/>
      <c r="AC1702" s="618">
        <v>2697.17</v>
      </c>
      <c r="AD1702" s="618">
        <v>2958.13</v>
      </c>
      <c r="AE1702" s="2914"/>
      <c r="AF1702" s="2914"/>
      <c r="AG1702" s="2914"/>
      <c r="AH1702" s="344"/>
      <c r="AI1702" s="156"/>
      <c r="AJ1702" s="3640"/>
      <c r="AK1702" s="2915"/>
      <c r="AL1702" s="156"/>
      <c r="AM1702" s="3640"/>
      <c r="AN1702" s="3640"/>
      <c r="AO1702" s="156"/>
      <c r="AP1702" s="156"/>
      <c r="AQ1702" s="156"/>
      <c r="AR1702" s="156"/>
      <c r="AS1702" s="156"/>
      <c r="AT1702" s="156"/>
      <c r="AU1702" s="156"/>
      <c r="AV1702" s="156"/>
      <c r="AW1702" s="156"/>
      <c r="AX1702" s="156"/>
      <c r="AY1702" s="156"/>
      <c r="AZ1702" s="156"/>
      <c r="BA1702" s="156"/>
      <c r="BB1702" s="2741">
        <f>(BD1702+BD1703+BD1704+BD1705)/(BE1702+BE1703+BE1704+BE1705)</f>
        <v>1.3008758632556525</v>
      </c>
      <c r="BC1702" s="2742" t="str">
        <f t="shared" si="321"/>
        <v>Cooling Res 6 Year EUL</v>
      </c>
      <c r="BD1702" s="1841">
        <f>(INDEX('Avoided Cost Benefits'!$E$4:$E$859,MATCH(BC1702,'Avoided Cost Benefits'!$A$4:$A$859,0)))*F1702</f>
        <v>1874.3066339469956</v>
      </c>
      <c r="BE1702" s="2507">
        <f t="shared" si="313"/>
        <v>2350.9840093120297</v>
      </c>
      <c r="BF1702" s="156"/>
      <c r="BH1702" s="686"/>
    </row>
    <row r="1703" spans="1:60" x14ac:dyDescent="0.35">
      <c r="A1703" s="3493" t="str">
        <f t="shared" si="319"/>
        <v>353560_2021_12_Heating Res</v>
      </c>
      <c r="B1703" s="2812"/>
      <c r="C1703" s="1037" t="s">
        <v>1313</v>
      </c>
      <c r="D1703" s="1311" t="s">
        <v>318</v>
      </c>
      <c r="E1703" s="3420" t="s">
        <v>1314</v>
      </c>
      <c r="F1703" s="615">
        <v>0</v>
      </c>
      <c r="G1703" s="1313" t="s">
        <v>1092</v>
      </c>
      <c r="H1703" s="136">
        <f>VLOOKUP(G1703,'CP FACTORS'!$A$3:$B$38, 2, FALSE)</f>
        <v>0</v>
      </c>
      <c r="I1703" s="3497">
        <f t="shared" si="320"/>
        <v>0</v>
      </c>
      <c r="J1703" s="124">
        <f t="shared" si="317"/>
        <v>6</v>
      </c>
      <c r="K1703" s="462">
        <f t="shared" si="318"/>
        <v>0</v>
      </c>
      <c r="L1703" s="3496"/>
      <c r="M1703" s="103"/>
      <c r="N1703" s="1317"/>
      <c r="O1703" s="963"/>
      <c r="P1703" s="106"/>
      <c r="Q1703" s="106"/>
      <c r="R1703" s="1214"/>
      <c r="S1703" s="106"/>
      <c r="T1703" s="106"/>
      <c r="U1703" s="1319"/>
      <c r="V1703" s="1590" t="s">
        <v>30</v>
      </c>
      <c r="W1703" s="2914"/>
      <c r="X1703" s="685"/>
      <c r="Y1703" s="615"/>
      <c r="Z1703" s="615"/>
      <c r="AA1703" s="615"/>
      <c r="AB1703" s="3495"/>
      <c r="AC1703" s="618">
        <v>0</v>
      </c>
      <c r="AD1703" s="615">
        <v>0</v>
      </c>
      <c r="AE1703" s="2914"/>
      <c r="AF1703" s="2914"/>
      <c r="AG1703" s="2914"/>
      <c r="AH1703" s="344"/>
      <c r="AI1703" s="156"/>
      <c r="AJ1703" s="3640"/>
      <c r="AK1703" s="2915"/>
      <c r="AL1703" s="156"/>
      <c r="AM1703" s="3640"/>
      <c r="AN1703" s="3640"/>
      <c r="AO1703" s="156"/>
      <c r="AP1703" s="156"/>
      <c r="AQ1703" s="156"/>
      <c r="AR1703" s="156"/>
      <c r="AS1703" s="156"/>
      <c r="AT1703" s="156"/>
      <c r="AU1703" s="156"/>
      <c r="AV1703" s="156"/>
      <c r="AW1703" s="156"/>
      <c r="AX1703" s="156"/>
      <c r="AY1703" s="156"/>
      <c r="AZ1703" s="156"/>
      <c r="BA1703" s="156"/>
      <c r="BB1703" s="2743"/>
      <c r="BC1703" s="2742" t="str">
        <f t="shared" si="321"/>
        <v>Heating Res 6 Year EUL</v>
      </c>
      <c r="BD1703" s="1841">
        <f>(INDEX('Avoided Cost Benefits'!$E$4:$E$859,MATCH(BC1703,'Avoided Cost Benefits'!$A$4:$A$859,0)))*F1703</f>
        <v>0</v>
      </c>
      <c r="BE1703" s="2507">
        <f t="shared" si="313"/>
        <v>0</v>
      </c>
      <c r="BF1703" s="156"/>
      <c r="BH1703" s="686"/>
    </row>
    <row r="1704" spans="1:60" x14ac:dyDescent="0.35">
      <c r="A1704" s="3493" t="str">
        <f t="shared" si="319"/>
        <v>353560_2021_12_Cooling Res ER2</v>
      </c>
      <c r="B1704" s="2812"/>
      <c r="C1704" s="1037" t="s">
        <v>1313</v>
      </c>
      <c r="D1704" s="1311" t="s">
        <v>318</v>
      </c>
      <c r="E1704" s="3420" t="s">
        <v>1315</v>
      </c>
      <c r="F1704" s="618">
        <f>ROUND(((K2797*K2990*(1/K3183-1/K3376)*K3569)/1000)*$K$3677,2)</f>
        <v>1070.04</v>
      </c>
      <c r="G1704" s="2810" t="s">
        <v>1133</v>
      </c>
      <c r="H1704" s="2720">
        <f>VLOOKUP(G1704,'CP FACTORS'!$A$3:$B$38, 2, FALSE)</f>
        <v>9.4741810000000004E-4</v>
      </c>
      <c r="I1704" s="2995">
        <f t="shared" si="320"/>
        <v>1.0137750000000001</v>
      </c>
      <c r="J1704" s="124">
        <f t="shared" si="317"/>
        <v>12</v>
      </c>
      <c r="K1704" s="462">
        <f t="shared" si="318"/>
        <v>0</v>
      </c>
      <c r="L1704" s="3496"/>
      <c r="M1704" s="103"/>
      <c r="N1704" s="1317"/>
      <c r="O1704" s="963"/>
      <c r="P1704" s="106"/>
      <c r="Q1704" s="106"/>
      <c r="R1704" s="1214"/>
      <c r="S1704" s="106"/>
      <c r="T1704" s="106"/>
      <c r="U1704" s="1319"/>
      <c r="V1704" s="1590" t="s">
        <v>30</v>
      </c>
      <c r="W1704" s="2914"/>
      <c r="X1704" s="685"/>
      <c r="Y1704" s="615"/>
      <c r="Z1704" s="615"/>
      <c r="AA1704" s="615"/>
      <c r="AB1704" s="3495"/>
      <c r="AC1704" s="618">
        <v>1151.58</v>
      </c>
      <c r="AD1704" s="618">
        <v>1070.04</v>
      </c>
      <c r="AE1704" s="2914"/>
      <c r="AF1704" s="2914"/>
      <c r="AG1704" s="2914"/>
      <c r="AH1704" s="344"/>
      <c r="AI1704" s="156"/>
      <c r="AJ1704" s="3640"/>
      <c r="AK1704" s="2915"/>
      <c r="AL1704" s="156"/>
      <c r="AM1704" s="3640"/>
      <c r="AN1704" s="3640"/>
      <c r="AO1704" s="156"/>
      <c r="AP1704" s="156"/>
      <c r="AQ1704" s="156"/>
      <c r="AR1704" s="156"/>
      <c r="AS1704" s="156"/>
      <c r="AT1704" s="156"/>
      <c r="AU1704" s="156"/>
      <c r="AV1704" s="156"/>
      <c r="AW1704" s="156"/>
      <c r="AX1704" s="156"/>
      <c r="AY1704" s="156"/>
      <c r="AZ1704" s="156"/>
      <c r="BA1704" s="156"/>
      <c r="BB1704" s="2743"/>
      <c r="BC1704" s="2742" t="str">
        <f t="shared" si="321"/>
        <v>Cooling Res ER2 12 Year EUL</v>
      </c>
      <c r="BD1704" s="1841">
        <f>(INDEX('Avoided Cost Benefits'!$E$4:$E$859,MATCH(BC1704,'Avoided Cost Benefits'!$A$4:$A$859,0)))*F1704</f>
        <v>1184.0317186670261</v>
      </c>
      <c r="BE1704" s="2507">
        <f t="shared" si="313"/>
        <v>0</v>
      </c>
      <c r="BF1704" s="156"/>
      <c r="BH1704" s="686"/>
    </row>
    <row r="1705" spans="1:60" x14ac:dyDescent="0.35">
      <c r="A1705" s="3493" t="str">
        <f t="shared" si="319"/>
        <v>353560_2021_12_Heating Res ER2</v>
      </c>
      <c r="B1705" s="2812"/>
      <c r="C1705" s="1037" t="s">
        <v>1313</v>
      </c>
      <c r="D1705" s="1311" t="s">
        <v>318</v>
      </c>
      <c r="E1705" s="3420" t="s">
        <v>1315</v>
      </c>
      <c r="F1705" s="615">
        <f>0</f>
        <v>0</v>
      </c>
      <c r="G1705" s="1313" t="s">
        <v>1150</v>
      </c>
      <c r="H1705" s="136">
        <f>VLOOKUP(G1705,'CP FACTORS'!$A$3:$B$38, 2, FALSE)</f>
        <v>0</v>
      </c>
      <c r="I1705" s="3497">
        <f t="shared" si="320"/>
        <v>0</v>
      </c>
      <c r="J1705" s="124">
        <f t="shared" si="317"/>
        <v>12</v>
      </c>
      <c r="K1705" s="462">
        <f t="shared" si="318"/>
        <v>0</v>
      </c>
      <c r="L1705" s="3496"/>
      <c r="M1705" s="103"/>
      <c r="N1705" s="1317"/>
      <c r="O1705" s="963"/>
      <c r="P1705" s="106"/>
      <c r="Q1705" s="106"/>
      <c r="R1705" s="1214"/>
      <c r="S1705" s="106"/>
      <c r="T1705" s="106"/>
      <c r="U1705" s="1319"/>
      <c r="V1705" s="1590" t="s">
        <v>30</v>
      </c>
      <c r="W1705" s="2914"/>
      <c r="X1705" s="685"/>
      <c r="Y1705" s="615"/>
      <c r="Z1705" s="615"/>
      <c r="AA1705" s="615"/>
      <c r="AB1705" s="3495"/>
      <c r="AC1705" s="618">
        <v>0</v>
      </c>
      <c r="AD1705" s="615">
        <v>0</v>
      </c>
      <c r="AE1705" s="2914"/>
      <c r="AF1705" s="2914"/>
      <c r="AG1705" s="2914"/>
      <c r="AH1705" s="344"/>
      <c r="AI1705" s="156"/>
      <c r="AJ1705" s="3640"/>
      <c r="AK1705" s="2915"/>
      <c r="AL1705" s="156"/>
      <c r="AM1705" s="3640"/>
      <c r="AN1705" s="3640"/>
      <c r="AO1705" s="156"/>
      <c r="AP1705" s="156"/>
      <c r="AQ1705" s="156"/>
      <c r="AR1705" s="156"/>
      <c r="AS1705" s="156"/>
      <c r="AT1705" s="156"/>
      <c r="AU1705" s="156"/>
      <c r="AV1705" s="156"/>
      <c r="AW1705" s="156"/>
      <c r="AX1705" s="156"/>
      <c r="AY1705" s="156"/>
      <c r="AZ1705" s="156"/>
      <c r="BA1705" s="156"/>
      <c r="BB1705" s="2743"/>
      <c r="BC1705" s="2742" t="str">
        <f t="shared" si="321"/>
        <v>Heating Res ER2 12 Year EUL</v>
      </c>
      <c r="BD1705" s="1841">
        <f>(INDEX('Avoided Cost Benefits'!$E$4:$E$859,MATCH(BC1705,'Avoided Cost Benefits'!$A$4:$A$859,0)))*F1705</f>
        <v>0</v>
      </c>
      <c r="BE1705" s="2507">
        <f t="shared" si="313"/>
        <v>0</v>
      </c>
      <c r="BF1705" s="156"/>
      <c r="BH1705" s="686"/>
    </row>
    <row r="1706" spans="1:60" x14ac:dyDescent="0.35">
      <c r="A1706" s="3493" t="str">
        <f t="shared" si="319"/>
        <v>353600_2019_12_Cooling Res</v>
      </c>
      <c r="B1706" s="2812"/>
      <c r="C1706" s="1037" t="s">
        <v>1316</v>
      </c>
      <c r="D1706" s="1311" t="s">
        <v>320</v>
      </c>
      <c r="E1706" s="3418" t="s">
        <v>1317</v>
      </c>
      <c r="F1706" s="615">
        <f>ROUND(((K2798*K2991*(1/K3184-1/K3377)*K3570)/1000)*$K$3677,2)</f>
        <v>1521.91</v>
      </c>
      <c r="G1706" s="1313" t="s">
        <v>1091</v>
      </c>
      <c r="H1706" s="136">
        <f>VLOOKUP(G1706,'CP FACTORS'!$A$3:$B$38, 2, FALSE)</f>
        <v>9.4741810000000004E-4</v>
      </c>
      <c r="I1706" s="3497">
        <f t="shared" si="320"/>
        <v>1.4418850000000001</v>
      </c>
      <c r="J1706" s="124">
        <f t="shared" si="317"/>
        <v>6</v>
      </c>
      <c r="K1706" s="462">
        <f t="shared" si="318"/>
        <v>2171.3844012161662</v>
      </c>
      <c r="L1706" s="689">
        <f>L2026</f>
        <v>3.1</v>
      </c>
      <c r="M1706" s="103"/>
      <c r="N1706" s="1317"/>
      <c r="O1706" s="963"/>
      <c r="P1706" s="106"/>
      <c r="Q1706" s="106"/>
      <c r="R1706" s="1214"/>
      <c r="S1706" s="106"/>
      <c r="T1706" s="106"/>
      <c r="U1706" s="1319"/>
      <c r="V1706" s="3436" t="s">
        <v>30</v>
      </c>
      <c r="W1706" s="2914">
        <v>2089.4703361344541</v>
      </c>
      <c r="X1706" s="685">
        <v>1521.9079711884754</v>
      </c>
      <c r="Y1706" s="615">
        <v>1521.91</v>
      </c>
      <c r="Z1706" s="615">
        <v>1521.91</v>
      </c>
      <c r="AA1706" s="615">
        <v>1521.91</v>
      </c>
      <c r="AB1706" s="3495">
        <v>1521.91</v>
      </c>
      <c r="AC1706" s="2912">
        <v>1521.91</v>
      </c>
      <c r="AD1706" s="615">
        <v>1521.91</v>
      </c>
      <c r="AE1706" s="2914"/>
      <c r="AF1706" s="2914"/>
      <c r="AG1706" s="2914"/>
      <c r="AH1706" s="344"/>
      <c r="AI1706" s="156"/>
      <c r="AJ1706" s="3640"/>
      <c r="AK1706" s="2915"/>
      <c r="AL1706" s="156"/>
      <c r="AM1706" s="3640"/>
      <c r="AN1706" s="3640"/>
      <c r="AO1706" s="156"/>
      <c r="AP1706" s="156"/>
      <c r="AQ1706" s="156"/>
      <c r="AR1706" s="156"/>
      <c r="AS1706" s="156"/>
      <c r="AT1706" s="156"/>
      <c r="AU1706" s="156"/>
      <c r="AV1706" s="156"/>
      <c r="AW1706" s="156"/>
      <c r="AX1706" s="156"/>
      <c r="AY1706" s="156"/>
      <c r="AZ1706" s="156"/>
      <c r="BA1706" s="156"/>
      <c r="BB1706" s="2833">
        <f>(BD1706+BD1707+BD1708+BD1709)/(BE1706+BE1707+BE1708+BE1709)</f>
        <v>2.2735217210052165</v>
      </c>
      <c r="BC1706" s="2348" t="str">
        <f t="shared" si="321"/>
        <v>Cooling Res 6 Year EUL</v>
      </c>
      <c r="BD1706" s="2829">
        <f>(INDEX('Avoided Cost Benefits'!$E$4:$E$859,MATCH(BC1706,'Avoided Cost Benefits'!$A$4:$A$859,0)))*F1706</f>
        <v>964.30042265562088</v>
      </c>
      <c r="BE1706" s="858">
        <f t="shared" si="313"/>
        <v>2049.4425683965701</v>
      </c>
      <c r="BF1706" s="156"/>
      <c r="BH1706" s="686"/>
    </row>
    <row r="1707" spans="1:60" x14ac:dyDescent="0.35">
      <c r="A1707" s="3493" t="str">
        <f t="shared" si="319"/>
        <v>353600_2019_12_Heating Res</v>
      </c>
      <c r="B1707" s="2812"/>
      <c r="C1707" s="1037" t="s">
        <v>1316</v>
      </c>
      <c r="D1707" s="1311" t="s">
        <v>320</v>
      </c>
      <c r="E1707" s="3420" t="s">
        <v>1317</v>
      </c>
      <c r="F1707" s="615">
        <f>ROUND(((K2026*K2219*(1/K2412-1/K2605)*K3570)/1000)*$K$3677,2)</f>
        <v>6759.78</v>
      </c>
      <c r="G1707" s="1313" t="s">
        <v>1092</v>
      </c>
      <c r="H1707" s="136">
        <f>VLOOKUP(G1707,'CP FACTORS'!$A$3:$B$38, 2, FALSE)</f>
        <v>0</v>
      </c>
      <c r="I1707" s="3497">
        <f t="shared" si="320"/>
        <v>0</v>
      </c>
      <c r="J1707" s="124">
        <f t="shared" si="317"/>
        <v>6</v>
      </c>
      <c r="K1707" s="462">
        <f t="shared" si="318"/>
        <v>0</v>
      </c>
      <c r="L1707" s="689"/>
      <c r="M1707" s="103"/>
      <c r="N1707" s="1317"/>
      <c r="O1707" s="963"/>
      <c r="P1707" s="106"/>
      <c r="Q1707" s="106"/>
      <c r="R1707" s="1214"/>
      <c r="S1707" s="106"/>
      <c r="T1707" s="106"/>
      <c r="U1707" s="1319"/>
      <c r="V1707" s="3436" t="s">
        <v>30</v>
      </c>
      <c r="W1707" s="2914">
        <v>9077.8044487427451</v>
      </c>
      <c r="X1707" s="685">
        <v>6759.7787234042544</v>
      </c>
      <c r="Y1707" s="615">
        <v>6759.78</v>
      </c>
      <c r="Z1707" s="615">
        <v>6759.78</v>
      </c>
      <c r="AA1707" s="615">
        <v>6759.78</v>
      </c>
      <c r="AB1707" s="3495">
        <v>6759.78</v>
      </c>
      <c r="AC1707" s="2912">
        <v>6759.78</v>
      </c>
      <c r="AD1707" s="615">
        <v>6759.78</v>
      </c>
      <c r="AE1707" s="2914"/>
      <c r="AF1707" s="2914"/>
      <c r="AG1707" s="2914"/>
      <c r="AH1707" s="344"/>
      <c r="AI1707" s="156"/>
      <c r="AJ1707" s="3640"/>
      <c r="AK1707" s="2915"/>
      <c r="AL1707" s="156"/>
      <c r="AM1707" s="3640"/>
      <c r="AN1707" s="3640"/>
      <c r="AO1707" s="156"/>
      <c r="AP1707" s="156"/>
      <c r="AQ1707" s="156"/>
      <c r="AR1707" s="156"/>
      <c r="AS1707" s="156"/>
      <c r="AT1707" s="156"/>
      <c r="AU1707" s="156"/>
      <c r="AV1707" s="156"/>
      <c r="AW1707" s="156"/>
      <c r="AX1707" s="156"/>
      <c r="AY1707" s="156"/>
      <c r="AZ1707" s="156"/>
      <c r="BA1707" s="156"/>
      <c r="BB1707" s="2905"/>
      <c r="BC1707" s="2357" t="str">
        <f t="shared" si="321"/>
        <v>Heating Res 6 Year EUL</v>
      </c>
      <c r="BD1707" s="2829">
        <f>(INDEX('Avoided Cost Benefits'!$E$4:$E$859,MATCH(BC1707,'Avoided Cost Benefits'!$A$4:$A$859,0)))*F1707</f>
        <v>1101.4465864158344</v>
      </c>
      <c r="BE1707" s="858">
        <f t="shared" si="313"/>
        <v>0</v>
      </c>
      <c r="BF1707" s="156"/>
      <c r="BH1707" s="686"/>
    </row>
    <row r="1708" spans="1:60" x14ac:dyDescent="0.35">
      <c r="A1708" s="3493" t="str">
        <f t="shared" si="319"/>
        <v>353600_2019_12_Cooling Res ER2</v>
      </c>
      <c r="B1708" s="2812"/>
      <c r="C1708" s="1037" t="s">
        <v>1316</v>
      </c>
      <c r="D1708" s="1311" t="s">
        <v>320</v>
      </c>
      <c r="E1708" s="3420" t="s">
        <v>1318</v>
      </c>
      <c r="F1708" s="615">
        <f>ROUND(((K2799*K2992*(1/K3185-1/K3378)*K3571)/1000)*$K$3677,2)</f>
        <v>615.75</v>
      </c>
      <c r="G1708" s="1313" t="s">
        <v>1133</v>
      </c>
      <c r="H1708" s="136">
        <f>VLOOKUP(G1708,'CP FACTORS'!$A$3:$B$38, 2, FALSE)</f>
        <v>9.4741810000000004E-4</v>
      </c>
      <c r="I1708" s="3497">
        <f t="shared" si="320"/>
        <v>0.58337300000000003</v>
      </c>
      <c r="J1708" s="124">
        <f t="shared" si="317"/>
        <v>12</v>
      </c>
      <c r="K1708" s="462">
        <f t="shared" si="318"/>
        <v>0</v>
      </c>
      <c r="L1708" s="689"/>
      <c r="M1708" s="103"/>
      <c r="N1708" s="1317"/>
      <c r="O1708" s="963"/>
      <c r="P1708" s="106"/>
      <c r="Q1708" s="106"/>
      <c r="R1708" s="1214"/>
      <c r="S1708" s="106"/>
      <c r="T1708" s="106"/>
      <c r="U1708" s="1319"/>
      <c r="V1708" s="3436" t="s">
        <v>30</v>
      </c>
      <c r="W1708" s="2914">
        <v>615.74857142857161</v>
      </c>
      <c r="X1708" s="688">
        <v>615.74857142857161</v>
      </c>
      <c r="Y1708" s="615">
        <v>615.75</v>
      </c>
      <c r="Z1708" s="615">
        <v>615.75</v>
      </c>
      <c r="AA1708" s="615">
        <v>615.75</v>
      </c>
      <c r="AB1708" s="3495">
        <v>615.75</v>
      </c>
      <c r="AC1708" s="2912">
        <v>615.75</v>
      </c>
      <c r="AD1708" s="615">
        <v>615.75</v>
      </c>
      <c r="AE1708" s="2914"/>
      <c r="AF1708" s="2914"/>
      <c r="AG1708" s="2914"/>
      <c r="AH1708" s="344"/>
      <c r="AI1708" s="156"/>
      <c r="AJ1708" s="3640"/>
      <c r="AK1708" s="2915"/>
      <c r="AL1708" s="156"/>
      <c r="AM1708" s="3640"/>
      <c r="AN1708" s="3640"/>
      <c r="AO1708" s="156"/>
      <c r="AP1708" s="156"/>
      <c r="AQ1708" s="156"/>
      <c r="AR1708" s="156"/>
      <c r="AS1708" s="156"/>
      <c r="AT1708" s="156"/>
      <c r="AU1708" s="156"/>
      <c r="AV1708" s="156"/>
      <c r="AW1708" s="156"/>
      <c r="AX1708" s="156"/>
      <c r="AY1708" s="156"/>
      <c r="AZ1708" s="156"/>
      <c r="BA1708" s="156"/>
      <c r="BB1708" s="2905"/>
      <c r="BC1708" s="2357" t="str">
        <f t="shared" si="321"/>
        <v>Cooling Res ER2 12 Year EUL</v>
      </c>
      <c r="BD1708" s="2829">
        <f>(INDEX('Avoided Cost Benefits'!$E$4:$E$859,MATCH(BC1708,'Avoided Cost Benefits'!$A$4:$A$859,0)))*F1708</f>
        <v>681.34605320289097</v>
      </c>
      <c r="BE1708" s="858">
        <f t="shared" si="313"/>
        <v>0</v>
      </c>
      <c r="BF1708" s="156"/>
      <c r="BH1708" s="686"/>
    </row>
    <row r="1709" spans="1:60" x14ac:dyDescent="0.35">
      <c r="A1709" s="3493" t="str">
        <f t="shared" si="319"/>
        <v>353600_2019_12_Heating Res ER2</v>
      </c>
      <c r="B1709" s="2812"/>
      <c r="C1709" s="1037" t="s">
        <v>1316</v>
      </c>
      <c r="D1709" s="1311" t="s">
        <v>320</v>
      </c>
      <c r="E1709" s="3419" t="s">
        <v>1318</v>
      </c>
      <c r="F1709" s="615">
        <f>ROUND(((K2027*K2220*(1/K2413-1/K2606)*K3571)/1000)*$K$3677,2)</f>
        <v>6759.78</v>
      </c>
      <c r="G1709" s="1313" t="s">
        <v>1150</v>
      </c>
      <c r="H1709" s="136">
        <f>VLOOKUP(G1709,'CP FACTORS'!$A$3:$B$38, 2, FALSE)</f>
        <v>0</v>
      </c>
      <c r="I1709" s="3497">
        <f t="shared" si="320"/>
        <v>0</v>
      </c>
      <c r="J1709" s="124">
        <f t="shared" si="317"/>
        <v>12</v>
      </c>
      <c r="K1709" s="462">
        <f t="shared" si="318"/>
        <v>0</v>
      </c>
      <c r="L1709" s="689"/>
      <c r="M1709" s="103"/>
      <c r="N1709" s="1317"/>
      <c r="O1709" s="963"/>
      <c r="P1709" s="106"/>
      <c r="Q1709" s="106"/>
      <c r="R1709" s="1214"/>
      <c r="S1709" s="106"/>
      <c r="T1709" s="106"/>
      <c r="U1709" s="1319"/>
      <c r="V1709" s="3436" t="s">
        <v>30</v>
      </c>
      <c r="W1709" s="2914">
        <v>9077.8044487427451</v>
      </c>
      <c r="X1709" s="685">
        <v>6759.7787234042544</v>
      </c>
      <c r="Y1709" s="615">
        <v>6759.78</v>
      </c>
      <c r="Z1709" s="615">
        <v>6759.78</v>
      </c>
      <c r="AA1709" s="615">
        <v>6759.78</v>
      </c>
      <c r="AB1709" s="3495">
        <v>6759.78</v>
      </c>
      <c r="AC1709" s="2912">
        <v>6759.78</v>
      </c>
      <c r="AD1709" s="615">
        <v>6759.78</v>
      </c>
      <c r="AE1709" s="2914"/>
      <c r="AF1709" s="2914"/>
      <c r="AG1709" s="2914"/>
      <c r="AH1709" s="344"/>
      <c r="AI1709" s="156"/>
      <c r="AJ1709" s="3640"/>
      <c r="AK1709" s="2915"/>
      <c r="AL1709" s="156"/>
      <c r="AM1709" s="3640"/>
      <c r="AN1709" s="3640"/>
      <c r="AO1709" s="156"/>
      <c r="AP1709" s="156"/>
      <c r="AQ1709" s="156"/>
      <c r="AR1709" s="156"/>
      <c r="AS1709" s="156"/>
      <c r="AT1709" s="156"/>
      <c r="AU1709" s="156"/>
      <c r="AV1709" s="156"/>
      <c r="AW1709" s="156"/>
      <c r="AX1709" s="156"/>
      <c r="AY1709" s="156"/>
      <c r="AZ1709" s="156"/>
      <c r="BA1709" s="156"/>
      <c r="BB1709" s="2905"/>
      <c r="BC1709" s="2349" t="str">
        <f t="shared" si="321"/>
        <v>Heating Res ER2 12 Year EUL</v>
      </c>
      <c r="BD1709" s="2829">
        <f>(INDEX('Avoided Cost Benefits'!$E$4:$E$859,MATCH(BC1709,'Avoided Cost Benefits'!$A$4:$A$859,0)))*F1709</f>
        <v>1912.3591329279755</v>
      </c>
      <c r="BE1709" s="858">
        <f t="shared" si="313"/>
        <v>0</v>
      </c>
      <c r="BF1709" s="156"/>
      <c r="BH1709" s="686"/>
    </row>
    <row r="1710" spans="1:60" x14ac:dyDescent="0.35">
      <c r="A1710" s="3493" t="str">
        <f t="shared" si="319"/>
        <v>353601_2019_12_Cooling Res</v>
      </c>
      <c r="B1710" s="2812"/>
      <c r="C1710" s="1037" t="s">
        <v>1319</v>
      </c>
      <c r="D1710" s="1311" t="s">
        <v>315</v>
      </c>
      <c r="E1710" s="3418" t="s">
        <v>1320</v>
      </c>
      <c r="F1710" s="615">
        <f>ROUND((($K$2800*$K$2993*(1/$K$3186-1/$K$3379)*$K$3572)/1000)*$K$3677,2)</f>
        <v>1106.8399999999999</v>
      </c>
      <c r="G1710" s="1313" t="str">
        <f>G1706</f>
        <v>Cooling Res</v>
      </c>
      <c r="H1710" s="136">
        <f>VLOOKUP(G1710,'CP FACTORS'!$A$3:$B$38, 2, FALSE)</f>
        <v>9.4741810000000004E-4</v>
      </c>
      <c r="I1710" s="3497">
        <f t="shared" si="320"/>
        <v>1.04864</v>
      </c>
      <c r="J1710" s="124">
        <f t="shared" si="317"/>
        <v>6</v>
      </c>
      <c r="K1710" s="462">
        <f t="shared" si="318"/>
        <v>2171.3844012161662</v>
      </c>
      <c r="L1710" s="689">
        <f>L2028</f>
        <v>3.1</v>
      </c>
      <c r="M1710" s="103"/>
      <c r="N1710" s="1317"/>
      <c r="O1710" s="963"/>
      <c r="P1710" s="106"/>
      <c r="Q1710" s="106"/>
      <c r="R1710" s="1214"/>
      <c r="S1710" s="106"/>
      <c r="T1710" s="106"/>
      <c r="U1710" s="1319"/>
      <c r="V1710" s="3436" t="s">
        <v>30</v>
      </c>
      <c r="W1710" s="2914"/>
      <c r="X1710" s="685"/>
      <c r="Y1710" s="618">
        <v>1106.8399999999999</v>
      </c>
      <c r="Z1710" s="615">
        <v>1106.8399999999999</v>
      </c>
      <c r="AA1710" s="615">
        <v>1106.8399999999999</v>
      </c>
      <c r="AB1710" s="3495">
        <v>1106.8399999999999</v>
      </c>
      <c r="AC1710" s="2912">
        <v>1106.8399999999999</v>
      </c>
      <c r="AD1710" s="615">
        <v>1106.8399999999999</v>
      </c>
      <c r="AE1710" s="2914"/>
      <c r="AF1710" s="2914"/>
      <c r="AG1710" s="2914"/>
      <c r="AH1710" s="344"/>
      <c r="AI1710" s="156"/>
      <c r="AJ1710" s="3640"/>
      <c r="AK1710" s="2915"/>
      <c r="AL1710" s="156"/>
      <c r="AM1710" s="3640"/>
      <c r="AN1710" s="3640"/>
      <c r="AO1710" s="156"/>
      <c r="AP1710" s="156"/>
      <c r="AQ1710" s="156"/>
      <c r="AR1710" s="156"/>
      <c r="AS1710" s="156"/>
      <c r="AT1710" s="156"/>
      <c r="AU1710" s="156"/>
      <c r="AV1710" s="156"/>
      <c r="AW1710" s="156"/>
      <c r="AX1710" s="156"/>
      <c r="AY1710" s="156"/>
      <c r="AZ1710" s="156"/>
      <c r="BA1710" s="156"/>
      <c r="BB1710" s="2833">
        <f>(BD1710+BD1711+BD1712+BD1713)/(BE1710+BE1711+BE1712+BE1713)</f>
        <v>1.0853034420457952</v>
      </c>
      <c r="BC1710" s="2348" t="str">
        <f t="shared" si="321"/>
        <v>Cooling Res 6 Year EUL</v>
      </c>
      <c r="BD1710" s="2829">
        <f>(INDEX('Avoided Cost Benefits'!$E$4:$E$859,MATCH(BC1710,'Avoided Cost Benefits'!$A$4:$A$859,0)))*F1710</f>
        <v>701.30709425139946</v>
      </c>
      <c r="BE1710" s="858">
        <f t="shared" si="313"/>
        <v>2049.4425683965701</v>
      </c>
      <c r="BF1710" s="156"/>
      <c r="BH1710" s="686"/>
    </row>
    <row r="1711" spans="1:60" x14ac:dyDescent="0.35">
      <c r="A1711" s="3493" t="str">
        <f t="shared" si="319"/>
        <v>353601_2019_12_Heating Res</v>
      </c>
      <c r="B1711" s="2812"/>
      <c r="C1711" s="1037" t="str">
        <f>C1710</f>
        <v>353601_2019_12_</v>
      </c>
      <c r="D1711" s="1311" t="s">
        <v>315</v>
      </c>
      <c r="E1711" s="3420" t="s">
        <v>1320</v>
      </c>
      <c r="F1711" s="615">
        <f>ROUND((($K$2028*$K$2221*(1/$K$2414-1/$K$2607)*$K$3572)/1000)*$K$3677,2)</f>
        <v>2304.4699999999998</v>
      </c>
      <c r="G1711" s="1313" t="str">
        <f>G1707</f>
        <v>Heating Res</v>
      </c>
      <c r="H1711" s="136">
        <f>VLOOKUP(G1711,'CP FACTORS'!$A$3:$B$38, 2, FALSE)</f>
        <v>0</v>
      </c>
      <c r="I1711" s="3497">
        <f t="shared" si="320"/>
        <v>0</v>
      </c>
      <c r="J1711" s="124">
        <f t="shared" si="317"/>
        <v>6</v>
      </c>
      <c r="K1711" s="462">
        <f t="shared" si="318"/>
        <v>0</v>
      </c>
      <c r="L1711" s="689"/>
      <c r="M1711" s="103"/>
      <c r="N1711" s="1317"/>
      <c r="O1711" s="963"/>
      <c r="P1711" s="106"/>
      <c r="Q1711" s="106"/>
      <c r="R1711" s="1214"/>
      <c r="S1711" s="106"/>
      <c r="T1711" s="106"/>
      <c r="U1711" s="1319"/>
      <c r="V1711" s="3436" t="s">
        <v>30</v>
      </c>
      <c r="W1711" s="2914"/>
      <c r="X1711" s="685"/>
      <c r="Y1711" s="618">
        <v>2304.4699999999998</v>
      </c>
      <c r="Z1711" s="615">
        <v>2304.4699999999998</v>
      </c>
      <c r="AA1711" s="615">
        <v>2304.4699999999998</v>
      </c>
      <c r="AB1711" s="3495">
        <v>2304.4699999999998</v>
      </c>
      <c r="AC1711" s="2912">
        <v>2304.4699999999998</v>
      </c>
      <c r="AD1711" s="615">
        <v>2304.4699999999998</v>
      </c>
      <c r="AE1711" s="2914"/>
      <c r="AF1711" s="2914"/>
      <c r="AG1711" s="2914"/>
      <c r="AH1711" s="344"/>
      <c r="AI1711" s="156"/>
      <c r="AJ1711" s="3640"/>
      <c r="AK1711" s="2915"/>
      <c r="AL1711" s="156"/>
      <c r="AM1711" s="3640"/>
      <c r="AN1711" s="3640"/>
      <c r="AO1711" s="156"/>
      <c r="AP1711" s="156"/>
      <c r="AQ1711" s="156"/>
      <c r="AR1711" s="156"/>
      <c r="AS1711" s="156"/>
      <c r="AT1711" s="156"/>
      <c r="AU1711" s="156"/>
      <c r="AV1711" s="156"/>
      <c r="AW1711" s="156"/>
      <c r="AX1711" s="156"/>
      <c r="AY1711" s="156"/>
      <c r="AZ1711" s="156"/>
      <c r="BA1711" s="156"/>
      <c r="BB1711" s="2905"/>
      <c r="BC1711" s="2357" t="str">
        <f t="shared" si="321"/>
        <v>Heating Res 6 Year EUL</v>
      </c>
      <c r="BD1711" s="2829">
        <f>(INDEX('Avoided Cost Benefits'!$E$4:$E$859,MATCH(BC1711,'Avoided Cost Benefits'!$A$4:$A$859,0)))*F1711</f>
        <v>375.49308039576698</v>
      </c>
      <c r="BE1711" s="858">
        <f t="shared" si="313"/>
        <v>0</v>
      </c>
      <c r="BF1711" s="156"/>
      <c r="BH1711" s="686"/>
    </row>
    <row r="1712" spans="1:60" x14ac:dyDescent="0.35">
      <c r="A1712" s="3493" t="str">
        <f t="shared" si="319"/>
        <v>353601_2019_12_Cooling Res ER2</v>
      </c>
      <c r="B1712" s="2812"/>
      <c r="C1712" s="1037" t="str">
        <f>C1711</f>
        <v>353601_2019_12_</v>
      </c>
      <c r="D1712" s="1311" t="s">
        <v>315</v>
      </c>
      <c r="E1712" s="3420" t="s">
        <v>1321</v>
      </c>
      <c r="F1712" s="615">
        <f>ROUND((($K$2801*$K$2994*(1/$K$3187-1/$K$3380)*$K$3573)/1000)*$K$3677,2)</f>
        <v>447.82</v>
      </c>
      <c r="G1712" s="1313" t="str">
        <f>G1708</f>
        <v>Cooling Res ER2</v>
      </c>
      <c r="H1712" s="136">
        <f>VLOOKUP(G1712,'CP FACTORS'!$A$3:$B$38, 2, FALSE)</f>
        <v>9.4741810000000004E-4</v>
      </c>
      <c r="I1712" s="3497">
        <f t="shared" si="320"/>
        <v>0.42427300000000001</v>
      </c>
      <c r="J1712" s="124">
        <f t="shared" si="317"/>
        <v>12</v>
      </c>
      <c r="K1712" s="462">
        <f t="shared" si="318"/>
        <v>0</v>
      </c>
      <c r="L1712" s="689"/>
      <c r="M1712" s="103"/>
      <c r="N1712" s="1317"/>
      <c r="O1712" s="963"/>
      <c r="P1712" s="106"/>
      <c r="Q1712" s="106"/>
      <c r="R1712" s="1214"/>
      <c r="S1712" s="106"/>
      <c r="T1712" s="106"/>
      <c r="U1712" s="1319"/>
      <c r="V1712" s="3436" t="s">
        <v>30</v>
      </c>
      <c r="W1712" s="2914"/>
      <c r="X1712" s="685"/>
      <c r="Y1712" s="618">
        <v>447.82</v>
      </c>
      <c r="Z1712" s="615">
        <v>447.82</v>
      </c>
      <c r="AA1712" s="615">
        <v>447.82</v>
      </c>
      <c r="AB1712" s="3495">
        <v>447.82</v>
      </c>
      <c r="AC1712" s="2912">
        <v>447.82</v>
      </c>
      <c r="AD1712" s="615">
        <v>447.82</v>
      </c>
      <c r="AE1712" s="2914"/>
      <c r="AF1712" s="2914"/>
      <c r="AG1712" s="2914"/>
      <c r="AH1712" s="344"/>
      <c r="AI1712" s="156"/>
      <c r="AJ1712" s="3640"/>
      <c r="AK1712" s="2915"/>
      <c r="AL1712" s="156"/>
      <c r="AM1712" s="3640"/>
      <c r="AN1712" s="3640"/>
      <c r="AO1712" s="156"/>
      <c r="AP1712" s="156"/>
      <c r="AQ1712" s="156"/>
      <c r="AR1712" s="156"/>
      <c r="AS1712" s="156"/>
      <c r="AT1712" s="156"/>
      <c r="AU1712" s="156"/>
      <c r="AV1712" s="156"/>
      <c r="AW1712" s="156"/>
      <c r="AX1712" s="156"/>
      <c r="AY1712" s="156"/>
      <c r="AZ1712" s="156"/>
      <c r="BA1712" s="156"/>
      <c r="BB1712" s="2905"/>
      <c r="BC1712" s="2357" t="str">
        <f t="shared" si="321"/>
        <v>Cooling Res ER2 12 Year EUL</v>
      </c>
      <c r="BD1712" s="2829">
        <f>(INDEX('Avoided Cost Benefits'!$E$4:$E$859,MATCH(BC1712,'Avoided Cost Benefits'!$A$4:$A$859,0)))*F1712</f>
        <v>495.52641420270987</v>
      </c>
      <c r="BE1712" s="858">
        <f t="shared" si="313"/>
        <v>0</v>
      </c>
      <c r="BF1712" s="156"/>
      <c r="BH1712" s="686"/>
    </row>
    <row r="1713" spans="1:60" x14ac:dyDescent="0.35">
      <c r="A1713" s="3493" t="str">
        <f t="shared" si="319"/>
        <v>353601_2019_12_Heating Res ER2</v>
      </c>
      <c r="B1713" s="2812"/>
      <c r="C1713" s="1037" t="str">
        <f>C1712</f>
        <v>353601_2019_12_</v>
      </c>
      <c r="D1713" s="1311" t="s">
        <v>315</v>
      </c>
      <c r="E1713" s="3419" t="s">
        <v>1321</v>
      </c>
      <c r="F1713" s="615">
        <f>ROUND((($K$2029*$K$2222*(1/$K$2415-1/$K$2608)*$K$3573)/1000)*$K$3677,2)</f>
        <v>2304.4699999999998</v>
      </c>
      <c r="G1713" s="1313" t="str">
        <f>G1709</f>
        <v>Heating Res ER2</v>
      </c>
      <c r="H1713" s="136">
        <f>VLOOKUP(G1713,'CP FACTORS'!$A$3:$B$38, 2, FALSE)</f>
        <v>0</v>
      </c>
      <c r="I1713" s="3497">
        <f t="shared" si="320"/>
        <v>0</v>
      </c>
      <c r="J1713" s="124">
        <f t="shared" si="317"/>
        <v>12</v>
      </c>
      <c r="K1713" s="462">
        <f t="shared" si="318"/>
        <v>0</v>
      </c>
      <c r="L1713" s="689"/>
      <c r="M1713" s="103"/>
      <c r="N1713" s="1317"/>
      <c r="O1713" s="963"/>
      <c r="P1713" s="106"/>
      <c r="Q1713" s="106"/>
      <c r="R1713" s="1214"/>
      <c r="S1713" s="106"/>
      <c r="T1713" s="106"/>
      <c r="U1713" s="1319"/>
      <c r="V1713" s="3436" t="s">
        <v>30</v>
      </c>
      <c r="W1713" s="2914"/>
      <c r="X1713" s="685"/>
      <c r="Y1713" s="618">
        <v>2304.4699999999998</v>
      </c>
      <c r="Z1713" s="615">
        <v>2304.4699999999998</v>
      </c>
      <c r="AA1713" s="615">
        <v>2304.4699999999998</v>
      </c>
      <c r="AB1713" s="3495">
        <v>2304.4699999999998</v>
      </c>
      <c r="AC1713" s="2912">
        <v>2304.4699999999998</v>
      </c>
      <c r="AD1713" s="615">
        <v>2304.4699999999998</v>
      </c>
      <c r="AE1713" s="2914"/>
      <c r="AF1713" s="2914"/>
      <c r="AG1713" s="2914"/>
      <c r="AH1713" s="344"/>
      <c r="AI1713" s="156"/>
      <c r="AJ1713" s="3640"/>
      <c r="AK1713" s="2915"/>
      <c r="AL1713" s="156"/>
      <c r="AM1713" s="3640"/>
      <c r="AN1713" s="3640"/>
      <c r="AO1713" s="156"/>
      <c r="AP1713" s="156"/>
      <c r="AQ1713" s="156"/>
      <c r="AR1713" s="156"/>
      <c r="AS1713" s="156"/>
      <c r="AT1713" s="156"/>
      <c r="AU1713" s="156"/>
      <c r="AV1713" s="156"/>
      <c r="AW1713" s="156"/>
      <c r="AX1713" s="156"/>
      <c r="AY1713" s="156"/>
      <c r="AZ1713" s="156"/>
      <c r="BA1713" s="156"/>
      <c r="BB1713" s="2905"/>
      <c r="BC1713" s="2349" t="str">
        <f t="shared" si="321"/>
        <v>Heating Res ER2 12 Year EUL</v>
      </c>
      <c r="BD1713" s="2829">
        <f>(INDEX('Avoided Cost Benefits'!$E$4:$E$859,MATCH(BC1713,'Avoided Cost Benefits'!$A$4:$A$859,0)))*F1713</f>
        <v>651.94048490609623</v>
      </c>
      <c r="BE1713" s="858">
        <f t="shared" si="313"/>
        <v>0</v>
      </c>
      <c r="BF1713" s="156"/>
      <c r="BH1713" s="686"/>
    </row>
    <row r="1714" spans="1:60" x14ac:dyDescent="0.35">
      <c r="A1714" s="3493" t="str">
        <f t="shared" si="319"/>
        <v>353610_2021_12_Cooling Res</v>
      </c>
      <c r="B1714" s="2812"/>
      <c r="C1714" s="1037" t="s">
        <v>1322</v>
      </c>
      <c r="D1714" s="1311" t="s">
        <v>320</v>
      </c>
      <c r="E1714" s="3420" t="s">
        <v>1323</v>
      </c>
      <c r="F1714" s="615">
        <f>ROUND(((K2802*K2995*(1/K3188-1/K3381)*K3574)/1000)*$K$3677,2)</f>
        <v>1521.91</v>
      </c>
      <c r="G1714" s="1313" t="s">
        <v>1091</v>
      </c>
      <c r="H1714" s="136">
        <f>VLOOKUP(G1714,'CP FACTORS'!$A$3:$B$38, 2, FALSE)</f>
        <v>9.4741810000000004E-4</v>
      </c>
      <c r="I1714" s="3497">
        <f t="shared" si="320"/>
        <v>1.4418850000000001</v>
      </c>
      <c r="J1714" s="124">
        <f t="shared" si="317"/>
        <v>6</v>
      </c>
      <c r="K1714" s="462">
        <f t="shared" si="318"/>
        <v>2171.3844012161662</v>
      </c>
      <c r="L1714" s="3496">
        <f>L2030</f>
        <v>3.1</v>
      </c>
      <c r="M1714" s="103"/>
      <c r="N1714" s="1317"/>
      <c r="O1714" s="963"/>
      <c r="P1714" s="106"/>
      <c r="Q1714" s="106"/>
      <c r="R1714" s="1214"/>
      <c r="S1714" s="106"/>
      <c r="T1714" s="106"/>
      <c r="U1714" s="1319"/>
      <c r="V1714" s="1590" t="s">
        <v>30</v>
      </c>
      <c r="W1714" s="2914"/>
      <c r="X1714" s="685"/>
      <c r="Y1714" s="618"/>
      <c r="Z1714" s="615"/>
      <c r="AA1714" s="615"/>
      <c r="AB1714" s="3495"/>
      <c r="AC1714" s="618">
        <v>1521.91</v>
      </c>
      <c r="AD1714" s="615">
        <v>1521.91</v>
      </c>
      <c r="AE1714" s="2914"/>
      <c r="AF1714" s="2914"/>
      <c r="AG1714" s="2914"/>
      <c r="AH1714" s="344"/>
      <c r="AI1714" s="156"/>
      <c r="AJ1714" s="3640"/>
      <c r="AK1714" s="2915"/>
      <c r="AL1714" s="156"/>
      <c r="AM1714" s="3640"/>
      <c r="AN1714" s="3640"/>
      <c r="AO1714" s="156"/>
      <c r="AP1714" s="156"/>
      <c r="AQ1714" s="156"/>
      <c r="AR1714" s="156"/>
      <c r="AS1714" s="156"/>
      <c r="AT1714" s="156"/>
      <c r="AU1714" s="156"/>
      <c r="AV1714" s="156"/>
      <c r="AW1714" s="156"/>
      <c r="AX1714" s="156"/>
      <c r="AY1714" s="156"/>
      <c r="AZ1714" s="156"/>
      <c r="BA1714" s="156"/>
      <c r="BB1714" s="2741">
        <f>(BD1714+BD1715+BD1716+BD1717)/(BE1714+BE1715+BE1716+BE1717)</f>
        <v>0.80297272108777473</v>
      </c>
      <c r="BC1714" s="2742" t="str">
        <f t="shared" si="321"/>
        <v>Cooling Res 6 Year EUL</v>
      </c>
      <c r="BD1714" s="1841">
        <f>(INDEX('Avoided Cost Benefits'!$E$4:$E$859,MATCH(BC1714,'Avoided Cost Benefits'!$A$4:$A$859,0)))*F1714</f>
        <v>964.30042265562088</v>
      </c>
      <c r="BE1714" s="2507">
        <f t="shared" si="313"/>
        <v>2049.4425683965701</v>
      </c>
      <c r="BF1714" s="156"/>
      <c r="BH1714" s="686"/>
    </row>
    <row r="1715" spans="1:60" x14ac:dyDescent="0.35">
      <c r="A1715" s="3493" t="str">
        <f t="shared" si="319"/>
        <v>353610_2021_12_Heating Res</v>
      </c>
      <c r="B1715" s="2812"/>
      <c r="C1715" s="1037" t="s">
        <v>1322</v>
      </c>
      <c r="D1715" s="1311" t="s">
        <v>320</v>
      </c>
      <c r="E1715" s="3420" t="s">
        <v>1323</v>
      </c>
      <c r="F1715" s="615">
        <v>0</v>
      </c>
      <c r="G1715" s="1313" t="s">
        <v>1092</v>
      </c>
      <c r="H1715" s="136">
        <f>VLOOKUP(G1715,'CP FACTORS'!$A$3:$B$38, 2, FALSE)</f>
        <v>0</v>
      </c>
      <c r="I1715" s="3497">
        <f t="shared" si="320"/>
        <v>0</v>
      </c>
      <c r="J1715" s="124">
        <f t="shared" si="317"/>
        <v>6</v>
      </c>
      <c r="K1715" s="462">
        <f t="shared" si="318"/>
        <v>0</v>
      </c>
      <c r="L1715" s="3496"/>
      <c r="M1715" s="103"/>
      <c r="N1715" s="1317"/>
      <c r="O1715" s="963"/>
      <c r="P1715" s="106"/>
      <c r="Q1715" s="106"/>
      <c r="R1715" s="1214"/>
      <c r="S1715" s="106"/>
      <c r="T1715" s="106"/>
      <c r="U1715" s="1319"/>
      <c r="V1715" s="1590" t="s">
        <v>30</v>
      </c>
      <c r="W1715" s="2914"/>
      <c r="X1715" s="685"/>
      <c r="Y1715" s="618"/>
      <c r="Z1715" s="615"/>
      <c r="AA1715" s="615"/>
      <c r="AB1715" s="3495"/>
      <c r="AC1715" s="618">
        <v>0</v>
      </c>
      <c r="AD1715" s="615">
        <v>0</v>
      </c>
      <c r="AE1715" s="2914"/>
      <c r="AF1715" s="2914"/>
      <c r="AG1715" s="2914"/>
      <c r="AH1715" s="344"/>
      <c r="AI1715" s="156"/>
      <c r="AJ1715" s="3640"/>
      <c r="AK1715" s="2915"/>
      <c r="AL1715" s="156"/>
      <c r="AM1715" s="3640"/>
      <c r="AN1715" s="3640"/>
      <c r="AO1715" s="156"/>
      <c r="AP1715" s="156"/>
      <c r="AQ1715" s="156"/>
      <c r="AR1715" s="156"/>
      <c r="AS1715" s="156"/>
      <c r="AT1715" s="156"/>
      <c r="AU1715" s="156"/>
      <c r="AV1715" s="156"/>
      <c r="AW1715" s="156"/>
      <c r="AX1715" s="156"/>
      <c r="AY1715" s="156"/>
      <c r="AZ1715" s="156"/>
      <c r="BA1715" s="156"/>
      <c r="BB1715" s="2743"/>
      <c r="BC1715" s="2742" t="str">
        <f t="shared" si="321"/>
        <v>Heating Res 6 Year EUL</v>
      </c>
      <c r="BD1715" s="1841">
        <f>(INDEX('Avoided Cost Benefits'!$E$4:$E$859,MATCH(BC1715,'Avoided Cost Benefits'!$A$4:$A$859,0)))*F1715</f>
        <v>0</v>
      </c>
      <c r="BE1715" s="2507">
        <f t="shared" si="313"/>
        <v>0</v>
      </c>
      <c r="BF1715" s="156"/>
      <c r="BH1715" s="686"/>
    </row>
    <row r="1716" spans="1:60" x14ac:dyDescent="0.35">
      <c r="A1716" s="3493" t="str">
        <f t="shared" si="319"/>
        <v>353610_2021_12_Cooling Res ER2</v>
      </c>
      <c r="B1716" s="2812"/>
      <c r="C1716" s="1037" t="s">
        <v>1322</v>
      </c>
      <c r="D1716" s="1311" t="s">
        <v>320</v>
      </c>
      <c r="E1716" s="3420" t="s">
        <v>1324</v>
      </c>
      <c r="F1716" s="615">
        <f>ROUND(((K2803*K2996*(1/K3189-1/K3382)*K3575)/1000)*$K$3677,2)</f>
        <v>615.75</v>
      </c>
      <c r="G1716" s="1313" t="s">
        <v>1133</v>
      </c>
      <c r="H1716" s="136">
        <f>VLOOKUP(G1716,'CP FACTORS'!$A$3:$B$38, 2, FALSE)</f>
        <v>9.4741810000000004E-4</v>
      </c>
      <c r="I1716" s="3497">
        <f t="shared" si="320"/>
        <v>0.58337300000000003</v>
      </c>
      <c r="J1716" s="124">
        <f t="shared" si="317"/>
        <v>12</v>
      </c>
      <c r="K1716" s="462">
        <f t="shared" si="318"/>
        <v>0</v>
      </c>
      <c r="L1716" s="3496"/>
      <c r="M1716" s="103"/>
      <c r="N1716" s="1317"/>
      <c r="O1716" s="963"/>
      <c r="P1716" s="106"/>
      <c r="Q1716" s="106"/>
      <c r="R1716" s="1214"/>
      <c r="S1716" s="106"/>
      <c r="T1716" s="106"/>
      <c r="U1716" s="1319"/>
      <c r="V1716" s="1590" t="s">
        <v>30</v>
      </c>
      <c r="W1716" s="2914"/>
      <c r="X1716" s="685"/>
      <c r="Y1716" s="618"/>
      <c r="Z1716" s="615"/>
      <c r="AA1716" s="615"/>
      <c r="AB1716" s="3495"/>
      <c r="AC1716" s="618">
        <v>615.75</v>
      </c>
      <c r="AD1716" s="615">
        <v>615.75</v>
      </c>
      <c r="AE1716" s="2914"/>
      <c r="AF1716" s="2914"/>
      <c r="AG1716" s="2914"/>
      <c r="AH1716" s="344"/>
      <c r="AI1716" s="156"/>
      <c r="AJ1716" s="3640"/>
      <c r="AK1716" s="2915"/>
      <c r="AL1716" s="156"/>
      <c r="AM1716" s="3640"/>
      <c r="AN1716" s="3640"/>
      <c r="AO1716" s="156"/>
      <c r="AP1716" s="156"/>
      <c r="AQ1716" s="156"/>
      <c r="AR1716" s="156"/>
      <c r="AS1716" s="156"/>
      <c r="AT1716" s="156"/>
      <c r="AU1716" s="156"/>
      <c r="AV1716" s="156"/>
      <c r="AW1716" s="156"/>
      <c r="AX1716" s="156"/>
      <c r="AY1716" s="156"/>
      <c r="AZ1716" s="156"/>
      <c r="BA1716" s="156"/>
      <c r="BB1716" s="2743"/>
      <c r="BC1716" s="2742" t="str">
        <f t="shared" si="321"/>
        <v>Cooling Res ER2 12 Year EUL</v>
      </c>
      <c r="BD1716" s="1841">
        <f>(INDEX('Avoided Cost Benefits'!$E$4:$E$859,MATCH(BC1716,'Avoided Cost Benefits'!$A$4:$A$859,0)))*F1716</f>
        <v>681.34605320289097</v>
      </c>
      <c r="BE1716" s="2507">
        <f t="shared" si="313"/>
        <v>0</v>
      </c>
      <c r="BF1716" s="156"/>
      <c r="BH1716" s="686"/>
    </row>
    <row r="1717" spans="1:60" x14ac:dyDescent="0.35">
      <c r="A1717" s="3493" t="str">
        <f t="shared" si="319"/>
        <v>353610_2021_12_Heating Res ER2</v>
      </c>
      <c r="B1717" s="2812"/>
      <c r="C1717" s="1037" t="s">
        <v>1322</v>
      </c>
      <c r="D1717" s="1311" t="s">
        <v>320</v>
      </c>
      <c r="E1717" s="3419" t="s">
        <v>1324</v>
      </c>
      <c r="F1717" s="615">
        <v>0</v>
      </c>
      <c r="G1717" s="1313" t="s">
        <v>1150</v>
      </c>
      <c r="H1717" s="136">
        <f>VLOOKUP(G1717,'CP FACTORS'!$A$3:$B$38, 2, FALSE)</f>
        <v>0</v>
      </c>
      <c r="I1717" s="3497">
        <f t="shared" si="320"/>
        <v>0</v>
      </c>
      <c r="J1717" s="124">
        <f t="shared" si="317"/>
        <v>12</v>
      </c>
      <c r="K1717" s="462">
        <f t="shared" si="318"/>
        <v>0</v>
      </c>
      <c r="L1717" s="3496"/>
      <c r="M1717" s="103"/>
      <c r="N1717" s="1317"/>
      <c r="O1717" s="963"/>
      <c r="P1717" s="106"/>
      <c r="Q1717" s="106"/>
      <c r="R1717" s="1214"/>
      <c r="S1717" s="106"/>
      <c r="T1717" s="106"/>
      <c r="U1717" s="1319"/>
      <c r="V1717" s="1590" t="s">
        <v>30</v>
      </c>
      <c r="W1717" s="2914"/>
      <c r="X1717" s="685"/>
      <c r="Y1717" s="618"/>
      <c r="Z1717" s="615"/>
      <c r="AA1717" s="615"/>
      <c r="AB1717" s="3495"/>
      <c r="AC1717" s="618">
        <v>0</v>
      </c>
      <c r="AD1717" s="615">
        <v>0</v>
      </c>
      <c r="AE1717" s="2914"/>
      <c r="AF1717" s="2914"/>
      <c r="AG1717" s="2914"/>
      <c r="AH1717" s="344"/>
      <c r="AI1717" s="156"/>
      <c r="AJ1717" s="3640"/>
      <c r="AK1717" s="2915"/>
      <c r="AL1717" s="156"/>
      <c r="AM1717" s="3640"/>
      <c r="AN1717" s="3640"/>
      <c r="AO1717" s="156"/>
      <c r="AP1717" s="156"/>
      <c r="AQ1717" s="156"/>
      <c r="AR1717" s="156"/>
      <c r="AS1717" s="156"/>
      <c r="AT1717" s="156"/>
      <c r="AU1717" s="156"/>
      <c r="AV1717" s="156"/>
      <c r="AW1717" s="156"/>
      <c r="AX1717" s="156"/>
      <c r="AY1717" s="156"/>
      <c r="AZ1717" s="156"/>
      <c r="BA1717" s="156"/>
      <c r="BB1717" s="2743"/>
      <c r="BC1717" s="2744" t="str">
        <f t="shared" si="321"/>
        <v>Heating Res ER2 12 Year EUL</v>
      </c>
      <c r="BD1717" s="1841">
        <f>(INDEX('Avoided Cost Benefits'!$E$4:$E$859,MATCH(BC1717,'Avoided Cost Benefits'!$A$4:$A$859,0)))*F1717</f>
        <v>0</v>
      </c>
      <c r="BE1717" s="2507">
        <f t="shared" si="313"/>
        <v>0</v>
      </c>
      <c r="BF1717" s="156"/>
      <c r="BH1717" s="686"/>
    </row>
    <row r="1718" spans="1:60" x14ac:dyDescent="0.35">
      <c r="A1718" s="3493" t="str">
        <f t="shared" si="319"/>
        <v>353611_2021_12_Cooling Res</v>
      </c>
      <c r="B1718" s="2812"/>
      <c r="C1718" s="1037" t="s">
        <v>1325</v>
      </c>
      <c r="D1718" s="1311" t="s">
        <v>315</v>
      </c>
      <c r="E1718" s="3420" t="s">
        <v>1326</v>
      </c>
      <c r="F1718" s="615">
        <f>ROUND(((K2804*K2997*(1/K3190-1/K3383)*K3576)/1000)*$K$3677,2)</f>
        <v>1106.8399999999999</v>
      </c>
      <c r="G1718" s="1313" t="s">
        <v>1091</v>
      </c>
      <c r="H1718" s="136">
        <f>VLOOKUP(G1718,'CP FACTORS'!$A$3:$B$38, 2, FALSE)</f>
        <v>9.4741810000000004E-4</v>
      </c>
      <c r="I1718" s="3497">
        <f t="shared" si="320"/>
        <v>1.04864</v>
      </c>
      <c r="J1718" s="124">
        <f t="shared" si="317"/>
        <v>6</v>
      </c>
      <c r="K1718" s="462">
        <f t="shared" si="318"/>
        <v>2171.3844012161662</v>
      </c>
      <c r="L1718" s="3496">
        <f>L2032</f>
        <v>3.1</v>
      </c>
      <c r="M1718" s="103"/>
      <c r="N1718" s="1317"/>
      <c r="O1718" s="963"/>
      <c r="P1718" s="106"/>
      <c r="Q1718" s="106"/>
      <c r="R1718" s="1214"/>
      <c r="S1718" s="106"/>
      <c r="T1718" s="106"/>
      <c r="U1718" s="1319"/>
      <c r="V1718" s="1590" t="s">
        <v>30</v>
      </c>
      <c r="W1718" s="2914"/>
      <c r="X1718" s="685"/>
      <c r="Y1718" s="618"/>
      <c r="Z1718" s="615"/>
      <c r="AA1718" s="615"/>
      <c r="AB1718" s="3495"/>
      <c r="AC1718" s="618">
        <v>1106.8399999999999</v>
      </c>
      <c r="AD1718" s="615">
        <v>1106.8399999999999</v>
      </c>
      <c r="AE1718" s="2914"/>
      <c r="AF1718" s="2914"/>
      <c r="AG1718" s="2914"/>
      <c r="AH1718" s="344"/>
      <c r="AI1718" s="156"/>
      <c r="AJ1718" s="3640"/>
      <c r="AK1718" s="2915"/>
      <c r="AL1718" s="156"/>
      <c r="AM1718" s="3640"/>
      <c r="AN1718" s="3640"/>
      <c r="AO1718" s="156"/>
      <c r="AP1718" s="156"/>
      <c r="AQ1718" s="156"/>
      <c r="AR1718" s="156"/>
      <c r="AS1718" s="156"/>
      <c r="AT1718" s="156"/>
      <c r="AU1718" s="156"/>
      <c r="AV1718" s="156"/>
      <c r="AW1718" s="156"/>
      <c r="AX1718" s="156"/>
      <c r="AY1718" s="156"/>
      <c r="AZ1718" s="156"/>
      <c r="BA1718" s="156"/>
      <c r="BB1718" s="2741">
        <f>(BD1718+BD1719+BD1720+BD1721)/(BE1718+BE1719+BE1720+BE1721)</f>
        <v>0.58398001823026457</v>
      </c>
      <c r="BC1718" s="2742" t="str">
        <f t="shared" si="321"/>
        <v>Cooling Res 6 Year EUL</v>
      </c>
      <c r="BD1718" s="1841">
        <f>(INDEX('Avoided Cost Benefits'!$E$4:$E$859,MATCH(BC1718,'Avoided Cost Benefits'!$A$4:$A$859,0)))*F1718</f>
        <v>701.30709425139946</v>
      </c>
      <c r="BE1718" s="2507">
        <f t="shared" si="313"/>
        <v>2049.4425683965701</v>
      </c>
      <c r="BF1718" s="156"/>
      <c r="BH1718" s="686"/>
    </row>
    <row r="1719" spans="1:60" x14ac:dyDescent="0.35">
      <c r="A1719" s="3493" t="str">
        <f t="shared" si="319"/>
        <v>353611_2021_12_Heating Res</v>
      </c>
      <c r="B1719" s="2812"/>
      <c r="C1719" s="1037" t="s">
        <v>1325</v>
      </c>
      <c r="D1719" s="1311" t="s">
        <v>315</v>
      </c>
      <c r="E1719" s="3420" t="s">
        <v>1326</v>
      </c>
      <c r="F1719" s="615">
        <v>0</v>
      </c>
      <c r="G1719" s="1313" t="s">
        <v>1092</v>
      </c>
      <c r="H1719" s="136">
        <f>VLOOKUP(G1719,'CP FACTORS'!$A$3:$B$38, 2, FALSE)</f>
        <v>0</v>
      </c>
      <c r="I1719" s="3497">
        <f t="shared" si="320"/>
        <v>0</v>
      </c>
      <c r="J1719" s="124">
        <f t="shared" si="317"/>
        <v>6</v>
      </c>
      <c r="K1719" s="462">
        <f t="shared" si="318"/>
        <v>0</v>
      </c>
      <c r="L1719" s="3496"/>
      <c r="M1719" s="103"/>
      <c r="N1719" s="1317"/>
      <c r="O1719" s="963"/>
      <c r="P1719" s="106"/>
      <c r="Q1719" s="106"/>
      <c r="R1719" s="1214"/>
      <c r="S1719" s="106"/>
      <c r="T1719" s="106"/>
      <c r="U1719" s="1319"/>
      <c r="V1719" s="1590" t="s">
        <v>30</v>
      </c>
      <c r="W1719" s="2914"/>
      <c r="X1719" s="685"/>
      <c r="Y1719" s="618"/>
      <c r="Z1719" s="615"/>
      <c r="AA1719" s="615"/>
      <c r="AB1719" s="3495"/>
      <c r="AC1719" s="618">
        <v>0</v>
      </c>
      <c r="AD1719" s="615">
        <v>0</v>
      </c>
      <c r="AE1719" s="2914"/>
      <c r="AF1719" s="2914"/>
      <c r="AG1719" s="2914"/>
      <c r="AH1719" s="344"/>
      <c r="AI1719" s="156"/>
      <c r="AJ1719" s="3640"/>
      <c r="AK1719" s="2915"/>
      <c r="AL1719" s="156"/>
      <c r="AM1719" s="3640"/>
      <c r="AN1719" s="3640"/>
      <c r="AO1719" s="156"/>
      <c r="AP1719" s="156"/>
      <c r="AQ1719" s="156"/>
      <c r="AR1719" s="156"/>
      <c r="AS1719" s="156"/>
      <c r="AT1719" s="156"/>
      <c r="AU1719" s="156"/>
      <c r="AV1719" s="156"/>
      <c r="AW1719" s="156"/>
      <c r="AX1719" s="156"/>
      <c r="AY1719" s="156"/>
      <c r="AZ1719" s="156"/>
      <c r="BA1719" s="156"/>
      <c r="BB1719" s="2743"/>
      <c r="BC1719" s="2742" t="str">
        <f t="shared" si="321"/>
        <v>Heating Res 6 Year EUL</v>
      </c>
      <c r="BD1719" s="1841">
        <f>(INDEX('Avoided Cost Benefits'!$E$4:$E$859,MATCH(BC1719,'Avoided Cost Benefits'!$A$4:$A$859,0)))*F1719</f>
        <v>0</v>
      </c>
      <c r="BE1719" s="2507">
        <f t="shared" si="313"/>
        <v>0</v>
      </c>
      <c r="BF1719" s="156"/>
      <c r="BH1719" s="686"/>
    </row>
    <row r="1720" spans="1:60" x14ac:dyDescent="0.35">
      <c r="A1720" s="3493" t="str">
        <f t="shared" si="319"/>
        <v>353611_2021_12_Cooling Res ER2</v>
      </c>
      <c r="B1720" s="2812"/>
      <c r="C1720" s="1037" t="s">
        <v>1325</v>
      </c>
      <c r="D1720" s="1311" t="s">
        <v>315</v>
      </c>
      <c r="E1720" s="3420" t="s">
        <v>1327</v>
      </c>
      <c r="F1720" s="615">
        <f>ROUND(((K2805*K2998*(1/K3191-1/K3384)*K3577)/1000)*$K$3677,2)</f>
        <v>447.82</v>
      </c>
      <c r="G1720" s="1313" t="s">
        <v>1133</v>
      </c>
      <c r="H1720" s="136">
        <f>VLOOKUP(G1720,'CP FACTORS'!$A$3:$B$38, 2, FALSE)</f>
        <v>9.4741810000000004E-4</v>
      </c>
      <c r="I1720" s="3497">
        <f t="shared" si="320"/>
        <v>0.42427300000000001</v>
      </c>
      <c r="J1720" s="124">
        <f t="shared" si="317"/>
        <v>12</v>
      </c>
      <c r="K1720" s="462">
        <f t="shared" si="318"/>
        <v>0</v>
      </c>
      <c r="L1720" s="3496"/>
      <c r="M1720" s="103"/>
      <c r="N1720" s="1317"/>
      <c r="O1720" s="963"/>
      <c r="P1720" s="106"/>
      <c r="Q1720" s="106"/>
      <c r="R1720" s="1214"/>
      <c r="S1720" s="106"/>
      <c r="T1720" s="106"/>
      <c r="U1720" s="1319"/>
      <c r="V1720" s="1590" t="s">
        <v>30</v>
      </c>
      <c r="W1720" s="2914"/>
      <c r="X1720" s="685"/>
      <c r="Y1720" s="618"/>
      <c r="Z1720" s="615"/>
      <c r="AA1720" s="615"/>
      <c r="AB1720" s="3495"/>
      <c r="AC1720" s="618">
        <v>447.82</v>
      </c>
      <c r="AD1720" s="615">
        <v>447.82</v>
      </c>
      <c r="AE1720" s="2914"/>
      <c r="AF1720" s="2914"/>
      <c r="AG1720" s="2914"/>
      <c r="AH1720" s="344"/>
      <c r="AI1720" s="156"/>
      <c r="AJ1720" s="3640"/>
      <c r="AK1720" s="2915"/>
      <c r="AL1720" s="156"/>
      <c r="AM1720" s="3640"/>
      <c r="AN1720" s="3640"/>
      <c r="AO1720" s="156"/>
      <c r="AP1720" s="156"/>
      <c r="AQ1720" s="156"/>
      <c r="AR1720" s="156"/>
      <c r="AS1720" s="156"/>
      <c r="AT1720" s="156"/>
      <c r="AU1720" s="156"/>
      <c r="AV1720" s="156"/>
      <c r="AW1720" s="156"/>
      <c r="AX1720" s="156"/>
      <c r="AY1720" s="156"/>
      <c r="AZ1720" s="156"/>
      <c r="BA1720" s="156"/>
      <c r="BB1720" s="2743"/>
      <c r="BC1720" s="2742" t="str">
        <f t="shared" si="321"/>
        <v>Cooling Res ER2 12 Year EUL</v>
      </c>
      <c r="BD1720" s="1841">
        <f>(INDEX('Avoided Cost Benefits'!$E$4:$E$859,MATCH(BC1720,'Avoided Cost Benefits'!$A$4:$A$859,0)))*F1720</f>
        <v>495.52641420270987</v>
      </c>
      <c r="BE1720" s="2507">
        <f t="shared" si="313"/>
        <v>0</v>
      </c>
      <c r="BF1720" s="156"/>
      <c r="BH1720" s="686"/>
    </row>
    <row r="1721" spans="1:60" x14ac:dyDescent="0.35">
      <c r="A1721" s="3493" t="str">
        <f t="shared" si="319"/>
        <v>353611_2021_12_Heating Res ER2</v>
      </c>
      <c r="B1721" s="2812"/>
      <c r="C1721" s="1037" t="s">
        <v>1325</v>
      </c>
      <c r="D1721" s="1311" t="s">
        <v>315</v>
      </c>
      <c r="E1721" s="3420" t="s">
        <v>1327</v>
      </c>
      <c r="F1721" s="615">
        <f>0</f>
        <v>0</v>
      </c>
      <c r="G1721" s="1313" t="s">
        <v>1150</v>
      </c>
      <c r="H1721" s="136">
        <f>VLOOKUP(G1721,'CP FACTORS'!$A$3:$B$38, 2, FALSE)</f>
        <v>0</v>
      </c>
      <c r="I1721" s="3497">
        <f t="shared" si="320"/>
        <v>0</v>
      </c>
      <c r="J1721" s="124">
        <f t="shared" si="317"/>
        <v>12</v>
      </c>
      <c r="K1721" s="462">
        <f t="shared" si="318"/>
        <v>0</v>
      </c>
      <c r="L1721" s="3496"/>
      <c r="M1721" s="103"/>
      <c r="N1721" s="1317"/>
      <c r="O1721" s="963"/>
      <c r="P1721" s="106"/>
      <c r="Q1721" s="106"/>
      <c r="R1721" s="1214"/>
      <c r="S1721" s="106"/>
      <c r="T1721" s="106"/>
      <c r="U1721" s="1319"/>
      <c r="V1721" s="1590" t="s">
        <v>30</v>
      </c>
      <c r="W1721" s="2914"/>
      <c r="X1721" s="685"/>
      <c r="Y1721" s="618"/>
      <c r="Z1721" s="615"/>
      <c r="AA1721" s="615"/>
      <c r="AB1721" s="3495"/>
      <c r="AC1721" s="618">
        <v>0</v>
      </c>
      <c r="AD1721" s="615">
        <v>0</v>
      </c>
      <c r="AE1721" s="2914"/>
      <c r="AF1721" s="2914"/>
      <c r="AG1721" s="2914"/>
      <c r="AH1721" s="344"/>
      <c r="AI1721" s="156"/>
      <c r="AJ1721" s="3640"/>
      <c r="AK1721" s="2915"/>
      <c r="AL1721" s="156"/>
      <c r="AM1721" s="3640"/>
      <c r="AN1721" s="3640"/>
      <c r="AO1721" s="156"/>
      <c r="AP1721" s="156"/>
      <c r="AQ1721" s="156"/>
      <c r="AR1721" s="156"/>
      <c r="AS1721" s="156"/>
      <c r="AT1721" s="156"/>
      <c r="AU1721" s="156"/>
      <c r="AV1721" s="156"/>
      <c r="AW1721" s="156"/>
      <c r="AX1721" s="156"/>
      <c r="AY1721" s="156"/>
      <c r="AZ1721" s="156"/>
      <c r="BA1721" s="156"/>
      <c r="BB1721" s="2743"/>
      <c r="BC1721" s="2742" t="str">
        <f t="shared" si="321"/>
        <v>Heating Res ER2 12 Year EUL</v>
      </c>
      <c r="BD1721" s="1841">
        <f>(INDEX('Avoided Cost Benefits'!$E$4:$E$859,MATCH(BC1721,'Avoided Cost Benefits'!$A$4:$A$859,0)))*F1721</f>
        <v>0</v>
      </c>
      <c r="BE1721" s="2507">
        <f t="shared" si="313"/>
        <v>0</v>
      </c>
      <c r="BF1721" s="156"/>
      <c r="BH1721" s="686"/>
    </row>
    <row r="1722" spans="1:60" x14ac:dyDescent="0.35">
      <c r="A1722" s="3493" t="str">
        <f t="shared" si="319"/>
        <v>353650_2021_12_Cooling Res</v>
      </c>
      <c r="B1722" s="2812"/>
      <c r="C1722" s="1037" t="s">
        <v>1329</v>
      </c>
      <c r="D1722" s="1311" t="s">
        <v>318</v>
      </c>
      <c r="E1722" s="590" t="s">
        <v>1330</v>
      </c>
      <c r="F1722" s="618">
        <f>ROUND(((K2806*K2999*(1/K3192-1/K3385)*K3578)/1000)*$K$3677,2)</f>
        <v>1127.3</v>
      </c>
      <c r="G1722" s="2810" t="s">
        <v>1091</v>
      </c>
      <c r="H1722" s="2720">
        <f>VLOOKUP(G1722,'CP FACTORS'!$A$3:$B$38, 2, FALSE)</f>
        <v>9.4741810000000004E-4</v>
      </c>
      <c r="I1722" s="2995">
        <f t="shared" si="320"/>
        <v>1.0680240000000001</v>
      </c>
      <c r="J1722" s="124">
        <f t="shared" si="317"/>
        <v>18</v>
      </c>
      <c r="K1722" s="462">
        <f t="shared" si="318"/>
        <v>1689.9245999999991</v>
      </c>
      <c r="L1722" s="3496">
        <f>L2034</f>
        <v>3.4699494950520831</v>
      </c>
      <c r="M1722" s="103"/>
      <c r="N1722" s="1317"/>
      <c r="O1722" s="963"/>
      <c r="P1722" s="106"/>
      <c r="Q1722" s="106"/>
      <c r="R1722" s="1214"/>
      <c r="S1722" s="106"/>
      <c r="T1722" s="106"/>
      <c r="U1722" s="1319"/>
      <c r="V1722" s="3436" t="s">
        <v>30</v>
      </c>
      <c r="W1722" s="2914">
        <v>977.86373626373654</v>
      </c>
      <c r="X1722" s="688">
        <v>977.86373626373654</v>
      </c>
      <c r="Y1722" s="615">
        <v>977.86</v>
      </c>
      <c r="Z1722" s="615">
        <v>977.86</v>
      </c>
      <c r="AA1722" s="615">
        <v>977.86</v>
      </c>
      <c r="AB1722" s="3495">
        <v>977.86</v>
      </c>
      <c r="AC1722" s="618">
        <v>1109.96</v>
      </c>
      <c r="AD1722" s="618">
        <v>1127.3</v>
      </c>
      <c r="AE1722" s="2914"/>
      <c r="AF1722" s="2914"/>
      <c r="AG1722" s="2914"/>
      <c r="AH1722" s="344"/>
      <c r="AI1722" s="156"/>
      <c r="AJ1722" s="3640"/>
      <c r="AK1722" s="2915"/>
      <c r="AL1722" s="156"/>
      <c r="AM1722" s="3640"/>
      <c r="AN1722" s="3640"/>
      <c r="AO1722" s="156"/>
      <c r="AP1722" s="156"/>
      <c r="AQ1722" s="156"/>
      <c r="AR1722" s="156"/>
      <c r="AS1722" s="156"/>
      <c r="AT1722" s="156"/>
      <c r="AU1722" s="156"/>
      <c r="AV1722" s="156"/>
      <c r="AW1722" s="156"/>
      <c r="AX1722" s="156"/>
      <c r="AY1722" s="156"/>
      <c r="AZ1722" s="156"/>
      <c r="BA1722" s="156"/>
      <c r="BB1722" s="2833">
        <f>(BD1722+BD1723)/(BE1722+BE1723)</f>
        <v>4.7531459697227643</v>
      </c>
      <c r="BC1722" s="590" t="str">
        <f t="shared" si="321"/>
        <v>Cooling Res 18 Year EUL</v>
      </c>
      <c r="BD1722" s="2829">
        <f>(INDEX('Avoided Cost Benefits'!$E$4:$E$859,MATCH(BC1722,'Avoided Cost Benefits'!$A$4:$A$859,0)))*F1722</f>
        <v>1961.6624411485554</v>
      </c>
      <c r="BE1722" s="858">
        <f t="shared" si="313"/>
        <v>1595.0208588957046</v>
      </c>
      <c r="BF1722" s="156"/>
      <c r="BH1722" s="686"/>
    </row>
    <row r="1723" spans="1:60" x14ac:dyDescent="0.35">
      <c r="A1723" s="3493" t="str">
        <f t="shared" si="319"/>
        <v>353650_2021_12_Heating Res</v>
      </c>
      <c r="B1723" s="2812"/>
      <c r="C1723" s="1037" t="s">
        <v>1329</v>
      </c>
      <c r="D1723" s="1311" t="s">
        <v>318</v>
      </c>
      <c r="E1723" s="687" t="s">
        <v>1330</v>
      </c>
      <c r="F1723" s="618">
        <f>ROUND(((K2034*K2227*(1/K2420-1/K2613)*K3578)/1000)*$K$3677,2)</f>
        <v>12604.65</v>
      </c>
      <c r="G1723" s="2810" t="s">
        <v>1092</v>
      </c>
      <c r="H1723" s="2720">
        <f>VLOOKUP(G1723,'CP FACTORS'!$A$3:$B$38, 2, FALSE)</f>
        <v>0</v>
      </c>
      <c r="I1723" s="2995">
        <f t="shared" si="320"/>
        <v>0</v>
      </c>
      <c r="J1723" s="124">
        <f t="shared" si="317"/>
        <v>18</v>
      </c>
      <c r="K1723" s="462">
        <f t="shared" si="318"/>
        <v>0</v>
      </c>
      <c r="L1723" s="3496"/>
      <c r="M1723" s="103"/>
      <c r="N1723" s="1317"/>
      <c r="O1723" s="963"/>
      <c r="P1723" s="106"/>
      <c r="Q1723" s="106"/>
      <c r="R1723" s="1214"/>
      <c r="S1723" s="106"/>
      <c r="T1723" s="106"/>
      <c r="U1723" s="1319"/>
      <c r="V1723" s="3436" t="s">
        <v>30</v>
      </c>
      <c r="W1723" s="2914">
        <v>14670.188469329136</v>
      </c>
      <c r="X1723" s="685">
        <v>10924.142334552707</v>
      </c>
      <c r="Y1723" s="615">
        <v>10924.14</v>
      </c>
      <c r="Z1723" s="615">
        <v>10924.14</v>
      </c>
      <c r="AA1723" s="615">
        <v>10924.14</v>
      </c>
      <c r="AB1723" s="3495">
        <v>10924.14</v>
      </c>
      <c r="AC1723" s="618">
        <v>12441.81</v>
      </c>
      <c r="AD1723" s="618">
        <v>12604.65</v>
      </c>
      <c r="AE1723" s="2914"/>
      <c r="AF1723" s="2914"/>
      <c r="AG1723" s="2914"/>
      <c r="AH1723" s="344"/>
      <c r="AI1723" s="156"/>
      <c r="AJ1723" s="3640"/>
      <c r="AK1723" s="2915"/>
      <c r="AL1723" s="156"/>
      <c r="AM1723" s="3640"/>
      <c r="AN1723" s="3640"/>
      <c r="AO1723" s="156"/>
      <c r="AP1723" s="156"/>
      <c r="AQ1723" s="156"/>
      <c r="AR1723" s="156"/>
      <c r="AS1723" s="156"/>
      <c r="AT1723" s="156"/>
      <c r="AU1723" s="156"/>
      <c r="AV1723" s="156"/>
      <c r="AW1723" s="156"/>
      <c r="AX1723" s="156"/>
      <c r="AY1723" s="156"/>
      <c r="AZ1723" s="156"/>
      <c r="BA1723" s="156"/>
      <c r="BB1723" s="2835"/>
      <c r="BC1723" s="687" t="str">
        <f t="shared" si="321"/>
        <v>Heating Res 18 Year EUL</v>
      </c>
      <c r="BD1723" s="2829">
        <f>(INDEX('Avoided Cost Benefits'!$E$4:$E$859,MATCH(BC1723,'Avoided Cost Benefits'!$A$4:$A$859,0)))*F1723</f>
        <v>5619.7045259353044</v>
      </c>
      <c r="BE1723" s="858">
        <f t="shared" si="313"/>
        <v>0</v>
      </c>
      <c r="BF1723" s="156"/>
      <c r="BH1723" s="686"/>
    </row>
    <row r="1724" spans="1:60" s="3398" customFormat="1" x14ac:dyDescent="0.35">
      <c r="A1724" s="3493" t="str">
        <f t="shared" si="319"/>
        <v>353660_2022_12_Cooling Res</v>
      </c>
      <c r="B1724" s="2812"/>
      <c r="C1724" s="2753" t="s">
        <v>4484</v>
      </c>
      <c r="D1724" s="2998" t="s">
        <v>318</v>
      </c>
      <c r="E1724" s="3498" t="s">
        <v>4485</v>
      </c>
      <c r="F1724" s="618">
        <f>ROUND(((K2807*K3000*(1/K3193-1/K3386)*K3579)/1000)*$K$3677,2)</f>
        <v>1127.3</v>
      </c>
      <c r="G1724" s="2810" t="s">
        <v>1091</v>
      </c>
      <c r="H1724" s="2720">
        <f>VLOOKUP(G1724,'CP FACTORS'!$A$3:$B$38, 2, FALSE)</f>
        <v>9.4741810000000004E-4</v>
      </c>
      <c r="I1724" s="2995">
        <f t="shared" ref="I1724:I1725" si="322">ROUND(F1724*H1724,6)</f>
        <v>1.0680240000000001</v>
      </c>
      <c r="J1724" s="464">
        <f t="shared" ref="J1724:J1726" si="323">K3868</f>
        <v>18</v>
      </c>
      <c r="K1724" s="465">
        <f t="shared" ref="K1724:K1725" si="324">K4254</f>
        <v>1689.9245999999991</v>
      </c>
      <c r="L1724" s="3496">
        <f>L2035</f>
        <v>3.4699494950520831</v>
      </c>
      <c r="M1724" s="3403"/>
      <c r="N1724" s="1317"/>
      <c r="O1724" s="963"/>
      <c r="R1724" s="1214"/>
      <c r="U1724" s="1319"/>
      <c r="V1724" s="1590" t="s">
        <v>30</v>
      </c>
      <c r="W1724" s="2914"/>
      <c r="X1724" s="685"/>
      <c r="Y1724" s="618"/>
      <c r="Z1724" s="615"/>
      <c r="AA1724" s="615"/>
      <c r="AB1724" s="3494"/>
      <c r="AC1724" s="618"/>
      <c r="AD1724" s="618">
        <v>1127.3</v>
      </c>
      <c r="AE1724" s="2914"/>
      <c r="AF1724" s="2914"/>
      <c r="AG1724" s="2914"/>
      <c r="AH1724" s="344"/>
      <c r="AI1724" s="156"/>
      <c r="AJ1724" s="3640"/>
      <c r="AK1724" s="2915"/>
      <c r="AL1724" s="156"/>
      <c r="AM1724" s="3640"/>
      <c r="AN1724" s="3640"/>
      <c r="AO1724" s="156"/>
      <c r="AP1724" s="156"/>
      <c r="AQ1724" s="156"/>
      <c r="AR1724" s="156"/>
      <c r="AS1724" s="156"/>
      <c r="AT1724" s="156"/>
      <c r="AU1724" s="156"/>
      <c r="AV1724" s="156"/>
      <c r="AW1724" s="156"/>
      <c r="AX1724" s="156"/>
      <c r="AY1724" s="156"/>
      <c r="AZ1724" s="156"/>
      <c r="BA1724" s="156"/>
      <c r="BB1724" s="2741">
        <f>(BD1724+BD1725)/(BE1724+BE1725)</f>
        <v>1.2298663244483783</v>
      </c>
      <c r="BC1724" s="3498" t="str">
        <f t="shared" ref="BC1724:BC1725" si="325">CONCATENATE(G1724," ",J1724," Year EUL")</f>
        <v>Cooling Res 18 Year EUL</v>
      </c>
      <c r="BD1724" s="1841">
        <f>(INDEX('Avoided Cost Benefits'!$E$4:$E$859,MATCH(BC1724,'Avoided Cost Benefits'!$A$4:$A$859,0)))*F1724</f>
        <v>1961.6624411485554</v>
      </c>
      <c r="BE1724" s="2507">
        <f t="shared" ref="BE1724:BE1725" si="326">K1724/(1.0595^(2020-2019))</f>
        <v>1595.0208588957046</v>
      </c>
      <c r="BF1724" s="156"/>
      <c r="BH1724" s="686"/>
    </row>
    <row r="1725" spans="1:60" s="3398" customFormat="1" x14ac:dyDescent="0.35">
      <c r="A1725" s="3493" t="str">
        <f t="shared" si="319"/>
        <v>353660_2022_12_Heating Res</v>
      </c>
      <c r="B1725" s="2812"/>
      <c r="C1725" s="2753" t="s">
        <v>4484</v>
      </c>
      <c r="D1725" s="2998" t="s">
        <v>318</v>
      </c>
      <c r="E1725" s="3393" t="s">
        <v>4485</v>
      </c>
      <c r="F1725" s="618">
        <f>0</f>
        <v>0</v>
      </c>
      <c r="G1725" s="2810" t="s">
        <v>1092</v>
      </c>
      <c r="H1725" s="2720">
        <f>VLOOKUP(G1725,'CP FACTORS'!$A$3:$B$38, 2, FALSE)</f>
        <v>0</v>
      </c>
      <c r="I1725" s="2995">
        <f t="shared" si="322"/>
        <v>0</v>
      </c>
      <c r="J1725" s="464">
        <f t="shared" si="323"/>
        <v>18</v>
      </c>
      <c r="K1725" s="465">
        <f t="shared" si="324"/>
        <v>0</v>
      </c>
      <c r="L1725" s="3496"/>
      <c r="M1725" s="103"/>
      <c r="N1725" s="1317"/>
      <c r="O1725" s="963"/>
      <c r="R1725" s="1214"/>
      <c r="U1725" s="1319"/>
      <c r="V1725" s="1590" t="s">
        <v>30</v>
      </c>
      <c r="W1725" s="2914"/>
      <c r="X1725" s="685"/>
      <c r="Y1725" s="618"/>
      <c r="Z1725" s="615"/>
      <c r="AA1725" s="615"/>
      <c r="AB1725" s="3494"/>
      <c r="AC1725" s="618"/>
      <c r="AD1725" s="618">
        <v>0</v>
      </c>
      <c r="AE1725" s="2914"/>
      <c r="AF1725" s="2914"/>
      <c r="AG1725" s="2914"/>
      <c r="AH1725" s="344"/>
      <c r="AI1725" s="156"/>
      <c r="AJ1725" s="3640"/>
      <c r="AK1725" s="2915"/>
      <c r="AL1725" s="156"/>
      <c r="AM1725" s="3640"/>
      <c r="AN1725" s="3640"/>
      <c r="AO1725" s="156"/>
      <c r="AP1725" s="156"/>
      <c r="AQ1725" s="156"/>
      <c r="AR1725" s="156"/>
      <c r="AS1725" s="156"/>
      <c r="AT1725" s="156"/>
      <c r="AU1725" s="156"/>
      <c r="AV1725" s="156"/>
      <c r="AW1725" s="156"/>
      <c r="AX1725" s="156"/>
      <c r="AY1725" s="156"/>
      <c r="AZ1725" s="156"/>
      <c r="BA1725" s="156"/>
      <c r="BB1725" s="2745"/>
      <c r="BC1725" s="3393" t="str">
        <f t="shared" si="325"/>
        <v>Heating Res 18 Year EUL</v>
      </c>
      <c r="BD1725" s="1841">
        <f>(INDEX('Avoided Cost Benefits'!$E$4:$E$859,MATCH(BC1725,'Avoided Cost Benefits'!$A$4:$A$859,0)))*F1725</f>
        <v>0</v>
      </c>
      <c r="BE1725" s="2507">
        <f t="shared" si="326"/>
        <v>0</v>
      </c>
      <c r="BF1725" s="156"/>
      <c r="BH1725" s="686"/>
    </row>
    <row r="1726" spans="1:60" x14ac:dyDescent="0.35">
      <c r="A1726" s="3493" t="str">
        <f t="shared" ref="A1726:A1763" si="327">C1726&amp;G1726</f>
        <v>353700_2019_12_Cooling Res</v>
      </c>
      <c r="B1726" s="2812"/>
      <c r="C1726" s="1037" t="s">
        <v>1331</v>
      </c>
      <c r="D1726" s="1311" t="s">
        <v>320</v>
      </c>
      <c r="E1726" s="590" t="s">
        <v>1332</v>
      </c>
      <c r="F1726" s="615">
        <f>ROUND(((K2808*K3001*(1/K3194-1/K3387)*K3580)/1000)*$K$3677,2)</f>
        <v>635.61</v>
      </c>
      <c r="G1726" s="1313" t="s">
        <v>1091</v>
      </c>
      <c r="H1726" s="136">
        <f>VLOOKUP(G1726,'CP FACTORS'!$A$3:$B$38, 2, FALSE)</f>
        <v>9.4741810000000004E-4</v>
      </c>
      <c r="I1726" s="3497">
        <f t="shared" si="320"/>
        <v>0.60218799999999995</v>
      </c>
      <c r="J1726" s="124">
        <f t="shared" si="323"/>
        <v>18</v>
      </c>
      <c r="K1726" s="462">
        <f t="shared" ref="K1726:K1738" si="328">K4256</f>
        <v>1689.9245999999991</v>
      </c>
      <c r="L1726" s="689">
        <f>L2036</f>
        <v>3.2</v>
      </c>
      <c r="M1726" s="103"/>
      <c r="N1726" s="1317"/>
      <c r="O1726" s="963"/>
      <c r="P1726" s="106"/>
      <c r="Q1726" s="106"/>
      <c r="R1726" s="1214"/>
      <c r="S1726" s="106"/>
      <c r="T1726" s="106"/>
      <c r="U1726" s="1319"/>
      <c r="V1726" s="3436" t="s">
        <v>30</v>
      </c>
      <c r="W1726" s="2914">
        <v>635.61142857142875</v>
      </c>
      <c r="X1726" s="688">
        <v>635.61142857142875</v>
      </c>
      <c r="Y1726" s="615">
        <v>635.61</v>
      </c>
      <c r="Z1726" s="615">
        <v>635.61</v>
      </c>
      <c r="AA1726" s="615">
        <v>635.61</v>
      </c>
      <c r="AB1726" s="3495">
        <v>635.61</v>
      </c>
      <c r="AC1726" s="2912">
        <v>635.61</v>
      </c>
      <c r="AD1726" s="615">
        <v>635.61</v>
      </c>
      <c r="AE1726" s="2914"/>
      <c r="AF1726" s="2914"/>
      <c r="AG1726" s="2914"/>
      <c r="AH1726" s="344"/>
      <c r="AI1726" s="156"/>
      <c r="AJ1726" s="3640"/>
      <c r="AK1726" s="2915"/>
      <c r="AL1726" s="156"/>
      <c r="AM1726" s="3640"/>
      <c r="AN1726" s="3640"/>
      <c r="AO1726" s="156"/>
      <c r="AP1726" s="156"/>
      <c r="AQ1726" s="156"/>
      <c r="AR1726" s="156"/>
      <c r="AS1726" s="156"/>
      <c r="AT1726" s="156"/>
      <c r="AU1726" s="156"/>
      <c r="AV1726" s="156"/>
      <c r="AW1726" s="156"/>
      <c r="AX1726" s="156"/>
      <c r="AY1726" s="156"/>
      <c r="AZ1726" s="156"/>
      <c r="BA1726" s="156"/>
      <c r="BB1726" s="2833">
        <f>(BD1726+BD1727)/(BE1726+BE1727)</f>
        <v>2.6782409479277414</v>
      </c>
      <c r="BC1726" s="590" t="str">
        <f t="shared" si="321"/>
        <v>Cooling Res 18 Year EUL</v>
      </c>
      <c r="BD1726" s="2829">
        <f>(INDEX('Avoided Cost Benefits'!$E$4:$E$859,MATCH(BC1726,'Avoided Cost Benefits'!$A$4:$A$859,0)))*F1726</f>
        <v>1106.0518621648482</v>
      </c>
      <c r="BE1726" s="858">
        <f t="shared" si="313"/>
        <v>1595.0208588957046</v>
      </c>
      <c r="BF1726" s="156"/>
      <c r="BH1726" s="686"/>
    </row>
    <row r="1727" spans="1:60" x14ac:dyDescent="0.35">
      <c r="A1727" s="3493" t="str">
        <f t="shared" si="327"/>
        <v>353700_2019_12_Heating Res</v>
      </c>
      <c r="B1727" s="2812"/>
      <c r="C1727" s="1037" t="s">
        <v>1331</v>
      </c>
      <c r="D1727" s="1311" t="s">
        <v>320</v>
      </c>
      <c r="E1727" s="687" t="s">
        <v>1332</v>
      </c>
      <c r="F1727" s="615">
        <f>ROUND(((K2036*K2229*(1/K2422-1/K2615)*K3580)/1000)*$K$3677,2)</f>
        <v>7100.69</v>
      </c>
      <c r="G1727" s="1313" t="s">
        <v>1092</v>
      </c>
      <c r="H1727" s="136">
        <f>VLOOKUP(G1727,'CP FACTORS'!$A$3:$B$38, 2, FALSE)</f>
        <v>0</v>
      </c>
      <c r="I1727" s="3497">
        <f t="shared" si="320"/>
        <v>0</v>
      </c>
      <c r="J1727" s="124">
        <f t="shared" ref="J1727:J1738" si="329">K3871</f>
        <v>18</v>
      </c>
      <c r="K1727" s="462">
        <f t="shared" si="328"/>
        <v>0</v>
      </c>
      <c r="L1727" s="689"/>
      <c r="M1727" s="103"/>
      <c r="N1727" s="1317"/>
      <c r="O1727" s="963"/>
      <c r="P1727" s="106"/>
      <c r="Q1727" s="106"/>
      <c r="R1727" s="1214"/>
      <c r="S1727" s="106"/>
      <c r="T1727" s="106"/>
      <c r="U1727" s="1319"/>
      <c r="V1727" s="3436" t="s">
        <v>30</v>
      </c>
      <c r="W1727" s="2914">
        <v>9535.6225050639387</v>
      </c>
      <c r="X1727" s="685">
        <v>7100.6925174592607</v>
      </c>
      <c r="Y1727" s="615">
        <v>7100.69</v>
      </c>
      <c r="Z1727" s="615">
        <v>7100.69</v>
      </c>
      <c r="AA1727" s="615">
        <v>7100.69</v>
      </c>
      <c r="AB1727" s="3495">
        <v>7100.69</v>
      </c>
      <c r="AC1727" s="2912">
        <v>7100.69</v>
      </c>
      <c r="AD1727" s="615">
        <v>7100.69</v>
      </c>
      <c r="AE1727" s="2914"/>
      <c r="AF1727" s="2914"/>
      <c r="AG1727" s="2914"/>
      <c r="AH1727" s="344"/>
      <c r="AI1727" s="156"/>
      <c r="AJ1727" s="3640"/>
      <c r="AK1727" s="2915"/>
      <c r="AL1727" s="156"/>
      <c r="AM1727" s="3640"/>
      <c r="AN1727" s="3640"/>
      <c r="AO1727" s="156"/>
      <c r="AP1727" s="156"/>
      <c r="AQ1727" s="156"/>
      <c r="AR1727" s="156"/>
      <c r="AS1727" s="156"/>
      <c r="AT1727" s="156"/>
      <c r="AU1727" s="156"/>
      <c r="AV1727" s="156"/>
      <c r="AW1727" s="156"/>
      <c r="AX1727" s="156"/>
      <c r="AY1727" s="156"/>
      <c r="AZ1727" s="156"/>
      <c r="BA1727" s="156"/>
      <c r="BB1727" s="2835"/>
      <c r="BC1727" s="687" t="str">
        <f t="shared" si="321"/>
        <v>Heating Res 18 Year EUL</v>
      </c>
      <c r="BD1727" s="2829">
        <f>(INDEX('Avoided Cost Benefits'!$E$4:$E$859,MATCH(BC1727,'Avoided Cost Benefits'!$A$4:$A$859,0)))*F1727</f>
        <v>3165.7983149285033</v>
      </c>
      <c r="BE1727" s="858">
        <f t="shared" si="313"/>
        <v>0</v>
      </c>
      <c r="BF1727" s="156"/>
      <c r="BH1727" s="686"/>
    </row>
    <row r="1728" spans="1:60" x14ac:dyDescent="0.35">
      <c r="A1728" s="3493" t="str">
        <f t="shared" si="327"/>
        <v>353701_2019_12_Cooling Res</v>
      </c>
      <c r="B1728" s="2812"/>
      <c r="C1728" s="1037" t="s">
        <v>1333</v>
      </c>
      <c r="D1728" s="1311" t="s">
        <v>315</v>
      </c>
      <c r="E1728" s="3418" t="s">
        <v>1334</v>
      </c>
      <c r="F1728" s="615">
        <f>ROUND(((K2809*K3002*(1/K3195-1/K3388)*K3581)/1000)*$K$3677,2)</f>
        <v>462.26</v>
      </c>
      <c r="G1728" s="1313" t="s">
        <v>1091</v>
      </c>
      <c r="H1728" s="136">
        <f>VLOOKUP(G1728,'CP FACTORS'!$A$3:$B$38, 2, FALSE)</f>
        <v>9.4741810000000004E-4</v>
      </c>
      <c r="I1728" s="3497">
        <f t="shared" si="320"/>
        <v>0.43795299999999998</v>
      </c>
      <c r="J1728" s="124">
        <f t="shared" si="329"/>
        <v>18</v>
      </c>
      <c r="K1728" s="462">
        <f t="shared" si="328"/>
        <v>1689.9245999999991</v>
      </c>
      <c r="L1728" s="689">
        <f>L2037</f>
        <v>3.2</v>
      </c>
      <c r="M1728" s="103"/>
      <c r="N1728" s="1317"/>
      <c r="O1728" s="963"/>
      <c r="P1728" s="106"/>
      <c r="Q1728" s="106"/>
      <c r="R1728" s="1214"/>
      <c r="S1728" s="106"/>
      <c r="T1728" s="106"/>
      <c r="U1728" s="1319"/>
      <c r="V1728" s="3436" t="s">
        <v>30</v>
      </c>
      <c r="W1728" s="2914"/>
      <c r="X1728" s="685"/>
      <c r="Y1728" s="618">
        <v>462.26</v>
      </c>
      <c r="Z1728" s="615">
        <v>462.26</v>
      </c>
      <c r="AA1728" s="615">
        <v>462.26</v>
      </c>
      <c r="AB1728" s="3495">
        <v>462.26</v>
      </c>
      <c r="AC1728" s="2912">
        <v>462.26</v>
      </c>
      <c r="AD1728" s="615">
        <v>462.26</v>
      </c>
      <c r="AE1728" s="2914"/>
      <c r="AF1728" s="2914"/>
      <c r="AG1728" s="2914"/>
      <c r="AH1728" s="344"/>
      <c r="AI1728" s="156"/>
      <c r="AJ1728" s="3640"/>
      <c r="AK1728" s="2915"/>
      <c r="AL1728" s="156"/>
      <c r="AM1728" s="3640"/>
      <c r="AN1728" s="3640"/>
      <c r="AO1728" s="156"/>
      <c r="AP1728" s="156"/>
      <c r="AQ1728" s="156"/>
      <c r="AR1728" s="156"/>
      <c r="AS1728" s="156"/>
      <c r="AT1728" s="156"/>
      <c r="AU1728" s="156"/>
      <c r="AV1728" s="156"/>
      <c r="AW1728" s="156"/>
      <c r="AX1728" s="156"/>
      <c r="AY1728" s="156"/>
      <c r="AZ1728" s="156"/>
      <c r="BA1728" s="156"/>
      <c r="BB1728" s="2833">
        <f>(BD1728+BD1729)/(BE1728+BE1729)</f>
        <v>1.1809549115129645</v>
      </c>
      <c r="BC1728" s="590" t="str">
        <f t="shared" si="321"/>
        <v>Cooling Res 18 Year EUL</v>
      </c>
      <c r="BD1728" s="2829">
        <f>(INDEX('Avoided Cost Benefits'!$E$4:$E$859,MATCH(BC1728,'Avoided Cost Benefits'!$A$4:$A$859,0)))*F1728</f>
        <v>804.39819040657437</v>
      </c>
      <c r="BE1728" s="858">
        <f t="shared" si="313"/>
        <v>1595.0208588957046</v>
      </c>
      <c r="BF1728" s="156"/>
      <c r="BH1728" s="686"/>
    </row>
    <row r="1729" spans="1:60" x14ac:dyDescent="0.35">
      <c r="A1729" s="3493" t="str">
        <f t="shared" si="327"/>
        <v>353701_2019_12_Heating Res</v>
      </c>
      <c r="B1729" s="2812"/>
      <c r="C1729" s="1037" t="s">
        <v>1333</v>
      </c>
      <c r="D1729" s="1311" t="s">
        <v>315</v>
      </c>
      <c r="E1729" s="3419" t="s">
        <v>1334</v>
      </c>
      <c r="F1729" s="615">
        <f>ROUND(((K2037*K2230*(1/K2423-1/K2616)*K3581)/1000)*$K$3677,2)</f>
        <v>2420.69</v>
      </c>
      <c r="G1729" s="1313" t="s">
        <v>1092</v>
      </c>
      <c r="H1729" s="136">
        <f>VLOOKUP(G1729,'CP FACTORS'!$A$3:$B$38, 2, FALSE)</f>
        <v>0</v>
      </c>
      <c r="I1729" s="3497">
        <f t="shared" si="320"/>
        <v>0</v>
      </c>
      <c r="J1729" s="124">
        <f t="shared" si="329"/>
        <v>18</v>
      </c>
      <c r="K1729" s="462">
        <f t="shared" si="328"/>
        <v>0</v>
      </c>
      <c r="L1729" s="689"/>
      <c r="M1729" s="103"/>
      <c r="N1729" s="1317"/>
      <c r="O1729" s="963"/>
      <c r="P1729" s="106"/>
      <c r="Q1729" s="106"/>
      <c r="R1729" s="1214"/>
      <c r="S1729" s="106"/>
      <c r="T1729" s="106"/>
      <c r="U1729" s="1319"/>
      <c r="V1729" s="3436" t="s">
        <v>30</v>
      </c>
      <c r="W1729" s="2914"/>
      <c r="X1729" s="685"/>
      <c r="Y1729" s="618">
        <v>2420.69</v>
      </c>
      <c r="Z1729" s="615">
        <v>2420.69</v>
      </c>
      <c r="AA1729" s="615">
        <v>2420.69</v>
      </c>
      <c r="AB1729" s="3495">
        <v>2420.69</v>
      </c>
      <c r="AC1729" s="2912">
        <v>2420.69</v>
      </c>
      <c r="AD1729" s="615">
        <v>2420.69</v>
      </c>
      <c r="AE1729" s="2914"/>
      <c r="AF1729" s="2914"/>
      <c r="AG1729" s="2914"/>
      <c r="AH1729" s="344"/>
      <c r="AI1729" s="156"/>
      <c r="AJ1729" s="3640"/>
      <c r="AK1729" s="2915"/>
      <c r="AL1729" s="156"/>
      <c r="AM1729" s="3640"/>
      <c r="AN1729" s="3640"/>
      <c r="AO1729" s="156"/>
      <c r="AP1729" s="156"/>
      <c r="AQ1729" s="156"/>
      <c r="AR1729" s="156"/>
      <c r="AS1729" s="156"/>
      <c r="AT1729" s="156"/>
      <c r="AU1729" s="156"/>
      <c r="AV1729" s="156"/>
      <c r="AW1729" s="156"/>
      <c r="AX1729" s="156"/>
      <c r="AY1729" s="156"/>
      <c r="AZ1729" s="156"/>
      <c r="BA1729" s="156"/>
      <c r="BB1729" s="2835"/>
      <c r="BC1729" s="687" t="str">
        <f t="shared" si="321"/>
        <v>Heating Res 18 Year EUL</v>
      </c>
      <c r="BD1729" s="2829">
        <f>(INDEX('Avoided Cost Benefits'!$E$4:$E$859,MATCH(BC1729,'Avoided Cost Benefits'!$A$4:$A$859,0)))*F1729</f>
        <v>1079.2495268719349</v>
      </c>
      <c r="BE1729" s="858">
        <f t="shared" si="313"/>
        <v>0</v>
      </c>
      <c r="BF1729" s="156"/>
      <c r="BH1729" s="686"/>
    </row>
    <row r="1730" spans="1:60" x14ac:dyDescent="0.35">
      <c r="A1730" s="3493" t="str">
        <f t="shared" si="327"/>
        <v>353710_2021_12_Cooling Res</v>
      </c>
      <c r="B1730" s="2812"/>
      <c r="C1730" s="1037" t="s">
        <v>1335</v>
      </c>
      <c r="D1730" s="1311" t="s">
        <v>320</v>
      </c>
      <c r="E1730" s="3420" t="s">
        <v>1336</v>
      </c>
      <c r="F1730" s="615">
        <f>ROUND(((K2810*K3003*(1/K3196-1/K3389)*K3582)/1000)*$K$3677,2)</f>
        <v>635.61</v>
      </c>
      <c r="G1730" s="1313" t="s">
        <v>1091</v>
      </c>
      <c r="H1730" s="136">
        <f>VLOOKUP(G1730,'CP FACTORS'!$A$3:$B$38, 2, FALSE)</f>
        <v>9.4741810000000004E-4</v>
      </c>
      <c r="I1730" s="3497">
        <f t="shared" si="320"/>
        <v>0.60218799999999995</v>
      </c>
      <c r="J1730" s="124">
        <f t="shared" si="329"/>
        <v>18</v>
      </c>
      <c r="K1730" s="462">
        <f t="shared" si="328"/>
        <v>1689.9245999999991</v>
      </c>
      <c r="L1730" s="3496">
        <f>L2038</f>
        <v>3.2</v>
      </c>
      <c r="M1730" s="103"/>
      <c r="N1730" s="1317"/>
      <c r="O1730" s="963"/>
      <c r="P1730" s="106"/>
      <c r="Q1730" s="106"/>
      <c r="R1730" s="1214"/>
      <c r="S1730" s="106"/>
      <c r="T1730" s="106"/>
      <c r="U1730" s="1319"/>
      <c r="V1730" s="1590" t="s">
        <v>30</v>
      </c>
      <c r="W1730" s="2914"/>
      <c r="X1730" s="685"/>
      <c r="Y1730" s="618"/>
      <c r="Z1730" s="615"/>
      <c r="AA1730" s="615"/>
      <c r="AB1730" s="3495"/>
      <c r="AC1730" s="618">
        <v>635.61</v>
      </c>
      <c r="AD1730" s="615">
        <v>635.61</v>
      </c>
      <c r="AE1730" s="2914"/>
      <c r="AF1730" s="2914"/>
      <c r="AG1730" s="2914"/>
      <c r="AH1730" s="344"/>
      <c r="AI1730" s="156"/>
      <c r="AJ1730" s="3640"/>
      <c r="AK1730" s="2915"/>
      <c r="AL1730" s="156"/>
      <c r="AM1730" s="3640"/>
      <c r="AN1730" s="3640"/>
      <c r="AO1730" s="156"/>
      <c r="AP1730" s="156"/>
      <c r="AQ1730" s="156"/>
      <c r="AR1730" s="156"/>
      <c r="AS1730" s="156"/>
      <c r="AT1730" s="156"/>
      <c r="AU1730" s="156"/>
      <c r="AV1730" s="156"/>
      <c r="AW1730" s="156"/>
      <c r="AX1730" s="156"/>
      <c r="AY1730" s="156"/>
      <c r="AZ1730" s="156"/>
      <c r="BA1730" s="156"/>
      <c r="BB1730" s="2741">
        <f>(BD1730+BD1731)/(BE1730+BE1731)</f>
        <v>0.6934403747739144</v>
      </c>
      <c r="BC1730" s="3392" t="str">
        <f t="shared" si="321"/>
        <v>Cooling Res 18 Year EUL</v>
      </c>
      <c r="BD1730" s="1841">
        <f>(INDEX('Avoided Cost Benefits'!$E$4:$E$859,MATCH(BC1730,'Avoided Cost Benefits'!$A$4:$A$859,0)))*F1730</f>
        <v>1106.0518621648482</v>
      </c>
      <c r="BE1730" s="2507">
        <f t="shared" si="313"/>
        <v>1595.0208588957046</v>
      </c>
      <c r="BF1730" s="156"/>
      <c r="BH1730" s="686"/>
    </row>
    <row r="1731" spans="1:60" x14ac:dyDescent="0.35">
      <c r="A1731" s="3493" t="str">
        <f t="shared" si="327"/>
        <v>353710_2021_12_Heating Res</v>
      </c>
      <c r="B1731" s="2812"/>
      <c r="C1731" s="1037" t="s">
        <v>1335</v>
      </c>
      <c r="D1731" s="1311" t="s">
        <v>320</v>
      </c>
      <c r="E1731" s="3419" t="s">
        <v>1336</v>
      </c>
      <c r="F1731" s="615">
        <v>0</v>
      </c>
      <c r="G1731" s="1313" t="s">
        <v>1092</v>
      </c>
      <c r="H1731" s="136">
        <f>VLOOKUP(G1731,'CP FACTORS'!$A$3:$B$38, 2, FALSE)</f>
        <v>0</v>
      </c>
      <c r="I1731" s="3497">
        <f t="shared" si="320"/>
        <v>0</v>
      </c>
      <c r="J1731" s="124">
        <f t="shared" si="329"/>
        <v>18</v>
      </c>
      <c r="K1731" s="462">
        <f t="shared" si="328"/>
        <v>0</v>
      </c>
      <c r="L1731" s="3496"/>
      <c r="M1731" s="103"/>
      <c r="N1731" s="1317"/>
      <c r="O1731" s="963"/>
      <c r="P1731" s="106"/>
      <c r="Q1731" s="106"/>
      <c r="R1731" s="1214"/>
      <c r="S1731" s="106"/>
      <c r="T1731" s="106"/>
      <c r="U1731" s="1319"/>
      <c r="V1731" s="1590" t="s">
        <v>30</v>
      </c>
      <c r="W1731" s="2914"/>
      <c r="X1731" s="685"/>
      <c r="Y1731" s="618"/>
      <c r="Z1731" s="615"/>
      <c r="AA1731" s="615"/>
      <c r="AB1731" s="3495"/>
      <c r="AC1731" s="618">
        <v>0</v>
      </c>
      <c r="AD1731" s="615">
        <v>0</v>
      </c>
      <c r="AE1731" s="2914"/>
      <c r="AF1731" s="2914"/>
      <c r="AG1731" s="2914"/>
      <c r="AH1731" s="344"/>
      <c r="AI1731" s="156"/>
      <c r="AJ1731" s="3640"/>
      <c r="AK1731" s="2915"/>
      <c r="AL1731" s="156"/>
      <c r="AM1731" s="3640"/>
      <c r="AN1731" s="3640"/>
      <c r="AO1731" s="156"/>
      <c r="AP1731" s="156"/>
      <c r="AQ1731" s="156"/>
      <c r="AR1731" s="156"/>
      <c r="AS1731" s="156"/>
      <c r="AT1731" s="156"/>
      <c r="AU1731" s="156"/>
      <c r="AV1731" s="156"/>
      <c r="AW1731" s="156"/>
      <c r="AX1731" s="156"/>
      <c r="AY1731" s="156"/>
      <c r="AZ1731" s="156"/>
      <c r="BA1731" s="156"/>
      <c r="BB1731" s="2745"/>
      <c r="BC1731" s="3393" t="str">
        <f t="shared" si="321"/>
        <v>Heating Res 18 Year EUL</v>
      </c>
      <c r="BD1731" s="1841">
        <f>(INDEX('Avoided Cost Benefits'!$E$4:$E$859,MATCH(BC1731,'Avoided Cost Benefits'!$A$4:$A$859,0)))*F1731</f>
        <v>0</v>
      </c>
      <c r="BE1731" s="2507">
        <f t="shared" si="313"/>
        <v>0</v>
      </c>
      <c r="BF1731" s="156"/>
      <c r="BH1731" s="686"/>
    </row>
    <row r="1732" spans="1:60" x14ac:dyDescent="0.35">
      <c r="A1732" s="3493" t="str">
        <f t="shared" si="327"/>
        <v>353711_2021_12_Cooling Res</v>
      </c>
      <c r="B1732" s="2812"/>
      <c r="C1732" s="1037" t="s">
        <v>1337</v>
      </c>
      <c r="D1732" s="1311" t="s">
        <v>315</v>
      </c>
      <c r="E1732" s="3420" t="s">
        <v>1338</v>
      </c>
      <c r="F1732" s="615">
        <f>ROUND(((K2811*K3004*(1/K3197-1/K3390)*K3583)/1000)*$K$3677,2)</f>
        <v>462.26</v>
      </c>
      <c r="G1732" s="1313" t="s">
        <v>1091</v>
      </c>
      <c r="H1732" s="136">
        <f>VLOOKUP(G1732,'CP FACTORS'!$A$3:$B$38, 2, FALSE)</f>
        <v>9.4741810000000004E-4</v>
      </c>
      <c r="I1732" s="3497">
        <f t="shared" si="320"/>
        <v>0.43795299999999998</v>
      </c>
      <c r="J1732" s="124">
        <f t="shared" si="329"/>
        <v>18</v>
      </c>
      <c r="K1732" s="462">
        <f t="shared" si="328"/>
        <v>1689.9245999999991</v>
      </c>
      <c r="L1732" s="3496">
        <f>L2039</f>
        <v>3.2</v>
      </c>
      <c r="M1732" s="103"/>
      <c r="N1732" s="1317"/>
      <c r="O1732" s="963"/>
      <c r="P1732" s="106"/>
      <c r="Q1732" s="106"/>
      <c r="R1732" s="1214"/>
      <c r="S1732" s="106"/>
      <c r="T1732" s="106"/>
      <c r="U1732" s="1319"/>
      <c r="V1732" s="1590" t="s">
        <v>30</v>
      </c>
      <c r="W1732" s="2914"/>
      <c r="X1732" s="685"/>
      <c r="Y1732" s="618"/>
      <c r="Z1732" s="615"/>
      <c r="AA1732" s="615"/>
      <c r="AB1732" s="3495"/>
      <c r="AC1732" s="618">
        <v>462.26</v>
      </c>
      <c r="AD1732" s="615">
        <v>462.26</v>
      </c>
      <c r="AE1732" s="2914"/>
      <c r="AF1732" s="2914"/>
      <c r="AG1732" s="2914"/>
      <c r="AH1732" s="344"/>
      <c r="AI1732" s="156"/>
      <c r="AJ1732" s="3640"/>
      <c r="AK1732" s="2915"/>
      <c r="AL1732" s="156"/>
      <c r="AM1732" s="3640"/>
      <c r="AN1732" s="3640"/>
      <c r="AO1732" s="156"/>
      <c r="AP1732" s="156"/>
      <c r="AQ1732" s="156"/>
      <c r="AR1732" s="156"/>
      <c r="AS1732" s="156"/>
      <c r="AT1732" s="156"/>
      <c r="AU1732" s="156"/>
      <c r="AV1732" s="156"/>
      <c r="AW1732" s="156"/>
      <c r="AX1732" s="156"/>
      <c r="AY1732" s="156"/>
      <c r="AZ1732" s="156"/>
      <c r="BA1732" s="156"/>
      <c r="BB1732" s="2741">
        <f>(BD1732+BD1733)/(BE1732+BE1733)</f>
        <v>0.50431828895547537</v>
      </c>
      <c r="BC1732" s="3392" t="str">
        <f t="shared" si="321"/>
        <v>Cooling Res 18 Year EUL</v>
      </c>
      <c r="BD1732" s="1841">
        <f>(INDEX('Avoided Cost Benefits'!$E$4:$E$859,MATCH(BC1732,'Avoided Cost Benefits'!$A$4:$A$859,0)))*F1732</f>
        <v>804.39819040657437</v>
      </c>
      <c r="BE1732" s="2507">
        <f t="shared" si="313"/>
        <v>1595.0208588957046</v>
      </c>
      <c r="BF1732" s="156"/>
      <c r="BH1732" s="686"/>
    </row>
    <row r="1733" spans="1:60" x14ac:dyDescent="0.35">
      <c r="A1733" s="3493" t="str">
        <f t="shared" si="327"/>
        <v>353711_2021_12_Heating Res</v>
      </c>
      <c r="B1733" s="2812"/>
      <c r="C1733" s="1037" t="s">
        <v>1337</v>
      </c>
      <c r="D1733" s="1311" t="s">
        <v>315</v>
      </c>
      <c r="E1733" s="3420" t="s">
        <v>1338</v>
      </c>
      <c r="F1733" s="615">
        <f>0</f>
        <v>0</v>
      </c>
      <c r="G1733" s="1313" t="s">
        <v>1092</v>
      </c>
      <c r="H1733" s="136">
        <f>VLOOKUP(G1733,'CP FACTORS'!$A$3:$B$38, 2, FALSE)</f>
        <v>0</v>
      </c>
      <c r="I1733" s="3497">
        <f t="shared" si="320"/>
        <v>0</v>
      </c>
      <c r="J1733" s="124">
        <f t="shared" si="329"/>
        <v>18</v>
      </c>
      <c r="K1733" s="462">
        <f t="shared" si="328"/>
        <v>0</v>
      </c>
      <c r="L1733" s="3496"/>
      <c r="M1733" s="103"/>
      <c r="N1733" s="1317"/>
      <c r="O1733" s="963"/>
      <c r="P1733" s="106"/>
      <c r="Q1733" s="106"/>
      <c r="R1733" s="1214"/>
      <c r="S1733" s="106"/>
      <c r="T1733" s="106"/>
      <c r="U1733" s="1319"/>
      <c r="V1733" s="1590" t="s">
        <v>30</v>
      </c>
      <c r="W1733" s="2914"/>
      <c r="X1733" s="685"/>
      <c r="Y1733" s="618"/>
      <c r="Z1733" s="615"/>
      <c r="AA1733" s="615"/>
      <c r="AB1733" s="3495"/>
      <c r="AC1733" s="618">
        <v>0</v>
      </c>
      <c r="AD1733" s="615">
        <v>0</v>
      </c>
      <c r="AE1733" s="2914"/>
      <c r="AF1733" s="2914"/>
      <c r="AG1733" s="2914"/>
      <c r="AH1733" s="344"/>
      <c r="AI1733" s="156"/>
      <c r="AJ1733" s="3640"/>
      <c r="AK1733" s="2915"/>
      <c r="AL1733" s="156"/>
      <c r="AM1733" s="3640"/>
      <c r="AN1733" s="3640"/>
      <c r="AO1733" s="156"/>
      <c r="AP1733" s="156"/>
      <c r="AQ1733" s="156"/>
      <c r="AR1733" s="156"/>
      <c r="AS1733" s="156"/>
      <c r="AT1733" s="156"/>
      <c r="AU1733" s="156"/>
      <c r="AV1733" s="156"/>
      <c r="AW1733" s="156"/>
      <c r="AX1733" s="156"/>
      <c r="AY1733" s="156"/>
      <c r="AZ1733" s="156"/>
      <c r="BA1733" s="156"/>
      <c r="BB1733" s="2745"/>
      <c r="BC1733" s="3392" t="str">
        <f t="shared" si="321"/>
        <v>Heating Res 18 Year EUL</v>
      </c>
      <c r="BD1733" s="1841">
        <f>(INDEX('Avoided Cost Benefits'!$E$4:$E$859,MATCH(BC1733,'Avoided Cost Benefits'!$A$4:$A$859,0)))*F1733</f>
        <v>0</v>
      </c>
      <c r="BE1733" s="2507">
        <f t="shared" si="313"/>
        <v>0</v>
      </c>
      <c r="BF1733" s="156"/>
      <c r="BH1733" s="686"/>
    </row>
    <row r="1734" spans="1:60" x14ac:dyDescent="0.35">
      <c r="A1734" s="3493" t="str">
        <f t="shared" si="327"/>
        <v>353750_2021_12_Cooling Res</v>
      </c>
      <c r="B1734" s="2812"/>
      <c r="C1734" s="1037" t="s">
        <v>1340</v>
      </c>
      <c r="D1734" s="1311" t="s">
        <v>318</v>
      </c>
      <c r="E1734" s="590" t="s">
        <v>1341</v>
      </c>
      <c r="F1734" s="618">
        <f>ROUND(((K2812*K3005*(1/K3198-1/K3391)*K3584)/1000)*$K$3677,2)</f>
        <v>2219.17</v>
      </c>
      <c r="G1734" s="2810" t="s">
        <v>1091</v>
      </c>
      <c r="H1734" s="2720">
        <f>VLOOKUP(G1734,'CP FACTORS'!$A$3:$B$38, 2, FALSE)</f>
        <v>9.4741810000000004E-4</v>
      </c>
      <c r="I1734" s="2995">
        <f t="shared" si="320"/>
        <v>2.1024820000000002</v>
      </c>
      <c r="J1734" s="124">
        <f t="shared" si="329"/>
        <v>6</v>
      </c>
      <c r="K1734" s="462">
        <f t="shared" si="328"/>
        <v>1425.2574866940254</v>
      </c>
      <c r="L1734" s="3496">
        <f>L2040</f>
        <v>2.9348947349688164</v>
      </c>
      <c r="M1734" s="103"/>
      <c r="N1734" s="1317"/>
      <c r="O1734" s="963"/>
      <c r="P1734" s="106"/>
      <c r="Q1734" s="106"/>
      <c r="R1734" s="1214"/>
      <c r="S1734" s="106"/>
      <c r="T1734" s="106"/>
      <c r="U1734" s="1319"/>
      <c r="V1734" s="3436" t="s">
        <v>30</v>
      </c>
      <c r="W1734" s="2914">
        <v>2755.2411764705885</v>
      </c>
      <c r="X1734" s="685">
        <v>2106.8816326530614</v>
      </c>
      <c r="Y1734" s="615">
        <v>2106.88</v>
      </c>
      <c r="Z1734" s="615">
        <v>2106.88</v>
      </c>
      <c r="AA1734" s="615">
        <v>2106.88</v>
      </c>
      <c r="AB1734" s="3495">
        <v>2106.88</v>
      </c>
      <c r="AC1734" s="618">
        <v>1716.58</v>
      </c>
      <c r="AD1734" s="618">
        <v>2219.17</v>
      </c>
      <c r="AE1734" s="2914"/>
      <c r="AF1734" s="2914"/>
      <c r="AG1734" s="2914"/>
      <c r="AH1734" s="344"/>
      <c r="AI1734" s="156"/>
      <c r="AJ1734" s="3640"/>
      <c r="AK1734" s="2915"/>
      <c r="AL1734" s="156"/>
      <c r="AM1734" s="3640"/>
      <c r="AN1734" s="3640"/>
      <c r="AO1734" s="156"/>
      <c r="AP1734" s="156"/>
      <c r="AQ1734" s="156"/>
      <c r="AR1734" s="156"/>
      <c r="AS1734" s="156"/>
      <c r="AT1734" s="156"/>
      <c r="AU1734" s="156"/>
      <c r="AV1734" s="156"/>
      <c r="AW1734" s="156"/>
      <c r="AX1734" s="156"/>
      <c r="AY1734" s="156"/>
      <c r="AZ1734" s="156"/>
      <c r="BA1734" s="156"/>
      <c r="BB1734" s="2833">
        <f>(BD1734+BD1735+BD1736+BD1737)/(BE1734+BE1735+BE1736+BE1737)</f>
        <v>1.8730755912523813</v>
      </c>
      <c r="BC1734" s="590" t="str">
        <f t="shared" si="321"/>
        <v>Cooling Res 6 Year EUL</v>
      </c>
      <c r="BD1734" s="2829">
        <f>(INDEX('Avoided Cost Benefits'!$E$4:$E$859,MATCH(BC1734,'Avoided Cost Benefits'!$A$4:$A$859,0)))*F1734</f>
        <v>1406.0927183241283</v>
      </c>
      <c r="BE1734" s="858">
        <f t="shared" si="313"/>
        <v>1345.2170709712366</v>
      </c>
      <c r="BF1734" s="156"/>
      <c r="BH1734" s="686"/>
    </row>
    <row r="1735" spans="1:60" x14ac:dyDescent="0.35">
      <c r="A1735" s="3493" t="str">
        <f t="shared" si="327"/>
        <v>353750_2021_12_Heating Res</v>
      </c>
      <c r="B1735" s="2812"/>
      <c r="C1735" s="1037" t="s">
        <v>1340</v>
      </c>
      <c r="D1735" s="1311" t="s">
        <v>318</v>
      </c>
      <c r="E1735" s="3420" t="s">
        <v>1341</v>
      </c>
      <c r="F1735" s="618">
        <f>ROUND(((K2040*K2233*(1/K2426-1/K2619)*K3584)/1000)*$K$3677,2)</f>
        <v>2439.54</v>
      </c>
      <c r="G1735" s="2810" t="s">
        <v>1092</v>
      </c>
      <c r="H1735" s="2720">
        <f>VLOOKUP(G1735,'CP FACTORS'!$A$3:$B$38, 2, FALSE)</f>
        <v>0</v>
      </c>
      <c r="I1735" s="2995">
        <f t="shared" si="320"/>
        <v>0</v>
      </c>
      <c r="J1735" s="124">
        <f t="shared" si="329"/>
        <v>6</v>
      </c>
      <c r="K1735" s="462">
        <f t="shared" si="328"/>
        <v>0</v>
      </c>
      <c r="L1735" s="3496"/>
      <c r="M1735" s="103"/>
      <c r="N1735" s="1317"/>
      <c r="O1735" s="963"/>
      <c r="P1735" s="106"/>
      <c r="Q1735" s="106"/>
      <c r="R1735" s="1214"/>
      <c r="S1735" s="106"/>
      <c r="T1735" s="106"/>
      <c r="U1735" s="1319"/>
      <c r="V1735" s="3436" t="s">
        <v>30</v>
      </c>
      <c r="W1735" s="2914">
        <v>6249.9803405572748</v>
      </c>
      <c r="X1735" s="685">
        <v>2767.3247800351946</v>
      </c>
      <c r="Y1735" s="615">
        <v>2767.32</v>
      </c>
      <c r="Z1735" s="615">
        <v>2767.32</v>
      </c>
      <c r="AA1735" s="615">
        <v>2767.32</v>
      </c>
      <c r="AB1735" s="3495">
        <v>2767.32</v>
      </c>
      <c r="AC1735" s="618">
        <v>2388.46</v>
      </c>
      <c r="AD1735" s="618">
        <v>2439.54</v>
      </c>
      <c r="AE1735" s="2914"/>
      <c r="AF1735" s="2914"/>
      <c r="AG1735" s="2914"/>
      <c r="AH1735" s="344"/>
      <c r="AI1735" s="156"/>
      <c r="AJ1735" s="3640"/>
      <c r="AK1735" s="2915"/>
      <c r="AL1735" s="156"/>
      <c r="AM1735" s="3640"/>
      <c r="AN1735" s="3640"/>
      <c r="AO1735" s="156"/>
      <c r="AP1735" s="156"/>
      <c r="AQ1735" s="156"/>
      <c r="AR1735" s="156"/>
      <c r="AS1735" s="156"/>
      <c r="AT1735" s="156"/>
      <c r="AU1735" s="156"/>
      <c r="AV1735" s="156"/>
      <c r="AW1735" s="156"/>
      <c r="AX1735" s="156"/>
      <c r="AY1735" s="156"/>
      <c r="AZ1735" s="156"/>
      <c r="BA1735" s="156"/>
      <c r="BB1735" s="2905"/>
      <c r="BC1735" s="2357" t="str">
        <f t="shared" si="321"/>
        <v>Heating Res 6 Year EUL</v>
      </c>
      <c r="BD1735" s="2829">
        <f>(INDEX('Avoided Cost Benefits'!$E$4:$E$859,MATCH(BC1735,'Avoided Cost Benefits'!$A$4:$A$859,0)))*F1735</f>
        <v>397.50154671082265</v>
      </c>
      <c r="BE1735" s="858">
        <f t="shared" si="313"/>
        <v>0</v>
      </c>
      <c r="BF1735" s="156"/>
      <c r="BH1735" s="686"/>
    </row>
    <row r="1736" spans="1:60" x14ac:dyDescent="0.35">
      <c r="A1736" s="3493" t="str">
        <f t="shared" si="327"/>
        <v>353750_2021_12_Cooling Res ER2</v>
      </c>
      <c r="B1736" s="2812"/>
      <c r="C1736" s="1037" t="s">
        <v>1340</v>
      </c>
      <c r="D1736" s="1311" t="s">
        <v>318</v>
      </c>
      <c r="E1736" s="3420" t="s">
        <v>1342</v>
      </c>
      <c r="F1736" s="618">
        <f>ROUND(((K2813*K3006*(1/K3199-1/K3392)*K3585)/1000)*$K$3677,2)</f>
        <v>427.89</v>
      </c>
      <c r="G1736" s="2810" t="s">
        <v>1133</v>
      </c>
      <c r="H1736" s="2720">
        <f>VLOOKUP(G1736,'CP FACTORS'!$A$3:$B$38, 2, FALSE)</f>
        <v>9.4741810000000004E-4</v>
      </c>
      <c r="I1736" s="2995">
        <f t="shared" si="320"/>
        <v>0.405391</v>
      </c>
      <c r="J1736" s="124">
        <f t="shared" si="329"/>
        <v>12</v>
      </c>
      <c r="K1736" s="462">
        <f t="shared" si="328"/>
        <v>0</v>
      </c>
      <c r="L1736" s="3496"/>
      <c r="M1736" s="103"/>
      <c r="N1736" s="1317"/>
      <c r="O1736" s="963"/>
      <c r="P1736" s="106"/>
      <c r="Q1736" s="106"/>
      <c r="R1736" s="1214"/>
      <c r="S1736" s="106"/>
      <c r="T1736" s="106"/>
      <c r="U1736" s="1319"/>
      <c r="V1736" s="3436" t="s">
        <v>30</v>
      </c>
      <c r="W1736" s="2914">
        <v>433.76974789915954</v>
      </c>
      <c r="X1736" s="688">
        <v>433.76974789915954</v>
      </c>
      <c r="Y1736" s="615">
        <v>433.77</v>
      </c>
      <c r="Z1736" s="615">
        <v>433.77</v>
      </c>
      <c r="AA1736" s="615">
        <v>433.77</v>
      </c>
      <c r="AB1736" s="3495">
        <v>433.77</v>
      </c>
      <c r="AC1736" s="618">
        <v>399.92</v>
      </c>
      <c r="AD1736" s="618">
        <v>427.89</v>
      </c>
      <c r="AE1736" s="2914"/>
      <c r="AF1736" s="2914"/>
      <c r="AG1736" s="2914"/>
      <c r="AH1736" s="344"/>
      <c r="AI1736" s="156"/>
      <c r="AJ1736" s="3640"/>
      <c r="AK1736" s="2915"/>
      <c r="AL1736" s="156"/>
      <c r="AM1736" s="3640"/>
      <c r="AN1736" s="3640"/>
      <c r="AO1736" s="156"/>
      <c r="AP1736" s="156"/>
      <c r="AQ1736" s="156"/>
      <c r="AR1736" s="156"/>
      <c r="AS1736" s="156"/>
      <c r="AT1736" s="156"/>
      <c r="AU1736" s="156"/>
      <c r="AV1736" s="156"/>
      <c r="AW1736" s="156"/>
      <c r="AX1736" s="156"/>
      <c r="AY1736" s="156"/>
      <c r="AZ1736" s="156"/>
      <c r="BA1736" s="156"/>
      <c r="BB1736" s="2905"/>
      <c r="BC1736" s="2357" t="str">
        <f t="shared" si="321"/>
        <v>Cooling Res ER2 12 Year EUL</v>
      </c>
      <c r="BD1736" s="2829">
        <f>(INDEX('Avoided Cost Benefits'!$E$4:$E$859,MATCH(BC1736,'Avoided Cost Benefits'!$A$4:$A$859,0)))*F1736</f>
        <v>473.4732646447178</v>
      </c>
      <c r="BE1736" s="858">
        <f t="shared" si="313"/>
        <v>0</v>
      </c>
      <c r="BF1736" s="156"/>
      <c r="BH1736" s="686"/>
    </row>
    <row r="1737" spans="1:60" x14ac:dyDescent="0.35">
      <c r="A1737" s="3493" t="str">
        <f t="shared" si="327"/>
        <v>353750_2021_12_Heating Res ER2</v>
      </c>
      <c r="B1737" s="2812"/>
      <c r="C1737" s="1037" t="s">
        <v>1340</v>
      </c>
      <c r="D1737" s="1311" t="s">
        <v>318</v>
      </c>
      <c r="E1737" s="3419" t="s">
        <v>1342</v>
      </c>
      <c r="F1737" s="618">
        <f>ROUND(((K2041*K2234*(1/K2427-1/K2620)*K3585)/1000)*$K$3677,2)</f>
        <v>857.63</v>
      </c>
      <c r="G1737" s="2810" t="s">
        <v>1150</v>
      </c>
      <c r="H1737" s="2720">
        <f>VLOOKUP(G1737,'CP FACTORS'!$A$3:$B$38, 2, FALSE)</f>
        <v>0</v>
      </c>
      <c r="I1737" s="2995">
        <f t="shared" si="320"/>
        <v>0</v>
      </c>
      <c r="J1737" s="124">
        <f t="shared" si="329"/>
        <v>12</v>
      </c>
      <c r="K1737" s="462">
        <f t="shared" si="328"/>
        <v>0</v>
      </c>
      <c r="L1737" s="3496"/>
      <c r="M1737" s="103"/>
      <c r="N1737" s="1317"/>
      <c r="O1737" s="963"/>
      <c r="P1737" s="106"/>
      <c r="Q1737" s="106"/>
      <c r="R1737" s="1214"/>
      <c r="S1737" s="106"/>
      <c r="T1737" s="106"/>
      <c r="U1737" s="1319"/>
      <c r="V1737" s="3436" t="s">
        <v>30</v>
      </c>
      <c r="W1737" s="2914">
        <v>1327.6421052631592</v>
      </c>
      <c r="X1737" s="685">
        <v>988.62747111681745</v>
      </c>
      <c r="Y1737" s="615">
        <v>988.63</v>
      </c>
      <c r="Z1737" s="615">
        <v>988.63</v>
      </c>
      <c r="AA1737" s="615">
        <v>988.63</v>
      </c>
      <c r="AB1737" s="3495">
        <v>988.63</v>
      </c>
      <c r="AC1737" s="618">
        <v>809.97</v>
      </c>
      <c r="AD1737" s="618">
        <v>857.63</v>
      </c>
      <c r="AE1737" s="2914"/>
      <c r="AF1737" s="2914"/>
      <c r="AG1737" s="2914"/>
      <c r="AH1737" s="344"/>
      <c r="AI1737" s="156"/>
      <c r="AJ1737" s="3640"/>
      <c r="AK1737" s="2915"/>
      <c r="AL1737" s="156"/>
      <c r="AM1737" s="3640"/>
      <c r="AN1737" s="3640"/>
      <c r="AO1737" s="156"/>
      <c r="AP1737" s="156"/>
      <c r="AQ1737" s="156"/>
      <c r="AR1737" s="156"/>
      <c r="AS1737" s="156"/>
      <c r="AT1737" s="156"/>
      <c r="AU1737" s="156"/>
      <c r="AV1737" s="156"/>
      <c r="AW1737" s="156"/>
      <c r="AX1737" s="156"/>
      <c r="AY1737" s="156"/>
      <c r="AZ1737" s="156"/>
      <c r="BA1737" s="156"/>
      <c r="BB1737" s="2905"/>
      <c r="BC1737" s="2349" t="str">
        <f t="shared" si="321"/>
        <v>Heating Res ER2 12 Year EUL</v>
      </c>
      <c r="BD1737" s="2829">
        <f>(INDEX('Avoided Cost Benefits'!$E$4:$E$859,MATCH(BC1737,'Avoided Cost Benefits'!$A$4:$A$859,0)))*F1737</f>
        <v>242.62573089257631</v>
      </c>
      <c r="BE1737" s="858">
        <f t="shared" si="313"/>
        <v>0</v>
      </c>
      <c r="BF1737" s="156"/>
      <c r="BH1737" s="686"/>
    </row>
    <row r="1738" spans="1:60" x14ac:dyDescent="0.35">
      <c r="A1738" s="3493" t="str">
        <f t="shared" si="327"/>
        <v>353800_2021_12_Cooling Res</v>
      </c>
      <c r="B1738" s="2812"/>
      <c r="C1738" s="1037" t="s">
        <v>1344</v>
      </c>
      <c r="D1738" s="1311" t="s">
        <v>318</v>
      </c>
      <c r="E1738" s="590" t="s">
        <v>1345</v>
      </c>
      <c r="F1738" s="618">
        <f>ROUND(((K2814*K3007*(1/K3200-1/K3393)*K3586)/1000)*$K$3677,2)</f>
        <v>429.65</v>
      </c>
      <c r="G1738" s="2810" t="s">
        <v>1091</v>
      </c>
      <c r="H1738" s="2720">
        <f>VLOOKUP(G1738,'CP FACTORS'!$A$3:$B$38, 2, FALSE)</f>
        <v>9.4741810000000004E-4</v>
      </c>
      <c r="I1738" s="2995">
        <f t="shared" si="320"/>
        <v>0.40705799999999998</v>
      </c>
      <c r="J1738" s="124">
        <f t="shared" si="329"/>
        <v>18</v>
      </c>
      <c r="K1738" s="462">
        <f t="shared" si="328"/>
        <v>724</v>
      </c>
      <c r="L1738" s="3496">
        <f>L2042</f>
        <v>2.9502063491666668</v>
      </c>
      <c r="M1738" s="103"/>
      <c r="N1738" s="1317"/>
      <c r="O1738" s="963"/>
      <c r="P1738" s="106"/>
      <c r="Q1738" s="106"/>
      <c r="R1738" s="1214"/>
      <c r="S1738" s="106"/>
      <c r="T1738" s="106"/>
      <c r="U1738" s="1319"/>
      <c r="V1738" s="3436" t="s">
        <v>30</v>
      </c>
      <c r="W1738" s="2914">
        <v>433.76974789915954</v>
      </c>
      <c r="X1738" s="688">
        <v>433.76974789915954</v>
      </c>
      <c r="Y1738" s="615">
        <v>433.77</v>
      </c>
      <c r="Z1738" s="615">
        <v>433.77</v>
      </c>
      <c r="AA1738" s="615">
        <v>433.77</v>
      </c>
      <c r="AB1738" s="3495">
        <v>433.77</v>
      </c>
      <c r="AC1738" s="618">
        <v>612.74</v>
      </c>
      <c r="AD1738" s="618">
        <v>429.65</v>
      </c>
      <c r="AE1738" s="2914"/>
      <c r="AF1738" s="2914"/>
      <c r="AG1738" s="2914"/>
      <c r="AH1738" s="344"/>
      <c r="AI1738" s="156"/>
      <c r="AJ1738" s="3640"/>
      <c r="AK1738" s="2915"/>
      <c r="AL1738" s="156"/>
      <c r="AM1738" s="3640"/>
      <c r="AN1738" s="3640"/>
      <c r="AO1738" s="156"/>
      <c r="AP1738" s="156"/>
      <c r="AQ1738" s="156"/>
      <c r="AR1738" s="156"/>
      <c r="AS1738" s="156"/>
      <c r="AT1738" s="156"/>
      <c r="AU1738" s="156"/>
      <c r="AV1738" s="156"/>
      <c r="AW1738" s="156"/>
      <c r="AX1738" s="156"/>
      <c r="AY1738" s="156"/>
      <c r="AZ1738" s="156"/>
      <c r="BA1738" s="156"/>
      <c r="BB1738" s="2833">
        <f>(BD1738+BD1739)/(BE1738+BE1739)</f>
        <v>1.6391404370173284</v>
      </c>
      <c r="BC1738" s="590" t="str">
        <f t="shared" si="321"/>
        <v>Cooling Res 18 Year EUL</v>
      </c>
      <c r="BD1738" s="2829">
        <f>(INDEX('Avoided Cost Benefits'!$E$4:$E$859,MATCH(BC1738,'Avoided Cost Benefits'!$A$4:$A$859,0)))*F1738</f>
        <v>747.65214924108648</v>
      </c>
      <c r="BE1738" s="858">
        <f t="shared" si="313"/>
        <v>683.34119867862194</v>
      </c>
      <c r="BF1738" s="156"/>
      <c r="BH1738" s="686"/>
    </row>
    <row r="1739" spans="1:60" x14ac:dyDescent="0.35">
      <c r="A1739" s="3493" t="str">
        <f t="shared" si="327"/>
        <v>353800_2021_12_Heating Res</v>
      </c>
      <c r="B1739" s="2812"/>
      <c r="C1739" s="1037" t="s">
        <v>1344</v>
      </c>
      <c r="D1739" s="1311" t="s">
        <v>318</v>
      </c>
      <c r="E1739" s="687" t="s">
        <v>1345</v>
      </c>
      <c r="F1739" s="618">
        <f>ROUND(((K2042*K2235*(1/K2428-1/K2621)*K3586)/1000)*$K$3677,2)</f>
        <v>835.36</v>
      </c>
      <c r="G1739" s="2810" t="s">
        <v>1092</v>
      </c>
      <c r="H1739" s="2720">
        <f>VLOOKUP(G1739,'CP FACTORS'!$A$3:$B$38, 2, FALSE)</f>
        <v>0</v>
      </c>
      <c r="I1739" s="2995">
        <f t="shared" si="320"/>
        <v>0</v>
      </c>
      <c r="J1739" s="124">
        <f t="shared" ref="J1739:J1802" si="330">K3883</f>
        <v>18</v>
      </c>
      <c r="K1739" s="462">
        <f t="shared" ref="K1739:K1802" si="331">K4269</f>
        <v>0</v>
      </c>
      <c r="L1739" s="3496"/>
      <c r="M1739" s="103"/>
      <c r="N1739" s="1317"/>
      <c r="O1739" s="963"/>
      <c r="P1739" s="106"/>
      <c r="Q1739" s="106"/>
      <c r="R1739" s="1214"/>
      <c r="S1739" s="106"/>
      <c r="T1739" s="106"/>
      <c r="U1739" s="1319"/>
      <c r="V1739" s="3436" t="s">
        <v>30</v>
      </c>
      <c r="W1739" s="2914">
        <v>1584.0000000000018</v>
      </c>
      <c r="X1739" s="685">
        <v>1179.5241413638641</v>
      </c>
      <c r="Y1739" s="615">
        <v>1179.52</v>
      </c>
      <c r="Z1739" s="615">
        <v>1179.52</v>
      </c>
      <c r="AA1739" s="615">
        <v>1179.52</v>
      </c>
      <c r="AB1739" s="3495">
        <v>1179.52</v>
      </c>
      <c r="AC1739" s="618">
        <v>1235.04</v>
      </c>
      <c r="AD1739" s="618">
        <v>835.36</v>
      </c>
      <c r="AE1739" s="2914"/>
      <c r="AF1739" s="2914"/>
      <c r="AG1739" s="2914"/>
      <c r="AH1739" s="344"/>
      <c r="AI1739" s="156"/>
      <c r="AJ1739" s="3640"/>
      <c r="AK1739" s="2915"/>
      <c r="AL1739" s="156"/>
      <c r="AM1739" s="3640"/>
      <c r="AN1739" s="3640"/>
      <c r="AO1739" s="156"/>
      <c r="AP1739" s="156"/>
      <c r="AQ1739" s="156"/>
      <c r="AR1739" s="156"/>
      <c r="AS1739" s="156"/>
      <c r="AT1739" s="156"/>
      <c r="AU1739" s="156"/>
      <c r="AV1739" s="156"/>
      <c r="AW1739" s="156"/>
      <c r="AX1739" s="156"/>
      <c r="AY1739" s="156"/>
      <c r="AZ1739" s="156"/>
      <c r="BA1739" s="156"/>
      <c r="BB1739" s="2835"/>
      <c r="BC1739" s="687" t="str">
        <f t="shared" si="321"/>
        <v>Heating Res 18 Year EUL</v>
      </c>
      <c r="BD1739" s="2829">
        <f>(INDEX('Avoided Cost Benefits'!$E$4:$E$859,MATCH(BC1739,'Avoided Cost Benefits'!$A$4:$A$859,0)))*F1739</f>
        <v>372.44004179293489</v>
      </c>
      <c r="BE1739" s="858">
        <f t="shared" si="313"/>
        <v>0</v>
      </c>
      <c r="BF1739" s="156"/>
      <c r="BH1739" s="686"/>
    </row>
    <row r="1740" spans="1:60" x14ac:dyDescent="0.35">
      <c r="A1740" s="3493" t="str">
        <f t="shared" si="327"/>
        <v>353850_2021_12_Cooling Res</v>
      </c>
      <c r="B1740" s="2812"/>
      <c r="C1740" s="1037" t="s">
        <v>1347</v>
      </c>
      <c r="D1740" s="1311" t="s">
        <v>318</v>
      </c>
      <c r="E1740" s="3418" t="s">
        <v>1348</v>
      </c>
      <c r="F1740" s="618">
        <f>ROUND(((K2815*K3008*(1/K3201-1/K3394)*K3587)/1000)*$K$3677,2)</f>
        <v>2369.3000000000002</v>
      </c>
      <c r="G1740" s="2810" t="s">
        <v>1091</v>
      </c>
      <c r="H1740" s="2720">
        <f>VLOOKUP(G1740,'CP FACTORS'!$A$3:$B$38, 2, FALSE)</f>
        <v>9.4741810000000004E-4</v>
      </c>
      <c r="I1740" s="2995">
        <f t="shared" si="320"/>
        <v>2.2447180000000002</v>
      </c>
      <c r="J1740" s="124">
        <f t="shared" si="330"/>
        <v>6</v>
      </c>
      <c r="K1740" s="462">
        <f t="shared" si="331"/>
        <v>1681.5237652002679</v>
      </c>
      <c r="L1740" s="3496">
        <f>L2043</f>
        <v>3.0074921794528389</v>
      </c>
      <c r="M1740" s="103"/>
      <c r="N1740" s="1317"/>
      <c r="O1740" s="963"/>
      <c r="P1740" s="106"/>
      <c r="Q1740" s="106"/>
      <c r="R1740" s="1214"/>
      <c r="S1740" s="106"/>
      <c r="T1740" s="106"/>
      <c r="U1740" s="1319"/>
      <c r="V1740" s="3436" t="s">
        <v>30</v>
      </c>
      <c r="W1740" s="2914">
        <v>2867.7000000000003</v>
      </c>
      <c r="X1740" s="685">
        <v>2219.3404561824727</v>
      </c>
      <c r="Y1740" s="615">
        <v>2219.34</v>
      </c>
      <c r="Z1740" s="615">
        <v>2219.34</v>
      </c>
      <c r="AA1740" s="615">
        <v>2219.34</v>
      </c>
      <c r="AB1740" s="3494">
        <v>2735.03</v>
      </c>
      <c r="AC1740" s="618">
        <v>2063.94</v>
      </c>
      <c r="AD1740" s="618">
        <v>2369.3000000000002</v>
      </c>
      <c r="AE1740" s="2914"/>
      <c r="AF1740" s="2914"/>
      <c r="AG1740" s="2914"/>
      <c r="AH1740" s="344"/>
      <c r="AI1740" s="156"/>
      <c r="AJ1740" s="3640"/>
      <c r="AK1740" s="2915"/>
      <c r="AL1740" s="156"/>
      <c r="AM1740" s="3640"/>
      <c r="AN1740" s="3640"/>
      <c r="AO1740" s="156"/>
      <c r="AP1740" s="156"/>
      <c r="AQ1740" s="156"/>
      <c r="AR1740" s="156"/>
      <c r="AS1740" s="156"/>
      <c r="AT1740" s="156"/>
      <c r="AU1740" s="156"/>
      <c r="AV1740" s="156"/>
      <c r="AW1740" s="156"/>
      <c r="AX1740" s="156"/>
      <c r="AY1740" s="156"/>
      <c r="AZ1740" s="156"/>
      <c r="BA1740" s="156"/>
      <c r="BB1740" s="2833">
        <f>(BD1740+BD1741+BD1742+BD1743)/(BE1740+BE1741+BE1742+BE1743)</f>
        <v>1.8310383014727369</v>
      </c>
      <c r="BC1740" s="2348" t="str">
        <f t="shared" si="321"/>
        <v>Cooling Res 6 Year EUL</v>
      </c>
      <c r="BD1740" s="2829">
        <f>(INDEX('Avoided Cost Benefits'!$E$4:$E$859,MATCH(BC1740,'Avoided Cost Benefits'!$A$4:$A$859,0)))*F1740</f>
        <v>1501.2168862797162</v>
      </c>
      <c r="BE1740" s="858">
        <f t="shared" si="313"/>
        <v>1587.0918029261611</v>
      </c>
      <c r="BF1740" s="156"/>
      <c r="BH1740" s="686"/>
    </row>
    <row r="1741" spans="1:60" x14ac:dyDescent="0.35">
      <c r="A1741" s="3493" t="str">
        <f t="shared" si="327"/>
        <v>353850_2021_12_Heating Res</v>
      </c>
      <c r="B1741" s="2812"/>
      <c r="C1741" s="1037" t="s">
        <v>1347</v>
      </c>
      <c r="D1741" s="1311" t="s">
        <v>318</v>
      </c>
      <c r="E1741" s="3420" t="s">
        <v>1348</v>
      </c>
      <c r="F1741" s="618">
        <f>ROUND(((K2043*K2236*(1/K2429-1/K2622)*K3587)/1000)*$K$3677,2)</f>
        <v>2872.62</v>
      </c>
      <c r="G1741" s="2810" t="s">
        <v>1092</v>
      </c>
      <c r="H1741" s="2720">
        <f>VLOOKUP(G1741,'CP FACTORS'!$A$3:$B$38, 2, FALSE)</f>
        <v>0</v>
      </c>
      <c r="I1741" s="2995">
        <f t="shared" si="320"/>
        <v>0</v>
      </c>
      <c r="J1741" s="124">
        <f t="shared" si="330"/>
        <v>6</v>
      </c>
      <c r="K1741" s="462">
        <f t="shared" si="331"/>
        <v>0</v>
      </c>
      <c r="L1741" s="3496"/>
      <c r="M1741" s="103"/>
      <c r="N1741" s="1317"/>
      <c r="O1741" s="963"/>
      <c r="P1741" s="106"/>
      <c r="Q1741" s="106"/>
      <c r="R1741" s="1214"/>
      <c r="S1741" s="106"/>
      <c r="T1741" s="106"/>
      <c r="U1741" s="1319"/>
      <c r="V1741" s="3436" t="s">
        <v>30</v>
      </c>
      <c r="W1741" s="2914">
        <v>6249.9803405572748</v>
      </c>
      <c r="X1741" s="685">
        <v>2767.3247800351946</v>
      </c>
      <c r="Y1741" s="615">
        <v>2767.32</v>
      </c>
      <c r="Z1741" s="615">
        <v>2767.32</v>
      </c>
      <c r="AA1741" s="615">
        <v>2767.32</v>
      </c>
      <c r="AB1741" s="3494">
        <v>3103.81</v>
      </c>
      <c r="AC1741" s="618">
        <v>2980.4</v>
      </c>
      <c r="AD1741" s="618">
        <v>2872.62</v>
      </c>
      <c r="AE1741" s="2914"/>
      <c r="AF1741" s="2914"/>
      <c r="AG1741" s="2914"/>
      <c r="AH1741" s="344"/>
      <c r="AI1741" s="156"/>
      <c r="AJ1741" s="3640"/>
      <c r="AK1741" s="2915"/>
      <c r="AL1741" s="156"/>
      <c r="AM1741" s="3640"/>
      <c r="AN1741" s="3640"/>
      <c r="AO1741" s="156"/>
      <c r="AP1741" s="156"/>
      <c r="AQ1741" s="156"/>
      <c r="AR1741" s="156"/>
      <c r="AS1741" s="156"/>
      <c r="AT1741" s="156"/>
      <c r="AU1741" s="156"/>
      <c r="AV1741" s="156"/>
      <c r="AW1741" s="156"/>
      <c r="AX1741" s="156"/>
      <c r="AY1741" s="156"/>
      <c r="AZ1741" s="156"/>
      <c r="BA1741" s="156"/>
      <c r="BB1741" s="2905"/>
      <c r="BC1741" s="2357" t="str">
        <f t="shared" si="321"/>
        <v>Heating Res 6 Year EUL</v>
      </c>
      <c r="BD1741" s="2829">
        <f>(INDEX('Avoided Cost Benefits'!$E$4:$E$859,MATCH(BC1741,'Avoided Cost Benefits'!$A$4:$A$859,0)))*F1741</f>
        <v>468.06811657625758</v>
      </c>
      <c r="BE1741" s="858">
        <f t="shared" si="313"/>
        <v>0</v>
      </c>
      <c r="BF1741" s="156"/>
      <c r="BH1741" s="686"/>
    </row>
    <row r="1742" spans="1:60" x14ac:dyDescent="0.35">
      <c r="A1742" s="3493" t="str">
        <f t="shared" si="327"/>
        <v>353850_2021_12_Cooling Res ER2</v>
      </c>
      <c r="B1742" s="2812"/>
      <c r="C1742" s="1037" t="s">
        <v>1347</v>
      </c>
      <c r="D1742" s="1311" t="s">
        <v>318</v>
      </c>
      <c r="E1742" s="3420" t="s">
        <v>1349</v>
      </c>
      <c r="F1742" s="618">
        <f>ROUND(((K2816*K3009*(1/K3202-1/K3395)*K3588)/1000)*$K$3677,2)</f>
        <v>526.57000000000005</v>
      </c>
      <c r="G1742" s="2810" t="s">
        <v>1133</v>
      </c>
      <c r="H1742" s="2720">
        <f>VLOOKUP(G1742,'CP FACTORS'!$A$3:$B$38, 2, FALSE)</f>
        <v>9.4741810000000004E-4</v>
      </c>
      <c r="I1742" s="2995">
        <f t="shared" si="320"/>
        <v>0.49888199999999999</v>
      </c>
      <c r="J1742" s="124">
        <f t="shared" si="330"/>
        <v>12</v>
      </c>
      <c r="K1742" s="462">
        <f t="shared" si="331"/>
        <v>0</v>
      </c>
      <c r="L1742" s="3496"/>
      <c r="M1742" s="103"/>
      <c r="N1742" s="1317"/>
      <c r="O1742" s="963"/>
      <c r="P1742" s="106"/>
      <c r="Q1742" s="106"/>
      <c r="R1742" s="1214"/>
      <c r="S1742" s="106"/>
      <c r="T1742" s="106"/>
      <c r="U1742" s="1319"/>
      <c r="V1742" s="3436" t="s">
        <v>30</v>
      </c>
      <c r="W1742" s="2914">
        <v>546.2285714285714</v>
      </c>
      <c r="X1742" s="688">
        <v>546.2285714285714</v>
      </c>
      <c r="Y1742" s="615">
        <v>546.23</v>
      </c>
      <c r="Z1742" s="615">
        <v>546.23</v>
      </c>
      <c r="AA1742" s="615">
        <v>546.23</v>
      </c>
      <c r="AB1742" s="3494">
        <v>695.03</v>
      </c>
      <c r="AC1742" s="618">
        <v>523.08000000000004</v>
      </c>
      <c r="AD1742" s="618">
        <v>526.57000000000005</v>
      </c>
      <c r="AE1742" s="2914"/>
      <c r="AF1742" s="2914"/>
      <c r="AG1742" s="2914"/>
      <c r="AH1742" s="344"/>
      <c r="AI1742" s="156"/>
      <c r="AJ1742" s="3640"/>
      <c r="AK1742" s="2915"/>
      <c r="AL1742" s="156"/>
      <c r="AM1742" s="3640"/>
      <c r="AN1742" s="3640"/>
      <c r="AO1742" s="156"/>
      <c r="AP1742" s="156"/>
      <c r="AQ1742" s="156"/>
      <c r="AR1742" s="156"/>
      <c r="AS1742" s="156"/>
      <c r="AT1742" s="156"/>
      <c r="AU1742" s="156"/>
      <c r="AV1742" s="156"/>
      <c r="AW1742" s="156"/>
      <c r="AX1742" s="156"/>
      <c r="AY1742" s="156"/>
      <c r="AZ1742" s="156"/>
      <c r="BA1742" s="156"/>
      <c r="BB1742" s="2905"/>
      <c r="BC1742" s="2357" t="str">
        <f t="shared" si="321"/>
        <v>Cooling Res ER2 12 Year EUL</v>
      </c>
      <c r="BD1742" s="2829">
        <f>(INDEX('Avoided Cost Benefits'!$E$4:$E$859,MATCH(BC1742,'Avoided Cost Benefits'!$A$4:$A$859,0)))*F1742</f>
        <v>582.6656780106315</v>
      </c>
      <c r="BE1742" s="858">
        <f t="shared" si="313"/>
        <v>0</v>
      </c>
      <c r="BF1742" s="156"/>
      <c r="BH1742" s="686"/>
    </row>
    <row r="1743" spans="1:60" x14ac:dyDescent="0.35">
      <c r="A1743" s="3493" t="str">
        <f t="shared" si="327"/>
        <v>353850_2021_12_Heating Res ER2</v>
      </c>
      <c r="B1743" s="2812"/>
      <c r="C1743" s="1037" t="s">
        <v>1347</v>
      </c>
      <c r="D1743" s="1311" t="s">
        <v>318</v>
      </c>
      <c r="E1743" s="3419" t="s">
        <v>1349</v>
      </c>
      <c r="F1743" s="618">
        <f xml:space="preserve"> ROUND(((K2044*K2237*(1/K2430-1/K2623)*K3588)/1000)*$K$3677,2)</f>
        <v>1251.58</v>
      </c>
      <c r="G1743" s="2810" t="s">
        <v>1150</v>
      </c>
      <c r="H1743" s="2720">
        <f>VLOOKUP(G1743,'CP FACTORS'!$A$3:$B$38, 2, FALSE)</f>
        <v>0</v>
      </c>
      <c r="I1743" s="2995">
        <f t="shared" si="320"/>
        <v>0</v>
      </c>
      <c r="J1743" s="124">
        <f t="shared" si="330"/>
        <v>12</v>
      </c>
      <c r="K1743" s="462">
        <f t="shared" si="331"/>
        <v>0</v>
      </c>
      <c r="L1743" s="3496"/>
      <c r="M1743" s="103"/>
      <c r="N1743" s="1317"/>
      <c r="O1743" s="963"/>
      <c r="P1743" s="106"/>
      <c r="Q1743" s="106"/>
      <c r="R1743" s="1214"/>
      <c r="S1743" s="106"/>
      <c r="T1743" s="106"/>
      <c r="U1743" s="1319"/>
      <c r="V1743" s="3436" t="s">
        <v>30</v>
      </c>
      <c r="W1743" s="2914">
        <v>1327.6421052631592</v>
      </c>
      <c r="X1743" s="685">
        <v>988.62747111681745</v>
      </c>
      <c r="Y1743" s="615">
        <v>988.63</v>
      </c>
      <c r="Z1743" s="615">
        <v>988.63</v>
      </c>
      <c r="AA1743" s="615">
        <v>988.63</v>
      </c>
      <c r="AB1743" s="3494">
        <v>1190.3599999999999</v>
      </c>
      <c r="AC1743" s="618">
        <v>1250.1300000000001</v>
      </c>
      <c r="AD1743" s="618">
        <v>1251.58</v>
      </c>
      <c r="AE1743" s="2914"/>
      <c r="AF1743" s="2914"/>
      <c r="AG1743" s="2914"/>
      <c r="AH1743" s="344"/>
      <c r="AI1743" s="156"/>
      <c r="AJ1743" s="3640"/>
      <c r="AK1743" s="2915"/>
      <c r="AL1743" s="156"/>
      <c r="AM1743" s="3640"/>
      <c r="AN1743" s="3640"/>
      <c r="AO1743" s="156"/>
      <c r="AP1743" s="156"/>
      <c r="AQ1743" s="156"/>
      <c r="AR1743" s="156"/>
      <c r="AS1743" s="156"/>
      <c r="AT1743" s="156"/>
      <c r="AU1743" s="156"/>
      <c r="AV1743" s="156"/>
      <c r="AW1743" s="156"/>
      <c r="AX1743" s="156"/>
      <c r="AY1743" s="156"/>
      <c r="AZ1743" s="156"/>
      <c r="BA1743" s="156"/>
      <c r="BB1743" s="2905"/>
      <c r="BC1743" s="2349" t="str">
        <f t="shared" si="321"/>
        <v>Heating Res ER2 12 Year EUL</v>
      </c>
      <c r="BD1743" s="2829">
        <f>(INDEX('Avoided Cost Benefits'!$E$4:$E$859,MATCH(BC1743,'Avoided Cost Benefits'!$A$4:$A$859,0)))*F1743</f>
        <v>354.07519824461673</v>
      </c>
      <c r="BE1743" s="858">
        <f t="shared" si="313"/>
        <v>0</v>
      </c>
      <c r="BF1743" s="156"/>
      <c r="BH1743" s="686"/>
    </row>
    <row r="1744" spans="1:60" x14ac:dyDescent="0.35">
      <c r="A1744" s="3493" t="str">
        <f t="shared" si="327"/>
        <v>353950_2021_12_Cooling Res</v>
      </c>
      <c r="B1744" s="2812"/>
      <c r="C1744" s="1037" t="s">
        <v>1351</v>
      </c>
      <c r="D1744" s="1311" t="s">
        <v>318</v>
      </c>
      <c r="E1744" s="590" t="s">
        <v>1352</v>
      </c>
      <c r="F1744" s="618">
        <f>ROUND(((K2817*K3010*(1/K3203-1/K3396)*K3589)/1000)*$K$3677,2)</f>
        <v>521.92999999999995</v>
      </c>
      <c r="G1744" s="2810" t="s">
        <v>1091</v>
      </c>
      <c r="H1744" s="2720">
        <f>VLOOKUP(G1744,'CP FACTORS'!$A$3:$B$38, 2, FALSE)</f>
        <v>9.4741810000000004E-4</v>
      </c>
      <c r="I1744" s="2995">
        <f t="shared" si="320"/>
        <v>0.49448599999999998</v>
      </c>
      <c r="J1744" s="124">
        <f t="shared" si="330"/>
        <v>18</v>
      </c>
      <c r="K1744" s="462">
        <f t="shared" si="331"/>
        <v>962.92000000000007</v>
      </c>
      <c r="L1744" s="3496">
        <f>L2045</f>
        <v>3.1232222977546749</v>
      </c>
      <c r="M1744" s="103"/>
      <c r="N1744" s="1317"/>
      <c r="O1744" s="963"/>
      <c r="P1744" s="106"/>
      <c r="Q1744" s="106"/>
      <c r="R1744" s="1214"/>
      <c r="S1744" s="106"/>
      <c r="T1744" s="106"/>
      <c r="U1744" s="1319"/>
      <c r="V1744" s="3436" t="s">
        <v>30</v>
      </c>
      <c r="W1744" s="2914">
        <v>546.2285714285714</v>
      </c>
      <c r="X1744" s="688">
        <v>546.2285714285714</v>
      </c>
      <c r="Y1744" s="615">
        <v>546.23</v>
      </c>
      <c r="Z1744" s="615">
        <v>546.23</v>
      </c>
      <c r="AA1744" s="615">
        <v>546.23</v>
      </c>
      <c r="AB1744" s="3495">
        <v>546.23</v>
      </c>
      <c r="AC1744" s="618">
        <v>591.21</v>
      </c>
      <c r="AD1744" s="618">
        <v>521.92999999999995</v>
      </c>
      <c r="AE1744" s="2914"/>
      <c r="AF1744" s="2914"/>
      <c r="AG1744" s="2914"/>
      <c r="AH1744" s="344"/>
      <c r="AI1744" s="156"/>
      <c r="AJ1744" s="3640"/>
      <c r="AK1744" s="2915"/>
      <c r="AL1744" s="156"/>
      <c r="AM1744" s="3640"/>
      <c r="AN1744" s="3640"/>
      <c r="AO1744" s="156"/>
      <c r="AP1744" s="156"/>
      <c r="AQ1744" s="156"/>
      <c r="AR1744" s="156"/>
      <c r="AS1744" s="156"/>
      <c r="AT1744" s="156"/>
      <c r="AU1744" s="156"/>
      <c r="AV1744" s="156"/>
      <c r="AW1744" s="156"/>
      <c r="AX1744" s="156"/>
      <c r="AY1744" s="156"/>
      <c r="AZ1744" s="156"/>
      <c r="BA1744" s="156"/>
      <c r="BB1744" s="2833">
        <f>(BD1744+BD1745)/(BE1744+BE1745)</f>
        <v>1.643454222257074</v>
      </c>
      <c r="BC1744" s="590" t="str">
        <f t="shared" si="321"/>
        <v>Cooling Res 18 Year EUL</v>
      </c>
      <c r="BD1744" s="2829">
        <f>(INDEX('Avoided Cost Benefits'!$E$4:$E$859,MATCH(BC1744,'Avoided Cost Benefits'!$A$4:$A$859,0)))*F1744</f>
        <v>908.23248284277963</v>
      </c>
      <c r="BE1744" s="858">
        <f t="shared" si="313"/>
        <v>908.84379424256724</v>
      </c>
      <c r="BF1744" s="156"/>
      <c r="BH1744" s="686"/>
    </row>
    <row r="1745" spans="1:60" x14ac:dyDescent="0.35">
      <c r="A1745" s="3493" t="str">
        <f t="shared" si="327"/>
        <v>353950_2021_12_Heating Res</v>
      </c>
      <c r="B1745" s="2812"/>
      <c r="C1745" s="1037" t="s">
        <v>1351</v>
      </c>
      <c r="D1745" s="1311" t="s">
        <v>318</v>
      </c>
      <c r="E1745" s="687" t="s">
        <v>1352</v>
      </c>
      <c r="F1745" s="618">
        <f>ROUND(((K2045*K2238*(1/K2431-1/K2624)*K3589)/1000)*$K$3677,2)</f>
        <v>1313.04</v>
      </c>
      <c r="G1745" s="2810" t="s">
        <v>1092</v>
      </c>
      <c r="H1745" s="2720">
        <f>VLOOKUP(G1745,'CP FACTORS'!$A$3:$B$38, 2, FALSE)</f>
        <v>0</v>
      </c>
      <c r="I1745" s="2995">
        <f t="shared" si="320"/>
        <v>0</v>
      </c>
      <c r="J1745" s="124">
        <f t="shared" si="330"/>
        <v>18</v>
      </c>
      <c r="K1745" s="462">
        <f t="shared" si="331"/>
        <v>0</v>
      </c>
      <c r="L1745" s="3496"/>
      <c r="M1745" s="103"/>
      <c r="N1745" s="1317"/>
      <c r="O1745" s="963"/>
      <c r="P1745" s="106"/>
      <c r="Q1745" s="106"/>
      <c r="R1745" s="1214"/>
      <c r="S1745" s="106"/>
      <c r="T1745" s="106"/>
      <c r="U1745" s="1319"/>
      <c r="V1745" s="3436" t="s">
        <v>30</v>
      </c>
      <c r="W1745" s="2914">
        <v>1584.0000000000018</v>
      </c>
      <c r="X1745" s="685">
        <v>1179.5241413638641</v>
      </c>
      <c r="Y1745" s="615">
        <v>1179.52</v>
      </c>
      <c r="Z1745" s="615">
        <v>1179.52</v>
      </c>
      <c r="AA1745" s="615">
        <v>1179.52</v>
      </c>
      <c r="AB1745" s="3495">
        <v>1179.52</v>
      </c>
      <c r="AC1745" s="618">
        <v>1676.32</v>
      </c>
      <c r="AD1745" s="618">
        <v>1313.04</v>
      </c>
      <c r="AE1745" s="2914"/>
      <c r="AF1745" s="2914"/>
      <c r="AG1745" s="2914"/>
      <c r="AH1745" s="344"/>
      <c r="AI1745" s="156"/>
      <c r="AJ1745" s="3640"/>
      <c r="AK1745" s="2915"/>
      <c r="AL1745" s="156"/>
      <c r="AM1745" s="3640"/>
      <c r="AN1745" s="3640"/>
      <c r="AO1745" s="156"/>
      <c r="AP1745" s="156"/>
      <c r="AQ1745" s="156"/>
      <c r="AR1745" s="156"/>
      <c r="AS1745" s="156"/>
      <c r="AT1745" s="156"/>
      <c r="AU1745" s="156"/>
      <c r="AV1745" s="156"/>
      <c r="AW1745" s="156"/>
      <c r="AX1745" s="156"/>
      <c r="AY1745" s="156"/>
      <c r="AZ1745" s="156"/>
      <c r="BA1745" s="156"/>
      <c r="BB1745" s="2835"/>
      <c r="BC1745" s="687" t="str">
        <f t="shared" si="321"/>
        <v>Heating Res 18 Year EUL</v>
      </c>
      <c r="BD1745" s="2829">
        <f>(INDEX('Avoided Cost Benefits'!$E$4:$E$859,MATCH(BC1745,'Avoided Cost Benefits'!$A$4:$A$859,0)))*F1745</f>
        <v>585.41068817730695</v>
      </c>
      <c r="BE1745" s="858">
        <f t="shared" si="313"/>
        <v>0</v>
      </c>
      <c r="BF1745" s="156"/>
      <c r="BH1745" s="686"/>
    </row>
    <row r="1746" spans="1:60" x14ac:dyDescent="0.35">
      <c r="A1746" s="3493" t="str">
        <f t="shared" si="327"/>
        <v>354000_2021_12_Cooling Res</v>
      </c>
      <c r="B1746" s="2812"/>
      <c r="C1746" s="1037" t="s">
        <v>1354</v>
      </c>
      <c r="D1746" s="1311" t="s">
        <v>318</v>
      </c>
      <c r="E1746" s="3418" t="s">
        <v>1355</v>
      </c>
      <c r="F1746" s="618">
        <f>ROUND(((K2818*K3011*(1/K3204-1/K3397)*K3590)/1000)*$K$3677,2)</f>
        <v>3279.13</v>
      </c>
      <c r="G1746" s="2810" t="s">
        <v>1091</v>
      </c>
      <c r="H1746" s="2720">
        <f>VLOOKUP(G1746,'CP FACTORS'!$A$3:$B$38, 2, FALSE)</f>
        <v>9.4741810000000004E-4</v>
      </c>
      <c r="I1746" s="2995">
        <f t="shared" si="320"/>
        <v>3.1067070000000001</v>
      </c>
      <c r="J1746" s="124">
        <f t="shared" si="330"/>
        <v>6</v>
      </c>
      <c r="K1746" s="462">
        <f t="shared" si="331"/>
        <v>2105.1914618743731</v>
      </c>
      <c r="L1746" s="3496">
        <f>L2046</f>
        <v>3.7731209149509808</v>
      </c>
      <c r="M1746" s="103"/>
      <c r="N1746" s="1317"/>
      <c r="O1746" s="963"/>
      <c r="P1746" s="106"/>
      <c r="Q1746" s="106"/>
      <c r="R1746" s="1214"/>
      <c r="S1746" s="106"/>
      <c r="T1746" s="106"/>
      <c r="U1746" s="1319"/>
      <c r="V1746" s="3436" t="s">
        <v>30</v>
      </c>
      <c r="W1746" s="2914">
        <v>2968.3210526315793</v>
      </c>
      <c r="X1746" s="685">
        <v>2319.9615088140517</v>
      </c>
      <c r="Y1746" s="615">
        <v>2319.96</v>
      </c>
      <c r="Z1746" s="615">
        <v>2319.96</v>
      </c>
      <c r="AA1746" s="615">
        <v>2319.96</v>
      </c>
      <c r="AB1746" s="3495">
        <v>2319.96</v>
      </c>
      <c r="AC1746" s="618">
        <v>2424.9299999999998</v>
      </c>
      <c r="AD1746" s="618">
        <v>3279.13</v>
      </c>
      <c r="AE1746" s="2914"/>
      <c r="AF1746" s="2914"/>
      <c r="AG1746" s="2914"/>
      <c r="AH1746" s="344"/>
      <c r="AI1746" s="156"/>
      <c r="AJ1746" s="3640"/>
      <c r="AK1746" s="2915"/>
      <c r="AL1746" s="156"/>
      <c r="AM1746" s="3640"/>
      <c r="AN1746" s="3640"/>
      <c r="AO1746" s="156"/>
      <c r="AP1746" s="156"/>
      <c r="AQ1746" s="156"/>
      <c r="AR1746" s="156"/>
      <c r="AS1746" s="156"/>
      <c r="AT1746" s="156"/>
      <c r="AU1746" s="156"/>
      <c r="AV1746" s="156"/>
      <c r="AW1746" s="156"/>
      <c r="AX1746" s="156"/>
      <c r="AY1746" s="156"/>
      <c r="AZ1746" s="156"/>
      <c r="BA1746" s="156"/>
      <c r="BB1746" s="2833">
        <f>(BD1746+BD1747+BD1748+BD1749)/(BE1746+BE1747+BE1748+BE1749)</f>
        <v>1.9723575003462803</v>
      </c>
      <c r="BC1746" s="2348" t="str">
        <f t="shared" si="321"/>
        <v>Cooling Res 6 Year EUL</v>
      </c>
      <c r="BD1746" s="2829">
        <f>(INDEX('Avoided Cost Benefits'!$E$4:$E$859,MATCH(BC1746,'Avoided Cost Benefits'!$A$4:$A$859,0)))*F1746</f>
        <v>2077.6960825165261</v>
      </c>
      <c r="BE1746" s="858">
        <f t="shared" si="313"/>
        <v>1986.9669295652411</v>
      </c>
      <c r="BF1746" s="156"/>
      <c r="BH1746" s="686"/>
    </row>
    <row r="1747" spans="1:60" x14ac:dyDescent="0.35">
      <c r="A1747" s="3493" t="str">
        <f t="shared" si="327"/>
        <v>354000_2021_12_Heating Res</v>
      </c>
      <c r="B1747" s="2812"/>
      <c r="C1747" s="1037" t="s">
        <v>1354</v>
      </c>
      <c r="D1747" s="1311" t="s">
        <v>318</v>
      </c>
      <c r="E1747" s="3420" t="s">
        <v>1355</v>
      </c>
      <c r="F1747" s="618">
        <f>ROUND(((K2046*K2239*(1/K2432-1/K2625)*K3590)/1000)*$K$3677,2)</f>
        <v>3393.01</v>
      </c>
      <c r="G1747" s="2810" t="s">
        <v>1092</v>
      </c>
      <c r="H1747" s="2720">
        <f>VLOOKUP(G1747,'CP FACTORS'!$A$3:$B$38, 2, FALSE)</f>
        <v>0</v>
      </c>
      <c r="I1747" s="2995">
        <f t="shared" si="320"/>
        <v>0</v>
      </c>
      <c r="J1747" s="124">
        <f t="shared" si="330"/>
        <v>6</v>
      </c>
      <c r="K1747" s="462">
        <f t="shared" si="331"/>
        <v>0</v>
      </c>
      <c r="L1747" s="3496"/>
      <c r="M1747" s="103"/>
      <c r="N1747" s="1317"/>
      <c r="O1747" s="963"/>
      <c r="P1747" s="106"/>
      <c r="Q1747" s="106"/>
      <c r="R1747" s="1214"/>
      <c r="S1747" s="106"/>
      <c r="T1747" s="106"/>
      <c r="U1747" s="1319"/>
      <c r="V1747" s="3436" t="s">
        <v>30</v>
      </c>
      <c r="W1747" s="2914">
        <v>6249.9803405572748</v>
      </c>
      <c r="X1747" s="685">
        <v>2767.3247800351946</v>
      </c>
      <c r="Y1747" s="615">
        <v>2767.32</v>
      </c>
      <c r="Z1747" s="615">
        <v>2767.32</v>
      </c>
      <c r="AA1747" s="615">
        <v>2767.32</v>
      </c>
      <c r="AB1747" s="3495">
        <v>2767.32</v>
      </c>
      <c r="AC1747" s="618">
        <v>3760.88</v>
      </c>
      <c r="AD1747" s="618">
        <v>3393.01</v>
      </c>
      <c r="AE1747" s="2914"/>
      <c r="AF1747" s="2914"/>
      <c r="AG1747" s="2914"/>
      <c r="AH1747" s="344"/>
      <c r="AI1747" s="156"/>
      <c r="AJ1747" s="3640"/>
      <c r="AK1747" s="2915"/>
      <c r="AL1747" s="156"/>
      <c r="AM1747" s="3640"/>
      <c r="AN1747" s="3640"/>
      <c r="AO1747" s="156"/>
      <c r="AP1747" s="156"/>
      <c r="AQ1747" s="156"/>
      <c r="AR1747" s="156"/>
      <c r="AS1747" s="156"/>
      <c r="AT1747" s="156"/>
      <c r="AU1747" s="156"/>
      <c r="AV1747" s="156"/>
      <c r="AW1747" s="156"/>
      <c r="AX1747" s="156"/>
      <c r="AY1747" s="156"/>
      <c r="AZ1747" s="156"/>
      <c r="BA1747" s="156"/>
      <c r="BB1747" s="2905"/>
      <c r="BC1747" s="2357" t="str">
        <f t="shared" si="321"/>
        <v>Heating Res 6 Year EUL</v>
      </c>
      <c r="BD1747" s="2829">
        <f>(INDEX('Avoided Cost Benefits'!$E$4:$E$859,MATCH(BC1747,'Avoided Cost Benefits'!$A$4:$A$859,0)))*F1747</f>
        <v>552.86108159951812</v>
      </c>
      <c r="BE1747" s="858">
        <f t="shared" si="313"/>
        <v>0</v>
      </c>
      <c r="BF1747" s="156"/>
      <c r="BH1747" s="686"/>
    </row>
    <row r="1748" spans="1:60" x14ac:dyDescent="0.35">
      <c r="A1748" s="3493" t="str">
        <f t="shared" si="327"/>
        <v>354000_2021_12_Cooling Res ER2</v>
      </c>
      <c r="B1748" s="2812"/>
      <c r="C1748" s="1037" t="s">
        <v>1354</v>
      </c>
      <c r="D1748" s="1311" t="s">
        <v>318</v>
      </c>
      <c r="E1748" s="3420" t="s">
        <v>1356</v>
      </c>
      <c r="F1748" s="618">
        <f>ROUND(((K2819*K3012*(1/K3205-1/K3398)*K3591)/1000)*$K$3677,2)</f>
        <v>816.88</v>
      </c>
      <c r="G1748" s="2810" t="s">
        <v>1133</v>
      </c>
      <c r="H1748" s="2720">
        <f>VLOOKUP(G1748,'CP FACTORS'!$A$3:$B$38, 2, FALSE)</f>
        <v>9.4741810000000004E-4</v>
      </c>
      <c r="I1748" s="2995">
        <f t="shared" si="320"/>
        <v>0.77392700000000003</v>
      </c>
      <c r="J1748" s="124">
        <f t="shared" si="330"/>
        <v>12</v>
      </c>
      <c r="K1748" s="462">
        <f t="shared" si="331"/>
        <v>0</v>
      </c>
      <c r="L1748" s="3496"/>
      <c r="M1748" s="103"/>
      <c r="N1748" s="1317"/>
      <c r="O1748" s="963"/>
      <c r="P1748" s="106"/>
      <c r="Q1748" s="106"/>
      <c r="R1748" s="1214"/>
      <c r="S1748" s="106"/>
      <c r="T1748" s="106"/>
      <c r="U1748" s="1319"/>
      <c r="V1748" s="3436" t="s">
        <v>30</v>
      </c>
      <c r="W1748" s="2914">
        <v>646.8496240601504</v>
      </c>
      <c r="X1748" s="688">
        <v>646.8496240601504</v>
      </c>
      <c r="Y1748" s="615">
        <v>646.85</v>
      </c>
      <c r="Z1748" s="615">
        <v>646.85</v>
      </c>
      <c r="AA1748" s="615">
        <v>646.85</v>
      </c>
      <c r="AB1748" s="3495">
        <v>646.85</v>
      </c>
      <c r="AC1748" s="618">
        <v>795.55</v>
      </c>
      <c r="AD1748" s="618">
        <v>816.88</v>
      </c>
      <c r="AE1748" s="2914"/>
      <c r="AF1748" s="2914"/>
      <c r="AG1748" s="2914"/>
      <c r="AH1748" s="344"/>
      <c r="AI1748" s="156"/>
      <c r="AJ1748" s="3640"/>
      <c r="AK1748" s="2915"/>
      <c r="AL1748" s="156"/>
      <c r="AM1748" s="3640"/>
      <c r="AN1748" s="3640"/>
      <c r="AO1748" s="156"/>
      <c r="AP1748" s="156"/>
      <c r="AQ1748" s="156"/>
      <c r="AR1748" s="156"/>
      <c r="AS1748" s="156"/>
      <c r="AT1748" s="156"/>
      <c r="AU1748" s="156"/>
      <c r="AV1748" s="156"/>
      <c r="AW1748" s="156"/>
      <c r="AX1748" s="156"/>
      <c r="AY1748" s="156"/>
      <c r="AZ1748" s="156"/>
      <c r="BA1748" s="156"/>
      <c r="BB1748" s="2905"/>
      <c r="BC1748" s="2357" t="str">
        <f t="shared" si="321"/>
        <v>Cooling Res ER2 12 Year EUL</v>
      </c>
      <c r="BD1748" s="2829">
        <f>(INDEX('Avoided Cost Benefits'!$E$4:$E$859,MATCH(BC1748,'Avoided Cost Benefits'!$A$4:$A$859,0)))*F1748</f>
        <v>903.90249929415756</v>
      </c>
      <c r="BE1748" s="858">
        <f t="shared" si="313"/>
        <v>0</v>
      </c>
      <c r="BF1748" s="156"/>
      <c r="BH1748" s="686"/>
    </row>
    <row r="1749" spans="1:60" x14ac:dyDescent="0.35">
      <c r="A1749" s="3493" t="str">
        <f t="shared" si="327"/>
        <v>354000_2021_12_Heating Res ER2</v>
      </c>
      <c r="B1749" s="2812"/>
      <c r="C1749" s="1037" t="s">
        <v>1354</v>
      </c>
      <c r="D1749" s="1311" t="s">
        <v>318</v>
      </c>
      <c r="E1749" s="3419" t="s">
        <v>1356</v>
      </c>
      <c r="F1749" s="618">
        <f>ROUND(((K2047*K2240*(1/K2433-1/K2626)*K3591)/1000)*$K$3677,2)</f>
        <v>1359.3</v>
      </c>
      <c r="G1749" s="2810" t="s">
        <v>1150</v>
      </c>
      <c r="H1749" s="2720">
        <f>VLOOKUP(G1749,'CP FACTORS'!$A$3:$B$38, 2, FALSE)</f>
        <v>0</v>
      </c>
      <c r="I1749" s="2995">
        <f t="shared" si="320"/>
        <v>0</v>
      </c>
      <c r="J1749" s="124">
        <f t="shared" si="330"/>
        <v>12</v>
      </c>
      <c r="K1749" s="462">
        <f t="shared" si="331"/>
        <v>0</v>
      </c>
      <c r="L1749" s="3496"/>
      <c r="M1749" s="103"/>
      <c r="N1749" s="1317"/>
      <c r="O1749" s="963"/>
      <c r="P1749" s="106"/>
      <c r="Q1749" s="106"/>
      <c r="R1749" s="1214"/>
      <c r="S1749" s="106"/>
      <c r="T1749" s="106"/>
      <c r="U1749" s="1319"/>
      <c r="V1749" s="3436" t="s">
        <v>30</v>
      </c>
      <c r="W1749" s="2914">
        <v>1327.6421052631592</v>
      </c>
      <c r="X1749" s="685">
        <v>988.62747111681745</v>
      </c>
      <c r="Y1749" s="615">
        <v>988.63</v>
      </c>
      <c r="Z1749" s="615">
        <v>988.63</v>
      </c>
      <c r="AA1749" s="615">
        <v>988.63</v>
      </c>
      <c r="AB1749" s="3495">
        <v>988.63</v>
      </c>
      <c r="AC1749" s="618">
        <v>1604.88</v>
      </c>
      <c r="AD1749" s="618">
        <v>1359.3</v>
      </c>
      <c r="AE1749" s="2914"/>
      <c r="AF1749" s="2914"/>
      <c r="AG1749" s="2914"/>
      <c r="AH1749" s="344"/>
      <c r="AI1749" s="156"/>
      <c r="AJ1749" s="3640"/>
      <c r="AK1749" s="2915"/>
      <c r="AL1749" s="156"/>
      <c r="AM1749" s="3640"/>
      <c r="AN1749" s="3640"/>
      <c r="AO1749" s="156"/>
      <c r="AP1749" s="156"/>
      <c r="AQ1749" s="156"/>
      <c r="AR1749" s="156"/>
      <c r="AS1749" s="156"/>
      <c r="AT1749" s="156"/>
      <c r="AU1749" s="156"/>
      <c r="AV1749" s="156"/>
      <c r="AW1749" s="156"/>
      <c r="AX1749" s="156"/>
      <c r="AY1749" s="156"/>
      <c r="AZ1749" s="156"/>
      <c r="BA1749" s="156"/>
      <c r="BB1749" s="2905"/>
      <c r="BC1749" s="2349" t="str">
        <f t="shared" si="321"/>
        <v>Heating Res ER2 12 Year EUL</v>
      </c>
      <c r="BD1749" s="2829">
        <f>(INDEX('Avoided Cost Benefits'!$E$4:$E$859,MATCH(BC1749,'Avoided Cost Benefits'!$A$4:$A$859,0)))*F1749</f>
        <v>384.54946305782096</v>
      </c>
      <c r="BE1749" s="858">
        <f t="shared" si="313"/>
        <v>0</v>
      </c>
      <c r="BF1749" s="156"/>
      <c r="BH1749" s="686"/>
    </row>
    <row r="1750" spans="1:60" x14ac:dyDescent="0.35">
      <c r="A1750" s="3493" t="str">
        <f t="shared" si="327"/>
        <v>354050_2021_12_Cooling Res</v>
      </c>
      <c r="B1750" s="2812"/>
      <c r="C1750" s="1037" t="s">
        <v>1358</v>
      </c>
      <c r="D1750" s="1311" t="s">
        <v>318</v>
      </c>
      <c r="E1750" s="590" t="s">
        <v>1359</v>
      </c>
      <c r="F1750" s="618">
        <f>ROUND(((K2820*K3013*(1/K3206-1/K3399)*K3592)/1000)*$K$3677,2)</f>
        <v>699.07</v>
      </c>
      <c r="G1750" s="2810" t="s">
        <v>1091</v>
      </c>
      <c r="H1750" s="2720">
        <f>VLOOKUP(G1750,'CP FACTORS'!$A$3:$B$38, 2, FALSE)</f>
        <v>9.4741810000000004E-4</v>
      </c>
      <c r="I1750" s="2995">
        <f t="shared" si="320"/>
        <v>0.66231200000000001</v>
      </c>
      <c r="J1750" s="124">
        <f t="shared" si="330"/>
        <v>18</v>
      </c>
      <c r="K1750" s="462">
        <f t="shared" si="331"/>
        <v>1203.6500000000003</v>
      </c>
      <c r="L1750" s="3496">
        <f>L2048</f>
        <v>2.9920329673076922</v>
      </c>
      <c r="M1750" s="103"/>
      <c r="N1750" s="1317"/>
      <c r="O1750" s="963"/>
      <c r="P1750" s="106"/>
      <c r="Q1750" s="106"/>
      <c r="R1750" s="1214"/>
      <c r="S1750" s="106"/>
      <c r="T1750" s="106"/>
      <c r="U1750" s="1319"/>
      <c r="V1750" s="3436" t="s">
        <v>30</v>
      </c>
      <c r="W1750" s="2914">
        <v>646.8496240601504</v>
      </c>
      <c r="X1750" s="688">
        <v>646.8496240601504</v>
      </c>
      <c r="Y1750" s="615">
        <v>646.85</v>
      </c>
      <c r="Z1750" s="615">
        <v>646.85</v>
      </c>
      <c r="AA1750" s="615">
        <v>646.85</v>
      </c>
      <c r="AB1750" s="3495">
        <v>646.85</v>
      </c>
      <c r="AC1750" s="618">
        <v>428.97</v>
      </c>
      <c r="AD1750" s="618">
        <v>699.07</v>
      </c>
      <c r="AE1750" s="2914"/>
      <c r="AF1750" s="2914"/>
      <c r="AG1750" s="2914"/>
      <c r="AH1750" s="344"/>
      <c r="AI1750" s="156"/>
      <c r="AJ1750" s="3640"/>
      <c r="AK1750" s="2915"/>
      <c r="AL1750" s="156"/>
      <c r="AM1750" s="3640"/>
      <c r="AN1750" s="3640"/>
      <c r="AO1750" s="156"/>
      <c r="AP1750" s="156"/>
      <c r="AQ1750" s="156"/>
      <c r="AR1750" s="156"/>
      <c r="AS1750" s="156"/>
      <c r="AT1750" s="156"/>
      <c r="AU1750" s="156"/>
      <c r="AV1750" s="156"/>
      <c r="AW1750" s="156"/>
      <c r="AX1750" s="156"/>
      <c r="AY1750" s="156"/>
      <c r="AZ1750" s="156"/>
      <c r="BA1750" s="156"/>
      <c r="BB1750" s="2833">
        <f>(BD1750+BD1751)/(BE1750+BE1751)</f>
        <v>1.5575611067509385</v>
      </c>
      <c r="BC1750" s="590" t="str">
        <f t="shared" si="321"/>
        <v>Cooling Res 18 Year EUL</v>
      </c>
      <c r="BD1750" s="2829">
        <f>(INDEX('Avoided Cost Benefits'!$E$4:$E$859,MATCH(BC1750,'Avoided Cost Benefits'!$A$4:$A$859,0)))*F1750</f>
        <v>1216.4812940066715</v>
      </c>
      <c r="BE1750" s="858">
        <f t="shared" si="313"/>
        <v>1136.0547428032091</v>
      </c>
      <c r="BF1750" s="156"/>
      <c r="BH1750" s="686"/>
    </row>
    <row r="1751" spans="1:60" x14ac:dyDescent="0.35">
      <c r="A1751" s="3493" t="str">
        <f t="shared" si="327"/>
        <v>354050_2021_12_Heating Res</v>
      </c>
      <c r="B1751" s="2812"/>
      <c r="C1751" s="1037" t="s">
        <v>1358</v>
      </c>
      <c r="D1751" s="1311" t="s">
        <v>318</v>
      </c>
      <c r="E1751" s="687" t="s">
        <v>1359</v>
      </c>
      <c r="F1751" s="618">
        <f>ROUND(((K2048*K2241*(1/K2434-1/K2627)*K3592)/1000)*$K$3677,2)</f>
        <v>1240.33</v>
      </c>
      <c r="G1751" s="2810" t="s">
        <v>1092</v>
      </c>
      <c r="H1751" s="2720">
        <f>VLOOKUP(G1751,'CP FACTORS'!$A$3:$B$38, 2, FALSE)</f>
        <v>0</v>
      </c>
      <c r="I1751" s="2995">
        <f t="shared" si="320"/>
        <v>0</v>
      </c>
      <c r="J1751" s="124">
        <f t="shared" si="330"/>
        <v>18</v>
      </c>
      <c r="K1751" s="462">
        <f t="shared" si="331"/>
        <v>0</v>
      </c>
      <c r="L1751" s="3496"/>
      <c r="M1751" s="103"/>
      <c r="N1751" s="1317"/>
      <c r="O1751" s="963"/>
      <c r="P1751" s="106"/>
      <c r="Q1751" s="106"/>
      <c r="R1751" s="1214"/>
      <c r="S1751" s="106"/>
      <c r="T1751" s="106"/>
      <c r="U1751" s="1319"/>
      <c r="V1751" s="3436" t="s">
        <v>30</v>
      </c>
      <c r="W1751" s="2914">
        <v>1584.0000000000018</v>
      </c>
      <c r="X1751" s="685">
        <v>1179.5241413638641</v>
      </c>
      <c r="Y1751" s="615">
        <v>1179.52</v>
      </c>
      <c r="Z1751" s="615">
        <v>1179.52</v>
      </c>
      <c r="AA1751" s="615">
        <v>1179.52</v>
      </c>
      <c r="AB1751" s="3495">
        <v>1179.52</v>
      </c>
      <c r="AC1751" s="618">
        <v>1045.1500000000001</v>
      </c>
      <c r="AD1751" s="618">
        <v>1240.33</v>
      </c>
      <c r="AE1751" s="2914"/>
      <c r="AF1751" s="2914"/>
      <c r="AG1751" s="2914"/>
      <c r="AH1751" s="344"/>
      <c r="AI1751" s="156"/>
      <c r="AJ1751" s="3640"/>
      <c r="AK1751" s="2915"/>
      <c r="AL1751" s="156"/>
      <c r="AM1751" s="3640"/>
      <c r="AN1751" s="3640"/>
      <c r="AO1751" s="156"/>
      <c r="AP1751" s="156"/>
      <c r="AQ1751" s="156"/>
      <c r="AR1751" s="156"/>
      <c r="AS1751" s="156"/>
      <c r="AT1751" s="156"/>
      <c r="AU1751" s="156"/>
      <c r="AV1751" s="156"/>
      <c r="AW1751" s="156"/>
      <c r="AX1751" s="156"/>
      <c r="AY1751" s="156"/>
      <c r="AZ1751" s="156"/>
      <c r="BA1751" s="156"/>
      <c r="BB1751" s="2835"/>
      <c r="BC1751" s="687" t="str">
        <f t="shared" si="321"/>
        <v>Heating Res 18 Year EUL</v>
      </c>
      <c r="BD1751" s="2829">
        <f>(INDEX('Avoided Cost Benefits'!$E$4:$E$859,MATCH(BC1751,'Avoided Cost Benefits'!$A$4:$A$859,0)))*F1751</f>
        <v>552.99338852354776</v>
      </c>
      <c r="BE1751" s="858">
        <f t="shared" si="313"/>
        <v>0</v>
      </c>
      <c r="BF1751" s="156"/>
      <c r="BH1751" s="686"/>
    </row>
    <row r="1752" spans="1:60" x14ac:dyDescent="0.35">
      <c r="A1752" s="3493" t="str">
        <f t="shared" si="327"/>
        <v>354100_2021_12_Cooling Res</v>
      </c>
      <c r="B1752" s="2812"/>
      <c r="C1752" s="1037" t="s">
        <v>1361</v>
      </c>
      <c r="D1752" s="1311" t="s">
        <v>318</v>
      </c>
      <c r="E1752" s="3418" t="s">
        <v>1362</v>
      </c>
      <c r="F1752" s="618">
        <f>ROUND(((K2821*K3014*(1/K3207-1/K3400)*K3593)/1000)*$K$3677,2)</f>
        <v>2219.17</v>
      </c>
      <c r="G1752" s="2810" t="s">
        <v>1091</v>
      </c>
      <c r="H1752" s="2720">
        <f>VLOOKUP(G1752,'CP FACTORS'!$A$3:$B$38, 2, FALSE)</f>
        <v>9.4741810000000004E-4</v>
      </c>
      <c r="I1752" s="2995">
        <f t="shared" si="320"/>
        <v>2.1024820000000002</v>
      </c>
      <c r="J1752" s="124">
        <f t="shared" si="330"/>
        <v>6</v>
      </c>
      <c r="K1752" s="462">
        <f t="shared" si="331"/>
        <v>1425.2574866940254</v>
      </c>
      <c r="L1752" s="3496">
        <f>L2049</f>
        <v>2.9348947349688164</v>
      </c>
      <c r="M1752" s="103"/>
      <c r="N1752" s="1317"/>
      <c r="O1752" s="963"/>
      <c r="P1752" s="106"/>
      <c r="Q1752" s="106"/>
      <c r="R1752" s="1214"/>
      <c r="S1752" s="106"/>
      <c r="T1752" s="106"/>
      <c r="U1752" s="1319"/>
      <c r="V1752" s="3436" t="s">
        <v>30</v>
      </c>
      <c r="W1752" s="2914">
        <v>2852.3647058823531</v>
      </c>
      <c r="X1752" s="685">
        <v>1979.1918367346937</v>
      </c>
      <c r="Y1752" s="615">
        <v>1979.19</v>
      </c>
      <c r="Z1752" s="615">
        <v>1979.19</v>
      </c>
      <c r="AA1752" s="615">
        <v>1979.19</v>
      </c>
      <c r="AB1752" s="3495">
        <v>1979.19</v>
      </c>
      <c r="AC1752" s="618">
        <v>1948.61</v>
      </c>
      <c r="AD1752" s="618">
        <v>2219.17</v>
      </c>
      <c r="AE1752" s="2914"/>
      <c r="AF1752" s="2914"/>
      <c r="AG1752" s="2914"/>
      <c r="AH1752" s="344"/>
      <c r="AI1752" s="156"/>
      <c r="AJ1752" s="3640"/>
      <c r="AK1752" s="2915"/>
      <c r="AL1752" s="156"/>
      <c r="AM1752" s="3640"/>
      <c r="AN1752" s="3640"/>
      <c r="AO1752" s="156"/>
      <c r="AP1752" s="156"/>
      <c r="AQ1752" s="156"/>
      <c r="AR1752" s="156"/>
      <c r="AS1752" s="156"/>
      <c r="AT1752" s="156"/>
      <c r="AU1752" s="156"/>
      <c r="AV1752" s="156"/>
      <c r="AW1752" s="156"/>
      <c r="AX1752" s="156"/>
      <c r="AY1752" s="156"/>
      <c r="AZ1752" s="156"/>
      <c r="BA1752" s="156"/>
      <c r="BB1752" s="2833">
        <f>(BD1752+BD1753+BD1754+BD1755)/(BE1752+BE1753+BE1754+BE1755)</f>
        <v>4.8184951728892678</v>
      </c>
      <c r="BC1752" s="2348" t="str">
        <f t="shared" si="321"/>
        <v>Cooling Res 6 Year EUL</v>
      </c>
      <c r="BD1752" s="2829">
        <f>(INDEX('Avoided Cost Benefits'!$E$4:$E$859,MATCH(BC1752,'Avoided Cost Benefits'!$A$4:$A$859,0)))*F1752</f>
        <v>1406.0927183241283</v>
      </c>
      <c r="BE1752" s="858">
        <f t="shared" ref="BE1752:BE1815" si="332">K1752/(1.0595^(2020-2019))</f>
        <v>1345.2170709712366</v>
      </c>
      <c r="BF1752" s="156"/>
      <c r="BH1752" s="686"/>
    </row>
    <row r="1753" spans="1:60" x14ac:dyDescent="0.35">
      <c r="A1753" s="3493" t="str">
        <f t="shared" si="327"/>
        <v>354100_2021_12_Heating Res</v>
      </c>
      <c r="B1753" s="2812"/>
      <c r="C1753" s="1037" t="s">
        <v>1361</v>
      </c>
      <c r="D1753" s="1311" t="s">
        <v>318</v>
      </c>
      <c r="E1753" s="3420" t="s">
        <v>1362</v>
      </c>
      <c r="F1753" s="618">
        <f>ROUND(((K2049*K2242*(1/K2435-1/K2628)*K3593)/1000)*$K$3677,2)</f>
        <v>9883.16</v>
      </c>
      <c r="G1753" s="2810" t="s">
        <v>1092</v>
      </c>
      <c r="H1753" s="2720">
        <f>VLOOKUP(G1753,'CP FACTORS'!$A$3:$B$38, 2, FALSE)</f>
        <v>0</v>
      </c>
      <c r="I1753" s="2995">
        <f t="shared" si="320"/>
        <v>0</v>
      </c>
      <c r="J1753" s="124">
        <f t="shared" si="330"/>
        <v>6</v>
      </c>
      <c r="K1753" s="462">
        <f t="shared" si="331"/>
        <v>0</v>
      </c>
      <c r="L1753" s="3496"/>
      <c r="M1753" s="103"/>
      <c r="N1753" s="1317"/>
      <c r="O1753" s="963"/>
      <c r="P1753" s="106"/>
      <c r="Q1753" s="106"/>
      <c r="R1753" s="1214"/>
      <c r="S1753" s="106"/>
      <c r="T1753" s="106"/>
      <c r="U1753" s="1319"/>
      <c r="V1753" s="3436" t="s">
        <v>30</v>
      </c>
      <c r="W1753" s="2914">
        <v>13965.852998065762</v>
      </c>
      <c r="X1753" s="685">
        <v>10399.659574468084</v>
      </c>
      <c r="Y1753" s="615">
        <v>10399.66</v>
      </c>
      <c r="Z1753" s="615">
        <v>10399.66</v>
      </c>
      <c r="AA1753" s="615">
        <v>10399.66</v>
      </c>
      <c r="AB1753" s="3495">
        <v>10399.66</v>
      </c>
      <c r="AC1753" s="618">
        <v>9594</v>
      </c>
      <c r="AD1753" s="618">
        <v>9883.16</v>
      </c>
      <c r="AE1753" s="2914"/>
      <c r="AF1753" s="2914"/>
      <c r="AG1753" s="2914"/>
      <c r="AH1753" s="344"/>
      <c r="AI1753" s="156"/>
      <c r="AJ1753" s="3640"/>
      <c r="AK1753" s="2915"/>
      <c r="AL1753" s="156"/>
      <c r="AM1753" s="3640"/>
      <c r="AN1753" s="3640"/>
      <c r="AO1753" s="156"/>
      <c r="AP1753" s="156"/>
      <c r="AQ1753" s="156"/>
      <c r="AR1753" s="156"/>
      <c r="AS1753" s="156"/>
      <c r="AT1753" s="156"/>
      <c r="AU1753" s="156"/>
      <c r="AV1753" s="156"/>
      <c r="AW1753" s="156"/>
      <c r="AX1753" s="156"/>
      <c r="AY1753" s="156"/>
      <c r="AZ1753" s="156"/>
      <c r="BA1753" s="156"/>
      <c r="BB1753" s="2905"/>
      <c r="BC1753" s="2357" t="str">
        <f t="shared" si="321"/>
        <v>Heating Res 6 Year EUL</v>
      </c>
      <c r="BD1753" s="2829">
        <f>(INDEX('Avoided Cost Benefits'!$E$4:$E$859,MATCH(BC1753,'Avoided Cost Benefits'!$A$4:$A$859,0)))*F1753</f>
        <v>1610.3738353913172</v>
      </c>
      <c r="BE1753" s="858">
        <f t="shared" si="332"/>
        <v>0</v>
      </c>
      <c r="BF1753" s="156"/>
      <c r="BH1753" s="686"/>
    </row>
    <row r="1754" spans="1:60" x14ac:dyDescent="0.35">
      <c r="A1754" s="3493" t="str">
        <f t="shared" si="327"/>
        <v>354100_2021_12_Cooling Res ER2</v>
      </c>
      <c r="B1754" s="2812"/>
      <c r="C1754" s="1037" t="s">
        <v>1361</v>
      </c>
      <c r="D1754" s="1311" t="s">
        <v>318</v>
      </c>
      <c r="E1754" s="3420" t="s">
        <v>1363</v>
      </c>
      <c r="F1754" s="618">
        <f>ROUND(((K2822*K3015*(1/K3208-1/K3401)*K3594)/1000)*$K$3677,2)</f>
        <v>605.03</v>
      </c>
      <c r="G1754" s="2810" t="s">
        <v>1133</v>
      </c>
      <c r="H1754" s="2720">
        <f>VLOOKUP(G1754,'CP FACTORS'!$A$3:$B$38, 2, FALSE)</f>
        <v>9.4741810000000004E-4</v>
      </c>
      <c r="I1754" s="2995">
        <f t="shared" si="320"/>
        <v>0.57321599999999995</v>
      </c>
      <c r="J1754" s="124">
        <f t="shared" si="330"/>
        <v>12</v>
      </c>
      <c r="K1754" s="462">
        <f t="shared" si="331"/>
        <v>0</v>
      </c>
      <c r="L1754" s="3496"/>
      <c r="M1754" s="103"/>
      <c r="N1754" s="1317"/>
      <c r="O1754" s="963"/>
      <c r="P1754" s="106"/>
      <c r="Q1754" s="106"/>
      <c r="R1754" s="1214"/>
      <c r="S1754" s="106"/>
      <c r="T1754" s="106"/>
      <c r="U1754" s="1319"/>
      <c r="V1754" s="3436" t="s">
        <v>30</v>
      </c>
      <c r="W1754" s="2914">
        <v>585.10045248868789</v>
      </c>
      <c r="X1754" s="688">
        <v>585.10045248868789</v>
      </c>
      <c r="Y1754" s="615">
        <v>585.1</v>
      </c>
      <c r="Z1754" s="615">
        <v>585.1</v>
      </c>
      <c r="AA1754" s="615">
        <v>585.1</v>
      </c>
      <c r="AB1754" s="3495">
        <v>585.1</v>
      </c>
      <c r="AC1754" s="618">
        <v>550.07000000000005</v>
      </c>
      <c r="AD1754" s="618">
        <v>605.03</v>
      </c>
      <c r="AE1754" s="2914"/>
      <c r="AF1754" s="2914"/>
      <c r="AG1754" s="2914"/>
      <c r="AH1754" s="344"/>
      <c r="AI1754" s="156"/>
      <c r="AJ1754" s="3640"/>
      <c r="AK1754" s="2915"/>
      <c r="AL1754" s="156"/>
      <c r="AM1754" s="3640"/>
      <c r="AN1754" s="3640"/>
      <c r="AO1754" s="156"/>
      <c r="AP1754" s="156"/>
      <c r="AQ1754" s="156"/>
      <c r="AR1754" s="156"/>
      <c r="AS1754" s="156"/>
      <c r="AT1754" s="156"/>
      <c r="AU1754" s="156"/>
      <c r="AV1754" s="156"/>
      <c r="AW1754" s="156"/>
      <c r="AX1754" s="156"/>
      <c r="AY1754" s="156"/>
      <c r="AZ1754" s="156"/>
      <c r="BA1754" s="156"/>
      <c r="BB1754" s="2905"/>
      <c r="BC1754" s="2357" t="str">
        <f t="shared" si="321"/>
        <v>Cooling Res ER2 12 Year EUL</v>
      </c>
      <c r="BD1754" s="2829">
        <f>(INDEX('Avoided Cost Benefits'!$E$4:$E$859,MATCH(BC1754,'Avoided Cost Benefits'!$A$4:$A$859,0)))*F1754</f>
        <v>669.48404802167283</v>
      </c>
      <c r="BE1754" s="858">
        <f t="shared" si="332"/>
        <v>0</v>
      </c>
      <c r="BF1754" s="156"/>
      <c r="BH1754" s="686"/>
    </row>
    <row r="1755" spans="1:60" x14ac:dyDescent="0.35">
      <c r="A1755" s="3493" t="str">
        <f t="shared" si="327"/>
        <v>354100_2021_12_Heating Res ER2</v>
      </c>
      <c r="B1755" s="2812"/>
      <c r="C1755" s="1037" t="s">
        <v>1361</v>
      </c>
      <c r="D1755" s="1311" t="s">
        <v>318</v>
      </c>
      <c r="E1755" s="3419" t="s">
        <v>1363</v>
      </c>
      <c r="F1755" s="618">
        <f>ROUND(((K2050*K2243*(1/K2436-1/K2629)*K3594)/1000)*$K$3677,2)</f>
        <v>9883.16</v>
      </c>
      <c r="G1755" s="2810" t="s">
        <v>1150</v>
      </c>
      <c r="H1755" s="2720">
        <f>VLOOKUP(G1755,'CP FACTORS'!$A$3:$B$38, 2, FALSE)</f>
        <v>0</v>
      </c>
      <c r="I1755" s="2995">
        <f t="shared" si="320"/>
        <v>0</v>
      </c>
      <c r="J1755" s="124">
        <f t="shared" si="330"/>
        <v>12</v>
      </c>
      <c r="K1755" s="462">
        <f t="shared" si="331"/>
        <v>0</v>
      </c>
      <c r="L1755" s="3496"/>
      <c r="M1755" s="103"/>
      <c r="N1755" s="1317"/>
      <c r="O1755" s="963"/>
      <c r="P1755" s="106"/>
      <c r="Q1755" s="106"/>
      <c r="R1755" s="1214"/>
      <c r="S1755" s="106"/>
      <c r="T1755" s="106"/>
      <c r="U1755" s="1319"/>
      <c r="V1755" s="3436" t="s">
        <v>30</v>
      </c>
      <c r="W1755" s="2914">
        <v>13965.852998065762</v>
      </c>
      <c r="X1755" s="685">
        <v>10399.659574468084</v>
      </c>
      <c r="Y1755" s="615">
        <v>10399.66</v>
      </c>
      <c r="Z1755" s="615">
        <v>10399.66</v>
      </c>
      <c r="AA1755" s="615">
        <v>10399.66</v>
      </c>
      <c r="AB1755" s="3495">
        <v>10399.66</v>
      </c>
      <c r="AC1755" s="618">
        <v>9594</v>
      </c>
      <c r="AD1755" s="618">
        <v>9883.16</v>
      </c>
      <c r="AE1755" s="2914"/>
      <c r="AF1755" s="2914"/>
      <c r="AG1755" s="2914"/>
      <c r="AH1755" s="344"/>
      <c r="AI1755" s="156"/>
      <c r="AJ1755" s="3640"/>
      <c r="AK1755" s="2915"/>
      <c r="AL1755" s="156"/>
      <c r="AM1755" s="3640"/>
      <c r="AN1755" s="3640"/>
      <c r="AO1755" s="156"/>
      <c r="AP1755" s="156"/>
      <c r="AQ1755" s="156"/>
      <c r="AR1755" s="156"/>
      <c r="AS1755" s="156"/>
      <c r="AT1755" s="156"/>
      <c r="AU1755" s="156"/>
      <c r="AV1755" s="156"/>
      <c r="AW1755" s="156"/>
      <c r="AX1755" s="156"/>
      <c r="AY1755" s="156"/>
      <c r="AZ1755" s="156"/>
      <c r="BA1755" s="156"/>
      <c r="BB1755" s="2905"/>
      <c r="BC1755" s="2349" t="str">
        <f t="shared" si="321"/>
        <v>Heating Res ER2 12 Year EUL</v>
      </c>
      <c r="BD1755" s="2829">
        <f>(INDEX('Avoided Cost Benefits'!$E$4:$E$859,MATCH(BC1755,'Avoided Cost Benefits'!$A$4:$A$859,0)))*F1755</f>
        <v>2795.9713612260234</v>
      </c>
      <c r="BE1755" s="858">
        <f t="shared" si="332"/>
        <v>0</v>
      </c>
      <c r="BF1755" s="156"/>
      <c r="BH1755" s="686"/>
    </row>
    <row r="1756" spans="1:60" x14ac:dyDescent="0.35">
      <c r="A1756" s="3493" t="str">
        <f t="shared" si="327"/>
        <v>354110_2021_12_Cooling Res</v>
      </c>
      <c r="B1756" s="2812"/>
      <c r="C1756" s="1037" t="s">
        <v>1364</v>
      </c>
      <c r="D1756" s="1311" t="s">
        <v>318</v>
      </c>
      <c r="E1756" s="3420" t="s">
        <v>1365</v>
      </c>
      <c r="F1756" s="618">
        <f>ROUND(((K2823*K3016*(1/K3209-1/K3402)*K3595)/1000)*$K$3677,2)</f>
        <v>2219.17</v>
      </c>
      <c r="G1756" s="2810" t="s">
        <v>1091</v>
      </c>
      <c r="H1756" s="2720">
        <f>VLOOKUP(G1756,'CP FACTORS'!$A$3:$B$38, 2, FALSE)</f>
        <v>9.4741810000000004E-4</v>
      </c>
      <c r="I1756" s="2995">
        <f t="shared" si="320"/>
        <v>2.1024820000000002</v>
      </c>
      <c r="J1756" s="124">
        <f t="shared" si="330"/>
        <v>6</v>
      </c>
      <c r="K1756" s="462">
        <f t="shared" si="331"/>
        <v>1425.2574866940254</v>
      </c>
      <c r="L1756" s="3496">
        <f>L2051</f>
        <v>2.9348947349688164</v>
      </c>
      <c r="M1756" s="103"/>
      <c r="N1756" s="1317"/>
      <c r="O1756" s="963"/>
      <c r="P1756" s="106"/>
      <c r="Q1756" s="106"/>
      <c r="R1756" s="1214"/>
      <c r="S1756" s="106"/>
      <c r="T1756" s="106"/>
      <c r="U1756" s="1319"/>
      <c r="V1756" s="1590" t="s">
        <v>30</v>
      </c>
      <c r="W1756" s="2914"/>
      <c r="X1756" s="685"/>
      <c r="Y1756" s="615"/>
      <c r="Z1756" s="615"/>
      <c r="AA1756" s="615"/>
      <c r="AB1756" s="3495"/>
      <c r="AC1756" s="618">
        <v>1948.61</v>
      </c>
      <c r="AD1756" s="618">
        <v>2219.17</v>
      </c>
      <c r="AE1756" s="2914"/>
      <c r="AF1756" s="2914"/>
      <c r="AG1756" s="2914"/>
      <c r="AH1756" s="344"/>
      <c r="AI1756" s="156"/>
      <c r="AJ1756" s="3640"/>
      <c r="AK1756" s="2915"/>
      <c r="AL1756" s="156"/>
      <c r="AM1756" s="3640"/>
      <c r="AN1756" s="3640"/>
      <c r="AO1756" s="156"/>
      <c r="AP1756" s="156"/>
      <c r="AQ1756" s="156"/>
      <c r="AR1756" s="156"/>
      <c r="AS1756" s="156"/>
      <c r="AT1756" s="156"/>
      <c r="AU1756" s="156"/>
      <c r="AV1756" s="156"/>
      <c r="AW1756" s="156"/>
      <c r="AX1756" s="156"/>
      <c r="AY1756" s="156"/>
      <c r="AZ1756" s="156"/>
      <c r="BA1756" s="156"/>
      <c r="BB1756" s="2741">
        <f>(BD1756+BD1757+BD1758+BD1759)/(BE1756+BE1757+BE1758+BE1759)</f>
        <v>1.5429307367079799</v>
      </c>
      <c r="BC1756" s="2742" t="str">
        <f t="shared" si="321"/>
        <v>Cooling Res 6 Year EUL</v>
      </c>
      <c r="BD1756" s="1841">
        <f>(INDEX('Avoided Cost Benefits'!$E$4:$E$859,MATCH(BC1756,'Avoided Cost Benefits'!$A$4:$A$859,0)))*F1756</f>
        <v>1406.0927183241283</v>
      </c>
      <c r="BE1756" s="2507">
        <f t="shared" si="332"/>
        <v>1345.2170709712366</v>
      </c>
      <c r="BF1756" s="156"/>
      <c r="BH1756" s="686"/>
    </row>
    <row r="1757" spans="1:60" x14ac:dyDescent="0.35">
      <c r="A1757" s="3493" t="str">
        <f t="shared" si="327"/>
        <v>354110_2021_12_Heating Res</v>
      </c>
      <c r="B1757" s="2812"/>
      <c r="C1757" s="1037" t="s">
        <v>1364</v>
      </c>
      <c r="D1757" s="1311" t="s">
        <v>318</v>
      </c>
      <c r="E1757" s="3420" t="s">
        <v>1365</v>
      </c>
      <c r="F1757" s="615">
        <v>0</v>
      </c>
      <c r="G1757" s="1313" t="s">
        <v>1092</v>
      </c>
      <c r="H1757" s="136">
        <f>VLOOKUP(G1757,'CP FACTORS'!$A$3:$B$38, 2, FALSE)</f>
        <v>0</v>
      </c>
      <c r="I1757" s="3497">
        <f t="shared" si="320"/>
        <v>0</v>
      </c>
      <c r="J1757" s="124">
        <f t="shared" si="330"/>
        <v>6</v>
      </c>
      <c r="K1757" s="462">
        <f t="shared" si="331"/>
        <v>0</v>
      </c>
      <c r="L1757" s="3496"/>
      <c r="M1757" s="103"/>
      <c r="N1757" s="1317"/>
      <c r="O1757" s="963"/>
      <c r="P1757" s="106"/>
      <c r="Q1757" s="106"/>
      <c r="R1757" s="1214"/>
      <c r="S1757" s="106"/>
      <c r="T1757" s="106"/>
      <c r="U1757" s="1319"/>
      <c r="V1757" s="1590" t="s">
        <v>30</v>
      </c>
      <c r="W1757" s="2914"/>
      <c r="X1757" s="685"/>
      <c r="Y1757" s="615"/>
      <c r="Z1757" s="615"/>
      <c r="AA1757" s="615"/>
      <c r="AB1757" s="3495"/>
      <c r="AC1757" s="618">
        <v>0</v>
      </c>
      <c r="AD1757" s="615">
        <v>0</v>
      </c>
      <c r="AE1757" s="2914"/>
      <c r="AF1757" s="2914"/>
      <c r="AG1757" s="2914"/>
      <c r="AH1757" s="344"/>
      <c r="AI1757" s="156"/>
      <c r="AJ1757" s="3640"/>
      <c r="AK1757" s="2915"/>
      <c r="AL1757" s="156"/>
      <c r="AM1757" s="3640"/>
      <c r="AN1757" s="3640"/>
      <c r="AO1757" s="156"/>
      <c r="AP1757" s="156"/>
      <c r="AQ1757" s="156"/>
      <c r="AR1757" s="156"/>
      <c r="AS1757" s="156"/>
      <c r="AT1757" s="156"/>
      <c r="AU1757" s="156"/>
      <c r="AV1757" s="156"/>
      <c r="AW1757" s="156"/>
      <c r="AX1757" s="156"/>
      <c r="AY1757" s="156"/>
      <c r="AZ1757" s="156"/>
      <c r="BA1757" s="156"/>
      <c r="BB1757" s="2743"/>
      <c r="BC1757" s="2742" t="str">
        <f t="shared" si="321"/>
        <v>Heating Res 6 Year EUL</v>
      </c>
      <c r="BD1757" s="1841">
        <f>(INDEX('Avoided Cost Benefits'!$E$4:$E$859,MATCH(BC1757,'Avoided Cost Benefits'!$A$4:$A$859,0)))*F1757</f>
        <v>0</v>
      </c>
      <c r="BE1757" s="2507">
        <f t="shared" si="332"/>
        <v>0</v>
      </c>
      <c r="BF1757" s="156"/>
      <c r="BH1757" s="686"/>
    </row>
    <row r="1758" spans="1:60" x14ac:dyDescent="0.35">
      <c r="A1758" s="3493" t="str">
        <f t="shared" si="327"/>
        <v>354110_2021_12_Cooling Res ER2</v>
      </c>
      <c r="B1758" s="2812"/>
      <c r="C1758" s="1037" t="s">
        <v>1364</v>
      </c>
      <c r="D1758" s="1311" t="s">
        <v>318</v>
      </c>
      <c r="E1758" s="3420" t="s">
        <v>1366</v>
      </c>
      <c r="F1758" s="618">
        <f t="shared" ref="F1758" si="333">ROUND(((K2824*K3017*(1/K3210-1/K3403)*K3596)/1000)*$K$3677,2)</f>
        <v>605.03</v>
      </c>
      <c r="G1758" s="2810" t="s">
        <v>1133</v>
      </c>
      <c r="H1758" s="2720">
        <f>VLOOKUP(G1758,'CP FACTORS'!$A$3:$B$38, 2, FALSE)</f>
        <v>9.4741810000000004E-4</v>
      </c>
      <c r="I1758" s="2995">
        <f t="shared" si="320"/>
        <v>0.57321599999999995</v>
      </c>
      <c r="J1758" s="124">
        <f t="shared" si="330"/>
        <v>12</v>
      </c>
      <c r="K1758" s="462">
        <f t="shared" si="331"/>
        <v>0</v>
      </c>
      <c r="L1758" s="3496"/>
      <c r="M1758" s="103"/>
      <c r="N1758" s="1317"/>
      <c r="O1758" s="963"/>
      <c r="P1758" s="106"/>
      <c r="Q1758" s="106"/>
      <c r="R1758" s="1214"/>
      <c r="S1758" s="106"/>
      <c r="T1758" s="106"/>
      <c r="U1758" s="1319"/>
      <c r="V1758" s="1590" t="s">
        <v>30</v>
      </c>
      <c r="W1758" s="2914"/>
      <c r="X1758" s="685"/>
      <c r="Y1758" s="615"/>
      <c r="Z1758" s="615"/>
      <c r="AA1758" s="615"/>
      <c r="AB1758" s="3495"/>
      <c r="AC1758" s="618">
        <v>550.07000000000005</v>
      </c>
      <c r="AD1758" s="618">
        <v>605.03</v>
      </c>
      <c r="AE1758" s="2914"/>
      <c r="AF1758" s="2914"/>
      <c r="AG1758" s="2914"/>
      <c r="AH1758" s="344"/>
      <c r="AI1758" s="156"/>
      <c r="AJ1758" s="3640"/>
      <c r="AK1758" s="2915"/>
      <c r="AL1758" s="156"/>
      <c r="AM1758" s="3640"/>
      <c r="AN1758" s="3640"/>
      <c r="AO1758" s="156"/>
      <c r="AP1758" s="156"/>
      <c r="AQ1758" s="156"/>
      <c r="AR1758" s="156"/>
      <c r="AS1758" s="156"/>
      <c r="AT1758" s="156"/>
      <c r="AU1758" s="156"/>
      <c r="AV1758" s="156"/>
      <c r="AW1758" s="156"/>
      <c r="AX1758" s="156"/>
      <c r="AY1758" s="156"/>
      <c r="AZ1758" s="156"/>
      <c r="BA1758" s="156"/>
      <c r="BB1758" s="2743"/>
      <c r="BC1758" s="2742" t="str">
        <f t="shared" si="321"/>
        <v>Cooling Res ER2 12 Year EUL</v>
      </c>
      <c r="BD1758" s="1841">
        <f>(INDEX('Avoided Cost Benefits'!$E$4:$E$859,MATCH(BC1758,'Avoided Cost Benefits'!$A$4:$A$859,0)))*F1758</f>
        <v>669.48404802167283</v>
      </c>
      <c r="BE1758" s="2507">
        <f t="shared" si="332"/>
        <v>0</v>
      </c>
      <c r="BF1758" s="156"/>
      <c r="BH1758" s="686"/>
    </row>
    <row r="1759" spans="1:60" x14ac:dyDescent="0.35">
      <c r="A1759" s="3493" t="str">
        <f t="shared" si="327"/>
        <v>354110_2021_12_Heating Res ER2</v>
      </c>
      <c r="B1759" s="2812"/>
      <c r="C1759" s="1037" t="s">
        <v>1364</v>
      </c>
      <c r="D1759" s="1311" t="s">
        <v>318</v>
      </c>
      <c r="E1759" s="3420" t="s">
        <v>1366</v>
      </c>
      <c r="F1759" s="615">
        <f>0</f>
        <v>0</v>
      </c>
      <c r="G1759" s="1313" t="s">
        <v>1150</v>
      </c>
      <c r="H1759" s="136">
        <f>VLOOKUP(G1759,'CP FACTORS'!$A$3:$B$38, 2, FALSE)</f>
        <v>0</v>
      </c>
      <c r="I1759" s="3497">
        <f t="shared" si="320"/>
        <v>0</v>
      </c>
      <c r="J1759" s="124">
        <f t="shared" si="330"/>
        <v>12</v>
      </c>
      <c r="K1759" s="462">
        <f t="shared" si="331"/>
        <v>0</v>
      </c>
      <c r="L1759" s="3496"/>
      <c r="M1759" s="103"/>
      <c r="N1759" s="1317"/>
      <c r="O1759" s="963"/>
      <c r="P1759" s="106"/>
      <c r="Q1759" s="106"/>
      <c r="R1759" s="1214"/>
      <c r="S1759" s="106"/>
      <c r="T1759" s="106"/>
      <c r="U1759" s="1319"/>
      <c r="V1759" s="1590" t="s">
        <v>30</v>
      </c>
      <c r="W1759" s="2914"/>
      <c r="X1759" s="685"/>
      <c r="Y1759" s="615"/>
      <c r="Z1759" s="615"/>
      <c r="AA1759" s="615"/>
      <c r="AB1759" s="3495"/>
      <c r="AC1759" s="618">
        <v>0</v>
      </c>
      <c r="AD1759" s="615">
        <v>0</v>
      </c>
      <c r="AE1759" s="2914"/>
      <c r="AF1759" s="2914"/>
      <c r="AG1759" s="2914"/>
      <c r="AH1759" s="344"/>
      <c r="AI1759" s="156"/>
      <c r="AJ1759" s="3640"/>
      <c r="AK1759" s="2915"/>
      <c r="AL1759" s="156"/>
      <c r="AM1759" s="3640"/>
      <c r="AN1759" s="3640"/>
      <c r="AO1759" s="156"/>
      <c r="AP1759" s="156"/>
      <c r="AQ1759" s="156"/>
      <c r="AR1759" s="156"/>
      <c r="AS1759" s="156"/>
      <c r="AT1759" s="156"/>
      <c r="AU1759" s="156"/>
      <c r="AV1759" s="156"/>
      <c r="AW1759" s="156"/>
      <c r="AX1759" s="156"/>
      <c r="AY1759" s="156"/>
      <c r="AZ1759" s="156"/>
      <c r="BA1759" s="156"/>
      <c r="BB1759" s="2743"/>
      <c r="BC1759" s="2742" t="str">
        <f t="shared" si="321"/>
        <v>Heating Res ER2 12 Year EUL</v>
      </c>
      <c r="BD1759" s="1841">
        <f>(INDEX('Avoided Cost Benefits'!$E$4:$E$859,MATCH(BC1759,'Avoided Cost Benefits'!$A$4:$A$859,0)))*F1759</f>
        <v>0</v>
      </c>
      <c r="BE1759" s="2507">
        <f t="shared" si="332"/>
        <v>0</v>
      </c>
      <c r="BF1759" s="156"/>
      <c r="BH1759" s="686"/>
    </row>
    <row r="1760" spans="1:60" x14ac:dyDescent="0.35">
      <c r="A1760" s="3493" t="str">
        <f t="shared" si="327"/>
        <v>354150_2019_12_Cooling Res</v>
      </c>
      <c r="B1760" s="2812"/>
      <c r="C1760" s="1037" t="s">
        <v>1367</v>
      </c>
      <c r="D1760" s="1311" t="s">
        <v>320</v>
      </c>
      <c r="E1760" s="3418" t="s">
        <v>1368</v>
      </c>
      <c r="F1760" s="615">
        <f>ROUND((($K$2825*$K$3018*(1/$K$3211-1/$K$3404)*$K$3597)/1000)*$K$3677,2)</f>
        <v>1286.47</v>
      </c>
      <c r="G1760" s="1313" t="s">
        <v>1091</v>
      </c>
      <c r="H1760" s="136">
        <f>VLOOKUP(G1760,'CP FACTORS'!$A$3:$B$38, 2, FALSE)</f>
        <v>9.4741810000000004E-4</v>
      </c>
      <c r="I1760" s="3497">
        <f t="shared" si="320"/>
        <v>1.218825</v>
      </c>
      <c r="J1760" s="124">
        <f t="shared" si="330"/>
        <v>6</v>
      </c>
      <c r="K1760" s="462">
        <f t="shared" si="331"/>
        <v>1205.4598012161669</v>
      </c>
      <c r="L1760" s="689">
        <f>L2053</f>
        <v>3.1</v>
      </c>
      <c r="M1760" s="103"/>
      <c r="N1760" s="1317"/>
      <c r="O1760" s="963"/>
      <c r="P1760" s="106"/>
      <c r="Q1760" s="106"/>
      <c r="R1760" s="1214"/>
      <c r="S1760" s="106"/>
      <c r="T1760" s="106"/>
      <c r="U1760" s="1319"/>
      <c r="V1760" s="3436" t="s">
        <v>30</v>
      </c>
      <c r="W1760" s="2914">
        <v>1854.0370588235296</v>
      </c>
      <c r="X1760" s="685">
        <v>1286.4746938775511</v>
      </c>
      <c r="Y1760" s="615">
        <v>1286.47</v>
      </c>
      <c r="Z1760" s="615">
        <v>1286.47</v>
      </c>
      <c r="AA1760" s="615">
        <v>1286.47</v>
      </c>
      <c r="AB1760" s="3495">
        <v>1286.47</v>
      </c>
      <c r="AC1760" s="2912">
        <v>1286.47</v>
      </c>
      <c r="AD1760" s="615">
        <v>1286.47</v>
      </c>
      <c r="AE1760" s="2914"/>
      <c r="AF1760" s="2914"/>
      <c r="AG1760" s="2914"/>
      <c r="AH1760" s="344"/>
      <c r="AI1760" s="156"/>
      <c r="AJ1760" s="3640"/>
      <c r="AK1760" s="2915"/>
      <c r="AL1760" s="156"/>
      <c r="AM1760" s="3640"/>
      <c r="AN1760" s="3640"/>
      <c r="AO1760" s="156"/>
      <c r="AP1760" s="156"/>
      <c r="AQ1760" s="156"/>
      <c r="AR1760" s="156"/>
      <c r="AS1760" s="156"/>
      <c r="AT1760" s="156"/>
      <c r="AU1760" s="156"/>
      <c r="AV1760" s="156"/>
      <c r="AW1760" s="156"/>
      <c r="AX1760" s="156"/>
      <c r="AY1760" s="156"/>
      <c r="AZ1760" s="156"/>
      <c r="BA1760" s="156"/>
      <c r="BB1760" s="2833">
        <f>(BD1760+BD1761+BD1762+BD1763)/(BE1760+BE1761+BE1762+BE1763)</f>
        <v>3.7351930892953478</v>
      </c>
      <c r="BC1760" s="2348" t="str">
        <f t="shared" si="321"/>
        <v>Cooling Res 6 Year EUL</v>
      </c>
      <c r="BD1760" s="2829">
        <f>(INDEX('Avoided Cost Benefits'!$E$4:$E$859,MATCH(BC1760,'Avoided Cost Benefits'!$A$4:$A$859,0)))*F1760</f>
        <v>815.12281589172596</v>
      </c>
      <c r="BE1760" s="858">
        <f t="shared" si="332"/>
        <v>1137.7629081794873</v>
      </c>
      <c r="BF1760" s="156"/>
      <c r="BH1760" s="686"/>
    </row>
    <row r="1761" spans="1:60" x14ac:dyDescent="0.35">
      <c r="A1761" s="3493" t="str">
        <f t="shared" si="327"/>
        <v>354150_2019_12_Heating Res</v>
      </c>
      <c r="B1761" s="2812"/>
      <c r="C1761" s="1037" t="s">
        <v>1367</v>
      </c>
      <c r="D1761" s="1311" t="s">
        <v>320</v>
      </c>
      <c r="E1761" s="3420" t="s">
        <v>1368</v>
      </c>
      <c r="F1761" s="615">
        <f>ROUND((($K$2053*$K$2246*(1/$K$2439-1/$K$2632)*$K$3597)/1000)*$K$3677,2)</f>
        <v>6759.78</v>
      </c>
      <c r="G1761" s="1313" t="s">
        <v>1092</v>
      </c>
      <c r="H1761" s="136">
        <f>VLOOKUP(G1761,'CP FACTORS'!$A$3:$B$38, 2, FALSE)</f>
        <v>0</v>
      </c>
      <c r="I1761" s="3497">
        <f t="shared" si="320"/>
        <v>0</v>
      </c>
      <c r="J1761" s="124">
        <f t="shared" si="330"/>
        <v>6</v>
      </c>
      <c r="K1761" s="462">
        <f t="shared" si="331"/>
        <v>0</v>
      </c>
      <c r="L1761" s="689"/>
      <c r="M1761" s="103"/>
      <c r="N1761" s="1317"/>
      <c r="O1761" s="963"/>
      <c r="P1761" s="106"/>
      <c r="Q1761" s="106"/>
      <c r="R1761" s="1214"/>
      <c r="S1761" s="106"/>
      <c r="T1761" s="106"/>
      <c r="U1761" s="1319"/>
      <c r="V1761" s="3436" t="s">
        <v>30</v>
      </c>
      <c r="W1761" s="2914">
        <v>9077.8044487427451</v>
      </c>
      <c r="X1761" s="685">
        <v>6759.7787234042544</v>
      </c>
      <c r="Y1761" s="615">
        <v>6759.78</v>
      </c>
      <c r="Z1761" s="615">
        <v>6759.78</v>
      </c>
      <c r="AA1761" s="615">
        <v>6759.78</v>
      </c>
      <c r="AB1761" s="3495">
        <v>6759.78</v>
      </c>
      <c r="AC1761" s="2912">
        <v>6759.78</v>
      </c>
      <c r="AD1761" s="615">
        <v>6759.78</v>
      </c>
      <c r="AE1761" s="2914"/>
      <c r="AF1761" s="2914"/>
      <c r="AG1761" s="2914"/>
      <c r="AH1761" s="344"/>
      <c r="AI1761" s="156"/>
      <c r="AJ1761" s="3640"/>
      <c r="AK1761" s="2915"/>
      <c r="AL1761" s="156"/>
      <c r="AM1761" s="3640"/>
      <c r="AN1761" s="3640"/>
      <c r="AO1761" s="156"/>
      <c r="AP1761" s="156"/>
      <c r="AQ1761" s="156"/>
      <c r="AR1761" s="156"/>
      <c r="AS1761" s="156"/>
      <c r="AT1761" s="156"/>
      <c r="AU1761" s="156"/>
      <c r="AV1761" s="156"/>
      <c r="AW1761" s="156"/>
      <c r="AX1761" s="156"/>
      <c r="AY1761" s="156"/>
      <c r="AZ1761" s="156"/>
      <c r="BA1761" s="156"/>
      <c r="BB1761" s="2905"/>
      <c r="BC1761" s="2357" t="str">
        <f t="shared" si="321"/>
        <v>Heating Res 6 Year EUL</v>
      </c>
      <c r="BD1761" s="2829">
        <f>(INDEX('Avoided Cost Benefits'!$E$4:$E$859,MATCH(BC1761,'Avoided Cost Benefits'!$A$4:$A$859,0)))*F1761</f>
        <v>1101.4465864158344</v>
      </c>
      <c r="BE1761" s="858">
        <f t="shared" si="332"/>
        <v>0</v>
      </c>
      <c r="BF1761" s="156"/>
      <c r="BH1761" s="686"/>
    </row>
    <row r="1762" spans="1:60" x14ac:dyDescent="0.35">
      <c r="A1762" s="3493" t="str">
        <f t="shared" si="327"/>
        <v>354150_2019_12_Cooling Res ER2</v>
      </c>
      <c r="B1762" s="2812"/>
      <c r="C1762" s="1037" t="s">
        <v>1367</v>
      </c>
      <c r="D1762" s="1311" t="s">
        <v>320</v>
      </c>
      <c r="E1762" s="3420" t="s">
        <v>1369</v>
      </c>
      <c r="F1762" s="615">
        <f>ROUND((($K$2826*$K$3019*(1/$K$3212-1/$K$3405)*$K$3598)/1000)*$K$3677,2)</f>
        <v>380.32</v>
      </c>
      <c r="G1762" s="1313" t="s">
        <v>1133</v>
      </c>
      <c r="H1762" s="136">
        <f>VLOOKUP(G1762,'CP FACTORS'!$A$3:$B$38, 2, FALSE)</f>
        <v>9.4741810000000004E-4</v>
      </c>
      <c r="I1762" s="3497">
        <f t="shared" si="320"/>
        <v>0.36032199999999998</v>
      </c>
      <c r="J1762" s="124">
        <f t="shared" si="330"/>
        <v>12</v>
      </c>
      <c r="K1762" s="462">
        <f t="shared" si="331"/>
        <v>0</v>
      </c>
      <c r="L1762" s="689"/>
      <c r="M1762" s="103"/>
      <c r="N1762" s="1317"/>
      <c r="O1762" s="963"/>
      <c r="P1762" s="106"/>
      <c r="Q1762" s="106"/>
      <c r="R1762" s="1214"/>
      <c r="S1762" s="106"/>
      <c r="T1762" s="106"/>
      <c r="U1762" s="1319"/>
      <c r="V1762" s="3436" t="s">
        <v>30</v>
      </c>
      <c r="W1762" s="2914">
        <v>380.31529411764717</v>
      </c>
      <c r="X1762" s="688">
        <v>380.31529411764717</v>
      </c>
      <c r="Y1762" s="615">
        <v>380.32</v>
      </c>
      <c r="Z1762" s="615">
        <v>380.32</v>
      </c>
      <c r="AA1762" s="615">
        <v>380.32</v>
      </c>
      <c r="AB1762" s="3495">
        <v>380.32</v>
      </c>
      <c r="AC1762" s="2912">
        <v>380.32</v>
      </c>
      <c r="AD1762" s="615">
        <v>380.32</v>
      </c>
      <c r="AE1762" s="2914"/>
      <c r="AF1762" s="2914"/>
      <c r="AG1762" s="2914"/>
      <c r="AH1762" s="344"/>
      <c r="AI1762" s="156"/>
      <c r="AJ1762" s="3640"/>
      <c r="AK1762" s="2915"/>
      <c r="AL1762" s="156"/>
      <c r="AM1762" s="3640"/>
      <c r="AN1762" s="3640"/>
      <c r="AO1762" s="156"/>
      <c r="AP1762" s="156"/>
      <c r="AQ1762" s="156"/>
      <c r="AR1762" s="156"/>
      <c r="AS1762" s="156"/>
      <c r="AT1762" s="156"/>
      <c r="AU1762" s="156"/>
      <c r="AV1762" s="156"/>
      <c r="AW1762" s="156"/>
      <c r="AX1762" s="156"/>
      <c r="AY1762" s="156"/>
      <c r="AZ1762" s="156"/>
      <c r="BA1762" s="156"/>
      <c r="BB1762" s="2905"/>
      <c r="BC1762" s="2357" t="str">
        <f t="shared" si="321"/>
        <v>Cooling Res ER2 12 Year EUL</v>
      </c>
      <c r="BD1762" s="2829">
        <f>(INDEX('Avoided Cost Benefits'!$E$4:$E$859,MATCH(BC1762,'Avoided Cost Benefits'!$A$4:$A$859,0)))*F1762</f>
        <v>420.83561665306291</v>
      </c>
      <c r="BE1762" s="858">
        <f t="shared" si="332"/>
        <v>0</v>
      </c>
      <c r="BF1762" s="156"/>
      <c r="BH1762" s="686"/>
    </row>
    <row r="1763" spans="1:60" x14ac:dyDescent="0.35">
      <c r="A1763" s="3493" t="str">
        <f t="shared" si="327"/>
        <v>354150_2019_12_Heating Res ER2</v>
      </c>
      <c r="B1763" s="2812"/>
      <c r="C1763" s="1037" t="s">
        <v>1367</v>
      </c>
      <c r="D1763" s="1311" t="s">
        <v>320</v>
      </c>
      <c r="E1763" s="3419" t="s">
        <v>1369</v>
      </c>
      <c r="F1763" s="615">
        <f>ROUND((($K$2054*$K$2247*(1/$K$2440-1/$K$2633)*$K$3598)/1000)*$K$3677,2)</f>
        <v>6759.78</v>
      </c>
      <c r="G1763" s="1313" t="s">
        <v>1150</v>
      </c>
      <c r="H1763" s="136">
        <f>VLOOKUP(G1763,'CP FACTORS'!$A$3:$B$38, 2, FALSE)</f>
        <v>0</v>
      </c>
      <c r="I1763" s="3497">
        <f t="shared" si="320"/>
        <v>0</v>
      </c>
      <c r="J1763" s="124">
        <f t="shared" si="330"/>
        <v>12</v>
      </c>
      <c r="K1763" s="462">
        <f t="shared" si="331"/>
        <v>0</v>
      </c>
      <c r="L1763" s="689"/>
      <c r="M1763" s="103"/>
      <c r="N1763" s="1317"/>
      <c r="O1763" s="963"/>
      <c r="P1763" s="106"/>
      <c r="Q1763" s="106"/>
      <c r="R1763" s="1214"/>
      <c r="S1763" s="106"/>
      <c r="T1763" s="106"/>
      <c r="U1763" s="1319"/>
      <c r="V1763" s="3436" t="s">
        <v>30</v>
      </c>
      <c r="W1763" s="2914">
        <v>9077.8044487427451</v>
      </c>
      <c r="X1763" s="685">
        <v>6759.7787234042544</v>
      </c>
      <c r="Y1763" s="615">
        <v>6759.78</v>
      </c>
      <c r="Z1763" s="615">
        <v>6759.78</v>
      </c>
      <c r="AA1763" s="615">
        <v>6759.78</v>
      </c>
      <c r="AB1763" s="3495">
        <v>6759.78</v>
      </c>
      <c r="AC1763" s="2912">
        <v>6759.78</v>
      </c>
      <c r="AD1763" s="615">
        <v>6759.78</v>
      </c>
      <c r="AE1763" s="2914"/>
      <c r="AF1763" s="2914"/>
      <c r="AG1763" s="2914"/>
      <c r="AH1763" s="344"/>
      <c r="AI1763" s="156"/>
      <c r="AJ1763" s="3640"/>
      <c r="AK1763" s="2915"/>
      <c r="AL1763" s="156"/>
      <c r="AM1763" s="3640"/>
      <c r="AN1763" s="3640"/>
      <c r="AO1763" s="156"/>
      <c r="AP1763" s="156"/>
      <c r="AQ1763" s="156"/>
      <c r="AR1763" s="156"/>
      <c r="AS1763" s="156"/>
      <c r="AT1763" s="156"/>
      <c r="AU1763" s="156"/>
      <c r="AV1763" s="156"/>
      <c r="AW1763" s="156"/>
      <c r="AX1763" s="156"/>
      <c r="AY1763" s="156"/>
      <c r="AZ1763" s="156"/>
      <c r="BA1763" s="156"/>
      <c r="BB1763" s="2905"/>
      <c r="BC1763" s="2349" t="str">
        <f t="shared" si="321"/>
        <v>Heating Res ER2 12 Year EUL</v>
      </c>
      <c r="BD1763" s="2829">
        <f>(INDEX('Avoided Cost Benefits'!$E$4:$E$859,MATCH(BC1763,'Avoided Cost Benefits'!$A$4:$A$859,0)))*F1763</f>
        <v>1912.3591329279755</v>
      </c>
      <c r="BE1763" s="858">
        <f t="shared" si="332"/>
        <v>0</v>
      </c>
      <c r="BF1763" s="156"/>
      <c r="BH1763" s="686"/>
    </row>
    <row r="1764" spans="1:60" x14ac:dyDescent="0.35">
      <c r="A1764" s="3493" t="str">
        <f t="shared" ref="A1764:A1827" si="334">C1764&amp;G1764</f>
        <v>354151_2019_12_Cooling Res</v>
      </c>
      <c r="B1764" s="2812"/>
      <c r="C1764" s="1037" t="s">
        <v>1370</v>
      </c>
      <c r="D1764" s="1311" t="s">
        <v>315</v>
      </c>
      <c r="E1764" s="3418" t="s">
        <v>1371</v>
      </c>
      <c r="F1764" s="615">
        <f>ROUND((($K$2827*$K$3020*(1/$K$3213-1/$K$3406)*$K$3599)/1000)*$K$3677,2)</f>
        <v>935.62</v>
      </c>
      <c r="G1764" s="1313" t="str">
        <f>G1760</f>
        <v>Cooling Res</v>
      </c>
      <c r="H1764" s="136">
        <f>VLOOKUP(G1764,'CP FACTORS'!$A$3:$B$38, 2, FALSE)</f>
        <v>9.4741810000000004E-4</v>
      </c>
      <c r="I1764" s="3497">
        <f t="shared" ref="I1764:I1827" si="335">ROUND(F1764*H1764,6)</f>
        <v>0.88642299999999996</v>
      </c>
      <c r="J1764" s="124">
        <f t="shared" si="330"/>
        <v>6</v>
      </c>
      <c r="K1764" s="462">
        <f t="shared" si="331"/>
        <v>1205.4598012161669</v>
      </c>
      <c r="L1764" s="689">
        <f>L2055</f>
        <v>3.1</v>
      </c>
      <c r="M1764" s="103"/>
      <c r="N1764" s="1317"/>
      <c r="O1764" s="963"/>
      <c r="P1764" s="106"/>
      <c r="Q1764" s="106"/>
      <c r="R1764" s="1214"/>
      <c r="S1764" s="106"/>
      <c r="T1764" s="106"/>
      <c r="U1764" s="1319"/>
      <c r="V1764" s="3436" t="s">
        <v>30</v>
      </c>
      <c r="W1764" s="2914"/>
      <c r="X1764" s="685"/>
      <c r="Y1764" s="618">
        <v>935.62</v>
      </c>
      <c r="Z1764" s="615">
        <v>935.62</v>
      </c>
      <c r="AA1764" s="615">
        <v>935.62</v>
      </c>
      <c r="AB1764" s="3495">
        <v>935.62</v>
      </c>
      <c r="AC1764" s="2912">
        <v>935.62</v>
      </c>
      <c r="AD1764" s="615">
        <v>935.62</v>
      </c>
      <c r="AE1764" s="2914"/>
      <c r="AF1764" s="2914"/>
      <c r="AG1764" s="2914"/>
      <c r="AH1764" s="344"/>
      <c r="AI1764" s="156"/>
      <c r="AJ1764" s="3640"/>
      <c r="AK1764" s="2915"/>
      <c r="AL1764" s="156"/>
      <c r="AM1764" s="3640"/>
      <c r="AN1764" s="3640"/>
      <c r="AO1764" s="156"/>
      <c r="AP1764" s="156"/>
      <c r="AQ1764" s="156"/>
      <c r="AR1764" s="156"/>
      <c r="AS1764" s="156"/>
      <c r="AT1764" s="156"/>
      <c r="AU1764" s="156"/>
      <c r="AV1764" s="156"/>
      <c r="AW1764" s="156"/>
      <c r="AX1764" s="156"/>
      <c r="AY1764" s="156"/>
      <c r="AZ1764" s="156"/>
      <c r="BA1764" s="156"/>
      <c r="BB1764" s="2833">
        <f>(BD1764+BD1765+BD1766+BD1767)/(BE1764+BE1765+BE1766+BE1767)</f>
        <v>1.6930670054321</v>
      </c>
      <c r="BC1764" s="2348" t="str">
        <f t="shared" ref="BC1764:BC1827" si="336">CONCATENATE(G1764," ",J1764," Year EUL")</f>
        <v>Cooling Res 6 Year EUL</v>
      </c>
      <c r="BD1764" s="2829">
        <f>(INDEX('Avoided Cost Benefits'!$E$4:$E$859,MATCH(BC1764,'Avoided Cost Benefits'!$A$4:$A$859,0)))*F1764</f>
        <v>592.82004944119694</v>
      </c>
      <c r="BE1764" s="858">
        <f t="shared" si="332"/>
        <v>1137.7629081794873</v>
      </c>
      <c r="BF1764" s="156"/>
      <c r="BH1764" s="686"/>
    </row>
    <row r="1765" spans="1:60" x14ac:dyDescent="0.35">
      <c r="A1765" s="3493" t="str">
        <f t="shared" si="334"/>
        <v>354151_2019_12_Heating Res</v>
      </c>
      <c r="B1765" s="2812"/>
      <c r="C1765" s="1037" t="str">
        <f>C1764</f>
        <v>354151_2019_12_</v>
      </c>
      <c r="D1765" s="1311" t="s">
        <v>315</v>
      </c>
      <c r="E1765" s="3420" t="s">
        <v>1371</v>
      </c>
      <c r="F1765" s="615">
        <f>ROUND((($K$2055*$K$2248*(1/$K$2441-1/$K$2634)*$K$3599)/1000)*$K$3677,2)</f>
        <v>2304.4699999999998</v>
      </c>
      <c r="G1765" s="1313" t="str">
        <f>G1761</f>
        <v>Heating Res</v>
      </c>
      <c r="H1765" s="136">
        <f>VLOOKUP(G1765,'CP FACTORS'!$A$3:$B$38, 2, FALSE)</f>
        <v>0</v>
      </c>
      <c r="I1765" s="3497">
        <f t="shared" si="335"/>
        <v>0</v>
      </c>
      <c r="J1765" s="124">
        <f t="shared" si="330"/>
        <v>6</v>
      </c>
      <c r="K1765" s="462">
        <f t="shared" si="331"/>
        <v>0</v>
      </c>
      <c r="L1765" s="689"/>
      <c r="M1765" s="103"/>
      <c r="N1765" s="1317"/>
      <c r="O1765" s="963"/>
      <c r="P1765" s="106"/>
      <c r="Q1765" s="106"/>
      <c r="R1765" s="1214"/>
      <c r="S1765" s="106"/>
      <c r="T1765" s="106"/>
      <c r="U1765" s="1319"/>
      <c r="V1765" s="3436" t="s">
        <v>30</v>
      </c>
      <c r="W1765" s="2914"/>
      <c r="X1765" s="685"/>
      <c r="Y1765" s="618">
        <v>2304.4699999999998</v>
      </c>
      <c r="Z1765" s="615">
        <v>2304.4699999999998</v>
      </c>
      <c r="AA1765" s="615">
        <v>2304.4699999999998</v>
      </c>
      <c r="AB1765" s="3495">
        <v>2304.4699999999998</v>
      </c>
      <c r="AC1765" s="2912">
        <v>2304.4699999999998</v>
      </c>
      <c r="AD1765" s="615">
        <v>2304.4699999999998</v>
      </c>
      <c r="AE1765" s="2914"/>
      <c r="AF1765" s="2914"/>
      <c r="AG1765" s="2914"/>
      <c r="AH1765" s="344"/>
      <c r="AI1765" s="156"/>
      <c r="AJ1765" s="3640"/>
      <c r="AK1765" s="2915"/>
      <c r="AL1765" s="156"/>
      <c r="AM1765" s="3640"/>
      <c r="AN1765" s="3640"/>
      <c r="AO1765" s="156"/>
      <c r="AP1765" s="156"/>
      <c r="AQ1765" s="156"/>
      <c r="AR1765" s="156"/>
      <c r="AS1765" s="156"/>
      <c r="AT1765" s="156"/>
      <c r="AU1765" s="156"/>
      <c r="AV1765" s="156"/>
      <c r="AW1765" s="156"/>
      <c r="AX1765" s="156"/>
      <c r="AY1765" s="156"/>
      <c r="AZ1765" s="156"/>
      <c r="BA1765" s="156"/>
      <c r="BB1765" s="2905"/>
      <c r="BC1765" s="2357" t="str">
        <f t="shared" si="336"/>
        <v>Heating Res 6 Year EUL</v>
      </c>
      <c r="BD1765" s="2829">
        <f>(INDEX('Avoided Cost Benefits'!$E$4:$E$859,MATCH(BC1765,'Avoided Cost Benefits'!$A$4:$A$859,0)))*F1765</f>
        <v>375.49308039576698</v>
      </c>
      <c r="BE1765" s="858">
        <f t="shared" si="332"/>
        <v>0</v>
      </c>
      <c r="BF1765" s="156"/>
      <c r="BH1765" s="686"/>
    </row>
    <row r="1766" spans="1:60" x14ac:dyDescent="0.35">
      <c r="A1766" s="3493" t="str">
        <f t="shared" si="334"/>
        <v>354151_2019_12_Cooling Res ER2</v>
      </c>
      <c r="B1766" s="2812"/>
      <c r="C1766" s="1037" t="str">
        <f>C1765</f>
        <v>354151_2019_12_</v>
      </c>
      <c r="D1766" s="1311" t="s">
        <v>315</v>
      </c>
      <c r="E1766" s="3420" t="s">
        <v>1372</v>
      </c>
      <c r="F1766" s="615">
        <f>ROUND((($K$2828*$K$3021*(1/$K$3214-1/$K$3407)*$K$3600)/1000)*$K$3677,2)</f>
        <v>276.58999999999997</v>
      </c>
      <c r="G1766" s="1313" t="str">
        <f>G1762</f>
        <v>Cooling Res ER2</v>
      </c>
      <c r="H1766" s="136">
        <f>VLOOKUP(G1766,'CP FACTORS'!$A$3:$B$38, 2, FALSE)</f>
        <v>9.4741810000000004E-4</v>
      </c>
      <c r="I1766" s="3497">
        <f t="shared" si="335"/>
        <v>0.262046</v>
      </c>
      <c r="J1766" s="124">
        <f t="shared" si="330"/>
        <v>12</v>
      </c>
      <c r="K1766" s="462">
        <f t="shared" si="331"/>
        <v>0</v>
      </c>
      <c r="L1766" s="689"/>
      <c r="M1766" s="103"/>
      <c r="N1766" s="1317"/>
      <c r="O1766" s="963"/>
      <c r="P1766" s="106"/>
      <c r="Q1766" s="106"/>
      <c r="R1766" s="1214"/>
      <c r="S1766" s="106"/>
      <c r="T1766" s="106"/>
      <c r="U1766" s="1319"/>
      <c r="V1766" s="3436" t="s">
        <v>30</v>
      </c>
      <c r="W1766" s="2914"/>
      <c r="X1766" s="685"/>
      <c r="Y1766" s="618">
        <v>276.58999999999997</v>
      </c>
      <c r="Z1766" s="615">
        <v>276.58999999999997</v>
      </c>
      <c r="AA1766" s="615">
        <v>276.58999999999997</v>
      </c>
      <c r="AB1766" s="3495">
        <v>276.58999999999997</v>
      </c>
      <c r="AC1766" s="2912">
        <v>276.58999999999997</v>
      </c>
      <c r="AD1766" s="615">
        <v>276.58999999999997</v>
      </c>
      <c r="AE1766" s="2914"/>
      <c r="AF1766" s="2914"/>
      <c r="AG1766" s="2914"/>
      <c r="AH1766" s="344"/>
      <c r="AI1766" s="156"/>
      <c r="AJ1766" s="3640"/>
      <c r="AK1766" s="2915"/>
      <c r="AL1766" s="156"/>
      <c r="AM1766" s="3640"/>
      <c r="AN1766" s="3640"/>
      <c r="AO1766" s="156"/>
      <c r="AP1766" s="156"/>
      <c r="AQ1766" s="156"/>
      <c r="AR1766" s="156"/>
      <c r="AS1766" s="156"/>
      <c r="AT1766" s="156"/>
      <c r="AU1766" s="156"/>
      <c r="AV1766" s="156"/>
      <c r="AW1766" s="156"/>
      <c r="AX1766" s="156"/>
      <c r="AY1766" s="156"/>
      <c r="AZ1766" s="156"/>
      <c r="BA1766" s="156"/>
      <c r="BB1766" s="2905"/>
      <c r="BC1766" s="2357" t="str">
        <f t="shared" si="336"/>
        <v>Cooling Res ER2 12 Year EUL</v>
      </c>
      <c r="BD1766" s="2829">
        <f>(INDEX('Avoided Cost Benefits'!$E$4:$E$859,MATCH(BC1766,'Avoided Cost Benefits'!$A$4:$A$859,0)))*F1766</f>
        <v>306.05522510010167</v>
      </c>
      <c r="BE1766" s="858">
        <f t="shared" si="332"/>
        <v>0</v>
      </c>
      <c r="BF1766" s="156"/>
      <c r="BH1766" s="686"/>
    </row>
    <row r="1767" spans="1:60" x14ac:dyDescent="0.35">
      <c r="A1767" s="3493" t="str">
        <f t="shared" si="334"/>
        <v>354151_2019_12_Heating Res ER2</v>
      </c>
      <c r="B1767" s="2812"/>
      <c r="C1767" s="1037" t="str">
        <f>C1766</f>
        <v>354151_2019_12_</v>
      </c>
      <c r="D1767" s="1311" t="s">
        <v>315</v>
      </c>
      <c r="E1767" s="3419" t="s">
        <v>1372</v>
      </c>
      <c r="F1767" s="615">
        <f>ROUND((($K$2056*$K$2249*(1/$K$2442-1/$K$2635)*$K$3600)/1000)*$K$3677,2)</f>
        <v>2304.4699999999998</v>
      </c>
      <c r="G1767" s="1313" t="str">
        <f>G1763</f>
        <v>Heating Res ER2</v>
      </c>
      <c r="H1767" s="136">
        <f>VLOOKUP(G1767,'CP FACTORS'!$A$3:$B$38, 2, FALSE)</f>
        <v>0</v>
      </c>
      <c r="I1767" s="3497">
        <f t="shared" si="335"/>
        <v>0</v>
      </c>
      <c r="J1767" s="124">
        <f t="shared" si="330"/>
        <v>12</v>
      </c>
      <c r="K1767" s="462">
        <f t="shared" si="331"/>
        <v>0</v>
      </c>
      <c r="L1767" s="689"/>
      <c r="M1767" s="103"/>
      <c r="N1767" s="1317"/>
      <c r="O1767" s="963"/>
      <c r="P1767" s="106"/>
      <c r="Q1767" s="106"/>
      <c r="R1767" s="1214"/>
      <c r="S1767" s="106"/>
      <c r="T1767" s="106"/>
      <c r="U1767" s="1319"/>
      <c r="V1767" s="3436" t="s">
        <v>30</v>
      </c>
      <c r="W1767" s="2914"/>
      <c r="X1767" s="685"/>
      <c r="Y1767" s="618">
        <v>2304.4699999999998</v>
      </c>
      <c r="Z1767" s="615">
        <v>2304.4699999999998</v>
      </c>
      <c r="AA1767" s="615">
        <v>2304.4699999999998</v>
      </c>
      <c r="AB1767" s="3495">
        <v>2304.4699999999998</v>
      </c>
      <c r="AC1767" s="2912">
        <v>2304.4699999999998</v>
      </c>
      <c r="AD1767" s="615">
        <v>2304.4699999999998</v>
      </c>
      <c r="AE1767" s="2914"/>
      <c r="AF1767" s="2914"/>
      <c r="AG1767" s="2914"/>
      <c r="AH1767" s="344"/>
      <c r="AI1767" s="156"/>
      <c r="AJ1767" s="3640"/>
      <c r="AK1767" s="2915"/>
      <c r="AL1767" s="156"/>
      <c r="AM1767" s="3640"/>
      <c r="AN1767" s="3640"/>
      <c r="AO1767" s="156"/>
      <c r="AP1767" s="156"/>
      <c r="AQ1767" s="156"/>
      <c r="AR1767" s="156"/>
      <c r="AS1767" s="156"/>
      <c r="AT1767" s="156"/>
      <c r="AU1767" s="156"/>
      <c r="AV1767" s="156"/>
      <c r="AW1767" s="156"/>
      <c r="AX1767" s="156"/>
      <c r="AY1767" s="156"/>
      <c r="AZ1767" s="156"/>
      <c r="BA1767" s="156"/>
      <c r="BB1767" s="2905"/>
      <c r="BC1767" s="2349" t="str">
        <f t="shared" si="336"/>
        <v>Heating Res ER2 12 Year EUL</v>
      </c>
      <c r="BD1767" s="2829">
        <f>(INDEX('Avoided Cost Benefits'!$E$4:$E$859,MATCH(BC1767,'Avoided Cost Benefits'!$A$4:$A$859,0)))*F1767</f>
        <v>651.94048490609623</v>
      </c>
      <c r="BE1767" s="858">
        <f t="shared" si="332"/>
        <v>0</v>
      </c>
      <c r="BF1767" s="156"/>
      <c r="BH1767" s="686"/>
    </row>
    <row r="1768" spans="1:60" x14ac:dyDescent="0.35">
      <c r="A1768" s="3493" t="str">
        <f t="shared" si="334"/>
        <v>354160_2021_12_Cooling Res</v>
      </c>
      <c r="B1768" s="2812"/>
      <c r="C1768" s="1037" t="s">
        <v>1373</v>
      </c>
      <c r="D1768" s="1311" t="s">
        <v>320</v>
      </c>
      <c r="E1768" s="3420" t="s">
        <v>1374</v>
      </c>
      <c r="F1768" s="615">
        <f>ROUND((($K2829*$K3022*(1/$K3215-1/$K3408)*$K3601)/1000)*$K$3677,2)</f>
        <v>1286.47</v>
      </c>
      <c r="G1768" s="1313" t="s">
        <v>1091</v>
      </c>
      <c r="H1768" s="136">
        <f>VLOOKUP(G1768,'CP FACTORS'!$A$3:$B$38, 2, FALSE)</f>
        <v>9.4741810000000004E-4</v>
      </c>
      <c r="I1768" s="3497">
        <f t="shared" si="335"/>
        <v>1.218825</v>
      </c>
      <c r="J1768" s="124">
        <f t="shared" si="330"/>
        <v>6</v>
      </c>
      <c r="K1768" s="462">
        <f t="shared" si="331"/>
        <v>1205.4598012161669</v>
      </c>
      <c r="L1768" s="3496">
        <f>L2057</f>
        <v>3.1</v>
      </c>
      <c r="M1768" s="103"/>
      <c r="N1768" s="1317"/>
      <c r="O1768" s="963"/>
      <c r="P1768" s="106"/>
      <c r="Q1768" s="106"/>
      <c r="R1768" s="1214"/>
      <c r="S1768" s="106"/>
      <c r="T1768" s="106"/>
      <c r="U1768" s="1319"/>
      <c r="V1768" s="1590" t="s">
        <v>30</v>
      </c>
      <c r="W1768" s="2914"/>
      <c r="X1768" s="685"/>
      <c r="Y1768" s="618"/>
      <c r="Z1768" s="615"/>
      <c r="AA1768" s="615"/>
      <c r="AB1768" s="3495"/>
      <c r="AC1768" s="618">
        <v>1286.47</v>
      </c>
      <c r="AD1768" s="615">
        <v>1286.47</v>
      </c>
      <c r="AE1768" s="2914"/>
      <c r="AF1768" s="2914"/>
      <c r="AG1768" s="2914"/>
      <c r="AH1768" s="344"/>
      <c r="AI1768" s="156"/>
      <c r="AJ1768" s="3640"/>
      <c r="AK1768" s="2915"/>
      <c r="AL1768" s="156"/>
      <c r="AM1768" s="3640"/>
      <c r="AN1768" s="3640"/>
      <c r="AO1768" s="156"/>
      <c r="AP1768" s="156"/>
      <c r="AQ1768" s="156"/>
      <c r="AR1768" s="156"/>
      <c r="AS1768" s="156"/>
      <c r="AT1768" s="156"/>
      <c r="AU1768" s="156"/>
      <c r="AV1768" s="156"/>
      <c r="AW1768" s="156"/>
      <c r="AX1768" s="156"/>
      <c r="AY1768" s="156"/>
      <c r="AZ1768" s="156"/>
      <c r="BA1768" s="156"/>
      <c r="BB1768" s="2741">
        <f>(BD1768+BD1769+BD1770+BD1771)/(BE1768+BE1769+BE1770+BE1771)</f>
        <v>1.0863057880155562</v>
      </c>
      <c r="BC1768" s="2742" t="str">
        <f t="shared" si="336"/>
        <v>Cooling Res 6 Year EUL</v>
      </c>
      <c r="BD1768" s="1841">
        <f>(INDEX('Avoided Cost Benefits'!$E$4:$E$859,MATCH(BC1768,'Avoided Cost Benefits'!$A$4:$A$859,0)))*F1768</f>
        <v>815.12281589172596</v>
      </c>
      <c r="BE1768" s="2507">
        <f t="shared" si="332"/>
        <v>1137.7629081794873</v>
      </c>
      <c r="BF1768" s="156"/>
      <c r="BH1768" s="686"/>
    </row>
    <row r="1769" spans="1:60" x14ac:dyDescent="0.35">
      <c r="A1769" s="3493" t="str">
        <f t="shared" si="334"/>
        <v>354160_2021_12_Heating Res</v>
      </c>
      <c r="B1769" s="2812"/>
      <c r="C1769" s="1037" t="s">
        <v>1373</v>
      </c>
      <c r="D1769" s="1311" t="s">
        <v>320</v>
      </c>
      <c r="E1769" s="3420" t="s">
        <v>1374</v>
      </c>
      <c r="F1769" s="615">
        <v>0</v>
      </c>
      <c r="G1769" s="1313" t="s">
        <v>1092</v>
      </c>
      <c r="H1769" s="136">
        <f>VLOOKUP(G1769,'CP FACTORS'!$A$3:$B$38, 2, FALSE)</f>
        <v>0</v>
      </c>
      <c r="I1769" s="3497">
        <f t="shared" si="335"/>
        <v>0</v>
      </c>
      <c r="J1769" s="124">
        <f t="shared" si="330"/>
        <v>6</v>
      </c>
      <c r="K1769" s="462">
        <f t="shared" si="331"/>
        <v>0</v>
      </c>
      <c r="L1769" s="3496"/>
      <c r="M1769" s="103"/>
      <c r="N1769" s="1317"/>
      <c r="O1769" s="963"/>
      <c r="P1769" s="106"/>
      <c r="Q1769" s="106"/>
      <c r="R1769" s="1214"/>
      <c r="S1769" s="106"/>
      <c r="T1769" s="106"/>
      <c r="U1769" s="1319"/>
      <c r="V1769" s="1590" t="s">
        <v>30</v>
      </c>
      <c r="W1769" s="2914"/>
      <c r="X1769" s="685"/>
      <c r="Y1769" s="618"/>
      <c r="Z1769" s="615"/>
      <c r="AA1769" s="615"/>
      <c r="AB1769" s="3495"/>
      <c r="AC1769" s="618">
        <v>0</v>
      </c>
      <c r="AD1769" s="615">
        <v>0</v>
      </c>
      <c r="AE1769" s="2914"/>
      <c r="AF1769" s="2914"/>
      <c r="AG1769" s="2914"/>
      <c r="AH1769" s="344"/>
      <c r="AI1769" s="156"/>
      <c r="AJ1769" s="3640"/>
      <c r="AK1769" s="2915"/>
      <c r="AL1769" s="156"/>
      <c r="AM1769" s="3640"/>
      <c r="AN1769" s="3640"/>
      <c r="AO1769" s="156"/>
      <c r="AP1769" s="156"/>
      <c r="AQ1769" s="156"/>
      <c r="AR1769" s="156"/>
      <c r="AS1769" s="156"/>
      <c r="AT1769" s="156"/>
      <c r="AU1769" s="156"/>
      <c r="AV1769" s="156"/>
      <c r="AW1769" s="156"/>
      <c r="AX1769" s="156"/>
      <c r="AY1769" s="156"/>
      <c r="AZ1769" s="156"/>
      <c r="BA1769" s="156"/>
      <c r="BB1769" s="2743"/>
      <c r="BC1769" s="2742" t="str">
        <f t="shared" si="336"/>
        <v>Heating Res 6 Year EUL</v>
      </c>
      <c r="BD1769" s="1841">
        <f>(INDEX('Avoided Cost Benefits'!$E$4:$E$859,MATCH(BC1769,'Avoided Cost Benefits'!$A$4:$A$859,0)))*F1769</f>
        <v>0</v>
      </c>
      <c r="BE1769" s="2507">
        <f t="shared" si="332"/>
        <v>0</v>
      </c>
      <c r="BF1769" s="156"/>
      <c r="BH1769" s="686"/>
    </row>
    <row r="1770" spans="1:60" x14ac:dyDescent="0.35">
      <c r="A1770" s="3493" t="str">
        <f t="shared" si="334"/>
        <v>354160_2021_12_Cooling Res ER2</v>
      </c>
      <c r="B1770" s="2812"/>
      <c r="C1770" s="1037" t="s">
        <v>1373</v>
      </c>
      <c r="D1770" s="1311" t="s">
        <v>320</v>
      </c>
      <c r="E1770" s="3420" t="s">
        <v>1375</v>
      </c>
      <c r="F1770" s="615">
        <f>ROUND((($K2830*$K3023*(1/$K3216-1/$K3409)*$K3602)/1000)*$K$3677,2)</f>
        <v>380.32</v>
      </c>
      <c r="G1770" s="1313" t="s">
        <v>1133</v>
      </c>
      <c r="H1770" s="136">
        <f>VLOOKUP(G1770,'CP FACTORS'!$A$3:$B$38, 2, FALSE)</f>
        <v>9.4741810000000004E-4</v>
      </c>
      <c r="I1770" s="3497">
        <f t="shared" si="335"/>
        <v>0.36032199999999998</v>
      </c>
      <c r="J1770" s="124">
        <f t="shared" si="330"/>
        <v>12</v>
      </c>
      <c r="K1770" s="462">
        <f t="shared" si="331"/>
        <v>0</v>
      </c>
      <c r="L1770" s="3496"/>
      <c r="M1770" s="103"/>
      <c r="N1770" s="1317"/>
      <c r="O1770" s="963"/>
      <c r="P1770" s="106"/>
      <c r="Q1770" s="106"/>
      <c r="R1770" s="1214"/>
      <c r="S1770" s="106"/>
      <c r="T1770" s="106"/>
      <c r="U1770" s="1319"/>
      <c r="V1770" s="1590" t="s">
        <v>30</v>
      </c>
      <c r="W1770" s="2914"/>
      <c r="X1770" s="685"/>
      <c r="Y1770" s="618"/>
      <c r="Z1770" s="615"/>
      <c r="AA1770" s="615"/>
      <c r="AB1770" s="3495"/>
      <c r="AC1770" s="618">
        <v>380.32</v>
      </c>
      <c r="AD1770" s="615">
        <v>380.32</v>
      </c>
      <c r="AE1770" s="2914"/>
      <c r="AF1770" s="2914"/>
      <c r="AG1770" s="2914"/>
      <c r="AH1770" s="344"/>
      <c r="AI1770" s="156"/>
      <c r="AJ1770" s="3640"/>
      <c r="AK1770" s="2915"/>
      <c r="AL1770" s="156"/>
      <c r="AM1770" s="3640"/>
      <c r="AN1770" s="3640"/>
      <c r="AO1770" s="156"/>
      <c r="AP1770" s="156"/>
      <c r="AQ1770" s="156"/>
      <c r="AR1770" s="156"/>
      <c r="AS1770" s="156"/>
      <c r="AT1770" s="156"/>
      <c r="AU1770" s="156"/>
      <c r="AV1770" s="156"/>
      <c r="AW1770" s="156"/>
      <c r="AX1770" s="156"/>
      <c r="AY1770" s="156"/>
      <c r="AZ1770" s="156"/>
      <c r="BA1770" s="156"/>
      <c r="BB1770" s="2743"/>
      <c r="BC1770" s="2742" t="str">
        <f t="shared" si="336"/>
        <v>Cooling Res ER2 12 Year EUL</v>
      </c>
      <c r="BD1770" s="1841">
        <f>(INDEX('Avoided Cost Benefits'!$E$4:$E$859,MATCH(BC1770,'Avoided Cost Benefits'!$A$4:$A$859,0)))*F1770</f>
        <v>420.83561665306291</v>
      </c>
      <c r="BE1770" s="2507">
        <f t="shared" si="332"/>
        <v>0</v>
      </c>
      <c r="BF1770" s="156"/>
      <c r="BH1770" s="686"/>
    </row>
    <row r="1771" spans="1:60" x14ac:dyDescent="0.35">
      <c r="A1771" s="3493" t="str">
        <f t="shared" si="334"/>
        <v>354160_2021_12_Heating Res ER2</v>
      </c>
      <c r="B1771" s="2812"/>
      <c r="C1771" s="1037" t="s">
        <v>1373</v>
      </c>
      <c r="D1771" s="1311" t="s">
        <v>320</v>
      </c>
      <c r="E1771" s="3419" t="s">
        <v>1375</v>
      </c>
      <c r="F1771" s="615">
        <v>0</v>
      </c>
      <c r="G1771" s="1313" t="s">
        <v>1150</v>
      </c>
      <c r="H1771" s="136">
        <f>VLOOKUP(G1771,'CP FACTORS'!$A$3:$B$38, 2, FALSE)</f>
        <v>0</v>
      </c>
      <c r="I1771" s="3497">
        <f t="shared" si="335"/>
        <v>0</v>
      </c>
      <c r="J1771" s="124">
        <f t="shared" si="330"/>
        <v>12</v>
      </c>
      <c r="K1771" s="462">
        <f t="shared" si="331"/>
        <v>0</v>
      </c>
      <c r="L1771" s="3496"/>
      <c r="M1771" s="103"/>
      <c r="N1771" s="1317"/>
      <c r="O1771" s="963"/>
      <c r="P1771" s="106"/>
      <c r="Q1771" s="106"/>
      <c r="R1771" s="1214"/>
      <c r="S1771" s="106"/>
      <c r="T1771" s="106"/>
      <c r="U1771" s="1319"/>
      <c r="V1771" s="1590" t="s">
        <v>30</v>
      </c>
      <c r="W1771" s="2914"/>
      <c r="X1771" s="685"/>
      <c r="Y1771" s="618"/>
      <c r="Z1771" s="615"/>
      <c r="AA1771" s="615"/>
      <c r="AB1771" s="3495"/>
      <c r="AC1771" s="618">
        <v>0</v>
      </c>
      <c r="AD1771" s="615">
        <v>0</v>
      </c>
      <c r="AE1771" s="2914"/>
      <c r="AF1771" s="2914"/>
      <c r="AG1771" s="2914"/>
      <c r="AH1771" s="344"/>
      <c r="AI1771" s="156"/>
      <c r="AJ1771" s="3640"/>
      <c r="AK1771" s="2915"/>
      <c r="AL1771" s="156"/>
      <c r="AM1771" s="3640"/>
      <c r="AN1771" s="3640"/>
      <c r="AO1771" s="156"/>
      <c r="AP1771" s="156"/>
      <c r="AQ1771" s="156"/>
      <c r="AR1771" s="156"/>
      <c r="AS1771" s="156"/>
      <c r="AT1771" s="156"/>
      <c r="AU1771" s="156"/>
      <c r="AV1771" s="156"/>
      <c r="AW1771" s="156"/>
      <c r="AX1771" s="156"/>
      <c r="AY1771" s="156"/>
      <c r="AZ1771" s="156"/>
      <c r="BA1771" s="156"/>
      <c r="BB1771" s="2743"/>
      <c r="BC1771" s="2744" t="str">
        <f t="shared" si="336"/>
        <v>Heating Res ER2 12 Year EUL</v>
      </c>
      <c r="BD1771" s="1841">
        <f>(INDEX('Avoided Cost Benefits'!$E$4:$E$859,MATCH(BC1771,'Avoided Cost Benefits'!$A$4:$A$859,0)))*F1771</f>
        <v>0</v>
      </c>
      <c r="BE1771" s="2507">
        <f t="shared" si="332"/>
        <v>0</v>
      </c>
      <c r="BF1771" s="156"/>
      <c r="BH1771" s="686"/>
    </row>
    <row r="1772" spans="1:60" x14ac:dyDescent="0.35">
      <c r="A1772" s="3493" t="str">
        <f t="shared" si="334"/>
        <v>354161_2021_12_Cooling Res</v>
      </c>
      <c r="B1772" s="2812"/>
      <c r="C1772" s="1037" t="s">
        <v>1376</v>
      </c>
      <c r="D1772" s="1311" t="s">
        <v>315</v>
      </c>
      <c r="E1772" s="3420" t="s">
        <v>1377</v>
      </c>
      <c r="F1772" s="615">
        <f>ROUND((($K2831*$K3024*(1/$K3217-1/$K3410)*$K3603)/1000)*$K$3677,2)</f>
        <v>935.62</v>
      </c>
      <c r="G1772" s="1313" t="s">
        <v>1091</v>
      </c>
      <c r="H1772" s="136">
        <f>VLOOKUP(G1772,'CP FACTORS'!$A$3:$B$38, 2, FALSE)</f>
        <v>9.4741810000000004E-4</v>
      </c>
      <c r="I1772" s="3497">
        <f t="shared" si="335"/>
        <v>0.88642299999999996</v>
      </c>
      <c r="J1772" s="124">
        <f t="shared" si="330"/>
        <v>6</v>
      </c>
      <c r="K1772" s="462">
        <f t="shared" si="331"/>
        <v>1205.4598012161669</v>
      </c>
      <c r="L1772" s="3496">
        <f>L2059</f>
        <v>3.1</v>
      </c>
      <c r="M1772" s="103"/>
      <c r="N1772" s="1317"/>
      <c r="O1772" s="963"/>
      <c r="P1772" s="106"/>
      <c r="Q1772" s="106"/>
      <c r="R1772" s="1214"/>
      <c r="S1772" s="106"/>
      <c r="T1772" s="106"/>
      <c r="U1772" s="1319"/>
      <c r="V1772" s="1590" t="s">
        <v>30</v>
      </c>
      <c r="W1772" s="2914"/>
      <c r="X1772" s="685"/>
      <c r="Y1772" s="618"/>
      <c r="Z1772" s="615"/>
      <c r="AA1772" s="615"/>
      <c r="AB1772" s="3495"/>
      <c r="AC1772" s="618">
        <v>935.62</v>
      </c>
      <c r="AD1772" s="615">
        <v>935.62</v>
      </c>
      <c r="AE1772" s="2914"/>
      <c r="AF1772" s="2914"/>
      <c r="AG1772" s="2914"/>
      <c r="AH1772" s="344"/>
      <c r="AI1772" s="156"/>
      <c r="AJ1772" s="3640"/>
      <c r="AK1772" s="2915"/>
      <c r="AL1772" s="156"/>
      <c r="AM1772" s="3640"/>
      <c r="AN1772" s="3640"/>
      <c r="AO1772" s="156"/>
      <c r="AP1772" s="156"/>
      <c r="AQ1772" s="156"/>
      <c r="AR1772" s="156"/>
      <c r="AS1772" s="156"/>
      <c r="AT1772" s="156"/>
      <c r="AU1772" s="156"/>
      <c r="AV1772" s="156"/>
      <c r="AW1772" s="156"/>
      <c r="AX1772" s="156"/>
      <c r="AY1772" s="156"/>
      <c r="AZ1772" s="156"/>
      <c r="BA1772" s="156"/>
      <c r="BB1772" s="2741">
        <f>(BD1772+BD1773+BD1774+BD1775)/(BE1772+BE1773+BE1774+BE1775)</f>
        <v>0.79003742175034664</v>
      </c>
      <c r="BC1772" s="2742" t="str">
        <f t="shared" si="336"/>
        <v>Cooling Res 6 Year EUL</v>
      </c>
      <c r="BD1772" s="1841">
        <f>(INDEX('Avoided Cost Benefits'!$E$4:$E$859,MATCH(BC1772,'Avoided Cost Benefits'!$A$4:$A$859,0)))*F1772</f>
        <v>592.82004944119694</v>
      </c>
      <c r="BE1772" s="2507">
        <f t="shared" si="332"/>
        <v>1137.7629081794873</v>
      </c>
      <c r="BF1772" s="156"/>
      <c r="BH1772" s="686"/>
    </row>
    <row r="1773" spans="1:60" x14ac:dyDescent="0.35">
      <c r="A1773" s="1071" t="str">
        <f t="shared" si="334"/>
        <v>354161_2021_12_Heating Res</v>
      </c>
      <c r="B1773" s="2812"/>
      <c r="C1773" s="1037" t="s">
        <v>1376</v>
      </c>
      <c r="D1773" s="1311" t="s">
        <v>315</v>
      </c>
      <c r="E1773" s="3420" t="s">
        <v>1377</v>
      </c>
      <c r="F1773" s="615">
        <v>0</v>
      </c>
      <c r="G1773" s="1313" t="s">
        <v>1092</v>
      </c>
      <c r="H1773" s="136">
        <f>VLOOKUP(G1773,'CP FACTORS'!$A$3:$B$38, 2, FALSE)</f>
        <v>0</v>
      </c>
      <c r="I1773" s="3497">
        <f t="shared" si="335"/>
        <v>0</v>
      </c>
      <c r="J1773" s="124">
        <f t="shared" si="330"/>
        <v>6</v>
      </c>
      <c r="K1773" s="462">
        <f t="shared" si="331"/>
        <v>0</v>
      </c>
      <c r="L1773" s="3496"/>
      <c r="M1773" s="103"/>
      <c r="N1773" s="1317"/>
      <c r="O1773" s="963"/>
      <c r="P1773" s="106"/>
      <c r="Q1773" s="106"/>
      <c r="R1773" s="1214"/>
      <c r="S1773" s="106"/>
      <c r="T1773" s="106"/>
      <c r="U1773" s="1319"/>
      <c r="V1773" s="1590" t="s">
        <v>30</v>
      </c>
      <c r="W1773" s="2914"/>
      <c r="X1773" s="685"/>
      <c r="Y1773" s="618"/>
      <c r="Z1773" s="615"/>
      <c r="AA1773" s="615"/>
      <c r="AB1773" s="3495"/>
      <c r="AC1773" s="618">
        <v>0</v>
      </c>
      <c r="AD1773" s="615">
        <v>0</v>
      </c>
      <c r="AE1773" s="2914"/>
      <c r="AF1773" s="2914"/>
      <c r="AG1773" s="2914"/>
      <c r="AH1773" s="344"/>
      <c r="AI1773" s="156"/>
      <c r="AJ1773" s="3640"/>
      <c r="AK1773" s="2915"/>
      <c r="AL1773" s="156"/>
      <c r="AM1773" s="3640"/>
      <c r="AN1773" s="3640"/>
      <c r="AO1773" s="156"/>
      <c r="AP1773" s="156"/>
      <c r="AQ1773" s="156"/>
      <c r="AR1773" s="156"/>
      <c r="AS1773" s="156"/>
      <c r="AT1773" s="156"/>
      <c r="AU1773" s="156"/>
      <c r="AV1773" s="156"/>
      <c r="AW1773" s="156"/>
      <c r="AX1773" s="156"/>
      <c r="AY1773" s="156"/>
      <c r="AZ1773" s="156"/>
      <c r="BA1773" s="156"/>
      <c r="BB1773" s="2743"/>
      <c r="BC1773" s="2742" t="str">
        <f t="shared" si="336"/>
        <v>Heating Res 6 Year EUL</v>
      </c>
      <c r="BD1773" s="1841">
        <f>(INDEX('Avoided Cost Benefits'!$E$4:$E$859,MATCH(BC1773,'Avoided Cost Benefits'!$A$4:$A$859,0)))*F1773</f>
        <v>0</v>
      </c>
      <c r="BE1773" s="2507">
        <f t="shared" si="332"/>
        <v>0</v>
      </c>
      <c r="BF1773" s="156"/>
      <c r="BH1773" s="686"/>
    </row>
    <row r="1774" spans="1:60" x14ac:dyDescent="0.35">
      <c r="A1774" s="1071" t="str">
        <f t="shared" si="334"/>
        <v>354161_2021_12_Cooling Res ER2</v>
      </c>
      <c r="B1774" s="2812"/>
      <c r="C1774" s="1037" t="s">
        <v>1376</v>
      </c>
      <c r="D1774" s="1311" t="s">
        <v>315</v>
      </c>
      <c r="E1774" s="3420" t="s">
        <v>1378</v>
      </c>
      <c r="F1774" s="615">
        <f>ROUND((($K2832*$K3025*(1/$K3218-1/$K3411)*$K3604)/1000)*$K$3677,2)</f>
        <v>276.58999999999997</v>
      </c>
      <c r="G1774" s="1313" t="s">
        <v>1133</v>
      </c>
      <c r="H1774" s="136">
        <f>VLOOKUP(G1774,'CP FACTORS'!$A$3:$B$38, 2, FALSE)</f>
        <v>9.4741810000000004E-4</v>
      </c>
      <c r="I1774" s="3497">
        <f t="shared" si="335"/>
        <v>0.262046</v>
      </c>
      <c r="J1774" s="124">
        <f t="shared" si="330"/>
        <v>12</v>
      </c>
      <c r="K1774" s="462">
        <f t="shared" si="331"/>
        <v>0</v>
      </c>
      <c r="L1774" s="3496"/>
      <c r="M1774" s="103"/>
      <c r="N1774" s="1317"/>
      <c r="O1774" s="963"/>
      <c r="P1774" s="106"/>
      <c r="Q1774" s="106"/>
      <c r="R1774" s="1214"/>
      <c r="S1774" s="106"/>
      <c r="T1774" s="106"/>
      <c r="U1774" s="1319"/>
      <c r="V1774" s="1590" t="s">
        <v>30</v>
      </c>
      <c r="W1774" s="2914"/>
      <c r="X1774" s="685"/>
      <c r="Y1774" s="618"/>
      <c r="Z1774" s="615"/>
      <c r="AA1774" s="615"/>
      <c r="AB1774" s="3495"/>
      <c r="AC1774" s="618">
        <v>276.58999999999997</v>
      </c>
      <c r="AD1774" s="615">
        <v>276.58999999999997</v>
      </c>
      <c r="AE1774" s="2914"/>
      <c r="AF1774" s="2914"/>
      <c r="AG1774" s="2914"/>
      <c r="AH1774" s="344"/>
      <c r="AI1774" s="156"/>
      <c r="AJ1774" s="3640"/>
      <c r="AK1774" s="2915"/>
      <c r="AL1774" s="156"/>
      <c r="AM1774" s="3640"/>
      <c r="AN1774" s="3640"/>
      <c r="AO1774" s="156"/>
      <c r="AP1774" s="156"/>
      <c r="AQ1774" s="156"/>
      <c r="AR1774" s="156"/>
      <c r="AS1774" s="156"/>
      <c r="AT1774" s="156"/>
      <c r="AU1774" s="156"/>
      <c r="AV1774" s="156"/>
      <c r="AW1774" s="156"/>
      <c r="AX1774" s="156"/>
      <c r="AY1774" s="156"/>
      <c r="AZ1774" s="156"/>
      <c r="BA1774" s="156"/>
      <c r="BB1774" s="2743"/>
      <c r="BC1774" s="2742" t="str">
        <f t="shared" si="336"/>
        <v>Cooling Res ER2 12 Year EUL</v>
      </c>
      <c r="BD1774" s="1841">
        <f>(INDEX('Avoided Cost Benefits'!$E$4:$E$859,MATCH(BC1774,'Avoided Cost Benefits'!$A$4:$A$859,0)))*F1774</f>
        <v>306.05522510010167</v>
      </c>
      <c r="BE1774" s="2507">
        <f t="shared" si="332"/>
        <v>0</v>
      </c>
      <c r="BF1774" s="156"/>
      <c r="BH1774" s="686"/>
    </row>
    <row r="1775" spans="1:60" x14ac:dyDescent="0.35">
      <c r="A1775" s="1071" t="str">
        <f t="shared" si="334"/>
        <v>354161_2021_12_Heating Res ER2</v>
      </c>
      <c r="B1775" s="2812"/>
      <c r="C1775" s="1037" t="s">
        <v>1376</v>
      </c>
      <c r="D1775" s="1311" t="s">
        <v>315</v>
      </c>
      <c r="E1775" s="3420" t="s">
        <v>1378</v>
      </c>
      <c r="F1775" s="615">
        <f>0</f>
        <v>0</v>
      </c>
      <c r="G1775" s="1313" t="s">
        <v>1150</v>
      </c>
      <c r="H1775" s="136">
        <f>VLOOKUP(G1775,'CP FACTORS'!$A$3:$B$38, 2, FALSE)</f>
        <v>0</v>
      </c>
      <c r="I1775" s="3497">
        <f t="shared" si="335"/>
        <v>0</v>
      </c>
      <c r="J1775" s="124">
        <f t="shared" si="330"/>
        <v>12</v>
      </c>
      <c r="K1775" s="462">
        <f t="shared" si="331"/>
        <v>0</v>
      </c>
      <c r="L1775" s="3496"/>
      <c r="M1775" s="103"/>
      <c r="N1775" s="1317"/>
      <c r="O1775" s="963"/>
      <c r="P1775" s="106"/>
      <c r="Q1775" s="106"/>
      <c r="R1775" s="1214"/>
      <c r="S1775" s="106"/>
      <c r="T1775" s="106"/>
      <c r="U1775" s="1319"/>
      <c r="V1775" s="1590" t="s">
        <v>30</v>
      </c>
      <c r="W1775" s="2914"/>
      <c r="X1775" s="685"/>
      <c r="Y1775" s="618"/>
      <c r="Z1775" s="615"/>
      <c r="AA1775" s="615"/>
      <c r="AB1775" s="3495"/>
      <c r="AC1775" s="618">
        <v>0</v>
      </c>
      <c r="AD1775" s="615">
        <v>0</v>
      </c>
      <c r="AE1775" s="2914"/>
      <c r="AF1775" s="2914"/>
      <c r="AG1775" s="2914"/>
      <c r="AH1775" s="344"/>
      <c r="AI1775" s="156"/>
      <c r="AJ1775" s="3640"/>
      <c r="AK1775" s="2915"/>
      <c r="AL1775" s="156"/>
      <c r="AM1775" s="3640"/>
      <c r="AN1775" s="3640"/>
      <c r="AO1775" s="156"/>
      <c r="AP1775" s="156"/>
      <c r="AQ1775" s="156"/>
      <c r="AR1775" s="156"/>
      <c r="AS1775" s="156"/>
      <c r="AT1775" s="156"/>
      <c r="AU1775" s="156"/>
      <c r="AV1775" s="156"/>
      <c r="AW1775" s="156"/>
      <c r="AX1775" s="156"/>
      <c r="AY1775" s="156"/>
      <c r="AZ1775" s="156"/>
      <c r="BA1775" s="156"/>
      <c r="BB1775" s="2743"/>
      <c r="BC1775" s="2742" t="str">
        <f t="shared" si="336"/>
        <v>Heating Res ER2 12 Year EUL</v>
      </c>
      <c r="BD1775" s="1841">
        <f>(INDEX('Avoided Cost Benefits'!$E$4:$E$859,MATCH(BC1775,'Avoided Cost Benefits'!$A$4:$A$859,0)))*F1775</f>
        <v>0</v>
      </c>
      <c r="BE1775" s="2507">
        <f t="shared" si="332"/>
        <v>0</v>
      </c>
      <c r="BF1775" s="156"/>
      <c r="BH1775" s="686"/>
    </row>
    <row r="1776" spans="1:60" x14ac:dyDescent="0.35">
      <c r="A1776" s="1071" t="str">
        <f t="shared" si="334"/>
        <v>354200_2019_12_Cooling Res</v>
      </c>
      <c r="B1776" s="2812"/>
      <c r="C1776" s="1037" t="s">
        <v>1379</v>
      </c>
      <c r="D1776" s="1311" t="s">
        <v>320</v>
      </c>
      <c r="E1776" s="3418" t="s">
        <v>1380</v>
      </c>
      <c r="F1776" s="615">
        <f>ROUND(((K2833*K3026*(1/K3219-1/K3412)*K3605)/1000)*$K$3677,2)</f>
        <v>1369.47</v>
      </c>
      <c r="G1776" s="1313" t="s">
        <v>1091</v>
      </c>
      <c r="H1776" s="136">
        <f>VLOOKUP(G1776,'CP FACTORS'!$A$3:$B$38, 2, FALSE)</f>
        <v>9.4741810000000004E-4</v>
      </c>
      <c r="I1776" s="3497">
        <f t="shared" si="335"/>
        <v>1.297461</v>
      </c>
      <c r="J1776" s="124">
        <f t="shared" si="330"/>
        <v>6</v>
      </c>
      <c r="K1776" s="462">
        <f t="shared" si="331"/>
        <v>1236.5217238752739</v>
      </c>
      <c r="L1776" s="689">
        <f>L2061</f>
        <v>3.3</v>
      </c>
      <c r="M1776" s="103"/>
      <c r="N1776" s="1317"/>
      <c r="O1776" s="963"/>
      <c r="P1776" s="106"/>
      <c r="Q1776" s="106"/>
      <c r="R1776" s="1214"/>
      <c r="S1776" s="106"/>
      <c r="T1776" s="106"/>
      <c r="U1776" s="1319"/>
      <c r="V1776" s="3436" t="s">
        <v>30</v>
      </c>
      <c r="W1776" s="2914">
        <v>1790.9067647058826</v>
      </c>
      <c r="X1776" s="685">
        <v>1369.47306122449</v>
      </c>
      <c r="Y1776" s="615">
        <v>1369.47</v>
      </c>
      <c r="Z1776" s="615">
        <v>1369.47</v>
      </c>
      <c r="AA1776" s="615">
        <v>1369.47</v>
      </c>
      <c r="AB1776" s="3495">
        <v>1369.47</v>
      </c>
      <c r="AC1776" s="2912">
        <v>1369.47</v>
      </c>
      <c r="AD1776" s="615">
        <v>1369.47</v>
      </c>
      <c r="AE1776" s="2914"/>
      <c r="AF1776" s="2914"/>
      <c r="AG1776" s="2914"/>
      <c r="AH1776" s="344"/>
      <c r="AI1776" s="156"/>
      <c r="AJ1776" s="3640"/>
      <c r="AK1776" s="2915"/>
      <c r="AL1776" s="156"/>
      <c r="AM1776" s="3640"/>
      <c r="AN1776" s="3640"/>
      <c r="AO1776" s="156"/>
      <c r="AP1776" s="156"/>
      <c r="AQ1776" s="156"/>
      <c r="AR1776" s="156"/>
      <c r="AS1776" s="156"/>
      <c r="AT1776" s="156"/>
      <c r="AU1776" s="156"/>
      <c r="AV1776" s="156"/>
      <c r="AW1776" s="156"/>
      <c r="AX1776" s="156"/>
      <c r="AY1776" s="156"/>
      <c r="AZ1776" s="156"/>
      <c r="BA1776" s="156"/>
      <c r="BB1776" s="2833">
        <f>(BD1776+BD1777+BD1778+BD1779)/(BE1776+BE1777+BE1778+BE1779)</f>
        <v>1.4177145785622352</v>
      </c>
      <c r="BC1776" s="2348" t="str">
        <f t="shared" si="336"/>
        <v>Cooling Res 6 Year EUL</v>
      </c>
      <c r="BD1776" s="2829">
        <f>(INDEX('Avoided Cost Benefits'!$E$4:$E$859,MATCH(BC1776,'Avoided Cost Benefits'!$A$4:$A$859,0)))*F1776</f>
        <v>867.71261100471986</v>
      </c>
      <c r="BE1776" s="858">
        <f t="shared" si="332"/>
        <v>1167.0804378247039</v>
      </c>
      <c r="BF1776" s="156"/>
      <c r="BH1776" s="686"/>
    </row>
    <row r="1777" spans="1:60" x14ac:dyDescent="0.35">
      <c r="A1777" s="1071" t="str">
        <f t="shared" si="334"/>
        <v>354200_2019_12_Heating Res</v>
      </c>
      <c r="B1777" s="2812"/>
      <c r="C1777" s="1037" t="s">
        <v>1379</v>
      </c>
      <c r="D1777" s="1311" t="s">
        <v>320</v>
      </c>
      <c r="E1777" s="3420" t="s">
        <v>1380</v>
      </c>
      <c r="F1777" s="615">
        <f>ROUND(((K2061*K2254*(1/K2447-1/K2640)*K3605)/1000)*$K$3677,2)</f>
        <v>1798.76</v>
      </c>
      <c r="G1777" s="1313" t="s">
        <v>1092</v>
      </c>
      <c r="H1777" s="136">
        <f>VLOOKUP(G1777,'CP FACTORS'!$A$3:$B$38, 2, FALSE)</f>
        <v>0</v>
      </c>
      <c r="I1777" s="3497">
        <f t="shared" si="335"/>
        <v>0</v>
      </c>
      <c r="J1777" s="124">
        <f t="shared" si="330"/>
        <v>6</v>
      </c>
      <c r="K1777" s="462">
        <f t="shared" si="331"/>
        <v>0</v>
      </c>
      <c r="L1777" s="689"/>
      <c r="M1777" s="103"/>
      <c r="N1777" s="1317"/>
      <c r="O1777" s="963"/>
      <c r="P1777" s="106"/>
      <c r="Q1777" s="106"/>
      <c r="R1777" s="1214"/>
      <c r="S1777" s="106"/>
      <c r="T1777" s="106"/>
      <c r="U1777" s="1319"/>
      <c r="V1777" s="3436" t="s">
        <v>30</v>
      </c>
      <c r="W1777" s="2914">
        <v>4062.4872213622284</v>
      </c>
      <c r="X1777" s="685">
        <v>1798.7611070228763</v>
      </c>
      <c r="Y1777" s="615">
        <v>1798.76</v>
      </c>
      <c r="Z1777" s="615">
        <v>1798.76</v>
      </c>
      <c r="AA1777" s="615">
        <v>1798.76</v>
      </c>
      <c r="AB1777" s="3495">
        <v>1798.76</v>
      </c>
      <c r="AC1777" s="2912">
        <v>1798.76</v>
      </c>
      <c r="AD1777" s="615">
        <v>1798.76</v>
      </c>
      <c r="AE1777" s="2914"/>
      <c r="AF1777" s="2914"/>
      <c r="AG1777" s="2914"/>
      <c r="AH1777" s="344"/>
      <c r="AI1777" s="156"/>
      <c r="AJ1777" s="3640"/>
      <c r="AK1777" s="2915"/>
      <c r="AL1777" s="156"/>
      <c r="AM1777" s="3640"/>
      <c r="AN1777" s="3640"/>
      <c r="AO1777" s="156"/>
      <c r="AP1777" s="156"/>
      <c r="AQ1777" s="156"/>
      <c r="AR1777" s="156"/>
      <c r="AS1777" s="156"/>
      <c r="AT1777" s="156"/>
      <c r="AU1777" s="156"/>
      <c r="AV1777" s="156"/>
      <c r="AW1777" s="156"/>
      <c r="AX1777" s="156"/>
      <c r="AY1777" s="156"/>
      <c r="AZ1777" s="156"/>
      <c r="BA1777" s="156"/>
      <c r="BB1777" s="2905"/>
      <c r="BC1777" s="2357" t="str">
        <f t="shared" si="336"/>
        <v>Heating Res 6 Year EUL</v>
      </c>
      <c r="BD1777" s="2829">
        <f>(INDEX('Avoided Cost Benefits'!$E$4:$E$859,MATCH(BC1777,'Avoided Cost Benefits'!$A$4:$A$859,0)))*F1777</f>
        <v>293.09209201798672</v>
      </c>
      <c r="BE1777" s="858">
        <f t="shared" si="332"/>
        <v>0</v>
      </c>
      <c r="BF1777" s="156"/>
      <c r="BH1777" s="686"/>
    </row>
    <row r="1778" spans="1:60" x14ac:dyDescent="0.35">
      <c r="A1778" s="1071" t="str">
        <f t="shared" si="334"/>
        <v>354200_2019_12_Cooling Res ER2</v>
      </c>
      <c r="B1778" s="2812"/>
      <c r="C1778" s="1037" t="s">
        <v>1379</v>
      </c>
      <c r="D1778" s="1311" t="s">
        <v>320</v>
      </c>
      <c r="E1778" s="3420" t="s">
        <v>1381</v>
      </c>
      <c r="F1778" s="615">
        <f>ROUND(((K2834*K3027*(1/K3220-1/K3413)*K3606)/1000)*$K$3677,2)</f>
        <v>281.95</v>
      </c>
      <c r="G1778" s="1313" t="s">
        <v>1133</v>
      </c>
      <c r="H1778" s="136">
        <f>VLOOKUP(G1778,'CP FACTORS'!$A$3:$B$38, 2, FALSE)</f>
        <v>9.4741810000000004E-4</v>
      </c>
      <c r="I1778" s="3497">
        <f t="shared" si="335"/>
        <v>0.267125</v>
      </c>
      <c r="J1778" s="124">
        <f t="shared" si="330"/>
        <v>12</v>
      </c>
      <c r="K1778" s="462">
        <f t="shared" si="331"/>
        <v>0</v>
      </c>
      <c r="L1778" s="689"/>
      <c r="M1778" s="103"/>
      <c r="N1778" s="1317"/>
      <c r="O1778" s="963"/>
      <c r="P1778" s="106"/>
      <c r="Q1778" s="106"/>
      <c r="R1778" s="1214"/>
      <c r="S1778" s="106"/>
      <c r="T1778" s="106"/>
      <c r="U1778" s="1319"/>
      <c r="V1778" s="3436" t="s">
        <v>30</v>
      </c>
      <c r="W1778" s="2914">
        <v>281.95033613445372</v>
      </c>
      <c r="X1778" s="688">
        <v>281.95033613445372</v>
      </c>
      <c r="Y1778" s="615">
        <v>281.95</v>
      </c>
      <c r="Z1778" s="615">
        <v>281.95</v>
      </c>
      <c r="AA1778" s="615">
        <v>281.95</v>
      </c>
      <c r="AB1778" s="3495">
        <v>281.95</v>
      </c>
      <c r="AC1778" s="2912">
        <v>281.95</v>
      </c>
      <c r="AD1778" s="615">
        <v>281.95</v>
      </c>
      <c r="AE1778" s="2914"/>
      <c r="AF1778" s="2914"/>
      <c r="AG1778" s="2914"/>
      <c r="AH1778" s="344"/>
      <c r="AI1778" s="156"/>
      <c r="AJ1778" s="3640"/>
      <c r="AK1778" s="2915"/>
      <c r="AL1778" s="156"/>
      <c r="AM1778" s="3640"/>
      <c r="AN1778" s="3640"/>
      <c r="AO1778" s="156"/>
      <c r="AP1778" s="156"/>
      <c r="AQ1778" s="156"/>
      <c r="AR1778" s="156"/>
      <c r="AS1778" s="156"/>
      <c r="AT1778" s="156"/>
      <c r="AU1778" s="156"/>
      <c r="AV1778" s="156"/>
      <c r="AW1778" s="156"/>
      <c r="AX1778" s="156"/>
      <c r="AY1778" s="156"/>
      <c r="AZ1778" s="156"/>
      <c r="BA1778" s="156"/>
      <c r="BB1778" s="2905"/>
      <c r="BC1778" s="2357" t="str">
        <f t="shared" si="336"/>
        <v>Cooling Res ER2 12 Year EUL</v>
      </c>
      <c r="BD1778" s="2829">
        <f>(INDEX('Avoided Cost Benefits'!$E$4:$E$859,MATCH(BC1778,'Avoided Cost Benefits'!$A$4:$A$859,0)))*F1778</f>
        <v>311.98622769071068</v>
      </c>
      <c r="BE1778" s="858">
        <f t="shared" si="332"/>
        <v>0</v>
      </c>
      <c r="BF1778" s="156"/>
      <c r="BH1778" s="686"/>
    </row>
    <row r="1779" spans="1:60" x14ac:dyDescent="0.35">
      <c r="A1779" s="1071" t="str">
        <f t="shared" si="334"/>
        <v>354200_2019_12_Heating Res ER2</v>
      </c>
      <c r="B1779" s="2812"/>
      <c r="C1779" s="1037" t="s">
        <v>1379</v>
      </c>
      <c r="D1779" s="1311" t="s">
        <v>320</v>
      </c>
      <c r="E1779" s="3419" t="s">
        <v>1381</v>
      </c>
      <c r="F1779" s="615">
        <f xml:space="preserve"> ROUND(((K2062*K2255*(1/K2448-1/K2641)*K3606)/1000)*$K$3677,2)</f>
        <v>642.61</v>
      </c>
      <c r="G1779" s="1313" t="s">
        <v>1150</v>
      </c>
      <c r="H1779" s="136">
        <f>VLOOKUP(G1779,'CP FACTORS'!$A$3:$B$38, 2, FALSE)</f>
        <v>0</v>
      </c>
      <c r="I1779" s="3497">
        <f t="shared" si="335"/>
        <v>0</v>
      </c>
      <c r="J1779" s="124">
        <f t="shared" si="330"/>
        <v>12</v>
      </c>
      <c r="K1779" s="462">
        <f t="shared" si="331"/>
        <v>0</v>
      </c>
      <c r="L1779" s="689"/>
      <c r="M1779" s="103"/>
      <c r="N1779" s="1317"/>
      <c r="O1779" s="963"/>
      <c r="P1779" s="106"/>
      <c r="Q1779" s="106"/>
      <c r="R1779" s="1214"/>
      <c r="S1779" s="106"/>
      <c r="T1779" s="106"/>
      <c r="U1779" s="1319"/>
      <c r="V1779" s="3436" t="s">
        <v>30</v>
      </c>
      <c r="W1779" s="2914">
        <v>862.96736842105349</v>
      </c>
      <c r="X1779" s="685">
        <v>642.6078562259313</v>
      </c>
      <c r="Y1779" s="615">
        <v>642.61</v>
      </c>
      <c r="Z1779" s="615">
        <v>642.61</v>
      </c>
      <c r="AA1779" s="615">
        <v>642.61</v>
      </c>
      <c r="AB1779" s="3495">
        <v>642.61</v>
      </c>
      <c r="AC1779" s="2912">
        <v>642.61</v>
      </c>
      <c r="AD1779" s="615">
        <v>642.61</v>
      </c>
      <c r="AE1779" s="2914"/>
      <c r="AF1779" s="2914"/>
      <c r="AG1779" s="2914"/>
      <c r="AH1779" s="344"/>
      <c r="AI1779" s="156"/>
      <c r="AJ1779" s="3640"/>
      <c r="AK1779" s="2915"/>
      <c r="AL1779" s="156"/>
      <c r="AM1779" s="3640"/>
      <c r="AN1779" s="3640"/>
      <c r="AO1779" s="156"/>
      <c r="AP1779" s="156"/>
      <c r="AQ1779" s="156"/>
      <c r="AR1779" s="156"/>
      <c r="AS1779" s="156"/>
      <c r="AT1779" s="156"/>
      <c r="AU1779" s="156"/>
      <c r="AV1779" s="156"/>
      <c r="AW1779" s="156"/>
      <c r="AX1779" s="156"/>
      <c r="AY1779" s="156"/>
      <c r="AZ1779" s="156"/>
      <c r="BA1779" s="156"/>
      <c r="BB1779" s="2905"/>
      <c r="BC1779" s="2349" t="str">
        <f t="shared" si="336"/>
        <v>Heating Res ER2 12 Year EUL</v>
      </c>
      <c r="BD1779" s="2829">
        <f>(INDEX('Avoided Cost Benefits'!$E$4:$E$859,MATCH(BC1779,'Avoided Cost Benefits'!$A$4:$A$859,0)))*F1779</f>
        <v>181.79602034546187</v>
      </c>
      <c r="BE1779" s="858">
        <f t="shared" si="332"/>
        <v>0</v>
      </c>
      <c r="BF1779" s="156"/>
      <c r="BH1779" s="686"/>
    </row>
    <row r="1780" spans="1:60" x14ac:dyDescent="0.35">
      <c r="A1780" s="1071" t="str">
        <f t="shared" si="334"/>
        <v>354201_2019_12_Cooling Res</v>
      </c>
      <c r="B1780" s="2812"/>
      <c r="C1780" s="1037" t="s">
        <v>1382</v>
      </c>
      <c r="D1780" s="1311" t="s">
        <v>315</v>
      </c>
      <c r="E1780" s="3418" t="s">
        <v>1383</v>
      </c>
      <c r="F1780" s="615">
        <f>ROUND((($K$2835*$K$3028*(1/$K$3221-1/$K$3414)*$K$3607)/1000)*$K$3677,2)</f>
        <v>995.98</v>
      </c>
      <c r="G1780" s="1313" t="str">
        <f t="shared" ref="G1780:G1783" si="337">G1776</f>
        <v>Cooling Res</v>
      </c>
      <c r="H1780" s="136">
        <f>VLOOKUP(G1780,'CP FACTORS'!$A$3:$B$38, 2, FALSE)</f>
        <v>9.4741810000000004E-4</v>
      </c>
      <c r="I1780" s="3497">
        <f t="shared" si="335"/>
        <v>0.94360900000000003</v>
      </c>
      <c r="J1780" s="124">
        <f t="shared" si="330"/>
        <v>6</v>
      </c>
      <c r="K1780" s="462">
        <f t="shared" si="331"/>
        <v>1236.5217238752739</v>
      </c>
      <c r="L1780" s="689">
        <f>L2063</f>
        <v>3.3</v>
      </c>
      <c r="M1780" s="103"/>
      <c r="N1780" s="1317"/>
      <c r="O1780" s="963"/>
      <c r="P1780" s="106"/>
      <c r="Q1780" s="106"/>
      <c r="R1780" s="1214"/>
      <c r="S1780" s="106"/>
      <c r="T1780" s="106"/>
      <c r="U1780" s="1319"/>
      <c r="V1780" s="3436" t="s">
        <v>30</v>
      </c>
      <c r="W1780" s="2914"/>
      <c r="X1780" s="685"/>
      <c r="Y1780" s="618">
        <v>995.98</v>
      </c>
      <c r="Z1780" s="615">
        <v>995.98</v>
      </c>
      <c r="AA1780" s="615">
        <v>995.98</v>
      </c>
      <c r="AB1780" s="3495">
        <v>995.98</v>
      </c>
      <c r="AC1780" s="2912">
        <v>995.98</v>
      </c>
      <c r="AD1780" s="615">
        <v>995.98</v>
      </c>
      <c r="AE1780" s="2914"/>
      <c r="AF1780" s="2914"/>
      <c r="AG1780" s="2914"/>
      <c r="AH1780" s="344"/>
      <c r="AI1780" s="156"/>
      <c r="AJ1780" s="3640"/>
      <c r="AK1780" s="2915"/>
      <c r="AL1780" s="156"/>
      <c r="AM1780" s="3640"/>
      <c r="AN1780" s="3640"/>
      <c r="AO1780" s="156"/>
      <c r="AP1780" s="156"/>
      <c r="AQ1780" s="156"/>
      <c r="AR1780" s="156"/>
      <c r="AS1780" s="156"/>
      <c r="AT1780" s="156"/>
      <c r="AU1780" s="156"/>
      <c r="AV1780" s="156"/>
      <c r="AW1780" s="156"/>
      <c r="AX1780" s="156"/>
      <c r="AY1780" s="156"/>
      <c r="AZ1780" s="156"/>
      <c r="BA1780" s="156"/>
      <c r="BB1780" s="2833">
        <f>(BD1780+BD1781+BD1782+BD1783)/(BE1780+BE1781+BE1782+BE1783)</f>
        <v>0.87384854817848834</v>
      </c>
      <c r="BC1780" s="2348" t="str">
        <f t="shared" si="336"/>
        <v>Cooling Res 6 Year EUL</v>
      </c>
      <c r="BD1780" s="2829">
        <f>(INDEX('Avoided Cost Benefits'!$E$4:$E$859,MATCH(BC1780,'Avoided Cost Benefits'!$A$4:$A$859,0)))*F1780</f>
        <v>631.06486911614047</v>
      </c>
      <c r="BE1780" s="858">
        <f t="shared" si="332"/>
        <v>1167.0804378247039</v>
      </c>
      <c r="BF1780" s="156"/>
      <c r="BH1780" s="686"/>
    </row>
    <row r="1781" spans="1:60" x14ac:dyDescent="0.35">
      <c r="A1781" s="1071" t="str">
        <f t="shared" si="334"/>
        <v>354201_2019_12_Heating Res</v>
      </c>
      <c r="B1781" s="2812"/>
      <c r="C1781" s="1037" t="str">
        <f>C1780</f>
        <v>354201_2019_12_</v>
      </c>
      <c r="D1781" s="1311" t="s">
        <v>315</v>
      </c>
      <c r="E1781" s="3420" t="s">
        <v>1383</v>
      </c>
      <c r="F1781" s="615">
        <f>ROUND((($K$2063*$K$2256*(1/$K$2449-1/$K$2642)*$K$3607)/1000)*$K$3677,2)</f>
        <v>613.21</v>
      </c>
      <c r="G1781" s="1313" t="str">
        <f t="shared" si="337"/>
        <v>Heating Res</v>
      </c>
      <c r="H1781" s="136">
        <f>VLOOKUP(G1781,'CP FACTORS'!$A$3:$B$38, 2, FALSE)</f>
        <v>0</v>
      </c>
      <c r="I1781" s="3497">
        <f t="shared" si="335"/>
        <v>0</v>
      </c>
      <c r="J1781" s="124">
        <f t="shared" si="330"/>
        <v>6</v>
      </c>
      <c r="K1781" s="462">
        <f t="shared" si="331"/>
        <v>0</v>
      </c>
      <c r="L1781" s="689"/>
      <c r="M1781" s="103"/>
      <c r="N1781" s="1317"/>
      <c r="O1781" s="963"/>
      <c r="P1781" s="106"/>
      <c r="Q1781" s="106"/>
      <c r="R1781" s="1214"/>
      <c r="S1781" s="106"/>
      <c r="T1781" s="106"/>
      <c r="U1781" s="1319"/>
      <c r="V1781" s="3436" t="s">
        <v>30</v>
      </c>
      <c r="W1781" s="2914"/>
      <c r="X1781" s="685"/>
      <c r="Y1781" s="618">
        <v>613.21</v>
      </c>
      <c r="Z1781" s="615">
        <v>613.21</v>
      </c>
      <c r="AA1781" s="615">
        <v>613.21</v>
      </c>
      <c r="AB1781" s="3495">
        <v>613.21</v>
      </c>
      <c r="AC1781" s="2912">
        <v>613.21</v>
      </c>
      <c r="AD1781" s="615">
        <v>613.21</v>
      </c>
      <c r="AE1781" s="2914"/>
      <c r="AF1781" s="2914"/>
      <c r="AG1781" s="2914"/>
      <c r="AH1781" s="344"/>
      <c r="AI1781" s="156"/>
      <c r="AJ1781" s="3640"/>
      <c r="AK1781" s="2915"/>
      <c r="AL1781" s="156"/>
      <c r="AM1781" s="3640"/>
      <c r="AN1781" s="3640"/>
      <c r="AO1781" s="156"/>
      <c r="AP1781" s="156"/>
      <c r="AQ1781" s="156"/>
      <c r="AR1781" s="156"/>
      <c r="AS1781" s="156"/>
      <c r="AT1781" s="156"/>
      <c r="AU1781" s="156"/>
      <c r="AV1781" s="156"/>
      <c r="AW1781" s="156"/>
      <c r="AX1781" s="156"/>
      <c r="AY1781" s="156"/>
      <c r="AZ1781" s="156"/>
      <c r="BA1781" s="156"/>
      <c r="BB1781" s="2905"/>
      <c r="BC1781" s="2357" t="str">
        <f t="shared" si="336"/>
        <v>Heating Res 6 Year EUL</v>
      </c>
      <c r="BD1781" s="2829">
        <f>(INDEX('Avoided Cost Benefits'!$E$4:$E$859,MATCH(BC1781,'Avoided Cost Benefits'!$A$4:$A$859,0)))*F1781</f>
        <v>99.917166129083185</v>
      </c>
      <c r="BE1781" s="858">
        <f t="shared" si="332"/>
        <v>0</v>
      </c>
      <c r="BF1781" s="156"/>
      <c r="BH1781" s="686"/>
    </row>
    <row r="1782" spans="1:60" x14ac:dyDescent="0.35">
      <c r="A1782" s="1071" t="str">
        <f t="shared" si="334"/>
        <v>354201_2019_12_Cooling Res ER2</v>
      </c>
      <c r="B1782" s="2812"/>
      <c r="C1782" s="1037" t="str">
        <f>C1781</f>
        <v>354201_2019_12_</v>
      </c>
      <c r="D1782" s="1311" t="s">
        <v>315</v>
      </c>
      <c r="E1782" s="3420" t="s">
        <v>1384</v>
      </c>
      <c r="F1782" s="615">
        <f>ROUND((($K$2836*$K$3029*(1/$K$3222-1/$K$3415)*$K$3608)/1000)*$K$3677,2)</f>
        <v>205.05</v>
      </c>
      <c r="G1782" s="1313" t="str">
        <f t="shared" si="337"/>
        <v>Cooling Res ER2</v>
      </c>
      <c r="H1782" s="136">
        <f>VLOOKUP(G1782,'CP FACTORS'!$A$3:$B$38, 2, FALSE)</f>
        <v>9.4741810000000004E-4</v>
      </c>
      <c r="I1782" s="3497">
        <f t="shared" si="335"/>
        <v>0.194268</v>
      </c>
      <c r="J1782" s="124">
        <f t="shared" si="330"/>
        <v>12</v>
      </c>
      <c r="K1782" s="462">
        <f t="shared" si="331"/>
        <v>0</v>
      </c>
      <c r="L1782" s="689"/>
      <c r="M1782" s="103"/>
      <c r="N1782" s="1317"/>
      <c r="O1782" s="963"/>
      <c r="P1782" s="106"/>
      <c r="Q1782" s="106"/>
      <c r="R1782" s="1214"/>
      <c r="S1782" s="106"/>
      <c r="T1782" s="106"/>
      <c r="U1782" s="1319"/>
      <c r="V1782" s="3436" t="s">
        <v>30</v>
      </c>
      <c r="W1782" s="2914"/>
      <c r="X1782" s="685"/>
      <c r="Y1782" s="618">
        <v>205.05</v>
      </c>
      <c r="Z1782" s="615">
        <v>205.05</v>
      </c>
      <c r="AA1782" s="615">
        <v>205.05</v>
      </c>
      <c r="AB1782" s="3495">
        <v>205.05</v>
      </c>
      <c r="AC1782" s="2912">
        <v>205.05</v>
      </c>
      <c r="AD1782" s="615">
        <v>205.05</v>
      </c>
      <c r="AE1782" s="2914"/>
      <c r="AF1782" s="2914"/>
      <c r="AG1782" s="2914"/>
      <c r="AH1782" s="344"/>
      <c r="AI1782" s="156"/>
      <c r="AJ1782" s="3640"/>
      <c r="AK1782" s="2915"/>
      <c r="AL1782" s="156"/>
      <c r="AM1782" s="3640"/>
      <c r="AN1782" s="3640"/>
      <c r="AO1782" s="156"/>
      <c r="AP1782" s="156"/>
      <c r="AQ1782" s="156"/>
      <c r="AR1782" s="156"/>
      <c r="AS1782" s="156"/>
      <c r="AT1782" s="156"/>
      <c r="AU1782" s="156"/>
      <c r="AV1782" s="156"/>
      <c r="AW1782" s="156"/>
      <c r="AX1782" s="156"/>
      <c r="AY1782" s="156"/>
      <c r="AZ1782" s="156"/>
      <c r="BA1782" s="156"/>
      <c r="BB1782" s="2905"/>
      <c r="BC1782" s="2357" t="str">
        <f t="shared" si="336"/>
        <v>Cooling Res ER2 12 Year EUL</v>
      </c>
      <c r="BD1782" s="2829">
        <f>(INDEX('Avoided Cost Benefits'!$E$4:$E$859,MATCH(BC1782,'Avoided Cost Benefits'!$A$4:$A$859,0)))*F1782</f>
        <v>226.89404500081656</v>
      </c>
      <c r="BE1782" s="858">
        <f t="shared" si="332"/>
        <v>0</v>
      </c>
      <c r="BF1782" s="156"/>
      <c r="BH1782" s="686"/>
    </row>
    <row r="1783" spans="1:60" x14ac:dyDescent="0.35">
      <c r="A1783" s="1071" t="str">
        <f t="shared" si="334"/>
        <v>354201_2019_12_Heating Res ER2</v>
      </c>
      <c r="B1783" s="2812"/>
      <c r="C1783" s="1037" t="str">
        <f>C1782</f>
        <v>354201_2019_12_</v>
      </c>
      <c r="D1783" s="1311" t="s">
        <v>315</v>
      </c>
      <c r="E1783" s="3419" t="s">
        <v>1384</v>
      </c>
      <c r="F1783" s="615">
        <f>ROUND((($K$2064*$K$2257*(1/$K$2450-1/$K$2643)*$K$3608)/1000)*$K$3677,2)</f>
        <v>219.07</v>
      </c>
      <c r="G1783" s="1313" t="str">
        <f t="shared" si="337"/>
        <v>Heating Res ER2</v>
      </c>
      <c r="H1783" s="136">
        <f>VLOOKUP(G1783,'CP FACTORS'!$A$3:$B$38, 2, FALSE)</f>
        <v>0</v>
      </c>
      <c r="I1783" s="3497">
        <f t="shared" si="335"/>
        <v>0</v>
      </c>
      <c r="J1783" s="124">
        <f t="shared" si="330"/>
        <v>12</v>
      </c>
      <c r="K1783" s="462">
        <f t="shared" si="331"/>
        <v>0</v>
      </c>
      <c r="L1783" s="689"/>
      <c r="M1783" s="103"/>
      <c r="N1783" s="1317"/>
      <c r="O1783" s="963"/>
      <c r="P1783" s="106"/>
      <c r="Q1783" s="106"/>
      <c r="R1783" s="1214"/>
      <c r="S1783" s="106"/>
      <c r="T1783" s="106"/>
      <c r="U1783" s="1319"/>
      <c r="V1783" s="3436" t="s">
        <v>30</v>
      </c>
      <c r="W1783" s="2914"/>
      <c r="X1783" s="685"/>
      <c r="Y1783" s="618">
        <v>219.07</v>
      </c>
      <c r="Z1783" s="615">
        <v>219.07</v>
      </c>
      <c r="AA1783" s="615">
        <v>219.07</v>
      </c>
      <c r="AB1783" s="3495">
        <v>219.07</v>
      </c>
      <c r="AC1783" s="2912">
        <v>219.07</v>
      </c>
      <c r="AD1783" s="615">
        <v>219.07</v>
      </c>
      <c r="AE1783" s="2914"/>
      <c r="AF1783" s="2914"/>
      <c r="AG1783" s="2914"/>
      <c r="AH1783" s="344"/>
      <c r="AI1783" s="156"/>
      <c r="AJ1783" s="3640"/>
      <c r="AK1783" s="2915"/>
      <c r="AL1783" s="156"/>
      <c r="AM1783" s="3640"/>
      <c r="AN1783" s="3640"/>
      <c r="AO1783" s="156"/>
      <c r="AP1783" s="156"/>
      <c r="AQ1783" s="156"/>
      <c r="AR1783" s="156"/>
      <c r="AS1783" s="156"/>
      <c r="AT1783" s="156"/>
      <c r="AU1783" s="156"/>
      <c r="AV1783" s="156"/>
      <c r="AW1783" s="156"/>
      <c r="AX1783" s="156"/>
      <c r="AY1783" s="156"/>
      <c r="AZ1783" s="156"/>
      <c r="BA1783" s="156"/>
      <c r="BB1783" s="2905"/>
      <c r="BC1783" s="2349" t="str">
        <f t="shared" si="336"/>
        <v>Heating Res ER2 12 Year EUL</v>
      </c>
      <c r="BD1783" s="2829">
        <f>(INDEX('Avoided Cost Benefits'!$E$4:$E$859,MATCH(BC1783,'Avoided Cost Benefits'!$A$4:$A$859,0)))*F1783</f>
        <v>61.975465954591947</v>
      </c>
      <c r="BE1783" s="858">
        <f t="shared" si="332"/>
        <v>0</v>
      </c>
      <c r="BF1783" s="156"/>
      <c r="BH1783" s="686"/>
    </row>
    <row r="1784" spans="1:60" x14ac:dyDescent="0.35">
      <c r="A1784" s="1071" t="str">
        <f t="shared" si="334"/>
        <v>354250_2021_12_Cooling Res</v>
      </c>
      <c r="B1784" s="2812"/>
      <c r="C1784" s="1037" t="s">
        <v>1386</v>
      </c>
      <c r="D1784" s="1311" t="s">
        <v>318</v>
      </c>
      <c r="E1784" s="3418" t="s">
        <v>1387</v>
      </c>
      <c r="F1784" s="618">
        <f>ROUND(((K2837*K3030*(1/K3223-1/K3416)*K3609)/1000)*$K$3677,2)</f>
        <v>2369.3000000000002</v>
      </c>
      <c r="G1784" s="2810" t="s">
        <v>1091</v>
      </c>
      <c r="H1784" s="2720">
        <f>VLOOKUP(G1784,'CP FACTORS'!$A$3:$B$38, 2, FALSE)</f>
        <v>9.4741810000000004E-4</v>
      </c>
      <c r="I1784" s="2995">
        <f t="shared" si="335"/>
        <v>2.2447180000000002</v>
      </c>
      <c r="J1784" s="124">
        <f t="shared" si="330"/>
        <v>6</v>
      </c>
      <c r="K1784" s="462">
        <f t="shared" si="331"/>
        <v>1681.5237652002679</v>
      </c>
      <c r="L1784" s="3496">
        <f>L2065</f>
        <v>3.0074921794528389</v>
      </c>
      <c r="M1784" s="103"/>
      <c r="N1784" s="1317"/>
      <c r="O1784" s="963"/>
      <c r="P1784" s="106"/>
      <c r="Q1784" s="106"/>
      <c r="R1784" s="1214"/>
      <c r="S1784" s="106"/>
      <c r="T1784" s="106"/>
      <c r="U1784" s="1319"/>
      <c r="V1784" s="3436" t="s">
        <v>30</v>
      </c>
      <c r="W1784" s="2914">
        <v>2958.0078431372549</v>
      </c>
      <c r="X1784" s="685">
        <v>2084.8349739895957</v>
      </c>
      <c r="Y1784" s="615">
        <v>2084.83</v>
      </c>
      <c r="Z1784" s="615">
        <v>2084.83</v>
      </c>
      <c r="AA1784" s="615">
        <v>2084.83</v>
      </c>
      <c r="AB1784" s="3494">
        <v>2709.13</v>
      </c>
      <c r="AC1784" s="618">
        <v>2068.02</v>
      </c>
      <c r="AD1784" s="618">
        <v>2369.3000000000002</v>
      </c>
      <c r="AE1784" s="2914"/>
      <c r="AF1784" s="2914"/>
      <c r="AG1784" s="2914"/>
      <c r="AH1784" s="344"/>
      <c r="AI1784" s="156"/>
      <c r="AJ1784" s="3640"/>
      <c r="AK1784" s="2915"/>
      <c r="AL1784" s="156"/>
      <c r="AM1784" s="3640"/>
      <c r="AN1784" s="3640"/>
      <c r="AO1784" s="156"/>
      <c r="AP1784" s="156"/>
      <c r="AQ1784" s="156"/>
      <c r="AR1784" s="156"/>
      <c r="AS1784" s="156"/>
      <c r="AT1784" s="156"/>
      <c r="AU1784" s="156"/>
      <c r="AV1784" s="156"/>
      <c r="AW1784" s="156"/>
      <c r="AX1784" s="156"/>
      <c r="AY1784" s="156"/>
      <c r="AZ1784" s="156"/>
      <c r="BA1784" s="156"/>
      <c r="BB1784" s="2833">
        <f>(BD1784+BD1785+BD1786+BD1787)/(BE1784+BE1785+BE1786+BE1787)</f>
        <v>4.3892708902118462</v>
      </c>
      <c r="BC1784" s="2348" t="str">
        <f t="shared" si="336"/>
        <v>Cooling Res 6 Year EUL</v>
      </c>
      <c r="BD1784" s="2829">
        <f>(INDEX('Avoided Cost Benefits'!$E$4:$E$859,MATCH(BC1784,'Avoided Cost Benefits'!$A$4:$A$859,0)))*F1784</f>
        <v>1501.2168862797162</v>
      </c>
      <c r="BE1784" s="858">
        <f t="shared" si="332"/>
        <v>1587.0918029261611</v>
      </c>
      <c r="BF1784" s="156"/>
      <c r="BH1784" s="686"/>
    </row>
    <row r="1785" spans="1:60" x14ac:dyDescent="0.35">
      <c r="A1785" s="1071" t="str">
        <f t="shared" si="334"/>
        <v>354250_2021_12_Heating Res</v>
      </c>
      <c r="B1785" s="2812"/>
      <c r="C1785" s="1037" t="s">
        <v>1386</v>
      </c>
      <c r="D1785" s="1311" t="s">
        <v>318</v>
      </c>
      <c r="E1785" s="3420" t="s">
        <v>1387</v>
      </c>
      <c r="F1785" s="618">
        <f>ROUND(((K2065*K2258*(1/K2451-1/K2644)*K3609)/1000)*$K$3677,2)</f>
        <v>10500.37</v>
      </c>
      <c r="G1785" s="2810" t="s">
        <v>1092</v>
      </c>
      <c r="H1785" s="2720">
        <f>VLOOKUP(G1785,'CP FACTORS'!$A$3:$B$38, 2, FALSE)</f>
        <v>0</v>
      </c>
      <c r="I1785" s="2995">
        <f t="shared" si="335"/>
        <v>0</v>
      </c>
      <c r="J1785" s="124">
        <f t="shared" si="330"/>
        <v>6</v>
      </c>
      <c r="K1785" s="462">
        <f t="shared" si="331"/>
        <v>0</v>
      </c>
      <c r="L1785" s="3496"/>
      <c r="M1785" s="103"/>
      <c r="N1785" s="1317"/>
      <c r="O1785" s="963"/>
      <c r="P1785" s="106"/>
      <c r="Q1785" s="106"/>
      <c r="R1785" s="1214"/>
      <c r="S1785" s="106"/>
      <c r="T1785" s="106"/>
      <c r="U1785" s="1319"/>
      <c r="V1785" s="3436" t="s">
        <v>30</v>
      </c>
      <c r="W1785" s="2914">
        <v>13965.852998065762</v>
      </c>
      <c r="X1785" s="685">
        <v>10399.659574468084</v>
      </c>
      <c r="Y1785" s="615">
        <v>10399.66</v>
      </c>
      <c r="Z1785" s="615">
        <v>10399.66</v>
      </c>
      <c r="AA1785" s="615">
        <v>10399.66</v>
      </c>
      <c r="AB1785" s="3494">
        <v>11774.43</v>
      </c>
      <c r="AC1785" s="618">
        <v>10952.77</v>
      </c>
      <c r="AD1785" s="618">
        <v>10500.37</v>
      </c>
      <c r="AE1785" s="2914"/>
      <c r="AF1785" s="2914"/>
      <c r="AG1785" s="2914"/>
      <c r="AH1785" s="344"/>
      <c r="AI1785" s="156"/>
      <c r="AJ1785" s="3640"/>
      <c r="AK1785" s="2915"/>
      <c r="AL1785" s="156"/>
      <c r="AM1785" s="3640"/>
      <c r="AN1785" s="3640"/>
      <c r="AO1785" s="156"/>
      <c r="AP1785" s="156"/>
      <c r="AQ1785" s="156"/>
      <c r="AR1785" s="156"/>
      <c r="AS1785" s="156"/>
      <c r="AT1785" s="156"/>
      <c r="AU1785" s="156"/>
      <c r="AV1785" s="156"/>
      <c r="AW1785" s="156"/>
      <c r="AX1785" s="156"/>
      <c r="AY1785" s="156"/>
      <c r="AZ1785" s="156"/>
      <c r="BA1785" s="156"/>
      <c r="BB1785" s="2905"/>
      <c r="BC1785" s="2357" t="str">
        <f t="shared" si="336"/>
        <v>Heating Res 6 Year EUL</v>
      </c>
      <c r="BD1785" s="2829">
        <f>(INDEX('Avoided Cost Benefits'!$E$4:$E$859,MATCH(BC1785,'Avoided Cost Benefits'!$A$4:$A$859,0)))*F1785</f>
        <v>1710.9427662739374</v>
      </c>
      <c r="BE1785" s="858">
        <f t="shared" si="332"/>
        <v>0</v>
      </c>
      <c r="BF1785" s="156"/>
      <c r="BH1785" s="686"/>
    </row>
    <row r="1786" spans="1:60" x14ac:dyDescent="0.35">
      <c r="A1786" s="1071" t="str">
        <f t="shared" si="334"/>
        <v>354250_2021_12_Cooling Res ER2</v>
      </c>
      <c r="B1786" s="2812"/>
      <c r="C1786" s="1037" t="s">
        <v>1386</v>
      </c>
      <c r="D1786" s="1311" t="s">
        <v>318</v>
      </c>
      <c r="E1786" s="3420" t="s">
        <v>1388</v>
      </c>
      <c r="F1786" s="618">
        <f>ROUND(((K2838*K3031*(1/K3224-1/K3417)*K3610)/1000)*$K$3677,2)</f>
        <v>708.01</v>
      </c>
      <c r="G1786" s="2810" t="s">
        <v>1133</v>
      </c>
      <c r="H1786" s="2720">
        <f>VLOOKUP(G1786,'CP FACTORS'!$A$3:$B$38, 2, FALSE)</f>
        <v>9.4741810000000004E-4</v>
      </c>
      <c r="I1786" s="2995">
        <f t="shared" si="335"/>
        <v>0.67078099999999996</v>
      </c>
      <c r="J1786" s="124">
        <f t="shared" si="330"/>
        <v>12</v>
      </c>
      <c r="K1786" s="462">
        <f t="shared" si="331"/>
        <v>0</v>
      </c>
      <c r="L1786" s="3496"/>
      <c r="M1786" s="103"/>
      <c r="N1786" s="1317"/>
      <c r="O1786" s="963"/>
      <c r="P1786" s="106"/>
      <c r="Q1786" s="106"/>
      <c r="R1786" s="1214"/>
      <c r="S1786" s="106"/>
      <c r="T1786" s="106"/>
      <c r="U1786" s="1319"/>
      <c r="V1786" s="3436" t="s">
        <v>30</v>
      </c>
      <c r="W1786" s="2914">
        <v>690.74358974358995</v>
      </c>
      <c r="X1786" s="688">
        <v>690.74358974358995</v>
      </c>
      <c r="Y1786" s="615">
        <v>690.74</v>
      </c>
      <c r="Z1786" s="615">
        <v>690.74</v>
      </c>
      <c r="AA1786" s="615">
        <v>690.74</v>
      </c>
      <c r="AB1786" s="3494">
        <v>822.66</v>
      </c>
      <c r="AC1786" s="618">
        <v>697.15</v>
      </c>
      <c r="AD1786" s="618">
        <v>708.01</v>
      </c>
      <c r="AE1786" s="2914"/>
      <c r="AF1786" s="2914"/>
      <c r="AG1786" s="2914"/>
      <c r="AH1786" s="344"/>
      <c r="AI1786" s="156"/>
      <c r="AJ1786" s="3640"/>
      <c r="AK1786" s="2915"/>
      <c r="AL1786" s="156"/>
      <c r="AM1786" s="3640"/>
      <c r="AN1786" s="3640"/>
      <c r="AO1786" s="156"/>
      <c r="AP1786" s="156"/>
      <c r="AQ1786" s="156"/>
      <c r="AR1786" s="156"/>
      <c r="AS1786" s="156"/>
      <c r="AT1786" s="156"/>
      <c r="AU1786" s="156"/>
      <c r="AV1786" s="156"/>
      <c r="AW1786" s="156"/>
      <c r="AX1786" s="156"/>
      <c r="AY1786" s="156"/>
      <c r="AZ1786" s="156"/>
      <c r="BA1786" s="156"/>
      <c r="BB1786" s="2905"/>
      <c r="BC1786" s="2357" t="str">
        <f t="shared" si="336"/>
        <v>Cooling Res ER2 12 Year EUL</v>
      </c>
      <c r="BD1786" s="2829">
        <f>(INDEX('Avoided Cost Benefits'!$E$4:$E$859,MATCH(BC1786,'Avoided Cost Benefits'!$A$4:$A$859,0)))*F1786</f>
        <v>783.43454182408254</v>
      </c>
      <c r="BE1786" s="858">
        <f t="shared" si="332"/>
        <v>0</v>
      </c>
      <c r="BF1786" s="156"/>
      <c r="BH1786" s="686"/>
    </row>
    <row r="1787" spans="1:60" x14ac:dyDescent="0.35">
      <c r="A1787" s="1071" t="str">
        <f t="shared" si="334"/>
        <v>354250_2021_12_Heating Res ER2</v>
      </c>
      <c r="B1787" s="2812"/>
      <c r="C1787" s="1037" t="s">
        <v>1386</v>
      </c>
      <c r="D1787" s="1311" t="s">
        <v>318</v>
      </c>
      <c r="E1787" s="3419" t="s">
        <v>1388</v>
      </c>
      <c r="F1787" s="618">
        <f>ROUND(((K2066*K2259*(1/K2452-1/K2645)*K3610)/1000)*$K$3677,2)</f>
        <v>10500.37</v>
      </c>
      <c r="G1787" s="2810" t="s">
        <v>1150</v>
      </c>
      <c r="H1787" s="2720">
        <f>VLOOKUP(G1787,'CP FACTORS'!$A$3:$B$38, 2, FALSE)</f>
        <v>0</v>
      </c>
      <c r="I1787" s="2995">
        <f t="shared" si="335"/>
        <v>0</v>
      </c>
      <c r="J1787" s="124">
        <f t="shared" si="330"/>
        <v>12</v>
      </c>
      <c r="K1787" s="462">
        <f t="shared" si="331"/>
        <v>0</v>
      </c>
      <c r="L1787" s="3496"/>
      <c r="M1787" s="103"/>
      <c r="N1787" s="1317"/>
      <c r="O1787" s="963"/>
      <c r="P1787" s="106"/>
      <c r="Q1787" s="106"/>
      <c r="R1787" s="1214"/>
      <c r="S1787" s="106"/>
      <c r="T1787" s="106"/>
      <c r="U1787" s="1319"/>
      <c r="V1787" s="3436" t="s">
        <v>30</v>
      </c>
      <c r="W1787" s="2914">
        <v>13965.852998065762</v>
      </c>
      <c r="X1787" s="685">
        <v>10399.659574468084</v>
      </c>
      <c r="Y1787" s="615">
        <v>10399.66</v>
      </c>
      <c r="Z1787" s="615">
        <v>10399.66</v>
      </c>
      <c r="AA1787" s="615">
        <v>10399.66</v>
      </c>
      <c r="AB1787" s="3494">
        <v>11774.43</v>
      </c>
      <c r="AC1787" s="618">
        <v>10952.77</v>
      </c>
      <c r="AD1787" s="618">
        <v>10500.37</v>
      </c>
      <c r="AE1787" s="2914"/>
      <c r="AF1787" s="2914"/>
      <c r="AG1787" s="2914"/>
      <c r="AH1787" s="344"/>
      <c r="AI1787" s="156"/>
      <c r="AJ1787" s="3640"/>
      <c r="AK1787" s="2915"/>
      <c r="AL1787" s="156"/>
      <c r="AM1787" s="3640"/>
      <c r="AN1787" s="3640"/>
      <c r="AO1787" s="156"/>
      <c r="AP1787" s="156"/>
      <c r="AQ1787" s="156"/>
      <c r="AR1787" s="156"/>
      <c r="AS1787" s="156"/>
      <c r="AT1787" s="156"/>
      <c r="AU1787" s="156"/>
      <c r="AV1787" s="156"/>
      <c r="AW1787" s="156"/>
      <c r="AX1787" s="156"/>
      <c r="AY1787" s="156"/>
      <c r="AZ1787" s="156"/>
      <c r="BA1787" s="156"/>
      <c r="BB1787" s="2905"/>
      <c r="BC1787" s="2349" t="str">
        <f t="shared" si="336"/>
        <v>Heating Res ER2 12 Year EUL</v>
      </c>
      <c r="BD1787" s="2829">
        <f>(INDEX('Avoided Cost Benefits'!$E$4:$E$859,MATCH(BC1787,'Avoided Cost Benefits'!$A$4:$A$859,0)))*F1787</f>
        <v>2970.5816562998984</v>
      </c>
      <c r="BE1787" s="858">
        <f t="shared" si="332"/>
        <v>0</v>
      </c>
      <c r="BF1787" s="156"/>
      <c r="BH1787" s="686"/>
    </row>
    <row r="1788" spans="1:60" x14ac:dyDescent="0.35">
      <c r="A1788" s="1071" t="str">
        <f t="shared" si="334"/>
        <v>354260_2021_12_Cooling Res</v>
      </c>
      <c r="B1788" s="2812"/>
      <c r="C1788" s="1037" t="s">
        <v>1389</v>
      </c>
      <c r="D1788" s="1311" t="s">
        <v>318</v>
      </c>
      <c r="E1788" s="3420" t="s">
        <v>1390</v>
      </c>
      <c r="F1788" s="618">
        <f>ROUND(((K2839*K3032*(1/K3225-1/K3418)*K3611)/1000)*$K$3677,2)</f>
        <v>2369.3000000000002</v>
      </c>
      <c r="G1788" s="2810" t="s">
        <v>1091</v>
      </c>
      <c r="H1788" s="2720">
        <f>VLOOKUP(G1788,'CP FACTORS'!$A$3:$B$38, 2, FALSE)</f>
        <v>9.4741810000000004E-4</v>
      </c>
      <c r="I1788" s="2995">
        <f t="shared" si="335"/>
        <v>2.2447180000000002</v>
      </c>
      <c r="J1788" s="124">
        <f t="shared" si="330"/>
        <v>6</v>
      </c>
      <c r="K1788" s="462">
        <f t="shared" si="331"/>
        <v>1681.5237652002679</v>
      </c>
      <c r="L1788" s="3496">
        <f>L2067</f>
        <v>3.0074921794528389</v>
      </c>
      <c r="M1788" s="103"/>
      <c r="N1788" s="1317"/>
      <c r="O1788" s="963"/>
      <c r="P1788" s="106"/>
      <c r="Q1788" s="106"/>
      <c r="R1788" s="1214"/>
      <c r="S1788" s="106"/>
      <c r="T1788" s="106"/>
      <c r="U1788" s="1319"/>
      <c r="V1788" s="1590" t="s">
        <v>30</v>
      </c>
      <c r="W1788" s="2914"/>
      <c r="X1788" s="685"/>
      <c r="Y1788" s="615"/>
      <c r="Z1788" s="615"/>
      <c r="AA1788" s="615"/>
      <c r="AB1788" s="3494"/>
      <c r="AC1788" s="618">
        <v>2068.02</v>
      </c>
      <c r="AD1788" s="618">
        <v>2369.3000000000002</v>
      </c>
      <c r="AE1788" s="2914"/>
      <c r="AF1788" s="2914"/>
      <c r="AG1788" s="2914"/>
      <c r="AH1788" s="344"/>
      <c r="AI1788" s="156"/>
      <c r="AJ1788" s="3640"/>
      <c r="AK1788" s="2915"/>
      <c r="AL1788" s="156"/>
      <c r="AM1788" s="3640"/>
      <c r="AN1788" s="3640"/>
      <c r="AO1788" s="156"/>
      <c r="AP1788" s="156"/>
      <c r="AQ1788" s="156"/>
      <c r="AR1788" s="156"/>
      <c r="AS1788" s="156"/>
      <c r="AT1788" s="156"/>
      <c r="AU1788" s="156"/>
      <c r="AV1788" s="156"/>
      <c r="AW1788" s="156"/>
      <c r="AX1788" s="156"/>
      <c r="AY1788" s="156"/>
      <c r="AZ1788" s="156"/>
      <c r="BA1788" s="156"/>
      <c r="BB1788" s="2741">
        <f>(BD1788+BD1789+BD1790+BD1791)/(BE1788+BE1789+BE1790+BE1791)</f>
        <v>1.4395206527382534</v>
      </c>
      <c r="BC1788" s="2742" t="str">
        <f t="shared" si="336"/>
        <v>Cooling Res 6 Year EUL</v>
      </c>
      <c r="BD1788" s="1841">
        <f>(INDEX('Avoided Cost Benefits'!$E$4:$E$859,MATCH(BC1788,'Avoided Cost Benefits'!$A$4:$A$859,0)))*F1788</f>
        <v>1501.2168862797162</v>
      </c>
      <c r="BE1788" s="2507">
        <f t="shared" si="332"/>
        <v>1587.0918029261611</v>
      </c>
      <c r="BF1788" s="156"/>
      <c r="BH1788" s="686"/>
    </row>
    <row r="1789" spans="1:60" x14ac:dyDescent="0.35">
      <c r="A1789" s="1071" t="str">
        <f t="shared" si="334"/>
        <v>354260_2021_12_Heating Res</v>
      </c>
      <c r="B1789" s="2812"/>
      <c r="C1789" s="1037" t="s">
        <v>1389</v>
      </c>
      <c r="D1789" s="1311" t="s">
        <v>318</v>
      </c>
      <c r="E1789" s="3420" t="s">
        <v>1390</v>
      </c>
      <c r="F1789" s="615">
        <v>0</v>
      </c>
      <c r="G1789" s="1313" t="s">
        <v>1092</v>
      </c>
      <c r="H1789" s="136">
        <f>VLOOKUP(G1789,'CP FACTORS'!$A$3:$B$38, 2, FALSE)</f>
        <v>0</v>
      </c>
      <c r="I1789" s="3497">
        <f t="shared" si="335"/>
        <v>0</v>
      </c>
      <c r="J1789" s="124">
        <f t="shared" si="330"/>
        <v>6</v>
      </c>
      <c r="K1789" s="462">
        <f t="shared" si="331"/>
        <v>0</v>
      </c>
      <c r="L1789" s="3496"/>
      <c r="M1789" s="103"/>
      <c r="N1789" s="1317"/>
      <c r="O1789" s="963"/>
      <c r="P1789" s="106"/>
      <c r="Q1789" s="106"/>
      <c r="R1789" s="1214"/>
      <c r="S1789" s="106"/>
      <c r="T1789" s="106"/>
      <c r="U1789" s="1319"/>
      <c r="V1789" s="1590" t="s">
        <v>30</v>
      </c>
      <c r="W1789" s="2914"/>
      <c r="X1789" s="685"/>
      <c r="Y1789" s="615"/>
      <c r="Z1789" s="615"/>
      <c r="AA1789" s="615"/>
      <c r="AB1789" s="3494"/>
      <c r="AC1789" s="618">
        <v>0</v>
      </c>
      <c r="AD1789" s="615">
        <v>0</v>
      </c>
      <c r="AE1789" s="2914"/>
      <c r="AF1789" s="2914"/>
      <c r="AG1789" s="2914"/>
      <c r="AH1789" s="344"/>
      <c r="AI1789" s="156"/>
      <c r="AJ1789" s="3640"/>
      <c r="AK1789" s="2915"/>
      <c r="AL1789" s="156"/>
      <c r="AM1789" s="3640"/>
      <c r="AN1789" s="3640"/>
      <c r="AO1789" s="156"/>
      <c r="AP1789" s="156"/>
      <c r="AQ1789" s="156"/>
      <c r="AR1789" s="156"/>
      <c r="AS1789" s="156"/>
      <c r="AT1789" s="156"/>
      <c r="AU1789" s="156"/>
      <c r="AV1789" s="156"/>
      <c r="AW1789" s="156"/>
      <c r="AX1789" s="156"/>
      <c r="AY1789" s="156"/>
      <c r="AZ1789" s="156"/>
      <c r="BA1789" s="156"/>
      <c r="BB1789" s="2743"/>
      <c r="BC1789" s="2742" t="str">
        <f t="shared" si="336"/>
        <v>Heating Res 6 Year EUL</v>
      </c>
      <c r="BD1789" s="1841">
        <f>(INDEX('Avoided Cost Benefits'!$E$4:$E$859,MATCH(BC1789,'Avoided Cost Benefits'!$A$4:$A$859,0)))*F1789</f>
        <v>0</v>
      </c>
      <c r="BE1789" s="2507">
        <f t="shared" si="332"/>
        <v>0</v>
      </c>
      <c r="BF1789" s="156"/>
      <c r="BH1789" s="686"/>
    </row>
    <row r="1790" spans="1:60" x14ac:dyDescent="0.35">
      <c r="A1790" s="1071" t="str">
        <f t="shared" si="334"/>
        <v>354260_2021_12_Cooling Res ER2</v>
      </c>
      <c r="B1790" s="2812"/>
      <c r="C1790" s="1037" t="s">
        <v>1389</v>
      </c>
      <c r="D1790" s="1311" t="s">
        <v>318</v>
      </c>
      <c r="E1790" s="3420" t="s">
        <v>1391</v>
      </c>
      <c r="F1790" s="618">
        <f t="shared" ref="F1790" si="338">ROUND(((K2840*K3033*(1/K3226-1/K3419)*K3612)/1000)*$K$3677,2)</f>
        <v>708.01</v>
      </c>
      <c r="G1790" s="2810" t="s">
        <v>1133</v>
      </c>
      <c r="H1790" s="2720">
        <f>VLOOKUP(G1790,'CP FACTORS'!$A$3:$B$38, 2, FALSE)</f>
        <v>9.4741810000000004E-4</v>
      </c>
      <c r="I1790" s="2995">
        <f t="shared" si="335"/>
        <v>0.67078099999999996</v>
      </c>
      <c r="J1790" s="124">
        <f t="shared" si="330"/>
        <v>12</v>
      </c>
      <c r="K1790" s="462">
        <f t="shared" si="331"/>
        <v>0</v>
      </c>
      <c r="L1790" s="3496"/>
      <c r="M1790" s="103"/>
      <c r="N1790" s="1317"/>
      <c r="O1790" s="963"/>
      <c r="P1790" s="106"/>
      <c r="Q1790" s="106"/>
      <c r="R1790" s="1214"/>
      <c r="S1790" s="106"/>
      <c r="T1790" s="106"/>
      <c r="U1790" s="1319"/>
      <c r="V1790" s="1590" t="s">
        <v>30</v>
      </c>
      <c r="W1790" s="2914"/>
      <c r="X1790" s="685"/>
      <c r="Y1790" s="615"/>
      <c r="Z1790" s="615"/>
      <c r="AA1790" s="615"/>
      <c r="AB1790" s="3494"/>
      <c r="AC1790" s="618">
        <v>697.15</v>
      </c>
      <c r="AD1790" s="618">
        <v>708.01</v>
      </c>
      <c r="AE1790" s="2914"/>
      <c r="AF1790" s="2914"/>
      <c r="AG1790" s="2914"/>
      <c r="AH1790" s="344"/>
      <c r="AI1790" s="156"/>
      <c r="AJ1790" s="3640"/>
      <c r="AK1790" s="2915"/>
      <c r="AL1790" s="156"/>
      <c r="AM1790" s="3640"/>
      <c r="AN1790" s="3640"/>
      <c r="AO1790" s="156"/>
      <c r="AP1790" s="156"/>
      <c r="AQ1790" s="156"/>
      <c r="AR1790" s="156"/>
      <c r="AS1790" s="156"/>
      <c r="AT1790" s="156"/>
      <c r="AU1790" s="156"/>
      <c r="AV1790" s="156"/>
      <c r="AW1790" s="156"/>
      <c r="AX1790" s="156"/>
      <c r="AY1790" s="156"/>
      <c r="AZ1790" s="156"/>
      <c r="BA1790" s="156"/>
      <c r="BB1790" s="2743"/>
      <c r="BC1790" s="2742" t="str">
        <f t="shared" si="336"/>
        <v>Cooling Res ER2 12 Year EUL</v>
      </c>
      <c r="BD1790" s="1841">
        <f>(INDEX('Avoided Cost Benefits'!$E$4:$E$859,MATCH(BC1790,'Avoided Cost Benefits'!$A$4:$A$859,0)))*F1790</f>
        <v>783.43454182408254</v>
      </c>
      <c r="BE1790" s="2507">
        <f t="shared" si="332"/>
        <v>0</v>
      </c>
      <c r="BF1790" s="156"/>
      <c r="BH1790" s="686"/>
    </row>
    <row r="1791" spans="1:60" x14ac:dyDescent="0.35">
      <c r="A1791" s="1071" t="str">
        <f t="shared" si="334"/>
        <v>354260_2021_12_Heating Res ER2</v>
      </c>
      <c r="B1791" s="2812"/>
      <c r="C1791" s="1037" t="s">
        <v>1389</v>
      </c>
      <c r="D1791" s="1311" t="s">
        <v>318</v>
      </c>
      <c r="E1791" s="3420" t="s">
        <v>1391</v>
      </c>
      <c r="F1791" s="615">
        <f>0</f>
        <v>0</v>
      </c>
      <c r="G1791" s="1313" t="s">
        <v>1150</v>
      </c>
      <c r="H1791" s="136">
        <f>VLOOKUP(G1791,'CP FACTORS'!$A$3:$B$38, 2, FALSE)</f>
        <v>0</v>
      </c>
      <c r="I1791" s="3497">
        <f t="shared" si="335"/>
        <v>0</v>
      </c>
      <c r="J1791" s="124">
        <f t="shared" si="330"/>
        <v>12</v>
      </c>
      <c r="K1791" s="462">
        <f t="shared" si="331"/>
        <v>0</v>
      </c>
      <c r="L1791" s="3496"/>
      <c r="M1791" s="103"/>
      <c r="N1791" s="1317"/>
      <c r="O1791" s="963"/>
      <c r="P1791" s="106"/>
      <c r="Q1791" s="106"/>
      <c r="R1791" s="1214"/>
      <c r="S1791" s="106"/>
      <c r="T1791" s="106"/>
      <c r="U1791" s="1319"/>
      <c r="V1791" s="1590" t="s">
        <v>30</v>
      </c>
      <c r="W1791" s="2914"/>
      <c r="X1791" s="685"/>
      <c r="Y1791" s="615"/>
      <c r="Z1791" s="615"/>
      <c r="AA1791" s="615"/>
      <c r="AB1791" s="3494"/>
      <c r="AC1791" s="618">
        <v>0</v>
      </c>
      <c r="AD1791" s="615">
        <v>0</v>
      </c>
      <c r="AE1791" s="2914"/>
      <c r="AF1791" s="2914"/>
      <c r="AG1791" s="2914"/>
      <c r="AH1791" s="344"/>
      <c r="AI1791" s="156"/>
      <c r="AJ1791" s="3640"/>
      <c r="AK1791" s="2915"/>
      <c r="AL1791" s="156"/>
      <c r="AM1791" s="3640"/>
      <c r="AN1791" s="3640"/>
      <c r="AO1791" s="156"/>
      <c r="AP1791" s="156"/>
      <c r="AQ1791" s="156"/>
      <c r="AR1791" s="156"/>
      <c r="AS1791" s="156"/>
      <c r="AT1791" s="156"/>
      <c r="AU1791" s="156"/>
      <c r="AV1791" s="156"/>
      <c r="AW1791" s="156"/>
      <c r="AX1791" s="156"/>
      <c r="AY1791" s="156"/>
      <c r="AZ1791" s="156"/>
      <c r="BA1791" s="156"/>
      <c r="BB1791" s="2743"/>
      <c r="BC1791" s="2742" t="str">
        <f t="shared" si="336"/>
        <v>Heating Res ER2 12 Year EUL</v>
      </c>
      <c r="BD1791" s="1841">
        <f>(INDEX('Avoided Cost Benefits'!$E$4:$E$859,MATCH(BC1791,'Avoided Cost Benefits'!$A$4:$A$859,0)))*F1791</f>
        <v>0</v>
      </c>
      <c r="BE1791" s="2507">
        <f t="shared" si="332"/>
        <v>0</v>
      </c>
      <c r="BF1791" s="156"/>
      <c r="BH1791" s="686"/>
    </row>
    <row r="1792" spans="1:60" x14ac:dyDescent="0.35">
      <c r="A1792" s="1071" t="str">
        <f t="shared" si="334"/>
        <v>354300_2021_12_Cooling Res</v>
      </c>
      <c r="B1792" s="2812"/>
      <c r="C1792" s="1037" t="s">
        <v>1393</v>
      </c>
      <c r="D1792" s="1311" t="s">
        <v>320</v>
      </c>
      <c r="E1792" s="3418" t="s">
        <v>1394</v>
      </c>
      <c r="F1792" s="615">
        <f>ROUND(((K2841*K3034*(1/K3227-1/K3420)*K3613)/1000)*$K$3677,2)</f>
        <v>2018.52</v>
      </c>
      <c r="G1792" s="1313" t="s">
        <v>1091</v>
      </c>
      <c r="H1792" s="136">
        <f>VLOOKUP(G1792,'CP FACTORS'!$A$3:$B$38, 2, FALSE)</f>
        <v>9.4741810000000004E-4</v>
      </c>
      <c r="I1792" s="3497">
        <f t="shared" si="335"/>
        <v>1.912382</v>
      </c>
      <c r="J1792" s="124">
        <f t="shared" si="330"/>
        <v>6</v>
      </c>
      <c r="K1792" s="462">
        <f t="shared" si="331"/>
        <v>1321.3267999127791</v>
      </c>
      <c r="L1792" s="689">
        <f>L2069</f>
        <v>1.5</v>
      </c>
      <c r="M1792" s="103"/>
      <c r="N1792" s="1317"/>
      <c r="O1792" s="963"/>
      <c r="P1792" s="106"/>
      <c r="Q1792" s="106"/>
      <c r="R1792" s="1214"/>
      <c r="S1792" s="106"/>
      <c r="T1792" s="106"/>
      <c r="U1792" s="1319"/>
      <c r="V1792" s="3436" t="s">
        <v>30</v>
      </c>
      <c r="W1792" s="2914">
        <v>1922.7050980392157</v>
      </c>
      <c r="X1792" s="685">
        <v>1355.1427330932372</v>
      </c>
      <c r="Y1792" s="615">
        <v>1355.14</v>
      </c>
      <c r="Z1792" s="615">
        <v>1355.14</v>
      </c>
      <c r="AA1792" s="615">
        <v>1355.14</v>
      </c>
      <c r="AB1792" s="3494">
        <v>2638.66</v>
      </c>
      <c r="AC1792" s="618">
        <v>1312.04</v>
      </c>
      <c r="AD1792" s="3642">
        <v>2018.52</v>
      </c>
      <c r="AE1792" s="2914"/>
      <c r="AF1792" s="2914"/>
      <c r="AG1792" s="2914"/>
      <c r="AH1792" s="344"/>
      <c r="AI1792" s="156"/>
      <c r="AJ1792" s="3640"/>
      <c r="AK1792" s="2915"/>
      <c r="AL1792" s="156"/>
      <c r="AM1792" s="3640"/>
      <c r="AN1792" s="3640"/>
      <c r="AO1792" s="156"/>
      <c r="AP1792" s="156"/>
      <c r="AQ1792" s="156"/>
      <c r="AR1792" s="156"/>
      <c r="AS1792" s="156"/>
      <c r="AT1792" s="156"/>
      <c r="AU1792" s="156"/>
      <c r="AV1792" s="156"/>
      <c r="AW1792" s="156"/>
      <c r="AX1792" s="156"/>
      <c r="AY1792" s="156"/>
      <c r="AZ1792" s="156"/>
      <c r="BA1792" s="156"/>
      <c r="BB1792" s="2833">
        <f>(BD1792+BD1793+BD1794+BD1795)/(BE1792+BE1793+BE1794+BE1795)</f>
        <v>3.1824861734253336</v>
      </c>
      <c r="BC1792" s="2348" t="str">
        <f t="shared" si="336"/>
        <v>Cooling Res 6 Year EUL</v>
      </c>
      <c r="BD1792" s="2829">
        <f>(INDEX('Avoided Cost Benefits'!$E$4:$E$859,MATCH(BC1792,'Avoided Cost Benefits'!$A$4:$A$859,0)))*F1792</f>
        <v>1278.9584726684388</v>
      </c>
      <c r="BE1792" s="858">
        <f t="shared" si="332"/>
        <v>1247.1229824566105</v>
      </c>
      <c r="BF1792" s="156"/>
      <c r="BH1792" s="686"/>
    </row>
    <row r="1793" spans="1:60" x14ac:dyDescent="0.35">
      <c r="A1793" s="1071" t="str">
        <f t="shared" si="334"/>
        <v>354300_2021_12_Heating Res</v>
      </c>
      <c r="B1793" s="2812"/>
      <c r="C1793" s="1037" t="s">
        <v>1393</v>
      </c>
      <c r="D1793" s="1311" t="s">
        <v>320</v>
      </c>
      <c r="E1793" s="3420" t="s">
        <v>1394</v>
      </c>
      <c r="F1793" s="615">
        <f>ROUND(((K2069*K2262*(1/K2455-1/K2648)*K3613)/1000)*$K$3677,2)</f>
        <v>5203.97</v>
      </c>
      <c r="G1793" s="1313" t="s">
        <v>1092</v>
      </c>
      <c r="H1793" s="136">
        <f>VLOOKUP(G1793,'CP FACTORS'!$A$3:$B$38, 2, FALSE)</f>
        <v>0</v>
      </c>
      <c r="I1793" s="3497">
        <f t="shared" si="335"/>
        <v>0</v>
      </c>
      <c r="J1793" s="124">
        <f t="shared" si="330"/>
        <v>6</v>
      </c>
      <c r="K1793" s="462">
        <f t="shared" si="331"/>
        <v>0</v>
      </c>
      <c r="L1793" s="689"/>
      <c r="M1793" s="103"/>
      <c r="N1793" s="1317"/>
      <c r="O1793" s="963"/>
      <c r="P1793" s="106"/>
      <c r="Q1793" s="106"/>
      <c r="R1793" s="1214"/>
      <c r="S1793" s="106"/>
      <c r="T1793" s="106"/>
      <c r="U1793" s="1319"/>
      <c r="V1793" s="3436" t="s">
        <v>30</v>
      </c>
      <c r="W1793" s="2914">
        <v>9077.8044487427451</v>
      </c>
      <c r="X1793" s="685">
        <v>6759.7787234042544</v>
      </c>
      <c r="Y1793" s="615">
        <v>6759.78</v>
      </c>
      <c r="Z1793" s="615">
        <v>6759.78</v>
      </c>
      <c r="AA1793" s="615">
        <v>6759.78</v>
      </c>
      <c r="AB1793" s="3494">
        <v>9020.2199999999993</v>
      </c>
      <c r="AC1793" s="618">
        <v>3382.58</v>
      </c>
      <c r="AD1793" s="3642">
        <v>5203.97</v>
      </c>
      <c r="AE1793" s="2914"/>
      <c r="AF1793" s="2914"/>
      <c r="AG1793" s="2914"/>
      <c r="AH1793" s="344"/>
      <c r="AI1793" s="156"/>
      <c r="AJ1793" s="3640"/>
      <c r="AK1793" s="2915"/>
      <c r="AL1793" s="156"/>
      <c r="AM1793" s="3640"/>
      <c r="AN1793" s="3640"/>
      <c r="AO1793" s="156"/>
      <c r="AP1793" s="156"/>
      <c r="AQ1793" s="156"/>
      <c r="AR1793" s="156"/>
      <c r="AS1793" s="156"/>
      <c r="AT1793" s="156"/>
      <c r="AU1793" s="156"/>
      <c r="AV1793" s="156"/>
      <c r="AW1793" s="156"/>
      <c r="AX1793" s="156"/>
      <c r="AY1793" s="156"/>
      <c r="AZ1793" s="156"/>
      <c r="BA1793" s="156"/>
      <c r="BB1793" s="2905"/>
      <c r="BC1793" s="2357" t="str">
        <f t="shared" si="336"/>
        <v>Heating Res 6 Year EUL</v>
      </c>
      <c r="BD1793" s="2829">
        <f>(INDEX('Avoided Cost Benefits'!$E$4:$E$859,MATCH(BC1793,'Avoided Cost Benefits'!$A$4:$A$859,0)))*F1793</f>
        <v>847.94105611579232</v>
      </c>
      <c r="BE1793" s="858">
        <f t="shared" si="332"/>
        <v>0</v>
      </c>
      <c r="BF1793" s="156"/>
      <c r="BH1793" s="686"/>
    </row>
    <row r="1794" spans="1:60" x14ac:dyDescent="0.35">
      <c r="A1794" s="1071" t="str">
        <f t="shared" si="334"/>
        <v>354300_2021_12_Cooling Res ER2</v>
      </c>
      <c r="B1794" s="2812"/>
      <c r="C1794" s="1037" t="s">
        <v>1393</v>
      </c>
      <c r="D1794" s="1311" t="s">
        <v>320</v>
      </c>
      <c r="E1794" s="3420" t="s">
        <v>1395</v>
      </c>
      <c r="F1794" s="615">
        <f>ROUND(((K2842*K3035*(1/K3228-1/K3421)*K3614)/1000)*$K$3677,2)</f>
        <v>334.23</v>
      </c>
      <c r="G1794" s="1313" t="s">
        <v>1133</v>
      </c>
      <c r="H1794" s="136">
        <f>VLOOKUP(G1794,'CP FACTORS'!$A$3:$B$38, 2, FALSE)</f>
        <v>9.4741810000000004E-4</v>
      </c>
      <c r="I1794" s="3497">
        <f t="shared" si="335"/>
        <v>0.31665599999999999</v>
      </c>
      <c r="J1794" s="124">
        <f t="shared" si="330"/>
        <v>12</v>
      </c>
      <c r="K1794" s="462">
        <f t="shared" si="331"/>
        <v>0</v>
      </c>
      <c r="L1794" s="689"/>
      <c r="M1794" s="103"/>
      <c r="N1794" s="1317"/>
      <c r="O1794" s="963"/>
      <c r="P1794" s="106"/>
      <c r="Q1794" s="106"/>
      <c r="R1794" s="1214"/>
      <c r="S1794" s="106"/>
      <c r="T1794" s="106"/>
      <c r="U1794" s="1319"/>
      <c r="V1794" s="3436" t="s">
        <v>30</v>
      </c>
      <c r="W1794" s="2914">
        <v>448.98333333333346</v>
      </c>
      <c r="X1794" s="688">
        <v>448.98333333333346</v>
      </c>
      <c r="Y1794" s="615">
        <v>448.98</v>
      </c>
      <c r="Z1794" s="615">
        <v>448.98</v>
      </c>
      <c r="AA1794" s="615">
        <v>448.98</v>
      </c>
      <c r="AB1794" s="3494">
        <v>579.33000000000004</v>
      </c>
      <c r="AC1794" s="618">
        <v>217.25</v>
      </c>
      <c r="AD1794" s="3642">
        <v>334.23</v>
      </c>
      <c r="AE1794" s="2914"/>
      <c r="AF1794" s="2914"/>
      <c r="AG1794" s="2914"/>
      <c r="AH1794" s="344"/>
      <c r="AI1794" s="156"/>
      <c r="AJ1794" s="3640"/>
      <c r="AK1794" s="2915"/>
      <c r="AL1794" s="156"/>
      <c r="AM1794" s="3640"/>
      <c r="AN1794" s="3640"/>
      <c r="AO1794" s="156"/>
      <c r="AP1794" s="156"/>
      <c r="AQ1794" s="156"/>
      <c r="AR1794" s="156"/>
      <c r="AS1794" s="156"/>
      <c r="AT1794" s="156"/>
      <c r="AU1794" s="156"/>
      <c r="AV1794" s="156"/>
      <c r="AW1794" s="156"/>
      <c r="AX1794" s="156"/>
      <c r="AY1794" s="156"/>
      <c r="AZ1794" s="156"/>
      <c r="BA1794" s="156"/>
      <c r="BB1794" s="2905"/>
      <c r="BC1794" s="2357" t="str">
        <f t="shared" si="336"/>
        <v>Cooling Res ER2 12 Year EUL</v>
      </c>
      <c r="BD1794" s="2829">
        <f>(INDEX('Avoided Cost Benefits'!$E$4:$E$859,MATCH(BC1794,'Avoided Cost Benefits'!$A$4:$A$859,0)))*F1794</f>
        <v>369.83563355582987</v>
      </c>
      <c r="BE1794" s="858">
        <f t="shared" si="332"/>
        <v>0</v>
      </c>
      <c r="BF1794" s="156"/>
      <c r="BH1794" s="686"/>
    </row>
    <row r="1795" spans="1:60" x14ac:dyDescent="0.35">
      <c r="A1795" s="1071" t="str">
        <f t="shared" si="334"/>
        <v>354300_2021_12_Heating Res ER2</v>
      </c>
      <c r="B1795" s="2812"/>
      <c r="C1795" s="1037" t="s">
        <v>1393</v>
      </c>
      <c r="D1795" s="1311" t="s">
        <v>320</v>
      </c>
      <c r="E1795" s="3419" t="s">
        <v>1395</v>
      </c>
      <c r="F1795" s="615">
        <f>ROUND(((K2070*K2263*(1/K2456-1/K2649)*K3614)/1000)*$K$3677,2)</f>
        <v>5203.97</v>
      </c>
      <c r="G1795" s="1313" t="s">
        <v>1150</v>
      </c>
      <c r="H1795" s="136">
        <f>VLOOKUP(G1795,'CP FACTORS'!$A$3:$B$38, 2, FALSE)</f>
        <v>0</v>
      </c>
      <c r="I1795" s="3497">
        <f t="shared" si="335"/>
        <v>0</v>
      </c>
      <c r="J1795" s="124">
        <f t="shared" si="330"/>
        <v>12</v>
      </c>
      <c r="K1795" s="462">
        <f t="shared" si="331"/>
        <v>0</v>
      </c>
      <c r="L1795" s="689"/>
      <c r="M1795" s="103"/>
      <c r="N1795" s="1317"/>
      <c r="O1795" s="963"/>
      <c r="P1795" s="106"/>
      <c r="Q1795" s="106"/>
      <c r="R1795" s="1214"/>
      <c r="S1795" s="106"/>
      <c r="T1795" s="106"/>
      <c r="U1795" s="1319"/>
      <c r="V1795" s="3436" t="s">
        <v>30</v>
      </c>
      <c r="W1795" s="2914">
        <v>9077.8044487427451</v>
      </c>
      <c r="X1795" s="685">
        <v>6759.7787234042544</v>
      </c>
      <c r="Y1795" s="615">
        <v>6759.78</v>
      </c>
      <c r="Z1795" s="615">
        <v>6759.78</v>
      </c>
      <c r="AA1795" s="615">
        <v>6759.78</v>
      </c>
      <c r="AB1795" s="3494">
        <v>9020.2199999999993</v>
      </c>
      <c r="AC1795" s="618">
        <v>3382.58</v>
      </c>
      <c r="AD1795" s="3642">
        <v>5203.97</v>
      </c>
      <c r="AE1795" s="2914"/>
      <c r="AF1795" s="2914"/>
      <c r="AG1795" s="2914"/>
      <c r="AH1795" s="344"/>
      <c r="AI1795" s="156"/>
      <c r="AJ1795" s="3640"/>
      <c r="AK1795" s="2915"/>
      <c r="AL1795" s="156"/>
      <c r="AM1795" s="3640"/>
      <c r="AN1795" s="3640"/>
      <c r="AO1795" s="156"/>
      <c r="AP1795" s="156"/>
      <c r="AQ1795" s="156"/>
      <c r="AR1795" s="156"/>
      <c r="AS1795" s="156"/>
      <c r="AT1795" s="156"/>
      <c r="AU1795" s="156"/>
      <c r="AV1795" s="156"/>
      <c r="AW1795" s="156"/>
      <c r="AX1795" s="156"/>
      <c r="AY1795" s="156"/>
      <c r="AZ1795" s="156"/>
      <c r="BA1795" s="156"/>
      <c r="BB1795" s="2905"/>
      <c r="BC1795" s="2349" t="str">
        <f t="shared" si="336"/>
        <v>Heating Res ER2 12 Year EUL</v>
      </c>
      <c r="BD1795" s="2829">
        <f>(INDEX('Avoided Cost Benefits'!$E$4:$E$859,MATCH(BC1795,'Avoided Cost Benefits'!$A$4:$A$859,0)))*F1795</f>
        <v>1472.2164858890669</v>
      </c>
      <c r="BE1795" s="858">
        <f t="shared" si="332"/>
        <v>0</v>
      </c>
      <c r="BF1795" s="156"/>
      <c r="BH1795" s="686"/>
    </row>
    <row r="1796" spans="1:60" x14ac:dyDescent="0.35">
      <c r="A1796" s="1071" t="str">
        <f t="shared" si="334"/>
        <v>354301_2021_12_Cooling Res</v>
      </c>
      <c r="B1796" s="2812"/>
      <c r="C1796" s="1037" t="s">
        <v>1397</v>
      </c>
      <c r="D1796" s="1311" t="s">
        <v>315</v>
      </c>
      <c r="E1796" s="3418" t="s">
        <v>1398</v>
      </c>
      <c r="F1796" s="615">
        <f>ROUND((($K$2843*$K$3036*(1/$K$3229-1/$K$3422)*$K$3615)/1000)*$K$3677,2)</f>
        <v>476.88</v>
      </c>
      <c r="G1796" s="1313" t="str">
        <f>G1792</f>
        <v>Cooling Res</v>
      </c>
      <c r="H1796" s="136">
        <f>VLOOKUP(G1796,'CP FACTORS'!$A$3:$B$38, 2, FALSE)</f>
        <v>9.4741810000000004E-4</v>
      </c>
      <c r="I1796" s="3497">
        <f t="shared" si="335"/>
        <v>0.45180500000000001</v>
      </c>
      <c r="J1796" s="124">
        <f t="shared" si="330"/>
        <v>6</v>
      </c>
      <c r="K1796" s="462">
        <f t="shared" si="331"/>
        <v>1195.8844199433067</v>
      </c>
      <c r="L1796" s="689">
        <f>L2071</f>
        <v>1.5</v>
      </c>
      <c r="M1796" s="103"/>
      <c r="N1796" s="1317"/>
      <c r="O1796" s="963"/>
      <c r="P1796" s="106"/>
      <c r="Q1796" s="106"/>
      <c r="R1796" s="1214"/>
      <c r="S1796" s="106"/>
      <c r="T1796" s="106"/>
      <c r="U1796" s="1319"/>
      <c r="V1796" s="3436" t="s">
        <v>30</v>
      </c>
      <c r="W1796" s="2914"/>
      <c r="X1796" s="685"/>
      <c r="Y1796" s="618">
        <v>985.56</v>
      </c>
      <c r="Z1796" s="615">
        <v>985.56</v>
      </c>
      <c r="AA1796" s="615">
        <v>985.56</v>
      </c>
      <c r="AB1796" s="3494">
        <v>1271.69</v>
      </c>
      <c r="AC1796" s="618">
        <v>476.88</v>
      </c>
      <c r="AD1796" s="615">
        <v>476.88</v>
      </c>
      <c r="AE1796" s="2914"/>
      <c r="AF1796" s="2914"/>
      <c r="AG1796" s="2914"/>
      <c r="AH1796" s="344"/>
      <c r="AI1796" s="156"/>
      <c r="AJ1796" s="3640"/>
      <c r="AK1796" s="2915"/>
      <c r="AL1796" s="156"/>
      <c r="AM1796" s="3640"/>
      <c r="AN1796" s="3640"/>
      <c r="AO1796" s="156"/>
      <c r="AP1796" s="156"/>
      <c r="AQ1796" s="156"/>
      <c r="AR1796" s="156"/>
      <c r="AS1796" s="156"/>
      <c r="AT1796" s="156"/>
      <c r="AU1796" s="156"/>
      <c r="AV1796" s="156"/>
      <c r="AW1796" s="156"/>
      <c r="AX1796" s="156"/>
      <c r="AY1796" s="156"/>
      <c r="AZ1796" s="156"/>
      <c r="BA1796" s="156"/>
      <c r="BB1796" s="2833">
        <f>(BD1796+BD1797+BD1798+BD1799)/(BE1796+BE1797+BE1798+BE1799)</f>
        <v>0.87808206060427829</v>
      </c>
      <c r="BC1796" s="2348" t="str">
        <f t="shared" si="336"/>
        <v>Cooling Res 6 Year EUL</v>
      </c>
      <c r="BD1796" s="2829">
        <f>(INDEX('Avoided Cost Benefits'!$E$4:$E$859,MATCH(BC1796,'Avoided Cost Benefits'!$A$4:$A$859,0)))*F1796</f>
        <v>302.15688546366897</v>
      </c>
      <c r="BE1796" s="858">
        <f t="shared" si="332"/>
        <v>1128.7252665816957</v>
      </c>
      <c r="BF1796" s="156"/>
      <c r="BH1796" s="686"/>
    </row>
    <row r="1797" spans="1:60" x14ac:dyDescent="0.35">
      <c r="A1797" s="1071" t="str">
        <f t="shared" si="334"/>
        <v>354301_2021_12_Heating Res</v>
      </c>
      <c r="B1797" s="2812"/>
      <c r="C1797" s="1037" t="str">
        <f>C1796</f>
        <v>354301_2021_12_</v>
      </c>
      <c r="D1797" s="1311" t="s">
        <v>315</v>
      </c>
      <c r="E1797" s="3420" t="s">
        <v>1398</v>
      </c>
      <c r="F1797" s="615">
        <f>ROUND((($K$2071*$K$2264*(1/$K$2457-1/$K$2650)*$K$3615)/1000)*$K$3677,2)</f>
        <v>1153.1500000000001</v>
      </c>
      <c r="G1797" s="1313" t="str">
        <f>G1793</f>
        <v>Heating Res</v>
      </c>
      <c r="H1797" s="136">
        <f>VLOOKUP(G1797,'CP FACTORS'!$A$3:$B$38, 2, FALSE)</f>
        <v>0</v>
      </c>
      <c r="I1797" s="3497">
        <f t="shared" si="335"/>
        <v>0</v>
      </c>
      <c r="J1797" s="124">
        <f t="shared" si="330"/>
        <v>6</v>
      </c>
      <c r="K1797" s="462">
        <f t="shared" si="331"/>
        <v>0</v>
      </c>
      <c r="L1797" s="689"/>
      <c r="M1797" s="103"/>
      <c r="N1797" s="1317"/>
      <c r="O1797" s="963"/>
      <c r="P1797" s="106"/>
      <c r="Q1797" s="106"/>
      <c r="R1797" s="1214"/>
      <c r="S1797" s="106"/>
      <c r="T1797" s="106"/>
      <c r="U1797" s="1319"/>
      <c r="V1797" s="3436" t="s">
        <v>30</v>
      </c>
      <c r="W1797" s="2914"/>
      <c r="X1797" s="685"/>
      <c r="Y1797" s="618">
        <v>2304.4699999999998</v>
      </c>
      <c r="Z1797" s="615">
        <v>2304.4699999999998</v>
      </c>
      <c r="AA1797" s="615">
        <v>2304.4699999999998</v>
      </c>
      <c r="AB1797" s="3494">
        <v>3075.08</v>
      </c>
      <c r="AC1797" s="618">
        <v>1153.1500000000001</v>
      </c>
      <c r="AD1797" s="615">
        <v>1153.1500000000001</v>
      </c>
      <c r="AE1797" s="2914"/>
      <c r="AF1797" s="2914"/>
      <c r="AG1797" s="2914"/>
      <c r="AH1797" s="344"/>
      <c r="AI1797" s="156"/>
      <c r="AJ1797" s="3640"/>
      <c r="AK1797" s="2915"/>
      <c r="AL1797" s="156"/>
      <c r="AM1797" s="3640"/>
      <c r="AN1797" s="3640"/>
      <c r="AO1797" s="156"/>
      <c r="AP1797" s="156"/>
      <c r="AQ1797" s="156"/>
      <c r="AR1797" s="156"/>
      <c r="AS1797" s="156"/>
      <c r="AT1797" s="156"/>
      <c r="AU1797" s="156"/>
      <c r="AV1797" s="156"/>
      <c r="AW1797" s="156"/>
      <c r="AX1797" s="156"/>
      <c r="AY1797" s="156"/>
      <c r="AZ1797" s="156"/>
      <c r="BA1797" s="156"/>
      <c r="BB1797" s="2905"/>
      <c r="BC1797" s="2357" t="str">
        <f t="shared" si="336"/>
        <v>Heating Res 6 Year EUL</v>
      </c>
      <c r="BD1797" s="2829">
        <f>(INDEX('Avoided Cost Benefits'!$E$4:$E$859,MATCH(BC1797,'Avoided Cost Benefits'!$A$4:$A$859,0)))*F1797</f>
        <v>187.89563138525509</v>
      </c>
      <c r="BE1797" s="858">
        <f t="shared" si="332"/>
        <v>0</v>
      </c>
      <c r="BF1797" s="156"/>
      <c r="BH1797" s="686"/>
    </row>
    <row r="1798" spans="1:60" x14ac:dyDescent="0.35">
      <c r="A1798" s="1071" t="str">
        <f t="shared" si="334"/>
        <v>354301_2021_12_Cooling Res ER2</v>
      </c>
      <c r="B1798" s="2812"/>
      <c r="C1798" s="1037" t="str">
        <f>C1797</f>
        <v>354301_2021_12_</v>
      </c>
      <c r="D1798" s="1311" t="s">
        <v>315</v>
      </c>
      <c r="E1798" s="3420" t="s">
        <v>1399</v>
      </c>
      <c r="F1798" s="615">
        <f>ROUND((($K$2844*$K$3037*(1/$K$3230-1/$K$3423)*$K$3616)/1000)*$K$3677,2)</f>
        <v>158</v>
      </c>
      <c r="G1798" s="1313" t="str">
        <f>G1794</f>
        <v>Cooling Res ER2</v>
      </c>
      <c r="H1798" s="136">
        <f>VLOOKUP(G1798,'CP FACTORS'!$A$3:$B$38, 2, FALSE)</f>
        <v>9.4741810000000004E-4</v>
      </c>
      <c r="I1798" s="3497">
        <f t="shared" si="335"/>
        <v>0.14969199999999999</v>
      </c>
      <c r="J1798" s="124">
        <f t="shared" si="330"/>
        <v>12</v>
      </c>
      <c r="K1798" s="462">
        <f t="shared" si="331"/>
        <v>0</v>
      </c>
      <c r="L1798" s="689"/>
      <c r="M1798" s="103"/>
      <c r="N1798" s="1317"/>
      <c r="O1798" s="963"/>
      <c r="P1798" s="106"/>
      <c r="Q1798" s="106"/>
      <c r="R1798" s="1214"/>
      <c r="S1798" s="106"/>
      <c r="T1798" s="106"/>
      <c r="U1798" s="1319"/>
      <c r="V1798" s="3436" t="s">
        <v>30</v>
      </c>
      <c r="W1798" s="2914"/>
      <c r="X1798" s="685"/>
      <c r="Y1798" s="618">
        <v>326.52999999999997</v>
      </c>
      <c r="Z1798" s="615">
        <v>326.52999999999997</v>
      </c>
      <c r="AA1798" s="615">
        <v>326.52999999999997</v>
      </c>
      <c r="AB1798" s="3494">
        <v>421.33</v>
      </c>
      <c r="AC1798" s="618">
        <v>158</v>
      </c>
      <c r="AD1798" s="615">
        <v>158</v>
      </c>
      <c r="AE1798" s="2914"/>
      <c r="AF1798" s="2914"/>
      <c r="AG1798" s="2914"/>
      <c r="AH1798" s="344"/>
      <c r="AI1798" s="156"/>
      <c r="AJ1798" s="3640"/>
      <c r="AK1798" s="2915"/>
      <c r="AL1798" s="156"/>
      <c r="AM1798" s="3640"/>
      <c r="AN1798" s="3640"/>
      <c r="AO1798" s="156"/>
      <c r="AP1798" s="156"/>
      <c r="AQ1798" s="156"/>
      <c r="AR1798" s="156"/>
      <c r="AS1798" s="156"/>
      <c r="AT1798" s="156"/>
      <c r="AU1798" s="156"/>
      <c r="AV1798" s="156"/>
      <c r="AW1798" s="156"/>
      <c r="AX1798" s="156"/>
      <c r="AY1798" s="156"/>
      <c r="AZ1798" s="156"/>
      <c r="BA1798" s="156"/>
      <c r="BB1798" s="2905"/>
      <c r="BC1798" s="2357" t="str">
        <f t="shared" si="336"/>
        <v>Cooling Res ER2 12 Year EUL</v>
      </c>
      <c r="BD1798" s="2829">
        <f>(INDEX('Avoided Cost Benefits'!$E$4:$E$859,MATCH(BC1798,'Avoided Cost Benefits'!$A$4:$A$859,0)))*F1798</f>
        <v>174.83179278287741</v>
      </c>
      <c r="BE1798" s="858">
        <f t="shared" si="332"/>
        <v>0</v>
      </c>
      <c r="BF1798" s="156"/>
      <c r="BH1798" s="686"/>
    </row>
    <row r="1799" spans="1:60" x14ac:dyDescent="0.35">
      <c r="A1799" s="1071" t="str">
        <f t="shared" si="334"/>
        <v>354301_2021_12_Heating Res ER2</v>
      </c>
      <c r="B1799" s="2812"/>
      <c r="C1799" s="1037" t="str">
        <f>C1798</f>
        <v>354301_2021_12_</v>
      </c>
      <c r="D1799" s="1311" t="s">
        <v>315</v>
      </c>
      <c r="E1799" s="3419" t="s">
        <v>1399</v>
      </c>
      <c r="F1799" s="615">
        <f>ROUND((($K$2072*$K$2265*(1/$K$2458-1/$K$2651)*$K$3616)/1000)*$K$3677,2)</f>
        <v>1153.1500000000001</v>
      </c>
      <c r="G1799" s="1313" t="str">
        <f>G1795</f>
        <v>Heating Res ER2</v>
      </c>
      <c r="H1799" s="136">
        <f>VLOOKUP(G1799,'CP FACTORS'!$A$3:$B$38, 2, FALSE)</f>
        <v>0</v>
      </c>
      <c r="I1799" s="3497">
        <f t="shared" si="335"/>
        <v>0</v>
      </c>
      <c r="J1799" s="124">
        <f t="shared" si="330"/>
        <v>12</v>
      </c>
      <c r="K1799" s="462">
        <f t="shared" si="331"/>
        <v>0</v>
      </c>
      <c r="L1799" s="689"/>
      <c r="M1799" s="103"/>
      <c r="N1799" s="1317"/>
      <c r="O1799" s="963"/>
      <c r="P1799" s="106"/>
      <c r="Q1799" s="106"/>
      <c r="R1799" s="1214"/>
      <c r="S1799" s="106"/>
      <c r="T1799" s="106"/>
      <c r="U1799" s="1319"/>
      <c r="V1799" s="3436" t="s">
        <v>30</v>
      </c>
      <c r="W1799" s="2914"/>
      <c r="X1799" s="685"/>
      <c r="Y1799" s="618">
        <v>2304.4699999999998</v>
      </c>
      <c r="Z1799" s="615">
        <v>2304.4699999999998</v>
      </c>
      <c r="AA1799" s="615">
        <v>2304.4699999999998</v>
      </c>
      <c r="AB1799" s="3494">
        <v>3075.08</v>
      </c>
      <c r="AC1799" s="618">
        <v>1153.1500000000001</v>
      </c>
      <c r="AD1799" s="615">
        <v>1153.1500000000001</v>
      </c>
      <c r="AE1799" s="2914"/>
      <c r="AF1799" s="2914"/>
      <c r="AG1799" s="2914"/>
      <c r="AH1799" s="344"/>
      <c r="AI1799" s="156"/>
      <c r="AJ1799" s="3640"/>
      <c r="AK1799" s="2915"/>
      <c r="AL1799" s="156"/>
      <c r="AM1799" s="3640"/>
      <c r="AN1799" s="3640"/>
      <c r="AO1799" s="156"/>
      <c r="AP1799" s="156"/>
      <c r="AQ1799" s="156"/>
      <c r="AR1799" s="156"/>
      <c r="AS1799" s="156"/>
      <c r="AT1799" s="156"/>
      <c r="AU1799" s="156"/>
      <c r="AV1799" s="156"/>
      <c r="AW1799" s="156"/>
      <c r="AX1799" s="156"/>
      <c r="AY1799" s="156"/>
      <c r="AZ1799" s="156"/>
      <c r="BA1799" s="156"/>
      <c r="BB1799" s="2905"/>
      <c r="BC1799" s="2349" t="str">
        <f t="shared" si="336"/>
        <v>Heating Res ER2 12 Year EUL</v>
      </c>
      <c r="BD1799" s="2829">
        <f>(INDEX('Avoided Cost Benefits'!$E$4:$E$859,MATCH(BC1799,'Avoided Cost Benefits'!$A$4:$A$859,0)))*F1799</f>
        <v>326.22909830436714</v>
      </c>
      <c r="BE1799" s="858">
        <f t="shared" si="332"/>
        <v>0</v>
      </c>
      <c r="BF1799" s="156"/>
      <c r="BH1799" s="686"/>
    </row>
    <row r="1800" spans="1:60" x14ac:dyDescent="0.35">
      <c r="A1800" s="1071" t="str">
        <f t="shared" si="334"/>
        <v>354310_2021_12_Cooling Res</v>
      </c>
      <c r="B1800" s="2812"/>
      <c r="C1800" s="1037" t="s">
        <v>1400</v>
      </c>
      <c r="D1800" s="1311" t="s">
        <v>320</v>
      </c>
      <c r="E1800" s="3420" t="s">
        <v>1401</v>
      </c>
      <c r="F1800" s="615">
        <f>ROUND(((K2845*K3038*(1/K3231-1/K3424)*K3617)/1000)*$K$3677,2)</f>
        <v>1312.04</v>
      </c>
      <c r="G1800" s="1313" t="s">
        <v>1091</v>
      </c>
      <c r="H1800" s="136">
        <f>VLOOKUP(G1800,'CP FACTORS'!$A$3:$B$38, 2, FALSE)</f>
        <v>9.4741810000000004E-4</v>
      </c>
      <c r="I1800" s="3497">
        <f t="shared" si="335"/>
        <v>1.24305</v>
      </c>
      <c r="J1800" s="124">
        <f t="shared" si="330"/>
        <v>6</v>
      </c>
      <c r="K1800" s="462">
        <f t="shared" si="331"/>
        <v>1195.8844199433067</v>
      </c>
      <c r="L1800" s="3496">
        <f>L2073</f>
        <v>1.5</v>
      </c>
      <c r="M1800" s="103"/>
      <c r="N1800" s="1317"/>
      <c r="O1800" s="963"/>
      <c r="P1800" s="106"/>
      <c r="Q1800" s="106"/>
      <c r="R1800" s="1214"/>
      <c r="S1800" s="106"/>
      <c r="T1800" s="106"/>
      <c r="U1800" s="1319"/>
      <c r="V1800" s="1590" t="s">
        <v>30</v>
      </c>
      <c r="W1800" s="2914"/>
      <c r="X1800" s="685"/>
      <c r="Y1800" s="618"/>
      <c r="Z1800" s="615"/>
      <c r="AA1800" s="615"/>
      <c r="AB1800" s="3494"/>
      <c r="AC1800" s="618">
        <v>1312.04</v>
      </c>
      <c r="AD1800" s="615">
        <v>1312.04</v>
      </c>
      <c r="AE1800" s="2914"/>
      <c r="AF1800" s="2914"/>
      <c r="AG1800" s="2914"/>
      <c r="AH1800" s="344"/>
      <c r="AI1800" s="156"/>
      <c r="AJ1800" s="3640"/>
      <c r="AK1800" s="2915"/>
      <c r="AL1800" s="156"/>
      <c r="AM1800" s="3640"/>
      <c r="AN1800" s="3640"/>
      <c r="AO1800" s="156"/>
      <c r="AP1800" s="156"/>
      <c r="AQ1800" s="156"/>
      <c r="AR1800" s="156"/>
      <c r="AS1800" s="156"/>
      <c r="AT1800" s="156"/>
      <c r="AU1800" s="156"/>
      <c r="AV1800" s="156"/>
      <c r="AW1800" s="156"/>
      <c r="AX1800" s="156"/>
      <c r="AY1800" s="156"/>
      <c r="AZ1800" s="156"/>
      <c r="BA1800" s="156"/>
      <c r="BB1800" s="2741">
        <f>(BD1800+BD1801+BD1802+BD1803)/(BE1800+BE1801+BE1802+BE1803)</f>
        <v>0.94949410743730422</v>
      </c>
      <c r="BC1800" s="2742" t="str">
        <f t="shared" si="336"/>
        <v>Cooling Res 6 Year EUL</v>
      </c>
      <c r="BD1800" s="1841">
        <f>(INDEX('Avoided Cost Benefits'!$E$4:$E$859,MATCH(BC1800,'Avoided Cost Benefits'!$A$4:$A$859,0)))*F1800</f>
        <v>831.32427445846395</v>
      </c>
      <c r="BE1800" s="2507">
        <f t="shared" si="332"/>
        <v>1128.7252665816957</v>
      </c>
      <c r="BF1800" s="156"/>
      <c r="BH1800" s="686"/>
    </row>
    <row r="1801" spans="1:60" x14ac:dyDescent="0.35">
      <c r="A1801" s="1071" t="str">
        <f t="shared" si="334"/>
        <v>354310_2021_12_Heating Res</v>
      </c>
      <c r="B1801" s="2812"/>
      <c r="C1801" s="1037" t="s">
        <v>1400</v>
      </c>
      <c r="D1801" s="1311" t="s">
        <v>320</v>
      </c>
      <c r="E1801" s="3420" t="s">
        <v>1401</v>
      </c>
      <c r="F1801" s="615">
        <v>0</v>
      </c>
      <c r="G1801" s="1313" t="s">
        <v>1092</v>
      </c>
      <c r="H1801" s="136">
        <f>VLOOKUP(G1801,'CP FACTORS'!$A$3:$B$38, 2, FALSE)</f>
        <v>0</v>
      </c>
      <c r="I1801" s="3497">
        <f t="shared" si="335"/>
        <v>0</v>
      </c>
      <c r="J1801" s="124">
        <f t="shared" si="330"/>
        <v>6</v>
      </c>
      <c r="K1801" s="462">
        <f t="shared" si="331"/>
        <v>0</v>
      </c>
      <c r="L1801" s="3496"/>
      <c r="M1801" s="103"/>
      <c r="N1801" s="1317"/>
      <c r="O1801" s="963"/>
      <c r="P1801" s="106"/>
      <c r="Q1801" s="106"/>
      <c r="R1801" s="1214"/>
      <c r="S1801" s="106"/>
      <c r="T1801" s="106"/>
      <c r="U1801" s="1319"/>
      <c r="V1801" s="1590" t="s">
        <v>30</v>
      </c>
      <c r="W1801" s="2914"/>
      <c r="X1801" s="685"/>
      <c r="Y1801" s="618"/>
      <c r="Z1801" s="615"/>
      <c r="AA1801" s="615"/>
      <c r="AB1801" s="3494"/>
      <c r="AC1801" s="618">
        <v>0</v>
      </c>
      <c r="AD1801" s="615">
        <v>0</v>
      </c>
      <c r="AE1801" s="2914"/>
      <c r="AF1801" s="2914"/>
      <c r="AG1801" s="2914"/>
      <c r="AH1801" s="344"/>
      <c r="AI1801" s="156"/>
      <c r="AJ1801" s="3640"/>
      <c r="AK1801" s="2915"/>
      <c r="AL1801" s="156"/>
      <c r="AM1801" s="3640"/>
      <c r="AN1801" s="3640"/>
      <c r="AO1801" s="156"/>
      <c r="AP1801" s="156"/>
      <c r="AQ1801" s="156"/>
      <c r="AR1801" s="156"/>
      <c r="AS1801" s="156"/>
      <c r="AT1801" s="156"/>
      <c r="AU1801" s="156"/>
      <c r="AV1801" s="156"/>
      <c r="AW1801" s="156"/>
      <c r="AX1801" s="156"/>
      <c r="AY1801" s="156"/>
      <c r="AZ1801" s="156"/>
      <c r="BA1801" s="156"/>
      <c r="BB1801" s="2743"/>
      <c r="BC1801" s="2742" t="str">
        <f t="shared" si="336"/>
        <v>Heating Res 6 Year EUL</v>
      </c>
      <c r="BD1801" s="1841">
        <f>(INDEX('Avoided Cost Benefits'!$E$4:$E$859,MATCH(BC1801,'Avoided Cost Benefits'!$A$4:$A$859,0)))*F1801</f>
        <v>0</v>
      </c>
      <c r="BE1801" s="2507">
        <f t="shared" si="332"/>
        <v>0</v>
      </c>
      <c r="BF1801" s="156"/>
      <c r="BH1801" s="686"/>
    </row>
    <row r="1802" spans="1:60" x14ac:dyDescent="0.35">
      <c r="A1802" s="1071" t="str">
        <f t="shared" si="334"/>
        <v>354310_2021_12_Cooling Res ER2</v>
      </c>
      <c r="B1802" s="2812"/>
      <c r="C1802" s="1037" t="s">
        <v>1400</v>
      </c>
      <c r="D1802" s="1311" t="s">
        <v>320</v>
      </c>
      <c r="E1802" s="3420" t="s">
        <v>1402</v>
      </c>
      <c r="F1802" s="615">
        <f>ROUND(((K2846*K3039*(1/K3232-1/K3425)*K3618)/1000)*$K$3677,2)</f>
        <v>217.25</v>
      </c>
      <c r="G1802" s="1313" t="s">
        <v>1133</v>
      </c>
      <c r="H1802" s="136">
        <f>VLOOKUP(G1802,'CP FACTORS'!$A$3:$B$38, 2, FALSE)</f>
        <v>9.4741810000000004E-4</v>
      </c>
      <c r="I1802" s="3497">
        <f t="shared" si="335"/>
        <v>0.20582700000000001</v>
      </c>
      <c r="J1802" s="124">
        <f t="shared" si="330"/>
        <v>12</v>
      </c>
      <c r="K1802" s="462">
        <f t="shared" si="331"/>
        <v>0</v>
      </c>
      <c r="L1802" s="3496"/>
      <c r="M1802" s="103"/>
      <c r="N1802" s="1317"/>
      <c r="O1802" s="963"/>
      <c r="P1802" s="106"/>
      <c r="Q1802" s="106"/>
      <c r="R1802" s="1214"/>
      <c r="S1802" s="106"/>
      <c r="T1802" s="106"/>
      <c r="U1802" s="1319"/>
      <c r="V1802" s="1590" t="s">
        <v>30</v>
      </c>
      <c r="W1802" s="2914"/>
      <c r="X1802" s="685"/>
      <c r="Y1802" s="618"/>
      <c r="Z1802" s="615"/>
      <c r="AA1802" s="615"/>
      <c r="AB1802" s="3494"/>
      <c r="AC1802" s="618">
        <v>217.25</v>
      </c>
      <c r="AD1802" s="615">
        <v>217.25</v>
      </c>
      <c r="AE1802" s="2914"/>
      <c r="AF1802" s="2914"/>
      <c r="AG1802" s="2914"/>
      <c r="AH1802" s="344"/>
      <c r="AI1802" s="156"/>
      <c r="AJ1802" s="3640"/>
      <c r="AK1802" s="2915"/>
      <c r="AL1802" s="156"/>
      <c r="AM1802" s="3640"/>
      <c r="AN1802" s="3640"/>
      <c r="AO1802" s="156"/>
      <c r="AP1802" s="156"/>
      <c r="AQ1802" s="156"/>
      <c r="AR1802" s="156"/>
      <c r="AS1802" s="156"/>
      <c r="AT1802" s="156"/>
      <c r="AU1802" s="156"/>
      <c r="AV1802" s="156"/>
      <c r="AW1802" s="156"/>
      <c r="AX1802" s="156"/>
      <c r="AY1802" s="156"/>
      <c r="AZ1802" s="156"/>
      <c r="BA1802" s="156"/>
      <c r="BB1802" s="2743"/>
      <c r="BC1802" s="2742" t="str">
        <f t="shared" si="336"/>
        <v>Cooling Res ER2 12 Year EUL</v>
      </c>
      <c r="BD1802" s="1841">
        <f>(INDEX('Avoided Cost Benefits'!$E$4:$E$859,MATCH(BC1802,'Avoided Cost Benefits'!$A$4:$A$859,0)))*F1802</f>
        <v>240.39371507645643</v>
      </c>
      <c r="BE1802" s="2507">
        <f t="shared" si="332"/>
        <v>0</v>
      </c>
      <c r="BF1802" s="156"/>
      <c r="BH1802" s="686"/>
    </row>
    <row r="1803" spans="1:60" x14ac:dyDescent="0.35">
      <c r="A1803" s="1071" t="str">
        <f t="shared" si="334"/>
        <v>354310_2021_12_Heating Res ER2</v>
      </c>
      <c r="B1803" s="2812"/>
      <c r="C1803" s="1037" t="s">
        <v>1400</v>
      </c>
      <c r="D1803" s="1311" t="s">
        <v>320</v>
      </c>
      <c r="E1803" s="3419" t="s">
        <v>1402</v>
      </c>
      <c r="F1803" s="615">
        <v>0</v>
      </c>
      <c r="G1803" s="1313" t="s">
        <v>1150</v>
      </c>
      <c r="H1803" s="136">
        <f>VLOOKUP(G1803,'CP FACTORS'!$A$3:$B$38, 2, FALSE)</f>
        <v>0</v>
      </c>
      <c r="I1803" s="3497">
        <f t="shared" si="335"/>
        <v>0</v>
      </c>
      <c r="J1803" s="124">
        <f t="shared" ref="J1803:J1866" si="339">K3947</f>
        <v>12</v>
      </c>
      <c r="K1803" s="462">
        <f t="shared" ref="K1803:K1866" si="340">K4333</f>
        <v>0</v>
      </c>
      <c r="L1803" s="3496"/>
      <c r="M1803" s="103"/>
      <c r="N1803" s="1317"/>
      <c r="O1803" s="963"/>
      <c r="P1803" s="106"/>
      <c r="Q1803" s="106"/>
      <c r="R1803" s="1214"/>
      <c r="S1803" s="106"/>
      <c r="T1803" s="106"/>
      <c r="U1803" s="1319"/>
      <c r="V1803" s="1590" t="s">
        <v>30</v>
      </c>
      <c r="W1803" s="2914"/>
      <c r="X1803" s="685"/>
      <c r="Y1803" s="618"/>
      <c r="Z1803" s="615"/>
      <c r="AA1803" s="615"/>
      <c r="AB1803" s="3494"/>
      <c r="AC1803" s="618">
        <v>0</v>
      </c>
      <c r="AD1803" s="615">
        <v>0</v>
      </c>
      <c r="AE1803" s="2914"/>
      <c r="AF1803" s="2914"/>
      <c r="AG1803" s="2914"/>
      <c r="AH1803" s="344"/>
      <c r="AI1803" s="156"/>
      <c r="AJ1803" s="3640"/>
      <c r="AK1803" s="2915"/>
      <c r="AL1803" s="156"/>
      <c r="AM1803" s="3640"/>
      <c r="AN1803" s="3640"/>
      <c r="AO1803" s="156"/>
      <c r="AP1803" s="156"/>
      <c r="AQ1803" s="156"/>
      <c r="AR1803" s="156"/>
      <c r="AS1803" s="156"/>
      <c r="AT1803" s="156"/>
      <c r="AU1803" s="156"/>
      <c r="AV1803" s="156"/>
      <c r="AW1803" s="156"/>
      <c r="AX1803" s="156"/>
      <c r="AY1803" s="156"/>
      <c r="AZ1803" s="156"/>
      <c r="BA1803" s="156"/>
      <c r="BB1803" s="2743"/>
      <c r="BC1803" s="2744" t="str">
        <f t="shared" si="336"/>
        <v>Heating Res ER2 12 Year EUL</v>
      </c>
      <c r="BD1803" s="1841">
        <f>(INDEX('Avoided Cost Benefits'!$E$4:$E$859,MATCH(BC1803,'Avoided Cost Benefits'!$A$4:$A$859,0)))*F1803</f>
        <v>0</v>
      </c>
      <c r="BE1803" s="2507">
        <f t="shared" si="332"/>
        <v>0</v>
      </c>
      <c r="BF1803" s="156"/>
      <c r="BH1803" s="686"/>
    </row>
    <row r="1804" spans="1:60" x14ac:dyDescent="0.35">
      <c r="A1804" s="1071" t="str">
        <f t="shared" si="334"/>
        <v>354311_2021_12_Cooling Res</v>
      </c>
      <c r="B1804" s="2812"/>
      <c r="C1804" s="1037" t="s">
        <v>1403</v>
      </c>
      <c r="D1804" s="1311" t="s">
        <v>315</v>
      </c>
      <c r="E1804" s="3420" t="s">
        <v>1404</v>
      </c>
      <c r="F1804" s="615">
        <f>ROUND(((K2847*K3040*(1/K3233-1/K3426)*K3619)/1000)*$K$3677,2)</f>
        <v>476.88</v>
      </c>
      <c r="G1804" s="1313" t="s">
        <v>1091</v>
      </c>
      <c r="H1804" s="136">
        <f>VLOOKUP(G1804,'CP FACTORS'!$A$3:$B$38, 2, FALSE)</f>
        <v>9.4741810000000004E-4</v>
      </c>
      <c r="I1804" s="3497">
        <f t="shared" si="335"/>
        <v>0.45180500000000001</v>
      </c>
      <c r="J1804" s="124">
        <f t="shared" si="339"/>
        <v>6</v>
      </c>
      <c r="K1804" s="462">
        <f t="shared" si="340"/>
        <v>1195.8844199433067</v>
      </c>
      <c r="L1804" s="3496">
        <f>L2075</f>
        <v>1.5</v>
      </c>
      <c r="M1804" s="103"/>
      <c r="N1804" s="1317"/>
      <c r="O1804" s="963"/>
      <c r="P1804" s="106"/>
      <c r="Q1804" s="106"/>
      <c r="R1804" s="1214"/>
      <c r="S1804" s="106"/>
      <c r="T1804" s="106"/>
      <c r="U1804" s="1319"/>
      <c r="V1804" s="1590" t="s">
        <v>30</v>
      </c>
      <c r="W1804" s="2914"/>
      <c r="X1804" s="685"/>
      <c r="Y1804" s="618"/>
      <c r="Z1804" s="615"/>
      <c r="AA1804" s="615"/>
      <c r="AB1804" s="3494"/>
      <c r="AC1804" s="618">
        <v>476.88</v>
      </c>
      <c r="AD1804" s="615">
        <v>476.88</v>
      </c>
      <c r="AE1804" s="2914"/>
      <c r="AF1804" s="2914"/>
      <c r="AG1804" s="2914"/>
      <c r="AH1804" s="344"/>
      <c r="AI1804" s="156"/>
      <c r="AJ1804" s="3640"/>
      <c r="AK1804" s="2915"/>
      <c r="AL1804" s="156"/>
      <c r="AM1804" s="3640"/>
      <c r="AN1804" s="3640"/>
      <c r="AO1804" s="156"/>
      <c r="AP1804" s="156"/>
      <c r="AQ1804" s="156"/>
      <c r="AR1804" s="156"/>
      <c r="AS1804" s="156"/>
      <c r="AT1804" s="156"/>
      <c r="AU1804" s="156"/>
      <c r="AV1804" s="156"/>
      <c r="AW1804" s="156"/>
      <c r="AX1804" s="156"/>
      <c r="AY1804" s="156"/>
      <c r="AZ1804" s="156"/>
      <c r="BA1804" s="156"/>
      <c r="BB1804" s="2741">
        <f>(BD1804+BD1805+BD1806+BD1807)/(BE1804+BE1805+BE1806+BE1807)</f>
        <v>0.42259059167789309</v>
      </c>
      <c r="BC1804" s="2742" t="str">
        <f t="shared" si="336"/>
        <v>Cooling Res 6 Year EUL</v>
      </c>
      <c r="BD1804" s="1841">
        <f>(INDEX('Avoided Cost Benefits'!$E$4:$E$859,MATCH(BC1804,'Avoided Cost Benefits'!$A$4:$A$859,0)))*F1804</f>
        <v>302.15688546366897</v>
      </c>
      <c r="BE1804" s="2507">
        <f t="shared" si="332"/>
        <v>1128.7252665816957</v>
      </c>
      <c r="BF1804" s="156"/>
      <c r="BH1804" s="686"/>
    </row>
    <row r="1805" spans="1:60" x14ac:dyDescent="0.35">
      <c r="A1805" s="1071" t="str">
        <f t="shared" si="334"/>
        <v>354311_2021_12_Heating Res</v>
      </c>
      <c r="B1805" s="2812"/>
      <c r="C1805" s="1037" t="s">
        <v>1403</v>
      </c>
      <c r="D1805" s="1311" t="s">
        <v>315</v>
      </c>
      <c r="E1805" s="3420" t="s">
        <v>1404</v>
      </c>
      <c r="F1805" s="615">
        <v>0</v>
      </c>
      <c r="G1805" s="1313" t="s">
        <v>1092</v>
      </c>
      <c r="H1805" s="136">
        <f>VLOOKUP(G1805,'CP FACTORS'!$A$3:$B$38, 2, FALSE)</f>
        <v>0</v>
      </c>
      <c r="I1805" s="3497">
        <f t="shared" si="335"/>
        <v>0</v>
      </c>
      <c r="J1805" s="124">
        <f t="shared" si="339"/>
        <v>6</v>
      </c>
      <c r="K1805" s="462">
        <f t="shared" si="340"/>
        <v>0</v>
      </c>
      <c r="L1805" s="3496"/>
      <c r="M1805" s="103"/>
      <c r="N1805" s="1317"/>
      <c r="O1805" s="963"/>
      <c r="P1805" s="106"/>
      <c r="Q1805" s="106"/>
      <c r="R1805" s="1214"/>
      <c r="S1805" s="106"/>
      <c r="T1805" s="106"/>
      <c r="U1805" s="1319"/>
      <c r="V1805" s="1590" t="s">
        <v>30</v>
      </c>
      <c r="W1805" s="2914"/>
      <c r="X1805" s="685"/>
      <c r="Y1805" s="618"/>
      <c r="Z1805" s="615"/>
      <c r="AA1805" s="615"/>
      <c r="AB1805" s="3494"/>
      <c r="AC1805" s="618">
        <v>0</v>
      </c>
      <c r="AD1805" s="615">
        <v>0</v>
      </c>
      <c r="AE1805" s="2914"/>
      <c r="AF1805" s="2914"/>
      <c r="AG1805" s="2914"/>
      <c r="AH1805" s="344"/>
      <c r="AI1805" s="156"/>
      <c r="AJ1805" s="3640"/>
      <c r="AK1805" s="2915"/>
      <c r="AL1805" s="156"/>
      <c r="AM1805" s="3640"/>
      <c r="AN1805" s="3640"/>
      <c r="AO1805" s="156"/>
      <c r="AP1805" s="156"/>
      <c r="AQ1805" s="156"/>
      <c r="AR1805" s="156"/>
      <c r="AS1805" s="156"/>
      <c r="AT1805" s="156"/>
      <c r="AU1805" s="156"/>
      <c r="AV1805" s="156"/>
      <c r="AW1805" s="156"/>
      <c r="AX1805" s="156"/>
      <c r="AY1805" s="156"/>
      <c r="AZ1805" s="156"/>
      <c r="BA1805" s="156"/>
      <c r="BB1805" s="2743"/>
      <c r="BC1805" s="2742" t="str">
        <f t="shared" si="336"/>
        <v>Heating Res 6 Year EUL</v>
      </c>
      <c r="BD1805" s="1841">
        <f>(INDEX('Avoided Cost Benefits'!$E$4:$E$859,MATCH(BC1805,'Avoided Cost Benefits'!$A$4:$A$859,0)))*F1805</f>
        <v>0</v>
      </c>
      <c r="BE1805" s="2507">
        <f t="shared" si="332"/>
        <v>0</v>
      </c>
      <c r="BF1805" s="156"/>
      <c r="BH1805" s="686"/>
    </row>
    <row r="1806" spans="1:60" x14ac:dyDescent="0.35">
      <c r="A1806" s="1071" t="str">
        <f t="shared" si="334"/>
        <v>354311_2021_12_Cooling Res ER2</v>
      </c>
      <c r="B1806" s="2812"/>
      <c r="C1806" s="1037" t="s">
        <v>1403</v>
      </c>
      <c r="D1806" s="1311" t="s">
        <v>315</v>
      </c>
      <c r="E1806" s="3420" t="s">
        <v>1405</v>
      </c>
      <c r="F1806" s="615">
        <f>ROUND(((K2848*K3041*(1/K3234-1/K3427)*K3620)/1000)*$K$3677,2)</f>
        <v>158</v>
      </c>
      <c r="G1806" s="1313" t="s">
        <v>1133</v>
      </c>
      <c r="H1806" s="136">
        <f>VLOOKUP(G1806,'CP FACTORS'!$A$3:$B$38, 2, FALSE)</f>
        <v>9.4741810000000004E-4</v>
      </c>
      <c r="I1806" s="3497">
        <f t="shared" si="335"/>
        <v>0.14969199999999999</v>
      </c>
      <c r="J1806" s="124">
        <f t="shared" si="339"/>
        <v>12</v>
      </c>
      <c r="K1806" s="462">
        <f t="shared" si="340"/>
        <v>0</v>
      </c>
      <c r="L1806" s="3496"/>
      <c r="M1806" s="103"/>
      <c r="N1806" s="1317"/>
      <c r="O1806" s="963"/>
      <c r="P1806" s="106"/>
      <c r="Q1806" s="106"/>
      <c r="R1806" s="1214"/>
      <c r="S1806" s="106"/>
      <c r="T1806" s="106"/>
      <c r="U1806" s="1319"/>
      <c r="V1806" s="1590" t="s">
        <v>30</v>
      </c>
      <c r="W1806" s="2914"/>
      <c r="X1806" s="685"/>
      <c r="Y1806" s="618"/>
      <c r="Z1806" s="615"/>
      <c r="AA1806" s="615"/>
      <c r="AB1806" s="3494"/>
      <c r="AC1806" s="618">
        <v>158</v>
      </c>
      <c r="AD1806" s="615">
        <v>158</v>
      </c>
      <c r="AE1806" s="2914"/>
      <c r="AF1806" s="2914"/>
      <c r="AG1806" s="2914"/>
      <c r="AH1806" s="344"/>
      <c r="AI1806" s="156"/>
      <c r="AJ1806" s="3640"/>
      <c r="AK1806" s="2915"/>
      <c r="AL1806" s="156"/>
      <c r="AM1806" s="3640"/>
      <c r="AN1806" s="3640"/>
      <c r="AO1806" s="156"/>
      <c r="AP1806" s="156"/>
      <c r="AQ1806" s="156"/>
      <c r="AR1806" s="156"/>
      <c r="AS1806" s="156"/>
      <c r="AT1806" s="156"/>
      <c r="AU1806" s="156"/>
      <c r="AV1806" s="156"/>
      <c r="AW1806" s="156"/>
      <c r="AX1806" s="156"/>
      <c r="AY1806" s="156"/>
      <c r="AZ1806" s="156"/>
      <c r="BA1806" s="156"/>
      <c r="BB1806" s="2743"/>
      <c r="BC1806" s="2742" t="str">
        <f t="shared" si="336"/>
        <v>Cooling Res ER2 12 Year EUL</v>
      </c>
      <c r="BD1806" s="1841">
        <f>(INDEX('Avoided Cost Benefits'!$E$4:$E$859,MATCH(BC1806,'Avoided Cost Benefits'!$A$4:$A$859,0)))*F1806</f>
        <v>174.83179278287741</v>
      </c>
      <c r="BE1806" s="2507">
        <f t="shared" si="332"/>
        <v>0</v>
      </c>
      <c r="BF1806" s="156"/>
      <c r="BH1806" s="686"/>
    </row>
    <row r="1807" spans="1:60" x14ac:dyDescent="0.35">
      <c r="A1807" s="1071" t="str">
        <f t="shared" si="334"/>
        <v>354311_2021_12_Heating Res ER2</v>
      </c>
      <c r="B1807" s="2812"/>
      <c r="C1807" s="1037" t="s">
        <v>1403</v>
      </c>
      <c r="D1807" s="1311" t="s">
        <v>315</v>
      </c>
      <c r="E1807" s="3420" t="s">
        <v>1405</v>
      </c>
      <c r="F1807" s="615">
        <f>0</f>
        <v>0</v>
      </c>
      <c r="G1807" s="1313" t="s">
        <v>1150</v>
      </c>
      <c r="H1807" s="136">
        <f>VLOOKUP(G1807,'CP FACTORS'!$A$3:$B$38, 2, FALSE)</f>
        <v>0</v>
      </c>
      <c r="I1807" s="3497">
        <f t="shared" si="335"/>
        <v>0</v>
      </c>
      <c r="J1807" s="124">
        <f t="shared" si="339"/>
        <v>12</v>
      </c>
      <c r="K1807" s="462">
        <f t="shared" si="340"/>
        <v>0</v>
      </c>
      <c r="L1807" s="3496"/>
      <c r="M1807" s="103"/>
      <c r="N1807" s="1317"/>
      <c r="O1807" s="963"/>
      <c r="P1807" s="106"/>
      <c r="Q1807" s="106"/>
      <c r="R1807" s="1214"/>
      <c r="S1807" s="106"/>
      <c r="T1807" s="106"/>
      <c r="U1807" s="1319"/>
      <c r="V1807" s="1590" t="s">
        <v>30</v>
      </c>
      <c r="W1807" s="2914"/>
      <c r="X1807" s="685"/>
      <c r="Y1807" s="618"/>
      <c r="Z1807" s="615"/>
      <c r="AA1807" s="615"/>
      <c r="AB1807" s="3494"/>
      <c r="AC1807" s="618">
        <v>0</v>
      </c>
      <c r="AD1807" s="615">
        <v>0</v>
      </c>
      <c r="AE1807" s="2914"/>
      <c r="AF1807" s="2914"/>
      <c r="AG1807" s="2914"/>
      <c r="AH1807" s="344"/>
      <c r="AI1807" s="156"/>
      <c r="AJ1807" s="3640"/>
      <c r="AK1807" s="2915"/>
      <c r="AL1807" s="156"/>
      <c r="AM1807" s="3640"/>
      <c r="AN1807" s="3640"/>
      <c r="AO1807" s="156"/>
      <c r="AP1807" s="156"/>
      <c r="AQ1807" s="156"/>
      <c r="AR1807" s="156"/>
      <c r="AS1807" s="156"/>
      <c r="AT1807" s="156"/>
      <c r="AU1807" s="156"/>
      <c r="AV1807" s="156"/>
      <c r="AW1807" s="156"/>
      <c r="AX1807" s="156"/>
      <c r="AY1807" s="156"/>
      <c r="AZ1807" s="156"/>
      <c r="BA1807" s="156"/>
      <c r="BB1807" s="2743"/>
      <c r="BC1807" s="2742" t="str">
        <f t="shared" si="336"/>
        <v>Heating Res ER2 12 Year EUL</v>
      </c>
      <c r="BD1807" s="1841">
        <f>(INDEX('Avoided Cost Benefits'!$E$4:$E$859,MATCH(BC1807,'Avoided Cost Benefits'!$A$4:$A$859,0)))*F1807</f>
        <v>0</v>
      </c>
      <c r="BE1807" s="2507">
        <f t="shared" si="332"/>
        <v>0</v>
      </c>
      <c r="BF1807" s="156"/>
      <c r="BH1807" s="686"/>
    </row>
    <row r="1808" spans="1:60" x14ac:dyDescent="0.35">
      <c r="A1808" s="1071" t="str">
        <f t="shared" si="334"/>
        <v>354350_2021_12_Cooling Res</v>
      </c>
      <c r="B1808" s="2812"/>
      <c r="C1808" s="1037" t="s">
        <v>1407</v>
      </c>
      <c r="D1808" s="1311" t="s">
        <v>320</v>
      </c>
      <c r="E1808" s="3418" t="s">
        <v>1408</v>
      </c>
      <c r="F1808" s="618">
        <f>ROUND(((K2849*K3042*(1/K3235-1/K3428)*K3621)/1000)*$K$3677,2)</f>
        <v>2464.77</v>
      </c>
      <c r="G1808" s="2810" t="s">
        <v>1091</v>
      </c>
      <c r="H1808" s="2720">
        <f>VLOOKUP(G1808,'CP FACTORS'!$A$3:$B$38, 2, FALSE)</f>
        <v>9.4741810000000004E-4</v>
      </c>
      <c r="I1808" s="2995">
        <f t="shared" si="335"/>
        <v>2.3351679999999999</v>
      </c>
      <c r="J1808" s="124">
        <f t="shared" si="339"/>
        <v>6</v>
      </c>
      <c r="K1808" s="462">
        <f t="shared" si="340"/>
        <v>1560.2646665212983</v>
      </c>
      <c r="L1808" s="3496">
        <f>L2077</f>
        <v>2.5</v>
      </c>
      <c r="M1808" s="103"/>
      <c r="N1808" s="1317"/>
      <c r="O1808" s="963"/>
      <c r="P1808" s="106"/>
      <c r="Q1808" s="106"/>
      <c r="R1808" s="1214"/>
      <c r="S1808" s="106"/>
      <c r="T1808" s="106"/>
      <c r="U1808" s="1319"/>
      <c r="V1808" s="3436" t="s">
        <v>30</v>
      </c>
      <c r="W1808" s="2914">
        <v>1864.0050000000006</v>
      </c>
      <c r="X1808" s="685">
        <v>1442.5712965186076</v>
      </c>
      <c r="Y1808" s="615">
        <v>1442.57</v>
      </c>
      <c r="Z1808" s="615">
        <v>1442.57</v>
      </c>
      <c r="AA1808" s="615">
        <v>1442.57</v>
      </c>
      <c r="AB1808" s="3495">
        <v>1442.57</v>
      </c>
      <c r="AC1808" s="618">
        <v>2201.5</v>
      </c>
      <c r="AD1808" s="618">
        <v>2464.77</v>
      </c>
      <c r="AE1808" s="2914"/>
      <c r="AF1808" s="2914"/>
      <c r="AG1808" s="2914"/>
      <c r="AH1808" s="344"/>
      <c r="AI1808" s="156"/>
      <c r="AJ1808" s="3640"/>
      <c r="AK1808" s="2915"/>
      <c r="AL1808" s="156"/>
      <c r="AM1808" s="3640"/>
      <c r="AN1808" s="3640"/>
      <c r="AO1808" s="156"/>
      <c r="AP1808" s="156"/>
      <c r="AQ1808" s="156"/>
      <c r="AR1808" s="156"/>
      <c r="AS1808" s="156"/>
      <c r="AT1808" s="156"/>
      <c r="AU1808" s="156"/>
      <c r="AV1808" s="156"/>
      <c r="AW1808" s="156"/>
      <c r="AX1808" s="156"/>
      <c r="AY1808" s="156"/>
      <c r="AZ1808" s="156"/>
      <c r="BA1808" s="156"/>
      <c r="BB1808" s="2833">
        <f>(BD1808+BD1809+BD1810+BD1811)/(BE1808+BE1809+BE1810+BE1811)</f>
        <v>1.8187689095014403</v>
      </c>
      <c r="BC1808" s="2348" t="str">
        <f t="shared" si="336"/>
        <v>Cooling Res 6 Year EUL</v>
      </c>
      <c r="BD1808" s="2829">
        <f>(INDEX('Avoided Cost Benefits'!$E$4:$E$859,MATCH(BC1808,'Avoided Cost Benefits'!$A$4:$A$859,0)))*F1808</f>
        <v>1561.7078228994453</v>
      </c>
      <c r="BE1808" s="858">
        <f t="shared" si="332"/>
        <v>1472.6424412659728</v>
      </c>
      <c r="BF1808" s="156"/>
      <c r="BH1808" s="686"/>
    </row>
    <row r="1809" spans="1:60" x14ac:dyDescent="0.35">
      <c r="A1809" s="1071" t="str">
        <f t="shared" si="334"/>
        <v>354350_2021_12_Heating Res</v>
      </c>
      <c r="B1809" s="2812"/>
      <c r="C1809" s="1037" t="s">
        <v>1407</v>
      </c>
      <c r="D1809" s="1311" t="s">
        <v>320</v>
      </c>
      <c r="E1809" s="3420" t="s">
        <v>1408</v>
      </c>
      <c r="F1809" s="618">
        <f>ROUND(((K2077*K2270*(1/K2463-1/K2656)*K3621)/1000)*$K$3677,2)</f>
        <v>2332.67</v>
      </c>
      <c r="G1809" s="2810" t="s">
        <v>1092</v>
      </c>
      <c r="H1809" s="2720">
        <f>VLOOKUP(G1809,'CP FACTORS'!$A$3:$B$38, 2, FALSE)</f>
        <v>0</v>
      </c>
      <c r="I1809" s="2995">
        <f t="shared" si="335"/>
        <v>0</v>
      </c>
      <c r="J1809" s="124">
        <f t="shared" si="339"/>
        <v>6</v>
      </c>
      <c r="K1809" s="462">
        <f t="shared" si="340"/>
        <v>0</v>
      </c>
      <c r="L1809" s="3496"/>
      <c r="M1809" s="103"/>
      <c r="N1809" s="1317"/>
      <c r="O1809" s="963"/>
      <c r="P1809" s="106"/>
      <c r="Q1809" s="106"/>
      <c r="R1809" s="1214"/>
      <c r="S1809" s="106"/>
      <c r="T1809" s="106"/>
      <c r="U1809" s="1319"/>
      <c r="V1809" s="3436" t="s">
        <v>30</v>
      </c>
      <c r="W1809" s="2914">
        <v>4062.4872213622284</v>
      </c>
      <c r="X1809" s="685">
        <v>1798.7611070228763</v>
      </c>
      <c r="Y1809" s="615">
        <v>1798.76</v>
      </c>
      <c r="Z1809" s="615">
        <v>1798.76</v>
      </c>
      <c r="AA1809" s="615">
        <v>1798.76</v>
      </c>
      <c r="AB1809" s="3495">
        <v>1798.76</v>
      </c>
      <c r="AC1809" s="618">
        <v>2725.4</v>
      </c>
      <c r="AD1809" s="618">
        <v>2332.67</v>
      </c>
      <c r="AE1809" s="2914"/>
      <c r="AF1809" s="2914"/>
      <c r="AG1809" s="2914"/>
      <c r="AH1809" s="344"/>
      <c r="AI1809" s="156"/>
      <c r="AJ1809" s="3640"/>
      <c r="AK1809" s="2915"/>
      <c r="AL1809" s="156"/>
      <c r="AM1809" s="3640"/>
      <c r="AN1809" s="3640"/>
      <c r="AO1809" s="156"/>
      <c r="AP1809" s="156"/>
      <c r="AQ1809" s="156"/>
      <c r="AR1809" s="156"/>
      <c r="AS1809" s="156"/>
      <c r="AT1809" s="156"/>
      <c r="AU1809" s="156"/>
      <c r="AV1809" s="156"/>
      <c r="AW1809" s="156"/>
      <c r="AX1809" s="156"/>
      <c r="AY1809" s="156"/>
      <c r="AZ1809" s="156"/>
      <c r="BA1809" s="156"/>
      <c r="BB1809" s="2905"/>
      <c r="BC1809" s="2357" t="str">
        <f t="shared" si="336"/>
        <v>Heating Res 6 Year EUL</v>
      </c>
      <c r="BD1809" s="2829">
        <f>(INDEX('Avoided Cost Benefits'!$E$4:$E$859,MATCH(BC1809,'Avoided Cost Benefits'!$A$4:$A$859,0)))*F1809</f>
        <v>380.08802190820182</v>
      </c>
      <c r="BE1809" s="858">
        <f t="shared" si="332"/>
        <v>0</v>
      </c>
      <c r="BF1809" s="156"/>
      <c r="BH1809" s="686"/>
    </row>
    <row r="1810" spans="1:60" x14ac:dyDescent="0.35">
      <c r="A1810" s="1071" t="str">
        <f t="shared" si="334"/>
        <v>354350_2021_12_Cooling Res ER2</v>
      </c>
      <c r="B1810" s="2812"/>
      <c r="C1810" s="1037" t="s">
        <v>1407</v>
      </c>
      <c r="D1810" s="1311" t="s">
        <v>320</v>
      </c>
      <c r="E1810" s="3420" t="s">
        <v>1409</v>
      </c>
      <c r="F1810" s="618">
        <f>ROUND(((K2850*K3043*(1/K3236-1/K3429)*K3622)/1000)*$K$3677,2)</f>
        <v>413.81</v>
      </c>
      <c r="G1810" s="2810" t="s">
        <v>1133</v>
      </c>
      <c r="H1810" s="2720">
        <f>VLOOKUP(G1810,'CP FACTORS'!$A$3:$B$38, 2, FALSE)</f>
        <v>9.4741810000000004E-4</v>
      </c>
      <c r="I1810" s="2995">
        <f t="shared" si="335"/>
        <v>0.39205099999999998</v>
      </c>
      <c r="J1810" s="124">
        <f t="shared" si="339"/>
        <v>12</v>
      </c>
      <c r="K1810" s="462">
        <f t="shared" si="340"/>
        <v>0</v>
      </c>
      <c r="L1810" s="3496"/>
      <c r="M1810" s="103"/>
      <c r="N1810" s="1317"/>
      <c r="O1810" s="963"/>
      <c r="P1810" s="106"/>
      <c r="Q1810" s="106"/>
      <c r="R1810" s="1214"/>
      <c r="S1810" s="106"/>
      <c r="T1810" s="106"/>
      <c r="U1810" s="1319"/>
      <c r="V1810" s="3436" t="s">
        <v>30</v>
      </c>
      <c r="W1810" s="2914">
        <v>355.04857142857139</v>
      </c>
      <c r="X1810" s="688">
        <v>355.04857142857139</v>
      </c>
      <c r="Y1810" s="615">
        <v>355.05</v>
      </c>
      <c r="Z1810" s="615">
        <v>355.05</v>
      </c>
      <c r="AA1810" s="615">
        <v>355.05</v>
      </c>
      <c r="AB1810" s="3495">
        <v>355.05</v>
      </c>
      <c r="AC1810" s="618">
        <v>588.84</v>
      </c>
      <c r="AD1810" s="618">
        <v>413.81</v>
      </c>
      <c r="AE1810" s="2914"/>
      <c r="AF1810" s="2914"/>
      <c r="AG1810" s="2914"/>
      <c r="AH1810" s="344"/>
      <c r="AI1810" s="156"/>
      <c r="AJ1810" s="3640"/>
      <c r="AK1810" s="2915"/>
      <c r="AL1810" s="156"/>
      <c r="AM1810" s="3640"/>
      <c r="AN1810" s="3640"/>
      <c r="AO1810" s="156"/>
      <c r="AP1810" s="156"/>
      <c r="AQ1810" s="156"/>
      <c r="AR1810" s="156"/>
      <c r="AS1810" s="156"/>
      <c r="AT1810" s="156"/>
      <c r="AU1810" s="156"/>
      <c r="AV1810" s="156"/>
      <c r="AW1810" s="156"/>
      <c r="AX1810" s="156"/>
      <c r="AY1810" s="156"/>
      <c r="AZ1810" s="156"/>
      <c r="BA1810" s="156"/>
      <c r="BB1810" s="2905"/>
      <c r="BC1810" s="2357" t="str">
        <f t="shared" si="336"/>
        <v>Cooling Res ER2 12 Year EUL</v>
      </c>
      <c r="BD1810" s="2829">
        <f>(INDEX('Avoided Cost Benefits'!$E$4:$E$859,MATCH(BC1810,'Avoided Cost Benefits'!$A$4:$A$859,0)))*F1810</f>
        <v>457.89331754102852</v>
      </c>
      <c r="BE1810" s="858">
        <f t="shared" si="332"/>
        <v>0</v>
      </c>
      <c r="BF1810" s="156"/>
      <c r="BH1810" s="686"/>
    </row>
    <row r="1811" spans="1:60" x14ac:dyDescent="0.35">
      <c r="A1811" s="1071" t="str">
        <f t="shared" si="334"/>
        <v>354350_2021_12_Heating Res ER2</v>
      </c>
      <c r="B1811" s="2812"/>
      <c r="C1811" s="1037" t="s">
        <v>1407</v>
      </c>
      <c r="D1811" s="1311" t="s">
        <v>320</v>
      </c>
      <c r="E1811" s="3419" t="s">
        <v>1409</v>
      </c>
      <c r="F1811" s="618">
        <f>ROUND(((K2078*K2271*(1/K2464-1/K2657)*K3622)/1000)*$K$3677,2)</f>
        <v>985.17</v>
      </c>
      <c r="G1811" s="2810" t="s">
        <v>1150</v>
      </c>
      <c r="H1811" s="2720">
        <f>VLOOKUP(G1811,'CP FACTORS'!$A$3:$B$38, 2, FALSE)</f>
        <v>0</v>
      </c>
      <c r="I1811" s="2995">
        <f t="shared" si="335"/>
        <v>0</v>
      </c>
      <c r="J1811" s="124">
        <f t="shared" si="339"/>
        <v>12</v>
      </c>
      <c r="K1811" s="462">
        <f t="shared" si="340"/>
        <v>0</v>
      </c>
      <c r="L1811" s="3496"/>
      <c r="M1811" s="103"/>
      <c r="N1811" s="1317"/>
      <c r="O1811" s="963"/>
      <c r="P1811" s="106"/>
      <c r="Q1811" s="106"/>
      <c r="R1811" s="1214"/>
      <c r="S1811" s="106"/>
      <c r="T1811" s="106"/>
      <c r="U1811" s="1319"/>
      <c r="V1811" s="3436" t="s">
        <v>30</v>
      </c>
      <c r="W1811" s="2914">
        <v>862.96736842105349</v>
      </c>
      <c r="X1811" s="685">
        <v>642.6078562259313</v>
      </c>
      <c r="Y1811" s="615">
        <v>642.61</v>
      </c>
      <c r="Z1811" s="615">
        <v>642.61</v>
      </c>
      <c r="AA1811" s="615">
        <v>642.61</v>
      </c>
      <c r="AB1811" s="3495">
        <v>642.61</v>
      </c>
      <c r="AC1811" s="618">
        <v>973.65</v>
      </c>
      <c r="AD1811" s="618">
        <v>985.17</v>
      </c>
      <c r="AE1811" s="2914"/>
      <c r="AF1811" s="2914"/>
      <c r="AG1811" s="2914"/>
      <c r="AH1811" s="344"/>
      <c r="AI1811" s="156"/>
      <c r="AJ1811" s="3640"/>
      <c r="AK1811" s="2915"/>
      <c r="AL1811" s="156"/>
      <c r="AM1811" s="3640"/>
      <c r="AN1811" s="3640"/>
      <c r="AO1811" s="156"/>
      <c r="AP1811" s="156"/>
      <c r="AQ1811" s="156"/>
      <c r="AR1811" s="156"/>
      <c r="AS1811" s="156"/>
      <c r="AT1811" s="156"/>
      <c r="AU1811" s="156"/>
      <c r="AV1811" s="156"/>
      <c r="AW1811" s="156"/>
      <c r="AX1811" s="156"/>
      <c r="AY1811" s="156"/>
      <c r="AZ1811" s="156"/>
      <c r="BA1811" s="156"/>
      <c r="BB1811" s="2905"/>
      <c r="BC1811" s="2349" t="str">
        <f t="shared" si="336"/>
        <v>Heating Res ER2 12 Year EUL</v>
      </c>
      <c r="BD1811" s="2829">
        <f>(INDEX('Avoided Cost Benefits'!$E$4:$E$859,MATCH(BC1811,'Avoided Cost Benefits'!$A$4:$A$859,0)))*F1811</f>
        <v>278.70712463817659</v>
      </c>
      <c r="BE1811" s="858">
        <f t="shared" si="332"/>
        <v>0</v>
      </c>
      <c r="BF1811" s="156"/>
      <c r="BH1811" s="686"/>
    </row>
    <row r="1812" spans="1:60" x14ac:dyDescent="0.35">
      <c r="A1812" s="1071" t="str">
        <f t="shared" si="334"/>
        <v>354351_2021_12_Cooling Res</v>
      </c>
      <c r="B1812" s="2812"/>
      <c r="C1812" s="1037" t="s">
        <v>1411</v>
      </c>
      <c r="D1812" s="1311" t="s">
        <v>315</v>
      </c>
      <c r="E1812" s="3418" t="s">
        <v>1412</v>
      </c>
      <c r="F1812" s="618">
        <f>ROUND((($K$2851*$K$3044*(1/$K$3237-1/$K$3430)*$K$3623)/1000)*$K$3677,2)</f>
        <v>1792.56</v>
      </c>
      <c r="G1812" s="2810" t="str">
        <f t="shared" ref="G1812:G1815" si="341">G1808</f>
        <v>Cooling Res</v>
      </c>
      <c r="H1812" s="2720">
        <f>VLOOKUP(G1812,'CP FACTORS'!$A$3:$B$38, 2, FALSE)</f>
        <v>9.4741810000000004E-4</v>
      </c>
      <c r="I1812" s="2995">
        <f t="shared" si="335"/>
        <v>1.698304</v>
      </c>
      <c r="J1812" s="124">
        <f t="shared" si="339"/>
        <v>6</v>
      </c>
      <c r="K1812" s="462">
        <f t="shared" si="340"/>
        <v>1560.2646665212983</v>
      </c>
      <c r="L1812" s="3496">
        <f>L2079</f>
        <v>2.5</v>
      </c>
      <c r="M1812" s="103"/>
      <c r="N1812" s="1317"/>
      <c r="O1812" s="963"/>
      <c r="P1812" s="106"/>
      <c r="Q1812" s="106"/>
      <c r="R1812" s="1214"/>
      <c r="S1812" s="106"/>
      <c r="T1812" s="106"/>
      <c r="U1812" s="1319"/>
      <c r="V1812" s="3436" t="s">
        <v>30</v>
      </c>
      <c r="W1812" s="2914"/>
      <c r="X1812" s="685"/>
      <c r="Y1812" s="618">
        <v>1049.1400000000001</v>
      </c>
      <c r="Z1812" s="615">
        <v>1049.1400000000001</v>
      </c>
      <c r="AA1812" s="615">
        <v>1049.1400000000001</v>
      </c>
      <c r="AB1812" s="3495">
        <v>1049.1400000000001</v>
      </c>
      <c r="AC1812" s="618">
        <v>1589.61</v>
      </c>
      <c r="AD1812" s="618">
        <v>1792.56</v>
      </c>
      <c r="AE1812" s="2914"/>
      <c r="AF1812" s="2914"/>
      <c r="AG1812" s="2914"/>
      <c r="AH1812" s="344"/>
      <c r="AI1812" s="156"/>
      <c r="AJ1812" s="3640"/>
      <c r="AK1812" s="2915"/>
      <c r="AL1812" s="156"/>
      <c r="AM1812" s="3640"/>
      <c r="AN1812" s="3640"/>
      <c r="AO1812" s="156"/>
      <c r="AP1812" s="156"/>
      <c r="AQ1812" s="156"/>
      <c r="AR1812" s="156"/>
      <c r="AS1812" s="156"/>
      <c r="AT1812" s="156"/>
      <c r="AU1812" s="156"/>
      <c r="AV1812" s="156"/>
      <c r="AW1812" s="156"/>
      <c r="AX1812" s="156"/>
      <c r="AY1812" s="156"/>
      <c r="AZ1812" s="156"/>
      <c r="BA1812" s="156"/>
      <c r="BB1812" s="2833">
        <f>(BD1812+BD1813+BD1814+BD1815)/(BE1812+BE1813+BE1814+BE1815)</f>
        <v>1.1498964809366761</v>
      </c>
      <c r="BC1812" s="2348" t="str">
        <f t="shared" si="336"/>
        <v>Cooling Res 6 Year EUL</v>
      </c>
      <c r="BD1812" s="2829">
        <f>(INDEX('Avoided Cost Benefits'!$E$4:$E$859,MATCH(BC1812,'Avoided Cost Benefits'!$A$4:$A$859,0)))*F1812</f>
        <v>1135.7875075632328</v>
      </c>
      <c r="BE1812" s="858">
        <f t="shared" si="332"/>
        <v>1472.6424412659728</v>
      </c>
      <c r="BF1812" s="156"/>
      <c r="BH1812" s="686"/>
    </row>
    <row r="1813" spans="1:60" x14ac:dyDescent="0.35">
      <c r="A1813" s="1071" t="str">
        <f t="shared" si="334"/>
        <v>354351_2021_12_Heating Res</v>
      </c>
      <c r="B1813" s="2812"/>
      <c r="C1813" s="1037" t="str">
        <f>C1812</f>
        <v>354351_2021_12_</v>
      </c>
      <c r="D1813" s="1311" t="s">
        <v>315</v>
      </c>
      <c r="E1813" s="3420" t="s">
        <v>1412</v>
      </c>
      <c r="F1813" s="618">
        <f>ROUND((($K$2079*$K$2272*(1/$K$2465-1/$K$2658)*$K$3623)/1000)*$K$3677,2)</f>
        <v>795.23</v>
      </c>
      <c r="G1813" s="2810" t="str">
        <f t="shared" si="341"/>
        <v>Heating Res</v>
      </c>
      <c r="H1813" s="2720">
        <f>VLOOKUP(G1813,'CP FACTORS'!$A$3:$B$38, 2, FALSE)</f>
        <v>0</v>
      </c>
      <c r="I1813" s="2995">
        <f t="shared" si="335"/>
        <v>0</v>
      </c>
      <c r="J1813" s="124">
        <f t="shared" si="339"/>
        <v>6</v>
      </c>
      <c r="K1813" s="462">
        <f t="shared" si="340"/>
        <v>0</v>
      </c>
      <c r="L1813" s="3496"/>
      <c r="M1813" s="103"/>
      <c r="N1813" s="1317"/>
      <c r="O1813" s="963"/>
      <c r="P1813" s="106"/>
      <c r="Q1813" s="106"/>
      <c r="R1813" s="1214"/>
      <c r="S1813" s="106"/>
      <c r="T1813" s="106"/>
      <c r="U1813" s="1319"/>
      <c r="V1813" s="3436" t="s">
        <v>30</v>
      </c>
      <c r="W1813" s="2914"/>
      <c r="X1813" s="685"/>
      <c r="Y1813" s="618">
        <v>613.21</v>
      </c>
      <c r="Z1813" s="615">
        <v>613.21</v>
      </c>
      <c r="AA1813" s="615">
        <v>613.21</v>
      </c>
      <c r="AB1813" s="3495">
        <v>613.21</v>
      </c>
      <c r="AC1813" s="618">
        <v>929.11</v>
      </c>
      <c r="AD1813" s="618">
        <v>795.23</v>
      </c>
      <c r="AE1813" s="2914"/>
      <c r="AF1813" s="2914"/>
      <c r="AG1813" s="2914"/>
      <c r="AH1813" s="344"/>
      <c r="AI1813" s="156"/>
      <c r="AJ1813" s="3640"/>
      <c r="AK1813" s="2915"/>
      <c r="AL1813" s="156"/>
      <c r="AM1813" s="3640"/>
      <c r="AN1813" s="3640"/>
      <c r="AO1813" s="156"/>
      <c r="AP1813" s="156"/>
      <c r="AQ1813" s="156"/>
      <c r="AR1813" s="156"/>
      <c r="AS1813" s="156"/>
      <c r="AT1813" s="156"/>
      <c r="AU1813" s="156"/>
      <c r="AV1813" s="156"/>
      <c r="AW1813" s="156"/>
      <c r="AX1813" s="156"/>
      <c r="AY1813" s="156"/>
      <c r="AZ1813" s="156"/>
      <c r="BA1813" s="156"/>
      <c r="BB1813" s="2905"/>
      <c r="BC1813" s="2357" t="str">
        <f t="shared" si="336"/>
        <v>Heating Res 6 Year EUL</v>
      </c>
      <c r="BD1813" s="2829">
        <f>(INDEX('Avoided Cost Benefits'!$E$4:$E$859,MATCH(BC1813,'Avoided Cost Benefits'!$A$4:$A$859,0)))*F1813</f>
        <v>129.57572123877762</v>
      </c>
      <c r="BE1813" s="858">
        <f t="shared" si="332"/>
        <v>0</v>
      </c>
      <c r="BF1813" s="156"/>
      <c r="BH1813" s="686"/>
    </row>
    <row r="1814" spans="1:60" x14ac:dyDescent="0.35">
      <c r="A1814" s="1071" t="str">
        <f t="shared" si="334"/>
        <v>354351_2021_12_Cooling Res ER2</v>
      </c>
      <c r="B1814" s="2812"/>
      <c r="C1814" s="1037" t="str">
        <f>C1813</f>
        <v>354351_2021_12_</v>
      </c>
      <c r="D1814" s="1311" t="s">
        <v>315</v>
      </c>
      <c r="E1814" s="3420" t="s">
        <v>1413</v>
      </c>
      <c r="F1814" s="618">
        <f>ROUND((($K$2852*$K$3045*(1/$K$3238-1/$K$3431)*$K$3624)/1000)*$K$3677,2)</f>
        <v>300.95</v>
      </c>
      <c r="G1814" s="2810" t="str">
        <f t="shared" si="341"/>
        <v>Cooling Res ER2</v>
      </c>
      <c r="H1814" s="2720">
        <f>VLOOKUP(G1814,'CP FACTORS'!$A$3:$B$38, 2, FALSE)</f>
        <v>9.4741810000000004E-4</v>
      </c>
      <c r="I1814" s="2995">
        <f t="shared" si="335"/>
        <v>0.28512500000000002</v>
      </c>
      <c r="J1814" s="124">
        <f t="shared" si="339"/>
        <v>12</v>
      </c>
      <c r="K1814" s="462">
        <f t="shared" si="340"/>
        <v>0</v>
      </c>
      <c r="L1814" s="3496"/>
      <c r="M1814" s="103"/>
      <c r="N1814" s="1317"/>
      <c r="O1814" s="963"/>
      <c r="P1814" s="106"/>
      <c r="Q1814" s="106"/>
      <c r="R1814" s="1214"/>
      <c r="S1814" s="106"/>
      <c r="T1814" s="106"/>
      <c r="U1814" s="1319"/>
      <c r="V1814" s="3436" t="s">
        <v>30</v>
      </c>
      <c r="W1814" s="2914"/>
      <c r="X1814" s="685"/>
      <c r="Y1814" s="618">
        <v>258.22000000000003</v>
      </c>
      <c r="Z1814" s="615">
        <v>258.22000000000003</v>
      </c>
      <c r="AA1814" s="615">
        <v>258.22000000000003</v>
      </c>
      <c r="AB1814" s="3495">
        <v>258.22000000000003</v>
      </c>
      <c r="AC1814" s="618">
        <v>391.24</v>
      </c>
      <c r="AD1814" s="618">
        <v>300.95</v>
      </c>
      <c r="AE1814" s="2914"/>
      <c r="AF1814" s="2914"/>
      <c r="AG1814" s="2914"/>
      <c r="AH1814" s="344"/>
      <c r="AI1814" s="156"/>
      <c r="AJ1814" s="3640"/>
      <c r="AK1814" s="2915"/>
      <c r="AL1814" s="156"/>
      <c r="AM1814" s="3640"/>
      <c r="AN1814" s="3640"/>
      <c r="AO1814" s="156"/>
      <c r="AP1814" s="156"/>
      <c r="AQ1814" s="156"/>
      <c r="AR1814" s="156"/>
      <c r="AS1814" s="156"/>
      <c r="AT1814" s="156"/>
      <c r="AU1814" s="156"/>
      <c r="AV1814" s="156"/>
      <c r="AW1814" s="156"/>
      <c r="AX1814" s="156"/>
      <c r="AY1814" s="156"/>
      <c r="AZ1814" s="156"/>
      <c r="BA1814" s="156"/>
      <c r="BB1814" s="2905"/>
      <c r="BC1814" s="2357" t="str">
        <f t="shared" si="336"/>
        <v>Cooling Res ER2 12 Year EUL</v>
      </c>
      <c r="BD1814" s="2829">
        <f>(INDEX('Avoided Cost Benefits'!$E$4:$E$859,MATCH(BC1814,'Avoided Cost Benefits'!$A$4:$A$859,0)))*F1814</f>
        <v>333.01030403801872</v>
      </c>
      <c r="BE1814" s="858">
        <f t="shared" si="332"/>
        <v>0</v>
      </c>
      <c r="BF1814" s="156"/>
      <c r="BH1814" s="686"/>
    </row>
    <row r="1815" spans="1:60" x14ac:dyDescent="0.35">
      <c r="A1815" s="1071" t="str">
        <f t="shared" si="334"/>
        <v>354351_2021_12_Heating Res ER2</v>
      </c>
      <c r="B1815" s="2812"/>
      <c r="C1815" s="1037" t="str">
        <f>C1814</f>
        <v>354351_2021_12_</v>
      </c>
      <c r="D1815" s="1311" t="s">
        <v>315</v>
      </c>
      <c r="E1815" s="3419" t="s">
        <v>1413</v>
      </c>
      <c r="F1815" s="618">
        <f>ROUND((($K$2080*$K$2273*(1/$K$2466-1/$K$2659)*$K$3624)/1000)*$K$3677,2)</f>
        <v>335.85</v>
      </c>
      <c r="G1815" s="2810" t="str">
        <f t="shared" si="341"/>
        <v>Heating Res ER2</v>
      </c>
      <c r="H1815" s="2720">
        <f>VLOOKUP(G1815,'CP FACTORS'!$A$3:$B$38, 2, FALSE)</f>
        <v>0</v>
      </c>
      <c r="I1815" s="2995">
        <f t="shared" si="335"/>
        <v>0</v>
      </c>
      <c r="J1815" s="124">
        <f t="shared" si="339"/>
        <v>12</v>
      </c>
      <c r="K1815" s="462">
        <f t="shared" si="340"/>
        <v>0</v>
      </c>
      <c r="L1815" s="3496"/>
      <c r="M1815" s="103"/>
      <c r="N1815" s="1317"/>
      <c r="O1815" s="963"/>
      <c r="P1815" s="106"/>
      <c r="Q1815" s="106"/>
      <c r="R1815" s="1214"/>
      <c r="S1815" s="106"/>
      <c r="T1815" s="106"/>
      <c r="U1815" s="1319"/>
      <c r="V1815" s="3436" t="s">
        <v>30</v>
      </c>
      <c r="W1815" s="2914"/>
      <c r="X1815" s="685"/>
      <c r="Y1815" s="618">
        <v>219.07</v>
      </c>
      <c r="Z1815" s="615">
        <v>219.07</v>
      </c>
      <c r="AA1815" s="615">
        <v>219.07</v>
      </c>
      <c r="AB1815" s="3495">
        <v>219.07</v>
      </c>
      <c r="AC1815" s="618">
        <v>331.93</v>
      </c>
      <c r="AD1815" s="618">
        <v>335.85</v>
      </c>
      <c r="AE1815" s="2914"/>
      <c r="AF1815" s="2914"/>
      <c r="AG1815" s="2914"/>
      <c r="AH1815" s="344"/>
      <c r="AI1815" s="156"/>
      <c r="AJ1815" s="3640"/>
      <c r="AK1815" s="2915"/>
      <c r="AL1815" s="156"/>
      <c r="AM1815" s="3640"/>
      <c r="AN1815" s="3640"/>
      <c r="AO1815" s="156"/>
      <c r="AP1815" s="156"/>
      <c r="AQ1815" s="156"/>
      <c r="AR1815" s="156"/>
      <c r="AS1815" s="156"/>
      <c r="AT1815" s="156"/>
      <c r="AU1815" s="156"/>
      <c r="AV1815" s="156"/>
      <c r="AW1815" s="156"/>
      <c r="AX1815" s="156"/>
      <c r="AY1815" s="156"/>
      <c r="AZ1815" s="156"/>
      <c r="BA1815" s="156"/>
      <c r="BB1815" s="2905"/>
      <c r="BC1815" s="2349" t="str">
        <f t="shared" si="336"/>
        <v>Heating Res ER2 12 Year EUL</v>
      </c>
      <c r="BD1815" s="2829">
        <f>(INDEX('Avoided Cost Benefits'!$E$4:$E$859,MATCH(BC1815,'Avoided Cost Benefits'!$A$4:$A$859,0)))*F1815</f>
        <v>95.012828049708801</v>
      </c>
      <c r="BE1815" s="858">
        <f t="shared" si="332"/>
        <v>0</v>
      </c>
      <c r="BF1815" s="156"/>
      <c r="BH1815" s="686"/>
    </row>
    <row r="1816" spans="1:60" x14ac:dyDescent="0.35">
      <c r="A1816" s="1071" t="str">
        <f t="shared" si="334"/>
        <v>354400_2021_12_Cooling Res</v>
      </c>
      <c r="B1816" s="2812"/>
      <c r="C1816" s="1037" t="s">
        <v>1415</v>
      </c>
      <c r="D1816" s="1311" t="s">
        <v>318</v>
      </c>
      <c r="E1816" s="3418" t="s">
        <v>1416</v>
      </c>
      <c r="F1816" s="618">
        <f>ROUND(((K2853*K3046*(1/K3239-1/K3432)*K3625)/1000)*$K$3677,2)</f>
        <v>3279.14</v>
      </c>
      <c r="G1816" s="2810" t="s">
        <v>1091</v>
      </c>
      <c r="H1816" s="2720">
        <f>VLOOKUP(G1816,'CP FACTORS'!$A$3:$B$38, 2, FALSE)</f>
        <v>9.4741810000000004E-4</v>
      </c>
      <c r="I1816" s="2995">
        <f t="shared" si="335"/>
        <v>3.1067170000000002</v>
      </c>
      <c r="J1816" s="124">
        <f t="shared" si="339"/>
        <v>6</v>
      </c>
      <c r="K1816" s="462">
        <f t="shared" si="340"/>
        <v>2105.1914618743731</v>
      </c>
      <c r="L1816" s="3496">
        <f>L2081</f>
        <v>3.7731209149509808</v>
      </c>
      <c r="M1816" s="103"/>
      <c r="N1816" s="1317"/>
      <c r="O1816" s="963"/>
      <c r="P1816" s="106"/>
      <c r="Q1816" s="106"/>
      <c r="R1816" s="1214"/>
      <c r="S1816" s="106"/>
      <c r="T1816" s="106"/>
      <c r="U1816" s="1319"/>
      <c r="V1816" s="3436" t="s">
        <v>30</v>
      </c>
      <c r="W1816" s="2914">
        <v>3052.5306501547993</v>
      </c>
      <c r="X1816" s="685">
        <v>2179.3577810071401</v>
      </c>
      <c r="Y1816" s="615">
        <v>2179.36</v>
      </c>
      <c r="Z1816" s="615">
        <v>2179.36</v>
      </c>
      <c r="AA1816" s="615">
        <v>2179.36</v>
      </c>
      <c r="AB1816" s="3495">
        <v>2179.36</v>
      </c>
      <c r="AC1816" s="618">
        <v>2436.71</v>
      </c>
      <c r="AD1816" s="618">
        <v>3279.14</v>
      </c>
      <c r="AE1816" s="2914"/>
      <c r="AF1816" s="2914"/>
      <c r="AG1816" s="2914"/>
      <c r="AH1816" s="344"/>
      <c r="AI1816" s="156"/>
      <c r="AJ1816" s="3640"/>
      <c r="AK1816" s="2915"/>
      <c r="AL1816" s="156"/>
      <c r="AM1816" s="3640"/>
      <c r="AN1816" s="3640"/>
      <c r="AO1816" s="156"/>
      <c r="AP1816" s="156"/>
      <c r="AQ1816" s="156"/>
      <c r="AR1816" s="156"/>
      <c r="AS1816" s="156"/>
      <c r="AT1816" s="156"/>
      <c r="AU1816" s="156"/>
      <c r="AV1816" s="156"/>
      <c r="AW1816" s="156"/>
      <c r="AX1816" s="156"/>
      <c r="AY1816" s="156"/>
      <c r="AZ1816" s="156"/>
      <c r="BA1816" s="156"/>
      <c r="BB1816" s="2833">
        <f>(BD1816+BD1817+BD1818+BD1819)/(BE1816+BE1817+BE1818+BE1819)</f>
        <v>4.5396246064547761</v>
      </c>
      <c r="BC1816" s="2348" t="str">
        <f t="shared" si="336"/>
        <v>Cooling Res 6 Year EUL</v>
      </c>
      <c r="BD1816" s="2829">
        <f>(INDEX('Avoided Cost Benefits'!$E$4:$E$859,MATCH(BC1816,'Avoided Cost Benefits'!$A$4:$A$859,0)))*F1816</f>
        <v>2077.7024186364192</v>
      </c>
      <c r="BE1816" s="858">
        <f t="shared" ref="BE1816:BE1879" si="342">K1816/(1.0595^(2020-2019))</f>
        <v>1986.9669295652411</v>
      </c>
      <c r="BF1816" s="156"/>
      <c r="BH1816" s="686"/>
    </row>
    <row r="1817" spans="1:60" x14ac:dyDescent="0.35">
      <c r="A1817" s="1071" t="str">
        <f t="shared" si="334"/>
        <v>354400_2021_12_Heating Res</v>
      </c>
      <c r="B1817" s="2812"/>
      <c r="C1817" s="1037" t="s">
        <v>1415</v>
      </c>
      <c r="D1817" s="1311" t="s">
        <v>318</v>
      </c>
      <c r="E1817" s="3420" t="s">
        <v>1416</v>
      </c>
      <c r="F1817" s="618">
        <f>ROUND(((K2081*K2274*(1/K2467-1/K2660)*K3625)/1000)*$K$3677,2)</f>
        <v>12962.58</v>
      </c>
      <c r="G1817" s="2810" t="s">
        <v>1092</v>
      </c>
      <c r="H1817" s="2720">
        <f>VLOOKUP(G1817,'CP FACTORS'!$A$3:$B$38, 2, FALSE)</f>
        <v>0</v>
      </c>
      <c r="I1817" s="2995">
        <f t="shared" si="335"/>
        <v>0</v>
      </c>
      <c r="J1817" s="124">
        <f t="shared" si="339"/>
        <v>6</v>
      </c>
      <c r="K1817" s="462">
        <f t="shared" si="340"/>
        <v>0</v>
      </c>
      <c r="L1817" s="3496"/>
      <c r="M1817" s="103"/>
      <c r="N1817" s="1317"/>
      <c r="O1817" s="963"/>
      <c r="P1817" s="106"/>
      <c r="Q1817" s="106"/>
      <c r="R1817" s="1214"/>
      <c r="S1817" s="106"/>
      <c r="T1817" s="106"/>
      <c r="U1817" s="1319"/>
      <c r="V1817" s="3436" t="s">
        <v>30</v>
      </c>
      <c r="W1817" s="2914">
        <v>13965.852998065762</v>
      </c>
      <c r="X1817" s="685">
        <v>10399.659574468084</v>
      </c>
      <c r="Y1817" s="615">
        <v>10399.66</v>
      </c>
      <c r="Z1817" s="615">
        <v>10399.66</v>
      </c>
      <c r="AA1817" s="615">
        <v>10399.66</v>
      </c>
      <c r="AB1817" s="3495">
        <v>10399.66</v>
      </c>
      <c r="AC1817" s="618">
        <v>12553.53</v>
      </c>
      <c r="AD1817" s="618">
        <v>12962.58</v>
      </c>
      <c r="AE1817" s="2914"/>
      <c r="AF1817" s="2914"/>
      <c r="AG1817" s="2914"/>
      <c r="AH1817" s="344"/>
      <c r="AI1817" s="156"/>
      <c r="AJ1817" s="3640"/>
      <c r="AK1817" s="2915"/>
      <c r="AL1817" s="156"/>
      <c r="AM1817" s="3640"/>
      <c r="AN1817" s="3640"/>
      <c r="AO1817" s="156"/>
      <c r="AP1817" s="156"/>
      <c r="AQ1817" s="156"/>
      <c r="AR1817" s="156"/>
      <c r="AS1817" s="156"/>
      <c r="AT1817" s="156"/>
      <c r="AU1817" s="156"/>
      <c r="AV1817" s="156"/>
      <c r="AW1817" s="156"/>
      <c r="AX1817" s="156"/>
      <c r="AY1817" s="156"/>
      <c r="AZ1817" s="156"/>
      <c r="BA1817" s="156"/>
      <c r="BB1817" s="2905"/>
      <c r="BC1817" s="2357" t="str">
        <f t="shared" si="336"/>
        <v>Heating Res 6 Year EUL</v>
      </c>
      <c r="BD1817" s="2829">
        <f>(INDEX('Avoided Cost Benefits'!$E$4:$E$859,MATCH(BC1817,'Avoided Cost Benefits'!$A$4:$A$859,0)))*F1817</f>
        <v>2112.13818972543</v>
      </c>
      <c r="BE1817" s="858">
        <f t="shared" si="342"/>
        <v>0</v>
      </c>
      <c r="BF1817" s="156"/>
      <c r="BH1817" s="686"/>
    </row>
    <row r="1818" spans="1:60" x14ac:dyDescent="0.35">
      <c r="A1818" s="1071" t="str">
        <f t="shared" si="334"/>
        <v>354400_2021_12_Cooling Res ER2</v>
      </c>
      <c r="B1818" s="2812"/>
      <c r="C1818" s="1037" t="s">
        <v>1415</v>
      </c>
      <c r="D1818" s="1311" t="s">
        <v>318</v>
      </c>
      <c r="E1818" s="3420" t="s">
        <v>1417</v>
      </c>
      <c r="F1818" s="618">
        <f>ROUND(((K2854*K3047*(1/K3240-1/K3433)*K3626)/1000)*$K$3677,2)</f>
        <v>1051.1199999999999</v>
      </c>
      <c r="G1818" s="2810" t="s">
        <v>1133</v>
      </c>
      <c r="H1818" s="2720">
        <f>VLOOKUP(G1818,'CP FACTORS'!$A$3:$B$38, 2, FALSE)</f>
        <v>9.4741810000000004E-4</v>
      </c>
      <c r="I1818" s="2995">
        <f t="shared" si="335"/>
        <v>0.99585000000000001</v>
      </c>
      <c r="J1818" s="124">
        <f t="shared" si="339"/>
        <v>12</v>
      </c>
      <c r="K1818" s="462">
        <f t="shared" si="340"/>
        <v>0</v>
      </c>
      <c r="L1818" s="3496"/>
      <c r="M1818" s="103"/>
      <c r="N1818" s="1317"/>
      <c r="O1818" s="963"/>
      <c r="P1818" s="106"/>
      <c r="Q1818" s="106"/>
      <c r="R1818" s="1214"/>
      <c r="S1818" s="106"/>
      <c r="T1818" s="106"/>
      <c r="U1818" s="1319"/>
      <c r="V1818" s="3436" t="s">
        <v>30</v>
      </c>
      <c r="W1818" s="2914">
        <v>785.26639676113382</v>
      </c>
      <c r="X1818" s="688">
        <v>785.26639676113382</v>
      </c>
      <c r="Y1818" s="615">
        <v>785.27</v>
      </c>
      <c r="Z1818" s="615">
        <v>785.27</v>
      </c>
      <c r="AA1818" s="615">
        <v>785.27</v>
      </c>
      <c r="AB1818" s="3495">
        <v>785.27</v>
      </c>
      <c r="AC1818" s="618">
        <v>924.84</v>
      </c>
      <c r="AD1818" s="618">
        <v>1051.1199999999999</v>
      </c>
      <c r="AE1818" s="2914"/>
      <c r="AF1818" s="2914"/>
      <c r="AG1818" s="2914"/>
      <c r="AH1818" s="344"/>
      <c r="AI1818" s="156"/>
      <c r="AJ1818" s="3640"/>
      <c r="AK1818" s="2915"/>
      <c r="AL1818" s="156"/>
      <c r="AM1818" s="3640"/>
      <c r="AN1818" s="3640"/>
      <c r="AO1818" s="156"/>
      <c r="AP1818" s="156"/>
      <c r="AQ1818" s="156"/>
      <c r="AR1818" s="156"/>
      <c r="AS1818" s="156"/>
      <c r="AT1818" s="156"/>
      <c r="AU1818" s="156"/>
      <c r="AV1818" s="156"/>
      <c r="AW1818" s="156"/>
      <c r="AX1818" s="156"/>
      <c r="AY1818" s="156"/>
      <c r="AZ1818" s="156"/>
      <c r="BA1818" s="156"/>
      <c r="BB1818" s="2905"/>
      <c r="BC1818" s="2357" t="str">
        <f t="shared" si="336"/>
        <v>Cooling Res ER2 12 Year EUL</v>
      </c>
      <c r="BD1818" s="2829">
        <f>(INDEX('Avoided Cost Benefits'!$E$4:$E$859,MATCH(BC1818,'Avoided Cost Benefits'!$A$4:$A$859,0)))*F1818</f>
        <v>1163.0961647464435</v>
      </c>
      <c r="BE1818" s="858">
        <f t="shared" si="342"/>
        <v>0</v>
      </c>
      <c r="BF1818" s="156"/>
      <c r="BH1818" s="686"/>
    </row>
    <row r="1819" spans="1:60" x14ac:dyDescent="0.35">
      <c r="A1819" s="1071" t="str">
        <f t="shared" si="334"/>
        <v>354400_2021_12_Heating Res ER2</v>
      </c>
      <c r="B1819" s="2812"/>
      <c r="C1819" s="1037" t="s">
        <v>1415</v>
      </c>
      <c r="D1819" s="1311" t="s">
        <v>318</v>
      </c>
      <c r="E1819" s="3425" t="s">
        <v>1417</v>
      </c>
      <c r="F1819" s="618">
        <f>ROUND(((K2082*K2275*(1/K2468-1/K2661)*K3626)/1000)*$K$3677,2)</f>
        <v>12962.58</v>
      </c>
      <c r="G1819" s="2810" t="s">
        <v>1150</v>
      </c>
      <c r="H1819" s="2720">
        <f>VLOOKUP(G1819,'CP FACTORS'!$A$3:$B$38, 2, FALSE)</f>
        <v>0</v>
      </c>
      <c r="I1819" s="2995">
        <f t="shared" si="335"/>
        <v>0</v>
      </c>
      <c r="J1819" s="124">
        <f t="shared" si="339"/>
        <v>12</v>
      </c>
      <c r="K1819" s="462">
        <f t="shared" si="340"/>
        <v>0</v>
      </c>
      <c r="L1819" s="3496"/>
      <c r="M1819" s="103"/>
      <c r="N1819" s="1317"/>
      <c r="O1819" s="963"/>
      <c r="P1819" s="106"/>
      <c r="Q1819" s="106"/>
      <c r="R1819" s="1214"/>
      <c r="S1819" s="106"/>
      <c r="T1819" s="106"/>
      <c r="U1819" s="1319"/>
      <c r="V1819" s="3436" t="s">
        <v>30</v>
      </c>
      <c r="W1819" s="2914">
        <v>13965.852998065762</v>
      </c>
      <c r="X1819" s="685">
        <v>10399.659574468084</v>
      </c>
      <c r="Y1819" s="615">
        <v>10399.66</v>
      </c>
      <c r="Z1819" s="615">
        <v>10399.66</v>
      </c>
      <c r="AA1819" s="615">
        <v>10399.66</v>
      </c>
      <c r="AB1819" s="3495">
        <v>10399.66</v>
      </c>
      <c r="AC1819" s="618">
        <v>12553.53</v>
      </c>
      <c r="AD1819" s="618">
        <v>12962.58</v>
      </c>
      <c r="AE1819" s="2914"/>
      <c r="AF1819" s="2914"/>
      <c r="AG1819" s="2914"/>
      <c r="AH1819" s="344"/>
      <c r="AI1819" s="156"/>
      <c r="AJ1819" s="3640"/>
      <c r="AK1819" s="2915"/>
      <c r="AL1819" s="156"/>
      <c r="AM1819" s="3640"/>
      <c r="AN1819" s="3640"/>
      <c r="AO1819" s="156"/>
      <c r="AP1819" s="156"/>
      <c r="AQ1819" s="156"/>
      <c r="AR1819" s="156"/>
      <c r="AS1819" s="156"/>
      <c r="AT1819" s="156"/>
      <c r="AU1819" s="156"/>
      <c r="AV1819" s="156"/>
      <c r="AW1819" s="156"/>
      <c r="AX1819" s="156"/>
      <c r="AY1819" s="156"/>
      <c r="AZ1819" s="156"/>
      <c r="BA1819" s="156"/>
      <c r="BB1819" s="2905"/>
      <c r="BC1819" s="579" t="str">
        <f t="shared" si="336"/>
        <v>Heating Res ER2 12 Year EUL</v>
      </c>
      <c r="BD1819" s="2829">
        <f>(INDEX('Avoided Cost Benefits'!$E$4:$E$859,MATCH(BC1819,'Avoided Cost Benefits'!$A$4:$A$859,0)))*F1819</f>
        <v>3667.1471925579704</v>
      </c>
      <c r="BE1819" s="858">
        <f t="shared" si="342"/>
        <v>0</v>
      </c>
      <c r="BF1819" s="156"/>
      <c r="BH1819" s="686"/>
    </row>
    <row r="1820" spans="1:60" x14ac:dyDescent="0.35">
      <c r="A1820" s="1071" t="str">
        <f t="shared" si="334"/>
        <v>354410_2021_12_Cooling Res</v>
      </c>
      <c r="B1820" s="2812"/>
      <c r="C1820" s="1037" t="s">
        <v>1418</v>
      </c>
      <c r="D1820" s="1311" t="s">
        <v>318</v>
      </c>
      <c r="E1820" s="578" t="s">
        <v>1419</v>
      </c>
      <c r="F1820" s="615">
        <f>ROUND(((K2855*K3048*(1/K3241-1/K3434)*K3627)/1000)*$K$3677,2)</f>
        <v>2436.71</v>
      </c>
      <c r="G1820" s="1313" t="s">
        <v>1091</v>
      </c>
      <c r="H1820" s="136">
        <f>VLOOKUP(G1820,'CP FACTORS'!$A$3:$B$38, 2, FALSE)</f>
        <v>9.4741810000000004E-4</v>
      </c>
      <c r="I1820" s="3497">
        <f t="shared" si="335"/>
        <v>2.3085830000000001</v>
      </c>
      <c r="J1820" s="124">
        <f t="shared" si="339"/>
        <v>6</v>
      </c>
      <c r="K1820" s="462">
        <f t="shared" si="340"/>
        <v>2063.8263197906699</v>
      </c>
      <c r="L1820" s="3496">
        <f>L2083</f>
        <v>3.6</v>
      </c>
      <c r="M1820" s="103"/>
      <c r="N1820" s="1317"/>
      <c r="O1820" s="963"/>
      <c r="P1820" s="106"/>
      <c r="Q1820" s="106"/>
      <c r="R1820" s="1214"/>
      <c r="S1820" s="106"/>
      <c r="T1820" s="106"/>
      <c r="U1820" s="1319"/>
      <c r="V1820" s="1590" t="s">
        <v>30</v>
      </c>
      <c r="W1820" s="2914"/>
      <c r="X1820" s="685"/>
      <c r="Y1820" s="615"/>
      <c r="Z1820" s="615"/>
      <c r="AA1820" s="615"/>
      <c r="AB1820" s="3495"/>
      <c r="AC1820" s="618">
        <v>2436.71</v>
      </c>
      <c r="AD1820" s="615">
        <v>2436.71</v>
      </c>
      <c r="AE1820" s="2914"/>
      <c r="AF1820" s="2914"/>
      <c r="AG1820" s="2914"/>
      <c r="AH1820" s="344"/>
      <c r="AI1820" s="156"/>
      <c r="AJ1820" s="3640"/>
      <c r="AK1820" s="2915"/>
      <c r="AL1820" s="156"/>
      <c r="AM1820" s="3640"/>
      <c r="AN1820" s="3640"/>
      <c r="AO1820" s="156"/>
      <c r="AP1820" s="156"/>
      <c r="AQ1820" s="156"/>
      <c r="AR1820" s="156"/>
      <c r="AS1820" s="156"/>
      <c r="AT1820" s="156"/>
      <c r="AU1820" s="156"/>
      <c r="AV1820" s="156"/>
      <c r="AW1820" s="156"/>
      <c r="AX1820" s="156"/>
      <c r="AY1820" s="156"/>
      <c r="AZ1820" s="156"/>
      <c r="BA1820" s="156"/>
      <c r="BB1820" s="2741">
        <f>(BD1820+BD1821+BD1822+BD1823)/(BE1820+BE1821+BE1822+BE1823)</f>
        <v>1.317962681036789</v>
      </c>
      <c r="BC1820" s="577" t="str">
        <f t="shared" si="336"/>
        <v>Cooling Res 6 Year EUL</v>
      </c>
      <c r="BD1820" s="1841">
        <f>(INDEX('Avoided Cost Benefits'!$E$4:$E$859,MATCH(BC1820,'Avoided Cost Benefits'!$A$4:$A$859,0)))*F1820</f>
        <v>1543.9286704793174</v>
      </c>
      <c r="BE1820" s="2507">
        <f t="shared" si="342"/>
        <v>1947.9247945169134</v>
      </c>
      <c r="BF1820" s="156"/>
      <c r="BH1820" s="686"/>
    </row>
    <row r="1821" spans="1:60" x14ac:dyDescent="0.35">
      <c r="A1821" s="1071" t="str">
        <f t="shared" si="334"/>
        <v>354410_2021_12_Heating Res</v>
      </c>
      <c r="B1821" s="2812"/>
      <c r="C1821" s="1037" t="s">
        <v>1418</v>
      </c>
      <c r="D1821" s="1311" t="s">
        <v>318</v>
      </c>
      <c r="E1821" s="578" t="s">
        <v>1419</v>
      </c>
      <c r="F1821" s="615">
        <v>0</v>
      </c>
      <c r="G1821" s="1313" t="s">
        <v>1092</v>
      </c>
      <c r="H1821" s="136">
        <f>VLOOKUP(G1821,'CP FACTORS'!$A$3:$B$38, 2, FALSE)</f>
        <v>0</v>
      </c>
      <c r="I1821" s="3497">
        <f t="shared" si="335"/>
        <v>0</v>
      </c>
      <c r="J1821" s="124">
        <f t="shared" si="339"/>
        <v>6</v>
      </c>
      <c r="K1821" s="462">
        <f t="shared" si="340"/>
        <v>0</v>
      </c>
      <c r="L1821" s="3496"/>
      <c r="M1821" s="103"/>
      <c r="N1821" s="1317"/>
      <c r="O1821" s="963"/>
      <c r="P1821" s="106"/>
      <c r="Q1821" s="106"/>
      <c r="R1821" s="1214"/>
      <c r="S1821" s="106"/>
      <c r="T1821" s="106"/>
      <c r="U1821" s="1319"/>
      <c r="V1821" s="1590" t="s">
        <v>30</v>
      </c>
      <c r="W1821" s="2914"/>
      <c r="X1821" s="685"/>
      <c r="Y1821" s="615"/>
      <c r="Z1821" s="615"/>
      <c r="AA1821" s="615"/>
      <c r="AB1821" s="3495"/>
      <c r="AC1821" s="618">
        <v>0</v>
      </c>
      <c r="AD1821" s="615">
        <v>0</v>
      </c>
      <c r="AE1821" s="2914"/>
      <c r="AF1821" s="2914"/>
      <c r="AG1821" s="2914"/>
      <c r="AH1821" s="344"/>
      <c r="AI1821" s="156"/>
      <c r="AJ1821" s="3640"/>
      <c r="AK1821" s="2915"/>
      <c r="AL1821" s="156"/>
      <c r="AM1821" s="3640"/>
      <c r="AN1821" s="3640"/>
      <c r="AO1821" s="156"/>
      <c r="AP1821" s="156"/>
      <c r="AQ1821" s="156"/>
      <c r="AR1821" s="156"/>
      <c r="AS1821" s="156"/>
      <c r="AT1821" s="156"/>
      <c r="AU1821" s="156"/>
      <c r="AV1821" s="156"/>
      <c r="AW1821" s="156"/>
      <c r="AX1821" s="156"/>
      <c r="AY1821" s="156"/>
      <c r="AZ1821" s="156"/>
      <c r="BA1821" s="156"/>
      <c r="BB1821" s="2743"/>
      <c r="BC1821" s="577" t="str">
        <f t="shared" si="336"/>
        <v>Heating Res 6 Year EUL</v>
      </c>
      <c r="BD1821" s="1841">
        <f>(INDEX('Avoided Cost Benefits'!$E$4:$E$859,MATCH(BC1821,'Avoided Cost Benefits'!$A$4:$A$859,0)))*F1821</f>
        <v>0</v>
      </c>
      <c r="BE1821" s="2507">
        <f t="shared" si="342"/>
        <v>0</v>
      </c>
      <c r="BF1821" s="156"/>
      <c r="BH1821" s="686"/>
    </row>
    <row r="1822" spans="1:60" x14ac:dyDescent="0.35">
      <c r="A1822" s="1071" t="str">
        <f t="shared" si="334"/>
        <v>354410_2021_12_Cooling Res ER2</v>
      </c>
      <c r="B1822" s="2812"/>
      <c r="C1822" s="1037" t="s">
        <v>1418</v>
      </c>
      <c r="D1822" s="1311" t="s">
        <v>318</v>
      </c>
      <c r="E1822" s="578" t="s">
        <v>1420</v>
      </c>
      <c r="F1822" s="615">
        <f>ROUND(((K2856*K3049*(1/K3242-1/K3435)*K3628)/1000)*$K$3677,2)</f>
        <v>924.84</v>
      </c>
      <c r="G1822" s="1313" t="s">
        <v>1133</v>
      </c>
      <c r="H1822" s="136">
        <f>VLOOKUP(G1822,'CP FACTORS'!$A$3:$B$38, 2, FALSE)</f>
        <v>9.4741810000000004E-4</v>
      </c>
      <c r="I1822" s="3497">
        <f t="shared" si="335"/>
        <v>0.87621000000000004</v>
      </c>
      <c r="J1822" s="124">
        <f t="shared" si="339"/>
        <v>12</v>
      </c>
      <c r="K1822" s="462">
        <f t="shared" si="340"/>
        <v>0</v>
      </c>
      <c r="L1822" s="3496"/>
      <c r="M1822" s="103"/>
      <c r="N1822" s="1317"/>
      <c r="O1822" s="963"/>
      <c r="P1822" s="106"/>
      <c r="Q1822" s="106"/>
      <c r="R1822" s="1214"/>
      <c r="S1822" s="106"/>
      <c r="T1822" s="106"/>
      <c r="U1822" s="1319"/>
      <c r="V1822" s="1590" t="s">
        <v>30</v>
      </c>
      <c r="W1822" s="2914"/>
      <c r="X1822" s="685"/>
      <c r="Y1822" s="615"/>
      <c r="Z1822" s="615"/>
      <c r="AA1822" s="615"/>
      <c r="AB1822" s="3495"/>
      <c r="AC1822" s="618">
        <v>924.84</v>
      </c>
      <c r="AD1822" s="615">
        <v>924.84</v>
      </c>
      <c r="AE1822" s="2914"/>
      <c r="AF1822" s="2914"/>
      <c r="AG1822" s="2914"/>
      <c r="AH1822" s="344"/>
      <c r="AI1822" s="156"/>
      <c r="AJ1822" s="3640"/>
      <c r="AK1822" s="2915"/>
      <c r="AL1822" s="156"/>
      <c r="AM1822" s="3640"/>
      <c r="AN1822" s="3640"/>
      <c r="AO1822" s="156"/>
      <c r="AP1822" s="156"/>
      <c r="AQ1822" s="156"/>
      <c r="AR1822" s="156"/>
      <c r="AS1822" s="156"/>
      <c r="AT1822" s="156"/>
      <c r="AU1822" s="156"/>
      <c r="AV1822" s="156"/>
      <c r="AW1822" s="156"/>
      <c r="AX1822" s="156"/>
      <c r="AY1822" s="156"/>
      <c r="AZ1822" s="156"/>
      <c r="BA1822" s="156"/>
      <c r="BB1822" s="2743"/>
      <c r="BC1822" s="577" t="str">
        <f t="shared" si="336"/>
        <v>Cooling Res ER2 12 Year EUL</v>
      </c>
      <c r="BD1822" s="1841">
        <f>(INDEX('Avoided Cost Benefits'!$E$4:$E$859,MATCH(BC1822,'Avoided Cost Benefits'!$A$4:$A$859,0)))*F1822</f>
        <v>1023.3635141602301</v>
      </c>
      <c r="BE1822" s="2507">
        <f t="shared" si="342"/>
        <v>0</v>
      </c>
      <c r="BF1822" s="156"/>
      <c r="BH1822" s="686"/>
    </row>
    <row r="1823" spans="1:60" x14ac:dyDescent="0.35">
      <c r="A1823" s="1071" t="str">
        <f t="shared" si="334"/>
        <v>354410_2021_12_Heating Res ER2</v>
      </c>
      <c r="B1823" s="2812"/>
      <c r="C1823" s="1037" t="s">
        <v>1418</v>
      </c>
      <c r="D1823" s="1311" t="s">
        <v>318</v>
      </c>
      <c r="E1823" s="578" t="s">
        <v>1420</v>
      </c>
      <c r="F1823" s="615">
        <f>0</f>
        <v>0</v>
      </c>
      <c r="G1823" s="1313" t="s">
        <v>1150</v>
      </c>
      <c r="H1823" s="136">
        <f>VLOOKUP(G1823,'CP FACTORS'!$A$3:$B$38, 2, FALSE)</f>
        <v>0</v>
      </c>
      <c r="I1823" s="3497">
        <f t="shared" si="335"/>
        <v>0</v>
      </c>
      <c r="J1823" s="124">
        <f t="shared" si="339"/>
        <v>12</v>
      </c>
      <c r="K1823" s="462">
        <f t="shared" si="340"/>
        <v>0</v>
      </c>
      <c r="L1823" s="3496"/>
      <c r="M1823" s="103"/>
      <c r="N1823" s="1317"/>
      <c r="O1823" s="963"/>
      <c r="P1823" s="106"/>
      <c r="Q1823" s="106"/>
      <c r="R1823" s="1214"/>
      <c r="S1823" s="106"/>
      <c r="T1823" s="106"/>
      <c r="U1823" s="1319"/>
      <c r="V1823" s="1590" t="s">
        <v>30</v>
      </c>
      <c r="W1823" s="2914"/>
      <c r="X1823" s="685"/>
      <c r="Y1823" s="615"/>
      <c r="Z1823" s="615"/>
      <c r="AA1823" s="615"/>
      <c r="AB1823" s="3495"/>
      <c r="AC1823" s="618">
        <v>0</v>
      </c>
      <c r="AD1823" s="615">
        <v>0</v>
      </c>
      <c r="AE1823" s="2914"/>
      <c r="AF1823" s="2914"/>
      <c r="AG1823" s="2914"/>
      <c r="AH1823" s="344"/>
      <c r="AI1823" s="156"/>
      <c r="AJ1823" s="3640"/>
      <c r="AK1823" s="2915"/>
      <c r="AL1823" s="156"/>
      <c r="AM1823" s="3640"/>
      <c r="AN1823" s="3640"/>
      <c r="AO1823" s="156"/>
      <c r="AP1823" s="156"/>
      <c r="AQ1823" s="156"/>
      <c r="AR1823" s="156"/>
      <c r="AS1823" s="156"/>
      <c r="AT1823" s="156"/>
      <c r="AU1823" s="156"/>
      <c r="AV1823" s="156"/>
      <c r="AW1823" s="156"/>
      <c r="AX1823" s="156"/>
      <c r="AY1823" s="156"/>
      <c r="AZ1823" s="156"/>
      <c r="BA1823" s="156"/>
      <c r="BB1823" s="2743"/>
      <c r="BC1823" s="577" t="str">
        <f t="shared" si="336"/>
        <v>Heating Res ER2 12 Year EUL</v>
      </c>
      <c r="BD1823" s="1841">
        <f>(INDEX('Avoided Cost Benefits'!$E$4:$E$859,MATCH(BC1823,'Avoided Cost Benefits'!$A$4:$A$859,0)))*F1823</f>
        <v>0</v>
      </c>
      <c r="BE1823" s="2507">
        <f t="shared" si="342"/>
        <v>0</v>
      </c>
      <c r="BF1823" s="156"/>
      <c r="BH1823" s="686"/>
    </row>
    <row r="1824" spans="1:60" x14ac:dyDescent="0.35">
      <c r="A1824" s="1071" t="str">
        <f t="shared" si="334"/>
        <v>354450_2019_12_Cooling Res</v>
      </c>
      <c r="B1824" s="2812"/>
      <c r="C1824" s="1037" t="s">
        <v>1421</v>
      </c>
      <c r="D1824" s="1311" t="s">
        <v>320</v>
      </c>
      <c r="E1824" s="3418" t="s">
        <v>1422</v>
      </c>
      <c r="F1824" s="615">
        <f>ROUND(((K2857*K3050*(1/K3243-1/K3436)*K3629)/1000)*$K$3677,2)</f>
        <v>1416.58</v>
      </c>
      <c r="G1824" s="1313" t="s">
        <v>1091</v>
      </c>
      <c r="H1824" s="136">
        <f>VLOOKUP(G1824,'CP FACTORS'!$A$3:$B$38, 2, FALSE)</f>
        <v>9.4741810000000004E-4</v>
      </c>
      <c r="I1824" s="3497">
        <f t="shared" si="335"/>
        <v>1.3420939999999999</v>
      </c>
      <c r="J1824" s="124">
        <f t="shared" si="339"/>
        <v>6</v>
      </c>
      <c r="K1824" s="462">
        <f t="shared" si="340"/>
        <v>1685.1098012161674</v>
      </c>
      <c r="L1824" s="689">
        <f>L2085</f>
        <v>3.1</v>
      </c>
      <c r="M1824" s="103"/>
      <c r="N1824" s="1317"/>
      <c r="O1824" s="963"/>
      <c r="P1824" s="106"/>
      <c r="Q1824" s="106"/>
      <c r="R1824" s="1214"/>
      <c r="S1824" s="106"/>
      <c r="T1824" s="106"/>
      <c r="U1824" s="1319"/>
      <c r="V1824" s="3436" t="s">
        <v>30</v>
      </c>
      <c r="W1824" s="2914">
        <v>1984.1449226006196</v>
      </c>
      <c r="X1824" s="685">
        <v>1416.5825576546411</v>
      </c>
      <c r="Y1824" s="615">
        <v>1416.58</v>
      </c>
      <c r="Z1824" s="615">
        <v>1416.58</v>
      </c>
      <c r="AA1824" s="615">
        <v>1416.58</v>
      </c>
      <c r="AB1824" s="3495">
        <v>1416.58</v>
      </c>
      <c r="AC1824" s="2912">
        <v>1416.58</v>
      </c>
      <c r="AD1824" s="615">
        <v>1416.58</v>
      </c>
      <c r="AE1824" s="2914"/>
      <c r="AF1824" s="2914"/>
      <c r="AG1824" s="2914"/>
      <c r="AH1824" s="344"/>
      <c r="AI1824" s="156"/>
      <c r="AJ1824" s="3640"/>
      <c r="AK1824" s="2915"/>
      <c r="AL1824" s="156"/>
      <c r="AM1824" s="3640"/>
      <c r="AN1824" s="3640"/>
      <c r="AO1824" s="156"/>
      <c r="AP1824" s="156"/>
      <c r="AQ1824" s="156"/>
      <c r="AR1824" s="156"/>
      <c r="AS1824" s="156"/>
      <c r="AT1824" s="156"/>
      <c r="AU1824" s="156"/>
      <c r="AV1824" s="156"/>
      <c r="AW1824" s="156"/>
      <c r="AX1824" s="156"/>
      <c r="AY1824" s="156"/>
      <c r="AZ1824" s="156"/>
      <c r="BA1824" s="156"/>
      <c r="BB1824" s="2833">
        <f>(BD1824+BD1825+BD1826+BD1827)/(BE1824+BE1825+BE1826+BE1827)</f>
        <v>2.8143535214218427</v>
      </c>
      <c r="BC1824" s="2348" t="str">
        <f t="shared" si="336"/>
        <v>Cooling Res 6 Year EUL</v>
      </c>
      <c r="BD1824" s="2829">
        <f>(INDEX('Avoided Cost Benefits'!$E$4:$E$859,MATCH(BC1824,'Avoided Cost Benefits'!$A$4:$A$859,0)))*F1824</f>
        <v>897.56207182126366</v>
      </c>
      <c r="BE1824" s="858">
        <f t="shared" si="342"/>
        <v>1590.4764523040749</v>
      </c>
      <c r="BF1824" s="156"/>
      <c r="BH1824" s="686"/>
    </row>
    <row r="1825" spans="1:60" x14ac:dyDescent="0.35">
      <c r="A1825" s="1071" t="str">
        <f t="shared" si="334"/>
        <v>354450_2019_12_Heating Res</v>
      </c>
      <c r="B1825" s="2812"/>
      <c r="C1825" s="1037" t="s">
        <v>1421</v>
      </c>
      <c r="D1825" s="1311" t="s">
        <v>320</v>
      </c>
      <c r="E1825" s="3420" t="s">
        <v>1422</v>
      </c>
      <c r="F1825" s="615">
        <f>ROUND(((K2085*K2278*(1/K2471-1/K2664)*K3629)/1000)*$K$3677,2)</f>
        <v>6759.78</v>
      </c>
      <c r="G1825" s="1313" t="s">
        <v>1092</v>
      </c>
      <c r="H1825" s="136">
        <f>VLOOKUP(G1825,'CP FACTORS'!$A$3:$B$38, 2, FALSE)</f>
        <v>0</v>
      </c>
      <c r="I1825" s="3497">
        <f t="shared" si="335"/>
        <v>0</v>
      </c>
      <c r="J1825" s="124">
        <f t="shared" si="339"/>
        <v>6</v>
      </c>
      <c r="K1825" s="462">
        <f t="shared" si="340"/>
        <v>0</v>
      </c>
      <c r="L1825" s="689"/>
      <c r="M1825" s="103"/>
      <c r="N1825" s="1317"/>
      <c r="O1825" s="963"/>
      <c r="P1825" s="106"/>
      <c r="Q1825" s="106"/>
      <c r="R1825" s="1214"/>
      <c r="S1825" s="106"/>
      <c r="T1825" s="106"/>
      <c r="U1825" s="1319"/>
      <c r="V1825" s="3436" t="s">
        <v>30</v>
      </c>
      <c r="W1825" s="2914">
        <v>9077.8044487427451</v>
      </c>
      <c r="X1825" s="685">
        <v>6759.7787234042544</v>
      </c>
      <c r="Y1825" s="615">
        <v>6759.78</v>
      </c>
      <c r="Z1825" s="615">
        <v>6759.78</v>
      </c>
      <c r="AA1825" s="615">
        <v>6759.78</v>
      </c>
      <c r="AB1825" s="3495">
        <v>6759.78</v>
      </c>
      <c r="AC1825" s="2912">
        <v>6759.78</v>
      </c>
      <c r="AD1825" s="615">
        <v>6759.78</v>
      </c>
      <c r="AE1825" s="2914"/>
      <c r="AF1825" s="2914"/>
      <c r="AG1825" s="2914"/>
      <c r="AH1825" s="344"/>
      <c r="AI1825" s="156"/>
      <c r="AJ1825" s="3640"/>
      <c r="AK1825" s="2915"/>
      <c r="AL1825" s="156"/>
      <c r="AM1825" s="3640"/>
      <c r="AN1825" s="3640"/>
      <c r="AO1825" s="156"/>
      <c r="AP1825" s="156"/>
      <c r="AQ1825" s="156"/>
      <c r="AR1825" s="156"/>
      <c r="AS1825" s="156"/>
      <c r="AT1825" s="156"/>
      <c r="AU1825" s="156"/>
      <c r="AV1825" s="156"/>
      <c r="AW1825" s="156"/>
      <c r="AX1825" s="156"/>
      <c r="AY1825" s="156"/>
      <c r="AZ1825" s="156"/>
      <c r="BA1825" s="156"/>
      <c r="BB1825" s="2905"/>
      <c r="BC1825" s="2357" t="str">
        <f t="shared" si="336"/>
        <v>Heating Res 6 Year EUL</v>
      </c>
      <c r="BD1825" s="2829">
        <f>(INDEX('Avoided Cost Benefits'!$E$4:$E$859,MATCH(BC1825,'Avoided Cost Benefits'!$A$4:$A$859,0)))*F1825</f>
        <v>1101.4465864158344</v>
      </c>
      <c r="BE1825" s="858">
        <f t="shared" si="342"/>
        <v>0</v>
      </c>
      <c r="BF1825" s="156"/>
      <c r="BH1825" s="686"/>
    </row>
    <row r="1826" spans="1:60" x14ac:dyDescent="0.35">
      <c r="A1826" s="1071" t="str">
        <f t="shared" si="334"/>
        <v>354450_2019_12_Cooling Res ER2</v>
      </c>
      <c r="B1826" s="2812"/>
      <c r="C1826" s="1037" t="s">
        <v>1421</v>
      </c>
      <c r="D1826" s="1311" t="s">
        <v>320</v>
      </c>
      <c r="E1826" s="3420" t="s">
        <v>1423</v>
      </c>
      <c r="F1826" s="615">
        <f>ROUND(((K2858*K3051*(1/K3244-1/K3437)*K3630)/1000)*$K$3677,2)</f>
        <v>510.42</v>
      </c>
      <c r="G1826" s="1313" t="s">
        <v>1133</v>
      </c>
      <c r="H1826" s="136">
        <f>VLOOKUP(G1826,'CP FACTORS'!$A$3:$B$38, 2, FALSE)</f>
        <v>9.4741810000000004E-4</v>
      </c>
      <c r="I1826" s="3497">
        <f t="shared" si="335"/>
        <v>0.48358099999999998</v>
      </c>
      <c r="J1826" s="124">
        <f t="shared" si="339"/>
        <v>12</v>
      </c>
      <c r="K1826" s="462">
        <f t="shared" si="340"/>
        <v>0</v>
      </c>
      <c r="L1826" s="689"/>
      <c r="M1826" s="103"/>
      <c r="N1826" s="1317"/>
      <c r="O1826" s="963"/>
      <c r="P1826" s="106"/>
      <c r="Q1826" s="106"/>
      <c r="R1826" s="1214"/>
      <c r="S1826" s="106"/>
      <c r="T1826" s="106"/>
      <c r="U1826" s="1319"/>
      <c r="V1826" s="3436" t="s">
        <v>30</v>
      </c>
      <c r="W1826" s="2914">
        <v>510.42315789473696</v>
      </c>
      <c r="X1826" s="688">
        <v>510.42315789473696</v>
      </c>
      <c r="Y1826" s="615">
        <v>510.42</v>
      </c>
      <c r="Z1826" s="615">
        <v>510.42</v>
      </c>
      <c r="AA1826" s="615">
        <v>510.42</v>
      </c>
      <c r="AB1826" s="3495">
        <v>510.42</v>
      </c>
      <c r="AC1826" s="2912">
        <v>510.42</v>
      </c>
      <c r="AD1826" s="615">
        <v>510.42</v>
      </c>
      <c r="AE1826" s="2914"/>
      <c r="AF1826" s="2914"/>
      <c r="AG1826" s="2914"/>
      <c r="AH1826" s="344"/>
      <c r="AI1826" s="156"/>
      <c r="AJ1826" s="3640"/>
      <c r="AK1826" s="2915"/>
      <c r="AL1826" s="156"/>
      <c r="AM1826" s="3640"/>
      <c r="AN1826" s="3640"/>
      <c r="AO1826" s="156"/>
      <c r="AP1826" s="156"/>
      <c r="AQ1826" s="156"/>
      <c r="AR1826" s="156"/>
      <c r="AS1826" s="156"/>
      <c r="AT1826" s="156"/>
      <c r="AU1826" s="156"/>
      <c r="AV1826" s="156"/>
      <c r="AW1826" s="156"/>
      <c r="AX1826" s="156"/>
      <c r="AY1826" s="156"/>
      <c r="AZ1826" s="156"/>
      <c r="BA1826" s="156"/>
      <c r="BB1826" s="2905"/>
      <c r="BC1826" s="2357" t="str">
        <f t="shared" si="336"/>
        <v>Cooling Res ER2 12 Year EUL</v>
      </c>
      <c r="BD1826" s="2829">
        <f>(INDEX('Avoided Cost Benefits'!$E$4:$E$859,MATCH(BC1826,'Avoided Cost Benefits'!$A$4:$A$859,0)))*F1826</f>
        <v>564.79521311541953</v>
      </c>
      <c r="BE1826" s="858">
        <f t="shared" si="342"/>
        <v>0</v>
      </c>
      <c r="BF1826" s="156"/>
      <c r="BH1826" s="686"/>
    </row>
    <row r="1827" spans="1:60" x14ac:dyDescent="0.35">
      <c r="A1827" s="1071" t="str">
        <f t="shared" si="334"/>
        <v>354450_2019_12_Heating Res ER2</v>
      </c>
      <c r="B1827" s="2812"/>
      <c r="C1827" s="1037" t="s">
        <v>1421</v>
      </c>
      <c r="D1827" s="1311" t="s">
        <v>320</v>
      </c>
      <c r="E1827" s="3419" t="s">
        <v>1423</v>
      </c>
      <c r="F1827" s="615">
        <f>ROUND(((K2086*K2279*(1/K2472-1/K2665)*K3630)/1000)*$K$3677,2)</f>
        <v>6759.78</v>
      </c>
      <c r="G1827" s="1313" t="s">
        <v>1150</v>
      </c>
      <c r="H1827" s="136">
        <f>VLOOKUP(G1827,'CP FACTORS'!$A$3:$B$38, 2, FALSE)</f>
        <v>0</v>
      </c>
      <c r="I1827" s="3497">
        <f t="shared" si="335"/>
        <v>0</v>
      </c>
      <c r="J1827" s="124">
        <f t="shared" si="339"/>
        <v>12</v>
      </c>
      <c r="K1827" s="462">
        <f t="shared" si="340"/>
        <v>0</v>
      </c>
      <c r="L1827" s="689"/>
      <c r="M1827" s="103"/>
      <c r="N1827" s="1317"/>
      <c r="O1827" s="963"/>
      <c r="P1827" s="106"/>
      <c r="Q1827" s="106"/>
      <c r="R1827" s="1214"/>
      <c r="S1827" s="106"/>
      <c r="T1827" s="106"/>
      <c r="U1827" s="1319"/>
      <c r="V1827" s="3436" t="s">
        <v>30</v>
      </c>
      <c r="W1827" s="2914">
        <v>9077.8044487427451</v>
      </c>
      <c r="X1827" s="685">
        <v>6759.7787234042544</v>
      </c>
      <c r="Y1827" s="615">
        <v>6759.78</v>
      </c>
      <c r="Z1827" s="615">
        <v>6759.78</v>
      </c>
      <c r="AA1827" s="615">
        <v>6759.78</v>
      </c>
      <c r="AB1827" s="3495">
        <v>6759.78</v>
      </c>
      <c r="AC1827" s="2912">
        <v>6759.78</v>
      </c>
      <c r="AD1827" s="615">
        <v>6759.78</v>
      </c>
      <c r="AE1827" s="2914"/>
      <c r="AF1827" s="2914"/>
      <c r="AG1827" s="2914"/>
      <c r="AH1827" s="344"/>
      <c r="AI1827" s="156"/>
      <c r="AJ1827" s="3640"/>
      <c r="AK1827" s="2915"/>
      <c r="AL1827" s="156"/>
      <c r="AM1827" s="3640"/>
      <c r="AN1827" s="3640"/>
      <c r="AO1827" s="156"/>
      <c r="AP1827" s="156"/>
      <c r="AQ1827" s="156"/>
      <c r="AR1827" s="156"/>
      <c r="AS1827" s="156"/>
      <c r="AT1827" s="156"/>
      <c r="AU1827" s="156"/>
      <c r="AV1827" s="156"/>
      <c r="AW1827" s="156"/>
      <c r="AX1827" s="156"/>
      <c r="AY1827" s="156"/>
      <c r="AZ1827" s="156"/>
      <c r="BA1827" s="156"/>
      <c r="BB1827" s="2905"/>
      <c r="BC1827" s="2349" t="str">
        <f t="shared" si="336"/>
        <v>Heating Res ER2 12 Year EUL</v>
      </c>
      <c r="BD1827" s="2829">
        <f>(INDEX('Avoided Cost Benefits'!$E$4:$E$859,MATCH(BC1827,'Avoided Cost Benefits'!$A$4:$A$859,0)))*F1827</f>
        <v>1912.3591329279755</v>
      </c>
      <c r="BE1827" s="858">
        <f t="shared" si="342"/>
        <v>0</v>
      </c>
      <c r="BF1827" s="156"/>
      <c r="BH1827" s="686"/>
    </row>
    <row r="1828" spans="1:60" x14ac:dyDescent="0.35">
      <c r="A1828" s="1071" t="str">
        <f t="shared" ref="A1828:A1891" si="343">C1828&amp;G1828</f>
        <v>354451_2019_12_Cooling Res</v>
      </c>
      <c r="B1828" s="2812"/>
      <c r="C1828" s="1037" t="s">
        <v>1424</v>
      </c>
      <c r="D1828" s="1311" t="s">
        <v>315</v>
      </c>
      <c r="E1828" s="3418" t="s">
        <v>1425</v>
      </c>
      <c r="F1828" s="615">
        <f>ROUND((($K$2859*$K$3052*(1/$K$3245-1/$K$3438)*$K$3631)/1000)*$K$3677,2)</f>
        <v>1030.24</v>
      </c>
      <c r="G1828" s="1313" t="str">
        <f>G1824</f>
        <v>Cooling Res</v>
      </c>
      <c r="H1828" s="136">
        <f>VLOOKUP(G1828,'CP FACTORS'!$A$3:$B$38, 2, FALSE)</f>
        <v>9.4741810000000004E-4</v>
      </c>
      <c r="I1828" s="3497">
        <f t="shared" ref="I1828:I1891" si="344">ROUND(F1828*H1828,6)</f>
        <v>0.97606800000000005</v>
      </c>
      <c r="J1828" s="124">
        <f t="shared" si="339"/>
        <v>6</v>
      </c>
      <c r="K1828" s="462">
        <f t="shared" si="340"/>
        <v>1685.1098012161674</v>
      </c>
      <c r="L1828" s="689">
        <f>L2087</f>
        <v>3.1</v>
      </c>
      <c r="M1828" s="103"/>
      <c r="N1828" s="1317"/>
      <c r="O1828" s="963"/>
      <c r="P1828" s="106"/>
      <c r="Q1828" s="106"/>
      <c r="R1828" s="1214"/>
      <c r="S1828" s="106"/>
      <c r="T1828" s="106"/>
      <c r="U1828" s="1319"/>
      <c r="V1828" s="3436" t="s">
        <v>30</v>
      </c>
      <c r="W1828" s="2914"/>
      <c r="X1828" s="685"/>
      <c r="Y1828" s="618">
        <v>1030.24</v>
      </c>
      <c r="Z1828" s="615">
        <v>1030.24</v>
      </c>
      <c r="AA1828" s="615">
        <v>1030.24</v>
      </c>
      <c r="AB1828" s="3495">
        <v>1030.24</v>
      </c>
      <c r="AC1828" s="2912">
        <v>1030.24</v>
      </c>
      <c r="AD1828" s="615">
        <v>1030.24</v>
      </c>
      <c r="AE1828" s="2914"/>
      <c r="AF1828" s="2914"/>
      <c r="AG1828" s="2914"/>
      <c r="AH1828" s="344"/>
      <c r="AI1828" s="156"/>
      <c r="AJ1828" s="3640"/>
      <c r="AK1828" s="2915"/>
      <c r="AL1828" s="156"/>
      <c r="AM1828" s="3640"/>
      <c r="AN1828" s="3640"/>
      <c r="AO1828" s="156"/>
      <c r="AP1828" s="156"/>
      <c r="AQ1828" s="156"/>
      <c r="AR1828" s="156"/>
      <c r="AS1828" s="156"/>
      <c r="AT1828" s="156"/>
      <c r="AU1828" s="156"/>
      <c r="AV1828" s="156"/>
      <c r="AW1828" s="156"/>
      <c r="AX1828" s="156"/>
      <c r="AY1828" s="156"/>
      <c r="AZ1828" s="156"/>
      <c r="BA1828" s="156"/>
      <c r="BB1828" s="2833">
        <f>(BD1828+BD1829+BD1830+BD1831)/(BE1828+BE1829+BE1830+BE1831)</f>
        <v>1.314682885594302</v>
      </c>
      <c r="BC1828" s="2348" t="str">
        <f t="shared" ref="BC1828:BC1891" si="345">CONCATENATE(G1828," ",J1828," Year EUL")</f>
        <v>Cooling Res 6 Year EUL</v>
      </c>
      <c r="BD1828" s="2829">
        <f>(INDEX('Avoided Cost Benefits'!$E$4:$E$859,MATCH(BC1828,'Avoided Cost Benefits'!$A$4:$A$859,0)))*F1828</f>
        <v>652.77241587000992</v>
      </c>
      <c r="BE1828" s="858">
        <f t="shared" si="342"/>
        <v>1590.4764523040749</v>
      </c>
      <c r="BF1828" s="156"/>
      <c r="BH1828" s="686"/>
    </row>
    <row r="1829" spans="1:60" x14ac:dyDescent="0.35">
      <c r="A1829" s="1071" t="str">
        <f t="shared" si="343"/>
        <v>354451_2019_12_Heating Res</v>
      </c>
      <c r="B1829" s="2812"/>
      <c r="C1829" s="1037" t="str">
        <f>C1828</f>
        <v>354451_2019_12_</v>
      </c>
      <c r="D1829" s="1311" t="s">
        <v>315</v>
      </c>
      <c r="E1829" s="3420" t="s">
        <v>1425</v>
      </c>
      <c r="F1829" s="615">
        <f>ROUND((($K$2087*$K$2280*(1/$K$2473-1/$K$2666)*$K$3631)/1000)*$K$3677,2)</f>
        <v>2304.4699999999998</v>
      </c>
      <c r="G1829" s="1313" t="str">
        <f>G1825</f>
        <v>Heating Res</v>
      </c>
      <c r="H1829" s="136">
        <f>VLOOKUP(G1829,'CP FACTORS'!$A$3:$B$38, 2, FALSE)</f>
        <v>0</v>
      </c>
      <c r="I1829" s="3497">
        <f t="shared" si="344"/>
        <v>0</v>
      </c>
      <c r="J1829" s="124">
        <f t="shared" si="339"/>
        <v>6</v>
      </c>
      <c r="K1829" s="462">
        <f t="shared" si="340"/>
        <v>0</v>
      </c>
      <c r="L1829" s="689"/>
      <c r="M1829" s="103"/>
      <c r="N1829" s="1317"/>
      <c r="O1829" s="963"/>
      <c r="P1829" s="106"/>
      <c r="Q1829" s="106"/>
      <c r="R1829" s="1214"/>
      <c r="S1829" s="106"/>
      <c r="T1829" s="106"/>
      <c r="U1829" s="1319"/>
      <c r="V1829" s="3436" t="s">
        <v>30</v>
      </c>
      <c r="W1829" s="2914"/>
      <c r="X1829" s="685"/>
      <c r="Y1829" s="618">
        <v>2304.4699999999998</v>
      </c>
      <c r="Z1829" s="615">
        <v>2304.4699999999998</v>
      </c>
      <c r="AA1829" s="615">
        <v>2304.4699999999998</v>
      </c>
      <c r="AB1829" s="3495">
        <v>2304.4699999999998</v>
      </c>
      <c r="AC1829" s="2912">
        <v>2304.4699999999998</v>
      </c>
      <c r="AD1829" s="615">
        <v>2304.4699999999998</v>
      </c>
      <c r="AE1829" s="2914"/>
      <c r="AF1829" s="2914"/>
      <c r="AG1829" s="2914"/>
      <c r="AH1829" s="344"/>
      <c r="AI1829" s="156"/>
      <c r="AJ1829" s="3640"/>
      <c r="AK1829" s="2915"/>
      <c r="AL1829" s="156"/>
      <c r="AM1829" s="3640"/>
      <c r="AN1829" s="3640"/>
      <c r="AO1829" s="156"/>
      <c r="AP1829" s="156"/>
      <c r="AQ1829" s="156"/>
      <c r="AR1829" s="156"/>
      <c r="AS1829" s="156"/>
      <c r="AT1829" s="156"/>
      <c r="AU1829" s="156"/>
      <c r="AV1829" s="156"/>
      <c r="AW1829" s="156"/>
      <c r="AX1829" s="156"/>
      <c r="AY1829" s="156"/>
      <c r="AZ1829" s="156"/>
      <c r="BA1829" s="156"/>
      <c r="BB1829" s="2905"/>
      <c r="BC1829" s="2357" t="str">
        <f t="shared" si="345"/>
        <v>Heating Res 6 Year EUL</v>
      </c>
      <c r="BD1829" s="2829">
        <f>(INDEX('Avoided Cost Benefits'!$E$4:$E$859,MATCH(BC1829,'Avoided Cost Benefits'!$A$4:$A$859,0)))*F1829</f>
        <v>375.49308039576698</v>
      </c>
      <c r="BE1829" s="858">
        <f t="shared" si="342"/>
        <v>0</v>
      </c>
      <c r="BF1829" s="156"/>
      <c r="BH1829" s="686"/>
    </row>
    <row r="1830" spans="1:60" x14ac:dyDescent="0.35">
      <c r="A1830" s="1071" t="str">
        <f t="shared" si="343"/>
        <v>354451_2019_12_Cooling Res ER2</v>
      </c>
      <c r="B1830" s="2812"/>
      <c r="C1830" s="1037" t="str">
        <f>C1829</f>
        <v>354451_2019_12_</v>
      </c>
      <c r="D1830" s="1311" t="s">
        <v>315</v>
      </c>
      <c r="E1830" s="3420" t="s">
        <v>1426</v>
      </c>
      <c r="F1830" s="615">
        <f>ROUND((($K$2860*$K$3053*(1/$K$3246-1/$K$3439)*$K$3632)/1000)*$K$3677,2)</f>
        <v>371.22</v>
      </c>
      <c r="G1830" s="1313" t="str">
        <f>G1826</f>
        <v>Cooling Res ER2</v>
      </c>
      <c r="H1830" s="136">
        <f>VLOOKUP(G1830,'CP FACTORS'!$A$3:$B$38, 2, FALSE)</f>
        <v>9.4741810000000004E-4</v>
      </c>
      <c r="I1830" s="3497">
        <f t="shared" si="344"/>
        <v>0.35170099999999999</v>
      </c>
      <c r="J1830" s="124">
        <f t="shared" si="339"/>
        <v>12</v>
      </c>
      <c r="K1830" s="462">
        <f t="shared" si="340"/>
        <v>0</v>
      </c>
      <c r="L1830" s="689"/>
      <c r="M1830" s="103"/>
      <c r="N1830" s="1317"/>
      <c r="O1830" s="963"/>
      <c r="P1830" s="106"/>
      <c r="Q1830" s="106"/>
      <c r="R1830" s="1214"/>
      <c r="S1830" s="106"/>
      <c r="T1830" s="106"/>
      <c r="U1830" s="1319"/>
      <c r="V1830" s="3436" t="s">
        <v>30</v>
      </c>
      <c r="W1830" s="2914"/>
      <c r="X1830" s="685"/>
      <c r="Y1830" s="618">
        <v>371.22</v>
      </c>
      <c r="Z1830" s="615">
        <v>371.22</v>
      </c>
      <c r="AA1830" s="615">
        <v>371.22</v>
      </c>
      <c r="AB1830" s="3495">
        <v>371.22</v>
      </c>
      <c r="AC1830" s="2912">
        <v>371.22</v>
      </c>
      <c r="AD1830" s="615">
        <v>371.22</v>
      </c>
      <c r="AE1830" s="2914"/>
      <c r="AF1830" s="2914"/>
      <c r="AG1830" s="2914"/>
      <c r="AH1830" s="344"/>
      <c r="AI1830" s="156"/>
      <c r="AJ1830" s="3640"/>
      <c r="AK1830" s="2915"/>
      <c r="AL1830" s="156"/>
      <c r="AM1830" s="3640"/>
      <c r="AN1830" s="3640"/>
      <c r="AO1830" s="156"/>
      <c r="AP1830" s="156"/>
      <c r="AQ1830" s="156"/>
      <c r="AR1830" s="156"/>
      <c r="AS1830" s="156"/>
      <c r="AT1830" s="156"/>
      <c r="AU1830" s="156"/>
      <c r="AV1830" s="156"/>
      <c r="AW1830" s="156"/>
      <c r="AX1830" s="156"/>
      <c r="AY1830" s="156"/>
      <c r="AZ1830" s="156"/>
      <c r="BA1830" s="156"/>
      <c r="BB1830" s="2905"/>
      <c r="BC1830" s="2357" t="str">
        <f t="shared" si="345"/>
        <v>Cooling Res ER2 12 Year EUL</v>
      </c>
      <c r="BD1830" s="2829">
        <f>(INDEX('Avoided Cost Benefits'!$E$4:$E$859,MATCH(BC1830,'Avoided Cost Benefits'!$A$4:$A$859,0)))*F1830</f>
        <v>410.76619061303643</v>
      </c>
      <c r="BE1830" s="858">
        <f t="shared" si="342"/>
        <v>0</v>
      </c>
      <c r="BF1830" s="156"/>
      <c r="BH1830" s="686"/>
    </row>
    <row r="1831" spans="1:60" x14ac:dyDescent="0.35">
      <c r="A1831" s="1071" t="str">
        <f t="shared" si="343"/>
        <v>354451_2019_12_Heating Res ER2</v>
      </c>
      <c r="B1831" s="2812"/>
      <c r="C1831" s="1037" t="str">
        <f>C1830</f>
        <v>354451_2019_12_</v>
      </c>
      <c r="D1831" s="1311" t="s">
        <v>315</v>
      </c>
      <c r="E1831" s="3419" t="s">
        <v>1426</v>
      </c>
      <c r="F1831" s="615">
        <f>ROUND((($K$2088*$K$2281*(1/$K$2474-1/$K$2667)*$K$3632)/1000)*$K$3677,2)</f>
        <v>2304.4699999999998</v>
      </c>
      <c r="G1831" s="1313" t="str">
        <f>G1827</f>
        <v>Heating Res ER2</v>
      </c>
      <c r="H1831" s="136">
        <f>VLOOKUP(G1831,'CP FACTORS'!$A$3:$B$38, 2, FALSE)</f>
        <v>0</v>
      </c>
      <c r="I1831" s="3497">
        <f t="shared" si="344"/>
        <v>0</v>
      </c>
      <c r="J1831" s="124">
        <f t="shared" si="339"/>
        <v>12</v>
      </c>
      <c r="K1831" s="462">
        <f t="shared" si="340"/>
        <v>0</v>
      </c>
      <c r="L1831" s="689"/>
      <c r="M1831" s="103"/>
      <c r="N1831" s="1317"/>
      <c r="O1831" s="963"/>
      <c r="P1831" s="106"/>
      <c r="Q1831" s="106"/>
      <c r="R1831" s="1214"/>
      <c r="S1831" s="106"/>
      <c r="T1831" s="106"/>
      <c r="U1831" s="1319"/>
      <c r="V1831" s="3436" t="s">
        <v>30</v>
      </c>
      <c r="W1831" s="2914"/>
      <c r="X1831" s="685"/>
      <c r="Y1831" s="618">
        <v>2304.4699999999998</v>
      </c>
      <c r="Z1831" s="615">
        <v>2304.4699999999998</v>
      </c>
      <c r="AA1831" s="615">
        <v>2304.4699999999998</v>
      </c>
      <c r="AB1831" s="3495">
        <v>2304.4699999999998</v>
      </c>
      <c r="AC1831" s="2912">
        <v>2304.4699999999998</v>
      </c>
      <c r="AD1831" s="615">
        <v>2304.4699999999998</v>
      </c>
      <c r="AE1831" s="2914"/>
      <c r="AF1831" s="2914"/>
      <c r="AG1831" s="2914"/>
      <c r="AH1831" s="344"/>
      <c r="AI1831" s="156"/>
      <c r="AJ1831" s="3640"/>
      <c r="AK1831" s="2915"/>
      <c r="AL1831" s="156"/>
      <c r="AM1831" s="3640"/>
      <c r="AN1831" s="3640"/>
      <c r="AO1831" s="156"/>
      <c r="AP1831" s="156"/>
      <c r="AQ1831" s="156"/>
      <c r="AR1831" s="156"/>
      <c r="AS1831" s="156"/>
      <c r="AT1831" s="156"/>
      <c r="AU1831" s="156"/>
      <c r="AV1831" s="156"/>
      <c r="AW1831" s="156"/>
      <c r="AX1831" s="156"/>
      <c r="AY1831" s="156"/>
      <c r="AZ1831" s="156"/>
      <c r="BA1831" s="156"/>
      <c r="BB1831" s="2905"/>
      <c r="BC1831" s="2349" t="str">
        <f t="shared" si="345"/>
        <v>Heating Res ER2 12 Year EUL</v>
      </c>
      <c r="BD1831" s="2829">
        <f>(INDEX('Avoided Cost Benefits'!$E$4:$E$859,MATCH(BC1831,'Avoided Cost Benefits'!$A$4:$A$859,0)))*F1831</f>
        <v>651.94048490609623</v>
      </c>
      <c r="BE1831" s="858">
        <f t="shared" si="342"/>
        <v>0</v>
      </c>
      <c r="BF1831" s="156"/>
      <c r="BH1831" s="686"/>
    </row>
    <row r="1832" spans="1:60" x14ac:dyDescent="0.35">
      <c r="A1832" s="1071" t="str">
        <f t="shared" si="343"/>
        <v>354460_2021_12_Cooling Res</v>
      </c>
      <c r="B1832" s="2812"/>
      <c r="C1832" s="1037" t="s">
        <v>1427</v>
      </c>
      <c r="D1832" s="1311" t="s">
        <v>320</v>
      </c>
      <c r="E1832" s="3420" t="s">
        <v>1428</v>
      </c>
      <c r="F1832" s="615">
        <f>ROUND(((K2861*K3054*(1/K3247-1/K3440)*K3633)/1000)*$K$3677,2)</f>
        <v>1416.58</v>
      </c>
      <c r="G1832" s="1313" t="s">
        <v>1091</v>
      </c>
      <c r="H1832" s="136">
        <f>VLOOKUP(G1832,'CP FACTORS'!$A$3:$B$38, 2, FALSE)</f>
        <v>9.4741810000000004E-4</v>
      </c>
      <c r="I1832" s="3497">
        <f t="shared" si="344"/>
        <v>1.3420939999999999</v>
      </c>
      <c r="J1832" s="124">
        <f t="shared" si="339"/>
        <v>6</v>
      </c>
      <c r="K1832" s="462">
        <f t="shared" si="340"/>
        <v>1685.1098012161674</v>
      </c>
      <c r="L1832" s="3496">
        <f>L2089</f>
        <v>3.1</v>
      </c>
      <c r="M1832" s="103"/>
      <c r="N1832" s="1317"/>
      <c r="O1832" s="963"/>
      <c r="P1832" s="106"/>
      <c r="Q1832" s="106"/>
      <c r="R1832" s="1214"/>
      <c r="S1832" s="106"/>
      <c r="T1832" s="106"/>
      <c r="U1832" s="1319"/>
      <c r="V1832" s="1590" t="s">
        <v>30</v>
      </c>
      <c r="W1832" s="2914"/>
      <c r="X1832" s="685"/>
      <c r="Y1832" s="618"/>
      <c r="Z1832" s="615"/>
      <c r="AA1832" s="615"/>
      <c r="AB1832" s="3495"/>
      <c r="AC1832" s="618">
        <v>1416.58</v>
      </c>
      <c r="AD1832" s="615">
        <v>1416.58</v>
      </c>
      <c r="AE1832" s="2914"/>
      <c r="AF1832" s="2914"/>
      <c r="AG1832" s="2914"/>
      <c r="AH1832" s="344"/>
      <c r="AI1832" s="156"/>
      <c r="AJ1832" s="3640"/>
      <c r="AK1832" s="2915"/>
      <c r="AL1832" s="156"/>
      <c r="AM1832" s="3640"/>
      <c r="AN1832" s="3640"/>
      <c r="AO1832" s="156"/>
      <c r="AP1832" s="156"/>
      <c r="AQ1832" s="156"/>
      <c r="AR1832" s="156"/>
      <c r="AS1832" s="156"/>
      <c r="AT1832" s="156"/>
      <c r="AU1832" s="156"/>
      <c r="AV1832" s="156"/>
      <c r="AW1832" s="156"/>
      <c r="AX1832" s="156"/>
      <c r="AY1832" s="156"/>
      <c r="AZ1832" s="156"/>
      <c r="BA1832" s="156"/>
      <c r="BB1832" s="2741">
        <f>(BD1832+BD1833+BD1834+BD1835)/(BE1832+BE1833+BE1834+BE1835)</f>
        <v>0.91944604575453526</v>
      </c>
      <c r="BC1832" s="2742" t="str">
        <f t="shared" si="345"/>
        <v>Cooling Res 6 Year EUL</v>
      </c>
      <c r="BD1832" s="1841">
        <f>(INDEX('Avoided Cost Benefits'!$E$4:$E$859,MATCH(BC1832,'Avoided Cost Benefits'!$A$4:$A$859,0)))*F1832</f>
        <v>897.56207182126366</v>
      </c>
      <c r="BE1832" s="2507">
        <f t="shared" si="342"/>
        <v>1590.4764523040749</v>
      </c>
      <c r="BF1832" s="156"/>
      <c r="BH1832" s="686"/>
    </row>
    <row r="1833" spans="1:60" x14ac:dyDescent="0.35">
      <c r="A1833" s="1071" t="str">
        <f t="shared" si="343"/>
        <v>354460_2021_12_Heating Res</v>
      </c>
      <c r="B1833" s="2812"/>
      <c r="C1833" s="1037" t="s">
        <v>1427</v>
      </c>
      <c r="D1833" s="1311" t="s">
        <v>320</v>
      </c>
      <c r="E1833" s="3420" t="s">
        <v>1428</v>
      </c>
      <c r="F1833" s="615">
        <v>0</v>
      </c>
      <c r="G1833" s="1313" t="s">
        <v>1092</v>
      </c>
      <c r="H1833" s="136">
        <f>VLOOKUP(G1833,'CP FACTORS'!$A$3:$B$38, 2, FALSE)</f>
        <v>0</v>
      </c>
      <c r="I1833" s="3497">
        <f t="shared" si="344"/>
        <v>0</v>
      </c>
      <c r="J1833" s="124">
        <f t="shared" si="339"/>
        <v>6</v>
      </c>
      <c r="K1833" s="462">
        <f t="shared" si="340"/>
        <v>0</v>
      </c>
      <c r="L1833" s="3496"/>
      <c r="M1833" s="103"/>
      <c r="N1833" s="1317"/>
      <c r="O1833" s="963"/>
      <c r="P1833" s="106"/>
      <c r="Q1833" s="106"/>
      <c r="R1833" s="1214"/>
      <c r="S1833" s="106"/>
      <c r="T1833" s="106"/>
      <c r="U1833" s="1319"/>
      <c r="V1833" s="1590" t="s">
        <v>30</v>
      </c>
      <c r="W1833" s="2914"/>
      <c r="X1833" s="685"/>
      <c r="Y1833" s="618"/>
      <c r="Z1833" s="615"/>
      <c r="AA1833" s="615"/>
      <c r="AB1833" s="3495"/>
      <c r="AC1833" s="618">
        <v>0</v>
      </c>
      <c r="AD1833" s="615">
        <v>0</v>
      </c>
      <c r="AE1833" s="2914"/>
      <c r="AF1833" s="2914"/>
      <c r="AG1833" s="2914"/>
      <c r="AH1833" s="344"/>
      <c r="AI1833" s="156"/>
      <c r="AJ1833" s="3640"/>
      <c r="AK1833" s="2915"/>
      <c r="AL1833" s="156"/>
      <c r="AM1833" s="3640"/>
      <c r="AN1833" s="3640"/>
      <c r="AO1833" s="156"/>
      <c r="AP1833" s="156"/>
      <c r="AQ1833" s="156"/>
      <c r="AR1833" s="156"/>
      <c r="AS1833" s="156"/>
      <c r="AT1833" s="156"/>
      <c r="AU1833" s="156"/>
      <c r="AV1833" s="156"/>
      <c r="AW1833" s="156"/>
      <c r="AX1833" s="156"/>
      <c r="AY1833" s="156"/>
      <c r="AZ1833" s="156"/>
      <c r="BA1833" s="156"/>
      <c r="BB1833" s="2743"/>
      <c r="BC1833" s="2742" t="str">
        <f t="shared" si="345"/>
        <v>Heating Res 6 Year EUL</v>
      </c>
      <c r="BD1833" s="1841">
        <f>(INDEX('Avoided Cost Benefits'!$E$4:$E$859,MATCH(BC1833,'Avoided Cost Benefits'!$A$4:$A$859,0)))*F1833</f>
        <v>0</v>
      </c>
      <c r="BE1833" s="2507">
        <f t="shared" si="342"/>
        <v>0</v>
      </c>
      <c r="BF1833" s="156"/>
      <c r="BH1833" s="686"/>
    </row>
    <row r="1834" spans="1:60" x14ac:dyDescent="0.35">
      <c r="A1834" s="1071" t="str">
        <f t="shared" si="343"/>
        <v>354460_2021_12_Cooling Res ER2</v>
      </c>
      <c r="B1834" s="2812"/>
      <c r="C1834" s="1037" t="s">
        <v>1427</v>
      </c>
      <c r="D1834" s="1311" t="s">
        <v>320</v>
      </c>
      <c r="E1834" s="3420" t="s">
        <v>1429</v>
      </c>
      <c r="F1834" s="615">
        <f>ROUND(((K2862*K3055*(1/K3248-1/K3441)*K3634)/1000)*$K$3677,2)</f>
        <v>510.42</v>
      </c>
      <c r="G1834" s="1313" t="s">
        <v>1133</v>
      </c>
      <c r="H1834" s="136">
        <f>VLOOKUP(G1834,'CP FACTORS'!$A$3:$B$38, 2, FALSE)</f>
        <v>9.4741810000000004E-4</v>
      </c>
      <c r="I1834" s="3497">
        <f t="shared" si="344"/>
        <v>0.48358099999999998</v>
      </c>
      <c r="J1834" s="124">
        <f t="shared" si="339"/>
        <v>12</v>
      </c>
      <c r="K1834" s="462">
        <f t="shared" si="340"/>
        <v>0</v>
      </c>
      <c r="L1834" s="3496"/>
      <c r="M1834" s="103"/>
      <c r="N1834" s="1317"/>
      <c r="O1834" s="963"/>
      <c r="P1834" s="106"/>
      <c r="Q1834" s="106"/>
      <c r="R1834" s="1214"/>
      <c r="S1834" s="106"/>
      <c r="T1834" s="106"/>
      <c r="U1834" s="1319"/>
      <c r="V1834" s="1590" t="s">
        <v>30</v>
      </c>
      <c r="W1834" s="2914"/>
      <c r="X1834" s="685"/>
      <c r="Y1834" s="618"/>
      <c r="Z1834" s="615"/>
      <c r="AA1834" s="615"/>
      <c r="AB1834" s="3495"/>
      <c r="AC1834" s="618">
        <v>510.42</v>
      </c>
      <c r="AD1834" s="615">
        <v>510.42</v>
      </c>
      <c r="AE1834" s="2914"/>
      <c r="AF1834" s="2914"/>
      <c r="AG1834" s="2914"/>
      <c r="AH1834" s="344"/>
      <c r="AI1834" s="156"/>
      <c r="AJ1834" s="3640"/>
      <c r="AK1834" s="2915"/>
      <c r="AL1834" s="156"/>
      <c r="AM1834" s="3640"/>
      <c r="AN1834" s="3640"/>
      <c r="AO1834" s="156"/>
      <c r="AP1834" s="156"/>
      <c r="AQ1834" s="156"/>
      <c r="AR1834" s="156"/>
      <c r="AS1834" s="156"/>
      <c r="AT1834" s="156"/>
      <c r="AU1834" s="156"/>
      <c r="AV1834" s="156"/>
      <c r="AW1834" s="156"/>
      <c r="AX1834" s="156"/>
      <c r="AY1834" s="156"/>
      <c r="AZ1834" s="156"/>
      <c r="BA1834" s="156"/>
      <c r="BB1834" s="2743"/>
      <c r="BC1834" s="2742" t="str">
        <f t="shared" si="345"/>
        <v>Cooling Res ER2 12 Year EUL</v>
      </c>
      <c r="BD1834" s="1841">
        <f>(INDEX('Avoided Cost Benefits'!$E$4:$E$859,MATCH(BC1834,'Avoided Cost Benefits'!$A$4:$A$859,0)))*F1834</f>
        <v>564.79521311541953</v>
      </c>
      <c r="BE1834" s="2507">
        <f t="shared" si="342"/>
        <v>0</v>
      </c>
      <c r="BF1834" s="156"/>
      <c r="BH1834" s="686"/>
    </row>
    <row r="1835" spans="1:60" x14ac:dyDescent="0.35">
      <c r="A1835" s="1071" t="str">
        <f t="shared" si="343"/>
        <v>354460_2021_12_Heating Res ER2</v>
      </c>
      <c r="B1835" s="2812"/>
      <c r="C1835" s="1037" t="s">
        <v>1427</v>
      </c>
      <c r="D1835" s="1311" t="s">
        <v>320</v>
      </c>
      <c r="E1835" s="3419" t="s">
        <v>1429</v>
      </c>
      <c r="F1835" s="615">
        <v>0</v>
      </c>
      <c r="G1835" s="1313" t="s">
        <v>1150</v>
      </c>
      <c r="H1835" s="136">
        <f>VLOOKUP(G1835,'CP FACTORS'!$A$3:$B$38, 2, FALSE)</f>
        <v>0</v>
      </c>
      <c r="I1835" s="3497">
        <f t="shared" si="344"/>
        <v>0</v>
      </c>
      <c r="J1835" s="124">
        <f t="shared" si="339"/>
        <v>12</v>
      </c>
      <c r="K1835" s="462">
        <f t="shared" si="340"/>
        <v>0</v>
      </c>
      <c r="L1835" s="3496"/>
      <c r="M1835" s="103"/>
      <c r="N1835" s="1317"/>
      <c r="O1835" s="963"/>
      <c r="P1835" s="106"/>
      <c r="Q1835" s="106"/>
      <c r="R1835" s="1214"/>
      <c r="S1835" s="106"/>
      <c r="T1835" s="106"/>
      <c r="U1835" s="1319"/>
      <c r="V1835" s="1590" t="s">
        <v>30</v>
      </c>
      <c r="W1835" s="2914"/>
      <c r="X1835" s="685"/>
      <c r="Y1835" s="618"/>
      <c r="Z1835" s="615"/>
      <c r="AA1835" s="615"/>
      <c r="AB1835" s="3495"/>
      <c r="AC1835" s="618">
        <v>0</v>
      </c>
      <c r="AD1835" s="615">
        <v>0</v>
      </c>
      <c r="AE1835" s="2914"/>
      <c r="AF1835" s="2914"/>
      <c r="AG1835" s="2914"/>
      <c r="AH1835" s="344"/>
      <c r="AI1835" s="156"/>
      <c r="AJ1835" s="3640"/>
      <c r="AK1835" s="2915"/>
      <c r="AL1835" s="156"/>
      <c r="AM1835" s="3640"/>
      <c r="AN1835" s="3640"/>
      <c r="AO1835" s="156"/>
      <c r="AP1835" s="156"/>
      <c r="AQ1835" s="156"/>
      <c r="AR1835" s="156"/>
      <c r="AS1835" s="156"/>
      <c r="AT1835" s="156"/>
      <c r="AU1835" s="156"/>
      <c r="AV1835" s="156"/>
      <c r="AW1835" s="156"/>
      <c r="AX1835" s="156"/>
      <c r="AY1835" s="156"/>
      <c r="AZ1835" s="156"/>
      <c r="BA1835" s="156"/>
      <c r="BB1835" s="2743"/>
      <c r="BC1835" s="2744" t="str">
        <f t="shared" si="345"/>
        <v>Heating Res ER2 12 Year EUL</v>
      </c>
      <c r="BD1835" s="1841">
        <f>(INDEX('Avoided Cost Benefits'!$E$4:$E$859,MATCH(BC1835,'Avoided Cost Benefits'!$A$4:$A$859,0)))*F1835</f>
        <v>0</v>
      </c>
      <c r="BE1835" s="2507">
        <f t="shared" si="342"/>
        <v>0</v>
      </c>
      <c r="BF1835" s="156"/>
      <c r="BH1835" s="686"/>
    </row>
    <row r="1836" spans="1:60" x14ac:dyDescent="0.35">
      <c r="A1836" s="1071" t="str">
        <f t="shared" si="343"/>
        <v>354461_2021_12_Cooling Res</v>
      </c>
      <c r="B1836" s="2812"/>
      <c r="C1836" s="1037" t="s">
        <v>1430</v>
      </c>
      <c r="D1836" s="1311" t="s">
        <v>315</v>
      </c>
      <c r="E1836" s="3420" t="s">
        <v>1431</v>
      </c>
      <c r="F1836" s="615">
        <f>ROUND(((K2863*K3056*(1/K3249-1/K3442)*K3635)/1000)*$K$3677,2)</f>
        <v>1030.24</v>
      </c>
      <c r="G1836" s="1313" t="s">
        <v>1091</v>
      </c>
      <c r="H1836" s="136">
        <f>VLOOKUP(G1836,'CP FACTORS'!$A$3:$B$38, 2, FALSE)</f>
        <v>9.4741810000000004E-4</v>
      </c>
      <c r="I1836" s="3497">
        <f t="shared" si="344"/>
        <v>0.97606800000000005</v>
      </c>
      <c r="J1836" s="124">
        <f t="shared" si="339"/>
        <v>6</v>
      </c>
      <c r="K1836" s="462">
        <f t="shared" si="340"/>
        <v>1685.1098012161674</v>
      </c>
      <c r="L1836" s="3496">
        <f>L2091</f>
        <v>3.1</v>
      </c>
      <c r="M1836" s="103"/>
      <c r="N1836" s="1317"/>
      <c r="O1836" s="963"/>
      <c r="P1836" s="106"/>
      <c r="Q1836" s="106"/>
      <c r="R1836" s="1214"/>
      <c r="S1836" s="106"/>
      <c r="T1836" s="106"/>
      <c r="U1836" s="1319"/>
      <c r="V1836" s="1590" t="s">
        <v>30</v>
      </c>
      <c r="W1836" s="2914"/>
      <c r="X1836" s="685"/>
      <c r="Y1836" s="618"/>
      <c r="Z1836" s="615"/>
      <c r="AA1836" s="615"/>
      <c r="AB1836" s="3495"/>
      <c r="AC1836" s="618">
        <v>1030.24</v>
      </c>
      <c r="AD1836" s="615">
        <v>1030.24</v>
      </c>
      <c r="AE1836" s="2914"/>
      <c r="AF1836" s="2914"/>
      <c r="AG1836" s="2914"/>
      <c r="AH1836" s="344"/>
      <c r="AI1836" s="156"/>
      <c r="AJ1836" s="3640"/>
      <c r="AK1836" s="2915"/>
      <c r="AL1836" s="156"/>
      <c r="AM1836" s="3640"/>
      <c r="AN1836" s="3640"/>
      <c r="AO1836" s="156"/>
      <c r="AP1836" s="156"/>
      <c r="AQ1836" s="156"/>
      <c r="AR1836" s="156"/>
      <c r="AS1836" s="156"/>
      <c r="AT1836" s="156"/>
      <c r="AU1836" s="156"/>
      <c r="AV1836" s="156"/>
      <c r="AW1836" s="156"/>
      <c r="AX1836" s="156"/>
      <c r="AY1836" s="156"/>
      <c r="AZ1836" s="156"/>
      <c r="BA1836" s="156"/>
      <c r="BB1836" s="2741">
        <f>(BD1836+BD1837+BD1838+BD1839)/(BE1836+BE1837+BE1838+BE1839)</f>
        <v>0.66869182812630157</v>
      </c>
      <c r="BC1836" s="2742" t="str">
        <f t="shared" si="345"/>
        <v>Cooling Res 6 Year EUL</v>
      </c>
      <c r="BD1836" s="1841">
        <f>(INDEX('Avoided Cost Benefits'!$E$4:$E$859,MATCH(BC1836,'Avoided Cost Benefits'!$A$4:$A$859,0)))*F1836</f>
        <v>652.77241587000992</v>
      </c>
      <c r="BE1836" s="2507">
        <f t="shared" si="342"/>
        <v>1590.4764523040749</v>
      </c>
      <c r="BF1836" s="156"/>
      <c r="BH1836" s="686"/>
    </row>
    <row r="1837" spans="1:60" x14ac:dyDescent="0.35">
      <c r="A1837" s="1071" t="str">
        <f t="shared" si="343"/>
        <v>354461_2021_12_Heating Res</v>
      </c>
      <c r="B1837" s="2812"/>
      <c r="C1837" s="1037" t="s">
        <v>1430</v>
      </c>
      <c r="D1837" s="1311" t="s">
        <v>315</v>
      </c>
      <c r="E1837" s="3420" t="s">
        <v>1431</v>
      </c>
      <c r="F1837" s="615">
        <v>0</v>
      </c>
      <c r="G1837" s="1313" t="s">
        <v>1092</v>
      </c>
      <c r="H1837" s="136">
        <f>VLOOKUP(G1837,'CP FACTORS'!$A$3:$B$38, 2, FALSE)</f>
        <v>0</v>
      </c>
      <c r="I1837" s="3497">
        <f t="shared" si="344"/>
        <v>0</v>
      </c>
      <c r="J1837" s="124">
        <f t="shared" si="339"/>
        <v>6</v>
      </c>
      <c r="K1837" s="462">
        <f t="shared" si="340"/>
        <v>0</v>
      </c>
      <c r="L1837" s="3496"/>
      <c r="M1837" s="103"/>
      <c r="N1837" s="1317"/>
      <c r="O1837" s="963"/>
      <c r="P1837" s="106"/>
      <c r="Q1837" s="106"/>
      <c r="R1837" s="1214"/>
      <c r="S1837" s="106"/>
      <c r="T1837" s="106"/>
      <c r="U1837" s="1319"/>
      <c r="V1837" s="1590" t="s">
        <v>30</v>
      </c>
      <c r="W1837" s="2914"/>
      <c r="X1837" s="685"/>
      <c r="Y1837" s="618"/>
      <c r="Z1837" s="615"/>
      <c r="AA1837" s="615"/>
      <c r="AB1837" s="3495"/>
      <c r="AC1837" s="618">
        <v>0</v>
      </c>
      <c r="AD1837" s="615">
        <v>0</v>
      </c>
      <c r="AE1837" s="2914"/>
      <c r="AF1837" s="2914"/>
      <c r="AG1837" s="2914"/>
      <c r="AH1837" s="344"/>
      <c r="AI1837" s="156"/>
      <c r="AJ1837" s="3640"/>
      <c r="AK1837" s="2915"/>
      <c r="AL1837" s="156"/>
      <c r="AM1837" s="3640"/>
      <c r="AN1837" s="3640"/>
      <c r="AO1837" s="156"/>
      <c r="AP1837" s="156"/>
      <c r="AQ1837" s="156"/>
      <c r="AR1837" s="156"/>
      <c r="AS1837" s="156"/>
      <c r="AT1837" s="156"/>
      <c r="AU1837" s="156"/>
      <c r="AV1837" s="156"/>
      <c r="AW1837" s="156"/>
      <c r="AX1837" s="156"/>
      <c r="AY1837" s="156"/>
      <c r="AZ1837" s="156"/>
      <c r="BA1837" s="156"/>
      <c r="BB1837" s="2743"/>
      <c r="BC1837" s="2742" t="str">
        <f t="shared" si="345"/>
        <v>Heating Res 6 Year EUL</v>
      </c>
      <c r="BD1837" s="1841">
        <f>(INDEX('Avoided Cost Benefits'!$E$4:$E$859,MATCH(BC1837,'Avoided Cost Benefits'!$A$4:$A$859,0)))*F1837</f>
        <v>0</v>
      </c>
      <c r="BE1837" s="2507">
        <f t="shared" si="342"/>
        <v>0</v>
      </c>
      <c r="BF1837" s="156"/>
      <c r="BH1837" s="686"/>
    </row>
    <row r="1838" spans="1:60" x14ac:dyDescent="0.35">
      <c r="A1838" s="1071" t="str">
        <f t="shared" si="343"/>
        <v>354461_2021_12_Cooling Res ER2</v>
      </c>
      <c r="B1838" s="2812"/>
      <c r="C1838" s="1037" t="s">
        <v>1430</v>
      </c>
      <c r="D1838" s="1311" t="s">
        <v>315</v>
      </c>
      <c r="E1838" s="3420" t="s">
        <v>1432</v>
      </c>
      <c r="F1838" s="615">
        <f>ROUND(((K2864*K3057*(1/K3250-1/K3443)*K3636)/1000)*$K$3677,2)</f>
        <v>371.22</v>
      </c>
      <c r="G1838" s="1313" t="s">
        <v>1133</v>
      </c>
      <c r="H1838" s="136">
        <f>VLOOKUP(G1838,'CP FACTORS'!$A$3:$B$38, 2, FALSE)</f>
        <v>9.4741810000000004E-4</v>
      </c>
      <c r="I1838" s="3497">
        <f t="shared" si="344"/>
        <v>0.35170099999999999</v>
      </c>
      <c r="J1838" s="124">
        <f t="shared" si="339"/>
        <v>12</v>
      </c>
      <c r="K1838" s="462">
        <f t="shared" si="340"/>
        <v>0</v>
      </c>
      <c r="L1838" s="3496"/>
      <c r="M1838" s="103"/>
      <c r="N1838" s="1317"/>
      <c r="O1838" s="963"/>
      <c r="P1838" s="106"/>
      <c r="Q1838" s="106"/>
      <c r="R1838" s="1214"/>
      <c r="S1838" s="106"/>
      <c r="T1838" s="106"/>
      <c r="U1838" s="1319"/>
      <c r="V1838" s="1590" t="s">
        <v>30</v>
      </c>
      <c r="W1838" s="2914"/>
      <c r="X1838" s="685"/>
      <c r="Y1838" s="618"/>
      <c r="Z1838" s="615"/>
      <c r="AA1838" s="615"/>
      <c r="AB1838" s="3495"/>
      <c r="AC1838" s="618">
        <v>371.22</v>
      </c>
      <c r="AD1838" s="615">
        <v>371.22</v>
      </c>
      <c r="AE1838" s="2914"/>
      <c r="AF1838" s="2914"/>
      <c r="AG1838" s="2914"/>
      <c r="AH1838" s="344"/>
      <c r="AI1838" s="156"/>
      <c r="AJ1838" s="3640"/>
      <c r="AK1838" s="2915"/>
      <c r="AL1838" s="156"/>
      <c r="AM1838" s="3640"/>
      <c r="AN1838" s="3640"/>
      <c r="AO1838" s="156"/>
      <c r="AP1838" s="156"/>
      <c r="AQ1838" s="156"/>
      <c r="AR1838" s="156"/>
      <c r="AS1838" s="156"/>
      <c r="AT1838" s="156"/>
      <c r="AU1838" s="156"/>
      <c r="AV1838" s="156"/>
      <c r="AW1838" s="156"/>
      <c r="AX1838" s="156"/>
      <c r="AY1838" s="156"/>
      <c r="AZ1838" s="156"/>
      <c r="BA1838" s="156"/>
      <c r="BB1838" s="2743"/>
      <c r="BC1838" s="2742" t="str">
        <f t="shared" si="345"/>
        <v>Cooling Res ER2 12 Year EUL</v>
      </c>
      <c r="BD1838" s="1841">
        <f>(INDEX('Avoided Cost Benefits'!$E$4:$E$859,MATCH(BC1838,'Avoided Cost Benefits'!$A$4:$A$859,0)))*F1838</f>
        <v>410.76619061303643</v>
      </c>
      <c r="BE1838" s="2507">
        <f t="shared" si="342"/>
        <v>0</v>
      </c>
      <c r="BF1838" s="156"/>
      <c r="BH1838" s="686"/>
    </row>
    <row r="1839" spans="1:60" x14ac:dyDescent="0.35">
      <c r="A1839" s="1071" t="str">
        <f t="shared" si="343"/>
        <v>354461_2021_12_Heating Res ER2</v>
      </c>
      <c r="B1839" s="2812"/>
      <c r="C1839" s="1037" t="s">
        <v>1430</v>
      </c>
      <c r="D1839" s="1311" t="s">
        <v>315</v>
      </c>
      <c r="E1839" s="3420" t="s">
        <v>1432</v>
      </c>
      <c r="F1839" s="615">
        <f>0</f>
        <v>0</v>
      </c>
      <c r="G1839" s="1313" t="s">
        <v>1150</v>
      </c>
      <c r="H1839" s="136">
        <f>VLOOKUP(G1839,'CP FACTORS'!$A$3:$B$38, 2, FALSE)</f>
        <v>0</v>
      </c>
      <c r="I1839" s="3497">
        <f t="shared" si="344"/>
        <v>0</v>
      </c>
      <c r="J1839" s="124">
        <f t="shared" si="339"/>
        <v>12</v>
      </c>
      <c r="K1839" s="462">
        <f t="shared" si="340"/>
        <v>0</v>
      </c>
      <c r="L1839" s="3496"/>
      <c r="M1839" s="103"/>
      <c r="N1839" s="1317"/>
      <c r="O1839" s="963"/>
      <c r="P1839" s="106"/>
      <c r="Q1839" s="106"/>
      <c r="R1839" s="1214"/>
      <c r="S1839" s="106"/>
      <c r="T1839" s="106"/>
      <c r="U1839" s="1319"/>
      <c r="V1839" s="1590" t="s">
        <v>30</v>
      </c>
      <c r="W1839" s="2914"/>
      <c r="X1839" s="685"/>
      <c r="Y1839" s="618"/>
      <c r="Z1839" s="615"/>
      <c r="AA1839" s="615"/>
      <c r="AB1839" s="3495"/>
      <c r="AC1839" s="618">
        <v>0</v>
      </c>
      <c r="AD1839" s="615">
        <v>0</v>
      </c>
      <c r="AE1839" s="2914"/>
      <c r="AF1839" s="2914"/>
      <c r="AG1839" s="2914"/>
      <c r="AH1839" s="344"/>
      <c r="AI1839" s="156"/>
      <c r="AJ1839" s="3640"/>
      <c r="AK1839" s="2915"/>
      <c r="AL1839" s="156"/>
      <c r="AM1839" s="3640"/>
      <c r="AN1839" s="3640"/>
      <c r="AO1839" s="156"/>
      <c r="AP1839" s="156"/>
      <c r="AQ1839" s="156"/>
      <c r="AR1839" s="156"/>
      <c r="AS1839" s="156"/>
      <c r="AT1839" s="156"/>
      <c r="AU1839" s="156"/>
      <c r="AV1839" s="156"/>
      <c r="AW1839" s="156"/>
      <c r="AX1839" s="156"/>
      <c r="AY1839" s="156"/>
      <c r="AZ1839" s="156"/>
      <c r="BA1839" s="156"/>
      <c r="BB1839" s="2743"/>
      <c r="BC1839" s="2742" t="str">
        <f t="shared" si="345"/>
        <v>Heating Res ER2 12 Year EUL</v>
      </c>
      <c r="BD1839" s="1841">
        <f>(INDEX('Avoided Cost Benefits'!$E$4:$E$859,MATCH(BC1839,'Avoided Cost Benefits'!$A$4:$A$859,0)))*F1839</f>
        <v>0</v>
      </c>
      <c r="BE1839" s="2507">
        <f t="shared" si="342"/>
        <v>0</v>
      </c>
      <c r="BF1839" s="156"/>
      <c r="BH1839" s="686"/>
    </row>
    <row r="1840" spans="1:60" x14ac:dyDescent="0.35">
      <c r="A1840" s="1071" t="str">
        <f t="shared" si="343"/>
        <v>354500_2019_12_Cooling Res</v>
      </c>
      <c r="B1840" s="2812"/>
      <c r="C1840" s="1037" t="s">
        <v>1433</v>
      </c>
      <c r="D1840" s="1311" t="s">
        <v>320</v>
      </c>
      <c r="E1840" s="3418" t="s">
        <v>1434</v>
      </c>
      <c r="F1840" s="615">
        <f>ROUND(((K2865*K3058*(1/K3251-1/K3444)*K3637)/1000)*$K$3677,2)</f>
        <v>1507.97</v>
      </c>
      <c r="G1840" s="1313" t="s">
        <v>1091</v>
      </c>
      <c r="H1840" s="136">
        <f>VLOOKUP(G1840,'CP FACTORS'!$A$3:$B$38, 2, FALSE)</f>
        <v>9.4741810000000004E-4</v>
      </c>
      <c r="I1840" s="3497">
        <f t="shared" si="344"/>
        <v>1.4286779999999999</v>
      </c>
      <c r="J1840" s="124">
        <f t="shared" si="339"/>
        <v>6</v>
      </c>
      <c r="K1840" s="462">
        <f t="shared" si="340"/>
        <v>1716.1717238752744</v>
      </c>
      <c r="L1840" s="689">
        <f>L2093</f>
        <v>3.3</v>
      </c>
      <c r="M1840" s="103"/>
      <c r="N1840" s="1317"/>
      <c r="O1840" s="963"/>
      <c r="P1840" s="106"/>
      <c r="Q1840" s="106"/>
      <c r="R1840" s="1214"/>
      <c r="S1840" s="106"/>
      <c r="T1840" s="106"/>
      <c r="U1840" s="1319"/>
      <c r="V1840" s="3436" t="s">
        <v>30</v>
      </c>
      <c r="W1840" s="2914">
        <v>1929.4086842105264</v>
      </c>
      <c r="X1840" s="685">
        <v>1507.9749807291337</v>
      </c>
      <c r="Y1840" s="615">
        <v>1507.97</v>
      </c>
      <c r="Z1840" s="615">
        <v>1507.97</v>
      </c>
      <c r="AA1840" s="615">
        <v>1507.97</v>
      </c>
      <c r="AB1840" s="3495">
        <v>1507.97</v>
      </c>
      <c r="AC1840" s="2912">
        <v>1507.97</v>
      </c>
      <c r="AD1840" s="615">
        <v>1507.97</v>
      </c>
      <c r="AE1840" s="2914"/>
      <c r="AF1840" s="2914"/>
      <c r="AG1840" s="2914"/>
      <c r="AH1840" s="344"/>
      <c r="AI1840" s="156"/>
      <c r="AJ1840" s="3640"/>
      <c r="AK1840" s="2915"/>
      <c r="AL1840" s="156"/>
      <c r="AM1840" s="3640"/>
      <c r="AN1840" s="3640"/>
      <c r="AO1840" s="156"/>
      <c r="AP1840" s="156"/>
      <c r="AQ1840" s="156"/>
      <c r="AR1840" s="156"/>
      <c r="AS1840" s="156"/>
      <c r="AT1840" s="156"/>
      <c r="AU1840" s="156"/>
      <c r="AV1840" s="156"/>
      <c r="AW1840" s="156"/>
      <c r="AX1840" s="156"/>
      <c r="AY1840" s="156"/>
      <c r="AZ1840" s="156"/>
      <c r="BA1840" s="156"/>
      <c r="BB1840" s="2833">
        <f>(BD1840+BD1841+BD1842+BD1843)/(BE1840+BE1841+BE1842+BE1843)</f>
        <v>1.1702702219982886</v>
      </c>
      <c r="BC1840" s="2348" t="str">
        <f t="shared" si="345"/>
        <v>Cooling Res 6 Year EUL</v>
      </c>
      <c r="BD1840" s="2829">
        <f>(INDEX('Avoided Cost Benefits'!$E$4:$E$859,MATCH(BC1840,'Avoided Cost Benefits'!$A$4:$A$859,0)))*F1840</f>
        <v>955.46787152459513</v>
      </c>
      <c r="BE1840" s="858">
        <f t="shared" si="342"/>
        <v>1619.7939819492915</v>
      </c>
      <c r="BF1840" s="156"/>
      <c r="BH1840" s="686"/>
    </row>
    <row r="1841" spans="1:60" x14ac:dyDescent="0.35">
      <c r="A1841" s="1071" t="str">
        <f t="shared" si="343"/>
        <v>354500_2019_12_Heating Res</v>
      </c>
      <c r="B1841" s="2812"/>
      <c r="C1841" s="1037" t="s">
        <v>1433</v>
      </c>
      <c r="D1841" s="1311" t="s">
        <v>320</v>
      </c>
      <c r="E1841" s="3420" t="s">
        <v>1434</v>
      </c>
      <c r="F1841" s="615">
        <f>ROUND(((K2093*K2286*(1/K2479-1/K2672)*K3637)/1000)*$K$3677,2)</f>
        <v>1798.76</v>
      </c>
      <c r="G1841" s="1313" t="s">
        <v>1092</v>
      </c>
      <c r="H1841" s="136">
        <f>VLOOKUP(G1841,'CP FACTORS'!$A$3:$B$38, 2, FALSE)</f>
        <v>0</v>
      </c>
      <c r="I1841" s="3497">
        <f t="shared" si="344"/>
        <v>0</v>
      </c>
      <c r="J1841" s="124">
        <f t="shared" si="339"/>
        <v>6</v>
      </c>
      <c r="K1841" s="462">
        <f t="shared" si="340"/>
        <v>0</v>
      </c>
      <c r="L1841" s="689"/>
      <c r="M1841" s="103"/>
      <c r="N1841" s="1317"/>
      <c r="O1841" s="963"/>
      <c r="P1841" s="106"/>
      <c r="Q1841" s="106"/>
      <c r="R1841" s="1214"/>
      <c r="S1841" s="106"/>
      <c r="T1841" s="106"/>
      <c r="U1841" s="1319"/>
      <c r="V1841" s="3436" t="s">
        <v>30</v>
      </c>
      <c r="W1841" s="2914">
        <v>4062.4872213622284</v>
      </c>
      <c r="X1841" s="685">
        <v>1798.7611070228763</v>
      </c>
      <c r="Y1841" s="615">
        <v>1798.76</v>
      </c>
      <c r="Z1841" s="615">
        <v>1798.76</v>
      </c>
      <c r="AA1841" s="615">
        <v>1798.76</v>
      </c>
      <c r="AB1841" s="3495">
        <v>1798.76</v>
      </c>
      <c r="AC1841" s="2912">
        <v>1798.76</v>
      </c>
      <c r="AD1841" s="615">
        <v>1798.76</v>
      </c>
      <c r="AE1841" s="2914"/>
      <c r="AF1841" s="2914"/>
      <c r="AG1841" s="2914"/>
      <c r="AH1841" s="344"/>
      <c r="AI1841" s="156"/>
      <c r="AJ1841" s="3640"/>
      <c r="AK1841" s="2915"/>
      <c r="AL1841" s="156"/>
      <c r="AM1841" s="3640"/>
      <c r="AN1841" s="3640"/>
      <c r="AO1841" s="156"/>
      <c r="AP1841" s="156"/>
      <c r="AQ1841" s="156"/>
      <c r="AR1841" s="156"/>
      <c r="AS1841" s="156"/>
      <c r="AT1841" s="156"/>
      <c r="AU1841" s="156"/>
      <c r="AV1841" s="156"/>
      <c r="AW1841" s="156"/>
      <c r="AX1841" s="156"/>
      <c r="AY1841" s="156"/>
      <c r="AZ1841" s="156"/>
      <c r="BA1841" s="156"/>
      <c r="BB1841" s="2905"/>
      <c r="BC1841" s="2357" t="str">
        <f t="shared" si="345"/>
        <v>Heating Res 6 Year EUL</v>
      </c>
      <c r="BD1841" s="2829">
        <f>(INDEX('Avoided Cost Benefits'!$E$4:$E$859,MATCH(BC1841,'Avoided Cost Benefits'!$A$4:$A$859,0)))*F1841</f>
        <v>293.09209201798672</v>
      </c>
      <c r="BE1841" s="858">
        <f t="shared" si="342"/>
        <v>0</v>
      </c>
      <c r="BF1841" s="156"/>
      <c r="BH1841" s="686"/>
    </row>
    <row r="1842" spans="1:60" x14ac:dyDescent="0.35">
      <c r="A1842" s="1071" t="str">
        <f t="shared" si="343"/>
        <v>354500_2019_12_Cooling Res ER2</v>
      </c>
      <c r="B1842" s="2812"/>
      <c r="C1842" s="1037" t="s">
        <v>1433</v>
      </c>
      <c r="D1842" s="1311" t="s">
        <v>320</v>
      </c>
      <c r="E1842" s="3420" t="s">
        <v>1435</v>
      </c>
      <c r="F1842" s="615">
        <f>ROUND(((K2866*K3059*(1/K3252-1/K3445)*K3638)/1000)*$K$3677,2)</f>
        <v>420.45</v>
      </c>
      <c r="G1842" s="1313" t="s">
        <v>1133</v>
      </c>
      <c r="H1842" s="136">
        <f>VLOOKUP(G1842,'CP FACTORS'!$A$3:$B$38, 2, FALSE)</f>
        <v>9.4741810000000004E-4</v>
      </c>
      <c r="I1842" s="3497">
        <f t="shared" si="344"/>
        <v>0.39834199999999997</v>
      </c>
      <c r="J1842" s="124">
        <f t="shared" si="339"/>
        <v>12</v>
      </c>
      <c r="K1842" s="462">
        <f t="shared" si="340"/>
        <v>0</v>
      </c>
      <c r="L1842" s="689"/>
      <c r="M1842" s="103"/>
      <c r="N1842" s="1317"/>
      <c r="O1842" s="963"/>
      <c r="P1842" s="106"/>
      <c r="Q1842" s="106"/>
      <c r="R1842" s="1214"/>
      <c r="S1842" s="106"/>
      <c r="T1842" s="106"/>
      <c r="U1842" s="1319"/>
      <c r="V1842" s="3436" t="s">
        <v>30</v>
      </c>
      <c r="W1842" s="2914">
        <v>420.45225563909776</v>
      </c>
      <c r="X1842" s="688">
        <v>420.45225563909776</v>
      </c>
      <c r="Y1842" s="615">
        <v>420.45</v>
      </c>
      <c r="Z1842" s="615">
        <v>420.45</v>
      </c>
      <c r="AA1842" s="615">
        <v>420.45</v>
      </c>
      <c r="AB1842" s="3495">
        <v>420.45</v>
      </c>
      <c r="AC1842" s="2912">
        <v>420.45</v>
      </c>
      <c r="AD1842" s="615">
        <v>420.45</v>
      </c>
      <c r="AE1842" s="2914"/>
      <c r="AF1842" s="2914"/>
      <c r="AG1842" s="2914"/>
      <c r="AH1842" s="344"/>
      <c r="AI1842" s="156"/>
      <c r="AJ1842" s="3640"/>
      <c r="AK1842" s="2915"/>
      <c r="AL1842" s="156"/>
      <c r="AM1842" s="3640"/>
      <c r="AN1842" s="3640"/>
      <c r="AO1842" s="156"/>
      <c r="AP1842" s="156"/>
      <c r="AQ1842" s="156"/>
      <c r="AR1842" s="156"/>
      <c r="AS1842" s="156"/>
      <c r="AT1842" s="156"/>
      <c r="AU1842" s="156"/>
      <c r="AV1842" s="156"/>
      <c r="AW1842" s="156"/>
      <c r="AX1842" s="156"/>
      <c r="AY1842" s="156"/>
      <c r="AZ1842" s="156"/>
      <c r="BA1842" s="156"/>
      <c r="BB1842" s="2905"/>
      <c r="BC1842" s="2357" t="str">
        <f t="shared" si="345"/>
        <v>Cooling Res ER2 12 Year EUL</v>
      </c>
      <c r="BD1842" s="2829">
        <f>(INDEX('Avoided Cost Benefits'!$E$4:$E$859,MATCH(BC1842,'Avoided Cost Benefits'!$A$4:$A$859,0)))*F1842</f>
        <v>465.2406789592456</v>
      </c>
      <c r="BE1842" s="858">
        <f t="shared" si="342"/>
        <v>0</v>
      </c>
      <c r="BF1842" s="156"/>
      <c r="BH1842" s="686"/>
    </row>
    <row r="1843" spans="1:60" x14ac:dyDescent="0.35">
      <c r="A1843" s="1071" t="str">
        <f t="shared" si="343"/>
        <v>354500_2019_12_Heating Res ER2</v>
      </c>
      <c r="B1843" s="2812"/>
      <c r="C1843" s="1037" t="s">
        <v>1433</v>
      </c>
      <c r="D1843" s="1311" t="s">
        <v>320</v>
      </c>
      <c r="E1843" s="3419" t="s">
        <v>1435</v>
      </c>
      <c r="F1843" s="615">
        <f>ROUND(((K2094*K2287*(1/K2480-1/K2673)*K3638)/1000)*$K$3677,2)</f>
        <v>642.61</v>
      </c>
      <c r="G1843" s="1313" t="s">
        <v>1150</v>
      </c>
      <c r="H1843" s="136">
        <f>VLOOKUP(G1843,'CP FACTORS'!$A$3:$B$38, 2, FALSE)</f>
        <v>0</v>
      </c>
      <c r="I1843" s="3497">
        <f t="shared" si="344"/>
        <v>0</v>
      </c>
      <c r="J1843" s="124">
        <f t="shared" si="339"/>
        <v>12</v>
      </c>
      <c r="K1843" s="462">
        <f t="shared" si="340"/>
        <v>0</v>
      </c>
      <c r="L1843" s="689"/>
      <c r="M1843" s="103"/>
      <c r="N1843" s="1317"/>
      <c r="O1843" s="963"/>
      <c r="P1843" s="106"/>
      <c r="Q1843" s="106"/>
      <c r="R1843" s="1214"/>
      <c r="S1843" s="106"/>
      <c r="T1843" s="106"/>
      <c r="U1843" s="1319"/>
      <c r="V1843" s="3436" t="s">
        <v>30</v>
      </c>
      <c r="W1843" s="2914">
        <v>862.96736842105349</v>
      </c>
      <c r="X1843" s="685">
        <v>642.6078562259313</v>
      </c>
      <c r="Y1843" s="615">
        <v>642.61</v>
      </c>
      <c r="Z1843" s="615">
        <v>642.61</v>
      </c>
      <c r="AA1843" s="615">
        <v>642.61</v>
      </c>
      <c r="AB1843" s="3495">
        <v>642.61</v>
      </c>
      <c r="AC1843" s="2912">
        <v>642.61</v>
      </c>
      <c r="AD1843" s="615">
        <v>642.61</v>
      </c>
      <c r="AE1843" s="2914"/>
      <c r="AF1843" s="2914"/>
      <c r="AG1843" s="2914"/>
      <c r="AH1843" s="344"/>
      <c r="AI1843" s="156"/>
      <c r="AJ1843" s="3640"/>
      <c r="AK1843" s="2915"/>
      <c r="AL1843" s="156"/>
      <c r="AM1843" s="3640"/>
      <c r="AN1843" s="3640"/>
      <c r="AO1843" s="156"/>
      <c r="AP1843" s="156"/>
      <c r="AQ1843" s="156"/>
      <c r="AR1843" s="156"/>
      <c r="AS1843" s="156"/>
      <c r="AT1843" s="156"/>
      <c r="AU1843" s="156"/>
      <c r="AV1843" s="156"/>
      <c r="AW1843" s="156"/>
      <c r="AX1843" s="156"/>
      <c r="AY1843" s="156"/>
      <c r="AZ1843" s="156"/>
      <c r="BA1843" s="156"/>
      <c r="BB1843" s="2905"/>
      <c r="BC1843" s="2349" t="str">
        <f t="shared" si="345"/>
        <v>Heating Res ER2 12 Year EUL</v>
      </c>
      <c r="BD1843" s="2829">
        <f>(INDEX('Avoided Cost Benefits'!$E$4:$E$859,MATCH(BC1843,'Avoided Cost Benefits'!$A$4:$A$859,0)))*F1843</f>
        <v>181.79602034546187</v>
      </c>
      <c r="BE1843" s="858">
        <f t="shared" si="342"/>
        <v>0</v>
      </c>
      <c r="BF1843" s="156"/>
      <c r="BH1843" s="686"/>
    </row>
    <row r="1844" spans="1:60" x14ac:dyDescent="0.35">
      <c r="A1844" s="1071" t="str">
        <f t="shared" si="343"/>
        <v>354501_2019_12_Cooling Res</v>
      </c>
      <c r="B1844" s="2812"/>
      <c r="C1844" s="1037" t="s">
        <v>1436</v>
      </c>
      <c r="D1844" s="1311" t="s">
        <v>315</v>
      </c>
      <c r="E1844" s="3418" t="s">
        <v>1437</v>
      </c>
      <c r="F1844" s="615">
        <f>ROUND((($K$2867*$K$3060*(1/$K$3253-1/$K$3446)*$K$3639)/1000)*$K$3677,2)</f>
        <v>1096.71</v>
      </c>
      <c r="G1844" s="1313" t="str">
        <f t="shared" ref="G1844:G1847" si="346">G1840</f>
        <v>Cooling Res</v>
      </c>
      <c r="H1844" s="136">
        <f>VLOOKUP(G1844,'CP FACTORS'!$A$3:$B$38, 2, FALSE)</f>
        <v>9.4741810000000004E-4</v>
      </c>
      <c r="I1844" s="3497">
        <f t="shared" si="344"/>
        <v>1.0390429999999999</v>
      </c>
      <c r="J1844" s="124">
        <f t="shared" si="339"/>
        <v>6</v>
      </c>
      <c r="K1844" s="462">
        <f t="shared" si="340"/>
        <v>1716.1717238752744</v>
      </c>
      <c r="L1844" s="689">
        <f>L2095</f>
        <v>3.3</v>
      </c>
      <c r="M1844" s="103"/>
      <c r="N1844" s="1317"/>
      <c r="O1844" s="963"/>
      <c r="P1844" s="106"/>
      <c r="Q1844" s="106"/>
      <c r="R1844" s="1214"/>
      <c r="S1844" s="106"/>
      <c r="T1844" s="106"/>
      <c r="U1844" s="1319"/>
      <c r="V1844" s="3436" t="s">
        <v>30</v>
      </c>
      <c r="W1844" s="2914"/>
      <c r="X1844" s="685"/>
      <c r="Y1844" s="618">
        <v>1096.71</v>
      </c>
      <c r="Z1844" s="615">
        <v>1096.71</v>
      </c>
      <c r="AA1844" s="615">
        <v>1096.71</v>
      </c>
      <c r="AB1844" s="3495">
        <v>1096.71</v>
      </c>
      <c r="AC1844" s="2912">
        <v>1096.71</v>
      </c>
      <c r="AD1844" s="615">
        <v>1096.71</v>
      </c>
      <c r="AE1844" s="2914"/>
      <c r="AF1844" s="2914"/>
      <c r="AG1844" s="2914"/>
      <c r="AH1844" s="344"/>
      <c r="AI1844" s="156"/>
      <c r="AJ1844" s="3640"/>
      <c r="AK1844" s="2915"/>
      <c r="AL1844" s="156"/>
      <c r="AM1844" s="3640"/>
      <c r="AN1844" s="3640"/>
      <c r="AO1844" s="156"/>
      <c r="AP1844" s="156"/>
      <c r="AQ1844" s="156"/>
      <c r="AR1844" s="156"/>
      <c r="AS1844" s="156"/>
      <c r="AT1844" s="156"/>
      <c r="AU1844" s="156"/>
      <c r="AV1844" s="156"/>
      <c r="AW1844" s="156"/>
      <c r="AX1844" s="156"/>
      <c r="AY1844" s="156"/>
      <c r="AZ1844" s="156"/>
      <c r="BA1844" s="156"/>
      <c r="BB1844" s="2833">
        <f>(BD1844+BD1845+BD1846+BD1847)/(BE1844+BE1845+BE1846+BE1847)</f>
        <v>0.73783215381295197</v>
      </c>
      <c r="BC1844" s="2348" t="str">
        <f t="shared" si="345"/>
        <v>Cooling Res 6 Year EUL</v>
      </c>
      <c r="BD1844" s="2829">
        <f>(INDEX('Avoided Cost Benefits'!$E$4:$E$859,MATCH(BC1844,'Avoided Cost Benefits'!$A$4:$A$859,0)))*F1844</f>
        <v>694.88860479965706</v>
      </c>
      <c r="BE1844" s="858">
        <f t="shared" si="342"/>
        <v>1619.7939819492915</v>
      </c>
      <c r="BF1844" s="156"/>
      <c r="BH1844" s="686"/>
    </row>
    <row r="1845" spans="1:60" x14ac:dyDescent="0.35">
      <c r="A1845" s="1071" t="str">
        <f t="shared" si="343"/>
        <v>354501_2019_12_Heating Res</v>
      </c>
      <c r="B1845" s="2812"/>
      <c r="C1845" s="1037" t="str">
        <f>C1844</f>
        <v>354501_2019_12_</v>
      </c>
      <c r="D1845" s="1311" t="s">
        <v>315</v>
      </c>
      <c r="E1845" s="3420" t="s">
        <v>1437</v>
      </c>
      <c r="F1845" s="615">
        <f>ROUND((($K$2095*$K$2288*(1/$K$2481-1/$K$2674)*$K$3639)/1000)*$K$3677,2)</f>
        <v>613.21</v>
      </c>
      <c r="G1845" s="1313" t="str">
        <f t="shared" si="346"/>
        <v>Heating Res</v>
      </c>
      <c r="H1845" s="136">
        <f>VLOOKUP(G1845,'CP FACTORS'!$A$3:$B$38, 2, FALSE)</f>
        <v>0</v>
      </c>
      <c r="I1845" s="3497">
        <f t="shared" si="344"/>
        <v>0</v>
      </c>
      <c r="J1845" s="124">
        <f t="shared" si="339"/>
        <v>6</v>
      </c>
      <c r="K1845" s="462">
        <f t="shared" si="340"/>
        <v>0</v>
      </c>
      <c r="L1845" s="689"/>
      <c r="M1845" s="103"/>
      <c r="N1845" s="1317"/>
      <c r="O1845" s="963"/>
      <c r="P1845" s="106"/>
      <c r="Q1845" s="106"/>
      <c r="R1845" s="1214"/>
      <c r="S1845" s="106"/>
      <c r="T1845" s="106"/>
      <c r="U1845" s="1319"/>
      <c r="V1845" s="3436" t="s">
        <v>30</v>
      </c>
      <c r="W1845" s="2914"/>
      <c r="X1845" s="685"/>
      <c r="Y1845" s="618">
        <v>613.21</v>
      </c>
      <c r="Z1845" s="615">
        <v>613.21</v>
      </c>
      <c r="AA1845" s="615">
        <v>613.21</v>
      </c>
      <c r="AB1845" s="3495">
        <v>613.21</v>
      </c>
      <c r="AC1845" s="2912">
        <v>613.21</v>
      </c>
      <c r="AD1845" s="615">
        <v>613.21</v>
      </c>
      <c r="AE1845" s="2914"/>
      <c r="AF1845" s="2914"/>
      <c r="AG1845" s="2914"/>
      <c r="AH1845" s="344"/>
      <c r="AI1845" s="156"/>
      <c r="AJ1845" s="3640"/>
      <c r="AK1845" s="2915"/>
      <c r="AL1845" s="156"/>
      <c r="AM1845" s="3640"/>
      <c r="AN1845" s="3640"/>
      <c r="AO1845" s="156"/>
      <c r="AP1845" s="156"/>
      <c r="AQ1845" s="156"/>
      <c r="AR1845" s="156"/>
      <c r="AS1845" s="156"/>
      <c r="AT1845" s="156"/>
      <c r="AU1845" s="156"/>
      <c r="AV1845" s="156"/>
      <c r="AW1845" s="156"/>
      <c r="AX1845" s="156"/>
      <c r="AY1845" s="156"/>
      <c r="AZ1845" s="156"/>
      <c r="BA1845" s="156"/>
      <c r="BB1845" s="2905"/>
      <c r="BC1845" s="2357" t="str">
        <f t="shared" si="345"/>
        <v>Heating Res 6 Year EUL</v>
      </c>
      <c r="BD1845" s="2829">
        <f>(INDEX('Avoided Cost Benefits'!$E$4:$E$859,MATCH(BC1845,'Avoided Cost Benefits'!$A$4:$A$859,0)))*F1845</f>
        <v>99.917166129083185</v>
      </c>
      <c r="BE1845" s="858">
        <f t="shared" si="342"/>
        <v>0</v>
      </c>
      <c r="BF1845" s="156"/>
      <c r="BH1845" s="686"/>
    </row>
    <row r="1846" spans="1:60" x14ac:dyDescent="0.35">
      <c r="A1846" s="1071" t="str">
        <f t="shared" si="343"/>
        <v>354501_2019_12_Cooling Res ER2</v>
      </c>
      <c r="B1846" s="2812"/>
      <c r="C1846" s="1037" t="str">
        <f>C1845</f>
        <v>354501_2019_12_</v>
      </c>
      <c r="D1846" s="1311" t="s">
        <v>315</v>
      </c>
      <c r="E1846" s="3420" t="s">
        <v>1438</v>
      </c>
      <c r="F1846" s="615">
        <f>ROUND((($K$2868*$K$3061*(1/$K$3254-1/$K$3447)*$K$3640)/1000)*$K$3677,2)</f>
        <v>305.77999999999997</v>
      </c>
      <c r="G1846" s="1313" t="str">
        <f t="shared" si="346"/>
        <v>Cooling Res ER2</v>
      </c>
      <c r="H1846" s="136">
        <f>VLOOKUP(G1846,'CP FACTORS'!$A$3:$B$38, 2, FALSE)</f>
        <v>9.4741810000000004E-4</v>
      </c>
      <c r="I1846" s="3497">
        <f t="shared" si="344"/>
        <v>0.28970200000000002</v>
      </c>
      <c r="J1846" s="124">
        <f t="shared" si="339"/>
        <v>12</v>
      </c>
      <c r="K1846" s="462">
        <f t="shared" si="340"/>
        <v>0</v>
      </c>
      <c r="L1846" s="689"/>
      <c r="M1846" s="103"/>
      <c r="N1846" s="1317"/>
      <c r="O1846" s="963"/>
      <c r="P1846" s="106"/>
      <c r="Q1846" s="106"/>
      <c r="R1846" s="1214"/>
      <c r="S1846" s="106"/>
      <c r="T1846" s="106"/>
      <c r="U1846" s="1319"/>
      <c r="V1846" s="3436" t="s">
        <v>30</v>
      </c>
      <c r="W1846" s="2914"/>
      <c r="X1846" s="685"/>
      <c r="Y1846" s="618">
        <v>305.77999999999997</v>
      </c>
      <c r="Z1846" s="615">
        <v>305.77999999999997</v>
      </c>
      <c r="AA1846" s="615">
        <v>305.77999999999997</v>
      </c>
      <c r="AB1846" s="3495">
        <v>305.77999999999997</v>
      </c>
      <c r="AC1846" s="2912">
        <v>305.77999999999997</v>
      </c>
      <c r="AD1846" s="615">
        <v>305.77999999999997</v>
      </c>
      <c r="AE1846" s="2914"/>
      <c r="AF1846" s="2914"/>
      <c r="AG1846" s="2914"/>
      <c r="AH1846" s="344"/>
      <c r="AI1846" s="156"/>
      <c r="AJ1846" s="3640"/>
      <c r="AK1846" s="2915"/>
      <c r="AL1846" s="156"/>
      <c r="AM1846" s="3640"/>
      <c r="AN1846" s="3640"/>
      <c r="AO1846" s="156"/>
      <c r="AP1846" s="156"/>
      <c r="AQ1846" s="156"/>
      <c r="AR1846" s="156"/>
      <c r="AS1846" s="156"/>
      <c r="AT1846" s="156"/>
      <c r="AU1846" s="156"/>
      <c r="AV1846" s="156"/>
      <c r="AW1846" s="156"/>
      <c r="AX1846" s="156"/>
      <c r="AY1846" s="156"/>
      <c r="AZ1846" s="156"/>
      <c r="BA1846" s="156"/>
      <c r="BB1846" s="2905"/>
      <c r="BC1846" s="2357" t="str">
        <f t="shared" si="345"/>
        <v>Cooling Res ER2 12 Year EUL</v>
      </c>
      <c r="BD1846" s="2829">
        <f>(INDEX('Avoided Cost Benefits'!$E$4:$E$859,MATCH(BC1846,'Avoided Cost Benefits'!$A$4:$A$859,0)))*F1846</f>
        <v>338.3548455515712</v>
      </c>
      <c r="BE1846" s="858">
        <f t="shared" si="342"/>
        <v>0</v>
      </c>
      <c r="BF1846" s="156"/>
      <c r="BH1846" s="686"/>
    </row>
    <row r="1847" spans="1:60" x14ac:dyDescent="0.35">
      <c r="A1847" s="1071" t="str">
        <f t="shared" si="343"/>
        <v>354501_2019_12_Heating Res ER2</v>
      </c>
      <c r="B1847" s="2812"/>
      <c r="C1847" s="1037" t="str">
        <f>C1846</f>
        <v>354501_2019_12_</v>
      </c>
      <c r="D1847" s="1311" t="s">
        <v>315</v>
      </c>
      <c r="E1847" s="3419" t="s">
        <v>1438</v>
      </c>
      <c r="F1847" s="615">
        <f>ROUND((($K$2096*$K$2289*(1/$K$2482-1/$K$2675)*$K$3640)/1000)*$K$3677,2)</f>
        <v>219.07</v>
      </c>
      <c r="G1847" s="1313" t="str">
        <f t="shared" si="346"/>
        <v>Heating Res ER2</v>
      </c>
      <c r="H1847" s="136">
        <f>VLOOKUP(G1847,'CP FACTORS'!$A$3:$B$38, 2, FALSE)</f>
        <v>0</v>
      </c>
      <c r="I1847" s="3497">
        <f t="shared" si="344"/>
        <v>0</v>
      </c>
      <c r="J1847" s="124">
        <f t="shared" si="339"/>
        <v>12</v>
      </c>
      <c r="K1847" s="462">
        <f t="shared" si="340"/>
        <v>0</v>
      </c>
      <c r="L1847" s="689"/>
      <c r="M1847" s="103"/>
      <c r="N1847" s="1317"/>
      <c r="O1847" s="963"/>
      <c r="P1847" s="106"/>
      <c r="Q1847" s="106"/>
      <c r="R1847" s="1214"/>
      <c r="S1847" s="106"/>
      <c r="T1847" s="106"/>
      <c r="U1847" s="1319"/>
      <c r="V1847" s="3436" t="s">
        <v>30</v>
      </c>
      <c r="W1847" s="2914"/>
      <c r="X1847" s="685"/>
      <c r="Y1847" s="618">
        <v>219.07</v>
      </c>
      <c r="Z1847" s="615">
        <v>219.07</v>
      </c>
      <c r="AA1847" s="615">
        <v>219.07</v>
      </c>
      <c r="AB1847" s="3495">
        <v>219.07</v>
      </c>
      <c r="AC1847" s="2912">
        <v>219.07</v>
      </c>
      <c r="AD1847" s="615">
        <v>219.07</v>
      </c>
      <c r="AE1847" s="2914"/>
      <c r="AF1847" s="2914"/>
      <c r="AG1847" s="2914"/>
      <c r="AH1847" s="344"/>
      <c r="AI1847" s="156"/>
      <c r="AJ1847" s="3640"/>
      <c r="AK1847" s="2915"/>
      <c r="AL1847" s="156"/>
      <c r="AM1847" s="3640"/>
      <c r="AN1847" s="3640"/>
      <c r="AO1847" s="156"/>
      <c r="AP1847" s="156"/>
      <c r="AQ1847" s="156"/>
      <c r="AR1847" s="156"/>
      <c r="AS1847" s="156"/>
      <c r="AT1847" s="156"/>
      <c r="AU1847" s="156"/>
      <c r="AV1847" s="156"/>
      <c r="AW1847" s="156"/>
      <c r="AX1847" s="156"/>
      <c r="AY1847" s="156"/>
      <c r="AZ1847" s="156"/>
      <c r="BA1847" s="156"/>
      <c r="BB1847" s="2905"/>
      <c r="BC1847" s="2349" t="str">
        <f t="shared" si="345"/>
        <v>Heating Res ER2 12 Year EUL</v>
      </c>
      <c r="BD1847" s="2829">
        <f>(INDEX('Avoided Cost Benefits'!$E$4:$E$859,MATCH(BC1847,'Avoided Cost Benefits'!$A$4:$A$859,0)))*F1847</f>
        <v>61.975465954591947</v>
      </c>
      <c r="BE1847" s="858">
        <f t="shared" si="342"/>
        <v>0</v>
      </c>
      <c r="BF1847" s="156"/>
      <c r="BH1847" s="686"/>
    </row>
    <row r="1848" spans="1:60" x14ac:dyDescent="0.35">
      <c r="A1848" s="1071" t="str">
        <f t="shared" si="343"/>
        <v>354550_2021_12_Cooling Res</v>
      </c>
      <c r="B1848" s="2812"/>
      <c r="C1848" s="1037" t="s">
        <v>1440</v>
      </c>
      <c r="D1848" s="1311" t="s">
        <v>318</v>
      </c>
      <c r="E1848" s="3418" t="s">
        <v>1441</v>
      </c>
      <c r="F1848" s="618">
        <f>ROUND(((K2869*K3062*(1/K3255-1/K3448)*K3641)/1000)*$K$3677,2)</f>
        <v>2594.98</v>
      </c>
      <c r="G1848" s="2810" t="s">
        <v>1091</v>
      </c>
      <c r="H1848" s="2720">
        <f>VLOOKUP(G1848,'CP FACTORS'!$A$3:$B$38, 2, FALSE)</f>
        <v>9.4741810000000004E-4</v>
      </c>
      <c r="I1848" s="2995">
        <f t="shared" si="344"/>
        <v>2.4585309999999998</v>
      </c>
      <c r="J1848" s="124">
        <f t="shared" si="339"/>
        <v>6</v>
      </c>
      <c r="K1848" s="462">
        <f t="shared" si="340"/>
        <v>2109.0699962597669</v>
      </c>
      <c r="L1848" s="3496">
        <f>L2097</f>
        <v>2.7818528962962961</v>
      </c>
      <c r="M1848" s="103"/>
      <c r="N1848" s="1317"/>
      <c r="O1848" s="963"/>
      <c r="P1848" s="106"/>
      <c r="Q1848" s="106"/>
      <c r="R1848" s="1214"/>
      <c r="S1848" s="106"/>
      <c r="T1848" s="106"/>
      <c r="U1848" s="1319"/>
      <c r="V1848" s="3436" t="s">
        <v>30</v>
      </c>
      <c r="W1848" s="2914">
        <v>3058.88</v>
      </c>
      <c r="X1848" s="685">
        <v>2410.520456182473</v>
      </c>
      <c r="Y1848" s="615">
        <v>2410.52</v>
      </c>
      <c r="Z1848" s="615">
        <v>2410.52</v>
      </c>
      <c r="AA1848" s="615">
        <v>2410.52</v>
      </c>
      <c r="AB1848" s="3495">
        <v>2410.52</v>
      </c>
      <c r="AC1848" s="618">
        <v>3652.3</v>
      </c>
      <c r="AD1848" s="618">
        <v>2594.98</v>
      </c>
      <c r="AE1848" s="2914"/>
      <c r="AF1848" s="2914"/>
      <c r="AG1848" s="2914"/>
      <c r="AH1848" s="344"/>
      <c r="AI1848" s="156"/>
      <c r="AJ1848" s="3640"/>
      <c r="AK1848" s="2915"/>
      <c r="AL1848" s="156"/>
      <c r="AM1848" s="3640"/>
      <c r="AN1848" s="3640"/>
      <c r="AO1848" s="156"/>
      <c r="AP1848" s="156"/>
      <c r="AQ1848" s="156"/>
      <c r="AR1848" s="156"/>
      <c r="AS1848" s="156"/>
      <c r="AT1848" s="156"/>
      <c r="AU1848" s="156"/>
      <c r="AV1848" s="156"/>
      <c r="AW1848" s="156"/>
      <c r="AX1848" s="156"/>
      <c r="AY1848" s="156"/>
      <c r="AZ1848" s="156"/>
      <c r="BA1848" s="156"/>
      <c r="BB1848" s="2833">
        <f>(BD1848+BD1849+BD1850+BD1851)/(BE1848+BE1849+BE1850+BE1851)</f>
        <v>1.59112239952956</v>
      </c>
      <c r="BC1848" s="2348" t="str">
        <f t="shared" si="345"/>
        <v>Cooling Res 6 Year EUL</v>
      </c>
      <c r="BD1848" s="2829">
        <f>(INDEX('Avoided Cost Benefits'!$E$4:$E$859,MATCH(BC1848,'Avoided Cost Benefits'!$A$4:$A$859,0)))*F1848</f>
        <v>1644.2104400279143</v>
      </c>
      <c r="BE1848" s="858">
        <f t="shared" si="342"/>
        <v>1990.6276510238476</v>
      </c>
      <c r="BF1848" s="156"/>
      <c r="BH1848" s="686"/>
    </row>
    <row r="1849" spans="1:60" x14ac:dyDescent="0.35">
      <c r="A1849" s="1071" t="str">
        <f t="shared" si="343"/>
        <v>354550_2021_12_Heating Res</v>
      </c>
      <c r="B1849" s="2812"/>
      <c r="C1849" s="1037" t="s">
        <v>1440</v>
      </c>
      <c r="D1849" s="1311" t="s">
        <v>318</v>
      </c>
      <c r="E1849" s="3420" t="s">
        <v>1441</v>
      </c>
      <c r="F1849" s="618">
        <f>ROUND(((K2097*K2290*(1/K2483-1/K2676)*K3641)/1000)*$K$3677,2)</f>
        <v>2662.45</v>
      </c>
      <c r="G1849" s="2810" t="s">
        <v>1092</v>
      </c>
      <c r="H1849" s="2720">
        <f>VLOOKUP(G1849,'CP FACTORS'!$A$3:$B$38, 2, FALSE)</f>
        <v>0</v>
      </c>
      <c r="I1849" s="2995">
        <f t="shared" si="344"/>
        <v>0</v>
      </c>
      <c r="J1849" s="124">
        <f t="shared" si="339"/>
        <v>6</v>
      </c>
      <c r="K1849" s="462">
        <f t="shared" si="340"/>
        <v>0</v>
      </c>
      <c r="L1849" s="3496"/>
      <c r="M1849" s="103"/>
      <c r="N1849" s="1317"/>
      <c r="O1849" s="963"/>
      <c r="P1849" s="106"/>
      <c r="Q1849" s="106"/>
      <c r="R1849" s="1214"/>
      <c r="S1849" s="106"/>
      <c r="T1849" s="106"/>
      <c r="U1849" s="1319"/>
      <c r="V1849" s="3436" t="s">
        <v>30</v>
      </c>
      <c r="W1849" s="2914">
        <v>6249.9803405572748</v>
      </c>
      <c r="X1849" s="685">
        <v>2767.3247800351946</v>
      </c>
      <c r="Y1849" s="615">
        <v>2767.32</v>
      </c>
      <c r="Z1849" s="615">
        <v>2767.32</v>
      </c>
      <c r="AA1849" s="615">
        <v>2767.32</v>
      </c>
      <c r="AB1849" s="3495">
        <v>2767.32</v>
      </c>
      <c r="AC1849" s="618">
        <v>5092.7700000000004</v>
      </c>
      <c r="AD1849" s="618">
        <v>2662.45</v>
      </c>
      <c r="AE1849" s="2914"/>
      <c r="AF1849" s="2914"/>
      <c r="AG1849" s="2914"/>
      <c r="AH1849" s="344"/>
      <c r="AI1849" s="156"/>
      <c r="AJ1849" s="3640"/>
      <c r="AK1849" s="2915"/>
      <c r="AL1849" s="156"/>
      <c r="AM1849" s="3640"/>
      <c r="AN1849" s="3640"/>
      <c r="AO1849" s="156"/>
      <c r="AP1849" s="156"/>
      <c r="AQ1849" s="156"/>
      <c r="AR1849" s="156"/>
      <c r="AS1849" s="156"/>
      <c r="AT1849" s="156"/>
      <c r="AU1849" s="156"/>
      <c r="AV1849" s="156"/>
      <c r="AW1849" s="156"/>
      <c r="AX1849" s="156"/>
      <c r="AY1849" s="156"/>
      <c r="AZ1849" s="156"/>
      <c r="BA1849" s="156"/>
      <c r="BB1849" s="2905"/>
      <c r="BC1849" s="2357" t="str">
        <f t="shared" si="345"/>
        <v>Heating Res 6 Year EUL</v>
      </c>
      <c r="BD1849" s="2829">
        <f>(INDEX('Avoided Cost Benefits'!$E$4:$E$859,MATCH(BC1849,'Avoided Cost Benefits'!$A$4:$A$859,0)))*F1849</f>
        <v>433.82276701354755</v>
      </c>
      <c r="BE1849" s="858">
        <f t="shared" si="342"/>
        <v>0</v>
      </c>
      <c r="BF1849" s="156"/>
      <c r="BH1849" s="686"/>
    </row>
    <row r="1850" spans="1:60" x14ac:dyDescent="0.35">
      <c r="A1850" s="1071" t="str">
        <f t="shared" si="343"/>
        <v>354550_2021_12_Cooling Res ER2</v>
      </c>
      <c r="B1850" s="2812"/>
      <c r="C1850" s="1037" t="s">
        <v>1440</v>
      </c>
      <c r="D1850" s="1311" t="s">
        <v>318</v>
      </c>
      <c r="E1850" s="3420" t="s">
        <v>1442</v>
      </c>
      <c r="F1850" s="618">
        <f>ROUND(((K2870*K3063*(1/K3256-1/K3449)*K3642)/1000)*$K$3677,2)</f>
        <v>687.08</v>
      </c>
      <c r="G1850" s="2810" t="s">
        <v>1133</v>
      </c>
      <c r="H1850" s="2720">
        <f>VLOOKUP(G1850,'CP FACTORS'!$A$3:$B$38, 2, FALSE)</f>
        <v>9.4741810000000004E-4</v>
      </c>
      <c r="I1850" s="2995">
        <f t="shared" si="344"/>
        <v>0.65095199999999998</v>
      </c>
      <c r="J1850" s="124">
        <f t="shared" si="339"/>
        <v>12</v>
      </c>
      <c r="K1850" s="462">
        <f t="shared" si="340"/>
        <v>0</v>
      </c>
      <c r="L1850" s="3496"/>
      <c r="M1850" s="103"/>
      <c r="N1850" s="1317"/>
      <c r="O1850" s="963"/>
      <c r="P1850" s="106"/>
      <c r="Q1850" s="106"/>
      <c r="R1850" s="1214"/>
      <c r="S1850" s="106"/>
      <c r="T1850" s="106"/>
      <c r="U1850" s="1319"/>
      <c r="V1850" s="3436" t="s">
        <v>30</v>
      </c>
      <c r="W1850" s="2914">
        <v>737.40857142857124</v>
      </c>
      <c r="X1850" s="688">
        <v>737.40857142857124</v>
      </c>
      <c r="Y1850" s="615">
        <v>737.41</v>
      </c>
      <c r="Z1850" s="615">
        <v>737.41</v>
      </c>
      <c r="AA1850" s="615">
        <v>737.41</v>
      </c>
      <c r="AB1850" s="3495">
        <v>737.41</v>
      </c>
      <c r="AC1850" s="618">
        <v>1117.29</v>
      </c>
      <c r="AD1850" s="618">
        <v>687.08</v>
      </c>
      <c r="AE1850" s="2914"/>
      <c r="AF1850" s="2914"/>
      <c r="AG1850" s="2914"/>
      <c r="AH1850" s="344"/>
      <c r="AI1850" s="156"/>
      <c r="AJ1850" s="3640"/>
      <c r="AK1850" s="2915"/>
      <c r="AL1850" s="156"/>
      <c r="AM1850" s="3640"/>
      <c r="AN1850" s="3640"/>
      <c r="AO1850" s="156"/>
      <c r="AP1850" s="156"/>
      <c r="AQ1850" s="156"/>
      <c r="AR1850" s="156"/>
      <c r="AS1850" s="156"/>
      <c r="AT1850" s="156"/>
      <c r="AU1850" s="156"/>
      <c r="AV1850" s="156"/>
      <c r="AW1850" s="156"/>
      <c r="AX1850" s="156"/>
      <c r="AY1850" s="156"/>
      <c r="AZ1850" s="156"/>
      <c r="BA1850" s="156"/>
      <c r="BB1850" s="2905"/>
      <c r="BC1850" s="2357" t="str">
        <f t="shared" si="345"/>
        <v>Cooling Res ER2 12 Year EUL</v>
      </c>
      <c r="BD1850" s="2829">
        <f>(INDEX('Avoided Cost Benefits'!$E$4:$E$859,MATCH(BC1850,'Avoided Cost Benefits'!$A$4:$A$859,0)))*F1850</f>
        <v>760.27486193202162</v>
      </c>
      <c r="BE1850" s="858">
        <f t="shared" si="342"/>
        <v>0</v>
      </c>
      <c r="BF1850" s="156"/>
      <c r="BH1850" s="686"/>
    </row>
    <row r="1851" spans="1:60" x14ac:dyDescent="0.35">
      <c r="A1851" s="1071" t="str">
        <f t="shared" si="343"/>
        <v>354550_2021_12_Heating Res ER2</v>
      </c>
      <c r="B1851" s="2812"/>
      <c r="C1851" s="1037" t="s">
        <v>1440</v>
      </c>
      <c r="D1851" s="1311" t="s">
        <v>318</v>
      </c>
      <c r="E1851" s="3419" t="s">
        <v>1442</v>
      </c>
      <c r="F1851" s="618">
        <f>ROUND(((K2098*K2291*(1/K2484-1/K2677)*K3642)/1000)*$K$3677,2)</f>
        <v>1163.03</v>
      </c>
      <c r="G1851" s="2810" t="s">
        <v>1150</v>
      </c>
      <c r="H1851" s="2720">
        <f>VLOOKUP(G1851,'CP FACTORS'!$A$3:$B$38, 2, FALSE)</f>
        <v>0</v>
      </c>
      <c r="I1851" s="2995">
        <f t="shared" si="344"/>
        <v>0</v>
      </c>
      <c r="J1851" s="124">
        <f t="shared" si="339"/>
        <v>12</v>
      </c>
      <c r="K1851" s="462">
        <f t="shared" si="340"/>
        <v>0</v>
      </c>
      <c r="L1851" s="3496"/>
      <c r="M1851" s="103"/>
      <c r="N1851" s="1317"/>
      <c r="O1851" s="963"/>
      <c r="P1851" s="106"/>
      <c r="Q1851" s="106"/>
      <c r="R1851" s="1214"/>
      <c r="S1851" s="106"/>
      <c r="T1851" s="106"/>
      <c r="U1851" s="1319"/>
      <c r="V1851" s="3436" t="s">
        <v>30</v>
      </c>
      <c r="W1851" s="2914">
        <v>1327.6421052631592</v>
      </c>
      <c r="X1851" s="685">
        <v>988.62747111681745</v>
      </c>
      <c r="Y1851" s="615">
        <v>988.63</v>
      </c>
      <c r="Z1851" s="615">
        <v>988.63</v>
      </c>
      <c r="AA1851" s="615">
        <v>988.63</v>
      </c>
      <c r="AB1851" s="3495">
        <v>988.63</v>
      </c>
      <c r="AC1851" s="618">
        <v>2397.77</v>
      </c>
      <c r="AD1851" s="618">
        <v>1163.03</v>
      </c>
      <c r="AE1851" s="2914"/>
      <c r="AF1851" s="2914"/>
      <c r="AG1851" s="2914"/>
      <c r="AH1851" s="344"/>
      <c r="AI1851" s="156"/>
      <c r="AJ1851" s="3640"/>
      <c r="AK1851" s="2915"/>
      <c r="AL1851" s="156"/>
      <c r="AM1851" s="3640"/>
      <c r="AN1851" s="3640"/>
      <c r="AO1851" s="156"/>
      <c r="AP1851" s="156"/>
      <c r="AQ1851" s="156"/>
      <c r="AR1851" s="156"/>
      <c r="AS1851" s="156"/>
      <c r="AT1851" s="156"/>
      <c r="AU1851" s="156"/>
      <c r="AV1851" s="156"/>
      <c r="AW1851" s="156"/>
      <c r="AX1851" s="156"/>
      <c r="AY1851" s="156"/>
      <c r="AZ1851" s="156"/>
      <c r="BA1851" s="156"/>
      <c r="BB1851" s="2905"/>
      <c r="BC1851" s="2349" t="str">
        <f t="shared" si="345"/>
        <v>Heating Res ER2 12 Year EUL</v>
      </c>
      <c r="BD1851" s="2829">
        <f>(INDEX('Avoided Cost Benefits'!$E$4:$E$859,MATCH(BC1851,'Avoided Cost Benefits'!$A$4:$A$859,0)))*F1851</f>
        <v>329.02417569347273</v>
      </c>
      <c r="BE1851" s="858">
        <f t="shared" si="342"/>
        <v>0</v>
      </c>
      <c r="BF1851" s="156"/>
      <c r="BH1851" s="686"/>
    </row>
    <row r="1852" spans="1:60" x14ac:dyDescent="0.35">
      <c r="A1852" s="1071" t="str">
        <f t="shared" si="343"/>
        <v>354600_2021_12_Cooling Res</v>
      </c>
      <c r="B1852" s="2812"/>
      <c r="C1852" s="1037" t="s">
        <v>1444</v>
      </c>
      <c r="D1852" s="1311" t="s">
        <v>318</v>
      </c>
      <c r="E1852" s="590" t="s">
        <v>1445</v>
      </c>
      <c r="F1852" s="618">
        <f>ROUND(((K2871*K3064*(1/K3257-1/K3450)*K3643)/1000)*$K$3677,2)</f>
        <v>717.64</v>
      </c>
      <c r="G1852" s="2810" t="s">
        <v>1091</v>
      </c>
      <c r="H1852" s="2720">
        <f>VLOOKUP(G1852,'CP FACTORS'!$A$3:$B$38, 2, FALSE)</f>
        <v>9.4741810000000004E-4</v>
      </c>
      <c r="I1852" s="2995">
        <f t="shared" si="344"/>
        <v>0.67990499999999998</v>
      </c>
      <c r="J1852" s="124">
        <f t="shared" si="339"/>
        <v>18</v>
      </c>
      <c r="K1852" s="462">
        <f t="shared" si="340"/>
        <v>1444.3799999999994</v>
      </c>
      <c r="L1852" s="3496">
        <f>L2099</f>
        <v>2.8870833333333334</v>
      </c>
      <c r="M1852" s="103"/>
      <c r="N1852" s="1317"/>
      <c r="O1852" s="963"/>
      <c r="P1852" s="106"/>
      <c r="Q1852" s="106"/>
      <c r="R1852" s="1214"/>
      <c r="S1852" s="106"/>
      <c r="T1852" s="106"/>
      <c r="U1852" s="1319"/>
      <c r="V1852" s="3436" t="s">
        <v>30</v>
      </c>
      <c r="W1852" s="2914">
        <v>737.40857142857124</v>
      </c>
      <c r="X1852" s="688">
        <v>737.40857142857124</v>
      </c>
      <c r="Y1852" s="615">
        <v>737.41</v>
      </c>
      <c r="Z1852" s="615">
        <v>737.41</v>
      </c>
      <c r="AA1852" s="615">
        <v>737.41</v>
      </c>
      <c r="AB1852" s="3495">
        <v>737.41</v>
      </c>
      <c r="AC1852" s="618">
        <v>675.57</v>
      </c>
      <c r="AD1852" s="618">
        <v>717.64</v>
      </c>
      <c r="AE1852" s="2914"/>
      <c r="AF1852" s="2914"/>
      <c r="AG1852" s="2914"/>
      <c r="AH1852" s="344"/>
      <c r="AI1852" s="156"/>
      <c r="AJ1852" s="3640"/>
      <c r="AK1852" s="2915"/>
      <c r="AL1852" s="156"/>
      <c r="AM1852" s="3640"/>
      <c r="AN1852" s="3640"/>
      <c r="AO1852" s="156"/>
      <c r="AP1852" s="156"/>
      <c r="AQ1852" s="156"/>
      <c r="AR1852" s="156"/>
      <c r="AS1852" s="156"/>
      <c r="AT1852" s="156"/>
      <c r="AU1852" s="156"/>
      <c r="AV1852" s="156"/>
      <c r="AW1852" s="156"/>
      <c r="AX1852" s="156"/>
      <c r="AY1852" s="156"/>
      <c r="AZ1852" s="156"/>
      <c r="BA1852" s="156"/>
      <c r="BB1852" s="2833">
        <f>(BD1852+BD1853)/(BE1852+BE1853)</f>
        <v>1.3538619348234799</v>
      </c>
      <c r="BC1852" s="590" t="str">
        <f t="shared" si="345"/>
        <v>Cooling Res 18 Year EUL</v>
      </c>
      <c r="BD1852" s="2829">
        <f>(INDEX('Avoided Cost Benefits'!$E$4:$E$859,MATCH(BC1852,'Avoided Cost Benefits'!$A$4:$A$859,0)))*F1852</f>
        <v>1248.7957369518756</v>
      </c>
      <c r="BE1852" s="858">
        <f t="shared" si="342"/>
        <v>1363.2656913638502</v>
      </c>
      <c r="BF1852" s="156"/>
      <c r="BH1852" s="686"/>
    </row>
    <row r="1853" spans="1:60" x14ac:dyDescent="0.35">
      <c r="A1853" s="1071" t="str">
        <f t="shared" si="343"/>
        <v>354600_2021_12_Heating Res</v>
      </c>
      <c r="B1853" s="2812"/>
      <c r="C1853" s="1037" t="s">
        <v>1444</v>
      </c>
      <c r="D1853" s="1311" t="s">
        <v>318</v>
      </c>
      <c r="E1853" s="687" t="s">
        <v>1445</v>
      </c>
      <c r="F1853" s="618">
        <f>ROUND(((K2099*K2292*(1/K2485-1/K2678)*K3643)/1000)*$K$3677,2)</f>
        <v>1338.76</v>
      </c>
      <c r="G1853" s="2810" t="s">
        <v>1092</v>
      </c>
      <c r="H1853" s="2720">
        <f>VLOOKUP(G1853,'CP FACTORS'!$A$3:$B$38, 2, FALSE)</f>
        <v>0</v>
      </c>
      <c r="I1853" s="2995">
        <f t="shared" si="344"/>
        <v>0</v>
      </c>
      <c r="J1853" s="124">
        <f t="shared" si="339"/>
        <v>18</v>
      </c>
      <c r="K1853" s="462">
        <f t="shared" si="340"/>
        <v>0</v>
      </c>
      <c r="L1853" s="3496"/>
      <c r="M1853" s="103"/>
      <c r="N1853" s="1317"/>
      <c r="O1853" s="963"/>
      <c r="P1853" s="106"/>
      <c r="Q1853" s="106"/>
      <c r="R1853" s="1214"/>
      <c r="S1853" s="106"/>
      <c r="T1853" s="106"/>
      <c r="U1853" s="1319"/>
      <c r="V1853" s="3436" t="s">
        <v>30</v>
      </c>
      <c r="W1853" s="2914">
        <v>1584.0000000000018</v>
      </c>
      <c r="X1853" s="685">
        <v>1179.5241413638641</v>
      </c>
      <c r="Y1853" s="615">
        <v>1179.52</v>
      </c>
      <c r="Z1853" s="615">
        <v>1179.52</v>
      </c>
      <c r="AA1853" s="615">
        <v>1179.52</v>
      </c>
      <c r="AB1853" s="3495">
        <v>1179.52</v>
      </c>
      <c r="AC1853" s="618">
        <v>1611.73</v>
      </c>
      <c r="AD1853" s="618">
        <v>1338.76</v>
      </c>
      <c r="AE1853" s="2914"/>
      <c r="AF1853" s="2914"/>
      <c r="AG1853" s="2914"/>
      <c r="AH1853" s="344"/>
      <c r="AI1853" s="156"/>
      <c r="AJ1853" s="3640"/>
      <c r="AK1853" s="2915"/>
      <c r="AL1853" s="156"/>
      <c r="AM1853" s="3640"/>
      <c r="AN1853" s="3640"/>
      <c r="AO1853" s="156"/>
      <c r="AP1853" s="156"/>
      <c r="AQ1853" s="156"/>
      <c r="AR1853" s="156"/>
      <c r="AS1853" s="156"/>
      <c r="AT1853" s="156"/>
      <c r="AU1853" s="156"/>
      <c r="AV1853" s="156"/>
      <c r="AW1853" s="156"/>
      <c r="AX1853" s="156"/>
      <c r="AY1853" s="156"/>
      <c r="AZ1853" s="156"/>
      <c r="BA1853" s="156"/>
      <c r="BB1853" s="2835"/>
      <c r="BC1853" s="687" t="str">
        <f t="shared" si="345"/>
        <v>Heating Res 18 Year EUL</v>
      </c>
      <c r="BD1853" s="2829">
        <f>(INDEX('Avoided Cost Benefits'!$E$4:$E$859,MATCH(BC1853,'Avoided Cost Benefits'!$A$4:$A$859,0)))*F1853</f>
        <v>596.87778963645553</v>
      </c>
      <c r="BE1853" s="858">
        <f t="shared" si="342"/>
        <v>0</v>
      </c>
      <c r="BF1853" s="156"/>
      <c r="BH1853" s="686"/>
    </row>
    <row r="1854" spans="1:60" x14ac:dyDescent="0.35">
      <c r="A1854" s="1071" t="str">
        <f t="shared" si="343"/>
        <v>354650_2019_12_Cooling Res</v>
      </c>
      <c r="B1854" s="2812"/>
      <c r="C1854" s="1037" t="s">
        <v>1446</v>
      </c>
      <c r="D1854" s="1311" t="s">
        <v>320</v>
      </c>
      <c r="E1854" s="3418" t="s">
        <v>1447</v>
      </c>
      <c r="F1854" s="615">
        <f>ROUND(((K2872*K3065*(1/K3258-1/K3451)*K3644)/1000)*$K$3677,2)</f>
        <v>1471.88</v>
      </c>
      <c r="G1854" s="1313" t="s">
        <v>1091</v>
      </c>
      <c r="H1854" s="136">
        <f>VLOOKUP(G1854,'CP FACTORS'!$A$3:$B$38, 2, FALSE)</f>
        <v>9.4741810000000004E-4</v>
      </c>
      <c r="I1854" s="3497">
        <f t="shared" si="344"/>
        <v>1.3944859999999999</v>
      </c>
      <c r="J1854" s="124">
        <f t="shared" si="339"/>
        <v>6</v>
      </c>
      <c r="K1854" s="462">
        <f t="shared" si="340"/>
        <v>1925.8398012161661</v>
      </c>
      <c r="L1854" s="689">
        <f>L2100</f>
        <v>3.1</v>
      </c>
      <c r="M1854" s="103"/>
      <c r="N1854" s="1317"/>
      <c r="O1854" s="963"/>
      <c r="P1854" s="106"/>
      <c r="Q1854" s="106"/>
      <c r="R1854" s="1214"/>
      <c r="S1854" s="106"/>
      <c r="T1854" s="106"/>
      <c r="U1854" s="1319"/>
      <c r="V1854" s="3436" t="s">
        <v>30</v>
      </c>
      <c r="W1854" s="2914">
        <v>2039.4407647058827</v>
      </c>
      <c r="X1854" s="685">
        <v>1471.8783997599039</v>
      </c>
      <c r="Y1854" s="615">
        <v>1471.88</v>
      </c>
      <c r="Z1854" s="615">
        <v>1471.88</v>
      </c>
      <c r="AA1854" s="615">
        <v>1471.88</v>
      </c>
      <c r="AB1854" s="3495">
        <v>1471.88</v>
      </c>
      <c r="AC1854" s="2912">
        <v>1471.88</v>
      </c>
      <c r="AD1854" s="615">
        <v>1471.88</v>
      </c>
      <c r="AE1854" s="2914"/>
      <c r="AF1854" s="2914"/>
      <c r="AG1854" s="2914"/>
      <c r="AH1854" s="344"/>
      <c r="AI1854" s="156"/>
      <c r="AJ1854" s="3640"/>
      <c r="AK1854" s="2915"/>
      <c r="AL1854" s="156"/>
      <c r="AM1854" s="3640"/>
      <c r="AN1854" s="3640"/>
      <c r="AO1854" s="156"/>
      <c r="AP1854" s="156"/>
      <c r="AQ1854" s="156"/>
      <c r="AR1854" s="156"/>
      <c r="AS1854" s="156"/>
      <c r="AT1854" s="156"/>
      <c r="AU1854" s="156"/>
      <c r="AV1854" s="156"/>
      <c r="AW1854" s="156"/>
      <c r="AX1854" s="156"/>
      <c r="AY1854" s="156"/>
      <c r="AZ1854" s="156"/>
      <c r="BA1854" s="156"/>
      <c r="BB1854" s="2833">
        <f>(BD1854+BD1855+BD1856+BD1857)/(BE1854+BE1855+BE1856+BE1857)</f>
        <v>2.5155001198711768</v>
      </c>
      <c r="BC1854" s="2348" t="str">
        <f t="shared" si="345"/>
        <v>Cooling Res 6 Year EUL</v>
      </c>
      <c r="BD1854" s="2829">
        <f>(INDEX('Avoided Cost Benefits'!$E$4:$E$859,MATCH(BC1854,'Avoided Cost Benefits'!$A$4:$A$859,0)))*F1854</f>
        <v>932.60081483028262</v>
      </c>
      <c r="BE1854" s="858">
        <f t="shared" si="342"/>
        <v>1817.6874008647153</v>
      </c>
      <c r="BF1854" s="156"/>
      <c r="BH1854" s="686"/>
    </row>
    <row r="1855" spans="1:60" x14ac:dyDescent="0.35">
      <c r="A1855" s="1071" t="str">
        <f t="shared" si="343"/>
        <v>354650_2019_12_Heating Res</v>
      </c>
      <c r="B1855" s="2812"/>
      <c r="C1855" s="1037" t="s">
        <v>1446</v>
      </c>
      <c r="D1855" s="1311" t="s">
        <v>320</v>
      </c>
      <c r="E1855" s="3420" t="s">
        <v>1447</v>
      </c>
      <c r="F1855" s="615">
        <f>ROUND(((K2100*K2293*(1/K2486-1/K2679)*K3644)/1000)*$K$3677,2)</f>
        <v>6759.78</v>
      </c>
      <c r="G1855" s="1313" t="s">
        <v>1092</v>
      </c>
      <c r="H1855" s="136">
        <f>VLOOKUP(G1855,'CP FACTORS'!$A$3:$B$38, 2, FALSE)</f>
        <v>0</v>
      </c>
      <c r="I1855" s="3497">
        <f t="shared" si="344"/>
        <v>0</v>
      </c>
      <c r="J1855" s="124">
        <f t="shared" si="339"/>
        <v>6</v>
      </c>
      <c r="K1855" s="462">
        <f t="shared" si="340"/>
        <v>0</v>
      </c>
      <c r="L1855" s="689"/>
      <c r="M1855" s="103"/>
      <c r="N1855" s="1317"/>
      <c r="O1855" s="963"/>
      <c r="P1855" s="106"/>
      <c r="Q1855" s="106"/>
      <c r="R1855" s="1214"/>
      <c r="S1855" s="106"/>
      <c r="T1855" s="106"/>
      <c r="U1855" s="1319"/>
      <c r="V1855" s="3436" t="s">
        <v>30</v>
      </c>
      <c r="W1855" s="2914">
        <v>9077.8044487427451</v>
      </c>
      <c r="X1855" s="685">
        <v>6759.7787234042544</v>
      </c>
      <c r="Y1855" s="615">
        <v>6759.78</v>
      </c>
      <c r="Z1855" s="615">
        <v>6759.78</v>
      </c>
      <c r="AA1855" s="615">
        <v>6759.78</v>
      </c>
      <c r="AB1855" s="3495">
        <v>6759.78</v>
      </c>
      <c r="AC1855" s="2912">
        <v>6759.78</v>
      </c>
      <c r="AD1855" s="615">
        <v>6759.78</v>
      </c>
      <c r="AE1855" s="2914"/>
      <c r="AF1855" s="2914"/>
      <c r="AG1855" s="2914"/>
      <c r="AH1855" s="344"/>
      <c r="AI1855" s="156"/>
      <c r="AJ1855" s="3640"/>
      <c r="AK1855" s="2915"/>
      <c r="AL1855" s="156"/>
      <c r="AM1855" s="3640"/>
      <c r="AN1855" s="3640"/>
      <c r="AO1855" s="156"/>
      <c r="AP1855" s="156"/>
      <c r="AQ1855" s="156"/>
      <c r="AR1855" s="156"/>
      <c r="AS1855" s="156"/>
      <c r="AT1855" s="156"/>
      <c r="AU1855" s="156"/>
      <c r="AV1855" s="156"/>
      <c r="AW1855" s="156"/>
      <c r="AX1855" s="156"/>
      <c r="AY1855" s="156"/>
      <c r="AZ1855" s="156"/>
      <c r="BA1855" s="156"/>
      <c r="BB1855" s="2905"/>
      <c r="BC1855" s="2357" t="str">
        <f t="shared" si="345"/>
        <v>Heating Res 6 Year EUL</v>
      </c>
      <c r="BD1855" s="2829">
        <f>(INDEX('Avoided Cost Benefits'!$E$4:$E$859,MATCH(BC1855,'Avoided Cost Benefits'!$A$4:$A$859,0)))*F1855</f>
        <v>1101.4465864158344</v>
      </c>
      <c r="BE1855" s="858">
        <f t="shared" si="342"/>
        <v>0</v>
      </c>
      <c r="BF1855" s="156"/>
      <c r="BH1855" s="686"/>
    </row>
    <row r="1856" spans="1:60" x14ac:dyDescent="0.35">
      <c r="A1856" s="1071" t="str">
        <f t="shared" si="343"/>
        <v>354650_2019_12_Cooling Res ER2</v>
      </c>
      <c r="B1856" s="2812"/>
      <c r="C1856" s="1037" t="s">
        <v>1446</v>
      </c>
      <c r="D1856" s="1311" t="s">
        <v>320</v>
      </c>
      <c r="E1856" s="3420" t="s">
        <v>1448</v>
      </c>
      <c r="F1856" s="615">
        <f>ROUND(((K2873*K3066*(1/K3259-1/K3452)*K3645)/1000)*$K$3677,2)</f>
        <v>565.72</v>
      </c>
      <c r="G1856" s="1313" t="s">
        <v>1133</v>
      </c>
      <c r="H1856" s="136">
        <f>VLOOKUP(G1856,'CP FACTORS'!$A$3:$B$38, 2, FALSE)</f>
        <v>9.4741810000000004E-4</v>
      </c>
      <c r="I1856" s="3497">
        <f t="shared" si="344"/>
        <v>0.53597300000000003</v>
      </c>
      <c r="J1856" s="124">
        <f t="shared" si="339"/>
        <v>12</v>
      </c>
      <c r="K1856" s="462">
        <f t="shared" si="340"/>
        <v>0</v>
      </c>
      <c r="L1856" s="689"/>
      <c r="M1856" s="103"/>
      <c r="N1856" s="1317"/>
      <c r="O1856" s="963"/>
      <c r="P1856" s="106"/>
      <c r="Q1856" s="106"/>
      <c r="R1856" s="1214"/>
      <c r="S1856" s="106"/>
      <c r="T1856" s="106"/>
      <c r="U1856" s="1319"/>
      <c r="V1856" s="3436" t="s">
        <v>30</v>
      </c>
      <c r="W1856" s="2914">
        <v>565.71900000000005</v>
      </c>
      <c r="X1856" s="688">
        <v>565.71900000000005</v>
      </c>
      <c r="Y1856" s="615">
        <v>565.72</v>
      </c>
      <c r="Z1856" s="615">
        <v>565.72</v>
      </c>
      <c r="AA1856" s="615">
        <v>565.72</v>
      </c>
      <c r="AB1856" s="3495">
        <v>565.72</v>
      </c>
      <c r="AC1856" s="2912">
        <v>565.72</v>
      </c>
      <c r="AD1856" s="615">
        <v>565.72</v>
      </c>
      <c r="AE1856" s="2914"/>
      <c r="AF1856" s="2914"/>
      <c r="AG1856" s="2914"/>
      <c r="AH1856" s="344"/>
      <c r="AI1856" s="156"/>
      <c r="AJ1856" s="3640"/>
      <c r="AK1856" s="2915"/>
      <c r="AL1856" s="156"/>
      <c r="AM1856" s="3640"/>
      <c r="AN1856" s="3640"/>
      <c r="AO1856" s="156"/>
      <c r="AP1856" s="156"/>
      <c r="AQ1856" s="156"/>
      <c r="AR1856" s="156"/>
      <c r="AS1856" s="156"/>
      <c r="AT1856" s="156"/>
      <c r="AU1856" s="156"/>
      <c r="AV1856" s="156"/>
      <c r="AW1856" s="156"/>
      <c r="AX1856" s="156"/>
      <c r="AY1856" s="156"/>
      <c r="AZ1856" s="156"/>
      <c r="BA1856" s="156"/>
      <c r="BB1856" s="2905"/>
      <c r="BC1856" s="2357" t="str">
        <f t="shared" si="345"/>
        <v>Cooling Res ER2 12 Year EUL</v>
      </c>
      <c r="BD1856" s="2829">
        <f>(INDEX('Avoided Cost Benefits'!$E$4:$E$859,MATCH(BC1856,'Avoided Cost Benefits'!$A$4:$A$859,0)))*F1856</f>
        <v>625.98634058942662</v>
      </c>
      <c r="BE1856" s="858">
        <f t="shared" si="342"/>
        <v>0</v>
      </c>
      <c r="BF1856" s="156"/>
      <c r="BH1856" s="686"/>
    </row>
    <row r="1857" spans="1:60" x14ac:dyDescent="0.35">
      <c r="A1857" s="1071" t="str">
        <f t="shared" si="343"/>
        <v>354650_2019_12_Heating Res ER2</v>
      </c>
      <c r="B1857" s="2812"/>
      <c r="C1857" s="1037" t="s">
        <v>1446</v>
      </c>
      <c r="D1857" s="1311" t="s">
        <v>320</v>
      </c>
      <c r="E1857" s="3419" t="s">
        <v>1448</v>
      </c>
      <c r="F1857" s="615">
        <f>ROUND(((K2101*K2294*(1/K2487-1/K2680)*K3645)/1000)*$K$3677,2)</f>
        <v>6759.78</v>
      </c>
      <c r="G1857" s="1313" t="s">
        <v>1150</v>
      </c>
      <c r="H1857" s="136">
        <f>VLOOKUP(G1857,'CP FACTORS'!$A$3:$B$38, 2, FALSE)</f>
        <v>0</v>
      </c>
      <c r="I1857" s="3497">
        <f t="shared" si="344"/>
        <v>0</v>
      </c>
      <c r="J1857" s="124">
        <f t="shared" si="339"/>
        <v>12</v>
      </c>
      <c r="K1857" s="462">
        <f t="shared" si="340"/>
        <v>0</v>
      </c>
      <c r="L1857" s="689"/>
      <c r="M1857" s="103"/>
      <c r="N1857" s="1317"/>
      <c r="O1857" s="963"/>
      <c r="P1857" s="106"/>
      <c r="Q1857" s="106"/>
      <c r="R1857" s="1214"/>
      <c r="S1857" s="106"/>
      <c r="T1857" s="106"/>
      <c r="U1857" s="1319"/>
      <c r="V1857" s="3436" t="s">
        <v>30</v>
      </c>
      <c r="W1857" s="2914">
        <v>9077.8044487427451</v>
      </c>
      <c r="X1857" s="685">
        <v>6759.7787234042544</v>
      </c>
      <c r="Y1857" s="615">
        <v>6759.78</v>
      </c>
      <c r="Z1857" s="615">
        <v>6759.78</v>
      </c>
      <c r="AA1857" s="615">
        <v>6759.78</v>
      </c>
      <c r="AB1857" s="3495">
        <v>6759.78</v>
      </c>
      <c r="AC1857" s="2912">
        <v>6759.78</v>
      </c>
      <c r="AD1857" s="615">
        <v>6759.78</v>
      </c>
      <c r="AE1857" s="2914"/>
      <c r="AF1857" s="2914"/>
      <c r="AG1857" s="2914"/>
      <c r="AH1857" s="344"/>
      <c r="AI1857" s="156"/>
      <c r="AJ1857" s="3640"/>
      <c r="AK1857" s="2915"/>
      <c r="AL1857" s="156"/>
      <c r="AM1857" s="3640"/>
      <c r="AN1857" s="3640"/>
      <c r="AO1857" s="156"/>
      <c r="AP1857" s="156"/>
      <c r="AQ1857" s="156"/>
      <c r="AR1857" s="156"/>
      <c r="AS1857" s="156"/>
      <c r="AT1857" s="156"/>
      <c r="AU1857" s="156"/>
      <c r="AV1857" s="156"/>
      <c r="AW1857" s="156"/>
      <c r="AX1857" s="156"/>
      <c r="AY1857" s="156"/>
      <c r="AZ1857" s="156"/>
      <c r="BA1857" s="156"/>
      <c r="BB1857" s="2905"/>
      <c r="BC1857" s="2349" t="str">
        <f t="shared" si="345"/>
        <v>Heating Res ER2 12 Year EUL</v>
      </c>
      <c r="BD1857" s="2829">
        <f>(INDEX('Avoided Cost Benefits'!$E$4:$E$859,MATCH(BC1857,'Avoided Cost Benefits'!$A$4:$A$859,0)))*F1857</f>
        <v>1912.3591329279755</v>
      </c>
      <c r="BE1857" s="858">
        <f t="shared" si="342"/>
        <v>0</v>
      </c>
      <c r="BF1857" s="156"/>
      <c r="BH1857" s="686"/>
    </row>
    <row r="1858" spans="1:60" x14ac:dyDescent="0.35">
      <c r="A1858" s="1071" t="str">
        <f t="shared" si="343"/>
        <v>354651_2019_12_Cooling Res</v>
      </c>
      <c r="B1858" s="2812"/>
      <c r="C1858" s="1037" t="s">
        <v>1449</v>
      </c>
      <c r="D1858" s="1311" t="s">
        <v>315</v>
      </c>
      <c r="E1858" s="3418" t="s">
        <v>1450</v>
      </c>
      <c r="F1858" s="615">
        <f>ROUND((($K$2874*$K$3067*(1/$K$3260-1/$K$3453)*$K$3646)/1000)*$K$3677,2)</f>
        <v>1070.46</v>
      </c>
      <c r="G1858" s="1313" t="str">
        <f>G1854</f>
        <v>Cooling Res</v>
      </c>
      <c r="H1858" s="136">
        <f>VLOOKUP(G1858,'CP FACTORS'!$A$3:$B$38, 2, FALSE)</f>
        <v>9.4741810000000004E-4</v>
      </c>
      <c r="I1858" s="3497">
        <f t="shared" si="344"/>
        <v>1.014173</v>
      </c>
      <c r="J1858" s="124">
        <f t="shared" si="339"/>
        <v>6</v>
      </c>
      <c r="K1858" s="462">
        <f t="shared" si="340"/>
        <v>1925.8398012161661</v>
      </c>
      <c r="L1858" s="689">
        <f>L2102</f>
        <v>3.1</v>
      </c>
      <c r="M1858" s="103"/>
      <c r="N1858" s="1317"/>
      <c r="O1858" s="963"/>
      <c r="P1858" s="106"/>
      <c r="Q1858" s="106"/>
      <c r="R1858" s="1214"/>
      <c r="S1858" s="106"/>
      <c r="T1858" s="106"/>
      <c r="U1858" s="1319"/>
      <c r="V1858" s="3436" t="s">
        <v>30</v>
      </c>
      <c r="W1858" s="2914"/>
      <c r="X1858" s="685"/>
      <c r="Y1858" s="618">
        <v>1070.46</v>
      </c>
      <c r="Z1858" s="615">
        <v>1070.46</v>
      </c>
      <c r="AA1858" s="615">
        <v>1070.46</v>
      </c>
      <c r="AB1858" s="3495">
        <v>1070.46</v>
      </c>
      <c r="AC1858" s="2912">
        <v>1070.46</v>
      </c>
      <c r="AD1858" s="615">
        <v>1070.46</v>
      </c>
      <c r="AE1858" s="2914"/>
      <c r="AF1858" s="2914"/>
      <c r="AG1858" s="2914"/>
      <c r="AH1858" s="344"/>
      <c r="AI1858" s="156"/>
      <c r="AJ1858" s="3640"/>
      <c r="AK1858" s="2915"/>
      <c r="AL1858" s="156"/>
      <c r="AM1858" s="3640"/>
      <c r="AN1858" s="3640"/>
      <c r="AO1858" s="156"/>
      <c r="AP1858" s="156"/>
      <c r="AQ1858" s="156"/>
      <c r="AR1858" s="156"/>
      <c r="AS1858" s="156"/>
      <c r="AT1858" s="156"/>
      <c r="AU1858" s="156"/>
      <c r="AV1858" s="156"/>
      <c r="AW1858" s="156"/>
      <c r="AX1858" s="156"/>
      <c r="AY1858" s="156"/>
      <c r="AZ1858" s="156"/>
      <c r="BA1858" s="156"/>
      <c r="BB1858" s="2833">
        <f>(BD1858+BD1859+BD1860+BD1861)/(BE1858+BE1859+BE1860+BE1861)</f>
        <v>1.1888455791133179</v>
      </c>
      <c r="BC1858" s="2348" t="str">
        <f t="shared" si="345"/>
        <v>Cooling Res 6 Year EUL</v>
      </c>
      <c r="BD1858" s="2829">
        <f>(INDEX('Avoided Cost Benefits'!$E$4:$E$859,MATCH(BC1858,'Avoided Cost Benefits'!$A$4:$A$859,0)))*F1858</f>
        <v>678.25629008018609</v>
      </c>
      <c r="BE1858" s="858">
        <f t="shared" si="342"/>
        <v>1817.6874008647153</v>
      </c>
      <c r="BF1858" s="156"/>
      <c r="BH1858" s="686"/>
    </row>
    <row r="1859" spans="1:60" x14ac:dyDescent="0.35">
      <c r="A1859" s="1071" t="str">
        <f t="shared" si="343"/>
        <v>354651_2019_12_Heating Res</v>
      </c>
      <c r="B1859" s="2812"/>
      <c r="C1859" s="1037" t="str">
        <f>C1858</f>
        <v>354651_2019_12_</v>
      </c>
      <c r="D1859" s="1311" t="s">
        <v>315</v>
      </c>
      <c r="E1859" s="3420" t="s">
        <v>1450</v>
      </c>
      <c r="F1859" s="615">
        <f>ROUND((($K$2102*$K$2295*(1/$K$2488-1/$K$2681)*$K$3646)/1000)*$K$3677,2)</f>
        <v>2304.4699999999998</v>
      </c>
      <c r="G1859" s="1313" t="str">
        <f>G1855</f>
        <v>Heating Res</v>
      </c>
      <c r="H1859" s="136">
        <f>VLOOKUP(G1859,'CP FACTORS'!$A$3:$B$38, 2, FALSE)</f>
        <v>0</v>
      </c>
      <c r="I1859" s="3497">
        <f t="shared" si="344"/>
        <v>0</v>
      </c>
      <c r="J1859" s="124">
        <f t="shared" si="339"/>
        <v>6</v>
      </c>
      <c r="K1859" s="462">
        <f t="shared" si="340"/>
        <v>0</v>
      </c>
      <c r="L1859" s="689"/>
      <c r="M1859" s="103"/>
      <c r="N1859" s="1317"/>
      <c r="O1859" s="963"/>
      <c r="P1859" s="106"/>
      <c r="Q1859" s="106"/>
      <c r="R1859" s="1214"/>
      <c r="S1859" s="106"/>
      <c r="T1859" s="106"/>
      <c r="U1859" s="1319"/>
      <c r="V1859" s="3436" t="s">
        <v>30</v>
      </c>
      <c r="W1859" s="2914"/>
      <c r="X1859" s="685"/>
      <c r="Y1859" s="618">
        <v>2304.4699999999998</v>
      </c>
      <c r="Z1859" s="615">
        <v>2304.4699999999998</v>
      </c>
      <c r="AA1859" s="615">
        <v>2304.4699999999998</v>
      </c>
      <c r="AB1859" s="3495">
        <v>2304.4699999999998</v>
      </c>
      <c r="AC1859" s="2912">
        <v>2304.4699999999998</v>
      </c>
      <c r="AD1859" s="615">
        <v>2304.4699999999998</v>
      </c>
      <c r="AE1859" s="2914"/>
      <c r="AF1859" s="2914"/>
      <c r="AG1859" s="2914"/>
      <c r="AH1859" s="344"/>
      <c r="AI1859" s="156"/>
      <c r="AJ1859" s="3640"/>
      <c r="AK1859" s="2915"/>
      <c r="AL1859" s="156"/>
      <c r="AM1859" s="3640"/>
      <c r="AN1859" s="3640"/>
      <c r="AO1859" s="156"/>
      <c r="AP1859" s="156"/>
      <c r="AQ1859" s="156"/>
      <c r="AR1859" s="156"/>
      <c r="AS1859" s="156"/>
      <c r="AT1859" s="156"/>
      <c r="AU1859" s="156"/>
      <c r="AV1859" s="156"/>
      <c r="AW1859" s="156"/>
      <c r="AX1859" s="156"/>
      <c r="AY1859" s="156"/>
      <c r="AZ1859" s="156"/>
      <c r="BA1859" s="156"/>
      <c r="BB1859" s="2905"/>
      <c r="BC1859" s="2357" t="str">
        <f t="shared" si="345"/>
        <v>Heating Res 6 Year EUL</v>
      </c>
      <c r="BD1859" s="2829">
        <f>(INDEX('Avoided Cost Benefits'!$E$4:$E$859,MATCH(BC1859,'Avoided Cost Benefits'!$A$4:$A$859,0)))*F1859</f>
        <v>375.49308039576698</v>
      </c>
      <c r="BE1859" s="858">
        <f t="shared" si="342"/>
        <v>0</v>
      </c>
      <c r="BF1859" s="156"/>
      <c r="BH1859" s="686"/>
    </row>
    <row r="1860" spans="1:60" x14ac:dyDescent="0.35">
      <c r="A1860" s="1071" t="str">
        <f t="shared" si="343"/>
        <v>354651_2019_12_Cooling Res ER2</v>
      </c>
      <c r="B1860" s="2812"/>
      <c r="C1860" s="1037" t="str">
        <f>C1859</f>
        <v>354651_2019_12_</v>
      </c>
      <c r="D1860" s="1311" t="s">
        <v>315</v>
      </c>
      <c r="E1860" s="3420" t="s">
        <v>1451</v>
      </c>
      <c r="F1860" s="615">
        <f>ROUND((($K$2875*$K$3068*(1/$K$3261-1/$K$3454)*$K$3647)/1000)*$K$3677,2)</f>
        <v>411.43</v>
      </c>
      <c r="G1860" s="1313" t="str">
        <f>G1856</f>
        <v>Cooling Res ER2</v>
      </c>
      <c r="H1860" s="136">
        <f>VLOOKUP(G1860,'CP FACTORS'!$A$3:$B$38, 2, FALSE)</f>
        <v>9.4741810000000004E-4</v>
      </c>
      <c r="I1860" s="3497">
        <f t="shared" si="344"/>
        <v>0.38979599999999998</v>
      </c>
      <c r="J1860" s="124">
        <f t="shared" si="339"/>
        <v>12</v>
      </c>
      <c r="K1860" s="462">
        <f t="shared" si="340"/>
        <v>0</v>
      </c>
      <c r="L1860" s="689"/>
      <c r="M1860" s="103"/>
      <c r="N1860" s="1317"/>
      <c r="O1860" s="963"/>
      <c r="P1860" s="106"/>
      <c r="Q1860" s="106"/>
      <c r="R1860" s="1214"/>
      <c r="S1860" s="106"/>
      <c r="T1860" s="106"/>
      <c r="U1860" s="1319"/>
      <c r="V1860" s="3436" t="s">
        <v>30</v>
      </c>
      <c r="W1860" s="2914"/>
      <c r="X1860" s="685"/>
      <c r="Y1860" s="618">
        <v>411.43</v>
      </c>
      <c r="Z1860" s="615">
        <v>411.43</v>
      </c>
      <c r="AA1860" s="615">
        <v>411.43</v>
      </c>
      <c r="AB1860" s="3495">
        <v>411.43</v>
      </c>
      <c r="AC1860" s="2912">
        <v>411.43</v>
      </c>
      <c r="AD1860" s="615">
        <v>411.43</v>
      </c>
      <c r="AE1860" s="2914"/>
      <c r="AF1860" s="2914"/>
      <c r="AG1860" s="2914"/>
      <c r="AH1860" s="344"/>
      <c r="AI1860" s="156"/>
      <c r="AJ1860" s="3640"/>
      <c r="AK1860" s="2915"/>
      <c r="AL1860" s="156"/>
      <c r="AM1860" s="3640"/>
      <c r="AN1860" s="3640"/>
      <c r="AO1860" s="156"/>
      <c r="AP1860" s="156"/>
      <c r="AQ1860" s="156"/>
      <c r="AR1860" s="156"/>
      <c r="AS1860" s="156"/>
      <c r="AT1860" s="156"/>
      <c r="AU1860" s="156"/>
      <c r="AV1860" s="156"/>
      <c r="AW1860" s="156"/>
      <c r="AX1860" s="156"/>
      <c r="AY1860" s="156"/>
      <c r="AZ1860" s="156"/>
      <c r="BA1860" s="156"/>
      <c r="BB1860" s="2905"/>
      <c r="BC1860" s="2357" t="str">
        <f t="shared" si="345"/>
        <v>Cooling Res ER2 12 Year EUL</v>
      </c>
      <c r="BD1860" s="2829">
        <f>(INDEX('Avoided Cost Benefits'!$E$4:$E$859,MATCH(BC1860,'Avoided Cost Benefits'!$A$4:$A$859,0)))*F1860</f>
        <v>455.25977534594466</v>
      </c>
      <c r="BE1860" s="858">
        <f t="shared" si="342"/>
        <v>0</v>
      </c>
      <c r="BF1860" s="156"/>
      <c r="BH1860" s="686"/>
    </row>
    <row r="1861" spans="1:60" x14ac:dyDescent="0.35">
      <c r="A1861" s="1071" t="str">
        <f t="shared" si="343"/>
        <v>354651_2019_12_Heating Res ER2</v>
      </c>
      <c r="B1861" s="2812"/>
      <c r="C1861" s="1037" t="str">
        <f>C1860</f>
        <v>354651_2019_12_</v>
      </c>
      <c r="D1861" s="1311" t="s">
        <v>315</v>
      </c>
      <c r="E1861" s="3419" t="s">
        <v>1451</v>
      </c>
      <c r="F1861" s="615">
        <f>ROUND((($K$2103*$K$2296*(1/$K$2489-1/$K$2682)*$K$3647)/1000)*$K$3677,2)</f>
        <v>2304.4699999999998</v>
      </c>
      <c r="G1861" s="1313" t="str">
        <f>G1857</f>
        <v>Heating Res ER2</v>
      </c>
      <c r="H1861" s="136">
        <f>VLOOKUP(G1861,'CP FACTORS'!$A$3:$B$38, 2, FALSE)</f>
        <v>0</v>
      </c>
      <c r="I1861" s="3497">
        <f t="shared" si="344"/>
        <v>0</v>
      </c>
      <c r="J1861" s="124">
        <f t="shared" si="339"/>
        <v>12</v>
      </c>
      <c r="K1861" s="462">
        <f t="shared" si="340"/>
        <v>0</v>
      </c>
      <c r="L1861" s="689"/>
      <c r="M1861" s="103"/>
      <c r="N1861" s="1317"/>
      <c r="O1861" s="963"/>
      <c r="P1861" s="106"/>
      <c r="Q1861" s="106"/>
      <c r="R1861" s="1214"/>
      <c r="S1861" s="106"/>
      <c r="T1861" s="106"/>
      <c r="U1861" s="1319"/>
      <c r="V1861" s="3436" t="s">
        <v>30</v>
      </c>
      <c r="W1861" s="2914"/>
      <c r="X1861" s="685"/>
      <c r="Y1861" s="618">
        <v>2304.4699999999998</v>
      </c>
      <c r="Z1861" s="615">
        <v>2304.4699999999998</v>
      </c>
      <c r="AA1861" s="615">
        <v>2304.4699999999998</v>
      </c>
      <c r="AB1861" s="3495">
        <v>2304.4699999999998</v>
      </c>
      <c r="AC1861" s="2912">
        <v>2304.4699999999998</v>
      </c>
      <c r="AD1861" s="615">
        <v>2304.4699999999998</v>
      </c>
      <c r="AE1861" s="2914"/>
      <c r="AF1861" s="2914"/>
      <c r="AG1861" s="2914"/>
      <c r="AH1861" s="344"/>
      <c r="AI1861" s="156"/>
      <c r="AJ1861" s="3640"/>
      <c r="AK1861" s="2915"/>
      <c r="AL1861" s="156"/>
      <c r="AM1861" s="3640"/>
      <c r="AN1861" s="3640"/>
      <c r="AO1861" s="156"/>
      <c r="AP1861" s="156"/>
      <c r="AQ1861" s="156"/>
      <c r="AR1861" s="156"/>
      <c r="AS1861" s="156"/>
      <c r="AT1861" s="156"/>
      <c r="AU1861" s="156"/>
      <c r="AV1861" s="156"/>
      <c r="AW1861" s="156"/>
      <c r="AX1861" s="156"/>
      <c r="AY1861" s="156"/>
      <c r="AZ1861" s="156"/>
      <c r="BA1861" s="156"/>
      <c r="BB1861" s="2905"/>
      <c r="BC1861" s="2349" t="str">
        <f t="shared" si="345"/>
        <v>Heating Res ER2 12 Year EUL</v>
      </c>
      <c r="BD1861" s="2829">
        <f>(INDEX('Avoided Cost Benefits'!$E$4:$E$859,MATCH(BC1861,'Avoided Cost Benefits'!$A$4:$A$859,0)))*F1861</f>
        <v>651.94048490609623</v>
      </c>
      <c r="BE1861" s="858">
        <f t="shared" si="342"/>
        <v>0</v>
      </c>
      <c r="BF1861" s="156"/>
      <c r="BH1861" s="686"/>
    </row>
    <row r="1862" spans="1:60" x14ac:dyDescent="0.35">
      <c r="A1862" s="1071" t="str">
        <f t="shared" si="343"/>
        <v>354660_2021_12_Cooling Res</v>
      </c>
      <c r="B1862" s="2812"/>
      <c r="C1862" s="1037" t="s">
        <v>1452</v>
      </c>
      <c r="D1862" s="1311" t="s">
        <v>320</v>
      </c>
      <c r="E1862" s="3420" t="s">
        <v>1453</v>
      </c>
      <c r="F1862" s="615">
        <f>ROUND(((K2876*K3069*(1/K3262-1/K3455)*K3648)/1000)*$K$3677,2)</f>
        <v>1471.88</v>
      </c>
      <c r="G1862" s="1313" t="s">
        <v>1091</v>
      </c>
      <c r="H1862" s="136">
        <f>VLOOKUP(G1862,'CP FACTORS'!$A$3:$B$38, 2, FALSE)</f>
        <v>9.4741810000000004E-4</v>
      </c>
      <c r="I1862" s="3497">
        <f t="shared" si="344"/>
        <v>1.3944859999999999</v>
      </c>
      <c r="J1862" s="124">
        <f t="shared" si="339"/>
        <v>6</v>
      </c>
      <c r="K1862" s="462">
        <f t="shared" si="340"/>
        <v>1925.8398012161661</v>
      </c>
      <c r="L1862" s="3496">
        <f>L2104</f>
        <v>3.1</v>
      </c>
      <c r="M1862" s="103"/>
      <c r="N1862" s="1317"/>
      <c r="O1862" s="963"/>
      <c r="P1862" s="106"/>
      <c r="Q1862" s="106"/>
      <c r="R1862" s="1214"/>
      <c r="S1862" s="106"/>
      <c r="T1862" s="106"/>
      <c r="U1862" s="1319"/>
      <c r="V1862" s="1590" t="s">
        <v>30</v>
      </c>
      <c r="W1862" s="2914"/>
      <c r="X1862" s="685"/>
      <c r="Y1862" s="618"/>
      <c r="Z1862" s="615"/>
      <c r="AA1862" s="615"/>
      <c r="AB1862" s="3495"/>
      <c r="AC1862" s="618">
        <v>1471.88</v>
      </c>
      <c r="AD1862" s="615">
        <v>1471.88</v>
      </c>
      <c r="AE1862" s="2914"/>
      <c r="AF1862" s="2914"/>
      <c r="AG1862" s="2914"/>
      <c r="AH1862" s="344"/>
      <c r="AI1862" s="156"/>
      <c r="AJ1862" s="3640"/>
      <c r="AK1862" s="2915"/>
      <c r="AL1862" s="156"/>
      <c r="AM1862" s="3640"/>
      <c r="AN1862" s="3640"/>
      <c r="AO1862" s="156"/>
      <c r="AP1862" s="156"/>
      <c r="AQ1862" s="156"/>
      <c r="AR1862" s="156"/>
      <c r="AS1862" s="156"/>
      <c r="AT1862" s="156"/>
      <c r="AU1862" s="156"/>
      <c r="AV1862" s="156"/>
      <c r="AW1862" s="156"/>
      <c r="AX1862" s="156"/>
      <c r="AY1862" s="156"/>
      <c r="AZ1862" s="156"/>
      <c r="BA1862" s="156"/>
      <c r="BB1862" s="2741">
        <f>(BD1862+BD1863+BD1864+BD1865)/(BE1862+BE1863+BE1864+BE1865)</f>
        <v>0.85745610311115861</v>
      </c>
      <c r="BC1862" s="2742" t="str">
        <f t="shared" si="345"/>
        <v>Cooling Res 6 Year EUL</v>
      </c>
      <c r="BD1862" s="1841">
        <f>(INDEX('Avoided Cost Benefits'!$E$4:$E$859,MATCH(BC1862,'Avoided Cost Benefits'!$A$4:$A$859,0)))*F1862</f>
        <v>932.60081483028262</v>
      </c>
      <c r="BE1862" s="2507">
        <f t="shared" si="342"/>
        <v>1817.6874008647153</v>
      </c>
      <c r="BF1862" s="156"/>
      <c r="BH1862" s="686"/>
    </row>
    <row r="1863" spans="1:60" x14ac:dyDescent="0.35">
      <c r="A1863" s="1071" t="str">
        <f t="shared" si="343"/>
        <v>354660_2021_12_Heating Res</v>
      </c>
      <c r="B1863" s="2812"/>
      <c r="C1863" s="1037" t="s">
        <v>1452</v>
      </c>
      <c r="D1863" s="1311" t="s">
        <v>320</v>
      </c>
      <c r="E1863" s="3420" t="s">
        <v>1453</v>
      </c>
      <c r="F1863" s="615">
        <v>0</v>
      </c>
      <c r="G1863" s="1313" t="s">
        <v>1092</v>
      </c>
      <c r="H1863" s="136">
        <f>VLOOKUP(G1863,'CP FACTORS'!$A$3:$B$38, 2, FALSE)</f>
        <v>0</v>
      </c>
      <c r="I1863" s="3497">
        <f t="shared" si="344"/>
        <v>0</v>
      </c>
      <c r="J1863" s="124">
        <f t="shared" si="339"/>
        <v>6</v>
      </c>
      <c r="K1863" s="462">
        <f t="shared" si="340"/>
        <v>0</v>
      </c>
      <c r="L1863" s="3496"/>
      <c r="M1863" s="103"/>
      <c r="N1863" s="1317"/>
      <c r="O1863" s="963"/>
      <c r="P1863" s="106"/>
      <c r="Q1863" s="106"/>
      <c r="R1863" s="1214"/>
      <c r="S1863" s="106"/>
      <c r="T1863" s="106"/>
      <c r="U1863" s="1319"/>
      <c r="V1863" s="1590" t="s">
        <v>30</v>
      </c>
      <c r="W1863" s="2914"/>
      <c r="X1863" s="685"/>
      <c r="Y1863" s="618"/>
      <c r="Z1863" s="615"/>
      <c r="AA1863" s="615"/>
      <c r="AB1863" s="3495"/>
      <c r="AC1863" s="618">
        <v>0</v>
      </c>
      <c r="AD1863" s="615">
        <v>0</v>
      </c>
      <c r="AE1863" s="2914"/>
      <c r="AF1863" s="2914"/>
      <c r="AG1863" s="2914"/>
      <c r="AH1863" s="344"/>
      <c r="AI1863" s="156"/>
      <c r="AJ1863" s="3640"/>
      <c r="AK1863" s="2915"/>
      <c r="AL1863" s="156"/>
      <c r="AM1863" s="3640"/>
      <c r="AN1863" s="3640"/>
      <c r="AO1863" s="156"/>
      <c r="AP1863" s="156"/>
      <c r="AQ1863" s="156"/>
      <c r="AR1863" s="156"/>
      <c r="AS1863" s="156"/>
      <c r="AT1863" s="156"/>
      <c r="AU1863" s="156"/>
      <c r="AV1863" s="156"/>
      <c r="AW1863" s="156"/>
      <c r="AX1863" s="156"/>
      <c r="AY1863" s="156"/>
      <c r="AZ1863" s="156"/>
      <c r="BA1863" s="156"/>
      <c r="BB1863" s="2743"/>
      <c r="BC1863" s="2742" t="str">
        <f t="shared" si="345"/>
        <v>Heating Res 6 Year EUL</v>
      </c>
      <c r="BD1863" s="1841">
        <f>(INDEX('Avoided Cost Benefits'!$E$4:$E$859,MATCH(BC1863,'Avoided Cost Benefits'!$A$4:$A$859,0)))*F1863</f>
        <v>0</v>
      </c>
      <c r="BE1863" s="2507">
        <f t="shared" si="342"/>
        <v>0</v>
      </c>
      <c r="BF1863" s="156"/>
      <c r="BH1863" s="686"/>
    </row>
    <row r="1864" spans="1:60" x14ac:dyDescent="0.35">
      <c r="A1864" s="1071" t="str">
        <f t="shared" si="343"/>
        <v>354660_2021_12_Cooling Res ER2</v>
      </c>
      <c r="B1864" s="2812"/>
      <c r="C1864" s="1037" t="s">
        <v>1452</v>
      </c>
      <c r="D1864" s="1311" t="s">
        <v>320</v>
      </c>
      <c r="E1864" s="3420" t="s">
        <v>1454</v>
      </c>
      <c r="F1864" s="615">
        <f>ROUND(((K2877*K3070*(1/K3263-1/K3456)*K3649)/1000)*$K$3677,2)</f>
        <v>565.72</v>
      </c>
      <c r="G1864" s="1313" t="s">
        <v>1133</v>
      </c>
      <c r="H1864" s="136">
        <f>VLOOKUP(G1864,'CP FACTORS'!$A$3:$B$38, 2, FALSE)</f>
        <v>9.4741810000000004E-4</v>
      </c>
      <c r="I1864" s="3497">
        <f t="shared" si="344"/>
        <v>0.53597300000000003</v>
      </c>
      <c r="J1864" s="124">
        <f t="shared" si="339"/>
        <v>12</v>
      </c>
      <c r="K1864" s="462">
        <f t="shared" si="340"/>
        <v>0</v>
      </c>
      <c r="L1864" s="3496"/>
      <c r="M1864" s="103"/>
      <c r="N1864" s="1317"/>
      <c r="O1864" s="963"/>
      <c r="P1864" s="106"/>
      <c r="Q1864" s="106"/>
      <c r="R1864" s="1214"/>
      <c r="S1864" s="106"/>
      <c r="T1864" s="106"/>
      <c r="U1864" s="1319"/>
      <c r="V1864" s="1590" t="s">
        <v>30</v>
      </c>
      <c r="W1864" s="2914"/>
      <c r="X1864" s="685"/>
      <c r="Y1864" s="618"/>
      <c r="Z1864" s="615"/>
      <c r="AA1864" s="615"/>
      <c r="AB1864" s="3495"/>
      <c r="AC1864" s="618">
        <v>565.72</v>
      </c>
      <c r="AD1864" s="615">
        <v>565.72</v>
      </c>
      <c r="AE1864" s="2914"/>
      <c r="AF1864" s="2914"/>
      <c r="AG1864" s="2914"/>
      <c r="AH1864" s="344"/>
      <c r="AI1864" s="156"/>
      <c r="AJ1864" s="3640"/>
      <c r="AK1864" s="2915"/>
      <c r="AL1864" s="156"/>
      <c r="AM1864" s="3640"/>
      <c r="AN1864" s="3640"/>
      <c r="AO1864" s="156"/>
      <c r="AP1864" s="156"/>
      <c r="AQ1864" s="156"/>
      <c r="AR1864" s="156"/>
      <c r="AS1864" s="156"/>
      <c r="AT1864" s="156"/>
      <c r="AU1864" s="156"/>
      <c r="AV1864" s="156"/>
      <c r="AW1864" s="156"/>
      <c r="AX1864" s="156"/>
      <c r="AY1864" s="156"/>
      <c r="AZ1864" s="156"/>
      <c r="BA1864" s="156"/>
      <c r="BB1864" s="2743"/>
      <c r="BC1864" s="2742" t="str">
        <f t="shared" si="345"/>
        <v>Cooling Res ER2 12 Year EUL</v>
      </c>
      <c r="BD1864" s="1841">
        <f>(INDEX('Avoided Cost Benefits'!$E$4:$E$859,MATCH(BC1864,'Avoided Cost Benefits'!$A$4:$A$859,0)))*F1864</f>
        <v>625.98634058942662</v>
      </c>
      <c r="BE1864" s="2507">
        <f t="shared" si="342"/>
        <v>0</v>
      </c>
      <c r="BF1864" s="156"/>
      <c r="BH1864" s="686"/>
    </row>
    <row r="1865" spans="1:60" x14ac:dyDescent="0.35">
      <c r="A1865" s="1071" t="str">
        <f t="shared" si="343"/>
        <v>354660_2021_12_Heating Res ER2</v>
      </c>
      <c r="B1865" s="2812"/>
      <c r="C1865" s="1037" t="s">
        <v>1452</v>
      </c>
      <c r="D1865" s="1311" t="s">
        <v>320</v>
      </c>
      <c r="E1865" s="3419" t="s">
        <v>1454</v>
      </c>
      <c r="F1865" s="615">
        <v>0</v>
      </c>
      <c r="G1865" s="1313" t="s">
        <v>1150</v>
      </c>
      <c r="H1865" s="136">
        <f>VLOOKUP(G1865,'CP FACTORS'!$A$3:$B$38, 2, FALSE)</f>
        <v>0</v>
      </c>
      <c r="I1865" s="3497">
        <f t="shared" si="344"/>
        <v>0</v>
      </c>
      <c r="J1865" s="124">
        <f t="shared" si="339"/>
        <v>12</v>
      </c>
      <c r="K1865" s="462">
        <f t="shared" si="340"/>
        <v>0</v>
      </c>
      <c r="L1865" s="3496"/>
      <c r="M1865" s="103"/>
      <c r="N1865" s="1317"/>
      <c r="O1865" s="963"/>
      <c r="P1865" s="106"/>
      <c r="Q1865" s="106"/>
      <c r="R1865" s="1214"/>
      <c r="S1865" s="106"/>
      <c r="T1865" s="106"/>
      <c r="U1865" s="1319"/>
      <c r="V1865" s="1590" t="s">
        <v>30</v>
      </c>
      <c r="W1865" s="2914"/>
      <c r="X1865" s="685"/>
      <c r="Y1865" s="618"/>
      <c r="Z1865" s="615"/>
      <c r="AA1865" s="615"/>
      <c r="AB1865" s="3495"/>
      <c r="AC1865" s="618">
        <v>0</v>
      </c>
      <c r="AD1865" s="615">
        <v>0</v>
      </c>
      <c r="AE1865" s="2914"/>
      <c r="AF1865" s="2914"/>
      <c r="AG1865" s="2914"/>
      <c r="AH1865" s="344"/>
      <c r="AI1865" s="156"/>
      <c r="AJ1865" s="3640"/>
      <c r="AK1865" s="2915"/>
      <c r="AL1865" s="156"/>
      <c r="AM1865" s="3640"/>
      <c r="AN1865" s="3640"/>
      <c r="AO1865" s="156"/>
      <c r="AP1865" s="156"/>
      <c r="AQ1865" s="156"/>
      <c r="AR1865" s="156"/>
      <c r="AS1865" s="156"/>
      <c r="AT1865" s="156"/>
      <c r="AU1865" s="156"/>
      <c r="AV1865" s="156"/>
      <c r="AW1865" s="156"/>
      <c r="AX1865" s="156"/>
      <c r="AY1865" s="156"/>
      <c r="AZ1865" s="156"/>
      <c r="BA1865" s="156"/>
      <c r="BB1865" s="2743"/>
      <c r="BC1865" s="2744" t="str">
        <f t="shared" si="345"/>
        <v>Heating Res ER2 12 Year EUL</v>
      </c>
      <c r="BD1865" s="1841">
        <f>(INDEX('Avoided Cost Benefits'!$E$4:$E$859,MATCH(BC1865,'Avoided Cost Benefits'!$A$4:$A$859,0)))*F1865</f>
        <v>0</v>
      </c>
      <c r="BE1865" s="2507">
        <f t="shared" si="342"/>
        <v>0</v>
      </c>
      <c r="BF1865" s="156"/>
      <c r="BH1865" s="686"/>
    </row>
    <row r="1866" spans="1:60" x14ac:dyDescent="0.35">
      <c r="A1866" s="1071" t="str">
        <f t="shared" si="343"/>
        <v>354661_2021_12_Cooling Res</v>
      </c>
      <c r="B1866" s="2812"/>
      <c r="C1866" s="1037" t="s">
        <v>1455</v>
      </c>
      <c r="D1866" s="1311" t="s">
        <v>315</v>
      </c>
      <c r="E1866" s="3420" t="s">
        <v>1456</v>
      </c>
      <c r="F1866" s="615">
        <f>ROUND(((K2878*K3071*(1/K3264-1/K3457)*K3650)/1000)*$K$3677,2)</f>
        <v>1070.46</v>
      </c>
      <c r="G1866" s="1313" t="s">
        <v>1091</v>
      </c>
      <c r="H1866" s="136">
        <f>VLOOKUP(G1866,'CP FACTORS'!$A$3:$B$38, 2, FALSE)</f>
        <v>9.4741810000000004E-4</v>
      </c>
      <c r="I1866" s="3497">
        <f t="shared" si="344"/>
        <v>1.014173</v>
      </c>
      <c r="J1866" s="124">
        <f t="shared" si="339"/>
        <v>6</v>
      </c>
      <c r="K1866" s="462">
        <f t="shared" si="340"/>
        <v>1925.8398012161661</v>
      </c>
      <c r="L1866" s="3496">
        <f>L2106</f>
        <v>3.1</v>
      </c>
      <c r="M1866" s="103"/>
      <c r="N1866" s="1317"/>
      <c r="O1866" s="963"/>
      <c r="P1866" s="106"/>
      <c r="Q1866" s="106"/>
      <c r="R1866" s="1214"/>
      <c r="S1866" s="106"/>
      <c r="T1866" s="106"/>
      <c r="U1866" s="1319"/>
      <c r="V1866" s="1590" t="s">
        <v>30</v>
      </c>
      <c r="W1866" s="2914"/>
      <c r="X1866" s="685"/>
      <c r="Y1866" s="618"/>
      <c r="Z1866" s="615"/>
      <c r="AA1866" s="615"/>
      <c r="AB1866" s="3495"/>
      <c r="AC1866" s="618">
        <v>1070.46</v>
      </c>
      <c r="AD1866" s="615">
        <v>1070.46</v>
      </c>
      <c r="AE1866" s="2914"/>
      <c r="AF1866" s="2914"/>
      <c r="AG1866" s="2914"/>
      <c r="AH1866" s="344"/>
      <c r="AI1866" s="156"/>
      <c r="AJ1866" s="3640"/>
      <c r="AK1866" s="2915"/>
      <c r="AL1866" s="156"/>
      <c r="AM1866" s="3640"/>
      <c r="AN1866" s="3640"/>
      <c r="AO1866" s="156"/>
      <c r="AP1866" s="156"/>
      <c r="AQ1866" s="156"/>
      <c r="AR1866" s="156"/>
      <c r="AS1866" s="156"/>
      <c r="AT1866" s="156"/>
      <c r="AU1866" s="156"/>
      <c r="AV1866" s="156"/>
      <c r="AW1866" s="156"/>
      <c r="AX1866" s="156"/>
      <c r="AY1866" s="156"/>
      <c r="AZ1866" s="156"/>
      <c r="BA1866" s="156"/>
      <c r="BB1866" s="2741">
        <f>(BD1866+BD1867+BD1868+BD1869)/(BE1866+BE1867+BE1868+BE1869)</f>
        <v>0.62360341216365989</v>
      </c>
      <c r="BC1866" s="2742" t="str">
        <f t="shared" si="345"/>
        <v>Cooling Res 6 Year EUL</v>
      </c>
      <c r="BD1866" s="1841">
        <f>(INDEX('Avoided Cost Benefits'!$E$4:$E$859,MATCH(BC1866,'Avoided Cost Benefits'!$A$4:$A$859,0)))*F1866</f>
        <v>678.25629008018609</v>
      </c>
      <c r="BE1866" s="2507">
        <f t="shared" si="342"/>
        <v>1817.6874008647153</v>
      </c>
      <c r="BF1866" s="156"/>
      <c r="BH1866" s="686"/>
    </row>
    <row r="1867" spans="1:60" x14ac:dyDescent="0.35">
      <c r="A1867" s="1071" t="str">
        <f t="shared" si="343"/>
        <v>354661_2021_12_Heating Res</v>
      </c>
      <c r="B1867" s="2812"/>
      <c r="C1867" s="1037" t="s">
        <v>1455</v>
      </c>
      <c r="D1867" s="1311" t="s">
        <v>315</v>
      </c>
      <c r="E1867" s="3420" t="s">
        <v>1456</v>
      </c>
      <c r="F1867" s="615">
        <v>0</v>
      </c>
      <c r="G1867" s="1313" t="s">
        <v>1092</v>
      </c>
      <c r="H1867" s="136">
        <f>VLOOKUP(G1867,'CP FACTORS'!$A$3:$B$38, 2, FALSE)</f>
        <v>0</v>
      </c>
      <c r="I1867" s="3497">
        <f t="shared" si="344"/>
        <v>0</v>
      </c>
      <c r="J1867" s="124">
        <f t="shared" ref="J1867:J1919" si="347">K4011</f>
        <v>6</v>
      </c>
      <c r="K1867" s="462">
        <f t="shared" ref="K1867:K1919" si="348">K4397</f>
        <v>0</v>
      </c>
      <c r="L1867" s="3496"/>
      <c r="M1867" s="103"/>
      <c r="N1867" s="1317"/>
      <c r="O1867" s="963"/>
      <c r="P1867" s="106"/>
      <c r="Q1867" s="106"/>
      <c r="R1867" s="1214"/>
      <c r="S1867" s="106"/>
      <c r="T1867" s="106"/>
      <c r="U1867" s="1319"/>
      <c r="V1867" s="1590" t="s">
        <v>30</v>
      </c>
      <c r="W1867" s="2914"/>
      <c r="X1867" s="685"/>
      <c r="Y1867" s="618"/>
      <c r="Z1867" s="615"/>
      <c r="AA1867" s="615"/>
      <c r="AB1867" s="3495"/>
      <c r="AC1867" s="618">
        <v>0</v>
      </c>
      <c r="AD1867" s="615">
        <v>0</v>
      </c>
      <c r="AE1867" s="2914"/>
      <c r="AF1867" s="2914"/>
      <c r="AG1867" s="2914"/>
      <c r="AH1867" s="344"/>
      <c r="AI1867" s="156"/>
      <c r="AJ1867" s="3640"/>
      <c r="AK1867" s="2915"/>
      <c r="AL1867" s="156"/>
      <c r="AM1867" s="3640"/>
      <c r="AN1867" s="3640"/>
      <c r="AO1867" s="156"/>
      <c r="AP1867" s="156"/>
      <c r="AQ1867" s="156"/>
      <c r="AR1867" s="156"/>
      <c r="AS1867" s="156"/>
      <c r="AT1867" s="156"/>
      <c r="AU1867" s="156"/>
      <c r="AV1867" s="156"/>
      <c r="AW1867" s="156"/>
      <c r="AX1867" s="156"/>
      <c r="AY1867" s="156"/>
      <c r="AZ1867" s="156"/>
      <c r="BA1867" s="156"/>
      <c r="BB1867" s="2743"/>
      <c r="BC1867" s="2742" t="str">
        <f t="shared" si="345"/>
        <v>Heating Res 6 Year EUL</v>
      </c>
      <c r="BD1867" s="1841">
        <f>(INDEX('Avoided Cost Benefits'!$E$4:$E$859,MATCH(BC1867,'Avoided Cost Benefits'!$A$4:$A$859,0)))*F1867</f>
        <v>0</v>
      </c>
      <c r="BE1867" s="2507">
        <f t="shared" si="342"/>
        <v>0</v>
      </c>
      <c r="BF1867" s="156"/>
      <c r="BH1867" s="686"/>
    </row>
    <row r="1868" spans="1:60" x14ac:dyDescent="0.35">
      <c r="A1868" s="1071" t="str">
        <f t="shared" si="343"/>
        <v>354661_2021_12_Cooling Res ER2</v>
      </c>
      <c r="B1868" s="2812"/>
      <c r="C1868" s="1037" t="s">
        <v>1455</v>
      </c>
      <c r="D1868" s="1311" t="s">
        <v>315</v>
      </c>
      <c r="E1868" s="3420" t="s">
        <v>1457</v>
      </c>
      <c r="F1868" s="615">
        <f>ROUND(((K2879*K3072*(1/K3265-1/K3458)*K3651)/1000)*$K$3677,2)</f>
        <v>411.43</v>
      </c>
      <c r="G1868" s="1313" t="s">
        <v>1133</v>
      </c>
      <c r="H1868" s="136">
        <f>VLOOKUP(G1868,'CP FACTORS'!$A$3:$B$38, 2, FALSE)</f>
        <v>9.4741810000000004E-4</v>
      </c>
      <c r="I1868" s="3497">
        <f t="shared" si="344"/>
        <v>0.38979599999999998</v>
      </c>
      <c r="J1868" s="124">
        <f t="shared" si="347"/>
        <v>12</v>
      </c>
      <c r="K1868" s="462">
        <f t="shared" si="348"/>
        <v>0</v>
      </c>
      <c r="L1868" s="3496"/>
      <c r="M1868" s="103"/>
      <c r="N1868" s="1317"/>
      <c r="O1868" s="963"/>
      <c r="P1868" s="106"/>
      <c r="Q1868" s="106"/>
      <c r="R1868" s="1214"/>
      <c r="S1868" s="106"/>
      <c r="T1868" s="106"/>
      <c r="U1868" s="1319"/>
      <c r="V1868" s="1590" t="s">
        <v>30</v>
      </c>
      <c r="W1868" s="2914"/>
      <c r="X1868" s="685"/>
      <c r="Y1868" s="618"/>
      <c r="Z1868" s="615"/>
      <c r="AA1868" s="615"/>
      <c r="AB1868" s="3495"/>
      <c r="AC1868" s="618">
        <v>411.43</v>
      </c>
      <c r="AD1868" s="615">
        <v>411.43</v>
      </c>
      <c r="AE1868" s="2914"/>
      <c r="AF1868" s="2914"/>
      <c r="AG1868" s="2914"/>
      <c r="AH1868" s="344"/>
      <c r="AI1868" s="156"/>
      <c r="AJ1868" s="3640"/>
      <c r="AK1868" s="2915"/>
      <c r="AL1868" s="156"/>
      <c r="AM1868" s="3640"/>
      <c r="AN1868" s="3640"/>
      <c r="AO1868" s="156"/>
      <c r="AP1868" s="156"/>
      <c r="AQ1868" s="156"/>
      <c r="AR1868" s="156"/>
      <c r="AS1868" s="156"/>
      <c r="AT1868" s="156"/>
      <c r="AU1868" s="156"/>
      <c r="AV1868" s="156"/>
      <c r="AW1868" s="156"/>
      <c r="AX1868" s="156"/>
      <c r="AY1868" s="156"/>
      <c r="AZ1868" s="156"/>
      <c r="BA1868" s="156"/>
      <c r="BB1868" s="2743"/>
      <c r="BC1868" s="2742" t="str">
        <f t="shared" si="345"/>
        <v>Cooling Res ER2 12 Year EUL</v>
      </c>
      <c r="BD1868" s="1841">
        <f>(INDEX('Avoided Cost Benefits'!$E$4:$E$859,MATCH(BC1868,'Avoided Cost Benefits'!$A$4:$A$859,0)))*F1868</f>
        <v>455.25977534594466</v>
      </c>
      <c r="BE1868" s="2507">
        <f t="shared" si="342"/>
        <v>0</v>
      </c>
      <c r="BF1868" s="156"/>
      <c r="BH1868" s="686"/>
    </row>
    <row r="1869" spans="1:60" x14ac:dyDescent="0.35">
      <c r="A1869" s="1071" t="str">
        <f t="shared" si="343"/>
        <v>354661_2021_12_Heating Res ER2</v>
      </c>
      <c r="B1869" s="2812"/>
      <c r="C1869" s="1037" t="s">
        <v>1455</v>
      </c>
      <c r="D1869" s="1311" t="s">
        <v>315</v>
      </c>
      <c r="E1869" s="3420" t="s">
        <v>1457</v>
      </c>
      <c r="F1869" s="615">
        <f>0</f>
        <v>0</v>
      </c>
      <c r="G1869" s="1313" t="s">
        <v>1150</v>
      </c>
      <c r="H1869" s="136">
        <f>VLOOKUP(G1869,'CP FACTORS'!$A$3:$B$38, 2, FALSE)</f>
        <v>0</v>
      </c>
      <c r="I1869" s="3497">
        <f t="shared" si="344"/>
        <v>0</v>
      </c>
      <c r="J1869" s="124">
        <f t="shared" si="347"/>
        <v>12</v>
      </c>
      <c r="K1869" s="462">
        <f t="shared" si="348"/>
        <v>0</v>
      </c>
      <c r="L1869" s="3496"/>
      <c r="M1869" s="103"/>
      <c r="N1869" s="1317"/>
      <c r="O1869" s="963"/>
      <c r="P1869" s="106"/>
      <c r="Q1869" s="106"/>
      <c r="R1869" s="1214"/>
      <c r="S1869" s="106"/>
      <c r="T1869" s="106"/>
      <c r="U1869" s="1319"/>
      <c r="V1869" s="1590" t="s">
        <v>30</v>
      </c>
      <c r="W1869" s="2914"/>
      <c r="X1869" s="685"/>
      <c r="Y1869" s="618"/>
      <c r="Z1869" s="615"/>
      <c r="AA1869" s="615"/>
      <c r="AB1869" s="3495"/>
      <c r="AC1869" s="618">
        <v>0</v>
      </c>
      <c r="AD1869" s="615">
        <v>0</v>
      </c>
      <c r="AE1869" s="2914"/>
      <c r="AF1869" s="2914"/>
      <c r="AG1869" s="2914"/>
      <c r="AH1869" s="344"/>
      <c r="AI1869" s="156"/>
      <c r="AJ1869" s="3640"/>
      <c r="AK1869" s="2915"/>
      <c r="AL1869" s="156"/>
      <c r="AM1869" s="3640"/>
      <c r="AN1869" s="3640"/>
      <c r="AO1869" s="156"/>
      <c r="AP1869" s="156"/>
      <c r="AQ1869" s="156"/>
      <c r="AR1869" s="156"/>
      <c r="AS1869" s="156"/>
      <c r="AT1869" s="156"/>
      <c r="AU1869" s="156"/>
      <c r="AV1869" s="156"/>
      <c r="AW1869" s="156"/>
      <c r="AX1869" s="156"/>
      <c r="AY1869" s="156"/>
      <c r="AZ1869" s="156"/>
      <c r="BA1869" s="156"/>
      <c r="BB1869" s="2743"/>
      <c r="BC1869" s="2742" t="str">
        <f t="shared" si="345"/>
        <v>Heating Res ER2 12 Year EUL</v>
      </c>
      <c r="BD1869" s="1841">
        <f>(INDEX('Avoided Cost Benefits'!$E$4:$E$859,MATCH(BC1869,'Avoided Cost Benefits'!$A$4:$A$859,0)))*F1869</f>
        <v>0</v>
      </c>
      <c r="BE1869" s="2507">
        <f t="shared" si="342"/>
        <v>0</v>
      </c>
      <c r="BF1869" s="156"/>
      <c r="BH1869" s="686"/>
    </row>
    <row r="1870" spans="1:60" x14ac:dyDescent="0.35">
      <c r="A1870" s="1071" t="str">
        <f t="shared" si="343"/>
        <v>354700_2019_12_Cooling Res</v>
      </c>
      <c r="B1870" s="2812"/>
      <c r="C1870" s="1037" t="s">
        <v>1458</v>
      </c>
      <c r="D1870" s="1311" t="s">
        <v>320</v>
      </c>
      <c r="E1870" s="3418" t="s">
        <v>1459</v>
      </c>
      <c r="F1870" s="615">
        <f>ROUND(((K2880*K3073*(1/K3266-1/K3459)*K3652)/1000)*$K$3677,2)</f>
        <v>1566.84</v>
      </c>
      <c r="G1870" s="1313" t="s">
        <v>1091</v>
      </c>
      <c r="H1870" s="136">
        <f>VLOOKUP(G1870,'CP FACTORS'!$A$3:$B$38, 2, FALSE)</f>
        <v>9.4741810000000004E-4</v>
      </c>
      <c r="I1870" s="3497">
        <f t="shared" si="344"/>
        <v>1.484453</v>
      </c>
      <c r="J1870" s="124">
        <f t="shared" si="347"/>
        <v>6</v>
      </c>
      <c r="K1870" s="462">
        <f t="shared" si="348"/>
        <v>1956.9017238752731</v>
      </c>
      <c r="L1870" s="689">
        <f>L2108</f>
        <v>3.3</v>
      </c>
      <c r="M1870" s="103"/>
      <c r="N1870" s="1317"/>
      <c r="O1870" s="963"/>
      <c r="P1870" s="106"/>
      <c r="Q1870" s="106"/>
      <c r="R1870" s="1214"/>
      <c r="S1870" s="106"/>
      <c r="T1870" s="106"/>
      <c r="U1870" s="1319"/>
      <c r="V1870" s="3436" t="s">
        <v>30</v>
      </c>
      <c r="W1870" s="2914">
        <v>1988.2719999999999</v>
      </c>
      <c r="X1870" s="685">
        <v>1566.8382965186074</v>
      </c>
      <c r="Y1870" s="615">
        <v>1566.84</v>
      </c>
      <c r="Z1870" s="615">
        <v>1566.84</v>
      </c>
      <c r="AA1870" s="615">
        <v>1566.84</v>
      </c>
      <c r="AB1870" s="3495">
        <v>1566.84</v>
      </c>
      <c r="AC1870" s="2912">
        <v>1566.84</v>
      </c>
      <c r="AD1870" s="615">
        <v>1566.84</v>
      </c>
      <c r="AE1870" s="2914"/>
      <c r="AF1870" s="2914"/>
      <c r="AG1870" s="2914"/>
      <c r="AH1870" s="344"/>
      <c r="AI1870" s="156"/>
      <c r="AJ1870" s="3640"/>
      <c r="AK1870" s="2915"/>
      <c r="AL1870" s="156"/>
      <c r="AM1870" s="3640"/>
      <c r="AN1870" s="3640"/>
      <c r="AO1870" s="156"/>
      <c r="AP1870" s="156"/>
      <c r="AQ1870" s="156"/>
      <c r="AR1870" s="156"/>
      <c r="AS1870" s="156"/>
      <c r="AT1870" s="156"/>
      <c r="AU1870" s="156"/>
      <c r="AV1870" s="156"/>
      <c r="AW1870" s="156"/>
      <c r="AX1870" s="156"/>
      <c r="AY1870" s="156"/>
      <c r="AZ1870" s="156"/>
      <c r="BA1870" s="156"/>
      <c r="BB1870" s="2833">
        <f>(BD1870+BD1871+BD1872+BD1873)/(BE1870+BE1871+BE1872+BE1873)</f>
        <v>1.0817723377019675</v>
      </c>
      <c r="BC1870" s="2348" t="str">
        <f t="shared" si="345"/>
        <v>Cooling Res 6 Year EUL</v>
      </c>
      <c r="BD1870" s="2829">
        <f>(INDEX('Avoided Cost Benefits'!$E$4:$E$859,MATCH(BC1870,'Avoided Cost Benefits'!$A$4:$A$859,0)))*F1870</f>
        <v>992.76860933546197</v>
      </c>
      <c r="BE1870" s="858">
        <f t="shared" si="342"/>
        <v>1847.0049305099319</v>
      </c>
      <c r="BF1870" s="156"/>
      <c r="BH1870" s="686"/>
    </row>
    <row r="1871" spans="1:60" x14ac:dyDescent="0.35">
      <c r="A1871" s="1071" t="str">
        <f t="shared" si="343"/>
        <v>354700_2019_12_Heating Res</v>
      </c>
      <c r="B1871" s="2812"/>
      <c r="C1871" s="1037" t="s">
        <v>1458</v>
      </c>
      <c r="D1871" s="1311" t="s">
        <v>320</v>
      </c>
      <c r="E1871" s="3420" t="s">
        <v>1459</v>
      </c>
      <c r="F1871" s="615">
        <f>ROUND(((K2108*K2301*(1/K2494-1/K2687)*K3652)/1000)*$K$3677,2)</f>
        <v>1798.76</v>
      </c>
      <c r="G1871" s="1313" t="s">
        <v>1092</v>
      </c>
      <c r="H1871" s="136">
        <f>VLOOKUP(G1871,'CP FACTORS'!$A$3:$B$38, 2, FALSE)</f>
        <v>0</v>
      </c>
      <c r="I1871" s="3497">
        <f t="shared" si="344"/>
        <v>0</v>
      </c>
      <c r="J1871" s="124">
        <f t="shared" si="347"/>
        <v>6</v>
      </c>
      <c r="K1871" s="462">
        <f t="shared" si="348"/>
        <v>0</v>
      </c>
      <c r="L1871" s="689"/>
      <c r="M1871" s="103"/>
      <c r="N1871" s="1317"/>
      <c r="O1871" s="963"/>
      <c r="P1871" s="106"/>
      <c r="Q1871" s="106"/>
      <c r="R1871" s="1214"/>
      <c r="S1871" s="106"/>
      <c r="T1871" s="106"/>
      <c r="U1871" s="1319"/>
      <c r="V1871" s="3436" t="s">
        <v>30</v>
      </c>
      <c r="W1871" s="2914">
        <v>4062.4872213622284</v>
      </c>
      <c r="X1871" s="685">
        <v>1798.7611070228763</v>
      </c>
      <c r="Y1871" s="615">
        <v>1798.76</v>
      </c>
      <c r="Z1871" s="615">
        <v>1798.76</v>
      </c>
      <c r="AA1871" s="615">
        <v>1798.76</v>
      </c>
      <c r="AB1871" s="3495">
        <v>1798.76</v>
      </c>
      <c r="AC1871" s="2912">
        <v>1798.76</v>
      </c>
      <c r="AD1871" s="615">
        <v>1798.76</v>
      </c>
      <c r="AE1871" s="2914"/>
      <c r="AF1871" s="2914"/>
      <c r="AG1871" s="2914"/>
      <c r="AH1871" s="344"/>
      <c r="AI1871" s="156"/>
      <c r="AJ1871" s="3640"/>
      <c r="AK1871" s="2915"/>
      <c r="AL1871" s="156"/>
      <c r="AM1871" s="3640"/>
      <c r="AN1871" s="3640"/>
      <c r="AO1871" s="156"/>
      <c r="AP1871" s="156"/>
      <c r="AQ1871" s="156"/>
      <c r="AR1871" s="156"/>
      <c r="AS1871" s="156"/>
      <c r="AT1871" s="156"/>
      <c r="AU1871" s="156"/>
      <c r="AV1871" s="156"/>
      <c r="AW1871" s="156"/>
      <c r="AX1871" s="156"/>
      <c r="AY1871" s="156"/>
      <c r="AZ1871" s="156"/>
      <c r="BA1871" s="156"/>
      <c r="BB1871" s="2905"/>
      <c r="BC1871" s="2357" t="str">
        <f t="shared" si="345"/>
        <v>Heating Res 6 Year EUL</v>
      </c>
      <c r="BD1871" s="2829">
        <f>(INDEX('Avoided Cost Benefits'!$E$4:$E$859,MATCH(BC1871,'Avoided Cost Benefits'!$A$4:$A$859,0)))*F1871</f>
        <v>293.09209201798672</v>
      </c>
      <c r="BE1871" s="858">
        <f t="shared" si="342"/>
        <v>0</v>
      </c>
      <c r="BF1871" s="156"/>
      <c r="BH1871" s="686"/>
    </row>
    <row r="1872" spans="1:60" x14ac:dyDescent="0.35">
      <c r="A1872" s="1071" t="str">
        <f t="shared" si="343"/>
        <v>354700_2019_12_Cooling Res ER2</v>
      </c>
      <c r="B1872" s="2812"/>
      <c r="C1872" s="1037" t="s">
        <v>1458</v>
      </c>
      <c r="D1872" s="1311" t="s">
        <v>320</v>
      </c>
      <c r="E1872" s="3420" t="s">
        <v>1460</v>
      </c>
      <c r="F1872" s="615">
        <f>ROUND(((K2881*K3074*(1/K3267-1/K3460)*K3653)/1000)*$K$3677,2)</f>
        <v>479.32</v>
      </c>
      <c r="G1872" s="1313" t="s">
        <v>1133</v>
      </c>
      <c r="H1872" s="136">
        <f>VLOOKUP(G1872,'CP FACTORS'!$A$3:$B$38, 2, FALSE)</f>
        <v>9.4741810000000004E-4</v>
      </c>
      <c r="I1872" s="3497">
        <f t="shared" si="344"/>
        <v>0.45411600000000002</v>
      </c>
      <c r="J1872" s="124">
        <f t="shared" si="347"/>
        <v>12</v>
      </c>
      <c r="K1872" s="462">
        <f t="shared" si="348"/>
        <v>0</v>
      </c>
      <c r="L1872" s="689"/>
      <c r="M1872" s="103"/>
      <c r="N1872" s="1317"/>
      <c r="O1872" s="963"/>
      <c r="P1872" s="106"/>
      <c r="Q1872" s="106"/>
      <c r="R1872" s="1214"/>
      <c r="S1872" s="106"/>
      <c r="T1872" s="106"/>
      <c r="U1872" s="1319"/>
      <c r="V1872" s="3436" t="s">
        <v>30</v>
      </c>
      <c r="W1872" s="2914">
        <v>479.31557142857133</v>
      </c>
      <c r="X1872" s="688">
        <v>479.31557142857133</v>
      </c>
      <c r="Y1872" s="615">
        <v>479.32</v>
      </c>
      <c r="Z1872" s="615">
        <v>479.32</v>
      </c>
      <c r="AA1872" s="615">
        <v>479.32</v>
      </c>
      <c r="AB1872" s="3495">
        <v>479.32</v>
      </c>
      <c r="AC1872" s="2912">
        <v>479.32</v>
      </c>
      <c r="AD1872" s="615">
        <v>479.32</v>
      </c>
      <c r="AE1872" s="2914"/>
      <c r="AF1872" s="2914"/>
      <c r="AG1872" s="2914"/>
      <c r="AH1872" s="344"/>
      <c r="AI1872" s="156"/>
      <c r="AJ1872" s="3640"/>
      <c r="AK1872" s="2915"/>
      <c r="AL1872" s="156"/>
      <c r="AM1872" s="3640"/>
      <c r="AN1872" s="3640"/>
      <c r="AO1872" s="156"/>
      <c r="AP1872" s="156"/>
      <c r="AQ1872" s="156"/>
      <c r="AR1872" s="156"/>
      <c r="AS1872" s="156"/>
      <c r="AT1872" s="156"/>
      <c r="AU1872" s="156"/>
      <c r="AV1872" s="156"/>
      <c r="AW1872" s="156"/>
      <c r="AX1872" s="156"/>
      <c r="AY1872" s="156"/>
      <c r="AZ1872" s="156"/>
      <c r="BA1872" s="156"/>
      <c r="BB1872" s="2905"/>
      <c r="BC1872" s="2357" t="str">
        <f t="shared" si="345"/>
        <v>Cooling Res ER2 12 Year EUL</v>
      </c>
      <c r="BD1872" s="2829">
        <f>(INDEX('Avoided Cost Benefits'!$E$4:$E$859,MATCH(BC1872,'Avoided Cost Benefits'!$A$4:$A$859,0)))*F1872</f>
        <v>530.38211972587851</v>
      </c>
      <c r="BE1872" s="858">
        <f t="shared" si="342"/>
        <v>0</v>
      </c>
      <c r="BF1872" s="156"/>
      <c r="BH1872" s="686"/>
    </row>
    <row r="1873" spans="1:60" x14ac:dyDescent="0.35">
      <c r="A1873" s="1071" t="str">
        <f t="shared" si="343"/>
        <v>354700_2019_12_Heating Res ER2</v>
      </c>
      <c r="B1873" s="2812"/>
      <c r="C1873" s="1037" t="s">
        <v>1458</v>
      </c>
      <c r="D1873" s="1311" t="s">
        <v>320</v>
      </c>
      <c r="E1873" s="3419" t="s">
        <v>1460</v>
      </c>
      <c r="F1873" s="615">
        <f>ROUND(((K2109*K2302*(1/K2495-1/K2688)*K3653)/1000)*$K$3677,2)</f>
        <v>642.61</v>
      </c>
      <c r="G1873" s="1313" t="s">
        <v>1150</v>
      </c>
      <c r="H1873" s="136">
        <f>VLOOKUP(G1873,'CP FACTORS'!$A$3:$B$38, 2, FALSE)</f>
        <v>0</v>
      </c>
      <c r="I1873" s="3497">
        <f t="shared" si="344"/>
        <v>0</v>
      </c>
      <c r="J1873" s="124">
        <f t="shared" si="347"/>
        <v>12</v>
      </c>
      <c r="K1873" s="462">
        <f t="shared" si="348"/>
        <v>0</v>
      </c>
      <c r="L1873" s="689"/>
      <c r="M1873" s="103"/>
      <c r="N1873" s="1317"/>
      <c r="O1873" s="963"/>
      <c r="P1873" s="106"/>
      <c r="Q1873" s="106"/>
      <c r="R1873" s="1214"/>
      <c r="S1873" s="106"/>
      <c r="T1873" s="106"/>
      <c r="U1873" s="1319"/>
      <c r="V1873" s="3436" t="s">
        <v>30</v>
      </c>
      <c r="W1873" s="2914">
        <v>862.96736842105349</v>
      </c>
      <c r="X1873" s="685">
        <v>642.6078562259313</v>
      </c>
      <c r="Y1873" s="615">
        <v>642.61</v>
      </c>
      <c r="Z1873" s="615">
        <v>642.61</v>
      </c>
      <c r="AA1873" s="615">
        <v>642.61</v>
      </c>
      <c r="AB1873" s="3495">
        <v>642.61</v>
      </c>
      <c r="AC1873" s="2912">
        <v>642.61</v>
      </c>
      <c r="AD1873" s="615">
        <v>642.61</v>
      </c>
      <c r="AE1873" s="2914"/>
      <c r="AF1873" s="2914"/>
      <c r="AG1873" s="2914"/>
      <c r="AH1873" s="344"/>
      <c r="AI1873" s="156"/>
      <c r="AJ1873" s="3640"/>
      <c r="AK1873" s="2915"/>
      <c r="AL1873" s="156"/>
      <c r="AM1873" s="3640"/>
      <c r="AN1873" s="3640"/>
      <c r="AO1873" s="156"/>
      <c r="AP1873" s="156"/>
      <c r="AQ1873" s="156"/>
      <c r="AR1873" s="156"/>
      <c r="AS1873" s="156"/>
      <c r="AT1873" s="156"/>
      <c r="AU1873" s="156"/>
      <c r="AV1873" s="156"/>
      <c r="AW1873" s="156"/>
      <c r="AX1873" s="156"/>
      <c r="AY1873" s="156"/>
      <c r="AZ1873" s="156"/>
      <c r="BA1873" s="156"/>
      <c r="BB1873" s="2905"/>
      <c r="BC1873" s="2349" t="str">
        <f t="shared" si="345"/>
        <v>Heating Res ER2 12 Year EUL</v>
      </c>
      <c r="BD1873" s="2829">
        <f>(INDEX('Avoided Cost Benefits'!$E$4:$E$859,MATCH(BC1873,'Avoided Cost Benefits'!$A$4:$A$859,0)))*F1873</f>
        <v>181.79602034546187</v>
      </c>
      <c r="BE1873" s="858">
        <f t="shared" si="342"/>
        <v>0</v>
      </c>
      <c r="BF1873" s="156"/>
      <c r="BH1873" s="686"/>
    </row>
    <row r="1874" spans="1:60" x14ac:dyDescent="0.35">
      <c r="A1874" s="1071" t="str">
        <f t="shared" si="343"/>
        <v>354701_2019_12_Cooling Res</v>
      </c>
      <c r="B1874" s="2812"/>
      <c r="C1874" s="1037" t="s">
        <v>1461</v>
      </c>
      <c r="D1874" s="1311" t="s">
        <v>315</v>
      </c>
      <c r="E1874" s="3418" t="s">
        <v>1462</v>
      </c>
      <c r="F1874" s="615">
        <f>ROUND((($K$2882*$K$3075*(1/$K$3268-1/$K$3461)*$K$3654)/1000)*$K$3677,2)</f>
        <v>1139.52</v>
      </c>
      <c r="G1874" s="1313" t="str">
        <f t="shared" ref="G1874:G1877" si="349">G1870</f>
        <v>Cooling Res</v>
      </c>
      <c r="H1874" s="136">
        <f>VLOOKUP(G1874,'CP FACTORS'!$A$3:$B$38, 2, FALSE)</f>
        <v>9.4741810000000004E-4</v>
      </c>
      <c r="I1874" s="3497">
        <f t="shared" si="344"/>
        <v>1.079602</v>
      </c>
      <c r="J1874" s="124">
        <f t="shared" si="347"/>
        <v>6</v>
      </c>
      <c r="K1874" s="462">
        <f t="shared" si="348"/>
        <v>1956.9017238752731</v>
      </c>
      <c r="L1874" s="689">
        <f>L2110</f>
        <v>3.3</v>
      </c>
      <c r="M1874" s="103"/>
      <c r="N1874" s="1317"/>
      <c r="O1874" s="963"/>
      <c r="P1874" s="106"/>
      <c r="Q1874" s="106"/>
      <c r="R1874" s="1214"/>
      <c r="S1874" s="106"/>
      <c r="T1874" s="106"/>
      <c r="U1874" s="1319"/>
      <c r="V1874" s="3436" t="s">
        <v>30</v>
      </c>
      <c r="W1874" s="2914"/>
      <c r="X1874" s="685"/>
      <c r="Y1874" s="618">
        <v>1139.52</v>
      </c>
      <c r="Z1874" s="615">
        <v>1139.52</v>
      </c>
      <c r="AA1874" s="615">
        <v>1139.52</v>
      </c>
      <c r="AB1874" s="3495">
        <v>1139.52</v>
      </c>
      <c r="AC1874" s="2912">
        <v>1139.52</v>
      </c>
      <c r="AD1874" s="615">
        <v>1139.52</v>
      </c>
      <c r="AE1874" s="2914"/>
      <c r="AF1874" s="2914"/>
      <c r="AG1874" s="2914"/>
      <c r="AH1874" s="344"/>
      <c r="AI1874" s="156"/>
      <c r="AJ1874" s="3640"/>
      <c r="AK1874" s="2915"/>
      <c r="AL1874" s="156"/>
      <c r="AM1874" s="3640"/>
      <c r="AN1874" s="3640"/>
      <c r="AO1874" s="156"/>
      <c r="AP1874" s="156"/>
      <c r="AQ1874" s="156"/>
      <c r="AR1874" s="156"/>
      <c r="AS1874" s="156"/>
      <c r="AT1874" s="156"/>
      <c r="AU1874" s="156"/>
      <c r="AV1874" s="156"/>
      <c r="AW1874" s="156"/>
      <c r="AX1874" s="156"/>
      <c r="AY1874" s="156"/>
      <c r="AZ1874" s="156"/>
      <c r="BA1874" s="156"/>
      <c r="BB1874" s="2833">
        <f>(BD1874+BD1875+BD1876+BD1877)/(BE1874+BE1875+BE1876+BE1877)</f>
        <v>0.68740020902291821</v>
      </c>
      <c r="BC1874" s="2348" t="str">
        <f t="shared" si="345"/>
        <v>Cooling Res 6 Year EUL</v>
      </c>
      <c r="BD1874" s="2829">
        <f>(INDEX('Avoided Cost Benefits'!$E$4:$E$859,MATCH(BC1874,'Avoided Cost Benefits'!$A$4:$A$859,0)))*F1874</f>
        <v>722.01353406215424</v>
      </c>
      <c r="BE1874" s="858">
        <f t="shared" si="342"/>
        <v>1847.0049305099319</v>
      </c>
      <c r="BF1874" s="156"/>
      <c r="BH1874" s="686"/>
    </row>
    <row r="1875" spans="1:60" x14ac:dyDescent="0.35">
      <c r="A1875" s="1071" t="str">
        <f t="shared" si="343"/>
        <v>354701_2019_12_Heating Res</v>
      </c>
      <c r="B1875" s="2812"/>
      <c r="C1875" s="1037" t="str">
        <f>C1874</f>
        <v>354701_2019_12_</v>
      </c>
      <c r="D1875" s="1311" t="s">
        <v>315</v>
      </c>
      <c r="E1875" s="3420" t="s">
        <v>1462</v>
      </c>
      <c r="F1875" s="615">
        <f>ROUND((($K$2110*$K$2303*(1/$K$2496-1/$K$2689)*$K$3654)/1000)*$K$3677,2)</f>
        <v>613.21</v>
      </c>
      <c r="G1875" s="1313" t="str">
        <f t="shared" si="349"/>
        <v>Heating Res</v>
      </c>
      <c r="H1875" s="136">
        <f>VLOOKUP(G1875,'CP FACTORS'!$A$3:$B$38, 2, FALSE)</f>
        <v>0</v>
      </c>
      <c r="I1875" s="3497">
        <f t="shared" si="344"/>
        <v>0</v>
      </c>
      <c r="J1875" s="124">
        <f t="shared" si="347"/>
        <v>6</v>
      </c>
      <c r="K1875" s="462">
        <f t="shared" si="348"/>
        <v>0</v>
      </c>
      <c r="L1875" s="689"/>
      <c r="M1875" s="103"/>
      <c r="N1875" s="1317"/>
      <c r="O1875" s="963"/>
      <c r="P1875" s="106"/>
      <c r="Q1875" s="106"/>
      <c r="R1875" s="1214"/>
      <c r="S1875" s="106"/>
      <c r="T1875" s="106"/>
      <c r="U1875" s="1319"/>
      <c r="V1875" s="3436" t="s">
        <v>30</v>
      </c>
      <c r="W1875" s="2914"/>
      <c r="X1875" s="685"/>
      <c r="Y1875" s="618">
        <v>613.21</v>
      </c>
      <c r="Z1875" s="615">
        <v>613.21</v>
      </c>
      <c r="AA1875" s="615">
        <v>613.21</v>
      </c>
      <c r="AB1875" s="3495">
        <v>613.21</v>
      </c>
      <c r="AC1875" s="2912">
        <v>613.21</v>
      </c>
      <c r="AD1875" s="615">
        <v>613.21</v>
      </c>
      <c r="AE1875" s="2914"/>
      <c r="AF1875" s="2914"/>
      <c r="AG1875" s="2914"/>
      <c r="AH1875" s="344"/>
      <c r="AI1875" s="156"/>
      <c r="AJ1875" s="3640"/>
      <c r="AK1875" s="2915"/>
      <c r="AL1875" s="156"/>
      <c r="AM1875" s="3640"/>
      <c r="AN1875" s="3640"/>
      <c r="AO1875" s="156"/>
      <c r="AP1875" s="156"/>
      <c r="AQ1875" s="156"/>
      <c r="AR1875" s="156"/>
      <c r="AS1875" s="156"/>
      <c r="AT1875" s="156"/>
      <c r="AU1875" s="156"/>
      <c r="AV1875" s="156"/>
      <c r="AW1875" s="156"/>
      <c r="AX1875" s="156"/>
      <c r="AY1875" s="156"/>
      <c r="AZ1875" s="156"/>
      <c r="BA1875" s="156"/>
      <c r="BB1875" s="2905"/>
      <c r="BC1875" s="2357" t="str">
        <f t="shared" si="345"/>
        <v>Heating Res 6 Year EUL</v>
      </c>
      <c r="BD1875" s="2829">
        <f>(INDEX('Avoided Cost Benefits'!$E$4:$E$859,MATCH(BC1875,'Avoided Cost Benefits'!$A$4:$A$859,0)))*F1875</f>
        <v>99.917166129083185</v>
      </c>
      <c r="BE1875" s="858">
        <f t="shared" si="342"/>
        <v>0</v>
      </c>
      <c r="BF1875" s="156"/>
      <c r="BH1875" s="686"/>
    </row>
    <row r="1876" spans="1:60" x14ac:dyDescent="0.35">
      <c r="A1876" s="1071" t="str">
        <f t="shared" si="343"/>
        <v>354701_2019_12_Cooling Res ER2</v>
      </c>
      <c r="B1876" s="2812"/>
      <c r="C1876" s="1037" t="str">
        <f>C1875</f>
        <v>354701_2019_12_</v>
      </c>
      <c r="D1876" s="1311" t="s">
        <v>315</v>
      </c>
      <c r="E1876" s="3420" t="s">
        <v>1463</v>
      </c>
      <c r="F1876" s="615">
        <f>ROUND((($K$2883*$K$3076*(1/$K$3269-1/$K$3462)*$K$3655)/1000)*$K$3677,2)</f>
        <v>348.59</v>
      </c>
      <c r="G1876" s="1313" t="str">
        <f t="shared" si="349"/>
        <v>Cooling Res ER2</v>
      </c>
      <c r="H1876" s="136">
        <f>VLOOKUP(G1876,'CP FACTORS'!$A$3:$B$38, 2, FALSE)</f>
        <v>9.4741810000000004E-4</v>
      </c>
      <c r="I1876" s="3497">
        <f t="shared" si="344"/>
        <v>0.33026</v>
      </c>
      <c r="J1876" s="124">
        <f t="shared" si="347"/>
        <v>12</v>
      </c>
      <c r="K1876" s="462">
        <f t="shared" si="348"/>
        <v>0</v>
      </c>
      <c r="L1876" s="689"/>
      <c r="M1876" s="103"/>
      <c r="N1876" s="1317"/>
      <c r="O1876" s="963"/>
      <c r="P1876" s="106"/>
      <c r="Q1876" s="106"/>
      <c r="R1876" s="1214"/>
      <c r="S1876" s="106"/>
      <c r="T1876" s="106"/>
      <c r="U1876" s="1319"/>
      <c r="V1876" s="3436" t="s">
        <v>30</v>
      </c>
      <c r="W1876" s="2914"/>
      <c r="X1876" s="685"/>
      <c r="Y1876" s="618">
        <v>348.59</v>
      </c>
      <c r="Z1876" s="615">
        <v>348.59</v>
      </c>
      <c r="AA1876" s="615">
        <v>348.59</v>
      </c>
      <c r="AB1876" s="3495">
        <v>348.59</v>
      </c>
      <c r="AC1876" s="2912">
        <v>348.59</v>
      </c>
      <c r="AD1876" s="615">
        <v>348.59</v>
      </c>
      <c r="AE1876" s="2914"/>
      <c r="AF1876" s="2914"/>
      <c r="AG1876" s="2914"/>
      <c r="AH1876" s="344"/>
      <c r="AI1876" s="156"/>
      <c r="AJ1876" s="3640"/>
      <c r="AK1876" s="2915"/>
      <c r="AL1876" s="156"/>
      <c r="AM1876" s="3640"/>
      <c r="AN1876" s="3640"/>
      <c r="AO1876" s="156"/>
      <c r="AP1876" s="156"/>
      <c r="AQ1876" s="156"/>
      <c r="AR1876" s="156"/>
      <c r="AS1876" s="156"/>
      <c r="AT1876" s="156"/>
      <c r="AU1876" s="156"/>
      <c r="AV1876" s="156"/>
      <c r="AW1876" s="156"/>
      <c r="AX1876" s="156"/>
      <c r="AY1876" s="156"/>
      <c r="AZ1876" s="156"/>
      <c r="BA1876" s="156"/>
      <c r="BB1876" s="2905"/>
      <c r="BC1876" s="2357" t="str">
        <f t="shared" si="345"/>
        <v>Cooling Res ER2 12 Year EUL</v>
      </c>
      <c r="BD1876" s="2829">
        <f>(INDEX('Avoided Cost Benefits'!$E$4:$E$859,MATCH(BC1876,'Avoided Cost Benefits'!$A$4:$A$859,0)))*F1876</f>
        <v>385.72540915305842</v>
      </c>
      <c r="BE1876" s="858">
        <f t="shared" si="342"/>
        <v>0</v>
      </c>
      <c r="BF1876" s="156"/>
      <c r="BH1876" s="686"/>
    </row>
    <row r="1877" spans="1:60" x14ac:dyDescent="0.35">
      <c r="A1877" s="1071" t="str">
        <f t="shared" si="343"/>
        <v>354701_2019_12_Heating Res ER2</v>
      </c>
      <c r="B1877" s="2812"/>
      <c r="C1877" s="1037" t="str">
        <f>C1876</f>
        <v>354701_2019_12_</v>
      </c>
      <c r="D1877" s="1311" t="s">
        <v>315</v>
      </c>
      <c r="E1877" s="3419" t="s">
        <v>1463</v>
      </c>
      <c r="F1877" s="615">
        <f>ROUND((($K$2111*$K$2304*(1/$K$2497-1/$K$2690)*$K$3655)/1000)*$K$3677,2)</f>
        <v>219.07</v>
      </c>
      <c r="G1877" s="1313" t="str">
        <f t="shared" si="349"/>
        <v>Heating Res ER2</v>
      </c>
      <c r="H1877" s="136">
        <f>VLOOKUP(G1877,'CP FACTORS'!$A$3:$B$38, 2, FALSE)</f>
        <v>0</v>
      </c>
      <c r="I1877" s="3497">
        <f t="shared" si="344"/>
        <v>0</v>
      </c>
      <c r="J1877" s="124">
        <f t="shared" si="347"/>
        <v>12</v>
      </c>
      <c r="K1877" s="462">
        <f t="shared" si="348"/>
        <v>0</v>
      </c>
      <c r="L1877" s="689"/>
      <c r="M1877" s="103"/>
      <c r="N1877" s="1317"/>
      <c r="O1877" s="963"/>
      <c r="P1877" s="106"/>
      <c r="Q1877" s="106"/>
      <c r="R1877" s="1214"/>
      <c r="S1877" s="106"/>
      <c r="T1877" s="106"/>
      <c r="U1877" s="1319"/>
      <c r="V1877" s="3436" t="s">
        <v>30</v>
      </c>
      <c r="W1877" s="2914"/>
      <c r="X1877" s="685"/>
      <c r="Y1877" s="618">
        <v>219.07</v>
      </c>
      <c r="Z1877" s="615">
        <v>219.07</v>
      </c>
      <c r="AA1877" s="615">
        <v>219.07</v>
      </c>
      <c r="AB1877" s="3495">
        <v>219.07</v>
      </c>
      <c r="AC1877" s="2912">
        <v>219.07</v>
      </c>
      <c r="AD1877" s="615">
        <v>219.07</v>
      </c>
      <c r="AE1877" s="2914"/>
      <c r="AF1877" s="2914"/>
      <c r="AG1877" s="2914"/>
      <c r="AH1877" s="344"/>
      <c r="AI1877" s="156"/>
      <c r="AJ1877" s="3640"/>
      <c r="AK1877" s="2915"/>
      <c r="AL1877" s="156"/>
      <c r="AM1877" s="3640"/>
      <c r="AN1877" s="3640"/>
      <c r="AO1877" s="156"/>
      <c r="AP1877" s="156"/>
      <c r="AQ1877" s="156"/>
      <c r="AR1877" s="156"/>
      <c r="AS1877" s="156"/>
      <c r="AT1877" s="156"/>
      <c r="AU1877" s="156"/>
      <c r="AV1877" s="156"/>
      <c r="AW1877" s="156"/>
      <c r="AX1877" s="156"/>
      <c r="AY1877" s="156"/>
      <c r="AZ1877" s="156"/>
      <c r="BA1877" s="156"/>
      <c r="BB1877" s="2905"/>
      <c r="BC1877" s="2349" t="str">
        <f t="shared" si="345"/>
        <v>Heating Res ER2 12 Year EUL</v>
      </c>
      <c r="BD1877" s="2829">
        <f>(INDEX('Avoided Cost Benefits'!$E$4:$E$859,MATCH(BC1877,'Avoided Cost Benefits'!$A$4:$A$859,0)))*F1877</f>
        <v>61.975465954591947</v>
      </c>
      <c r="BE1877" s="858">
        <f t="shared" si="342"/>
        <v>0</v>
      </c>
      <c r="BF1877" s="156"/>
      <c r="BH1877" s="686"/>
    </row>
    <row r="1878" spans="1:60" x14ac:dyDescent="0.35">
      <c r="A1878" s="1071" t="str">
        <f t="shared" si="343"/>
        <v>354750_2021_12_Cooling Res</v>
      </c>
      <c r="B1878" s="2812"/>
      <c r="C1878" s="1037" t="s">
        <v>1465</v>
      </c>
      <c r="D1878" s="1311" t="s">
        <v>318</v>
      </c>
      <c r="E1878" s="3418" t="s">
        <v>1466</v>
      </c>
      <c r="F1878" s="618">
        <f>ROUND(((K2884*K3077*(1/K3270-1/K3463)*K3656)/1000)*$K$3677,2)</f>
        <v>2958.13</v>
      </c>
      <c r="G1878" s="2810" t="s">
        <v>1091</v>
      </c>
      <c r="H1878" s="2720">
        <f>VLOOKUP(G1878,'CP FACTORS'!$A$3:$B$38, 2, FALSE)</f>
        <v>9.4741810000000004E-4</v>
      </c>
      <c r="I1878" s="2995">
        <f t="shared" si="344"/>
        <v>2.8025859999999998</v>
      </c>
      <c r="J1878" s="124">
        <f t="shared" si="347"/>
        <v>6</v>
      </c>
      <c r="K1878" s="462">
        <f t="shared" si="348"/>
        <v>2490.8675578660959</v>
      </c>
      <c r="L1878" s="3496">
        <f>L2112</f>
        <v>3.3520972177188546</v>
      </c>
      <c r="M1878" s="103"/>
      <c r="N1878" s="1317"/>
      <c r="O1878" s="963"/>
      <c r="P1878" s="106"/>
      <c r="Q1878" s="106"/>
      <c r="R1878" s="1214"/>
      <c r="S1878" s="106"/>
      <c r="T1878" s="106"/>
      <c r="U1878" s="1319"/>
      <c r="V1878" s="3436" t="s">
        <v>30</v>
      </c>
      <c r="W1878" s="2914">
        <v>3140.8142857142857</v>
      </c>
      <c r="X1878" s="685">
        <v>2492.4547418967586</v>
      </c>
      <c r="Y1878" s="615">
        <v>2492.4499999999998</v>
      </c>
      <c r="Z1878" s="615">
        <v>2492.4499999999998</v>
      </c>
      <c r="AA1878" s="615">
        <v>2492.4499999999998</v>
      </c>
      <c r="AB1878" s="3495">
        <v>2492.4499999999998</v>
      </c>
      <c r="AC1878" s="618">
        <v>2550</v>
      </c>
      <c r="AD1878" s="618">
        <v>2958.13</v>
      </c>
      <c r="AE1878" s="2914"/>
      <c r="AF1878" s="2914"/>
      <c r="AG1878" s="2914"/>
      <c r="AH1878" s="344"/>
      <c r="AI1878" s="156"/>
      <c r="AJ1878" s="3640"/>
      <c r="AK1878" s="2915"/>
      <c r="AL1878" s="156"/>
      <c r="AM1878" s="3640"/>
      <c r="AN1878" s="3640"/>
      <c r="AO1878" s="156"/>
      <c r="AP1878" s="156"/>
      <c r="AQ1878" s="156"/>
      <c r="AR1878" s="156"/>
      <c r="AS1878" s="156"/>
      <c r="AT1878" s="156"/>
      <c r="AU1878" s="156"/>
      <c r="AV1878" s="156"/>
      <c r="AW1878" s="156"/>
      <c r="AX1878" s="156"/>
      <c r="AY1878" s="156"/>
      <c r="AZ1878" s="156"/>
      <c r="BA1878" s="156"/>
      <c r="BB1878" s="2833">
        <f>(BD1878+BD1879+BD1880+BD1881)/(BE1878+BE1879+BE1880+BE1881)</f>
        <v>1.6633115869648967</v>
      </c>
      <c r="BC1878" s="2348" t="str">
        <f t="shared" si="345"/>
        <v>Cooling Res 6 Year EUL</v>
      </c>
      <c r="BD1878" s="2829">
        <f>(INDEX('Avoided Cost Benefits'!$E$4:$E$859,MATCH(BC1878,'Avoided Cost Benefits'!$A$4:$A$859,0)))*F1878</f>
        <v>1874.3066339469956</v>
      </c>
      <c r="BE1878" s="858">
        <f t="shared" si="342"/>
        <v>2350.9840093120297</v>
      </c>
      <c r="BF1878" s="156"/>
      <c r="BH1878" s="686"/>
    </row>
    <row r="1879" spans="1:60" x14ac:dyDescent="0.35">
      <c r="A1879" s="1071" t="str">
        <f t="shared" si="343"/>
        <v>354750_2021_12_Heating Res</v>
      </c>
      <c r="B1879" s="2812"/>
      <c r="C1879" s="1037" t="s">
        <v>1465</v>
      </c>
      <c r="D1879" s="1311" t="s">
        <v>318</v>
      </c>
      <c r="E1879" s="3420" t="s">
        <v>1466</v>
      </c>
      <c r="F1879" s="618">
        <f>ROUND(((K2112*K2305*(1/K2498-1/K2691)*K3656)/1000)*$K$3677,2)</f>
        <v>3535.71</v>
      </c>
      <c r="G1879" s="2810" t="s">
        <v>1092</v>
      </c>
      <c r="H1879" s="2720">
        <f>VLOOKUP(G1879,'CP FACTORS'!$A$3:$B$38, 2, FALSE)</f>
        <v>0</v>
      </c>
      <c r="I1879" s="2995">
        <f t="shared" si="344"/>
        <v>0</v>
      </c>
      <c r="J1879" s="124">
        <f t="shared" si="347"/>
        <v>6</v>
      </c>
      <c r="K1879" s="462">
        <f t="shared" si="348"/>
        <v>0</v>
      </c>
      <c r="L1879" s="3496"/>
      <c r="M1879" s="103"/>
      <c r="N1879" s="1317"/>
      <c r="O1879" s="963"/>
      <c r="P1879" s="106"/>
      <c r="Q1879" s="106"/>
      <c r="R1879" s="1214"/>
      <c r="S1879" s="106"/>
      <c r="T1879" s="106"/>
      <c r="U1879" s="1319"/>
      <c r="V1879" s="3436" t="s">
        <v>30</v>
      </c>
      <c r="W1879" s="2914">
        <v>6249.9803405572748</v>
      </c>
      <c r="X1879" s="685">
        <v>2767.3247800351946</v>
      </c>
      <c r="Y1879" s="615">
        <v>2767.32</v>
      </c>
      <c r="Z1879" s="615">
        <v>2767.32</v>
      </c>
      <c r="AA1879" s="615">
        <v>2767.32</v>
      </c>
      <c r="AB1879" s="3495">
        <v>2767.32</v>
      </c>
      <c r="AC1879" s="618">
        <v>3612.16</v>
      </c>
      <c r="AD1879" s="618">
        <v>3535.71</v>
      </c>
      <c r="AE1879" s="2914"/>
      <c r="AF1879" s="2914"/>
      <c r="AG1879" s="2914"/>
      <c r="AH1879" s="344"/>
      <c r="AI1879" s="156"/>
      <c r="AJ1879" s="3640"/>
      <c r="AK1879" s="2915"/>
      <c r="AL1879" s="156"/>
      <c r="AM1879" s="3640"/>
      <c r="AN1879" s="3640"/>
      <c r="AO1879" s="156"/>
      <c r="AP1879" s="156"/>
      <c r="AQ1879" s="156"/>
      <c r="AR1879" s="156"/>
      <c r="AS1879" s="156"/>
      <c r="AT1879" s="156"/>
      <c r="AU1879" s="156"/>
      <c r="AV1879" s="156"/>
      <c r="AW1879" s="156"/>
      <c r="AX1879" s="156"/>
      <c r="AY1879" s="156"/>
      <c r="AZ1879" s="156"/>
      <c r="BA1879" s="156"/>
      <c r="BB1879" s="2905"/>
      <c r="BC1879" s="2357" t="str">
        <f t="shared" si="345"/>
        <v>Heating Res 6 Year EUL</v>
      </c>
      <c r="BD1879" s="2829">
        <f>(INDEX('Avoided Cost Benefits'!$E$4:$E$859,MATCH(BC1879,'Avoided Cost Benefits'!$A$4:$A$859,0)))*F1879</f>
        <v>576.11278918194535</v>
      </c>
      <c r="BE1879" s="858">
        <f t="shared" si="342"/>
        <v>0</v>
      </c>
      <c r="BF1879" s="156"/>
      <c r="BH1879" s="686"/>
    </row>
    <row r="1880" spans="1:60" x14ac:dyDescent="0.35">
      <c r="A1880" s="1071" t="str">
        <f t="shared" si="343"/>
        <v>354750_2021_12_Cooling Res ER2</v>
      </c>
      <c r="B1880" s="2812"/>
      <c r="C1880" s="1037" t="s">
        <v>1465</v>
      </c>
      <c r="D1880" s="1311" t="s">
        <v>318</v>
      </c>
      <c r="E1880" s="3420" t="s">
        <v>1467</v>
      </c>
      <c r="F1880" s="618">
        <f>ROUND(((K2885*K3078*(1/K3271-1/K3464)*K3657)/1000)*$K$3677,2)</f>
        <v>877.41</v>
      </c>
      <c r="G1880" s="2810" t="s">
        <v>1133</v>
      </c>
      <c r="H1880" s="2720">
        <f>VLOOKUP(G1880,'CP FACTORS'!$A$3:$B$38, 2, FALSE)</f>
        <v>9.4741810000000004E-4</v>
      </c>
      <c r="I1880" s="2995">
        <f t="shared" si="344"/>
        <v>0.83127399999999996</v>
      </c>
      <c r="J1880" s="124">
        <f t="shared" si="347"/>
        <v>12</v>
      </c>
      <c r="K1880" s="462">
        <f t="shared" si="348"/>
        <v>0</v>
      </c>
      <c r="L1880" s="3496"/>
      <c r="M1880" s="103"/>
      <c r="N1880" s="1317"/>
      <c r="O1880" s="963"/>
      <c r="P1880" s="106"/>
      <c r="Q1880" s="106"/>
      <c r="R1880" s="1214"/>
      <c r="S1880" s="106"/>
      <c r="T1880" s="106"/>
      <c r="U1880" s="1319"/>
      <c r="V1880" s="3436" t="s">
        <v>30</v>
      </c>
      <c r="W1880" s="2914">
        <v>819.34285714285704</v>
      </c>
      <c r="X1880" s="688">
        <v>819.34285714285704</v>
      </c>
      <c r="Y1880" s="615">
        <v>819.34</v>
      </c>
      <c r="Z1880" s="615">
        <v>819.34</v>
      </c>
      <c r="AA1880" s="615">
        <v>819.34</v>
      </c>
      <c r="AB1880" s="3495">
        <v>819.34</v>
      </c>
      <c r="AC1880" s="618">
        <v>905.45</v>
      </c>
      <c r="AD1880" s="618">
        <v>877.41</v>
      </c>
      <c r="AE1880" s="2914"/>
      <c r="AF1880" s="2914"/>
      <c r="AG1880" s="2914"/>
      <c r="AH1880" s="344"/>
      <c r="AI1880" s="156"/>
      <c r="AJ1880" s="3640"/>
      <c r="AK1880" s="2915"/>
      <c r="AL1880" s="156"/>
      <c r="AM1880" s="3640"/>
      <c r="AN1880" s="3640"/>
      <c r="AO1880" s="156"/>
      <c r="AP1880" s="156"/>
      <c r="AQ1880" s="156"/>
      <c r="AR1880" s="156"/>
      <c r="AS1880" s="156"/>
      <c r="AT1880" s="156"/>
      <c r="AU1880" s="156"/>
      <c r="AV1880" s="156"/>
      <c r="AW1880" s="156"/>
      <c r="AX1880" s="156"/>
      <c r="AY1880" s="156"/>
      <c r="AZ1880" s="156"/>
      <c r="BA1880" s="156"/>
      <c r="BB1880" s="2905"/>
      <c r="BC1880" s="2357" t="str">
        <f t="shared" si="345"/>
        <v>Cooling Res ER2 12 Year EUL</v>
      </c>
      <c r="BD1880" s="2829">
        <f>(INDEX('Avoided Cost Benefits'!$E$4:$E$859,MATCH(BC1880,'Avoided Cost Benefits'!$A$4:$A$859,0)))*F1880</f>
        <v>970.8807804153447</v>
      </c>
      <c r="BE1880" s="858">
        <f t="shared" ref="BE1880:BE1919" si="350">K1880/(1.0595^(2020-2019))</f>
        <v>0</v>
      </c>
      <c r="BF1880" s="156"/>
      <c r="BH1880" s="686"/>
    </row>
    <row r="1881" spans="1:60" x14ac:dyDescent="0.35">
      <c r="A1881" s="1071" t="str">
        <f t="shared" si="343"/>
        <v>354750_2021_12_Heating Res ER2</v>
      </c>
      <c r="B1881" s="2812"/>
      <c r="C1881" s="1037" t="s">
        <v>1465</v>
      </c>
      <c r="D1881" s="1311" t="s">
        <v>318</v>
      </c>
      <c r="E1881" s="3419" t="s">
        <v>1467</v>
      </c>
      <c r="F1881" s="618">
        <f>ROUND(((K2113*K2306*(1/K2499-1/K2692)*K3657)/1000)*$K$3677,2)</f>
        <v>1728.93</v>
      </c>
      <c r="G1881" s="2810" t="s">
        <v>1150</v>
      </c>
      <c r="H1881" s="2720">
        <f>VLOOKUP(G1881,'CP FACTORS'!$A$3:$B$38, 2, FALSE)</f>
        <v>0</v>
      </c>
      <c r="I1881" s="2995">
        <f t="shared" si="344"/>
        <v>0</v>
      </c>
      <c r="J1881" s="124">
        <f t="shared" si="347"/>
        <v>12</v>
      </c>
      <c r="K1881" s="462">
        <f t="shared" si="348"/>
        <v>0</v>
      </c>
      <c r="L1881" s="3496"/>
      <c r="M1881" s="103"/>
      <c r="N1881" s="1317"/>
      <c r="O1881" s="963"/>
      <c r="P1881" s="106"/>
      <c r="Q1881" s="106"/>
      <c r="R1881" s="1214"/>
      <c r="S1881" s="106"/>
      <c r="T1881" s="106"/>
      <c r="U1881" s="1319"/>
      <c r="V1881" s="3436" t="s">
        <v>30</v>
      </c>
      <c r="W1881" s="2914">
        <v>1327.6421052631592</v>
      </c>
      <c r="X1881" s="685">
        <v>988.62747111681745</v>
      </c>
      <c r="Y1881" s="615">
        <v>988.63</v>
      </c>
      <c r="Z1881" s="615">
        <v>988.63</v>
      </c>
      <c r="AA1881" s="615">
        <v>988.63</v>
      </c>
      <c r="AB1881" s="3495">
        <v>988.63</v>
      </c>
      <c r="AC1881" s="618">
        <v>1787.85</v>
      </c>
      <c r="AD1881" s="618">
        <v>1728.93</v>
      </c>
      <c r="AE1881" s="2914"/>
      <c r="AF1881" s="2914"/>
      <c r="AG1881" s="2914"/>
      <c r="AH1881" s="344"/>
      <c r="AI1881" s="156"/>
      <c r="AJ1881" s="3640"/>
      <c r="AK1881" s="2915"/>
      <c r="AL1881" s="156"/>
      <c r="AM1881" s="3640"/>
      <c r="AN1881" s="3640"/>
      <c r="AO1881" s="156"/>
      <c r="AP1881" s="156"/>
      <c r="AQ1881" s="156"/>
      <c r="AR1881" s="156"/>
      <c r="AS1881" s="156"/>
      <c r="AT1881" s="156"/>
      <c r="AU1881" s="156"/>
      <c r="AV1881" s="156"/>
      <c r="AW1881" s="156"/>
      <c r="AX1881" s="156"/>
      <c r="AY1881" s="156"/>
      <c r="AZ1881" s="156"/>
      <c r="BA1881" s="156"/>
      <c r="BB1881" s="2905"/>
      <c r="BC1881" s="2349" t="str">
        <f t="shared" si="345"/>
        <v>Heating Res ER2 12 Year EUL</v>
      </c>
      <c r="BD1881" s="2829">
        <f>(INDEX('Avoided Cost Benefits'!$E$4:$E$859,MATCH(BC1881,'Avoided Cost Benefits'!$A$4:$A$859,0)))*F1881</f>
        <v>489.11873991360142</v>
      </c>
      <c r="BE1881" s="858">
        <f t="shared" si="350"/>
        <v>0</v>
      </c>
      <c r="BF1881" s="156"/>
      <c r="BH1881" s="686"/>
    </row>
    <row r="1882" spans="1:60" x14ac:dyDescent="0.35">
      <c r="A1882" s="1071" t="str">
        <f t="shared" si="343"/>
        <v>354800_2021_12_Cooling Res</v>
      </c>
      <c r="B1882" s="2812"/>
      <c r="C1882" s="1037" t="s">
        <v>1469</v>
      </c>
      <c r="D1882" s="1311" t="s">
        <v>318</v>
      </c>
      <c r="E1882" s="590" t="s">
        <v>1470</v>
      </c>
      <c r="F1882" s="618">
        <f>ROUND(((K2886*K3079*(1/K3272-1/K3465)*K3658)/1000)*$K$3677,2)</f>
        <v>924.97</v>
      </c>
      <c r="G1882" s="2810" t="s">
        <v>1091</v>
      </c>
      <c r="H1882" s="2720">
        <f>VLOOKUP(G1882,'CP FACTORS'!$A$3:$B$38, 2, FALSE)</f>
        <v>9.4741810000000004E-4</v>
      </c>
      <c r="I1882" s="2995">
        <f t="shared" si="344"/>
        <v>0.87633300000000003</v>
      </c>
      <c r="J1882" s="124">
        <f t="shared" si="347"/>
        <v>18</v>
      </c>
      <c r="K1882" s="462">
        <f t="shared" si="348"/>
        <v>1689.9245999999991</v>
      </c>
      <c r="L1882" s="3496">
        <f>L2114</f>
        <v>3.4699494950520831</v>
      </c>
      <c r="M1882" s="103"/>
      <c r="N1882" s="1317"/>
      <c r="O1882" s="963"/>
      <c r="P1882" s="106"/>
      <c r="Q1882" s="106"/>
      <c r="R1882" s="1214"/>
      <c r="S1882" s="106"/>
      <c r="T1882" s="106"/>
      <c r="U1882" s="1319"/>
      <c r="V1882" s="3436" t="s">
        <v>30</v>
      </c>
      <c r="W1882" s="2914">
        <v>819.34285714285704</v>
      </c>
      <c r="X1882" s="688">
        <v>819.34285714285704</v>
      </c>
      <c r="Y1882" s="615">
        <v>819.34</v>
      </c>
      <c r="Z1882" s="615">
        <v>819.34</v>
      </c>
      <c r="AA1882" s="615">
        <v>819.34</v>
      </c>
      <c r="AB1882" s="3495">
        <v>819.34</v>
      </c>
      <c r="AC1882" s="618">
        <v>995.87</v>
      </c>
      <c r="AD1882" s="618">
        <v>924.97</v>
      </c>
      <c r="AE1882" s="2914"/>
      <c r="AF1882" s="2914"/>
      <c r="AG1882" s="2914"/>
      <c r="AH1882" s="344"/>
      <c r="AI1882" s="156"/>
      <c r="AJ1882" s="3640"/>
      <c r="AK1882" s="2915"/>
      <c r="AL1882" s="156"/>
      <c r="AM1882" s="3640"/>
      <c r="AN1882" s="3640"/>
      <c r="AO1882" s="156"/>
      <c r="AP1882" s="156"/>
      <c r="AQ1882" s="156"/>
      <c r="AR1882" s="156"/>
      <c r="AS1882" s="156"/>
      <c r="AT1882" s="156"/>
      <c r="AU1882" s="156"/>
      <c r="AV1882" s="156"/>
      <c r="AW1882" s="156"/>
      <c r="AX1882" s="156"/>
      <c r="AY1882" s="156"/>
      <c r="AZ1882" s="156"/>
      <c r="BA1882" s="156"/>
      <c r="BB1882" s="2833">
        <f>(BD1882+BD1883)/(BE1882+BE1883)</f>
        <v>1.5496368262116036</v>
      </c>
      <c r="BC1882" s="590" t="str">
        <f t="shared" si="345"/>
        <v>Cooling Res 18 Year EUL</v>
      </c>
      <c r="BD1882" s="2829">
        <f>(INDEX('Avoided Cost Benefits'!$E$4:$E$859,MATCH(BC1882,'Avoided Cost Benefits'!$A$4:$A$859,0)))*F1882</f>
        <v>1609.5794448586707</v>
      </c>
      <c r="BE1882" s="858">
        <f t="shared" si="350"/>
        <v>1595.0208588957046</v>
      </c>
      <c r="BF1882" s="156"/>
      <c r="BH1882" s="686"/>
    </row>
    <row r="1883" spans="1:60" x14ac:dyDescent="0.35">
      <c r="A1883" s="1071" t="str">
        <f t="shared" si="343"/>
        <v>354800_2021_12_Heating Res</v>
      </c>
      <c r="B1883" s="2812"/>
      <c r="C1883" s="1037" t="s">
        <v>1469</v>
      </c>
      <c r="D1883" s="1311" t="s">
        <v>318</v>
      </c>
      <c r="E1883" s="687" t="s">
        <v>1470</v>
      </c>
      <c r="F1883" s="618">
        <f>ROUND(((K2114*K2307*(1/K2500-1/K2693)*K3658)/1000)*$K$3677,2)</f>
        <v>1933.69</v>
      </c>
      <c r="G1883" s="2810" t="s">
        <v>1092</v>
      </c>
      <c r="H1883" s="2720">
        <f>VLOOKUP(G1883,'CP FACTORS'!$A$3:$B$38, 2, FALSE)</f>
        <v>0</v>
      </c>
      <c r="I1883" s="2995">
        <f t="shared" si="344"/>
        <v>0</v>
      </c>
      <c r="J1883" s="124">
        <f t="shared" si="347"/>
        <v>18</v>
      </c>
      <c r="K1883" s="462">
        <f t="shared" si="348"/>
        <v>0</v>
      </c>
      <c r="L1883" s="3496"/>
      <c r="M1883" s="103"/>
      <c r="N1883" s="1317"/>
      <c r="O1883" s="963"/>
      <c r="P1883" s="106"/>
      <c r="Q1883" s="106"/>
      <c r="R1883" s="1214"/>
      <c r="S1883" s="106"/>
      <c r="T1883" s="106"/>
      <c r="U1883" s="1319"/>
      <c r="V1883" s="3436" t="s">
        <v>30</v>
      </c>
      <c r="W1883" s="2914">
        <v>1584.0000000000018</v>
      </c>
      <c r="X1883" s="685">
        <v>1179.5241413638641</v>
      </c>
      <c r="Y1883" s="615">
        <v>1179.52</v>
      </c>
      <c r="Z1883" s="615">
        <v>1179.52</v>
      </c>
      <c r="AA1883" s="615">
        <v>1179.52</v>
      </c>
      <c r="AB1883" s="3495">
        <v>1179.52</v>
      </c>
      <c r="AC1883" s="618">
        <v>2086.7199999999998</v>
      </c>
      <c r="AD1883" s="618">
        <v>1933.69</v>
      </c>
      <c r="AE1883" s="2914"/>
      <c r="AF1883" s="2914"/>
      <c r="AG1883" s="2914"/>
      <c r="AH1883" s="344"/>
      <c r="AI1883" s="156"/>
      <c r="AJ1883" s="3640"/>
      <c r="AK1883" s="2915"/>
      <c r="AL1883" s="156"/>
      <c r="AM1883" s="3640"/>
      <c r="AN1883" s="3640"/>
      <c r="AO1883" s="156"/>
      <c r="AP1883" s="156"/>
      <c r="AQ1883" s="156"/>
      <c r="AR1883" s="156"/>
      <c r="AS1883" s="156"/>
      <c r="AT1883" s="156"/>
      <c r="AU1883" s="156"/>
      <c r="AV1883" s="156"/>
      <c r="AW1883" s="156"/>
      <c r="AX1883" s="156"/>
      <c r="AY1883" s="156"/>
      <c r="AZ1883" s="156"/>
      <c r="BA1883" s="156"/>
      <c r="BB1883" s="2835"/>
      <c r="BC1883" s="687" t="str">
        <f t="shared" si="345"/>
        <v>Heating Res 18 Year EUL</v>
      </c>
      <c r="BD1883" s="2829">
        <f>(INDEX('Avoided Cost Benefits'!$E$4:$E$859,MATCH(BC1883,'Avoided Cost Benefits'!$A$4:$A$859,0)))*F1883</f>
        <v>862.1236166617748</v>
      </c>
      <c r="BE1883" s="858">
        <f t="shared" si="350"/>
        <v>0</v>
      </c>
      <c r="BF1883" s="156"/>
      <c r="BH1883" s="686"/>
    </row>
    <row r="1884" spans="1:60" x14ac:dyDescent="0.35">
      <c r="A1884" s="1071" t="str">
        <f t="shared" si="343"/>
        <v>354850_2019_12_Cooling Res</v>
      </c>
      <c r="B1884" s="2812"/>
      <c r="C1884" s="1037" t="s">
        <v>1471</v>
      </c>
      <c r="D1884" s="1311" t="s">
        <v>320</v>
      </c>
      <c r="E1884" s="590" t="s">
        <v>1472</v>
      </c>
      <c r="F1884" s="615">
        <f>ROUND((($K$2887*$K$3080*(1/$K$3273-1/$K$3466)*$K$3659)/1000)*$K$3677,2)</f>
        <v>556.16</v>
      </c>
      <c r="G1884" s="1313" t="s">
        <v>1091</v>
      </c>
      <c r="H1884" s="136">
        <f>VLOOKUP(G1884,'CP FACTORS'!$A$3:$B$38, 2, FALSE)</f>
        <v>9.4741810000000004E-4</v>
      </c>
      <c r="I1884" s="3497">
        <f t="shared" si="344"/>
        <v>0.52691600000000005</v>
      </c>
      <c r="J1884" s="124">
        <f t="shared" si="347"/>
        <v>18</v>
      </c>
      <c r="K1884" s="462">
        <f t="shared" si="348"/>
        <v>1689.9245999999991</v>
      </c>
      <c r="L1884" s="689">
        <f>L2115</f>
        <v>2.8</v>
      </c>
      <c r="M1884" s="103"/>
      <c r="N1884" s="1317"/>
      <c r="O1884" s="963"/>
      <c r="P1884" s="106"/>
      <c r="Q1884" s="106"/>
      <c r="R1884" s="1214"/>
      <c r="S1884" s="106"/>
      <c r="T1884" s="106"/>
      <c r="U1884" s="1319"/>
      <c r="V1884" s="3436" t="s">
        <v>30</v>
      </c>
      <c r="W1884" s="2914">
        <v>556.1600000000002</v>
      </c>
      <c r="X1884" s="688">
        <v>556.1600000000002</v>
      </c>
      <c r="Y1884" s="615">
        <v>556.16</v>
      </c>
      <c r="Z1884" s="615">
        <v>556.16</v>
      </c>
      <c r="AA1884" s="615">
        <v>556.16</v>
      </c>
      <c r="AB1884" s="3495">
        <v>556.16</v>
      </c>
      <c r="AC1884" s="2912">
        <v>556.16</v>
      </c>
      <c r="AD1884" s="615">
        <v>556.16</v>
      </c>
      <c r="AE1884" s="2914"/>
      <c r="AF1884" s="2914"/>
      <c r="AG1884" s="2914"/>
      <c r="AH1884" s="344"/>
      <c r="AI1884" s="156"/>
      <c r="AJ1884" s="3640"/>
      <c r="AK1884" s="2915"/>
      <c r="AL1884" s="156"/>
      <c r="AM1884" s="3640"/>
      <c r="AN1884" s="3640"/>
      <c r="AO1884" s="156"/>
      <c r="AP1884" s="156"/>
      <c r="AQ1884" s="156"/>
      <c r="AR1884" s="156"/>
      <c r="AS1884" s="156"/>
      <c r="AT1884" s="156"/>
      <c r="AU1884" s="156"/>
      <c r="AV1884" s="156"/>
      <c r="AW1884" s="156"/>
      <c r="AX1884" s="156"/>
      <c r="AY1884" s="156"/>
      <c r="AZ1884" s="156"/>
      <c r="BA1884" s="156"/>
      <c r="BB1884" s="2833">
        <f>(BD1884+BD1885)/(BE1884+BE1885)</f>
        <v>2.3434639401806643</v>
      </c>
      <c r="BC1884" s="590" t="str">
        <f t="shared" si="345"/>
        <v>Cooling Res 18 Year EUL</v>
      </c>
      <c r="BD1884" s="2829">
        <f>(INDEX('Avoided Cost Benefits'!$E$4:$E$859,MATCH(BC1884,'Avoided Cost Benefits'!$A$4:$A$859,0)))*F1884</f>
        <v>967.7975545721464</v>
      </c>
      <c r="BE1884" s="858">
        <f t="shared" si="350"/>
        <v>1595.0208588957046</v>
      </c>
      <c r="BF1884" s="156"/>
      <c r="BH1884" s="686"/>
    </row>
    <row r="1885" spans="1:60" x14ac:dyDescent="0.35">
      <c r="A1885" s="1071" t="str">
        <f t="shared" si="343"/>
        <v>354850_2019_12_Heating Res</v>
      </c>
      <c r="B1885" s="2812"/>
      <c r="C1885" s="1037" t="s">
        <v>1471</v>
      </c>
      <c r="D1885" s="1311" t="s">
        <v>320</v>
      </c>
      <c r="E1885" s="687" t="s">
        <v>1472</v>
      </c>
      <c r="F1885" s="615">
        <f>ROUND((($K$2115*$K$2308*(1/$K$2501-1/$K$2694)*$K$3659)/1000)*$K$3677,2)</f>
        <v>6213.11</v>
      </c>
      <c r="G1885" s="1313" t="s">
        <v>1092</v>
      </c>
      <c r="H1885" s="136">
        <f>VLOOKUP(G1885,'CP FACTORS'!$A$3:$B$38, 2, FALSE)</f>
        <v>0</v>
      </c>
      <c r="I1885" s="3497">
        <f t="shared" si="344"/>
        <v>0</v>
      </c>
      <c r="J1885" s="124">
        <f t="shared" si="347"/>
        <v>18</v>
      </c>
      <c r="K1885" s="462">
        <f t="shared" si="348"/>
        <v>0</v>
      </c>
      <c r="L1885" s="689"/>
      <c r="M1885" s="103"/>
      <c r="N1885" s="1317"/>
      <c r="O1885" s="963"/>
      <c r="P1885" s="106"/>
      <c r="Q1885" s="106"/>
      <c r="R1885" s="1214"/>
      <c r="S1885" s="106"/>
      <c r="T1885" s="106"/>
      <c r="U1885" s="1319"/>
      <c r="V1885" s="3436" t="s">
        <v>30</v>
      </c>
      <c r="W1885" s="2914">
        <v>8343.6696919309452</v>
      </c>
      <c r="X1885" s="685">
        <v>6213.105952776853</v>
      </c>
      <c r="Y1885" s="615">
        <v>6213.11</v>
      </c>
      <c r="Z1885" s="615">
        <v>6213.11</v>
      </c>
      <c r="AA1885" s="615">
        <v>6213.11</v>
      </c>
      <c r="AB1885" s="3495">
        <v>6213.11</v>
      </c>
      <c r="AC1885" s="2912">
        <v>6213.11</v>
      </c>
      <c r="AD1885" s="615">
        <v>6213.11</v>
      </c>
      <c r="AE1885" s="2914"/>
      <c r="AF1885" s="2914"/>
      <c r="AG1885" s="2914"/>
      <c r="AH1885" s="344"/>
      <c r="AI1885" s="156"/>
      <c r="AJ1885" s="3640"/>
      <c r="AK1885" s="2915"/>
      <c r="AL1885" s="156"/>
      <c r="AM1885" s="3640"/>
      <c r="AN1885" s="3640"/>
      <c r="AO1885" s="156"/>
      <c r="AP1885" s="156"/>
      <c r="AQ1885" s="156"/>
      <c r="AR1885" s="156"/>
      <c r="AS1885" s="156"/>
      <c r="AT1885" s="156"/>
      <c r="AU1885" s="156"/>
      <c r="AV1885" s="156"/>
      <c r="AW1885" s="156"/>
      <c r="AX1885" s="156"/>
      <c r="AY1885" s="156"/>
      <c r="AZ1885" s="156"/>
      <c r="BA1885" s="156"/>
      <c r="BB1885" s="2835"/>
      <c r="BC1885" s="687" t="str">
        <f t="shared" si="345"/>
        <v>Heating Res 18 Year EUL</v>
      </c>
      <c r="BD1885" s="2829">
        <f>(INDEX('Avoided Cost Benefits'!$E$4:$E$859,MATCH(BC1885,'Avoided Cost Benefits'!$A$4:$A$859,0)))*F1885</f>
        <v>2770.0763120859287</v>
      </c>
      <c r="BE1885" s="858">
        <f t="shared" si="350"/>
        <v>0</v>
      </c>
      <c r="BF1885" s="156"/>
      <c r="BH1885" s="686"/>
    </row>
    <row r="1886" spans="1:60" x14ac:dyDescent="0.35">
      <c r="A1886" s="1071" t="str">
        <f t="shared" si="343"/>
        <v>354851_2019_12_Cooling Res</v>
      </c>
      <c r="B1886" s="2812"/>
      <c r="C1886" s="1037" t="s">
        <v>1473</v>
      </c>
      <c r="D1886" s="1311" t="s">
        <v>315</v>
      </c>
      <c r="E1886" s="3418" t="s">
        <v>1474</v>
      </c>
      <c r="F1886" s="615">
        <f>ROUND((($K$2888*$K$3081*(1/$K$3274-1/$K$3467)*$K$3660)/1000)*$K$3677,2)</f>
        <v>404.48</v>
      </c>
      <c r="G1886" s="1313" t="str">
        <f>G1884</f>
        <v>Cooling Res</v>
      </c>
      <c r="H1886" s="136">
        <f>VLOOKUP(G1886,'CP FACTORS'!$A$3:$B$38, 2, FALSE)</f>
        <v>9.4741810000000004E-4</v>
      </c>
      <c r="I1886" s="3497">
        <f t="shared" si="344"/>
        <v>0.383212</v>
      </c>
      <c r="J1886" s="124">
        <f t="shared" si="347"/>
        <v>18</v>
      </c>
      <c r="K1886" s="462">
        <f t="shared" si="348"/>
        <v>1689.9245999999991</v>
      </c>
      <c r="L1886" s="3496">
        <f>L2116</f>
        <v>2.8</v>
      </c>
      <c r="M1886" s="103"/>
      <c r="N1886" s="1317"/>
      <c r="O1886" s="963"/>
      <c r="P1886" s="106"/>
      <c r="Q1886" s="106"/>
      <c r="R1886" s="1214"/>
      <c r="S1886" s="106"/>
      <c r="T1886" s="106"/>
      <c r="U1886" s="1319"/>
      <c r="V1886" s="3436" t="s">
        <v>30</v>
      </c>
      <c r="W1886" s="2914"/>
      <c r="X1886" s="685"/>
      <c r="Y1886" s="618">
        <v>404.48</v>
      </c>
      <c r="Z1886" s="615">
        <v>404.48</v>
      </c>
      <c r="AA1886" s="615">
        <v>404.48</v>
      </c>
      <c r="AB1886" s="3495">
        <v>404.48</v>
      </c>
      <c r="AC1886" s="2912">
        <v>404.48</v>
      </c>
      <c r="AD1886" s="615">
        <v>404.48</v>
      </c>
      <c r="AE1886" s="2914"/>
      <c r="AF1886" s="2914"/>
      <c r="AG1886" s="2914"/>
      <c r="AH1886" s="344"/>
      <c r="AI1886" s="156"/>
      <c r="AJ1886" s="3640"/>
      <c r="AK1886" s="2915"/>
      <c r="AL1886" s="156"/>
      <c r="AM1886" s="3640"/>
      <c r="AN1886" s="3640"/>
      <c r="AO1886" s="156"/>
      <c r="AP1886" s="156"/>
      <c r="AQ1886" s="156"/>
      <c r="AR1886" s="156"/>
      <c r="AS1886" s="156"/>
      <c r="AT1886" s="156"/>
      <c r="AU1886" s="156"/>
      <c r="AV1886" s="156"/>
      <c r="AW1886" s="156"/>
      <c r="AX1886" s="156"/>
      <c r="AY1886" s="156"/>
      <c r="AZ1886" s="156"/>
      <c r="BA1886" s="156"/>
      <c r="BB1886" s="2833">
        <f>(BD1886+BD1887)/(BE1886+BE1887)</f>
        <v>1.033337226825686</v>
      </c>
      <c r="BC1886" s="590" t="str">
        <f t="shared" si="345"/>
        <v>Cooling Res 18 Year EUL</v>
      </c>
      <c r="BD1886" s="2829">
        <f>(INDEX('Avoided Cost Benefits'!$E$4:$E$859,MATCH(BC1886,'Avoided Cost Benefits'!$A$4:$A$859,0)))*F1886</f>
        <v>703.85276696156109</v>
      </c>
      <c r="BE1886" s="858">
        <f t="shared" si="350"/>
        <v>1595.0208588957046</v>
      </c>
      <c r="BF1886" s="156"/>
      <c r="BH1886" s="686"/>
    </row>
    <row r="1887" spans="1:60" x14ac:dyDescent="0.35">
      <c r="A1887" s="1071" t="str">
        <f t="shared" si="343"/>
        <v>354851_2019_12_Heating Res</v>
      </c>
      <c r="B1887" s="2812"/>
      <c r="C1887" s="1037" t="str">
        <f>C1886</f>
        <v>354851_2019_12_</v>
      </c>
      <c r="D1887" s="1311" t="s">
        <v>315</v>
      </c>
      <c r="E1887" s="3419" t="s">
        <v>1474</v>
      </c>
      <c r="F1887" s="615">
        <f>ROUND((($K$2116*$K$2309*(1/$K$2502-1/$K$2695)*$K$3660)/1000)*$K$3677,2)</f>
        <v>2118.1</v>
      </c>
      <c r="G1887" s="1313" t="str">
        <f>G1885</f>
        <v>Heating Res</v>
      </c>
      <c r="H1887" s="136">
        <f>VLOOKUP(G1887,'CP FACTORS'!$A$3:$B$38, 2, FALSE)</f>
        <v>0</v>
      </c>
      <c r="I1887" s="3497">
        <f t="shared" si="344"/>
        <v>0</v>
      </c>
      <c r="J1887" s="124">
        <f t="shared" si="347"/>
        <v>18</v>
      </c>
      <c r="K1887" s="462">
        <f t="shared" si="348"/>
        <v>0</v>
      </c>
      <c r="L1887" s="3496"/>
      <c r="M1887" s="103"/>
      <c r="N1887" s="1317"/>
      <c r="O1887" s="963"/>
      <c r="P1887" s="106"/>
      <c r="Q1887" s="106"/>
      <c r="R1887" s="1214"/>
      <c r="S1887" s="106"/>
      <c r="T1887" s="106"/>
      <c r="U1887" s="1319"/>
      <c r="V1887" s="3436" t="s">
        <v>30</v>
      </c>
      <c r="W1887" s="2914"/>
      <c r="X1887" s="685"/>
      <c r="Y1887" s="618">
        <v>2118.1</v>
      </c>
      <c r="Z1887" s="615">
        <v>2118.1</v>
      </c>
      <c r="AA1887" s="615">
        <v>2118.1</v>
      </c>
      <c r="AB1887" s="3495">
        <v>2118.1</v>
      </c>
      <c r="AC1887" s="2912">
        <v>2118.1</v>
      </c>
      <c r="AD1887" s="615">
        <v>2118.1</v>
      </c>
      <c r="AE1887" s="2914"/>
      <c r="AF1887" s="2914"/>
      <c r="AG1887" s="2914"/>
      <c r="AH1887" s="344"/>
      <c r="AI1887" s="156"/>
      <c r="AJ1887" s="3640"/>
      <c r="AK1887" s="2915"/>
      <c r="AL1887" s="156"/>
      <c r="AM1887" s="3640"/>
      <c r="AN1887" s="3640"/>
      <c r="AO1887" s="156"/>
      <c r="AP1887" s="156"/>
      <c r="AQ1887" s="156"/>
      <c r="AR1887" s="156"/>
      <c r="AS1887" s="156"/>
      <c r="AT1887" s="156"/>
      <c r="AU1887" s="156"/>
      <c r="AV1887" s="156"/>
      <c r="AW1887" s="156"/>
      <c r="AX1887" s="156"/>
      <c r="AY1887" s="156"/>
      <c r="AZ1887" s="156"/>
      <c r="BA1887" s="156"/>
      <c r="BB1887" s="2835"/>
      <c r="BC1887" s="687" t="str">
        <f t="shared" si="345"/>
        <v>Heating Res 18 Year EUL</v>
      </c>
      <c r="BD1887" s="2829">
        <f>(INDEX('Avoided Cost Benefits'!$E$4:$E$859,MATCH(BC1887,'Avoided Cost Benefits'!$A$4:$A$859,0)))*F1887</f>
        <v>944.34166409884995</v>
      </c>
      <c r="BE1887" s="858">
        <f t="shared" si="350"/>
        <v>0</v>
      </c>
      <c r="BF1887" s="156"/>
      <c r="BH1887" s="686"/>
    </row>
    <row r="1888" spans="1:60" x14ac:dyDescent="0.35">
      <c r="A1888" s="1071" t="str">
        <f t="shared" si="343"/>
        <v>354860_2021_12_Cooling Res</v>
      </c>
      <c r="B1888" s="2812"/>
      <c r="C1888" s="1037" t="s">
        <v>1475</v>
      </c>
      <c r="D1888" s="1311" t="s">
        <v>320</v>
      </c>
      <c r="E1888" s="3420" t="s">
        <v>1476</v>
      </c>
      <c r="F1888" s="615">
        <f>ROUND(((K2889*K3082*(1/K3275-1/K3468)*K3661)/1000)*$K$3677,2)</f>
        <v>556.16</v>
      </c>
      <c r="G1888" s="1313" t="s">
        <v>1091</v>
      </c>
      <c r="H1888" s="136">
        <f>VLOOKUP(G1888,'CP FACTORS'!$A$3:$B$38, 2, FALSE)</f>
        <v>9.4741810000000004E-4</v>
      </c>
      <c r="I1888" s="3497">
        <f t="shared" si="344"/>
        <v>0.52691600000000005</v>
      </c>
      <c r="J1888" s="124">
        <f t="shared" si="347"/>
        <v>18</v>
      </c>
      <c r="K1888" s="462">
        <f t="shared" si="348"/>
        <v>1689.9245999999991</v>
      </c>
      <c r="L1888" s="3496">
        <f>L2117</f>
        <v>2.8</v>
      </c>
      <c r="M1888" s="103"/>
      <c r="N1888" s="1317"/>
      <c r="O1888" s="963"/>
      <c r="P1888" s="106"/>
      <c r="Q1888" s="106"/>
      <c r="R1888" s="1214"/>
      <c r="S1888" s="106"/>
      <c r="T1888" s="106"/>
      <c r="U1888" s="1319"/>
      <c r="V1888" s="1590" t="s">
        <v>30</v>
      </c>
      <c r="W1888" s="2914"/>
      <c r="X1888" s="685"/>
      <c r="Y1888" s="618"/>
      <c r="Z1888" s="615"/>
      <c r="AA1888" s="615"/>
      <c r="AB1888" s="3495"/>
      <c r="AC1888" s="618">
        <v>556.16</v>
      </c>
      <c r="AD1888" s="615">
        <v>556.16</v>
      </c>
      <c r="AE1888" s="2914"/>
      <c r="AF1888" s="2914"/>
      <c r="AG1888" s="2914"/>
      <c r="AH1888" s="344"/>
      <c r="AI1888" s="156"/>
      <c r="AJ1888" s="3640"/>
      <c r="AK1888" s="2915"/>
      <c r="AL1888" s="156"/>
      <c r="AM1888" s="3640"/>
      <c r="AN1888" s="3640"/>
      <c r="AO1888" s="156"/>
      <c r="AP1888" s="156"/>
      <c r="AQ1888" s="156"/>
      <c r="AR1888" s="156"/>
      <c r="AS1888" s="156"/>
      <c r="AT1888" s="156"/>
      <c r="AU1888" s="156"/>
      <c r="AV1888" s="156"/>
      <c r="AW1888" s="156"/>
      <c r="AX1888" s="156"/>
      <c r="AY1888" s="156"/>
      <c r="AZ1888" s="156"/>
      <c r="BA1888" s="156"/>
      <c r="BB1888" s="2741">
        <f>(BD1888+BD1889)/(BE1888+BE1889)</f>
        <v>0.60676169165724303</v>
      </c>
      <c r="BC1888" s="3392" t="str">
        <f t="shared" si="345"/>
        <v>Cooling Res 18 Year EUL</v>
      </c>
      <c r="BD1888" s="1841">
        <f>(INDEX('Avoided Cost Benefits'!$E$4:$E$859,MATCH(BC1888,'Avoided Cost Benefits'!$A$4:$A$859,0)))*F1888</f>
        <v>967.7975545721464</v>
      </c>
      <c r="BE1888" s="2507">
        <f t="shared" si="350"/>
        <v>1595.0208588957046</v>
      </c>
      <c r="BF1888" s="156"/>
      <c r="BH1888" s="686"/>
    </row>
    <row r="1889" spans="1:60" x14ac:dyDescent="0.35">
      <c r="A1889" s="1071" t="str">
        <f t="shared" si="343"/>
        <v>354860_2021_12_Heating Res</v>
      </c>
      <c r="B1889" s="2812"/>
      <c r="C1889" s="1037" t="s">
        <v>1475</v>
      </c>
      <c r="D1889" s="1311" t="s">
        <v>320</v>
      </c>
      <c r="E1889" s="3419" t="s">
        <v>1476</v>
      </c>
      <c r="F1889" s="615">
        <v>0</v>
      </c>
      <c r="G1889" s="1313" t="s">
        <v>1092</v>
      </c>
      <c r="H1889" s="136">
        <f>VLOOKUP(G1889,'CP FACTORS'!$A$3:$B$38, 2, FALSE)</f>
        <v>0</v>
      </c>
      <c r="I1889" s="3497">
        <f t="shared" si="344"/>
        <v>0</v>
      </c>
      <c r="J1889" s="124">
        <f t="shared" si="347"/>
        <v>18</v>
      </c>
      <c r="K1889" s="462">
        <f t="shared" si="348"/>
        <v>0</v>
      </c>
      <c r="L1889" s="3496"/>
      <c r="M1889" s="103"/>
      <c r="N1889" s="1317"/>
      <c r="O1889" s="963"/>
      <c r="P1889" s="106"/>
      <c r="Q1889" s="106"/>
      <c r="R1889" s="1214"/>
      <c r="S1889" s="106"/>
      <c r="T1889" s="106"/>
      <c r="U1889" s="1319"/>
      <c r="V1889" s="1590" t="s">
        <v>30</v>
      </c>
      <c r="W1889" s="2914"/>
      <c r="X1889" s="685"/>
      <c r="Y1889" s="618"/>
      <c r="Z1889" s="615"/>
      <c r="AA1889" s="615"/>
      <c r="AB1889" s="3495"/>
      <c r="AC1889" s="618">
        <v>0</v>
      </c>
      <c r="AD1889" s="615">
        <v>0</v>
      </c>
      <c r="AE1889" s="2914"/>
      <c r="AF1889" s="2914"/>
      <c r="AG1889" s="2914"/>
      <c r="AH1889" s="344"/>
      <c r="AI1889" s="156"/>
      <c r="AJ1889" s="3640"/>
      <c r="AK1889" s="2915"/>
      <c r="AL1889" s="156"/>
      <c r="AM1889" s="3640"/>
      <c r="AN1889" s="3640"/>
      <c r="AO1889" s="156"/>
      <c r="AP1889" s="156"/>
      <c r="AQ1889" s="156"/>
      <c r="AR1889" s="156"/>
      <c r="AS1889" s="156"/>
      <c r="AT1889" s="156"/>
      <c r="AU1889" s="156"/>
      <c r="AV1889" s="156"/>
      <c r="AW1889" s="156"/>
      <c r="AX1889" s="156"/>
      <c r="AY1889" s="156"/>
      <c r="AZ1889" s="156"/>
      <c r="BA1889" s="156"/>
      <c r="BB1889" s="2745"/>
      <c r="BC1889" s="3393" t="str">
        <f t="shared" si="345"/>
        <v>Heating Res 18 Year EUL</v>
      </c>
      <c r="BD1889" s="1841">
        <f>(INDEX('Avoided Cost Benefits'!$E$4:$E$859,MATCH(BC1889,'Avoided Cost Benefits'!$A$4:$A$859,0)))*F1889</f>
        <v>0</v>
      </c>
      <c r="BE1889" s="2507">
        <f t="shared" si="350"/>
        <v>0</v>
      </c>
      <c r="BF1889" s="156"/>
      <c r="BH1889" s="686"/>
    </row>
    <row r="1890" spans="1:60" x14ac:dyDescent="0.35">
      <c r="A1890" s="1071" t="str">
        <f t="shared" si="343"/>
        <v>354861_2021_12_Cooling Res</v>
      </c>
      <c r="B1890" s="2812"/>
      <c r="C1890" s="1037" t="s">
        <v>1477</v>
      </c>
      <c r="D1890" s="1311" t="s">
        <v>315</v>
      </c>
      <c r="E1890" s="3420" t="s">
        <v>1478</v>
      </c>
      <c r="F1890" s="615">
        <f>ROUND(((K2890*K3083*(1/K3276-1/K3469)*K3662)/1000)*$K$3677,2)</f>
        <v>404.48</v>
      </c>
      <c r="G1890" s="1313" t="s">
        <v>1091</v>
      </c>
      <c r="H1890" s="136">
        <f>VLOOKUP(G1890,'CP FACTORS'!$A$3:$B$38, 2, FALSE)</f>
        <v>9.4741810000000004E-4</v>
      </c>
      <c r="I1890" s="3497">
        <f t="shared" si="344"/>
        <v>0.383212</v>
      </c>
      <c r="J1890" s="124">
        <f t="shared" si="347"/>
        <v>18</v>
      </c>
      <c r="K1890" s="462">
        <f t="shared" si="348"/>
        <v>1689.9245999999991</v>
      </c>
      <c r="L1890" s="3496">
        <f>L2118</f>
        <v>2.8</v>
      </c>
      <c r="M1890" s="103"/>
      <c r="N1890" s="1317"/>
      <c r="O1890" s="963"/>
      <c r="P1890" s="106"/>
      <c r="Q1890" s="106"/>
      <c r="R1890" s="1214"/>
      <c r="S1890" s="106"/>
      <c r="T1890" s="106"/>
      <c r="U1890" s="1319"/>
      <c r="V1890" s="1590" t="s">
        <v>30</v>
      </c>
      <c r="W1890" s="2914"/>
      <c r="X1890" s="685"/>
      <c r="Y1890" s="618"/>
      <c r="Z1890" s="615"/>
      <c r="AA1890" s="615"/>
      <c r="AB1890" s="3495"/>
      <c r="AC1890" s="618">
        <v>404.48</v>
      </c>
      <c r="AD1890" s="615">
        <v>404.48</v>
      </c>
      <c r="AE1890" s="2914"/>
      <c r="AF1890" s="2914"/>
      <c r="AG1890" s="2914"/>
      <c r="AH1890" s="344"/>
      <c r="AI1890" s="156"/>
      <c r="AJ1890" s="3640"/>
      <c r="AK1890" s="2915"/>
      <c r="AL1890" s="156"/>
      <c r="AM1890" s="3640"/>
      <c r="AN1890" s="3640"/>
      <c r="AO1890" s="156"/>
      <c r="AP1890" s="156"/>
      <c r="AQ1890" s="156"/>
      <c r="AR1890" s="156"/>
      <c r="AS1890" s="156"/>
      <c r="AT1890" s="156"/>
      <c r="AU1890" s="156"/>
      <c r="AV1890" s="156"/>
      <c r="AW1890" s="156"/>
      <c r="AX1890" s="156"/>
      <c r="AY1890" s="156"/>
      <c r="AZ1890" s="156"/>
      <c r="BA1890" s="156"/>
      <c r="BB1890" s="2741">
        <f>(BD1890+BD1891)/(BE1890+BE1891)</f>
        <v>0.44128123029617677</v>
      </c>
      <c r="BC1890" s="3392" t="str">
        <f t="shared" si="345"/>
        <v>Cooling Res 18 Year EUL</v>
      </c>
      <c r="BD1890" s="1841">
        <f>(INDEX('Avoided Cost Benefits'!$E$4:$E$859,MATCH(BC1890,'Avoided Cost Benefits'!$A$4:$A$859,0)))*F1890</f>
        <v>703.85276696156109</v>
      </c>
      <c r="BE1890" s="2507">
        <f t="shared" si="350"/>
        <v>1595.0208588957046</v>
      </c>
      <c r="BF1890" s="156"/>
      <c r="BH1890" s="686"/>
    </row>
    <row r="1891" spans="1:60" x14ac:dyDescent="0.35">
      <c r="A1891" s="1071" t="str">
        <f t="shared" si="343"/>
        <v>354861_2021_12_Heating Res</v>
      </c>
      <c r="B1891" s="2812"/>
      <c r="C1891" s="1037" t="s">
        <v>1477</v>
      </c>
      <c r="D1891" s="1311" t="s">
        <v>315</v>
      </c>
      <c r="E1891" s="3420" t="s">
        <v>1478</v>
      </c>
      <c r="F1891" s="615">
        <f>0</f>
        <v>0</v>
      </c>
      <c r="G1891" s="1313" t="s">
        <v>1092</v>
      </c>
      <c r="H1891" s="136">
        <f>VLOOKUP(G1891,'CP FACTORS'!$A$3:$B$38, 2, FALSE)</f>
        <v>0</v>
      </c>
      <c r="I1891" s="3497">
        <f t="shared" si="344"/>
        <v>0</v>
      </c>
      <c r="J1891" s="124">
        <f t="shared" si="347"/>
        <v>18</v>
      </c>
      <c r="K1891" s="462">
        <f t="shared" si="348"/>
        <v>0</v>
      </c>
      <c r="L1891" s="3496"/>
      <c r="M1891" s="103"/>
      <c r="N1891" s="1317"/>
      <c r="O1891" s="963"/>
      <c r="P1891" s="106"/>
      <c r="Q1891" s="106"/>
      <c r="R1891" s="1214"/>
      <c r="S1891" s="106"/>
      <c r="T1891" s="106"/>
      <c r="U1891" s="1319"/>
      <c r="V1891" s="1590" t="s">
        <v>30</v>
      </c>
      <c r="W1891" s="2914"/>
      <c r="X1891" s="685"/>
      <c r="Y1891" s="618"/>
      <c r="Z1891" s="615"/>
      <c r="AA1891" s="615"/>
      <c r="AB1891" s="3495"/>
      <c r="AC1891" s="618">
        <v>0</v>
      </c>
      <c r="AD1891" s="615">
        <v>0</v>
      </c>
      <c r="AE1891" s="2914"/>
      <c r="AF1891" s="2914"/>
      <c r="AG1891" s="2914"/>
      <c r="AH1891" s="344"/>
      <c r="AI1891" s="156"/>
      <c r="AJ1891" s="3640"/>
      <c r="AK1891" s="2915"/>
      <c r="AL1891" s="156"/>
      <c r="AM1891" s="3640"/>
      <c r="AN1891" s="3640"/>
      <c r="AO1891" s="156"/>
      <c r="AP1891" s="156"/>
      <c r="AQ1891" s="156"/>
      <c r="AR1891" s="156"/>
      <c r="AS1891" s="156"/>
      <c r="AT1891" s="156"/>
      <c r="AU1891" s="156"/>
      <c r="AV1891" s="156"/>
      <c r="AW1891" s="156"/>
      <c r="AX1891" s="156"/>
      <c r="AY1891" s="156"/>
      <c r="AZ1891" s="156"/>
      <c r="BA1891" s="156"/>
      <c r="BB1891" s="2745"/>
      <c r="BC1891" s="3392" t="str">
        <f t="shared" si="345"/>
        <v>Heating Res 18 Year EUL</v>
      </c>
      <c r="BD1891" s="1841">
        <f>(INDEX('Avoided Cost Benefits'!$E$4:$E$859,MATCH(BC1891,'Avoided Cost Benefits'!$A$4:$A$859,0)))*F1891</f>
        <v>0</v>
      </c>
      <c r="BE1891" s="2507">
        <f t="shared" si="350"/>
        <v>0</v>
      </c>
      <c r="BF1891" s="156"/>
      <c r="BH1891" s="686"/>
    </row>
    <row r="1892" spans="1:60" x14ac:dyDescent="0.35">
      <c r="A1892" s="1071" t="str">
        <f t="shared" ref="A1892:A1919" si="351">C1892&amp;G1892</f>
        <v>354900_2019_12_Cooling Res</v>
      </c>
      <c r="B1892" s="2812"/>
      <c r="C1892" s="1037" t="s">
        <v>1479</v>
      </c>
      <c r="D1892" s="1311" t="s">
        <v>320</v>
      </c>
      <c r="E1892" s="3418" t="s">
        <v>1480</v>
      </c>
      <c r="F1892" s="615">
        <f>ROUND(((K2891*K3084*(1/K3277-1/K3470)*K3663)/1000)*$K$3677,2)</f>
        <v>1620.1</v>
      </c>
      <c r="G1892" s="1313" t="s">
        <v>1091</v>
      </c>
      <c r="H1892" s="136">
        <f>VLOOKUP(G1892,'CP FACTORS'!$A$3:$B$38, 2, FALSE)</f>
        <v>9.4741810000000004E-4</v>
      </c>
      <c r="I1892" s="3497">
        <f t="shared" ref="I1892:I1919" si="352">ROUND(F1892*H1892,6)</f>
        <v>1.5349120000000001</v>
      </c>
      <c r="J1892" s="124">
        <f t="shared" si="347"/>
        <v>6</v>
      </c>
      <c r="K1892" s="462">
        <f t="shared" si="348"/>
        <v>2202.4463238752733</v>
      </c>
      <c r="L1892" s="689">
        <f>L2119</f>
        <v>3.3</v>
      </c>
      <c r="M1892" s="103"/>
      <c r="N1892" s="1317"/>
      <c r="O1892" s="963"/>
      <c r="P1892" s="106"/>
      <c r="Q1892" s="106"/>
      <c r="R1892" s="1214"/>
      <c r="S1892" s="106"/>
      <c r="T1892" s="106"/>
      <c r="U1892" s="1319"/>
      <c r="V1892" s="3436" t="s">
        <v>30</v>
      </c>
      <c r="W1892" s="2914">
        <v>2041.5292857142858</v>
      </c>
      <c r="X1892" s="685">
        <v>1620.0955822328933</v>
      </c>
      <c r="Y1892" s="615">
        <v>1620.1</v>
      </c>
      <c r="Z1892" s="615">
        <v>1620.1</v>
      </c>
      <c r="AA1892" s="615">
        <v>1620.1</v>
      </c>
      <c r="AB1892" s="3495">
        <v>1620.1</v>
      </c>
      <c r="AC1892" s="2912">
        <v>1620.1</v>
      </c>
      <c r="AD1892" s="615">
        <v>1620.1</v>
      </c>
      <c r="AE1892" s="2914"/>
      <c r="AF1892" s="2914"/>
      <c r="AG1892" s="2914"/>
      <c r="AH1892" s="344"/>
      <c r="AI1892" s="156"/>
      <c r="AJ1892" s="3640"/>
      <c r="AK1892" s="2915"/>
      <c r="AL1892" s="156"/>
      <c r="AM1892" s="3640"/>
      <c r="AN1892" s="3640"/>
      <c r="AO1892" s="156"/>
      <c r="AP1892" s="156"/>
      <c r="AQ1892" s="156"/>
      <c r="AR1892" s="156"/>
      <c r="AS1892" s="156"/>
      <c r="AT1892" s="156"/>
      <c r="AU1892" s="156"/>
      <c r="AV1892" s="156"/>
      <c r="AW1892" s="156"/>
      <c r="AX1892" s="156"/>
      <c r="AY1892" s="156"/>
      <c r="AZ1892" s="156"/>
      <c r="BA1892" s="156"/>
      <c r="BB1892" s="2833">
        <f>(BD1892+BD1893+BD1894+BD1895)/(BE1892+BE1893+BE1894+BE1895)</f>
        <v>1.0057474925722516</v>
      </c>
      <c r="BC1892" s="2348" t="str">
        <f t="shared" ref="BC1892:BC1897" si="353">CONCATENATE(G1892," ",J1892," Year EUL")</f>
        <v>Cooling Res 6 Year EUL</v>
      </c>
      <c r="BD1892" s="2829">
        <f>(INDEX('Avoided Cost Benefits'!$E$4:$E$859,MATCH(BC1892,'Avoided Cost Benefits'!$A$4:$A$859,0)))*F1892</f>
        <v>1026.514783886282</v>
      </c>
      <c r="BE1892" s="858">
        <f t="shared" si="350"/>
        <v>2078.7600980417869</v>
      </c>
      <c r="BF1892" s="156"/>
      <c r="BH1892" s="686"/>
    </row>
    <row r="1893" spans="1:60" x14ac:dyDescent="0.35">
      <c r="A1893" s="1071" t="str">
        <f t="shared" si="351"/>
        <v>354900_2019_12_Heating Res</v>
      </c>
      <c r="B1893" s="2812"/>
      <c r="C1893" s="1037" t="s">
        <v>1479</v>
      </c>
      <c r="D1893" s="1311" t="s">
        <v>320</v>
      </c>
      <c r="E1893" s="3420" t="s">
        <v>1480</v>
      </c>
      <c r="F1893" s="615">
        <f>ROUND(((K2119*K2312*(1/K2505-1/K2698)*K3663)/1000)*$K$3677,2)</f>
        <v>1798.76</v>
      </c>
      <c r="G1893" s="1313" t="s">
        <v>1092</v>
      </c>
      <c r="H1893" s="136">
        <f>VLOOKUP(G1893,'CP FACTORS'!$A$3:$B$38, 2, FALSE)</f>
        <v>0</v>
      </c>
      <c r="I1893" s="3497">
        <f t="shared" si="352"/>
        <v>0</v>
      </c>
      <c r="J1893" s="124">
        <f t="shared" si="347"/>
        <v>6</v>
      </c>
      <c r="K1893" s="462">
        <f t="shared" si="348"/>
        <v>0</v>
      </c>
      <c r="L1893" s="689"/>
      <c r="M1893" s="103"/>
      <c r="N1893" s="1317"/>
      <c r="O1893" s="963"/>
      <c r="P1893" s="106"/>
      <c r="Q1893" s="106"/>
      <c r="R1893" s="1214"/>
      <c r="S1893" s="106"/>
      <c r="T1893" s="106"/>
      <c r="U1893" s="1319"/>
      <c r="V1893" s="3436" t="s">
        <v>30</v>
      </c>
      <c r="W1893" s="2914">
        <v>4062.4872213622284</v>
      </c>
      <c r="X1893" s="685">
        <v>1798.7611070228763</v>
      </c>
      <c r="Y1893" s="615">
        <v>1798.76</v>
      </c>
      <c r="Z1893" s="615">
        <v>1798.76</v>
      </c>
      <c r="AA1893" s="615">
        <v>1798.76</v>
      </c>
      <c r="AB1893" s="3495">
        <v>1798.76</v>
      </c>
      <c r="AC1893" s="2912">
        <v>1798.76</v>
      </c>
      <c r="AD1893" s="615">
        <v>1798.76</v>
      </c>
      <c r="AE1893" s="2914"/>
      <c r="AF1893" s="2914"/>
      <c r="AG1893" s="2914"/>
      <c r="AH1893" s="344"/>
      <c r="AI1893" s="156"/>
      <c r="AJ1893" s="3640"/>
      <c r="AK1893" s="2915"/>
      <c r="AL1893" s="156"/>
      <c r="AM1893" s="3640"/>
      <c r="AN1893" s="3640"/>
      <c r="AO1893" s="156"/>
      <c r="AP1893" s="156"/>
      <c r="AQ1893" s="156"/>
      <c r="AR1893" s="156"/>
      <c r="AS1893" s="156"/>
      <c r="AT1893" s="156"/>
      <c r="AU1893" s="156"/>
      <c r="AV1893" s="156"/>
      <c r="AW1893" s="156"/>
      <c r="AX1893" s="156"/>
      <c r="AY1893" s="156"/>
      <c r="AZ1893" s="156"/>
      <c r="BA1893" s="156"/>
      <c r="BB1893" s="2905"/>
      <c r="BC1893" s="2357" t="str">
        <f t="shared" si="353"/>
        <v>Heating Res 6 Year EUL</v>
      </c>
      <c r="BD1893" s="2829">
        <f>(INDEX('Avoided Cost Benefits'!$E$4:$E$859,MATCH(BC1893,'Avoided Cost Benefits'!$A$4:$A$859,0)))*F1893</f>
        <v>293.09209201798672</v>
      </c>
      <c r="BE1893" s="858">
        <f t="shared" si="350"/>
        <v>0</v>
      </c>
      <c r="BF1893" s="156"/>
      <c r="BH1893" s="686"/>
    </row>
    <row r="1894" spans="1:60" x14ac:dyDescent="0.35">
      <c r="A1894" s="1071" t="str">
        <f t="shared" si="351"/>
        <v>354900_2019_12_Cooling Res ER2</v>
      </c>
      <c r="B1894" s="2812"/>
      <c r="C1894" s="1037" t="s">
        <v>1479</v>
      </c>
      <c r="D1894" s="1311" t="s">
        <v>320</v>
      </c>
      <c r="E1894" s="3420" t="s">
        <v>1481</v>
      </c>
      <c r="F1894" s="615">
        <f>ROUND(((K2892*K3085*(1/K3278-1/K3471)*K3664)/1000)*$K$3677,2)</f>
        <v>532.57000000000005</v>
      </c>
      <c r="G1894" s="1313" t="s">
        <v>1133</v>
      </c>
      <c r="H1894" s="136">
        <f>VLOOKUP(G1894,'CP FACTORS'!$A$3:$B$38, 2, FALSE)</f>
        <v>9.4741810000000004E-4</v>
      </c>
      <c r="I1894" s="3497">
        <f t="shared" si="352"/>
        <v>0.50456599999999996</v>
      </c>
      <c r="J1894" s="124">
        <f t="shared" si="347"/>
        <v>12</v>
      </c>
      <c r="K1894" s="462">
        <f t="shared" si="348"/>
        <v>0</v>
      </c>
      <c r="L1894" s="689"/>
      <c r="M1894" s="103"/>
      <c r="N1894" s="1317"/>
      <c r="O1894" s="963"/>
      <c r="P1894" s="106"/>
      <c r="Q1894" s="106"/>
      <c r="R1894" s="1214"/>
      <c r="S1894" s="106"/>
      <c r="T1894" s="106"/>
      <c r="U1894" s="1319"/>
      <c r="V1894" s="3436" t="s">
        <v>30</v>
      </c>
      <c r="W1894" s="2914">
        <v>532.57285714285706</v>
      </c>
      <c r="X1894" s="688">
        <v>532.57285714285706</v>
      </c>
      <c r="Y1894" s="615">
        <v>532.57000000000005</v>
      </c>
      <c r="Z1894" s="615">
        <v>532.57000000000005</v>
      </c>
      <c r="AA1894" s="615">
        <v>532.57000000000005</v>
      </c>
      <c r="AB1894" s="3495">
        <v>532.57000000000005</v>
      </c>
      <c r="AC1894" s="2912">
        <v>532.57000000000005</v>
      </c>
      <c r="AD1894" s="615">
        <v>532.57000000000005</v>
      </c>
      <c r="AE1894" s="2914"/>
      <c r="AF1894" s="2914"/>
      <c r="AG1894" s="2914"/>
      <c r="AH1894" s="344"/>
      <c r="AI1894" s="156"/>
      <c r="AJ1894" s="3640"/>
      <c r="AK1894" s="2915"/>
      <c r="AL1894" s="156"/>
      <c r="AM1894" s="3640"/>
      <c r="AN1894" s="3640"/>
      <c r="AO1894" s="156"/>
      <c r="AP1894" s="156"/>
      <c r="AQ1894" s="156"/>
      <c r="AR1894" s="156"/>
      <c r="AS1894" s="156"/>
      <c r="AT1894" s="156"/>
      <c r="AU1894" s="156"/>
      <c r="AV1894" s="156"/>
      <c r="AW1894" s="156"/>
      <c r="AX1894" s="156"/>
      <c r="AY1894" s="156"/>
      <c r="AZ1894" s="156"/>
      <c r="BA1894" s="156"/>
      <c r="BB1894" s="2905"/>
      <c r="BC1894" s="2357" t="str">
        <f t="shared" si="353"/>
        <v>Cooling Res ER2 12 Year EUL</v>
      </c>
      <c r="BD1894" s="2829">
        <f>(INDEX('Avoided Cost Benefits'!$E$4:$E$859,MATCH(BC1894,'Avoided Cost Benefits'!$A$4:$A$859,0)))*F1894</f>
        <v>589.30486001504448</v>
      </c>
      <c r="BE1894" s="858">
        <f t="shared" si="350"/>
        <v>0</v>
      </c>
      <c r="BF1894" s="156"/>
      <c r="BH1894" s="686"/>
    </row>
    <row r="1895" spans="1:60" x14ac:dyDescent="0.35">
      <c r="A1895" s="1071" t="str">
        <f t="shared" si="351"/>
        <v>354900_2019_12_Heating Res ER2</v>
      </c>
      <c r="B1895" s="2812"/>
      <c r="C1895" s="1037" t="s">
        <v>1479</v>
      </c>
      <c r="D1895" s="1311" t="s">
        <v>320</v>
      </c>
      <c r="E1895" s="3419" t="s">
        <v>1481</v>
      </c>
      <c r="F1895" s="615">
        <f>ROUND(((K2120*K2313*(1/K2506-1/K2699)*K3664)/1000)*$K$3677,2)</f>
        <v>642.61</v>
      </c>
      <c r="G1895" s="1313" t="s">
        <v>1150</v>
      </c>
      <c r="H1895" s="136">
        <f>VLOOKUP(G1895,'CP FACTORS'!$A$3:$B$38, 2, FALSE)</f>
        <v>0</v>
      </c>
      <c r="I1895" s="3497">
        <f t="shared" si="352"/>
        <v>0</v>
      </c>
      <c r="J1895" s="124">
        <f t="shared" si="347"/>
        <v>12</v>
      </c>
      <c r="K1895" s="462">
        <f t="shared" si="348"/>
        <v>0</v>
      </c>
      <c r="L1895" s="689"/>
      <c r="M1895" s="103"/>
      <c r="N1895" s="1317"/>
      <c r="O1895" s="963"/>
      <c r="P1895" s="106"/>
      <c r="Q1895" s="106"/>
      <c r="R1895" s="1214"/>
      <c r="S1895" s="106"/>
      <c r="T1895" s="106"/>
      <c r="U1895" s="1319"/>
      <c r="V1895" s="3436" t="s">
        <v>30</v>
      </c>
      <c r="W1895" s="2914">
        <v>862.96736842105349</v>
      </c>
      <c r="X1895" s="685">
        <v>642.6078562259313</v>
      </c>
      <c r="Y1895" s="615">
        <v>642.61</v>
      </c>
      <c r="Z1895" s="615">
        <v>642.61</v>
      </c>
      <c r="AA1895" s="615">
        <v>642.61</v>
      </c>
      <c r="AB1895" s="3495">
        <v>642.61</v>
      </c>
      <c r="AC1895" s="2912">
        <v>642.61</v>
      </c>
      <c r="AD1895" s="615">
        <v>642.61</v>
      </c>
      <c r="AE1895" s="2914"/>
      <c r="AF1895" s="2914"/>
      <c r="AG1895" s="2914"/>
      <c r="AH1895" s="344"/>
      <c r="AI1895" s="156"/>
      <c r="AJ1895" s="3640"/>
      <c r="AK1895" s="2915"/>
      <c r="AL1895" s="156"/>
      <c r="AM1895" s="3640"/>
      <c r="AN1895" s="3640"/>
      <c r="AO1895" s="156"/>
      <c r="AP1895" s="156"/>
      <c r="AQ1895" s="156"/>
      <c r="AR1895" s="156"/>
      <c r="AS1895" s="156"/>
      <c r="AT1895" s="156"/>
      <c r="AU1895" s="156"/>
      <c r="AV1895" s="156"/>
      <c r="AW1895" s="156"/>
      <c r="AX1895" s="156"/>
      <c r="AY1895" s="156"/>
      <c r="AZ1895" s="156"/>
      <c r="BA1895" s="156"/>
      <c r="BB1895" s="2905"/>
      <c r="BC1895" s="2349" t="str">
        <f t="shared" si="353"/>
        <v>Heating Res ER2 12 Year EUL</v>
      </c>
      <c r="BD1895" s="2829">
        <f>(INDEX('Avoided Cost Benefits'!$E$4:$E$859,MATCH(BC1895,'Avoided Cost Benefits'!$A$4:$A$859,0)))*F1895</f>
        <v>181.79602034546187</v>
      </c>
      <c r="BE1895" s="858">
        <f t="shared" si="350"/>
        <v>0</v>
      </c>
      <c r="BF1895" s="156"/>
      <c r="BH1895" s="686"/>
    </row>
    <row r="1896" spans="1:60" x14ac:dyDescent="0.35">
      <c r="A1896" s="1071" t="str">
        <f t="shared" si="351"/>
        <v>354901_2019_12_Cooling Res</v>
      </c>
      <c r="B1896" s="2812"/>
      <c r="C1896" s="1037" t="s">
        <v>1482</v>
      </c>
      <c r="D1896" s="1311" t="s">
        <v>315</v>
      </c>
      <c r="E1896" s="3418" t="s">
        <v>1483</v>
      </c>
      <c r="F1896" s="615">
        <f>ROUND((($K$2893*$K$3086*(1/$K$3279-1/$K$3472)*$K$3665)/1000)*$K$3677,2)</f>
        <v>1178.25</v>
      </c>
      <c r="G1896" s="1313" t="str">
        <f t="shared" ref="G1896:G1899" si="354">G1892</f>
        <v>Cooling Res</v>
      </c>
      <c r="H1896" s="136">
        <f>VLOOKUP(G1896,'CP FACTORS'!$A$3:$B$38, 2, FALSE)</f>
        <v>9.4741810000000004E-4</v>
      </c>
      <c r="I1896" s="3497">
        <f t="shared" si="352"/>
        <v>1.116295</v>
      </c>
      <c r="J1896" s="124">
        <f t="shared" si="347"/>
        <v>6</v>
      </c>
      <c r="K1896" s="462">
        <f t="shared" si="348"/>
        <v>2202.4463238752733</v>
      </c>
      <c r="L1896" s="689">
        <f>L2121</f>
        <v>3.3</v>
      </c>
      <c r="M1896" s="103"/>
      <c r="N1896" s="1317"/>
      <c r="O1896" s="963"/>
      <c r="P1896" s="106"/>
      <c r="Q1896" s="106"/>
      <c r="R1896" s="1214"/>
      <c r="S1896" s="106"/>
      <c r="T1896" s="106"/>
      <c r="U1896" s="1319"/>
      <c r="V1896" s="3436" t="s">
        <v>30</v>
      </c>
      <c r="W1896" s="2914"/>
      <c r="X1896" s="685"/>
      <c r="Y1896" s="618">
        <v>1178.25</v>
      </c>
      <c r="Z1896" s="615">
        <v>1178.25</v>
      </c>
      <c r="AA1896" s="615">
        <v>1178.25</v>
      </c>
      <c r="AB1896" s="3495">
        <v>1178.25</v>
      </c>
      <c r="AC1896" s="2912">
        <v>1178.25</v>
      </c>
      <c r="AD1896" s="615">
        <v>1178.25</v>
      </c>
      <c r="AE1896" s="2914"/>
      <c r="AF1896" s="2914"/>
      <c r="AG1896" s="2914"/>
      <c r="AH1896" s="344"/>
      <c r="AI1896" s="156"/>
      <c r="AJ1896" s="3640"/>
      <c r="AK1896" s="2915"/>
      <c r="AL1896" s="156"/>
      <c r="AM1896" s="3640"/>
      <c r="AN1896" s="3640"/>
      <c r="AO1896" s="156"/>
      <c r="AP1896" s="156"/>
      <c r="AQ1896" s="156"/>
      <c r="AR1896" s="156"/>
      <c r="AS1896" s="156"/>
      <c r="AT1896" s="156"/>
      <c r="AU1896" s="156"/>
      <c r="AV1896" s="156"/>
      <c r="AW1896" s="156"/>
      <c r="AX1896" s="156"/>
      <c r="AY1896" s="156"/>
      <c r="AZ1896" s="156"/>
      <c r="BA1896" s="156"/>
      <c r="BB1896" s="2833">
        <f>(BD1896+BD1897+BD1898+BD1899)/(BE1896+BE1897+BE1898+BE1899)</f>
        <v>0.64319031043857255</v>
      </c>
      <c r="BC1896" s="2348" t="str">
        <f t="shared" si="353"/>
        <v>Cooling Res 6 Year EUL</v>
      </c>
      <c r="BD1896" s="2829">
        <f>(INDEX('Avoided Cost Benefits'!$E$4:$E$859,MATCH(BC1896,'Avoided Cost Benefits'!$A$4:$A$859,0)))*F1896</f>
        <v>746.55332640825361</v>
      </c>
      <c r="BE1896" s="858">
        <f t="shared" si="350"/>
        <v>2078.7600980417869</v>
      </c>
      <c r="BF1896" s="156"/>
      <c r="BH1896" s="686"/>
    </row>
    <row r="1897" spans="1:60" x14ac:dyDescent="0.35">
      <c r="A1897" s="1071" t="str">
        <f t="shared" si="351"/>
        <v>354901_2019_12_Heating Res</v>
      </c>
      <c r="B1897" s="2812"/>
      <c r="C1897" s="1037" t="str">
        <f>C1896</f>
        <v>354901_2019_12_</v>
      </c>
      <c r="D1897" s="1311" t="s">
        <v>315</v>
      </c>
      <c r="E1897" s="3420" t="s">
        <v>1483</v>
      </c>
      <c r="F1897" s="615">
        <f>ROUND((($K$2121*$K$2314*(1/$K$2507-1/$K$2700)*$K$3665)/1000)*$K$3677,2)</f>
        <v>613.21</v>
      </c>
      <c r="G1897" s="1313" t="str">
        <f t="shared" si="354"/>
        <v>Heating Res</v>
      </c>
      <c r="H1897" s="136">
        <f>VLOOKUP(G1897,'CP FACTORS'!$A$3:$B$38, 2, FALSE)</f>
        <v>0</v>
      </c>
      <c r="I1897" s="3497">
        <f t="shared" si="352"/>
        <v>0</v>
      </c>
      <c r="J1897" s="124">
        <f t="shared" si="347"/>
        <v>6</v>
      </c>
      <c r="K1897" s="462">
        <f t="shared" si="348"/>
        <v>0</v>
      </c>
      <c r="L1897" s="689"/>
      <c r="M1897" s="103"/>
      <c r="N1897" s="1317"/>
      <c r="O1897" s="963"/>
      <c r="P1897" s="106"/>
      <c r="Q1897" s="106"/>
      <c r="R1897" s="1214"/>
      <c r="S1897" s="106"/>
      <c r="T1897" s="106"/>
      <c r="U1897" s="1319"/>
      <c r="V1897" s="3436" t="s">
        <v>30</v>
      </c>
      <c r="W1897" s="2914"/>
      <c r="X1897" s="685"/>
      <c r="Y1897" s="618">
        <v>613.21</v>
      </c>
      <c r="Z1897" s="615">
        <v>613.21</v>
      </c>
      <c r="AA1897" s="615">
        <v>613.21</v>
      </c>
      <c r="AB1897" s="3495">
        <v>613.21</v>
      </c>
      <c r="AC1897" s="2912">
        <v>613.21</v>
      </c>
      <c r="AD1897" s="615">
        <v>613.21</v>
      </c>
      <c r="AE1897" s="2914"/>
      <c r="AF1897" s="2914"/>
      <c r="AG1897" s="2914"/>
      <c r="AH1897" s="344"/>
      <c r="AI1897" s="156"/>
      <c r="AJ1897" s="3640"/>
      <c r="AK1897" s="2915"/>
      <c r="AL1897" s="156"/>
      <c r="AM1897" s="3640"/>
      <c r="AN1897" s="3640"/>
      <c r="AO1897" s="156"/>
      <c r="AP1897" s="156"/>
      <c r="AQ1897" s="156"/>
      <c r="AR1897" s="156"/>
      <c r="AS1897" s="156"/>
      <c r="AT1897" s="156"/>
      <c r="AU1897" s="156"/>
      <c r="AV1897" s="156"/>
      <c r="AW1897" s="156"/>
      <c r="AX1897" s="156"/>
      <c r="AY1897" s="156"/>
      <c r="AZ1897" s="156"/>
      <c r="BA1897" s="156"/>
      <c r="BB1897" s="2905"/>
      <c r="BC1897" s="2357" t="str">
        <f t="shared" si="353"/>
        <v>Heating Res 6 Year EUL</v>
      </c>
      <c r="BD1897" s="2829">
        <f>(INDEX('Avoided Cost Benefits'!$E$4:$E$859,MATCH(BC1897,'Avoided Cost Benefits'!$A$4:$A$859,0)))*F1897</f>
        <v>99.917166129083185</v>
      </c>
      <c r="BE1897" s="858">
        <f t="shared" si="350"/>
        <v>0</v>
      </c>
      <c r="BF1897" s="156"/>
      <c r="BH1897" s="686"/>
    </row>
    <row r="1898" spans="1:60" x14ac:dyDescent="0.35">
      <c r="A1898" s="1071" t="str">
        <f t="shared" si="351"/>
        <v>354901_2019_12_Cooling Res ER2</v>
      </c>
      <c r="B1898" s="2812"/>
      <c r="C1898" s="1037" t="str">
        <f>C1897</f>
        <v>354901_2019_12_</v>
      </c>
      <c r="D1898" s="1311" t="s">
        <v>315</v>
      </c>
      <c r="E1898" s="3420" t="s">
        <v>1484</v>
      </c>
      <c r="F1898" s="615">
        <f>ROUND((($K$2894*$K$3087*(1/$K$3280-1/$K$3473)*$K$3666)/1000)*$K$3677,2)</f>
        <v>387.33</v>
      </c>
      <c r="G1898" s="1313" t="str">
        <f t="shared" si="354"/>
        <v>Cooling Res ER2</v>
      </c>
      <c r="H1898" s="136">
        <f>VLOOKUP(G1898,'CP FACTORS'!$A$3:$B$38, 2, FALSE)</f>
        <v>9.4741810000000004E-4</v>
      </c>
      <c r="I1898" s="3497">
        <f t="shared" si="352"/>
        <v>0.36696299999999998</v>
      </c>
      <c r="J1898" s="124">
        <f t="shared" si="347"/>
        <v>12</v>
      </c>
      <c r="K1898" s="462">
        <f t="shared" si="348"/>
        <v>0</v>
      </c>
      <c r="L1898" s="689"/>
      <c r="M1898" s="103"/>
      <c r="N1898" s="1317"/>
      <c r="O1898" s="963"/>
      <c r="P1898" s="106"/>
      <c r="Q1898" s="106"/>
      <c r="R1898" s="1214"/>
      <c r="S1898" s="106"/>
      <c r="T1898" s="106"/>
      <c r="U1898" s="1319"/>
      <c r="V1898" s="3436" t="s">
        <v>30</v>
      </c>
      <c r="W1898" s="2914"/>
      <c r="X1898" s="685"/>
      <c r="Y1898" s="618">
        <v>387.33</v>
      </c>
      <c r="Z1898" s="615">
        <v>387.33</v>
      </c>
      <c r="AA1898" s="615">
        <v>387.33</v>
      </c>
      <c r="AB1898" s="3495">
        <v>387.33</v>
      </c>
      <c r="AC1898" s="2912">
        <v>387.33</v>
      </c>
      <c r="AD1898" s="615">
        <v>387.33</v>
      </c>
      <c r="AE1898" s="2914"/>
      <c r="AF1898" s="2914"/>
      <c r="AG1898" s="2914"/>
      <c r="AH1898" s="344"/>
      <c r="AI1898" s="156"/>
      <c r="AJ1898" s="3640"/>
      <c r="AK1898" s="2915"/>
      <c r="AL1898" s="156"/>
      <c r="AM1898" s="3640"/>
      <c r="AN1898" s="3640"/>
      <c r="AO1898" s="156"/>
      <c r="AP1898" s="156"/>
      <c r="AQ1898" s="156"/>
      <c r="AR1898" s="156"/>
      <c r="AS1898" s="156"/>
      <c r="AT1898" s="156"/>
      <c r="AU1898" s="156"/>
      <c r="AV1898" s="156"/>
      <c r="AW1898" s="156"/>
      <c r="AX1898" s="156"/>
      <c r="AY1898" s="156"/>
      <c r="AZ1898" s="156"/>
      <c r="BA1898" s="156"/>
      <c r="BB1898" s="2905"/>
      <c r="BC1898" s="2357" t="str">
        <f t="shared" ref="BC1898:BC1919" si="355">CONCATENATE(G1898," ",J1898," Year EUL")</f>
        <v>Cooling Res ER2 12 Year EUL</v>
      </c>
      <c r="BD1898" s="2829">
        <f>(INDEX('Avoided Cost Benefits'!$E$4:$E$859,MATCH(BC1898,'Avoided Cost Benefits'!$A$4:$A$859,0)))*F1898</f>
        <v>428.59239429488548</v>
      </c>
      <c r="BE1898" s="858">
        <f t="shared" si="350"/>
        <v>0</v>
      </c>
      <c r="BF1898" s="156"/>
      <c r="BH1898" s="686"/>
    </row>
    <row r="1899" spans="1:60" x14ac:dyDescent="0.35">
      <c r="A1899" s="1071" t="str">
        <f t="shared" si="351"/>
        <v>354901_2019_12_Heating Res ER2</v>
      </c>
      <c r="B1899" s="2812"/>
      <c r="C1899" s="1037" t="str">
        <f>C1898</f>
        <v>354901_2019_12_</v>
      </c>
      <c r="D1899" s="1311" t="s">
        <v>315</v>
      </c>
      <c r="E1899" s="3419" t="s">
        <v>1484</v>
      </c>
      <c r="F1899" s="615">
        <f>ROUND((($K$2122*$K$2315*(1/$K$2508-1/$K$2701)*$K$3666)/1000)*$K$3677,2)</f>
        <v>219.07</v>
      </c>
      <c r="G1899" s="1313" t="str">
        <f t="shared" si="354"/>
        <v>Heating Res ER2</v>
      </c>
      <c r="H1899" s="136">
        <f>VLOOKUP(G1899,'CP FACTORS'!$A$3:$B$38, 2, FALSE)</f>
        <v>0</v>
      </c>
      <c r="I1899" s="3497">
        <f t="shared" si="352"/>
        <v>0</v>
      </c>
      <c r="J1899" s="124">
        <f t="shared" si="347"/>
        <v>12</v>
      </c>
      <c r="K1899" s="462">
        <f t="shared" si="348"/>
        <v>0</v>
      </c>
      <c r="L1899" s="689"/>
      <c r="M1899" s="103"/>
      <c r="N1899" s="1317"/>
      <c r="O1899" s="963"/>
      <c r="P1899" s="106"/>
      <c r="Q1899" s="106"/>
      <c r="R1899" s="1214"/>
      <c r="S1899" s="106"/>
      <c r="T1899" s="106"/>
      <c r="U1899" s="1319"/>
      <c r="V1899" s="3436" t="s">
        <v>30</v>
      </c>
      <c r="W1899" s="2914"/>
      <c r="X1899" s="685"/>
      <c r="Y1899" s="618">
        <v>219.07</v>
      </c>
      <c r="Z1899" s="615">
        <v>219.07</v>
      </c>
      <c r="AA1899" s="615">
        <v>219.07</v>
      </c>
      <c r="AB1899" s="3495">
        <v>219.07</v>
      </c>
      <c r="AC1899" s="2912">
        <v>219.07</v>
      </c>
      <c r="AD1899" s="615">
        <v>219.07</v>
      </c>
      <c r="AE1899" s="2914"/>
      <c r="AF1899" s="2914"/>
      <c r="AG1899" s="2914"/>
      <c r="AH1899" s="344"/>
      <c r="AI1899" s="156"/>
      <c r="AJ1899" s="3640"/>
      <c r="AK1899" s="2915"/>
      <c r="AL1899" s="156"/>
      <c r="AM1899" s="3640"/>
      <c r="AN1899" s="3640"/>
      <c r="AO1899" s="156"/>
      <c r="AP1899" s="156"/>
      <c r="AQ1899" s="156"/>
      <c r="AR1899" s="156"/>
      <c r="AS1899" s="156"/>
      <c r="AT1899" s="156"/>
      <c r="AU1899" s="156"/>
      <c r="AV1899" s="156"/>
      <c r="AW1899" s="156"/>
      <c r="AX1899" s="156"/>
      <c r="AY1899" s="156"/>
      <c r="AZ1899" s="156"/>
      <c r="BA1899" s="156"/>
      <c r="BB1899" s="2905"/>
      <c r="BC1899" s="2349" t="str">
        <f t="shared" si="355"/>
        <v>Heating Res ER2 12 Year EUL</v>
      </c>
      <c r="BD1899" s="2829">
        <f>(INDEX('Avoided Cost Benefits'!$E$4:$E$859,MATCH(BC1899,'Avoided Cost Benefits'!$A$4:$A$859,0)))*F1899</f>
        <v>61.975465954591947</v>
      </c>
      <c r="BE1899" s="858">
        <f t="shared" si="350"/>
        <v>0</v>
      </c>
      <c r="BF1899" s="156"/>
      <c r="BH1899" s="686"/>
    </row>
    <row r="1900" spans="1:60" x14ac:dyDescent="0.35">
      <c r="A1900" s="1071" t="str">
        <f t="shared" si="351"/>
        <v>354950_2019_12_Cooling Res</v>
      </c>
      <c r="B1900" s="2812"/>
      <c r="C1900" s="1037" t="s">
        <v>1485</v>
      </c>
      <c r="D1900" s="1311" t="s">
        <v>320</v>
      </c>
      <c r="E1900" s="590" t="s">
        <v>1486</v>
      </c>
      <c r="F1900" s="615">
        <f>ROUND(((K2895*K3088*(1/K3281-1/K3474)*K3667)/1000)*$K$3677,2)</f>
        <v>281.95</v>
      </c>
      <c r="G1900" s="1313" t="s">
        <v>1091</v>
      </c>
      <c r="H1900" s="136">
        <f>VLOOKUP(G1900,'CP FACTORS'!$A$3:$B$38, 2, FALSE)</f>
        <v>9.4741810000000004E-4</v>
      </c>
      <c r="I1900" s="3497">
        <f t="shared" si="352"/>
        <v>0.267125</v>
      </c>
      <c r="J1900" s="124">
        <f t="shared" si="347"/>
        <v>18</v>
      </c>
      <c r="K1900" s="462">
        <f t="shared" si="348"/>
        <v>724</v>
      </c>
      <c r="L1900" s="689">
        <f>L2123</f>
        <v>3.3</v>
      </c>
      <c r="M1900" s="103"/>
      <c r="N1900" s="1317"/>
      <c r="O1900" s="963"/>
      <c r="P1900" s="106"/>
      <c r="Q1900" s="106"/>
      <c r="R1900" s="1214"/>
      <c r="S1900" s="106"/>
      <c r="T1900" s="106"/>
      <c r="U1900" s="1319"/>
      <c r="V1900" s="3436" t="s">
        <v>30</v>
      </c>
      <c r="W1900" s="2914">
        <v>281.95033613445372</v>
      </c>
      <c r="X1900" s="688">
        <v>281.95033613445372</v>
      </c>
      <c r="Y1900" s="615">
        <v>281.95</v>
      </c>
      <c r="Z1900" s="615">
        <v>281.95</v>
      </c>
      <c r="AA1900" s="615">
        <v>281.95</v>
      </c>
      <c r="AB1900" s="3495">
        <v>281.95</v>
      </c>
      <c r="AC1900" s="2912">
        <v>281.95</v>
      </c>
      <c r="AD1900" s="615">
        <v>281.95</v>
      </c>
      <c r="AE1900" s="2914"/>
      <c r="AF1900" s="2914"/>
      <c r="AG1900" s="2914"/>
      <c r="AH1900" s="344"/>
      <c r="AI1900" s="156"/>
      <c r="AJ1900" s="3640"/>
      <c r="AK1900" s="2915"/>
      <c r="AL1900" s="156"/>
      <c r="AM1900" s="3640"/>
      <c r="AN1900" s="3640"/>
      <c r="AO1900" s="156"/>
      <c r="AP1900" s="156"/>
      <c r="AQ1900" s="156"/>
      <c r="AR1900" s="156"/>
      <c r="AS1900" s="156"/>
      <c r="AT1900" s="156"/>
      <c r="AU1900" s="156"/>
      <c r="AV1900" s="156"/>
      <c r="AW1900" s="156"/>
      <c r="AX1900" s="156"/>
      <c r="AY1900" s="156"/>
      <c r="AZ1900" s="156"/>
      <c r="BA1900" s="156"/>
      <c r="BB1900" s="2833">
        <f>(BD1900+BD1901)/(BE1900+BE1901)</f>
        <v>1.2182158497238469</v>
      </c>
      <c r="BC1900" s="590" t="str">
        <f t="shared" si="355"/>
        <v>Cooling Res 18 Year EUL</v>
      </c>
      <c r="BD1900" s="2829">
        <f>(INDEX('Avoided Cost Benefits'!$E$4:$E$859,MATCH(BC1900,'Avoided Cost Benefits'!$A$4:$A$859,0)))*F1900</f>
        <v>490.63312807756159</v>
      </c>
      <c r="BE1900" s="858">
        <f t="shared" si="350"/>
        <v>683.34119867862194</v>
      </c>
      <c r="BF1900" s="156"/>
      <c r="BH1900" s="686"/>
    </row>
    <row r="1901" spans="1:60" x14ac:dyDescent="0.35">
      <c r="A1901" s="1071" t="str">
        <f t="shared" si="351"/>
        <v>354950_2019_12_Heating Res</v>
      </c>
      <c r="B1901" s="2812"/>
      <c r="C1901" s="1037" t="s">
        <v>1485</v>
      </c>
      <c r="D1901" s="1311" t="s">
        <v>320</v>
      </c>
      <c r="E1901" s="687" t="s">
        <v>1486</v>
      </c>
      <c r="F1901" s="615">
        <f>ROUND(((K2123*K2316*(1/K2509-1/K2702)*K3667)/1000)*$K$3677,2)</f>
        <v>766.69</v>
      </c>
      <c r="G1901" s="1313" t="s">
        <v>1092</v>
      </c>
      <c r="H1901" s="136">
        <f>VLOOKUP(G1901,'CP FACTORS'!$A$3:$B$38, 2, FALSE)</f>
        <v>0</v>
      </c>
      <c r="I1901" s="3497">
        <f t="shared" si="352"/>
        <v>0</v>
      </c>
      <c r="J1901" s="124">
        <f t="shared" si="347"/>
        <v>18</v>
      </c>
      <c r="K1901" s="462">
        <f t="shared" si="348"/>
        <v>0</v>
      </c>
      <c r="L1901" s="689"/>
      <c r="M1901" s="103"/>
      <c r="N1901" s="1317"/>
      <c r="O1901" s="963"/>
      <c r="P1901" s="106"/>
      <c r="Q1901" s="106"/>
      <c r="R1901" s="1214"/>
      <c r="S1901" s="106"/>
      <c r="T1901" s="106"/>
      <c r="U1901" s="1319"/>
      <c r="V1901" s="3436" t="s">
        <v>30</v>
      </c>
      <c r="W1901" s="2914">
        <v>1029.6000000000013</v>
      </c>
      <c r="X1901" s="685">
        <v>766.69069188651167</v>
      </c>
      <c r="Y1901" s="615">
        <v>766.69</v>
      </c>
      <c r="Z1901" s="615">
        <v>766.69</v>
      </c>
      <c r="AA1901" s="615">
        <v>766.69</v>
      </c>
      <c r="AB1901" s="3495">
        <v>766.69</v>
      </c>
      <c r="AC1901" s="2912">
        <v>766.69</v>
      </c>
      <c r="AD1901" s="615">
        <v>766.69</v>
      </c>
      <c r="AE1901" s="2914"/>
      <c r="AF1901" s="2914"/>
      <c r="AG1901" s="2914"/>
      <c r="AH1901" s="344"/>
      <c r="AI1901" s="156"/>
      <c r="AJ1901" s="3640"/>
      <c r="AK1901" s="2915"/>
      <c r="AL1901" s="156"/>
      <c r="AM1901" s="3640"/>
      <c r="AN1901" s="3640"/>
      <c r="AO1901" s="156"/>
      <c r="AP1901" s="156"/>
      <c r="AQ1901" s="156"/>
      <c r="AR1901" s="156"/>
      <c r="AS1901" s="156"/>
      <c r="AT1901" s="156"/>
      <c r="AU1901" s="156"/>
      <c r="AV1901" s="156"/>
      <c r="AW1901" s="156"/>
      <c r="AX1901" s="156"/>
      <c r="AY1901" s="156"/>
      <c r="AZ1901" s="156"/>
      <c r="BA1901" s="156"/>
      <c r="BB1901" s="2835"/>
      <c r="BC1901" s="687" t="str">
        <f t="shared" si="355"/>
        <v>Heating Res 18 Year EUL</v>
      </c>
      <c r="BD1901" s="2829">
        <f>(INDEX('Avoided Cost Benefits'!$E$4:$E$859,MATCH(BC1901,'Avoided Cost Benefits'!$A$4:$A$859,0)))*F1901</f>
        <v>341.8239509220279</v>
      </c>
      <c r="BE1901" s="858">
        <f t="shared" si="350"/>
        <v>0</v>
      </c>
      <c r="BF1901" s="156"/>
      <c r="BH1901" s="686"/>
    </row>
    <row r="1902" spans="1:60" x14ac:dyDescent="0.35">
      <c r="A1902" s="1071" t="str">
        <f t="shared" si="351"/>
        <v>354951_2019_12_Cooling Res</v>
      </c>
      <c r="B1902" s="2812"/>
      <c r="C1902" s="1037" t="s">
        <v>1487</v>
      </c>
      <c r="D1902" s="1311" t="s">
        <v>315</v>
      </c>
      <c r="E1902" s="3418" t="s">
        <v>1488</v>
      </c>
      <c r="F1902" s="615">
        <f>ROUND((($K$2896*$K$3089*(1/$K$3282-1/$K$3475)*$K$3668)/1000)*$K$3677,2)</f>
        <v>205.05</v>
      </c>
      <c r="G1902" s="1313" t="str">
        <f>G1900</f>
        <v>Cooling Res</v>
      </c>
      <c r="H1902" s="136">
        <f>VLOOKUP(G1902,'CP FACTORS'!$A$3:$B$38, 2, FALSE)</f>
        <v>9.4741810000000004E-4</v>
      </c>
      <c r="I1902" s="3497">
        <f t="shared" si="352"/>
        <v>0.194268</v>
      </c>
      <c r="J1902" s="124">
        <f t="shared" si="347"/>
        <v>18</v>
      </c>
      <c r="K1902" s="462">
        <f t="shared" si="348"/>
        <v>724</v>
      </c>
      <c r="L1902" s="689">
        <f>L2124</f>
        <v>3.3</v>
      </c>
      <c r="M1902" s="103"/>
      <c r="N1902" s="1317"/>
      <c r="O1902" s="963"/>
      <c r="P1902" s="106"/>
      <c r="Q1902" s="106"/>
      <c r="R1902" s="1214"/>
      <c r="S1902" s="106"/>
      <c r="T1902" s="106"/>
      <c r="U1902" s="1319"/>
      <c r="V1902" s="3436" t="s">
        <v>30</v>
      </c>
      <c r="W1902" s="2914"/>
      <c r="X1902" s="685"/>
      <c r="Y1902" s="618">
        <v>205.05</v>
      </c>
      <c r="Z1902" s="615">
        <v>205.05</v>
      </c>
      <c r="AA1902" s="615">
        <v>205.05</v>
      </c>
      <c r="AB1902" s="3495">
        <v>205.05</v>
      </c>
      <c r="AC1902" s="2912">
        <v>205.05</v>
      </c>
      <c r="AD1902" s="615">
        <v>205.05</v>
      </c>
      <c r="AE1902" s="2914"/>
      <c r="AF1902" s="2914"/>
      <c r="AG1902" s="2914"/>
      <c r="AH1902" s="344"/>
      <c r="AI1902" s="156"/>
      <c r="AJ1902" s="3640"/>
      <c r="AK1902" s="2915"/>
      <c r="AL1902" s="156"/>
      <c r="AM1902" s="3640"/>
      <c r="AN1902" s="3640"/>
      <c r="AO1902" s="156"/>
      <c r="AP1902" s="156"/>
      <c r="AQ1902" s="156"/>
      <c r="AR1902" s="156"/>
      <c r="AS1902" s="156"/>
      <c r="AT1902" s="156"/>
      <c r="AU1902" s="156"/>
      <c r="AV1902" s="156"/>
      <c r="AW1902" s="156"/>
      <c r="AX1902" s="156"/>
      <c r="AY1902" s="156"/>
      <c r="AZ1902" s="156"/>
      <c r="BA1902" s="156"/>
      <c r="BB1902" s="2833">
        <f>(BD1902+BD1903)/(BE1902+BE1903)</f>
        <v>0.69269402662636037</v>
      </c>
      <c r="BC1902" s="590" t="str">
        <f t="shared" si="355"/>
        <v>Cooling Res 18 Year EUL</v>
      </c>
      <c r="BD1902" s="2829">
        <f>(INDEX('Avoided Cost Benefits'!$E$4:$E$859,MATCH(BC1902,'Avoided Cost Benefits'!$A$4:$A$859,0)))*F1902</f>
        <v>356.81618340948404</v>
      </c>
      <c r="BE1902" s="858">
        <f t="shared" si="350"/>
        <v>683.34119867862194</v>
      </c>
      <c r="BF1902" s="156"/>
      <c r="BH1902" s="686"/>
    </row>
    <row r="1903" spans="1:60" x14ac:dyDescent="0.35">
      <c r="A1903" s="1071" t="str">
        <f t="shared" si="351"/>
        <v>354951_2019_12_Heating Res</v>
      </c>
      <c r="B1903" s="2812"/>
      <c r="C1903" s="1037" t="str">
        <f>C1902</f>
        <v>354951_2019_12_</v>
      </c>
      <c r="D1903" s="1311" t="s">
        <v>315</v>
      </c>
      <c r="E1903" s="3419" t="s">
        <v>1488</v>
      </c>
      <c r="F1903" s="615">
        <f>ROUND((($K$2124*$K$2317*(1/$K$2510-1/$K$2703)*$K$3668)/1000)*$K$3677,2)</f>
        <v>261.37</v>
      </c>
      <c r="G1903" s="1313" t="str">
        <f>G1901</f>
        <v>Heating Res</v>
      </c>
      <c r="H1903" s="136">
        <f>VLOOKUP(G1903,'CP FACTORS'!$A$3:$B$38, 2, FALSE)</f>
        <v>0</v>
      </c>
      <c r="I1903" s="3497">
        <f t="shared" si="352"/>
        <v>0</v>
      </c>
      <c r="J1903" s="124">
        <f t="shared" si="347"/>
        <v>18</v>
      </c>
      <c r="K1903" s="462">
        <f t="shared" si="348"/>
        <v>0</v>
      </c>
      <c r="L1903" s="689"/>
      <c r="M1903" s="103"/>
      <c r="N1903" s="1317"/>
      <c r="O1903" s="963"/>
      <c r="P1903" s="106"/>
      <c r="Q1903" s="106"/>
      <c r="R1903" s="1214"/>
      <c r="S1903" s="106"/>
      <c r="T1903" s="106"/>
      <c r="U1903" s="1319"/>
      <c r="V1903" s="3436" t="s">
        <v>30</v>
      </c>
      <c r="W1903" s="2914"/>
      <c r="X1903" s="685"/>
      <c r="Y1903" s="618">
        <v>261.37</v>
      </c>
      <c r="Z1903" s="615">
        <v>261.37</v>
      </c>
      <c r="AA1903" s="615">
        <v>261.37</v>
      </c>
      <c r="AB1903" s="3495">
        <v>261.37</v>
      </c>
      <c r="AC1903" s="2912">
        <v>261.37</v>
      </c>
      <c r="AD1903" s="615">
        <v>261.37</v>
      </c>
      <c r="AE1903" s="2914"/>
      <c r="AF1903" s="2914"/>
      <c r="AG1903" s="2914"/>
      <c r="AH1903" s="344"/>
      <c r="AI1903" s="156"/>
      <c r="AJ1903" s="3640"/>
      <c r="AK1903" s="2915"/>
      <c r="AL1903" s="156"/>
      <c r="AM1903" s="3640"/>
      <c r="AN1903" s="3640"/>
      <c r="AO1903" s="156"/>
      <c r="AP1903" s="156"/>
      <c r="AQ1903" s="156"/>
      <c r="AR1903" s="156"/>
      <c r="AS1903" s="156"/>
      <c r="AT1903" s="156"/>
      <c r="AU1903" s="156"/>
      <c r="AV1903" s="156"/>
      <c r="AW1903" s="156"/>
      <c r="AX1903" s="156"/>
      <c r="AY1903" s="156"/>
      <c r="AZ1903" s="156"/>
      <c r="BA1903" s="156"/>
      <c r="BB1903" s="2835"/>
      <c r="BC1903" s="687" t="str">
        <f t="shared" si="355"/>
        <v>Heating Res 18 Year EUL</v>
      </c>
      <c r="BD1903" s="2829">
        <f>(INDEX('Avoided Cost Benefits'!$E$4:$E$859,MATCH(BC1903,'Avoided Cost Benefits'!$A$4:$A$859,0)))*F1903</f>
        <v>116.53018306289431</v>
      </c>
      <c r="BE1903" s="858">
        <f t="shared" si="350"/>
        <v>0</v>
      </c>
      <c r="BF1903" s="156"/>
      <c r="BH1903" s="686"/>
    </row>
    <row r="1904" spans="1:60" x14ac:dyDescent="0.35">
      <c r="A1904" s="1071" t="str">
        <f t="shared" si="351"/>
        <v>355000_2019_12_Cooling Res</v>
      </c>
      <c r="B1904" s="2812"/>
      <c r="C1904" s="1037" t="s">
        <v>1489</v>
      </c>
      <c r="D1904" s="1311" t="s">
        <v>320</v>
      </c>
      <c r="E1904" s="590" t="s">
        <v>1490</v>
      </c>
      <c r="F1904" s="615">
        <f>ROUND(((K2897*K3090*(1/K3283-1/K3476)*K3669)/1000)*$K$3677,2)</f>
        <v>355.05</v>
      </c>
      <c r="G1904" s="1313" t="s">
        <v>1091</v>
      </c>
      <c r="H1904" s="136">
        <f>VLOOKUP(G1904,'CP FACTORS'!$A$3:$B$38, 2, FALSE)</f>
        <v>9.4741810000000004E-4</v>
      </c>
      <c r="I1904" s="3497">
        <f t="shared" si="352"/>
        <v>0.33638099999999999</v>
      </c>
      <c r="J1904" s="124">
        <f t="shared" si="347"/>
        <v>18</v>
      </c>
      <c r="K1904" s="462">
        <f t="shared" si="348"/>
        <v>962.92000000000007</v>
      </c>
      <c r="L1904" s="689">
        <f>L2125</f>
        <v>3.3</v>
      </c>
      <c r="M1904" s="103"/>
      <c r="N1904" s="1317"/>
      <c r="O1904" s="963"/>
      <c r="P1904" s="106"/>
      <c r="Q1904" s="106"/>
      <c r="R1904" s="1214"/>
      <c r="S1904" s="106"/>
      <c r="T1904" s="106"/>
      <c r="U1904" s="1319"/>
      <c r="V1904" s="3436" t="s">
        <v>30</v>
      </c>
      <c r="W1904" s="2914">
        <v>355.04857142857139</v>
      </c>
      <c r="X1904" s="688">
        <v>355.04857142857139</v>
      </c>
      <c r="Y1904" s="615">
        <v>355.05</v>
      </c>
      <c r="Z1904" s="615">
        <v>355.05</v>
      </c>
      <c r="AA1904" s="615">
        <v>355.05</v>
      </c>
      <c r="AB1904" s="3495">
        <v>355.05</v>
      </c>
      <c r="AC1904" s="2912">
        <v>355.05</v>
      </c>
      <c r="AD1904" s="615">
        <v>355.05</v>
      </c>
      <c r="AE1904" s="2914"/>
      <c r="AF1904" s="2914"/>
      <c r="AG1904" s="2914"/>
      <c r="AH1904" s="344"/>
      <c r="AI1904" s="156"/>
      <c r="AJ1904" s="3640"/>
      <c r="AK1904" s="2915"/>
      <c r="AL1904" s="156"/>
      <c r="AM1904" s="3640"/>
      <c r="AN1904" s="3640"/>
      <c r="AO1904" s="156"/>
      <c r="AP1904" s="156"/>
      <c r="AQ1904" s="156"/>
      <c r="AR1904" s="156"/>
      <c r="AS1904" s="156"/>
      <c r="AT1904" s="156"/>
      <c r="AU1904" s="156"/>
      <c r="AV1904" s="156"/>
      <c r="AW1904" s="156"/>
      <c r="AX1904" s="156"/>
      <c r="AY1904" s="156"/>
      <c r="AZ1904" s="156"/>
      <c r="BA1904" s="156"/>
      <c r="BB1904" s="2833">
        <f>(BD1904+BD1905)/(BE1904+BE1905)</f>
        <v>1.0559146565319291</v>
      </c>
      <c r="BC1904" s="590" t="str">
        <f t="shared" si="355"/>
        <v>Cooling Res 18 Year EUL</v>
      </c>
      <c r="BD1904" s="2829">
        <f>(INDEX('Avoided Cost Benefits'!$E$4:$E$859,MATCH(BC1904,'Avoided Cost Benefits'!$A$4:$A$859,0)))*F1904</f>
        <v>617.83753191678761</v>
      </c>
      <c r="BE1904" s="858">
        <f t="shared" si="350"/>
        <v>908.84379424256724</v>
      </c>
      <c r="BF1904" s="156"/>
      <c r="BH1904" s="686"/>
    </row>
    <row r="1905" spans="1:60" x14ac:dyDescent="0.35">
      <c r="A1905" s="1071" t="str">
        <f t="shared" si="351"/>
        <v>355000_2019_12_Heating Res</v>
      </c>
      <c r="B1905" s="2812"/>
      <c r="C1905" s="1037" t="s">
        <v>1489</v>
      </c>
      <c r="D1905" s="1311" t="s">
        <v>320</v>
      </c>
      <c r="E1905" s="687" t="s">
        <v>1490</v>
      </c>
      <c r="F1905" s="615">
        <f>ROUND(((K2125*K2318*(1/K2511-1/K2704)*K3669)/1000)*$K$3677,2)</f>
        <v>766.69</v>
      </c>
      <c r="G1905" s="1313" t="s">
        <v>1092</v>
      </c>
      <c r="H1905" s="136">
        <f>VLOOKUP(G1905,'CP FACTORS'!$A$3:$B$38, 2, FALSE)</f>
        <v>0</v>
      </c>
      <c r="I1905" s="3497">
        <f t="shared" si="352"/>
        <v>0</v>
      </c>
      <c r="J1905" s="124">
        <f t="shared" si="347"/>
        <v>18</v>
      </c>
      <c r="K1905" s="462">
        <f t="shared" si="348"/>
        <v>0</v>
      </c>
      <c r="L1905" s="689"/>
      <c r="M1905" s="103"/>
      <c r="N1905" s="1317"/>
      <c r="O1905" s="963"/>
      <c r="P1905" s="106"/>
      <c r="Q1905" s="106"/>
      <c r="R1905" s="1214"/>
      <c r="S1905" s="106"/>
      <c r="T1905" s="106"/>
      <c r="U1905" s="1319"/>
      <c r="V1905" s="3436" t="s">
        <v>30</v>
      </c>
      <c r="W1905" s="2914">
        <v>1029.6000000000013</v>
      </c>
      <c r="X1905" s="685">
        <v>766.69069188651167</v>
      </c>
      <c r="Y1905" s="615">
        <v>766.69</v>
      </c>
      <c r="Z1905" s="615">
        <v>766.69</v>
      </c>
      <c r="AA1905" s="615">
        <v>766.69</v>
      </c>
      <c r="AB1905" s="3495">
        <v>766.69</v>
      </c>
      <c r="AC1905" s="2912">
        <v>766.69</v>
      </c>
      <c r="AD1905" s="615">
        <v>766.69</v>
      </c>
      <c r="AE1905" s="2914"/>
      <c r="AF1905" s="2914"/>
      <c r="AG1905" s="2914"/>
      <c r="AH1905" s="344"/>
      <c r="AI1905" s="156"/>
      <c r="AJ1905" s="3640"/>
      <c r="AK1905" s="2915"/>
      <c r="AL1905" s="156"/>
      <c r="AM1905" s="3640"/>
      <c r="AN1905" s="3640"/>
      <c r="AO1905" s="156"/>
      <c r="AP1905" s="156"/>
      <c r="AQ1905" s="156"/>
      <c r="AR1905" s="156"/>
      <c r="AS1905" s="156"/>
      <c r="AT1905" s="156"/>
      <c r="AU1905" s="156"/>
      <c r="AV1905" s="156"/>
      <c r="AW1905" s="156"/>
      <c r="AX1905" s="156"/>
      <c r="AY1905" s="156"/>
      <c r="AZ1905" s="156"/>
      <c r="BA1905" s="156"/>
      <c r="BB1905" s="2835"/>
      <c r="BC1905" s="687" t="str">
        <f t="shared" si="355"/>
        <v>Heating Res 18 Year EUL</v>
      </c>
      <c r="BD1905" s="2829">
        <f>(INDEX('Avoided Cost Benefits'!$E$4:$E$859,MATCH(BC1905,'Avoided Cost Benefits'!$A$4:$A$859,0)))*F1905</f>
        <v>341.8239509220279</v>
      </c>
      <c r="BE1905" s="858">
        <f t="shared" si="350"/>
        <v>0</v>
      </c>
      <c r="BF1905" s="156"/>
      <c r="BH1905" s="686"/>
    </row>
    <row r="1906" spans="1:60" x14ac:dyDescent="0.35">
      <c r="A1906" s="1071" t="str">
        <f t="shared" si="351"/>
        <v>355001_2021_12_Cooling Res</v>
      </c>
      <c r="B1906" s="2812"/>
      <c r="C1906" s="1037" t="s">
        <v>4115</v>
      </c>
      <c r="D1906" s="1311" t="s">
        <v>315</v>
      </c>
      <c r="E1906" s="3418" t="s">
        <v>1492</v>
      </c>
      <c r="F1906" s="615">
        <f>ROUND((($K$2898*$K$3091*(1/$K$3284-1/$K$3477)*$K$3670)/1000)*$K$3677,2)</f>
        <v>258.22000000000003</v>
      </c>
      <c r="G1906" s="1313" t="str">
        <f>G1904</f>
        <v>Cooling Res</v>
      </c>
      <c r="H1906" s="136">
        <f>VLOOKUP(G1906,'CP FACTORS'!$A$3:$B$38, 2, FALSE)</f>
        <v>9.4741810000000004E-4</v>
      </c>
      <c r="I1906" s="3497">
        <f t="shared" si="352"/>
        <v>0.244642</v>
      </c>
      <c r="J1906" s="124">
        <f t="shared" si="347"/>
        <v>18</v>
      </c>
      <c r="K1906" s="462">
        <f t="shared" si="348"/>
        <v>962.92000000000007</v>
      </c>
      <c r="L1906" s="689">
        <f>L2126</f>
        <v>3.3</v>
      </c>
      <c r="M1906" s="103"/>
      <c r="N1906" s="1317"/>
      <c r="O1906" s="963"/>
      <c r="P1906" s="106"/>
      <c r="Q1906" s="106"/>
      <c r="R1906" s="1214"/>
      <c r="S1906" s="106"/>
      <c r="T1906" s="106"/>
      <c r="U1906" s="1319"/>
      <c r="V1906" s="3436" t="s">
        <v>30</v>
      </c>
      <c r="W1906" s="2914"/>
      <c r="X1906" s="685"/>
      <c r="Y1906" s="618">
        <v>397.26</v>
      </c>
      <c r="Z1906" s="615">
        <v>397.26</v>
      </c>
      <c r="AA1906" s="615">
        <v>397.26</v>
      </c>
      <c r="AB1906" s="3495">
        <v>397.26</v>
      </c>
      <c r="AC1906" s="618">
        <v>258.22000000000003</v>
      </c>
      <c r="AD1906" s="615">
        <v>258.22000000000003</v>
      </c>
      <c r="AE1906" s="2914"/>
      <c r="AF1906" s="2914"/>
      <c r="AG1906" s="2914"/>
      <c r="AH1906" s="344"/>
      <c r="AI1906" s="156"/>
      <c r="AJ1906" s="3640"/>
      <c r="AK1906" s="2915"/>
      <c r="AL1906" s="156"/>
      <c r="AM1906" s="3640"/>
      <c r="AN1906" s="3640"/>
      <c r="AO1906" s="156"/>
      <c r="AP1906" s="156"/>
      <c r="AQ1906" s="156"/>
      <c r="AR1906" s="156"/>
      <c r="AS1906" s="156"/>
      <c r="AT1906" s="156"/>
      <c r="AU1906" s="156"/>
      <c r="AV1906" s="156"/>
      <c r="AW1906" s="156"/>
      <c r="AX1906" s="156"/>
      <c r="AY1906" s="156"/>
      <c r="AZ1906" s="156"/>
      <c r="BA1906" s="156"/>
      <c r="BB1906" s="2833">
        <f>(BD1906+BD1907)/(BE1906+BE1907)</f>
        <v>0.62262595331709103</v>
      </c>
      <c r="BC1906" s="590" t="str">
        <f t="shared" si="355"/>
        <v>Cooling Res 18 Year EUL</v>
      </c>
      <c r="BD1906" s="2829">
        <f>(INDEX('Avoided Cost Benefits'!$E$4:$E$859,MATCH(BC1906,'Avoided Cost Benefits'!$A$4:$A$859,0)))*F1906</f>
        <v>449.33955074370624</v>
      </c>
      <c r="BE1906" s="858">
        <f t="shared" si="350"/>
        <v>908.84379424256724</v>
      </c>
      <c r="BF1906" s="156"/>
      <c r="BH1906" s="686"/>
    </row>
    <row r="1907" spans="1:60" x14ac:dyDescent="0.35">
      <c r="A1907" s="1071" t="str">
        <f t="shared" si="351"/>
        <v>355001_2021_12_Heating Res</v>
      </c>
      <c r="B1907" s="2812"/>
      <c r="C1907" s="1037" t="str">
        <f>C1906</f>
        <v>355001_2021_12_</v>
      </c>
      <c r="D1907" s="1311" t="s">
        <v>315</v>
      </c>
      <c r="E1907" s="3419" t="s">
        <v>1492</v>
      </c>
      <c r="F1907" s="615">
        <f>ROUND((($K$2126*$K$2319*(1/$K$2512-1/$K$2705)*$K$3670)/1000)*$K$3677,2)</f>
        <v>261.37</v>
      </c>
      <c r="G1907" s="1313" t="str">
        <f>G1905</f>
        <v>Heating Res</v>
      </c>
      <c r="H1907" s="136">
        <f>VLOOKUP(G1907,'CP FACTORS'!$A$3:$B$38, 2, FALSE)</f>
        <v>0</v>
      </c>
      <c r="I1907" s="3497">
        <f t="shared" si="352"/>
        <v>0</v>
      </c>
      <c r="J1907" s="124">
        <f t="shared" si="347"/>
        <v>18</v>
      </c>
      <c r="K1907" s="462">
        <f t="shared" si="348"/>
        <v>0</v>
      </c>
      <c r="L1907" s="689"/>
      <c r="M1907" s="103"/>
      <c r="N1907" s="1317"/>
      <c r="O1907" s="963"/>
      <c r="P1907" s="106"/>
      <c r="Q1907" s="106"/>
      <c r="R1907" s="1214"/>
      <c r="S1907" s="106"/>
      <c r="T1907" s="106"/>
      <c r="U1907" s="1319"/>
      <c r="V1907" s="3436" t="s">
        <v>30</v>
      </c>
      <c r="W1907" s="2914"/>
      <c r="X1907" s="685"/>
      <c r="Y1907" s="618">
        <v>402.11</v>
      </c>
      <c r="Z1907" s="615">
        <v>402.11</v>
      </c>
      <c r="AA1907" s="615">
        <v>402.11</v>
      </c>
      <c r="AB1907" s="3495">
        <v>402.11</v>
      </c>
      <c r="AC1907" s="618">
        <v>261.37</v>
      </c>
      <c r="AD1907" s="615">
        <v>261.37</v>
      </c>
      <c r="AE1907" s="2914"/>
      <c r="AF1907" s="2914"/>
      <c r="AG1907" s="2914"/>
      <c r="AH1907" s="344"/>
      <c r="AI1907" s="156"/>
      <c r="AJ1907" s="3640"/>
      <c r="AK1907" s="2915"/>
      <c r="AL1907" s="156"/>
      <c r="AM1907" s="3640"/>
      <c r="AN1907" s="3640"/>
      <c r="AO1907" s="156"/>
      <c r="AP1907" s="156"/>
      <c r="AQ1907" s="156"/>
      <c r="AR1907" s="156"/>
      <c r="AS1907" s="156"/>
      <c r="AT1907" s="156"/>
      <c r="AU1907" s="156"/>
      <c r="AV1907" s="156"/>
      <c r="AW1907" s="156"/>
      <c r="AX1907" s="156"/>
      <c r="AY1907" s="156"/>
      <c r="AZ1907" s="156"/>
      <c r="BA1907" s="156"/>
      <c r="BB1907" s="2835"/>
      <c r="BC1907" s="687" t="str">
        <f t="shared" si="355"/>
        <v>Heating Res 18 Year EUL</v>
      </c>
      <c r="BD1907" s="2829">
        <f>(INDEX('Avoided Cost Benefits'!$E$4:$E$859,MATCH(BC1907,'Avoided Cost Benefits'!$A$4:$A$859,0)))*F1907</f>
        <v>116.53018306289431</v>
      </c>
      <c r="BE1907" s="858">
        <f t="shared" si="350"/>
        <v>0</v>
      </c>
      <c r="BF1907" s="156"/>
      <c r="BH1907" s="686"/>
    </row>
    <row r="1908" spans="1:60" x14ac:dyDescent="0.35">
      <c r="A1908" s="1071" t="str">
        <f t="shared" si="351"/>
        <v>355050_2019_12_Cooling Res</v>
      </c>
      <c r="B1908" s="2812"/>
      <c r="C1908" s="1037" t="s">
        <v>1493</v>
      </c>
      <c r="D1908" s="1311" t="s">
        <v>320</v>
      </c>
      <c r="E1908" s="590" t="s">
        <v>1494</v>
      </c>
      <c r="F1908" s="615">
        <f>ROUND(((K2899*K3092*(1/K3285-1/K3478)*K3671)/1000)*$K$3677,2)</f>
        <v>420.45</v>
      </c>
      <c r="G1908" s="1313" t="s">
        <v>1091</v>
      </c>
      <c r="H1908" s="136">
        <f>VLOOKUP(G1908,'CP FACTORS'!$A$3:$B$38, 2, FALSE)</f>
        <v>9.4741810000000004E-4</v>
      </c>
      <c r="I1908" s="3497">
        <f t="shared" si="352"/>
        <v>0.39834199999999997</v>
      </c>
      <c r="J1908" s="124">
        <f t="shared" si="347"/>
        <v>18</v>
      </c>
      <c r="K1908" s="462">
        <f t="shared" si="348"/>
        <v>1203.6500000000003</v>
      </c>
      <c r="L1908" s="689">
        <f>L2127</f>
        <v>3.3</v>
      </c>
      <c r="M1908" s="103"/>
      <c r="N1908" s="1317"/>
      <c r="O1908" s="963"/>
      <c r="P1908" s="106"/>
      <c r="Q1908" s="106"/>
      <c r="R1908" s="1214"/>
      <c r="S1908" s="106"/>
      <c r="T1908" s="106"/>
      <c r="U1908" s="1319"/>
      <c r="V1908" s="3436" t="s">
        <v>30</v>
      </c>
      <c r="W1908" s="2914">
        <v>420.45225563909776</v>
      </c>
      <c r="X1908" s="688">
        <v>420.45225563909776</v>
      </c>
      <c r="Y1908" s="615">
        <v>420.45</v>
      </c>
      <c r="Z1908" s="615">
        <v>420.45</v>
      </c>
      <c r="AA1908" s="615">
        <v>420.45</v>
      </c>
      <c r="AB1908" s="3495">
        <v>420.45</v>
      </c>
      <c r="AC1908" s="2912">
        <v>420.45</v>
      </c>
      <c r="AD1908" s="615">
        <v>420.45</v>
      </c>
      <c r="AE1908" s="2914"/>
      <c r="AF1908" s="2914"/>
      <c r="AG1908" s="2914"/>
      <c r="AH1908" s="344"/>
      <c r="AI1908" s="156"/>
      <c r="AJ1908" s="3640"/>
      <c r="AK1908" s="2915"/>
      <c r="AL1908" s="156"/>
      <c r="AM1908" s="3640"/>
      <c r="AN1908" s="3640"/>
      <c r="AO1908" s="156"/>
      <c r="AP1908" s="156"/>
      <c r="AQ1908" s="156"/>
      <c r="AR1908" s="156"/>
      <c r="AS1908" s="156"/>
      <c r="AT1908" s="156"/>
      <c r="AU1908" s="156"/>
      <c r="AV1908" s="156"/>
      <c r="AW1908" s="156"/>
      <c r="AX1908" s="156"/>
      <c r="AY1908" s="156"/>
      <c r="AZ1908" s="156"/>
      <c r="BA1908" s="156"/>
      <c r="BB1908" s="2833">
        <f>(BD1908+BD1909)/(BE1908+BE1909)</f>
        <v>0.94490762666878725</v>
      </c>
      <c r="BC1908" s="590" t="str">
        <f t="shared" si="355"/>
        <v>Cooling Res 18 Year EUL</v>
      </c>
      <c r="BD1908" s="2829">
        <f>(INDEX('Avoided Cost Benefits'!$E$4:$E$859,MATCH(BC1908,'Avoided Cost Benefits'!$A$4:$A$859,0)))*F1908</f>
        <v>731.64283986597195</v>
      </c>
      <c r="BE1908" s="858">
        <f t="shared" si="350"/>
        <v>1136.0547428032091</v>
      </c>
      <c r="BF1908" s="156"/>
      <c r="BH1908" s="686"/>
    </row>
    <row r="1909" spans="1:60" x14ac:dyDescent="0.35">
      <c r="A1909" s="1071" t="str">
        <f t="shared" si="351"/>
        <v>355050_2019_12_Heating Res</v>
      </c>
      <c r="B1909" s="2812"/>
      <c r="C1909" s="1037" t="s">
        <v>1493</v>
      </c>
      <c r="D1909" s="1311" t="s">
        <v>320</v>
      </c>
      <c r="E1909" s="687" t="s">
        <v>1494</v>
      </c>
      <c r="F1909" s="615">
        <f>ROUND(((K2127*K2320*(1/K2513-1/K2706)*K3671)/1000)*$K$3677,2)</f>
        <v>766.69</v>
      </c>
      <c r="G1909" s="1313" t="s">
        <v>1092</v>
      </c>
      <c r="H1909" s="136">
        <f>VLOOKUP(G1909,'CP FACTORS'!$A$3:$B$38, 2, FALSE)</f>
        <v>0</v>
      </c>
      <c r="I1909" s="3497">
        <f t="shared" si="352"/>
        <v>0</v>
      </c>
      <c r="J1909" s="124">
        <f t="shared" si="347"/>
        <v>18</v>
      </c>
      <c r="K1909" s="462">
        <f t="shared" si="348"/>
        <v>0</v>
      </c>
      <c r="L1909" s="689"/>
      <c r="M1909" s="103"/>
      <c r="N1909" s="1317"/>
      <c r="O1909" s="963"/>
      <c r="P1909" s="106"/>
      <c r="Q1909" s="106"/>
      <c r="R1909" s="1214"/>
      <c r="S1909" s="106"/>
      <c r="T1909" s="106"/>
      <c r="U1909" s="1319"/>
      <c r="V1909" s="3436" t="s">
        <v>30</v>
      </c>
      <c r="W1909" s="2914">
        <v>1029.6000000000013</v>
      </c>
      <c r="X1909" s="685">
        <v>766.69069188651167</v>
      </c>
      <c r="Y1909" s="615">
        <v>766.69</v>
      </c>
      <c r="Z1909" s="615">
        <v>766.69</v>
      </c>
      <c r="AA1909" s="615">
        <v>766.69</v>
      </c>
      <c r="AB1909" s="3495">
        <v>766.69</v>
      </c>
      <c r="AC1909" s="2912">
        <v>766.69</v>
      </c>
      <c r="AD1909" s="615">
        <v>766.69</v>
      </c>
      <c r="AE1909" s="2914"/>
      <c r="AF1909" s="2914"/>
      <c r="AG1909" s="2914"/>
      <c r="AH1909" s="344"/>
      <c r="AI1909" s="156"/>
      <c r="AJ1909" s="3640"/>
      <c r="AK1909" s="2915"/>
      <c r="AL1909" s="156"/>
      <c r="AM1909" s="3640"/>
      <c r="AN1909" s="3640"/>
      <c r="AO1909" s="156"/>
      <c r="AP1909" s="156"/>
      <c r="AQ1909" s="156"/>
      <c r="AR1909" s="156"/>
      <c r="AS1909" s="156"/>
      <c r="AT1909" s="156"/>
      <c r="AU1909" s="156"/>
      <c r="AV1909" s="156"/>
      <c r="AW1909" s="156"/>
      <c r="AX1909" s="156"/>
      <c r="AY1909" s="156"/>
      <c r="AZ1909" s="156"/>
      <c r="BA1909" s="156"/>
      <c r="BB1909" s="2835"/>
      <c r="BC1909" s="687" t="str">
        <f t="shared" si="355"/>
        <v>Heating Res 18 Year EUL</v>
      </c>
      <c r="BD1909" s="2829">
        <f>(INDEX('Avoided Cost Benefits'!$E$4:$E$859,MATCH(BC1909,'Avoided Cost Benefits'!$A$4:$A$859,0)))*F1909</f>
        <v>341.8239509220279</v>
      </c>
      <c r="BE1909" s="858">
        <f t="shared" si="350"/>
        <v>0</v>
      </c>
      <c r="BF1909" s="156"/>
      <c r="BH1909" s="686"/>
    </row>
    <row r="1910" spans="1:60" x14ac:dyDescent="0.35">
      <c r="A1910" s="1071" t="str">
        <f t="shared" si="351"/>
        <v>355051_2019_12_Cooling Res</v>
      </c>
      <c r="B1910" s="2812"/>
      <c r="C1910" s="1037" t="s">
        <v>1495</v>
      </c>
      <c r="D1910" s="1311" t="s">
        <v>315</v>
      </c>
      <c r="E1910" s="3418" t="s">
        <v>1496</v>
      </c>
      <c r="F1910" s="615">
        <f>ROUND((($K$2900*$K$3093*(1/$K$3286-1/$K$3479)*$K$3672)/1000)*$K$3677,2)</f>
        <v>305.77999999999997</v>
      </c>
      <c r="G1910" s="1313" t="str">
        <f>G1908</f>
        <v>Cooling Res</v>
      </c>
      <c r="H1910" s="136">
        <f>VLOOKUP(G1910,'CP FACTORS'!$A$3:$B$38, 2, FALSE)</f>
        <v>9.4741810000000004E-4</v>
      </c>
      <c r="I1910" s="3497">
        <f t="shared" si="352"/>
        <v>0.28970200000000002</v>
      </c>
      <c r="J1910" s="124">
        <f t="shared" si="347"/>
        <v>18</v>
      </c>
      <c r="K1910" s="462">
        <f t="shared" si="348"/>
        <v>1203.6500000000003</v>
      </c>
      <c r="L1910" s="689">
        <f>L2128</f>
        <v>3.3</v>
      </c>
      <c r="M1910" s="103"/>
      <c r="N1910" s="1317"/>
      <c r="O1910" s="963"/>
      <c r="P1910" s="106"/>
      <c r="Q1910" s="106"/>
      <c r="R1910" s="1214"/>
      <c r="S1910" s="106"/>
      <c r="T1910" s="106"/>
      <c r="U1910" s="1319"/>
      <c r="V1910" s="3436" t="s">
        <v>30</v>
      </c>
      <c r="W1910" s="2914"/>
      <c r="X1910" s="685"/>
      <c r="Y1910" s="618">
        <v>305.77999999999997</v>
      </c>
      <c r="Z1910" s="615">
        <v>305.77999999999997</v>
      </c>
      <c r="AA1910" s="615">
        <v>305.77999999999997</v>
      </c>
      <c r="AB1910" s="3495">
        <v>305.77999999999997</v>
      </c>
      <c r="AC1910" s="2912">
        <v>305.77999999999997</v>
      </c>
      <c r="AD1910" s="615">
        <v>305.77999999999997</v>
      </c>
      <c r="AE1910" s="2914"/>
      <c r="AF1910" s="2914"/>
      <c r="AG1910" s="2914"/>
      <c r="AH1910" s="344"/>
      <c r="AI1910" s="156"/>
      <c r="AJ1910" s="3640"/>
      <c r="AK1910" s="2915"/>
      <c r="AL1910" s="156"/>
      <c r="AM1910" s="3640"/>
      <c r="AN1910" s="3640"/>
      <c r="AO1910" s="156"/>
      <c r="AP1910" s="156"/>
      <c r="AQ1910" s="156"/>
      <c r="AR1910" s="156"/>
      <c r="AS1910" s="156"/>
      <c r="AT1910" s="156"/>
      <c r="AU1910" s="156"/>
      <c r="AV1910" s="156"/>
      <c r="AW1910" s="156"/>
      <c r="AX1910" s="156"/>
      <c r="AY1910" s="156"/>
      <c r="AZ1910" s="156"/>
      <c r="BA1910" s="156"/>
      <c r="BB1910" s="2833">
        <f>(BD1910+BD1911)/(BE1910+BE1911)</f>
        <v>0.57095039373380563</v>
      </c>
      <c r="BC1910" s="590" t="str">
        <f t="shared" si="355"/>
        <v>Cooling Res 18 Year EUL</v>
      </c>
      <c r="BD1910" s="2829">
        <f>(INDEX('Avoided Cost Benefits'!$E$4:$E$859,MATCH(BC1910,'Avoided Cost Benefits'!$A$4:$A$859,0)))*F1910</f>
        <v>532.10071964375527</v>
      </c>
      <c r="BE1910" s="858">
        <f t="shared" si="350"/>
        <v>1136.0547428032091</v>
      </c>
      <c r="BF1910" s="156"/>
      <c r="BH1910" s="686"/>
    </row>
    <row r="1911" spans="1:60" x14ac:dyDescent="0.35">
      <c r="A1911" s="1071" t="str">
        <f t="shared" si="351"/>
        <v>355051_2019_12_Heating Res</v>
      </c>
      <c r="B1911" s="2812"/>
      <c r="C1911" s="1037" t="str">
        <f>C1910</f>
        <v>355051_2019_12_</v>
      </c>
      <c r="D1911" s="1311" t="s">
        <v>315</v>
      </c>
      <c r="E1911" s="3419" t="s">
        <v>1496</v>
      </c>
      <c r="F1911" s="615">
        <f>ROUND((($K$2128*$K$2321*(1/$K$2514-1/$K$2707)*$K$3672)/1000)*$K$3677,2)</f>
        <v>261.37</v>
      </c>
      <c r="G1911" s="1313" t="str">
        <f>G1909</f>
        <v>Heating Res</v>
      </c>
      <c r="H1911" s="136">
        <f>VLOOKUP(G1911,'CP FACTORS'!$A$3:$B$38, 2, FALSE)</f>
        <v>0</v>
      </c>
      <c r="I1911" s="3497">
        <f t="shared" si="352"/>
        <v>0</v>
      </c>
      <c r="J1911" s="124">
        <f t="shared" si="347"/>
        <v>18</v>
      </c>
      <c r="K1911" s="462">
        <f t="shared" si="348"/>
        <v>0</v>
      </c>
      <c r="L1911" s="689"/>
      <c r="M1911" s="103"/>
      <c r="N1911" s="1317"/>
      <c r="O1911" s="963"/>
      <c r="P1911" s="106"/>
      <c r="Q1911" s="106"/>
      <c r="R1911" s="1214"/>
      <c r="S1911" s="106"/>
      <c r="T1911" s="106"/>
      <c r="U1911" s="1319"/>
      <c r="V1911" s="3436" t="s">
        <v>30</v>
      </c>
      <c r="W1911" s="2914"/>
      <c r="X1911" s="685"/>
      <c r="Y1911" s="618">
        <v>261.37</v>
      </c>
      <c r="Z1911" s="615">
        <v>261.37</v>
      </c>
      <c r="AA1911" s="615">
        <v>261.37</v>
      </c>
      <c r="AB1911" s="3495">
        <v>261.37</v>
      </c>
      <c r="AC1911" s="2912">
        <v>261.37</v>
      </c>
      <c r="AD1911" s="615">
        <v>261.37</v>
      </c>
      <c r="AE1911" s="2914"/>
      <c r="AF1911" s="2914"/>
      <c r="AG1911" s="2914"/>
      <c r="AH1911" s="344"/>
      <c r="AI1911" s="156"/>
      <c r="AJ1911" s="3640"/>
      <c r="AK1911" s="2915"/>
      <c r="AL1911" s="156"/>
      <c r="AM1911" s="3640"/>
      <c r="AN1911" s="3640"/>
      <c r="AO1911" s="156"/>
      <c r="AP1911" s="156"/>
      <c r="AQ1911" s="156"/>
      <c r="AR1911" s="156"/>
      <c r="AS1911" s="156"/>
      <c r="AT1911" s="156"/>
      <c r="AU1911" s="156"/>
      <c r="AV1911" s="156"/>
      <c r="AW1911" s="156"/>
      <c r="AX1911" s="156"/>
      <c r="AY1911" s="156"/>
      <c r="AZ1911" s="156"/>
      <c r="BA1911" s="156"/>
      <c r="BB1911" s="2835"/>
      <c r="BC1911" s="687" t="str">
        <f t="shared" si="355"/>
        <v>Heating Res 18 Year EUL</v>
      </c>
      <c r="BD1911" s="2829">
        <f>(INDEX('Avoided Cost Benefits'!$E$4:$E$859,MATCH(BC1911,'Avoided Cost Benefits'!$A$4:$A$859,0)))*F1911</f>
        <v>116.53018306289431</v>
      </c>
      <c r="BE1911" s="858">
        <f t="shared" si="350"/>
        <v>0</v>
      </c>
      <c r="BF1911" s="156"/>
      <c r="BH1911" s="686"/>
    </row>
    <row r="1912" spans="1:60" x14ac:dyDescent="0.35">
      <c r="A1912" s="1071" t="str">
        <f t="shared" si="351"/>
        <v>355100_2019_12_Cooling Res</v>
      </c>
      <c r="B1912" s="2812"/>
      <c r="C1912" s="1037" t="s">
        <v>1497</v>
      </c>
      <c r="D1912" s="1311" t="s">
        <v>320</v>
      </c>
      <c r="E1912" s="590" t="s">
        <v>1498</v>
      </c>
      <c r="F1912" s="615">
        <f>ROUND(((K2901*K3094*(1/K3287-1/K3480)*K3673)/1000)*$K$3677,2)</f>
        <v>479.32</v>
      </c>
      <c r="G1912" s="1313" t="s">
        <v>1091</v>
      </c>
      <c r="H1912" s="136">
        <f>VLOOKUP(G1912,'CP FACTORS'!$A$3:$B$38, 2, FALSE)</f>
        <v>9.4741810000000004E-4</v>
      </c>
      <c r="I1912" s="3497">
        <f t="shared" si="352"/>
        <v>0.45411600000000002</v>
      </c>
      <c r="J1912" s="124">
        <f t="shared" si="347"/>
        <v>18</v>
      </c>
      <c r="K1912" s="462">
        <f t="shared" si="348"/>
        <v>1444.3799999999994</v>
      </c>
      <c r="L1912" s="689">
        <f>L2129</f>
        <v>3.3</v>
      </c>
      <c r="M1912" s="103"/>
      <c r="N1912" s="1317"/>
      <c r="O1912" s="963"/>
      <c r="P1912" s="106"/>
      <c r="Q1912" s="106"/>
      <c r="R1912" s="1214"/>
      <c r="S1912" s="106"/>
      <c r="T1912" s="106"/>
      <c r="U1912" s="1319"/>
      <c r="V1912" s="3436" t="s">
        <v>30</v>
      </c>
      <c r="W1912" s="2914">
        <v>479.31557142857133</v>
      </c>
      <c r="X1912" s="688">
        <v>479.31557142857133</v>
      </c>
      <c r="Y1912" s="615">
        <v>479.32</v>
      </c>
      <c r="Z1912" s="615">
        <v>479.32</v>
      </c>
      <c r="AA1912" s="615">
        <v>479.32</v>
      </c>
      <c r="AB1912" s="3495">
        <v>479.32</v>
      </c>
      <c r="AC1912" s="2912">
        <v>479.32</v>
      </c>
      <c r="AD1912" s="615">
        <v>479.32</v>
      </c>
      <c r="AE1912" s="2914"/>
      <c r="AF1912" s="2914"/>
      <c r="AG1912" s="2914"/>
      <c r="AH1912" s="344"/>
      <c r="AI1912" s="156"/>
      <c r="AJ1912" s="3640"/>
      <c r="AK1912" s="2915"/>
      <c r="AL1912" s="156"/>
      <c r="AM1912" s="3640"/>
      <c r="AN1912" s="3640"/>
      <c r="AO1912" s="156"/>
      <c r="AP1912" s="156"/>
      <c r="AQ1912" s="156"/>
      <c r="AR1912" s="156"/>
      <c r="AS1912" s="156"/>
      <c r="AT1912" s="156"/>
      <c r="AU1912" s="156"/>
      <c r="AV1912" s="156"/>
      <c r="AW1912" s="156"/>
      <c r="AX1912" s="156"/>
      <c r="AY1912" s="156"/>
      <c r="AZ1912" s="156"/>
      <c r="BA1912" s="156"/>
      <c r="BB1912" s="2833">
        <f>(BD1912+BD1913)/(BE1912+BE1913)</f>
        <v>0.86256771281985867</v>
      </c>
      <c r="BC1912" s="590" t="str">
        <f t="shared" si="355"/>
        <v>Cooling Res 18 Year EUL</v>
      </c>
      <c r="BD1912" s="2829">
        <f>(INDEX('Avoided Cost Benefits'!$E$4:$E$859,MATCH(BC1912,'Avoided Cost Benefits'!$A$4:$A$859,0)))*F1912</f>
        <v>834.08501844347165</v>
      </c>
      <c r="BE1912" s="858">
        <f t="shared" si="350"/>
        <v>1363.2656913638502</v>
      </c>
      <c r="BF1912" s="156"/>
      <c r="BH1912" s="686"/>
    </row>
    <row r="1913" spans="1:60" x14ac:dyDescent="0.35">
      <c r="A1913" s="1071" t="str">
        <f t="shared" si="351"/>
        <v>355100_2019_12_Heating Res</v>
      </c>
      <c r="B1913" s="2812"/>
      <c r="C1913" s="1037" t="s">
        <v>1497</v>
      </c>
      <c r="D1913" s="1311" t="s">
        <v>320</v>
      </c>
      <c r="E1913" s="687" t="s">
        <v>1498</v>
      </c>
      <c r="F1913" s="615">
        <f>ROUND(((K2129*K2322*(1/K2515-1/K2708)*K3673)/1000)*$K$3677,2)</f>
        <v>766.69</v>
      </c>
      <c r="G1913" s="1313" t="s">
        <v>1092</v>
      </c>
      <c r="H1913" s="136">
        <f>VLOOKUP(G1913,'CP FACTORS'!$A$3:$B$38, 2, FALSE)</f>
        <v>0</v>
      </c>
      <c r="I1913" s="3497">
        <f t="shared" si="352"/>
        <v>0</v>
      </c>
      <c r="J1913" s="124">
        <f t="shared" si="347"/>
        <v>18</v>
      </c>
      <c r="K1913" s="462">
        <f t="shared" si="348"/>
        <v>0</v>
      </c>
      <c r="L1913" s="689"/>
      <c r="M1913" s="103"/>
      <c r="N1913" s="1317"/>
      <c r="O1913" s="963"/>
      <c r="P1913" s="106"/>
      <c r="Q1913" s="106"/>
      <c r="R1913" s="1214"/>
      <c r="S1913" s="106"/>
      <c r="T1913" s="106"/>
      <c r="U1913" s="1319"/>
      <c r="V1913" s="3436" t="s">
        <v>30</v>
      </c>
      <c r="W1913" s="2914">
        <v>1029.6000000000013</v>
      </c>
      <c r="X1913" s="685">
        <v>766.69069188651167</v>
      </c>
      <c r="Y1913" s="615">
        <v>766.69</v>
      </c>
      <c r="Z1913" s="615">
        <v>766.69</v>
      </c>
      <c r="AA1913" s="615">
        <v>766.69</v>
      </c>
      <c r="AB1913" s="3495">
        <v>766.69</v>
      </c>
      <c r="AC1913" s="2912">
        <v>766.69</v>
      </c>
      <c r="AD1913" s="615">
        <v>766.69</v>
      </c>
      <c r="AE1913" s="2914"/>
      <c r="AF1913" s="2914"/>
      <c r="AG1913" s="2914"/>
      <c r="AH1913" s="344"/>
      <c r="AI1913" s="156"/>
      <c r="AJ1913" s="3640"/>
      <c r="AK1913" s="2915"/>
      <c r="AL1913" s="156"/>
      <c r="AM1913" s="3640"/>
      <c r="AN1913" s="3640"/>
      <c r="AO1913" s="156"/>
      <c r="AP1913" s="156"/>
      <c r="AQ1913" s="156"/>
      <c r="AR1913" s="156"/>
      <c r="AS1913" s="156"/>
      <c r="AT1913" s="156"/>
      <c r="AU1913" s="156"/>
      <c r="AV1913" s="156"/>
      <c r="AW1913" s="156"/>
      <c r="AX1913" s="156"/>
      <c r="AY1913" s="156"/>
      <c r="AZ1913" s="156"/>
      <c r="BA1913" s="156"/>
      <c r="BB1913" s="2835"/>
      <c r="BC1913" s="687" t="str">
        <f t="shared" si="355"/>
        <v>Heating Res 18 Year EUL</v>
      </c>
      <c r="BD1913" s="2829">
        <f>(INDEX('Avoided Cost Benefits'!$E$4:$E$859,MATCH(BC1913,'Avoided Cost Benefits'!$A$4:$A$859,0)))*F1913</f>
        <v>341.8239509220279</v>
      </c>
      <c r="BE1913" s="858">
        <f t="shared" si="350"/>
        <v>0</v>
      </c>
      <c r="BF1913" s="156"/>
      <c r="BH1913" s="686"/>
    </row>
    <row r="1914" spans="1:60" x14ac:dyDescent="0.35">
      <c r="A1914" s="1071" t="str">
        <f t="shared" si="351"/>
        <v>355101_2019_12_Cooling Res</v>
      </c>
      <c r="B1914" s="2812"/>
      <c r="C1914" s="1037" t="s">
        <v>1499</v>
      </c>
      <c r="D1914" s="1311" t="s">
        <v>315</v>
      </c>
      <c r="E1914" s="3418" t="s">
        <v>1500</v>
      </c>
      <c r="F1914" s="615">
        <f>ROUND((($K$2902*$K$3095*(1/$K$3288-1/$K$3481)*$K$3674)/1000)*$K$3677,2)</f>
        <v>348.59</v>
      </c>
      <c r="G1914" s="1313" t="str">
        <f>G1912</f>
        <v>Cooling Res</v>
      </c>
      <c r="H1914" s="136">
        <f>VLOOKUP(G1914,'CP FACTORS'!$A$3:$B$38, 2, FALSE)</f>
        <v>9.4741810000000004E-4</v>
      </c>
      <c r="I1914" s="3497">
        <f t="shared" si="352"/>
        <v>0.33026</v>
      </c>
      <c r="J1914" s="124">
        <f t="shared" si="347"/>
        <v>18</v>
      </c>
      <c r="K1914" s="462">
        <f t="shared" si="348"/>
        <v>1444.3799999999994</v>
      </c>
      <c r="L1914" s="689">
        <f>L2130</f>
        <v>3.3</v>
      </c>
      <c r="M1914" s="103"/>
      <c r="N1914" s="1317"/>
      <c r="O1914" s="963"/>
      <c r="P1914" s="106"/>
      <c r="Q1914" s="106"/>
      <c r="R1914" s="1214"/>
      <c r="S1914" s="106"/>
      <c r="T1914" s="106"/>
      <c r="U1914" s="1319"/>
      <c r="V1914" s="3436" t="s">
        <v>30</v>
      </c>
      <c r="W1914" s="2914"/>
      <c r="X1914" s="685"/>
      <c r="Y1914" s="618">
        <v>348.59</v>
      </c>
      <c r="Z1914" s="615">
        <v>348.59</v>
      </c>
      <c r="AA1914" s="615">
        <v>348.59</v>
      </c>
      <c r="AB1914" s="3495">
        <v>348.59</v>
      </c>
      <c r="AC1914" s="2912">
        <v>348.59</v>
      </c>
      <c r="AD1914" s="615">
        <v>348.59</v>
      </c>
      <c r="AE1914" s="2914"/>
      <c r="AF1914" s="2914"/>
      <c r="AG1914" s="2914"/>
      <c r="AH1914" s="344"/>
      <c r="AI1914" s="156"/>
      <c r="AJ1914" s="3640"/>
      <c r="AK1914" s="2915"/>
      <c r="AL1914" s="156"/>
      <c r="AM1914" s="3640"/>
      <c r="AN1914" s="3640"/>
      <c r="AO1914" s="156"/>
      <c r="AP1914" s="156"/>
      <c r="AQ1914" s="156"/>
      <c r="AR1914" s="156"/>
      <c r="AS1914" s="156"/>
      <c r="AT1914" s="156"/>
      <c r="AU1914" s="156"/>
      <c r="AV1914" s="156"/>
      <c r="AW1914" s="156"/>
      <c r="AX1914" s="156"/>
      <c r="AY1914" s="156"/>
      <c r="AZ1914" s="156"/>
      <c r="BA1914" s="156"/>
      <c r="BB1914" s="2833">
        <f>(BD1914+BD1915)/(BE1914+BE1915)</f>
        <v>0.53043687679633278</v>
      </c>
      <c r="BC1914" s="590" t="str">
        <f t="shared" si="355"/>
        <v>Cooling Res 18 Year EUL</v>
      </c>
      <c r="BD1914" s="2829">
        <f>(INDEX('Avoided Cost Benefits'!$E$4:$E$859,MATCH(BC1914,'Avoided Cost Benefits'!$A$4:$A$859,0)))*F1914</f>
        <v>606.59621250773966</v>
      </c>
      <c r="BE1914" s="858">
        <f t="shared" si="350"/>
        <v>1363.2656913638502</v>
      </c>
      <c r="BF1914" s="156"/>
      <c r="BH1914" s="686"/>
    </row>
    <row r="1915" spans="1:60" x14ac:dyDescent="0.35">
      <c r="A1915" s="1071" t="str">
        <f t="shared" si="351"/>
        <v>355101_2019_12_Heating Res</v>
      </c>
      <c r="B1915" s="2812"/>
      <c r="C1915" s="1037" t="str">
        <f>C1914</f>
        <v>355101_2019_12_</v>
      </c>
      <c r="D1915" s="1311" t="s">
        <v>315</v>
      </c>
      <c r="E1915" s="3419" t="s">
        <v>1500</v>
      </c>
      <c r="F1915" s="615">
        <f>ROUND((($K$2130*$K$2323*(1/$K$2516-1/$K$2709)*$K$3674)/1000)*$K$3677,2)</f>
        <v>261.37</v>
      </c>
      <c r="G1915" s="1313" t="str">
        <f>G1913</f>
        <v>Heating Res</v>
      </c>
      <c r="H1915" s="136">
        <f>VLOOKUP(G1915,'CP FACTORS'!$A$3:$B$38, 2, FALSE)</f>
        <v>0</v>
      </c>
      <c r="I1915" s="3497">
        <f t="shared" si="352"/>
        <v>0</v>
      </c>
      <c r="J1915" s="124">
        <f t="shared" si="347"/>
        <v>18</v>
      </c>
      <c r="K1915" s="462">
        <f t="shared" si="348"/>
        <v>0</v>
      </c>
      <c r="L1915" s="689"/>
      <c r="M1915" s="103"/>
      <c r="N1915" s="1317"/>
      <c r="O1915" s="963"/>
      <c r="P1915" s="106"/>
      <c r="Q1915" s="106"/>
      <c r="R1915" s="1214"/>
      <c r="S1915" s="106"/>
      <c r="T1915" s="106"/>
      <c r="U1915" s="1319"/>
      <c r="V1915" s="3436" t="s">
        <v>30</v>
      </c>
      <c r="W1915" s="2914"/>
      <c r="X1915" s="685"/>
      <c r="Y1915" s="618">
        <v>261.37</v>
      </c>
      <c r="Z1915" s="615">
        <v>261.37</v>
      </c>
      <c r="AA1915" s="615">
        <v>261.37</v>
      </c>
      <c r="AB1915" s="3495">
        <v>261.37</v>
      </c>
      <c r="AC1915" s="2912">
        <v>261.37</v>
      </c>
      <c r="AD1915" s="615">
        <v>261.37</v>
      </c>
      <c r="AE1915" s="2914"/>
      <c r="AF1915" s="2914"/>
      <c r="AG1915" s="2914"/>
      <c r="AH1915" s="344"/>
      <c r="AI1915" s="156"/>
      <c r="AJ1915" s="3640"/>
      <c r="AK1915" s="2915"/>
      <c r="AL1915" s="156"/>
      <c r="AM1915" s="3640"/>
      <c r="AN1915" s="3640"/>
      <c r="AO1915" s="156"/>
      <c r="AP1915" s="156"/>
      <c r="AQ1915" s="156"/>
      <c r="AR1915" s="156"/>
      <c r="AS1915" s="156"/>
      <c r="AT1915" s="156"/>
      <c r="AU1915" s="156"/>
      <c r="AV1915" s="156"/>
      <c r="AW1915" s="156"/>
      <c r="AX1915" s="156"/>
      <c r="AY1915" s="156"/>
      <c r="AZ1915" s="156"/>
      <c r="BA1915" s="156"/>
      <c r="BB1915" s="2835"/>
      <c r="BC1915" s="687" t="str">
        <f t="shared" si="355"/>
        <v>Heating Res 18 Year EUL</v>
      </c>
      <c r="BD1915" s="2829">
        <f>(INDEX('Avoided Cost Benefits'!$E$4:$E$859,MATCH(BC1915,'Avoided Cost Benefits'!$A$4:$A$859,0)))*F1915</f>
        <v>116.53018306289431</v>
      </c>
      <c r="BE1915" s="858">
        <f t="shared" si="350"/>
        <v>0</v>
      </c>
      <c r="BF1915" s="156"/>
      <c r="BH1915" s="686"/>
    </row>
    <row r="1916" spans="1:60" x14ac:dyDescent="0.35">
      <c r="A1916" s="1071" t="str">
        <f t="shared" si="351"/>
        <v>355150_2019_12_Cooling Res</v>
      </c>
      <c r="B1916" s="2812"/>
      <c r="C1916" s="1037" t="s">
        <v>1501</v>
      </c>
      <c r="D1916" s="1311" t="s">
        <v>320</v>
      </c>
      <c r="E1916" s="590" t="s">
        <v>1502</v>
      </c>
      <c r="F1916" s="615">
        <f>ROUND(((K2903*K3096*(1/K3289-1/K3482)*K3675)/1000)*$K$3677,2)</f>
        <v>532.57000000000005</v>
      </c>
      <c r="G1916" s="1313" t="s">
        <v>1091</v>
      </c>
      <c r="H1916" s="136">
        <f>VLOOKUP(G1916,'CP FACTORS'!$A$3:$B$38, 2, FALSE)</f>
        <v>9.4741810000000004E-4</v>
      </c>
      <c r="I1916" s="3497">
        <f t="shared" si="352"/>
        <v>0.50456599999999996</v>
      </c>
      <c r="J1916" s="124">
        <f t="shared" si="347"/>
        <v>18</v>
      </c>
      <c r="K1916" s="462">
        <f t="shared" si="348"/>
        <v>1689.9245999999991</v>
      </c>
      <c r="L1916" s="689">
        <f>L2131</f>
        <v>3.3</v>
      </c>
      <c r="M1916" s="103"/>
      <c r="N1916" s="1317"/>
      <c r="O1916" s="963"/>
      <c r="P1916" s="106"/>
      <c r="Q1916" s="106"/>
      <c r="R1916" s="1214"/>
      <c r="S1916" s="106"/>
      <c r="T1916" s="106"/>
      <c r="U1916" s="1319"/>
      <c r="V1916" s="3436" t="s">
        <v>30</v>
      </c>
      <c r="W1916" s="2914">
        <v>532.57285714285706</v>
      </c>
      <c r="X1916" s="688">
        <v>532.57285714285706</v>
      </c>
      <c r="Y1916" s="615">
        <v>532.57000000000005</v>
      </c>
      <c r="Z1916" s="615">
        <v>532.57000000000005</v>
      </c>
      <c r="AA1916" s="615">
        <v>532.57000000000005</v>
      </c>
      <c r="AB1916" s="3495">
        <v>532.57000000000005</v>
      </c>
      <c r="AC1916" s="2912">
        <v>532.57000000000005</v>
      </c>
      <c r="AD1916" s="615">
        <v>532.57000000000005</v>
      </c>
      <c r="AE1916" s="2914"/>
      <c r="AF1916" s="2914"/>
      <c r="AG1916" s="2914"/>
      <c r="AH1916" s="344"/>
      <c r="AI1916" s="156"/>
      <c r="AJ1916" s="3640"/>
      <c r="AK1916" s="2915"/>
      <c r="AL1916" s="156"/>
      <c r="AM1916" s="3640"/>
      <c r="AN1916" s="3640"/>
      <c r="AO1916" s="156"/>
      <c r="AP1916" s="156"/>
      <c r="AQ1916" s="156"/>
      <c r="AR1916" s="156"/>
      <c r="AS1916" s="156"/>
      <c r="AT1916" s="156"/>
      <c r="AU1916" s="156"/>
      <c r="AV1916" s="156"/>
      <c r="AW1916" s="156"/>
      <c r="AX1916" s="156"/>
      <c r="AY1916" s="156"/>
      <c r="AZ1916" s="156"/>
      <c r="BA1916" s="156"/>
      <c r="BB1916" s="2833">
        <f>(BD1916+BD1917)/(BE1916+BE1917)</f>
        <v>0.79533226227766962</v>
      </c>
      <c r="BC1916" s="590" t="str">
        <f t="shared" si="355"/>
        <v>Cooling Res 18 Year EUL</v>
      </c>
      <c r="BD1916" s="2829">
        <f>(INDEX('Avoided Cost Benefits'!$E$4:$E$859,MATCH(BC1916,'Avoided Cost Benefits'!$A$4:$A$859,0)))*F1916</f>
        <v>926.74759716356459</v>
      </c>
      <c r="BE1916" s="858">
        <f t="shared" si="350"/>
        <v>1595.0208588957046</v>
      </c>
      <c r="BF1916" s="156"/>
      <c r="BH1916" s="686"/>
    </row>
    <row r="1917" spans="1:60" x14ac:dyDescent="0.35">
      <c r="A1917" s="1071" t="str">
        <f t="shared" si="351"/>
        <v>355150_2019_12_Heating Res</v>
      </c>
      <c r="B1917" s="2812"/>
      <c r="C1917" s="1037" t="s">
        <v>1501</v>
      </c>
      <c r="D1917" s="1311" t="s">
        <v>320</v>
      </c>
      <c r="E1917" s="687" t="s">
        <v>1502</v>
      </c>
      <c r="F1917" s="615">
        <f>ROUND(((K2131*K2324*(1/K2517-1/K2710)*K3675)/1000)*$K$3677,2)</f>
        <v>766.69</v>
      </c>
      <c r="G1917" s="1313" t="s">
        <v>1092</v>
      </c>
      <c r="H1917" s="136">
        <f>VLOOKUP(G1917,'CP FACTORS'!$A$3:$B$38, 2, FALSE)</f>
        <v>0</v>
      </c>
      <c r="I1917" s="3497">
        <f t="shared" si="352"/>
        <v>0</v>
      </c>
      <c r="J1917" s="124">
        <f t="shared" si="347"/>
        <v>18</v>
      </c>
      <c r="K1917" s="462">
        <f t="shared" si="348"/>
        <v>0</v>
      </c>
      <c r="L1917" s="689"/>
      <c r="M1917" s="103"/>
      <c r="N1917" s="1317"/>
      <c r="O1917" s="963"/>
      <c r="P1917" s="106"/>
      <c r="Q1917" s="106"/>
      <c r="R1917" s="1214"/>
      <c r="S1917" s="106"/>
      <c r="T1917" s="106"/>
      <c r="U1917" s="1319"/>
      <c r="V1917" s="3436" t="s">
        <v>30</v>
      </c>
      <c r="W1917" s="2914">
        <v>1029.6000000000013</v>
      </c>
      <c r="X1917" s="685">
        <v>766.69069188651167</v>
      </c>
      <c r="Y1917" s="615">
        <v>766.69</v>
      </c>
      <c r="Z1917" s="615">
        <v>766.69</v>
      </c>
      <c r="AA1917" s="615">
        <v>766.69</v>
      </c>
      <c r="AB1917" s="3495">
        <v>766.69</v>
      </c>
      <c r="AC1917" s="2912">
        <v>766.69</v>
      </c>
      <c r="AD1917" s="615">
        <v>766.69</v>
      </c>
      <c r="AE1917" s="2914"/>
      <c r="AF1917" s="2914"/>
      <c r="AG1917" s="2914"/>
      <c r="AH1917" s="344"/>
      <c r="AI1917" s="156"/>
      <c r="AJ1917" s="3640"/>
      <c r="AK1917" s="2915"/>
      <c r="AL1917" s="156"/>
      <c r="AM1917" s="3640"/>
      <c r="AN1917" s="3640"/>
      <c r="AO1917" s="156"/>
      <c r="AP1917" s="156"/>
      <c r="AQ1917" s="156"/>
      <c r="AR1917" s="156"/>
      <c r="AS1917" s="156"/>
      <c r="AT1917" s="156"/>
      <c r="AU1917" s="156"/>
      <c r="AV1917" s="156"/>
      <c r="AW1917" s="156"/>
      <c r="AX1917" s="156"/>
      <c r="AY1917" s="156"/>
      <c r="AZ1917" s="156"/>
      <c r="BA1917" s="156"/>
      <c r="BB1917" s="2835"/>
      <c r="BC1917" s="687" t="str">
        <f t="shared" si="355"/>
        <v>Heating Res 18 Year EUL</v>
      </c>
      <c r="BD1917" s="2829">
        <f>(INDEX('Avoided Cost Benefits'!$E$4:$E$859,MATCH(BC1917,'Avoided Cost Benefits'!$A$4:$A$859,0)))*F1917</f>
        <v>341.8239509220279</v>
      </c>
      <c r="BE1917" s="858">
        <f t="shared" si="350"/>
        <v>0</v>
      </c>
      <c r="BF1917" s="156"/>
      <c r="BH1917" s="686"/>
    </row>
    <row r="1918" spans="1:60" x14ac:dyDescent="0.35">
      <c r="A1918" s="1071" t="str">
        <f t="shared" si="351"/>
        <v>355151_2019_12_Cooling Res</v>
      </c>
      <c r="B1918" s="3074"/>
      <c r="C1918" s="1037" t="s">
        <v>1503</v>
      </c>
      <c r="D1918" s="1311" t="s">
        <v>315</v>
      </c>
      <c r="E1918" s="3418" t="s">
        <v>1504</v>
      </c>
      <c r="F1918" s="615">
        <f>ROUND((($K$2904*$K$3097*(1/$K$3290-1/$K$3483)*$K$3676)/1000)*$K$3677,2)</f>
        <v>387.33</v>
      </c>
      <c r="G1918" s="1313" t="str">
        <f>G1916</f>
        <v>Cooling Res</v>
      </c>
      <c r="H1918" s="136">
        <f>VLOOKUP(G1918,'CP FACTORS'!$A$3:$B$38, 2, FALSE)</f>
        <v>9.4741810000000004E-4</v>
      </c>
      <c r="I1918" s="3497">
        <f t="shared" si="352"/>
        <v>0.36696299999999998</v>
      </c>
      <c r="J1918" s="124">
        <f t="shared" si="347"/>
        <v>18</v>
      </c>
      <c r="K1918" s="462">
        <f t="shared" si="348"/>
        <v>1689.9245999999991</v>
      </c>
      <c r="L1918" s="689">
        <f>L2132</f>
        <v>3.3</v>
      </c>
      <c r="M1918" s="103"/>
      <c r="N1918" s="1317"/>
      <c r="O1918" s="963"/>
      <c r="P1918" s="106"/>
      <c r="Q1918" s="106"/>
      <c r="R1918" s="1214"/>
      <c r="S1918" s="106"/>
      <c r="T1918" s="106"/>
      <c r="U1918" s="1319"/>
      <c r="V1918" s="3436" t="s">
        <v>30</v>
      </c>
      <c r="W1918" s="2914"/>
      <c r="X1918" s="688"/>
      <c r="Y1918" s="618">
        <v>387.33</v>
      </c>
      <c r="Z1918" s="615">
        <v>387.33</v>
      </c>
      <c r="AA1918" s="615">
        <v>387.33</v>
      </c>
      <c r="AB1918" s="3495">
        <v>387.33</v>
      </c>
      <c r="AC1918" s="2912">
        <v>387.33</v>
      </c>
      <c r="AD1918" s="615">
        <v>387.33</v>
      </c>
      <c r="AE1918" s="2914"/>
      <c r="AF1918" s="2914"/>
      <c r="AG1918" s="2914"/>
      <c r="AH1918" s="344"/>
      <c r="AI1918" s="156"/>
      <c r="AJ1918" s="3640"/>
      <c r="AK1918" s="2915"/>
      <c r="AL1918" s="156"/>
      <c r="AM1918" s="3640"/>
      <c r="AN1918" s="3640"/>
      <c r="AO1918" s="156"/>
      <c r="AP1918" s="156"/>
      <c r="AQ1918" s="156"/>
      <c r="AR1918" s="156"/>
      <c r="AS1918" s="156"/>
      <c r="AT1918" s="156"/>
      <c r="AU1918" s="156"/>
      <c r="AV1918" s="156"/>
      <c r="AW1918" s="156"/>
      <c r="AX1918" s="156"/>
      <c r="AY1918" s="156"/>
      <c r="AZ1918" s="156"/>
      <c r="BA1918" s="156"/>
      <c r="BB1918" s="2833">
        <f>(BD1918+BD1919)/(BE1918+BE1919)</f>
        <v>0.49562957422749632</v>
      </c>
      <c r="BC1918" s="590" t="str">
        <f t="shared" si="355"/>
        <v>Cooling Res 18 Year EUL</v>
      </c>
      <c r="BD1918" s="2829">
        <f>(INDEX('Avoided Cost Benefits'!$E$4:$E$859,MATCH(BC1918,'Avoided Cost Benefits'!$A$4:$A$859,0)))*F1918</f>
        <v>674.00932611555925</v>
      </c>
      <c r="BE1918" s="858">
        <f t="shared" si="350"/>
        <v>1595.0208588957046</v>
      </c>
      <c r="BF1918" s="156"/>
      <c r="BH1918" s="686"/>
    </row>
    <row r="1919" spans="1:60" x14ac:dyDescent="0.35">
      <c r="A1919" s="1071" t="str">
        <f t="shared" si="351"/>
        <v>355151_2019_12_Heating Res</v>
      </c>
      <c r="B1919" s="2812"/>
      <c r="C1919" s="1037" t="str">
        <f>C1918</f>
        <v>355151_2019_12_</v>
      </c>
      <c r="D1919" s="1311" t="s">
        <v>315</v>
      </c>
      <c r="E1919" s="3419" t="s">
        <v>1504</v>
      </c>
      <c r="F1919" s="615">
        <f>ROUND((($K$2132*$K$2325*(1/$K$2518-1/$K$2711)*$K$3676)/1000)*$K$3677,2)</f>
        <v>261.37</v>
      </c>
      <c r="G1919" s="1313" t="str">
        <f>G1917</f>
        <v>Heating Res</v>
      </c>
      <c r="H1919" s="136">
        <f>VLOOKUP(G1919,'CP FACTORS'!$A$3:$B$38, 2, FALSE)</f>
        <v>0</v>
      </c>
      <c r="I1919" s="3497">
        <f t="shared" si="352"/>
        <v>0</v>
      </c>
      <c r="J1919" s="124">
        <f t="shared" si="347"/>
        <v>18</v>
      </c>
      <c r="K1919" s="462">
        <f t="shared" si="348"/>
        <v>0</v>
      </c>
      <c r="L1919" s="689"/>
      <c r="M1919" s="103"/>
      <c r="N1919" s="1317"/>
      <c r="O1919" s="963"/>
      <c r="P1919" s="106"/>
      <c r="Q1919" s="106"/>
      <c r="R1919" s="1214"/>
      <c r="S1919" s="106"/>
      <c r="T1919" s="106"/>
      <c r="U1919" s="1319"/>
      <c r="V1919" s="3436" t="s">
        <v>30</v>
      </c>
      <c r="W1919" s="2914"/>
      <c r="X1919" s="685"/>
      <c r="Y1919" s="618">
        <v>261.37</v>
      </c>
      <c r="Z1919" s="615">
        <v>261.37</v>
      </c>
      <c r="AA1919" s="615">
        <v>261.37</v>
      </c>
      <c r="AB1919" s="3495">
        <v>261.37</v>
      </c>
      <c r="AC1919" s="2912">
        <v>261.37</v>
      </c>
      <c r="AD1919" s="615">
        <v>261.37</v>
      </c>
      <c r="AE1919" s="2914"/>
      <c r="AF1919" s="2914"/>
      <c r="AG1919" s="2914"/>
      <c r="AH1919" s="344"/>
      <c r="AI1919" s="156"/>
      <c r="AJ1919" s="3640"/>
      <c r="AK1919" s="2915"/>
      <c r="AL1919" s="156"/>
      <c r="AM1919" s="3640"/>
      <c r="AN1919" s="3640"/>
      <c r="AO1919" s="156"/>
      <c r="AP1919" s="156"/>
      <c r="AQ1919" s="156"/>
      <c r="AR1919" s="156"/>
      <c r="AS1919" s="156"/>
      <c r="AT1919" s="156"/>
      <c r="AU1919" s="156"/>
      <c r="AV1919" s="156"/>
      <c r="AW1919" s="156"/>
      <c r="AX1919" s="156"/>
      <c r="AY1919" s="156"/>
      <c r="AZ1919" s="156"/>
      <c r="BA1919" s="156"/>
      <c r="BB1919" s="2836"/>
      <c r="BC1919" s="687" t="str">
        <f t="shared" si="355"/>
        <v>Heating Res 18 Year EUL</v>
      </c>
      <c r="BD1919" s="2871">
        <f>(INDEX('Avoided Cost Benefits'!$E$4:$E$859,MATCH(BC1919,'Avoided Cost Benefits'!$A$4:$A$859,0)))*F1919</f>
        <v>116.53018306289431</v>
      </c>
      <c r="BE1919" s="860">
        <f t="shared" si="350"/>
        <v>0</v>
      </c>
      <c r="BF1919" s="156"/>
      <c r="BH1919" s="686"/>
    </row>
    <row r="1920" spans="1:60" outlineLevel="1" x14ac:dyDescent="0.35">
      <c r="A1920" s="1071"/>
      <c r="B1920" s="106"/>
      <c r="C1920" s="103"/>
      <c r="D1920" s="292"/>
      <c r="E1920" s="292" t="s">
        <v>1085</v>
      </c>
      <c r="F1920" s="1242"/>
      <c r="G1920" s="1309"/>
      <c r="H1920" s="103"/>
      <c r="I1920" s="103"/>
      <c r="J1920" s="103"/>
      <c r="K1920" s="103"/>
      <c r="L1920" s="103"/>
      <c r="M1920" s="103"/>
      <c r="N1920" s="103"/>
      <c r="O1920" s="106"/>
      <c r="P1920" s="106"/>
      <c r="Q1920" s="292"/>
      <c r="R1920" s="106"/>
      <c r="S1920" s="106"/>
      <c r="T1920" s="106"/>
      <c r="U1920" s="106"/>
      <c r="V1920" s="106"/>
      <c r="W1920" s="156"/>
      <c r="X1920" s="156"/>
      <c r="Y1920" s="156"/>
      <c r="Z1920" s="156"/>
      <c r="AA1920" s="156"/>
      <c r="AB1920" s="156"/>
      <c r="AC1920" s="156"/>
      <c r="AD1920" s="156"/>
      <c r="AE1920" s="156"/>
      <c r="AF1920" s="156"/>
      <c r="AG1920" s="156"/>
      <c r="AH1920" s="156"/>
      <c r="AI1920" s="156"/>
      <c r="AJ1920" s="156"/>
      <c r="AK1920" s="156"/>
      <c r="AL1920" s="156"/>
      <c r="AM1920" s="156"/>
      <c r="AN1920" s="156"/>
      <c r="AO1920" s="156"/>
      <c r="AP1920" s="156"/>
      <c r="AQ1920" s="156"/>
      <c r="AR1920" s="156"/>
      <c r="AS1920" s="156"/>
      <c r="AT1920" s="156"/>
      <c r="AU1920" s="156"/>
      <c r="AV1920" s="156"/>
      <c r="AW1920" s="156"/>
      <c r="AX1920" s="156"/>
      <c r="AY1920" s="156"/>
      <c r="AZ1920" s="156"/>
      <c r="BA1920" s="156"/>
      <c r="BB1920" s="2828"/>
      <c r="BC1920" s="690"/>
      <c r="BD1920" s="2829"/>
      <c r="BE1920" s="2837"/>
      <c r="BF1920" s="156"/>
    </row>
    <row r="1921" spans="1:58" outlineLevel="1" x14ac:dyDescent="0.35">
      <c r="A1921" s="1071"/>
      <c r="B1921" s="106"/>
      <c r="C1921" s="103"/>
      <c r="D1921" s="292"/>
      <c r="E1921" s="292" t="s">
        <v>4144</v>
      </c>
      <c r="F1921" s="1242"/>
      <c r="G1921" s="1309"/>
      <c r="H1921" s="103"/>
      <c r="I1921" s="103"/>
      <c r="J1921" s="103"/>
      <c r="K1921" s="103"/>
      <c r="L1921" s="103"/>
      <c r="M1921" s="103"/>
      <c r="N1921" s="103"/>
      <c r="O1921" s="106"/>
      <c r="P1921" s="106"/>
      <c r="Q1921" s="292"/>
      <c r="R1921" s="106"/>
      <c r="S1921" s="106"/>
      <c r="T1921" s="106"/>
      <c r="U1921" s="106"/>
      <c r="V1921" s="106"/>
      <c r="W1921" s="156"/>
      <c r="X1921" s="156"/>
      <c r="Y1921" s="156"/>
      <c r="Z1921" s="156"/>
      <c r="AA1921" s="156"/>
      <c r="AB1921" s="156"/>
      <c r="AC1921" s="156"/>
      <c r="AD1921" s="156"/>
      <c r="AE1921" s="156"/>
      <c r="AF1921" s="156"/>
      <c r="AG1921" s="156"/>
      <c r="AH1921" s="156"/>
      <c r="AI1921" s="156"/>
      <c r="AJ1921" s="156"/>
      <c r="AK1921" s="156"/>
      <c r="AL1921" s="156"/>
      <c r="AM1921" s="156"/>
      <c r="AN1921" s="156"/>
      <c r="AO1921" s="156"/>
      <c r="AP1921" s="156"/>
      <c r="AQ1921" s="156"/>
      <c r="AR1921" s="156"/>
      <c r="AS1921" s="156"/>
      <c r="AT1921" s="156"/>
      <c r="AU1921" s="156"/>
      <c r="AV1921" s="156"/>
      <c r="AW1921" s="156"/>
      <c r="AX1921" s="156"/>
      <c r="AY1921" s="156"/>
      <c r="AZ1921" s="156"/>
      <c r="BA1921" s="156"/>
      <c r="BB1921" s="2828"/>
      <c r="BC1921" s="452"/>
      <c r="BD1921" s="2829"/>
      <c r="BE1921" s="2837"/>
      <c r="BF1921" s="156"/>
    </row>
    <row r="1922" spans="1:58" outlineLevel="1" x14ac:dyDescent="0.35">
      <c r="A1922" s="1071"/>
      <c r="B1922" s="106"/>
      <c r="C1922" s="103"/>
      <c r="D1922" s="152" t="s">
        <v>107</v>
      </c>
      <c r="E1922" s="292"/>
      <c r="F1922" s="106"/>
      <c r="G1922" s="292"/>
      <c r="H1922" s="106"/>
      <c r="I1922" s="106"/>
      <c r="J1922" s="106"/>
      <c r="K1922" s="106"/>
      <c r="L1922" s="106"/>
      <c r="M1922" s="106"/>
      <c r="N1922" s="3260"/>
      <c r="O1922" s="106"/>
      <c r="P1922" s="106"/>
      <c r="Q1922" s="106"/>
      <c r="R1922" s="106"/>
      <c r="S1922" s="106"/>
      <c r="T1922" s="106"/>
      <c r="U1922" s="106"/>
      <c r="V1922" s="106"/>
      <c r="W1922" s="156"/>
      <c r="X1922" s="156"/>
      <c r="Y1922" s="156"/>
      <c r="Z1922" s="156"/>
      <c r="AA1922" s="156"/>
      <c r="AB1922" s="156"/>
      <c r="AC1922" s="156"/>
      <c r="AD1922" s="156"/>
      <c r="AE1922" s="156"/>
      <c r="AF1922" s="156"/>
      <c r="AG1922" s="156"/>
      <c r="AH1922" s="156"/>
      <c r="AI1922" s="156"/>
      <c r="AJ1922" s="156"/>
      <c r="AK1922" s="156"/>
      <c r="AL1922" s="156"/>
      <c r="AM1922" s="156"/>
      <c r="AN1922" s="156"/>
      <c r="AO1922" s="156"/>
      <c r="AP1922" s="156"/>
      <c r="AQ1922" s="156"/>
      <c r="AR1922" s="156"/>
      <c r="AS1922" s="156"/>
      <c r="AT1922" s="156"/>
      <c r="AU1922" s="156"/>
      <c r="AV1922" s="156"/>
      <c r="AW1922" s="156"/>
      <c r="AX1922" s="156"/>
      <c r="AY1922" s="156"/>
      <c r="AZ1922" s="156"/>
      <c r="BA1922" s="156"/>
      <c r="BB1922" s="2828"/>
      <c r="BC1922" s="452"/>
      <c r="BD1922" s="2829"/>
      <c r="BE1922" s="2837"/>
      <c r="BF1922" s="156"/>
    </row>
    <row r="1923" spans="1:58" outlineLevel="1" x14ac:dyDescent="0.35">
      <c r="A1923" s="1071"/>
      <c r="B1923" s="106"/>
      <c r="C1923" s="103"/>
      <c r="D1923" s="292"/>
      <c r="E1923" s="292"/>
      <c r="F1923" s="106"/>
      <c r="G1923" s="292"/>
      <c r="H1923" s="103"/>
      <c r="I1923" s="106"/>
      <c r="J1923" s="106"/>
      <c r="K1923" s="106"/>
      <c r="L1923" s="106"/>
      <c r="M1923" s="106"/>
      <c r="N1923" s="106"/>
      <c r="O1923" s="106"/>
      <c r="P1923" s="106"/>
      <c r="Q1923" s="106"/>
      <c r="R1923" s="106"/>
      <c r="S1923" s="106"/>
      <c r="T1923" s="106"/>
      <c r="U1923" s="106"/>
      <c r="V1923" s="106"/>
      <c r="W1923" s="156"/>
      <c r="X1923" s="156"/>
      <c r="Y1923" s="156"/>
      <c r="Z1923" s="156"/>
      <c r="AA1923" s="156"/>
      <c r="AB1923" s="156"/>
      <c r="AC1923" s="156"/>
      <c r="AD1923" s="156"/>
      <c r="AE1923" s="156"/>
      <c r="AF1923" s="156"/>
      <c r="AG1923" s="156"/>
      <c r="AH1923" s="156"/>
      <c r="AI1923" s="156"/>
      <c r="AJ1923" s="156"/>
      <c r="AK1923" s="156"/>
      <c r="AL1923" s="156"/>
      <c r="AM1923" s="156"/>
      <c r="AN1923" s="156"/>
      <c r="AO1923" s="156"/>
      <c r="AP1923" s="156"/>
      <c r="AQ1923" s="156"/>
      <c r="AR1923" s="156"/>
      <c r="AS1923" s="156"/>
      <c r="AT1923" s="156"/>
      <c r="AU1923" s="156"/>
      <c r="AV1923" s="156"/>
      <c r="AW1923" s="156"/>
      <c r="AX1923" s="156"/>
      <c r="AY1923" s="156"/>
      <c r="AZ1923" s="156"/>
      <c r="BA1923" s="156"/>
      <c r="BB1923" s="2828"/>
      <c r="BC1923" s="452"/>
      <c r="BD1923" s="2829"/>
      <c r="BE1923" s="2837"/>
      <c r="BF1923" s="156"/>
    </row>
    <row r="1924" spans="1:58" outlineLevel="1" x14ac:dyDescent="0.35">
      <c r="A1924" s="1071"/>
      <c r="B1924" s="106"/>
      <c r="C1924" s="103"/>
      <c r="D1924" s="292"/>
      <c r="E1924" s="292"/>
      <c r="F1924" s="106"/>
      <c r="G1924" s="292"/>
      <c r="H1924" s="103"/>
      <c r="I1924" s="106"/>
      <c r="J1924" s="106"/>
      <c r="K1924" s="106"/>
      <c r="L1924" s="106"/>
      <c r="M1924" s="106"/>
      <c r="N1924" s="106"/>
      <c r="O1924" s="106"/>
      <c r="P1924" s="106"/>
      <c r="Q1924" s="106"/>
      <c r="R1924" s="106"/>
      <c r="S1924" s="106"/>
      <c r="T1924" s="106"/>
      <c r="U1924" s="106"/>
      <c r="V1924" s="106"/>
      <c r="W1924" s="156"/>
      <c r="X1924" s="156"/>
      <c r="Y1924" s="156"/>
      <c r="Z1924" s="156"/>
      <c r="AA1924" s="156"/>
      <c r="AB1924" s="156"/>
      <c r="AC1924" s="156"/>
      <c r="AD1924" s="156"/>
      <c r="AE1924" s="156"/>
      <c r="AF1924" s="156"/>
      <c r="AG1924" s="156"/>
      <c r="AH1924" s="156"/>
      <c r="AI1924" s="156"/>
      <c r="AJ1924" s="156"/>
      <c r="AK1924" s="156"/>
      <c r="AL1924" s="156"/>
      <c r="AM1924" s="156"/>
      <c r="AN1924" s="156"/>
      <c r="AO1924" s="156"/>
      <c r="AP1924" s="156"/>
      <c r="AQ1924" s="156"/>
      <c r="AR1924" s="156"/>
      <c r="AS1924" s="156"/>
      <c r="AT1924" s="156"/>
      <c r="AU1924" s="156"/>
      <c r="AV1924" s="156"/>
      <c r="AW1924" s="156"/>
      <c r="AX1924" s="156"/>
      <c r="AY1924" s="156"/>
      <c r="AZ1924" s="156"/>
      <c r="BA1924" s="156"/>
      <c r="BB1924" s="2828"/>
      <c r="BC1924" s="452"/>
      <c r="BD1924" s="2829"/>
      <c r="BE1924" s="2837"/>
      <c r="BF1924" s="156"/>
    </row>
    <row r="1925" spans="1:58" outlineLevel="1" x14ac:dyDescent="0.35">
      <c r="A1925" s="1071"/>
      <c r="B1925" s="106"/>
      <c r="C1925" s="103"/>
      <c r="D1925" s="292"/>
      <c r="E1925" s="292"/>
      <c r="F1925" s="106"/>
      <c r="G1925" s="292"/>
      <c r="H1925" s="103"/>
      <c r="I1925" s="106"/>
      <c r="J1925" s="106"/>
      <c r="K1925" s="106"/>
      <c r="L1925" s="106"/>
      <c r="M1925" s="106"/>
      <c r="N1925" s="106"/>
      <c r="O1925" s="106"/>
      <c r="P1925" s="106"/>
      <c r="Q1925" s="452"/>
      <c r="R1925" s="452"/>
      <c r="S1925" s="452"/>
      <c r="T1925" s="452"/>
      <c r="U1925" s="106"/>
      <c r="V1925" s="106"/>
      <c r="W1925" s="156"/>
      <c r="X1925" s="156"/>
      <c r="Y1925" s="156"/>
      <c r="Z1925" s="156"/>
      <c r="AA1925" s="156"/>
      <c r="AB1925" s="156"/>
      <c r="AC1925" s="156"/>
      <c r="AD1925" s="156"/>
      <c r="AE1925" s="156"/>
      <c r="AF1925" s="156"/>
      <c r="AG1925" s="156"/>
      <c r="AH1925" s="156"/>
      <c r="AI1925" s="156"/>
      <c r="AJ1925" s="156"/>
      <c r="AK1925" s="156"/>
      <c r="AL1925" s="156"/>
      <c r="AM1925" s="156"/>
      <c r="AN1925" s="156"/>
      <c r="AO1925" s="156"/>
      <c r="AP1925" s="156"/>
      <c r="AQ1925" s="156"/>
      <c r="AR1925" s="156"/>
      <c r="AS1925" s="156"/>
      <c r="AT1925" s="156"/>
      <c r="AU1925" s="156"/>
      <c r="AV1925" s="156"/>
      <c r="AW1925" s="156"/>
      <c r="AX1925" s="156"/>
      <c r="AY1925" s="156"/>
      <c r="AZ1925" s="156"/>
      <c r="BA1925" s="156"/>
      <c r="BB1925" s="2828"/>
      <c r="BC1925" s="452"/>
      <c r="BD1925" s="2829"/>
      <c r="BE1925" s="2837"/>
      <c r="BF1925" s="156"/>
    </row>
    <row r="1926" spans="1:58" outlineLevel="1" x14ac:dyDescent="0.35">
      <c r="A1926" s="1071"/>
      <c r="B1926" s="106"/>
      <c r="C1926" s="103"/>
      <c r="D1926" s="292"/>
      <c r="E1926" s="292"/>
      <c r="F1926" s="106"/>
      <c r="G1926" s="292"/>
      <c r="H1926" s="103"/>
      <c r="I1926" s="106"/>
      <c r="J1926" s="106"/>
      <c r="K1926" s="106"/>
      <c r="L1926" s="106"/>
      <c r="M1926" s="106"/>
      <c r="N1926" s="106"/>
      <c r="O1926" s="106"/>
      <c r="P1926" s="106"/>
      <c r="Q1926" s="452"/>
      <c r="R1926" s="452"/>
      <c r="S1926" s="452"/>
      <c r="T1926" s="452"/>
      <c r="U1926" s="106"/>
      <c r="V1926" s="106"/>
      <c r="W1926" s="156"/>
      <c r="X1926" s="156"/>
      <c r="Y1926" s="156"/>
      <c r="Z1926" s="156"/>
      <c r="AA1926" s="156"/>
      <c r="AB1926" s="156"/>
      <c r="AC1926" s="156"/>
      <c r="AD1926" s="156"/>
      <c r="AE1926" s="156"/>
      <c r="AF1926" s="156"/>
      <c r="AG1926" s="156"/>
      <c r="AH1926" s="156"/>
      <c r="AI1926" s="156"/>
      <c r="AJ1926" s="156"/>
      <c r="AK1926" s="156"/>
      <c r="AL1926" s="156"/>
      <c r="AM1926" s="156"/>
      <c r="AN1926" s="156"/>
      <c r="AO1926" s="156"/>
      <c r="AP1926" s="156"/>
      <c r="AQ1926" s="156"/>
      <c r="AR1926" s="156"/>
      <c r="AS1926" s="156"/>
      <c r="AT1926" s="156"/>
      <c r="AU1926" s="156"/>
      <c r="AV1926" s="156"/>
      <c r="AW1926" s="156"/>
      <c r="AX1926" s="156"/>
      <c r="AY1926" s="156"/>
      <c r="AZ1926" s="156"/>
      <c r="BA1926" s="156"/>
      <c r="BB1926" s="2828"/>
      <c r="BC1926" s="452"/>
      <c r="BD1926" s="2829"/>
      <c r="BE1926" s="2837"/>
      <c r="BF1926" s="156"/>
    </row>
    <row r="1927" spans="1:58" outlineLevel="1" x14ac:dyDescent="0.35">
      <c r="A1927" s="1071"/>
      <c r="B1927" s="106"/>
      <c r="C1927" s="103"/>
      <c r="D1927" s="292"/>
      <c r="E1927" s="292"/>
      <c r="F1927" s="106"/>
      <c r="G1927" s="292"/>
      <c r="H1927" s="103"/>
      <c r="I1927" s="106"/>
      <c r="J1927" s="106"/>
      <c r="K1927" s="106"/>
      <c r="L1927" s="106"/>
      <c r="M1927" s="106"/>
      <c r="N1927" s="106"/>
      <c r="O1927" s="106"/>
      <c r="P1927" s="106"/>
      <c r="Q1927" s="452"/>
      <c r="R1927" s="452"/>
      <c r="S1927" s="452"/>
      <c r="T1927" s="452"/>
      <c r="U1927" s="106"/>
      <c r="V1927" s="106"/>
      <c r="W1927" s="156"/>
      <c r="X1927" s="156"/>
      <c r="Y1927" s="156"/>
      <c r="Z1927" s="156"/>
      <c r="AA1927" s="156"/>
      <c r="AB1927" s="156"/>
      <c r="AC1927" s="156"/>
      <c r="AD1927" s="156"/>
      <c r="AE1927" s="156"/>
      <c r="AF1927" s="156"/>
      <c r="AG1927" s="156"/>
      <c r="AH1927" s="156"/>
      <c r="AI1927" s="156"/>
      <c r="AJ1927" s="156"/>
      <c r="AK1927" s="156"/>
      <c r="AL1927" s="156"/>
      <c r="AM1927" s="156"/>
      <c r="AN1927" s="156"/>
      <c r="AO1927" s="156"/>
      <c r="AP1927" s="156"/>
      <c r="AQ1927" s="156"/>
      <c r="AR1927" s="156"/>
      <c r="AS1927" s="156"/>
      <c r="AT1927" s="156"/>
      <c r="AU1927" s="156"/>
      <c r="AV1927" s="156"/>
      <c r="AW1927" s="156"/>
      <c r="AX1927" s="156"/>
      <c r="AY1927" s="156"/>
      <c r="AZ1927" s="156"/>
      <c r="BA1927" s="156"/>
      <c r="BB1927" s="2828"/>
      <c r="BC1927" s="452"/>
      <c r="BD1927" s="2829"/>
      <c r="BE1927" s="2837"/>
      <c r="BF1927" s="156"/>
    </row>
    <row r="1928" spans="1:58" outlineLevel="1" x14ac:dyDescent="0.35">
      <c r="A1928" s="1071"/>
      <c r="B1928" s="106"/>
      <c r="C1928" s="103"/>
      <c r="D1928" s="292" t="s">
        <v>942</v>
      </c>
      <c r="E1928" s="292"/>
      <c r="F1928" s="106"/>
      <c r="G1928" s="292"/>
      <c r="H1928" s="103"/>
      <c r="I1928" s="106"/>
      <c r="J1928" s="106"/>
      <c r="K1928" s="106"/>
      <c r="L1928" s="106"/>
      <c r="M1928" s="106"/>
      <c r="N1928" s="106"/>
      <c r="O1928" s="106"/>
      <c r="P1928" s="106"/>
      <c r="Q1928" s="452"/>
      <c r="R1928" s="691"/>
      <c r="S1928" s="1533"/>
      <c r="T1928" s="452"/>
      <c r="U1928" s="106"/>
      <c r="V1928" s="106"/>
      <c r="W1928" s="156"/>
      <c r="X1928" s="156"/>
      <c r="Y1928" s="156"/>
      <c r="Z1928" s="156"/>
      <c r="AA1928" s="156"/>
      <c r="AB1928" s="156"/>
      <c r="AC1928" s="156"/>
      <c r="AD1928" s="156"/>
      <c r="AE1928" s="156"/>
      <c r="AF1928" s="156"/>
      <c r="AG1928" s="156"/>
      <c r="AH1928" s="156"/>
      <c r="AI1928" s="156"/>
      <c r="AJ1928" s="156"/>
      <c r="AK1928" s="156"/>
      <c r="AL1928" s="156"/>
      <c r="AM1928" s="156"/>
      <c r="AN1928" s="156"/>
      <c r="AO1928" s="156"/>
      <c r="AP1928" s="156"/>
      <c r="AQ1928" s="156"/>
      <c r="AR1928" s="156"/>
      <c r="AS1928" s="156"/>
      <c r="AT1928" s="156"/>
      <c r="AU1928" s="156"/>
      <c r="AV1928" s="156"/>
      <c r="AW1928" s="156"/>
      <c r="AX1928" s="156"/>
      <c r="AY1928" s="156"/>
      <c r="AZ1928" s="156"/>
      <c r="BA1928" s="156"/>
      <c r="BB1928" s="2828"/>
      <c r="BC1928" s="452"/>
      <c r="BD1928" s="2829"/>
      <c r="BE1928" s="2837"/>
      <c r="BF1928" s="156"/>
    </row>
    <row r="1929" spans="1:58" outlineLevel="1" x14ac:dyDescent="0.35">
      <c r="A1929" s="1071"/>
      <c r="B1929" s="106"/>
      <c r="C1929" s="103"/>
      <c r="D1929" s="292"/>
      <c r="E1929" s="292"/>
      <c r="F1929" s="106"/>
      <c r="G1929" s="292"/>
      <c r="H1929" s="103"/>
      <c r="I1929" s="106"/>
      <c r="J1929" s="106"/>
      <c r="K1929" s="106"/>
      <c r="L1929" s="106"/>
      <c r="M1929" s="106"/>
      <c r="N1929" s="106"/>
      <c r="O1929" s="106"/>
      <c r="P1929" s="106"/>
      <c r="Q1929" s="452"/>
      <c r="R1929" s="691"/>
      <c r="S1929" s="1320"/>
      <c r="T1929" s="452"/>
      <c r="U1929" s="106"/>
      <c r="V1929" s="106"/>
      <c r="W1929" s="156"/>
      <c r="X1929" s="156"/>
      <c r="Y1929" s="156"/>
      <c r="Z1929" s="156"/>
      <c r="AA1929" s="156"/>
      <c r="AB1929" s="156"/>
      <c r="AC1929" s="156"/>
      <c r="AD1929" s="156"/>
      <c r="AE1929" s="156"/>
      <c r="AF1929" s="156"/>
      <c r="AG1929" s="156"/>
      <c r="AH1929" s="156"/>
      <c r="AI1929" s="156"/>
      <c r="AJ1929" s="156"/>
      <c r="AK1929" s="156"/>
      <c r="AL1929" s="156"/>
      <c r="AM1929" s="156"/>
      <c r="AN1929" s="156"/>
      <c r="AO1929" s="156"/>
      <c r="AP1929" s="156"/>
      <c r="AQ1929" s="156"/>
      <c r="AR1929" s="156"/>
      <c r="AS1929" s="156"/>
      <c r="AT1929" s="156"/>
      <c r="AU1929" s="156"/>
      <c r="AV1929" s="156"/>
      <c r="AW1929" s="156"/>
      <c r="AX1929" s="156"/>
      <c r="AY1929" s="156"/>
      <c r="AZ1929" s="156"/>
      <c r="BA1929" s="156"/>
      <c r="BB1929" s="2828"/>
      <c r="BC1929" s="452"/>
      <c r="BD1929" s="2829"/>
      <c r="BE1929" s="2837"/>
      <c r="BF1929" s="156"/>
    </row>
    <row r="1930" spans="1:58" outlineLevel="1" x14ac:dyDescent="0.35">
      <c r="A1930" s="1071"/>
      <c r="B1930" s="106"/>
      <c r="C1930" s="103"/>
      <c r="D1930" s="292"/>
      <c r="E1930" s="292"/>
      <c r="F1930" s="106"/>
      <c r="G1930" s="292"/>
      <c r="H1930" s="103"/>
      <c r="I1930" s="106"/>
      <c r="J1930" s="106"/>
      <c r="K1930" s="106"/>
      <c r="L1930" s="106"/>
      <c r="M1930" s="106"/>
      <c r="N1930" s="106"/>
      <c r="O1930" s="106"/>
      <c r="P1930" s="106"/>
      <c r="Q1930" s="452"/>
      <c r="R1930" s="691"/>
      <c r="S1930" s="1320"/>
      <c r="T1930" s="452"/>
      <c r="U1930" s="106"/>
      <c r="V1930" s="106"/>
      <c r="W1930" s="156"/>
      <c r="X1930" s="156"/>
      <c r="Y1930" s="156"/>
      <c r="Z1930" s="156"/>
      <c r="AA1930" s="156"/>
      <c r="AB1930" s="156"/>
      <c r="AC1930" s="156"/>
      <c r="AD1930" s="156"/>
      <c r="AE1930" s="156"/>
      <c r="AF1930" s="156"/>
      <c r="AG1930" s="156"/>
      <c r="AH1930" s="156"/>
      <c r="AI1930" s="156"/>
      <c r="AJ1930" s="156"/>
      <c r="AK1930" s="156"/>
      <c r="AL1930" s="156"/>
      <c r="AM1930" s="156"/>
      <c r="AN1930" s="156"/>
      <c r="AO1930" s="156"/>
      <c r="AP1930" s="156"/>
      <c r="AQ1930" s="156"/>
      <c r="AR1930" s="156"/>
      <c r="AS1930" s="156"/>
      <c r="AT1930" s="156"/>
      <c r="AU1930" s="156"/>
      <c r="AV1930" s="156"/>
      <c r="AW1930" s="156"/>
      <c r="AX1930" s="156"/>
      <c r="AY1930" s="156"/>
      <c r="AZ1930" s="156"/>
      <c r="BA1930" s="156"/>
      <c r="BB1930" s="2828"/>
      <c r="BC1930" s="452"/>
      <c r="BD1930" s="2829"/>
      <c r="BE1930" s="2837"/>
      <c r="BF1930" s="156"/>
    </row>
    <row r="1931" spans="1:58" outlineLevel="1" x14ac:dyDescent="0.35">
      <c r="A1931" s="1071"/>
      <c r="B1931" s="106"/>
      <c r="C1931" s="103"/>
      <c r="D1931" s="292"/>
      <c r="E1931" s="292"/>
      <c r="F1931" s="106"/>
      <c r="G1931" s="292"/>
      <c r="H1931" s="103"/>
      <c r="I1931" s="106"/>
      <c r="J1931" s="106"/>
      <c r="K1931" s="106"/>
      <c r="L1931" s="106"/>
      <c r="M1931" s="106"/>
      <c r="N1931" s="106"/>
      <c r="O1931" s="106"/>
      <c r="P1931" s="106"/>
      <c r="Q1931" s="452"/>
      <c r="R1931" s="691"/>
      <c r="S1931" s="1320"/>
      <c r="T1931" s="452"/>
      <c r="U1931" s="106"/>
      <c r="V1931" s="106"/>
      <c r="W1931" s="156"/>
      <c r="X1931" s="156"/>
      <c r="Y1931" s="156"/>
      <c r="Z1931" s="156"/>
      <c r="AA1931" s="156"/>
      <c r="AB1931" s="156"/>
      <c r="AC1931" s="156"/>
      <c r="AD1931" s="156"/>
      <c r="AE1931" s="156"/>
      <c r="AF1931" s="156"/>
      <c r="AG1931" s="156"/>
      <c r="AH1931" s="156"/>
      <c r="AI1931" s="156"/>
      <c r="AJ1931" s="156"/>
      <c r="AK1931" s="156"/>
      <c r="AL1931" s="156"/>
      <c r="AM1931" s="156"/>
      <c r="AN1931" s="156"/>
      <c r="AO1931" s="156"/>
      <c r="AP1931" s="156"/>
      <c r="AQ1931" s="156"/>
      <c r="AR1931" s="156"/>
      <c r="AS1931" s="156"/>
      <c r="AT1931" s="156"/>
      <c r="AU1931" s="156"/>
      <c r="AV1931" s="156"/>
      <c r="AW1931" s="156"/>
      <c r="AX1931" s="156"/>
      <c r="AY1931" s="156"/>
      <c r="AZ1931" s="156"/>
      <c r="BA1931" s="156"/>
      <c r="BB1931" s="2828"/>
      <c r="BC1931" s="452"/>
      <c r="BD1931" s="2829"/>
      <c r="BE1931" s="2837"/>
      <c r="BF1931" s="156"/>
    </row>
    <row r="1932" spans="1:58" outlineLevel="1" x14ac:dyDescent="0.35">
      <c r="A1932" s="1071"/>
      <c r="B1932" s="106"/>
      <c r="C1932" s="103"/>
      <c r="D1932" s="292"/>
      <c r="E1932" s="292"/>
      <c r="F1932" s="106"/>
      <c r="G1932" s="292"/>
      <c r="H1932" s="103"/>
      <c r="I1932" s="106"/>
      <c r="J1932" s="106"/>
      <c r="K1932" s="106"/>
      <c r="L1932" s="106"/>
      <c r="M1932" s="106"/>
      <c r="N1932" s="106"/>
      <c r="O1932" s="106"/>
      <c r="P1932" s="106"/>
      <c r="Q1932" s="452"/>
      <c r="R1932" s="691"/>
      <c r="S1932" s="1320"/>
      <c r="T1932" s="452"/>
      <c r="U1932" s="106"/>
      <c r="V1932" s="106"/>
      <c r="W1932" s="156"/>
      <c r="X1932" s="156"/>
      <c r="Y1932" s="156"/>
      <c r="Z1932" s="156"/>
      <c r="AA1932" s="156"/>
      <c r="AB1932" s="156"/>
      <c r="AC1932" s="156"/>
      <c r="AD1932" s="156"/>
      <c r="AE1932" s="156"/>
      <c r="AF1932" s="156"/>
      <c r="AG1932" s="156"/>
      <c r="AH1932" s="156"/>
      <c r="AI1932" s="156"/>
      <c r="AJ1932" s="156"/>
      <c r="AK1932" s="156"/>
      <c r="AL1932" s="156"/>
      <c r="AM1932" s="156"/>
      <c r="AN1932" s="156"/>
      <c r="AO1932" s="156"/>
      <c r="AP1932" s="156"/>
      <c r="AQ1932" s="156"/>
      <c r="AR1932" s="156"/>
      <c r="AS1932" s="156"/>
      <c r="AT1932" s="156"/>
      <c r="AU1932" s="156"/>
      <c r="AV1932" s="156"/>
      <c r="AW1932" s="156"/>
      <c r="AX1932" s="156"/>
      <c r="AY1932" s="156"/>
      <c r="AZ1932" s="156"/>
      <c r="BA1932" s="156"/>
      <c r="BB1932" s="2828"/>
      <c r="BC1932" s="452"/>
      <c r="BD1932" s="2829"/>
      <c r="BE1932" s="2837"/>
      <c r="BF1932" s="156"/>
    </row>
    <row r="1933" spans="1:58" outlineLevel="1" x14ac:dyDescent="0.35">
      <c r="A1933" s="1071"/>
      <c r="B1933" s="106"/>
      <c r="C1933" s="103"/>
      <c r="D1933" s="292"/>
      <c r="E1933" s="292"/>
      <c r="F1933" s="106"/>
      <c r="G1933" s="292"/>
      <c r="I1933" s="106"/>
      <c r="J1933" s="2301" t="s">
        <v>4365</v>
      </c>
      <c r="K1933" s="106"/>
      <c r="L1933" s="106"/>
      <c r="M1933" s="106"/>
      <c r="N1933" s="106"/>
      <c r="O1933" s="106"/>
      <c r="P1933" s="106"/>
      <c r="Q1933" s="452"/>
      <c r="R1933" s="691"/>
      <c r="S1933" s="1320"/>
      <c r="T1933" s="452"/>
      <c r="U1933" s="106"/>
      <c r="V1933" s="2085"/>
      <c r="W1933" s="156"/>
      <c r="X1933" s="156"/>
      <c r="Y1933" s="156"/>
      <c r="Z1933" s="156"/>
      <c r="AA1933" s="156"/>
      <c r="AB1933" s="156"/>
      <c r="AC1933" s="156"/>
      <c r="AD1933" s="156"/>
      <c r="AE1933" s="156"/>
      <c r="AF1933" s="156"/>
      <c r="AG1933" s="156"/>
      <c r="AH1933" s="156"/>
      <c r="AI1933" s="156"/>
      <c r="AJ1933" s="156"/>
      <c r="AK1933" s="156"/>
      <c r="AL1933" s="156"/>
      <c r="AM1933" s="156"/>
      <c r="AN1933" s="156"/>
      <c r="AO1933" s="156"/>
      <c r="AP1933" s="156"/>
      <c r="AQ1933" s="156"/>
      <c r="AR1933" s="156"/>
      <c r="AS1933" s="156"/>
      <c r="AT1933" s="156"/>
      <c r="AU1933" s="156"/>
      <c r="AV1933" s="156"/>
      <c r="AW1933" s="156"/>
      <c r="AX1933" s="156"/>
      <c r="AY1933" s="156"/>
      <c r="AZ1933" s="156"/>
      <c r="BA1933" s="156"/>
      <c r="BB1933" s="2828"/>
      <c r="BC1933" s="452"/>
      <c r="BD1933" s="2829"/>
      <c r="BE1933" s="2837"/>
      <c r="BF1933" s="156"/>
    </row>
    <row r="1934" spans="1:58" outlineLevel="1" x14ac:dyDescent="0.35">
      <c r="A1934" s="1071"/>
      <c r="B1934" s="106"/>
      <c r="C1934" s="103"/>
      <c r="D1934" s="292" t="s">
        <v>1038</v>
      </c>
      <c r="E1934" s="292"/>
      <c r="F1934" s="106"/>
      <c r="G1934" s="292"/>
      <c r="H1934" s="156"/>
      <c r="I1934" s="106"/>
      <c r="J1934" s="106"/>
      <c r="K1934" s="106"/>
      <c r="L1934" s="106"/>
      <c r="M1934" s="106"/>
      <c r="N1934" s="106"/>
      <c r="O1934" s="106"/>
      <c r="P1934" s="106"/>
      <c r="Q1934" s="452"/>
      <c r="R1934" s="691"/>
      <c r="S1934" s="1320"/>
      <c r="T1934" s="452"/>
      <c r="U1934" s="106"/>
      <c r="V1934" s="106"/>
      <c r="W1934" s="156"/>
      <c r="X1934" s="156"/>
      <c r="Y1934" s="156"/>
      <c r="Z1934" s="156"/>
      <c r="AA1934" s="156"/>
      <c r="AB1934" s="156"/>
      <c r="AC1934" s="156"/>
      <c r="AD1934" s="156"/>
      <c r="AE1934" s="156"/>
      <c r="AF1934" s="156"/>
      <c r="AG1934" s="156"/>
      <c r="AH1934" s="156"/>
      <c r="AI1934" s="156"/>
      <c r="AJ1934" s="156"/>
      <c r="AK1934" s="156"/>
      <c r="AL1934" s="156"/>
      <c r="AM1934" s="156"/>
      <c r="AN1934" s="156"/>
      <c r="AO1934" s="156"/>
      <c r="AP1934" s="156"/>
      <c r="AQ1934" s="156"/>
      <c r="AR1934" s="156"/>
      <c r="AS1934" s="156"/>
      <c r="AT1934" s="156"/>
      <c r="AU1934" s="156"/>
      <c r="AV1934" s="156"/>
      <c r="AW1934" s="156"/>
      <c r="AX1934" s="156"/>
      <c r="AY1934" s="156"/>
      <c r="AZ1934" s="156"/>
      <c r="BA1934" s="156"/>
      <c r="BB1934" s="2828"/>
      <c r="BC1934" s="452"/>
      <c r="BD1934" s="2829"/>
      <c r="BE1934" s="2837"/>
      <c r="BF1934" s="156"/>
    </row>
    <row r="1935" spans="1:58" outlineLevel="1" x14ac:dyDescent="0.35">
      <c r="A1935" s="1071"/>
      <c r="B1935" s="106"/>
      <c r="C1935" s="103"/>
      <c r="D1935" s="292"/>
      <c r="E1935" s="292"/>
      <c r="F1935" s="106"/>
      <c r="G1935" s="292"/>
      <c r="H1935" s="103"/>
      <c r="I1935" s="106"/>
      <c r="J1935" s="106"/>
      <c r="K1935" s="106"/>
      <c r="L1935" s="106"/>
      <c r="M1935" s="106"/>
      <c r="N1935" s="106"/>
      <c r="O1935" s="106"/>
      <c r="P1935" s="106"/>
      <c r="Q1935" s="452"/>
      <c r="R1935" s="691"/>
      <c r="S1935" s="452"/>
      <c r="T1935" s="452"/>
      <c r="U1935" s="106"/>
      <c r="V1935" s="106"/>
      <c r="W1935" s="2917"/>
      <c r="X1935" s="156"/>
      <c r="Y1935" s="156"/>
      <c r="Z1935" s="156"/>
      <c r="AA1935" s="156"/>
      <c r="AB1935" s="156"/>
      <c r="AC1935" s="156"/>
      <c r="AD1935" s="156"/>
      <c r="AE1935" s="156"/>
      <c r="AF1935" s="156"/>
      <c r="AG1935" s="156"/>
      <c r="AH1935" s="156"/>
      <c r="AI1935" s="156"/>
      <c r="AJ1935" s="156"/>
      <c r="AK1935" s="156"/>
      <c r="AL1935" s="156"/>
      <c r="AM1935" s="156"/>
      <c r="AN1935" s="156"/>
      <c r="AO1935" s="156"/>
      <c r="AP1935" s="156"/>
      <c r="AQ1935" s="156"/>
      <c r="AR1935" s="156"/>
      <c r="AS1935" s="156"/>
      <c r="AT1935" s="156"/>
      <c r="AU1935" s="156"/>
      <c r="AV1935" s="156"/>
      <c r="AW1935" s="156"/>
      <c r="AX1935" s="156"/>
      <c r="AY1935" s="156"/>
      <c r="AZ1935" s="156"/>
      <c r="BA1935" s="156"/>
      <c r="BB1935" s="2828"/>
      <c r="BC1935" s="452"/>
      <c r="BD1935" s="2829"/>
      <c r="BE1935" s="2837"/>
      <c r="BF1935" s="156"/>
    </row>
    <row r="1936" spans="1:58" outlineLevel="1" x14ac:dyDescent="0.35">
      <c r="A1936" s="1071"/>
      <c r="B1936" s="106"/>
      <c r="C1936" s="103"/>
      <c r="D1936" s="292"/>
      <c r="E1936" s="292"/>
      <c r="F1936" s="106"/>
      <c r="G1936" s="106"/>
      <c r="H1936" s="106"/>
      <c r="I1936" s="106"/>
      <c r="J1936" s="106"/>
      <c r="K1936" s="106"/>
      <c r="L1936" s="106"/>
      <c r="M1936" s="106"/>
      <c r="N1936" s="106"/>
      <c r="O1936" s="106"/>
      <c r="P1936" s="106"/>
      <c r="Q1936" s="452"/>
      <c r="R1936" s="452"/>
      <c r="S1936" s="452"/>
      <c r="T1936" s="452"/>
      <c r="U1936" s="106"/>
      <c r="V1936" s="106"/>
      <c r="W1936" s="156"/>
      <c r="X1936" s="156"/>
      <c r="Y1936" s="156"/>
      <c r="Z1936" s="156"/>
      <c r="AA1936" s="156"/>
      <c r="AB1936" s="156"/>
      <c r="AC1936" s="156"/>
      <c r="AD1936" s="156"/>
      <c r="AE1936" s="156"/>
      <c r="AF1936" s="156"/>
      <c r="AG1936" s="156"/>
      <c r="AH1936" s="156"/>
      <c r="AI1936" s="156"/>
      <c r="AJ1936" s="156"/>
      <c r="AK1936" s="156"/>
      <c r="AL1936" s="156"/>
      <c r="AM1936" s="156"/>
      <c r="AN1936" s="156"/>
      <c r="AO1936" s="156"/>
      <c r="AP1936" s="156"/>
      <c r="AQ1936" s="156"/>
      <c r="AR1936" s="156"/>
      <c r="AS1936" s="156"/>
      <c r="AT1936" s="156"/>
      <c r="AU1936" s="156"/>
      <c r="AV1936" s="156"/>
      <c r="AW1936" s="156"/>
      <c r="AX1936" s="156"/>
      <c r="AY1936" s="156"/>
      <c r="AZ1936" s="156"/>
      <c r="BA1936" s="156"/>
      <c r="BB1936" s="2828"/>
      <c r="BC1936" s="452"/>
      <c r="BD1936" s="2829"/>
      <c r="BE1936" s="2837"/>
      <c r="BF1936" s="156"/>
    </row>
    <row r="1937" spans="1:58" outlineLevel="1" x14ac:dyDescent="0.35">
      <c r="A1937" s="1071"/>
      <c r="B1937" s="106"/>
      <c r="C1937" s="103"/>
      <c r="D1937" s="292"/>
      <c r="E1937" s="292"/>
      <c r="F1937" s="106"/>
      <c r="G1937" s="106"/>
      <c r="H1937" s="106"/>
      <c r="I1937" s="106"/>
      <c r="J1937" s="156"/>
      <c r="K1937" s="106"/>
      <c r="L1937" s="106"/>
      <c r="M1937" s="106"/>
      <c r="N1937" s="106"/>
      <c r="O1937" s="106"/>
      <c r="P1937" s="106"/>
      <c r="Q1937" s="106"/>
      <c r="R1937" s="106"/>
      <c r="S1937" s="106"/>
      <c r="T1937" s="106"/>
      <c r="U1937" s="106"/>
      <c r="V1937" s="106"/>
      <c r="W1937" s="156"/>
      <c r="X1937" s="156"/>
      <c r="Y1937" s="156"/>
      <c r="Z1937" s="156"/>
      <c r="AA1937" s="156"/>
      <c r="AB1937" s="156"/>
      <c r="AC1937" s="156"/>
      <c r="AD1937" s="156"/>
      <c r="AE1937" s="156"/>
      <c r="AF1937" s="156"/>
      <c r="AG1937" s="156"/>
      <c r="AH1937" s="156"/>
      <c r="AI1937" s="156"/>
      <c r="AJ1937" s="156"/>
      <c r="AK1937" s="156"/>
      <c r="AL1937" s="156"/>
      <c r="AM1937" s="156"/>
      <c r="AN1937" s="156"/>
      <c r="AO1937" s="156"/>
      <c r="AP1937" s="156"/>
      <c r="AQ1937" s="156"/>
      <c r="AR1937" s="156"/>
      <c r="AS1937" s="156"/>
      <c r="AT1937" s="156"/>
      <c r="AU1937" s="156"/>
      <c r="AV1937" s="156"/>
      <c r="AW1937" s="156"/>
      <c r="AX1937" s="156"/>
      <c r="AY1937" s="156"/>
      <c r="AZ1937" s="156"/>
      <c r="BA1937" s="156"/>
      <c r="BB1937" s="2828"/>
      <c r="BC1937" s="452"/>
      <c r="BD1937" s="2829"/>
      <c r="BE1937" s="2837"/>
      <c r="BF1937" s="156"/>
    </row>
    <row r="1938" spans="1:58" outlineLevel="1" x14ac:dyDescent="0.35">
      <c r="A1938" s="1071"/>
      <c r="B1938" s="106"/>
      <c r="C1938" s="103"/>
      <c r="D1938" s="292"/>
      <c r="E1938" s="292"/>
      <c r="F1938" s="106"/>
      <c r="G1938" s="106"/>
      <c r="H1938" s="106"/>
      <c r="I1938" s="106"/>
      <c r="J1938" s="106"/>
      <c r="K1938" s="103"/>
      <c r="L1938" s="103"/>
      <c r="M1938" s="103"/>
      <c r="N1938" s="106"/>
      <c r="O1938" s="106"/>
      <c r="P1938" s="106"/>
      <c r="Q1938" s="292"/>
      <c r="R1938" s="106"/>
      <c r="S1938" s="106"/>
      <c r="T1938" s="106"/>
      <c r="U1938" s="106"/>
      <c r="V1938" s="106"/>
      <c r="W1938" s="156"/>
      <c r="X1938" s="156"/>
      <c r="Y1938" s="156"/>
      <c r="Z1938" s="156"/>
      <c r="AA1938" s="156"/>
      <c r="AB1938" s="156"/>
      <c r="AC1938" s="156"/>
      <c r="AD1938" s="156"/>
      <c r="AE1938" s="156"/>
      <c r="AF1938" s="156"/>
      <c r="AG1938" s="156"/>
      <c r="AH1938" s="156"/>
      <c r="AI1938" s="156"/>
      <c r="AJ1938" s="156"/>
      <c r="AK1938" s="156"/>
      <c r="AL1938" s="156"/>
      <c r="AM1938" s="156"/>
      <c r="AN1938" s="156"/>
      <c r="AO1938" s="156"/>
      <c r="AP1938" s="156"/>
      <c r="AQ1938" s="156"/>
      <c r="AR1938" s="156"/>
      <c r="AS1938" s="156"/>
      <c r="AT1938" s="156"/>
      <c r="AU1938" s="156"/>
      <c r="AV1938" s="156"/>
      <c r="AW1938" s="156"/>
      <c r="AX1938" s="156"/>
      <c r="AY1938" s="156"/>
      <c r="AZ1938" s="156"/>
      <c r="BA1938" s="156"/>
      <c r="BB1938" s="2828"/>
      <c r="BC1938" s="452"/>
      <c r="BD1938" s="2829"/>
      <c r="BE1938" s="2837"/>
      <c r="BF1938" s="156"/>
    </row>
    <row r="1939" spans="1:58" ht="30" customHeight="1" outlineLevel="1" thickBot="1" x14ac:dyDescent="0.4">
      <c r="A1939" s="1071"/>
      <c r="B1939" s="2812"/>
      <c r="C1939" s="3077"/>
      <c r="D1939" s="333" t="s">
        <v>108</v>
      </c>
      <c r="E1939" s="333" t="s">
        <v>109</v>
      </c>
      <c r="F1939" s="4176" t="s">
        <v>185</v>
      </c>
      <c r="G1939" s="4177"/>
      <c r="H1939" s="4177"/>
      <c r="I1939" s="4178"/>
      <c r="J1939" s="2379" t="s">
        <v>27</v>
      </c>
      <c r="K1939" s="2802" t="s">
        <v>111</v>
      </c>
      <c r="L1939" s="2379" t="s">
        <v>946</v>
      </c>
      <c r="M1939" s="333" t="s">
        <v>397</v>
      </c>
      <c r="N1939" s="106"/>
      <c r="O1939" s="106"/>
      <c r="P1939" s="106" t="s">
        <v>1061</v>
      </c>
      <c r="Q1939" s="574"/>
      <c r="R1939" s="702"/>
      <c r="S1939" s="106"/>
      <c r="T1939" s="486"/>
      <c r="U1939" s="106"/>
      <c r="V1939" s="480" t="s">
        <v>44</v>
      </c>
      <c r="W1939" s="1573">
        <v>43252</v>
      </c>
      <c r="X1939" s="1573">
        <f>$X$6</f>
        <v>43465</v>
      </c>
      <c r="Y1939" s="1573">
        <f>$Y$6</f>
        <v>43800</v>
      </c>
      <c r="Z1939" s="1573">
        <f>$Z$6</f>
        <v>43862</v>
      </c>
      <c r="AA1939" s="1573">
        <f>$AA$6</f>
        <v>44013</v>
      </c>
      <c r="AB1939" s="1573">
        <f>$AB$6</f>
        <v>44166</v>
      </c>
      <c r="AC1939" s="1573">
        <f>$AC$6</f>
        <v>44531</v>
      </c>
      <c r="AD1939" s="1573">
        <f>$AD$6</f>
        <v>44774</v>
      </c>
      <c r="AE1939" s="1573" t="str">
        <f>$AE$6</f>
        <v>-</v>
      </c>
      <c r="AF1939" s="1573" t="str">
        <f>$AF$6</f>
        <v>-</v>
      </c>
      <c r="AG1939" s="1573" t="str">
        <f>$AG$6</f>
        <v>-</v>
      </c>
      <c r="AH1939" s="156"/>
      <c r="AI1939" s="156"/>
      <c r="AJ1939" s="156"/>
      <c r="AK1939" s="156"/>
      <c r="AL1939" s="156"/>
      <c r="AM1939" s="156"/>
      <c r="AN1939" s="156"/>
      <c r="AO1939" s="156"/>
      <c r="AP1939" s="156"/>
      <c r="AQ1939" s="156"/>
      <c r="AR1939" s="156"/>
      <c r="AS1939" s="156"/>
      <c r="AT1939" s="156"/>
      <c r="AU1939" s="156"/>
      <c r="AV1939" s="156"/>
      <c r="AW1939" s="156"/>
      <c r="AX1939" s="156"/>
      <c r="AY1939" s="156"/>
      <c r="AZ1939" s="156"/>
      <c r="BA1939" s="156"/>
      <c r="BB1939" s="2828"/>
      <c r="BC1939" s="452"/>
      <c r="BD1939" s="2829"/>
      <c r="BE1939" s="2837"/>
      <c r="BF1939" s="156"/>
    </row>
    <row r="1940" spans="1:58" ht="15" customHeight="1" outlineLevel="1" x14ac:dyDescent="0.35">
      <c r="A1940" s="1665"/>
      <c r="B1940" s="2812"/>
      <c r="C1940" s="3077"/>
      <c r="D1940" s="3979" t="s">
        <v>1104</v>
      </c>
      <c r="E1940" s="3982" t="s">
        <v>1105</v>
      </c>
      <c r="F1940" s="4133" t="str">
        <f>$E$1534</f>
        <v>ASHP-SEER15-Replace_CAC_ElectricHeat_ER1_SF</v>
      </c>
      <c r="G1940" s="4134"/>
      <c r="H1940" s="4134"/>
      <c r="I1940" s="4135"/>
      <c r="J1940" s="3500" t="str">
        <f>$C$1534</f>
        <v>352300_2021_12_</v>
      </c>
      <c r="K1940" s="3046">
        <v>32616.186021300451</v>
      </c>
      <c r="L1940" s="3515">
        <f t="shared" ref="L1940:L2006" si="356">K1940/12000</f>
        <v>2.7180155017750378</v>
      </c>
      <c r="M1940" s="3516" t="s">
        <v>4360</v>
      </c>
      <c r="N1940" s="2804"/>
      <c r="O1940" s="106"/>
      <c r="P1940" s="3825" t="s">
        <v>945</v>
      </c>
      <c r="Q1940" s="4088"/>
      <c r="R1940" s="3826"/>
      <c r="S1940" s="106"/>
      <c r="T1940" s="106"/>
      <c r="U1940" s="106"/>
      <c r="V1940" s="3979" t="s">
        <v>1104</v>
      </c>
      <c r="W1940" s="3424">
        <v>33600</v>
      </c>
      <c r="X1940" s="2376">
        <f>3.06*12000</f>
        <v>36720</v>
      </c>
      <c r="Y1940" s="2376">
        <v>34800</v>
      </c>
      <c r="Z1940" s="3424">
        <v>34800</v>
      </c>
      <c r="AA1940" s="3424">
        <v>34800</v>
      </c>
      <c r="AB1940" s="3553">
        <v>34457.142857142855</v>
      </c>
      <c r="AC1940" s="3554">
        <v>34555.932203389835</v>
      </c>
      <c r="AD1940" s="3553">
        <v>32616.186021300451</v>
      </c>
      <c r="AE1940" s="3431"/>
      <c r="AF1940" s="3424"/>
      <c r="AG1940" s="3424"/>
      <c r="AH1940" s="156"/>
      <c r="AI1940" s="156"/>
      <c r="AJ1940" s="156"/>
      <c r="AK1940" s="156"/>
      <c r="AL1940" s="156"/>
      <c r="AM1940" s="156"/>
      <c r="AN1940" s="156"/>
      <c r="AO1940" s="156"/>
      <c r="AP1940" s="156"/>
      <c r="AQ1940" s="156"/>
      <c r="AR1940" s="156"/>
      <c r="AS1940" s="156"/>
      <c r="AT1940" s="156"/>
      <c r="AU1940" s="156"/>
      <c r="AV1940" s="156"/>
      <c r="AW1940" s="156"/>
      <c r="AX1940" s="156"/>
      <c r="AY1940" s="156"/>
      <c r="AZ1940" s="156"/>
      <c r="BA1940" s="156"/>
      <c r="BB1940" s="2828"/>
      <c r="BC1940" s="452"/>
      <c r="BD1940" s="2829"/>
      <c r="BE1940" s="2837"/>
      <c r="BF1940" s="156"/>
    </row>
    <row r="1941" spans="1:58" ht="15" customHeight="1" outlineLevel="1" x14ac:dyDescent="0.35">
      <c r="A1941" s="1665"/>
      <c r="B1941" s="2812"/>
      <c r="C1941" s="3077"/>
      <c r="D1941" s="3980"/>
      <c r="E1941" s="3883"/>
      <c r="F1941" s="3984" t="str">
        <f>$E$1536</f>
        <v>ASHP-SEER15-Replace_CAC_ElectricHeat_ER2_SF</v>
      </c>
      <c r="G1941" s="3984"/>
      <c r="H1941" s="3984"/>
      <c r="I1941" s="3984"/>
      <c r="J1941" s="3501" t="str">
        <f>$C$1536</f>
        <v>352300_2021_12_</v>
      </c>
      <c r="K1941" s="3047">
        <v>32616.186021300451</v>
      </c>
      <c r="L1941" s="3517">
        <f t="shared" si="356"/>
        <v>2.7180155017750378</v>
      </c>
      <c r="M1941" s="3518" t="s">
        <v>1083</v>
      </c>
      <c r="N1941" s="2804"/>
      <c r="O1941" s="106"/>
      <c r="P1941" s="2404"/>
      <c r="Q1941" s="692" t="s">
        <v>1046</v>
      </c>
      <c r="R1941" s="2331" t="s">
        <v>948</v>
      </c>
      <c r="S1941" s="106"/>
      <c r="T1941" s="693"/>
      <c r="U1941" s="452"/>
      <c r="V1941" s="3980"/>
      <c r="W1941" s="3421">
        <v>33600</v>
      </c>
      <c r="X1941" s="2374">
        <f t="shared" ref="X1941:X1957" si="357">3.06*12000</f>
        <v>36720</v>
      </c>
      <c r="Y1941" s="2374">
        <v>34800</v>
      </c>
      <c r="Z1941" s="3421">
        <v>34800</v>
      </c>
      <c r="AA1941" s="3421">
        <v>34800</v>
      </c>
      <c r="AB1941" s="2296">
        <v>34457.142857142855</v>
      </c>
      <c r="AC1941" s="2292">
        <f>AC1940</f>
        <v>34555.932203389835</v>
      </c>
      <c r="AD1941" s="2296">
        <v>32616.186021300451</v>
      </c>
      <c r="AE1941" s="3429"/>
      <c r="AF1941" s="3421"/>
      <c r="AG1941" s="3421"/>
      <c r="AH1941" s="156"/>
      <c r="AI1941" s="156"/>
      <c r="AJ1941" s="156"/>
      <c r="AK1941" s="156"/>
      <c r="AL1941" s="156"/>
      <c r="AM1941" s="156"/>
      <c r="AN1941" s="156"/>
      <c r="AO1941" s="156"/>
      <c r="AP1941" s="156"/>
      <c r="AQ1941" s="156"/>
      <c r="AR1941" s="156"/>
      <c r="AS1941" s="156"/>
      <c r="AT1941" s="156"/>
      <c r="AU1941" s="156"/>
      <c r="AV1941" s="156"/>
      <c r="AW1941" s="156"/>
      <c r="AX1941" s="156"/>
      <c r="AY1941" s="156"/>
      <c r="AZ1941" s="156"/>
      <c r="BA1941" s="156"/>
      <c r="BB1941" s="2828"/>
      <c r="BC1941" s="452"/>
      <c r="BD1941" s="2829"/>
      <c r="BE1941" s="2837"/>
      <c r="BF1941" s="156"/>
    </row>
    <row r="1942" spans="1:58" ht="15" customHeight="1" outlineLevel="1" x14ac:dyDescent="0.35">
      <c r="A1942" s="1665"/>
      <c r="B1942" s="2812"/>
      <c r="C1942" s="3077"/>
      <c r="D1942" s="3980"/>
      <c r="E1942" s="3883"/>
      <c r="F1942" s="3984" t="str">
        <f>$E$1538</f>
        <v>ASHP-SEER15-Replace_CAC_NonElectricHeat_ER1_SF</v>
      </c>
      <c r="G1942" s="3984"/>
      <c r="H1942" s="3984"/>
      <c r="I1942" s="3984"/>
      <c r="J1942" s="3501" t="str">
        <f>$C$1538</f>
        <v>352310_2021_12_</v>
      </c>
      <c r="K1942" s="3047">
        <v>32616.186021300451</v>
      </c>
      <c r="L1942" s="3519">
        <f t="shared" si="356"/>
        <v>2.7180155017750378</v>
      </c>
      <c r="M1942" s="3520" t="s">
        <v>1083</v>
      </c>
      <c r="N1942" s="2804"/>
      <c r="O1942" s="106"/>
      <c r="P1942" s="2404"/>
      <c r="Q1942" s="692"/>
      <c r="R1942" s="2331"/>
      <c r="S1942" s="106"/>
      <c r="T1942" s="693"/>
      <c r="U1942" s="452"/>
      <c r="V1942" s="3980"/>
      <c r="W1942" s="3421"/>
      <c r="X1942" s="2374"/>
      <c r="Y1942" s="2374"/>
      <c r="Z1942" s="3421"/>
      <c r="AA1942" s="3421"/>
      <c r="AB1942" s="2296"/>
      <c r="AC1942" s="3555">
        <v>34555.932203389835</v>
      </c>
      <c r="AD1942" s="3047">
        <v>32616.186021300451</v>
      </c>
      <c r="AE1942" s="3429"/>
      <c r="AF1942" s="3421"/>
      <c r="AG1942" s="3421"/>
      <c r="AH1942" s="156"/>
      <c r="AI1942" s="156"/>
      <c r="AJ1942" s="156"/>
      <c r="AK1942" s="156"/>
      <c r="AL1942" s="156"/>
      <c r="AM1942" s="156"/>
      <c r="AN1942" s="156"/>
      <c r="AO1942" s="156"/>
      <c r="AP1942" s="156"/>
      <c r="AQ1942" s="156"/>
      <c r="AR1942" s="156"/>
      <c r="AS1942" s="156"/>
      <c r="AT1942" s="156"/>
      <c r="AU1942" s="156"/>
      <c r="AV1942" s="156"/>
      <c r="AW1942" s="156"/>
      <c r="AX1942" s="156"/>
      <c r="AY1942" s="156"/>
      <c r="AZ1942" s="156"/>
      <c r="BA1942" s="156"/>
      <c r="BB1942" s="2828"/>
      <c r="BC1942" s="452"/>
      <c r="BD1942" s="2829"/>
      <c r="BE1942" s="2837"/>
      <c r="BF1942" s="156"/>
    </row>
    <row r="1943" spans="1:58" ht="15" customHeight="1" outlineLevel="1" x14ac:dyDescent="0.35">
      <c r="A1943" s="1665"/>
      <c r="B1943" s="2812"/>
      <c r="C1943" s="3077"/>
      <c r="D1943" s="3980"/>
      <c r="E1943" s="3883"/>
      <c r="F1943" s="3984" t="str">
        <f>$E$1540</f>
        <v>ASHP-SEER15-Replace_CAC_NonElectricHeat_ER2_SF</v>
      </c>
      <c r="G1943" s="3984"/>
      <c r="H1943" s="3984"/>
      <c r="I1943" s="3984"/>
      <c r="J1943" s="3501" t="str">
        <f>$C$1540</f>
        <v>352310_2021_12_</v>
      </c>
      <c r="K1943" s="3047">
        <v>32616.186021300451</v>
      </c>
      <c r="L1943" s="3517">
        <f t="shared" si="356"/>
        <v>2.7180155017750378</v>
      </c>
      <c r="M1943" s="3520" t="s">
        <v>1083</v>
      </c>
      <c r="N1943" s="2804"/>
      <c r="O1943" s="106"/>
      <c r="P1943" s="2404"/>
      <c r="Q1943" s="692"/>
      <c r="R1943" s="2331"/>
      <c r="S1943" s="106"/>
      <c r="T1943" s="693"/>
      <c r="U1943" s="452"/>
      <c r="V1943" s="3980"/>
      <c r="W1943" s="3421"/>
      <c r="X1943" s="2374"/>
      <c r="Y1943" s="2374"/>
      <c r="Z1943" s="3421"/>
      <c r="AA1943" s="3421"/>
      <c r="AB1943" s="2296"/>
      <c r="AC1943" s="2292">
        <f>AC1942</f>
        <v>34555.932203389835</v>
      </c>
      <c r="AD1943" s="3047">
        <v>32616.186021300451</v>
      </c>
      <c r="AE1943" s="3429"/>
      <c r="AF1943" s="3421"/>
      <c r="AG1943" s="3421"/>
      <c r="AH1943" s="156"/>
      <c r="AI1943" s="156"/>
      <c r="AJ1943" s="156"/>
      <c r="AK1943" s="156"/>
      <c r="AL1943" s="156"/>
      <c r="AM1943" s="156"/>
      <c r="AN1943" s="156"/>
      <c r="AO1943" s="156"/>
      <c r="AP1943" s="156"/>
      <c r="AQ1943" s="156"/>
      <c r="AR1943" s="156"/>
      <c r="AS1943" s="156"/>
      <c r="AT1943" s="156"/>
      <c r="AU1943" s="156"/>
      <c r="AV1943" s="156"/>
      <c r="AW1943" s="156"/>
      <c r="AX1943" s="156"/>
      <c r="AY1943" s="156"/>
      <c r="AZ1943" s="156"/>
      <c r="BA1943" s="156"/>
      <c r="BB1943" s="2828"/>
      <c r="BC1943" s="452"/>
      <c r="BD1943" s="2829"/>
      <c r="BE1943" s="2837"/>
      <c r="BF1943" s="156"/>
    </row>
    <row r="1944" spans="1:58" ht="15" customHeight="1" outlineLevel="1" x14ac:dyDescent="0.35">
      <c r="A1944" s="1664"/>
      <c r="B1944" s="2812"/>
      <c r="C1944" s="3077"/>
      <c r="D1944" s="3980"/>
      <c r="E1944" s="3883"/>
      <c r="F1944" s="3984" t="str">
        <f>$E$1542</f>
        <v>ASHP-SEER15_ER1_SF</v>
      </c>
      <c r="G1944" s="3984"/>
      <c r="H1944" s="3984"/>
      <c r="I1944" s="3984"/>
      <c r="J1944" s="3501" t="str">
        <f>$C$1542</f>
        <v>352350_2021_12_</v>
      </c>
      <c r="K1944" s="3047">
        <v>32616.186021300451</v>
      </c>
      <c r="L1944" s="3517">
        <f t="shared" si="356"/>
        <v>2.7180155017750378</v>
      </c>
      <c r="M1944" s="3518" t="s">
        <v>1083</v>
      </c>
      <c r="N1944" s="2804"/>
      <c r="O1944" s="106"/>
      <c r="P1944" s="694" t="s">
        <v>953</v>
      </c>
      <c r="Q1944" s="1321">
        <f t="shared" ref="Q1944:Q1950" si="358">(($R$1960*3)+R1944)-(($Q$1960*3)/((1+$R$1962)^($R$1963-1)))</f>
        <v>1019.813599825558</v>
      </c>
      <c r="R1944" s="695">
        <v>303</v>
      </c>
      <c r="S1944" s="106" t="s">
        <v>952</v>
      </c>
      <c r="T1944" s="693"/>
      <c r="U1944" s="452"/>
      <c r="V1944" s="3980"/>
      <c r="W1944" s="3421">
        <v>37200</v>
      </c>
      <c r="X1944" s="2374">
        <f t="shared" si="357"/>
        <v>36720</v>
      </c>
      <c r="Y1944" s="2374">
        <v>35160</v>
      </c>
      <c r="Z1944" s="3421">
        <v>35160</v>
      </c>
      <c r="AA1944" s="3421">
        <v>35160</v>
      </c>
      <c r="AB1944" s="2296">
        <v>37222.222222222219</v>
      </c>
      <c r="AC1944" s="2292">
        <v>37480.519480519484</v>
      </c>
      <c r="AD1944" s="3047">
        <v>32616.186021300451</v>
      </c>
      <c r="AE1944" s="3429"/>
      <c r="AF1944" s="3421"/>
      <c r="AG1944" s="3421"/>
      <c r="AH1944" s="156"/>
      <c r="AI1944" s="156"/>
      <c r="AJ1944" s="156"/>
      <c r="AK1944" s="156"/>
      <c r="AL1944" s="156"/>
      <c r="AM1944" s="156"/>
      <c r="AN1944" s="156"/>
      <c r="AO1944" s="156"/>
      <c r="AP1944" s="156"/>
      <c r="AQ1944" s="156"/>
      <c r="AR1944" s="156"/>
      <c r="AS1944" s="156"/>
      <c r="AT1944" s="156"/>
      <c r="AU1944" s="156"/>
      <c r="AV1944" s="156"/>
      <c r="AW1944" s="156"/>
      <c r="AX1944" s="156"/>
      <c r="AY1944" s="156"/>
      <c r="AZ1944" s="156"/>
      <c r="BA1944" s="156"/>
      <c r="BB1944" s="2828"/>
      <c r="BC1944" s="452"/>
      <c r="BD1944" s="2829"/>
      <c r="BE1944" s="2837"/>
      <c r="BF1944" s="156"/>
    </row>
    <row r="1945" spans="1:58" ht="15" customHeight="1" outlineLevel="1" x14ac:dyDescent="0.35">
      <c r="A1945" s="1664"/>
      <c r="B1945" s="2812"/>
      <c r="C1945" s="3077"/>
      <c r="D1945" s="3980"/>
      <c r="E1945" s="3883"/>
      <c r="F1945" s="3984" t="str">
        <f>$E$1544</f>
        <v>ASHP-SEER15_ER2_SF</v>
      </c>
      <c r="G1945" s="3984"/>
      <c r="H1945" s="3984"/>
      <c r="I1945" s="3984"/>
      <c r="J1945" s="3501" t="str">
        <f>$C$1544</f>
        <v>352350_2021_12_</v>
      </c>
      <c r="K1945" s="3047">
        <v>32616.186021300451</v>
      </c>
      <c r="L1945" s="3517">
        <f t="shared" si="356"/>
        <v>2.7180155017750378</v>
      </c>
      <c r="M1945" s="3518" t="s">
        <v>1083</v>
      </c>
      <c r="N1945" s="2804"/>
      <c r="O1945" s="106"/>
      <c r="P1945" s="694" t="s">
        <v>954</v>
      </c>
      <c r="Q1945" s="1321">
        <f t="shared" si="358"/>
        <v>1154.813599825558</v>
      </c>
      <c r="R1945" s="695">
        <v>438</v>
      </c>
      <c r="S1945" s="106" t="s">
        <v>952</v>
      </c>
      <c r="T1945" s="693"/>
      <c r="U1945" s="452"/>
      <c r="V1945" s="3980"/>
      <c r="W1945" s="3421">
        <v>37200</v>
      </c>
      <c r="X1945" s="2374">
        <f t="shared" si="357"/>
        <v>36720</v>
      </c>
      <c r="Y1945" s="2374">
        <v>35160</v>
      </c>
      <c r="Z1945" s="3421">
        <v>35160</v>
      </c>
      <c r="AA1945" s="3421">
        <v>35160</v>
      </c>
      <c r="AB1945" s="2296">
        <v>37222.222222222219</v>
      </c>
      <c r="AC1945" s="2292">
        <f>AC1944</f>
        <v>37480.519480519484</v>
      </c>
      <c r="AD1945" s="3047">
        <v>32616.186021300451</v>
      </c>
      <c r="AE1945" s="3429"/>
      <c r="AF1945" s="3421"/>
      <c r="AG1945" s="3421"/>
      <c r="AH1945" s="156"/>
      <c r="AI1945" s="156"/>
      <c r="AJ1945" s="156"/>
      <c r="AK1945" s="156"/>
      <c r="AL1945" s="156"/>
      <c r="AM1945" s="156"/>
      <c r="AN1945" s="156"/>
      <c r="AO1945" s="156"/>
      <c r="AP1945" s="156"/>
      <c r="AQ1945" s="156"/>
      <c r="AR1945" s="156"/>
      <c r="AS1945" s="156"/>
      <c r="AT1945" s="156"/>
      <c r="AU1945" s="156"/>
      <c r="AV1945" s="156"/>
      <c r="AW1945" s="156"/>
      <c r="AX1945" s="156"/>
      <c r="AY1945" s="156"/>
      <c r="AZ1945" s="156"/>
      <c r="BA1945" s="156"/>
      <c r="BB1945" s="2828"/>
      <c r="BC1945" s="452"/>
      <c r="BD1945" s="2829"/>
      <c r="BE1945" s="2837"/>
      <c r="BF1945" s="156"/>
    </row>
    <row r="1946" spans="1:58" ht="15" customHeight="1" outlineLevel="1" x14ac:dyDescent="0.35">
      <c r="A1946" s="1664"/>
      <c r="B1946" s="2812"/>
      <c r="C1946" s="3077"/>
      <c r="D1946" s="3980"/>
      <c r="E1946" s="3883"/>
      <c r="F1946" s="3984" t="str">
        <f>$E$1546</f>
        <v>ASHP-SEER15-Replace_CAC_ElectricHeat_ROF_SF</v>
      </c>
      <c r="G1946" s="3984"/>
      <c r="H1946" s="3984"/>
      <c r="I1946" s="3984"/>
      <c r="J1946" s="3501" t="str">
        <f>$C$1546</f>
        <v>352400_2021_12_</v>
      </c>
      <c r="K1946" s="3047">
        <v>33764.105504587154</v>
      </c>
      <c r="L1946" s="3517">
        <f t="shared" si="356"/>
        <v>2.8136754587155961</v>
      </c>
      <c r="M1946" s="3518" t="s">
        <v>4360</v>
      </c>
      <c r="N1946" s="2804"/>
      <c r="O1946" s="106"/>
      <c r="P1946" s="694" t="s">
        <v>955</v>
      </c>
      <c r="Q1946" s="1321">
        <f t="shared" si="358"/>
        <v>1440.813599825558</v>
      </c>
      <c r="R1946" s="695">
        <v>724</v>
      </c>
      <c r="S1946" s="106" t="s">
        <v>952</v>
      </c>
      <c r="T1946" s="693"/>
      <c r="U1946" s="452"/>
      <c r="V1946" s="3980"/>
      <c r="W1946" s="3421">
        <v>31200</v>
      </c>
      <c r="X1946" s="2374">
        <f t="shared" si="357"/>
        <v>36720</v>
      </c>
      <c r="Y1946" s="2374">
        <v>34320</v>
      </c>
      <c r="Z1946" s="3421">
        <v>34320</v>
      </c>
      <c r="AA1946" s="3421">
        <v>34320</v>
      </c>
      <c r="AB1946" s="2296">
        <v>35872.340425531918</v>
      </c>
      <c r="AC1946" s="2292">
        <v>37047.619047619046</v>
      </c>
      <c r="AD1946" s="3047">
        <v>33764.105504587154</v>
      </c>
      <c r="AE1946" s="3429"/>
      <c r="AF1946" s="3421"/>
      <c r="AG1946" s="3421"/>
      <c r="AH1946" s="156"/>
      <c r="AI1946" s="156"/>
      <c r="AJ1946" s="156"/>
      <c r="AK1946" s="156"/>
      <c r="AL1946" s="156"/>
      <c r="AM1946" s="156"/>
      <c r="AN1946" s="156"/>
      <c r="AO1946" s="156"/>
      <c r="AP1946" s="156"/>
      <c r="AQ1946" s="156"/>
      <c r="AR1946" s="156"/>
      <c r="AS1946" s="156"/>
      <c r="AT1946" s="156"/>
      <c r="AU1946" s="156"/>
      <c r="AV1946" s="156"/>
      <c r="AW1946" s="156"/>
      <c r="AX1946" s="156"/>
      <c r="AY1946" s="156"/>
      <c r="AZ1946" s="156"/>
      <c r="BA1946" s="156"/>
      <c r="BB1946" s="2828"/>
      <c r="BC1946" s="452"/>
      <c r="BD1946" s="2829"/>
      <c r="BE1946" s="2837"/>
      <c r="BF1946" s="156"/>
    </row>
    <row r="1947" spans="1:58" ht="15" customHeight="1" outlineLevel="1" x14ac:dyDescent="0.35">
      <c r="A1947" s="1664"/>
      <c r="B1947" s="2812"/>
      <c r="C1947" s="3077"/>
      <c r="D1947" s="3980"/>
      <c r="E1947" s="3883"/>
      <c r="F1947" s="3984" t="str">
        <f>$E$1548</f>
        <v>ASHP-SEER15-Replace_CAC_NonElectricHeat_ROF_SF</v>
      </c>
      <c r="G1947" s="3984"/>
      <c r="H1947" s="3984"/>
      <c r="I1947" s="3984"/>
      <c r="J1947" s="3501" t="str">
        <f>$C$1548</f>
        <v>352410_2021_12_</v>
      </c>
      <c r="K1947" s="3047">
        <v>33764.105504587154</v>
      </c>
      <c r="L1947" s="3517">
        <f t="shared" si="356"/>
        <v>2.8136754587155961</v>
      </c>
      <c r="M1947" s="3520" t="s">
        <v>1083</v>
      </c>
      <c r="N1947" s="2804"/>
      <c r="O1947" s="106"/>
      <c r="P1947" s="694" t="s">
        <v>956</v>
      </c>
      <c r="Q1947" s="1321">
        <f t="shared" si="358"/>
        <v>1679.733599825558</v>
      </c>
      <c r="R1947" s="695">
        <f>R1946*S1947</f>
        <v>962.92000000000007</v>
      </c>
      <c r="S1947" s="1289">
        <v>1.33</v>
      </c>
      <c r="T1947" s="693"/>
      <c r="U1947" s="452"/>
      <c r="V1947" s="3980"/>
      <c r="W1947" s="3421"/>
      <c r="X1947" s="2374"/>
      <c r="Y1947" s="2374"/>
      <c r="Z1947" s="3421"/>
      <c r="AA1947" s="3421"/>
      <c r="AB1947" s="2296"/>
      <c r="AC1947" s="3555">
        <v>37047.619047619046</v>
      </c>
      <c r="AD1947" s="3047">
        <v>33764.105504587154</v>
      </c>
      <c r="AE1947" s="3429"/>
      <c r="AF1947" s="3421"/>
      <c r="AG1947" s="3421"/>
      <c r="AH1947" s="156"/>
      <c r="AI1947" s="156"/>
      <c r="AJ1947" s="156"/>
      <c r="AK1947" s="156"/>
      <c r="AL1947" s="156"/>
      <c r="AM1947" s="156"/>
      <c r="AN1947" s="156"/>
      <c r="AO1947" s="156"/>
      <c r="AP1947" s="156"/>
      <c r="AQ1947" s="156"/>
      <c r="AR1947" s="156"/>
      <c r="AS1947" s="156"/>
      <c r="AT1947" s="156"/>
      <c r="AU1947" s="156"/>
      <c r="AV1947" s="156"/>
      <c r="AW1947" s="156"/>
      <c r="AX1947" s="156"/>
      <c r="AY1947" s="156"/>
      <c r="AZ1947" s="156"/>
      <c r="BA1947" s="156"/>
      <c r="BB1947" s="2828"/>
      <c r="BC1947" s="452"/>
      <c r="BD1947" s="2829"/>
      <c r="BE1947" s="2837"/>
      <c r="BF1947" s="156"/>
    </row>
    <row r="1948" spans="1:58" ht="15" customHeight="1" outlineLevel="1" x14ac:dyDescent="0.35">
      <c r="A1948" s="1664"/>
      <c r="B1948" s="2812"/>
      <c r="C1948" s="3077"/>
      <c r="D1948" s="3980"/>
      <c r="E1948" s="3883"/>
      <c r="F1948" s="3984" t="str">
        <f>$E$1550</f>
        <v>ASHP-SEER15_ROF_SF</v>
      </c>
      <c r="G1948" s="3984"/>
      <c r="H1948" s="3984"/>
      <c r="I1948" s="3984"/>
      <c r="J1948" s="3501" t="str">
        <f>$C$1550</f>
        <v>352450_2021_12_</v>
      </c>
      <c r="K1948" s="3047">
        <v>33764.105504587154</v>
      </c>
      <c r="L1948" s="3517">
        <f t="shared" si="356"/>
        <v>2.8136754587155961</v>
      </c>
      <c r="M1948" s="3518" t="s">
        <v>1083</v>
      </c>
      <c r="N1948" s="2804"/>
      <c r="O1948" s="106"/>
      <c r="P1948" s="694" t="s">
        <v>957</v>
      </c>
      <c r="Q1948" s="1321">
        <f t="shared" si="358"/>
        <v>1920.4635998255585</v>
      </c>
      <c r="R1948" s="695">
        <f>R1947*S1948</f>
        <v>1203.6500000000003</v>
      </c>
      <c r="S1948" s="1322">
        <v>1.2500000000000002</v>
      </c>
      <c r="T1948" s="693"/>
      <c r="U1948" s="452"/>
      <c r="V1948" s="3980"/>
      <c r="W1948" s="3421">
        <v>37200</v>
      </c>
      <c r="X1948" s="2374">
        <f t="shared" si="357"/>
        <v>36720</v>
      </c>
      <c r="Y1948" s="2374">
        <v>34680</v>
      </c>
      <c r="Z1948" s="3421">
        <v>34680</v>
      </c>
      <c r="AA1948" s="3421">
        <v>34680</v>
      </c>
      <c r="AB1948" s="3421">
        <v>34680</v>
      </c>
      <c r="AC1948" s="2292">
        <v>35892.857142857138</v>
      </c>
      <c r="AD1948" s="3047">
        <v>33764.105504587154</v>
      </c>
      <c r="AE1948" s="3429"/>
      <c r="AF1948" s="3421"/>
      <c r="AG1948" s="3421"/>
      <c r="AH1948" s="156"/>
      <c r="AI1948" s="156"/>
      <c r="AJ1948" s="156"/>
      <c r="AK1948" s="156"/>
      <c r="AL1948" s="156"/>
      <c r="AM1948" s="156"/>
      <c r="AN1948" s="156"/>
      <c r="AO1948" s="156"/>
      <c r="AP1948" s="156"/>
      <c r="AQ1948" s="156"/>
      <c r="AR1948" s="156"/>
      <c r="AS1948" s="156"/>
      <c r="AT1948" s="156"/>
      <c r="AU1948" s="156"/>
      <c r="AV1948" s="156"/>
      <c r="AW1948" s="156"/>
      <c r="AX1948" s="156"/>
      <c r="AY1948" s="156"/>
      <c r="AZ1948" s="156"/>
      <c r="BA1948" s="156"/>
      <c r="BB1948" s="2828"/>
      <c r="BC1948" s="452"/>
      <c r="BD1948" s="2829"/>
      <c r="BE1948" s="2837"/>
      <c r="BF1948" s="156"/>
    </row>
    <row r="1949" spans="1:58" ht="15" customHeight="1" outlineLevel="1" x14ac:dyDescent="0.35">
      <c r="A1949" s="1664"/>
      <c r="B1949" s="2812"/>
      <c r="C1949" s="3077"/>
      <c r="D1949" s="3980"/>
      <c r="E1949" s="3883"/>
      <c r="F1949" s="3984" t="str">
        <f>$E$1552</f>
        <v>ASHP-SEER16-Replace_CAC_ElectricHeat_ER1_SF</v>
      </c>
      <c r="G1949" s="3984"/>
      <c r="H1949" s="3984"/>
      <c r="I1949" s="3984"/>
      <c r="J1949" s="3501" t="str">
        <f>$C$1552</f>
        <v>352500_2021_12_</v>
      </c>
      <c r="K1949" s="3047">
        <v>33051.122544058344</v>
      </c>
      <c r="L1949" s="3517">
        <f t="shared" si="356"/>
        <v>2.754260212004862</v>
      </c>
      <c r="M1949" s="3518" t="s">
        <v>4360</v>
      </c>
      <c r="N1949" s="2804"/>
      <c r="O1949" s="106"/>
      <c r="P1949" s="694" t="s">
        <v>958</v>
      </c>
      <c r="Q1949" s="1321">
        <f t="shared" si="358"/>
        <v>2161.1935998255572</v>
      </c>
      <c r="R1949" s="695">
        <f>R1948*S1949</f>
        <v>1444.3799999999994</v>
      </c>
      <c r="S1949" s="1322">
        <v>1.1999999999999993</v>
      </c>
      <c r="T1949" s="1290" t="s">
        <v>959</v>
      </c>
      <c r="U1949" s="452"/>
      <c r="V1949" s="3980"/>
      <c r="W1949" s="3421">
        <v>37200</v>
      </c>
      <c r="X1949" s="2374">
        <f t="shared" si="357"/>
        <v>36720</v>
      </c>
      <c r="Y1949" s="2374">
        <v>38160</v>
      </c>
      <c r="Z1949" s="3421">
        <v>38160</v>
      </c>
      <c r="AA1949" s="3421">
        <v>38160</v>
      </c>
      <c r="AB1949" s="2296">
        <v>35375.776397515532</v>
      </c>
      <c r="AC1949" s="2292">
        <v>35069.908814589668</v>
      </c>
      <c r="AD1949" s="3047">
        <v>33051.122544058344</v>
      </c>
      <c r="AE1949" s="3429"/>
      <c r="AF1949" s="3421"/>
      <c r="AG1949" s="3421"/>
      <c r="AH1949" s="156"/>
      <c r="AI1949" s="156"/>
      <c r="AJ1949" s="156"/>
      <c r="AK1949" s="156"/>
      <c r="AL1949" s="156"/>
      <c r="AM1949" s="156"/>
      <c r="AN1949" s="156"/>
      <c r="AO1949" s="156"/>
      <c r="AP1949" s="156"/>
      <c r="AQ1949" s="156"/>
      <c r="AR1949" s="156"/>
      <c r="AS1949" s="156"/>
      <c r="AT1949" s="156"/>
      <c r="AU1949" s="156"/>
      <c r="AV1949" s="156"/>
      <c r="AW1949" s="156"/>
      <c r="AX1949" s="156"/>
      <c r="AY1949" s="156"/>
      <c r="AZ1949" s="156"/>
      <c r="BA1949" s="156"/>
      <c r="BB1949" s="2828"/>
      <c r="BC1949" s="452"/>
      <c r="BD1949" s="2829"/>
      <c r="BE1949" s="2837"/>
      <c r="BF1949" s="156"/>
    </row>
    <row r="1950" spans="1:58" ht="15" customHeight="1" outlineLevel="1" x14ac:dyDescent="0.35">
      <c r="A1950" s="1664"/>
      <c r="B1950" s="2812"/>
      <c r="C1950" s="3077"/>
      <c r="D1950" s="3980"/>
      <c r="E1950" s="3883"/>
      <c r="F1950" s="3984" t="str">
        <f>$E$1554</f>
        <v>ASHP-SEER16-Replace_CAC_ElectricHeat_ER2_SF</v>
      </c>
      <c r="G1950" s="3984"/>
      <c r="H1950" s="3984"/>
      <c r="I1950" s="3984"/>
      <c r="J1950" s="3501" t="str">
        <f>$C$1554</f>
        <v>352500_2021_12_</v>
      </c>
      <c r="K1950" s="3047">
        <v>33051.122544058344</v>
      </c>
      <c r="L1950" s="3517">
        <f t="shared" si="356"/>
        <v>2.754260212004862</v>
      </c>
      <c r="M1950" s="3518" t="s">
        <v>1083</v>
      </c>
      <c r="N1950" s="2804"/>
      <c r="O1950" s="106"/>
      <c r="P1950" s="694" t="s">
        <v>960</v>
      </c>
      <c r="Q1950" s="1321">
        <f t="shared" si="358"/>
        <v>2406.7381998255573</v>
      </c>
      <c r="R1950" s="695">
        <f>R1949*S1950</f>
        <v>1689.9245999999991</v>
      </c>
      <c r="S1950" s="1322">
        <v>1.17</v>
      </c>
      <c r="T1950" s="486"/>
      <c r="U1950" s="452"/>
      <c r="V1950" s="3980"/>
      <c r="W1950" s="3421">
        <v>37200</v>
      </c>
      <c r="X1950" s="2374">
        <f t="shared" si="357"/>
        <v>36720</v>
      </c>
      <c r="Y1950" s="2374">
        <v>38160</v>
      </c>
      <c r="Z1950" s="3421">
        <v>38160</v>
      </c>
      <c r="AA1950" s="3421">
        <v>38160</v>
      </c>
      <c r="AB1950" s="2296">
        <v>35375.776397515532</v>
      </c>
      <c r="AC1950" s="2292">
        <f>AC1949</f>
        <v>35069.908814589668</v>
      </c>
      <c r="AD1950" s="3047">
        <v>33051.122544058344</v>
      </c>
      <c r="AE1950" s="3429"/>
      <c r="AF1950" s="3421"/>
      <c r="AG1950" s="3421"/>
      <c r="AH1950" s="156"/>
      <c r="AI1950" s="156"/>
      <c r="AJ1950" s="156"/>
      <c r="AK1950" s="156"/>
      <c r="AL1950" s="156"/>
      <c r="AM1950" s="156"/>
      <c r="AN1950" s="156"/>
      <c r="AO1950" s="156"/>
      <c r="AP1950" s="156"/>
      <c r="AQ1950" s="156"/>
      <c r="AR1950" s="156"/>
      <c r="AS1950" s="156"/>
      <c r="AT1950" s="156"/>
      <c r="AU1950" s="156"/>
      <c r="AV1950" s="156"/>
      <c r="AW1950" s="156"/>
      <c r="AX1950" s="156"/>
      <c r="AY1950" s="156"/>
      <c r="AZ1950" s="156"/>
      <c r="BA1950" s="156"/>
      <c r="BB1950" s="2828"/>
      <c r="BC1950" s="452"/>
      <c r="BD1950" s="2829"/>
      <c r="BE1950" s="2837"/>
      <c r="BF1950" s="156"/>
    </row>
    <row r="1951" spans="1:58" ht="15" customHeight="1" outlineLevel="1" x14ac:dyDescent="0.35">
      <c r="A1951" s="1664"/>
      <c r="B1951" s="2812"/>
      <c r="C1951" s="3077"/>
      <c r="D1951" s="3980"/>
      <c r="E1951" s="3883"/>
      <c r="F1951" s="3984" t="str">
        <f>$E$1556</f>
        <v>ASHP-SEER16-Replace_CAC_NonElectricHeat_ER1_SF</v>
      </c>
      <c r="G1951" s="3984"/>
      <c r="H1951" s="3984"/>
      <c r="I1951" s="3984"/>
      <c r="J1951" s="3501" t="str">
        <f>$C$1556</f>
        <v>352510_2021_12_</v>
      </c>
      <c r="K1951" s="3047">
        <v>33051.122544058344</v>
      </c>
      <c r="L1951" s="3517">
        <f t="shared" si="356"/>
        <v>2.754260212004862</v>
      </c>
      <c r="M1951" s="3520" t="s">
        <v>1083</v>
      </c>
      <c r="N1951" s="2804"/>
      <c r="O1951" s="106"/>
      <c r="P1951" s="694" t="s">
        <v>413</v>
      </c>
      <c r="Q1951" s="1321">
        <f>AVERAGE(Q1944:Q1950)</f>
        <v>1683.367114111272</v>
      </c>
      <c r="R1951" s="695">
        <f>AVERAGE(R1944:R1950)</f>
        <v>966.55351428571419</v>
      </c>
      <c r="S1951" s="696"/>
      <c r="T1951" s="486"/>
      <c r="U1951" s="452"/>
      <c r="V1951" s="3980"/>
      <c r="W1951" s="3421"/>
      <c r="X1951" s="2374"/>
      <c r="Y1951" s="2374"/>
      <c r="Z1951" s="3421"/>
      <c r="AA1951" s="3421"/>
      <c r="AB1951" s="2296"/>
      <c r="AC1951" s="2292">
        <v>35069.908814589668</v>
      </c>
      <c r="AD1951" s="3047">
        <v>33051.122544058344</v>
      </c>
      <c r="AE1951" s="3429"/>
      <c r="AF1951" s="3421"/>
      <c r="AG1951" s="3421"/>
      <c r="AH1951" s="156"/>
      <c r="AI1951" s="156"/>
      <c r="AJ1951" s="156"/>
      <c r="AK1951" s="156"/>
      <c r="AL1951" s="156"/>
      <c r="AM1951" s="156"/>
      <c r="AN1951" s="156"/>
      <c r="AO1951" s="156"/>
      <c r="AP1951" s="156"/>
      <c r="AQ1951" s="156"/>
      <c r="AR1951" s="156"/>
      <c r="AS1951" s="156"/>
      <c r="AT1951" s="156"/>
      <c r="AU1951" s="156"/>
      <c r="AV1951" s="156"/>
      <c r="AW1951" s="156"/>
      <c r="AX1951" s="156"/>
      <c r="AY1951" s="156"/>
      <c r="AZ1951" s="156"/>
      <c r="BA1951" s="156"/>
      <c r="BB1951" s="2828"/>
      <c r="BC1951" s="452"/>
      <c r="BD1951" s="2829"/>
      <c r="BE1951" s="2837"/>
      <c r="BF1951" s="156"/>
    </row>
    <row r="1952" spans="1:58" ht="15" customHeight="1" outlineLevel="1" x14ac:dyDescent="0.35">
      <c r="A1952" s="1664"/>
      <c r="B1952" s="2812"/>
      <c r="C1952" s="3077"/>
      <c r="D1952" s="3980"/>
      <c r="E1952" s="3883"/>
      <c r="F1952" s="3984" t="str">
        <f>$E$1558</f>
        <v>ASHP-SEER16-Replace_CAC_NonElectricHeat_ER2_SF</v>
      </c>
      <c r="G1952" s="3984"/>
      <c r="H1952" s="3984"/>
      <c r="I1952" s="3984"/>
      <c r="J1952" s="3501" t="str">
        <f>$C$1558</f>
        <v>352510_2021_12_</v>
      </c>
      <c r="K1952" s="3047">
        <v>33051.122544058344</v>
      </c>
      <c r="L1952" s="3517">
        <f t="shared" si="356"/>
        <v>2.754260212004862</v>
      </c>
      <c r="M1952" s="3520" t="s">
        <v>1083</v>
      </c>
      <c r="N1952" s="2804"/>
      <c r="O1952" s="106"/>
      <c r="P1952" s="1323" t="s">
        <v>961</v>
      </c>
      <c r="Q1952" s="106"/>
      <c r="R1952" s="103"/>
      <c r="S1952" s="106"/>
      <c r="T1952" s="486"/>
      <c r="U1952" s="452"/>
      <c r="V1952" s="3980"/>
      <c r="W1952" s="3421"/>
      <c r="X1952" s="2374"/>
      <c r="Y1952" s="2374"/>
      <c r="Z1952" s="3421"/>
      <c r="AA1952" s="3421"/>
      <c r="AB1952" s="2296"/>
      <c r="AC1952" s="2292">
        <f>AC1951</f>
        <v>35069.908814589668</v>
      </c>
      <c r="AD1952" s="3047">
        <v>33051.122544058344</v>
      </c>
      <c r="AE1952" s="3429"/>
      <c r="AF1952" s="3421"/>
      <c r="AG1952" s="3421"/>
      <c r="AH1952" s="156"/>
      <c r="AI1952" s="156"/>
      <c r="AJ1952" s="156"/>
      <c r="AK1952" s="156"/>
      <c r="AL1952" s="156"/>
      <c r="AM1952" s="156"/>
      <c r="AN1952" s="156"/>
      <c r="AO1952" s="156"/>
      <c r="AP1952" s="156"/>
      <c r="AQ1952" s="156"/>
      <c r="AR1952" s="156"/>
      <c r="AS1952" s="156"/>
      <c r="AT1952" s="156"/>
      <c r="AU1952" s="156"/>
      <c r="AV1952" s="156"/>
      <c r="AW1952" s="156"/>
      <c r="AX1952" s="156"/>
      <c r="AY1952" s="156"/>
      <c r="AZ1952" s="156"/>
      <c r="BA1952" s="156"/>
      <c r="BB1952" s="2828"/>
      <c r="BC1952" s="452"/>
      <c r="BD1952" s="2829"/>
      <c r="BE1952" s="2837"/>
      <c r="BF1952" s="156"/>
    </row>
    <row r="1953" spans="1:58" ht="15" customHeight="1" outlineLevel="1" x14ac:dyDescent="0.35">
      <c r="A1953" s="1664"/>
      <c r="B1953" s="2812"/>
      <c r="C1953" s="3077"/>
      <c r="D1953" s="3980"/>
      <c r="E1953" s="3883"/>
      <c r="F1953" s="3984" t="str">
        <f>$E$1560</f>
        <v>ASHP-SEER16_ER1_SF</v>
      </c>
      <c r="G1953" s="3984"/>
      <c r="H1953" s="3984"/>
      <c r="I1953" s="3984"/>
      <c r="J1953" s="3501" t="str">
        <f>$C$1560</f>
        <v>352550_2021_12_</v>
      </c>
      <c r="K1953" s="3047">
        <v>33051.122544058344</v>
      </c>
      <c r="L1953" s="3517">
        <f t="shared" si="356"/>
        <v>2.754260212004862</v>
      </c>
      <c r="M1953" s="3518" t="s">
        <v>1083</v>
      </c>
      <c r="N1953" s="2804"/>
      <c r="O1953" s="106"/>
      <c r="P1953" s="156"/>
      <c r="Q1953" s="156"/>
      <c r="R1953" s="156"/>
      <c r="S1953" s="156"/>
      <c r="T1953" s="156"/>
      <c r="U1953" s="452"/>
      <c r="V1953" s="3980"/>
      <c r="W1953" s="3421">
        <v>39600</v>
      </c>
      <c r="X1953" s="2374">
        <f t="shared" si="357"/>
        <v>36720</v>
      </c>
      <c r="Y1953" s="2374">
        <v>37800</v>
      </c>
      <c r="Z1953" s="3421">
        <v>37800</v>
      </c>
      <c r="AA1953" s="3421">
        <v>37800</v>
      </c>
      <c r="AB1953" s="2296">
        <v>37317.757009345798</v>
      </c>
      <c r="AC1953" s="2292">
        <v>36536.170212765959</v>
      </c>
      <c r="AD1953" s="3047">
        <v>33051.122544058344</v>
      </c>
      <c r="AE1953" s="3429"/>
      <c r="AF1953" s="3421"/>
      <c r="AG1953" s="3421"/>
      <c r="AH1953" s="156"/>
      <c r="AI1953" s="156"/>
      <c r="AJ1953" s="156"/>
      <c r="AK1953" s="156"/>
      <c r="AL1953" s="156"/>
      <c r="AM1953" s="156"/>
      <c r="AN1953" s="156"/>
      <c r="AO1953" s="156"/>
      <c r="AP1953" s="156"/>
      <c r="AQ1953" s="156"/>
      <c r="AR1953" s="156"/>
      <c r="AS1953" s="156"/>
      <c r="AT1953" s="156"/>
      <c r="AU1953" s="156"/>
      <c r="AV1953" s="156"/>
      <c r="AW1953" s="156"/>
      <c r="AX1953" s="156"/>
      <c r="AY1953" s="156"/>
      <c r="AZ1953" s="156"/>
      <c r="BA1953" s="156"/>
      <c r="BB1953" s="2828"/>
      <c r="BC1953" s="452"/>
      <c r="BD1953" s="2829"/>
      <c r="BE1953" s="2837"/>
      <c r="BF1953" s="156"/>
    </row>
    <row r="1954" spans="1:58" ht="15" customHeight="1" outlineLevel="1" x14ac:dyDescent="0.35">
      <c r="A1954" s="1664"/>
      <c r="B1954" s="2812"/>
      <c r="C1954" s="3077"/>
      <c r="D1954" s="3980"/>
      <c r="E1954" s="3883"/>
      <c r="F1954" s="3984" t="str">
        <f>$E$1562</f>
        <v>ASHP-SEER16_ER2_SF</v>
      </c>
      <c r="G1954" s="3984"/>
      <c r="H1954" s="3984"/>
      <c r="I1954" s="3984"/>
      <c r="J1954" s="3501" t="str">
        <f>$C$1562</f>
        <v>352550_2021_12_</v>
      </c>
      <c r="K1954" s="3047">
        <v>33051.122544058344</v>
      </c>
      <c r="L1954" s="3519">
        <f t="shared" si="356"/>
        <v>2.754260212004862</v>
      </c>
      <c r="M1954" s="3518" t="s">
        <v>1083</v>
      </c>
      <c r="N1954" s="2804"/>
      <c r="O1954" s="106"/>
      <c r="P1954" s="156"/>
      <c r="Q1954" s="156"/>
      <c r="R1954" s="156"/>
      <c r="S1954" s="156"/>
      <c r="T1954" s="156"/>
      <c r="U1954" s="452"/>
      <c r="V1954" s="3980"/>
      <c r="W1954" s="3421">
        <v>39600</v>
      </c>
      <c r="X1954" s="2377">
        <f t="shared" si="357"/>
        <v>36720</v>
      </c>
      <c r="Y1954" s="2377">
        <v>37800</v>
      </c>
      <c r="Z1954" s="3425">
        <v>37800</v>
      </c>
      <c r="AA1954" s="3425">
        <v>37800</v>
      </c>
      <c r="AB1954" s="3556">
        <v>37317.757009345798</v>
      </c>
      <c r="AC1954" s="3555">
        <f>AC1953</f>
        <v>36536.170212765959</v>
      </c>
      <c r="AD1954" s="3047">
        <v>33051.122544058344</v>
      </c>
      <c r="AE1954" s="3429"/>
      <c r="AF1954" s="3421"/>
      <c r="AG1954" s="3421"/>
      <c r="AH1954" s="156"/>
      <c r="AI1954" s="156"/>
      <c r="AJ1954" s="156"/>
      <c r="AK1954" s="156"/>
      <c r="AL1954" s="156"/>
      <c r="AM1954" s="156"/>
      <c r="AN1954" s="156"/>
      <c r="AO1954" s="156"/>
      <c r="AP1954" s="156"/>
      <c r="AQ1954" s="156"/>
      <c r="AR1954" s="156"/>
      <c r="AS1954" s="156"/>
      <c r="AT1954" s="156"/>
      <c r="AU1954" s="156"/>
      <c r="AV1954" s="156"/>
      <c r="AW1954" s="156"/>
      <c r="AX1954" s="156"/>
      <c r="AY1954" s="156"/>
      <c r="AZ1954" s="156"/>
      <c r="BA1954" s="156"/>
      <c r="BB1954" s="2828"/>
      <c r="BC1954" s="452"/>
      <c r="BD1954" s="2829"/>
      <c r="BE1954" s="2837"/>
      <c r="BF1954" s="156"/>
    </row>
    <row r="1955" spans="1:58" ht="15" customHeight="1" outlineLevel="1" x14ac:dyDescent="0.35">
      <c r="A1955" s="1664"/>
      <c r="B1955" s="2812"/>
      <c r="C1955" s="3077"/>
      <c r="D1955" s="3980"/>
      <c r="E1955" s="3883"/>
      <c r="F1955" s="3984" t="str">
        <f>$E$1564</f>
        <v>ASHP-SEER16-Replace_CAC_ElectricHeat_ROF_SF</v>
      </c>
      <c r="G1955" s="3984"/>
      <c r="H1955" s="3984"/>
      <c r="I1955" s="3984"/>
      <c r="J1955" s="3501" t="str">
        <f>$C$1564</f>
        <v>352600_2021_12_</v>
      </c>
      <c r="K1955" s="3047">
        <v>35642.967406424148</v>
      </c>
      <c r="L1955" s="3519">
        <f t="shared" si="356"/>
        <v>2.9702472838686789</v>
      </c>
      <c r="M1955" s="3518" t="s">
        <v>4360</v>
      </c>
      <c r="N1955" s="2804"/>
      <c r="O1955" s="106"/>
      <c r="P1955" s="156"/>
      <c r="Q1955" s="156"/>
      <c r="R1955" s="156"/>
      <c r="S1955" s="156"/>
      <c r="T1955" s="156"/>
      <c r="U1955" s="106"/>
      <c r="V1955" s="3980"/>
      <c r="W1955" s="3421">
        <v>38400</v>
      </c>
      <c r="X1955" s="2377">
        <f t="shared" si="357"/>
        <v>36720</v>
      </c>
      <c r="Y1955" s="2377">
        <v>37320</v>
      </c>
      <c r="Z1955" s="3425">
        <v>37320</v>
      </c>
      <c r="AA1955" s="3425">
        <v>37320</v>
      </c>
      <c r="AB1955" s="3556">
        <v>35428.571428571428</v>
      </c>
      <c r="AC1955" s="3555">
        <v>35468.354430379746</v>
      </c>
      <c r="AD1955" s="3047">
        <v>35642.967406424148</v>
      </c>
      <c r="AE1955" s="3429"/>
      <c r="AF1955" s="3421"/>
      <c r="AG1955" s="3421"/>
      <c r="AH1955" s="156"/>
      <c r="AI1955" s="156"/>
      <c r="AJ1955" s="156"/>
      <c r="AK1955" s="156"/>
      <c r="AL1955" s="156"/>
      <c r="AM1955" s="156"/>
      <c r="AN1955" s="156"/>
      <c r="AO1955" s="156"/>
      <c r="AP1955" s="156"/>
      <c r="AQ1955" s="156"/>
      <c r="AR1955" s="156"/>
      <c r="AS1955" s="156"/>
      <c r="AT1955" s="156"/>
      <c r="AU1955" s="156"/>
      <c r="AV1955" s="156"/>
      <c r="AW1955" s="156"/>
      <c r="AX1955" s="156"/>
      <c r="AY1955" s="156"/>
      <c r="AZ1955" s="156"/>
      <c r="BA1955" s="156"/>
      <c r="BB1955" s="2828"/>
      <c r="BC1955" s="452"/>
      <c r="BD1955" s="2829"/>
      <c r="BE1955" s="2837"/>
      <c r="BF1955" s="156"/>
    </row>
    <row r="1956" spans="1:58" ht="15" customHeight="1" outlineLevel="1" x14ac:dyDescent="0.35">
      <c r="A1956" s="1664"/>
      <c r="B1956" s="2812"/>
      <c r="C1956" s="3077"/>
      <c r="D1956" s="3980"/>
      <c r="E1956" s="3883"/>
      <c r="F1956" s="4136" t="str">
        <f>$E$1566</f>
        <v>ASHP-SEER16-Replace_CAC_NonElectricHeat_ROF_SF</v>
      </c>
      <c r="G1956" s="4136"/>
      <c r="H1956" s="4136"/>
      <c r="I1956" s="4136"/>
      <c r="J1956" s="3502" t="str">
        <f>$C$1566</f>
        <v>352610_2022_12_</v>
      </c>
      <c r="K1956" s="3047">
        <v>35642.967406424148</v>
      </c>
      <c r="L1956" s="3519">
        <f t="shared" ref="L1956" si="359">K1956/12000</f>
        <v>2.9702472838686789</v>
      </c>
      <c r="M1956" s="3518" t="s">
        <v>1083</v>
      </c>
      <c r="N1956" s="3391"/>
      <c r="O1956" s="3391"/>
      <c r="P1956" s="156"/>
      <c r="Q1956" s="156"/>
      <c r="R1956" s="156"/>
      <c r="S1956" s="156"/>
      <c r="T1956" s="156"/>
      <c r="U1956" s="3391"/>
      <c r="V1956" s="3980"/>
      <c r="W1956" s="3421"/>
      <c r="X1956" s="2377"/>
      <c r="Y1956" s="2377"/>
      <c r="Z1956" s="3425"/>
      <c r="AA1956" s="3425"/>
      <c r="AB1956" s="3556"/>
      <c r="AC1956" s="3555"/>
      <c r="AD1956" s="3047">
        <v>35642.967406424148</v>
      </c>
      <c r="AE1956" s="3429"/>
      <c r="AF1956" s="3421"/>
      <c r="AG1956" s="3421"/>
      <c r="AH1956" s="156"/>
      <c r="AI1956" s="156"/>
      <c r="AJ1956" s="156"/>
      <c r="AK1956" s="156"/>
      <c r="AL1956" s="156"/>
      <c r="AM1956" s="156"/>
      <c r="AN1956" s="156"/>
      <c r="AO1956" s="156"/>
      <c r="AP1956" s="156"/>
      <c r="AQ1956" s="156"/>
      <c r="AR1956" s="156"/>
      <c r="AS1956" s="156"/>
      <c r="AT1956" s="156"/>
      <c r="AU1956" s="156"/>
      <c r="AV1956" s="156"/>
      <c r="AW1956" s="156"/>
      <c r="AX1956" s="156"/>
      <c r="AY1956" s="156"/>
      <c r="AZ1956" s="156"/>
      <c r="BA1956" s="156"/>
      <c r="BB1956" s="2828"/>
      <c r="BC1956" s="452"/>
      <c r="BD1956" s="2829"/>
      <c r="BE1956" s="2837"/>
      <c r="BF1956" s="156"/>
    </row>
    <row r="1957" spans="1:58" ht="15" customHeight="1" outlineLevel="1" x14ac:dyDescent="0.35">
      <c r="A1957" s="1664"/>
      <c r="B1957" s="2812"/>
      <c r="C1957" s="3077"/>
      <c r="D1957" s="3980"/>
      <c r="E1957" s="3883"/>
      <c r="F1957" s="3984" t="str">
        <f>$E$1568</f>
        <v>ASHP-SEER16_ROF_SF</v>
      </c>
      <c r="G1957" s="3984"/>
      <c r="H1957" s="3984"/>
      <c r="I1957" s="3984"/>
      <c r="J1957" s="3501" t="str">
        <f>$C$1568</f>
        <v>352650_2021_12_</v>
      </c>
      <c r="K1957" s="3047">
        <v>35642.967406424148</v>
      </c>
      <c r="L1957" s="3519">
        <f t="shared" si="356"/>
        <v>2.9702472838686789</v>
      </c>
      <c r="M1957" s="3518" t="s">
        <v>1083</v>
      </c>
      <c r="N1957" s="2804"/>
      <c r="O1957" s="106"/>
      <c r="P1957" s="156"/>
      <c r="Q1957" s="156"/>
      <c r="R1957" s="156"/>
      <c r="S1957" s="156"/>
      <c r="T1957" s="486"/>
      <c r="U1957" s="106"/>
      <c r="V1957" s="3980"/>
      <c r="W1957" s="3421">
        <v>39600</v>
      </c>
      <c r="X1957" s="2377">
        <f t="shared" si="357"/>
        <v>36720</v>
      </c>
      <c r="Y1957" s="2377">
        <v>39000</v>
      </c>
      <c r="Z1957" s="3425">
        <v>39000</v>
      </c>
      <c r="AA1957" s="3425">
        <v>39000</v>
      </c>
      <c r="AB1957" s="3425">
        <v>39000</v>
      </c>
      <c r="AC1957" s="3555">
        <v>37105.263157894733</v>
      </c>
      <c r="AD1957" s="3047">
        <v>35642.967406424148</v>
      </c>
      <c r="AE1957" s="3429"/>
      <c r="AF1957" s="3421"/>
      <c r="AG1957" s="3421"/>
      <c r="AH1957" s="156"/>
      <c r="AI1957" s="156"/>
      <c r="AJ1957" s="156"/>
      <c r="AK1957" s="156"/>
      <c r="AL1957" s="156"/>
      <c r="AM1957" s="156"/>
      <c r="AN1957" s="156"/>
      <c r="AO1957" s="156"/>
      <c r="AP1957" s="156"/>
      <c r="AQ1957" s="156"/>
      <c r="AR1957" s="156"/>
      <c r="AS1957" s="156"/>
      <c r="AT1957" s="156"/>
      <c r="AU1957" s="156"/>
      <c r="AV1957" s="156"/>
      <c r="AW1957" s="156"/>
      <c r="AX1957" s="156"/>
      <c r="AY1957" s="156"/>
      <c r="AZ1957" s="156"/>
      <c r="BA1957" s="156"/>
      <c r="BB1957" s="2828"/>
      <c r="BC1957" s="452"/>
      <c r="BD1957" s="2829"/>
      <c r="BE1957" s="2837"/>
      <c r="BF1957" s="156"/>
    </row>
    <row r="1958" spans="1:58" ht="15" customHeight="1" outlineLevel="1" x14ac:dyDescent="0.35">
      <c r="A1958" s="1664"/>
      <c r="B1958" s="2812"/>
      <c r="C1958" s="3077"/>
      <c r="D1958" s="3980"/>
      <c r="E1958" s="3883"/>
      <c r="F1958" s="3984" t="str">
        <f>$E$1570</f>
        <v>ASHP-SEER15_ER1_MF</v>
      </c>
      <c r="G1958" s="3984"/>
      <c r="H1958" s="3984"/>
      <c r="I1958" s="3984"/>
      <c r="J1958" s="3501" t="str">
        <f>$C$1570</f>
        <v>352700_2021_12_</v>
      </c>
      <c r="K1958" s="3047">
        <v>35680</v>
      </c>
      <c r="L1958" s="3517">
        <f t="shared" si="356"/>
        <v>2.9733333333333332</v>
      </c>
      <c r="M1958" s="3518" t="s">
        <v>4360</v>
      </c>
      <c r="N1958" s="2804"/>
      <c r="O1958" s="106"/>
      <c r="P1958" s="3825" t="s">
        <v>4403</v>
      </c>
      <c r="Q1958" s="4088"/>
      <c r="R1958" s="3826"/>
      <c r="S1958" s="106"/>
      <c r="T1958" s="486"/>
      <c r="U1958" s="106"/>
      <c r="V1958" s="3980"/>
      <c r="W1958" s="3421">
        <v>37200</v>
      </c>
      <c r="X1958" s="3421">
        <v>37200</v>
      </c>
      <c r="Y1958" s="3421">
        <v>37200</v>
      </c>
      <c r="Z1958" s="3421">
        <v>37200</v>
      </c>
      <c r="AA1958" s="3421">
        <v>37200</v>
      </c>
      <c r="AB1958" s="2374">
        <v>34500</v>
      </c>
      <c r="AC1958" s="2292">
        <v>35000</v>
      </c>
      <c r="AD1958" s="3047">
        <v>35680</v>
      </c>
      <c r="AE1958" s="3429"/>
      <c r="AF1958" s="3421"/>
      <c r="AG1958" s="3421"/>
      <c r="AH1958" s="156"/>
      <c r="AI1958" s="156"/>
      <c r="AJ1958" s="156"/>
      <c r="AK1958" s="156"/>
      <c r="AL1958" s="156"/>
      <c r="AM1958" s="156"/>
      <c r="AN1958" s="156"/>
      <c r="AO1958" s="156"/>
      <c r="AP1958" s="156"/>
      <c r="AQ1958" s="156"/>
      <c r="AR1958" s="156"/>
      <c r="AS1958" s="156"/>
      <c r="AT1958" s="156"/>
      <c r="AU1958" s="156"/>
      <c r="AV1958" s="156"/>
      <c r="AW1958" s="156"/>
      <c r="AX1958" s="156"/>
      <c r="AY1958" s="156"/>
      <c r="AZ1958" s="156"/>
      <c r="BA1958" s="156"/>
      <c r="BB1958" s="2828"/>
      <c r="BC1958" s="452"/>
      <c r="BD1958" s="2829"/>
      <c r="BE1958" s="2837"/>
      <c r="BF1958" s="156"/>
    </row>
    <row r="1959" spans="1:58" ht="15" customHeight="1" outlineLevel="1" x14ac:dyDescent="0.35">
      <c r="A1959" s="1664"/>
      <c r="B1959" s="2812"/>
      <c r="C1959" s="3077"/>
      <c r="D1959" s="3980"/>
      <c r="E1959" s="3883"/>
      <c r="F1959" s="3984" t="str">
        <f>$E$1572</f>
        <v>ASHP-SEER15_ER2_MF</v>
      </c>
      <c r="G1959" s="3984"/>
      <c r="H1959" s="3984"/>
      <c r="I1959" s="3984"/>
      <c r="J1959" s="3501" t="str">
        <f>$C$1572</f>
        <v>352700_2021_12_</v>
      </c>
      <c r="K1959" s="3047">
        <v>35680</v>
      </c>
      <c r="L1959" s="3517">
        <f t="shared" si="356"/>
        <v>2.9733333333333332</v>
      </c>
      <c r="M1959" s="3518" t="s">
        <v>1083</v>
      </c>
      <c r="N1959" s="2804"/>
      <c r="O1959" s="106"/>
      <c r="P1959" s="2404"/>
      <c r="Q1959" s="2404" t="s">
        <v>963</v>
      </c>
      <c r="R1959" s="2404" t="s">
        <v>964</v>
      </c>
      <c r="S1959" s="106"/>
      <c r="T1959" s="699"/>
      <c r="U1959" s="106"/>
      <c r="V1959" s="3980"/>
      <c r="W1959" s="3421">
        <v>37200</v>
      </c>
      <c r="X1959" s="3421">
        <v>37200</v>
      </c>
      <c r="Y1959" s="3421">
        <v>37200</v>
      </c>
      <c r="Z1959" s="3421">
        <v>37200</v>
      </c>
      <c r="AA1959" s="3421">
        <v>37200</v>
      </c>
      <c r="AB1959" s="2374">
        <v>34500</v>
      </c>
      <c r="AC1959" s="2292">
        <f>AC1958</f>
        <v>35000</v>
      </c>
      <c r="AD1959" s="3047">
        <v>35680</v>
      </c>
      <c r="AE1959" s="3429"/>
      <c r="AF1959" s="3421"/>
      <c r="AG1959" s="3421"/>
      <c r="AH1959" s="156"/>
      <c r="AI1959" s="156"/>
      <c r="AJ1959" s="156"/>
      <c r="AK1959" s="156"/>
      <c r="AL1959" s="156"/>
      <c r="AM1959" s="156"/>
      <c r="AN1959" s="156"/>
      <c r="AO1959" s="156"/>
      <c r="AP1959" s="156"/>
      <c r="AQ1959" s="156"/>
      <c r="AR1959" s="156"/>
      <c r="AS1959" s="156"/>
      <c r="AT1959" s="156"/>
      <c r="AU1959" s="156"/>
      <c r="AV1959" s="156"/>
      <c r="AW1959" s="156"/>
      <c r="AX1959" s="156"/>
      <c r="AY1959" s="156"/>
      <c r="AZ1959" s="156"/>
      <c r="BA1959" s="156"/>
      <c r="BB1959" s="2828"/>
      <c r="BC1959" s="452"/>
      <c r="BD1959" s="2829"/>
      <c r="BE1959" s="2837"/>
      <c r="BF1959" s="156"/>
    </row>
    <row r="1960" spans="1:58" ht="15" customHeight="1" outlineLevel="1" x14ac:dyDescent="0.35">
      <c r="A1960" s="1664"/>
      <c r="B1960" s="2812"/>
      <c r="C1960" s="3077"/>
      <c r="D1960" s="3980"/>
      <c r="E1960" s="3883"/>
      <c r="F1960" s="3984" t="str">
        <f>$E$1574</f>
        <v>ASHP-SEER15_ER1_MF_CompE</v>
      </c>
      <c r="G1960" s="3984"/>
      <c r="H1960" s="3984"/>
      <c r="I1960" s="3984"/>
      <c r="J1960" s="3501" t="str">
        <f>$C$1574</f>
        <v>352701_2021_12_</v>
      </c>
      <c r="K1960" s="3047">
        <v>35680</v>
      </c>
      <c r="L1960" s="3517">
        <f t="shared" si="356"/>
        <v>2.9733333333333332</v>
      </c>
      <c r="M1960" s="3520" t="s">
        <v>1083</v>
      </c>
      <c r="N1960" s="2804"/>
      <c r="O1960" s="106"/>
      <c r="P1960" s="694" t="s">
        <v>965</v>
      </c>
      <c r="Q1960" s="697">
        <f>(R1960)*(1+R1961)^(R1963-1)</f>
        <v>1524.7355892191999</v>
      </c>
      <c r="R1960" s="698">
        <v>1381</v>
      </c>
      <c r="S1960" s="106" t="s">
        <v>952</v>
      </c>
      <c r="T1960" s="486"/>
      <c r="U1960" s="106"/>
      <c r="V1960" s="3980"/>
      <c r="W1960" s="3421"/>
      <c r="X1960" s="3421"/>
      <c r="Y1960" s="2374">
        <v>37200</v>
      </c>
      <c r="Z1960" s="3421">
        <v>37200</v>
      </c>
      <c r="AA1960" s="3421">
        <v>37200</v>
      </c>
      <c r="AB1960" s="2374">
        <v>34500</v>
      </c>
      <c r="AC1960" s="2292">
        <f>AC1958</f>
        <v>35000</v>
      </c>
      <c r="AD1960" s="3047">
        <v>35680</v>
      </c>
      <c r="AE1960" s="3429"/>
      <c r="AF1960" s="3421"/>
      <c r="AG1960" s="3421"/>
      <c r="AH1960" s="156"/>
      <c r="AI1960" s="156"/>
      <c r="AJ1960" s="156"/>
      <c r="AK1960" s="156"/>
      <c r="AL1960" s="156"/>
      <c r="AM1960" s="156"/>
      <c r="AN1960" s="156"/>
      <c r="AO1960" s="156"/>
      <c r="AP1960" s="156"/>
      <c r="AQ1960" s="156"/>
      <c r="AR1960" s="156"/>
      <c r="AS1960" s="156"/>
      <c r="AT1960" s="156"/>
      <c r="AU1960" s="156"/>
      <c r="AV1960" s="156"/>
      <c r="AW1960" s="156"/>
      <c r="AX1960" s="156"/>
      <c r="AY1960" s="156"/>
      <c r="AZ1960" s="156"/>
      <c r="BA1960" s="156"/>
      <c r="BB1960" s="2828"/>
      <c r="BC1960" s="452"/>
      <c r="BD1960" s="2829"/>
      <c r="BE1960" s="2837"/>
      <c r="BF1960" s="156"/>
    </row>
    <row r="1961" spans="1:58" ht="15" customHeight="1" outlineLevel="1" x14ac:dyDescent="0.35">
      <c r="A1961" s="1664"/>
      <c r="B1961" s="2812"/>
      <c r="C1961" s="3077"/>
      <c r="D1961" s="3980"/>
      <c r="E1961" s="3883"/>
      <c r="F1961" s="3984" t="str">
        <f>$E$1576</f>
        <v>ASHP-SEER15_ER2_MF_CompE</v>
      </c>
      <c r="G1961" s="3984"/>
      <c r="H1961" s="3984"/>
      <c r="I1961" s="3984"/>
      <c r="J1961" s="3501" t="str">
        <f>$C$1576</f>
        <v>352701_2021_12_</v>
      </c>
      <c r="K1961" s="3047">
        <v>35680</v>
      </c>
      <c r="L1961" s="3517">
        <f t="shared" si="356"/>
        <v>2.9733333333333332</v>
      </c>
      <c r="M1961" s="3520" t="s">
        <v>1083</v>
      </c>
      <c r="N1961" s="2804"/>
      <c r="O1961" s="106"/>
      <c r="P1961" s="694" t="s">
        <v>839</v>
      </c>
      <c r="Q1961" s="697"/>
      <c r="R1961" s="700">
        <f>$Q$104</f>
        <v>0.02</v>
      </c>
      <c r="S1961" s="452" t="s">
        <v>1066</v>
      </c>
      <c r="T1961" s="486"/>
      <c r="U1961" s="106"/>
      <c r="V1961" s="3980"/>
      <c r="W1961" s="3421"/>
      <c r="X1961" s="3421"/>
      <c r="Y1961" s="2374">
        <v>37200</v>
      </c>
      <c r="Z1961" s="3421">
        <v>37200</v>
      </c>
      <c r="AA1961" s="3421">
        <v>37200</v>
      </c>
      <c r="AB1961" s="2374">
        <v>34500</v>
      </c>
      <c r="AC1961" s="2292">
        <f>AC1959</f>
        <v>35000</v>
      </c>
      <c r="AD1961" s="3047">
        <v>35680</v>
      </c>
      <c r="AE1961" s="3429"/>
      <c r="AF1961" s="3421"/>
      <c r="AG1961" s="3421"/>
      <c r="AH1961" s="156"/>
      <c r="AI1961" s="156"/>
      <c r="AJ1961" s="156"/>
      <c r="AK1961" s="156"/>
      <c r="AL1961" s="156"/>
      <c r="AM1961" s="156"/>
      <c r="AN1961" s="156"/>
      <c r="AO1961" s="156"/>
      <c r="AP1961" s="156"/>
      <c r="AQ1961" s="156"/>
      <c r="AR1961" s="156"/>
      <c r="AS1961" s="156"/>
      <c r="AT1961" s="156"/>
      <c r="AU1961" s="156"/>
      <c r="AV1961" s="156"/>
      <c r="AW1961" s="156"/>
      <c r="AX1961" s="156"/>
      <c r="AY1961" s="156"/>
      <c r="AZ1961" s="156"/>
      <c r="BA1961" s="156"/>
      <c r="BB1961" s="2828"/>
      <c r="BC1961" s="452"/>
      <c r="BD1961" s="2829"/>
      <c r="BE1961" s="2837"/>
      <c r="BF1961" s="156"/>
    </row>
    <row r="1962" spans="1:58" ht="15" customHeight="1" outlineLevel="1" x14ac:dyDescent="0.35">
      <c r="A1962" s="1664"/>
      <c r="B1962" s="2812"/>
      <c r="C1962" s="3077"/>
      <c r="D1962" s="3980"/>
      <c r="E1962" s="3883"/>
      <c r="F1962" s="3984" t="str">
        <f>$E$1578</f>
        <v>ASHP-SEER15-Replace_CAC_ElectricHeat_ER1_MF</v>
      </c>
      <c r="G1962" s="3984"/>
      <c r="H1962" s="3984"/>
      <c r="I1962" s="3984"/>
      <c r="J1962" s="3501" t="str">
        <f>$C$1578</f>
        <v>352750_2021_12_</v>
      </c>
      <c r="K1962" s="3047">
        <v>35680</v>
      </c>
      <c r="L1962" s="3517">
        <f t="shared" si="356"/>
        <v>2.9733333333333332</v>
      </c>
      <c r="M1962" s="3518" t="s">
        <v>1083</v>
      </c>
      <c r="N1962" s="2804"/>
      <c r="O1962" s="106"/>
      <c r="P1962" s="701" t="s">
        <v>840</v>
      </c>
      <c r="Q1962" s="701"/>
      <c r="R1962" s="700">
        <f>$Q$105</f>
        <v>5.9499999999999997E-2</v>
      </c>
      <c r="S1962" s="106" t="s">
        <v>1066</v>
      </c>
      <c r="T1962" s="486"/>
      <c r="U1962" s="106"/>
      <c r="V1962" s="3980"/>
      <c r="W1962" s="3421">
        <v>33600</v>
      </c>
      <c r="X1962" s="3421">
        <v>33600</v>
      </c>
      <c r="Y1962" s="3421">
        <v>33600</v>
      </c>
      <c r="Z1962" s="3421">
        <v>33600</v>
      </c>
      <c r="AA1962" s="3421">
        <v>33600</v>
      </c>
      <c r="AB1962" s="2374">
        <v>33000</v>
      </c>
      <c r="AC1962" s="2292">
        <v>30000</v>
      </c>
      <c r="AD1962" s="3047">
        <v>35680</v>
      </c>
      <c r="AE1962" s="3429"/>
      <c r="AF1962" s="3421"/>
      <c r="AG1962" s="3421"/>
      <c r="AH1962" s="156"/>
      <c r="AI1962" s="156"/>
      <c r="AJ1962" s="156"/>
      <c r="AK1962" s="156"/>
      <c r="AL1962" s="156"/>
      <c r="AM1962" s="156"/>
      <c r="AN1962" s="156"/>
      <c r="AO1962" s="156"/>
      <c r="AP1962" s="156"/>
      <c r="AQ1962" s="156"/>
      <c r="AR1962" s="156"/>
      <c r="AS1962" s="156"/>
      <c r="AT1962" s="156"/>
      <c r="AU1962" s="156"/>
      <c r="AV1962" s="156"/>
      <c r="AW1962" s="156"/>
      <c r="AX1962" s="156"/>
      <c r="AY1962" s="156"/>
      <c r="AZ1962" s="156"/>
      <c r="BA1962" s="156"/>
      <c r="BB1962" s="2828"/>
      <c r="BC1962" s="452"/>
      <c r="BD1962" s="2829"/>
      <c r="BE1962" s="2837"/>
      <c r="BF1962" s="156"/>
    </row>
    <row r="1963" spans="1:58" ht="15" customHeight="1" outlineLevel="1" x14ac:dyDescent="0.35">
      <c r="A1963" s="1664"/>
      <c r="B1963" s="2812"/>
      <c r="C1963" s="3077"/>
      <c r="D1963" s="3980"/>
      <c r="E1963" s="3883"/>
      <c r="F1963" s="3984" t="str">
        <f>$E$1580</f>
        <v>ASHP-SEER15-Replace_CAC_ElectricHeat_ER2_MF</v>
      </c>
      <c r="G1963" s="3984"/>
      <c r="H1963" s="3984"/>
      <c r="I1963" s="3984"/>
      <c r="J1963" s="3501" t="str">
        <f>$C$1580</f>
        <v>352750_2021_12_</v>
      </c>
      <c r="K1963" s="3047">
        <v>35680</v>
      </c>
      <c r="L1963" s="3517">
        <f t="shared" si="356"/>
        <v>2.9733333333333332</v>
      </c>
      <c r="M1963" s="3518" t="s">
        <v>1083</v>
      </c>
      <c r="N1963" s="2804"/>
      <c r="O1963" s="106"/>
      <c r="P1963" s="50" t="s">
        <v>841</v>
      </c>
      <c r="Q1963" s="50"/>
      <c r="R1963" s="1592">
        <v>6</v>
      </c>
      <c r="S1963" s="106" t="s">
        <v>1067</v>
      </c>
      <c r="T1963" s="106"/>
      <c r="U1963" s="106"/>
      <c r="V1963" s="3980"/>
      <c r="W1963" s="3421">
        <v>33600</v>
      </c>
      <c r="X1963" s="3421">
        <v>33600</v>
      </c>
      <c r="Y1963" s="3421">
        <v>33600</v>
      </c>
      <c r="Z1963" s="3421">
        <v>33600</v>
      </c>
      <c r="AA1963" s="3421">
        <v>33600</v>
      </c>
      <c r="AB1963" s="2374">
        <v>33000</v>
      </c>
      <c r="AC1963" s="2292">
        <f>AC1962</f>
        <v>30000</v>
      </c>
      <c r="AD1963" s="3047">
        <v>35680</v>
      </c>
      <c r="AE1963" s="3429"/>
      <c r="AF1963" s="3421"/>
      <c r="AG1963" s="3421"/>
      <c r="AH1963" s="156"/>
      <c r="AI1963" s="156"/>
      <c r="AJ1963" s="156"/>
      <c r="AK1963" s="156"/>
      <c r="AL1963" s="156"/>
      <c r="AM1963" s="156"/>
      <c r="AN1963" s="156"/>
      <c r="AO1963" s="156"/>
      <c r="AP1963" s="156"/>
      <c r="AQ1963" s="156"/>
      <c r="AR1963" s="156"/>
      <c r="AS1963" s="156"/>
      <c r="AT1963" s="156"/>
      <c r="AU1963" s="156"/>
      <c r="AV1963" s="156"/>
      <c r="AW1963" s="156"/>
      <c r="AX1963" s="156"/>
      <c r="AY1963" s="156"/>
      <c r="AZ1963" s="156"/>
      <c r="BA1963" s="156"/>
      <c r="BB1963" s="2828"/>
      <c r="BC1963" s="452"/>
      <c r="BD1963" s="2829"/>
      <c r="BE1963" s="2837"/>
      <c r="BF1963" s="156"/>
    </row>
    <row r="1964" spans="1:58" ht="15" customHeight="1" outlineLevel="1" x14ac:dyDescent="0.35">
      <c r="A1964" s="1664"/>
      <c r="B1964" s="2812"/>
      <c r="C1964" s="3077"/>
      <c r="D1964" s="3980"/>
      <c r="E1964" s="3883"/>
      <c r="F1964" s="3984" t="str">
        <f>$E$1582</f>
        <v>ASHP-SEER15-Replace_CAC_ElectricHeat_ER1_MF_CompE</v>
      </c>
      <c r="G1964" s="3984"/>
      <c r="H1964" s="3984"/>
      <c r="I1964" s="3984"/>
      <c r="J1964" s="3501" t="str">
        <f>$C$1582</f>
        <v>352751_2021_12_</v>
      </c>
      <c r="K1964" s="3047">
        <v>35680</v>
      </c>
      <c r="L1964" s="3517">
        <f t="shared" si="356"/>
        <v>2.9733333333333332</v>
      </c>
      <c r="M1964" s="3520" t="s">
        <v>1083</v>
      </c>
      <c r="N1964" s="2804"/>
      <c r="O1964" s="106"/>
      <c r="P1964" s="106"/>
      <c r="Q1964" s="106"/>
      <c r="R1964" s="106"/>
      <c r="S1964" s="106"/>
      <c r="T1964" s="106"/>
      <c r="U1964" s="106"/>
      <c r="V1964" s="3980"/>
      <c r="W1964" s="3421"/>
      <c r="X1964" s="3421"/>
      <c r="Y1964" s="2374">
        <v>33600</v>
      </c>
      <c r="Z1964" s="3421">
        <v>33600</v>
      </c>
      <c r="AA1964" s="3421">
        <v>33600</v>
      </c>
      <c r="AB1964" s="2374">
        <v>33000</v>
      </c>
      <c r="AC1964" s="2292">
        <f>AC1962</f>
        <v>30000</v>
      </c>
      <c r="AD1964" s="3047">
        <v>35680</v>
      </c>
      <c r="AE1964" s="3429"/>
      <c r="AF1964" s="3421"/>
      <c r="AG1964" s="3421"/>
      <c r="AH1964" s="156"/>
      <c r="AI1964" s="156"/>
      <c r="AJ1964" s="156"/>
      <c r="AK1964" s="156"/>
      <c r="AL1964" s="156"/>
      <c r="AM1964" s="156"/>
      <c r="AN1964" s="156"/>
      <c r="AO1964" s="156"/>
      <c r="AP1964" s="156"/>
      <c r="AQ1964" s="156"/>
      <c r="AR1964" s="156"/>
      <c r="AS1964" s="156"/>
      <c r="AT1964" s="156"/>
      <c r="AU1964" s="156"/>
      <c r="AV1964" s="156"/>
      <c r="AW1964" s="156"/>
      <c r="AX1964" s="156"/>
      <c r="AY1964" s="156"/>
      <c r="AZ1964" s="156"/>
      <c r="BA1964" s="156"/>
      <c r="BB1964" s="2828"/>
      <c r="BC1964" s="452"/>
      <c r="BD1964" s="2829"/>
      <c r="BE1964" s="2837"/>
      <c r="BF1964" s="156"/>
    </row>
    <row r="1965" spans="1:58" ht="15" customHeight="1" outlineLevel="1" x14ac:dyDescent="0.35">
      <c r="A1965" s="1664"/>
      <c r="B1965" s="2812"/>
      <c r="C1965" s="3077"/>
      <c r="D1965" s="3980"/>
      <c r="E1965" s="3883"/>
      <c r="F1965" s="3984" t="str">
        <f>$E$1584</f>
        <v>ASHP-SEER15-Replace_CAC_ElectricHeat_ER2_MF_CompE</v>
      </c>
      <c r="G1965" s="3984"/>
      <c r="H1965" s="3984"/>
      <c r="I1965" s="3984"/>
      <c r="J1965" s="3501" t="str">
        <f>$C$1584</f>
        <v>352751_2021_12_</v>
      </c>
      <c r="K1965" s="3047">
        <v>35680</v>
      </c>
      <c r="L1965" s="3517">
        <f t="shared" si="356"/>
        <v>2.9733333333333332</v>
      </c>
      <c r="M1965" s="3520" t="s">
        <v>1083</v>
      </c>
      <c r="N1965" s="2804"/>
      <c r="O1965" s="106"/>
      <c r="P1965" s="106"/>
      <c r="Q1965" s="106"/>
      <c r="R1965" s="106"/>
      <c r="S1965" s="106"/>
      <c r="T1965" s="106"/>
      <c r="U1965" s="106"/>
      <c r="V1965" s="3980"/>
      <c r="W1965" s="3421"/>
      <c r="X1965" s="3421"/>
      <c r="Y1965" s="2374">
        <v>33600</v>
      </c>
      <c r="Z1965" s="3421">
        <v>33600</v>
      </c>
      <c r="AA1965" s="3421">
        <v>33600</v>
      </c>
      <c r="AB1965" s="2374">
        <v>33000</v>
      </c>
      <c r="AC1965" s="2292">
        <f>AC1963</f>
        <v>30000</v>
      </c>
      <c r="AD1965" s="3047">
        <v>35680</v>
      </c>
      <c r="AE1965" s="3429"/>
      <c r="AF1965" s="3421"/>
      <c r="AG1965" s="3421"/>
      <c r="AH1965" s="156"/>
      <c r="AI1965" s="156"/>
      <c r="AJ1965" s="156"/>
      <c r="AK1965" s="156"/>
      <c r="AL1965" s="156"/>
      <c r="AM1965" s="156"/>
      <c r="AN1965" s="156"/>
      <c r="AO1965" s="156"/>
      <c r="AP1965" s="156"/>
      <c r="AQ1965" s="156"/>
      <c r="AR1965" s="156"/>
      <c r="AS1965" s="156"/>
      <c r="AT1965" s="156"/>
      <c r="AU1965" s="156"/>
      <c r="AV1965" s="156"/>
      <c r="AW1965" s="156"/>
      <c r="AX1965" s="156"/>
      <c r="AY1965" s="156"/>
      <c r="AZ1965" s="156"/>
      <c r="BA1965" s="156"/>
      <c r="BB1965" s="2828"/>
      <c r="BC1965" s="452"/>
      <c r="BD1965" s="2829"/>
      <c r="BE1965" s="2837"/>
      <c r="BF1965" s="156"/>
    </row>
    <row r="1966" spans="1:58" ht="15" customHeight="1" outlineLevel="1" x14ac:dyDescent="0.35">
      <c r="A1966" s="1664"/>
      <c r="B1966" s="2812"/>
      <c r="C1966" s="3077"/>
      <c r="D1966" s="3980"/>
      <c r="E1966" s="3883"/>
      <c r="F1966" s="3984" t="str">
        <f>$E$1586</f>
        <v>ASHP-SEER15-Replace_CAC_NonElectricHeat_ER1_MF</v>
      </c>
      <c r="G1966" s="3984"/>
      <c r="H1966" s="3984"/>
      <c r="I1966" s="3984"/>
      <c r="J1966" s="3501" t="str">
        <f>$C$1586</f>
        <v>352760_2021_12_</v>
      </c>
      <c r="K1966" s="3047">
        <v>35680</v>
      </c>
      <c r="L1966" s="3517">
        <f t="shared" si="356"/>
        <v>2.9733333333333332</v>
      </c>
      <c r="M1966" s="3520" t="s">
        <v>1083</v>
      </c>
      <c r="N1966" s="2804"/>
      <c r="O1966" s="106"/>
      <c r="P1966" s="106"/>
      <c r="Q1966" s="106"/>
      <c r="R1966" s="106"/>
      <c r="S1966" s="106"/>
      <c r="T1966" s="106"/>
      <c r="U1966" s="106"/>
      <c r="V1966" s="3980"/>
      <c r="W1966" s="3421"/>
      <c r="X1966" s="3421"/>
      <c r="Y1966" s="2374"/>
      <c r="Z1966" s="3421"/>
      <c r="AA1966" s="3421"/>
      <c r="AB1966" s="2374"/>
      <c r="AC1966" s="2292">
        <v>30000</v>
      </c>
      <c r="AD1966" s="3047">
        <v>35680</v>
      </c>
      <c r="AE1966" s="3429"/>
      <c r="AF1966" s="3421"/>
      <c r="AG1966" s="3421"/>
      <c r="AH1966" s="156"/>
      <c r="AI1966" s="156"/>
      <c r="AJ1966" s="156"/>
      <c r="AK1966" s="156"/>
      <c r="AL1966" s="156"/>
      <c r="AM1966" s="156"/>
      <c r="AN1966" s="156"/>
      <c r="AO1966" s="156"/>
      <c r="AP1966" s="156"/>
      <c r="AQ1966" s="156"/>
      <c r="AR1966" s="156"/>
      <c r="AS1966" s="156"/>
      <c r="AT1966" s="156"/>
      <c r="AU1966" s="156"/>
      <c r="AV1966" s="156"/>
      <c r="AW1966" s="156"/>
      <c r="AX1966" s="156"/>
      <c r="AY1966" s="156"/>
      <c r="AZ1966" s="156"/>
      <c r="BA1966" s="156"/>
      <c r="BB1966" s="2828"/>
      <c r="BC1966" s="452"/>
      <c r="BD1966" s="2829"/>
      <c r="BE1966" s="2837"/>
      <c r="BF1966" s="156"/>
    </row>
    <row r="1967" spans="1:58" ht="15" customHeight="1" outlineLevel="1" x14ac:dyDescent="0.35">
      <c r="A1967" s="1664"/>
      <c r="B1967" s="2812"/>
      <c r="C1967" s="3077"/>
      <c r="D1967" s="3980"/>
      <c r="E1967" s="3883"/>
      <c r="F1967" s="3984" t="str">
        <f>$E$1588</f>
        <v>ASHP-SEER15-Replace_CAC_NonElectricHeat_ER2_MF</v>
      </c>
      <c r="G1967" s="3984"/>
      <c r="H1967" s="3984"/>
      <c r="I1967" s="3984"/>
      <c r="J1967" s="3501" t="str">
        <f>$C$1588</f>
        <v>352760_2021_12_</v>
      </c>
      <c r="K1967" s="3047">
        <v>35680</v>
      </c>
      <c r="L1967" s="3517">
        <f t="shared" si="356"/>
        <v>2.9733333333333332</v>
      </c>
      <c r="M1967" s="3520" t="s">
        <v>1083</v>
      </c>
      <c r="N1967" s="2804"/>
      <c r="O1967" s="106"/>
      <c r="P1967" s="106"/>
      <c r="Q1967" s="106"/>
      <c r="R1967" s="106"/>
      <c r="S1967" s="106"/>
      <c r="T1967" s="106"/>
      <c r="U1967" s="106"/>
      <c r="V1967" s="3980"/>
      <c r="W1967" s="3421"/>
      <c r="X1967" s="3421"/>
      <c r="Y1967" s="2374"/>
      <c r="Z1967" s="3421"/>
      <c r="AA1967" s="3421"/>
      <c r="AB1967" s="2374"/>
      <c r="AC1967" s="2292">
        <f>AC1966</f>
        <v>30000</v>
      </c>
      <c r="AD1967" s="3047">
        <v>35680</v>
      </c>
      <c r="AE1967" s="3429"/>
      <c r="AF1967" s="3421"/>
      <c r="AG1967" s="3421"/>
      <c r="AH1967" s="156"/>
      <c r="AI1967" s="156"/>
      <c r="AJ1967" s="156"/>
      <c r="AK1967" s="156"/>
      <c r="AL1967" s="156"/>
      <c r="AM1967" s="156"/>
      <c r="AN1967" s="156"/>
      <c r="AO1967" s="156"/>
      <c r="AP1967" s="156"/>
      <c r="AQ1967" s="156"/>
      <c r="AR1967" s="156"/>
      <c r="AS1967" s="156"/>
      <c r="AT1967" s="156"/>
      <c r="AU1967" s="156"/>
      <c r="AV1967" s="156"/>
      <c r="AW1967" s="156"/>
      <c r="AX1967" s="156"/>
      <c r="AY1967" s="156"/>
      <c r="AZ1967" s="156"/>
      <c r="BA1967" s="156"/>
      <c r="BB1967" s="2828"/>
      <c r="BC1967" s="452"/>
      <c r="BD1967" s="2829"/>
      <c r="BE1967" s="2837"/>
      <c r="BF1967" s="156"/>
    </row>
    <row r="1968" spans="1:58" ht="15" customHeight="1" outlineLevel="1" x14ac:dyDescent="0.35">
      <c r="A1968" s="1664"/>
      <c r="B1968" s="2812"/>
      <c r="C1968" s="3077"/>
      <c r="D1968" s="3980"/>
      <c r="E1968" s="3883"/>
      <c r="F1968" s="3984" t="str">
        <f>$E$1590</f>
        <v>ASHP-SEER15-Replace_CAC_NonElectricHeat_ER1_MF_CompE</v>
      </c>
      <c r="G1968" s="3984"/>
      <c r="H1968" s="3984"/>
      <c r="I1968" s="3984"/>
      <c r="J1968" s="3501" t="str">
        <f>$C$1590</f>
        <v>352761_2021_12_</v>
      </c>
      <c r="K1968" s="3047">
        <v>35680</v>
      </c>
      <c r="L1968" s="3517">
        <f t="shared" si="356"/>
        <v>2.9733333333333332</v>
      </c>
      <c r="M1968" s="3520" t="s">
        <v>1083</v>
      </c>
      <c r="N1968" s="2804"/>
      <c r="O1968" s="106"/>
      <c r="P1968" s="106"/>
      <c r="Q1968" s="106"/>
      <c r="R1968" s="106"/>
      <c r="S1968" s="106"/>
      <c r="T1968" s="106"/>
      <c r="U1968" s="106"/>
      <c r="V1968" s="3980"/>
      <c r="W1968" s="3421"/>
      <c r="X1968" s="3421"/>
      <c r="Y1968" s="2374"/>
      <c r="Z1968" s="3421"/>
      <c r="AA1968" s="3421"/>
      <c r="AB1968" s="2374"/>
      <c r="AC1968" s="2292">
        <f>AC1966</f>
        <v>30000</v>
      </c>
      <c r="AD1968" s="3047">
        <v>35680</v>
      </c>
      <c r="AE1968" s="3429"/>
      <c r="AF1968" s="3421"/>
      <c r="AG1968" s="3421"/>
      <c r="AH1968" s="156"/>
      <c r="AI1968" s="156"/>
      <c r="AJ1968" s="156"/>
      <c r="AK1968" s="156"/>
      <c r="AL1968" s="156"/>
      <c r="AM1968" s="156"/>
      <c r="AN1968" s="156"/>
      <c r="AO1968" s="156"/>
      <c r="AP1968" s="156"/>
      <c r="AQ1968" s="156"/>
      <c r="AR1968" s="156"/>
      <c r="AS1968" s="156"/>
      <c r="AT1968" s="156"/>
      <c r="AU1968" s="156"/>
      <c r="AV1968" s="156"/>
      <c r="AW1968" s="156"/>
      <c r="AX1968" s="156"/>
      <c r="AY1968" s="156"/>
      <c r="AZ1968" s="156"/>
      <c r="BA1968" s="156"/>
      <c r="BB1968" s="2828"/>
      <c r="BC1968" s="452"/>
      <c r="BD1968" s="2829"/>
      <c r="BE1968" s="2837"/>
      <c r="BF1968" s="156"/>
    </row>
    <row r="1969" spans="1:58" ht="15" customHeight="1" outlineLevel="1" x14ac:dyDescent="0.35">
      <c r="A1969" s="1664"/>
      <c r="B1969" s="2812"/>
      <c r="C1969" s="3077"/>
      <c r="D1969" s="3980"/>
      <c r="E1969" s="3883"/>
      <c r="F1969" s="3984" t="str">
        <f>$E$1592</f>
        <v>ASHP-SEER15-Replace_CAC_NonElectricHeat_ER2_MF_CompE</v>
      </c>
      <c r="G1969" s="3984"/>
      <c r="H1969" s="3984"/>
      <c r="I1969" s="3984"/>
      <c r="J1969" s="3501" t="str">
        <f>$C$1592</f>
        <v>352761_2021_12_</v>
      </c>
      <c r="K1969" s="3047">
        <v>35680</v>
      </c>
      <c r="L1969" s="3517">
        <f t="shared" si="356"/>
        <v>2.9733333333333332</v>
      </c>
      <c r="M1969" s="3520" t="s">
        <v>1083</v>
      </c>
      <c r="N1969" s="2804"/>
      <c r="O1969" s="106"/>
      <c r="P1969" s="106"/>
      <c r="Q1969" s="106"/>
      <c r="R1969" s="106"/>
      <c r="S1969" s="106"/>
      <c r="T1969" s="106"/>
      <c r="U1969" s="106"/>
      <c r="V1969" s="3980"/>
      <c r="W1969" s="3421"/>
      <c r="X1969" s="3421"/>
      <c r="Y1969" s="2374"/>
      <c r="Z1969" s="3421"/>
      <c r="AA1969" s="3421"/>
      <c r="AB1969" s="2374"/>
      <c r="AC1969" s="2292">
        <f>AC1967</f>
        <v>30000</v>
      </c>
      <c r="AD1969" s="3047">
        <v>35680</v>
      </c>
      <c r="AE1969" s="3429"/>
      <c r="AF1969" s="3421"/>
      <c r="AG1969" s="3421"/>
      <c r="AH1969" s="156"/>
      <c r="AI1969" s="156"/>
      <c r="AJ1969" s="156"/>
      <c r="AK1969" s="156"/>
      <c r="AL1969" s="156"/>
      <c r="AM1969" s="156"/>
      <c r="AN1969" s="156"/>
      <c r="AO1969" s="156"/>
      <c r="AP1969" s="156"/>
      <c r="AQ1969" s="156"/>
      <c r="AR1969" s="156"/>
      <c r="AS1969" s="156"/>
      <c r="AT1969" s="156"/>
      <c r="AU1969" s="156"/>
      <c r="AV1969" s="156"/>
      <c r="AW1969" s="156"/>
      <c r="AX1969" s="156"/>
      <c r="AY1969" s="156"/>
      <c r="AZ1969" s="156"/>
      <c r="BA1969" s="156"/>
      <c r="BB1969" s="2828"/>
      <c r="BC1969" s="452"/>
      <c r="BD1969" s="2829"/>
      <c r="BE1969" s="2837"/>
      <c r="BF1969" s="156"/>
    </row>
    <row r="1970" spans="1:58" ht="15" customHeight="1" outlineLevel="1" x14ac:dyDescent="0.35">
      <c r="A1970" s="1664"/>
      <c r="B1970" s="2812"/>
      <c r="C1970" s="3077"/>
      <c r="D1970" s="3980"/>
      <c r="E1970" s="3883"/>
      <c r="F1970" s="3984" t="str">
        <f>$E$1594</f>
        <v>ASHP-SEER15-Replace_CAC_ElectricHeat_ROF_MF</v>
      </c>
      <c r="G1970" s="3984"/>
      <c r="H1970" s="3984"/>
      <c r="I1970" s="3984"/>
      <c r="J1970" s="3501" t="str">
        <f>$C$1594</f>
        <v>352800_2019_12_</v>
      </c>
      <c r="K1970" s="3047">
        <v>26200</v>
      </c>
      <c r="L1970" s="3517">
        <f>K1970/12000</f>
        <v>2.1833333333333331</v>
      </c>
      <c r="M1970" s="3518" t="s">
        <v>4360</v>
      </c>
      <c r="N1970" s="2804"/>
      <c r="O1970" s="106"/>
      <c r="P1970" s="106"/>
      <c r="Q1970" s="106"/>
      <c r="R1970" s="106"/>
      <c r="S1970" s="106"/>
      <c r="T1970" s="106"/>
      <c r="U1970" s="106"/>
      <c r="V1970" s="3980"/>
      <c r="W1970" s="3421">
        <v>31200</v>
      </c>
      <c r="X1970" s="3421">
        <v>31200</v>
      </c>
      <c r="Y1970" s="3421">
        <v>31200</v>
      </c>
      <c r="Z1970" s="3421">
        <v>31200</v>
      </c>
      <c r="AA1970" s="3421">
        <v>31200</v>
      </c>
      <c r="AB1970" s="3421">
        <v>31200</v>
      </c>
      <c r="AC1970" s="3557">
        <v>31200</v>
      </c>
      <c r="AD1970" s="3047">
        <v>26200</v>
      </c>
      <c r="AE1970" s="3429"/>
      <c r="AF1970" s="3421"/>
      <c r="AG1970" s="3421"/>
      <c r="AH1970" s="156"/>
      <c r="AI1970" s="156"/>
      <c r="AJ1970" s="156"/>
      <c r="AK1970" s="156"/>
      <c r="AL1970" s="156"/>
      <c r="AM1970" s="156"/>
      <c r="AN1970" s="156"/>
      <c r="AO1970" s="156"/>
      <c r="AP1970" s="156"/>
      <c r="AQ1970" s="156"/>
      <c r="AR1970" s="156"/>
      <c r="AS1970" s="156"/>
      <c r="AT1970" s="156"/>
      <c r="AU1970" s="156"/>
      <c r="AV1970" s="156"/>
      <c r="AW1970" s="156"/>
      <c r="AX1970" s="156"/>
      <c r="AY1970" s="156"/>
      <c r="AZ1970" s="156"/>
      <c r="BA1970" s="156"/>
      <c r="BB1970" s="2828"/>
      <c r="BC1970" s="452"/>
      <c r="BD1970" s="2829"/>
      <c r="BE1970" s="2837"/>
      <c r="BF1970" s="156"/>
    </row>
    <row r="1971" spans="1:58" ht="15" customHeight="1" outlineLevel="1" x14ac:dyDescent="0.35">
      <c r="A1971" s="1664"/>
      <c r="B1971" s="2812"/>
      <c r="C1971" s="3077"/>
      <c r="D1971" s="3980"/>
      <c r="E1971" s="3883"/>
      <c r="F1971" s="3984" t="str">
        <f>$E$1596</f>
        <v>ASHP-SEER15-Replace_CAC_ElectricHeat_ROF_MF_CompE</v>
      </c>
      <c r="G1971" s="3984"/>
      <c r="H1971" s="3984"/>
      <c r="I1971" s="3984"/>
      <c r="J1971" s="3501" t="str">
        <f>$C$1596</f>
        <v>352801_2021_12_</v>
      </c>
      <c r="K1971" s="3047">
        <v>26200</v>
      </c>
      <c r="L1971" s="3517">
        <f t="shared" si="356"/>
        <v>2.1833333333333331</v>
      </c>
      <c r="M1971" s="3518" t="s">
        <v>1083</v>
      </c>
      <c r="N1971" s="2804"/>
      <c r="O1971" s="106"/>
      <c r="P1971" s="106"/>
      <c r="Q1971" s="106"/>
      <c r="R1971" s="106"/>
      <c r="S1971" s="106"/>
      <c r="T1971" s="106"/>
      <c r="U1971" s="106"/>
      <c r="V1971" s="3980"/>
      <c r="W1971" s="3421"/>
      <c r="X1971" s="3421"/>
      <c r="Y1971" s="2374">
        <v>31200</v>
      </c>
      <c r="Z1971" s="3421">
        <v>31200</v>
      </c>
      <c r="AA1971" s="3421">
        <v>31200</v>
      </c>
      <c r="AB1971" s="3421">
        <v>31200</v>
      </c>
      <c r="AC1971" s="3557">
        <f>AC1970</f>
        <v>31200</v>
      </c>
      <c r="AD1971" s="3047">
        <v>26200</v>
      </c>
      <c r="AE1971" s="3429"/>
      <c r="AF1971" s="3421"/>
      <c r="AG1971" s="3421"/>
      <c r="AH1971" s="156"/>
      <c r="AI1971" s="156"/>
      <c r="AJ1971" s="156"/>
      <c r="AK1971" s="156"/>
      <c r="AL1971" s="156"/>
      <c r="AM1971" s="156"/>
      <c r="AN1971" s="156"/>
      <c r="AO1971" s="156"/>
      <c r="AP1971" s="156"/>
      <c r="AQ1971" s="156"/>
      <c r="AR1971" s="156"/>
      <c r="AS1971" s="156"/>
      <c r="AT1971" s="156"/>
      <c r="AU1971" s="156"/>
      <c r="AV1971" s="156"/>
      <c r="AW1971" s="156"/>
      <c r="AX1971" s="156"/>
      <c r="AY1971" s="156"/>
      <c r="AZ1971" s="156"/>
      <c r="BA1971" s="156"/>
      <c r="BB1971" s="2828"/>
      <c r="BC1971" s="452"/>
      <c r="BD1971" s="2829"/>
      <c r="BE1971" s="2837"/>
      <c r="BF1971" s="156"/>
    </row>
    <row r="1972" spans="1:58" ht="15" customHeight="1" outlineLevel="1" x14ac:dyDescent="0.35">
      <c r="A1972" s="1664"/>
      <c r="B1972" s="2812"/>
      <c r="C1972" s="3077"/>
      <c r="D1972" s="3980"/>
      <c r="E1972" s="3883"/>
      <c r="F1972" s="3984" t="str">
        <f>$E$1598</f>
        <v>ASHP-SEER15-Replace_CAC_NonElectricHeat_ROF_MF</v>
      </c>
      <c r="G1972" s="3984"/>
      <c r="H1972" s="3984"/>
      <c r="I1972" s="3984"/>
      <c r="J1972" s="3501" t="str">
        <f>$C$1598</f>
        <v>352810_2021_12_</v>
      </c>
      <c r="K1972" s="3047">
        <v>26200</v>
      </c>
      <c r="L1972" s="3517">
        <f t="shared" si="356"/>
        <v>2.1833333333333331</v>
      </c>
      <c r="M1972" s="3520" t="s">
        <v>1083</v>
      </c>
      <c r="N1972" s="2804"/>
      <c r="O1972" s="106"/>
      <c r="P1972" s="106"/>
      <c r="Q1972" s="106"/>
      <c r="R1972" s="106"/>
      <c r="S1972" s="106"/>
      <c r="T1972" s="106"/>
      <c r="U1972" s="106"/>
      <c r="V1972" s="3980"/>
      <c r="W1972" s="3421"/>
      <c r="X1972" s="3421"/>
      <c r="Y1972" s="2374"/>
      <c r="Z1972" s="3421"/>
      <c r="AA1972" s="3421"/>
      <c r="AB1972" s="3421"/>
      <c r="AC1972" s="2292">
        <v>31200</v>
      </c>
      <c r="AD1972" s="3047">
        <v>26200</v>
      </c>
      <c r="AE1972" s="3429"/>
      <c r="AF1972" s="3421"/>
      <c r="AG1972" s="3421"/>
      <c r="AH1972" s="156"/>
      <c r="AI1972" s="156"/>
      <c r="AJ1972" s="156"/>
      <c r="AK1972" s="156"/>
      <c r="AL1972" s="156"/>
      <c r="AM1972" s="156"/>
      <c r="AN1972" s="156"/>
      <c r="AO1972" s="156"/>
      <c r="AP1972" s="156"/>
      <c r="AQ1972" s="156"/>
      <c r="AR1972" s="156"/>
      <c r="AS1972" s="156"/>
      <c r="AT1972" s="156"/>
      <c r="AU1972" s="156"/>
      <c r="AV1972" s="156"/>
      <c r="AW1972" s="156"/>
      <c r="AX1972" s="156"/>
      <c r="AY1972" s="156"/>
      <c r="AZ1972" s="156"/>
      <c r="BA1972" s="156"/>
      <c r="BB1972" s="2828"/>
      <c r="BC1972" s="452"/>
      <c r="BD1972" s="2829"/>
      <c r="BE1972" s="2837"/>
      <c r="BF1972" s="156"/>
    </row>
    <row r="1973" spans="1:58" ht="15" customHeight="1" outlineLevel="1" x14ac:dyDescent="0.35">
      <c r="A1973" s="1664"/>
      <c r="B1973" s="2812"/>
      <c r="C1973" s="3077"/>
      <c r="D1973" s="3980"/>
      <c r="E1973" s="3883"/>
      <c r="F1973" s="3984" t="str">
        <f>$E$1600</f>
        <v>ASHP-SEER15-Replace_CAC_NonElectricHeat_ROF_MF_CompE</v>
      </c>
      <c r="G1973" s="3984"/>
      <c r="H1973" s="3984"/>
      <c r="I1973" s="3984"/>
      <c r="J1973" s="3501" t="str">
        <f>$C$1600</f>
        <v>352811_2021_12_</v>
      </c>
      <c r="K1973" s="3047">
        <v>26200</v>
      </c>
      <c r="L1973" s="3517">
        <f t="shared" si="356"/>
        <v>2.1833333333333331</v>
      </c>
      <c r="M1973" s="3520" t="s">
        <v>1083</v>
      </c>
      <c r="N1973" s="2804"/>
      <c r="O1973" s="106"/>
      <c r="P1973" s="106"/>
      <c r="Q1973" s="106"/>
      <c r="R1973" s="106"/>
      <c r="S1973" s="106"/>
      <c r="T1973" s="106"/>
      <c r="U1973" s="106"/>
      <c r="V1973" s="3980"/>
      <c r="W1973" s="3421"/>
      <c r="X1973" s="3421"/>
      <c r="Y1973" s="2374"/>
      <c r="Z1973" s="3421"/>
      <c r="AA1973" s="3421"/>
      <c r="AB1973" s="3421"/>
      <c r="AC1973" s="2292">
        <f>AC1972</f>
        <v>31200</v>
      </c>
      <c r="AD1973" s="3047">
        <v>26200</v>
      </c>
      <c r="AE1973" s="3429"/>
      <c r="AF1973" s="3421"/>
      <c r="AG1973" s="3421"/>
      <c r="AH1973" s="156"/>
      <c r="AI1973" s="156"/>
      <c r="AJ1973" s="156"/>
      <c r="AK1973" s="156"/>
      <c r="AL1973" s="156"/>
      <c r="AM1973" s="156"/>
      <c r="AN1973" s="156"/>
      <c r="AO1973" s="156"/>
      <c r="AP1973" s="156"/>
      <c r="AQ1973" s="156"/>
      <c r="AR1973" s="156"/>
      <c r="AS1973" s="156"/>
      <c r="AT1973" s="156"/>
      <c r="AU1973" s="156"/>
      <c r="AV1973" s="156"/>
      <c r="AW1973" s="156"/>
      <c r="AX1973" s="156"/>
      <c r="AY1973" s="156"/>
      <c r="AZ1973" s="156"/>
      <c r="BA1973" s="156"/>
      <c r="BB1973" s="2828"/>
      <c r="BC1973" s="452"/>
      <c r="BD1973" s="2829"/>
      <c r="BE1973" s="2837"/>
      <c r="BF1973" s="156"/>
    </row>
    <row r="1974" spans="1:58" ht="15" customHeight="1" outlineLevel="1" x14ac:dyDescent="0.35">
      <c r="A1974" s="1664"/>
      <c r="B1974" s="2812"/>
      <c r="C1974" s="3077"/>
      <c r="D1974" s="3980"/>
      <c r="E1974" s="3883"/>
      <c r="F1974" s="3984" t="str">
        <f>$E$1602</f>
        <v>ASHP-SEER16_ER1_MF</v>
      </c>
      <c r="G1974" s="3984"/>
      <c r="H1974" s="3984"/>
      <c r="I1974" s="3984"/>
      <c r="J1974" s="3501" t="str">
        <f>$C$1602</f>
        <v>352850_2021_12_</v>
      </c>
      <c r="K1974" s="3047">
        <v>34066.666666666664</v>
      </c>
      <c r="L1974" s="3517">
        <f t="shared" si="356"/>
        <v>2.8388888888888886</v>
      </c>
      <c r="M1974" s="3518" t="s">
        <v>4360</v>
      </c>
      <c r="N1974" s="2804"/>
      <c r="O1974" s="106"/>
      <c r="P1974" s="702"/>
      <c r="Q1974" s="574"/>
      <c r="R1974" s="702"/>
      <c r="S1974" s="106"/>
      <c r="T1974" s="486"/>
      <c r="U1974" s="106"/>
      <c r="V1974" s="3980"/>
      <c r="W1974" s="3421">
        <v>39600</v>
      </c>
      <c r="X1974" s="3421">
        <v>39600</v>
      </c>
      <c r="Y1974" s="3421">
        <v>39600</v>
      </c>
      <c r="Z1974" s="3421">
        <v>39600</v>
      </c>
      <c r="AA1974" s="3421">
        <v>39600</v>
      </c>
      <c r="AB1974" s="3421">
        <v>39600</v>
      </c>
      <c r="AC1974" s="2292">
        <v>36000</v>
      </c>
      <c r="AD1974" s="3047">
        <v>34066.666666666664</v>
      </c>
      <c r="AE1974" s="3429"/>
      <c r="AF1974" s="3421"/>
      <c r="AG1974" s="3421"/>
      <c r="AH1974" s="156"/>
      <c r="AI1974" s="156"/>
      <c r="AJ1974" s="156"/>
      <c r="AK1974" s="156"/>
      <c r="AL1974" s="156"/>
      <c r="AM1974" s="156"/>
      <c r="AN1974" s="156"/>
      <c r="AO1974" s="156"/>
      <c r="AP1974" s="156"/>
      <c r="AQ1974" s="156"/>
      <c r="AR1974" s="156"/>
      <c r="AS1974" s="156"/>
      <c r="AT1974" s="156"/>
      <c r="AU1974" s="156"/>
      <c r="AV1974" s="156"/>
      <c r="AW1974" s="156"/>
      <c r="AX1974" s="156"/>
      <c r="AY1974" s="156"/>
      <c r="AZ1974" s="156"/>
      <c r="BA1974" s="156"/>
      <c r="BB1974" s="2828"/>
      <c r="BC1974" s="452"/>
      <c r="BD1974" s="2829"/>
      <c r="BE1974" s="2837"/>
      <c r="BF1974" s="156"/>
    </row>
    <row r="1975" spans="1:58" ht="15" customHeight="1" outlineLevel="1" x14ac:dyDescent="0.35">
      <c r="A1975" s="1664"/>
      <c r="B1975" s="2812"/>
      <c r="C1975" s="3077"/>
      <c r="D1975" s="3980"/>
      <c r="E1975" s="3883"/>
      <c r="F1975" s="3984" t="str">
        <f>$E$1604</f>
        <v>ASHP-SEER16_ER2_MF</v>
      </c>
      <c r="G1975" s="3984"/>
      <c r="H1975" s="3984"/>
      <c r="I1975" s="3984"/>
      <c r="J1975" s="3501" t="str">
        <f>$C$1604</f>
        <v>352850_2021_12_</v>
      </c>
      <c r="K1975" s="3047">
        <v>34066.666666666664</v>
      </c>
      <c r="L1975" s="3517">
        <f t="shared" si="356"/>
        <v>2.8388888888888886</v>
      </c>
      <c r="M1975" s="3518" t="s">
        <v>1083</v>
      </c>
      <c r="N1975" s="2804"/>
      <c r="O1975" s="106"/>
      <c r="P1975" s="702"/>
      <c r="Q1975" s="574"/>
      <c r="R1975" s="702"/>
      <c r="S1975" s="106"/>
      <c r="T1975" s="486"/>
      <c r="U1975" s="106"/>
      <c r="V1975" s="3980"/>
      <c r="W1975" s="3421">
        <v>39600</v>
      </c>
      <c r="X1975" s="3421">
        <v>39600</v>
      </c>
      <c r="Y1975" s="3421">
        <v>39600</v>
      </c>
      <c r="Z1975" s="3421">
        <v>39600</v>
      </c>
      <c r="AA1975" s="3421">
        <v>39600</v>
      </c>
      <c r="AB1975" s="3421">
        <v>39600</v>
      </c>
      <c r="AC1975" s="2292">
        <f>AC1974</f>
        <v>36000</v>
      </c>
      <c r="AD1975" s="3047">
        <v>34066.666666666664</v>
      </c>
      <c r="AE1975" s="3429"/>
      <c r="AF1975" s="3421"/>
      <c r="AG1975" s="3421"/>
      <c r="AH1975" s="156"/>
      <c r="AI1975" s="156"/>
      <c r="AJ1975" s="156"/>
      <c r="AK1975" s="156"/>
      <c r="AL1975" s="156"/>
      <c r="AM1975" s="156"/>
      <c r="AN1975" s="156"/>
      <c r="AO1975" s="156"/>
      <c r="AP1975" s="156"/>
      <c r="AQ1975" s="156"/>
      <c r="AR1975" s="156"/>
      <c r="AS1975" s="156"/>
      <c r="AT1975" s="156"/>
      <c r="AU1975" s="156"/>
      <c r="AV1975" s="156"/>
      <c r="AW1975" s="156"/>
      <c r="AX1975" s="156"/>
      <c r="AY1975" s="156"/>
      <c r="AZ1975" s="156"/>
      <c r="BA1975" s="156"/>
      <c r="BB1975" s="2828"/>
      <c r="BC1975" s="452"/>
      <c r="BD1975" s="2829"/>
      <c r="BE1975" s="2837"/>
      <c r="BF1975" s="156"/>
    </row>
    <row r="1976" spans="1:58" ht="15" customHeight="1" outlineLevel="1" x14ac:dyDescent="0.35">
      <c r="A1976" s="1664"/>
      <c r="B1976" s="2812"/>
      <c r="C1976" s="3077"/>
      <c r="D1976" s="3980"/>
      <c r="E1976" s="3883"/>
      <c r="F1976" s="3984" t="str">
        <f>$E$1606</f>
        <v>ASHP-SEER16_ER1_MF_CompE</v>
      </c>
      <c r="G1976" s="3984"/>
      <c r="H1976" s="3984"/>
      <c r="I1976" s="3984"/>
      <c r="J1976" s="3501" t="str">
        <f>$C$1606</f>
        <v>352851_2021_12_</v>
      </c>
      <c r="K1976" s="3047">
        <v>34066.666666666664</v>
      </c>
      <c r="L1976" s="3517">
        <f t="shared" si="356"/>
        <v>2.8388888888888886</v>
      </c>
      <c r="M1976" s="3520" t="s">
        <v>1083</v>
      </c>
      <c r="N1976" s="2804"/>
      <c r="O1976" s="106"/>
      <c r="P1976" s="702"/>
      <c r="Q1976" s="574"/>
      <c r="R1976" s="702"/>
      <c r="S1976" s="106"/>
      <c r="T1976" s="486"/>
      <c r="U1976" s="106"/>
      <c r="V1976" s="3980"/>
      <c r="W1976" s="3421"/>
      <c r="X1976" s="3421"/>
      <c r="Y1976" s="2374">
        <v>39600</v>
      </c>
      <c r="Z1976" s="3421">
        <v>39600</v>
      </c>
      <c r="AA1976" s="3421">
        <v>39600</v>
      </c>
      <c r="AB1976" s="3421">
        <v>39600</v>
      </c>
      <c r="AC1976" s="2292">
        <f>AC1974</f>
        <v>36000</v>
      </c>
      <c r="AD1976" s="3047">
        <v>34066.666666666664</v>
      </c>
      <c r="AE1976" s="3429"/>
      <c r="AF1976" s="3421"/>
      <c r="AG1976" s="3421"/>
      <c r="AH1976" s="156"/>
      <c r="AI1976" s="156"/>
      <c r="AJ1976" s="156"/>
      <c r="AK1976" s="156"/>
      <c r="AL1976" s="156"/>
      <c r="AM1976" s="156"/>
      <c r="AN1976" s="156"/>
      <c r="AO1976" s="156"/>
      <c r="AP1976" s="156"/>
      <c r="AQ1976" s="156"/>
      <c r="AR1976" s="156"/>
      <c r="AS1976" s="156"/>
      <c r="AT1976" s="156"/>
      <c r="AU1976" s="156"/>
      <c r="AV1976" s="156"/>
      <c r="AW1976" s="156"/>
      <c r="AX1976" s="156"/>
      <c r="AY1976" s="156"/>
      <c r="AZ1976" s="156"/>
      <c r="BA1976" s="156"/>
      <c r="BB1976" s="2828"/>
      <c r="BC1976" s="452"/>
      <c r="BD1976" s="2829"/>
      <c r="BE1976" s="2837"/>
      <c r="BF1976" s="156"/>
    </row>
    <row r="1977" spans="1:58" ht="15" customHeight="1" outlineLevel="1" x14ac:dyDescent="0.35">
      <c r="A1977" s="1664"/>
      <c r="B1977" s="2812"/>
      <c r="C1977" s="3077"/>
      <c r="D1977" s="3980"/>
      <c r="E1977" s="3883"/>
      <c r="F1977" s="3984" t="str">
        <f>$E$1608</f>
        <v>ASHP-SEER16_ER2_MF_CompE</v>
      </c>
      <c r="G1977" s="3984"/>
      <c r="H1977" s="3984"/>
      <c r="I1977" s="3984"/>
      <c r="J1977" s="3501" t="str">
        <f>$C$1608</f>
        <v>352851_2021_12_</v>
      </c>
      <c r="K1977" s="3047">
        <v>34066.666666666664</v>
      </c>
      <c r="L1977" s="3517">
        <f t="shared" si="356"/>
        <v>2.8388888888888886</v>
      </c>
      <c r="M1977" s="3520" t="s">
        <v>1083</v>
      </c>
      <c r="N1977" s="2804"/>
      <c r="O1977" s="106"/>
      <c r="P1977" s="702"/>
      <c r="Q1977" s="574"/>
      <c r="R1977" s="702"/>
      <c r="S1977" s="106"/>
      <c r="T1977" s="486"/>
      <c r="U1977" s="106"/>
      <c r="V1977" s="3980"/>
      <c r="W1977" s="3421"/>
      <c r="X1977" s="3421"/>
      <c r="Y1977" s="2374">
        <v>39600</v>
      </c>
      <c r="Z1977" s="3421">
        <v>39600</v>
      </c>
      <c r="AA1977" s="3421">
        <v>39600</v>
      </c>
      <c r="AB1977" s="3421">
        <v>39600</v>
      </c>
      <c r="AC1977" s="2292">
        <f>AC1975</f>
        <v>36000</v>
      </c>
      <c r="AD1977" s="3047">
        <v>34066.666666666664</v>
      </c>
      <c r="AE1977" s="3429"/>
      <c r="AF1977" s="3421"/>
      <c r="AG1977" s="3421"/>
      <c r="AH1977" s="156"/>
      <c r="AI1977" s="156"/>
      <c r="AJ1977" s="156"/>
      <c r="AK1977" s="156"/>
      <c r="AL1977" s="156"/>
      <c r="AM1977" s="156"/>
      <c r="AN1977" s="156"/>
      <c r="AO1977" s="156"/>
      <c r="AP1977" s="156"/>
      <c r="AQ1977" s="156"/>
      <c r="AR1977" s="156"/>
      <c r="AS1977" s="156"/>
      <c r="AT1977" s="156"/>
      <c r="AU1977" s="156"/>
      <c r="AV1977" s="156"/>
      <c r="AW1977" s="156"/>
      <c r="AX1977" s="156"/>
      <c r="AY1977" s="156"/>
      <c r="AZ1977" s="156"/>
      <c r="BA1977" s="156"/>
      <c r="BB1977" s="2828"/>
      <c r="BC1977" s="452"/>
      <c r="BD1977" s="2829"/>
      <c r="BE1977" s="2837"/>
      <c r="BF1977" s="156"/>
    </row>
    <row r="1978" spans="1:58" ht="15" customHeight="1" outlineLevel="1" x14ac:dyDescent="0.35">
      <c r="A1978" s="1664"/>
      <c r="B1978" s="2812"/>
      <c r="C1978" s="3077"/>
      <c r="D1978" s="3980"/>
      <c r="E1978" s="3883"/>
      <c r="F1978" s="3984" t="str">
        <f>$E$1610</f>
        <v>ASHP-SEER16_ROF_MF</v>
      </c>
      <c r="G1978" s="3984"/>
      <c r="H1978" s="3984"/>
      <c r="I1978" s="3984"/>
      <c r="J1978" s="3501" t="str">
        <f>$C$1610</f>
        <v>352900_2021_12_</v>
      </c>
      <c r="K1978" s="3047">
        <v>26800</v>
      </c>
      <c r="L1978" s="3517">
        <f t="shared" si="356"/>
        <v>2.2333333333333334</v>
      </c>
      <c r="M1978" s="3520" t="s">
        <v>974</v>
      </c>
      <c r="N1978" s="2804"/>
      <c r="O1978" s="106"/>
      <c r="P1978" s="702"/>
      <c r="Q1978" s="574"/>
      <c r="R1978" s="702"/>
      <c r="S1978" s="106"/>
      <c r="T1978" s="486"/>
      <c r="U1978" s="106"/>
      <c r="V1978" s="3980"/>
      <c r="W1978" s="3421">
        <v>39600</v>
      </c>
      <c r="X1978" s="3421">
        <v>39600</v>
      </c>
      <c r="Y1978" s="3421">
        <v>39600</v>
      </c>
      <c r="Z1978" s="3421">
        <v>39600</v>
      </c>
      <c r="AA1978" s="3421">
        <v>39600</v>
      </c>
      <c r="AB1978" s="3421">
        <v>39600</v>
      </c>
      <c r="AC1978" s="2292">
        <v>36000</v>
      </c>
      <c r="AD1978" s="3047">
        <v>26800</v>
      </c>
      <c r="AE1978" s="3429"/>
      <c r="AF1978" s="3421"/>
      <c r="AG1978" s="3421"/>
      <c r="AH1978" s="156"/>
      <c r="AI1978" s="156"/>
      <c r="AJ1978" s="156"/>
      <c r="AK1978" s="156"/>
      <c r="AL1978" s="156"/>
      <c r="AM1978" s="156"/>
      <c r="AN1978" s="156"/>
      <c r="AO1978" s="156"/>
      <c r="AP1978" s="156"/>
      <c r="AQ1978" s="156"/>
      <c r="AR1978" s="156"/>
      <c r="AS1978" s="156"/>
      <c r="AT1978" s="156"/>
      <c r="AU1978" s="156"/>
      <c r="AV1978" s="156"/>
      <c r="AW1978" s="156"/>
      <c r="AX1978" s="156"/>
      <c r="AY1978" s="156"/>
      <c r="AZ1978" s="156"/>
      <c r="BA1978" s="156"/>
      <c r="BB1978" s="2828"/>
      <c r="BC1978" s="452"/>
      <c r="BD1978" s="2829"/>
      <c r="BE1978" s="2837"/>
      <c r="BF1978" s="156"/>
    </row>
    <row r="1979" spans="1:58" ht="15" customHeight="1" outlineLevel="1" x14ac:dyDescent="0.35">
      <c r="A1979" s="1664"/>
      <c r="B1979" s="2812"/>
      <c r="C1979" s="3077"/>
      <c r="D1979" s="3980"/>
      <c r="E1979" s="3883"/>
      <c r="F1979" s="3984" t="str">
        <f>$E$1612</f>
        <v>ASHP-SEER16_ROF_MF_CompE</v>
      </c>
      <c r="G1979" s="3984"/>
      <c r="H1979" s="3984"/>
      <c r="I1979" s="3984"/>
      <c r="J1979" s="3501" t="str">
        <f>$C$1612</f>
        <v>352901_2021_12_</v>
      </c>
      <c r="K1979" s="3047">
        <v>26800</v>
      </c>
      <c r="L1979" s="3517">
        <f t="shared" si="356"/>
        <v>2.2333333333333334</v>
      </c>
      <c r="M1979" s="3520" t="s">
        <v>1083</v>
      </c>
      <c r="N1979" s="2804"/>
      <c r="O1979" s="106"/>
      <c r="P1979" s="702"/>
      <c r="Q1979" s="574"/>
      <c r="R1979" s="702"/>
      <c r="S1979" s="106"/>
      <c r="T1979" s="486"/>
      <c r="U1979" s="106"/>
      <c r="V1979" s="3980"/>
      <c r="W1979" s="3421"/>
      <c r="X1979" s="3421"/>
      <c r="Y1979" s="2374">
        <v>39600</v>
      </c>
      <c r="Z1979" s="3421">
        <v>39600</v>
      </c>
      <c r="AA1979" s="3421">
        <v>39600</v>
      </c>
      <c r="AB1979" s="3421">
        <v>39600</v>
      </c>
      <c r="AC1979" s="2292">
        <f>AC1978</f>
        <v>36000</v>
      </c>
      <c r="AD1979" s="3047">
        <v>26800</v>
      </c>
      <c r="AE1979" s="3429"/>
      <c r="AF1979" s="3421"/>
      <c r="AG1979" s="3421"/>
      <c r="AH1979" s="156"/>
      <c r="AI1979" s="156"/>
      <c r="AJ1979" s="156"/>
      <c r="AK1979" s="156"/>
      <c r="AL1979" s="156"/>
      <c r="AM1979" s="156"/>
      <c r="AN1979" s="156"/>
      <c r="AO1979" s="156"/>
      <c r="AP1979" s="156"/>
      <c r="AQ1979" s="156"/>
      <c r="AR1979" s="156"/>
      <c r="AS1979" s="156"/>
      <c r="AT1979" s="156"/>
      <c r="AU1979" s="156"/>
      <c r="AV1979" s="156"/>
      <c r="AW1979" s="156"/>
      <c r="AX1979" s="156"/>
      <c r="AY1979" s="156"/>
      <c r="AZ1979" s="156"/>
      <c r="BA1979" s="156"/>
      <c r="BB1979" s="2828"/>
      <c r="BC1979" s="452"/>
      <c r="BD1979" s="2829"/>
      <c r="BE1979" s="2837"/>
      <c r="BF1979" s="156"/>
    </row>
    <row r="1980" spans="1:58" ht="15" customHeight="1" outlineLevel="1" x14ac:dyDescent="0.35">
      <c r="A1980" s="1664"/>
      <c r="B1980" s="2812"/>
      <c r="C1980" s="3077"/>
      <c r="D1980" s="3980"/>
      <c r="E1980" s="3883"/>
      <c r="F1980" s="3984" t="str">
        <f>$E$1614</f>
        <v>ASHP-SEER16-Replace_CAC_ElectricHeat_ROF_MF</v>
      </c>
      <c r="G1980" s="3984"/>
      <c r="H1980" s="3984"/>
      <c r="I1980" s="3984"/>
      <c r="J1980" s="3501" t="str">
        <f>$C$1614</f>
        <v>352950_2019_12_</v>
      </c>
      <c r="K1980" s="3047">
        <v>26800</v>
      </c>
      <c r="L1980" s="3517">
        <f t="shared" si="356"/>
        <v>2.2333333333333334</v>
      </c>
      <c r="M1980" s="3518" t="s">
        <v>4360</v>
      </c>
      <c r="N1980" s="2804"/>
      <c r="O1980" s="106"/>
      <c r="P1980" s="702"/>
      <c r="Q1980" s="574"/>
      <c r="R1980" s="702"/>
      <c r="S1980" s="106"/>
      <c r="T1980" s="486"/>
      <c r="U1980" s="106"/>
      <c r="V1980" s="3980"/>
      <c r="W1980" s="3421">
        <v>38400</v>
      </c>
      <c r="X1980" s="3421">
        <v>38400</v>
      </c>
      <c r="Y1980" s="3421">
        <v>38400</v>
      </c>
      <c r="Z1980" s="3421">
        <v>38400</v>
      </c>
      <c r="AA1980" s="3421">
        <v>38400</v>
      </c>
      <c r="AB1980" s="2374">
        <v>24000</v>
      </c>
      <c r="AC1980" s="3557">
        <v>24000</v>
      </c>
      <c r="AD1980" s="3047">
        <v>26800</v>
      </c>
      <c r="AE1980" s="3429"/>
      <c r="AF1980" s="3421"/>
      <c r="AG1980" s="3421"/>
      <c r="AH1980" s="156"/>
      <c r="AI1980" s="156"/>
      <c r="AJ1980" s="156"/>
      <c r="AK1980" s="156"/>
      <c r="AL1980" s="156"/>
      <c r="AM1980" s="156"/>
      <c r="AN1980" s="156"/>
      <c r="AO1980" s="156"/>
      <c r="AP1980" s="156"/>
      <c r="AQ1980" s="156"/>
      <c r="AR1980" s="156"/>
      <c r="AS1980" s="156"/>
      <c r="AT1980" s="156"/>
      <c r="AU1980" s="156"/>
      <c r="AV1980" s="156"/>
      <c r="AW1980" s="156"/>
      <c r="AX1980" s="156"/>
      <c r="AY1980" s="156"/>
      <c r="AZ1980" s="156"/>
      <c r="BA1980" s="156"/>
      <c r="BB1980" s="2828"/>
      <c r="BC1980" s="452"/>
      <c r="BD1980" s="2829"/>
      <c r="BE1980" s="2837"/>
      <c r="BF1980" s="156"/>
    </row>
    <row r="1981" spans="1:58" ht="15" customHeight="1" outlineLevel="1" x14ac:dyDescent="0.35">
      <c r="A1981" s="1664"/>
      <c r="B1981" s="2812"/>
      <c r="C1981" s="3077"/>
      <c r="D1981" s="3980"/>
      <c r="E1981" s="3883"/>
      <c r="F1981" s="3984" t="str">
        <f>$E$1616</f>
        <v>ASHP-SEER16-Replace_CAC_ElectricHeat_ROF_MF_CompE</v>
      </c>
      <c r="G1981" s="3984"/>
      <c r="H1981" s="3984"/>
      <c r="I1981" s="3984"/>
      <c r="J1981" s="3501" t="str">
        <f>$C$1616</f>
        <v>352951_2019_12_</v>
      </c>
      <c r="K1981" s="3047">
        <v>26800</v>
      </c>
      <c r="L1981" s="3517">
        <f t="shared" si="356"/>
        <v>2.2333333333333334</v>
      </c>
      <c r="M1981" s="3520" t="s">
        <v>1505</v>
      </c>
      <c r="N1981" s="2804"/>
      <c r="O1981" s="106"/>
      <c r="P1981" s="702"/>
      <c r="Q1981" s="574"/>
      <c r="R1981" s="702"/>
      <c r="S1981" s="106"/>
      <c r="T1981" s="486"/>
      <c r="U1981" s="106"/>
      <c r="V1981" s="3980"/>
      <c r="W1981" s="3421"/>
      <c r="X1981" s="3421"/>
      <c r="Y1981" s="2374">
        <v>38400</v>
      </c>
      <c r="Z1981" s="3421">
        <v>38400</v>
      </c>
      <c r="AA1981" s="3421">
        <v>38400</v>
      </c>
      <c r="AB1981" s="2374">
        <v>24000</v>
      </c>
      <c r="AC1981" s="3557">
        <f>AC1980</f>
        <v>24000</v>
      </c>
      <c r="AD1981" s="3047">
        <v>26800</v>
      </c>
      <c r="AE1981" s="3429"/>
      <c r="AF1981" s="3421"/>
      <c r="AG1981" s="3421"/>
      <c r="AH1981" s="156"/>
      <c r="AI1981" s="156"/>
      <c r="AJ1981" s="156"/>
      <c r="AK1981" s="156"/>
      <c r="AL1981" s="156"/>
      <c r="AM1981" s="156"/>
      <c r="AN1981" s="156"/>
      <c r="AO1981" s="156"/>
      <c r="AP1981" s="156"/>
      <c r="AQ1981" s="156"/>
      <c r="AR1981" s="156"/>
      <c r="AS1981" s="156"/>
      <c r="AT1981" s="156"/>
      <c r="AU1981" s="156"/>
      <c r="AV1981" s="156"/>
      <c r="AW1981" s="156"/>
      <c r="AX1981" s="156"/>
      <c r="AY1981" s="156"/>
      <c r="AZ1981" s="156"/>
      <c r="BA1981" s="156"/>
      <c r="BB1981" s="2828"/>
      <c r="BC1981" s="452"/>
      <c r="BD1981" s="2829"/>
      <c r="BE1981" s="2837"/>
      <c r="BF1981" s="156"/>
    </row>
    <row r="1982" spans="1:58" ht="15" customHeight="1" outlineLevel="1" x14ac:dyDescent="0.35">
      <c r="A1982" s="1664"/>
      <c r="B1982" s="2812"/>
      <c r="C1982" s="3077"/>
      <c r="D1982" s="3980"/>
      <c r="E1982" s="3883"/>
      <c r="F1982" s="3984" t="str">
        <f>$E$1618</f>
        <v>ASHP-SEER16-Replace_CAC_NonElectricHeat_ROF_MF</v>
      </c>
      <c r="G1982" s="3984"/>
      <c r="H1982" s="3984"/>
      <c r="I1982" s="3984"/>
      <c r="J1982" s="3501" t="str">
        <f>$C$1618</f>
        <v>352960_2021_12_</v>
      </c>
      <c r="K1982" s="3047">
        <v>26800</v>
      </c>
      <c r="L1982" s="3517">
        <f t="shared" si="356"/>
        <v>2.2333333333333334</v>
      </c>
      <c r="M1982" s="3520" t="s">
        <v>1083</v>
      </c>
      <c r="N1982" s="2804"/>
      <c r="O1982" s="106"/>
      <c r="P1982" s="702"/>
      <c r="Q1982" s="574"/>
      <c r="R1982" s="702"/>
      <c r="S1982" s="106"/>
      <c r="T1982" s="486"/>
      <c r="U1982" s="106"/>
      <c r="V1982" s="3980"/>
      <c r="W1982" s="3421"/>
      <c r="X1982" s="3421"/>
      <c r="Y1982" s="2374"/>
      <c r="Z1982" s="3421"/>
      <c r="AA1982" s="3421"/>
      <c r="AB1982" s="2374"/>
      <c r="AC1982" s="2292">
        <v>24000</v>
      </c>
      <c r="AD1982" s="3047">
        <v>26800</v>
      </c>
      <c r="AE1982" s="3429"/>
      <c r="AF1982" s="3421"/>
      <c r="AG1982" s="3421"/>
      <c r="AH1982" s="156"/>
      <c r="AI1982" s="156"/>
      <c r="AJ1982" s="156"/>
      <c r="AK1982" s="156"/>
      <c r="AL1982" s="156"/>
      <c r="AM1982" s="156"/>
      <c r="AN1982" s="156"/>
      <c r="AO1982" s="156"/>
      <c r="AP1982" s="156"/>
      <c r="AQ1982" s="156"/>
      <c r="AR1982" s="156"/>
      <c r="AS1982" s="156"/>
      <c r="AT1982" s="156"/>
      <c r="AU1982" s="156"/>
      <c r="AV1982" s="156"/>
      <c r="AW1982" s="156"/>
      <c r="AX1982" s="156"/>
      <c r="AY1982" s="156"/>
      <c r="AZ1982" s="156"/>
      <c r="BA1982" s="156"/>
      <c r="BB1982" s="2828"/>
      <c r="BC1982" s="452"/>
      <c r="BD1982" s="2829"/>
      <c r="BE1982" s="2837"/>
      <c r="BF1982" s="156"/>
    </row>
    <row r="1983" spans="1:58" ht="15" customHeight="1" outlineLevel="1" x14ac:dyDescent="0.35">
      <c r="A1983" s="1664"/>
      <c r="B1983" s="2812"/>
      <c r="C1983" s="3077"/>
      <c r="D1983" s="3980"/>
      <c r="E1983" s="3883"/>
      <c r="F1983" s="3984" t="str">
        <f>$E$1620</f>
        <v>ASHP-SEER16-Replace_CAC_NonElectricHeat_ROF_MF_CompE</v>
      </c>
      <c r="G1983" s="3984"/>
      <c r="H1983" s="3984"/>
      <c r="I1983" s="3984"/>
      <c r="J1983" s="3501" t="str">
        <f>$C$1620</f>
        <v>352961_2021_12_</v>
      </c>
      <c r="K1983" s="3047">
        <v>26800</v>
      </c>
      <c r="L1983" s="3517">
        <f t="shared" si="356"/>
        <v>2.2333333333333334</v>
      </c>
      <c r="M1983" s="3520" t="s">
        <v>1083</v>
      </c>
      <c r="N1983" s="2804"/>
      <c r="O1983" s="106"/>
      <c r="P1983" s="702"/>
      <c r="Q1983" s="574"/>
      <c r="R1983" s="702"/>
      <c r="S1983" s="106"/>
      <c r="T1983" s="486"/>
      <c r="U1983" s="106"/>
      <c r="V1983" s="3980"/>
      <c r="W1983" s="3421"/>
      <c r="X1983" s="3421"/>
      <c r="Y1983" s="2374"/>
      <c r="Z1983" s="3421"/>
      <c r="AA1983" s="3421"/>
      <c r="AB1983" s="2374"/>
      <c r="AC1983" s="2292">
        <f>AC1982</f>
        <v>24000</v>
      </c>
      <c r="AD1983" s="3047">
        <v>26800</v>
      </c>
      <c r="AE1983" s="3429"/>
      <c r="AF1983" s="3421"/>
      <c r="AG1983" s="3421"/>
      <c r="AH1983" s="156"/>
      <c r="AI1983" s="156"/>
      <c r="AJ1983" s="156"/>
      <c r="AK1983" s="156"/>
      <c r="AL1983" s="156"/>
      <c r="AM1983" s="156"/>
      <c r="AN1983" s="156"/>
      <c r="AO1983" s="156"/>
      <c r="AP1983" s="156"/>
      <c r="AQ1983" s="156"/>
      <c r="AR1983" s="156"/>
      <c r="AS1983" s="156"/>
      <c r="AT1983" s="156"/>
      <c r="AU1983" s="156"/>
      <c r="AV1983" s="156"/>
      <c r="AW1983" s="156"/>
      <c r="AX1983" s="156"/>
      <c r="AY1983" s="156"/>
      <c r="AZ1983" s="156"/>
      <c r="BA1983" s="156"/>
      <c r="BB1983" s="2828"/>
      <c r="BC1983" s="452"/>
      <c r="BD1983" s="2829"/>
      <c r="BE1983" s="2837"/>
      <c r="BF1983" s="156"/>
    </row>
    <row r="1984" spans="1:58" ht="15" customHeight="1" outlineLevel="1" x14ac:dyDescent="0.35">
      <c r="A1984" s="1664"/>
      <c r="B1984" s="2812"/>
      <c r="C1984" s="3077"/>
      <c r="D1984" s="3980"/>
      <c r="E1984" s="3883"/>
      <c r="F1984" s="3984" t="str">
        <f>$E$1622</f>
        <v>ASHP-SEER16-Replace_CAC_ElectricHeat_ER1_MF</v>
      </c>
      <c r="G1984" s="3984"/>
      <c r="H1984" s="3984"/>
      <c r="I1984" s="3984"/>
      <c r="J1984" s="3501" t="str">
        <f>$C$1622</f>
        <v>353000_2021_12_</v>
      </c>
      <c r="K1984" s="3047">
        <v>34066.666666666664</v>
      </c>
      <c r="L1984" s="3517">
        <f t="shared" si="356"/>
        <v>2.8388888888888886</v>
      </c>
      <c r="M1984" s="3518" t="s">
        <v>4360</v>
      </c>
      <c r="N1984" s="2804"/>
      <c r="O1984" s="106"/>
      <c r="P1984" s="702"/>
      <c r="Q1984" s="574"/>
      <c r="R1984" s="702"/>
      <c r="S1984" s="106"/>
      <c r="T1984" s="486"/>
      <c r="U1984" s="106"/>
      <c r="V1984" s="3980"/>
      <c r="W1984" s="3421">
        <v>37200</v>
      </c>
      <c r="X1984" s="3421">
        <v>37200</v>
      </c>
      <c r="Y1984" s="3421">
        <v>37200</v>
      </c>
      <c r="Z1984" s="3421">
        <v>37200</v>
      </c>
      <c r="AA1984" s="3421">
        <v>37200</v>
      </c>
      <c r="AB1984" s="2374">
        <v>39600</v>
      </c>
      <c r="AC1984" s="2292">
        <v>24000</v>
      </c>
      <c r="AD1984" s="3047">
        <v>34066.666666666664</v>
      </c>
      <c r="AE1984" s="3429"/>
      <c r="AF1984" s="3421"/>
      <c r="AG1984" s="3421"/>
      <c r="AH1984" s="156"/>
      <c r="AI1984" s="156"/>
      <c r="AJ1984" s="156"/>
      <c r="AK1984" s="156"/>
      <c r="AL1984" s="156"/>
      <c r="AM1984" s="156"/>
      <c r="AN1984" s="156"/>
      <c r="AO1984" s="156"/>
      <c r="AP1984" s="156"/>
      <c r="AQ1984" s="156"/>
      <c r="AR1984" s="156"/>
      <c r="AS1984" s="156"/>
      <c r="AT1984" s="156"/>
      <c r="AU1984" s="156"/>
      <c r="AV1984" s="156"/>
      <c r="AW1984" s="156"/>
      <c r="AX1984" s="156"/>
      <c r="AY1984" s="156"/>
      <c r="AZ1984" s="156"/>
      <c r="BA1984" s="156"/>
      <c r="BB1984" s="2828"/>
      <c r="BC1984" s="452"/>
      <c r="BD1984" s="2829"/>
      <c r="BE1984" s="2837"/>
      <c r="BF1984" s="156"/>
    </row>
    <row r="1985" spans="1:58" ht="15" customHeight="1" outlineLevel="1" x14ac:dyDescent="0.35">
      <c r="A1985" s="1664"/>
      <c r="B1985" s="2812"/>
      <c r="C1985" s="3077"/>
      <c r="D1985" s="3980"/>
      <c r="E1985" s="3883"/>
      <c r="F1985" s="3984" t="str">
        <f>$E$1624</f>
        <v>ASHP-SEER16-Replace_CAC_ElectricHeat_ER2_MF</v>
      </c>
      <c r="G1985" s="3984"/>
      <c r="H1985" s="3984"/>
      <c r="I1985" s="3984"/>
      <c r="J1985" s="3501" t="str">
        <f>$C$1624</f>
        <v>353000_2021_12_</v>
      </c>
      <c r="K1985" s="3047">
        <v>34066.666666666664</v>
      </c>
      <c r="L1985" s="3517">
        <f t="shared" si="356"/>
        <v>2.8388888888888886</v>
      </c>
      <c r="M1985" s="3518" t="s">
        <v>1083</v>
      </c>
      <c r="N1985" s="2804"/>
      <c r="O1985" s="106"/>
      <c r="P1985" s="702"/>
      <c r="Q1985" s="574"/>
      <c r="R1985" s="702"/>
      <c r="S1985" s="106"/>
      <c r="T1985" s="486"/>
      <c r="U1985" s="106"/>
      <c r="V1985" s="3980"/>
      <c r="W1985" s="3421">
        <v>37200</v>
      </c>
      <c r="X1985" s="3421">
        <v>37200</v>
      </c>
      <c r="Y1985" s="3421">
        <v>37200</v>
      </c>
      <c r="Z1985" s="3421">
        <v>37200</v>
      </c>
      <c r="AA1985" s="3421">
        <v>37200</v>
      </c>
      <c r="AB1985" s="2374">
        <v>39600</v>
      </c>
      <c r="AC1985" s="2292">
        <f>AC1984</f>
        <v>24000</v>
      </c>
      <c r="AD1985" s="3047">
        <v>34066.666666666664</v>
      </c>
      <c r="AE1985" s="3429"/>
      <c r="AF1985" s="3421"/>
      <c r="AG1985" s="3421"/>
      <c r="AH1985" s="156"/>
      <c r="AI1985" s="156"/>
      <c r="AJ1985" s="156"/>
      <c r="AK1985" s="156"/>
      <c r="AL1985" s="156"/>
      <c r="AM1985" s="156"/>
      <c r="AN1985" s="156"/>
      <c r="AO1985" s="156"/>
      <c r="AP1985" s="156"/>
      <c r="AQ1985" s="156"/>
      <c r="AR1985" s="156"/>
      <c r="AS1985" s="156"/>
      <c r="AT1985" s="156"/>
      <c r="AU1985" s="156"/>
      <c r="AV1985" s="156"/>
      <c r="AW1985" s="156"/>
      <c r="AX1985" s="156"/>
      <c r="AY1985" s="156"/>
      <c r="AZ1985" s="156"/>
      <c r="BA1985" s="156"/>
      <c r="BB1985" s="2828"/>
      <c r="BC1985" s="452"/>
      <c r="BD1985" s="2829"/>
      <c r="BE1985" s="2837"/>
      <c r="BF1985" s="156"/>
    </row>
    <row r="1986" spans="1:58" ht="15" customHeight="1" outlineLevel="1" x14ac:dyDescent="0.35">
      <c r="A1986" s="1664"/>
      <c r="B1986" s="2812"/>
      <c r="C1986" s="3077"/>
      <c r="D1986" s="3980"/>
      <c r="E1986" s="3883"/>
      <c r="F1986" s="3984" t="str">
        <f>$E$1626</f>
        <v>ASHP-SEER16-Replace_CAC_ElectricHeat_ER1_MF_CompE</v>
      </c>
      <c r="G1986" s="3984"/>
      <c r="H1986" s="3984"/>
      <c r="I1986" s="3984"/>
      <c r="J1986" s="3501" t="str">
        <f>$C$1626</f>
        <v>353001_2021_12_</v>
      </c>
      <c r="K1986" s="3047">
        <v>34066.666666666664</v>
      </c>
      <c r="L1986" s="3517">
        <f t="shared" si="356"/>
        <v>2.8388888888888886</v>
      </c>
      <c r="M1986" s="3520" t="s">
        <v>1083</v>
      </c>
      <c r="N1986" s="2804"/>
      <c r="O1986" s="106"/>
      <c r="P1986" s="702"/>
      <c r="Q1986" s="574"/>
      <c r="R1986" s="702"/>
      <c r="S1986" s="106"/>
      <c r="T1986" s="486"/>
      <c r="U1986" s="106"/>
      <c r="V1986" s="3980"/>
      <c r="W1986" s="3421"/>
      <c r="X1986" s="3421"/>
      <c r="Y1986" s="2374">
        <v>37200</v>
      </c>
      <c r="Z1986" s="3421">
        <v>37200</v>
      </c>
      <c r="AA1986" s="3421">
        <v>37200</v>
      </c>
      <c r="AB1986" s="2374">
        <v>39600</v>
      </c>
      <c r="AC1986" s="2292">
        <f>AC1984</f>
        <v>24000</v>
      </c>
      <c r="AD1986" s="3047">
        <v>34066.666666666664</v>
      </c>
      <c r="AE1986" s="3429"/>
      <c r="AF1986" s="3421"/>
      <c r="AG1986" s="3421"/>
      <c r="AH1986" s="156"/>
      <c r="AI1986" s="156"/>
      <c r="AJ1986" s="156"/>
      <c r="AK1986" s="156"/>
      <c r="AL1986" s="156"/>
      <c r="AM1986" s="156"/>
      <c r="AN1986" s="156"/>
      <c r="AO1986" s="156"/>
      <c r="AP1986" s="156"/>
      <c r="AQ1986" s="156"/>
      <c r="AR1986" s="156"/>
      <c r="AS1986" s="156"/>
      <c r="AT1986" s="156"/>
      <c r="AU1986" s="156"/>
      <c r="AV1986" s="156"/>
      <c r="AW1986" s="156"/>
      <c r="AX1986" s="156"/>
      <c r="AY1986" s="156"/>
      <c r="AZ1986" s="156"/>
      <c r="BA1986" s="156"/>
      <c r="BB1986" s="2828"/>
      <c r="BC1986" s="452"/>
      <c r="BD1986" s="2829"/>
      <c r="BE1986" s="2837"/>
      <c r="BF1986" s="156"/>
    </row>
    <row r="1987" spans="1:58" ht="15" customHeight="1" outlineLevel="1" x14ac:dyDescent="0.35">
      <c r="A1987" s="1664"/>
      <c r="B1987" s="2812"/>
      <c r="C1987" s="3077"/>
      <c r="D1987" s="3980"/>
      <c r="E1987" s="3883"/>
      <c r="F1987" s="3984" t="str">
        <f>$E$1628</f>
        <v>ASHP-SEER16-Replace_CAC_ElectricHeat_ER2_MF_CompE</v>
      </c>
      <c r="G1987" s="3984"/>
      <c r="H1987" s="3984"/>
      <c r="I1987" s="3984"/>
      <c r="J1987" s="3501" t="str">
        <f>$C$1628</f>
        <v>353001_2021_12_</v>
      </c>
      <c r="K1987" s="3047">
        <v>34066.666666666664</v>
      </c>
      <c r="L1987" s="3517">
        <f t="shared" si="356"/>
        <v>2.8388888888888886</v>
      </c>
      <c r="M1987" s="3520" t="s">
        <v>1083</v>
      </c>
      <c r="N1987" s="2804"/>
      <c r="O1987" s="106"/>
      <c r="P1987" s="702"/>
      <c r="Q1987" s="574"/>
      <c r="R1987" s="702"/>
      <c r="S1987" s="106"/>
      <c r="T1987" s="486"/>
      <c r="U1987" s="106"/>
      <c r="V1987" s="3980"/>
      <c r="W1987" s="3421"/>
      <c r="X1987" s="3421"/>
      <c r="Y1987" s="2374">
        <v>37200</v>
      </c>
      <c r="Z1987" s="3421">
        <v>37200</v>
      </c>
      <c r="AA1987" s="3421">
        <v>37200</v>
      </c>
      <c r="AB1987" s="2374">
        <v>39600</v>
      </c>
      <c r="AC1987" s="2292">
        <f>AC1985</f>
        <v>24000</v>
      </c>
      <c r="AD1987" s="3047">
        <v>34066.666666666664</v>
      </c>
      <c r="AE1987" s="3429"/>
      <c r="AF1987" s="3421"/>
      <c r="AG1987" s="3421"/>
      <c r="AH1987" s="156"/>
      <c r="AI1987" s="156"/>
      <c r="AJ1987" s="156"/>
      <c r="AK1987" s="156"/>
      <c r="AL1987" s="156"/>
      <c r="AM1987" s="156"/>
      <c r="AN1987" s="156"/>
      <c r="AO1987" s="156"/>
      <c r="AP1987" s="156"/>
      <c r="AQ1987" s="156"/>
      <c r="AR1987" s="156"/>
      <c r="AS1987" s="156"/>
      <c r="AT1987" s="156"/>
      <c r="AU1987" s="156"/>
      <c r="AV1987" s="156"/>
      <c r="AW1987" s="156"/>
      <c r="AX1987" s="156"/>
      <c r="AY1987" s="156"/>
      <c r="AZ1987" s="156"/>
      <c r="BA1987" s="156"/>
      <c r="BB1987" s="2828"/>
      <c r="BC1987" s="452"/>
      <c r="BD1987" s="2829"/>
      <c r="BE1987" s="2837"/>
      <c r="BF1987" s="156"/>
    </row>
    <row r="1988" spans="1:58" ht="15" customHeight="1" outlineLevel="1" x14ac:dyDescent="0.35">
      <c r="A1988" s="1664"/>
      <c r="B1988" s="2812"/>
      <c r="C1988" s="3077"/>
      <c r="D1988" s="3980"/>
      <c r="E1988" s="3883"/>
      <c r="F1988" s="3984" t="str">
        <f>$E$1630</f>
        <v>ASHP-SEER16-Replace_CAC_NonElectricHeat_ER1_MF</v>
      </c>
      <c r="G1988" s="3984"/>
      <c r="H1988" s="3984"/>
      <c r="I1988" s="3984"/>
      <c r="J1988" s="3501" t="str">
        <f>$C$1630</f>
        <v>353010_2021_12_</v>
      </c>
      <c r="K1988" s="3047">
        <v>34066.666666666664</v>
      </c>
      <c r="L1988" s="3517">
        <f t="shared" si="356"/>
        <v>2.8388888888888886</v>
      </c>
      <c r="M1988" s="3520" t="s">
        <v>1083</v>
      </c>
      <c r="N1988" s="2804"/>
      <c r="O1988" s="106"/>
      <c r="P1988" s="702"/>
      <c r="Q1988" s="574"/>
      <c r="R1988" s="702"/>
      <c r="S1988" s="106"/>
      <c r="T1988" s="486"/>
      <c r="U1988" s="106"/>
      <c r="V1988" s="3980"/>
      <c r="W1988" s="3421"/>
      <c r="X1988" s="3421"/>
      <c r="Y1988" s="2374"/>
      <c r="Z1988" s="3421"/>
      <c r="AA1988" s="3421"/>
      <c r="AB1988" s="2374"/>
      <c r="AC1988" s="2292">
        <v>24000</v>
      </c>
      <c r="AD1988" s="3047">
        <v>34066.666666666664</v>
      </c>
      <c r="AE1988" s="3429"/>
      <c r="AF1988" s="3421"/>
      <c r="AG1988" s="3421"/>
      <c r="AH1988" s="156"/>
      <c r="AI1988" s="156"/>
      <c r="AJ1988" s="156"/>
      <c r="AK1988" s="156"/>
      <c r="AL1988" s="156"/>
      <c r="AM1988" s="156"/>
      <c r="AN1988" s="156"/>
      <c r="AO1988" s="156"/>
      <c r="AP1988" s="156"/>
      <c r="AQ1988" s="156"/>
      <c r="AR1988" s="156"/>
      <c r="AS1988" s="156"/>
      <c r="AT1988" s="156"/>
      <c r="AU1988" s="156"/>
      <c r="AV1988" s="156"/>
      <c r="AW1988" s="156"/>
      <c r="AX1988" s="156"/>
      <c r="AY1988" s="156"/>
      <c r="AZ1988" s="156"/>
      <c r="BA1988" s="156"/>
      <c r="BB1988" s="2828"/>
      <c r="BC1988" s="452"/>
      <c r="BD1988" s="2829"/>
      <c r="BE1988" s="2837"/>
      <c r="BF1988" s="156"/>
    </row>
    <row r="1989" spans="1:58" ht="15" customHeight="1" outlineLevel="1" x14ac:dyDescent="0.35">
      <c r="A1989" s="1664"/>
      <c r="B1989" s="2812"/>
      <c r="C1989" s="3077"/>
      <c r="D1989" s="3980"/>
      <c r="E1989" s="3883"/>
      <c r="F1989" s="3984" t="str">
        <f>$E$1632</f>
        <v>ASHP-SEER16-Replace_CAC_NonElectricHeat_ER2_MF</v>
      </c>
      <c r="G1989" s="3984"/>
      <c r="H1989" s="3984"/>
      <c r="I1989" s="3984"/>
      <c r="J1989" s="3501" t="str">
        <f>$C$1632</f>
        <v>353010_2021_12_</v>
      </c>
      <c r="K1989" s="3047">
        <v>34066.666666666664</v>
      </c>
      <c r="L1989" s="3517">
        <f t="shared" si="356"/>
        <v>2.8388888888888886</v>
      </c>
      <c r="M1989" s="3520" t="s">
        <v>1083</v>
      </c>
      <c r="N1989" s="2804"/>
      <c r="O1989" s="106"/>
      <c r="P1989" s="702"/>
      <c r="Q1989" s="574"/>
      <c r="R1989" s="702"/>
      <c r="S1989" s="106"/>
      <c r="T1989" s="486"/>
      <c r="U1989" s="106"/>
      <c r="V1989" s="3980"/>
      <c r="W1989" s="3421"/>
      <c r="X1989" s="3421"/>
      <c r="Y1989" s="2374"/>
      <c r="Z1989" s="3421"/>
      <c r="AA1989" s="3421"/>
      <c r="AB1989" s="2374"/>
      <c r="AC1989" s="2292">
        <f>AC1988</f>
        <v>24000</v>
      </c>
      <c r="AD1989" s="3047">
        <v>34066.666666666664</v>
      </c>
      <c r="AE1989" s="3429"/>
      <c r="AF1989" s="3421"/>
      <c r="AG1989" s="3421"/>
      <c r="AH1989" s="156"/>
      <c r="AI1989" s="156"/>
      <c r="AJ1989" s="156"/>
      <c r="AK1989" s="156"/>
      <c r="AL1989" s="156"/>
      <c r="AM1989" s="156"/>
      <c r="AN1989" s="156"/>
      <c r="AO1989" s="156"/>
      <c r="AP1989" s="156"/>
      <c r="AQ1989" s="156"/>
      <c r="AR1989" s="156"/>
      <c r="AS1989" s="156"/>
      <c r="AT1989" s="156"/>
      <c r="AU1989" s="156"/>
      <c r="AV1989" s="156"/>
      <c r="AW1989" s="156"/>
      <c r="AX1989" s="156"/>
      <c r="AY1989" s="156"/>
      <c r="AZ1989" s="156"/>
      <c r="BA1989" s="156"/>
      <c r="BB1989" s="2828"/>
      <c r="BC1989" s="452"/>
      <c r="BD1989" s="2829"/>
      <c r="BE1989" s="2837"/>
      <c r="BF1989" s="156"/>
    </row>
    <row r="1990" spans="1:58" ht="15" customHeight="1" outlineLevel="1" x14ac:dyDescent="0.35">
      <c r="A1990" s="1664"/>
      <c r="B1990" s="2812"/>
      <c r="C1990" s="3077"/>
      <c r="D1990" s="3980"/>
      <c r="E1990" s="3883"/>
      <c r="F1990" s="3984" t="str">
        <f>$E$1634</f>
        <v>ASHP-SEER16-Replace_CAC_NonElectricHeat_ER1_MF_CompE</v>
      </c>
      <c r="G1990" s="3984"/>
      <c r="H1990" s="3984"/>
      <c r="I1990" s="3984"/>
      <c r="J1990" s="3501" t="str">
        <f>$C$1634</f>
        <v>353011_2021_12_</v>
      </c>
      <c r="K1990" s="3047">
        <v>34066.666666666664</v>
      </c>
      <c r="L1990" s="3517">
        <f t="shared" si="356"/>
        <v>2.8388888888888886</v>
      </c>
      <c r="M1990" s="3520" t="s">
        <v>1083</v>
      </c>
      <c r="N1990" s="2804"/>
      <c r="O1990" s="106"/>
      <c r="P1990" s="702"/>
      <c r="Q1990" s="574"/>
      <c r="R1990" s="702"/>
      <c r="S1990" s="106"/>
      <c r="T1990" s="486"/>
      <c r="U1990" s="106"/>
      <c r="V1990" s="3980"/>
      <c r="W1990" s="3421"/>
      <c r="X1990" s="3421"/>
      <c r="Y1990" s="2374"/>
      <c r="Z1990" s="3421"/>
      <c r="AA1990" s="3421"/>
      <c r="AB1990" s="2374"/>
      <c r="AC1990" s="2292">
        <f>AC1988</f>
        <v>24000</v>
      </c>
      <c r="AD1990" s="3047">
        <v>34066.666666666664</v>
      </c>
      <c r="AE1990" s="3429"/>
      <c r="AF1990" s="3421"/>
      <c r="AG1990" s="3421"/>
      <c r="AH1990" s="156"/>
      <c r="AI1990" s="156"/>
      <c r="AJ1990" s="156"/>
      <c r="AK1990" s="156"/>
      <c r="AL1990" s="156"/>
      <c r="AM1990" s="156"/>
      <c r="AN1990" s="156"/>
      <c r="AO1990" s="156"/>
      <c r="AP1990" s="156"/>
      <c r="AQ1990" s="156"/>
      <c r="AR1990" s="156"/>
      <c r="AS1990" s="156"/>
      <c r="AT1990" s="156"/>
      <c r="AU1990" s="156"/>
      <c r="AV1990" s="156"/>
      <c r="AW1990" s="156"/>
      <c r="AX1990" s="156"/>
      <c r="AY1990" s="156"/>
      <c r="AZ1990" s="156"/>
      <c r="BA1990" s="156"/>
      <c r="BB1990" s="2828"/>
      <c r="BC1990" s="452"/>
      <c r="BD1990" s="2829"/>
      <c r="BE1990" s="2837"/>
      <c r="BF1990" s="156"/>
    </row>
    <row r="1991" spans="1:58" ht="15" customHeight="1" outlineLevel="1" x14ac:dyDescent="0.35">
      <c r="A1991" s="1664"/>
      <c r="B1991" s="2812"/>
      <c r="C1991" s="3077"/>
      <c r="D1991" s="3980"/>
      <c r="E1991" s="3883"/>
      <c r="F1991" s="3984" t="str">
        <f>$E$1636</f>
        <v>ASHP-SEER16-Replace_CAC_NonElectricHeat_ER2_MF_CompE</v>
      </c>
      <c r="G1991" s="3984"/>
      <c r="H1991" s="3984"/>
      <c r="I1991" s="3984"/>
      <c r="J1991" s="3501" t="str">
        <f>$C$1636</f>
        <v>353011_2021_12_</v>
      </c>
      <c r="K1991" s="3047">
        <v>34066.666666666664</v>
      </c>
      <c r="L1991" s="3517">
        <f t="shared" si="356"/>
        <v>2.8388888888888886</v>
      </c>
      <c r="M1991" s="3520" t="s">
        <v>1083</v>
      </c>
      <c r="N1991" s="2804"/>
      <c r="O1991" s="106"/>
      <c r="P1991" s="702"/>
      <c r="Q1991" s="574"/>
      <c r="R1991" s="702"/>
      <c r="S1991" s="106"/>
      <c r="T1991" s="486"/>
      <c r="U1991" s="106"/>
      <c r="V1991" s="3980"/>
      <c r="W1991" s="3421"/>
      <c r="X1991" s="3421"/>
      <c r="Y1991" s="2374"/>
      <c r="Z1991" s="3421"/>
      <c r="AA1991" s="3421"/>
      <c r="AB1991" s="2374"/>
      <c r="AC1991" s="2292">
        <f>AC1989</f>
        <v>24000</v>
      </c>
      <c r="AD1991" s="3047">
        <v>34066.666666666664</v>
      </c>
      <c r="AE1991" s="3429"/>
      <c r="AF1991" s="3421"/>
      <c r="AG1991" s="3421"/>
      <c r="AH1991" s="156"/>
      <c r="AI1991" s="156"/>
      <c r="AJ1991" s="156"/>
      <c r="AK1991" s="156"/>
      <c r="AL1991" s="156"/>
      <c r="AM1991" s="156"/>
      <c r="AN1991" s="156"/>
      <c r="AO1991" s="156"/>
      <c r="AP1991" s="156"/>
      <c r="AQ1991" s="156"/>
      <c r="AR1991" s="156"/>
      <c r="AS1991" s="156"/>
      <c r="AT1991" s="156"/>
      <c r="AU1991" s="156"/>
      <c r="AV1991" s="156"/>
      <c r="AW1991" s="156"/>
      <c r="AX1991" s="156"/>
      <c r="AY1991" s="156"/>
      <c r="AZ1991" s="156"/>
      <c r="BA1991" s="156"/>
      <c r="BB1991" s="2828"/>
      <c r="BC1991" s="452"/>
      <c r="BD1991" s="2829"/>
      <c r="BE1991" s="2837"/>
      <c r="BF1991" s="156"/>
    </row>
    <row r="1992" spans="1:58" ht="15" customHeight="1" outlineLevel="1" x14ac:dyDescent="0.35">
      <c r="A1992" s="1664"/>
      <c r="B1992" s="2812"/>
      <c r="C1992" s="3077"/>
      <c r="D1992" s="3980"/>
      <c r="E1992" s="3883"/>
      <c r="F1992" s="3984" t="str">
        <f>$E$1638</f>
        <v>ASHP-SEER15_ROF_MF</v>
      </c>
      <c r="G1992" s="3984"/>
      <c r="H1992" s="3984"/>
      <c r="I1992" s="3984"/>
      <c r="J1992" s="3501" t="str">
        <f>$C$1638</f>
        <v>353050_2021_12_</v>
      </c>
      <c r="K1992" s="3047">
        <v>26200</v>
      </c>
      <c r="L1992" s="3517">
        <f t="shared" si="356"/>
        <v>2.1833333333333331</v>
      </c>
      <c r="M1992" s="3518" t="s">
        <v>4360</v>
      </c>
      <c r="N1992" s="2804"/>
      <c r="O1992" s="106"/>
      <c r="P1992" s="702"/>
      <c r="Q1992" s="574"/>
      <c r="R1992" s="702"/>
      <c r="S1992" s="106"/>
      <c r="T1992" s="486"/>
      <c r="U1992" s="106"/>
      <c r="V1992" s="3980"/>
      <c r="W1992" s="3421">
        <v>37200</v>
      </c>
      <c r="X1992" s="3421">
        <v>37200</v>
      </c>
      <c r="Y1992" s="3421">
        <v>37200</v>
      </c>
      <c r="Z1992" s="3421">
        <v>37200</v>
      </c>
      <c r="AA1992" s="3421">
        <v>37200</v>
      </c>
      <c r="AB1992" s="3421">
        <v>37200</v>
      </c>
      <c r="AC1992" s="2292">
        <v>24157.894736842103</v>
      </c>
      <c r="AD1992" s="3047">
        <v>26200</v>
      </c>
      <c r="AE1992" s="3429"/>
      <c r="AF1992" s="3421"/>
      <c r="AG1992" s="3421"/>
      <c r="AH1992" s="156"/>
      <c r="AI1992" s="156"/>
      <c r="AJ1992" s="156"/>
      <c r="AK1992" s="156"/>
      <c r="AL1992" s="156"/>
      <c r="AM1992" s="156"/>
      <c r="AN1992" s="156"/>
      <c r="AO1992" s="156"/>
      <c r="AP1992" s="156"/>
      <c r="AQ1992" s="156"/>
      <c r="AR1992" s="156"/>
      <c r="AS1992" s="156"/>
      <c r="AT1992" s="156"/>
      <c r="AU1992" s="156"/>
      <c r="AV1992" s="156"/>
      <c r="AW1992" s="156"/>
      <c r="AX1992" s="156"/>
      <c r="AY1992" s="156"/>
      <c r="AZ1992" s="156"/>
      <c r="BA1992" s="156"/>
      <c r="BB1992" s="2828"/>
      <c r="BC1992" s="452"/>
      <c r="BD1992" s="2829"/>
      <c r="BE1992" s="2837"/>
      <c r="BF1992" s="156"/>
    </row>
    <row r="1993" spans="1:58" ht="15" customHeight="1" outlineLevel="1" x14ac:dyDescent="0.35">
      <c r="A1993" s="1664"/>
      <c r="B1993" s="2812"/>
      <c r="C1993" s="3077"/>
      <c r="D1993" s="3980"/>
      <c r="E1993" s="3883"/>
      <c r="F1993" s="3984" t="str">
        <f>$E$1640</f>
        <v>ASHP-SEER15_ROF_MF_CompE</v>
      </c>
      <c r="G1993" s="3984"/>
      <c r="H1993" s="3984"/>
      <c r="I1993" s="3984"/>
      <c r="J1993" s="3501" t="str">
        <f>$C$1640</f>
        <v>353051_2021_12_</v>
      </c>
      <c r="K1993" s="3047">
        <v>26200</v>
      </c>
      <c r="L1993" s="3517">
        <f t="shared" si="356"/>
        <v>2.1833333333333331</v>
      </c>
      <c r="M1993" s="3520" t="s">
        <v>1083</v>
      </c>
      <c r="N1993" s="2804"/>
      <c r="O1993" s="106"/>
      <c r="P1993" s="702"/>
      <c r="Q1993" s="574"/>
      <c r="R1993" s="702"/>
      <c r="S1993" s="106"/>
      <c r="T1993" s="486"/>
      <c r="U1993" s="106"/>
      <c r="V1993" s="3980"/>
      <c r="W1993" s="3421"/>
      <c r="X1993" s="3421"/>
      <c r="Y1993" s="2374">
        <v>37200</v>
      </c>
      <c r="Z1993" s="3421">
        <v>37200</v>
      </c>
      <c r="AA1993" s="3421">
        <v>37200</v>
      </c>
      <c r="AB1993" s="3421">
        <v>37200</v>
      </c>
      <c r="AC1993" s="2292">
        <f>AC1992</f>
        <v>24157.894736842103</v>
      </c>
      <c r="AD1993" s="3047">
        <v>26200</v>
      </c>
      <c r="AE1993" s="3429"/>
      <c r="AF1993" s="3421"/>
      <c r="AG1993" s="3421"/>
      <c r="AH1993" s="156"/>
      <c r="AI1993" s="156"/>
      <c r="AJ1993" s="156"/>
      <c r="AK1993" s="156"/>
      <c r="AL1993" s="156"/>
      <c r="AM1993" s="156"/>
      <c r="AN1993" s="156"/>
      <c r="AO1993" s="156"/>
      <c r="AP1993" s="156"/>
      <c r="AQ1993" s="156"/>
      <c r="AR1993" s="156"/>
      <c r="AS1993" s="156"/>
      <c r="AT1993" s="156"/>
      <c r="AU1993" s="156"/>
      <c r="AV1993" s="156"/>
      <c r="AW1993" s="156"/>
      <c r="AX1993" s="156"/>
      <c r="AY1993" s="156"/>
      <c r="AZ1993" s="156"/>
      <c r="BA1993" s="156"/>
      <c r="BB1993" s="2828"/>
      <c r="BC1993" s="452"/>
      <c r="BD1993" s="2829"/>
      <c r="BE1993" s="2837"/>
      <c r="BF1993" s="156"/>
    </row>
    <row r="1994" spans="1:58" ht="15" customHeight="1" outlineLevel="1" x14ac:dyDescent="0.35">
      <c r="A1994" s="1664"/>
      <c r="B1994" s="2812"/>
      <c r="C1994" s="3077"/>
      <c r="D1994" s="3980"/>
      <c r="E1994" s="3883"/>
      <c r="F1994" s="3984" t="str">
        <f>$E$1642</f>
        <v>ASHP-SEER17-Replace_CAC_ElectricHeat_ROF_SF</v>
      </c>
      <c r="G1994" s="3984"/>
      <c r="H1994" s="3984"/>
      <c r="I1994" s="3984"/>
      <c r="J1994" s="3501" t="str">
        <f>$C$1642</f>
        <v>353100_2021_12_</v>
      </c>
      <c r="K1994" s="3047">
        <v>35402.476190000001</v>
      </c>
      <c r="L1994" s="3517">
        <f t="shared" si="356"/>
        <v>2.9502063491666668</v>
      </c>
      <c r="M1994" s="3518" t="s">
        <v>4360</v>
      </c>
      <c r="N1994" s="2804"/>
      <c r="O1994" s="106"/>
      <c r="P1994" s="702"/>
      <c r="Q1994" s="574"/>
      <c r="R1994" s="702"/>
      <c r="S1994" s="106"/>
      <c r="T1994" s="486"/>
      <c r="U1994" s="106"/>
      <c r="V1994" s="3980"/>
      <c r="W1994" s="3421">
        <v>33600</v>
      </c>
      <c r="X1994" s="3421">
        <v>33600</v>
      </c>
      <c r="Y1994" s="3421">
        <v>33600</v>
      </c>
      <c r="Z1994" s="3421">
        <v>33600</v>
      </c>
      <c r="AA1994" s="3421">
        <v>33600</v>
      </c>
      <c r="AB1994" s="3421">
        <v>33600</v>
      </c>
      <c r="AC1994" s="2292">
        <v>32400.000000000004</v>
      </c>
      <c r="AD1994" s="3047">
        <v>35402.476190000001</v>
      </c>
      <c r="AE1994" s="3429"/>
      <c r="AF1994" s="3421"/>
      <c r="AG1994" s="3421"/>
      <c r="AH1994" s="156"/>
      <c r="AI1994" s="156"/>
      <c r="AJ1994" s="156"/>
      <c r="AK1994" s="156"/>
      <c r="AL1994" s="156"/>
      <c r="AM1994" s="156"/>
      <c r="AN1994" s="156"/>
      <c r="AO1994" s="156"/>
      <c r="AP1994" s="156"/>
      <c r="AQ1994" s="156"/>
      <c r="AR1994" s="156"/>
      <c r="AS1994" s="156"/>
      <c r="AT1994" s="156"/>
      <c r="AU1994" s="156"/>
      <c r="AV1994" s="156"/>
      <c r="AW1994" s="156"/>
      <c r="AX1994" s="156"/>
      <c r="AY1994" s="156"/>
      <c r="AZ1994" s="156"/>
      <c r="BA1994" s="156"/>
      <c r="BB1994" s="2828"/>
      <c r="BC1994" s="452"/>
      <c r="BD1994" s="2829"/>
      <c r="BE1994" s="2837"/>
      <c r="BF1994" s="156"/>
    </row>
    <row r="1995" spans="1:58" s="3398" customFormat="1" ht="15" customHeight="1" outlineLevel="1" x14ac:dyDescent="0.35">
      <c r="A1995" s="1664"/>
      <c r="B1995" s="2812"/>
      <c r="C1995" s="3077"/>
      <c r="D1995" s="3980"/>
      <c r="E1995" s="3883"/>
      <c r="F1995" s="4136" t="str">
        <f>$E$1644</f>
        <v>ASHP-SEER17-Replace_CAC_NonElectricHeat_ROF_SF</v>
      </c>
      <c r="G1995" s="4136"/>
      <c r="H1995" s="4136"/>
      <c r="I1995" s="4136"/>
      <c r="J1995" s="3502" t="str">
        <f>$C$1644</f>
        <v>353110_2022_12_</v>
      </c>
      <c r="K1995" s="3047">
        <v>35402.476190000001</v>
      </c>
      <c r="L1995" s="3519">
        <f t="shared" si="356"/>
        <v>2.9502063491666668</v>
      </c>
      <c r="M1995" s="3518" t="s">
        <v>1083</v>
      </c>
      <c r="P1995" s="702"/>
      <c r="Q1995" s="574"/>
      <c r="R1995" s="702"/>
      <c r="T1995" s="3397"/>
      <c r="V1995" s="3980"/>
      <c r="W1995" s="3421"/>
      <c r="X1995" s="2377"/>
      <c r="Y1995" s="2377"/>
      <c r="Z1995" s="3425"/>
      <c r="AA1995" s="3425"/>
      <c r="AB1995" s="3556"/>
      <c r="AC1995" s="3555"/>
      <c r="AD1995" s="3047">
        <v>35402.476190000001</v>
      </c>
      <c r="AE1995" s="3429"/>
      <c r="AF1995" s="3421"/>
      <c r="AG1995" s="3421"/>
      <c r="AH1995" s="156"/>
      <c r="AI1995" s="156"/>
      <c r="AJ1995" s="156"/>
      <c r="AK1995" s="156"/>
      <c r="AL1995" s="156"/>
      <c r="AM1995" s="156"/>
      <c r="AN1995" s="156"/>
      <c r="AO1995" s="156"/>
      <c r="AP1995" s="156"/>
      <c r="AQ1995" s="156"/>
      <c r="AR1995" s="156"/>
      <c r="AS1995" s="156"/>
      <c r="AT1995" s="156"/>
      <c r="AU1995" s="156"/>
      <c r="AV1995" s="156"/>
      <c r="AW1995" s="156"/>
      <c r="AX1995" s="156"/>
      <c r="AY1995" s="156"/>
      <c r="AZ1995" s="156"/>
      <c r="BA1995" s="156"/>
      <c r="BB1995" s="2828"/>
      <c r="BC1995" s="452"/>
      <c r="BD1995" s="2829"/>
      <c r="BE1995" s="2837"/>
      <c r="BF1995" s="156"/>
    </row>
    <row r="1996" spans="1:58" ht="15" customHeight="1" outlineLevel="1" x14ac:dyDescent="0.35">
      <c r="A1996" s="1664"/>
      <c r="B1996" s="2812"/>
      <c r="C1996" s="3077"/>
      <c r="D1996" s="3980"/>
      <c r="E1996" s="3883"/>
      <c r="F1996" s="3984" t="str">
        <f>$E$1646</f>
        <v>ASHP-SEER17-Replace_CAC_ElectricHeat_ROF_MF</v>
      </c>
      <c r="G1996" s="3984"/>
      <c r="H1996" s="3984"/>
      <c r="I1996" s="3984"/>
      <c r="J1996" s="3501" t="str">
        <f>$C$1646</f>
        <v>353150_2019_12_</v>
      </c>
      <c r="K1996" s="3048">
        <v>33600</v>
      </c>
      <c r="L1996" s="3521">
        <f t="shared" si="356"/>
        <v>2.8</v>
      </c>
      <c r="M1996" s="3520" t="s">
        <v>1506</v>
      </c>
      <c r="N1996" s="2804"/>
      <c r="O1996" s="106"/>
      <c r="P1996" s="702"/>
      <c r="Q1996" s="574"/>
      <c r="R1996" s="702"/>
      <c r="S1996" s="106"/>
      <c r="T1996" s="486"/>
      <c r="U1996" s="106"/>
      <c r="V1996" s="3980"/>
      <c r="W1996" s="3421">
        <v>33600</v>
      </c>
      <c r="X1996" s="3421">
        <v>33600</v>
      </c>
      <c r="Y1996" s="3421">
        <v>33600</v>
      </c>
      <c r="Z1996" s="3421">
        <v>33600</v>
      </c>
      <c r="AA1996" s="3421">
        <v>33600</v>
      </c>
      <c r="AB1996" s="3421">
        <v>33600</v>
      </c>
      <c r="AC1996" s="3557">
        <v>33600</v>
      </c>
      <c r="AD1996" s="3558">
        <v>33600</v>
      </c>
      <c r="AE1996" s="3429"/>
      <c r="AF1996" s="3421"/>
      <c r="AG1996" s="3421"/>
      <c r="AH1996" s="156"/>
      <c r="AI1996" s="156"/>
      <c r="AJ1996" s="156"/>
      <c r="AK1996" s="156"/>
      <c r="AL1996" s="156"/>
      <c r="AM1996" s="156"/>
      <c r="AN1996" s="156"/>
      <c r="AO1996" s="156"/>
      <c r="AP1996" s="156"/>
      <c r="AQ1996" s="156"/>
      <c r="AR1996" s="156"/>
      <c r="AS1996" s="156"/>
      <c r="AT1996" s="156"/>
      <c r="AU1996" s="156"/>
      <c r="AV1996" s="156"/>
      <c r="AW1996" s="156"/>
      <c r="AX1996" s="156"/>
      <c r="AY1996" s="156"/>
      <c r="AZ1996" s="156"/>
      <c r="BA1996" s="156"/>
      <c r="BB1996" s="2828"/>
      <c r="BC1996" s="452"/>
      <c r="BD1996" s="2829"/>
      <c r="BE1996" s="2837"/>
      <c r="BF1996" s="156"/>
    </row>
    <row r="1997" spans="1:58" ht="15" customHeight="1" outlineLevel="1" x14ac:dyDescent="0.35">
      <c r="A1997" s="1664"/>
      <c r="B1997" s="2812"/>
      <c r="C1997" s="3077"/>
      <c r="D1997" s="3980"/>
      <c r="E1997" s="3883"/>
      <c r="F1997" s="3984" t="str">
        <f>$E$1648</f>
        <v>ASHP-SEER17-Replace_CAC_ElectricHeat_ROF_MF_CompE</v>
      </c>
      <c r="G1997" s="3984"/>
      <c r="H1997" s="3984"/>
      <c r="I1997" s="3984"/>
      <c r="J1997" s="3501" t="str">
        <f>$C$1648</f>
        <v>353151_2019_12_</v>
      </c>
      <c r="K1997" s="3048">
        <v>33600</v>
      </c>
      <c r="L1997" s="3521">
        <f t="shared" si="356"/>
        <v>2.8</v>
      </c>
      <c r="M1997" s="3520" t="s">
        <v>1506</v>
      </c>
      <c r="N1997" s="2804"/>
      <c r="O1997" s="106"/>
      <c r="P1997" s="702"/>
      <c r="Q1997" s="574"/>
      <c r="R1997" s="702"/>
      <c r="S1997" s="106"/>
      <c r="T1997" s="486"/>
      <c r="U1997" s="106"/>
      <c r="V1997" s="3980"/>
      <c r="W1997" s="3421"/>
      <c r="X1997" s="3421"/>
      <c r="Y1997" s="2374">
        <v>33600</v>
      </c>
      <c r="Z1997" s="3421">
        <v>33600</v>
      </c>
      <c r="AA1997" s="3421">
        <v>33600</v>
      </c>
      <c r="AB1997" s="3421">
        <v>33600</v>
      </c>
      <c r="AC1997" s="3557">
        <f>AC1996</f>
        <v>33600</v>
      </c>
      <c r="AD1997" s="3558">
        <v>33600</v>
      </c>
      <c r="AE1997" s="3429"/>
      <c r="AF1997" s="3421"/>
      <c r="AG1997" s="3421"/>
      <c r="AH1997" s="156"/>
      <c r="AI1997" s="156"/>
      <c r="AJ1997" s="156"/>
      <c r="AK1997" s="156"/>
      <c r="AL1997" s="156"/>
      <c r="AM1997" s="156"/>
      <c r="AN1997" s="156"/>
      <c r="AO1997" s="156"/>
      <c r="AP1997" s="156"/>
      <c r="AQ1997" s="156"/>
      <c r="AR1997" s="156"/>
      <c r="AS1997" s="156"/>
      <c r="AT1997" s="156"/>
      <c r="AU1997" s="156"/>
      <c r="AV1997" s="156"/>
      <c r="AW1997" s="156"/>
      <c r="AX1997" s="156"/>
      <c r="AY1997" s="156"/>
      <c r="AZ1997" s="156"/>
      <c r="BA1997" s="156"/>
      <c r="BB1997" s="2828"/>
      <c r="BC1997" s="452"/>
      <c r="BD1997" s="2829"/>
      <c r="BE1997" s="2837"/>
      <c r="BF1997" s="156"/>
    </row>
    <row r="1998" spans="1:58" ht="15" customHeight="1" outlineLevel="1" x14ac:dyDescent="0.35">
      <c r="A1998" s="1664"/>
      <c r="B1998" s="2812"/>
      <c r="C1998" s="3077"/>
      <c r="D1998" s="3980"/>
      <c r="E1998" s="3883"/>
      <c r="F1998" s="3984" t="str">
        <f>$E$1650</f>
        <v>ASHP-SEER17-Replace_CAC_NonElectricHeat_ROF_MF</v>
      </c>
      <c r="G1998" s="3984"/>
      <c r="H1998" s="3984"/>
      <c r="I1998" s="3984"/>
      <c r="J1998" s="3501" t="str">
        <f>$C$1650</f>
        <v>353160_2021_12_</v>
      </c>
      <c r="K1998" s="3048">
        <v>33600</v>
      </c>
      <c r="L1998" s="3521">
        <f t="shared" si="356"/>
        <v>2.8</v>
      </c>
      <c r="M1998" s="3520" t="s">
        <v>1083</v>
      </c>
      <c r="N1998" s="2804"/>
      <c r="O1998" s="106"/>
      <c r="P1998" s="702"/>
      <c r="Q1998" s="574"/>
      <c r="R1998" s="702"/>
      <c r="S1998" s="106"/>
      <c r="T1998" s="486"/>
      <c r="U1998" s="106"/>
      <c r="V1998" s="3980"/>
      <c r="W1998" s="3421"/>
      <c r="X1998" s="3421"/>
      <c r="Y1998" s="2374"/>
      <c r="Z1998" s="3421"/>
      <c r="AA1998" s="3421"/>
      <c r="AB1998" s="3421"/>
      <c r="AC1998" s="2292">
        <v>33600</v>
      </c>
      <c r="AD1998" s="3558">
        <v>33600</v>
      </c>
      <c r="AE1998" s="3429"/>
      <c r="AF1998" s="3421"/>
      <c r="AG1998" s="3421"/>
      <c r="AH1998" s="156"/>
      <c r="AI1998" s="156"/>
      <c r="AJ1998" s="156"/>
      <c r="AK1998" s="156"/>
      <c r="AL1998" s="156"/>
      <c r="AM1998" s="156"/>
      <c r="AN1998" s="156"/>
      <c r="AO1998" s="156"/>
      <c r="AP1998" s="156"/>
      <c r="AQ1998" s="156"/>
      <c r="AR1998" s="156"/>
      <c r="AS1998" s="156"/>
      <c r="AT1998" s="156"/>
      <c r="AU1998" s="156"/>
      <c r="AV1998" s="156"/>
      <c r="AW1998" s="156"/>
      <c r="AX1998" s="156"/>
      <c r="AY1998" s="156"/>
      <c r="AZ1998" s="156"/>
      <c r="BA1998" s="156"/>
      <c r="BB1998" s="2828"/>
      <c r="BC1998" s="452"/>
      <c r="BD1998" s="2829"/>
      <c r="BE1998" s="2837"/>
      <c r="BF1998" s="156"/>
    </row>
    <row r="1999" spans="1:58" ht="15" customHeight="1" outlineLevel="1" x14ac:dyDescent="0.35">
      <c r="A1999" s="1664"/>
      <c r="B1999" s="2812"/>
      <c r="C1999" s="3077"/>
      <c r="D1999" s="3980"/>
      <c r="E1999" s="3883"/>
      <c r="F1999" s="3984" t="str">
        <f>$E$1652</f>
        <v>ASHP-SEER17-Replace_CAC_NonElectricHeat_ROF_MF_CompE</v>
      </c>
      <c r="G1999" s="3984"/>
      <c r="H1999" s="3984"/>
      <c r="I1999" s="3984"/>
      <c r="J1999" s="3501" t="str">
        <f>$C$1652</f>
        <v>353161_2021_12_</v>
      </c>
      <c r="K1999" s="3048">
        <v>33600</v>
      </c>
      <c r="L1999" s="3521">
        <f t="shared" si="356"/>
        <v>2.8</v>
      </c>
      <c r="M1999" s="3520" t="s">
        <v>1083</v>
      </c>
      <c r="N1999" s="2804"/>
      <c r="O1999" s="106"/>
      <c r="P1999" s="702"/>
      <c r="Q1999" s="574"/>
      <c r="R1999" s="702"/>
      <c r="S1999" s="106"/>
      <c r="T1999" s="486"/>
      <c r="U1999" s="106"/>
      <c r="V1999" s="3980"/>
      <c r="W1999" s="3421"/>
      <c r="X1999" s="3421"/>
      <c r="Y1999" s="2374"/>
      <c r="Z1999" s="3421"/>
      <c r="AA1999" s="3421"/>
      <c r="AB1999" s="3421"/>
      <c r="AC1999" s="2292">
        <f>AC1998</f>
        <v>33600</v>
      </c>
      <c r="AD1999" s="3558">
        <v>33600</v>
      </c>
      <c r="AE1999" s="3429"/>
      <c r="AF1999" s="3421"/>
      <c r="AG1999" s="3421"/>
      <c r="AH1999" s="156"/>
      <c r="AI1999" s="156"/>
      <c r="AJ1999" s="156"/>
      <c r="AK1999" s="156"/>
      <c r="AL1999" s="156"/>
      <c r="AM1999" s="156"/>
      <c r="AN1999" s="156"/>
      <c r="AO1999" s="156"/>
      <c r="AP1999" s="156"/>
      <c r="AQ1999" s="156"/>
      <c r="AR1999" s="156"/>
      <c r="AS1999" s="156"/>
      <c r="AT1999" s="156"/>
      <c r="AU1999" s="156"/>
      <c r="AV1999" s="156"/>
      <c r="AW1999" s="156"/>
      <c r="AX1999" s="156"/>
      <c r="AY1999" s="156"/>
      <c r="AZ1999" s="156"/>
      <c r="BA1999" s="156"/>
      <c r="BB1999" s="2828"/>
      <c r="BC1999" s="452"/>
      <c r="BD1999" s="2829"/>
      <c r="BE1999" s="2837"/>
      <c r="BF1999" s="156"/>
    </row>
    <row r="2000" spans="1:58" ht="15" customHeight="1" outlineLevel="1" x14ac:dyDescent="0.35">
      <c r="A2000" s="1664"/>
      <c r="B2000" s="2812"/>
      <c r="C2000" s="3077"/>
      <c r="D2000" s="3980"/>
      <c r="E2000" s="3883"/>
      <c r="F2000" s="3984" t="str">
        <f>$E$1654</f>
        <v>ASHP-SEER18-Replace_CAC_ElectricHeat_ROF_SF</v>
      </c>
      <c r="G2000" s="3984"/>
      <c r="H2000" s="3984"/>
      <c r="I2000" s="3984"/>
      <c r="J2000" s="3501" t="str">
        <f>$C$1654</f>
        <v>353200_2021_12_</v>
      </c>
      <c r="K2000" s="3047">
        <v>37478.667573056096</v>
      </c>
      <c r="L2000" s="3517">
        <f t="shared" si="356"/>
        <v>3.1232222977546749</v>
      </c>
      <c r="M2000" s="3518" t="s">
        <v>4360</v>
      </c>
      <c r="N2000" s="2804"/>
      <c r="O2000" s="106"/>
      <c r="P2000" s="702"/>
      <c r="Q2000" s="574"/>
      <c r="R2000" s="702"/>
      <c r="S2000" s="106"/>
      <c r="T2000" s="486"/>
      <c r="U2000" s="106"/>
      <c r="V2000" s="3980"/>
      <c r="W2000" s="3421">
        <v>33600</v>
      </c>
      <c r="X2000" s="3421">
        <v>33600</v>
      </c>
      <c r="Y2000" s="3421">
        <v>33600</v>
      </c>
      <c r="Z2000" s="3421">
        <v>33600</v>
      </c>
      <c r="AA2000" s="3421">
        <v>33600</v>
      </c>
      <c r="AB2000" s="2374">
        <v>36000</v>
      </c>
      <c r="AC2000" s="2292">
        <v>36486.486486486487</v>
      </c>
      <c r="AD2000" s="3047">
        <v>37478.667573056096</v>
      </c>
      <c r="AE2000" s="3429"/>
      <c r="AF2000" s="3421"/>
      <c r="AG2000" s="3421"/>
      <c r="AH2000" s="156"/>
      <c r="AI2000" s="156"/>
      <c r="AJ2000" s="156"/>
      <c r="AK2000" s="156"/>
      <c r="AL2000" s="156"/>
      <c r="AM2000" s="156"/>
      <c r="AN2000" s="156"/>
      <c r="AO2000" s="156"/>
      <c r="AP2000" s="156"/>
      <c r="AQ2000" s="156"/>
      <c r="AR2000" s="156"/>
      <c r="AS2000" s="156"/>
      <c r="AT2000" s="156"/>
      <c r="AU2000" s="156"/>
      <c r="AV2000" s="156"/>
      <c r="AW2000" s="156"/>
      <c r="AX2000" s="156"/>
      <c r="AY2000" s="156"/>
      <c r="AZ2000" s="156"/>
      <c r="BA2000" s="156"/>
      <c r="BB2000" s="2828"/>
      <c r="BC2000" s="452"/>
      <c r="BD2000" s="2829"/>
      <c r="BE2000" s="2837"/>
      <c r="BF2000" s="156"/>
    </row>
    <row r="2001" spans="1:58" s="3398" customFormat="1" ht="15" customHeight="1" outlineLevel="1" x14ac:dyDescent="0.35">
      <c r="A2001" s="1664"/>
      <c r="B2001" s="2812"/>
      <c r="C2001" s="3077"/>
      <c r="D2001" s="3980"/>
      <c r="E2001" s="3883"/>
      <c r="F2001" s="4136" t="str">
        <f>$E$1656</f>
        <v>ASHP-SEER18-Replace_CAC_NonElectricHeat_ROF_SF</v>
      </c>
      <c r="G2001" s="4136"/>
      <c r="H2001" s="4136"/>
      <c r="I2001" s="4136"/>
      <c r="J2001" s="3502" t="str">
        <f>$C$1656</f>
        <v>353210_2022_12_</v>
      </c>
      <c r="K2001" s="3047">
        <v>37478.667573056096</v>
      </c>
      <c r="L2001" s="3519">
        <f t="shared" ref="L2001" si="360">K2001/12000</f>
        <v>3.1232222977546749</v>
      </c>
      <c r="M2001" s="3518" t="s">
        <v>1083</v>
      </c>
      <c r="P2001" s="702"/>
      <c r="Q2001" s="574"/>
      <c r="R2001" s="702"/>
      <c r="T2001" s="3397"/>
      <c r="V2001" s="3980"/>
      <c r="W2001" s="3421"/>
      <c r="X2001" s="2377"/>
      <c r="Y2001" s="2377"/>
      <c r="Z2001" s="3425"/>
      <c r="AA2001" s="3425"/>
      <c r="AB2001" s="3556"/>
      <c r="AC2001" s="3555"/>
      <c r="AD2001" s="3047">
        <v>37478.667573056096</v>
      </c>
      <c r="AE2001" s="3429"/>
      <c r="AF2001" s="3421"/>
      <c r="AG2001" s="3421"/>
      <c r="AH2001" s="156"/>
      <c r="AI2001" s="156"/>
      <c r="AJ2001" s="156"/>
      <c r="AK2001" s="156"/>
      <c r="AL2001" s="156"/>
      <c r="AM2001" s="156"/>
      <c r="AN2001" s="156"/>
      <c r="AO2001" s="156"/>
      <c r="AP2001" s="156"/>
      <c r="AQ2001" s="156"/>
      <c r="AR2001" s="156"/>
      <c r="AS2001" s="156"/>
      <c r="AT2001" s="156"/>
      <c r="AU2001" s="156"/>
      <c r="AV2001" s="156"/>
      <c r="AW2001" s="156"/>
      <c r="AX2001" s="156"/>
      <c r="AY2001" s="156"/>
      <c r="AZ2001" s="156"/>
      <c r="BA2001" s="156"/>
      <c r="BB2001" s="2828"/>
      <c r="BC2001" s="452"/>
      <c r="BD2001" s="2829"/>
      <c r="BE2001" s="2837"/>
      <c r="BF2001" s="156"/>
    </row>
    <row r="2002" spans="1:58" ht="15" customHeight="1" outlineLevel="1" x14ac:dyDescent="0.35">
      <c r="A2002" s="1664"/>
      <c r="B2002" s="2812"/>
      <c r="C2002" s="3077"/>
      <c r="D2002" s="3980"/>
      <c r="E2002" s="3883"/>
      <c r="F2002" s="3984" t="str">
        <f>$E$1658</f>
        <v>ASHP-SEER18-Replace_CAC_ElectricHeat_ROF_MF</v>
      </c>
      <c r="G2002" s="3984"/>
      <c r="H2002" s="3984"/>
      <c r="I2002" s="3984"/>
      <c r="J2002" s="3501" t="str">
        <f>$C$1658</f>
        <v>353250_2021_12_</v>
      </c>
      <c r="K2002" s="3048">
        <v>36000</v>
      </c>
      <c r="L2002" s="3521">
        <f t="shared" si="356"/>
        <v>3</v>
      </c>
      <c r="M2002" s="3520" t="s">
        <v>974</v>
      </c>
      <c r="N2002" s="2804"/>
      <c r="O2002" s="106"/>
      <c r="P2002" s="702"/>
      <c r="Q2002" s="574"/>
      <c r="R2002" s="702"/>
      <c r="S2002" s="106"/>
      <c r="T2002" s="486"/>
      <c r="U2002" s="106"/>
      <c r="V2002" s="3980"/>
      <c r="W2002" s="3421">
        <v>33600</v>
      </c>
      <c r="X2002" s="3421">
        <v>33600</v>
      </c>
      <c r="Y2002" s="3421">
        <v>33600</v>
      </c>
      <c r="Z2002" s="3421">
        <v>33600</v>
      </c>
      <c r="AA2002" s="3421">
        <v>33600</v>
      </c>
      <c r="AB2002" s="2374">
        <v>48000</v>
      </c>
      <c r="AC2002" s="2292">
        <v>36000</v>
      </c>
      <c r="AD2002" s="3558">
        <v>36000</v>
      </c>
      <c r="AE2002" s="3429"/>
      <c r="AF2002" s="3421"/>
      <c r="AG2002" s="3421"/>
      <c r="AH2002" s="156"/>
      <c r="AI2002" s="156"/>
      <c r="AJ2002" s="156"/>
      <c r="AK2002" s="156"/>
      <c r="AL2002" s="156"/>
      <c r="AM2002" s="156"/>
      <c r="AN2002" s="156"/>
      <c r="AO2002" s="156"/>
      <c r="AP2002" s="156"/>
      <c r="AQ2002" s="156"/>
      <c r="AR2002" s="156"/>
      <c r="AS2002" s="156"/>
      <c r="AT2002" s="156"/>
      <c r="AU2002" s="156"/>
      <c r="AV2002" s="156"/>
      <c r="AW2002" s="156"/>
      <c r="AX2002" s="156"/>
      <c r="AY2002" s="156"/>
      <c r="AZ2002" s="156"/>
      <c r="BA2002" s="156"/>
      <c r="BB2002" s="2828"/>
      <c r="BC2002" s="452"/>
      <c r="BD2002" s="2829"/>
      <c r="BE2002" s="2837"/>
      <c r="BF2002" s="156"/>
    </row>
    <row r="2003" spans="1:58" ht="15" customHeight="1" outlineLevel="1" x14ac:dyDescent="0.35">
      <c r="A2003" s="1664"/>
      <c r="B2003" s="2812"/>
      <c r="C2003" s="3077"/>
      <c r="D2003" s="3980"/>
      <c r="E2003" s="3883"/>
      <c r="F2003" s="3984" t="str">
        <f>$E$1660</f>
        <v>ASHP-SEER18-Replace_CAC_ElectricHeat_ROF_MF_CompE</v>
      </c>
      <c r="G2003" s="3984"/>
      <c r="H2003" s="3984"/>
      <c r="I2003" s="3984"/>
      <c r="J2003" s="3501" t="str">
        <f>$C$1660</f>
        <v>353251_2021_12_</v>
      </c>
      <c r="K2003" s="3048">
        <v>36000</v>
      </c>
      <c r="L2003" s="3521">
        <f t="shared" si="356"/>
        <v>3</v>
      </c>
      <c r="M2003" s="3520" t="s">
        <v>974</v>
      </c>
      <c r="N2003" s="2804"/>
      <c r="O2003" s="106"/>
      <c r="P2003" s="702"/>
      <c r="Q2003" s="574"/>
      <c r="R2003" s="702"/>
      <c r="S2003" s="106"/>
      <c r="T2003" s="486"/>
      <c r="U2003" s="106"/>
      <c r="V2003" s="3980"/>
      <c r="W2003" s="3421"/>
      <c r="X2003" s="3421"/>
      <c r="Y2003" s="2374">
        <v>33600</v>
      </c>
      <c r="Z2003" s="3421">
        <v>33600</v>
      </c>
      <c r="AA2003" s="3421">
        <v>33600</v>
      </c>
      <c r="AB2003" s="2374">
        <v>48000</v>
      </c>
      <c r="AC2003" s="2292">
        <f>AC2002</f>
        <v>36000</v>
      </c>
      <c r="AD2003" s="3558">
        <v>36000</v>
      </c>
      <c r="AE2003" s="3429"/>
      <c r="AF2003" s="3421"/>
      <c r="AG2003" s="3421"/>
      <c r="AH2003" s="156"/>
      <c r="AI2003" s="156"/>
      <c r="AJ2003" s="156"/>
      <c r="AK2003" s="156"/>
      <c r="AL2003" s="156"/>
      <c r="AM2003" s="156"/>
      <c r="AN2003" s="156"/>
      <c r="AO2003" s="156"/>
      <c r="AP2003" s="156"/>
      <c r="AQ2003" s="156"/>
      <c r="AR2003" s="156"/>
      <c r="AS2003" s="156"/>
      <c r="AT2003" s="156"/>
      <c r="AU2003" s="156"/>
      <c r="AV2003" s="156"/>
      <c r="AW2003" s="156"/>
      <c r="AX2003" s="156"/>
      <c r="AY2003" s="156"/>
      <c r="AZ2003" s="156"/>
      <c r="BA2003" s="156"/>
      <c r="BB2003" s="2828"/>
      <c r="BC2003" s="452"/>
      <c r="BD2003" s="2829"/>
      <c r="BE2003" s="2837"/>
      <c r="BF2003" s="156"/>
    </row>
    <row r="2004" spans="1:58" ht="15" customHeight="1" outlineLevel="1" x14ac:dyDescent="0.35">
      <c r="A2004" s="1664"/>
      <c r="B2004" s="2812"/>
      <c r="C2004" s="3077"/>
      <c r="D2004" s="3980"/>
      <c r="E2004" s="3883"/>
      <c r="F2004" s="3984" t="str">
        <f>$E$1662</f>
        <v>ASHP-SEER18-Replace_CAC_NonElectricHeat_ROF_MF</v>
      </c>
      <c r="G2004" s="3984"/>
      <c r="H2004" s="3984"/>
      <c r="I2004" s="3984"/>
      <c r="J2004" s="3501" t="str">
        <f>$C$1662</f>
        <v>353260_2021_12_</v>
      </c>
      <c r="K2004" s="3048">
        <v>36000</v>
      </c>
      <c r="L2004" s="3521">
        <f t="shared" si="356"/>
        <v>3</v>
      </c>
      <c r="M2004" s="3520" t="s">
        <v>1083</v>
      </c>
      <c r="N2004" s="2804"/>
      <c r="O2004" s="106"/>
      <c r="P2004" s="702"/>
      <c r="Q2004" s="574"/>
      <c r="R2004" s="702"/>
      <c r="S2004" s="106"/>
      <c r="T2004" s="486"/>
      <c r="U2004" s="106"/>
      <c r="V2004" s="3980"/>
      <c r="W2004" s="3421"/>
      <c r="X2004" s="3421"/>
      <c r="Y2004" s="2374"/>
      <c r="Z2004" s="3421"/>
      <c r="AA2004" s="3421"/>
      <c r="AB2004" s="2374"/>
      <c r="AC2004" s="2292">
        <v>36000</v>
      </c>
      <c r="AD2004" s="3558">
        <v>36000</v>
      </c>
      <c r="AE2004" s="3429"/>
      <c r="AF2004" s="3421"/>
      <c r="AG2004" s="3421"/>
      <c r="AH2004" s="156"/>
      <c r="AI2004" s="156"/>
      <c r="AJ2004" s="156"/>
      <c r="AK2004" s="156"/>
      <c r="AL2004" s="156"/>
      <c r="AM2004" s="156"/>
      <c r="AN2004" s="156"/>
      <c r="AO2004" s="156"/>
      <c r="AP2004" s="156"/>
      <c r="AQ2004" s="156"/>
      <c r="AR2004" s="156"/>
      <c r="AS2004" s="156"/>
      <c r="AT2004" s="156"/>
      <c r="AU2004" s="156"/>
      <c r="AV2004" s="156"/>
      <c r="AW2004" s="156"/>
      <c r="AX2004" s="156"/>
      <c r="AY2004" s="156"/>
      <c r="AZ2004" s="156"/>
      <c r="BA2004" s="156"/>
      <c r="BB2004" s="2828"/>
      <c r="BC2004" s="452"/>
      <c r="BD2004" s="2829"/>
      <c r="BE2004" s="2837"/>
      <c r="BF2004" s="156"/>
    </row>
    <row r="2005" spans="1:58" ht="15" customHeight="1" outlineLevel="1" x14ac:dyDescent="0.35">
      <c r="A2005" s="1664"/>
      <c r="B2005" s="2812"/>
      <c r="C2005" s="3077"/>
      <c r="D2005" s="3980"/>
      <c r="E2005" s="3883"/>
      <c r="F2005" s="3984" t="str">
        <f>$E$1664</f>
        <v>ASHP-SEER18-Replace_CAC_NonElectricHeat_ROF_MF_CompE</v>
      </c>
      <c r="G2005" s="3984"/>
      <c r="H2005" s="3984"/>
      <c r="I2005" s="3984"/>
      <c r="J2005" s="3501" t="str">
        <f>$C$1664</f>
        <v>353261_2021_12_</v>
      </c>
      <c r="K2005" s="3048">
        <v>36000</v>
      </c>
      <c r="L2005" s="3521">
        <f t="shared" si="356"/>
        <v>3</v>
      </c>
      <c r="M2005" s="3520" t="s">
        <v>1083</v>
      </c>
      <c r="N2005" s="2804"/>
      <c r="O2005" s="106"/>
      <c r="P2005" s="702"/>
      <c r="Q2005" s="574"/>
      <c r="R2005" s="702"/>
      <c r="S2005" s="106"/>
      <c r="T2005" s="486"/>
      <c r="U2005" s="106"/>
      <c r="V2005" s="3980"/>
      <c r="W2005" s="3421"/>
      <c r="X2005" s="3421"/>
      <c r="Y2005" s="2374"/>
      <c r="Z2005" s="3421"/>
      <c r="AA2005" s="3421"/>
      <c r="AB2005" s="2374"/>
      <c r="AC2005" s="2292">
        <f>AC2004</f>
        <v>36000</v>
      </c>
      <c r="AD2005" s="3558">
        <v>36000</v>
      </c>
      <c r="AE2005" s="3429"/>
      <c r="AF2005" s="3421"/>
      <c r="AG2005" s="3421"/>
      <c r="AH2005" s="156"/>
      <c r="AI2005" s="156"/>
      <c r="AJ2005" s="156"/>
      <c r="AK2005" s="156"/>
      <c r="AL2005" s="156"/>
      <c r="AM2005" s="156"/>
      <c r="AN2005" s="156"/>
      <c r="AO2005" s="156"/>
      <c r="AP2005" s="156"/>
      <c r="AQ2005" s="156"/>
      <c r="AR2005" s="156"/>
      <c r="AS2005" s="156"/>
      <c r="AT2005" s="156"/>
      <c r="AU2005" s="156"/>
      <c r="AV2005" s="156"/>
      <c r="AW2005" s="156"/>
      <c r="AX2005" s="156"/>
      <c r="AY2005" s="156"/>
      <c r="AZ2005" s="156"/>
      <c r="BA2005" s="156"/>
      <c r="BB2005" s="2828"/>
      <c r="BC2005" s="452"/>
      <c r="BD2005" s="2829"/>
      <c r="BE2005" s="2837"/>
      <c r="BF2005" s="156"/>
    </row>
    <row r="2006" spans="1:58" ht="15" customHeight="1" outlineLevel="1" x14ac:dyDescent="0.35">
      <c r="A2006" s="1664"/>
      <c r="B2006" s="2812"/>
      <c r="C2006" s="3077"/>
      <c r="D2006" s="3980"/>
      <c r="E2006" s="3883"/>
      <c r="F2006" s="3984" t="str">
        <f>$E$1666</f>
        <v>ASHP-SEER19-Replace_CAC_ElectricHeat_ROF_SF</v>
      </c>
      <c r="G2006" s="3984"/>
      <c r="H2006" s="3984"/>
      <c r="I2006" s="3984"/>
      <c r="J2006" s="3501" t="str">
        <f>$C$1666</f>
        <v>353300_2021_12_</v>
      </c>
      <c r="K2006" s="3047">
        <v>35904.395607692306</v>
      </c>
      <c r="L2006" s="3517">
        <f t="shared" si="356"/>
        <v>2.9920329673076922</v>
      </c>
      <c r="M2006" s="3518" t="s">
        <v>4360</v>
      </c>
      <c r="N2006" s="2804"/>
      <c r="O2006" s="106"/>
      <c r="P2006" s="702"/>
      <c r="Q2006" s="574"/>
      <c r="R2006" s="702"/>
      <c r="S2006" s="106"/>
      <c r="T2006" s="486"/>
      <c r="U2006" s="106"/>
      <c r="V2006" s="3980"/>
      <c r="W2006" s="3421">
        <v>33600</v>
      </c>
      <c r="X2006" s="3421">
        <v>33600</v>
      </c>
      <c r="Y2006" s="3421">
        <v>33600</v>
      </c>
      <c r="Z2006" s="3421">
        <v>33600</v>
      </c>
      <c r="AA2006" s="3421">
        <v>33600</v>
      </c>
      <c r="AB2006" s="3421">
        <v>33600</v>
      </c>
      <c r="AC2006" s="2292">
        <v>48000</v>
      </c>
      <c r="AD2006" s="3047">
        <v>35904.395607692306</v>
      </c>
      <c r="AE2006" s="3429"/>
      <c r="AF2006" s="3421"/>
      <c r="AG2006" s="3421"/>
      <c r="AH2006" s="156"/>
      <c r="AI2006" s="156"/>
      <c r="AJ2006" s="156"/>
      <c r="AK2006" s="156"/>
      <c r="AL2006" s="156"/>
      <c r="AM2006" s="156"/>
      <c r="AN2006" s="156"/>
      <c r="AO2006" s="156"/>
      <c r="AP2006" s="156"/>
      <c r="AQ2006" s="156"/>
      <c r="AR2006" s="156"/>
      <c r="AS2006" s="156"/>
      <c r="AT2006" s="156"/>
      <c r="AU2006" s="156"/>
      <c r="AV2006" s="156"/>
      <c r="AW2006" s="156"/>
      <c r="AX2006" s="156"/>
      <c r="AY2006" s="156"/>
      <c r="AZ2006" s="156"/>
      <c r="BA2006" s="156"/>
      <c r="BB2006" s="2828"/>
      <c r="BC2006" s="452"/>
      <c r="BD2006" s="2829"/>
      <c r="BE2006" s="2837"/>
      <c r="BF2006" s="156"/>
    </row>
    <row r="2007" spans="1:58" s="3398" customFormat="1" ht="15" customHeight="1" outlineLevel="1" x14ac:dyDescent="0.35">
      <c r="A2007" s="1664"/>
      <c r="B2007" s="2812"/>
      <c r="C2007" s="3077"/>
      <c r="D2007" s="3980"/>
      <c r="E2007" s="3883"/>
      <c r="F2007" s="4136" t="str">
        <f>$E$1668</f>
        <v>ASHP-SEER19-Replace_CAC_NonElectricHeat_ROF_SF</v>
      </c>
      <c r="G2007" s="4136"/>
      <c r="H2007" s="4136"/>
      <c r="I2007" s="4136"/>
      <c r="J2007" s="3502" t="str">
        <f>$C$1668</f>
        <v>353310_2022_12_</v>
      </c>
      <c r="K2007" s="3047">
        <v>35904.395607692306</v>
      </c>
      <c r="L2007" s="3519">
        <f t="shared" ref="L2007" si="361">K2007/12000</f>
        <v>2.9920329673076922</v>
      </c>
      <c r="M2007" s="3518" t="s">
        <v>1083</v>
      </c>
      <c r="P2007" s="702"/>
      <c r="Q2007" s="574"/>
      <c r="R2007" s="702"/>
      <c r="T2007" s="3397"/>
      <c r="V2007" s="3980"/>
      <c r="W2007" s="3421"/>
      <c r="X2007" s="2377"/>
      <c r="Y2007" s="2377"/>
      <c r="Z2007" s="3425"/>
      <c r="AA2007" s="3425"/>
      <c r="AB2007" s="3556"/>
      <c r="AC2007" s="3555"/>
      <c r="AD2007" s="3047">
        <v>35904.395607692306</v>
      </c>
      <c r="AE2007" s="3429"/>
      <c r="AF2007" s="3421"/>
      <c r="AG2007" s="3421"/>
      <c r="AH2007" s="156"/>
      <c r="AI2007" s="156"/>
      <c r="AJ2007" s="156"/>
      <c r="AK2007" s="156"/>
      <c r="AL2007" s="156"/>
      <c r="AM2007" s="156"/>
      <c r="AN2007" s="156"/>
      <c r="AO2007" s="156"/>
      <c r="AP2007" s="156"/>
      <c r="AQ2007" s="156"/>
      <c r="AR2007" s="156"/>
      <c r="AS2007" s="156"/>
      <c r="AT2007" s="156"/>
      <c r="AU2007" s="156"/>
      <c r="AV2007" s="156"/>
      <c r="AW2007" s="156"/>
      <c r="AX2007" s="156"/>
      <c r="AY2007" s="156"/>
      <c r="AZ2007" s="156"/>
      <c r="BA2007" s="156"/>
      <c r="BB2007" s="2828"/>
      <c r="BC2007" s="452"/>
      <c r="BD2007" s="2829"/>
      <c r="BE2007" s="2837"/>
      <c r="BF2007" s="156"/>
    </row>
    <row r="2008" spans="1:58" ht="15" customHeight="1" outlineLevel="1" x14ac:dyDescent="0.35">
      <c r="A2008" s="1664"/>
      <c r="B2008" s="2812"/>
      <c r="C2008" s="3077"/>
      <c r="D2008" s="3980"/>
      <c r="E2008" s="3883"/>
      <c r="F2008" s="3984" t="str">
        <f>$E$1670</f>
        <v>ASHP-SEER19-Replace_CAC_ElectricHeat_ROF_MF</v>
      </c>
      <c r="G2008" s="3984"/>
      <c r="H2008" s="3984"/>
      <c r="I2008" s="3984"/>
      <c r="J2008" s="3501" t="str">
        <f>$C$1670</f>
        <v>353350_2021_12_</v>
      </c>
      <c r="K2008" s="3048">
        <v>33600</v>
      </c>
      <c r="L2008" s="3521">
        <f t="shared" ref="L2008:L2073" si="362">K2008/12000</f>
        <v>2.8</v>
      </c>
      <c r="M2008" s="3520" t="s">
        <v>1506</v>
      </c>
      <c r="N2008" s="2804"/>
      <c r="O2008" s="106"/>
      <c r="P2008" s="702"/>
      <c r="Q2008" s="574"/>
      <c r="R2008" s="702"/>
      <c r="S2008" s="106"/>
      <c r="T2008" s="486"/>
      <c r="U2008" s="106"/>
      <c r="V2008" s="3980"/>
      <c r="W2008" s="3421">
        <v>33600</v>
      </c>
      <c r="X2008" s="3421">
        <v>33600</v>
      </c>
      <c r="Y2008" s="3421">
        <v>33600</v>
      </c>
      <c r="Z2008" s="3421">
        <v>33600</v>
      </c>
      <c r="AA2008" s="3421">
        <v>33600</v>
      </c>
      <c r="AB2008" s="3421">
        <v>33600</v>
      </c>
      <c r="AC2008" s="3557">
        <v>33600</v>
      </c>
      <c r="AD2008" s="3558">
        <v>33600</v>
      </c>
      <c r="AE2008" s="3429"/>
      <c r="AF2008" s="3421"/>
      <c r="AG2008" s="3421"/>
      <c r="AH2008" s="156"/>
      <c r="AI2008" s="156"/>
      <c r="AJ2008" s="156"/>
      <c r="AK2008" s="156"/>
      <c r="AL2008" s="156"/>
      <c r="AM2008" s="156"/>
      <c r="AN2008" s="156"/>
      <c r="AO2008" s="156"/>
      <c r="AP2008" s="156"/>
      <c r="AQ2008" s="156"/>
      <c r="AR2008" s="156"/>
      <c r="AS2008" s="156"/>
      <c r="AT2008" s="156"/>
      <c r="AU2008" s="156"/>
      <c r="AV2008" s="156"/>
      <c r="AW2008" s="156"/>
      <c r="AX2008" s="156"/>
      <c r="AY2008" s="156"/>
      <c r="AZ2008" s="156"/>
      <c r="BA2008" s="156"/>
      <c r="BB2008" s="2828"/>
      <c r="BC2008" s="452"/>
      <c r="BD2008" s="2829"/>
      <c r="BE2008" s="2837"/>
      <c r="BF2008" s="156"/>
    </row>
    <row r="2009" spans="1:58" ht="15" customHeight="1" outlineLevel="1" x14ac:dyDescent="0.35">
      <c r="A2009" s="1664"/>
      <c r="B2009" s="2812"/>
      <c r="C2009" s="3077"/>
      <c r="D2009" s="3980"/>
      <c r="E2009" s="3883"/>
      <c r="F2009" s="3984" t="str">
        <f>$E$1672</f>
        <v>ASHP-SEER19-Replace_CAC_ElectricHeat_ROF_MF_CompE</v>
      </c>
      <c r="G2009" s="3984"/>
      <c r="H2009" s="3984"/>
      <c r="I2009" s="3984"/>
      <c r="J2009" s="3501" t="str">
        <f>$C$1672</f>
        <v>353351_2019_12_</v>
      </c>
      <c r="K2009" s="3048">
        <v>33600</v>
      </c>
      <c r="L2009" s="3521">
        <f t="shared" si="362"/>
        <v>2.8</v>
      </c>
      <c r="M2009" s="3520" t="s">
        <v>1506</v>
      </c>
      <c r="N2009" s="2804"/>
      <c r="O2009" s="106"/>
      <c r="P2009" s="702"/>
      <c r="Q2009" s="574"/>
      <c r="R2009" s="702"/>
      <c r="S2009" s="106"/>
      <c r="T2009" s="486"/>
      <c r="U2009" s="106"/>
      <c r="V2009" s="3980"/>
      <c r="W2009" s="3421"/>
      <c r="X2009" s="3421"/>
      <c r="Y2009" s="2374">
        <v>33600</v>
      </c>
      <c r="Z2009" s="3421">
        <v>33600</v>
      </c>
      <c r="AA2009" s="3421">
        <v>33600</v>
      </c>
      <c r="AB2009" s="3421">
        <v>33600</v>
      </c>
      <c r="AC2009" s="3557">
        <f>AC2008</f>
        <v>33600</v>
      </c>
      <c r="AD2009" s="3558">
        <v>33600</v>
      </c>
      <c r="AE2009" s="3429"/>
      <c r="AF2009" s="3421"/>
      <c r="AG2009" s="3421"/>
      <c r="AH2009" s="156"/>
      <c r="AI2009" s="156"/>
      <c r="AJ2009" s="156"/>
      <c r="AK2009" s="156"/>
      <c r="AL2009" s="156"/>
      <c r="AM2009" s="156"/>
      <c r="AN2009" s="156"/>
      <c r="AO2009" s="156"/>
      <c r="AP2009" s="156"/>
      <c r="AQ2009" s="156"/>
      <c r="AR2009" s="156"/>
      <c r="AS2009" s="156"/>
      <c r="AT2009" s="156"/>
      <c r="AU2009" s="156"/>
      <c r="AV2009" s="156"/>
      <c r="AW2009" s="156"/>
      <c r="AX2009" s="156"/>
      <c r="AY2009" s="156"/>
      <c r="AZ2009" s="156"/>
      <c r="BA2009" s="156"/>
      <c r="BB2009" s="2828"/>
      <c r="BC2009" s="452"/>
      <c r="BD2009" s="2829"/>
      <c r="BE2009" s="2837"/>
      <c r="BF2009" s="156"/>
    </row>
    <row r="2010" spans="1:58" ht="15" customHeight="1" outlineLevel="1" x14ac:dyDescent="0.35">
      <c r="A2010" s="1664"/>
      <c r="B2010" s="2812"/>
      <c r="C2010" s="3077"/>
      <c r="D2010" s="3980"/>
      <c r="E2010" s="3883"/>
      <c r="F2010" s="3984" t="str">
        <f>$E$1674</f>
        <v>ASHP-SEER19-Replace_CAC_NonElectricHeat_ROF_MF</v>
      </c>
      <c r="G2010" s="3984"/>
      <c r="H2010" s="3984"/>
      <c r="I2010" s="3984"/>
      <c r="J2010" s="3501" t="str">
        <f>$C$1674</f>
        <v>353360_2021_12_</v>
      </c>
      <c r="K2010" s="3048">
        <v>33600</v>
      </c>
      <c r="L2010" s="3521">
        <f t="shared" si="362"/>
        <v>2.8</v>
      </c>
      <c r="M2010" s="3520" t="s">
        <v>1083</v>
      </c>
      <c r="N2010" s="2804"/>
      <c r="O2010" s="106"/>
      <c r="P2010" s="702"/>
      <c r="Q2010" s="574"/>
      <c r="R2010" s="702"/>
      <c r="S2010" s="106"/>
      <c r="T2010" s="486"/>
      <c r="U2010" s="106"/>
      <c r="V2010" s="3980"/>
      <c r="W2010" s="3421"/>
      <c r="X2010" s="3421"/>
      <c r="Y2010" s="2374"/>
      <c r="Z2010" s="3421"/>
      <c r="AA2010" s="3421"/>
      <c r="AB2010" s="3421"/>
      <c r="AC2010" s="2292">
        <v>33600</v>
      </c>
      <c r="AD2010" s="3558">
        <v>33600</v>
      </c>
      <c r="AE2010" s="3429"/>
      <c r="AF2010" s="3421"/>
      <c r="AG2010" s="3421"/>
      <c r="AH2010" s="156"/>
      <c r="AI2010" s="156"/>
      <c r="AJ2010" s="156"/>
      <c r="AK2010" s="156"/>
      <c r="AL2010" s="156"/>
      <c r="AM2010" s="156"/>
      <c r="AN2010" s="156"/>
      <c r="AO2010" s="156"/>
      <c r="AP2010" s="156"/>
      <c r="AQ2010" s="156"/>
      <c r="AR2010" s="156"/>
      <c r="AS2010" s="156"/>
      <c r="AT2010" s="156"/>
      <c r="AU2010" s="156"/>
      <c r="AV2010" s="156"/>
      <c r="AW2010" s="156"/>
      <c r="AX2010" s="156"/>
      <c r="AY2010" s="156"/>
      <c r="AZ2010" s="156"/>
      <c r="BA2010" s="156"/>
      <c r="BB2010" s="2828"/>
      <c r="BC2010" s="452"/>
      <c r="BD2010" s="2829"/>
      <c r="BE2010" s="2837"/>
      <c r="BF2010" s="156"/>
    </row>
    <row r="2011" spans="1:58" ht="15" customHeight="1" outlineLevel="1" x14ac:dyDescent="0.35">
      <c r="A2011" s="1664"/>
      <c r="B2011" s="2812"/>
      <c r="C2011" s="3077"/>
      <c r="D2011" s="3980"/>
      <c r="E2011" s="3883"/>
      <c r="F2011" s="3984" t="str">
        <f>$E$1676</f>
        <v>ASHP-SEER19-Replace_CAC_NonElectricHeat_ROF_MF_CompE</v>
      </c>
      <c r="G2011" s="3984"/>
      <c r="H2011" s="3984"/>
      <c r="I2011" s="3984"/>
      <c r="J2011" s="3501" t="str">
        <f>$C$1676</f>
        <v>353361_2021_12_</v>
      </c>
      <c r="K2011" s="3048">
        <v>33600</v>
      </c>
      <c r="L2011" s="3521">
        <f t="shared" si="362"/>
        <v>2.8</v>
      </c>
      <c r="M2011" s="3520" t="s">
        <v>1083</v>
      </c>
      <c r="N2011" s="2804"/>
      <c r="O2011" s="106"/>
      <c r="P2011" s="702"/>
      <c r="Q2011" s="574"/>
      <c r="R2011" s="702"/>
      <c r="S2011" s="106"/>
      <c r="T2011" s="486"/>
      <c r="U2011" s="106"/>
      <c r="V2011" s="3980"/>
      <c r="W2011" s="3421"/>
      <c r="X2011" s="3421"/>
      <c r="Y2011" s="2374"/>
      <c r="Z2011" s="3421"/>
      <c r="AA2011" s="3421"/>
      <c r="AB2011" s="3421"/>
      <c r="AC2011" s="2292">
        <f>AC2010</f>
        <v>33600</v>
      </c>
      <c r="AD2011" s="3558">
        <v>33600</v>
      </c>
      <c r="AE2011" s="3429"/>
      <c r="AF2011" s="3421"/>
      <c r="AG2011" s="3421"/>
      <c r="AH2011" s="156"/>
      <c r="AI2011" s="156"/>
      <c r="AJ2011" s="156"/>
      <c r="AK2011" s="156"/>
      <c r="AL2011" s="156"/>
      <c r="AM2011" s="156"/>
      <c r="AN2011" s="156"/>
      <c r="AO2011" s="156"/>
      <c r="AP2011" s="156"/>
      <c r="AQ2011" s="156"/>
      <c r="AR2011" s="156"/>
      <c r="AS2011" s="156"/>
      <c r="AT2011" s="156"/>
      <c r="AU2011" s="156"/>
      <c r="AV2011" s="156"/>
      <c r="AW2011" s="156"/>
      <c r="AX2011" s="156"/>
      <c r="AY2011" s="156"/>
      <c r="AZ2011" s="156"/>
      <c r="BA2011" s="156"/>
      <c r="BB2011" s="2828"/>
      <c r="BC2011" s="452"/>
      <c r="BD2011" s="2829"/>
      <c r="BE2011" s="2837"/>
      <c r="BF2011" s="156"/>
    </row>
    <row r="2012" spans="1:58" ht="15" customHeight="1" outlineLevel="1" x14ac:dyDescent="0.35">
      <c r="A2012" s="1664"/>
      <c r="B2012" s="2812"/>
      <c r="C2012" s="3077"/>
      <c r="D2012" s="3980"/>
      <c r="E2012" s="3883"/>
      <c r="F2012" s="3984" t="str">
        <f>$E$1678</f>
        <v>ASHP-SEER20-Replace_CAC_ElectricHeat_ER1_SF</v>
      </c>
      <c r="G2012" s="3984"/>
      <c r="H2012" s="3984"/>
      <c r="I2012" s="3984"/>
      <c r="J2012" s="3501" t="str">
        <f>$C$1678</f>
        <v>353400_2021_12_</v>
      </c>
      <c r="K2012" s="3047">
        <v>33382.234755555553</v>
      </c>
      <c r="L2012" s="3517">
        <f t="shared" si="362"/>
        <v>2.7818528962962961</v>
      </c>
      <c r="M2012" s="3518" t="s">
        <v>4360</v>
      </c>
      <c r="N2012" s="2804"/>
      <c r="O2012" s="106"/>
      <c r="P2012" s="702"/>
      <c r="Q2012" s="574"/>
      <c r="R2012" s="702"/>
      <c r="S2012" s="106"/>
      <c r="T2012" s="486"/>
      <c r="U2012" s="106"/>
      <c r="V2012" s="3980"/>
      <c r="W2012" s="3421">
        <v>37200</v>
      </c>
      <c r="X2012" s="3421">
        <v>37200</v>
      </c>
      <c r="Y2012" s="3421">
        <v>37200</v>
      </c>
      <c r="Z2012" s="3421">
        <v>37200</v>
      </c>
      <c r="AA2012" s="3421">
        <v>37200</v>
      </c>
      <c r="AB2012" s="3421">
        <v>37200</v>
      </c>
      <c r="AC2012" s="2292">
        <v>36000</v>
      </c>
      <c r="AD2012" s="3047">
        <v>33382.234755555553</v>
      </c>
      <c r="AE2012" s="3429"/>
      <c r="AF2012" s="3421"/>
      <c r="AG2012" s="3421"/>
      <c r="AH2012" s="156"/>
      <c r="AI2012" s="156"/>
      <c r="AJ2012" s="156"/>
      <c r="AK2012" s="156"/>
      <c r="AL2012" s="156"/>
      <c r="AM2012" s="156"/>
      <c r="AN2012" s="156"/>
      <c r="AO2012" s="156"/>
      <c r="AP2012" s="156"/>
      <c r="AQ2012" s="156"/>
      <c r="AR2012" s="156"/>
      <c r="AS2012" s="156"/>
      <c r="AT2012" s="156"/>
      <c r="AU2012" s="156"/>
      <c r="AV2012" s="156"/>
      <c r="AW2012" s="156"/>
      <c r="AX2012" s="156"/>
      <c r="AY2012" s="156"/>
      <c r="AZ2012" s="156"/>
      <c r="BA2012" s="156"/>
      <c r="BB2012" s="2828"/>
      <c r="BC2012" s="452"/>
      <c r="BD2012" s="2829"/>
      <c r="BE2012" s="2837"/>
      <c r="BF2012" s="156"/>
    </row>
    <row r="2013" spans="1:58" ht="15" customHeight="1" outlineLevel="1" x14ac:dyDescent="0.35">
      <c r="A2013" s="1664"/>
      <c r="B2013" s="2812"/>
      <c r="C2013" s="3077"/>
      <c r="D2013" s="3980"/>
      <c r="E2013" s="3883"/>
      <c r="F2013" s="3984" t="str">
        <f>$E$1680</f>
        <v>ASHP-SEER20-Replace_CAC_ElectricHeat_ER2_SF</v>
      </c>
      <c r="G2013" s="3984"/>
      <c r="H2013" s="3984"/>
      <c r="I2013" s="3984"/>
      <c r="J2013" s="3501" t="str">
        <f>$C$1680</f>
        <v>353400_2021_12_</v>
      </c>
      <c r="K2013" s="3047">
        <v>33382.234755555553</v>
      </c>
      <c r="L2013" s="3517">
        <f t="shared" si="362"/>
        <v>2.7818528962962961</v>
      </c>
      <c r="M2013" s="3518" t="s">
        <v>1083</v>
      </c>
      <c r="N2013" s="2804"/>
      <c r="O2013" s="106"/>
      <c r="P2013" s="702"/>
      <c r="Q2013" s="574"/>
      <c r="R2013" s="702"/>
      <c r="S2013" s="106"/>
      <c r="T2013" s="486"/>
      <c r="U2013" s="106"/>
      <c r="V2013" s="3980"/>
      <c r="W2013" s="3421">
        <v>37200</v>
      </c>
      <c r="X2013" s="3421">
        <v>37200</v>
      </c>
      <c r="Y2013" s="3421">
        <v>37200</v>
      </c>
      <c r="Z2013" s="3421">
        <v>37200</v>
      </c>
      <c r="AA2013" s="3421">
        <v>37200</v>
      </c>
      <c r="AB2013" s="3421">
        <v>37200</v>
      </c>
      <c r="AC2013" s="2292">
        <f>AC2012</f>
        <v>36000</v>
      </c>
      <c r="AD2013" s="3047">
        <v>33382.234755555553</v>
      </c>
      <c r="AE2013" s="3429"/>
      <c r="AF2013" s="3421"/>
      <c r="AG2013" s="3421"/>
      <c r="AH2013" s="156"/>
      <c r="AI2013" s="156"/>
      <c r="AJ2013" s="156"/>
      <c r="AK2013" s="156"/>
      <c r="AL2013" s="156"/>
      <c r="AM2013" s="156"/>
      <c r="AN2013" s="156"/>
      <c r="AO2013" s="156"/>
      <c r="AP2013" s="156"/>
      <c r="AQ2013" s="156"/>
      <c r="AR2013" s="156"/>
      <c r="AS2013" s="156"/>
      <c r="AT2013" s="156"/>
      <c r="AU2013" s="156"/>
      <c r="AV2013" s="156"/>
      <c r="AW2013" s="156"/>
      <c r="AX2013" s="156"/>
      <c r="AY2013" s="156"/>
      <c r="AZ2013" s="156"/>
      <c r="BA2013" s="156"/>
      <c r="BB2013" s="2828"/>
      <c r="BC2013" s="452"/>
      <c r="BD2013" s="2829"/>
      <c r="BE2013" s="2837"/>
      <c r="BF2013" s="156"/>
    </row>
    <row r="2014" spans="1:58" ht="15" customHeight="1" outlineLevel="1" x14ac:dyDescent="0.35">
      <c r="A2014" s="1664"/>
      <c r="B2014" s="2812"/>
      <c r="C2014" s="3077"/>
      <c r="D2014" s="3980"/>
      <c r="E2014" s="3883"/>
      <c r="F2014" s="3984" t="str">
        <f>$E$1682</f>
        <v>ASHP-SEER20-Replace_CAC_NonElectricHeat_ER1_SF</v>
      </c>
      <c r="G2014" s="3984"/>
      <c r="H2014" s="3984"/>
      <c r="I2014" s="3984"/>
      <c r="J2014" s="3501" t="str">
        <f>$C$1682</f>
        <v>353410_2021_12_</v>
      </c>
      <c r="K2014" s="3047">
        <v>33382.234755555553</v>
      </c>
      <c r="L2014" s="3517">
        <f t="shared" si="362"/>
        <v>2.7818528962962961</v>
      </c>
      <c r="M2014" s="3520" t="s">
        <v>1083</v>
      </c>
      <c r="N2014" s="2804"/>
      <c r="O2014" s="106"/>
      <c r="P2014" s="702"/>
      <c r="Q2014" s="574"/>
      <c r="R2014" s="702"/>
      <c r="S2014" s="106"/>
      <c r="T2014" s="486"/>
      <c r="U2014" s="106"/>
      <c r="V2014" s="3980"/>
      <c r="W2014" s="3421"/>
      <c r="X2014" s="3421"/>
      <c r="Y2014" s="3421"/>
      <c r="Z2014" s="3421"/>
      <c r="AA2014" s="3421"/>
      <c r="AB2014" s="3421"/>
      <c r="AC2014" s="2292">
        <v>36000</v>
      </c>
      <c r="AD2014" s="3047">
        <v>33382.234755555553</v>
      </c>
      <c r="AE2014" s="3429"/>
      <c r="AF2014" s="3421"/>
      <c r="AG2014" s="3421"/>
      <c r="AH2014" s="156"/>
      <c r="AI2014" s="156"/>
      <c r="AJ2014" s="156"/>
      <c r="AK2014" s="156"/>
      <c r="AL2014" s="156"/>
      <c r="AM2014" s="156"/>
      <c r="AN2014" s="156"/>
      <c r="AO2014" s="156"/>
      <c r="AP2014" s="156"/>
      <c r="AQ2014" s="156"/>
      <c r="AR2014" s="156"/>
      <c r="AS2014" s="156"/>
      <c r="AT2014" s="156"/>
      <c r="AU2014" s="156"/>
      <c r="AV2014" s="156"/>
      <c r="AW2014" s="156"/>
      <c r="AX2014" s="156"/>
      <c r="AY2014" s="156"/>
      <c r="AZ2014" s="156"/>
      <c r="BA2014" s="156"/>
      <c r="BB2014" s="2828"/>
      <c r="BC2014" s="452"/>
      <c r="BD2014" s="2829"/>
      <c r="BE2014" s="2837"/>
      <c r="BF2014" s="156"/>
    </row>
    <row r="2015" spans="1:58" ht="15" customHeight="1" outlineLevel="1" x14ac:dyDescent="0.35">
      <c r="A2015" s="1664"/>
      <c r="B2015" s="2812"/>
      <c r="C2015" s="3077"/>
      <c r="D2015" s="3980"/>
      <c r="E2015" s="3883"/>
      <c r="F2015" s="3984" t="str">
        <f>$E$1684</f>
        <v>ASHP-SEER20-Replace_CAC_NonElectricHeat_ER2_SF</v>
      </c>
      <c r="G2015" s="3984"/>
      <c r="H2015" s="3984"/>
      <c r="I2015" s="3984"/>
      <c r="J2015" s="3501" t="str">
        <f>$C$1684</f>
        <v>353410_2021_12_</v>
      </c>
      <c r="K2015" s="3047">
        <v>33382.234755555553</v>
      </c>
      <c r="L2015" s="3517">
        <f t="shared" si="362"/>
        <v>2.7818528962962961</v>
      </c>
      <c r="M2015" s="3520" t="s">
        <v>1083</v>
      </c>
      <c r="N2015" s="2804"/>
      <c r="O2015" s="106"/>
      <c r="P2015" s="702"/>
      <c r="Q2015" s="574"/>
      <c r="R2015" s="702"/>
      <c r="S2015" s="106"/>
      <c r="T2015" s="486"/>
      <c r="U2015" s="106"/>
      <c r="V2015" s="3980"/>
      <c r="W2015" s="3421"/>
      <c r="X2015" s="3421"/>
      <c r="Y2015" s="3421"/>
      <c r="Z2015" s="3421"/>
      <c r="AA2015" s="3421"/>
      <c r="AB2015" s="3421"/>
      <c r="AC2015" s="2292">
        <f>AC2014</f>
        <v>36000</v>
      </c>
      <c r="AD2015" s="3047">
        <v>33382.234755555553</v>
      </c>
      <c r="AE2015" s="3429"/>
      <c r="AF2015" s="3421"/>
      <c r="AG2015" s="3421"/>
      <c r="AH2015" s="156"/>
      <c r="AI2015" s="156"/>
      <c r="AJ2015" s="156"/>
      <c r="AK2015" s="156"/>
      <c r="AL2015" s="156"/>
      <c r="AM2015" s="156"/>
      <c r="AN2015" s="156"/>
      <c r="AO2015" s="156"/>
      <c r="AP2015" s="156"/>
      <c r="AQ2015" s="156"/>
      <c r="AR2015" s="156"/>
      <c r="AS2015" s="156"/>
      <c r="AT2015" s="156"/>
      <c r="AU2015" s="156"/>
      <c r="AV2015" s="156"/>
      <c r="AW2015" s="156"/>
      <c r="AX2015" s="156"/>
      <c r="AY2015" s="156"/>
      <c r="AZ2015" s="156"/>
      <c r="BA2015" s="156"/>
      <c r="BB2015" s="2828"/>
      <c r="BC2015" s="452"/>
      <c r="BD2015" s="2829"/>
      <c r="BE2015" s="2837"/>
      <c r="BF2015" s="156"/>
    </row>
    <row r="2016" spans="1:58" ht="15" customHeight="1" outlineLevel="1" x14ac:dyDescent="0.35">
      <c r="A2016" s="1664"/>
      <c r="B2016" s="2812"/>
      <c r="C2016" s="3077"/>
      <c r="D2016" s="3980"/>
      <c r="E2016" s="3883"/>
      <c r="F2016" s="3984" t="str">
        <f>$E$1686</f>
        <v>ASHP-SEER20-Replace_CAC_ElectricHeat_ROF_SF</v>
      </c>
      <c r="G2016" s="3984"/>
      <c r="H2016" s="3984"/>
      <c r="I2016" s="3984"/>
      <c r="J2016" s="3501" t="str">
        <f>$C$1686</f>
        <v>353450_2021_12_</v>
      </c>
      <c r="K2016" s="3047">
        <v>34645</v>
      </c>
      <c r="L2016" s="3517">
        <f t="shared" si="362"/>
        <v>2.8870833333333334</v>
      </c>
      <c r="M2016" s="3518" t="s">
        <v>4360</v>
      </c>
      <c r="N2016" s="2804"/>
      <c r="O2016" s="106"/>
      <c r="P2016" s="702"/>
      <c r="Q2016" s="574"/>
      <c r="R2016" s="702"/>
      <c r="S2016" s="106"/>
      <c r="T2016" s="486"/>
      <c r="U2016" s="106"/>
      <c r="V2016" s="3980"/>
      <c r="W2016" s="3421">
        <v>38400</v>
      </c>
      <c r="X2016" s="3421">
        <v>38400</v>
      </c>
      <c r="Y2016" s="3421">
        <v>38400</v>
      </c>
      <c r="Z2016" s="3421">
        <v>38400</v>
      </c>
      <c r="AA2016" s="3421">
        <v>38400</v>
      </c>
      <c r="AB2016" s="3421">
        <v>38400</v>
      </c>
      <c r="AC2016" s="2292">
        <v>30000</v>
      </c>
      <c r="AD2016" s="3047">
        <v>34645</v>
      </c>
      <c r="AE2016" s="3429"/>
      <c r="AF2016" s="3421"/>
      <c r="AG2016" s="3421"/>
      <c r="AH2016" s="156"/>
      <c r="AI2016" s="156"/>
      <c r="AJ2016" s="156"/>
      <c r="AK2016" s="156"/>
      <c r="AL2016" s="156"/>
      <c r="AM2016" s="156"/>
      <c r="AN2016" s="156"/>
      <c r="AO2016" s="156"/>
      <c r="AP2016" s="156"/>
      <c r="AQ2016" s="156"/>
      <c r="AR2016" s="156"/>
      <c r="AS2016" s="156"/>
      <c r="AT2016" s="156"/>
      <c r="AU2016" s="156"/>
      <c r="AV2016" s="156"/>
      <c r="AW2016" s="156"/>
      <c r="AX2016" s="156"/>
      <c r="AY2016" s="156"/>
      <c r="AZ2016" s="156"/>
      <c r="BA2016" s="156"/>
      <c r="BB2016" s="2828"/>
      <c r="BC2016" s="452"/>
      <c r="BD2016" s="2829"/>
      <c r="BE2016" s="2837"/>
      <c r="BF2016" s="156"/>
    </row>
    <row r="2017" spans="1:58" s="3398" customFormat="1" ht="15" customHeight="1" outlineLevel="1" x14ac:dyDescent="0.35">
      <c r="A2017" s="1664"/>
      <c r="B2017" s="2812"/>
      <c r="C2017" s="3077"/>
      <c r="D2017" s="3980"/>
      <c r="E2017" s="3883"/>
      <c r="F2017" s="4136" t="str">
        <f>$E$1688</f>
        <v>ASHP-SEER20-Replace_CAC_NonElectricHeat_ROF_SF</v>
      </c>
      <c r="G2017" s="4136"/>
      <c r="H2017" s="4136"/>
      <c r="I2017" s="4136"/>
      <c r="J2017" s="3502" t="str">
        <f>$C$1688</f>
        <v>353460_2022_12_</v>
      </c>
      <c r="K2017" s="3047">
        <v>34645</v>
      </c>
      <c r="L2017" s="3519">
        <f t="shared" si="362"/>
        <v>2.8870833333333334</v>
      </c>
      <c r="M2017" s="3518" t="s">
        <v>1083</v>
      </c>
      <c r="P2017" s="702"/>
      <c r="Q2017" s="574"/>
      <c r="R2017" s="702"/>
      <c r="T2017" s="3397"/>
      <c r="V2017" s="3980"/>
      <c r="W2017" s="3421"/>
      <c r="X2017" s="2377"/>
      <c r="Y2017" s="2377"/>
      <c r="Z2017" s="3425"/>
      <c r="AA2017" s="3425"/>
      <c r="AB2017" s="3556"/>
      <c r="AC2017" s="3555"/>
      <c r="AD2017" s="3047">
        <v>34645</v>
      </c>
      <c r="AE2017" s="3429"/>
      <c r="AF2017" s="3421"/>
      <c r="AG2017" s="3421"/>
      <c r="AH2017" s="156"/>
      <c r="AI2017" s="156"/>
      <c r="AJ2017" s="156"/>
      <c r="AK2017" s="156"/>
      <c r="AL2017" s="156"/>
      <c r="AM2017" s="156"/>
      <c r="AN2017" s="156"/>
      <c r="AO2017" s="156"/>
      <c r="AP2017" s="156"/>
      <c r="AQ2017" s="156"/>
      <c r="AR2017" s="156"/>
      <c r="AS2017" s="156"/>
      <c r="AT2017" s="156"/>
      <c r="AU2017" s="156"/>
      <c r="AV2017" s="156"/>
      <c r="AW2017" s="156"/>
      <c r="AX2017" s="156"/>
      <c r="AY2017" s="156"/>
      <c r="AZ2017" s="156"/>
      <c r="BA2017" s="156"/>
      <c r="BB2017" s="2828"/>
      <c r="BC2017" s="452"/>
      <c r="BD2017" s="2829"/>
      <c r="BE2017" s="2837"/>
      <c r="BF2017" s="156"/>
    </row>
    <row r="2018" spans="1:58" ht="15" customHeight="1" outlineLevel="1" x14ac:dyDescent="0.35">
      <c r="A2018" s="1664"/>
      <c r="B2018" s="2812"/>
      <c r="C2018" s="3077"/>
      <c r="D2018" s="3980"/>
      <c r="E2018" s="3883"/>
      <c r="F2018" s="3984" t="str">
        <f>$E$1690</f>
        <v>ASHP-SEER20-Replace_CAC_ElectricHeat_ROF_MF</v>
      </c>
      <c r="G2018" s="3984"/>
      <c r="H2018" s="3984"/>
      <c r="I2018" s="3984"/>
      <c r="J2018" s="3501" t="str">
        <f>$C$1690</f>
        <v>353500_2019_12_</v>
      </c>
      <c r="K2018" s="3048">
        <v>38400</v>
      </c>
      <c r="L2018" s="3521">
        <f t="shared" si="362"/>
        <v>3.2</v>
      </c>
      <c r="M2018" s="3520" t="s">
        <v>1506</v>
      </c>
      <c r="N2018" s="2804"/>
      <c r="O2018" s="106"/>
      <c r="P2018" s="702"/>
      <c r="Q2018" s="574"/>
      <c r="R2018" s="702"/>
      <c r="S2018" s="106"/>
      <c r="T2018" s="486"/>
      <c r="U2018" s="106"/>
      <c r="V2018" s="3980"/>
      <c r="W2018" s="3421">
        <v>38400</v>
      </c>
      <c r="X2018" s="3421">
        <v>38400</v>
      </c>
      <c r="Y2018" s="3421">
        <v>38400</v>
      </c>
      <c r="Z2018" s="3421">
        <v>38400</v>
      </c>
      <c r="AA2018" s="3421">
        <v>38400</v>
      </c>
      <c r="AB2018" s="3421">
        <v>38400</v>
      </c>
      <c r="AC2018" s="3557">
        <v>38400</v>
      </c>
      <c r="AD2018" s="3558">
        <v>38400</v>
      </c>
      <c r="AE2018" s="3429"/>
      <c r="AF2018" s="3421"/>
      <c r="AG2018" s="3421"/>
      <c r="AH2018" s="156"/>
      <c r="AI2018" s="156"/>
      <c r="AJ2018" s="156"/>
      <c r="AK2018" s="156"/>
      <c r="AL2018" s="156"/>
      <c r="AM2018" s="156"/>
      <c r="AN2018" s="156"/>
      <c r="AO2018" s="156"/>
      <c r="AP2018" s="156"/>
      <c r="AQ2018" s="156"/>
      <c r="AR2018" s="156"/>
      <c r="AS2018" s="156"/>
      <c r="AT2018" s="156"/>
      <c r="AU2018" s="156"/>
      <c r="AV2018" s="156"/>
      <c r="AW2018" s="156"/>
      <c r="AX2018" s="156"/>
      <c r="AY2018" s="156"/>
      <c r="AZ2018" s="156"/>
      <c r="BA2018" s="156"/>
      <c r="BB2018" s="2828"/>
      <c r="BC2018" s="452"/>
      <c r="BD2018" s="2829"/>
      <c r="BE2018" s="2837"/>
      <c r="BF2018" s="156"/>
    </row>
    <row r="2019" spans="1:58" ht="15" customHeight="1" outlineLevel="1" x14ac:dyDescent="0.35">
      <c r="A2019" s="1664"/>
      <c r="B2019" s="2812"/>
      <c r="C2019" s="3077"/>
      <c r="D2019" s="3980"/>
      <c r="E2019" s="3883"/>
      <c r="F2019" s="3984" t="str">
        <f>$E$1692</f>
        <v>ASHP-SEER20-Replace_CAC_ElectricHeat_ROF_MF_CompE</v>
      </c>
      <c r="G2019" s="3984"/>
      <c r="H2019" s="3984"/>
      <c r="I2019" s="3984"/>
      <c r="J2019" s="3501" t="str">
        <f>$C$1692</f>
        <v>353501_2019_12_</v>
      </c>
      <c r="K2019" s="3048">
        <v>38400</v>
      </c>
      <c r="L2019" s="3521">
        <f t="shared" si="362"/>
        <v>3.2</v>
      </c>
      <c r="M2019" s="3520"/>
      <c r="N2019" s="2804"/>
      <c r="O2019" s="106"/>
      <c r="P2019" s="702"/>
      <c r="Q2019" s="574"/>
      <c r="R2019" s="702"/>
      <c r="S2019" s="106"/>
      <c r="T2019" s="486"/>
      <c r="U2019" s="106"/>
      <c r="V2019" s="3980"/>
      <c r="W2019" s="3421"/>
      <c r="X2019" s="3421"/>
      <c r="Y2019" s="2374">
        <v>38400</v>
      </c>
      <c r="Z2019" s="3421">
        <v>38400</v>
      </c>
      <c r="AA2019" s="3421">
        <v>38400</v>
      </c>
      <c r="AB2019" s="3421">
        <v>38400</v>
      </c>
      <c r="AC2019" s="3557">
        <f>AC2018</f>
        <v>38400</v>
      </c>
      <c r="AD2019" s="3558">
        <v>38400</v>
      </c>
      <c r="AE2019" s="3429"/>
      <c r="AF2019" s="3421"/>
      <c r="AG2019" s="3421"/>
      <c r="AH2019" s="156"/>
      <c r="AI2019" s="156"/>
      <c r="AJ2019" s="156"/>
      <c r="AK2019" s="156"/>
      <c r="AL2019" s="156"/>
      <c r="AM2019" s="156"/>
      <c r="AN2019" s="156"/>
      <c r="AO2019" s="156"/>
      <c r="AP2019" s="156"/>
      <c r="AQ2019" s="156"/>
      <c r="AR2019" s="156"/>
      <c r="AS2019" s="156"/>
      <c r="AT2019" s="156"/>
      <c r="AU2019" s="156"/>
      <c r="AV2019" s="156"/>
      <c r="AW2019" s="156"/>
      <c r="AX2019" s="156"/>
      <c r="AY2019" s="156"/>
      <c r="AZ2019" s="156"/>
      <c r="BA2019" s="156"/>
      <c r="BB2019" s="2828"/>
      <c r="BC2019" s="452"/>
      <c r="BD2019" s="2829"/>
      <c r="BE2019" s="2837"/>
      <c r="BF2019" s="156"/>
    </row>
    <row r="2020" spans="1:58" ht="15" customHeight="1" outlineLevel="1" x14ac:dyDescent="0.35">
      <c r="A2020" s="1664"/>
      <c r="B2020" s="2812"/>
      <c r="C2020" s="3077"/>
      <c r="D2020" s="3980"/>
      <c r="E2020" s="3883"/>
      <c r="F2020" s="3984" t="str">
        <f>$E$1694</f>
        <v>ASHP-SEER20-Replace_CAC_NonElectricHeat_ROF_MF</v>
      </c>
      <c r="G2020" s="3984"/>
      <c r="H2020" s="3984"/>
      <c r="I2020" s="3984"/>
      <c r="J2020" s="3501" t="str">
        <f>$C$1694</f>
        <v>353510_2021_12_</v>
      </c>
      <c r="K2020" s="3048">
        <v>38400</v>
      </c>
      <c r="L2020" s="3521">
        <f t="shared" si="362"/>
        <v>3.2</v>
      </c>
      <c r="M2020" s="3520" t="s">
        <v>1083</v>
      </c>
      <c r="N2020" s="2804"/>
      <c r="O2020" s="106"/>
      <c r="P2020" s="702"/>
      <c r="Q2020" s="574"/>
      <c r="R2020" s="702"/>
      <c r="S2020" s="106"/>
      <c r="T2020" s="486"/>
      <c r="U2020" s="106"/>
      <c r="V2020" s="3980"/>
      <c r="W2020" s="3421"/>
      <c r="X2020" s="3421"/>
      <c r="Y2020" s="2374"/>
      <c r="Z2020" s="3421"/>
      <c r="AA2020" s="3421"/>
      <c r="AB2020" s="3421"/>
      <c r="AC2020" s="2292">
        <v>38400</v>
      </c>
      <c r="AD2020" s="3558">
        <v>38400</v>
      </c>
      <c r="AE2020" s="3429"/>
      <c r="AF2020" s="3421"/>
      <c r="AG2020" s="3421"/>
      <c r="AH2020" s="156"/>
      <c r="AI2020" s="156"/>
      <c r="AJ2020" s="156"/>
      <c r="AK2020" s="156"/>
      <c r="AL2020" s="156"/>
      <c r="AM2020" s="156"/>
      <c r="AN2020" s="156"/>
      <c r="AO2020" s="156"/>
      <c r="AP2020" s="156"/>
      <c r="AQ2020" s="156"/>
      <c r="AR2020" s="156"/>
      <c r="AS2020" s="156"/>
      <c r="AT2020" s="156"/>
      <c r="AU2020" s="156"/>
      <c r="AV2020" s="156"/>
      <c r="AW2020" s="156"/>
      <c r="AX2020" s="156"/>
      <c r="AY2020" s="156"/>
      <c r="AZ2020" s="156"/>
      <c r="BA2020" s="156"/>
      <c r="BB2020" s="2828"/>
      <c r="BC2020" s="452"/>
      <c r="BD2020" s="2829"/>
      <c r="BE2020" s="2837"/>
      <c r="BF2020" s="156"/>
    </row>
    <row r="2021" spans="1:58" ht="15" customHeight="1" outlineLevel="1" x14ac:dyDescent="0.35">
      <c r="A2021" s="1664"/>
      <c r="B2021" s="2812"/>
      <c r="C2021" s="3077"/>
      <c r="D2021" s="3980"/>
      <c r="E2021" s="3883"/>
      <c r="F2021" s="3984" t="str">
        <f>$E$1696</f>
        <v>ASHP-SEER20-Replace_CAC_NonElectricHeat_ROF_MF_CompE</v>
      </c>
      <c r="G2021" s="3984"/>
      <c r="H2021" s="3984"/>
      <c r="I2021" s="3984"/>
      <c r="J2021" s="3501" t="str">
        <f>$C$1696</f>
        <v>353511_2021_12_</v>
      </c>
      <c r="K2021" s="3048">
        <v>38400</v>
      </c>
      <c r="L2021" s="3521">
        <f t="shared" si="362"/>
        <v>3.2</v>
      </c>
      <c r="M2021" s="3520" t="s">
        <v>1083</v>
      </c>
      <c r="N2021" s="2804"/>
      <c r="O2021" s="106"/>
      <c r="P2021" s="702"/>
      <c r="Q2021" s="574"/>
      <c r="R2021" s="702"/>
      <c r="S2021" s="106"/>
      <c r="T2021" s="486"/>
      <c r="U2021" s="106"/>
      <c r="V2021" s="3980"/>
      <c r="W2021" s="3421"/>
      <c r="X2021" s="3421"/>
      <c r="Y2021" s="2374"/>
      <c r="Z2021" s="3421"/>
      <c r="AA2021" s="3421"/>
      <c r="AB2021" s="3421"/>
      <c r="AC2021" s="2292">
        <f>AC2020</f>
        <v>38400</v>
      </c>
      <c r="AD2021" s="3558">
        <v>38400</v>
      </c>
      <c r="AE2021" s="3429"/>
      <c r="AF2021" s="3421"/>
      <c r="AG2021" s="3421"/>
      <c r="AH2021" s="156"/>
      <c r="AI2021" s="156"/>
      <c r="AJ2021" s="156"/>
      <c r="AK2021" s="156"/>
      <c r="AL2021" s="156"/>
      <c r="AM2021" s="156"/>
      <c r="AN2021" s="156"/>
      <c r="AO2021" s="156"/>
      <c r="AP2021" s="156"/>
      <c r="AQ2021" s="156"/>
      <c r="AR2021" s="156"/>
      <c r="AS2021" s="156"/>
      <c r="AT2021" s="156"/>
      <c r="AU2021" s="156"/>
      <c r="AV2021" s="156"/>
      <c r="AW2021" s="156"/>
      <c r="AX2021" s="156"/>
      <c r="AY2021" s="156"/>
      <c r="AZ2021" s="156"/>
      <c r="BA2021" s="156"/>
      <c r="BB2021" s="2828"/>
      <c r="BC2021" s="452"/>
      <c r="BD2021" s="2829"/>
      <c r="BE2021" s="2837"/>
      <c r="BF2021" s="156"/>
    </row>
    <row r="2022" spans="1:58" ht="15" customHeight="1" outlineLevel="1" x14ac:dyDescent="0.35">
      <c r="A2022" s="1664"/>
      <c r="B2022" s="2812"/>
      <c r="C2022" s="3077"/>
      <c r="D2022" s="3980"/>
      <c r="E2022" s="3883"/>
      <c r="F2022" s="3984" t="str">
        <f>$E$1698</f>
        <v>ASHP-SEER21-Replace_CAC_ElectricHeat_ER1_SF</v>
      </c>
      <c r="G2022" s="3984"/>
      <c r="H2022" s="3984"/>
      <c r="I2022" s="3984"/>
      <c r="J2022" s="3501" t="str">
        <f>$C$1698</f>
        <v>353550_2021_12_</v>
      </c>
      <c r="K2022" s="3047">
        <v>40225.166612626257</v>
      </c>
      <c r="L2022" s="3517">
        <f t="shared" si="362"/>
        <v>3.3520972177188546</v>
      </c>
      <c r="M2022" s="3518" t="s">
        <v>4360</v>
      </c>
      <c r="N2022" s="2804"/>
      <c r="O2022" s="106"/>
      <c r="P2022" s="106"/>
      <c r="Q2022" s="106"/>
      <c r="R2022" s="106"/>
      <c r="S2022" s="106"/>
      <c r="T2022" s="106"/>
      <c r="U2022" s="106"/>
      <c r="V2022" s="3980"/>
      <c r="W2022" s="3421">
        <v>37200</v>
      </c>
      <c r="X2022" s="3421">
        <v>37200</v>
      </c>
      <c r="Y2022" s="3421">
        <v>37200</v>
      </c>
      <c r="Z2022" s="3421">
        <v>37200</v>
      </c>
      <c r="AA2022" s="3421">
        <v>37200</v>
      </c>
      <c r="AB2022" s="3421">
        <v>37200</v>
      </c>
      <c r="AC2022" s="2292">
        <v>43090.909090909088</v>
      </c>
      <c r="AD2022" s="3047">
        <v>40225.166612626257</v>
      </c>
      <c r="AE2022" s="3429"/>
      <c r="AF2022" s="3421"/>
      <c r="AG2022" s="3421"/>
      <c r="AH2022" s="156"/>
      <c r="AI2022" s="156"/>
      <c r="AJ2022" s="156"/>
      <c r="AK2022" s="156"/>
      <c r="AL2022" s="156"/>
      <c r="AM2022" s="156"/>
      <c r="AN2022" s="156"/>
      <c r="AO2022" s="156"/>
      <c r="AP2022" s="156"/>
      <c r="AQ2022" s="156"/>
      <c r="AR2022" s="156"/>
      <c r="AS2022" s="156"/>
      <c r="AT2022" s="156"/>
      <c r="AU2022" s="156"/>
      <c r="AV2022" s="156"/>
      <c r="AW2022" s="156"/>
      <c r="AX2022" s="156"/>
      <c r="AY2022" s="156"/>
      <c r="AZ2022" s="156"/>
      <c r="BA2022" s="156"/>
      <c r="BB2022" s="2828"/>
      <c r="BC2022" s="452"/>
      <c r="BD2022" s="2829"/>
      <c r="BE2022" s="2837"/>
      <c r="BF2022" s="156"/>
    </row>
    <row r="2023" spans="1:58" ht="15" customHeight="1" outlineLevel="1" x14ac:dyDescent="0.35">
      <c r="A2023" s="1664"/>
      <c r="B2023" s="2812"/>
      <c r="C2023" s="3077"/>
      <c r="D2023" s="3980"/>
      <c r="E2023" s="3883"/>
      <c r="F2023" s="3984" t="str">
        <f>$E$1700</f>
        <v>ASHP-SEER21-Replace_CAC_ElectricHeat_ER2_SF</v>
      </c>
      <c r="G2023" s="3984"/>
      <c r="H2023" s="3984"/>
      <c r="I2023" s="3984"/>
      <c r="J2023" s="3501" t="str">
        <f>$C$1700</f>
        <v>353550_2021_12_</v>
      </c>
      <c r="K2023" s="3047">
        <v>40225.166612626257</v>
      </c>
      <c r="L2023" s="3517">
        <f t="shared" si="362"/>
        <v>3.3520972177188546</v>
      </c>
      <c r="M2023" s="3518" t="s">
        <v>1083</v>
      </c>
      <c r="N2023" s="2804"/>
      <c r="O2023" s="106"/>
      <c r="P2023" s="106"/>
      <c r="Q2023" s="106"/>
      <c r="R2023" s="106"/>
      <c r="S2023" s="106"/>
      <c r="T2023" s="106"/>
      <c r="U2023" s="106"/>
      <c r="V2023" s="3980"/>
      <c r="W2023" s="3421">
        <v>37200</v>
      </c>
      <c r="X2023" s="3421">
        <v>37200</v>
      </c>
      <c r="Y2023" s="3421">
        <v>37200</v>
      </c>
      <c r="Z2023" s="3421">
        <v>37200</v>
      </c>
      <c r="AA2023" s="3421">
        <v>37200</v>
      </c>
      <c r="AB2023" s="3421">
        <v>37200</v>
      </c>
      <c r="AC2023" s="2292">
        <f>AC2022</f>
        <v>43090.909090909088</v>
      </c>
      <c r="AD2023" s="3047">
        <v>40225.166612626257</v>
      </c>
      <c r="AE2023" s="3429"/>
      <c r="AF2023" s="3421"/>
      <c r="AG2023" s="3421"/>
      <c r="AH2023" s="156"/>
      <c r="AI2023" s="156"/>
      <c r="AJ2023" s="156"/>
      <c r="AK2023" s="156"/>
      <c r="AL2023" s="156"/>
      <c r="AM2023" s="156"/>
      <c r="AN2023" s="156"/>
      <c r="AO2023" s="156"/>
      <c r="AP2023" s="156"/>
      <c r="AQ2023" s="156"/>
      <c r="AR2023" s="156"/>
      <c r="AS2023" s="156"/>
      <c r="AT2023" s="156"/>
      <c r="AU2023" s="156"/>
      <c r="AV2023" s="156"/>
      <c r="AW2023" s="156"/>
      <c r="AX2023" s="156"/>
      <c r="AY2023" s="156"/>
      <c r="AZ2023" s="156"/>
      <c r="BA2023" s="156"/>
      <c r="BB2023" s="2828"/>
      <c r="BC2023" s="452"/>
      <c r="BD2023" s="2829"/>
      <c r="BE2023" s="2837"/>
      <c r="BF2023" s="156"/>
    </row>
    <row r="2024" spans="1:58" ht="15" customHeight="1" outlineLevel="1" x14ac:dyDescent="0.35">
      <c r="A2024" s="1664"/>
      <c r="B2024" s="2812"/>
      <c r="C2024" s="3077"/>
      <c r="D2024" s="3980"/>
      <c r="E2024" s="3883"/>
      <c r="F2024" s="3984" t="str">
        <f>$E$1702</f>
        <v>ASHP-SEER21-Replace_CAC_NonElectricHeat_ER1_SF</v>
      </c>
      <c r="G2024" s="3984"/>
      <c r="H2024" s="3984"/>
      <c r="I2024" s="3984"/>
      <c r="J2024" s="3501" t="str">
        <f>$C$1702</f>
        <v>353560_2021_12_</v>
      </c>
      <c r="K2024" s="3047">
        <v>40225.166612626257</v>
      </c>
      <c r="L2024" s="3517">
        <f t="shared" si="362"/>
        <v>3.3520972177188546</v>
      </c>
      <c r="M2024" s="3520" t="s">
        <v>1083</v>
      </c>
      <c r="N2024" s="2804"/>
      <c r="O2024" s="106"/>
      <c r="P2024" s="106"/>
      <c r="Q2024" s="106"/>
      <c r="R2024" s="106"/>
      <c r="S2024" s="106"/>
      <c r="T2024" s="106"/>
      <c r="U2024" s="106"/>
      <c r="V2024" s="3980"/>
      <c r="W2024" s="3421"/>
      <c r="X2024" s="3421"/>
      <c r="Y2024" s="3421"/>
      <c r="Z2024" s="3421"/>
      <c r="AA2024" s="3421"/>
      <c r="AB2024" s="3421"/>
      <c r="AC2024" s="2292">
        <v>43090.909090909088</v>
      </c>
      <c r="AD2024" s="3047">
        <v>40225.166612626257</v>
      </c>
      <c r="AE2024" s="3429"/>
      <c r="AF2024" s="3421"/>
      <c r="AG2024" s="3421"/>
      <c r="AH2024" s="156"/>
      <c r="AI2024" s="156"/>
      <c r="AJ2024" s="156"/>
      <c r="AK2024" s="156"/>
      <c r="AL2024" s="156"/>
      <c r="AM2024" s="156"/>
      <c r="AN2024" s="156"/>
      <c r="AO2024" s="156"/>
      <c r="AP2024" s="156"/>
      <c r="AQ2024" s="156"/>
      <c r="AR2024" s="156"/>
      <c r="AS2024" s="156"/>
      <c r="AT2024" s="156"/>
      <c r="AU2024" s="156"/>
      <c r="AV2024" s="156"/>
      <c r="AW2024" s="156"/>
      <c r="AX2024" s="156"/>
      <c r="AY2024" s="156"/>
      <c r="AZ2024" s="156"/>
      <c r="BA2024" s="156"/>
      <c r="BB2024" s="2828"/>
      <c r="BC2024" s="452"/>
      <c r="BD2024" s="2829"/>
      <c r="BE2024" s="2837"/>
      <c r="BF2024" s="156"/>
    </row>
    <row r="2025" spans="1:58" ht="15" customHeight="1" outlineLevel="1" x14ac:dyDescent="0.35">
      <c r="A2025" s="1664"/>
      <c r="B2025" s="2812"/>
      <c r="C2025" s="3077"/>
      <c r="D2025" s="3980"/>
      <c r="E2025" s="3883"/>
      <c r="F2025" s="3984" t="str">
        <f>$E$1704</f>
        <v>ASHP-SEER21-Replace_CAC_NonElectricHeat_ER2_SF</v>
      </c>
      <c r="G2025" s="3984"/>
      <c r="H2025" s="3984"/>
      <c r="I2025" s="3984"/>
      <c r="J2025" s="3501" t="str">
        <f>$C$1704</f>
        <v>353560_2021_12_</v>
      </c>
      <c r="K2025" s="3047">
        <v>40225.166612626257</v>
      </c>
      <c r="L2025" s="3517">
        <f t="shared" si="362"/>
        <v>3.3520972177188546</v>
      </c>
      <c r="M2025" s="3520" t="s">
        <v>1083</v>
      </c>
      <c r="N2025" s="2804"/>
      <c r="O2025" s="106"/>
      <c r="P2025" s="106"/>
      <c r="Q2025" s="106"/>
      <c r="R2025" s="106"/>
      <c r="S2025" s="106"/>
      <c r="T2025" s="106"/>
      <c r="U2025" s="106"/>
      <c r="V2025" s="3980"/>
      <c r="W2025" s="3421"/>
      <c r="X2025" s="3421"/>
      <c r="Y2025" s="3421"/>
      <c r="Z2025" s="3421"/>
      <c r="AA2025" s="3421"/>
      <c r="AB2025" s="3421"/>
      <c r="AC2025" s="2292">
        <f>AC2024</f>
        <v>43090.909090909088</v>
      </c>
      <c r="AD2025" s="3047">
        <v>40225.166612626257</v>
      </c>
      <c r="AE2025" s="3429"/>
      <c r="AF2025" s="3421"/>
      <c r="AG2025" s="3421"/>
      <c r="AH2025" s="156"/>
      <c r="AI2025" s="156"/>
      <c r="AJ2025" s="156"/>
      <c r="AK2025" s="156"/>
      <c r="AL2025" s="156"/>
      <c r="AM2025" s="156"/>
      <c r="AN2025" s="156"/>
      <c r="AO2025" s="156"/>
      <c r="AP2025" s="156"/>
      <c r="AQ2025" s="156"/>
      <c r="AR2025" s="156"/>
      <c r="AS2025" s="156"/>
      <c r="AT2025" s="156"/>
      <c r="AU2025" s="156"/>
      <c r="AV2025" s="156"/>
      <c r="AW2025" s="156"/>
      <c r="AX2025" s="156"/>
      <c r="AY2025" s="156"/>
      <c r="AZ2025" s="156"/>
      <c r="BA2025" s="156"/>
      <c r="BB2025" s="2828"/>
      <c r="BC2025" s="452"/>
      <c r="BD2025" s="2829"/>
      <c r="BE2025" s="2837"/>
      <c r="BF2025" s="156"/>
    </row>
    <row r="2026" spans="1:58" ht="15" customHeight="1" outlineLevel="1" x14ac:dyDescent="0.35">
      <c r="A2026" s="1664"/>
      <c r="B2026" s="2812"/>
      <c r="C2026" s="3077"/>
      <c r="D2026" s="3980"/>
      <c r="E2026" s="3883"/>
      <c r="F2026" s="3984" t="str">
        <f>$E$1706</f>
        <v>ASHP-SEER21-Replace_CAC_ElectricHeat_ER1_MF</v>
      </c>
      <c r="G2026" s="3984"/>
      <c r="H2026" s="3984"/>
      <c r="I2026" s="3984"/>
      <c r="J2026" s="3501" t="str">
        <f>$C$1706</f>
        <v>353600_2019_12_</v>
      </c>
      <c r="K2026" s="3048">
        <v>37200</v>
      </c>
      <c r="L2026" s="3521">
        <f t="shared" si="362"/>
        <v>3.1</v>
      </c>
      <c r="M2026" s="3520" t="s">
        <v>1506</v>
      </c>
      <c r="N2026" s="2804"/>
      <c r="O2026" s="106"/>
      <c r="P2026" s="106"/>
      <c r="Q2026" s="106"/>
      <c r="R2026" s="106"/>
      <c r="S2026" s="106"/>
      <c r="T2026" s="106"/>
      <c r="U2026" s="106"/>
      <c r="V2026" s="3980"/>
      <c r="W2026" s="3421">
        <v>37200</v>
      </c>
      <c r="X2026" s="3421">
        <v>37200</v>
      </c>
      <c r="Y2026" s="3421">
        <v>37200</v>
      </c>
      <c r="Z2026" s="3421">
        <v>37200</v>
      </c>
      <c r="AA2026" s="3421">
        <v>37200</v>
      </c>
      <c r="AB2026" s="3421">
        <v>37200</v>
      </c>
      <c r="AC2026" s="3557">
        <v>37200</v>
      </c>
      <c r="AD2026" s="3558">
        <v>37200</v>
      </c>
      <c r="AE2026" s="3429"/>
      <c r="AF2026" s="3421"/>
      <c r="AG2026" s="3421"/>
      <c r="AH2026" s="156"/>
      <c r="AI2026" s="156"/>
      <c r="AJ2026" s="156"/>
      <c r="AK2026" s="156"/>
      <c r="AL2026" s="156"/>
      <c r="AM2026" s="156"/>
      <c r="AN2026" s="156"/>
      <c r="AO2026" s="156"/>
      <c r="AP2026" s="156"/>
      <c r="AQ2026" s="156"/>
      <c r="AR2026" s="156"/>
      <c r="AS2026" s="156"/>
      <c r="AT2026" s="156"/>
      <c r="AU2026" s="156"/>
      <c r="AV2026" s="156"/>
      <c r="AW2026" s="156"/>
      <c r="AX2026" s="156"/>
      <c r="AY2026" s="156"/>
      <c r="AZ2026" s="156"/>
      <c r="BA2026" s="156"/>
      <c r="BB2026" s="2828"/>
      <c r="BC2026" s="452"/>
      <c r="BD2026" s="2829"/>
      <c r="BE2026" s="2837"/>
      <c r="BF2026" s="156"/>
    </row>
    <row r="2027" spans="1:58" ht="15" customHeight="1" outlineLevel="1" x14ac:dyDescent="0.35">
      <c r="A2027" s="1664"/>
      <c r="B2027" s="2812"/>
      <c r="C2027" s="3077"/>
      <c r="D2027" s="3980"/>
      <c r="E2027" s="3883"/>
      <c r="F2027" s="3984" t="str">
        <f>$E$1708</f>
        <v>ASHP-SEER21-Replace_CAC_ElectricHeat_ER2_MF</v>
      </c>
      <c r="G2027" s="3984"/>
      <c r="H2027" s="3984"/>
      <c r="I2027" s="3984"/>
      <c r="J2027" s="3501" t="str">
        <f>$C$1708</f>
        <v>353600_2019_12_</v>
      </c>
      <c r="K2027" s="3048">
        <v>37200</v>
      </c>
      <c r="L2027" s="3521">
        <f t="shared" si="362"/>
        <v>3.1</v>
      </c>
      <c r="M2027" s="3520" t="s">
        <v>1506</v>
      </c>
      <c r="N2027" s="2804"/>
      <c r="O2027" s="106"/>
      <c r="P2027" s="106"/>
      <c r="Q2027" s="106"/>
      <c r="R2027" s="106"/>
      <c r="S2027" s="106"/>
      <c r="T2027" s="106"/>
      <c r="U2027" s="106"/>
      <c r="V2027" s="3980"/>
      <c r="W2027" s="3421">
        <v>37200</v>
      </c>
      <c r="X2027" s="3421">
        <v>37200</v>
      </c>
      <c r="Y2027" s="3421">
        <v>37200</v>
      </c>
      <c r="Z2027" s="3421">
        <v>37200</v>
      </c>
      <c r="AA2027" s="3421">
        <v>37200</v>
      </c>
      <c r="AB2027" s="3421">
        <v>37200</v>
      </c>
      <c r="AC2027" s="3557">
        <v>37200</v>
      </c>
      <c r="AD2027" s="3558">
        <v>37200</v>
      </c>
      <c r="AE2027" s="3429"/>
      <c r="AF2027" s="3421"/>
      <c r="AG2027" s="3421"/>
      <c r="AH2027" s="156"/>
      <c r="AI2027" s="156"/>
      <c r="AJ2027" s="156"/>
      <c r="AK2027" s="156"/>
      <c r="AL2027" s="156"/>
      <c r="AM2027" s="156"/>
      <c r="AN2027" s="156"/>
      <c r="AO2027" s="156"/>
      <c r="AP2027" s="156"/>
      <c r="AQ2027" s="156"/>
      <c r="AR2027" s="156"/>
      <c r="AS2027" s="156"/>
      <c r="AT2027" s="156"/>
      <c r="AU2027" s="156"/>
      <c r="AV2027" s="156"/>
      <c r="AW2027" s="156"/>
      <c r="AX2027" s="156"/>
      <c r="AY2027" s="156"/>
      <c r="AZ2027" s="156"/>
      <c r="BA2027" s="156"/>
      <c r="BB2027" s="2828"/>
      <c r="BC2027" s="452"/>
      <c r="BD2027" s="2829"/>
      <c r="BE2027" s="2837"/>
      <c r="BF2027" s="156"/>
    </row>
    <row r="2028" spans="1:58" ht="15" customHeight="1" outlineLevel="1" x14ac:dyDescent="0.35">
      <c r="A2028" s="1664"/>
      <c r="B2028" s="2812"/>
      <c r="C2028" s="3077"/>
      <c r="D2028" s="3980"/>
      <c r="E2028" s="3883"/>
      <c r="F2028" s="3984" t="str">
        <f>$E$1710</f>
        <v>ASHP-SEER21-Replace_CAC_ElectricHeat_ER1_MF_CompE</v>
      </c>
      <c r="G2028" s="3984"/>
      <c r="H2028" s="3984"/>
      <c r="I2028" s="3984"/>
      <c r="J2028" s="3501" t="str">
        <f>$C$1710</f>
        <v>353601_2019_12_</v>
      </c>
      <c r="K2028" s="3048">
        <v>37200</v>
      </c>
      <c r="L2028" s="3521">
        <f t="shared" si="362"/>
        <v>3.1</v>
      </c>
      <c r="M2028" s="3520"/>
      <c r="N2028" s="2804"/>
      <c r="O2028" s="106"/>
      <c r="P2028" s="106"/>
      <c r="Q2028" s="106"/>
      <c r="R2028" s="106"/>
      <c r="S2028" s="106"/>
      <c r="T2028" s="106"/>
      <c r="U2028" s="106"/>
      <c r="V2028" s="3980"/>
      <c r="W2028" s="3421"/>
      <c r="X2028" s="3421"/>
      <c r="Y2028" s="2374">
        <v>37200</v>
      </c>
      <c r="Z2028" s="3421">
        <v>37200</v>
      </c>
      <c r="AA2028" s="3421">
        <v>37200</v>
      </c>
      <c r="AB2028" s="3421">
        <v>37200</v>
      </c>
      <c r="AC2028" s="3557">
        <f>AC2026</f>
        <v>37200</v>
      </c>
      <c r="AD2028" s="3558">
        <v>37200</v>
      </c>
      <c r="AE2028" s="3429"/>
      <c r="AF2028" s="3421"/>
      <c r="AG2028" s="3421"/>
      <c r="AH2028" s="156"/>
      <c r="AI2028" s="156"/>
      <c r="AJ2028" s="156"/>
      <c r="AK2028" s="156"/>
      <c r="AL2028" s="156"/>
      <c r="AM2028" s="156"/>
      <c r="AN2028" s="156"/>
      <c r="AO2028" s="156"/>
      <c r="AP2028" s="156"/>
      <c r="AQ2028" s="156"/>
      <c r="AR2028" s="156"/>
      <c r="AS2028" s="156"/>
      <c r="AT2028" s="156"/>
      <c r="AU2028" s="156"/>
      <c r="AV2028" s="156"/>
      <c r="AW2028" s="156"/>
      <c r="AX2028" s="156"/>
      <c r="AY2028" s="156"/>
      <c r="AZ2028" s="156"/>
      <c r="BA2028" s="156"/>
      <c r="BB2028" s="2828"/>
      <c r="BC2028" s="452"/>
      <c r="BD2028" s="2829"/>
      <c r="BE2028" s="2837"/>
      <c r="BF2028" s="156"/>
    </row>
    <row r="2029" spans="1:58" ht="15" customHeight="1" outlineLevel="1" x14ac:dyDescent="0.35">
      <c r="A2029" s="1664"/>
      <c r="B2029" s="2812"/>
      <c r="C2029" s="3077"/>
      <c r="D2029" s="3980"/>
      <c r="E2029" s="3883"/>
      <c r="F2029" s="3984" t="str">
        <f>$E$1712</f>
        <v>ASHP-SEER21-Replace_CAC_ElectricHeat_ER2_MF_CompE</v>
      </c>
      <c r="G2029" s="3984"/>
      <c r="H2029" s="3984"/>
      <c r="I2029" s="3984"/>
      <c r="J2029" s="3501" t="str">
        <f>$C$1712</f>
        <v>353601_2019_12_</v>
      </c>
      <c r="K2029" s="3048">
        <v>37200</v>
      </c>
      <c r="L2029" s="3521">
        <f t="shared" si="362"/>
        <v>3.1</v>
      </c>
      <c r="M2029" s="3520"/>
      <c r="N2029" s="2804"/>
      <c r="O2029" s="106"/>
      <c r="P2029" s="106"/>
      <c r="Q2029" s="106"/>
      <c r="R2029" s="106"/>
      <c r="S2029" s="106"/>
      <c r="T2029" s="106"/>
      <c r="U2029" s="106"/>
      <c r="V2029" s="3980"/>
      <c r="W2029" s="3421"/>
      <c r="X2029" s="3421"/>
      <c r="Y2029" s="2374">
        <v>37200</v>
      </c>
      <c r="Z2029" s="3421">
        <v>37200</v>
      </c>
      <c r="AA2029" s="3421">
        <v>37200</v>
      </c>
      <c r="AB2029" s="3421">
        <v>37200</v>
      </c>
      <c r="AC2029" s="3557">
        <f>AC2027</f>
        <v>37200</v>
      </c>
      <c r="AD2029" s="3558">
        <v>37200</v>
      </c>
      <c r="AE2029" s="3429"/>
      <c r="AF2029" s="3421"/>
      <c r="AG2029" s="3421"/>
      <c r="AH2029" s="156"/>
      <c r="AI2029" s="156"/>
      <c r="AJ2029" s="156"/>
      <c r="AK2029" s="156"/>
      <c r="AL2029" s="156"/>
      <c r="AM2029" s="156"/>
      <c r="AN2029" s="156"/>
      <c r="AO2029" s="156"/>
      <c r="AP2029" s="156"/>
      <c r="AQ2029" s="156"/>
      <c r="AR2029" s="156"/>
      <c r="AS2029" s="156"/>
      <c r="AT2029" s="156"/>
      <c r="AU2029" s="156"/>
      <c r="AV2029" s="156"/>
      <c r="AW2029" s="156"/>
      <c r="AX2029" s="156"/>
      <c r="AY2029" s="156"/>
      <c r="AZ2029" s="156"/>
      <c r="BA2029" s="156"/>
      <c r="BB2029" s="2828"/>
      <c r="BC2029" s="452"/>
      <c r="BD2029" s="2829"/>
      <c r="BE2029" s="2837"/>
      <c r="BF2029" s="156"/>
    </row>
    <row r="2030" spans="1:58" ht="15" customHeight="1" outlineLevel="1" x14ac:dyDescent="0.35">
      <c r="A2030" s="1664"/>
      <c r="B2030" s="2812"/>
      <c r="C2030" s="3077"/>
      <c r="D2030" s="3980"/>
      <c r="E2030" s="3883"/>
      <c r="F2030" s="3984" t="str">
        <f>$E$1714</f>
        <v>ASHP-SEER21-Replace_CAC_NonElectricHeat_ER1_MF</v>
      </c>
      <c r="G2030" s="3984"/>
      <c r="H2030" s="3984"/>
      <c r="I2030" s="3984"/>
      <c r="J2030" s="3501" t="str">
        <f>$C$1714</f>
        <v>353610_2021_12_</v>
      </c>
      <c r="K2030" s="3048">
        <v>37200</v>
      </c>
      <c r="L2030" s="3521">
        <f t="shared" si="362"/>
        <v>3.1</v>
      </c>
      <c r="M2030" s="3520" t="s">
        <v>1083</v>
      </c>
      <c r="N2030" s="2804"/>
      <c r="O2030" s="106"/>
      <c r="P2030" s="106"/>
      <c r="Q2030" s="106"/>
      <c r="R2030" s="106"/>
      <c r="S2030" s="106"/>
      <c r="T2030" s="106"/>
      <c r="U2030" s="106"/>
      <c r="V2030" s="3980"/>
      <c r="W2030" s="3421"/>
      <c r="X2030" s="3421"/>
      <c r="Y2030" s="2374"/>
      <c r="Z2030" s="3421"/>
      <c r="AA2030" s="3421"/>
      <c r="AB2030" s="3421"/>
      <c r="AC2030" s="2292">
        <v>37200</v>
      </c>
      <c r="AD2030" s="3558">
        <v>37200</v>
      </c>
      <c r="AE2030" s="3429"/>
      <c r="AF2030" s="3421"/>
      <c r="AG2030" s="3421"/>
      <c r="AH2030" s="156"/>
      <c r="AI2030" s="156"/>
      <c r="AJ2030" s="156"/>
      <c r="AK2030" s="156"/>
      <c r="AL2030" s="156"/>
      <c r="AM2030" s="156"/>
      <c r="AN2030" s="156"/>
      <c r="AO2030" s="156"/>
      <c r="AP2030" s="156"/>
      <c r="AQ2030" s="156"/>
      <c r="AR2030" s="156"/>
      <c r="AS2030" s="156"/>
      <c r="AT2030" s="156"/>
      <c r="AU2030" s="156"/>
      <c r="AV2030" s="156"/>
      <c r="AW2030" s="156"/>
      <c r="AX2030" s="156"/>
      <c r="AY2030" s="156"/>
      <c r="AZ2030" s="156"/>
      <c r="BA2030" s="156"/>
      <c r="BB2030" s="2828"/>
      <c r="BC2030" s="452"/>
      <c r="BD2030" s="2829"/>
      <c r="BE2030" s="2837"/>
      <c r="BF2030" s="156"/>
    </row>
    <row r="2031" spans="1:58" ht="15" customHeight="1" outlineLevel="1" x14ac:dyDescent="0.35">
      <c r="A2031" s="1664"/>
      <c r="B2031" s="2812"/>
      <c r="C2031" s="3077"/>
      <c r="D2031" s="3980"/>
      <c r="E2031" s="3883"/>
      <c r="F2031" s="3984" t="str">
        <f>$E$1716</f>
        <v>ASHP-SEER21-Replace_CAC_NonElectricHeat_ER2_MF</v>
      </c>
      <c r="G2031" s="3984"/>
      <c r="H2031" s="3984"/>
      <c r="I2031" s="3984"/>
      <c r="J2031" s="3501" t="str">
        <f>$C$1716</f>
        <v>353610_2021_12_</v>
      </c>
      <c r="K2031" s="3048">
        <v>37200</v>
      </c>
      <c r="L2031" s="3521">
        <f t="shared" si="362"/>
        <v>3.1</v>
      </c>
      <c r="M2031" s="3520" t="s">
        <v>1083</v>
      </c>
      <c r="N2031" s="2804"/>
      <c r="O2031" s="106"/>
      <c r="P2031" s="106"/>
      <c r="Q2031" s="106"/>
      <c r="R2031" s="106"/>
      <c r="S2031" s="106"/>
      <c r="T2031" s="106"/>
      <c r="U2031" s="106"/>
      <c r="V2031" s="3980"/>
      <c r="W2031" s="3421"/>
      <c r="X2031" s="3421"/>
      <c r="Y2031" s="2374"/>
      <c r="Z2031" s="3421"/>
      <c r="AA2031" s="3421"/>
      <c r="AB2031" s="3421"/>
      <c r="AC2031" s="2292">
        <v>37200</v>
      </c>
      <c r="AD2031" s="3558">
        <v>37200</v>
      </c>
      <c r="AE2031" s="3429"/>
      <c r="AF2031" s="3421"/>
      <c r="AG2031" s="3421"/>
      <c r="AH2031" s="156"/>
      <c r="AI2031" s="156"/>
      <c r="AJ2031" s="156"/>
      <c r="AK2031" s="156"/>
      <c r="AL2031" s="156"/>
      <c r="AM2031" s="156"/>
      <c r="AN2031" s="156"/>
      <c r="AO2031" s="156"/>
      <c r="AP2031" s="156"/>
      <c r="AQ2031" s="156"/>
      <c r="AR2031" s="156"/>
      <c r="AS2031" s="156"/>
      <c r="AT2031" s="156"/>
      <c r="AU2031" s="156"/>
      <c r="AV2031" s="156"/>
      <c r="AW2031" s="156"/>
      <c r="AX2031" s="156"/>
      <c r="AY2031" s="156"/>
      <c r="AZ2031" s="156"/>
      <c r="BA2031" s="156"/>
      <c r="BB2031" s="2828"/>
      <c r="BC2031" s="452"/>
      <c r="BD2031" s="2829"/>
      <c r="BE2031" s="2837"/>
      <c r="BF2031" s="156"/>
    </row>
    <row r="2032" spans="1:58" ht="15" customHeight="1" outlineLevel="1" x14ac:dyDescent="0.35">
      <c r="A2032" s="1664"/>
      <c r="B2032" s="2812"/>
      <c r="C2032" s="3077"/>
      <c r="D2032" s="3980"/>
      <c r="E2032" s="3883"/>
      <c r="F2032" s="3984" t="str">
        <f>$E$1718</f>
        <v>ASHP-SEER21-Replace_CAC_NonElectricHeat_ER1_MF_CompE</v>
      </c>
      <c r="G2032" s="3984"/>
      <c r="H2032" s="3984"/>
      <c r="I2032" s="3984"/>
      <c r="J2032" s="3501" t="str">
        <f>$C$1718</f>
        <v>353611_2021_12_</v>
      </c>
      <c r="K2032" s="3048">
        <v>37200</v>
      </c>
      <c r="L2032" s="3521">
        <f t="shared" si="362"/>
        <v>3.1</v>
      </c>
      <c r="M2032" s="3520" t="s">
        <v>1083</v>
      </c>
      <c r="N2032" s="2804"/>
      <c r="O2032" s="106"/>
      <c r="P2032" s="106"/>
      <c r="Q2032" s="106"/>
      <c r="R2032" s="106"/>
      <c r="S2032" s="106"/>
      <c r="T2032" s="106"/>
      <c r="U2032" s="106"/>
      <c r="V2032" s="3980"/>
      <c r="W2032" s="3421"/>
      <c r="X2032" s="3421"/>
      <c r="Y2032" s="2374"/>
      <c r="Z2032" s="3421"/>
      <c r="AA2032" s="3421"/>
      <c r="AB2032" s="3421"/>
      <c r="AC2032" s="2292">
        <f>AC2030</f>
        <v>37200</v>
      </c>
      <c r="AD2032" s="3558">
        <v>37200</v>
      </c>
      <c r="AE2032" s="3429"/>
      <c r="AF2032" s="3421"/>
      <c r="AG2032" s="3421"/>
      <c r="AH2032" s="156"/>
      <c r="AI2032" s="156"/>
      <c r="AJ2032" s="156"/>
      <c r="AK2032" s="156"/>
      <c r="AL2032" s="156"/>
      <c r="AM2032" s="156"/>
      <c r="AN2032" s="156"/>
      <c r="AO2032" s="156"/>
      <c r="AP2032" s="156"/>
      <c r="AQ2032" s="156"/>
      <c r="AR2032" s="156"/>
      <c r="AS2032" s="156"/>
      <c r="AT2032" s="156"/>
      <c r="AU2032" s="156"/>
      <c r="AV2032" s="156"/>
      <c r="AW2032" s="156"/>
      <c r="AX2032" s="156"/>
      <c r="AY2032" s="156"/>
      <c r="AZ2032" s="156"/>
      <c r="BA2032" s="156"/>
      <c r="BB2032" s="2828"/>
      <c r="BC2032" s="452"/>
      <c r="BD2032" s="2829"/>
      <c r="BE2032" s="2837"/>
      <c r="BF2032" s="156"/>
    </row>
    <row r="2033" spans="1:58" ht="15" customHeight="1" outlineLevel="1" x14ac:dyDescent="0.35">
      <c r="A2033" s="1664"/>
      <c r="B2033" s="2812"/>
      <c r="C2033" s="3077"/>
      <c r="D2033" s="3980"/>
      <c r="E2033" s="3883"/>
      <c r="F2033" s="3984" t="str">
        <f>$E$1720</f>
        <v>ASHP-SEER21-Replace_CAC_NonElectricHeat_ER2_MF_CompE</v>
      </c>
      <c r="G2033" s="3984"/>
      <c r="H2033" s="3984"/>
      <c r="I2033" s="3984"/>
      <c r="J2033" s="3501" t="str">
        <f>$C$1720</f>
        <v>353611_2021_12_</v>
      </c>
      <c r="K2033" s="3048">
        <v>37200</v>
      </c>
      <c r="L2033" s="3521">
        <f t="shared" si="362"/>
        <v>3.1</v>
      </c>
      <c r="M2033" s="3520" t="s">
        <v>1083</v>
      </c>
      <c r="N2033" s="2804"/>
      <c r="O2033" s="106"/>
      <c r="P2033" s="106"/>
      <c r="Q2033" s="106"/>
      <c r="R2033" s="106"/>
      <c r="S2033" s="106"/>
      <c r="T2033" s="106"/>
      <c r="U2033" s="106"/>
      <c r="V2033" s="3980"/>
      <c r="W2033" s="3421"/>
      <c r="X2033" s="3421"/>
      <c r="Y2033" s="2374"/>
      <c r="Z2033" s="3421"/>
      <c r="AA2033" s="3421"/>
      <c r="AB2033" s="3421"/>
      <c r="AC2033" s="2292">
        <f>AC2031</f>
        <v>37200</v>
      </c>
      <c r="AD2033" s="3558">
        <v>37200</v>
      </c>
      <c r="AE2033" s="3429"/>
      <c r="AF2033" s="3421"/>
      <c r="AG2033" s="3421"/>
      <c r="AH2033" s="156"/>
      <c r="AI2033" s="156"/>
      <c r="AJ2033" s="156"/>
      <c r="AK2033" s="156"/>
      <c r="AL2033" s="156"/>
      <c r="AM2033" s="156"/>
      <c r="AN2033" s="156"/>
      <c r="AO2033" s="156"/>
      <c r="AP2033" s="156"/>
      <c r="AQ2033" s="156"/>
      <c r="AR2033" s="156"/>
      <c r="AS2033" s="156"/>
      <c r="AT2033" s="156"/>
      <c r="AU2033" s="156"/>
      <c r="AV2033" s="156"/>
      <c r="AW2033" s="156"/>
      <c r="AX2033" s="156"/>
      <c r="AY2033" s="156"/>
      <c r="AZ2033" s="156"/>
      <c r="BA2033" s="156"/>
      <c r="BB2033" s="2828"/>
      <c r="BC2033" s="452"/>
      <c r="BD2033" s="2829"/>
      <c r="BE2033" s="2837"/>
      <c r="BF2033" s="156"/>
    </row>
    <row r="2034" spans="1:58" ht="15" customHeight="1" outlineLevel="1" x14ac:dyDescent="0.35">
      <c r="A2034" s="1664"/>
      <c r="B2034" s="2812"/>
      <c r="C2034" s="3077"/>
      <c r="D2034" s="3980"/>
      <c r="E2034" s="3883"/>
      <c r="F2034" s="3984" t="str">
        <f>$E$1722</f>
        <v>ASHP-SEER21-Replace_CAC_ElectricHeat_ROF_SF</v>
      </c>
      <c r="G2034" s="3984"/>
      <c r="H2034" s="3984"/>
      <c r="I2034" s="3984"/>
      <c r="J2034" s="3501" t="str">
        <f>$C$1722</f>
        <v>353650_2021_12_</v>
      </c>
      <c r="K2034" s="3047">
        <v>41639.393940624999</v>
      </c>
      <c r="L2034" s="3517">
        <f t="shared" si="362"/>
        <v>3.4699494950520831</v>
      </c>
      <c r="M2034" s="3518" t="s">
        <v>4360</v>
      </c>
      <c r="N2034" s="2804"/>
      <c r="O2034" s="106"/>
      <c r="P2034" s="106"/>
      <c r="Q2034" s="106"/>
      <c r="R2034" s="106"/>
      <c r="S2034" s="106"/>
      <c r="T2034" s="106"/>
      <c r="U2034" s="106"/>
      <c r="V2034" s="3980"/>
      <c r="W2034" s="3421">
        <v>38400</v>
      </c>
      <c r="X2034" s="3421">
        <v>38400</v>
      </c>
      <c r="Y2034" s="3421">
        <v>38400</v>
      </c>
      <c r="Z2034" s="3421">
        <v>38400</v>
      </c>
      <c r="AA2034" s="3421">
        <v>38400</v>
      </c>
      <c r="AB2034" s="3421">
        <v>38400</v>
      </c>
      <c r="AC2034" s="2292">
        <v>42000</v>
      </c>
      <c r="AD2034" s="3047">
        <v>41639.393940624999</v>
      </c>
      <c r="AE2034" s="3429"/>
      <c r="AF2034" s="3421"/>
      <c r="AG2034" s="3421"/>
      <c r="AH2034" s="156"/>
      <c r="AI2034" s="156"/>
      <c r="AJ2034" s="156"/>
      <c r="AK2034" s="156"/>
      <c r="AL2034" s="156"/>
      <c r="AM2034" s="156"/>
      <c r="AN2034" s="156"/>
      <c r="AO2034" s="156"/>
      <c r="AP2034" s="156"/>
      <c r="AQ2034" s="156"/>
      <c r="AR2034" s="156"/>
      <c r="AS2034" s="156"/>
      <c r="AT2034" s="156"/>
      <c r="AU2034" s="156"/>
      <c r="AV2034" s="156"/>
      <c r="AW2034" s="156"/>
      <c r="AX2034" s="156"/>
      <c r="AY2034" s="156"/>
      <c r="AZ2034" s="156"/>
      <c r="BA2034" s="156"/>
      <c r="BB2034" s="2828"/>
      <c r="BC2034" s="452"/>
      <c r="BD2034" s="2829"/>
      <c r="BE2034" s="2837"/>
      <c r="BF2034" s="156"/>
    </row>
    <row r="2035" spans="1:58" s="3398" customFormat="1" ht="15" customHeight="1" outlineLevel="1" x14ac:dyDescent="0.35">
      <c r="A2035" s="1664"/>
      <c r="B2035" s="2812"/>
      <c r="C2035" s="3077"/>
      <c r="D2035" s="3980"/>
      <c r="E2035" s="3883"/>
      <c r="F2035" s="4136" t="str">
        <f>$E$1724</f>
        <v>ASHP-SEER21-Replace_CAC_NonElectricHeat_ROF_SF</v>
      </c>
      <c r="G2035" s="4136"/>
      <c r="H2035" s="4136"/>
      <c r="I2035" s="4136"/>
      <c r="J2035" s="3502" t="str">
        <f>$C$1724</f>
        <v>353660_2022_12_</v>
      </c>
      <c r="K2035" s="3047">
        <v>41639.393940624999</v>
      </c>
      <c r="L2035" s="3519">
        <f t="shared" si="362"/>
        <v>3.4699494950520831</v>
      </c>
      <c r="M2035" s="3518" t="s">
        <v>1083</v>
      </c>
      <c r="V2035" s="3980"/>
      <c r="W2035" s="3421"/>
      <c r="X2035" s="2377"/>
      <c r="Y2035" s="2377"/>
      <c r="Z2035" s="3425"/>
      <c r="AA2035" s="3425"/>
      <c r="AB2035" s="3556"/>
      <c r="AC2035" s="3555"/>
      <c r="AD2035" s="3047">
        <v>41639.393940624999</v>
      </c>
      <c r="AE2035" s="3429"/>
      <c r="AF2035" s="3421"/>
      <c r="AG2035" s="3421"/>
      <c r="AH2035" s="156"/>
      <c r="AI2035" s="156"/>
      <c r="AJ2035" s="156"/>
      <c r="AK2035" s="156"/>
      <c r="AL2035" s="156"/>
      <c r="AM2035" s="156"/>
      <c r="AN2035" s="156"/>
      <c r="AO2035" s="156"/>
      <c r="AP2035" s="156"/>
      <c r="AQ2035" s="156"/>
      <c r="AR2035" s="156"/>
      <c r="AS2035" s="156"/>
      <c r="AT2035" s="156"/>
      <c r="AU2035" s="156"/>
      <c r="AV2035" s="156"/>
      <c r="AW2035" s="156"/>
      <c r="AX2035" s="156"/>
      <c r="AY2035" s="156"/>
      <c r="AZ2035" s="156"/>
      <c r="BA2035" s="156"/>
      <c r="BB2035" s="2828"/>
      <c r="BC2035" s="452"/>
      <c r="BD2035" s="2829"/>
      <c r="BE2035" s="2837"/>
      <c r="BF2035" s="156"/>
    </row>
    <row r="2036" spans="1:58" ht="15" customHeight="1" outlineLevel="1" x14ac:dyDescent="0.35">
      <c r="A2036" s="1071"/>
      <c r="B2036" s="2812"/>
      <c r="C2036" s="3077"/>
      <c r="D2036" s="3980"/>
      <c r="E2036" s="3883"/>
      <c r="F2036" s="3984" t="str">
        <f>$E$1726</f>
        <v>ASHP-SEER21+-Replace_CAC_ElectricHeat_ROF_MF</v>
      </c>
      <c r="G2036" s="3984"/>
      <c r="H2036" s="3984"/>
      <c r="I2036" s="3984"/>
      <c r="J2036" s="3501" t="str">
        <f>$C$1726</f>
        <v>353700_2019_12_</v>
      </c>
      <c r="K2036" s="3048">
        <v>38400</v>
      </c>
      <c r="L2036" s="3521">
        <f t="shared" si="362"/>
        <v>3.2</v>
      </c>
      <c r="M2036" s="3520" t="s">
        <v>1506</v>
      </c>
      <c r="N2036" s="2804"/>
      <c r="O2036" s="106"/>
      <c r="P2036" s="106"/>
      <c r="Q2036" s="106"/>
      <c r="R2036" s="106"/>
      <c r="S2036" s="106"/>
      <c r="T2036" s="106"/>
      <c r="U2036" s="106"/>
      <c r="V2036" s="3980"/>
      <c r="W2036" s="3421">
        <v>38400</v>
      </c>
      <c r="X2036" s="3421">
        <v>38400</v>
      </c>
      <c r="Y2036" s="3421">
        <v>38400</v>
      </c>
      <c r="Z2036" s="3421">
        <v>38400</v>
      </c>
      <c r="AA2036" s="3421">
        <v>38400</v>
      </c>
      <c r="AB2036" s="3421">
        <v>38400</v>
      </c>
      <c r="AC2036" s="3557">
        <v>38400</v>
      </c>
      <c r="AD2036" s="3558">
        <v>38400</v>
      </c>
      <c r="AE2036" s="3429"/>
      <c r="AF2036" s="3421"/>
      <c r="AG2036" s="3421"/>
      <c r="AH2036" s="156"/>
      <c r="AI2036" s="156"/>
      <c r="AJ2036" s="156"/>
      <c r="AK2036" s="156"/>
      <c r="AL2036" s="156"/>
      <c r="AM2036" s="156"/>
      <c r="AN2036" s="156"/>
      <c r="AO2036" s="156"/>
      <c r="AP2036" s="156"/>
      <c r="AQ2036" s="156"/>
      <c r="AR2036" s="156"/>
      <c r="AS2036" s="156"/>
      <c r="AT2036" s="156"/>
      <c r="AU2036" s="156"/>
      <c r="AV2036" s="156"/>
      <c r="AW2036" s="156"/>
      <c r="AX2036" s="156"/>
      <c r="AY2036" s="156"/>
      <c r="AZ2036" s="156"/>
      <c r="BA2036" s="156"/>
      <c r="BB2036" s="2828"/>
      <c r="BC2036" s="452"/>
      <c r="BD2036" s="2829"/>
      <c r="BE2036" s="2837"/>
      <c r="BF2036" s="156"/>
    </row>
    <row r="2037" spans="1:58" ht="15" customHeight="1" outlineLevel="1" x14ac:dyDescent="0.35">
      <c r="A2037" s="1071"/>
      <c r="B2037" s="2812"/>
      <c r="C2037" s="3077"/>
      <c r="D2037" s="3980"/>
      <c r="E2037" s="3883"/>
      <c r="F2037" s="3984" t="str">
        <f>$E$1728</f>
        <v>ASHP-SEER21+-Replace_CAC_ElectricHeat_ROF_MF_CompE</v>
      </c>
      <c r="G2037" s="3984"/>
      <c r="H2037" s="3984"/>
      <c r="I2037" s="3984"/>
      <c r="J2037" s="3501" t="str">
        <f>$C$1728</f>
        <v>353701_2019_12_</v>
      </c>
      <c r="K2037" s="3048">
        <v>38400</v>
      </c>
      <c r="L2037" s="3521">
        <f t="shared" si="362"/>
        <v>3.2</v>
      </c>
      <c r="M2037" s="3520"/>
      <c r="N2037" s="2804"/>
      <c r="O2037" s="106"/>
      <c r="P2037" s="106"/>
      <c r="Q2037" s="106"/>
      <c r="R2037" s="106"/>
      <c r="S2037" s="106"/>
      <c r="T2037" s="106"/>
      <c r="U2037" s="106"/>
      <c r="V2037" s="3980"/>
      <c r="W2037" s="3421"/>
      <c r="X2037" s="3421"/>
      <c r="Y2037" s="2374">
        <v>38400</v>
      </c>
      <c r="Z2037" s="3421">
        <v>38400</v>
      </c>
      <c r="AA2037" s="3421">
        <v>38400</v>
      </c>
      <c r="AB2037" s="3421">
        <v>38400</v>
      </c>
      <c r="AC2037" s="3557">
        <v>38400</v>
      </c>
      <c r="AD2037" s="3558">
        <v>38400</v>
      </c>
      <c r="AE2037" s="3429"/>
      <c r="AF2037" s="3421"/>
      <c r="AG2037" s="3421"/>
      <c r="AH2037" s="156"/>
      <c r="AI2037" s="156"/>
      <c r="AJ2037" s="156"/>
      <c r="AK2037" s="156"/>
      <c r="AL2037" s="156"/>
      <c r="AM2037" s="156"/>
      <c r="AN2037" s="156"/>
      <c r="AO2037" s="156"/>
      <c r="AP2037" s="156"/>
      <c r="AQ2037" s="156"/>
      <c r="AR2037" s="156"/>
      <c r="AS2037" s="156"/>
      <c r="AT2037" s="156"/>
      <c r="AU2037" s="156"/>
      <c r="AV2037" s="156"/>
      <c r="AW2037" s="156"/>
      <c r="AX2037" s="156"/>
      <c r="AY2037" s="156"/>
      <c r="AZ2037" s="156"/>
      <c r="BA2037" s="156"/>
      <c r="BB2037" s="2828"/>
      <c r="BC2037" s="452"/>
      <c r="BD2037" s="2829"/>
      <c r="BE2037" s="2837"/>
      <c r="BF2037" s="156"/>
    </row>
    <row r="2038" spans="1:58" ht="15" customHeight="1" outlineLevel="1" x14ac:dyDescent="0.35">
      <c r="A2038" s="1071"/>
      <c r="B2038" s="2812"/>
      <c r="C2038" s="3077"/>
      <c r="D2038" s="3980"/>
      <c r="E2038" s="3883"/>
      <c r="F2038" s="3984" t="str">
        <f>$E$1730</f>
        <v>ASHP-SEER21+-Replace_CAC_NonElectricHeat_ROF_MF</v>
      </c>
      <c r="G2038" s="3984"/>
      <c r="H2038" s="3984"/>
      <c r="I2038" s="3984"/>
      <c r="J2038" s="3501" t="str">
        <f>$C$1730</f>
        <v>353710_2021_12_</v>
      </c>
      <c r="K2038" s="3048">
        <v>38400</v>
      </c>
      <c r="L2038" s="3521">
        <f t="shared" si="362"/>
        <v>3.2</v>
      </c>
      <c r="M2038" s="3520" t="s">
        <v>1083</v>
      </c>
      <c r="N2038" s="2804"/>
      <c r="O2038" s="106"/>
      <c r="P2038" s="106"/>
      <c r="Q2038" s="106"/>
      <c r="R2038" s="106"/>
      <c r="S2038" s="106"/>
      <c r="T2038" s="106"/>
      <c r="U2038" s="106"/>
      <c r="V2038" s="3980"/>
      <c r="W2038" s="3421"/>
      <c r="X2038" s="3421"/>
      <c r="Y2038" s="2374"/>
      <c r="Z2038" s="3421"/>
      <c r="AA2038" s="3421"/>
      <c r="AB2038" s="3421"/>
      <c r="AC2038" s="2292">
        <v>38400</v>
      </c>
      <c r="AD2038" s="3558">
        <v>38400</v>
      </c>
      <c r="AE2038" s="3429"/>
      <c r="AF2038" s="3421"/>
      <c r="AG2038" s="3421"/>
      <c r="AH2038" s="156"/>
      <c r="AI2038" s="156"/>
      <c r="AJ2038" s="156"/>
      <c r="AK2038" s="156"/>
      <c r="AL2038" s="156"/>
      <c r="AM2038" s="156"/>
      <c r="AN2038" s="156"/>
      <c r="AO2038" s="156"/>
      <c r="AP2038" s="156"/>
      <c r="AQ2038" s="156"/>
      <c r="AR2038" s="156"/>
      <c r="AS2038" s="156"/>
      <c r="AT2038" s="156"/>
      <c r="AU2038" s="156"/>
      <c r="AV2038" s="156"/>
      <c r="AW2038" s="156"/>
      <c r="AX2038" s="156"/>
      <c r="AY2038" s="156"/>
      <c r="AZ2038" s="156"/>
      <c r="BA2038" s="156"/>
      <c r="BB2038" s="2828"/>
      <c r="BC2038" s="452"/>
      <c r="BD2038" s="2829"/>
      <c r="BE2038" s="2837"/>
      <c r="BF2038" s="156"/>
    </row>
    <row r="2039" spans="1:58" ht="15" customHeight="1" outlineLevel="1" x14ac:dyDescent="0.35">
      <c r="A2039" s="1071"/>
      <c r="B2039" s="2812"/>
      <c r="C2039" s="3077"/>
      <c r="D2039" s="3980"/>
      <c r="E2039" s="3883"/>
      <c r="F2039" s="3984" t="str">
        <f>$E$1732</f>
        <v>ASHP-SEER21+-Replace_CAC_NonElectricHeat_ROF_MF_CompE</v>
      </c>
      <c r="G2039" s="3984"/>
      <c r="H2039" s="3984"/>
      <c r="I2039" s="3984"/>
      <c r="J2039" s="3501" t="str">
        <f>$C$1732</f>
        <v>353711_2021_12_</v>
      </c>
      <c r="K2039" s="3048">
        <v>38400</v>
      </c>
      <c r="L2039" s="3521">
        <f t="shared" si="362"/>
        <v>3.2</v>
      </c>
      <c r="M2039" s="3520" t="s">
        <v>1083</v>
      </c>
      <c r="N2039" s="2804"/>
      <c r="O2039" s="106"/>
      <c r="P2039" s="106"/>
      <c r="Q2039" s="106"/>
      <c r="R2039" s="106"/>
      <c r="S2039" s="106"/>
      <c r="T2039" s="106"/>
      <c r="U2039" s="106"/>
      <c r="V2039" s="3980"/>
      <c r="W2039" s="3421"/>
      <c r="X2039" s="3421"/>
      <c r="Y2039" s="2374"/>
      <c r="Z2039" s="3421"/>
      <c r="AA2039" s="3421"/>
      <c r="AB2039" s="3421"/>
      <c r="AC2039" s="2292">
        <v>38400</v>
      </c>
      <c r="AD2039" s="3558">
        <v>38400</v>
      </c>
      <c r="AE2039" s="3429"/>
      <c r="AF2039" s="3421"/>
      <c r="AG2039" s="3421"/>
      <c r="AH2039" s="156"/>
      <c r="AI2039" s="156"/>
      <c r="AJ2039" s="156"/>
      <c r="AK2039" s="156"/>
      <c r="AL2039" s="156"/>
      <c r="AM2039" s="156"/>
      <c r="AN2039" s="156"/>
      <c r="AO2039" s="156"/>
      <c r="AP2039" s="156"/>
      <c r="AQ2039" s="156"/>
      <c r="AR2039" s="156"/>
      <c r="AS2039" s="156"/>
      <c r="AT2039" s="156"/>
      <c r="AU2039" s="156"/>
      <c r="AV2039" s="156"/>
      <c r="AW2039" s="156"/>
      <c r="AX2039" s="156"/>
      <c r="AY2039" s="156"/>
      <c r="AZ2039" s="156"/>
      <c r="BA2039" s="156"/>
      <c r="BB2039" s="2828"/>
      <c r="BC2039" s="452"/>
      <c r="BD2039" s="2829"/>
      <c r="BE2039" s="2837"/>
      <c r="BF2039" s="156"/>
    </row>
    <row r="2040" spans="1:58" ht="15" customHeight="1" outlineLevel="1" x14ac:dyDescent="0.35">
      <c r="A2040" s="1071"/>
      <c r="B2040" s="2812"/>
      <c r="C2040" s="3077"/>
      <c r="D2040" s="3980"/>
      <c r="E2040" s="3883"/>
      <c r="F2040" s="3984" t="str">
        <f>$E$1734</f>
        <v>ASHP-SEER17_ER1_SF</v>
      </c>
      <c r="G2040" s="3984"/>
      <c r="H2040" s="3984"/>
      <c r="I2040" s="3984"/>
      <c r="J2040" s="3501" t="str">
        <f>$C$1734</f>
        <v>353750_2021_12_</v>
      </c>
      <c r="K2040" s="3047">
        <v>35218.736819625796</v>
      </c>
      <c r="L2040" s="3517">
        <f t="shared" si="362"/>
        <v>2.9348947349688164</v>
      </c>
      <c r="M2040" s="3518" t="s">
        <v>4360</v>
      </c>
      <c r="N2040" s="2804"/>
      <c r="O2040" s="106"/>
      <c r="P2040" s="106"/>
      <c r="Q2040" s="106"/>
      <c r="R2040" s="106"/>
      <c r="S2040" s="106"/>
      <c r="T2040" s="106"/>
      <c r="U2040" s="106"/>
      <c r="V2040" s="3980"/>
      <c r="W2040" s="3421">
        <v>39600</v>
      </c>
      <c r="X2040" s="3421">
        <v>39600</v>
      </c>
      <c r="Y2040" s="3421">
        <v>39600</v>
      </c>
      <c r="Z2040" s="3421">
        <v>39600</v>
      </c>
      <c r="AA2040" s="3421">
        <v>39600</v>
      </c>
      <c r="AB2040" s="3421">
        <v>39600</v>
      </c>
      <c r="AC2040" s="2292">
        <v>35142.857142857138</v>
      </c>
      <c r="AD2040" s="3047">
        <v>35218.736819625796</v>
      </c>
      <c r="AE2040" s="3429"/>
      <c r="AF2040" s="3421"/>
      <c r="AG2040" s="3421"/>
      <c r="AH2040" s="156"/>
      <c r="AI2040" s="156"/>
      <c r="AJ2040" s="156"/>
      <c r="AK2040" s="156"/>
      <c r="AL2040" s="156"/>
      <c r="AM2040" s="156"/>
      <c r="AN2040" s="156"/>
      <c r="AO2040" s="156"/>
      <c r="AP2040" s="156"/>
      <c r="AQ2040" s="156"/>
      <c r="AR2040" s="156"/>
      <c r="AS2040" s="156"/>
      <c r="AT2040" s="156"/>
      <c r="AU2040" s="156"/>
      <c r="AV2040" s="156"/>
      <c r="AW2040" s="156"/>
      <c r="AX2040" s="156"/>
      <c r="AY2040" s="156"/>
      <c r="AZ2040" s="156"/>
      <c r="BA2040" s="156"/>
      <c r="BB2040" s="2828"/>
      <c r="BC2040" s="452"/>
      <c r="BD2040" s="2829"/>
      <c r="BE2040" s="2837"/>
      <c r="BF2040" s="156"/>
    </row>
    <row r="2041" spans="1:58" ht="15" customHeight="1" outlineLevel="1" x14ac:dyDescent="0.35">
      <c r="A2041" s="1071"/>
      <c r="B2041" s="2812"/>
      <c r="C2041" s="3077"/>
      <c r="D2041" s="3980"/>
      <c r="E2041" s="3883"/>
      <c r="F2041" s="3984" t="str">
        <f>$E$1736</f>
        <v>ASHP-SEER17_ER2_SF</v>
      </c>
      <c r="G2041" s="3984"/>
      <c r="H2041" s="3984"/>
      <c r="I2041" s="3984"/>
      <c r="J2041" s="3501" t="str">
        <f>$C$1736</f>
        <v>353750_2021_12_</v>
      </c>
      <c r="K2041" s="3047">
        <v>35218.736819625796</v>
      </c>
      <c r="L2041" s="3517">
        <f t="shared" si="362"/>
        <v>2.9348947349688164</v>
      </c>
      <c r="M2041" s="3518" t="s">
        <v>1083</v>
      </c>
      <c r="N2041" s="2804"/>
      <c r="O2041" s="106"/>
      <c r="P2041" s="106"/>
      <c r="Q2041" s="106"/>
      <c r="R2041" s="106"/>
      <c r="S2041" s="106"/>
      <c r="T2041" s="106"/>
      <c r="U2041" s="106"/>
      <c r="V2041" s="3980"/>
      <c r="W2041" s="3421">
        <v>39600</v>
      </c>
      <c r="X2041" s="3421">
        <v>39600</v>
      </c>
      <c r="Y2041" s="3421">
        <v>39600</v>
      </c>
      <c r="Z2041" s="3421">
        <v>39600</v>
      </c>
      <c r="AA2041" s="3421">
        <v>39600</v>
      </c>
      <c r="AB2041" s="3421">
        <v>39600</v>
      </c>
      <c r="AC2041" s="2292">
        <f>AC2040</f>
        <v>35142.857142857138</v>
      </c>
      <c r="AD2041" s="3047">
        <v>35218.736819625796</v>
      </c>
      <c r="AE2041" s="3429"/>
      <c r="AF2041" s="3421"/>
      <c r="AG2041" s="3421"/>
      <c r="AH2041" s="156"/>
      <c r="AI2041" s="156"/>
      <c r="AJ2041" s="156"/>
      <c r="AK2041" s="156"/>
      <c r="AL2041" s="156"/>
      <c r="AM2041" s="156"/>
      <c r="AN2041" s="156"/>
      <c r="AO2041" s="156"/>
      <c r="AP2041" s="156"/>
      <c r="AQ2041" s="156"/>
      <c r="AR2041" s="156"/>
      <c r="AS2041" s="156"/>
      <c r="AT2041" s="156"/>
      <c r="AU2041" s="156"/>
      <c r="AV2041" s="156"/>
      <c r="AW2041" s="156"/>
      <c r="AX2041" s="156"/>
      <c r="AY2041" s="156"/>
      <c r="AZ2041" s="156"/>
      <c r="BA2041" s="156"/>
      <c r="BB2041" s="2828"/>
      <c r="BC2041" s="452"/>
      <c r="BD2041" s="2829"/>
      <c r="BE2041" s="2837"/>
      <c r="BF2041" s="156"/>
    </row>
    <row r="2042" spans="1:58" ht="15" customHeight="1" outlineLevel="1" x14ac:dyDescent="0.35">
      <c r="A2042" s="1664"/>
      <c r="B2042" s="2812"/>
      <c r="C2042" s="3077"/>
      <c r="D2042" s="3980"/>
      <c r="E2042" s="3883"/>
      <c r="F2042" s="3984" t="str">
        <f>$E$1738</f>
        <v>ASHP-SEER17_ROF_SF</v>
      </c>
      <c r="G2042" s="3984"/>
      <c r="H2042" s="3984"/>
      <c r="I2042" s="3984"/>
      <c r="J2042" s="3501" t="str">
        <f>$C$1738</f>
        <v>353800_2021_12_</v>
      </c>
      <c r="K2042" s="3047">
        <v>35402.476190000001</v>
      </c>
      <c r="L2042" s="3517">
        <f t="shared" ref="L2042" si="363">K2042/12000</f>
        <v>2.9502063491666668</v>
      </c>
      <c r="M2042" s="3518" t="s">
        <v>4360</v>
      </c>
      <c r="N2042" s="2804"/>
      <c r="O2042" s="106"/>
      <c r="P2042" s="106"/>
      <c r="Q2042" s="106"/>
      <c r="R2042" s="106"/>
      <c r="S2042" s="106"/>
      <c r="T2042" s="106"/>
      <c r="U2042" s="106"/>
      <c r="V2042" s="3980"/>
      <c r="W2042" s="3421">
        <v>39600</v>
      </c>
      <c r="X2042" s="3421">
        <v>39600</v>
      </c>
      <c r="Y2042" s="3421">
        <v>39600</v>
      </c>
      <c r="Z2042" s="3421">
        <v>39600</v>
      </c>
      <c r="AA2042" s="3421">
        <v>39600</v>
      </c>
      <c r="AB2042" s="3421">
        <v>39600</v>
      </c>
      <c r="AC2042" s="2292">
        <v>46285.71428571429</v>
      </c>
      <c r="AD2042" s="3047">
        <v>35402.476190000001</v>
      </c>
      <c r="AE2042" s="3429"/>
      <c r="AF2042" s="3421"/>
      <c r="AG2042" s="3421"/>
      <c r="AH2042" s="156"/>
      <c r="AI2042" s="156"/>
      <c r="AJ2042" s="156"/>
      <c r="AK2042" s="156"/>
      <c r="AL2042" s="156"/>
      <c r="AM2042" s="156"/>
      <c r="AN2042" s="156"/>
      <c r="AO2042" s="156"/>
      <c r="AP2042" s="156"/>
      <c r="AQ2042" s="156"/>
      <c r="AR2042" s="156"/>
      <c r="AS2042" s="156"/>
      <c r="AT2042" s="156"/>
      <c r="AU2042" s="156"/>
      <c r="AV2042" s="156"/>
      <c r="AW2042" s="156"/>
      <c r="AX2042" s="156"/>
      <c r="AY2042" s="156"/>
      <c r="AZ2042" s="156"/>
      <c r="BA2042" s="156"/>
      <c r="BB2042" s="2828"/>
      <c r="BC2042" s="452"/>
      <c r="BD2042" s="2829"/>
      <c r="BE2042" s="2837"/>
      <c r="BF2042" s="156"/>
    </row>
    <row r="2043" spans="1:58" ht="15" customHeight="1" outlineLevel="1" x14ac:dyDescent="0.35">
      <c r="A2043" s="1071"/>
      <c r="B2043" s="2812"/>
      <c r="C2043" s="3077"/>
      <c r="D2043" s="3980"/>
      <c r="E2043" s="3883"/>
      <c r="F2043" s="3984" t="str">
        <f>$E$1740</f>
        <v>ASHP-SEER18_ER1_SF</v>
      </c>
      <c r="G2043" s="3984"/>
      <c r="H2043" s="3984"/>
      <c r="I2043" s="3984"/>
      <c r="J2043" s="3501" t="str">
        <f>$C$1740</f>
        <v>353850_2021_12_</v>
      </c>
      <c r="K2043" s="3047">
        <v>36089.906153434065</v>
      </c>
      <c r="L2043" s="3517">
        <f t="shared" si="362"/>
        <v>3.0074921794528389</v>
      </c>
      <c r="M2043" s="3518" t="s">
        <v>4360</v>
      </c>
      <c r="N2043" s="2804"/>
      <c r="O2043" s="106"/>
      <c r="P2043" s="106"/>
      <c r="Q2043" s="106"/>
      <c r="R2043" s="106"/>
      <c r="S2043" s="106"/>
      <c r="T2043" s="106"/>
      <c r="U2043" s="106"/>
      <c r="V2043" s="3980"/>
      <c r="W2043" s="3421">
        <v>39600</v>
      </c>
      <c r="X2043" s="3421">
        <v>39600</v>
      </c>
      <c r="Y2043" s="3421">
        <v>39600</v>
      </c>
      <c r="Z2043" s="3421">
        <v>39600</v>
      </c>
      <c r="AA2043" s="3421">
        <v>39600</v>
      </c>
      <c r="AB2043" s="2374">
        <v>42600</v>
      </c>
      <c r="AC2043" s="2292">
        <v>38521.739130434784</v>
      </c>
      <c r="AD2043" s="3047">
        <v>36089.906153434065</v>
      </c>
      <c r="AE2043" s="3429"/>
      <c r="AF2043" s="3421"/>
      <c r="AG2043" s="3421"/>
      <c r="AH2043" s="156"/>
      <c r="AI2043" s="156"/>
      <c r="AJ2043" s="156"/>
      <c r="AK2043" s="156"/>
      <c r="AL2043" s="156"/>
      <c r="AM2043" s="156"/>
      <c r="AN2043" s="156"/>
      <c r="AO2043" s="156"/>
      <c r="AP2043" s="156"/>
      <c r="AQ2043" s="156"/>
      <c r="AR2043" s="156"/>
      <c r="AS2043" s="156"/>
      <c r="AT2043" s="156"/>
      <c r="AU2043" s="156"/>
      <c r="AV2043" s="156"/>
      <c r="AW2043" s="156"/>
      <c r="AX2043" s="156"/>
      <c r="AY2043" s="156"/>
      <c r="AZ2043" s="156"/>
      <c r="BA2043" s="156"/>
      <c r="BB2043" s="2828"/>
      <c r="BC2043" s="452"/>
      <c r="BD2043" s="2829"/>
      <c r="BE2043" s="2837"/>
      <c r="BF2043" s="156"/>
    </row>
    <row r="2044" spans="1:58" ht="15" customHeight="1" outlineLevel="1" x14ac:dyDescent="0.35">
      <c r="A2044" s="1664"/>
      <c r="B2044" s="2812"/>
      <c r="C2044" s="3077"/>
      <c r="D2044" s="3980"/>
      <c r="E2044" s="3883"/>
      <c r="F2044" s="3984" t="str">
        <f>$E$1742</f>
        <v>ASHP-SEER18_ER2_SF</v>
      </c>
      <c r="G2044" s="3984"/>
      <c r="H2044" s="3984"/>
      <c r="I2044" s="3984"/>
      <c r="J2044" s="3501" t="str">
        <f>$C$1742</f>
        <v>353850_2021_12_</v>
      </c>
      <c r="K2044" s="3047">
        <v>36089.906153434065</v>
      </c>
      <c r="L2044" s="3517">
        <f t="shared" si="362"/>
        <v>3.0074921794528389</v>
      </c>
      <c r="M2044" s="3518" t="s">
        <v>4360</v>
      </c>
      <c r="N2044" s="2804"/>
      <c r="O2044" s="106"/>
      <c r="P2044" s="106"/>
      <c r="Q2044" s="106"/>
      <c r="R2044" s="106"/>
      <c r="S2044" s="106"/>
      <c r="T2044" s="106"/>
      <c r="U2044" s="106"/>
      <c r="V2044" s="3980"/>
      <c r="W2044" s="3421">
        <v>39600</v>
      </c>
      <c r="X2044" s="3421">
        <v>39600</v>
      </c>
      <c r="Y2044" s="3421">
        <v>39600</v>
      </c>
      <c r="Z2044" s="3421">
        <v>39600</v>
      </c>
      <c r="AA2044" s="3421">
        <v>39600</v>
      </c>
      <c r="AB2044" s="2374">
        <v>42600</v>
      </c>
      <c r="AC2044" s="2292">
        <f>AC2043</f>
        <v>38521.739130434784</v>
      </c>
      <c r="AD2044" s="3047">
        <v>36089.906153434065</v>
      </c>
      <c r="AE2044" s="3429"/>
      <c r="AF2044" s="3421"/>
      <c r="AG2044" s="3421"/>
      <c r="AH2044" s="156"/>
      <c r="AI2044" s="156"/>
      <c r="AJ2044" s="156"/>
      <c r="AK2044" s="156"/>
      <c r="AL2044" s="156"/>
      <c r="AM2044" s="156"/>
      <c r="AN2044" s="156"/>
      <c r="AO2044" s="156"/>
      <c r="AP2044" s="156"/>
      <c r="AQ2044" s="156"/>
      <c r="AR2044" s="156"/>
      <c r="AS2044" s="156"/>
      <c r="AT2044" s="156"/>
      <c r="AU2044" s="156"/>
      <c r="AV2044" s="156"/>
      <c r="AW2044" s="156"/>
      <c r="AX2044" s="156"/>
      <c r="AY2044" s="156"/>
      <c r="AZ2044" s="156"/>
      <c r="BA2044" s="156"/>
      <c r="BB2044" s="2828"/>
      <c r="BC2044" s="452"/>
      <c r="BD2044" s="2829"/>
      <c r="BE2044" s="2837"/>
      <c r="BF2044" s="156"/>
    </row>
    <row r="2045" spans="1:58" ht="15" customHeight="1" outlineLevel="1" x14ac:dyDescent="0.35">
      <c r="A2045" s="1071"/>
      <c r="B2045" s="2812"/>
      <c r="C2045" s="3077"/>
      <c r="D2045" s="3980"/>
      <c r="E2045" s="3883"/>
      <c r="F2045" s="3984" t="str">
        <f>$E$1744</f>
        <v>ASHP-SEER18_ROF_SF</v>
      </c>
      <c r="G2045" s="3984"/>
      <c r="H2045" s="3984"/>
      <c r="I2045" s="3984"/>
      <c r="J2045" s="3501" t="str">
        <f>$C$1744</f>
        <v>353950_2021_12_</v>
      </c>
      <c r="K2045" s="3047">
        <v>37478.667573056096</v>
      </c>
      <c r="L2045" s="3517">
        <f t="shared" si="362"/>
        <v>3.1232222977546749</v>
      </c>
      <c r="M2045" s="3518" t="s">
        <v>4360</v>
      </c>
      <c r="N2045" s="2804"/>
      <c r="O2045" s="106"/>
      <c r="P2045" s="106"/>
      <c r="Q2045" s="106"/>
      <c r="R2045" s="106"/>
      <c r="S2045" s="106"/>
      <c r="T2045" s="106"/>
      <c r="U2045" s="106"/>
      <c r="V2045" s="3980"/>
      <c r="W2045" s="3421">
        <v>39600</v>
      </c>
      <c r="X2045" s="3421">
        <v>39600</v>
      </c>
      <c r="Y2045" s="3421">
        <v>39600</v>
      </c>
      <c r="Z2045" s="3421">
        <v>39600</v>
      </c>
      <c r="AA2045" s="3421">
        <v>39600</v>
      </c>
      <c r="AB2045" s="3421">
        <v>39600</v>
      </c>
      <c r="AC2045" s="2292">
        <v>41250</v>
      </c>
      <c r="AD2045" s="3047">
        <v>37478.667573056096</v>
      </c>
      <c r="AE2045" s="3429"/>
      <c r="AF2045" s="3421"/>
      <c r="AG2045" s="3421"/>
      <c r="AH2045" s="156"/>
      <c r="AI2045" s="156"/>
      <c r="AJ2045" s="156"/>
      <c r="AK2045" s="156"/>
      <c r="AL2045" s="156"/>
      <c r="AM2045" s="156"/>
      <c r="AN2045" s="156"/>
      <c r="AO2045" s="156"/>
      <c r="AP2045" s="156"/>
      <c r="AQ2045" s="156"/>
      <c r="AR2045" s="156"/>
      <c r="AS2045" s="156"/>
      <c r="AT2045" s="156"/>
      <c r="AU2045" s="156"/>
      <c r="AV2045" s="156"/>
      <c r="AW2045" s="156"/>
      <c r="AX2045" s="156"/>
      <c r="AY2045" s="156"/>
      <c r="AZ2045" s="156"/>
      <c r="BA2045" s="156"/>
      <c r="BB2045" s="2828"/>
      <c r="BC2045" s="452"/>
      <c r="BD2045" s="2829"/>
      <c r="BE2045" s="2837"/>
      <c r="BF2045" s="156"/>
    </row>
    <row r="2046" spans="1:58" ht="15" customHeight="1" outlineLevel="1" x14ac:dyDescent="0.35">
      <c r="A2046" s="1664"/>
      <c r="B2046" s="2812"/>
      <c r="C2046" s="3077"/>
      <c r="D2046" s="3980"/>
      <c r="E2046" s="3883"/>
      <c r="F2046" s="3984" t="str">
        <f>$E$1746</f>
        <v>ASHP-SEER19_ER1_SF</v>
      </c>
      <c r="G2046" s="3984"/>
      <c r="H2046" s="3984"/>
      <c r="I2046" s="3984"/>
      <c r="J2046" s="3501" t="str">
        <f>$C$1746</f>
        <v>354000_2021_12_</v>
      </c>
      <c r="K2046" s="3047">
        <v>45277.450979411769</v>
      </c>
      <c r="L2046" s="3517">
        <f t="shared" si="362"/>
        <v>3.7731209149509808</v>
      </c>
      <c r="M2046" s="3518" t="s">
        <v>4360</v>
      </c>
      <c r="N2046" s="2804"/>
      <c r="O2046" s="106"/>
      <c r="P2046" s="106"/>
      <c r="Q2046" s="106"/>
      <c r="R2046" s="106"/>
      <c r="S2046" s="106"/>
      <c r="T2046" s="106"/>
      <c r="U2046" s="106"/>
      <c r="V2046" s="3980"/>
      <c r="W2046" s="3421">
        <v>39600</v>
      </c>
      <c r="X2046" s="3421">
        <v>39600</v>
      </c>
      <c r="Y2046" s="3421">
        <v>39600</v>
      </c>
      <c r="Z2046" s="3421">
        <v>39600</v>
      </c>
      <c r="AA2046" s="3421">
        <v>39600</v>
      </c>
      <c r="AB2046" s="3421">
        <v>39600</v>
      </c>
      <c r="AC2046" s="2292">
        <v>48000</v>
      </c>
      <c r="AD2046" s="3047">
        <v>45277.450979411769</v>
      </c>
      <c r="AE2046" s="3429"/>
      <c r="AF2046" s="3421"/>
      <c r="AG2046" s="3421"/>
      <c r="AH2046" s="156"/>
      <c r="AI2046" s="156"/>
      <c r="AJ2046" s="156"/>
      <c r="AK2046" s="156"/>
      <c r="AL2046" s="156"/>
      <c r="AM2046" s="156"/>
      <c r="AN2046" s="156"/>
      <c r="AO2046" s="156"/>
      <c r="AP2046" s="156"/>
      <c r="AQ2046" s="156"/>
      <c r="AR2046" s="156"/>
      <c r="AS2046" s="156"/>
      <c r="AT2046" s="156"/>
      <c r="AU2046" s="156"/>
      <c r="AV2046" s="156"/>
      <c r="AW2046" s="156"/>
      <c r="AX2046" s="156"/>
      <c r="AY2046" s="156"/>
      <c r="AZ2046" s="156"/>
      <c r="BA2046" s="156"/>
      <c r="BB2046" s="2828"/>
      <c r="BC2046" s="452"/>
      <c r="BD2046" s="2829"/>
      <c r="BE2046" s="2837"/>
      <c r="BF2046" s="156"/>
    </row>
    <row r="2047" spans="1:58" ht="15" customHeight="1" outlineLevel="1" x14ac:dyDescent="0.35">
      <c r="A2047" s="1664"/>
      <c r="B2047" s="2812"/>
      <c r="C2047" s="3077"/>
      <c r="D2047" s="3980"/>
      <c r="E2047" s="3883"/>
      <c r="F2047" s="3984" t="str">
        <f>$E$1748</f>
        <v>ASHP-SEER19_ER2_SF</v>
      </c>
      <c r="G2047" s="3984"/>
      <c r="H2047" s="3984"/>
      <c r="I2047" s="3984"/>
      <c r="J2047" s="3501" t="str">
        <f>$C$1748</f>
        <v>354000_2021_12_</v>
      </c>
      <c r="K2047" s="3047">
        <v>45277.450979411769</v>
      </c>
      <c r="L2047" s="3517">
        <f t="shared" si="362"/>
        <v>3.7731209149509808</v>
      </c>
      <c r="M2047" s="3518" t="s">
        <v>4360</v>
      </c>
      <c r="N2047" s="2804"/>
      <c r="O2047" s="106"/>
      <c r="P2047" s="106"/>
      <c r="Q2047" s="106"/>
      <c r="R2047" s="106"/>
      <c r="S2047" s="106"/>
      <c r="T2047" s="106"/>
      <c r="U2047" s="106"/>
      <c r="V2047" s="3980"/>
      <c r="W2047" s="3421">
        <v>39600</v>
      </c>
      <c r="X2047" s="3421">
        <v>39600</v>
      </c>
      <c r="Y2047" s="3421">
        <v>39600</v>
      </c>
      <c r="Z2047" s="3421">
        <v>39600</v>
      </c>
      <c r="AA2047" s="3421">
        <v>39600</v>
      </c>
      <c r="AB2047" s="3421">
        <v>39600</v>
      </c>
      <c r="AC2047" s="2292">
        <f>AC2046</f>
        <v>48000</v>
      </c>
      <c r="AD2047" s="3047">
        <v>45277.450979411769</v>
      </c>
      <c r="AE2047" s="3429"/>
      <c r="AF2047" s="3421"/>
      <c r="AG2047" s="3421"/>
      <c r="AH2047" s="156"/>
      <c r="AI2047" s="156"/>
      <c r="AJ2047" s="156"/>
      <c r="AK2047" s="156"/>
      <c r="AL2047" s="156"/>
      <c r="AM2047" s="156"/>
      <c r="AN2047" s="156"/>
      <c r="AO2047" s="156"/>
      <c r="AP2047" s="156"/>
      <c r="AQ2047" s="156"/>
      <c r="AR2047" s="156"/>
      <c r="AS2047" s="156"/>
      <c r="AT2047" s="156"/>
      <c r="AU2047" s="156"/>
      <c r="AV2047" s="156"/>
      <c r="AW2047" s="156"/>
      <c r="AX2047" s="156"/>
      <c r="AY2047" s="156"/>
      <c r="AZ2047" s="156"/>
      <c r="BA2047" s="156"/>
      <c r="BB2047" s="2828"/>
      <c r="BC2047" s="452"/>
      <c r="BD2047" s="2829"/>
      <c r="BE2047" s="2837"/>
      <c r="BF2047" s="156"/>
    </row>
    <row r="2048" spans="1:58" ht="15" customHeight="1" outlineLevel="1" x14ac:dyDescent="0.35">
      <c r="A2048" s="1071"/>
      <c r="B2048" s="2812"/>
      <c r="C2048" s="3077"/>
      <c r="D2048" s="3980"/>
      <c r="E2048" s="3883"/>
      <c r="F2048" s="3984" t="str">
        <f>$E$1750</f>
        <v>ASHP-SEER19_ROF_SF</v>
      </c>
      <c r="G2048" s="3984"/>
      <c r="H2048" s="3984"/>
      <c r="I2048" s="3984"/>
      <c r="J2048" s="3501" t="str">
        <f>$C$1750</f>
        <v>354050_2021_12_</v>
      </c>
      <c r="K2048" s="3047">
        <v>35904.395607692306</v>
      </c>
      <c r="L2048" s="3517">
        <f t="shared" si="362"/>
        <v>2.9920329673076922</v>
      </c>
      <c r="M2048" s="3518" t="s">
        <v>4360</v>
      </c>
      <c r="N2048" s="2804"/>
      <c r="O2048" s="106"/>
      <c r="P2048" s="106"/>
      <c r="Q2048" s="106"/>
      <c r="R2048" s="106"/>
      <c r="S2048" s="106"/>
      <c r="T2048" s="106"/>
      <c r="U2048" s="106"/>
      <c r="V2048" s="3980"/>
      <c r="W2048" s="3421">
        <v>39600</v>
      </c>
      <c r="X2048" s="3421">
        <v>39600</v>
      </c>
      <c r="Y2048" s="3421">
        <v>39600</v>
      </c>
      <c r="Z2048" s="3421">
        <v>39600</v>
      </c>
      <c r="AA2048" s="3421">
        <v>39600</v>
      </c>
      <c r="AB2048" s="3421">
        <v>39600</v>
      </c>
      <c r="AC2048" s="2292">
        <v>26133.333333333332</v>
      </c>
      <c r="AD2048" s="3047">
        <v>35904.395607692306</v>
      </c>
      <c r="AE2048" s="3429"/>
      <c r="AF2048" s="3421"/>
      <c r="AG2048" s="3421"/>
      <c r="AH2048" s="156"/>
      <c r="AI2048" s="156"/>
      <c r="AJ2048" s="156"/>
      <c r="AK2048" s="156"/>
      <c r="AL2048" s="156"/>
      <c r="AM2048" s="156"/>
      <c r="AN2048" s="156"/>
      <c r="AO2048" s="156"/>
      <c r="AP2048" s="156"/>
      <c r="AQ2048" s="156"/>
      <c r="AR2048" s="156"/>
      <c r="AS2048" s="156"/>
      <c r="AT2048" s="156"/>
      <c r="AU2048" s="156"/>
      <c r="AV2048" s="156"/>
      <c r="AW2048" s="156"/>
      <c r="AX2048" s="156"/>
      <c r="AY2048" s="156"/>
      <c r="AZ2048" s="156"/>
      <c r="BA2048" s="156"/>
      <c r="BB2048" s="2828"/>
      <c r="BC2048" s="452"/>
      <c r="BD2048" s="2829"/>
      <c r="BE2048" s="2837"/>
      <c r="BF2048" s="156"/>
    </row>
    <row r="2049" spans="1:58" ht="15" customHeight="1" outlineLevel="1" x14ac:dyDescent="0.35">
      <c r="A2049" s="1071"/>
      <c r="B2049" s="2812"/>
      <c r="C2049" s="3077"/>
      <c r="D2049" s="3980"/>
      <c r="E2049" s="3883"/>
      <c r="F2049" s="3984" t="str">
        <f>$E$1752</f>
        <v>ASHP-SEER17-Replace_CAC_ElectricHeat_ER1_SF</v>
      </c>
      <c r="G2049" s="3984"/>
      <c r="H2049" s="3984"/>
      <c r="I2049" s="3984"/>
      <c r="J2049" s="3501" t="str">
        <f>$C$1752</f>
        <v>354100_2021_12_</v>
      </c>
      <c r="K2049" s="3047">
        <v>35218.736819625796</v>
      </c>
      <c r="L2049" s="3517">
        <f t="shared" si="362"/>
        <v>2.9348947349688164</v>
      </c>
      <c r="M2049" s="3518" t="s">
        <v>4360</v>
      </c>
      <c r="N2049" s="2804"/>
      <c r="O2049" s="106"/>
      <c r="P2049" s="106"/>
      <c r="Q2049" s="106"/>
      <c r="R2049" s="106"/>
      <c r="S2049" s="106"/>
      <c r="T2049" s="106"/>
      <c r="U2049" s="106"/>
      <c r="V2049" s="3980"/>
      <c r="W2049" s="3421">
        <v>37200</v>
      </c>
      <c r="X2049" s="3421">
        <v>37200</v>
      </c>
      <c r="Y2049" s="3421">
        <v>37200</v>
      </c>
      <c r="Z2049" s="3421">
        <v>37200</v>
      </c>
      <c r="AA2049" s="3421">
        <v>37200</v>
      </c>
      <c r="AB2049" s="3421">
        <v>37200</v>
      </c>
      <c r="AC2049" s="2292">
        <v>34090.909090909088</v>
      </c>
      <c r="AD2049" s="3047">
        <v>35218.736819625796</v>
      </c>
      <c r="AE2049" s="3429"/>
      <c r="AF2049" s="3421"/>
      <c r="AG2049" s="3421"/>
      <c r="AH2049" s="156"/>
      <c r="AI2049" s="156"/>
      <c r="AJ2049" s="156"/>
      <c r="AK2049" s="156"/>
      <c r="AL2049" s="156"/>
      <c r="AM2049" s="156"/>
      <c r="AN2049" s="156"/>
      <c r="AO2049" s="156"/>
      <c r="AP2049" s="156"/>
      <c r="AQ2049" s="156"/>
      <c r="AR2049" s="156"/>
      <c r="AS2049" s="156"/>
      <c r="AT2049" s="156"/>
      <c r="AU2049" s="156"/>
      <c r="AV2049" s="156"/>
      <c r="AW2049" s="156"/>
      <c r="AX2049" s="156"/>
      <c r="AY2049" s="156"/>
      <c r="AZ2049" s="156"/>
      <c r="BA2049" s="156"/>
      <c r="BB2049" s="2828"/>
      <c r="BC2049" s="452"/>
      <c r="BD2049" s="2829"/>
      <c r="BE2049" s="2837"/>
      <c r="BF2049" s="156"/>
    </row>
    <row r="2050" spans="1:58" ht="15" customHeight="1" outlineLevel="1" x14ac:dyDescent="0.35">
      <c r="A2050" s="1071"/>
      <c r="B2050" s="2812"/>
      <c r="C2050" s="3077"/>
      <c r="D2050" s="3980"/>
      <c r="E2050" s="3883"/>
      <c r="F2050" s="3984" t="str">
        <f>$E$1754</f>
        <v>ASHP-SEER17-Replace_CAC_ElectricHeat_ER2_SF</v>
      </c>
      <c r="G2050" s="3984"/>
      <c r="H2050" s="3984"/>
      <c r="I2050" s="3984"/>
      <c r="J2050" s="3501" t="str">
        <f>$C$1754</f>
        <v>354100_2021_12_</v>
      </c>
      <c r="K2050" s="3047">
        <v>35218.736819625796</v>
      </c>
      <c r="L2050" s="3517">
        <f t="shared" si="362"/>
        <v>2.9348947349688164</v>
      </c>
      <c r="M2050" s="3518" t="s">
        <v>4360</v>
      </c>
      <c r="N2050" s="2804"/>
      <c r="O2050" s="106"/>
      <c r="P2050" s="106"/>
      <c r="Q2050" s="106"/>
      <c r="R2050" s="106"/>
      <c r="S2050" s="106"/>
      <c r="T2050" s="106"/>
      <c r="U2050" s="106"/>
      <c r="V2050" s="3980"/>
      <c r="W2050" s="3421">
        <v>37200</v>
      </c>
      <c r="X2050" s="3421">
        <v>37200</v>
      </c>
      <c r="Y2050" s="3421">
        <v>37200</v>
      </c>
      <c r="Z2050" s="3421">
        <v>37200</v>
      </c>
      <c r="AA2050" s="3421">
        <v>37200</v>
      </c>
      <c r="AB2050" s="3421">
        <v>37200</v>
      </c>
      <c r="AC2050" s="2292">
        <v>34090.909090909088</v>
      </c>
      <c r="AD2050" s="3047">
        <v>35218.736819625796</v>
      </c>
      <c r="AE2050" s="3429"/>
      <c r="AF2050" s="3421"/>
      <c r="AG2050" s="3421"/>
      <c r="AH2050" s="156"/>
      <c r="AI2050" s="156"/>
      <c r="AJ2050" s="156"/>
      <c r="AK2050" s="156"/>
      <c r="AL2050" s="156"/>
      <c r="AM2050" s="156"/>
      <c r="AN2050" s="156"/>
      <c r="AO2050" s="156"/>
      <c r="AP2050" s="156"/>
      <c r="AQ2050" s="156"/>
      <c r="AR2050" s="156"/>
      <c r="AS2050" s="156"/>
      <c r="AT2050" s="156"/>
      <c r="AU2050" s="156"/>
      <c r="AV2050" s="156"/>
      <c r="AW2050" s="156"/>
      <c r="AX2050" s="156"/>
      <c r="AY2050" s="156"/>
      <c r="AZ2050" s="156"/>
      <c r="BA2050" s="156"/>
      <c r="BB2050" s="2828"/>
      <c r="BC2050" s="452"/>
      <c r="BD2050" s="2829"/>
      <c r="BE2050" s="2837"/>
      <c r="BF2050" s="156"/>
    </row>
    <row r="2051" spans="1:58" ht="15" customHeight="1" outlineLevel="1" x14ac:dyDescent="0.35">
      <c r="A2051" s="1071"/>
      <c r="B2051" s="2812"/>
      <c r="C2051" s="3077"/>
      <c r="D2051" s="3980"/>
      <c r="E2051" s="3883"/>
      <c r="F2051" s="3984" t="str">
        <f>$E$1756</f>
        <v>ASHP-SEER17-Replace_CAC_NonElectricHeat_ER1_SF</v>
      </c>
      <c r="G2051" s="3984"/>
      <c r="H2051" s="3984"/>
      <c r="I2051" s="3984"/>
      <c r="J2051" s="3501" t="str">
        <f>$C$1756</f>
        <v>354110_2021_12_</v>
      </c>
      <c r="K2051" s="3047">
        <v>35218.736819625796</v>
      </c>
      <c r="L2051" s="3517">
        <f t="shared" si="362"/>
        <v>2.9348947349688164</v>
      </c>
      <c r="M2051" s="3520" t="s">
        <v>1083</v>
      </c>
      <c r="N2051" s="2804"/>
      <c r="O2051" s="106"/>
      <c r="P2051" s="106"/>
      <c r="Q2051" s="106"/>
      <c r="R2051" s="106"/>
      <c r="S2051" s="106"/>
      <c r="T2051" s="106"/>
      <c r="U2051" s="106"/>
      <c r="V2051" s="3980"/>
      <c r="W2051" s="3421"/>
      <c r="X2051" s="3421"/>
      <c r="Y2051" s="3421"/>
      <c r="Z2051" s="3421"/>
      <c r="AA2051" s="3421"/>
      <c r="AB2051" s="3421"/>
      <c r="AC2051" s="2292">
        <v>34090.909090909088</v>
      </c>
      <c r="AD2051" s="3047">
        <v>35218.736819625796</v>
      </c>
      <c r="AE2051" s="3429"/>
      <c r="AF2051" s="3421"/>
      <c r="AG2051" s="3421"/>
      <c r="AH2051" s="156"/>
      <c r="AI2051" s="156"/>
      <c r="AJ2051" s="156"/>
      <c r="AK2051" s="156"/>
      <c r="AL2051" s="156"/>
      <c r="AM2051" s="156"/>
      <c r="AN2051" s="156"/>
      <c r="AO2051" s="156"/>
      <c r="AP2051" s="156"/>
      <c r="AQ2051" s="156"/>
      <c r="AR2051" s="156"/>
      <c r="AS2051" s="156"/>
      <c r="AT2051" s="156"/>
      <c r="AU2051" s="156"/>
      <c r="AV2051" s="156"/>
      <c r="AW2051" s="156"/>
      <c r="AX2051" s="156"/>
      <c r="AY2051" s="156"/>
      <c r="AZ2051" s="156"/>
      <c r="BA2051" s="156"/>
      <c r="BB2051" s="2828"/>
      <c r="BC2051" s="452"/>
      <c r="BD2051" s="2829"/>
      <c r="BE2051" s="2837"/>
      <c r="BF2051" s="156"/>
    </row>
    <row r="2052" spans="1:58" ht="15" customHeight="1" outlineLevel="1" x14ac:dyDescent="0.35">
      <c r="A2052" s="1071"/>
      <c r="B2052" s="2812"/>
      <c r="C2052" s="3077"/>
      <c r="D2052" s="3980"/>
      <c r="E2052" s="3883"/>
      <c r="F2052" s="3984" t="str">
        <f>$E$1758</f>
        <v>ASHP-SEER17-Replace_CAC_NonElectricHeat_ER2_SF</v>
      </c>
      <c r="G2052" s="3984"/>
      <c r="H2052" s="3984"/>
      <c r="I2052" s="3984"/>
      <c r="J2052" s="3501" t="str">
        <f>$C$1758</f>
        <v>354110_2021_12_</v>
      </c>
      <c r="K2052" s="3047">
        <v>35218.736819625796</v>
      </c>
      <c r="L2052" s="3517">
        <f t="shared" si="362"/>
        <v>2.9348947349688164</v>
      </c>
      <c r="M2052" s="3520" t="s">
        <v>1083</v>
      </c>
      <c r="N2052" s="2804"/>
      <c r="O2052" s="106"/>
      <c r="P2052" s="106"/>
      <c r="Q2052" s="106"/>
      <c r="R2052" s="106"/>
      <c r="S2052" s="106"/>
      <c r="T2052" s="106"/>
      <c r="U2052" s="106"/>
      <c r="V2052" s="3980"/>
      <c r="W2052" s="3421"/>
      <c r="X2052" s="3421"/>
      <c r="Y2052" s="3421"/>
      <c r="Z2052" s="3421"/>
      <c r="AA2052" s="3421"/>
      <c r="AB2052" s="3421"/>
      <c r="AC2052" s="2292">
        <v>34090.909090909088</v>
      </c>
      <c r="AD2052" s="3047">
        <v>35218.736819625796</v>
      </c>
      <c r="AE2052" s="3429"/>
      <c r="AF2052" s="3421"/>
      <c r="AG2052" s="3421"/>
      <c r="AH2052" s="156"/>
      <c r="AI2052" s="156"/>
      <c r="AJ2052" s="156"/>
      <c r="AK2052" s="156"/>
      <c r="AL2052" s="156"/>
      <c r="AM2052" s="156"/>
      <c r="AN2052" s="156"/>
      <c r="AO2052" s="156"/>
      <c r="AP2052" s="156"/>
      <c r="AQ2052" s="156"/>
      <c r="AR2052" s="156"/>
      <c r="AS2052" s="156"/>
      <c r="AT2052" s="156"/>
      <c r="AU2052" s="156"/>
      <c r="AV2052" s="156"/>
      <c r="AW2052" s="156"/>
      <c r="AX2052" s="156"/>
      <c r="AY2052" s="156"/>
      <c r="AZ2052" s="156"/>
      <c r="BA2052" s="156"/>
      <c r="BB2052" s="2828"/>
      <c r="BC2052" s="452"/>
      <c r="BD2052" s="2829"/>
      <c r="BE2052" s="2837"/>
      <c r="BF2052" s="156"/>
    </row>
    <row r="2053" spans="1:58" ht="15" customHeight="1" outlineLevel="1" x14ac:dyDescent="0.35">
      <c r="A2053" s="1071"/>
      <c r="B2053" s="2812"/>
      <c r="C2053" s="3077"/>
      <c r="D2053" s="3980"/>
      <c r="E2053" s="3883"/>
      <c r="F2053" s="3984" t="str">
        <f>$E$1760</f>
        <v>ASHP-SEER17-Replace_CAC_ElectricHeat_ER1_MF</v>
      </c>
      <c r="G2053" s="3984"/>
      <c r="H2053" s="3984"/>
      <c r="I2053" s="3984"/>
      <c r="J2053" s="3501" t="str">
        <f>$C$1760</f>
        <v>354150_2019_12_</v>
      </c>
      <c r="K2053" s="3048">
        <v>37200</v>
      </c>
      <c r="L2053" s="3521">
        <f t="shared" si="362"/>
        <v>3.1</v>
      </c>
      <c r="M2053" s="3520"/>
      <c r="N2053" s="2804"/>
      <c r="O2053" s="106"/>
      <c r="P2053" s="702"/>
      <c r="Q2053" s="574"/>
      <c r="R2053" s="702"/>
      <c r="S2053" s="106"/>
      <c r="T2053" s="486"/>
      <c r="U2053" s="106"/>
      <c r="V2053" s="3980"/>
      <c r="W2053" s="3421">
        <v>37200</v>
      </c>
      <c r="X2053" s="3421">
        <v>37200</v>
      </c>
      <c r="Y2053" s="3421">
        <v>37200</v>
      </c>
      <c r="Z2053" s="3421">
        <v>37200</v>
      </c>
      <c r="AA2053" s="3421">
        <v>37200</v>
      </c>
      <c r="AB2053" s="3421">
        <v>37200</v>
      </c>
      <c r="AC2053" s="3557">
        <v>37200</v>
      </c>
      <c r="AD2053" s="3558">
        <v>37200</v>
      </c>
      <c r="AE2053" s="3429"/>
      <c r="AF2053" s="3421"/>
      <c r="AG2053" s="3421"/>
      <c r="AH2053" s="156"/>
      <c r="AI2053" s="156"/>
      <c r="AJ2053" s="156"/>
      <c r="AK2053" s="156"/>
      <c r="AL2053" s="156"/>
      <c r="AM2053" s="156"/>
      <c r="AN2053" s="156"/>
      <c r="AO2053" s="156"/>
      <c r="AP2053" s="156"/>
      <c r="AQ2053" s="156"/>
      <c r="AR2053" s="156"/>
      <c r="AS2053" s="156"/>
      <c r="AT2053" s="156"/>
      <c r="AU2053" s="156"/>
      <c r="AV2053" s="156"/>
      <c r="AW2053" s="156"/>
      <c r="AX2053" s="156"/>
      <c r="AY2053" s="156"/>
      <c r="AZ2053" s="156"/>
      <c r="BA2053" s="156"/>
      <c r="BB2053" s="2828"/>
      <c r="BC2053" s="452"/>
      <c r="BD2053" s="2829"/>
      <c r="BE2053" s="2837"/>
      <c r="BF2053" s="156"/>
    </row>
    <row r="2054" spans="1:58" ht="15" customHeight="1" outlineLevel="1" x14ac:dyDescent="0.35">
      <c r="A2054" s="1071"/>
      <c r="B2054" s="2812"/>
      <c r="C2054" s="3077"/>
      <c r="D2054" s="3980"/>
      <c r="E2054" s="3883"/>
      <c r="F2054" s="3984" t="str">
        <f>$E$1762</f>
        <v>ASHP-SEER17-Replace_CAC_ElectricHeat_ER2_MF</v>
      </c>
      <c r="G2054" s="3984"/>
      <c r="H2054" s="3984"/>
      <c r="I2054" s="3984"/>
      <c r="J2054" s="3501" t="str">
        <f>$C$1762</f>
        <v>354150_2019_12_</v>
      </c>
      <c r="K2054" s="3048">
        <v>37200</v>
      </c>
      <c r="L2054" s="3521">
        <f t="shared" si="362"/>
        <v>3.1</v>
      </c>
      <c r="M2054" s="3520"/>
      <c r="N2054" s="2804"/>
      <c r="O2054" s="106"/>
      <c r="P2054" s="106"/>
      <c r="Q2054" s="106"/>
      <c r="R2054" s="106"/>
      <c r="S2054" s="106"/>
      <c r="T2054" s="106"/>
      <c r="U2054" s="106"/>
      <c r="V2054" s="3980"/>
      <c r="W2054" s="3421">
        <v>37200</v>
      </c>
      <c r="X2054" s="3421">
        <v>37200</v>
      </c>
      <c r="Y2054" s="3421">
        <v>37200</v>
      </c>
      <c r="Z2054" s="3421">
        <v>37200</v>
      </c>
      <c r="AA2054" s="3421">
        <v>37200</v>
      </c>
      <c r="AB2054" s="3421">
        <v>37200</v>
      </c>
      <c r="AC2054" s="3557">
        <v>37200</v>
      </c>
      <c r="AD2054" s="3558">
        <v>37200</v>
      </c>
      <c r="AE2054" s="3429"/>
      <c r="AF2054" s="3421"/>
      <c r="AG2054" s="3421"/>
      <c r="AH2054" s="156"/>
      <c r="AI2054" s="156"/>
      <c r="AJ2054" s="156"/>
      <c r="AK2054" s="156"/>
      <c r="AL2054" s="156"/>
      <c r="AM2054" s="156"/>
      <c r="AN2054" s="156"/>
      <c r="AO2054" s="156"/>
      <c r="AP2054" s="156"/>
      <c r="AQ2054" s="156"/>
      <c r="AR2054" s="156"/>
      <c r="AS2054" s="156"/>
      <c r="AT2054" s="156"/>
      <c r="AU2054" s="156"/>
      <c r="AV2054" s="156"/>
      <c r="AW2054" s="156"/>
      <c r="AX2054" s="156"/>
      <c r="AY2054" s="156"/>
      <c r="AZ2054" s="156"/>
      <c r="BA2054" s="156"/>
      <c r="BB2054" s="2828"/>
      <c r="BC2054" s="452"/>
      <c r="BD2054" s="2829"/>
      <c r="BE2054" s="2837"/>
      <c r="BF2054" s="156"/>
    </row>
    <row r="2055" spans="1:58" ht="15" customHeight="1" outlineLevel="1" x14ac:dyDescent="0.35">
      <c r="A2055" s="1071"/>
      <c r="B2055" s="2812"/>
      <c r="C2055" s="3077"/>
      <c r="D2055" s="3980"/>
      <c r="E2055" s="3883"/>
      <c r="F2055" s="3984" t="str">
        <f>$E$1764</f>
        <v>ASHP-SEER17-Replace_CAC_ElectricHeat_ER1_MF_CompE</v>
      </c>
      <c r="G2055" s="3984"/>
      <c r="H2055" s="3984"/>
      <c r="I2055" s="3984"/>
      <c r="J2055" s="3501" t="str">
        <f>$C$1764</f>
        <v>354151_2019_12_</v>
      </c>
      <c r="K2055" s="3048">
        <v>37200</v>
      </c>
      <c r="L2055" s="3521">
        <f t="shared" si="362"/>
        <v>3.1</v>
      </c>
      <c r="M2055" s="3520"/>
      <c r="N2055" s="2804"/>
      <c r="O2055" s="106"/>
      <c r="P2055" s="106"/>
      <c r="Q2055" s="106"/>
      <c r="R2055" s="106"/>
      <c r="S2055" s="106"/>
      <c r="T2055" s="106"/>
      <c r="U2055" s="106"/>
      <c r="V2055" s="3980"/>
      <c r="W2055" s="3421"/>
      <c r="X2055" s="3421"/>
      <c r="Y2055" s="2374">
        <v>37200</v>
      </c>
      <c r="Z2055" s="3421">
        <v>37200</v>
      </c>
      <c r="AA2055" s="3421">
        <v>37200</v>
      </c>
      <c r="AB2055" s="3421">
        <v>37200</v>
      </c>
      <c r="AC2055" s="3557">
        <f>AC2053</f>
        <v>37200</v>
      </c>
      <c r="AD2055" s="3558">
        <v>37200</v>
      </c>
      <c r="AE2055" s="3429"/>
      <c r="AF2055" s="3421"/>
      <c r="AG2055" s="3421"/>
      <c r="AH2055" s="156"/>
      <c r="AI2055" s="156"/>
      <c r="AJ2055" s="156"/>
      <c r="AK2055" s="156"/>
      <c r="AL2055" s="156"/>
      <c r="AM2055" s="156"/>
      <c r="AN2055" s="156"/>
      <c r="AO2055" s="156"/>
      <c r="AP2055" s="156"/>
      <c r="AQ2055" s="156"/>
      <c r="AR2055" s="156"/>
      <c r="AS2055" s="156"/>
      <c r="AT2055" s="156"/>
      <c r="AU2055" s="156"/>
      <c r="AV2055" s="156"/>
      <c r="AW2055" s="156"/>
      <c r="AX2055" s="156"/>
      <c r="AY2055" s="156"/>
      <c r="AZ2055" s="156"/>
      <c r="BA2055" s="156"/>
      <c r="BB2055" s="2828"/>
      <c r="BC2055" s="452"/>
      <c r="BD2055" s="2829"/>
      <c r="BE2055" s="2837"/>
      <c r="BF2055" s="156"/>
    </row>
    <row r="2056" spans="1:58" ht="15" customHeight="1" outlineLevel="1" x14ac:dyDescent="0.35">
      <c r="A2056" s="1071"/>
      <c r="B2056" s="2812"/>
      <c r="C2056" s="3077"/>
      <c r="D2056" s="3980"/>
      <c r="E2056" s="3883"/>
      <c r="F2056" s="3984" t="str">
        <f>$E$1766</f>
        <v>ASHP-SEER17-Replace_CAC_ElectricHeat_ER2_MF_CompE</v>
      </c>
      <c r="G2056" s="3984"/>
      <c r="H2056" s="3984"/>
      <c r="I2056" s="3984"/>
      <c r="J2056" s="3501" t="str">
        <f>$C$1766</f>
        <v>354151_2019_12_</v>
      </c>
      <c r="K2056" s="3048">
        <v>37200</v>
      </c>
      <c r="L2056" s="3521">
        <f t="shared" si="362"/>
        <v>3.1</v>
      </c>
      <c r="M2056" s="3520"/>
      <c r="N2056" s="2804"/>
      <c r="O2056" s="106"/>
      <c r="P2056" s="106"/>
      <c r="Q2056" s="106"/>
      <c r="R2056" s="106"/>
      <c r="S2056" s="106"/>
      <c r="T2056" s="106"/>
      <c r="U2056" s="106"/>
      <c r="V2056" s="3980"/>
      <c r="W2056" s="3421"/>
      <c r="X2056" s="3421"/>
      <c r="Y2056" s="2374">
        <v>37200</v>
      </c>
      <c r="Z2056" s="3421">
        <v>37200</v>
      </c>
      <c r="AA2056" s="3421">
        <v>37200</v>
      </c>
      <c r="AB2056" s="3421">
        <v>37200</v>
      </c>
      <c r="AC2056" s="3557">
        <f>AC2054</f>
        <v>37200</v>
      </c>
      <c r="AD2056" s="3558">
        <v>37200</v>
      </c>
      <c r="AE2056" s="3429"/>
      <c r="AF2056" s="3421"/>
      <c r="AG2056" s="3421"/>
      <c r="AH2056" s="156"/>
      <c r="AI2056" s="156"/>
      <c r="AJ2056" s="156"/>
      <c r="AK2056" s="156"/>
      <c r="AL2056" s="156"/>
      <c r="AM2056" s="156"/>
      <c r="AN2056" s="156"/>
      <c r="AO2056" s="156"/>
      <c r="AP2056" s="156"/>
      <c r="AQ2056" s="156"/>
      <c r="AR2056" s="156"/>
      <c r="AS2056" s="156"/>
      <c r="AT2056" s="156"/>
      <c r="AU2056" s="156"/>
      <c r="AV2056" s="156"/>
      <c r="AW2056" s="156"/>
      <c r="AX2056" s="156"/>
      <c r="AY2056" s="156"/>
      <c r="AZ2056" s="156"/>
      <c r="BA2056" s="156"/>
      <c r="BB2056" s="2828"/>
      <c r="BC2056" s="452"/>
      <c r="BD2056" s="2829"/>
      <c r="BE2056" s="2837"/>
      <c r="BF2056" s="156"/>
    </row>
    <row r="2057" spans="1:58" ht="15" customHeight="1" outlineLevel="1" x14ac:dyDescent="0.35">
      <c r="A2057" s="1071"/>
      <c r="B2057" s="2812"/>
      <c r="C2057" s="3077"/>
      <c r="D2057" s="3980"/>
      <c r="E2057" s="3883"/>
      <c r="F2057" s="3984" t="str">
        <f>$E$1768</f>
        <v>ASHP-SEER17-Replace_CAC_NonElectricHeat_ER1_MF</v>
      </c>
      <c r="G2057" s="3984"/>
      <c r="H2057" s="3984"/>
      <c r="I2057" s="3984"/>
      <c r="J2057" s="3501" t="str">
        <f>$C$1768</f>
        <v>354160_2021_12_</v>
      </c>
      <c r="K2057" s="3048">
        <v>37200</v>
      </c>
      <c r="L2057" s="3521">
        <f t="shared" si="362"/>
        <v>3.1</v>
      </c>
      <c r="M2057" s="3520" t="s">
        <v>1083</v>
      </c>
      <c r="N2057" s="2804"/>
      <c r="O2057" s="106"/>
      <c r="P2057" s="106"/>
      <c r="Q2057" s="106"/>
      <c r="R2057" s="106"/>
      <c r="S2057" s="106"/>
      <c r="T2057" s="106"/>
      <c r="U2057" s="106"/>
      <c r="V2057" s="3980"/>
      <c r="W2057" s="3421"/>
      <c r="X2057" s="3421"/>
      <c r="Y2057" s="2374"/>
      <c r="Z2057" s="3421"/>
      <c r="AA2057" s="3421"/>
      <c r="AB2057" s="3421"/>
      <c r="AC2057" s="2292">
        <v>37200</v>
      </c>
      <c r="AD2057" s="3558">
        <v>37200</v>
      </c>
      <c r="AE2057" s="3429"/>
      <c r="AF2057" s="3421"/>
      <c r="AG2057" s="3421"/>
      <c r="AH2057" s="156"/>
      <c r="AI2057" s="156"/>
      <c r="AJ2057" s="156"/>
      <c r="AK2057" s="156"/>
      <c r="AL2057" s="156"/>
      <c r="AM2057" s="156"/>
      <c r="AN2057" s="156"/>
      <c r="AO2057" s="156"/>
      <c r="AP2057" s="156"/>
      <c r="AQ2057" s="156"/>
      <c r="AR2057" s="156"/>
      <c r="AS2057" s="156"/>
      <c r="AT2057" s="156"/>
      <c r="AU2057" s="156"/>
      <c r="AV2057" s="156"/>
      <c r="AW2057" s="156"/>
      <c r="AX2057" s="156"/>
      <c r="AY2057" s="156"/>
      <c r="AZ2057" s="156"/>
      <c r="BA2057" s="156"/>
      <c r="BB2057" s="2828"/>
      <c r="BC2057" s="452"/>
      <c r="BD2057" s="2829"/>
      <c r="BE2057" s="2837"/>
      <c r="BF2057" s="156"/>
    </row>
    <row r="2058" spans="1:58" ht="15" customHeight="1" outlineLevel="1" x14ac:dyDescent="0.35">
      <c r="A2058" s="1071"/>
      <c r="B2058" s="2812"/>
      <c r="C2058" s="3077"/>
      <c r="D2058" s="3980"/>
      <c r="E2058" s="3883"/>
      <c r="F2058" s="3984" t="str">
        <f>$E$1770</f>
        <v>ASHP-SEER17-Replace_CAC_NonElectricHeat_ER2_MF</v>
      </c>
      <c r="G2058" s="3984"/>
      <c r="H2058" s="3984"/>
      <c r="I2058" s="3984"/>
      <c r="J2058" s="3501" t="str">
        <f>$C$1770</f>
        <v>354160_2021_12_</v>
      </c>
      <c r="K2058" s="3048">
        <v>37200</v>
      </c>
      <c r="L2058" s="3521">
        <f t="shared" si="362"/>
        <v>3.1</v>
      </c>
      <c r="M2058" s="3520" t="s">
        <v>1083</v>
      </c>
      <c r="N2058" s="2804"/>
      <c r="O2058" s="106"/>
      <c r="P2058" s="106"/>
      <c r="Q2058" s="106"/>
      <c r="R2058" s="106"/>
      <c r="S2058" s="106"/>
      <c r="T2058" s="106"/>
      <c r="U2058" s="106"/>
      <c r="V2058" s="3980"/>
      <c r="W2058" s="3421"/>
      <c r="X2058" s="3421"/>
      <c r="Y2058" s="2374"/>
      <c r="Z2058" s="3421"/>
      <c r="AA2058" s="3421"/>
      <c r="AB2058" s="3421"/>
      <c r="AC2058" s="2292">
        <v>37200</v>
      </c>
      <c r="AD2058" s="3558">
        <v>37200</v>
      </c>
      <c r="AE2058" s="3429"/>
      <c r="AF2058" s="3421"/>
      <c r="AG2058" s="3421"/>
      <c r="AH2058" s="156"/>
      <c r="AI2058" s="156"/>
      <c r="AJ2058" s="156"/>
      <c r="AK2058" s="156"/>
      <c r="AL2058" s="156"/>
      <c r="AM2058" s="156"/>
      <c r="AN2058" s="156"/>
      <c r="AO2058" s="156"/>
      <c r="AP2058" s="156"/>
      <c r="AQ2058" s="156"/>
      <c r="AR2058" s="156"/>
      <c r="AS2058" s="156"/>
      <c r="AT2058" s="156"/>
      <c r="AU2058" s="156"/>
      <c r="AV2058" s="156"/>
      <c r="AW2058" s="156"/>
      <c r="AX2058" s="156"/>
      <c r="AY2058" s="156"/>
      <c r="AZ2058" s="156"/>
      <c r="BA2058" s="156"/>
      <c r="BB2058" s="2828"/>
      <c r="BC2058" s="452"/>
      <c r="BD2058" s="2829"/>
      <c r="BE2058" s="2837"/>
      <c r="BF2058" s="156"/>
    </row>
    <row r="2059" spans="1:58" ht="15" customHeight="1" outlineLevel="1" x14ac:dyDescent="0.35">
      <c r="A2059" s="1071"/>
      <c r="B2059" s="2812"/>
      <c r="C2059" s="3077"/>
      <c r="D2059" s="3980"/>
      <c r="E2059" s="3883"/>
      <c r="F2059" s="3984" t="str">
        <f>$E$1772</f>
        <v>ASHP-SEER17-Replace_CAC_NonElectricHeat_ER1_MF_CompE</v>
      </c>
      <c r="G2059" s="3984"/>
      <c r="H2059" s="3984"/>
      <c r="I2059" s="3984"/>
      <c r="J2059" s="3501" t="str">
        <f>$C$1772</f>
        <v>354161_2021_12_</v>
      </c>
      <c r="K2059" s="3048">
        <v>37200</v>
      </c>
      <c r="L2059" s="3521">
        <f t="shared" si="362"/>
        <v>3.1</v>
      </c>
      <c r="M2059" s="3520" t="s">
        <v>1083</v>
      </c>
      <c r="N2059" s="2804"/>
      <c r="O2059" s="106"/>
      <c r="P2059" s="106"/>
      <c r="Q2059" s="106"/>
      <c r="R2059" s="106"/>
      <c r="S2059" s="106"/>
      <c r="T2059" s="106"/>
      <c r="U2059" s="106"/>
      <c r="V2059" s="3980"/>
      <c r="W2059" s="3421"/>
      <c r="X2059" s="3421"/>
      <c r="Y2059" s="2374"/>
      <c r="Z2059" s="3421"/>
      <c r="AA2059" s="3421"/>
      <c r="AB2059" s="3421"/>
      <c r="AC2059" s="2292">
        <f>AC2057</f>
        <v>37200</v>
      </c>
      <c r="AD2059" s="3558">
        <v>37200</v>
      </c>
      <c r="AE2059" s="3429"/>
      <c r="AF2059" s="3421"/>
      <c r="AG2059" s="3421"/>
      <c r="AH2059" s="156"/>
      <c r="AI2059" s="156"/>
      <c r="AJ2059" s="156"/>
      <c r="AK2059" s="156"/>
      <c r="AL2059" s="156"/>
      <c r="AM2059" s="156"/>
      <c r="AN2059" s="156"/>
      <c r="AO2059" s="156"/>
      <c r="AP2059" s="156"/>
      <c r="AQ2059" s="156"/>
      <c r="AR2059" s="156"/>
      <c r="AS2059" s="156"/>
      <c r="AT2059" s="156"/>
      <c r="AU2059" s="156"/>
      <c r="AV2059" s="156"/>
      <c r="AW2059" s="156"/>
      <c r="AX2059" s="156"/>
      <c r="AY2059" s="156"/>
      <c r="AZ2059" s="156"/>
      <c r="BA2059" s="156"/>
      <c r="BB2059" s="2828"/>
      <c r="BC2059" s="452"/>
      <c r="BD2059" s="2829"/>
      <c r="BE2059" s="2837"/>
      <c r="BF2059" s="156"/>
    </row>
    <row r="2060" spans="1:58" ht="15" customHeight="1" outlineLevel="1" x14ac:dyDescent="0.35">
      <c r="A2060" s="1071"/>
      <c r="B2060" s="2812"/>
      <c r="C2060" s="3077"/>
      <c r="D2060" s="3980"/>
      <c r="E2060" s="3883"/>
      <c r="F2060" s="3984" t="str">
        <f>$E$1774</f>
        <v>ASHP-SEER17-Replace_CAC_NonElectricHeat_ER2_MF_CompE</v>
      </c>
      <c r="G2060" s="3984"/>
      <c r="H2060" s="3984"/>
      <c r="I2060" s="3984"/>
      <c r="J2060" s="3501" t="str">
        <f>$C$1774</f>
        <v>354161_2021_12_</v>
      </c>
      <c r="K2060" s="3048">
        <v>37200</v>
      </c>
      <c r="L2060" s="3521">
        <f t="shared" si="362"/>
        <v>3.1</v>
      </c>
      <c r="M2060" s="3520" t="s">
        <v>1083</v>
      </c>
      <c r="N2060" s="2804"/>
      <c r="O2060" s="106"/>
      <c r="P2060" s="106"/>
      <c r="Q2060" s="106"/>
      <c r="R2060" s="106"/>
      <c r="S2060" s="106"/>
      <c r="T2060" s="106"/>
      <c r="U2060" s="106"/>
      <c r="V2060" s="3980"/>
      <c r="W2060" s="3421"/>
      <c r="X2060" s="3421"/>
      <c r="Y2060" s="2374"/>
      <c r="Z2060" s="3421"/>
      <c r="AA2060" s="3421"/>
      <c r="AB2060" s="3421"/>
      <c r="AC2060" s="2292">
        <f>AC2058</f>
        <v>37200</v>
      </c>
      <c r="AD2060" s="3558">
        <v>37200</v>
      </c>
      <c r="AE2060" s="3429"/>
      <c r="AF2060" s="3421"/>
      <c r="AG2060" s="3421"/>
      <c r="AH2060" s="156"/>
      <c r="AI2060" s="156"/>
      <c r="AJ2060" s="156"/>
      <c r="AK2060" s="156"/>
      <c r="AL2060" s="156"/>
      <c r="AM2060" s="156"/>
      <c r="AN2060" s="156"/>
      <c r="AO2060" s="156"/>
      <c r="AP2060" s="156"/>
      <c r="AQ2060" s="156"/>
      <c r="AR2060" s="156"/>
      <c r="AS2060" s="156"/>
      <c r="AT2060" s="156"/>
      <c r="AU2060" s="156"/>
      <c r="AV2060" s="156"/>
      <c r="AW2060" s="156"/>
      <c r="AX2060" s="156"/>
      <c r="AY2060" s="156"/>
      <c r="AZ2060" s="156"/>
      <c r="BA2060" s="156"/>
      <c r="BB2060" s="2828"/>
      <c r="BC2060" s="452"/>
      <c r="BD2060" s="2829"/>
      <c r="BE2060" s="2837"/>
      <c r="BF2060" s="156"/>
    </row>
    <row r="2061" spans="1:58" ht="15" customHeight="1" outlineLevel="1" x14ac:dyDescent="0.35">
      <c r="A2061" s="1071"/>
      <c r="B2061" s="2812"/>
      <c r="C2061" s="3077"/>
      <c r="D2061" s="3980"/>
      <c r="E2061" s="3883"/>
      <c r="F2061" s="3984" t="str">
        <f>$E$1776</f>
        <v>ASHP-SEER17_ER1_MF</v>
      </c>
      <c r="G2061" s="3984"/>
      <c r="H2061" s="3984"/>
      <c r="I2061" s="3984"/>
      <c r="J2061" s="3501" t="str">
        <f>$C$1776</f>
        <v>354200_2019_12_</v>
      </c>
      <c r="K2061" s="3048">
        <v>39600</v>
      </c>
      <c r="L2061" s="3521">
        <f t="shared" si="362"/>
        <v>3.3</v>
      </c>
      <c r="M2061" s="3520"/>
      <c r="N2061" s="2804"/>
      <c r="O2061" s="106"/>
      <c r="P2061" s="106"/>
      <c r="Q2061" s="106"/>
      <c r="R2061" s="106"/>
      <c r="S2061" s="106"/>
      <c r="T2061" s="106"/>
      <c r="U2061" s="106"/>
      <c r="V2061" s="3980"/>
      <c r="W2061" s="3421">
        <v>39600</v>
      </c>
      <c r="X2061" s="3421">
        <v>39600</v>
      </c>
      <c r="Y2061" s="3421">
        <v>39600</v>
      </c>
      <c r="Z2061" s="3421">
        <v>39600</v>
      </c>
      <c r="AA2061" s="3421">
        <v>39600</v>
      </c>
      <c r="AB2061" s="3421">
        <v>39600</v>
      </c>
      <c r="AC2061" s="3557">
        <v>39600</v>
      </c>
      <c r="AD2061" s="3558">
        <v>39600</v>
      </c>
      <c r="AE2061" s="3429"/>
      <c r="AF2061" s="3421"/>
      <c r="AG2061" s="3421"/>
      <c r="AH2061" s="156"/>
      <c r="AI2061" s="156"/>
      <c r="AJ2061" s="156"/>
      <c r="AK2061" s="156"/>
      <c r="AL2061" s="156"/>
      <c r="AM2061" s="156"/>
      <c r="AN2061" s="156"/>
      <c r="AO2061" s="156"/>
      <c r="AP2061" s="156"/>
      <c r="AQ2061" s="156"/>
      <c r="AR2061" s="156"/>
      <c r="AS2061" s="156"/>
      <c r="AT2061" s="156"/>
      <c r="AU2061" s="156"/>
      <c r="AV2061" s="156"/>
      <c r="AW2061" s="156"/>
      <c r="AX2061" s="156"/>
      <c r="AY2061" s="156"/>
      <c r="AZ2061" s="156"/>
      <c r="BA2061" s="156"/>
      <c r="BB2061" s="2828"/>
      <c r="BC2061" s="452"/>
      <c r="BD2061" s="2829"/>
      <c r="BE2061" s="2837"/>
      <c r="BF2061" s="156"/>
    </row>
    <row r="2062" spans="1:58" ht="15" customHeight="1" outlineLevel="1" x14ac:dyDescent="0.35">
      <c r="A2062" s="1071"/>
      <c r="B2062" s="2812"/>
      <c r="C2062" s="3077"/>
      <c r="D2062" s="3980"/>
      <c r="E2062" s="3883"/>
      <c r="F2062" s="3984" t="str">
        <f>$E$1778</f>
        <v>ASHP-SEER17_ER2_MF</v>
      </c>
      <c r="G2062" s="3984"/>
      <c r="H2062" s="3984"/>
      <c r="I2062" s="3984"/>
      <c r="J2062" s="3501" t="str">
        <f>$C$1778</f>
        <v>354200_2019_12_</v>
      </c>
      <c r="K2062" s="3048">
        <v>39600</v>
      </c>
      <c r="L2062" s="3521">
        <f t="shared" si="362"/>
        <v>3.3</v>
      </c>
      <c r="M2062" s="3520"/>
      <c r="N2062" s="2804"/>
      <c r="O2062" s="106"/>
      <c r="P2062" s="106"/>
      <c r="Q2062" s="106"/>
      <c r="R2062" s="106"/>
      <c r="S2062" s="106"/>
      <c r="T2062" s="106"/>
      <c r="U2062" s="106"/>
      <c r="V2062" s="3980"/>
      <c r="W2062" s="3421">
        <v>39600</v>
      </c>
      <c r="X2062" s="3421">
        <v>39600</v>
      </c>
      <c r="Y2062" s="3421">
        <v>39600</v>
      </c>
      <c r="Z2062" s="3421">
        <v>39600</v>
      </c>
      <c r="AA2062" s="3421">
        <v>39600</v>
      </c>
      <c r="AB2062" s="3421">
        <v>39600</v>
      </c>
      <c r="AC2062" s="3557">
        <v>39600</v>
      </c>
      <c r="AD2062" s="3558">
        <v>39600</v>
      </c>
      <c r="AE2062" s="3429"/>
      <c r="AF2062" s="3421"/>
      <c r="AG2062" s="3421"/>
      <c r="AH2062" s="156"/>
      <c r="AI2062" s="156"/>
      <c r="AJ2062" s="156"/>
      <c r="AK2062" s="156"/>
      <c r="AL2062" s="156"/>
      <c r="AM2062" s="156"/>
      <c r="AN2062" s="156"/>
      <c r="AO2062" s="156"/>
      <c r="AP2062" s="156"/>
      <c r="AQ2062" s="156"/>
      <c r="AR2062" s="156"/>
      <c r="AS2062" s="156"/>
      <c r="AT2062" s="156"/>
      <c r="AU2062" s="156"/>
      <c r="AV2062" s="156"/>
      <c r="AW2062" s="156"/>
      <c r="AX2062" s="156"/>
      <c r="AY2062" s="156"/>
      <c r="AZ2062" s="156"/>
      <c r="BA2062" s="156"/>
      <c r="BB2062" s="2828"/>
      <c r="BC2062" s="452"/>
      <c r="BD2062" s="2829"/>
      <c r="BE2062" s="2837"/>
      <c r="BF2062" s="156"/>
    </row>
    <row r="2063" spans="1:58" ht="15" customHeight="1" outlineLevel="1" x14ac:dyDescent="0.35">
      <c r="A2063" s="1071"/>
      <c r="B2063" s="2812"/>
      <c r="C2063" s="3077"/>
      <c r="D2063" s="3980"/>
      <c r="E2063" s="3883"/>
      <c r="F2063" s="3984" t="str">
        <f>$E$1780</f>
        <v>ASHP-SEER17_ER1_MF_CompE</v>
      </c>
      <c r="G2063" s="3984"/>
      <c r="H2063" s="3984"/>
      <c r="I2063" s="3984"/>
      <c r="J2063" s="3501" t="str">
        <f>$C$1780</f>
        <v>354201_2019_12_</v>
      </c>
      <c r="K2063" s="3048">
        <v>39600</v>
      </c>
      <c r="L2063" s="3521">
        <f t="shared" si="362"/>
        <v>3.3</v>
      </c>
      <c r="M2063" s="3520"/>
      <c r="N2063" s="2804"/>
      <c r="O2063" s="106"/>
      <c r="P2063" s="106"/>
      <c r="Q2063" s="106"/>
      <c r="R2063" s="106"/>
      <c r="S2063" s="106"/>
      <c r="T2063" s="106"/>
      <c r="U2063" s="106"/>
      <c r="V2063" s="3980"/>
      <c r="W2063" s="3421"/>
      <c r="X2063" s="3421"/>
      <c r="Y2063" s="2374">
        <v>39600</v>
      </c>
      <c r="Z2063" s="3421">
        <v>39600</v>
      </c>
      <c r="AA2063" s="3421">
        <v>39600</v>
      </c>
      <c r="AB2063" s="3421">
        <v>39600</v>
      </c>
      <c r="AC2063" s="3557">
        <f>AC2061</f>
        <v>39600</v>
      </c>
      <c r="AD2063" s="3558">
        <v>39600</v>
      </c>
      <c r="AE2063" s="3429"/>
      <c r="AF2063" s="3421"/>
      <c r="AG2063" s="3421"/>
      <c r="AH2063" s="156"/>
      <c r="AI2063" s="156"/>
      <c r="AJ2063" s="156"/>
      <c r="AK2063" s="156"/>
      <c r="AL2063" s="156"/>
      <c r="AM2063" s="156"/>
      <c r="AN2063" s="156"/>
      <c r="AO2063" s="156"/>
      <c r="AP2063" s="156"/>
      <c r="AQ2063" s="156"/>
      <c r="AR2063" s="156"/>
      <c r="AS2063" s="156"/>
      <c r="AT2063" s="156"/>
      <c r="AU2063" s="156"/>
      <c r="AV2063" s="156"/>
      <c r="AW2063" s="156"/>
      <c r="AX2063" s="156"/>
      <c r="AY2063" s="156"/>
      <c r="AZ2063" s="156"/>
      <c r="BA2063" s="156"/>
      <c r="BB2063" s="2828"/>
      <c r="BC2063" s="452"/>
      <c r="BD2063" s="2829"/>
      <c r="BE2063" s="2837"/>
      <c r="BF2063" s="156"/>
    </row>
    <row r="2064" spans="1:58" ht="15" customHeight="1" outlineLevel="1" x14ac:dyDescent="0.35">
      <c r="A2064" s="1071"/>
      <c r="B2064" s="2812"/>
      <c r="C2064" s="3077"/>
      <c r="D2064" s="3980"/>
      <c r="E2064" s="3883"/>
      <c r="F2064" s="3984" t="str">
        <f>$E$1782</f>
        <v>ASHP-SEER17_ER2_MF_CompE</v>
      </c>
      <c r="G2064" s="3984"/>
      <c r="H2064" s="3984"/>
      <c r="I2064" s="3984"/>
      <c r="J2064" s="3501" t="str">
        <f>$C$1782</f>
        <v>354201_2019_12_</v>
      </c>
      <c r="K2064" s="3048">
        <v>39600</v>
      </c>
      <c r="L2064" s="3521">
        <f t="shared" si="362"/>
        <v>3.3</v>
      </c>
      <c r="M2064" s="3520"/>
      <c r="N2064" s="2804"/>
      <c r="O2064" s="106"/>
      <c r="P2064" s="106"/>
      <c r="Q2064" s="106"/>
      <c r="R2064" s="106"/>
      <c r="S2064" s="106"/>
      <c r="T2064" s="106"/>
      <c r="U2064" s="106"/>
      <c r="V2064" s="3980"/>
      <c r="W2064" s="3421"/>
      <c r="X2064" s="3421"/>
      <c r="Y2064" s="2374">
        <v>39600</v>
      </c>
      <c r="Z2064" s="3421">
        <v>39600</v>
      </c>
      <c r="AA2064" s="3421">
        <v>39600</v>
      </c>
      <c r="AB2064" s="3421">
        <v>39600</v>
      </c>
      <c r="AC2064" s="3557">
        <f>AC2062</f>
        <v>39600</v>
      </c>
      <c r="AD2064" s="3558">
        <v>39600</v>
      </c>
      <c r="AE2064" s="3429"/>
      <c r="AF2064" s="3421"/>
      <c r="AG2064" s="3421"/>
      <c r="AH2064" s="156"/>
      <c r="AI2064" s="156"/>
      <c r="AJ2064" s="156"/>
      <c r="AK2064" s="156"/>
      <c r="AL2064" s="156"/>
      <c r="AM2064" s="156"/>
      <c r="AN2064" s="156"/>
      <c r="AO2064" s="156"/>
      <c r="AP2064" s="156"/>
      <c r="AQ2064" s="156"/>
      <c r="AR2064" s="156"/>
      <c r="AS2064" s="156"/>
      <c r="AT2064" s="156"/>
      <c r="AU2064" s="156"/>
      <c r="AV2064" s="156"/>
      <c r="AW2064" s="156"/>
      <c r="AX2064" s="156"/>
      <c r="AY2064" s="156"/>
      <c r="AZ2064" s="156"/>
      <c r="BA2064" s="156"/>
      <c r="BB2064" s="2828"/>
      <c r="BC2064" s="452"/>
      <c r="BD2064" s="2829"/>
      <c r="BE2064" s="2837"/>
      <c r="BF2064" s="156"/>
    </row>
    <row r="2065" spans="1:58" ht="15" customHeight="1" outlineLevel="1" x14ac:dyDescent="0.35">
      <c r="A2065" s="1071"/>
      <c r="B2065" s="2812"/>
      <c r="C2065" s="3077"/>
      <c r="D2065" s="3980"/>
      <c r="E2065" s="3883"/>
      <c r="F2065" s="3984" t="str">
        <f>$E$1784</f>
        <v>ASHP-SEER18-Replace_CAC_ElectricHeat_ER1_SF</v>
      </c>
      <c r="G2065" s="3984"/>
      <c r="H2065" s="3984"/>
      <c r="I2065" s="3984"/>
      <c r="J2065" s="3501" t="str">
        <f>$C$1784</f>
        <v>354250_2021_12_</v>
      </c>
      <c r="K2065" s="3047">
        <v>36089.906153434065</v>
      </c>
      <c r="L2065" s="3521">
        <f t="shared" si="362"/>
        <v>3.0074921794528389</v>
      </c>
      <c r="M2065" s="3518" t="s">
        <v>4360</v>
      </c>
      <c r="N2065" s="2804"/>
      <c r="O2065" s="106"/>
      <c r="P2065" s="106"/>
      <c r="Q2065" s="106"/>
      <c r="R2065" s="106"/>
      <c r="S2065" s="106"/>
      <c r="T2065" s="106"/>
      <c r="U2065" s="106"/>
      <c r="V2065" s="3980"/>
      <c r="W2065" s="3421">
        <v>37200</v>
      </c>
      <c r="X2065" s="3421">
        <v>37200</v>
      </c>
      <c r="Y2065" s="3421">
        <v>37200</v>
      </c>
      <c r="Z2065" s="3421">
        <v>37200</v>
      </c>
      <c r="AA2065" s="3421">
        <v>37200</v>
      </c>
      <c r="AB2065" s="2296">
        <v>40965.517241379312</v>
      </c>
      <c r="AC2065" s="2292">
        <v>37721.739130434784</v>
      </c>
      <c r="AD2065" s="3047">
        <v>36089.906153434065</v>
      </c>
      <c r="AE2065" s="3429"/>
      <c r="AF2065" s="3421"/>
      <c r="AG2065" s="3421"/>
      <c r="AH2065" s="156"/>
      <c r="AI2065" s="156"/>
      <c r="AJ2065" s="156"/>
      <c r="AK2065" s="156"/>
      <c r="AL2065" s="156"/>
      <c r="AM2065" s="156"/>
      <c r="AN2065" s="156"/>
      <c r="AO2065" s="156"/>
      <c r="AP2065" s="156"/>
      <c r="AQ2065" s="156"/>
      <c r="AR2065" s="156"/>
      <c r="AS2065" s="156"/>
      <c r="AT2065" s="156"/>
      <c r="AU2065" s="156"/>
      <c r="AV2065" s="156"/>
      <c r="AW2065" s="156"/>
      <c r="AX2065" s="156"/>
      <c r="AY2065" s="156"/>
      <c r="AZ2065" s="156"/>
      <c r="BA2065" s="156"/>
      <c r="BB2065" s="2828"/>
      <c r="BC2065" s="452"/>
      <c r="BD2065" s="2829"/>
      <c r="BE2065" s="2837"/>
      <c r="BF2065" s="156"/>
    </row>
    <row r="2066" spans="1:58" ht="15" customHeight="1" outlineLevel="1" x14ac:dyDescent="0.35">
      <c r="A2066" s="1071"/>
      <c r="B2066" s="2812"/>
      <c r="C2066" s="3077"/>
      <c r="D2066" s="3980"/>
      <c r="E2066" s="3883"/>
      <c r="F2066" s="3984" t="str">
        <f>$E$1786</f>
        <v>ASHP-SEER18-Replace_CAC_ElectricHeat_ER2_SF</v>
      </c>
      <c r="G2066" s="3984"/>
      <c r="H2066" s="3984"/>
      <c r="I2066" s="3984"/>
      <c r="J2066" s="3501" t="str">
        <f>$C$1786</f>
        <v>354250_2021_12_</v>
      </c>
      <c r="K2066" s="3047">
        <v>36089.906153434065</v>
      </c>
      <c r="L2066" s="3521">
        <f t="shared" si="362"/>
        <v>3.0074921794528389</v>
      </c>
      <c r="M2066" s="3518" t="s">
        <v>4360</v>
      </c>
      <c r="N2066" s="2804"/>
      <c r="O2066" s="106"/>
      <c r="P2066" s="106"/>
      <c r="Q2066" s="106"/>
      <c r="R2066" s="106"/>
      <c r="S2066" s="106"/>
      <c r="T2066" s="106"/>
      <c r="U2066" s="106"/>
      <c r="V2066" s="3980"/>
      <c r="W2066" s="3421">
        <v>37200</v>
      </c>
      <c r="X2066" s="3421">
        <v>37200</v>
      </c>
      <c r="Y2066" s="3421">
        <v>37200</v>
      </c>
      <c r="Z2066" s="3421">
        <v>37200</v>
      </c>
      <c r="AA2066" s="3421">
        <v>37200</v>
      </c>
      <c r="AB2066" s="2296">
        <v>40965.517241379312</v>
      </c>
      <c r="AC2066" s="2292">
        <f>AC2065</f>
        <v>37721.739130434784</v>
      </c>
      <c r="AD2066" s="3047">
        <v>36089.906153434065</v>
      </c>
      <c r="AE2066" s="3429"/>
      <c r="AF2066" s="3421"/>
      <c r="AG2066" s="3421"/>
      <c r="AH2066" s="156"/>
      <c r="AI2066" s="156"/>
      <c r="AJ2066" s="156"/>
      <c r="AK2066" s="156"/>
      <c r="AL2066" s="156"/>
      <c r="AM2066" s="156"/>
      <c r="AN2066" s="156"/>
      <c r="AO2066" s="156"/>
      <c r="AP2066" s="156"/>
      <c r="AQ2066" s="156"/>
      <c r="AR2066" s="156"/>
      <c r="AS2066" s="156"/>
      <c r="AT2066" s="156"/>
      <c r="AU2066" s="156"/>
      <c r="AV2066" s="156"/>
      <c r="AW2066" s="156"/>
      <c r="AX2066" s="156"/>
      <c r="AY2066" s="156"/>
      <c r="AZ2066" s="156"/>
      <c r="BA2066" s="156"/>
      <c r="BB2066" s="2828"/>
      <c r="BC2066" s="452"/>
      <c r="BD2066" s="2829"/>
      <c r="BE2066" s="2837"/>
      <c r="BF2066" s="156"/>
    </row>
    <row r="2067" spans="1:58" ht="15" customHeight="1" outlineLevel="1" x14ac:dyDescent="0.35">
      <c r="A2067" s="1071"/>
      <c r="B2067" s="2812"/>
      <c r="C2067" s="3077"/>
      <c r="D2067" s="3980"/>
      <c r="E2067" s="3883"/>
      <c r="F2067" s="3984" t="str">
        <f>$E$1788</f>
        <v>ASHP-SEER18-Replace_CAC_NonElectricHeat_ER1_SF</v>
      </c>
      <c r="G2067" s="3984"/>
      <c r="H2067" s="3984"/>
      <c r="I2067" s="3984"/>
      <c r="J2067" s="3501" t="str">
        <f>$C$1788</f>
        <v>354260_2021_12_</v>
      </c>
      <c r="K2067" s="3047">
        <v>36089.906153434065</v>
      </c>
      <c r="L2067" s="3521">
        <f t="shared" si="362"/>
        <v>3.0074921794528389</v>
      </c>
      <c r="M2067" s="3520" t="s">
        <v>1083</v>
      </c>
      <c r="N2067" s="2804"/>
      <c r="O2067" s="106"/>
      <c r="P2067" s="106"/>
      <c r="Q2067" s="106"/>
      <c r="R2067" s="106"/>
      <c r="S2067" s="106"/>
      <c r="T2067" s="106"/>
      <c r="U2067" s="106"/>
      <c r="V2067" s="3980"/>
      <c r="W2067" s="3421"/>
      <c r="X2067" s="3421"/>
      <c r="Y2067" s="3421"/>
      <c r="Z2067" s="3421"/>
      <c r="AA2067" s="3421"/>
      <c r="AB2067" s="2296"/>
      <c r="AC2067" s="2292">
        <v>37721.739130434784</v>
      </c>
      <c r="AD2067" s="3047">
        <v>36089.906153434065</v>
      </c>
      <c r="AE2067" s="3429"/>
      <c r="AF2067" s="3421"/>
      <c r="AG2067" s="3421"/>
      <c r="AH2067" s="156"/>
      <c r="AI2067" s="156"/>
      <c r="AJ2067" s="156"/>
      <c r="AK2067" s="156"/>
      <c r="AL2067" s="156"/>
      <c r="AM2067" s="156"/>
      <c r="AN2067" s="156"/>
      <c r="AO2067" s="156"/>
      <c r="AP2067" s="156"/>
      <c r="AQ2067" s="156"/>
      <c r="AR2067" s="156"/>
      <c r="AS2067" s="156"/>
      <c r="AT2067" s="156"/>
      <c r="AU2067" s="156"/>
      <c r="AV2067" s="156"/>
      <c r="AW2067" s="156"/>
      <c r="AX2067" s="156"/>
      <c r="AY2067" s="156"/>
      <c r="AZ2067" s="156"/>
      <c r="BA2067" s="156"/>
      <c r="BB2067" s="2828"/>
      <c r="BC2067" s="452"/>
      <c r="BD2067" s="2829"/>
      <c r="BE2067" s="2837"/>
      <c r="BF2067" s="156"/>
    </row>
    <row r="2068" spans="1:58" ht="15" customHeight="1" outlineLevel="1" x14ac:dyDescent="0.35">
      <c r="A2068" s="1071"/>
      <c r="B2068" s="2812"/>
      <c r="C2068" s="3077"/>
      <c r="D2068" s="3980"/>
      <c r="E2068" s="3883"/>
      <c r="F2068" s="3984" t="str">
        <f>$E$1790</f>
        <v>ASHP-SEER18-Replace_CAC_NonElectricHeat_ER2_SF</v>
      </c>
      <c r="G2068" s="3984"/>
      <c r="H2068" s="3984"/>
      <c r="I2068" s="3984"/>
      <c r="J2068" s="3501" t="str">
        <f>$C$1790</f>
        <v>354260_2021_12_</v>
      </c>
      <c r="K2068" s="3047">
        <v>36089.906153434065</v>
      </c>
      <c r="L2068" s="3521">
        <f t="shared" si="362"/>
        <v>3.0074921794528389</v>
      </c>
      <c r="M2068" s="3520" t="s">
        <v>1083</v>
      </c>
      <c r="N2068" s="2804"/>
      <c r="O2068" s="106"/>
      <c r="P2068" s="106"/>
      <c r="Q2068" s="106"/>
      <c r="R2068" s="106"/>
      <c r="S2068" s="106"/>
      <c r="T2068" s="106"/>
      <c r="U2068" s="106"/>
      <c r="V2068" s="3980"/>
      <c r="W2068" s="3421"/>
      <c r="X2068" s="3421"/>
      <c r="Y2068" s="3421"/>
      <c r="Z2068" s="3421"/>
      <c r="AA2068" s="3421"/>
      <c r="AB2068" s="2296"/>
      <c r="AC2068" s="2292">
        <f>AC2067</f>
        <v>37721.739130434784</v>
      </c>
      <c r="AD2068" s="3047">
        <v>36089.906153434065</v>
      </c>
      <c r="AE2068" s="3429"/>
      <c r="AF2068" s="3421"/>
      <c r="AG2068" s="3421"/>
      <c r="AH2068" s="156"/>
      <c r="AI2068" s="156"/>
      <c r="AJ2068" s="156"/>
      <c r="AK2068" s="156"/>
      <c r="AL2068" s="156"/>
      <c r="AM2068" s="156"/>
      <c r="AN2068" s="156"/>
      <c r="AO2068" s="156"/>
      <c r="AP2068" s="156"/>
      <c r="AQ2068" s="156"/>
      <c r="AR2068" s="156"/>
      <c r="AS2068" s="156"/>
      <c r="AT2068" s="156"/>
      <c r="AU2068" s="156"/>
      <c r="AV2068" s="156"/>
      <c r="AW2068" s="156"/>
      <c r="AX2068" s="156"/>
      <c r="AY2068" s="156"/>
      <c r="AZ2068" s="156"/>
      <c r="BA2068" s="156"/>
      <c r="BB2068" s="2828"/>
      <c r="BC2068" s="452"/>
      <c r="BD2068" s="2829"/>
      <c r="BE2068" s="2837"/>
      <c r="BF2068" s="156"/>
    </row>
    <row r="2069" spans="1:58" ht="15" customHeight="1" outlineLevel="1" x14ac:dyDescent="0.35">
      <c r="A2069" s="1071"/>
      <c r="B2069" s="2812"/>
      <c r="C2069" s="3077"/>
      <c r="D2069" s="3980"/>
      <c r="E2069" s="3883"/>
      <c r="F2069" s="3984" t="str">
        <f>$E$1792</f>
        <v>ASHP-SEER18-Replace_CAC_ElectricHeat_ER1_MF</v>
      </c>
      <c r="G2069" s="3984"/>
      <c r="H2069" s="3984"/>
      <c r="I2069" s="3984"/>
      <c r="J2069" s="3501" t="str">
        <f>$C$1792</f>
        <v>354300_2021_12_</v>
      </c>
      <c r="K2069" s="3048">
        <v>18000</v>
      </c>
      <c r="L2069" s="3521">
        <f t="shared" si="362"/>
        <v>1.5</v>
      </c>
      <c r="M2069" s="3520" t="s">
        <v>974</v>
      </c>
      <c r="N2069" s="2804"/>
      <c r="O2069" s="106"/>
      <c r="P2069" s="106"/>
      <c r="Q2069" s="106"/>
      <c r="R2069" s="106"/>
      <c r="S2069" s="106"/>
      <c r="T2069" s="106"/>
      <c r="U2069" s="106"/>
      <c r="V2069" s="3980"/>
      <c r="W2069" s="3421">
        <v>37200</v>
      </c>
      <c r="X2069" s="3421">
        <v>37200</v>
      </c>
      <c r="Y2069" s="3421">
        <v>37200</v>
      </c>
      <c r="Z2069" s="3421">
        <v>37200</v>
      </c>
      <c r="AA2069" s="3421">
        <v>37200</v>
      </c>
      <c r="AB2069" s="2296">
        <v>48000</v>
      </c>
      <c r="AC2069" s="2292">
        <v>18000</v>
      </c>
      <c r="AD2069" s="3558">
        <v>18000</v>
      </c>
      <c r="AE2069" s="3429"/>
      <c r="AF2069" s="3421"/>
      <c r="AG2069" s="3421"/>
      <c r="AH2069" s="156"/>
      <c r="AI2069" s="156"/>
      <c r="AJ2069" s="156"/>
      <c r="AK2069" s="156"/>
      <c r="AL2069" s="156"/>
      <c r="AM2069" s="156"/>
      <c r="AN2069" s="156"/>
      <c r="AO2069" s="156"/>
      <c r="AP2069" s="156"/>
      <c r="AQ2069" s="156"/>
      <c r="AR2069" s="156"/>
      <c r="AS2069" s="156"/>
      <c r="AT2069" s="156"/>
      <c r="AU2069" s="156"/>
      <c r="AV2069" s="156"/>
      <c r="AW2069" s="156"/>
      <c r="AX2069" s="156"/>
      <c r="AY2069" s="156"/>
      <c r="AZ2069" s="156"/>
      <c r="BA2069" s="156"/>
      <c r="BB2069" s="2828"/>
      <c r="BC2069" s="452"/>
      <c r="BD2069" s="2829"/>
      <c r="BE2069" s="2837"/>
      <c r="BF2069" s="156"/>
    </row>
    <row r="2070" spans="1:58" ht="15" customHeight="1" outlineLevel="1" x14ac:dyDescent="0.35">
      <c r="A2070" s="1071"/>
      <c r="B2070" s="2812"/>
      <c r="C2070" s="3077"/>
      <c r="D2070" s="3980"/>
      <c r="E2070" s="3883"/>
      <c r="F2070" s="3984" t="str">
        <f>$E$1794</f>
        <v>ASHP-SEER18-Replace_CAC_ElectricHeat_ER2_MF</v>
      </c>
      <c r="G2070" s="3984"/>
      <c r="H2070" s="3984"/>
      <c r="I2070" s="3984"/>
      <c r="J2070" s="3501" t="str">
        <f>$C$1794</f>
        <v>354300_2021_12_</v>
      </c>
      <c r="K2070" s="3048">
        <v>18000</v>
      </c>
      <c r="L2070" s="3521">
        <f t="shared" si="362"/>
        <v>1.5</v>
      </c>
      <c r="M2070" s="3520" t="s">
        <v>974</v>
      </c>
      <c r="N2070" s="2804"/>
      <c r="O2070" s="106"/>
      <c r="P2070" s="106"/>
      <c r="Q2070" s="106"/>
      <c r="R2070" s="106"/>
      <c r="S2070" s="106"/>
      <c r="T2070" s="106"/>
      <c r="U2070" s="106"/>
      <c r="V2070" s="3980"/>
      <c r="W2070" s="3421">
        <v>37200</v>
      </c>
      <c r="X2070" s="3421">
        <v>37200</v>
      </c>
      <c r="Y2070" s="3421">
        <v>37200</v>
      </c>
      <c r="Z2070" s="3421">
        <v>37200</v>
      </c>
      <c r="AA2070" s="3421">
        <v>37200</v>
      </c>
      <c r="AB2070" s="2296">
        <v>48000</v>
      </c>
      <c r="AC2070" s="2292">
        <f>AC2069</f>
        <v>18000</v>
      </c>
      <c r="AD2070" s="3558">
        <v>18000</v>
      </c>
      <c r="AE2070" s="3429"/>
      <c r="AF2070" s="3421"/>
      <c r="AG2070" s="3421"/>
      <c r="AH2070" s="156"/>
      <c r="AI2070" s="156"/>
      <c r="AJ2070" s="156"/>
      <c r="AK2070" s="156"/>
      <c r="AL2070" s="156"/>
      <c r="AM2070" s="156"/>
      <c r="AN2070" s="156"/>
      <c r="AO2070" s="156"/>
      <c r="AP2070" s="156"/>
      <c r="AQ2070" s="156"/>
      <c r="AR2070" s="156"/>
      <c r="AS2070" s="156"/>
      <c r="AT2070" s="156"/>
      <c r="AU2070" s="156"/>
      <c r="AV2070" s="156"/>
      <c r="AW2070" s="156"/>
      <c r="AX2070" s="156"/>
      <c r="AY2070" s="156"/>
      <c r="AZ2070" s="156"/>
      <c r="BA2070" s="156"/>
      <c r="BB2070" s="2828"/>
      <c r="BC2070" s="452"/>
      <c r="BD2070" s="2829"/>
      <c r="BE2070" s="2837"/>
      <c r="BF2070" s="156"/>
    </row>
    <row r="2071" spans="1:58" ht="15" customHeight="1" outlineLevel="1" x14ac:dyDescent="0.35">
      <c r="A2071" s="1071"/>
      <c r="B2071" s="2812"/>
      <c r="C2071" s="3077"/>
      <c r="D2071" s="3980"/>
      <c r="E2071" s="3883"/>
      <c r="F2071" s="3984" t="str">
        <f>$E$1796</f>
        <v>ASHP-SEER18-Replace_CAC_ElectricHeat_ER1_MF_CompE</v>
      </c>
      <c r="G2071" s="3984"/>
      <c r="H2071" s="3984"/>
      <c r="I2071" s="3984"/>
      <c r="J2071" s="3501" t="str">
        <f>$C$1796</f>
        <v>354301_2021_12_</v>
      </c>
      <c r="K2071" s="3048">
        <v>18000</v>
      </c>
      <c r="L2071" s="3521">
        <f t="shared" si="362"/>
        <v>1.5</v>
      </c>
      <c r="M2071" s="3520" t="s">
        <v>1083</v>
      </c>
      <c r="N2071" s="2804"/>
      <c r="O2071" s="106"/>
      <c r="P2071" s="106"/>
      <c r="Q2071" s="106"/>
      <c r="R2071" s="106"/>
      <c r="S2071" s="106"/>
      <c r="T2071" s="106"/>
      <c r="U2071" s="106"/>
      <c r="V2071" s="3980"/>
      <c r="W2071" s="3421"/>
      <c r="X2071" s="3421"/>
      <c r="Y2071" s="2374">
        <v>37200</v>
      </c>
      <c r="Z2071" s="3421">
        <v>37200</v>
      </c>
      <c r="AA2071" s="3421">
        <v>37200</v>
      </c>
      <c r="AB2071" s="2374">
        <v>48000</v>
      </c>
      <c r="AC2071" s="2292">
        <f>AC2069</f>
        <v>18000</v>
      </c>
      <c r="AD2071" s="3558">
        <v>18000</v>
      </c>
      <c r="AE2071" s="3429"/>
      <c r="AF2071" s="3421"/>
      <c r="AG2071" s="3421"/>
      <c r="AH2071" s="156"/>
      <c r="AI2071" s="156"/>
      <c r="AJ2071" s="156"/>
      <c r="AK2071" s="156"/>
      <c r="AL2071" s="156"/>
      <c r="AM2071" s="156"/>
      <c r="AN2071" s="156"/>
      <c r="AO2071" s="156"/>
      <c r="AP2071" s="156"/>
      <c r="AQ2071" s="156"/>
      <c r="AR2071" s="156"/>
      <c r="AS2071" s="156"/>
      <c r="AT2071" s="156"/>
      <c r="AU2071" s="156"/>
      <c r="AV2071" s="156"/>
      <c r="AW2071" s="156"/>
      <c r="AX2071" s="156"/>
      <c r="AY2071" s="156"/>
      <c r="AZ2071" s="156"/>
      <c r="BA2071" s="156"/>
      <c r="BB2071" s="2828"/>
      <c r="BC2071" s="452"/>
      <c r="BD2071" s="2829"/>
      <c r="BE2071" s="2837"/>
      <c r="BF2071" s="156"/>
    </row>
    <row r="2072" spans="1:58" ht="15" customHeight="1" outlineLevel="1" x14ac:dyDescent="0.35">
      <c r="A2072" s="1071"/>
      <c r="B2072" s="2812"/>
      <c r="C2072" s="3077"/>
      <c r="D2072" s="3980"/>
      <c r="E2072" s="3883"/>
      <c r="F2072" s="3984" t="str">
        <f>$E$1798</f>
        <v>ASHP-SEER18-Replace_CAC_ElectricHeat_ER2_MF_CompE</v>
      </c>
      <c r="G2072" s="3984"/>
      <c r="H2072" s="3984"/>
      <c r="I2072" s="3984"/>
      <c r="J2072" s="3501" t="str">
        <f>$C$1798</f>
        <v>354301_2021_12_</v>
      </c>
      <c r="K2072" s="3048">
        <v>18000</v>
      </c>
      <c r="L2072" s="3521">
        <f t="shared" si="362"/>
        <v>1.5</v>
      </c>
      <c r="M2072" s="3520" t="s">
        <v>1083</v>
      </c>
      <c r="N2072" s="2804"/>
      <c r="O2072" s="106"/>
      <c r="P2072" s="106"/>
      <c r="Q2072" s="106"/>
      <c r="R2072" s="106"/>
      <c r="S2072" s="106"/>
      <c r="T2072" s="106"/>
      <c r="U2072" s="106"/>
      <c r="V2072" s="3980"/>
      <c r="W2072" s="3421"/>
      <c r="X2072" s="3421"/>
      <c r="Y2072" s="2374">
        <v>37200</v>
      </c>
      <c r="Z2072" s="3421">
        <v>37200</v>
      </c>
      <c r="AA2072" s="3421">
        <v>37200</v>
      </c>
      <c r="AB2072" s="2374">
        <v>48000</v>
      </c>
      <c r="AC2072" s="2292">
        <f>AC2070</f>
        <v>18000</v>
      </c>
      <c r="AD2072" s="3558">
        <v>18000</v>
      </c>
      <c r="AE2072" s="3429"/>
      <c r="AF2072" s="3421"/>
      <c r="AG2072" s="3421"/>
      <c r="AH2072" s="156"/>
      <c r="AI2072" s="156"/>
      <c r="AJ2072" s="156"/>
      <c r="AK2072" s="156"/>
      <c r="AL2072" s="156"/>
      <c r="AM2072" s="156"/>
      <c r="AN2072" s="156"/>
      <c r="AO2072" s="156"/>
      <c r="AP2072" s="156"/>
      <c r="AQ2072" s="156"/>
      <c r="AR2072" s="156"/>
      <c r="AS2072" s="156"/>
      <c r="AT2072" s="156"/>
      <c r="AU2072" s="156"/>
      <c r="AV2072" s="156"/>
      <c r="AW2072" s="156"/>
      <c r="AX2072" s="156"/>
      <c r="AY2072" s="156"/>
      <c r="AZ2072" s="156"/>
      <c r="BA2072" s="156"/>
      <c r="BB2072" s="2828"/>
      <c r="BC2072" s="452"/>
      <c r="BD2072" s="2829"/>
      <c r="BE2072" s="2837"/>
      <c r="BF2072" s="156"/>
    </row>
    <row r="2073" spans="1:58" ht="15" customHeight="1" outlineLevel="1" x14ac:dyDescent="0.35">
      <c r="A2073" s="1071"/>
      <c r="B2073" s="2812"/>
      <c r="C2073" s="3077"/>
      <c r="D2073" s="3980"/>
      <c r="E2073" s="3883"/>
      <c r="F2073" s="3984" t="str">
        <f>$E$1800</f>
        <v>ASHP-SEER18-Replace_CAC_NonElectricHeat_ER1_MF</v>
      </c>
      <c r="G2073" s="3984"/>
      <c r="H2073" s="3984"/>
      <c r="I2073" s="3984"/>
      <c r="J2073" s="3501" t="str">
        <f>$C$1800</f>
        <v>354310_2021_12_</v>
      </c>
      <c r="K2073" s="3048">
        <v>18000</v>
      </c>
      <c r="L2073" s="3521">
        <f t="shared" si="362"/>
        <v>1.5</v>
      </c>
      <c r="M2073" s="3520" t="s">
        <v>1083</v>
      </c>
      <c r="N2073" s="2804"/>
      <c r="O2073" s="106"/>
      <c r="P2073" s="106"/>
      <c r="Q2073" s="106"/>
      <c r="R2073" s="106"/>
      <c r="S2073" s="106"/>
      <c r="T2073" s="106"/>
      <c r="U2073" s="106"/>
      <c r="V2073" s="3980"/>
      <c r="W2073" s="3421"/>
      <c r="X2073" s="3421"/>
      <c r="Y2073" s="2374"/>
      <c r="Z2073" s="3421"/>
      <c r="AA2073" s="3421"/>
      <c r="AB2073" s="2374"/>
      <c r="AC2073" s="2292">
        <v>18000</v>
      </c>
      <c r="AD2073" s="3558">
        <v>18000</v>
      </c>
      <c r="AE2073" s="3429"/>
      <c r="AF2073" s="3421"/>
      <c r="AG2073" s="3421"/>
      <c r="AH2073" s="156"/>
      <c r="AI2073" s="156"/>
      <c r="AJ2073" s="156"/>
      <c r="AK2073" s="156"/>
      <c r="AL2073" s="156"/>
      <c r="AM2073" s="156"/>
      <c r="AN2073" s="156"/>
      <c r="AO2073" s="156"/>
      <c r="AP2073" s="156"/>
      <c r="AQ2073" s="156"/>
      <c r="AR2073" s="156"/>
      <c r="AS2073" s="156"/>
      <c r="AT2073" s="156"/>
      <c r="AU2073" s="156"/>
      <c r="AV2073" s="156"/>
      <c r="AW2073" s="156"/>
      <c r="AX2073" s="156"/>
      <c r="AY2073" s="156"/>
      <c r="AZ2073" s="156"/>
      <c r="BA2073" s="156"/>
      <c r="BB2073" s="2828"/>
      <c r="BC2073" s="452"/>
      <c r="BD2073" s="2829"/>
      <c r="BE2073" s="2837"/>
      <c r="BF2073" s="156"/>
    </row>
    <row r="2074" spans="1:58" ht="15" customHeight="1" outlineLevel="1" x14ac:dyDescent="0.35">
      <c r="A2074" s="1071"/>
      <c r="B2074" s="2812"/>
      <c r="C2074" s="3077"/>
      <c r="D2074" s="3980"/>
      <c r="E2074" s="3883"/>
      <c r="F2074" s="3984" t="str">
        <f>$E$1802</f>
        <v>ASHP-SEER18-Replace_CAC_NonElectricHeat_ER2_MF</v>
      </c>
      <c r="G2074" s="3984"/>
      <c r="H2074" s="3984"/>
      <c r="I2074" s="3984"/>
      <c r="J2074" s="3501" t="str">
        <f>$C$1802</f>
        <v>354310_2021_12_</v>
      </c>
      <c r="K2074" s="3048">
        <v>18000</v>
      </c>
      <c r="L2074" s="3521">
        <f t="shared" ref="L2074:L2132" si="364">K2074/12000</f>
        <v>1.5</v>
      </c>
      <c r="M2074" s="3520" t="s">
        <v>1083</v>
      </c>
      <c r="N2074" s="2804"/>
      <c r="O2074" s="106"/>
      <c r="P2074" s="106"/>
      <c r="Q2074" s="106"/>
      <c r="R2074" s="106"/>
      <c r="S2074" s="106"/>
      <c r="T2074" s="106"/>
      <c r="U2074" s="106"/>
      <c r="V2074" s="3980"/>
      <c r="W2074" s="3421"/>
      <c r="X2074" s="3421"/>
      <c r="Y2074" s="2374"/>
      <c r="Z2074" s="3421"/>
      <c r="AA2074" s="3421"/>
      <c r="AB2074" s="2374"/>
      <c r="AC2074" s="2292">
        <f>AC2073</f>
        <v>18000</v>
      </c>
      <c r="AD2074" s="3558">
        <v>18000</v>
      </c>
      <c r="AE2074" s="3429"/>
      <c r="AF2074" s="3421"/>
      <c r="AG2074" s="3421"/>
      <c r="AH2074" s="156"/>
      <c r="AI2074" s="156"/>
      <c r="AJ2074" s="156"/>
      <c r="AK2074" s="156"/>
      <c r="AL2074" s="156"/>
      <c r="AM2074" s="156"/>
      <c r="AN2074" s="156"/>
      <c r="AO2074" s="156"/>
      <c r="AP2074" s="156"/>
      <c r="AQ2074" s="156"/>
      <c r="AR2074" s="156"/>
      <c r="AS2074" s="156"/>
      <c r="AT2074" s="156"/>
      <c r="AU2074" s="156"/>
      <c r="AV2074" s="156"/>
      <c r="AW2074" s="156"/>
      <c r="AX2074" s="156"/>
      <c r="AY2074" s="156"/>
      <c r="AZ2074" s="156"/>
      <c r="BA2074" s="156"/>
      <c r="BB2074" s="2828"/>
      <c r="BC2074" s="452"/>
      <c r="BD2074" s="2829"/>
      <c r="BE2074" s="2837"/>
      <c r="BF2074" s="156"/>
    </row>
    <row r="2075" spans="1:58" ht="15" customHeight="1" outlineLevel="1" x14ac:dyDescent="0.35">
      <c r="A2075" s="1071"/>
      <c r="B2075" s="2812"/>
      <c r="C2075" s="3077"/>
      <c r="D2075" s="3980"/>
      <c r="E2075" s="3883"/>
      <c r="F2075" s="3984" t="str">
        <f>$E$1804</f>
        <v>ASHP-SEER18-Replace_CAC_NonElectricHeat_ER1_MF_CompE</v>
      </c>
      <c r="G2075" s="3984"/>
      <c r="H2075" s="3984"/>
      <c r="I2075" s="3984"/>
      <c r="J2075" s="3501" t="str">
        <f>$C$1804</f>
        <v>354311_2021_12_</v>
      </c>
      <c r="K2075" s="3048">
        <v>18000</v>
      </c>
      <c r="L2075" s="3521">
        <f t="shared" si="364"/>
        <v>1.5</v>
      </c>
      <c r="M2075" s="3520" t="s">
        <v>1083</v>
      </c>
      <c r="N2075" s="2804"/>
      <c r="O2075" s="106"/>
      <c r="P2075" s="106"/>
      <c r="Q2075" s="106"/>
      <c r="R2075" s="106"/>
      <c r="S2075" s="106"/>
      <c r="T2075" s="106"/>
      <c r="U2075" s="106"/>
      <c r="V2075" s="3980"/>
      <c r="W2075" s="3421"/>
      <c r="X2075" s="3421"/>
      <c r="Y2075" s="2374"/>
      <c r="Z2075" s="3421"/>
      <c r="AA2075" s="3421"/>
      <c r="AB2075" s="2374"/>
      <c r="AC2075" s="2292">
        <f>AC2073</f>
        <v>18000</v>
      </c>
      <c r="AD2075" s="3558">
        <v>18000</v>
      </c>
      <c r="AE2075" s="3429"/>
      <c r="AF2075" s="3421"/>
      <c r="AG2075" s="3421"/>
      <c r="AH2075" s="156"/>
      <c r="AI2075" s="156"/>
      <c r="AJ2075" s="156"/>
      <c r="AK2075" s="156"/>
      <c r="AL2075" s="156"/>
      <c r="AM2075" s="156"/>
      <c r="AN2075" s="156"/>
      <c r="AO2075" s="156"/>
      <c r="AP2075" s="156"/>
      <c r="AQ2075" s="156"/>
      <c r="AR2075" s="156"/>
      <c r="AS2075" s="156"/>
      <c r="AT2075" s="156"/>
      <c r="AU2075" s="156"/>
      <c r="AV2075" s="156"/>
      <c r="AW2075" s="156"/>
      <c r="AX2075" s="156"/>
      <c r="AY2075" s="156"/>
      <c r="AZ2075" s="156"/>
      <c r="BA2075" s="156"/>
      <c r="BB2075" s="2828"/>
      <c r="BC2075" s="452"/>
      <c r="BD2075" s="2829"/>
      <c r="BE2075" s="2837"/>
      <c r="BF2075" s="156"/>
    </row>
    <row r="2076" spans="1:58" ht="15" customHeight="1" outlineLevel="1" x14ac:dyDescent="0.35">
      <c r="A2076" s="1071"/>
      <c r="B2076" s="2812"/>
      <c r="C2076" s="3077"/>
      <c r="D2076" s="3980"/>
      <c r="E2076" s="3883"/>
      <c r="F2076" s="3984" t="str">
        <f>$E$1806</f>
        <v>ASHP-SEER18-Replace_CAC_NonElectricHeat_ER2_MF_CompE</v>
      </c>
      <c r="G2076" s="3984"/>
      <c r="H2076" s="3984"/>
      <c r="I2076" s="3984"/>
      <c r="J2076" s="3501" t="str">
        <f>$C$1806</f>
        <v>354311_2021_12_</v>
      </c>
      <c r="K2076" s="3048">
        <v>18000</v>
      </c>
      <c r="L2076" s="3521">
        <f t="shared" si="364"/>
        <v>1.5</v>
      </c>
      <c r="M2076" s="3520" t="s">
        <v>1083</v>
      </c>
      <c r="N2076" s="2804"/>
      <c r="O2076" s="106"/>
      <c r="P2076" s="106"/>
      <c r="Q2076" s="106"/>
      <c r="R2076" s="106"/>
      <c r="S2076" s="106"/>
      <c r="T2076" s="106"/>
      <c r="U2076" s="106"/>
      <c r="V2076" s="3980"/>
      <c r="W2076" s="3421"/>
      <c r="X2076" s="3421"/>
      <c r="Y2076" s="2374"/>
      <c r="Z2076" s="3421"/>
      <c r="AA2076" s="3421"/>
      <c r="AB2076" s="2374"/>
      <c r="AC2076" s="2292">
        <f>AC2074</f>
        <v>18000</v>
      </c>
      <c r="AD2076" s="3558">
        <v>18000</v>
      </c>
      <c r="AE2076" s="3429"/>
      <c r="AF2076" s="3421"/>
      <c r="AG2076" s="3421"/>
      <c r="AH2076" s="156"/>
      <c r="AI2076" s="156"/>
      <c r="AJ2076" s="156"/>
      <c r="AK2076" s="156"/>
      <c r="AL2076" s="156"/>
      <c r="AM2076" s="156"/>
      <c r="AN2076" s="156"/>
      <c r="AO2076" s="156"/>
      <c r="AP2076" s="156"/>
      <c r="AQ2076" s="156"/>
      <c r="AR2076" s="156"/>
      <c r="AS2076" s="156"/>
      <c r="AT2076" s="156"/>
      <c r="AU2076" s="156"/>
      <c r="AV2076" s="156"/>
      <c r="AW2076" s="156"/>
      <c r="AX2076" s="156"/>
      <c r="AY2076" s="156"/>
      <c r="AZ2076" s="156"/>
      <c r="BA2076" s="156"/>
      <c r="BB2076" s="2828"/>
      <c r="BC2076" s="452"/>
      <c r="BD2076" s="2829"/>
      <c r="BE2076" s="2837"/>
      <c r="BF2076" s="156"/>
    </row>
    <row r="2077" spans="1:58" ht="15" customHeight="1" outlineLevel="1" x14ac:dyDescent="0.35">
      <c r="A2077" s="1071"/>
      <c r="B2077" s="2812"/>
      <c r="C2077" s="3077"/>
      <c r="D2077" s="3980"/>
      <c r="E2077" s="3883"/>
      <c r="F2077" s="3984" t="str">
        <f>$E$1808</f>
        <v>ASHP-SEER18_ER1_MF</v>
      </c>
      <c r="G2077" s="3984"/>
      <c r="H2077" s="3984"/>
      <c r="I2077" s="3984"/>
      <c r="J2077" s="3501" t="str">
        <f>$C$1808</f>
        <v>354350_2021_12_</v>
      </c>
      <c r="K2077" s="3047">
        <v>30000</v>
      </c>
      <c r="L2077" s="3521">
        <f>K2077/12000</f>
        <v>2.5</v>
      </c>
      <c r="M2077" s="3518" t="s">
        <v>4360</v>
      </c>
      <c r="N2077" s="2804"/>
      <c r="O2077" s="106"/>
      <c r="P2077" s="106"/>
      <c r="Q2077" s="106"/>
      <c r="R2077" s="106"/>
      <c r="S2077" s="106"/>
      <c r="T2077" s="106"/>
      <c r="U2077" s="106"/>
      <c r="V2077" s="3980"/>
      <c r="W2077" s="3421">
        <v>39600</v>
      </c>
      <c r="X2077" s="3421">
        <v>39600</v>
      </c>
      <c r="Y2077" s="3421">
        <v>39600</v>
      </c>
      <c r="Z2077" s="3421">
        <v>39600</v>
      </c>
      <c r="AA2077" s="3421">
        <v>39600</v>
      </c>
      <c r="AB2077" s="3421">
        <v>39600</v>
      </c>
      <c r="AC2077" s="2292">
        <v>60000</v>
      </c>
      <c r="AD2077" s="3047">
        <v>30000</v>
      </c>
      <c r="AE2077" s="3429"/>
      <c r="AF2077" s="3421"/>
      <c r="AG2077" s="3421"/>
      <c r="AH2077" s="156"/>
      <c r="AI2077" s="156"/>
      <c r="AJ2077" s="156"/>
      <c r="AK2077" s="156"/>
      <c r="AL2077" s="156"/>
      <c r="AM2077" s="156"/>
      <c r="AN2077" s="156"/>
      <c r="AO2077" s="156"/>
      <c r="AP2077" s="156"/>
      <c r="AQ2077" s="156"/>
      <c r="AR2077" s="156"/>
      <c r="AS2077" s="156"/>
      <c r="AT2077" s="156"/>
      <c r="AU2077" s="156"/>
      <c r="AV2077" s="156"/>
      <c r="AW2077" s="156"/>
      <c r="AX2077" s="156"/>
      <c r="AY2077" s="156"/>
      <c r="AZ2077" s="156"/>
      <c r="BA2077" s="156"/>
      <c r="BB2077" s="2828"/>
      <c r="BC2077" s="452"/>
      <c r="BD2077" s="2829"/>
      <c r="BE2077" s="2837"/>
      <c r="BF2077" s="156"/>
    </row>
    <row r="2078" spans="1:58" ht="15" customHeight="1" outlineLevel="1" x14ac:dyDescent="0.35">
      <c r="A2078" s="1071"/>
      <c r="B2078" s="2812"/>
      <c r="C2078" s="3077"/>
      <c r="D2078" s="3980"/>
      <c r="E2078" s="3883"/>
      <c r="F2078" s="3984" t="str">
        <f>$E$1810</f>
        <v>ASHP-SEER18_ER2_MF</v>
      </c>
      <c r="G2078" s="3984"/>
      <c r="H2078" s="3984"/>
      <c r="I2078" s="3984"/>
      <c r="J2078" s="3501" t="str">
        <f>$C$1810</f>
        <v>354350_2021_12_</v>
      </c>
      <c r="K2078" s="3047">
        <v>30000</v>
      </c>
      <c r="L2078" s="3521">
        <f>K2078/12000</f>
        <v>2.5</v>
      </c>
      <c r="M2078" s="3518" t="s">
        <v>4360</v>
      </c>
      <c r="N2078" s="2804"/>
      <c r="O2078" s="106"/>
      <c r="P2078" s="106"/>
      <c r="Q2078" s="106"/>
      <c r="R2078" s="106"/>
      <c r="S2078" s="106"/>
      <c r="T2078" s="106"/>
      <c r="U2078" s="106"/>
      <c r="V2078" s="3980"/>
      <c r="W2078" s="3421">
        <v>39600</v>
      </c>
      <c r="X2078" s="3421">
        <v>39600</v>
      </c>
      <c r="Y2078" s="3421">
        <v>39600</v>
      </c>
      <c r="Z2078" s="3421">
        <v>39600</v>
      </c>
      <c r="AA2078" s="3421">
        <v>39600</v>
      </c>
      <c r="AB2078" s="3421">
        <v>39600</v>
      </c>
      <c r="AC2078" s="2292">
        <f>AC2077</f>
        <v>60000</v>
      </c>
      <c r="AD2078" s="3047">
        <v>30000</v>
      </c>
      <c r="AE2078" s="3429"/>
      <c r="AF2078" s="3421"/>
      <c r="AG2078" s="3421"/>
      <c r="AH2078" s="156"/>
      <c r="AI2078" s="156"/>
      <c r="AJ2078" s="156"/>
      <c r="AK2078" s="156"/>
      <c r="AL2078" s="156"/>
      <c r="AM2078" s="156"/>
      <c r="AN2078" s="156"/>
      <c r="AO2078" s="156"/>
      <c r="AP2078" s="156"/>
      <c r="AQ2078" s="156"/>
      <c r="AR2078" s="156"/>
      <c r="AS2078" s="156"/>
      <c r="AT2078" s="156"/>
      <c r="AU2078" s="156"/>
      <c r="AV2078" s="156"/>
      <c r="AW2078" s="156"/>
      <c r="AX2078" s="156"/>
      <c r="AY2078" s="156"/>
      <c r="AZ2078" s="156"/>
      <c r="BA2078" s="156"/>
      <c r="BB2078" s="2828"/>
      <c r="BC2078" s="452"/>
      <c r="BD2078" s="2829"/>
      <c r="BE2078" s="2837"/>
      <c r="BF2078" s="156"/>
    </row>
    <row r="2079" spans="1:58" ht="15" customHeight="1" outlineLevel="1" x14ac:dyDescent="0.35">
      <c r="A2079" s="1071"/>
      <c r="B2079" s="2812"/>
      <c r="C2079" s="3077"/>
      <c r="D2079" s="3980"/>
      <c r="E2079" s="3883"/>
      <c r="F2079" s="3984" t="str">
        <f>$E$1812</f>
        <v>ASHP-SEER18_ER1_MF_CompE</v>
      </c>
      <c r="G2079" s="3984"/>
      <c r="H2079" s="3984"/>
      <c r="I2079" s="3984"/>
      <c r="J2079" s="3501" t="str">
        <f>$C$1812</f>
        <v>354351_2021_12_</v>
      </c>
      <c r="K2079" s="3047">
        <v>30000</v>
      </c>
      <c r="L2079" s="3521">
        <f>K2079/12000</f>
        <v>2.5</v>
      </c>
      <c r="M2079" s="3518" t="s">
        <v>1083</v>
      </c>
      <c r="N2079" s="2804"/>
      <c r="O2079" s="106"/>
      <c r="P2079" s="106"/>
      <c r="Q2079" s="106"/>
      <c r="R2079" s="106"/>
      <c r="S2079" s="106"/>
      <c r="T2079" s="106"/>
      <c r="U2079" s="106"/>
      <c r="V2079" s="3980"/>
      <c r="W2079" s="3421"/>
      <c r="X2079" s="3421"/>
      <c r="Y2079" s="2374">
        <v>39600</v>
      </c>
      <c r="Z2079" s="3421">
        <v>39600</v>
      </c>
      <c r="AA2079" s="3421">
        <v>39600</v>
      </c>
      <c r="AB2079" s="3421">
        <v>39600</v>
      </c>
      <c r="AC2079" s="2292">
        <f>AC2077</f>
        <v>60000</v>
      </c>
      <c r="AD2079" s="3047">
        <v>30000</v>
      </c>
      <c r="AE2079" s="3429"/>
      <c r="AF2079" s="3421"/>
      <c r="AG2079" s="3421"/>
      <c r="AH2079" s="156"/>
      <c r="AI2079" s="156"/>
      <c r="AJ2079" s="156"/>
      <c r="AK2079" s="156"/>
      <c r="AL2079" s="156"/>
      <c r="AM2079" s="156"/>
      <c r="AN2079" s="156"/>
      <c r="AO2079" s="156"/>
      <c r="AP2079" s="156"/>
      <c r="AQ2079" s="156"/>
      <c r="AR2079" s="156"/>
      <c r="AS2079" s="156"/>
      <c r="AT2079" s="156"/>
      <c r="AU2079" s="156"/>
      <c r="AV2079" s="156"/>
      <c r="AW2079" s="156"/>
      <c r="AX2079" s="156"/>
      <c r="AY2079" s="156"/>
      <c r="AZ2079" s="156"/>
      <c r="BA2079" s="156"/>
      <c r="BB2079" s="2828"/>
      <c r="BC2079" s="452"/>
      <c r="BD2079" s="2829"/>
      <c r="BE2079" s="2837"/>
      <c r="BF2079" s="156"/>
    </row>
    <row r="2080" spans="1:58" ht="15" customHeight="1" outlineLevel="1" x14ac:dyDescent="0.35">
      <c r="A2080" s="1071"/>
      <c r="B2080" s="2812"/>
      <c r="C2080" s="3077"/>
      <c r="D2080" s="3980"/>
      <c r="E2080" s="3883"/>
      <c r="F2080" s="3984" t="str">
        <f>$E$1814</f>
        <v>ASHP-SEER18_ER2_MF_CompE</v>
      </c>
      <c r="G2080" s="3984"/>
      <c r="H2080" s="3984"/>
      <c r="I2080" s="3984"/>
      <c r="J2080" s="3501" t="str">
        <f>$C$1814</f>
        <v>354351_2021_12_</v>
      </c>
      <c r="K2080" s="3047">
        <v>30000</v>
      </c>
      <c r="L2080" s="3521">
        <f>K2080/12000</f>
        <v>2.5</v>
      </c>
      <c r="M2080" s="3518" t="s">
        <v>1083</v>
      </c>
      <c r="N2080" s="2804"/>
      <c r="O2080" s="106"/>
      <c r="P2080" s="106"/>
      <c r="Q2080" s="106"/>
      <c r="R2080" s="106"/>
      <c r="S2080" s="106"/>
      <c r="T2080" s="106"/>
      <c r="U2080" s="106"/>
      <c r="V2080" s="3980"/>
      <c r="W2080" s="3421"/>
      <c r="X2080" s="3421"/>
      <c r="Y2080" s="2374">
        <v>39600</v>
      </c>
      <c r="Z2080" s="3421">
        <v>39600</v>
      </c>
      <c r="AA2080" s="3421">
        <v>39600</v>
      </c>
      <c r="AB2080" s="3421">
        <v>39600</v>
      </c>
      <c r="AC2080" s="2292">
        <f>AC2078</f>
        <v>60000</v>
      </c>
      <c r="AD2080" s="3047">
        <v>30000</v>
      </c>
      <c r="AE2080" s="3429"/>
      <c r="AF2080" s="3421"/>
      <c r="AG2080" s="3421"/>
      <c r="AH2080" s="156"/>
      <c r="AI2080" s="156"/>
      <c r="AJ2080" s="156"/>
      <c r="AK2080" s="156"/>
      <c r="AL2080" s="156"/>
      <c r="AM2080" s="156"/>
      <c r="AN2080" s="156"/>
      <c r="AO2080" s="156"/>
      <c r="AP2080" s="156"/>
      <c r="AQ2080" s="156"/>
      <c r="AR2080" s="156"/>
      <c r="AS2080" s="156"/>
      <c r="AT2080" s="156"/>
      <c r="AU2080" s="156"/>
      <c r="AV2080" s="156"/>
      <c r="AW2080" s="156"/>
      <c r="AX2080" s="156"/>
      <c r="AY2080" s="156"/>
      <c r="AZ2080" s="156"/>
      <c r="BA2080" s="156"/>
      <c r="BB2080" s="2828"/>
      <c r="BC2080" s="452"/>
      <c r="BD2080" s="2829"/>
      <c r="BE2080" s="2837"/>
      <c r="BF2080" s="156"/>
    </row>
    <row r="2081" spans="1:58" ht="15" customHeight="1" outlineLevel="1" x14ac:dyDescent="0.35">
      <c r="A2081" s="1071"/>
      <c r="B2081" s="2812"/>
      <c r="C2081" s="3077"/>
      <c r="D2081" s="3980"/>
      <c r="E2081" s="3883"/>
      <c r="F2081" s="3984" t="str">
        <f>$E$1816</f>
        <v>ASHP-SEER19-Replace_CAC_ElectricHeat_ER1_SF</v>
      </c>
      <c r="G2081" s="3984"/>
      <c r="H2081" s="3984"/>
      <c r="I2081" s="3984"/>
      <c r="J2081" s="3501" t="str">
        <f>$C$1816</f>
        <v>354400_2021_12_</v>
      </c>
      <c r="K2081" s="3047">
        <v>45277.450979411769</v>
      </c>
      <c r="L2081" s="3521">
        <f t="shared" si="364"/>
        <v>3.7731209149509808</v>
      </c>
      <c r="M2081" s="3518" t="s">
        <v>4360</v>
      </c>
      <c r="N2081" s="2804"/>
      <c r="O2081" s="106"/>
      <c r="P2081" s="106"/>
      <c r="Q2081" s="106"/>
      <c r="R2081" s="106"/>
      <c r="S2081" s="106"/>
      <c r="T2081" s="106"/>
      <c r="U2081" s="106"/>
      <c r="V2081" s="3980"/>
      <c r="W2081" s="3421">
        <v>37200</v>
      </c>
      <c r="X2081" s="3421">
        <v>37200</v>
      </c>
      <c r="Y2081" s="3421">
        <v>37200</v>
      </c>
      <c r="Z2081" s="3421">
        <v>37200</v>
      </c>
      <c r="AA2081" s="3421">
        <v>37200</v>
      </c>
      <c r="AB2081" s="3421">
        <v>37200</v>
      </c>
      <c r="AC2081" s="2292">
        <v>43200</v>
      </c>
      <c r="AD2081" s="3047">
        <v>45277.450979411769</v>
      </c>
      <c r="AE2081" s="3429"/>
      <c r="AF2081" s="3421"/>
      <c r="AG2081" s="3421"/>
      <c r="AH2081" s="156"/>
      <c r="AI2081" s="156"/>
      <c r="AJ2081" s="156"/>
      <c r="AK2081" s="156"/>
      <c r="AL2081" s="156"/>
      <c r="AM2081" s="156"/>
      <c r="AN2081" s="156"/>
      <c r="AO2081" s="156"/>
      <c r="AP2081" s="156"/>
      <c r="AQ2081" s="156"/>
      <c r="AR2081" s="156"/>
      <c r="AS2081" s="156"/>
      <c r="AT2081" s="156"/>
      <c r="AU2081" s="156"/>
      <c r="AV2081" s="156"/>
      <c r="AW2081" s="156"/>
      <c r="AX2081" s="156"/>
      <c r="AY2081" s="156"/>
      <c r="AZ2081" s="156"/>
      <c r="BA2081" s="156"/>
      <c r="BB2081" s="2828"/>
      <c r="BC2081" s="452"/>
      <c r="BD2081" s="2829"/>
      <c r="BE2081" s="2837"/>
      <c r="BF2081" s="156"/>
    </row>
    <row r="2082" spans="1:58" ht="15" customHeight="1" outlineLevel="1" x14ac:dyDescent="0.35">
      <c r="A2082" s="1071"/>
      <c r="B2082" s="2812"/>
      <c r="C2082" s="3077"/>
      <c r="D2082" s="3980"/>
      <c r="E2082" s="3883"/>
      <c r="F2082" s="3984" t="str">
        <f>$E$1818</f>
        <v>ASHP-SEER19-Replace_CAC_ElectricHeat_ER2_SF</v>
      </c>
      <c r="G2082" s="3984"/>
      <c r="H2082" s="3984"/>
      <c r="I2082" s="3984"/>
      <c r="J2082" s="3501" t="str">
        <f>$C$1818</f>
        <v>354400_2021_12_</v>
      </c>
      <c r="K2082" s="3047">
        <v>45277.450979411769</v>
      </c>
      <c r="L2082" s="3521">
        <f t="shared" si="364"/>
        <v>3.7731209149509808</v>
      </c>
      <c r="M2082" s="3518" t="s">
        <v>4360</v>
      </c>
      <c r="N2082" s="2804"/>
      <c r="O2082" s="106"/>
      <c r="P2082" s="106"/>
      <c r="Q2082" s="106"/>
      <c r="R2082" s="106"/>
      <c r="S2082" s="106"/>
      <c r="T2082" s="106"/>
      <c r="U2082" s="106"/>
      <c r="V2082" s="3980"/>
      <c r="W2082" s="3421">
        <v>37200</v>
      </c>
      <c r="X2082" s="3421">
        <v>37200</v>
      </c>
      <c r="Y2082" s="3421">
        <v>37200</v>
      </c>
      <c r="Z2082" s="3421">
        <v>37200</v>
      </c>
      <c r="AA2082" s="3421">
        <v>37200</v>
      </c>
      <c r="AB2082" s="3421">
        <v>37200</v>
      </c>
      <c r="AC2082" s="2292">
        <f>AC2081</f>
        <v>43200</v>
      </c>
      <c r="AD2082" s="3047">
        <v>45277.450979411769</v>
      </c>
      <c r="AE2082" s="3429"/>
      <c r="AF2082" s="3421"/>
      <c r="AG2082" s="3421"/>
      <c r="AH2082" s="156"/>
      <c r="AI2082" s="156"/>
      <c r="AJ2082" s="156"/>
      <c r="AK2082" s="156"/>
      <c r="AL2082" s="156"/>
      <c r="AM2082" s="156"/>
      <c r="AN2082" s="156"/>
      <c r="AO2082" s="156"/>
      <c r="AP2082" s="156"/>
      <c r="AQ2082" s="156"/>
      <c r="AR2082" s="156"/>
      <c r="AS2082" s="156"/>
      <c r="AT2082" s="156"/>
      <c r="AU2082" s="156"/>
      <c r="AV2082" s="156"/>
      <c r="AW2082" s="156"/>
      <c r="AX2082" s="156"/>
      <c r="AY2082" s="156"/>
      <c r="AZ2082" s="156"/>
      <c r="BA2082" s="156"/>
      <c r="BB2082" s="2828"/>
      <c r="BC2082" s="452"/>
      <c r="BD2082" s="2829"/>
      <c r="BE2082" s="2837"/>
      <c r="BF2082" s="156"/>
    </row>
    <row r="2083" spans="1:58" ht="15" customHeight="1" outlineLevel="1" x14ac:dyDescent="0.35">
      <c r="A2083" s="1071"/>
      <c r="B2083" s="2812"/>
      <c r="C2083" s="3077"/>
      <c r="D2083" s="3980"/>
      <c r="E2083" s="3883"/>
      <c r="F2083" s="3984" t="str">
        <f>$E$1820</f>
        <v>ASHP-SEER19-Replace_CAC_NonElectricHeat_ER1_SF</v>
      </c>
      <c r="G2083" s="3984"/>
      <c r="H2083" s="3984"/>
      <c r="I2083" s="3984"/>
      <c r="J2083" s="3501" t="str">
        <f>$C$1820</f>
        <v>354410_2021_12_</v>
      </c>
      <c r="K2083" s="3048">
        <v>43200</v>
      </c>
      <c r="L2083" s="3521">
        <f t="shared" si="364"/>
        <v>3.6</v>
      </c>
      <c r="M2083" s="3520" t="s">
        <v>1083</v>
      </c>
      <c r="N2083" s="2804"/>
      <c r="O2083" s="106"/>
      <c r="P2083" s="106"/>
      <c r="Q2083" s="106"/>
      <c r="R2083" s="106"/>
      <c r="S2083" s="106"/>
      <c r="T2083" s="106"/>
      <c r="U2083" s="106"/>
      <c r="V2083" s="3980"/>
      <c r="W2083" s="3421"/>
      <c r="X2083" s="3421"/>
      <c r="Y2083" s="3421"/>
      <c r="Z2083" s="3421"/>
      <c r="AA2083" s="3421"/>
      <c r="AB2083" s="3421"/>
      <c r="AC2083" s="2292">
        <v>43200</v>
      </c>
      <c r="AD2083" s="3558">
        <v>43200</v>
      </c>
      <c r="AE2083" s="3429"/>
      <c r="AF2083" s="3421"/>
      <c r="AG2083" s="3421"/>
      <c r="AH2083" s="156"/>
      <c r="AI2083" s="156"/>
      <c r="AJ2083" s="156"/>
      <c r="AK2083" s="156"/>
      <c r="AL2083" s="156"/>
      <c r="AM2083" s="156"/>
      <c r="AN2083" s="156"/>
      <c r="AO2083" s="156"/>
      <c r="AP2083" s="156"/>
      <c r="AQ2083" s="156"/>
      <c r="AR2083" s="156"/>
      <c r="AS2083" s="156"/>
      <c r="AT2083" s="156"/>
      <c r="AU2083" s="156"/>
      <c r="AV2083" s="156"/>
      <c r="AW2083" s="156"/>
      <c r="AX2083" s="156"/>
      <c r="AY2083" s="156"/>
      <c r="AZ2083" s="156"/>
      <c r="BA2083" s="156"/>
      <c r="BB2083" s="2828"/>
      <c r="BC2083" s="452"/>
      <c r="BD2083" s="2829"/>
      <c r="BE2083" s="2837"/>
      <c r="BF2083" s="156"/>
    </row>
    <row r="2084" spans="1:58" ht="15" customHeight="1" outlineLevel="1" x14ac:dyDescent="0.35">
      <c r="A2084" s="1071"/>
      <c r="B2084" s="2812"/>
      <c r="C2084" s="3077"/>
      <c r="D2084" s="3980"/>
      <c r="E2084" s="3883"/>
      <c r="F2084" s="3984" t="str">
        <f>$E$1822</f>
        <v>ASHP-SEER19-Replace_CAC_NonElectricHeat_ER2_SF</v>
      </c>
      <c r="G2084" s="3984"/>
      <c r="H2084" s="3984"/>
      <c r="I2084" s="3984"/>
      <c r="J2084" s="3501" t="str">
        <f>$C$1822</f>
        <v>354410_2021_12_</v>
      </c>
      <c r="K2084" s="3048">
        <v>43200</v>
      </c>
      <c r="L2084" s="3521">
        <f t="shared" si="364"/>
        <v>3.6</v>
      </c>
      <c r="M2084" s="3520" t="s">
        <v>1083</v>
      </c>
      <c r="N2084" s="2804"/>
      <c r="O2084" s="106"/>
      <c r="P2084" s="106"/>
      <c r="Q2084" s="106"/>
      <c r="R2084" s="106"/>
      <c r="S2084" s="106"/>
      <c r="T2084" s="106"/>
      <c r="U2084" s="106"/>
      <c r="V2084" s="3980"/>
      <c r="W2084" s="3421"/>
      <c r="X2084" s="3421"/>
      <c r="Y2084" s="3421"/>
      <c r="Z2084" s="3421"/>
      <c r="AA2084" s="3421"/>
      <c r="AB2084" s="3421"/>
      <c r="AC2084" s="2292">
        <f>AC2083</f>
        <v>43200</v>
      </c>
      <c r="AD2084" s="3558">
        <v>43200</v>
      </c>
      <c r="AE2084" s="3429"/>
      <c r="AF2084" s="3421"/>
      <c r="AG2084" s="3421"/>
      <c r="AH2084" s="156"/>
      <c r="AI2084" s="156"/>
      <c r="AJ2084" s="156"/>
      <c r="AK2084" s="156"/>
      <c r="AL2084" s="156"/>
      <c r="AM2084" s="156"/>
      <c r="AN2084" s="156"/>
      <c r="AO2084" s="156"/>
      <c r="AP2084" s="156"/>
      <c r="AQ2084" s="156"/>
      <c r="AR2084" s="156"/>
      <c r="AS2084" s="156"/>
      <c r="AT2084" s="156"/>
      <c r="AU2084" s="156"/>
      <c r="AV2084" s="156"/>
      <c r="AW2084" s="156"/>
      <c r="AX2084" s="156"/>
      <c r="AY2084" s="156"/>
      <c r="AZ2084" s="156"/>
      <c r="BA2084" s="156"/>
      <c r="BB2084" s="2828"/>
      <c r="BC2084" s="452"/>
      <c r="BD2084" s="2829"/>
      <c r="BE2084" s="2837"/>
      <c r="BF2084" s="156"/>
    </row>
    <row r="2085" spans="1:58" ht="15" customHeight="1" outlineLevel="1" x14ac:dyDescent="0.35">
      <c r="A2085" s="1071"/>
      <c r="B2085" s="2812"/>
      <c r="C2085" s="3077"/>
      <c r="D2085" s="3980"/>
      <c r="E2085" s="3883"/>
      <c r="F2085" s="3984" t="str">
        <f>$E$1824</f>
        <v>ASHP-SEER19-Replace_CAC_ElectricHeat_ER1_MF</v>
      </c>
      <c r="G2085" s="3984"/>
      <c r="H2085" s="3984"/>
      <c r="I2085" s="3984"/>
      <c r="J2085" s="3501" t="str">
        <f>$C$1824</f>
        <v>354450_2019_12_</v>
      </c>
      <c r="K2085" s="3048">
        <v>37200</v>
      </c>
      <c r="L2085" s="3521">
        <f t="shared" si="364"/>
        <v>3.1</v>
      </c>
      <c r="M2085" s="3520"/>
      <c r="N2085" s="2804"/>
      <c r="O2085" s="106"/>
      <c r="P2085" s="106"/>
      <c r="Q2085" s="106"/>
      <c r="R2085" s="106"/>
      <c r="S2085" s="106"/>
      <c r="T2085" s="106"/>
      <c r="U2085" s="106"/>
      <c r="V2085" s="3980"/>
      <c r="W2085" s="3421">
        <v>37200</v>
      </c>
      <c r="X2085" s="3421">
        <v>37200</v>
      </c>
      <c r="Y2085" s="3421">
        <v>37200</v>
      </c>
      <c r="Z2085" s="3421">
        <v>37200</v>
      </c>
      <c r="AA2085" s="3421">
        <v>37200</v>
      </c>
      <c r="AB2085" s="3421">
        <v>37200</v>
      </c>
      <c r="AC2085" s="3557">
        <v>37200</v>
      </c>
      <c r="AD2085" s="3558">
        <v>37200</v>
      </c>
      <c r="AE2085" s="3429"/>
      <c r="AF2085" s="3421"/>
      <c r="AG2085" s="3421"/>
      <c r="AH2085" s="156"/>
      <c r="AI2085" s="156"/>
      <c r="AJ2085" s="156"/>
      <c r="AK2085" s="156"/>
      <c r="AL2085" s="156"/>
      <c r="AM2085" s="156"/>
      <c r="AN2085" s="156"/>
      <c r="AO2085" s="156"/>
      <c r="AP2085" s="156"/>
      <c r="AQ2085" s="156"/>
      <c r="AR2085" s="156"/>
      <c r="AS2085" s="156"/>
      <c r="AT2085" s="156"/>
      <c r="AU2085" s="156"/>
      <c r="AV2085" s="156"/>
      <c r="AW2085" s="156"/>
      <c r="AX2085" s="156"/>
      <c r="AY2085" s="156"/>
      <c r="AZ2085" s="156"/>
      <c r="BA2085" s="156"/>
      <c r="BB2085" s="2828"/>
      <c r="BC2085" s="452"/>
      <c r="BD2085" s="2829"/>
      <c r="BE2085" s="2837"/>
      <c r="BF2085" s="156"/>
    </row>
    <row r="2086" spans="1:58" ht="15" customHeight="1" outlineLevel="1" x14ac:dyDescent="0.35">
      <c r="A2086" s="1071"/>
      <c r="B2086" s="2812"/>
      <c r="C2086" s="3077"/>
      <c r="D2086" s="3980"/>
      <c r="E2086" s="3883"/>
      <c r="F2086" s="3984" t="str">
        <f>$E$1826</f>
        <v>ASHP-SEER19-Replace_CAC_ElectricHeat_ER2_MF</v>
      </c>
      <c r="G2086" s="3984"/>
      <c r="H2086" s="3984"/>
      <c r="I2086" s="3984"/>
      <c r="J2086" s="3501" t="str">
        <f>$C$1826</f>
        <v>354450_2019_12_</v>
      </c>
      <c r="K2086" s="3048">
        <v>37200</v>
      </c>
      <c r="L2086" s="3521">
        <f t="shared" si="364"/>
        <v>3.1</v>
      </c>
      <c r="M2086" s="3520"/>
      <c r="N2086" s="2804"/>
      <c r="O2086" s="106"/>
      <c r="P2086" s="106"/>
      <c r="Q2086" s="106"/>
      <c r="R2086" s="106"/>
      <c r="S2086" s="106"/>
      <c r="T2086" s="106"/>
      <c r="U2086" s="106"/>
      <c r="V2086" s="3980"/>
      <c r="W2086" s="3421">
        <v>37200</v>
      </c>
      <c r="X2086" s="3421">
        <v>37200</v>
      </c>
      <c r="Y2086" s="3421">
        <v>37200</v>
      </c>
      <c r="Z2086" s="3421">
        <v>37200</v>
      </c>
      <c r="AA2086" s="3421">
        <v>37200</v>
      </c>
      <c r="AB2086" s="3421">
        <v>37200</v>
      </c>
      <c r="AC2086" s="3557">
        <v>37200</v>
      </c>
      <c r="AD2086" s="3558">
        <v>37200</v>
      </c>
      <c r="AE2086" s="3429"/>
      <c r="AF2086" s="3421"/>
      <c r="AG2086" s="3421"/>
      <c r="AH2086" s="156"/>
      <c r="AI2086" s="156"/>
      <c r="AJ2086" s="156"/>
      <c r="AK2086" s="156"/>
      <c r="AL2086" s="156"/>
      <c r="AM2086" s="156"/>
      <c r="AN2086" s="156"/>
      <c r="AO2086" s="156"/>
      <c r="AP2086" s="156"/>
      <c r="AQ2086" s="156"/>
      <c r="AR2086" s="156"/>
      <c r="AS2086" s="156"/>
      <c r="AT2086" s="156"/>
      <c r="AU2086" s="156"/>
      <c r="AV2086" s="156"/>
      <c r="AW2086" s="156"/>
      <c r="AX2086" s="156"/>
      <c r="AY2086" s="156"/>
      <c r="AZ2086" s="156"/>
      <c r="BA2086" s="156"/>
      <c r="BB2086" s="2828"/>
      <c r="BC2086" s="452"/>
      <c r="BD2086" s="2829"/>
      <c r="BE2086" s="2837"/>
      <c r="BF2086" s="156"/>
    </row>
    <row r="2087" spans="1:58" ht="15" customHeight="1" outlineLevel="1" x14ac:dyDescent="0.35">
      <c r="A2087" s="1071"/>
      <c r="B2087" s="2812"/>
      <c r="C2087" s="3077"/>
      <c r="D2087" s="3980"/>
      <c r="E2087" s="3883"/>
      <c r="F2087" s="3984" t="str">
        <f>$E$1828</f>
        <v>ASHP-SEER19-Replace_CAC_ElectricHeat_ER1_MF_CompE</v>
      </c>
      <c r="G2087" s="3984"/>
      <c r="H2087" s="3984"/>
      <c r="I2087" s="3984"/>
      <c r="J2087" s="3501" t="str">
        <f>$C$1828</f>
        <v>354451_2019_12_</v>
      </c>
      <c r="K2087" s="3048">
        <v>37200</v>
      </c>
      <c r="L2087" s="3521">
        <f t="shared" si="364"/>
        <v>3.1</v>
      </c>
      <c r="M2087" s="3520"/>
      <c r="N2087" s="2804"/>
      <c r="O2087" s="106"/>
      <c r="P2087" s="106"/>
      <c r="Q2087" s="106"/>
      <c r="R2087" s="106"/>
      <c r="S2087" s="106"/>
      <c r="T2087" s="106"/>
      <c r="U2087" s="106"/>
      <c r="V2087" s="3980"/>
      <c r="W2087" s="3421"/>
      <c r="X2087" s="3421"/>
      <c r="Y2087" s="2374">
        <v>37200</v>
      </c>
      <c r="Z2087" s="3421">
        <v>37200</v>
      </c>
      <c r="AA2087" s="3421">
        <v>37200</v>
      </c>
      <c r="AB2087" s="3421">
        <v>37200</v>
      </c>
      <c r="AC2087" s="3557">
        <f>AC2085</f>
        <v>37200</v>
      </c>
      <c r="AD2087" s="3558">
        <v>37200</v>
      </c>
      <c r="AE2087" s="3429"/>
      <c r="AF2087" s="3421"/>
      <c r="AG2087" s="3421"/>
      <c r="AH2087" s="156"/>
      <c r="AI2087" s="156"/>
      <c r="AJ2087" s="156"/>
      <c r="AK2087" s="156"/>
      <c r="AL2087" s="156"/>
      <c r="AM2087" s="156"/>
      <c r="AN2087" s="156"/>
      <c r="AO2087" s="156"/>
      <c r="AP2087" s="156"/>
      <c r="AQ2087" s="156"/>
      <c r="AR2087" s="156"/>
      <c r="AS2087" s="156"/>
      <c r="AT2087" s="156"/>
      <c r="AU2087" s="156"/>
      <c r="AV2087" s="156"/>
      <c r="AW2087" s="156"/>
      <c r="AX2087" s="156"/>
      <c r="AY2087" s="156"/>
      <c r="AZ2087" s="156"/>
      <c r="BA2087" s="156"/>
      <c r="BB2087" s="2828"/>
      <c r="BC2087" s="452"/>
      <c r="BD2087" s="2829"/>
      <c r="BE2087" s="2837"/>
      <c r="BF2087" s="156"/>
    </row>
    <row r="2088" spans="1:58" ht="15" customHeight="1" outlineLevel="1" x14ac:dyDescent="0.35">
      <c r="A2088" s="1071"/>
      <c r="B2088" s="2812"/>
      <c r="C2088" s="3077"/>
      <c r="D2088" s="3980"/>
      <c r="E2088" s="3883"/>
      <c r="F2088" s="3984" t="str">
        <f>$E$1830</f>
        <v>ASHP-SEER19-Replace_CAC_ElectricHeat_ER2_MF_CompE</v>
      </c>
      <c r="G2088" s="3984"/>
      <c r="H2088" s="3984"/>
      <c r="I2088" s="3984"/>
      <c r="J2088" s="3501" t="str">
        <f>$C$1830</f>
        <v>354451_2019_12_</v>
      </c>
      <c r="K2088" s="3048">
        <v>37200</v>
      </c>
      <c r="L2088" s="3521">
        <f t="shared" si="364"/>
        <v>3.1</v>
      </c>
      <c r="M2088" s="3520"/>
      <c r="N2088" s="2804"/>
      <c r="O2088" s="106"/>
      <c r="P2088" s="106"/>
      <c r="Q2088" s="106"/>
      <c r="R2088" s="106"/>
      <c r="S2088" s="106"/>
      <c r="T2088" s="106"/>
      <c r="U2088" s="106"/>
      <c r="V2088" s="3980"/>
      <c r="W2088" s="3421"/>
      <c r="X2088" s="3421"/>
      <c r="Y2088" s="2374">
        <v>37200</v>
      </c>
      <c r="Z2088" s="3421">
        <v>37200</v>
      </c>
      <c r="AA2088" s="3421">
        <v>37200</v>
      </c>
      <c r="AB2088" s="3421">
        <v>37200</v>
      </c>
      <c r="AC2088" s="3557">
        <f>AC2086</f>
        <v>37200</v>
      </c>
      <c r="AD2088" s="3558">
        <v>37200</v>
      </c>
      <c r="AE2088" s="3429"/>
      <c r="AF2088" s="3421"/>
      <c r="AG2088" s="3421"/>
      <c r="AH2088" s="156"/>
      <c r="AI2088" s="156"/>
      <c r="AJ2088" s="156"/>
      <c r="AK2088" s="156"/>
      <c r="AL2088" s="156"/>
      <c r="AM2088" s="156"/>
      <c r="AN2088" s="156"/>
      <c r="AO2088" s="156"/>
      <c r="AP2088" s="156"/>
      <c r="AQ2088" s="156"/>
      <c r="AR2088" s="156"/>
      <c r="AS2088" s="156"/>
      <c r="AT2088" s="156"/>
      <c r="AU2088" s="156"/>
      <c r="AV2088" s="156"/>
      <c r="AW2088" s="156"/>
      <c r="AX2088" s="156"/>
      <c r="AY2088" s="156"/>
      <c r="AZ2088" s="156"/>
      <c r="BA2088" s="156"/>
      <c r="BB2088" s="2828"/>
      <c r="BC2088" s="452"/>
      <c r="BD2088" s="2829"/>
      <c r="BE2088" s="2837"/>
      <c r="BF2088" s="156"/>
    </row>
    <row r="2089" spans="1:58" ht="15" customHeight="1" outlineLevel="1" x14ac:dyDescent="0.35">
      <c r="A2089" s="1071"/>
      <c r="B2089" s="2812"/>
      <c r="C2089" s="3077"/>
      <c r="D2089" s="3980"/>
      <c r="E2089" s="3883"/>
      <c r="F2089" s="3984" t="str">
        <f>$E$1832</f>
        <v>ASHP-SEER19-Replace_CAC_NonElectricHeat_ER1_MF</v>
      </c>
      <c r="G2089" s="3984"/>
      <c r="H2089" s="3984"/>
      <c r="I2089" s="3984"/>
      <c r="J2089" s="3501" t="str">
        <f>$C$1832</f>
        <v>354460_2021_12_</v>
      </c>
      <c r="K2089" s="3048">
        <v>37200</v>
      </c>
      <c r="L2089" s="3521">
        <f t="shared" si="364"/>
        <v>3.1</v>
      </c>
      <c r="M2089" s="3520" t="s">
        <v>1083</v>
      </c>
      <c r="N2089" s="2804"/>
      <c r="O2089" s="106"/>
      <c r="P2089" s="106"/>
      <c r="Q2089" s="106"/>
      <c r="R2089" s="106"/>
      <c r="S2089" s="106"/>
      <c r="T2089" s="106"/>
      <c r="U2089" s="106"/>
      <c r="V2089" s="3980"/>
      <c r="W2089" s="3421"/>
      <c r="X2089" s="3421"/>
      <c r="Y2089" s="2374"/>
      <c r="Z2089" s="3421"/>
      <c r="AA2089" s="3421"/>
      <c r="AB2089" s="3421"/>
      <c r="AC2089" s="2292">
        <v>37200</v>
      </c>
      <c r="AD2089" s="3558">
        <v>37200</v>
      </c>
      <c r="AE2089" s="3429"/>
      <c r="AF2089" s="3421"/>
      <c r="AG2089" s="3421"/>
      <c r="AH2089" s="156"/>
      <c r="AI2089" s="156"/>
      <c r="AJ2089" s="156"/>
      <c r="AK2089" s="156"/>
      <c r="AL2089" s="156"/>
      <c r="AM2089" s="156"/>
      <c r="AN2089" s="156"/>
      <c r="AO2089" s="156"/>
      <c r="AP2089" s="156"/>
      <c r="AQ2089" s="156"/>
      <c r="AR2089" s="156"/>
      <c r="AS2089" s="156"/>
      <c r="AT2089" s="156"/>
      <c r="AU2089" s="156"/>
      <c r="AV2089" s="156"/>
      <c r="AW2089" s="156"/>
      <c r="AX2089" s="156"/>
      <c r="AY2089" s="156"/>
      <c r="AZ2089" s="156"/>
      <c r="BA2089" s="156"/>
      <c r="BB2089" s="2828"/>
      <c r="BC2089" s="452"/>
      <c r="BD2089" s="2829"/>
      <c r="BE2089" s="2837"/>
      <c r="BF2089" s="156"/>
    </row>
    <row r="2090" spans="1:58" ht="15" customHeight="1" outlineLevel="1" x14ac:dyDescent="0.35">
      <c r="A2090" s="1071"/>
      <c r="B2090" s="2812"/>
      <c r="C2090" s="3077"/>
      <c r="D2090" s="3980"/>
      <c r="E2090" s="3883"/>
      <c r="F2090" s="3984" t="str">
        <f>$E$1834</f>
        <v>ASHP-SEER19-Replace_CAC_NonElectricHeat_ER2_MF</v>
      </c>
      <c r="G2090" s="3984"/>
      <c r="H2090" s="3984"/>
      <c r="I2090" s="3984"/>
      <c r="J2090" s="3501" t="str">
        <f>$C$1834</f>
        <v>354460_2021_12_</v>
      </c>
      <c r="K2090" s="3048">
        <v>37200</v>
      </c>
      <c r="L2090" s="3521">
        <f t="shared" si="364"/>
        <v>3.1</v>
      </c>
      <c r="M2090" s="3520" t="s">
        <v>1083</v>
      </c>
      <c r="N2090" s="2804"/>
      <c r="O2090" s="106"/>
      <c r="P2090" s="106"/>
      <c r="Q2090" s="106"/>
      <c r="R2090" s="106"/>
      <c r="S2090" s="106"/>
      <c r="T2090" s="106"/>
      <c r="U2090" s="106"/>
      <c r="V2090" s="3980"/>
      <c r="W2090" s="3421"/>
      <c r="X2090" s="3421"/>
      <c r="Y2090" s="2374"/>
      <c r="Z2090" s="3421"/>
      <c r="AA2090" s="3421"/>
      <c r="AB2090" s="3421"/>
      <c r="AC2090" s="2292">
        <v>37200</v>
      </c>
      <c r="AD2090" s="3558">
        <v>37200</v>
      </c>
      <c r="AE2090" s="3429"/>
      <c r="AF2090" s="3421"/>
      <c r="AG2090" s="3421"/>
      <c r="AH2090" s="156"/>
      <c r="AI2090" s="156"/>
      <c r="AJ2090" s="156"/>
      <c r="AK2090" s="156"/>
      <c r="AL2090" s="156"/>
      <c r="AM2090" s="156"/>
      <c r="AN2090" s="156"/>
      <c r="AO2090" s="156"/>
      <c r="AP2090" s="156"/>
      <c r="AQ2090" s="156"/>
      <c r="AR2090" s="156"/>
      <c r="AS2090" s="156"/>
      <c r="AT2090" s="156"/>
      <c r="AU2090" s="156"/>
      <c r="AV2090" s="156"/>
      <c r="AW2090" s="156"/>
      <c r="AX2090" s="156"/>
      <c r="AY2090" s="156"/>
      <c r="AZ2090" s="156"/>
      <c r="BA2090" s="156"/>
      <c r="BB2090" s="2828"/>
      <c r="BC2090" s="452"/>
      <c r="BD2090" s="2829"/>
      <c r="BE2090" s="2837"/>
      <c r="BF2090" s="156"/>
    </row>
    <row r="2091" spans="1:58" ht="15" customHeight="1" outlineLevel="1" x14ac:dyDescent="0.35">
      <c r="A2091" s="1071"/>
      <c r="B2091" s="2812"/>
      <c r="C2091" s="3077"/>
      <c r="D2091" s="3980"/>
      <c r="E2091" s="3883"/>
      <c r="F2091" s="3984" t="str">
        <f>$E$1836</f>
        <v>ASHP-SEER19-Replace_CAC_NonElectricHeat_ER1_MF_CompE</v>
      </c>
      <c r="G2091" s="3984"/>
      <c r="H2091" s="3984"/>
      <c r="I2091" s="3984"/>
      <c r="J2091" s="3501" t="str">
        <f>$C$1836</f>
        <v>354461_2021_12_</v>
      </c>
      <c r="K2091" s="3048">
        <v>37200</v>
      </c>
      <c r="L2091" s="3521">
        <f t="shared" si="364"/>
        <v>3.1</v>
      </c>
      <c r="M2091" s="3520" t="s">
        <v>1083</v>
      </c>
      <c r="N2091" s="2804"/>
      <c r="O2091" s="106"/>
      <c r="P2091" s="106"/>
      <c r="Q2091" s="106"/>
      <c r="R2091" s="106"/>
      <c r="S2091" s="106"/>
      <c r="T2091" s="106"/>
      <c r="U2091" s="106"/>
      <c r="V2091" s="3980"/>
      <c r="W2091" s="3421"/>
      <c r="X2091" s="3421"/>
      <c r="Y2091" s="2374"/>
      <c r="Z2091" s="3421"/>
      <c r="AA2091" s="3421"/>
      <c r="AB2091" s="3421"/>
      <c r="AC2091" s="2292">
        <f>AC2089</f>
        <v>37200</v>
      </c>
      <c r="AD2091" s="3558">
        <v>37200</v>
      </c>
      <c r="AE2091" s="3429"/>
      <c r="AF2091" s="3421"/>
      <c r="AG2091" s="3421"/>
      <c r="AH2091" s="156"/>
      <c r="AI2091" s="156"/>
      <c r="AJ2091" s="156"/>
      <c r="AK2091" s="156"/>
      <c r="AL2091" s="156"/>
      <c r="AM2091" s="156"/>
      <c r="AN2091" s="156"/>
      <c r="AO2091" s="156"/>
      <c r="AP2091" s="156"/>
      <c r="AQ2091" s="156"/>
      <c r="AR2091" s="156"/>
      <c r="AS2091" s="156"/>
      <c r="AT2091" s="156"/>
      <c r="AU2091" s="156"/>
      <c r="AV2091" s="156"/>
      <c r="AW2091" s="156"/>
      <c r="AX2091" s="156"/>
      <c r="AY2091" s="156"/>
      <c r="AZ2091" s="156"/>
      <c r="BA2091" s="156"/>
      <c r="BB2091" s="2828"/>
      <c r="BC2091" s="452"/>
      <c r="BD2091" s="2829"/>
      <c r="BE2091" s="2837"/>
      <c r="BF2091" s="156"/>
    </row>
    <row r="2092" spans="1:58" ht="15" customHeight="1" outlineLevel="1" x14ac:dyDescent="0.35">
      <c r="A2092" s="1071"/>
      <c r="B2092" s="2812"/>
      <c r="C2092" s="3077"/>
      <c r="D2092" s="3980"/>
      <c r="E2092" s="3883"/>
      <c r="F2092" s="3984" t="str">
        <f>$E$1838</f>
        <v>ASHP-SEER19-Replace_CAC_NonElectricHeat_ER2_MF_CompE</v>
      </c>
      <c r="G2092" s="3984"/>
      <c r="H2092" s="3984"/>
      <c r="I2092" s="3984"/>
      <c r="J2092" s="3501" t="str">
        <f>$C$1838</f>
        <v>354461_2021_12_</v>
      </c>
      <c r="K2092" s="3048">
        <v>37200</v>
      </c>
      <c r="L2092" s="3521">
        <f t="shared" si="364"/>
        <v>3.1</v>
      </c>
      <c r="M2092" s="3520" t="s">
        <v>1083</v>
      </c>
      <c r="N2092" s="2804"/>
      <c r="O2092" s="106"/>
      <c r="P2092" s="106"/>
      <c r="Q2092" s="106"/>
      <c r="R2092" s="106"/>
      <c r="S2092" s="106"/>
      <c r="T2092" s="106"/>
      <c r="U2092" s="106"/>
      <c r="V2092" s="3980"/>
      <c r="W2092" s="3421"/>
      <c r="X2092" s="3421"/>
      <c r="Y2092" s="2374"/>
      <c r="Z2092" s="3421"/>
      <c r="AA2092" s="3421"/>
      <c r="AB2092" s="3421"/>
      <c r="AC2092" s="2292">
        <f>AC2090</f>
        <v>37200</v>
      </c>
      <c r="AD2092" s="3558">
        <v>37200</v>
      </c>
      <c r="AE2092" s="3429"/>
      <c r="AF2092" s="3421"/>
      <c r="AG2092" s="3421"/>
      <c r="AH2092" s="156"/>
      <c r="AI2092" s="156"/>
      <c r="AJ2092" s="156"/>
      <c r="AK2092" s="156"/>
      <c r="AL2092" s="156"/>
      <c r="AM2092" s="156"/>
      <c r="AN2092" s="156"/>
      <c r="AO2092" s="156"/>
      <c r="AP2092" s="156"/>
      <c r="AQ2092" s="156"/>
      <c r="AR2092" s="156"/>
      <c r="AS2092" s="156"/>
      <c r="AT2092" s="156"/>
      <c r="AU2092" s="156"/>
      <c r="AV2092" s="156"/>
      <c r="AW2092" s="156"/>
      <c r="AX2092" s="156"/>
      <c r="AY2092" s="156"/>
      <c r="AZ2092" s="156"/>
      <c r="BA2092" s="156"/>
      <c r="BB2092" s="2828"/>
      <c r="BC2092" s="452"/>
      <c r="BD2092" s="2829"/>
      <c r="BE2092" s="2837"/>
      <c r="BF2092" s="156"/>
    </row>
    <row r="2093" spans="1:58" ht="15" customHeight="1" outlineLevel="1" x14ac:dyDescent="0.35">
      <c r="A2093" s="1071"/>
      <c r="B2093" s="2812"/>
      <c r="C2093" s="3077"/>
      <c r="D2093" s="3980"/>
      <c r="E2093" s="3883"/>
      <c r="F2093" s="3984" t="str">
        <f>$E$1840</f>
        <v>ASHP-SEER19_ER1_MF</v>
      </c>
      <c r="G2093" s="3984"/>
      <c r="H2093" s="3984"/>
      <c r="I2093" s="3984"/>
      <c r="J2093" s="3501" t="str">
        <f>$C$1840</f>
        <v>354500_2019_12_</v>
      </c>
      <c r="K2093" s="3048">
        <v>39600</v>
      </c>
      <c r="L2093" s="3521">
        <f t="shared" si="364"/>
        <v>3.3</v>
      </c>
      <c r="M2093" s="3520"/>
      <c r="N2093" s="2804"/>
      <c r="O2093" s="106"/>
      <c r="P2093" s="106"/>
      <c r="Q2093" s="106"/>
      <c r="R2093" s="106"/>
      <c r="S2093" s="106"/>
      <c r="T2093" s="106"/>
      <c r="U2093" s="106"/>
      <c r="V2093" s="3980"/>
      <c r="W2093" s="3421">
        <v>39600</v>
      </c>
      <c r="X2093" s="3421">
        <v>39600</v>
      </c>
      <c r="Y2093" s="3421">
        <v>39600</v>
      </c>
      <c r="Z2093" s="3421">
        <v>39600</v>
      </c>
      <c r="AA2093" s="3421">
        <v>39600</v>
      </c>
      <c r="AB2093" s="3421">
        <v>39600</v>
      </c>
      <c r="AC2093" s="3557">
        <v>39600</v>
      </c>
      <c r="AD2093" s="3558">
        <v>39600</v>
      </c>
      <c r="AE2093" s="3429"/>
      <c r="AF2093" s="3421"/>
      <c r="AG2093" s="3421"/>
      <c r="AH2093" s="156"/>
      <c r="AI2093" s="156"/>
      <c r="AJ2093" s="156"/>
      <c r="AK2093" s="156"/>
      <c r="AL2093" s="156"/>
      <c r="AM2093" s="156"/>
      <c r="AN2093" s="156"/>
      <c r="AO2093" s="156"/>
      <c r="AP2093" s="156"/>
      <c r="AQ2093" s="156"/>
      <c r="AR2093" s="156"/>
      <c r="AS2093" s="156"/>
      <c r="AT2093" s="156"/>
      <c r="AU2093" s="156"/>
      <c r="AV2093" s="156"/>
      <c r="AW2093" s="156"/>
      <c r="AX2093" s="156"/>
      <c r="AY2093" s="156"/>
      <c r="AZ2093" s="156"/>
      <c r="BA2093" s="156"/>
      <c r="BB2093" s="2828"/>
      <c r="BC2093" s="452"/>
      <c r="BD2093" s="2829"/>
      <c r="BE2093" s="2837"/>
      <c r="BF2093" s="156"/>
    </row>
    <row r="2094" spans="1:58" ht="15" customHeight="1" outlineLevel="1" x14ac:dyDescent="0.35">
      <c r="A2094" s="1071"/>
      <c r="B2094" s="2812"/>
      <c r="C2094" s="3077"/>
      <c r="D2094" s="3980"/>
      <c r="E2094" s="3883"/>
      <c r="F2094" s="3984" t="str">
        <f>$E$1842</f>
        <v>ASHP-SEER19_ER2_MF</v>
      </c>
      <c r="G2094" s="3984"/>
      <c r="H2094" s="3984"/>
      <c r="I2094" s="3984"/>
      <c r="J2094" s="3501" t="str">
        <f>$C$1842</f>
        <v>354500_2019_12_</v>
      </c>
      <c r="K2094" s="3048">
        <v>39600</v>
      </c>
      <c r="L2094" s="3521">
        <f t="shared" si="364"/>
        <v>3.3</v>
      </c>
      <c r="M2094" s="3520"/>
      <c r="N2094" s="2804"/>
      <c r="O2094" s="106"/>
      <c r="P2094" s="106"/>
      <c r="Q2094" s="106"/>
      <c r="R2094" s="106"/>
      <c r="S2094" s="106"/>
      <c r="T2094" s="106"/>
      <c r="U2094" s="106"/>
      <c r="V2094" s="3980"/>
      <c r="W2094" s="3421">
        <v>39600</v>
      </c>
      <c r="X2094" s="3421">
        <v>39600</v>
      </c>
      <c r="Y2094" s="3421">
        <v>39600</v>
      </c>
      <c r="Z2094" s="3421">
        <v>39600</v>
      </c>
      <c r="AA2094" s="3421">
        <v>39600</v>
      </c>
      <c r="AB2094" s="3421">
        <v>39600</v>
      </c>
      <c r="AC2094" s="3557">
        <v>39600</v>
      </c>
      <c r="AD2094" s="3558">
        <v>39600</v>
      </c>
      <c r="AE2094" s="3429"/>
      <c r="AF2094" s="3421"/>
      <c r="AG2094" s="3421"/>
      <c r="AH2094" s="156"/>
      <c r="AI2094" s="156"/>
      <c r="AJ2094" s="156"/>
      <c r="AK2094" s="156"/>
      <c r="AL2094" s="156"/>
      <c r="AM2094" s="156"/>
      <c r="AN2094" s="156"/>
      <c r="AO2094" s="156"/>
      <c r="AP2094" s="156"/>
      <c r="AQ2094" s="156"/>
      <c r="AR2094" s="156"/>
      <c r="AS2094" s="156"/>
      <c r="AT2094" s="156"/>
      <c r="AU2094" s="156"/>
      <c r="AV2094" s="156"/>
      <c r="AW2094" s="156"/>
      <c r="AX2094" s="156"/>
      <c r="AY2094" s="156"/>
      <c r="AZ2094" s="156"/>
      <c r="BA2094" s="156"/>
      <c r="BB2094" s="2828"/>
      <c r="BC2094" s="452"/>
      <c r="BD2094" s="2829"/>
      <c r="BE2094" s="2837"/>
      <c r="BF2094" s="156"/>
    </row>
    <row r="2095" spans="1:58" ht="15" customHeight="1" outlineLevel="1" x14ac:dyDescent="0.35">
      <c r="A2095" s="1071"/>
      <c r="B2095" s="2812"/>
      <c r="C2095" s="3077"/>
      <c r="D2095" s="3980"/>
      <c r="E2095" s="3883"/>
      <c r="F2095" s="3984" t="str">
        <f>$E$1844</f>
        <v>ASHP-SEER19_ER1_MF_CompE</v>
      </c>
      <c r="G2095" s="3984"/>
      <c r="H2095" s="3984"/>
      <c r="I2095" s="3984"/>
      <c r="J2095" s="3501" t="str">
        <f>$C$1844</f>
        <v>354501_2019_12_</v>
      </c>
      <c r="K2095" s="3048">
        <v>39600</v>
      </c>
      <c r="L2095" s="3521">
        <f t="shared" si="364"/>
        <v>3.3</v>
      </c>
      <c r="M2095" s="3520"/>
      <c r="N2095" s="2804"/>
      <c r="O2095" s="106"/>
      <c r="P2095" s="106"/>
      <c r="Q2095" s="106"/>
      <c r="R2095" s="106"/>
      <c r="S2095" s="106"/>
      <c r="T2095" s="106"/>
      <c r="U2095" s="106"/>
      <c r="V2095" s="3980"/>
      <c r="W2095" s="3421"/>
      <c r="X2095" s="3421"/>
      <c r="Y2095" s="2374">
        <v>39600</v>
      </c>
      <c r="Z2095" s="3421">
        <v>39600</v>
      </c>
      <c r="AA2095" s="3421">
        <v>39600</v>
      </c>
      <c r="AB2095" s="3421">
        <v>39600</v>
      </c>
      <c r="AC2095" s="3557">
        <f>AC2093</f>
        <v>39600</v>
      </c>
      <c r="AD2095" s="3558">
        <v>39600</v>
      </c>
      <c r="AE2095" s="3429"/>
      <c r="AF2095" s="3421"/>
      <c r="AG2095" s="3421"/>
      <c r="AH2095" s="156"/>
      <c r="AI2095" s="156"/>
      <c r="AJ2095" s="156"/>
      <c r="AK2095" s="156"/>
      <c r="AL2095" s="156"/>
      <c r="AM2095" s="156"/>
      <c r="AN2095" s="156"/>
      <c r="AO2095" s="156"/>
      <c r="AP2095" s="156"/>
      <c r="AQ2095" s="156"/>
      <c r="AR2095" s="156"/>
      <c r="AS2095" s="156"/>
      <c r="AT2095" s="156"/>
      <c r="AU2095" s="156"/>
      <c r="AV2095" s="156"/>
      <c r="AW2095" s="156"/>
      <c r="AX2095" s="156"/>
      <c r="AY2095" s="156"/>
      <c r="AZ2095" s="156"/>
      <c r="BA2095" s="156"/>
      <c r="BB2095" s="2828"/>
      <c r="BC2095" s="452"/>
      <c r="BD2095" s="2829"/>
      <c r="BE2095" s="2837"/>
      <c r="BF2095" s="156"/>
    </row>
    <row r="2096" spans="1:58" ht="15" customHeight="1" outlineLevel="1" x14ac:dyDescent="0.35">
      <c r="A2096" s="1071"/>
      <c r="B2096" s="2812"/>
      <c r="C2096" s="3077"/>
      <c r="D2096" s="3980"/>
      <c r="E2096" s="3883"/>
      <c r="F2096" s="3984" t="str">
        <f>$E$1846</f>
        <v>ASHP-SEER19_ER2_MF_CompE</v>
      </c>
      <c r="G2096" s="3984"/>
      <c r="H2096" s="3984"/>
      <c r="I2096" s="3984"/>
      <c r="J2096" s="3501" t="str">
        <f>$C$1846</f>
        <v>354501_2019_12_</v>
      </c>
      <c r="K2096" s="3048">
        <v>39600</v>
      </c>
      <c r="L2096" s="3521">
        <f t="shared" si="364"/>
        <v>3.3</v>
      </c>
      <c r="M2096" s="3520"/>
      <c r="N2096" s="2804"/>
      <c r="O2096" s="106"/>
      <c r="P2096" s="106"/>
      <c r="Q2096" s="106"/>
      <c r="R2096" s="106"/>
      <c r="S2096" s="106"/>
      <c r="T2096" s="106"/>
      <c r="U2096" s="106"/>
      <c r="V2096" s="3980"/>
      <c r="W2096" s="3421"/>
      <c r="X2096" s="3421"/>
      <c r="Y2096" s="2374">
        <v>39600</v>
      </c>
      <c r="Z2096" s="3421">
        <v>39600</v>
      </c>
      <c r="AA2096" s="3421">
        <v>39600</v>
      </c>
      <c r="AB2096" s="3421">
        <v>39600</v>
      </c>
      <c r="AC2096" s="3557">
        <f>AC2094</f>
        <v>39600</v>
      </c>
      <c r="AD2096" s="3558">
        <v>39600</v>
      </c>
      <c r="AE2096" s="3429"/>
      <c r="AF2096" s="3421"/>
      <c r="AG2096" s="3421"/>
      <c r="AH2096" s="156"/>
      <c r="AI2096" s="156"/>
      <c r="AJ2096" s="156"/>
      <c r="AK2096" s="156"/>
      <c r="AL2096" s="156"/>
      <c r="AM2096" s="156"/>
      <c r="AN2096" s="156"/>
      <c r="AO2096" s="156"/>
      <c r="AP2096" s="156"/>
      <c r="AQ2096" s="156"/>
      <c r="AR2096" s="156"/>
      <c r="AS2096" s="156"/>
      <c r="AT2096" s="156"/>
      <c r="AU2096" s="156"/>
      <c r="AV2096" s="156"/>
      <c r="AW2096" s="156"/>
      <c r="AX2096" s="156"/>
      <c r="AY2096" s="156"/>
      <c r="AZ2096" s="156"/>
      <c r="BA2096" s="156"/>
      <c r="BB2096" s="2828"/>
      <c r="BC2096" s="452"/>
      <c r="BD2096" s="2829"/>
      <c r="BE2096" s="2837"/>
      <c r="BF2096" s="156"/>
    </row>
    <row r="2097" spans="1:58" ht="15" customHeight="1" outlineLevel="1" x14ac:dyDescent="0.35">
      <c r="A2097" s="1071"/>
      <c r="B2097" s="2812"/>
      <c r="C2097" s="3077"/>
      <c r="D2097" s="3980"/>
      <c r="E2097" s="3883"/>
      <c r="F2097" s="3984" t="str">
        <f>$E$1848</f>
        <v>ASHP-SEER20_ER1_SF</v>
      </c>
      <c r="G2097" s="3984"/>
      <c r="H2097" s="3984"/>
      <c r="I2097" s="3984"/>
      <c r="J2097" s="3501" t="str">
        <f>$C$1848</f>
        <v>354550_2021_12_</v>
      </c>
      <c r="K2097" s="3047">
        <v>33382.234755555553</v>
      </c>
      <c r="L2097" s="3521">
        <f t="shared" si="364"/>
        <v>2.7818528962962961</v>
      </c>
      <c r="M2097" s="3518" t="s">
        <v>4360</v>
      </c>
      <c r="N2097" s="2804"/>
      <c r="O2097" s="106"/>
      <c r="P2097" s="106"/>
      <c r="Q2097" s="106"/>
      <c r="R2097" s="106"/>
      <c r="S2097" s="106"/>
      <c r="T2097" s="106"/>
      <c r="U2097" s="106"/>
      <c r="V2097" s="3980"/>
      <c r="W2097" s="3421">
        <v>39600</v>
      </c>
      <c r="X2097" s="3421">
        <v>39600</v>
      </c>
      <c r="Y2097" s="3421">
        <v>39600</v>
      </c>
      <c r="Z2097" s="3421">
        <v>39600</v>
      </c>
      <c r="AA2097" s="3421">
        <v>39600</v>
      </c>
      <c r="AB2097" s="3421">
        <v>39600</v>
      </c>
      <c r="AC2097" s="2292">
        <v>60000</v>
      </c>
      <c r="AD2097" s="3047">
        <v>33382.234755555553</v>
      </c>
      <c r="AE2097" s="3429"/>
      <c r="AF2097" s="3421"/>
      <c r="AG2097" s="3421"/>
      <c r="AH2097" s="156"/>
      <c r="AI2097" s="156"/>
      <c r="AJ2097" s="156"/>
      <c r="AK2097" s="156"/>
      <c r="AL2097" s="156"/>
      <c r="AM2097" s="156"/>
      <c r="AN2097" s="156"/>
      <c r="AO2097" s="156"/>
      <c r="AP2097" s="156"/>
      <c r="AQ2097" s="156"/>
      <c r="AR2097" s="156"/>
      <c r="AS2097" s="156"/>
      <c r="AT2097" s="156"/>
      <c r="AU2097" s="156"/>
      <c r="AV2097" s="156"/>
      <c r="AW2097" s="156"/>
      <c r="AX2097" s="156"/>
      <c r="AY2097" s="156"/>
      <c r="AZ2097" s="156"/>
      <c r="BA2097" s="156"/>
      <c r="BB2097" s="2828"/>
      <c r="BC2097" s="452"/>
      <c r="BD2097" s="2829"/>
      <c r="BE2097" s="2837"/>
      <c r="BF2097" s="156"/>
    </row>
    <row r="2098" spans="1:58" ht="15" customHeight="1" outlineLevel="1" x14ac:dyDescent="0.35">
      <c r="A2098" s="1071"/>
      <c r="B2098" s="2812"/>
      <c r="C2098" s="3077"/>
      <c r="D2098" s="3980"/>
      <c r="E2098" s="3883"/>
      <c r="F2098" s="3984" t="str">
        <f>$E$1850</f>
        <v>ASHP-SEER20_ER2_SF</v>
      </c>
      <c r="G2098" s="3984"/>
      <c r="H2098" s="3984"/>
      <c r="I2098" s="3984"/>
      <c r="J2098" s="3501" t="str">
        <f>$C$1850</f>
        <v>354550_2021_12_</v>
      </c>
      <c r="K2098" s="3047">
        <v>33382.234755555553</v>
      </c>
      <c r="L2098" s="3521">
        <f t="shared" si="364"/>
        <v>2.7818528962962961</v>
      </c>
      <c r="M2098" s="3518" t="s">
        <v>4360</v>
      </c>
      <c r="N2098" s="2804"/>
      <c r="O2098" s="106"/>
      <c r="P2098" s="106"/>
      <c r="Q2098" s="106"/>
      <c r="R2098" s="106"/>
      <c r="S2098" s="106"/>
      <c r="T2098" s="106"/>
      <c r="U2098" s="106"/>
      <c r="V2098" s="3980"/>
      <c r="W2098" s="3421">
        <v>39600</v>
      </c>
      <c r="X2098" s="3421">
        <v>39600</v>
      </c>
      <c r="Y2098" s="3421">
        <v>39600</v>
      </c>
      <c r="Z2098" s="3421">
        <v>39600</v>
      </c>
      <c r="AA2098" s="3421">
        <v>39600</v>
      </c>
      <c r="AB2098" s="3421">
        <v>39600</v>
      </c>
      <c r="AC2098" s="2292">
        <f>AC2097</f>
        <v>60000</v>
      </c>
      <c r="AD2098" s="3047">
        <v>33382.234755555553</v>
      </c>
      <c r="AE2098" s="3429"/>
      <c r="AF2098" s="3421"/>
      <c r="AG2098" s="3421"/>
      <c r="AH2098" s="156"/>
      <c r="AI2098" s="156"/>
      <c r="AJ2098" s="156"/>
      <c r="AK2098" s="156"/>
      <c r="AL2098" s="156"/>
      <c r="AM2098" s="156"/>
      <c r="AN2098" s="156"/>
      <c r="AO2098" s="156"/>
      <c r="AP2098" s="156"/>
      <c r="AQ2098" s="156"/>
      <c r="AR2098" s="156"/>
      <c r="AS2098" s="156"/>
      <c r="AT2098" s="156"/>
      <c r="AU2098" s="156"/>
      <c r="AV2098" s="156"/>
      <c r="AW2098" s="156"/>
      <c r="AX2098" s="156"/>
      <c r="AY2098" s="156"/>
      <c r="AZ2098" s="156"/>
      <c r="BA2098" s="156"/>
      <c r="BB2098" s="2828"/>
      <c r="BC2098" s="452"/>
      <c r="BD2098" s="2829"/>
      <c r="BE2098" s="2837"/>
      <c r="BF2098" s="156"/>
    </row>
    <row r="2099" spans="1:58" ht="15" customHeight="1" outlineLevel="1" x14ac:dyDescent="0.35">
      <c r="A2099" s="1071"/>
      <c r="B2099" s="2812"/>
      <c r="C2099" s="3077"/>
      <c r="D2099" s="3980"/>
      <c r="E2099" s="3883"/>
      <c r="F2099" s="3984" t="str">
        <f>$E$1852</f>
        <v>ASHP-SEER20_ROF_SF</v>
      </c>
      <c r="G2099" s="3984"/>
      <c r="H2099" s="3984"/>
      <c r="I2099" s="3984"/>
      <c r="J2099" s="3501" t="str">
        <f>$C$1852</f>
        <v>354600_2021_12_</v>
      </c>
      <c r="K2099" s="3047">
        <v>34645</v>
      </c>
      <c r="L2099" s="3517">
        <f t="shared" si="364"/>
        <v>2.8870833333333334</v>
      </c>
      <c r="M2099" s="3518" t="s">
        <v>4360</v>
      </c>
      <c r="N2099" s="2804"/>
      <c r="O2099" s="106"/>
      <c r="P2099" s="106"/>
      <c r="Q2099" s="106"/>
      <c r="R2099" s="106"/>
      <c r="S2099" s="106"/>
      <c r="T2099" s="106"/>
      <c r="U2099" s="106"/>
      <c r="V2099" s="3980"/>
      <c r="W2099" s="3421">
        <v>39600</v>
      </c>
      <c r="X2099" s="3421">
        <v>39600</v>
      </c>
      <c r="Y2099" s="3421">
        <v>39600</v>
      </c>
      <c r="Z2099" s="3421">
        <v>39600</v>
      </c>
      <c r="AA2099" s="3421">
        <v>39600</v>
      </c>
      <c r="AB2099" s="3421">
        <v>39600</v>
      </c>
      <c r="AC2099" s="2292">
        <v>36000</v>
      </c>
      <c r="AD2099" s="3047">
        <v>34645</v>
      </c>
      <c r="AE2099" s="3429"/>
      <c r="AF2099" s="3421"/>
      <c r="AG2099" s="3421"/>
      <c r="AH2099" s="156"/>
      <c r="AI2099" s="156"/>
      <c r="AJ2099" s="156"/>
      <c r="AK2099" s="156"/>
      <c r="AL2099" s="156"/>
      <c r="AM2099" s="156"/>
      <c r="AN2099" s="156"/>
      <c r="AO2099" s="156"/>
      <c r="AP2099" s="156"/>
      <c r="AQ2099" s="156"/>
      <c r="AR2099" s="156"/>
      <c r="AS2099" s="156"/>
      <c r="AT2099" s="156"/>
      <c r="AU2099" s="156"/>
      <c r="AV2099" s="156"/>
      <c r="AW2099" s="156"/>
      <c r="AX2099" s="156"/>
      <c r="AY2099" s="156"/>
      <c r="AZ2099" s="156"/>
      <c r="BA2099" s="156"/>
      <c r="BB2099" s="2828"/>
      <c r="BC2099" s="452"/>
      <c r="BD2099" s="2829"/>
      <c r="BE2099" s="2837"/>
      <c r="BF2099" s="156"/>
    </row>
    <row r="2100" spans="1:58" ht="15" customHeight="1" outlineLevel="1" x14ac:dyDescent="0.35">
      <c r="A2100" s="1071"/>
      <c r="B2100" s="2812"/>
      <c r="C2100" s="3077"/>
      <c r="D2100" s="3980"/>
      <c r="E2100" s="3883"/>
      <c r="F2100" s="3984" t="str">
        <f>$E$1854</f>
        <v>ASHP-SEER20-Replace_CAC_ElectricHeat_ER1_MF</v>
      </c>
      <c r="G2100" s="3984"/>
      <c r="H2100" s="3984"/>
      <c r="I2100" s="3984"/>
      <c r="J2100" s="3501" t="str">
        <f>$C$1854</f>
        <v>354650_2019_12_</v>
      </c>
      <c r="K2100" s="3048">
        <v>37200</v>
      </c>
      <c r="L2100" s="3521">
        <f t="shared" si="364"/>
        <v>3.1</v>
      </c>
      <c r="M2100" s="3520"/>
      <c r="N2100" s="2804"/>
      <c r="O2100" s="106"/>
      <c r="P2100" s="106"/>
      <c r="Q2100" s="106"/>
      <c r="R2100" s="106"/>
      <c r="S2100" s="106"/>
      <c r="T2100" s="106"/>
      <c r="U2100" s="106"/>
      <c r="V2100" s="3980"/>
      <c r="W2100" s="3421">
        <v>37200</v>
      </c>
      <c r="X2100" s="3421">
        <v>37200</v>
      </c>
      <c r="Y2100" s="3421">
        <v>37200</v>
      </c>
      <c r="Z2100" s="3421">
        <v>37200</v>
      </c>
      <c r="AA2100" s="3421">
        <v>37200</v>
      </c>
      <c r="AB2100" s="3421">
        <v>37200</v>
      </c>
      <c r="AC2100" s="3557">
        <v>37200</v>
      </c>
      <c r="AD2100" s="3558">
        <v>37200</v>
      </c>
      <c r="AE2100" s="3429"/>
      <c r="AF2100" s="3421"/>
      <c r="AG2100" s="3421"/>
      <c r="AH2100" s="156"/>
      <c r="AI2100" s="156"/>
      <c r="AJ2100" s="156"/>
      <c r="AK2100" s="156"/>
      <c r="AL2100" s="156"/>
      <c r="AM2100" s="156"/>
      <c r="AN2100" s="156"/>
      <c r="AO2100" s="156"/>
      <c r="AP2100" s="156"/>
      <c r="AQ2100" s="156"/>
      <c r="AR2100" s="156"/>
      <c r="AS2100" s="156"/>
      <c r="AT2100" s="156"/>
      <c r="AU2100" s="156"/>
      <c r="AV2100" s="156"/>
      <c r="AW2100" s="156"/>
      <c r="AX2100" s="156"/>
      <c r="AY2100" s="156"/>
      <c r="AZ2100" s="156"/>
      <c r="BA2100" s="156"/>
      <c r="BB2100" s="2828"/>
      <c r="BC2100" s="452"/>
      <c r="BD2100" s="2829"/>
      <c r="BE2100" s="2837"/>
      <c r="BF2100" s="156"/>
    </row>
    <row r="2101" spans="1:58" ht="15" customHeight="1" outlineLevel="1" x14ac:dyDescent="0.35">
      <c r="A2101" s="1071"/>
      <c r="B2101" s="2812"/>
      <c r="C2101" s="3077"/>
      <c r="D2101" s="3980"/>
      <c r="E2101" s="3883"/>
      <c r="F2101" s="3984" t="str">
        <f>$E$1856</f>
        <v>ASHP-SEER20-Replace_CAC_ElectricHeat_ER2_MF</v>
      </c>
      <c r="G2101" s="3984"/>
      <c r="H2101" s="3984"/>
      <c r="I2101" s="3984"/>
      <c r="J2101" s="3501" t="str">
        <f>$C$1856</f>
        <v>354650_2019_12_</v>
      </c>
      <c r="K2101" s="3048">
        <v>37200</v>
      </c>
      <c r="L2101" s="3521">
        <f t="shared" si="364"/>
        <v>3.1</v>
      </c>
      <c r="M2101" s="3520"/>
      <c r="N2101" s="2804"/>
      <c r="O2101" s="106"/>
      <c r="P2101" s="106"/>
      <c r="Q2101" s="106"/>
      <c r="R2101" s="106"/>
      <c r="S2101" s="106"/>
      <c r="T2101" s="106"/>
      <c r="U2101" s="106"/>
      <c r="V2101" s="3980"/>
      <c r="W2101" s="3421">
        <v>37200</v>
      </c>
      <c r="X2101" s="3421">
        <v>37200</v>
      </c>
      <c r="Y2101" s="3421">
        <v>37200</v>
      </c>
      <c r="Z2101" s="3421">
        <v>37200</v>
      </c>
      <c r="AA2101" s="3421">
        <v>37200</v>
      </c>
      <c r="AB2101" s="3421">
        <v>37200</v>
      </c>
      <c r="AC2101" s="3557">
        <v>37200</v>
      </c>
      <c r="AD2101" s="3558">
        <v>37200</v>
      </c>
      <c r="AE2101" s="3429"/>
      <c r="AF2101" s="3421"/>
      <c r="AG2101" s="3421"/>
      <c r="AH2101" s="156"/>
      <c r="AI2101" s="156"/>
      <c r="AJ2101" s="156"/>
      <c r="AK2101" s="156"/>
      <c r="AL2101" s="156"/>
      <c r="AM2101" s="156"/>
      <c r="AN2101" s="156"/>
      <c r="AO2101" s="156"/>
      <c r="AP2101" s="156"/>
      <c r="AQ2101" s="156"/>
      <c r="AR2101" s="156"/>
      <c r="AS2101" s="156"/>
      <c r="AT2101" s="156"/>
      <c r="AU2101" s="156"/>
      <c r="AV2101" s="156"/>
      <c r="AW2101" s="156"/>
      <c r="AX2101" s="156"/>
      <c r="AY2101" s="156"/>
      <c r="AZ2101" s="156"/>
      <c r="BA2101" s="156"/>
      <c r="BB2101" s="2828"/>
      <c r="BC2101" s="452"/>
      <c r="BD2101" s="2829"/>
      <c r="BE2101" s="2837"/>
      <c r="BF2101" s="156"/>
    </row>
    <row r="2102" spans="1:58" ht="15" customHeight="1" outlineLevel="1" x14ac:dyDescent="0.35">
      <c r="A2102" s="1071"/>
      <c r="B2102" s="2812"/>
      <c r="C2102" s="3077"/>
      <c r="D2102" s="3980"/>
      <c r="E2102" s="3883"/>
      <c r="F2102" s="3984" t="str">
        <f>$E$1858</f>
        <v>ASHP-SEER20-Replace_CAC_ElectricHeat_ER1_MF_CompE</v>
      </c>
      <c r="G2102" s="3984"/>
      <c r="H2102" s="3984"/>
      <c r="I2102" s="3984"/>
      <c r="J2102" s="3501" t="str">
        <f>$C$1858</f>
        <v>354651_2019_12_</v>
      </c>
      <c r="K2102" s="3048">
        <v>37200</v>
      </c>
      <c r="L2102" s="3521">
        <f t="shared" si="364"/>
        <v>3.1</v>
      </c>
      <c r="M2102" s="3520"/>
      <c r="N2102" s="2804"/>
      <c r="O2102" s="106"/>
      <c r="P2102" s="106"/>
      <c r="Q2102" s="106"/>
      <c r="R2102" s="106"/>
      <c r="S2102" s="106"/>
      <c r="T2102" s="106"/>
      <c r="U2102" s="106"/>
      <c r="V2102" s="3980"/>
      <c r="W2102" s="3421"/>
      <c r="X2102" s="3421"/>
      <c r="Y2102" s="2374">
        <v>37200</v>
      </c>
      <c r="Z2102" s="3421">
        <v>37200</v>
      </c>
      <c r="AA2102" s="3421">
        <v>37200</v>
      </c>
      <c r="AB2102" s="3421">
        <v>37200</v>
      </c>
      <c r="AC2102" s="3557">
        <f>AC2100</f>
        <v>37200</v>
      </c>
      <c r="AD2102" s="3558">
        <v>37200</v>
      </c>
      <c r="AE2102" s="3429"/>
      <c r="AF2102" s="3421"/>
      <c r="AG2102" s="3421"/>
      <c r="AH2102" s="156"/>
      <c r="AI2102" s="156"/>
      <c r="AJ2102" s="156"/>
      <c r="AK2102" s="156"/>
      <c r="AL2102" s="156"/>
      <c r="AM2102" s="156"/>
      <c r="AN2102" s="156"/>
      <c r="AO2102" s="156"/>
      <c r="AP2102" s="156"/>
      <c r="AQ2102" s="156"/>
      <c r="AR2102" s="156"/>
      <c r="AS2102" s="156"/>
      <c r="AT2102" s="156"/>
      <c r="AU2102" s="156"/>
      <c r="AV2102" s="156"/>
      <c r="AW2102" s="156"/>
      <c r="AX2102" s="156"/>
      <c r="AY2102" s="156"/>
      <c r="AZ2102" s="156"/>
      <c r="BA2102" s="156"/>
      <c r="BB2102" s="2828"/>
      <c r="BC2102" s="452"/>
      <c r="BD2102" s="2829"/>
      <c r="BE2102" s="2837"/>
      <c r="BF2102" s="156"/>
    </row>
    <row r="2103" spans="1:58" ht="15" customHeight="1" outlineLevel="1" x14ac:dyDescent="0.35">
      <c r="A2103" s="1071"/>
      <c r="B2103" s="2812"/>
      <c r="C2103" s="3077"/>
      <c r="D2103" s="3980"/>
      <c r="E2103" s="3883"/>
      <c r="F2103" s="3984" t="str">
        <f>$E$1860</f>
        <v>ASHP-SEER20-Replace_CAC_ElectricHeat_ER2_MF_CompE</v>
      </c>
      <c r="G2103" s="3984"/>
      <c r="H2103" s="3984"/>
      <c r="I2103" s="3984"/>
      <c r="J2103" s="3501" t="str">
        <f>$C$1860</f>
        <v>354651_2019_12_</v>
      </c>
      <c r="K2103" s="3048">
        <v>37200</v>
      </c>
      <c r="L2103" s="3521">
        <f t="shared" si="364"/>
        <v>3.1</v>
      </c>
      <c r="M2103" s="3520"/>
      <c r="N2103" s="2804"/>
      <c r="O2103" s="106"/>
      <c r="P2103" s="106"/>
      <c r="Q2103" s="106"/>
      <c r="R2103" s="106"/>
      <c r="S2103" s="106"/>
      <c r="T2103" s="106"/>
      <c r="U2103" s="106"/>
      <c r="V2103" s="3980"/>
      <c r="W2103" s="3421"/>
      <c r="X2103" s="3421"/>
      <c r="Y2103" s="2374">
        <v>37200</v>
      </c>
      <c r="Z2103" s="3421">
        <v>37200</v>
      </c>
      <c r="AA2103" s="3421">
        <v>37200</v>
      </c>
      <c r="AB2103" s="3421">
        <v>37200</v>
      </c>
      <c r="AC2103" s="3557">
        <f>AC2101</f>
        <v>37200</v>
      </c>
      <c r="AD2103" s="3558">
        <v>37200</v>
      </c>
      <c r="AE2103" s="3429"/>
      <c r="AF2103" s="3421"/>
      <c r="AG2103" s="3421"/>
      <c r="AH2103" s="156"/>
      <c r="AI2103" s="156"/>
      <c r="AJ2103" s="156"/>
      <c r="AK2103" s="156"/>
      <c r="AL2103" s="156"/>
      <c r="AM2103" s="156"/>
      <c r="AN2103" s="156"/>
      <c r="AO2103" s="156"/>
      <c r="AP2103" s="156"/>
      <c r="AQ2103" s="156"/>
      <c r="AR2103" s="156"/>
      <c r="AS2103" s="156"/>
      <c r="AT2103" s="156"/>
      <c r="AU2103" s="156"/>
      <c r="AV2103" s="156"/>
      <c r="AW2103" s="156"/>
      <c r="AX2103" s="156"/>
      <c r="AY2103" s="156"/>
      <c r="AZ2103" s="156"/>
      <c r="BA2103" s="156"/>
      <c r="BB2103" s="2828"/>
      <c r="BC2103" s="452"/>
      <c r="BD2103" s="2829"/>
      <c r="BE2103" s="2837"/>
      <c r="BF2103" s="156"/>
    </row>
    <row r="2104" spans="1:58" ht="15" customHeight="1" outlineLevel="1" x14ac:dyDescent="0.35">
      <c r="A2104" s="1071"/>
      <c r="B2104" s="2812"/>
      <c r="C2104" s="3077"/>
      <c r="D2104" s="3980"/>
      <c r="E2104" s="3883"/>
      <c r="F2104" s="3984" t="str">
        <f>$E$1862</f>
        <v>ASHP-SEER20-Replace_CAC_NonElectricHeat_ER1_MF</v>
      </c>
      <c r="G2104" s="3984"/>
      <c r="H2104" s="3984"/>
      <c r="I2104" s="3984"/>
      <c r="J2104" s="3501" t="str">
        <f>$C$1862</f>
        <v>354660_2021_12_</v>
      </c>
      <c r="K2104" s="3048">
        <v>37200</v>
      </c>
      <c r="L2104" s="3521">
        <f t="shared" si="364"/>
        <v>3.1</v>
      </c>
      <c r="M2104" s="3520" t="s">
        <v>1083</v>
      </c>
      <c r="N2104" s="2804"/>
      <c r="O2104" s="106"/>
      <c r="P2104" s="106"/>
      <c r="Q2104" s="106"/>
      <c r="R2104" s="106"/>
      <c r="S2104" s="106"/>
      <c r="T2104" s="106"/>
      <c r="U2104" s="106"/>
      <c r="V2104" s="3980"/>
      <c r="W2104" s="3421"/>
      <c r="X2104" s="3421"/>
      <c r="Y2104" s="2374"/>
      <c r="Z2104" s="3421"/>
      <c r="AA2104" s="3421"/>
      <c r="AB2104" s="3421"/>
      <c r="AC2104" s="2292">
        <v>37200</v>
      </c>
      <c r="AD2104" s="3558">
        <v>37200</v>
      </c>
      <c r="AE2104" s="3429"/>
      <c r="AF2104" s="3421"/>
      <c r="AG2104" s="3421"/>
      <c r="AH2104" s="156"/>
      <c r="AI2104" s="156"/>
      <c r="AJ2104" s="156"/>
      <c r="AK2104" s="156"/>
      <c r="AL2104" s="156"/>
      <c r="AM2104" s="156"/>
      <c r="AN2104" s="156"/>
      <c r="AO2104" s="156"/>
      <c r="AP2104" s="156"/>
      <c r="AQ2104" s="156"/>
      <c r="AR2104" s="156"/>
      <c r="AS2104" s="156"/>
      <c r="AT2104" s="156"/>
      <c r="AU2104" s="156"/>
      <c r="AV2104" s="156"/>
      <c r="AW2104" s="156"/>
      <c r="AX2104" s="156"/>
      <c r="AY2104" s="156"/>
      <c r="AZ2104" s="156"/>
      <c r="BA2104" s="156"/>
      <c r="BB2104" s="2828"/>
      <c r="BC2104" s="452"/>
      <c r="BD2104" s="2829"/>
      <c r="BE2104" s="2837"/>
      <c r="BF2104" s="156"/>
    </row>
    <row r="2105" spans="1:58" ht="15" customHeight="1" outlineLevel="1" x14ac:dyDescent="0.35">
      <c r="A2105" s="1071"/>
      <c r="B2105" s="2812"/>
      <c r="C2105" s="3077"/>
      <c r="D2105" s="3980"/>
      <c r="E2105" s="3883"/>
      <c r="F2105" s="3984" t="str">
        <f>$E$1864</f>
        <v>ASHP-SEER20-Replace_CAC_NonElectricHeat_ER2_MF</v>
      </c>
      <c r="G2105" s="3984"/>
      <c r="H2105" s="3984"/>
      <c r="I2105" s="3984"/>
      <c r="J2105" s="3501" t="str">
        <f>$C$1864</f>
        <v>354660_2021_12_</v>
      </c>
      <c r="K2105" s="3048">
        <v>37200</v>
      </c>
      <c r="L2105" s="3521">
        <f t="shared" si="364"/>
        <v>3.1</v>
      </c>
      <c r="M2105" s="3520" t="s">
        <v>1083</v>
      </c>
      <c r="N2105" s="2804"/>
      <c r="O2105" s="106"/>
      <c r="P2105" s="106"/>
      <c r="Q2105" s="106"/>
      <c r="R2105" s="106"/>
      <c r="S2105" s="106"/>
      <c r="T2105" s="106"/>
      <c r="U2105" s="106"/>
      <c r="V2105" s="3980"/>
      <c r="W2105" s="3421"/>
      <c r="X2105" s="3421"/>
      <c r="Y2105" s="2374"/>
      <c r="Z2105" s="3421"/>
      <c r="AA2105" s="3421"/>
      <c r="AB2105" s="3421"/>
      <c r="AC2105" s="2292">
        <v>37200</v>
      </c>
      <c r="AD2105" s="3558">
        <v>37200</v>
      </c>
      <c r="AE2105" s="3429"/>
      <c r="AF2105" s="3421"/>
      <c r="AG2105" s="3421"/>
      <c r="AH2105" s="156"/>
      <c r="AI2105" s="156"/>
      <c r="AJ2105" s="156"/>
      <c r="AK2105" s="156"/>
      <c r="AL2105" s="156"/>
      <c r="AM2105" s="156"/>
      <c r="AN2105" s="156"/>
      <c r="AO2105" s="156"/>
      <c r="AP2105" s="156"/>
      <c r="AQ2105" s="156"/>
      <c r="AR2105" s="156"/>
      <c r="AS2105" s="156"/>
      <c r="AT2105" s="156"/>
      <c r="AU2105" s="156"/>
      <c r="AV2105" s="156"/>
      <c r="AW2105" s="156"/>
      <c r="AX2105" s="156"/>
      <c r="AY2105" s="156"/>
      <c r="AZ2105" s="156"/>
      <c r="BA2105" s="156"/>
      <c r="BB2105" s="2828"/>
      <c r="BC2105" s="452"/>
      <c r="BD2105" s="2829"/>
      <c r="BE2105" s="2837"/>
      <c r="BF2105" s="156"/>
    </row>
    <row r="2106" spans="1:58" ht="15" customHeight="1" outlineLevel="1" x14ac:dyDescent="0.35">
      <c r="A2106" s="1071"/>
      <c r="B2106" s="2812"/>
      <c r="C2106" s="3077"/>
      <c r="D2106" s="3980"/>
      <c r="E2106" s="3883"/>
      <c r="F2106" s="3984" t="str">
        <f>$E$1866</f>
        <v>ASHP-SEER20-Replace_CAC_NonElectricHeat_ER1_MF_CompE</v>
      </c>
      <c r="G2106" s="3984"/>
      <c r="H2106" s="3984"/>
      <c r="I2106" s="3984"/>
      <c r="J2106" s="3501" t="str">
        <f>$C$1866</f>
        <v>354661_2021_12_</v>
      </c>
      <c r="K2106" s="3048">
        <v>37200</v>
      </c>
      <c r="L2106" s="3521">
        <f t="shared" si="364"/>
        <v>3.1</v>
      </c>
      <c r="M2106" s="3520" t="s">
        <v>1083</v>
      </c>
      <c r="N2106" s="2804"/>
      <c r="O2106" s="106"/>
      <c r="P2106" s="106"/>
      <c r="Q2106" s="106"/>
      <c r="R2106" s="106"/>
      <c r="S2106" s="106"/>
      <c r="T2106" s="106"/>
      <c r="U2106" s="106"/>
      <c r="V2106" s="3980"/>
      <c r="W2106" s="3421"/>
      <c r="X2106" s="3421"/>
      <c r="Y2106" s="2374"/>
      <c r="Z2106" s="3421"/>
      <c r="AA2106" s="3421"/>
      <c r="AB2106" s="3421"/>
      <c r="AC2106" s="2292">
        <f>AC2104</f>
        <v>37200</v>
      </c>
      <c r="AD2106" s="3558">
        <v>37200</v>
      </c>
      <c r="AE2106" s="3429"/>
      <c r="AF2106" s="3421"/>
      <c r="AG2106" s="3421"/>
      <c r="AH2106" s="156"/>
      <c r="AI2106" s="156"/>
      <c r="AJ2106" s="156"/>
      <c r="AK2106" s="156"/>
      <c r="AL2106" s="156"/>
      <c r="AM2106" s="156"/>
      <c r="AN2106" s="156"/>
      <c r="AO2106" s="156"/>
      <c r="AP2106" s="156"/>
      <c r="AQ2106" s="156"/>
      <c r="AR2106" s="156"/>
      <c r="AS2106" s="156"/>
      <c r="AT2106" s="156"/>
      <c r="AU2106" s="156"/>
      <c r="AV2106" s="156"/>
      <c r="AW2106" s="156"/>
      <c r="AX2106" s="156"/>
      <c r="AY2106" s="156"/>
      <c r="AZ2106" s="156"/>
      <c r="BA2106" s="156"/>
      <c r="BB2106" s="2828"/>
      <c r="BC2106" s="452"/>
      <c r="BD2106" s="2829"/>
      <c r="BE2106" s="2837"/>
      <c r="BF2106" s="156"/>
    </row>
    <row r="2107" spans="1:58" ht="15" customHeight="1" outlineLevel="1" x14ac:dyDescent="0.35">
      <c r="A2107" s="1071"/>
      <c r="B2107" s="2812"/>
      <c r="C2107" s="3077"/>
      <c r="D2107" s="3980"/>
      <c r="E2107" s="3883"/>
      <c r="F2107" s="3984" t="str">
        <f>$E$1868</f>
        <v>ASHP-SEER20-Replace_CAC_NonElectricHeat_ER2_MF_CompE</v>
      </c>
      <c r="G2107" s="3984"/>
      <c r="H2107" s="3984"/>
      <c r="I2107" s="3984"/>
      <c r="J2107" s="3501" t="str">
        <f>$C$1868</f>
        <v>354661_2021_12_</v>
      </c>
      <c r="K2107" s="3048">
        <v>37200</v>
      </c>
      <c r="L2107" s="3521">
        <f t="shared" si="364"/>
        <v>3.1</v>
      </c>
      <c r="M2107" s="3520" t="s">
        <v>1083</v>
      </c>
      <c r="N2107" s="2804"/>
      <c r="O2107" s="106"/>
      <c r="P2107" s="106"/>
      <c r="Q2107" s="106"/>
      <c r="R2107" s="106"/>
      <c r="S2107" s="106"/>
      <c r="T2107" s="106"/>
      <c r="U2107" s="106"/>
      <c r="V2107" s="3980"/>
      <c r="W2107" s="3421"/>
      <c r="X2107" s="3421"/>
      <c r="Y2107" s="2374"/>
      <c r="Z2107" s="3421"/>
      <c r="AA2107" s="3421"/>
      <c r="AB2107" s="3421"/>
      <c r="AC2107" s="2292">
        <f>AC2105</f>
        <v>37200</v>
      </c>
      <c r="AD2107" s="3558">
        <v>37200</v>
      </c>
      <c r="AE2107" s="3429"/>
      <c r="AF2107" s="3421"/>
      <c r="AG2107" s="3421"/>
      <c r="AH2107" s="156"/>
      <c r="AI2107" s="156"/>
      <c r="AJ2107" s="156"/>
      <c r="AK2107" s="156"/>
      <c r="AL2107" s="156"/>
      <c r="AM2107" s="156"/>
      <c r="AN2107" s="156"/>
      <c r="AO2107" s="156"/>
      <c r="AP2107" s="156"/>
      <c r="AQ2107" s="156"/>
      <c r="AR2107" s="156"/>
      <c r="AS2107" s="156"/>
      <c r="AT2107" s="156"/>
      <c r="AU2107" s="156"/>
      <c r="AV2107" s="156"/>
      <c r="AW2107" s="156"/>
      <c r="AX2107" s="156"/>
      <c r="AY2107" s="156"/>
      <c r="AZ2107" s="156"/>
      <c r="BA2107" s="156"/>
      <c r="BB2107" s="2828"/>
      <c r="BC2107" s="452"/>
      <c r="BD2107" s="2829"/>
      <c r="BE2107" s="2837"/>
      <c r="BF2107" s="156"/>
    </row>
    <row r="2108" spans="1:58" ht="15" customHeight="1" outlineLevel="1" x14ac:dyDescent="0.35">
      <c r="A2108" s="1071"/>
      <c r="B2108" s="2812"/>
      <c r="C2108" s="3077"/>
      <c r="D2108" s="3980"/>
      <c r="E2108" s="3883"/>
      <c r="F2108" s="3984" t="str">
        <f>$E$1870</f>
        <v>ASHP-SEER20_ER1_MF</v>
      </c>
      <c r="G2108" s="3984"/>
      <c r="H2108" s="3984"/>
      <c r="I2108" s="3984"/>
      <c r="J2108" s="3501" t="str">
        <f>$C$1870</f>
        <v>354700_2019_12_</v>
      </c>
      <c r="K2108" s="3048">
        <v>39600</v>
      </c>
      <c r="L2108" s="3521">
        <f t="shared" si="364"/>
        <v>3.3</v>
      </c>
      <c r="M2108" s="3520"/>
      <c r="N2108" s="2804"/>
      <c r="O2108" s="106"/>
      <c r="P2108" s="106"/>
      <c r="Q2108" s="106"/>
      <c r="R2108" s="106"/>
      <c r="S2108" s="106"/>
      <c r="T2108" s="106"/>
      <c r="U2108" s="106"/>
      <c r="V2108" s="3980"/>
      <c r="W2108" s="3421">
        <v>39600</v>
      </c>
      <c r="X2108" s="3421">
        <v>39600</v>
      </c>
      <c r="Y2108" s="3421">
        <v>39600</v>
      </c>
      <c r="Z2108" s="3421">
        <v>39600</v>
      </c>
      <c r="AA2108" s="3421">
        <v>39600</v>
      </c>
      <c r="AB2108" s="3421">
        <v>39600</v>
      </c>
      <c r="AC2108" s="3557">
        <v>39600</v>
      </c>
      <c r="AD2108" s="3558">
        <v>39600</v>
      </c>
      <c r="AE2108" s="3429"/>
      <c r="AF2108" s="3421"/>
      <c r="AG2108" s="3421"/>
      <c r="AH2108" s="156"/>
      <c r="AI2108" s="156"/>
      <c r="AJ2108" s="156"/>
      <c r="AK2108" s="156"/>
      <c r="AL2108" s="156"/>
      <c r="AM2108" s="156"/>
      <c r="AN2108" s="156"/>
      <c r="AO2108" s="156"/>
      <c r="AP2108" s="156"/>
      <c r="AQ2108" s="156"/>
      <c r="AR2108" s="156"/>
      <c r="AS2108" s="156"/>
      <c r="AT2108" s="156"/>
      <c r="AU2108" s="156"/>
      <c r="AV2108" s="156"/>
      <c r="AW2108" s="156"/>
      <c r="AX2108" s="156"/>
      <c r="AY2108" s="156"/>
      <c r="AZ2108" s="156"/>
      <c r="BA2108" s="156"/>
      <c r="BB2108" s="2828"/>
      <c r="BC2108" s="452"/>
      <c r="BD2108" s="2829"/>
      <c r="BE2108" s="2837"/>
      <c r="BF2108" s="156"/>
    </row>
    <row r="2109" spans="1:58" ht="15" customHeight="1" outlineLevel="1" x14ac:dyDescent="0.35">
      <c r="A2109" s="1071"/>
      <c r="B2109" s="2812"/>
      <c r="C2109" s="3077"/>
      <c r="D2109" s="3980"/>
      <c r="E2109" s="3883"/>
      <c r="F2109" s="3984" t="str">
        <f>$E$1872</f>
        <v>ASHP-SEER20_ER2_MF</v>
      </c>
      <c r="G2109" s="3984"/>
      <c r="H2109" s="3984"/>
      <c r="I2109" s="3984"/>
      <c r="J2109" s="3501" t="str">
        <f>$C$1872</f>
        <v>354700_2019_12_</v>
      </c>
      <c r="K2109" s="3048">
        <v>39600</v>
      </c>
      <c r="L2109" s="3521">
        <f t="shared" si="364"/>
        <v>3.3</v>
      </c>
      <c r="M2109" s="3520"/>
      <c r="N2109" s="2804"/>
      <c r="O2109" s="106"/>
      <c r="P2109" s="106"/>
      <c r="Q2109" s="106"/>
      <c r="R2109" s="106"/>
      <c r="S2109" s="106"/>
      <c r="T2109" s="106"/>
      <c r="U2109" s="106"/>
      <c r="V2109" s="3980"/>
      <c r="W2109" s="3421">
        <v>39600</v>
      </c>
      <c r="X2109" s="3421">
        <v>39600</v>
      </c>
      <c r="Y2109" s="3421">
        <v>39600</v>
      </c>
      <c r="Z2109" s="3421">
        <v>39600</v>
      </c>
      <c r="AA2109" s="3421">
        <v>39600</v>
      </c>
      <c r="AB2109" s="3421">
        <v>39600</v>
      </c>
      <c r="AC2109" s="3557">
        <v>39600</v>
      </c>
      <c r="AD2109" s="3558">
        <v>39600</v>
      </c>
      <c r="AE2109" s="3429"/>
      <c r="AF2109" s="3421"/>
      <c r="AG2109" s="3421"/>
      <c r="AH2109" s="156"/>
      <c r="AI2109" s="156"/>
      <c r="AJ2109" s="156"/>
      <c r="AK2109" s="156"/>
      <c r="AL2109" s="156"/>
      <c r="AM2109" s="156"/>
      <c r="AN2109" s="156"/>
      <c r="AO2109" s="156"/>
      <c r="AP2109" s="156"/>
      <c r="AQ2109" s="156"/>
      <c r="AR2109" s="156"/>
      <c r="AS2109" s="156"/>
      <c r="AT2109" s="156"/>
      <c r="AU2109" s="156"/>
      <c r="AV2109" s="156"/>
      <c r="AW2109" s="156"/>
      <c r="AX2109" s="156"/>
      <c r="AY2109" s="156"/>
      <c r="AZ2109" s="156"/>
      <c r="BA2109" s="156"/>
      <c r="BB2109" s="2828"/>
      <c r="BC2109" s="452"/>
      <c r="BD2109" s="2829"/>
      <c r="BE2109" s="2837"/>
      <c r="BF2109" s="156"/>
    </row>
    <row r="2110" spans="1:58" ht="15" customHeight="1" outlineLevel="1" x14ac:dyDescent="0.35">
      <c r="A2110" s="1071"/>
      <c r="B2110" s="2812"/>
      <c r="C2110" s="3077"/>
      <c r="D2110" s="3980"/>
      <c r="E2110" s="3883"/>
      <c r="F2110" s="3984" t="str">
        <f>$E$1874</f>
        <v>ASHP-SEER20_ER1_MF_CompE</v>
      </c>
      <c r="G2110" s="3984"/>
      <c r="H2110" s="3984"/>
      <c r="I2110" s="3984"/>
      <c r="J2110" s="3501" t="str">
        <f>$C$1874</f>
        <v>354701_2019_12_</v>
      </c>
      <c r="K2110" s="3048">
        <v>39600</v>
      </c>
      <c r="L2110" s="3521">
        <f t="shared" si="364"/>
        <v>3.3</v>
      </c>
      <c r="M2110" s="3520"/>
      <c r="N2110" s="2804"/>
      <c r="O2110" s="106"/>
      <c r="P2110" s="106"/>
      <c r="Q2110" s="106"/>
      <c r="R2110" s="106"/>
      <c r="S2110" s="106"/>
      <c r="T2110" s="106"/>
      <c r="U2110" s="106"/>
      <c r="V2110" s="3980"/>
      <c r="W2110" s="3421"/>
      <c r="X2110" s="3421"/>
      <c r="Y2110" s="2374">
        <v>39600</v>
      </c>
      <c r="Z2110" s="3421">
        <v>39600</v>
      </c>
      <c r="AA2110" s="3421">
        <v>39600</v>
      </c>
      <c r="AB2110" s="3421">
        <v>39600</v>
      </c>
      <c r="AC2110" s="3557">
        <f>AC2108</f>
        <v>39600</v>
      </c>
      <c r="AD2110" s="3558">
        <v>39600</v>
      </c>
      <c r="AE2110" s="3429"/>
      <c r="AF2110" s="3421"/>
      <c r="AG2110" s="3421"/>
      <c r="AH2110" s="156"/>
      <c r="AI2110" s="156"/>
      <c r="AJ2110" s="156"/>
      <c r="AK2110" s="156"/>
      <c r="AL2110" s="156"/>
      <c r="AM2110" s="156"/>
      <c r="AN2110" s="156"/>
      <c r="AO2110" s="156"/>
      <c r="AP2110" s="156"/>
      <c r="AQ2110" s="156"/>
      <c r="AR2110" s="156"/>
      <c r="AS2110" s="156"/>
      <c r="AT2110" s="156"/>
      <c r="AU2110" s="156"/>
      <c r="AV2110" s="156"/>
      <c r="AW2110" s="156"/>
      <c r="AX2110" s="156"/>
      <c r="AY2110" s="156"/>
      <c r="AZ2110" s="156"/>
      <c r="BA2110" s="156"/>
      <c r="BB2110" s="2828"/>
      <c r="BC2110" s="452"/>
      <c r="BD2110" s="2829"/>
      <c r="BE2110" s="2837"/>
      <c r="BF2110" s="156"/>
    </row>
    <row r="2111" spans="1:58" ht="15" customHeight="1" outlineLevel="1" x14ac:dyDescent="0.35">
      <c r="A2111" s="1071"/>
      <c r="B2111" s="2812"/>
      <c r="C2111" s="3077"/>
      <c r="D2111" s="3980"/>
      <c r="E2111" s="3883"/>
      <c r="F2111" s="3984" t="str">
        <f>$E$1876</f>
        <v>ASHP-SEER20_ER2_MF_CompE</v>
      </c>
      <c r="G2111" s="3984"/>
      <c r="H2111" s="3984"/>
      <c r="I2111" s="3984"/>
      <c r="J2111" s="3501" t="str">
        <f>$C$1876</f>
        <v>354701_2019_12_</v>
      </c>
      <c r="K2111" s="3048">
        <v>39600</v>
      </c>
      <c r="L2111" s="3521">
        <f t="shared" si="364"/>
        <v>3.3</v>
      </c>
      <c r="M2111" s="3520"/>
      <c r="N2111" s="2804"/>
      <c r="O2111" s="106"/>
      <c r="P2111" s="106"/>
      <c r="Q2111" s="106"/>
      <c r="R2111" s="106"/>
      <c r="S2111" s="106"/>
      <c r="T2111" s="106"/>
      <c r="U2111" s="106"/>
      <c r="V2111" s="3980"/>
      <c r="W2111" s="3421"/>
      <c r="X2111" s="3421"/>
      <c r="Y2111" s="2374">
        <v>39600</v>
      </c>
      <c r="Z2111" s="3421">
        <v>39600</v>
      </c>
      <c r="AA2111" s="3421">
        <v>39600</v>
      </c>
      <c r="AB2111" s="3421">
        <v>39600</v>
      </c>
      <c r="AC2111" s="3557">
        <f>AC2109</f>
        <v>39600</v>
      </c>
      <c r="AD2111" s="3558">
        <v>39600</v>
      </c>
      <c r="AE2111" s="3429"/>
      <c r="AF2111" s="3421"/>
      <c r="AG2111" s="3421"/>
      <c r="AH2111" s="156"/>
      <c r="AI2111" s="156"/>
      <c r="AJ2111" s="156"/>
      <c r="AK2111" s="156"/>
      <c r="AL2111" s="156"/>
      <c r="AM2111" s="156"/>
      <c r="AN2111" s="156"/>
      <c r="AO2111" s="156"/>
      <c r="AP2111" s="156"/>
      <c r="AQ2111" s="156"/>
      <c r="AR2111" s="156"/>
      <c r="AS2111" s="156"/>
      <c r="AT2111" s="156"/>
      <c r="AU2111" s="156"/>
      <c r="AV2111" s="156"/>
      <c r="AW2111" s="156"/>
      <c r="AX2111" s="156"/>
      <c r="AY2111" s="156"/>
      <c r="AZ2111" s="156"/>
      <c r="BA2111" s="156"/>
      <c r="BB2111" s="2828"/>
      <c r="BC2111" s="452"/>
      <c r="BD2111" s="2829"/>
      <c r="BE2111" s="2837"/>
      <c r="BF2111" s="156"/>
    </row>
    <row r="2112" spans="1:58" ht="15" customHeight="1" outlineLevel="1" x14ac:dyDescent="0.35">
      <c r="A2112" s="1071"/>
      <c r="B2112" s="2812"/>
      <c r="C2112" s="3077"/>
      <c r="D2112" s="3980"/>
      <c r="E2112" s="3883"/>
      <c r="F2112" s="3984" t="str">
        <f>$E$1878</f>
        <v>ASHP-SEER21_ER1_SF</v>
      </c>
      <c r="G2112" s="3984"/>
      <c r="H2112" s="3984"/>
      <c r="I2112" s="3984"/>
      <c r="J2112" s="3501" t="str">
        <f>$C$1878</f>
        <v>354750_2021_12_</v>
      </c>
      <c r="K2112" s="3047">
        <v>40225.166612626257</v>
      </c>
      <c r="L2112" s="3521">
        <f t="shared" si="364"/>
        <v>3.3520972177188546</v>
      </c>
      <c r="M2112" s="3518" t="s">
        <v>4360</v>
      </c>
      <c r="N2112" s="2804"/>
      <c r="O2112" s="106"/>
      <c r="P2112" s="106"/>
      <c r="Q2112" s="106"/>
      <c r="R2112" s="106"/>
      <c r="S2112" s="106"/>
      <c r="T2112" s="106"/>
      <c r="U2112" s="106"/>
      <c r="V2112" s="3980"/>
      <c r="W2112" s="3421">
        <v>39600</v>
      </c>
      <c r="X2112" s="3421">
        <v>39600</v>
      </c>
      <c r="Y2112" s="3421">
        <v>39600</v>
      </c>
      <c r="Z2112" s="3421">
        <v>39600</v>
      </c>
      <c r="AA2112" s="3421">
        <v>39600</v>
      </c>
      <c r="AB2112" s="3421">
        <v>39600</v>
      </c>
      <c r="AC2112" s="2292">
        <v>40615.384615384617</v>
      </c>
      <c r="AD2112" s="3047">
        <v>40225.166612626257</v>
      </c>
      <c r="AE2112" s="3429"/>
      <c r="AF2112" s="3421"/>
      <c r="AG2112" s="3421"/>
      <c r="AH2112" s="156"/>
      <c r="AI2112" s="156"/>
      <c r="AJ2112" s="156"/>
      <c r="AK2112" s="156"/>
      <c r="AL2112" s="156"/>
      <c r="AM2112" s="156"/>
      <c r="AN2112" s="156"/>
      <c r="AO2112" s="156"/>
      <c r="AP2112" s="156"/>
      <c r="AQ2112" s="156"/>
      <c r="AR2112" s="156"/>
      <c r="AS2112" s="156"/>
      <c r="AT2112" s="156"/>
      <c r="AU2112" s="156"/>
      <c r="AV2112" s="156"/>
      <c r="AW2112" s="156"/>
      <c r="AX2112" s="156"/>
      <c r="AY2112" s="156"/>
      <c r="AZ2112" s="156"/>
      <c r="BA2112" s="156"/>
      <c r="BB2112" s="2828"/>
      <c r="BC2112" s="452"/>
      <c r="BD2112" s="2829"/>
      <c r="BE2112" s="2837"/>
      <c r="BF2112" s="156"/>
    </row>
    <row r="2113" spans="1:58" ht="15" customHeight="1" outlineLevel="1" x14ac:dyDescent="0.35">
      <c r="A2113" s="1071"/>
      <c r="B2113" s="2812"/>
      <c r="C2113" s="3077"/>
      <c r="D2113" s="3980"/>
      <c r="E2113" s="3883"/>
      <c r="F2113" s="3984" t="str">
        <f>$E$1880</f>
        <v>ASHP-SEER21_ER2_SF</v>
      </c>
      <c r="G2113" s="3984"/>
      <c r="H2113" s="3984"/>
      <c r="I2113" s="3984"/>
      <c r="J2113" s="3501" t="str">
        <f>$C$1880</f>
        <v>354750_2021_12_</v>
      </c>
      <c r="K2113" s="3047">
        <v>40225.166612626257</v>
      </c>
      <c r="L2113" s="3521">
        <f t="shared" si="364"/>
        <v>3.3520972177188546</v>
      </c>
      <c r="M2113" s="3518" t="s">
        <v>4360</v>
      </c>
      <c r="N2113" s="2804"/>
      <c r="O2113" s="106"/>
      <c r="P2113" s="106"/>
      <c r="Q2113" s="106"/>
      <c r="R2113" s="106"/>
      <c r="S2113" s="106"/>
      <c r="T2113" s="106"/>
      <c r="U2113" s="106"/>
      <c r="V2113" s="3980"/>
      <c r="W2113" s="3421">
        <v>39600</v>
      </c>
      <c r="X2113" s="3421">
        <v>39600</v>
      </c>
      <c r="Y2113" s="3421">
        <v>39600</v>
      </c>
      <c r="Z2113" s="3421">
        <v>39600</v>
      </c>
      <c r="AA2113" s="3421">
        <v>39600</v>
      </c>
      <c r="AB2113" s="3421">
        <v>39600</v>
      </c>
      <c r="AC2113" s="2292">
        <f>AC2112</f>
        <v>40615.384615384617</v>
      </c>
      <c r="AD2113" s="3047">
        <v>40225.166612626257</v>
      </c>
      <c r="AE2113" s="3429"/>
      <c r="AF2113" s="3421"/>
      <c r="AG2113" s="3421"/>
      <c r="AH2113" s="156"/>
      <c r="AI2113" s="156"/>
      <c r="AJ2113" s="156"/>
      <c r="AK2113" s="156"/>
      <c r="AL2113" s="156"/>
      <c r="AM2113" s="156"/>
      <c r="AN2113" s="156"/>
      <c r="AO2113" s="156"/>
      <c r="AP2113" s="156"/>
      <c r="AQ2113" s="156"/>
      <c r="AR2113" s="156"/>
      <c r="AS2113" s="156"/>
      <c r="AT2113" s="156"/>
      <c r="AU2113" s="156"/>
      <c r="AV2113" s="156"/>
      <c r="AW2113" s="156"/>
      <c r="AX2113" s="156"/>
      <c r="AY2113" s="156"/>
      <c r="AZ2113" s="156"/>
      <c r="BA2113" s="156"/>
      <c r="BB2113" s="2828"/>
      <c r="BC2113" s="452"/>
      <c r="BD2113" s="2829"/>
      <c r="BE2113" s="2837"/>
      <c r="BF2113" s="156"/>
    </row>
    <row r="2114" spans="1:58" ht="15" customHeight="1" outlineLevel="1" x14ac:dyDescent="0.35">
      <c r="A2114" s="1071"/>
      <c r="B2114" s="2812"/>
      <c r="C2114" s="3077"/>
      <c r="D2114" s="3980"/>
      <c r="E2114" s="3883"/>
      <c r="F2114" s="3984" t="str">
        <f>$E$1882</f>
        <v>ASHP-SEER21_ROF_SF</v>
      </c>
      <c r="G2114" s="3984"/>
      <c r="H2114" s="3984"/>
      <c r="I2114" s="3984"/>
      <c r="J2114" s="3501" t="str">
        <f>$C$1882</f>
        <v>354800_2021_12_</v>
      </c>
      <c r="K2114" s="3047">
        <v>41639.393940624999</v>
      </c>
      <c r="L2114" s="3521">
        <f t="shared" si="364"/>
        <v>3.4699494950520831</v>
      </c>
      <c r="M2114" s="3518" t="s">
        <v>4360</v>
      </c>
      <c r="N2114" s="2804"/>
      <c r="O2114" s="106"/>
      <c r="P2114" s="106"/>
      <c r="Q2114" s="106"/>
      <c r="R2114" s="106"/>
      <c r="S2114" s="106"/>
      <c r="T2114" s="106"/>
      <c r="U2114" s="106"/>
      <c r="V2114" s="3980"/>
      <c r="W2114" s="3421">
        <v>39600</v>
      </c>
      <c r="X2114" s="3421">
        <v>39600</v>
      </c>
      <c r="Y2114" s="3421">
        <v>39600</v>
      </c>
      <c r="Z2114" s="3421">
        <v>39600</v>
      </c>
      <c r="AA2114" s="3421">
        <v>39600</v>
      </c>
      <c r="AB2114" s="3421">
        <v>39600</v>
      </c>
      <c r="AC2114" s="2292">
        <v>46500</v>
      </c>
      <c r="AD2114" s="3047">
        <v>41639.393940624999</v>
      </c>
      <c r="AE2114" s="3429"/>
      <c r="AF2114" s="3421"/>
      <c r="AG2114" s="3421"/>
      <c r="AH2114" s="156"/>
      <c r="AI2114" s="156"/>
      <c r="AJ2114" s="156"/>
      <c r="AK2114" s="156"/>
      <c r="AL2114" s="156"/>
      <c r="AM2114" s="156"/>
      <c r="AN2114" s="156"/>
      <c r="AO2114" s="156"/>
      <c r="AP2114" s="156"/>
      <c r="AQ2114" s="156"/>
      <c r="AR2114" s="156"/>
      <c r="AS2114" s="156"/>
      <c r="AT2114" s="156"/>
      <c r="AU2114" s="156"/>
      <c r="AV2114" s="156"/>
      <c r="AW2114" s="156"/>
      <c r="AX2114" s="156"/>
      <c r="AY2114" s="156"/>
      <c r="AZ2114" s="156"/>
      <c r="BA2114" s="156"/>
      <c r="BB2114" s="2828"/>
      <c r="BC2114" s="452"/>
      <c r="BD2114" s="2829"/>
      <c r="BE2114" s="2837"/>
      <c r="BF2114" s="156"/>
    </row>
    <row r="2115" spans="1:58" ht="15" customHeight="1" outlineLevel="1" x14ac:dyDescent="0.35">
      <c r="A2115" s="1071"/>
      <c r="B2115" s="2812"/>
      <c r="C2115" s="3077"/>
      <c r="D2115" s="3980"/>
      <c r="E2115" s="3883"/>
      <c r="F2115" s="3984" t="str">
        <f>$E$1884</f>
        <v>ASHP-SEER21-Replace_CAC_ElectricHeat_ROF_MF</v>
      </c>
      <c r="G2115" s="3984"/>
      <c r="H2115" s="3984"/>
      <c r="I2115" s="3984"/>
      <c r="J2115" s="3501" t="str">
        <f>$C$1884</f>
        <v>354850_2019_12_</v>
      </c>
      <c r="K2115" s="3048">
        <v>33600</v>
      </c>
      <c r="L2115" s="3521">
        <f t="shared" si="364"/>
        <v>2.8</v>
      </c>
      <c r="M2115" s="3520"/>
      <c r="N2115" s="2804"/>
      <c r="O2115" s="106"/>
      <c r="P2115" s="106"/>
      <c r="Q2115" s="106"/>
      <c r="R2115" s="106"/>
      <c r="S2115" s="106"/>
      <c r="T2115" s="106"/>
      <c r="U2115" s="106"/>
      <c r="V2115" s="3980"/>
      <c r="W2115" s="3421">
        <v>33600</v>
      </c>
      <c r="X2115" s="3421">
        <v>33600</v>
      </c>
      <c r="Y2115" s="3421">
        <v>33600</v>
      </c>
      <c r="Z2115" s="3421">
        <v>33600</v>
      </c>
      <c r="AA2115" s="3421">
        <v>33600</v>
      </c>
      <c r="AB2115" s="3421">
        <v>33600</v>
      </c>
      <c r="AC2115" s="3557">
        <v>33600</v>
      </c>
      <c r="AD2115" s="3558">
        <v>33600</v>
      </c>
      <c r="AE2115" s="3429"/>
      <c r="AF2115" s="3421"/>
      <c r="AG2115" s="3421"/>
      <c r="AH2115" s="156"/>
      <c r="AI2115" s="156"/>
      <c r="AJ2115" s="156"/>
      <c r="AK2115" s="156"/>
      <c r="AL2115" s="156"/>
      <c r="AM2115" s="156"/>
      <c r="AN2115" s="156"/>
      <c r="AO2115" s="156"/>
      <c r="AP2115" s="156"/>
      <c r="AQ2115" s="156"/>
      <c r="AR2115" s="156"/>
      <c r="AS2115" s="156"/>
      <c r="AT2115" s="156"/>
      <c r="AU2115" s="156"/>
      <c r="AV2115" s="156"/>
      <c r="AW2115" s="156"/>
      <c r="AX2115" s="156"/>
      <c r="AY2115" s="156"/>
      <c r="AZ2115" s="156"/>
      <c r="BA2115" s="156"/>
      <c r="BB2115" s="2828"/>
      <c r="BC2115" s="452"/>
      <c r="BD2115" s="2829"/>
      <c r="BE2115" s="2837"/>
      <c r="BF2115" s="156"/>
    </row>
    <row r="2116" spans="1:58" ht="15" customHeight="1" outlineLevel="1" x14ac:dyDescent="0.35">
      <c r="A2116" s="1071"/>
      <c r="B2116" s="2812"/>
      <c r="C2116" s="3077"/>
      <c r="D2116" s="3980"/>
      <c r="E2116" s="3883"/>
      <c r="F2116" s="3984" t="str">
        <f>$E$1886</f>
        <v>ASHP-SEER21-Replace_CAC_ElectricHeat_ROF_MF_CompE</v>
      </c>
      <c r="G2116" s="3984"/>
      <c r="H2116" s="3984"/>
      <c r="I2116" s="3984"/>
      <c r="J2116" s="3501" t="str">
        <f>$C$1886</f>
        <v>354851_2019_12_</v>
      </c>
      <c r="K2116" s="3048">
        <v>33600</v>
      </c>
      <c r="L2116" s="3521">
        <f t="shared" si="364"/>
        <v>2.8</v>
      </c>
      <c r="M2116" s="3520"/>
      <c r="N2116" s="2804"/>
      <c r="O2116" s="106"/>
      <c r="P2116" s="106"/>
      <c r="Q2116" s="106"/>
      <c r="R2116" s="106"/>
      <c r="S2116" s="106"/>
      <c r="T2116" s="106"/>
      <c r="U2116" s="106"/>
      <c r="V2116" s="3980"/>
      <c r="W2116" s="3421"/>
      <c r="X2116" s="3421"/>
      <c r="Y2116" s="2374">
        <v>33600</v>
      </c>
      <c r="Z2116" s="3421">
        <v>33600</v>
      </c>
      <c r="AA2116" s="3421">
        <v>33600</v>
      </c>
      <c r="AB2116" s="3421">
        <v>33600</v>
      </c>
      <c r="AC2116" s="3557">
        <f>AC2115</f>
        <v>33600</v>
      </c>
      <c r="AD2116" s="3558">
        <v>33600</v>
      </c>
      <c r="AE2116" s="3429"/>
      <c r="AF2116" s="3421"/>
      <c r="AG2116" s="3421"/>
      <c r="AH2116" s="156"/>
      <c r="AI2116" s="156"/>
      <c r="AJ2116" s="156"/>
      <c r="AK2116" s="156"/>
      <c r="AL2116" s="156"/>
      <c r="AM2116" s="156"/>
      <c r="AN2116" s="156"/>
      <c r="AO2116" s="156"/>
      <c r="AP2116" s="156"/>
      <c r="AQ2116" s="156"/>
      <c r="AR2116" s="156"/>
      <c r="AS2116" s="156"/>
      <c r="AT2116" s="156"/>
      <c r="AU2116" s="156"/>
      <c r="AV2116" s="156"/>
      <c r="AW2116" s="156"/>
      <c r="AX2116" s="156"/>
      <c r="AY2116" s="156"/>
      <c r="AZ2116" s="156"/>
      <c r="BA2116" s="156"/>
      <c r="BB2116" s="2828"/>
      <c r="BC2116" s="452"/>
      <c r="BD2116" s="2829"/>
      <c r="BE2116" s="2837"/>
      <c r="BF2116" s="156"/>
    </row>
    <row r="2117" spans="1:58" ht="15" customHeight="1" outlineLevel="1" x14ac:dyDescent="0.35">
      <c r="A2117" s="1071"/>
      <c r="B2117" s="2812"/>
      <c r="C2117" s="3077"/>
      <c r="D2117" s="3980"/>
      <c r="E2117" s="3883"/>
      <c r="F2117" s="3984" t="str">
        <f>$E$1888</f>
        <v>ASHP-SEER21-Replace_CAC_NonElectricHeat_ROF_MF</v>
      </c>
      <c r="G2117" s="3984"/>
      <c r="H2117" s="3984"/>
      <c r="I2117" s="3984"/>
      <c r="J2117" s="3501" t="str">
        <f>$C$1888</f>
        <v>354860_2021_12_</v>
      </c>
      <c r="K2117" s="3048">
        <v>33600</v>
      </c>
      <c r="L2117" s="3521">
        <f t="shared" si="364"/>
        <v>2.8</v>
      </c>
      <c r="M2117" s="3520" t="s">
        <v>1083</v>
      </c>
      <c r="N2117" s="2804"/>
      <c r="O2117" s="106"/>
      <c r="P2117" s="106"/>
      <c r="Q2117" s="106"/>
      <c r="R2117" s="106"/>
      <c r="S2117" s="106"/>
      <c r="T2117" s="106"/>
      <c r="U2117" s="106"/>
      <c r="V2117" s="3980"/>
      <c r="W2117" s="3421"/>
      <c r="X2117" s="3421"/>
      <c r="Y2117" s="2374"/>
      <c r="Z2117" s="3421"/>
      <c r="AA2117" s="3421"/>
      <c r="AB2117" s="3421"/>
      <c r="AC2117" s="2292">
        <v>33600</v>
      </c>
      <c r="AD2117" s="3558">
        <v>33600</v>
      </c>
      <c r="AE2117" s="3429"/>
      <c r="AF2117" s="3421"/>
      <c r="AG2117" s="3421"/>
      <c r="AH2117" s="156"/>
      <c r="AI2117" s="156"/>
      <c r="AJ2117" s="156"/>
      <c r="AK2117" s="156"/>
      <c r="AL2117" s="156"/>
      <c r="AM2117" s="156"/>
      <c r="AN2117" s="156"/>
      <c r="AO2117" s="156"/>
      <c r="AP2117" s="156"/>
      <c r="AQ2117" s="156"/>
      <c r="AR2117" s="156"/>
      <c r="AS2117" s="156"/>
      <c r="AT2117" s="156"/>
      <c r="AU2117" s="156"/>
      <c r="AV2117" s="156"/>
      <c r="AW2117" s="156"/>
      <c r="AX2117" s="156"/>
      <c r="AY2117" s="156"/>
      <c r="AZ2117" s="156"/>
      <c r="BA2117" s="156"/>
      <c r="BB2117" s="2828"/>
      <c r="BC2117" s="452"/>
      <c r="BD2117" s="2829"/>
      <c r="BE2117" s="2837"/>
      <c r="BF2117" s="156"/>
    </row>
    <row r="2118" spans="1:58" ht="15" customHeight="1" outlineLevel="1" x14ac:dyDescent="0.35">
      <c r="A2118" s="1071"/>
      <c r="B2118" s="2812"/>
      <c r="C2118" s="3077"/>
      <c r="D2118" s="3980"/>
      <c r="E2118" s="3883"/>
      <c r="F2118" s="3984" t="str">
        <f>$E$1890</f>
        <v>ASHP-SEER21-Replace_CAC_NonElectricHeat_ROF_MF_CompE</v>
      </c>
      <c r="G2118" s="3984"/>
      <c r="H2118" s="3984"/>
      <c r="I2118" s="3984"/>
      <c r="J2118" s="3501" t="str">
        <f>$C$1890</f>
        <v>354861_2021_12_</v>
      </c>
      <c r="K2118" s="3048">
        <v>33600</v>
      </c>
      <c r="L2118" s="3521">
        <f t="shared" si="364"/>
        <v>2.8</v>
      </c>
      <c r="M2118" s="3520" t="s">
        <v>1083</v>
      </c>
      <c r="N2118" s="2804"/>
      <c r="O2118" s="106"/>
      <c r="P2118" s="106"/>
      <c r="Q2118" s="106"/>
      <c r="R2118" s="106"/>
      <c r="S2118" s="106"/>
      <c r="T2118" s="106"/>
      <c r="U2118" s="106"/>
      <c r="V2118" s="3980"/>
      <c r="W2118" s="3421"/>
      <c r="X2118" s="3421"/>
      <c r="Y2118" s="2374"/>
      <c r="Z2118" s="3421"/>
      <c r="AA2118" s="3421"/>
      <c r="AB2118" s="3421"/>
      <c r="AC2118" s="2292">
        <f>AC2117</f>
        <v>33600</v>
      </c>
      <c r="AD2118" s="3558">
        <v>33600</v>
      </c>
      <c r="AE2118" s="3429"/>
      <c r="AF2118" s="3421"/>
      <c r="AG2118" s="3421"/>
      <c r="AH2118" s="156"/>
      <c r="AI2118" s="156"/>
      <c r="AJ2118" s="156"/>
      <c r="AK2118" s="156"/>
      <c r="AL2118" s="156"/>
      <c r="AM2118" s="156"/>
      <c r="AN2118" s="156"/>
      <c r="AO2118" s="156"/>
      <c r="AP2118" s="156"/>
      <c r="AQ2118" s="156"/>
      <c r="AR2118" s="156"/>
      <c r="AS2118" s="156"/>
      <c r="AT2118" s="156"/>
      <c r="AU2118" s="156"/>
      <c r="AV2118" s="156"/>
      <c r="AW2118" s="156"/>
      <c r="AX2118" s="156"/>
      <c r="AY2118" s="156"/>
      <c r="AZ2118" s="156"/>
      <c r="BA2118" s="156"/>
      <c r="BB2118" s="2828"/>
      <c r="BC2118" s="452"/>
      <c r="BD2118" s="2829"/>
      <c r="BE2118" s="2837"/>
      <c r="BF2118" s="156"/>
    </row>
    <row r="2119" spans="1:58" ht="15" customHeight="1" outlineLevel="1" x14ac:dyDescent="0.35">
      <c r="A2119" s="1071"/>
      <c r="B2119" s="2812"/>
      <c r="C2119" s="3077"/>
      <c r="D2119" s="3980"/>
      <c r="E2119" s="3883"/>
      <c r="F2119" s="3984" t="str">
        <f>$E$1892</f>
        <v>ASHP-SEER21_ER1_MF</v>
      </c>
      <c r="G2119" s="3984"/>
      <c r="H2119" s="3984"/>
      <c r="I2119" s="3984"/>
      <c r="J2119" s="3501" t="str">
        <f>$C$1892</f>
        <v>354900_2019_12_</v>
      </c>
      <c r="K2119" s="3048">
        <v>39600</v>
      </c>
      <c r="L2119" s="3521">
        <f t="shared" si="364"/>
        <v>3.3</v>
      </c>
      <c r="M2119" s="3520"/>
      <c r="N2119" s="2804"/>
      <c r="O2119" s="106"/>
      <c r="P2119" s="106"/>
      <c r="Q2119" s="106"/>
      <c r="R2119" s="106"/>
      <c r="S2119" s="106"/>
      <c r="T2119" s="106"/>
      <c r="U2119" s="106"/>
      <c r="V2119" s="3980"/>
      <c r="W2119" s="3421">
        <v>39600</v>
      </c>
      <c r="X2119" s="3421">
        <v>39600</v>
      </c>
      <c r="Y2119" s="3421">
        <v>39600</v>
      </c>
      <c r="Z2119" s="3421">
        <v>39600</v>
      </c>
      <c r="AA2119" s="3421">
        <v>39600</v>
      </c>
      <c r="AB2119" s="3421">
        <v>39600</v>
      </c>
      <c r="AC2119" s="3557">
        <v>39600</v>
      </c>
      <c r="AD2119" s="3558">
        <v>39600</v>
      </c>
      <c r="AE2119" s="3429"/>
      <c r="AF2119" s="3421"/>
      <c r="AG2119" s="3421"/>
      <c r="AH2119" s="156"/>
      <c r="AI2119" s="156"/>
      <c r="AJ2119" s="156"/>
      <c r="AK2119" s="156"/>
      <c r="AL2119" s="156"/>
      <c r="AM2119" s="156"/>
      <c r="AN2119" s="156"/>
      <c r="AO2119" s="156"/>
      <c r="AP2119" s="156"/>
      <c r="AQ2119" s="156"/>
      <c r="AR2119" s="156"/>
      <c r="AS2119" s="156"/>
      <c r="AT2119" s="156"/>
      <c r="AU2119" s="156"/>
      <c r="AV2119" s="156"/>
      <c r="AW2119" s="156"/>
      <c r="AX2119" s="156"/>
      <c r="AY2119" s="156"/>
      <c r="AZ2119" s="156"/>
      <c r="BA2119" s="156"/>
      <c r="BB2119" s="2828"/>
      <c r="BC2119" s="452"/>
      <c r="BD2119" s="2829"/>
      <c r="BE2119" s="2837"/>
      <c r="BF2119" s="156"/>
    </row>
    <row r="2120" spans="1:58" ht="15" customHeight="1" outlineLevel="1" x14ac:dyDescent="0.35">
      <c r="A2120" s="1071"/>
      <c r="B2120" s="2812"/>
      <c r="C2120" s="3077"/>
      <c r="D2120" s="3980"/>
      <c r="E2120" s="3883"/>
      <c r="F2120" s="3984" t="str">
        <f>$E$1894</f>
        <v>ASHP-SEER21_ER2_MF</v>
      </c>
      <c r="G2120" s="3984"/>
      <c r="H2120" s="3984"/>
      <c r="I2120" s="3984"/>
      <c r="J2120" s="3501" t="str">
        <f>$C$1894</f>
        <v>354900_2019_12_</v>
      </c>
      <c r="K2120" s="3048">
        <v>39600</v>
      </c>
      <c r="L2120" s="3521">
        <f t="shared" si="364"/>
        <v>3.3</v>
      </c>
      <c r="M2120" s="3520"/>
      <c r="N2120" s="2804"/>
      <c r="O2120" s="106"/>
      <c r="P2120" s="106"/>
      <c r="Q2120" s="106"/>
      <c r="R2120" s="106"/>
      <c r="S2120" s="106"/>
      <c r="T2120" s="106"/>
      <c r="U2120" s="106"/>
      <c r="V2120" s="3980"/>
      <c r="W2120" s="3421">
        <v>39600</v>
      </c>
      <c r="X2120" s="3421">
        <v>39600</v>
      </c>
      <c r="Y2120" s="3421">
        <v>39600</v>
      </c>
      <c r="Z2120" s="3421">
        <v>39600</v>
      </c>
      <c r="AA2120" s="3421">
        <v>39600</v>
      </c>
      <c r="AB2120" s="3421">
        <v>39600</v>
      </c>
      <c r="AC2120" s="3557">
        <v>39600</v>
      </c>
      <c r="AD2120" s="3558">
        <v>39600</v>
      </c>
      <c r="AE2120" s="3429"/>
      <c r="AF2120" s="3421"/>
      <c r="AG2120" s="3421"/>
      <c r="AH2120" s="156"/>
      <c r="AI2120" s="156"/>
      <c r="AJ2120" s="156"/>
      <c r="AK2120" s="156"/>
      <c r="AL2120" s="156"/>
      <c r="AM2120" s="156"/>
      <c r="AN2120" s="156"/>
      <c r="AO2120" s="156"/>
      <c r="AP2120" s="156"/>
      <c r="AQ2120" s="156"/>
      <c r="AR2120" s="156"/>
      <c r="AS2120" s="156"/>
      <c r="AT2120" s="156"/>
      <c r="AU2120" s="156"/>
      <c r="AV2120" s="156"/>
      <c r="AW2120" s="156"/>
      <c r="AX2120" s="156"/>
      <c r="AY2120" s="156"/>
      <c r="AZ2120" s="156"/>
      <c r="BA2120" s="156"/>
      <c r="BB2120" s="2828"/>
      <c r="BC2120" s="452"/>
      <c r="BD2120" s="2829"/>
      <c r="BE2120" s="2837"/>
      <c r="BF2120" s="156"/>
    </row>
    <row r="2121" spans="1:58" ht="15" customHeight="1" outlineLevel="1" x14ac:dyDescent="0.35">
      <c r="A2121" s="1071"/>
      <c r="B2121" s="2812"/>
      <c r="C2121" s="3077"/>
      <c r="D2121" s="3980"/>
      <c r="E2121" s="3883"/>
      <c r="F2121" s="3984" t="str">
        <f>$E$1896</f>
        <v>ASHP-SEER21_ER1_MF_CompE</v>
      </c>
      <c r="G2121" s="3984"/>
      <c r="H2121" s="3984"/>
      <c r="I2121" s="3984"/>
      <c r="J2121" s="3501" t="str">
        <f>$C$1896</f>
        <v>354901_2019_12_</v>
      </c>
      <c r="K2121" s="3048">
        <v>39600</v>
      </c>
      <c r="L2121" s="3521">
        <f t="shared" si="364"/>
        <v>3.3</v>
      </c>
      <c r="M2121" s="3520"/>
      <c r="N2121" s="2804"/>
      <c r="O2121" s="106"/>
      <c r="P2121" s="106"/>
      <c r="Q2121" s="106"/>
      <c r="R2121" s="106"/>
      <c r="S2121" s="106"/>
      <c r="T2121" s="106"/>
      <c r="U2121" s="106"/>
      <c r="V2121" s="3980"/>
      <c r="W2121" s="3421"/>
      <c r="X2121" s="3421"/>
      <c r="Y2121" s="2374">
        <v>39600</v>
      </c>
      <c r="Z2121" s="3421">
        <v>39600</v>
      </c>
      <c r="AA2121" s="3421">
        <v>39600</v>
      </c>
      <c r="AB2121" s="3421">
        <v>39600</v>
      </c>
      <c r="AC2121" s="3557">
        <f>AC2119</f>
        <v>39600</v>
      </c>
      <c r="AD2121" s="3558">
        <v>39600</v>
      </c>
      <c r="AE2121" s="3429"/>
      <c r="AF2121" s="3421"/>
      <c r="AG2121" s="3421"/>
      <c r="AH2121" s="156"/>
      <c r="AI2121" s="156"/>
      <c r="AJ2121" s="156"/>
      <c r="AK2121" s="156"/>
      <c r="AL2121" s="156"/>
      <c r="AM2121" s="156"/>
      <c r="AN2121" s="156"/>
      <c r="AO2121" s="156"/>
      <c r="AP2121" s="156"/>
      <c r="AQ2121" s="156"/>
      <c r="AR2121" s="156"/>
      <c r="AS2121" s="156"/>
      <c r="AT2121" s="156"/>
      <c r="AU2121" s="156"/>
      <c r="AV2121" s="156"/>
      <c r="AW2121" s="156"/>
      <c r="AX2121" s="156"/>
      <c r="AY2121" s="156"/>
      <c r="AZ2121" s="156"/>
      <c r="BA2121" s="156"/>
      <c r="BB2121" s="2828"/>
      <c r="BC2121" s="452"/>
      <c r="BD2121" s="2829"/>
      <c r="BE2121" s="2837"/>
      <c r="BF2121" s="156"/>
    </row>
    <row r="2122" spans="1:58" ht="15" customHeight="1" outlineLevel="1" x14ac:dyDescent="0.35">
      <c r="A2122" s="1071"/>
      <c r="B2122" s="2812"/>
      <c r="C2122" s="3077"/>
      <c r="D2122" s="3980"/>
      <c r="E2122" s="3883"/>
      <c r="F2122" s="3984" t="str">
        <f>$E$1898</f>
        <v>ASHP-SEER21_ER2_MF_CompE</v>
      </c>
      <c r="G2122" s="3984"/>
      <c r="H2122" s="3984"/>
      <c r="I2122" s="3984"/>
      <c r="J2122" s="3501" t="str">
        <f>$C$1898</f>
        <v>354901_2019_12_</v>
      </c>
      <c r="K2122" s="3048">
        <v>39600</v>
      </c>
      <c r="L2122" s="3521">
        <f t="shared" si="364"/>
        <v>3.3</v>
      </c>
      <c r="M2122" s="3520"/>
      <c r="N2122" s="2804"/>
      <c r="O2122" s="106"/>
      <c r="P2122" s="106"/>
      <c r="Q2122" s="106"/>
      <c r="R2122" s="106"/>
      <c r="S2122" s="106"/>
      <c r="T2122" s="106"/>
      <c r="U2122" s="106"/>
      <c r="V2122" s="3980"/>
      <c r="W2122" s="3421"/>
      <c r="X2122" s="3421"/>
      <c r="Y2122" s="2374">
        <v>39600</v>
      </c>
      <c r="Z2122" s="3421">
        <v>39600</v>
      </c>
      <c r="AA2122" s="3421">
        <v>39600</v>
      </c>
      <c r="AB2122" s="3421">
        <v>39600</v>
      </c>
      <c r="AC2122" s="3557">
        <f>AC2120</f>
        <v>39600</v>
      </c>
      <c r="AD2122" s="3558">
        <v>39600</v>
      </c>
      <c r="AE2122" s="3429"/>
      <c r="AF2122" s="3421"/>
      <c r="AG2122" s="3421"/>
      <c r="AH2122" s="156"/>
      <c r="AI2122" s="156"/>
      <c r="AJ2122" s="156"/>
      <c r="AK2122" s="156"/>
      <c r="AL2122" s="156"/>
      <c r="AM2122" s="156"/>
      <c r="AN2122" s="156"/>
      <c r="AO2122" s="156"/>
      <c r="AP2122" s="156"/>
      <c r="AQ2122" s="156"/>
      <c r="AR2122" s="156"/>
      <c r="AS2122" s="156"/>
      <c r="AT2122" s="156"/>
      <c r="AU2122" s="156"/>
      <c r="AV2122" s="156"/>
      <c r="AW2122" s="156"/>
      <c r="AX2122" s="156"/>
      <c r="AY2122" s="156"/>
      <c r="AZ2122" s="156"/>
      <c r="BA2122" s="156"/>
      <c r="BB2122" s="2828"/>
      <c r="BC2122" s="452"/>
      <c r="BD2122" s="2829"/>
      <c r="BE2122" s="2837"/>
      <c r="BF2122" s="156"/>
    </row>
    <row r="2123" spans="1:58" ht="15" customHeight="1" outlineLevel="1" x14ac:dyDescent="0.35">
      <c r="A2123" s="1071"/>
      <c r="B2123" s="2812"/>
      <c r="C2123" s="3077"/>
      <c r="D2123" s="3980"/>
      <c r="E2123" s="3883"/>
      <c r="F2123" s="3984" t="str">
        <f>$E$1900</f>
        <v>ASHP-SEER17_ROF_MF</v>
      </c>
      <c r="G2123" s="3984"/>
      <c r="H2123" s="3984"/>
      <c r="I2123" s="3984"/>
      <c r="J2123" s="3501" t="str">
        <f>$C$1900</f>
        <v>354950_2019_12_</v>
      </c>
      <c r="K2123" s="3048">
        <v>39600</v>
      </c>
      <c r="L2123" s="3521">
        <f t="shared" si="364"/>
        <v>3.3</v>
      </c>
      <c r="M2123" s="3520" t="s">
        <v>1506</v>
      </c>
      <c r="N2123" s="2804"/>
      <c r="O2123" s="106"/>
      <c r="P2123" s="106"/>
      <c r="Q2123" s="106"/>
      <c r="R2123" s="106"/>
      <c r="S2123" s="106"/>
      <c r="T2123" s="106"/>
      <c r="U2123" s="106"/>
      <c r="V2123" s="3980"/>
      <c r="W2123" s="3421">
        <v>39600</v>
      </c>
      <c r="X2123" s="3421">
        <v>39600</v>
      </c>
      <c r="Y2123" s="3421">
        <v>39600</v>
      </c>
      <c r="Z2123" s="3421">
        <v>39600</v>
      </c>
      <c r="AA2123" s="3421">
        <v>39600</v>
      </c>
      <c r="AB2123" s="3421">
        <v>39600</v>
      </c>
      <c r="AC2123" s="3557">
        <v>39600</v>
      </c>
      <c r="AD2123" s="3558">
        <v>39600</v>
      </c>
      <c r="AE2123" s="3429"/>
      <c r="AF2123" s="3421"/>
      <c r="AG2123" s="3421"/>
      <c r="AH2123" s="156"/>
      <c r="AI2123" s="156"/>
      <c r="AJ2123" s="156"/>
      <c r="AK2123" s="156"/>
      <c r="AL2123" s="156"/>
      <c r="AM2123" s="156"/>
      <c r="AN2123" s="156"/>
      <c r="AO2123" s="156"/>
      <c r="AP2123" s="156"/>
      <c r="AQ2123" s="156"/>
      <c r="AR2123" s="156"/>
      <c r="AS2123" s="156"/>
      <c r="AT2123" s="156"/>
      <c r="AU2123" s="156"/>
      <c r="AV2123" s="156"/>
      <c r="AW2123" s="156"/>
      <c r="AX2123" s="156"/>
      <c r="AY2123" s="156"/>
      <c r="AZ2123" s="156"/>
      <c r="BA2123" s="156"/>
      <c r="BB2123" s="2828"/>
      <c r="BC2123" s="452"/>
      <c r="BD2123" s="2829"/>
      <c r="BE2123" s="2837"/>
      <c r="BF2123" s="156"/>
    </row>
    <row r="2124" spans="1:58" ht="15" customHeight="1" outlineLevel="1" x14ac:dyDescent="0.35">
      <c r="A2124" s="1071"/>
      <c r="B2124" s="2812"/>
      <c r="C2124" s="3077"/>
      <c r="D2124" s="3980"/>
      <c r="E2124" s="3883"/>
      <c r="F2124" s="3984" t="str">
        <f>$E$1902</f>
        <v>ASHP-SEER17_ROF_MF_CompE</v>
      </c>
      <c r="G2124" s="3984"/>
      <c r="H2124" s="3984"/>
      <c r="I2124" s="3984"/>
      <c r="J2124" s="3501" t="str">
        <f>$C$1902</f>
        <v>354951_2019_12_</v>
      </c>
      <c r="K2124" s="3048">
        <v>39600</v>
      </c>
      <c r="L2124" s="3521">
        <f t="shared" si="364"/>
        <v>3.3</v>
      </c>
      <c r="M2124" s="3520"/>
      <c r="N2124" s="2804"/>
      <c r="O2124" s="106"/>
      <c r="P2124" s="106"/>
      <c r="Q2124" s="106"/>
      <c r="R2124" s="106"/>
      <c r="S2124" s="106"/>
      <c r="T2124" s="106"/>
      <c r="U2124" s="106"/>
      <c r="V2124" s="3980"/>
      <c r="W2124" s="3421"/>
      <c r="X2124" s="3421"/>
      <c r="Y2124" s="2374">
        <v>39600</v>
      </c>
      <c r="Z2124" s="3421">
        <v>39600</v>
      </c>
      <c r="AA2124" s="3421">
        <v>39600</v>
      </c>
      <c r="AB2124" s="3421">
        <v>39600</v>
      </c>
      <c r="AC2124" s="3557">
        <f>AC2123</f>
        <v>39600</v>
      </c>
      <c r="AD2124" s="3558">
        <v>39600</v>
      </c>
      <c r="AE2124" s="3429"/>
      <c r="AF2124" s="3421"/>
      <c r="AG2124" s="3421"/>
      <c r="AH2124" s="156"/>
      <c r="AI2124" s="156"/>
      <c r="AJ2124" s="156"/>
      <c r="AK2124" s="156"/>
      <c r="AL2124" s="156"/>
      <c r="AM2124" s="156"/>
      <c r="AN2124" s="156"/>
      <c r="AO2124" s="156"/>
      <c r="AP2124" s="156"/>
      <c r="AQ2124" s="156"/>
      <c r="AR2124" s="156"/>
      <c r="AS2124" s="156"/>
      <c r="AT2124" s="156"/>
      <c r="AU2124" s="156"/>
      <c r="AV2124" s="156"/>
      <c r="AW2124" s="156"/>
      <c r="AX2124" s="156"/>
      <c r="AY2124" s="156"/>
      <c r="AZ2124" s="156"/>
      <c r="BA2124" s="156"/>
      <c r="BB2124" s="2828"/>
      <c r="BC2124" s="452"/>
      <c r="BD2124" s="2829"/>
      <c r="BE2124" s="2837"/>
      <c r="BF2124" s="156"/>
    </row>
    <row r="2125" spans="1:58" ht="15" customHeight="1" outlineLevel="1" x14ac:dyDescent="0.35">
      <c r="A2125" s="1664"/>
      <c r="B2125" s="2812"/>
      <c r="C2125" s="3077"/>
      <c r="D2125" s="3980"/>
      <c r="E2125" s="3883"/>
      <c r="F2125" s="3984" t="str">
        <f>$E$1904</f>
        <v>ASHP-SEER18_ROF_MF</v>
      </c>
      <c r="G2125" s="3984"/>
      <c r="H2125" s="3984"/>
      <c r="I2125" s="3984"/>
      <c r="J2125" s="3501" t="str">
        <f>$C$1904</f>
        <v>355000_2019_12_</v>
      </c>
      <c r="K2125" s="3048">
        <v>39600</v>
      </c>
      <c r="L2125" s="3521">
        <f t="shared" si="364"/>
        <v>3.3</v>
      </c>
      <c r="M2125" s="3520" t="s">
        <v>1506</v>
      </c>
      <c r="N2125" s="2804"/>
      <c r="O2125" s="106"/>
      <c r="P2125" s="702"/>
      <c r="Q2125" s="574"/>
      <c r="R2125" s="702"/>
      <c r="S2125" s="106"/>
      <c r="T2125" s="486"/>
      <c r="U2125" s="106"/>
      <c r="V2125" s="3980"/>
      <c r="W2125" s="3421">
        <v>39600</v>
      </c>
      <c r="X2125" s="3421">
        <v>39600</v>
      </c>
      <c r="Y2125" s="3421">
        <v>39600</v>
      </c>
      <c r="Z2125" s="3421">
        <v>39600</v>
      </c>
      <c r="AA2125" s="3421">
        <v>39600</v>
      </c>
      <c r="AB2125" s="3421">
        <v>39600</v>
      </c>
      <c r="AC2125" s="3557">
        <v>39600</v>
      </c>
      <c r="AD2125" s="3558">
        <v>39600</v>
      </c>
      <c r="AE2125" s="3429"/>
      <c r="AF2125" s="3421"/>
      <c r="AG2125" s="3421"/>
      <c r="AH2125" s="156"/>
      <c r="AI2125" s="156"/>
      <c r="AJ2125" s="156"/>
      <c r="AK2125" s="156"/>
      <c r="AL2125" s="156"/>
      <c r="AM2125" s="156"/>
      <c r="AN2125" s="156"/>
      <c r="AO2125" s="156"/>
      <c r="AP2125" s="156"/>
      <c r="AQ2125" s="156"/>
      <c r="AR2125" s="156"/>
      <c r="AS2125" s="156"/>
      <c r="AT2125" s="156"/>
      <c r="AU2125" s="156"/>
      <c r="AV2125" s="156"/>
      <c r="AW2125" s="156"/>
      <c r="AX2125" s="156"/>
      <c r="AY2125" s="156"/>
      <c r="AZ2125" s="156"/>
      <c r="BA2125" s="156"/>
      <c r="BB2125" s="2828"/>
      <c r="BC2125" s="452"/>
      <c r="BD2125" s="2829"/>
      <c r="BE2125" s="2837"/>
      <c r="BF2125" s="156"/>
    </row>
    <row r="2126" spans="1:58" ht="15" customHeight="1" outlineLevel="1" x14ac:dyDescent="0.35">
      <c r="A2126" s="1664"/>
      <c r="B2126" s="2812"/>
      <c r="C2126" s="3077"/>
      <c r="D2126" s="3980"/>
      <c r="E2126" s="3883"/>
      <c r="F2126" s="3984" t="str">
        <f>$E$1906</f>
        <v>ASHP-SEER18_ROF_MF_CompE</v>
      </c>
      <c r="G2126" s="3984"/>
      <c r="H2126" s="3984"/>
      <c r="I2126" s="3984"/>
      <c r="J2126" s="3501" t="str">
        <f>$C$1906</f>
        <v>355001_2021_12_</v>
      </c>
      <c r="K2126" s="3048">
        <v>39600</v>
      </c>
      <c r="L2126" s="3521">
        <f t="shared" si="364"/>
        <v>3.3</v>
      </c>
      <c r="M2126" s="3520"/>
      <c r="N2126" s="2804"/>
      <c r="O2126" s="106"/>
      <c r="P2126" s="702"/>
      <c r="Q2126" s="574"/>
      <c r="R2126" s="702"/>
      <c r="S2126" s="106"/>
      <c r="T2126" s="486"/>
      <c r="U2126" s="106"/>
      <c r="V2126" s="3980"/>
      <c r="W2126" s="3421"/>
      <c r="X2126" s="3421"/>
      <c r="Y2126" s="2374">
        <v>39600</v>
      </c>
      <c r="Z2126" s="3421">
        <v>39600</v>
      </c>
      <c r="AA2126" s="3421">
        <v>39600</v>
      </c>
      <c r="AB2126" s="3421">
        <v>39600</v>
      </c>
      <c r="AC2126" s="3557">
        <f>AC2125</f>
        <v>39600</v>
      </c>
      <c r="AD2126" s="3558">
        <v>39600</v>
      </c>
      <c r="AE2126" s="3429"/>
      <c r="AF2126" s="3421"/>
      <c r="AG2126" s="3421"/>
      <c r="AH2126" s="156"/>
      <c r="AI2126" s="156"/>
      <c r="AJ2126" s="156"/>
      <c r="AK2126" s="156"/>
      <c r="AL2126" s="156"/>
      <c r="AM2126" s="156"/>
      <c r="AN2126" s="156"/>
      <c r="AO2126" s="156"/>
      <c r="AP2126" s="156"/>
      <c r="AQ2126" s="156"/>
      <c r="AR2126" s="156"/>
      <c r="AS2126" s="156"/>
      <c r="AT2126" s="156"/>
      <c r="AU2126" s="156"/>
      <c r="AV2126" s="156"/>
      <c r="AW2126" s="156"/>
      <c r="AX2126" s="156"/>
      <c r="AY2126" s="156"/>
      <c r="AZ2126" s="156"/>
      <c r="BA2126" s="156"/>
      <c r="BB2126" s="2828"/>
      <c r="BC2126" s="452"/>
      <c r="BD2126" s="2829"/>
      <c r="BE2126" s="2837"/>
      <c r="BF2126" s="156"/>
    </row>
    <row r="2127" spans="1:58" ht="15" customHeight="1" outlineLevel="1" x14ac:dyDescent="0.35">
      <c r="A2127" s="1664"/>
      <c r="B2127" s="2812"/>
      <c r="C2127" s="3077"/>
      <c r="D2127" s="3980"/>
      <c r="E2127" s="3883"/>
      <c r="F2127" s="3984" t="str">
        <f>$E$1908</f>
        <v>ASHP-SEER19_ROF_MF</v>
      </c>
      <c r="G2127" s="3984"/>
      <c r="H2127" s="3984"/>
      <c r="I2127" s="3984"/>
      <c r="J2127" s="3501" t="str">
        <f>$C$1908</f>
        <v>355050_2019_12_</v>
      </c>
      <c r="K2127" s="3048">
        <v>39600</v>
      </c>
      <c r="L2127" s="3521">
        <f t="shared" si="364"/>
        <v>3.3</v>
      </c>
      <c r="M2127" s="3520" t="s">
        <v>1506</v>
      </c>
      <c r="N2127" s="2804"/>
      <c r="O2127" s="106"/>
      <c r="P2127" s="702"/>
      <c r="Q2127" s="574"/>
      <c r="R2127" s="702"/>
      <c r="S2127" s="106"/>
      <c r="T2127" s="486"/>
      <c r="U2127" s="106"/>
      <c r="V2127" s="3980"/>
      <c r="W2127" s="3421">
        <v>39600</v>
      </c>
      <c r="X2127" s="3421">
        <v>39600</v>
      </c>
      <c r="Y2127" s="3421">
        <v>39600</v>
      </c>
      <c r="Z2127" s="3421">
        <v>39600</v>
      </c>
      <c r="AA2127" s="3421">
        <v>39600</v>
      </c>
      <c r="AB2127" s="3421">
        <v>39600</v>
      </c>
      <c r="AC2127" s="3557">
        <v>39600</v>
      </c>
      <c r="AD2127" s="3558">
        <v>39600</v>
      </c>
      <c r="AE2127" s="3429"/>
      <c r="AF2127" s="3421"/>
      <c r="AG2127" s="3421"/>
      <c r="AH2127" s="156"/>
      <c r="AI2127" s="156"/>
      <c r="AJ2127" s="156"/>
      <c r="AK2127" s="156"/>
      <c r="AL2127" s="156"/>
      <c r="AM2127" s="156"/>
      <c r="AN2127" s="156"/>
      <c r="AO2127" s="156"/>
      <c r="AP2127" s="156"/>
      <c r="AQ2127" s="156"/>
      <c r="AR2127" s="156"/>
      <c r="AS2127" s="156"/>
      <c r="AT2127" s="156"/>
      <c r="AU2127" s="156"/>
      <c r="AV2127" s="156"/>
      <c r="AW2127" s="156"/>
      <c r="AX2127" s="156"/>
      <c r="AY2127" s="156"/>
      <c r="AZ2127" s="156"/>
      <c r="BA2127" s="156"/>
      <c r="BB2127" s="2828"/>
      <c r="BC2127" s="452"/>
      <c r="BD2127" s="2829"/>
      <c r="BE2127" s="2837"/>
      <c r="BF2127" s="156"/>
    </row>
    <row r="2128" spans="1:58" ht="15" customHeight="1" outlineLevel="1" x14ac:dyDescent="0.35">
      <c r="A2128" s="1664"/>
      <c r="B2128" s="2812"/>
      <c r="C2128" s="3077"/>
      <c r="D2128" s="3980"/>
      <c r="E2128" s="3883"/>
      <c r="F2128" s="3984" t="str">
        <f>$E$1910</f>
        <v>ASHP-SEER19_ROF_MF_CompE</v>
      </c>
      <c r="G2128" s="3984"/>
      <c r="H2128" s="3984"/>
      <c r="I2128" s="3984"/>
      <c r="J2128" s="3501" t="str">
        <f>$C$1910</f>
        <v>355051_2019_12_</v>
      </c>
      <c r="K2128" s="3048">
        <v>39600</v>
      </c>
      <c r="L2128" s="3521">
        <f t="shared" si="364"/>
        <v>3.3</v>
      </c>
      <c r="M2128" s="3520"/>
      <c r="N2128" s="2804"/>
      <c r="O2128" s="106"/>
      <c r="P2128" s="702"/>
      <c r="Q2128" s="574"/>
      <c r="R2128" s="702"/>
      <c r="S2128" s="106"/>
      <c r="T2128" s="486"/>
      <c r="U2128" s="106"/>
      <c r="V2128" s="3980"/>
      <c r="W2128" s="3421"/>
      <c r="X2128" s="3421"/>
      <c r="Y2128" s="2374">
        <v>39600</v>
      </c>
      <c r="Z2128" s="3421">
        <v>39600</v>
      </c>
      <c r="AA2128" s="3421">
        <v>39600</v>
      </c>
      <c r="AB2128" s="3421">
        <v>39600</v>
      </c>
      <c r="AC2128" s="3557">
        <f>AC2127</f>
        <v>39600</v>
      </c>
      <c r="AD2128" s="3558">
        <v>39600</v>
      </c>
      <c r="AE2128" s="3429"/>
      <c r="AF2128" s="3421"/>
      <c r="AG2128" s="3421"/>
      <c r="AH2128" s="156"/>
      <c r="AI2128" s="156"/>
      <c r="AJ2128" s="156"/>
      <c r="AK2128" s="156"/>
      <c r="AL2128" s="156"/>
      <c r="AM2128" s="156"/>
      <c r="AN2128" s="156"/>
      <c r="AO2128" s="156"/>
      <c r="AP2128" s="156"/>
      <c r="AQ2128" s="156"/>
      <c r="AR2128" s="156"/>
      <c r="AS2128" s="156"/>
      <c r="AT2128" s="156"/>
      <c r="AU2128" s="156"/>
      <c r="AV2128" s="156"/>
      <c r="AW2128" s="156"/>
      <c r="AX2128" s="156"/>
      <c r="AY2128" s="156"/>
      <c r="AZ2128" s="156"/>
      <c r="BA2128" s="156"/>
      <c r="BB2128" s="2828"/>
      <c r="BC2128" s="452"/>
      <c r="BD2128" s="2829"/>
      <c r="BE2128" s="2837"/>
      <c r="BF2128" s="156"/>
    </row>
    <row r="2129" spans="1:58" ht="15" customHeight="1" outlineLevel="1" x14ac:dyDescent="0.35">
      <c r="A2129" s="1071"/>
      <c r="B2129" s="2812"/>
      <c r="C2129" s="3077"/>
      <c r="D2129" s="3980"/>
      <c r="E2129" s="3883"/>
      <c r="F2129" s="3984" t="str">
        <f>$E$1912</f>
        <v>ASHP-SEER20_ROF_MF</v>
      </c>
      <c r="G2129" s="3984"/>
      <c r="H2129" s="3984"/>
      <c r="I2129" s="3984"/>
      <c r="J2129" s="3501" t="str">
        <f>$C$1912</f>
        <v>355100_2019_12_</v>
      </c>
      <c r="K2129" s="3048">
        <v>39600</v>
      </c>
      <c r="L2129" s="3521">
        <f t="shared" si="364"/>
        <v>3.3</v>
      </c>
      <c r="M2129" s="3520" t="s">
        <v>1506</v>
      </c>
      <c r="N2129" s="2804"/>
      <c r="O2129" s="106"/>
      <c r="P2129" s="106"/>
      <c r="Q2129" s="106"/>
      <c r="R2129" s="106"/>
      <c r="S2129" s="106"/>
      <c r="T2129" s="106"/>
      <c r="U2129" s="106"/>
      <c r="V2129" s="3980"/>
      <c r="W2129" s="3421">
        <v>39600</v>
      </c>
      <c r="X2129" s="3421">
        <v>39600</v>
      </c>
      <c r="Y2129" s="3421">
        <v>39600</v>
      </c>
      <c r="Z2129" s="3421">
        <v>39600</v>
      </c>
      <c r="AA2129" s="3421">
        <v>39600</v>
      </c>
      <c r="AB2129" s="3421">
        <v>39600</v>
      </c>
      <c r="AC2129" s="3557">
        <v>39600</v>
      </c>
      <c r="AD2129" s="3558">
        <v>39600</v>
      </c>
      <c r="AE2129" s="3429"/>
      <c r="AF2129" s="3421"/>
      <c r="AG2129" s="3421"/>
      <c r="AH2129" s="156"/>
      <c r="AI2129" s="156"/>
      <c r="AJ2129" s="156"/>
      <c r="AK2129" s="156"/>
      <c r="AL2129" s="156"/>
      <c r="AM2129" s="156"/>
      <c r="AN2129" s="156"/>
      <c r="AO2129" s="156"/>
      <c r="AP2129" s="156"/>
      <c r="AQ2129" s="156"/>
      <c r="AR2129" s="156"/>
      <c r="AS2129" s="156"/>
      <c r="AT2129" s="156"/>
      <c r="AU2129" s="156"/>
      <c r="AV2129" s="156"/>
      <c r="AW2129" s="156"/>
      <c r="AX2129" s="156"/>
      <c r="AY2129" s="156"/>
      <c r="AZ2129" s="156"/>
      <c r="BA2129" s="156"/>
      <c r="BB2129" s="2828"/>
      <c r="BC2129" s="452"/>
      <c r="BD2129" s="2829"/>
      <c r="BE2129" s="2837"/>
      <c r="BF2129" s="156"/>
    </row>
    <row r="2130" spans="1:58" ht="15" customHeight="1" outlineLevel="1" x14ac:dyDescent="0.35">
      <c r="A2130" s="1071"/>
      <c r="B2130" s="2812"/>
      <c r="C2130" s="3077"/>
      <c r="D2130" s="3980"/>
      <c r="E2130" s="3883"/>
      <c r="F2130" s="3984" t="str">
        <f>$E$1914</f>
        <v>ASHP-SEER20_ROF_MF_CompE</v>
      </c>
      <c r="G2130" s="3984"/>
      <c r="H2130" s="3984"/>
      <c r="I2130" s="3984"/>
      <c r="J2130" s="3501" t="str">
        <f>$C$1914</f>
        <v>355101_2019_12_</v>
      </c>
      <c r="K2130" s="3048">
        <v>39600</v>
      </c>
      <c r="L2130" s="3521">
        <f t="shared" si="364"/>
        <v>3.3</v>
      </c>
      <c r="M2130" s="3522"/>
      <c r="N2130" s="2804"/>
      <c r="O2130" s="106"/>
      <c r="P2130" s="106"/>
      <c r="Q2130" s="106"/>
      <c r="R2130" s="106"/>
      <c r="S2130" s="106"/>
      <c r="T2130" s="106"/>
      <c r="U2130" s="106"/>
      <c r="V2130" s="3980"/>
      <c r="W2130" s="576"/>
      <c r="X2130" s="576"/>
      <c r="Y2130" s="2374">
        <v>39600</v>
      </c>
      <c r="Z2130" s="3421">
        <v>39600</v>
      </c>
      <c r="AA2130" s="3421">
        <v>39600</v>
      </c>
      <c r="AB2130" s="3421">
        <v>39600</v>
      </c>
      <c r="AC2130" s="3557">
        <f>AC2129</f>
        <v>39600</v>
      </c>
      <c r="AD2130" s="3558">
        <v>39600</v>
      </c>
      <c r="AE2130" s="2935"/>
      <c r="AF2130" s="576"/>
      <c r="AG2130" s="576"/>
      <c r="AH2130" s="156"/>
      <c r="AI2130" s="156"/>
      <c r="AJ2130" s="156"/>
      <c r="AK2130" s="156"/>
      <c r="AL2130" s="156"/>
      <c r="AM2130" s="156"/>
      <c r="AN2130" s="156"/>
      <c r="AO2130" s="156"/>
      <c r="AP2130" s="156"/>
      <c r="AQ2130" s="156"/>
      <c r="AR2130" s="156"/>
      <c r="AS2130" s="156"/>
      <c r="AT2130" s="156"/>
      <c r="AU2130" s="156"/>
      <c r="AV2130" s="156"/>
      <c r="AW2130" s="156"/>
      <c r="AX2130" s="156"/>
      <c r="AY2130" s="156"/>
      <c r="AZ2130" s="156"/>
      <c r="BA2130" s="156"/>
      <c r="BB2130" s="2828"/>
      <c r="BC2130" s="452"/>
      <c r="BD2130" s="2829"/>
      <c r="BE2130" s="2837"/>
      <c r="BF2130" s="156"/>
    </row>
    <row r="2131" spans="1:58" ht="15.75" customHeight="1" outlineLevel="1" x14ac:dyDescent="0.35">
      <c r="A2131" s="1071"/>
      <c r="B2131" s="2812"/>
      <c r="C2131" s="3077"/>
      <c r="D2131" s="3980"/>
      <c r="E2131" s="3883"/>
      <c r="F2131" s="3984" t="str">
        <f>$E$1916</f>
        <v>ASHP-SEER21_ROF_MF</v>
      </c>
      <c r="G2131" s="3984"/>
      <c r="H2131" s="3984"/>
      <c r="I2131" s="3984"/>
      <c r="J2131" s="3501" t="str">
        <f>$C$1916</f>
        <v>355150_2019_12_</v>
      </c>
      <c r="K2131" s="3048">
        <v>39600</v>
      </c>
      <c r="L2131" s="3521">
        <f t="shared" si="364"/>
        <v>3.3</v>
      </c>
      <c r="M2131" s="3520" t="s">
        <v>1506</v>
      </c>
      <c r="N2131" s="2804"/>
      <c r="O2131" s="106"/>
      <c r="P2131" s="106"/>
      <c r="Q2131" s="106"/>
      <c r="R2131" s="106"/>
      <c r="S2131" s="106"/>
      <c r="T2131" s="106"/>
      <c r="U2131" s="106"/>
      <c r="V2131" s="3980"/>
      <c r="W2131" s="3421">
        <v>39600</v>
      </c>
      <c r="X2131" s="3421">
        <v>39600</v>
      </c>
      <c r="Y2131" s="3421">
        <v>39600</v>
      </c>
      <c r="Z2131" s="3421">
        <v>39600</v>
      </c>
      <c r="AA2131" s="3421">
        <v>39600</v>
      </c>
      <c r="AB2131" s="3421">
        <v>39600</v>
      </c>
      <c r="AC2131" s="3557">
        <v>39600</v>
      </c>
      <c r="AD2131" s="3558">
        <v>39600</v>
      </c>
      <c r="AE2131" s="3429"/>
      <c r="AF2131" s="3421"/>
      <c r="AG2131" s="3421"/>
      <c r="AH2131" s="156"/>
      <c r="AI2131" s="156"/>
      <c r="AJ2131" s="156"/>
      <c r="AK2131" s="156"/>
      <c r="AL2131" s="156"/>
      <c r="AM2131" s="156"/>
      <c r="AN2131" s="156"/>
      <c r="AO2131" s="156"/>
      <c r="AP2131" s="156"/>
      <c r="AQ2131" s="156"/>
      <c r="AR2131" s="156"/>
      <c r="AS2131" s="156"/>
      <c r="AT2131" s="156"/>
      <c r="AU2131" s="156"/>
      <c r="AV2131" s="156"/>
      <c r="AW2131" s="156"/>
      <c r="AX2131" s="156"/>
      <c r="AY2131" s="156"/>
      <c r="AZ2131" s="156"/>
      <c r="BA2131" s="156"/>
      <c r="BB2131" s="2828"/>
      <c r="BC2131" s="452"/>
      <c r="BD2131" s="2829"/>
      <c r="BE2131" s="2837"/>
      <c r="BF2131" s="156"/>
    </row>
    <row r="2132" spans="1:58" ht="15.75" customHeight="1" outlineLevel="1" thickBot="1" x14ac:dyDescent="0.4">
      <c r="A2132" s="1071"/>
      <c r="B2132" s="2812"/>
      <c r="C2132" s="3077"/>
      <c r="D2132" s="3981"/>
      <c r="E2132" s="3983"/>
      <c r="F2132" s="4106" t="str">
        <f>$E$1918</f>
        <v>ASHP-SEER21_ROF_MF_CompE</v>
      </c>
      <c r="G2132" s="4106"/>
      <c r="H2132" s="4106"/>
      <c r="I2132" s="4106"/>
      <c r="J2132" s="3503" t="str">
        <f>$C$1918</f>
        <v>355151_2019_12_</v>
      </c>
      <c r="K2132" s="3049">
        <v>39600</v>
      </c>
      <c r="L2132" s="3523">
        <f t="shared" si="364"/>
        <v>3.3</v>
      </c>
      <c r="M2132" s="3524"/>
      <c r="N2132" s="2804"/>
      <c r="O2132" s="106"/>
      <c r="P2132" s="106"/>
      <c r="Q2132" s="106"/>
      <c r="R2132" s="106"/>
      <c r="S2132" s="106"/>
      <c r="T2132" s="106"/>
      <c r="U2132" s="106"/>
      <c r="V2132" s="3981"/>
      <c r="W2132" s="578"/>
      <c r="X2132" s="578"/>
      <c r="Y2132" s="2377">
        <v>39600</v>
      </c>
      <c r="Z2132" s="3425">
        <v>39600</v>
      </c>
      <c r="AA2132" s="3425">
        <v>39600</v>
      </c>
      <c r="AB2132" s="3421">
        <v>39600</v>
      </c>
      <c r="AC2132" s="3557">
        <f>AC2131</f>
        <v>39600</v>
      </c>
      <c r="AD2132" s="3559">
        <v>39600</v>
      </c>
      <c r="AE2132" s="2936"/>
      <c r="AF2132" s="578"/>
      <c r="AG2132" s="578"/>
      <c r="AH2132" s="156"/>
      <c r="AI2132" s="156"/>
      <c r="AJ2132" s="156"/>
      <c r="AK2132" s="156"/>
      <c r="AL2132" s="156"/>
      <c r="AM2132" s="156"/>
      <c r="AN2132" s="156"/>
      <c r="AO2132" s="156"/>
      <c r="AP2132" s="156"/>
      <c r="AQ2132" s="156"/>
      <c r="AR2132" s="156"/>
      <c r="AS2132" s="156"/>
      <c r="AT2132" s="156"/>
      <c r="AU2132" s="156"/>
      <c r="AV2132" s="156"/>
      <c r="AW2132" s="156"/>
      <c r="AX2132" s="156"/>
      <c r="AY2132" s="156"/>
      <c r="AZ2132" s="156"/>
      <c r="BA2132" s="156"/>
      <c r="BB2132" s="2828"/>
      <c r="BC2132" s="452"/>
      <c r="BD2132" s="2829"/>
      <c r="BE2132" s="2837"/>
      <c r="BF2132" s="156"/>
    </row>
    <row r="2133" spans="1:58" ht="15" customHeight="1" outlineLevel="1" thickBot="1" x14ac:dyDescent="0.4">
      <c r="A2133" s="1071"/>
      <c r="B2133" s="2812"/>
      <c r="C2133" s="3077"/>
      <c r="D2133" s="3979" t="s">
        <v>1107</v>
      </c>
      <c r="E2133" s="3982" t="s">
        <v>1108</v>
      </c>
      <c r="F2133" s="4133" t="str">
        <f>$E$1534</f>
        <v>ASHP-SEER15-Replace_CAC_ElectricHeat_ER1_SF</v>
      </c>
      <c r="G2133" s="4134"/>
      <c r="H2133" s="4134"/>
      <c r="I2133" s="4135"/>
      <c r="J2133" s="3500" t="str">
        <f>$C$1534</f>
        <v>352300_2021_12_</v>
      </c>
      <c r="K2133" s="3424">
        <v>1496</v>
      </c>
      <c r="L2133" s="620"/>
      <c r="M2133" s="3037" t="s">
        <v>1507</v>
      </c>
      <c r="N2133" s="2804"/>
      <c r="O2133" s="106"/>
      <c r="P2133" s="106"/>
      <c r="Q2133" s="106"/>
      <c r="R2133" s="106"/>
      <c r="S2133" s="106"/>
      <c r="T2133" s="106"/>
      <c r="U2133" s="106"/>
      <c r="V2133" s="3979" t="s">
        <v>1107</v>
      </c>
      <c r="W2133" s="3424">
        <v>2009</v>
      </c>
      <c r="X2133" s="2376">
        <v>1496</v>
      </c>
      <c r="Y2133" s="3424">
        <v>1496</v>
      </c>
      <c r="Z2133" s="3424">
        <v>1496</v>
      </c>
      <c r="AA2133" s="3424">
        <v>1496</v>
      </c>
      <c r="AB2133" s="3424">
        <v>1496</v>
      </c>
      <c r="AC2133" s="3430">
        <v>1496</v>
      </c>
      <c r="AD2133" s="3425">
        <v>1496</v>
      </c>
      <c r="AE2133" s="3431"/>
      <c r="AF2133" s="3424"/>
      <c r="AG2133" s="3424"/>
      <c r="AH2133" s="156"/>
      <c r="AI2133" s="156"/>
      <c r="AJ2133" s="156"/>
      <c r="AK2133" s="156"/>
      <c r="AL2133" s="156"/>
      <c r="AM2133" s="156"/>
      <c r="AN2133" s="156"/>
      <c r="AO2133" s="156"/>
      <c r="AP2133" s="156"/>
      <c r="AQ2133" s="156"/>
      <c r="AR2133" s="156"/>
      <c r="AS2133" s="156"/>
      <c r="AT2133" s="156"/>
      <c r="AU2133" s="156"/>
      <c r="AV2133" s="156"/>
      <c r="AW2133" s="156"/>
      <c r="AX2133" s="156"/>
      <c r="AY2133" s="156"/>
      <c r="AZ2133" s="156"/>
      <c r="BA2133" s="156"/>
      <c r="BB2133" s="2828"/>
      <c r="BC2133" s="452"/>
      <c r="BD2133" s="2829"/>
      <c r="BE2133" s="2837"/>
      <c r="BF2133" s="156"/>
    </row>
    <row r="2134" spans="1:58" ht="15" customHeight="1" outlineLevel="1" x14ac:dyDescent="0.35">
      <c r="A2134" s="1071"/>
      <c r="B2134" s="2812"/>
      <c r="C2134" s="3077"/>
      <c r="D2134" s="3980"/>
      <c r="E2134" s="3883"/>
      <c r="F2134" s="3984" t="str">
        <f>$E$1536</f>
        <v>ASHP-SEER15-Replace_CAC_ElectricHeat_ER2_SF</v>
      </c>
      <c r="G2134" s="3984"/>
      <c r="H2134" s="3984"/>
      <c r="I2134" s="3984"/>
      <c r="J2134" s="3501" t="str">
        <f>$C$1536</f>
        <v>352300_2021_12_</v>
      </c>
      <c r="K2134" s="3421">
        <v>1496</v>
      </c>
      <c r="L2134" s="703"/>
      <c r="M2134" s="3038"/>
      <c r="N2134" s="2804"/>
      <c r="O2134" s="106"/>
      <c r="P2134" s="106"/>
      <c r="Q2134" s="106"/>
      <c r="R2134" s="106"/>
      <c r="S2134" s="106"/>
      <c r="T2134" s="106"/>
      <c r="U2134" s="106"/>
      <c r="V2134" s="3980"/>
      <c r="W2134" s="3421">
        <v>2009</v>
      </c>
      <c r="X2134" s="2376">
        <v>1496</v>
      </c>
      <c r="Y2134" s="3421">
        <v>1496</v>
      </c>
      <c r="Z2134" s="3421">
        <v>1496</v>
      </c>
      <c r="AA2134" s="3421">
        <v>1496</v>
      </c>
      <c r="AB2134" s="3421">
        <v>1496</v>
      </c>
      <c r="AC2134" s="3428">
        <v>1496</v>
      </c>
      <c r="AD2134" s="3421">
        <v>1496</v>
      </c>
      <c r="AE2134" s="3429"/>
      <c r="AF2134" s="3421"/>
      <c r="AG2134" s="3421"/>
      <c r="AH2134" s="156"/>
      <c r="AI2134" s="156"/>
      <c r="AJ2134" s="156"/>
      <c r="AK2134" s="156"/>
      <c r="AL2134" s="156"/>
      <c r="AM2134" s="156"/>
      <c r="AN2134" s="156"/>
      <c r="AO2134" s="156"/>
      <c r="AP2134" s="156"/>
      <c r="AQ2134" s="156"/>
      <c r="AR2134" s="156"/>
      <c r="AS2134" s="156"/>
      <c r="AT2134" s="156"/>
      <c r="AU2134" s="156"/>
      <c r="AV2134" s="156"/>
      <c r="AW2134" s="156"/>
      <c r="AX2134" s="156"/>
      <c r="AY2134" s="156"/>
      <c r="AZ2134" s="156"/>
      <c r="BA2134" s="156"/>
      <c r="BB2134" s="2828"/>
      <c r="BC2134" s="452"/>
      <c r="BD2134" s="2829"/>
      <c r="BE2134" s="2837"/>
      <c r="BF2134" s="156"/>
    </row>
    <row r="2135" spans="1:58" ht="15" customHeight="1" outlineLevel="1" x14ac:dyDescent="0.35">
      <c r="A2135" s="1071"/>
      <c r="B2135" s="2812"/>
      <c r="C2135" s="3077"/>
      <c r="D2135" s="3980"/>
      <c r="E2135" s="3883"/>
      <c r="F2135" s="3984" t="str">
        <f>$E$1538</f>
        <v>ASHP-SEER15-Replace_CAC_NonElectricHeat_ER1_SF</v>
      </c>
      <c r="G2135" s="3984"/>
      <c r="H2135" s="3984"/>
      <c r="I2135" s="3984"/>
      <c r="J2135" s="3501" t="str">
        <f>$C$1538</f>
        <v>352310_2021_12_</v>
      </c>
      <c r="K2135" s="2042">
        <v>1496</v>
      </c>
      <c r="L2135" s="703"/>
      <c r="M2135" s="3038"/>
      <c r="N2135" s="2804"/>
      <c r="O2135" s="106"/>
      <c r="P2135" s="106"/>
      <c r="Q2135" s="106"/>
      <c r="R2135" s="106"/>
      <c r="S2135" s="106"/>
      <c r="T2135" s="106"/>
      <c r="U2135" s="106"/>
      <c r="V2135" s="3980"/>
      <c r="W2135" s="3421"/>
      <c r="X2135" s="2377"/>
      <c r="Y2135" s="3421"/>
      <c r="Z2135" s="3421"/>
      <c r="AA2135" s="3421"/>
      <c r="AB2135" s="3421"/>
      <c r="AC2135" s="2292">
        <v>1496</v>
      </c>
      <c r="AD2135" s="2042">
        <v>1496</v>
      </c>
      <c r="AE2135" s="3429"/>
      <c r="AF2135" s="3421"/>
      <c r="AG2135" s="3421"/>
      <c r="AH2135" s="156"/>
      <c r="AI2135" s="156"/>
      <c r="AJ2135" s="156"/>
      <c r="AK2135" s="156"/>
      <c r="AL2135" s="156"/>
      <c r="AM2135" s="156"/>
      <c r="AN2135" s="156"/>
      <c r="AO2135" s="156"/>
      <c r="AP2135" s="156"/>
      <c r="AQ2135" s="156"/>
      <c r="AR2135" s="156"/>
      <c r="AS2135" s="156"/>
      <c r="AT2135" s="156"/>
      <c r="AU2135" s="156"/>
      <c r="AV2135" s="156"/>
      <c r="AW2135" s="156"/>
      <c r="AX2135" s="156"/>
      <c r="AY2135" s="156"/>
      <c r="AZ2135" s="156"/>
      <c r="BA2135" s="156"/>
      <c r="BB2135" s="2828"/>
      <c r="BC2135" s="452"/>
      <c r="BD2135" s="2829"/>
      <c r="BE2135" s="2837"/>
      <c r="BF2135" s="156"/>
    </row>
    <row r="2136" spans="1:58" ht="15" customHeight="1" outlineLevel="1" x14ac:dyDescent="0.35">
      <c r="A2136" s="1071"/>
      <c r="B2136" s="2812"/>
      <c r="C2136" s="3077"/>
      <c r="D2136" s="3980"/>
      <c r="E2136" s="3883"/>
      <c r="F2136" s="3984" t="str">
        <f>$E$1540</f>
        <v>ASHP-SEER15-Replace_CAC_NonElectricHeat_ER2_SF</v>
      </c>
      <c r="G2136" s="3984"/>
      <c r="H2136" s="3984"/>
      <c r="I2136" s="3984"/>
      <c r="J2136" s="3501" t="str">
        <f>$C$1540</f>
        <v>352310_2021_12_</v>
      </c>
      <c r="K2136" s="2042">
        <v>1496</v>
      </c>
      <c r="L2136" s="703"/>
      <c r="M2136" s="3038"/>
      <c r="N2136" s="106"/>
      <c r="O2136" s="106"/>
      <c r="P2136" s="106"/>
      <c r="Q2136" s="106"/>
      <c r="R2136" s="106"/>
      <c r="S2136" s="106"/>
      <c r="T2136" s="106"/>
      <c r="U2136" s="106"/>
      <c r="V2136" s="3980"/>
      <c r="W2136" s="3421"/>
      <c r="X2136" s="2377"/>
      <c r="Y2136" s="3421"/>
      <c r="Z2136" s="3421"/>
      <c r="AA2136" s="3421"/>
      <c r="AB2136" s="3421"/>
      <c r="AC2136" s="2292">
        <v>1496</v>
      </c>
      <c r="AD2136" s="2042">
        <v>1496</v>
      </c>
      <c r="AE2136" s="3429"/>
      <c r="AF2136" s="3421"/>
      <c r="AG2136" s="3421"/>
      <c r="AH2136" s="156"/>
      <c r="AI2136" s="156"/>
      <c r="AJ2136" s="156"/>
      <c r="AK2136" s="156"/>
      <c r="AL2136" s="156"/>
      <c r="AM2136" s="156"/>
      <c r="AN2136" s="156"/>
      <c r="AO2136" s="156"/>
      <c r="AP2136" s="156"/>
      <c r="AQ2136" s="156"/>
      <c r="AR2136" s="156"/>
      <c r="AS2136" s="156"/>
      <c r="AT2136" s="156"/>
      <c r="AU2136" s="156"/>
      <c r="AV2136" s="156"/>
      <c r="AW2136" s="156"/>
      <c r="AX2136" s="156"/>
      <c r="AY2136" s="156"/>
      <c r="AZ2136" s="156"/>
      <c r="BA2136" s="156"/>
      <c r="BB2136" s="2828"/>
      <c r="BC2136" s="452"/>
      <c r="BD2136" s="2829"/>
      <c r="BE2136" s="2837"/>
      <c r="BF2136" s="156"/>
    </row>
    <row r="2137" spans="1:58" ht="15" customHeight="1" outlineLevel="1" x14ac:dyDescent="0.35">
      <c r="A2137" s="1071"/>
      <c r="B2137" s="2812"/>
      <c r="C2137" s="3077"/>
      <c r="D2137" s="3980"/>
      <c r="E2137" s="3883"/>
      <c r="F2137" s="3984" t="str">
        <f>$E$1542</f>
        <v>ASHP-SEER15_ER1_SF</v>
      </c>
      <c r="G2137" s="3984"/>
      <c r="H2137" s="3984"/>
      <c r="I2137" s="3984"/>
      <c r="J2137" s="3501" t="str">
        <f>$C$1542</f>
        <v>352350_2021_12_</v>
      </c>
      <c r="K2137" s="3421">
        <v>1496</v>
      </c>
      <c r="L2137" s="703"/>
      <c r="M2137" s="3038"/>
      <c r="N2137" s="106"/>
      <c r="O2137" s="106"/>
      <c r="P2137" s="106"/>
      <c r="Q2137" s="106"/>
      <c r="R2137" s="106"/>
      <c r="S2137" s="106"/>
      <c r="T2137" s="106"/>
      <c r="U2137" s="106"/>
      <c r="V2137" s="3980"/>
      <c r="W2137" s="3421">
        <v>2009</v>
      </c>
      <c r="X2137" s="2374">
        <v>1496</v>
      </c>
      <c r="Y2137" s="3421">
        <v>1496</v>
      </c>
      <c r="Z2137" s="3421">
        <v>1496</v>
      </c>
      <c r="AA2137" s="3421">
        <v>1496</v>
      </c>
      <c r="AB2137" s="3421">
        <v>1496</v>
      </c>
      <c r="AC2137" s="3428">
        <v>1496</v>
      </c>
      <c r="AD2137" s="3421">
        <v>1496</v>
      </c>
      <c r="AE2137" s="3429"/>
      <c r="AF2137" s="3421"/>
      <c r="AG2137" s="3421"/>
      <c r="AH2137" s="156"/>
      <c r="AI2137" s="156"/>
      <c r="AJ2137" s="156"/>
      <c r="AK2137" s="156"/>
      <c r="AL2137" s="156"/>
      <c r="AM2137" s="156"/>
      <c r="AN2137" s="156"/>
      <c r="AO2137" s="156"/>
      <c r="AP2137" s="156"/>
      <c r="AQ2137" s="156"/>
      <c r="AR2137" s="156"/>
      <c r="AS2137" s="156"/>
      <c r="AT2137" s="156"/>
      <c r="AU2137" s="156"/>
      <c r="AV2137" s="156"/>
      <c r="AW2137" s="156"/>
      <c r="AX2137" s="156"/>
      <c r="AY2137" s="156"/>
      <c r="AZ2137" s="156"/>
      <c r="BA2137" s="156"/>
      <c r="BB2137" s="2828"/>
      <c r="BC2137" s="452"/>
      <c r="BD2137" s="2829"/>
      <c r="BE2137" s="2837"/>
      <c r="BF2137" s="156"/>
    </row>
    <row r="2138" spans="1:58" ht="15" customHeight="1" outlineLevel="1" x14ac:dyDescent="0.35">
      <c r="A2138" s="1664"/>
      <c r="B2138" s="2812"/>
      <c r="C2138" s="3077"/>
      <c r="D2138" s="3980"/>
      <c r="E2138" s="3883"/>
      <c r="F2138" s="3984" t="str">
        <f>$E$1544</f>
        <v>ASHP-SEER15_ER2_SF</v>
      </c>
      <c r="G2138" s="3984"/>
      <c r="H2138" s="3984"/>
      <c r="I2138" s="3984"/>
      <c r="J2138" s="3501" t="str">
        <f>$C$1544</f>
        <v>352350_2021_12_</v>
      </c>
      <c r="K2138" s="3421">
        <v>1496</v>
      </c>
      <c r="L2138" s="703"/>
      <c r="M2138" s="3038"/>
      <c r="N2138" s="106"/>
      <c r="O2138" s="106"/>
      <c r="P2138" s="702"/>
      <c r="Q2138" s="702"/>
      <c r="R2138" s="702"/>
      <c r="S2138" s="106"/>
      <c r="T2138" s="486"/>
      <c r="U2138" s="106"/>
      <c r="V2138" s="3980"/>
      <c r="W2138" s="3421">
        <v>2009</v>
      </c>
      <c r="X2138" s="2374">
        <v>1496</v>
      </c>
      <c r="Y2138" s="3421">
        <v>1496</v>
      </c>
      <c r="Z2138" s="3421">
        <v>1496</v>
      </c>
      <c r="AA2138" s="3421">
        <v>1496</v>
      </c>
      <c r="AB2138" s="3421">
        <v>1496</v>
      </c>
      <c r="AC2138" s="3428">
        <v>1496</v>
      </c>
      <c r="AD2138" s="3421">
        <v>1496</v>
      </c>
      <c r="AE2138" s="3429"/>
      <c r="AF2138" s="3421"/>
      <c r="AG2138" s="3421"/>
      <c r="AH2138" s="156"/>
      <c r="AI2138" s="156"/>
      <c r="AJ2138" s="156"/>
      <c r="AK2138" s="156"/>
      <c r="AL2138" s="156"/>
      <c r="AM2138" s="156"/>
      <c r="AN2138" s="156"/>
      <c r="AO2138" s="156"/>
      <c r="AP2138" s="156"/>
      <c r="AQ2138" s="156"/>
      <c r="AR2138" s="156"/>
      <c r="AS2138" s="156"/>
      <c r="AT2138" s="156"/>
      <c r="AU2138" s="156"/>
      <c r="AV2138" s="156"/>
      <c r="AW2138" s="156"/>
      <c r="AX2138" s="156"/>
      <c r="AY2138" s="156"/>
      <c r="AZ2138" s="156"/>
      <c r="BA2138" s="156"/>
      <c r="BB2138" s="2828"/>
      <c r="BC2138" s="452"/>
      <c r="BD2138" s="2829"/>
      <c r="BE2138" s="2837"/>
      <c r="BF2138" s="156"/>
    </row>
    <row r="2139" spans="1:58" ht="15" customHeight="1" outlineLevel="1" x14ac:dyDescent="0.35">
      <c r="A2139" s="1664"/>
      <c r="B2139" s="2812"/>
      <c r="C2139" s="3077"/>
      <c r="D2139" s="3980"/>
      <c r="E2139" s="3883"/>
      <c r="F2139" s="3984" t="str">
        <f>$E$1546</f>
        <v>ASHP-SEER15-Replace_CAC_ElectricHeat_ROF_SF</v>
      </c>
      <c r="G2139" s="3984"/>
      <c r="H2139" s="3984"/>
      <c r="I2139" s="3984"/>
      <c r="J2139" s="3501" t="str">
        <f>$C$1546</f>
        <v>352400_2021_12_</v>
      </c>
      <c r="K2139" s="3421">
        <v>1496</v>
      </c>
      <c r="L2139" s="703"/>
      <c r="M2139" s="3038"/>
      <c r="N2139" s="106"/>
      <c r="O2139" s="106"/>
      <c r="P2139" s="702"/>
      <c r="Q2139" s="702"/>
      <c r="R2139" s="702"/>
      <c r="S2139" s="106"/>
      <c r="T2139" s="486"/>
      <c r="U2139" s="106"/>
      <c r="V2139" s="3980"/>
      <c r="W2139" s="3421">
        <v>2009</v>
      </c>
      <c r="X2139" s="2374">
        <v>1496</v>
      </c>
      <c r="Y2139" s="3421">
        <v>1496</v>
      </c>
      <c r="Z2139" s="3421">
        <v>1496</v>
      </c>
      <c r="AA2139" s="3421">
        <v>1496</v>
      </c>
      <c r="AB2139" s="3421">
        <v>1496</v>
      </c>
      <c r="AC2139" s="3428">
        <v>1496</v>
      </c>
      <c r="AD2139" s="3421">
        <v>1496</v>
      </c>
      <c r="AE2139" s="3429"/>
      <c r="AF2139" s="3421"/>
      <c r="AG2139" s="3421"/>
      <c r="AH2139" s="156"/>
      <c r="AI2139" s="156"/>
      <c r="AJ2139" s="156"/>
      <c r="AK2139" s="156"/>
      <c r="AL2139" s="156"/>
      <c r="AM2139" s="156"/>
      <c r="AN2139" s="156"/>
      <c r="AO2139" s="156"/>
      <c r="AP2139" s="156"/>
      <c r="AQ2139" s="156"/>
      <c r="AR2139" s="156"/>
      <c r="AS2139" s="156"/>
      <c r="AT2139" s="156"/>
      <c r="AU2139" s="156"/>
      <c r="AV2139" s="156"/>
      <c r="AW2139" s="156"/>
      <c r="AX2139" s="156"/>
      <c r="AY2139" s="156"/>
      <c r="AZ2139" s="156"/>
      <c r="BA2139" s="156"/>
      <c r="BB2139" s="2828"/>
      <c r="BC2139" s="452"/>
      <c r="BD2139" s="2829"/>
      <c r="BE2139" s="2837"/>
      <c r="BF2139" s="156"/>
    </row>
    <row r="2140" spans="1:58" ht="15" customHeight="1" outlineLevel="1" x14ac:dyDescent="0.35">
      <c r="A2140" s="1664"/>
      <c r="B2140" s="2812"/>
      <c r="C2140" s="3077"/>
      <c r="D2140" s="3980"/>
      <c r="E2140" s="3883"/>
      <c r="F2140" s="3984" t="str">
        <f>$E$1548</f>
        <v>ASHP-SEER15-Replace_CAC_NonElectricHeat_ROF_SF</v>
      </c>
      <c r="G2140" s="3984"/>
      <c r="H2140" s="3984"/>
      <c r="I2140" s="3984"/>
      <c r="J2140" s="3501" t="str">
        <f>$C$1548</f>
        <v>352410_2021_12_</v>
      </c>
      <c r="K2140" s="2042">
        <v>1496</v>
      </c>
      <c r="L2140" s="703"/>
      <c r="M2140" s="3038"/>
      <c r="N2140" s="106"/>
      <c r="O2140" s="106"/>
      <c r="P2140" s="702"/>
      <c r="Q2140" s="702"/>
      <c r="R2140" s="702"/>
      <c r="S2140" s="106"/>
      <c r="T2140" s="486"/>
      <c r="U2140" s="106"/>
      <c r="V2140" s="3980"/>
      <c r="W2140" s="3421"/>
      <c r="X2140" s="2374"/>
      <c r="Y2140" s="3421"/>
      <c r="Z2140" s="3421"/>
      <c r="AA2140" s="3421"/>
      <c r="AB2140" s="3421"/>
      <c r="AC2140" s="2292">
        <v>1496</v>
      </c>
      <c r="AD2140" s="2042">
        <v>1496</v>
      </c>
      <c r="AE2140" s="3429"/>
      <c r="AF2140" s="3421"/>
      <c r="AG2140" s="3421"/>
      <c r="AH2140" s="156"/>
      <c r="AI2140" s="156"/>
      <c r="AJ2140" s="156"/>
      <c r="AK2140" s="156"/>
      <c r="AL2140" s="156"/>
      <c r="AM2140" s="156"/>
      <c r="AN2140" s="156"/>
      <c r="AO2140" s="156"/>
      <c r="AP2140" s="156"/>
      <c r="AQ2140" s="156"/>
      <c r="AR2140" s="156"/>
      <c r="AS2140" s="156"/>
      <c r="AT2140" s="156"/>
      <c r="AU2140" s="156"/>
      <c r="AV2140" s="156"/>
      <c r="AW2140" s="156"/>
      <c r="AX2140" s="156"/>
      <c r="AY2140" s="156"/>
      <c r="AZ2140" s="156"/>
      <c r="BA2140" s="156"/>
      <c r="BB2140" s="2828"/>
      <c r="BC2140" s="452"/>
      <c r="BD2140" s="2829"/>
      <c r="BE2140" s="2837"/>
      <c r="BF2140" s="156"/>
    </row>
    <row r="2141" spans="1:58" ht="15" customHeight="1" outlineLevel="1" x14ac:dyDescent="0.35">
      <c r="A2141" s="1664"/>
      <c r="B2141" s="2812"/>
      <c r="C2141" s="3077"/>
      <c r="D2141" s="3980"/>
      <c r="E2141" s="3883"/>
      <c r="F2141" s="3984" t="str">
        <f>$E$1550</f>
        <v>ASHP-SEER15_ROF_SF</v>
      </c>
      <c r="G2141" s="3984"/>
      <c r="H2141" s="3984"/>
      <c r="I2141" s="3984"/>
      <c r="J2141" s="3501" t="str">
        <f>$C$1550</f>
        <v>352450_2021_12_</v>
      </c>
      <c r="K2141" s="3421">
        <v>1496</v>
      </c>
      <c r="L2141" s="703"/>
      <c r="M2141" s="3038"/>
      <c r="N2141" s="106"/>
      <c r="O2141" s="106"/>
      <c r="P2141" s="702"/>
      <c r="Q2141" s="702"/>
      <c r="R2141" s="702"/>
      <c r="S2141" s="106"/>
      <c r="T2141" s="486"/>
      <c r="U2141" s="106"/>
      <c r="V2141" s="3980"/>
      <c r="W2141" s="3421">
        <v>2009</v>
      </c>
      <c r="X2141" s="2374">
        <v>1496</v>
      </c>
      <c r="Y2141" s="3421">
        <v>1496</v>
      </c>
      <c r="Z2141" s="3421">
        <v>1496</v>
      </c>
      <c r="AA2141" s="3421">
        <v>1496</v>
      </c>
      <c r="AB2141" s="3421">
        <v>1496</v>
      </c>
      <c r="AC2141" s="3428">
        <v>1496</v>
      </c>
      <c r="AD2141" s="3421">
        <v>1496</v>
      </c>
      <c r="AE2141" s="3429"/>
      <c r="AF2141" s="3421"/>
      <c r="AG2141" s="3421"/>
      <c r="AH2141" s="156"/>
      <c r="AI2141" s="156"/>
      <c r="AJ2141" s="156"/>
      <c r="AK2141" s="156"/>
      <c r="AL2141" s="156"/>
      <c r="AM2141" s="156"/>
      <c r="AN2141" s="156"/>
      <c r="AO2141" s="156"/>
      <c r="AP2141" s="156"/>
      <c r="AQ2141" s="156"/>
      <c r="AR2141" s="156"/>
      <c r="AS2141" s="156"/>
      <c r="AT2141" s="156"/>
      <c r="AU2141" s="156"/>
      <c r="AV2141" s="156"/>
      <c r="AW2141" s="156"/>
      <c r="AX2141" s="156"/>
      <c r="AY2141" s="156"/>
      <c r="AZ2141" s="156"/>
      <c r="BA2141" s="156"/>
      <c r="BB2141" s="2828"/>
      <c r="BC2141" s="452"/>
      <c r="BD2141" s="2829"/>
      <c r="BE2141" s="2837"/>
      <c r="BF2141" s="156"/>
    </row>
    <row r="2142" spans="1:58" ht="15" customHeight="1" outlineLevel="1" x14ac:dyDescent="0.35">
      <c r="A2142" s="1664"/>
      <c r="B2142" s="2812"/>
      <c r="C2142" s="3077"/>
      <c r="D2142" s="3980"/>
      <c r="E2142" s="3883"/>
      <c r="F2142" s="3984" t="str">
        <f>$E$1552</f>
        <v>ASHP-SEER16-Replace_CAC_ElectricHeat_ER1_SF</v>
      </c>
      <c r="G2142" s="3984"/>
      <c r="H2142" s="3984"/>
      <c r="I2142" s="3984"/>
      <c r="J2142" s="3501" t="str">
        <f>$C$1552</f>
        <v>352500_2021_12_</v>
      </c>
      <c r="K2142" s="3421">
        <v>1496</v>
      </c>
      <c r="L2142" s="703"/>
      <c r="M2142" s="3038"/>
      <c r="N2142" s="106"/>
      <c r="O2142" s="106"/>
      <c r="P2142" s="702"/>
      <c r="Q2142" s="702"/>
      <c r="R2142" s="702"/>
      <c r="S2142" s="106"/>
      <c r="T2142" s="486"/>
      <c r="U2142" s="106"/>
      <c r="V2142" s="3980"/>
      <c r="W2142" s="3421">
        <v>2009</v>
      </c>
      <c r="X2142" s="2374">
        <v>1496</v>
      </c>
      <c r="Y2142" s="3421">
        <v>1496</v>
      </c>
      <c r="Z2142" s="3421">
        <v>1496</v>
      </c>
      <c r="AA2142" s="3421">
        <v>1496</v>
      </c>
      <c r="AB2142" s="3421">
        <v>1496</v>
      </c>
      <c r="AC2142" s="3428">
        <v>1496</v>
      </c>
      <c r="AD2142" s="3421">
        <v>1496</v>
      </c>
      <c r="AE2142" s="3429"/>
      <c r="AF2142" s="3421"/>
      <c r="AG2142" s="3421"/>
      <c r="AH2142" s="156"/>
      <c r="AI2142" s="156"/>
      <c r="AJ2142" s="156"/>
      <c r="AK2142" s="156"/>
      <c r="AL2142" s="156"/>
      <c r="AM2142" s="156"/>
      <c r="AN2142" s="156"/>
      <c r="AO2142" s="156"/>
      <c r="AP2142" s="156"/>
      <c r="AQ2142" s="156"/>
      <c r="AR2142" s="156"/>
      <c r="AS2142" s="156"/>
      <c r="AT2142" s="156"/>
      <c r="AU2142" s="156"/>
      <c r="AV2142" s="156"/>
      <c r="AW2142" s="156"/>
      <c r="AX2142" s="156"/>
      <c r="AY2142" s="156"/>
      <c r="AZ2142" s="156"/>
      <c r="BA2142" s="156"/>
      <c r="BB2142" s="2828"/>
      <c r="BC2142" s="452"/>
      <c r="BD2142" s="2829"/>
      <c r="BE2142" s="2837"/>
      <c r="BF2142" s="156"/>
    </row>
    <row r="2143" spans="1:58" ht="15" customHeight="1" outlineLevel="1" x14ac:dyDescent="0.35">
      <c r="A2143" s="1071"/>
      <c r="B2143" s="2812"/>
      <c r="C2143" s="3077"/>
      <c r="D2143" s="3980"/>
      <c r="E2143" s="3883"/>
      <c r="F2143" s="3984" t="str">
        <f>$E$1554</f>
        <v>ASHP-SEER16-Replace_CAC_ElectricHeat_ER2_SF</v>
      </c>
      <c r="G2143" s="3984"/>
      <c r="H2143" s="3984"/>
      <c r="I2143" s="3984"/>
      <c r="J2143" s="3501" t="str">
        <f>$C$1554</f>
        <v>352500_2021_12_</v>
      </c>
      <c r="K2143" s="3421">
        <v>1496</v>
      </c>
      <c r="L2143" s="703"/>
      <c r="M2143" s="3038"/>
      <c r="N2143" s="106"/>
      <c r="O2143" s="106"/>
      <c r="P2143" s="106"/>
      <c r="Q2143" s="106"/>
      <c r="R2143" s="106"/>
      <c r="S2143" s="106"/>
      <c r="T2143" s="106"/>
      <c r="U2143" s="106"/>
      <c r="V2143" s="3980"/>
      <c r="W2143" s="3421">
        <v>2009</v>
      </c>
      <c r="X2143" s="2374">
        <v>1496</v>
      </c>
      <c r="Y2143" s="3421">
        <v>1496</v>
      </c>
      <c r="Z2143" s="3421">
        <v>1496</v>
      </c>
      <c r="AA2143" s="3421">
        <v>1496</v>
      </c>
      <c r="AB2143" s="3421">
        <v>1496</v>
      </c>
      <c r="AC2143" s="3428">
        <v>1496</v>
      </c>
      <c r="AD2143" s="3421">
        <v>1496</v>
      </c>
      <c r="AE2143" s="3429"/>
      <c r="AF2143" s="3421"/>
      <c r="AG2143" s="3421"/>
      <c r="AH2143" s="156"/>
      <c r="AI2143" s="156"/>
      <c r="AJ2143" s="156"/>
      <c r="AK2143" s="156"/>
      <c r="AL2143" s="156"/>
      <c r="AM2143" s="156"/>
      <c r="AN2143" s="156"/>
      <c r="AO2143" s="156"/>
      <c r="AP2143" s="156"/>
      <c r="AQ2143" s="156"/>
      <c r="AR2143" s="156"/>
      <c r="AS2143" s="156"/>
      <c r="AT2143" s="156"/>
      <c r="AU2143" s="156"/>
      <c r="AV2143" s="156"/>
      <c r="AW2143" s="156"/>
      <c r="AX2143" s="156"/>
      <c r="AY2143" s="156"/>
      <c r="AZ2143" s="156"/>
      <c r="BA2143" s="156"/>
      <c r="BB2143" s="2828"/>
      <c r="BC2143" s="452"/>
      <c r="BD2143" s="2829"/>
      <c r="BE2143" s="2837"/>
      <c r="BF2143" s="156"/>
    </row>
    <row r="2144" spans="1:58" ht="15" customHeight="1" outlineLevel="1" x14ac:dyDescent="0.35">
      <c r="A2144" s="1071"/>
      <c r="B2144" s="2812"/>
      <c r="C2144" s="3077"/>
      <c r="D2144" s="3980"/>
      <c r="E2144" s="3883"/>
      <c r="F2144" s="3984" t="str">
        <f>$E$1556</f>
        <v>ASHP-SEER16-Replace_CAC_NonElectricHeat_ER1_SF</v>
      </c>
      <c r="G2144" s="3984"/>
      <c r="H2144" s="3984"/>
      <c r="I2144" s="3984"/>
      <c r="J2144" s="3501" t="str">
        <f>$C$1556</f>
        <v>352510_2021_12_</v>
      </c>
      <c r="K2144" s="2042">
        <v>1496</v>
      </c>
      <c r="L2144" s="703"/>
      <c r="M2144" s="3038"/>
      <c r="N2144" s="106"/>
      <c r="O2144" s="106"/>
      <c r="P2144" s="106"/>
      <c r="Q2144" s="106"/>
      <c r="R2144" s="106"/>
      <c r="S2144" s="106"/>
      <c r="T2144" s="106"/>
      <c r="U2144" s="106"/>
      <c r="V2144" s="3980"/>
      <c r="W2144" s="3421"/>
      <c r="X2144" s="2374"/>
      <c r="Y2144" s="3421"/>
      <c r="Z2144" s="3421"/>
      <c r="AA2144" s="3421"/>
      <c r="AB2144" s="3421"/>
      <c r="AC2144" s="2292">
        <v>1496</v>
      </c>
      <c r="AD2144" s="2042">
        <v>1496</v>
      </c>
      <c r="AE2144" s="3429"/>
      <c r="AF2144" s="3421"/>
      <c r="AG2144" s="3421"/>
      <c r="AH2144" s="156"/>
      <c r="AI2144" s="156"/>
      <c r="AJ2144" s="156"/>
      <c r="AK2144" s="156"/>
      <c r="AL2144" s="156"/>
      <c r="AM2144" s="156"/>
      <c r="AN2144" s="156"/>
      <c r="AO2144" s="156"/>
      <c r="AP2144" s="156"/>
      <c r="AQ2144" s="156"/>
      <c r="AR2144" s="156"/>
      <c r="AS2144" s="156"/>
      <c r="AT2144" s="156"/>
      <c r="AU2144" s="156"/>
      <c r="AV2144" s="156"/>
      <c r="AW2144" s="156"/>
      <c r="AX2144" s="156"/>
      <c r="AY2144" s="156"/>
      <c r="AZ2144" s="156"/>
      <c r="BA2144" s="156"/>
      <c r="BB2144" s="2828"/>
      <c r="BC2144" s="452"/>
      <c r="BD2144" s="2829"/>
      <c r="BE2144" s="2837"/>
      <c r="BF2144" s="156"/>
    </row>
    <row r="2145" spans="1:58" ht="15" customHeight="1" outlineLevel="1" x14ac:dyDescent="0.35">
      <c r="A2145" s="1071"/>
      <c r="B2145" s="2812"/>
      <c r="C2145" s="3077"/>
      <c r="D2145" s="3980"/>
      <c r="E2145" s="3883"/>
      <c r="F2145" s="3984" t="str">
        <f>$E$1558</f>
        <v>ASHP-SEER16-Replace_CAC_NonElectricHeat_ER2_SF</v>
      </c>
      <c r="G2145" s="3984"/>
      <c r="H2145" s="3984"/>
      <c r="I2145" s="3984"/>
      <c r="J2145" s="3501" t="str">
        <f>$C$1558</f>
        <v>352510_2021_12_</v>
      </c>
      <c r="K2145" s="2042">
        <v>1496</v>
      </c>
      <c r="L2145" s="703"/>
      <c r="M2145" s="3038"/>
      <c r="N2145" s="106"/>
      <c r="O2145" s="106"/>
      <c r="P2145" s="106"/>
      <c r="Q2145" s="106"/>
      <c r="R2145" s="106"/>
      <c r="S2145" s="106"/>
      <c r="T2145" s="106"/>
      <c r="U2145" s="106"/>
      <c r="V2145" s="3980"/>
      <c r="W2145" s="3421"/>
      <c r="X2145" s="2374"/>
      <c r="Y2145" s="3421"/>
      <c r="Z2145" s="3421"/>
      <c r="AA2145" s="3421"/>
      <c r="AB2145" s="3421"/>
      <c r="AC2145" s="2292">
        <v>1496</v>
      </c>
      <c r="AD2145" s="2042">
        <v>1496</v>
      </c>
      <c r="AE2145" s="3429"/>
      <c r="AF2145" s="3421"/>
      <c r="AG2145" s="3421"/>
      <c r="AH2145" s="156"/>
      <c r="AI2145" s="156"/>
      <c r="AJ2145" s="156"/>
      <c r="AK2145" s="156"/>
      <c r="AL2145" s="156"/>
      <c r="AM2145" s="156"/>
      <c r="AN2145" s="156"/>
      <c r="AO2145" s="156"/>
      <c r="AP2145" s="156"/>
      <c r="AQ2145" s="156"/>
      <c r="AR2145" s="156"/>
      <c r="AS2145" s="156"/>
      <c r="AT2145" s="156"/>
      <c r="AU2145" s="156"/>
      <c r="AV2145" s="156"/>
      <c r="AW2145" s="156"/>
      <c r="AX2145" s="156"/>
      <c r="AY2145" s="156"/>
      <c r="AZ2145" s="156"/>
      <c r="BA2145" s="156"/>
      <c r="BB2145" s="2828"/>
      <c r="BC2145" s="452"/>
      <c r="BD2145" s="2829"/>
      <c r="BE2145" s="2837"/>
      <c r="BF2145" s="156"/>
    </row>
    <row r="2146" spans="1:58" ht="15" customHeight="1" outlineLevel="1" x14ac:dyDescent="0.35">
      <c r="A2146" s="1071"/>
      <c r="B2146" s="2812"/>
      <c r="C2146" s="3077"/>
      <c r="D2146" s="3980"/>
      <c r="E2146" s="3883"/>
      <c r="F2146" s="3984" t="str">
        <f>$E$1560</f>
        <v>ASHP-SEER16_ER1_SF</v>
      </c>
      <c r="G2146" s="3984"/>
      <c r="H2146" s="3984"/>
      <c r="I2146" s="3984"/>
      <c r="J2146" s="3501" t="str">
        <f>$C$1560</f>
        <v>352550_2021_12_</v>
      </c>
      <c r="K2146" s="3421">
        <v>1496</v>
      </c>
      <c r="L2146" s="703"/>
      <c r="M2146" s="3038"/>
      <c r="N2146" s="106"/>
      <c r="O2146" s="106"/>
      <c r="P2146" s="106"/>
      <c r="Q2146" s="106"/>
      <c r="R2146" s="106"/>
      <c r="S2146" s="106"/>
      <c r="T2146" s="106"/>
      <c r="U2146" s="106"/>
      <c r="V2146" s="3980"/>
      <c r="W2146" s="3421">
        <v>2009</v>
      </c>
      <c r="X2146" s="2374">
        <v>1496</v>
      </c>
      <c r="Y2146" s="3421">
        <v>1496</v>
      </c>
      <c r="Z2146" s="3421">
        <v>1496</v>
      </c>
      <c r="AA2146" s="3421">
        <v>1496</v>
      </c>
      <c r="AB2146" s="3421">
        <v>1496</v>
      </c>
      <c r="AC2146" s="3428">
        <v>1496</v>
      </c>
      <c r="AD2146" s="3421">
        <v>1496</v>
      </c>
      <c r="AE2146" s="3429"/>
      <c r="AF2146" s="3421"/>
      <c r="AG2146" s="3421"/>
      <c r="AH2146" s="156"/>
      <c r="AI2146" s="156"/>
      <c r="AJ2146" s="156"/>
      <c r="AK2146" s="156"/>
      <c r="AL2146" s="156"/>
      <c r="AM2146" s="156"/>
      <c r="AN2146" s="156"/>
      <c r="AO2146" s="156"/>
      <c r="AP2146" s="156"/>
      <c r="AQ2146" s="156"/>
      <c r="AR2146" s="156"/>
      <c r="AS2146" s="156"/>
      <c r="AT2146" s="156"/>
      <c r="AU2146" s="156"/>
      <c r="AV2146" s="156"/>
      <c r="AW2146" s="156"/>
      <c r="AX2146" s="156"/>
      <c r="AY2146" s="156"/>
      <c r="AZ2146" s="156"/>
      <c r="BA2146" s="156"/>
      <c r="BB2146" s="2828"/>
      <c r="BC2146" s="452"/>
      <c r="BD2146" s="2829"/>
      <c r="BE2146" s="2837"/>
      <c r="BF2146" s="156"/>
    </row>
    <row r="2147" spans="1:58" ht="15" customHeight="1" outlineLevel="1" x14ac:dyDescent="0.35">
      <c r="A2147" s="1071"/>
      <c r="B2147" s="2812"/>
      <c r="C2147" s="3077"/>
      <c r="D2147" s="3980"/>
      <c r="E2147" s="3883"/>
      <c r="F2147" s="3984" t="str">
        <f>$E$1562</f>
        <v>ASHP-SEER16_ER2_SF</v>
      </c>
      <c r="G2147" s="3984"/>
      <c r="H2147" s="3984"/>
      <c r="I2147" s="3984"/>
      <c r="J2147" s="3501" t="str">
        <f>$C$1562</f>
        <v>352550_2021_12_</v>
      </c>
      <c r="K2147" s="3421">
        <v>1496</v>
      </c>
      <c r="L2147" s="704"/>
      <c r="M2147" s="3038"/>
      <c r="N2147" s="106"/>
      <c r="O2147" s="106"/>
      <c r="P2147" s="106"/>
      <c r="Q2147" s="106"/>
      <c r="R2147" s="106"/>
      <c r="S2147" s="106"/>
      <c r="T2147" s="106"/>
      <c r="U2147" s="106"/>
      <c r="V2147" s="3980"/>
      <c r="W2147" s="3421">
        <v>2009</v>
      </c>
      <c r="X2147" s="2374">
        <v>1496</v>
      </c>
      <c r="Y2147" s="3421">
        <v>1496</v>
      </c>
      <c r="Z2147" s="3421">
        <v>1496</v>
      </c>
      <c r="AA2147" s="3421">
        <v>1496</v>
      </c>
      <c r="AB2147" s="3421">
        <v>1496</v>
      </c>
      <c r="AC2147" s="3428">
        <v>1496</v>
      </c>
      <c r="AD2147" s="3421">
        <v>1496</v>
      </c>
      <c r="AE2147" s="3429"/>
      <c r="AF2147" s="3421"/>
      <c r="AG2147" s="3421"/>
      <c r="AH2147" s="156"/>
      <c r="AI2147" s="156"/>
      <c r="AJ2147" s="156"/>
      <c r="AK2147" s="156"/>
      <c r="AL2147" s="156"/>
      <c r="AM2147" s="156"/>
      <c r="AN2147" s="156"/>
      <c r="AO2147" s="156"/>
      <c r="AP2147" s="156"/>
      <c r="AQ2147" s="156"/>
      <c r="AR2147" s="156"/>
      <c r="AS2147" s="156"/>
      <c r="AT2147" s="156"/>
      <c r="AU2147" s="156"/>
      <c r="AV2147" s="156"/>
      <c r="AW2147" s="156"/>
      <c r="AX2147" s="156"/>
      <c r="AY2147" s="156"/>
      <c r="AZ2147" s="156"/>
      <c r="BA2147" s="156"/>
      <c r="BB2147" s="2828"/>
      <c r="BC2147" s="452"/>
      <c r="BD2147" s="2829"/>
      <c r="BE2147" s="2837"/>
      <c r="BF2147" s="156"/>
    </row>
    <row r="2148" spans="1:58" ht="15" customHeight="1" outlineLevel="1" x14ac:dyDescent="0.35">
      <c r="A2148" s="1071"/>
      <c r="B2148" s="2812"/>
      <c r="C2148" s="3077"/>
      <c r="D2148" s="3980"/>
      <c r="E2148" s="3883"/>
      <c r="F2148" s="3984" t="str">
        <f>$E$1564</f>
        <v>ASHP-SEER16-Replace_CAC_ElectricHeat_ROF_SF</v>
      </c>
      <c r="G2148" s="3984"/>
      <c r="H2148" s="3984"/>
      <c r="I2148" s="3984"/>
      <c r="J2148" s="3501" t="str">
        <f>$C$1564</f>
        <v>352600_2021_12_</v>
      </c>
      <c r="K2148" s="3421">
        <v>1496</v>
      </c>
      <c r="L2148" s="704"/>
      <c r="M2148" s="3038"/>
      <c r="N2148" s="106"/>
      <c r="O2148" s="106"/>
      <c r="P2148" s="106"/>
      <c r="Q2148" s="106"/>
      <c r="R2148" s="106"/>
      <c r="S2148" s="106"/>
      <c r="T2148" s="106"/>
      <c r="U2148" s="106"/>
      <c r="V2148" s="3980"/>
      <c r="W2148" s="3421">
        <v>2009</v>
      </c>
      <c r="X2148" s="2374">
        <v>1496</v>
      </c>
      <c r="Y2148" s="3421">
        <v>1496</v>
      </c>
      <c r="Z2148" s="3421">
        <v>1496</v>
      </c>
      <c r="AA2148" s="3421">
        <v>1496</v>
      </c>
      <c r="AB2148" s="3421">
        <v>1496</v>
      </c>
      <c r="AC2148" s="3428">
        <v>1496</v>
      </c>
      <c r="AD2148" s="3421">
        <v>1496</v>
      </c>
      <c r="AE2148" s="3429"/>
      <c r="AF2148" s="3421"/>
      <c r="AG2148" s="3421"/>
      <c r="AH2148" s="156"/>
      <c r="AI2148" s="156"/>
      <c r="AJ2148" s="156"/>
      <c r="AK2148" s="156"/>
      <c r="AL2148" s="156"/>
      <c r="AM2148" s="156"/>
      <c r="AN2148" s="156"/>
      <c r="AO2148" s="156"/>
      <c r="AP2148" s="156"/>
      <c r="AQ2148" s="156"/>
      <c r="AR2148" s="156"/>
      <c r="AS2148" s="156"/>
      <c r="AT2148" s="156"/>
      <c r="AU2148" s="156"/>
      <c r="AV2148" s="156"/>
      <c r="AW2148" s="156"/>
      <c r="AX2148" s="156"/>
      <c r="AY2148" s="156"/>
      <c r="AZ2148" s="156"/>
      <c r="BA2148" s="156"/>
      <c r="BB2148" s="2828"/>
      <c r="BC2148" s="452"/>
      <c r="BD2148" s="2829"/>
      <c r="BE2148" s="2837"/>
      <c r="BF2148" s="156"/>
    </row>
    <row r="2149" spans="1:58" ht="15" customHeight="1" outlineLevel="1" x14ac:dyDescent="0.35">
      <c r="A2149" s="1071"/>
      <c r="B2149" s="2812"/>
      <c r="C2149" s="3077"/>
      <c r="D2149" s="3980"/>
      <c r="E2149" s="3883"/>
      <c r="F2149" s="4136" t="str">
        <f>$E$1566</f>
        <v>ASHP-SEER16-Replace_CAC_NonElectricHeat_ROF_SF</v>
      </c>
      <c r="G2149" s="4136"/>
      <c r="H2149" s="4136"/>
      <c r="I2149" s="4136"/>
      <c r="J2149" s="3502" t="str">
        <f>$C$1566</f>
        <v>352610_2022_12_</v>
      </c>
      <c r="K2149" s="2374">
        <v>1496</v>
      </c>
      <c r="L2149" s="704"/>
      <c r="M2149" s="3038"/>
      <c r="N2149" s="3391"/>
      <c r="O2149" s="3391"/>
      <c r="P2149" s="3391"/>
      <c r="Q2149" s="3391"/>
      <c r="R2149" s="3391"/>
      <c r="S2149" s="3391"/>
      <c r="T2149" s="3391"/>
      <c r="U2149" s="3391"/>
      <c r="V2149" s="3980"/>
      <c r="W2149" s="3421"/>
      <c r="X2149" s="2374"/>
      <c r="Y2149" s="3421"/>
      <c r="Z2149" s="3421"/>
      <c r="AA2149" s="3421"/>
      <c r="AB2149" s="3421"/>
      <c r="AC2149" s="3428"/>
      <c r="AD2149" s="2374">
        <v>1496</v>
      </c>
      <c r="AE2149" s="3429"/>
      <c r="AF2149" s="3421"/>
      <c r="AG2149" s="3421"/>
      <c r="AH2149" s="156"/>
      <c r="AI2149" s="156"/>
      <c r="AJ2149" s="156"/>
      <c r="AK2149" s="156"/>
      <c r="AL2149" s="156"/>
      <c r="AM2149" s="156"/>
      <c r="AN2149" s="156"/>
      <c r="AO2149" s="156"/>
      <c r="AP2149" s="156"/>
      <c r="AQ2149" s="156"/>
      <c r="AR2149" s="156"/>
      <c r="AS2149" s="156"/>
      <c r="AT2149" s="156"/>
      <c r="AU2149" s="156"/>
      <c r="AV2149" s="156"/>
      <c r="AW2149" s="156"/>
      <c r="AX2149" s="156"/>
      <c r="AY2149" s="156"/>
      <c r="AZ2149" s="156"/>
      <c r="BA2149" s="156"/>
      <c r="BB2149" s="2828"/>
      <c r="BC2149" s="452"/>
      <c r="BD2149" s="2829"/>
      <c r="BE2149" s="2837"/>
      <c r="BF2149" s="156"/>
    </row>
    <row r="2150" spans="1:58" ht="15" customHeight="1" outlineLevel="1" x14ac:dyDescent="0.35">
      <c r="A2150" s="1071"/>
      <c r="B2150" s="2812"/>
      <c r="C2150" s="3077"/>
      <c r="D2150" s="3980"/>
      <c r="E2150" s="3883"/>
      <c r="F2150" s="3984" t="str">
        <f>$E$1568</f>
        <v>ASHP-SEER16_ROF_SF</v>
      </c>
      <c r="G2150" s="3984"/>
      <c r="H2150" s="3984"/>
      <c r="I2150" s="3984"/>
      <c r="J2150" s="3501" t="str">
        <f>$C$1568</f>
        <v>352650_2021_12_</v>
      </c>
      <c r="K2150" s="3421">
        <v>1496</v>
      </c>
      <c r="L2150" s="704"/>
      <c r="M2150" s="3038"/>
      <c r="N2150" s="106"/>
      <c r="O2150" s="106"/>
      <c r="P2150" s="106"/>
      <c r="Q2150" s="106"/>
      <c r="R2150" s="106"/>
      <c r="S2150" s="106"/>
      <c r="T2150" s="106"/>
      <c r="U2150" s="106"/>
      <c r="V2150" s="3980"/>
      <c r="W2150" s="3421">
        <v>2009</v>
      </c>
      <c r="X2150" s="2374">
        <v>1496</v>
      </c>
      <c r="Y2150" s="3421">
        <v>1496</v>
      </c>
      <c r="Z2150" s="3421">
        <v>1496</v>
      </c>
      <c r="AA2150" s="3421">
        <v>1496</v>
      </c>
      <c r="AB2150" s="3421">
        <v>1496</v>
      </c>
      <c r="AC2150" s="3428">
        <v>1496</v>
      </c>
      <c r="AD2150" s="3421">
        <v>1496</v>
      </c>
      <c r="AE2150" s="3429"/>
      <c r="AF2150" s="3421"/>
      <c r="AG2150" s="3421"/>
      <c r="AH2150" s="156"/>
      <c r="AI2150" s="156"/>
      <c r="AJ2150" s="156"/>
      <c r="AK2150" s="156"/>
      <c r="AL2150" s="156"/>
      <c r="AM2150" s="156"/>
      <c r="AN2150" s="156"/>
      <c r="AO2150" s="156"/>
      <c r="AP2150" s="156"/>
      <c r="AQ2150" s="156"/>
      <c r="AR2150" s="156"/>
      <c r="AS2150" s="156"/>
      <c r="AT2150" s="156"/>
      <c r="AU2150" s="156"/>
      <c r="AV2150" s="156"/>
      <c r="AW2150" s="156"/>
      <c r="AX2150" s="156"/>
      <c r="AY2150" s="156"/>
      <c r="AZ2150" s="156"/>
      <c r="BA2150" s="156"/>
      <c r="BB2150" s="2828"/>
      <c r="BC2150" s="452"/>
      <c r="BD2150" s="2829"/>
      <c r="BE2150" s="2837"/>
      <c r="BF2150" s="156"/>
    </row>
    <row r="2151" spans="1:58" ht="15" customHeight="1" outlineLevel="1" x14ac:dyDescent="0.35">
      <c r="A2151" s="1071"/>
      <c r="B2151" s="2812"/>
      <c r="C2151" s="3077"/>
      <c r="D2151" s="3980"/>
      <c r="E2151" s="3883"/>
      <c r="F2151" s="3984" t="str">
        <f>$E$1570</f>
        <v>ASHP-SEER15_ER1_MF</v>
      </c>
      <c r="G2151" s="3984"/>
      <c r="H2151" s="3984"/>
      <c r="I2151" s="3984"/>
      <c r="J2151" s="3501" t="str">
        <f>$C$1570</f>
        <v>352700_2021_12_</v>
      </c>
      <c r="K2151" s="3421">
        <v>1496</v>
      </c>
      <c r="L2151" s="704"/>
      <c r="M2151" s="3038"/>
      <c r="N2151" s="106"/>
      <c r="O2151" s="106"/>
      <c r="P2151" s="106"/>
      <c r="Q2151" s="106"/>
      <c r="R2151" s="106"/>
      <c r="S2151" s="106"/>
      <c r="T2151" s="106"/>
      <c r="U2151" s="106"/>
      <c r="V2151" s="3980"/>
      <c r="W2151" s="3421">
        <v>2009</v>
      </c>
      <c r="X2151" s="2374">
        <v>1496</v>
      </c>
      <c r="Y2151" s="3421">
        <v>1496</v>
      </c>
      <c r="Z2151" s="3421">
        <v>1496</v>
      </c>
      <c r="AA2151" s="3421">
        <v>1496</v>
      </c>
      <c r="AB2151" s="3421">
        <v>1496</v>
      </c>
      <c r="AC2151" s="3428">
        <v>1496</v>
      </c>
      <c r="AD2151" s="3421">
        <v>1496</v>
      </c>
      <c r="AE2151" s="3429"/>
      <c r="AF2151" s="3421"/>
      <c r="AG2151" s="3421"/>
      <c r="AH2151" s="156"/>
      <c r="AI2151" s="156"/>
      <c r="AJ2151" s="156"/>
      <c r="AK2151" s="156"/>
      <c r="AL2151" s="156"/>
      <c r="AM2151" s="156"/>
      <c r="AN2151" s="156"/>
      <c r="AO2151" s="156"/>
      <c r="AP2151" s="156"/>
      <c r="AQ2151" s="156"/>
      <c r="AR2151" s="156"/>
      <c r="AS2151" s="156"/>
      <c r="AT2151" s="156"/>
      <c r="AU2151" s="156"/>
      <c r="AV2151" s="156"/>
      <c r="AW2151" s="156"/>
      <c r="AX2151" s="156"/>
      <c r="AY2151" s="156"/>
      <c r="AZ2151" s="156"/>
      <c r="BA2151" s="156"/>
      <c r="BB2151" s="2828"/>
      <c r="BC2151" s="452"/>
      <c r="BD2151" s="2829"/>
      <c r="BE2151" s="2837"/>
      <c r="BF2151" s="156"/>
    </row>
    <row r="2152" spans="1:58" ht="15" customHeight="1" outlineLevel="1" x14ac:dyDescent="0.35">
      <c r="A2152" s="1664"/>
      <c r="B2152" s="2812"/>
      <c r="C2152" s="3077"/>
      <c r="D2152" s="3980"/>
      <c r="E2152" s="3883"/>
      <c r="F2152" s="3984" t="str">
        <f>$E$1572</f>
        <v>ASHP-SEER15_ER2_MF</v>
      </c>
      <c r="G2152" s="3984"/>
      <c r="H2152" s="3984"/>
      <c r="I2152" s="3984"/>
      <c r="J2152" s="3501" t="str">
        <f>$C$1572</f>
        <v>352700_2021_12_</v>
      </c>
      <c r="K2152" s="3421">
        <v>1496</v>
      </c>
      <c r="L2152" s="704"/>
      <c r="M2152" s="3038"/>
      <c r="N2152" s="106"/>
      <c r="O2152" s="106"/>
      <c r="P2152" s="702"/>
      <c r="Q2152" s="702"/>
      <c r="R2152" s="702"/>
      <c r="S2152" s="106"/>
      <c r="T2152" s="486"/>
      <c r="U2152" s="106"/>
      <c r="V2152" s="3980"/>
      <c r="W2152" s="3421">
        <v>2009</v>
      </c>
      <c r="X2152" s="2374">
        <v>1496</v>
      </c>
      <c r="Y2152" s="3421">
        <v>1496</v>
      </c>
      <c r="Z2152" s="3421">
        <v>1496</v>
      </c>
      <c r="AA2152" s="3421">
        <v>1496</v>
      </c>
      <c r="AB2152" s="3421">
        <v>1496</v>
      </c>
      <c r="AC2152" s="3428">
        <v>1496</v>
      </c>
      <c r="AD2152" s="3421">
        <v>1496</v>
      </c>
      <c r="AE2152" s="3429"/>
      <c r="AF2152" s="3421"/>
      <c r="AG2152" s="3421"/>
      <c r="AH2152" s="156"/>
      <c r="AI2152" s="156"/>
      <c r="AJ2152" s="156"/>
      <c r="AK2152" s="156"/>
      <c r="AL2152" s="156"/>
      <c r="AM2152" s="156"/>
      <c r="AN2152" s="156"/>
      <c r="AO2152" s="156"/>
      <c r="AP2152" s="156"/>
      <c r="AQ2152" s="156"/>
      <c r="AR2152" s="156"/>
      <c r="AS2152" s="156"/>
      <c r="AT2152" s="156"/>
      <c r="AU2152" s="156"/>
      <c r="AV2152" s="156"/>
      <c r="AW2152" s="156"/>
      <c r="AX2152" s="156"/>
      <c r="AY2152" s="156"/>
      <c r="AZ2152" s="156"/>
      <c r="BA2152" s="156"/>
      <c r="BB2152" s="2828"/>
      <c r="BC2152" s="452"/>
      <c r="BD2152" s="2829"/>
      <c r="BE2152" s="2837"/>
      <c r="BF2152" s="156"/>
    </row>
    <row r="2153" spans="1:58" ht="15" customHeight="1" outlineLevel="1" x14ac:dyDescent="0.35">
      <c r="A2153" s="1664"/>
      <c r="B2153" s="2812"/>
      <c r="C2153" s="3077"/>
      <c r="D2153" s="3980"/>
      <c r="E2153" s="3883"/>
      <c r="F2153" s="3984" t="str">
        <f>$E$1574</f>
        <v>ASHP-SEER15_ER1_MF_CompE</v>
      </c>
      <c r="G2153" s="3984"/>
      <c r="H2153" s="3984"/>
      <c r="I2153" s="3984"/>
      <c r="J2153" s="3501" t="str">
        <f>$C$1574</f>
        <v>352701_2021_12_</v>
      </c>
      <c r="K2153" s="3421">
        <v>510</v>
      </c>
      <c r="L2153" s="704"/>
      <c r="M2153" s="3038" t="s">
        <v>1508</v>
      </c>
      <c r="N2153" s="106"/>
      <c r="O2153" s="106"/>
      <c r="P2153" s="702"/>
      <c r="Q2153" s="702"/>
      <c r="R2153" s="702"/>
      <c r="S2153" s="106"/>
      <c r="T2153" s="486"/>
      <c r="U2153" s="106"/>
      <c r="V2153" s="3980"/>
      <c r="W2153" s="3421"/>
      <c r="X2153" s="2374"/>
      <c r="Y2153" s="2374">
        <v>510</v>
      </c>
      <c r="Z2153" s="3421">
        <v>510</v>
      </c>
      <c r="AA2153" s="3421">
        <v>510</v>
      </c>
      <c r="AB2153" s="3421">
        <v>510</v>
      </c>
      <c r="AC2153" s="3428">
        <v>510</v>
      </c>
      <c r="AD2153" s="3421">
        <v>510</v>
      </c>
      <c r="AE2153" s="3429"/>
      <c r="AF2153" s="3421"/>
      <c r="AG2153" s="3421"/>
      <c r="AH2153" s="156"/>
      <c r="AI2153" s="156"/>
      <c r="AJ2153" s="156"/>
      <c r="AK2153" s="156"/>
      <c r="AL2153" s="156"/>
      <c r="AM2153" s="156"/>
      <c r="AN2153" s="156"/>
      <c r="AO2153" s="156"/>
      <c r="AP2153" s="156"/>
      <c r="AQ2153" s="156"/>
      <c r="AR2153" s="156"/>
      <c r="AS2153" s="156"/>
      <c r="AT2153" s="156"/>
      <c r="AU2153" s="156"/>
      <c r="AV2153" s="156"/>
      <c r="AW2153" s="156"/>
      <c r="AX2153" s="156"/>
      <c r="AY2153" s="156"/>
      <c r="AZ2153" s="156"/>
      <c r="BA2153" s="156"/>
      <c r="BB2153" s="2828"/>
      <c r="BC2153" s="452"/>
      <c r="BD2153" s="2829"/>
      <c r="BE2153" s="2837"/>
      <c r="BF2153" s="156"/>
    </row>
    <row r="2154" spans="1:58" ht="15" customHeight="1" outlineLevel="1" x14ac:dyDescent="0.35">
      <c r="A2154" s="1664"/>
      <c r="B2154" s="2812"/>
      <c r="C2154" s="3077"/>
      <c r="D2154" s="3980"/>
      <c r="E2154" s="3883"/>
      <c r="F2154" s="3984" t="str">
        <f>$E$1576</f>
        <v>ASHP-SEER15_ER2_MF_CompE</v>
      </c>
      <c r="G2154" s="3984"/>
      <c r="H2154" s="3984"/>
      <c r="I2154" s="3984"/>
      <c r="J2154" s="3501" t="str">
        <f>$C$1576</f>
        <v>352701_2021_12_</v>
      </c>
      <c r="K2154" s="3421">
        <v>510</v>
      </c>
      <c r="L2154" s="704"/>
      <c r="M2154" s="3038" t="s">
        <v>1508</v>
      </c>
      <c r="N2154" s="106"/>
      <c r="O2154" s="106"/>
      <c r="P2154" s="702"/>
      <c r="Q2154" s="702"/>
      <c r="R2154" s="702"/>
      <c r="S2154" s="106"/>
      <c r="T2154" s="486"/>
      <c r="U2154" s="106"/>
      <c r="V2154" s="3980"/>
      <c r="W2154" s="3421"/>
      <c r="X2154" s="2374"/>
      <c r="Y2154" s="2374">
        <v>510</v>
      </c>
      <c r="Z2154" s="3421">
        <v>510</v>
      </c>
      <c r="AA2154" s="3421">
        <v>510</v>
      </c>
      <c r="AB2154" s="3421">
        <v>510</v>
      </c>
      <c r="AC2154" s="3428">
        <v>510</v>
      </c>
      <c r="AD2154" s="3421">
        <v>510</v>
      </c>
      <c r="AE2154" s="3429"/>
      <c r="AF2154" s="3421"/>
      <c r="AG2154" s="3421"/>
      <c r="AH2154" s="156"/>
      <c r="AI2154" s="156"/>
      <c r="AJ2154" s="156"/>
      <c r="AK2154" s="156"/>
      <c r="AL2154" s="156"/>
      <c r="AM2154" s="156"/>
      <c r="AN2154" s="156"/>
      <c r="AO2154" s="156"/>
      <c r="AP2154" s="156"/>
      <c r="AQ2154" s="156"/>
      <c r="AR2154" s="156"/>
      <c r="AS2154" s="156"/>
      <c r="AT2154" s="156"/>
      <c r="AU2154" s="156"/>
      <c r="AV2154" s="156"/>
      <c r="AW2154" s="156"/>
      <c r="AX2154" s="156"/>
      <c r="AY2154" s="156"/>
      <c r="AZ2154" s="156"/>
      <c r="BA2154" s="156"/>
      <c r="BB2154" s="2828"/>
      <c r="BC2154" s="452"/>
      <c r="BD2154" s="2829"/>
      <c r="BE2154" s="2837"/>
      <c r="BF2154" s="156"/>
    </row>
    <row r="2155" spans="1:58" ht="15" customHeight="1" outlineLevel="1" x14ac:dyDescent="0.35">
      <c r="A2155" s="1664"/>
      <c r="B2155" s="2812"/>
      <c r="C2155" s="3077"/>
      <c r="D2155" s="3980"/>
      <c r="E2155" s="3883"/>
      <c r="F2155" s="3984" t="str">
        <f>$E$1578</f>
        <v>ASHP-SEER15-Replace_CAC_ElectricHeat_ER1_MF</v>
      </c>
      <c r="G2155" s="3984"/>
      <c r="H2155" s="3984"/>
      <c r="I2155" s="3984"/>
      <c r="J2155" s="3501" t="str">
        <f>$C$1578</f>
        <v>352750_2021_12_</v>
      </c>
      <c r="K2155" s="3421">
        <v>1496</v>
      </c>
      <c r="L2155" s="704"/>
      <c r="M2155" s="3038"/>
      <c r="N2155" s="106"/>
      <c r="O2155" s="106"/>
      <c r="P2155" s="702"/>
      <c r="Q2155" s="702"/>
      <c r="R2155" s="702"/>
      <c r="S2155" s="106"/>
      <c r="T2155" s="486"/>
      <c r="U2155" s="106"/>
      <c r="V2155" s="3980"/>
      <c r="W2155" s="3421">
        <v>2009</v>
      </c>
      <c r="X2155" s="2374">
        <v>1496</v>
      </c>
      <c r="Y2155" s="3421">
        <v>1496</v>
      </c>
      <c r="Z2155" s="3421">
        <v>1496</v>
      </c>
      <c r="AA2155" s="3421">
        <v>1496</v>
      </c>
      <c r="AB2155" s="3421">
        <v>1496</v>
      </c>
      <c r="AC2155" s="3428">
        <v>1496</v>
      </c>
      <c r="AD2155" s="3421">
        <v>1496</v>
      </c>
      <c r="AE2155" s="3429"/>
      <c r="AF2155" s="3421"/>
      <c r="AG2155" s="3421"/>
      <c r="AH2155" s="156"/>
      <c r="AI2155" s="156"/>
      <c r="AJ2155" s="156"/>
      <c r="AK2155" s="156"/>
      <c r="AL2155" s="156"/>
      <c r="AM2155" s="156"/>
      <c r="AN2155" s="156"/>
      <c r="AO2155" s="156"/>
      <c r="AP2155" s="156"/>
      <c r="AQ2155" s="156"/>
      <c r="AR2155" s="156"/>
      <c r="AS2155" s="156"/>
      <c r="AT2155" s="156"/>
      <c r="AU2155" s="156"/>
      <c r="AV2155" s="156"/>
      <c r="AW2155" s="156"/>
      <c r="AX2155" s="156"/>
      <c r="AY2155" s="156"/>
      <c r="AZ2155" s="156"/>
      <c r="BA2155" s="156"/>
      <c r="BB2155" s="2828"/>
      <c r="BC2155" s="452"/>
      <c r="BD2155" s="2829"/>
      <c r="BE2155" s="2837"/>
      <c r="BF2155" s="156"/>
    </row>
    <row r="2156" spans="1:58" ht="15" customHeight="1" outlineLevel="1" x14ac:dyDescent="0.35">
      <c r="A2156" s="1664"/>
      <c r="B2156" s="2812"/>
      <c r="C2156" s="3077"/>
      <c r="D2156" s="3980"/>
      <c r="E2156" s="3883"/>
      <c r="F2156" s="3984" t="str">
        <f>$E$1580</f>
        <v>ASHP-SEER15-Replace_CAC_ElectricHeat_ER2_MF</v>
      </c>
      <c r="G2156" s="3984"/>
      <c r="H2156" s="3984"/>
      <c r="I2156" s="3984"/>
      <c r="J2156" s="3501" t="str">
        <f>$C$1580</f>
        <v>352750_2021_12_</v>
      </c>
      <c r="K2156" s="3421">
        <v>1496</v>
      </c>
      <c r="L2156" s="704"/>
      <c r="M2156" s="3038"/>
      <c r="N2156" s="106"/>
      <c r="O2156" s="106"/>
      <c r="P2156" s="702"/>
      <c r="Q2156" s="702"/>
      <c r="R2156" s="702"/>
      <c r="S2156" s="106"/>
      <c r="T2156" s="486"/>
      <c r="U2156" s="106"/>
      <c r="V2156" s="3980"/>
      <c r="W2156" s="3421">
        <v>2009</v>
      </c>
      <c r="X2156" s="2374">
        <v>1496</v>
      </c>
      <c r="Y2156" s="3421">
        <v>1496</v>
      </c>
      <c r="Z2156" s="3421">
        <v>1496</v>
      </c>
      <c r="AA2156" s="3421">
        <v>1496</v>
      </c>
      <c r="AB2156" s="3421">
        <v>1496</v>
      </c>
      <c r="AC2156" s="3428">
        <v>1496</v>
      </c>
      <c r="AD2156" s="3421">
        <v>1496</v>
      </c>
      <c r="AE2156" s="3429"/>
      <c r="AF2156" s="3421"/>
      <c r="AG2156" s="3421"/>
      <c r="AH2156" s="156"/>
      <c r="AI2156" s="156"/>
      <c r="AJ2156" s="156"/>
      <c r="AK2156" s="156"/>
      <c r="AL2156" s="156"/>
      <c r="AM2156" s="156"/>
      <c r="AN2156" s="156"/>
      <c r="AO2156" s="156"/>
      <c r="AP2156" s="156"/>
      <c r="AQ2156" s="156"/>
      <c r="AR2156" s="156"/>
      <c r="AS2156" s="156"/>
      <c r="AT2156" s="156"/>
      <c r="AU2156" s="156"/>
      <c r="AV2156" s="156"/>
      <c r="AW2156" s="156"/>
      <c r="AX2156" s="156"/>
      <c r="AY2156" s="156"/>
      <c r="AZ2156" s="156"/>
      <c r="BA2156" s="156"/>
      <c r="BB2156" s="2828"/>
      <c r="BC2156" s="452"/>
      <c r="BD2156" s="2829"/>
      <c r="BE2156" s="2837"/>
      <c r="BF2156" s="156"/>
    </row>
    <row r="2157" spans="1:58" ht="15" customHeight="1" outlineLevel="1" x14ac:dyDescent="0.35">
      <c r="A2157" s="1664"/>
      <c r="B2157" s="2812"/>
      <c r="C2157" s="3077"/>
      <c r="D2157" s="3980"/>
      <c r="E2157" s="3883"/>
      <c r="F2157" s="3984" t="str">
        <f>$E$1582</f>
        <v>ASHP-SEER15-Replace_CAC_ElectricHeat_ER1_MF_CompE</v>
      </c>
      <c r="G2157" s="3984"/>
      <c r="H2157" s="3984"/>
      <c r="I2157" s="3984"/>
      <c r="J2157" s="3501" t="str">
        <f>$C$1582</f>
        <v>352751_2021_12_</v>
      </c>
      <c r="K2157" s="3421">
        <v>510</v>
      </c>
      <c r="L2157" s="704"/>
      <c r="M2157" s="3038" t="s">
        <v>1508</v>
      </c>
      <c r="N2157" s="106"/>
      <c r="O2157" s="106"/>
      <c r="P2157" s="702"/>
      <c r="Q2157" s="702"/>
      <c r="R2157" s="702"/>
      <c r="S2157" s="106"/>
      <c r="T2157" s="486"/>
      <c r="U2157" s="106"/>
      <c r="V2157" s="3980"/>
      <c r="W2157" s="3421"/>
      <c r="X2157" s="2374"/>
      <c r="Y2157" s="2374">
        <v>510</v>
      </c>
      <c r="Z2157" s="3421">
        <v>510</v>
      </c>
      <c r="AA2157" s="3421">
        <v>510</v>
      </c>
      <c r="AB2157" s="3421">
        <v>510</v>
      </c>
      <c r="AC2157" s="3428">
        <v>510</v>
      </c>
      <c r="AD2157" s="3421">
        <v>510</v>
      </c>
      <c r="AE2157" s="3429"/>
      <c r="AF2157" s="3421"/>
      <c r="AG2157" s="3421"/>
      <c r="AH2157" s="156"/>
      <c r="AI2157" s="156"/>
      <c r="AJ2157" s="156"/>
      <c r="AK2157" s="156"/>
      <c r="AL2157" s="156"/>
      <c r="AM2157" s="156"/>
      <c r="AN2157" s="156"/>
      <c r="AO2157" s="156"/>
      <c r="AP2157" s="156"/>
      <c r="AQ2157" s="156"/>
      <c r="AR2157" s="156"/>
      <c r="AS2157" s="156"/>
      <c r="AT2157" s="156"/>
      <c r="AU2157" s="156"/>
      <c r="AV2157" s="156"/>
      <c r="AW2157" s="156"/>
      <c r="AX2157" s="156"/>
      <c r="AY2157" s="156"/>
      <c r="AZ2157" s="156"/>
      <c r="BA2157" s="156"/>
      <c r="BB2157" s="2828"/>
      <c r="BC2157" s="452"/>
      <c r="BD2157" s="2829"/>
      <c r="BE2157" s="2837"/>
      <c r="BF2157" s="156"/>
    </row>
    <row r="2158" spans="1:58" ht="15" customHeight="1" outlineLevel="1" x14ac:dyDescent="0.35">
      <c r="A2158" s="1664"/>
      <c r="B2158" s="2812"/>
      <c r="C2158" s="3077"/>
      <c r="D2158" s="3980"/>
      <c r="E2158" s="3883"/>
      <c r="F2158" s="3984" t="str">
        <f>$E$1584</f>
        <v>ASHP-SEER15-Replace_CAC_ElectricHeat_ER2_MF_CompE</v>
      </c>
      <c r="G2158" s="3984"/>
      <c r="H2158" s="3984"/>
      <c r="I2158" s="3984"/>
      <c r="J2158" s="3501" t="str">
        <f>$C$1584</f>
        <v>352751_2021_12_</v>
      </c>
      <c r="K2158" s="3421">
        <v>510</v>
      </c>
      <c r="L2158" s="704"/>
      <c r="M2158" s="3038"/>
      <c r="N2158" s="106"/>
      <c r="O2158" s="106"/>
      <c r="P2158" s="702"/>
      <c r="Q2158" s="702"/>
      <c r="R2158" s="702"/>
      <c r="S2158" s="106"/>
      <c r="T2158" s="486"/>
      <c r="U2158" s="106"/>
      <c r="V2158" s="3980"/>
      <c r="W2158" s="3421"/>
      <c r="X2158" s="2374"/>
      <c r="Y2158" s="2374">
        <v>510</v>
      </c>
      <c r="Z2158" s="3421">
        <v>510</v>
      </c>
      <c r="AA2158" s="3421">
        <v>510</v>
      </c>
      <c r="AB2158" s="3421">
        <v>510</v>
      </c>
      <c r="AC2158" s="3428">
        <v>510</v>
      </c>
      <c r="AD2158" s="3421">
        <v>510</v>
      </c>
      <c r="AE2158" s="3429"/>
      <c r="AF2158" s="3421"/>
      <c r="AG2158" s="3421"/>
      <c r="AH2158" s="156"/>
      <c r="AI2158" s="156"/>
      <c r="AJ2158" s="156"/>
      <c r="AK2158" s="156"/>
      <c r="AL2158" s="156"/>
      <c r="AM2158" s="156"/>
      <c r="AN2158" s="156"/>
      <c r="AO2158" s="156"/>
      <c r="AP2158" s="156"/>
      <c r="AQ2158" s="156"/>
      <c r="AR2158" s="156"/>
      <c r="AS2158" s="156"/>
      <c r="AT2158" s="156"/>
      <c r="AU2158" s="156"/>
      <c r="AV2158" s="156"/>
      <c r="AW2158" s="156"/>
      <c r="AX2158" s="156"/>
      <c r="AY2158" s="156"/>
      <c r="AZ2158" s="156"/>
      <c r="BA2158" s="156"/>
      <c r="BB2158" s="2828"/>
      <c r="BC2158" s="452"/>
      <c r="BD2158" s="2829"/>
      <c r="BE2158" s="2837"/>
      <c r="BF2158" s="156"/>
    </row>
    <row r="2159" spans="1:58" ht="15" customHeight="1" outlineLevel="1" x14ac:dyDescent="0.35">
      <c r="A2159" s="1664"/>
      <c r="B2159" s="2812"/>
      <c r="C2159" s="3077"/>
      <c r="D2159" s="3980"/>
      <c r="E2159" s="3883"/>
      <c r="F2159" s="3984" t="str">
        <f>$E$1586</f>
        <v>ASHP-SEER15-Replace_CAC_NonElectricHeat_ER1_MF</v>
      </c>
      <c r="G2159" s="3984"/>
      <c r="H2159" s="3984"/>
      <c r="I2159" s="3984"/>
      <c r="J2159" s="3501" t="str">
        <f>$C$1586</f>
        <v>352760_2021_12_</v>
      </c>
      <c r="K2159" s="2042">
        <v>1496</v>
      </c>
      <c r="L2159" s="704"/>
      <c r="M2159" s="3038"/>
      <c r="N2159" s="106"/>
      <c r="O2159" s="106"/>
      <c r="P2159" s="702"/>
      <c r="Q2159" s="702"/>
      <c r="R2159" s="702"/>
      <c r="S2159" s="106"/>
      <c r="T2159" s="486"/>
      <c r="U2159" s="106"/>
      <c r="V2159" s="3980"/>
      <c r="W2159" s="3421"/>
      <c r="X2159" s="2374"/>
      <c r="Y2159" s="2374"/>
      <c r="Z2159" s="3421"/>
      <c r="AA2159" s="3421"/>
      <c r="AB2159" s="3421"/>
      <c r="AC2159" s="2292">
        <v>1496</v>
      </c>
      <c r="AD2159" s="2042">
        <v>1496</v>
      </c>
      <c r="AE2159" s="3429"/>
      <c r="AF2159" s="3421"/>
      <c r="AG2159" s="3421"/>
      <c r="AH2159" s="156"/>
      <c r="AI2159" s="156"/>
      <c r="AJ2159" s="156"/>
      <c r="AK2159" s="156"/>
      <c r="AL2159" s="156"/>
      <c r="AM2159" s="156"/>
      <c r="AN2159" s="156"/>
      <c r="AO2159" s="156"/>
      <c r="AP2159" s="156"/>
      <c r="AQ2159" s="156"/>
      <c r="AR2159" s="156"/>
      <c r="AS2159" s="156"/>
      <c r="AT2159" s="156"/>
      <c r="AU2159" s="156"/>
      <c r="AV2159" s="156"/>
      <c r="AW2159" s="156"/>
      <c r="AX2159" s="156"/>
      <c r="AY2159" s="156"/>
      <c r="AZ2159" s="156"/>
      <c r="BA2159" s="156"/>
      <c r="BB2159" s="2828"/>
      <c r="BC2159" s="452"/>
      <c r="BD2159" s="2829"/>
      <c r="BE2159" s="2837"/>
      <c r="BF2159" s="156"/>
    </row>
    <row r="2160" spans="1:58" ht="15" customHeight="1" outlineLevel="1" x14ac:dyDescent="0.35">
      <c r="A2160" s="1664"/>
      <c r="B2160" s="2812"/>
      <c r="C2160" s="3077"/>
      <c r="D2160" s="3980"/>
      <c r="E2160" s="3883"/>
      <c r="F2160" s="3984" t="str">
        <f>$E$1588</f>
        <v>ASHP-SEER15-Replace_CAC_NonElectricHeat_ER2_MF</v>
      </c>
      <c r="G2160" s="3984"/>
      <c r="H2160" s="3984"/>
      <c r="I2160" s="3984"/>
      <c r="J2160" s="3501" t="str">
        <f>$C$1588</f>
        <v>352760_2021_12_</v>
      </c>
      <c r="K2160" s="2042">
        <v>1496</v>
      </c>
      <c r="L2160" s="704"/>
      <c r="M2160" s="3038"/>
      <c r="N2160" s="106"/>
      <c r="O2160" s="106"/>
      <c r="P2160" s="702"/>
      <c r="Q2160" s="702"/>
      <c r="R2160" s="702"/>
      <c r="S2160" s="106"/>
      <c r="T2160" s="486"/>
      <c r="U2160" s="106"/>
      <c r="V2160" s="3980"/>
      <c r="W2160" s="3421"/>
      <c r="X2160" s="2374"/>
      <c r="Y2160" s="2374"/>
      <c r="Z2160" s="3421"/>
      <c r="AA2160" s="3421"/>
      <c r="AB2160" s="3421"/>
      <c r="AC2160" s="2292">
        <v>1496</v>
      </c>
      <c r="AD2160" s="2042">
        <v>1496</v>
      </c>
      <c r="AE2160" s="3429"/>
      <c r="AF2160" s="3421"/>
      <c r="AG2160" s="3421"/>
      <c r="AH2160" s="156"/>
      <c r="AI2160" s="156"/>
      <c r="AJ2160" s="156"/>
      <c r="AK2160" s="156"/>
      <c r="AL2160" s="156"/>
      <c r="AM2160" s="156"/>
      <c r="AN2160" s="156"/>
      <c r="AO2160" s="156"/>
      <c r="AP2160" s="156"/>
      <c r="AQ2160" s="156"/>
      <c r="AR2160" s="156"/>
      <c r="AS2160" s="156"/>
      <c r="AT2160" s="156"/>
      <c r="AU2160" s="156"/>
      <c r="AV2160" s="156"/>
      <c r="AW2160" s="156"/>
      <c r="AX2160" s="156"/>
      <c r="AY2160" s="156"/>
      <c r="AZ2160" s="156"/>
      <c r="BA2160" s="156"/>
      <c r="BB2160" s="2828"/>
      <c r="BC2160" s="452"/>
      <c r="BD2160" s="2829"/>
      <c r="BE2160" s="2837"/>
      <c r="BF2160" s="156"/>
    </row>
    <row r="2161" spans="1:58" ht="15" customHeight="1" outlineLevel="1" x14ac:dyDescent="0.35">
      <c r="A2161" s="1664"/>
      <c r="B2161" s="2812"/>
      <c r="C2161" s="3077"/>
      <c r="D2161" s="3980"/>
      <c r="E2161" s="3883"/>
      <c r="F2161" s="3984" t="str">
        <f>$E$1590</f>
        <v>ASHP-SEER15-Replace_CAC_NonElectricHeat_ER1_MF_CompE</v>
      </c>
      <c r="G2161" s="3984"/>
      <c r="H2161" s="3984"/>
      <c r="I2161" s="3984"/>
      <c r="J2161" s="3501" t="str">
        <f>$C$1590</f>
        <v>352761_2021_12_</v>
      </c>
      <c r="K2161" s="2042">
        <v>510</v>
      </c>
      <c r="L2161" s="704"/>
      <c r="M2161" s="3038"/>
      <c r="N2161" s="106"/>
      <c r="O2161" s="106"/>
      <c r="P2161" s="702"/>
      <c r="Q2161" s="702"/>
      <c r="R2161" s="702"/>
      <c r="S2161" s="106"/>
      <c r="T2161" s="486"/>
      <c r="U2161" s="106"/>
      <c r="V2161" s="3980"/>
      <c r="W2161" s="3421"/>
      <c r="X2161" s="2374"/>
      <c r="Y2161" s="2374"/>
      <c r="Z2161" s="3421"/>
      <c r="AA2161" s="3421"/>
      <c r="AB2161" s="3421"/>
      <c r="AC2161" s="2292">
        <v>510</v>
      </c>
      <c r="AD2161" s="2042">
        <v>510</v>
      </c>
      <c r="AE2161" s="3429"/>
      <c r="AF2161" s="3421"/>
      <c r="AG2161" s="3421"/>
      <c r="AH2161" s="156"/>
      <c r="AI2161" s="156"/>
      <c r="AJ2161" s="156"/>
      <c r="AK2161" s="156"/>
      <c r="AL2161" s="156"/>
      <c r="AM2161" s="156"/>
      <c r="AN2161" s="156"/>
      <c r="AO2161" s="156"/>
      <c r="AP2161" s="156"/>
      <c r="AQ2161" s="156"/>
      <c r="AR2161" s="156"/>
      <c r="AS2161" s="156"/>
      <c r="AT2161" s="156"/>
      <c r="AU2161" s="156"/>
      <c r="AV2161" s="156"/>
      <c r="AW2161" s="156"/>
      <c r="AX2161" s="156"/>
      <c r="AY2161" s="156"/>
      <c r="AZ2161" s="156"/>
      <c r="BA2161" s="156"/>
      <c r="BB2161" s="2828"/>
      <c r="BC2161" s="452"/>
      <c r="BD2161" s="2829"/>
      <c r="BE2161" s="2837"/>
      <c r="BF2161" s="156"/>
    </row>
    <row r="2162" spans="1:58" ht="15" customHeight="1" outlineLevel="1" x14ac:dyDescent="0.35">
      <c r="A2162" s="1664"/>
      <c r="B2162" s="2812"/>
      <c r="C2162" s="3077"/>
      <c r="D2162" s="3980"/>
      <c r="E2162" s="3883"/>
      <c r="F2162" s="3984" t="str">
        <f>$E$1592</f>
        <v>ASHP-SEER15-Replace_CAC_NonElectricHeat_ER2_MF_CompE</v>
      </c>
      <c r="G2162" s="3984"/>
      <c r="H2162" s="3984"/>
      <c r="I2162" s="3984"/>
      <c r="J2162" s="3501" t="str">
        <f>$C$1592</f>
        <v>352761_2021_12_</v>
      </c>
      <c r="K2162" s="2042">
        <v>510</v>
      </c>
      <c r="L2162" s="704"/>
      <c r="M2162" s="3038"/>
      <c r="N2162" s="106"/>
      <c r="O2162" s="106"/>
      <c r="P2162" s="702"/>
      <c r="Q2162" s="702"/>
      <c r="R2162" s="702"/>
      <c r="S2162" s="106"/>
      <c r="T2162" s="486"/>
      <c r="U2162" s="106"/>
      <c r="V2162" s="3980"/>
      <c r="W2162" s="3421"/>
      <c r="X2162" s="2374"/>
      <c r="Y2162" s="2374"/>
      <c r="Z2162" s="3421"/>
      <c r="AA2162" s="3421"/>
      <c r="AB2162" s="3421"/>
      <c r="AC2162" s="2292">
        <v>510</v>
      </c>
      <c r="AD2162" s="2042">
        <v>510</v>
      </c>
      <c r="AE2162" s="3429"/>
      <c r="AF2162" s="3421"/>
      <c r="AG2162" s="3421"/>
      <c r="AH2162" s="156"/>
      <c r="AI2162" s="156"/>
      <c r="AJ2162" s="156"/>
      <c r="AK2162" s="156"/>
      <c r="AL2162" s="156"/>
      <c r="AM2162" s="156"/>
      <c r="AN2162" s="156"/>
      <c r="AO2162" s="156"/>
      <c r="AP2162" s="156"/>
      <c r="AQ2162" s="156"/>
      <c r="AR2162" s="156"/>
      <c r="AS2162" s="156"/>
      <c r="AT2162" s="156"/>
      <c r="AU2162" s="156"/>
      <c r="AV2162" s="156"/>
      <c r="AW2162" s="156"/>
      <c r="AX2162" s="156"/>
      <c r="AY2162" s="156"/>
      <c r="AZ2162" s="156"/>
      <c r="BA2162" s="156"/>
      <c r="BB2162" s="2828"/>
      <c r="BC2162" s="452"/>
      <c r="BD2162" s="2829"/>
      <c r="BE2162" s="2837"/>
      <c r="BF2162" s="156"/>
    </row>
    <row r="2163" spans="1:58" ht="15" customHeight="1" outlineLevel="1" x14ac:dyDescent="0.35">
      <c r="A2163" s="1664"/>
      <c r="B2163" s="2812"/>
      <c r="C2163" s="3077"/>
      <c r="D2163" s="3980"/>
      <c r="E2163" s="3883"/>
      <c r="F2163" s="3984" t="str">
        <f>$E$1594</f>
        <v>ASHP-SEER15-Replace_CAC_ElectricHeat_ROF_MF</v>
      </c>
      <c r="G2163" s="3984"/>
      <c r="H2163" s="3984"/>
      <c r="I2163" s="3984"/>
      <c r="J2163" s="3501" t="str">
        <f>$C$1594</f>
        <v>352800_2019_12_</v>
      </c>
      <c r="K2163" s="3421">
        <v>1496</v>
      </c>
      <c r="L2163" s="704"/>
      <c r="M2163" s="3038"/>
      <c r="N2163" s="106"/>
      <c r="O2163" s="106"/>
      <c r="P2163" s="702"/>
      <c r="Q2163" s="702"/>
      <c r="R2163" s="702"/>
      <c r="S2163" s="106"/>
      <c r="T2163" s="486"/>
      <c r="U2163" s="106"/>
      <c r="V2163" s="3980"/>
      <c r="W2163" s="3421">
        <v>2009</v>
      </c>
      <c r="X2163" s="2374">
        <v>1496</v>
      </c>
      <c r="Y2163" s="3421">
        <v>1496</v>
      </c>
      <c r="Z2163" s="3421">
        <v>1496</v>
      </c>
      <c r="AA2163" s="3421">
        <v>1496</v>
      </c>
      <c r="AB2163" s="3421">
        <v>1496</v>
      </c>
      <c r="AC2163" s="3428">
        <v>1496</v>
      </c>
      <c r="AD2163" s="3421">
        <v>1496</v>
      </c>
      <c r="AE2163" s="3429"/>
      <c r="AF2163" s="3421"/>
      <c r="AG2163" s="3421"/>
      <c r="AH2163" s="156"/>
      <c r="AI2163" s="156"/>
      <c r="AJ2163" s="156"/>
      <c r="AK2163" s="156"/>
      <c r="AL2163" s="156"/>
      <c r="AM2163" s="156"/>
      <c r="AN2163" s="156"/>
      <c r="AO2163" s="156"/>
      <c r="AP2163" s="156"/>
      <c r="AQ2163" s="156"/>
      <c r="AR2163" s="156"/>
      <c r="AS2163" s="156"/>
      <c r="AT2163" s="156"/>
      <c r="AU2163" s="156"/>
      <c r="AV2163" s="156"/>
      <c r="AW2163" s="156"/>
      <c r="AX2163" s="156"/>
      <c r="AY2163" s="156"/>
      <c r="AZ2163" s="156"/>
      <c r="BA2163" s="156"/>
      <c r="BB2163" s="2828"/>
      <c r="BC2163" s="452"/>
      <c r="BD2163" s="2829"/>
      <c r="BE2163" s="2837"/>
      <c r="BF2163" s="156"/>
    </row>
    <row r="2164" spans="1:58" ht="15" customHeight="1" outlineLevel="1" x14ac:dyDescent="0.35">
      <c r="A2164" s="1664"/>
      <c r="B2164" s="2812"/>
      <c r="C2164" s="3077"/>
      <c r="D2164" s="3980"/>
      <c r="E2164" s="3883"/>
      <c r="F2164" s="3984" t="str">
        <f>$E$1596</f>
        <v>ASHP-SEER15-Replace_CAC_ElectricHeat_ROF_MF_CompE</v>
      </c>
      <c r="G2164" s="3984"/>
      <c r="H2164" s="3984"/>
      <c r="I2164" s="3984"/>
      <c r="J2164" s="3501" t="str">
        <f>$C$1596</f>
        <v>352801_2021_12_</v>
      </c>
      <c r="K2164" s="3421">
        <v>510</v>
      </c>
      <c r="L2164" s="704"/>
      <c r="M2164" s="3038" t="s">
        <v>1508</v>
      </c>
      <c r="N2164" s="106"/>
      <c r="O2164" s="106"/>
      <c r="P2164" s="702"/>
      <c r="Q2164" s="702"/>
      <c r="R2164" s="702"/>
      <c r="S2164" s="106"/>
      <c r="T2164" s="486"/>
      <c r="U2164" s="106"/>
      <c r="V2164" s="3980"/>
      <c r="W2164" s="3421"/>
      <c r="X2164" s="2374"/>
      <c r="Y2164" s="2374">
        <v>510</v>
      </c>
      <c r="Z2164" s="3421">
        <v>510</v>
      </c>
      <c r="AA2164" s="3421">
        <v>510</v>
      </c>
      <c r="AB2164" s="3421">
        <v>510</v>
      </c>
      <c r="AC2164" s="3428">
        <v>510</v>
      </c>
      <c r="AD2164" s="3421">
        <v>510</v>
      </c>
      <c r="AE2164" s="3429"/>
      <c r="AF2164" s="3421"/>
      <c r="AG2164" s="3421"/>
      <c r="AH2164" s="156"/>
      <c r="AI2164" s="156"/>
      <c r="AJ2164" s="156"/>
      <c r="AK2164" s="156"/>
      <c r="AL2164" s="156"/>
      <c r="AM2164" s="156"/>
      <c r="AN2164" s="156"/>
      <c r="AO2164" s="156"/>
      <c r="AP2164" s="156"/>
      <c r="AQ2164" s="156"/>
      <c r="AR2164" s="156"/>
      <c r="AS2164" s="156"/>
      <c r="AT2164" s="156"/>
      <c r="AU2164" s="156"/>
      <c r="AV2164" s="156"/>
      <c r="AW2164" s="156"/>
      <c r="AX2164" s="156"/>
      <c r="AY2164" s="156"/>
      <c r="AZ2164" s="156"/>
      <c r="BA2164" s="156"/>
      <c r="BB2164" s="2828"/>
      <c r="BC2164" s="452"/>
      <c r="BD2164" s="2829"/>
      <c r="BE2164" s="2837"/>
      <c r="BF2164" s="156"/>
    </row>
    <row r="2165" spans="1:58" ht="15" customHeight="1" outlineLevel="1" x14ac:dyDescent="0.35">
      <c r="A2165" s="1664"/>
      <c r="B2165" s="2812"/>
      <c r="C2165" s="3077"/>
      <c r="D2165" s="3980"/>
      <c r="E2165" s="3883"/>
      <c r="F2165" s="3984" t="str">
        <f>$E$1598</f>
        <v>ASHP-SEER15-Replace_CAC_NonElectricHeat_ROF_MF</v>
      </c>
      <c r="G2165" s="3984"/>
      <c r="H2165" s="3984"/>
      <c r="I2165" s="3984"/>
      <c r="J2165" s="3501" t="str">
        <f>$C$1598</f>
        <v>352810_2021_12_</v>
      </c>
      <c r="K2165" s="2042">
        <v>1496</v>
      </c>
      <c r="L2165" s="704"/>
      <c r="M2165" s="3038"/>
      <c r="N2165" s="106"/>
      <c r="O2165" s="106"/>
      <c r="P2165" s="702"/>
      <c r="Q2165" s="702"/>
      <c r="R2165" s="702"/>
      <c r="S2165" s="106"/>
      <c r="T2165" s="486"/>
      <c r="U2165" s="106"/>
      <c r="V2165" s="3980"/>
      <c r="W2165" s="3421"/>
      <c r="X2165" s="2374"/>
      <c r="Y2165" s="2374"/>
      <c r="Z2165" s="3421"/>
      <c r="AA2165" s="3421"/>
      <c r="AB2165" s="3421"/>
      <c r="AC2165" s="2292">
        <v>1496</v>
      </c>
      <c r="AD2165" s="2042">
        <v>1496</v>
      </c>
      <c r="AE2165" s="3429"/>
      <c r="AF2165" s="3421"/>
      <c r="AG2165" s="3421"/>
      <c r="AH2165" s="156"/>
      <c r="AI2165" s="156"/>
      <c r="AJ2165" s="156"/>
      <c r="AK2165" s="156"/>
      <c r="AL2165" s="156"/>
      <c r="AM2165" s="156"/>
      <c r="AN2165" s="156"/>
      <c r="AO2165" s="156"/>
      <c r="AP2165" s="156"/>
      <c r="AQ2165" s="156"/>
      <c r="AR2165" s="156"/>
      <c r="AS2165" s="156"/>
      <c r="AT2165" s="156"/>
      <c r="AU2165" s="156"/>
      <c r="AV2165" s="156"/>
      <c r="AW2165" s="156"/>
      <c r="AX2165" s="156"/>
      <c r="AY2165" s="156"/>
      <c r="AZ2165" s="156"/>
      <c r="BA2165" s="156"/>
      <c r="BB2165" s="2828"/>
      <c r="BC2165" s="452"/>
      <c r="BD2165" s="2829"/>
      <c r="BE2165" s="2837"/>
      <c r="BF2165" s="156"/>
    </row>
    <row r="2166" spans="1:58" ht="15" customHeight="1" outlineLevel="1" x14ac:dyDescent="0.35">
      <c r="A2166" s="1664"/>
      <c r="B2166" s="2812"/>
      <c r="C2166" s="3077"/>
      <c r="D2166" s="3980"/>
      <c r="E2166" s="3883"/>
      <c r="F2166" s="3984" t="str">
        <f>$E$1600</f>
        <v>ASHP-SEER15-Replace_CAC_NonElectricHeat_ROF_MF_CompE</v>
      </c>
      <c r="G2166" s="3984"/>
      <c r="H2166" s="3984"/>
      <c r="I2166" s="3984"/>
      <c r="J2166" s="3501" t="str">
        <f>$C$1600</f>
        <v>352811_2021_12_</v>
      </c>
      <c r="K2166" s="2042">
        <v>510</v>
      </c>
      <c r="L2166" s="704"/>
      <c r="M2166" s="3038"/>
      <c r="N2166" s="106"/>
      <c r="O2166" s="106"/>
      <c r="P2166" s="702"/>
      <c r="Q2166" s="702"/>
      <c r="R2166" s="702"/>
      <c r="S2166" s="106"/>
      <c r="T2166" s="486"/>
      <c r="U2166" s="106"/>
      <c r="V2166" s="3980"/>
      <c r="W2166" s="3421"/>
      <c r="X2166" s="2374"/>
      <c r="Y2166" s="2374"/>
      <c r="Z2166" s="3421"/>
      <c r="AA2166" s="3421"/>
      <c r="AB2166" s="3421"/>
      <c r="AC2166" s="2292">
        <v>510</v>
      </c>
      <c r="AD2166" s="2042">
        <v>510</v>
      </c>
      <c r="AE2166" s="3429"/>
      <c r="AF2166" s="3421"/>
      <c r="AG2166" s="3421"/>
      <c r="AH2166" s="156"/>
      <c r="AI2166" s="156"/>
      <c r="AJ2166" s="156"/>
      <c r="AK2166" s="156"/>
      <c r="AL2166" s="156"/>
      <c r="AM2166" s="156"/>
      <c r="AN2166" s="156"/>
      <c r="AO2166" s="156"/>
      <c r="AP2166" s="156"/>
      <c r="AQ2166" s="156"/>
      <c r="AR2166" s="156"/>
      <c r="AS2166" s="156"/>
      <c r="AT2166" s="156"/>
      <c r="AU2166" s="156"/>
      <c r="AV2166" s="156"/>
      <c r="AW2166" s="156"/>
      <c r="AX2166" s="156"/>
      <c r="AY2166" s="156"/>
      <c r="AZ2166" s="156"/>
      <c r="BA2166" s="156"/>
      <c r="BB2166" s="2828"/>
      <c r="BC2166" s="452"/>
      <c r="BD2166" s="2829"/>
      <c r="BE2166" s="2837"/>
      <c r="BF2166" s="156"/>
    </row>
    <row r="2167" spans="1:58" ht="15" customHeight="1" outlineLevel="1" x14ac:dyDescent="0.35">
      <c r="A2167" s="1664"/>
      <c r="B2167" s="2812"/>
      <c r="C2167" s="3077"/>
      <c r="D2167" s="3980"/>
      <c r="E2167" s="3883"/>
      <c r="F2167" s="3984" t="str">
        <f>$E$1602</f>
        <v>ASHP-SEER16_ER1_MF</v>
      </c>
      <c r="G2167" s="3984"/>
      <c r="H2167" s="3984"/>
      <c r="I2167" s="3984"/>
      <c r="J2167" s="3501" t="str">
        <f>$C$1602</f>
        <v>352850_2021_12_</v>
      </c>
      <c r="K2167" s="3421">
        <v>1496</v>
      </c>
      <c r="L2167" s="704"/>
      <c r="M2167" s="3038"/>
      <c r="N2167" s="106"/>
      <c r="O2167" s="106"/>
      <c r="P2167" s="702"/>
      <c r="Q2167" s="702"/>
      <c r="R2167" s="702"/>
      <c r="S2167" s="106"/>
      <c r="T2167" s="486"/>
      <c r="U2167" s="106"/>
      <c r="V2167" s="3980"/>
      <c r="W2167" s="3421">
        <v>2009</v>
      </c>
      <c r="X2167" s="2374">
        <v>1496</v>
      </c>
      <c r="Y2167" s="3421">
        <v>1496</v>
      </c>
      <c r="Z2167" s="3421">
        <v>1496</v>
      </c>
      <c r="AA2167" s="3421">
        <v>1496</v>
      </c>
      <c r="AB2167" s="3421">
        <v>1496</v>
      </c>
      <c r="AC2167" s="3428">
        <v>1496</v>
      </c>
      <c r="AD2167" s="3421">
        <v>1496</v>
      </c>
      <c r="AE2167" s="3429"/>
      <c r="AF2167" s="3421"/>
      <c r="AG2167" s="3421"/>
      <c r="AH2167" s="156"/>
      <c r="AI2167" s="156"/>
      <c r="AJ2167" s="156"/>
      <c r="AK2167" s="156"/>
      <c r="AL2167" s="156"/>
      <c r="AM2167" s="156"/>
      <c r="AN2167" s="156"/>
      <c r="AO2167" s="156"/>
      <c r="AP2167" s="156"/>
      <c r="AQ2167" s="156"/>
      <c r="AR2167" s="156"/>
      <c r="AS2167" s="156"/>
      <c r="AT2167" s="156"/>
      <c r="AU2167" s="156"/>
      <c r="AV2167" s="156"/>
      <c r="AW2167" s="156"/>
      <c r="AX2167" s="156"/>
      <c r="AY2167" s="156"/>
      <c r="AZ2167" s="156"/>
      <c r="BA2167" s="156"/>
      <c r="BB2167" s="2828"/>
      <c r="BC2167" s="452"/>
      <c r="BD2167" s="2829"/>
      <c r="BE2167" s="2837"/>
      <c r="BF2167" s="156"/>
    </row>
    <row r="2168" spans="1:58" ht="15" customHeight="1" outlineLevel="1" x14ac:dyDescent="0.35">
      <c r="A2168" s="1664"/>
      <c r="B2168" s="2812"/>
      <c r="C2168" s="3077"/>
      <c r="D2168" s="3980"/>
      <c r="E2168" s="3883"/>
      <c r="F2168" s="3984" t="str">
        <f>$E$1604</f>
        <v>ASHP-SEER16_ER2_MF</v>
      </c>
      <c r="G2168" s="3984"/>
      <c r="H2168" s="3984"/>
      <c r="I2168" s="3984"/>
      <c r="J2168" s="3501" t="str">
        <f>$C$1604</f>
        <v>352850_2021_12_</v>
      </c>
      <c r="K2168" s="3421">
        <v>1496</v>
      </c>
      <c r="L2168" s="704"/>
      <c r="M2168" s="3038"/>
      <c r="N2168" s="106"/>
      <c r="O2168" s="106"/>
      <c r="P2168" s="702"/>
      <c r="Q2168" s="702"/>
      <c r="R2168" s="702"/>
      <c r="S2168" s="106"/>
      <c r="T2168" s="486"/>
      <c r="U2168" s="106"/>
      <c r="V2168" s="3980"/>
      <c r="W2168" s="3421">
        <v>2009</v>
      </c>
      <c r="X2168" s="2374">
        <v>1496</v>
      </c>
      <c r="Y2168" s="3421">
        <v>1496</v>
      </c>
      <c r="Z2168" s="3421">
        <v>1496</v>
      </c>
      <c r="AA2168" s="3421">
        <v>1496</v>
      </c>
      <c r="AB2168" s="3421">
        <v>1496</v>
      </c>
      <c r="AC2168" s="3428">
        <v>1496</v>
      </c>
      <c r="AD2168" s="3421">
        <v>1496</v>
      </c>
      <c r="AE2168" s="3429"/>
      <c r="AF2168" s="3421"/>
      <c r="AG2168" s="3421"/>
      <c r="AH2168" s="156"/>
      <c r="AI2168" s="156"/>
      <c r="AJ2168" s="156"/>
      <c r="AK2168" s="156"/>
      <c r="AL2168" s="156"/>
      <c r="AM2168" s="156"/>
      <c r="AN2168" s="156"/>
      <c r="AO2168" s="156"/>
      <c r="AP2168" s="156"/>
      <c r="AQ2168" s="156"/>
      <c r="AR2168" s="156"/>
      <c r="AS2168" s="156"/>
      <c r="AT2168" s="156"/>
      <c r="AU2168" s="156"/>
      <c r="AV2168" s="156"/>
      <c r="AW2168" s="156"/>
      <c r="AX2168" s="156"/>
      <c r="AY2168" s="156"/>
      <c r="AZ2168" s="156"/>
      <c r="BA2168" s="156"/>
      <c r="BB2168" s="2828"/>
      <c r="BC2168" s="452"/>
      <c r="BD2168" s="2829"/>
      <c r="BE2168" s="2837"/>
      <c r="BF2168" s="156"/>
    </row>
    <row r="2169" spans="1:58" ht="15" customHeight="1" outlineLevel="1" x14ac:dyDescent="0.35">
      <c r="A2169" s="1664"/>
      <c r="B2169" s="2812"/>
      <c r="C2169" s="3077"/>
      <c r="D2169" s="3980"/>
      <c r="E2169" s="3883"/>
      <c r="F2169" s="3984" t="str">
        <f>$E$1606</f>
        <v>ASHP-SEER16_ER1_MF_CompE</v>
      </c>
      <c r="G2169" s="3984"/>
      <c r="H2169" s="3984"/>
      <c r="I2169" s="3984"/>
      <c r="J2169" s="3501" t="str">
        <f>$C$1606</f>
        <v>352851_2021_12_</v>
      </c>
      <c r="K2169" s="3421">
        <v>510</v>
      </c>
      <c r="L2169" s="704"/>
      <c r="M2169" s="3038" t="s">
        <v>1508</v>
      </c>
      <c r="N2169" s="106"/>
      <c r="O2169" s="106"/>
      <c r="P2169" s="702"/>
      <c r="Q2169" s="702"/>
      <c r="R2169" s="702"/>
      <c r="S2169" s="106"/>
      <c r="T2169" s="486"/>
      <c r="U2169" s="106"/>
      <c r="V2169" s="3980"/>
      <c r="W2169" s="3421"/>
      <c r="X2169" s="2374"/>
      <c r="Y2169" s="2374">
        <v>510</v>
      </c>
      <c r="Z2169" s="3421">
        <v>510</v>
      </c>
      <c r="AA2169" s="3421">
        <v>510</v>
      </c>
      <c r="AB2169" s="3421">
        <v>510</v>
      </c>
      <c r="AC2169" s="3428">
        <v>510</v>
      </c>
      <c r="AD2169" s="3421">
        <v>510</v>
      </c>
      <c r="AE2169" s="3429"/>
      <c r="AF2169" s="3421"/>
      <c r="AG2169" s="3421"/>
      <c r="AH2169" s="156"/>
      <c r="AI2169" s="156"/>
      <c r="AJ2169" s="156"/>
      <c r="AK2169" s="156"/>
      <c r="AL2169" s="156"/>
      <c r="AM2169" s="156"/>
      <c r="AN2169" s="156"/>
      <c r="AO2169" s="156"/>
      <c r="AP2169" s="156"/>
      <c r="AQ2169" s="156"/>
      <c r="AR2169" s="156"/>
      <c r="AS2169" s="156"/>
      <c r="AT2169" s="156"/>
      <c r="AU2169" s="156"/>
      <c r="AV2169" s="156"/>
      <c r="AW2169" s="156"/>
      <c r="AX2169" s="156"/>
      <c r="AY2169" s="156"/>
      <c r="AZ2169" s="156"/>
      <c r="BA2169" s="156"/>
      <c r="BB2169" s="2828"/>
      <c r="BC2169" s="452"/>
      <c r="BD2169" s="2829"/>
      <c r="BE2169" s="2837"/>
      <c r="BF2169" s="156"/>
    </row>
    <row r="2170" spans="1:58" ht="15" customHeight="1" outlineLevel="1" x14ac:dyDescent="0.35">
      <c r="A2170" s="1664"/>
      <c r="B2170" s="2812"/>
      <c r="C2170" s="3077"/>
      <c r="D2170" s="3980"/>
      <c r="E2170" s="3883"/>
      <c r="F2170" s="3984" t="str">
        <f>$E$1608</f>
        <v>ASHP-SEER16_ER2_MF_CompE</v>
      </c>
      <c r="G2170" s="3984"/>
      <c r="H2170" s="3984"/>
      <c r="I2170" s="3984"/>
      <c r="J2170" s="3501" t="str">
        <f>$C$1608</f>
        <v>352851_2021_12_</v>
      </c>
      <c r="K2170" s="3421">
        <v>510</v>
      </c>
      <c r="L2170" s="704"/>
      <c r="M2170" s="3038" t="s">
        <v>1508</v>
      </c>
      <c r="N2170" s="106"/>
      <c r="O2170" s="106"/>
      <c r="P2170" s="702"/>
      <c r="Q2170" s="702"/>
      <c r="R2170" s="702"/>
      <c r="S2170" s="106"/>
      <c r="T2170" s="486"/>
      <c r="U2170" s="106"/>
      <c r="V2170" s="3980"/>
      <c r="W2170" s="3421"/>
      <c r="X2170" s="2374"/>
      <c r="Y2170" s="2374">
        <v>510</v>
      </c>
      <c r="Z2170" s="3421">
        <v>510</v>
      </c>
      <c r="AA2170" s="3421">
        <v>510</v>
      </c>
      <c r="AB2170" s="3421">
        <v>510</v>
      </c>
      <c r="AC2170" s="3428">
        <v>510</v>
      </c>
      <c r="AD2170" s="3421">
        <v>510</v>
      </c>
      <c r="AE2170" s="3429"/>
      <c r="AF2170" s="3421"/>
      <c r="AG2170" s="3421"/>
      <c r="AH2170" s="156"/>
      <c r="AI2170" s="156"/>
      <c r="AJ2170" s="156"/>
      <c r="AK2170" s="156"/>
      <c r="AL2170" s="156"/>
      <c r="AM2170" s="156"/>
      <c r="AN2170" s="156"/>
      <c r="AO2170" s="156"/>
      <c r="AP2170" s="156"/>
      <c r="AQ2170" s="156"/>
      <c r="AR2170" s="156"/>
      <c r="AS2170" s="156"/>
      <c r="AT2170" s="156"/>
      <c r="AU2170" s="156"/>
      <c r="AV2170" s="156"/>
      <c r="AW2170" s="156"/>
      <c r="AX2170" s="156"/>
      <c r="AY2170" s="156"/>
      <c r="AZ2170" s="156"/>
      <c r="BA2170" s="156"/>
      <c r="BB2170" s="2828"/>
      <c r="BC2170" s="452"/>
      <c r="BD2170" s="2829"/>
      <c r="BE2170" s="2837"/>
      <c r="BF2170" s="156"/>
    </row>
    <row r="2171" spans="1:58" ht="15" customHeight="1" outlineLevel="1" x14ac:dyDescent="0.35">
      <c r="A2171" s="1664"/>
      <c r="B2171" s="2812"/>
      <c r="C2171" s="3077"/>
      <c r="D2171" s="3980"/>
      <c r="E2171" s="3883"/>
      <c r="F2171" s="3984" t="str">
        <f>$E$1610</f>
        <v>ASHP-SEER16_ROF_MF</v>
      </c>
      <c r="G2171" s="3984"/>
      <c r="H2171" s="3984"/>
      <c r="I2171" s="3984"/>
      <c r="J2171" s="3501" t="str">
        <f>$C$1610</f>
        <v>352900_2021_12_</v>
      </c>
      <c r="K2171" s="3421">
        <v>1496</v>
      </c>
      <c r="L2171" s="704"/>
      <c r="M2171" s="3038"/>
      <c r="N2171" s="106"/>
      <c r="O2171" s="106"/>
      <c r="P2171" s="702"/>
      <c r="Q2171" s="702"/>
      <c r="R2171" s="702"/>
      <c r="S2171" s="106"/>
      <c r="T2171" s="486"/>
      <c r="U2171" s="106"/>
      <c r="V2171" s="3980"/>
      <c r="W2171" s="3421">
        <v>2009</v>
      </c>
      <c r="X2171" s="2374">
        <v>1496</v>
      </c>
      <c r="Y2171" s="3421">
        <v>1496</v>
      </c>
      <c r="Z2171" s="3421">
        <v>1496</v>
      </c>
      <c r="AA2171" s="3421">
        <v>1496</v>
      </c>
      <c r="AB2171" s="3421">
        <v>1496</v>
      </c>
      <c r="AC2171" s="3428">
        <v>1496</v>
      </c>
      <c r="AD2171" s="3421">
        <v>1496</v>
      </c>
      <c r="AE2171" s="3429"/>
      <c r="AF2171" s="3421"/>
      <c r="AG2171" s="3421"/>
      <c r="AH2171" s="156"/>
      <c r="AI2171" s="156"/>
      <c r="AJ2171" s="156"/>
      <c r="AK2171" s="156"/>
      <c r="AL2171" s="156"/>
      <c r="AM2171" s="156"/>
      <c r="AN2171" s="156"/>
      <c r="AO2171" s="156"/>
      <c r="AP2171" s="156"/>
      <c r="AQ2171" s="156"/>
      <c r="AR2171" s="156"/>
      <c r="AS2171" s="156"/>
      <c r="AT2171" s="156"/>
      <c r="AU2171" s="156"/>
      <c r="AV2171" s="156"/>
      <c r="AW2171" s="156"/>
      <c r="AX2171" s="156"/>
      <c r="AY2171" s="156"/>
      <c r="AZ2171" s="156"/>
      <c r="BA2171" s="156"/>
      <c r="BB2171" s="2828"/>
      <c r="BC2171" s="452"/>
      <c r="BD2171" s="2829"/>
      <c r="BE2171" s="2837"/>
      <c r="BF2171" s="156"/>
    </row>
    <row r="2172" spans="1:58" ht="15" customHeight="1" outlineLevel="1" x14ac:dyDescent="0.35">
      <c r="A2172" s="1664"/>
      <c r="B2172" s="2812"/>
      <c r="C2172" s="3077"/>
      <c r="D2172" s="3980"/>
      <c r="E2172" s="3883"/>
      <c r="F2172" s="3984" t="str">
        <f>$E$1612</f>
        <v>ASHP-SEER16_ROF_MF_CompE</v>
      </c>
      <c r="G2172" s="3984"/>
      <c r="H2172" s="3984"/>
      <c r="I2172" s="3984"/>
      <c r="J2172" s="3501" t="str">
        <f>$C$1612</f>
        <v>352901_2021_12_</v>
      </c>
      <c r="K2172" s="3421">
        <v>510</v>
      </c>
      <c r="L2172" s="704"/>
      <c r="M2172" s="3038" t="s">
        <v>1508</v>
      </c>
      <c r="N2172" s="106"/>
      <c r="O2172" s="106"/>
      <c r="P2172" s="702"/>
      <c r="Q2172" s="702"/>
      <c r="R2172" s="702"/>
      <c r="S2172" s="106"/>
      <c r="T2172" s="486"/>
      <c r="U2172" s="106"/>
      <c r="V2172" s="3980"/>
      <c r="W2172" s="3421"/>
      <c r="X2172" s="2374"/>
      <c r="Y2172" s="2374">
        <v>510</v>
      </c>
      <c r="Z2172" s="3421">
        <v>510</v>
      </c>
      <c r="AA2172" s="3421">
        <v>510</v>
      </c>
      <c r="AB2172" s="3421">
        <v>510</v>
      </c>
      <c r="AC2172" s="3428">
        <v>510</v>
      </c>
      <c r="AD2172" s="3421">
        <v>510</v>
      </c>
      <c r="AE2172" s="3429"/>
      <c r="AF2172" s="3421"/>
      <c r="AG2172" s="3421"/>
      <c r="AH2172" s="156"/>
      <c r="AI2172" s="156"/>
      <c r="AJ2172" s="156"/>
      <c r="AK2172" s="156"/>
      <c r="AL2172" s="156"/>
      <c r="AM2172" s="156"/>
      <c r="AN2172" s="156"/>
      <c r="AO2172" s="156"/>
      <c r="AP2172" s="156"/>
      <c r="AQ2172" s="156"/>
      <c r="AR2172" s="156"/>
      <c r="AS2172" s="156"/>
      <c r="AT2172" s="156"/>
      <c r="AU2172" s="156"/>
      <c r="AV2172" s="156"/>
      <c r="AW2172" s="156"/>
      <c r="AX2172" s="156"/>
      <c r="AY2172" s="156"/>
      <c r="AZ2172" s="156"/>
      <c r="BA2172" s="156"/>
      <c r="BB2172" s="2828"/>
      <c r="BC2172" s="452"/>
      <c r="BD2172" s="2829"/>
      <c r="BE2172" s="2837"/>
      <c r="BF2172" s="156"/>
    </row>
    <row r="2173" spans="1:58" ht="15" customHeight="1" outlineLevel="1" x14ac:dyDescent="0.35">
      <c r="A2173" s="1664"/>
      <c r="B2173" s="2812"/>
      <c r="C2173" s="3077"/>
      <c r="D2173" s="3980"/>
      <c r="E2173" s="3883"/>
      <c r="F2173" s="3984" t="str">
        <f>$E$1614</f>
        <v>ASHP-SEER16-Replace_CAC_ElectricHeat_ROF_MF</v>
      </c>
      <c r="G2173" s="3984"/>
      <c r="H2173" s="3984"/>
      <c r="I2173" s="3984"/>
      <c r="J2173" s="3501" t="str">
        <f>$C$1614</f>
        <v>352950_2019_12_</v>
      </c>
      <c r="K2173" s="3421">
        <v>1496</v>
      </c>
      <c r="L2173" s="704"/>
      <c r="M2173" s="3038"/>
      <c r="N2173" s="106"/>
      <c r="O2173" s="106"/>
      <c r="P2173" s="702"/>
      <c r="Q2173" s="702"/>
      <c r="R2173" s="702"/>
      <c r="S2173" s="106"/>
      <c r="T2173" s="486"/>
      <c r="U2173" s="106"/>
      <c r="V2173" s="3980"/>
      <c r="W2173" s="3421">
        <v>2009</v>
      </c>
      <c r="X2173" s="2374">
        <v>1496</v>
      </c>
      <c r="Y2173" s="3421">
        <v>1496</v>
      </c>
      <c r="Z2173" s="3421">
        <v>1496</v>
      </c>
      <c r="AA2173" s="3421">
        <v>1496</v>
      </c>
      <c r="AB2173" s="3421">
        <v>1496</v>
      </c>
      <c r="AC2173" s="3428">
        <v>1496</v>
      </c>
      <c r="AD2173" s="3421">
        <v>1496</v>
      </c>
      <c r="AE2173" s="3429"/>
      <c r="AF2173" s="3421"/>
      <c r="AG2173" s="3421"/>
      <c r="AH2173" s="156"/>
      <c r="AI2173" s="156"/>
      <c r="AJ2173" s="156"/>
      <c r="AK2173" s="156"/>
      <c r="AL2173" s="156"/>
      <c r="AM2173" s="156"/>
      <c r="AN2173" s="156"/>
      <c r="AO2173" s="156"/>
      <c r="AP2173" s="156"/>
      <c r="AQ2173" s="156"/>
      <c r="AR2173" s="156"/>
      <c r="AS2173" s="156"/>
      <c r="AT2173" s="156"/>
      <c r="AU2173" s="156"/>
      <c r="AV2173" s="156"/>
      <c r="AW2173" s="156"/>
      <c r="AX2173" s="156"/>
      <c r="AY2173" s="156"/>
      <c r="AZ2173" s="156"/>
      <c r="BA2173" s="156"/>
      <c r="BB2173" s="2828"/>
      <c r="BC2173" s="452"/>
      <c r="BD2173" s="2829"/>
      <c r="BE2173" s="2837"/>
      <c r="BF2173" s="156"/>
    </row>
    <row r="2174" spans="1:58" ht="15" customHeight="1" outlineLevel="1" x14ac:dyDescent="0.35">
      <c r="A2174" s="1664"/>
      <c r="B2174" s="2812"/>
      <c r="C2174" s="3077"/>
      <c r="D2174" s="3980"/>
      <c r="E2174" s="3883"/>
      <c r="F2174" s="3984" t="str">
        <f>$E$1616</f>
        <v>ASHP-SEER16-Replace_CAC_ElectricHeat_ROF_MF_CompE</v>
      </c>
      <c r="G2174" s="3984"/>
      <c r="H2174" s="3984"/>
      <c r="I2174" s="3984"/>
      <c r="J2174" s="3501" t="str">
        <f>$C$1616</f>
        <v>352951_2019_12_</v>
      </c>
      <c r="K2174" s="3421">
        <v>510</v>
      </c>
      <c r="L2174" s="704"/>
      <c r="M2174" s="3038" t="s">
        <v>1508</v>
      </c>
      <c r="N2174" s="106"/>
      <c r="O2174" s="106"/>
      <c r="P2174" s="702"/>
      <c r="Q2174" s="702"/>
      <c r="R2174" s="702"/>
      <c r="S2174" s="106"/>
      <c r="T2174" s="486"/>
      <c r="U2174" s="106"/>
      <c r="V2174" s="3980"/>
      <c r="W2174" s="3421"/>
      <c r="X2174" s="2374"/>
      <c r="Y2174" s="2374">
        <v>510</v>
      </c>
      <c r="Z2174" s="3421">
        <v>510</v>
      </c>
      <c r="AA2174" s="3421">
        <v>510</v>
      </c>
      <c r="AB2174" s="3421">
        <v>510</v>
      </c>
      <c r="AC2174" s="3428">
        <v>510</v>
      </c>
      <c r="AD2174" s="3421">
        <v>510</v>
      </c>
      <c r="AE2174" s="3429"/>
      <c r="AF2174" s="3421"/>
      <c r="AG2174" s="3421"/>
      <c r="AH2174" s="156"/>
      <c r="AI2174" s="156"/>
      <c r="AJ2174" s="156"/>
      <c r="AK2174" s="156"/>
      <c r="AL2174" s="156"/>
      <c r="AM2174" s="156"/>
      <c r="AN2174" s="156"/>
      <c r="AO2174" s="156"/>
      <c r="AP2174" s="156"/>
      <c r="AQ2174" s="156"/>
      <c r="AR2174" s="156"/>
      <c r="AS2174" s="156"/>
      <c r="AT2174" s="156"/>
      <c r="AU2174" s="156"/>
      <c r="AV2174" s="156"/>
      <c r="AW2174" s="156"/>
      <c r="AX2174" s="156"/>
      <c r="AY2174" s="156"/>
      <c r="AZ2174" s="156"/>
      <c r="BA2174" s="156"/>
      <c r="BB2174" s="2828"/>
      <c r="BC2174" s="452"/>
      <c r="BD2174" s="2829"/>
      <c r="BE2174" s="2837"/>
      <c r="BF2174" s="156"/>
    </row>
    <row r="2175" spans="1:58" ht="15" customHeight="1" outlineLevel="1" x14ac:dyDescent="0.35">
      <c r="A2175" s="1664"/>
      <c r="B2175" s="2812"/>
      <c r="C2175" s="3077"/>
      <c r="D2175" s="3980"/>
      <c r="E2175" s="3883"/>
      <c r="F2175" s="3984" t="str">
        <f>$E$1618</f>
        <v>ASHP-SEER16-Replace_CAC_NonElectricHeat_ROF_MF</v>
      </c>
      <c r="G2175" s="3984"/>
      <c r="H2175" s="3984"/>
      <c r="I2175" s="3984"/>
      <c r="J2175" s="3501" t="str">
        <f>$C$1618</f>
        <v>352960_2021_12_</v>
      </c>
      <c r="K2175" s="2042">
        <v>1496</v>
      </c>
      <c r="L2175" s="704"/>
      <c r="M2175" s="3038"/>
      <c r="N2175" s="106"/>
      <c r="O2175" s="106"/>
      <c r="P2175" s="702"/>
      <c r="Q2175" s="702"/>
      <c r="R2175" s="702"/>
      <c r="S2175" s="106"/>
      <c r="T2175" s="486"/>
      <c r="U2175" s="106"/>
      <c r="V2175" s="3980"/>
      <c r="W2175" s="3421"/>
      <c r="X2175" s="2374"/>
      <c r="Y2175" s="2374"/>
      <c r="Z2175" s="3421"/>
      <c r="AA2175" s="3421"/>
      <c r="AB2175" s="3421"/>
      <c r="AC2175" s="2292">
        <v>1496</v>
      </c>
      <c r="AD2175" s="2042">
        <v>1496</v>
      </c>
      <c r="AE2175" s="3429"/>
      <c r="AF2175" s="3421"/>
      <c r="AG2175" s="3421"/>
      <c r="AH2175" s="156"/>
      <c r="AI2175" s="156"/>
      <c r="AJ2175" s="156"/>
      <c r="AK2175" s="156"/>
      <c r="AL2175" s="156"/>
      <c r="AM2175" s="156"/>
      <c r="AN2175" s="156"/>
      <c r="AO2175" s="156"/>
      <c r="AP2175" s="156"/>
      <c r="AQ2175" s="156"/>
      <c r="AR2175" s="156"/>
      <c r="AS2175" s="156"/>
      <c r="AT2175" s="156"/>
      <c r="AU2175" s="156"/>
      <c r="AV2175" s="156"/>
      <c r="AW2175" s="156"/>
      <c r="AX2175" s="156"/>
      <c r="AY2175" s="156"/>
      <c r="AZ2175" s="156"/>
      <c r="BA2175" s="156"/>
      <c r="BB2175" s="2828"/>
      <c r="BC2175" s="452"/>
      <c r="BD2175" s="2829"/>
      <c r="BE2175" s="2837"/>
      <c r="BF2175" s="156"/>
    </row>
    <row r="2176" spans="1:58" ht="15" customHeight="1" outlineLevel="1" x14ac:dyDescent="0.35">
      <c r="A2176" s="1664"/>
      <c r="B2176" s="2812"/>
      <c r="C2176" s="3077"/>
      <c r="D2176" s="3980"/>
      <c r="E2176" s="3883"/>
      <c r="F2176" s="3984" t="str">
        <f>$E$1620</f>
        <v>ASHP-SEER16-Replace_CAC_NonElectricHeat_ROF_MF_CompE</v>
      </c>
      <c r="G2176" s="3984"/>
      <c r="H2176" s="3984"/>
      <c r="I2176" s="3984"/>
      <c r="J2176" s="3501" t="str">
        <f>$C$1620</f>
        <v>352961_2021_12_</v>
      </c>
      <c r="K2176" s="2042">
        <v>510</v>
      </c>
      <c r="L2176" s="704"/>
      <c r="M2176" s="3038"/>
      <c r="N2176" s="106"/>
      <c r="O2176" s="106"/>
      <c r="P2176" s="702"/>
      <c r="Q2176" s="702"/>
      <c r="R2176" s="702"/>
      <c r="S2176" s="106"/>
      <c r="T2176" s="486"/>
      <c r="U2176" s="106"/>
      <c r="V2176" s="3980"/>
      <c r="W2176" s="3421"/>
      <c r="X2176" s="2374"/>
      <c r="Y2176" s="2374"/>
      <c r="Z2176" s="3421"/>
      <c r="AA2176" s="3421"/>
      <c r="AB2176" s="3421"/>
      <c r="AC2176" s="2292">
        <v>510</v>
      </c>
      <c r="AD2176" s="2042">
        <v>510</v>
      </c>
      <c r="AE2176" s="3429"/>
      <c r="AF2176" s="3421"/>
      <c r="AG2176" s="3421"/>
      <c r="AH2176" s="156"/>
      <c r="AI2176" s="156"/>
      <c r="AJ2176" s="156"/>
      <c r="AK2176" s="156"/>
      <c r="AL2176" s="156"/>
      <c r="AM2176" s="156"/>
      <c r="AN2176" s="156"/>
      <c r="AO2176" s="156"/>
      <c r="AP2176" s="156"/>
      <c r="AQ2176" s="156"/>
      <c r="AR2176" s="156"/>
      <c r="AS2176" s="156"/>
      <c r="AT2176" s="156"/>
      <c r="AU2176" s="156"/>
      <c r="AV2176" s="156"/>
      <c r="AW2176" s="156"/>
      <c r="AX2176" s="156"/>
      <c r="AY2176" s="156"/>
      <c r="AZ2176" s="156"/>
      <c r="BA2176" s="156"/>
      <c r="BB2176" s="2828"/>
      <c r="BC2176" s="452"/>
      <c r="BD2176" s="2829"/>
      <c r="BE2176" s="2837"/>
      <c r="BF2176" s="156"/>
    </row>
    <row r="2177" spans="1:58" ht="15" customHeight="1" outlineLevel="1" x14ac:dyDescent="0.35">
      <c r="A2177" s="1664"/>
      <c r="B2177" s="2812"/>
      <c r="C2177" s="3077"/>
      <c r="D2177" s="3980"/>
      <c r="E2177" s="3883"/>
      <c r="F2177" s="3984" t="str">
        <f>$E$1622</f>
        <v>ASHP-SEER16-Replace_CAC_ElectricHeat_ER1_MF</v>
      </c>
      <c r="G2177" s="3984"/>
      <c r="H2177" s="3984"/>
      <c r="I2177" s="3984"/>
      <c r="J2177" s="3501" t="str">
        <f>$C$1622</f>
        <v>353000_2021_12_</v>
      </c>
      <c r="K2177" s="3421">
        <v>1496</v>
      </c>
      <c r="L2177" s="704"/>
      <c r="M2177" s="3038"/>
      <c r="N2177" s="106"/>
      <c r="O2177" s="106"/>
      <c r="P2177" s="702"/>
      <c r="Q2177" s="702"/>
      <c r="R2177" s="702"/>
      <c r="S2177" s="106"/>
      <c r="T2177" s="486"/>
      <c r="U2177" s="106"/>
      <c r="V2177" s="3980"/>
      <c r="W2177" s="3421">
        <v>2009</v>
      </c>
      <c r="X2177" s="2374">
        <v>1496</v>
      </c>
      <c r="Y2177" s="3421">
        <v>1496</v>
      </c>
      <c r="Z2177" s="3421">
        <v>1496</v>
      </c>
      <c r="AA2177" s="3421">
        <v>1496</v>
      </c>
      <c r="AB2177" s="3421">
        <v>1496</v>
      </c>
      <c r="AC2177" s="3428">
        <v>1496</v>
      </c>
      <c r="AD2177" s="3421">
        <v>1496</v>
      </c>
      <c r="AE2177" s="3429"/>
      <c r="AF2177" s="3421"/>
      <c r="AG2177" s="3421"/>
      <c r="AH2177" s="156"/>
      <c r="AI2177" s="156"/>
      <c r="AJ2177" s="156"/>
      <c r="AK2177" s="156"/>
      <c r="AL2177" s="156"/>
      <c r="AM2177" s="156"/>
      <c r="AN2177" s="156"/>
      <c r="AO2177" s="156"/>
      <c r="AP2177" s="156"/>
      <c r="AQ2177" s="156"/>
      <c r="AR2177" s="156"/>
      <c r="AS2177" s="156"/>
      <c r="AT2177" s="156"/>
      <c r="AU2177" s="156"/>
      <c r="AV2177" s="156"/>
      <c r="AW2177" s="156"/>
      <c r="AX2177" s="156"/>
      <c r="AY2177" s="156"/>
      <c r="AZ2177" s="156"/>
      <c r="BA2177" s="156"/>
      <c r="BB2177" s="2828"/>
      <c r="BC2177" s="452"/>
      <c r="BD2177" s="2829"/>
      <c r="BE2177" s="2837"/>
      <c r="BF2177" s="156"/>
    </row>
    <row r="2178" spans="1:58" ht="15" customHeight="1" outlineLevel="1" x14ac:dyDescent="0.35">
      <c r="A2178" s="1664"/>
      <c r="B2178" s="2812"/>
      <c r="C2178" s="3077"/>
      <c r="D2178" s="3980"/>
      <c r="E2178" s="3883"/>
      <c r="F2178" s="3984" t="str">
        <f>$E$1624</f>
        <v>ASHP-SEER16-Replace_CAC_ElectricHeat_ER2_MF</v>
      </c>
      <c r="G2178" s="3984"/>
      <c r="H2178" s="3984"/>
      <c r="I2178" s="3984"/>
      <c r="J2178" s="3501" t="str">
        <f>$C$1624</f>
        <v>353000_2021_12_</v>
      </c>
      <c r="K2178" s="3421">
        <v>1496</v>
      </c>
      <c r="L2178" s="704"/>
      <c r="M2178" s="3038"/>
      <c r="N2178" s="106"/>
      <c r="O2178" s="106"/>
      <c r="P2178" s="702"/>
      <c r="Q2178" s="702"/>
      <c r="R2178" s="702"/>
      <c r="S2178" s="106"/>
      <c r="T2178" s="486"/>
      <c r="U2178" s="106"/>
      <c r="V2178" s="3980"/>
      <c r="W2178" s="3421">
        <v>2009</v>
      </c>
      <c r="X2178" s="2374">
        <v>1496</v>
      </c>
      <c r="Y2178" s="3421">
        <v>1496</v>
      </c>
      <c r="Z2178" s="3421">
        <v>1496</v>
      </c>
      <c r="AA2178" s="3421">
        <v>1496</v>
      </c>
      <c r="AB2178" s="3421">
        <v>1496</v>
      </c>
      <c r="AC2178" s="3428">
        <v>1496</v>
      </c>
      <c r="AD2178" s="3421">
        <v>1496</v>
      </c>
      <c r="AE2178" s="3429"/>
      <c r="AF2178" s="3421"/>
      <c r="AG2178" s="3421"/>
      <c r="AH2178" s="156"/>
      <c r="AI2178" s="156"/>
      <c r="AJ2178" s="156"/>
      <c r="AK2178" s="156"/>
      <c r="AL2178" s="156"/>
      <c r="AM2178" s="156"/>
      <c r="AN2178" s="156"/>
      <c r="AO2178" s="156"/>
      <c r="AP2178" s="156"/>
      <c r="AQ2178" s="156"/>
      <c r="AR2178" s="156"/>
      <c r="AS2178" s="156"/>
      <c r="AT2178" s="156"/>
      <c r="AU2178" s="156"/>
      <c r="AV2178" s="156"/>
      <c r="AW2178" s="156"/>
      <c r="AX2178" s="156"/>
      <c r="AY2178" s="156"/>
      <c r="AZ2178" s="156"/>
      <c r="BA2178" s="156"/>
      <c r="BB2178" s="2828"/>
      <c r="BC2178" s="452"/>
      <c r="BD2178" s="2829"/>
      <c r="BE2178" s="2837"/>
      <c r="BF2178" s="156"/>
    </row>
    <row r="2179" spans="1:58" ht="15" customHeight="1" outlineLevel="1" x14ac:dyDescent="0.35">
      <c r="A2179" s="1664"/>
      <c r="B2179" s="2812"/>
      <c r="C2179" s="3077"/>
      <c r="D2179" s="3980"/>
      <c r="E2179" s="3883"/>
      <c r="F2179" s="3984" t="str">
        <f>$E$1626</f>
        <v>ASHP-SEER16-Replace_CAC_ElectricHeat_ER1_MF_CompE</v>
      </c>
      <c r="G2179" s="3984"/>
      <c r="H2179" s="3984"/>
      <c r="I2179" s="3984"/>
      <c r="J2179" s="3501" t="str">
        <f>$C$1626</f>
        <v>353001_2021_12_</v>
      </c>
      <c r="K2179" s="3421">
        <v>510</v>
      </c>
      <c r="L2179" s="704"/>
      <c r="M2179" s="3038" t="s">
        <v>1508</v>
      </c>
      <c r="N2179" s="106"/>
      <c r="O2179" s="106"/>
      <c r="P2179" s="702"/>
      <c r="Q2179" s="702"/>
      <c r="R2179" s="702"/>
      <c r="S2179" s="106"/>
      <c r="T2179" s="486"/>
      <c r="U2179" s="106"/>
      <c r="V2179" s="3980"/>
      <c r="W2179" s="3421"/>
      <c r="X2179" s="2374"/>
      <c r="Y2179" s="2374">
        <v>510</v>
      </c>
      <c r="Z2179" s="3421">
        <v>510</v>
      </c>
      <c r="AA2179" s="3421">
        <v>510</v>
      </c>
      <c r="AB2179" s="3421">
        <v>510</v>
      </c>
      <c r="AC2179" s="3428">
        <v>510</v>
      </c>
      <c r="AD2179" s="3421">
        <v>510</v>
      </c>
      <c r="AE2179" s="3429"/>
      <c r="AF2179" s="3421"/>
      <c r="AG2179" s="3421"/>
      <c r="AH2179" s="156"/>
      <c r="AI2179" s="156"/>
      <c r="AJ2179" s="156"/>
      <c r="AK2179" s="156"/>
      <c r="AL2179" s="156"/>
      <c r="AM2179" s="156"/>
      <c r="AN2179" s="156"/>
      <c r="AO2179" s="156"/>
      <c r="AP2179" s="156"/>
      <c r="AQ2179" s="156"/>
      <c r="AR2179" s="156"/>
      <c r="AS2179" s="156"/>
      <c r="AT2179" s="156"/>
      <c r="AU2179" s="156"/>
      <c r="AV2179" s="156"/>
      <c r="AW2179" s="156"/>
      <c r="AX2179" s="156"/>
      <c r="AY2179" s="156"/>
      <c r="AZ2179" s="156"/>
      <c r="BA2179" s="156"/>
      <c r="BB2179" s="2828"/>
      <c r="BC2179" s="452"/>
      <c r="BD2179" s="2829"/>
      <c r="BE2179" s="2837"/>
      <c r="BF2179" s="156"/>
    </row>
    <row r="2180" spans="1:58" ht="15" customHeight="1" outlineLevel="1" x14ac:dyDescent="0.35">
      <c r="A2180" s="1664"/>
      <c r="B2180" s="2812"/>
      <c r="C2180" s="3077"/>
      <c r="D2180" s="3980"/>
      <c r="E2180" s="3883"/>
      <c r="F2180" s="3984" t="str">
        <f>$E$1628</f>
        <v>ASHP-SEER16-Replace_CAC_ElectricHeat_ER2_MF_CompE</v>
      </c>
      <c r="G2180" s="3984"/>
      <c r="H2180" s="3984"/>
      <c r="I2180" s="3984"/>
      <c r="J2180" s="3501" t="str">
        <f>$C$1628</f>
        <v>353001_2021_12_</v>
      </c>
      <c r="K2180" s="3421">
        <v>510</v>
      </c>
      <c r="L2180" s="704"/>
      <c r="M2180" s="3038" t="s">
        <v>1508</v>
      </c>
      <c r="N2180" s="106"/>
      <c r="O2180" s="106"/>
      <c r="P2180" s="702"/>
      <c r="Q2180" s="702"/>
      <c r="R2180" s="702"/>
      <c r="S2180" s="106"/>
      <c r="T2180" s="486"/>
      <c r="U2180" s="106"/>
      <c r="V2180" s="3980"/>
      <c r="W2180" s="3421"/>
      <c r="X2180" s="2374"/>
      <c r="Y2180" s="2374">
        <v>510</v>
      </c>
      <c r="Z2180" s="3421">
        <v>510</v>
      </c>
      <c r="AA2180" s="3421">
        <v>510</v>
      </c>
      <c r="AB2180" s="3421">
        <v>510</v>
      </c>
      <c r="AC2180" s="3428">
        <v>510</v>
      </c>
      <c r="AD2180" s="3421">
        <v>510</v>
      </c>
      <c r="AE2180" s="3429"/>
      <c r="AF2180" s="3421"/>
      <c r="AG2180" s="3421"/>
      <c r="AH2180" s="156"/>
      <c r="AI2180" s="156"/>
      <c r="AJ2180" s="156"/>
      <c r="AK2180" s="156"/>
      <c r="AL2180" s="156"/>
      <c r="AM2180" s="156"/>
      <c r="AN2180" s="156"/>
      <c r="AO2180" s="156"/>
      <c r="AP2180" s="156"/>
      <c r="AQ2180" s="156"/>
      <c r="AR2180" s="156"/>
      <c r="AS2180" s="156"/>
      <c r="AT2180" s="156"/>
      <c r="AU2180" s="156"/>
      <c r="AV2180" s="156"/>
      <c r="AW2180" s="156"/>
      <c r="AX2180" s="156"/>
      <c r="AY2180" s="156"/>
      <c r="AZ2180" s="156"/>
      <c r="BA2180" s="156"/>
      <c r="BB2180" s="2828"/>
      <c r="BC2180" s="452"/>
      <c r="BD2180" s="2829"/>
      <c r="BE2180" s="2837"/>
      <c r="BF2180" s="156"/>
    </row>
    <row r="2181" spans="1:58" ht="15" customHeight="1" outlineLevel="1" x14ac:dyDescent="0.35">
      <c r="A2181" s="1664"/>
      <c r="B2181" s="2812"/>
      <c r="C2181" s="3077"/>
      <c r="D2181" s="3980"/>
      <c r="E2181" s="3883"/>
      <c r="F2181" s="3984" t="str">
        <f>$E$1630</f>
        <v>ASHP-SEER16-Replace_CAC_NonElectricHeat_ER1_MF</v>
      </c>
      <c r="G2181" s="3984"/>
      <c r="H2181" s="3984"/>
      <c r="I2181" s="3984"/>
      <c r="J2181" s="3501" t="str">
        <f>$C$1630</f>
        <v>353010_2021_12_</v>
      </c>
      <c r="K2181" s="2042">
        <v>1496</v>
      </c>
      <c r="L2181" s="704"/>
      <c r="M2181" s="3038"/>
      <c r="N2181" s="106"/>
      <c r="O2181" s="106"/>
      <c r="P2181" s="702"/>
      <c r="Q2181" s="702"/>
      <c r="R2181" s="702"/>
      <c r="S2181" s="106"/>
      <c r="T2181" s="486"/>
      <c r="U2181" s="106"/>
      <c r="V2181" s="3980"/>
      <c r="W2181" s="3421"/>
      <c r="X2181" s="2374"/>
      <c r="Y2181" s="2374"/>
      <c r="Z2181" s="3421"/>
      <c r="AA2181" s="3421"/>
      <c r="AB2181" s="3421"/>
      <c r="AC2181" s="2292">
        <v>1496</v>
      </c>
      <c r="AD2181" s="2042">
        <v>1496</v>
      </c>
      <c r="AE2181" s="3429"/>
      <c r="AF2181" s="3421"/>
      <c r="AG2181" s="3421"/>
      <c r="AH2181" s="156"/>
      <c r="AI2181" s="156"/>
      <c r="AJ2181" s="156"/>
      <c r="AK2181" s="156"/>
      <c r="AL2181" s="156"/>
      <c r="AM2181" s="156"/>
      <c r="AN2181" s="156"/>
      <c r="AO2181" s="156"/>
      <c r="AP2181" s="156"/>
      <c r="AQ2181" s="156"/>
      <c r="AR2181" s="156"/>
      <c r="AS2181" s="156"/>
      <c r="AT2181" s="156"/>
      <c r="AU2181" s="156"/>
      <c r="AV2181" s="156"/>
      <c r="AW2181" s="156"/>
      <c r="AX2181" s="156"/>
      <c r="AY2181" s="156"/>
      <c r="AZ2181" s="156"/>
      <c r="BA2181" s="156"/>
      <c r="BB2181" s="2828"/>
      <c r="BC2181" s="452"/>
      <c r="BD2181" s="2829"/>
      <c r="BE2181" s="2837"/>
      <c r="BF2181" s="156"/>
    </row>
    <row r="2182" spans="1:58" ht="15" customHeight="1" outlineLevel="1" x14ac:dyDescent="0.35">
      <c r="A2182" s="1664"/>
      <c r="B2182" s="2812"/>
      <c r="C2182" s="3077"/>
      <c r="D2182" s="3980"/>
      <c r="E2182" s="3883"/>
      <c r="F2182" s="3984" t="str">
        <f>$E$1632</f>
        <v>ASHP-SEER16-Replace_CAC_NonElectricHeat_ER2_MF</v>
      </c>
      <c r="G2182" s="3984"/>
      <c r="H2182" s="3984"/>
      <c r="I2182" s="3984"/>
      <c r="J2182" s="3501" t="str">
        <f>$C$1632</f>
        <v>353010_2021_12_</v>
      </c>
      <c r="K2182" s="2042">
        <v>1496</v>
      </c>
      <c r="L2182" s="704"/>
      <c r="M2182" s="3038"/>
      <c r="N2182" s="106"/>
      <c r="O2182" s="106"/>
      <c r="P2182" s="702"/>
      <c r="Q2182" s="702"/>
      <c r="R2182" s="702"/>
      <c r="S2182" s="106"/>
      <c r="T2182" s="486"/>
      <c r="U2182" s="106"/>
      <c r="V2182" s="3980"/>
      <c r="W2182" s="3421"/>
      <c r="X2182" s="2374"/>
      <c r="Y2182" s="2374"/>
      <c r="Z2182" s="3421"/>
      <c r="AA2182" s="3421"/>
      <c r="AB2182" s="3421"/>
      <c r="AC2182" s="2292">
        <v>1496</v>
      </c>
      <c r="AD2182" s="2042">
        <v>1496</v>
      </c>
      <c r="AE2182" s="3429"/>
      <c r="AF2182" s="3421"/>
      <c r="AG2182" s="3421"/>
      <c r="AH2182" s="156"/>
      <c r="AI2182" s="156"/>
      <c r="AJ2182" s="156"/>
      <c r="AK2182" s="156"/>
      <c r="AL2182" s="156"/>
      <c r="AM2182" s="156"/>
      <c r="AN2182" s="156"/>
      <c r="AO2182" s="156"/>
      <c r="AP2182" s="156"/>
      <c r="AQ2182" s="156"/>
      <c r="AR2182" s="156"/>
      <c r="AS2182" s="156"/>
      <c r="AT2182" s="156"/>
      <c r="AU2182" s="156"/>
      <c r="AV2182" s="156"/>
      <c r="AW2182" s="156"/>
      <c r="AX2182" s="156"/>
      <c r="AY2182" s="156"/>
      <c r="AZ2182" s="156"/>
      <c r="BA2182" s="156"/>
      <c r="BB2182" s="2828"/>
      <c r="BC2182" s="452"/>
      <c r="BD2182" s="2829"/>
      <c r="BE2182" s="2837"/>
      <c r="BF2182" s="156"/>
    </row>
    <row r="2183" spans="1:58" ht="15" customHeight="1" outlineLevel="1" x14ac:dyDescent="0.35">
      <c r="A2183" s="1664"/>
      <c r="B2183" s="2812"/>
      <c r="C2183" s="3077"/>
      <c r="D2183" s="3980"/>
      <c r="E2183" s="3883"/>
      <c r="F2183" s="3984" t="str">
        <f>$E$1634</f>
        <v>ASHP-SEER16-Replace_CAC_NonElectricHeat_ER1_MF_CompE</v>
      </c>
      <c r="G2183" s="3984"/>
      <c r="H2183" s="3984"/>
      <c r="I2183" s="3984"/>
      <c r="J2183" s="3501" t="str">
        <f>$C$1634</f>
        <v>353011_2021_12_</v>
      </c>
      <c r="K2183" s="2042">
        <v>510</v>
      </c>
      <c r="L2183" s="704"/>
      <c r="M2183" s="3038"/>
      <c r="N2183" s="106"/>
      <c r="O2183" s="106"/>
      <c r="P2183" s="702"/>
      <c r="Q2183" s="702"/>
      <c r="R2183" s="702"/>
      <c r="S2183" s="106"/>
      <c r="T2183" s="486"/>
      <c r="U2183" s="106"/>
      <c r="V2183" s="3980"/>
      <c r="W2183" s="3421"/>
      <c r="X2183" s="2374"/>
      <c r="Y2183" s="2374"/>
      <c r="Z2183" s="3421"/>
      <c r="AA2183" s="3421"/>
      <c r="AB2183" s="3421"/>
      <c r="AC2183" s="2292">
        <v>510</v>
      </c>
      <c r="AD2183" s="2042">
        <v>510</v>
      </c>
      <c r="AE2183" s="3429"/>
      <c r="AF2183" s="3421"/>
      <c r="AG2183" s="3421"/>
      <c r="AH2183" s="156"/>
      <c r="AI2183" s="156"/>
      <c r="AJ2183" s="156"/>
      <c r="AK2183" s="156"/>
      <c r="AL2183" s="156"/>
      <c r="AM2183" s="156"/>
      <c r="AN2183" s="156"/>
      <c r="AO2183" s="156"/>
      <c r="AP2183" s="156"/>
      <c r="AQ2183" s="156"/>
      <c r="AR2183" s="156"/>
      <c r="AS2183" s="156"/>
      <c r="AT2183" s="156"/>
      <c r="AU2183" s="156"/>
      <c r="AV2183" s="156"/>
      <c r="AW2183" s="156"/>
      <c r="AX2183" s="156"/>
      <c r="AY2183" s="156"/>
      <c r="AZ2183" s="156"/>
      <c r="BA2183" s="156"/>
      <c r="BB2183" s="2828"/>
      <c r="BC2183" s="452"/>
      <c r="BD2183" s="2829"/>
      <c r="BE2183" s="2837"/>
      <c r="BF2183" s="156"/>
    </row>
    <row r="2184" spans="1:58" ht="15" customHeight="1" outlineLevel="1" x14ac:dyDescent="0.35">
      <c r="A2184" s="1664"/>
      <c r="B2184" s="2812"/>
      <c r="C2184" s="3077"/>
      <c r="D2184" s="3980"/>
      <c r="E2184" s="3883"/>
      <c r="F2184" s="3984" t="str">
        <f>$E$1636</f>
        <v>ASHP-SEER16-Replace_CAC_NonElectricHeat_ER2_MF_CompE</v>
      </c>
      <c r="G2184" s="3984"/>
      <c r="H2184" s="3984"/>
      <c r="I2184" s="3984"/>
      <c r="J2184" s="3501" t="str">
        <f>$C$1636</f>
        <v>353011_2021_12_</v>
      </c>
      <c r="K2184" s="2042">
        <v>510</v>
      </c>
      <c r="L2184" s="704"/>
      <c r="M2184" s="3038"/>
      <c r="N2184" s="106"/>
      <c r="O2184" s="106"/>
      <c r="P2184" s="702"/>
      <c r="Q2184" s="702"/>
      <c r="R2184" s="702"/>
      <c r="S2184" s="106"/>
      <c r="T2184" s="486"/>
      <c r="U2184" s="106"/>
      <c r="V2184" s="3980"/>
      <c r="W2184" s="3421"/>
      <c r="X2184" s="2374"/>
      <c r="Y2184" s="2374"/>
      <c r="Z2184" s="3421"/>
      <c r="AA2184" s="3421"/>
      <c r="AB2184" s="3421"/>
      <c r="AC2184" s="2292">
        <v>510</v>
      </c>
      <c r="AD2184" s="2042">
        <v>510</v>
      </c>
      <c r="AE2184" s="3429"/>
      <c r="AF2184" s="3421"/>
      <c r="AG2184" s="3421"/>
      <c r="AH2184" s="156"/>
      <c r="AI2184" s="156"/>
      <c r="AJ2184" s="156"/>
      <c r="AK2184" s="156"/>
      <c r="AL2184" s="156"/>
      <c r="AM2184" s="156"/>
      <c r="AN2184" s="156"/>
      <c r="AO2184" s="156"/>
      <c r="AP2184" s="156"/>
      <c r="AQ2184" s="156"/>
      <c r="AR2184" s="156"/>
      <c r="AS2184" s="156"/>
      <c r="AT2184" s="156"/>
      <c r="AU2184" s="156"/>
      <c r="AV2184" s="156"/>
      <c r="AW2184" s="156"/>
      <c r="AX2184" s="156"/>
      <c r="AY2184" s="156"/>
      <c r="AZ2184" s="156"/>
      <c r="BA2184" s="156"/>
      <c r="BB2184" s="2828"/>
      <c r="BC2184" s="452"/>
      <c r="BD2184" s="2829"/>
      <c r="BE2184" s="2837"/>
      <c r="BF2184" s="156"/>
    </row>
    <row r="2185" spans="1:58" ht="15" customHeight="1" outlineLevel="1" x14ac:dyDescent="0.35">
      <c r="A2185" s="1664"/>
      <c r="B2185" s="2812"/>
      <c r="C2185" s="3077"/>
      <c r="D2185" s="3980"/>
      <c r="E2185" s="3883"/>
      <c r="F2185" s="3984" t="str">
        <f>$E$1638</f>
        <v>ASHP-SEER15_ROF_MF</v>
      </c>
      <c r="G2185" s="3984"/>
      <c r="H2185" s="3984"/>
      <c r="I2185" s="3984"/>
      <c r="J2185" s="3501" t="str">
        <f>$C$1638</f>
        <v>353050_2021_12_</v>
      </c>
      <c r="K2185" s="3421">
        <v>1496</v>
      </c>
      <c r="L2185" s="704"/>
      <c r="M2185" s="3038"/>
      <c r="N2185" s="106"/>
      <c r="O2185" s="106"/>
      <c r="P2185" s="702"/>
      <c r="Q2185" s="702"/>
      <c r="R2185" s="702"/>
      <c r="S2185" s="106"/>
      <c r="T2185" s="486"/>
      <c r="U2185" s="106"/>
      <c r="V2185" s="3980"/>
      <c r="W2185" s="3421">
        <v>2009</v>
      </c>
      <c r="X2185" s="2374">
        <v>1496</v>
      </c>
      <c r="Y2185" s="3421">
        <v>1496</v>
      </c>
      <c r="Z2185" s="3421">
        <v>1496</v>
      </c>
      <c r="AA2185" s="3421">
        <v>1496</v>
      </c>
      <c r="AB2185" s="3421">
        <v>1496</v>
      </c>
      <c r="AC2185" s="3428">
        <v>1496</v>
      </c>
      <c r="AD2185" s="3421">
        <v>1496</v>
      </c>
      <c r="AE2185" s="3429"/>
      <c r="AF2185" s="3421"/>
      <c r="AG2185" s="3421"/>
      <c r="AH2185" s="156"/>
      <c r="AI2185" s="156"/>
      <c r="AJ2185" s="156"/>
      <c r="AK2185" s="156"/>
      <c r="AL2185" s="156"/>
      <c r="AM2185" s="156"/>
      <c r="AN2185" s="156"/>
      <c r="AO2185" s="156"/>
      <c r="AP2185" s="156"/>
      <c r="AQ2185" s="156"/>
      <c r="AR2185" s="156"/>
      <c r="AS2185" s="156"/>
      <c r="AT2185" s="156"/>
      <c r="AU2185" s="156"/>
      <c r="AV2185" s="156"/>
      <c r="AW2185" s="156"/>
      <c r="AX2185" s="156"/>
      <c r="AY2185" s="156"/>
      <c r="AZ2185" s="156"/>
      <c r="BA2185" s="156"/>
      <c r="BB2185" s="2828"/>
      <c r="BC2185" s="452"/>
      <c r="BD2185" s="2829"/>
      <c r="BE2185" s="2837"/>
      <c r="BF2185" s="156"/>
    </row>
    <row r="2186" spans="1:58" ht="15" customHeight="1" outlineLevel="1" x14ac:dyDescent="0.35">
      <c r="A2186" s="1664"/>
      <c r="B2186" s="2812"/>
      <c r="C2186" s="3077"/>
      <c r="D2186" s="3980"/>
      <c r="E2186" s="3883"/>
      <c r="F2186" s="3984" t="str">
        <f>$E$1640</f>
        <v>ASHP-SEER15_ROF_MF_CompE</v>
      </c>
      <c r="G2186" s="3984"/>
      <c r="H2186" s="3984"/>
      <c r="I2186" s="3984"/>
      <c r="J2186" s="3501" t="str">
        <f>$C$1640</f>
        <v>353051_2021_12_</v>
      </c>
      <c r="K2186" s="3421">
        <v>510</v>
      </c>
      <c r="L2186" s="704"/>
      <c r="M2186" s="3038" t="s">
        <v>1508</v>
      </c>
      <c r="N2186" s="106"/>
      <c r="O2186" s="106"/>
      <c r="P2186" s="702"/>
      <c r="Q2186" s="702"/>
      <c r="R2186" s="702"/>
      <c r="S2186" s="106"/>
      <c r="T2186" s="486"/>
      <c r="U2186" s="106"/>
      <c r="V2186" s="3980"/>
      <c r="W2186" s="3421"/>
      <c r="X2186" s="2374"/>
      <c r="Y2186" s="2374">
        <v>510</v>
      </c>
      <c r="Z2186" s="3421">
        <v>510</v>
      </c>
      <c r="AA2186" s="3421">
        <v>510</v>
      </c>
      <c r="AB2186" s="3421">
        <v>510</v>
      </c>
      <c r="AC2186" s="3428">
        <v>510</v>
      </c>
      <c r="AD2186" s="3421">
        <v>510</v>
      </c>
      <c r="AE2186" s="3429"/>
      <c r="AF2186" s="3421"/>
      <c r="AG2186" s="3421"/>
      <c r="AH2186" s="156"/>
      <c r="AI2186" s="156"/>
      <c r="AJ2186" s="156"/>
      <c r="AK2186" s="156"/>
      <c r="AL2186" s="156"/>
      <c r="AM2186" s="156"/>
      <c r="AN2186" s="156"/>
      <c r="AO2186" s="156"/>
      <c r="AP2186" s="156"/>
      <c r="AQ2186" s="156"/>
      <c r="AR2186" s="156"/>
      <c r="AS2186" s="156"/>
      <c r="AT2186" s="156"/>
      <c r="AU2186" s="156"/>
      <c r="AV2186" s="156"/>
      <c r="AW2186" s="156"/>
      <c r="AX2186" s="156"/>
      <c r="AY2186" s="156"/>
      <c r="AZ2186" s="156"/>
      <c r="BA2186" s="156"/>
      <c r="BB2186" s="2828"/>
      <c r="BC2186" s="452"/>
      <c r="BD2186" s="2829"/>
      <c r="BE2186" s="2837"/>
      <c r="BF2186" s="156"/>
    </row>
    <row r="2187" spans="1:58" ht="15" customHeight="1" outlineLevel="1" x14ac:dyDescent="0.35">
      <c r="A2187" s="1664"/>
      <c r="B2187" s="2812"/>
      <c r="C2187" s="3077"/>
      <c r="D2187" s="3980"/>
      <c r="E2187" s="3883"/>
      <c r="F2187" s="3984" t="str">
        <f>$E$1642</f>
        <v>ASHP-SEER17-Replace_CAC_ElectricHeat_ROF_SF</v>
      </c>
      <c r="G2187" s="3984"/>
      <c r="H2187" s="3984"/>
      <c r="I2187" s="3984"/>
      <c r="J2187" s="3501" t="str">
        <f>$C$1642</f>
        <v>353100_2021_12_</v>
      </c>
      <c r="K2187" s="3421">
        <v>1496</v>
      </c>
      <c r="L2187" s="704"/>
      <c r="M2187" s="3038"/>
      <c r="N2187" s="106"/>
      <c r="O2187" s="106"/>
      <c r="P2187" s="702"/>
      <c r="Q2187" s="702"/>
      <c r="R2187" s="702"/>
      <c r="S2187" s="106"/>
      <c r="T2187" s="486"/>
      <c r="U2187" s="106"/>
      <c r="V2187" s="3980"/>
      <c r="W2187" s="3421">
        <v>2009</v>
      </c>
      <c r="X2187" s="2374">
        <v>1496</v>
      </c>
      <c r="Y2187" s="3421">
        <v>1496</v>
      </c>
      <c r="Z2187" s="3421">
        <v>1496</v>
      </c>
      <c r="AA2187" s="3421">
        <v>1496</v>
      </c>
      <c r="AB2187" s="3421">
        <v>1496</v>
      </c>
      <c r="AC2187" s="3428">
        <v>1496</v>
      </c>
      <c r="AD2187" s="3421">
        <v>1496</v>
      </c>
      <c r="AE2187" s="3429"/>
      <c r="AF2187" s="3421"/>
      <c r="AG2187" s="3421"/>
      <c r="AH2187" s="156"/>
      <c r="AI2187" s="156"/>
      <c r="AJ2187" s="156"/>
      <c r="AK2187" s="156"/>
      <c r="AL2187" s="156"/>
      <c r="AM2187" s="156"/>
      <c r="AN2187" s="156"/>
      <c r="AO2187" s="156"/>
      <c r="AP2187" s="156"/>
      <c r="AQ2187" s="156"/>
      <c r="AR2187" s="156"/>
      <c r="AS2187" s="156"/>
      <c r="AT2187" s="156"/>
      <c r="AU2187" s="156"/>
      <c r="AV2187" s="156"/>
      <c r="AW2187" s="156"/>
      <c r="AX2187" s="156"/>
      <c r="AY2187" s="156"/>
      <c r="AZ2187" s="156"/>
      <c r="BA2187" s="156"/>
      <c r="BB2187" s="2828"/>
      <c r="BC2187" s="452"/>
      <c r="BD2187" s="2829"/>
      <c r="BE2187" s="2837"/>
      <c r="BF2187" s="156"/>
    </row>
    <row r="2188" spans="1:58" s="3398" customFormat="1" ht="15" customHeight="1" outlineLevel="1" x14ac:dyDescent="0.35">
      <c r="A2188" s="1664"/>
      <c r="B2188" s="2812"/>
      <c r="C2188" s="3077"/>
      <c r="D2188" s="3980"/>
      <c r="E2188" s="3883"/>
      <c r="F2188" s="4136" t="str">
        <f>$E$1644</f>
        <v>ASHP-SEER17-Replace_CAC_NonElectricHeat_ROF_SF</v>
      </c>
      <c r="G2188" s="4136"/>
      <c r="H2188" s="4136"/>
      <c r="I2188" s="4136"/>
      <c r="J2188" s="3502" t="str">
        <f>$C$1644</f>
        <v>353110_2022_12_</v>
      </c>
      <c r="K2188" s="2374">
        <v>1496</v>
      </c>
      <c r="L2188" s="704"/>
      <c r="M2188" s="3038"/>
      <c r="P2188" s="702"/>
      <c r="Q2188" s="702"/>
      <c r="R2188" s="702"/>
      <c r="T2188" s="3397"/>
      <c r="V2188" s="3980"/>
      <c r="W2188" s="3421"/>
      <c r="X2188" s="2374"/>
      <c r="Y2188" s="3421"/>
      <c r="Z2188" s="3421"/>
      <c r="AA2188" s="3421"/>
      <c r="AB2188" s="3421"/>
      <c r="AC2188" s="3428"/>
      <c r="AD2188" s="2374">
        <v>1496</v>
      </c>
      <c r="AE2188" s="3429"/>
      <c r="AF2188" s="3421"/>
      <c r="AG2188" s="3421"/>
      <c r="AH2188" s="156"/>
      <c r="AI2188" s="156"/>
      <c r="AJ2188" s="156"/>
      <c r="AK2188" s="156"/>
      <c r="AL2188" s="156"/>
      <c r="AM2188" s="156"/>
      <c r="AN2188" s="156"/>
      <c r="AO2188" s="156"/>
      <c r="AP2188" s="156"/>
      <c r="AQ2188" s="156"/>
      <c r="AR2188" s="156"/>
      <c r="AS2188" s="156"/>
      <c r="AT2188" s="156"/>
      <c r="AU2188" s="156"/>
      <c r="AV2188" s="156"/>
      <c r="AW2188" s="156"/>
      <c r="AX2188" s="156"/>
      <c r="AY2188" s="156"/>
      <c r="AZ2188" s="156"/>
      <c r="BA2188" s="156"/>
      <c r="BB2188" s="2828"/>
      <c r="BC2188" s="452"/>
      <c r="BD2188" s="2829"/>
      <c r="BE2188" s="2837"/>
      <c r="BF2188" s="156"/>
    </row>
    <row r="2189" spans="1:58" ht="15" customHeight="1" outlineLevel="1" x14ac:dyDescent="0.35">
      <c r="A2189" s="1664"/>
      <c r="B2189" s="2812"/>
      <c r="C2189" s="3077"/>
      <c r="D2189" s="3980"/>
      <c r="E2189" s="3883"/>
      <c r="F2189" s="3984" t="str">
        <f>$E$1646</f>
        <v>ASHP-SEER17-Replace_CAC_ElectricHeat_ROF_MF</v>
      </c>
      <c r="G2189" s="3984"/>
      <c r="H2189" s="3984"/>
      <c r="I2189" s="3984"/>
      <c r="J2189" s="3501" t="str">
        <f>$C$1646</f>
        <v>353150_2019_12_</v>
      </c>
      <c r="K2189" s="3421">
        <v>1496</v>
      </c>
      <c r="L2189" s="704"/>
      <c r="M2189" s="3038"/>
      <c r="N2189" s="106"/>
      <c r="O2189" s="106"/>
      <c r="P2189" s="702"/>
      <c r="Q2189" s="702"/>
      <c r="R2189" s="702"/>
      <c r="S2189" s="106"/>
      <c r="T2189" s="486"/>
      <c r="U2189" s="106"/>
      <c r="V2189" s="3980"/>
      <c r="W2189" s="3421">
        <v>2009</v>
      </c>
      <c r="X2189" s="2374">
        <v>1496</v>
      </c>
      <c r="Y2189" s="3421">
        <v>1496</v>
      </c>
      <c r="Z2189" s="3421">
        <v>1496</v>
      </c>
      <c r="AA2189" s="3421">
        <v>1496</v>
      </c>
      <c r="AB2189" s="3421">
        <v>1496</v>
      </c>
      <c r="AC2189" s="3428">
        <v>1496</v>
      </c>
      <c r="AD2189" s="3421">
        <v>1496</v>
      </c>
      <c r="AE2189" s="3429"/>
      <c r="AF2189" s="3421"/>
      <c r="AG2189" s="3421"/>
      <c r="AH2189" s="156"/>
      <c r="AI2189" s="156"/>
      <c r="AJ2189" s="156"/>
      <c r="AK2189" s="156"/>
      <c r="AL2189" s="156"/>
      <c r="AM2189" s="156"/>
      <c r="AN2189" s="156"/>
      <c r="AO2189" s="156"/>
      <c r="AP2189" s="156"/>
      <c r="AQ2189" s="156"/>
      <c r="AR2189" s="156"/>
      <c r="AS2189" s="156"/>
      <c r="AT2189" s="156"/>
      <c r="AU2189" s="156"/>
      <c r="AV2189" s="156"/>
      <c r="AW2189" s="156"/>
      <c r="AX2189" s="156"/>
      <c r="AY2189" s="156"/>
      <c r="AZ2189" s="156"/>
      <c r="BA2189" s="156"/>
      <c r="BB2189" s="2828"/>
      <c r="BC2189" s="452"/>
      <c r="BD2189" s="2829"/>
      <c r="BE2189" s="2837"/>
      <c r="BF2189" s="156"/>
    </row>
    <row r="2190" spans="1:58" ht="15" customHeight="1" outlineLevel="1" x14ac:dyDescent="0.35">
      <c r="A2190" s="1664"/>
      <c r="B2190" s="2812"/>
      <c r="C2190" s="3077"/>
      <c r="D2190" s="3980"/>
      <c r="E2190" s="3883"/>
      <c r="F2190" s="3984" t="str">
        <f>$E$1648</f>
        <v>ASHP-SEER17-Replace_CAC_ElectricHeat_ROF_MF_CompE</v>
      </c>
      <c r="G2190" s="3984"/>
      <c r="H2190" s="3984"/>
      <c r="I2190" s="3984"/>
      <c r="J2190" s="3501" t="str">
        <f>$C$1648</f>
        <v>353151_2019_12_</v>
      </c>
      <c r="K2190" s="3421">
        <v>510</v>
      </c>
      <c r="L2190" s="704"/>
      <c r="M2190" s="3038" t="s">
        <v>1508</v>
      </c>
      <c r="N2190" s="106"/>
      <c r="O2190" s="106"/>
      <c r="P2190" s="702"/>
      <c r="Q2190" s="702"/>
      <c r="R2190" s="702"/>
      <c r="S2190" s="106"/>
      <c r="T2190" s="486"/>
      <c r="U2190" s="106"/>
      <c r="V2190" s="3980"/>
      <c r="W2190" s="3421"/>
      <c r="X2190" s="2374"/>
      <c r="Y2190" s="2374">
        <v>510</v>
      </c>
      <c r="Z2190" s="3421">
        <v>510</v>
      </c>
      <c r="AA2190" s="3421">
        <v>510</v>
      </c>
      <c r="AB2190" s="3421">
        <v>510</v>
      </c>
      <c r="AC2190" s="3428">
        <v>510</v>
      </c>
      <c r="AD2190" s="3421">
        <v>510</v>
      </c>
      <c r="AE2190" s="3429"/>
      <c r="AF2190" s="3421"/>
      <c r="AG2190" s="3421"/>
      <c r="AH2190" s="156"/>
      <c r="AI2190" s="156"/>
      <c r="AJ2190" s="156"/>
      <c r="AK2190" s="156"/>
      <c r="AL2190" s="156"/>
      <c r="AM2190" s="156"/>
      <c r="AN2190" s="156"/>
      <c r="AO2190" s="156"/>
      <c r="AP2190" s="156"/>
      <c r="AQ2190" s="156"/>
      <c r="AR2190" s="156"/>
      <c r="AS2190" s="156"/>
      <c r="AT2190" s="156"/>
      <c r="AU2190" s="156"/>
      <c r="AV2190" s="156"/>
      <c r="AW2190" s="156"/>
      <c r="AX2190" s="156"/>
      <c r="AY2190" s="156"/>
      <c r="AZ2190" s="156"/>
      <c r="BA2190" s="156"/>
      <c r="BB2190" s="2828"/>
      <c r="BC2190" s="452"/>
      <c r="BD2190" s="2829"/>
      <c r="BE2190" s="2837"/>
      <c r="BF2190" s="156"/>
    </row>
    <row r="2191" spans="1:58" ht="15" customHeight="1" outlineLevel="1" x14ac:dyDescent="0.35">
      <c r="A2191" s="1664"/>
      <c r="B2191" s="2812"/>
      <c r="C2191" s="3077"/>
      <c r="D2191" s="3980"/>
      <c r="E2191" s="3883"/>
      <c r="F2191" s="3984" t="str">
        <f>$E$1650</f>
        <v>ASHP-SEER17-Replace_CAC_NonElectricHeat_ROF_MF</v>
      </c>
      <c r="G2191" s="3984"/>
      <c r="H2191" s="3984"/>
      <c r="I2191" s="3984"/>
      <c r="J2191" s="3501" t="str">
        <f>$C$1650</f>
        <v>353160_2021_12_</v>
      </c>
      <c r="K2191" s="2042">
        <v>1496</v>
      </c>
      <c r="L2191" s="704"/>
      <c r="M2191" s="3038"/>
      <c r="N2191" s="106"/>
      <c r="O2191" s="106"/>
      <c r="P2191" s="702"/>
      <c r="Q2191" s="702"/>
      <c r="R2191" s="702"/>
      <c r="S2191" s="106"/>
      <c r="T2191" s="486"/>
      <c r="U2191" s="106"/>
      <c r="V2191" s="3980"/>
      <c r="W2191" s="3421"/>
      <c r="X2191" s="2374"/>
      <c r="Y2191" s="2374"/>
      <c r="Z2191" s="3421"/>
      <c r="AA2191" s="3421"/>
      <c r="AB2191" s="3421"/>
      <c r="AC2191" s="2292">
        <v>1496</v>
      </c>
      <c r="AD2191" s="2042">
        <v>1496</v>
      </c>
      <c r="AE2191" s="3429"/>
      <c r="AF2191" s="3421"/>
      <c r="AG2191" s="3421"/>
      <c r="AH2191" s="156"/>
      <c r="AI2191" s="156"/>
      <c r="AJ2191" s="156"/>
      <c r="AK2191" s="156"/>
      <c r="AL2191" s="156"/>
      <c r="AM2191" s="156"/>
      <c r="AN2191" s="156"/>
      <c r="AO2191" s="156"/>
      <c r="AP2191" s="156"/>
      <c r="AQ2191" s="156"/>
      <c r="AR2191" s="156"/>
      <c r="AS2191" s="156"/>
      <c r="AT2191" s="156"/>
      <c r="AU2191" s="156"/>
      <c r="AV2191" s="156"/>
      <c r="AW2191" s="156"/>
      <c r="AX2191" s="156"/>
      <c r="AY2191" s="156"/>
      <c r="AZ2191" s="156"/>
      <c r="BA2191" s="156"/>
      <c r="BB2191" s="2828"/>
      <c r="BC2191" s="452"/>
      <c r="BD2191" s="2829"/>
      <c r="BE2191" s="2837"/>
      <c r="BF2191" s="156"/>
    </row>
    <row r="2192" spans="1:58" ht="15" customHeight="1" outlineLevel="1" x14ac:dyDescent="0.35">
      <c r="A2192" s="1664"/>
      <c r="B2192" s="2812"/>
      <c r="C2192" s="3077"/>
      <c r="D2192" s="3980"/>
      <c r="E2192" s="3883"/>
      <c r="F2192" s="3984" t="str">
        <f>$E$1652</f>
        <v>ASHP-SEER17-Replace_CAC_NonElectricHeat_ROF_MF_CompE</v>
      </c>
      <c r="G2192" s="3984"/>
      <c r="H2192" s="3984"/>
      <c r="I2192" s="3984"/>
      <c r="J2192" s="3501" t="str">
        <f>$C$1652</f>
        <v>353161_2021_12_</v>
      </c>
      <c r="K2192" s="2042">
        <v>510</v>
      </c>
      <c r="L2192" s="704"/>
      <c r="M2192" s="3038"/>
      <c r="N2192" s="106"/>
      <c r="O2192" s="106"/>
      <c r="P2192" s="702"/>
      <c r="Q2192" s="702"/>
      <c r="R2192" s="702"/>
      <c r="S2192" s="106"/>
      <c r="T2192" s="486"/>
      <c r="U2192" s="106"/>
      <c r="V2192" s="3980"/>
      <c r="W2192" s="3421"/>
      <c r="X2192" s="2374"/>
      <c r="Y2192" s="2374"/>
      <c r="Z2192" s="3421"/>
      <c r="AA2192" s="3421"/>
      <c r="AB2192" s="3421"/>
      <c r="AC2192" s="2292">
        <v>510</v>
      </c>
      <c r="AD2192" s="2042">
        <v>510</v>
      </c>
      <c r="AE2192" s="3429"/>
      <c r="AF2192" s="3421"/>
      <c r="AG2192" s="3421"/>
      <c r="AH2192" s="156"/>
      <c r="AI2192" s="156"/>
      <c r="AJ2192" s="156"/>
      <c r="AK2192" s="156"/>
      <c r="AL2192" s="156"/>
      <c r="AM2192" s="156"/>
      <c r="AN2192" s="156"/>
      <c r="AO2192" s="156"/>
      <c r="AP2192" s="156"/>
      <c r="AQ2192" s="156"/>
      <c r="AR2192" s="156"/>
      <c r="AS2192" s="156"/>
      <c r="AT2192" s="156"/>
      <c r="AU2192" s="156"/>
      <c r="AV2192" s="156"/>
      <c r="AW2192" s="156"/>
      <c r="AX2192" s="156"/>
      <c r="AY2192" s="156"/>
      <c r="AZ2192" s="156"/>
      <c r="BA2192" s="156"/>
      <c r="BB2192" s="2828"/>
      <c r="BC2192" s="452"/>
      <c r="BD2192" s="2829"/>
      <c r="BE2192" s="2837"/>
      <c r="BF2192" s="156"/>
    </row>
    <row r="2193" spans="1:58" ht="15" customHeight="1" outlineLevel="1" x14ac:dyDescent="0.35">
      <c r="A2193" s="1664"/>
      <c r="B2193" s="2812"/>
      <c r="C2193" s="3077"/>
      <c r="D2193" s="3980"/>
      <c r="E2193" s="3883"/>
      <c r="F2193" s="3984" t="str">
        <f>$E$1654</f>
        <v>ASHP-SEER18-Replace_CAC_ElectricHeat_ROF_SF</v>
      </c>
      <c r="G2193" s="3984"/>
      <c r="H2193" s="3984"/>
      <c r="I2193" s="3984"/>
      <c r="J2193" s="3501" t="str">
        <f>$C$1654</f>
        <v>353200_2021_12_</v>
      </c>
      <c r="K2193" s="3421">
        <v>1496</v>
      </c>
      <c r="L2193" s="704"/>
      <c r="M2193" s="3038"/>
      <c r="N2193" s="106"/>
      <c r="O2193" s="106"/>
      <c r="P2193" s="702"/>
      <c r="Q2193" s="702"/>
      <c r="R2193" s="702"/>
      <c r="S2193" s="106"/>
      <c r="T2193" s="486"/>
      <c r="U2193" s="106"/>
      <c r="V2193" s="3980"/>
      <c r="W2193" s="3421">
        <v>2009</v>
      </c>
      <c r="X2193" s="2374">
        <v>1496</v>
      </c>
      <c r="Y2193" s="3421">
        <v>1496</v>
      </c>
      <c r="Z2193" s="3421">
        <v>1496</v>
      </c>
      <c r="AA2193" s="3421">
        <v>1496</v>
      </c>
      <c r="AB2193" s="3421">
        <v>1496</v>
      </c>
      <c r="AC2193" s="3428">
        <v>1496</v>
      </c>
      <c r="AD2193" s="3421">
        <v>1496</v>
      </c>
      <c r="AE2193" s="3429"/>
      <c r="AF2193" s="3421"/>
      <c r="AG2193" s="3421"/>
      <c r="AH2193" s="156"/>
      <c r="AI2193" s="156"/>
      <c r="AJ2193" s="156"/>
      <c r="AK2193" s="156"/>
      <c r="AL2193" s="156"/>
      <c r="AM2193" s="156"/>
      <c r="AN2193" s="156"/>
      <c r="AO2193" s="156"/>
      <c r="AP2193" s="156"/>
      <c r="AQ2193" s="156"/>
      <c r="AR2193" s="156"/>
      <c r="AS2193" s="156"/>
      <c r="AT2193" s="156"/>
      <c r="AU2193" s="156"/>
      <c r="AV2193" s="156"/>
      <c r="AW2193" s="156"/>
      <c r="AX2193" s="156"/>
      <c r="AY2193" s="156"/>
      <c r="AZ2193" s="156"/>
      <c r="BA2193" s="156"/>
      <c r="BB2193" s="2828"/>
      <c r="BC2193" s="452"/>
      <c r="BD2193" s="2829"/>
      <c r="BE2193" s="2837"/>
      <c r="BF2193" s="156"/>
    </row>
    <row r="2194" spans="1:58" s="3398" customFormat="1" ht="15" customHeight="1" outlineLevel="1" x14ac:dyDescent="0.35">
      <c r="A2194" s="1664"/>
      <c r="B2194" s="2812"/>
      <c r="C2194" s="3077"/>
      <c r="D2194" s="3980"/>
      <c r="E2194" s="3883"/>
      <c r="F2194" s="4136" t="str">
        <f>$E$1656</f>
        <v>ASHP-SEER18-Replace_CAC_NonElectricHeat_ROF_SF</v>
      </c>
      <c r="G2194" s="4136"/>
      <c r="H2194" s="4136"/>
      <c r="I2194" s="4136"/>
      <c r="J2194" s="3502" t="str">
        <f>$C$1656</f>
        <v>353210_2022_12_</v>
      </c>
      <c r="K2194" s="2374">
        <v>1496</v>
      </c>
      <c r="L2194" s="704"/>
      <c r="M2194" s="3038"/>
      <c r="P2194" s="702"/>
      <c r="Q2194" s="702"/>
      <c r="R2194" s="702"/>
      <c r="T2194" s="3397"/>
      <c r="V2194" s="3980"/>
      <c r="W2194" s="3421"/>
      <c r="X2194" s="2374"/>
      <c r="Y2194" s="3421"/>
      <c r="Z2194" s="3421"/>
      <c r="AA2194" s="3421"/>
      <c r="AB2194" s="3421"/>
      <c r="AC2194" s="3428"/>
      <c r="AD2194" s="2374">
        <v>1496</v>
      </c>
      <c r="AE2194" s="3429"/>
      <c r="AF2194" s="3421"/>
      <c r="AG2194" s="3421"/>
      <c r="AH2194" s="156"/>
      <c r="AI2194" s="156"/>
      <c r="AJ2194" s="156"/>
      <c r="AK2194" s="156"/>
      <c r="AL2194" s="156"/>
      <c r="AM2194" s="156"/>
      <c r="AN2194" s="156"/>
      <c r="AO2194" s="156"/>
      <c r="AP2194" s="156"/>
      <c r="AQ2194" s="156"/>
      <c r="AR2194" s="156"/>
      <c r="AS2194" s="156"/>
      <c r="AT2194" s="156"/>
      <c r="AU2194" s="156"/>
      <c r="AV2194" s="156"/>
      <c r="AW2194" s="156"/>
      <c r="AX2194" s="156"/>
      <c r="AY2194" s="156"/>
      <c r="AZ2194" s="156"/>
      <c r="BA2194" s="156"/>
      <c r="BB2194" s="2828"/>
      <c r="BC2194" s="452"/>
      <c r="BD2194" s="2829"/>
      <c r="BE2194" s="2837"/>
      <c r="BF2194" s="156"/>
    </row>
    <row r="2195" spans="1:58" ht="15" customHeight="1" outlineLevel="1" x14ac:dyDescent="0.35">
      <c r="A2195" s="1664"/>
      <c r="B2195" s="2812"/>
      <c r="C2195" s="3077"/>
      <c r="D2195" s="3980"/>
      <c r="E2195" s="3883"/>
      <c r="F2195" s="3984" t="str">
        <f>$E$1658</f>
        <v>ASHP-SEER18-Replace_CAC_ElectricHeat_ROF_MF</v>
      </c>
      <c r="G2195" s="3984"/>
      <c r="H2195" s="3984"/>
      <c r="I2195" s="3984"/>
      <c r="J2195" s="3501" t="str">
        <f>$C$1658</f>
        <v>353250_2021_12_</v>
      </c>
      <c r="K2195" s="3421">
        <v>1496</v>
      </c>
      <c r="L2195" s="704"/>
      <c r="M2195" s="3038"/>
      <c r="N2195" s="106"/>
      <c r="O2195" s="106"/>
      <c r="P2195" s="702"/>
      <c r="Q2195" s="702"/>
      <c r="R2195" s="702"/>
      <c r="S2195" s="106"/>
      <c r="T2195" s="486"/>
      <c r="U2195" s="106"/>
      <c r="V2195" s="3980"/>
      <c r="W2195" s="3421">
        <v>2009</v>
      </c>
      <c r="X2195" s="2374">
        <v>1496</v>
      </c>
      <c r="Y2195" s="3421">
        <v>1496</v>
      </c>
      <c r="Z2195" s="3421">
        <v>1496</v>
      </c>
      <c r="AA2195" s="3421">
        <v>1496</v>
      </c>
      <c r="AB2195" s="3421">
        <v>1496</v>
      </c>
      <c r="AC2195" s="3428">
        <v>1496</v>
      </c>
      <c r="AD2195" s="3421">
        <v>1496</v>
      </c>
      <c r="AE2195" s="3429"/>
      <c r="AF2195" s="3421"/>
      <c r="AG2195" s="3421"/>
      <c r="AH2195" s="156"/>
      <c r="AI2195" s="156"/>
      <c r="AJ2195" s="156"/>
      <c r="AK2195" s="156"/>
      <c r="AL2195" s="156"/>
      <c r="AM2195" s="156"/>
      <c r="AN2195" s="156"/>
      <c r="AO2195" s="156"/>
      <c r="AP2195" s="156"/>
      <c r="AQ2195" s="156"/>
      <c r="AR2195" s="156"/>
      <c r="AS2195" s="156"/>
      <c r="AT2195" s="156"/>
      <c r="AU2195" s="156"/>
      <c r="AV2195" s="156"/>
      <c r="AW2195" s="156"/>
      <c r="AX2195" s="156"/>
      <c r="AY2195" s="156"/>
      <c r="AZ2195" s="156"/>
      <c r="BA2195" s="156"/>
      <c r="BB2195" s="2828"/>
      <c r="BC2195" s="452"/>
      <c r="BD2195" s="2829"/>
      <c r="BE2195" s="2837"/>
      <c r="BF2195" s="156"/>
    </row>
    <row r="2196" spans="1:58" ht="15" customHeight="1" outlineLevel="1" x14ac:dyDescent="0.35">
      <c r="A2196" s="1664"/>
      <c r="B2196" s="2812"/>
      <c r="C2196" s="3077"/>
      <c r="D2196" s="3980"/>
      <c r="E2196" s="3883"/>
      <c r="F2196" s="3984" t="str">
        <f>$E$1660</f>
        <v>ASHP-SEER18-Replace_CAC_ElectricHeat_ROF_MF_CompE</v>
      </c>
      <c r="G2196" s="3984"/>
      <c r="H2196" s="3984"/>
      <c r="I2196" s="3984"/>
      <c r="J2196" s="3501" t="str">
        <f>$C$1660</f>
        <v>353251_2021_12_</v>
      </c>
      <c r="K2196" s="3421">
        <v>510</v>
      </c>
      <c r="L2196" s="704"/>
      <c r="M2196" s="3038" t="s">
        <v>1508</v>
      </c>
      <c r="N2196" s="106"/>
      <c r="O2196" s="106"/>
      <c r="P2196" s="702"/>
      <c r="Q2196" s="702"/>
      <c r="R2196" s="702"/>
      <c r="S2196" s="106"/>
      <c r="T2196" s="486"/>
      <c r="U2196" s="106"/>
      <c r="V2196" s="3980"/>
      <c r="W2196" s="3421"/>
      <c r="X2196" s="2374"/>
      <c r="Y2196" s="2374">
        <v>510</v>
      </c>
      <c r="Z2196" s="3421">
        <v>510</v>
      </c>
      <c r="AA2196" s="3421">
        <v>510</v>
      </c>
      <c r="AB2196" s="3421">
        <v>510</v>
      </c>
      <c r="AC2196" s="3428">
        <v>510</v>
      </c>
      <c r="AD2196" s="3421">
        <v>510</v>
      </c>
      <c r="AE2196" s="3429"/>
      <c r="AF2196" s="3421"/>
      <c r="AG2196" s="3421"/>
      <c r="AH2196" s="156"/>
      <c r="AI2196" s="156"/>
      <c r="AJ2196" s="156"/>
      <c r="AK2196" s="156"/>
      <c r="AL2196" s="156"/>
      <c r="AM2196" s="156"/>
      <c r="AN2196" s="156"/>
      <c r="AO2196" s="156"/>
      <c r="AP2196" s="156"/>
      <c r="AQ2196" s="156"/>
      <c r="AR2196" s="156"/>
      <c r="AS2196" s="156"/>
      <c r="AT2196" s="156"/>
      <c r="AU2196" s="156"/>
      <c r="AV2196" s="156"/>
      <c r="AW2196" s="156"/>
      <c r="AX2196" s="156"/>
      <c r="AY2196" s="156"/>
      <c r="AZ2196" s="156"/>
      <c r="BA2196" s="156"/>
      <c r="BB2196" s="2828"/>
      <c r="BC2196" s="452"/>
      <c r="BD2196" s="2829"/>
      <c r="BE2196" s="2837"/>
      <c r="BF2196" s="156"/>
    </row>
    <row r="2197" spans="1:58" ht="15" customHeight="1" outlineLevel="1" x14ac:dyDescent="0.35">
      <c r="A2197" s="1664"/>
      <c r="B2197" s="2812"/>
      <c r="C2197" s="3077"/>
      <c r="D2197" s="3980"/>
      <c r="E2197" s="3883"/>
      <c r="F2197" s="3984" t="str">
        <f>$E$1662</f>
        <v>ASHP-SEER18-Replace_CAC_NonElectricHeat_ROF_MF</v>
      </c>
      <c r="G2197" s="3984"/>
      <c r="H2197" s="3984"/>
      <c r="I2197" s="3984"/>
      <c r="J2197" s="3501" t="str">
        <f>$C$1662</f>
        <v>353260_2021_12_</v>
      </c>
      <c r="K2197" s="2042">
        <v>1496</v>
      </c>
      <c r="L2197" s="704"/>
      <c r="M2197" s="3038"/>
      <c r="N2197" s="106"/>
      <c r="O2197" s="106"/>
      <c r="P2197" s="702"/>
      <c r="Q2197" s="702"/>
      <c r="R2197" s="702"/>
      <c r="S2197" s="106"/>
      <c r="T2197" s="486"/>
      <c r="U2197" s="106"/>
      <c r="V2197" s="3980"/>
      <c r="W2197" s="3421"/>
      <c r="X2197" s="2374"/>
      <c r="Y2197" s="2374"/>
      <c r="Z2197" s="3421"/>
      <c r="AA2197" s="3421"/>
      <c r="AB2197" s="3421"/>
      <c r="AC2197" s="2292">
        <v>1496</v>
      </c>
      <c r="AD2197" s="2042">
        <v>1496</v>
      </c>
      <c r="AE2197" s="3429"/>
      <c r="AF2197" s="3421"/>
      <c r="AG2197" s="3421"/>
      <c r="AH2197" s="156"/>
      <c r="AI2197" s="156"/>
      <c r="AJ2197" s="156"/>
      <c r="AK2197" s="156"/>
      <c r="AL2197" s="156"/>
      <c r="AM2197" s="156"/>
      <c r="AN2197" s="156"/>
      <c r="AO2197" s="156"/>
      <c r="AP2197" s="156"/>
      <c r="AQ2197" s="156"/>
      <c r="AR2197" s="156"/>
      <c r="AS2197" s="156"/>
      <c r="AT2197" s="156"/>
      <c r="AU2197" s="156"/>
      <c r="AV2197" s="156"/>
      <c r="AW2197" s="156"/>
      <c r="AX2197" s="156"/>
      <c r="AY2197" s="156"/>
      <c r="AZ2197" s="156"/>
      <c r="BA2197" s="156"/>
      <c r="BB2197" s="2828"/>
      <c r="BC2197" s="452"/>
      <c r="BD2197" s="2829"/>
      <c r="BE2197" s="2837"/>
      <c r="BF2197" s="156"/>
    </row>
    <row r="2198" spans="1:58" ht="15" customHeight="1" outlineLevel="1" x14ac:dyDescent="0.35">
      <c r="A2198" s="1664"/>
      <c r="B2198" s="2812"/>
      <c r="C2198" s="3077"/>
      <c r="D2198" s="3980"/>
      <c r="E2198" s="3883"/>
      <c r="F2198" s="3984" t="str">
        <f>$E$1664</f>
        <v>ASHP-SEER18-Replace_CAC_NonElectricHeat_ROF_MF_CompE</v>
      </c>
      <c r="G2198" s="3984"/>
      <c r="H2198" s="3984"/>
      <c r="I2198" s="3984"/>
      <c r="J2198" s="3501" t="str">
        <f>$C$1664</f>
        <v>353261_2021_12_</v>
      </c>
      <c r="K2198" s="2042">
        <v>510</v>
      </c>
      <c r="L2198" s="704"/>
      <c r="M2198" s="3038"/>
      <c r="N2198" s="106"/>
      <c r="O2198" s="106"/>
      <c r="P2198" s="702"/>
      <c r="Q2198" s="702"/>
      <c r="R2198" s="702"/>
      <c r="S2198" s="106"/>
      <c r="T2198" s="486"/>
      <c r="U2198" s="106"/>
      <c r="V2198" s="3980"/>
      <c r="W2198" s="3421"/>
      <c r="X2198" s="2374"/>
      <c r="Y2198" s="2374"/>
      <c r="Z2198" s="3421"/>
      <c r="AA2198" s="3421"/>
      <c r="AB2198" s="3421"/>
      <c r="AC2198" s="2292">
        <v>510</v>
      </c>
      <c r="AD2198" s="2042">
        <v>510</v>
      </c>
      <c r="AE2198" s="3429"/>
      <c r="AF2198" s="3421"/>
      <c r="AG2198" s="3421"/>
      <c r="AH2198" s="156"/>
      <c r="AI2198" s="156"/>
      <c r="AJ2198" s="156"/>
      <c r="AK2198" s="156"/>
      <c r="AL2198" s="156"/>
      <c r="AM2198" s="156"/>
      <c r="AN2198" s="156"/>
      <c r="AO2198" s="156"/>
      <c r="AP2198" s="156"/>
      <c r="AQ2198" s="156"/>
      <c r="AR2198" s="156"/>
      <c r="AS2198" s="156"/>
      <c r="AT2198" s="156"/>
      <c r="AU2198" s="156"/>
      <c r="AV2198" s="156"/>
      <c r="AW2198" s="156"/>
      <c r="AX2198" s="156"/>
      <c r="AY2198" s="156"/>
      <c r="AZ2198" s="156"/>
      <c r="BA2198" s="156"/>
      <c r="BB2198" s="2828"/>
      <c r="BC2198" s="452"/>
      <c r="BD2198" s="2829"/>
      <c r="BE2198" s="2837"/>
      <c r="BF2198" s="156"/>
    </row>
    <row r="2199" spans="1:58" ht="15" customHeight="1" outlineLevel="1" x14ac:dyDescent="0.35">
      <c r="A2199" s="1664"/>
      <c r="B2199" s="2812"/>
      <c r="C2199" s="3077"/>
      <c r="D2199" s="3980"/>
      <c r="E2199" s="3883"/>
      <c r="F2199" s="3984" t="str">
        <f>$E$1666</f>
        <v>ASHP-SEER19-Replace_CAC_ElectricHeat_ROF_SF</v>
      </c>
      <c r="G2199" s="3984"/>
      <c r="H2199" s="3984"/>
      <c r="I2199" s="3984"/>
      <c r="J2199" s="3501" t="str">
        <f>$C$1666</f>
        <v>353300_2021_12_</v>
      </c>
      <c r="K2199" s="3421">
        <v>1496</v>
      </c>
      <c r="L2199" s="704"/>
      <c r="M2199" s="3038"/>
      <c r="N2199" s="106"/>
      <c r="O2199" s="106"/>
      <c r="P2199" s="702"/>
      <c r="Q2199" s="702"/>
      <c r="R2199" s="702"/>
      <c r="S2199" s="106"/>
      <c r="T2199" s="486"/>
      <c r="U2199" s="106"/>
      <c r="V2199" s="3980"/>
      <c r="W2199" s="3421">
        <v>2009</v>
      </c>
      <c r="X2199" s="2374">
        <v>1496</v>
      </c>
      <c r="Y2199" s="3421">
        <v>1496</v>
      </c>
      <c r="Z2199" s="3421">
        <v>1496</v>
      </c>
      <c r="AA2199" s="3421">
        <v>1496</v>
      </c>
      <c r="AB2199" s="3421">
        <v>1496</v>
      </c>
      <c r="AC2199" s="3428">
        <v>1496</v>
      </c>
      <c r="AD2199" s="3421">
        <v>1496</v>
      </c>
      <c r="AE2199" s="3429"/>
      <c r="AF2199" s="3421"/>
      <c r="AG2199" s="3421"/>
      <c r="AH2199" s="156"/>
      <c r="AI2199" s="156"/>
      <c r="AJ2199" s="156"/>
      <c r="AK2199" s="156"/>
      <c r="AL2199" s="156"/>
      <c r="AM2199" s="156"/>
      <c r="AN2199" s="156"/>
      <c r="AO2199" s="156"/>
      <c r="AP2199" s="156"/>
      <c r="AQ2199" s="156"/>
      <c r="AR2199" s="156"/>
      <c r="AS2199" s="156"/>
      <c r="AT2199" s="156"/>
      <c r="AU2199" s="156"/>
      <c r="AV2199" s="156"/>
      <c r="AW2199" s="156"/>
      <c r="AX2199" s="156"/>
      <c r="AY2199" s="156"/>
      <c r="AZ2199" s="156"/>
      <c r="BA2199" s="156"/>
      <c r="BB2199" s="2828"/>
      <c r="BC2199" s="452"/>
      <c r="BD2199" s="2829"/>
      <c r="BE2199" s="2837"/>
      <c r="BF2199" s="156"/>
    </row>
    <row r="2200" spans="1:58" s="3398" customFormat="1" ht="15" customHeight="1" outlineLevel="1" x14ac:dyDescent="0.35">
      <c r="A2200" s="1664"/>
      <c r="B2200" s="2812"/>
      <c r="C2200" s="3077"/>
      <c r="D2200" s="3980"/>
      <c r="E2200" s="3883"/>
      <c r="F2200" s="4136" t="str">
        <f>$E$1668</f>
        <v>ASHP-SEER19-Replace_CAC_NonElectricHeat_ROF_SF</v>
      </c>
      <c r="G2200" s="4136"/>
      <c r="H2200" s="4136"/>
      <c r="I2200" s="4136"/>
      <c r="J2200" s="3502" t="str">
        <f>$C$1668</f>
        <v>353310_2022_12_</v>
      </c>
      <c r="K2200" s="2374">
        <v>1496</v>
      </c>
      <c r="L2200" s="704"/>
      <c r="M2200" s="3038"/>
      <c r="P2200" s="702"/>
      <c r="Q2200" s="702"/>
      <c r="R2200" s="702"/>
      <c r="T2200" s="3397"/>
      <c r="V2200" s="3980"/>
      <c r="W2200" s="3421"/>
      <c r="X2200" s="2374"/>
      <c r="Y2200" s="3421"/>
      <c r="Z2200" s="3421"/>
      <c r="AA2200" s="3421"/>
      <c r="AB2200" s="3421"/>
      <c r="AC2200" s="3428"/>
      <c r="AD2200" s="2374">
        <v>1496</v>
      </c>
      <c r="AE2200" s="3429"/>
      <c r="AF2200" s="3421"/>
      <c r="AG2200" s="3421"/>
      <c r="AH2200" s="156"/>
      <c r="AI2200" s="156"/>
      <c r="AJ2200" s="156"/>
      <c r="AK2200" s="156"/>
      <c r="AL2200" s="156"/>
      <c r="AM2200" s="156"/>
      <c r="AN2200" s="156"/>
      <c r="AO2200" s="156"/>
      <c r="AP2200" s="156"/>
      <c r="AQ2200" s="156"/>
      <c r="AR2200" s="156"/>
      <c r="AS2200" s="156"/>
      <c r="AT2200" s="156"/>
      <c r="AU2200" s="156"/>
      <c r="AV2200" s="156"/>
      <c r="AW2200" s="156"/>
      <c r="AX2200" s="156"/>
      <c r="AY2200" s="156"/>
      <c r="AZ2200" s="156"/>
      <c r="BA2200" s="156"/>
      <c r="BB2200" s="2828"/>
      <c r="BC2200" s="452"/>
      <c r="BD2200" s="2829"/>
      <c r="BE2200" s="2837"/>
      <c r="BF2200" s="156"/>
    </row>
    <row r="2201" spans="1:58" ht="15" customHeight="1" outlineLevel="1" x14ac:dyDescent="0.35">
      <c r="A2201" s="1664"/>
      <c r="B2201" s="2812"/>
      <c r="C2201" s="3077"/>
      <c r="D2201" s="3980"/>
      <c r="E2201" s="3883"/>
      <c r="F2201" s="3984" t="str">
        <f>$E$1670</f>
        <v>ASHP-SEER19-Replace_CAC_ElectricHeat_ROF_MF</v>
      </c>
      <c r="G2201" s="3984"/>
      <c r="H2201" s="3984"/>
      <c r="I2201" s="3984"/>
      <c r="J2201" s="3501" t="str">
        <f>$C$1670</f>
        <v>353350_2021_12_</v>
      </c>
      <c r="K2201" s="3421">
        <v>1496</v>
      </c>
      <c r="L2201" s="704"/>
      <c r="M2201" s="3038"/>
      <c r="N2201" s="106"/>
      <c r="O2201" s="106"/>
      <c r="P2201" s="702"/>
      <c r="Q2201" s="702"/>
      <c r="R2201" s="702"/>
      <c r="S2201" s="106"/>
      <c r="T2201" s="486"/>
      <c r="U2201" s="106"/>
      <c r="V2201" s="3980"/>
      <c r="W2201" s="3421">
        <v>2009</v>
      </c>
      <c r="X2201" s="2374">
        <v>1496</v>
      </c>
      <c r="Y2201" s="3421">
        <v>1496</v>
      </c>
      <c r="Z2201" s="3421">
        <v>1496</v>
      </c>
      <c r="AA2201" s="3421">
        <v>1496</v>
      </c>
      <c r="AB2201" s="3421">
        <v>1496</v>
      </c>
      <c r="AC2201" s="3428">
        <v>1496</v>
      </c>
      <c r="AD2201" s="3421">
        <v>1496</v>
      </c>
      <c r="AE2201" s="3429"/>
      <c r="AF2201" s="3421"/>
      <c r="AG2201" s="3421"/>
      <c r="AH2201" s="156"/>
      <c r="AI2201" s="156"/>
      <c r="AJ2201" s="156"/>
      <c r="AK2201" s="156"/>
      <c r="AL2201" s="156"/>
      <c r="AM2201" s="156"/>
      <c r="AN2201" s="156"/>
      <c r="AO2201" s="156"/>
      <c r="AP2201" s="156"/>
      <c r="AQ2201" s="156"/>
      <c r="AR2201" s="156"/>
      <c r="AS2201" s="156"/>
      <c r="AT2201" s="156"/>
      <c r="AU2201" s="156"/>
      <c r="AV2201" s="156"/>
      <c r="AW2201" s="156"/>
      <c r="AX2201" s="156"/>
      <c r="AY2201" s="156"/>
      <c r="AZ2201" s="156"/>
      <c r="BA2201" s="156"/>
      <c r="BB2201" s="2828"/>
      <c r="BC2201" s="452"/>
      <c r="BD2201" s="2829"/>
      <c r="BE2201" s="2837"/>
      <c r="BF2201" s="156"/>
    </row>
    <row r="2202" spans="1:58" ht="15" customHeight="1" outlineLevel="1" x14ac:dyDescent="0.35">
      <c r="A2202" s="1664"/>
      <c r="B2202" s="2812"/>
      <c r="C2202" s="3077"/>
      <c r="D2202" s="3980"/>
      <c r="E2202" s="3883"/>
      <c r="F2202" s="3984" t="str">
        <f>$E$1672</f>
        <v>ASHP-SEER19-Replace_CAC_ElectricHeat_ROF_MF_CompE</v>
      </c>
      <c r="G2202" s="3984"/>
      <c r="H2202" s="3984"/>
      <c r="I2202" s="3984"/>
      <c r="J2202" s="3501" t="str">
        <f>$C$1672</f>
        <v>353351_2019_12_</v>
      </c>
      <c r="K2202" s="3421">
        <v>510</v>
      </c>
      <c r="L2202" s="704"/>
      <c r="M2202" s="3038" t="s">
        <v>1508</v>
      </c>
      <c r="N2202" s="106"/>
      <c r="O2202" s="106"/>
      <c r="P2202" s="702"/>
      <c r="Q2202" s="702"/>
      <c r="R2202" s="702"/>
      <c r="S2202" s="106"/>
      <c r="T2202" s="486"/>
      <c r="U2202" s="106"/>
      <c r="V2202" s="3980"/>
      <c r="W2202" s="3421"/>
      <c r="X2202" s="2374"/>
      <c r="Y2202" s="2374">
        <v>510</v>
      </c>
      <c r="Z2202" s="3421">
        <v>510</v>
      </c>
      <c r="AA2202" s="3421">
        <v>510</v>
      </c>
      <c r="AB2202" s="3421">
        <v>510</v>
      </c>
      <c r="AC2202" s="3428">
        <v>510</v>
      </c>
      <c r="AD2202" s="3421">
        <v>510</v>
      </c>
      <c r="AE2202" s="3429"/>
      <c r="AF2202" s="3421"/>
      <c r="AG2202" s="3421"/>
      <c r="AH2202" s="156"/>
      <c r="AI2202" s="156"/>
      <c r="AJ2202" s="156"/>
      <c r="AK2202" s="156"/>
      <c r="AL2202" s="156"/>
      <c r="AM2202" s="156"/>
      <c r="AN2202" s="156"/>
      <c r="AO2202" s="156"/>
      <c r="AP2202" s="156"/>
      <c r="AQ2202" s="156"/>
      <c r="AR2202" s="156"/>
      <c r="AS2202" s="156"/>
      <c r="AT2202" s="156"/>
      <c r="AU2202" s="156"/>
      <c r="AV2202" s="156"/>
      <c r="AW2202" s="156"/>
      <c r="AX2202" s="156"/>
      <c r="AY2202" s="156"/>
      <c r="AZ2202" s="156"/>
      <c r="BA2202" s="156"/>
      <c r="BB2202" s="2828"/>
      <c r="BC2202" s="452"/>
      <c r="BD2202" s="2829"/>
      <c r="BE2202" s="2837"/>
      <c r="BF2202" s="156"/>
    </row>
    <row r="2203" spans="1:58" ht="15" customHeight="1" outlineLevel="1" x14ac:dyDescent="0.35">
      <c r="A2203" s="1664"/>
      <c r="B2203" s="2812"/>
      <c r="C2203" s="3077"/>
      <c r="D2203" s="3980"/>
      <c r="E2203" s="3883"/>
      <c r="F2203" s="3984" t="str">
        <f>$E$1674</f>
        <v>ASHP-SEER19-Replace_CAC_NonElectricHeat_ROF_MF</v>
      </c>
      <c r="G2203" s="3984"/>
      <c r="H2203" s="3984"/>
      <c r="I2203" s="3984"/>
      <c r="J2203" s="3501" t="str">
        <f>$C$1674</f>
        <v>353360_2021_12_</v>
      </c>
      <c r="K2203" s="2042">
        <v>1496</v>
      </c>
      <c r="L2203" s="704"/>
      <c r="M2203" s="3038"/>
      <c r="N2203" s="106"/>
      <c r="O2203" s="106"/>
      <c r="P2203" s="702"/>
      <c r="Q2203" s="702"/>
      <c r="R2203" s="702"/>
      <c r="S2203" s="106"/>
      <c r="T2203" s="486"/>
      <c r="U2203" s="106"/>
      <c r="V2203" s="3980"/>
      <c r="W2203" s="3421"/>
      <c r="X2203" s="2374"/>
      <c r="Y2203" s="2374"/>
      <c r="Z2203" s="3421"/>
      <c r="AA2203" s="3421"/>
      <c r="AB2203" s="3421"/>
      <c r="AC2203" s="2292">
        <v>1496</v>
      </c>
      <c r="AD2203" s="2042">
        <v>1496</v>
      </c>
      <c r="AE2203" s="3429"/>
      <c r="AF2203" s="3421"/>
      <c r="AG2203" s="3421"/>
      <c r="AH2203" s="156"/>
      <c r="AI2203" s="156"/>
      <c r="AJ2203" s="156"/>
      <c r="AK2203" s="156"/>
      <c r="AL2203" s="156"/>
      <c r="AM2203" s="156"/>
      <c r="AN2203" s="156"/>
      <c r="AO2203" s="156"/>
      <c r="AP2203" s="156"/>
      <c r="AQ2203" s="156"/>
      <c r="AR2203" s="156"/>
      <c r="AS2203" s="156"/>
      <c r="AT2203" s="156"/>
      <c r="AU2203" s="156"/>
      <c r="AV2203" s="156"/>
      <c r="AW2203" s="156"/>
      <c r="AX2203" s="156"/>
      <c r="AY2203" s="156"/>
      <c r="AZ2203" s="156"/>
      <c r="BA2203" s="156"/>
      <c r="BB2203" s="2828"/>
      <c r="BC2203" s="452"/>
      <c r="BD2203" s="2829"/>
      <c r="BE2203" s="2837"/>
      <c r="BF2203" s="156"/>
    </row>
    <row r="2204" spans="1:58" ht="15" customHeight="1" outlineLevel="1" x14ac:dyDescent="0.35">
      <c r="A2204" s="1664"/>
      <c r="B2204" s="2812"/>
      <c r="C2204" s="3077"/>
      <c r="D2204" s="3980"/>
      <c r="E2204" s="3883"/>
      <c r="F2204" s="3984" t="str">
        <f>$E$1676</f>
        <v>ASHP-SEER19-Replace_CAC_NonElectricHeat_ROF_MF_CompE</v>
      </c>
      <c r="G2204" s="3984"/>
      <c r="H2204" s="3984"/>
      <c r="I2204" s="3984"/>
      <c r="J2204" s="3501" t="str">
        <f>$C$1676</f>
        <v>353361_2021_12_</v>
      </c>
      <c r="K2204" s="2042">
        <v>510</v>
      </c>
      <c r="L2204" s="704"/>
      <c r="M2204" s="3038"/>
      <c r="N2204" s="106"/>
      <c r="O2204" s="106"/>
      <c r="P2204" s="702"/>
      <c r="Q2204" s="702"/>
      <c r="R2204" s="702"/>
      <c r="S2204" s="106"/>
      <c r="T2204" s="486"/>
      <c r="U2204" s="106"/>
      <c r="V2204" s="3980"/>
      <c r="W2204" s="3421"/>
      <c r="X2204" s="2374"/>
      <c r="Y2204" s="2374"/>
      <c r="Z2204" s="3421"/>
      <c r="AA2204" s="3421"/>
      <c r="AB2204" s="3421"/>
      <c r="AC2204" s="2292">
        <v>510</v>
      </c>
      <c r="AD2204" s="2042">
        <v>510</v>
      </c>
      <c r="AE2204" s="3429"/>
      <c r="AF2204" s="3421"/>
      <c r="AG2204" s="3421"/>
      <c r="AH2204" s="156"/>
      <c r="AI2204" s="156"/>
      <c r="AJ2204" s="156"/>
      <c r="AK2204" s="156"/>
      <c r="AL2204" s="156"/>
      <c r="AM2204" s="156"/>
      <c r="AN2204" s="156"/>
      <c r="AO2204" s="156"/>
      <c r="AP2204" s="156"/>
      <c r="AQ2204" s="156"/>
      <c r="AR2204" s="156"/>
      <c r="AS2204" s="156"/>
      <c r="AT2204" s="156"/>
      <c r="AU2204" s="156"/>
      <c r="AV2204" s="156"/>
      <c r="AW2204" s="156"/>
      <c r="AX2204" s="156"/>
      <c r="AY2204" s="156"/>
      <c r="AZ2204" s="156"/>
      <c r="BA2204" s="156"/>
      <c r="BB2204" s="2828"/>
      <c r="BC2204" s="452"/>
      <c r="BD2204" s="2829"/>
      <c r="BE2204" s="2837"/>
      <c r="BF2204" s="156"/>
    </row>
    <row r="2205" spans="1:58" ht="15" customHeight="1" outlineLevel="1" x14ac:dyDescent="0.35">
      <c r="A2205" s="1664"/>
      <c r="B2205" s="2812"/>
      <c r="C2205" s="3077"/>
      <c r="D2205" s="3980"/>
      <c r="E2205" s="3883"/>
      <c r="F2205" s="3984" t="str">
        <f>$E$1678</f>
        <v>ASHP-SEER20-Replace_CAC_ElectricHeat_ER1_SF</v>
      </c>
      <c r="G2205" s="3984"/>
      <c r="H2205" s="3984"/>
      <c r="I2205" s="3984"/>
      <c r="J2205" s="3501" t="str">
        <f>$C$1678</f>
        <v>353400_2021_12_</v>
      </c>
      <c r="K2205" s="3421">
        <v>1496</v>
      </c>
      <c r="L2205" s="704"/>
      <c r="M2205" s="3038"/>
      <c r="N2205" s="106"/>
      <c r="O2205" s="106"/>
      <c r="P2205" s="702"/>
      <c r="Q2205" s="702"/>
      <c r="R2205" s="702"/>
      <c r="S2205" s="106"/>
      <c r="T2205" s="486"/>
      <c r="U2205" s="106"/>
      <c r="V2205" s="3980"/>
      <c r="W2205" s="3421">
        <v>2009</v>
      </c>
      <c r="X2205" s="2374">
        <v>1496</v>
      </c>
      <c r="Y2205" s="3421">
        <v>1496</v>
      </c>
      <c r="Z2205" s="3421">
        <v>1496</v>
      </c>
      <c r="AA2205" s="3421">
        <v>1496</v>
      </c>
      <c r="AB2205" s="3421">
        <v>1496</v>
      </c>
      <c r="AC2205" s="3428">
        <v>1496</v>
      </c>
      <c r="AD2205" s="3421">
        <v>1496</v>
      </c>
      <c r="AE2205" s="3429"/>
      <c r="AF2205" s="3421"/>
      <c r="AG2205" s="3421"/>
      <c r="AH2205" s="156"/>
      <c r="AI2205" s="156"/>
      <c r="AJ2205" s="156"/>
      <c r="AK2205" s="156"/>
      <c r="AL2205" s="156"/>
      <c r="AM2205" s="156"/>
      <c r="AN2205" s="156"/>
      <c r="AO2205" s="156"/>
      <c r="AP2205" s="156"/>
      <c r="AQ2205" s="156"/>
      <c r="AR2205" s="156"/>
      <c r="AS2205" s="156"/>
      <c r="AT2205" s="156"/>
      <c r="AU2205" s="156"/>
      <c r="AV2205" s="156"/>
      <c r="AW2205" s="156"/>
      <c r="AX2205" s="156"/>
      <c r="AY2205" s="156"/>
      <c r="AZ2205" s="156"/>
      <c r="BA2205" s="156"/>
      <c r="BB2205" s="2828"/>
      <c r="BC2205" s="452"/>
      <c r="BD2205" s="2829"/>
      <c r="BE2205" s="2837"/>
      <c r="BF2205" s="156"/>
    </row>
    <row r="2206" spans="1:58" ht="15" customHeight="1" outlineLevel="1" x14ac:dyDescent="0.35">
      <c r="A2206" s="1664"/>
      <c r="B2206" s="2812"/>
      <c r="C2206" s="3077"/>
      <c r="D2206" s="3980"/>
      <c r="E2206" s="3883"/>
      <c r="F2206" s="3984" t="str">
        <f>$E$1680</f>
        <v>ASHP-SEER20-Replace_CAC_ElectricHeat_ER2_SF</v>
      </c>
      <c r="G2206" s="3984"/>
      <c r="H2206" s="3984"/>
      <c r="I2206" s="3984"/>
      <c r="J2206" s="3501" t="str">
        <f>$C$1680</f>
        <v>353400_2021_12_</v>
      </c>
      <c r="K2206" s="3421">
        <v>1496</v>
      </c>
      <c r="L2206" s="704"/>
      <c r="M2206" s="3038"/>
      <c r="N2206" s="106"/>
      <c r="O2206" s="106"/>
      <c r="P2206" s="702"/>
      <c r="Q2206" s="702"/>
      <c r="R2206" s="702"/>
      <c r="S2206" s="106"/>
      <c r="T2206" s="486"/>
      <c r="U2206" s="106"/>
      <c r="V2206" s="3980"/>
      <c r="W2206" s="3421">
        <v>2009</v>
      </c>
      <c r="X2206" s="2374">
        <v>1496</v>
      </c>
      <c r="Y2206" s="3421">
        <v>1496</v>
      </c>
      <c r="Z2206" s="3421">
        <v>1496</v>
      </c>
      <c r="AA2206" s="3421">
        <v>1496</v>
      </c>
      <c r="AB2206" s="3421">
        <v>1496</v>
      </c>
      <c r="AC2206" s="3428">
        <v>1496</v>
      </c>
      <c r="AD2206" s="3421">
        <v>1496</v>
      </c>
      <c r="AE2206" s="3429"/>
      <c r="AF2206" s="3421"/>
      <c r="AG2206" s="3421"/>
      <c r="AH2206" s="156"/>
      <c r="AI2206" s="156"/>
      <c r="AJ2206" s="156"/>
      <c r="AK2206" s="156"/>
      <c r="AL2206" s="156"/>
      <c r="AM2206" s="156"/>
      <c r="AN2206" s="156"/>
      <c r="AO2206" s="156"/>
      <c r="AP2206" s="156"/>
      <c r="AQ2206" s="156"/>
      <c r="AR2206" s="156"/>
      <c r="AS2206" s="156"/>
      <c r="AT2206" s="156"/>
      <c r="AU2206" s="156"/>
      <c r="AV2206" s="156"/>
      <c r="AW2206" s="156"/>
      <c r="AX2206" s="156"/>
      <c r="AY2206" s="156"/>
      <c r="AZ2206" s="156"/>
      <c r="BA2206" s="156"/>
      <c r="BB2206" s="2828"/>
      <c r="BC2206" s="452"/>
      <c r="BD2206" s="2829"/>
      <c r="BE2206" s="2837"/>
      <c r="BF2206" s="156"/>
    </row>
    <row r="2207" spans="1:58" ht="15" customHeight="1" outlineLevel="1" x14ac:dyDescent="0.35">
      <c r="A2207" s="1664"/>
      <c r="B2207" s="2812"/>
      <c r="C2207" s="3077"/>
      <c r="D2207" s="3980"/>
      <c r="E2207" s="3883"/>
      <c r="F2207" s="3984" t="str">
        <f>$E$1682</f>
        <v>ASHP-SEER20-Replace_CAC_NonElectricHeat_ER1_SF</v>
      </c>
      <c r="G2207" s="3984"/>
      <c r="H2207" s="3984"/>
      <c r="I2207" s="3984"/>
      <c r="J2207" s="3501" t="str">
        <f>$C$1682</f>
        <v>353410_2021_12_</v>
      </c>
      <c r="K2207" s="2042">
        <v>1496</v>
      </c>
      <c r="L2207" s="704"/>
      <c r="M2207" s="3038"/>
      <c r="N2207" s="106"/>
      <c r="O2207" s="106"/>
      <c r="P2207" s="702"/>
      <c r="Q2207" s="702"/>
      <c r="R2207" s="702"/>
      <c r="S2207" s="106"/>
      <c r="T2207" s="486"/>
      <c r="U2207" s="106"/>
      <c r="V2207" s="3980"/>
      <c r="W2207" s="3421"/>
      <c r="X2207" s="2374"/>
      <c r="Y2207" s="3421"/>
      <c r="Z2207" s="3421"/>
      <c r="AA2207" s="3421"/>
      <c r="AB2207" s="3421"/>
      <c r="AC2207" s="2292">
        <v>1496</v>
      </c>
      <c r="AD2207" s="2042">
        <v>1496</v>
      </c>
      <c r="AE2207" s="3429"/>
      <c r="AF2207" s="3421"/>
      <c r="AG2207" s="3421"/>
      <c r="AH2207" s="156"/>
      <c r="AI2207" s="156"/>
      <c r="AJ2207" s="156"/>
      <c r="AK2207" s="156"/>
      <c r="AL2207" s="156"/>
      <c r="AM2207" s="156"/>
      <c r="AN2207" s="156"/>
      <c r="AO2207" s="156"/>
      <c r="AP2207" s="156"/>
      <c r="AQ2207" s="156"/>
      <c r="AR2207" s="156"/>
      <c r="AS2207" s="156"/>
      <c r="AT2207" s="156"/>
      <c r="AU2207" s="156"/>
      <c r="AV2207" s="156"/>
      <c r="AW2207" s="156"/>
      <c r="AX2207" s="156"/>
      <c r="AY2207" s="156"/>
      <c r="AZ2207" s="156"/>
      <c r="BA2207" s="156"/>
      <c r="BB2207" s="2828"/>
      <c r="BC2207" s="452"/>
      <c r="BD2207" s="2829"/>
      <c r="BE2207" s="2837"/>
      <c r="BF2207" s="156"/>
    </row>
    <row r="2208" spans="1:58" ht="15" customHeight="1" outlineLevel="1" x14ac:dyDescent="0.35">
      <c r="A2208" s="1664"/>
      <c r="B2208" s="2812"/>
      <c r="C2208" s="3077"/>
      <c r="D2208" s="3980"/>
      <c r="E2208" s="3883"/>
      <c r="F2208" s="3984" t="str">
        <f>$E$1684</f>
        <v>ASHP-SEER20-Replace_CAC_NonElectricHeat_ER2_SF</v>
      </c>
      <c r="G2208" s="3984"/>
      <c r="H2208" s="3984"/>
      <c r="I2208" s="3984"/>
      <c r="J2208" s="3501" t="str">
        <f>$C$1684</f>
        <v>353410_2021_12_</v>
      </c>
      <c r="K2208" s="2042">
        <v>1496</v>
      </c>
      <c r="L2208" s="704"/>
      <c r="M2208" s="3038"/>
      <c r="N2208" s="106"/>
      <c r="O2208" s="106"/>
      <c r="P2208" s="702"/>
      <c r="Q2208" s="702"/>
      <c r="R2208" s="702"/>
      <c r="S2208" s="106"/>
      <c r="T2208" s="486"/>
      <c r="U2208" s="106"/>
      <c r="V2208" s="3980"/>
      <c r="W2208" s="3421"/>
      <c r="X2208" s="2374"/>
      <c r="Y2208" s="3421"/>
      <c r="Z2208" s="3421"/>
      <c r="AA2208" s="3421"/>
      <c r="AB2208" s="3421"/>
      <c r="AC2208" s="2292">
        <v>1496</v>
      </c>
      <c r="AD2208" s="2042">
        <v>1496</v>
      </c>
      <c r="AE2208" s="3429"/>
      <c r="AF2208" s="3421"/>
      <c r="AG2208" s="3421"/>
      <c r="AH2208" s="156"/>
      <c r="AI2208" s="156"/>
      <c r="AJ2208" s="156"/>
      <c r="AK2208" s="156"/>
      <c r="AL2208" s="156"/>
      <c r="AM2208" s="156"/>
      <c r="AN2208" s="156"/>
      <c r="AO2208" s="156"/>
      <c r="AP2208" s="156"/>
      <c r="AQ2208" s="156"/>
      <c r="AR2208" s="156"/>
      <c r="AS2208" s="156"/>
      <c r="AT2208" s="156"/>
      <c r="AU2208" s="156"/>
      <c r="AV2208" s="156"/>
      <c r="AW2208" s="156"/>
      <c r="AX2208" s="156"/>
      <c r="AY2208" s="156"/>
      <c r="AZ2208" s="156"/>
      <c r="BA2208" s="156"/>
      <c r="BB2208" s="2828"/>
      <c r="BC2208" s="452"/>
      <c r="BD2208" s="2829"/>
      <c r="BE2208" s="2837"/>
      <c r="BF2208" s="156"/>
    </row>
    <row r="2209" spans="1:58" ht="15" customHeight="1" outlineLevel="1" x14ac:dyDescent="0.35">
      <c r="A2209" s="1664"/>
      <c r="B2209" s="2812"/>
      <c r="C2209" s="3077"/>
      <c r="D2209" s="3980"/>
      <c r="E2209" s="3883"/>
      <c r="F2209" s="3984" t="str">
        <f>$E$1686</f>
        <v>ASHP-SEER20-Replace_CAC_ElectricHeat_ROF_SF</v>
      </c>
      <c r="G2209" s="3984"/>
      <c r="H2209" s="3984"/>
      <c r="I2209" s="3984"/>
      <c r="J2209" s="3501" t="str">
        <f>$C$1686</f>
        <v>353450_2021_12_</v>
      </c>
      <c r="K2209" s="3421">
        <v>1496</v>
      </c>
      <c r="L2209" s="704"/>
      <c r="M2209" s="3038"/>
      <c r="N2209" s="106"/>
      <c r="O2209" s="106"/>
      <c r="P2209" s="702"/>
      <c r="Q2209" s="702"/>
      <c r="R2209" s="702"/>
      <c r="S2209" s="106"/>
      <c r="T2209" s="486"/>
      <c r="U2209" s="106"/>
      <c r="V2209" s="3980"/>
      <c r="W2209" s="3421">
        <v>2009</v>
      </c>
      <c r="X2209" s="2374">
        <v>1496</v>
      </c>
      <c r="Y2209" s="3421">
        <v>1496</v>
      </c>
      <c r="Z2209" s="3421">
        <v>1496</v>
      </c>
      <c r="AA2209" s="3421">
        <v>1496</v>
      </c>
      <c r="AB2209" s="3421">
        <v>1496</v>
      </c>
      <c r="AC2209" s="3428">
        <v>1496</v>
      </c>
      <c r="AD2209" s="3421">
        <v>1496</v>
      </c>
      <c r="AE2209" s="3429"/>
      <c r="AF2209" s="3421"/>
      <c r="AG2209" s="3421"/>
      <c r="AH2209" s="156"/>
      <c r="AI2209" s="156"/>
      <c r="AJ2209" s="156"/>
      <c r="AK2209" s="156"/>
      <c r="AL2209" s="156"/>
      <c r="AM2209" s="156"/>
      <c r="AN2209" s="156"/>
      <c r="AO2209" s="156"/>
      <c r="AP2209" s="156"/>
      <c r="AQ2209" s="156"/>
      <c r="AR2209" s="156"/>
      <c r="AS2209" s="156"/>
      <c r="AT2209" s="156"/>
      <c r="AU2209" s="156"/>
      <c r="AV2209" s="156"/>
      <c r="AW2209" s="156"/>
      <c r="AX2209" s="156"/>
      <c r="AY2209" s="156"/>
      <c r="AZ2209" s="156"/>
      <c r="BA2209" s="156"/>
      <c r="BB2209" s="2828"/>
      <c r="BC2209" s="452"/>
      <c r="BD2209" s="2829"/>
      <c r="BE2209" s="2837"/>
      <c r="BF2209" s="156"/>
    </row>
    <row r="2210" spans="1:58" s="3398" customFormat="1" ht="15" customHeight="1" outlineLevel="1" x14ac:dyDescent="0.35">
      <c r="A2210" s="1664"/>
      <c r="B2210" s="2812"/>
      <c r="C2210" s="3077"/>
      <c r="D2210" s="3980"/>
      <c r="E2210" s="3883"/>
      <c r="F2210" s="4136" t="str">
        <f>$E$1688</f>
        <v>ASHP-SEER20-Replace_CAC_NonElectricHeat_ROF_SF</v>
      </c>
      <c r="G2210" s="4136"/>
      <c r="H2210" s="4136"/>
      <c r="I2210" s="4136"/>
      <c r="J2210" s="3502" t="str">
        <f>$C$1688</f>
        <v>353460_2022_12_</v>
      </c>
      <c r="K2210" s="2374">
        <v>1496</v>
      </c>
      <c r="L2210" s="704"/>
      <c r="M2210" s="3038"/>
      <c r="P2210" s="702"/>
      <c r="Q2210" s="702"/>
      <c r="R2210" s="702"/>
      <c r="T2210" s="3397"/>
      <c r="V2210" s="3980"/>
      <c r="W2210" s="3421"/>
      <c r="X2210" s="2374"/>
      <c r="Y2210" s="3421"/>
      <c r="Z2210" s="3421"/>
      <c r="AA2210" s="3421"/>
      <c r="AB2210" s="3421"/>
      <c r="AC2210" s="3428"/>
      <c r="AD2210" s="2374">
        <v>1496</v>
      </c>
      <c r="AE2210" s="3429"/>
      <c r="AF2210" s="3421"/>
      <c r="AG2210" s="3421"/>
      <c r="AH2210" s="156"/>
      <c r="AI2210" s="156"/>
      <c r="AJ2210" s="156"/>
      <c r="AK2210" s="156"/>
      <c r="AL2210" s="156"/>
      <c r="AM2210" s="156"/>
      <c r="AN2210" s="156"/>
      <c r="AO2210" s="156"/>
      <c r="AP2210" s="156"/>
      <c r="AQ2210" s="156"/>
      <c r="AR2210" s="156"/>
      <c r="AS2210" s="156"/>
      <c r="AT2210" s="156"/>
      <c r="AU2210" s="156"/>
      <c r="AV2210" s="156"/>
      <c r="AW2210" s="156"/>
      <c r="AX2210" s="156"/>
      <c r="AY2210" s="156"/>
      <c r="AZ2210" s="156"/>
      <c r="BA2210" s="156"/>
      <c r="BB2210" s="2828"/>
      <c r="BC2210" s="452"/>
      <c r="BD2210" s="2829"/>
      <c r="BE2210" s="2837"/>
      <c r="BF2210" s="156"/>
    </row>
    <row r="2211" spans="1:58" ht="15" customHeight="1" outlineLevel="1" x14ac:dyDescent="0.35">
      <c r="A2211" s="1664"/>
      <c r="B2211" s="2812"/>
      <c r="C2211" s="3077"/>
      <c r="D2211" s="3980"/>
      <c r="E2211" s="3883"/>
      <c r="F2211" s="3984" t="str">
        <f>$E$1690</f>
        <v>ASHP-SEER20-Replace_CAC_ElectricHeat_ROF_MF</v>
      </c>
      <c r="G2211" s="3984"/>
      <c r="H2211" s="3984"/>
      <c r="I2211" s="3984"/>
      <c r="J2211" s="3501" t="str">
        <f>$C$1690</f>
        <v>353500_2019_12_</v>
      </c>
      <c r="K2211" s="3421">
        <v>1496</v>
      </c>
      <c r="L2211" s="704"/>
      <c r="M2211" s="3038"/>
      <c r="N2211" s="106"/>
      <c r="O2211" s="106"/>
      <c r="P2211" s="702"/>
      <c r="Q2211" s="702"/>
      <c r="R2211" s="702"/>
      <c r="S2211" s="106"/>
      <c r="T2211" s="486"/>
      <c r="U2211" s="106"/>
      <c r="V2211" s="3980"/>
      <c r="W2211" s="3421">
        <v>2009</v>
      </c>
      <c r="X2211" s="2374">
        <v>1496</v>
      </c>
      <c r="Y2211" s="3421">
        <v>1496</v>
      </c>
      <c r="Z2211" s="3421">
        <v>1496</v>
      </c>
      <c r="AA2211" s="3421">
        <v>1496</v>
      </c>
      <c r="AB2211" s="3421">
        <v>1496</v>
      </c>
      <c r="AC2211" s="3428">
        <v>1496</v>
      </c>
      <c r="AD2211" s="3421">
        <v>1496</v>
      </c>
      <c r="AE2211" s="3429"/>
      <c r="AF2211" s="3421"/>
      <c r="AG2211" s="3421"/>
      <c r="AH2211" s="156"/>
      <c r="AI2211" s="156"/>
      <c r="AJ2211" s="156"/>
      <c r="AK2211" s="156"/>
      <c r="AL2211" s="156"/>
      <c r="AM2211" s="156"/>
      <c r="AN2211" s="156"/>
      <c r="AO2211" s="156"/>
      <c r="AP2211" s="156"/>
      <c r="AQ2211" s="156"/>
      <c r="AR2211" s="156"/>
      <c r="AS2211" s="156"/>
      <c r="AT2211" s="156"/>
      <c r="AU2211" s="156"/>
      <c r="AV2211" s="156"/>
      <c r="AW2211" s="156"/>
      <c r="AX2211" s="156"/>
      <c r="AY2211" s="156"/>
      <c r="AZ2211" s="156"/>
      <c r="BA2211" s="156"/>
      <c r="BB2211" s="2828"/>
      <c r="BC2211" s="452"/>
      <c r="BD2211" s="2829"/>
      <c r="BE2211" s="2837"/>
      <c r="BF2211" s="156"/>
    </row>
    <row r="2212" spans="1:58" ht="15" customHeight="1" outlineLevel="1" x14ac:dyDescent="0.35">
      <c r="A2212" s="1664"/>
      <c r="B2212" s="2812"/>
      <c r="C2212" s="3077"/>
      <c r="D2212" s="3980"/>
      <c r="E2212" s="3883"/>
      <c r="F2212" s="3984" t="str">
        <f>$E$1692</f>
        <v>ASHP-SEER20-Replace_CAC_ElectricHeat_ROF_MF_CompE</v>
      </c>
      <c r="G2212" s="3984"/>
      <c r="H2212" s="3984"/>
      <c r="I2212" s="3984"/>
      <c r="J2212" s="3501" t="str">
        <f>$C$1692</f>
        <v>353501_2019_12_</v>
      </c>
      <c r="K2212" s="3421">
        <v>510</v>
      </c>
      <c r="L2212" s="704"/>
      <c r="M2212" s="3038" t="s">
        <v>1508</v>
      </c>
      <c r="N2212" s="106"/>
      <c r="O2212" s="106"/>
      <c r="P2212" s="702"/>
      <c r="Q2212" s="702"/>
      <c r="R2212" s="702"/>
      <c r="S2212" s="106"/>
      <c r="T2212" s="486"/>
      <c r="U2212" s="106"/>
      <c r="V2212" s="3980"/>
      <c r="W2212" s="3421"/>
      <c r="X2212" s="2374"/>
      <c r="Y2212" s="2374">
        <v>510</v>
      </c>
      <c r="Z2212" s="3421">
        <v>510</v>
      </c>
      <c r="AA2212" s="3421">
        <v>510</v>
      </c>
      <c r="AB2212" s="3421">
        <v>510</v>
      </c>
      <c r="AC2212" s="3428">
        <v>510</v>
      </c>
      <c r="AD2212" s="3421">
        <v>510</v>
      </c>
      <c r="AE2212" s="3429"/>
      <c r="AF2212" s="3421"/>
      <c r="AG2212" s="3421"/>
      <c r="AH2212" s="156"/>
      <c r="AI2212" s="156"/>
      <c r="AJ2212" s="156"/>
      <c r="AK2212" s="156"/>
      <c r="AL2212" s="156"/>
      <c r="AM2212" s="156"/>
      <c r="AN2212" s="156"/>
      <c r="AO2212" s="156"/>
      <c r="AP2212" s="156"/>
      <c r="AQ2212" s="156"/>
      <c r="AR2212" s="156"/>
      <c r="AS2212" s="156"/>
      <c r="AT2212" s="156"/>
      <c r="AU2212" s="156"/>
      <c r="AV2212" s="156"/>
      <c r="AW2212" s="156"/>
      <c r="AX2212" s="156"/>
      <c r="AY2212" s="156"/>
      <c r="AZ2212" s="156"/>
      <c r="BA2212" s="156"/>
      <c r="BB2212" s="2828"/>
      <c r="BC2212" s="452"/>
      <c r="BD2212" s="2829"/>
      <c r="BE2212" s="2837"/>
      <c r="BF2212" s="156"/>
    </row>
    <row r="2213" spans="1:58" ht="15" customHeight="1" outlineLevel="1" x14ac:dyDescent="0.35">
      <c r="A2213" s="1664"/>
      <c r="B2213" s="2812"/>
      <c r="C2213" s="3077"/>
      <c r="D2213" s="3980"/>
      <c r="E2213" s="3883"/>
      <c r="F2213" s="3984" t="str">
        <f>$E$1694</f>
        <v>ASHP-SEER20-Replace_CAC_NonElectricHeat_ROF_MF</v>
      </c>
      <c r="G2213" s="3984"/>
      <c r="H2213" s="3984"/>
      <c r="I2213" s="3984"/>
      <c r="J2213" s="3501" t="str">
        <f>$C$1694</f>
        <v>353510_2021_12_</v>
      </c>
      <c r="K2213" s="2042">
        <v>1496</v>
      </c>
      <c r="L2213" s="704"/>
      <c r="M2213" s="3038"/>
      <c r="N2213" s="106"/>
      <c r="O2213" s="106"/>
      <c r="P2213" s="702"/>
      <c r="Q2213" s="702"/>
      <c r="R2213" s="702"/>
      <c r="S2213" s="106"/>
      <c r="T2213" s="486"/>
      <c r="U2213" s="106"/>
      <c r="V2213" s="3980"/>
      <c r="W2213" s="3421"/>
      <c r="X2213" s="2374"/>
      <c r="Y2213" s="2374"/>
      <c r="Z2213" s="3421"/>
      <c r="AA2213" s="3421"/>
      <c r="AB2213" s="3421"/>
      <c r="AC2213" s="2292">
        <v>1496</v>
      </c>
      <c r="AD2213" s="2042">
        <v>1496</v>
      </c>
      <c r="AE2213" s="3429"/>
      <c r="AF2213" s="3421"/>
      <c r="AG2213" s="3421"/>
      <c r="AH2213" s="156"/>
      <c r="AI2213" s="156"/>
      <c r="AJ2213" s="156"/>
      <c r="AK2213" s="156"/>
      <c r="AL2213" s="156"/>
      <c r="AM2213" s="156"/>
      <c r="AN2213" s="156"/>
      <c r="AO2213" s="156"/>
      <c r="AP2213" s="156"/>
      <c r="AQ2213" s="156"/>
      <c r="AR2213" s="156"/>
      <c r="AS2213" s="156"/>
      <c r="AT2213" s="156"/>
      <c r="AU2213" s="156"/>
      <c r="AV2213" s="156"/>
      <c r="AW2213" s="156"/>
      <c r="AX2213" s="156"/>
      <c r="AY2213" s="156"/>
      <c r="AZ2213" s="156"/>
      <c r="BA2213" s="156"/>
      <c r="BB2213" s="2828"/>
      <c r="BC2213" s="452"/>
      <c r="BD2213" s="2829"/>
      <c r="BE2213" s="2837"/>
      <c r="BF2213" s="156"/>
    </row>
    <row r="2214" spans="1:58" ht="15" customHeight="1" outlineLevel="1" x14ac:dyDescent="0.35">
      <c r="A2214" s="1664"/>
      <c r="B2214" s="2812"/>
      <c r="C2214" s="3077"/>
      <c r="D2214" s="3980"/>
      <c r="E2214" s="3883"/>
      <c r="F2214" s="3984" t="str">
        <f>$E$1696</f>
        <v>ASHP-SEER20-Replace_CAC_NonElectricHeat_ROF_MF_CompE</v>
      </c>
      <c r="G2214" s="3984"/>
      <c r="H2214" s="3984"/>
      <c r="I2214" s="3984"/>
      <c r="J2214" s="3501" t="str">
        <f>$C$1696</f>
        <v>353511_2021_12_</v>
      </c>
      <c r="K2214" s="2042">
        <v>510</v>
      </c>
      <c r="L2214" s="704"/>
      <c r="M2214" s="3038"/>
      <c r="N2214" s="106"/>
      <c r="O2214" s="106"/>
      <c r="P2214" s="702"/>
      <c r="Q2214" s="702"/>
      <c r="R2214" s="702"/>
      <c r="S2214" s="106"/>
      <c r="T2214" s="486"/>
      <c r="U2214" s="106"/>
      <c r="V2214" s="3980"/>
      <c r="W2214" s="3421"/>
      <c r="X2214" s="2374"/>
      <c r="Y2214" s="2374"/>
      <c r="Z2214" s="3421"/>
      <c r="AA2214" s="3421"/>
      <c r="AB2214" s="3421"/>
      <c r="AC2214" s="2292">
        <v>510</v>
      </c>
      <c r="AD2214" s="2042">
        <v>510</v>
      </c>
      <c r="AE2214" s="3429"/>
      <c r="AF2214" s="3421"/>
      <c r="AG2214" s="3421"/>
      <c r="AH2214" s="156"/>
      <c r="AI2214" s="156"/>
      <c r="AJ2214" s="156"/>
      <c r="AK2214" s="156"/>
      <c r="AL2214" s="156"/>
      <c r="AM2214" s="156"/>
      <c r="AN2214" s="156"/>
      <c r="AO2214" s="156"/>
      <c r="AP2214" s="156"/>
      <c r="AQ2214" s="156"/>
      <c r="AR2214" s="156"/>
      <c r="AS2214" s="156"/>
      <c r="AT2214" s="156"/>
      <c r="AU2214" s="156"/>
      <c r="AV2214" s="156"/>
      <c r="AW2214" s="156"/>
      <c r="AX2214" s="156"/>
      <c r="AY2214" s="156"/>
      <c r="AZ2214" s="156"/>
      <c r="BA2214" s="156"/>
      <c r="BB2214" s="2828"/>
      <c r="BC2214" s="452"/>
      <c r="BD2214" s="2829"/>
      <c r="BE2214" s="2837"/>
      <c r="BF2214" s="156"/>
    </row>
    <row r="2215" spans="1:58" ht="15" customHeight="1" outlineLevel="1" x14ac:dyDescent="0.35">
      <c r="A2215" s="1664"/>
      <c r="B2215" s="2812"/>
      <c r="C2215" s="3077"/>
      <c r="D2215" s="3980"/>
      <c r="E2215" s="3883"/>
      <c r="F2215" s="3984" t="str">
        <f>$E$1698</f>
        <v>ASHP-SEER21-Replace_CAC_ElectricHeat_ER1_SF</v>
      </c>
      <c r="G2215" s="3984"/>
      <c r="H2215" s="3984"/>
      <c r="I2215" s="3984"/>
      <c r="J2215" s="3501" t="str">
        <f>$C$1698</f>
        <v>353550_2021_12_</v>
      </c>
      <c r="K2215" s="3421">
        <v>1496</v>
      </c>
      <c r="L2215" s="704"/>
      <c r="M2215" s="3038"/>
      <c r="N2215" s="106"/>
      <c r="O2215" s="106"/>
      <c r="P2215" s="702"/>
      <c r="Q2215" s="702"/>
      <c r="R2215" s="702"/>
      <c r="S2215" s="106"/>
      <c r="T2215" s="486"/>
      <c r="U2215" s="106"/>
      <c r="V2215" s="3980"/>
      <c r="W2215" s="3421">
        <v>2009</v>
      </c>
      <c r="X2215" s="2374">
        <v>1496</v>
      </c>
      <c r="Y2215" s="3421">
        <v>1496</v>
      </c>
      <c r="Z2215" s="3421">
        <v>1496</v>
      </c>
      <c r="AA2215" s="3421">
        <v>1496</v>
      </c>
      <c r="AB2215" s="3421">
        <v>1496</v>
      </c>
      <c r="AC2215" s="3428">
        <v>1496</v>
      </c>
      <c r="AD2215" s="3421">
        <v>1496</v>
      </c>
      <c r="AE2215" s="3429"/>
      <c r="AF2215" s="3421"/>
      <c r="AG2215" s="3421"/>
      <c r="AH2215" s="156"/>
      <c r="AI2215" s="156"/>
      <c r="AJ2215" s="156"/>
      <c r="AK2215" s="156"/>
      <c r="AL2215" s="156"/>
      <c r="AM2215" s="156"/>
      <c r="AN2215" s="156"/>
      <c r="AO2215" s="156"/>
      <c r="AP2215" s="156"/>
      <c r="AQ2215" s="156"/>
      <c r="AR2215" s="156"/>
      <c r="AS2215" s="156"/>
      <c r="AT2215" s="156"/>
      <c r="AU2215" s="156"/>
      <c r="AV2215" s="156"/>
      <c r="AW2215" s="156"/>
      <c r="AX2215" s="156"/>
      <c r="AY2215" s="156"/>
      <c r="AZ2215" s="156"/>
      <c r="BA2215" s="156"/>
      <c r="BB2215" s="2828"/>
      <c r="BC2215" s="452"/>
      <c r="BD2215" s="2829"/>
      <c r="BE2215" s="2837"/>
      <c r="BF2215" s="156"/>
    </row>
    <row r="2216" spans="1:58" ht="15" customHeight="1" outlineLevel="1" x14ac:dyDescent="0.35">
      <c r="A2216" s="1664"/>
      <c r="B2216" s="2812"/>
      <c r="C2216" s="3077"/>
      <c r="D2216" s="3980"/>
      <c r="E2216" s="3883"/>
      <c r="F2216" s="3984" t="str">
        <f>$E$1700</f>
        <v>ASHP-SEER21-Replace_CAC_ElectricHeat_ER2_SF</v>
      </c>
      <c r="G2216" s="3984"/>
      <c r="H2216" s="3984"/>
      <c r="I2216" s="3984"/>
      <c r="J2216" s="3501" t="str">
        <f>$C$1700</f>
        <v>353550_2021_12_</v>
      </c>
      <c r="K2216" s="3421">
        <v>1496</v>
      </c>
      <c r="L2216" s="704"/>
      <c r="M2216" s="3038"/>
      <c r="N2216" s="106"/>
      <c r="O2216" s="106"/>
      <c r="P2216" s="702"/>
      <c r="Q2216" s="574"/>
      <c r="R2216" s="702"/>
      <c r="S2216" s="106"/>
      <c r="T2216" s="486"/>
      <c r="U2216" s="106"/>
      <c r="V2216" s="3980"/>
      <c r="W2216" s="3421">
        <v>2009</v>
      </c>
      <c r="X2216" s="2374">
        <v>1496</v>
      </c>
      <c r="Y2216" s="3421">
        <v>1496</v>
      </c>
      <c r="Z2216" s="3421">
        <v>1496</v>
      </c>
      <c r="AA2216" s="3421">
        <v>1496</v>
      </c>
      <c r="AB2216" s="3421">
        <v>1496</v>
      </c>
      <c r="AC2216" s="3428">
        <v>1496</v>
      </c>
      <c r="AD2216" s="3421">
        <v>1496</v>
      </c>
      <c r="AE2216" s="3429"/>
      <c r="AF2216" s="3421"/>
      <c r="AG2216" s="3421"/>
      <c r="AH2216" s="156"/>
      <c r="AI2216" s="156"/>
      <c r="AJ2216" s="156"/>
      <c r="AK2216" s="156"/>
      <c r="AL2216" s="156"/>
      <c r="AM2216" s="156"/>
      <c r="AN2216" s="156"/>
      <c r="AO2216" s="156"/>
      <c r="AP2216" s="156"/>
      <c r="AQ2216" s="156"/>
      <c r="AR2216" s="156"/>
      <c r="AS2216" s="156"/>
      <c r="AT2216" s="156"/>
      <c r="AU2216" s="156"/>
      <c r="AV2216" s="156"/>
      <c r="AW2216" s="156"/>
      <c r="AX2216" s="156"/>
      <c r="AY2216" s="156"/>
      <c r="AZ2216" s="156"/>
      <c r="BA2216" s="156"/>
      <c r="BB2216" s="2828"/>
      <c r="BC2216" s="452"/>
      <c r="BD2216" s="2829"/>
      <c r="BE2216" s="2837"/>
      <c r="BF2216" s="156"/>
    </row>
    <row r="2217" spans="1:58" ht="15" customHeight="1" outlineLevel="1" x14ac:dyDescent="0.35">
      <c r="A2217" s="1664"/>
      <c r="B2217" s="2812"/>
      <c r="C2217" s="3077"/>
      <c r="D2217" s="3980"/>
      <c r="E2217" s="3883"/>
      <c r="F2217" s="3984" t="str">
        <f>$E$1702</f>
        <v>ASHP-SEER21-Replace_CAC_NonElectricHeat_ER1_SF</v>
      </c>
      <c r="G2217" s="3984"/>
      <c r="H2217" s="3984"/>
      <c r="I2217" s="3984"/>
      <c r="J2217" s="3501" t="str">
        <f>$C$1702</f>
        <v>353560_2021_12_</v>
      </c>
      <c r="K2217" s="2042">
        <v>1496</v>
      </c>
      <c r="L2217" s="704"/>
      <c r="M2217" s="3038"/>
      <c r="N2217" s="106"/>
      <c r="O2217" s="106"/>
      <c r="P2217" s="702"/>
      <c r="Q2217" s="574"/>
      <c r="R2217" s="702"/>
      <c r="S2217" s="106"/>
      <c r="T2217" s="486"/>
      <c r="U2217" s="106"/>
      <c r="V2217" s="3980"/>
      <c r="W2217" s="3421"/>
      <c r="X2217" s="2374"/>
      <c r="Y2217" s="3421"/>
      <c r="Z2217" s="3421"/>
      <c r="AA2217" s="3421"/>
      <c r="AB2217" s="3421"/>
      <c r="AC2217" s="2292">
        <v>1496</v>
      </c>
      <c r="AD2217" s="2042">
        <v>1496</v>
      </c>
      <c r="AE2217" s="3429"/>
      <c r="AF2217" s="3421"/>
      <c r="AG2217" s="3421"/>
      <c r="AH2217" s="156"/>
      <c r="AI2217" s="156"/>
      <c r="AJ2217" s="156"/>
      <c r="AK2217" s="156"/>
      <c r="AL2217" s="156"/>
      <c r="AM2217" s="156"/>
      <c r="AN2217" s="156"/>
      <c r="AO2217" s="156"/>
      <c r="AP2217" s="156"/>
      <c r="AQ2217" s="156"/>
      <c r="AR2217" s="156"/>
      <c r="AS2217" s="156"/>
      <c r="AT2217" s="156"/>
      <c r="AU2217" s="156"/>
      <c r="AV2217" s="156"/>
      <c r="AW2217" s="156"/>
      <c r="AX2217" s="156"/>
      <c r="AY2217" s="156"/>
      <c r="AZ2217" s="156"/>
      <c r="BA2217" s="156"/>
      <c r="BB2217" s="2828"/>
      <c r="BC2217" s="452"/>
      <c r="BD2217" s="2829"/>
      <c r="BE2217" s="2837"/>
      <c r="BF2217" s="156"/>
    </row>
    <row r="2218" spans="1:58" ht="15" customHeight="1" outlineLevel="1" x14ac:dyDescent="0.35">
      <c r="A2218" s="1664"/>
      <c r="B2218" s="2812"/>
      <c r="C2218" s="3077"/>
      <c r="D2218" s="3980"/>
      <c r="E2218" s="3883"/>
      <c r="F2218" s="3984" t="str">
        <f>$E$1704</f>
        <v>ASHP-SEER21-Replace_CAC_NonElectricHeat_ER2_SF</v>
      </c>
      <c r="G2218" s="3984"/>
      <c r="H2218" s="3984"/>
      <c r="I2218" s="3984"/>
      <c r="J2218" s="3501" t="str">
        <f>$C$1704</f>
        <v>353560_2021_12_</v>
      </c>
      <c r="K2218" s="2042">
        <v>1496</v>
      </c>
      <c r="L2218" s="704"/>
      <c r="M2218" s="3038"/>
      <c r="N2218" s="106"/>
      <c r="O2218" s="106"/>
      <c r="P2218" s="702"/>
      <c r="Q2218" s="574"/>
      <c r="R2218" s="702"/>
      <c r="S2218" s="106"/>
      <c r="T2218" s="486"/>
      <c r="U2218" s="106"/>
      <c r="V2218" s="3980"/>
      <c r="W2218" s="3421"/>
      <c r="X2218" s="2374"/>
      <c r="Y2218" s="3421"/>
      <c r="Z2218" s="3421"/>
      <c r="AA2218" s="3421"/>
      <c r="AB2218" s="3421"/>
      <c r="AC2218" s="2292">
        <v>1496</v>
      </c>
      <c r="AD2218" s="2042">
        <v>1496</v>
      </c>
      <c r="AE2218" s="3429"/>
      <c r="AF2218" s="3421"/>
      <c r="AG2218" s="3421"/>
      <c r="AH2218" s="156"/>
      <c r="AI2218" s="156"/>
      <c r="AJ2218" s="156"/>
      <c r="AK2218" s="156"/>
      <c r="AL2218" s="156"/>
      <c r="AM2218" s="156"/>
      <c r="AN2218" s="156"/>
      <c r="AO2218" s="156"/>
      <c r="AP2218" s="156"/>
      <c r="AQ2218" s="156"/>
      <c r="AR2218" s="156"/>
      <c r="AS2218" s="156"/>
      <c r="AT2218" s="156"/>
      <c r="AU2218" s="156"/>
      <c r="AV2218" s="156"/>
      <c r="AW2218" s="156"/>
      <c r="AX2218" s="156"/>
      <c r="AY2218" s="156"/>
      <c r="AZ2218" s="156"/>
      <c r="BA2218" s="156"/>
      <c r="BB2218" s="2828"/>
      <c r="BC2218" s="452"/>
      <c r="BD2218" s="2829"/>
      <c r="BE2218" s="2837"/>
      <c r="BF2218" s="156"/>
    </row>
    <row r="2219" spans="1:58" ht="15" customHeight="1" outlineLevel="1" x14ac:dyDescent="0.35">
      <c r="A2219" s="1664"/>
      <c r="B2219" s="2812"/>
      <c r="C2219" s="3077"/>
      <c r="D2219" s="3980"/>
      <c r="E2219" s="3883"/>
      <c r="F2219" s="3984" t="str">
        <f>$E$1706</f>
        <v>ASHP-SEER21-Replace_CAC_ElectricHeat_ER1_MF</v>
      </c>
      <c r="G2219" s="3984"/>
      <c r="H2219" s="3984"/>
      <c r="I2219" s="3984"/>
      <c r="J2219" s="3501" t="str">
        <f>$C$1706</f>
        <v>353600_2019_12_</v>
      </c>
      <c r="K2219" s="3421">
        <v>1496</v>
      </c>
      <c r="L2219" s="704"/>
      <c r="M2219" s="3038"/>
      <c r="N2219" s="106"/>
      <c r="O2219" s="106"/>
      <c r="P2219" s="702"/>
      <c r="Q2219" s="574"/>
      <c r="R2219" s="702"/>
      <c r="S2219" s="106"/>
      <c r="T2219" s="486"/>
      <c r="U2219" s="106"/>
      <c r="V2219" s="3980"/>
      <c r="W2219" s="3421">
        <v>2009</v>
      </c>
      <c r="X2219" s="2374">
        <v>1496</v>
      </c>
      <c r="Y2219" s="3421">
        <v>1496</v>
      </c>
      <c r="Z2219" s="3421">
        <v>1496</v>
      </c>
      <c r="AA2219" s="3421">
        <v>1496</v>
      </c>
      <c r="AB2219" s="3421">
        <v>1496</v>
      </c>
      <c r="AC2219" s="3428">
        <v>1496</v>
      </c>
      <c r="AD2219" s="3421">
        <v>1496</v>
      </c>
      <c r="AE2219" s="3429"/>
      <c r="AF2219" s="3421"/>
      <c r="AG2219" s="3421"/>
      <c r="AH2219" s="156"/>
      <c r="AI2219" s="156"/>
      <c r="AJ2219" s="156"/>
      <c r="AK2219" s="156"/>
      <c r="AL2219" s="156"/>
      <c r="AM2219" s="156"/>
      <c r="AN2219" s="156"/>
      <c r="AO2219" s="156"/>
      <c r="AP2219" s="156"/>
      <c r="AQ2219" s="156"/>
      <c r="AR2219" s="156"/>
      <c r="AS2219" s="156"/>
      <c r="AT2219" s="156"/>
      <c r="AU2219" s="156"/>
      <c r="AV2219" s="156"/>
      <c r="AW2219" s="156"/>
      <c r="AX2219" s="156"/>
      <c r="AY2219" s="156"/>
      <c r="AZ2219" s="156"/>
      <c r="BA2219" s="156"/>
      <c r="BB2219" s="2828"/>
      <c r="BC2219" s="452"/>
      <c r="BD2219" s="2829"/>
      <c r="BE2219" s="2837"/>
      <c r="BF2219" s="156"/>
    </row>
    <row r="2220" spans="1:58" ht="15" customHeight="1" outlineLevel="1" x14ac:dyDescent="0.35">
      <c r="A2220" s="1664"/>
      <c r="B2220" s="2812"/>
      <c r="C2220" s="3077"/>
      <c r="D2220" s="3980"/>
      <c r="E2220" s="3883"/>
      <c r="F2220" s="3984" t="str">
        <f>$E$1708</f>
        <v>ASHP-SEER21-Replace_CAC_ElectricHeat_ER2_MF</v>
      </c>
      <c r="G2220" s="3984"/>
      <c r="H2220" s="3984"/>
      <c r="I2220" s="3984"/>
      <c r="J2220" s="3501" t="str">
        <f>$C$1708</f>
        <v>353600_2019_12_</v>
      </c>
      <c r="K2220" s="3421">
        <v>1496</v>
      </c>
      <c r="L2220" s="704"/>
      <c r="M2220" s="3038"/>
      <c r="N2220" s="106"/>
      <c r="O2220" s="106"/>
      <c r="P2220" s="702"/>
      <c r="Q2220" s="574"/>
      <c r="R2220" s="702"/>
      <c r="S2220" s="106"/>
      <c r="T2220" s="486"/>
      <c r="U2220" s="106"/>
      <c r="V2220" s="3980"/>
      <c r="W2220" s="3421">
        <v>2009</v>
      </c>
      <c r="X2220" s="2374">
        <v>1496</v>
      </c>
      <c r="Y2220" s="3421">
        <v>1496</v>
      </c>
      <c r="Z2220" s="3421">
        <v>1496</v>
      </c>
      <c r="AA2220" s="3421">
        <v>1496</v>
      </c>
      <c r="AB2220" s="3421">
        <v>1496</v>
      </c>
      <c r="AC2220" s="3428">
        <v>1496</v>
      </c>
      <c r="AD2220" s="3421">
        <v>1496</v>
      </c>
      <c r="AE2220" s="3429"/>
      <c r="AF2220" s="3421"/>
      <c r="AG2220" s="3421"/>
      <c r="AH2220" s="156"/>
      <c r="AI2220" s="156"/>
      <c r="AJ2220" s="156"/>
      <c r="AK2220" s="156"/>
      <c r="AL2220" s="156"/>
      <c r="AM2220" s="156"/>
      <c r="AN2220" s="156"/>
      <c r="AO2220" s="156"/>
      <c r="AP2220" s="156"/>
      <c r="AQ2220" s="156"/>
      <c r="AR2220" s="156"/>
      <c r="AS2220" s="156"/>
      <c r="AT2220" s="156"/>
      <c r="AU2220" s="156"/>
      <c r="AV2220" s="156"/>
      <c r="AW2220" s="156"/>
      <c r="AX2220" s="156"/>
      <c r="AY2220" s="156"/>
      <c r="AZ2220" s="156"/>
      <c r="BA2220" s="156"/>
      <c r="BB2220" s="2828"/>
      <c r="BC2220" s="452"/>
      <c r="BD2220" s="2829"/>
      <c r="BE2220" s="2837"/>
      <c r="BF2220" s="156"/>
    </row>
    <row r="2221" spans="1:58" ht="15" customHeight="1" outlineLevel="1" x14ac:dyDescent="0.35">
      <c r="A2221" s="1664"/>
      <c r="B2221" s="2812"/>
      <c r="C2221" s="3077"/>
      <c r="D2221" s="3980"/>
      <c r="E2221" s="3883"/>
      <c r="F2221" s="3984" t="str">
        <f>$E$1710</f>
        <v>ASHP-SEER21-Replace_CAC_ElectricHeat_ER1_MF_CompE</v>
      </c>
      <c r="G2221" s="3984"/>
      <c r="H2221" s="3984"/>
      <c r="I2221" s="3984"/>
      <c r="J2221" s="3501" t="str">
        <f>$C$1710</f>
        <v>353601_2019_12_</v>
      </c>
      <c r="K2221" s="3421">
        <v>510</v>
      </c>
      <c r="L2221" s="704"/>
      <c r="M2221" s="3038" t="s">
        <v>1508</v>
      </c>
      <c r="N2221" s="106"/>
      <c r="O2221" s="106"/>
      <c r="P2221" s="702"/>
      <c r="Q2221" s="574"/>
      <c r="R2221" s="702"/>
      <c r="S2221" s="106"/>
      <c r="T2221" s="486"/>
      <c r="U2221" s="106"/>
      <c r="V2221" s="3980"/>
      <c r="W2221" s="3421"/>
      <c r="X2221" s="2374"/>
      <c r="Y2221" s="2374">
        <v>510</v>
      </c>
      <c r="Z2221" s="3421">
        <v>510</v>
      </c>
      <c r="AA2221" s="3421">
        <v>510</v>
      </c>
      <c r="AB2221" s="3421">
        <v>510</v>
      </c>
      <c r="AC2221" s="3428">
        <v>510</v>
      </c>
      <c r="AD2221" s="3421">
        <v>510</v>
      </c>
      <c r="AE2221" s="3429"/>
      <c r="AF2221" s="3421"/>
      <c r="AG2221" s="3421"/>
      <c r="AH2221" s="156"/>
      <c r="AI2221" s="156"/>
      <c r="AJ2221" s="156"/>
      <c r="AK2221" s="156"/>
      <c r="AL2221" s="156"/>
      <c r="AM2221" s="156"/>
      <c r="AN2221" s="156"/>
      <c r="AO2221" s="156"/>
      <c r="AP2221" s="156"/>
      <c r="AQ2221" s="156"/>
      <c r="AR2221" s="156"/>
      <c r="AS2221" s="156"/>
      <c r="AT2221" s="156"/>
      <c r="AU2221" s="156"/>
      <c r="AV2221" s="156"/>
      <c r="AW2221" s="156"/>
      <c r="AX2221" s="156"/>
      <c r="AY2221" s="156"/>
      <c r="AZ2221" s="156"/>
      <c r="BA2221" s="156"/>
      <c r="BB2221" s="2828"/>
      <c r="BC2221" s="452"/>
      <c r="BD2221" s="2829"/>
      <c r="BE2221" s="2837"/>
      <c r="BF2221" s="156"/>
    </row>
    <row r="2222" spans="1:58" ht="15" customHeight="1" outlineLevel="1" x14ac:dyDescent="0.35">
      <c r="A2222" s="1664"/>
      <c r="B2222" s="2812"/>
      <c r="C2222" s="3077"/>
      <c r="D2222" s="3980"/>
      <c r="E2222" s="3883"/>
      <c r="F2222" s="3984" t="str">
        <f>$E$1712</f>
        <v>ASHP-SEER21-Replace_CAC_ElectricHeat_ER2_MF_CompE</v>
      </c>
      <c r="G2222" s="3984"/>
      <c r="H2222" s="3984"/>
      <c r="I2222" s="3984"/>
      <c r="J2222" s="3501" t="str">
        <f>$C$1712</f>
        <v>353601_2019_12_</v>
      </c>
      <c r="K2222" s="3421">
        <v>510</v>
      </c>
      <c r="L2222" s="704"/>
      <c r="M2222" s="3038" t="s">
        <v>1508</v>
      </c>
      <c r="N2222" s="106"/>
      <c r="O2222" s="106"/>
      <c r="P2222" s="702"/>
      <c r="Q2222" s="574"/>
      <c r="R2222" s="702"/>
      <c r="S2222" s="106"/>
      <c r="T2222" s="486"/>
      <c r="U2222" s="106"/>
      <c r="V2222" s="3980"/>
      <c r="W2222" s="3421"/>
      <c r="X2222" s="2374"/>
      <c r="Y2222" s="2374">
        <v>510</v>
      </c>
      <c r="Z2222" s="3421">
        <v>510</v>
      </c>
      <c r="AA2222" s="3421">
        <v>510</v>
      </c>
      <c r="AB2222" s="3421">
        <v>510</v>
      </c>
      <c r="AC2222" s="3428">
        <v>510</v>
      </c>
      <c r="AD2222" s="3421">
        <v>510</v>
      </c>
      <c r="AE2222" s="3429"/>
      <c r="AF2222" s="3421"/>
      <c r="AG2222" s="3421"/>
      <c r="AH2222" s="156"/>
      <c r="AI2222" s="156"/>
      <c r="AJ2222" s="156"/>
      <c r="AK2222" s="156"/>
      <c r="AL2222" s="156"/>
      <c r="AM2222" s="156"/>
      <c r="AN2222" s="156"/>
      <c r="AO2222" s="156"/>
      <c r="AP2222" s="156"/>
      <c r="AQ2222" s="156"/>
      <c r="AR2222" s="156"/>
      <c r="AS2222" s="156"/>
      <c r="AT2222" s="156"/>
      <c r="AU2222" s="156"/>
      <c r="AV2222" s="156"/>
      <c r="AW2222" s="156"/>
      <c r="AX2222" s="156"/>
      <c r="AY2222" s="156"/>
      <c r="AZ2222" s="156"/>
      <c r="BA2222" s="156"/>
      <c r="BB2222" s="2828"/>
      <c r="BC2222" s="452"/>
      <c r="BD2222" s="2829"/>
      <c r="BE2222" s="2837"/>
      <c r="BF2222" s="156"/>
    </row>
    <row r="2223" spans="1:58" ht="15" customHeight="1" outlineLevel="1" x14ac:dyDescent="0.35">
      <c r="A2223" s="1664"/>
      <c r="B2223" s="2812"/>
      <c r="C2223" s="3077"/>
      <c r="D2223" s="3980"/>
      <c r="E2223" s="3883"/>
      <c r="F2223" s="3984" t="str">
        <f>$E$1714</f>
        <v>ASHP-SEER21-Replace_CAC_NonElectricHeat_ER1_MF</v>
      </c>
      <c r="G2223" s="3984"/>
      <c r="H2223" s="3984"/>
      <c r="I2223" s="3984"/>
      <c r="J2223" s="3501" t="str">
        <f>$C$1714</f>
        <v>353610_2021_12_</v>
      </c>
      <c r="K2223" s="2042">
        <v>1496</v>
      </c>
      <c r="L2223" s="704"/>
      <c r="M2223" s="3038"/>
      <c r="N2223" s="106"/>
      <c r="O2223" s="106"/>
      <c r="P2223" s="702"/>
      <c r="Q2223" s="574"/>
      <c r="R2223" s="702"/>
      <c r="S2223" s="106"/>
      <c r="T2223" s="486"/>
      <c r="U2223" s="106"/>
      <c r="V2223" s="3980"/>
      <c r="W2223" s="3421"/>
      <c r="X2223" s="2374"/>
      <c r="Y2223" s="2374"/>
      <c r="Z2223" s="3421"/>
      <c r="AA2223" s="3421"/>
      <c r="AB2223" s="3421"/>
      <c r="AC2223" s="2292">
        <v>1496</v>
      </c>
      <c r="AD2223" s="2042">
        <v>1496</v>
      </c>
      <c r="AE2223" s="3429"/>
      <c r="AF2223" s="3421"/>
      <c r="AG2223" s="3421"/>
      <c r="AH2223" s="156"/>
      <c r="AI2223" s="156"/>
      <c r="AJ2223" s="156"/>
      <c r="AK2223" s="156"/>
      <c r="AL2223" s="156"/>
      <c r="AM2223" s="156"/>
      <c r="AN2223" s="156"/>
      <c r="AO2223" s="156"/>
      <c r="AP2223" s="156"/>
      <c r="AQ2223" s="156"/>
      <c r="AR2223" s="156"/>
      <c r="AS2223" s="156"/>
      <c r="AT2223" s="156"/>
      <c r="AU2223" s="156"/>
      <c r="AV2223" s="156"/>
      <c r="AW2223" s="156"/>
      <c r="AX2223" s="156"/>
      <c r="AY2223" s="156"/>
      <c r="AZ2223" s="156"/>
      <c r="BA2223" s="156"/>
      <c r="BB2223" s="2828"/>
      <c r="BC2223" s="452"/>
      <c r="BD2223" s="2829"/>
      <c r="BE2223" s="2837"/>
      <c r="BF2223" s="156"/>
    </row>
    <row r="2224" spans="1:58" ht="15" customHeight="1" outlineLevel="1" x14ac:dyDescent="0.35">
      <c r="A2224" s="1664"/>
      <c r="B2224" s="2812"/>
      <c r="C2224" s="3077"/>
      <c r="D2224" s="3980"/>
      <c r="E2224" s="3883"/>
      <c r="F2224" s="3984" t="str">
        <f>$E$1716</f>
        <v>ASHP-SEER21-Replace_CAC_NonElectricHeat_ER2_MF</v>
      </c>
      <c r="G2224" s="3984"/>
      <c r="H2224" s="3984"/>
      <c r="I2224" s="3984"/>
      <c r="J2224" s="3501" t="str">
        <f>$C$1716</f>
        <v>353610_2021_12_</v>
      </c>
      <c r="K2224" s="2042">
        <v>1496</v>
      </c>
      <c r="L2224" s="704"/>
      <c r="M2224" s="3038"/>
      <c r="N2224" s="106"/>
      <c r="O2224" s="106"/>
      <c r="P2224" s="702"/>
      <c r="Q2224" s="574"/>
      <c r="R2224" s="702"/>
      <c r="S2224" s="106"/>
      <c r="T2224" s="486"/>
      <c r="U2224" s="106"/>
      <c r="V2224" s="3980"/>
      <c r="W2224" s="3421"/>
      <c r="X2224" s="2374"/>
      <c r="Y2224" s="2374"/>
      <c r="Z2224" s="3421"/>
      <c r="AA2224" s="3421"/>
      <c r="AB2224" s="3421"/>
      <c r="AC2224" s="2292">
        <v>1496</v>
      </c>
      <c r="AD2224" s="2042">
        <v>1496</v>
      </c>
      <c r="AE2224" s="3429"/>
      <c r="AF2224" s="3421"/>
      <c r="AG2224" s="3421"/>
      <c r="AH2224" s="156"/>
      <c r="AI2224" s="156"/>
      <c r="AJ2224" s="156"/>
      <c r="AK2224" s="156"/>
      <c r="AL2224" s="156"/>
      <c r="AM2224" s="156"/>
      <c r="AN2224" s="156"/>
      <c r="AO2224" s="156"/>
      <c r="AP2224" s="156"/>
      <c r="AQ2224" s="156"/>
      <c r="AR2224" s="156"/>
      <c r="AS2224" s="156"/>
      <c r="AT2224" s="156"/>
      <c r="AU2224" s="156"/>
      <c r="AV2224" s="156"/>
      <c r="AW2224" s="156"/>
      <c r="AX2224" s="156"/>
      <c r="AY2224" s="156"/>
      <c r="AZ2224" s="156"/>
      <c r="BA2224" s="156"/>
      <c r="BB2224" s="2828"/>
      <c r="BC2224" s="452"/>
      <c r="BD2224" s="2829"/>
      <c r="BE2224" s="2837"/>
      <c r="BF2224" s="156"/>
    </row>
    <row r="2225" spans="1:58" ht="15" customHeight="1" outlineLevel="1" x14ac:dyDescent="0.35">
      <c r="A2225" s="1664"/>
      <c r="B2225" s="2812"/>
      <c r="C2225" s="3077"/>
      <c r="D2225" s="3980"/>
      <c r="E2225" s="3883"/>
      <c r="F2225" s="3984" t="str">
        <f>$E$1718</f>
        <v>ASHP-SEER21-Replace_CAC_NonElectricHeat_ER1_MF_CompE</v>
      </c>
      <c r="G2225" s="3984"/>
      <c r="H2225" s="3984"/>
      <c r="I2225" s="3984"/>
      <c r="J2225" s="3501" t="str">
        <f>$C$1718</f>
        <v>353611_2021_12_</v>
      </c>
      <c r="K2225" s="2042">
        <v>510</v>
      </c>
      <c r="L2225" s="704"/>
      <c r="M2225" s="3038"/>
      <c r="N2225" s="106"/>
      <c r="O2225" s="106"/>
      <c r="P2225" s="702"/>
      <c r="Q2225" s="574"/>
      <c r="R2225" s="702"/>
      <c r="S2225" s="106"/>
      <c r="T2225" s="486"/>
      <c r="U2225" s="106"/>
      <c r="V2225" s="3980"/>
      <c r="W2225" s="3421"/>
      <c r="X2225" s="2374"/>
      <c r="Y2225" s="2374"/>
      <c r="Z2225" s="3421"/>
      <c r="AA2225" s="3421"/>
      <c r="AB2225" s="3421"/>
      <c r="AC2225" s="2292">
        <v>510</v>
      </c>
      <c r="AD2225" s="2042">
        <v>510</v>
      </c>
      <c r="AE2225" s="3429"/>
      <c r="AF2225" s="3421"/>
      <c r="AG2225" s="3421"/>
      <c r="AH2225" s="156"/>
      <c r="AI2225" s="156"/>
      <c r="AJ2225" s="156"/>
      <c r="AK2225" s="156"/>
      <c r="AL2225" s="156"/>
      <c r="AM2225" s="156"/>
      <c r="AN2225" s="156"/>
      <c r="AO2225" s="156"/>
      <c r="AP2225" s="156"/>
      <c r="AQ2225" s="156"/>
      <c r="AR2225" s="156"/>
      <c r="AS2225" s="156"/>
      <c r="AT2225" s="156"/>
      <c r="AU2225" s="156"/>
      <c r="AV2225" s="156"/>
      <c r="AW2225" s="156"/>
      <c r="AX2225" s="156"/>
      <c r="AY2225" s="156"/>
      <c r="AZ2225" s="156"/>
      <c r="BA2225" s="156"/>
      <c r="BB2225" s="2828"/>
      <c r="BC2225" s="452"/>
      <c r="BD2225" s="2829"/>
      <c r="BE2225" s="2837"/>
      <c r="BF2225" s="156"/>
    </row>
    <row r="2226" spans="1:58" ht="15" customHeight="1" outlineLevel="1" x14ac:dyDescent="0.35">
      <c r="A2226" s="1664"/>
      <c r="B2226" s="2812"/>
      <c r="C2226" s="3077"/>
      <c r="D2226" s="3980"/>
      <c r="E2226" s="3883"/>
      <c r="F2226" s="3984" t="str">
        <f>$E$1720</f>
        <v>ASHP-SEER21-Replace_CAC_NonElectricHeat_ER2_MF_CompE</v>
      </c>
      <c r="G2226" s="3984"/>
      <c r="H2226" s="3984"/>
      <c r="I2226" s="3984"/>
      <c r="J2226" s="3501" t="str">
        <f>$C$1720</f>
        <v>353611_2021_12_</v>
      </c>
      <c r="K2226" s="2042">
        <v>510</v>
      </c>
      <c r="L2226" s="704"/>
      <c r="M2226" s="3038"/>
      <c r="N2226" s="106"/>
      <c r="O2226" s="106"/>
      <c r="P2226" s="702"/>
      <c r="Q2226" s="574"/>
      <c r="R2226" s="702"/>
      <c r="S2226" s="106"/>
      <c r="T2226" s="486"/>
      <c r="U2226" s="106"/>
      <c r="V2226" s="3980"/>
      <c r="W2226" s="3421"/>
      <c r="X2226" s="2374"/>
      <c r="Y2226" s="2374"/>
      <c r="Z2226" s="3421"/>
      <c r="AA2226" s="3421"/>
      <c r="AB2226" s="3421"/>
      <c r="AC2226" s="2292">
        <v>510</v>
      </c>
      <c r="AD2226" s="2042">
        <v>510</v>
      </c>
      <c r="AE2226" s="3429"/>
      <c r="AF2226" s="3421"/>
      <c r="AG2226" s="3421"/>
      <c r="AH2226" s="156"/>
      <c r="AI2226" s="156"/>
      <c r="AJ2226" s="156"/>
      <c r="AK2226" s="156"/>
      <c r="AL2226" s="156"/>
      <c r="AM2226" s="156"/>
      <c r="AN2226" s="156"/>
      <c r="AO2226" s="156"/>
      <c r="AP2226" s="156"/>
      <c r="AQ2226" s="156"/>
      <c r="AR2226" s="156"/>
      <c r="AS2226" s="156"/>
      <c r="AT2226" s="156"/>
      <c r="AU2226" s="156"/>
      <c r="AV2226" s="156"/>
      <c r="AW2226" s="156"/>
      <c r="AX2226" s="156"/>
      <c r="AY2226" s="156"/>
      <c r="AZ2226" s="156"/>
      <c r="BA2226" s="156"/>
      <c r="BB2226" s="2828"/>
      <c r="BC2226" s="452"/>
      <c r="BD2226" s="2829"/>
      <c r="BE2226" s="2837"/>
      <c r="BF2226" s="156"/>
    </row>
    <row r="2227" spans="1:58" ht="15" customHeight="1" outlineLevel="1" x14ac:dyDescent="0.35">
      <c r="A2227" s="1664"/>
      <c r="B2227" s="2812"/>
      <c r="C2227" s="3077"/>
      <c r="D2227" s="3980"/>
      <c r="E2227" s="3883"/>
      <c r="F2227" s="3984" t="str">
        <f>$E$1722</f>
        <v>ASHP-SEER21-Replace_CAC_ElectricHeat_ROF_SF</v>
      </c>
      <c r="G2227" s="3984"/>
      <c r="H2227" s="3984"/>
      <c r="I2227" s="3984"/>
      <c r="J2227" s="3501" t="str">
        <f>$C$1722</f>
        <v>353650_2021_12_</v>
      </c>
      <c r="K2227" s="3421">
        <v>1496</v>
      </c>
      <c r="L2227" s="704"/>
      <c r="M2227" s="3038"/>
      <c r="N2227" s="106"/>
      <c r="O2227" s="106"/>
      <c r="P2227" s="702"/>
      <c r="Q2227" s="574"/>
      <c r="R2227" s="702"/>
      <c r="S2227" s="106"/>
      <c r="T2227" s="486"/>
      <c r="U2227" s="106"/>
      <c r="V2227" s="3980"/>
      <c r="W2227" s="3421">
        <v>2009</v>
      </c>
      <c r="X2227" s="2374">
        <v>1496</v>
      </c>
      <c r="Y2227" s="3421">
        <v>1496</v>
      </c>
      <c r="Z2227" s="3421">
        <v>1496</v>
      </c>
      <c r="AA2227" s="3421">
        <v>1496</v>
      </c>
      <c r="AB2227" s="3421">
        <v>1496</v>
      </c>
      <c r="AC2227" s="3428">
        <v>1496</v>
      </c>
      <c r="AD2227" s="3421">
        <v>1496</v>
      </c>
      <c r="AE2227" s="3429"/>
      <c r="AF2227" s="3421"/>
      <c r="AG2227" s="3421"/>
      <c r="AH2227" s="156"/>
      <c r="AI2227" s="156"/>
      <c r="AJ2227" s="156"/>
      <c r="AK2227" s="156"/>
      <c r="AL2227" s="156"/>
      <c r="AM2227" s="156"/>
      <c r="AN2227" s="156"/>
      <c r="AO2227" s="156"/>
      <c r="AP2227" s="156"/>
      <c r="AQ2227" s="156"/>
      <c r="AR2227" s="156"/>
      <c r="AS2227" s="156"/>
      <c r="AT2227" s="156"/>
      <c r="AU2227" s="156"/>
      <c r="AV2227" s="156"/>
      <c r="AW2227" s="156"/>
      <c r="AX2227" s="156"/>
      <c r="AY2227" s="156"/>
      <c r="AZ2227" s="156"/>
      <c r="BA2227" s="156"/>
      <c r="BB2227" s="2828"/>
      <c r="BC2227" s="452"/>
      <c r="BD2227" s="2829"/>
      <c r="BE2227" s="2837"/>
      <c r="BF2227" s="156"/>
    </row>
    <row r="2228" spans="1:58" s="3398" customFormat="1" ht="15" customHeight="1" outlineLevel="1" x14ac:dyDescent="0.35">
      <c r="A2228" s="1664"/>
      <c r="B2228" s="2812"/>
      <c r="C2228" s="3077"/>
      <c r="D2228" s="3980"/>
      <c r="E2228" s="3883"/>
      <c r="F2228" s="4136" t="str">
        <f>$E$1724</f>
        <v>ASHP-SEER21-Replace_CAC_NonElectricHeat_ROF_SF</v>
      </c>
      <c r="G2228" s="4136"/>
      <c r="H2228" s="4136"/>
      <c r="I2228" s="4136"/>
      <c r="J2228" s="3502" t="str">
        <f>$C$1724</f>
        <v>353660_2022_12_</v>
      </c>
      <c r="K2228" s="2374">
        <v>1496</v>
      </c>
      <c r="L2228" s="704"/>
      <c r="M2228" s="3038"/>
      <c r="P2228" s="702"/>
      <c r="Q2228" s="574"/>
      <c r="R2228" s="702"/>
      <c r="T2228" s="3397"/>
      <c r="V2228" s="3980"/>
      <c r="W2228" s="3421"/>
      <c r="X2228" s="2374"/>
      <c r="Y2228" s="3421"/>
      <c r="Z2228" s="3421"/>
      <c r="AA2228" s="3421"/>
      <c r="AB2228" s="3421"/>
      <c r="AC2228" s="3428"/>
      <c r="AD2228" s="2374">
        <v>1496</v>
      </c>
      <c r="AE2228" s="3429"/>
      <c r="AF2228" s="3421"/>
      <c r="AG2228" s="3421"/>
      <c r="AH2228" s="156"/>
      <c r="AI2228" s="156"/>
      <c r="AJ2228" s="156"/>
      <c r="AK2228" s="156"/>
      <c r="AL2228" s="156"/>
      <c r="AM2228" s="156"/>
      <c r="AN2228" s="156"/>
      <c r="AO2228" s="156"/>
      <c r="AP2228" s="156"/>
      <c r="AQ2228" s="156"/>
      <c r="AR2228" s="156"/>
      <c r="AS2228" s="156"/>
      <c r="AT2228" s="156"/>
      <c r="AU2228" s="156"/>
      <c r="AV2228" s="156"/>
      <c r="AW2228" s="156"/>
      <c r="AX2228" s="156"/>
      <c r="AY2228" s="156"/>
      <c r="AZ2228" s="156"/>
      <c r="BA2228" s="156"/>
      <c r="BB2228" s="2828"/>
      <c r="BC2228" s="452"/>
      <c r="BD2228" s="2829"/>
      <c r="BE2228" s="2837"/>
      <c r="BF2228" s="156"/>
    </row>
    <row r="2229" spans="1:58" ht="15" customHeight="1" outlineLevel="1" x14ac:dyDescent="0.35">
      <c r="A2229" s="1664"/>
      <c r="B2229" s="2812"/>
      <c r="C2229" s="3077"/>
      <c r="D2229" s="3980"/>
      <c r="E2229" s="3883"/>
      <c r="F2229" s="3984" t="str">
        <f>$E$1726</f>
        <v>ASHP-SEER21+-Replace_CAC_ElectricHeat_ROF_MF</v>
      </c>
      <c r="G2229" s="3984"/>
      <c r="H2229" s="3984"/>
      <c r="I2229" s="3984"/>
      <c r="J2229" s="3501" t="str">
        <f>$C$1726</f>
        <v>353700_2019_12_</v>
      </c>
      <c r="K2229" s="3421">
        <v>1496</v>
      </c>
      <c r="L2229" s="704"/>
      <c r="M2229" s="3038"/>
      <c r="N2229" s="106"/>
      <c r="O2229" s="106"/>
      <c r="P2229" s="702"/>
      <c r="Q2229" s="574"/>
      <c r="R2229" s="702"/>
      <c r="S2229" s="106"/>
      <c r="T2229" s="486"/>
      <c r="U2229" s="106"/>
      <c r="V2229" s="3980"/>
      <c r="W2229" s="3421">
        <v>2009</v>
      </c>
      <c r="X2229" s="2374">
        <v>1496</v>
      </c>
      <c r="Y2229" s="3421">
        <v>1496</v>
      </c>
      <c r="Z2229" s="3421">
        <v>1496</v>
      </c>
      <c r="AA2229" s="3421">
        <v>1496</v>
      </c>
      <c r="AB2229" s="3421">
        <v>1496</v>
      </c>
      <c r="AC2229" s="3428">
        <v>1496</v>
      </c>
      <c r="AD2229" s="3421">
        <v>1496</v>
      </c>
      <c r="AE2229" s="3429"/>
      <c r="AF2229" s="3421"/>
      <c r="AG2229" s="3421"/>
      <c r="AH2229" s="156"/>
      <c r="AI2229" s="156"/>
      <c r="AJ2229" s="156"/>
      <c r="AK2229" s="156"/>
      <c r="AL2229" s="156"/>
      <c r="AM2229" s="156"/>
      <c r="AN2229" s="156"/>
      <c r="AO2229" s="156"/>
      <c r="AP2229" s="156"/>
      <c r="AQ2229" s="156"/>
      <c r="AR2229" s="156"/>
      <c r="AS2229" s="156"/>
      <c r="AT2229" s="156"/>
      <c r="AU2229" s="156"/>
      <c r="AV2229" s="156"/>
      <c r="AW2229" s="156"/>
      <c r="AX2229" s="156"/>
      <c r="AY2229" s="156"/>
      <c r="AZ2229" s="156"/>
      <c r="BA2229" s="156"/>
      <c r="BB2229" s="2828"/>
      <c r="BC2229" s="452"/>
      <c r="BD2229" s="2829"/>
      <c r="BE2229" s="2837"/>
      <c r="BF2229" s="156"/>
    </row>
    <row r="2230" spans="1:58" ht="15" customHeight="1" outlineLevel="1" x14ac:dyDescent="0.35">
      <c r="A2230" s="1664"/>
      <c r="B2230" s="2812"/>
      <c r="C2230" s="3077"/>
      <c r="D2230" s="3980"/>
      <c r="E2230" s="3883"/>
      <c r="F2230" s="3984" t="str">
        <f>$E$1728</f>
        <v>ASHP-SEER21+-Replace_CAC_ElectricHeat_ROF_MF_CompE</v>
      </c>
      <c r="G2230" s="3984"/>
      <c r="H2230" s="3984"/>
      <c r="I2230" s="3984"/>
      <c r="J2230" s="3501" t="str">
        <f>$C$1728</f>
        <v>353701_2019_12_</v>
      </c>
      <c r="K2230" s="3421">
        <v>510</v>
      </c>
      <c r="L2230" s="704"/>
      <c r="M2230" s="3038" t="s">
        <v>1508</v>
      </c>
      <c r="N2230" s="106"/>
      <c r="O2230" s="106"/>
      <c r="P2230" s="702"/>
      <c r="Q2230" s="574"/>
      <c r="R2230" s="702"/>
      <c r="S2230" s="106"/>
      <c r="T2230" s="486"/>
      <c r="U2230" s="106"/>
      <c r="V2230" s="3980"/>
      <c r="W2230" s="3421"/>
      <c r="X2230" s="2374"/>
      <c r="Y2230" s="3421">
        <v>510</v>
      </c>
      <c r="Z2230" s="3421">
        <v>510</v>
      </c>
      <c r="AA2230" s="3421">
        <v>510</v>
      </c>
      <c r="AB2230" s="3421">
        <v>510</v>
      </c>
      <c r="AC2230" s="3428">
        <v>510</v>
      </c>
      <c r="AD2230" s="3421">
        <v>510</v>
      </c>
      <c r="AE2230" s="3429"/>
      <c r="AF2230" s="3421"/>
      <c r="AG2230" s="3421"/>
      <c r="AH2230" s="156"/>
      <c r="AI2230" s="156"/>
      <c r="AJ2230" s="156"/>
      <c r="AK2230" s="156"/>
      <c r="AL2230" s="156"/>
      <c r="AM2230" s="156"/>
      <c r="AN2230" s="156"/>
      <c r="AO2230" s="156"/>
      <c r="AP2230" s="156"/>
      <c r="AQ2230" s="156"/>
      <c r="AR2230" s="156"/>
      <c r="AS2230" s="156"/>
      <c r="AT2230" s="156"/>
      <c r="AU2230" s="156"/>
      <c r="AV2230" s="156"/>
      <c r="AW2230" s="156"/>
      <c r="AX2230" s="156"/>
      <c r="AY2230" s="156"/>
      <c r="AZ2230" s="156"/>
      <c r="BA2230" s="156"/>
      <c r="BB2230" s="2828"/>
      <c r="BC2230" s="452"/>
      <c r="BD2230" s="2829"/>
      <c r="BE2230" s="2837"/>
      <c r="BF2230" s="156"/>
    </row>
    <row r="2231" spans="1:58" ht="15" customHeight="1" outlineLevel="1" x14ac:dyDescent="0.35">
      <c r="A2231" s="1664"/>
      <c r="B2231" s="2812"/>
      <c r="C2231" s="3077"/>
      <c r="D2231" s="3980"/>
      <c r="E2231" s="3883"/>
      <c r="F2231" s="3984" t="str">
        <f>$E$1730</f>
        <v>ASHP-SEER21+-Replace_CAC_NonElectricHeat_ROF_MF</v>
      </c>
      <c r="G2231" s="3984"/>
      <c r="H2231" s="3984"/>
      <c r="I2231" s="3984"/>
      <c r="J2231" s="3501" t="str">
        <f>$C$1730</f>
        <v>353710_2021_12_</v>
      </c>
      <c r="K2231" s="2042">
        <v>1496</v>
      </c>
      <c r="L2231" s="704"/>
      <c r="M2231" s="3038"/>
      <c r="N2231" s="106"/>
      <c r="O2231" s="106"/>
      <c r="P2231" s="702"/>
      <c r="Q2231" s="574"/>
      <c r="R2231" s="702"/>
      <c r="S2231" s="106"/>
      <c r="T2231" s="486"/>
      <c r="U2231" s="106"/>
      <c r="V2231" s="3980"/>
      <c r="W2231" s="3421"/>
      <c r="X2231" s="2374"/>
      <c r="Y2231" s="3421"/>
      <c r="Z2231" s="3421"/>
      <c r="AA2231" s="3421"/>
      <c r="AB2231" s="3421"/>
      <c r="AC2231" s="2292">
        <v>1496</v>
      </c>
      <c r="AD2231" s="2042">
        <v>1496</v>
      </c>
      <c r="AE2231" s="3429"/>
      <c r="AF2231" s="3421"/>
      <c r="AG2231" s="3421"/>
      <c r="AH2231" s="156"/>
      <c r="AI2231" s="156"/>
      <c r="AJ2231" s="156"/>
      <c r="AK2231" s="156"/>
      <c r="AL2231" s="156"/>
      <c r="AM2231" s="156"/>
      <c r="AN2231" s="156"/>
      <c r="AO2231" s="156"/>
      <c r="AP2231" s="156"/>
      <c r="AQ2231" s="156"/>
      <c r="AR2231" s="156"/>
      <c r="AS2231" s="156"/>
      <c r="AT2231" s="156"/>
      <c r="AU2231" s="156"/>
      <c r="AV2231" s="156"/>
      <c r="AW2231" s="156"/>
      <c r="AX2231" s="156"/>
      <c r="AY2231" s="156"/>
      <c r="AZ2231" s="156"/>
      <c r="BA2231" s="156"/>
      <c r="BB2231" s="2828"/>
      <c r="BC2231" s="452"/>
      <c r="BD2231" s="2829"/>
      <c r="BE2231" s="2837"/>
      <c r="BF2231" s="156"/>
    </row>
    <row r="2232" spans="1:58" ht="15" customHeight="1" outlineLevel="1" x14ac:dyDescent="0.35">
      <c r="A2232" s="1664"/>
      <c r="B2232" s="2812"/>
      <c r="C2232" s="3077"/>
      <c r="D2232" s="3980"/>
      <c r="E2232" s="3883"/>
      <c r="F2232" s="3984" t="str">
        <f>$E$1732</f>
        <v>ASHP-SEER21+-Replace_CAC_NonElectricHeat_ROF_MF_CompE</v>
      </c>
      <c r="G2232" s="3984"/>
      <c r="H2232" s="3984"/>
      <c r="I2232" s="3984"/>
      <c r="J2232" s="3501" t="str">
        <f>$C$1732</f>
        <v>353711_2021_12_</v>
      </c>
      <c r="K2232" s="2042">
        <v>510</v>
      </c>
      <c r="L2232" s="704"/>
      <c r="M2232" s="3038"/>
      <c r="N2232" s="106"/>
      <c r="O2232" s="106"/>
      <c r="P2232" s="702"/>
      <c r="Q2232" s="574"/>
      <c r="R2232" s="702"/>
      <c r="S2232" s="106"/>
      <c r="T2232" s="486"/>
      <c r="U2232" s="106"/>
      <c r="V2232" s="3980"/>
      <c r="W2232" s="3421"/>
      <c r="X2232" s="2374"/>
      <c r="Y2232" s="3421"/>
      <c r="Z2232" s="3421"/>
      <c r="AA2232" s="3421"/>
      <c r="AB2232" s="3421"/>
      <c r="AC2232" s="2292">
        <v>510</v>
      </c>
      <c r="AD2232" s="2042">
        <v>510</v>
      </c>
      <c r="AE2232" s="3429"/>
      <c r="AF2232" s="3421"/>
      <c r="AG2232" s="3421"/>
      <c r="AH2232" s="156"/>
      <c r="AI2232" s="156"/>
      <c r="AJ2232" s="156"/>
      <c r="AK2232" s="156"/>
      <c r="AL2232" s="156"/>
      <c r="AM2232" s="156"/>
      <c r="AN2232" s="156"/>
      <c r="AO2232" s="156"/>
      <c r="AP2232" s="156"/>
      <c r="AQ2232" s="156"/>
      <c r="AR2232" s="156"/>
      <c r="AS2232" s="156"/>
      <c r="AT2232" s="156"/>
      <c r="AU2232" s="156"/>
      <c r="AV2232" s="156"/>
      <c r="AW2232" s="156"/>
      <c r="AX2232" s="156"/>
      <c r="AY2232" s="156"/>
      <c r="AZ2232" s="156"/>
      <c r="BA2232" s="156"/>
      <c r="BB2232" s="2828"/>
      <c r="BC2232" s="452"/>
      <c r="BD2232" s="2829"/>
      <c r="BE2232" s="2837"/>
      <c r="BF2232" s="156"/>
    </row>
    <row r="2233" spans="1:58" ht="15" customHeight="1" outlineLevel="1" x14ac:dyDescent="0.35">
      <c r="A2233" s="1664"/>
      <c r="B2233" s="2812"/>
      <c r="C2233" s="3077"/>
      <c r="D2233" s="3980"/>
      <c r="E2233" s="3883"/>
      <c r="F2233" s="3984" t="str">
        <f>$E$1734</f>
        <v>ASHP-SEER17_ER1_SF</v>
      </c>
      <c r="G2233" s="3984"/>
      <c r="H2233" s="3984"/>
      <c r="I2233" s="3984"/>
      <c r="J2233" s="3501" t="str">
        <f>$C$1734</f>
        <v>353750_2021_12_</v>
      </c>
      <c r="K2233" s="3421">
        <v>1496</v>
      </c>
      <c r="L2233" s="704"/>
      <c r="M2233" s="3038"/>
      <c r="N2233" s="106"/>
      <c r="O2233" s="106"/>
      <c r="P2233" s="702"/>
      <c r="Q2233" s="574"/>
      <c r="R2233" s="702"/>
      <c r="S2233" s="106"/>
      <c r="T2233" s="486"/>
      <c r="U2233" s="106"/>
      <c r="V2233" s="3980"/>
      <c r="W2233" s="3421">
        <v>2009</v>
      </c>
      <c r="X2233" s="2374">
        <v>1496</v>
      </c>
      <c r="Y2233" s="3421">
        <v>1496</v>
      </c>
      <c r="Z2233" s="3421">
        <v>1496</v>
      </c>
      <c r="AA2233" s="3421">
        <v>1496</v>
      </c>
      <c r="AB2233" s="3421">
        <v>1496</v>
      </c>
      <c r="AC2233" s="3428">
        <v>1496</v>
      </c>
      <c r="AD2233" s="3421">
        <v>1496</v>
      </c>
      <c r="AE2233" s="3429"/>
      <c r="AF2233" s="3421"/>
      <c r="AG2233" s="3421"/>
      <c r="AH2233" s="156"/>
      <c r="AI2233" s="156"/>
      <c r="AJ2233" s="156"/>
      <c r="AK2233" s="156"/>
      <c r="AL2233" s="156"/>
      <c r="AM2233" s="156"/>
      <c r="AN2233" s="156"/>
      <c r="AO2233" s="156"/>
      <c r="AP2233" s="156"/>
      <c r="AQ2233" s="156"/>
      <c r="AR2233" s="156"/>
      <c r="AS2233" s="156"/>
      <c r="AT2233" s="156"/>
      <c r="AU2233" s="156"/>
      <c r="AV2233" s="156"/>
      <c r="AW2233" s="156"/>
      <c r="AX2233" s="156"/>
      <c r="AY2233" s="156"/>
      <c r="AZ2233" s="156"/>
      <c r="BA2233" s="156"/>
      <c r="BB2233" s="2828"/>
      <c r="BC2233" s="452"/>
      <c r="BD2233" s="2829"/>
      <c r="BE2233" s="2837"/>
      <c r="BF2233" s="156"/>
    </row>
    <row r="2234" spans="1:58" ht="15" customHeight="1" outlineLevel="1" x14ac:dyDescent="0.35">
      <c r="A2234" s="1071"/>
      <c r="B2234" s="2812"/>
      <c r="C2234" s="3077"/>
      <c r="D2234" s="3980"/>
      <c r="E2234" s="3883"/>
      <c r="F2234" s="3984" t="str">
        <f>$E$1736</f>
        <v>ASHP-SEER17_ER2_SF</v>
      </c>
      <c r="G2234" s="3984"/>
      <c r="H2234" s="3984"/>
      <c r="I2234" s="3984"/>
      <c r="J2234" s="3501" t="str">
        <f>$C$1736</f>
        <v>353750_2021_12_</v>
      </c>
      <c r="K2234" s="3421">
        <v>1496</v>
      </c>
      <c r="L2234" s="704"/>
      <c r="M2234" s="3038"/>
      <c r="N2234" s="106"/>
      <c r="O2234" s="106"/>
      <c r="P2234" s="106"/>
      <c r="Q2234" s="106"/>
      <c r="R2234" s="106"/>
      <c r="S2234" s="106"/>
      <c r="T2234" s="106"/>
      <c r="U2234" s="106"/>
      <c r="V2234" s="3980"/>
      <c r="W2234" s="3421">
        <v>2009</v>
      </c>
      <c r="X2234" s="2374">
        <v>1496</v>
      </c>
      <c r="Y2234" s="3421">
        <v>1496</v>
      </c>
      <c r="Z2234" s="3421">
        <v>1496</v>
      </c>
      <c r="AA2234" s="3421">
        <v>1496</v>
      </c>
      <c r="AB2234" s="3421">
        <v>1496</v>
      </c>
      <c r="AC2234" s="3428">
        <v>1496</v>
      </c>
      <c r="AD2234" s="3421">
        <v>1496</v>
      </c>
      <c r="AE2234" s="3429"/>
      <c r="AF2234" s="3421"/>
      <c r="AG2234" s="3421"/>
      <c r="AH2234" s="156"/>
      <c r="AI2234" s="156"/>
      <c r="AJ2234" s="156"/>
      <c r="AK2234" s="156"/>
      <c r="AL2234" s="156"/>
      <c r="AM2234" s="156"/>
      <c r="AN2234" s="156"/>
      <c r="AO2234" s="156"/>
      <c r="AP2234" s="156"/>
      <c r="AQ2234" s="156"/>
      <c r="AR2234" s="156"/>
      <c r="AS2234" s="156"/>
      <c r="AT2234" s="156"/>
      <c r="AU2234" s="156"/>
      <c r="AV2234" s="156"/>
      <c r="AW2234" s="156"/>
      <c r="AX2234" s="156"/>
      <c r="AY2234" s="156"/>
      <c r="AZ2234" s="156"/>
      <c r="BA2234" s="156"/>
      <c r="BB2234" s="2828"/>
      <c r="BC2234" s="452"/>
      <c r="BD2234" s="2829"/>
      <c r="BE2234" s="2837"/>
      <c r="BF2234" s="156"/>
    </row>
    <row r="2235" spans="1:58" ht="15" customHeight="1" outlineLevel="1" x14ac:dyDescent="0.35">
      <c r="A2235" s="1664"/>
      <c r="B2235" s="2812"/>
      <c r="C2235" s="3077"/>
      <c r="D2235" s="3980"/>
      <c r="E2235" s="3883"/>
      <c r="F2235" s="3984" t="str">
        <f>$E$1738</f>
        <v>ASHP-SEER17_ROF_SF</v>
      </c>
      <c r="G2235" s="3984"/>
      <c r="H2235" s="3984"/>
      <c r="I2235" s="3984"/>
      <c r="J2235" s="3501" t="str">
        <f>$C$1738</f>
        <v>353800_2021_12_</v>
      </c>
      <c r="K2235" s="3421">
        <v>1496</v>
      </c>
      <c r="L2235" s="704"/>
      <c r="M2235" s="3038"/>
      <c r="N2235" s="106"/>
      <c r="O2235" s="106"/>
      <c r="P2235" s="702"/>
      <c r="Q2235" s="574"/>
      <c r="R2235" s="702"/>
      <c r="S2235" s="106"/>
      <c r="T2235" s="486"/>
      <c r="U2235" s="106"/>
      <c r="V2235" s="3980"/>
      <c r="W2235" s="3421">
        <v>2009</v>
      </c>
      <c r="X2235" s="2374">
        <v>1496</v>
      </c>
      <c r="Y2235" s="3421">
        <v>1496</v>
      </c>
      <c r="Z2235" s="3421">
        <v>1496</v>
      </c>
      <c r="AA2235" s="3421">
        <v>1496</v>
      </c>
      <c r="AB2235" s="3421">
        <v>1496</v>
      </c>
      <c r="AC2235" s="3428">
        <v>1496</v>
      </c>
      <c r="AD2235" s="3421">
        <v>1496</v>
      </c>
      <c r="AE2235" s="3429"/>
      <c r="AF2235" s="3421"/>
      <c r="AG2235" s="3421"/>
      <c r="AH2235" s="156"/>
      <c r="AI2235" s="156"/>
      <c r="AJ2235" s="156"/>
      <c r="AK2235" s="156"/>
      <c r="AL2235" s="156"/>
      <c r="AM2235" s="156"/>
      <c r="AN2235" s="156"/>
      <c r="AO2235" s="156"/>
      <c r="AP2235" s="156"/>
      <c r="AQ2235" s="156"/>
      <c r="AR2235" s="156"/>
      <c r="AS2235" s="156"/>
      <c r="AT2235" s="156"/>
      <c r="AU2235" s="156"/>
      <c r="AV2235" s="156"/>
      <c r="AW2235" s="156"/>
      <c r="AX2235" s="156"/>
      <c r="AY2235" s="156"/>
      <c r="AZ2235" s="156"/>
      <c r="BA2235" s="156"/>
      <c r="BB2235" s="2828"/>
      <c r="BC2235" s="452"/>
      <c r="BD2235" s="2829"/>
      <c r="BE2235" s="2837"/>
      <c r="BF2235" s="156"/>
    </row>
    <row r="2236" spans="1:58" ht="15" customHeight="1" outlineLevel="1" x14ac:dyDescent="0.35">
      <c r="A2236" s="1071"/>
      <c r="B2236" s="2812"/>
      <c r="C2236" s="3077"/>
      <c r="D2236" s="3980"/>
      <c r="E2236" s="3883"/>
      <c r="F2236" s="3984" t="str">
        <f>$E$1740</f>
        <v>ASHP-SEER18_ER1_SF</v>
      </c>
      <c r="G2236" s="3984"/>
      <c r="H2236" s="3984"/>
      <c r="I2236" s="3984"/>
      <c r="J2236" s="3501" t="str">
        <f>$C$1740</f>
        <v>353850_2021_12_</v>
      </c>
      <c r="K2236" s="3421">
        <v>1496</v>
      </c>
      <c r="L2236" s="704"/>
      <c r="M2236" s="3038"/>
      <c r="N2236" s="106"/>
      <c r="O2236" s="106"/>
      <c r="P2236" s="106"/>
      <c r="Q2236" s="106"/>
      <c r="R2236" s="106"/>
      <c r="S2236" s="106"/>
      <c r="T2236" s="106"/>
      <c r="U2236" s="106"/>
      <c r="V2236" s="3980"/>
      <c r="W2236" s="3421">
        <v>2009</v>
      </c>
      <c r="X2236" s="2374">
        <v>1496</v>
      </c>
      <c r="Y2236" s="3421">
        <v>1496</v>
      </c>
      <c r="Z2236" s="3421">
        <v>1496</v>
      </c>
      <c r="AA2236" s="3421">
        <v>1496</v>
      </c>
      <c r="AB2236" s="3421">
        <v>1496</v>
      </c>
      <c r="AC2236" s="3428">
        <v>1496</v>
      </c>
      <c r="AD2236" s="3421">
        <v>1496</v>
      </c>
      <c r="AE2236" s="3429"/>
      <c r="AF2236" s="3421"/>
      <c r="AG2236" s="3421"/>
      <c r="AH2236" s="156"/>
      <c r="AI2236" s="156"/>
      <c r="AJ2236" s="156"/>
      <c r="AK2236" s="156"/>
      <c r="AL2236" s="156"/>
      <c r="AM2236" s="156"/>
      <c r="AN2236" s="156"/>
      <c r="AO2236" s="156"/>
      <c r="AP2236" s="156"/>
      <c r="AQ2236" s="156"/>
      <c r="AR2236" s="156"/>
      <c r="AS2236" s="156"/>
      <c r="AT2236" s="156"/>
      <c r="AU2236" s="156"/>
      <c r="AV2236" s="156"/>
      <c r="AW2236" s="156"/>
      <c r="AX2236" s="156"/>
      <c r="AY2236" s="156"/>
      <c r="AZ2236" s="156"/>
      <c r="BA2236" s="156"/>
      <c r="BB2236" s="2828"/>
      <c r="BC2236" s="452"/>
      <c r="BD2236" s="2829"/>
      <c r="BE2236" s="2837"/>
      <c r="BF2236" s="156"/>
    </row>
    <row r="2237" spans="1:58" ht="15" customHeight="1" outlineLevel="1" x14ac:dyDescent="0.35">
      <c r="A2237" s="1664"/>
      <c r="B2237" s="2812"/>
      <c r="C2237" s="3077"/>
      <c r="D2237" s="3980"/>
      <c r="E2237" s="3883"/>
      <c r="F2237" s="3984" t="str">
        <f>$E$1742</f>
        <v>ASHP-SEER18_ER2_SF</v>
      </c>
      <c r="G2237" s="3984"/>
      <c r="H2237" s="3984"/>
      <c r="I2237" s="3984"/>
      <c r="J2237" s="3501" t="str">
        <f>$C$1742</f>
        <v>353850_2021_12_</v>
      </c>
      <c r="K2237" s="3421">
        <v>1496</v>
      </c>
      <c r="L2237" s="704"/>
      <c r="M2237" s="3038"/>
      <c r="N2237" s="106"/>
      <c r="O2237" s="106"/>
      <c r="P2237" s="702"/>
      <c r="Q2237" s="574"/>
      <c r="R2237" s="702"/>
      <c r="S2237" s="106"/>
      <c r="T2237" s="486"/>
      <c r="U2237" s="106"/>
      <c r="V2237" s="3980"/>
      <c r="W2237" s="3421">
        <v>2009</v>
      </c>
      <c r="X2237" s="2374">
        <v>1496</v>
      </c>
      <c r="Y2237" s="3421">
        <v>1496</v>
      </c>
      <c r="Z2237" s="3421">
        <v>1496</v>
      </c>
      <c r="AA2237" s="3421">
        <v>1496</v>
      </c>
      <c r="AB2237" s="3421">
        <v>1496</v>
      </c>
      <c r="AC2237" s="3428">
        <v>1496</v>
      </c>
      <c r="AD2237" s="3421">
        <v>1496</v>
      </c>
      <c r="AE2237" s="3429"/>
      <c r="AF2237" s="3421"/>
      <c r="AG2237" s="3421"/>
      <c r="AH2237" s="156"/>
      <c r="AI2237" s="156"/>
      <c r="AJ2237" s="156"/>
      <c r="AK2237" s="156"/>
      <c r="AL2237" s="156"/>
      <c r="AM2237" s="156"/>
      <c r="AN2237" s="156"/>
      <c r="AO2237" s="156"/>
      <c r="AP2237" s="156"/>
      <c r="AQ2237" s="156"/>
      <c r="AR2237" s="156"/>
      <c r="AS2237" s="156"/>
      <c r="AT2237" s="156"/>
      <c r="AU2237" s="156"/>
      <c r="AV2237" s="156"/>
      <c r="AW2237" s="156"/>
      <c r="AX2237" s="156"/>
      <c r="AY2237" s="156"/>
      <c r="AZ2237" s="156"/>
      <c r="BA2237" s="156"/>
      <c r="BB2237" s="2828"/>
      <c r="BC2237" s="452"/>
      <c r="BD2237" s="2829"/>
      <c r="BE2237" s="2837"/>
      <c r="BF2237" s="156"/>
    </row>
    <row r="2238" spans="1:58" ht="15" customHeight="1" outlineLevel="1" x14ac:dyDescent="0.35">
      <c r="A2238" s="1071"/>
      <c r="B2238" s="2812"/>
      <c r="C2238" s="3077"/>
      <c r="D2238" s="3980"/>
      <c r="E2238" s="3883"/>
      <c r="F2238" s="3984" t="str">
        <f>$E$1744</f>
        <v>ASHP-SEER18_ROF_SF</v>
      </c>
      <c r="G2238" s="3984"/>
      <c r="H2238" s="3984"/>
      <c r="I2238" s="3984"/>
      <c r="J2238" s="3501" t="str">
        <f>$C$1744</f>
        <v>353950_2021_12_</v>
      </c>
      <c r="K2238" s="3421">
        <v>1496</v>
      </c>
      <c r="L2238" s="704"/>
      <c r="M2238" s="3038"/>
      <c r="N2238" s="106"/>
      <c r="O2238" s="106"/>
      <c r="P2238" s="106"/>
      <c r="Q2238" s="106"/>
      <c r="R2238" s="106"/>
      <c r="S2238" s="106"/>
      <c r="T2238" s="106"/>
      <c r="U2238" s="106"/>
      <c r="V2238" s="3980"/>
      <c r="W2238" s="3421">
        <v>2009</v>
      </c>
      <c r="X2238" s="2374">
        <v>1496</v>
      </c>
      <c r="Y2238" s="3421">
        <v>1496</v>
      </c>
      <c r="Z2238" s="3421">
        <v>1496</v>
      </c>
      <c r="AA2238" s="3421">
        <v>1496</v>
      </c>
      <c r="AB2238" s="3421">
        <v>1496</v>
      </c>
      <c r="AC2238" s="3428">
        <v>1496</v>
      </c>
      <c r="AD2238" s="3421">
        <v>1496</v>
      </c>
      <c r="AE2238" s="3429"/>
      <c r="AF2238" s="3421"/>
      <c r="AG2238" s="3421"/>
      <c r="AH2238" s="156"/>
      <c r="AI2238" s="156"/>
      <c r="AJ2238" s="156"/>
      <c r="AK2238" s="156"/>
      <c r="AL2238" s="156"/>
      <c r="AM2238" s="156"/>
      <c r="AN2238" s="156"/>
      <c r="AO2238" s="156"/>
      <c r="AP2238" s="156"/>
      <c r="AQ2238" s="156"/>
      <c r="AR2238" s="156"/>
      <c r="AS2238" s="156"/>
      <c r="AT2238" s="156"/>
      <c r="AU2238" s="156"/>
      <c r="AV2238" s="156"/>
      <c r="AW2238" s="156"/>
      <c r="AX2238" s="156"/>
      <c r="AY2238" s="156"/>
      <c r="AZ2238" s="156"/>
      <c r="BA2238" s="156"/>
      <c r="BB2238" s="2828"/>
      <c r="BC2238" s="452"/>
      <c r="BD2238" s="2829"/>
      <c r="BE2238" s="2837"/>
      <c r="BF2238" s="156"/>
    </row>
    <row r="2239" spans="1:58" ht="15" customHeight="1" outlineLevel="1" x14ac:dyDescent="0.35">
      <c r="A2239" s="1664"/>
      <c r="B2239" s="2812"/>
      <c r="C2239" s="3077"/>
      <c r="D2239" s="3980"/>
      <c r="E2239" s="3883"/>
      <c r="F2239" s="3984" t="str">
        <f>$E$1746</f>
        <v>ASHP-SEER19_ER1_SF</v>
      </c>
      <c r="G2239" s="3984"/>
      <c r="H2239" s="3984"/>
      <c r="I2239" s="3984"/>
      <c r="J2239" s="3501" t="str">
        <f>$C$1746</f>
        <v>354000_2021_12_</v>
      </c>
      <c r="K2239" s="3421">
        <v>1496</v>
      </c>
      <c r="L2239" s="704"/>
      <c r="M2239" s="3038"/>
      <c r="N2239" s="106"/>
      <c r="O2239" s="106"/>
      <c r="P2239" s="702"/>
      <c r="Q2239" s="574"/>
      <c r="R2239" s="702"/>
      <c r="S2239" s="106"/>
      <c r="T2239" s="486"/>
      <c r="U2239" s="106"/>
      <c r="V2239" s="3980"/>
      <c r="W2239" s="3421">
        <v>2009</v>
      </c>
      <c r="X2239" s="2374">
        <v>1496</v>
      </c>
      <c r="Y2239" s="3421">
        <v>1496</v>
      </c>
      <c r="Z2239" s="3421">
        <v>1496</v>
      </c>
      <c r="AA2239" s="3421">
        <v>1496</v>
      </c>
      <c r="AB2239" s="3421">
        <v>1496</v>
      </c>
      <c r="AC2239" s="3428">
        <v>1496</v>
      </c>
      <c r="AD2239" s="3421">
        <v>1496</v>
      </c>
      <c r="AE2239" s="3429"/>
      <c r="AF2239" s="3421"/>
      <c r="AG2239" s="3421"/>
      <c r="AH2239" s="156"/>
      <c r="AI2239" s="156"/>
      <c r="AJ2239" s="156"/>
      <c r="AK2239" s="156"/>
      <c r="AL2239" s="156"/>
      <c r="AM2239" s="156"/>
      <c r="AN2239" s="156"/>
      <c r="AO2239" s="156"/>
      <c r="AP2239" s="156"/>
      <c r="AQ2239" s="156"/>
      <c r="AR2239" s="156"/>
      <c r="AS2239" s="156"/>
      <c r="AT2239" s="156"/>
      <c r="AU2239" s="156"/>
      <c r="AV2239" s="156"/>
      <c r="AW2239" s="156"/>
      <c r="AX2239" s="156"/>
      <c r="AY2239" s="156"/>
      <c r="AZ2239" s="156"/>
      <c r="BA2239" s="156"/>
      <c r="BB2239" s="2828"/>
      <c r="BC2239" s="452"/>
      <c r="BD2239" s="2829"/>
      <c r="BE2239" s="2837"/>
      <c r="BF2239" s="156"/>
    </row>
    <row r="2240" spans="1:58" ht="15" customHeight="1" outlineLevel="1" x14ac:dyDescent="0.35">
      <c r="A2240" s="1664"/>
      <c r="B2240" s="2812"/>
      <c r="C2240" s="3077"/>
      <c r="D2240" s="3980"/>
      <c r="E2240" s="3883"/>
      <c r="F2240" s="3984" t="str">
        <f>$E$1748</f>
        <v>ASHP-SEER19_ER2_SF</v>
      </c>
      <c r="G2240" s="3984"/>
      <c r="H2240" s="3984"/>
      <c r="I2240" s="3984"/>
      <c r="J2240" s="3501" t="str">
        <f>$C$1748</f>
        <v>354000_2021_12_</v>
      </c>
      <c r="K2240" s="3421">
        <v>1496</v>
      </c>
      <c r="L2240" s="704"/>
      <c r="M2240" s="3038"/>
      <c r="N2240" s="106"/>
      <c r="O2240" s="106"/>
      <c r="P2240" s="702"/>
      <c r="Q2240" s="574"/>
      <c r="R2240" s="702"/>
      <c r="S2240" s="106"/>
      <c r="T2240" s="486"/>
      <c r="U2240" s="106"/>
      <c r="V2240" s="3980"/>
      <c r="W2240" s="3421">
        <v>2009</v>
      </c>
      <c r="X2240" s="2374">
        <v>1496</v>
      </c>
      <c r="Y2240" s="3421">
        <v>1496</v>
      </c>
      <c r="Z2240" s="3421">
        <v>1496</v>
      </c>
      <c r="AA2240" s="3421">
        <v>1496</v>
      </c>
      <c r="AB2240" s="3421">
        <v>1496</v>
      </c>
      <c r="AC2240" s="3428">
        <v>1496</v>
      </c>
      <c r="AD2240" s="3421">
        <v>1496</v>
      </c>
      <c r="AE2240" s="3429"/>
      <c r="AF2240" s="3421"/>
      <c r="AG2240" s="3421"/>
      <c r="AH2240" s="156"/>
      <c r="AI2240" s="156"/>
      <c r="AJ2240" s="156"/>
      <c r="AK2240" s="156"/>
      <c r="AL2240" s="156"/>
      <c r="AM2240" s="156"/>
      <c r="AN2240" s="156"/>
      <c r="AO2240" s="156"/>
      <c r="AP2240" s="156"/>
      <c r="AQ2240" s="156"/>
      <c r="AR2240" s="156"/>
      <c r="AS2240" s="156"/>
      <c r="AT2240" s="156"/>
      <c r="AU2240" s="156"/>
      <c r="AV2240" s="156"/>
      <c r="AW2240" s="156"/>
      <c r="AX2240" s="156"/>
      <c r="AY2240" s="156"/>
      <c r="AZ2240" s="156"/>
      <c r="BA2240" s="156"/>
      <c r="BB2240" s="2828"/>
      <c r="BC2240" s="452"/>
      <c r="BD2240" s="2829"/>
      <c r="BE2240" s="2837"/>
      <c r="BF2240" s="156"/>
    </row>
    <row r="2241" spans="1:58" ht="15" customHeight="1" outlineLevel="1" x14ac:dyDescent="0.35">
      <c r="A2241" s="1071"/>
      <c r="B2241" s="2812"/>
      <c r="C2241" s="3077"/>
      <c r="D2241" s="3980"/>
      <c r="E2241" s="3883"/>
      <c r="F2241" s="3984" t="str">
        <f>$E$1750</f>
        <v>ASHP-SEER19_ROF_SF</v>
      </c>
      <c r="G2241" s="3984"/>
      <c r="H2241" s="3984"/>
      <c r="I2241" s="3984"/>
      <c r="J2241" s="3501" t="str">
        <f>$C$1750</f>
        <v>354050_2021_12_</v>
      </c>
      <c r="K2241" s="3421">
        <v>1496</v>
      </c>
      <c r="L2241" s="704"/>
      <c r="M2241" s="3038"/>
      <c r="N2241" s="106"/>
      <c r="O2241" s="106"/>
      <c r="P2241" s="106"/>
      <c r="Q2241" s="106"/>
      <c r="R2241" s="106"/>
      <c r="S2241" s="106"/>
      <c r="T2241" s="106"/>
      <c r="U2241" s="106"/>
      <c r="V2241" s="3980"/>
      <c r="W2241" s="3421">
        <v>2009</v>
      </c>
      <c r="X2241" s="2374">
        <v>1496</v>
      </c>
      <c r="Y2241" s="3421">
        <v>1496</v>
      </c>
      <c r="Z2241" s="3421">
        <v>1496</v>
      </c>
      <c r="AA2241" s="3421">
        <v>1496</v>
      </c>
      <c r="AB2241" s="3421">
        <v>1496</v>
      </c>
      <c r="AC2241" s="3428">
        <v>1496</v>
      </c>
      <c r="AD2241" s="3421">
        <v>1496</v>
      </c>
      <c r="AE2241" s="3429"/>
      <c r="AF2241" s="3421"/>
      <c r="AG2241" s="3421"/>
      <c r="AH2241" s="156"/>
      <c r="AI2241" s="156"/>
      <c r="AJ2241" s="156"/>
      <c r="AK2241" s="156"/>
      <c r="AL2241" s="156"/>
      <c r="AM2241" s="156"/>
      <c r="AN2241" s="156"/>
      <c r="AO2241" s="156"/>
      <c r="AP2241" s="156"/>
      <c r="AQ2241" s="156"/>
      <c r="AR2241" s="156"/>
      <c r="AS2241" s="156"/>
      <c r="AT2241" s="156"/>
      <c r="AU2241" s="156"/>
      <c r="AV2241" s="156"/>
      <c r="AW2241" s="156"/>
      <c r="AX2241" s="156"/>
      <c r="AY2241" s="156"/>
      <c r="AZ2241" s="156"/>
      <c r="BA2241" s="156"/>
      <c r="BB2241" s="2828"/>
      <c r="BC2241" s="452"/>
      <c r="BD2241" s="2829"/>
      <c r="BE2241" s="2837"/>
      <c r="BF2241" s="156"/>
    </row>
    <row r="2242" spans="1:58" ht="15" customHeight="1" outlineLevel="1" x14ac:dyDescent="0.35">
      <c r="A2242" s="1071"/>
      <c r="B2242" s="2812"/>
      <c r="C2242" s="3077"/>
      <c r="D2242" s="3980"/>
      <c r="E2242" s="3883"/>
      <c r="F2242" s="3984" t="str">
        <f>$E$1752</f>
        <v>ASHP-SEER17-Replace_CAC_ElectricHeat_ER1_SF</v>
      </c>
      <c r="G2242" s="3984"/>
      <c r="H2242" s="3984"/>
      <c r="I2242" s="3984"/>
      <c r="J2242" s="3501" t="str">
        <f>$C$1752</f>
        <v>354100_2021_12_</v>
      </c>
      <c r="K2242" s="3421">
        <v>1496</v>
      </c>
      <c r="L2242" s="704"/>
      <c r="M2242" s="3038"/>
      <c r="N2242" s="106"/>
      <c r="O2242" s="106"/>
      <c r="P2242" s="106"/>
      <c r="Q2242" s="106"/>
      <c r="R2242" s="106"/>
      <c r="S2242" s="106"/>
      <c r="T2242" s="106"/>
      <c r="U2242" s="106"/>
      <c r="V2242" s="3980"/>
      <c r="W2242" s="3421">
        <v>2009</v>
      </c>
      <c r="X2242" s="2374">
        <v>1496</v>
      </c>
      <c r="Y2242" s="3421">
        <v>1496</v>
      </c>
      <c r="Z2242" s="3421">
        <v>1496</v>
      </c>
      <c r="AA2242" s="3421">
        <v>1496</v>
      </c>
      <c r="AB2242" s="3421">
        <v>1496</v>
      </c>
      <c r="AC2242" s="3428">
        <v>1496</v>
      </c>
      <c r="AD2242" s="3421">
        <v>1496</v>
      </c>
      <c r="AE2242" s="3429"/>
      <c r="AF2242" s="3421"/>
      <c r="AG2242" s="3421"/>
      <c r="AH2242" s="156"/>
      <c r="AI2242" s="156"/>
      <c r="AJ2242" s="156"/>
      <c r="AK2242" s="156"/>
      <c r="AL2242" s="156"/>
      <c r="AM2242" s="156"/>
      <c r="AN2242" s="156"/>
      <c r="AO2242" s="156"/>
      <c r="AP2242" s="156"/>
      <c r="AQ2242" s="156"/>
      <c r="AR2242" s="156"/>
      <c r="AS2242" s="156"/>
      <c r="AT2242" s="156"/>
      <c r="AU2242" s="156"/>
      <c r="AV2242" s="156"/>
      <c r="AW2242" s="156"/>
      <c r="AX2242" s="156"/>
      <c r="AY2242" s="156"/>
      <c r="AZ2242" s="156"/>
      <c r="BA2242" s="156"/>
      <c r="BB2242" s="2828"/>
      <c r="BC2242" s="452"/>
      <c r="BD2242" s="2829"/>
      <c r="BE2242" s="2837"/>
      <c r="BF2242" s="156"/>
    </row>
    <row r="2243" spans="1:58" ht="15" customHeight="1" outlineLevel="1" x14ac:dyDescent="0.35">
      <c r="A2243" s="1071"/>
      <c r="B2243" s="2812"/>
      <c r="C2243" s="3077"/>
      <c r="D2243" s="3980"/>
      <c r="E2243" s="3883"/>
      <c r="F2243" s="3984" t="str">
        <f>$E$1754</f>
        <v>ASHP-SEER17-Replace_CAC_ElectricHeat_ER2_SF</v>
      </c>
      <c r="G2243" s="3984"/>
      <c r="H2243" s="3984"/>
      <c r="I2243" s="3984"/>
      <c r="J2243" s="3501" t="str">
        <f>$C$1754</f>
        <v>354100_2021_12_</v>
      </c>
      <c r="K2243" s="3421">
        <v>1496</v>
      </c>
      <c r="L2243" s="704"/>
      <c r="M2243" s="3038"/>
      <c r="N2243" s="106"/>
      <c r="O2243" s="106"/>
      <c r="P2243" s="106"/>
      <c r="Q2243" s="106"/>
      <c r="R2243" s="106"/>
      <c r="S2243" s="106"/>
      <c r="T2243" s="106"/>
      <c r="U2243" s="106"/>
      <c r="V2243" s="3980"/>
      <c r="W2243" s="3421">
        <v>2009</v>
      </c>
      <c r="X2243" s="2374">
        <v>1496</v>
      </c>
      <c r="Y2243" s="3421">
        <v>1496</v>
      </c>
      <c r="Z2243" s="3421">
        <v>1496</v>
      </c>
      <c r="AA2243" s="3421">
        <v>1496</v>
      </c>
      <c r="AB2243" s="3421">
        <v>1496</v>
      </c>
      <c r="AC2243" s="3428">
        <v>1496</v>
      </c>
      <c r="AD2243" s="3421">
        <v>1496</v>
      </c>
      <c r="AE2243" s="3429"/>
      <c r="AF2243" s="3421"/>
      <c r="AG2243" s="3421"/>
      <c r="AH2243" s="156"/>
      <c r="AI2243" s="156"/>
      <c r="AJ2243" s="156"/>
      <c r="AK2243" s="156"/>
      <c r="AL2243" s="156"/>
      <c r="AM2243" s="156"/>
      <c r="AN2243" s="156"/>
      <c r="AO2243" s="156"/>
      <c r="AP2243" s="156"/>
      <c r="AQ2243" s="156"/>
      <c r="AR2243" s="156"/>
      <c r="AS2243" s="156"/>
      <c r="AT2243" s="156"/>
      <c r="AU2243" s="156"/>
      <c r="AV2243" s="156"/>
      <c r="AW2243" s="156"/>
      <c r="AX2243" s="156"/>
      <c r="AY2243" s="156"/>
      <c r="AZ2243" s="156"/>
      <c r="BA2243" s="156"/>
      <c r="BB2243" s="2828"/>
      <c r="BC2243" s="452"/>
      <c r="BD2243" s="2829"/>
      <c r="BE2243" s="2837"/>
      <c r="BF2243" s="156"/>
    </row>
    <row r="2244" spans="1:58" ht="15" customHeight="1" outlineLevel="1" x14ac:dyDescent="0.35">
      <c r="A2244" s="1071"/>
      <c r="B2244" s="2812"/>
      <c r="C2244" s="3077"/>
      <c r="D2244" s="3980"/>
      <c r="E2244" s="3883"/>
      <c r="F2244" s="3984" t="str">
        <f>$E$1756</f>
        <v>ASHP-SEER17-Replace_CAC_NonElectricHeat_ER1_SF</v>
      </c>
      <c r="G2244" s="3984"/>
      <c r="H2244" s="3984"/>
      <c r="I2244" s="3984"/>
      <c r="J2244" s="3501" t="str">
        <f>$C$1756</f>
        <v>354110_2021_12_</v>
      </c>
      <c r="K2244" s="2042">
        <v>1496</v>
      </c>
      <c r="L2244" s="704"/>
      <c r="M2244" s="3038"/>
      <c r="N2244" s="106"/>
      <c r="O2244" s="106"/>
      <c r="P2244" s="106"/>
      <c r="Q2244" s="106"/>
      <c r="R2244" s="106"/>
      <c r="S2244" s="106"/>
      <c r="T2244" s="106"/>
      <c r="U2244" s="106"/>
      <c r="V2244" s="3980"/>
      <c r="W2244" s="3421"/>
      <c r="X2244" s="2374"/>
      <c r="Y2244" s="3421"/>
      <c r="Z2244" s="3421"/>
      <c r="AA2244" s="3421"/>
      <c r="AB2244" s="3421"/>
      <c r="AC2244" s="2292">
        <v>1496</v>
      </c>
      <c r="AD2244" s="2042">
        <v>1496</v>
      </c>
      <c r="AE2244" s="3429"/>
      <c r="AF2244" s="3421"/>
      <c r="AG2244" s="3421"/>
      <c r="AH2244" s="156"/>
      <c r="AI2244" s="156"/>
      <c r="AJ2244" s="156"/>
      <c r="AK2244" s="156"/>
      <c r="AL2244" s="156"/>
      <c r="AM2244" s="156"/>
      <c r="AN2244" s="156"/>
      <c r="AO2244" s="156"/>
      <c r="AP2244" s="156"/>
      <c r="AQ2244" s="156"/>
      <c r="AR2244" s="156"/>
      <c r="AS2244" s="156"/>
      <c r="AT2244" s="156"/>
      <c r="AU2244" s="156"/>
      <c r="AV2244" s="156"/>
      <c r="AW2244" s="156"/>
      <c r="AX2244" s="156"/>
      <c r="AY2244" s="156"/>
      <c r="AZ2244" s="156"/>
      <c r="BA2244" s="156"/>
      <c r="BB2244" s="2828"/>
      <c r="BC2244" s="452"/>
      <c r="BD2244" s="2829"/>
      <c r="BE2244" s="2837"/>
      <c r="BF2244" s="156"/>
    </row>
    <row r="2245" spans="1:58" ht="15" customHeight="1" outlineLevel="1" x14ac:dyDescent="0.35">
      <c r="A2245" s="1071"/>
      <c r="B2245" s="2812"/>
      <c r="C2245" s="3077"/>
      <c r="D2245" s="3980"/>
      <c r="E2245" s="3883"/>
      <c r="F2245" s="3984" t="str">
        <f>$E$1758</f>
        <v>ASHP-SEER17-Replace_CAC_NonElectricHeat_ER2_SF</v>
      </c>
      <c r="G2245" s="3984"/>
      <c r="H2245" s="3984"/>
      <c r="I2245" s="3984"/>
      <c r="J2245" s="3501" t="str">
        <f>$C$1758</f>
        <v>354110_2021_12_</v>
      </c>
      <c r="K2245" s="2042">
        <v>1496</v>
      </c>
      <c r="L2245" s="704"/>
      <c r="M2245" s="3038"/>
      <c r="N2245" s="106"/>
      <c r="O2245" s="106"/>
      <c r="P2245" s="106"/>
      <c r="Q2245" s="106"/>
      <c r="R2245" s="106"/>
      <c r="S2245" s="106"/>
      <c r="T2245" s="106"/>
      <c r="U2245" s="106"/>
      <c r="V2245" s="3980"/>
      <c r="W2245" s="3421"/>
      <c r="X2245" s="2374"/>
      <c r="Y2245" s="3421"/>
      <c r="Z2245" s="3421"/>
      <c r="AA2245" s="3421"/>
      <c r="AB2245" s="3421"/>
      <c r="AC2245" s="2292">
        <v>1496</v>
      </c>
      <c r="AD2245" s="2042">
        <v>1496</v>
      </c>
      <c r="AE2245" s="3429"/>
      <c r="AF2245" s="3421"/>
      <c r="AG2245" s="3421"/>
      <c r="AH2245" s="156"/>
      <c r="AI2245" s="156"/>
      <c r="AJ2245" s="156"/>
      <c r="AK2245" s="156"/>
      <c r="AL2245" s="156"/>
      <c r="AM2245" s="156"/>
      <c r="AN2245" s="156"/>
      <c r="AO2245" s="156"/>
      <c r="AP2245" s="156"/>
      <c r="AQ2245" s="156"/>
      <c r="AR2245" s="156"/>
      <c r="AS2245" s="156"/>
      <c r="AT2245" s="156"/>
      <c r="AU2245" s="156"/>
      <c r="AV2245" s="156"/>
      <c r="AW2245" s="156"/>
      <c r="AX2245" s="156"/>
      <c r="AY2245" s="156"/>
      <c r="AZ2245" s="156"/>
      <c r="BA2245" s="156"/>
      <c r="BB2245" s="2828"/>
      <c r="BC2245" s="452"/>
      <c r="BD2245" s="2829"/>
      <c r="BE2245" s="2837"/>
      <c r="BF2245" s="156"/>
    </row>
    <row r="2246" spans="1:58" ht="15" customHeight="1" outlineLevel="1" x14ac:dyDescent="0.35">
      <c r="A2246" s="1071"/>
      <c r="B2246" s="2812"/>
      <c r="C2246" s="3077"/>
      <c r="D2246" s="3980"/>
      <c r="E2246" s="3883"/>
      <c r="F2246" s="3984" t="str">
        <f>$E$1760</f>
        <v>ASHP-SEER17-Replace_CAC_ElectricHeat_ER1_MF</v>
      </c>
      <c r="G2246" s="3984"/>
      <c r="H2246" s="3984"/>
      <c r="I2246" s="3984"/>
      <c r="J2246" s="3501" t="str">
        <f>$C$1760</f>
        <v>354150_2019_12_</v>
      </c>
      <c r="K2246" s="3421">
        <v>1496</v>
      </c>
      <c r="L2246" s="704"/>
      <c r="M2246" s="3038"/>
      <c r="N2246" s="106"/>
      <c r="O2246" s="106"/>
      <c r="P2246" s="106"/>
      <c r="Q2246" s="106"/>
      <c r="R2246" s="106"/>
      <c r="S2246" s="106"/>
      <c r="T2246" s="106"/>
      <c r="U2246" s="106"/>
      <c r="V2246" s="3980"/>
      <c r="W2246" s="3421">
        <v>2009</v>
      </c>
      <c r="X2246" s="2374">
        <v>1496</v>
      </c>
      <c r="Y2246" s="3421">
        <v>1496</v>
      </c>
      <c r="Z2246" s="3421">
        <v>1496</v>
      </c>
      <c r="AA2246" s="3421">
        <v>1496</v>
      </c>
      <c r="AB2246" s="3421">
        <v>1496</v>
      </c>
      <c r="AC2246" s="3428">
        <v>1496</v>
      </c>
      <c r="AD2246" s="3421">
        <v>1496</v>
      </c>
      <c r="AE2246" s="3429"/>
      <c r="AF2246" s="3421"/>
      <c r="AG2246" s="3421"/>
      <c r="AH2246" s="156"/>
      <c r="AI2246" s="156"/>
      <c r="AJ2246" s="156"/>
      <c r="AK2246" s="156"/>
      <c r="AL2246" s="156"/>
      <c r="AM2246" s="156"/>
      <c r="AN2246" s="156"/>
      <c r="AO2246" s="156"/>
      <c r="AP2246" s="156"/>
      <c r="AQ2246" s="156"/>
      <c r="AR2246" s="156"/>
      <c r="AS2246" s="156"/>
      <c r="AT2246" s="156"/>
      <c r="AU2246" s="156"/>
      <c r="AV2246" s="156"/>
      <c r="AW2246" s="156"/>
      <c r="AX2246" s="156"/>
      <c r="AY2246" s="156"/>
      <c r="AZ2246" s="156"/>
      <c r="BA2246" s="156"/>
      <c r="BB2246" s="2828"/>
      <c r="BC2246" s="452"/>
      <c r="BD2246" s="2829"/>
      <c r="BE2246" s="2837"/>
      <c r="BF2246" s="156"/>
    </row>
    <row r="2247" spans="1:58" ht="15" customHeight="1" outlineLevel="1" x14ac:dyDescent="0.35">
      <c r="A2247" s="1071"/>
      <c r="B2247" s="2812"/>
      <c r="C2247" s="3077"/>
      <c r="D2247" s="3980"/>
      <c r="E2247" s="3883"/>
      <c r="F2247" s="3984" t="str">
        <f>$E$1762</f>
        <v>ASHP-SEER17-Replace_CAC_ElectricHeat_ER2_MF</v>
      </c>
      <c r="G2247" s="3984"/>
      <c r="H2247" s="3984"/>
      <c r="I2247" s="3984"/>
      <c r="J2247" s="3501" t="str">
        <f>$C$1762</f>
        <v>354150_2019_12_</v>
      </c>
      <c r="K2247" s="3421">
        <v>1496</v>
      </c>
      <c r="L2247" s="704"/>
      <c r="M2247" s="3038"/>
      <c r="N2247" s="106"/>
      <c r="O2247" s="106"/>
      <c r="P2247" s="106"/>
      <c r="Q2247" s="106"/>
      <c r="R2247" s="106"/>
      <c r="S2247" s="106"/>
      <c r="T2247" s="106"/>
      <c r="U2247" s="106"/>
      <c r="V2247" s="3980"/>
      <c r="W2247" s="3421">
        <v>2009</v>
      </c>
      <c r="X2247" s="2374">
        <v>1496</v>
      </c>
      <c r="Y2247" s="3421">
        <v>1496</v>
      </c>
      <c r="Z2247" s="3421">
        <v>1496</v>
      </c>
      <c r="AA2247" s="3421">
        <v>1496</v>
      </c>
      <c r="AB2247" s="3421">
        <v>1496</v>
      </c>
      <c r="AC2247" s="3428">
        <v>1496</v>
      </c>
      <c r="AD2247" s="3421">
        <v>1496</v>
      </c>
      <c r="AE2247" s="3429"/>
      <c r="AF2247" s="3421"/>
      <c r="AG2247" s="3421"/>
      <c r="AH2247" s="156"/>
      <c r="AI2247" s="156"/>
      <c r="AJ2247" s="156"/>
      <c r="AK2247" s="156"/>
      <c r="AL2247" s="156"/>
      <c r="AM2247" s="156"/>
      <c r="AN2247" s="156"/>
      <c r="AO2247" s="156"/>
      <c r="AP2247" s="156"/>
      <c r="AQ2247" s="156"/>
      <c r="AR2247" s="156"/>
      <c r="AS2247" s="156"/>
      <c r="AT2247" s="156"/>
      <c r="AU2247" s="156"/>
      <c r="AV2247" s="156"/>
      <c r="AW2247" s="156"/>
      <c r="AX2247" s="156"/>
      <c r="AY2247" s="156"/>
      <c r="AZ2247" s="156"/>
      <c r="BA2247" s="156"/>
      <c r="BB2247" s="2828"/>
      <c r="BC2247" s="452"/>
      <c r="BD2247" s="2829"/>
      <c r="BE2247" s="2837"/>
      <c r="BF2247" s="156"/>
    </row>
    <row r="2248" spans="1:58" ht="15" customHeight="1" outlineLevel="1" x14ac:dyDescent="0.35">
      <c r="A2248" s="1071"/>
      <c r="B2248" s="2812"/>
      <c r="C2248" s="3077"/>
      <c r="D2248" s="3980"/>
      <c r="E2248" s="3883"/>
      <c r="F2248" s="3984" t="str">
        <f>$E$1764</f>
        <v>ASHP-SEER17-Replace_CAC_ElectricHeat_ER1_MF_CompE</v>
      </c>
      <c r="G2248" s="3984"/>
      <c r="H2248" s="3984"/>
      <c r="I2248" s="3984"/>
      <c r="J2248" s="3501" t="str">
        <f>$C$1764</f>
        <v>354151_2019_12_</v>
      </c>
      <c r="K2248" s="3421">
        <v>510</v>
      </c>
      <c r="L2248" s="704"/>
      <c r="M2248" s="3038" t="s">
        <v>1508</v>
      </c>
      <c r="N2248" s="106"/>
      <c r="O2248" s="106"/>
      <c r="P2248" s="106"/>
      <c r="Q2248" s="106"/>
      <c r="R2248" s="106"/>
      <c r="S2248" s="106"/>
      <c r="T2248" s="106"/>
      <c r="U2248" s="106"/>
      <c r="V2248" s="3980"/>
      <c r="W2248" s="3421"/>
      <c r="X2248" s="2374"/>
      <c r="Y2248" s="2374">
        <v>510</v>
      </c>
      <c r="Z2248" s="3421">
        <v>510</v>
      </c>
      <c r="AA2248" s="3421">
        <v>510</v>
      </c>
      <c r="AB2248" s="3421">
        <v>510</v>
      </c>
      <c r="AC2248" s="3428">
        <v>510</v>
      </c>
      <c r="AD2248" s="3421">
        <v>510</v>
      </c>
      <c r="AE2248" s="3429"/>
      <c r="AF2248" s="3421"/>
      <c r="AG2248" s="3421"/>
      <c r="AH2248" s="156"/>
      <c r="AI2248" s="156"/>
      <c r="AJ2248" s="156"/>
      <c r="AK2248" s="156"/>
      <c r="AL2248" s="156"/>
      <c r="AM2248" s="156"/>
      <c r="AN2248" s="156"/>
      <c r="AO2248" s="156"/>
      <c r="AP2248" s="156"/>
      <c r="AQ2248" s="156"/>
      <c r="AR2248" s="156"/>
      <c r="AS2248" s="156"/>
      <c r="AT2248" s="156"/>
      <c r="AU2248" s="156"/>
      <c r="AV2248" s="156"/>
      <c r="AW2248" s="156"/>
      <c r="AX2248" s="156"/>
      <c r="AY2248" s="156"/>
      <c r="AZ2248" s="156"/>
      <c r="BA2248" s="156"/>
      <c r="BB2248" s="2828"/>
      <c r="BC2248" s="452"/>
      <c r="BD2248" s="2829"/>
      <c r="BE2248" s="2837"/>
      <c r="BF2248" s="156"/>
    </row>
    <row r="2249" spans="1:58" ht="15" customHeight="1" outlineLevel="1" x14ac:dyDescent="0.35">
      <c r="A2249" s="1071"/>
      <c r="B2249" s="2812"/>
      <c r="C2249" s="3077"/>
      <c r="D2249" s="3980"/>
      <c r="E2249" s="3883"/>
      <c r="F2249" s="3984" t="str">
        <f>$E$1766</f>
        <v>ASHP-SEER17-Replace_CAC_ElectricHeat_ER2_MF_CompE</v>
      </c>
      <c r="G2249" s="3984"/>
      <c r="H2249" s="3984"/>
      <c r="I2249" s="3984"/>
      <c r="J2249" s="3501" t="str">
        <f>$C$1766</f>
        <v>354151_2019_12_</v>
      </c>
      <c r="K2249" s="3421">
        <v>510</v>
      </c>
      <c r="L2249" s="704"/>
      <c r="M2249" s="3038" t="s">
        <v>1508</v>
      </c>
      <c r="N2249" s="106"/>
      <c r="O2249" s="106"/>
      <c r="P2249" s="106"/>
      <c r="Q2249" s="106"/>
      <c r="R2249" s="106"/>
      <c r="S2249" s="106"/>
      <c r="T2249" s="106"/>
      <c r="U2249" s="106"/>
      <c r="V2249" s="3980"/>
      <c r="W2249" s="3421"/>
      <c r="X2249" s="2374"/>
      <c r="Y2249" s="2374">
        <v>510</v>
      </c>
      <c r="Z2249" s="3421">
        <v>510</v>
      </c>
      <c r="AA2249" s="3421">
        <v>510</v>
      </c>
      <c r="AB2249" s="3421">
        <v>510</v>
      </c>
      <c r="AC2249" s="3428">
        <v>510</v>
      </c>
      <c r="AD2249" s="3421">
        <v>510</v>
      </c>
      <c r="AE2249" s="3429"/>
      <c r="AF2249" s="3421"/>
      <c r="AG2249" s="3421"/>
      <c r="AH2249" s="156"/>
      <c r="AI2249" s="156"/>
      <c r="AJ2249" s="156"/>
      <c r="AK2249" s="156"/>
      <c r="AL2249" s="156"/>
      <c r="AM2249" s="156"/>
      <c r="AN2249" s="156"/>
      <c r="AO2249" s="156"/>
      <c r="AP2249" s="156"/>
      <c r="AQ2249" s="156"/>
      <c r="AR2249" s="156"/>
      <c r="AS2249" s="156"/>
      <c r="AT2249" s="156"/>
      <c r="AU2249" s="156"/>
      <c r="AV2249" s="156"/>
      <c r="AW2249" s="156"/>
      <c r="AX2249" s="156"/>
      <c r="AY2249" s="156"/>
      <c r="AZ2249" s="156"/>
      <c r="BA2249" s="156"/>
      <c r="BB2249" s="2828"/>
      <c r="BC2249" s="452"/>
      <c r="BD2249" s="2829"/>
      <c r="BE2249" s="2837"/>
      <c r="BF2249" s="156"/>
    </row>
    <row r="2250" spans="1:58" ht="15" customHeight="1" outlineLevel="1" x14ac:dyDescent="0.35">
      <c r="A2250" s="1071"/>
      <c r="B2250" s="2812"/>
      <c r="C2250" s="3077"/>
      <c r="D2250" s="3980"/>
      <c r="E2250" s="3883"/>
      <c r="F2250" s="3984" t="str">
        <f>$E$1768</f>
        <v>ASHP-SEER17-Replace_CAC_NonElectricHeat_ER1_MF</v>
      </c>
      <c r="G2250" s="3984"/>
      <c r="H2250" s="3984"/>
      <c r="I2250" s="3984"/>
      <c r="J2250" s="3501" t="str">
        <f>$C$1768</f>
        <v>354160_2021_12_</v>
      </c>
      <c r="K2250" s="2042">
        <v>1496</v>
      </c>
      <c r="L2250" s="704"/>
      <c r="M2250" s="3038"/>
      <c r="N2250" s="106"/>
      <c r="O2250" s="106"/>
      <c r="P2250" s="106"/>
      <c r="Q2250" s="106"/>
      <c r="R2250" s="106"/>
      <c r="S2250" s="106"/>
      <c r="T2250" s="106"/>
      <c r="U2250" s="106"/>
      <c r="V2250" s="3980"/>
      <c r="W2250" s="3421"/>
      <c r="X2250" s="2374"/>
      <c r="Y2250" s="2374"/>
      <c r="Z2250" s="3421"/>
      <c r="AA2250" s="3421"/>
      <c r="AB2250" s="3421"/>
      <c r="AC2250" s="2292">
        <v>1496</v>
      </c>
      <c r="AD2250" s="2042">
        <v>1496</v>
      </c>
      <c r="AE2250" s="3429"/>
      <c r="AF2250" s="3421"/>
      <c r="AG2250" s="3421"/>
      <c r="AH2250" s="156"/>
      <c r="AI2250" s="156"/>
      <c r="AJ2250" s="156"/>
      <c r="AK2250" s="156"/>
      <c r="AL2250" s="156"/>
      <c r="AM2250" s="156"/>
      <c r="AN2250" s="156"/>
      <c r="AO2250" s="156"/>
      <c r="AP2250" s="156"/>
      <c r="AQ2250" s="156"/>
      <c r="AR2250" s="156"/>
      <c r="AS2250" s="156"/>
      <c r="AT2250" s="156"/>
      <c r="AU2250" s="156"/>
      <c r="AV2250" s="156"/>
      <c r="AW2250" s="156"/>
      <c r="AX2250" s="156"/>
      <c r="AY2250" s="156"/>
      <c r="AZ2250" s="156"/>
      <c r="BA2250" s="156"/>
      <c r="BB2250" s="2828"/>
      <c r="BC2250" s="452"/>
      <c r="BD2250" s="2829"/>
      <c r="BE2250" s="2837"/>
      <c r="BF2250" s="156"/>
    </row>
    <row r="2251" spans="1:58" ht="15" customHeight="1" outlineLevel="1" x14ac:dyDescent="0.35">
      <c r="A2251" s="1071"/>
      <c r="B2251" s="2812"/>
      <c r="C2251" s="3077"/>
      <c r="D2251" s="3980"/>
      <c r="E2251" s="3883"/>
      <c r="F2251" s="3984" t="str">
        <f>$E$1770</f>
        <v>ASHP-SEER17-Replace_CAC_NonElectricHeat_ER2_MF</v>
      </c>
      <c r="G2251" s="3984"/>
      <c r="H2251" s="3984"/>
      <c r="I2251" s="3984"/>
      <c r="J2251" s="3501" t="str">
        <f>$C$1770</f>
        <v>354160_2021_12_</v>
      </c>
      <c r="K2251" s="2042">
        <v>1496</v>
      </c>
      <c r="L2251" s="704"/>
      <c r="M2251" s="3038"/>
      <c r="N2251" s="106"/>
      <c r="O2251" s="106"/>
      <c r="P2251" s="106"/>
      <c r="Q2251" s="106"/>
      <c r="R2251" s="106"/>
      <c r="S2251" s="106"/>
      <c r="T2251" s="106"/>
      <c r="U2251" s="106"/>
      <c r="V2251" s="3980"/>
      <c r="W2251" s="3421"/>
      <c r="X2251" s="2374"/>
      <c r="Y2251" s="2374"/>
      <c r="Z2251" s="3421"/>
      <c r="AA2251" s="3421"/>
      <c r="AB2251" s="3421"/>
      <c r="AC2251" s="2292">
        <v>1496</v>
      </c>
      <c r="AD2251" s="2042">
        <v>1496</v>
      </c>
      <c r="AE2251" s="3429"/>
      <c r="AF2251" s="3421"/>
      <c r="AG2251" s="3421"/>
      <c r="AH2251" s="156"/>
      <c r="AI2251" s="156"/>
      <c r="AJ2251" s="156"/>
      <c r="AK2251" s="156"/>
      <c r="AL2251" s="156"/>
      <c r="AM2251" s="156"/>
      <c r="AN2251" s="156"/>
      <c r="AO2251" s="156"/>
      <c r="AP2251" s="156"/>
      <c r="AQ2251" s="156"/>
      <c r="AR2251" s="156"/>
      <c r="AS2251" s="156"/>
      <c r="AT2251" s="156"/>
      <c r="AU2251" s="156"/>
      <c r="AV2251" s="156"/>
      <c r="AW2251" s="156"/>
      <c r="AX2251" s="156"/>
      <c r="AY2251" s="156"/>
      <c r="AZ2251" s="156"/>
      <c r="BA2251" s="156"/>
      <c r="BB2251" s="2828"/>
      <c r="BC2251" s="452"/>
      <c r="BD2251" s="2829"/>
      <c r="BE2251" s="2837"/>
      <c r="BF2251" s="156"/>
    </row>
    <row r="2252" spans="1:58" ht="15" customHeight="1" outlineLevel="1" x14ac:dyDescent="0.35">
      <c r="A2252" s="1071"/>
      <c r="B2252" s="2812"/>
      <c r="C2252" s="3077"/>
      <c r="D2252" s="3980"/>
      <c r="E2252" s="3883"/>
      <c r="F2252" s="3984" t="str">
        <f>$E$1772</f>
        <v>ASHP-SEER17-Replace_CAC_NonElectricHeat_ER1_MF_CompE</v>
      </c>
      <c r="G2252" s="3984"/>
      <c r="H2252" s="3984"/>
      <c r="I2252" s="3984"/>
      <c r="J2252" s="3501" t="str">
        <f>$C$1772</f>
        <v>354161_2021_12_</v>
      </c>
      <c r="K2252" s="2042">
        <v>510</v>
      </c>
      <c r="L2252" s="704"/>
      <c r="M2252" s="3038"/>
      <c r="N2252" s="106"/>
      <c r="O2252" s="106"/>
      <c r="P2252" s="106"/>
      <c r="Q2252" s="106"/>
      <c r="R2252" s="106"/>
      <c r="S2252" s="106"/>
      <c r="T2252" s="106"/>
      <c r="U2252" s="106"/>
      <c r="V2252" s="3980"/>
      <c r="W2252" s="3421"/>
      <c r="X2252" s="2374"/>
      <c r="Y2252" s="2374"/>
      <c r="Z2252" s="3421"/>
      <c r="AA2252" s="3421"/>
      <c r="AB2252" s="3421"/>
      <c r="AC2252" s="2292">
        <v>510</v>
      </c>
      <c r="AD2252" s="2042">
        <v>510</v>
      </c>
      <c r="AE2252" s="3429"/>
      <c r="AF2252" s="3421"/>
      <c r="AG2252" s="3421"/>
      <c r="AH2252" s="156"/>
      <c r="AI2252" s="156"/>
      <c r="AJ2252" s="156"/>
      <c r="AK2252" s="156"/>
      <c r="AL2252" s="156"/>
      <c r="AM2252" s="156"/>
      <c r="AN2252" s="156"/>
      <c r="AO2252" s="156"/>
      <c r="AP2252" s="156"/>
      <c r="AQ2252" s="156"/>
      <c r="AR2252" s="156"/>
      <c r="AS2252" s="156"/>
      <c r="AT2252" s="156"/>
      <c r="AU2252" s="156"/>
      <c r="AV2252" s="156"/>
      <c r="AW2252" s="156"/>
      <c r="AX2252" s="156"/>
      <c r="AY2252" s="156"/>
      <c r="AZ2252" s="156"/>
      <c r="BA2252" s="156"/>
      <c r="BB2252" s="2828"/>
      <c r="BC2252" s="452"/>
      <c r="BD2252" s="2829"/>
      <c r="BE2252" s="2837"/>
      <c r="BF2252" s="156"/>
    </row>
    <row r="2253" spans="1:58" ht="15" customHeight="1" outlineLevel="1" x14ac:dyDescent="0.35">
      <c r="A2253" s="1071"/>
      <c r="B2253" s="2812"/>
      <c r="C2253" s="3077"/>
      <c r="D2253" s="3980"/>
      <c r="E2253" s="3883"/>
      <c r="F2253" s="3984" t="str">
        <f>$E$1774</f>
        <v>ASHP-SEER17-Replace_CAC_NonElectricHeat_ER2_MF_CompE</v>
      </c>
      <c r="G2253" s="3984"/>
      <c r="H2253" s="3984"/>
      <c r="I2253" s="3984"/>
      <c r="J2253" s="3501" t="str">
        <f>$C$1774</f>
        <v>354161_2021_12_</v>
      </c>
      <c r="K2253" s="2042">
        <v>510</v>
      </c>
      <c r="L2253" s="704"/>
      <c r="M2253" s="3038"/>
      <c r="N2253" s="106"/>
      <c r="O2253" s="106"/>
      <c r="P2253" s="106"/>
      <c r="Q2253" s="106"/>
      <c r="R2253" s="106"/>
      <c r="S2253" s="106"/>
      <c r="T2253" s="106"/>
      <c r="U2253" s="106"/>
      <c r="V2253" s="3980"/>
      <c r="W2253" s="3421"/>
      <c r="X2253" s="2374"/>
      <c r="Y2253" s="2374"/>
      <c r="Z2253" s="3421"/>
      <c r="AA2253" s="3421"/>
      <c r="AB2253" s="3421"/>
      <c r="AC2253" s="2292">
        <v>510</v>
      </c>
      <c r="AD2253" s="2042">
        <v>510</v>
      </c>
      <c r="AE2253" s="3429"/>
      <c r="AF2253" s="3421"/>
      <c r="AG2253" s="3421"/>
      <c r="AH2253" s="156"/>
      <c r="AI2253" s="156"/>
      <c r="AJ2253" s="156"/>
      <c r="AK2253" s="156"/>
      <c r="AL2253" s="156"/>
      <c r="AM2253" s="156"/>
      <c r="AN2253" s="156"/>
      <c r="AO2253" s="156"/>
      <c r="AP2253" s="156"/>
      <c r="AQ2253" s="156"/>
      <c r="AR2253" s="156"/>
      <c r="AS2253" s="156"/>
      <c r="AT2253" s="156"/>
      <c r="AU2253" s="156"/>
      <c r="AV2253" s="156"/>
      <c r="AW2253" s="156"/>
      <c r="AX2253" s="156"/>
      <c r="AY2253" s="156"/>
      <c r="AZ2253" s="156"/>
      <c r="BA2253" s="156"/>
      <c r="BB2253" s="2828"/>
      <c r="BC2253" s="452"/>
      <c r="BD2253" s="2829"/>
      <c r="BE2253" s="2837"/>
      <c r="BF2253" s="156"/>
    </row>
    <row r="2254" spans="1:58" ht="15" customHeight="1" outlineLevel="1" x14ac:dyDescent="0.35">
      <c r="A2254" s="1071"/>
      <c r="B2254" s="2812"/>
      <c r="C2254" s="3077"/>
      <c r="D2254" s="3980"/>
      <c r="E2254" s="3883"/>
      <c r="F2254" s="3984" t="str">
        <f>$E$1776</f>
        <v>ASHP-SEER17_ER1_MF</v>
      </c>
      <c r="G2254" s="3984"/>
      <c r="H2254" s="3984"/>
      <c r="I2254" s="3984"/>
      <c r="J2254" s="3501" t="str">
        <f>$C$1776</f>
        <v>354200_2019_12_</v>
      </c>
      <c r="K2254" s="3421">
        <v>1496</v>
      </c>
      <c r="L2254" s="704"/>
      <c r="M2254" s="3038"/>
      <c r="N2254" s="106"/>
      <c r="O2254" s="106"/>
      <c r="P2254" s="106"/>
      <c r="Q2254" s="106"/>
      <c r="R2254" s="106"/>
      <c r="S2254" s="106"/>
      <c r="T2254" s="106"/>
      <c r="U2254" s="106"/>
      <c r="V2254" s="3980"/>
      <c r="W2254" s="3421">
        <v>2009</v>
      </c>
      <c r="X2254" s="2374">
        <v>1496</v>
      </c>
      <c r="Y2254" s="3421">
        <v>1496</v>
      </c>
      <c r="Z2254" s="3421">
        <v>1496</v>
      </c>
      <c r="AA2254" s="3421">
        <v>1496</v>
      </c>
      <c r="AB2254" s="3421">
        <v>1496</v>
      </c>
      <c r="AC2254" s="3428">
        <v>1496</v>
      </c>
      <c r="AD2254" s="3421">
        <v>1496</v>
      </c>
      <c r="AE2254" s="3429"/>
      <c r="AF2254" s="3421"/>
      <c r="AG2254" s="3421"/>
      <c r="AH2254" s="156"/>
      <c r="AI2254" s="156"/>
      <c r="AJ2254" s="156"/>
      <c r="AK2254" s="156"/>
      <c r="AL2254" s="156"/>
      <c r="AM2254" s="156"/>
      <c r="AN2254" s="156"/>
      <c r="AO2254" s="156"/>
      <c r="AP2254" s="156"/>
      <c r="AQ2254" s="156"/>
      <c r="AR2254" s="156"/>
      <c r="AS2254" s="156"/>
      <c r="AT2254" s="156"/>
      <c r="AU2254" s="156"/>
      <c r="AV2254" s="156"/>
      <c r="AW2254" s="156"/>
      <c r="AX2254" s="156"/>
      <c r="AY2254" s="156"/>
      <c r="AZ2254" s="156"/>
      <c r="BA2254" s="156"/>
      <c r="BB2254" s="2828"/>
      <c r="BC2254" s="452"/>
      <c r="BD2254" s="2829"/>
      <c r="BE2254" s="2837"/>
      <c r="BF2254" s="156"/>
    </row>
    <row r="2255" spans="1:58" ht="15" customHeight="1" outlineLevel="1" x14ac:dyDescent="0.35">
      <c r="A2255" s="1071"/>
      <c r="B2255" s="2812"/>
      <c r="C2255" s="3077"/>
      <c r="D2255" s="3980"/>
      <c r="E2255" s="3883"/>
      <c r="F2255" s="3984" t="str">
        <f>$E$1778</f>
        <v>ASHP-SEER17_ER2_MF</v>
      </c>
      <c r="G2255" s="3984"/>
      <c r="H2255" s="3984"/>
      <c r="I2255" s="3984"/>
      <c r="J2255" s="3501" t="str">
        <f>$C$1778</f>
        <v>354200_2019_12_</v>
      </c>
      <c r="K2255" s="3421">
        <v>1496</v>
      </c>
      <c r="L2255" s="704"/>
      <c r="M2255" s="3038"/>
      <c r="N2255" s="106"/>
      <c r="O2255" s="106"/>
      <c r="P2255" s="106"/>
      <c r="Q2255" s="106"/>
      <c r="R2255" s="106"/>
      <c r="S2255" s="106"/>
      <c r="T2255" s="106"/>
      <c r="U2255" s="106"/>
      <c r="V2255" s="3980"/>
      <c r="W2255" s="3421">
        <v>2009</v>
      </c>
      <c r="X2255" s="2374">
        <v>1496</v>
      </c>
      <c r="Y2255" s="3421">
        <v>1496</v>
      </c>
      <c r="Z2255" s="3421">
        <v>1496</v>
      </c>
      <c r="AA2255" s="3421">
        <v>1496</v>
      </c>
      <c r="AB2255" s="3421">
        <v>1496</v>
      </c>
      <c r="AC2255" s="3428">
        <v>1496</v>
      </c>
      <c r="AD2255" s="3421">
        <v>1496</v>
      </c>
      <c r="AE2255" s="3429"/>
      <c r="AF2255" s="3421"/>
      <c r="AG2255" s="3421"/>
      <c r="AH2255" s="156"/>
      <c r="AI2255" s="156"/>
      <c r="AJ2255" s="156"/>
      <c r="AK2255" s="156"/>
      <c r="AL2255" s="156"/>
      <c r="AM2255" s="156"/>
      <c r="AN2255" s="156"/>
      <c r="AO2255" s="156"/>
      <c r="AP2255" s="156"/>
      <c r="AQ2255" s="156"/>
      <c r="AR2255" s="156"/>
      <c r="AS2255" s="156"/>
      <c r="AT2255" s="156"/>
      <c r="AU2255" s="156"/>
      <c r="AV2255" s="156"/>
      <c r="AW2255" s="156"/>
      <c r="AX2255" s="156"/>
      <c r="AY2255" s="156"/>
      <c r="AZ2255" s="156"/>
      <c r="BA2255" s="156"/>
      <c r="BB2255" s="2828"/>
      <c r="BC2255" s="452"/>
      <c r="BD2255" s="2829"/>
      <c r="BE2255" s="2837"/>
      <c r="BF2255" s="156"/>
    </row>
    <row r="2256" spans="1:58" ht="15" customHeight="1" outlineLevel="1" x14ac:dyDescent="0.35">
      <c r="A2256" s="1071"/>
      <c r="B2256" s="2812"/>
      <c r="C2256" s="3077"/>
      <c r="D2256" s="3980"/>
      <c r="E2256" s="3883"/>
      <c r="F2256" s="3984" t="str">
        <f>$E$1780</f>
        <v>ASHP-SEER17_ER1_MF_CompE</v>
      </c>
      <c r="G2256" s="3984"/>
      <c r="H2256" s="3984"/>
      <c r="I2256" s="3984"/>
      <c r="J2256" s="3501" t="str">
        <f>$C$1780</f>
        <v>354201_2019_12_</v>
      </c>
      <c r="K2256" s="3421">
        <v>510</v>
      </c>
      <c r="L2256" s="704"/>
      <c r="M2256" s="3038" t="s">
        <v>1508</v>
      </c>
      <c r="N2256" s="106"/>
      <c r="O2256" s="106"/>
      <c r="P2256" s="106"/>
      <c r="Q2256" s="106"/>
      <c r="R2256" s="106"/>
      <c r="S2256" s="106"/>
      <c r="T2256" s="106"/>
      <c r="U2256" s="106"/>
      <c r="V2256" s="3980"/>
      <c r="W2256" s="3421"/>
      <c r="X2256" s="2374"/>
      <c r="Y2256" s="2374">
        <v>510</v>
      </c>
      <c r="Z2256" s="3421">
        <v>510</v>
      </c>
      <c r="AA2256" s="3421">
        <v>510</v>
      </c>
      <c r="AB2256" s="3421">
        <v>510</v>
      </c>
      <c r="AC2256" s="3428">
        <v>510</v>
      </c>
      <c r="AD2256" s="3421">
        <v>510</v>
      </c>
      <c r="AE2256" s="3429"/>
      <c r="AF2256" s="3421"/>
      <c r="AG2256" s="3421"/>
      <c r="AH2256" s="156"/>
      <c r="AI2256" s="156"/>
      <c r="AJ2256" s="156"/>
      <c r="AK2256" s="156"/>
      <c r="AL2256" s="156"/>
      <c r="AM2256" s="156"/>
      <c r="AN2256" s="156"/>
      <c r="AO2256" s="156"/>
      <c r="AP2256" s="156"/>
      <c r="AQ2256" s="156"/>
      <c r="AR2256" s="156"/>
      <c r="AS2256" s="156"/>
      <c r="AT2256" s="156"/>
      <c r="AU2256" s="156"/>
      <c r="AV2256" s="156"/>
      <c r="AW2256" s="156"/>
      <c r="AX2256" s="156"/>
      <c r="AY2256" s="156"/>
      <c r="AZ2256" s="156"/>
      <c r="BA2256" s="156"/>
      <c r="BB2256" s="2828"/>
      <c r="BC2256" s="452"/>
      <c r="BD2256" s="2829"/>
      <c r="BE2256" s="2837"/>
      <c r="BF2256" s="156"/>
    </row>
    <row r="2257" spans="1:58" ht="15" customHeight="1" outlineLevel="1" x14ac:dyDescent="0.35">
      <c r="A2257" s="1071"/>
      <c r="B2257" s="2812"/>
      <c r="C2257" s="3077"/>
      <c r="D2257" s="3980"/>
      <c r="E2257" s="3883"/>
      <c r="F2257" s="3984" t="str">
        <f>$E$1782</f>
        <v>ASHP-SEER17_ER2_MF_CompE</v>
      </c>
      <c r="G2257" s="3984"/>
      <c r="H2257" s="3984"/>
      <c r="I2257" s="3984"/>
      <c r="J2257" s="3501" t="str">
        <f>$C$1782</f>
        <v>354201_2019_12_</v>
      </c>
      <c r="K2257" s="3421">
        <v>510</v>
      </c>
      <c r="L2257" s="704"/>
      <c r="M2257" s="3038" t="s">
        <v>1508</v>
      </c>
      <c r="N2257" s="106"/>
      <c r="O2257" s="106"/>
      <c r="P2257" s="106"/>
      <c r="Q2257" s="106"/>
      <c r="R2257" s="106"/>
      <c r="S2257" s="106"/>
      <c r="T2257" s="106"/>
      <c r="U2257" s="106"/>
      <c r="V2257" s="3980"/>
      <c r="W2257" s="3421"/>
      <c r="X2257" s="2374"/>
      <c r="Y2257" s="2374">
        <v>510</v>
      </c>
      <c r="Z2257" s="3421">
        <v>510</v>
      </c>
      <c r="AA2257" s="3421">
        <v>510</v>
      </c>
      <c r="AB2257" s="3421">
        <v>510</v>
      </c>
      <c r="AC2257" s="3428">
        <v>510</v>
      </c>
      <c r="AD2257" s="3421">
        <v>510</v>
      </c>
      <c r="AE2257" s="3429"/>
      <c r="AF2257" s="3421"/>
      <c r="AG2257" s="3421"/>
      <c r="AH2257" s="156"/>
      <c r="AI2257" s="156"/>
      <c r="AJ2257" s="156"/>
      <c r="AK2257" s="156"/>
      <c r="AL2257" s="156"/>
      <c r="AM2257" s="156"/>
      <c r="AN2257" s="156"/>
      <c r="AO2257" s="156"/>
      <c r="AP2257" s="156"/>
      <c r="AQ2257" s="156"/>
      <c r="AR2257" s="156"/>
      <c r="AS2257" s="156"/>
      <c r="AT2257" s="156"/>
      <c r="AU2257" s="156"/>
      <c r="AV2257" s="156"/>
      <c r="AW2257" s="156"/>
      <c r="AX2257" s="156"/>
      <c r="AY2257" s="156"/>
      <c r="AZ2257" s="156"/>
      <c r="BA2257" s="156"/>
      <c r="BB2257" s="2828"/>
      <c r="BC2257" s="452"/>
      <c r="BD2257" s="2829"/>
      <c r="BE2257" s="2837"/>
      <c r="BF2257" s="156"/>
    </row>
    <row r="2258" spans="1:58" ht="15" customHeight="1" outlineLevel="1" x14ac:dyDescent="0.35">
      <c r="A2258" s="1071"/>
      <c r="B2258" s="2812"/>
      <c r="C2258" s="3077"/>
      <c r="D2258" s="3980"/>
      <c r="E2258" s="3883"/>
      <c r="F2258" s="3984" t="str">
        <f>$E$1784</f>
        <v>ASHP-SEER18-Replace_CAC_ElectricHeat_ER1_SF</v>
      </c>
      <c r="G2258" s="3984"/>
      <c r="H2258" s="3984"/>
      <c r="I2258" s="3984"/>
      <c r="J2258" s="3501" t="str">
        <f>$C$1784</f>
        <v>354250_2021_12_</v>
      </c>
      <c r="K2258" s="3421">
        <v>1496</v>
      </c>
      <c r="L2258" s="704"/>
      <c r="M2258" s="3038"/>
      <c r="N2258" s="106"/>
      <c r="O2258" s="106"/>
      <c r="P2258" s="106"/>
      <c r="Q2258" s="106"/>
      <c r="R2258" s="106"/>
      <c r="S2258" s="106"/>
      <c r="T2258" s="106"/>
      <c r="U2258" s="106"/>
      <c r="V2258" s="3980"/>
      <c r="W2258" s="3421">
        <v>2009</v>
      </c>
      <c r="X2258" s="2374">
        <v>1496</v>
      </c>
      <c r="Y2258" s="3421">
        <v>1496</v>
      </c>
      <c r="Z2258" s="3421">
        <v>1496</v>
      </c>
      <c r="AA2258" s="3421">
        <v>1496</v>
      </c>
      <c r="AB2258" s="3421">
        <v>1496</v>
      </c>
      <c r="AC2258" s="3428">
        <v>1496</v>
      </c>
      <c r="AD2258" s="3421">
        <v>1496</v>
      </c>
      <c r="AE2258" s="3429"/>
      <c r="AF2258" s="3421"/>
      <c r="AG2258" s="3421"/>
      <c r="AH2258" s="156"/>
      <c r="AI2258" s="156"/>
      <c r="AJ2258" s="156"/>
      <c r="AK2258" s="156"/>
      <c r="AL2258" s="156"/>
      <c r="AM2258" s="156"/>
      <c r="AN2258" s="156"/>
      <c r="AO2258" s="156"/>
      <c r="AP2258" s="156"/>
      <c r="AQ2258" s="156"/>
      <c r="AR2258" s="156"/>
      <c r="AS2258" s="156"/>
      <c r="AT2258" s="156"/>
      <c r="AU2258" s="156"/>
      <c r="AV2258" s="156"/>
      <c r="AW2258" s="156"/>
      <c r="AX2258" s="156"/>
      <c r="AY2258" s="156"/>
      <c r="AZ2258" s="156"/>
      <c r="BA2258" s="156"/>
      <c r="BB2258" s="2828"/>
      <c r="BC2258" s="452"/>
      <c r="BD2258" s="2829"/>
      <c r="BE2258" s="2837"/>
      <c r="BF2258" s="156"/>
    </row>
    <row r="2259" spans="1:58" ht="15" customHeight="1" outlineLevel="1" x14ac:dyDescent="0.35">
      <c r="A2259" s="1071"/>
      <c r="B2259" s="2812"/>
      <c r="C2259" s="3077"/>
      <c r="D2259" s="3980"/>
      <c r="E2259" s="3883"/>
      <c r="F2259" s="3984" t="str">
        <f>$E$1786</f>
        <v>ASHP-SEER18-Replace_CAC_ElectricHeat_ER2_SF</v>
      </c>
      <c r="G2259" s="3984"/>
      <c r="H2259" s="3984"/>
      <c r="I2259" s="3984"/>
      <c r="J2259" s="3501" t="str">
        <f>$C$1786</f>
        <v>354250_2021_12_</v>
      </c>
      <c r="K2259" s="3421">
        <v>1496</v>
      </c>
      <c r="L2259" s="704"/>
      <c r="M2259" s="3038"/>
      <c r="N2259" s="106"/>
      <c r="O2259" s="106"/>
      <c r="P2259" s="106"/>
      <c r="Q2259" s="106"/>
      <c r="R2259" s="106"/>
      <c r="S2259" s="106"/>
      <c r="T2259" s="106"/>
      <c r="U2259" s="106"/>
      <c r="V2259" s="3980"/>
      <c r="W2259" s="3421">
        <v>2009</v>
      </c>
      <c r="X2259" s="2374">
        <v>1496</v>
      </c>
      <c r="Y2259" s="3421">
        <v>1496</v>
      </c>
      <c r="Z2259" s="3421">
        <v>1496</v>
      </c>
      <c r="AA2259" s="3421">
        <v>1496</v>
      </c>
      <c r="AB2259" s="3421">
        <v>1496</v>
      </c>
      <c r="AC2259" s="3428">
        <v>1496</v>
      </c>
      <c r="AD2259" s="3421">
        <v>1496</v>
      </c>
      <c r="AE2259" s="3429"/>
      <c r="AF2259" s="3421"/>
      <c r="AG2259" s="3421"/>
      <c r="AH2259" s="156"/>
      <c r="AI2259" s="156"/>
      <c r="AJ2259" s="156"/>
      <c r="AK2259" s="156"/>
      <c r="AL2259" s="156"/>
      <c r="AM2259" s="156"/>
      <c r="AN2259" s="156"/>
      <c r="AO2259" s="156"/>
      <c r="AP2259" s="156"/>
      <c r="AQ2259" s="156"/>
      <c r="AR2259" s="156"/>
      <c r="AS2259" s="156"/>
      <c r="AT2259" s="156"/>
      <c r="AU2259" s="156"/>
      <c r="AV2259" s="156"/>
      <c r="AW2259" s="156"/>
      <c r="AX2259" s="156"/>
      <c r="AY2259" s="156"/>
      <c r="AZ2259" s="156"/>
      <c r="BA2259" s="156"/>
      <c r="BB2259" s="2828"/>
      <c r="BC2259" s="452"/>
      <c r="BD2259" s="2829"/>
      <c r="BE2259" s="2837"/>
      <c r="BF2259" s="156"/>
    </row>
    <row r="2260" spans="1:58" ht="15" customHeight="1" outlineLevel="1" x14ac:dyDescent="0.35">
      <c r="A2260" s="1071"/>
      <c r="B2260" s="2812"/>
      <c r="C2260" s="3077"/>
      <c r="D2260" s="3980"/>
      <c r="E2260" s="3883"/>
      <c r="F2260" s="3984" t="str">
        <f>$E$1788</f>
        <v>ASHP-SEER18-Replace_CAC_NonElectricHeat_ER1_SF</v>
      </c>
      <c r="G2260" s="3984"/>
      <c r="H2260" s="3984"/>
      <c r="I2260" s="3984"/>
      <c r="J2260" s="3501" t="str">
        <f>$C$1788</f>
        <v>354260_2021_12_</v>
      </c>
      <c r="K2260" s="2042">
        <v>1496</v>
      </c>
      <c r="L2260" s="704"/>
      <c r="M2260" s="3038"/>
      <c r="N2260" s="106"/>
      <c r="O2260" s="106"/>
      <c r="P2260" s="106"/>
      <c r="Q2260" s="106"/>
      <c r="R2260" s="106"/>
      <c r="S2260" s="106"/>
      <c r="T2260" s="106"/>
      <c r="U2260" s="106"/>
      <c r="V2260" s="3980"/>
      <c r="W2260" s="3421"/>
      <c r="X2260" s="2374"/>
      <c r="Y2260" s="3421"/>
      <c r="Z2260" s="3421"/>
      <c r="AA2260" s="3421"/>
      <c r="AB2260" s="3421"/>
      <c r="AC2260" s="2292">
        <v>1496</v>
      </c>
      <c r="AD2260" s="2042">
        <v>1496</v>
      </c>
      <c r="AE2260" s="3429"/>
      <c r="AF2260" s="3421"/>
      <c r="AG2260" s="3421"/>
      <c r="AH2260" s="156"/>
      <c r="AI2260" s="156"/>
      <c r="AJ2260" s="156"/>
      <c r="AK2260" s="156"/>
      <c r="AL2260" s="156"/>
      <c r="AM2260" s="156"/>
      <c r="AN2260" s="156"/>
      <c r="AO2260" s="156"/>
      <c r="AP2260" s="156"/>
      <c r="AQ2260" s="156"/>
      <c r="AR2260" s="156"/>
      <c r="AS2260" s="156"/>
      <c r="AT2260" s="156"/>
      <c r="AU2260" s="156"/>
      <c r="AV2260" s="156"/>
      <c r="AW2260" s="156"/>
      <c r="AX2260" s="156"/>
      <c r="AY2260" s="156"/>
      <c r="AZ2260" s="156"/>
      <c r="BA2260" s="156"/>
      <c r="BB2260" s="2828"/>
      <c r="BC2260" s="452"/>
      <c r="BD2260" s="2829"/>
      <c r="BE2260" s="2837"/>
      <c r="BF2260" s="156"/>
    </row>
    <row r="2261" spans="1:58" ht="15" customHeight="1" outlineLevel="1" x14ac:dyDescent="0.35">
      <c r="A2261" s="1071"/>
      <c r="B2261" s="2812"/>
      <c r="C2261" s="3077"/>
      <c r="D2261" s="3980"/>
      <c r="E2261" s="3883"/>
      <c r="F2261" s="3984" t="str">
        <f>$E$1790</f>
        <v>ASHP-SEER18-Replace_CAC_NonElectricHeat_ER2_SF</v>
      </c>
      <c r="G2261" s="3984"/>
      <c r="H2261" s="3984"/>
      <c r="I2261" s="3984"/>
      <c r="J2261" s="3501" t="str">
        <f>$C$1790</f>
        <v>354260_2021_12_</v>
      </c>
      <c r="K2261" s="2042">
        <v>1496</v>
      </c>
      <c r="L2261" s="704"/>
      <c r="M2261" s="3038"/>
      <c r="N2261" s="106"/>
      <c r="O2261" s="106"/>
      <c r="P2261" s="106"/>
      <c r="Q2261" s="106"/>
      <c r="R2261" s="106"/>
      <c r="S2261" s="106"/>
      <c r="T2261" s="106"/>
      <c r="U2261" s="106"/>
      <c r="V2261" s="3980"/>
      <c r="W2261" s="3421"/>
      <c r="X2261" s="2374"/>
      <c r="Y2261" s="3421"/>
      <c r="Z2261" s="3421"/>
      <c r="AA2261" s="3421"/>
      <c r="AB2261" s="3421"/>
      <c r="AC2261" s="2292">
        <v>1496</v>
      </c>
      <c r="AD2261" s="2042">
        <v>1496</v>
      </c>
      <c r="AE2261" s="3429"/>
      <c r="AF2261" s="3421"/>
      <c r="AG2261" s="3421"/>
      <c r="AH2261" s="156"/>
      <c r="AI2261" s="156"/>
      <c r="AJ2261" s="156"/>
      <c r="AK2261" s="156"/>
      <c r="AL2261" s="156"/>
      <c r="AM2261" s="156"/>
      <c r="AN2261" s="156"/>
      <c r="AO2261" s="156"/>
      <c r="AP2261" s="156"/>
      <c r="AQ2261" s="156"/>
      <c r="AR2261" s="156"/>
      <c r="AS2261" s="156"/>
      <c r="AT2261" s="156"/>
      <c r="AU2261" s="156"/>
      <c r="AV2261" s="156"/>
      <c r="AW2261" s="156"/>
      <c r="AX2261" s="156"/>
      <c r="AY2261" s="156"/>
      <c r="AZ2261" s="156"/>
      <c r="BA2261" s="156"/>
      <c r="BB2261" s="2828"/>
      <c r="BC2261" s="452"/>
      <c r="BD2261" s="2829"/>
      <c r="BE2261" s="2837"/>
      <c r="BF2261" s="156"/>
    </row>
    <row r="2262" spans="1:58" ht="15" customHeight="1" outlineLevel="1" x14ac:dyDescent="0.35">
      <c r="A2262" s="1071"/>
      <c r="B2262" s="2812"/>
      <c r="C2262" s="3077"/>
      <c r="D2262" s="3980"/>
      <c r="E2262" s="3883"/>
      <c r="F2262" s="3984" t="str">
        <f>$E$1792</f>
        <v>ASHP-SEER18-Replace_CAC_ElectricHeat_ER1_MF</v>
      </c>
      <c r="G2262" s="3984"/>
      <c r="H2262" s="3984"/>
      <c r="I2262" s="3984"/>
      <c r="J2262" s="3501" t="str">
        <f>$C$1792</f>
        <v>354300_2021_12_</v>
      </c>
      <c r="K2262" s="3421">
        <v>1496</v>
      </c>
      <c r="L2262" s="704"/>
      <c r="M2262" s="3038"/>
      <c r="N2262" s="106"/>
      <c r="O2262" s="106"/>
      <c r="P2262" s="106"/>
      <c r="Q2262" s="106"/>
      <c r="R2262" s="106"/>
      <c r="S2262" s="106"/>
      <c r="T2262" s="106"/>
      <c r="U2262" s="106"/>
      <c r="V2262" s="3980"/>
      <c r="W2262" s="3421">
        <v>2009</v>
      </c>
      <c r="X2262" s="2374">
        <v>1496</v>
      </c>
      <c r="Y2262" s="3421">
        <v>1496</v>
      </c>
      <c r="Z2262" s="3421">
        <v>1496</v>
      </c>
      <c r="AA2262" s="3421">
        <v>1496</v>
      </c>
      <c r="AB2262" s="3421">
        <v>1496</v>
      </c>
      <c r="AC2262" s="3428">
        <v>1496</v>
      </c>
      <c r="AD2262" s="3421">
        <v>1496</v>
      </c>
      <c r="AE2262" s="3429"/>
      <c r="AF2262" s="3421"/>
      <c r="AG2262" s="3421"/>
      <c r="AH2262" s="156"/>
      <c r="AI2262" s="156"/>
      <c r="AJ2262" s="156"/>
      <c r="AK2262" s="156"/>
      <c r="AL2262" s="156"/>
      <c r="AM2262" s="156"/>
      <c r="AN2262" s="156"/>
      <c r="AO2262" s="156"/>
      <c r="AP2262" s="156"/>
      <c r="AQ2262" s="156"/>
      <c r="AR2262" s="156"/>
      <c r="AS2262" s="156"/>
      <c r="AT2262" s="156"/>
      <c r="AU2262" s="156"/>
      <c r="AV2262" s="156"/>
      <c r="AW2262" s="156"/>
      <c r="AX2262" s="156"/>
      <c r="AY2262" s="156"/>
      <c r="AZ2262" s="156"/>
      <c r="BA2262" s="156"/>
      <c r="BB2262" s="2828"/>
      <c r="BC2262" s="452"/>
      <c r="BD2262" s="2829"/>
      <c r="BE2262" s="2837"/>
      <c r="BF2262" s="156"/>
    </row>
    <row r="2263" spans="1:58" ht="15" customHeight="1" outlineLevel="1" x14ac:dyDescent="0.35">
      <c r="A2263" s="1071"/>
      <c r="B2263" s="2812"/>
      <c r="C2263" s="3077"/>
      <c r="D2263" s="3980"/>
      <c r="E2263" s="3883"/>
      <c r="F2263" s="3984" t="str">
        <f>$E$1794</f>
        <v>ASHP-SEER18-Replace_CAC_ElectricHeat_ER2_MF</v>
      </c>
      <c r="G2263" s="3984"/>
      <c r="H2263" s="3984"/>
      <c r="I2263" s="3984"/>
      <c r="J2263" s="3501" t="str">
        <f>$C$1794</f>
        <v>354300_2021_12_</v>
      </c>
      <c r="K2263" s="3421">
        <v>1496</v>
      </c>
      <c r="L2263" s="704"/>
      <c r="M2263" s="3038"/>
      <c r="N2263" s="106"/>
      <c r="O2263" s="106"/>
      <c r="P2263" s="106"/>
      <c r="Q2263" s="106"/>
      <c r="R2263" s="106"/>
      <c r="S2263" s="106"/>
      <c r="T2263" s="106"/>
      <c r="U2263" s="106"/>
      <c r="V2263" s="3980"/>
      <c r="W2263" s="3421">
        <v>2009</v>
      </c>
      <c r="X2263" s="2374">
        <v>1496</v>
      </c>
      <c r="Y2263" s="3421">
        <v>1496</v>
      </c>
      <c r="Z2263" s="3421">
        <v>1496</v>
      </c>
      <c r="AA2263" s="3421">
        <v>1496</v>
      </c>
      <c r="AB2263" s="3421">
        <v>1496</v>
      </c>
      <c r="AC2263" s="3428">
        <v>1496</v>
      </c>
      <c r="AD2263" s="3421">
        <v>1496</v>
      </c>
      <c r="AE2263" s="3429"/>
      <c r="AF2263" s="3421"/>
      <c r="AG2263" s="3421"/>
      <c r="AH2263" s="156"/>
      <c r="AI2263" s="156"/>
      <c r="AJ2263" s="156"/>
      <c r="AK2263" s="156"/>
      <c r="AL2263" s="156"/>
      <c r="AM2263" s="156"/>
      <c r="AN2263" s="156"/>
      <c r="AO2263" s="156"/>
      <c r="AP2263" s="156"/>
      <c r="AQ2263" s="156"/>
      <c r="AR2263" s="156"/>
      <c r="AS2263" s="156"/>
      <c r="AT2263" s="156"/>
      <c r="AU2263" s="156"/>
      <c r="AV2263" s="156"/>
      <c r="AW2263" s="156"/>
      <c r="AX2263" s="156"/>
      <c r="AY2263" s="156"/>
      <c r="AZ2263" s="156"/>
      <c r="BA2263" s="156"/>
      <c r="BB2263" s="2828"/>
      <c r="BC2263" s="452"/>
      <c r="BD2263" s="2829"/>
      <c r="BE2263" s="2837"/>
      <c r="BF2263" s="156"/>
    </row>
    <row r="2264" spans="1:58" ht="15" customHeight="1" outlineLevel="1" x14ac:dyDescent="0.35">
      <c r="A2264" s="1071"/>
      <c r="B2264" s="2812"/>
      <c r="C2264" s="3077"/>
      <c r="D2264" s="3980"/>
      <c r="E2264" s="3883"/>
      <c r="F2264" s="3984" t="str">
        <f>$E$1796</f>
        <v>ASHP-SEER18-Replace_CAC_ElectricHeat_ER1_MF_CompE</v>
      </c>
      <c r="G2264" s="3984"/>
      <c r="H2264" s="3984"/>
      <c r="I2264" s="3984"/>
      <c r="J2264" s="3501" t="str">
        <f>$C$1796</f>
        <v>354301_2021_12_</v>
      </c>
      <c r="K2264" s="3421">
        <v>510</v>
      </c>
      <c r="L2264" s="704"/>
      <c r="M2264" s="3038" t="s">
        <v>1508</v>
      </c>
      <c r="N2264" s="106"/>
      <c r="O2264" s="106"/>
      <c r="P2264" s="106"/>
      <c r="Q2264" s="106"/>
      <c r="R2264" s="106"/>
      <c r="S2264" s="106"/>
      <c r="T2264" s="106"/>
      <c r="U2264" s="106"/>
      <c r="V2264" s="3980"/>
      <c r="W2264" s="3421"/>
      <c r="X2264" s="2374"/>
      <c r="Y2264" s="2374">
        <v>510</v>
      </c>
      <c r="Z2264" s="3421">
        <v>510</v>
      </c>
      <c r="AA2264" s="3421">
        <v>510</v>
      </c>
      <c r="AB2264" s="3421">
        <v>510</v>
      </c>
      <c r="AC2264" s="3428">
        <v>510</v>
      </c>
      <c r="AD2264" s="3421">
        <v>510</v>
      </c>
      <c r="AE2264" s="3429"/>
      <c r="AF2264" s="3421"/>
      <c r="AG2264" s="3421"/>
      <c r="AH2264" s="156"/>
      <c r="AI2264" s="156"/>
      <c r="AJ2264" s="156"/>
      <c r="AK2264" s="156"/>
      <c r="AL2264" s="156"/>
      <c r="AM2264" s="156"/>
      <c r="AN2264" s="156"/>
      <c r="AO2264" s="156"/>
      <c r="AP2264" s="156"/>
      <c r="AQ2264" s="156"/>
      <c r="AR2264" s="156"/>
      <c r="AS2264" s="156"/>
      <c r="AT2264" s="156"/>
      <c r="AU2264" s="156"/>
      <c r="AV2264" s="156"/>
      <c r="AW2264" s="156"/>
      <c r="AX2264" s="156"/>
      <c r="AY2264" s="156"/>
      <c r="AZ2264" s="156"/>
      <c r="BA2264" s="156"/>
      <c r="BB2264" s="2828"/>
      <c r="BC2264" s="452"/>
      <c r="BD2264" s="2829"/>
      <c r="BE2264" s="2837"/>
      <c r="BF2264" s="156"/>
    </row>
    <row r="2265" spans="1:58" ht="15" customHeight="1" outlineLevel="1" x14ac:dyDescent="0.35">
      <c r="A2265" s="1071"/>
      <c r="B2265" s="2812"/>
      <c r="C2265" s="3077"/>
      <c r="D2265" s="3980"/>
      <c r="E2265" s="3883"/>
      <c r="F2265" s="3984" t="str">
        <f>$E$1798</f>
        <v>ASHP-SEER18-Replace_CAC_ElectricHeat_ER2_MF_CompE</v>
      </c>
      <c r="G2265" s="3984"/>
      <c r="H2265" s="3984"/>
      <c r="I2265" s="3984"/>
      <c r="J2265" s="3501" t="str">
        <f>$C$1798</f>
        <v>354301_2021_12_</v>
      </c>
      <c r="K2265" s="3421">
        <v>510</v>
      </c>
      <c r="L2265" s="704"/>
      <c r="M2265" s="3038" t="s">
        <v>1508</v>
      </c>
      <c r="N2265" s="106"/>
      <c r="O2265" s="106"/>
      <c r="P2265" s="106"/>
      <c r="Q2265" s="106"/>
      <c r="R2265" s="106"/>
      <c r="S2265" s="106"/>
      <c r="T2265" s="106"/>
      <c r="U2265" s="106"/>
      <c r="V2265" s="3980"/>
      <c r="W2265" s="3421"/>
      <c r="X2265" s="2374"/>
      <c r="Y2265" s="2374">
        <v>510</v>
      </c>
      <c r="Z2265" s="3421">
        <v>510</v>
      </c>
      <c r="AA2265" s="3421">
        <v>510</v>
      </c>
      <c r="AB2265" s="3421">
        <v>510</v>
      </c>
      <c r="AC2265" s="3428">
        <v>510</v>
      </c>
      <c r="AD2265" s="3421">
        <v>510</v>
      </c>
      <c r="AE2265" s="3429"/>
      <c r="AF2265" s="3421"/>
      <c r="AG2265" s="3421"/>
      <c r="AH2265" s="156"/>
      <c r="AI2265" s="156"/>
      <c r="AJ2265" s="156"/>
      <c r="AK2265" s="156"/>
      <c r="AL2265" s="156"/>
      <c r="AM2265" s="156"/>
      <c r="AN2265" s="156"/>
      <c r="AO2265" s="156"/>
      <c r="AP2265" s="156"/>
      <c r="AQ2265" s="156"/>
      <c r="AR2265" s="156"/>
      <c r="AS2265" s="156"/>
      <c r="AT2265" s="156"/>
      <c r="AU2265" s="156"/>
      <c r="AV2265" s="156"/>
      <c r="AW2265" s="156"/>
      <c r="AX2265" s="156"/>
      <c r="AY2265" s="156"/>
      <c r="AZ2265" s="156"/>
      <c r="BA2265" s="156"/>
      <c r="BB2265" s="2828"/>
      <c r="BC2265" s="452"/>
      <c r="BD2265" s="2829"/>
      <c r="BE2265" s="2837"/>
      <c r="BF2265" s="156"/>
    </row>
    <row r="2266" spans="1:58" ht="15" customHeight="1" outlineLevel="1" x14ac:dyDescent="0.35">
      <c r="A2266" s="1071"/>
      <c r="B2266" s="2812"/>
      <c r="C2266" s="3077"/>
      <c r="D2266" s="3980"/>
      <c r="E2266" s="3883"/>
      <c r="F2266" s="3984" t="str">
        <f>$E$1800</f>
        <v>ASHP-SEER18-Replace_CAC_NonElectricHeat_ER1_MF</v>
      </c>
      <c r="G2266" s="3984"/>
      <c r="H2266" s="3984"/>
      <c r="I2266" s="3984"/>
      <c r="J2266" s="3501" t="str">
        <f>$C$1800</f>
        <v>354310_2021_12_</v>
      </c>
      <c r="K2266" s="2042">
        <v>1496</v>
      </c>
      <c r="L2266" s="704"/>
      <c r="M2266" s="3038"/>
      <c r="N2266" s="106"/>
      <c r="O2266" s="106"/>
      <c r="P2266" s="106"/>
      <c r="Q2266" s="106"/>
      <c r="R2266" s="106"/>
      <c r="S2266" s="106"/>
      <c r="T2266" s="106"/>
      <c r="U2266" s="106"/>
      <c r="V2266" s="3980"/>
      <c r="W2266" s="3421"/>
      <c r="X2266" s="2374"/>
      <c r="Y2266" s="2374"/>
      <c r="Z2266" s="3421"/>
      <c r="AA2266" s="3421"/>
      <c r="AB2266" s="3421"/>
      <c r="AC2266" s="2292">
        <v>1496</v>
      </c>
      <c r="AD2266" s="2042">
        <v>1496</v>
      </c>
      <c r="AE2266" s="3429"/>
      <c r="AF2266" s="3421"/>
      <c r="AG2266" s="3421"/>
      <c r="AH2266" s="156"/>
      <c r="AI2266" s="156"/>
      <c r="AJ2266" s="156"/>
      <c r="AK2266" s="156"/>
      <c r="AL2266" s="156"/>
      <c r="AM2266" s="156"/>
      <c r="AN2266" s="156"/>
      <c r="AO2266" s="156"/>
      <c r="AP2266" s="156"/>
      <c r="AQ2266" s="156"/>
      <c r="AR2266" s="156"/>
      <c r="AS2266" s="156"/>
      <c r="AT2266" s="156"/>
      <c r="AU2266" s="156"/>
      <c r="AV2266" s="156"/>
      <c r="AW2266" s="156"/>
      <c r="AX2266" s="156"/>
      <c r="AY2266" s="156"/>
      <c r="AZ2266" s="156"/>
      <c r="BA2266" s="156"/>
      <c r="BB2266" s="2828"/>
      <c r="BC2266" s="452"/>
      <c r="BD2266" s="2829"/>
      <c r="BE2266" s="2837"/>
      <c r="BF2266" s="156"/>
    </row>
    <row r="2267" spans="1:58" ht="15" customHeight="1" outlineLevel="1" x14ac:dyDescent="0.35">
      <c r="A2267" s="1071"/>
      <c r="B2267" s="2812"/>
      <c r="C2267" s="3077"/>
      <c r="D2267" s="3980"/>
      <c r="E2267" s="3883"/>
      <c r="F2267" s="3984" t="str">
        <f>$E$1802</f>
        <v>ASHP-SEER18-Replace_CAC_NonElectricHeat_ER2_MF</v>
      </c>
      <c r="G2267" s="3984"/>
      <c r="H2267" s="3984"/>
      <c r="I2267" s="3984"/>
      <c r="J2267" s="3501" t="str">
        <f>$C$1802</f>
        <v>354310_2021_12_</v>
      </c>
      <c r="K2267" s="2042">
        <v>1496</v>
      </c>
      <c r="L2267" s="704"/>
      <c r="M2267" s="3038"/>
      <c r="N2267" s="106"/>
      <c r="O2267" s="106"/>
      <c r="P2267" s="106"/>
      <c r="Q2267" s="106"/>
      <c r="R2267" s="106"/>
      <c r="S2267" s="106"/>
      <c r="T2267" s="106"/>
      <c r="U2267" s="106"/>
      <c r="V2267" s="3980"/>
      <c r="W2267" s="3421"/>
      <c r="X2267" s="2374"/>
      <c r="Y2267" s="2374"/>
      <c r="Z2267" s="3421"/>
      <c r="AA2267" s="3421"/>
      <c r="AB2267" s="3421"/>
      <c r="AC2267" s="2292">
        <v>1496</v>
      </c>
      <c r="AD2267" s="2042">
        <v>1496</v>
      </c>
      <c r="AE2267" s="3429"/>
      <c r="AF2267" s="3421"/>
      <c r="AG2267" s="3421"/>
      <c r="AH2267" s="156"/>
      <c r="AI2267" s="156"/>
      <c r="AJ2267" s="156"/>
      <c r="AK2267" s="156"/>
      <c r="AL2267" s="156"/>
      <c r="AM2267" s="156"/>
      <c r="AN2267" s="156"/>
      <c r="AO2267" s="156"/>
      <c r="AP2267" s="156"/>
      <c r="AQ2267" s="156"/>
      <c r="AR2267" s="156"/>
      <c r="AS2267" s="156"/>
      <c r="AT2267" s="156"/>
      <c r="AU2267" s="156"/>
      <c r="AV2267" s="156"/>
      <c r="AW2267" s="156"/>
      <c r="AX2267" s="156"/>
      <c r="AY2267" s="156"/>
      <c r="AZ2267" s="156"/>
      <c r="BA2267" s="156"/>
      <c r="BB2267" s="2828"/>
      <c r="BC2267" s="452"/>
      <c r="BD2267" s="2829"/>
      <c r="BE2267" s="2837"/>
      <c r="BF2267" s="156"/>
    </row>
    <row r="2268" spans="1:58" ht="15" customHeight="1" outlineLevel="1" x14ac:dyDescent="0.35">
      <c r="A2268" s="1071"/>
      <c r="B2268" s="2812"/>
      <c r="C2268" s="3077"/>
      <c r="D2268" s="3980"/>
      <c r="E2268" s="3883"/>
      <c r="F2268" s="3984" t="str">
        <f>$E$1804</f>
        <v>ASHP-SEER18-Replace_CAC_NonElectricHeat_ER1_MF_CompE</v>
      </c>
      <c r="G2268" s="3984"/>
      <c r="H2268" s="3984"/>
      <c r="I2268" s="3984"/>
      <c r="J2268" s="3501" t="str">
        <f>$C$1804</f>
        <v>354311_2021_12_</v>
      </c>
      <c r="K2268" s="2042">
        <v>510</v>
      </c>
      <c r="L2268" s="704"/>
      <c r="M2268" s="3038"/>
      <c r="N2268" s="106"/>
      <c r="O2268" s="106"/>
      <c r="P2268" s="106"/>
      <c r="Q2268" s="106"/>
      <c r="R2268" s="106"/>
      <c r="S2268" s="106"/>
      <c r="T2268" s="106"/>
      <c r="U2268" s="106"/>
      <c r="V2268" s="3980"/>
      <c r="W2268" s="3421"/>
      <c r="X2268" s="2374"/>
      <c r="Y2268" s="2374"/>
      <c r="Z2268" s="3421"/>
      <c r="AA2268" s="3421"/>
      <c r="AB2268" s="3421"/>
      <c r="AC2268" s="2292">
        <v>510</v>
      </c>
      <c r="AD2268" s="2042">
        <v>510</v>
      </c>
      <c r="AE2268" s="3429"/>
      <c r="AF2268" s="3421"/>
      <c r="AG2268" s="3421"/>
      <c r="AH2268" s="156"/>
      <c r="AI2268" s="156"/>
      <c r="AJ2268" s="156"/>
      <c r="AK2268" s="156"/>
      <c r="AL2268" s="156"/>
      <c r="AM2268" s="156"/>
      <c r="AN2268" s="156"/>
      <c r="AO2268" s="156"/>
      <c r="AP2268" s="156"/>
      <c r="AQ2268" s="156"/>
      <c r="AR2268" s="156"/>
      <c r="AS2268" s="156"/>
      <c r="AT2268" s="156"/>
      <c r="AU2268" s="156"/>
      <c r="AV2268" s="156"/>
      <c r="AW2268" s="156"/>
      <c r="AX2268" s="156"/>
      <c r="AY2268" s="156"/>
      <c r="AZ2268" s="156"/>
      <c r="BA2268" s="156"/>
      <c r="BB2268" s="2828"/>
      <c r="BC2268" s="452"/>
      <c r="BD2268" s="2829"/>
      <c r="BE2268" s="2837"/>
      <c r="BF2268" s="156"/>
    </row>
    <row r="2269" spans="1:58" ht="15" customHeight="1" outlineLevel="1" x14ac:dyDescent="0.35">
      <c r="A2269" s="1071"/>
      <c r="B2269" s="2812"/>
      <c r="C2269" s="3077"/>
      <c r="D2269" s="3980"/>
      <c r="E2269" s="3883"/>
      <c r="F2269" s="3984" t="str">
        <f>$E$1806</f>
        <v>ASHP-SEER18-Replace_CAC_NonElectricHeat_ER2_MF_CompE</v>
      </c>
      <c r="G2269" s="3984"/>
      <c r="H2269" s="3984"/>
      <c r="I2269" s="3984"/>
      <c r="J2269" s="3501" t="str">
        <f>$C$1806</f>
        <v>354311_2021_12_</v>
      </c>
      <c r="K2269" s="2042">
        <v>510</v>
      </c>
      <c r="L2269" s="704"/>
      <c r="M2269" s="3038"/>
      <c r="N2269" s="106"/>
      <c r="O2269" s="106"/>
      <c r="P2269" s="106"/>
      <c r="Q2269" s="106"/>
      <c r="R2269" s="106"/>
      <c r="S2269" s="106"/>
      <c r="T2269" s="106"/>
      <c r="U2269" s="106"/>
      <c r="V2269" s="3980"/>
      <c r="W2269" s="3421"/>
      <c r="X2269" s="2374"/>
      <c r="Y2269" s="2374"/>
      <c r="Z2269" s="3421"/>
      <c r="AA2269" s="3421"/>
      <c r="AB2269" s="3421"/>
      <c r="AC2269" s="2292">
        <v>510</v>
      </c>
      <c r="AD2269" s="2042">
        <v>510</v>
      </c>
      <c r="AE2269" s="3429"/>
      <c r="AF2269" s="3421"/>
      <c r="AG2269" s="3421"/>
      <c r="AH2269" s="156"/>
      <c r="AI2269" s="156"/>
      <c r="AJ2269" s="156"/>
      <c r="AK2269" s="156"/>
      <c r="AL2269" s="156"/>
      <c r="AM2269" s="156"/>
      <c r="AN2269" s="156"/>
      <c r="AO2269" s="156"/>
      <c r="AP2269" s="156"/>
      <c r="AQ2269" s="156"/>
      <c r="AR2269" s="156"/>
      <c r="AS2269" s="156"/>
      <c r="AT2269" s="156"/>
      <c r="AU2269" s="156"/>
      <c r="AV2269" s="156"/>
      <c r="AW2269" s="156"/>
      <c r="AX2269" s="156"/>
      <c r="AY2269" s="156"/>
      <c r="AZ2269" s="156"/>
      <c r="BA2269" s="156"/>
      <c r="BB2269" s="2828"/>
      <c r="BC2269" s="452"/>
      <c r="BD2269" s="2829"/>
      <c r="BE2269" s="2837"/>
      <c r="BF2269" s="156"/>
    </row>
    <row r="2270" spans="1:58" ht="15" customHeight="1" outlineLevel="1" x14ac:dyDescent="0.35">
      <c r="A2270" s="1071"/>
      <c r="B2270" s="2812"/>
      <c r="C2270" s="3077"/>
      <c r="D2270" s="3980"/>
      <c r="E2270" s="3883"/>
      <c r="F2270" s="3984" t="str">
        <f>$E$1808</f>
        <v>ASHP-SEER18_ER1_MF</v>
      </c>
      <c r="G2270" s="3984"/>
      <c r="H2270" s="3984"/>
      <c r="I2270" s="3984"/>
      <c r="J2270" s="3501" t="str">
        <f>$C$1808</f>
        <v>354350_2021_12_</v>
      </c>
      <c r="K2270" s="3421">
        <v>1496</v>
      </c>
      <c r="L2270" s="704"/>
      <c r="M2270" s="3038"/>
      <c r="N2270" s="106"/>
      <c r="O2270" s="106"/>
      <c r="P2270" s="106"/>
      <c r="Q2270" s="106"/>
      <c r="R2270" s="106"/>
      <c r="S2270" s="106"/>
      <c r="T2270" s="106"/>
      <c r="U2270" s="106"/>
      <c r="V2270" s="3980"/>
      <c r="W2270" s="3421">
        <v>2009</v>
      </c>
      <c r="X2270" s="2374">
        <v>1496</v>
      </c>
      <c r="Y2270" s="3421">
        <v>1496</v>
      </c>
      <c r="Z2270" s="3421">
        <v>1496</v>
      </c>
      <c r="AA2270" s="3421">
        <v>1496</v>
      </c>
      <c r="AB2270" s="3421">
        <v>1496</v>
      </c>
      <c r="AC2270" s="3428">
        <v>1496</v>
      </c>
      <c r="AD2270" s="3421">
        <v>1496</v>
      </c>
      <c r="AE2270" s="3429"/>
      <c r="AF2270" s="3421"/>
      <c r="AG2270" s="3421"/>
      <c r="AH2270" s="156"/>
      <c r="AI2270" s="156"/>
      <c r="AJ2270" s="156"/>
      <c r="AK2270" s="156"/>
      <c r="AL2270" s="156"/>
      <c r="AM2270" s="156"/>
      <c r="AN2270" s="156"/>
      <c r="AO2270" s="156"/>
      <c r="AP2270" s="156"/>
      <c r="AQ2270" s="156"/>
      <c r="AR2270" s="156"/>
      <c r="AS2270" s="156"/>
      <c r="AT2270" s="156"/>
      <c r="AU2270" s="156"/>
      <c r="AV2270" s="156"/>
      <c r="AW2270" s="156"/>
      <c r="AX2270" s="156"/>
      <c r="AY2270" s="156"/>
      <c r="AZ2270" s="156"/>
      <c r="BA2270" s="156"/>
      <c r="BB2270" s="2828"/>
      <c r="BC2270" s="452"/>
      <c r="BD2270" s="2829"/>
      <c r="BE2270" s="2837"/>
      <c r="BF2270" s="156"/>
    </row>
    <row r="2271" spans="1:58" ht="15" customHeight="1" outlineLevel="1" x14ac:dyDescent="0.35">
      <c r="A2271" s="1071"/>
      <c r="B2271" s="2812"/>
      <c r="C2271" s="3077"/>
      <c r="D2271" s="3980"/>
      <c r="E2271" s="3883"/>
      <c r="F2271" s="3984" t="str">
        <f>$E$1810</f>
        <v>ASHP-SEER18_ER2_MF</v>
      </c>
      <c r="G2271" s="3984"/>
      <c r="H2271" s="3984"/>
      <c r="I2271" s="3984"/>
      <c r="J2271" s="3501" t="str">
        <f>$C$1810</f>
        <v>354350_2021_12_</v>
      </c>
      <c r="K2271" s="3421">
        <v>1496</v>
      </c>
      <c r="L2271" s="704"/>
      <c r="M2271" s="3038"/>
      <c r="N2271" s="106"/>
      <c r="O2271" s="106"/>
      <c r="P2271" s="106"/>
      <c r="Q2271" s="106"/>
      <c r="R2271" s="106"/>
      <c r="S2271" s="106"/>
      <c r="T2271" s="106"/>
      <c r="U2271" s="106"/>
      <c r="V2271" s="3980"/>
      <c r="W2271" s="3421">
        <v>2009</v>
      </c>
      <c r="X2271" s="2374">
        <v>1496</v>
      </c>
      <c r="Y2271" s="3421">
        <v>1496</v>
      </c>
      <c r="Z2271" s="3421">
        <v>1496</v>
      </c>
      <c r="AA2271" s="3421">
        <v>1496</v>
      </c>
      <c r="AB2271" s="3421">
        <v>1496</v>
      </c>
      <c r="AC2271" s="3428">
        <v>1496</v>
      </c>
      <c r="AD2271" s="3421">
        <v>1496</v>
      </c>
      <c r="AE2271" s="3429"/>
      <c r="AF2271" s="3421"/>
      <c r="AG2271" s="3421"/>
      <c r="AH2271" s="156"/>
      <c r="AI2271" s="156"/>
      <c r="AJ2271" s="156"/>
      <c r="AK2271" s="156"/>
      <c r="AL2271" s="156"/>
      <c r="AM2271" s="156"/>
      <c r="AN2271" s="156"/>
      <c r="AO2271" s="156"/>
      <c r="AP2271" s="156"/>
      <c r="AQ2271" s="156"/>
      <c r="AR2271" s="156"/>
      <c r="AS2271" s="156"/>
      <c r="AT2271" s="156"/>
      <c r="AU2271" s="156"/>
      <c r="AV2271" s="156"/>
      <c r="AW2271" s="156"/>
      <c r="AX2271" s="156"/>
      <c r="AY2271" s="156"/>
      <c r="AZ2271" s="156"/>
      <c r="BA2271" s="156"/>
      <c r="BB2271" s="2828"/>
      <c r="BC2271" s="452"/>
      <c r="BD2271" s="2829"/>
      <c r="BE2271" s="2837"/>
      <c r="BF2271" s="156"/>
    </row>
    <row r="2272" spans="1:58" ht="15" customHeight="1" outlineLevel="1" x14ac:dyDescent="0.35">
      <c r="A2272" s="1071"/>
      <c r="B2272" s="2812"/>
      <c r="C2272" s="3077"/>
      <c r="D2272" s="3980"/>
      <c r="E2272" s="3883"/>
      <c r="F2272" s="3984" t="str">
        <f>$E$1812</f>
        <v>ASHP-SEER18_ER1_MF_CompE</v>
      </c>
      <c r="G2272" s="3984"/>
      <c r="H2272" s="3984"/>
      <c r="I2272" s="3984"/>
      <c r="J2272" s="3501" t="str">
        <f>$C$1812</f>
        <v>354351_2021_12_</v>
      </c>
      <c r="K2272" s="3421">
        <v>510</v>
      </c>
      <c r="L2272" s="704"/>
      <c r="M2272" s="3038" t="s">
        <v>1508</v>
      </c>
      <c r="N2272" s="106"/>
      <c r="O2272" s="106"/>
      <c r="P2272" s="106"/>
      <c r="Q2272" s="106"/>
      <c r="R2272" s="106"/>
      <c r="S2272" s="106"/>
      <c r="T2272" s="106"/>
      <c r="U2272" s="106"/>
      <c r="V2272" s="3980"/>
      <c r="W2272" s="3421"/>
      <c r="X2272" s="2374"/>
      <c r="Y2272" s="2374">
        <v>510</v>
      </c>
      <c r="Z2272" s="3421">
        <v>510</v>
      </c>
      <c r="AA2272" s="3421">
        <v>510</v>
      </c>
      <c r="AB2272" s="3421">
        <v>510</v>
      </c>
      <c r="AC2272" s="3428">
        <v>510</v>
      </c>
      <c r="AD2272" s="3421">
        <v>510</v>
      </c>
      <c r="AE2272" s="3429"/>
      <c r="AF2272" s="3421"/>
      <c r="AG2272" s="3421"/>
      <c r="AH2272" s="156"/>
      <c r="AI2272" s="156"/>
      <c r="AJ2272" s="156"/>
      <c r="AK2272" s="156"/>
      <c r="AL2272" s="156"/>
      <c r="AM2272" s="156"/>
      <c r="AN2272" s="156"/>
      <c r="AO2272" s="156"/>
      <c r="AP2272" s="156"/>
      <c r="AQ2272" s="156"/>
      <c r="AR2272" s="156"/>
      <c r="AS2272" s="156"/>
      <c r="AT2272" s="156"/>
      <c r="AU2272" s="156"/>
      <c r="AV2272" s="156"/>
      <c r="AW2272" s="156"/>
      <c r="AX2272" s="156"/>
      <c r="AY2272" s="156"/>
      <c r="AZ2272" s="156"/>
      <c r="BA2272" s="156"/>
      <c r="BB2272" s="2828"/>
      <c r="BC2272" s="452"/>
      <c r="BD2272" s="2829"/>
      <c r="BE2272" s="2837"/>
      <c r="BF2272" s="156"/>
    </row>
    <row r="2273" spans="1:58" ht="15" customHeight="1" outlineLevel="1" x14ac:dyDescent="0.35">
      <c r="A2273" s="1071"/>
      <c r="B2273" s="2812"/>
      <c r="C2273" s="3077"/>
      <c r="D2273" s="3980"/>
      <c r="E2273" s="3883"/>
      <c r="F2273" s="3984" t="str">
        <f>$E$1814</f>
        <v>ASHP-SEER18_ER2_MF_CompE</v>
      </c>
      <c r="G2273" s="3984"/>
      <c r="H2273" s="3984"/>
      <c r="I2273" s="3984"/>
      <c r="J2273" s="3501" t="str">
        <f>$C$1814</f>
        <v>354351_2021_12_</v>
      </c>
      <c r="K2273" s="3421">
        <v>510</v>
      </c>
      <c r="L2273" s="704"/>
      <c r="M2273" s="3038" t="s">
        <v>1508</v>
      </c>
      <c r="N2273" s="106"/>
      <c r="O2273" s="106"/>
      <c r="P2273" s="106"/>
      <c r="Q2273" s="106"/>
      <c r="R2273" s="106"/>
      <c r="S2273" s="106"/>
      <c r="T2273" s="106"/>
      <c r="U2273" s="106"/>
      <c r="V2273" s="3980"/>
      <c r="W2273" s="3421"/>
      <c r="X2273" s="2374"/>
      <c r="Y2273" s="2374">
        <v>510</v>
      </c>
      <c r="Z2273" s="3421">
        <v>510</v>
      </c>
      <c r="AA2273" s="3421">
        <v>510</v>
      </c>
      <c r="AB2273" s="3421">
        <v>510</v>
      </c>
      <c r="AC2273" s="3428">
        <v>510</v>
      </c>
      <c r="AD2273" s="3421">
        <v>510</v>
      </c>
      <c r="AE2273" s="3429"/>
      <c r="AF2273" s="3421"/>
      <c r="AG2273" s="3421"/>
      <c r="AH2273" s="156"/>
      <c r="AI2273" s="156"/>
      <c r="AJ2273" s="156"/>
      <c r="AK2273" s="156"/>
      <c r="AL2273" s="156"/>
      <c r="AM2273" s="156"/>
      <c r="AN2273" s="156"/>
      <c r="AO2273" s="156"/>
      <c r="AP2273" s="156"/>
      <c r="AQ2273" s="156"/>
      <c r="AR2273" s="156"/>
      <c r="AS2273" s="156"/>
      <c r="AT2273" s="156"/>
      <c r="AU2273" s="156"/>
      <c r="AV2273" s="156"/>
      <c r="AW2273" s="156"/>
      <c r="AX2273" s="156"/>
      <c r="AY2273" s="156"/>
      <c r="AZ2273" s="156"/>
      <c r="BA2273" s="156"/>
      <c r="BB2273" s="2828"/>
      <c r="BC2273" s="452"/>
      <c r="BD2273" s="2829"/>
      <c r="BE2273" s="2837"/>
      <c r="BF2273" s="156"/>
    </row>
    <row r="2274" spans="1:58" ht="15" customHeight="1" outlineLevel="1" x14ac:dyDescent="0.35">
      <c r="A2274" s="1071"/>
      <c r="B2274" s="2812"/>
      <c r="C2274" s="3077"/>
      <c r="D2274" s="3980"/>
      <c r="E2274" s="3883"/>
      <c r="F2274" s="3984" t="str">
        <f>$E$1816</f>
        <v>ASHP-SEER19-Replace_CAC_ElectricHeat_ER1_SF</v>
      </c>
      <c r="G2274" s="3984"/>
      <c r="H2274" s="3984"/>
      <c r="I2274" s="3984"/>
      <c r="J2274" s="3501" t="str">
        <f>$C$1816</f>
        <v>354400_2021_12_</v>
      </c>
      <c r="K2274" s="3421">
        <v>1496</v>
      </c>
      <c r="L2274" s="704"/>
      <c r="M2274" s="3038"/>
      <c r="N2274" s="106"/>
      <c r="O2274" s="106"/>
      <c r="P2274" s="106"/>
      <c r="Q2274" s="106"/>
      <c r="R2274" s="106"/>
      <c r="S2274" s="106"/>
      <c r="T2274" s="106"/>
      <c r="U2274" s="106"/>
      <c r="V2274" s="3980"/>
      <c r="W2274" s="3421">
        <v>2009</v>
      </c>
      <c r="X2274" s="2374">
        <v>1496</v>
      </c>
      <c r="Y2274" s="3421">
        <v>1496</v>
      </c>
      <c r="Z2274" s="3421">
        <v>1496</v>
      </c>
      <c r="AA2274" s="3421">
        <v>1496</v>
      </c>
      <c r="AB2274" s="3421">
        <v>1496</v>
      </c>
      <c r="AC2274" s="3428">
        <v>1496</v>
      </c>
      <c r="AD2274" s="3421">
        <v>1496</v>
      </c>
      <c r="AE2274" s="3429"/>
      <c r="AF2274" s="3421"/>
      <c r="AG2274" s="3421"/>
      <c r="AH2274" s="156"/>
      <c r="AI2274" s="156"/>
      <c r="AJ2274" s="156"/>
      <c r="AK2274" s="156"/>
      <c r="AL2274" s="156"/>
      <c r="AM2274" s="156"/>
      <c r="AN2274" s="156"/>
      <c r="AO2274" s="156"/>
      <c r="AP2274" s="156"/>
      <c r="AQ2274" s="156"/>
      <c r="AR2274" s="156"/>
      <c r="AS2274" s="156"/>
      <c r="AT2274" s="156"/>
      <c r="AU2274" s="156"/>
      <c r="AV2274" s="156"/>
      <c r="AW2274" s="156"/>
      <c r="AX2274" s="156"/>
      <c r="AY2274" s="156"/>
      <c r="AZ2274" s="156"/>
      <c r="BA2274" s="156"/>
      <c r="BB2274" s="2828"/>
      <c r="BC2274" s="452"/>
      <c r="BD2274" s="2829"/>
      <c r="BE2274" s="2837"/>
      <c r="BF2274" s="156"/>
    </row>
    <row r="2275" spans="1:58" ht="15" customHeight="1" outlineLevel="1" x14ac:dyDescent="0.35">
      <c r="A2275" s="1071"/>
      <c r="B2275" s="2812"/>
      <c r="C2275" s="3077"/>
      <c r="D2275" s="3980"/>
      <c r="E2275" s="3883"/>
      <c r="F2275" s="3984" t="str">
        <f>$E$1818</f>
        <v>ASHP-SEER19-Replace_CAC_ElectricHeat_ER2_SF</v>
      </c>
      <c r="G2275" s="3984"/>
      <c r="H2275" s="3984"/>
      <c r="I2275" s="3984"/>
      <c r="J2275" s="3501" t="str">
        <f>$C$1818</f>
        <v>354400_2021_12_</v>
      </c>
      <c r="K2275" s="3421">
        <v>1496</v>
      </c>
      <c r="L2275" s="704"/>
      <c r="M2275" s="3038"/>
      <c r="N2275" s="106"/>
      <c r="O2275" s="106"/>
      <c r="P2275" s="106"/>
      <c r="Q2275" s="106"/>
      <c r="R2275" s="106"/>
      <c r="S2275" s="106"/>
      <c r="T2275" s="106"/>
      <c r="U2275" s="106"/>
      <c r="V2275" s="3980"/>
      <c r="W2275" s="3421">
        <v>2009</v>
      </c>
      <c r="X2275" s="2374">
        <v>1496</v>
      </c>
      <c r="Y2275" s="3421">
        <v>1496</v>
      </c>
      <c r="Z2275" s="3421">
        <v>1496</v>
      </c>
      <c r="AA2275" s="3421">
        <v>1496</v>
      </c>
      <c r="AB2275" s="3421">
        <v>1496</v>
      </c>
      <c r="AC2275" s="3428">
        <v>1496</v>
      </c>
      <c r="AD2275" s="3421">
        <v>1496</v>
      </c>
      <c r="AE2275" s="3429"/>
      <c r="AF2275" s="3421"/>
      <c r="AG2275" s="3421"/>
      <c r="AH2275" s="156"/>
      <c r="AI2275" s="156"/>
      <c r="AJ2275" s="156"/>
      <c r="AK2275" s="156"/>
      <c r="AL2275" s="156"/>
      <c r="AM2275" s="156"/>
      <c r="AN2275" s="156"/>
      <c r="AO2275" s="156"/>
      <c r="AP2275" s="156"/>
      <c r="AQ2275" s="156"/>
      <c r="AR2275" s="156"/>
      <c r="AS2275" s="156"/>
      <c r="AT2275" s="156"/>
      <c r="AU2275" s="156"/>
      <c r="AV2275" s="156"/>
      <c r="AW2275" s="156"/>
      <c r="AX2275" s="156"/>
      <c r="AY2275" s="156"/>
      <c r="AZ2275" s="156"/>
      <c r="BA2275" s="156"/>
      <c r="BB2275" s="2828"/>
      <c r="BC2275" s="452"/>
      <c r="BD2275" s="2829"/>
      <c r="BE2275" s="2837"/>
      <c r="BF2275" s="156"/>
    </row>
    <row r="2276" spans="1:58" ht="15" customHeight="1" outlineLevel="1" x14ac:dyDescent="0.35">
      <c r="A2276" s="1071"/>
      <c r="B2276" s="2812"/>
      <c r="C2276" s="3077"/>
      <c r="D2276" s="3980"/>
      <c r="E2276" s="3883"/>
      <c r="F2276" s="3984" t="str">
        <f>$E$1820</f>
        <v>ASHP-SEER19-Replace_CAC_NonElectricHeat_ER1_SF</v>
      </c>
      <c r="G2276" s="3984"/>
      <c r="H2276" s="3984"/>
      <c r="I2276" s="3984"/>
      <c r="J2276" s="3501" t="str">
        <f>$C$1820</f>
        <v>354410_2021_12_</v>
      </c>
      <c r="K2276" s="2042">
        <v>1496</v>
      </c>
      <c r="L2276" s="704"/>
      <c r="M2276" s="3038"/>
      <c r="N2276" s="106"/>
      <c r="O2276" s="106"/>
      <c r="P2276" s="106"/>
      <c r="Q2276" s="106"/>
      <c r="R2276" s="106"/>
      <c r="S2276" s="106"/>
      <c r="T2276" s="106"/>
      <c r="U2276" s="106"/>
      <c r="V2276" s="3980"/>
      <c r="W2276" s="3421"/>
      <c r="X2276" s="2374"/>
      <c r="Y2276" s="3421"/>
      <c r="Z2276" s="3421"/>
      <c r="AA2276" s="3421"/>
      <c r="AB2276" s="3421"/>
      <c r="AC2276" s="2292">
        <v>1496</v>
      </c>
      <c r="AD2276" s="2042">
        <v>1496</v>
      </c>
      <c r="AE2276" s="3429"/>
      <c r="AF2276" s="3421"/>
      <c r="AG2276" s="3421"/>
      <c r="AH2276" s="156"/>
      <c r="AI2276" s="156"/>
      <c r="AJ2276" s="156"/>
      <c r="AK2276" s="156"/>
      <c r="AL2276" s="156"/>
      <c r="AM2276" s="156"/>
      <c r="AN2276" s="156"/>
      <c r="AO2276" s="156"/>
      <c r="AP2276" s="156"/>
      <c r="AQ2276" s="156"/>
      <c r="AR2276" s="156"/>
      <c r="AS2276" s="156"/>
      <c r="AT2276" s="156"/>
      <c r="AU2276" s="156"/>
      <c r="AV2276" s="156"/>
      <c r="AW2276" s="156"/>
      <c r="AX2276" s="156"/>
      <c r="AY2276" s="156"/>
      <c r="AZ2276" s="156"/>
      <c r="BA2276" s="156"/>
      <c r="BB2276" s="2828"/>
      <c r="BC2276" s="452"/>
      <c r="BD2276" s="2829"/>
      <c r="BE2276" s="2837"/>
      <c r="BF2276" s="156"/>
    </row>
    <row r="2277" spans="1:58" ht="15" customHeight="1" outlineLevel="1" x14ac:dyDescent="0.35">
      <c r="A2277" s="1071"/>
      <c r="B2277" s="2812"/>
      <c r="C2277" s="3077"/>
      <c r="D2277" s="3980"/>
      <c r="E2277" s="3883"/>
      <c r="F2277" s="3984" t="str">
        <f>$E$1822</f>
        <v>ASHP-SEER19-Replace_CAC_NonElectricHeat_ER2_SF</v>
      </c>
      <c r="G2277" s="3984"/>
      <c r="H2277" s="3984"/>
      <c r="I2277" s="3984"/>
      <c r="J2277" s="3501" t="str">
        <f>$C$1822</f>
        <v>354410_2021_12_</v>
      </c>
      <c r="K2277" s="2042">
        <v>1496</v>
      </c>
      <c r="L2277" s="704"/>
      <c r="M2277" s="3038"/>
      <c r="N2277" s="106"/>
      <c r="O2277" s="106"/>
      <c r="P2277" s="106"/>
      <c r="Q2277" s="106"/>
      <c r="R2277" s="106"/>
      <c r="S2277" s="106"/>
      <c r="T2277" s="106"/>
      <c r="U2277" s="106"/>
      <c r="V2277" s="3980"/>
      <c r="W2277" s="3421"/>
      <c r="X2277" s="2374"/>
      <c r="Y2277" s="3421"/>
      <c r="Z2277" s="3421"/>
      <c r="AA2277" s="3421"/>
      <c r="AB2277" s="3421"/>
      <c r="AC2277" s="2292">
        <v>1496</v>
      </c>
      <c r="AD2277" s="2042">
        <v>1496</v>
      </c>
      <c r="AE2277" s="3429"/>
      <c r="AF2277" s="3421"/>
      <c r="AG2277" s="3421"/>
      <c r="AH2277" s="156"/>
      <c r="AI2277" s="156"/>
      <c r="AJ2277" s="156"/>
      <c r="AK2277" s="156"/>
      <c r="AL2277" s="156"/>
      <c r="AM2277" s="156"/>
      <c r="AN2277" s="156"/>
      <c r="AO2277" s="156"/>
      <c r="AP2277" s="156"/>
      <c r="AQ2277" s="156"/>
      <c r="AR2277" s="156"/>
      <c r="AS2277" s="156"/>
      <c r="AT2277" s="156"/>
      <c r="AU2277" s="156"/>
      <c r="AV2277" s="156"/>
      <c r="AW2277" s="156"/>
      <c r="AX2277" s="156"/>
      <c r="AY2277" s="156"/>
      <c r="AZ2277" s="156"/>
      <c r="BA2277" s="156"/>
      <c r="BB2277" s="2828"/>
      <c r="BC2277" s="452"/>
      <c r="BD2277" s="2829"/>
      <c r="BE2277" s="2837"/>
      <c r="BF2277" s="156"/>
    </row>
    <row r="2278" spans="1:58" ht="15" customHeight="1" outlineLevel="1" x14ac:dyDescent="0.35">
      <c r="A2278" s="1071"/>
      <c r="B2278" s="2812"/>
      <c r="C2278" s="3077"/>
      <c r="D2278" s="3980"/>
      <c r="E2278" s="3883"/>
      <c r="F2278" s="3984" t="str">
        <f>$E$1824</f>
        <v>ASHP-SEER19-Replace_CAC_ElectricHeat_ER1_MF</v>
      </c>
      <c r="G2278" s="3984"/>
      <c r="H2278" s="3984"/>
      <c r="I2278" s="3984"/>
      <c r="J2278" s="3501" t="str">
        <f>$C$1824</f>
        <v>354450_2019_12_</v>
      </c>
      <c r="K2278" s="3421">
        <v>1496</v>
      </c>
      <c r="L2278" s="704"/>
      <c r="M2278" s="3038"/>
      <c r="N2278" s="106"/>
      <c r="O2278" s="106"/>
      <c r="P2278" s="106"/>
      <c r="Q2278" s="106"/>
      <c r="R2278" s="106"/>
      <c r="S2278" s="106"/>
      <c r="T2278" s="106"/>
      <c r="U2278" s="106"/>
      <c r="V2278" s="3980"/>
      <c r="W2278" s="3421">
        <v>2009</v>
      </c>
      <c r="X2278" s="2374">
        <v>1496</v>
      </c>
      <c r="Y2278" s="3421">
        <v>1496</v>
      </c>
      <c r="Z2278" s="3421">
        <v>1496</v>
      </c>
      <c r="AA2278" s="3421">
        <v>1496</v>
      </c>
      <c r="AB2278" s="3421">
        <v>1496</v>
      </c>
      <c r="AC2278" s="3428">
        <v>1496</v>
      </c>
      <c r="AD2278" s="3421">
        <v>1496</v>
      </c>
      <c r="AE2278" s="3429"/>
      <c r="AF2278" s="3421"/>
      <c r="AG2278" s="3421"/>
      <c r="AH2278" s="156"/>
      <c r="AI2278" s="156"/>
      <c r="AJ2278" s="156"/>
      <c r="AK2278" s="156"/>
      <c r="AL2278" s="156"/>
      <c r="AM2278" s="156"/>
      <c r="AN2278" s="156"/>
      <c r="AO2278" s="156"/>
      <c r="AP2278" s="156"/>
      <c r="AQ2278" s="156"/>
      <c r="AR2278" s="156"/>
      <c r="AS2278" s="156"/>
      <c r="AT2278" s="156"/>
      <c r="AU2278" s="156"/>
      <c r="AV2278" s="156"/>
      <c r="AW2278" s="156"/>
      <c r="AX2278" s="156"/>
      <c r="AY2278" s="156"/>
      <c r="AZ2278" s="156"/>
      <c r="BA2278" s="156"/>
      <c r="BB2278" s="2828"/>
      <c r="BC2278" s="452"/>
      <c r="BD2278" s="2829"/>
      <c r="BE2278" s="2837"/>
      <c r="BF2278" s="156"/>
    </row>
    <row r="2279" spans="1:58" ht="15" customHeight="1" outlineLevel="1" x14ac:dyDescent="0.35">
      <c r="A2279" s="1071"/>
      <c r="B2279" s="2812"/>
      <c r="C2279" s="3077"/>
      <c r="D2279" s="3980"/>
      <c r="E2279" s="3883"/>
      <c r="F2279" s="3984" t="str">
        <f>$E$1826</f>
        <v>ASHP-SEER19-Replace_CAC_ElectricHeat_ER2_MF</v>
      </c>
      <c r="G2279" s="3984"/>
      <c r="H2279" s="3984"/>
      <c r="I2279" s="3984"/>
      <c r="J2279" s="3501" t="str">
        <f>$C$1826</f>
        <v>354450_2019_12_</v>
      </c>
      <c r="K2279" s="3421">
        <v>1496</v>
      </c>
      <c r="L2279" s="704"/>
      <c r="M2279" s="3038"/>
      <c r="N2279" s="106"/>
      <c r="O2279" s="106"/>
      <c r="P2279" s="106"/>
      <c r="Q2279" s="106"/>
      <c r="R2279" s="106"/>
      <c r="S2279" s="106"/>
      <c r="T2279" s="106"/>
      <c r="U2279" s="106"/>
      <c r="V2279" s="3980"/>
      <c r="W2279" s="3421">
        <v>2009</v>
      </c>
      <c r="X2279" s="2374">
        <v>1496</v>
      </c>
      <c r="Y2279" s="3421">
        <v>1496</v>
      </c>
      <c r="Z2279" s="3421">
        <v>1496</v>
      </c>
      <c r="AA2279" s="3421">
        <v>1496</v>
      </c>
      <c r="AB2279" s="3421">
        <v>1496</v>
      </c>
      <c r="AC2279" s="3428">
        <v>1496</v>
      </c>
      <c r="AD2279" s="3421">
        <v>1496</v>
      </c>
      <c r="AE2279" s="3429"/>
      <c r="AF2279" s="3421"/>
      <c r="AG2279" s="3421"/>
      <c r="AH2279" s="156"/>
      <c r="AI2279" s="156"/>
      <c r="AJ2279" s="156"/>
      <c r="AK2279" s="156"/>
      <c r="AL2279" s="156"/>
      <c r="AM2279" s="156"/>
      <c r="AN2279" s="156"/>
      <c r="AO2279" s="156"/>
      <c r="AP2279" s="156"/>
      <c r="AQ2279" s="156"/>
      <c r="AR2279" s="156"/>
      <c r="AS2279" s="156"/>
      <c r="AT2279" s="156"/>
      <c r="AU2279" s="156"/>
      <c r="AV2279" s="156"/>
      <c r="AW2279" s="156"/>
      <c r="AX2279" s="156"/>
      <c r="AY2279" s="156"/>
      <c r="AZ2279" s="156"/>
      <c r="BA2279" s="156"/>
      <c r="BB2279" s="2828"/>
      <c r="BC2279" s="452"/>
      <c r="BD2279" s="2829"/>
      <c r="BE2279" s="2837"/>
      <c r="BF2279" s="156"/>
    </row>
    <row r="2280" spans="1:58" ht="15" customHeight="1" outlineLevel="1" x14ac:dyDescent="0.35">
      <c r="A2280" s="1071"/>
      <c r="B2280" s="2812"/>
      <c r="C2280" s="3077"/>
      <c r="D2280" s="3980"/>
      <c r="E2280" s="3883"/>
      <c r="F2280" s="3984" t="str">
        <f>$E$1828</f>
        <v>ASHP-SEER19-Replace_CAC_ElectricHeat_ER1_MF_CompE</v>
      </c>
      <c r="G2280" s="3984"/>
      <c r="H2280" s="3984"/>
      <c r="I2280" s="3984"/>
      <c r="J2280" s="3501" t="str">
        <f>$C$1828</f>
        <v>354451_2019_12_</v>
      </c>
      <c r="K2280" s="3421">
        <v>510</v>
      </c>
      <c r="L2280" s="704"/>
      <c r="M2280" s="3038" t="s">
        <v>1508</v>
      </c>
      <c r="N2280" s="106"/>
      <c r="O2280" s="106"/>
      <c r="P2280" s="106"/>
      <c r="Q2280" s="106"/>
      <c r="R2280" s="106"/>
      <c r="S2280" s="106"/>
      <c r="T2280" s="106"/>
      <c r="U2280" s="106"/>
      <c r="V2280" s="3980"/>
      <c r="W2280" s="3421"/>
      <c r="X2280" s="2374"/>
      <c r="Y2280" s="2374">
        <v>510</v>
      </c>
      <c r="Z2280" s="3421">
        <v>510</v>
      </c>
      <c r="AA2280" s="3421">
        <v>510</v>
      </c>
      <c r="AB2280" s="3421">
        <v>510</v>
      </c>
      <c r="AC2280" s="3428">
        <v>510</v>
      </c>
      <c r="AD2280" s="3421">
        <v>510</v>
      </c>
      <c r="AE2280" s="3429"/>
      <c r="AF2280" s="3421"/>
      <c r="AG2280" s="3421"/>
      <c r="AH2280" s="156"/>
      <c r="AI2280" s="156"/>
      <c r="AJ2280" s="156"/>
      <c r="AK2280" s="156"/>
      <c r="AL2280" s="156"/>
      <c r="AM2280" s="156"/>
      <c r="AN2280" s="156"/>
      <c r="AO2280" s="156"/>
      <c r="AP2280" s="156"/>
      <c r="AQ2280" s="156"/>
      <c r="AR2280" s="156"/>
      <c r="AS2280" s="156"/>
      <c r="AT2280" s="156"/>
      <c r="AU2280" s="156"/>
      <c r="AV2280" s="156"/>
      <c r="AW2280" s="156"/>
      <c r="AX2280" s="156"/>
      <c r="AY2280" s="156"/>
      <c r="AZ2280" s="156"/>
      <c r="BA2280" s="156"/>
      <c r="BB2280" s="2828"/>
      <c r="BC2280" s="452"/>
      <c r="BD2280" s="2829"/>
      <c r="BE2280" s="2837"/>
      <c r="BF2280" s="156"/>
    </row>
    <row r="2281" spans="1:58" ht="15" customHeight="1" outlineLevel="1" x14ac:dyDescent="0.35">
      <c r="A2281" s="1071"/>
      <c r="B2281" s="2812"/>
      <c r="C2281" s="3077"/>
      <c r="D2281" s="3980"/>
      <c r="E2281" s="3883"/>
      <c r="F2281" s="3984" t="str">
        <f>$E$1830</f>
        <v>ASHP-SEER19-Replace_CAC_ElectricHeat_ER2_MF_CompE</v>
      </c>
      <c r="G2281" s="3984"/>
      <c r="H2281" s="3984"/>
      <c r="I2281" s="3984"/>
      <c r="J2281" s="3501" t="str">
        <f>$C$1830</f>
        <v>354451_2019_12_</v>
      </c>
      <c r="K2281" s="3421">
        <v>510</v>
      </c>
      <c r="L2281" s="704"/>
      <c r="M2281" s="3038" t="s">
        <v>1508</v>
      </c>
      <c r="N2281" s="106"/>
      <c r="O2281" s="106"/>
      <c r="P2281" s="106"/>
      <c r="Q2281" s="106"/>
      <c r="R2281" s="106"/>
      <c r="S2281" s="106"/>
      <c r="T2281" s="106"/>
      <c r="U2281" s="106"/>
      <c r="V2281" s="3980"/>
      <c r="W2281" s="3421"/>
      <c r="X2281" s="2374"/>
      <c r="Y2281" s="2374">
        <v>510</v>
      </c>
      <c r="Z2281" s="3421">
        <v>510</v>
      </c>
      <c r="AA2281" s="3421">
        <v>510</v>
      </c>
      <c r="AB2281" s="3421">
        <v>510</v>
      </c>
      <c r="AC2281" s="3428">
        <v>510</v>
      </c>
      <c r="AD2281" s="3421">
        <v>510</v>
      </c>
      <c r="AE2281" s="3429"/>
      <c r="AF2281" s="3421"/>
      <c r="AG2281" s="3421"/>
      <c r="AH2281" s="156"/>
      <c r="AI2281" s="156"/>
      <c r="AJ2281" s="156"/>
      <c r="AK2281" s="156"/>
      <c r="AL2281" s="156"/>
      <c r="AM2281" s="156"/>
      <c r="AN2281" s="156"/>
      <c r="AO2281" s="156"/>
      <c r="AP2281" s="156"/>
      <c r="AQ2281" s="156"/>
      <c r="AR2281" s="156"/>
      <c r="AS2281" s="156"/>
      <c r="AT2281" s="156"/>
      <c r="AU2281" s="156"/>
      <c r="AV2281" s="156"/>
      <c r="AW2281" s="156"/>
      <c r="AX2281" s="156"/>
      <c r="AY2281" s="156"/>
      <c r="AZ2281" s="156"/>
      <c r="BA2281" s="156"/>
      <c r="BB2281" s="2828"/>
      <c r="BC2281" s="452"/>
      <c r="BD2281" s="2829"/>
      <c r="BE2281" s="2837"/>
      <c r="BF2281" s="156"/>
    </row>
    <row r="2282" spans="1:58" ht="15" customHeight="1" outlineLevel="1" x14ac:dyDescent="0.35">
      <c r="A2282" s="1071"/>
      <c r="B2282" s="2812"/>
      <c r="C2282" s="3077"/>
      <c r="D2282" s="3980"/>
      <c r="E2282" s="3883"/>
      <c r="F2282" s="3984" t="str">
        <f>$E$1832</f>
        <v>ASHP-SEER19-Replace_CAC_NonElectricHeat_ER1_MF</v>
      </c>
      <c r="G2282" s="3984"/>
      <c r="H2282" s="3984"/>
      <c r="I2282" s="3984"/>
      <c r="J2282" s="3501" t="str">
        <f>$C$1832</f>
        <v>354460_2021_12_</v>
      </c>
      <c r="K2282" s="2042">
        <v>1496</v>
      </c>
      <c r="L2282" s="704"/>
      <c r="M2282" s="3038"/>
      <c r="N2282" s="106"/>
      <c r="O2282" s="106"/>
      <c r="P2282" s="106"/>
      <c r="Q2282" s="106"/>
      <c r="R2282" s="106"/>
      <c r="S2282" s="106"/>
      <c r="T2282" s="106"/>
      <c r="U2282" s="106"/>
      <c r="V2282" s="3980"/>
      <c r="W2282" s="3421"/>
      <c r="X2282" s="2374"/>
      <c r="Y2282" s="2374"/>
      <c r="Z2282" s="3421"/>
      <c r="AA2282" s="3421"/>
      <c r="AB2282" s="3421"/>
      <c r="AC2282" s="2292">
        <v>1496</v>
      </c>
      <c r="AD2282" s="2042">
        <v>1496</v>
      </c>
      <c r="AE2282" s="3429"/>
      <c r="AF2282" s="3421"/>
      <c r="AG2282" s="3421"/>
      <c r="AH2282" s="156"/>
      <c r="AI2282" s="156"/>
      <c r="AJ2282" s="156"/>
      <c r="AK2282" s="156"/>
      <c r="AL2282" s="156"/>
      <c r="AM2282" s="156"/>
      <c r="AN2282" s="156"/>
      <c r="AO2282" s="156"/>
      <c r="AP2282" s="156"/>
      <c r="AQ2282" s="156"/>
      <c r="AR2282" s="156"/>
      <c r="AS2282" s="156"/>
      <c r="AT2282" s="156"/>
      <c r="AU2282" s="156"/>
      <c r="AV2282" s="156"/>
      <c r="AW2282" s="156"/>
      <c r="AX2282" s="156"/>
      <c r="AY2282" s="156"/>
      <c r="AZ2282" s="156"/>
      <c r="BA2282" s="156"/>
      <c r="BB2282" s="2828"/>
      <c r="BC2282" s="452"/>
      <c r="BD2282" s="2829"/>
      <c r="BE2282" s="2837"/>
      <c r="BF2282" s="156"/>
    </row>
    <row r="2283" spans="1:58" ht="15" customHeight="1" outlineLevel="1" x14ac:dyDescent="0.35">
      <c r="A2283" s="1071"/>
      <c r="B2283" s="2812"/>
      <c r="C2283" s="3077"/>
      <c r="D2283" s="3980"/>
      <c r="E2283" s="3883"/>
      <c r="F2283" s="3984" t="str">
        <f>$E$1834</f>
        <v>ASHP-SEER19-Replace_CAC_NonElectricHeat_ER2_MF</v>
      </c>
      <c r="G2283" s="3984"/>
      <c r="H2283" s="3984"/>
      <c r="I2283" s="3984"/>
      <c r="J2283" s="3501" t="str">
        <f>$C$1834</f>
        <v>354460_2021_12_</v>
      </c>
      <c r="K2283" s="2042">
        <v>1496</v>
      </c>
      <c r="L2283" s="704"/>
      <c r="M2283" s="3038"/>
      <c r="N2283" s="106"/>
      <c r="O2283" s="106"/>
      <c r="P2283" s="106"/>
      <c r="Q2283" s="106"/>
      <c r="R2283" s="106"/>
      <c r="S2283" s="106"/>
      <c r="T2283" s="106"/>
      <c r="U2283" s="106"/>
      <c r="V2283" s="3980"/>
      <c r="W2283" s="3421"/>
      <c r="X2283" s="2374"/>
      <c r="Y2283" s="2374"/>
      <c r="Z2283" s="3421"/>
      <c r="AA2283" s="3421"/>
      <c r="AB2283" s="3421"/>
      <c r="AC2283" s="2292">
        <v>1496</v>
      </c>
      <c r="AD2283" s="2042">
        <v>1496</v>
      </c>
      <c r="AE2283" s="3429"/>
      <c r="AF2283" s="3421"/>
      <c r="AG2283" s="3421"/>
      <c r="AH2283" s="156"/>
      <c r="AI2283" s="156"/>
      <c r="AJ2283" s="156"/>
      <c r="AK2283" s="156"/>
      <c r="AL2283" s="156"/>
      <c r="AM2283" s="156"/>
      <c r="AN2283" s="156"/>
      <c r="AO2283" s="156"/>
      <c r="AP2283" s="156"/>
      <c r="AQ2283" s="156"/>
      <c r="AR2283" s="156"/>
      <c r="AS2283" s="156"/>
      <c r="AT2283" s="156"/>
      <c r="AU2283" s="156"/>
      <c r="AV2283" s="156"/>
      <c r="AW2283" s="156"/>
      <c r="AX2283" s="156"/>
      <c r="AY2283" s="156"/>
      <c r="AZ2283" s="156"/>
      <c r="BA2283" s="156"/>
      <c r="BB2283" s="2828"/>
      <c r="BC2283" s="452"/>
      <c r="BD2283" s="2829"/>
      <c r="BE2283" s="2837"/>
      <c r="BF2283" s="156"/>
    </row>
    <row r="2284" spans="1:58" ht="15" customHeight="1" outlineLevel="1" x14ac:dyDescent="0.35">
      <c r="A2284" s="1071"/>
      <c r="B2284" s="2812"/>
      <c r="C2284" s="3077"/>
      <c r="D2284" s="3980"/>
      <c r="E2284" s="3883"/>
      <c r="F2284" s="3984" t="str">
        <f>$E$1836</f>
        <v>ASHP-SEER19-Replace_CAC_NonElectricHeat_ER1_MF_CompE</v>
      </c>
      <c r="G2284" s="3984"/>
      <c r="H2284" s="3984"/>
      <c r="I2284" s="3984"/>
      <c r="J2284" s="3501" t="str">
        <f>$C$1836</f>
        <v>354461_2021_12_</v>
      </c>
      <c r="K2284" s="2042">
        <v>510</v>
      </c>
      <c r="L2284" s="704"/>
      <c r="M2284" s="3038"/>
      <c r="N2284" s="106"/>
      <c r="O2284" s="106"/>
      <c r="P2284" s="106"/>
      <c r="Q2284" s="106"/>
      <c r="R2284" s="106"/>
      <c r="S2284" s="106"/>
      <c r="T2284" s="106"/>
      <c r="U2284" s="106"/>
      <c r="V2284" s="3980"/>
      <c r="W2284" s="3421"/>
      <c r="X2284" s="2374"/>
      <c r="Y2284" s="2374"/>
      <c r="Z2284" s="3421"/>
      <c r="AA2284" s="3421"/>
      <c r="AB2284" s="3421"/>
      <c r="AC2284" s="2292">
        <v>510</v>
      </c>
      <c r="AD2284" s="2042">
        <v>510</v>
      </c>
      <c r="AE2284" s="3429"/>
      <c r="AF2284" s="3421"/>
      <c r="AG2284" s="3421"/>
      <c r="AH2284" s="156"/>
      <c r="AI2284" s="156"/>
      <c r="AJ2284" s="156"/>
      <c r="AK2284" s="156"/>
      <c r="AL2284" s="156"/>
      <c r="AM2284" s="156"/>
      <c r="AN2284" s="156"/>
      <c r="AO2284" s="156"/>
      <c r="AP2284" s="156"/>
      <c r="AQ2284" s="156"/>
      <c r="AR2284" s="156"/>
      <c r="AS2284" s="156"/>
      <c r="AT2284" s="156"/>
      <c r="AU2284" s="156"/>
      <c r="AV2284" s="156"/>
      <c r="AW2284" s="156"/>
      <c r="AX2284" s="156"/>
      <c r="AY2284" s="156"/>
      <c r="AZ2284" s="156"/>
      <c r="BA2284" s="156"/>
      <c r="BB2284" s="2828"/>
      <c r="BC2284" s="452"/>
      <c r="BD2284" s="2829"/>
      <c r="BE2284" s="2837"/>
      <c r="BF2284" s="156"/>
    </row>
    <row r="2285" spans="1:58" ht="15" customHeight="1" outlineLevel="1" x14ac:dyDescent="0.35">
      <c r="A2285" s="1071"/>
      <c r="B2285" s="2812"/>
      <c r="C2285" s="3077"/>
      <c r="D2285" s="3980"/>
      <c r="E2285" s="3883"/>
      <c r="F2285" s="3984" t="str">
        <f>$E$1838</f>
        <v>ASHP-SEER19-Replace_CAC_NonElectricHeat_ER2_MF_CompE</v>
      </c>
      <c r="G2285" s="3984"/>
      <c r="H2285" s="3984"/>
      <c r="I2285" s="3984"/>
      <c r="J2285" s="3501" t="str">
        <f>$C$1838</f>
        <v>354461_2021_12_</v>
      </c>
      <c r="K2285" s="2042">
        <v>510</v>
      </c>
      <c r="L2285" s="704"/>
      <c r="M2285" s="3038"/>
      <c r="N2285" s="106"/>
      <c r="O2285" s="106"/>
      <c r="P2285" s="106"/>
      <c r="Q2285" s="106"/>
      <c r="R2285" s="106"/>
      <c r="S2285" s="106"/>
      <c r="T2285" s="106"/>
      <c r="U2285" s="106"/>
      <c r="V2285" s="3980"/>
      <c r="W2285" s="3421"/>
      <c r="X2285" s="2374"/>
      <c r="Y2285" s="2374"/>
      <c r="Z2285" s="3421"/>
      <c r="AA2285" s="3421"/>
      <c r="AB2285" s="3421"/>
      <c r="AC2285" s="2292">
        <v>510</v>
      </c>
      <c r="AD2285" s="2042">
        <v>510</v>
      </c>
      <c r="AE2285" s="3429"/>
      <c r="AF2285" s="3421"/>
      <c r="AG2285" s="3421"/>
      <c r="AH2285" s="156"/>
      <c r="AI2285" s="156"/>
      <c r="AJ2285" s="156"/>
      <c r="AK2285" s="156"/>
      <c r="AL2285" s="156"/>
      <c r="AM2285" s="156"/>
      <c r="AN2285" s="156"/>
      <c r="AO2285" s="156"/>
      <c r="AP2285" s="156"/>
      <c r="AQ2285" s="156"/>
      <c r="AR2285" s="156"/>
      <c r="AS2285" s="156"/>
      <c r="AT2285" s="156"/>
      <c r="AU2285" s="156"/>
      <c r="AV2285" s="156"/>
      <c r="AW2285" s="156"/>
      <c r="AX2285" s="156"/>
      <c r="AY2285" s="156"/>
      <c r="AZ2285" s="156"/>
      <c r="BA2285" s="156"/>
      <c r="BB2285" s="2828"/>
      <c r="BC2285" s="452"/>
      <c r="BD2285" s="2829"/>
      <c r="BE2285" s="2837"/>
      <c r="BF2285" s="156"/>
    </row>
    <row r="2286" spans="1:58" ht="15" customHeight="1" outlineLevel="1" x14ac:dyDescent="0.35">
      <c r="A2286" s="1071"/>
      <c r="B2286" s="2812"/>
      <c r="C2286" s="3077"/>
      <c r="D2286" s="3980"/>
      <c r="E2286" s="3883"/>
      <c r="F2286" s="3984" t="str">
        <f>$E$1840</f>
        <v>ASHP-SEER19_ER1_MF</v>
      </c>
      <c r="G2286" s="3984"/>
      <c r="H2286" s="3984"/>
      <c r="I2286" s="3984"/>
      <c r="J2286" s="3501" t="str">
        <f>$C$1840</f>
        <v>354500_2019_12_</v>
      </c>
      <c r="K2286" s="3421">
        <v>1496</v>
      </c>
      <c r="L2286" s="704"/>
      <c r="M2286" s="3038"/>
      <c r="N2286" s="106"/>
      <c r="O2286" s="106"/>
      <c r="P2286" s="106"/>
      <c r="Q2286" s="106"/>
      <c r="R2286" s="106"/>
      <c r="S2286" s="106"/>
      <c r="T2286" s="106"/>
      <c r="U2286" s="106"/>
      <c r="V2286" s="3980"/>
      <c r="W2286" s="3421">
        <v>2009</v>
      </c>
      <c r="X2286" s="2374">
        <v>1496</v>
      </c>
      <c r="Y2286" s="3421">
        <v>1496</v>
      </c>
      <c r="Z2286" s="3421">
        <v>1496</v>
      </c>
      <c r="AA2286" s="3421">
        <v>1496</v>
      </c>
      <c r="AB2286" s="3421">
        <v>1496</v>
      </c>
      <c r="AC2286" s="3428">
        <v>1496</v>
      </c>
      <c r="AD2286" s="3421">
        <v>1496</v>
      </c>
      <c r="AE2286" s="3429"/>
      <c r="AF2286" s="3421"/>
      <c r="AG2286" s="3421"/>
      <c r="AH2286" s="156"/>
      <c r="AI2286" s="156"/>
      <c r="AJ2286" s="156"/>
      <c r="AK2286" s="156"/>
      <c r="AL2286" s="156"/>
      <c r="AM2286" s="156"/>
      <c r="AN2286" s="156"/>
      <c r="AO2286" s="156"/>
      <c r="AP2286" s="156"/>
      <c r="AQ2286" s="156"/>
      <c r="AR2286" s="156"/>
      <c r="AS2286" s="156"/>
      <c r="AT2286" s="156"/>
      <c r="AU2286" s="156"/>
      <c r="AV2286" s="156"/>
      <c r="AW2286" s="156"/>
      <c r="AX2286" s="156"/>
      <c r="AY2286" s="156"/>
      <c r="AZ2286" s="156"/>
      <c r="BA2286" s="156"/>
      <c r="BB2286" s="2828"/>
      <c r="BC2286" s="452"/>
      <c r="BD2286" s="2829"/>
      <c r="BE2286" s="2837"/>
      <c r="BF2286" s="156"/>
    </row>
    <row r="2287" spans="1:58" ht="15" customHeight="1" outlineLevel="1" x14ac:dyDescent="0.35">
      <c r="A2287" s="1071"/>
      <c r="B2287" s="2812"/>
      <c r="C2287" s="3077"/>
      <c r="D2287" s="3980"/>
      <c r="E2287" s="3883"/>
      <c r="F2287" s="3984" t="str">
        <f>$E$1842</f>
        <v>ASHP-SEER19_ER2_MF</v>
      </c>
      <c r="G2287" s="3984"/>
      <c r="H2287" s="3984"/>
      <c r="I2287" s="3984"/>
      <c r="J2287" s="3501" t="str">
        <f>$C$1842</f>
        <v>354500_2019_12_</v>
      </c>
      <c r="K2287" s="3421">
        <v>1496</v>
      </c>
      <c r="L2287" s="704"/>
      <c r="M2287" s="3038"/>
      <c r="N2287" s="106"/>
      <c r="O2287" s="106"/>
      <c r="P2287" s="106"/>
      <c r="Q2287" s="106"/>
      <c r="R2287" s="106"/>
      <c r="S2287" s="106"/>
      <c r="T2287" s="106"/>
      <c r="U2287" s="106"/>
      <c r="V2287" s="3980"/>
      <c r="W2287" s="3421">
        <v>2009</v>
      </c>
      <c r="X2287" s="2374">
        <v>1496</v>
      </c>
      <c r="Y2287" s="3421">
        <v>1496</v>
      </c>
      <c r="Z2287" s="3421">
        <v>1496</v>
      </c>
      <c r="AA2287" s="3421">
        <v>1496</v>
      </c>
      <c r="AB2287" s="3421">
        <v>1496</v>
      </c>
      <c r="AC2287" s="3428">
        <v>1496</v>
      </c>
      <c r="AD2287" s="3421">
        <v>1496</v>
      </c>
      <c r="AE2287" s="3429"/>
      <c r="AF2287" s="3421"/>
      <c r="AG2287" s="3421"/>
      <c r="AH2287" s="156"/>
      <c r="AI2287" s="156"/>
      <c r="AJ2287" s="156"/>
      <c r="AK2287" s="156"/>
      <c r="AL2287" s="156"/>
      <c r="AM2287" s="156"/>
      <c r="AN2287" s="156"/>
      <c r="AO2287" s="156"/>
      <c r="AP2287" s="156"/>
      <c r="AQ2287" s="156"/>
      <c r="AR2287" s="156"/>
      <c r="AS2287" s="156"/>
      <c r="AT2287" s="156"/>
      <c r="AU2287" s="156"/>
      <c r="AV2287" s="156"/>
      <c r="AW2287" s="156"/>
      <c r="AX2287" s="156"/>
      <c r="AY2287" s="156"/>
      <c r="AZ2287" s="156"/>
      <c r="BA2287" s="156"/>
      <c r="BB2287" s="2828"/>
      <c r="BC2287" s="452"/>
      <c r="BD2287" s="2829"/>
      <c r="BE2287" s="2837"/>
      <c r="BF2287" s="156"/>
    </row>
    <row r="2288" spans="1:58" ht="15" customHeight="1" outlineLevel="1" x14ac:dyDescent="0.35">
      <c r="A2288" s="1071"/>
      <c r="B2288" s="2812"/>
      <c r="C2288" s="3077"/>
      <c r="D2288" s="3980"/>
      <c r="E2288" s="3883"/>
      <c r="F2288" s="3984" t="str">
        <f>$E$1844</f>
        <v>ASHP-SEER19_ER1_MF_CompE</v>
      </c>
      <c r="G2288" s="3984"/>
      <c r="H2288" s="3984"/>
      <c r="I2288" s="3984"/>
      <c r="J2288" s="3501" t="str">
        <f>$C$1844</f>
        <v>354501_2019_12_</v>
      </c>
      <c r="K2288" s="3421">
        <v>510</v>
      </c>
      <c r="L2288" s="704"/>
      <c r="M2288" s="3038" t="s">
        <v>1508</v>
      </c>
      <c r="N2288" s="106"/>
      <c r="O2288" s="106"/>
      <c r="P2288" s="106"/>
      <c r="Q2288" s="106"/>
      <c r="R2288" s="106"/>
      <c r="S2288" s="106"/>
      <c r="T2288" s="106"/>
      <c r="U2288" s="106"/>
      <c r="V2288" s="3980"/>
      <c r="W2288" s="3421"/>
      <c r="X2288" s="2374"/>
      <c r="Y2288" s="2374">
        <v>510</v>
      </c>
      <c r="Z2288" s="3421">
        <v>510</v>
      </c>
      <c r="AA2288" s="3421">
        <v>510</v>
      </c>
      <c r="AB2288" s="3421">
        <v>510</v>
      </c>
      <c r="AC2288" s="3428">
        <v>510</v>
      </c>
      <c r="AD2288" s="3421">
        <v>510</v>
      </c>
      <c r="AE2288" s="3429"/>
      <c r="AF2288" s="3421"/>
      <c r="AG2288" s="3421"/>
      <c r="AH2288" s="156"/>
      <c r="AI2288" s="156"/>
      <c r="AJ2288" s="156"/>
      <c r="AK2288" s="156"/>
      <c r="AL2288" s="156"/>
      <c r="AM2288" s="156"/>
      <c r="AN2288" s="156"/>
      <c r="AO2288" s="156"/>
      <c r="AP2288" s="156"/>
      <c r="AQ2288" s="156"/>
      <c r="AR2288" s="156"/>
      <c r="AS2288" s="156"/>
      <c r="AT2288" s="156"/>
      <c r="AU2288" s="156"/>
      <c r="AV2288" s="156"/>
      <c r="AW2288" s="156"/>
      <c r="AX2288" s="156"/>
      <c r="AY2288" s="156"/>
      <c r="AZ2288" s="156"/>
      <c r="BA2288" s="156"/>
      <c r="BB2288" s="2828"/>
      <c r="BC2288" s="452"/>
      <c r="BD2288" s="2829"/>
      <c r="BE2288" s="2837"/>
      <c r="BF2288" s="156"/>
    </row>
    <row r="2289" spans="1:58" ht="15" customHeight="1" outlineLevel="1" x14ac:dyDescent="0.35">
      <c r="A2289" s="1071"/>
      <c r="B2289" s="2812"/>
      <c r="C2289" s="3077"/>
      <c r="D2289" s="3980"/>
      <c r="E2289" s="3883"/>
      <c r="F2289" s="3984" t="str">
        <f>$E$1846</f>
        <v>ASHP-SEER19_ER2_MF_CompE</v>
      </c>
      <c r="G2289" s="3984"/>
      <c r="H2289" s="3984"/>
      <c r="I2289" s="3984"/>
      <c r="J2289" s="3501" t="str">
        <f>$C$1846</f>
        <v>354501_2019_12_</v>
      </c>
      <c r="K2289" s="3421">
        <v>510</v>
      </c>
      <c r="L2289" s="704"/>
      <c r="M2289" s="3038" t="s">
        <v>1508</v>
      </c>
      <c r="N2289" s="106"/>
      <c r="O2289" s="106"/>
      <c r="P2289" s="106"/>
      <c r="Q2289" s="106"/>
      <c r="R2289" s="106"/>
      <c r="S2289" s="106"/>
      <c r="T2289" s="106"/>
      <c r="U2289" s="106"/>
      <c r="V2289" s="3980"/>
      <c r="W2289" s="3421"/>
      <c r="X2289" s="2374"/>
      <c r="Y2289" s="2374">
        <v>510</v>
      </c>
      <c r="Z2289" s="3421">
        <v>510</v>
      </c>
      <c r="AA2289" s="3421">
        <v>510</v>
      </c>
      <c r="AB2289" s="3421">
        <v>510</v>
      </c>
      <c r="AC2289" s="3428">
        <v>510</v>
      </c>
      <c r="AD2289" s="3421">
        <v>510</v>
      </c>
      <c r="AE2289" s="3429"/>
      <c r="AF2289" s="3421"/>
      <c r="AG2289" s="3421"/>
      <c r="AH2289" s="156"/>
      <c r="AI2289" s="156"/>
      <c r="AJ2289" s="156"/>
      <c r="AK2289" s="156"/>
      <c r="AL2289" s="156"/>
      <c r="AM2289" s="156"/>
      <c r="AN2289" s="156"/>
      <c r="AO2289" s="156"/>
      <c r="AP2289" s="156"/>
      <c r="AQ2289" s="156"/>
      <c r="AR2289" s="156"/>
      <c r="AS2289" s="156"/>
      <c r="AT2289" s="156"/>
      <c r="AU2289" s="156"/>
      <c r="AV2289" s="156"/>
      <c r="AW2289" s="156"/>
      <c r="AX2289" s="156"/>
      <c r="AY2289" s="156"/>
      <c r="AZ2289" s="156"/>
      <c r="BA2289" s="156"/>
      <c r="BB2289" s="2828"/>
      <c r="BC2289" s="452"/>
      <c r="BD2289" s="2829"/>
      <c r="BE2289" s="2837"/>
      <c r="BF2289" s="156"/>
    </row>
    <row r="2290" spans="1:58" ht="15" customHeight="1" outlineLevel="1" x14ac:dyDescent="0.35">
      <c r="A2290" s="1071"/>
      <c r="B2290" s="2812"/>
      <c r="C2290" s="3077"/>
      <c r="D2290" s="3980"/>
      <c r="E2290" s="3883"/>
      <c r="F2290" s="3984" t="str">
        <f>$E$1848</f>
        <v>ASHP-SEER20_ER1_SF</v>
      </c>
      <c r="G2290" s="3984"/>
      <c r="H2290" s="3984"/>
      <c r="I2290" s="3984"/>
      <c r="J2290" s="3501" t="str">
        <f>$C$1848</f>
        <v>354550_2021_12_</v>
      </c>
      <c r="K2290" s="3421">
        <v>1496</v>
      </c>
      <c r="L2290" s="704"/>
      <c r="M2290" s="3038"/>
      <c r="N2290" s="106"/>
      <c r="O2290" s="106"/>
      <c r="P2290" s="106"/>
      <c r="Q2290" s="106"/>
      <c r="R2290" s="106"/>
      <c r="S2290" s="106"/>
      <c r="T2290" s="106"/>
      <c r="U2290" s="106"/>
      <c r="V2290" s="3980"/>
      <c r="W2290" s="3421">
        <v>2009</v>
      </c>
      <c r="X2290" s="2374">
        <v>1496</v>
      </c>
      <c r="Y2290" s="3421">
        <v>1496</v>
      </c>
      <c r="Z2290" s="3421">
        <v>1496</v>
      </c>
      <c r="AA2290" s="3421">
        <v>1496</v>
      </c>
      <c r="AB2290" s="3421">
        <v>1496</v>
      </c>
      <c r="AC2290" s="3428">
        <v>1496</v>
      </c>
      <c r="AD2290" s="3421">
        <v>1496</v>
      </c>
      <c r="AE2290" s="3429"/>
      <c r="AF2290" s="3421"/>
      <c r="AG2290" s="3421"/>
      <c r="AH2290" s="156"/>
      <c r="AI2290" s="156"/>
      <c r="AJ2290" s="156"/>
      <c r="AK2290" s="156"/>
      <c r="AL2290" s="156"/>
      <c r="AM2290" s="156"/>
      <c r="AN2290" s="156"/>
      <c r="AO2290" s="156"/>
      <c r="AP2290" s="156"/>
      <c r="AQ2290" s="156"/>
      <c r="AR2290" s="156"/>
      <c r="AS2290" s="156"/>
      <c r="AT2290" s="156"/>
      <c r="AU2290" s="156"/>
      <c r="AV2290" s="156"/>
      <c r="AW2290" s="156"/>
      <c r="AX2290" s="156"/>
      <c r="AY2290" s="156"/>
      <c r="AZ2290" s="156"/>
      <c r="BA2290" s="156"/>
      <c r="BB2290" s="2828"/>
      <c r="BC2290" s="452"/>
      <c r="BD2290" s="2829"/>
      <c r="BE2290" s="2837"/>
      <c r="BF2290" s="156"/>
    </row>
    <row r="2291" spans="1:58" ht="15" customHeight="1" outlineLevel="1" x14ac:dyDescent="0.35">
      <c r="A2291" s="1071"/>
      <c r="B2291" s="2812"/>
      <c r="C2291" s="3077"/>
      <c r="D2291" s="3980"/>
      <c r="E2291" s="3883"/>
      <c r="F2291" s="3984" t="str">
        <f>$E$1850</f>
        <v>ASHP-SEER20_ER2_SF</v>
      </c>
      <c r="G2291" s="3984"/>
      <c r="H2291" s="3984"/>
      <c r="I2291" s="3984"/>
      <c r="J2291" s="3501" t="str">
        <f>$C$1850</f>
        <v>354550_2021_12_</v>
      </c>
      <c r="K2291" s="3421">
        <v>1496</v>
      </c>
      <c r="L2291" s="704"/>
      <c r="M2291" s="3038"/>
      <c r="N2291" s="106"/>
      <c r="O2291" s="106"/>
      <c r="P2291" s="106"/>
      <c r="Q2291" s="106"/>
      <c r="R2291" s="106"/>
      <c r="S2291" s="106"/>
      <c r="T2291" s="106"/>
      <c r="U2291" s="106"/>
      <c r="V2291" s="3980"/>
      <c r="W2291" s="3421">
        <v>2009</v>
      </c>
      <c r="X2291" s="2374">
        <v>1496</v>
      </c>
      <c r="Y2291" s="3421">
        <v>1496</v>
      </c>
      <c r="Z2291" s="3421">
        <v>1496</v>
      </c>
      <c r="AA2291" s="3421">
        <v>1496</v>
      </c>
      <c r="AB2291" s="3421">
        <v>1496</v>
      </c>
      <c r="AC2291" s="3428">
        <v>1496</v>
      </c>
      <c r="AD2291" s="3421">
        <v>1496</v>
      </c>
      <c r="AE2291" s="3429"/>
      <c r="AF2291" s="3421"/>
      <c r="AG2291" s="3421"/>
      <c r="AH2291" s="156"/>
      <c r="AI2291" s="156"/>
      <c r="AJ2291" s="156"/>
      <c r="AK2291" s="156"/>
      <c r="AL2291" s="156"/>
      <c r="AM2291" s="156"/>
      <c r="AN2291" s="156"/>
      <c r="AO2291" s="156"/>
      <c r="AP2291" s="156"/>
      <c r="AQ2291" s="156"/>
      <c r="AR2291" s="156"/>
      <c r="AS2291" s="156"/>
      <c r="AT2291" s="156"/>
      <c r="AU2291" s="156"/>
      <c r="AV2291" s="156"/>
      <c r="AW2291" s="156"/>
      <c r="AX2291" s="156"/>
      <c r="AY2291" s="156"/>
      <c r="AZ2291" s="156"/>
      <c r="BA2291" s="156"/>
      <c r="BB2291" s="2828"/>
      <c r="BC2291" s="452"/>
      <c r="BD2291" s="2829"/>
      <c r="BE2291" s="2837"/>
      <c r="BF2291" s="156"/>
    </row>
    <row r="2292" spans="1:58" ht="15" customHeight="1" outlineLevel="1" x14ac:dyDescent="0.35">
      <c r="A2292" s="1071"/>
      <c r="B2292" s="2812"/>
      <c r="C2292" s="3077"/>
      <c r="D2292" s="3980"/>
      <c r="E2292" s="3883"/>
      <c r="F2292" s="3984" t="str">
        <f>$E$1852</f>
        <v>ASHP-SEER20_ROF_SF</v>
      </c>
      <c r="G2292" s="3984"/>
      <c r="H2292" s="3984"/>
      <c r="I2292" s="3984"/>
      <c r="J2292" s="3501" t="str">
        <f>$C$1852</f>
        <v>354600_2021_12_</v>
      </c>
      <c r="K2292" s="3421">
        <v>1496</v>
      </c>
      <c r="L2292" s="704"/>
      <c r="M2292" s="3038"/>
      <c r="N2292" s="106"/>
      <c r="O2292" s="106"/>
      <c r="P2292" s="106"/>
      <c r="Q2292" s="106"/>
      <c r="R2292" s="106"/>
      <c r="S2292" s="106"/>
      <c r="T2292" s="106"/>
      <c r="U2292" s="106"/>
      <c r="V2292" s="3980"/>
      <c r="W2292" s="3421">
        <v>2009</v>
      </c>
      <c r="X2292" s="2374">
        <v>1496</v>
      </c>
      <c r="Y2292" s="3421">
        <v>1496</v>
      </c>
      <c r="Z2292" s="3421">
        <v>1496</v>
      </c>
      <c r="AA2292" s="3421">
        <v>1496</v>
      </c>
      <c r="AB2292" s="3421">
        <v>1496</v>
      </c>
      <c r="AC2292" s="3428">
        <v>1496</v>
      </c>
      <c r="AD2292" s="3421">
        <v>1496</v>
      </c>
      <c r="AE2292" s="3429"/>
      <c r="AF2292" s="3421"/>
      <c r="AG2292" s="3421"/>
      <c r="AH2292" s="156"/>
      <c r="AI2292" s="156"/>
      <c r="AJ2292" s="156"/>
      <c r="AK2292" s="156"/>
      <c r="AL2292" s="156"/>
      <c r="AM2292" s="156"/>
      <c r="AN2292" s="156"/>
      <c r="AO2292" s="156"/>
      <c r="AP2292" s="156"/>
      <c r="AQ2292" s="156"/>
      <c r="AR2292" s="156"/>
      <c r="AS2292" s="156"/>
      <c r="AT2292" s="156"/>
      <c r="AU2292" s="156"/>
      <c r="AV2292" s="156"/>
      <c r="AW2292" s="156"/>
      <c r="AX2292" s="156"/>
      <c r="AY2292" s="156"/>
      <c r="AZ2292" s="156"/>
      <c r="BA2292" s="156"/>
      <c r="BB2292" s="2828"/>
      <c r="BC2292" s="452"/>
      <c r="BD2292" s="2829"/>
      <c r="BE2292" s="2837"/>
      <c r="BF2292" s="156"/>
    </row>
    <row r="2293" spans="1:58" ht="15" customHeight="1" outlineLevel="1" x14ac:dyDescent="0.35">
      <c r="A2293" s="1071"/>
      <c r="B2293" s="2812"/>
      <c r="C2293" s="3077"/>
      <c r="D2293" s="3980"/>
      <c r="E2293" s="3883"/>
      <c r="F2293" s="3984" t="str">
        <f>$E$1854</f>
        <v>ASHP-SEER20-Replace_CAC_ElectricHeat_ER1_MF</v>
      </c>
      <c r="G2293" s="3984"/>
      <c r="H2293" s="3984"/>
      <c r="I2293" s="3984"/>
      <c r="J2293" s="3501" t="str">
        <f>$C$1854</f>
        <v>354650_2019_12_</v>
      </c>
      <c r="K2293" s="3421">
        <v>1496</v>
      </c>
      <c r="L2293" s="704"/>
      <c r="M2293" s="3038"/>
      <c r="N2293" s="106"/>
      <c r="O2293" s="106"/>
      <c r="P2293" s="106"/>
      <c r="Q2293" s="106"/>
      <c r="R2293" s="106"/>
      <c r="S2293" s="106"/>
      <c r="T2293" s="106"/>
      <c r="U2293" s="106"/>
      <c r="V2293" s="3980"/>
      <c r="W2293" s="3421">
        <v>2009</v>
      </c>
      <c r="X2293" s="2374">
        <v>1496</v>
      </c>
      <c r="Y2293" s="3421">
        <v>1496</v>
      </c>
      <c r="Z2293" s="3421">
        <v>1496</v>
      </c>
      <c r="AA2293" s="3421">
        <v>1496</v>
      </c>
      <c r="AB2293" s="3421">
        <v>1496</v>
      </c>
      <c r="AC2293" s="3428">
        <v>1496</v>
      </c>
      <c r="AD2293" s="3421">
        <v>1496</v>
      </c>
      <c r="AE2293" s="3429"/>
      <c r="AF2293" s="3421"/>
      <c r="AG2293" s="3421"/>
      <c r="AH2293" s="156"/>
      <c r="AI2293" s="156"/>
      <c r="AJ2293" s="156"/>
      <c r="AK2293" s="156"/>
      <c r="AL2293" s="156"/>
      <c r="AM2293" s="156"/>
      <c r="AN2293" s="156"/>
      <c r="AO2293" s="156"/>
      <c r="AP2293" s="156"/>
      <c r="AQ2293" s="156"/>
      <c r="AR2293" s="156"/>
      <c r="AS2293" s="156"/>
      <c r="AT2293" s="156"/>
      <c r="AU2293" s="156"/>
      <c r="AV2293" s="156"/>
      <c r="AW2293" s="156"/>
      <c r="AX2293" s="156"/>
      <c r="AY2293" s="156"/>
      <c r="AZ2293" s="156"/>
      <c r="BA2293" s="156"/>
      <c r="BB2293" s="2828"/>
      <c r="BC2293" s="452"/>
      <c r="BD2293" s="2829"/>
      <c r="BE2293" s="2837"/>
      <c r="BF2293" s="156"/>
    </row>
    <row r="2294" spans="1:58" ht="15" customHeight="1" outlineLevel="1" x14ac:dyDescent="0.35">
      <c r="A2294" s="1071"/>
      <c r="B2294" s="2812"/>
      <c r="C2294" s="3077"/>
      <c r="D2294" s="3980"/>
      <c r="E2294" s="3883"/>
      <c r="F2294" s="3984" t="str">
        <f>$E$1856</f>
        <v>ASHP-SEER20-Replace_CAC_ElectricHeat_ER2_MF</v>
      </c>
      <c r="G2294" s="3984"/>
      <c r="H2294" s="3984"/>
      <c r="I2294" s="3984"/>
      <c r="J2294" s="3501" t="str">
        <f>$C$1856</f>
        <v>354650_2019_12_</v>
      </c>
      <c r="K2294" s="3421">
        <v>1496</v>
      </c>
      <c r="L2294" s="704"/>
      <c r="M2294" s="3038"/>
      <c r="N2294" s="106"/>
      <c r="O2294" s="106"/>
      <c r="P2294" s="106"/>
      <c r="Q2294" s="106"/>
      <c r="R2294" s="106"/>
      <c r="S2294" s="106"/>
      <c r="T2294" s="106"/>
      <c r="U2294" s="106"/>
      <c r="V2294" s="3980"/>
      <c r="W2294" s="3421">
        <v>2009</v>
      </c>
      <c r="X2294" s="2374">
        <v>1496</v>
      </c>
      <c r="Y2294" s="3421">
        <v>1496</v>
      </c>
      <c r="Z2294" s="3421">
        <v>1496</v>
      </c>
      <c r="AA2294" s="3421">
        <v>1496</v>
      </c>
      <c r="AB2294" s="3421">
        <v>1496</v>
      </c>
      <c r="AC2294" s="3428">
        <v>1496</v>
      </c>
      <c r="AD2294" s="3421">
        <v>1496</v>
      </c>
      <c r="AE2294" s="3429"/>
      <c r="AF2294" s="3421"/>
      <c r="AG2294" s="3421"/>
      <c r="AH2294" s="156"/>
      <c r="AI2294" s="156"/>
      <c r="AJ2294" s="156"/>
      <c r="AK2294" s="156"/>
      <c r="AL2294" s="156"/>
      <c r="AM2294" s="156"/>
      <c r="AN2294" s="156"/>
      <c r="AO2294" s="156"/>
      <c r="AP2294" s="156"/>
      <c r="AQ2294" s="156"/>
      <c r="AR2294" s="156"/>
      <c r="AS2294" s="156"/>
      <c r="AT2294" s="156"/>
      <c r="AU2294" s="156"/>
      <c r="AV2294" s="156"/>
      <c r="AW2294" s="156"/>
      <c r="AX2294" s="156"/>
      <c r="AY2294" s="156"/>
      <c r="AZ2294" s="156"/>
      <c r="BA2294" s="156"/>
      <c r="BB2294" s="2828"/>
      <c r="BC2294" s="452"/>
      <c r="BD2294" s="2829"/>
      <c r="BE2294" s="2837"/>
      <c r="BF2294" s="156"/>
    </row>
    <row r="2295" spans="1:58" ht="15" customHeight="1" outlineLevel="1" x14ac:dyDescent="0.35">
      <c r="A2295" s="1071"/>
      <c r="B2295" s="2812"/>
      <c r="C2295" s="3077"/>
      <c r="D2295" s="3980"/>
      <c r="E2295" s="3883"/>
      <c r="F2295" s="3984" t="str">
        <f>$E$1858</f>
        <v>ASHP-SEER20-Replace_CAC_ElectricHeat_ER1_MF_CompE</v>
      </c>
      <c r="G2295" s="3984"/>
      <c r="H2295" s="3984"/>
      <c r="I2295" s="3984"/>
      <c r="J2295" s="3501" t="str">
        <f>$C$1858</f>
        <v>354651_2019_12_</v>
      </c>
      <c r="K2295" s="3421">
        <v>510</v>
      </c>
      <c r="L2295" s="704"/>
      <c r="M2295" s="3038" t="s">
        <v>1508</v>
      </c>
      <c r="N2295" s="106"/>
      <c r="O2295" s="106"/>
      <c r="P2295" s="106"/>
      <c r="Q2295" s="106"/>
      <c r="R2295" s="106"/>
      <c r="S2295" s="106"/>
      <c r="T2295" s="106"/>
      <c r="U2295" s="106"/>
      <c r="V2295" s="3980"/>
      <c r="W2295" s="3421"/>
      <c r="X2295" s="2374"/>
      <c r="Y2295" s="2374">
        <v>510</v>
      </c>
      <c r="Z2295" s="3421">
        <v>510</v>
      </c>
      <c r="AA2295" s="3421">
        <v>510</v>
      </c>
      <c r="AB2295" s="3421">
        <v>510</v>
      </c>
      <c r="AC2295" s="3428">
        <v>510</v>
      </c>
      <c r="AD2295" s="3421">
        <v>510</v>
      </c>
      <c r="AE2295" s="3429"/>
      <c r="AF2295" s="3421"/>
      <c r="AG2295" s="3421"/>
      <c r="AH2295" s="156"/>
      <c r="AI2295" s="156"/>
      <c r="AJ2295" s="156"/>
      <c r="AK2295" s="156"/>
      <c r="AL2295" s="156"/>
      <c r="AM2295" s="156"/>
      <c r="AN2295" s="156"/>
      <c r="AO2295" s="156"/>
      <c r="AP2295" s="156"/>
      <c r="AQ2295" s="156"/>
      <c r="AR2295" s="156"/>
      <c r="AS2295" s="156"/>
      <c r="AT2295" s="156"/>
      <c r="AU2295" s="156"/>
      <c r="AV2295" s="156"/>
      <c r="AW2295" s="156"/>
      <c r="AX2295" s="156"/>
      <c r="AY2295" s="156"/>
      <c r="AZ2295" s="156"/>
      <c r="BA2295" s="156"/>
      <c r="BB2295" s="2828"/>
      <c r="BC2295" s="452"/>
      <c r="BD2295" s="2829"/>
      <c r="BE2295" s="2837"/>
      <c r="BF2295" s="156"/>
    </row>
    <row r="2296" spans="1:58" ht="15" customHeight="1" outlineLevel="1" x14ac:dyDescent="0.35">
      <c r="A2296" s="1071"/>
      <c r="B2296" s="2812"/>
      <c r="C2296" s="3077"/>
      <c r="D2296" s="3980"/>
      <c r="E2296" s="3883"/>
      <c r="F2296" s="3984" t="str">
        <f>$E$1860</f>
        <v>ASHP-SEER20-Replace_CAC_ElectricHeat_ER2_MF_CompE</v>
      </c>
      <c r="G2296" s="3984"/>
      <c r="H2296" s="3984"/>
      <c r="I2296" s="3984"/>
      <c r="J2296" s="3501" t="str">
        <f>$C$1860</f>
        <v>354651_2019_12_</v>
      </c>
      <c r="K2296" s="3421">
        <v>510</v>
      </c>
      <c r="L2296" s="704"/>
      <c r="M2296" s="3038" t="s">
        <v>1508</v>
      </c>
      <c r="N2296" s="106"/>
      <c r="O2296" s="106"/>
      <c r="P2296" s="106"/>
      <c r="Q2296" s="106"/>
      <c r="R2296" s="106"/>
      <c r="S2296" s="106"/>
      <c r="T2296" s="106"/>
      <c r="U2296" s="106"/>
      <c r="V2296" s="3980"/>
      <c r="W2296" s="3421"/>
      <c r="X2296" s="2374"/>
      <c r="Y2296" s="2374">
        <v>510</v>
      </c>
      <c r="Z2296" s="3421">
        <v>510</v>
      </c>
      <c r="AA2296" s="3421">
        <v>510</v>
      </c>
      <c r="AB2296" s="3421">
        <v>510</v>
      </c>
      <c r="AC2296" s="3428">
        <v>510</v>
      </c>
      <c r="AD2296" s="3421">
        <v>510</v>
      </c>
      <c r="AE2296" s="3429"/>
      <c r="AF2296" s="3421"/>
      <c r="AG2296" s="3421"/>
      <c r="AH2296" s="156"/>
      <c r="AI2296" s="156"/>
      <c r="AJ2296" s="156"/>
      <c r="AK2296" s="156"/>
      <c r="AL2296" s="156"/>
      <c r="AM2296" s="156"/>
      <c r="AN2296" s="156"/>
      <c r="AO2296" s="156"/>
      <c r="AP2296" s="156"/>
      <c r="AQ2296" s="156"/>
      <c r="AR2296" s="156"/>
      <c r="AS2296" s="156"/>
      <c r="AT2296" s="156"/>
      <c r="AU2296" s="156"/>
      <c r="AV2296" s="156"/>
      <c r="AW2296" s="156"/>
      <c r="AX2296" s="156"/>
      <c r="AY2296" s="156"/>
      <c r="AZ2296" s="156"/>
      <c r="BA2296" s="156"/>
      <c r="BB2296" s="2828"/>
      <c r="BC2296" s="452"/>
      <c r="BD2296" s="2829"/>
      <c r="BE2296" s="2837"/>
      <c r="BF2296" s="156"/>
    </row>
    <row r="2297" spans="1:58" ht="15" customHeight="1" outlineLevel="1" x14ac:dyDescent="0.35">
      <c r="A2297" s="1071"/>
      <c r="B2297" s="2812"/>
      <c r="C2297" s="3077"/>
      <c r="D2297" s="3980"/>
      <c r="E2297" s="3883"/>
      <c r="F2297" s="3984" t="str">
        <f>$E$1862</f>
        <v>ASHP-SEER20-Replace_CAC_NonElectricHeat_ER1_MF</v>
      </c>
      <c r="G2297" s="3984"/>
      <c r="H2297" s="3984"/>
      <c r="I2297" s="3984"/>
      <c r="J2297" s="3501" t="str">
        <f>$C$1862</f>
        <v>354660_2021_12_</v>
      </c>
      <c r="K2297" s="2042">
        <v>1496</v>
      </c>
      <c r="L2297" s="704"/>
      <c r="M2297" s="3038"/>
      <c r="N2297" s="106"/>
      <c r="O2297" s="106"/>
      <c r="P2297" s="106"/>
      <c r="Q2297" s="106"/>
      <c r="R2297" s="106"/>
      <c r="S2297" s="106"/>
      <c r="T2297" s="106"/>
      <c r="U2297" s="106"/>
      <c r="V2297" s="3980"/>
      <c r="W2297" s="3421"/>
      <c r="X2297" s="2374"/>
      <c r="Y2297" s="2374"/>
      <c r="Z2297" s="3421"/>
      <c r="AA2297" s="3421"/>
      <c r="AB2297" s="3421"/>
      <c r="AC2297" s="2292">
        <v>1496</v>
      </c>
      <c r="AD2297" s="2042">
        <v>1496</v>
      </c>
      <c r="AE2297" s="3429"/>
      <c r="AF2297" s="3421"/>
      <c r="AG2297" s="3421"/>
      <c r="AH2297" s="156"/>
      <c r="AI2297" s="156"/>
      <c r="AJ2297" s="156"/>
      <c r="AK2297" s="156"/>
      <c r="AL2297" s="156"/>
      <c r="AM2297" s="156"/>
      <c r="AN2297" s="156"/>
      <c r="AO2297" s="156"/>
      <c r="AP2297" s="156"/>
      <c r="AQ2297" s="156"/>
      <c r="AR2297" s="156"/>
      <c r="AS2297" s="156"/>
      <c r="AT2297" s="156"/>
      <c r="AU2297" s="156"/>
      <c r="AV2297" s="156"/>
      <c r="AW2297" s="156"/>
      <c r="AX2297" s="156"/>
      <c r="AY2297" s="156"/>
      <c r="AZ2297" s="156"/>
      <c r="BA2297" s="156"/>
      <c r="BB2297" s="2828"/>
      <c r="BC2297" s="452"/>
      <c r="BD2297" s="2829"/>
      <c r="BE2297" s="2837"/>
      <c r="BF2297" s="156"/>
    </row>
    <row r="2298" spans="1:58" ht="15" customHeight="1" outlineLevel="1" x14ac:dyDescent="0.35">
      <c r="A2298" s="1071"/>
      <c r="B2298" s="2812"/>
      <c r="C2298" s="3077"/>
      <c r="D2298" s="3980"/>
      <c r="E2298" s="3883"/>
      <c r="F2298" s="3984" t="str">
        <f>$E$1864</f>
        <v>ASHP-SEER20-Replace_CAC_NonElectricHeat_ER2_MF</v>
      </c>
      <c r="G2298" s="3984"/>
      <c r="H2298" s="3984"/>
      <c r="I2298" s="3984"/>
      <c r="J2298" s="3501" t="str">
        <f>$C$1864</f>
        <v>354660_2021_12_</v>
      </c>
      <c r="K2298" s="2042">
        <v>1496</v>
      </c>
      <c r="L2298" s="704"/>
      <c r="M2298" s="3038"/>
      <c r="N2298" s="106"/>
      <c r="O2298" s="106"/>
      <c r="P2298" s="106"/>
      <c r="Q2298" s="106"/>
      <c r="R2298" s="106"/>
      <c r="S2298" s="106"/>
      <c r="T2298" s="106"/>
      <c r="U2298" s="106"/>
      <c r="V2298" s="3980"/>
      <c r="W2298" s="3421"/>
      <c r="X2298" s="2374"/>
      <c r="Y2298" s="2374"/>
      <c r="Z2298" s="3421"/>
      <c r="AA2298" s="3421"/>
      <c r="AB2298" s="3421"/>
      <c r="AC2298" s="2292">
        <v>1496</v>
      </c>
      <c r="AD2298" s="2042">
        <v>1496</v>
      </c>
      <c r="AE2298" s="3429"/>
      <c r="AF2298" s="3421"/>
      <c r="AG2298" s="3421"/>
      <c r="AH2298" s="156"/>
      <c r="AI2298" s="156"/>
      <c r="AJ2298" s="156"/>
      <c r="AK2298" s="156"/>
      <c r="AL2298" s="156"/>
      <c r="AM2298" s="156"/>
      <c r="AN2298" s="156"/>
      <c r="AO2298" s="156"/>
      <c r="AP2298" s="156"/>
      <c r="AQ2298" s="156"/>
      <c r="AR2298" s="156"/>
      <c r="AS2298" s="156"/>
      <c r="AT2298" s="156"/>
      <c r="AU2298" s="156"/>
      <c r="AV2298" s="156"/>
      <c r="AW2298" s="156"/>
      <c r="AX2298" s="156"/>
      <c r="AY2298" s="156"/>
      <c r="AZ2298" s="156"/>
      <c r="BA2298" s="156"/>
      <c r="BB2298" s="2828"/>
      <c r="BC2298" s="452"/>
      <c r="BD2298" s="2829"/>
      <c r="BE2298" s="2837"/>
      <c r="BF2298" s="156"/>
    </row>
    <row r="2299" spans="1:58" ht="15" customHeight="1" outlineLevel="1" x14ac:dyDescent="0.35">
      <c r="A2299" s="1071"/>
      <c r="B2299" s="2812"/>
      <c r="C2299" s="3077"/>
      <c r="D2299" s="3980"/>
      <c r="E2299" s="3883"/>
      <c r="F2299" s="3984" t="str">
        <f>$E$1866</f>
        <v>ASHP-SEER20-Replace_CAC_NonElectricHeat_ER1_MF_CompE</v>
      </c>
      <c r="G2299" s="3984"/>
      <c r="H2299" s="3984"/>
      <c r="I2299" s="3984"/>
      <c r="J2299" s="3501" t="str">
        <f>$C$1866</f>
        <v>354661_2021_12_</v>
      </c>
      <c r="K2299" s="2042">
        <v>510</v>
      </c>
      <c r="L2299" s="704"/>
      <c r="M2299" s="3038"/>
      <c r="N2299" s="106"/>
      <c r="O2299" s="106"/>
      <c r="P2299" s="106"/>
      <c r="Q2299" s="106"/>
      <c r="R2299" s="106"/>
      <c r="S2299" s="106"/>
      <c r="T2299" s="106"/>
      <c r="U2299" s="106"/>
      <c r="V2299" s="3980"/>
      <c r="W2299" s="3421"/>
      <c r="X2299" s="2374"/>
      <c r="Y2299" s="2374"/>
      <c r="Z2299" s="3421"/>
      <c r="AA2299" s="3421"/>
      <c r="AB2299" s="3421"/>
      <c r="AC2299" s="2292">
        <v>510</v>
      </c>
      <c r="AD2299" s="2042">
        <v>510</v>
      </c>
      <c r="AE2299" s="3429"/>
      <c r="AF2299" s="3421"/>
      <c r="AG2299" s="3421"/>
      <c r="AH2299" s="156"/>
      <c r="AI2299" s="156"/>
      <c r="AJ2299" s="156"/>
      <c r="AK2299" s="156"/>
      <c r="AL2299" s="156"/>
      <c r="AM2299" s="156"/>
      <c r="AN2299" s="156"/>
      <c r="AO2299" s="156"/>
      <c r="AP2299" s="156"/>
      <c r="AQ2299" s="156"/>
      <c r="AR2299" s="156"/>
      <c r="AS2299" s="156"/>
      <c r="AT2299" s="156"/>
      <c r="AU2299" s="156"/>
      <c r="AV2299" s="156"/>
      <c r="AW2299" s="156"/>
      <c r="AX2299" s="156"/>
      <c r="AY2299" s="156"/>
      <c r="AZ2299" s="156"/>
      <c r="BA2299" s="156"/>
      <c r="BB2299" s="2828"/>
      <c r="BC2299" s="452"/>
      <c r="BD2299" s="2829"/>
      <c r="BE2299" s="2837"/>
      <c r="BF2299" s="156"/>
    </row>
    <row r="2300" spans="1:58" ht="15" customHeight="1" outlineLevel="1" x14ac:dyDescent="0.35">
      <c r="A2300" s="1071"/>
      <c r="B2300" s="2812"/>
      <c r="C2300" s="3077"/>
      <c r="D2300" s="3980"/>
      <c r="E2300" s="3883"/>
      <c r="F2300" s="3984" t="str">
        <f>$E$1868</f>
        <v>ASHP-SEER20-Replace_CAC_NonElectricHeat_ER2_MF_CompE</v>
      </c>
      <c r="G2300" s="3984"/>
      <c r="H2300" s="3984"/>
      <c r="I2300" s="3984"/>
      <c r="J2300" s="3501" t="str">
        <f>$C$1868</f>
        <v>354661_2021_12_</v>
      </c>
      <c r="K2300" s="2042">
        <v>510</v>
      </c>
      <c r="L2300" s="704"/>
      <c r="M2300" s="3038"/>
      <c r="N2300" s="106"/>
      <c r="O2300" s="106"/>
      <c r="P2300" s="106"/>
      <c r="Q2300" s="106"/>
      <c r="R2300" s="106"/>
      <c r="S2300" s="106"/>
      <c r="T2300" s="106"/>
      <c r="U2300" s="106"/>
      <c r="V2300" s="3980"/>
      <c r="W2300" s="3421"/>
      <c r="X2300" s="2374"/>
      <c r="Y2300" s="2374"/>
      <c r="Z2300" s="3421"/>
      <c r="AA2300" s="3421"/>
      <c r="AB2300" s="3421"/>
      <c r="AC2300" s="2292">
        <v>510</v>
      </c>
      <c r="AD2300" s="2042">
        <v>510</v>
      </c>
      <c r="AE2300" s="3429"/>
      <c r="AF2300" s="3421"/>
      <c r="AG2300" s="3421"/>
      <c r="AH2300" s="156"/>
      <c r="AI2300" s="156"/>
      <c r="AJ2300" s="156"/>
      <c r="AK2300" s="156"/>
      <c r="AL2300" s="156"/>
      <c r="AM2300" s="156"/>
      <c r="AN2300" s="156"/>
      <c r="AO2300" s="156"/>
      <c r="AP2300" s="156"/>
      <c r="AQ2300" s="156"/>
      <c r="AR2300" s="156"/>
      <c r="AS2300" s="156"/>
      <c r="AT2300" s="156"/>
      <c r="AU2300" s="156"/>
      <c r="AV2300" s="156"/>
      <c r="AW2300" s="156"/>
      <c r="AX2300" s="156"/>
      <c r="AY2300" s="156"/>
      <c r="AZ2300" s="156"/>
      <c r="BA2300" s="156"/>
      <c r="BB2300" s="2828"/>
      <c r="BC2300" s="452"/>
      <c r="BD2300" s="2829"/>
      <c r="BE2300" s="2837"/>
      <c r="BF2300" s="156"/>
    </row>
    <row r="2301" spans="1:58" ht="15" customHeight="1" outlineLevel="1" x14ac:dyDescent="0.35">
      <c r="A2301" s="1071"/>
      <c r="B2301" s="2812"/>
      <c r="C2301" s="3077"/>
      <c r="D2301" s="3980"/>
      <c r="E2301" s="3883"/>
      <c r="F2301" s="3984" t="str">
        <f>$E$1870</f>
        <v>ASHP-SEER20_ER1_MF</v>
      </c>
      <c r="G2301" s="3984"/>
      <c r="H2301" s="3984"/>
      <c r="I2301" s="3984"/>
      <c r="J2301" s="3501" t="str">
        <f>$C$1870</f>
        <v>354700_2019_12_</v>
      </c>
      <c r="K2301" s="3421">
        <v>1496</v>
      </c>
      <c r="L2301" s="704"/>
      <c r="M2301" s="3038"/>
      <c r="N2301" s="106"/>
      <c r="O2301" s="106"/>
      <c r="P2301" s="106"/>
      <c r="Q2301" s="106"/>
      <c r="R2301" s="106"/>
      <c r="S2301" s="106"/>
      <c r="T2301" s="106"/>
      <c r="U2301" s="106"/>
      <c r="V2301" s="3980"/>
      <c r="W2301" s="3421">
        <v>2009</v>
      </c>
      <c r="X2301" s="2374">
        <v>1496</v>
      </c>
      <c r="Y2301" s="3421">
        <v>1496</v>
      </c>
      <c r="Z2301" s="3421">
        <v>1496</v>
      </c>
      <c r="AA2301" s="3421">
        <v>1496</v>
      </c>
      <c r="AB2301" s="3421">
        <v>1496</v>
      </c>
      <c r="AC2301" s="3428">
        <v>1496</v>
      </c>
      <c r="AD2301" s="3421">
        <v>1496</v>
      </c>
      <c r="AE2301" s="3429"/>
      <c r="AF2301" s="3421"/>
      <c r="AG2301" s="3421"/>
      <c r="AH2301" s="156"/>
      <c r="AI2301" s="156"/>
      <c r="AJ2301" s="156"/>
      <c r="AK2301" s="156"/>
      <c r="AL2301" s="156"/>
      <c r="AM2301" s="156"/>
      <c r="AN2301" s="156"/>
      <c r="AO2301" s="156"/>
      <c r="AP2301" s="156"/>
      <c r="AQ2301" s="156"/>
      <c r="AR2301" s="156"/>
      <c r="AS2301" s="156"/>
      <c r="AT2301" s="156"/>
      <c r="AU2301" s="156"/>
      <c r="AV2301" s="156"/>
      <c r="AW2301" s="156"/>
      <c r="AX2301" s="156"/>
      <c r="AY2301" s="156"/>
      <c r="AZ2301" s="156"/>
      <c r="BA2301" s="156"/>
      <c r="BB2301" s="2828"/>
      <c r="BC2301" s="452"/>
      <c r="BD2301" s="2829"/>
      <c r="BE2301" s="2837"/>
      <c r="BF2301" s="156"/>
    </row>
    <row r="2302" spans="1:58" ht="15" customHeight="1" outlineLevel="1" x14ac:dyDescent="0.35">
      <c r="A2302" s="1071"/>
      <c r="B2302" s="2812"/>
      <c r="C2302" s="3077"/>
      <c r="D2302" s="3980"/>
      <c r="E2302" s="3883"/>
      <c r="F2302" s="3984" t="str">
        <f>$E$1872</f>
        <v>ASHP-SEER20_ER2_MF</v>
      </c>
      <c r="G2302" s="3984"/>
      <c r="H2302" s="3984"/>
      <c r="I2302" s="3984"/>
      <c r="J2302" s="3501" t="str">
        <f>$C$1872</f>
        <v>354700_2019_12_</v>
      </c>
      <c r="K2302" s="3421">
        <v>1496</v>
      </c>
      <c r="L2302" s="704"/>
      <c r="M2302" s="3038"/>
      <c r="N2302" s="106"/>
      <c r="O2302" s="106"/>
      <c r="P2302" s="106"/>
      <c r="Q2302" s="106"/>
      <c r="R2302" s="106"/>
      <c r="S2302" s="106"/>
      <c r="T2302" s="106"/>
      <c r="U2302" s="106"/>
      <c r="V2302" s="3980"/>
      <c r="W2302" s="3421">
        <v>2009</v>
      </c>
      <c r="X2302" s="2374">
        <v>1496</v>
      </c>
      <c r="Y2302" s="3421">
        <v>1496</v>
      </c>
      <c r="Z2302" s="3421">
        <v>1496</v>
      </c>
      <c r="AA2302" s="3421">
        <v>1496</v>
      </c>
      <c r="AB2302" s="3421">
        <v>1496</v>
      </c>
      <c r="AC2302" s="3428">
        <v>1496</v>
      </c>
      <c r="AD2302" s="3421">
        <v>1496</v>
      </c>
      <c r="AE2302" s="3429"/>
      <c r="AF2302" s="3421"/>
      <c r="AG2302" s="3421"/>
      <c r="AH2302" s="156"/>
      <c r="AI2302" s="156"/>
      <c r="AJ2302" s="156"/>
      <c r="AK2302" s="156"/>
      <c r="AL2302" s="156"/>
      <c r="AM2302" s="156"/>
      <c r="AN2302" s="156"/>
      <c r="AO2302" s="156"/>
      <c r="AP2302" s="156"/>
      <c r="AQ2302" s="156"/>
      <c r="AR2302" s="156"/>
      <c r="AS2302" s="156"/>
      <c r="AT2302" s="156"/>
      <c r="AU2302" s="156"/>
      <c r="AV2302" s="156"/>
      <c r="AW2302" s="156"/>
      <c r="AX2302" s="156"/>
      <c r="AY2302" s="156"/>
      <c r="AZ2302" s="156"/>
      <c r="BA2302" s="156"/>
      <c r="BB2302" s="2828"/>
      <c r="BC2302" s="452"/>
      <c r="BD2302" s="2829"/>
      <c r="BE2302" s="2837"/>
      <c r="BF2302" s="156"/>
    </row>
    <row r="2303" spans="1:58" ht="15" customHeight="1" outlineLevel="1" x14ac:dyDescent="0.35">
      <c r="A2303" s="1071"/>
      <c r="B2303" s="2812"/>
      <c r="C2303" s="3077"/>
      <c r="D2303" s="3980"/>
      <c r="E2303" s="3883"/>
      <c r="F2303" s="3984" t="str">
        <f>$E$1874</f>
        <v>ASHP-SEER20_ER1_MF_CompE</v>
      </c>
      <c r="G2303" s="3984"/>
      <c r="H2303" s="3984"/>
      <c r="I2303" s="3984"/>
      <c r="J2303" s="3501" t="str">
        <f>$C$1874</f>
        <v>354701_2019_12_</v>
      </c>
      <c r="K2303" s="3421">
        <v>510</v>
      </c>
      <c r="L2303" s="704"/>
      <c r="M2303" s="3038" t="s">
        <v>1508</v>
      </c>
      <c r="N2303" s="106"/>
      <c r="O2303" s="106"/>
      <c r="P2303" s="106"/>
      <c r="Q2303" s="106"/>
      <c r="R2303" s="106"/>
      <c r="S2303" s="106"/>
      <c r="T2303" s="106"/>
      <c r="U2303" s="106"/>
      <c r="V2303" s="3980"/>
      <c r="W2303" s="3421"/>
      <c r="X2303" s="2374"/>
      <c r="Y2303" s="2374">
        <v>510</v>
      </c>
      <c r="Z2303" s="3421">
        <v>510</v>
      </c>
      <c r="AA2303" s="3421">
        <v>510</v>
      </c>
      <c r="AB2303" s="3421">
        <v>510</v>
      </c>
      <c r="AC2303" s="3428">
        <v>510</v>
      </c>
      <c r="AD2303" s="3421">
        <v>510</v>
      </c>
      <c r="AE2303" s="3429"/>
      <c r="AF2303" s="3421"/>
      <c r="AG2303" s="3421"/>
      <c r="AH2303" s="156"/>
      <c r="AI2303" s="156"/>
      <c r="AJ2303" s="156"/>
      <c r="AK2303" s="156"/>
      <c r="AL2303" s="156"/>
      <c r="AM2303" s="156"/>
      <c r="AN2303" s="156"/>
      <c r="AO2303" s="156"/>
      <c r="AP2303" s="156"/>
      <c r="AQ2303" s="156"/>
      <c r="AR2303" s="156"/>
      <c r="AS2303" s="156"/>
      <c r="AT2303" s="156"/>
      <c r="AU2303" s="156"/>
      <c r="AV2303" s="156"/>
      <c r="AW2303" s="156"/>
      <c r="AX2303" s="156"/>
      <c r="AY2303" s="156"/>
      <c r="AZ2303" s="156"/>
      <c r="BA2303" s="156"/>
      <c r="BB2303" s="2828"/>
      <c r="BC2303" s="452"/>
      <c r="BD2303" s="2829"/>
      <c r="BE2303" s="2837"/>
      <c r="BF2303" s="156"/>
    </row>
    <row r="2304" spans="1:58" ht="15" customHeight="1" outlineLevel="1" x14ac:dyDescent="0.35">
      <c r="A2304" s="1071"/>
      <c r="B2304" s="2812"/>
      <c r="C2304" s="3077"/>
      <c r="D2304" s="3980"/>
      <c r="E2304" s="3883"/>
      <c r="F2304" s="3984" t="str">
        <f>$E$1876</f>
        <v>ASHP-SEER20_ER2_MF_CompE</v>
      </c>
      <c r="G2304" s="3984"/>
      <c r="H2304" s="3984"/>
      <c r="I2304" s="3984"/>
      <c r="J2304" s="3501" t="str">
        <f>$C$1876</f>
        <v>354701_2019_12_</v>
      </c>
      <c r="K2304" s="3421">
        <v>510</v>
      </c>
      <c r="L2304" s="704"/>
      <c r="M2304" s="3038" t="s">
        <v>1508</v>
      </c>
      <c r="N2304" s="106"/>
      <c r="O2304" s="106"/>
      <c r="P2304" s="106"/>
      <c r="Q2304" s="106"/>
      <c r="R2304" s="106"/>
      <c r="S2304" s="106"/>
      <c r="T2304" s="106"/>
      <c r="U2304" s="106"/>
      <c r="V2304" s="3980"/>
      <c r="W2304" s="3421"/>
      <c r="X2304" s="2374"/>
      <c r="Y2304" s="2374">
        <v>510</v>
      </c>
      <c r="Z2304" s="3421">
        <v>510</v>
      </c>
      <c r="AA2304" s="3421">
        <v>510</v>
      </c>
      <c r="AB2304" s="3421">
        <v>510</v>
      </c>
      <c r="AC2304" s="3428">
        <v>510</v>
      </c>
      <c r="AD2304" s="3421">
        <v>510</v>
      </c>
      <c r="AE2304" s="3429"/>
      <c r="AF2304" s="3421"/>
      <c r="AG2304" s="3421"/>
      <c r="AH2304" s="156"/>
      <c r="AI2304" s="156"/>
      <c r="AJ2304" s="156"/>
      <c r="AK2304" s="156"/>
      <c r="AL2304" s="156"/>
      <c r="AM2304" s="156"/>
      <c r="AN2304" s="156"/>
      <c r="AO2304" s="156"/>
      <c r="AP2304" s="156"/>
      <c r="AQ2304" s="156"/>
      <c r="AR2304" s="156"/>
      <c r="AS2304" s="156"/>
      <c r="AT2304" s="156"/>
      <c r="AU2304" s="156"/>
      <c r="AV2304" s="156"/>
      <c r="AW2304" s="156"/>
      <c r="AX2304" s="156"/>
      <c r="AY2304" s="156"/>
      <c r="AZ2304" s="156"/>
      <c r="BA2304" s="156"/>
      <c r="BB2304" s="2828"/>
      <c r="BC2304" s="452"/>
      <c r="BD2304" s="2829"/>
      <c r="BE2304" s="2837"/>
      <c r="BF2304" s="156"/>
    </row>
    <row r="2305" spans="1:58" ht="15" customHeight="1" outlineLevel="1" x14ac:dyDescent="0.35">
      <c r="A2305" s="1071"/>
      <c r="B2305" s="2812"/>
      <c r="C2305" s="3077"/>
      <c r="D2305" s="3980"/>
      <c r="E2305" s="3883"/>
      <c r="F2305" s="3984" t="str">
        <f>$E$1878</f>
        <v>ASHP-SEER21_ER1_SF</v>
      </c>
      <c r="G2305" s="3984"/>
      <c r="H2305" s="3984"/>
      <c r="I2305" s="3984"/>
      <c r="J2305" s="3501" t="str">
        <f>$C$1878</f>
        <v>354750_2021_12_</v>
      </c>
      <c r="K2305" s="3421">
        <v>1496</v>
      </c>
      <c r="L2305" s="704"/>
      <c r="M2305" s="3038"/>
      <c r="N2305" s="106"/>
      <c r="O2305" s="106"/>
      <c r="P2305" s="106"/>
      <c r="Q2305" s="106"/>
      <c r="R2305" s="106"/>
      <c r="S2305" s="106"/>
      <c r="T2305" s="106"/>
      <c r="U2305" s="106"/>
      <c r="V2305" s="3980"/>
      <c r="W2305" s="3421">
        <v>2009</v>
      </c>
      <c r="X2305" s="2374">
        <v>1496</v>
      </c>
      <c r="Y2305" s="3421">
        <v>1496</v>
      </c>
      <c r="Z2305" s="3421">
        <v>1496</v>
      </c>
      <c r="AA2305" s="3421">
        <v>1496</v>
      </c>
      <c r="AB2305" s="3421">
        <v>1496</v>
      </c>
      <c r="AC2305" s="3428">
        <v>1496</v>
      </c>
      <c r="AD2305" s="3421">
        <v>1496</v>
      </c>
      <c r="AE2305" s="3429"/>
      <c r="AF2305" s="3421"/>
      <c r="AG2305" s="3421"/>
      <c r="AH2305" s="156"/>
      <c r="AI2305" s="156"/>
      <c r="AJ2305" s="156"/>
      <c r="AK2305" s="156"/>
      <c r="AL2305" s="156"/>
      <c r="AM2305" s="156"/>
      <c r="AN2305" s="156"/>
      <c r="AO2305" s="156"/>
      <c r="AP2305" s="156"/>
      <c r="AQ2305" s="156"/>
      <c r="AR2305" s="156"/>
      <c r="AS2305" s="156"/>
      <c r="AT2305" s="156"/>
      <c r="AU2305" s="156"/>
      <c r="AV2305" s="156"/>
      <c r="AW2305" s="156"/>
      <c r="AX2305" s="156"/>
      <c r="AY2305" s="156"/>
      <c r="AZ2305" s="156"/>
      <c r="BA2305" s="156"/>
      <c r="BB2305" s="2828"/>
      <c r="BC2305" s="452"/>
      <c r="BD2305" s="2829"/>
      <c r="BE2305" s="2837"/>
      <c r="BF2305" s="156"/>
    </row>
    <row r="2306" spans="1:58" ht="15" customHeight="1" outlineLevel="1" x14ac:dyDescent="0.35">
      <c r="A2306" s="1071"/>
      <c r="B2306" s="2812"/>
      <c r="C2306" s="3077"/>
      <c r="D2306" s="3980"/>
      <c r="E2306" s="3883"/>
      <c r="F2306" s="3984" t="str">
        <f>$E$1880</f>
        <v>ASHP-SEER21_ER2_SF</v>
      </c>
      <c r="G2306" s="3984"/>
      <c r="H2306" s="3984"/>
      <c r="I2306" s="3984"/>
      <c r="J2306" s="3501" t="str">
        <f>$C$1880</f>
        <v>354750_2021_12_</v>
      </c>
      <c r="K2306" s="3421">
        <v>1496</v>
      </c>
      <c r="L2306" s="704"/>
      <c r="M2306" s="3038"/>
      <c r="N2306" s="106"/>
      <c r="O2306" s="106"/>
      <c r="P2306" s="106"/>
      <c r="Q2306" s="106"/>
      <c r="R2306" s="106"/>
      <c r="S2306" s="106"/>
      <c r="T2306" s="106"/>
      <c r="U2306" s="106"/>
      <c r="V2306" s="3980"/>
      <c r="W2306" s="3421">
        <v>2009</v>
      </c>
      <c r="X2306" s="2374">
        <v>1496</v>
      </c>
      <c r="Y2306" s="3421">
        <v>1496</v>
      </c>
      <c r="Z2306" s="3421">
        <v>1496</v>
      </c>
      <c r="AA2306" s="3421">
        <v>1496</v>
      </c>
      <c r="AB2306" s="3421">
        <v>1496</v>
      </c>
      <c r="AC2306" s="3428">
        <v>1496</v>
      </c>
      <c r="AD2306" s="3421">
        <v>1496</v>
      </c>
      <c r="AE2306" s="3429"/>
      <c r="AF2306" s="3421"/>
      <c r="AG2306" s="3421"/>
      <c r="AH2306" s="156"/>
      <c r="AI2306" s="156"/>
      <c r="AJ2306" s="156"/>
      <c r="AK2306" s="156"/>
      <c r="AL2306" s="156"/>
      <c r="AM2306" s="156"/>
      <c r="AN2306" s="156"/>
      <c r="AO2306" s="156"/>
      <c r="AP2306" s="156"/>
      <c r="AQ2306" s="156"/>
      <c r="AR2306" s="156"/>
      <c r="AS2306" s="156"/>
      <c r="AT2306" s="156"/>
      <c r="AU2306" s="156"/>
      <c r="AV2306" s="156"/>
      <c r="AW2306" s="156"/>
      <c r="AX2306" s="156"/>
      <c r="AY2306" s="156"/>
      <c r="AZ2306" s="156"/>
      <c r="BA2306" s="156"/>
      <c r="BB2306" s="2828"/>
      <c r="BC2306" s="452"/>
      <c r="BD2306" s="2829"/>
      <c r="BE2306" s="2837"/>
      <c r="BF2306" s="156"/>
    </row>
    <row r="2307" spans="1:58" ht="15" customHeight="1" outlineLevel="1" x14ac:dyDescent="0.35">
      <c r="A2307" s="1071"/>
      <c r="B2307" s="2812"/>
      <c r="C2307" s="3077"/>
      <c r="D2307" s="3980"/>
      <c r="E2307" s="3883"/>
      <c r="F2307" s="3984" t="str">
        <f>$E$1882</f>
        <v>ASHP-SEER21_ROF_SF</v>
      </c>
      <c r="G2307" s="3984"/>
      <c r="H2307" s="3984"/>
      <c r="I2307" s="3984"/>
      <c r="J2307" s="3501" t="str">
        <f>$C$1882</f>
        <v>354800_2021_12_</v>
      </c>
      <c r="K2307" s="3421">
        <v>1496</v>
      </c>
      <c r="L2307" s="704"/>
      <c r="M2307" s="3038"/>
      <c r="N2307" s="106"/>
      <c r="O2307" s="106"/>
      <c r="P2307" s="106"/>
      <c r="Q2307" s="106"/>
      <c r="R2307" s="106"/>
      <c r="S2307" s="106"/>
      <c r="T2307" s="106"/>
      <c r="U2307" s="106"/>
      <c r="V2307" s="3980"/>
      <c r="W2307" s="3421">
        <v>2009</v>
      </c>
      <c r="X2307" s="2374">
        <v>1496</v>
      </c>
      <c r="Y2307" s="3421">
        <v>1496</v>
      </c>
      <c r="Z2307" s="3421">
        <v>1496</v>
      </c>
      <c r="AA2307" s="3421">
        <v>1496</v>
      </c>
      <c r="AB2307" s="3421">
        <v>1496</v>
      </c>
      <c r="AC2307" s="3428">
        <v>1496</v>
      </c>
      <c r="AD2307" s="3421">
        <v>1496</v>
      </c>
      <c r="AE2307" s="3429"/>
      <c r="AF2307" s="3421"/>
      <c r="AG2307" s="3421"/>
      <c r="AH2307" s="156"/>
      <c r="AI2307" s="156"/>
      <c r="AJ2307" s="156"/>
      <c r="AK2307" s="156"/>
      <c r="AL2307" s="156"/>
      <c r="AM2307" s="156"/>
      <c r="AN2307" s="156"/>
      <c r="AO2307" s="156"/>
      <c r="AP2307" s="156"/>
      <c r="AQ2307" s="156"/>
      <c r="AR2307" s="156"/>
      <c r="AS2307" s="156"/>
      <c r="AT2307" s="156"/>
      <c r="AU2307" s="156"/>
      <c r="AV2307" s="156"/>
      <c r="AW2307" s="156"/>
      <c r="AX2307" s="156"/>
      <c r="AY2307" s="156"/>
      <c r="AZ2307" s="156"/>
      <c r="BA2307" s="156"/>
      <c r="BB2307" s="2828"/>
      <c r="BC2307" s="452"/>
      <c r="BD2307" s="2829"/>
      <c r="BE2307" s="2837"/>
      <c r="BF2307" s="156"/>
    </row>
    <row r="2308" spans="1:58" ht="15" customHeight="1" outlineLevel="1" x14ac:dyDescent="0.35">
      <c r="A2308" s="1071"/>
      <c r="B2308" s="2812"/>
      <c r="C2308" s="3077"/>
      <c r="D2308" s="3980"/>
      <c r="E2308" s="3883"/>
      <c r="F2308" s="3984" t="str">
        <f>$E$1884</f>
        <v>ASHP-SEER21-Replace_CAC_ElectricHeat_ROF_MF</v>
      </c>
      <c r="G2308" s="3984"/>
      <c r="H2308" s="3984"/>
      <c r="I2308" s="3984"/>
      <c r="J2308" s="3501" t="str">
        <f>$C$1884</f>
        <v>354850_2019_12_</v>
      </c>
      <c r="K2308" s="3421">
        <v>1496</v>
      </c>
      <c r="L2308" s="704"/>
      <c r="M2308" s="3038"/>
      <c r="N2308" s="106"/>
      <c r="O2308" s="106"/>
      <c r="P2308" s="106"/>
      <c r="Q2308" s="106"/>
      <c r="R2308" s="106"/>
      <c r="S2308" s="106"/>
      <c r="T2308" s="106"/>
      <c r="U2308" s="106"/>
      <c r="V2308" s="3980"/>
      <c r="W2308" s="3421">
        <v>2009</v>
      </c>
      <c r="X2308" s="2374">
        <v>1496</v>
      </c>
      <c r="Y2308" s="3421">
        <v>1496</v>
      </c>
      <c r="Z2308" s="3421">
        <v>1496</v>
      </c>
      <c r="AA2308" s="3421">
        <v>1496</v>
      </c>
      <c r="AB2308" s="3421">
        <v>1496</v>
      </c>
      <c r="AC2308" s="3428">
        <v>1496</v>
      </c>
      <c r="AD2308" s="3421">
        <v>1496</v>
      </c>
      <c r="AE2308" s="3429"/>
      <c r="AF2308" s="3421"/>
      <c r="AG2308" s="3421"/>
      <c r="AH2308" s="156"/>
      <c r="AI2308" s="156"/>
      <c r="AJ2308" s="156"/>
      <c r="AK2308" s="156"/>
      <c r="AL2308" s="156"/>
      <c r="AM2308" s="156"/>
      <c r="AN2308" s="156"/>
      <c r="AO2308" s="156"/>
      <c r="AP2308" s="156"/>
      <c r="AQ2308" s="156"/>
      <c r="AR2308" s="156"/>
      <c r="AS2308" s="156"/>
      <c r="AT2308" s="156"/>
      <c r="AU2308" s="156"/>
      <c r="AV2308" s="156"/>
      <c r="AW2308" s="156"/>
      <c r="AX2308" s="156"/>
      <c r="AY2308" s="156"/>
      <c r="AZ2308" s="156"/>
      <c r="BA2308" s="156"/>
      <c r="BB2308" s="2828"/>
      <c r="BC2308" s="452"/>
      <c r="BD2308" s="2829"/>
      <c r="BE2308" s="2837"/>
      <c r="BF2308" s="156"/>
    </row>
    <row r="2309" spans="1:58" ht="15" customHeight="1" outlineLevel="1" x14ac:dyDescent="0.35">
      <c r="A2309" s="1071"/>
      <c r="B2309" s="2812"/>
      <c r="C2309" s="3077"/>
      <c r="D2309" s="3980"/>
      <c r="E2309" s="3883"/>
      <c r="F2309" s="3984" t="str">
        <f>$E$1886</f>
        <v>ASHP-SEER21-Replace_CAC_ElectricHeat_ROF_MF_CompE</v>
      </c>
      <c r="G2309" s="3984"/>
      <c r="H2309" s="3984"/>
      <c r="I2309" s="3984"/>
      <c r="J2309" s="3501" t="str">
        <f>$C$1886</f>
        <v>354851_2019_12_</v>
      </c>
      <c r="K2309" s="3421">
        <v>510</v>
      </c>
      <c r="L2309" s="704"/>
      <c r="M2309" s="3038" t="s">
        <v>1508</v>
      </c>
      <c r="N2309" s="106"/>
      <c r="O2309" s="106"/>
      <c r="P2309" s="106"/>
      <c r="Q2309" s="106"/>
      <c r="R2309" s="106"/>
      <c r="S2309" s="106"/>
      <c r="T2309" s="106"/>
      <c r="U2309" s="106"/>
      <c r="V2309" s="3980"/>
      <c r="W2309" s="3421"/>
      <c r="X2309" s="2374"/>
      <c r="Y2309" s="2374">
        <v>510</v>
      </c>
      <c r="Z2309" s="3421">
        <v>510</v>
      </c>
      <c r="AA2309" s="3421">
        <v>510</v>
      </c>
      <c r="AB2309" s="3421">
        <v>510</v>
      </c>
      <c r="AC2309" s="3428">
        <v>510</v>
      </c>
      <c r="AD2309" s="3421">
        <v>510</v>
      </c>
      <c r="AE2309" s="3429"/>
      <c r="AF2309" s="3421"/>
      <c r="AG2309" s="3421"/>
      <c r="AH2309" s="156"/>
      <c r="AI2309" s="156"/>
      <c r="AJ2309" s="156"/>
      <c r="AK2309" s="156"/>
      <c r="AL2309" s="156"/>
      <c r="AM2309" s="156"/>
      <c r="AN2309" s="156"/>
      <c r="AO2309" s="156"/>
      <c r="AP2309" s="156"/>
      <c r="AQ2309" s="156"/>
      <c r="AR2309" s="156"/>
      <c r="AS2309" s="156"/>
      <c r="AT2309" s="156"/>
      <c r="AU2309" s="156"/>
      <c r="AV2309" s="156"/>
      <c r="AW2309" s="156"/>
      <c r="AX2309" s="156"/>
      <c r="AY2309" s="156"/>
      <c r="AZ2309" s="156"/>
      <c r="BA2309" s="156"/>
      <c r="BB2309" s="2828"/>
      <c r="BC2309" s="452"/>
      <c r="BD2309" s="2829"/>
      <c r="BE2309" s="2837"/>
      <c r="BF2309" s="156"/>
    </row>
    <row r="2310" spans="1:58" ht="15" customHeight="1" outlineLevel="1" x14ac:dyDescent="0.35">
      <c r="A2310" s="1071"/>
      <c r="B2310" s="2812"/>
      <c r="C2310" s="3077"/>
      <c r="D2310" s="3980"/>
      <c r="E2310" s="3883"/>
      <c r="F2310" s="3984" t="str">
        <f>$E$1888</f>
        <v>ASHP-SEER21-Replace_CAC_NonElectricHeat_ROF_MF</v>
      </c>
      <c r="G2310" s="3984"/>
      <c r="H2310" s="3984"/>
      <c r="I2310" s="3984"/>
      <c r="J2310" s="3501" t="str">
        <f>$C$1888</f>
        <v>354860_2021_12_</v>
      </c>
      <c r="K2310" s="2042">
        <v>1496</v>
      </c>
      <c r="L2310" s="704"/>
      <c r="M2310" s="3038"/>
      <c r="N2310" s="106"/>
      <c r="O2310" s="106"/>
      <c r="P2310" s="106"/>
      <c r="Q2310" s="106"/>
      <c r="R2310" s="106"/>
      <c r="S2310" s="106"/>
      <c r="T2310" s="106"/>
      <c r="U2310" s="106"/>
      <c r="V2310" s="3980"/>
      <c r="W2310" s="3421"/>
      <c r="X2310" s="2374"/>
      <c r="Y2310" s="2374"/>
      <c r="Z2310" s="3421"/>
      <c r="AA2310" s="3421"/>
      <c r="AB2310" s="3421"/>
      <c r="AC2310" s="2292">
        <v>1496</v>
      </c>
      <c r="AD2310" s="2042">
        <v>1496</v>
      </c>
      <c r="AE2310" s="3429"/>
      <c r="AF2310" s="3421"/>
      <c r="AG2310" s="3421"/>
      <c r="AH2310" s="156"/>
      <c r="AI2310" s="156"/>
      <c r="AJ2310" s="156"/>
      <c r="AK2310" s="156"/>
      <c r="AL2310" s="156"/>
      <c r="AM2310" s="156"/>
      <c r="AN2310" s="156"/>
      <c r="AO2310" s="156"/>
      <c r="AP2310" s="156"/>
      <c r="AQ2310" s="156"/>
      <c r="AR2310" s="156"/>
      <c r="AS2310" s="156"/>
      <c r="AT2310" s="156"/>
      <c r="AU2310" s="156"/>
      <c r="AV2310" s="156"/>
      <c r="AW2310" s="156"/>
      <c r="AX2310" s="156"/>
      <c r="AY2310" s="156"/>
      <c r="AZ2310" s="156"/>
      <c r="BA2310" s="156"/>
      <c r="BB2310" s="2828"/>
      <c r="BC2310" s="452"/>
      <c r="BD2310" s="2829"/>
      <c r="BE2310" s="2837"/>
      <c r="BF2310" s="156"/>
    </row>
    <row r="2311" spans="1:58" ht="15" customHeight="1" outlineLevel="1" x14ac:dyDescent="0.35">
      <c r="A2311" s="1071"/>
      <c r="B2311" s="2812"/>
      <c r="C2311" s="3077"/>
      <c r="D2311" s="3980"/>
      <c r="E2311" s="3883"/>
      <c r="F2311" s="3984" t="str">
        <f>$E$1890</f>
        <v>ASHP-SEER21-Replace_CAC_NonElectricHeat_ROF_MF_CompE</v>
      </c>
      <c r="G2311" s="3984"/>
      <c r="H2311" s="3984"/>
      <c r="I2311" s="3984"/>
      <c r="J2311" s="3501" t="str">
        <f>$C$1890</f>
        <v>354861_2021_12_</v>
      </c>
      <c r="K2311" s="2042">
        <v>510</v>
      </c>
      <c r="L2311" s="704"/>
      <c r="M2311" s="3038"/>
      <c r="N2311" s="106"/>
      <c r="O2311" s="106"/>
      <c r="P2311" s="106"/>
      <c r="Q2311" s="106"/>
      <c r="R2311" s="106"/>
      <c r="S2311" s="106"/>
      <c r="T2311" s="106"/>
      <c r="U2311" s="106"/>
      <c r="V2311" s="3980"/>
      <c r="W2311" s="3421"/>
      <c r="X2311" s="2374"/>
      <c r="Y2311" s="2374"/>
      <c r="Z2311" s="3421"/>
      <c r="AA2311" s="3421"/>
      <c r="AB2311" s="3421"/>
      <c r="AC2311" s="2292">
        <v>510</v>
      </c>
      <c r="AD2311" s="2042">
        <v>510</v>
      </c>
      <c r="AE2311" s="3429"/>
      <c r="AF2311" s="3421"/>
      <c r="AG2311" s="3421"/>
      <c r="AH2311" s="156"/>
      <c r="AI2311" s="156"/>
      <c r="AJ2311" s="156"/>
      <c r="AK2311" s="156"/>
      <c r="AL2311" s="156"/>
      <c r="AM2311" s="156"/>
      <c r="AN2311" s="156"/>
      <c r="AO2311" s="156"/>
      <c r="AP2311" s="156"/>
      <c r="AQ2311" s="156"/>
      <c r="AR2311" s="156"/>
      <c r="AS2311" s="156"/>
      <c r="AT2311" s="156"/>
      <c r="AU2311" s="156"/>
      <c r="AV2311" s="156"/>
      <c r="AW2311" s="156"/>
      <c r="AX2311" s="156"/>
      <c r="AY2311" s="156"/>
      <c r="AZ2311" s="156"/>
      <c r="BA2311" s="156"/>
      <c r="BB2311" s="2828"/>
      <c r="BC2311" s="452"/>
      <c r="BD2311" s="2829"/>
      <c r="BE2311" s="2837"/>
      <c r="BF2311" s="156"/>
    </row>
    <row r="2312" spans="1:58" ht="15" customHeight="1" outlineLevel="1" x14ac:dyDescent="0.35">
      <c r="A2312" s="1071"/>
      <c r="B2312" s="2812"/>
      <c r="C2312" s="3077"/>
      <c r="D2312" s="3980"/>
      <c r="E2312" s="3883"/>
      <c r="F2312" s="3984" t="str">
        <f>$E$1892</f>
        <v>ASHP-SEER21_ER1_MF</v>
      </c>
      <c r="G2312" s="3984"/>
      <c r="H2312" s="3984"/>
      <c r="I2312" s="3984"/>
      <c r="J2312" s="3501" t="str">
        <f>$C$1892</f>
        <v>354900_2019_12_</v>
      </c>
      <c r="K2312" s="3421">
        <v>1496</v>
      </c>
      <c r="L2312" s="704"/>
      <c r="M2312" s="3038"/>
      <c r="N2312" s="106"/>
      <c r="O2312" s="106"/>
      <c r="P2312" s="106"/>
      <c r="Q2312" s="106"/>
      <c r="R2312" s="106"/>
      <c r="S2312" s="106"/>
      <c r="T2312" s="106"/>
      <c r="U2312" s="106"/>
      <c r="V2312" s="3980"/>
      <c r="W2312" s="3421">
        <v>2009</v>
      </c>
      <c r="X2312" s="2374">
        <v>1496</v>
      </c>
      <c r="Y2312" s="3421">
        <v>1496</v>
      </c>
      <c r="Z2312" s="3421">
        <v>1496</v>
      </c>
      <c r="AA2312" s="3421">
        <v>1496</v>
      </c>
      <c r="AB2312" s="3421">
        <v>1496</v>
      </c>
      <c r="AC2312" s="3428">
        <v>1496</v>
      </c>
      <c r="AD2312" s="3421">
        <v>1496</v>
      </c>
      <c r="AE2312" s="3429"/>
      <c r="AF2312" s="3421"/>
      <c r="AG2312" s="3421"/>
      <c r="AH2312" s="156"/>
      <c r="AI2312" s="156"/>
      <c r="AJ2312" s="156"/>
      <c r="AK2312" s="156"/>
      <c r="AL2312" s="156"/>
      <c r="AM2312" s="156"/>
      <c r="AN2312" s="156"/>
      <c r="AO2312" s="156"/>
      <c r="AP2312" s="156"/>
      <c r="AQ2312" s="156"/>
      <c r="AR2312" s="156"/>
      <c r="AS2312" s="156"/>
      <c r="AT2312" s="156"/>
      <c r="AU2312" s="156"/>
      <c r="AV2312" s="156"/>
      <c r="AW2312" s="156"/>
      <c r="AX2312" s="156"/>
      <c r="AY2312" s="156"/>
      <c r="AZ2312" s="156"/>
      <c r="BA2312" s="156"/>
      <c r="BB2312" s="2828"/>
      <c r="BC2312" s="452"/>
      <c r="BD2312" s="2829"/>
      <c r="BE2312" s="2837"/>
      <c r="BF2312" s="156"/>
    </row>
    <row r="2313" spans="1:58" ht="15" customHeight="1" outlineLevel="1" x14ac:dyDescent="0.35">
      <c r="A2313" s="1071"/>
      <c r="B2313" s="2812"/>
      <c r="C2313" s="3077"/>
      <c r="D2313" s="3980"/>
      <c r="E2313" s="3883"/>
      <c r="F2313" s="3984" t="str">
        <f>$E$1894</f>
        <v>ASHP-SEER21_ER2_MF</v>
      </c>
      <c r="G2313" s="3984"/>
      <c r="H2313" s="3984"/>
      <c r="I2313" s="3984"/>
      <c r="J2313" s="3501" t="str">
        <f>$C$1894</f>
        <v>354900_2019_12_</v>
      </c>
      <c r="K2313" s="3421">
        <v>1496</v>
      </c>
      <c r="L2313" s="704"/>
      <c r="M2313" s="3038"/>
      <c r="N2313" s="106"/>
      <c r="O2313" s="106"/>
      <c r="P2313" s="106"/>
      <c r="Q2313" s="106"/>
      <c r="R2313" s="106"/>
      <c r="S2313" s="106"/>
      <c r="T2313" s="106"/>
      <c r="U2313" s="106"/>
      <c r="V2313" s="3980"/>
      <c r="W2313" s="3421">
        <v>2009</v>
      </c>
      <c r="X2313" s="2374">
        <v>1496</v>
      </c>
      <c r="Y2313" s="3421">
        <v>1496</v>
      </c>
      <c r="Z2313" s="3421">
        <v>1496</v>
      </c>
      <c r="AA2313" s="3421">
        <v>1496</v>
      </c>
      <c r="AB2313" s="3421">
        <v>1496</v>
      </c>
      <c r="AC2313" s="3428">
        <v>1496</v>
      </c>
      <c r="AD2313" s="3421">
        <v>1496</v>
      </c>
      <c r="AE2313" s="3429"/>
      <c r="AF2313" s="3421"/>
      <c r="AG2313" s="3421"/>
      <c r="AH2313" s="156"/>
      <c r="AI2313" s="156"/>
      <c r="AJ2313" s="156"/>
      <c r="AK2313" s="156"/>
      <c r="AL2313" s="156"/>
      <c r="AM2313" s="156"/>
      <c r="AN2313" s="156"/>
      <c r="AO2313" s="156"/>
      <c r="AP2313" s="156"/>
      <c r="AQ2313" s="156"/>
      <c r="AR2313" s="156"/>
      <c r="AS2313" s="156"/>
      <c r="AT2313" s="156"/>
      <c r="AU2313" s="156"/>
      <c r="AV2313" s="156"/>
      <c r="AW2313" s="156"/>
      <c r="AX2313" s="156"/>
      <c r="AY2313" s="156"/>
      <c r="AZ2313" s="156"/>
      <c r="BA2313" s="156"/>
      <c r="BB2313" s="2828"/>
      <c r="BC2313" s="452"/>
      <c r="BD2313" s="2829"/>
      <c r="BE2313" s="2837"/>
      <c r="BF2313" s="156"/>
    </row>
    <row r="2314" spans="1:58" ht="15" customHeight="1" outlineLevel="1" x14ac:dyDescent="0.35">
      <c r="A2314" s="1071"/>
      <c r="B2314" s="2812"/>
      <c r="C2314" s="3077"/>
      <c r="D2314" s="3980"/>
      <c r="E2314" s="3883"/>
      <c r="F2314" s="3984" t="str">
        <f>$E$1896</f>
        <v>ASHP-SEER21_ER1_MF_CompE</v>
      </c>
      <c r="G2314" s="3984"/>
      <c r="H2314" s="3984"/>
      <c r="I2314" s="3984"/>
      <c r="J2314" s="3501" t="str">
        <f>$C$1896</f>
        <v>354901_2019_12_</v>
      </c>
      <c r="K2314" s="3421">
        <v>510</v>
      </c>
      <c r="L2314" s="704"/>
      <c r="M2314" s="3038" t="s">
        <v>1508</v>
      </c>
      <c r="N2314" s="106"/>
      <c r="O2314" s="106"/>
      <c r="P2314" s="106"/>
      <c r="Q2314" s="106"/>
      <c r="R2314" s="106"/>
      <c r="S2314" s="106"/>
      <c r="T2314" s="106"/>
      <c r="U2314" s="106"/>
      <c r="V2314" s="3980"/>
      <c r="W2314" s="3421"/>
      <c r="X2314" s="2374"/>
      <c r="Y2314" s="2374">
        <v>510</v>
      </c>
      <c r="Z2314" s="3421">
        <v>510</v>
      </c>
      <c r="AA2314" s="3421">
        <v>510</v>
      </c>
      <c r="AB2314" s="3421">
        <v>510</v>
      </c>
      <c r="AC2314" s="3428">
        <v>510</v>
      </c>
      <c r="AD2314" s="3421">
        <v>510</v>
      </c>
      <c r="AE2314" s="3429"/>
      <c r="AF2314" s="3421"/>
      <c r="AG2314" s="3421"/>
      <c r="AH2314" s="156"/>
      <c r="AI2314" s="156"/>
      <c r="AJ2314" s="156"/>
      <c r="AK2314" s="156"/>
      <c r="AL2314" s="156"/>
      <c r="AM2314" s="156"/>
      <c r="AN2314" s="156"/>
      <c r="AO2314" s="156"/>
      <c r="AP2314" s="156"/>
      <c r="AQ2314" s="156"/>
      <c r="AR2314" s="156"/>
      <c r="AS2314" s="156"/>
      <c r="AT2314" s="156"/>
      <c r="AU2314" s="156"/>
      <c r="AV2314" s="156"/>
      <c r="AW2314" s="156"/>
      <c r="AX2314" s="156"/>
      <c r="AY2314" s="156"/>
      <c r="AZ2314" s="156"/>
      <c r="BA2314" s="156"/>
      <c r="BB2314" s="2828"/>
      <c r="BC2314" s="452"/>
      <c r="BD2314" s="2829"/>
      <c r="BE2314" s="2837"/>
      <c r="BF2314" s="156"/>
    </row>
    <row r="2315" spans="1:58" ht="15" customHeight="1" outlineLevel="1" x14ac:dyDescent="0.35">
      <c r="A2315" s="1071"/>
      <c r="B2315" s="2812"/>
      <c r="C2315" s="3077"/>
      <c r="D2315" s="3980"/>
      <c r="E2315" s="3883"/>
      <c r="F2315" s="3984" t="str">
        <f>$E$1898</f>
        <v>ASHP-SEER21_ER2_MF_CompE</v>
      </c>
      <c r="G2315" s="3984"/>
      <c r="H2315" s="3984"/>
      <c r="I2315" s="3984"/>
      <c r="J2315" s="3501" t="str">
        <f>$C$1898</f>
        <v>354901_2019_12_</v>
      </c>
      <c r="K2315" s="3421">
        <v>510</v>
      </c>
      <c r="L2315" s="704"/>
      <c r="M2315" s="3038" t="s">
        <v>1508</v>
      </c>
      <c r="N2315" s="106"/>
      <c r="O2315" s="106"/>
      <c r="P2315" s="106"/>
      <c r="Q2315" s="106"/>
      <c r="R2315" s="106"/>
      <c r="S2315" s="106"/>
      <c r="T2315" s="106"/>
      <c r="U2315" s="106"/>
      <c r="V2315" s="3980"/>
      <c r="W2315" s="3421"/>
      <c r="X2315" s="2374"/>
      <c r="Y2315" s="2374">
        <v>510</v>
      </c>
      <c r="Z2315" s="3421">
        <v>510</v>
      </c>
      <c r="AA2315" s="3421">
        <v>510</v>
      </c>
      <c r="AB2315" s="3421">
        <v>510</v>
      </c>
      <c r="AC2315" s="3428">
        <v>510</v>
      </c>
      <c r="AD2315" s="3421">
        <v>510</v>
      </c>
      <c r="AE2315" s="3429"/>
      <c r="AF2315" s="3421"/>
      <c r="AG2315" s="3421"/>
      <c r="AH2315" s="156"/>
      <c r="AI2315" s="156"/>
      <c r="AJ2315" s="156"/>
      <c r="AK2315" s="156"/>
      <c r="AL2315" s="156"/>
      <c r="AM2315" s="156"/>
      <c r="AN2315" s="156"/>
      <c r="AO2315" s="156"/>
      <c r="AP2315" s="156"/>
      <c r="AQ2315" s="156"/>
      <c r="AR2315" s="156"/>
      <c r="AS2315" s="156"/>
      <c r="AT2315" s="156"/>
      <c r="AU2315" s="156"/>
      <c r="AV2315" s="156"/>
      <c r="AW2315" s="156"/>
      <c r="AX2315" s="156"/>
      <c r="AY2315" s="156"/>
      <c r="AZ2315" s="156"/>
      <c r="BA2315" s="156"/>
      <c r="BB2315" s="2828"/>
      <c r="BC2315" s="452"/>
      <c r="BD2315" s="2829"/>
      <c r="BE2315" s="2837"/>
      <c r="BF2315" s="156"/>
    </row>
    <row r="2316" spans="1:58" ht="15" customHeight="1" outlineLevel="1" x14ac:dyDescent="0.35">
      <c r="A2316" s="1071"/>
      <c r="B2316" s="2812"/>
      <c r="C2316" s="3077"/>
      <c r="D2316" s="3980"/>
      <c r="E2316" s="3883"/>
      <c r="F2316" s="3984" t="str">
        <f>$E$1900</f>
        <v>ASHP-SEER17_ROF_MF</v>
      </c>
      <c r="G2316" s="3984"/>
      <c r="H2316" s="3984"/>
      <c r="I2316" s="3984"/>
      <c r="J2316" s="3501" t="str">
        <f>$C$1900</f>
        <v>354950_2019_12_</v>
      </c>
      <c r="K2316" s="3421">
        <v>1496</v>
      </c>
      <c r="L2316" s="704"/>
      <c r="M2316" s="3038"/>
      <c r="N2316" s="106"/>
      <c r="O2316" s="106"/>
      <c r="P2316" s="106"/>
      <c r="Q2316" s="106"/>
      <c r="R2316" s="106"/>
      <c r="S2316" s="106"/>
      <c r="T2316" s="106"/>
      <c r="U2316" s="106"/>
      <c r="V2316" s="3980"/>
      <c r="W2316" s="3421">
        <v>2009</v>
      </c>
      <c r="X2316" s="2374">
        <v>1496</v>
      </c>
      <c r="Y2316" s="3421">
        <v>1496</v>
      </c>
      <c r="Z2316" s="3421">
        <v>1496</v>
      </c>
      <c r="AA2316" s="3421">
        <v>1496</v>
      </c>
      <c r="AB2316" s="3421">
        <v>1496</v>
      </c>
      <c r="AC2316" s="3428">
        <v>1496</v>
      </c>
      <c r="AD2316" s="3421">
        <v>1496</v>
      </c>
      <c r="AE2316" s="3429"/>
      <c r="AF2316" s="3421"/>
      <c r="AG2316" s="3421"/>
      <c r="AH2316" s="156"/>
      <c r="AI2316" s="156"/>
      <c r="AJ2316" s="156"/>
      <c r="AK2316" s="156"/>
      <c r="AL2316" s="156"/>
      <c r="AM2316" s="156"/>
      <c r="AN2316" s="156"/>
      <c r="AO2316" s="156"/>
      <c r="AP2316" s="156"/>
      <c r="AQ2316" s="156"/>
      <c r="AR2316" s="156"/>
      <c r="AS2316" s="156"/>
      <c r="AT2316" s="156"/>
      <c r="AU2316" s="156"/>
      <c r="AV2316" s="156"/>
      <c r="AW2316" s="156"/>
      <c r="AX2316" s="156"/>
      <c r="AY2316" s="156"/>
      <c r="AZ2316" s="156"/>
      <c r="BA2316" s="156"/>
      <c r="BB2316" s="2828"/>
      <c r="BC2316" s="452"/>
      <c r="BD2316" s="2829"/>
      <c r="BE2316" s="2837"/>
      <c r="BF2316" s="156"/>
    </row>
    <row r="2317" spans="1:58" ht="15" customHeight="1" outlineLevel="1" x14ac:dyDescent="0.35">
      <c r="A2317" s="1071"/>
      <c r="B2317" s="2812"/>
      <c r="C2317" s="3077"/>
      <c r="D2317" s="3980"/>
      <c r="E2317" s="3883"/>
      <c r="F2317" s="3984" t="str">
        <f>$E$1902</f>
        <v>ASHP-SEER17_ROF_MF_CompE</v>
      </c>
      <c r="G2317" s="3984"/>
      <c r="H2317" s="3984"/>
      <c r="I2317" s="3984"/>
      <c r="J2317" s="3501" t="str">
        <f>$C$1902</f>
        <v>354951_2019_12_</v>
      </c>
      <c r="K2317" s="3421">
        <v>510</v>
      </c>
      <c r="L2317" s="704"/>
      <c r="M2317" s="3038" t="s">
        <v>1508</v>
      </c>
      <c r="N2317" s="106"/>
      <c r="O2317" s="106"/>
      <c r="P2317" s="106"/>
      <c r="Q2317" s="106"/>
      <c r="R2317" s="106"/>
      <c r="S2317" s="106"/>
      <c r="T2317" s="106"/>
      <c r="U2317" s="106"/>
      <c r="V2317" s="3980"/>
      <c r="W2317" s="3421"/>
      <c r="X2317" s="2374"/>
      <c r="Y2317" s="2374">
        <v>510</v>
      </c>
      <c r="Z2317" s="3421">
        <v>510</v>
      </c>
      <c r="AA2317" s="3421">
        <v>510</v>
      </c>
      <c r="AB2317" s="3421">
        <v>510</v>
      </c>
      <c r="AC2317" s="3428">
        <v>510</v>
      </c>
      <c r="AD2317" s="3421">
        <v>510</v>
      </c>
      <c r="AE2317" s="3429"/>
      <c r="AF2317" s="3421"/>
      <c r="AG2317" s="3421"/>
      <c r="AH2317" s="156"/>
      <c r="AI2317" s="156"/>
      <c r="AJ2317" s="156"/>
      <c r="AK2317" s="156"/>
      <c r="AL2317" s="156"/>
      <c r="AM2317" s="156"/>
      <c r="AN2317" s="156"/>
      <c r="AO2317" s="156"/>
      <c r="AP2317" s="156"/>
      <c r="AQ2317" s="156"/>
      <c r="AR2317" s="156"/>
      <c r="AS2317" s="156"/>
      <c r="AT2317" s="156"/>
      <c r="AU2317" s="156"/>
      <c r="AV2317" s="156"/>
      <c r="AW2317" s="156"/>
      <c r="AX2317" s="156"/>
      <c r="AY2317" s="156"/>
      <c r="AZ2317" s="156"/>
      <c r="BA2317" s="156"/>
      <c r="BB2317" s="2828"/>
      <c r="BC2317" s="452"/>
      <c r="BD2317" s="2829"/>
      <c r="BE2317" s="2837"/>
      <c r="BF2317" s="156"/>
    </row>
    <row r="2318" spans="1:58" ht="15" customHeight="1" outlineLevel="1" x14ac:dyDescent="0.35">
      <c r="A2318" s="1664"/>
      <c r="B2318" s="2812"/>
      <c r="C2318" s="3077"/>
      <c r="D2318" s="3980"/>
      <c r="E2318" s="3883"/>
      <c r="F2318" s="3984" t="str">
        <f>$E$1904</f>
        <v>ASHP-SEER18_ROF_MF</v>
      </c>
      <c r="G2318" s="3984"/>
      <c r="H2318" s="3984"/>
      <c r="I2318" s="3984"/>
      <c r="J2318" s="3501" t="str">
        <f>$C$1904</f>
        <v>355000_2019_12_</v>
      </c>
      <c r="K2318" s="3421">
        <v>1496</v>
      </c>
      <c r="L2318" s="704"/>
      <c r="M2318" s="3038"/>
      <c r="N2318" s="106"/>
      <c r="O2318" s="106"/>
      <c r="P2318" s="702"/>
      <c r="Q2318" s="574"/>
      <c r="R2318" s="702"/>
      <c r="S2318" s="106"/>
      <c r="T2318" s="486"/>
      <c r="U2318" s="106"/>
      <c r="V2318" s="3980"/>
      <c r="W2318" s="3421">
        <v>2009</v>
      </c>
      <c r="X2318" s="2374">
        <v>1496</v>
      </c>
      <c r="Y2318" s="3421">
        <v>1496</v>
      </c>
      <c r="Z2318" s="3421">
        <v>1496</v>
      </c>
      <c r="AA2318" s="3421">
        <v>1496</v>
      </c>
      <c r="AB2318" s="3421">
        <v>1496</v>
      </c>
      <c r="AC2318" s="3428">
        <v>1496</v>
      </c>
      <c r="AD2318" s="3421">
        <v>1496</v>
      </c>
      <c r="AE2318" s="3429"/>
      <c r="AF2318" s="3421"/>
      <c r="AG2318" s="3421"/>
      <c r="AH2318" s="156"/>
      <c r="AI2318" s="156"/>
      <c r="AJ2318" s="156"/>
      <c r="AK2318" s="156"/>
      <c r="AL2318" s="156"/>
      <c r="AM2318" s="156"/>
      <c r="AN2318" s="156"/>
      <c r="AO2318" s="156"/>
      <c r="AP2318" s="156"/>
      <c r="AQ2318" s="156"/>
      <c r="AR2318" s="156"/>
      <c r="AS2318" s="156"/>
      <c r="AT2318" s="156"/>
      <c r="AU2318" s="156"/>
      <c r="AV2318" s="156"/>
      <c r="AW2318" s="156"/>
      <c r="AX2318" s="156"/>
      <c r="AY2318" s="156"/>
      <c r="AZ2318" s="156"/>
      <c r="BA2318" s="156"/>
      <c r="BB2318" s="2828"/>
      <c r="BC2318" s="452"/>
      <c r="BD2318" s="2829"/>
      <c r="BE2318" s="2837"/>
      <c r="BF2318" s="156"/>
    </row>
    <row r="2319" spans="1:58" ht="15" customHeight="1" outlineLevel="1" x14ac:dyDescent="0.35">
      <c r="A2319" s="1664"/>
      <c r="B2319" s="2812"/>
      <c r="C2319" s="3077"/>
      <c r="D2319" s="3980"/>
      <c r="E2319" s="3883"/>
      <c r="F2319" s="3984" t="str">
        <f>$E$1906</f>
        <v>ASHP-SEER18_ROF_MF_CompE</v>
      </c>
      <c r="G2319" s="3984"/>
      <c r="H2319" s="3984"/>
      <c r="I2319" s="3984"/>
      <c r="J2319" s="3501" t="str">
        <f>$C$1906</f>
        <v>355001_2021_12_</v>
      </c>
      <c r="K2319" s="3421">
        <v>510</v>
      </c>
      <c r="L2319" s="704"/>
      <c r="M2319" s="3038" t="s">
        <v>1508</v>
      </c>
      <c r="N2319" s="106"/>
      <c r="O2319" s="106"/>
      <c r="P2319" s="702"/>
      <c r="Q2319" s="574"/>
      <c r="R2319" s="702"/>
      <c r="S2319" s="106"/>
      <c r="T2319" s="486"/>
      <c r="U2319" s="106"/>
      <c r="V2319" s="3980"/>
      <c r="W2319" s="3421"/>
      <c r="X2319" s="2374"/>
      <c r="Y2319" s="2374">
        <v>510</v>
      </c>
      <c r="Z2319" s="3421">
        <v>510</v>
      </c>
      <c r="AA2319" s="3421">
        <v>510</v>
      </c>
      <c r="AB2319" s="3421">
        <v>510</v>
      </c>
      <c r="AC2319" s="3428">
        <v>510</v>
      </c>
      <c r="AD2319" s="3421">
        <v>510</v>
      </c>
      <c r="AE2319" s="3429"/>
      <c r="AF2319" s="3421"/>
      <c r="AG2319" s="3421"/>
      <c r="AH2319" s="156"/>
      <c r="AI2319" s="156"/>
      <c r="AJ2319" s="156"/>
      <c r="AK2319" s="156"/>
      <c r="AL2319" s="156"/>
      <c r="AM2319" s="156"/>
      <c r="AN2319" s="156"/>
      <c r="AO2319" s="156"/>
      <c r="AP2319" s="156"/>
      <c r="AQ2319" s="156"/>
      <c r="AR2319" s="156"/>
      <c r="AS2319" s="156"/>
      <c r="AT2319" s="156"/>
      <c r="AU2319" s="156"/>
      <c r="AV2319" s="156"/>
      <c r="AW2319" s="156"/>
      <c r="AX2319" s="156"/>
      <c r="AY2319" s="156"/>
      <c r="AZ2319" s="156"/>
      <c r="BA2319" s="156"/>
      <c r="BB2319" s="2828"/>
      <c r="BC2319" s="452"/>
      <c r="BD2319" s="2829"/>
      <c r="BE2319" s="2837"/>
      <c r="BF2319" s="156"/>
    </row>
    <row r="2320" spans="1:58" ht="15" customHeight="1" outlineLevel="1" x14ac:dyDescent="0.35">
      <c r="A2320" s="1664"/>
      <c r="B2320" s="2812"/>
      <c r="C2320" s="3077"/>
      <c r="D2320" s="3980"/>
      <c r="E2320" s="3883"/>
      <c r="F2320" s="3984" t="str">
        <f>$E$1908</f>
        <v>ASHP-SEER19_ROF_MF</v>
      </c>
      <c r="G2320" s="3984"/>
      <c r="H2320" s="3984"/>
      <c r="I2320" s="3984"/>
      <c r="J2320" s="3501" t="str">
        <f>$C$1908</f>
        <v>355050_2019_12_</v>
      </c>
      <c r="K2320" s="3421">
        <v>1496</v>
      </c>
      <c r="L2320" s="704"/>
      <c r="M2320" s="3038"/>
      <c r="N2320" s="106"/>
      <c r="O2320" s="106"/>
      <c r="P2320" s="702"/>
      <c r="Q2320" s="574"/>
      <c r="R2320" s="702"/>
      <c r="S2320" s="106"/>
      <c r="T2320" s="486"/>
      <c r="U2320" s="106"/>
      <c r="V2320" s="3980"/>
      <c r="W2320" s="3421">
        <v>2009</v>
      </c>
      <c r="X2320" s="2374">
        <v>1496</v>
      </c>
      <c r="Y2320" s="3421">
        <v>1496</v>
      </c>
      <c r="Z2320" s="3421">
        <v>1496</v>
      </c>
      <c r="AA2320" s="3421">
        <v>1496</v>
      </c>
      <c r="AB2320" s="3421">
        <v>1496</v>
      </c>
      <c r="AC2320" s="3428">
        <v>1496</v>
      </c>
      <c r="AD2320" s="3421">
        <v>1496</v>
      </c>
      <c r="AE2320" s="3429"/>
      <c r="AF2320" s="3421"/>
      <c r="AG2320" s="3421"/>
      <c r="AH2320" s="156"/>
      <c r="AI2320" s="156"/>
      <c r="AJ2320" s="156"/>
      <c r="AK2320" s="156"/>
      <c r="AL2320" s="156"/>
      <c r="AM2320" s="156"/>
      <c r="AN2320" s="156"/>
      <c r="AO2320" s="156"/>
      <c r="AP2320" s="156"/>
      <c r="AQ2320" s="156"/>
      <c r="AR2320" s="156"/>
      <c r="AS2320" s="156"/>
      <c r="AT2320" s="156"/>
      <c r="AU2320" s="156"/>
      <c r="AV2320" s="156"/>
      <c r="AW2320" s="156"/>
      <c r="AX2320" s="156"/>
      <c r="AY2320" s="156"/>
      <c r="AZ2320" s="156"/>
      <c r="BA2320" s="156"/>
      <c r="BB2320" s="2828"/>
      <c r="BC2320" s="452"/>
      <c r="BD2320" s="2829"/>
      <c r="BE2320" s="2837"/>
      <c r="BF2320" s="156"/>
    </row>
    <row r="2321" spans="1:58" ht="15" customHeight="1" outlineLevel="1" x14ac:dyDescent="0.35">
      <c r="A2321" s="1664"/>
      <c r="B2321" s="2812"/>
      <c r="C2321" s="3077"/>
      <c r="D2321" s="3980"/>
      <c r="E2321" s="3883"/>
      <c r="F2321" s="3984" t="str">
        <f>$E$1910</f>
        <v>ASHP-SEER19_ROF_MF_CompE</v>
      </c>
      <c r="G2321" s="3984"/>
      <c r="H2321" s="3984"/>
      <c r="I2321" s="3984"/>
      <c r="J2321" s="3501" t="str">
        <f>$C$1910</f>
        <v>355051_2019_12_</v>
      </c>
      <c r="K2321" s="3421">
        <v>510</v>
      </c>
      <c r="L2321" s="704"/>
      <c r="M2321" s="3038" t="s">
        <v>1508</v>
      </c>
      <c r="N2321" s="106"/>
      <c r="O2321" s="106"/>
      <c r="P2321" s="702"/>
      <c r="Q2321" s="574"/>
      <c r="R2321" s="702"/>
      <c r="S2321" s="106"/>
      <c r="T2321" s="486"/>
      <c r="U2321" s="106"/>
      <c r="V2321" s="3980"/>
      <c r="W2321" s="3421"/>
      <c r="X2321" s="2374"/>
      <c r="Y2321" s="2374">
        <v>510</v>
      </c>
      <c r="Z2321" s="3421">
        <v>510</v>
      </c>
      <c r="AA2321" s="3421">
        <v>510</v>
      </c>
      <c r="AB2321" s="3421">
        <v>510</v>
      </c>
      <c r="AC2321" s="3428">
        <v>510</v>
      </c>
      <c r="AD2321" s="3421">
        <v>510</v>
      </c>
      <c r="AE2321" s="3429"/>
      <c r="AF2321" s="3421"/>
      <c r="AG2321" s="3421"/>
      <c r="AH2321" s="156"/>
      <c r="AI2321" s="156"/>
      <c r="AJ2321" s="156"/>
      <c r="AK2321" s="156"/>
      <c r="AL2321" s="156"/>
      <c r="AM2321" s="156"/>
      <c r="AN2321" s="156"/>
      <c r="AO2321" s="156"/>
      <c r="AP2321" s="156"/>
      <c r="AQ2321" s="156"/>
      <c r="AR2321" s="156"/>
      <c r="AS2321" s="156"/>
      <c r="AT2321" s="156"/>
      <c r="AU2321" s="156"/>
      <c r="AV2321" s="156"/>
      <c r="AW2321" s="156"/>
      <c r="AX2321" s="156"/>
      <c r="AY2321" s="156"/>
      <c r="AZ2321" s="156"/>
      <c r="BA2321" s="156"/>
      <c r="BB2321" s="2828"/>
      <c r="BC2321" s="452"/>
      <c r="BD2321" s="2829"/>
      <c r="BE2321" s="2837"/>
      <c r="BF2321" s="156"/>
    </row>
    <row r="2322" spans="1:58" ht="15" customHeight="1" outlineLevel="1" x14ac:dyDescent="0.35">
      <c r="A2322" s="1071"/>
      <c r="B2322" s="2812"/>
      <c r="C2322" s="3077"/>
      <c r="D2322" s="3980"/>
      <c r="E2322" s="3883"/>
      <c r="F2322" s="3984" t="str">
        <f>$E$1912</f>
        <v>ASHP-SEER20_ROF_MF</v>
      </c>
      <c r="G2322" s="3984"/>
      <c r="H2322" s="3984"/>
      <c r="I2322" s="3984"/>
      <c r="J2322" s="3501" t="str">
        <f>$C$1912</f>
        <v>355100_2019_12_</v>
      </c>
      <c r="K2322" s="3421">
        <v>1496</v>
      </c>
      <c r="L2322" s="704"/>
      <c r="M2322" s="3038"/>
      <c r="N2322" s="106"/>
      <c r="O2322" s="106"/>
      <c r="P2322" s="106"/>
      <c r="Q2322" s="106"/>
      <c r="R2322" s="106"/>
      <c r="S2322" s="106"/>
      <c r="T2322" s="106"/>
      <c r="U2322" s="106"/>
      <c r="V2322" s="3980"/>
      <c r="W2322" s="3421">
        <v>2009</v>
      </c>
      <c r="X2322" s="2374">
        <v>1496</v>
      </c>
      <c r="Y2322" s="3421">
        <v>1496</v>
      </c>
      <c r="Z2322" s="3421">
        <v>1496</v>
      </c>
      <c r="AA2322" s="3421">
        <v>1496</v>
      </c>
      <c r="AB2322" s="3421">
        <v>1496</v>
      </c>
      <c r="AC2322" s="3428">
        <v>1496</v>
      </c>
      <c r="AD2322" s="3421">
        <v>1496</v>
      </c>
      <c r="AE2322" s="3429"/>
      <c r="AF2322" s="3421"/>
      <c r="AG2322" s="3421"/>
      <c r="AH2322" s="156"/>
      <c r="AI2322" s="156"/>
      <c r="AJ2322" s="156"/>
      <c r="AK2322" s="156"/>
      <c r="AL2322" s="156"/>
      <c r="AM2322" s="156"/>
      <c r="AN2322" s="156"/>
      <c r="AO2322" s="156"/>
      <c r="AP2322" s="156"/>
      <c r="AQ2322" s="156"/>
      <c r="AR2322" s="156"/>
      <c r="AS2322" s="156"/>
      <c r="AT2322" s="156"/>
      <c r="AU2322" s="156"/>
      <c r="AV2322" s="156"/>
      <c r="AW2322" s="156"/>
      <c r="AX2322" s="156"/>
      <c r="AY2322" s="156"/>
      <c r="AZ2322" s="156"/>
      <c r="BA2322" s="156"/>
      <c r="BB2322" s="2828"/>
      <c r="BC2322" s="452"/>
      <c r="BD2322" s="2829"/>
      <c r="BE2322" s="2837"/>
      <c r="BF2322" s="156"/>
    </row>
    <row r="2323" spans="1:58" ht="15" customHeight="1" outlineLevel="1" x14ac:dyDescent="0.35">
      <c r="A2323" s="1071"/>
      <c r="B2323" s="2812"/>
      <c r="C2323" s="3077"/>
      <c r="D2323" s="3980"/>
      <c r="E2323" s="3883"/>
      <c r="F2323" s="3984" t="str">
        <f>$E$1914</f>
        <v>ASHP-SEER20_ROF_MF_CompE</v>
      </c>
      <c r="G2323" s="3984"/>
      <c r="H2323" s="3984"/>
      <c r="I2323" s="3984"/>
      <c r="J2323" s="3501" t="str">
        <f>$C$1914</f>
        <v>355101_2019_12_</v>
      </c>
      <c r="K2323" s="3421">
        <v>510</v>
      </c>
      <c r="L2323" s="705"/>
      <c r="M2323" s="3038" t="s">
        <v>1508</v>
      </c>
      <c r="N2323" s="106"/>
      <c r="O2323" s="106"/>
      <c r="P2323" s="106"/>
      <c r="Q2323" s="106"/>
      <c r="R2323" s="106"/>
      <c r="S2323" s="106"/>
      <c r="T2323" s="106"/>
      <c r="U2323" s="106"/>
      <c r="V2323" s="3980"/>
      <c r="W2323" s="576"/>
      <c r="X2323" s="575"/>
      <c r="Y2323" s="2374">
        <v>510</v>
      </c>
      <c r="Z2323" s="3421">
        <v>510</v>
      </c>
      <c r="AA2323" s="3421">
        <v>510</v>
      </c>
      <c r="AB2323" s="3421">
        <v>510</v>
      </c>
      <c r="AC2323" s="3428">
        <v>510</v>
      </c>
      <c r="AD2323" s="3421">
        <v>510</v>
      </c>
      <c r="AE2323" s="2935"/>
      <c r="AF2323" s="576"/>
      <c r="AG2323" s="576"/>
      <c r="AH2323" s="156"/>
      <c r="AI2323" s="156"/>
      <c r="AJ2323" s="156"/>
      <c r="AK2323" s="156"/>
      <c r="AL2323" s="156"/>
      <c r="AM2323" s="156"/>
      <c r="AN2323" s="156"/>
      <c r="AO2323" s="156"/>
      <c r="AP2323" s="156"/>
      <c r="AQ2323" s="156"/>
      <c r="AR2323" s="156"/>
      <c r="AS2323" s="156"/>
      <c r="AT2323" s="156"/>
      <c r="AU2323" s="156"/>
      <c r="AV2323" s="156"/>
      <c r="AW2323" s="156"/>
      <c r="AX2323" s="156"/>
      <c r="AY2323" s="156"/>
      <c r="AZ2323" s="156"/>
      <c r="BA2323" s="156"/>
      <c r="BB2323" s="2828"/>
      <c r="BC2323" s="452"/>
      <c r="BD2323" s="2829"/>
      <c r="BE2323" s="2837"/>
      <c r="BF2323" s="156"/>
    </row>
    <row r="2324" spans="1:58" ht="15.75" customHeight="1" outlineLevel="1" x14ac:dyDescent="0.35">
      <c r="A2324" s="1071"/>
      <c r="B2324" s="2812"/>
      <c r="C2324" s="3077"/>
      <c r="D2324" s="3980"/>
      <c r="E2324" s="3883"/>
      <c r="F2324" s="3984" t="str">
        <f>$E$1916</f>
        <v>ASHP-SEER21_ROF_MF</v>
      </c>
      <c r="G2324" s="3984"/>
      <c r="H2324" s="3984"/>
      <c r="I2324" s="3984"/>
      <c r="J2324" s="3501" t="str">
        <f>$C$1916</f>
        <v>355150_2019_12_</v>
      </c>
      <c r="K2324" s="3421">
        <v>1496</v>
      </c>
      <c r="L2324" s="704"/>
      <c r="M2324" s="3038"/>
      <c r="N2324" s="106"/>
      <c r="O2324" s="106"/>
      <c r="P2324" s="106"/>
      <c r="Q2324" s="106"/>
      <c r="R2324" s="106"/>
      <c r="S2324" s="106"/>
      <c r="T2324" s="106"/>
      <c r="U2324" s="106"/>
      <c r="V2324" s="3980"/>
      <c r="W2324" s="3421">
        <v>2009</v>
      </c>
      <c r="X2324" s="2374">
        <v>1496</v>
      </c>
      <c r="Y2324" s="3421">
        <v>1496</v>
      </c>
      <c r="Z2324" s="3421">
        <v>1496</v>
      </c>
      <c r="AA2324" s="3421">
        <v>1496</v>
      </c>
      <c r="AB2324" s="3421">
        <v>1496</v>
      </c>
      <c r="AC2324" s="3428">
        <v>1496</v>
      </c>
      <c r="AD2324" s="3421">
        <v>1496</v>
      </c>
      <c r="AE2324" s="3429"/>
      <c r="AF2324" s="3421"/>
      <c r="AG2324" s="3421"/>
      <c r="AH2324" s="156"/>
      <c r="AI2324" s="156"/>
      <c r="AJ2324" s="156"/>
      <c r="AK2324" s="156"/>
      <c r="AL2324" s="156"/>
      <c r="AM2324" s="156"/>
      <c r="AN2324" s="156"/>
      <c r="AO2324" s="156"/>
      <c r="AP2324" s="156"/>
      <c r="AQ2324" s="156"/>
      <c r="AR2324" s="156"/>
      <c r="AS2324" s="156"/>
      <c r="AT2324" s="156"/>
      <c r="AU2324" s="156"/>
      <c r="AV2324" s="156"/>
      <c r="AW2324" s="156"/>
      <c r="AX2324" s="156"/>
      <c r="AY2324" s="156"/>
      <c r="AZ2324" s="156"/>
      <c r="BA2324" s="156"/>
      <c r="BB2324" s="2828"/>
      <c r="BC2324" s="452"/>
      <c r="BD2324" s="2829"/>
      <c r="BE2324" s="2837"/>
      <c r="BF2324" s="156"/>
    </row>
    <row r="2325" spans="1:58" ht="15" customHeight="1" outlineLevel="1" thickBot="1" x14ac:dyDescent="0.4">
      <c r="A2325" s="1071"/>
      <c r="B2325" s="2812"/>
      <c r="C2325" s="3077"/>
      <c r="D2325" s="3981"/>
      <c r="E2325" s="3983"/>
      <c r="F2325" s="4106" t="str">
        <f>$E$1918</f>
        <v>ASHP-SEER21_ROF_MF_CompE</v>
      </c>
      <c r="G2325" s="4106"/>
      <c r="H2325" s="4106"/>
      <c r="I2325" s="4106"/>
      <c r="J2325" s="3503" t="str">
        <f>$C$1918</f>
        <v>355151_2019_12_</v>
      </c>
      <c r="K2325" s="708">
        <v>510</v>
      </c>
      <c r="L2325" s="707"/>
      <c r="M2325" s="3039" t="s">
        <v>1508</v>
      </c>
      <c r="N2325" s="106"/>
      <c r="O2325" s="106"/>
      <c r="P2325" s="106"/>
      <c r="Q2325" s="106"/>
      <c r="R2325" s="106"/>
      <c r="S2325" s="106"/>
      <c r="T2325" s="106"/>
      <c r="U2325" s="106"/>
      <c r="V2325" s="3981"/>
      <c r="W2325" s="578"/>
      <c r="X2325" s="577"/>
      <c r="Y2325" s="706">
        <v>510</v>
      </c>
      <c r="Z2325" s="708">
        <v>510</v>
      </c>
      <c r="AA2325" s="708">
        <v>510</v>
      </c>
      <c r="AB2325" s="708">
        <v>510</v>
      </c>
      <c r="AC2325" s="2918">
        <v>510</v>
      </c>
      <c r="AD2325" s="3422">
        <v>510</v>
      </c>
      <c r="AE2325" s="2936"/>
      <c r="AF2325" s="578"/>
      <c r="AG2325" s="578"/>
      <c r="AH2325" s="156"/>
      <c r="AI2325" s="156"/>
      <c r="AJ2325" s="156"/>
      <c r="AK2325" s="156"/>
      <c r="AL2325" s="156"/>
      <c r="AM2325" s="156"/>
      <c r="AN2325" s="156"/>
      <c r="AO2325" s="156"/>
      <c r="AP2325" s="156"/>
      <c r="AQ2325" s="156"/>
      <c r="AR2325" s="156"/>
      <c r="AS2325" s="156"/>
      <c r="AT2325" s="156"/>
      <c r="AU2325" s="156"/>
      <c r="AV2325" s="156"/>
      <c r="AW2325" s="156"/>
      <c r="AX2325" s="156"/>
      <c r="AY2325" s="156"/>
      <c r="AZ2325" s="156"/>
      <c r="BA2325" s="156"/>
      <c r="BB2325" s="2828"/>
      <c r="BC2325" s="452"/>
      <c r="BD2325" s="2829"/>
      <c r="BE2325" s="2837"/>
      <c r="BF2325" s="156"/>
    </row>
    <row r="2326" spans="1:58" ht="15" customHeight="1" outlineLevel="1" x14ac:dyDescent="0.35">
      <c r="A2326" s="1664"/>
      <c r="B2326" s="2812"/>
      <c r="C2326" s="3077"/>
      <c r="D2326" s="3979" t="s">
        <v>1111</v>
      </c>
      <c r="E2326" s="3982" t="s">
        <v>1112</v>
      </c>
      <c r="F2326" s="4133" t="str">
        <f>$E$1534</f>
        <v>ASHP-SEER15-Replace_CAC_ElectricHeat_ER1_SF</v>
      </c>
      <c r="G2326" s="4134"/>
      <c r="H2326" s="4134"/>
      <c r="I2326" s="4135"/>
      <c r="J2326" s="3500" t="str">
        <f>$C$1534</f>
        <v>352300_2021_12_</v>
      </c>
      <c r="K2326" s="3424">
        <v>3.41</v>
      </c>
      <c r="L2326" s="620"/>
      <c r="M2326" s="3019" t="s">
        <v>810</v>
      </c>
      <c r="N2326" s="106"/>
      <c r="O2326" s="106"/>
      <c r="P2326" s="702"/>
      <c r="Q2326" s="702"/>
      <c r="R2326" s="702"/>
      <c r="S2326" s="106"/>
      <c r="T2326" s="486"/>
      <c r="U2326" s="106"/>
      <c r="V2326" s="3979" t="s">
        <v>1111</v>
      </c>
      <c r="W2326" s="3424">
        <v>3.41</v>
      </c>
      <c r="X2326" s="3424">
        <v>3.41</v>
      </c>
      <c r="Y2326" s="3424">
        <v>3.41</v>
      </c>
      <c r="Z2326" s="3424">
        <v>3.41</v>
      </c>
      <c r="AA2326" s="3424">
        <v>3.41</v>
      </c>
      <c r="AB2326" s="3424">
        <v>3.41</v>
      </c>
      <c r="AC2326" s="3430">
        <v>3.41</v>
      </c>
      <c r="AD2326" s="3425">
        <v>3.41</v>
      </c>
      <c r="AE2326" s="3431"/>
      <c r="AF2326" s="3424"/>
      <c r="AG2326" s="3424"/>
      <c r="AH2326" s="156"/>
      <c r="AI2326" s="156"/>
      <c r="AJ2326" s="156"/>
      <c r="AK2326" s="156"/>
      <c r="AL2326" s="156"/>
      <c r="AM2326" s="156"/>
      <c r="AN2326" s="156"/>
      <c r="AO2326" s="156"/>
      <c r="AP2326" s="156"/>
      <c r="AQ2326" s="156"/>
      <c r="AR2326" s="156"/>
      <c r="AS2326" s="156"/>
      <c r="AT2326" s="156"/>
      <c r="AU2326" s="156"/>
      <c r="AV2326" s="156"/>
      <c r="AW2326" s="156"/>
      <c r="AX2326" s="156"/>
      <c r="AY2326" s="156"/>
      <c r="AZ2326" s="156"/>
      <c r="BA2326" s="156"/>
      <c r="BB2326" s="2828"/>
      <c r="BC2326" s="452"/>
      <c r="BD2326" s="2829"/>
      <c r="BE2326" s="2837"/>
      <c r="BF2326" s="156"/>
    </row>
    <row r="2327" spans="1:58" ht="15" customHeight="1" outlineLevel="1" x14ac:dyDescent="0.35">
      <c r="A2327" s="1664"/>
      <c r="B2327" s="2812"/>
      <c r="C2327" s="3077"/>
      <c r="D2327" s="3980"/>
      <c r="E2327" s="3883"/>
      <c r="F2327" s="3984" t="str">
        <f>$E$1536</f>
        <v>ASHP-SEER15-Replace_CAC_ElectricHeat_ER2_SF</v>
      </c>
      <c r="G2327" s="3984"/>
      <c r="H2327" s="3984"/>
      <c r="I2327" s="3984"/>
      <c r="J2327" s="3501" t="str">
        <f>$C$1536</f>
        <v>352300_2021_12_</v>
      </c>
      <c r="K2327" s="3421">
        <v>3.41</v>
      </c>
      <c r="L2327" s="703"/>
      <c r="M2327" s="3020" t="s">
        <v>810</v>
      </c>
      <c r="N2327" s="106"/>
      <c r="O2327" s="106"/>
      <c r="P2327" s="702"/>
      <c r="Q2327" s="702"/>
      <c r="R2327" s="702"/>
      <c r="S2327" s="106"/>
      <c r="T2327" s="486"/>
      <c r="U2327" s="106"/>
      <c r="V2327" s="3980"/>
      <c r="W2327" s="3421">
        <v>3.41</v>
      </c>
      <c r="X2327" s="3421">
        <v>3.41</v>
      </c>
      <c r="Y2327" s="3421">
        <v>3.41</v>
      </c>
      <c r="Z2327" s="3421">
        <v>3.41</v>
      </c>
      <c r="AA2327" s="3421">
        <v>3.41</v>
      </c>
      <c r="AB2327" s="3421">
        <v>3.41</v>
      </c>
      <c r="AC2327" s="3428">
        <v>3.41</v>
      </c>
      <c r="AD2327" s="3421">
        <v>3.41</v>
      </c>
      <c r="AE2327" s="3429"/>
      <c r="AF2327" s="3421"/>
      <c r="AG2327" s="3421"/>
      <c r="AH2327" s="156"/>
      <c r="AI2327" s="156"/>
      <c r="AJ2327" s="156"/>
      <c r="AK2327" s="156"/>
      <c r="AL2327" s="156"/>
      <c r="AM2327" s="156"/>
      <c r="AN2327" s="156"/>
      <c r="AO2327" s="156"/>
      <c r="AP2327" s="156"/>
      <c r="AQ2327" s="156"/>
      <c r="AR2327" s="156"/>
      <c r="AS2327" s="156"/>
      <c r="AT2327" s="156"/>
      <c r="AU2327" s="156"/>
      <c r="AV2327" s="156"/>
      <c r="AW2327" s="156"/>
      <c r="AX2327" s="156"/>
      <c r="AY2327" s="156"/>
      <c r="AZ2327" s="156"/>
      <c r="BA2327" s="156"/>
      <c r="BB2327" s="2828"/>
      <c r="BC2327" s="452"/>
      <c r="BD2327" s="2829"/>
      <c r="BE2327" s="2837"/>
      <c r="BF2327" s="156"/>
    </row>
    <row r="2328" spans="1:58" ht="15" customHeight="1" outlineLevel="1" x14ac:dyDescent="0.35">
      <c r="A2328" s="1664"/>
      <c r="B2328" s="2812"/>
      <c r="C2328" s="3077"/>
      <c r="D2328" s="3980"/>
      <c r="E2328" s="3883"/>
      <c r="F2328" s="3984" t="str">
        <f>$E$1538</f>
        <v>ASHP-SEER15-Replace_CAC_NonElectricHeat_ER1_SF</v>
      </c>
      <c r="G2328" s="3984"/>
      <c r="H2328" s="3984"/>
      <c r="I2328" s="3984"/>
      <c r="J2328" s="3501" t="str">
        <f>$C$1538</f>
        <v>352310_2021_12_</v>
      </c>
      <c r="K2328" s="2042">
        <v>0</v>
      </c>
      <c r="L2328" s="703"/>
      <c r="M2328" s="3020" t="s">
        <v>1509</v>
      </c>
      <c r="N2328" s="106"/>
      <c r="O2328" s="106"/>
      <c r="P2328" s="702"/>
      <c r="Q2328" s="702"/>
      <c r="R2328" s="702"/>
      <c r="S2328" s="106"/>
      <c r="T2328" s="486"/>
      <c r="U2328" s="106"/>
      <c r="V2328" s="3980"/>
      <c r="W2328" s="3421"/>
      <c r="X2328" s="3421"/>
      <c r="Y2328" s="3421"/>
      <c r="Z2328" s="3421"/>
      <c r="AA2328" s="3421"/>
      <c r="AB2328" s="3421"/>
      <c r="AC2328" s="2292">
        <v>0</v>
      </c>
      <c r="AD2328" s="2042">
        <v>0</v>
      </c>
      <c r="AE2328" s="3429"/>
      <c r="AF2328" s="3421"/>
      <c r="AG2328" s="3421"/>
      <c r="AH2328" s="156"/>
      <c r="AI2328" s="156"/>
      <c r="AJ2328" s="156"/>
      <c r="AK2328" s="156"/>
      <c r="AL2328" s="156"/>
      <c r="AM2328" s="156"/>
      <c r="AN2328" s="156"/>
      <c r="AO2328" s="156"/>
      <c r="AP2328" s="156"/>
      <c r="AQ2328" s="156"/>
      <c r="AR2328" s="156"/>
      <c r="AS2328" s="156"/>
      <c r="AT2328" s="156"/>
      <c r="AU2328" s="156"/>
      <c r="AV2328" s="156"/>
      <c r="AW2328" s="156"/>
      <c r="AX2328" s="156"/>
      <c r="AY2328" s="156"/>
      <c r="AZ2328" s="156"/>
      <c r="BA2328" s="156"/>
      <c r="BB2328" s="2828"/>
      <c r="BC2328" s="452"/>
      <c r="BD2328" s="2829"/>
      <c r="BE2328" s="2837"/>
      <c r="BF2328" s="156"/>
    </row>
    <row r="2329" spans="1:58" ht="15" customHeight="1" outlineLevel="1" x14ac:dyDescent="0.35">
      <c r="A2329" s="1664"/>
      <c r="B2329" s="2812"/>
      <c r="C2329" s="3077"/>
      <c r="D2329" s="3980"/>
      <c r="E2329" s="3883"/>
      <c r="F2329" s="3984" t="str">
        <f>$E$1540</f>
        <v>ASHP-SEER15-Replace_CAC_NonElectricHeat_ER2_SF</v>
      </c>
      <c r="G2329" s="3984"/>
      <c r="H2329" s="3984"/>
      <c r="I2329" s="3984"/>
      <c r="J2329" s="3501" t="str">
        <f>$C$1540</f>
        <v>352310_2021_12_</v>
      </c>
      <c r="K2329" s="2042">
        <v>0</v>
      </c>
      <c r="L2329" s="703"/>
      <c r="M2329" s="3020" t="s">
        <v>1509</v>
      </c>
      <c r="N2329" s="106"/>
      <c r="O2329" s="106"/>
      <c r="P2329" s="702"/>
      <c r="Q2329" s="702"/>
      <c r="R2329" s="702"/>
      <c r="S2329" s="106"/>
      <c r="T2329" s="486"/>
      <c r="U2329" s="106"/>
      <c r="V2329" s="3980"/>
      <c r="W2329" s="3421"/>
      <c r="X2329" s="3421"/>
      <c r="Y2329" s="3421"/>
      <c r="Z2329" s="3421"/>
      <c r="AA2329" s="3421"/>
      <c r="AB2329" s="3421"/>
      <c r="AC2329" s="2292">
        <v>0</v>
      </c>
      <c r="AD2329" s="2042">
        <v>0</v>
      </c>
      <c r="AE2329" s="3429"/>
      <c r="AF2329" s="3421"/>
      <c r="AG2329" s="3421"/>
      <c r="AH2329" s="156"/>
      <c r="AI2329" s="156"/>
      <c r="AJ2329" s="156"/>
      <c r="AK2329" s="156"/>
      <c r="AL2329" s="156"/>
      <c r="AM2329" s="156"/>
      <c r="AN2329" s="156"/>
      <c r="AO2329" s="156"/>
      <c r="AP2329" s="156"/>
      <c r="AQ2329" s="156"/>
      <c r="AR2329" s="156"/>
      <c r="AS2329" s="156"/>
      <c r="AT2329" s="156"/>
      <c r="AU2329" s="156"/>
      <c r="AV2329" s="156"/>
      <c r="AW2329" s="156"/>
      <c r="AX2329" s="156"/>
      <c r="AY2329" s="156"/>
      <c r="AZ2329" s="156"/>
      <c r="BA2329" s="156"/>
      <c r="BB2329" s="2828"/>
      <c r="BC2329" s="452"/>
      <c r="BD2329" s="2829"/>
      <c r="BE2329" s="2837"/>
      <c r="BF2329" s="156"/>
    </row>
    <row r="2330" spans="1:58" ht="15" customHeight="1" outlineLevel="1" x14ac:dyDescent="0.35">
      <c r="A2330" s="1664"/>
      <c r="B2330" s="2812"/>
      <c r="C2330" s="3077"/>
      <c r="D2330" s="3980"/>
      <c r="E2330" s="3883"/>
      <c r="F2330" s="3984" t="str">
        <f>$E$1542</f>
        <v>ASHP-SEER15_ER1_SF</v>
      </c>
      <c r="G2330" s="3984"/>
      <c r="H2330" s="3984"/>
      <c r="I2330" s="3984"/>
      <c r="J2330" s="3501" t="str">
        <f>$C$1542</f>
        <v>352350_2021_12_</v>
      </c>
      <c r="K2330" s="3421">
        <v>6.58</v>
      </c>
      <c r="L2330" s="703"/>
      <c r="M2330" s="3020" t="s">
        <v>810</v>
      </c>
      <c r="N2330" s="106"/>
      <c r="O2330" s="106"/>
      <c r="P2330" s="702"/>
      <c r="Q2330" s="702"/>
      <c r="R2330" s="702"/>
      <c r="S2330" s="106"/>
      <c r="T2330" s="486"/>
      <c r="U2330" s="106"/>
      <c r="V2330" s="3980"/>
      <c r="W2330" s="3421">
        <v>5.44</v>
      </c>
      <c r="X2330" s="2374">
        <v>6.58</v>
      </c>
      <c r="Y2330" s="3421">
        <v>6.58</v>
      </c>
      <c r="Z2330" s="3421">
        <v>6.58</v>
      </c>
      <c r="AA2330" s="3421">
        <v>6.58</v>
      </c>
      <c r="AB2330" s="3421">
        <v>6.58</v>
      </c>
      <c r="AC2330" s="3428">
        <v>6.58</v>
      </c>
      <c r="AD2330" s="3421">
        <v>6.58</v>
      </c>
      <c r="AE2330" s="3429"/>
      <c r="AF2330" s="3421"/>
      <c r="AG2330" s="3421"/>
      <c r="AH2330" s="156"/>
      <c r="AI2330" s="156"/>
      <c r="AJ2330" s="156"/>
      <c r="AK2330" s="156"/>
      <c r="AL2330" s="156"/>
      <c r="AM2330" s="156"/>
      <c r="AN2330" s="156"/>
      <c r="AO2330" s="156"/>
      <c r="AP2330" s="156"/>
      <c r="AQ2330" s="156"/>
      <c r="AR2330" s="156"/>
      <c r="AS2330" s="156"/>
      <c r="AT2330" s="156"/>
      <c r="AU2330" s="156"/>
      <c r="AV2330" s="156"/>
      <c r="AW2330" s="156"/>
      <c r="AX2330" s="156"/>
      <c r="AY2330" s="156"/>
      <c r="AZ2330" s="156"/>
      <c r="BA2330" s="156"/>
      <c r="BB2330" s="2828"/>
      <c r="BC2330" s="452"/>
      <c r="BD2330" s="2829"/>
      <c r="BE2330" s="2837"/>
      <c r="BF2330" s="156"/>
    </row>
    <row r="2331" spans="1:58" ht="15" customHeight="1" outlineLevel="1" x14ac:dyDescent="0.35">
      <c r="A2331" s="1664"/>
      <c r="B2331" s="2812"/>
      <c r="C2331" s="3077"/>
      <c r="D2331" s="3980"/>
      <c r="E2331" s="3883"/>
      <c r="F2331" s="3984" t="str">
        <f>$E$1544</f>
        <v>ASHP-SEER15_ER2_SF</v>
      </c>
      <c r="G2331" s="3984"/>
      <c r="H2331" s="3984"/>
      <c r="I2331" s="3984"/>
      <c r="J2331" s="3501" t="str">
        <f>$C$1544</f>
        <v>352350_2021_12_</v>
      </c>
      <c r="K2331" s="3421">
        <v>8.1999999999999993</v>
      </c>
      <c r="L2331" s="703"/>
      <c r="M2331" s="3020" t="s">
        <v>810</v>
      </c>
      <c r="N2331" s="106"/>
      <c r="O2331" s="106"/>
      <c r="P2331" s="702"/>
      <c r="Q2331" s="702"/>
      <c r="R2331" s="702"/>
      <c r="S2331" s="106"/>
      <c r="T2331" s="486"/>
      <c r="U2331" s="106"/>
      <c r="V2331" s="3980"/>
      <c r="W2331" s="3421">
        <v>8.1999999999999993</v>
      </c>
      <c r="X2331" s="3421">
        <v>8.1999999999999993</v>
      </c>
      <c r="Y2331" s="3421">
        <v>8.1999999999999993</v>
      </c>
      <c r="Z2331" s="3421">
        <v>8.1999999999999993</v>
      </c>
      <c r="AA2331" s="3421">
        <v>8.1999999999999993</v>
      </c>
      <c r="AB2331" s="3421">
        <v>8.1999999999999993</v>
      </c>
      <c r="AC2331" s="3428">
        <v>8.1999999999999993</v>
      </c>
      <c r="AD2331" s="3421">
        <v>8.1999999999999993</v>
      </c>
      <c r="AE2331" s="3429"/>
      <c r="AF2331" s="3421"/>
      <c r="AG2331" s="3421"/>
      <c r="AH2331" s="156"/>
      <c r="AI2331" s="156"/>
      <c r="AJ2331" s="156"/>
      <c r="AK2331" s="156"/>
      <c r="AL2331" s="156"/>
      <c r="AM2331" s="156"/>
      <c r="AN2331" s="156"/>
      <c r="AO2331" s="156"/>
      <c r="AP2331" s="156"/>
      <c r="AQ2331" s="156"/>
      <c r="AR2331" s="156"/>
      <c r="AS2331" s="156"/>
      <c r="AT2331" s="156"/>
      <c r="AU2331" s="156"/>
      <c r="AV2331" s="156"/>
      <c r="AW2331" s="156"/>
      <c r="AX2331" s="156"/>
      <c r="AY2331" s="156"/>
      <c r="AZ2331" s="156"/>
      <c r="BA2331" s="156"/>
      <c r="BB2331" s="2828"/>
      <c r="BC2331" s="452"/>
      <c r="BD2331" s="2829"/>
      <c r="BE2331" s="2837"/>
      <c r="BF2331" s="156"/>
    </row>
    <row r="2332" spans="1:58" ht="15" customHeight="1" outlineLevel="1" x14ac:dyDescent="0.35">
      <c r="A2332" s="1664"/>
      <c r="B2332" s="2812"/>
      <c r="C2332" s="3077"/>
      <c r="D2332" s="3980"/>
      <c r="E2332" s="3883"/>
      <c r="F2332" s="3984" t="str">
        <f>$E$1546</f>
        <v>ASHP-SEER15-Replace_CAC_ElectricHeat_ROF_SF</v>
      </c>
      <c r="G2332" s="3984"/>
      <c r="H2332" s="3984"/>
      <c r="I2332" s="3984"/>
      <c r="J2332" s="3501" t="str">
        <f>$C$1546</f>
        <v>352400_2021_12_</v>
      </c>
      <c r="K2332" s="3421">
        <v>3.41</v>
      </c>
      <c r="L2332" s="703"/>
      <c r="M2332" s="3020" t="s">
        <v>810</v>
      </c>
      <c r="N2332" s="106"/>
      <c r="O2332" s="106"/>
      <c r="P2332" s="702"/>
      <c r="Q2332" s="702"/>
      <c r="R2332" s="702"/>
      <c r="S2332" s="106"/>
      <c r="T2332" s="486"/>
      <c r="U2332" s="106"/>
      <c r="V2332" s="3980"/>
      <c r="W2332" s="3421">
        <v>3.41</v>
      </c>
      <c r="X2332" s="3421">
        <v>3.41</v>
      </c>
      <c r="Y2332" s="3421">
        <v>3.41</v>
      </c>
      <c r="Z2332" s="3421">
        <v>3.41</v>
      </c>
      <c r="AA2332" s="3421">
        <v>3.41</v>
      </c>
      <c r="AB2332" s="3421">
        <v>3.41</v>
      </c>
      <c r="AC2332" s="3428">
        <v>3.41</v>
      </c>
      <c r="AD2332" s="3421">
        <v>3.41</v>
      </c>
      <c r="AE2332" s="3429"/>
      <c r="AF2332" s="3421"/>
      <c r="AG2332" s="3421"/>
      <c r="AH2332" s="156"/>
      <c r="AI2332" s="156"/>
      <c r="AJ2332" s="156"/>
      <c r="AK2332" s="156"/>
      <c r="AL2332" s="156"/>
      <c r="AM2332" s="156"/>
      <c r="AN2332" s="156"/>
      <c r="AO2332" s="156"/>
      <c r="AP2332" s="156"/>
      <c r="AQ2332" s="156"/>
      <c r="AR2332" s="156"/>
      <c r="AS2332" s="156"/>
      <c r="AT2332" s="156"/>
      <c r="AU2332" s="156"/>
      <c r="AV2332" s="156"/>
      <c r="AW2332" s="156"/>
      <c r="AX2332" s="156"/>
      <c r="AY2332" s="156"/>
      <c r="AZ2332" s="156"/>
      <c r="BA2332" s="156"/>
      <c r="BB2332" s="2828"/>
      <c r="BC2332" s="452"/>
      <c r="BD2332" s="2829"/>
      <c r="BE2332" s="2837"/>
      <c r="BF2332" s="156"/>
    </row>
    <row r="2333" spans="1:58" ht="15" customHeight="1" outlineLevel="1" x14ac:dyDescent="0.35">
      <c r="A2333" s="1664"/>
      <c r="B2333" s="2812"/>
      <c r="C2333" s="3077"/>
      <c r="D2333" s="3980"/>
      <c r="E2333" s="3883"/>
      <c r="F2333" s="3984" t="str">
        <f>$E$1548</f>
        <v>ASHP-SEER15-Replace_CAC_NonElectricHeat_ROF_SF</v>
      </c>
      <c r="G2333" s="3984"/>
      <c r="H2333" s="3984"/>
      <c r="I2333" s="3984"/>
      <c r="J2333" s="3501" t="str">
        <f>$C$1548</f>
        <v>352410_2021_12_</v>
      </c>
      <c r="K2333" s="2042">
        <v>0</v>
      </c>
      <c r="L2333" s="703"/>
      <c r="M2333" s="3020" t="s">
        <v>1509</v>
      </c>
      <c r="N2333" s="106"/>
      <c r="O2333" s="106"/>
      <c r="P2333" s="702"/>
      <c r="Q2333" s="702"/>
      <c r="R2333" s="702"/>
      <c r="S2333" s="106"/>
      <c r="T2333" s="486"/>
      <c r="U2333" s="106"/>
      <c r="V2333" s="3980"/>
      <c r="W2333" s="3421"/>
      <c r="X2333" s="3421"/>
      <c r="Y2333" s="3421"/>
      <c r="Z2333" s="3421"/>
      <c r="AA2333" s="3421"/>
      <c r="AB2333" s="3421"/>
      <c r="AC2333" s="2292">
        <v>0</v>
      </c>
      <c r="AD2333" s="2042">
        <v>0</v>
      </c>
      <c r="AE2333" s="3429"/>
      <c r="AF2333" s="3421"/>
      <c r="AG2333" s="3421"/>
      <c r="AH2333" s="156"/>
      <c r="AI2333" s="156"/>
      <c r="AJ2333" s="156"/>
      <c r="AK2333" s="156"/>
      <c r="AL2333" s="156"/>
      <c r="AM2333" s="156"/>
      <c r="AN2333" s="156"/>
      <c r="AO2333" s="156"/>
      <c r="AP2333" s="156"/>
      <c r="AQ2333" s="156"/>
      <c r="AR2333" s="156"/>
      <c r="AS2333" s="156"/>
      <c r="AT2333" s="156"/>
      <c r="AU2333" s="156"/>
      <c r="AV2333" s="156"/>
      <c r="AW2333" s="156"/>
      <c r="AX2333" s="156"/>
      <c r="AY2333" s="156"/>
      <c r="AZ2333" s="156"/>
      <c r="BA2333" s="156"/>
      <c r="BB2333" s="2828"/>
      <c r="BC2333" s="452"/>
      <c r="BD2333" s="2829"/>
      <c r="BE2333" s="2837"/>
      <c r="BF2333" s="156"/>
    </row>
    <row r="2334" spans="1:58" ht="15" customHeight="1" outlineLevel="1" x14ac:dyDescent="0.35">
      <c r="A2334" s="1664"/>
      <c r="B2334" s="2812"/>
      <c r="C2334" s="3077"/>
      <c r="D2334" s="3980"/>
      <c r="E2334" s="3883"/>
      <c r="F2334" s="3984" t="str">
        <f>$E$1550</f>
        <v>ASHP-SEER15_ROF_SF</v>
      </c>
      <c r="G2334" s="3984"/>
      <c r="H2334" s="3984"/>
      <c r="I2334" s="3984"/>
      <c r="J2334" s="3501" t="str">
        <f>$C$1550</f>
        <v>352450_2021_12_</v>
      </c>
      <c r="K2334" s="3421">
        <v>8.1999999999999993</v>
      </c>
      <c r="L2334" s="703"/>
      <c r="M2334" s="3020" t="s">
        <v>810</v>
      </c>
      <c r="N2334" s="106"/>
      <c r="O2334" s="106"/>
      <c r="P2334" s="702"/>
      <c r="Q2334" s="702"/>
      <c r="R2334" s="702"/>
      <c r="S2334" s="106"/>
      <c r="T2334" s="486"/>
      <c r="U2334" s="106"/>
      <c r="V2334" s="3980"/>
      <c r="W2334" s="3421">
        <v>8.1999999999999993</v>
      </c>
      <c r="X2334" s="3421">
        <v>8.1999999999999993</v>
      </c>
      <c r="Y2334" s="3421">
        <v>8.1999999999999993</v>
      </c>
      <c r="Z2334" s="3421">
        <v>8.1999999999999993</v>
      </c>
      <c r="AA2334" s="3421">
        <v>8.1999999999999993</v>
      </c>
      <c r="AB2334" s="3421">
        <v>8.1999999999999993</v>
      </c>
      <c r="AC2334" s="3428">
        <v>8.1999999999999993</v>
      </c>
      <c r="AD2334" s="3421">
        <v>8.1999999999999993</v>
      </c>
      <c r="AE2334" s="3429"/>
      <c r="AF2334" s="3421"/>
      <c r="AG2334" s="3421"/>
      <c r="AH2334" s="156"/>
      <c r="AI2334" s="156"/>
      <c r="AJ2334" s="156"/>
      <c r="AK2334" s="156"/>
      <c r="AL2334" s="156"/>
      <c r="AM2334" s="156"/>
      <c r="AN2334" s="156"/>
      <c r="AO2334" s="156"/>
      <c r="AP2334" s="156"/>
      <c r="AQ2334" s="156"/>
      <c r="AR2334" s="156"/>
      <c r="AS2334" s="156"/>
      <c r="AT2334" s="156"/>
      <c r="AU2334" s="156"/>
      <c r="AV2334" s="156"/>
      <c r="AW2334" s="156"/>
      <c r="AX2334" s="156"/>
      <c r="AY2334" s="156"/>
      <c r="AZ2334" s="156"/>
      <c r="BA2334" s="156"/>
      <c r="BB2334" s="2828"/>
      <c r="BC2334" s="452"/>
      <c r="BD2334" s="2829"/>
      <c r="BE2334" s="2837"/>
      <c r="BF2334" s="156"/>
    </row>
    <row r="2335" spans="1:58" ht="15" customHeight="1" outlineLevel="1" x14ac:dyDescent="0.35">
      <c r="A2335" s="1664"/>
      <c r="B2335" s="2812"/>
      <c r="C2335" s="3077"/>
      <c r="D2335" s="3980"/>
      <c r="E2335" s="3883"/>
      <c r="F2335" s="3984" t="str">
        <f>$E$1552</f>
        <v>ASHP-SEER16-Replace_CAC_ElectricHeat_ER1_SF</v>
      </c>
      <c r="G2335" s="3984"/>
      <c r="H2335" s="3984"/>
      <c r="I2335" s="3984"/>
      <c r="J2335" s="3501" t="str">
        <f>$C$1552</f>
        <v>352500_2021_12_</v>
      </c>
      <c r="K2335" s="3421">
        <v>3.41</v>
      </c>
      <c r="L2335" s="703"/>
      <c r="M2335" s="3020" t="s">
        <v>810</v>
      </c>
      <c r="N2335" s="106"/>
      <c r="O2335" s="106"/>
      <c r="P2335" s="702"/>
      <c r="Q2335" s="702"/>
      <c r="R2335" s="702"/>
      <c r="S2335" s="106"/>
      <c r="T2335" s="486"/>
      <c r="U2335" s="106"/>
      <c r="V2335" s="3980"/>
      <c r="W2335" s="3421">
        <v>3.41</v>
      </c>
      <c r="X2335" s="3421">
        <v>3.41</v>
      </c>
      <c r="Y2335" s="3421">
        <v>3.41</v>
      </c>
      <c r="Z2335" s="3421">
        <v>3.41</v>
      </c>
      <c r="AA2335" s="3421">
        <v>3.41</v>
      </c>
      <c r="AB2335" s="3421">
        <v>3.41</v>
      </c>
      <c r="AC2335" s="3428">
        <v>3.41</v>
      </c>
      <c r="AD2335" s="3421">
        <v>3.41</v>
      </c>
      <c r="AE2335" s="3429"/>
      <c r="AF2335" s="3421"/>
      <c r="AG2335" s="3421"/>
      <c r="AH2335" s="156"/>
      <c r="AI2335" s="156"/>
      <c r="AJ2335" s="156"/>
      <c r="AK2335" s="156"/>
      <c r="AL2335" s="156"/>
      <c r="AM2335" s="156"/>
      <c r="AN2335" s="156"/>
      <c r="AO2335" s="156"/>
      <c r="AP2335" s="156"/>
      <c r="AQ2335" s="156"/>
      <c r="AR2335" s="156"/>
      <c r="AS2335" s="156"/>
      <c r="AT2335" s="156"/>
      <c r="AU2335" s="156"/>
      <c r="AV2335" s="156"/>
      <c r="AW2335" s="156"/>
      <c r="AX2335" s="156"/>
      <c r="AY2335" s="156"/>
      <c r="AZ2335" s="156"/>
      <c r="BA2335" s="156"/>
      <c r="BB2335" s="2828"/>
      <c r="BC2335" s="452"/>
      <c r="BD2335" s="2829"/>
      <c r="BE2335" s="2837"/>
      <c r="BF2335" s="156"/>
    </row>
    <row r="2336" spans="1:58" ht="15" customHeight="1" outlineLevel="1" x14ac:dyDescent="0.35">
      <c r="A2336" s="1664"/>
      <c r="B2336" s="2812"/>
      <c r="C2336" s="3077"/>
      <c r="D2336" s="3980"/>
      <c r="E2336" s="3883"/>
      <c r="F2336" s="3984" t="str">
        <f>$E$1554</f>
        <v>ASHP-SEER16-Replace_CAC_ElectricHeat_ER2_SF</v>
      </c>
      <c r="G2336" s="3984"/>
      <c r="H2336" s="3984"/>
      <c r="I2336" s="3984"/>
      <c r="J2336" s="3501" t="str">
        <f>$C$1554</f>
        <v>352500_2021_12_</v>
      </c>
      <c r="K2336" s="3421">
        <v>3.41</v>
      </c>
      <c r="L2336" s="703"/>
      <c r="M2336" s="3020" t="s">
        <v>810</v>
      </c>
      <c r="N2336" s="106"/>
      <c r="O2336" s="106"/>
      <c r="P2336" s="702"/>
      <c r="Q2336" s="702"/>
      <c r="R2336" s="702"/>
      <c r="S2336" s="106"/>
      <c r="T2336" s="486"/>
      <c r="U2336" s="106"/>
      <c r="V2336" s="3980"/>
      <c r="W2336" s="3421">
        <v>3.41</v>
      </c>
      <c r="X2336" s="3421">
        <v>3.41</v>
      </c>
      <c r="Y2336" s="3421">
        <v>3.41</v>
      </c>
      <c r="Z2336" s="3421">
        <v>3.41</v>
      </c>
      <c r="AA2336" s="3421">
        <v>3.41</v>
      </c>
      <c r="AB2336" s="3421">
        <v>3.41</v>
      </c>
      <c r="AC2336" s="3428">
        <v>3.41</v>
      </c>
      <c r="AD2336" s="3421">
        <v>3.41</v>
      </c>
      <c r="AE2336" s="3429"/>
      <c r="AF2336" s="3421"/>
      <c r="AG2336" s="3421"/>
      <c r="AH2336" s="156"/>
      <c r="AI2336" s="156"/>
      <c r="AJ2336" s="156"/>
      <c r="AK2336" s="156"/>
      <c r="AL2336" s="156"/>
      <c r="AM2336" s="156"/>
      <c r="AN2336" s="156"/>
      <c r="AO2336" s="156"/>
      <c r="AP2336" s="156"/>
      <c r="AQ2336" s="156"/>
      <c r="AR2336" s="156"/>
      <c r="AS2336" s="156"/>
      <c r="AT2336" s="156"/>
      <c r="AU2336" s="156"/>
      <c r="AV2336" s="156"/>
      <c r="AW2336" s="156"/>
      <c r="AX2336" s="156"/>
      <c r="AY2336" s="156"/>
      <c r="AZ2336" s="156"/>
      <c r="BA2336" s="156"/>
      <c r="BB2336" s="2828"/>
      <c r="BC2336" s="452"/>
      <c r="BD2336" s="2829"/>
      <c r="BE2336" s="2837"/>
      <c r="BF2336" s="156"/>
    </row>
    <row r="2337" spans="1:58" ht="15" customHeight="1" outlineLevel="1" x14ac:dyDescent="0.35">
      <c r="A2337" s="1664"/>
      <c r="B2337" s="2812"/>
      <c r="C2337" s="3077"/>
      <c r="D2337" s="3980"/>
      <c r="E2337" s="3883"/>
      <c r="F2337" s="3984" t="str">
        <f>$E$1556</f>
        <v>ASHP-SEER16-Replace_CAC_NonElectricHeat_ER1_SF</v>
      </c>
      <c r="G2337" s="3984"/>
      <c r="H2337" s="3984"/>
      <c r="I2337" s="3984"/>
      <c r="J2337" s="3501" t="str">
        <f>$C$1556</f>
        <v>352510_2021_12_</v>
      </c>
      <c r="K2337" s="2042">
        <v>0</v>
      </c>
      <c r="L2337" s="703"/>
      <c r="M2337" s="3020" t="s">
        <v>1509</v>
      </c>
      <c r="N2337" s="106"/>
      <c r="O2337" s="106"/>
      <c r="P2337" s="702"/>
      <c r="Q2337" s="702"/>
      <c r="R2337" s="702"/>
      <c r="S2337" s="106"/>
      <c r="T2337" s="486"/>
      <c r="U2337" s="106"/>
      <c r="V2337" s="3980"/>
      <c r="W2337" s="3421"/>
      <c r="X2337" s="3421"/>
      <c r="Y2337" s="3421"/>
      <c r="Z2337" s="3421"/>
      <c r="AA2337" s="3421"/>
      <c r="AB2337" s="3421"/>
      <c r="AC2337" s="2292">
        <v>0</v>
      </c>
      <c r="AD2337" s="2042">
        <v>0</v>
      </c>
      <c r="AE2337" s="3429"/>
      <c r="AF2337" s="3421"/>
      <c r="AG2337" s="3421"/>
      <c r="AH2337" s="156"/>
      <c r="AI2337" s="156"/>
      <c r="AJ2337" s="156"/>
      <c r="AK2337" s="156"/>
      <c r="AL2337" s="156"/>
      <c r="AM2337" s="156"/>
      <c r="AN2337" s="156"/>
      <c r="AO2337" s="156"/>
      <c r="AP2337" s="156"/>
      <c r="AQ2337" s="156"/>
      <c r="AR2337" s="156"/>
      <c r="AS2337" s="156"/>
      <c r="AT2337" s="156"/>
      <c r="AU2337" s="156"/>
      <c r="AV2337" s="156"/>
      <c r="AW2337" s="156"/>
      <c r="AX2337" s="156"/>
      <c r="AY2337" s="156"/>
      <c r="AZ2337" s="156"/>
      <c r="BA2337" s="156"/>
      <c r="BB2337" s="2828"/>
      <c r="BC2337" s="452"/>
      <c r="BD2337" s="2829"/>
      <c r="BE2337" s="2837"/>
      <c r="BF2337" s="156"/>
    </row>
    <row r="2338" spans="1:58" ht="15" customHeight="1" outlineLevel="1" x14ac:dyDescent="0.35">
      <c r="A2338" s="1664"/>
      <c r="B2338" s="2812"/>
      <c r="C2338" s="3077"/>
      <c r="D2338" s="3980"/>
      <c r="E2338" s="3883"/>
      <c r="F2338" s="3984" t="str">
        <f>$E$1558</f>
        <v>ASHP-SEER16-Replace_CAC_NonElectricHeat_ER2_SF</v>
      </c>
      <c r="G2338" s="3984"/>
      <c r="H2338" s="3984"/>
      <c r="I2338" s="3984"/>
      <c r="J2338" s="3501" t="str">
        <f>$C$1558</f>
        <v>352510_2021_12_</v>
      </c>
      <c r="K2338" s="2042">
        <v>0</v>
      </c>
      <c r="L2338" s="703"/>
      <c r="M2338" s="3020" t="s">
        <v>1509</v>
      </c>
      <c r="N2338" s="106"/>
      <c r="O2338" s="106"/>
      <c r="P2338" s="702"/>
      <c r="Q2338" s="702"/>
      <c r="R2338" s="702"/>
      <c r="S2338" s="106"/>
      <c r="T2338" s="486"/>
      <c r="U2338" s="106"/>
      <c r="V2338" s="3980"/>
      <c r="W2338" s="3421"/>
      <c r="X2338" s="3421"/>
      <c r="Y2338" s="3421"/>
      <c r="Z2338" s="3421"/>
      <c r="AA2338" s="3421"/>
      <c r="AB2338" s="3421"/>
      <c r="AC2338" s="2292">
        <v>0</v>
      </c>
      <c r="AD2338" s="2042">
        <v>0</v>
      </c>
      <c r="AE2338" s="3429"/>
      <c r="AF2338" s="3421"/>
      <c r="AG2338" s="3421"/>
      <c r="AH2338" s="156"/>
      <c r="AI2338" s="156"/>
      <c r="AJ2338" s="156"/>
      <c r="AK2338" s="156"/>
      <c r="AL2338" s="156"/>
      <c r="AM2338" s="156"/>
      <c r="AN2338" s="156"/>
      <c r="AO2338" s="156"/>
      <c r="AP2338" s="156"/>
      <c r="AQ2338" s="156"/>
      <c r="AR2338" s="156"/>
      <c r="AS2338" s="156"/>
      <c r="AT2338" s="156"/>
      <c r="AU2338" s="156"/>
      <c r="AV2338" s="156"/>
      <c r="AW2338" s="156"/>
      <c r="AX2338" s="156"/>
      <c r="AY2338" s="156"/>
      <c r="AZ2338" s="156"/>
      <c r="BA2338" s="156"/>
      <c r="BB2338" s="2828"/>
      <c r="BC2338" s="452"/>
      <c r="BD2338" s="2829"/>
      <c r="BE2338" s="2837"/>
      <c r="BF2338" s="156"/>
    </row>
    <row r="2339" spans="1:58" ht="15" customHeight="1" outlineLevel="1" x14ac:dyDescent="0.35">
      <c r="A2339" s="1664"/>
      <c r="B2339" s="2812"/>
      <c r="C2339" s="3077"/>
      <c r="D2339" s="3980"/>
      <c r="E2339" s="3883"/>
      <c r="F2339" s="3984" t="str">
        <f>$E$1560</f>
        <v>ASHP-SEER16_ER1_SF</v>
      </c>
      <c r="G2339" s="3984"/>
      <c r="H2339" s="3984"/>
      <c r="I2339" s="3984"/>
      <c r="J2339" s="3501" t="str">
        <f>$C$1560</f>
        <v>352550_2021_12_</v>
      </c>
      <c r="K2339" s="3421">
        <v>6.58</v>
      </c>
      <c r="L2339" s="703"/>
      <c r="M2339" s="3020" t="s">
        <v>810</v>
      </c>
      <c r="N2339" s="106"/>
      <c r="O2339" s="106"/>
      <c r="P2339" s="702"/>
      <c r="Q2339" s="702"/>
      <c r="R2339" s="702"/>
      <c r="S2339" s="106"/>
      <c r="T2339" s="486"/>
      <c r="U2339" s="106"/>
      <c r="V2339" s="3980"/>
      <c r="W2339" s="3421">
        <v>5.44</v>
      </c>
      <c r="X2339" s="2374">
        <v>6.58</v>
      </c>
      <c r="Y2339" s="3421">
        <v>6.58</v>
      </c>
      <c r="Z2339" s="3421">
        <v>6.58</v>
      </c>
      <c r="AA2339" s="3421">
        <v>6.58</v>
      </c>
      <c r="AB2339" s="3421">
        <v>6.58</v>
      </c>
      <c r="AC2339" s="3428">
        <v>6.58</v>
      </c>
      <c r="AD2339" s="3421">
        <v>6.58</v>
      </c>
      <c r="AE2339" s="3429"/>
      <c r="AF2339" s="3421"/>
      <c r="AG2339" s="3421"/>
      <c r="AH2339" s="156"/>
      <c r="AI2339" s="156"/>
      <c r="AJ2339" s="156"/>
      <c r="AK2339" s="156"/>
      <c r="AL2339" s="156"/>
      <c r="AM2339" s="156"/>
      <c r="AN2339" s="156"/>
      <c r="AO2339" s="156"/>
      <c r="AP2339" s="156"/>
      <c r="AQ2339" s="156"/>
      <c r="AR2339" s="156"/>
      <c r="AS2339" s="156"/>
      <c r="AT2339" s="156"/>
      <c r="AU2339" s="156"/>
      <c r="AV2339" s="156"/>
      <c r="AW2339" s="156"/>
      <c r="AX2339" s="156"/>
      <c r="AY2339" s="156"/>
      <c r="AZ2339" s="156"/>
      <c r="BA2339" s="156"/>
      <c r="BB2339" s="2828"/>
      <c r="BC2339" s="452"/>
      <c r="BD2339" s="2829"/>
      <c r="BE2339" s="2837"/>
      <c r="BF2339" s="156"/>
    </row>
    <row r="2340" spans="1:58" ht="15" customHeight="1" outlineLevel="1" x14ac:dyDescent="0.35">
      <c r="A2340" s="1071"/>
      <c r="B2340" s="2812"/>
      <c r="C2340" s="3077"/>
      <c r="D2340" s="3980"/>
      <c r="E2340" s="3883"/>
      <c r="F2340" s="3984" t="str">
        <f>$E$1562</f>
        <v>ASHP-SEER16_ER2_SF</v>
      </c>
      <c r="G2340" s="3984"/>
      <c r="H2340" s="3984"/>
      <c r="I2340" s="3984"/>
      <c r="J2340" s="3501" t="str">
        <f>$C$1562</f>
        <v>352550_2021_12_</v>
      </c>
      <c r="K2340" s="3421">
        <v>8.1999999999999993</v>
      </c>
      <c r="L2340" s="704"/>
      <c r="M2340" s="3020" t="s">
        <v>810</v>
      </c>
      <c r="N2340" s="106"/>
      <c r="O2340" s="106"/>
      <c r="P2340" s="702"/>
      <c r="Q2340" s="702"/>
      <c r="R2340" s="702"/>
      <c r="S2340" s="106"/>
      <c r="T2340" s="486"/>
      <c r="U2340" s="106"/>
      <c r="V2340" s="3980"/>
      <c r="W2340" s="3421">
        <v>8.1999999999999993</v>
      </c>
      <c r="X2340" s="3421">
        <v>8.1999999999999993</v>
      </c>
      <c r="Y2340" s="3421">
        <v>8.1999999999999993</v>
      </c>
      <c r="Z2340" s="3421">
        <v>8.1999999999999993</v>
      </c>
      <c r="AA2340" s="3421">
        <v>8.1999999999999993</v>
      </c>
      <c r="AB2340" s="3421">
        <v>8.1999999999999993</v>
      </c>
      <c r="AC2340" s="3428">
        <v>8.1999999999999993</v>
      </c>
      <c r="AD2340" s="3421">
        <v>8.1999999999999993</v>
      </c>
      <c r="AE2340" s="3429"/>
      <c r="AF2340" s="3421"/>
      <c r="AG2340" s="3421"/>
      <c r="AH2340" s="156"/>
      <c r="AI2340" s="156"/>
      <c r="AJ2340" s="156"/>
      <c r="AK2340" s="156"/>
      <c r="AL2340" s="156"/>
      <c r="AM2340" s="156"/>
      <c r="AN2340" s="156"/>
      <c r="AO2340" s="156"/>
      <c r="AP2340" s="156"/>
      <c r="AQ2340" s="156"/>
      <c r="AR2340" s="156"/>
      <c r="AS2340" s="156"/>
      <c r="AT2340" s="156"/>
      <c r="AU2340" s="156"/>
      <c r="AV2340" s="156"/>
      <c r="AW2340" s="156"/>
      <c r="AX2340" s="156"/>
      <c r="AY2340" s="156"/>
      <c r="AZ2340" s="156"/>
      <c r="BA2340" s="156"/>
      <c r="BB2340" s="2828"/>
      <c r="BC2340" s="452"/>
      <c r="BD2340" s="2829"/>
      <c r="BE2340" s="2837"/>
      <c r="BF2340" s="156"/>
    </row>
    <row r="2341" spans="1:58" ht="15" customHeight="1" outlineLevel="1" x14ac:dyDescent="0.35">
      <c r="A2341" s="1664"/>
      <c r="B2341" s="2812"/>
      <c r="C2341" s="3077"/>
      <c r="D2341" s="3980"/>
      <c r="E2341" s="3883"/>
      <c r="F2341" s="3984" t="str">
        <f>$E$1564</f>
        <v>ASHP-SEER16-Replace_CAC_ElectricHeat_ROF_SF</v>
      </c>
      <c r="G2341" s="3984"/>
      <c r="H2341" s="3984"/>
      <c r="I2341" s="3984"/>
      <c r="J2341" s="3501" t="str">
        <f>$C$1564</f>
        <v>352600_2021_12_</v>
      </c>
      <c r="K2341" s="3421">
        <v>3.41</v>
      </c>
      <c r="L2341" s="704"/>
      <c r="M2341" s="3020" t="s">
        <v>810</v>
      </c>
      <c r="N2341" s="106"/>
      <c r="O2341" s="106"/>
      <c r="P2341" s="702"/>
      <c r="Q2341" s="702"/>
      <c r="R2341" s="702"/>
      <c r="S2341" s="106"/>
      <c r="T2341" s="486"/>
      <c r="U2341" s="106"/>
      <c r="V2341" s="3980"/>
      <c r="W2341" s="3421">
        <v>3.41</v>
      </c>
      <c r="X2341" s="3421">
        <v>3.41</v>
      </c>
      <c r="Y2341" s="3421">
        <v>3.41</v>
      </c>
      <c r="Z2341" s="3421">
        <v>3.41</v>
      </c>
      <c r="AA2341" s="3421">
        <v>3.41</v>
      </c>
      <c r="AB2341" s="3421">
        <v>3.41</v>
      </c>
      <c r="AC2341" s="3428">
        <v>3.41</v>
      </c>
      <c r="AD2341" s="3421">
        <v>3.41</v>
      </c>
      <c r="AE2341" s="3429"/>
      <c r="AF2341" s="3421"/>
      <c r="AG2341" s="3421"/>
      <c r="AH2341" s="156"/>
      <c r="AI2341" s="156"/>
      <c r="AJ2341" s="156"/>
      <c r="AK2341" s="156"/>
      <c r="AL2341" s="156"/>
      <c r="AM2341" s="156"/>
      <c r="AN2341" s="156"/>
      <c r="AO2341" s="156"/>
      <c r="AP2341" s="156"/>
      <c r="AQ2341" s="156"/>
      <c r="AR2341" s="156"/>
      <c r="AS2341" s="156"/>
      <c r="AT2341" s="156"/>
      <c r="AU2341" s="156"/>
      <c r="AV2341" s="156"/>
      <c r="AW2341" s="156"/>
      <c r="AX2341" s="156"/>
      <c r="AY2341" s="156"/>
      <c r="AZ2341" s="156"/>
      <c r="BA2341" s="156"/>
      <c r="BB2341" s="2828"/>
      <c r="BC2341" s="452"/>
      <c r="BD2341" s="2829"/>
      <c r="BE2341" s="2837"/>
      <c r="BF2341" s="156"/>
    </row>
    <row r="2342" spans="1:58" ht="15" customHeight="1" outlineLevel="1" x14ac:dyDescent="0.35">
      <c r="A2342" s="1664"/>
      <c r="B2342" s="2812"/>
      <c r="C2342" s="3077"/>
      <c r="D2342" s="3980"/>
      <c r="E2342" s="3883"/>
      <c r="F2342" s="4136" t="str">
        <f>$E$1566</f>
        <v>ASHP-SEER16-Replace_CAC_NonElectricHeat_ROF_SF</v>
      </c>
      <c r="G2342" s="4136"/>
      <c r="H2342" s="4136"/>
      <c r="I2342" s="4136"/>
      <c r="J2342" s="3502" t="str">
        <f>$C$1566</f>
        <v>352610_2022_12_</v>
      </c>
      <c r="K2342" s="2374">
        <v>0</v>
      </c>
      <c r="L2342" s="703"/>
      <c r="M2342" s="3525" t="s">
        <v>1509</v>
      </c>
      <c r="N2342" s="3391"/>
      <c r="O2342" s="3391"/>
      <c r="P2342" s="702"/>
      <c r="Q2342" s="702"/>
      <c r="R2342" s="702"/>
      <c r="S2342" s="3391"/>
      <c r="T2342" s="3389"/>
      <c r="U2342" s="3391"/>
      <c r="V2342" s="3980"/>
      <c r="W2342" s="3421"/>
      <c r="X2342" s="3421"/>
      <c r="Y2342" s="3421"/>
      <c r="Z2342" s="3421"/>
      <c r="AA2342" s="3421"/>
      <c r="AB2342" s="3421"/>
      <c r="AC2342" s="3428"/>
      <c r="AD2342" s="2292">
        <v>0</v>
      </c>
      <c r="AE2342" s="2042"/>
      <c r="AF2342" s="3421"/>
      <c r="AG2342" s="3421"/>
      <c r="AH2342" s="156"/>
      <c r="AI2342" s="156"/>
      <c r="AJ2342" s="156"/>
      <c r="AK2342" s="156"/>
      <c r="AL2342" s="156"/>
      <c r="AM2342" s="156"/>
      <c r="AN2342" s="156"/>
      <c r="AO2342" s="156"/>
      <c r="AP2342" s="156"/>
      <c r="AQ2342" s="156"/>
      <c r="AR2342" s="156"/>
      <c r="AS2342" s="156"/>
      <c r="AT2342" s="156"/>
      <c r="AU2342" s="156"/>
      <c r="AV2342" s="156"/>
      <c r="AW2342" s="156"/>
      <c r="AX2342" s="156"/>
      <c r="AY2342" s="156"/>
      <c r="AZ2342" s="156"/>
      <c r="BA2342" s="156"/>
      <c r="BB2342" s="2828"/>
      <c r="BC2342" s="452"/>
      <c r="BD2342" s="2829"/>
      <c r="BE2342" s="2837"/>
      <c r="BF2342" s="156"/>
    </row>
    <row r="2343" spans="1:58" ht="15" customHeight="1" outlineLevel="1" x14ac:dyDescent="0.35">
      <c r="A2343" s="1664"/>
      <c r="B2343" s="2812"/>
      <c r="C2343" s="3077"/>
      <c r="D2343" s="3980"/>
      <c r="E2343" s="3883"/>
      <c r="F2343" s="3984" t="str">
        <f>$E$1568</f>
        <v>ASHP-SEER16_ROF_SF</v>
      </c>
      <c r="G2343" s="3984"/>
      <c r="H2343" s="3984"/>
      <c r="I2343" s="3984"/>
      <c r="J2343" s="3501" t="str">
        <f>$C$1568</f>
        <v>352650_2021_12_</v>
      </c>
      <c r="K2343" s="3421">
        <v>8.1999999999999993</v>
      </c>
      <c r="L2343" s="704"/>
      <c r="M2343" s="3020" t="s">
        <v>810</v>
      </c>
      <c r="N2343" s="106"/>
      <c r="O2343" s="106"/>
      <c r="P2343" s="702"/>
      <c r="Q2343" s="702"/>
      <c r="R2343" s="702"/>
      <c r="S2343" s="106"/>
      <c r="T2343" s="486"/>
      <c r="U2343" s="106"/>
      <c r="V2343" s="3980"/>
      <c r="W2343" s="3421">
        <v>8.1999999999999993</v>
      </c>
      <c r="X2343" s="3421">
        <v>8.1999999999999993</v>
      </c>
      <c r="Y2343" s="3421">
        <v>8.1999999999999993</v>
      </c>
      <c r="Z2343" s="3421">
        <v>8.1999999999999993</v>
      </c>
      <c r="AA2343" s="3421">
        <v>8.1999999999999993</v>
      </c>
      <c r="AB2343" s="3421">
        <v>8.1999999999999993</v>
      </c>
      <c r="AC2343" s="3428">
        <v>8.1999999999999993</v>
      </c>
      <c r="AD2343" s="3421">
        <v>8.1999999999999993</v>
      </c>
      <c r="AE2343" s="3429"/>
      <c r="AF2343" s="3421"/>
      <c r="AG2343" s="3421"/>
      <c r="AH2343" s="156"/>
      <c r="AI2343" s="156"/>
      <c r="AJ2343" s="156"/>
      <c r="AK2343" s="156"/>
      <c r="AL2343" s="156"/>
      <c r="AM2343" s="156"/>
      <c r="AN2343" s="156"/>
      <c r="AO2343" s="156"/>
      <c r="AP2343" s="156"/>
      <c r="AQ2343" s="156"/>
      <c r="AR2343" s="156"/>
      <c r="AS2343" s="156"/>
      <c r="AT2343" s="156"/>
      <c r="AU2343" s="156"/>
      <c r="AV2343" s="156"/>
      <c r="AW2343" s="156"/>
      <c r="AX2343" s="156"/>
      <c r="AY2343" s="156"/>
      <c r="AZ2343" s="156"/>
      <c r="BA2343" s="156"/>
      <c r="BB2343" s="2828"/>
      <c r="BC2343" s="452"/>
      <c r="BD2343" s="2829"/>
      <c r="BE2343" s="2837"/>
      <c r="BF2343" s="156"/>
    </row>
    <row r="2344" spans="1:58" ht="15" customHeight="1" outlineLevel="1" x14ac:dyDescent="0.35">
      <c r="A2344" s="1664"/>
      <c r="B2344" s="2812"/>
      <c r="C2344" s="3077"/>
      <c r="D2344" s="3980"/>
      <c r="E2344" s="3883"/>
      <c r="F2344" s="3984" t="str">
        <f>$E$1570</f>
        <v>ASHP-SEER15_ER1_MF</v>
      </c>
      <c r="G2344" s="3984"/>
      <c r="H2344" s="3984"/>
      <c r="I2344" s="3984"/>
      <c r="J2344" s="3501" t="str">
        <f>$C$1570</f>
        <v>352700_2021_12_</v>
      </c>
      <c r="K2344" s="3421">
        <v>6.58</v>
      </c>
      <c r="L2344" s="704"/>
      <c r="M2344" s="3020" t="s">
        <v>1510</v>
      </c>
      <c r="N2344" s="106"/>
      <c r="O2344" s="106"/>
      <c r="P2344" s="702"/>
      <c r="Q2344" s="702"/>
      <c r="R2344" s="702"/>
      <c r="S2344" s="106"/>
      <c r="T2344" s="486"/>
      <c r="U2344" s="106"/>
      <c r="V2344" s="3980"/>
      <c r="W2344" s="3421">
        <v>5.44</v>
      </c>
      <c r="X2344" s="2374">
        <v>5.44</v>
      </c>
      <c r="Y2344" s="2374">
        <v>6.58</v>
      </c>
      <c r="Z2344" s="3421">
        <v>6.58</v>
      </c>
      <c r="AA2344" s="3421">
        <v>6.58</v>
      </c>
      <c r="AB2344" s="3421">
        <v>6.58</v>
      </c>
      <c r="AC2344" s="3428">
        <v>6.58</v>
      </c>
      <c r="AD2344" s="3421">
        <v>6.58</v>
      </c>
      <c r="AE2344" s="3429"/>
      <c r="AF2344" s="3421"/>
      <c r="AG2344" s="3421"/>
      <c r="AH2344" s="156"/>
      <c r="AI2344" s="156"/>
      <c r="AJ2344" s="156"/>
      <c r="AK2344" s="156"/>
      <c r="AL2344" s="156"/>
      <c r="AM2344" s="156"/>
      <c r="AN2344" s="156"/>
      <c r="AO2344" s="156"/>
      <c r="AP2344" s="156"/>
      <c r="AQ2344" s="156"/>
      <c r="AR2344" s="156"/>
      <c r="AS2344" s="156"/>
      <c r="AT2344" s="156"/>
      <c r="AU2344" s="156"/>
      <c r="AV2344" s="156"/>
      <c r="AW2344" s="156"/>
      <c r="AX2344" s="156"/>
      <c r="AY2344" s="156"/>
      <c r="AZ2344" s="156"/>
      <c r="BA2344" s="156"/>
      <c r="BB2344" s="2828"/>
      <c r="BC2344" s="452"/>
      <c r="BD2344" s="2829"/>
      <c r="BE2344" s="2837"/>
      <c r="BF2344" s="156"/>
    </row>
    <row r="2345" spans="1:58" ht="15" customHeight="1" outlineLevel="1" x14ac:dyDescent="0.35">
      <c r="A2345" s="1664"/>
      <c r="B2345" s="2812"/>
      <c r="C2345" s="3077"/>
      <c r="D2345" s="3980"/>
      <c r="E2345" s="3883"/>
      <c r="F2345" s="3984" t="str">
        <f>$E$1572</f>
        <v>ASHP-SEER15_ER2_MF</v>
      </c>
      <c r="G2345" s="3984"/>
      <c r="H2345" s="3984"/>
      <c r="I2345" s="3984"/>
      <c r="J2345" s="3501" t="str">
        <f>$C$1572</f>
        <v>352700_2021_12_</v>
      </c>
      <c r="K2345" s="3421">
        <v>8.1999999999999993</v>
      </c>
      <c r="L2345" s="704"/>
      <c r="M2345" s="3020" t="s">
        <v>1510</v>
      </c>
      <c r="N2345" s="106"/>
      <c r="O2345" s="106"/>
      <c r="P2345" s="702"/>
      <c r="Q2345" s="702"/>
      <c r="R2345" s="702"/>
      <c r="S2345" s="106"/>
      <c r="T2345" s="486"/>
      <c r="U2345" s="106"/>
      <c r="V2345" s="3980"/>
      <c r="W2345" s="3421">
        <v>8.1999999999999993</v>
      </c>
      <c r="X2345" s="3421">
        <v>8.1999999999999993</v>
      </c>
      <c r="Y2345" s="3421">
        <v>8.1999999999999993</v>
      </c>
      <c r="Z2345" s="3421">
        <v>8.1999999999999993</v>
      </c>
      <c r="AA2345" s="3421">
        <v>8.1999999999999993</v>
      </c>
      <c r="AB2345" s="3421">
        <v>8.1999999999999993</v>
      </c>
      <c r="AC2345" s="3428">
        <v>8.1999999999999993</v>
      </c>
      <c r="AD2345" s="3421">
        <v>8.1999999999999993</v>
      </c>
      <c r="AE2345" s="3429"/>
      <c r="AF2345" s="3421"/>
      <c r="AG2345" s="3421"/>
      <c r="AH2345" s="156"/>
      <c r="AI2345" s="156"/>
      <c r="AJ2345" s="156"/>
      <c r="AK2345" s="156"/>
      <c r="AL2345" s="156"/>
      <c r="AM2345" s="156"/>
      <c r="AN2345" s="156"/>
      <c r="AO2345" s="156"/>
      <c r="AP2345" s="156"/>
      <c r="AQ2345" s="156"/>
      <c r="AR2345" s="156"/>
      <c r="AS2345" s="156"/>
      <c r="AT2345" s="156"/>
      <c r="AU2345" s="156"/>
      <c r="AV2345" s="156"/>
      <c r="AW2345" s="156"/>
      <c r="AX2345" s="156"/>
      <c r="AY2345" s="156"/>
      <c r="AZ2345" s="156"/>
      <c r="BA2345" s="156"/>
      <c r="BB2345" s="2828"/>
      <c r="BC2345" s="452"/>
      <c r="BD2345" s="2829"/>
      <c r="BE2345" s="2837"/>
      <c r="BF2345" s="156"/>
    </row>
    <row r="2346" spans="1:58" ht="15" customHeight="1" outlineLevel="1" x14ac:dyDescent="0.35">
      <c r="A2346" s="1664"/>
      <c r="B2346" s="2812"/>
      <c r="C2346" s="3077"/>
      <c r="D2346" s="3980"/>
      <c r="E2346" s="3883"/>
      <c r="F2346" s="3984" t="str">
        <f>$E$1574</f>
        <v>ASHP-SEER15_ER1_MF_CompE</v>
      </c>
      <c r="G2346" s="3984"/>
      <c r="H2346" s="3984"/>
      <c r="I2346" s="3984"/>
      <c r="J2346" s="3501" t="str">
        <f>$C$1574</f>
        <v>352701_2021_12_</v>
      </c>
      <c r="K2346" s="3421">
        <v>6.58</v>
      </c>
      <c r="L2346" s="704"/>
      <c r="M2346" s="3020" t="s">
        <v>1510</v>
      </c>
      <c r="N2346" s="106"/>
      <c r="O2346" s="106"/>
      <c r="P2346" s="702"/>
      <c r="Q2346" s="702"/>
      <c r="R2346" s="702"/>
      <c r="S2346" s="106"/>
      <c r="T2346" s="486"/>
      <c r="U2346" s="106"/>
      <c r="V2346" s="3980"/>
      <c r="W2346" s="3421"/>
      <c r="X2346" s="3421"/>
      <c r="Y2346" s="2374">
        <v>6.58</v>
      </c>
      <c r="Z2346" s="3421">
        <v>6.58</v>
      </c>
      <c r="AA2346" s="3421">
        <v>6.58</v>
      </c>
      <c r="AB2346" s="3421">
        <v>6.58</v>
      </c>
      <c r="AC2346" s="3428">
        <v>6.58</v>
      </c>
      <c r="AD2346" s="3421">
        <v>6.58</v>
      </c>
      <c r="AE2346" s="3429"/>
      <c r="AF2346" s="3421"/>
      <c r="AG2346" s="3421"/>
      <c r="AH2346" s="156"/>
      <c r="AI2346" s="156"/>
      <c r="AJ2346" s="156"/>
      <c r="AK2346" s="156"/>
      <c r="AL2346" s="156"/>
      <c r="AM2346" s="156"/>
      <c r="AN2346" s="156"/>
      <c r="AO2346" s="156"/>
      <c r="AP2346" s="156"/>
      <c r="AQ2346" s="156"/>
      <c r="AR2346" s="156"/>
      <c r="AS2346" s="156"/>
      <c r="AT2346" s="156"/>
      <c r="AU2346" s="156"/>
      <c r="AV2346" s="156"/>
      <c r="AW2346" s="156"/>
      <c r="AX2346" s="156"/>
      <c r="AY2346" s="156"/>
      <c r="AZ2346" s="156"/>
      <c r="BA2346" s="156"/>
      <c r="BB2346" s="2828"/>
      <c r="BC2346" s="452"/>
      <c r="BD2346" s="2829"/>
      <c r="BE2346" s="2837"/>
      <c r="BF2346" s="156"/>
    </row>
    <row r="2347" spans="1:58" ht="15" customHeight="1" outlineLevel="1" x14ac:dyDescent="0.35">
      <c r="A2347" s="1664"/>
      <c r="B2347" s="2812"/>
      <c r="C2347" s="3077"/>
      <c r="D2347" s="3980"/>
      <c r="E2347" s="3883"/>
      <c r="F2347" s="3984" t="str">
        <f>$E$1576</f>
        <v>ASHP-SEER15_ER2_MF_CompE</v>
      </c>
      <c r="G2347" s="3984"/>
      <c r="H2347" s="3984"/>
      <c r="I2347" s="3984"/>
      <c r="J2347" s="3501" t="str">
        <f>$C$1576</f>
        <v>352701_2021_12_</v>
      </c>
      <c r="K2347" s="3421">
        <v>8.1999999999999993</v>
      </c>
      <c r="L2347" s="704"/>
      <c r="M2347" s="3020" t="s">
        <v>1510</v>
      </c>
      <c r="N2347" s="106"/>
      <c r="O2347" s="106"/>
      <c r="P2347" s="702"/>
      <c r="Q2347" s="702"/>
      <c r="R2347" s="702"/>
      <c r="S2347" s="106"/>
      <c r="T2347" s="486"/>
      <c r="U2347" s="106"/>
      <c r="V2347" s="3980"/>
      <c r="W2347" s="3421"/>
      <c r="X2347" s="3421"/>
      <c r="Y2347" s="2374">
        <v>8.1999999999999993</v>
      </c>
      <c r="Z2347" s="3421">
        <v>8.1999999999999993</v>
      </c>
      <c r="AA2347" s="3421">
        <v>8.1999999999999993</v>
      </c>
      <c r="AB2347" s="3421">
        <v>8.1999999999999993</v>
      </c>
      <c r="AC2347" s="3428">
        <v>8.1999999999999993</v>
      </c>
      <c r="AD2347" s="3421">
        <v>8.1999999999999993</v>
      </c>
      <c r="AE2347" s="3429"/>
      <c r="AF2347" s="3421"/>
      <c r="AG2347" s="3421"/>
      <c r="AH2347" s="156"/>
      <c r="AI2347" s="156"/>
      <c r="AJ2347" s="156"/>
      <c r="AK2347" s="156"/>
      <c r="AL2347" s="156"/>
      <c r="AM2347" s="156"/>
      <c r="AN2347" s="156"/>
      <c r="AO2347" s="156"/>
      <c r="AP2347" s="156"/>
      <c r="AQ2347" s="156"/>
      <c r="AR2347" s="156"/>
      <c r="AS2347" s="156"/>
      <c r="AT2347" s="156"/>
      <c r="AU2347" s="156"/>
      <c r="AV2347" s="156"/>
      <c r="AW2347" s="156"/>
      <c r="AX2347" s="156"/>
      <c r="AY2347" s="156"/>
      <c r="AZ2347" s="156"/>
      <c r="BA2347" s="156"/>
      <c r="BB2347" s="2828"/>
      <c r="BC2347" s="452"/>
      <c r="BD2347" s="2829"/>
      <c r="BE2347" s="2837"/>
      <c r="BF2347" s="156"/>
    </row>
    <row r="2348" spans="1:58" ht="15" customHeight="1" outlineLevel="1" x14ac:dyDescent="0.35">
      <c r="A2348" s="1071"/>
      <c r="B2348" s="2812"/>
      <c r="C2348" s="3077"/>
      <c r="D2348" s="3980"/>
      <c r="E2348" s="3883"/>
      <c r="F2348" s="3984" t="str">
        <f>$E$1578</f>
        <v>ASHP-SEER15-Replace_CAC_ElectricHeat_ER1_MF</v>
      </c>
      <c r="G2348" s="3984"/>
      <c r="H2348" s="3984"/>
      <c r="I2348" s="3984"/>
      <c r="J2348" s="3501" t="str">
        <f>$C$1578</f>
        <v>352750_2021_12_</v>
      </c>
      <c r="K2348" s="3421">
        <v>3.41</v>
      </c>
      <c r="L2348" s="704"/>
      <c r="M2348" s="3020" t="s">
        <v>1510</v>
      </c>
      <c r="N2348" s="106"/>
      <c r="O2348" s="106"/>
      <c r="P2348" s="702"/>
      <c r="Q2348" s="702"/>
      <c r="R2348" s="702"/>
      <c r="S2348" s="106"/>
      <c r="T2348" s="486"/>
      <c r="U2348" s="106"/>
      <c r="V2348" s="3980"/>
      <c r="W2348" s="3421">
        <v>3.41</v>
      </c>
      <c r="X2348" s="3421">
        <v>3.41</v>
      </c>
      <c r="Y2348" s="3421">
        <v>3.41</v>
      </c>
      <c r="Z2348" s="3421">
        <v>3.41</v>
      </c>
      <c r="AA2348" s="3421">
        <v>3.41</v>
      </c>
      <c r="AB2348" s="3421">
        <v>3.41</v>
      </c>
      <c r="AC2348" s="3428">
        <v>3.41</v>
      </c>
      <c r="AD2348" s="3421">
        <v>3.41</v>
      </c>
      <c r="AE2348" s="3429"/>
      <c r="AF2348" s="3421"/>
      <c r="AG2348" s="3421"/>
      <c r="AH2348" s="156"/>
      <c r="AI2348" s="156"/>
      <c r="AJ2348" s="156"/>
      <c r="AK2348" s="156"/>
      <c r="AL2348" s="156"/>
      <c r="AM2348" s="156"/>
      <c r="AN2348" s="156"/>
      <c r="AO2348" s="156"/>
      <c r="AP2348" s="156"/>
      <c r="AQ2348" s="156"/>
      <c r="AR2348" s="156"/>
      <c r="AS2348" s="156"/>
      <c r="AT2348" s="156"/>
      <c r="AU2348" s="156"/>
      <c r="AV2348" s="156"/>
      <c r="AW2348" s="156"/>
      <c r="AX2348" s="156"/>
      <c r="AY2348" s="156"/>
      <c r="AZ2348" s="156"/>
      <c r="BA2348" s="156"/>
      <c r="BB2348" s="2828"/>
      <c r="BC2348" s="452"/>
      <c r="BD2348" s="2829"/>
      <c r="BE2348" s="2837"/>
      <c r="BF2348" s="156"/>
    </row>
    <row r="2349" spans="1:58" ht="15" customHeight="1" outlineLevel="1" x14ac:dyDescent="0.35">
      <c r="A2349" s="1664"/>
      <c r="B2349" s="2812"/>
      <c r="C2349" s="3077"/>
      <c r="D2349" s="3980"/>
      <c r="E2349" s="3883"/>
      <c r="F2349" s="3984" t="str">
        <f>$E$1580</f>
        <v>ASHP-SEER15-Replace_CAC_ElectricHeat_ER2_MF</v>
      </c>
      <c r="G2349" s="3984"/>
      <c r="H2349" s="3984"/>
      <c r="I2349" s="3984"/>
      <c r="J2349" s="3501" t="str">
        <f>$C$1580</f>
        <v>352750_2021_12_</v>
      </c>
      <c r="K2349" s="3421">
        <v>3.41</v>
      </c>
      <c r="L2349" s="704"/>
      <c r="M2349" s="3020" t="s">
        <v>1510</v>
      </c>
      <c r="N2349" s="106"/>
      <c r="O2349" s="106"/>
      <c r="P2349" s="702"/>
      <c r="Q2349" s="702"/>
      <c r="R2349" s="702"/>
      <c r="S2349" s="106"/>
      <c r="T2349" s="486"/>
      <c r="U2349" s="106"/>
      <c r="V2349" s="3980"/>
      <c r="W2349" s="3421">
        <v>3.41</v>
      </c>
      <c r="X2349" s="3421">
        <v>3.41</v>
      </c>
      <c r="Y2349" s="3421">
        <v>3.41</v>
      </c>
      <c r="Z2349" s="3421">
        <v>3.41</v>
      </c>
      <c r="AA2349" s="3421">
        <v>3.41</v>
      </c>
      <c r="AB2349" s="3421">
        <v>3.41</v>
      </c>
      <c r="AC2349" s="3428">
        <v>3.41</v>
      </c>
      <c r="AD2349" s="3421">
        <v>3.41</v>
      </c>
      <c r="AE2349" s="3429"/>
      <c r="AF2349" s="3421"/>
      <c r="AG2349" s="3421"/>
      <c r="AH2349" s="156"/>
      <c r="AI2349" s="156"/>
      <c r="AJ2349" s="156"/>
      <c r="AK2349" s="156"/>
      <c r="AL2349" s="156"/>
      <c r="AM2349" s="156"/>
      <c r="AN2349" s="156"/>
      <c r="AO2349" s="156"/>
      <c r="AP2349" s="156"/>
      <c r="AQ2349" s="156"/>
      <c r="AR2349" s="156"/>
      <c r="AS2349" s="156"/>
      <c r="AT2349" s="156"/>
      <c r="AU2349" s="156"/>
      <c r="AV2349" s="156"/>
      <c r="AW2349" s="156"/>
      <c r="AX2349" s="156"/>
      <c r="AY2349" s="156"/>
      <c r="AZ2349" s="156"/>
      <c r="BA2349" s="156"/>
      <c r="BB2349" s="2828"/>
      <c r="BC2349" s="452"/>
      <c r="BD2349" s="2829"/>
      <c r="BE2349" s="2837"/>
      <c r="BF2349" s="156"/>
    </row>
    <row r="2350" spans="1:58" ht="15" customHeight="1" outlineLevel="1" x14ac:dyDescent="0.35">
      <c r="A2350" s="1664"/>
      <c r="B2350" s="2812"/>
      <c r="C2350" s="3077"/>
      <c r="D2350" s="3980"/>
      <c r="E2350" s="3883"/>
      <c r="F2350" s="3984" t="str">
        <f>$E$1582</f>
        <v>ASHP-SEER15-Replace_CAC_ElectricHeat_ER1_MF_CompE</v>
      </c>
      <c r="G2350" s="3984"/>
      <c r="H2350" s="3984"/>
      <c r="I2350" s="3984"/>
      <c r="J2350" s="3501" t="str">
        <f>$C$1582</f>
        <v>352751_2021_12_</v>
      </c>
      <c r="K2350" s="3421">
        <v>3.41</v>
      </c>
      <c r="L2350" s="704"/>
      <c r="M2350" s="3020" t="s">
        <v>1510</v>
      </c>
      <c r="N2350" s="106"/>
      <c r="O2350" s="106"/>
      <c r="P2350" s="702"/>
      <c r="Q2350" s="702"/>
      <c r="R2350" s="702"/>
      <c r="S2350" s="106"/>
      <c r="T2350" s="486"/>
      <c r="U2350" s="106"/>
      <c r="V2350" s="3980"/>
      <c r="W2350" s="3421"/>
      <c r="X2350" s="3421"/>
      <c r="Y2350" s="2374">
        <v>3.41</v>
      </c>
      <c r="Z2350" s="3421">
        <v>3.41</v>
      </c>
      <c r="AA2350" s="3421">
        <v>3.41</v>
      </c>
      <c r="AB2350" s="3421">
        <v>3.41</v>
      </c>
      <c r="AC2350" s="3428">
        <v>3.41</v>
      </c>
      <c r="AD2350" s="3421">
        <v>3.41</v>
      </c>
      <c r="AE2350" s="3429"/>
      <c r="AF2350" s="3421"/>
      <c r="AG2350" s="3421"/>
      <c r="AH2350" s="156"/>
      <c r="AI2350" s="156"/>
      <c r="AJ2350" s="156"/>
      <c r="AK2350" s="156"/>
      <c r="AL2350" s="156"/>
      <c r="AM2350" s="156"/>
      <c r="AN2350" s="156"/>
      <c r="AO2350" s="156"/>
      <c r="AP2350" s="156"/>
      <c r="AQ2350" s="156"/>
      <c r="AR2350" s="156"/>
      <c r="AS2350" s="156"/>
      <c r="AT2350" s="156"/>
      <c r="AU2350" s="156"/>
      <c r="AV2350" s="156"/>
      <c r="AW2350" s="156"/>
      <c r="AX2350" s="156"/>
      <c r="AY2350" s="156"/>
      <c r="AZ2350" s="156"/>
      <c r="BA2350" s="156"/>
      <c r="BB2350" s="2828"/>
      <c r="BC2350" s="452"/>
      <c r="BD2350" s="2829"/>
      <c r="BE2350" s="2837"/>
      <c r="BF2350" s="156"/>
    </row>
    <row r="2351" spans="1:58" ht="15" customHeight="1" outlineLevel="1" x14ac:dyDescent="0.35">
      <c r="A2351" s="1664"/>
      <c r="B2351" s="2812"/>
      <c r="C2351" s="3077"/>
      <c r="D2351" s="3980"/>
      <c r="E2351" s="3883"/>
      <c r="F2351" s="3984" t="str">
        <f>$E$1584</f>
        <v>ASHP-SEER15-Replace_CAC_ElectricHeat_ER2_MF_CompE</v>
      </c>
      <c r="G2351" s="3984"/>
      <c r="H2351" s="3984"/>
      <c r="I2351" s="3984"/>
      <c r="J2351" s="3501" t="str">
        <f>$C$1584</f>
        <v>352751_2021_12_</v>
      </c>
      <c r="K2351" s="3421">
        <v>3.41</v>
      </c>
      <c r="L2351" s="704"/>
      <c r="M2351" s="3020" t="s">
        <v>1510</v>
      </c>
      <c r="N2351" s="106"/>
      <c r="O2351" s="106"/>
      <c r="P2351" s="702"/>
      <c r="Q2351" s="702"/>
      <c r="R2351" s="702"/>
      <c r="S2351" s="106"/>
      <c r="T2351" s="486"/>
      <c r="U2351" s="106"/>
      <c r="V2351" s="3980"/>
      <c r="W2351" s="3421"/>
      <c r="X2351" s="3421"/>
      <c r="Y2351" s="2374">
        <v>3.41</v>
      </c>
      <c r="Z2351" s="3421">
        <v>3.41</v>
      </c>
      <c r="AA2351" s="3421">
        <v>3.41</v>
      </c>
      <c r="AB2351" s="3421">
        <v>3.41</v>
      </c>
      <c r="AC2351" s="3428">
        <v>3.41</v>
      </c>
      <c r="AD2351" s="3421">
        <v>3.41</v>
      </c>
      <c r="AE2351" s="3429"/>
      <c r="AF2351" s="3421"/>
      <c r="AG2351" s="3421"/>
      <c r="AH2351" s="156"/>
      <c r="AI2351" s="156"/>
      <c r="AJ2351" s="156"/>
      <c r="AK2351" s="156"/>
      <c r="AL2351" s="156"/>
      <c r="AM2351" s="156"/>
      <c r="AN2351" s="156"/>
      <c r="AO2351" s="156"/>
      <c r="AP2351" s="156"/>
      <c r="AQ2351" s="156"/>
      <c r="AR2351" s="156"/>
      <c r="AS2351" s="156"/>
      <c r="AT2351" s="156"/>
      <c r="AU2351" s="156"/>
      <c r="AV2351" s="156"/>
      <c r="AW2351" s="156"/>
      <c r="AX2351" s="156"/>
      <c r="AY2351" s="156"/>
      <c r="AZ2351" s="156"/>
      <c r="BA2351" s="156"/>
      <c r="BB2351" s="2828"/>
      <c r="BC2351" s="452"/>
      <c r="BD2351" s="2829"/>
      <c r="BE2351" s="2837"/>
      <c r="BF2351" s="156"/>
    </row>
    <row r="2352" spans="1:58" ht="15" customHeight="1" outlineLevel="1" x14ac:dyDescent="0.35">
      <c r="A2352" s="1664"/>
      <c r="B2352" s="2812"/>
      <c r="C2352" s="3077"/>
      <c r="D2352" s="3980"/>
      <c r="E2352" s="3883"/>
      <c r="F2352" s="3984" t="str">
        <f>$E$1586</f>
        <v>ASHP-SEER15-Replace_CAC_NonElectricHeat_ER1_MF</v>
      </c>
      <c r="G2352" s="3984"/>
      <c r="H2352" s="3984"/>
      <c r="I2352" s="3984"/>
      <c r="J2352" s="3501" t="str">
        <f>$C$1586</f>
        <v>352760_2021_12_</v>
      </c>
      <c r="K2352" s="2042">
        <v>0</v>
      </c>
      <c r="L2352" s="704"/>
      <c r="M2352" s="3020" t="s">
        <v>1509</v>
      </c>
      <c r="N2352" s="106"/>
      <c r="O2352" s="106"/>
      <c r="P2352" s="702"/>
      <c r="Q2352" s="702"/>
      <c r="R2352" s="702"/>
      <c r="S2352" s="106"/>
      <c r="T2352" s="486"/>
      <c r="U2352" s="106"/>
      <c r="V2352" s="3980"/>
      <c r="W2352" s="3421"/>
      <c r="X2352" s="3421"/>
      <c r="Y2352" s="2374"/>
      <c r="Z2352" s="3421"/>
      <c r="AA2352" s="3421"/>
      <c r="AB2352" s="3421"/>
      <c r="AC2352" s="2292">
        <v>0</v>
      </c>
      <c r="AD2352" s="2042">
        <v>0</v>
      </c>
      <c r="AE2352" s="3429"/>
      <c r="AF2352" s="3421"/>
      <c r="AG2352" s="3421"/>
      <c r="AH2352" s="156"/>
      <c r="AI2352" s="156"/>
      <c r="AJ2352" s="156"/>
      <c r="AK2352" s="156"/>
      <c r="AL2352" s="156"/>
      <c r="AM2352" s="156"/>
      <c r="AN2352" s="156"/>
      <c r="AO2352" s="156"/>
      <c r="AP2352" s="156"/>
      <c r="AQ2352" s="156"/>
      <c r="AR2352" s="156"/>
      <c r="AS2352" s="156"/>
      <c r="AT2352" s="156"/>
      <c r="AU2352" s="156"/>
      <c r="AV2352" s="156"/>
      <c r="AW2352" s="156"/>
      <c r="AX2352" s="156"/>
      <c r="AY2352" s="156"/>
      <c r="AZ2352" s="156"/>
      <c r="BA2352" s="156"/>
      <c r="BB2352" s="2828"/>
      <c r="BC2352" s="452"/>
      <c r="BD2352" s="2829"/>
      <c r="BE2352" s="2837"/>
      <c r="BF2352" s="156"/>
    </row>
    <row r="2353" spans="1:58" ht="15" customHeight="1" outlineLevel="1" x14ac:dyDescent="0.35">
      <c r="A2353" s="1664"/>
      <c r="B2353" s="2812"/>
      <c r="C2353" s="3077"/>
      <c r="D2353" s="3980"/>
      <c r="E2353" s="3883"/>
      <c r="F2353" s="3984" t="str">
        <f>$E$1588</f>
        <v>ASHP-SEER15-Replace_CAC_NonElectricHeat_ER2_MF</v>
      </c>
      <c r="G2353" s="3984"/>
      <c r="H2353" s="3984"/>
      <c r="I2353" s="3984"/>
      <c r="J2353" s="3501" t="str">
        <f>$C$1588</f>
        <v>352760_2021_12_</v>
      </c>
      <c r="K2353" s="2042">
        <v>0</v>
      </c>
      <c r="L2353" s="704"/>
      <c r="M2353" s="3020" t="s">
        <v>1509</v>
      </c>
      <c r="N2353" s="106"/>
      <c r="O2353" s="106"/>
      <c r="P2353" s="702"/>
      <c r="Q2353" s="702"/>
      <c r="R2353" s="702"/>
      <c r="S2353" s="106"/>
      <c r="T2353" s="486"/>
      <c r="U2353" s="106"/>
      <c r="V2353" s="3980"/>
      <c r="W2353" s="3421"/>
      <c r="X2353" s="3421"/>
      <c r="Y2353" s="2374"/>
      <c r="Z2353" s="3421"/>
      <c r="AA2353" s="3421"/>
      <c r="AB2353" s="3421"/>
      <c r="AC2353" s="2292">
        <v>0</v>
      </c>
      <c r="AD2353" s="2042">
        <v>0</v>
      </c>
      <c r="AE2353" s="3429"/>
      <c r="AF2353" s="3421"/>
      <c r="AG2353" s="3421"/>
      <c r="AH2353" s="156"/>
      <c r="AI2353" s="156"/>
      <c r="AJ2353" s="156"/>
      <c r="AK2353" s="156"/>
      <c r="AL2353" s="156"/>
      <c r="AM2353" s="156"/>
      <c r="AN2353" s="156"/>
      <c r="AO2353" s="156"/>
      <c r="AP2353" s="156"/>
      <c r="AQ2353" s="156"/>
      <c r="AR2353" s="156"/>
      <c r="AS2353" s="156"/>
      <c r="AT2353" s="156"/>
      <c r="AU2353" s="156"/>
      <c r="AV2353" s="156"/>
      <c r="AW2353" s="156"/>
      <c r="AX2353" s="156"/>
      <c r="AY2353" s="156"/>
      <c r="AZ2353" s="156"/>
      <c r="BA2353" s="156"/>
      <c r="BB2353" s="2828"/>
      <c r="BC2353" s="452"/>
      <c r="BD2353" s="2829"/>
      <c r="BE2353" s="2837"/>
      <c r="BF2353" s="156"/>
    </row>
    <row r="2354" spans="1:58" ht="15" customHeight="1" outlineLevel="1" x14ac:dyDescent="0.35">
      <c r="A2354" s="1664"/>
      <c r="B2354" s="2812"/>
      <c r="C2354" s="3077"/>
      <c r="D2354" s="3980"/>
      <c r="E2354" s="3883"/>
      <c r="F2354" s="3984" t="str">
        <f>$E$1590</f>
        <v>ASHP-SEER15-Replace_CAC_NonElectricHeat_ER1_MF_CompE</v>
      </c>
      <c r="G2354" s="3984"/>
      <c r="H2354" s="3984"/>
      <c r="I2354" s="3984"/>
      <c r="J2354" s="3501" t="str">
        <f>$C$1590</f>
        <v>352761_2021_12_</v>
      </c>
      <c r="K2354" s="2042">
        <v>0</v>
      </c>
      <c r="L2354" s="704"/>
      <c r="M2354" s="3020" t="s">
        <v>1509</v>
      </c>
      <c r="N2354" s="106"/>
      <c r="O2354" s="106"/>
      <c r="P2354" s="702"/>
      <c r="Q2354" s="702"/>
      <c r="R2354" s="702"/>
      <c r="S2354" s="106"/>
      <c r="T2354" s="486"/>
      <c r="U2354" s="106"/>
      <c r="V2354" s="3980"/>
      <c r="W2354" s="3421"/>
      <c r="X2354" s="3421"/>
      <c r="Y2354" s="2374"/>
      <c r="Z2354" s="3421"/>
      <c r="AA2354" s="3421"/>
      <c r="AB2354" s="3421"/>
      <c r="AC2354" s="2292">
        <v>0</v>
      </c>
      <c r="AD2354" s="2042">
        <v>0</v>
      </c>
      <c r="AE2354" s="3429"/>
      <c r="AF2354" s="3421"/>
      <c r="AG2354" s="3421"/>
      <c r="AH2354" s="156"/>
      <c r="AI2354" s="156"/>
      <c r="AJ2354" s="156"/>
      <c r="AK2354" s="156"/>
      <c r="AL2354" s="156"/>
      <c r="AM2354" s="156"/>
      <c r="AN2354" s="156"/>
      <c r="AO2354" s="156"/>
      <c r="AP2354" s="156"/>
      <c r="AQ2354" s="156"/>
      <c r="AR2354" s="156"/>
      <c r="AS2354" s="156"/>
      <c r="AT2354" s="156"/>
      <c r="AU2354" s="156"/>
      <c r="AV2354" s="156"/>
      <c r="AW2354" s="156"/>
      <c r="AX2354" s="156"/>
      <c r="AY2354" s="156"/>
      <c r="AZ2354" s="156"/>
      <c r="BA2354" s="156"/>
      <c r="BB2354" s="2828"/>
      <c r="BC2354" s="452"/>
      <c r="BD2354" s="2829"/>
      <c r="BE2354" s="2837"/>
      <c r="BF2354" s="156"/>
    </row>
    <row r="2355" spans="1:58" ht="15" customHeight="1" outlineLevel="1" x14ac:dyDescent="0.35">
      <c r="A2355" s="1664"/>
      <c r="B2355" s="2812"/>
      <c r="C2355" s="3077"/>
      <c r="D2355" s="3980"/>
      <c r="E2355" s="3883"/>
      <c r="F2355" s="3984" t="str">
        <f>$E$1592</f>
        <v>ASHP-SEER15-Replace_CAC_NonElectricHeat_ER2_MF_CompE</v>
      </c>
      <c r="G2355" s="3984"/>
      <c r="H2355" s="3984"/>
      <c r="I2355" s="3984"/>
      <c r="J2355" s="3501" t="str">
        <f>$C$1592</f>
        <v>352761_2021_12_</v>
      </c>
      <c r="K2355" s="2042">
        <v>0</v>
      </c>
      <c r="L2355" s="704"/>
      <c r="M2355" s="3020" t="s">
        <v>1509</v>
      </c>
      <c r="N2355" s="106"/>
      <c r="O2355" s="106"/>
      <c r="P2355" s="702"/>
      <c r="Q2355" s="702"/>
      <c r="R2355" s="702"/>
      <c r="S2355" s="106"/>
      <c r="T2355" s="486"/>
      <c r="U2355" s="106"/>
      <c r="V2355" s="3980"/>
      <c r="W2355" s="3421"/>
      <c r="X2355" s="3421"/>
      <c r="Y2355" s="2374"/>
      <c r="Z2355" s="3421"/>
      <c r="AA2355" s="3421"/>
      <c r="AB2355" s="3421"/>
      <c r="AC2355" s="2292">
        <v>0</v>
      </c>
      <c r="AD2355" s="2042">
        <v>0</v>
      </c>
      <c r="AE2355" s="3429"/>
      <c r="AF2355" s="3421"/>
      <c r="AG2355" s="3421"/>
      <c r="AH2355" s="156"/>
      <c r="AI2355" s="156"/>
      <c r="AJ2355" s="156"/>
      <c r="AK2355" s="156"/>
      <c r="AL2355" s="156"/>
      <c r="AM2355" s="156"/>
      <c r="AN2355" s="156"/>
      <c r="AO2355" s="156"/>
      <c r="AP2355" s="156"/>
      <c r="AQ2355" s="156"/>
      <c r="AR2355" s="156"/>
      <c r="AS2355" s="156"/>
      <c r="AT2355" s="156"/>
      <c r="AU2355" s="156"/>
      <c r="AV2355" s="156"/>
      <c r="AW2355" s="156"/>
      <c r="AX2355" s="156"/>
      <c r="AY2355" s="156"/>
      <c r="AZ2355" s="156"/>
      <c r="BA2355" s="156"/>
      <c r="BB2355" s="2828"/>
      <c r="BC2355" s="452"/>
      <c r="BD2355" s="2829"/>
      <c r="BE2355" s="2837"/>
      <c r="BF2355" s="156"/>
    </row>
    <row r="2356" spans="1:58" ht="15" customHeight="1" outlineLevel="1" x14ac:dyDescent="0.35">
      <c r="A2356" s="1664"/>
      <c r="B2356" s="2812"/>
      <c r="C2356" s="3077"/>
      <c r="D2356" s="3980"/>
      <c r="E2356" s="3883"/>
      <c r="F2356" s="3984" t="str">
        <f>$E$1594</f>
        <v>ASHP-SEER15-Replace_CAC_ElectricHeat_ROF_MF</v>
      </c>
      <c r="G2356" s="3984"/>
      <c r="H2356" s="3984"/>
      <c r="I2356" s="3984"/>
      <c r="J2356" s="3501" t="str">
        <f>$C$1594</f>
        <v>352800_2019_12_</v>
      </c>
      <c r="K2356" s="3421">
        <v>3.41</v>
      </c>
      <c r="L2356" s="704"/>
      <c r="M2356" s="3020" t="s">
        <v>1510</v>
      </c>
      <c r="N2356" s="106"/>
      <c r="O2356" s="106"/>
      <c r="P2356" s="702"/>
      <c r="Q2356" s="702"/>
      <c r="R2356" s="702"/>
      <c r="S2356" s="106"/>
      <c r="T2356" s="486"/>
      <c r="U2356" s="106"/>
      <c r="V2356" s="3980"/>
      <c r="W2356" s="3421">
        <v>3.41</v>
      </c>
      <c r="X2356" s="3421">
        <v>3.41</v>
      </c>
      <c r="Y2356" s="3421">
        <v>3.41</v>
      </c>
      <c r="Z2356" s="3421">
        <v>3.41</v>
      </c>
      <c r="AA2356" s="3421">
        <v>3.41</v>
      </c>
      <c r="AB2356" s="3421">
        <v>3.41</v>
      </c>
      <c r="AC2356" s="3428">
        <v>3.41</v>
      </c>
      <c r="AD2356" s="3421">
        <v>3.41</v>
      </c>
      <c r="AE2356" s="3429"/>
      <c r="AF2356" s="3421"/>
      <c r="AG2356" s="3421"/>
      <c r="AH2356" s="156"/>
      <c r="AI2356" s="156"/>
      <c r="AJ2356" s="156"/>
      <c r="AK2356" s="156"/>
      <c r="AL2356" s="156"/>
      <c r="AM2356" s="156"/>
      <c r="AN2356" s="156"/>
      <c r="AO2356" s="156"/>
      <c r="AP2356" s="156"/>
      <c r="AQ2356" s="156"/>
      <c r="AR2356" s="156"/>
      <c r="AS2356" s="156"/>
      <c r="AT2356" s="156"/>
      <c r="AU2356" s="156"/>
      <c r="AV2356" s="156"/>
      <c r="AW2356" s="156"/>
      <c r="AX2356" s="156"/>
      <c r="AY2356" s="156"/>
      <c r="AZ2356" s="156"/>
      <c r="BA2356" s="156"/>
      <c r="BB2356" s="2828"/>
      <c r="BC2356" s="452"/>
      <c r="BD2356" s="2829"/>
      <c r="BE2356" s="2837"/>
      <c r="BF2356" s="156"/>
    </row>
    <row r="2357" spans="1:58" ht="15" customHeight="1" outlineLevel="1" x14ac:dyDescent="0.35">
      <c r="A2357" s="1664"/>
      <c r="B2357" s="2812"/>
      <c r="C2357" s="3077"/>
      <c r="D2357" s="3980"/>
      <c r="E2357" s="3883"/>
      <c r="F2357" s="3984" t="str">
        <f>$E$1596</f>
        <v>ASHP-SEER15-Replace_CAC_ElectricHeat_ROF_MF_CompE</v>
      </c>
      <c r="G2357" s="3984"/>
      <c r="H2357" s="3984"/>
      <c r="I2357" s="3984"/>
      <c r="J2357" s="3501" t="str">
        <f>$C$1596</f>
        <v>352801_2021_12_</v>
      </c>
      <c r="K2357" s="3421">
        <v>3.41</v>
      </c>
      <c r="L2357" s="704"/>
      <c r="M2357" s="3020" t="s">
        <v>1510</v>
      </c>
      <c r="N2357" s="106"/>
      <c r="O2357" s="106"/>
      <c r="P2357" s="702"/>
      <c r="Q2357" s="702"/>
      <c r="R2357" s="702"/>
      <c r="S2357" s="106"/>
      <c r="T2357" s="486"/>
      <c r="U2357" s="106"/>
      <c r="V2357" s="3980"/>
      <c r="W2357" s="3421"/>
      <c r="X2357" s="3421"/>
      <c r="Y2357" s="2374">
        <v>3.41</v>
      </c>
      <c r="Z2357" s="3421">
        <v>3.41</v>
      </c>
      <c r="AA2357" s="3421">
        <v>3.41</v>
      </c>
      <c r="AB2357" s="3421">
        <v>3.41</v>
      </c>
      <c r="AC2357" s="3428">
        <v>3.41</v>
      </c>
      <c r="AD2357" s="3421">
        <v>3.41</v>
      </c>
      <c r="AE2357" s="3429"/>
      <c r="AF2357" s="3421"/>
      <c r="AG2357" s="3421"/>
      <c r="AH2357" s="156"/>
      <c r="AI2357" s="156"/>
      <c r="AJ2357" s="156"/>
      <c r="AK2357" s="156"/>
      <c r="AL2357" s="156"/>
      <c r="AM2357" s="156"/>
      <c r="AN2357" s="156"/>
      <c r="AO2357" s="156"/>
      <c r="AP2357" s="156"/>
      <c r="AQ2357" s="156"/>
      <c r="AR2357" s="156"/>
      <c r="AS2357" s="156"/>
      <c r="AT2357" s="156"/>
      <c r="AU2357" s="156"/>
      <c r="AV2357" s="156"/>
      <c r="AW2357" s="156"/>
      <c r="AX2357" s="156"/>
      <c r="AY2357" s="156"/>
      <c r="AZ2357" s="156"/>
      <c r="BA2357" s="156"/>
      <c r="BB2357" s="2828"/>
      <c r="BC2357" s="452"/>
      <c r="BD2357" s="2829"/>
      <c r="BE2357" s="2837"/>
      <c r="BF2357" s="156"/>
    </row>
    <row r="2358" spans="1:58" ht="15" customHeight="1" outlineLevel="1" x14ac:dyDescent="0.35">
      <c r="A2358" s="1664"/>
      <c r="B2358" s="2812"/>
      <c r="C2358" s="3077"/>
      <c r="D2358" s="3980"/>
      <c r="E2358" s="3883"/>
      <c r="F2358" s="3984" t="str">
        <f>$E$1598</f>
        <v>ASHP-SEER15-Replace_CAC_NonElectricHeat_ROF_MF</v>
      </c>
      <c r="G2358" s="3984"/>
      <c r="H2358" s="3984"/>
      <c r="I2358" s="3984"/>
      <c r="J2358" s="3501" t="str">
        <f>$C$1598</f>
        <v>352810_2021_12_</v>
      </c>
      <c r="K2358" s="2042">
        <v>0</v>
      </c>
      <c r="L2358" s="704"/>
      <c r="M2358" s="3020" t="s">
        <v>1509</v>
      </c>
      <c r="N2358" s="106"/>
      <c r="O2358" s="106"/>
      <c r="P2358" s="702"/>
      <c r="Q2358" s="702"/>
      <c r="R2358" s="702"/>
      <c r="S2358" s="106"/>
      <c r="T2358" s="486"/>
      <c r="U2358" s="106"/>
      <c r="V2358" s="3980"/>
      <c r="W2358" s="3421"/>
      <c r="X2358" s="3421"/>
      <c r="Y2358" s="2374"/>
      <c r="Z2358" s="3421"/>
      <c r="AA2358" s="3421"/>
      <c r="AB2358" s="3421"/>
      <c r="AC2358" s="2292">
        <v>0</v>
      </c>
      <c r="AD2358" s="2042">
        <v>0</v>
      </c>
      <c r="AE2358" s="3429"/>
      <c r="AF2358" s="3421"/>
      <c r="AG2358" s="3421"/>
      <c r="AH2358" s="156"/>
      <c r="AI2358" s="156"/>
      <c r="AJ2358" s="156"/>
      <c r="AK2358" s="156"/>
      <c r="AL2358" s="156"/>
      <c r="AM2358" s="156"/>
      <c r="AN2358" s="156"/>
      <c r="AO2358" s="156"/>
      <c r="AP2358" s="156"/>
      <c r="AQ2358" s="156"/>
      <c r="AR2358" s="156"/>
      <c r="AS2358" s="156"/>
      <c r="AT2358" s="156"/>
      <c r="AU2358" s="156"/>
      <c r="AV2358" s="156"/>
      <c r="AW2358" s="156"/>
      <c r="AX2358" s="156"/>
      <c r="AY2358" s="156"/>
      <c r="AZ2358" s="156"/>
      <c r="BA2358" s="156"/>
      <c r="BB2358" s="2828"/>
      <c r="BC2358" s="452"/>
      <c r="BD2358" s="2829"/>
      <c r="BE2358" s="2837"/>
      <c r="BF2358" s="156"/>
    </row>
    <row r="2359" spans="1:58" ht="15" customHeight="1" outlineLevel="1" x14ac:dyDescent="0.35">
      <c r="A2359" s="1664"/>
      <c r="B2359" s="2812"/>
      <c r="C2359" s="3077"/>
      <c r="D2359" s="3980"/>
      <c r="E2359" s="3883"/>
      <c r="F2359" s="3984" t="str">
        <f>$E$1600</f>
        <v>ASHP-SEER15-Replace_CAC_NonElectricHeat_ROF_MF_CompE</v>
      </c>
      <c r="G2359" s="3984"/>
      <c r="H2359" s="3984"/>
      <c r="I2359" s="3984"/>
      <c r="J2359" s="3501" t="str">
        <f>$C$1600</f>
        <v>352811_2021_12_</v>
      </c>
      <c r="K2359" s="2042">
        <v>0</v>
      </c>
      <c r="L2359" s="704"/>
      <c r="M2359" s="3020" t="s">
        <v>1509</v>
      </c>
      <c r="N2359" s="106"/>
      <c r="O2359" s="106"/>
      <c r="P2359" s="702"/>
      <c r="Q2359" s="702"/>
      <c r="R2359" s="702"/>
      <c r="S2359" s="106"/>
      <c r="T2359" s="486"/>
      <c r="U2359" s="106"/>
      <c r="V2359" s="3980"/>
      <c r="W2359" s="3421"/>
      <c r="X2359" s="3421"/>
      <c r="Y2359" s="2374"/>
      <c r="Z2359" s="3421"/>
      <c r="AA2359" s="3421"/>
      <c r="AB2359" s="3421"/>
      <c r="AC2359" s="2292">
        <v>0</v>
      </c>
      <c r="AD2359" s="2042">
        <v>0</v>
      </c>
      <c r="AE2359" s="3429"/>
      <c r="AF2359" s="3421"/>
      <c r="AG2359" s="3421"/>
      <c r="AH2359" s="156"/>
      <c r="AI2359" s="156"/>
      <c r="AJ2359" s="156"/>
      <c r="AK2359" s="156"/>
      <c r="AL2359" s="156"/>
      <c r="AM2359" s="156"/>
      <c r="AN2359" s="156"/>
      <c r="AO2359" s="156"/>
      <c r="AP2359" s="156"/>
      <c r="AQ2359" s="156"/>
      <c r="AR2359" s="156"/>
      <c r="AS2359" s="156"/>
      <c r="AT2359" s="156"/>
      <c r="AU2359" s="156"/>
      <c r="AV2359" s="156"/>
      <c r="AW2359" s="156"/>
      <c r="AX2359" s="156"/>
      <c r="AY2359" s="156"/>
      <c r="AZ2359" s="156"/>
      <c r="BA2359" s="156"/>
      <c r="BB2359" s="2828"/>
      <c r="BC2359" s="452"/>
      <c r="BD2359" s="2829"/>
      <c r="BE2359" s="2837"/>
      <c r="BF2359" s="156"/>
    </row>
    <row r="2360" spans="1:58" ht="15" customHeight="1" outlineLevel="1" x14ac:dyDescent="0.35">
      <c r="A2360" s="1664"/>
      <c r="B2360" s="2812"/>
      <c r="C2360" s="3077"/>
      <c r="D2360" s="3980"/>
      <c r="E2360" s="3883"/>
      <c r="F2360" s="3984" t="str">
        <f>$E$1602</f>
        <v>ASHP-SEER16_ER1_MF</v>
      </c>
      <c r="G2360" s="3984"/>
      <c r="H2360" s="3984"/>
      <c r="I2360" s="3984"/>
      <c r="J2360" s="3501" t="str">
        <f>$C$1602</f>
        <v>352850_2021_12_</v>
      </c>
      <c r="K2360" s="3421">
        <v>6.58</v>
      </c>
      <c r="L2360" s="704"/>
      <c r="M2360" s="3020" t="s">
        <v>1510</v>
      </c>
      <c r="N2360" s="106"/>
      <c r="O2360" s="106"/>
      <c r="P2360" s="702"/>
      <c r="Q2360" s="702"/>
      <c r="R2360" s="702"/>
      <c r="S2360" s="106"/>
      <c r="T2360" s="486"/>
      <c r="U2360" s="106"/>
      <c r="V2360" s="3980"/>
      <c r="W2360" s="3421">
        <v>5.44</v>
      </c>
      <c r="X2360" s="2374">
        <v>6.58</v>
      </c>
      <c r="Y2360" s="3421">
        <v>6.58</v>
      </c>
      <c r="Z2360" s="3421">
        <v>6.58</v>
      </c>
      <c r="AA2360" s="3421">
        <v>6.58</v>
      </c>
      <c r="AB2360" s="3421">
        <v>6.58</v>
      </c>
      <c r="AC2360" s="3428">
        <v>6.58</v>
      </c>
      <c r="AD2360" s="3421">
        <v>6.58</v>
      </c>
      <c r="AE2360" s="3429"/>
      <c r="AF2360" s="3421"/>
      <c r="AG2360" s="3421"/>
      <c r="AH2360" s="156"/>
      <c r="AI2360" s="156"/>
      <c r="AJ2360" s="156"/>
      <c r="AK2360" s="156"/>
      <c r="AL2360" s="156"/>
      <c r="AM2360" s="156"/>
      <c r="AN2360" s="156"/>
      <c r="AO2360" s="156"/>
      <c r="AP2360" s="156"/>
      <c r="AQ2360" s="156"/>
      <c r="AR2360" s="156"/>
      <c r="AS2360" s="156"/>
      <c r="AT2360" s="156"/>
      <c r="AU2360" s="156"/>
      <c r="AV2360" s="156"/>
      <c r="AW2360" s="156"/>
      <c r="AX2360" s="156"/>
      <c r="AY2360" s="156"/>
      <c r="AZ2360" s="156"/>
      <c r="BA2360" s="156"/>
      <c r="BB2360" s="2828"/>
      <c r="BC2360" s="452"/>
      <c r="BD2360" s="2829"/>
      <c r="BE2360" s="2837"/>
      <c r="BF2360" s="156"/>
    </row>
    <row r="2361" spans="1:58" ht="15" customHeight="1" outlineLevel="1" x14ac:dyDescent="0.35">
      <c r="A2361" s="1664"/>
      <c r="B2361" s="2812"/>
      <c r="C2361" s="3077"/>
      <c r="D2361" s="3980"/>
      <c r="E2361" s="3883"/>
      <c r="F2361" s="3984" t="str">
        <f>$E$1604</f>
        <v>ASHP-SEER16_ER2_MF</v>
      </c>
      <c r="G2361" s="3984"/>
      <c r="H2361" s="3984"/>
      <c r="I2361" s="3984"/>
      <c r="J2361" s="3501" t="str">
        <f>$C$1604</f>
        <v>352850_2021_12_</v>
      </c>
      <c r="K2361" s="3421">
        <v>8.1999999999999993</v>
      </c>
      <c r="L2361" s="704"/>
      <c r="M2361" s="3020" t="s">
        <v>1510</v>
      </c>
      <c r="N2361" s="106"/>
      <c r="O2361" s="106"/>
      <c r="P2361" s="702"/>
      <c r="Q2361" s="702"/>
      <c r="R2361" s="702"/>
      <c r="S2361" s="106"/>
      <c r="T2361" s="486"/>
      <c r="U2361" s="106"/>
      <c r="V2361" s="3980"/>
      <c r="W2361" s="3421">
        <v>8.1999999999999993</v>
      </c>
      <c r="X2361" s="3421">
        <v>8.1999999999999993</v>
      </c>
      <c r="Y2361" s="3421">
        <v>8.1999999999999993</v>
      </c>
      <c r="Z2361" s="3421">
        <v>8.1999999999999993</v>
      </c>
      <c r="AA2361" s="3421">
        <v>8.1999999999999993</v>
      </c>
      <c r="AB2361" s="3421">
        <v>8.1999999999999993</v>
      </c>
      <c r="AC2361" s="3428">
        <v>8.1999999999999993</v>
      </c>
      <c r="AD2361" s="3421">
        <v>8.1999999999999993</v>
      </c>
      <c r="AE2361" s="3429"/>
      <c r="AF2361" s="3421"/>
      <c r="AG2361" s="3421"/>
      <c r="AH2361" s="156"/>
      <c r="AI2361" s="156"/>
      <c r="AJ2361" s="156"/>
      <c r="AK2361" s="156"/>
      <c r="AL2361" s="156"/>
      <c r="AM2361" s="156"/>
      <c r="AN2361" s="156"/>
      <c r="AO2361" s="156"/>
      <c r="AP2361" s="156"/>
      <c r="AQ2361" s="156"/>
      <c r="AR2361" s="156"/>
      <c r="AS2361" s="156"/>
      <c r="AT2361" s="156"/>
      <c r="AU2361" s="156"/>
      <c r="AV2361" s="156"/>
      <c r="AW2361" s="156"/>
      <c r="AX2361" s="156"/>
      <c r="AY2361" s="156"/>
      <c r="AZ2361" s="156"/>
      <c r="BA2361" s="156"/>
      <c r="BB2361" s="2828"/>
      <c r="BC2361" s="452"/>
      <c r="BD2361" s="2829"/>
      <c r="BE2361" s="2837"/>
      <c r="BF2361" s="156"/>
    </row>
    <row r="2362" spans="1:58" ht="15" customHeight="1" outlineLevel="1" x14ac:dyDescent="0.35">
      <c r="A2362" s="1664"/>
      <c r="B2362" s="2812"/>
      <c r="C2362" s="3077"/>
      <c r="D2362" s="3980"/>
      <c r="E2362" s="3883"/>
      <c r="F2362" s="3984" t="str">
        <f>$E$1606</f>
        <v>ASHP-SEER16_ER1_MF_CompE</v>
      </c>
      <c r="G2362" s="3984"/>
      <c r="H2362" s="3984"/>
      <c r="I2362" s="3984"/>
      <c r="J2362" s="3501" t="str">
        <f>$C$1606</f>
        <v>352851_2021_12_</v>
      </c>
      <c r="K2362" s="3421">
        <v>6.58</v>
      </c>
      <c r="L2362" s="704"/>
      <c r="M2362" s="3020" t="s">
        <v>1510</v>
      </c>
      <c r="N2362" s="106"/>
      <c r="O2362" s="106"/>
      <c r="P2362" s="702"/>
      <c r="Q2362" s="702"/>
      <c r="R2362" s="702"/>
      <c r="S2362" s="106"/>
      <c r="T2362" s="486"/>
      <c r="U2362" s="106"/>
      <c r="V2362" s="3980"/>
      <c r="W2362" s="3421"/>
      <c r="X2362" s="3421"/>
      <c r="Y2362" s="2374">
        <v>6.58</v>
      </c>
      <c r="Z2362" s="3421">
        <v>6.58</v>
      </c>
      <c r="AA2362" s="3421">
        <v>6.58</v>
      </c>
      <c r="AB2362" s="3421">
        <v>6.58</v>
      </c>
      <c r="AC2362" s="3428">
        <v>6.58</v>
      </c>
      <c r="AD2362" s="3421">
        <v>6.58</v>
      </c>
      <c r="AE2362" s="3429"/>
      <c r="AF2362" s="3421"/>
      <c r="AG2362" s="3421"/>
      <c r="AH2362" s="156"/>
      <c r="AI2362" s="156"/>
      <c r="AJ2362" s="156"/>
      <c r="AK2362" s="156"/>
      <c r="AL2362" s="156"/>
      <c r="AM2362" s="156"/>
      <c r="AN2362" s="156"/>
      <c r="AO2362" s="156"/>
      <c r="AP2362" s="156"/>
      <c r="AQ2362" s="156"/>
      <c r="AR2362" s="156"/>
      <c r="AS2362" s="156"/>
      <c r="AT2362" s="156"/>
      <c r="AU2362" s="156"/>
      <c r="AV2362" s="156"/>
      <c r="AW2362" s="156"/>
      <c r="AX2362" s="156"/>
      <c r="AY2362" s="156"/>
      <c r="AZ2362" s="156"/>
      <c r="BA2362" s="156"/>
      <c r="BB2362" s="2828"/>
      <c r="BC2362" s="452"/>
      <c r="BD2362" s="2829"/>
      <c r="BE2362" s="2837"/>
      <c r="BF2362" s="156"/>
    </row>
    <row r="2363" spans="1:58" ht="15" customHeight="1" outlineLevel="1" x14ac:dyDescent="0.35">
      <c r="A2363" s="1664"/>
      <c r="B2363" s="2812"/>
      <c r="C2363" s="3077"/>
      <c r="D2363" s="3980"/>
      <c r="E2363" s="3883"/>
      <c r="F2363" s="3984" t="str">
        <f>$E$1608</f>
        <v>ASHP-SEER16_ER2_MF_CompE</v>
      </c>
      <c r="G2363" s="3984"/>
      <c r="H2363" s="3984"/>
      <c r="I2363" s="3984"/>
      <c r="J2363" s="3501" t="str">
        <f>$C$1608</f>
        <v>352851_2021_12_</v>
      </c>
      <c r="K2363" s="3421">
        <v>8.1999999999999993</v>
      </c>
      <c r="L2363" s="704"/>
      <c r="M2363" s="3020" t="s">
        <v>1510</v>
      </c>
      <c r="N2363" s="106"/>
      <c r="O2363" s="106"/>
      <c r="P2363" s="702"/>
      <c r="Q2363" s="702"/>
      <c r="R2363" s="702"/>
      <c r="S2363" s="106"/>
      <c r="T2363" s="486"/>
      <c r="U2363" s="106"/>
      <c r="V2363" s="3980"/>
      <c r="W2363" s="3421"/>
      <c r="X2363" s="3421"/>
      <c r="Y2363" s="2374">
        <v>8.1999999999999993</v>
      </c>
      <c r="Z2363" s="3421">
        <v>8.1999999999999993</v>
      </c>
      <c r="AA2363" s="3421">
        <v>8.1999999999999993</v>
      </c>
      <c r="AB2363" s="3421">
        <v>8.1999999999999993</v>
      </c>
      <c r="AC2363" s="3428">
        <v>8.1999999999999993</v>
      </c>
      <c r="AD2363" s="3421">
        <v>8.1999999999999993</v>
      </c>
      <c r="AE2363" s="3429"/>
      <c r="AF2363" s="3421"/>
      <c r="AG2363" s="3421"/>
      <c r="AH2363" s="156"/>
      <c r="AI2363" s="156"/>
      <c r="AJ2363" s="156"/>
      <c r="AK2363" s="156"/>
      <c r="AL2363" s="156"/>
      <c r="AM2363" s="156"/>
      <c r="AN2363" s="156"/>
      <c r="AO2363" s="156"/>
      <c r="AP2363" s="156"/>
      <c r="AQ2363" s="156"/>
      <c r="AR2363" s="156"/>
      <c r="AS2363" s="156"/>
      <c r="AT2363" s="156"/>
      <c r="AU2363" s="156"/>
      <c r="AV2363" s="156"/>
      <c r="AW2363" s="156"/>
      <c r="AX2363" s="156"/>
      <c r="AY2363" s="156"/>
      <c r="AZ2363" s="156"/>
      <c r="BA2363" s="156"/>
      <c r="BB2363" s="2828"/>
      <c r="BC2363" s="452"/>
      <c r="BD2363" s="2829"/>
      <c r="BE2363" s="2837"/>
      <c r="BF2363" s="156"/>
    </row>
    <row r="2364" spans="1:58" ht="15" customHeight="1" outlineLevel="1" x14ac:dyDescent="0.35">
      <c r="A2364" s="1664"/>
      <c r="B2364" s="2812"/>
      <c r="C2364" s="3077"/>
      <c r="D2364" s="3980"/>
      <c r="E2364" s="3883"/>
      <c r="F2364" s="3984" t="str">
        <f>$E$1610</f>
        <v>ASHP-SEER16_ROF_MF</v>
      </c>
      <c r="G2364" s="3984"/>
      <c r="H2364" s="3984"/>
      <c r="I2364" s="3984"/>
      <c r="J2364" s="3501" t="str">
        <f>$C$1610</f>
        <v>352900_2021_12_</v>
      </c>
      <c r="K2364" s="3421">
        <v>8.1999999999999993</v>
      </c>
      <c r="L2364" s="704"/>
      <c r="M2364" s="3020" t="s">
        <v>1510</v>
      </c>
      <c r="N2364" s="106"/>
      <c r="O2364" s="106"/>
      <c r="P2364" s="702"/>
      <c r="Q2364" s="702"/>
      <c r="R2364" s="702"/>
      <c r="S2364" s="106"/>
      <c r="T2364" s="486"/>
      <c r="U2364" s="106"/>
      <c r="V2364" s="3980"/>
      <c r="W2364" s="3421">
        <v>8.1999999999999993</v>
      </c>
      <c r="X2364" s="3421">
        <v>8.1999999999999993</v>
      </c>
      <c r="Y2364" s="3421">
        <v>8.1999999999999993</v>
      </c>
      <c r="Z2364" s="3421">
        <v>8.1999999999999993</v>
      </c>
      <c r="AA2364" s="3421">
        <v>8.1999999999999993</v>
      </c>
      <c r="AB2364" s="3421">
        <v>8.1999999999999993</v>
      </c>
      <c r="AC2364" s="3428">
        <v>8.1999999999999993</v>
      </c>
      <c r="AD2364" s="3421">
        <v>8.1999999999999993</v>
      </c>
      <c r="AE2364" s="3429"/>
      <c r="AF2364" s="3421"/>
      <c r="AG2364" s="3421"/>
      <c r="AH2364" s="156"/>
      <c r="AI2364" s="156"/>
      <c r="AJ2364" s="156"/>
      <c r="AK2364" s="156"/>
      <c r="AL2364" s="156"/>
      <c r="AM2364" s="156"/>
      <c r="AN2364" s="156"/>
      <c r="AO2364" s="156"/>
      <c r="AP2364" s="156"/>
      <c r="AQ2364" s="156"/>
      <c r="AR2364" s="156"/>
      <c r="AS2364" s="156"/>
      <c r="AT2364" s="156"/>
      <c r="AU2364" s="156"/>
      <c r="AV2364" s="156"/>
      <c r="AW2364" s="156"/>
      <c r="AX2364" s="156"/>
      <c r="AY2364" s="156"/>
      <c r="AZ2364" s="156"/>
      <c r="BA2364" s="156"/>
      <c r="BB2364" s="2828"/>
      <c r="BC2364" s="452"/>
      <c r="BD2364" s="2829"/>
      <c r="BE2364" s="2837"/>
      <c r="BF2364" s="156"/>
    </row>
    <row r="2365" spans="1:58" ht="15" customHeight="1" outlineLevel="1" x14ac:dyDescent="0.35">
      <c r="A2365" s="1664"/>
      <c r="B2365" s="2812"/>
      <c r="C2365" s="3077"/>
      <c r="D2365" s="3980"/>
      <c r="E2365" s="3883"/>
      <c r="F2365" s="3984" t="str">
        <f>$E$1612</f>
        <v>ASHP-SEER16_ROF_MF_CompE</v>
      </c>
      <c r="G2365" s="3984"/>
      <c r="H2365" s="3984"/>
      <c r="I2365" s="3984"/>
      <c r="J2365" s="3501" t="str">
        <f>$C$1612</f>
        <v>352901_2021_12_</v>
      </c>
      <c r="K2365" s="3421">
        <v>8.1999999999999993</v>
      </c>
      <c r="L2365" s="704"/>
      <c r="M2365" s="3020" t="s">
        <v>1510</v>
      </c>
      <c r="N2365" s="106"/>
      <c r="O2365" s="106"/>
      <c r="P2365" s="702"/>
      <c r="Q2365" s="702"/>
      <c r="R2365" s="702"/>
      <c r="S2365" s="106"/>
      <c r="T2365" s="486"/>
      <c r="U2365" s="106"/>
      <c r="V2365" s="3980"/>
      <c r="W2365" s="3421"/>
      <c r="X2365" s="3421"/>
      <c r="Y2365" s="2374">
        <v>8.1999999999999993</v>
      </c>
      <c r="Z2365" s="3421">
        <v>8.1999999999999993</v>
      </c>
      <c r="AA2365" s="3421">
        <v>8.1999999999999993</v>
      </c>
      <c r="AB2365" s="3421">
        <v>8.1999999999999993</v>
      </c>
      <c r="AC2365" s="3428">
        <v>8.1999999999999993</v>
      </c>
      <c r="AD2365" s="3421">
        <v>8.1999999999999993</v>
      </c>
      <c r="AE2365" s="3429"/>
      <c r="AF2365" s="3421"/>
      <c r="AG2365" s="3421"/>
      <c r="AH2365" s="156"/>
      <c r="AI2365" s="156"/>
      <c r="AJ2365" s="156"/>
      <c r="AK2365" s="156"/>
      <c r="AL2365" s="156"/>
      <c r="AM2365" s="156"/>
      <c r="AN2365" s="156"/>
      <c r="AO2365" s="156"/>
      <c r="AP2365" s="156"/>
      <c r="AQ2365" s="156"/>
      <c r="AR2365" s="156"/>
      <c r="AS2365" s="156"/>
      <c r="AT2365" s="156"/>
      <c r="AU2365" s="156"/>
      <c r="AV2365" s="156"/>
      <c r="AW2365" s="156"/>
      <c r="AX2365" s="156"/>
      <c r="AY2365" s="156"/>
      <c r="AZ2365" s="156"/>
      <c r="BA2365" s="156"/>
      <c r="BB2365" s="2828"/>
      <c r="BC2365" s="452"/>
      <c r="BD2365" s="2829"/>
      <c r="BE2365" s="2837"/>
      <c r="BF2365" s="156"/>
    </row>
    <row r="2366" spans="1:58" ht="15" customHeight="1" outlineLevel="1" x14ac:dyDescent="0.35">
      <c r="A2366" s="1664"/>
      <c r="B2366" s="2812"/>
      <c r="C2366" s="3077"/>
      <c r="D2366" s="3980"/>
      <c r="E2366" s="3883"/>
      <c r="F2366" s="3984" t="str">
        <f>$E$1614</f>
        <v>ASHP-SEER16-Replace_CAC_ElectricHeat_ROF_MF</v>
      </c>
      <c r="G2366" s="3984"/>
      <c r="H2366" s="3984"/>
      <c r="I2366" s="3984"/>
      <c r="J2366" s="3501" t="str">
        <f>$C$1614</f>
        <v>352950_2019_12_</v>
      </c>
      <c r="K2366" s="3421">
        <v>3.41</v>
      </c>
      <c r="L2366" s="704"/>
      <c r="M2366" s="3020" t="s">
        <v>1510</v>
      </c>
      <c r="N2366" s="106"/>
      <c r="O2366" s="106"/>
      <c r="P2366" s="702"/>
      <c r="Q2366" s="702"/>
      <c r="R2366" s="702"/>
      <c r="S2366" s="106"/>
      <c r="T2366" s="486"/>
      <c r="U2366" s="106"/>
      <c r="V2366" s="3980"/>
      <c r="W2366" s="3421">
        <v>3.41</v>
      </c>
      <c r="X2366" s="3421">
        <v>3.41</v>
      </c>
      <c r="Y2366" s="3421">
        <v>3.41</v>
      </c>
      <c r="Z2366" s="3421">
        <v>3.41</v>
      </c>
      <c r="AA2366" s="3421">
        <v>3.41</v>
      </c>
      <c r="AB2366" s="3421">
        <v>3.41</v>
      </c>
      <c r="AC2366" s="3428">
        <v>3.41</v>
      </c>
      <c r="AD2366" s="3421">
        <v>3.41</v>
      </c>
      <c r="AE2366" s="3429"/>
      <c r="AF2366" s="3421"/>
      <c r="AG2366" s="3421"/>
      <c r="AH2366" s="156"/>
      <c r="AI2366" s="156"/>
      <c r="AJ2366" s="156"/>
      <c r="AK2366" s="156"/>
      <c r="AL2366" s="156"/>
      <c r="AM2366" s="156"/>
      <c r="AN2366" s="156"/>
      <c r="AO2366" s="156"/>
      <c r="AP2366" s="156"/>
      <c r="AQ2366" s="156"/>
      <c r="AR2366" s="156"/>
      <c r="AS2366" s="156"/>
      <c r="AT2366" s="156"/>
      <c r="AU2366" s="156"/>
      <c r="AV2366" s="156"/>
      <c r="AW2366" s="156"/>
      <c r="AX2366" s="156"/>
      <c r="AY2366" s="156"/>
      <c r="AZ2366" s="156"/>
      <c r="BA2366" s="156"/>
      <c r="BB2366" s="2828"/>
      <c r="BC2366" s="452"/>
      <c r="BD2366" s="2829"/>
      <c r="BE2366" s="2837"/>
      <c r="BF2366" s="156"/>
    </row>
    <row r="2367" spans="1:58" ht="15" customHeight="1" outlineLevel="1" x14ac:dyDescent="0.35">
      <c r="A2367" s="1664"/>
      <c r="B2367" s="2812"/>
      <c r="C2367" s="3077"/>
      <c r="D2367" s="3980"/>
      <c r="E2367" s="3883"/>
      <c r="F2367" s="3984" t="str">
        <f>$E$1616</f>
        <v>ASHP-SEER16-Replace_CAC_ElectricHeat_ROF_MF_CompE</v>
      </c>
      <c r="G2367" s="3984"/>
      <c r="H2367" s="3984"/>
      <c r="I2367" s="3984"/>
      <c r="J2367" s="3501" t="str">
        <f>$C$1616</f>
        <v>352951_2019_12_</v>
      </c>
      <c r="K2367" s="3421">
        <v>3.41</v>
      </c>
      <c r="L2367" s="704"/>
      <c r="M2367" s="3020" t="s">
        <v>1510</v>
      </c>
      <c r="N2367" s="106"/>
      <c r="O2367" s="106"/>
      <c r="P2367" s="702"/>
      <c r="Q2367" s="702"/>
      <c r="R2367" s="702"/>
      <c r="S2367" s="106"/>
      <c r="T2367" s="486"/>
      <c r="U2367" s="106"/>
      <c r="V2367" s="3980"/>
      <c r="W2367" s="3421"/>
      <c r="X2367" s="3421"/>
      <c r="Y2367" s="2374">
        <v>3.41</v>
      </c>
      <c r="Z2367" s="3421">
        <v>3.41</v>
      </c>
      <c r="AA2367" s="3421">
        <v>3.41</v>
      </c>
      <c r="AB2367" s="3421">
        <v>3.41</v>
      </c>
      <c r="AC2367" s="3428">
        <v>3.41</v>
      </c>
      <c r="AD2367" s="3421">
        <v>3.41</v>
      </c>
      <c r="AE2367" s="3429"/>
      <c r="AF2367" s="3421"/>
      <c r="AG2367" s="3421"/>
      <c r="AH2367" s="156"/>
      <c r="AI2367" s="156"/>
      <c r="AJ2367" s="156"/>
      <c r="AK2367" s="156"/>
      <c r="AL2367" s="156"/>
      <c r="AM2367" s="156"/>
      <c r="AN2367" s="156"/>
      <c r="AO2367" s="156"/>
      <c r="AP2367" s="156"/>
      <c r="AQ2367" s="156"/>
      <c r="AR2367" s="156"/>
      <c r="AS2367" s="156"/>
      <c r="AT2367" s="156"/>
      <c r="AU2367" s="156"/>
      <c r="AV2367" s="156"/>
      <c r="AW2367" s="156"/>
      <c r="AX2367" s="156"/>
      <c r="AY2367" s="156"/>
      <c r="AZ2367" s="156"/>
      <c r="BA2367" s="156"/>
      <c r="BB2367" s="2828"/>
      <c r="BC2367" s="452"/>
      <c r="BD2367" s="2829"/>
      <c r="BE2367" s="2837"/>
      <c r="BF2367" s="156"/>
    </row>
    <row r="2368" spans="1:58" ht="15" customHeight="1" outlineLevel="1" x14ac:dyDescent="0.35">
      <c r="A2368" s="1664"/>
      <c r="B2368" s="2812"/>
      <c r="C2368" s="3077"/>
      <c r="D2368" s="3980"/>
      <c r="E2368" s="3883"/>
      <c r="F2368" s="3984" t="str">
        <f>$E$1618</f>
        <v>ASHP-SEER16-Replace_CAC_NonElectricHeat_ROF_MF</v>
      </c>
      <c r="G2368" s="3984"/>
      <c r="H2368" s="3984"/>
      <c r="I2368" s="3984"/>
      <c r="J2368" s="3501" t="str">
        <f>$C$1618</f>
        <v>352960_2021_12_</v>
      </c>
      <c r="K2368" s="2042">
        <v>0</v>
      </c>
      <c r="L2368" s="704"/>
      <c r="M2368" s="3020" t="s">
        <v>1509</v>
      </c>
      <c r="N2368" s="106"/>
      <c r="O2368" s="106"/>
      <c r="P2368" s="702"/>
      <c r="Q2368" s="702"/>
      <c r="R2368" s="702"/>
      <c r="S2368" s="106"/>
      <c r="T2368" s="486"/>
      <c r="U2368" s="106"/>
      <c r="V2368" s="3980"/>
      <c r="W2368" s="3421"/>
      <c r="X2368" s="3421"/>
      <c r="Y2368" s="2374"/>
      <c r="Z2368" s="3421"/>
      <c r="AA2368" s="3421"/>
      <c r="AB2368" s="3421"/>
      <c r="AC2368" s="2292">
        <v>0</v>
      </c>
      <c r="AD2368" s="2042">
        <v>0</v>
      </c>
      <c r="AE2368" s="3429"/>
      <c r="AF2368" s="3421"/>
      <c r="AG2368" s="3421"/>
      <c r="AH2368" s="156"/>
      <c r="AI2368" s="156"/>
      <c r="AJ2368" s="156"/>
      <c r="AK2368" s="156"/>
      <c r="AL2368" s="156"/>
      <c r="AM2368" s="156"/>
      <c r="AN2368" s="156"/>
      <c r="AO2368" s="156"/>
      <c r="AP2368" s="156"/>
      <c r="AQ2368" s="156"/>
      <c r="AR2368" s="156"/>
      <c r="AS2368" s="156"/>
      <c r="AT2368" s="156"/>
      <c r="AU2368" s="156"/>
      <c r="AV2368" s="156"/>
      <c r="AW2368" s="156"/>
      <c r="AX2368" s="156"/>
      <c r="AY2368" s="156"/>
      <c r="AZ2368" s="156"/>
      <c r="BA2368" s="156"/>
      <c r="BB2368" s="2828"/>
      <c r="BC2368" s="452"/>
      <c r="BD2368" s="2829"/>
      <c r="BE2368" s="2837"/>
      <c r="BF2368" s="156"/>
    </row>
    <row r="2369" spans="1:58" ht="15" customHeight="1" outlineLevel="1" x14ac:dyDescent="0.35">
      <c r="A2369" s="1664"/>
      <c r="B2369" s="2812"/>
      <c r="C2369" s="3077"/>
      <c r="D2369" s="3980"/>
      <c r="E2369" s="3883"/>
      <c r="F2369" s="3984" t="str">
        <f>$E$1620</f>
        <v>ASHP-SEER16-Replace_CAC_NonElectricHeat_ROF_MF_CompE</v>
      </c>
      <c r="G2369" s="3984"/>
      <c r="H2369" s="3984"/>
      <c r="I2369" s="3984"/>
      <c r="J2369" s="3501" t="str">
        <f>$C$1620</f>
        <v>352961_2021_12_</v>
      </c>
      <c r="K2369" s="2042">
        <v>0</v>
      </c>
      <c r="L2369" s="704"/>
      <c r="M2369" s="3020" t="s">
        <v>1509</v>
      </c>
      <c r="N2369" s="106"/>
      <c r="O2369" s="106"/>
      <c r="P2369" s="702"/>
      <c r="Q2369" s="702"/>
      <c r="R2369" s="702"/>
      <c r="S2369" s="106"/>
      <c r="T2369" s="486"/>
      <c r="U2369" s="106"/>
      <c r="V2369" s="3980"/>
      <c r="W2369" s="3421"/>
      <c r="X2369" s="3421"/>
      <c r="Y2369" s="2374"/>
      <c r="Z2369" s="3421"/>
      <c r="AA2369" s="3421"/>
      <c r="AB2369" s="3421"/>
      <c r="AC2369" s="2292">
        <v>0</v>
      </c>
      <c r="AD2369" s="2042">
        <v>0</v>
      </c>
      <c r="AE2369" s="3429"/>
      <c r="AF2369" s="3421"/>
      <c r="AG2369" s="3421"/>
      <c r="AH2369" s="156"/>
      <c r="AI2369" s="156"/>
      <c r="AJ2369" s="156"/>
      <c r="AK2369" s="156"/>
      <c r="AL2369" s="156"/>
      <c r="AM2369" s="156"/>
      <c r="AN2369" s="156"/>
      <c r="AO2369" s="156"/>
      <c r="AP2369" s="156"/>
      <c r="AQ2369" s="156"/>
      <c r="AR2369" s="156"/>
      <c r="AS2369" s="156"/>
      <c r="AT2369" s="156"/>
      <c r="AU2369" s="156"/>
      <c r="AV2369" s="156"/>
      <c r="AW2369" s="156"/>
      <c r="AX2369" s="156"/>
      <c r="AY2369" s="156"/>
      <c r="AZ2369" s="156"/>
      <c r="BA2369" s="156"/>
      <c r="BB2369" s="2828"/>
      <c r="BC2369" s="452"/>
      <c r="BD2369" s="2829"/>
      <c r="BE2369" s="2837"/>
      <c r="BF2369" s="156"/>
    </row>
    <row r="2370" spans="1:58" ht="15" customHeight="1" outlineLevel="1" x14ac:dyDescent="0.35">
      <c r="A2370" s="1664"/>
      <c r="B2370" s="2812"/>
      <c r="C2370" s="3077"/>
      <c r="D2370" s="3980"/>
      <c r="E2370" s="3883"/>
      <c r="F2370" s="3984" t="str">
        <f>$E$1622</f>
        <v>ASHP-SEER16-Replace_CAC_ElectricHeat_ER1_MF</v>
      </c>
      <c r="G2370" s="3984"/>
      <c r="H2370" s="3984"/>
      <c r="I2370" s="3984"/>
      <c r="J2370" s="3501" t="str">
        <f>$C$1622</f>
        <v>353000_2021_12_</v>
      </c>
      <c r="K2370" s="3421">
        <v>3.41</v>
      </c>
      <c r="L2370" s="704"/>
      <c r="M2370" s="3020" t="s">
        <v>1510</v>
      </c>
      <c r="N2370" s="106"/>
      <c r="O2370" s="106"/>
      <c r="P2370" s="702"/>
      <c r="Q2370" s="702"/>
      <c r="R2370" s="702"/>
      <c r="S2370" s="106"/>
      <c r="T2370" s="486"/>
      <c r="U2370" s="106"/>
      <c r="V2370" s="3980"/>
      <c r="W2370" s="3421">
        <v>3.41</v>
      </c>
      <c r="X2370" s="3421">
        <v>3.41</v>
      </c>
      <c r="Y2370" s="3421">
        <v>3.41</v>
      </c>
      <c r="Z2370" s="3421">
        <v>3.41</v>
      </c>
      <c r="AA2370" s="3421">
        <v>3.41</v>
      </c>
      <c r="AB2370" s="3421">
        <v>3.41</v>
      </c>
      <c r="AC2370" s="3428">
        <v>3.41</v>
      </c>
      <c r="AD2370" s="3421">
        <v>3.41</v>
      </c>
      <c r="AE2370" s="3429"/>
      <c r="AF2370" s="3421"/>
      <c r="AG2370" s="3421"/>
      <c r="AH2370" s="156"/>
      <c r="AI2370" s="156"/>
      <c r="AJ2370" s="156"/>
      <c r="AK2370" s="156"/>
      <c r="AL2370" s="156"/>
      <c r="AM2370" s="156"/>
      <c r="AN2370" s="156"/>
      <c r="AO2370" s="156"/>
      <c r="AP2370" s="156"/>
      <c r="AQ2370" s="156"/>
      <c r="AR2370" s="156"/>
      <c r="AS2370" s="156"/>
      <c r="AT2370" s="156"/>
      <c r="AU2370" s="156"/>
      <c r="AV2370" s="156"/>
      <c r="AW2370" s="156"/>
      <c r="AX2370" s="156"/>
      <c r="AY2370" s="156"/>
      <c r="AZ2370" s="156"/>
      <c r="BA2370" s="156"/>
      <c r="BB2370" s="2828"/>
      <c r="BC2370" s="452"/>
      <c r="BD2370" s="2829"/>
      <c r="BE2370" s="2837"/>
      <c r="BF2370" s="156"/>
    </row>
    <row r="2371" spans="1:58" ht="15" customHeight="1" outlineLevel="1" x14ac:dyDescent="0.35">
      <c r="A2371" s="1664"/>
      <c r="B2371" s="2812"/>
      <c r="C2371" s="3077"/>
      <c r="D2371" s="3980"/>
      <c r="E2371" s="3883"/>
      <c r="F2371" s="3984" t="str">
        <f>$E$1624</f>
        <v>ASHP-SEER16-Replace_CAC_ElectricHeat_ER2_MF</v>
      </c>
      <c r="G2371" s="3984"/>
      <c r="H2371" s="3984"/>
      <c r="I2371" s="3984"/>
      <c r="J2371" s="3501" t="str">
        <f>$C$1624</f>
        <v>353000_2021_12_</v>
      </c>
      <c r="K2371" s="3421">
        <v>3.41</v>
      </c>
      <c r="L2371" s="704"/>
      <c r="M2371" s="3020" t="s">
        <v>1510</v>
      </c>
      <c r="N2371" s="106"/>
      <c r="O2371" s="106"/>
      <c r="P2371" s="702"/>
      <c r="Q2371" s="702"/>
      <c r="R2371" s="702"/>
      <c r="S2371" s="106"/>
      <c r="T2371" s="486"/>
      <c r="U2371" s="106"/>
      <c r="V2371" s="3980"/>
      <c r="W2371" s="3421">
        <v>3.41</v>
      </c>
      <c r="X2371" s="3421">
        <v>3.41</v>
      </c>
      <c r="Y2371" s="3421">
        <v>3.41</v>
      </c>
      <c r="Z2371" s="3421">
        <v>3.41</v>
      </c>
      <c r="AA2371" s="3421">
        <v>3.41</v>
      </c>
      <c r="AB2371" s="3421">
        <v>3.41</v>
      </c>
      <c r="AC2371" s="3428">
        <v>3.41</v>
      </c>
      <c r="AD2371" s="3421">
        <v>3.41</v>
      </c>
      <c r="AE2371" s="3429"/>
      <c r="AF2371" s="3421"/>
      <c r="AG2371" s="3421"/>
      <c r="AH2371" s="156"/>
      <c r="AI2371" s="156"/>
      <c r="AJ2371" s="156"/>
      <c r="AK2371" s="156"/>
      <c r="AL2371" s="156"/>
      <c r="AM2371" s="156"/>
      <c r="AN2371" s="156"/>
      <c r="AO2371" s="156"/>
      <c r="AP2371" s="156"/>
      <c r="AQ2371" s="156"/>
      <c r="AR2371" s="156"/>
      <c r="AS2371" s="156"/>
      <c r="AT2371" s="156"/>
      <c r="AU2371" s="156"/>
      <c r="AV2371" s="156"/>
      <c r="AW2371" s="156"/>
      <c r="AX2371" s="156"/>
      <c r="AY2371" s="156"/>
      <c r="AZ2371" s="156"/>
      <c r="BA2371" s="156"/>
      <c r="BB2371" s="2828"/>
      <c r="BC2371" s="452"/>
      <c r="BD2371" s="2829"/>
      <c r="BE2371" s="2837"/>
      <c r="BF2371" s="156"/>
    </row>
    <row r="2372" spans="1:58" ht="15" customHeight="1" outlineLevel="1" x14ac:dyDescent="0.35">
      <c r="A2372" s="1664"/>
      <c r="B2372" s="2812"/>
      <c r="C2372" s="3077"/>
      <c r="D2372" s="3980"/>
      <c r="E2372" s="3883"/>
      <c r="F2372" s="3984" t="str">
        <f>$E$1626</f>
        <v>ASHP-SEER16-Replace_CAC_ElectricHeat_ER1_MF_CompE</v>
      </c>
      <c r="G2372" s="3984"/>
      <c r="H2372" s="3984"/>
      <c r="I2372" s="3984"/>
      <c r="J2372" s="3501" t="str">
        <f>$C$1626</f>
        <v>353001_2021_12_</v>
      </c>
      <c r="K2372" s="3421">
        <v>3.41</v>
      </c>
      <c r="L2372" s="704"/>
      <c r="M2372" s="3020" t="s">
        <v>1510</v>
      </c>
      <c r="N2372" s="106"/>
      <c r="O2372" s="106"/>
      <c r="P2372" s="702"/>
      <c r="Q2372" s="702"/>
      <c r="R2372" s="702"/>
      <c r="S2372" s="106"/>
      <c r="T2372" s="486"/>
      <c r="U2372" s="106"/>
      <c r="V2372" s="3980"/>
      <c r="W2372" s="3421"/>
      <c r="X2372" s="3421"/>
      <c r="Y2372" s="2374">
        <v>3.41</v>
      </c>
      <c r="Z2372" s="3421">
        <v>3.41</v>
      </c>
      <c r="AA2372" s="3421">
        <v>3.41</v>
      </c>
      <c r="AB2372" s="3421">
        <v>3.41</v>
      </c>
      <c r="AC2372" s="3428">
        <v>3.41</v>
      </c>
      <c r="AD2372" s="3421">
        <v>3.41</v>
      </c>
      <c r="AE2372" s="3429"/>
      <c r="AF2372" s="3421"/>
      <c r="AG2372" s="3421"/>
      <c r="AH2372" s="156"/>
      <c r="AI2372" s="156"/>
      <c r="AJ2372" s="156"/>
      <c r="AK2372" s="156"/>
      <c r="AL2372" s="156"/>
      <c r="AM2372" s="156"/>
      <c r="AN2372" s="156"/>
      <c r="AO2372" s="156"/>
      <c r="AP2372" s="156"/>
      <c r="AQ2372" s="156"/>
      <c r="AR2372" s="156"/>
      <c r="AS2372" s="156"/>
      <c r="AT2372" s="156"/>
      <c r="AU2372" s="156"/>
      <c r="AV2372" s="156"/>
      <c r="AW2372" s="156"/>
      <c r="AX2372" s="156"/>
      <c r="AY2372" s="156"/>
      <c r="AZ2372" s="156"/>
      <c r="BA2372" s="156"/>
      <c r="BB2372" s="2828"/>
      <c r="BC2372" s="452"/>
      <c r="BD2372" s="2829"/>
      <c r="BE2372" s="2837"/>
      <c r="BF2372" s="156"/>
    </row>
    <row r="2373" spans="1:58" ht="15" customHeight="1" outlineLevel="1" x14ac:dyDescent="0.35">
      <c r="A2373" s="1664"/>
      <c r="B2373" s="2812"/>
      <c r="C2373" s="3077"/>
      <c r="D2373" s="3980"/>
      <c r="E2373" s="3883"/>
      <c r="F2373" s="3984" t="str">
        <f>$E$1628</f>
        <v>ASHP-SEER16-Replace_CAC_ElectricHeat_ER2_MF_CompE</v>
      </c>
      <c r="G2373" s="3984"/>
      <c r="H2373" s="3984"/>
      <c r="I2373" s="3984"/>
      <c r="J2373" s="3501" t="str">
        <f>$C$1628</f>
        <v>353001_2021_12_</v>
      </c>
      <c r="K2373" s="3421">
        <v>3.41</v>
      </c>
      <c r="L2373" s="704"/>
      <c r="M2373" s="3020" t="s">
        <v>1510</v>
      </c>
      <c r="N2373" s="106"/>
      <c r="O2373" s="106"/>
      <c r="P2373" s="702"/>
      <c r="Q2373" s="702"/>
      <c r="R2373" s="702"/>
      <c r="S2373" s="106"/>
      <c r="T2373" s="486"/>
      <c r="U2373" s="106"/>
      <c r="V2373" s="3980"/>
      <c r="W2373" s="3421"/>
      <c r="X2373" s="3421"/>
      <c r="Y2373" s="2374">
        <v>3.41</v>
      </c>
      <c r="Z2373" s="3421">
        <v>3.41</v>
      </c>
      <c r="AA2373" s="3421">
        <v>3.41</v>
      </c>
      <c r="AB2373" s="3421">
        <v>3.41</v>
      </c>
      <c r="AC2373" s="3428">
        <v>3.41</v>
      </c>
      <c r="AD2373" s="3421">
        <v>3.41</v>
      </c>
      <c r="AE2373" s="3429"/>
      <c r="AF2373" s="3421"/>
      <c r="AG2373" s="3421"/>
      <c r="AH2373" s="156"/>
      <c r="AI2373" s="156"/>
      <c r="AJ2373" s="156"/>
      <c r="AK2373" s="156"/>
      <c r="AL2373" s="156"/>
      <c r="AM2373" s="156"/>
      <c r="AN2373" s="156"/>
      <c r="AO2373" s="156"/>
      <c r="AP2373" s="156"/>
      <c r="AQ2373" s="156"/>
      <c r="AR2373" s="156"/>
      <c r="AS2373" s="156"/>
      <c r="AT2373" s="156"/>
      <c r="AU2373" s="156"/>
      <c r="AV2373" s="156"/>
      <c r="AW2373" s="156"/>
      <c r="AX2373" s="156"/>
      <c r="AY2373" s="156"/>
      <c r="AZ2373" s="156"/>
      <c r="BA2373" s="156"/>
      <c r="BB2373" s="2828"/>
      <c r="BC2373" s="452"/>
      <c r="BD2373" s="2829"/>
      <c r="BE2373" s="2837"/>
      <c r="BF2373" s="156"/>
    </row>
    <row r="2374" spans="1:58" ht="15" customHeight="1" outlineLevel="1" x14ac:dyDescent="0.35">
      <c r="A2374" s="1664"/>
      <c r="B2374" s="2812"/>
      <c r="C2374" s="3077"/>
      <c r="D2374" s="3980"/>
      <c r="E2374" s="3883"/>
      <c r="F2374" s="3984" t="str">
        <f>$E$1630</f>
        <v>ASHP-SEER16-Replace_CAC_NonElectricHeat_ER1_MF</v>
      </c>
      <c r="G2374" s="3984"/>
      <c r="H2374" s="3984"/>
      <c r="I2374" s="3984"/>
      <c r="J2374" s="3501" t="str">
        <f>$C$1630</f>
        <v>353010_2021_12_</v>
      </c>
      <c r="K2374" s="2042">
        <v>0</v>
      </c>
      <c r="L2374" s="704"/>
      <c r="M2374" s="3020" t="s">
        <v>1509</v>
      </c>
      <c r="N2374" s="106"/>
      <c r="O2374" s="106"/>
      <c r="P2374" s="702"/>
      <c r="Q2374" s="702"/>
      <c r="R2374" s="702"/>
      <c r="S2374" s="106"/>
      <c r="T2374" s="486"/>
      <c r="U2374" s="106"/>
      <c r="V2374" s="3980"/>
      <c r="W2374" s="3421"/>
      <c r="X2374" s="3421"/>
      <c r="Y2374" s="2374"/>
      <c r="Z2374" s="3421"/>
      <c r="AA2374" s="3421"/>
      <c r="AB2374" s="3421"/>
      <c r="AC2374" s="2292">
        <v>0</v>
      </c>
      <c r="AD2374" s="2042">
        <v>0</v>
      </c>
      <c r="AE2374" s="3429"/>
      <c r="AF2374" s="3421"/>
      <c r="AG2374" s="3421"/>
      <c r="AH2374" s="156"/>
      <c r="AI2374" s="156"/>
      <c r="AJ2374" s="156"/>
      <c r="AK2374" s="156"/>
      <c r="AL2374" s="156"/>
      <c r="AM2374" s="156"/>
      <c r="AN2374" s="156"/>
      <c r="AO2374" s="156"/>
      <c r="AP2374" s="156"/>
      <c r="AQ2374" s="156"/>
      <c r="AR2374" s="156"/>
      <c r="AS2374" s="156"/>
      <c r="AT2374" s="156"/>
      <c r="AU2374" s="156"/>
      <c r="AV2374" s="156"/>
      <c r="AW2374" s="156"/>
      <c r="AX2374" s="156"/>
      <c r="AY2374" s="156"/>
      <c r="AZ2374" s="156"/>
      <c r="BA2374" s="156"/>
      <c r="BB2374" s="2828"/>
      <c r="BC2374" s="452"/>
      <c r="BD2374" s="2829"/>
      <c r="BE2374" s="2837"/>
      <c r="BF2374" s="156"/>
    </row>
    <row r="2375" spans="1:58" ht="15" customHeight="1" outlineLevel="1" x14ac:dyDescent="0.35">
      <c r="A2375" s="1664"/>
      <c r="B2375" s="2812"/>
      <c r="C2375" s="3077"/>
      <c r="D2375" s="3980"/>
      <c r="E2375" s="3883"/>
      <c r="F2375" s="3984" t="str">
        <f>$E$1632</f>
        <v>ASHP-SEER16-Replace_CAC_NonElectricHeat_ER2_MF</v>
      </c>
      <c r="G2375" s="3984"/>
      <c r="H2375" s="3984"/>
      <c r="I2375" s="3984"/>
      <c r="J2375" s="3501" t="str">
        <f>$C$1632</f>
        <v>353010_2021_12_</v>
      </c>
      <c r="K2375" s="2042">
        <v>0</v>
      </c>
      <c r="L2375" s="704"/>
      <c r="M2375" s="3020" t="s">
        <v>1509</v>
      </c>
      <c r="N2375" s="106"/>
      <c r="O2375" s="106"/>
      <c r="P2375" s="702"/>
      <c r="Q2375" s="702"/>
      <c r="R2375" s="702"/>
      <c r="S2375" s="106"/>
      <c r="T2375" s="486"/>
      <c r="U2375" s="106"/>
      <c r="V2375" s="3980"/>
      <c r="W2375" s="3421"/>
      <c r="X2375" s="3421"/>
      <c r="Y2375" s="2374"/>
      <c r="Z2375" s="3421"/>
      <c r="AA2375" s="3421"/>
      <c r="AB2375" s="3421"/>
      <c r="AC2375" s="2292">
        <v>0</v>
      </c>
      <c r="AD2375" s="2042">
        <v>0</v>
      </c>
      <c r="AE2375" s="3429"/>
      <c r="AF2375" s="3421"/>
      <c r="AG2375" s="3421"/>
      <c r="AH2375" s="156"/>
      <c r="AI2375" s="156"/>
      <c r="AJ2375" s="156"/>
      <c r="AK2375" s="156"/>
      <c r="AL2375" s="156"/>
      <c r="AM2375" s="156"/>
      <c r="AN2375" s="156"/>
      <c r="AO2375" s="156"/>
      <c r="AP2375" s="156"/>
      <c r="AQ2375" s="156"/>
      <c r="AR2375" s="156"/>
      <c r="AS2375" s="156"/>
      <c r="AT2375" s="156"/>
      <c r="AU2375" s="156"/>
      <c r="AV2375" s="156"/>
      <c r="AW2375" s="156"/>
      <c r="AX2375" s="156"/>
      <c r="AY2375" s="156"/>
      <c r="AZ2375" s="156"/>
      <c r="BA2375" s="156"/>
      <c r="BB2375" s="2828"/>
      <c r="BC2375" s="452"/>
      <c r="BD2375" s="2829"/>
      <c r="BE2375" s="2837"/>
      <c r="BF2375" s="156"/>
    </row>
    <row r="2376" spans="1:58" ht="15" customHeight="1" outlineLevel="1" x14ac:dyDescent="0.35">
      <c r="A2376" s="1664"/>
      <c r="B2376" s="2812"/>
      <c r="C2376" s="3077"/>
      <c r="D2376" s="3980"/>
      <c r="E2376" s="3883"/>
      <c r="F2376" s="3984" t="str">
        <f>$E$1634</f>
        <v>ASHP-SEER16-Replace_CAC_NonElectricHeat_ER1_MF_CompE</v>
      </c>
      <c r="G2376" s="3984"/>
      <c r="H2376" s="3984"/>
      <c r="I2376" s="3984"/>
      <c r="J2376" s="3501" t="str">
        <f>$C$1634</f>
        <v>353011_2021_12_</v>
      </c>
      <c r="K2376" s="2042">
        <v>0</v>
      </c>
      <c r="L2376" s="704"/>
      <c r="M2376" s="3020" t="s">
        <v>1509</v>
      </c>
      <c r="N2376" s="106"/>
      <c r="O2376" s="106"/>
      <c r="P2376" s="702"/>
      <c r="Q2376" s="702"/>
      <c r="R2376" s="702"/>
      <c r="S2376" s="106"/>
      <c r="T2376" s="486"/>
      <c r="U2376" s="106"/>
      <c r="V2376" s="3980"/>
      <c r="W2376" s="3421"/>
      <c r="X2376" s="3421"/>
      <c r="Y2376" s="2374"/>
      <c r="Z2376" s="3421"/>
      <c r="AA2376" s="3421"/>
      <c r="AB2376" s="3421"/>
      <c r="AC2376" s="2292">
        <v>0</v>
      </c>
      <c r="AD2376" s="2042">
        <v>0</v>
      </c>
      <c r="AE2376" s="3429"/>
      <c r="AF2376" s="3421"/>
      <c r="AG2376" s="3421"/>
      <c r="AH2376" s="156"/>
      <c r="AI2376" s="156"/>
      <c r="AJ2376" s="156"/>
      <c r="AK2376" s="156"/>
      <c r="AL2376" s="156"/>
      <c r="AM2376" s="156"/>
      <c r="AN2376" s="156"/>
      <c r="AO2376" s="156"/>
      <c r="AP2376" s="156"/>
      <c r="AQ2376" s="156"/>
      <c r="AR2376" s="156"/>
      <c r="AS2376" s="156"/>
      <c r="AT2376" s="156"/>
      <c r="AU2376" s="156"/>
      <c r="AV2376" s="156"/>
      <c r="AW2376" s="156"/>
      <c r="AX2376" s="156"/>
      <c r="AY2376" s="156"/>
      <c r="AZ2376" s="156"/>
      <c r="BA2376" s="156"/>
      <c r="BB2376" s="2828"/>
      <c r="BC2376" s="452"/>
      <c r="BD2376" s="2829"/>
      <c r="BE2376" s="2837"/>
      <c r="BF2376" s="156"/>
    </row>
    <row r="2377" spans="1:58" ht="15" customHeight="1" outlineLevel="1" x14ac:dyDescent="0.35">
      <c r="A2377" s="1664"/>
      <c r="B2377" s="2812"/>
      <c r="C2377" s="3077"/>
      <c r="D2377" s="3980"/>
      <c r="E2377" s="3883"/>
      <c r="F2377" s="3984" t="str">
        <f>$E$1636</f>
        <v>ASHP-SEER16-Replace_CAC_NonElectricHeat_ER2_MF_CompE</v>
      </c>
      <c r="G2377" s="3984"/>
      <c r="H2377" s="3984"/>
      <c r="I2377" s="3984"/>
      <c r="J2377" s="3501" t="str">
        <f>$C$1636</f>
        <v>353011_2021_12_</v>
      </c>
      <c r="K2377" s="2042">
        <v>0</v>
      </c>
      <c r="L2377" s="704"/>
      <c r="M2377" s="3020" t="s">
        <v>1509</v>
      </c>
      <c r="N2377" s="106"/>
      <c r="O2377" s="106"/>
      <c r="P2377" s="702"/>
      <c r="Q2377" s="702"/>
      <c r="R2377" s="702"/>
      <c r="S2377" s="106"/>
      <c r="T2377" s="486"/>
      <c r="U2377" s="106"/>
      <c r="V2377" s="3980"/>
      <c r="W2377" s="3421"/>
      <c r="X2377" s="3421"/>
      <c r="Y2377" s="2374"/>
      <c r="Z2377" s="3421"/>
      <c r="AA2377" s="3421"/>
      <c r="AB2377" s="3421"/>
      <c r="AC2377" s="2292">
        <v>0</v>
      </c>
      <c r="AD2377" s="2042">
        <v>0</v>
      </c>
      <c r="AE2377" s="3429"/>
      <c r="AF2377" s="3421"/>
      <c r="AG2377" s="3421"/>
      <c r="AH2377" s="156"/>
      <c r="AI2377" s="156"/>
      <c r="AJ2377" s="156"/>
      <c r="AK2377" s="156"/>
      <c r="AL2377" s="156"/>
      <c r="AM2377" s="156"/>
      <c r="AN2377" s="156"/>
      <c r="AO2377" s="156"/>
      <c r="AP2377" s="156"/>
      <c r="AQ2377" s="156"/>
      <c r="AR2377" s="156"/>
      <c r="AS2377" s="156"/>
      <c r="AT2377" s="156"/>
      <c r="AU2377" s="156"/>
      <c r="AV2377" s="156"/>
      <c r="AW2377" s="156"/>
      <c r="AX2377" s="156"/>
      <c r="AY2377" s="156"/>
      <c r="AZ2377" s="156"/>
      <c r="BA2377" s="156"/>
      <c r="BB2377" s="2828"/>
      <c r="BC2377" s="452"/>
      <c r="BD2377" s="2829"/>
      <c r="BE2377" s="2837"/>
      <c r="BF2377" s="156"/>
    </row>
    <row r="2378" spans="1:58" ht="15" customHeight="1" outlineLevel="1" x14ac:dyDescent="0.35">
      <c r="A2378" s="1664"/>
      <c r="B2378" s="2812"/>
      <c r="C2378" s="3077"/>
      <c r="D2378" s="3980"/>
      <c r="E2378" s="3883"/>
      <c r="F2378" s="3984" t="str">
        <f>$E$1638</f>
        <v>ASHP-SEER15_ROF_MF</v>
      </c>
      <c r="G2378" s="3984"/>
      <c r="H2378" s="3984"/>
      <c r="I2378" s="3984"/>
      <c r="J2378" s="3501" t="str">
        <f>$C$1638</f>
        <v>353050_2021_12_</v>
      </c>
      <c r="K2378" s="3421">
        <v>8.1999999999999993</v>
      </c>
      <c r="L2378" s="704"/>
      <c r="M2378" s="3020" t="s">
        <v>1510</v>
      </c>
      <c r="N2378" s="106"/>
      <c r="O2378" s="106"/>
      <c r="P2378" s="702"/>
      <c r="Q2378" s="702"/>
      <c r="R2378" s="702"/>
      <c r="S2378" s="106"/>
      <c r="T2378" s="486"/>
      <c r="U2378" s="106"/>
      <c r="V2378" s="3980"/>
      <c r="W2378" s="3421">
        <v>8.1999999999999993</v>
      </c>
      <c r="X2378" s="3421">
        <v>8.1999999999999993</v>
      </c>
      <c r="Y2378" s="3421">
        <v>8.1999999999999993</v>
      </c>
      <c r="Z2378" s="3421">
        <v>8.1999999999999993</v>
      </c>
      <c r="AA2378" s="3421">
        <v>8.1999999999999993</v>
      </c>
      <c r="AB2378" s="3421">
        <v>8.1999999999999993</v>
      </c>
      <c r="AC2378" s="3428">
        <v>8.1999999999999993</v>
      </c>
      <c r="AD2378" s="3421">
        <v>8.1999999999999993</v>
      </c>
      <c r="AE2378" s="3429"/>
      <c r="AF2378" s="3421"/>
      <c r="AG2378" s="3421"/>
      <c r="AH2378" s="156"/>
      <c r="AI2378" s="156"/>
      <c r="AJ2378" s="156"/>
      <c r="AK2378" s="156"/>
      <c r="AL2378" s="156"/>
      <c r="AM2378" s="156"/>
      <c r="AN2378" s="156"/>
      <c r="AO2378" s="156"/>
      <c r="AP2378" s="156"/>
      <c r="AQ2378" s="156"/>
      <c r="AR2378" s="156"/>
      <c r="AS2378" s="156"/>
      <c r="AT2378" s="156"/>
      <c r="AU2378" s="156"/>
      <c r="AV2378" s="156"/>
      <c r="AW2378" s="156"/>
      <c r="AX2378" s="156"/>
      <c r="AY2378" s="156"/>
      <c r="AZ2378" s="156"/>
      <c r="BA2378" s="156"/>
      <c r="BB2378" s="2828"/>
      <c r="BC2378" s="452"/>
      <c r="BD2378" s="2829"/>
      <c r="BE2378" s="2837"/>
      <c r="BF2378" s="156"/>
    </row>
    <row r="2379" spans="1:58" ht="15" customHeight="1" outlineLevel="1" x14ac:dyDescent="0.35">
      <c r="A2379" s="1664"/>
      <c r="B2379" s="2812"/>
      <c r="C2379" s="3077"/>
      <c r="D2379" s="3980"/>
      <c r="E2379" s="3883"/>
      <c r="F2379" s="3984" t="str">
        <f>$E$1640</f>
        <v>ASHP-SEER15_ROF_MF_CompE</v>
      </c>
      <c r="G2379" s="3984"/>
      <c r="H2379" s="3984"/>
      <c r="I2379" s="3984"/>
      <c r="J2379" s="3501" t="str">
        <f>$C$1640</f>
        <v>353051_2021_12_</v>
      </c>
      <c r="K2379" s="3421">
        <v>8.1999999999999993</v>
      </c>
      <c r="L2379" s="704"/>
      <c r="M2379" s="3020" t="s">
        <v>1510</v>
      </c>
      <c r="N2379" s="106"/>
      <c r="O2379" s="106"/>
      <c r="P2379" s="702"/>
      <c r="Q2379" s="702"/>
      <c r="R2379" s="702"/>
      <c r="S2379" s="106"/>
      <c r="T2379" s="486"/>
      <c r="U2379" s="106"/>
      <c r="V2379" s="3980"/>
      <c r="W2379" s="3421"/>
      <c r="X2379" s="3421"/>
      <c r="Y2379" s="2374">
        <v>8.1999999999999993</v>
      </c>
      <c r="Z2379" s="3421">
        <v>8.1999999999999993</v>
      </c>
      <c r="AA2379" s="3421">
        <v>8.1999999999999993</v>
      </c>
      <c r="AB2379" s="3421">
        <v>8.1999999999999993</v>
      </c>
      <c r="AC2379" s="3428">
        <v>8.1999999999999993</v>
      </c>
      <c r="AD2379" s="3421">
        <v>8.1999999999999993</v>
      </c>
      <c r="AE2379" s="3429"/>
      <c r="AF2379" s="3421"/>
      <c r="AG2379" s="3421"/>
      <c r="AH2379" s="156"/>
      <c r="AI2379" s="156"/>
      <c r="AJ2379" s="156"/>
      <c r="AK2379" s="156"/>
      <c r="AL2379" s="156"/>
      <c r="AM2379" s="156"/>
      <c r="AN2379" s="156"/>
      <c r="AO2379" s="156"/>
      <c r="AP2379" s="156"/>
      <c r="AQ2379" s="156"/>
      <c r="AR2379" s="156"/>
      <c r="AS2379" s="156"/>
      <c r="AT2379" s="156"/>
      <c r="AU2379" s="156"/>
      <c r="AV2379" s="156"/>
      <c r="AW2379" s="156"/>
      <c r="AX2379" s="156"/>
      <c r="AY2379" s="156"/>
      <c r="AZ2379" s="156"/>
      <c r="BA2379" s="156"/>
      <c r="BB2379" s="2828"/>
      <c r="BC2379" s="452"/>
      <c r="BD2379" s="2829"/>
      <c r="BE2379" s="2837"/>
      <c r="BF2379" s="156"/>
    </row>
    <row r="2380" spans="1:58" ht="15" customHeight="1" outlineLevel="1" x14ac:dyDescent="0.35">
      <c r="A2380" s="1664"/>
      <c r="B2380" s="2812"/>
      <c r="C2380" s="3077"/>
      <c r="D2380" s="3980"/>
      <c r="E2380" s="3883"/>
      <c r="F2380" s="3984" t="str">
        <f>$E$1642</f>
        <v>ASHP-SEER17-Replace_CAC_ElectricHeat_ROF_SF</v>
      </c>
      <c r="G2380" s="3984"/>
      <c r="H2380" s="3984"/>
      <c r="I2380" s="3984"/>
      <c r="J2380" s="3501" t="str">
        <f>$C$1642</f>
        <v>353100_2021_12_</v>
      </c>
      <c r="K2380" s="3421">
        <v>3.41</v>
      </c>
      <c r="L2380" s="704"/>
      <c r="M2380" s="3020" t="s">
        <v>810</v>
      </c>
      <c r="N2380" s="106"/>
      <c r="O2380" s="106"/>
      <c r="P2380" s="702"/>
      <c r="Q2380" s="702"/>
      <c r="R2380" s="702"/>
      <c r="S2380" s="106"/>
      <c r="T2380" s="486"/>
      <c r="U2380" s="106"/>
      <c r="V2380" s="3980"/>
      <c r="W2380" s="3421">
        <v>3.41</v>
      </c>
      <c r="X2380" s="3421">
        <v>3.41</v>
      </c>
      <c r="Y2380" s="3421">
        <v>3.41</v>
      </c>
      <c r="Z2380" s="3421">
        <v>3.41</v>
      </c>
      <c r="AA2380" s="3421">
        <v>3.41</v>
      </c>
      <c r="AB2380" s="3421">
        <v>3.41</v>
      </c>
      <c r="AC2380" s="3428">
        <v>3.41</v>
      </c>
      <c r="AD2380" s="3421">
        <v>3.41</v>
      </c>
      <c r="AE2380" s="3429"/>
      <c r="AF2380" s="3421"/>
      <c r="AG2380" s="3421"/>
      <c r="AH2380" s="156"/>
      <c r="AI2380" s="156"/>
      <c r="AJ2380" s="156"/>
      <c r="AK2380" s="156"/>
      <c r="AL2380" s="156"/>
      <c r="AM2380" s="156"/>
      <c r="AN2380" s="156"/>
      <c r="AO2380" s="156"/>
      <c r="AP2380" s="156"/>
      <c r="AQ2380" s="156"/>
      <c r="AR2380" s="156"/>
      <c r="AS2380" s="156"/>
      <c r="AT2380" s="156"/>
      <c r="AU2380" s="156"/>
      <c r="AV2380" s="156"/>
      <c r="AW2380" s="156"/>
      <c r="AX2380" s="156"/>
      <c r="AY2380" s="156"/>
      <c r="AZ2380" s="156"/>
      <c r="BA2380" s="156"/>
      <c r="BB2380" s="2828"/>
      <c r="BC2380" s="452"/>
      <c r="BD2380" s="2829"/>
      <c r="BE2380" s="2837"/>
      <c r="BF2380" s="156"/>
    </row>
    <row r="2381" spans="1:58" s="3398" customFormat="1" ht="15" customHeight="1" outlineLevel="1" x14ac:dyDescent="0.35">
      <c r="A2381" s="1664"/>
      <c r="B2381" s="2812"/>
      <c r="C2381" s="3077"/>
      <c r="D2381" s="3980"/>
      <c r="E2381" s="3883"/>
      <c r="F2381" s="4136" t="str">
        <f>$E$1644</f>
        <v>ASHP-SEER17-Replace_CAC_NonElectricHeat_ROF_SF</v>
      </c>
      <c r="G2381" s="4136"/>
      <c r="H2381" s="4136"/>
      <c r="I2381" s="4136"/>
      <c r="J2381" s="3502" t="str">
        <f>$C$1644</f>
        <v>353110_2022_12_</v>
      </c>
      <c r="K2381" s="2374">
        <v>0</v>
      </c>
      <c r="L2381" s="703"/>
      <c r="M2381" s="3525" t="s">
        <v>1509</v>
      </c>
      <c r="P2381" s="702"/>
      <c r="Q2381" s="702"/>
      <c r="R2381" s="702"/>
      <c r="T2381" s="3397"/>
      <c r="V2381" s="3980"/>
      <c r="W2381" s="3421"/>
      <c r="X2381" s="3421"/>
      <c r="Y2381" s="3421"/>
      <c r="Z2381" s="3421"/>
      <c r="AA2381" s="3421"/>
      <c r="AB2381" s="3421"/>
      <c r="AC2381" s="3428"/>
      <c r="AD2381" s="2292">
        <v>0</v>
      </c>
      <c r="AE2381" s="2042"/>
      <c r="AF2381" s="3421"/>
      <c r="AG2381" s="3421"/>
      <c r="AH2381" s="156"/>
      <c r="AI2381" s="156"/>
      <c r="AJ2381" s="156"/>
      <c r="AK2381" s="156"/>
      <c r="AL2381" s="156"/>
      <c r="AM2381" s="156"/>
      <c r="AN2381" s="156"/>
      <c r="AO2381" s="156"/>
      <c r="AP2381" s="156"/>
      <c r="AQ2381" s="156"/>
      <c r="AR2381" s="156"/>
      <c r="AS2381" s="156"/>
      <c r="AT2381" s="156"/>
      <c r="AU2381" s="156"/>
      <c r="AV2381" s="156"/>
      <c r="AW2381" s="156"/>
      <c r="AX2381" s="156"/>
      <c r="AY2381" s="156"/>
      <c r="AZ2381" s="156"/>
      <c r="BA2381" s="156"/>
      <c r="BB2381" s="2828"/>
      <c r="BC2381" s="452"/>
      <c r="BD2381" s="2829"/>
      <c r="BE2381" s="2837"/>
      <c r="BF2381" s="156"/>
    </row>
    <row r="2382" spans="1:58" ht="15" customHeight="1" outlineLevel="1" x14ac:dyDescent="0.35">
      <c r="A2382" s="1664"/>
      <c r="B2382" s="2812"/>
      <c r="C2382" s="3077"/>
      <c r="D2382" s="3980"/>
      <c r="E2382" s="3883"/>
      <c r="F2382" s="3984" t="str">
        <f>$E$1646</f>
        <v>ASHP-SEER17-Replace_CAC_ElectricHeat_ROF_MF</v>
      </c>
      <c r="G2382" s="3984"/>
      <c r="H2382" s="3984"/>
      <c r="I2382" s="3984"/>
      <c r="J2382" s="3501" t="str">
        <f>$C$1646</f>
        <v>353150_2019_12_</v>
      </c>
      <c r="K2382" s="3421">
        <v>3.41</v>
      </c>
      <c r="L2382" s="704"/>
      <c r="M2382" s="3020" t="s">
        <v>1510</v>
      </c>
      <c r="N2382" s="106"/>
      <c r="O2382" s="106"/>
      <c r="P2382" s="702"/>
      <c r="Q2382" s="702"/>
      <c r="R2382" s="702"/>
      <c r="S2382" s="106"/>
      <c r="T2382" s="486"/>
      <c r="U2382" s="106"/>
      <c r="V2382" s="3980"/>
      <c r="W2382" s="3421">
        <v>3.41</v>
      </c>
      <c r="X2382" s="3421">
        <v>3.41</v>
      </c>
      <c r="Y2382" s="3421">
        <v>3.41</v>
      </c>
      <c r="Z2382" s="3421">
        <v>3.41</v>
      </c>
      <c r="AA2382" s="3421">
        <v>3.41</v>
      </c>
      <c r="AB2382" s="3421">
        <v>3.41</v>
      </c>
      <c r="AC2382" s="3428">
        <v>3.41</v>
      </c>
      <c r="AD2382" s="3421">
        <v>3.41</v>
      </c>
      <c r="AE2382" s="3429"/>
      <c r="AF2382" s="3421"/>
      <c r="AG2382" s="3421"/>
      <c r="AH2382" s="156"/>
      <c r="AI2382" s="156"/>
      <c r="AJ2382" s="156"/>
      <c r="AK2382" s="156"/>
      <c r="AL2382" s="156"/>
      <c r="AM2382" s="156"/>
      <c r="AN2382" s="156"/>
      <c r="AO2382" s="156"/>
      <c r="AP2382" s="156"/>
      <c r="AQ2382" s="156"/>
      <c r="AR2382" s="156"/>
      <c r="AS2382" s="156"/>
      <c r="AT2382" s="156"/>
      <c r="AU2382" s="156"/>
      <c r="AV2382" s="156"/>
      <c r="AW2382" s="156"/>
      <c r="AX2382" s="156"/>
      <c r="AY2382" s="156"/>
      <c r="AZ2382" s="156"/>
      <c r="BA2382" s="156"/>
      <c r="BB2382" s="2828"/>
      <c r="BC2382" s="452"/>
      <c r="BD2382" s="2829"/>
      <c r="BE2382" s="2837"/>
      <c r="BF2382" s="156"/>
    </row>
    <row r="2383" spans="1:58" ht="15" customHeight="1" outlineLevel="1" x14ac:dyDescent="0.35">
      <c r="A2383" s="1664"/>
      <c r="B2383" s="2812"/>
      <c r="C2383" s="3077"/>
      <c r="D2383" s="3980"/>
      <c r="E2383" s="3883"/>
      <c r="F2383" s="3984" t="str">
        <f>$E$1648</f>
        <v>ASHP-SEER17-Replace_CAC_ElectricHeat_ROF_MF_CompE</v>
      </c>
      <c r="G2383" s="3984"/>
      <c r="H2383" s="3984"/>
      <c r="I2383" s="3984"/>
      <c r="J2383" s="3501" t="str">
        <f>$C$1648</f>
        <v>353151_2019_12_</v>
      </c>
      <c r="K2383" s="3421">
        <v>3.41</v>
      </c>
      <c r="L2383" s="704"/>
      <c r="M2383" s="3020" t="s">
        <v>1510</v>
      </c>
      <c r="N2383" s="106"/>
      <c r="O2383" s="106"/>
      <c r="P2383" s="702"/>
      <c r="Q2383" s="702"/>
      <c r="R2383" s="702"/>
      <c r="S2383" s="106"/>
      <c r="T2383" s="486"/>
      <c r="U2383" s="106"/>
      <c r="V2383" s="3980"/>
      <c r="W2383" s="3421"/>
      <c r="X2383" s="3421"/>
      <c r="Y2383" s="2374">
        <v>3.41</v>
      </c>
      <c r="Z2383" s="3421">
        <v>3.41</v>
      </c>
      <c r="AA2383" s="3421">
        <v>3.41</v>
      </c>
      <c r="AB2383" s="3421">
        <v>3.41</v>
      </c>
      <c r="AC2383" s="3428">
        <v>3.41</v>
      </c>
      <c r="AD2383" s="3421">
        <v>3.41</v>
      </c>
      <c r="AE2383" s="3429"/>
      <c r="AF2383" s="3421"/>
      <c r="AG2383" s="3421"/>
      <c r="AH2383" s="156"/>
      <c r="AI2383" s="156"/>
      <c r="AJ2383" s="156"/>
      <c r="AK2383" s="156"/>
      <c r="AL2383" s="156"/>
      <c r="AM2383" s="156"/>
      <c r="AN2383" s="156"/>
      <c r="AO2383" s="156"/>
      <c r="AP2383" s="156"/>
      <c r="AQ2383" s="156"/>
      <c r="AR2383" s="156"/>
      <c r="AS2383" s="156"/>
      <c r="AT2383" s="156"/>
      <c r="AU2383" s="156"/>
      <c r="AV2383" s="156"/>
      <c r="AW2383" s="156"/>
      <c r="AX2383" s="156"/>
      <c r="AY2383" s="156"/>
      <c r="AZ2383" s="156"/>
      <c r="BA2383" s="156"/>
      <c r="BB2383" s="2828"/>
      <c r="BC2383" s="452"/>
      <c r="BD2383" s="2829"/>
      <c r="BE2383" s="2837"/>
      <c r="BF2383" s="156"/>
    </row>
    <row r="2384" spans="1:58" ht="15" customHeight="1" outlineLevel="1" x14ac:dyDescent="0.35">
      <c r="A2384" s="1664"/>
      <c r="B2384" s="2812"/>
      <c r="C2384" s="3077"/>
      <c r="D2384" s="3980"/>
      <c r="E2384" s="3883"/>
      <c r="F2384" s="3984" t="str">
        <f>$E$1650</f>
        <v>ASHP-SEER17-Replace_CAC_NonElectricHeat_ROF_MF</v>
      </c>
      <c r="G2384" s="3984"/>
      <c r="H2384" s="3984"/>
      <c r="I2384" s="3984"/>
      <c r="J2384" s="3501" t="str">
        <f>$C$1650</f>
        <v>353160_2021_12_</v>
      </c>
      <c r="K2384" s="2042">
        <v>0</v>
      </c>
      <c r="L2384" s="704"/>
      <c r="M2384" s="3020" t="s">
        <v>1509</v>
      </c>
      <c r="N2384" s="106"/>
      <c r="O2384" s="106"/>
      <c r="P2384" s="702"/>
      <c r="Q2384" s="702"/>
      <c r="R2384" s="702"/>
      <c r="S2384" s="106"/>
      <c r="T2384" s="486"/>
      <c r="U2384" s="106"/>
      <c r="V2384" s="3980"/>
      <c r="W2384" s="3421"/>
      <c r="X2384" s="3421"/>
      <c r="Y2384" s="2374"/>
      <c r="Z2384" s="3421"/>
      <c r="AA2384" s="3421"/>
      <c r="AB2384" s="3421"/>
      <c r="AC2384" s="2292">
        <v>0</v>
      </c>
      <c r="AD2384" s="2042">
        <v>0</v>
      </c>
      <c r="AE2384" s="3429"/>
      <c r="AF2384" s="3421"/>
      <c r="AG2384" s="3421"/>
      <c r="AH2384" s="156"/>
      <c r="AI2384" s="156"/>
      <c r="AJ2384" s="156"/>
      <c r="AK2384" s="156"/>
      <c r="AL2384" s="156"/>
      <c r="AM2384" s="156"/>
      <c r="AN2384" s="156"/>
      <c r="AO2384" s="156"/>
      <c r="AP2384" s="156"/>
      <c r="AQ2384" s="156"/>
      <c r="AR2384" s="156"/>
      <c r="AS2384" s="156"/>
      <c r="AT2384" s="156"/>
      <c r="AU2384" s="156"/>
      <c r="AV2384" s="156"/>
      <c r="AW2384" s="156"/>
      <c r="AX2384" s="156"/>
      <c r="AY2384" s="156"/>
      <c r="AZ2384" s="156"/>
      <c r="BA2384" s="156"/>
      <c r="BB2384" s="2828"/>
      <c r="BC2384" s="452"/>
      <c r="BD2384" s="2829"/>
      <c r="BE2384" s="2837"/>
      <c r="BF2384" s="156"/>
    </row>
    <row r="2385" spans="1:58" ht="15" customHeight="1" outlineLevel="1" x14ac:dyDescent="0.35">
      <c r="A2385" s="1664"/>
      <c r="B2385" s="2812"/>
      <c r="C2385" s="3077"/>
      <c r="D2385" s="3980"/>
      <c r="E2385" s="3883"/>
      <c r="F2385" s="3984" t="str">
        <f>$E$1652</f>
        <v>ASHP-SEER17-Replace_CAC_NonElectricHeat_ROF_MF_CompE</v>
      </c>
      <c r="G2385" s="3984"/>
      <c r="H2385" s="3984"/>
      <c r="I2385" s="3984"/>
      <c r="J2385" s="3501" t="str">
        <f>$C$1652</f>
        <v>353161_2021_12_</v>
      </c>
      <c r="K2385" s="2042">
        <v>0</v>
      </c>
      <c r="L2385" s="704"/>
      <c r="M2385" s="3020" t="s">
        <v>1509</v>
      </c>
      <c r="N2385" s="106"/>
      <c r="O2385" s="106"/>
      <c r="P2385" s="702"/>
      <c r="Q2385" s="702"/>
      <c r="R2385" s="702"/>
      <c r="S2385" s="106"/>
      <c r="T2385" s="486"/>
      <c r="U2385" s="106"/>
      <c r="V2385" s="3980"/>
      <c r="W2385" s="3421"/>
      <c r="X2385" s="3421"/>
      <c r="Y2385" s="2374"/>
      <c r="Z2385" s="3421"/>
      <c r="AA2385" s="3421"/>
      <c r="AB2385" s="3421"/>
      <c r="AC2385" s="2292">
        <v>0</v>
      </c>
      <c r="AD2385" s="2042">
        <v>0</v>
      </c>
      <c r="AE2385" s="3429"/>
      <c r="AF2385" s="3421"/>
      <c r="AG2385" s="3421"/>
      <c r="AH2385" s="156"/>
      <c r="AI2385" s="156"/>
      <c r="AJ2385" s="156"/>
      <c r="AK2385" s="156"/>
      <c r="AL2385" s="156"/>
      <c r="AM2385" s="156"/>
      <c r="AN2385" s="156"/>
      <c r="AO2385" s="156"/>
      <c r="AP2385" s="156"/>
      <c r="AQ2385" s="156"/>
      <c r="AR2385" s="156"/>
      <c r="AS2385" s="156"/>
      <c r="AT2385" s="156"/>
      <c r="AU2385" s="156"/>
      <c r="AV2385" s="156"/>
      <c r="AW2385" s="156"/>
      <c r="AX2385" s="156"/>
      <c r="AY2385" s="156"/>
      <c r="AZ2385" s="156"/>
      <c r="BA2385" s="156"/>
      <c r="BB2385" s="2828"/>
      <c r="BC2385" s="452"/>
      <c r="BD2385" s="2829"/>
      <c r="BE2385" s="2837"/>
      <c r="BF2385" s="156"/>
    </row>
    <row r="2386" spans="1:58" ht="15" customHeight="1" outlineLevel="1" x14ac:dyDescent="0.35">
      <c r="A2386" s="1664"/>
      <c r="B2386" s="2812"/>
      <c r="C2386" s="3077"/>
      <c r="D2386" s="3980"/>
      <c r="E2386" s="3883"/>
      <c r="F2386" s="3984" t="str">
        <f>$E$1654</f>
        <v>ASHP-SEER18-Replace_CAC_ElectricHeat_ROF_SF</v>
      </c>
      <c r="G2386" s="3984"/>
      <c r="H2386" s="3984"/>
      <c r="I2386" s="3984"/>
      <c r="J2386" s="3501" t="str">
        <f>$C$1654</f>
        <v>353200_2021_12_</v>
      </c>
      <c r="K2386" s="3421">
        <v>3.41</v>
      </c>
      <c r="L2386" s="704"/>
      <c r="M2386" s="3020" t="s">
        <v>810</v>
      </c>
      <c r="N2386" s="106"/>
      <c r="O2386" s="106"/>
      <c r="P2386" s="702"/>
      <c r="Q2386" s="702"/>
      <c r="R2386" s="702"/>
      <c r="S2386" s="106"/>
      <c r="T2386" s="486"/>
      <c r="U2386" s="106"/>
      <c r="V2386" s="3980"/>
      <c r="W2386" s="3421">
        <v>3.41</v>
      </c>
      <c r="X2386" s="3421">
        <v>3.41</v>
      </c>
      <c r="Y2386" s="3421">
        <v>3.41</v>
      </c>
      <c r="Z2386" s="3421">
        <v>3.41</v>
      </c>
      <c r="AA2386" s="3421">
        <v>3.41</v>
      </c>
      <c r="AB2386" s="3421">
        <v>3.41</v>
      </c>
      <c r="AC2386" s="3428">
        <v>3.41</v>
      </c>
      <c r="AD2386" s="3421">
        <v>3.41</v>
      </c>
      <c r="AE2386" s="3429"/>
      <c r="AF2386" s="3421"/>
      <c r="AG2386" s="3421"/>
      <c r="AH2386" s="156"/>
      <c r="AI2386" s="156"/>
      <c r="AJ2386" s="156"/>
      <c r="AK2386" s="156"/>
      <c r="AL2386" s="156"/>
      <c r="AM2386" s="156"/>
      <c r="AN2386" s="156"/>
      <c r="AO2386" s="156"/>
      <c r="AP2386" s="156"/>
      <c r="AQ2386" s="156"/>
      <c r="AR2386" s="156"/>
      <c r="AS2386" s="156"/>
      <c r="AT2386" s="156"/>
      <c r="AU2386" s="156"/>
      <c r="AV2386" s="156"/>
      <c r="AW2386" s="156"/>
      <c r="AX2386" s="156"/>
      <c r="AY2386" s="156"/>
      <c r="AZ2386" s="156"/>
      <c r="BA2386" s="156"/>
      <c r="BB2386" s="2828"/>
      <c r="BC2386" s="452"/>
      <c r="BD2386" s="2829"/>
      <c r="BE2386" s="2837"/>
      <c r="BF2386" s="156"/>
    </row>
    <row r="2387" spans="1:58" s="3398" customFormat="1" ht="15" customHeight="1" outlineLevel="1" x14ac:dyDescent="0.35">
      <c r="A2387" s="1664"/>
      <c r="B2387" s="2812"/>
      <c r="C2387" s="3077"/>
      <c r="D2387" s="3980"/>
      <c r="E2387" s="3883"/>
      <c r="F2387" s="4136" t="str">
        <f>$E$1656</f>
        <v>ASHP-SEER18-Replace_CAC_NonElectricHeat_ROF_SF</v>
      </c>
      <c r="G2387" s="4136"/>
      <c r="H2387" s="4136"/>
      <c r="I2387" s="4136"/>
      <c r="J2387" s="3502" t="str">
        <f>$C$1656</f>
        <v>353210_2022_12_</v>
      </c>
      <c r="K2387" s="2374">
        <v>0</v>
      </c>
      <c r="L2387" s="703"/>
      <c r="M2387" s="3525" t="s">
        <v>1509</v>
      </c>
      <c r="P2387" s="702"/>
      <c r="Q2387" s="702"/>
      <c r="R2387" s="702"/>
      <c r="T2387" s="3397"/>
      <c r="V2387" s="3980"/>
      <c r="W2387" s="3421"/>
      <c r="X2387" s="3421"/>
      <c r="Y2387" s="3421"/>
      <c r="Z2387" s="3421"/>
      <c r="AA2387" s="3421"/>
      <c r="AB2387" s="3421"/>
      <c r="AC2387" s="3428"/>
      <c r="AD2387" s="2292">
        <v>0</v>
      </c>
      <c r="AE2387" s="2042"/>
      <c r="AF2387" s="3421"/>
      <c r="AG2387" s="3421"/>
      <c r="AH2387" s="156"/>
      <c r="AI2387" s="156"/>
      <c r="AJ2387" s="156"/>
      <c r="AK2387" s="156"/>
      <c r="AL2387" s="156"/>
      <c r="AM2387" s="156"/>
      <c r="AN2387" s="156"/>
      <c r="AO2387" s="156"/>
      <c r="AP2387" s="156"/>
      <c r="AQ2387" s="156"/>
      <c r="AR2387" s="156"/>
      <c r="AS2387" s="156"/>
      <c r="AT2387" s="156"/>
      <c r="AU2387" s="156"/>
      <c r="AV2387" s="156"/>
      <c r="AW2387" s="156"/>
      <c r="AX2387" s="156"/>
      <c r="AY2387" s="156"/>
      <c r="AZ2387" s="156"/>
      <c r="BA2387" s="156"/>
      <c r="BB2387" s="2828"/>
      <c r="BC2387" s="452"/>
      <c r="BD2387" s="2829"/>
      <c r="BE2387" s="2837"/>
      <c r="BF2387" s="156"/>
    </row>
    <row r="2388" spans="1:58" ht="15" customHeight="1" outlineLevel="1" x14ac:dyDescent="0.35">
      <c r="A2388" s="1664"/>
      <c r="B2388" s="2812"/>
      <c r="C2388" s="3077"/>
      <c r="D2388" s="3980"/>
      <c r="E2388" s="3883"/>
      <c r="F2388" s="3984" t="str">
        <f>$E$1658</f>
        <v>ASHP-SEER18-Replace_CAC_ElectricHeat_ROF_MF</v>
      </c>
      <c r="G2388" s="3984"/>
      <c r="H2388" s="3984"/>
      <c r="I2388" s="3984"/>
      <c r="J2388" s="3501" t="str">
        <f>$C$1658</f>
        <v>353250_2021_12_</v>
      </c>
      <c r="K2388" s="3421">
        <v>3.41</v>
      </c>
      <c r="L2388" s="704"/>
      <c r="M2388" s="3020" t="s">
        <v>1510</v>
      </c>
      <c r="N2388" s="106"/>
      <c r="O2388" s="106"/>
      <c r="P2388" s="702"/>
      <c r="Q2388" s="702"/>
      <c r="R2388" s="702"/>
      <c r="S2388" s="106"/>
      <c r="T2388" s="486"/>
      <c r="U2388" s="106"/>
      <c r="V2388" s="3980"/>
      <c r="W2388" s="3421">
        <v>3.41</v>
      </c>
      <c r="X2388" s="3421">
        <v>3.41</v>
      </c>
      <c r="Y2388" s="3421">
        <v>3.41</v>
      </c>
      <c r="Z2388" s="3421">
        <v>3.41</v>
      </c>
      <c r="AA2388" s="3421">
        <v>3.41</v>
      </c>
      <c r="AB2388" s="3421">
        <v>3.41</v>
      </c>
      <c r="AC2388" s="3428">
        <v>3.41</v>
      </c>
      <c r="AD2388" s="3421">
        <v>3.41</v>
      </c>
      <c r="AE2388" s="3429"/>
      <c r="AF2388" s="3421"/>
      <c r="AG2388" s="3421"/>
      <c r="AH2388" s="156"/>
      <c r="AI2388" s="156"/>
      <c r="AJ2388" s="156"/>
      <c r="AK2388" s="156"/>
      <c r="AL2388" s="156"/>
      <c r="AM2388" s="156"/>
      <c r="AN2388" s="156"/>
      <c r="AO2388" s="156"/>
      <c r="AP2388" s="156"/>
      <c r="AQ2388" s="156"/>
      <c r="AR2388" s="156"/>
      <c r="AS2388" s="156"/>
      <c r="AT2388" s="156"/>
      <c r="AU2388" s="156"/>
      <c r="AV2388" s="156"/>
      <c r="AW2388" s="156"/>
      <c r="AX2388" s="156"/>
      <c r="AY2388" s="156"/>
      <c r="AZ2388" s="156"/>
      <c r="BA2388" s="156"/>
      <c r="BB2388" s="2828"/>
      <c r="BC2388" s="452"/>
      <c r="BD2388" s="2829"/>
      <c r="BE2388" s="2837"/>
      <c r="BF2388" s="156"/>
    </row>
    <row r="2389" spans="1:58" ht="15" customHeight="1" outlineLevel="1" x14ac:dyDescent="0.35">
      <c r="A2389" s="1664"/>
      <c r="B2389" s="2812"/>
      <c r="C2389" s="3077"/>
      <c r="D2389" s="3980"/>
      <c r="E2389" s="3883"/>
      <c r="F2389" s="3984" t="str">
        <f>$E$1660</f>
        <v>ASHP-SEER18-Replace_CAC_ElectricHeat_ROF_MF_CompE</v>
      </c>
      <c r="G2389" s="3984"/>
      <c r="H2389" s="3984"/>
      <c r="I2389" s="3984"/>
      <c r="J2389" s="3501" t="str">
        <f>$C$1660</f>
        <v>353251_2021_12_</v>
      </c>
      <c r="K2389" s="3421">
        <v>3.41</v>
      </c>
      <c r="L2389" s="704"/>
      <c r="M2389" s="3020" t="s">
        <v>1510</v>
      </c>
      <c r="N2389" s="106"/>
      <c r="O2389" s="106"/>
      <c r="P2389" s="702"/>
      <c r="Q2389" s="702"/>
      <c r="R2389" s="702"/>
      <c r="S2389" s="106"/>
      <c r="T2389" s="486"/>
      <c r="U2389" s="106"/>
      <c r="V2389" s="3980"/>
      <c r="W2389" s="3421"/>
      <c r="X2389" s="3421"/>
      <c r="Y2389" s="2374">
        <v>3.41</v>
      </c>
      <c r="Z2389" s="3421">
        <v>3.41</v>
      </c>
      <c r="AA2389" s="3421">
        <v>3.41</v>
      </c>
      <c r="AB2389" s="3421">
        <v>3.41</v>
      </c>
      <c r="AC2389" s="3428">
        <v>3.41</v>
      </c>
      <c r="AD2389" s="3421">
        <v>3.41</v>
      </c>
      <c r="AE2389" s="3429"/>
      <c r="AF2389" s="3421"/>
      <c r="AG2389" s="3421"/>
      <c r="AH2389" s="156"/>
      <c r="AI2389" s="156"/>
      <c r="AJ2389" s="156"/>
      <c r="AK2389" s="156"/>
      <c r="AL2389" s="156"/>
      <c r="AM2389" s="156"/>
      <c r="AN2389" s="156"/>
      <c r="AO2389" s="156"/>
      <c r="AP2389" s="156"/>
      <c r="AQ2389" s="156"/>
      <c r="AR2389" s="156"/>
      <c r="AS2389" s="156"/>
      <c r="AT2389" s="156"/>
      <c r="AU2389" s="156"/>
      <c r="AV2389" s="156"/>
      <c r="AW2389" s="156"/>
      <c r="AX2389" s="156"/>
      <c r="AY2389" s="156"/>
      <c r="AZ2389" s="156"/>
      <c r="BA2389" s="156"/>
      <c r="BB2389" s="2828"/>
      <c r="BC2389" s="452"/>
      <c r="BD2389" s="2829"/>
      <c r="BE2389" s="2837"/>
      <c r="BF2389" s="156"/>
    </row>
    <row r="2390" spans="1:58" ht="15" customHeight="1" outlineLevel="1" x14ac:dyDescent="0.35">
      <c r="A2390" s="1664"/>
      <c r="B2390" s="2812"/>
      <c r="C2390" s="3077"/>
      <c r="D2390" s="3980"/>
      <c r="E2390" s="3883"/>
      <c r="F2390" s="3984" t="str">
        <f>$E$1662</f>
        <v>ASHP-SEER18-Replace_CAC_NonElectricHeat_ROF_MF</v>
      </c>
      <c r="G2390" s="3984"/>
      <c r="H2390" s="3984"/>
      <c r="I2390" s="3984"/>
      <c r="J2390" s="3501" t="str">
        <f>$C$1662</f>
        <v>353260_2021_12_</v>
      </c>
      <c r="K2390" s="2042">
        <v>0</v>
      </c>
      <c r="L2390" s="704"/>
      <c r="M2390" s="3020" t="s">
        <v>1509</v>
      </c>
      <c r="N2390" s="106"/>
      <c r="O2390" s="106"/>
      <c r="P2390" s="702"/>
      <c r="Q2390" s="702"/>
      <c r="R2390" s="702"/>
      <c r="S2390" s="106"/>
      <c r="T2390" s="486"/>
      <c r="U2390" s="106"/>
      <c r="V2390" s="3980"/>
      <c r="W2390" s="3421"/>
      <c r="X2390" s="3421"/>
      <c r="Y2390" s="2374"/>
      <c r="Z2390" s="3421"/>
      <c r="AA2390" s="3421"/>
      <c r="AB2390" s="3421"/>
      <c r="AC2390" s="2292">
        <v>0</v>
      </c>
      <c r="AD2390" s="2042">
        <v>0</v>
      </c>
      <c r="AE2390" s="3429"/>
      <c r="AF2390" s="3421"/>
      <c r="AG2390" s="3421"/>
      <c r="AH2390" s="156"/>
      <c r="AI2390" s="156"/>
      <c r="AJ2390" s="156"/>
      <c r="AK2390" s="156"/>
      <c r="AL2390" s="156"/>
      <c r="AM2390" s="156"/>
      <c r="AN2390" s="156"/>
      <c r="AO2390" s="156"/>
      <c r="AP2390" s="156"/>
      <c r="AQ2390" s="156"/>
      <c r="AR2390" s="156"/>
      <c r="AS2390" s="156"/>
      <c r="AT2390" s="156"/>
      <c r="AU2390" s="156"/>
      <c r="AV2390" s="156"/>
      <c r="AW2390" s="156"/>
      <c r="AX2390" s="156"/>
      <c r="AY2390" s="156"/>
      <c r="AZ2390" s="156"/>
      <c r="BA2390" s="156"/>
      <c r="BB2390" s="2828"/>
      <c r="BC2390" s="452"/>
      <c r="BD2390" s="2829"/>
      <c r="BE2390" s="2837"/>
      <c r="BF2390" s="156"/>
    </row>
    <row r="2391" spans="1:58" ht="15" customHeight="1" outlineLevel="1" x14ac:dyDescent="0.35">
      <c r="A2391" s="1664"/>
      <c r="B2391" s="2812"/>
      <c r="C2391" s="3077"/>
      <c r="D2391" s="3980"/>
      <c r="E2391" s="3883"/>
      <c r="F2391" s="3984" t="str">
        <f>$E$1664</f>
        <v>ASHP-SEER18-Replace_CAC_NonElectricHeat_ROF_MF_CompE</v>
      </c>
      <c r="G2391" s="3984"/>
      <c r="H2391" s="3984"/>
      <c r="I2391" s="3984"/>
      <c r="J2391" s="3501" t="str">
        <f>$C$1664</f>
        <v>353261_2021_12_</v>
      </c>
      <c r="K2391" s="2042">
        <v>0</v>
      </c>
      <c r="L2391" s="704"/>
      <c r="M2391" s="3020" t="s">
        <v>1509</v>
      </c>
      <c r="N2391" s="106"/>
      <c r="O2391" s="106"/>
      <c r="P2391" s="702"/>
      <c r="Q2391" s="702"/>
      <c r="R2391" s="702"/>
      <c r="S2391" s="106"/>
      <c r="T2391" s="486"/>
      <c r="U2391" s="106"/>
      <c r="V2391" s="3980"/>
      <c r="W2391" s="3421"/>
      <c r="X2391" s="3421"/>
      <c r="Y2391" s="2374"/>
      <c r="Z2391" s="3421"/>
      <c r="AA2391" s="3421"/>
      <c r="AB2391" s="3421"/>
      <c r="AC2391" s="2292">
        <v>0</v>
      </c>
      <c r="AD2391" s="2042">
        <v>0</v>
      </c>
      <c r="AE2391" s="3429"/>
      <c r="AF2391" s="3421"/>
      <c r="AG2391" s="3421"/>
      <c r="AH2391" s="156"/>
      <c r="AI2391" s="156"/>
      <c r="AJ2391" s="156"/>
      <c r="AK2391" s="156"/>
      <c r="AL2391" s="156"/>
      <c r="AM2391" s="156"/>
      <c r="AN2391" s="156"/>
      <c r="AO2391" s="156"/>
      <c r="AP2391" s="156"/>
      <c r="AQ2391" s="156"/>
      <c r="AR2391" s="156"/>
      <c r="AS2391" s="156"/>
      <c r="AT2391" s="156"/>
      <c r="AU2391" s="156"/>
      <c r="AV2391" s="156"/>
      <c r="AW2391" s="156"/>
      <c r="AX2391" s="156"/>
      <c r="AY2391" s="156"/>
      <c r="AZ2391" s="156"/>
      <c r="BA2391" s="156"/>
      <c r="BB2391" s="2828"/>
      <c r="BC2391" s="452"/>
      <c r="BD2391" s="2829"/>
      <c r="BE2391" s="2837"/>
      <c r="BF2391" s="156"/>
    </row>
    <row r="2392" spans="1:58" ht="15" customHeight="1" outlineLevel="1" x14ac:dyDescent="0.35">
      <c r="A2392" s="1664"/>
      <c r="B2392" s="2812"/>
      <c r="C2392" s="3077"/>
      <c r="D2392" s="3980"/>
      <c r="E2392" s="3883"/>
      <c r="F2392" s="3984" t="str">
        <f>$E$1666</f>
        <v>ASHP-SEER19-Replace_CAC_ElectricHeat_ROF_SF</v>
      </c>
      <c r="G2392" s="3984"/>
      <c r="H2392" s="3984"/>
      <c r="I2392" s="3984"/>
      <c r="J2392" s="3501" t="str">
        <f>$C$1666</f>
        <v>353300_2021_12_</v>
      </c>
      <c r="K2392" s="3421">
        <v>3.41</v>
      </c>
      <c r="L2392" s="704"/>
      <c r="M2392" s="3020" t="s">
        <v>810</v>
      </c>
      <c r="N2392" s="106"/>
      <c r="O2392" s="106"/>
      <c r="P2392" s="702"/>
      <c r="Q2392" s="702"/>
      <c r="R2392" s="702"/>
      <c r="S2392" s="106"/>
      <c r="T2392" s="486"/>
      <c r="U2392" s="106"/>
      <c r="V2392" s="3980"/>
      <c r="W2392" s="3421">
        <v>3.41</v>
      </c>
      <c r="X2392" s="3421">
        <v>3.41</v>
      </c>
      <c r="Y2392" s="3421">
        <v>3.41</v>
      </c>
      <c r="Z2392" s="3421">
        <v>3.41</v>
      </c>
      <c r="AA2392" s="3421">
        <v>3.41</v>
      </c>
      <c r="AB2392" s="3421">
        <v>3.41</v>
      </c>
      <c r="AC2392" s="3428">
        <v>3.41</v>
      </c>
      <c r="AD2392" s="3421">
        <v>3.41</v>
      </c>
      <c r="AE2392" s="3429"/>
      <c r="AF2392" s="3421"/>
      <c r="AG2392" s="3421"/>
      <c r="AH2392" s="156"/>
      <c r="AI2392" s="156"/>
      <c r="AJ2392" s="156"/>
      <c r="AK2392" s="156"/>
      <c r="AL2392" s="156"/>
      <c r="AM2392" s="156"/>
      <c r="AN2392" s="156"/>
      <c r="AO2392" s="156"/>
      <c r="AP2392" s="156"/>
      <c r="AQ2392" s="156"/>
      <c r="AR2392" s="156"/>
      <c r="AS2392" s="156"/>
      <c r="AT2392" s="156"/>
      <c r="AU2392" s="156"/>
      <c r="AV2392" s="156"/>
      <c r="AW2392" s="156"/>
      <c r="AX2392" s="156"/>
      <c r="AY2392" s="156"/>
      <c r="AZ2392" s="156"/>
      <c r="BA2392" s="156"/>
      <c r="BB2392" s="2828"/>
      <c r="BC2392" s="452"/>
      <c r="BD2392" s="2829"/>
      <c r="BE2392" s="2837"/>
      <c r="BF2392" s="156"/>
    </row>
    <row r="2393" spans="1:58" s="3398" customFormat="1" ht="15" customHeight="1" outlineLevel="1" x14ac:dyDescent="0.35">
      <c r="A2393" s="1664"/>
      <c r="B2393" s="2812"/>
      <c r="C2393" s="3077"/>
      <c r="D2393" s="3980"/>
      <c r="E2393" s="3883"/>
      <c r="F2393" s="4136" t="str">
        <f>$E$1668</f>
        <v>ASHP-SEER19-Replace_CAC_NonElectricHeat_ROF_SF</v>
      </c>
      <c r="G2393" s="4136"/>
      <c r="H2393" s="4136"/>
      <c r="I2393" s="4136"/>
      <c r="J2393" s="3502" t="str">
        <f>$C$1668</f>
        <v>353310_2022_12_</v>
      </c>
      <c r="K2393" s="2374">
        <v>0</v>
      </c>
      <c r="L2393" s="703"/>
      <c r="M2393" s="3525" t="s">
        <v>1509</v>
      </c>
      <c r="P2393" s="702"/>
      <c r="Q2393" s="702"/>
      <c r="R2393" s="702"/>
      <c r="T2393" s="3397"/>
      <c r="V2393" s="3980"/>
      <c r="W2393" s="3421"/>
      <c r="X2393" s="3421"/>
      <c r="Y2393" s="3421"/>
      <c r="Z2393" s="3421"/>
      <c r="AA2393" s="3421"/>
      <c r="AB2393" s="3421"/>
      <c r="AC2393" s="3428"/>
      <c r="AD2393" s="2292">
        <v>0</v>
      </c>
      <c r="AE2393" s="2042"/>
      <c r="AF2393" s="3421"/>
      <c r="AG2393" s="3421"/>
      <c r="AH2393" s="156"/>
      <c r="AI2393" s="156"/>
      <c r="AJ2393" s="156"/>
      <c r="AK2393" s="156"/>
      <c r="AL2393" s="156"/>
      <c r="AM2393" s="156"/>
      <c r="AN2393" s="156"/>
      <c r="AO2393" s="156"/>
      <c r="AP2393" s="156"/>
      <c r="AQ2393" s="156"/>
      <c r="AR2393" s="156"/>
      <c r="AS2393" s="156"/>
      <c r="AT2393" s="156"/>
      <c r="AU2393" s="156"/>
      <c r="AV2393" s="156"/>
      <c r="AW2393" s="156"/>
      <c r="AX2393" s="156"/>
      <c r="AY2393" s="156"/>
      <c r="AZ2393" s="156"/>
      <c r="BA2393" s="156"/>
      <c r="BB2393" s="2828"/>
      <c r="BC2393" s="452"/>
      <c r="BD2393" s="2829"/>
      <c r="BE2393" s="2837"/>
      <c r="BF2393" s="156"/>
    </row>
    <row r="2394" spans="1:58" ht="15" customHeight="1" outlineLevel="1" x14ac:dyDescent="0.35">
      <c r="A2394" s="1664"/>
      <c r="B2394" s="2812"/>
      <c r="C2394" s="3077"/>
      <c r="D2394" s="3980"/>
      <c r="E2394" s="3883"/>
      <c r="F2394" s="3984" t="str">
        <f>$E$1670</f>
        <v>ASHP-SEER19-Replace_CAC_ElectricHeat_ROF_MF</v>
      </c>
      <c r="G2394" s="3984"/>
      <c r="H2394" s="3984"/>
      <c r="I2394" s="3984"/>
      <c r="J2394" s="3501" t="str">
        <f>$C$1670</f>
        <v>353350_2021_12_</v>
      </c>
      <c r="K2394" s="3421">
        <v>3.41</v>
      </c>
      <c r="L2394" s="704"/>
      <c r="M2394" s="3020" t="s">
        <v>1510</v>
      </c>
      <c r="N2394" s="106"/>
      <c r="O2394" s="106"/>
      <c r="P2394" s="702"/>
      <c r="Q2394" s="702"/>
      <c r="R2394" s="702"/>
      <c r="S2394" s="106"/>
      <c r="T2394" s="486"/>
      <c r="U2394" s="106"/>
      <c r="V2394" s="3980"/>
      <c r="W2394" s="3421">
        <v>3.41</v>
      </c>
      <c r="X2394" s="3421">
        <v>3.41</v>
      </c>
      <c r="Y2394" s="3421">
        <v>3.41</v>
      </c>
      <c r="Z2394" s="3421">
        <v>3.41</v>
      </c>
      <c r="AA2394" s="3421">
        <v>3.41</v>
      </c>
      <c r="AB2394" s="3421">
        <v>3.41</v>
      </c>
      <c r="AC2394" s="3428">
        <v>3.41</v>
      </c>
      <c r="AD2394" s="3421">
        <v>3.41</v>
      </c>
      <c r="AE2394" s="3429"/>
      <c r="AF2394" s="3421"/>
      <c r="AG2394" s="3421"/>
      <c r="AH2394" s="156"/>
      <c r="AI2394" s="156"/>
      <c r="AJ2394" s="156"/>
      <c r="AK2394" s="156"/>
      <c r="AL2394" s="156"/>
      <c r="AM2394" s="156"/>
      <c r="AN2394" s="156"/>
      <c r="AO2394" s="156"/>
      <c r="AP2394" s="156"/>
      <c r="AQ2394" s="156"/>
      <c r="AR2394" s="156"/>
      <c r="AS2394" s="156"/>
      <c r="AT2394" s="156"/>
      <c r="AU2394" s="156"/>
      <c r="AV2394" s="156"/>
      <c r="AW2394" s="156"/>
      <c r="AX2394" s="156"/>
      <c r="AY2394" s="156"/>
      <c r="AZ2394" s="156"/>
      <c r="BA2394" s="156"/>
      <c r="BB2394" s="2828"/>
      <c r="BC2394" s="452"/>
      <c r="BD2394" s="2829"/>
      <c r="BE2394" s="2837"/>
      <c r="BF2394" s="156"/>
    </row>
    <row r="2395" spans="1:58" ht="15" customHeight="1" outlineLevel="1" x14ac:dyDescent="0.35">
      <c r="A2395" s="1664"/>
      <c r="B2395" s="2812"/>
      <c r="C2395" s="3077"/>
      <c r="D2395" s="3980"/>
      <c r="E2395" s="3883"/>
      <c r="F2395" s="3984" t="str">
        <f>$E$1672</f>
        <v>ASHP-SEER19-Replace_CAC_ElectricHeat_ROF_MF_CompE</v>
      </c>
      <c r="G2395" s="3984"/>
      <c r="H2395" s="3984"/>
      <c r="I2395" s="3984"/>
      <c r="J2395" s="3501" t="str">
        <f>$C$1672</f>
        <v>353351_2019_12_</v>
      </c>
      <c r="K2395" s="3421">
        <v>3.41</v>
      </c>
      <c r="L2395" s="704"/>
      <c r="M2395" s="3020" t="s">
        <v>1510</v>
      </c>
      <c r="N2395" s="106"/>
      <c r="O2395" s="106"/>
      <c r="P2395" s="702"/>
      <c r="Q2395" s="702"/>
      <c r="R2395" s="702"/>
      <c r="S2395" s="106"/>
      <c r="T2395" s="486"/>
      <c r="U2395" s="106"/>
      <c r="V2395" s="3980"/>
      <c r="W2395" s="3421"/>
      <c r="X2395" s="3421"/>
      <c r="Y2395" s="2374">
        <v>3.41</v>
      </c>
      <c r="Z2395" s="3421">
        <v>3.41</v>
      </c>
      <c r="AA2395" s="3421">
        <v>3.41</v>
      </c>
      <c r="AB2395" s="3421">
        <v>3.41</v>
      </c>
      <c r="AC2395" s="3428">
        <v>3.41</v>
      </c>
      <c r="AD2395" s="3421">
        <v>3.41</v>
      </c>
      <c r="AE2395" s="3429"/>
      <c r="AF2395" s="3421"/>
      <c r="AG2395" s="3421"/>
      <c r="AH2395" s="156"/>
      <c r="AI2395" s="156"/>
      <c r="AJ2395" s="156"/>
      <c r="AK2395" s="156"/>
      <c r="AL2395" s="156"/>
      <c r="AM2395" s="156"/>
      <c r="AN2395" s="156"/>
      <c r="AO2395" s="156"/>
      <c r="AP2395" s="156"/>
      <c r="AQ2395" s="156"/>
      <c r="AR2395" s="156"/>
      <c r="AS2395" s="156"/>
      <c r="AT2395" s="156"/>
      <c r="AU2395" s="156"/>
      <c r="AV2395" s="156"/>
      <c r="AW2395" s="156"/>
      <c r="AX2395" s="156"/>
      <c r="AY2395" s="156"/>
      <c r="AZ2395" s="156"/>
      <c r="BA2395" s="156"/>
      <c r="BB2395" s="2828"/>
      <c r="BC2395" s="452"/>
      <c r="BD2395" s="2829"/>
      <c r="BE2395" s="2837"/>
      <c r="BF2395" s="156"/>
    </row>
    <row r="2396" spans="1:58" ht="15" customHeight="1" outlineLevel="1" x14ac:dyDescent="0.35">
      <c r="A2396" s="1664"/>
      <c r="B2396" s="2812"/>
      <c r="C2396" s="3077"/>
      <c r="D2396" s="3980"/>
      <c r="E2396" s="3883"/>
      <c r="F2396" s="3984" t="str">
        <f>$E$1674</f>
        <v>ASHP-SEER19-Replace_CAC_NonElectricHeat_ROF_MF</v>
      </c>
      <c r="G2396" s="3984"/>
      <c r="H2396" s="3984"/>
      <c r="I2396" s="3984"/>
      <c r="J2396" s="3501" t="str">
        <f>$C$1674</f>
        <v>353360_2021_12_</v>
      </c>
      <c r="K2396" s="2042">
        <v>0</v>
      </c>
      <c r="L2396" s="704"/>
      <c r="M2396" s="3020" t="s">
        <v>1509</v>
      </c>
      <c r="N2396" s="106"/>
      <c r="O2396" s="106"/>
      <c r="P2396" s="702"/>
      <c r="Q2396" s="702"/>
      <c r="R2396" s="702"/>
      <c r="S2396" s="106"/>
      <c r="T2396" s="486"/>
      <c r="U2396" s="106"/>
      <c r="V2396" s="3980"/>
      <c r="W2396" s="3421"/>
      <c r="X2396" s="3421"/>
      <c r="Y2396" s="2374"/>
      <c r="Z2396" s="3421"/>
      <c r="AA2396" s="3421"/>
      <c r="AB2396" s="3421"/>
      <c r="AC2396" s="2292">
        <v>0</v>
      </c>
      <c r="AD2396" s="2042">
        <v>0</v>
      </c>
      <c r="AE2396" s="3429"/>
      <c r="AF2396" s="3421"/>
      <c r="AG2396" s="3421"/>
      <c r="AH2396" s="156"/>
      <c r="AI2396" s="156"/>
      <c r="AJ2396" s="156"/>
      <c r="AK2396" s="156"/>
      <c r="AL2396" s="156"/>
      <c r="AM2396" s="156"/>
      <c r="AN2396" s="156"/>
      <c r="AO2396" s="156"/>
      <c r="AP2396" s="156"/>
      <c r="AQ2396" s="156"/>
      <c r="AR2396" s="156"/>
      <c r="AS2396" s="156"/>
      <c r="AT2396" s="156"/>
      <c r="AU2396" s="156"/>
      <c r="AV2396" s="156"/>
      <c r="AW2396" s="156"/>
      <c r="AX2396" s="156"/>
      <c r="AY2396" s="156"/>
      <c r="AZ2396" s="156"/>
      <c r="BA2396" s="156"/>
      <c r="BB2396" s="2828"/>
      <c r="BC2396" s="452"/>
      <c r="BD2396" s="2829"/>
      <c r="BE2396" s="2837"/>
      <c r="BF2396" s="156"/>
    </row>
    <row r="2397" spans="1:58" ht="15" customHeight="1" outlineLevel="1" x14ac:dyDescent="0.35">
      <c r="A2397" s="1664"/>
      <c r="B2397" s="2812"/>
      <c r="C2397" s="3077"/>
      <c r="D2397" s="3980"/>
      <c r="E2397" s="3883"/>
      <c r="F2397" s="3984" t="str">
        <f>$E$1676</f>
        <v>ASHP-SEER19-Replace_CAC_NonElectricHeat_ROF_MF_CompE</v>
      </c>
      <c r="G2397" s="3984"/>
      <c r="H2397" s="3984"/>
      <c r="I2397" s="3984"/>
      <c r="J2397" s="3501" t="str">
        <f>$C$1676</f>
        <v>353361_2021_12_</v>
      </c>
      <c r="K2397" s="2042">
        <v>0</v>
      </c>
      <c r="L2397" s="704"/>
      <c r="M2397" s="3020" t="s">
        <v>1509</v>
      </c>
      <c r="N2397" s="106"/>
      <c r="O2397" s="106"/>
      <c r="P2397" s="702"/>
      <c r="Q2397" s="702"/>
      <c r="R2397" s="702"/>
      <c r="S2397" s="106"/>
      <c r="T2397" s="486"/>
      <c r="U2397" s="106"/>
      <c r="V2397" s="3980"/>
      <c r="W2397" s="3421"/>
      <c r="X2397" s="3421"/>
      <c r="Y2397" s="2374"/>
      <c r="Z2397" s="3421"/>
      <c r="AA2397" s="3421"/>
      <c r="AB2397" s="3421"/>
      <c r="AC2397" s="2292">
        <v>0</v>
      </c>
      <c r="AD2397" s="2042">
        <v>0</v>
      </c>
      <c r="AE2397" s="3429"/>
      <c r="AF2397" s="3421"/>
      <c r="AG2397" s="3421"/>
      <c r="AH2397" s="156"/>
      <c r="AI2397" s="156"/>
      <c r="AJ2397" s="156"/>
      <c r="AK2397" s="156"/>
      <c r="AL2397" s="156"/>
      <c r="AM2397" s="156"/>
      <c r="AN2397" s="156"/>
      <c r="AO2397" s="156"/>
      <c r="AP2397" s="156"/>
      <c r="AQ2397" s="156"/>
      <c r="AR2397" s="156"/>
      <c r="AS2397" s="156"/>
      <c r="AT2397" s="156"/>
      <c r="AU2397" s="156"/>
      <c r="AV2397" s="156"/>
      <c r="AW2397" s="156"/>
      <c r="AX2397" s="156"/>
      <c r="AY2397" s="156"/>
      <c r="AZ2397" s="156"/>
      <c r="BA2397" s="156"/>
      <c r="BB2397" s="2828"/>
      <c r="BC2397" s="452"/>
      <c r="BD2397" s="2829"/>
      <c r="BE2397" s="2837"/>
      <c r="BF2397" s="156"/>
    </row>
    <row r="2398" spans="1:58" ht="15" customHeight="1" outlineLevel="1" x14ac:dyDescent="0.35">
      <c r="A2398" s="1664"/>
      <c r="B2398" s="2812"/>
      <c r="C2398" s="3077"/>
      <c r="D2398" s="3980"/>
      <c r="E2398" s="3883"/>
      <c r="F2398" s="3984" t="str">
        <f>$E$1678</f>
        <v>ASHP-SEER20-Replace_CAC_ElectricHeat_ER1_SF</v>
      </c>
      <c r="G2398" s="3984"/>
      <c r="H2398" s="3984"/>
      <c r="I2398" s="3984"/>
      <c r="J2398" s="3501" t="str">
        <f>$C$1678</f>
        <v>353400_2021_12_</v>
      </c>
      <c r="K2398" s="3421">
        <v>3.41</v>
      </c>
      <c r="L2398" s="704"/>
      <c r="M2398" s="3020" t="s">
        <v>810</v>
      </c>
      <c r="N2398" s="106"/>
      <c r="O2398" s="106"/>
      <c r="P2398" s="702"/>
      <c r="Q2398" s="702"/>
      <c r="R2398" s="702"/>
      <c r="S2398" s="106"/>
      <c r="T2398" s="486"/>
      <c r="U2398" s="106"/>
      <c r="V2398" s="3980"/>
      <c r="W2398" s="3421">
        <v>3.41</v>
      </c>
      <c r="X2398" s="3421">
        <v>3.41</v>
      </c>
      <c r="Y2398" s="3421">
        <v>3.41</v>
      </c>
      <c r="Z2398" s="3421">
        <v>3.41</v>
      </c>
      <c r="AA2398" s="3421">
        <v>3.41</v>
      </c>
      <c r="AB2398" s="3421">
        <v>3.41</v>
      </c>
      <c r="AC2398" s="3428">
        <v>3.41</v>
      </c>
      <c r="AD2398" s="3421">
        <v>3.41</v>
      </c>
      <c r="AE2398" s="3429"/>
      <c r="AF2398" s="3421"/>
      <c r="AG2398" s="3421"/>
      <c r="AH2398" s="156"/>
      <c r="AI2398" s="156"/>
      <c r="AJ2398" s="156"/>
      <c r="AK2398" s="156"/>
      <c r="AL2398" s="156"/>
      <c r="AM2398" s="156"/>
      <c r="AN2398" s="156"/>
      <c r="AO2398" s="156"/>
      <c r="AP2398" s="156"/>
      <c r="AQ2398" s="156"/>
      <c r="AR2398" s="156"/>
      <c r="AS2398" s="156"/>
      <c r="AT2398" s="156"/>
      <c r="AU2398" s="156"/>
      <c r="AV2398" s="156"/>
      <c r="AW2398" s="156"/>
      <c r="AX2398" s="156"/>
      <c r="AY2398" s="156"/>
      <c r="AZ2398" s="156"/>
      <c r="BA2398" s="156"/>
      <c r="BB2398" s="2828"/>
      <c r="BC2398" s="452"/>
      <c r="BD2398" s="2829"/>
      <c r="BE2398" s="2837"/>
      <c r="BF2398" s="156"/>
    </row>
    <row r="2399" spans="1:58" ht="15" customHeight="1" outlineLevel="1" x14ac:dyDescent="0.35">
      <c r="A2399" s="1664"/>
      <c r="B2399" s="2812"/>
      <c r="C2399" s="3077"/>
      <c r="D2399" s="3980"/>
      <c r="E2399" s="3883"/>
      <c r="F2399" s="3984" t="str">
        <f>$E$1680</f>
        <v>ASHP-SEER20-Replace_CAC_ElectricHeat_ER2_SF</v>
      </c>
      <c r="G2399" s="3984"/>
      <c r="H2399" s="3984"/>
      <c r="I2399" s="3984"/>
      <c r="J2399" s="3501" t="str">
        <f>$C$1680</f>
        <v>353400_2021_12_</v>
      </c>
      <c r="K2399" s="3421">
        <v>3.41</v>
      </c>
      <c r="L2399" s="704"/>
      <c r="M2399" s="3020" t="s">
        <v>810</v>
      </c>
      <c r="N2399" s="106"/>
      <c r="O2399" s="106"/>
      <c r="P2399" s="702"/>
      <c r="Q2399" s="702"/>
      <c r="R2399" s="702"/>
      <c r="S2399" s="106"/>
      <c r="T2399" s="486"/>
      <c r="U2399" s="106"/>
      <c r="V2399" s="3980"/>
      <c r="W2399" s="3421">
        <v>3.41</v>
      </c>
      <c r="X2399" s="3421">
        <v>3.41</v>
      </c>
      <c r="Y2399" s="3421">
        <v>3.41</v>
      </c>
      <c r="Z2399" s="3421">
        <v>3.41</v>
      </c>
      <c r="AA2399" s="3421">
        <v>3.41</v>
      </c>
      <c r="AB2399" s="3421">
        <v>3.41</v>
      </c>
      <c r="AC2399" s="3428">
        <v>3.41</v>
      </c>
      <c r="AD2399" s="3421">
        <v>3.41</v>
      </c>
      <c r="AE2399" s="3429"/>
      <c r="AF2399" s="3421"/>
      <c r="AG2399" s="3421"/>
      <c r="AH2399" s="156"/>
      <c r="AI2399" s="156"/>
      <c r="AJ2399" s="156"/>
      <c r="AK2399" s="156"/>
      <c r="AL2399" s="156"/>
      <c r="AM2399" s="156"/>
      <c r="AN2399" s="156"/>
      <c r="AO2399" s="156"/>
      <c r="AP2399" s="156"/>
      <c r="AQ2399" s="156"/>
      <c r="AR2399" s="156"/>
      <c r="AS2399" s="156"/>
      <c r="AT2399" s="156"/>
      <c r="AU2399" s="156"/>
      <c r="AV2399" s="156"/>
      <c r="AW2399" s="156"/>
      <c r="AX2399" s="156"/>
      <c r="AY2399" s="156"/>
      <c r="AZ2399" s="156"/>
      <c r="BA2399" s="156"/>
      <c r="BB2399" s="2828"/>
      <c r="BC2399" s="452"/>
      <c r="BD2399" s="2829"/>
      <c r="BE2399" s="2837"/>
      <c r="BF2399" s="156"/>
    </row>
    <row r="2400" spans="1:58" ht="15" customHeight="1" outlineLevel="1" x14ac:dyDescent="0.35">
      <c r="A2400" s="1664"/>
      <c r="B2400" s="2812"/>
      <c r="C2400" s="3077"/>
      <c r="D2400" s="3980"/>
      <c r="E2400" s="3883"/>
      <c r="F2400" s="3984" t="str">
        <f>$E$1682</f>
        <v>ASHP-SEER20-Replace_CAC_NonElectricHeat_ER1_SF</v>
      </c>
      <c r="G2400" s="3984"/>
      <c r="H2400" s="3984"/>
      <c r="I2400" s="3984"/>
      <c r="J2400" s="3501" t="str">
        <f>$C$1682</f>
        <v>353410_2021_12_</v>
      </c>
      <c r="K2400" s="2042">
        <v>0</v>
      </c>
      <c r="L2400" s="704"/>
      <c r="M2400" s="3020" t="s">
        <v>1509</v>
      </c>
      <c r="N2400" s="106"/>
      <c r="O2400" s="106"/>
      <c r="P2400" s="702"/>
      <c r="Q2400" s="702"/>
      <c r="R2400" s="702"/>
      <c r="S2400" s="106"/>
      <c r="T2400" s="486"/>
      <c r="U2400" s="106"/>
      <c r="V2400" s="3980"/>
      <c r="W2400" s="3421"/>
      <c r="X2400" s="3421"/>
      <c r="Y2400" s="3421"/>
      <c r="Z2400" s="3421"/>
      <c r="AA2400" s="3421"/>
      <c r="AB2400" s="3421"/>
      <c r="AC2400" s="2292">
        <v>0</v>
      </c>
      <c r="AD2400" s="2042">
        <v>0</v>
      </c>
      <c r="AE2400" s="3429"/>
      <c r="AF2400" s="3421"/>
      <c r="AG2400" s="3421"/>
      <c r="AH2400" s="156"/>
      <c r="AI2400" s="156"/>
      <c r="AJ2400" s="156"/>
      <c r="AK2400" s="156"/>
      <c r="AL2400" s="156"/>
      <c r="AM2400" s="156"/>
      <c r="AN2400" s="156"/>
      <c r="AO2400" s="156"/>
      <c r="AP2400" s="156"/>
      <c r="AQ2400" s="156"/>
      <c r="AR2400" s="156"/>
      <c r="AS2400" s="156"/>
      <c r="AT2400" s="156"/>
      <c r="AU2400" s="156"/>
      <c r="AV2400" s="156"/>
      <c r="AW2400" s="156"/>
      <c r="AX2400" s="156"/>
      <c r="AY2400" s="156"/>
      <c r="AZ2400" s="156"/>
      <c r="BA2400" s="156"/>
      <c r="BB2400" s="2828"/>
      <c r="BC2400" s="452"/>
      <c r="BD2400" s="2829"/>
      <c r="BE2400" s="2837"/>
      <c r="BF2400" s="156"/>
    </row>
    <row r="2401" spans="1:58" ht="15" customHeight="1" outlineLevel="1" x14ac:dyDescent="0.35">
      <c r="A2401" s="1664"/>
      <c r="B2401" s="2812"/>
      <c r="C2401" s="3077"/>
      <c r="D2401" s="3980"/>
      <c r="E2401" s="3883"/>
      <c r="F2401" s="3984" t="str">
        <f>$E$1684</f>
        <v>ASHP-SEER20-Replace_CAC_NonElectricHeat_ER2_SF</v>
      </c>
      <c r="G2401" s="3984"/>
      <c r="H2401" s="3984"/>
      <c r="I2401" s="3984"/>
      <c r="J2401" s="3501" t="str">
        <f>$C$1684</f>
        <v>353410_2021_12_</v>
      </c>
      <c r="K2401" s="2042">
        <v>0</v>
      </c>
      <c r="L2401" s="704"/>
      <c r="M2401" s="3020" t="s">
        <v>1509</v>
      </c>
      <c r="N2401" s="106"/>
      <c r="O2401" s="106"/>
      <c r="P2401" s="702"/>
      <c r="Q2401" s="702"/>
      <c r="R2401" s="702"/>
      <c r="S2401" s="106"/>
      <c r="T2401" s="486"/>
      <c r="U2401" s="106"/>
      <c r="V2401" s="3980"/>
      <c r="W2401" s="3421"/>
      <c r="X2401" s="3421"/>
      <c r="Y2401" s="3421"/>
      <c r="Z2401" s="3421"/>
      <c r="AA2401" s="3421"/>
      <c r="AB2401" s="3421"/>
      <c r="AC2401" s="2292">
        <v>0</v>
      </c>
      <c r="AD2401" s="2042">
        <v>0</v>
      </c>
      <c r="AE2401" s="3429"/>
      <c r="AF2401" s="3421"/>
      <c r="AG2401" s="3421"/>
      <c r="AH2401" s="156"/>
      <c r="AI2401" s="156"/>
      <c r="AJ2401" s="156"/>
      <c r="AK2401" s="156"/>
      <c r="AL2401" s="156"/>
      <c r="AM2401" s="156"/>
      <c r="AN2401" s="156"/>
      <c r="AO2401" s="156"/>
      <c r="AP2401" s="156"/>
      <c r="AQ2401" s="156"/>
      <c r="AR2401" s="156"/>
      <c r="AS2401" s="156"/>
      <c r="AT2401" s="156"/>
      <c r="AU2401" s="156"/>
      <c r="AV2401" s="156"/>
      <c r="AW2401" s="156"/>
      <c r="AX2401" s="156"/>
      <c r="AY2401" s="156"/>
      <c r="AZ2401" s="156"/>
      <c r="BA2401" s="156"/>
      <c r="BB2401" s="2828"/>
      <c r="BC2401" s="452"/>
      <c r="BD2401" s="2829"/>
      <c r="BE2401" s="2837"/>
      <c r="BF2401" s="156"/>
    </row>
    <row r="2402" spans="1:58" ht="15" customHeight="1" outlineLevel="1" x14ac:dyDescent="0.35">
      <c r="A2402" s="1664"/>
      <c r="B2402" s="2812"/>
      <c r="C2402" s="3077"/>
      <c r="D2402" s="3980"/>
      <c r="E2402" s="3883"/>
      <c r="F2402" s="3984" t="str">
        <f>$E$1686</f>
        <v>ASHP-SEER20-Replace_CAC_ElectricHeat_ROF_SF</v>
      </c>
      <c r="G2402" s="3984"/>
      <c r="H2402" s="3984"/>
      <c r="I2402" s="3984"/>
      <c r="J2402" s="3501" t="str">
        <f>$C$1686</f>
        <v>353450_2021_12_</v>
      </c>
      <c r="K2402" s="3421">
        <v>3.41</v>
      </c>
      <c r="L2402" s="704"/>
      <c r="M2402" s="3020" t="s">
        <v>810</v>
      </c>
      <c r="N2402" s="106"/>
      <c r="O2402" s="106"/>
      <c r="P2402" s="702"/>
      <c r="Q2402" s="702"/>
      <c r="R2402" s="702"/>
      <c r="S2402" s="106"/>
      <c r="T2402" s="486"/>
      <c r="U2402" s="106"/>
      <c r="V2402" s="3980"/>
      <c r="W2402" s="3421">
        <v>3.41</v>
      </c>
      <c r="X2402" s="3421">
        <v>3.41</v>
      </c>
      <c r="Y2402" s="3421">
        <v>3.41</v>
      </c>
      <c r="Z2402" s="3421">
        <v>3.41</v>
      </c>
      <c r="AA2402" s="3421">
        <v>3.41</v>
      </c>
      <c r="AB2402" s="3421">
        <v>3.41</v>
      </c>
      <c r="AC2402" s="3428">
        <v>3.41</v>
      </c>
      <c r="AD2402" s="3421">
        <v>3.41</v>
      </c>
      <c r="AE2402" s="3429"/>
      <c r="AF2402" s="3421"/>
      <c r="AG2402" s="3421"/>
      <c r="AH2402" s="156"/>
      <c r="AI2402" s="156"/>
      <c r="AJ2402" s="156"/>
      <c r="AK2402" s="156"/>
      <c r="AL2402" s="156"/>
      <c r="AM2402" s="156"/>
      <c r="AN2402" s="156"/>
      <c r="AO2402" s="156"/>
      <c r="AP2402" s="156"/>
      <c r="AQ2402" s="156"/>
      <c r="AR2402" s="156"/>
      <c r="AS2402" s="156"/>
      <c r="AT2402" s="156"/>
      <c r="AU2402" s="156"/>
      <c r="AV2402" s="156"/>
      <c r="AW2402" s="156"/>
      <c r="AX2402" s="156"/>
      <c r="AY2402" s="156"/>
      <c r="AZ2402" s="156"/>
      <c r="BA2402" s="156"/>
      <c r="BB2402" s="2828"/>
      <c r="BC2402" s="452"/>
      <c r="BD2402" s="2829"/>
      <c r="BE2402" s="2837"/>
      <c r="BF2402" s="156"/>
    </row>
    <row r="2403" spans="1:58" s="3398" customFormat="1" ht="15" customHeight="1" outlineLevel="1" x14ac:dyDescent="0.35">
      <c r="A2403" s="1664"/>
      <c r="B2403" s="2812"/>
      <c r="C2403" s="3077"/>
      <c r="D2403" s="3980"/>
      <c r="E2403" s="3883"/>
      <c r="F2403" s="4136" t="str">
        <f>$E$1688</f>
        <v>ASHP-SEER20-Replace_CAC_NonElectricHeat_ROF_SF</v>
      </c>
      <c r="G2403" s="4136"/>
      <c r="H2403" s="4136"/>
      <c r="I2403" s="4136"/>
      <c r="J2403" s="3502" t="str">
        <f>$C$1688</f>
        <v>353460_2022_12_</v>
      </c>
      <c r="K2403" s="2374">
        <v>0</v>
      </c>
      <c r="L2403" s="703"/>
      <c r="M2403" s="3525" t="s">
        <v>1509</v>
      </c>
      <c r="P2403" s="702"/>
      <c r="Q2403" s="702"/>
      <c r="R2403" s="702"/>
      <c r="T2403" s="3397"/>
      <c r="V2403" s="3980"/>
      <c r="W2403" s="3421"/>
      <c r="X2403" s="3421"/>
      <c r="Y2403" s="3421"/>
      <c r="Z2403" s="3421"/>
      <c r="AA2403" s="3421"/>
      <c r="AB2403" s="3421"/>
      <c r="AC2403" s="3428"/>
      <c r="AD2403" s="2292">
        <v>0</v>
      </c>
      <c r="AE2403" s="2042"/>
      <c r="AF2403" s="3421"/>
      <c r="AG2403" s="3421"/>
      <c r="AH2403" s="156"/>
      <c r="AI2403" s="156"/>
      <c r="AJ2403" s="156"/>
      <c r="AK2403" s="156"/>
      <c r="AL2403" s="156"/>
      <c r="AM2403" s="156"/>
      <c r="AN2403" s="156"/>
      <c r="AO2403" s="156"/>
      <c r="AP2403" s="156"/>
      <c r="AQ2403" s="156"/>
      <c r="AR2403" s="156"/>
      <c r="AS2403" s="156"/>
      <c r="AT2403" s="156"/>
      <c r="AU2403" s="156"/>
      <c r="AV2403" s="156"/>
      <c r="AW2403" s="156"/>
      <c r="AX2403" s="156"/>
      <c r="AY2403" s="156"/>
      <c r="AZ2403" s="156"/>
      <c r="BA2403" s="156"/>
      <c r="BB2403" s="2828"/>
      <c r="BC2403" s="452"/>
      <c r="BD2403" s="2829"/>
      <c r="BE2403" s="2837"/>
      <c r="BF2403" s="156"/>
    </row>
    <row r="2404" spans="1:58" ht="15" customHeight="1" outlineLevel="1" x14ac:dyDescent="0.35">
      <c r="A2404" s="1664"/>
      <c r="B2404" s="2812"/>
      <c r="C2404" s="3077"/>
      <c r="D2404" s="3980"/>
      <c r="E2404" s="3883"/>
      <c r="F2404" s="3984" t="str">
        <f>$E$1690</f>
        <v>ASHP-SEER20-Replace_CAC_ElectricHeat_ROF_MF</v>
      </c>
      <c r="G2404" s="3984"/>
      <c r="H2404" s="3984"/>
      <c r="I2404" s="3984"/>
      <c r="J2404" s="3501" t="str">
        <f>$C$1690</f>
        <v>353500_2019_12_</v>
      </c>
      <c r="K2404" s="3421">
        <v>3.41</v>
      </c>
      <c r="L2404" s="704"/>
      <c r="M2404" s="3020" t="s">
        <v>1510</v>
      </c>
      <c r="N2404" s="106"/>
      <c r="O2404" s="106"/>
      <c r="P2404" s="702"/>
      <c r="Q2404" s="702"/>
      <c r="R2404" s="702"/>
      <c r="S2404" s="106"/>
      <c r="T2404" s="486"/>
      <c r="U2404" s="106"/>
      <c r="V2404" s="3980"/>
      <c r="W2404" s="3421">
        <v>3.41</v>
      </c>
      <c r="X2404" s="3421">
        <v>3.41</v>
      </c>
      <c r="Y2404" s="3421">
        <v>3.41</v>
      </c>
      <c r="Z2404" s="3421">
        <v>3.41</v>
      </c>
      <c r="AA2404" s="3421">
        <v>3.41</v>
      </c>
      <c r="AB2404" s="3421">
        <v>3.41</v>
      </c>
      <c r="AC2404" s="3428">
        <v>3.41</v>
      </c>
      <c r="AD2404" s="3421">
        <v>3.41</v>
      </c>
      <c r="AE2404" s="3429"/>
      <c r="AF2404" s="3421"/>
      <c r="AG2404" s="3421"/>
      <c r="AH2404" s="156"/>
      <c r="AI2404" s="156"/>
      <c r="AJ2404" s="156"/>
      <c r="AK2404" s="156"/>
      <c r="AL2404" s="156"/>
      <c r="AM2404" s="156"/>
      <c r="AN2404" s="156"/>
      <c r="AO2404" s="156"/>
      <c r="AP2404" s="156"/>
      <c r="AQ2404" s="156"/>
      <c r="AR2404" s="156"/>
      <c r="AS2404" s="156"/>
      <c r="AT2404" s="156"/>
      <c r="AU2404" s="156"/>
      <c r="AV2404" s="156"/>
      <c r="AW2404" s="156"/>
      <c r="AX2404" s="156"/>
      <c r="AY2404" s="156"/>
      <c r="AZ2404" s="156"/>
      <c r="BA2404" s="156"/>
      <c r="BB2404" s="2828"/>
      <c r="BC2404" s="452"/>
      <c r="BD2404" s="2829"/>
      <c r="BE2404" s="2837"/>
      <c r="BF2404" s="156"/>
    </row>
    <row r="2405" spans="1:58" ht="15" customHeight="1" outlineLevel="1" x14ac:dyDescent="0.35">
      <c r="A2405" s="1664"/>
      <c r="B2405" s="2812"/>
      <c r="C2405" s="3077"/>
      <c r="D2405" s="3980"/>
      <c r="E2405" s="3883"/>
      <c r="F2405" s="3984" t="str">
        <f>$E$1692</f>
        <v>ASHP-SEER20-Replace_CAC_ElectricHeat_ROF_MF_CompE</v>
      </c>
      <c r="G2405" s="3984"/>
      <c r="H2405" s="3984"/>
      <c r="I2405" s="3984"/>
      <c r="J2405" s="3501" t="str">
        <f>$C$1692</f>
        <v>353501_2019_12_</v>
      </c>
      <c r="K2405" s="3421">
        <v>3.41</v>
      </c>
      <c r="L2405" s="704"/>
      <c r="M2405" s="3020" t="s">
        <v>1510</v>
      </c>
      <c r="N2405" s="106"/>
      <c r="O2405" s="106"/>
      <c r="P2405" s="702"/>
      <c r="Q2405" s="702"/>
      <c r="R2405" s="702"/>
      <c r="S2405" s="106"/>
      <c r="T2405" s="486"/>
      <c r="U2405" s="106"/>
      <c r="V2405" s="3980"/>
      <c r="W2405" s="3421"/>
      <c r="X2405" s="3421"/>
      <c r="Y2405" s="2374">
        <v>3.41</v>
      </c>
      <c r="Z2405" s="3421">
        <v>3.41</v>
      </c>
      <c r="AA2405" s="3421">
        <v>3.41</v>
      </c>
      <c r="AB2405" s="3421">
        <v>3.41</v>
      </c>
      <c r="AC2405" s="3428">
        <v>3.41</v>
      </c>
      <c r="AD2405" s="3421">
        <v>3.41</v>
      </c>
      <c r="AE2405" s="3429"/>
      <c r="AF2405" s="3421"/>
      <c r="AG2405" s="3421"/>
      <c r="AH2405" s="156"/>
      <c r="AI2405" s="156"/>
      <c r="AJ2405" s="156"/>
      <c r="AK2405" s="156"/>
      <c r="AL2405" s="156"/>
      <c r="AM2405" s="156"/>
      <c r="AN2405" s="156"/>
      <c r="AO2405" s="156"/>
      <c r="AP2405" s="156"/>
      <c r="AQ2405" s="156"/>
      <c r="AR2405" s="156"/>
      <c r="AS2405" s="156"/>
      <c r="AT2405" s="156"/>
      <c r="AU2405" s="156"/>
      <c r="AV2405" s="156"/>
      <c r="AW2405" s="156"/>
      <c r="AX2405" s="156"/>
      <c r="AY2405" s="156"/>
      <c r="AZ2405" s="156"/>
      <c r="BA2405" s="156"/>
      <c r="BB2405" s="2828"/>
      <c r="BC2405" s="452"/>
      <c r="BD2405" s="2829"/>
      <c r="BE2405" s="2837"/>
      <c r="BF2405" s="156"/>
    </row>
    <row r="2406" spans="1:58" ht="15" customHeight="1" outlineLevel="1" x14ac:dyDescent="0.35">
      <c r="A2406" s="1664"/>
      <c r="B2406" s="2812"/>
      <c r="C2406" s="3077"/>
      <c r="D2406" s="3980"/>
      <c r="E2406" s="3883"/>
      <c r="F2406" s="3984" t="str">
        <f>$E$1694</f>
        <v>ASHP-SEER20-Replace_CAC_NonElectricHeat_ROF_MF</v>
      </c>
      <c r="G2406" s="3984"/>
      <c r="H2406" s="3984"/>
      <c r="I2406" s="3984"/>
      <c r="J2406" s="3501" t="str">
        <f>$C$1694</f>
        <v>353510_2021_12_</v>
      </c>
      <c r="K2406" s="2042">
        <v>0</v>
      </c>
      <c r="L2406" s="704"/>
      <c r="M2406" s="3020" t="s">
        <v>1509</v>
      </c>
      <c r="N2406" s="106"/>
      <c r="O2406" s="106"/>
      <c r="P2406" s="702"/>
      <c r="Q2406" s="702"/>
      <c r="R2406" s="702"/>
      <c r="S2406" s="106"/>
      <c r="T2406" s="486"/>
      <c r="U2406" s="106"/>
      <c r="V2406" s="3980"/>
      <c r="W2406" s="3421"/>
      <c r="X2406" s="3421"/>
      <c r="Y2406" s="2374"/>
      <c r="Z2406" s="3421"/>
      <c r="AA2406" s="3421"/>
      <c r="AB2406" s="3421"/>
      <c r="AC2406" s="2292">
        <v>0</v>
      </c>
      <c r="AD2406" s="2042">
        <v>0</v>
      </c>
      <c r="AE2406" s="3429"/>
      <c r="AF2406" s="3421"/>
      <c r="AG2406" s="3421"/>
      <c r="AH2406" s="156"/>
      <c r="AI2406" s="156"/>
      <c r="AJ2406" s="156"/>
      <c r="AK2406" s="156"/>
      <c r="AL2406" s="156"/>
      <c r="AM2406" s="156"/>
      <c r="AN2406" s="156"/>
      <c r="AO2406" s="156"/>
      <c r="AP2406" s="156"/>
      <c r="AQ2406" s="156"/>
      <c r="AR2406" s="156"/>
      <c r="AS2406" s="156"/>
      <c r="AT2406" s="156"/>
      <c r="AU2406" s="156"/>
      <c r="AV2406" s="156"/>
      <c r="AW2406" s="156"/>
      <c r="AX2406" s="156"/>
      <c r="AY2406" s="156"/>
      <c r="AZ2406" s="156"/>
      <c r="BA2406" s="156"/>
      <c r="BB2406" s="2828"/>
      <c r="BC2406" s="452"/>
      <c r="BD2406" s="2829"/>
      <c r="BE2406" s="2837"/>
      <c r="BF2406" s="156"/>
    </row>
    <row r="2407" spans="1:58" ht="15" customHeight="1" outlineLevel="1" x14ac:dyDescent="0.35">
      <c r="A2407" s="1664"/>
      <c r="B2407" s="2812"/>
      <c r="C2407" s="3077"/>
      <c r="D2407" s="3980"/>
      <c r="E2407" s="3883"/>
      <c r="F2407" s="3984" t="str">
        <f>$E$1696</f>
        <v>ASHP-SEER20-Replace_CAC_NonElectricHeat_ROF_MF_CompE</v>
      </c>
      <c r="G2407" s="3984"/>
      <c r="H2407" s="3984"/>
      <c r="I2407" s="3984"/>
      <c r="J2407" s="3501" t="str">
        <f>$C$1696</f>
        <v>353511_2021_12_</v>
      </c>
      <c r="K2407" s="2042">
        <v>0</v>
      </c>
      <c r="L2407" s="704"/>
      <c r="M2407" s="3020" t="s">
        <v>1509</v>
      </c>
      <c r="N2407" s="106"/>
      <c r="O2407" s="106"/>
      <c r="P2407" s="702"/>
      <c r="Q2407" s="702"/>
      <c r="R2407" s="702"/>
      <c r="S2407" s="106"/>
      <c r="T2407" s="486"/>
      <c r="U2407" s="106"/>
      <c r="V2407" s="3980"/>
      <c r="W2407" s="3421"/>
      <c r="X2407" s="3421"/>
      <c r="Y2407" s="2374"/>
      <c r="Z2407" s="3421"/>
      <c r="AA2407" s="3421"/>
      <c r="AB2407" s="3421"/>
      <c r="AC2407" s="2292">
        <v>0</v>
      </c>
      <c r="AD2407" s="2042">
        <v>0</v>
      </c>
      <c r="AE2407" s="3429"/>
      <c r="AF2407" s="3421"/>
      <c r="AG2407" s="3421"/>
      <c r="AH2407" s="156"/>
      <c r="AI2407" s="156"/>
      <c r="AJ2407" s="156"/>
      <c r="AK2407" s="156"/>
      <c r="AL2407" s="156"/>
      <c r="AM2407" s="156"/>
      <c r="AN2407" s="156"/>
      <c r="AO2407" s="156"/>
      <c r="AP2407" s="156"/>
      <c r="AQ2407" s="156"/>
      <c r="AR2407" s="156"/>
      <c r="AS2407" s="156"/>
      <c r="AT2407" s="156"/>
      <c r="AU2407" s="156"/>
      <c r="AV2407" s="156"/>
      <c r="AW2407" s="156"/>
      <c r="AX2407" s="156"/>
      <c r="AY2407" s="156"/>
      <c r="AZ2407" s="156"/>
      <c r="BA2407" s="156"/>
      <c r="BB2407" s="2828"/>
      <c r="BC2407" s="452"/>
      <c r="BD2407" s="2829"/>
      <c r="BE2407" s="2837"/>
      <c r="BF2407" s="156"/>
    </row>
    <row r="2408" spans="1:58" ht="15" customHeight="1" outlineLevel="1" x14ac:dyDescent="0.35">
      <c r="A2408" s="1664"/>
      <c r="B2408" s="2812"/>
      <c r="C2408" s="3077"/>
      <c r="D2408" s="3980"/>
      <c r="E2408" s="3883"/>
      <c r="F2408" s="3984" t="str">
        <f>$E$1698</f>
        <v>ASHP-SEER21-Replace_CAC_ElectricHeat_ER1_SF</v>
      </c>
      <c r="G2408" s="3984"/>
      <c r="H2408" s="3984"/>
      <c r="I2408" s="3984"/>
      <c r="J2408" s="3501" t="str">
        <f>$C$1698</f>
        <v>353550_2021_12_</v>
      </c>
      <c r="K2408" s="3421">
        <v>3.41</v>
      </c>
      <c r="L2408" s="704"/>
      <c r="M2408" s="3020" t="s">
        <v>810</v>
      </c>
      <c r="N2408" s="106"/>
      <c r="O2408" s="106"/>
      <c r="P2408" s="702"/>
      <c r="Q2408" s="574"/>
      <c r="R2408" s="702"/>
      <c r="S2408" s="106"/>
      <c r="T2408" s="486"/>
      <c r="U2408" s="106"/>
      <c r="V2408" s="3980"/>
      <c r="W2408" s="3421">
        <v>3.41</v>
      </c>
      <c r="X2408" s="3421">
        <v>3.41</v>
      </c>
      <c r="Y2408" s="3421">
        <v>3.41</v>
      </c>
      <c r="Z2408" s="3421">
        <v>3.41</v>
      </c>
      <c r="AA2408" s="3421">
        <v>3.41</v>
      </c>
      <c r="AB2408" s="3421">
        <v>3.41</v>
      </c>
      <c r="AC2408" s="3428">
        <v>3.41</v>
      </c>
      <c r="AD2408" s="3421">
        <v>3.41</v>
      </c>
      <c r="AE2408" s="3429"/>
      <c r="AF2408" s="3421"/>
      <c r="AG2408" s="3421"/>
      <c r="AH2408" s="156"/>
      <c r="AI2408" s="156"/>
      <c r="AJ2408" s="156"/>
      <c r="AK2408" s="156"/>
      <c r="AL2408" s="156"/>
      <c r="AM2408" s="156"/>
      <c r="AN2408" s="156"/>
      <c r="AO2408" s="156"/>
      <c r="AP2408" s="156"/>
      <c r="AQ2408" s="156"/>
      <c r="AR2408" s="156"/>
      <c r="AS2408" s="156"/>
      <c r="AT2408" s="156"/>
      <c r="AU2408" s="156"/>
      <c r="AV2408" s="156"/>
      <c r="AW2408" s="156"/>
      <c r="AX2408" s="156"/>
      <c r="AY2408" s="156"/>
      <c r="AZ2408" s="156"/>
      <c r="BA2408" s="156"/>
      <c r="BB2408" s="2828"/>
      <c r="BC2408" s="452"/>
      <c r="BD2408" s="2829"/>
      <c r="BE2408" s="2837"/>
      <c r="BF2408" s="156"/>
    </row>
    <row r="2409" spans="1:58" ht="15" customHeight="1" outlineLevel="1" x14ac:dyDescent="0.35">
      <c r="A2409" s="1664"/>
      <c r="B2409" s="2812"/>
      <c r="C2409" s="3077"/>
      <c r="D2409" s="3980"/>
      <c r="E2409" s="3883"/>
      <c r="F2409" s="3984" t="str">
        <f>$E$1700</f>
        <v>ASHP-SEER21-Replace_CAC_ElectricHeat_ER2_SF</v>
      </c>
      <c r="G2409" s="3984"/>
      <c r="H2409" s="3984"/>
      <c r="I2409" s="3984"/>
      <c r="J2409" s="3501" t="str">
        <f>$C$1700</f>
        <v>353550_2021_12_</v>
      </c>
      <c r="K2409" s="3421">
        <v>3.41</v>
      </c>
      <c r="L2409" s="704"/>
      <c r="M2409" s="3020" t="s">
        <v>810</v>
      </c>
      <c r="N2409" s="106"/>
      <c r="O2409" s="106"/>
      <c r="P2409" s="702"/>
      <c r="Q2409" s="574"/>
      <c r="R2409" s="702"/>
      <c r="S2409" s="106"/>
      <c r="T2409" s="486"/>
      <c r="U2409" s="106"/>
      <c r="V2409" s="3980"/>
      <c r="W2409" s="3421">
        <v>3.41</v>
      </c>
      <c r="X2409" s="3421">
        <v>3.41</v>
      </c>
      <c r="Y2409" s="3421">
        <v>3.41</v>
      </c>
      <c r="Z2409" s="3421">
        <v>3.41</v>
      </c>
      <c r="AA2409" s="3421">
        <v>3.41</v>
      </c>
      <c r="AB2409" s="3421">
        <v>3.41</v>
      </c>
      <c r="AC2409" s="3428">
        <v>3.41</v>
      </c>
      <c r="AD2409" s="3421">
        <v>3.41</v>
      </c>
      <c r="AE2409" s="3429"/>
      <c r="AF2409" s="3421"/>
      <c r="AG2409" s="3421"/>
      <c r="AH2409" s="156"/>
      <c r="AI2409" s="156"/>
      <c r="AJ2409" s="156"/>
      <c r="AK2409" s="156"/>
      <c r="AL2409" s="156"/>
      <c r="AM2409" s="156"/>
      <c r="AN2409" s="156"/>
      <c r="AO2409" s="156"/>
      <c r="AP2409" s="156"/>
      <c r="AQ2409" s="156"/>
      <c r="AR2409" s="156"/>
      <c r="AS2409" s="156"/>
      <c r="AT2409" s="156"/>
      <c r="AU2409" s="156"/>
      <c r="AV2409" s="156"/>
      <c r="AW2409" s="156"/>
      <c r="AX2409" s="156"/>
      <c r="AY2409" s="156"/>
      <c r="AZ2409" s="156"/>
      <c r="BA2409" s="156"/>
      <c r="BB2409" s="2828"/>
      <c r="BC2409" s="452"/>
      <c r="BD2409" s="2829"/>
      <c r="BE2409" s="2837"/>
      <c r="BF2409" s="156"/>
    </row>
    <row r="2410" spans="1:58" ht="15" customHeight="1" outlineLevel="1" x14ac:dyDescent="0.35">
      <c r="A2410" s="1664"/>
      <c r="B2410" s="2812"/>
      <c r="C2410" s="3077"/>
      <c r="D2410" s="3980"/>
      <c r="E2410" s="3883"/>
      <c r="F2410" s="3984" t="str">
        <f>$E$1702</f>
        <v>ASHP-SEER21-Replace_CAC_NonElectricHeat_ER1_SF</v>
      </c>
      <c r="G2410" s="3984"/>
      <c r="H2410" s="3984"/>
      <c r="I2410" s="3984"/>
      <c r="J2410" s="3501" t="str">
        <f>$C$1702</f>
        <v>353560_2021_12_</v>
      </c>
      <c r="K2410" s="2042">
        <v>0</v>
      </c>
      <c r="L2410" s="704"/>
      <c r="M2410" s="3020" t="s">
        <v>1509</v>
      </c>
      <c r="N2410" s="106"/>
      <c r="O2410" s="106"/>
      <c r="P2410" s="702"/>
      <c r="Q2410" s="574"/>
      <c r="R2410" s="702"/>
      <c r="S2410" s="106"/>
      <c r="T2410" s="486"/>
      <c r="U2410" s="106"/>
      <c r="V2410" s="3980"/>
      <c r="W2410" s="3421"/>
      <c r="X2410" s="3421"/>
      <c r="Y2410" s="3421"/>
      <c r="Z2410" s="3421"/>
      <c r="AA2410" s="3421"/>
      <c r="AB2410" s="3421"/>
      <c r="AC2410" s="2292">
        <v>0</v>
      </c>
      <c r="AD2410" s="2042">
        <v>0</v>
      </c>
      <c r="AE2410" s="3429"/>
      <c r="AF2410" s="3421"/>
      <c r="AG2410" s="3421"/>
      <c r="AH2410" s="156"/>
      <c r="AI2410" s="156"/>
      <c r="AJ2410" s="156"/>
      <c r="AK2410" s="156"/>
      <c r="AL2410" s="156"/>
      <c r="AM2410" s="156"/>
      <c r="AN2410" s="156"/>
      <c r="AO2410" s="156"/>
      <c r="AP2410" s="156"/>
      <c r="AQ2410" s="156"/>
      <c r="AR2410" s="156"/>
      <c r="AS2410" s="156"/>
      <c r="AT2410" s="156"/>
      <c r="AU2410" s="156"/>
      <c r="AV2410" s="156"/>
      <c r="AW2410" s="156"/>
      <c r="AX2410" s="156"/>
      <c r="AY2410" s="156"/>
      <c r="AZ2410" s="156"/>
      <c r="BA2410" s="156"/>
      <c r="BB2410" s="2828"/>
      <c r="BC2410" s="452"/>
      <c r="BD2410" s="2829"/>
      <c r="BE2410" s="2837"/>
      <c r="BF2410" s="156"/>
    </row>
    <row r="2411" spans="1:58" ht="15" customHeight="1" outlineLevel="1" x14ac:dyDescent="0.35">
      <c r="A2411" s="1664"/>
      <c r="B2411" s="2812"/>
      <c r="C2411" s="3077"/>
      <c r="D2411" s="3980"/>
      <c r="E2411" s="3883"/>
      <c r="F2411" s="3984" t="str">
        <f>$E$1704</f>
        <v>ASHP-SEER21-Replace_CAC_NonElectricHeat_ER2_SF</v>
      </c>
      <c r="G2411" s="3984"/>
      <c r="H2411" s="3984"/>
      <c r="I2411" s="3984"/>
      <c r="J2411" s="3501" t="str">
        <f>$C$1704</f>
        <v>353560_2021_12_</v>
      </c>
      <c r="K2411" s="2042">
        <v>0</v>
      </c>
      <c r="L2411" s="704"/>
      <c r="M2411" s="3020" t="s">
        <v>1509</v>
      </c>
      <c r="N2411" s="106"/>
      <c r="O2411" s="106"/>
      <c r="P2411" s="702"/>
      <c r="Q2411" s="574"/>
      <c r="R2411" s="702"/>
      <c r="S2411" s="106"/>
      <c r="T2411" s="486"/>
      <c r="U2411" s="106"/>
      <c r="V2411" s="3980"/>
      <c r="W2411" s="3421"/>
      <c r="X2411" s="3421"/>
      <c r="Y2411" s="3421"/>
      <c r="Z2411" s="3421"/>
      <c r="AA2411" s="3421"/>
      <c r="AB2411" s="3421"/>
      <c r="AC2411" s="2292">
        <v>0</v>
      </c>
      <c r="AD2411" s="2042">
        <v>0</v>
      </c>
      <c r="AE2411" s="3429"/>
      <c r="AF2411" s="3421"/>
      <c r="AG2411" s="3421"/>
      <c r="AH2411" s="156"/>
      <c r="AI2411" s="156"/>
      <c r="AJ2411" s="156"/>
      <c r="AK2411" s="156"/>
      <c r="AL2411" s="156"/>
      <c r="AM2411" s="156"/>
      <c r="AN2411" s="156"/>
      <c r="AO2411" s="156"/>
      <c r="AP2411" s="156"/>
      <c r="AQ2411" s="156"/>
      <c r="AR2411" s="156"/>
      <c r="AS2411" s="156"/>
      <c r="AT2411" s="156"/>
      <c r="AU2411" s="156"/>
      <c r="AV2411" s="156"/>
      <c r="AW2411" s="156"/>
      <c r="AX2411" s="156"/>
      <c r="AY2411" s="156"/>
      <c r="AZ2411" s="156"/>
      <c r="BA2411" s="156"/>
      <c r="BB2411" s="2828"/>
      <c r="BC2411" s="452"/>
      <c r="BD2411" s="2829"/>
      <c r="BE2411" s="2837"/>
      <c r="BF2411" s="156"/>
    </row>
    <row r="2412" spans="1:58" ht="15" customHeight="1" outlineLevel="1" x14ac:dyDescent="0.35">
      <c r="A2412" s="1664"/>
      <c r="B2412" s="2812"/>
      <c r="C2412" s="3077"/>
      <c r="D2412" s="3980"/>
      <c r="E2412" s="3883"/>
      <c r="F2412" s="3984" t="str">
        <f>$E$1706</f>
        <v>ASHP-SEER21-Replace_CAC_ElectricHeat_ER1_MF</v>
      </c>
      <c r="G2412" s="3984"/>
      <c r="H2412" s="3984"/>
      <c r="I2412" s="3984"/>
      <c r="J2412" s="3501" t="str">
        <f>$C$1706</f>
        <v>353600_2019_12_</v>
      </c>
      <c r="K2412" s="3421">
        <v>3.41</v>
      </c>
      <c r="L2412" s="704"/>
      <c r="M2412" s="3020" t="s">
        <v>1510</v>
      </c>
      <c r="N2412" s="106"/>
      <c r="O2412" s="106"/>
      <c r="P2412" s="702"/>
      <c r="Q2412" s="574"/>
      <c r="R2412" s="702"/>
      <c r="S2412" s="106"/>
      <c r="T2412" s="486"/>
      <c r="U2412" s="106"/>
      <c r="V2412" s="3980"/>
      <c r="W2412" s="3421">
        <v>3.41</v>
      </c>
      <c r="X2412" s="3421">
        <v>3.41</v>
      </c>
      <c r="Y2412" s="3421">
        <v>3.41</v>
      </c>
      <c r="Z2412" s="3421">
        <v>3.41</v>
      </c>
      <c r="AA2412" s="3421">
        <v>3.41</v>
      </c>
      <c r="AB2412" s="3421">
        <v>3.41</v>
      </c>
      <c r="AC2412" s="3428">
        <v>3.41</v>
      </c>
      <c r="AD2412" s="3421">
        <v>3.41</v>
      </c>
      <c r="AE2412" s="3429"/>
      <c r="AF2412" s="3421"/>
      <c r="AG2412" s="3421"/>
      <c r="AH2412" s="156"/>
      <c r="AI2412" s="156"/>
      <c r="AJ2412" s="156"/>
      <c r="AK2412" s="156"/>
      <c r="AL2412" s="156"/>
      <c r="AM2412" s="156"/>
      <c r="AN2412" s="156"/>
      <c r="AO2412" s="156"/>
      <c r="AP2412" s="156"/>
      <c r="AQ2412" s="156"/>
      <c r="AR2412" s="156"/>
      <c r="AS2412" s="156"/>
      <c r="AT2412" s="156"/>
      <c r="AU2412" s="156"/>
      <c r="AV2412" s="156"/>
      <c r="AW2412" s="156"/>
      <c r="AX2412" s="156"/>
      <c r="AY2412" s="156"/>
      <c r="AZ2412" s="156"/>
      <c r="BA2412" s="156"/>
      <c r="BB2412" s="2828"/>
      <c r="BC2412" s="452"/>
      <c r="BD2412" s="2829"/>
      <c r="BE2412" s="2837"/>
      <c r="BF2412" s="156"/>
    </row>
    <row r="2413" spans="1:58" ht="15" customHeight="1" outlineLevel="1" x14ac:dyDescent="0.35">
      <c r="A2413" s="1664"/>
      <c r="B2413" s="2812"/>
      <c r="C2413" s="3077"/>
      <c r="D2413" s="3980"/>
      <c r="E2413" s="3883"/>
      <c r="F2413" s="3984" t="str">
        <f>$E$1708</f>
        <v>ASHP-SEER21-Replace_CAC_ElectricHeat_ER2_MF</v>
      </c>
      <c r="G2413" s="3984"/>
      <c r="H2413" s="3984"/>
      <c r="I2413" s="3984"/>
      <c r="J2413" s="3501" t="str">
        <f>$C$1708</f>
        <v>353600_2019_12_</v>
      </c>
      <c r="K2413" s="3421">
        <v>3.41</v>
      </c>
      <c r="L2413" s="704"/>
      <c r="M2413" s="3020" t="s">
        <v>1510</v>
      </c>
      <c r="N2413" s="106"/>
      <c r="O2413" s="106"/>
      <c r="P2413" s="702"/>
      <c r="Q2413" s="574"/>
      <c r="R2413" s="702"/>
      <c r="S2413" s="106"/>
      <c r="T2413" s="486"/>
      <c r="U2413" s="106"/>
      <c r="V2413" s="3980"/>
      <c r="W2413" s="3421">
        <v>3.41</v>
      </c>
      <c r="X2413" s="3421">
        <v>3.41</v>
      </c>
      <c r="Y2413" s="3421">
        <v>3.41</v>
      </c>
      <c r="Z2413" s="3421">
        <v>3.41</v>
      </c>
      <c r="AA2413" s="3421">
        <v>3.41</v>
      </c>
      <c r="AB2413" s="3421">
        <v>3.41</v>
      </c>
      <c r="AC2413" s="3428">
        <v>3.41</v>
      </c>
      <c r="AD2413" s="3421">
        <v>3.41</v>
      </c>
      <c r="AE2413" s="3429"/>
      <c r="AF2413" s="3421"/>
      <c r="AG2413" s="3421"/>
      <c r="AH2413" s="156"/>
      <c r="AI2413" s="156"/>
      <c r="AJ2413" s="156"/>
      <c r="AK2413" s="156"/>
      <c r="AL2413" s="156"/>
      <c r="AM2413" s="156"/>
      <c r="AN2413" s="156"/>
      <c r="AO2413" s="156"/>
      <c r="AP2413" s="156"/>
      <c r="AQ2413" s="156"/>
      <c r="AR2413" s="156"/>
      <c r="AS2413" s="156"/>
      <c r="AT2413" s="156"/>
      <c r="AU2413" s="156"/>
      <c r="AV2413" s="156"/>
      <c r="AW2413" s="156"/>
      <c r="AX2413" s="156"/>
      <c r="AY2413" s="156"/>
      <c r="AZ2413" s="156"/>
      <c r="BA2413" s="156"/>
      <c r="BB2413" s="2828"/>
      <c r="BC2413" s="452"/>
      <c r="BD2413" s="2829"/>
      <c r="BE2413" s="2837"/>
      <c r="BF2413" s="156"/>
    </row>
    <row r="2414" spans="1:58" ht="15" customHeight="1" outlineLevel="1" x14ac:dyDescent="0.35">
      <c r="A2414" s="1664"/>
      <c r="B2414" s="2812"/>
      <c r="C2414" s="3077"/>
      <c r="D2414" s="3980"/>
      <c r="E2414" s="3883"/>
      <c r="F2414" s="3984" t="str">
        <f>$E$1710</f>
        <v>ASHP-SEER21-Replace_CAC_ElectricHeat_ER1_MF_CompE</v>
      </c>
      <c r="G2414" s="3984"/>
      <c r="H2414" s="3984"/>
      <c r="I2414" s="3984"/>
      <c r="J2414" s="3501" t="str">
        <f>$C$1710</f>
        <v>353601_2019_12_</v>
      </c>
      <c r="K2414" s="3421">
        <v>3.41</v>
      </c>
      <c r="L2414" s="704"/>
      <c r="M2414" s="3020" t="s">
        <v>1510</v>
      </c>
      <c r="N2414" s="106"/>
      <c r="O2414" s="106"/>
      <c r="P2414" s="702"/>
      <c r="Q2414" s="574"/>
      <c r="R2414" s="702"/>
      <c r="S2414" s="106"/>
      <c r="T2414" s="486"/>
      <c r="U2414" s="106"/>
      <c r="V2414" s="3980"/>
      <c r="W2414" s="3421"/>
      <c r="X2414" s="3421"/>
      <c r="Y2414" s="2374">
        <v>3.41</v>
      </c>
      <c r="Z2414" s="3421">
        <v>3.41</v>
      </c>
      <c r="AA2414" s="3421">
        <v>3.41</v>
      </c>
      <c r="AB2414" s="3421">
        <v>3.41</v>
      </c>
      <c r="AC2414" s="3428">
        <v>3.41</v>
      </c>
      <c r="AD2414" s="3421">
        <v>3.41</v>
      </c>
      <c r="AE2414" s="3429"/>
      <c r="AF2414" s="3421"/>
      <c r="AG2414" s="3421"/>
      <c r="AH2414" s="156"/>
      <c r="AI2414" s="156"/>
      <c r="AJ2414" s="156"/>
      <c r="AK2414" s="156"/>
      <c r="AL2414" s="156"/>
      <c r="AM2414" s="156"/>
      <c r="AN2414" s="156"/>
      <c r="AO2414" s="156"/>
      <c r="AP2414" s="156"/>
      <c r="AQ2414" s="156"/>
      <c r="AR2414" s="156"/>
      <c r="AS2414" s="156"/>
      <c r="AT2414" s="156"/>
      <c r="AU2414" s="156"/>
      <c r="AV2414" s="156"/>
      <c r="AW2414" s="156"/>
      <c r="AX2414" s="156"/>
      <c r="AY2414" s="156"/>
      <c r="AZ2414" s="156"/>
      <c r="BA2414" s="156"/>
      <c r="BB2414" s="2828"/>
      <c r="BC2414" s="452"/>
      <c r="BD2414" s="2829"/>
      <c r="BE2414" s="2837"/>
      <c r="BF2414" s="156"/>
    </row>
    <row r="2415" spans="1:58" ht="15" customHeight="1" outlineLevel="1" x14ac:dyDescent="0.35">
      <c r="A2415" s="1664"/>
      <c r="B2415" s="2812"/>
      <c r="C2415" s="3077"/>
      <c r="D2415" s="3980"/>
      <c r="E2415" s="3883"/>
      <c r="F2415" s="3984" t="str">
        <f>$E$1712</f>
        <v>ASHP-SEER21-Replace_CAC_ElectricHeat_ER2_MF_CompE</v>
      </c>
      <c r="G2415" s="3984"/>
      <c r="H2415" s="3984"/>
      <c r="I2415" s="3984"/>
      <c r="J2415" s="3501" t="str">
        <f>$C$1712</f>
        <v>353601_2019_12_</v>
      </c>
      <c r="K2415" s="3421">
        <v>3.41</v>
      </c>
      <c r="L2415" s="704"/>
      <c r="M2415" s="3020" t="s">
        <v>1510</v>
      </c>
      <c r="N2415" s="106"/>
      <c r="O2415" s="106"/>
      <c r="P2415" s="702"/>
      <c r="Q2415" s="574"/>
      <c r="R2415" s="702"/>
      <c r="S2415" s="106"/>
      <c r="T2415" s="486"/>
      <c r="U2415" s="106"/>
      <c r="V2415" s="3980"/>
      <c r="W2415" s="3421"/>
      <c r="X2415" s="3421"/>
      <c r="Y2415" s="2374">
        <v>3.41</v>
      </c>
      <c r="Z2415" s="3421">
        <v>3.41</v>
      </c>
      <c r="AA2415" s="3421">
        <v>3.41</v>
      </c>
      <c r="AB2415" s="3421">
        <v>3.41</v>
      </c>
      <c r="AC2415" s="3428">
        <v>3.41</v>
      </c>
      <c r="AD2415" s="3421">
        <v>3.41</v>
      </c>
      <c r="AE2415" s="3429"/>
      <c r="AF2415" s="3421"/>
      <c r="AG2415" s="3421"/>
      <c r="AH2415" s="156"/>
      <c r="AI2415" s="156"/>
      <c r="AJ2415" s="156"/>
      <c r="AK2415" s="156"/>
      <c r="AL2415" s="156"/>
      <c r="AM2415" s="156"/>
      <c r="AN2415" s="156"/>
      <c r="AO2415" s="156"/>
      <c r="AP2415" s="156"/>
      <c r="AQ2415" s="156"/>
      <c r="AR2415" s="156"/>
      <c r="AS2415" s="156"/>
      <c r="AT2415" s="156"/>
      <c r="AU2415" s="156"/>
      <c r="AV2415" s="156"/>
      <c r="AW2415" s="156"/>
      <c r="AX2415" s="156"/>
      <c r="AY2415" s="156"/>
      <c r="AZ2415" s="156"/>
      <c r="BA2415" s="156"/>
      <c r="BB2415" s="2828"/>
      <c r="BC2415" s="452"/>
      <c r="BD2415" s="2829"/>
      <c r="BE2415" s="2837"/>
      <c r="BF2415" s="156"/>
    </row>
    <row r="2416" spans="1:58" ht="15" customHeight="1" outlineLevel="1" x14ac:dyDescent="0.35">
      <c r="A2416" s="1664"/>
      <c r="B2416" s="2812"/>
      <c r="C2416" s="3077"/>
      <c r="D2416" s="3980"/>
      <c r="E2416" s="3883"/>
      <c r="F2416" s="3984" t="str">
        <f>$E$1714</f>
        <v>ASHP-SEER21-Replace_CAC_NonElectricHeat_ER1_MF</v>
      </c>
      <c r="G2416" s="3984"/>
      <c r="H2416" s="3984"/>
      <c r="I2416" s="3984"/>
      <c r="J2416" s="3501" t="str">
        <f>$C$1714</f>
        <v>353610_2021_12_</v>
      </c>
      <c r="K2416" s="2042">
        <v>0</v>
      </c>
      <c r="L2416" s="704"/>
      <c r="M2416" s="3020" t="s">
        <v>1509</v>
      </c>
      <c r="N2416" s="106"/>
      <c r="O2416" s="106"/>
      <c r="P2416" s="702"/>
      <c r="Q2416" s="574"/>
      <c r="R2416" s="702"/>
      <c r="S2416" s="106"/>
      <c r="T2416" s="486"/>
      <c r="U2416" s="106"/>
      <c r="V2416" s="3980"/>
      <c r="W2416" s="3421"/>
      <c r="X2416" s="3421"/>
      <c r="Y2416" s="2374"/>
      <c r="Z2416" s="3421"/>
      <c r="AA2416" s="3421"/>
      <c r="AB2416" s="3421"/>
      <c r="AC2416" s="2292">
        <v>0</v>
      </c>
      <c r="AD2416" s="2042">
        <v>0</v>
      </c>
      <c r="AE2416" s="3429"/>
      <c r="AF2416" s="3421"/>
      <c r="AG2416" s="3421"/>
      <c r="AH2416" s="156"/>
      <c r="AI2416" s="156"/>
      <c r="AJ2416" s="156"/>
      <c r="AK2416" s="156"/>
      <c r="AL2416" s="156"/>
      <c r="AM2416" s="156"/>
      <c r="AN2416" s="156"/>
      <c r="AO2416" s="156"/>
      <c r="AP2416" s="156"/>
      <c r="AQ2416" s="156"/>
      <c r="AR2416" s="156"/>
      <c r="AS2416" s="156"/>
      <c r="AT2416" s="156"/>
      <c r="AU2416" s="156"/>
      <c r="AV2416" s="156"/>
      <c r="AW2416" s="156"/>
      <c r="AX2416" s="156"/>
      <c r="AY2416" s="156"/>
      <c r="AZ2416" s="156"/>
      <c r="BA2416" s="156"/>
      <c r="BB2416" s="2828"/>
      <c r="BC2416" s="452"/>
      <c r="BD2416" s="2829"/>
      <c r="BE2416" s="2837"/>
      <c r="BF2416" s="156"/>
    </row>
    <row r="2417" spans="1:58" ht="15" customHeight="1" outlineLevel="1" x14ac:dyDescent="0.35">
      <c r="A2417" s="1664"/>
      <c r="B2417" s="2812"/>
      <c r="C2417" s="3077"/>
      <c r="D2417" s="3980"/>
      <c r="E2417" s="3883"/>
      <c r="F2417" s="3984" t="str">
        <f>$E$1716</f>
        <v>ASHP-SEER21-Replace_CAC_NonElectricHeat_ER2_MF</v>
      </c>
      <c r="G2417" s="3984"/>
      <c r="H2417" s="3984"/>
      <c r="I2417" s="3984"/>
      <c r="J2417" s="3501" t="str">
        <f>$C$1716</f>
        <v>353610_2021_12_</v>
      </c>
      <c r="K2417" s="2042">
        <v>0</v>
      </c>
      <c r="L2417" s="704"/>
      <c r="M2417" s="3020" t="s">
        <v>1509</v>
      </c>
      <c r="N2417" s="106"/>
      <c r="O2417" s="106"/>
      <c r="P2417" s="702"/>
      <c r="Q2417" s="574"/>
      <c r="R2417" s="702"/>
      <c r="S2417" s="106"/>
      <c r="T2417" s="486"/>
      <c r="U2417" s="106"/>
      <c r="V2417" s="3980"/>
      <c r="W2417" s="3421"/>
      <c r="X2417" s="3421"/>
      <c r="Y2417" s="2374"/>
      <c r="Z2417" s="3421"/>
      <c r="AA2417" s="3421"/>
      <c r="AB2417" s="3421"/>
      <c r="AC2417" s="2292">
        <v>0</v>
      </c>
      <c r="AD2417" s="2042">
        <v>0</v>
      </c>
      <c r="AE2417" s="3429"/>
      <c r="AF2417" s="3421"/>
      <c r="AG2417" s="3421"/>
      <c r="AH2417" s="156"/>
      <c r="AI2417" s="156"/>
      <c r="AJ2417" s="156"/>
      <c r="AK2417" s="156"/>
      <c r="AL2417" s="156"/>
      <c r="AM2417" s="156"/>
      <c r="AN2417" s="156"/>
      <c r="AO2417" s="156"/>
      <c r="AP2417" s="156"/>
      <c r="AQ2417" s="156"/>
      <c r="AR2417" s="156"/>
      <c r="AS2417" s="156"/>
      <c r="AT2417" s="156"/>
      <c r="AU2417" s="156"/>
      <c r="AV2417" s="156"/>
      <c r="AW2417" s="156"/>
      <c r="AX2417" s="156"/>
      <c r="AY2417" s="156"/>
      <c r="AZ2417" s="156"/>
      <c r="BA2417" s="156"/>
      <c r="BB2417" s="2828"/>
      <c r="BC2417" s="452"/>
      <c r="BD2417" s="2829"/>
      <c r="BE2417" s="2837"/>
      <c r="BF2417" s="156"/>
    </row>
    <row r="2418" spans="1:58" ht="15" customHeight="1" outlineLevel="1" x14ac:dyDescent="0.35">
      <c r="A2418" s="1664"/>
      <c r="B2418" s="2812"/>
      <c r="C2418" s="3077"/>
      <c r="D2418" s="3980"/>
      <c r="E2418" s="3883"/>
      <c r="F2418" s="3984" t="str">
        <f>$E$1718</f>
        <v>ASHP-SEER21-Replace_CAC_NonElectricHeat_ER1_MF_CompE</v>
      </c>
      <c r="G2418" s="3984"/>
      <c r="H2418" s="3984"/>
      <c r="I2418" s="3984"/>
      <c r="J2418" s="3501" t="str">
        <f>$C$1718</f>
        <v>353611_2021_12_</v>
      </c>
      <c r="K2418" s="2042">
        <v>0</v>
      </c>
      <c r="L2418" s="704"/>
      <c r="M2418" s="3020" t="s">
        <v>1509</v>
      </c>
      <c r="N2418" s="106"/>
      <c r="O2418" s="106"/>
      <c r="P2418" s="702"/>
      <c r="Q2418" s="574"/>
      <c r="R2418" s="702"/>
      <c r="S2418" s="106"/>
      <c r="T2418" s="486"/>
      <c r="U2418" s="106"/>
      <c r="V2418" s="3980"/>
      <c r="W2418" s="3421"/>
      <c r="X2418" s="3421"/>
      <c r="Y2418" s="2374"/>
      <c r="Z2418" s="3421"/>
      <c r="AA2418" s="3421"/>
      <c r="AB2418" s="3421"/>
      <c r="AC2418" s="2292">
        <v>0</v>
      </c>
      <c r="AD2418" s="2042">
        <v>0</v>
      </c>
      <c r="AE2418" s="3429"/>
      <c r="AF2418" s="3421"/>
      <c r="AG2418" s="3421"/>
      <c r="AH2418" s="156"/>
      <c r="AI2418" s="156"/>
      <c r="AJ2418" s="156"/>
      <c r="AK2418" s="156"/>
      <c r="AL2418" s="156"/>
      <c r="AM2418" s="156"/>
      <c r="AN2418" s="156"/>
      <c r="AO2418" s="156"/>
      <c r="AP2418" s="156"/>
      <c r="AQ2418" s="156"/>
      <c r="AR2418" s="156"/>
      <c r="AS2418" s="156"/>
      <c r="AT2418" s="156"/>
      <c r="AU2418" s="156"/>
      <c r="AV2418" s="156"/>
      <c r="AW2418" s="156"/>
      <c r="AX2418" s="156"/>
      <c r="AY2418" s="156"/>
      <c r="AZ2418" s="156"/>
      <c r="BA2418" s="156"/>
      <c r="BB2418" s="2828"/>
      <c r="BC2418" s="452"/>
      <c r="BD2418" s="2829"/>
      <c r="BE2418" s="2837"/>
      <c r="BF2418" s="156"/>
    </row>
    <row r="2419" spans="1:58" ht="15" customHeight="1" outlineLevel="1" x14ac:dyDescent="0.35">
      <c r="A2419" s="1664"/>
      <c r="B2419" s="2812"/>
      <c r="C2419" s="3077"/>
      <c r="D2419" s="3980"/>
      <c r="E2419" s="3883"/>
      <c r="F2419" s="3984" t="str">
        <f>$E$1720</f>
        <v>ASHP-SEER21-Replace_CAC_NonElectricHeat_ER2_MF_CompE</v>
      </c>
      <c r="G2419" s="3984"/>
      <c r="H2419" s="3984"/>
      <c r="I2419" s="3984"/>
      <c r="J2419" s="3501" t="str">
        <f>$C$1720</f>
        <v>353611_2021_12_</v>
      </c>
      <c r="K2419" s="2042">
        <v>0</v>
      </c>
      <c r="L2419" s="704"/>
      <c r="M2419" s="3020" t="s">
        <v>1509</v>
      </c>
      <c r="N2419" s="106"/>
      <c r="O2419" s="106"/>
      <c r="P2419" s="702"/>
      <c r="Q2419" s="574"/>
      <c r="R2419" s="702"/>
      <c r="S2419" s="106"/>
      <c r="T2419" s="486"/>
      <c r="U2419" s="106"/>
      <c r="V2419" s="3980"/>
      <c r="W2419" s="3421"/>
      <c r="X2419" s="3421"/>
      <c r="Y2419" s="2374"/>
      <c r="Z2419" s="3421"/>
      <c r="AA2419" s="3421"/>
      <c r="AB2419" s="3421"/>
      <c r="AC2419" s="2292">
        <v>0</v>
      </c>
      <c r="AD2419" s="2042">
        <v>0</v>
      </c>
      <c r="AE2419" s="3429"/>
      <c r="AF2419" s="3421"/>
      <c r="AG2419" s="3421"/>
      <c r="AH2419" s="156"/>
      <c r="AI2419" s="156"/>
      <c r="AJ2419" s="156"/>
      <c r="AK2419" s="156"/>
      <c r="AL2419" s="156"/>
      <c r="AM2419" s="156"/>
      <c r="AN2419" s="156"/>
      <c r="AO2419" s="156"/>
      <c r="AP2419" s="156"/>
      <c r="AQ2419" s="156"/>
      <c r="AR2419" s="156"/>
      <c r="AS2419" s="156"/>
      <c r="AT2419" s="156"/>
      <c r="AU2419" s="156"/>
      <c r="AV2419" s="156"/>
      <c r="AW2419" s="156"/>
      <c r="AX2419" s="156"/>
      <c r="AY2419" s="156"/>
      <c r="AZ2419" s="156"/>
      <c r="BA2419" s="156"/>
      <c r="BB2419" s="2828"/>
      <c r="BC2419" s="452"/>
      <c r="BD2419" s="2829"/>
      <c r="BE2419" s="2837"/>
      <c r="BF2419" s="156"/>
    </row>
    <row r="2420" spans="1:58" ht="15" customHeight="1" outlineLevel="1" x14ac:dyDescent="0.35">
      <c r="A2420" s="1664"/>
      <c r="B2420" s="2812"/>
      <c r="C2420" s="3077"/>
      <c r="D2420" s="3980"/>
      <c r="E2420" s="3883"/>
      <c r="F2420" s="3984" t="str">
        <f>$E$1722</f>
        <v>ASHP-SEER21-Replace_CAC_ElectricHeat_ROF_SF</v>
      </c>
      <c r="G2420" s="3984"/>
      <c r="H2420" s="3984"/>
      <c r="I2420" s="3984"/>
      <c r="J2420" s="3501" t="str">
        <f>$C$1722</f>
        <v>353650_2021_12_</v>
      </c>
      <c r="K2420" s="3421">
        <v>3.41</v>
      </c>
      <c r="L2420" s="704"/>
      <c r="M2420" s="3020" t="s">
        <v>810</v>
      </c>
      <c r="N2420" s="106"/>
      <c r="O2420" s="106"/>
      <c r="P2420" s="702"/>
      <c r="Q2420" s="574"/>
      <c r="R2420" s="702"/>
      <c r="S2420" s="106"/>
      <c r="T2420" s="486"/>
      <c r="U2420" s="106"/>
      <c r="V2420" s="3980"/>
      <c r="W2420" s="3421">
        <v>3.41</v>
      </c>
      <c r="X2420" s="3421">
        <v>3.41</v>
      </c>
      <c r="Y2420" s="3421">
        <v>3.41</v>
      </c>
      <c r="Z2420" s="3421">
        <v>3.41</v>
      </c>
      <c r="AA2420" s="3421">
        <v>3.41</v>
      </c>
      <c r="AB2420" s="3421">
        <v>3.41</v>
      </c>
      <c r="AC2420" s="3428">
        <v>3.41</v>
      </c>
      <c r="AD2420" s="3421">
        <v>3.41</v>
      </c>
      <c r="AE2420" s="3429"/>
      <c r="AF2420" s="3421"/>
      <c r="AG2420" s="3421"/>
      <c r="AH2420" s="156"/>
      <c r="AI2420" s="156"/>
      <c r="AJ2420" s="156"/>
      <c r="AK2420" s="156"/>
      <c r="AL2420" s="156"/>
      <c r="AM2420" s="156"/>
      <c r="AN2420" s="156"/>
      <c r="AO2420" s="156"/>
      <c r="AP2420" s="156"/>
      <c r="AQ2420" s="156"/>
      <c r="AR2420" s="156"/>
      <c r="AS2420" s="156"/>
      <c r="AT2420" s="156"/>
      <c r="AU2420" s="156"/>
      <c r="AV2420" s="156"/>
      <c r="AW2420" s="156"/>
      <c r="AX2420" s="156"/>
      <c r="AY2420" s="156"/>
      <c r="AZ2420" s="156"/>
      <c r="BA2420" s="156"/>
      <c r="BB2420" s="2828"/>
      <c r="BC2420" s="452"/>
      <c r="BD2420" s="2829"/>
      <c r="BE2420" s="2837"/>
      <c r="BF2420" s="156"/>
    </row>
    <row r="2421" spans="1:58" s="3398" customFormat="1" ht="15" customHeight="1" outlineLevel="1" x14ac:dyDescent="0.35">
      <c r="A2421" s="1664"/>
      <c r="B2421" s="2812"/>
      <c r="C2421" s="3077"/>
      <c r="D2421" s="3980"/>
      <c r="E2421" s="3883"/>
      <c r="F2421" s="4136" t="str">
        <f>$E$1724</f>
        <v>ASHP-SEER21-Replace_CAC_NonElectricHeat_ROF_SF</v>
      </c>
      <c r="G2421" s="4136"/>
      <c r="H2421" s="4136"/>
      <c r="I2421" s="4136"/>
      <c r="J2421" s="3502" t="str">
        <f>$C$1724</f>
        <v>353660_2022_12_</v>
      </c>
      <c r="K2421" s="2374">
        <v>0</v>
      </c>
      <c r="L2421" s="703"/>
      <c r="M2421" s="3525" t="s">
        <v>1509</v>
      </c>
      <c r="P2421" s="702"/>
      <c r="Q2421" s="574"/>
      <c r="R2421" s="702"/>
      <c r="T2421" s="3397"/>
      <c r="V2421" s="3980"/>
      <c r="W2421" s="3421"/>
      <c r="X2421" s="3421"/>
      <c r="Y2421" s="3421"/>
      <c r="Z2421" s="3421"/>
      <c r="AA2421" s="3421"/>
      <c r="AB2421" s="3421"/>
      <c r="AC2421" s="3428"/>
      <c r="AD2421" s="2292">
        <v>0</v>
      </c>
      <c r="AE2421" s="2042"/>
      <c r="AF2421" s="3421"/>
      <c r="AG2421" s="3421"/>
      <c r="AH2421" s="156"/>
      <c r="AI2421" s="156"/>
      <c r="AJ2421" s="156"/>
      <c r="AK2421" s="156"/>
      <c r="AL2421" s="156"/>
      <c r="AM2421" s="156"/>
      <c r="AN2421" s="156"/>
      <c r="AO2421" s="156"/>
      <c r="AP2421" s="156"/>
      <c r="AQ2421" s="156"/>
      <c r="AR2421" s="156"/>
      <c r="AS2421" s="156"/>
      <c r="AT2421" s="156"/>
      <c r="AU2421" s="156"/>
      <c r="AV2421" s="156"/>
      <c r="AW2421" s="156"/>
      <c r="AX2421" s="156"/>
      <c r="AY2421" s="156"/>
      <c r="AZ2421" s="156"/>
      <c r="BA2421" s="156"/>
      <c r="BB2421" s="2828"/>
      <c r="BC2421" s="452"/>
      <c r="BD2421" s="2829"/>
      <c r="BE2421" s="2837"/>
      <c r="BF2421" s="156"/>
    </row>
    <row r="2422" spans="1:58" ht="15" customHeight="1" outlineLevel="1" x14ac:dyDescent="0.35">
      <c r="A2422" s="1664"/>
      <c r="B2422" s="2812"/>
      <c r="C2422" s="3077"/>
      <c r="D2422" s="3980"/>
      <c r="E2422" s="3883"/>
      <c r="F2422" s="3984" t="str">
        <f>$E$1726</f>
        <v>ASHP-SEER21+-Replace_CAC_ElectricHeat_ROF_MF</v>
      </c>
      <c r="G2422" s="3984"/>
      <c r="H2422" s="3984"/>
      <c r="I2422" s="3984"/>
      <c r="J2422" s="3501" t="str">
        <f>$C$1726</f>
        <v>353700_2019_12_</v>
      </c>
      <c r="K2422" s="3421">
        <v>3.41</v>
      </c>
      <c r="L2422" s="704"/>
      <c r="M2422" s="3020" t="s">
        <v>1510</v>
      </c>
      <c r="N2422" s="106"/>
      <c r="O2422" s="106"/>
      <c r="P2422" s="702"/>
      <c r="Q2422" s="574"/>
      <c r="R2422" s="702"/>
      <c r="S2422" s="106"/>
      <c r="T2422" s="486"/>
      <c r="U2422" s="106"/>
      <c r="V2422" s="3980"/>
      <c r="W2422" s="3421">
        <v>3.41</v>
      </c>
      <c r="X2422" s="3421">
        <v>3.41</v>
      </c>
      <c r="Y2422" s="3421">
        <v>3.41</v>
      </c>
      <c r="Z2422" s="3421">
        <v>3.41</v>
      </c>
      <c r="AA2422" s="3421">
        <v>3.41</v>
      </c>
      <c r="AB2422" s="3421">
        <v>3.41</v>
      </c>
      <c r="AC2422" s="3428">
        <v>3.41</v>
      </c>
      <c r="AD2422" s="3421">
        <v>3.41</v>
      </c>
      <c r="AE2422" s="3429"/>
      <c r="AF2422" s="3421"/>
      <c r="AG2422" s="3421"/>
      <c r="AH2422" s="156"/>
      <c r="AI2422" s="156"/>
      <c r="AJ2422" s="156"/>
      <c r="AK2422" s="156"/>
      <c r="AL2422" s="156"/>
      <c r="AM2422" s="156"/>
      <c r="AN2422" s="156"/>
      <c r="AO2422" s="156"/>
      <c r="AP2422" s="156"/>
      <c r="AQ2422" s="156"/>
      <c r="AR2422" s="156"/>
      <c r="AS2422" s="156"/>
      <c r="AT2422" s="156"/>
      <c r="AU2422" s="156"/>
      <c r="AV2422" s="156"/>
      <c r="AW2422" s="156"/>
      <c r="AX2422" s="156"/>
      <c r="AY2422" s="156"/>
      <c r="AZ2422" s="156"/>
      <c r="BA2422" s="156"/>
      <c r="BB2422" s="2828"/>
      <c r="BC2422" s="452"/>
      <c r="BD2422" s="2829"/>
      <c r="BE2422" s="2837"/>
      <c r="BF2422" s="156"/>
    </row>
    <row r="2423" spans="1:58" ht="15" customHeight="1" outlineLevel="1" x14ac:dyDescent="0.35">
      <c r="A2423" s="1664"/>
      <c r="B2423" s="2812"/>
      <c r="C2423" s="3077"/>
      <c r="D2423" s="3980"/>
      <c r="E2423" s="3883"/>
      <c r="F2423" s="3984" t="str">
        <f>$E$1728</f>
        <v>ASHP-SEER21+-Replace_CAC_ElectricHeat_ROF_MF_CompE</v>
      </c>
      <c r="G2423" s="3984"/>
      <c r="H2423" s="3984"/>
      <c r="I2423" s="3984"/>
      <c r="J2423" s="3501" t="str">
        <f>$C$1728</f>
        <v>353701_2019_12_</v>
      </c>
      <c r="K2423" s="3421">
        <v>3.41</v>
      </c>
      <c r="L2423" s="704"/>
      <c r="M2423" s="3020" t="s">
        <v>1510</v>
      </c>
      <c r="N2423" s="106"/>
      <c r="O2423" s="106"/>
      <c r="P2423" s="702"/>
      <c r="Q2423" s="574"/>
      <c r="R2423" s="702"/>
      <c r="S2423" s="106"/>
      <c r="T2423" s="486"/>
      <c r="U2423" s="106"/>
      <c r="V2423" s="3980"/>
      <c r="W2423" s="3421"/>
      <c r="X2423" s="3421"/>
      <c r="Y2423" s="2374">
        <v>3.41</v>
      </c>
      <c r="Z2423" s="3421">
        <v>3.41</v>
      </c>
      <c r="AA2423" s="3421">
        <v>3.41</v>
      </c>
      <c r="AB2423" s="3421">
        <v>3.41</v>
      </c>
      <c r="AC2423" s="3428">
        <v>3.41</v>
      </c>
      <c r="AD2423" s="3421">
        <v>3.41</v>
      </c>
      <c r="AE2423" s="3429"/>
      <c r="AF2423" s="3421"/>
      <c r="AG2423" s="3421"/>
      <c r="AH2423" s="156"/>
      <c r="AI2423" s="156"/>
      <c r="AJ2423" s="156"/>
      <c r="AK2423" s="156"/>
      <c r="AL2423" s="156"/>
      <c r="AM2423" s="156"/>
      <c r="AN2423" s="156"/>
      <c r="AO2423" s="156"/>
      <c r="AP2423" s="156"/>
      <c r="AQ2423" s="156"/>
      <c r="AR2423" s="156"/>
      <c r="AS2423" s="156"/>
      <c r="AT2423" s="156"/>
      <c r="AU2423" s="156"/>
      <c r="AV2423" s="156"/>
      <c r="AW2423" s="156"/>
      <c r="AX2423" s="156"/>
      <c r="AY2423" s="156"/>
      <c r="AZ2423" s="156"/>
      <c r="BA2423" s="156"/>
      <c r="BB2423" s="2828"/>
      <c r="BC2423" s="452"/>
      <c r="BD2423" s="2829"/>
      <c r="BE2423" s="2837"/>
      <c r="BF2423" s="156"/>
    </row>
    <row r="2424" spans="1:58" ht="15" customHeight="1" outlineLevel="1" x14ac:dyDescent="0.35">
      <c r="A2424" s="1664"/>
      <c r="B2424" s="2812"/>
      <c r="C2424" s="3077"/>
      <c r="D2424" s="3980"/>
      <c r="E2424" s="3883"/>
      <c r="F2424" s="3984" t="str">
        <f>$E$1730</f>
        <v>ASHP-SEER21+-Replace_CAC_NonElectricHeat_ROF_MF</v>
      </c>
      <c r="G2424" s="3984"/>
      <c r="H2424" s="3984"/>
      <c r="I2424" s="3984"/>
      <c r="J2424" s="3501" t="str">
        <f>$C$1730</f>
        <v>353710_2021_12_</v>
      </c>
      <c r="K2424" s="2042">
        <v>0</v>
      </c>
      <c r="L2424" s="704"/>
      <c r="M2424" s="3020" t="s">
        <v>1509</v>
      </c>
      <c r="N2424" s="106"/>
      <c r="O2424" s="106"/>
      <c r="P2424" s="702"/>
      <c r="Q2424" s="574"/>
      <c r="R2424" s="702"/>
      <c r="S2424" s="106"/>
      <c r="T2424" s="486"/>
      <c r="U2424" s="106"/>
      <c r="V2424" s="3980"/>
      <c r="W2424" s="3421"/>
      <c r="X2424" s="3421"/>
      <c r="Y2424" s="2374"/>
      <c r="Z2424" s="3421"/>
      <c r="AA2424" s="3421"/>
      <c r="AB2424" s="3421"/>
      <c r="AC2424" s="2292">
        <v>0</v>
      </c>
      <c r="AD2424" s="2042">
        <v>0</v>
      </c>
      <c r="AE2424" s="3429"/>
      <c r="AF2424" s="3421"/>
      <c r="AG2424" s="3421"/>
      <c r="AH2424" s="156"/>
      <c r="AI2424" s="156"/>
      <c r="AJ2424" s="156"/>
      <c r="AK2424" s="156"/>
      <c r="AL2424" s="156"/>
      <c r="AM2424" s="156"/>
      <c r="AN2424" s="156"/>
      <c r="AO2424" s="156"/>
      <c r="AP2424" s="156"/>
      <c r="AQ2424" s="156"/>
      <c r="AR2424" s="156"/>
      <c r="AS2424" s="156"/>
      <c r="AT2424" s="156"/>
      <c r="AU2424" s="156"/>
      <c r="AV2424" s="156"/>
      <c r="AW2424" s="156"/>
      <c r="AX2424" s="156"/>
      <c r="AY2424" s="156"/>
      <c r="AZ2424" s="156"/>
      <c r="BA2424" s="156"/>
      <c r="BB2424" s="2828"/>
      <c r="BC2424" s="452"/>
      <c r="BD2424" s="2829"/>
      <c r="BE2424" s="2837"/>
      <c r="BF2424" s="156"/>
    </row>
    <row r="2425" spans="1:58" ht="15" customHeight="1" outlineLevel="1" x14ac:dyDescent="0.35">
      <c r="A2425" s="1664"/>
      <c r="B2425" s="2812"/>
      <c r="C2425" s="3077"/>
      <c r="D2425" s="3980"/>
      <c r="E2425" s="3883"/>
      <c r="F2425" s="3984" t="str">
        <f>$E$1732</f>
        <v>ASHP-SEER21+-Replace_CAC_NonElectricHeat_ROF_MF_CompE</v>
      </c>
      <c r="G2425" s="3984"/>
      <c r="H2425" s="3984"/>
      <c r="I2425" s="3984"/>
      <c r="J2425" s="3501" t="str">
        <f>$C$1732</f>
        <v>353711_2021_12_</v>
      </c>
      <c r="K2425" s="2042">
        <v>0</v>
      </c>
      <c r="L2425" s="704"/>
      <c r="M2425" s="3020" t="s">
        <v>1509</v>
      </c>
      <c r="N2425" s="106"/>
      <c r="O2425" s="106"/>
      <c r="P2425" s="702"/>
      <c r="Q2425" s="574"/>
      <c r="R2425" s="702"/>
      <c r="S2425" s="106"/>
      <c r="T2425" s="486"/>
      <c r="U2425" s="106"/>
      <c r="V2425" s="3980"/>
      <c r="W2425" s="3421"/>
      <c r="X2425" s="3421"/>
      <c r="Y2425" s="2374"/>
      <c r="Z2425" s="3421"/>
      <c r="AA2425" s="3421"/>
      <c r="AB2425" s="3421"/>
      <c r="AC2425" s="2292">
        <v>0</v>
      </c>
      <c r="AD2425" s="2042">
        <v>0</v>
      </c>
      <c r="AE2425" s="3429"/>
      <c r="AF2425" s="3421"/>
      <c r="AG2425" s="3421"/>
      <c r="AH2425" s="156"/>
      <c r="AI2425" s="156"/>
      <c r="AJ2425" s="156"/>
      <c r="AK2425" s="156"/>
      <c r="AL2425" s="156"/>
      <c r="AM2425" s="156"/>
      <c r="AN2425" s="156"/>
      <c r="AO2425" s="156"/>
      <c r="AP2425" s="156"/>
      <c r="AQ2425" s="156"/>
      <c r="AR2425" s="156"/>
      <c r="AS2425" s="156"/>
      <c r="AT2425" s="156"/>
      <c r="AU2425" s="156"/>
      <c r="AV2425" s="156"/>
      <c r="AW2425" s="156"/>
      <c r="AX2425" s="156"/>
      <c r="AY2425" s="156"/>
      <c r="AZ2425" s="156"/>
      <c r="BA2425" s="156"/>
      <c r="BB2425" s="2828"/>
      <c r="BC2425" s="452"/>
      <c r="BD2425" s="2829"/>
      <c r="BE2425" s="2837"/>
      <c r="BF2425" s="156"/>
    </row>
    <row r="2426" spans="1:58" ht="15" customHeight="1" outlineLevel="1" x14ac:dyDescent="0.35">
      <c r="A2426" s="1071"/>
      <c r="B2426" s="2812"/>
      <c r="C2426" s="3077"/>
      <c r="D2426" s="3980"/>
      <c r="E2426" s="3883"/>
      <c r="F2426" s="3984" t="str">
        <f>$E$1734</f>
        <v>ASHP-SEER17_ER1_SF</v>
      </c>
      <c r="G2426" s="3984"/>
      <c r="H2426" s="3984"/>
      <c r="I2426" s="3984"/>
      <c r="J2426" s="3501" t="str">
        <f>$C$1734</f>
        <v>353750_2021_12_</v>
      </c>
      <c r="K2426" s="3421">
        <v>6.58</v>
      </c>
      <c r="L2426" s="704"/>
      <c r="M2426" s="3020" t="s">
        <v>810</v>
      </c>
      <c r="N2426" s="106"/>
      <c r="O2426" s="106"/>
      <c r="P2426" s="106"/>
      <c r="Q2426" s="106"/>
      <c r="R2426" s="106"/>
      <c r="S2426" s="106"/>
      <c r="T2426" s="106"/>
      <c r="U2426" s="106"/>
      <c r="V2426" s="3980"/>
      <c r="W2426" s="3421">
        <v>5.44</v>
      </c>
      <c r="X2426" s="2374">
        <v>6.58</v>
      </c>
      <c r="Y2426" s="3421">
        <v>6.58</v>
      </c>
      <c r="Z2426" s="3421">
        <v>6.58</v>
      </c>
      <c r="AA2426" s="3421">
        <v>6.58</v>
      </c>
      <c r="AB2426" s="3421">
        <v>6.58</v>
      </c>
      <c r="AC2426" s="3428">
        <v>6.58</v>
      </c>
      <c r="AD2426" s="3421">
        <v>6.58</v>
      </c>
      <c r="AE2426" s="3429"/>
      <c r="AF2426" s="3421"/>
      <c r="AG2426" s="3421"/>
      <c r="AH2426" s="156"/>
      <c r="AI2426" s="156"/>
      <c r="AJ2426" s="156"/>
      <c r="AK2426" s="156"/>
      <c r="AL2426" s="156"/>
      <c r="AM2426" s="156"/>
      <c r="AN2426" s="156"/>
      <c r="AO2426" s="156"/>
      <c r="AP2426" s="156"/>
      <c r="AQ2426" s="156"/>
      <c r="AR2426" s="156"/>
      <c r="AS2426" s="156"/>
      <c r="AT2426" s="156"/>
      <c r="AU2426" s="156"/>
      <c r="AV2426" s="156"/>
      <c r="AW2426" s="156"/>
      <c r="AX2426" s="156"/>
      <c r="AY2426" s="156"/>
      <c r="AZ2426" s="156"/>
      <c r="BA2426" s="156"/>
      <c r="BB2426" s="2828"/>
      <c r="BC2426" s="452"/>
      <c r="BD2426" s="2829"/>
      <c r="BE2426" s="2837"/>
      <c r="BF2426" s="156"/>
    </row>
    <row r="2427" spans="1:58" ht="15" customHeight="1" outlineLevel="1" x14ac:dyDescent="0.35">
      <c r="A2427" s="1664"/>
      <c r="B2427" s="2812"/>
      <c r="C2427" s="3077"/>
      <c r="D2427" s="3980"/>
      <c r="E2427" s="3883"/>
      <c r="F2427" s="3984" t="str">
        <f>$E$1736</f>
        <v>ASHP-SEER17_ER2_SF</v>
      </c>
      <c r="G2427" s="3984"/>
      <c r="H2427" s="3984"/>
      <c r="I2427" s="3984"/>
      <c r="J2427" s="3501" t="str">
        <f>$C$1736</f>
        <v>353750_2021_12_</v>
      </c>
      <c r="K2427" s="3421">
        <v>8.1999999999999993</v>
      </c>
      <c r="L2427" s="704"/>
      <c r="M2427" s="3020" t="s">
        <v>810</v>
      </c>
      <c r="N2427" s="106"/>
      <c r="O2427" s="106"/>
      <c r="P2427" s="702"/>
      <c r="Q2427" s="574"/>
      <c r="R2427" s="702"/>
      <c r="S2427" s="106"/>
      <c r="T2427" s="486"/>
      <c r="U2427" s="106"/>
      <c r="V2427" s="3980"/>
      <c r="W2427" s="3421">
        <v>8.1999999999999993</v>
      </c>
      <c r="X2427" s="3421">
        <v>8.1999999999999993</v>
      </c>
      <c r="Y2427" s="3421">
        <v>8.1999999999999993</v>
      </c>
      <c r="Z2427" s="3421">
        <v>8.1999999999999993</v>
      </c>
      <c r="AA2427" s="3421">
        <v>8.1999999999999993</v>
      </c>
      <c r="AB2427" s="3421">
        <v>8.1999999999999993</v>
      </c>
      <c r="AC2427" s="3428">
        <v>8.1999999999999993</v>
      </c>
      <c r="AD2427" s="3421">
        <v>8.1999999999999993</v>
      </c>
      <c r="AE2427" s="3429"/>
      <c r="AF2427" s="3421"/>
      <c r="AG2427" s="3421"/>
      <c r="AH2427" s="156"/>
      <c r="AI2427" s="156"/>
      <c r="AJ2427" s="156"/>
      <c r="AK2427" s="156"/>
      <c r="AL2427" s="156"/>
      <c r="AM2427" s="156"/>
      <c r="AN2427" s="156"/>
      <c r="AO2427" s="156"/>
      <c r="AP2427" s="156"/>
      <c r="AQ2427" s="156"/>
      <c r="AR2427" s="156"/>
      <c r="AS2427" s="156"/>
      <c r="AT2427" s="156"/>
      <c r="AU2427" s="156"/>
      <c r="AV2427" s="156"/>
      <c r="AW2427" s="156"/>
      <c r="AX2427" s="156"/>
      <c r="AY2427" s="156"/>
      <c r="AZ2427" s="156"/>
      <c r="BA2427" s="156"/>
      <c r="BB2427" s="2828"/>
      <c r="BC2427" s="452"/>
      <c r="BD2427" s="2829"/>
      <c r="BE2427" s="2837"/>
      <c r="BF2427" s="156"/>
    </row>
    <row r="2428" spans="1:58" ht="15" customHeight="1" outlineLevel="1" x14ac:dyDescent="0.35">
      <c r="A2428" s="1071"/>
      <c r="B2428" s="2812"/>
      <c r="C2428" s="3077"/>
      <c r="D2428" s="3980"/>
      <c r="E2428" s="3883"/>
      <c r="F2428" s="3984" t="str">
        <f>$E$1738</f>
        <v>ASHP-SEER17_ROF_SF</v>
      </c>
      <c r="G2428" s="3984"/>
      <c r="H2428" s="3984"/>
      <c r="I2428" s="3984"/>
      <c r="J2428" s="3501" t="str">
        <f>$C$1738</f>
        <v>353800_2021_12_</v>
      </c>
      <c r="K2428" s="3421">
        <v>8.1999999999999993</v>
      </c>
      <c r="L2428" s="704"/>
      <c r="M2428" s="3020" t="s">
        <v>810</v>
      </c>
      <c r="N2428" s="106"/>
      <c r="O2428" s="106"/>
      <c r="P2428" s="106"/>
      <c r="Q2428" s="106"/>
      <c r="R2428" s="106"/>
      <c r="S2428" s="106"/>
      <c r="T2428" s="106"/>
      <c r="U2428" s="106"/>
      <c r="V2428" s="3980"/>
      <c r="W2428" s="3421">
        <v>8.1999999999999993</v>
      </c>
      <c r="X2428" s="3421">
        <v>8.1999999999999993</v>
      </c>
      <c r="Y2428" s="3421">
        <v>8.1999999999999993</v>
      </c>
      <c r="Z2428" s="3421">
        <v>8.1999999999999993</v>
      </c>
      <c r="AA2428" s="3421">
        <v>8.1999999999999993</v>
      </c>
      <c r="AB2428" s="3421">
        <v>8.1999999999999993</v>
      </c>
      <c r="AC2428" s="3428">
        <v>8.1999999999999993</v>
      </c>
      <c r="AD2428" s="3421">
        <v>8.1999999999999993</v>
      </c>
      <c r="AE2428" s="3429"/>
      <c r="AF2428" s="3421"/>
      <c r="AG2428" s="3421"/>
      <c r="AH2428" s="156"/>
      <c r="AI2428" s="156"/>
      <c r="AJ2428" s="156"/>
      <c r="AK2428" s="156"/>
      <c r="AL2428" s="156"/>
      <c r="AM2428" s="156"/>
      <c r="AN2428" s="156"/>
      <c r="AO2428" s="156"/>
      <c r="AP2428" s="156"/>
      <c r="AQ2428" s="156"/>
      <c r="AR2428" s="156"/>
      <c r="AS2428" s="156"/>
      <c r="AT2428" s="156"/>
      <c r="AU2428" s="156"/>
      <c r="AV2428" s="156"/>
      <c r="AW2428" s="156"/>
      <c r="AX2428" s="156"/>
      <c r="AY2428" s="156"/>
      <c r="AZ2428" s="156"/>
      <c r="BA2428" s="156"/>
      <c r="BB2428" s="2828"/>
      <c r="BC2428" s="452"/>
      <c r="BD2428" s="2829"/>
      <c r="BE2428" s="2837"/>
      <c r="BF2428" s="156"/>
    </row>
    <row r="2429" spans="1:58" ht="15" customHeight="1" outlineLevel="1" x14ac:dyDescent="0.35">
      <c r="A2429" s="1664"/>
      <c r="B2429" s="2812"/>
      <c r="C2429" s="3077"/>
      <c r="D2429" s="3980"/>
      <c r="E2429" s="3883"/>
      <c r="F2429" s="3984" t="str">
        <f>$E$1740</f>
        <v>ASHP-SEER18_ER1_SF</v>
      </c>
      <c r="G2429" s="3984"/>
      <c r="H2429" s="3984"/>
      <c r="I2429" s="3984"/>
      <c r="J2429" s="3501" t="str">
        <f>$C$1740</f>
        <v>353850_2021_12_</v>
      </c>
      <c r="K2429" s="3421">
        <v>6.58</v>
      </c>
      <c r="L2429" s="704"/>
      <c r="M2429" s="3020" t="s">
        <v>810</v>
      </c>
      <c r="N2429" s="106"/>
      <c r="O2429" s="106"/>
      <c r="P2429" s="702"/>
      <c r="Q2429" s="574"/>
      <c r="R2429" s="702"/>
      <c r="S2429" s="106"/>
      <c r="T2429" s="486"/>
      <c r="U2429" s="106"/>
      <c r="V2429" s="3980"/>
      <c r="W2429" s="3421">
        <v>5.44</v>
      </c>
      <c r="X2429" s="2374">
        <v>6.58</v>
      </c>
      <c r="Y2429" s="3421">
        <v>6.58</v>
      </c>
      <c r="Z2429" s="3421">
        <v>6.58</v>
      </c>
      <c r="AA2429" s="3421">
        <v>6.58</v>
      </c>
      <c r="AB2429" s="3421">
        <v>6.58</v>
      </c>
      <c r="AC2429" s="3428">
        <v>6.58</v>
      </c>
      <c r="AD2429" s="3421">
        <v>6.58</v>
      </c>
      <c r="AE2429" s="3429"/>
      <c r="AF2429" s="3421"/>
      <c r="AG2429" s="3421"/>
      <c r="AH2429" s="156"/>
      <c r="AI2429" s="156"/>
      <c r="AJ2429" s="156"/>
      <c r="AK2429" s="156"/>
      <c r="AL2429" s="156"/>
      <c r="AM2429" s="156"/>
      <c r="AN2429" s="156"/>
      <c r="AO2429" s="156"/>
      <c r="AP2429" s="156"/>
      <c r="AQ2429" s="156"/>
      <c r="AR2429" s="156"/>
      <c r="AS2429" s="156"/>
      <c r="AT2429" s="156"/>
      <c r="AU2429" s="156"/>
      <c r="AV2429" s="156"/>
      <c r="AW2429" s="156"/>
      <c r="AX2429" s="156"/>
      <c r="AY2429" s="156"/>
      <c r="AZ2429" s="156"/>
      <c r="BA2429" s="156"/>
      <c r="BB2429" s="2828"/>
      <c r="BC2429" s="452"/>
      <c r="BD2429" s="2829"/>
      <c r="BE2429" s="2837"/>
      <c r="BF2429" s="156"/>
    </row>
    <row r="2430" spans="1:58" ht="15" customHeight="1" outlineLevel="1" x14ac:dyDescent="0.35">
      <c r="A2430" s="1071"/>
      <c r="B2430" s="2812"/>
      <c r="C2430" s="3077"/>
      <c r="D2430" s="3980"/>
      <c r="E2430" s="3883"/>
      <c r="F2430" s="3984" t="str">
        <f>$E$1742</f>
        <v>ASHP-SEER18_ER2_SF</v>
      </c>
      <c r="G2430" s="3984"/>
      <c r="H2430" s="3984"/>
      <c r="I2430" s="3984"/>
      <c r="J2430" s="3501" t="str">
        <f>$C$1742</f>
        <v>353850_2021_12_</v>
      </c>
      <c r="K2430" s="3421">
        <v>8.1999999999999993</v>
      </c>
      <c r="L2430" s="704"/>
      <c r="M2430" s="3020" t="s">
        <v>810</v>
      </c>
      <c r="N2430" s="106"/>
      <c r="O2430" s="106"/>
      <c r="P2430" s="106"/>
      <c r="Q2430" s="106"/>
      <c r="R2430" s="106"/>
      <c r="S2430" s="106"/>
      <c r="T2430" s="106"/>
      <c r="U2430" s="106"/>
      <c r="V2430" s="3980"/>
      <c r="W2430" s="3421">
        <v>8.1999999999999993</v>
      </c>
      <c r="X2430" s="3421">
        <v>8.1999999999999993</v>
      </c>
      <c r="Y2430" s="3421">
        <v>8.1999999999999993</v>
      </c>
      <c r="Z2430" s="3421">
        <v>8.1999999999999993</v>
      </c>
      <c r="AA2430" s="3421">
        <v>8.1999999999999993</v>
      </c>
      <c r="AB2430" s="3421">
        <v>8.1999999999999993</v>
      </c>
      <c r="AC2430" s="3428">
        <v>8.1999999999999993</v>
      </c>
      <c r="AD2430" s="3421">
        <v>8.1999999999999993</v>
      </c>
      <c r="AE2430" s="3429"/>
      <c r="AF2430" s="3421"/>
      <c r="AG2430" s="3421"/>
      <c r="AH2430" s="156"/>
      <c r="AI2430" s="156"/>
      <c r="AJ2430" s="156"/>
      <c r="AK2430" s="156"/>
      <c r="AL2430" s="156"/>
      <c r="AM2430" s="156"/>
      <c r="AN2430" s="156"/>
      <c r="AO2430" s="156"/>
      <c r="AP2430" s="156"/>
      <c r="AQ2430" s="156"/>
      <c r="AR2430" s="156"/>
      <c r="AS2430" s="156"/>
      <c r="AT2430" s="156"/>
      <c r="AU2430" s="156"/>
      <c r="AV2430" s="156"/>
      <c r="AW2430" s="156"/>
      <c r="AX2430" s="156"/>
      <c r="AY2430" s="156"/>
      <c r="AZ2430" s="156"/>
      <c r="BA2430" s="156"/>
      <c r="BB2430" s="2828"/>
      <c r="BC2430" s="452"/>
      <c r="BD2430" s="2829"/>
      <c r="BE2430" s="2837"/>
      <c r="BF2430" s="156"/>
    </row>
    <row r="2431" spans="1:58" ht="15" customHeight="1" outlineLevel="1" x14ac:dyDescent="0.35">
      <c r="A2431" s="1664"/>
      <c r="B2431" s="2812"/>
      <c r="C2431" s="3077"/>
      <c r="D2431" s="3980"/>
      <c r="E2431" s="3883"/>
      <c r="F2431" s="3984" t="str">
        <f>$E$1744</f>
        <v>ASHP-SEER18_ROF_SF</v>
      </c>
      <c r="G2431" s="3984"/>
      <c r="H2431" s="3984"/>
      <c r="I2431" s="3984"/>
      <c r="J2431" s="3501" t="str">
        <f>$C$1744</f>
        <v>353950_2021_12_</v>
      </c>
      <c r="K2431" s="3421">
        <v>8.1999999999999993</v>
      </c>
      <c r="L2431" s="704"/>
      <c r="M2431" s="3020" t="s">
        <v>810</v>
      </c>
      <c r="N2431" s="106"/>
      <c r="O2431" s="106"/>
      <c r="P2431" s="702"/>
      <c r="Q2431" s="574"/>
      <c r="R2431" s="702"/>
      <c r="S2431" s="106"/>
      <c r="T2431" s="486"/>
      <c r="U2431" s="106"/>
      <c r="V2431" s="3980"/>
      <c r="W2431" s="3421">
        <v>8.1999999999999993</v>
      </c>
      <c r="X2431" s="3421">
        <v>8.1999999999999993</v>
      </c>
      <c r="Y2431" s="3421">
        <v>8.1999999999999993</v>
      </c>
      <c r="Z2431" s="3421">
        <v>8.1999999999999993</v>
      </c>
      <c r="AA2431" s="3421">
        <v>8.1999999999999993</v>
      </c>
      <c r="AB2431" s="3421">
        <v>8.1999999999999993</v>
      </c>
      <c r="AC2431" s="3428">
        <v>8.1999999999999993</v>
      </c>
      <c r="AD2431" s="3421">
        <v>8.1999999999999993</v>
      </c>
      <c r="AE2431" s="3429"/>
      <c r="AF2431" s="3421"/>
      <c r="AG2431" s="3421"/>
      <c r="AH2431" s="156"/>
      <c r="AI2431" s="156"/>
      <c r="AJ2431" s="156"/>
      <c r="AK2431" s="156"/>
      <c r="AL2431" s="156"/>
      <c r="AM2431" s="156"/>
      <c r="AN2431" s="156"/>
      <c r="AO2431" s="156"/>
      <c r="AP2431" s="156"/>
      <c r="AQ2431" s="156"/>
      <c r="AR2431" s="156"/>
      <c r="AS2431" s="156"/>
      <c r="AT2431" s="156"/>
      <c r="AU2431" s="156"/>
      <c r="AV2431" s="156"/>
      <c r="AW2431" s="156"/>
      <c r="AX2431" s="156"/>
      <c r="AY2431" s="156"/>
      <c r="AZ2431" s="156"/>
      <c r="BA2431" s="156"/>
      <c r="BB2431" s="2828"/>
      <c r="BC2431" s="452"/>
      <c r="BD2431" s="2829"/>
      <c r="BE2431" s="2837"/>
      <c r="BF2431" s="156"/>
    </row>
    <row r="2432" spans="1:58" ht="15" customHeight="1" outlineLevel="1" x14ac:dyDescent="0.35">
      <c r="A2432" s="1664"/>
      <c r="B2432" s="2812"/>
      <c r="C2432" s="3077"/>
      <c r="D2432" s="3980"/>
      <c r="E2432" s="3883"/>
      <c r="F2432" s="3984" t="str">
        <f>$E$1746</f>
        <v>ASHP-SEER19_ER1_SF</v>
      </c>
      <c r="G2432" s="3984"/>
      <c r="H2432" s="3984"/>
      <c r="I2432" s="3984"/>
      <c r="J2432" s="3501" t="str">
        <f>$C$1746</f>
        <v>354000_2021_12_</v>
      </c>
      <c r="K2432" s="3421">
        <v>6.58</v>
      </c>
      <c r="L2432" s="704"/>
      <c r="M2432" s="3020" t="s">
        <v>810</v>
      </c>
      <c r="N2432" s="106"/>
      <c r="O2432" s="106"/>
      <c r="P2432" s="702"/>
      <c r="Q2432" s="574"/>
      <c r="R2432" s="702"/>
      <c r="S2432" s="106"/>
      <c r="T2432" s="486"/>
      <c r="U2432" s="106"/>
      <c r="V2432" s="3980"/>
      <c r="W2432" s="3421">
        <v>5.44</v>
      </c>
      <c r="X2432" s="2374">
        <v>6.58</v>
      </c>
      <c r="Y2432" s="3421">
        <v>6.58</v>
      </c>
      <c r="Z2432" s="3421">
        <v>6.58</v>
      </c>
      <c r="AA2432" s="3421">
        <v>6.58</v>
      </c>
      <c r="AB2432" s="3421">
        <v>6.58</v>
      </c>
      <c r="AC2432" s="3428">
        <v>6.58</v>
      </c>
      <c r="AD2432" s="3421">
        <v>6.58</v>
      </c>
      <c r="AE2432" s="3429"/>
      <c r="AF2432" s="3421"/>
      <c r="AG2432" s="3421"/>
      <c r="AH2432" s="156"/>
      <c r="AI2432" s="156"/>
      <c r="AJ2432" s="156"/>
      <c r="AK2432" s="156"/>
      <c r="AL2432" s="156"/>
      <c r="AM2432" s="156"/>
      <c r="AN2432" s="156"/>
      <c r="AO2432" s="156"/>
      <c r="AP2432" s="156"/>
      <c r="AQ2432" s="156"/>
      <c r="AR2432" s="156"/>
      <c r="AS2432" s="156"/>
      <c r="AT2432" s="156"/>
      <c r="AU2432" s="156"/>
      <c r="AV2432" s="156"/>
      <c r="AW2432" s="156"/>
      <c r="AX2432" s="156"/>
      <c r="AY2432" s="156"/>
      <c r="AZ2432" s="156"/>
      <c r="BA2432" s="156"/>
      <c r="BB2432" s="2828"/>
      <c r="BC2432" s="452"/>
      <c r="BD2432" s="2829"/>
      <c r="BE2432" s="2837"/>
      <c r="BF2432" s="156"/>
    </row>
    <row r="2433" spans="1:58" ht="15" customHeight="1" outlineLevel="1" x14ac:dyDescent="0.35">
      <c r="A2433" s="1071"/>
      <c r="B2433" s="2812"/>
      <c r="C2433" s="3077"/>
      <c r="D2433" s="3980"/>
      <c r="E2433" s="3883"/>
      <c r="F2433" s="3984" t="str">
        <f>$E$1748</f>
        <v>ASHP-SEER19_ER2_SF</v>
      </c>
      <c r="G2433" s="3984"/>
      <c r="H2433" s="3984"/>
      <c r="I2433" s="3984"/>
      <c r="J2433" s="3501" t="str">
        <f>$C$1748</f>
        <v>354000_2021_12_</v>
      </c>
      <c r="K2433" s="3421">
        <v>8.1999999999999993</v>
      </c>
      <c r="L2433" s="704"/>
      <c r="M2433" s="3020" t="s">
        <v>810</v>
      </c>
      <c r="N2433" s="106"/>
      <c r="O2433" s="106"/>
      <c r="P2433" s="106"/>
      <c r="Q2433" s="106"/>
      <c r="R2433" s="106"/>
      <c r="S2433" s="106"/>
      <c r="T2433" s="106"/>
      <c r="U2433" s="106"/>
      <c r="V2433" s="3980"/>
      <c r="W2433" s="3421">
        <v>8.1999999999999993</v>
      </c>
      <c r="X2433" s="3421">
        <v>8.1999999999999993</v>
      </c>
      <c r="Y2433" s="3421">
        <v>8.1999999999999993</v>
      </c>
      <c r="Z2433" s="3421">
        <v>8.1999999999999993</v>
      </c>
      <c r="AA2433" s="3421">
        <v>8.1999999999999993</v>
      </c>
      <c r="AB2433" s="3421">
        <v>8.1999999999999993</v>
      </c>
      <c r="AC2433" s="3428">
        <v>8.1999999999999993</v>
      </c>
      <c r="AD2433" s="3421">
        <v>8.1999999999999993</v>
      </c>
      <c r="AE2433" s="3429"/>
      <c r="AF2433" s="3421"/>
      <c r="AG2433" s="3421"/>
      <c r="AH2433" s="156"/>
      <c r="AI2433" s="156"/>
      <c r="AJ2433" s="156"/>
      <c r="AK2433" s="156"/>
      <c r="AL2433" s="156"/>
      <c r="AM2433" s="156"/>
      <c r="AN2433" s="156"/>
      <c r="AO2433" s="156"/>
      <c r="AP2433" s="156"/>
      <c r="AQ2433" s="156"/>
      <c r="AR2433" s="156"/>
      <c r="AS2433" s="156"/>
      <c r="AT2433" s="156"/>
      <c r="AU2433" s="156"/>
      <c r="AV2433" s="156"/>
      <c r="AW2433" s="156"/>
      <c r="AX2433" s="156"/>
      <c r="AY2433" s="156"/>
      <c r="AZ2433" s="156"/>
      <c r="BA2433" s="156"/>
      <c r="BB2433" s="2828"/>
      <c r="BC2433" s="452"/>
      <c r="BD2433" s="2829"/>
      <c r="BE2433" s="2837"/>
      <c r="BF2433" s="156"/>
    </row>
    <row r="2434" spans="1:58" ht="15" customHeight="1" outlineLevel="1" x14ac:dyDescent="0.35">
      <c r="A2434" s="1071"/>
      <c r="B2434" s="2812"/>
      <c r="C2434" s="3077"/>
      <c r="D2434" s="3980"/>
      <c r="E2434" s="3883"/>
      <c r="F2434" s="3984" t="str">
        <f>$E$1750</f>
        <v>ASHP-SEER19_ROF_SF</v>
      </c>
      <c r="G2434" s="3984"/>
      <c r="H2434" s="3984"/>
      <c r="I2434" s="3984"/>
      <c r="J2434" s="3501" t="str">
        <f>$C$1750</f>
        <v>354050_2021_12_</v>
      </c>
      <c r="K2434" s="3421">
        <v>8.1999999999999993</v>
      </c>
      <c r="L2434" s="704"/>
      <c r="M2434" s="3020" t="s">
        <v>810</v>
      </c>
      <c r="N2434" s="106"/>
      <c r="O2434" s="106"/>
      <c r="P2434" s="106"/>
      <c r="Q2434" s="106"/>
      <c r="R2434" s="106"/>
      <c r="S2434" s="106"/>
      <c r="T2434" s="106"/>
      <c r="U2434" s="106"/>
      <c r="V2434" s="3980"/>
      <c r="W2434" s="3421">
        <v>8.1999999999999993</v>
      </c>
      <c r="X2434" s="3421">
        <v>8.1999999999999993</v>
      </c>
      <c r="Y2434" s="3421">
        <v>8.1999999999999993</v>
      </c>
      <c r="Z2434" s="3421">
        <v>8.1999999999999993</v>
      </c>
      <c r="AA2434" s="3421">
        <v>8.1999999999999993</v>
      </c>
      <c r="AB2434" s="3421">
        <v>8.1999999999999993</v>
      </c>
      <c r="AC2434" s="3428">
        <v>8.1999999999999993</v>
      </c>
      <c r="AD2434" s="3421">
        <v>8.1999999999999993</v>
      </c>
      <c r="AE2434" s="3429"/>
      <c r="AF2434" s="3421"/>
      <c r="AG2434" s="3421"/>
      <c r="AH2434" s="156"/>
      <c r="AI2434" s="156"/>
      <c r="AJ2434" s="156"/>
      <c r="AK2434" s="156"/>
      <c r="AL2434" s="156"/>
      <c r="AM2434" s="156"/>
      <c r="AN2434" s="156"/>
      <c r="AO2434" s="156"/>
      <c r="AP2434" s="156"/>
      <c r="AQ2434" s="156"/>
      <c r="AR2434" s="156"/>
      <c r="AS2434" s="156"/>
      <c r="AT2434" s="156"/>
      <c r="AU2434" s="156"/>
      <c r="AV2434" s="156"/>
      <c r="AW2434" s="156"/>
      <c r="AX2434" s="156"/>
      <c r="AY2434" s="156"/>
      <c r="AZ2434" s="156"/>
      <c r="BA2434" s="156"/>
      <c r="BB2434" s="2828"/>
      <c r="BC2434" s="452"/>
      <c r="BD2434" s="2829"/>
      <c r="BE2434" s="2837"/>
      <c r="BF2434" s="156"/>
    </row>
    <row r="2435" spans="1:58" ht="15" customHeight="1" outlineLevel="1" x14ac:dyDescent="0.35">
      <c r="A2435" s="1071"/>
      <c r="B2435" s="2812"/>
      <c r="C2435" s="3077"/>
      <c r="D2435" s="3980"/>
      <c r="E2435" s="3883"/>
      <c r="F2435" s="3984" t="str">
        <f>$E$1752</f>
        <v>ASHP-SEER17-Replace_CAC_ElectricHeat_ER1_SF</v>
      </c>
      <c r="G2435" s="3984"/>
      <c r="H2435" s="3984"/>
      <c r="I2435" s="3984"/>
      <c r="J2435" s="3501" t="str">
        <f>$C$1752</f>
        <v>354100_2021_12_</v>
      </c>
      <c r="K2435" s="3421">
        <v>3.41</v>
      </c>
      <c r="L2435" s="704"/>
      <c r="M2435" s="3020" t="s">
        <v>810</v>
      </c>
      <c r="N2435" s="106"/>
      <c r="O2435" s="106"/>
      <c r="P2435" s="106"/>
      <c r="Q2435" s="106"/>
      <c r="R2435" s="106"/>
      <c r="S2435" s="106"/>
      <c r="T2435" s="106"/>
      <c r="U2435" s="106"/>
      <c r="V2435" s="3980"/>
      <c r="W2435" s="3421">
        <v>3.41</v>
      </c>
      <c r="X2435" s="3421">
        <v>3.41</v>
      </c>
      <c r="Y2435" s="3421">
        <v>3.41</v>
      </c>
      <c r="Z2435" s="3421">
        <v>3.41</v>
      </c>
      <c r="AA2435" s="3421">
        <v>3.41</v>
      </c>
      <c r="AB2435" s="3421">
        <v>3.41</v>
      </c>
      <c r="AC2435" s="3428">
        <v>3.41</v>
      </c>
      <c r="AD2435" s="3421">
        <v>3.41</v>
      </c>
      <c r="AE2435" s="3429"/>
      <c r="AF2435" s="3421"/>
      <c r="AG2435" s="3421"/>
      <c r="AH2435" s="156"/>
      <c r="AI2435" s="156"/>
      <c r="AJ2435" s="156"/>
      <c r="AK2435" s="156"/>
      <c r="AL2435" s="156"/>
      <c r="AM2435" s="156"/>
      <c r="AN2435" s="156"/>
      <c r="AO2435" s="156"/>
      <c r="AP2435" s="156"/>
      <c r="AQ2435" s="156"/>
      <c r="AR2435" s="156"/>
      <c r="AS2435" s="156"/>
      <c r="AT2435" s="156"/>
      <c r="AU2435" s="156"/>
      <c r="AV2435" s="156"/>
      <c r="AW2435" s="156"/>
      <c r="AX2435" s="156"/>
      <c r="AY2435" s="156"/>
      <c r="AZ2435" s="156"/>
      <c r="BA2435" s="156"/>
      <c r="BB2435" s="2828"/>
      <c r="BC2435" s="452"/>
      <c r="BD2435" s="2829"/>
      <c r="BE2435" s="2837"/>
      <c r="BF2435" s="156"/>
    </row>
    <row r="2436" spans="1:58" ht="15" customHeight="1" outlineLevel="1" x14ac:dyDescent="0.35">
      <c r="A2436" s="1071"/>
      <c r="B2436" s="2812"/>
      <c r="C2436" s="3077"/>
      <c r="D2436" s="3980"/>
      <c r="E2436" s="3883"/>
      <c r="F2436" s="3984" t="str">
        <f>$E$1754</f>
        <v>ASHP-SEER17-Replace_CAC_ElectricHeat_ER2_SF</v>
      </c>
      <c r="G2436" s="3984"/>
      <c r="H2436" s="3984"/>
      <c r="I2436" s="3984"/>
      <c r="J2436" s="3501" t="str">
        <f>$C$1754</f>
        <v>354100_2021_12_</v>
      </c>
      <c r="K2436" s="3421">
        <v>3.41</v>
      </c>
      <c r="L2436" s="704"/>
      <c r="M2436" s="3020" t="s">
        <v>810</v>
      </c>
      <c r="N2436" s="106"/>
      <c r="O2436" s="106"/>
      <c r="P2436" s="106"/>
      <c r="Q2436" s="106"/>
      <c r="R2436" s="106"/>
      <c r="S2436" s="106"/>
      <c r="T2436" s="106"/>
      <c r="U2436" s="106"/>
      <c r="V2436" s="3980"/>
      <c r="W2436" s="3421">
        <v>3.41</v>
      </c>
      <c r="X2436" s="3421">
        <v>3.41</v>
      </c>
      <c r="Y2436" s="3421">
        <v>3.41</v>
      </c>
      <c r="Z2436" s="3421">
        <v>3.41</v>
      </c>
      <c r="AA2436" s="3421">
        <v>3.41</v>
      </c>
      <c r="AB2436" s="3421">
        <v>3.41</v>
      </c>
      <c r="AC2436" s="3428">
        <v>3.41</v>
      </c>
      <c r="AD2436" s="3421">
        <v>3.41</v>
      </c>
      <c r="AE2436" s="3429"/>
      <c r="AF2436" s="3421"/>
      <c r="AG2436" s="3421"/>
      <c r="AH2436" s="156"/>
      <c r="AI2436" s="156"/>
      <c r="AJ2436" s="156"/>
      <c r="AK2436" s="156"/>
      <c r="AL2436" s="156"/>
      <c r="AM2436" s="156"/>
      <c r="AN2436" s="156"/>
      <c r="AO2436" s="156"/>
      <c r="AP2436" s="156"/>
      <c r="AQ2436" s="156"/>
      <c r="AR2436" s="156"/>
      <c r="AS2436" s="156"/>
      <c r="AT2436" s="156"/>
      <c r="AU2436" s="156"/>
      <c r="AV2436" s="156"/>
      <c r="AW2436" s="156"/>
      <c r="AX2436" s="156"/>
      <c r="AY2436" s="156"/>
      <c r="AZ2436" s="156"/>
      <c r="BA2436" s="156"/>
      <c r="BB2436" s="2828"/>
      <c r="BC2436" s="452"/>
      <c r="BD2436" s="2829"/>
      <c r="BE2436" s="2837"/>
      <c r="BF2436" s="156"/>
    </row>
    <row r="2437" spans="1:58" ht="15" customHeight="1" outlineLevel="1" x14ac:dyDescent="0.35">
      <c r="A2437" s="1071"/>
      <c r="B2437" s="2812"/>
      <c r="C2437" s="3077"/>
      <c r="D2437" s="3980"/>
      <c r="E2437" s="3883"/>
      <c r="F2437" s="3984" t="str">
        <f>$E$1756</f>
        <v>ASHP-SEER17-Replace_CAC_NonElectricHeat_ER1_SF</v>
      </c>
      <c r="G2437" s="3984"/>
      <c r="H2437" s="3984"/>
      <c r="I2437" s="3984"/>
      <c r="J2437" s="3501" t="str">
        <f>$C$1756</f>
        <v>354110_2021_12_</v>
      </c>
      <c r="K2437" s="2042">
        <v>0</v>
      </c>
      <c r="L2437" s="704"/>
      <c r="M2437" s="3020" t="s">
        <v>1509</v>
      </c>
      <c r="N2437" s="106"/>
      <c r="O2437" s="106"/>
      <c r="P2437" s="106"/>
      <c r="Q2437" s="106"/>
      <c r="R2437" s="106"/>
      <c r="S2437" s="106"/>
      <c r="T2437" s="106"/>
      <c r="U2437" s="106"/>
      <c r="V2437" s="3980"/>
      <c r="W2437" s="3421"/>
      <c r="X2437" s="3421"/>
      <c r="Y2437" s="3421"/>
      <c r="Z2437" s="3421"/>
      <c r="AA2437" s="3421"/>
      <c r="AB2437" s="3421"/>
      <c r="AC2437" s="2292">
        <v>0</v>
      </c>
      <c r="AD2437" s="2042">
        <v>0</v>
      </c>
      <c r="AE2437" s="3429"/>
      <c r="AF2437" s="3421"/>
      <c r="AG2437" s="3421"/>
      <c r="AH2437" s="156"/>
      <c r="AI2437" s="156"/>
      <c r="AJ2437" s="156"/>
      <c r="AK2437" s="156"/>
      <c r="AL2437" s="156"/>
      <c r="AM2437" s="156"/>
      <c r="AN2437" s="156"/>
      <c r="AO2437" s="156"/>
      <c r="AP2437" s="156"/>
      <c r="AQ2437" s="156"/>
      <c r="AR2437" s="156"/>
      <c r="AS2437" s="156"/>
      <c r="AT2437" s="156"/>
      <c r="AU2437" s="156"/>
      <c r="AV2437" s="156"/>
      <c r="AW2437" s="156"/>
      <c r="AX2437" s="156"/>
      <c r="AY2437" s="156"/>
      <c r="AZ2437" s="156"/>
      <c r="BA2437" s="156"/>
      <c r="BB2437" s="2828"/>
      <c r="BC2437" s="452"/>
      <c r="BD2437" s="2829"/>
      <c r="BE2437" s="2837"/>
      <c r="BF2437" s="156"/>
    </row>
    <row r="2438" spans="1:58" ht="15" customHeight="1" outlineLevel="1" x14ac:dyDescent="0.35">
      <c r="A2438" s="1071"/>
      <c r="B2438" s="2812"/>
      <c r="C2438" s="3077"/>
      <c r="D2438" s="3980"/>
      <c r="E2438" s="3883"/>
      <c r="F2438" s="3984" t="str">
        <f>$E$1758</f>
        <v>ASHP-SEER17-Replace_CAC_NonElectricHeat_ER2_SF</v>
      </c>
      <c r="G2438" s="3984"/>
      <c r="H2438" s="3984"/>
      <c r="I2438" s="3984"/>
      <c r="J2438" s="3501" t="str">
        <f>$C$1758</f>
        <v>354110_2021_12_</v>
      </c>
      <c r="K2438" s="2042">
        <v>0</v>
      </c>
      <c r="L2438" s="704"/>
      <c r="M2438" s="3020" t="s">
        <v>1509</v>
      </c>
      <c r="N2438" s="106"/>
      <c r="O2438" s="106"/>
      <c r="P2438" s="106"/>
      <c r="Q2438" s="106"/>
      <c r="R2438" s="106"/>
      <c r="S2438" s="106"/>
      <c r="T2438" s="106"/>
      <c r="U2438" s="106"/>
      <c r="V2438" s="3980"/>
      <c r="W2438" s="3421"/>
      <c r="X2438" s="3421"/>
      <c r="Y2438" s="3421"/>
      <c r="Z2438" s="3421"/>
      <c r="AA2438" s="3421"/>
      <c r="AB2438" s="3421"/>
      <c r="AC2438" s="2292">
        <v>0</v>
      </c>
      <c r="AD2438" s="2042">
        <v>0</v>
      </c>
      <c r="AE2438" s="3429"/>
      <c r="AF2438" s="3421"/>
      <c r="AG2438" s="3421"/>
      <c r="AH2438" s="156"/>
      <c r="AI2438" s="156"/>
      <c r="AJ2438" s="156"/>
      <c r="AK2438" s="156"/>
      <c r="AL2438" s="156"/>
      <c r="AM2438" s="156"/>
      <c r="AN2438" s="156"/>
      <c r="AO2438" s="156"/>
      <c r="AP2438" s="156"/>
      <c r="AQ2438" s="156"/>
      <c r="AR2438" s="156"/>
      <c r="AS2438" s="156"/>
      <c r="AT2438" s="156"/>
      <c r="AU2438" s="156"/>
      <c r="AV2438" s="156"/>
      <c r="AW2438" s="156"/>
      <c r="AX2438" s="156"/>
      <c r="AY2438" s="156"/>
      <c r="AZ2438" s="156"/>
      <c r="BA2438" s="156"/>
      <c r="BB2438" s="2828"/>
      <c r="BC2438" s="452"/>
      <c r="BD2438" s="2829"/>
      <c r="BE2438" s="2837"/>
      <c r="BF2438" s="156"/>
    </row>
    <row r="2439" spans="1:58" ht="15" customHeight="1" outlineLevel="1" x14ac:dyDescent="0.35">
      <c r="A2439" s="1071"/>
      <c r="B2439" s="2812"/>
      <c r="C2439" s="3077"/>
      <c r="D2439" s="3980"/>
      <c r="E2439" s="3883"/>
      <c r="F2439" s="3984" t="str">
        <f>$E$1760</f>
        <v>ASHP-SEER17-Replace_CAC_ElectricHeat_ER1_MF</v>
      </c>
      <c r="G2439" s="3984"/>
      <c r="H2439" s="3984"/>
      <c r="I2439" s="3984"/>
      <c r="J2439" s="3501" t="str">
        <f>$C$1760</f>
        <v>354150_2019_12_</v>
      </c>
      <c r="K2439" s="3421">
        <v>3.41</v>
      </c>
      <c r="L2439" s="704"/>
      <c r="M2439" s="3020" t="s">
        <v>1510</v>
      </c>
      <c r="N2439" s="106"/>
      <c r="O2439" s="106"/>
      <c r="P2439" s="106"/>
      <c r="Q2439" s="106"/>
      <c r="R2439" s="106"/>
      <c r="S2439" s="106"/>
      <c r="T2439" s="106"/>
      <c r="U2439" s="106"/>
      <c r="V2439" s="3980"/>
      <c r="W2439" s="3421">
        <v>3.41</v>
      </c>
      <c r="X2439" s="3421">
        <v>3.41</v>
      </c>
      <c r="Y2439" s="3421">
        <v>3.41</v>
      </c>
      <c r="Z2439" s="3421">
        <v>3.41</v>
      </c>
      <c r="AA2439" s="3421">
        <v>3.41</v>
      </c>
      <c r="AB2439" s="3421">
        <v>3.41</v>
      </c>
      <c r="AC2439" s="3428">
        <v>3.41</v>
      </c>
      <c r="AD2439" s="3421">
        <v>3.41</v>
      </c>
      <c r="AE2439" s="3429"/>
      <c r="AF2439" s="3421"/>
      <c r="AG2439" s="3421"/>
      <c r="AH2439" s="156"/>
      <c r="AI2439" s="156"/>
      <c r="AJ2439" s="156"/>
      <c r="AK2439" s="156"/>
      <c r="AL2439" s="156"/>
      <c r="AM2439" s="156"/>
      <c r="AN2439" s="156"/>
      <c r="AO2439" s="156"/>
      <c r="AP2439" s="156"/>
      <c r="AQ2439" s="156"/>
      <c r="AR2439" s="156"/>
      <c r="AS2439" s="156"/>
      <c r="AT2439" s="156"/>
      <c r="AU2439" s="156"/>
      <c r="AV2439" s="156"/>
      <c r="AW2439" s="156"/>
      <c r="AX2439" s="156"/>
      <c r="AY2439" s="156"/>
      <c r="AZ2439" s="156"/>
      <c r="BA2439" s="156"/>
      <c r="BB2439" s="2828"/>
      <c r="BC2439" s="452"/>
      <c r="BD2439" s="2829"/>
      <c r="BE2439" s="2837"/>
      <c r="BF2439" s="156"/>
    </row>
    <row r="2440" spans="1:58" ht="15" customHeight="1" outlineLevel="1" x14ac:dyDescent="0.35">
      <c r="A2440" s="1071"/>
      <c r="B2440" s="2812"/>
      <c r="C2440" s="3077"/>
      <c r="D2440" s="3980"/>
      <c r="E2440" s="3883"/>
      <c r="F2440" s="3984" t="str">
        <f>$E$1762</f>
        <v>ASHP-SEER17-Replace_CAC_ElectricHeat_ER2_MF</v>
      </c>
      <c r="G2440" s="3984"/>
      <c r="H2440" s="3984"/>
      <c r="I2440" s="3984"/>
      <c r="J2440" s="3501" t="str">
        <f>$C$1762</f>
        <v>354150_2019_12_</v>
      </c>
      <c r="K2440" s="3421">
        <v>3.41</v>
      </c>
      <c r="L2440" s="704"/>
      <c r="M2440" s="3020" t="s">
        <v>1510</v>
      </c>
      <c r="N2440" s="106"/>
      <c r="O2440" s="106"/>
      <c r="P2440" s="106"/>
      <c r="Q2440" s="106"/>
      <c r="R2440" s="106"/>
      <c r="S2440" s="106"/>
      <c r="T2440" s="106"/>
      <c r="U2440" s="106"/>
      <c r="V2440" s="3980"/>
      <c r="W2440" s="3421">
        <v>3.41</v>
      </c>
      <c r="X2440" s="3421">
        <v>3.41</v>
      </c>
      <c r="Y2440" s="3421">
        <v>3.41</v>
      </c>
      <c r="Z2440" s="3421">
        <v>3.41</v>
      </c>
      <c r="AA2440" s="3421">
        <v>3.41</v>
      </c>
      <c r="AB2440" s="3421">
        <v>3.41</v>
      </c>
      <c r="AC2440" s="3428">
        <v>3.41</v>
      </c>
      <c r="AD2440" s="3421">
        <v>3.41</v>
      </c>
      <c r="AE2440" s="3429"/>
      <c r="AF2440" s="3421"/>
      <c r="AG2440" s="3421"/>
      <c r="AH2440" s="156"/>
      <c r="AI2440" s="156"/>
      <c r="AJ2440" s="156"/>
      <c r="AK2440" s="156"/>
      <c r="AL2440" s="156"/>
      <c r="AM2440" s="156"/>
      <c r="AN2440" s="156"/>
      <c r="AO2440" s="156"/>
      <c r="AP2440" s="156"/>
      <c r="AQ2440" s="156"/>
      <c r="AR2440" s="156"/>
      <c r="AS2440" s="156"/>
      <c r="AT2440" s="156"/>
      <c r="AU2440" s="156"/>
      <c r="AV2440" s="156"/>
      <c r="AW2440" s="156"/>
      <c r="AX2440" s="156"/>
      <c r="AY2440" s="156"/>
      <c r="AZ2440" s="156"/>
      <c r="BA2440" s="156"/>
      <c r="BB2440" s="2828"/>
      <c r="BC2440" s="452"/>
      <c r="BD2440" s="2829"/>
      <c r="BE2440" s="2837"/>
      <c r="BF2440" s="156"/>
    </row>
    <row r="2441" spans="1:58" ht="15" customHeight="1" outlineLevel="1" x14ac:dyDescent="0.35">
      <c r="A2441" s="1071"/>
      <c r="B2441" s="2812"/>
      <c r="C2441" s="3077"/>
      <c r="D2441" s="3980"/>
      <c r="E2441" s="3883"/>
      <c r="F2441" s="3984" t="str">
        <f>$E$1764</f>
        <v>ASHP-SEER17-Replace_CAC_ElectricHeat_ER1_MF_CompE</v>
      </c>
      <c r="G2441" s="3984"/>
      <c r="H2441" s="3984"/>
      <c r="I2441" s="3984"/>
      <c r="J2441" s="3501" t="str">
        <f>$C$1764</f>
        <v>354151_2019_12_</v>
      </c>
      <c r="K2441" s="3421">
        <v>3.41</v>
      </c>
      <c r="L2441" s="704"/>
      <c r="M2441" s="3020" t="s">
        <v>1510</v>
      </c>
      <c r="N2441" s="106"/>
      <c r="O2441" s="106"/>
      <c r="P2441" s="106"/>
      <c r="Q2441" s="106"/>
      <c r="R2441" s="106"/>
      <c r="S2441" s="106"/>
      <c r="T2441" s="106"/>
      <c r="U2441" s="106"/>
      <c r="V2441" s="3980"/>
      <c r="W2441" s="3421"/>
      <c r="X2441" s="3421"/>
      <c r="Y2441" s="2374">
        <v>3.41</v>
      </c>
      <c r="Z2441" s="3421">
        <v>3.41</v>
      </c>
      <c r="AA2441" s="3421">
        <v>3.41</v>
      </c>
      <c r="AB2441" s="3421">
        <v>3.41</v>
      </c>
      <c r="AC2441" s="3428">
        <v>3.41</v>
      </c>
      <c r="AD2441" s="3421">
        <v>3.41</v>
      </c>
      <c r="AE2441" s="3429"/>
      <c r="AF2441" s="3421"/>
      <c r="AG2441" s="3421"/>
      <c r="AH2441" s="156"/>
      <c r="AI2441" s="156"/>
      <c r="AJ2441" s="156"/>
      <c r="AK2441" s="156"/>
      <c r="AL2441" s="156"/>
      <c r="AM2441" s="156"/>
      <c r="AN2441" s="156"/>
      <c r="AO2441" s="156"/>
      <c r="AP2441" s="156"/>
      <c r="AQ2441" s="156"/>
      <c r="AR2441" s="156"/>
      <c r="AS2441" s="156"/>
      <c r="AT2441" s="156"/>
      <c r="AU2441" s="156"/>
      <c r="AV2441" s="156"/>
      <c r="AW2441" s="156"/>
      <c r="AX2441" s="156"/>
      <c r="AY2441" s="156"/>
      <c r="AZ2441" s="156"/>
      <c r="BA2441" s="156"/>
      <c r="BB2441" s="2828"/>
      <c r="BC2441" s="452"/>
      <c r="BD2441" s="2829"/>
      <c r="BE2441" s="2837"/>
      <c r="BF2441" s="156"/>
    </row>
    <row r="2442" spans="1:58" ht="15" customHeight="1" outlineLevel="1" x14ac:dyDescent="0.35">
      <c r="A2442" s="1071"/>
      <c r="B2442" s="2812"/>
      <c r="C2442" s="3077"/>
      <c r="D2442" s="3980"/>
      <c r="E2442" s="3883"/>
      <c r="F2442" s="3984" t="str">
        <f>$E$1766</f>
        <v>ASHP-SEER17-Replace_CAC_ElectricHeat_ER2_MF_CompE</v>
      </c>
      <c r="G2442" s="3984"/>
      <c r="H2442" s="3984"/>
      <c r="I2442" s="3984"/>
      <c r="J2442" s="3501" t="str">
        <f>$C$1766</f>
        <v>354151_2019_12_</v>
      </c>
      <c r="K2442" s="3421">
        <v>3.41</v>
      </c>
      <c r="L2442" s="704"/>
      <c r="M2442" s="3020" t="s">
        <v>1510</v>
      </c>
      <c r="N2442" s="106"/>
      <c r="O2442" s="106"/>
      <c r="P2442" s="106"/>
      <c r="Q2442" s="106"/>
      <c r="R2442" s="106"/>
      <c r="S2442" s="106"/>
      <c r="T2442" s="106"/>
      <c r="U2442" s="106"/>
      <c r="V2442" s="3980"/>
      <c r="W2442" s="3421"/>
      <c r="X2442" s="3421"/>
      <c r="Y2442" s="2374">
        <v>3.41</v>
      </c>
      <c r="Z2442" s="3421">
        <v>3.41</v>
      </c>
      <c r="AA2442" s="3421">
        <v>3.41</v>
      </c>
      <c r="AB2442" s="3421">
        <v>3.41</v>
      </c>
      <c r="AC2442" s="3428">
        <v>3.41</v>
      </c>
      <c r="AD2442" s="3421">
        <v>3.41</v>
      </c>
      <c r="AE2442" s="3429"/>
      <c r="AF2442" s="3421"/>
      <c r="AG2442" s="3421"/>
      <c r="AH2442" s="156"/>
      <c r="AI2442" s="156"/>
      <c r="AJ2442" s="156"/>
      <c r="AK2442" s="156"/>
      <c r="AL2442" s="156"/>
      <c r="AM2442" s="156"/>
      <c r="AN2442" s="156"/>
      <c r="AO2442" s="156"/>
      <c r="AP2442" s="156"/>
      <c r="AQ2442" s="156"/>
      <c r="AR2442" s="156"/>
      <c r="AS2442" s="156"/>
      <c r="AT2442" s="156"/>
      <c r="AU2442" s="156"/>
      <c r="AV2442" s="156"/>
      <c r="AW2442" s="156"/>
      <c r="AX2442" s="156"/>
      <c r="AY2442" s="156"/>
      <c r="AZ2442" s="156"/>
      <c r="BA2442" s="156"/>
      <c r="BB2442" s="2828"/>
      <c r="BC2442" s="452"/>
      <c r="BD2442" s="2829"/>
      <c r="BE2442" s="2837"/>
      <c r="BF2442" s="156"/>
    </row>
    <row r="2443" spans="1:58" ht="15" customHeight="1" outlineLevel="1" x14ac:dyDescent="0.35">
      <c r="A2443" s="1071"/>
      <c r="B2443" s="2812"/>
      <c r="C2443" s="3077"/>
      <c r="D2443" s="3980"/>
      <c r="E2443" s="3883"/>
      <c r="F2443" s="3984" t="str">
        <f>$E$1768</f>
        <v>ASHP-SEER17-Replace_CAC_NonElectricHeat_ER1_MF</v>
      </c>
      <c r="G2443" s="3984"/>
      <c r="H2443" s="3984"/>
      <c r="I2443" s="3984"/>
      <c r="J2443" s="3501" t="str">
        <f>$C$1768</f>
        <v>354160_2021_12_</v>
      </c>
      <c r="K2443" s="2042">
        <v>0</v>
      </c>
      <c r="L2443" s="704"/>
      <c r="M2443" s="3020" t="s">
        <v>1509</v>
      </c>
      <c r="N2443" s="106"/>
      <c r="O2443" s="106"/>
      <c r="P2443" s="106"/>
      <c r="Q2443" s="106"/>
      <c r="R2443" s="106"/>
      <c r="S2443" s="106"/>
      <c r="T2443" s="106"/>
      <c r="U2443" s="106"/>
      <c r="V2443" s="3980"/>
      <c r="W2443" s="3421"/>
      <c r="X2443" s="3421"/>
      <c r="Y2443" s="2374"/>
      <c r="Z2443" s="3421"/>
      <c r="AA2443" s="3421"/>
      <c r="AB2443" s="3421"/>
      <c r="AC2443" s="2292">
        <v>0</v>
      </c>
      <c r="AD2443" s="2042">
        <v>0</v>
      </c>
      <c r="AE2443" s="3429"/>
      <c r="AF2443" s="3421"/>
      <c r="AG2443" s="3421"/>
      <c r="AH2443" s="156"/>
      <c r="AI2443" s="156"/>
      <c r="AJ2443" s="156"/>
      <c r="AK2443" s="156"/>
      <c r="AL2443" s="156"/>
      <c r="AM2443" s="156"/>
      <c r="AN2443" s="156"/>
      <c r="AO2443" s="156"/>
      <c r="AP2443" s="156"/>
      <c r="AQ2443" s="156"/>
      <c r="AR2443" s="156"/>
      <c r="AS2443" s="156"/>
      <c r="AT2443" s="156"/>
      <c r="AU2443" s="156"/>
      <c r="AV2443" s="156"/>
      <c r="AW2443" s="156"/>
      <c r="AX2443" s="156"/>
      <c r="AY2443" s="156"/>
      <c r="AZ2443" s="156"/>
      <c r="BA2443" s="156"/>
      <c r="BB2443" s="2828"/>
      <c r="BC2443" s="452"/>
      <c r="BD2443" s="2829"/>
      <c r="BE2443" s="2837"/>
      <c r="BF2443" s="156"/>
    </row>
    <row r="2444" spans="1:58" ht="15" customHeight="1" outlineLevel="1" x14ac:dyDescent="0.35">
      <c r="A2444" s="1071"/>
      <c r="B2444" s="2812"/>
      <c r="C2444" s="3077"/>
      <c r="D2444" s="3980"/>
      <c r="E2444" s="3883"/>
      <c r="F2444" s="3984" t="str">
        <f>$E$1770</f>
        <v>ASHP-SEER17-Replace_CAC_NonElectricHeat_ER2_MF</v>
      </c>
      <c r="G2444" s="3984"/>
      <c r="H2444" s="3984"/>
      <c r="I2444" s="3984"/>
      <c r="J2444" s="3501" t="str">
        <f>$C$1770</f>
        <v>354160_2021_12_</v>
      </c>
      <c r="K2444" s="2042">
        <v>0</v>
      </c>
      <c r="L2444" s="704"/>
      <c r="M2444" s="3020" t="s">
        <v>1509</v>
      </c>
      <c r="N2444" s="106"/>
      <c r="O2444" s="106"/>
      <c r="P2444" s="106"/>
      <c r="Q2444" s="106"/>
      <c r="R2444" s="106"/>
      <c r="S2444" s="106"/>
      <c r="T2444" s="106"/>
      <c r="U2444" s="106"/>
      <c r="V2444" s="3980"/>
      <c r="W2444" s="3421"/>
      <c r="X2444" s="3421"/>
      <c r="Y2444" s="2374"/>
      <c r="Z2444" s="3421"/>
      <c r="AA2444" s="3421"/>
      <c r="AB2444" s="3421"/>
      <c r="AC2444" s="2292">
        <v>0</v>
      </c>
      <c r="AD2444" s="2042">
        <v>0</v>
      </c>
      <c r="AE2444" s="3429"/>
      <c r="AF2444" s="3421"/>
      <c r="AG2444" s="3421"/>
      <c r="AH2444" s="156"/>
      <c r="AI2444" s="156"/>
      <c r="AJ2444" s="156"/>
      <c r="AK2444" s="156"/>
      <c r="AL2444" s="156"/>
      <c r="AM2444" s="156"/>
      <c r="AN2444" s="156"/>
      <c r="AO2444" s="156"/>
      <c r="AP2444" s="156"/>
      <c r="AQ2444" s="156"/>
      <c r="AR2444" s="156"/>
      <c r="AS2444" s="156"/>
      <c r="AT2444" s="156"/>
      <c r="AU2444" s="156"/>
      <c r="AV2444" s="156"/>
      <c r="AW2444" s="156"/>
      <c r="AX2444" s="156"/>
      <c r="AY2444" s="156"/>
      <c r="AZ2444" s="156"/>
      <c r="BA2444" s="156"/>
      <c r="BB2444" s="2828"/>
      <c r="BC2444" s="452"/>
      <c r="BD2444" s="2829"/>
      <c r="BE2444" s="2837"/>
      <c r="BF2444" s="156"/>
    </row>
    <row r="2445" spans="1:58" ht="15" customHeight="1" outlineLevel="1" x14ac:dyDescent="0.35">
      <c r="A2445" s="1071"/>
      <c r="B2445" s="2812"/>
      <c r="C2445" s="3077"/>
      <c r="D2445" s="3980"/>
      <c r="E2445" s="3883"/>
      <c r="F2445" s="3984" t="str">
        <f>$E$1772</f>
        <v>ASHP-SEER17-Replace_CAC_NonElectricHeat_ER1_MF_CompE</v>
      </c>
      <c r="G2445" s="3984"/>
      <c r="H2445" s="3984"/>
      <c r="I2445" s="3984"/>
      <c r="J2445" s="3501" t="str">
        <f>$C$1772</f>
        <v>354161_2021_12_</v>
      </c>
      <c r="K2445" s="2042">
        <v>0</v>
      </c>
      <c r="L2445" s="704"/>
      <c r="M2445" s="3020" t="s">
        <v>1509</v>
      </c>
      <c r="N2445" s="106"/>
      <c r="O2445" s="106"/>
      <c r="P2445" s="106"/>
      <c r="Q2445" s="106"/>
      <c r="R2445" s="106"/>
      <c r="S2445" s="106"/>
      <c r="T2445" s="106"/>
      <c r="U2445" s="106"/>
      <c r="V2445" s="3980"/>
      <c r="W2445" s="3421"/>
      <c r="X2445" s="3421"/>
      <c r="Y2445" s="2374"/>
      <c r="Z2445" s="3421"/>
      <c r="AA2445" s="3421"/>
      <c r="AB2445" s="3421"/>
      <c r="AC2445" s="2292">
        <v>0</v>
      </c>
      <c r="AD2445" s="2042">
        <v>0</v>
      </c>
      <c r="AE2445" s="3429"/>
      <c r="AF2445" s="3421"/>
      <c r="AG2445" s="3421"/>
      <c r="AH2445" s="156"/>
      <c r="AI2445" s="156"/>
      <c r="AJ2445" s="156"/>
      <c r="AK2445" s="156"/>
      <c r="AL2445" s="156"/>
      <c r="AM2445" s="156"/>
      <c r="AN2445" s="156"/>
      <c r="AO2445" s="156"/>
      <c r="AP2445" s="156"/>
      <c r="AQ2445" s="156"/>
      <c r="AR2445" s="156"/>
      <c r="AS2445" s="156"/>
      <c r="AT2445" s="156"/>
      <c r="AU2445" s="156"/>
      <c r="AV2445" s="156"/>
      <c r="AW2445" s="156"/>
      <c r="AX2445" s="156"/>
      <c r="AY2445" s="156"/>
      <c r="AZ2445" s="156"/>
      <c r="BA2445" s="156"/>
      <c r="BB2445" s="2828"/>
      <c r="BC2445" s="452"/>
      <c r="BD2445" s="2829"/>
      <c r="BE2445" s="2837"/>
      <c r="BF2445" s="156"/>
    </row>
    <row r="2446" spans="1:58" ht="15" customHeight="1" outlineLevel="1" x14ac:dyDescent="0.35">
      <c r="A2446" s="1071"/>
      <c r="B2446" s="2812"/>
      <c r="C2446" s="3077"/>
      <c r="D2446" s="3980"/>
      <c r="E2446" s="3883"/>
      <c r="F2446" s="3984" t="str">
        <f>$E$1774</f>
        <v>ASHP-SEER17-Replace_CAC_NonElectricHeat_ER2_MF_CompE</v>
      </c>
      <c r="G2446" s="3984"/>
      <c r="H2446" s="3984"/>
      <c r="I2446" s="3984"/>
      <c r="J2446" s="3501" t="str">
        <f>$C$1774</f>
        <v>354161_2021_12_</v>
      </c>
      <c r="K2446" s="2042">
        <v>0</v>
      </c>
      <c r="L2446" s="704"/>
      <c r="M2446" s="3020" t="s">
        <v>1509</v>
      </c>
      <c r="N2446" s="106"/>
      <c r="O2446" s="106"/>
      <c r="P2446" s="106"/>
      <c r="Q2446" s="106"/>
      <c r="R2446" s="106"/>
      <c r="S2446" s="106"/>
      <c r="T2446" s="106"/>
      <c r="U2446" s="106"/>
      <c r="V2446" s="3980"/>
      <c r="W2446" s="3421"/>
      <c r="X2446" s="3421"/>
      <c r="Y2446" s="2374"/>
      <c r="Z2446" s="3421"/>
      <c r="AA2446" s="3421"/>
      <c r="AB2446" s="3421"/>
      <c r="AC2446" s="2292">
        <v>0</v>
      </c>
      <c r="AD2446" s="2042">
        <v>0</v>
      </c>
      <c r="AE2446" s="3429"/>
      <c r="AF2446" s="3421"/>
      <c r="AG2446" s="3421"/>
      <c r="AH2446" s="156"/>
      <c r="AI2446" s="156"/>
      <c r="AJ2446" s="156"/>
      <c r="AK2446" s="156"/>
      <c r="AL2446" s="156"/>
      <c r="AM2446" s="156"/>
      <c r="AN2446" s="156"/>
      <c r="AO2446" s="156"/>
      <c r="AP2446" s="156"/>
      <c r="AQ2446" s="156"/>
      <c r="AR2446" s="156"/>
      <c r="AS2446" s="156"/>
      <c r="AT2446" s="156"/>
      <c r="AU2446" s="156"/>
      <c r="AV2446" s="156"/>
      <c r="AW2446" s="156"/>
      <c r="AX2446" s="156"/>
      <c r="AY2446" s="156"/>
      <c r="AZ2446" s="156"/>
      <c r="BA2446" s="156"/>
      <c r="BB2446" s="2828"/>
      <c r="BC2446" s="452"/>
      <c r="BD2446" s="2829"/>
      <c r="BE2446" s="2837"/>
      <c r="BF2446" s="156"/>
    </row>
    <row r="2447" spans="1:58" ht="15" customHeight="1" outlineLevel="1" x14ac:dyDescent="0.35">
      <c r="A2447" s="1071"/>
      <c r="B2447" s="2812"/>
      <c r="C2447" s="3077"/>
      <c r="D2447" s="3980"/>
      <c r="E2447" s="3883"/>
      <c r="F2447" s="3984" t="str">
        <f>$E$1776</f>
        <v>ASHP-SEER17_ER1_MF</v>
      </c>
      <c r="G2447" s="3984"/>
      <c r="H2447" s="3984"/>
      <c r="I2447" s="3984"/>
      <c r="J2447" s="3501" t="str">
        <f>$C$1776</f>
        <v>354200_2019_12_</v>
      </c>
      <c r="K2447" s="3421">
        <v>6.58</v>
      </c>
      <c r="L2447" s="704"/>
      <c r="M2447" s="3020" t="s">
        <v>1510</v>
      </c>
      <c r="N2447" s="106"/>
      <c r="O2447" s="106"/>
      <c r="P2447" s="106"/>
      <c r="Q2447" s="106"/>
      <c r="R2447" s="106"/>
      <c r="S2447" s="106"/>
      <c r="T2447" s="106"/>
      <c r="U2447" s="106"/>
      <c r="V2447" s="3980"/>
      <c r="W2447" s="3421">
        <v>5.44</v>
      </c>
      <c r="X2447" s="2374">
        <v>6.58</v>
      </c>
      <c r="Y2447" s="3421">
        <v>6.58</v>
      </c>
      <c r="Z2447" s="3421">
        <v>6.58</v>
      </c>
      <c r="AA2447" s="3421">
        <v>6.58</v>
      </c>
      <c r="AB2447" s="3421">
        <v>6.58</v>
      </c>
      <c r="AC2447" s="3428">
        <v>6.58</v>
      </c>
      <c r="AD2447" s="3421">
        <v>6.58</v>
      </c>
      <c r="AE2447" s="3429"/>
      <c r="AF2447" s="3421"/>
      <c r="AG2447" s="3421"/>
      <c r="AH2447" s="156"/>
      <c r="AI2447" s="156"/>
      <c r="AJ2447" s="156"/>
      <c r="AK2447" s="156"/>
      <c r="AL2447" s="156"/>
      <c r="AM2447" s="156"/>
      <c r="AN2447" s="156"/>
      <c r="AO2447" s="156"/>
      <c r="AP2447" s="156"/>
      <c r="AQ2447" s="156"/>
      <c r="AR2447" s="156"/>
      <c r="AS2447" s="156"/>
      <c r="AT2447" s="156"/>
      <c r="AU2447" s="156"/>
      <c r="AV2447" s="156"/>
      <c r="AW2447" s="156"/>
      <c r="AX2447" s="156"/>
      <c r="AY2447" s="156"/>
      <c r="AZ2447" s="156"/>
      <c r="BA2447" s="156"/>
      <c r="BB2447" s="2828"/>
      <c r="BC2447" s="452"/>
      <c r="BD2447" s="2829"/>
      <c r="BE2447" s="2837"/>
      <c r="BF2447" s="156"/>
    </row>
    <row r="2448" spans="1:58" ht="15" customHeight="1" outlineLevel="1" x14ac:dyDescent="0.35">
      <c r="A2448" s="1071"/>
      <c r="B2448" s="2812"/>
      <c r="C2448" s="3077"/>
      <c r="D2448" s="3980"/>
      <c r="E2448" s="3883"/>
      <c r="F2448" s="3984" t="str">
        <f>$E$1778</f>
        <v>ASHP-SEER17_ER2_MF</v>
      </c>
      <c r="G2448" s="3984"/>
      <c r="H2448" s="3984"/>
      <c r="I2448" s="3984"/>
      <c r="J2448" s="3501" t="str">
        <f>$C$1778</f>
        <v>354200_2019_12_</v>
      </c>
      <c r="K2448" s="3421">
        <v>8.1999999999999993</v>
      </c>
      <c r="L2448" s="704"/>
      <c r="M2448" s="3020" t="s">
        <v>1510</v>
      </c>
      <c r="N2448" s="106"/>
      <c r="O2448" s="106"/>
      <c r="P2448" s="106"/>
      <c r="Q2448" s="106"/>
      <c r="R2448" s="106"/>
      <c r="S2448" s="106"/>
      <c r="T2448" s="106"/>
      <c r="U2448" s="106"/>
      <c r="V2448" s="3980"/>
      <c r="W2448" s="3421">
        <v>8.1999999999999993</v>
      </c>
      <c r="X2448" s="3421">
        <v>8.1999999999999993</v>
      </c>
      <c r="Y2448" s="3421">
        <v>8.1999999999999993</v>
      </c>
      <c r="Z2448" s="3421">
        <v>8.1999999999999993</v>
      </c>
      <c r="AA2448" s="3421">
        <v>8.1999999999999993</v>
      </c>
      <c r="AB2448" s="3421">
        <v>8.1999999999999993</v>
      </c>
      <c r="AC2448" s="3428">
        <v>8.1999999999999993</v>
      </c>
      <c r="AD2448" s="3421">
        <v>8.1999999999999993</v>
      </c>
      <c r="AE2448" s="3429"/>
      <c r="AF2448" s="3421"/>
      <c r="AG2448" s="3421"/>
      <c r="AH2448" s="156"/>
      <c r="AI2448" s="156"/>
      <c r="AJ2448" s="156"/>
      <c r="AK2448" s="156"/>
      <c r="AL2448" s="156"/>
      <c r="AM2448" s="156"/>
      <c r="AN2448" s="156"/>
      <c r="AO2448" s="156"/>
      <c r="AP2448" s="156"/>
      <c r="AQ2448" s="156"/>
      <c r="AR2448" s="156"/>
      <c r="AS2448" s="156"/>
      <c r="AT2448" s="156"/>
      <c r="AU2448" s="156"/>
      <c r="AV2448" s="156"/>
      <c r="AW2448" s="156"/>
      <c r="AX2448" s="156"/>
      <c r="AY2448" s="156"/>
      <c r="AZ2448" s="156"/>
      <c r="BA2448" s="156"/>
      <c r="BB2448" s="2828"/>
      <c r="BC2448" s="452"/>
      <c r="BD2448" s="2829"/>
      <c r="BE2448" s="2837"/>
      <c r="BF2448" s="156"/>
    </row>
    <row r="2449" spans="1:58" ht="15" customHeight="1" outlineLevel="1" x14ac:dyDescent="0.35">
      <c r="A2449" s="1071"/>
      <c r="B2449" s="2812"/>
      <c r="C2449" s="3077"/>
      <c r="D2449" s="3980"/>
      <c r="E2449" s="3883"/>
      <c r="F2449" s="3984" t="str">
        <f>$E$1780</f>
        <v>ASHP-SEER17_ER1_MF_CompE</v>
      </c>
      <c r="G2449" s="3984"/>
      <c r="H2449" s="3984"/>
      <c r="I2449" s="3984"/>
      <c r="J2449" s="3501" t="str">
        <f>$C$1780</f>
        <v>354201_2019_12_</v>
      </c>
      <c r="K2449" s="3421">
        <v>6.58</v>
      </c>
      <c r="L2449" s="704"/>
      <c r="M2449" s="3020" t="s">
        <v>1510</v>
      </c>
      <c r="N2449" s="106"/>
      <c r="O2449" s="106"/>
      <c r="P2449" s="106"/>
      <c r="Q2449" s="106"/>
      <c r="R2449" s="106"/>
      <c r="S2449" s="106"/>
      <c r="T2449" s="106"/>
      <c r="U2449" s="106"/>
      <c r="V2449" s="3980"/>
      <c r="W2449" s="3421"/>
      <c r="X2449" s="3421"/>
      <c r="Y2449" s="2374">
        <v>6.58</v>
      </c>
      <c r="Z2449" s="3421">
        <v>6.58</v>
      </c>
      <c r="AA2449" s="3421">
        <v>6.58</v>
      </c>
      <c r="AB2449" s="3421">
        <v>6.58</v>
      </c>
      <c r="AC2449" s="3428">
        <v>6.58</v>
      </c>
      <c r="AD2449" s="3421">
        <v>6.58</v>
      </c>
      <c r="AE2449" s="3429"/>
      <c r="AF2449" s="3421"/>
      <c r="AG2449" s="3421"/>
      <c r="AH2449" s="156"/>
      <c r="AI2449" s="156"/>
      <c r="AJ2449" s="156"/>
      <c r="AK2449" s="156"/>
      <c r="AL2449" s="156"/>
      <c r="AM2449" s="156"/>
      <c r="AN2449" s="156"/>
      <c r="AO2449" s="156"/>
      <c r="AP2449" s="156"/>
      <c r="AQ2449" s="156"/>
      <c r="AR2449" s="156"/>
      <c r="AS2449" s="156"/>
      <c r="AT2449" s="156"/>
      <c r="AU2449" s="156"/>
      <c r="AV2449" s="156"/>
      <c r="AW2449" s="156"/>
      <c r="AX2449" s="156"/>
      <c r="AY2449" s="156"/>
      <c r="AZ2449" s="156"/>
      <c r="BA2449" s="156"/>
      <c r="BB2449" s="2828"/>
      <c r="BC2449" s="452"/>
      <c r="BD2449" s="2829"/>
      <c r="BE2449" s="2837"/>
      <c r="BF2449" s="156"/>
    </row>
    <row r="2450" spans="1:58" ht="15" customHeight="1" outlineLevel="1" x14ac:dyDescent="0.35">
      <c r="A2450" s="1071"/>
      <c r="B2450" s="2812"/>
      <c r="C2450" s="3077"/>
      <c r="D2450" s="3980"/>
      <c r="E2450" s="3883"/>
      <c r="F2450" s="3984" t="str">
        <f>$E$1782</f>
        <v>ASHP-SEER17_ER2_MF_CompE</v>
      </c>
      <c r="G2450" s="3984"/>
      <c r="H2450" s="3984"/>
      <c r="I2450" s="3984"/>
      <c r="J2450" s="3501" t="str">
        <f>$C$1782</f>
        <v>354201_2019_12_</v>
      </c>
      <c r="K2450" s="3421">
        <v>8.1999999999999993</v>
      </c>
      <c r="L2450" s="704"/>
      <c r="M2450" s="3020" t="s">
        <v>1510</v>
      </c>
      <c r="N2450" s="106"/>
      <c r="O2450" s="106"/>
      <c r="P2450" s="106"/>
      <c r="Q2450" s="106"/>
      <c r="R2450" s="106"/>
      <c r="S2450" s="106"/>
      <c r="T2450" s="106"/>
      <c r="U2450" s="106"/>
      <c r="V2450" s="3980"/>
      <c r="W2450" s="3421"/>
      <c r="X2450" s="3421"/>
      <c r="Y2450" s="2374">
        <v>8.1999999999999993</v>
      </c>
      <c r="Z2450" s="3421">
        <v>8.1999999999999993</v>
      </c>
      <c r="AA2450" s="3421">
        <v>8.1999999999999993</v>
      </c>
      <c r="AB2450" s="3421">
        <v>8.1999999999999993</v>
      </c>
      <c r="AC2450" s="3428">
        <v>8.1999999999999993</v>
      </c>
      <c r="AD2450" s="3421">
        <v>8.1999999999999993</v>
      </c>
      <c r="AE2450" s="3429"/>
      <c r="AF2450" s="3421"/>
      <c r="AG2450" s="3421"/>
      <c r="AH2450" s="156"/>
      <c r="AI2450" s="156"/>
      <c r="AJ2450" s="156"/>
      <c r="AK2450" s="156"/>
      <c r="AL2450" s="156"/>
      <c r="AM2450" s="156"/>
      <c r="AN2450" s="156"/>
      <c r="AO2450" s="156"/>
      <c r="AP2450" s="156"/>
      <c r="AQ2450" s="156"/>
      <c r="AR2450" s="156"/>
      <c r="AS2450" s="156"/>
      <c r="AT2450" s="156"/>
      <c r="AU2450" s="156"/>
      <c r="AV2450" s="156"/>
      <c r="AW2450" s="156"/>
      <c r="AX2450" s="156"/>
      <c r="AY2450" s="156"/>
      <c r="AZ2450" s="156"/>
      <c r="BA2450" s="156"/>
      <c r="BB2450" s="2828"/>
      <c r="BC2450" s="452"/>
      <c r="BD2450" s="2829"/>
      <c r="BE2450" s="2837"/>
      <c r="BF2450" s="156"/>
    </row>
    <row r="2451" spans="1:58" ht="15" customHeight="1" outlineLevel="1" x14ac:dyDescent="0.35">
      <c r="A2451" s="1071"/>
      <c r="B2451" s="2812"/>
      <c r="C2451" s="3077"/>
      <c r="D2451" s="3980"/>
      <c r="E2451" s="3883"/>
      <c r="F2451" s="3984" t="str">
        <f>$E$1784</f>
        <v>ASHP-SEER18-Replace_CAC_ElectricHeat_ER1_SF</v>
      </c>
      <c r="G2451" s="3984"/>
      <c r="H2451" s="3984"/>
      <c r="I2451" s="3984"/>
      <c r="J2451" s="3501" t="str">
        <f>$C$1784</f>
        <v>354250_2021_12_</v>
      </c>
      <c r="K2451" s="3421">
        <v>3.41</v>
      </c>
      <c r="L2451" s="704"/>
      <c r="M2451" s="3020" t="s">
        <v>810</v>
      </c>
      <c r="N2451" s="106"/>
      <c r="O2451" s="106"/>
      <c r="P2451" s="106"/>
      <c r="Q2451" s="106"/>
      <c r="R2451" s="106"/>
      <c r="S2451" s="106"/>
      <c r="T2451" s="106"/>
      <c r="U2451" s="106"/>
      <c r="V2451" s="3980"/>
      <c r="W2451" s="3421">
        <v>3.41</v>
      </c>
      <c r="X2451" s="3421">
        <v>3.41</v>
      </c>
      <c r="Y2451" s="3421">
        <v>3.41</v>
      </c>
      <c r="Z2451" s="3421">
        <v>3.41</v>
      </c>
      <c r="AA2451" s="3421">
        <v>3.41</v>
      </c>
      <c r="AB2451" s="3421">
        <v>3.41</v>
      </c>
      <c r="AC2451" s="3428">
        <v>3.41</v>
      </c>
      <c r="AD2451" s="3421">
        <v>3.41</v>
      </c>
      <c r="AE2451" s="3429"/>
      <c r="AF2451" s="3421"/>
      <c r="AG2451" s="3421"/>
      <c r="AH2451" s="156"/>
      <c r="AI2451" s="156"/>
      <c r="AJ2451" s="156"/>
      <c r="AK2451" s="156"/>
      <c r="AL2451" s="156"/>
      <c r="AM2451" s="156"/>
      <c r="AN2451" s="156"/>
      <c r="AO2451" s="156"/>
      <c r="AP2451" s="156"/>
      <c r="AQ2451" s="156"/>
      <c r="AR2451" s="156"/>
      <c r="AS2451" s="156"/>
      <c r="AT2451" s="156"/>
      <c r="AU2451" s="156"/>
      <c r="AV2451" s="156"/>
      <c r="AW2451" s="156"/>
      <c r="AX2451" s="156"/>
      <c r="AY2451" s="156"/>
      <c r="AZ2451" s="156"/>
      <c r="BA2451" s="156"/>
      <c r="BB2451" s="2828"/>
      <c r="BC2451" s="452"/>
      <c r="BD2451" s="2829"/>
      <c r="BE2451" s="2837"/>
      <c r="BF2451" s="156"/>
    </row>
    <row r="2452" spans="1:58" ht="15" customHeight="1" outlineLevel="1" x14ac:dyDescent="0.35">
      <c r="A2452" s="1071"/>
      <c r="B2452" s="2812"/>
      <c r="C2452" s="3077"/>
      <c r="D2452" s="3980"/>
      <c r="E2452" s="3883"/>
      <c r="F2452" s="3984" t="str">
        <f>$E$1786</f>
        <v>ASHP-SEER18-Replace_CAC_ElectricHeat_ER2_SF</v>
      </c>
      <c r="G2452" s="3984"/>
      <c r="H2452" s="3984"/>
      <c r="I2452" s="3984"/>
      <c r="J2452" s="3501" t="str">
        <f>$C$1786</f>
        <v>354250_2021_12_</v>
      </c>
      <c r="K2452" s="3421">
        <v>3.41</v>
      </c>
      <c r="L2452" s="704"/>
      <c r="M2452" s="3020" t="s">
        <v>810</v>
      </c>
      <c r="N2452" s="106"/>
      <c r="O2452" s="106"/>
      <c r="P2452" s="106"/>
      <c r="Q2452" s="106"/>
      <c r="R2452" s="106"/>
      <c r="S2452" s="106"/>
      <c r="T2452" s="106"/>
      <c r="U2452" s="106"/>
      <c r="V2452" s="3980"/>
      <c r="W2452" s="3421">
        <v>3.41</v>
      </c>
      <c r="X2452" s="3421">
        <v>3.41</v>
      </c>
      <c r="Y2452" s="3421">
        <v>3.41</v>
      </c>
      <c r="Z2452" s="3421">
        <v>3.41</v>
      </c>
      <c r="AA2452" s="3421">
        <v>3.41</v>
      </c>
      <c r="AB2452" s="3421">
        <v>3.41</v>
      </c>
      <c r="AC2452" s="3428">
        <v>3.41</v>
      </c>
      <c r="AD2452" s="3421">
        <v>3.41</v>
      </c>
      <c r="AE2452" s="3429"/>
      <c r="AF2452" s="3421"/>
      <c r="AG2452" s="3421"/>
      <c r="AH2452" s="156"/>
      <c r="AI2452" s="156"/>
      <c r="AJ2452" s="156"/>
      <c r="AK2452" s="156"/>
      <c r="AL2452" s="156"/>
      <c r="AM2452" s="156"/>
      <c r="AN2452" s="156"/>
      <c r="AO2452" s="156"/>
      <c r="AP2452" s="156"/>
      <c r="AQ2452" s="156"/>
      <c r="AR2452" s="156"/>
      <c r="AS2452" s="156"/>
      <c r="AT2452" s="156"/>
      <c r="AU2452" s="156"/>
      <c r="AV2452" s="156"/>
      <c r="AW2452" s="156"/>
      <c r="AX2452" s="156"/>
      <c r="AY2452" s="156"/>
      <c r="AZ2452" s="156"/>
      <c r="BA2452" s="156"/>
      <c r="BB2452" s="2828"/>
      <c r="BC2452" s="452"/>
      <c r="BD2452" s="2829"/>
      <c r="BE2452" s="2837"/>
      <c r="BF2452" s="156"/>
    </row>
    <row r="2453" spans="1:58" ht="15" customHeight="1" outlineLevel="1" x14ac:dyDescent="0.35">
      <c r="A2453" s="1071"/>
      <c r="B2453" s="2812"/>
      <c r="C2453" s="3077"/>
      <c r="D2453" s="3980"/>
      <c r="E2453" s="3883"/>
      <c r="F2453" s="3984" t="str">
        <f>$E$1788</f>
        <v>ASHP-SEER18-Replace_CAC_NonElectricHeat_ER1_SF</v>
      </c>
      <c r="G2453" s="3984"/>
      <c r="H2453" s="3984"/>
      <c r="I2453" s="3984"/>
      <c r="J2453" s="3501" t="str">
        <f>$C$1788</f>
        <v>354260_2021_12_</v>
      </c>
      <c r="K2453" s="2042">
        <v>0</v>
      </c>
      <c r="L2453" s="704"/>
      <c r="M2453" s="3020" t="s">
        <v>1509</v>
      </c>
      <c r="N2453" s="106"/>
      <c r="O2453" s="106"/>
      <c r="P2453" s="106"/>
      <c r="Q2453" s="106"/>
      <c r="R2453" s="106"/>
      <c r="S2453" s="106"/>
      <c r="T2453" s="106"/>
      <c r="U2453" s="106"/>
      <c r="V2453" s="3980"/>
      <c r="W2453" s="3421"/>
      <c r="X2453" s="3421"/>
      <c r="Y2453" s="3421"/>
      <c r="Z2453" s="3421"/>
      <c r="AA2453" s="3421"/>
      <c r="AB2453" s="3421"/>
      <c r="AC2453" s="2292">
        <v>0</v>
      </c>
      <c r="AD2453" s="2042">
        <v>0</v>
      </c>
      <c r="AE2453" s="3429"/>
      <c r="AF2453" s="3421"/>
      <c r="AG2453" s="3421"/>
      <c r="AH2453" s="156"/>
      <c r="AI2453" s="156"/>
      <c r="AJ2453" s="156"/>
      <c r="AK2453" s="156"/>
      <c r="AL2453" s="156"/>
      <c r="AM2453" s="156"/>
      <c r="AN2453" s="156"/>
      <c r="AO2453" s="156"/>
      <c r="AP2453" s="156"/>
      <c r="AQ2453" s="156"/>
      <c r="AR2453" s="156"/>
      <c r="AS2453" s="156"/>
      <c r="AT2453" s="156"/>
      <c r="AU2453" s="156"/>
      <c r="AV2453" s="156"/>
      <c r="AW2453" s="156"/>
      <c r="AX2453" s="156"/>
      <c r="AY2453" s="156"/>
      <c r="AZ2453" s="156"/>
      <c r="BA2453" s="156"/>
      <c r="BB2453" s="2828"/>
      <c r="BC2453" s="452"/>
      <c r="BD2453" s="2829"/>
      <c r="BE2453" s="2837"/>
      <c r="BF2453" s="156"/>
    </row>
    <row r="2454" spans="1:58" ht="15" customHeight="1" outlineLevel="1" x14ac:dyDescent="0.35">
      <c r="A2454" s="1071"/>
      <c r="B2454" s="2812"/>
      <c r="C2454" s="3077"/>
      <c r="D2454" s="3980"/>
      <c r="E2454" s="3883"/>
      <c r="F2454" s="3984" t="str">
        <f>$E$1790</f>
        <v>ASHP-SEER18-Replace_CAC_NonElectricHeat_ER2_SF</v>
      </c>
      <c r="G2454" s="3984"/>
      <c r="H2454" s="3984"/>
      <c r="I2454" s="3984"/>
      <c r="J2454" s="3501" t="str">
        <f>$C$1790</f>
        <v>354260_2021_12_</v>
      </c>
      <c r="K2454" s="2042">
        <v>0</v>
      </c>
      <c r="L2454" s="704"/>
      <c r="M2454" s="3020" t="s">
        <v>1509</v>
      </c>
      <c r="N2454" s="106"/>
      <c r="O2454" s="106"/>
      <c r="P2454" s="106"/>
      <c r="Q2454" s="106"/>
      <c r="R2454" s="106"/>
      <c r="S2454" s="106"/>
      <c r="T2454" s="106"/>
      <c r="U2454" s="106"/>
      <c r="V2454" s="3980"/>
      <c r="W2454" s="3421"/>
      <c r="X2454" s="3421"/>
      <c r="Y2454" s="3421"/>
      <c r="Z2454" s="3421"/>
      <c r="AA2454" s="3421"/>
      <c r="AB2454" s="3421"/>
      <c r="AC2454" s="2292">
        <v>0</v>
      </c>
      <c r="AD2454" s="2042">
        <v>0</v>
      </c>
      <c r="AE2454" s="3429"/>
      <c r="AF2454" s="3421"/>
      <c r="AG2454" s="3421"/>
      <c r="AH2454" s="156"/>
      <c r="AI2454" s="156"/>
      <c r="AJ2454" s="156"/>
      <c r="AK2454" s="156"/>
      <c r="AL2454" s="156"/>
      <c r="AM2454" s="156"/>
      <c r="AN2454" s="156"/>
      <c r="AO2454" s="156"/>
      <c r="AP2454" s="156"/>
      <c r="AQ2454" s="156"/>
      <c r="AR2454" s="156"/>
      <c r="AS2454" s="156"/>
      <c r="AT2454" s="156"/>
      <c r="AU2454" s="156"/>
      <c r="AV2454" s="156"/>
      <c r="AW2454" s="156"/>
      <c r="AX2454" s="156"/>
      <c r="AY2454" s="156"/>
      <c r="AZ2454" s="156"/>
      <c r="BA2454" s="156"/>
      <c r="BB2454" s="2828"/>
      <c r="BC2454" s="452"/>
      <c r="BD2454" s="2829"/>
      <c r="BE2454" s="2837"/>
      <c r="BF2454" s="156"/>
    </row>
    <row r="2455" spans="1:58" ht="15" customHeight="1" outlineLevel="1" x14ac:dyDescent="0.35">
      <c r="A2455" s="1071"/>
      <c r="B2455" s="2812"/>
      <c r="C2455" s="3077"/>
      <c r="D2455" s="3980"/>
      <c r="E2455" s="3883"/>
      <c r="F2455" s="3984" t="str">
        <f>$E$1792</f>
        <v>ASHP-SEER18-Replace_CAC_ElectricHeat_ER1_MF</v>
      </c>
      <c r="G2455" s="3984"/>
      <c r="H2455" s="3984"/>
      <c r="I2455" s="3984"/>
      <c r="J2455" s="3501" t="str">
        <f>$C$1792</f>
        <v>354300_2021_12_</v>
      </c>
      <c r="K2455" s="3421">
        <v>3.41</v>
      </c>
      <c r="L2455" s="704"/>
      <c r="M2455" s="3020" t="s">
        <v>1510</v>
      </c>
      <c r="N2455" s="106"/>
      <c r="O2455" s="106"/>
      <c r="P2455" s="106"/>
      <c r="Q2455" s="106"/>
      <c r="R2455" s="106"/>
      <c r="S2455" s="106"/>
      <c r="T2455" s="106"/>
      <c r="U2455" s="106"/>
      <c r="V2455" s="3980"/>
      <c r="W2455" s="3421">
        <v>3.41</v>
      </c>
      <c r="X2455" s="3421">
        <v>3.41</v>
      </c>
      <c r="Y2455" s="3421">
        <v>3.41</v>
      </c>
      <c r="Z2455" s="3421">
        <v>3.41</v>
      </c>
      <c r="AA2455" s="3421">
        <v>3.41</v>
      </c>
      <c r="AB2455" s="3421">
        <v>3.41</v>
      </c>
      <c r="AC2455" s="3428">
        <v>3.41</v>
      </c>
      <c r="AD2455" s="3421">
        <v>3.41</v>
      </c>
      <c r="AE2455" s="3429"/>
      <c r="AF2455" s="3421"/>
      <c r="AG2455" s="3421"/>
      <c r="AH2455" s="156"/>
      <c r="AI2455" s="156"/>
      <c r="AJ2455" s="156"/>
      <c r="AK2455" s="156"/>
      <c r="AL2455" s="156"/>
      <c r="AM2455" s="156"/>
      <c r="AN2455" s="156"/>
      <c r="AO2455" s="156"/>
      <c r="AP2455" s="156"/>
      <c r="AQ2455" s="156"/>
      <c r="AR2455" s="156"/>
      <c r="AS2455" s="156"/>
      <c r="AT2455" s="156"/>
      <c r="AU2455" s="156"/>
      <c r="AV2455" s="156"/>
      <c r="AW2455" s="156"/>
      <c r="AX2455" s="156"/>
      <c r="AY2455" s="156"/>
      <c r="AZ2455" s="156"/>
      <c r="BA2455" s="156"/>
      <c r="BB2455" s="2828"/>
      <c r="BC2455" s="452"/>
      <c r="BD2455" s="2829"/>
      <c r="BE2455" s="2837"/>
      <c r="BF2455" s="156"/>
    </row>
    <row r="2456" spans="1:58" ht="15" customHeight="1" outlineLevel="1" x14ac:dyDescent="0.35">
      <c r="A2456" s="1071"/>
      <c r="B2456" s="2812"/>
      <c r="C2456" s="3077"/>
      <c r="D2456" s="3980"/>
      <c r="E2456" s="3883"/>
      <c r="F2456" s="3984" t="str">
        <f>$E$1794</f>
        <v>ASHP-SEER18-Replace_CAC_ElectricHeat_ER2_MF</v>
      </c>
      <c r="G2456" s="3984"/>
      <c r="H2456" s="3984"/>
      <c r="I2456" s="3984"/>
      <c r="J2456" s="3501" t="str">
        <f>$C$1794</f>
        <v>354300_2021_12_</v>
      </c>
      <c r="K2456" s="3421">
        <v>3.41</v>
      </c>
      <c r="L2456" s="704"/>
      <c r="M2456" s="3020" t="s">
        <v>1510</v>
      </c>
      <c r="N2456" s="106"/>
      <c r="O2456" s="106"/>
      <c r="P2456" s="106"/>
      <c r="Q2456" s="106"/>
      <c r="R2456" s="106"/>
      <c r="S2456" s="106"/>
      <c r="T2456" s="106"/>
      <c r="U2456" s="106"/>
      <c r="V2456" s="3980"/>
      <c r="W2456" s="3421">
        <v>3.41</v>
      </c>
      <c r="X2456" s="3421">
        <v>3.41</v>
      </c>
      <c r="Y2456" s="3421">
        <v>3.41</v>
      </c>
      <c r="Z2456" s="3421">
        <v>3.41</v>
      </c>
      <c r="AA2456" s="3421">
        <v>3.41</v>
      </c>
      <c r="AB2456" s="3421">
        <v>3.41</v>
      </c>
      <c r="AC2456" s="3428">
        <v>3.41</v>
      </c>
      <c r="AD2456" s="3421">
        <v>3.41</v>
      </c>
      <c r="AE2456" s="3429"/>
      <c r="AF2456" s="3421"/>
      <c r="AG2456" s="3421"/>
      <c r="AH2456" s="156"/>
      <c r="AI2456" s="156"/>
      <c r="AJ2456" s="156"/>
      <c r="AK2456" s="156"/>
      <c r="AL2456" s="156"/>
      <c r="AM2456" s="156"/>
      <c r="AN2456" s="156"/>
      <c r="AO2456" s="156"/>
      <c r="AP2456" s="156"/>
      <c r="AQ2456" s="156"/>
      <c r="AR2456" s="156"/>
      <c r="AS2456" s="156"/>
      <c r="AT2456" s="156"/>
      <c r="AU2456" s="156"/>
      <c r="AV2456" s="156"/>
      <c r="AW2456" s="156"/>
      <c r="AX2456" s="156"/>
      <c r="AY2456" s="156"/>
      <c r="AZ2456" s="156"/>
      <c r="BA2456" s="156"/>
      <c r="BB2456" s="2828"/>
      <c r="BC2456" s="452"/>
      <c r="BD2456" s="2829"/>
      <c r="BE2456" s="2837"/>
      <c r="BF2456" s="156"/>
    </row>
    <row r="2457" spans="1:58" ht="15" customHeight="1" outlineLevel="1" x14ac:dyDescent="0.35">
      <c r="A2457" s="1071"/>
      <c r="B2457" s="2812"/>
      <c r="C2457" s="3077"/>
      <c r="D2457" s="3980"/>
      <c r="E2457" s="3883"/>
      <c r="F2457" s="3984" t="str">
        <f>$E$1796</f>
        <v>ASHP-SEER18-Replace_CAC_ElectricHeat_ER1_MF_CompE</v>
      </c>
      <c r="G2457" s="3984"/>
      <c r="H2457" s="3984"/>
      <c r="I2457" s="3984"/>
      <c r="J2457" s="3501" t="str">
        <f>$C$1796</f>
        <v>354301_2021_12_</v>
      </c>
      <c r="K2457" s="3421">
        <v>3.41</v>
      </c>
      <c r="L2457" s="704"/>
      <c r="M2457" s="3020" t="s">
        <v>1510</v>
      </c>
      <c r="N2457" s="106"/>
      <c r="O2457" s="106"/>
      <c r="P2457" s="106"/>
      <c r="Q2457" s="106"/>
      <c r="R2457" s="106"/>
      <c r="S2457" s="106"/>
      <c r="T2457" s="106"/>
      <c r="U2457" s="106"/>
      <c r="V2457" s="3980"/>
      <c r="W2457" s="3421"/>
      <c r="X2457" s="3421"/>
      <c r="Y2457" s="2374">
        <v>3.41</v>
      </c>
      <c r="Z2457" s="3421">
        <v>3.41</v>
      </c>
      <c r="AA2457" s="3421">
        <v>3.41</v>
      </c>
      <c r="AB2457" s="3421">
        <v>3.41</v>
      </c>
      <c r="AC2457" s="3428">
        <v>3.41</v>
      </c>
      <c r="AD2457" s="3421">
        <v>3.41</v>
      </c>
      <c r="AE2457" s="3429"/>
      <c r="AF2457" s="3421"/>
      <c r="AG2457" s="3421"/>
      <c r="AH2457" s="156"/>
      <c r="AI2457" s="156"/>
      <c r="AJ2457" s="156"/>
      <c r="AK2457" s="156"/>
      <c r="AL2457" s="156"/>
      <c r="AM2457" s="156"/>
      <c r="AN2457" s="156"/>
      <c r="AO2457" s="156"/>
      <c r="AP2457" s="156"/>
      <c r="AQ2457" s="156"/>
      <c r="AR2457" s="156"/>
      <c r="AS2457" s="156"/>
      <c r="AT2457" s="156"/>
      <c r="AU2457" s="156"/>
      <c r="AV2457" s="156"/>
      <c r="AW2457" s="156"/>
      <c r="AX2457" s="156"/>
      <c r="AY2457" s="156"/>
      <c r="AZ2457" s="156"/>
      <c r="BA2457" s="156"/>
      <c r="BB2457" s="2828"/>
      <c r="BC2457" s="452"/>
      <c r="BD2457" s="2829"/>
      <c r="BE2457" s="2837"/>
      <c r="BF2457" s="156"/>
    </row>
    <row r="2458" spans="1:58" ht="15" customHeight="1" outlineLevel="1" x14ac:dyDescent="0.35">
      <c r="A2458" s="1071"/>
      <c r="B2458" s="2812"/>
      <c r="C2458" s="3077"/>
      <c r="D2458" s="3980"/>
      <c r="E2458" s="3883"/>
      <c r="F2458" s="3984" t="str">
        <f>$E$1798</f>
        <v>ASHP-SEER18-Replace_CAC_ElectricHeat_ER2_MF_CompE</v>
      </c>
      <c r="G2458" s="3984"/>
      <c r="H2458" s="3984"/>
      <c r="I2458" s="3984"/>
      <c r="J2458" s="3501" t="str">
        <f>$C$1798</f>
        <v>354301_2021_12_</v>
      </c>
      <c r="K2458" s="3421">
        <v>3.41</v>
      </c>
      <c r="L2458" s="704"/>
      <c r="M2458" s="3020" t="s">
        <v>1510</v>
      </c>
      <c r="N2458" s="106"/>
      <c r="O2458" s="106"/>
      <c r="P2458" s="106"/>
      <c r="Q2458" s="106"/>
      <c r="R2458" s="106"/>
      <c r="S2458" s="106"/>
      <c r="T2458" s="106"/>
      <c r="U2458" s="106"/>
      <c r="V2458" s="3980"/>
      <c r="W2458" s="3421"/>
      <c r="X2458" s="3421"/>
      <c r="Y2458" s="2374">
        <v>3.41</v>
      </c>
      <c r="Z2458" s="3421">
        <v>3.41</v>
      </c>
      <c r="AA2458" s="3421">
        <v>3.41</v>
      </c>
      <c r="AB2458" s="3421">
        <v>3.41</v>
      </c>
      <c r="AC2458" s="3428">
        <v>3.41</v>
      </c>
      <c r="AD2458" s="3421">
        <v>3.41</v>
      </c>
      <c r="AE2458" s="3429"/>
      <c r="AF2458" s="3421"/>
      <c r="AG2458" s="3421"/>
      <c r="AH2458" s="156"/>
      <c r="AI2458" s="156"/>
      <c r="AJ2458" s="156"/>
      <c r="AK2458" s="156"/>
      <c r="AL2458" s="156"/>
      <c r="AM2458" s="156"/>
      <c r="AN2458" s="156"/>
      <c r="AO2458" s="156"/>
      <c r="AP2458" s="156"/>
      <c r="AQ2458" s="156"/>
      <c r="AR2458" s="156"/>
      <c r="AS2458" s="156"/>
      <c r="AT2458" s="156"/>
      <c r="AU2458" s="156"/>
      <c r="AV2458" s="156"/>
      <c r="AW2458" s="156"/>
      <c r="AX2458" s="156"/>
      <c r="AY2458" s="156"/>
      <c r="AZ2458" s="156"/>
      <c r="BA2458" s="156"/>
      <c r="BB2458" s="2828"/>
      <c r="BC2458" s="452"/>
      <c r="BD2458" s="2829"/>
      <c r="BE2458" s="2837"/>
      <c r="BF2458" s="156"/>
    </row>
    <row r="2459" spans="1:58" ht="15" customHeight="1" outlineLevel="1" x14ac:dyDescent="0.35">
      <c r="A2459" s="1071"/>
      <c r="B2459" s="2812"/>
      <c r="C2459" s="3077"/>
      <c r="D2459" s="3980"/>
      <c r="E2459" s="3883"/>
      <c r="F2459" s="3984" t="str">
        <f>$E$1800</f>
        <v>ASHP-SEER18-Replace_CAC_NonElectricHeat_ER1_MF</v>
      </c>
      <c r="G2459" s="3984"/>
      <c r="H2459" s="3984"/>
      <c r="I2459" s="3984"/>
      <c r="J2459" s="3501" t="str">
        <f>$C$1800</f>
        <v>354310_2021_12_</v>
      </c>
      <c r="K2459" s="2042">
        <v>0</v>
      </c>
      <c r="L2459" s="704"/>
      <c r="M2459" s="3020" t="s">
        <v>1509</v>
      </c>
      <c r="N2459" s="106"/>
      <c r="O2459" s="106"/>
      <c r="P2459" s="106"/>
      <c r="Q2459" s="106"/>
      <c r="R2459" s="106"/>
      <c r="S2459" s="106"/>
      <c r="T2459" s="106"/>
      <c r="U2459" s="106"/>
      <c r="V2459" s="3980"/>
      <c r="W2459" s="3421"/>
      <c r="X2459" s="3421"/>
      <c r="Y2459" s="2374"/>
      <c r="Z2459" s="3421"/>
      <c r="AA2459" s="3421"/>
      <c r="AB2459" s="3421"/>
      <c r="AC2459" s="2292">
        <v>0</v>
      </c>
      <c r="AD2459" s="2042">
        <v>0</v>
      </c>
      <c r="AE2459" s="3429"/>
      <c r="AF2459" s="3421"/>
      <c r="AG2459" s="3421"/>
      <c r="AH2459" s="156"/>
      <c r="AI2459" s="156"/>
      <c r="AJ2459" s="156"/>
      <c r="AK2459" s="156"/>
      <c r="AL2459" s="156"/>
      <c r="AM2459" s="156"/>
      <c r="AN2459" s="156"/>
      <c r="AO2459" s="156"/>
      <c r="AP2459" s="156"/>
      <c r="AQ2459" s="156"/>
      <c r="AR2459" s="156"/>
      <c r="AS2459" s="156"/>
      <c r="AT2459" s="156"/>
      <c r="AU2459" s="156"/>
      <c r="AV2459" s="156"/>
      <c r="AW2459" s="156"/>
      <c r="AX2459" s="156"/>
      <c r="AY2459" s="156"/>
      <c r="AZ2459" s="156"/>
      <c r="BA2459" s="156"/>
      <c r="BB2459" s="2828"/>
      <c r="BC2459" s="452"/>
      <c r="BD2459" s="2829"/>
      <c r="BE2459" s="2837"/>
      <c r="BF2459" s="156"/>
    </row>
    <row r="2460" spans="1:58" ht="15" customHeight="1" outlineLevel="1" x14ac:dyDescent="0.35">
      <c r="A2460" s="1071"/>
      <c r="B2460" s="2812"/>
      <c r="C2460" s="3077"/>
      <c r="D2460" s="3980"/>
      <c r="E2460" s="3883"/>
      <c r="F2460" s="3984" t="str">
        <f>$E$1802</f>
        <v>ASHP-SEER18-Replace_CAC_NonElectricHeat_ER2_MF</v>
      </c>
      <c r="G2460" s="3984"/>
      <c r="H2460" s="3984"/>
      <c r="I2460" s="3984"/>
      <c r="J2460" s="3501" t="str">
        <f>$C$1802</f>
        <v>354310_2021_12_</v>
      </c>
      <c r="K2460" s="2042">
        <v>0</v>
      </c>
      <c r="L2460" s="704"/>
      <c r="M2460" s="3020" t="s">
        <v>1509</v>
      </c>
      <c r="N2460" s="106"/>
      <c r="O2460" s="106"/>
      <c r="P2460" s="106"/>
      <c r="Q2460" s="106"/>
      <c r="R2460" s="106"/>
      <c r="S2460" s="106"/>
      <c r="T2460" s="106"/>
      <c r="U2460" s="106"/>
      <c r="V2460" s="3980"/>
      <c r="W2460" s="3421"/>
      <c r="X2460" s="3421"/>
      <c r="Y2460" s="2374"/>
      <c r="Z2460" s="3421"/>
      <c r="AA2460" s="3421"/>
      <c r="AB2460" s="3421"/>
      <c r="AC2460" s="2292">
        <v>0</v>
      </c>
      <c r="AD2460" s="2042">
        <v>0</v>
      </c>
      <c r="AE2460" s="3429"/>
      <c r="AF2460" s="3421"/>
      <c r="AG2460" s="3421"/>
      <c r="AH2460" s="156"/>
      <c r="AI2460" s="156"/>
      <c r="AJ2460" s="156"/>
      <c r="AK2460" s="156"/>
      <c r="AL2460" s="156"/>
      <c r="AM2460" s="156"/>
      <c r="AN2460" s="156"/>
      <c r="AO2460" s="156"/>
      <c r="AP2460" s="156"/>
      <c r="AQ2460" s="156"/>
      <c r="AR2460" s="156"/>
      <c r="AS2460" s="156"/>
      <c r="AT2460" s="156"/>
      <c r="AU2460" s="156"/>
      <c r="AV2460" s="156"/>
      <c r="AW2460" s="156"/>
      <c r="AX2460" s="156"/>
      <c r="AY2460" s="156"/>
      <c r="AZ2460" s="156"/>
      <c r="BA2460" s="156"/>
      <c r="BB2460" s="2828"/>
      <c r="BC2460" s="452"/>
      <c r="BD2460" s="2829"/>
      <c r="BE2460" s="2837"/>
      <c r="BF2460" s="156"/>
    </row>
    <row r="2461" spans="1:58" ht="15" customHeight="1" outlineLevel="1" x14ac:dyDescent="0.35">
      <c r="A2461" s="1071"/>
      <c r="B2461" s="2812"/>
      <c r="C2461" s="3077"/>
      <c r="D2461" s="3980"/>
      <c r="E2461" s="3883"/>
      <c r="F2461" s="3984" t="str">
        <f>$E$1804</f>
        <v>ASHP-SEER18-Replace_CAC_NonElectricHeat_ER1_MF_CompE</v>
      </c>
      <c r="G2461" s="3984"/>
      <c r="H2461" s="3984"/>
      <c r="I2461" s="3984"/>
      <c r="J2461" s="3501" t="str">
        <f>$C$1804</f>
        <v>354311_2021_12_</v>
      </c>
      <c r="K2461" s="2042">
        <v>0</v>
      </c>
      <c r="L2461" s="704"/>
      <c r="M2461" s="3020" t="s">
        <v>1509</v>
      </c>
      <c r="N2461" s="106"/>
      <c r="O2461" s="106"/>
      <c r="P2461" s="106"/>
      <c r="Q2461" s="106"/>
      <c r="R2461" s="106"/>
      <c r="S2461" s="106"/>
      <c r="T2461" s="106"/>
      <c r="U2461" s="106"/>
      <c r="V2461" s="3980"/>
      <c r="W2461" s="3421"/>
      <c r="X2461" s="3421"/>
      <c r="Y2461" s="2374"/>
      <c r="Z2461" s="3421"/>
      <c r="AA2461" s="3421"/>
      <c r="AB2461" s="3421"/>
      <c r="AC2461" s="2292">
        <v>0</v>
      </c>
      <c r="AD2461" s="2042">
        <v>0</v>
      </c>
      <c r="AE2461" s="3429"/>
      <c r="AF2461" s="3421"/>
      <c r="AG2461" s="3421"/>
      <c r="AH2461" s="156"/>
      <c r="AI2461" s="156"/>
      <c r="AJ2461" s="156"/>
      <c r="AK2461" s="156"/>
      <c r="AL2461" s="156"/>
      <c r="AM2461" s="156"/>
      <c r="AN2461" s="156"/>
      <c r="AO2461" s="156"/>
      <c r="AP2461" s="156"/>
      <c r="AQ2461" s="156"/>
      <c r="AR2461" s="156"/>
      <c r="AS2461" s="156"/>
      <c r="AT2461" s="156"/>
      <c r="AU2461" s="156"/>
      <c r="AV2461" s="156"/>
      <c r="AW2461" s="156"/>
      <c r="AX2461" s="156"/>
      <c r="AY2461" s="156"/>
      <c r="AZ2461" s="156"/>
      <c r="BA2461" s="156"/>
      <c r="BB2461" s="2828"/>
      <c r="BC2461" s="452"/>
      <c r="BD2461" s="2829"/>
      <c r="BE2461" s="2837"/>
      <c r="BF2461" s="156"/>
    </row>
    <row r="2462" spans="1:58" ht="15" customHeight="1" outlineLevel="1" x14ac:dyDescent="0.35">
      <c r="A2462" s="1071"/>
      <c r="B2462" s="2812"/>
      <c r="C2462" s="3077"/>
      <c r="D2462" s="3980"/>
      <c r="E2462" s="3883"/>
      <c r="F2462" s="3984" t="str">
        <f>$E$1806</f>
        <v>ASHP-SEER18-Replace_CAC_NonElectricHeat_ER2_MF_CompE</v>
      </c>
      <c r="G2462" s="3984"/>
      <c r="H2462" s="3984"/>
      <c r="I2462" s="3984"/>
      <c r="J2462" s="3501" t="str">
        <f>$C$1806</f>
        <v>354311_2021_12_</v>
      </c>
      <c r="K2462" s="2042">
        <v>0</v>
      </c>
      <c r="L2462" s="704"/>
      <c r="M2462" s="3020" t="s">
        <v>1509</v>
      </c>
      <c r="N2462" s="106"/>
      <c r="O2462" s="106"/>
      <c r="P2462" s="106"/>
      <c r="Q2462" s="106"/>
      <c r="R2462" s="106"/>
      <c r="S2462" s="106"/>
      <c r="T2462" s="106"/>
      <c r="U2462" s="106"/>
      <c r="V2462" s="3980"/>
      <c r="W2462" s="3421"/>
      <c r="X2462" s="3421"/>
      <c r="Y2462" s="2374"/>
      <c r="Z2462" s="3421"/>
      <c r="AA2462" s="3421"/>
      <c r="AB2462" s="3421"/>
      <c r="AC2462" s="2292">
        <v>0</v>
      </c>
      <c r="AD2462" s="2042">
        <v>0</v>
      </c>
      <c r="AE2462" s="3429"/>
      <c r="AF2462" s="3421"/>
      <c r="AG2462" s="3421"/>
      <c r="AH2462" s="156"/>
      <c r="AI2462" s="156"/>
      <c r="AJ2462" s="156"/>
      <c r="AK2462" s="156"/>
      <c r="AL2462" s="156"/>
      <c r="AM2462" s="156"/>
      <c r="AN2462" s="156"/>
      <c r="AO2462" s="156"/>
      <c r="AP2462" s="156"/>
      <c r="AQ2462" s="156"/>
      <c r="AR2462" s="156"/>
      <c r="AS2462" s="156"/>
      <c r="AT2462" s="156"/>
      <c r="AU2462" s="156"/>
      <c r="AV2462" s="156"/>
      <c r="AW2462" s="156"/>
      <c r="AX2462" s="156"/>
      <c r="AY2462" s="156"/>
      <c r="AZ2462" s="156"/>
      <c r="BA2462" s="156"/>
      <c r="BB2462" s="2828"/>
      <c r="BC2462" s="452"/>
      <c r="BD2462" s="2829"/>
      <c r="BE2462" s="2837"/>
      <c r="BF2462" s="156"/>
    </row>
    <row r="2463" spans="1:58" ht="15" customHeight="1" outlineLevel="1" x14ac:dyDescent="0.35">
      <c r="A2463" s="1071"/>
      <c r="B2463" s="2812"/>
      <c r="C2463" s="3077"/>
      <c r="D2463" s="3980"/>
      <c r="E2463" s="3883"/>
      <c r="F2463" s="3984" t="str">
        <f>$E$1808</f>
        <v>ASHP-SEER18_ER1_MF</v>
      </c>
      <c r="G2463" s="3984"/>
      <c r="H2463" s="3984"/>
      <c r="I2463" s="3984"/>
      <c r="J2463" s="3501" t="str">
        <f>$C$1808</f>
        <v>354350_2021_12_</v>
      </c>
      <c r="K2463" s="3421">
        <v>6.58</v>
      </c>
      <c r="L2463" s="704"/>
      <c r="M2463" s="3020" t="s">
        <v>1510</v>
      </c>
      <c r="N2463" s="106"/>
      <c r="O2463" s="106"/>
      <c r="P2463" s="106"/>
      <c r="Q2463" s="106"/>
      <c r="R2463" s="106"/>
      <c r="S2463" s="106"/>
      <c r="T2463" s="106"/>
      <c r="U2463" s="106"/>
      <c r="V2463" s="3980"/>
      <c r="W2463" s="3421">
        <v>5.44</v>
      </c>
      <c r="X2463" s="2374">
        <v>6.58</v>
      </c>
      <c r="Y2463" s="3421">
        <v>6.58</v>
      </c>
      <c r="Z2463" s="3421">
        <v>6.58</v>
      </c>
      <c r="AA2463" s="3421">
        <v>6.58</v>
      </c>
      <c r="AB2463" s="3421">
        <v>6.58</v>
      </c>
      <c r="AC2463" s="3428">
        <v>6.58</v>
      </c>
      <c r="AD2463" s="3421">
        <v>6.58</v>
      </c>
      <c r="AE2463" s="3429"/>
      <c r="AF2463" s="3421"/>
      <c r="AG2463" s="3421"/>
      <c r="AH2463" s="156"/>
      <c r="AI2463" s="156"/>
      <c r="AJ2463" s="156"/>
      <c r="AK2463" s="156"/>
      <c r="AL2463" s="156"/>
      <c r="AM2463" s="156"/>
      <c r="AN2463" s="156"/>
      <c r="AO2463" s="156"/>
      <c r="AP2463" s="156"/>
      <c r="AQ2463" s="156"/>
      <c r="AR2463" s="156"/>
      <c r="AS2463" s="156"/>
      <c r="AT2463" s="156"/>
      <c r="AU2463" s="156"/>
      <c r="AV2463" s="156"/>
      <c r="AW2463" s="156"/>
      <c r="AX2463" s="156"/>
      <c r="AY2463" s="156"/>
      <c r="AZ2463" s="156"/>
      <c r="BA2463" s="156"/>
      <c r="BB2463" s="2828"/>
      <c r="BC2463" s="452"/>
      <c r="BD2463" s="2829"/>
      <c r="BE2463" s="2837"/>
      <c r="BF2463" s="156"/>
    </row>
    <row r="2464" spans="1:58" ht="15" customHeight="1" outlineLevel="1" x14ac:dyDescent="0.35">
      <c r="A2464" s="1071"/>
      <c r="B2464" s="2812"/>
      <c r="C2464" s="3077"/>
      <c r="D2464" s="3980"/>
      <c r="E2464" s="3883"/>
      <c r="F2464" s="3984" t="str">
        <f>$E$1810</f>
        <v>ASHP-SEER18_ER2_MF</v>
      </c>
      <c r="G2464" s="3984"/>
      <c r="H2464" s="3984"/>
      <c r="I2464" s="3984"/>
      <c r="J2464" s="3501" t="str">
        <f>$C$1810</f>
        <v>354350_2021_12_</v>
      </c>
      <c r="K2464" s="3421">
        <v>8.1999999999999993</v>
      </c>
      <c r="L2464" s="704"/>
      <c r="M2464" s="3020" t="s">
        <v>1510</v>
      </c>
      <c r="N2464" s="106"/>
      <c r="O2464" s="106"/>
      <c r="P2464" s="106"/>
      <c r="Q2464" s="106"/>
      <c r="R2464" s="106"/>
      <c r="S2464" s="106"/>
      <c r="T2464" s="106"/>
      <c r="U2464" s="106"/>
      <c r="V2464" s="3980"/>
      <c r="W2464" s="3421">
        <v>8.1999999999999993</v>
      </c>
      <c r="X2464" s="3421">
        <v>8.1999999999999993</v>
      </c>
      <c r="Y2464" s="3421">
        <v>8.1999999999999993</v>
      </c>
      <c r="Z2464" s="3421">
        <v>8.1999999999999993</v>
      </c>
      <c r="AA2464" s="3421">
        <v>8.1999999999999993</v>
      </c>
      <c r="AB2464" s="3421">
        <v>8.1999999999999993</v>
      </c>
      <c r="AC2464" s="3428">
        <v>8.1999999999999993</v>
      </c>
      <c r="AD2464" s="3421">
        <v>8.1999999999999993</v>
      </c>
      <c r="AE2464" s="3429"/>
      <c r="AF2464" s="3421"/>
      <c r="AG2464" s="3421"/>
      <c r="AH2464" s="156"/>
      <c r="AI2464" s="156"/>
      <c r="AJ2464" s="156"/>
      <c r="AK2464" s="156"/>
      <c r="AL2464" s="156"/>
      <c r="AM2464" s="156"/>
      <c r="AN2464" s="156"/>
      <c r="AO2464" s="156"/>
      <c r="AP2464" s="156"/>
      <c r="AQ2464" s="156"/>
      <c r="AR2464" s="156"/>
      <c r="AS2464" s="156"/>
      <c r="AT2464" s="156"/>
      <c r="AU2464" s="156"/>
      <c r="AV2464" s="156"/>
      <c r="AW2464" s="156"/>
      <c r="AX2464" s="156"/>
      <c r="AY2464" s="156"/>
      <c r="AZ2464" s="156"/>
      <c r="BA2464" s="156"/>
      <c r="BB2464" s="2828"/>
      <c r="BC2464" s="452"/>
      <c r="BD2464" s="2829"/>
      <c r="BE2464" s="2837"/>
      <c r="BF2464" s="156"/>
    </row>
    <row r="2465" spans="1:58" ht="15" customHeight="1" outlineLevel="1" x14ac:dyDescent="0.35">
      <c r="A2465" s="1071"/>
      <c r="B2465" s="2812"/>
      <c r="C2465" s="3077"/>
      <c r="D2465" s="3980"/>
      <c r="E2465" s="3883"/>
      <c r="F2465" s="3984" t="str">
        <f>$E$1812</f>
        <v>ASHP-SEER18_ER1_MF_CompE</v>
      </c>
      <c r="G2465" s="3984"/>
      <c r="H2465" s="3984"/>
      <c r="I2465" s="3984"/>
      <c r="J2465" s="3501" t="str">
        <f>$C$1812</f>
        <v>354351_2021_12_</v>
      </c>
      <c r="K2465" s="3421">
        <v>6.58</v>
      </c>
      <c r="L2465" s="704"/>
      <c r="M2465" s="3020" t="s">
        <v>1510</v>
      </c>
      <c r="N2465" s="106"/>
      <c r="O2465" s="106"/>
      <c r="P2465" s="106"/>
      <c r="Q2465" s="106"/>
      <c r="R2465" s="106"/>
      <c r="S2465" s="106"/>
      <c r="T2465" s="106"/>
      <c r="U2465" s="106"/>
      <c r="V2465" s="3980"/>
      <c r="W2465" s="3421"/>
      <c r="X2465" s="3421"/>
      <c r="Y2465" s="2374">
        <v>6.58</v>
      </c>
      <c r="Z2465" s="3421">
        <v>6.58</v>
      </c>
      <c r="AA2465" s="3421">
        <v>6.58</v>
      </c>
      <c r="AB2465" s="3421">
        <v>6.58</v>
      </c>
      <c r="AC2465" s="3428">
        <v>6.58</v>
      </c>
      <c r="AD2465" s="3421">
        <v>6.58</v>
      </c>
      <c r="AE2465" s="3429"/>
      <c r="AF2465" s="3421"/>
      <c r="AG2465" s="3421"/>
      <c r="AH2465" s="156"/>
      <c r="AI2465" s="156"/>
      <c r="AJ2465" s="156"/>
      <c r="AK2465" s="156"/>
      <c r="AL2465" s="156"/>
      <c r="AM2465" s="156"/>
      <c r="AN2465" s="156"/>
      <c r="AO2465" s="156"/>
      <c r="AP2465" s="156"/>
      <c r="AQ2465" s="156"/>
      <c r="AR2465" s="156"/>
      <c r="AS2465" s="156"/>
      <c r="AT2465" s="156"/>
      <c r="AU2465" s="156"/>
      <c r="AV2465" s="156"/>
      <c r="AW2465" s="156"/>
      <c r="AX2465" s="156"/>
      <c r="AY2465" s="156"/>
      <c r="AZ2465" s="156"/>
      <c r="BA2465" s="156"/>
      <c r="BB2465" s="2828"/>
      <c r="BC2465" s="452"/>
      <c r="BD2465" s="2829"/>
      <c r="BE2465" s="2837"/>
      <c r="BF2465" s="156"/>
    </row>
    <row r="2466" spans="1:58" ht="15" customHeight="1" outlineLevel="1" x14ac:dyDescent="0.35">
      <c r="A2466" s="1071"/>
      <c r="B2466" s="2812"/>
      <c r="C2466" s="3077"/>
      <c r="D2466" s="3980"/>
      <c r="E2466" s="3883"/>
      <c r="F2466" s="3984" t="str">
        <f>$E$1814</f>
        <v>ASHP-SEER18_ER2_MF_CompE</v>
      </c>
      <c r="G2466" s="3984"/>
      <c r="H2466" s="3984"/>
      <c r="I2466" s="3984"/>
      <c r="J2466" s="3501" t="str">
        <f>$C$1814</f>
        <v>354351_2021_12_</v>
      </c>
      <c r="K2466" s="3421">
        <v>8.1999999999999993</v>
      </c>
      <c r="L2466" s="704"/>
      <c r="M2466" s="3020" t="s">
        <v>1510</v>
      </c>
      <c r="N2466" s="106"/>
      <c r="O2466" s="106"/>
      <c r="P2466" s="106"/>
      <c r="Q2466" s="106"/>
      <c r="R2466" s="106"/>
      <c r="S2466" s="106"/>
      <c r="T2466" s="106"/>
      <c r="U2466" s="106"/>
      <c r="V2466" s="3980"/>
      <c r="W2466" s="3421"/>
      <c r="X2466" s="3421"/>
      <c r="Y2466" s="2374">
        <v>8.1999999999999993</v>
      </c>
      <c r="Z2466" s="3421">
        <v>8.1999999999999993</v>
      </c>
      <c r="AA2466" s="3421">
        <v>8.1999999999999993</v>
      </c>
      <c r="AB2466" s="3421">
        <v>8.1999999999999993</v>
      </c>
      <c r="AC2466" s="3428">
        <v>8.1999999999999993</v>
      </c>
      <c r="AD2466" s="3421">
        <v>8.1999999999999993</v>
      </c>
      <c r="AE2466" s="3429"/>
      <c r="AF2466" s="3421"/>
      <c r="AG2466" s="3421"/>
      <c r="AH2466" s="156"/>
      <c r="AI2466" s="156"/>
      <c r="AJ2466" s="156"/>
      <c r="AK2466" s="156"/>
      <c r="AL2466" s="156"/>
      <c r="AM2466" s="156"/>
      <c r="AN2466" s="156"/>
      <c r="AO2466" s="156"/>
      <c r="AP2466" s="156"/>
      <c r="AQ2466" s="156"/>
      <c r="AR2466" s="156"/>
      <c r="AS2466" s="156"/>
      <c r="AT2466" s="156"/>
      <c r="AU2466" s="156"/>
      <c r="AV2466" s="156"/>
      <c r="AW2466" s="156"/>
      <c r="AX2466" s="156"/>
      <c r="AY2466" s="156"/>
      <c r="AZ2466" s="156"/>
      <c r="BA2466" s="156"/>
      <c r="BB2466" s="2828"/>
      <c r="BC2466" s="452"/>
      <c r="BD2466" s="2829"/>
      <c r="BE2466" s="2837"/>
      <c r="BF2466" s="156"/>
    </row>
    <row r="2467" spans="1:58" ht="15" customHeight="1" outlineLevel="1" x14ac:dyDescent="0.35">
      <c r="A2467" s="1071"/>
      <c r="B2467" s="2812"/>
      <c r="C2467" s="3077"/>
      <c r="D2467" s="3980"/>
      <c r="E2467" s="3883"/>
      <c r="F2467" s="3984" t="str">
        <f>$E$1816</f>
        <v>ASHP-SEER19-Replace_CAC_ElectricHeat_ER1_SF</v>
      </c>
      <c r="G2467" s="3984"/>
      <c r="H2467" s="3984"/>
      <c r="I2467" s="3984"/>
      <c r="J2467" s="3501" t="str">
        <f>$C$1816</f>
        <v>354400_2021_12_</v>
      </c>
      <c r="K2467" s="3421">
        <v>3.41</v>
      </c>
      <c r="L2467" s="704"/>
      <c r="M2467" s="3020" t="s">
        <v>810</v>
      </c>
      <c r="N2467" s="106"/>
      <c r="O2467" s="106"/>
      <c r="P2467" s="106"/>
      <c r="Q2467" s="106"/>
      <c r="R2467" s="106"/>
      <c r="S2467" s="106"/>
      <c r="T2467" s="106"/>
      <c r="U2467" s="106"/>
      <c r="V2467" s="3980"/>
      <c r="W2467" s="3421">
        <v>3.41</v>
      </c>
      <c r="X2467" s="3421">
        <v>3.41</v>
      </c>
      <c r="Y2467" s="3421">
        <v>3.41</v>
      </c>
      <c r="Z2467" s="3421">
        <v>3.41</v>
      </c>
      <c r="AA2467" s="3421">
        <v>3.41</v>
      </c>
      <c r="AB2467" s="3421">
        <v>3.41</v>
      </c>
      <c r="AC2467" s="3428">
        <v>3.41</v>
      </c>
      <c r="AD2467" s="3421">
        <v>3.41</v>
      </c>
      <c r="AE2467" s="3429"/>
      <c r="AF2467" s="3421"/>
      <c r="AG2467" s="3421"/>
      <c r="AH2467" s="156"/>
      <c r="AI2467" s="156"/>
      <c r="AJ2467" s="156"/>
      <c r="AK2467" s="156"/>
      <c r="AL2467" s="156"/>
      <c r="AM2467" s="156"/>
      <c r="AN2467" s="156"/>
      <c r="AO2467" s="156"/>
      <c r="AP2467" s="156"/>
      <c r="AQ2467" s="156"/>
      <c r="AR2467" s="156"/>
      <c r="AS2467" s="156"/>
      <c r="AT2467" s="156"/>
      <c r="AU2467" s="156"/>
      <c r="AV2467" s="156"/>
      <c r="AW2467" s="156"/>
      <c r="AX2467" s="156"/>
      <c r="AY2467" s="156"/>
      <c r="AZ2467" s="156"/>
      <c r="BA2467" s="156"/>
      <c r="BB2467" s="2828"/>
      <c r="BC2467" s="452"/>
      <c r="BD2467" s="2829"/>
      <c r="BE2467" s="2837"/>
      <c r="BF2467" s="156"/>
    </row>
    <row r="2468" spans="1:58" ht="15" customHeight="1" outlineLevel="1" x14ac:dyDescent="0.35">
      <c r="A2468" s="1071"/>
      <c r="B2468" s="2812"/>
      <c r="C2468" s="3077"/>
      <c r="D2468" s="3980"/>
      <c r="E2468" s="3883"/>
      <c r="F2468" s="3984" t="str">
        <f>$E$1818</f>
        <v>ASHP-SEER19-Replace_CAC_ElectricHeat_ER2_SF</v>
      </c>
      <c r="G2468" s="3984"/>
      <c r="H2468" s="3984"/>
      <c r="I2468" s="3984"/>
      <c r="J2468" s="3501" t="str">
        <f>$C$1818</f>
        <v>354400_2021_12_</v>
      </c>
      <c r="K2468" s="3421">
        <v>3.41</v>
      </c>
      <c r="L2468" s="704"/>
      <c r="M2468" s="3020" t="s">
        <v>810</v>
      </c>
      <c r="N2468" s="106"/>
      <c r="O2468" s="106"/>
      <c r="P2468" s="106"/>
      <c r="Q2468" s="106"/>
      <c r="R2468" s="106"/>
      <c r="S2468" s="106"/>
      <c r="T2468" s="106"/>
      <c r="U2468" s="106"/>
      <c r="V2468" s="3980"/>
      <c r="W2468" s="3421">
        <v>3.41</v>
      </c>
      <c r="X2468" s="3421">
        <v>3.41</v>
      </c>
      <c r="Y2468" s="3421">
        <v>3.41</v>
      </c>
      <c r="Z2468" s="3421">
        <v>3.41</v>
      </c>
      <c r="AA2468" s="3421">
        <v>3.41</v>
      </c>
      <c r="AB2468" s="3421">
        <v>3.41</v>
      </c>
      <c r="AC2468" s="3428">
        <v>3.41</v>
      </c>
      <c r="AD2468" s="3421">
        <v>3.41</v>
      </c>
      <c r="AE2468" s="3429"/>
      <c r="AF2468" s="3421"/>
      <c r="AG2468" s="3421"/>
      <c r="AH2468" s="156"/>
      <c r="AI2468" s="156"/>
      <c r="AJ2468" s="156"/>
      <c r="AK2468" s="156"/>
      <c r="AL2468" s="156"/>
      <c r="AM2468" s="156"/>
      <c r="AN2468" s="156"/>
      <c r="AO2468" s="156"/>
      <c r="AP2468" s="156"/>
      <c r="AQ2468" s="156"/>
      <c r="AR2468" s="156"/>
      <c r="AS2468" s="156"/>
      <c r="AT2468" s="156"/>
      <c r="AU2468" s="156"/>
      <c r="AV2468" s="156"/>
      <c r="AW2468" s="156"/>
      <c r="AX2468" s="156"/>
      <c r="AY2468" s="156"/>
      <c r="AZ2468" s="156"/>
      <c r="BA2468" s="156"/>
      <c r="BB2468" s="2828"/>
      <c r="BC2468" s="452"/>
      <c r="BD2468" s="2829"/>
      <c r="BE2468" s="2837"/>
      <c r="BF2468" s="156"/>
    </row>
    <row r="2469" spans="1:58" ht="15" customHeight="1" outlineLevel="1" x14ac:dyDescent="0.35">
      <c r="A2469" s="1071"/>
      <c r="B2469" s="2812"/>
      <c r="C2469" s="3077"/>
      <c r="D2469" s="3980"/>
      <c r="E2469" s="3883"/>
      <c r="F2469" s="3984" t="str">
        <f>$E$1820</f>
        <v>ASHP-SEER19-Replace_CAC_NonElectricHeat_ER1_SF</v>
      </c>
      <c r="G2469" s="3984"/>
      <c r="H2469" s="3984"/>
      <c r="I2469" s="3984"/>
      <c r="J2469" s="3501" t="str">
        <f>$C$1820</f>
        <v>354410_2021_12_</v>
      </c>
      <c r="K2469" s="2042">
        <v>0</v>
      </c>
      <c r="L2469" s="704"/>
      <c r="M2469" s="3020" t="s">
        <v>1509</v>
      </c>
      <c r="N2469" s="106"/>
      <c r="O2469" s="106"/>
      <c r="P2469" s="106"/>
      <c r="Q2469" s="106"/>
      <c r="R2469" s="106"/>
      <c r="S2469" s="106"/>
      <c r="T2469" s="106"/>
      <c r="U2469" s="106"/>
      <c r="V2469" s="3980"/>
      <c r="W2469" s="3421"/>
      <c r="X2469" s="3421"/>
      <c r="Y2469" s="3421"/>
      <c r="Z2469" s="3421"/>
      <c r="AA2469" s="3421"/>
      <c r="AB2469" s="3421"/>
      <c r="AC2469" s="2292">
        <v>0</v>
      </c>
      <c r="AD2469" s="2042">
        <v>0</v>
      </c>
      <c r="AE2469" s="3429"/>
      <c r="AF2469" s="3421"/>
      <c r="AG2469" s="3421"/>
      <c r="AH2469" s="156"/>
      <c r="AI2469" s="156"/>
      <c r="AJ2469" s="156"/>
      <c r="AK2469" s="156"/>
      <c r="AL2469" s="156"/>
      <c r="AM2469" s="156"/>
      <c r="AN2469" s="156"/>
      <c r="AO2469" s="156"/>
      <c r="AP2469" s="156"/>
      <c r="AQ2469" s="156"/>
      <c r="AR2469" s="156"/>
      <c r="AS2469" s="156"/>
      <c r="AT2469" s="156"/>
      <c r="AU2469" s="156"/>
      <c r="AV2469" s="156"/>
      <c r="AW2469" s="156"/>
      <c r="AX2469" s="156"/>
      <c r="AY2469" s="156"/>
      <c r="AZ2469" s="156"/>
      <c r="BA2469" s="156"/>
      <c r="BB2469" s="2828"/>
      <c r="BC2469" s="452"/>
      <c r="BD2469" s="2829"/>
      <c r="BE2469" s="2837"/>
      <c r="BF2469" s="156"/>
    </row>
    <row r="2470" spans="1:58" ht="15" customHeight="1" outlineLevel="1" x14ac:dyDescent="0.35">
      <c r="A2470" s="1071"/>
      <c r="B2470" s="2812"/>
      <c r="C2470" s="3077"/>
      <c r="D2470" s="3980"/>
      <c r="E2470" s="3883"/>
      <c r="F2470" s="3984" t="str">
        <f>$E$1822</f>
        <v>ASHP-SEER19-Replace_CAC_NonElectricHeat_ER2_SF</v>
      </c>
      <c r="G2470" s="3984"/>
      <c r="H2470" s="3984"/>
      <c r="I2470" s="3984"/>
      <c r="J2470" s="3501" t="str">
        <f>$C$1822</f>
        <v>354410_2021_12_</v>
      </c>
      <c r="K2470" s="2042">
        <v>0</v>
      </c>
      <c r="L2470" s="704"/>
      <c r="M2470" s="3020" t="s">
        <v>1509</v>
      </c>
      <c r="N2470" s="106"/>
      <c r="O2470" s="106"/>
      <c r="P2470" s="106"/>
      <c r="Q2470" s="106"/>
      <c r="R2470" s="106"/>
      <c r="S2470" s="106"/>
      <c r="T2470" s="106"/>
      <c r="U2470" s="106"/>
      <c r="V2470" s="3980"/>
      <c r="W2470" s="3421"/>
      <c r="X2470" s="3421"/>
      <c r="Y2470" s="3421"/>
      <c r="Z2470" s="3421"/>
      <c r="AA2470" s="3421"/>
      <c r="AB2470" s="3421"/>
      <c r="AC2470" s="2292">
        <v>0</v>
      </c>
      <c r="AD2470" s="2042">
        <v>0</v>
      </c>
      <c r="AE2470" s="3429"/>
      <c r="AF2470" s="3421"/>
      <c r="AG2470" s="3421"/>
      <c r="AH2470" s="156"/>
      <c r="AI2470" s="156"/>
      <c r="AJ2470" s="156"/>
      <c r="AK2470" s="156"/>
      <c r="AL2470" s="156"/>
      <c r="AM2470" s="156"/>
      <c r="AN2470" s="156"/>
      <c r="AO2470" s="156"/>
      <c r="AP2470" s="156"/>
      <c r="AQ2470" s="156"/>
      <c r="AR2470" s="156"/>
      <c r="AS2470" s="156"/>
      <c r="AT2470" s="156"/>
      <c r="AU2470" s="156"/>
      <c r="AV2470" s="156"/>
      <c r="AW2470" s="156"/>
      <c r="AX2470" s="156"/>
      <c r="AY2470" s="156"/>
      <c r="AZ2470" s="156"/>
      <c r="BA2470" s="156"/>
      <c r="BB2470" s="2828"/>
      <c r="BC2470" s="452"/>
      <c r="BD2470" s="2829"/>
      <c r="BE2470" s="2837"/>
      <c r="BF2470" s="156"/>
    </row>
    <row r="2471" spans="1:58" ht="15" customHeight="1" outlineLevel="1" x14ac:dyDescent="0.35">
      <c r="A2471" s="1071"/>
      <c r="B2471" s="2812"/>
      <c r="C2471" s="3077"/>
      <c r="D2471" s="3980"/>
      <c r="E2471" s="3883"/>
      <c r="F2471" s="3984" t="str">
        <f>$E$1824</f>
        <v>ASHP-SEER19-Replace_CAC_ElectricHeat_ER1_MF</v>
      </c>
      <c r="G2471" s="3984"/>
      <c r="H2471" s="3984"/>
      <c r="I2471" s="3984"/>
      <c r="J2471" s="3501" t="str">
        <f>$C$1824</f>
        <v>354450_2019_12_</v>
      </c>
      <c r="K2471" s="3421">
        <v>3.41</v>
      </c>
      <c r="L2471" s="704"/>
      <c r="M2471" s="3020" t="s">
        <v>1510</v>
      </c>
      <c r="N2471" s="106"/>
      <c r="O2471" s="106"/>
      <c r="P2471" s="106"/>
      <c r="Q2471" s="106"/>
      <c r="R2471" s="106"/>
      <c r="S2471" s="106"/>
      <c r="T2471" s="106"/>
      <c r="U2471" s="106"/>
      <c r="V2471" s="3980"/>
      <c r="W2471" s="3421">
        <v>3.41</v>
      </c>
      <c r="X2471" s="3421">
        <v>3.41</v>
      </c>
      <c r="Y2471" s="3421">
        <v>3.41</v>
      </c>
      <c r="Z2471" s="3421">
        <v>3.41</v>
      </c>
      <c r="AA2471" s="3421">
        <v>3.41</v>
      </c>
      <c r="AB2471" s="3421">
        <v>3.41</v>
      </c>
      <c r="AC2471" s="3428">
        <v>3.41</v>
      </c>
      <c r="AD2471" s="3421">
        <v>3.41</v>
      </c>
      <c r="AE2471" s="3429"/>
      <c r="AF2471" s="3421"/>
      <c r="AG2471" s="3421"/>
      <c r="AH2471" s="156"/>
      <c r="AI2471" s="156"/>
      <c r="AJ2471" s="156"/>
      <c r="AK2471" s="156"/>
      <c r="AL2471" s="156"/>
      <c r="AM2471" s="156"/>
      <c r="AN2471" s="156"/>
      <c r="AO2471" s="156"/>
      <c r="AP2471" s="156"/>
      <c r="AQ2471" s="156"/>
      <c r="AR2471" s="156"/>
      <c r="AS2471" s="156"/>
      <c r="AT2471" s="156"/>
      <c r="AU2471" s="156"/>
      <c r="AV2471" s="156"/>
      <c r="AW2471" s="156"/>
      <c r="AX2471" s="156"/>
      <c r="AY2471" s="156"/>
      <c r="AZ2471" s="156"/>
      <c r="BA2471" s="156"/>
      <c r="BB2471" s="2828"/>
      <c r="BC2471" s="452"/>
      <c r="BD2471" s="2829"/>
      <c r="BE2471" s="2837"/>
      <c r="BF2471" s="156"/>
    </row>
    <row r="2472" spans="1:58" ht="15" customHeight="1" outlineLevel="1" x14ac:dyDescent="0.35">
      <c r="A2472" s="1071"/>
      <c r="B2472" s="2812"/>
      <c r="C2472" s="3077"/>
      <c r="D2472" s="3980"/>
      <c r="E2472" s="3883"/>
      <c r="F2472" s="3984" t="str">
        <f>$E$1826</f>
        <v>ASHP-SEER19-Replace_CAC_ElectricHeat_ER2_MF</v>
      </c>
      <c r="G2472" s="3984"/>
      <c r="H2472" s="3984"/>
      <c r="I2472" s="3984"/>
      <c r="J2472" s="3501" t="str">
        <f>$C$1826</f>
        <v>354450_2019_12_</v>
      </c>
      <c r="K2472" s="3421">
        <v>3.41</v>
      </c>
      <c r="L2472" s="704"/>
      <c r="M2472" s="3020" t="s">
        <v>1510</v>
      </c>
      <c r="N2472" s="106"/>
      <c r="O2472" s="106"/>
      <c r="P2472" s="106"/>
      <c r="Q2472" s="106"/>
      <c r="R2472" s="106"/>
      <c r="S2472" s="106"/>
      <c r="T2472" s="106"/>
      <c r="U2472" s="106"/>
      <c r="V2472" s="3980"/>
      <c r="W2472" s="3421">
        <v>3.41</v>
      </c>
      <c r="X2472" s="3421">
        <v>3.41</v>
      </c>
      <c r="Y2472" s="3421">
        <v>3.41</v>
      </c>
      <c r="Z2472" s="3421">
        <v>3.41</v>
      </c>
      <c r="AA2472" s="3421">
        <v>3.41</v>
      </c>
      <c r="AB2472" s="3421">
        <v>3.41</v>
      </c>
      <c r="AC2472" s="3428">
        <v>3.41</v>
      </c>
      <c r="AD2472" s="3421">
        <v>3.41</v>
      </c>
      <c r="AE2472" s="3429"/>
      <c r="AF2472" s="3421"/>
      <c r="AG2472" s="3421"/>
      <c r="AH2472" s="156"/>
      <c r="AI2472" s="156"/>
      <c r="AJ2472" s="156"/>
      <c r="AK2472" s="156"/>
      <c r="AL2472" s="156"/>
      <c r="AM2472" s="156"/>
      <c r="AN2472" s="156"/>
      <c r="AO2472" s="156"/>
      <c r="AP2472" s="156"/>
      <c r="AQ2472" s="156"/>
      <c r="AR2472" s="156"/>
      <c r="AS2472" s="156"/>
      <c r="AT2472" s="156"/>
      <c r="AU2472" s="156"/>
      <c r="AV2472" s="156"/>
      <c r="AW2472" s="156"/>
      <c r="AX2472" s="156"/>
      <c r="AY2472" s="156"/>
      <c r="AZ2472" s="156"/>
      <c r="BA2472" s="156"/>
      <c r="BB2472" s="2828"/>
      <c r="BC2472" s="452"/>
      <c r="BD2472" s="2829"/>
      <c r="BE2472" s="2837"/>
      <c r="BF2472" s="156"/>
    </row>
    <row r="2473" spans="1:58" ht="15" customHeight="1" outlineLevel="1" x14ac:dyDescent="0.35">
      <c r="A2473" s="1071"/>
      <c r="B2473" s="2812"/>
      <c r="C2473" s="3077"/>
      <c r="D2473" s="3980"/>
      <c r="E2473" s="3883"/>
      <c r="F2473" s="3984" t="str">
        <f>$E$1828</f>
        <v>ASHP-SEER19-Replace_CAC_ElectricHeat_ER1_MF_CompE</v>
      </c>
      <c r="G2473" s="3984"/>
      <c r="H2473" s="3984"/>
      <c r="I2473" s="3984"/>
      <c r="J2473" s="3501" t="str">
        <f>$C$1828</f>
        <v>354451_2019_12_</v>
      </c>
      <c r="K2473" s="3421">
        <v>3.41</v>
      </c>
      <c r="L2473" s="704"/>
      <c r="M2473" s="3020" t="s">
        <v>1510</v>
      </c>
      <c r="N2473" s="106"/>
      <c r="O2473" s="106"/>
      <c r="P2473" s="106"/>
      <c r="Q2473" s="106"/>
      <c r="R2473" s="106"/>
      <c r="S2473" s="106"/>
      <c r="T2473" s="106"/>
      <c r="U2473" s="106"/>
      <c r="V2473" s="3980"/>
      <c r="W2473" s="3421"/>
      <c r="X2473" s="3421"/>
      <c r="Y2473" s="2374">
        <v>3.41</v>
      </c>
      <c r="Z2473" s="3421">
        <v>3.41</v>
      </c>
      <c r="AA2473" s="3421">
        <v>3.41</v>
      </c>
      <c r="AB2473" s="3421">
        <v>3.41</v>
      </c>
      <c r="AC2473" s="3428">
        <v>3.41</v>
      </c>
      <c r="AD2473" s="3421">
        <v>3.41</v>
      </c>
      <c r="AE2473" s="3429"/>
      <c r="AF2473" s="3421"/>
      <c r="AG2473" s="3421"/>
      <c r="AH2473" s="156"/>
      <c r="AI2473" s="156"/>
      <c r="AJ2473" s="156"/>
      <c r="AK2473" s="156"/>
      <c r="AL2473" s="156"/>
      <c r="AM2473" s="156"/>
      <c r="AN2473" s="156"/>
      <c r="AO2473" s="156"/>
      <c r="AP2473" s="156"/>
      <c r="AQ2473" s="156"/>
      <c r="AR2473" s="156"/>
      <c r="AS2473" s="156"/>
      <c r="AT2473" s="156"/>
      <c r="AU2473" s="156"/>
      <c r="AV2473" s="156"/>
      <c r="AW2473" s="156"/>
      <c r="AX2473" s="156"/>
      <c r="AY2473" s="156"/>
      <c r="AZ2473" s="156"/>
      <c r="BA2473" s="156"/>
      <c r="BB2473" s="2828"/>
      <c r="BC2473" s="452"/>
      <c r="BD2473" s="2829"/>
      <c r="BE2473" s="2837"/>
      <c r="BF2473" s="156"/>
    </row>
    <row r="2474" spans="1:58" ht="15" customHeight="1" outlineLevel="1" x14ac:dyDescent="0.35">
      <c r="A2474" s="1071"/>
      <c r="B2474" s="2812"/>
      <c r="C2474" s="3077"/>
      <c r="D2474" s="3980"/>
      <c r="E2474" s="3883"/>
      <c r="F2474" s="3984" t="str">
        <f>$E$1830</f>
        <v>ASHP-SEER19-Replace_CAC_ElectricHeat_ER2_MF_CompE</v>
      </c>
      <c r="G2474" s="3984"/>
      <c r="H2474" s="3984"/>
      <c r="I2474" s="3984"/>
      <c r="J2474" s="3501" t="str">
        <f>$C$1830</f>
        <v>354451_2019_12_</v>
      </c>
      <c r="K2474" s="3421">
        <v>3.41</v>
      </c>
      <c r="L2474" s="704"/>
      <c r="M2474" s="3020" t="s">
        <v>1510</v>
      </c>
      <c r="N2474" s="106"/>
      <c r="O2474" s="106"/>
      <c r="P2474" s="106"/>
      <c r="Q2474" s="106"/>
      <c r="R2474" s="106"/>
      <c r="S2474" s="106"/>
      <c r="T2474" s="106"/>
      <c r="U2474" s="106"/>
      <c r="V2474" s="3980"/>
      <c r="W2474" s="3421"/>
      <c r="X2474" s="3421"/>
      <c r="Y2474" s="2374">
        <v>3.41</v>
      </c>
      <c r="Z2474" s="3421">
        <v>3.41</v>
      </c>
      <c r="AA2474" s="3421">
        <v>3.41</v>
      </c>
      <c r="AB2474" s="3421">
        <v>3.41</v>
      </c>
      <c r="AC2474" s="3428">
        <v>3.41</v>
      </c>
      <c r="AD2474" s="3421">
        <v>3.41</v>
      </c>
      <c r="AE2474" s="3429"/>
      <c r="AF2474" s="3421"/>
      <c r="AG2474" s="3421"/>
      <c r="AH2474" s="156"/>
      <c r="AI2474" s="156"/>
      <c r="AJ2474" s="156"/>
      <c r="AK2474" s="156"/>
      <c r="AL2474" s="156"/>
      <c r="AM2474" s="156"/>
      <c r="AN2474" s="156"/>
      <c r="AO2474" s="156"/>
      <c r="AP2474" s="156"/>
      <c r="AQ2474" s="156"/>
      <c r="AR2474" s="156"/>
      <c r="AS2474" s="156"/>
      <c r="AT2474" s="156"/>
      <c r="AU2474" s="156"/>
      <c r="AV2474" s="156"/>
      <c r="AW2474" s="156"/>
      <c r="AX2474" s="156"/>
      <c r="AY2474" s="156"/>
      <c r="AZ2474" s="156"/>
      <c r="BA2474" s="156"/>
      <c r="BB2474" s="2828"/>
      <c r="BC2474" s="452"/>
      <c r="BD2474" s="2829"/>
      <c r="BE2474" s="2837"/>
      <c r="BF2474" s="156"/>
    </row>
    <row r="2475" spans="1:58" ht="15" customHeight="1" outlineLevel="1" x14ac:dyDescent="0.35">
      <c r="A2475" s="1071"/>
      <c r="B2475" s="2812"/>
      <c r="C2475" s="3077"/>
      <c r="D2475" s="3980"/>
      <c r="E2475" s="3883"/>
      <c r="F2475" s="3984" t="str">
        <f>$E$1832</f>
        <v>ASHP-SEER19-Replace_CAC_NonElectricHeat_ER1_MF</v>
      </c>
      <c r="G2475" s="3984"/>
      <c r="H2475" s="3984"/>
      <c r="I2475" s="3984"/>
      <c r="J2475" s="3501" t="str">
        <f>$C$1832</f>
        <v>354460_2021_12_</v>
      </c>
      <c r="K2475" s="2042">
        <v>0</v>
      </c>
      <c r="L2475" s="704"/>
      <c r="M2475" s="3020" t="s">
        <v>1509</v>
      </c>
      <c r="N2475" s="106"/>
      <c r="O2475" s="106"/>
      <c r="P2475" s="106"/>
      <c r="Q2475" s="106"/>
      <c r="R2475" s="106"/>
      <c r="S2475" s="106"/>
      <c r="T2475" s="106"/>
      <c r="U2475" s="106"/>
      <c r="V2475" s="3980"/>
      <c r="W2475" s="3421"/>
      <c r="X2475" s="3421"/>
      <c r="Y2475" s="2374"/>
      <c r="Z2475" s="3421"/>
      <c r="AA2475" s="3421"/>
      <c r="AB2475" s="3421"/>
      <c r="AC2475" s="2292">
        <v>0</v>
      </c>
      <c r="AD2475" s="2042">
        <v>0</v>
      </c>
      <c r="AE2475" s="3429"/>
      <c r="AF2475" s="3421"/>
      <c r="AG2475" s="3421"/>
      <c r="AH2475" s="156"/>
      <c r="AI2475" s="156"/>
      <c r="AJ2475" s="156"/>
      <c r="AK2475" s="156"/>
      <c r="AL2475" s="156"/>
      <c r="AM2475" s="156"/>
      <c r="AN2475" s="156"/>
      <c r="AO2475" s="156"/>
      <c r="AP2475" s="156"/>
      <c r="AQ2475" s="156"/>
      <c r="AR2475" s="156"/>
      <c r="AS2475" s="156"/>
      <c r="AT2475" s="156"/>
      <c r="AU2475" s="156"/>
      <c r="AV2475" s="156"/>
      <c r="AW2475" s="156"/>
      <c r="AX2475" s="156"/>
      <c r="AY2475" s="156"/>
      <c r="AZ2475" s="156"/>
      <c r="BA2475" s="156"/>
      <c r="BB2475" s="2828"/>
      <c r="BC2475" s="452"/>
      <c r="BD2475" s="2829"/>
      <c r="BE2475" s="2837"/>
      <c r="BF2475" s="156"/>
    </row>
    <row r="2476" spans="1:58" ht="15" customHeight="1" outlineLevel="1" x14ac:dyDescent="0.35">
      <c r="A2476" s="1071"/>
      <c r="B2476" s="2812"/>
      <c r="C2476" s="3077"/>
      <c r="D2476" s="3980"/>
      <c r="E2476" s="3883"/>
      <c r="F2476" s="3984" t="str">
        <f>$E$1834</f>
        <v>ASHP-SEER19-Replace_CAC_NonElectricHeat_ER2_MF</v>
      </c>
      <c r="G2476" s="3984"/>
      <c r="H2476" s="3984"/>
      <c r="I2476" s="3984"/>
      <c r="J2476" s="3501" t="str">
        <f>$C$1834</f>
        <v>354460_2021_12_</v>
      </c>
      <c r="K2476" s="2042">
        <v>0</v>
      </c>
      <c r="L2476" s="704"/>
      <c r="M2476" s="3020" t="s">
        <v>1509</v>
      </c>
      <c r="N2476" s="106"/>
      <c r="O2476" s="106"/>
      <c r="P2476" s="106"/>
      <c r="Q2476" s="106"/>
      <c r="R2476" s="106"/>
      <c r="S2476" s="106"/>
      <c r="T2476" s="106"/>
      <c r="U2476" s="106"/>
      <c r="V2476" s="3980"/>
      <c r="W2476" s="3421"/>
      <c r="X2476" s="3421"/>
      <c r="Y2476" s="2374"/>
      <c r="Z2476" s="3421"/>
      <c r="AA2476" s="3421"/>
      <c r="AB2476" s="3421"/>
      <c r="AC2476" s="2292">
        <v>0</v>
      </c>
      <c r="AD2476" s="2042">
        <v>0</v>
      </c>
      <c r="AE2476" s="3429"/>
      <c r="AF2476" s="3421"/>
      <c r="AG2476" s="3421"/>
      <c r="AH2476" s="156"/>
      <c r="AI2476" s="156"/>
      <c r="AJ2476" s="156"/>
      <c r="AK2476" s="156"/>
      <c r="AL2476" s="156"/>
      <c r="AM2476" s="156"/>
      <c r="AN2476" s="156"/>
      <c r="AO2476" s="156"/>
      <c r="AP2476" s="156"/>
      <c r="AQ2476" s="156"/>
      <c r="AR2476" s="156"/>
      <c r="AS2476" s="156"/>
      <c r="AT2476" s="156"/>
      <c r="AU2476" s="156"/>
      <c r="AV2476" s="156"/>
      <c r="AW2476" s="156"/>
      <c r="AX2476" s="156"/>
      <c r="AY2476" s="156"/>
      <c r="AZ2476" s="156"/>
      <c r="BA2476" s="156"/>
      <c r="BB2476" s="2828"/>
      <c r="BC2476" s="452"/>
      <c r="BD2476" s="2829"/>
      <c r="BE2476" s="2837"/>
      <c r="BF2476" s="156"/>
    </row>
    <row r="2477" spans="1:58" ht="15" customHeight="1" outlineLevel="1" x14ac:dyDescent="0.35">
      <c r="A2477" s="1071"/>
      <c r="B2477" s="2812"/>
      <c r="C2477" s="3077"/>
      <c r="D2477" s="3980"/>
      <c r="E2477" s="3883"/>
      <c r="F2477" s="3984" t="str">
        <f>$E$1836</f>
        <v>ASHP-SEER19-Replace_CAC_NonElectricHeat_ER1_MF_CompE</v>
      </c>
      <c r="G2477" s="3984"/>
      <c r="H2477" s="3984"/>
      <c r="I2477" s="3984"/>
      <c r="J2477" s="3501" t="str">
        <f>$C$1836</f>
        <v>354461_2021_12_</v>
      </c>
      <c r="K2477" s="2042">
        <v>0</v>
      </c>
      <c r="L2477" s="704"/>
      <c r="M2477" s="3020" t="s">
        <v>1509</v>
      </c>
      <c r="N2477" s="106"/>
      <c r="O2477" s="106"/>
      <c r="P2477" s="106"/>
      <c r="Q2477" s="106"/>
      <c r="R2477" s="106"/>
      <c r="S2477" s="106"/>
      <c r="T2477" s="106"/>
      <c r="U2477" s="106"/>
      <c r="V2477" s="3980"/>
      <c r="W2477" s="3421"/>
      <c r="X2477" s="3421"/>
      <c r="Y2477" s="2374"/>
      <c r="Z2477" s="3421"/>
      <c r="AA2477" s="3421"/>
      <c r="AB2477" s="3421"/>
      <c r="AC2477" s="2292">
        <v>0</v>
      </c>
      <c r="AD2477" s="2042">
        <v>0</v>
      </c>
      <c r="AE2477" s="3429"/>
      <c r="AF2477" s="3421"/>
      <c r="AG2477" s="3421"/>
      <c r="AH2477" s="156"/>
      <c r="AI2477" s="156"/>
      <c r="AJ2477" s="156"/>
      <c r="AK2477" s="156"/>
      <c r="AL2477" s="156"/>
      <c r="AM2477" s="156"/>
      <c r="AN2477" s="156"/>
      <c r="AO2477" s="156"/>
      <c r="AP2477" s="156"/>
      <c r="AQ2477" s="156"/>
      <c r="AR2477" s="156"/>
      <c r="AS2477" s="156"/>
      <c r="AT2477" s="156"/>
      <c r="AU2477" s="156"/>
      <c r="AV2477" s="156"/>
      <c r="AW2477" s="156"/>
      <c r="AX2477" s="156"/>
      <c r="AY2477" s="156"/>
      <c r="AZ2477" s="156"/>
      <c r="BA2477" s="156"/>
      <c r="BB2477" s="2828"/>
      <c r="BC2477" s="452"/>
      <c r="BD2477" s="2829"/>
      <c r="BE2477" s="2837"/>
      <c r="BF2477" s="156"/>
    </row>
    <row r="2478" spans="1:58" ht="15" customHeight="1" outlineLevel="1" x14ac:dyDescent="0.35">
      <c r="A2478" s="1071"/>
      <c r="B2478" s="2812"/>
      <c r="C2478" s="3077"/>
      <c r="D2478" s="3980"/>
      <c r="E2478" s="3883"/>
      <c r="F2478" s="3984" t="str">
        <f>$E$1838</f>
        <v>ASHP-SEER19-Replace_CAC_NonElectricHeat_ER2_MF_CompE</v>
      </c>
      <c r="G2478" s="3984"/>
      <c r="H2478" s="3984"/>
      <c r="I2478" s="3984"/>
      <c r="J2478" s="3501" t="str">
        <f>$C$1838</f>
        <v>354461_2021_12_</v>
      </c>
      <c r="K2478" s="2042">
        <v>0</v>
      </c>
      <c r="L2478" s="704"/>
      <c r="M2478" s="3020" t="s">
        <v>1509</v>
      </c>
      <c r="N2478" s="106"/>
      <c r="O2478" s="106"/>
      <c r="P2478" s="106"/>
      <c r="Q2478" s="106"/>
      <c r="R2478" s="106"/>
      <c r="S2478" s="106"/>
      <c r="T2478" s="106"/>
      <c r="U2478" s="106"/>
      <c r="V2478" s="3980"/>
      <c r="W2478" s="3421"/>
      <c r="X2478" s="3421"/>
      <c r="Y2478" s="2374"/>
      <c r="Z2478" s="3421"/>
      <c r="AA2478" s="3421"/>
      <c r="AB2478" s="3421"/>
      <c r="AC2478" s="2292">
        <v>0</v>
      </c>
      <c r="AD2478" s="2042">
        <v>0</v>
      </c>
      <c r="AE2478" s="3429"/>
      <c r="AF2478" s="3421"/>
      <c r="AG2478" s="3421"/>
      <c r="AH2478" s="156"/>
      <c r="AI2478" s="156"/>
      <c r="AJ2478" s="156"/>
      <c r="AK2478" s="156"/>
      <c r="AL2478" s="156"/>
      <c r="AM2478" s="156"/>
      <c r="AN2478" s="156"/>
      <c r="AO2478" s="156"/>
      <c r="AP2478" s="156"/>
      <c r="AQ2478" s="156"/>
      <c r="AR2478" s="156"/>
      <c r="AS2478" s="156"/>
      <c r="AT2478" s="156"/>
      <c r="AU2478" s="156"/>
      <c r="AV2478" s="156"/>
      <c r="AW2478" s="156"/>
      <c r="AX2478" s="156"/>
      <c r="AY2478" s="156"/>
      <c r="AZ2478" s="156"/>
      <c r="BA2478" s="156"/>
      <c r="BB2478" s="2828"/>
      <c r="BC2478" s="452"/>
      <c r="BD2478" s="2829"/>
      <c r="BE2478" s="2837"/>
      <c r="BF2478" s="156"/>
    </row>
    <row r="2479" spans="1:58" ht="15" customHeight="1" outlineLevel="1" x14ac:dyDescent="0.35">
      <c r="A2479" s="1071"/>
      <c r="B2479" s="2812"/>
      <c r="C2479" s="3077"/>
      <c r="D2479" s="3980"/>
      <c r="E2479" s="3883"/>
      <c r="F2479" s="3984" t="str">
        <f>$E$1840</f>
        <v>ASHP-SEER19_ER1_MF</v>
      </c>
      <c r="G2479" s="3984"/>
      <c r="H2479" s="3984"/>
      <c r="I2479" s="3984"/>
      <c r="J2479" s="3501" t="str">
        <f>$C$1840</f>
        <v>354500_2019_12_</v>
      </c>
      <c r="K2479" s="3421">
        <v>6.58</v>
      </c>
      <c r="L2479" s="704"/>
      <c r="M2479" s="3020" t="s">
        <v>1510</v>
      </c>
      <c r="N2479" s="106"/>
      <c r="O2479" s="106"/>
      <c r="P2479" s="106"/>
      <c r="Q2479" s="106"/>
      <c r="R2479" s="106"/>
      <c r="S2479" s="106"/>
      <c r="T2479" s="106"/>
      <c r="U2479" s="106"/>
      <c r="V2479" s="3980"/>
      <c r="W2479" s="3421">
        <v>5.44</v>
      </c>
      <c r="X2479" s="2374">
        <v>6.58</v>
      </c>
      <c r="Y2479" s="3421">
        <v>6.58</v>
      </c>
      <c r="Z2479" s="3421">
        <v>6.58</v>
      </c>
      <c r="AA2479" s="3421">
        <v>6.58</v>
      </c>
      <c r="AB2479" s="3421">
        <v>6.58</v>
      </c>
      <c r="AC2479" s="3428">
        <v>6.58</v>
      </c>
      <c r="AD2479" s="3421">
        <v>6.58</v>
      </c>
      <c r="AE2479" s="3429"/>
      <c r="AF2479" s="3421"/>
      <c r="AG2479" s="3421"/>
      <c r="AH2479" s="156"/>
      <c r="AI2479" s="156"/>
      <c r="AJ2479" s="156"/>
      <c r="AK2479" s="156"/>
      <c r="AL2479" s="156"/>
      <c r="AM2479" s="156"/>
      <c r="AN2479" s="156"/>
      <c r="AO2479" s="156"/>
      <c r="AP2479" s="156"/>
      <c r="AQ2479" s="156"/>
      <c r="AR2479" s="156"/>
      <c r="AS2479" s="156"/>
      <c r="AT2479" s="156"/>
      <c r="AU2479" s="156"/>
      <c r="AV2479" s="156"/>
      <c r="AW2479" s="156"/>
      <c r="AX2479" s="156"/>
      <c r="AY2479" s="156"/>
      <c r="AZ2479" s="156"/>
      <c r="BA2479" s="156"/>
      <c r="BB2479" s="2828"/>
      <c r="BC2479" s="452"/>
      <c r="BD2479" s="2829"/>
      <c r="BE2479" s="2837"/>
      <c r="BF2479" s="156"/>
    </row>
    <row r="2480" spans="1:58" ht="15" customHeight="1" outlineLevel="1" x14ac:dyDescent="0.35">
      <c r="A2480" s="1071"/>
      <c r="B2480" s="2812"/>
      <c r="C2480" s="3077"/>
      <c r="D2480" s="3980"/>
      <c r="E2480" s="3883"/>
      <c r="F2480" s="3984" t="str">
        <f>$E$1842</f>
        <v>ASHP-SEER19_ER2_MF</v>
      </c>
      <c r="G2480" s="3984"/>
      <c r="H2480" s="3984"/>
      <c r="I2480" s="3984"/>
      <c r="J2480" s="3501" t="str">
        <f>$C$1842</f>
        <v>354500_2019_12_</v>
      </c>
      <c r="K2480" s="3421">
        <v>8.1999999999999993</v>
      </c>
      <c r="L2480" s="704"/>
      <c r="M2480" s="3020" t="s">
        <v>1510</v>
      </c>
      <c r="N2480" s="106"/>
      <c r="O2480" s="106"/>
      <c r="P2480" s="106"/>
      <c r="Q2480" s="106"/>
      <c r="R2480" s="106"/>
      <c r="S2480" s="106"/>
      <c r="T2480" s="106"/>
      <c r="U2480" s="106"/>
      <c r="V2480" s="3980"/>
      <c r="W2480" s="3421">
        <v>8.1999999999999993</v>
      </c>
      <c r="X2480" s="3421">
        <v>8.1999999999999993</v>
      </c>
      <c r="Y2480" s="3421">
        <v>8.1999999999999993</v>
      </c>
      <c r="Z2480" s="3421">
        <v>8.1999999999999993</v>
      </c>
      <c r="AA2480" s="3421">
        <v>8.1999999999999993</v>
      </c>
      <c r="AB2480" s="3421">
        <v>8.1999999999999993</v>
      </c>
      <c r="AC2480" s="3428">
        <v>8.1999999999999993</v>
      </c>
      <c r="AD2480" s="3421">
        <v>8.1999999999999993</v>
      </c>
      <c r="AE2480" s="3429"/>
      <c r="AF2480" s="3421"/>
      <c r="AG2480" s="3421"/>
      <c r="AH2480" s="156"/>
      <c r="AI2480" s="156"/>
      <c r="AJ2480" s="156"/>
      <c r="AK2480" s="156"/>
      <c r="AL2480" s="156"/>
      <c r="AM2480" s="156"/>
      <c r="AN2480" s="156"/>
      <c r="AO2480" s="156"/>
      <c r="AP2480" s="156"/>
      <c r="AQ2480" s="156"/>
      <c r="AR2480" s="156"/>
      <c r="AS2480" s="156"/>
      <c r="AT2480" s="156"/>
      <c r="AU2480" s="156"/>
      <c r="AV2480" s="156"/>
      <c r="AW2480" s="156"/>
      <c r="AX2480" s="156"/>
      <c r="AY2480" s="156"/>
      <c r="AZ2480" s="156"/>
      <c r="BA2480" s="156"/>
      <c r="BB2480" s="2828"/>
      <c r="BC2480" s="452"/>
      <c r="BD2480" s="2829"/>
      <c r="BE2480" s="2837"/>
      <c r="BF2480" s="156"/>
    </row>
    <row r="2481" spans="1:58" ht="15" customHeight="1" outlineLevel="1" x14ac:dyDescent="0.35">
      <c r="A2481" s="1071"/>
      <c r="B2481" s="2812"/>
      <c r="C2481" s="3077"/>
      <c r="D2481" s="3980"/>
      <c r="E2481" s="3883"/>
      <c r="F2481" s="3984" t="str">
        <f>$E$1844</f>
        <v>ASHP-SEER19_ER1_MF_CompE</v>
      </c>
      <c r="G2481" s="3984"/>
      <c r="H2481" s="3984"/>
      <c r="I2481" s="3984"/>
      <c r="J2481" s="3501" t="str">
        <f>$C$1844</f>
        <v>354501_2019_12_</v>
      </c>
      <c r="K2481" s="3421">
        <v>6.58</v>
      </c>
      <c r="L2481" s="704"/>
      <c r="M2481" s="3020" t="s">
        <v>1510</v>
      </c>
      <c r="N2481" s="106"/>
      <c r="O2481" s="106"/>
      <c r="P2481" s="106"/>
      <c r="Q2481" s="106"/>
      <c r="R2481" s="106"/>
      <c r="S2481" s="106"/>
      <c r="T2481" s="106"/>
      <c r="U2481" s="106"/>
      <c r="V2481" s="3980"/>
      <c r="W2481" s="3421"/>
      <c r="X2481" s="3421"/>
      <c r="Y2481" s="2374">
        <v>6.58</v>
      </c>
      <c r="Z2481" s="3421">
        <v>6.58</v>
      </c>
      <c r="AA2481" s="3421">
        <v>6.58</v>
      </c>
      <c r="AB2481" s="3421">
        <v>6.58</v>
      </c>
      <c r="AC2481" s="3428">
        <v>6.58</v>
      </c>
      <c r="AD2481" s="3421">
        <v>6.58</v>
      </c>
      <c r="AE2481" s="3429"/>
      <c r="AF2481" s="3421"/>
      <c r="AG2481" s="3421"/>
      <c r="AH2481" s="156"/>
      <c r="AI2481" s="156"/>
      <c r="AJ2481" s="156"/>
      <c r="AK2481" s="156"/>
      <c r="AL2481" s="156"/>
      <c r="AM2481" s="156"/>
      <c r="AN2481" s="156"/>
      <c r="AO2481" s="156"/>
      <c r="AP2481" s="156"/>
      <c r="AQ2481" s="156"/>
      <c r="AR2481" s="156"/>
      <c r="AS2481" s="156"/>
      <c r="AT2481" s="156"/>
      <c r="AU2481" s="156"/>
      <c r="AV2481" s="156"/>
      <c r="AW2481" s="156"/>
      <c r="AX2481" s="156"/>
      <c r="AY2481" s="156"/>
      <c r="AZ2481" s="156"/>
      <c r="BA2481" s="156"/>
      <c r="BB2481" s="2828"/>
      <c r="BC2481" s="452"/>
      <c r="BD2481" s="2829"/>
      <c r="BE2481" s="2837"/>
      <c r="BF2481" s="156"/>
    </row>
    <row r="2482" spans="1:58" ht="15" customHeight="1" outlineLevel="1" x14ac:dyDescent="0.35">
      <c r="A2482" s="1071"/>
      <c r="B2482" s="2812"/>
      <c r="C2482" s="3077"/>
      <c r="D2482" s="3980"/>
      <c r="E2482" s="3883"/>
      <c r="F2482" s="3984" t="str">
        <f>$E$1846</f>
        <v>ASHP-SEER19_ER2_MF_CompE</v>
      </c>
      <c r="G2482" s="3984"/>
      <c r="H2482" s="3984"/>
      <c r="I2482" s="3984"/>
      <c r="J2482" s="3501" t="str">
        <f>$C$1846</f>
        <v>354501_2019_12_</v>
      </c>
      <c r="K2482" s="3421">
        <v>8.1999999999999993</v>
      </c>
      <c r="L2482" s="704"/>
      <c r="M2482" s="3020" t="s">
        <v>1510</v>
      </c>
      <c r="N2482" s="106"/>
      <c r="O2482" s="106"/>
      <c r="P2482" s="106"/>
      <c r="Q2482" s="106"/>
      <c r="R2482" s="106"/>
      <c r="S2482" s="106"/>
      <c r="T2482" s="106"/>
      <c r="U2482" s="106"/>
      <c r="V2482" s="3980"/>
      <c r="W2482" s="3421"/>
      <c r="X2482" s="3421"/>
      <c r="Y2482" s="2374">
        <v>8.1999999999999993</v>
      </c>
      <c r="Z2482" s="3421">
        <v>8.1999999999999993</v>
      </c>
      <c r="AA2482" s="3421">
        <v>8.1999999999999993</v>
      </c>
      <c r="AB2482" s="3421">
        <v>8.1999999999999993</v>
      </c>
      <c r="AC2482" s="3428">
        <v>8.1999999999999993</v>
      </c>
      <c r="AD2482" s="3421">
        <v>8.1999999999999993</v>
      </c>
      <c r="AE2482" s="3429"/>
      <c r="AF2482" s="3421"/>
      <c r="AG2482" s="3421"/>
      <c r="AH2482" s="156"/>
      <c r="AI2482" s="156"/>
      <c r="AJ2482" s="156"/>
      <c r="AK2482" s="156"/>
      <c r="AL2482" s="156"/>
      <c r="AM2482" s="156"/>
      <c r="AN2482" s="156"/>
      <c r="AO2482" s="156"/>
      <c r="AP2482" s="156"/>
      <c r="AQ2482" s="156"/>
      <c r="AR2482" s="156"/>
      <c r="AS2482" s="156"/>
      <c r="AT2482" s="156"/>
      <c r="AU2482" s="156"/>
      <c r="AV2482" s="156"/>
      <c r="AW2482" s="156"/>
      <c r="AX2482" s="156"/>
      <c r="AY2482" s="156"/>
      <c r="AZ2482" s="156"/>
      <c r="BA2482" s="156"/>
      <c r="BB2482" s="2828"/>
      <c r="BC2482" s="452"/>
      <c r="BD2482" s="2829"/>
      <c r="BE2482" s="2837"/>
      <c r="BF2482" s="156"/>
    </row>
    <row r="2483" spans="1:58" ht="15" customHeight="1" outlineLevel="1" x14ac:dyDescent="0.35">
      <c r="A2483" s="1071"/>
      <c r="B2483" s="2812"/>
      <c r="C2483" s="3077"/>
      <c r="D2483" s="3980"/>
      <c r="E2483" s="3883"/>
      <c r="F2483" s="3984" t="str">
        <f>$E$1848</f>
        <v>ASHP-SEER20_ER1_SF</v>
      </c>
      <c r="G2483" s="3984"/>
      <c r="H2483" s="3984"/>
      <c r="I2483" s="3984"/>
      <c r="J2483" s="3501" t="str">
        <f>$C$1848</f>
        <v>354550_2021_12_</v>
      </c>
      <c r="K2483" s="3421">
        <v>6.58</v>
      </c>
      <c r="L2483" s="704"/>
      <c r="M2483" s="3020" t="s">
        <v>810</v>
      </c>
      <c r="N2483" s="106"/>
      <c r="O2483" s="106"/>
      <c r="P2483" s="106"/>
      <c r="Q2483" s="106"/>
      <c r="R2483" s="106"/>
      <c r="S2483" s="106"/>
      <c r="T2483" s="106"/>
      <c r="U2483" s="106"/>
      <c r="V2483" s="3980"/>
      <c r="W2483" s="3421">
        <v>5.44</v>
      </c>
      <c r="X2483" s="2374">
        <v>6.58</v>
      </c>
      <c r="Y2483" s="3421">
        <v>6.58</v>
      </c>
      <c r="Z2483" s="3421">
        <v>6.58</v>
      </c>
      <c r="AA2483" s="3421">
        <v>6.58</v>
      </c>
      <c r="AB2483" s="3421">
        <v>6.58</v>
      </c>
      <c r="AC2483" s="3428">
        <v>6.58</v>
      </c>
      <c r="AD2483" s="3421">
        <v>6.58</v>
      </c>
      <c r="AE2483" s="3429"/>
      <c r="AF2483" s="3421"/>
      <c r="AG2483" s="3421"/>
      <c r="AH2483" s="156"/>
      <c r="AI2483" s="156"/>
      <c r="AJ2483" s="156"/>
      <c r="AK2483" s="156"/>
      <c r="AL2483" s="156"/>
      <c r="AM2483" s="156"/>
      <c r="AN2483" s="156"/>
      <c r="AO2483" s="156"/>
      <c r="AP2483" s="156"/>
      <c r="AQ2483" s="156"/>
      <c r="AR2483" s="156"/>
      <c r="AS2483" s="156"/>
      <c r="AT2483" s="156"/>
      <c r="AU2483" s="156"/>
      <c r="AV2483" s="156"/>
      <c r="AW2483" s="156"/>
      <c r="AX2483" s="156"/>
      <c r="AY2483" s="156"/>
      <c r="AZ2483" s="156"/>
      <c r="BA2483" s="156"/>
      <c r="BB2483" s="2828"/>
      <c r="BC2483" s="452"/>
      <c r="BD2483" s="2829"/>
      <c r="BE2483" s="2837"/>
      <c r="BF2483" s="156"/>
    </row>
    <row r="2484" spans="1:58" ht="15" customHeight="1" outlineLevel="1" x14ac:dyDescent="0.35">
      <c r="A2484" s="1071"/>
      <c r="B2484" s="2812"/>
      <c r="C2484" s="3077"/>
      <c r="D2484" s="3980"/>
      <c r="E2484" s="3883"/>
      <c r="F2484" s="3984" t="str">
        <f>$E$1850</f>
        <v>ASHP-SEER20_ER2_SF</v>
      </c>
      <c r="G2484" s="3984"/>
      <c r="H2484" s="3984"/>
      <c r="I2484" s="3984"/>
      <c r="J2484" s="3501" t="str">
        <f>$C$1850</f>
        <v>354550_2021_12_</v>
      </c>
      <c r="K2484" s="3421">
        <v>8.1999999999999993</v>
      </c>
      <c r="L2484" s="704"/>
      <c r="M2484" s="3020" t="s">
        <v>810</v>
      </c>
      <c r="N2484" s="106"/>
      <c r="O2484" s="106"/>
      <c r="P2484" s="106"/>
      <c r="Q2484" s="106"/>
      <c r="R2484" s="106"/>
      <c r="S2484" s="106"/>
      <c r="T2484" s="106"/>
      <c r="U2484" s="106"/>
      <c r="V2484" s="3980"/>
      <c r="W2484" s="3421">
        <v>8.1999999999999993</v>
      </c>
      <c r="X2484" s="3421">
        <v>8.1999999999999993</v>
      </c>
      <c r="Y2484" s="3421">
        <v>8.1999999999999993</v>
      </c>
      <c r="Z2484" s="3421">
        <v>8.1999999999999993</v>
      </c>
      <c r="AA2484" s="3421">
        <v>8.1999999999999993</v>
      </c>
      <c r="AB2484" s="3421">
        <v>8.1999999999999993</v>
      </c>
      <c r="AC2484" s="3428">
        <v>8.1999999999999993</v>
      </c>
      <c r="AD2484" s="3421">
        <v>8.1999999999999993</v>
      </c>
      <c r="AE2484" s="3429"/>
      <c r="AF2484" s="3421"/>
      <c r="AG2484" s="3421"/>
      <c r="AH2484" s="156"/>
      <c r="AI2484" s="156"/>
      <c r="AJ2484" s="156"/>
      <c r="AK2484" s="156"/>
      <c r="AL2484" s="156"/>
      <c r="AM2484" s="156"/>
      <c r="AN2484" s="156"/>
      <c r="AO2484" s="156"/>
      <c r="AP2484" s="156"/>
      <c r="AQ2484" s="156"/>
      <c r="AR2484" s="156"/>
      <c r="AS2484" s="156"/>
      <c r="AT2484" s="156"/>
      <c r="AU2484" s="156"/>
      <c r="AV2484" s="156"/>
      <c r="AW2484" s="156"/>
      <c r="AX2484" s="156"/>
      <c r="AY2484" s="156"/>
      <c r="AZ2484" s="156"/>
      <c r="BA2484" s="156"/>
      <c r="BB2484" s="2828"/>
      <c r="BC2484" s="452"/>
      <c r="BD2484" s="2829"/>
      <c r="BE2484" s="2837"/>
      <c r="BF2484" s="156"/>
    </row>
    <row r="2485" spans="1:58" ht="15" customHeight="1" outlineLevel="1" x14ac:dyDescent="0.35">
      <c r="A2485" s="1071"/>
      <c r="B2485" s="2812"/>
      <c r="C2485" s="3077"/>
      <c r="D2485" s="3980"/>
      <c r="E2485" s="3883"/>
      <c r="F2485" s="3984" t="str">
        <f>$E$1852</f>
        <v>ASHP-SEER20_ROF_SF</v>
      </c>
      <c r="G2485" s="3984"/>
      <c r="H2485" s="3984"/>
      <c r="I2485" s="3984"/>
      <c r="J2485" s="3501" t="str">
        <f>$C$1852</f>
        <v>354600_2021_12_</v>
      </c>
      <c r="K2485" s="3421">
        <v>8.1999999999999993</v>
      </c>
      <c r="L2485" s="704"/>
      <c r="M2485" s="3020" t="s">
        <v>810</v>
      </c>
      <c r="N2485" s="106"/>
      <c r="O2485" s="106"/>
      <c r="P2485" s="106"/>
      <c r="Q2485" s="106"/>
      <c r="R2485" s="106"/>
      <c r="S2485" s="106"/>
      <c r="T2485" s="106"/>
      <c r="U2485" s="106"/>
      <c r="V2485" s="3980"/>
      <c r="W2485" s="3421">
        <v>8.1999999999999993</v>
      </c>
      <c r="X2485" s="3421">
        <v>8.1999999999999993</v>
      </c>
      <c r="Y2485" s="3421">
        <v>8.1999999999999993</v>
      </c>
      <c r="Z2485" s="3421">
        <v>8.1999999999999993</v>
      </c>
      <c r="AA2485" s="3421">
        <v>8.1999999999999993</v>
      </c>
      <c r="AB2485" s="3421">
        <v>8.1999999999999993</v>
      </c>
      <c r="AC2485" s="3428">
        <v>8.1999999999999993</v>
      </c>
      <c r="AD2485" s="3421">
        <v>8.1999999999999993</v>
      </c>
      <c r="AE2485" s="3429"/>
      <c r="AF2485" s="3421"/>
      <c r="AG2485" s="3421"/>
      <c r="AH2485" s="156"/>
      <c r="AI2485" s="156"/>
      <c r="AJ2485" s="156"/>
      <c r="AK2485" s="156"/>
      <c r="AL2485" s="156"/>
      <c r="AM2485" s="156"/>
      <c r="AN2485" s="156"/>
      <c r="AO2485" s="156"/>
      <c r="AP2485" s="156"/>
      <c r="AQ2485" s="156"/>
      <c r="AR2485" s="156"/>
      <c r="AS2485" s="156"/>
      <c r="AT2485" s="156"/>
      <c r="AU2485" s="156"/>
      <c r="AV2485" s="156"/>
      <c r="AW2485" s="156"/>
      <c r="AX2485" s="156"/>
      <c r="AY2485" s="156"/>
      <c r="AZ2485" s="156"/>
      <c r="BA2485" s="156"/>
      <c r="BB2485" s="2828"/>
      <c r="BC2485" s="452"/>
      <c r="BD2485" s="2829"/>
      <c r="BE2485" s="2837"/>
      <c r="BF2485" s="156"/>
    </row>
    <row r="2486" spans="1:58" ht="15" customHeight="1" outlineLevel="1" x14ac:dyDescent="0.35">
      <c r="A2486" s="1071"/>
      <c r="B2486" s="2812"/>
      <c r="C2486" s="3077"/>
      <c r="D2486" s="3980"/>
      <c r="E2486" s="3883"/>
      <c r="F2486" s="3984" t="str">
        <f>$E$1854</f>
        <v>ASHP-SEER20-Replace_CAC_ElectricHeat_ER1_MF</v>
      </c>
      <c r="G2486" s="3984"/>
      <c r="H2486" s="3984"/>
      <c r="I2486" s="3984"/>
      <c r="J2486" s="3501" t="str">
        <f>$C$1854</f>
        <v>354650_2019_12_</v>
      </c>
      <c r="K2486" s="3421">
        <v>3.41</v>
      </c>
      <c r="L2486" s="704"/>
      <c r="M2486" s="3020" t="s">
        <v>1510</v>
      </c>
      <c r="N2486" s="106"/>
      <c r="O2486" s="106"/>
      <c r="P2486" s="106"/>
      <c r="Q2486" s="106"/>
      <c r="R2486" s="106"/>
      <c r="S2486" s="106"/>
      <c r="T2486" s="106"/>
      <c r="U2486" s="106"/>
      <c r="V2486" s="3980"/>
      <c r="W2486" s="3421">
        <v>3.41</v>
      </c>
      <c r="X2486" s="3421">
        <v>3.41</v>
      </c>
      <c r="Y2486" s="3421">
        <v>3.41</v>
      </c>
      <c r="Z2486" s="3421">
        <v>3.41</v>
      </c>
      <c r="AA2486" s="3421">
        <v>3.41</v>
      </c>
      <c r="AB2486" s="3421">
        <v>3.41</v>
      </c>
      <c r="AC2486" s="3428">
        <v>3.41</v>
      </c>
      <c r="AD2486" s="3421">
        <v>3.41</v>
      </c>
      <c r="AE2486" s="3429"/>
      <c r="AF2486" s="3421"/>
      <c r="AG2486" s="3421"/>
      <c r="AH2486" s="156"/>
      <c r="AI2486" s="156"/>
      <c r="AJ2486" s="156"/>
      <c r="AK2486" s="156"/>
      <c r="AL2486" s="156"/>
      <c r="AM2486" s="156"/>
      <c r="AN2486" s="156"/>
      <c r="AO2486" s="156"/>
      <c r="AP2486" s="156"/>
      <c r="AQ2486" s="156"/>
      <c r="AR2486" s="156"/>
      <c r="AS2486" s="156"/>
      <c r="AT2486" s="156"/>
      <c r="AU2486" s="156"/>
      <c r="AV2486" s="156"/>
      <c r="AW2486" s="156"/>
      <c r="AX2486" s="156"/>
      <c r="AY2486" s="156"/>
      <c r="AZ2486" s="156"/>
      <c r="BA2486" s="156"/>
      <c r="BB2486" s="2828"/>
      <c r="BC2486" s="452"/>
      <c r="BD2486" s="2829"/>
      <c r="BE2486" s="2837"/>
      <c r="BF2486" s="156"/>
    </row>
    <row r="2487" spans="1:58" ht="15" customHeight="1" outlineLevel="1" x14ac:dyDescent="0.35">
      <c r="A2487" s="1071"/>
      <c r="B2487" s="2812"/>
      <c r="C2487" s="3077"/>
      <c r="D2487" s="3980"/>
      <c r="E2487" s="3883"/>
      <c r="F2487" s="3984" t="str">
        <f>$E$1856</f>
        <v>ASHP-SEER20-Replace_CAC_ElectricHeat_ER2_MF</v>
      </c>
      <c r="G2487" s="3984"/>
      <c r="H2487" s="3984"/>
      <c r="I2487" s="3984"/>
      <c r="J2487" s="3501" t="str">
        <f>$C$1856</f>
        <v>354650_2019_12_</v>
      </c>
      <c r="K2487" s="3421">
        <v>3.41</v>
      </c>
      <c r="L2487" s="704"/>
      <c r="M2487" s="3020" t="s">
        <v>1510</v>
      </c>
      <c r="N2487" s="106"/>
      <c r="O2487" s="106"/>
      <c r="P2487" s="106"/>
      <c r="Q2487" s="106"/>
      <c r="R2487" s="106"/>
      <c r="S2487" s="106"/>
      <c r="T2487" s="106"/>
      <c r="U2487" s="106"/>
      <c r="V2487" s="3980"/>
      <c r="W2487" s="3421">
        <v>3.41</v>
      </c>
      <c r="X2487" s="3421">
        <v>3.41</v>
      </c>
      <c r="Y2487" s="3421">
        <v>3.41</v>
      </c>
      <c r="Z2487" s="3421">
        <v>3.41</v>
      </c>
      <c r="AA2487" s="3421">
        <v>3.41</v>
      </c>
      <c r="AB2487" s="3421">
        <v>3.41</v>
      </c>
      <c r="AC2487" s="3428">
        <v>3.41</v>
      </c>
      <c r="AD2487" s="3421">
        <v>3.41</v>
      </c>
      <c r="AE2487" s="3429"/>
      <c r="AF2487" s="3421"/>
      <c r="AG2487" s="3421"/>
      <c r="AH2487" s="156"/>
      <c r="AI2487" s="156"/>
      <c r="AJ2487" s="156"/>
      <c r="AK2487" s="156"/>
      <c r="AL2487" s="156"/>
      <c r="AM2487" s="156"/>
      <c r="AN2487" s="156"/>
      <c r="AO2487" s="156"/>
      <c r="AP2487" s="156"/>
      <c r="AQ2487" s="156"/>
      <c r="AR2487" s="156"/>
      <c r="AS2487" s="156"/>
      <c r="AT2487" s="156"/>
      <c r="AU2487" s="156"/>
      <c r="AV2487" s="156"/>
      <c r="AW2487" s="156"/>
      <c r="AX2487" s="156"/>
      <c r="AY2487" s="156"/>
      <c r="AZ2487" s="156"/>
      <c r="BA2487" s="156"/>
      <c r="BB2487" s="2828"/>
      <c r="BC2487" s="452"/>
      <c r="BD2487" s="2829"/>
      <c r="BE2487" s="2837"/>
      <c r="BF2487" s="156"/>
    </row>
    <row r="2488" spans="1:58" ht="15" customHeight="1" outlineLevel="1" x14ac:dyDescent="0.35">
      <c r="A2488" s="1071"/>
      <c r="B2488" s="2812"/>
      <c r="C2488" s="3077"/>
      <c r="D2488" s="3980"/>
      <c r="E2488" s="3883"/>
      <c r="F2488" s="3984" t="str">
        <f>$E$1858</f>
        <v>ASHP-SEER20-Replace_CAC_ElectricHeat_ER1_MF_CompE</v>
      </c>
      <c r="G2488" s="3984"/>
      <c r="H2488" s="3984"/>
      <c r="I2488" s="3984"/>
      <c r="J2488" s="3501" t="str">
        <f>$C$1858</f>
        <v>354651_2019_12_</v>
      </c>
      <c r="K2488" s="3421">
        <v>3.41</v>
      </c>
      <c r="L2488" s="704"/>
      <c r="M2488" s="3020" t="s">
        <v>1510</v>
      </c>
      <c r="N2488" s="106"/>
      <c r="O2488" s="106"/>
      <c r="P2488" s="106"/>
      <c r="Q2488" s="106"/>
      <c r="R2488" s="106"/>
      <c r="S2488" s="106"/>
      <c r="T2488" s="106"/>
      <c r="U2488" s="106"/>
      <c r="V2488" s="3980"/>
      <c r="W2488" s="3421"/>
      <c r="X2488" s="3421"/>
      <c r="Y2488" s="2374">
        <v>3.41</v>
      </c>
      <c r="Z2488" s="3421">
        <v>3.41</v>
      </c>
      <c r="AA2488" s="3421">
        <v>3.41</v>
      </c>
      <c r="AB2488" s="3421">
        <v>3.41</v>
      </c>
      <c r="AC2488" s="3428">
        <v>3.41</v>
      </c>
      <c r="AD2488" s="3421">
        <v>3.41</v>
      </c>
      <c r="AE2488" s="3429"/>
      <c r="AF2488" s="3421"/>
      <c r="AG2488" s="3421"/>
      <c r="AH2488" s="156"/>
      <c r="AI2488" s="156"/>
      <c r="AJ2488" s="156"/>
      <c r="AK2488" s="156"/>
      <c r="AL2488" s="156"/>
      <c r="AM2488" s="156"/>
      <c r="AN2488" s="156"/>
      <c r="AO2488" s="156"/>
      <c r="AP2488" s="156"/>
      <c r="AQ2488" s="156"/>
      <c r="AR2488" s="156"/>
      <c r="AS2488" s="156"/>
      <c r="AT2488" s="156"/>
      <c r="AU2488" s="156"/>
      <c r="AV2488" s="156"/>
      <c r="AW2488" s="156"/>
      <c r="AX2488" s="156"/>
      <c r="AY2488" s="156"/>
      <c r="AZ2488" s="156"/>
      <c r="BA2488" s="156"/>
      <c r="BB2488" s="2828"/>
      <c r="BC2488" s="452"/>
      <c r="BD2488" s="2829"/>
      <c r="BE2488" s="2837"/>
      <c r="BF2488" s="156"/>
    </row>
    <row r="2489" spans="1:58" ht="15" customHeight="1" outlineLevel="1" x14ac:dyDescent="0.35">
      <c r="A2489" s="1071"/>
      <c r="B2489" s="2812"/>
      <c r="C2489" s="3077"/>
      <c r="D2489" s="3980"/>
      <c r="E2489" s="3883"/>
      <c r="F2489" s="3984" t="str">
        <f>$E$1860</f>
        <v>ASHP-SEER20-Replace_CAC_ElectricHeat_ER2_MF_CompE</v>
      </c>
      <c r="G2489" s="3984"/>
      <c r="H2489" s="3984"/>
      <c r="I2489" s="3984"/>
      <c r="J2489" s="3501" t="str">
        <f>$C$1860</f>
        <v>354651_2019_12_</v>
      </c>
      <c r="K2489" s="3421">
        <v>3.41</v>
      </c>
      <c r="L2489" s="704"/>
      <c r="M2489" s="3020" t="s">
        <v>1510</v>
      </c>
      <c r="N2489" s="106"/>
      <c r="O2489" s="106"/>
      <c r="P2489" s="106"/>
      <c r="Q2489" s="106"/>
      <c r="R2489" s="106"/>
      <c r="S2489" s="106"/>
      <c r="T2489" s="106"/>
      <c r="U2489" s="106"/>
      <c r="V2489" s="3980"/>
      <c r="W2489" s="3421"/>
      <c r="X2489" s="3421"/>
      <c r="Y2489" s="2374">
        <v>3.41</v>
      </c>
      <c r="Z2489" s="3421">
        <v>3.41</v>
      </c>
      <c r="AA2489" s="3421">
        <v>3.41</v>
      </c>
      <c r="AB2489" s="3421">
        <v>3.41</v>
      </c>
      <c r="AC2489" s="3428">
        <v>3.41</v>
      </c>
      <c r="AD2489" s="3421">
        <v>3.41</v>
      </c>
      <c r="AE2489" s="3429"/>
      <c r="AF2489" s="3421"/>
      <c r="AG2489" s="3421"/>
      <c r="AH2489" s="156"/>
      <c r="AI2489" s="156"/>
      <c r="AJ2489" s="156"/>
      <c r="AK2489" s="156"/>
      <c r="AL2489" s="156"/>
      <c r="AM2489" s="156"/>
      <c r="AN2489" s="156"/>
      <c r="AO2489" s="156"/>
      <c r="AP2489" s="156"/>
      <c r="AQ2489" s="156"/>
      <c r="AR2489" s="156"/>
      <c r="AS2489" s="156"/>
      <c r="AT2489" s="156"/>
      <c r="AU2489" s="156"/>
      <c r="AV2489" s="156"/>
      <c r="AW2489" s="156"/>
      <c r="AX2489" s="156"/>
      <c r="AY2489" s="156"/>
      <c r="AZ2489" s="156"/>
      <c r="BA2489" s="156"/>
      <c r="BB2489" s="2828"/>
      <c r="BC2489" s="452"/>
      <c r="BD2489" s="2829"/>
      <c r="BE2489" s="2837"/>
      <c r="BF2489" s="156"/>
    </row>
    <row r="2490" spans="1:58" ht="15" customHeight="1" outlineLevel="1" x14ac:dyDescent="0.35">
      <c r="A2490" s="1071"/>
      <c r="B2490" s="2812"/>
      <c r="C2490" s="3077"/>
      <c r="D2490" s="3980"/>
      <c r="E2490" s="3883"/>
      <c r="F2490" s="3984" t="str">
        <f>$E$1862</f>
        <v>ASHP-SEER20-Replace_CAC_NonElectricHeat_ER1_MF</v>
      </c>
      <c r="G2490" s="3984"/>
      <c r="H2490" s="3984"/>
      <c r="I2490" s="3984"/>
      <c r="J2490" s="3501" t="str">
        <f>$C$1862</f>
        <v>354660_2021_12_</v>
      </c>
      <c r="K2490" s="2042">
        <v>0</v>
      </c>
      <c r="L2490" s="704"/>
      <c r="M2490" s="3020" t="s">
        <v>1509</v>
      </c>
      <c r="N2490" s="106"/>
      <c r="O2490" s="106"/>
      <c r="P2490" s="106"/>
      <c r="Q2490" s="106"/>
      <c r="R2490" s="106"/>
      <c r="S2490" s="106"/>
      <c r="T2490" s="106"/>
      <c r="U2490" s="106"/>
      <c r="V2490" s="3980"/>
      <c r="W2490" s="3421"/>
      <c r="X2490" s="3421"/>
      <c r="Y2490" s="2374"/>
      <c r="Z2490" s="3421"/>
      <c r="AA2490" s="3421"/>
      <c r="AB2490" s="3421"/>
      <c r="AC2490" s="2292">
        <v>0</v>
      </c>
      <c r="AD2490" s="2042">
        <v>0</v>
      </c>
      <c r="AE2490" s="3429"/>
      <c r="AF2490" s="3421"/>
      <c r="AG2490" s="3421"/>
      <c r="AH2490" s="156"/>
      <c r="AI2490" s="156"/>
      <c r="AJ2490" s="156"/>
      <c r="AK2490" s="156"/>
      <c r="AL2490" s="156"/>
      <c r="AM2490" s="156"/>
      <c r="AN2490" s="156"/>
      <c r="AO2490" s="156"/>
      <c r="AP2490" s="156"/>
      <c r="AQ2490" s="156"/>
      <c r="AR2490" s="156"/>
      <c r="AS2490" s="156"/>
      <c r="AT2490" s="156"/>
      <c r="AU2490" s="156"/>
      <c r="AV2490" s="156"/>
      <c r="AW2490" s="156"/>
      <c r="AX2490" s="156"/>
      <c r="AY2490" s="156"/>
      <c r="AZ2490" s="156"/>
      <c r="BA2490" s="156"/>
      <c r="BB2490" s="2828"/>
      <c r="BC2490" s="452"/>
      <c r="BD2490" s="2829"/>
      <c r="BE2490" s="2837"/>
      <c r="BF2490" s="156"/>
    </row>
    <row r="2491" spans="1:58" ht="15" customHeight="1" outlineLevel="1" x14ac:dyDescent="0.35">
      <c r="A2491" s="1071"/>
      <c r="B2491" s="2812"/>
      <c r="C2491" s="3077"/>
      <c r="D2491" s="3980"/>
      <c r="E2491" s="3883"/>
      <c r="F2491" s="3984" t="str">
        <f>$E$1864</f>
        <v>ASHP-SEER20-Replace_CAC_NonElectricHeat_ER2_MF</v>
      </c>
      <c r="G2491" s="3984"/>
      <c r="H2491" s="3984"/>
      <c r="I2491" s="3984"/>
      <c r="J2491" s="3501" t="str">
        <f>$C$1864</f>
        <v>354660_2021_12_</v>
      </c>
      <c r="K2491" s="2042">
        <v>0</v>
      </c>
      <c r="L2491" s="704"/>
      <c r="M2491" s="3020" t="s">
        <v>1509</v>
      </c>
      <c r="N2491" s="106"/>
      <c r="O2491" s="106"/>
      <c r="P2491" s="106"/>
      <c r="Q2491" s="106"/>
      <c r="R2491" s="106"/>
      <c r="S2491" s="106"/>
      <c r="T2491" s="106"/>
      <c r="U2491" s="106"/>
      <c r="V2491" s="3980"/>
      <c r="W2491" s="3421"/>
      <c r="X2491" s="3421"/>
      <c r="Y2491" s="2374"/>
      <c r="Z2491" s="3421"/>
      <c r="AA2491" s="3421"/>
      <c r="AB2491" s="3421"/>
      <c r="AC2491" s="2292">
        <v>0</v>
      </c>
      <c r="AD2491" s="2042">
        <v>0</v>
      </c>
      <c r="AE2491" s="3429"/>
      <c r="AF2491" s="3421"/>
      <c r="AG2491" s="3421"/>
      <c r="AH2491" s="156"/>
      <c r="AI2491" s="156"/>
      <c r="AJ2491" s="156"/>
      <c r="AK2491" s="156"/>
      <c r="AL2491" s="156"/>
      <c r="AM2491" s="156"/>
      <c r="AN2491" s="156"/>
      <c r="AO2491" s="156"/>
      <c r="AP2491" s="156"/>
      <c r="AQ2491" s="156"/>
      <c r="AR2491" s="156"/>
      <c r="AS2491" s="156"/>
      <c r="AT2491" s="156"/>
      <c r="AU2491" s="156"/>
      <c r="AV2491" s="156"/>
      <c r="AW2491" s="156"/>
      <c r="AX2491" s="156"/>
      <c r="AY2491" s="156"/>
      <c r="AZ2491" s="156"/>
      <c r="BA2491" s="156"/>
      <c r="BB2491" s="2828"/>
      <c r="BC2491" s="452"/>
      <c r="BD2491" s="2829"/>
      <c r="BE2491" s="2837"/>
      <c r="BF2491" s="156"/>
    </row>
    <row r="2492" spans="1:58" ht="15" customHeight="1" outlineLevel="1" x14ac:dyDescent="0.35">
      <c r="A2492" s="1071"/>
      <c r="B2492" s="2812"/>
      <c r="C2492" s="3077"/>
      <c r="D2492" s="3980"/>
      <c r="E2492" s="3883"/>
      <c r="F2492" s="3984" t="str">
        <f>$E$1866</f>
        <v>ASHP-SEER20-Replace_CAC_NonElectricHeat_ER1_MF_CompE</v>
      </c>
      <c r="G2492" s="3984"/>
      <c r="H2492" s="3984"/>
      <c r="I2492" s="3984"/>
      <c r="J2492" s="3501" t="str">
        <f>$C$1866</f>
        <v>354661_2021_12_</v>
      </c>
      <c r="K2492" s="2042">
        <v>0</v>
      </c>
      <c r="L2492" s="704"/>
      <c r="M2492" s="3020" t="s">
        <v>1509</v>
      </c>
      <c r="N2492" s="106"/>
      <c r="O2492" s="106"/>
      <c r="P2492" s="106"/>
      <c r="Q2492" s="106"/>
      <c r="R2492" s="106"/>
      <c r="S2492" s="106"/>
      <c r="T2492" s="106"/>
      <c r="U2492" s="106"/>
      <c r="V2492" s="3980"/>
      <c r="W2492" s="3421"/>
      <c r="X2492" s="3421"/>
      <c r="Y2492" s="2374"/>
      <c r="Z2492" s="3421"/>
      <c r="AA2492" s="3421"/>
      <c r="AB2492" s="3421"/>
      <c r="AC2492" s="2292">
        <v>0</v>
      </c>
      <c r="AD2492" s="2042">
        <v>0</v>
      </c>
      <c r="AE2492" s="3429"/>
      <c r="AF2492" s="3421"/>
      <c r="AG2492" s="3421"/>
      <c r="AH2492" s="156"/>
      <c r="AI2492" s="156"/>
      <c r="AJ2492" s="156"/>
      <c r="AK2492" s="156"/>
      <c r="AL2492" s="156"/>
      <c r="AM2492" s="156"/>
      <c r="AN2492" s="156"/>
      <c r="AO2492" s="156"/>
      <c r="AP2492" s="156"/>
      <c r="AQ2492" s="156"/>
      <c r="AR2492" s="156"/>
      <c r="AS2492" s="156"/>
      <c r="AT2492" s="156"/>
      <c r="AU2492" s="156"/>
      <c r="AV2492" s="156"/>
      <c r="AW2492" s="156"/>
      <c r="AX2492" s="156"/>
      <c r="AY2492" s="156"/>
      <c r="AZ2492" s="156"/>
      <c r="BA2492" s="156"/>
      <c r="BB2492" s="2828"/>
      <c r="BC2492" s="452"/>
      <c r="BD2492" s="2829"/>
      <c r="BE2492" s="2837"/>
      <c r="BF2492" s="156"/>
    </row>
    <row r="2493" spans="1:58" ht="15" customHeight="1" outlineLevel="1" x14ac:dyDescent="0.35">
      <c r="A2493" s="1071"/>
      <c r="B2493" s="2812"/>
      <c r="C2493" s="3077"/>
      <c r="D2493" s="3980"/>
      <c r="E2493" s="3883"/>
      <c r="F2493" s="3984" t="str">
        <f>$E$1868</f>
        <v>ASHP-SEER20-Replace_CAC_NonElectricHeat_ER2_MF_CompE</v>
      </c>
      <c r="G2493" s="3984"/>
      <c r="H2493" s="3984"/>
      <c r="I2493" s="3984"/>
      <c r="J2493" s="3501" t="str">
        <f>$C$1868</f>
        <v>354661_2021_12_</v>
      </c>
      <c r="K2493" s="2042">
        <v>0</v>
      </c>
      <c r="L2493" s="704"/>
      <c r="M2493" s="3020" t="s">
        <v>1509</v>
      </c>
      <c r="N2493" s="106"/>
      <c r="O2493" s="106"/>
      <c r="P2493" s="106"/>
      <c r="Q2493" s="106"/>
      <c r="R2493" s="106"/>
      <c r="S2493" s="106"/>
      <c r="T2493" s="106"/>
      <c r="U2493" s="106"/>
      <c r="V2493" s="3980"/>
      <c r="W2493" s="3421"/>
      <c r="X2493" s="3421"/>
      <c r="Y2493" s="2374"/>
      <c r="Z2493" s="3421"/>
      <c r="AA2493" s="3421"/>
      <c r="AB2493" s="3421"/>
      <c r="AC2493" s="2292">
        <v>0</v>
      </c>
      <c r="AD2493" s="2042">
        <v>0</v>
      </c>
      <c r="AE2493" s="3429"/>
      <c r="AF2493" s="3421"/>
      <c r="AG2493" s="3421"/>
      <c r="AH2493" s="156"/>
      <c r="AI2493" s="156"/>
      <c r="AJ2493" s="156"/>
      <c r="AK2493" s="156"/>
      <c r="AL2493" s="156"/>
      <c r="AM2493" s="156"/>
      <c r="AN2493" s="156"/>
      <c r="AO2493" s="156"/>
      <c r="AP2493" s="156"/>
      <c r="AQ2493" s="156"/>
      <c r="AR2493" s="156"/>
      <c r="AS2493" s="156"/>
      <c r="AT2493" s="156"/>
      <c r="AU2493" s="156"/>
      <c r="AV2493" s="156"/>
      <c r="AW2493" s="156"/>
      <c r="AX2493" s="156"/>
      <c r="AY2493" s="156"/>
      <c r="AZ2493" s="156"/>
      <c r="BA2493" s="156"/>
      <c r="BB2493" s="2828"/>
      <c r="BC2493" s="452"/>
      <c r="BD2493" s="2829"/>
      <c r="BE2493" s="2837"/>
      <c r="BF2493" s="156"/>
    </row>
    <row r="2494" spans="1:58" ht="15" customHeight="1" outlineLevel="1" x14ac:dyDescent="0.35">
      <c r="A2494" s="1071"/>
      <c r="B2494" s="2812"/>
      <c r="C2494" s="3077"/>
      <c r="D2494" s="3980"/>
      <c r="E2494" s="3883"/>
      <c r="F2494" s="3984" t="str">
        <f>$E$1870</f>
        <v>ASHP-SEER20_ER1_MF</v>
      </c>
      <c r="G2494" s="3984"/>
      <c r="H2494" s="3984"/>
      <c r="I2494" s="3984"/>
      <c r="J2494" s="3501" t="str">
        <f>$C$1870</f>
        <v>354700_2019_12_</v>
      </c>
      <c r="K2494" s="3421">
        <v>6.58</v>
      </c>
      <c r="L2494" s="704"/>
      <c r="M2494" s="3020" t="s">
        <v>1510</v>
      </c>
      <c r="N2494" s="106"/>
      <c r="O2494" s="106"/>
      <c r="P2494" s="106"/>
      <c r="Q2494" s="106"/>
      <c r="R2494" s="106"/>
      <c r="S2494" s="106"/>
      <c r="T2494" s="106"/>
      <c r="U2494" s="106"/>
      <c r="V2494" s="3980"/>
      <c r="W2494" s="3421">
        <v>5.44</v>
      </c>
      <c r="X2494" s="2374">
        <v>6.58</v>
      </c>
      <c r="Y2494" s="3421">
        <v>6.58</v>
      </c>
      <c r="Z2494" s="3421">
        <v>6.58</v>
      </c>
      <c r="AA2494" s="3421">
        <v>6.58</v>
      </c>
      <c r="AB2494" s="3421">
        <v>6.58</v>
      </c>
      <c r="AC2494" s="3428">
        <v>6.58</v>
      </c>
      <c r="AD2494" s="3421">
        <v>6.58</v>
      </c>
      <c r="AE2494" s="3429"/>
      <c r="AF2494" s="3421"/>
      <c r="AG2494" s="3421"/>
      <c r="AH2494" s="156"/>
      <c r="AI2494" s="156"/>
      <c r="AJ2494" s="156"/>
      <c r="AK2494" s="156"/>
      <c r="AL2494" s="156"/>
      <c r="AM2494" s="156"/>
      <c r="AN2494" s="156"/>
      <c r="AO2494" s="156"/>
      <c r="AP2494" s="156"/>
      <c r="AQ2494" s="156"/>
      <c r="AR2494" s="156"/>
      <c r="AS2494" s="156"/>
      <c r="AT2494" s="156"/>
      <c r="AU2494" s="156"/>
      <c r="AV2494" s="156"/>
      <c r="AW2494" s="156"/>
      <c r="AX2494" s="156"/>
      <c r="AY2494" s="156"/>
      <c r="AZ2494" s="156"/>
      <c r="BA2494" s="156"/>
      <c r="BB2494" s="2828"/>
      <c r="BC2494" s="452"/>
      <c r="BD2494" s="2829"/>
      <c r="BE2494" s="2837"/>
      <c r="BF2494" s="156"/>
    </row>
    <row r="2495" spans="1:58" ht="15" customHeight="1" outlineLevel="1" x14ac:dyDescent="0.35">
      <c r="A2495" s="1071"/>
      <c r="B2495" s="2812"/>
      <c r="C2495" s="3077"/>
      <c r="D2495" s="3980"/>
      <c r="E2495" s="3883"/>
      <c r="F2495" s="3984" t="str">
        <f>$E$1872</f>
        <v>ASHP-SEER20_ER2_MF</v>
      </c>
      <c r="G2495" s="3984"/>
      <c r="H2495" s="3984"/>
      <c r="I2495" s="3984"/>
      <c r="J2495" s="3501" t="str">
        <f>$C$1872</f>
        <v>354700_2019_12_</v>
      </c>
      <c r="K2495" s="3421">
        <v>8.1999999999999993</v>
      </c>
      <c r="L2495" s="704"/>
      <c r="M2495" s="3020" t="s">
        <v>1510</v>
      </c>
      <c r="N2495" s="106"/>
      <c r="O2495" s="106"/>
      <c r="P2495" s="106"/>
      <c r="Q2495" s="106"/>
      <c r="R2495" s="106"/>
      <c r="S2495" s="106"/>
      <c r="T2495" s="106"/>
      <c r="U2495" s="106"/>
      <c r="V2495" s="3980"/>
      <c r="W2495" s="3421">
        <v>8.1999999999999993</v>
      </c>
      <c r="X2495" s="3421">
        <v>8.1999999999999993</v>
      </c>
      <c r="Y2495" s="3421">
        <v>8.1999999999999993</v>
      </c>
      <c r="Z2495" s="3421">
        <v>8.1999999999999993</v>
      </c>
      <c r="AA2495" s="3421">
        <v>8.1999999999999993</v>
      </c>
      <c r="AB2495" s="3421">
        <v>8.1999999999999993</v>
      </c>
      <c r="AC2495" s="3428">
        <v>8.1999999999999993</v>
      </c>
      <c r="AD2495" s="3421">
        <v>8.1999999999999993</v>
      </c>
      <c r="AE2495" s="3429"/>
      <c r="AF2495" s="3421"/>
      <c r="AG2495" s="3421"/>
      <c r="AH2495" s="156"/>
      <c r="AI2495" s="156"/>
      <c r="AJ2495" s="156"/>
      <c r="AK2495" s="156"/>
      <c r="AL2495" s="156"/>
      <c r="AM2495" s="156"/>
      <c r="AN2495" s="156"/>
      <c r="AO2495" s="156"/>
      <c r="AP2495" s="156"/>
      <c r="AQ2495" s="156"/>
      <c r="AR2495" s="156"/>
      <c r="AS2495" s="156"/>
      <c r="AT2495" s="156"/>
      <c r="AU2495" s="156"/>
      <c r="AV2495" s="156"/>
      <c r="AW2495" s="156"/>
      <c r="AX2495" s="156"/>
      <c r="AY2495" s="156"/>
      <c r="AZ2495" s="156"/>
      <c r="BA2495" s="156"/>
      <c r="BB2495" s="2828"/>
      <c r="BC2495" s="452"/>
      <c r="BD2495" s="2829"/>
      <c r="BE2495" s="2837"/>
      <c r="BF2495" s="156"/>
    </row>
    <row r="2496" spans="1:58" ht="15" customHeight="1" outlineLevel="1" x14ac:dyDescent="0.35">
      <c r="A2496" s="1071"/>
      <c r="B2496" s="2812"/>
      <c r="C2496" s="3077"/>
      <c r="D2496" s="3980"/>
      <c r="E2496" s="3883"/>
      <c r="F2496" s="3984" t="str">
        <f>$E$1874</f>
        <v>ASHP-SEER20_ER1_MF_CompE</v>
      </c>
      <c r="G2496" s="3984"/>
      <c r="H2496" s="3984"/>
      <c r="I2496" s="3984"/>
      <c r="J2496" s="3501" t="str">
        <f>$C$1874</f>
        <v>354701_2019_12_</v>
      </c>
      <c r="K2496" s="3421">
        <v>6.58</v>
      </c>
      <c r="L2496" s="704"/>
      <c r="M2496" s="3020" t="s">
        <v>1510</v>
      </c>
      <c r="N2496" s="106"/>
      <c r="O2496" s="106"/>
      <c r="P2496" s="106"/>
      <c r="Q2496" s="106"/>
      <c r="R2496" s="106"/>
      <c r="S2496" s="106"/>
      <c r="T2496" s="106"/>
      <c r="U2496" s="106"/>
      <c r="V2496" s="3980"/>
      <c r="W2496" s="3421"/>
      <c r="X2496" s="3421"/>
      <c r="Y2496" s="2374">
        <v>6.58</v>
      </c>
      <c r="Z2496" s="3421">
        <v>6.58</v>
      </c>
      <c r="AA2496" s="3421">
        <v>6.58</v>
      </c>
      <c r="AB2496" s="3421">
        <v>6.58</v>
      </c>
      <c r="AC2496" s="3428">
        <v>6.58</v>
      </c>
      <c r="AD2496" s="3421">
        <v>6.58</v>
      </c>
      <c r="AE2496" s="3429"/>
      <c r="AF2496" s="3421"/>
      <c r="AG2496" s="3421"/>
      <c r="AH2496" s="156"/>
      <c r="AI2496" s="156"/>
      <c r="AJ2496" s="156"/>
      <c r="AK2496" s="156"/>
      <c r="AL2496" s="156"/>
      <c r="AM2496" s="156"/>
      <c r="AN2496" s="156"/>
      <c r="AO2496" s="156"/>
      <c r="AP2496" s="156"/>
      <c r="AQ2496" s="156"/>
      <c r="AR2496" s="156"/>
      <c r="AS2496" s="156"/>
      <c r="AT2496" s="156"/>
      <c r="AU2496" s="156"/>
      <c r="AV2496" s="156"/>
      <c r="AW2496" s="156"/>
      <c r="AX2496" s="156"/>
      <c r="AY2496" s="156"/>
      <c r="AZ2496" s="156"/>
      <c r="BA2496" s="156"/>
      <c r="BB2496" s="2828"/>
      <c r="BC2496" s="452"/>
      <c r="BD2496" s="2829"/>
      <c r="BE2496" s="2837"/>
      <c r="BF2496" s="156"/>
    </row>
    <row r="2497" spans="1:58" ht="15" customHeight="1" outlineLevel="1" x14ac:dyDescent="0.35">
      <c r="A2497" s="1071"/>
      <c r="B2497" s="2812"/>
      <c r="C2497" s="3077"/>
      <c r="D2497" s="3980"/>
      <c r="E2497" s="3883"/>
      <c r="F2497" s="3984" t="str">
        <f>$E$1876</f>
        <v>ASHP-SEER20_ER2_MF_CompE</v>
      </c>
      <c r="G2497" s="3984"/>
      <c r="H2497" s="3984"/>
      <c r="I2497" s="3984"/>
      <c r="J2497" s="3501" t="str">
        <f>$C$1876</f>
        <v>354701_2019_12_</v>
      </c>
      <c r="K2497" s="3421">
        <v>8.1999999999999993</v>
      </c>
      <c r="L2497" s="704"/>
      <c r="M2497" s="3020" t="s">
        <v>1510</v>
      </c>
      <c r="N2497" s="106"/>
      <c r="O2497" s="106"/>
      <c r="P2497" s="106"/>
      <c r="Q2497" s="106"/>
      <c r="R2497" s="106"/>
      <c r="S2497" s="106"/>
      <c r="T2497" s="106"/>
      <c r="U2497" s="106"/>
      <c r="V2497" s="3980"/>
      <c r="W2497" s="3421"/>
      <c r="X2497" s="3421"/>
      <c r="Y2497" s="2374">
        <v>8.1999999999999993</v>
      </c>
      <c r="Z2497" s="3421">
        <v>8.1999999999999993</v>
      </c>
      <c r="AA2497" s="3421">
        <v>8.1999999999999993</v>
      </c>
      <c r="AB2497" s="3421">
        <v>8.1999999999999993</v>
      </c>
      <c r="AC2497" s="3428">
        <v>8.1999999999999993</v>
      </c>
      <c r="AD2497" s="3421">
        <v>8.1999999999999993</v>
      </c>
      <c r="AE2497" s="3429"/>
      <c r="AF2497" s="3421"/>
      <c r="AG2497" s="3421"/>
      <c r="AH2497" s="156"/>
      <c r="AI2497" s="156"/>
      <c r="AJ2497" s="156"/>
      <c r="AK2497" s="156"/>
      <c r="AL2497" s="156"/>
      <c r="AM2497" s="156"/>
      <c r="AN2497" s="156"/>
      <c r="AO2497" s="156"/>
      <c r="AP2497" s="156"/>
      <c r="AQ2497" s="156"/>
      <c r="AR2497" s="156"/>
      <c r="AS2497" s="156"/>
      <c r="AT2497" s="156"/>
      <c r="AU2497" s="156"/>
      <c r="AV2497" s="156"/>
      <c r="AW2497" s="156"/>
      <c r="AX2497" s="156"/>
      <c r="AY2497" s="156"/>
      <c r="AZ2497" s="156"/>
      <c r="BA2497" s="156"/>
      <c r="BB2497" s="2828"/>
      <c r="BC2497" s="452"/>
      <c r="BD2497" s="2829"/>
      <c r="BE2497" s="2837"/>
      <c r="BF2497" s="156"/>
    </row>
    <row r="2498" spans="1:58" ht="15" customHeight="1" outlineLevel="1" x14ac:dyDescent="0.35">
      <c r="A2498" s="1071"/>
      <c r="B2498" s="2812"/>
      <c r="C2498" s="3077"/>
      <c r="D2498" s="3980"/>
      <c r="E2498" s="3883"/>
      <c r="F2498" s="3984" t="str">
        <f>$E$1878</f>
        <v>ASHP-SEER21_ER1_SF</v>
      </c>
      <c r="G2498" s="3984"/>
      <c r="H2498" s="3984"/>
      <c r="I2498" s="3984"/>
      <c r="J2498" s="3501" t="str">
        <f>$C$1878</f>
        <v>354750_2021_12_</v>
      </c>
      <c r="K2498" s="3421">
        <v>6.58</v>
      </c>
      <c r="L2498" s="704"/>
      <c r="M2498" s="3020" t="s">
        <v>810</v>
      </c>
      <c r="N2498" s="106"/>
      <c r="O2498" s="106"/>
      <c r="P2498" s="106"/>
      <c r="Q2498" s="106"/>
      <c r="R2498" s="106"/>
      <c r="S2498" s="106"/>
      <c r="T2498" s="106"/>
      <c r="U2498" s="106"/>
      <c r="V2498" s="3980"/>
      <c r="W2498" s="3421">
        <v>5.44</v>
      </c>
      <c r="X2498" s="2374">
        <v>6.58</v>
      </c>
      <c r="Y2498" s="3421">
        <v>6.58</v>
      </c>
      <c r="Z2498" s="3421">
        <v>6.58</v>
      </c>
      <c r="AA2498" s="3421">
        <v>6.58</v>
      </c>
      <c r="AB2498" s="3421">
        <v>6.58</v>
      </c>
      <c r="AC2498" s="3428">
        <v>6.58</v>
      </c>
      <c r="AD2498" s="3421">
        <v>6.58</v>
      </c>
      <c r="AE2498" s="3429"/>
      <c r="AF2498" s="3421"/>
      <c r="AG2498" s="3421"/>
      <c r="AH2498" s="156"/>
      <c r="AI2498" s="156"/>
      <c r="AJ2498" s="156"/>
      <c r="AK2498" s="156"/>
      <c r="AL2498" s="156"/>
      <c r="AM2498" s="156"/>
      <c r="AN2498" s="156"/>
      <c r="AO2498" s="156"/>
      <c r="AP2498" s="156"/>
      <c r="AQ2498" s="156"/>
      <c r="AR2498" s="156"/>
      <c r="AS2498" s="156"/>
      <c r="AT2498" s="156"/>
      <c r="AU2498" s="156"/>
      <c r="AV2498" s="156"/>
      <c r="AW2498" s="156"/>
      <c r="AX2498" s="156"/>
      <c r="AY2498" s="156"/>
      <c r="AZ2498" s="156"/>
      <c r="BA2498" s="156"/>
      <c r="BB2498" s="2828"/>
      <c r="BC2498" s="452"/>
      <c r="BD2498" s="2829"/>
      <c r="BE2498" s="2837"/>
      <c r="BF2498" s="156"/>
    </row>
    <row r="2499" spans="1:58" ht="15" customHeight="1" outlineLevel="1" x14ac:dyDescent="0.35">
      <c r="A2499" s="1071"/>
      <c r="B2499" s="2812"/>
      <c r="C2499" s="3077"/>
      <c r="D2499" s="3980"/>
      <c r="E2499" s="3883"/>
      <c r="F2499" s="3984" t="str">
        <f>$E$1880</f>
        <v>ASHP-SEER21_ER2_SF</v>
      </c>
      <c r="G2499" s="3984"/>
      <c r="H2499" s="3984"/>
      <c r="I2499" s="3984"/>
      <c r="J2499" s="3501" t="str">
        <f>$C$1880</f>
        <v>354750_2021_12_</v>
      </c>
      <c r="K2499" s="3421">
        <v>8.1999999999999993</v>
      </c>
      <c r="L2499" s="704"/>
      <c r="M2499" s="3020" t="s">
        <v>810</v>
      </c>
      <c r="N2499" s="106"/>
      <c r="O2499" s="106"/>
      <c r="P2499" s="106"/>
      <c r="Q2499" s="106"/>
      <c r="R2499" s="106"/>
      <c r="S2499" s="106"/>
      <c r="T2499" s="106"/>
      <c r="U2499" s="106"/>
      <c r="V2499" s="3980"/>
      <c r="W2499" s="3421">
        <v>8.1999999999999993</v>
      </c>
      <c r="X2499" s="3421">
        <v>8.1999999999999993</v>
      </c>
      <c r="Y2499" s="3421">
        <v>8.1999999999999993</v>
      </c>
      <c r="Z2499" s="3421">
        <v>8.1999999999999993</v>
      </c>
      <c r="AA2499" s="3421">
        <v>8.1999999999999993</v>
      </c>
      <c r="AB2499" s="3421">
        <v>8.1999999999999993</v>
      </c>
      <c r="AC2499" s="3428">
        <v>8.1999999999999993</v>
      </c>
      <c r="AD2499" s="3421">
        <v>8.1999999999999993</v>
      </c>
      <c r="AE2499" s="3429"/>
      <c r="AF2499" s="3421"/>
      <c r="AG2499" s="3421"/>
      <c r="AH2499" s="156"/>
      <c r="AI2499" s="156"/>
      <c r="AJ2499" s="156"/>
      <c r="AK2499" s="156"/>
      <c r="AL2499" s="156"/>
      <c r="AM2499" s="156"/>
      <c r="AN2499" s="156"/>
      <c r="AO2499" s="156"/>
      <c r="AP2499" s="156"/>
      <c r="AQ2499" s="156"/>
      <c r="AR2499" s="156"/>
      <c r="AS2499" s="156"/>
      <c r="AT2499" s="156"/>
      <c r="AU2499" s="156"/>
      <c r="AV2499" s="156"/>
      <c r="AW2499" s="156"/>
      <c r="AX2499" s="156"/>
      <c r="AY2499" s="156"/>
      <c r="AZ2499" s="156"/>
      <c r="BA2499" s="156"/>
      <c r="BB2499" s="2828"/>
      <c r="BC2499" s="452"/>
      <c r="BD2499" s="2829"/>
      <c r="BE2499" s="2837"/>
      <c r="BF2499" s="156"/>
    </row>
    <row r="2500" spans="1:58" ht="15" customHeight="1" outlineLevel="1" x14ac:dyDescent="0.35">
      <c r="A2500" s="1071"/>
      <c r="B2500" s="2812"/>
      <c r="C2500" s="3077"/>
      <c r="D2500" s="3980"/>
      <c r="E2500" s="3883"/>
      <c r="F2500" s="3984" t="str">
        <f>$E$1882</f>
        <v>ASHP-SEER21_ROF_SF</v>
      </c>
      <c r="G2500" s="3984"/>
      <c r="H2500" s="3984"/>
      <c r="I2500" s="3984"/>
      <c r="J2500" s="3501" t="str">
        <f>$C$1882</f>
        <v>354800_2021_12_</v>
      </c>
      <c r="K2500" s="3421">
        <v>8.1999999999999993</v>
      </c>
      <c r="L2500" s="704"/>
      <c r="M2500" s="3020" t="s">
        <v>810</v>
      </c>
      <c r="N2500" s="106"/>
      <c r="O2500" s="106"/>
      <c r="P2500" s="106"/>
      <c r="Q2500" s="106"/>
      <c r="R2500" s="106"/>
      <c r="S2500" s="106"/>
      <c r="T2500" s="106"/>
      <c r="U2500" s="106"/>
      <c r="V2500" s="3980"/>
      <c r="W2500" s="3421">
        <v>8.1999999999999993</v>
      </c>
      <c r="X2500" s="3421">
        <v>8.1999999999999993</v>
      </c>
      <c r="Y2500" s="3421">
        <v>8.1999999999999993</v>
      </c>
      <c r="Z2500" s="3421">
        <v>8.1999999999999993</v>
      </c>
      <c r="AA2500" s="3421">
        <v>8.1999999999999993</v>
      </c>
      <c r="AB2500" s="3421">
        <v>8.1999999999999993</v>
      </c>
      <c r="AC2500" s="3428">
        <v>8.1999999999999993</v>
      </c>
      <c r="AD2500" s="3421">
        <v>8.1999999999999993</v>
      </c>
      <c r="AE2500" s="3429"/>
      <c r="AF2500" s="3421"/>
      <c r="AG2500" s="3421"/>
      <c r="AH2500" s="156"/>
      <c r="AI2500" s="156"/>
      <c r="AJ2500" s="156"/>
      <c r="AK2500" s="156"/>
      <c r="AL2500" s="156"/>
      <c r="AM2500" s="156"/>
      <c r="AN2500" s="156"/>
      <c r="AO2500" s="156"/>
      <c r="AP2500" s="156"/>
      <c r="AQ2500" s="156"/>
      <c r="AR2500" s="156"/>
      <c r="AS2500" s="156"/>
      <c r="AT2500" s="156"/>
      <c r="AU2500" s="156"/>
      <c r="AV2500" s="156"/>
      <c r="AW2500" s="156"/>
      <c r="AX2500" s="156"/>
      <c r="AY2500" s="156"/>
      <c r="AZ2500" s="156"/>
      <c r="BA2500" s="156"/>
      <c r="BB2500" s="2828"/>
      <c r="BC2500" s="452"/>
      <c r="BD2500" s="2829"/>
      <c r="BE2500" s="2837"/>
      <c r="BF2500" s="156"/>
    </row>
    <row r="2501" spans="1:58" ht="15" customHeight="1" outlineLevel="1" x14ac:dyDescent="0.35">
      <c r="A2501" s="1071"/>
      <c r="B2501" s="2812"/>
      <c r="C2501" s="3077"/>
      <c r="D2501" s="3980"/>
      <c r="E2501" s="3883"/>
      <c r="F2501" s="3984" t="str">
        <f>$E$1884</f>
        <v>ASHP-SEER21-Replace_CAC_ElectricHeat_ROF_MF</v>
      </c>
      <c r="G2501" s="3984"/>
      <c r="H2501" s="3984"/>
      <c r="I2501" s="3984"/>
      <c r="J2501" s="3501" t="str">
        <f>$C$1884</f>
        <v>354850_2019_12_</v>
      </c>
      <c r="K2501" s="3421">
        <v>3.41</v>
      </c>
      <c r="L2501" s="704"/>
      <c r="M2501" s="3020" t="s">
        <v>1510</v>
      </c>
      <c r="N2501" s="106"/>
      <c r="O2501" s="106"/>
      <c r="P2501" s="106"/>
      <c r="Q2501" s="106"/>
      <c r="R2501" s="106"/>
      <c r="S2501" s="106"/>
      <c r="T2501" s="106"/>
      <c r="U2501" s="106"/>
      <c r="V2501" s="3980"/>
      <c r="W2501" s="3421">
        <v>3.41</v>
      </c>
      <c r="X2501" s="3421">
        <v>3.41</v>
      </c>
      <c r="Y2501" s="3421">
        <v>3.41</v>
      </c>
      <c r="Z2501" s="3421">
        <v>3.41</v>
      </c>
      <c r="AA2501" s="3421">
        <v>3.41</v>
      </c>
      <c r="AB2501" s="3421">
        <v>3.41</v>
      </c>
      <c r="AC2501" s="3428">
        <v>3.41</v>
      </c>
      <c r="AD2501" s="3421">
        <v>3.41</v>
      </c>
      <c r="AE2501" s="3429"/>
      <c r="AF2501" s="3421"/>
      <c r="AG2501" s="3421"/>
      <c r="AH2501" s="156"/>
      <c r="AI2501" s="156"/>
      <c r="AJ2501" s="156"/>
      <c r="AK2501" s="156"/>
      <c r="AL2501" s="156"/>
      <c r="AM2501" s="156"/>
      <c r="AN2501" s="156"/>
      <c r="AO2501" s="156"/>
      <c r="AP2501" s="156"/>
      <c r="AQ2501" s="156"/>
      <c r="AR2501" s="156"/>
      <c r="AS2501" s="156"/>
      <c r="AT2501" s="156"/>
      <c r="AU2501" s="156"/>
      <c r="AV2501" s="156"/>
      <c r="AW2501" s="156"/>
      <c r="AX2501" s="156"/>
      <c r="AY2501" s="156"/>
      <c r="AZ2501" s="156"/>
      <c r="BA2501" s="156"/>
      <c r="BB2501" s="2828"/>
      <c r="BC2501" s="452"/>
      <c r="BD2501" s="2829"/>
      <c r="BE2501" s="2837"/>
      <c r="BF2501" s="156"/>
    </row>
    <row r="2502" spans="1:58" ht="15" customHeight="1" outlineLevel="1" x14ac:dyDescent="0.35">
      <c r="A2502" s="1071"/>
      <c r="B2502" s="2812"/>
      <c r="C2502" s="3077"/>
      <c r="D2502" s="3980"/>
      <c r="E2502" s="3883"/>
      <c r="F2502" s="3984" t="str">
        <f>$E$1886</f>
        <v>ASHP-SEER21-Replace_CAC_ElectricHeat_ROF_MF_CompE</v>
      </c>
      <c r="G2502" s="3984"/>
      <c r="H2502" s="3984"/>
      <c r="I2502" s="3984"/>
      <c r="J2502" s="3501" t="str">
        <f>$C$1886</f>
        <v>354851_2019_12_</v>
      </c>
      <c r="K2502" s="3421">
        <v>3.41</v>
      </c>
      <c r="L2502" s="704"/>
      <c r="M2502" s="3020" t="s">
        <v>1510</v>
      </c>
      <c r="N2502" s="106"/>
      <c r="O2502" s="106"/>
      <c r="P2502" s="106"/>
      <c r="Q2502" s="106"/>
      <c r="R2502" s="106"/>
      <c r="S2502" s="106"/>
      <c r="T2502" s="106"/>
      <c r="U2502" s="106"/>
      <c r="V2502" s="3980"/>
      <c r="W2502" s="3421"/>
      <c r="X2502" s="3421"/>
      <c r="Y2502" s="2374">
        <v>3.41</v>
      </c>
      <c r="Z2502" s="3421">
        <v>3.41</v>
      </c>
      <c r="AA2502" s="3421">
        <v>3.41</v>
      </c>
      <c r="AB2502" s="3421">
        <v>3.41</v>
      </c>
      <c r="AC2502" s="3428">
        <v>3.41</v>
      </c>
      <c r="AD2502" s="3421">
        <v>3.41</v>
      </c>
      <c r="AE2502" s="3429"/>
      <c r="AF2502" s="3421"/>
      <c r="AG2502" s="3421"/>
      <c r="AH2502" s="156"/>
      <c r="AI2502" s="156"/>
      <c r="AJ2502" s="156"/>
      <c r="AK2502" s="156"/>
      <c r="AL2502" s="156"/>
      <c r="AM2502" s="156"/>
      <c r="AN2502" s="156"/>
      <c r="AO2502" s="156"/>
      <c r="AP2502" s="156"/>
      <c r="AQ2502" s="156"/>
      <c r="AR2502" s="156"/>
      <c r="AS2502" s="156"/>
      <c r="AT2502" s="156"/>
      <c r="AU2502" s="156"/>
      <c r="AV2502" s="156"/>
      <c r="AW2502" s="156"/>
      <c r="AX2502" s="156"/>
      <c r="AY2502" s="156"/>
      <c r="AZ2502" s="156"/>
      <c r="BA2502" s="156"/>
      <c r="BB2502" s="2828"/>
      <c r="BC2502" s="452"/>
      <c r="BD2502" s="2829"/>
      <c r="BE2502" s="2837"/>
      <c r="BF2502" s="156"/>
    </row>
    <row r="2503" spans="1:58" ht="15" customHeight="1" outlineLevel="1" x14ac:dyDescent="0.35">
      <c r="A2503" s="1071"/>
      <c r="B2503" s="2812"/>
      <c r="C2503" s="3077"/>
      <c r="D2503" s="3980"/>
      <c r="E2503" s="3883"/>
      <c r="F2503" s="3984" t="str">
        <f>$E$1888</f>
        <v>ASHP-SEER21-Replace_CAC_NonElectricHeat_ROF_MF</v>
      </c>
      <c r="G2503" s="3984"/>
      <c r="H2503" s="3984"/>
      <c r="I2503" s="3984"/>
      <c r="J2503" s="3501" t="str">
        <f>$C$1888</f>
        <v>354860_2021_12_</v>
      </c>
      <c r="K2503" s="2042">
        <v>0</v>
      </c>
      <c r="L2503" s="704"/>
      <c r="M2503" s="3020" t="s">
        <v>1509</v>
      </c>
      <c r="N2503" s="106"/>
      <c r="O2503" s="106"/>
      <c r="P2503" s="106"/>
      <c r="Q2503" s="106"/>
      <c r="R2503" s="106"/>
      <c r="S2503" s="106"/>
      <c r="T2503" s="106"/>
      <c r="U2503" s="106"/>
      <c r="V2503" s="3980"/>
      <c r="W2503" s="3421"/>
      <c r="X2503" s="3421"/>
      <c r="Y2503" s="2374"/>
      <c r="Z2503" s="3421"/>
      <c r="AA2503" s="3421"/>
      <c r="AB2503" s="3421"/>
      <c r="AC2503" s="2292">
        <v>0</v>
      </c>
      <c r="AD2503" s="2042">
        <v>0</v>
      </c>
      <c r="AE2503" s="3429"/>
      <c r="AF2503" s="3421"/>
      <c r="AG2503" s="3421"/>
      <c r="AH2503" s="156"/>
      <c r="AI2503" s="156"/>
      <c r="AJ2503" s="156"/>
      <c r="AK2503" s="156"/>
      <c r="AL2503" s="156"/>
      <c r="AM2503" s="156"/>
      <c r="AN2503" s="156"/>
      <c r="AO2503" s="156"/>
      <c r="AP2503" s="156"/>
      <c r="AQ2503" s="156"/>
      <c r="AR2503" s="156"/>
      <c r="AS2503" s="156"/>
      <c r="AT2503" s="156"/>
      <c r="AU2503" s="156"/>
      <c r="AV2503" s="156"/>
      <c r="AW2503" s="156"/>
      <c r="AX2503" s="156"/>
      <c r="AY2503" s="156"/>
      <c r="AZ2503" s="156"/>
      <c r="BA2503" s="156"/>
      <c r="BB2503" s="2828"/>
      <c r="BC2503" s="452"/>
      <c r="BD2503" s="2829"/>
      <c r="BE2503" s="2837"/>
      <c r="BF2503" s="156"/>
    </row>
    <row r="2504" spans="1:58" ht="15" customHeight="1" outlineLevel="1" x14ac:dyDescent="0.35">
      <c r="A2504" s="1071"/>
      <c r="B2504" s="2812"/>
      <c r="C2504" s="3077"/>
      <c r="D2504" s="3980"/>
      <c r="E2504" s="3883"/>
      <c r="F2504" s="3984" t="str">
        <f>$E$1890</f>
        <v>ASHP-SEER21-Replace_CAC_NonElectricHeat_ROF_MF_CompE</v>
      </c>
      <c r="G2504" s="3984"/>
      <c r="H2504" s="3984"/>
      <c r="I2504" s="3984"/>
      <c r="J2504" s="3501" t="str">
        <f>$C$1890</f>
        <v>354861_2021_12_</v>
      </c>
      <c r="K2504" s="2042">
        <v>0</v>
      </c>
      <c r="L2504" s="704"/>
      <c r="M2504" s="3020" t="s">
        <v>1509</v>
      </c>
      <c r="N2504" s="106"/>
      <c r="O2504" s="106"/>
      <c r="P2504" s="106"/>
      <c r="Q2504" s="106"/>
      <c r="R2504" s="106"/>
      <c r="S2504" s="106"/>
      <c r="T2504" s="106"/>
      <c r="U2504" s="106"/>
      <c r="V2504" s="3980"/>
      <c r="W2504" s="3421"/>
      <c r="X2504" s="3421"/>
      <c r="Y2504" s="2374"/>
      <c r="Z2504" s="3421"/>
      <c r="AA2504" s="3421"/>
      <c r="AB2504" s="3421"/>
      <c r="AC2504" s="2292">
        <v>0</v>
      </c>
      <c r="AD2504" s="2042">
        <v>0</v>
      </c>
      <c r="AE2504" s="3429"/>
      <c r="AF2504" s="3421"/>
      <c r="AG2504" s="3421"/>
      <c r="AH2504" s="156"/>
      <c r="AI2504" s="156"/>
      <c r="AJ2504" s="156"/>
      <c r="AK2504" s="156"/>
      <c r="AL2504" s="156"/>
      <c r="AM2504" s="156"/>
      <c r="AN2504" s="156"/>
      <c r="AO2504" s="156"/>
      <c r="AP2504" s="156"/>
      <c r="AQ2504" s="156"/>
      <c r="AR2504" s="156"/>
      <c r="AS2504" s="156"/>
      <c r="AT2504" s="156"/>
      <c r="AU2504" s="156"/>
      <c r="AV2504" s="156"/>
      <c r="AW2504" s="156"/>
      <c r="AX2504" s="156"/>
      <c r="AY2504" s="156"/>
      <c r="AZ2504" s="156"/>
      <c r="BA2504" s="156"/>
      <c r="BB2504" s="2828"/>
      <c r="BC2504" s="452"/>
      <c r="BD2504" s="2829"/>
      <c r="BE2504" s="2837"/>
      <c r="BF2504" s="156"/>
    </row>
    <row r="2505" spans="1:58" ht="15" customHeight="1" outlineLevel="1" x14ac:dyDescent="0.35">
      <c r="A2505" s="1071"/>
      <c r="B2505" s="2812"/>
      <c r="C2505" s="3077"/>
      <c r="D2505" s="3980"/>
      <c r="E2505" s="3883"/>
      <c r="F2505" s="3984" t="str">
        <f>$E$1892</f>
        <v>ASHP-SEER21_ER1_MF</v>
      </c>
      <c r="G2505" s="3984"/>
      <c r="H2505" s="3984"/>
      <c r="I2505" s="3984"/>
      <c r="J2505" s="3501" t="str">
        <f>$C$1892</f>
        <v>354900_2019_12_</v>
      </c>
      <c r="K2505" s="3421">
        <v>6.58</v>
      </c>
      <c r="L2505" s="704"/>
      <c r="M2505" s="3020" t="s">
        <v>1510</v>
      </c>
      <c r="N2505" s="106"/>
      <c r="O2505" s="106"/>
      <c r="P2505" s="106"/>
      <c r="Q2505" s="106"/>
      <c r="R2505" s="106"/>
      <c r="S2505" s="106"/>
      <c r="T2505" s="106"/>
      <c r="U2505" s="106"/>
      <c r="V2505" s="3980"/>
      <c r="W2505" s="3421">
        <v>5.44</v>
      </c>
      <c r="X2505" s="2374">
        <v>6.58</v>
      </c>
      <c r="Y2505" s="3421">
        <v>6.58</v>
      </c>
      <c r="Z2505" s="3421">
        <v>6.58</v>
      </c>
      <c r="AA2505" s="3421">
        <v>6.58</v>
      </c>
      <c r="AB2505" s="3421">
        <v>6.58</v>
      </c>
      <c r="AC2505" s="3428">
        <v>6.58</v>
      </c>
      <c r="AD2505" s="3421">
        <v>6.58</v>
      </c>
      <c r="AE2505" s="3429"/>
      <c r="AF2505" s="3421"/>
      <c r="AG2505" s="3421"/>
      <c r="AH2505" s="156"/>
      <c r="AI2505" s="156"/>
      <c r="AJ2505" s="156"/>
      <c r="AK2505" s="156"/>
      <c r="AL2505" s="156"/>
      <c r="AM2505" s="156"/>
      <c r="AN2505" s="156"/>
      <c r="AO2505" s="156"/>
      <c r="AP2505" s="156"/>
      <c r="AQ2505" s="156"/>
      <c r="AR2505" s="156"/>
      <c r="AS2505" s="156"/>
      <c r="AT2505" s="156"/>
      <c r="AU2505" s="156"/>
      <c r="AV2505" s="156"/>
      <c r="AW2505" s="156"/>
      <c r="AX2505" s="156"/>
      <c r="AY2505" s="156"/>
      <c r="AZ2505" s="156"/>
      <c r="BA2505" s="156"/>
      <c r="BB2505" s="2828"/>
      <c r="BC2505" s="452"/>
      <c r="BD2505" s="2829"/>
      <c r="BE2505" s="2837"/>
      <c r="BF2505" s="156"/>
    </row>
    <row r="2506" spans="1:58" ht="15" customHeight="1" outlineLevel="1" x14ac:dyDescent="0.35">
      <c r="A2506" s="1071"/>
      <c r="B2506" s="2812"/>
      <c r="C2506" s="3077"/>
      <c r="D2506" s="3980"/>
      <c r="E2506" s="3883"/>
      <c r="F2506" s="3984" t="str">
        <f>$E$1894</f>
        <v>ASHP-SEER21_ER2_MF</v>
      </c>
      <c r="G2506" s="3984"/>
      <c r="H2506" s="3984"/>
      <c r="I2506" s="3984"/>
      <c r="J2506" s="3501" t="str">
        <f>$C$1894</f>
        <v>354900_2019_12_</v>
      </c>
      <c r="K2506" s="3421">
        <v>8.1999999999999993</v>
      </c>
      <c r="L2506" s="704"/>
      <c r="M2506" s="3020" t="s">
        <v>1510</v>
      </c>
      <c r="N2506" s="106"/>
      <c r="O2506" s="106"/>
      <c r="P2506" s="106"/>
      <c r="Q2506" s="106"/>
      <c r="R2506" s="106"/>
      <c r="S2506" s="106"/>
      <c r="T2506" s="106"/>
      <c r="U2506" s="106"/>
      <c r="V2506" s="3980"/>
      <c r="W2506" s="3421">
        <v>8.1999999999999993</v>
      </c>
      <c r="X2506" s="3421">
        <v>8.1999999999999993</v>
      </c>
      <c r="Y2506" s="3421">
        <v>8.1999999999999993</v>
      </c>
      <c r="Z2506" s="3421">
        <v>8.1999999999999993</v>
      </c>
      <c r="AA2506" s="3421">
        <v>8.1999999999999993</v>
      </c>
      <c r="AB2506" s="3421">
        <v>8.1999999999999993</v>
      </c>
      <c r="AC2506" s="3428">
        <v>8.1999999999999993</v>
      </c>
      <c r="AD2506" s="3421">
        <v>8.1999999999999993</v>
      </c>
      <c r="AE2506" s="3429"/>
      <c r="AF2506" s="3421"/>
      <c r="AG2506" s="3421"/>
      <c r="AH2506" s="156"/>
      <c r="AI2506" s="156"/>
      <c r="AJ2506" s="156"/>
      <c r="AK2506" s="156"/>
      <c r="AL2506" s="156"/>
      <c r="AM2506" s="156"/>
      <c r="AN2506" s="156"/>
      <c r="AO2506" s="156"/>
      <c r="AP2506" s="156"/>
      <c r="AQ2506" s="156"/>
      <c r="AR2506" s="156"/>
      <c r="AS2506" s="156"/>
      <c r="AT2506" s="156"/>
      <c r="AU2506" s="156"/>
      <c r="AV2506" s="156"/>
      <c r="AW2506" s="156"/>
      <c r="AX2506" s="156"/>
      <c r="AY2506" s="156"/>
      <c r="AZ2506" s="156"/>
      <c r="BA2506" s="156"/>
      <c r="BB2506" s="2828"/>
      <c r="BC2506" s="452"/>
      <c r="BD2506" s="2829"/>
      <c r="BE2506" s="2837"/>
      <c r="BF2506" s="156"/>
    </row>
    <row r="2507" spans="1:58" ht="15" customHeight="1" outlineLevel="1" x14ac:dyDescent="0.35">
      <c r="A2507" s="1071"/>
      <c r="B2507" s="2812"/>
      <c r="C2507" s="3077"/>
      <c r="D2507" s="3980"/>
      <c r="E2507" s="3883"/>
      <c r="F2507" s="3984" t="str">
        <f>$E$1896</f>
        <v>ASHP-SEER21_ER1_MF_CompE</v>
      </c>
      <c r="G2507" s="3984"/>
      <c r="H2507" s="3984"/>
      <c r="I2507" s="3984"/>
      <c r="J2507" s="3501" t="str">
        <f>$C$1896</f>
        <v>354901_2019_12_</v>
      </c>
      <c r="K2507" s="3421">
        <v>6.58</v>
      </c>
      <c r="L2507" s="704"/>
      <c r="M2507" s="3020" t="s">
        <v>1510</v>
      </c>
      <c r="N2507" s="106"/>
      <c r="O2507" s="106"/>
      <c r="P2507" s="106"/>
      <c r="Q2507" s="106"/>
      <c r="R2507" s="106"/>
      <c r="S2507" s="106"/>
      <c r="T2507" s="106"/>
      <c r="U2507" s="106"/>
      <c r="V2507" s="3980"/>
      <c r="W2507" s="3421"/>
      <c r="X2507" s="3421"/>
      <c r="Y2507" s="2374">
        <v>6.58</v>
      </c>
      <c r="Z2507" s="3421">
        <v>6.58</v>
      </c>
      <c r="AA2507" s="3421">
        <v>6.58</v>
      </c>
      <c r="AB2507" s="3421">
        <v>6.58</v>
      </c>
      <c r="AC2507" s="3428">
        <v>6.58</v>
      </c>
      <c r="AD2507" s="3421">
        <v>6.58</v>
      </c>
      <c r="AE2507" s="3429"/>
      <c r="AF2507" s="3421"/>
      <c r="AG2507" s="3421"/>
      <c r="AH2507" s="156"/>
      <c r="AI2507" s="156"/>
      <c r="AJ2507" s="156"/>
      <c r="AK2507" s="156"/>
      <c r="AL2507" s="156"/>
      <c r="AM2507" s="156"/>
      <c r="AN2507" s="156"/>
      <c r="AO2507" s="156"/>
      <c r="AP2507" s="156"/>
      <c r="AQ2507" s="156"/>
      <c r="AR2507" s="156"/>
      <c r="AS2507" s="156"/>
      <c r="AT2507" s="156"/>
      <c r="AU2507" s="156"/>
      <c r="AV2507" s="156"/>
      <c r="AW2507" s="156"/>
      <c r="AX2507" s="156"/>
      <c r="AY2507" s="156"/>
      <c r="AZ2507" s="156"/>
      <c r="BA2507" s="156"/>
      <c r="BB2507" s="2828"/>
      <c r="BC2507" s="452"/>
      <c r="BD2507" s="2829"/>
      <c r="BE2507" s="2837"/>
      <c r="BF2507" s="156"/>
    </row>
    <row r="2508" spans="1:58" ht="15" customHeight="1" outlineLevel="1" x14ac:dyDescent="0.35">
      <c r="A2508" s="1071"/>
      <c r="B2508" s="2812"/>
      <c r="C2508" s="3077"/>
      <c r="D2508" s="3980"/>
      <c r="E2508" s="3883"/>
      <c r="F2508" s="3984" t="str">
        <f>$E$1898</f>
        <v>ASHP-SEER21_ER2_MF_CompE</v>
      </c>
      <c r="G2508" s="3984"/>
      <c r="H2508" s="3984"/>
      <c r="I2508" s="3984"/>
      <c r="J2508" s="3501" t="str">
        <f>$C$1898</f>
        <v>354901_2019_12_</v>
      </c>
      <c r="K2508" s="3421">
        <v>8.1999999999999993</v>
      </c>
      <c r="L2508" s="704"/>
      <c r="M2508" s="3020" t="s">
        <v>1510</v>
      </c>
      <c r="N2508" s="106"/>
      <c r="O2508" s="106"/>
      <c r="P2508" s="106"/>
      <c r="Q2508" s="106"/>
      <c r="R2508" s="106"/>
      <c r="S2508" s="106"/>
      <c r="T2508" s="106"/>
      <c r="U2508" s="106"/>
      <c r="V2508" s="3980"/>
      <c r="W2508" s="3421"/>
      <c r="X2508" s="3421"/>
      <c r="Y2508" s="2374">
        <v>8.1999999999999993</v>
      </c>
      <c r="Z2508" s="3421">
        <v>8.1999999999999993</v>
      </c>
      <c r="AA2508" s="3421">
        <v>8.1999999999999993</v>
      </c>
      <c r="AB2508" s="3421">
        <v>8.1999999999999993</v>
      </c>
      <c r="AC2508" s="3428">
        <v>8.1999999999999993</v>
      </c>
      <c r="AD2508" s="3421">
        <v>8.1999999999999993</v>
      </c>
      <c r="AE2508" s="3429"/>
      <c r="AF2508" s="3421"/>
      <c r="AG2508" s="3421"/>
      <c r="AH2508" s="156"/>
      <c r="AI2508" s="156"/>
      <c r="AJ2508" s="156"/>
      <c r="AK2508" s="156"/>
      <c r="AL2508" s="156"/>
      <c r="AM2508" s="156"/>
      <c r="AN2508" s="156"/>
      <c r="AO2508" s="156"/>
      <c r="AP2508" s="156"/>
      <c r="AQ2508" s="156"/>
      <c r="AR2508" s="156"/>
      <c r="AS2508" s="156"/>
      <c r="AT2508" s="156"/>
      <c r="AU2508" s="156"/>
      <c r="AV2508" s="156"/>
      <c r="AW2508" s="156"/>
      <c r="AX2508" s="156"/>
      <c r="AY2508" s="156"/>
      <c r="AZ2508" s="156"/>
      <c r="BA2508" s="156"/>
      <c r="BB2508" s="2828"/>
      <c r="BC2508" s="452"/>
      <c r="BD2508" s="2829"/>
      <c r="BE2508" s="2837"/>
      <c r="BF2508" s="156"/>
    </row>
    <row r="2509" spans="1:58" ht="15" customHeight="1" outlineLevel="1" x14ac:dyDescent="0.35">
      <c r="A2509" s="1664"/>
      <c r="B2509" s="2812"/>
      <c r="C2509" s="3077"/>
      <c r="D2509" s="3980"/>
      <c r="E2509" s="3883"/>
      <c r="F2509" s="3984" t="str">
        <f>$E$1900</f>
        <v>ASHP-SEER17_ROF_MF</v>
      </c>
      <c r="G2509" s="3984"/>
      <c r="H2509" s="3984"/>
      <c r="I2509" s="3984"/>
      <c r="J2509" s="3501" t="str">
        <f>$C$1900</f>
        <v>354950_2019_12_</v>
      </c>
      <c r="K2509" s="3421">
        <v>8.1999999999999993</v>
      </c>
      <c r="L2509" s="704"/>
      <c r="M2509" s="3020" t="s">
        <v>1510</v>
      </c>
      <c r="N2509" s="106"/>
      <c r="O2509" s="106"/>
      <c r="P2509" s="702"/>
      <c r="Q2509" s="574"/>
      <c r="R2509" s="702"/>
      <c r="S2509" s="106"/>
      <c r="T2509" s="486"/>
      <c r="U2509" s="106"/>
      <c r="V2509" s="3980"/>
      <c r="W2509" s="3421">
        <v>8.1999999999999993</v>
      </c>
      <c r="X2509" s="3421">
        <v>8.1999999999999993</v>
      </c>
      <c r="Y2509" s="3421">
        <v>8.1999999999999993</v>
      </c>
      <c r="Z2509" s="3421">
        <v>8.1999999999999993</v>
      </c>
      <c r="AA2509" s="3421">
        <v>8.1999999999999993</v>
      </c>
      <c r="AB2509" s="3421">
        <v>8.1999999999999993</v>
      </c>
      <c r="AC2509" s="3428">
        <v>8.1999999999999993</v>
      </c>
      <c r="AD2509" s="3421">
        <v>8.1999999999999993</v>
      </c>
      <c r="AE2509" s="3429"/>
      <c r="AF2509" s="3421"/>
      <c r="AG2509" s="3421"/>
      <c r="AH2509" s="156"/>
      <c r="AI2509" s="156"/>
      <c r="AJ2509" s="156"/>
      <c r="AK2509" s="156"/>
      <c r="AL2509" s="156"/>
      <c r="AM2509" s="156"/>
      <c r="AN2509" s="156"/>
      <c r="AO2509" s="156"/>
      <c r="AP2509" s="156"/>
      <c r="AQ2509" s="156"/>
      <c r="AR2509" s="156"/>
      <c r="AS2509" s="156"/>
      <c r="AT2509" s="156"/>
      <c r="AU2509" s="156"/>
      <c r="AV2509" s="156"/>
      <c r="AW2509" s="156"/>
      <c r="AX2509" s="156"/>
      <c r="AY2509" s="156"/>
      <c r="AZ2509" s="156"/>
      <c r="BA2509" s="156"/>
      <c r="BB2509" s="2828"/>
      <c r="BC2509" s="452"/>
      <c r="BD2509" s="2829"/>
      <c r="BE2509" s="2837"/>
      <c r="BF2509" s="156"/>
    </row>
    <row r="2510" spans="1:58" ht="15" customHeight="1" outlineLevel="1" x14ac:dyDescent="0.35">
      <c r="A2510" s="1664"/>
      <c r="B2510" s="2812"/>
      <c r="C2510" s="3077"/>
      <c r="D2510" s="3980"/>
      <c r="E2510" s="3883"/>
      <c r="F2510" s="3984" t="str">
        <f>$E$1902</f>
        <v>ASHP-SEER17_ROF_MF_CompE</v>
      </c>
      <c r="G2510" s="3984"/>
      <c r="H2510" s="3984"/>
      <c r="I2510" s="3984"/>
      <c r="J2510" s="3501" t="str">
        <f>$C$1902</f>
        <v>354951_2019_12_</v>
      </c>
      <c r="K2510" s="3421">
        <v>8.1999999999999993</v>
      </c>
      <c r="L2510" s="704"/>
      <c r="M2510" s="3020" t="s">
        <v>1510</v>
      </c>
      <c r="N2510" s="106"/>
      <c r="O2510" s="106"/>
      <c r="P2510" s="702"/>
      <c r="Q2510" s="574"/>
      <c r="R2510" s="702"/>
      <c r="S2510" s="106"/>
      <c r="T2510" s="486"/>
      <c r="U2510" s="106"/>
      <c r="V2510" s="3980"/>
      <c r="W2510" s="3421"/>
      <c r="X2510" s="3421"/>
      <c r="Y2510" s="2374">
        <v>8.1999999999999993</v>
      </c>
      <c r="Z2510" s="3421">
        <v>8.1999999999999993</v>
      </c>
      <c r="AA2510" s="3421">
        <v>8.1999999999999993</v>
      </c>
      <c r="AB2510" s="3421">
        <v>8.1999999999999993</v>
      </c>
      <c r="AC2510" s="3428">
        <v>8.1999999999999993</v>
      </c>
      <c r="AD2510" s="3421">
        <v>8.1999999999999993</v>
      </c>
      <c r="AE2510" s="3429"/>
      <c r="AF2510" s="3421"/>
      <c r="AG2510" s="3421"/>
      <c r="AH2510" s="156"/>
      <c r="AI2510" s="156"/>
      <c r="AJ2510" s="156"/>
      <c r="AK2510" s="156"/>
      <c r="AL2510" s="156"/>
      <c r="AM2510" s="156"/>
      <c r="AN2510" s="156"/>
      <c r="AO2510" s="156"/>
      <c r="AP2510" s="156"/>
      <c r="AQ2510" s="156"/>
      <c r="AR2510" s="156"/>
      <c r="AS2510" s="156"/>
      <c r="AT2510" s="156"/>
      <c r="AU2510" s="156"/>
      <c r="AV2510" s="156"/>
      <c r="AW2510" s="156"/>
      <c r="AX2510" s="156"/>
      <c r="AY2510" s="156"/>
      <c r="AZ2510" s="156"/>
      <c r="BA2510" s="156"/>
      <c r="BB2510" s="2828"/>
      <c r="BC2510" s="452"/>
      <c r="BD2510" s="2829"/>
      <c r="BE2510" s="2837"/>
      <c r="BF2510" s="156"/>
    </row>
    <row r="2511" spans="1:58" ht="15" customHeight="1" outlineLevel="1" x14ac:dyDescent="0.35">
      <c r="A2511" s="1664"/>
      <c r="B2511" s="2812"/>
      <c r="C2511" s="3077"/>
      <c r="D2511" s="3980"/>
      <c r="E2511" s="3883"/>
      <c r="F2511" s="3984" t="str">
        <f>$E$1904</f>
        <v>ASHP-SEER18_ROF_MF</v>
      </c>
      <c r="G2511" s="3984"/>
      <c r="H2511" s="3984"/>
      <c r="I2511" s="3984"/>
      <c r="J2511" s="3501" t="str">
        <f>$C$1904</f>
        <v>355000_2019_12_</v>
      </c>
      <c r="K2511" s="3421">
        <v>8.1999999999999993</v>
      </c>
      <c r="L2511" s="704"/>
      <c r="M2511" s="3020" t="s">
        <v>1510</v>
      </c>
      <c r="N2511" s="106"/>
      <c r="O2511" s="106"/>
      <c r="P2511" s="702"/>
      <c r="Q2511" s="574"/>
      <c r="R2511" s="702"/>
      <c r="S2511" s="106"/>
      <c r="T2511" s="486"/>
      <c r="U2511" s="106"/>
      <c r="V2511" s="3980"/>
      <c r="W2511" s="3421">
        <v>8.1999999999999993</v>
      </c>
      <c r="X2511" s="3421">
        <v>8.1999999999999993</v>
      </c>
      <c r="Y2511" s="3421">
        <v>8.1999999999999993</v>
      </c>
      <c r="Z2511" s="3421">
        <v>8.1999999999999993</v>
      </c>
      <c r="AA2511" s="3421">
        <v>8.1999999999999993</v>
      </c>
      <c r="AB2511" s="3421">
        <v>8.1999999999999993</v>
      </c>
      <c r="AC2511" s="3428">
        <v>8.1999999999999993</v>
      </c>
      <c r="AD2511" s="3421">
        <v>8.1999999999999993</v>
      </c>
      <c r="AE2511" s="3429"/>
      <c r="AF2511" s="3421"/>
      <c r="AG2511" s="3421"/>
      <c r="AH2511" s="156"/>
      <c r="AI2511" s="156"/>
      <c r="AJ2511" s="156"/>
      <c r="AK2511" s="156"/>
      <c r="AL2511" s="156"/>
      <c r="AM2511" s="156"/>
      <c r="AN2511" s="156"/>
      <c r="AO2511" s="156"/>
      <c r="AP2511" s="156"/>
      <c r="AQ2511" s="156"/>
      <c r="AR2511" s="156"/>
      <c r="AS2511" s="156"/>
      <c r="AT2511" s="156"/>
      <c r="AU2511" s="156"/>
      <c r="AV2511" s="156"/>
      <c r="AW2511" s="156"/>
      <c r="AX2511" s="156"/>
      <c r="AY2511" s="156"/>
      <c r="AZ2511" s="156"/>
      <c r="BA2511" s="156"/>
      <c r="BB2511" s="2828"/>
      <c r="BC2511" s="452"/>
      <c r="BD2511" s="2829"/>
      <c r="BE2511" s="2837"/>
      <c r="BF2511" s="156"/>
    </row>
    <row r="2512" spans="1:58" ht="15" customHeight="1" outlineLevel="1" x14ac:dyDescent="0.35">
      <c r="A2512" s="1664"/>
      <c r="B2512" s="2812"/>
      <c r="C2512" s="3077"/>
      <c r="D2512" s="3980"/>
      <c r="E2512" s="3883"/>
      <c r="F2512" s="3984" t="str">
        <f>$E$1906</f>
        <v>ASHP-SEER18_ROF_MF_CompE</v>
      </c>
      <c r="G2512" s="3984"/>
      <c r="H2512" s="3984"/>
      <c r="I2512" s="3984"/>
      <c r="J2512" s="3501" t="str">
        <f>$C$1906</f>
        <v>355001_2021_12_</v>
      </c>
      <c r="K2512" s="3421">
        <v>8.1999999999999993</v>
      </c>
      <c r="L2512" s="704"/>
      <c r="M2512" s="3020" t="s">
        <v>1510</v>
      </c>
      <c r="N2512" s="106"/>
      <c r="O2512" s="106"/>
      <c r="P2512" s="702"/>
      <c r="Q2512" s="574"/>
      <c r="R2512" s="702"/>
      <c r="S2512" s="106"/>
      <c r="T2512" s="486"/>
      <c r="U2512" s="106"/>
      <c r="V2512" s="3980"/>
      <c r="W2512" s="3421"/>
      <c r="X2512" s="3421"/>
      <c r="Y2512" s="2374">
        <v>8.1999999999999993</v>
      </c>
      <c r="Z2512" s="3421">
        <v>8.1999999999999993</v>
      </c>
      <c r="AA2512" s="3421">
        <v>8.1999999999999993</v>
      </c>
      <c r="AB2512" s="3421">
        <v>8.1999999999999993</v>
      </c>
      <c r="AC2512" s="3428">
        <v>8.1999999999999993</v>
      </c>
      <c r="AD2512" s="3421">
        <v>8.1999999999999993</v>
      </c>
      <c r="AE2512" s="3429"/>
      <c r="AF2512" s="3421"/>
      <c r="AG2512" s="3421"/>
      <c r="AH2512" s="156"/>
      <c r="AI2512" s="156"/>
      <c r="AJ2512" s="156"/>
      <c r="AK2512" s="156"/>
      <c r="AL2512" s="156"/>
      <c r="AM2512" s="156"/>
      <c r="AN2512" s="156"/>
      <c r="AO2512" s="156"/>
      <c r="AP2512" s="156"/>
      <c r="AQ2512" s="156"/>
      <c r="AR2512" s="156"/>
      <c r="AS2512" s="156"/>
      <c r="AT2512" s="156"/>
      <c r="AU2512" s="156"/>
      <c r="AV2512" s="156"/>
      <c r="AW2512" s="156"/>
      <c r="AX2512" s="156"/>
      <c r="AY2512" s="156"/>
      <c r="AZ2512" s="156"/>
      <c r="BA2512" s="156"/>
      <c r="BB2512" s="2828"/>
      <c r="BC2512" s="452"/>
      <c r="BD2512" s="2829"/>
      <c r="BE2512" s="2837"/>
      <c r="BF2512" s="156"/>
    </row>
    <row r="2513" spans="1:58" ht="15" customHeight="1" outlineLevel="1" x14ac:dyDescent="0.35">
      <c r="A2513" s="1071"/>
      <c r="B2513" s="2812"/>
      <c r="C2513" s="3077"/>
      <c r="D2513" s="3980"/>
      <c r="E2513" s="3883"/>
      <c r="F2513" s="3984" t="str">
        <f>$E$1908</f>
        <v>ASHP-SEER19_ROF_MF</v>
      </c>
      <c r="G2513" s="3984"/>
      <c r="H2513" s="3984"/>
      <c r="I2513" s="3984"/>
      <c r="J2513" s="3501" t="str">
        <f>$C$1908</f>
        <v>355050_2019_12_</v>
      </c>
      <c r="K2513" s="3421">
        <v>8.1999999999999993</v>
      </c>
      <c r="L2513" s="704"/>
      <c r="M2513" s="3020" t="s">
        <v>1510</v>
      </c>
      <c r="N2513" s="106"/>
      <c r="O2513" s="106"/>
      <c r="P2513" s="106"/>
      <c r="Q2513" s="106"/>
      <c r="R2513" s="106"/>
      <c r="S2513" s="106"/>
      <c r="T2513" s="106"/>
      <c r="U2513" s="106"/>
      <c r="V2513" s="3980"/>
      <c r="W2513" s="3421">
        <v>8.1999999999999993</v>
      </c>
      <c r="X2513" s="3421">
        <v>8.1999999999999993</v>
      </c>
      <c r="Y2513" s="3421">
        <v>8.1999999999999993</v>
      </c>
      <c r="Z2513" s="3421">
        <v>8.1999999999999993</v>
      </c>
      <c r="AA2513" s="3421">
        <v>8.1999999999999993</v>
      </c>
      <c r="AB2513" s="3421">
        <v>8.1999999999999993</v>
      </c>
      <c r="AC2513" s="3428">
        <v>8.1999999999999993</v>
      </c>
      <c r="AD2513" s="3421">
        <v>8.1999999999999993</v>
      </c>
      <c r="AE2513" s="3429"/>
      <c r="AF2513" s="3421"/>
      <c r="AG2513" s="3421"/>
      <c r="AH2513" s="156"/>
      <c r="AI2513" s="156"/>
      <c r="AJ2513" s="156"/>
      <c r="AK2513" s="156"/>
      <c r="AL2513" s="156"/>
      <c r="AM2513" s="156"/>
      <c r="AN2513" s="156"/>
      <c r="AO2513" s="156"/>
      <c r="AP2513" s="156"/>
      <c r="AQ2513" s="156"/>
      <c r="AR2513" s="156"/>
      <c r="AS2513" s="156"/>
      <c r="AT2513" s="156"/>
      <c r="AU2513" s="156"/>
      <c r="AV2513" s="156"/>
      <c r="AW2513" s="156"/>
      <c r="AX2513" s="156"/>
      <c r="AY2513" s="156"/>
      <c r="AZ2513" s="156"/>
      <c r="BA2513" s="156"/>
      <c r="BB2513" s="2828"/>
      <c r="BC2513" s="452"/>
      <c r="BD2513" s="2829"/>
      <c r="BE2513" s="2837"/>
      <c r="BF2513" s="156"/>
    </row>
    <row r="2514" spans="1:58" ht="15" customHeight="1" outlineLevel="1" x14ac:dyDescent="0.35">
      <c r="A2514" s="1071"/>
      <c r="B2514" s="2812"/>
      <c r="C2514" s="3077"/>
      <c r="D2514" s="3980"/>
      <c r="E2514" s="3883"/>
      <c r="F2514" s="3984" t="str">
        <f>$E$1910</f>
        <v>ASHP-SEER19_ROF_MF_CompE</v>
      </c>
      <c r="G2514" s="3984"/>
      <c r="H2514" s="3984"/>
      <c r="I2514" s="3984"/>
      <c r="J2514" s="3501" t="str">
        <f>$C$1910</f>
        <v>355051_2019_12_</v>
      </c>
      <c r="K2514" s="3421">
        <v>8.1999999999999993</v>
      </c>
      <c r="L2514" s="704"/>
      <c r="M2514" s="3020" t="s">
        <v>1510</v>
      </c>
      <c r="N2514" s="106"/>
      <c r="O2514" s="106"/>
      <c r="P2514" s="106"/>
      <c r="Q2514" s="106"/>
      <c r="R2514" s="106"/>
      <c r="S2514" s="106"/>
      <c r="T2514" s="106"/>
      <c r="U2514" s="106"/>
      <c r="V2514" s="3980"/>
      <c r="W2514" s="3421"/>
      <c r="X2514" s="3421"/>
      <c r="Y2514" s="2374">
        <v>8.1999999999999993</v>
      </c>
      <c r="Z2514" s="3421">
        <v>8.1999999999999993</v>
      </c>
      <c r="AA2514" s="3421">
        <v>8.1999999999999993</v>
      </c>
      <c r="AB2514" s="3421">
        <v>8.1999999999999993</v>
      </c>
      <c r="AC2514" s="3428">
        <v>8.1999999999999993</v>
      </c>
      <c r="AD2514" s="3421">
        <v>8.1999999999999993</v>
      </c>
      <c r="AE2514" s="3429"/>
      <c r="AF2514" s="3421"/>
      <c r="AG2514" s="3421"/>
      <c r="AH2514" s="156"/>
      <c r="AI2514" s="156"/>
      <c r="AJ2514" s="156"/>
      <c r="AK2514" s="156"/>
      <c r="AL2514" s="156"/>
      <c r="AM2514" s="156"/>
      <c r="AN2514" s="156"/>
      <c r="AO2514" s="156"/>
      <c r="AP2514" s="156"/>
      <c r="AQ2514" s="156"/>
      <c r="AR2514" s="156"/>
      <c r="AS2514" s="156"/>
      <c r="AT2514" s="156"/>
      <c r="AU2514" s="156"/>
      <c r="AV2514" s="156"/>
      <c r="AW2514" s="156"/>
      <c r="AX2514" s="156"/>
      <c r="AY2514" s="156"/>
      <c r="AZ2514" s="156"/>
      <c r="BA2514" s="156"/>
      <c r="BB2514" s="2828"/>
      <c r="BC2514" s="452"/>
      <c r="BD2514" s="2829"/>
      <c r="BE2514" s="2837"/>
      <c r="BF2514" s="156"/>
    </row>
    <row r="2515" spans="1:58" ht="15" customHeight="1" outlineLevel="1" x14ac:dyDescent="0.35">
      <c r="A2515" s="1071"/>
      <c r="B2515" s="2812"/>
      <c r="C2515" s="3077"/>
      <c r="D2515" s="3980"/>
      <c r="E2515" s="3883"/>
      <c r="F2515" s="3984" t="str">
        <f>$E$1912</f>
        <v>ASHP-SEER20_ROF_MF</v>
      </c>
      <c r="G2515" s="3984"/>
      <c r="H2515" s="3984"/>
      <c r="I2515" s="3984"/>
      <c r="J2515" s="3501" t="str">
        <f>$C$1912</f>
        <v>355100_2019_12_</v>
      </c>
      <c r="K2515" s="3421">
        <v>8.1999999999999993</v>
      </c>
      <c r="L2515" s="704"/>
      <c r="M2515" s="3020" t="s">
        <v>1510</v>
      </c>
      <c r="N2515" s="106"/>
      <c r="O2515" s="106"/>
      <c r="P2515" s="106"/>
      <c r="Q2515" s="106"/>
      <c r="R2515" s="106"/>
      <c r="S2515" s="106"/>
      <c r="T2515" s="106"/>
      <c r="U2515" s="106"/>
      <c r="V2515" s="3980"/>
      <c r="W2515" s="3421">
        <v>8.1999999999999993</v>
      </c>
      <c r="X2515" s="3421">
        <v>8.1999999999999993</v>
      </c>
      <c r="Y2515" s="3421">
        <v>8.1999999999999993</v>
      </c>
      <c r="Z2515" s="3421">
        <v>8.1999999999999993</v>
      </c>
      <c r="AA2515" s="3421">
        <v>8.1999999999999993</v>
      </c>
      <c r="AB2515" s="3421">
        <v>8.1999999999999993</v>
      </c>
      <c r="AC2515" s="3428">
        <v>8.1999999999999993</v>
      </c>
      <c r="AD2515" s="3421">
        <v>8.1999999999999993</v>
      </c>
      <c r="AE2515" s="3429"/>
      <c r="AF2515" s="3421"/>
      <c r="AG2515" s="3421"/>
      <c r="AH2515" s="156"/>
      <c r="AI2515" s="156"/>
      <c r="AJ2515" s="156"/>
      <c r="AK2515" s="156"/>
      <c r="AL2515" s="156"/>
      <c r="AM2515" s="156"/>
      <c r="AN2515" s="156"/>
      <c r="AO2515" s="156"/>
      <c r="AP2515" s="156"/>
      <c r="AQ2515" s="156"/>
      <c r="AR2515" s="156"/>
      <c r="AS2515" s="156"/>
      <c r="AT2515" s="156"/>
      <c r="AU2515" s="156"/>
      <c r="AV2515" s="156"/>
      <c r="AW2515" s="156"/>
      <c r="AX2515" s="156"/>
      <c r="AY2515" s="156"/>
      <c r="AZ2515" s="156"/>
      <c r="BA2515" s="156"/>
      <c r="BB2515" s="2828"/>
      <c r="BC2515" s="452"/>
      <c r="BD2515" s="2829"/>
      <c r="BE2515" s="2837"/>
      <c r="BF2515" s="156"/>
    </row>
    <row r="2516" spans="1:58" ht="15" customHeight="1" outlineLevel="1" x14ac:dyDescent="0.35">
      <c r="A2516" s="1071"/>
      <c r="B2516" s="2812"/>
      <c r="C2516" s="3077"/>
      <c r="D2516" s="3980"/>
      <c r="E2516" s="3883"/>
      <c r="F2516" s="3984" t="str">
        <f>$E$1914</f>
        <v>ASHP-SEER20_ROF_MF_CompE</v>
      </c>
      <c r="G2516" s="3984"/>
      <c r="H2516" s="3984"/>
      <c r="I2516" s="3984"/>
      <c r="J2516" s="3501" t="str">
        <f>$C$1914</f>
        <v>355101_2019_12_</v>
      </c>
      <c r="K2516" s="3421">
        <v>8.1999999999999993</v>
      </c>
      <c r="L2516" s="705"/>
      <c r="M2516" s="3020" t="s">
        <v>1510</v>
      </c>
      <c r="N2516" s="106"/>
      <c r="O2516" s="106"/>
      <c r="P2516" s="106"/>
      <c r="Q2516" s="106"/>
      <c r="R2516" s="106"/>
      <c r="S2516" s="106"/>
      <c r="T2516" s="106"/>
      <c r="U2516" s="106"/>
      <c r="V2516" s="3980"/>
      <c r="W2516" s="576"/>
      <c r="X2516" s="576"/>
      <c r="Y2516" s="2374">
        <v>8.1999999999999993</v>
      </c>
      <c r="Z2516" s="3421">
        <v>8.1999999999999993</v>
      </c>
      <c r="AA2516" s="3421">
        <v>8.1999999999999993</v>
      </c>
      <c r="AB2516" s="3421">
        <v>8.1999999999999993</v>
      </c>
      <c r="AC2516" s="3428">
        <v>8.1999999999999993</v>
      </c>
      <c r="AD2516" s="3421">
        <v>8.1999999999999993</v>
      </c>
      <c r="AE2516" s="2935"/>
      <c r="AF2516" s="576"/>
      <c r="AG2516" s="576"/>
      <c r="AH2516" s="156"/>
      <c r="AI2516" s="156"/>
      <c r="AJ2516" s="156"/>
      <c r="AK2516" s="156"/>
      <c r="AL2516" s="156"/>
      <c r="AM2516" s="156"/>
      <c r="AN2516" s="156"/>
      <c r="AO2516" s="156"/>
      <c r="AP2516" s="156"/>
      <c r="AQ2516" s="156"/>
      <c r="AR2516" s="156"/>
      <c r="AS2516" s="156"/>
      <c r="AT2516" s="156"/>
      <c r="AU2516" s="156"/>
      <c r="AV2516" s="156"/>
      <c r="AW2516" s="156"/>
      <c r="AX2516" s="156"/>
      <c r="AY2516" s="156"/>
      <c r="AZ2516" s="156"/>
      <c r="BA2516" s="156"/>
      <c r="BB2516" s="2828"/>
      <c r="BC2516" s="452"/>
      <c r="BD2516" s="2829"/>
      <c r="BE2516" s="2837"/>
      <c r="BF2516" s="156"/>
    </row>
    <row r="2517" spans="1:58" ht="15.75" customHeight="1" outlineLevel="1" x14ac:dyDescent="0.35">
      <c r="A2517" s="1664"/>
      <c r="B2517" s="2812"/>
      <c r="C2517" s="3077"/>
      <c r="D2517" s="3980"/>
      <c r="E2517" s="3883"/>
      <c r="F2517" s="3984" t="str">
        <f>$E$1916</f>
        <v>ASHP-SEER21_ROF_MF</v>
      </c>
      <c r="G2517" s="3984"/>
      <c r="H2517" s="3984"/>
      <c r="I2517" s="3984"/>
      <c r="J2517" s="3501" t="str">
        <f>$C$1916</f>
        <v>355150_2019_12_</v>
      </c>
      <c r="K2517" s="3421">
        <v>8.1999999999999993</v>
      </c>
      <c r="L2517" s="704"/>
      <c r="M2517" s="3020" t="s">
        <v>1510</v>
      </c>
      <c r="N2517" s="106"/>
      <c r="O2517" s="106"/>
      <c r="P2517" s="106"/>
      <c r="Q2517" s="106"/>
      <c r="R2517" s="702"/>
      <c r="S2517" s="106"/>
      <c r="T2517" s="486"/>
      <c r="U2517" s="106"/>
      <c r="V2517" s="3980"/>
      <c r="W2517" s="3421">
        <v>8.1999999999999993</v>
      </c>
      <c r="X2517" s="3421">
        <v>8.1999999999999993</v>
      </c>
      <c r="Y2517" s="3421">
        <v>8.1999999999999993</v>
      </c>
      <c r="Z2517" s="3421">
        <v>8.1999999999999993</v>
      </c>
      <c r="AA2517" s="3421">
        <v>8.1999999999999993</v>
      </c>
      <c r="AB2517" s="3421">
        <v>8.1999999999999993</v>
      </c>
      <c r="AC2517" s="3428">
        <v>8.1999999999999993</v>
      </c>
      <c r="AD2517" s="3421">
        <v>8.1999999999999993</v>
      </c>
      <c r="AE2517" s="3429"/>
      <c r="AF2517" s="3421"/>
      <c r="AG2517" s="3421"/>
      <c r="AH2517" s="156"/>
      <c r="AI2517" s="156"/>
      <c r="AJ2517" s="156"/>
      <c r="AK2517" s="156"/>
      <c r="AL2517" s="156"/>
      <c r="AM2517" s="156"/>
      <c r="AN2517" s="156"/>
      <c r="AO2517" s="156"/>
      <c r="AP2517" s="156"/>
      <c r="AQ2517" s="156"/>
      <c r="AR2517" s="156"/>
      <c r="AS2517" s="156"/>
      <c r="AT2517" s="156"/>
      <c r="AU2517" s="156"/>
      <c r="AV2517" s="156"/>
      <c r="AW2517" s="156"/>
      <c r="AX2517" s="156"/>
      <c r="AY2517" s="156"/>
      <c r="AZ2517" s="156"/>
      <c r="BA2517" s="156"/>
      <c r="BB2517" s="2828"/>
      <c r="BC2517" s="452"/>
      <c r="BD2517" s="2829"/>
      <c r="BE2517" s="2837"/>
      <c r="BF2517" s="156"/>
    </row>
    <row r="2518" spans="1:58" ht="15.75" customHeight="1" outlineLevel="1" thickBot="1" x14ac:dyDescent="0.4">
      <c r="A2518" s="1664"/>
      <c r="B2518" s="2812"/>
      <c r="C2518" s="3077"/>
      <c r="D2518" s="3981"/>
      <c r="E2518" s="3983"/>
      <c r="F2518" s="4106" t="str">
        <f>$E$1918</f>
        <v>ASHP-SEER21_ROF_MF_CompE</v>
      </c>
      <c r="G2518" s="4106"/>
      <c r="H2518" s="4106"/>
      <c r="I2518" s="4106"/>
      <c r="J2518" s="3503" t="str">
        <f>$C$1918</f>
        <v>355151_2019_12_</v>
      </c>
      <c r="K2518" s="708">
        <v>8.1999999999999993</v>
      </c>
      <c r="L2518" s="707"/>
      <c r="M2518" s="3021" t="s">
        <v>810</v>
      </c>
      <c r="N2518" s="106"/>
      <c r="O2518" s="106"/>
      <c r="P2518" s="106"/>
      <c r="Q2518" s="106"/>
      <c r="R2518" s="702"/>
      <c r="S2518" s="106"/>
      <c r="T2518" s="486"/>
      <c r="U2518" s="106"/>
      <c r="V2518" s="3981"/>
      <c r="W2518" s="578"/>
      <c r="X2518" s="578"/>
      <c r="Y2518" s="706">
        <v>8.1999999999999993</v>
      </c>
      <c r="Z2518" s="708">
        <v>8.1999999999999993</v>
      </c>
      <c r="AA2518" s="708">
        <v>8.1999999999999993</v>
      </c>
      <c r="AB2518" s="708">
        <v>8.1999999999999993</v>
      </c>
      <c r="AC2518" s="2918">
        <v>8.1999999999999993</v>
      </c>
      <c r="AD2518" s="3422">
        <v>8.1999999999999993</v>
      </c>
      <c r="AE2518" s="2936"/>
      <c r="AF2518" s="578"/>
      <c r="AG2518" s="578"/>
      <c r="AH2518" s="156"/>
      <c r="AI2518" s="156"/>
      <c r="AJ2518" s="156"/>
      <c r="AK2518" s="156"/>
      <c r="AL2518" s="156"/>
      <c r="AM2518" s="156"/>
      <c r="AN2518" s="156"/>
      <c r="AO2518" s="156"/>
      <c r="AP2518" s="156"/>
      <c r="AQ2518" s="156"/>
      <c r="AR2518" s="156"/>
      <c r="AS2518" s="156"/>
      <c r="AT2518" s="156"/>
      <c r="AU2518" s="156"/>
      <c r="AV2518" s="156"/>
      <c r="AW2518" s="156"/>
      <c r="AX2518" s="156"/>
      <c r="AY2518" s="156"/>
      <c r="AZ2518" s="156"/>
      <c r="BA2518" s="156"/>
      <c r="BB2518" s="2828"/>
      <c r="BC2518" s="452"/>
      <c r="BD2518" s="2829"/>
      <c r="BE2518" s="2837"/>
      <c r="BF2518" s="156"/>
    </row>
    <row r="2519" spans="1:58" ht="15" customHeight="1" outlineLevel="1" x14ac:dyDescent="0.35">
      <c r="A2519" s="1664"/>
      <c r="B2519" s="2812"/>
      <c r="C2519" s="3077"/>
      <c r="D2519" s="3979" t="s">
        <v>1113</v>
      </c>
      <c r="E2519" s="3982" t="s">
        <v>1511</v>
      </c>
      <c r="F2519" s="4133" t="str">
        <f>$E$1534</f>
        <v>ASHP-SEER15-Replace_CAC_ElectricHeat_ER1_SF</v>
      </c>
      <c r="G2519" s="4134"/>
      <c r="H2519" s="4134"/>
      <c r="I2519" s="4135"/>
      <c r="J2519" s="3500" t="str">
        <f>$C$1534</f>
        <v>352300_2021_12_</v>
      </c>
      <c r="K2519" s="3504">
        <v>8.776540284360193</v>
      </c>
      <c r="L2519" s="2820"/>
      <c r="M2519" s="3015" t="s">
        <v>4360</v>
      </c>
      <c r="N2519" s="106"/>
      <c r="O2519" s="106"/>
      <c r="P2519" s="106"/>
      <c r="Q2519" s="106"/>
      <c r="R2519" s="702"/>
      <c r="S2519" s="106"/>
      <c r="T2519" s="486"/>
      <c r="U2519" s="106"/>
      <c r="V2519" s="4183" t="s">
        <v>1113</v>
      </c>
      <c r="W2519" s="3424">
        <v>8.6999999999999993</v>
      </c>
      <c r="X2519" s="2376">
        <v>8.69</v>
      </c>
      <c r="Y2519" s="2376">
        <v>8.67</v>
      </c>
      <c r="Z2519" s="3424">
        <v>8.67</v>
      </c>
      <c r="AA2519" s="3424">
        <v>8.67</v>
      </c>
      <c r="AB2519" s="582">
        <v>8.532040816326532</v>
      </c>
      <c r="AC2519" s="3506">
        <v>8.7156542056074802</v>
      </c>
      <c r="AD2519" s="3560">
        <v>8.776540284360193</v>
      </c>
      <c r="AE2519" s="3431"/>
      <c r="AF2519" s="3424"/>
      <c r="AG2519" s="3424"/>
      <c r="AH2519" s="156"/>
      <c r="AI2519" s="156"/>
      <c r="AJ2519" s="156"/>
      <c r="AK2519" s="156"/>
      <c r="AL2519" s="156"/>
      <c r="AM2519" s="156"/>
      <c r="AN2519" s="156"/>
      <c r="AO2519" s="156"/>
      <c r="AP2519" s="156"/>
      <c r="AQ2519" s="156"/>
      <c r="AR2519" s="156"/>
      <c r="AS2519" s="156"/>
      <c r="AT2519" s="156"/>
      <c r="AU2519" s="156"/>
      <c r="AV2519" s="156"/>
      <c r="AW2519" s="156"/>
      <c r="AX2519" s="156"/>
      <c r="AY2519" s="156"/>
      <c r="AZ2519" s="156"/>
      <c r="BA2519" s="156"/>
      <c r="BB2519" s="2828"/>
      <c r="BC2519" s="452"/>
      <c r="BD2519" s="2829"/>
      <c r="BE2519" s="2837"/>
      <c r="BF2519" s="156"/>
    </row>
    <row r="2520" spans="1:58" ht="15" customHeight="1" outlineLevel="1" x14ac:dyDescent="0.35">
      <c r="A2520" s="1664"/>
      <c r="B2520" s="2812"/>
      <c r="C2520" s="3077"/>
      <c r="D2520" s="3980"/>
      <c r="E2520" s="3883"/>
      <c r="F2520" s="3984" t="str">
        <f>$E$1536</f>
        <v>ASHP-SEER15-Replace_CAC_ElectricHeat_ER2_SF</v>
      </c>
      <c r="G2520" s="3984"/>
      <c r="H2520" s="3984"/>
      <c r="I2520" s="3984"/>
      <c r="J2520" s="3501" t="str">
        <f>$C$1536</f>
        <v>352300_2021_12_</v>
      </c>
      <c r="K2520" s="3050">
        <v>8.776540284360193</v>
      </c>
      <c r="L2520" s="2821"/>
      <c r="M2520" s="2819" t="s">
        <v>4360</v>
      </c>
      <c r="N2520" s="106"/>
      <c r="O2520" s="106"/>
      <c r="P2520" s="106"/>
      <c r="Q2520" s="106"/>
      <c r="R2520" s="702"/>
      <c r="S2520" s="106"/>
      <c r="T2520" s="486"/>
      <c r="U2520" s="106"/>
      <c r="V2520" s="4184"/>
      <c r="W2520" s="3421">
        <v>8.6999999999999993</v>
      </c>
      <c r="X2520" s="2374">
        <v>8.69</v>
      </c>
      <c r="Y2520" s="2374">
        <v>8.67</v>
      </c>
      <c r="Z2520" s="3421">
        <v>8.67</v>
      </c>
      <c r="AA2520" s="3421">
        <v>8.67</v>
      </c>
      <c r="AB2520" s="584">
        <v>8.532040816326532</v>
      </c>
      <c r="AC2520" s="2919">
        <f>AC2519</f>
        <v>8.7156542056074802</v>
      </c>
      <c r="AD2520" s="3050">
        <v>8.776540284360193</v>
      </c>
      <c r="AE2520" s="3429"/>
      <c r="AF2520" s="3421"/>
      <c r="AG2520" s="3421"/>
      <c r="AH2520" s="156"/>
      <c r="AI2520" s="156"/>
      <c r="AJ2520" s="156"/>
      <c r="AK2520" s="156"/>
      <c r="AL2520" s="156"/>
      <c r="AM2520" s="156"/>
      <c r="AN2520" s="156"/>
      <c r="AO2520" s="156"/>
      <c r="AP2520" s="156"/>
      <c r="AQ2520" s="156"/>
      <c r="AR2520" s="156"/>
      <c r="AS2520" s="156"/>
      <c r="AT2520" s="156"/>
      <c r="AU2520" s="156"/>
      <c r="AV2520" s="156"/>
      <c r="AW2520" s="156"/>
      <c r="AX2520" s="156"/>
      <c r="AY2520" s="156"/>
      <c r="AZ2520" s="156"/>
      <c r="BA2520" s="156"/>
      <c r="BB2520" s="2828"/>
      <c r="BC2520" s="452"/>
      <c r="BD2520" s="2829"/>
      <c r="BE2520" s="2837"/>
      <c r="BF2520" s="156"/>
    </row>
    <row r="2521" spans="1:58" ht="15" customHeight="1" outlineLevel="1" x14ac:dyDescent="0.35">
      <c r="A2521" s="1664"/>
      <c r="B2521" s="2812"/>
      <c r="C2521" s="3077"/>
      <c r="D2521" s="3980"/>
      <c r="E2521" s="3883"/>
      <c r="F2521" s="3984" t="str">
        <f>$E$1538</f>
        <v>ASHP-SEER15-Replace_CAC_NonElectricHeat_ER1_SF</v>
      </c>
      <c r="G2521" s="3984"/>
      <c r="H2521" s="3984"/>
      <c r="I2521" s="3984"/>
      <c r="J2521" s="3501" t="str">
        <f>$C$1538</f>
        <v>352310_2021_12_</v>
      </c>
      <c r="K2521" s="3050">
        <v>8.776540284360193</v>
      </c>
      <c r="L2521" s="2821"/>
      <c r="M2521" s="3025" t="s">
        <v>1083</v>
      </c>
      <c r="N2521" s="106"/>
      <c r="O2521" s="106"/>
      <c r="P2521" s="106"/>
      <c r="Q2521" s="106"/>
      <c r="R2521" s="702"/>
      <c r="S2521" s="106"/>
      <c r="T2521" s="486"/>
      <c r="U2521" s="106"/>
      <c r="V2521" s="4184"/>
      <c r="W2521" s="3421"/>
      <c r="X2521" s="2374"/>
      <c r="Y2521" s="2374"/>
      <c r="Z2521" s="3421"/>
      <c r="AA2521" s="3421"/>
      <c r="AB2521" s="584"/>
      <c r="AC2521" s="3561">
        <v>8.7156542056074802</v>
      </c>
      <c r="AD2521" s="3050">
        <v>8.776540284360193</v>
      </c>
      <c r="AE2521" s="3429"/>
      <c r="AF2521" s="3421"/>
      <c r="AG2521" s="3421"/>
      <c r="AH2521" s="156"/>
      <c r="AI2521" s="156"/>
      <c r="AJ2521" s="156"/>
      <c r="AK2521" s="156"/>
      <c r="AL2521" s="156"/>
      <c r="AM2521" s="156"/>
      <c r="AN2521" s="156"/>
      <c r="AO2521" s="156"/>
      <c r="AP2521" s="156"/>
      <c r="AQ2521" s="156"/>
      <c r="AR2521" s="156"/>
      <c r="AS2521" s="156"/>
      <c r="AT2521" s="156"/>
      <c r="AU2521" s="156"/>
      <c r="AV2521" s="156"/>
      <c r="AW2521" s="156"/>
      <c r="AX2521" s="156"/>
      <c r="AY2521" s="156"/>
      <c r="AZ2521" s="156"/>
      <c r="BA2521" s="156"/>
      <c r="BB2521" s="2828"/>
      <c r="BC2521" s="452"/>
      <c r="BD2521" s="2829"/>
      <c r="BE2521" s="2837"/>
      <c r="BF2521" s="156"/>
    </row>
    <row r="2522" spans="1:58" ht="15" customHeight="1" outlineLevel="1" x14ac:dyDescent="0.35">
      <c r="A2522" s="1664"/>
      <c r="B2522" s="2812"/>
      <c r="C2522" s="3077"/>
      <c r="D2522" s="3980"/>
      <c r="E2522" s="3883"/>
      <c r="F2522" s="3984" t="str">
        <f>$E$1540</f>
        <v>ASHP-SEER15-Replace_CAC_NonElectricHeat_ER2_SF</v>
      </c>
      <c r="G2522" s="3984"/>
      <c r="H2522" s="3984"/>
      <c r="I2522" s="3984"/>
      <c r="J2522" s="3501" t="str">
        <f>$C$1540</f>
        <v>352310_2021_12_</v>
      </c>
      <c r="K2522" s="3050">
        <v>8.776540284360193</v>
      </c>
      <c r="L2522" s="2821"/>
      <c r="M2522" s="3025" t="s">
        <v>1083</v>
      </c>
      <c r="N2522" s="106"/>
      <c r="O2522" s="106"/>
      <c r="P2522" s="106"/>
      <c r="Q2522" s="106"/>
      <c r="R2522" s="702"/>
      <c r="S2522" s="106"/>
      <c r="T2522" s="486"/>
      <c r="U2522" s="106"/>
      <c r="V2522" s="4184"/>
      <c r="W2522" s="3421"/>
      <c r="X2522" s="2374"/>
      <c r="Y2522" s="2374"/>
      <c r="Z2522" s="3421"/>
      <c r="AA2522" s="3421"/>
      <c r="AB2522" s="584"/>
      <c r="AC2522" s="2919">
        <f>AC2521</f>
        <v>8.7156542056074802</v>
      </c>
      <c r="AD2522" s="3050">
        <v>8.776540284360193</v>
      </c>
      <c r="AE2522" s="3429"/>
      <c r="AF2522" s="3421"/>
      <c r="AG2522" s="3421"/>
      <c r="AH2522" s="156"/>
      <c r="AI2522" s="156"/>
      <c r="AJ2522" s="156"/>
      <c r="AK2522" s="156"/>
      <c r="AL2522" s="156"/>
      <c r="AM2522" s="156"/>
      <c r="AN2522" s="156"/>
      <c r="AO2522" s="156"/>
      <c r="AP2522" s="156"/>
      <c r="AQ2522" s="156"/>
      <c r="AR2522" s="156"/>
      <c r="AS2522" s="156"/>
      <c r="AT2522" s="156"/>
      <c r="AU2522" s="156"/>
      <c r="AV2522" s="156"/>
      <c r="AW2522" s="156"/>
      <c r="AX2522" s="156"/>
      <c r="AY2522" s="156"/>
      <c r="AZ2522" s="156"/>
      <c r="BA2522" s="156"/>
      <c r="BB2522" s="2828"/>
      <c r="BC2522" s="452"/>
      <c r="BD2522" s="2829"/>
      <c r="BE2522" s="2837"/>
      <c r="BF2522" s="156"/>
    </row>
    <row r="2523" spans="1:58" ht="15" customHeight="1" outlineLevel="1" x14ac:dyDescent="0.35">
      <c r="A2523" s="1664"/>
      <c r="B2523" s="2812"/>
      <c r="C2523" s="3077"/>
      <c r="D2523" s="3980"/>
      <c r="E2523" s="3883"/>
      <c r="F2523" s="3984" t="str">
        <f>$E$1542</f>
        <v>ASHP-SEER15_ER1_SF</v>
      </c>
      <c r="G2523" s="3984"/>
      <c r="H2523" s="3984"/>
      <c r="I2523" s="3984"/>
      <c r="J2523" s="3501" t="str">
        <f>$C$1542</f>
        <v>352350_2021_12_</v>
      </c>
      <c r="K2523" s="3050">
        <v>8.776540284360193</v>
      </c>
      <c r="L2523" s="2821"/>
      <c r="M2523" s="2819" t="s">
        <v>4360</v>
      </c>
      <c r="N2523" s="106"/>
      <c r="O2523" s="106"/>
      <c r="P2523" s="106"/>
      <c r="Q2523" s="106"/>
      <c r="R2523" s="702"/>
      <c r="S2523" s="106"/>
      <c r="T2523" s="486"/>
      <c r="U2523" s="106"/>
      <c r="V2523" s="4184"/>
      <c r="W2523" s="3421">
        <v>8.6999999999999993</v>
      </c>
      <c r="X2523" s="2374">
        <v>8.69</v>
      </c>
      <c r="Y2523" s="2374">
        <v>8.75</v>
      </c>
      <c r="Z2523" s="3421">
        <v>8.75</v>
      </c>
      <c r="AA2523" s="3421">
        <v>8.75</v>
      </c>
      <c r="AB2523" s="584">
        <v>8.4761904761904781</v>
      </c>
      <c r="AC2523" s="2919">
        <v>8.8245098039215701</v>
      </c>
      <c r="AD2523" s="3050">
        <v>8.776540284360193</v>
      </c>
      <c r="AE2523" s="3429"/>
      <c r="AF2523" s="3421"/>
      <c r="AG2523" s="3421"/>
      <c r="AH2523" s="156"/>
      <c r="AI2523" s="156"/>
      <c r="AJ2523" s="156"/>
      <c r="AK2523" s="156"/>
      <c r="AL2523" s="156"/>
      <c r="AM2523" s="156"/>
      <c r="AN2523" s="156"/>
      <c r="AO2523" s="156"/>
      <c r="AP2523" s="156"/>
      <c r="AQ2523" s="156"/>
      <c r="AR2523" s="156"/>
      <c r="AS2523" s="156"/>
      <c r="AT2523" s="156"/>
      <c r="AU2523" s="156"/>
      <c r="AV2523" s="156"/>
      <c r="AW2523" s="156"/>
      <c r="AX2523" s="156"/>
      <c r="AY2523" s="156"/>
      <c r="AZ2523" s="156"/>
      <c r="BA2523" s="156"/>
      <c r="BB2523" s="2828"/>
      <c r="BC2523" s="452"/>
      <c r="BD2523" s="2829"/>
      <c r="BE2523" s="2837"/>
      <c r="BF2523" s="156"/>
    </row>
    <row r="2524" spans="1:58" ht="15" customHeight="1" outlineLevel="1" x14ac:dyDescent="0.35">
      <c r="A2524" s="1664"/>
      <c r="B2524" s="2812"/>
      <c r="C2524" s="3077"/>
      <c r="D2524" s="3980"/>
      <c r="E2524" s="3883"/>
      <c r="F2524" s="3984" t="str">
        <f>$E$1544</f>
        <v>ASHP-SEER15_ER2_SF</v>
      </c>
      <c r="G2524" s="3984"/>
      <c r="H2524" s="3984"/>
      <c r="I2524" s="3984"/>
      <c r="J2524" s="3501" t="str">
        <f>$C$1544</f>
        <v>352350_2021_12_</v>
      </c>
      <c r="K2524" s="3050">
        <v>8.776540284360193</v>
      </c>
      <c r="L2524" s="2821"/>
      <c r="M2524" s="2819" t="s">
        <v>4360</v>
      </c>
      <c r="N2524" s="106"/>
      <c r="O2524" s="106"/>
      <c r="P2524" s="106"/>
      <c r="Q2524" s="106"/>
      <c r="R2524" s="702"/>
      <c r="S2524" s="106"/>
      <c r="T2524" s="486"/>
      <c r="U2524" s="106"/>
      <c r="V2524" s="4184"/>
      <c r="W2524" s="3421">
        <v>8.6999999999999993</v>
      </c>
      <c r="X2524" s="2374">
        <v>8.69</v>
      </c>
      <c r="Y2524" s="2374">
        <v>8.75</v>
      </c>
      <c r="Z2524" s="3421">
        <v>8.75</v>
      </c>
      <c r="AA2524" s="3421">
        <v>8.75</v>
      </c>
      <c r="AB2524" s="584">
        <v>8.4761904761904781</v>
      </c>
      <c r="AC2524" s="2919">
        <f>AC2523</f>
        <v>8.8245098039215701</v>
      </c>
      <c r="AD2524" s="3050">
        <v>8.776540284360193</v>
      </c>
      <c r="AE2524" s="3429"/>
      <c r="AF2524" s="3421"/>
      <c r="AG2524" s="3421"/>
      <c r="AH2524" s="156"/>
      <c r="AI2524" s="156"/>
      <c r="AJ2524" s="156"/>
      <c r="AK2524" s="156"/>
      <c r="AL2524" s="156"/>
      <c r="AM2524" s="156"/>
      <c r="AN2524" s="156"/>
      <c r="AO2524" s="156"/>
      <c r="AP2524" s="156"/>
      <c r="AQ2524" s="156"/>
      <c r="AR2524" s="156"/>
      <c r="AS2524" s="156"/>
      <c r="AT2524" s="156"/>
      <c r="AU2524" s="156"/>
      <c r="AV2524" s="156"/>
      <c r="AW2524" s="156"/>
      <c r="AX2524" s="156"/>
      <c r="AY2524" s="156"/>
      <c r="AZ2524" s="156"/>
      <c r="BA2524" s="156"/>
      <c r="BB2524" s="2828"/>
      <c r="BC2524" s="452"/>
      <c r="BD2524" s="2829"/>
      <c r="BE2524" s="2837"/>
      <c r="BF2524" s="156"/>
    </row>
    <row r="2525" spans="1:58" ht="15" customHeight="1" outlineLevel="1" x14ac:dyDescent="0.35">
      <c r="A2525" s="1664"/>
      <c r="B2525" s="2812"/>
      <c r="C2525" s="3077"/>
      <c r="D2525" s="3980"/>
      <c r="E2525" s="3883"/>
      <c r="F2525" s="3984" t="str">
        <f>$E$1546</f>
        <v>ASHP-SEER15-Replace_CAC_ElectricHeat_ROF_SF</v>
      </c>
      <c r="G2525" s="3984"/>
      <c r="H2525" s="3984"/>
      <c r="I2525" s="3984"/>
      <c r="J2525" s="3501" t="str">
        <f>$C$1546</f>
        <v>352400_2021_12_</v>
      </c>
      <c r="K2525" s="3050">
        <v>8.7601941747572809</v>
      </c>
      <c r="L2525" s="2822"/>
      <c r="M2525" s="2819" t="s">
        <v>4360</v>
      </c>
      <c r="N2525" s="106"/>
      <c r="O2525" s="106"/>
      <c r="P2525" s="106"/>
      <c r="Q2525" s="106"/>
      <c r="R2525" s="702"/>
      <c r="S2525" s="106"/>
      <c r="T2525" s="486"/>
      <c r="U2525" s="106"/>
      <c r="V2525" s="4184"/>
      <c r="W2525" s="3421">
        <v>8.6</v>
      </c>
      <c r="X2525" s="2374">
        <v>8.69</v>
      </c>
      <c r="Y2525" s="2374">
        <v>8.66</v>
      </c>
      <c r="Z2525" s="3421">
        <v>8.66</v>
      </c>
      <c r="AA2525" s="3421">
        <v>8.66</v>
      </c>
      <c r="AB2525" s="584">
        <v>8.4308510638297864</v>
      </c>
      <c r="AC2525" s="2919">
        <v>8.812711864406781</v>
      </c>
      <c r="AD2525" s="3050">
        <v>8.7601941747572809</v>
      </c>
      <c r="AE2525" s="3429"/>
      <c r="AF2525" s="3421"/>
      <c r="AG2525" s="3421"/>
      <c r="AH2525" s="156"/>
      <c r="AI2525" s="156"/>
      <c r="AJ2525" s="156"/>
      <c r="AK2525" s="156"/>
      <c r="AL2525" s="156"/>
      <c r="AM2525" s="156"/>
      <c r="AN2525" s="156"/>
      <c r="AO2525" s="156"/>
      <c r="AP2525" s="156"/>
      <c r="AQ2525" s="156"/>
      <c r="AR2525" s="156"/>
      <c r="AS2525" s="156"/>
      <c r="AT2525" s="156"/>
      <c r="AU2525" s="156"/>
      <c r="AV2525" s="156"/>
      <c r="AW2525" s="156"/>
      <c r="AX2525" s="156"/>
      <c r="AY2525" s="156"/>
      <c r="AZ2525" s="156"/>
      <c r="BA2525" s="156"/>
      <c r="BB2525" s="2828"/>
      <c r="BC2525" s="452"/>
      <c r="BD2525" s="2829"/>
      <c r="BE2525" s="2837"/>
      <c r="BF2525" s="156"/>
    </row>
    <row r="2526" spans="1:58" ht="15" customHeight="1" outlineLevel="1" x14ac:dyDescent="0.35">
      <c r="A2526" s="1664"/>
      <c r="B2526" s="2812"/>
      <c r="C2526" s="3077"/>
      <c r="D2526" s="3980"/>
      <c r="E2526" s="3883"/>
      <c r="F2526" s="3984" t="str">
        <f>$E$1548</f>
        <v>ASHP-SEER15-Replace_CAC_NonElectricHeat_ROF_SF</v>
      </c>
      <c r="G2526" s="3984"/>
      <c r="H2526" s="3984"/>
      <c r="I2526" s="3984"/>
      <c r="J2526" s="3501" t="str">
        <f>$C$1548</f>
        <v>352410_2021_12_</v>
      </c>
      <c r="K2526" s="3050">
        <v>8.7601941747572809</v>
      </c>
      <c r="L2526" s="2822"/>
      <c r="M2526" s="3025" t="s">
        <v>1083</v>
      </c>
      <c r="N2526" s="106"/>
      <c r="O2526" s="106"/>
      <c r="P2526" s="106"/>
      <c r="Q2526" s="106"/>
      <c r="R2526" s="702"/>
      <c r="S2526" s="106"/>
      <c r="T2526" s="486"/>
      <c r="U2526" s="106"/>
      <c r="V2526" s="4184"/>
      <c r="W2526" s="3421"/>
      <c r="X2526" s="2374"/>
      <c r="Y2526" s="2374"/>
      <c r="Z2526" s="3421"/>
      <c r="AA2526" s="3421"/>
      <c r="AB2526" s="584"/>
      <c r="AC2526" s="2919">
        <v>8.812711864406781</v>
      </c>
      <c r="AD2526" s="3050">
        <v>8.7601941747572809</v>
      </c>
      <c r="AE2526" s="3429"/>
      <c r="AF2526" s="3421"/>
      <c r="AG2526" s="3421"/>
      <c r="AH2526" s="156"/>
      <c r="AI2526" s="156"/>
      <c r="AJ2526" s="156"/>
      <c r="AK2526" s="156"/>
      <c r="AL2526" s="156"/>
      <c r="AM2526" s="156"/>
      <c r="AN2526" s="156"/>
      <c r="AO2526" s="156"/>
      <c r="AP2526" s="156"/>
      <c r="AQ2526" s="156"/>
      <c r="AR2526" s="156"/>
      <c r="AS2526" s="156"/>
      <c r="AT2526" s="156"/>
      <c r="AU2526" s="156"/>
      <c r="AV2526" s="156"/>
      <c r="AW2526" s="156"/>
      <c r="AX2526" s="156"/>
      <c r="AY2526" s="156"/>
      <c r="AZ2526" s="156"/>
      <c r="BA2526" s="156"/>
      <c r="BB2526" s="2828"/>
      <c r="BC2526" s="452"/>
      <c r="BD2526" s="2829"/>
      <c r="BE2526" s="2837"/>
      <c r="BF2526" s="156"/>
    </row>
    <row r="2527" spans="1:58" ht="15" customHeight="1" outlineLevel="1" x14ac:dyDescent="0.35">
      <c r="A2527" s="1664"/>
      <c r="B2527" s="2812"/>
      <c r="C2527" s="3077"/>
      <c r="D2527" s="3980"/>
      <c r="E2527" s="3883"/>
      <c r="F2527" s="3984" t="str">
        <f>$E$1550</f>
        <v>ASHP-SEER15_ROF_SF</v>
      </c>
      <c r="G2527" s="3984"/>
      <c r="H2527" s="3984"/>
      <c r="I2527" s="3984"/>
      <c r="J2527" s="3501" t="str">
        <f>$C$1550</f>
        <v>352450_2021_12_</v>
      </c>
      <c r="K2527" s="3050">
        <v>8.7601941747572809</v>
      </c>
      <c r="L2527" s="2822"/>
      <c r="M2527" s="2819" t="s">
        <v>4360</v>
      </c>
      <c r="N2527" s="106"/>
      <c r="O2527" s="106"/>
      <c r="P2527" s="106"/>
      <c r="Q2527" s="106"/>
      <c r="R2527" s="702"/>
      <c r="S2527" s="106"/>
      <c r="T2527" s="486"/>
      <c r="U2527" s="106"/>
      <c r="V2527" s="4184"/>
      <c r="W2527" s="3421">
        <v>8.6999999999999993</v>
      </c>
      <c r="X2527" s="2374">
        <v>8.69</v>
      </c>
      <c r="Y2527" s="2374">
        <v>8.6999999999999993</v>
      </c>
      <c r="Z2527" s="3421">
        <v>8.6999999999999993</v>
      </c>
      <c r="AA2527" s="3421">
        <v>8.6999999999999993</v>
      </c>
      <c r="AB2527" s="3421">
        <v>8.6999999999999993</v>
      </c>
      <c r="AC2527" s="2919">
        <v>8.6527272727272724</v>
      </c>
      <c r="AD2527" s="3050">
        <v>8.7601941747572809</v>
      </c>
      <c r="AE2527" s="3429"/>
      <c r="AF2527" s="3421"/>
      <c r="AG2527" s="3421"/>
      <c r="AH2527" s="156"/>
      <c r="AI2527" s="156"/>
      <c r="AJ2527" s="156"/>
      <c r="AK2527" s="156"/>
      <c r="AL2527" s="156"/>
      <c r="AM2527" s="156"/>
      <c r="AN2527" s="156"/>
      <c r="AO2527" s="156"/>
      <c r="AP2527" s="156"/>
      <c r="AQ2527" s="156"/>
      <c r="AR2527" s="156"/>
      <c r="AS2527" s="156"/>
      <c r="AT2527" s="156"/>
      <c r="AU2527" s="156"/>
      <c r="AV2527" s="156"/>
      <c r="AW2527" s="156"/>
      <c r="AX2527" s="156"/>
      <c r="AY2527" s="156"/>
      <c r="AZ2527" s="156"/>
      <c r="BA2527" s="156"/>
      <c r="BB2527" s="2828"/>
      <c r="BC2527" s="452"/>
      <c r="BD2527" s="2829"/>
      <c r="BE2527" s="2837"/>
      <c r="BF2527" s="156"/>
    </row>
    <row r="2528" spans="1:58" ht="15" customHeight="1" outlineLevel="1" x14ac:dyDescent="0.35">
      <c r="A2528" s="1664"/>
      <c r="B2528" s="2812"/>
      <c r="C2528" s="3077"/>
      <c r="D2528" s="3980"/>
      <c r="E2528" s="3883"/>
      <c r="F2528" s="3984" t="str">
        <f>$E$1552</f>
        <v>ASHP-SEER16-Replace_CAC_ElectricHeat_ER1_SF</v>
      </c>
      <c r="G2528" s="3984"/>
      <c r="H2528" s="3984"/>
      <c r="I2528" s="3984"/>
      <c r="J2528" s="3501" t="str">
        <f>$C$1552</f>
        <v>352500_2021_12_</v>
      </c>
      <c r="K2528" s="3050">
        <v>9.0582601054481522</v>
      </c>
      <c r="L2528" s="2822"/>
      <c r="M2528" s="2819" t="s">
        <v>4360</v>
      </c>
      <c r="N2528" s="106"/>
      <c r="O2528" s="106"/>
      <c r="P2528" s="106"/>
      <c r="Q2528" s="106"/>
      <c r="R2528" s="702"/>
      <c r="S2528" s="106"/>
      <c r="T2528" s="486"/>
      <c r="U2528" s="106"/>
      <c r="V2528" s="4184"/>
      <c r="W2528" s="3421">
        <v>9.4</v>
      </c>
      <c r="X2528" s="2374">
        <v>8.69</v>
      </c>
      <c r="Y2528" s="2374">
        <v>9.35</v>
      </c>
      <c r="Z2528" s="3421">
        <v>9.35</v>
      </c>
      <c r="AA2528" s="3421">
        <v>9.35</v>
      </c>
      <c r="AB2528" s="584">
        <v>8.4276397515527925</v>
      </c>
      <c r="AC2528" s="2919">
        <v>9.0449206349206346</v>
      </c>
      <c r="AD2528" s="3050">
        <v>9.0582601054481522</v>
      </c>
      <c r="AE2528" s="3429"/>
      <c r="AF2528" s="3421"/>
      <c r="AG2528" s="3421"/>
      <c r="AH2528" s="156"/>
      <c r="AI2528" s="156"/>
      <c r="AJ2528" s="156"/>
      <c r="AK2528" s="156"/>
      <c r="AL2528" s="156"/>
      <c r="AM2528" s="156"/>
      <c r="AN2528" s="156"/>
      <c r="AO2528" s="156"/>
      <c r="AP2528" s="156"/>
      <c r="AQ2528" s="156"/>
      <c r="AR2528" s="156"/>
      <c r="AS2528" s="156"/>
      <c r="AT2528" s="156"/>
      <c r="AU2528" s="156"/>
      <c r="AV2528" s="156"/>
      <c r="AW2528" s="156"/>
      <c r="AX2528" s="156"/>
      <c r="AY2528" s="156"/>
      <c r="AZ2528" s="156"/>
      <c r="BA2528" s="156"/>
      <c r="BB2528" s="2828"/>
      <c r="BC2528" s="452"/>
      <c r="BD2528" s="2829"/>
      <c r="BE2528" s="2837"/>
      <c r="BF2528" s="156"/>
    </row>
    <row r="2529" spans="1:58" ht="15" customHeight="1" outlineLevel="1" x14ac:dyDescent="0.35">
      <c r="A2529" s="1664"/>
      <c r="B2529" s="2812"/>
      <c r="C2529" s="3077"/>
      <c r="D2529" s="3980"/>
      <c r="E2529" s="3883"/>
      <c r="F2529" s="3984" t="str">
        <f>$E$1554</f>
        <v>ASHP-SEER16-Replace_CAC_ElectricHeat_ER2_SF</v>
      </c>
      <c r="G2529" s="3984"/>
      <c r="H2529" s="3984"/>
      <c r="I2529" s="3984"/>
      <c r="J2529" s="3501" t="str">
        <f>$C$1554</f>
        <v>352500_2021_12_</v>
      </c>
      <c r="K2529" s="3050">
        <v>9.0582601054481522</v>
      </c>
      <c r="L2529" s="2822"/>
      <c r="M2529" s="2819" t="s">
        <v>4360</v>
      </c>
      <c r="N2529" s="106"/>
      <c r="O2529" s="106"/>
      <c r="P2529" s="106"/>
      <c r="Q2529" s="106"/>
      <c r="R2529" s="702"/>
      <c r="S2529" s="106"/>
      <c r="T2529" s="486"/>
      <c r="U2529" s="106"/>
      <c r="V2529" s="4184"/>
      <c r="W2529" s="3421">
        <v>9.4</v>
      </c>
      <c r="X2529" s="2374">
        <v>8.69</v>
      </c>
      <c r="Y2529" s="2374">
        <v>9.35</v>
      </c>
      <c r="Z2529" s="3421">
        <v>9.35</v>
      </c>
      <c r="AA2529" s="3421">
        <v>9.35</v>
      </c>
      <c r="AB2529" s="584">
        <v>8.4276397515527925</v>
      </c>
      <c r="AC2529" s="2919">
        <f>AC2528</f>
        <v>9.0449206349206346</v>
      </c>
      <c r="AD2529" s="3050">
        <v>9.0582601054481522</v>
      </c>
      <c r="AE2529" s="3429"/>
      <c r="AF2529" s="3421"/>
      <c r="AG2529" s="3421"/>
      <c r="AH2529" s="156"/>
      <c r="AI2529" s="156"/>
      <c r="AJ2529" s="156"/>
      <c r="AK2529" s="156"/>
      <c r="AL2529" s="156"/>
      <c r="AM2529" s="156"/>
      <c r="AN2529" s="156"/>
      <c r="AO2529" s="156"/>
      <c r="AP2529" s="156"/>
      <c r="AQ2529" s="156"/>
      <c r="AR2529" s="156"/>
      <c r="AS2529" s="156"/>
      <c r="AT2529" s="156"/>
      <c r="AU2529" s="156"/>
      <c r="AV2529" s="156"/>
      <c r="AW2529" s="156"/>
      <c r="AX2529" s="156"/>
      <c r="AY2529" s="156"/>
      <c r="AZ2529" s="156"/>
      <c r="BA2529" s="156"/>
      <c r="BB2529" s="2828"/>
      <c r="BC2529" s="452"/>
      <c r="BD2529" s="2829"/>
      <c r="BE2529" s="2837"/>
      <c r="BF2529" s="156"/>
    </row>
    <row r="2530" spans="1:58" ht="15" customHeight="1" outlineLevel="1" x14ac:dyDescent="0.35">
      <c r="A2530" s="1664"/>
      <c r="B2530" s="2812"/>
      <c r="C2530" s="3077"/>
      <c r="D2530" s="3980"/>
      <c r="E2530" s="3883"/>
      <c r="F2530" s="3984" t="str">
        <f>$E$1556</f>
        <v>ASHP-SEER16-Replace_CAC_NonElectricHeat_ER1_SF</v>
      </c>
      <c r="G2530" s="3984"/>
      <c r="H2530" s="3984"/>
      <c r="I2530" s="3984"/>
      <c r="J2530" s="3501" t="str">
        <f>$C$1556</f>
        <v>352510_2021_12_</v>
      </c>
      <c r="K2530" s="3050">
        <v>9.0582601054481522</v>
      </c>
      <c r="L2530" s="2822"/>
      <c r="M2530" s="3025" t="s">
        <v>1083</v>
      </c>
      <c r="N2530" s="106"/>
      <c r="O2530" s="106"/>
      <c r="P2530" s="106"/>
      <c r="Q2530" s="106"/>
      <c r="R2530" s="702"/>
      <c r="S2530" s="106"/>
      <c r="T2530" s="486"/>
      <c r="U2530" s="106"/>
      <c r="V2530" s="4184"/>
      <c r="W2530" s="3421"/>
      <c r="X2530" s="2374"/>
      <c r="Y2530" s="2374"/>
      <c r="Z2530" s="3421"/>
      <c r="AA2530" s="3421"/>
      <c r="AB2530" s="584"/>
      <c r="AC2530" s="2919">
        <v>9.0449206349206346</v>
      </c>
      <c r="AD2530" s="3050">
        <v>9.0582601054481522</v>
      </c>
      <c r="AE2530" s="3429"/>
      <c r="AF2530" s="3421"/>
      <c r="AG2530" s="3421"/>
      <c r="AH2530" s="156"/>
      <c r="AI2530" s="156"/>
      <c r="AJ2530" s="156"/>
      <c r="AK2530" s="156"/>
      <c r="AL2530" s="156"/>
      <c r="AM2530" s="156"/>
      <c r="AN2530" s="156"/>
      <c r="AO2530" s="156"/>
      <c r="AP2530" s="156"/>
      <c r="AQ2530" s="156"/>
      <c r="AR2530" s="156"/>
      <c r="AS2530" s="156"/>
      <c r="AT2530" s="156"/>
      <c r="AU2530" s="156"/>
      <c r="AV2530" s="156"/>
      <c r="AW2530" s="156"/>
      <c r="AX2530" s="156"/>
      <c r="AY2530" s="156"/>
      <c r="AZ2530" s="156"/>
      <c r="BA2530" s="156"/>
      <c r="BB2530" s="2828"/>
      <c r="BC2530" s="452"/>
      <c r="BD2530" s="2829"/>
      <c r="BE2530" s="2837"/>
      <c r="BF2530" s="156"/>
    </row>
    <row r="2531" spans="1:58" ht="15" customHeight="1" outlineLevel="1" x14ac:dyDescent="0.35">
      <c r="A2531" s="1664"/>
      <c r="B2531" s="2812"/>
      <c r="C2531" s="3077"/>
      <c r="D2531" s="3980"/>
      <c r="E2531" s="3883"/>
      <c r="F2531" s="3984" t="str">
        <f>$E$1558</f>
        <v>ASHP-SEER16-Replace_CAC_NonElectricHeat_ER2_SF</v>
      </c>
      <c r="G2531" s="3984"/>
      <c r="H2531" s="3984"/>
      <c r="I2531" s="3984"/>
      <c r="J2531" s="3501" t="str">
        <f>$C$1558</f>
        <v>352510_2021_12_</v>
      </c>
      <c r="K2531" s="3050">
        <v>9.0582601054481522</v>
      </c>
      <c r="L2531" s="2822"/>
      <c r="M2531" s="3025" t="s">
        <v>1083</v>
      </c>
      <c r="N2531" s="106"/>
      <c r="O2531" s="106"/>
      <c r="P2531" s="106"/>
      <c r="Q2531" s="106"/>
      <c r="R2531" s="702"/>
      <c r="S2531" s="106"/>
      <c r="T2531" s="486"/>
      <c r="U2531" s="106"/>
      <c r="V2531" s="4184"/>
      <c r="W2531" s="3421"/>
      <c r="X2531" s="2374"/>
      <c r="Y2531" s="2374"/>
      <c r="Z2531" s="3421"/>
      <c r="AA2531" s="3421"/>
      <c r="AB2531" s="584"/>
      <c r="AC2531" s="2919">
        <f>AC2530</f>
        <v>9.0449206349206346</v>
      </c>
      <c r="AD2531" s="3050">
        <v>9.0582601054481522</v>
      </c>
      <c r="AE2531" s="3429"/>
      <c r="AF2531" s="3421"/>
      <c r="AG2531" s="3421"/>
      <c r="AH2531" s="156"/>
      <c r="AI2531" s="156"/>
      <c r="AJ2531" s="156"/>
      <c r="AK2531" s="156"/>
      <c r="AL2531" s="156"/>
      <c r="AM2531" s="156"/>
      <c r="AN2531" s="156"/>
      <c r="AO2531" s="156"/>
      <c r="AP2531" s="156"/>
      <c r="AQ2531" s="156"/>
      <c r="AR2531" s="156"/>
      <c r="AS2531" s="156"/>
      <c r="AT2531" s="156"/>
      <c r="AU2531" s="156"/>
      <c r="AV2531" s="156"/>
      <c r="AW2531" s="156"/>
      <c r="AX2531" s="156"/>
      <c r="AY2531" s="156"/>
      <c r="AZ2531" s="156"/>
      <c r="BA2531" s="156"/>
      <c r="BB2531" s="2828"/>
      <c r="BC2531" s="452"/>
      <c r="BD2531" s="2829"/>
      <c r="BE2531" s="2837"/>
      <c r="BF2531" s="156"/>
    </row>
    <row r="2532" spans="1:58" ht="15" customHeight="1" outlineLevel="1" x14ac:dyDescent="0.35">
      <c r="A2532" s="1664"/>
      <c r="B2532" s="2812"/>
      <c r="C2532" s="3077"/>
      <c r="D2532" s="3980"/>
      <c r="E2532" s="3883"/>
      <c r="F2532" s="3984" t="str">
        <f>$E$1560</f>
        <v>ASHP-SEER16_ER1_SF</v>
      </c>
      <c r="G2532" s="3984"/>
      <c r="H2532" s="3984"/>
      <c r="I2532" s="3984"/>
      <c r="J2532" s="3501" t="str">
        <f>$C$1560</f>
        <v>352550_2021_12_</v>
      </c>
      <c r="K2532" s="3050">
        <v>9.0582601054481522</v>
      </c>
      <c r="L2532" s="2822"/>
      <c r="M2532" s="2819" t="s">
        <v>4360</v>
      </c>
      <c r="N2532" s="106"/>
      <c r="O2532" s="106"/>
      <c r="P2532" s="106"/>
      <c r="Q2532" s="106"/>
      <c r="R2532" s="702"/>
      <c r="S2532" s="106"/>
      <c r="T2532" s="486"/>
      <c r="U2532" s="106"/>
      <c r="V2532" s="4184"/>
      <c r="W2532" s="3421">
        <v>9.5</v>
      </c>
      <c r="X2532" s="2374">
        <v>8.69</v>
      </c>
      <c r="Y2532" s="2374">
        <v>9.33</v>
      </c>
      <c r="Z2532" s="3421">
        <v>9.33</v>
      </c>
      <c r="AA2532" s="3421">
        <v>9.33</v>
      </c>
      <c r="AB2532" s="584">
        <v>8.8862149532710237</v>
      </c>
      <c r="AC2532" s="2919">
        <v>9.11991341991342</v>
      </c>
      <c r="AD2532" s="3050">
        <v>9.0582601054481522</v>
      </c>
      <c r="AE2532" s="3429"/>
      <c r="AF2532" s="3421"/>
      <c r="AG2532" s="3421"/>
      <c r="AH2532" s="156"/>
      <c r="AI2532" s="156"/>
      <c r="AJ2532" s="156"/>
      <c r="AK2532" s="156"/>
      <c r="AL2532" s="156"/>
      <c r="AM2532" s="156"/>
      <c r="AN2532" s="156"/>
      <c r="AO2532" s="156"/>
      <c r="AP2532" s="156"/>
      <c r="AQ2532" s="156"/>
      <c r="AR2532" s="156"/>
      <c r="AS2532" s="156"/>
      <c r="AT2532" s="156"/>
      <c r="AU2532" s="156"/>
      <c r="AV2532" s="156"/>
      <c r="AW2532" s="156"/>
      <c r="AX2532" s="156"/>
      <c r="AY2532" s="156"/>
      <c r="AZ2532" s="156"/>
      <c r="BA2532" s="156"/>
      <c r="BB2532" s="2828"/>
      <c r="BC2532" s="452"/>
      <c r="BD2532" s="2829"/>
      <c r="BE2532" s="2837"/>
      <c r="BF2532" s="156"/>
    </row>
    <row r="2533" spans="1:58" ht="15" customHeight="1" outlineLevel="1" x14ac:dyDescent="0.35">
      <c r="A2533" s="1664"/>
      <c r="B2533" s="2812"/>
      <c r="C2533" s="3077"/>
      <c r="D2533" s="3980"/>
      <c r="E2533" s="3883"/>
      <c r="F2533" s="3984" t="str">
        <f>$E$1562</f>
        <v>ASHP-SEER16_ER2_SF</v>
      </c>
      <c r="G2533" s="3984"/>
      <c r="H2533" s="3984"/>
      <c r="I2533" s="3984"/>
      <c r="J2533" s="3501" t="str">
        <f>$C$1562</f>
        <v>352550_2021_12_</v>
      </c>
      <c r="K2533" s="3050">
        <v>9.0582601054481522</v>
      </c>
      <c r="L2533" s="2822"/>
      <c r="M2533" s="2819" t="s">
        <v>4360</v>
      </c>
      <c r="N2533" s="106"/>
      <c r="O2533" s="106"/>
      <c r="P2533" s="702"/>
      <c r="Q2533" s="702"/>
      <c r="R2533" s="702"/>
      <c r="S2533" s="106"/>
      <c r="T2533" s="486"/>
      <c r="U2533" s="106"/>
      <c r="V2533" s="4184"/>
      <c r="W2533" s="3421">
        <v>9.5</v>
      </c>
      <c r="X2533" s="2374">
        <v>8.69</v>
      </c>
      <c r="Y2533" s="2374">
        <v>9.33</v>
      </c>
      <c r="Z2533" s="3421">
        <v>9.33</v>
      </c>
      <c r="AA2533" s="3421">
        <v>9.33</v>
      </c>
      <c r="AB2533" s="584">
        <v>8.8862149532710237</v>
      </c>
      <c r="AC2533" s="2919">
        <f>AC2532</f>
        <v>9.11991341991342</v>
      </c>
      <c r="AD2533" s="3050">
        <v>9.0582601054481522</v>
      </c>
      <c r="AE2533" s="3429"/>
      <c r="AF2533" s="3421"/>
      <c r="AG2533" s="3421"/>
      <c r="AH2533" s="156"/>
      <c r="AI2533" s="156"/>
      <c r="AJ2533" s="156"/>
      <c r="AK2533" s="156"/>
      <c r="AL2533" s="156"/>
      <c r="AM2533" s="156"/>
      <c r="AN2533" s="156"/>
      <c r="AO2533" s="156"/>
      <c r="AP2533" s="156"/>
      <c r="AQ2533" s="156"/>
      <c r="AR2533" s="156"/>
      <c r="AS2533" s="156"/>
      <c r="AT2533" s="156"/>
      <c r="AU2533" s="156"/>
      <c r="AV2533" s="156"/>
      <c r="AW2533" s="156"/>
      <c r="AX2533" s="156"/>
      <c r="AY2533" s="156"/>
      <c r="AZ2533" s="156"/>
      <c r="BA2533" s="156"/>
      <c r="BB2533" s="2828"/>
      <c r="BC2533" s="452"/>
      <c r="BD2533" s="2829"/>
      <c r="BE2533" s="2837"/>
      <c r="BF2533" s="156"/>
    </row>
    <row r="2534" spans="1:58" ht="15" customHeight="1" outlineLevel="1" x14ac:dyDescent="0.35">
      <c r="A2534" s="1664"/>
      <c r="B2534" s="2812"/>
      <c r="C2534" s="3077"/>
      <c r="D2534" s="3980"/>
      <c r="E2534" s="3883"/>
      <c r="F2534" s="3984" t="str">
        <f>$E$1564</f>
        <v>ASHP-SEER16-Replace_CAC_ElectricHeat_ROF_SF</v>
      </c>
      <c r="G2534" s="3984"/>
      <c r="H2534" s="3984"/>
      <c r="I2534" s="3984"/>
      <c r="J2534" s="3501" t="str">
        <f>$C$1564</f>
        <v>352600_2021_12_</v>
      </c>
      <c r="K2534" s="3050">
        <v>9.1536458333333339</v>
      </c>
      <c r="L2534" s="2822"/>
      <c r="M2534" s="2819" t="s">
        <v>4360</v>
      </c>
      <c r="N2534" s="106"/>
      <c r="O2534" s="106"/>
      <c r="P2534" s="702"/>
      <c r="Q2534" s="702"/>
      <c r="R2534" s="702"/>
      <c r="S2534" s="106"/>
      <c r="T2534" s="486"/>
      <c r="U2534" s="106"/>
      <c r="V2534" s="4184"/>
      <c r="W2534" s="3421">
        <v>9.6999999999999993</v>
      </c>
      <c r="X2534" s="2374">
        <v>8.69</v>
      </c>
      <c r="Y2534" s="2374">
        <v>9.43</v>
      </c>
      <c r="Z2534" s="3421">
        <v>9.43</v>
      </c>
      <c r="AA2534" s="3421">
        <v>9.43</v>
      </c>
      <c r="AB2534" s="584">
        <v>8.7769841269841269</v>
      </c>
      <c r="AC2534" s="2919">
        <v>9.3470588235294123</v>
      </c>
      <c r="AD2534" s="3050">
        <v>9.1536458333333339</v>
      </c>
      <c r="AE2534" s="3429"/>
      <c r="AF2534" s="3421"/>
      <c r="AG2534" s="3421"/>
      <c r="AH2534" s="156"/>
      <c r="AI2534" s="156"/>
      <c r="AJ2534" s="156"/>
      <c r="AK2534" s="156"/>
      <c r="AL2534" s="156"/>
      <c r="AM2534" s="156"/>
      <c r="AN2534" s="156"/>
      <c r="AO2534" s="156"/>
      <c r="AP2534" s="156"/>
      <c r="AQ2534" s="156"/>
      <c r="AR2534" s="156"/>
      <c r="AS2534" s="156"/>
      <c r="AT2534" s="156"/>
      <c r="AU2534" s="156"/>
      <c r="AV2534" s="156"/>
      <c r="AW2534" s="156"/>
      <c r="AX2534" s="156"/>
      <c r="AY2534" s="156"/>
      <c r="AZ2534" s="156"/>
      <c r="BA2534" s="156"/>
      <c r="BB2534" s="2828"/>
      <c r="BC2534" s="452"/>
      <c r="BD2534" s="2829"/>
      <c r="BE2534" s="2837"/>
      <c r="BF2534" s="156"/>
    </row>
    <row r="2535" spans="1:58" ht="15" customHeight="1" outlineLevel="1" x14ac:dyDescent="0.35">
      <c r="A2535" s="1664"/>
      <c r="B2535" s="2812"/>
      <c r="C2535" s="3077"/>
      <c r="D2535" s="3980"/>
      <c r="E2535" s="3883"/>
      <c r="F2535" s="4136" t="str">
        <f>$E$1566</f>
        <v>ASHP-SEER16-Replace_CAC_NonElectricHeat_ROF_SF</v>
      </c>
      <c r="G2535" s="4136"/>
      <c r="H2535" s="4136"/>
      <c r="I2535" s="4136"/>
      <c r="J2535" s="3502" t="str">
        <f>$C$1566</f>
        <v>352610_2022_12_</v>
      </c>
      <c r="K2535" s="3050">
        <v>9.1536458333333339</v>
      </c>
      <c r="L2535" s="2822"/>
      <c r="M2535" s="2819" t="s">
        <v>1083</v>
      </c>
      <c r="N2535" s="3391"/>
      <c r="O2535" s="3391"/>
      <c r="P2535" s="702"/>
      <c r="Q2535" s="702"/>
      <c r="R2535" s="702"/>
      <c r="S2535" s="3391"/>
      <c r="T2535" s="3389"/>
      <c r="U2535" s="3391"/>
      <c r="V2535" s="4184"/>
      <c r="W2535" s="3421"/>
      <c r="X2535" s="2374"/>
      <c r="Y2535" s="2374"/>
      <c r="Z2535" s="3421"/>
      <c r="AA2535" s="3421"/>
      <c r="AB2535" s="584"/>
      <c r="AC2535" s="2919"/>
      <c r="AD2535" s="3050">
        <v>9.1536458333333339</v>
      </c>
      <c r="AE2535" s="3429"/>
      <c r="AF2535" s="3421"/>
      <c r="AG2535" s="3421"/>
      <c r="AH2535" s="156"/>
      <c r="AI2535" s="156"/>
      <c r="AJ2535" s="156"/>
      <c r="AK2535" s="156"/>
      <c r="AL2535" s="156"/>
      <c r="AM2535" s="156"/>
      <c r="AN2535" s="156"/>
      <c r="AO2535" s="156"/>
      <c r="AP2535" s="156"/>
      <c r="AQ2535" s="156"/>
      <c r="AR2535" s="156"/>
      <c r="AS2535" s="156"/>
      <c r="AT2535" s="156"/>
      <c r="AU2535" s="156"/>
      <c r="AV2535" s="156"/>
      <c r="AW2535" s="156"/>
      <c r="AX2535" s="156"/>
      <c r="AY2535" s="156"/>
      <c r="AZ2535" s="156"/>
      <c r="BA2535" s="156"/>
      <c r="BB2535" s="2828"/>
      <c r="BC2535" s="452"/>
      <c r="BD2535" s="2829"/>
      <c r="BE2535" s="2837"/>
      <c r="BF2535" s="156"/>
    </row>
    <row r="2536" spans="1:58" ht="15" customHeight="1" outlineLevel="1" x14ac:dyDescent="0.35">
      <c r="A2536" s="1664"/>
      <c r="B2536" s="2812"/>
      <c r="C2536" s="3077"/>
      <c r="D2536" s="3980"/>
      <c r="E2536" s="3883"/>
      <c r="F2536" s="3984" t="str">
        <f>$E$1568</f>
        <v>ASHP-SEER16_ROF_SF</v>
      </c>
      <c r="G2536" s="3984"/>
      <c r="H2536" s="3984"/>
      <c r="I2536" s="3984"/>
      <c r="J2536" s="3501" t="str">
        <f>$C$1568</f>
        <v>352650_2021_12_</v>
      </c>
      <c r="K2536" s="3050">
        <v>9.1536458333333339</v>
      </c>
      <c r="L2536" s="2822"/>
      <c r="M2536" s="2819" t="s">
        <v>4360</v>
      </c>
      <c r="N2536" s="106"/>
      <c r="O2536" s="106"/>
      <c r="P2536" s="702"/>
      <c r="Q2536" s="702"/>
      <c r="R2536" s="702"/>
      <c r="S2536" s="106"/>
      <c r="T2536" s="486"/>
      <c r="U2536" s="106"/>
      <c r="V2536" s="4184"/>
      <c r="W2536" s="3421">
        <v>9.8000000000000007</v>
      </c>
      <c r="X2536" s="2374">
        <v>8.69</v>
      </c>
      <c r="Y2536" s="2374">
        <v>9.43</v>
      </c>
      <c r="Z2536" s="3421">
        <v>9.43</v>
      </c>
      <c r="AA2536" s="3421">
        <v>9.43</v>
      </c>
      <c r="AB2536" s="3421">
        <v>9.43</v>
      </c>
      <c r="AC2536" s="2919">
        <v>9.0519999999999996</v>
      </c>
      <c r="AD2536" s="3050">
        <v>9.1536458333333339</v>
      </c>
      <c r="AE2536" s="3429"/>
      <c r="AF2536" s="3421"/>
      <c r="AG2536" s="3421"/>
      <c r="AH2536" s="156"/>
      <c r="AI2536" s="156"/>
      <c r="AJ2536" s="156"/>
      <c r="AK2536" s="156"/>
      <c r="AL2536" s="156"/>
      <c r="AM2536" s="156"/>
      <c r="AN2536" s="156"/>
      <c r="AO2536" s="156"/>
      <c r="AP2536" s="156"/>
      <c r="AQ2536" s="156"/>
      <c r="AR2536" s="156"/>
      <c r="AS2536" s="156"/>
      <c r="AT2536" s="156"/>
      <c r="AU2536" s="156"/>
      <c r="AV2536" s="156"/>
      <c r="AW2536" s="156"/>
      <c r="AX2536" s="156"/>
      <c r="AY2536" s="156"/>
      <c r="AZ2536" s="156"/>
      <c r="BA2536" s="156"/>
      <c r="BB2536" s="2828"/>
      <c r="BC2536" s="452"/>
      <c r="BD2536" s="2829"/>
      <c r="BE2536" s="2837"/>
      <c r="BF2536" s="156"/>
    </row>
    <row r="2537" spans="1:58" ht="15" customHeight="1" outlineLevel="1" x14ac:dyDescent="0.35">
      <c r="A2537" s="1664"/>
      <c r="B2537" s="2812"/>
      <c r="C2537" s="3077"/>
      <c r="D2537" s="3980"/>
      <c r="E2537" s="3883"/>
      <c r="F2537" s="3984" t="str">
        <f>$E$1570</f>
        <v>ASHP-SEER15_ER1_MF</v>
      </c>
      <c r="G2537" s="3984"/>
      <c r="H2537" s="3984"/>
      <c r="I2537" s="3984"/>
      <c r="J2537" s="3501" t="str">
        <f>$C$1570</f>
        <v>352700_2021_12_</v>
      </c>
      <c r="K2537" s="3050">
        <v>9.3000000000000007</v>
      </c>
      <c r="L2537" s="2822"/>
      <c r="M2537" s="2819" t="s">
        <v>4360</v>
      </c>
      <c r="N2537" s="106"/>
      <c r="O2537" s="106"/>
      <c r="P2537" s="702"/>
      <c r="Q2537" s="702"/>
      <c r="R2537" s="702"/>
      <c r="S2537" s="106"/>
      <c r="T2537" s="486"/>
      <c r="U2537" s="106"/>
      <c r="V2537" s="4184"/>
      <c r="W2537" s="3421">
        <v>8.6999999999999993</v>
      </c>
      <c r="X2537" s="3421">
        <v>8.6999999999999993</v>
      </c>
      <c r="Y2537" s="3421">
        <v>8.6999999999999993</v>
      </c>
      <c r="Z2537" s="3421">
        <v>8.6999999999999993</v>
      </c>
      <c r="AA2537" s="3421">
        <v>8.6999999999999993</v>
      </c>
      <c r="AB2537" s="584">
        <v>9.0625</v>
      </c>
      <c r="AC2537" s="2919">
        <v>8.8333333333333339</v>
      </c>
      <c r="AD2537" s="3050">
        <v>9.3000000000000007</v>
      </c>
      <c r="AE2537" s="3429"/>
      <c r="AF2537" s="3421"/>
      <c r="AG2537" s="3421"/>
      <c r="AH2537" s="156"/>
      <c r="AI2537" s="156"/>
      <c r="AJ2537" s="156"/>
      <c r="AK2537" s="156"/>
      <c r="AL2537" s="156"/>
      <c r="AM2537" s="156"/>
      <c r="AN2537" s="156"/>
      <c r="AO2537" s="156"/>
      <c r="AP2537" s="156"/>
      <c r="AQ2537" s="156"/>
      <c r="AR2537" s="156"/>
      <c r="AS2537" s="156"/>
      <c r="AT2537" s="156"/>
      <c r="AU2537" s="156"/>
      <c r="AV2537" s="156"/>
      <c r="AW2537" s="156"/>
      <c r="AX2537" s="156"/>
      <c r="AY2537" s="156"/>
      <c r="AZ2537" s="156"/>
      <c r="BA2537" s="156"/>
      <c r="BB2537" s="2828"/>
      <c r="BC2537" s="452"/>
      <c r="BD2537" s="2829"/>
      <c r="BE2537" s="2837"/>
      <c r="BF2537" s="156"/>
    </row>
    <row r="2538" spans="1:58" ht="15" customHeight="1" outlineLevel="1" x14ac:dyDescent="0.35">
      <c r="A2538" s="1664"/>
      <c r="B2538" s="2812"/>
      <c r="C2538" s="3077"/>
      <c r="D2538" s="3980"/>
      <c r="E2538" s="3883"/>
      <c r="F2538" s="3984" t="str">
        <f>$E$1572</f>
        <v>ASHP-SEER15_ER2_MF</v>
      </c>
      <c r="G2538" s="3984"/>
      <c r="H2538" s="3984"/>
      <c r="I2538" s="3984"/>
      <c r="J2538" s="3501" t="str">
        <f>$C$1572</f>
        <v>352700_2021_12_</v>
      </c>
      <c r="K2538" s="3050">
        <v>9.3000000000000007</v>
      </c>
      <c r="L2538" s="2822"/>
      <c r="M2538" s="2819" t="s">
        <v>4360</v>
      </c>
      <c r="N2538" s="106"/>
      <c r="O2538" s="106"/>
      <c r="P2538" s="702"/>
      <c r="Q2538" s="702"/>
      <c r="R2538" s="702"/>
      <c r="S2538" s="106"/>
      <c r="T2538" s="486"/>
      <c r="U2538" s="106"/>
      <c r="V2538" s="4184"/>
      <c r="W2538" s="3421">
        <v>8.6999999999999993</v>
      </c>
      <c r="X2538" s="3421">
        <v>8.6999999999999993</v>
      </c>
      <c r="Y2538" s="3421">
        <v>8.6999999999999993</v>
      </c>
      <c r="Z2538" s="3421">
        <v>8.6999999999999993</v>
      </c>
      <c r="AA2538" s="3421">
        <v>8.6999999999999993</v>
      </c>
      <c r="AB2538" s="584">
        <v>9.0625</v>
      </c>
      <c r="AC2538" s="2919">
        <f>AC2537</f>
        <v>8.8333333333333339</v>
      </c>
      <c r="AD2538" s="3050">
        <v>9.3000000000000007</v>
      </c>
      <c r="AE2538" s="3429"/>
      <c r="AF2538" s="3421"/>
      <c r="AG2538" s="3421"/>
      <c r="AH2538" s="156"/>
      <c r="AI2538" s="156"/>
      <c r="AJ2538" s="156"/>
      <c r="AK2538" s="156"/>
      <c r="AL2538" s="156"/>
      <c r="AM2538" s="156"/>
      <c r="AN2538" s="156"/>
      <c r="AO2538" s="156"/>
      <c r="AP2538" s="156"/>
      <c r="AQ2538" s="156"/>
      <c r="AR2538" s="156"/>
      <c r="AS2538" s="156"/>
      <c r="AT2538" s="156"/>
      <c r="AU2538" s="156"/>
      <c r="AV2538" s="156"/>
      <c r="AW2538" s="156"/>
      <c r="AX2538" s="156"/>
      <c r="AY2538" s="156"/>
      <c r="AZ2538" s="156"/>
      <c r="BA2538" s="156"/>
      <c r="BB2538" s="2828"/>
      <c r="BC2538" s="452"/>
      <c r="BD2538" s="2829"/>
      <c r="BE2538" s="2837"/>
      <c r="BF2538" s="156"/>
    </row>
    <row r="2539" spans="1:58" ht="15" customHeight="1" outlineLevel="1" x14ac:dyDescent="0.35">
      <c r="A2539" s="1664"/>
      <c r="B2539" s="2812"/>
      <c r="C2539" s="3077"/>
      <c r="D2539" s="3980"/>
      <c r="E2539" s="3883"/>
      <c r="F2539" s="3984" t="str">
        <f>$E$1574</f>
        <v>ASHP-SEER15_ER1_MF_CompE</v>
      </c>
      <c r="G2539" s="3984"/>
      <c r="H2539" s="3984"/>
      <c r="I2539" s="3984"/>
      <c r="J2539" s="3501" t="str">
        <f>$C$1574</f>
        <v>352701_2021_12_</v>
      </c>
      <c r="K2539" s="3050">
        <v>9.3000000000000007</v>
      </c>
      <c r="L2539" s="2822"/>
      <c r="M2539" s="3040" t="s">
        <v>1083</v>
      </c>
      <c r="N2539" s="106"/>
      <c r="O2539" s="106"/>
      <c r="P2539" s="702"/>
      <c r="Q2539" s="702"/>
      <c r="R2539" s="702"/>
      <c r="S2539" s="106"/>
      <c r="T2539" s="486"/>
      <c r="U2539" s="106"/>
      <c r="V2539" s="4184"/>
      <c r="W2539" s="3421"/>
      <c r="X2539" s="3421"/>
      <c r="Y2539" s="2374">
        <v>8.6999999999999993</v>
      </c>
      <c r="Z2539" s="3421">
        <v>8.6999999999999993</v>
      </c>
      <c r="AA2539" s="3421">
        <v>8.6999999999999993</v>
      </c>
      <c r="AB2539" s="3421">
        <v>8.6999999999999993</v>
      </c>
      <c r="AC2539" s="2919">
        <f>AC2537</f>
        <v>8.8333333333333339</v>
      </c>
      <c r="AD2539" s="3050">
        <v>9.3000000000000007</v>
      </c>
      <c r="AE2539" s="3429"/>
      <c r="AF2539" s="3421"/>
      <c r="AG2539" s="3421"/>
      <c r="AH2539" s="156"/>
      <c r="AI2539" s="156"/>
      <c r="AJ2539" s="156"/>
      <c r="AK2539" s="156"/>
      <c r="AL2539" s="156"/>
      <c r="AM2539" s="156"/>
      <c r="AN2539" s="156"/>
      <c r="AO2539" s="156"/>
      <c r="AP2539" s="156"/>
      <c r="AQ2539" s="156"/>
      <c r="AR2539" s="156"/>
      <c r="AS2539" s="156"/>
      <c r="AT2539" s="156"/>
      <c r="AU2539" s="156"/>
      <c r="AV2539" s="156"/>
      <c r="AW2539" s="156"/>
      <c r="AX2539" s="156"/>
      <c r="AY2539" s="156"/>
      <c r="AZ2539" s="156"/>
      <c r="BA2539" s="156"/>
      <c r="BB2539" s="2828"/>
      <c r="BC2539" s="452"/>
      <c r="BD2539" s="2829"/>
      <c r="BE2539" s="2837"/>
      <c r="BF2539" s="156"/>
    </row>
    <row r="2540" spans="1:58" ht="15" customHeight="1" outlineLevel="1" x14ac:dyDescent="0.35">
      <c r="A2540" s="1664"/>
      <c r="B2540" s="2812"/>
      <c r="C2540" s="3077"/>
      <c r="D2540" s="3980"/>
      <c r="E2540" s="3883"/>
      <c r="F2540" s="3984" t="str">
        <f>$E$1576</f>
        <v>ASHP-SEER15_ER2_MF_CompE</v>
      </c>
      <c r="G2540" s="3984"/>
      <c r="H2540" s="3984"/>
      <c r="I2540" s="3984"/>
      <c r="J2540" s="3501" t="str">
        <f>$C$1576</f>
        <v>352701_2021_12_</v>
      </c>
      <c r="K2540" s="3050">
        <v>9.3000000000000007</v>
      </c>
      <c r="L2540" s="2822"/>
      <c r="M2540" s="3040" t="s">
        <v>1083</v>
      </c>
      <c r="N2540" s="106"/>
      <c r="O2540" s="106"/>
      <c r="P2540" s="702"/>
      <c r="Q2540" s="702"/>
      <c r="R2540" s="702"/>
      <c r="S2540" s="106"/>
      <c r="T2540" s="486"/>
      <c r="U2540" s="106"/>
      <c r="V2540" s="4184"/>
      <c r="W2540" s="3421"/>
      <c r="X2540" s="3421"/>
      <c r="Y2540" s="2374">
        <v>8.6999999999999993</v>
      </c>
      <c r="Z2540" s="3421">
        <v>8.6999999999999993</v>
      </c>
      <c r="AA2540" s="3421">
        <v>8.6999999999999993</v>
      </c>
      <c r="AB2540" s="3421">
        <v>8.6999999999999993</v>
      </c>
      <c r="AC2540" s="2919">
        <f>AC2538</f>
        <v>8.8333333333333339</v>
      </c>
      <c r="AD2540" s="3050">
        <v>9.3000000000000007</v>
      </c>
      <c r="AE2540" s="3429"/>
      <c r="AF2540" s="3421"/>
      <c r="AG2540" s="3421"/>
      <c r="AH2540" s="156"/>
      <c r="AI2540" s="156"/>
      <c r="AJ2540" s="156"/>
      <c r="AK2540" s="156"/>
      <c r="AL2540" s="156"/>
      <c r="AM2540" s="156"/>
      <c r="AN2540" s="156"/>
      <c r="AO2540" s="156"/>
      <c r="AP2540" s="156"/>
      <c r="AQ2540" s="156"/>
      <c r="AR2540" s="156"/>
      <c r="AS2540" s="156"/>
      <c r="AT2540" s="156"/>
      <c r="AU2540" s="156"/>
      <c r="AV2540" s="156"/>
      <c r="AW2540" s="156"/>
      <c r="AX2540" s="156"/>
      <c r="AY2540" s="156"/>
      <c r="AZ2540" s="156"/>
      <c r="BA2540" s="156"/>
      <c r="BB2540" s="2828"/>
      <c r="BC2540" s="452"/>
      <c r="BD2540" s="2829"/>
      <c r="BE2540" s="2837"/>
      <c r="BF2540" s="156"/>
    </row>
    <row r="2541" spans="1:58" ht="15" customHeight="1" outlineLevel="1" x14ac:dyDescent="0.35">
      <c r="A2541" s="1664"/>
      <c r="B2541" s="2812"/>
      <c r="C2541" s="3077"/>
      <c r="D2541" s="3980"/>
      <c r="E2541" s="3883"/>
      <c r="F2541" s="3984" t="str">
        <f>$E$1578</f>
        <v>ASHP-SEER15-Replace_CAC_ElectricHeat_ER1_MF</v>
      </c>
      <c r="G2541" s="3984"/>
      <c r="H2541" s="3984"/>
      <c r="I2541" s="3984"/>
      <c r="J2541" s="3501" t="str">
        <f>$C$1578</f>
        <v>352750_2021_12_</v>
      </c>
      <c r="K2541" s="3050">
        <v>9.3000000000000007</v>
      </c>
      <c r="L2541" s="2822"/>
      <c r="M2541" s="2819" t="s">
        <v>4360</v>
      </c>
      <c r="N2541" s="106"/>
      <c r="O2541" s="106"/>
      <c r="P2541" s="702"/>
      <c r="Q2541" s="702"/>
      <c r="R2541" s="702"/>
      <c r="S2541" s="106"/>
      <c r="T2541" s="486"/>
      <c r="U2541" s="106"/>
      <c r="V2541" s="4184"/>
      <c r="W2541" s="3421">
        <v>8.6999999999999993</v>
      </c>
      <c r="X2541" s="3421">
        <v>8.6999999999999993</v>
      </c>
      <c r="Y2541" s="3421">
        <v>8.6999999999999993</v>
      </c>
      <c r="Z2541" s="3421">
        <v>8.6999999999999993</v>
      </c>
      <c r="AA2541" s="3421">
        <v>8.6999999999999993</v>
      </c>
      <c r="AB2541" s="2374">
        <v>8.75</v>
      </c>
      <c r="AC2541" s="2919">
        <v>9.25</v>
      </c>
      <c r="AD2541" s="3050">
        <v>9.3000000000000007</v>
      </c>
      <c r="AE2541" s="3429"/>
      <c r="AF2541" s="3421"/>
      <c r="AG2541" s="3421"/>
      <c r="AH2541" s="156"/>
      <c r="AI2541" s="156"/>
      <c r="AJ2541" s="156"/>
      <c r="AK2541" s="156"/>
      <c r="AL2541" s="156"/>
      <c r="AM2541" s="156"/>
      <c r="AN2541" s="156"/>
      <c r="AO2541" s="156"/>
      <c r="AP2541" s="156"/>
      <c r="AQ2541" s="156"/>
      <c r="AR2541" s="156"/>
      <c r="AS2541" s="156"/>
      <c r="AT2541" s="156"/>
      <c r="AU2541" s="156"/>
      <c r="AV2541" s="156"/>
      <c r="AW2541" s="156"/>
      <c r="AX2541" s="156"/>
      <c r="AY2541" s="156"/>
      <c r="AZ2541" s="156"/>
      <c r="BA2541" s="156"/>
      <c r="BB2541" s="2828"/>
      <c r="BC2541" s="452"/>
      <c r="BD2541" s="2829"/>
      <c r="BE2541" s="2837"/>
      <c r="BF2541" s="156"/>
    </row>
    <row r="2542" spans="1:58" ht="15" customHeight="1" outlineLevel="1" x14ac:dyDescent="0.35">
      <c r="A2542" s="1664"/>
      <c r="B2542" s="2812"/>
      <c r="C2542" s="3077"/>
      <c r="D2542" s="3980"/>
      <c r="E2542" s="3883"/>
      <c r="F2542" s="3984" t="str">
        <f>$E$1580</f>
        <v>ASHP-SEER15-Replace_CAC_ElectricHeat_ER2_MF</v>
      </c>
      <c r="G2542" s="3984"/>
      <c r="H2542" s="3984"/>
      <c r="I2542" s="3984"/>
      <c r="J2542" s="3501" t="str">
        <f>$C$1580</f>
        <v>352750_2021_12_</v>
      </c>
      <c r="K2542" s="3050">
        <v>9.3000000000000007</v>
      </c>
      <c r="L2542" s="2822"/>
      <c r="M2542" s="2819" t="s">
        <v>4360</v>
      </c>
      <c r="N2542" s="106"/>
      <c r="O2542" s="106"/>
      <c r="P2542" s="702"/>
      <c r="Q2542" s="702"/>
      <c r="R2542" s="702"/>
      <c r="S2542" s="106"/>
      <c r="T2542" s="486"/>
      <c r="U2542" s="106"/>
      <c r="V2542" s="4184"/>
      <c r="W2542" s="3421">
        <v>8.6999999999999993</v>
      </c>
      <c r="X2542" s="3421">
        <v>8.6999999999999993</v>
      </c>
      <c r="Y2542" s="3421">
        <v>8.6999999999999993</v>
      </c>
      <c r="Z2542" s="3421">
        <v>8.6999999999999993</v>
      </c>
      <c r="AA2542" s="3421">
        <v>8.6999999999999993</v>
      </c>
      <c r="AB2542" s="2374">
        <v>8.75</v>
      </c>
      <c r="AC2542" s="2919">
        <f>AC2541</f>
        <v>9.25</v>
      </c>
      <c r="AD2542" s="3050">
        <v>9.3000000000000007</v>
      </c>
      <c r="AE2542" s="3429"/>
      <c r="AF2542" s="3421"/>
      <c r="AG2542" s="3421"/>
      <c r="AH2542" s="156"/>
      <c r="AI2542" s="156"/>
      <c r="AJ2542" s="156"/>
      <c r="AK2542" s="156"/>
      <c r="AL2542" s="156"/>
      <c r="AM2542" s="156"/>
      <c r="AN2542" s="156"/>
      <c r="AO2542" s="156"/>
      <c r="AP2542" s="156"/>
      <c r="AQ2542" s="156"/>
      <c r="AR2542" s="156"/>
      <c r="AS2542" s="156"/>
      <c r="AT2542" s="156"/>
      <c r="AU2542" s="156"/>
      <c r="AV2542" s="156"/>
      <c r="AW2542" s="156"/>
      <c r="AX2542" s="156"/>
      <c r="AY2542" s="156"/>
      <c r="AZ2542" s="156"/>
      <c r="BA2542" s="156"/>
      <c r="BB2542" s="2828"/>
      <c r="BC2542" s="452"/>
      <c r="BD2542" s="2829"/>
      <c r="BE2542" s="2837"/>
      <c r="BF2542" s="156"/>
    </row>
    <row r="2543" spans="1:58" ht="15" customHeight="1" outlineLevel="1" x14ac:dyDescent="0.35">
      <c r="A2543" s="1664"/>
      <c r="B2543" s="2812"/>
      <c r="C2543" s="3077"/>
      <c r="D2543" s="3980"/>
      <c r="E2543" s="3883"/>
      <c r="F2543" s="3984" t="str">
        <f>$E$1582</f>
        <v>ASHP-SEER15-Replace_CAC_ElectricHeat_ER1_MF_CompE</v>
      </c>
      <c r="G2543" s="3984"/>
      <c r="H2543" s="3984"/>
      <c r="I2543" s="3984"/>
      <c r="J2543" s="3501" t="str">
        <f>$C$1582</f>
        <v>352751_2021_12_</v>
      </c>
      <c r="K2543" s="3050">
        <v>9.3000000000000007</v>
      </c>
      <c r="L2543" s="2822"/>
      <c r="M2543" s="3040" t="s">
        <v>1083</v>
      </c>
      <c r="N2543" s="106"/>
      <c r="O2543" s="106"/>
      <c r="P2543" s="702"/>
      <c r="Q2543" s="702"/>
      <c r="R2543" s="702"/>
      <c r="S2543" s="106"/>
      <c r="T2543" s="486"/>
      <c r="U2543" s="106"/>
      <c r="V2543" s="4184"/>
      <c r="W2543" s="3421"/>
      <c r="X2543" s="3421"/>
      <c r="Y2543" s="2374">
        <v>8.6999999999999993</v>
      </c>
      <c r="Z2543" s="3421">
        <v>8.6999999999999993</v>
      </c>
      <c r="AA2543" s="3421">
        <v>8.6999999999999993</v>
      </c>
      <c r="AB2543" s="2374">
        <v>8.75</v>
      </c>
      <c r="AC2543" s="2919">
        <f>AC2541</f>
        <v>9.25</v>
      </c>
      <c r="AD2543" s="3050">
        <v>9.3000000000000007</v>
      </c>
      <c r="AE2543" s="3429"/>
      <c r="AF2543" s="3421"/>
      <c r="AG2543" s="3421"/>
      <c r="AH2543" s="156"/>
      <c r="AI2543" s="156"/>
      <c r="AJ2543" s="156"/>
      <c r="AK2543" s="156"/>
      <c r="AL2543" s="156"/>
      <c r="AM2543" s="156"/>
      <c r="AN2543" s="156"/>
      <c r="AO2543" s="156"/>
      <c r="AP2543" s="156"/>
      <c r="AQ2543" s="156"/>
      <c r="AR2543" s="156"/>
      <c r="AS2543" s="156"/>
      <c r="AT2543" s="156"/>
      <c r="AU2543" s="156"/>
      <c r="AV2543" s="156"/>
      <c r="AW2543" s="156"/>
      <c r="AX2543" s="156"/>
      <c r="AY2543" s="156"/>
      <c r="AZ2543" s="156"/>
      <c r="BA2543" s="156"/>
      <c r="BB2543" s="2828"/>
      <c r="BC2543" s="452"/>
      <c r="BD2543" s="2829"/>
      <c r="BE2543" s="2837"/>
      <c r="BF2543" s="156"/>
    </row>
    <row r="2544" spans="1:58" ht="15" customHeight="1" outlineLevel="1" x14ac:dyDescent="0.35">
      <c r="A2544" s="1664"/>
      <c r="B2544" s="2812"/>
      <c r="C2544" s="3077"/>
      <c r="D2544" s="3980"/>
      <c r="E2544" s="3883"/>
      <c r="F2544" s="3984" t="str">
        <f>$E$1584</f>
        <v>ASHP-SEER15-Replace_CAC_ElectricHeat_ER2_MF_CompE</v>
      </c>
      <c r="G2544" s="3984"/>
      <c r="H2544" s="3984"/>
      <c r="I2544" s="3984"/>
      <c r="J2544" s="3501" t="str">
        <f>$C$1584</f>
        <v>352751_2021_12_</v>
      </c>
      <c r="K2544" s="3050">
        <v>9.3000000000000007</v>
      </c>
      <c r="L2544" s="2822"/>
      <c r="M2544" s="3040" t="s">
        <v>1083</v>
      </c>
      <c r="N2544" s="106"/>
      <c r="O2544" s="106"/>
      <c r="P2544" s="702"/>
      <c r="Q2544" s="702"/>
      <c r="R2544" s="702"/>
      <c r="S2544" s="106"/>
      <c r="T2544" s="486"/>
      <c r="U2544" s="106"/>
      <c r="V2544" s="4184"/>
      <c r="W2544" s="3421"/>
      <c r="X2544" s="3421"/>
      <c r="Y2544" s="2374">
        <v>8.6999999999999993</v>
      </c>
      <c r="Z2544" s="3421">
        <v>8.6999999999999993</v>
      </c>
      <c r="AA2544" s="3421">
        <v>8.6999999999999993</v>
      </c>
      <c r="AB2544" s="2374">
        <v>8.75</v>
      </c>
      <c r="AC2544" s="2919">
        <f>AC2542</f>
        <v>9.25</v>
      </c>
      <c r="AD2544" s="3050">
        <v>9.3000000000000007</v>
      </c>
      <c r="AE2544" s="3429"/>
      <c r="AF2544" s="3421"/>
      <c r="AG2544" s="3421"/>
      <c r="AH2544" s="156"/>
      <c r="AI2544" s="156"/>
      <c r="AJ2544" s="156"/>
      <c r="AK2544" s="156"/>
      <c r="AL2544" s="156"/>
      <c r="AM2544" s="156"/>
      <c r="AN2544" s="156"/>
      <c r="AO2544" s="156"/>
      <c r="AP2544" s="156"/>
      <c r="AQ2544" s="156"/>
      <c r="AR2544" s="156"/>
      <c r="AS2544" s="156"/>
      <c r="AT2544" s="156"/>
      <c r="AU2544" s="156"/>
      <c r="AV2544" s="156"/>
      <c r="AW2544" s="156"/>
      <c r="AX2544" s="156"/>
      <c r="AY2544" s="156"/>
      <c r="AZ2544" s="156"/>
      <c r="BA2544" s="156"/>
      <c r="BB2544" s="2828"/>
      <c r="BC2544" s="452"/>
      <c r="BD2544" s="2829"/>
      <c r="BE2544" s="2837"/>
      <c r="BF2544" s="156"/>
    </row>
    <row r="2545" spans="1:58" ht="15" customHeight="1" outlineLevel="1" x14ac:dyDescent="0.35">
      <c r="A2545" s="1664"/>
      <c r="B2545" s="2812"/>
      <c r="C2545" s="3077"/>
      <c r="D2545" s="3980"/>
      <c r="E2545" s="3883"/>
      <c r="F2545" s="3984" t="str">
        <f>$E$1586</f>
        <v>ASHP-SEER15-Replace_CAC_NonElectricHeat_ER1_MF</v>
      </c>
      <c r="G2545" s="3984"/>
      <c r="H2545" s="3984"/>
      <c r="I2545" s="3984"/>
      <c r="J2545" s="3501" t="str">
        <f>$C$1586</f>
        <v>352760_2021_12_</v>
      </c>
      <c r="K2545" s="3050">
        <v>9.3000000000000007</v>
      </c>
      <c r="L2545" s="2822"/>
      <c r="M2545" s="3025" t="s">
        <v>1083</v>
      </c>
      <c r="N2545" s="106"/>
      <c r="O2545" s="106"/>
      <c r="P2545" s="702"/>
      <c r="Q2545" s="702"/>
      <c r="R2545" s="702"/>
      <c r="S2545" s="106"/>
      <c r="T2545" s="486"/>
      <c r="U2545" s="106"/>
      <c r="V2545" s="4184"/>
      <c r="W2545" s="3421"/>
      <c r="X2545" s="3421"/>
      <c r="Y2545" s="2374"/>
      <c r="Z2545" s="3421"/>
      <c r="AA2545" s="3421"/>
      <c r="AB2545" s="2374"/>
      <c r="AC2545" s="2919">
        <v>9.25</v>
      </c>
      <c r="AD2545" s="3050">
        <v>9.3000000000000007</v>
      </c>
      <c r="AE2545" s="3429"/>
      <c r="AF2545" s="3421"/>
      <c r="AG2545" s="3421"/>
      <c r="AH2545" s="156"/>
      <c r="AI2545" s="156"/>
      <c r="AJ2545" s="156"/>
      <c r="AK2545" s="156"/>
      <c r="AL2545" s="156"/>
      <c r="AM2545" s="156"/>
      <c r="AN2545" s="156"/>
      <c r="AO2545" s="156"/>
      <c r="AP2545" s="156"/>
      <c r="AQ2545" s="156"/>
      <c r="AR2545" s="156"/>
      <c r="AS2545" s="156"/>
      <c r="AT2545" s="156"/>
      <c r="AU2545" s="156"/>
      <c r="AV2545" s="156"/>
      <c r="AW2545" s="156"/>
      <c r="AX2545" s="156"/>
      <c r="AY2545" s="156"/>
      <c r="AZ2545" s="156"/>
      <c r="BA2545" s="156"/>
      <c r="BB2545" s="2828"/>
      <c r="BC2545" s="452"/>
      <c r="BD2545" s="2829"/>
      <c r="BE2545" s="2837"/>
      <c r="BF2545" s="156"/>
    </row>
    <row r="2546" spans="1:58" ht="15" customHeight="1" outlineLevel="1" x14ac:dyDescent="0.35">
      <c r="A2546" s="1664"/>
      <c r="B2546" s="2812"/>
      <c r="C2546" s="3077"/>
      <c r="D2546" s="3980"/>
      <c r="E2546" s="3883"/>
      <c r="F2546" s="3984" t="str">
        <f>$E$1588</f>
        <v>ASHP-SEER15-Replace_CAC_NonElectricHeat_ER2_MF</v>
      </c>
      <c r="G2546" s="3984"/>
      <c r="H2546" s="3984"/>
      <c r="I2546" s="3984"/>
      <c r="J2546" s="3501" t="str">
        <f>$C$1588</f>
        <v>352760_2021_12_</v>
      </c>
      <c r="K2546" s="3050">
        <v>9.3000000000000007</v>
      </c>
      <c r="L2546" s="2822"/>
      <c r="M2546" s="3025" t="s">
        <v>1083</v>
      </c>
      <c r="N2546" s="106"/>
      <c r="O2546" s="106"/>
      <c r="P2546" s="702"/>
      <c r="Q2546" s="702"/>
      <c r="R2546" s="702"/>
      <c r="S2546" s="106"/>
      <c r="T2546" s="486"/>
      <c r="U2546" s="106"/>
      <c r="V2546" s="4184"/>
      <c r="W2546" s="3421"/>
      <c r="X2546" s="3421"/>
      <c r="Y2546" s="2374"/>
      <c r="Z2546" s="3421"/>
      <c r="AA2546" s="3421"/>
      <c r="AB2546" s="2374"/>
      <c r="AC2546" s="2919">
        <f>AC2545</f>
        <v>9.25</v>
      </c>
      <c r="AD2546" s="3050">
        <v>9.3000000000000007</v>
      </c>
      <c r="AE2546" s="3429"/>
      <c r="AF2546" s="3421"/>
      <c r="AG2546" s="3421"/>
      <c r="AH2546" s="156"/>
      <c r="AI2546" s="156"/>
      <c r="AJ2546" s="156"/>
      <c r="AK2546" s="156"/>
      <c r="AL2546" s="156"/>
      <c r="AM2546" s="156"/>
      <c r="AN2546" s="156"/>
      <c r="AO2546" s="156"/>
      <c r="AP2546" s="156"/>
      <c r="AQ2546" s="156"/>
      <c r="AR2546" s="156"/>
      <c r="AS2546" s="156"/>
      <c r="AT2546" s="156"/>
      <c r="AU2546" s="156"/>
      <c r="AV2546" s="156"/>
      <c r="AW2546" s="156"/>
      <c r="AX2546" s="156"/>
      <c r="AY2546" s="156"/>
      <c r="AZ2546" s="156"/>
      <c r="BA2546" s="156"/>
      <c r="BB2546" s="2828"/>
      <c r="BC2546" s="452"/>
      <c r="BD2546" s="2829"/>
      <c r="BE2546" s="2837"/>
      <c r="BF2546" s="156"/>
    </row>
    <row r="2547" spans="1:58" ht="15" customHeight="1" outlineLevel="1" x14ac:dyDescent="0.35">
      <c r="A2547" s="1664"/>
      <c r="B2547" s="2812"/>
      <c r="C2547" s="3077"/>
      <c r="D2547" s="3980"/>
      <c r="E2547" s="3883"/>
      <c r="F2547" s="3984" t="str">
        <f>$E$1590</f>
        <v>ASHP-SEER15-Replace_CAC_NonElectricHeat_ER1_MF_CompE</v>
      </c>
      <c r="G2547" s="3984"/>
      <c r="H2547" s="3984"/>
      <c r="I2547" s="3984"/>
      <c r="J2547" s="3501" t="str">
        <f>$C$1590</f>
        <v>352761_2021_12_</v>
      </c>
      <c r="K2547" s="3050">
        <v>9.3000000000000007</v>
      </c>
      <c r="L2547" s="2822"/>
      <c r="M2547" s="3025" t="s">
        <v>1083</v>
      </c>
      <c r="N2547" s="106"/>
      <c r="O2547" s="106"/>
      <c r="P2547" s="702"/>
      <c r="Q2547" s="702"/>
      <c r="R2547" s="702"/>
      <c r="S2547" s="106"/>
      <c r="T2547" s="486"/>
      <c r="U2547" s="106"/>
      <c r="V2547" s="4184"/>
      <c r="W2547" s="3421"/>
      <c r="X2547" s="3421"/>
      <c r="Y2547" s="2374"/>
      <c r="Z2547" s="3421"/>
      <c r="AA2547" s="3421"/>
      <c r="AB2547" s="2374"/>
      <c r="AC2547" s="2919">
        <f>AC2545</f>
        <v>9.25</v>
      </c>
      <c r="AD2547" s="3050">
        <v>9.3000000000000007</v>
      </c>
      <c r="AE2547" s="3429"/>
      <c r="AF2547" s="3421"/>
      <c r="AG2547" s="3421"/>
      <c r="AH2547" s="156"/>
      <c r="AI2547" s="156"/>
      <c r="AJ2547" s="156"/>
      <c r="AK2547" s="156"/>
      <c r="AL2547" s="156"/>
      <c r="AM2547" s="156"/>
      <c r="AN2547" s="156"/>
      <c r="AO2547" s="156"/>
      <c r="AP2547" s="156"/>
      <c r="AQ2547" s="156"/>
      <c r="AR2547" s="156"/>
      <c r="AS2547" s="156"/>
      <c r="AT2547" s="156"/>
      <c r="AU2547" s="156"/>
      <c r="AV2547" s="156"/>
      <c r="AW2547" s="156"/>
      <c r="AX2547" s="156"/>
      <c r="AY2547" s="156"/>
      <c r="AZ2547" s="156"/>
      <c r="BA2547" s="156"/>
      <c r="BB2547" s="2828"/>
      <c r="BC2547" s="452"/>
      <c r="BD2547" s="2829"/>
      <c r="BE2547" s="2837"/>
      <c r="BF2547" s="156"/>
    </row>
    <row r="2548" spans="1:58" ht="15" customHeight="1" outlineLevel="1" x14ac:dyDescent="0.35">
      <c r="A2548" s="1664"/>
      <c r="B2548" s="2812"/>
      <c r="C2548" s="3077"/>
      <c r="D2548" s="3980"/>
      <c r="E2548" s="3883"/>
      <c r="F2548" s="3984" t="str">
        <f>$E$1592</f>
        <v>ASHP-SEER15-Replace_CAC_NonElectricHeat_ER2_MF_CompE</v>
      </c>
      <c r="G2548" s="3984"/>
      <c r="H2548" s="3984"/>
      <c r="I2548" s="3984"/>
      <c r="J2548" s="3501" t="str">
        <f>$C$1592</f>
        <v>352761_2021_12_</v>
      </c>
      <c r="K2548" s="3050">
        <v>9.3000000000000007</v>
      </c>
      <c r="L2548" s="2822"/>
      <c r="M2548" s="3025" t="s">
        <v>1083</v>
      </c>
      <c r="N2548" s="106"/>
      <c r="O2548" s="106"/>
      <c r="P2548" s="702"/>
      <c r="Q2548" s="702"/>
      <c r="R2548" s="702"/>
      <c r="S2548" s="106"/>
      <c r="T2548" s="486"/>
      <c r="U2548" s="106"/>
      <c r="V2548" s="4184"/>
      <c r="W2548" s="3421"/>
      <c r="X2548" s="3421"/>
      <c r="Y2548" s="2374"/>
      <c r="Z2548" s="3421"/>
      <c r="AA2548" s="3421"/>
      <c r="AB2548" s="2374"/>
      <c r="AC2548" s="2919">
        <f>AC2546</f>
        <v>9.25</v>
      </c>
      <c r="AD2548" s="3050">
        <v>9.3000000000000007</v>
      </c>
      <c r="AE2548" s="3429"/>
      <c r="AF2548" s="3421"/>
      <c r="AG2548" s="3421"/>
      <c r="AH2548" s="156"/>
      <c r="AI2548" s="156"/>
      <c r="AJ2548" s="156"/>
      <c r="AK2548" s="156"/>
      <c r="AL2548" s="156"/>
      <c r="AM2548" s="156"/>
      <c r="AN2548" s="156"/>
      <c r="AO2548" s="156"/>
      <c r="AP2548" s="156"/>
      <c r="AQ2548" s="156"/>
      <c r="AR2548" s="156"/>
      <c r="AS2548" s="156"/>
      <c r="AT2548" s="156"/>
      <c r="AU2548" s="156"/>
      <c r="AV2548" s="156"/>
      <c r="AW2548" s="156"/>
      <c r="AX2548" s="156"/>
      <c r="AY2548" s="156"/>
      <c r="AZ2548" s="156"/>
      <c r="BA2548" s="156"/>
      <c r="BB2548" s="2828"/>
      <c r="BC2548" s="452"/>
      <c r="BD2548" s="2829"/>
      <c r="BE2548" s="2837"/>
      <c r="BF2548" s="156"/>
    </row>
    <row r="2549" spans="1:58" ht="15" customHeight="1" outlineLevel="1" x14ac:dyDescent="0.35">
      <c r="A2549" s="1664"/>
      <c r="B2549" s="2812"/>
      <c r="C2549" s="3077"/>
      <c r="D2549" s="3980"/>
      <c r="E2549" s="3883"/>
      <c r="F2549" s="3984" t="str">
        <f>$E$1594</f>
        <v>ASHP-SEER15-Replace_CAC_ElectricHeat_ROF_MF</v>
      </c>
      <c r="G2549" s="3984"/>
      <c r="H2549" s="3984"/>
      <c r="I2549" s="3984"/>
      <c r="J2549" s="3501" t="str">
        <f>$C$1594</f>
        <v>352800_2019_12_</v>
      </c>
      <c r="K2549" s="3050">
        <v>8.5</v>
      </c>
      <c r="L2549" s="2822"/>
      <c r="M2549" s="2819" t="s">
        <v>4360</v>
      </c>
      <c r="N2549" s="106"/>
      <c r="O2549" s="106"/>
      <c r="P2549" s="702"/>
      <c r="Q2549" s="702"/>
      <c r="R2549" s="702"/>
      <c r="S2549" s="106"/>
      <c r="T2549" s="486"/>
      <c r="U2549" s="106"/>
      <c r="V2549" s="4184"/>
      <c r="W2549" s="3421">
        <v>8.6</v>
      </c>
      <c r="X2549" s="3421">
        <v>8.6</v>
      </c>
      <c r="Y2549" s="3421">
        <v>8.6</v>
      </c>
      <c r="Z2549" s="3421">
        <v>8.6</v>
      </c>
      <c r="AA2549" s="3421">
        <v>8.6</v>
      </c>
      <c r="AB2549" s="3421">
        <v>8.6</v>
      </c>
      <c r="AC2549" s="2920">
        <v>8.6</v>
      </c>
      <c r="AD2549" s="3050">
        <v>8.5</v>
      </c>
      <c r="AE2549" s="3429"/>
      <c r="AF2549" s="3421"/>
      <c r="AG2549" s="3421"/>
      <c r="AH2549" s="156"/>
      <c r="AI2549" s="156"/>
      <c r="AJ2549" s="156"/>
      <c r="AK2549" s="156"/>
      <c r="AL2549" s="156"/>
      <c r="AM2549" s="156"/>
      <c r="AN2549" s="156"/>
      <c r="AO2549" s="156"/>
      <c r="AP2549" s="156"/>
      <c r="AQ2549" s="156"/>
      <c r="AR2549" s="156"/>
      <c r="AS2549" s="156"/>
      <c r="AT2549" s="156"/>
      <c r="AU2549" s="156"/>
      <c r="AV2549" s="156"/>
      <c r="AW2549" s="156"/>
      <c r="AX2549" s="156"/>
      <c r="AY2549" s="156"/>
      <c r="AZ2549" s="156"/>
      <c r="BA2549" s="156"/>
      <c r="BB2549" s="2828"/>
      <c r="BC2549" s="452"/>
      <c r="BD2549" s="2829"/>
      <c r="BE2549" s="2837"/>
      <c r="BF2549" s="156"/>
    </row>
    <row r="2550" spans="1:58" ht="15" customHeight="1" outlineLevel="1" x14ac:dyDescent="0.35">
      <c r="A2550" s="1664"/>
      <c r="B2550" s="2812"/>
      <c r="C2550" s="3077"/>
      <c r="D2550" s="3980"/>
      <c r="E2550" s="3883"/>
      <c r="F2550" s="3984" t="str">
        <f>$E$1596</f>
        <v>ASHP-SEER15-Replace_CAC_ElectricHeat_ROF_MF_CompE</v>
      </c>
      <c r="G2550" s="3984"/>
      <c r="H2550" s="3984"/>
      <c r="I2550" s="3984"/>
      <c r="J2550" s="3501" t="str">
        <f>$C$1596</f>
        <v>352801_2021_12_</v>
      </c>
      <c r="K2550" s="3050">
        <v>8.5</v>
      </c>
      <c r="L2550" s="2822"/>
      <c r="M2550" s="2819" t="s">
        <v>4360</v>
      </c>
      <c r="N2550" s="106"/>
      <c r="O2550" s="106"/>
      <c r="P2550" s="702"/>
      <c r="Q2550" s="702"/>
      <c r="R2550" s="702"/>
      <c r="S2550" s="106"/>
      <c r="T2550" s="486"/>
      <c r="U2550" s="106"/>
      <c r="V2550" s="4184"/>
      <c r="W2550" s="3421"/>
      <c r="X2550" s="3421"/>
      <c r="Y2550" s="2374">
        <v>8.6</v>
      </c>
      <c r="Z2550" s="3421">
        <v>8.6</v>
      </c>
      <c r="AA2550" s="3421">
        <v>8.6</v>
      </c>
      <c r="AB2550" s="3421">
        <v>8.6</v>
      </c>
      <c r="AC2550" s="2920">
        <f>AC2549</f>
        <v>8.6</v>
      </c>
      <c r="AD2550" s="3050">
        <v>8.5</v>
      </c>
      <c r="AE2550" s="3429"/>
      <c r="AF2550" s="3421"/>
      <c r="AG2550" s="3421"/>
      <c r="AH2550" s="156"/>
      <c r="AI2550" s="156"/>
      <c r="AJ2550" s="156"/>
      <c r="AK2550" s="156"/>
      <c r="AL2550" s="156"/>
      <c r="AM2550" s="156"/>
      <c r="AN2550" s="156"/>
      <c r="AO2550" s="156"/>
      <c r="AP2550" s="156"/>
      <c r="AQ2550" s="156"/>
      <c r="AR2550" s="156"/>
      <c r="AS2550" s="156"/>
      <c r="AT2550" s="156"/>
      <c r="AU2550" s="156"/>
      <c r="AV2550" s="156"/>
      <c r="AW2550" s="156"/>
      <c r="AX2550" s="156"/>
      <c r="AY2550" s="156"/>
      <c r="AZ2550" s="156"/>
      <c r="BA2550" s="156"/>
      <c r="BB2550" s="2828"/>
      <c r="BC2550" s="452"/>
      <c r="BD2550" s="2829"/>
      <c r="BE2550" s="2837"/>
      <c r="BF2550" s="156"/>
    </row>
    <row r="2551" spans="1:58" ht="15" customHeight="1" outlineLevel="1" x14ac:dyDescent="0.35">
      <c r="A2551" s="1664"/>
      <c r="B2551" s="2812"/>
      <c r="C2551" s="3077"/>
      <c r="D2551" s="3980"/>
      <c r="E2551" s="3883"/>
      <c r="F2551" s="3984" t="str">
        <f>$E$1598</f>
        <v>ASHP-SEER15-Replace_CAC_NonElectricHeat_ROF_MF</v>
      </c>
      <c r="G2551" s="3984"/>
      <c r="H2551" s="3984"/>
      <c r="I2551" s="3984"/>
      <c r="J2551" s="3501" t="str">
        <f>$C$1598</f>
        <v>352810_2021_12_</v>
      </c>
      <c r="K2551" s="3050">
        <v>8.5</v>
      </c>
      <c r="L2551" s="2822"/>
      <c r="M2551" s="3025" t="s">
        <v>1083</v>
      </c>
      <c r="N2551" s="106"/>
      <c r="O2551" s="106"/>
      <c r="P2551" s="702"/>
      <c r="Q2551" s="702"/>
      <c r="R2551" s="702"/>
      <c r="S2551" s="106"/>
      <c r="T2551" s="486"/>
      <c r="U2551" s="106"/>
      <c r="V2551" s="4184"/>
      <c r="W2551" s="3421"/>
      <c r="X2551" s="3421"/>
      <c r="Y2551" s="2374"/>
      <c r="Z2551" s="3421"/>
      <c r="AA2551" s="3421"/>
      <c r="AB2551" s="3421"/>
      <c r="AC2551" s="2919">
        <v>8.6</v>
      </c>
      <c r="AD2551" s="3050">
        <v>8.5</v>
      </c>
      <c r="AE2551" s="3429"/>
      <c r="AF2551" s="3421"/>
      <c r="AG2551" s="3421"/>
      <c r="AH2551" s="156"/>
      <c r="AI2551" s="156"/>
      <c r="AJ2551" s="156"/>
      <c r="AK2551" s="156"/>
      <c r="AL2551" s="156"/>
      <c r="AM2551" s="156"/>
      <c r="AN2551" s="156"/>
      <c r="AO2551" s="156"/>
      <c r="AP2551" s="156"/>
      <c r="AQ2551" s="156"/>
      <c r="AR2551" s="156"/>
      <c r="AS2551" s="156"/>
      <c r="AT2551" s="156"/>
      <c r="AU2551" s="156"/>
      <c r="AV2551" s="156"/>
      <c r="AW2551" s="156"/>
      <c r="AX2551" s="156"/>
      <c r="AY2551" s="156"/>
      <c r="AZ2551" s="156"/>
      <c r="BA2551" s="156"/>
      <c r="BB2551" s="2828"/>
      <c r="BC2551" s="452"/>
      <c r="BD2551" s="2829"/>
      <c r="BE2551" s="2837"/>
      <c r="BF2551" s="156"/>
    </row>
    <row r="2552" spans="1:58" ht="15" customHeight="1" outlineLevel="1" x14ac:dyDescent="0.35">
      <c r="A2552" s="1664"/>
      <c r="B2552" s="2812"/>
      <c r="C2552" s="3077"/>
      <c r="D2552" s="3980"/>
      <c r="E2552" s="3883"/>
      <c r="F2552" s="3984" t="str">
        <f>$E$1600</f>
        <v>ASHP-SEER15-Replace_CAC_NonElectricHeat_ROF_MF_CompE</v>
      </c>
      <c r="G2552" s="3984"/>
      <c r="H2552" s="3984"/>
      <c r="I2552" s="3984"/>
      <c r="J2552" s="3501" t="str">
        <f>$C$1600</f>
        <v>352811_2021_12_</v>
      </c>
      <c r="K2552" s="3050">
        <v>8.5</v>
      </c>
      <c r="L2552" s="2822"/>
      <c r="M2552" s="3025" t="s">
        <v>1083</v>
      </c>
      <c r="N2552" s="106"/>
      <c r="O2552" s="106"/>
      <c r="P2552" s="702"/>
      <c r="Q2552" s="702"/>
      <c r="R2552" s="702"/>
      <c r="S2552" s="106"/>
      <c r="T2552" s="486"/>
      <c r="U2552" s="106"/>
      <c r="V2552" s="4184"/>
      <c r="W2552" s="3421"/>
      <c r="X2552" s="3421"/>
      <c r="Y2552" s="2374"/>
      <c r="Z2552" s="3421"/>
      <c r="AA2552" s="3421"/>
      <c r="AB2552" s="3421"/>
      <c r="AC2552" s="2919">
        <f>AC2551</f>
        <v>8.6</v>
      </c>
      <c r="AD2552" s="3050">
        <v>8.5</v>
      </c>
      <c r="AE2552" s="3429"/>
      <c r="AF2552" s="3421"/>
      <c r="AG2552" s="3421"/>
      <c r="AH2552" s="156"/>
      <c r="AI2552" s="156"/>
      <c r="AJ2552" s="156"/>
      <c r="AK2552" s="156"/>
      <c r="AL2552" s="156"/>
      <c r="AM2552" s="156"/>
      <c r="AN2552" s="156"/>
      <c r="AO2552" s="156"/>
      <c r="AP2552" s="156"/>
      <c r="AQ2552" s="156"/>
      <c r="AR2552" s="156"/>
      <c r="AS2552" s="156"/>
      <c r="AT2552" s="156"/>
      <c r="AU2552" s="156"/>
      <c r="AV2552" s="156"/>
      <c r="AW2552" s="156"/>
      <c r="AX2552" s="156"/>
      <c r="AY2552" s="156"/>
      <c r="AZ2552" s="156"/>
      <c r="BA2552" s="156"/>
      <c r="BB2552" s="2828"/>
      <c r="BC2552" s="452"/>
      <c r="BD2552" s="2829"/>
      <c r="BE2552" s="2837"/>
      <c r="BF2552" s="156"/>
    </row>
    <row r="2553" spans="1:58" ht="15" customHeight="1" outlineLevel="1" x14ac:dyDescent="0.35">
      <c r="A2553" s="1664"/>
      <c r="B2553" s="2812"/>
      <c r="C2553" s="3077"/>
      <c r="D2553" s="3980"/>
      <c r="E2553" s="3883"/>
      <c r="F2553" s="3984" t="str">
        <f>$E$1602</f>
        <v>ASHP-SEER16_ER1_MF</v>
      </c>
      <c r="G2553" s="3984"/>
      <c r="H2553" s="3984"/>
      <c r="I2553" s="3984"/>
      <c r="J2553" s="3501" t="str">
        <f>$C$1602</f>
        <v>352850_2021_12_</v>
      </c>
      <c r="K2553" s="3050">
        <v>9.2666666666666675</v>
      </c>
      <c r="L2553" s="2822"/>
      <c r="M2553" s="2819" t="s">
        <v>4360</v>
      </c>
      <c r="N2553" s="106"/>
      <c r="O2553" s="106"/>
      <c r="P2553" s="702"/>
      <c r="Q2553" s="702"/>
      <c r="R2553" s="702"/>
      <c r="S2553" s="106"/>
      <c r="T2553" s="486"/>
      <c r="U2553" s="106"/>
      <c r="V2553" s="4184"/>
      <c r="W2553" s="3421">
        <v>9.5</v>
      </c>
      <c r="X2553" s="3421">
        <v>9.5</v>
      </c>
      <c r="Y2553" s="3421">
        <v>9.5</v>
      </c>
      <c r="Z2553" s="3421">
        <v>9.5</v>
      </c>
      <c r="AA2553" s="3421">
        <v>9.5</v>
      </c>
      <c r="AB2553" s="3421">
        <v>9.5</v>
      </c>
      <c r="AC2553" s="2919">
        <v>9.0250000000000004</v>
      </c>
      <c r="AD2553" s="3050">
        <v>9.2666666666666675</v>
      </c>
      <c r="AE2553" s="3429"/>
      <c r="AF2553" s="3421"/>
      <c r="AG2553" s="3421"/>
      <c r="AH2553" s="156"/>
      <c r="AI2553" s="156"/>
      <c r="AJ2553" s="156"/>
      <c r="AK2553" s="156"/>
      <c r="AL2553" s="156"/>
      <c r="AM2553" s="156"/>
      <c r="AN2553" s="156"/>
      <c r="AO2553" s="156"/>
      <c r="AP2553" s="156"/>
      <c r="AQ2553" s="156"/>
      <c r="AR2553" s="156"/>
      <c r="AS2553" s="156"/>
      <c r="AT2553" s="156"/>
      <c r="AU2553" s="156"/>
      <c r="AV2553" s="156"/>
      <c r="AW2553" s="156"/>
      <c r="AX2553" s="156"/>
      <c r="AY2553" s="156"/>
      <c r="AZ2553" s="156"/>
      <c r="BA2553" s="156"/>
      <c r="BB2553" s="2828"/>
      <c r="BC2553" s="452"/>
      <c r="BD2553" s="2829"/>
      <c r="BE2553" s="2837"/>
      <c r="BF2553" s="156"/>
    </row>
    <row r="2554" spans="1:58" ht="15" customHeight="1" outlineLevel="1" x14ac:dyDescent="0.35">
      <c r="A2554" s="1664"/>
      <c r="B2554" s="2812"/>
      <c r="C2554" s="3077"/>
      <c r="D2554" s="3980"/>
      <c r="E2554" s="3883"/>
      <c r="F2554" s="3984" t="str">
        <f>$E$1604</f>
        <v>ASHP-SEER16_ER2_MF</v>
      </c>
      <c r="G2554" s="3984"/>
      <c r="H2554" s="3984"/>
      <c r="I2554" s="3984"/>
      <c r="J2554" s="3501" t="str">
        <f>$C$1604</f>
        <v>352850_2021_12_</v>
      </c>
      <c r="K2554" s="3050">
        <v>9.2666666666666675</v>
      </c>
      <c r="L2554" s="2822"/>
      <c r="M2554" s="2819" t="s">
        <v>4360</v>
      </c>
      <c r="N2554" s="106"/>
      <c r="O2554" s="106"/>
      <c r="P2554" s="702"/>
      <c r="Q2554" s="702"/>
      <c r="R2554" s="702"/>
      <c r="S2554" s="106"/>
      <c r="T2554" s="486"/>
      <c r="U2554" s="106"/>
      <c r="V2554" s="4184"/>
      <c r="W2554" s="3421">
        <v>9.5</v>
      </c>
      <c r="X2554" s="3421">
        <v>9.5</v>
      </c>
      <c r="Y2554" s="3421">
        <v>9.5</v>
      </c>
      <c r="Z2554" s="3421">
        <v>9.5</v>
      </c>
      <c r="AA2554" s="3421">
        <v>9.5</v>
      </c>
      <c r="AB2554" s="3421">
        <v>9.5</v>
      </c>
      <c r="AC2554" s="2919">
        <f>AC2553</f>
        <v>9.0250000000000004</v>
      </c>
      <c r="AD2554" s="3050">
        <v>9.2666666666666675</v>
      </c>
      <c r="AE2554" s="3429"/>
      <c r="AF2554" s="3421"/>
      <c r="AG2554" s="3421"/>
      <c r="AH2554" s="156"/>
      <c r="AI2554" s="156"/>
      <c r="AJ2554" s="156"/>
      <c r="AK2554" s="156"/>
      <c r="AL2554" s="156"/>
      <c r="AM2554" s="156"/>
      <c r="AN2554" s="156"/>
      <c r="AO2554" s="156"/>
      <c r="AP2554" s="156"/>
      <c r="AQ2554" s="156"/>
      <c r="AR2554" s="156"/>
      <c r="AS2554" s="156"/>
      <c r="AT2554" s="156"/>
      <c r="AU2554" s="156"/>
      <c r="AV2554" s="156"/>
      <c r="AW2554" s="156"/>
      <c r="AX2554" s="156"/>
      <c r="AY2554" s="156"/>
      <c r="AZ2554" s="156"/>
      <c r="BA2554" s="156"/>
      <c r="BB2554" s="2828"/>
      <c r="BC2554" s="452"/>
      <c r="BD2554" s="2829"/>
      <c r="BE2554" s="2837"/>
      <c r="BF2554" s="156"/>
    </row>
    <row r="2555" spans="1:58" ht="15" customHeight="1" outlineLevel="1" x14ac:dyDescent="0.35">
      <c r="A2555" s="1664"/>
      <c r="B2555" s="2812"/>
      <c r="C2555" s="3077"/>
      <c r="D2555" s="3980"/>
      <c r="E2555" s="3883"/>
      <c r="F2555" s="3984" t="str">
        <f>$E$1606</f>
        <v>ASHP-SEER16_ER1_MF_CompE</v>
      </c>
      <c r="G2555" s="3984"/>
      <c r="H2555" s="3984"/>
      <c r="I2555" s="3984"/>
      <c r="J2555" s="3501" t="str">
        <f>$C$1606</f>
        <v>352851_2021_12_</v>
      </c>
      <c r="K2555" s="3050">
        <v>9.2666666666666675</v>
      </c>
      <c r="L2555" s="2822"/>
      <c r="M2555" s="3040" t="s">
        <v>1083</v>
      </c>
      <c r="N2555" s="106"/>
      <c r="O2555" s="106"/>
      <c r="P2555" s="702"/>
      <c r="Q2555" s="702"/>
      <c r="R2555" s="702"/>
      <c r="S2555" s="106"/>
      <c r="T2555" s="486"/>
      <c r="U2555" s="106"/>
      <c r="V2555" s="4184"/>
      <c r="W2555" s="3421"/>
      <c r="X2555" s="3421"/>
      <c r="Y2555" s="2374">
        <v>9.5</v>
      </c>
      <c r="Z2555" s="3421">
        <v>9.5</v>
      </c>
      <c r="AA2555" s="3421">
        <v>9.5</v>
      </c>
      <c r="AB2555" s="3421">
        <v>9.5</v>
      </c>
      <c r="AC2555" s="2919">
        <f>AC2553</f>
        <v>9.0250000000000004</v>
      </c>
      <c r="AD2555" s="3050">
        <v>9.2666666666666675</v>
      </c>
      <c r="AE2555" s="3429"/>
      <c r="AF2555" s="3421"/>
      <c r="AG2555" s="3421"/>
      <c r="AH2555" s="156"/>
      <c r="AI2555" s="156"/>
      <c r="AJ2555" s="156"/>
      <c r="AK2555" s="156"/>
      <c r="AL2555" s="156"/>
      <c r="AM2555" s="156"/>
      <c r="AN2555" s="156"/>
      <c r="AO2555" s="156"/>
      <c r="AP2555" s="156"/>
      <c r="AQ2555" s="156"/>
      <c r="AR2555" s="156"/>
      <c r="AS2555" s="156"/>
      <c r="AT2555" s="156"/>
      <c r="AU2555" s="156"/>
      <c r="AV2555" s="156"/>
      <c r="AW2555" s="156"/>
      <c r="AX2555" s="156"/>
      <c r="AY2555" s="156"/>
      <c r="AZ2555" s="156"/>
      <c r="BA2555" s="156"/>
      <c r="BB2555" s="2828"/>
      <c r="BC2555" s="452"/>
      <c r="BD2555" s="2829"/>
      <c r="BE2555" s="2837"/>
      <c r="BF2555" s="156"/>
    </row>
    <row r="2556" spans="1:58" ht="15" customHeight="1" outlineLevel="1" x14ac:dyDescent="0.35">
      <c r="A2556" s="1664"/>
      <c r="B2556" s="2812"/>
      <c r="C2556" s="3077"/>
      <c r="D2556" s="3980"/>
      <c r="E2556" s="3883"/>
      <c r="F2556" s="3984" t="str">
        <f>$E$1608</f>
        <v>ASHP-SEER16_ER2_MF_CompE</v>
      </c>
      <c r="G2556" s="3984"/>
      <c r="H2556" s="3984"/>
      <c r="I2556" s="3984"/>
      <c r="J2556" s="3501" t="str">
        <f>$C$1608</f>
        <v>352851_2021_12_</v>
      </c>
      <c r="K2556" s="3050">
        <v>9.2666666666666675</v>
      </c>
      <c r="L2556" s="2822"/>
      <c r="M2556" s="3040" t="s">
        <v>1083</v>
      </c>
      <c r="N2556" s="106"/>
      <c r="O2556" s="106"/>
      <c r="P2556" s="702"/>
      <c r="Q2556" s="702"/>
      <c r="R2556" s="702"/>
      <c r="S2556" s="106"/>
      <c r="T2556" s="486"/>
      <c r="U2556" s="106"/>
      <c r="V2556" s="4184"/>
      <c r="W2556" s="3421"/>
      <c r="X2556" s="3421"/>
      <c r="Y2556" s="2374">
        <v>9.5</v>
      </c>
      <c r="Z2556" s="3421">
        <v>9.5</v>
      </c>
      <c r="AA2556" s="3421">
        <v>9.5</v>
      </c>
      <c r="AB2556" s="3421">
        <v>9.5</v>
      </c>
      <c r="AC2556" s="2919">
        <f>AC2554</f>
        <v>9.0250000000000004</v>
      </c>
      <c r="AD2556" s="3050">
        <v>9.2666666666666675</v>
      </c>
      <c r="AE2556" s="3429"/>
      <c r="AF2556" s="3421"/>
      <c r="AG2556" s="3421"/>
      <c r="AH2556" s="156"/>
      <c r="AI2556" s="156"/>
      <c r="AJ2556" s="156"/>
      <c r="AK2556" s="156"/>
      <c r="AL2556" s="156"/>
      <c r="AM2556" s="156"/>
      <c r="AN2556" s="156"/>
      <c r="AO2556" s="156"/>
      <c r="AP2556" s="156"/>
      <c r="AQ2556" s="156"/>
      <c r="AR2556" s="156"/>
      <c r="AS2556" s="156"/>
      <c r="AT2556" s="156"/>
      <c r="AU2556" s="156"/>
      <c r="AV2556" s="156"/>
      <c r="AW2556" s="156"/>
      <c r="AX2556" s="156"/>
      <c r="AY2556" s="156"/>
      <c r="AZ2556" s="156"/>
      <c r="BA2556" s="156"/>
      <c r="BB2556" s="2828"/>
      <c r="BC2556" s="452"/>
      <c r="BD2556" s="2829"/>
      <c r="BE2556" s="2837"/>
      <c r="BF2556" s="156"/>
    </row>
    <row r="2557" spans="1:58" ht="15" customHeight="1" outlineLevel="1" x14ac:dyDescent="0.35">
      <c r="A2557" s="1664"/>
      <c r="B2557" s="2812"/>
      <c r="C2557" s="3077"/>
      <c r="D2557" s="3980"/>
      <c r="E2557" s="3883"/>
      <c r="F2557" s="3984" t="str">
        <f>$E$1610</f>
        <v>ASHP-SEER16_ROF_MF</v>
      </c>
      <c r="G2557" s="3984"/>
      <c r="H2557" s="3984"/>
      <c r="I2557" s="3984"/>
      <c r="J2557" s="3501" t="str">
        <f>$C$1610</f>
        <v>352900_2021_12_</v>
      </c>
      <c r="K2557" s="3051">
        <v>9</v>
      </c>
      <c r="L2557" s="2822"/>
      <c r="M2557" s="2819" t="s">
        <v>4360</v>
      </c>
      <c r="N2557" s="106"/>
      <c r="O2557" s="106"/>
      <c r="P2557" s="702"/>
      <c r="Q2557" s="702"/>
      <c r="R2557" s="702"/>
      <c r="S2557" s="106"/>
      <c r="T2557" s="486"/>
      <c r="U2557" s="106"/>
      <c r="V2557" s="4184"/>
      <c r="W2557" s="3421">
        <v>9.8000000000000007</v>
      </c>
      <c r="X2557" s="3421">
        <v>9.8000000000000007</v>
      </c>
      <c r="Y2557" s="3421">
        <v>9.8000000000000007</v>
      </c>
      <c r="Z2557" s="3421">
        <v>9.8000000000000007</v>
      </c>
      <c r="AA2557" s="3421">
        <v>9.8000000000000007</v>
      </c>
      <c r="AB2557" s="3421">
        <v>9.8000000000000007</v>
      </c>
      <c r="AC2557" s="2919">
        <v>9</v>
      </c>
      <c r="AD2557" s="3051">
        <v>9</v>
      </c>
      <c r="AE2557" s="3429"/>
      <c r="AF2557" s="3421"/>
      <c r="AG2557" s="3421"/>
      <c r="AH2557" s="156"/>
      <c r="AI2557" s="156"/>
      <c r="AJ2557" s="156"/>
      <c r="AK2557" s="156"/>
      <c r="AL2557" s="156"/>
      <c r="AM2557" s="156"/>
      <c r="AN2557" s="156"/>
      <c r="AO2557" s="156"/>
      <c r="AP2557" s="156"/>
      <c r="AQ2557" s="156"/>
      <c r="AR2557" s="156"/>
      <c r="AS2557" s="156"/>
      <c r="AT2557" s="156"/>
      <c r="AU2557" s="156"/>
      <c r="AV2557" s="156"/>
      <c r="AW2557" s="156"/>
      <c r="AX2557" s="156"/>
      <c r="AY2557" s="156"/>
      <c r="AZ2557" s="156"/>
      <c r="BA2557" s="156"/>
      <c r="BB2557" s="2828"/>
      <c r="BC2557" s="452"/>
      <c r="BD2557" s="2829"/>
      <c r="BE2557" s="2837"/>
      <c r="BF2557" s="156"/>
    </row>
    <row r="2558" spans="1:58" ht="15" customHeight="1" outlineLevel="1" x14ac:dyDescent="0.35">
      <c r="A2558" s="1664"/>
      <c r="B2558" s="2812"/>
      <c r="C2558" s="3077"/>
      <c r="D2558" s="3980"/>
      <c r="E2558" s="3883"/>
      <c r="F2558" s="3984" t="str">
        <f>$E$1612</f>
        <v>ASHP-SEER16_ROF_MF_CompE</v>
      </c>
      <c r="G2558" s="3984"/>
      <c r="H2558" s="3984"/>
      <c r="I2558" s="3984"/>
      <c r="J2558" s="3501" t="str">
        <f>$C$1612</f>
        <v>352901_2021_12_</v>
      </c>
      <c r="K2558" s="3051">
        <v>9</v>
      </c>
      <c r="L2558" s="2822"/>
      <c r="M2558" s="2819" t="s">
        <v>4360</v>
      </c>
      <c r="N2558" s="106"/>
      <c r="O2558" s="106"/>
      <c r="P2558" s="702"/>
      <c r="Q2558" s="702"/>
      <c r="R2558" s="702"/>
      <c r="S2558" s="106"/>
      <c r="T2558" s="486"/>
      <c r="U2558" s="106"/>
      <c r="V2558" s="4184"/>
      <c r="W2558" s="3421"/>
      <c r="X2558" s="3421"/>
      <c r="Y2558" s="2374">
        <v>9.8000000000000007</v>
      </c>
      <c r="Z2558" s="3421">
        <v>9.8000000000000007</v>
      </c>
      <c r="AA2558" s="3421">
        <v>9.8000000000000007</v>
      </c>
      <c r="AB2558" s="3421">
        <v>9.8000000000000007</v>
      </c>
      <c r="AC2558" s="2919">
        <f>AC2557</f>
        <v>9</v>
      </c>
      <c r="AD2558" s="3051">
        <v>9</v>
      </c>
      <c r="AE2558" s="3429"/>
      <c r="AF2558" s="3421"/>
      <c r="AG2558" s="3421"/>
      <c r="AH2558" s="156"/>
      <c r="AI2558" s="156"/>
      <c r="AJ2558" s="156"/>
      <c r="AK2558" s="156"/>
      <c r="AL2558" s="156"/>
      <c r="AM2558" s="156"/>
      <c r="AN2558" s="156"/>
      <c r="AO2558" s="156"/>
      <c r="AP2558" s="156"/>
      <c r="AQ2558" s="156"/>
      <c r="AR2558" s="156"/>
      <c r="AS2558" s="156"/>
      <c r="AT2558" s="156"/>
      <c r="AU2558" s="156"/>
      <c r="AV2558" s="156"/>
      <c r="AW2558" s="156"/>
      <c r="AX2558" s="156"/>
      <c r="AY2558" s="156"/>
      <c r="AZ2558" s="156"/>
      <c r="BA2558" s="156"/>
      <c r="BB2558" s="2828"/>
      <c r="BC2558" s="452"/>
      <c r="BD2558" s="2829"/>
      <c r="BE2558" s="2837"/>
      <c r="BF2558" s="156"/>
    </row>
    <row r="2559" spans="1:58" ht="15" customHeight="1" outlineLevel="1" x14ac:dyDescent="0.35">
      <c r="A2559" s="1664"/>
      <c r="B2559" s="2812"/>
      <c r="C2559" s="3077"/>
      <c r="D2559" s="3980"/>
      <c r="E2559" s="3883"/>
      <c r="F2559" s="3984" t="str">
        <f>$E$1614</f>
        <v>ASHP-SEER16-Replace_CAC_ElectricHeat_ROF_MF</v>
      </c>
      <c r="G2559" s="3984"/>
      <c r="H2559" s="3984"/>
      <c r="I2559" s="3984"/>
      <c r="J2559" s="3501" t="str">
        <f>$C$1614</f>
        <v>352950_2019_12_</v>
      </c>
      <c r="K2559" s="3050">
        <v>9</v>
      </c>
      <c r="L2559" s="2822"/>
      <c r="M2559" s="2819" t="s">
        <v>4360</v>
      </c>
      <c r="N2559" s="106"/>
      <c r="O2559" s="106"/>
      <c r="P2559" s="702"/>
      <c r="Q2559" s="702"/>
      <c r="R2559" s="702"/>
      <c r="S2559" s="106"/>
      <c r="T2559" s="486"/>
      <c r="U2559" s="106"/>
      <c r="V2559" s="4184"/>
      <c r="W2559" s="3421">
        <v>9.6999999999999993</v>
      </c>
      <c r="X2559" s="3421">
        <v>9.6999999999999993</v>
      </c>
      <c r="Y2559" s="3421">
        <v>9.6999999999999993</v>
      </c>
      <c r="Z2559" s="3421">
        <v>9.6999999999999993</v>
      </c>
      <c r="AA2559" s="3421">
        <v>9.6999999999999993</v>
      </c>
      <c r="AB2559" s="2374">
        <v>9.1999999999999993</v>
      </c>
      <c r="AC2559" s="2920">
        <v>9.1999999999999993</v>
      </c>
      <c r="AD2559" s="3050">
        <v>9</v>
      </c>
      <c r="AE2559" s="3429"/>
      <c r="AF2559" s="3421"/>
      <c r="AG2559" s="3421"/>
      <c r="AH2559" s="156"/>
      <c r="AI2559" s="156"/>
      <c r="AJ2559" s="156"/>
      <c r="AK2559" s="156"/>
      <c r="AL2559" s="156"/>
      <c r="AM2559" s="156"/>
      <c r="AN2559" s="156"/>
      <c r="AO2559" s="156"/>
      <c r="AP2559" s="156"/>
      <c r="AQ2559" s="156"/>
      <c r="AR2559" s="156"/>
      <c r="AS2559" s="156"/>
      <c r="AT2559" s="156"/>
      <c r="AU2559" s="156"/>
      <c r="AV2559" s="156"/>
      <c r="AW2559" s="156"/>
      <c r="AX2559" s="156"/>
      <c r="AY2559" s="156"/>
      <c r="AZ2559" s="156"/>
      <c r="BA2559" s="156"/>
      <c r="BB2559" s="2828"/>
      <c r="BC2559" s="452"/>
      <c r="BD2559" s="2829"/>
      <c r="BE2559" s="2837"/>
      <c r="BF2559" s="156"/>
    </row>
    <row r="2560" spans="1:58" ht="15" customHeight="1" outlineLevel="1" x14ac:dyDescent="0.35">
      <c r="A2560" s="1664"/>
      <c r="B2560" s="2812"/>
      <c r="C2560" s="3077"/>
      <c r="D2560" s="3980"/>
      <c r="E2560" s="3883"/>
      <c r="F2560" s="3984" t="str">
        <f>$E$1616</f>
        <v>ASHP-SEER16-Replace_CAC_ElectricHeat_ROF_MF_CompE</v>
      </c>
      <c r="G2560" s="3984"/>
      <c r="H2560" s="3984"/>
      <c r="I2560" s="3984"/>
      <c r="J2560" s="3501" t="str">
        <f>$C$1616</f>
        <v>352951_2019_12_</v>
      </c>
      <c r="K2560" s="3050">
        <v>9</v>
      </c>
      <c r="L2560" s="2822"/>
      <c r="M2560" s="2819" t="s">
        <v>4360</v>
      </c>
      <c r="N2560" s="106"/>
      <c r="O2560" s="106"/>
      <c r="P2560" s="702"/>
      <c r="Q2560" s="702"/>
      <c r="R2560" s="702"/>
      <c r="S2560" s="106"/>
      <c r="T2560" s="486"/>
      <c r="U2560" s="106"/>
      <c r="V2560" s="4184"/>
      <c r="W2560" s="3421"/>
      <c r="X2560" s="3421"/>
      <c r="Y2560" s="2374">
        <v>9.6999999999999993</v>
      </c>
      <c r="Z2560" s="3421">
        <v>9.6999999999999993</v>
      </c>
      <c r="AA2560" s="3421">
        <v>9.6999999999999993</v>
      </c>
      <c r="AB2560" s="2374">
        <v>9.1999999999999993</v>
      </c>
      <c r="AC2560" s="2920">
        <f>AC2559</f>
        <v>9.1999999999999993</v>
      </c>
      <c r="AD2560" s="3050">
        <v>9</v>
      </c>
      <c r="AE2560" s="3429"/>
      <c r="AF2560" s="3421"/>
      <c r="AG2560" s="3421"/>
      <c r="AH2560" s="156"/>
      <c r="AI2560" s="156"/>
      <c r="AJ2560" s="156"/>
      <c r="AK2560" s="156"/>
      <c r="AL2560" s="156"/>
      <c r="AM2560" s="156"/>
      <c r="AN2560" s="156"/>
      <c r="AO2560" s="156"/>
      <c r="AP2560" s="156"/>
      <c r="AQ2560" s="156"/>
      <c r="AR2560" s="156"/>
      <c r="AS2560" s="156"/>
      <c r="AT2560" s="156"/>
      <c r="AU2560" s="156"/>
      <c r="AV2560" s="156"/>
      <c r="AW2560" s="156"/>
      <c r="AX2560" s="156"/>
      <c r="AY2560" s="156"/>
      <c r="AZ2560" s="156"/>
      <c r="BA2560" s="156"/>
      <c r="BB2560" s="2828"/>
      <c r="BC2560" s="452"/>
      <c r="BD2560" s="2829"/>
      <c r="BE2560" s="2837"/>
      <c r="BF2560" s="156"/>
    </row>
    <row r="2561" spans="1:58" ht="15" customHeight="1" outlineLevel="1" x14ac:dyDescent="0.35">
      <c r="A2561" s="1664"/>
      <c r="B2561" s="2812"/>
      <c r="C2561" s="3077"/>
      <c r="D2561" s="3980"/>
      <c r="E2561" s="3883"/>
      <c r="F2561" s="3984" t="str">
        <f>$E$1618</f>
        <v>ASHP-SEER16-Replace_CAC_NonElectricHeat_ROF_MF</v>
      </c>
      <c r="G2561" s="3984"/>
      <c r="H2561" s="3984"/>
      <c r="I2561" s="3984"/>
      <c r="J2561" s="3501" t="str">
        <f>$C$1618</f>
        <v>352960_2021_12_</v>
      </c>
      <c r="K2561" s="3050">
        <v>9</v>
      </c>
      <c r="L2561" s="2822"/>
      <c r="M2561" s="3025" t="s">
        <v>1083</v>
      </c>
      <c r="N2561" s="106"/>
      <c r="O2561" s="106"/>
      <c r="P2561" s="702"/>
      <c r="Q2561" s="702"/>
      <c r="R2561" s="702"/>
      <c r="S2561" s="106"/>
      <c r="T2561" s="486"/>
      <c r="U2561" s="106"/>
      <c r="V2561" s="4184"/>
      <c r="W2561" s="3421"/>
      <c r="X2561" s="3421"/>
      <c r="Y2561" s="2374"/>
      <c r="Z2561" s="3421"/>
      <c r="AA2561" s="3421"/>
      <c r="AB2561" s="2374"/>
      <c r="AC2561" s="2919">
        <v>9.1999999999999993</v>
      </c>
      <c r="AD2561" s="3050">
        <v>9</v>
      </c>
      <c r="AE2561" s="3429"/>
      <c r="AF2561" s="3421"/>
      <c r="AG2561" s="3421"/>
      <c r="AH2561" s="156"/>
      <c r="AI2561" s="156"/>
      <c r="AJ2561" s="156"/>
      <c r="AK2561" s="156"/>
      <c r="AL2561" s="156"/>
      <c r="AM2561" s="156"/>
      <c r="AN2561" s="156"/>
      <c r="AO2561" s="156"/>
      <c r="AP2561" s="156"/>
      <c r="AQ2561" s="156"/>
      <c r="AR2561" s="156"/>
      <c r="AS2561" s="156"/>
      <c r="AT2561" s="156"/>
      <c r="AU2561" s="156"/>
      <c r="AV2561" s="156"/>
      <c r="AW2561" s="156"/>
      <c r="AX2561" s="156"/>
      <c r="AY2561" s="156"/>
      <c r="AZ2561" s="156"/>
      <c r="BA2561" s="156"/>
      <c r="BB2561" s="2828"/>
      <c r="BC2561" s="452"/>
      <c r="BD2561" s="2829"/>
      <c r="BE2561" s="2837"/>
      <c r="BF2561" s="156"/>
    </row>
    <row r="2562" spans="1:58" ht="15" customHeight="1" outlineLevel="1" x14ac:dyDescent="0.35">
      <c r="A2562" s="1664"/>
      <c r="B2562" s="2812"/>
      <c r="C2562" s="3077"/>
      <c r="D2562" s="3980"/>
      <c r="E2562" s="3883"/>
      <c r="F2562" s="3984" t="str">
        <f>$E$1620</f>
        <v>ASHP-SEER16-Replace_CAC_NonElectricHeat_ROF_MF_CompE</v>
      </c>
      <c r="G2562" s="3984"/>
      <c r="H2562" s="3984"/>
      <c r="I2562" s="3984"/>
      <c r="J2562" s="3501" t="str">
        <f>$C$1620</f>
        <v>352961_2021_12_</v>
      </c>
      <c r="K2562" s="3050">
        <v>9</v>
      </c>
      <c r="L2562" s="2822"/>
      <c r="M2562" s="3025" t="s">
        <v>1083</v>
      </c>
      <c r="N2562" s="106"/>
      <c r="O2562" s="106"/>
      <c r="P2562" s="702"/>
      <c r="Q2562" s="702"/>
      <c r="R2562" s="702"/>
      <c r="S2562" s="106"/>
      <c r="T2562" s="486"/>
      <c r="U2562" s="106"/>
      <c r="V2562" s="4184"/>
      <c r="W2562" s="3421"/>
      <c r="X2562" s="3421"/>
      <c r="Y2562" s="2374"/>
      <c r="Z2562" s="3421"/>
      <c r="AA2562" s="3421"/>
      <c r="AB2562" s="2374"/>
      <c r="AC2562" s="2919">
        <f>AC2561</f>
        <v>9.1999999999999993</v>
      </c>
      <c r="AD2562" s="3050">
        <v>9</v>
      </c>
      <c r="AE2562" s="3429"/>
      <c r="AF2562" s="3421"/>
      <c r="AG2562" s="3421"/>
      <c r="AH2562" s="156"/>
      <c r="AI2562" s="156"/>
      <c r="AJ2562" s="156"/>
      <c r="AK2562" s="156"/>
      <c r="AL2562" s="156"/>
      <c r="AM2562" s="156"/>
      <c r="AN2562" s="156"/>
      <c r="AO2562" s="156"/>
      <c r="AP2562" s="156"/>
      <c r="AQ2562" s="156"/>
      <c r="AR2562" s="156"/>
      <c r="AS2562" s="156"/>
      <c r="AT2562" s="156"/>
      <c r="AU2562" s="156"/>
      <c r="AV2562" s="156"/>
      <c r="AW2562" s="156"/>
      <c r="AX2562" s="156"/>
      <c r="AY2562" s="156"/>
      <c r="AZ2562" s="156"/>
      <c r="BA2562" s="156"/>
      <c r="BB2562" s="2828"/>
      <c r="BC2562" s="452"/>
      <c r="BD2562" s="2829"/>
      <c r="BE2562" s="2837"/>
      <c r="BF2562" s="156"/>
    </row>
    <row r="2563" spans="1:58" ht="15" customHeight="1" outlineLevel="1" x14ac:dyDescent="0.35">
      <c r="A2563" s="1664"/>
      <c r="B2563" s="2812"/>
      <c r="C2563" s="3077"/>
      <c r="D2563" s="3980"/>
      <c r="E2563" s="3883"/>
      <c r="F2563" s="3984" t="str">
        <f>$E$1622</f>
        <v>ASHP-SEER16-Replace_CAC_ElectricHeat_ER1_MF</v>
      </c>
      <c r="G2563" s="3984"/>
      <c r="H2563" s="3984"/>
      <c r="I2563" s="3984"/>
      <c r="J2563" s="3501" t="str">
        <f>$C$1622</f>
        <v>353000_2021_12_</v>
      </c>
      <c r="K2563" s="3050">
        <v>9.2666666666666675</v>
      </c>
      <c r="L2563" s="2822"/>
      <c r="M2563" s="2819" t="s">
        <v>4360</v>
      </c>
      <c r="N2563" s="106"/>
      <c r="O2563" s="106"/>
      <c r="P2563" s="702"/>
      <c r="Q2563" s="702"/>
      <c r="R2563" s="702"/>
      <c r="S2563" s="106"/>
      <c r="T2563" s="486"/>
      <c r="U2563" s="106"/>
      <c r="V2563" s="4184"/>
      <c r="W2563" s="3421">
        <v>9.4</v>
      </c>
      <c r="X2563" s="3421">
        <v>9.4</v>
      </c>
      <c r="Y2563" s="3421">
        <v>9.4</v>
      </c>
      <c r="Z2563" s="3421">
        <v>9.4</v>
      </c>
      <c r="AA2563" s="3421">
        <v>9.4</v>
      </c>
      <c r="AB2563" s="2374">
        <v>7.42</v>
      </c>
      <c r="AC2563" s="2919">
        <v>9</v>
      </c>
      <c r="AD2563" s="3050">
        <v>9.2666666666666675</v>
      </c>
      <c r="AE2563" s="3429"/>
      <c r="AF2563" s="3421"/>
      <c r="AG2563" s="3421"/>
      <c r="AH2563" s="156"/>
      <c r="AI2563" s="156"/>
      <c r="AJ2563" s="156"/>
      <c r="AK2563" s="156"/>
      <c r="AL2563" s="156"/>
      <c r="AM2563" s="156"/>
      <c r="AN2563" s="156"/>
      <c r="AO2563" s="156"/>
      <c r="AP2563" s="156"/>
      <c r="AQ2563" s="156"/>
      <c r="AR2563" s="156"/>
      <c r="AS2563" s="156"/>
      <c r="AT2563" s="156"/>
      <c r="AU2563" s="156"/>
      <c r="AV2563" s="156"/>
      <c r="AW2563" s="156"/>
      <c r="AX2563" s="156"/>
      <c r="AY2563" s="156"/>
      <c r="AZ2563" s="156"/>
      <c r="BA2563" s="156"/>
      <c r="BB2563" s="2828"/>
      <c r="BC2563" s="452"/>
      <c r="BD2563" s="2829"/>
      <c r="BE2563" s="2837"/>
      <c r="BF2563" s="156"/>
    </row>
    <row r="2564" spans="1:58" ht="15" customHeight="1" outlineLevel="1" x14ac:dyDescent="0.35">
      <c r="A2564" s="1664"/>
      <c r="B2564" s="2812"/>
      <c r="C2564" s="3077"/>
      <c r="D2564" s="3980"/>
      <c r="E2564" s="3883"/>
      <c r="F2564" s="3984" t="str">
        <f>$E$1624</f>
        <v>ASHP-SEER16-Replace_CAC_ElectricHeat_ER2_MF</v>
      </c>
      <c r="G2564" s="3984"/>
      <c r="H2564" s="3984"/>
      <c r="I2564" s="3984"/>
      <c r="J2564" s="3501" t="str">
        <f>$C$1624</f>
        <v>353000_2021_12_</v>
      </c>
      <c r="K2564" s="3050">
        <v>9.2666666666666675</v>
      </c>
      <c r="L2564" s="2822"/>
      <c r="M2564" s="2819" t="s">
        <v>4360</v>
      </c>
      <c r="N2564" s="106"/>
      <c r="O2564" s="106"/>
      <c r="P2564" s="702"/>
      <c r="Q2564" s="702"/>
      <c r="R2564" s="702"/>
      <c r="S2564" s="106"/>
      <c r="T2564" s="486"/>
      <c r="U2564" s="106"/>
      <c r="V2564" s="4184"/>
      <c r="W2564" s="3421">
        <v>9.4</v>
      </c>
      <c r="X2564" s="3421">
        <v>9.4</v>
      </c>
      <c r="Y2564" s="3421">
        <v>9.4</v>
      </c>
      <c r="Z2564" s="3421">
        <v>9.4</v>
      </c>
      <c r="AA2564" s="3421">
        <v>9.4</v>
      </c>
      <c r="AB2564" s="2374">
        <v>7.42</v>
      </c>
      <c r="AC2564" s="2919">
        <f>AC2563</f>
        <v>9</v>
      </c>
      <c r="AD2564" s="3050">
        <v>9.2666666666666675</v>
      </c>
      <c r="AE2564" s="3429"/>
      <c r="AF2564" s="3421"/>
      <c r="AG2564" s="3421"/>
      <c r="AH2564" s="156"/>
      <c r="AI2564" s="156"/>
      <c r="AJ2564" s="156"/>
      <c r="AK2564" s="156"/>
      <c r="AL2564" s="156"/>
      <c r="AM2564" s="156"/>
      <c r="AN2564" s="156"/>
      <c r="AO2564" s="156"/>
      <c r="AP2564" s="156"/>
      <c r="AQ2564" s="156"/>
      <c r="AR2564" s="156"/>
      <c r="AS2564" s="156"/>
      <c r="AT2564" s="156"/>
      <c r="AU2564" s="156"/>
      <c r="AV2564" s="156"/>
      <c r="AW2564" s="156"/>
      <c r="AX2564" s="156"/>
      <c r="AY2564" s="156"/>
      <c r="AZ2564" s="156"/>
      <c r="BA2564" s="156"/>
      <c r="BB2564" s="2828"/>
      <c r="BC2564" s="452"/>
      <c r="BD2564" s="2829"/>
      <c r="BE2564" s="2837"/>
      <c r="BF2564" s="156"/>
    </row>
    <row r="2565" spans="1:58" ht="15" customHeight="1" outlineLevel="1" x14ac:dyDescent="0.35">
      <c r="A2565" s="1664"/>
      <c r="B2565" s="2812"/>
      <c r="C2565" s="3077"/>
      <c r="D2565" s="3980"/>
      <c r="E2565" s="3883"/>
      <c r="F2565" s="3984" t="str">
        <f>$E$1626</f>
        <v>ASHP-SEER16-Replace_CAC_ElectricHeat_ER1_MF_CompE</v>
      </c>
      <c r="G2565" s="3984"/>
      <c r="H2565" s="3984"/>
      <c r="I2565" s="3984"/>
      <c r="J2565" s="3501" t="str">
        <f>$C$1626</f>
        <v>353001_2021_12_</v>
      </c>
      <c r="K2565" s="3050">
        <v>9.2666666666666675</v>
      </c>
      <c r="L2565" s="2822"/>
      <c r="M2565" s="3040" t="s">
        <v>1083</v>
      </c>
      <c r="N2565" s="106"/>
      <c r="O2565" s="106"/>
      <c r="P2565" s="702"/>
      <c r="Q2565" s="702"/>
      <c r="R2565" s="702"/>
      <c r="S2565" s="106"/>
      <c r="T2565" s="486"/>
      <c r="U2565" s="106"/>
      <c r="V2565" s="4184"/>
      <c r="W2565" s="3421"/>
      <c r="X2565" s="3421"/>
      <c r="Y2565" s="2374">
        <v>9.4</v>
      </c>
      <c r="Z2565" s="3421">
        <v>9.4</v>
      </c>
      <c r="AA2565" s="3421">
        <v>9.4</v>
      </c>
      <c r="AB2565" s="2374">
        <v>7.42</v>
      </c>
      <c r="AC2565" s="2919">
        <v>9</v>
      </c>
      <c r="AD2565" s="3050">
        <v>9.2666666666666675</v>
      </c>
      <c r="AE2565" s="3429"/>
      <c r="AF2565" s="3421"/>
      <c r="AG2565" s="3421"/>
      <c r="AH2565" s="156"/>
      <c r="AI2565" s="156"/>
      <c r="AJ2565" s="156"/>
      <c r="AK2565" s="156"/>
      <c r="AL2565" s="156"/>
      <c r="AM2565" s="156"/>
      <c r="AN2565" s="156"/>
      <c r="AO2565" s="156"/>
      <c r="AP2565" s="156"/>
      <c r="AQ2565" s="156"/>
      <c r="AR2565" s="156"/>
      <c r="AS2565" s="156"/>
      <c r="AT2565" s="156"/>
      <c r="AU2565" s="156"/>
      <c r="AV2565" s="156"/>
      <c r="AW2565" s="156"/>
      <c r="AX2565" s="156"/>
      <c r="AY2565" s="156"/>
      <c r="AZ2565" s="156"/>
      <c r="BA2565" s="156"/>
      <c r="BB2565" s="2828"/>
      <c r="BC2565" s="452"/>
      <c r="BD2565" s="2829"/>
      <c r="BE2565" s="2837"/>
      <c r="BF2565" s="156"/>
    </row>
    <row r="2566" spans="1:58" ht="15" customHeight="1" outlineLevel="1" x14ac:dyDescent="0.35">
      <c r="A2566" s="1664"/>
      <c r="B2566" s="2812"/>
      <c r="C2566" s="3077"/>
      <c r="D2566" s="3980"/>
      <c r="E2566" s="3883"/>
      <c r="F2566" s="3984" t="str">
        <f>$E$1628</f>
        <v>ASHP-SEER16-Replace_CAC_ElectricHeat_ER2_MF_CompE</v>
      </c>
      <c r="G2566" s="3984"/>
      <c r="H2566" s="3984"/>
      <c r="I2566" s="3984"/>
      <c r="J2566" s="3501" t="str">
        <f>$C$1628</f>
        <v>353001_2021_12_</v>
      </c>
      <c r="K2566" s="3050">
        <v>9.2666666666666675</v>
      </c>
      <c r="L2566" s="2822"/>
      <c r="M2566" s="3040" t="s">
        <v>1083</v>
      </c>
      <c r="N2566" s="106"/>
      <c r="O2566" s="106"/>
      <c r="P2566" s="702"/>
      <c r="Q2566" s="702"/>
      <c r="R2566" s="702"/>
      <c r="S2566" s="106"/>
      <c r="T2566" s="486"/>
      <c r="U2566" s="106"/>
      <c r="V2566" s="4184"/>
      <c r="W2566" s="3421"/>
      <c r="X2566" s="3421"/>
      <c r="Y2566" s="2374">
        <v>9.4</v>
      </c>
      <c r="Z2566" s="3421">
        <v>9.4</v>
      </c>
      <c r="AA2566" s="3421">
        <v>9.4</v>
      </c>
      <c r="AB2566" s="2374">
        <v>7.42</v>
      </c>
      <c r="AC2566" s="2919">
        <v>9</v>
      </c>
      <c r="AD2566" s="3050">
        <v>9.2666666666666675</v>
      </c>
      <c r="AE2566" s="3429"/>
      <c r="AF2566" s="3421"/>
      <c r="AG2566" s="3421"/>
      <c r="AH2566" s="156"/>
      <c r="AI2566" s="156"/>
      <c r="AJ2566" s="156"/>
      <c r="AK2566" s="156"/>
      <c r="AL2566" s="156"/>
      <c r="AM2566" s="156"/>
      <c r="AN2566" s="156"/>
      <c r="AO2566" s="156"/>
      <c r="AP2566" s="156"/>
      <c r="AQ2566" s="156"/>
      <c r="AR2566" s="156"/>
      <c r="AS2566" s="156"/>
      <c r="AT2566" s="156"/>
      <c r="AU2566" s="156"/>
      <c r="AV2566" s="156"/>
      <c r="AW2566" s="156"/>
      <c r="AX2566" s="156"/>
      <c r="AY2566" s="156"/>
      <c r="AZ2566" s="156"/>
      <c r="BA2566" s="156"/>
      <c r="BB2566" s="2828"/>
      <c r="BC2566" s="452"/>
      <c r="BD2566" s="2829"/>
      <c r="BE2566" s="2837"/>
      <c r="BF2566" s="156"/>
    </row>
    <row r="2567" spans="1:58" ht="15" customHeight="1" outlineLevel="1" x14ac:dyDescent="0.35">
      <c r="A2567" s="1664"/>
      <c r="B2567" s="2812"/>
      <c r="C2567" s="3077"/>
      <c r="D2567" s="3980"/>
      <c r="E2567" s="3883"/>
      <c r="F2567" s="3984" t="str">
        <f>$E$1630</f>
        <v>ASHP-SEER16-Replace_CAC_NonElectricHeat_ER1_MF</v>
      </c>
      <c r="G2567" s="3984"/>
      <c r="H2567" s="3984"/>
      <c r="I2567" s="3984"/>
      <c r="J2567" s="3501" t="str">
        <f>$C$1630</f>
        <v>353010_2021_12_</v>
      </c>
      <c r="K2567" s="3050">
        <v>9.2666666666666675</v>
      </c>
      <c r="L2567" s="2822"/>
      <c r="M2567" s="3025" t="s">
        <v>1083</v>
      </c>
      <c r="N2567" s="106"/>
      <c r="O2567" s="106"/>
      <c r="P2567" s="702"/>
      <c r="Q2567" s="702"/>
      <c r="R2567" s="702"/>
      <c r="S2567" s="106"/>
      <c r="T2567" s="486"/>
      <c r="U2567" s="106"/>
      <c r="V2567" s="4184"/>
      <c r="W2567" s="3421"/>
      <c r="X2567" s="3421"/>
      <c r="Y2567" s="2374"/>
      <c r="Z2567" s="3421"/>
      <c r="AA2567" s="3421"/>
      <c r="AB2567" s="2374"/>
      <c r="AC2567" s="2919">
        <v>9</v>
      </c>
      <c r="AD2567" s="3050">
        <v>9.2666666666666675</v>
      </c>
      <c r="AE2567" s="3429"/>
      <c r="AF2567" s="3421"/>
      <c r="AG2567" s="3421"/>
      <c r="AH2567" s="156"/>
      <c r="AI2567" s="156"/>
      <c r="AJ2567" s="156"/>
      <c r="AK2567" s="156"/>
      <c r="AL2567" s="156"/>
      <c r="AM2567" s="156"/>
      <c r="AN2567" s="156"/>
      <c r="AO2567" s="156"/>
      <c r="AP2567" s="156"/>
      <c r="AQ2567" s="156"/>
      <c r="AR2567" s="156"/>
      <c r="AS2567" s="156"/>
      <c r="AT2567" s="156"/>
      <c r="AU2567" s="156"/>
      <c r="AV2567" s="156"/>
      <c r="AW2567" s="156"/>
      <c r="AX2567" s="156"/>
      <c r="AY2567" s="156"/>
      <c r="AZ2567" s="156"/>
      <c r="BA2567" s="156"/>
      <c r="BB2567" s="2828"/>
      <c r="BC2567" s="452"/>
      <c r="BD2567" s="2829"/>
      <c r="BE2567" s="2837"/>
      <c r="BF2567" s="156"/>
    </row>
    <row r="2568" spans="1:58" ht="15" customHeight="1" outlineLevel="1" x14ac:dyDescent="0.35">
      <c r="A2568" s="1664"/>
      <c r="B2568" s="2812"/>
      <c r="C2568" s="3077"/>
      <c r="D2568" s="3980"/>
      <c r="E2568" s="3883"/>
      <c r="F2568" s="3984" t="str">
        <f>$E$1632</f>
        <v>ASHP-SEER16-Replace_CAC_NonElectricHeat_ER2_MF</v>
      </c>
      <c r="G2568" s="3984"/>
      <c r="H2568" s="3984"/>
      <c r="I2568" s="3984"/>
      <c r="J2568" s="3501" t="str">
        <f>$C$1632</f>
        <v>353010_2021_12_</v>
      </c>
      <c r="K2568" s="3050">
        <v>9.2666666666666675</v>
      </c>
      <c r="L2568" s="2822"/>
      <c r="M2568" s="3025" t="s">
        <v>1083</v>
      </c>
      <c r="N2568" s="106"/>
      <c r="O2568" s="106"/>
      <c r="P2568" s="702"/>
      <c r="Q2568" s="702"/>
      <c r="R2568" s="702"/>
      <c r="S2568" s="106"/>
      <c r="T2568" s="486"/>
      <c r="U2568" s="106"/>
      <c r="V2568" s="4184"/>
      <c r="W2568" s="3421"/>
      <c r="X2568" s="3421"/>
      <c r="Y2568" s="2374"/>
      <c r="Z2568" s="3421"/>
      <c r="AA2568" s="3421"/>
      <c r="AB2568" s="2374"/>
      <c r="AC2568" s="2919">
        <f>AC2567</f>
        <v>9</v>
      </c>
      <c r="AD2568" s="3050">
        <v>9.2666666666666675</v>
      </c>
      <c r="AE2568" s="3429"/>
      <c r="AF2568" s="3421"/>
      <c r="AG2568" s="3421"/>
      <c r="AH2568" s="156"/>
      <c r="AI2568" s="156"/>
      <c r="AJ2568" s="156"/>
      <c r="AK2568" s="156"/>
      <c r="AL2568" s="156"/>
      <c r="AM2568" s="156"/>
      <c r="AN2568" s="156"/>
      <c r="AO2568" s="156"/>
      <c r="AP2568" s="156"/>
      <c r="AQ2568" s="156"/>
      <c r="AR2568" s="156"/>
      <c r="AS2568" s="156"/>
      <c r="AT2568" s="156"/>
      <c r="AU2568" s="156"/>
      <c r="AV2568" s="156"/>
      <c r="AW2568" s="156"/>
      <c r="AX2568" s="156"/>
      <c r="AY2568" s="156"/>
      <c r="AZ2568" s="156"/>
      <c r="BA2568" s="156"/>
      <c r="BB2568" s="2828"/>
      <c r="BC2568" s="452"/>
      <c r="BD2568" s="2829"/>
      <c r="BE2568" s="2837"/>
      <c r="BF2568" s="156"/>
    </row>
    <row r="2569" spans="1:58" ht="15" customHeight="1" outlineLevel="1" x14ac:dyDescent="0.35">
      <c r="A2569" s="1664"/>
      <c r="B2569" s="2812"/>
      <c r="C2569" s="3077"/>
      <c r="D2569" s="3980"/>
      <c r="E2569" s="3883"/>
      <c r="F2569" s="3984" t="str">
        <f>$E$1634</f>
        <v>ASHP-SEER16-Replace_CAC_NonElectricHeat_ER1_MF_CompE</v>
      </c>
      <c r="G2569" s="3984"/>
      <c r="H2569" s="3984"/>
      <c r="I2569" s="3984"/>
      <c r="J2569" s="3501" t="str">
        <f>$C$1634</f>
        <v>353011_2021_12_</v>
      </c>
      <c r="K2569" s="3050">
        <v>9.2666666666666675</v>
      </c>
      <c r="L2569" s="2822"/>
      <c r="M2569" s="3025" t="s">
        <v>1083</v>
      </c>
      <c r="N2569" s="106"/>
      <c r="O2569" s="106"/>
      <c r="P2569" s="702"/>
      <c r="Q2569" s="702"/>
      <c r="R2569" s="702"/>
      <c r="S2569" s="106"/>
      <c r="T2569" s="486"/>
      <c r="U2569" s="106"/>
      <c r="V2569" s="4184"/>
      <c r="W2569" s="3421"/>
      <c r="X2569" s="3421"/>
      <c r="Y2569" s="2374"/>
      <c r="Z2569" s="3421"/>
      <c r="AA2569" s="3421"/>
      <c r="AB2569" s="2374"/>
      <c r="AC2569" s="2919">
        <v>9</v>
      </c>
      <c r="AD2569" s="3050">
        <v>9.2666666666666675</v>
      </c>
      <c r="AE2569" s="3429"/>
      <c r="AF2569" s="3421"/>
      <c r="AG2569" s="3421"/>
      <c r="AH2569" s="156"/>
      <c r="AI2569" s="156"/>
      <c r="AJ2569" s="156"/>
      <c r="AK2569" s="156"/>
      <c r="AL2569" s="156"/>
      <c r="AM2569" s="156"/>
      <c r="AN2569" s="156"/>
      <c r="AO2569" s="156"/>
      <c r="AP2569" s="156"/>
      <c r="AQ2569" s="156"/>
      <c r="AR2569" s="156"/>
      <c r="AS2569" s="156"/>
      <c r="AT2569" s="156"/>
      <c r="AU2569" s="156"/>
      <c r="AV2569" s="156"/>
      <c r="AW2569" s="156"/>
      <c r="AX2569" s="156"/>
      <c r="AY2569" s="156"/>
      <c r="AZ2569" s="156"/>
      <c r="BA2569" s="156"/>
      <c r="BB2569" s="2828"/>
      <c r="BC2569" s="452"/>
      <c r="BD2569" s="2829"/>
      <c r="BE2569" s="2837"/>
      <c r="BF2569" s="156"/>
    </row>
    <row r="2570" spans="1:58" ht="15" customHeight="1" outlineLevel="1" x14ac:dyDescent="0.35">
      <c r="A2570" s="1664"/>
      <c r="B2570" s="2812"/>
      <c r="C2570" s="3077"/>
      <c r="D2570" s="3980"/>
      <c r="E2570" s="3883"/>
      <c r="F2570" s="3984" t="str">
        <f>$E$1636</f>
        <v>ASHP-SEER16-Replace_CAC_NonElectricHeat_ER2_MF_CompE</v>
      </c>
      <c r="G2570" s="3984"/>
      <c r="H2570" s="3984"/>
      <c r="I2570" s="3984"/>
      <c r="J2570" s="3501" t="str">
        <f>$C$1636</f>
        <v>353011_2021_12_</v>
      </c>
      <c r="K2570" s="3050">
        <v>9.2666666666666675</v>
      </c>
      <c r="L2570" s="2822"/>
      <c r="M2570" s="3025" t="s">
        <v>1083</v>
      </c>
      <c r="N2570" s="106"/>
      <c r="O2570" s="106"/>
      <c r="P2570" s="702"/>
      <c r="Q2570" s="702"/>
      <c r="R2570" s="702"/>
      <c r="S2570" s="106"/>
      <c r="T2570" s="486"/>
      <c r="U2570" s="106"/>
      <c r="V2570" s="4184"/>
      <c r="W2570" s="3421"/>
      <c r="X2570" s="3421"/>
      <c r="Y2570" s="2374"/>
      <c r="Z2570" s="3421"/>
      <c r="AA2570" s="3421"/>
      <c r="AB2570" s="2374"/>
      <c r="AC2570" s="2919">
        <v>9</v>
      </c>
      <c r="AD2570" s="3050">
        <v>9.2666666666666675</v>
      </c>
      <c r="AE2570" s="3429"/>
      <c r="AF2570" s="3421"/>
      <c r="AG2570" s="3421"/>
      <c r="AH2570" s="156"/>
      <c r="AI2570" s="156"/>
      <c r="AJ2570" s="156"/>
      <c r="AK2570" s="156"/>
      <c r="AL2570" s="156"/>
      <c r="AM2570" s="156"/>
      <c r="AN2570" s="156"/>
      <c r="AO2570" s="156"/>
      <c r="AP2570" s="156"/>
      <c r="AQ2570" s="156"/>
      <c r="AR2570" s="156"/>
      <c r="AS2570" s="156"/>
      <c r="AT2570" s="156"/>
      <c r="AU2570" s="156"/>
      <c r="AV2570" s="156"/>
      <c r="AW2570" s="156"/>
      <c r="AX2570" s="156"/>
      <c r="AY2570" s="156"/>
      <c r="AZ2570" s="156"/>
      <c r="BA2570" s="156"/>
      <c r="BB2570" s="2828"/>
      <c r="BC2570" s="452"/>
      <c r="BD2570" s="2829"/>
      <c r="BE2570" s="2837"/>
      <c r="BF2570" s="156"/>
    </row>
    <row r="2571" spans="1:58" ht="15" customHeight="1" outlineLevel="1" x14ac:dyDescent="0.35">
      <c r="A2571" s="1664"/>
      <c r="B2571" s="2812"/>
      <c r="C2571" s="3077"/>
      <c r="D2571" s="3980"/>
      <c r="E2571" s="3883"/>
      <c r="F2571" s="3984" t="str">
        <f>$E$1638</f>
        <v>ASHP-SEER15_ROF_MF</v>
      </c>
      <c r="G2571" s="3984"/>
      <c r="H2571" s="3984"/>
      <c r="I2571" s="3984"/>
      <c r="J2571" s="3501" t="str">
        <f>$C$1638</f>
        <v>353050_2021_12_</v>
      </c>
      <c r="K2571" s="3050">
        <v>8.5</v>
      </c>
      <c r="L2571" s="2822"/>
      <c r="M2571" s="2819" t="s">
        <v>4360</v>
      </c>
      <c r="N2571" s="106"/>
      <c r="O2571" s="106"/>
      <c r="P2571" s="702"/>
      <c r="Q2571" s="702"/>
      <c r="R2571" s="702"/>
      <c r="S2571" s="106"/>
      <c r="T2571" s="486"/>
      <c r="U2571" s="106"/>
      <c r="V2571" s="4184"/>
      <c r="W2571" s="3421">
        <v>8.6999999999999993</v>
      </c>
      <c r="X2571" s="3421">
        <v>8.6999999999999993</v>
      </c>
      <c r="Y2571" s="3421">
        <v>8.6999999999999993</v>
      </c>
      <c r="Z2571" s="3421">
        <v>8.6999999999999993</v>
      </c>
      <c r="AA2571" s="3421">
        <v>8.6999999999999993</v>
      </c>
      <c r="AB2571" s="3421">
        <v>8.6999999999999993</v>
      </c>
      <c r="AC2571" s="2919">
        <v>9</v>
      </c>
      <c r="AD2571" s="3050">
        <v>8.5</v>
      </c>
      <c r="AE2571" s="3429"/>
      <c r="AF2571" s="3421"/>
      <c r="AG2571" s="3421"/>
      <c r="AH2571" s="156"/>
      <c r="AI2571" s="156"/>
      <c r="AJ2571" s="156"/>
      <c r="AK2571" s="156"/>
      <c r="AL2571" s="156"/>
      <c r="AM2571" s="156"/>
      <c r="AN2571" s="156"/>
      <c r="AO2571" s="156"/>
      <c r="AP2571" s="156"/>
      <c r="AQ2571" s="156"/>
      <c r="AR2571" s="156"/>
      <c r="AS2571" s="156"/>
      <c r="AT2571" s="156"/>
      <c r="AU2571" s="156"/>
      <c r="AV2571" s="156"/>
      <c r="AW2571" s="156"/>
      <c r="AX2571" s="156"/>
      <c r="AY2571" s="156"/>
      <c r="AZ2571" s="156"/>
      <c r="BA2571" s="156"/>
      <c r="BB2571" s="2828"/>
      <c r="BC2571" s="452"/>
      <c r="BD2571" s="2829"/>
      <c r="BE2571" s="2837"/>
      <c r="BF2571" s="156"/>
    </row>
    <row r="2572" spans="1:58" ht="15" customHeight="1" outlineLevel="1" x14ac:dyDescent="0.35">
      <c r="A2572" s="1664"/>
      <c r="B2572" s="2812"/>
      <c r="C2572" s="3077"/>
      <c r="D2572" s="3980"/>
      <c r="E2572" s="3883"/>
      <c r="F2572" s="3984" t="str">
        <f>$E$1640</f>
        <v>ASHP-SEER15_ROF_MF_CompE</v>
      </c>
      <c r="G2572" s="3984"/>
      <c r="H2572" s="3984"/>
      <c r="I2572" s="3984"/>
      <c r="J2572" s="3501" t="str">
        <f>$C$1640</f>
        <v>353051_2021_12_</v>
      </c>
      <c r="K2572" s="3050">
        <v>8.5</v>
      </c>
      <c r="L2572" s="2822"/>
      <c r="M2572" s="3040" t="s">
        <v>1083</v>
      </c>
      <c r="N2572" s="106"/>
      <c r="O2572" s="106"/>
      <c r="P2572" s="702"/>
      <c r="Q2572" s="702"/>
      <c r="R2572" s="702"/>
      <c r="S2572" s="106"/>
      <c r="T2572" s="486"/>
      <c r="U2572" s="106"/>
      <c r="V2572" s="4184"/>
      <c r="W2572" s="3421"/>
      <c r="X2572" s="3421"/>
      <c r="Y2572" s="2374">
        <v>8.6999999999999993</v>
      </c>
      <c r="Z2572" s="3421">
        <v>8.6999999999999993</v>
      </c>
      <c r="AA2572" s="3421">
        <v>8.6999999999999993</v>
      </c>
      <c r="AB2572" s="3421">
        <v>8.6999999999999993</v>
      </c>
      <c r="AC2572" s="2919">
        <v>9</v>
      </c>
      <c r="AD2572" s="3050">
        <v>8.5</v>
      </c>
      <c r="AE2572" s="3429"/>
      <c r="AF2572" s="3421"/>
      <c r="AG2572" s="3421"/>
      <c r="AH2572" s="156"/>
      <c r="AI2572" s="156"/>
      <c r="AJ2572" s="156"/>
      <c r="AK2572" s="156"/>
      <c r="AL2572" s="156"/>
      <c r="AM2572" s="156"/>
      <c r="AN2572" s="156"/>
      <c r="AO2572" s="156"/>
      <c r="AP2572" s="156"/>
      <c r="AQ2572" s="156"/>
      <c r="AR2572" s="156"/>
      <c r="AS2572" s="156"/>
      <c r="AT2572" s="156"/>
      <c r="AU2572" s="156"/>
      <c r="AV2572" s="156"/>
      <c r="AW2572" s="156"/>
      <c r="AX2572" s="156"/>
      <c r="AY2572" s="156"/>
      <c r="AZ2572" s="156"/>
      <c r="BA2572" s="156"/>
      <c r="BB2572" s="2828"/>
      <c r="BC2572" s="452"/>
      <c r="BD2572" s="2829"/>
      <c r="BE2572" s="2837"/>
      <c r="BF2572" s="156"/>
    </row>
    <row r="2573" spans="1:58" ht="15" customHeight="1" outlineLevel="1" x14ac:dyDescent="0.35">
      <c r="A2573" s="1664"/>
      <c r="B2573" s="2812"/>
      <c r="C2573" s="3077"/>
      <c r="D2573" s="3980"/>
      <c r="E2573" s="3883"/>
      <c r="F2573" s="3984" t="str">
        <f>$E$1642</f>
        <v>ASHP-SEER17-Replace_CAC_ElectricHeat_ROF_SF</v>
      </c>
      <c r="G2573" s="3984"/>
      <c r="H2573" s="3984"/>
      <c r="I2573" s="3984"/>
      <c r="J2573" s="3501" t="str">
        <f>$C$1642</f>
        <v>353100_2021_12_</v>
      </c>
      <c r="K2573" s="3050">
        <v>9.4181159420289866</v>
      </c>
      <c r="L2573" s="2822"/>
      <c r="M2573" s="2819" t="s">
        <v>4360</v>
      </c>
      <c r="N2573" s="106"/>
      <c r="O2573" s="106"/>
      <c r="P2573" s="702"/>
      <c r="Q2573" s="702"/>
      <c r="R2573" s="702"/>
      <c r="S2573" s="106"/>
      <c r="T2573" s="486"/>
      <c r="U2573" s="106"/>
      <c r="V2573" s="4184"/>
      <c r="W2573" s="3421">
        <v>9.6999999999999993</v>
      </c>
      <c r="X2573" s="3421">
        <v>9.6999999999999993</v>
      </c>
      <c r="Y2573" s="3421">
        <v>9.6999999999999993</v>
      </c>
      <c r="Z2573" s="3421">
        <v>9.6999999999999993</v>
      </c>
      <c r="AA2573" s="3421">
        <v>9.6999999999999993</v>
      </c>
      <c r="AB2573" s="3421">
        <v>9.6999999999999993</v>
      </c>
      <c r="AC2573" s="2919">
        <v>9.5</v>
      </c>
      <c r="AD2573" s="3050">
        <v>9.4181159420289866</v>
      </c>
      <c r="AE2573" s="3429"/>
      <c r="AF2573" s="3421"/>
      <c r="AG2573" s="3421"/>
      <c r="AH2573" s="156"/>
      <c r="AI2573" s="156"/>
      <c r="AJ2573" s="156"/>
      <c r="AK2573" s="156"/>
      <c r="AL2573" s="156"/>
      <c r="AM2573" s="156"/>
      <c r="AN2573" s="156"/>
      <c r="AO2573" s="156"/>
      <c r="AP2573" s="156"/>
      <c r="AQ2573" s="156"/>
      <c r="AR2573" s="156"/>
      <c r="AS2573" s="156"/>
      <c r="AT2573" s="156"/>
      <c r="AU2573" s="156"/>
      <c r="AV2573" s="156"/>
      <c r="AW2573" s="156"/>
      <c r="AX2573" s="156"/>
      <c r="AY2573" s="156"/>
      <c r="AZ2573" s="156"/>
      <c r="BA2573" s="156"/>
      <c r="BB2573" s="2828"/>
      <c r="BC2573" s="452"/>
      <c r="BD2573" s="2829"/>
      <c r="BE2573" s="2837"/>
      <c r="BF2573" s="156"/>
    </row>
    <row r="2574" spans="1:58" s="3398" customFormat="1" ht="15" customHeight="1" outlineLevel="1" x14ac:dyDescent="0.35">
      <c r="A2574" s="1664"/>
      <c r="B2574" s="2812"/>
      <c r="C2574" s="3077"/>
      <c r="D2574" s="3980"/>
      <c r="E2574" s="3883"/>
      <c r="F2574" s="4136" t="str">
        <f>$E$1644</f>
        <v>ASHP-SEER17-Replace_CAC_NonElectricHeat_ROF_SF</v>
      </c>
      <c r="G2574" s="4136"/>
      <c r="H2574" s="4136"/>
      <c r="I2574" s="4136"/>
      <c r="J2574" s="3502" t="str">
        <f>$C$1644</f>
        <v>353110_2022_12_</v>
      </c>
      <c r="K2574" s="3050">
        <v>9.4181159420289866</v>
      </c>
      <c r="L2574" s="2822"/>
      <c r="M2574" s="2819" t="s">
        <v>1083</v>
      </c>
      <c r="P2574" s="702"/>
      <c r="Q2574" s="702"/>
      <c r="R2574" s="702"/>
      <c r="T2574" s="3397"/>
      <c r="V2574" s="4184"/>
      <c r="W2574" s="3421"/>
      <c r="X2574" s="2374"/>
      <c r="Y2574" s="2374"/>
      <c r="Z2574" s="3421"/>
      <c r="AA2574" s="3421"/>
      <c r="AB2574" s="584"/>
      <c r="AC2574" s="2919"/>
      <c r="AD2574" s="3050">
        <v>9.4181159420289866</v>
      </c>
      <c r="AE2574" s="3429"/>
      <c r="AF2574" s="3421"/>
      <c r="AG2574" s="3421"/>
      <c r="AH2574" s="156"/>
      <c r="AI2574" s="156"/>
      <c r="AJ2574" s="156"/>
      <c r="AK2574" s="156"/>
      <c r="AL2574" s="156"/>
      <c r="AM2574" s="156"/>
      <c r="AN2574" s="156"/>
      <c r="AO2574" s="156"/>
      <c r="AP2574" s="156"/>
      <c r="AQ2574" s="156"/>
      <c r="AR2574" s="156"/>
      <c r="AS2574" s="156"/>
      <c r="AT2574" s="156"/>
      <c r="AU2574" s="156"/>
      <c r="AV2574" s="156"/>
      <c r="AW2574" s="156"/>
      <c r="AX2574" s="156"/>
      <c r="AY2574" s="156"/>
      <c r="AZ2574" s="156"/>
      <c r="BA2574" s="156"/>
      <c r="BB2574" s="2828"/>
      <c r="BC2574" s="452"/>
      <c r="BD2574" s="2829"/>
      <c r="BE2574" s="2837"/>
      <c r="BF2574" s="156"/>
    </row>
    <row r="2575" spans="1:58" ht="15" customHeight="1" outlineLevel="1" x14ac:dyDescent="0.35">
      <c r="A2575" s="1664"/>
      <c r="B2575" s="2812"/>
      <c r="C2575" s="3077"/>
      <c r="D2575" s="3980"/>
      <c r="E2575" s="3883"/>
      <c r="F2575" s="3984" t="str">
        <f>$E$1646</f>
        <v>ASHP-SEER17-Replace_CAC_ElectricHeat_ROF_MF</v>
      </c>
      <c r="G2575" s="3984"/>
      <c r="H2575" s="3984"/>
      <c r="I2575" s="3984"/>
      <c r="J2575" s="3501" t="str">
        <f>$C$1646</f>
        <v>353150_2019_12_</v>
      </c>
      <c r="K2575" s="3052">
        <v>9.6999999999999993</v>
      </c>
      <c r="L2575" s="2822"/>
      <c r="M2575" s="3025" t="s">
        <v>1506</v>
      </c>
      <c r="N2575" s="106"/>
      <c r="O2575" s="106"/>
      <c r="P2575" s="702"/>
      <c r="Q2575" s="702"/>
      <c r="R2575" s="702"/>
      <c r="S2575" s="106"/>
      <c r="T2575" s="486"/>
      <c r="U2575" s="106"/>
      <c r="V2575" s="4184"/>
      <c r="W2575" s="3421">
        <v>9.6999999999999993</v>
      </c>
      <c r="X2575" s="3421">
        <v>9.6999999999999993</v>
      </c>
      <c r="Y2575" s="3421">
        <v>9.6999999999999993</v>
      </c>
      <c r="Z2575" s="3421">
        <v>9.6999999999999993</v>
      </c>
      <c r="AA2575" s="3421">
        <v>9.6999999999999993</v>
      </c>
      <c r="AB2575" s="3421">
        <v>9.6999999999999993</v>
      </c>
      <c r="AC2575" s="2920">
        <v>9.6999999999999993</v>
      </c>
      <c r="AD2575" s="583">
        <v>9.6999999999999993</v>
      </c>
      <c r="AE2575" s="3429"/>
      <c r="AF2575" s="3421"/>
      <c r="AG2575" s="3421"/>
      <c r="AH2575" s="156"/>
      <c r="AI2575" s="156"/>
      <c r="AJ2575" s="156"/>
      <c r="AK2575" s="156"/>
      <c r="AL2575" s="156"/>
      <c r="AM2575" s="156"/>
      <c r="AN2575" s="156"/>
      <c r="AO2575" s="156"/>
      <c r="AP2575" s="156"/>
      <c r="AQ2575" s="156"/>
      <c r="AR2575" s="156"/>
      <c r="AS2575" s="156"/>
      <c r="AT2575" s="156"/>
      <c r="AU2575" s="156"/>
      <c r="AV2575" s="156"/>
      <c r="AW2575" s="156"/>
      <c r="AX2575" s="156"/>
      <c r="AY2575" s="156"/>
      <c r="AZ2575" s="156"/>
      <c r="BA2575" s="156"/>
      <c r="BB2575" s="2828"/>
      <c r="BC2575" s="452"/>
      <c r="BD2575" s="2829"/>
      <c r="BE2575" s="2837"/>
      <c r="BF2575" s="156"/>
    </row>
    <row r="2576" spans="1:58" ht="15" customHeight="1" outlineLevel="1" x14ac:dyDescent="0.35">
      <c r="A2576" s="1664"/>
      <c r="B2576" s="2812"/>
      <c r="C2576" s="3077"/>
      <c r="D2576" s="3980"/>
      <c r="E2576" s="3883"/>
      <c r="F2576" s="3984" t="str">
        <f>$E$1648</f>
        <v>ASHP-SEER17-Replace_CAC_ElectricHeat_ROF_MF_CompE</v>
      </c>
      <c r="G2576" s="3984"/>
      <c r="H2576" s="3984"/>
      <c r="I2576" s="3984"/>
      <c r="J2576" s="3501" t="str">
        <f>$C$1648</f>
        <v>353151_2019_12_</v>
      </c>
      <c r="K2576" s="3052">
        <v>9.6999999999999993</v>
      </c>
      <c r="L2576" s="2822"/>
      <c r="M2576" s="3025" t="s">
        <v>1083</v>
      </c>
      <c r="N2576" s="106"/>
      <c r="O2576" s="106"/>
      <c r="P2576" s="702"/>
      <c r="Q2576" s="702"/>
      <c r="R2576" s="702"/>
      <c r="S2576" s="106"/>
      <c r="T2576" s="486"/>
      <c r="U2576" s="106"/>
      <c r="V2576" s="4184"/>
      <c r="W2576" s="3421"/>
      <c r="X2576" s="3421"/>
      <c r="Y2576" s="2374">
        <v>9.6999999999999993</v>
      </c>
      <c r="Z2576" s="3421">
        <v>9.6999999999999993</v>
      </c>
      <c r="AA2576" s="3421">
        <v>9.6999999999999993</v>
      </c>
      <c r="AB2576" s="3421">
        <v>9.6999999999999993</v>
      </c>
      <c r="AC2576" s="2920">
        <v>9.6999999999999993</v>
      </c>
      <c r="AD2576" s="583">
        <v>9.6999999999999993</v>
      </c>
      <c r="AE2576" s="3429"/>
      <c r="AF2576" s="3421"/>
      <c r="AG2576" s="3421"/>
      <c r="AH2576" s="156"/>
      <c r="AI2576" s="156"/>
      <c r="AJ2576" s="156"/>
      <c r="AK2576" s="156"/>
      <c r="AL2576" s="156"/>
      <c r="AM2576" s="156"/>
      <c r="AN2576" s="156"/>
      <c r="AO2576" s="156"/>
      <c r="AP2576" s="156"/>
      <c r="AQ2576" s="156"/>
      <c r="AR2576" s="156"/>
      <c r="AS2576" s="156"/>
      <c r="AT2576" s="156"/>
      <c r="AU2576" s="156"/>
      <c r="AV2576" s="156"/>
      <c r="AW2576" s="156"/>
      <c r="AX2576" s="156"/>
      <c r="AY2576" s="156"/>
      <c r="AZ2576" s="156"/>
      <c r="BA2576" s="156"/>
      <c r="BB2576" s="2828"/>
      <c r="BC2576" s="452"/>
      <c r="BD2576" s="2829"/>
      <c r="BE2576" s="2837"/>
      <c r="BF2576" s="156"/>
    </row>
    <row r="2577" spans="1:58" ht="15" customHeight="1" outlineLevel="1" x14ac:dyDescent="0.35">
      <c r="A2577" s="1664"/>
      <c r="B2577" s="2812"/>
      <c r="C2577" s="3077"/>
      <c r="D2577" s="3980"/>
      <c r="E2577" s="3883"/>
      <c r="F2577" s="3984" t="str">
        <f>$E$1650</f>
        <v>ASHP-SEER17-Replace_CAC_NonElectricHeat_ROF_MF</v>
      </c>
      <c r="G2577" s="3984"/>
      <c r="H2577" s="3984"/>
      <c r="I2577" s="3984"/>
      <c r="J2577" s="3501" t="str">
        <f>$C$1650</f>
        <v>353160_2021_12_</v>
      </c>
      <c r="K2577" s="3052">
        <v>9.6999999999999993</v>
      </c>
      <c r="L2577" s="2822"/>
      <c r="M2577" s="3025" t="s">
        <v>1083</v>
      </c>
      <c r="N2577" s="106"/>
      <c r="O2577" s="106"/>
      <c r="P2577" s="702"/>
      <c r="Q2577" s="702"/>
      <c r="R2577" s="702"/>
      <c r="S2577" s="106"/>
      <c r="T2577" s="486"/>
      <c r="U2577" s="106"/>
      <c r="V2577" s="4184"/>
      <c r="W2577" s="3421"/>
      <c r="X2577" s="3421"/>
      <c r="Y2577" s="2374"/>
      <c r="Z2577" s="3421"/>
      <c r="AA2577" s="3421"/>
      <c r="AB2577" s="3421"/>
      <c r="AC2577" s="2919">
        <v>9.6999999999999993</v>
      </c>
      <c r="AD2577" s="583">
        <v>9.6999999999999993</v>
      </c>
      <c r="AE2577" s="3429"/>
      <c r="AF2577" s="3421"/>
      <c r="AG2577" s="3421"/>
      <c r="AH2577" s="156"/>
      <c r="AI2577" s="156"/>
      <c r="AJ2577" s="156"/>
      <c r="AK2577" s="156"/>
      <c r="AL2577" s="156"/>
      <c r="AM2577" s="156"/>
      <c r="AN2577" s="156"/>
      <c r="AO2577" s="156"/>
      <c r="AP2577" s="156"/>
      <c r="AQ2577" s="156"/>
      <c r="AR2577" s="156"/>
      <c r="AS2577" s="156"/>
      <c r="AT2577" s="156"/>
      <c r="AU2577" s="156"/>
      <c r="AV2577" s="156"/>
      <c r="AW2577" s="156"/>
      <c r="AX2577" s="156"/>
      <c r="AY2577" s="156"/>
      <c r="AZ2577" s="156"/>
      <c r="BA2577" s="156"/>
      <c r="BB2577" s="2828"/>
      <c r="BC2577" s="452"/>
      <c r="BD2577" s="2829"/>
      <c r="BE2577" s="2837"/>
      <c r="BF2577" s="156"/>
    </row>
    <row r="2578" spans="1:58" ht="15" customHeight="1" outlineLevel="1" x14ac:dyDescent="0.35">
      <c r="A2578" s="1664"/>
      <c r="B2578" s="2812"/>
      <c r="C2578" s="3077"/>
      <c r="D2578" s="3980"/>
      <c r="E2578" s="3883"/>
      <c r="F2578" s="3984" t="str">
        <f>$E$1652</f>
        <v>ASHP-SEER17-Replace_CAC_NonElectricHeat_ROF_MF_CompE</v>
      </c>
      <c r="G2578" s="3984"/>
      <c r="H2578" s="3984"/>
      <c r="I2578" s="3984"/>
      <c r="J2578" s="3501" t="str">
        <f>$C$1652</f>
        <v>353161_2021_12_</v>
      </c>
      <c r="K2578" s="3052">
        <v>9.6999999999999993</v>
      </c>
      <c r="L2578" s="2822"/>
      <c r="M2578" s="3025" t="s">
        <v>1083</v>
      </c>
      <c r="N2578" s="106"/>
      <c r="O2578" s="106"/>
      <c r="P2578" s="702"/>
      <c r="Q2578" s="702"/>
      <c r="R2578" s="702"/>
      <c r="S2578" s="106"/>
      <c r="T2578" s="486"/>
      <c r="U2578" s="106"/>
      <c r="V2578" s="4184"/>
      <c r="W2578" s="3421"/>
      <c r="X2578" s="3421"/>
      <c r="Y2578" s="2374"/>
      <c r="Z2578" s="3421"/>
      <c r="AA2578" s="3421"/>
      <c r="AB2578" s="3421"/>
      <c r="AC2578" s="2919">
        <v>9.6999999999999993</v>
      </c>
      <c r="AD2578" s="583">
        <v>9.6999999999999993</v>
      </c>
      <c r="AE2578" s="3429"/>
      <c r="AF2578" s="3421"/>
      <c r="AG2578" s="3421"/>
      <c r="AH2578" s="156"/>
      <c r="AI2578" s="156"/>
      <c r="AJ2578" s="156"/>
      <c r="AK2578" s="156"/>
      <c r="AL2578" s="156"/>
      <c r="AM2578" s="156"/>
      <c r="AN2578" s="156"/>
      <c r="AO2578" s="156"/>
      <c r="AP2578" s="156"/>
      <c r="AQ2578" s="156"/>
      <c r="AR2578" s="156"/>
      <c r="AS2578" s="156"/>
      <c r="AT2578" s="156"/>
      <c r="AU2578" s="156"/>
      <c r="AV2578" s="156"/>
      <c r="AW2578" s="156"/>
      <c r="AX2578" s="156"/>
      <c r="AY2578" s="156"/>
      <c r="AZ2578" s="156"/>
      <c r="BA2578" s="156"/>
      <c r="BB2578" s="2828"/>
      <c r="BC2578" s="452"/>
      <c r="BD2578" s="2829"/>
      <c r="BE2578" s="2837"/>
      <c r="BF2578" s="156"/>
    </row>
    <row r="2579" spans="1:58" ht="15" customHeight="1" outlineLevel="1" x14ac:dyDescent="0.35">
      <c r="A2579" s="1664"/>
      <c r="B2579" s="2812"/>
      <c r="C2579" s="3077"/>
      <c r="D2579" s="3980"/>
      <c r="E2579" s="3883"/>
      <c r="F2579" s="3984" t="str">
        <f>$E$1654</f>
        <v>ASHP-SEER18-Replace_CAC_ElectricHeat_ROF_SF</v>
      </c>
      <c r="G2579" s="3984"/>
      <c r="H2579" s="3984"/>
      <c r="I2579" s="3984"/>
      <c r="J2579" s="3501" t="str">
        <f>$C$1654</f>
        <v>353200_2021_12_</v>
      </c>
      <c r="K2579" s="3050">
        <v>10.148936170212766</v>
      </c>
      <c r="L2579" s="2822"/>
      <c r="M2579" s="2819" t="s">
        <v>4360</v>
      </c>
      <c r="N2579" s="106"/>
      <c r="O2579" s="106"/>
      <c r="P2579" s="702"/>
      <c r="Q2579" s="702"/>
      <c r="R2579" s="702"/>
      <c r="S2579" s="106"/>
      <c r="T2579" s="486"/>
      <c r="U2579" s="106"/>
      <c r="V2579" s="4184"/>
      <c r="W2579" s="3421">
        <v>9.6999999999999993</v>
      </c>
      <c r="X2579" s="3421">
        <v>9.6999999999999993</v>
      </c>
      <c r="Y2579" s="3421">
        <v>9.6999999999999993</v>
      </c>
      <c r="Z2579" s="3421">
        <v>9.6999999999999993</v>
      </c>
      <c r="AA2579" s="3421">
        <v>9.6999999999999993</v>
      </c>
      <c r="AB2579" s="2374">
        <v>10.5</v>
      </c>
      <c r="AC2579" s="2919">
        <v>9.7852941176470605</v>
      </c>
      <c r="AD2579" s="3050">
        <v>10.148936170212766</v>
      </c>
      <c r="AE2579" s="3429"/>
      <c r="AF2579" s="3421"/>
      <c r="AG2579" s="3421"/>
      <c r="AH2579" s="156"/>
      <c r="AI2579" s="156"/>
      <c r="AJ2579" s="156"/>
      <c r="AK2579" s="156"/>
      <c r="AL2579" s="156"/>
      <c r="AM2579" s="156"/>
      <c r="AN2579" s="156"/>
      <c r="AO2579" s="156"/>
      <c r="AP2579" s="156"/>
      <c r="AQ2579" s="156"/>
      <c r="AR2579" s="156"/>
      <c r="AS2579" s="156"/>
      <c r="AT2579" s="156"/>
      <c r="AU2579" s="156"/>
      <c r="AV2579" s="156"/>
      <c r="AW2579" s="156"/>
      <c r="AX2579" s="156"/>
      <c r="AY2579" s="156"/>
      <c r="AZ2579" s="156"/>
      <c r="BA2579" s="156"/>
      <c r="BB2579" s="2828"/>
      <c r="BC2579" s="452"/>
      <c r="BD2579" s="2829"/>
      <c r="BE2579" s="2837"/>
      <c r="BF2579" s="156"/>
    </row>
    <row r="2580" spans="1:58" s="3398" customFormat="1" ht="15" customHeight="1" outlineLevel="1" x14ac:dyDescent="0.35">
      <c r="A2580" s="1664"/>
      <c r="B2580" s="2812"/>
      <c r="C2580" s="3077"/>
      <c r="D2580" s="3980"/>
      <c r="E2580" s="3883"/>
      <c r="F2580" s="4136" t="str">
        <f>$E$1656</f>
        <v>ASHP-SEER18-Replace_CAC_NonElectricHeat_ROF_SF</v>
      </c>
      <c r="G2580" s="4136"/>
      <c r="H2580" s="4136"/>
      <c r="I2580" s="4136"/>
      <c r="J2580" s="3502" t="str">
        <f>$C$1656</f>
        <v>353210_2022_12_</v>
      </c>
      <c r="K2580" s="3050">
        <v>10.148936170212766</v>
      </c>
      <c r="L2580" s="2822"/>
      <c r="M2580" s="2819" t="s">
        <v>1083</v>
      </c>
      <c r="P2580" s="702"/>
      <c r="Q2580" s="702"/>
      <c r="R2580" s="702"/>
      <c r="T2580" s="3397"/>
      <c r="V2580" s="4184"/>
      <c r="W2580" s="3421"/>
      <c r="X2580" s="2374"/>
      <c r="Y2580" s="2374"/>
      <c r="Z2580" s="3421"/>
      <c r="AA2580" s="3421"/>
      <c r="AB2580" s="584"/>
      <c r="AC2580" s="2919"/>
      <c r="AD2580" s="3050">
        <v>10.148936170212766</v>
      </c>
      <c r="AE2580" s="3429"/>
      <c r="AF2580" s="3421"/>
      <c r="AG2580" s="3421"/>
      <c r="AH2580" s="156"/>
      <c r="AI2580" s="156"/>
      <c r="AJ2580" s="156"/>
      <c r="AK2580" s="156"/>
      <c r="AL2580" s="156"/>
      <c r="AM2580" s="156"/>
      <c r="AN2580" s="156"/>
      <c r="AO2580" s="156"/>
      <c r="AP2580" s="156"/>
      <c r="AQ2580" s="156"/>
      <c r="AR2580" s="156"/>
      <c r="AS2580" s="156"/>
      <c r="AT2580" s="156"/>
      <c r="AU2580" s="156"/>
      <c r="AV2580" s="156"/>
      <c r="AW2580" s="156"/>
      <c r="AX2580" s="156"/>
      <c r="AY2580" s="156"/>
      <c r="AZ2580" s="156"/>
      <c r="BA2580" s="156"/>
      <c r="BB2580" s="2828"/>
      <c r="BC2580" s="452"/>
      <c r="BD2580" s="2829"/>
      <c r="BE2580" s="2837"/>
      <c r="BF2580" s="156"/>
    </row>
    <row r="2581" spans="1:58" ht="15" customHeight="1" outlineLevel="1" x14ac:dyDescent="0.35">
      <c r="A2581" s="1664"/>
      <c r="B2581" s="2812"/>
      <c r="C2581" s="3077"/>
      <c r="D2581" s="3980"/>
      <c r="E2581" s="3883"/>
      <c r="F2581" s="3984" t="str">
        <f>$E$1658</f>
        <v>ASHP-SEER18-Replace_CAC_ElectricHeat_ROF_MF</v>
      </c>
      <c r="G2581" s="3984"/>
      <c r="H2581" s="3984"/>
      <c r="I2581" s="3984"/>
      <c r="J2581" s="3501" t="str">
        <f>$C$1658</f>
        <v>353250_2021_12_</v>
      </c>
      <c r="K2581" s="3052">
        <v>9.5</v>
      </c>
      <c r="L2581" s="2822"/>
      <c r="M2581" s="3025" t="s">
        <v>974</v>
      </c>
      <c r="N2581" s="106"/>
      <c r="O2581" s="106"/>
      <c r="P2581" s="702"/>
      <c r="Q2581" s="702"/>
      <c r="R2581" s="702"/>
      <c r="S2581" s="106"/>
      <c r="T2581" s="486"/>
      <c r="U2581" s="106"/>
      <c r="V2581" s="4184"/>
      <c r="W2581" s="3421">
        <v>9.6999999999999993</v>
      </c>
      <c r="X2581" s="3421">
        <v>9.6999999999999993</v>
      </c>
      <c r="Y2581" s="3421">
        <v>9.6999999999999993</v>
      </c>
      <c r="Z2581" s="3421">
        <v>9.6999999999999993</v>
      </c>
      <c r="AA2581" s="3421">
        <v>9.6999999999999993</v>
      </c>
      <c r="AB2581" s="2374">
        <v>10</v>
      </c>
      <c r="AC2581" s="2919">
        <v>9.5</v>
      </c>
      <c r="AD2581" s="583">
        <v>9.5</v>
      </c>
      <c r="AE2581" s="3429"/>
      <c r="AF2581" s="3421"/>
      <c r="AG2581" s="3421"/>
      <c r="AH2581" s="156"/>
      <c r="AI2581" s="156"/>
      <c r="AJ2581" s="156"/>
      <c r="AK2581" s="156"/>
      <c r="AL2581" s="156"/>
      <c r="AM2581" s="156"/>
      <c r="AN2581" s="156"/>
      <c r="AO2581" s="156"/>
      <c r="AP2581" s="156"/>
      <c r="AQ2581" s="156"/>
      <c r="AR2581" s="156"/>
      <c r="AS2581" s="156"/>
      <c r="AT2581" s="156"/>
      <c r="AU2581" s="156"/>
      <c r="AV2581" s="156"/>
      <c r="AW2581" s="156"/>
      <c r="AX2581" s="156"/>
      <c r="AY2581" s="156"/>
      <c r="AZ2581" s="156"/>
      <c r="BA2581" s="156"/>
      <c r="BB2581" s="2828"/>
      <c r="BC2581" s="452"/>
      <c r="BD2581" s="2829"/>
      <c r="BE2581" s="2837"/>
      <c r="BF2581" s="156"/>
    </row>
    <row r="2582" spans="1:58" ht="15" customHeight="1" outlineLevel="1" x14ac:dyDescent="0.35">
      <c r="A2582" s="1664"/>
      <c r="B2582" s="2812"/>
      <c r="C2582" s="3077"/>
      <c r="D2582" s="3980"/>
      <c r="E2582" s="3883"/>
      <c r="F2582" s="3984" t="str">
        <f>$E$1660</f>
        <v>ASHP-SEER18-Replace_CAC_ElectricHeat_ROF_MF_CompE</v>
      </c>
      <c r="G2582" s="3984"/>
      <c r="H2582" s="3984"/>
      <c r="I2582" s="3984"/>
      <c r="J2582" s="3501" t="str">
        <f>$C$1660</f>
        <v>353251_2021_12_</v>
      </c>
      <c r="K2582" s="3052">
        <v>9.5</v>
      </c>
      <c r="L2582" s="2822"/>
      <c r="M2582" s="3040" t="s">
        <v>1083</v>
      </c>
      <c r="N2582" s="106"/>
      <c r="O2582" s="106"/>
      <c r="P2582" s="702"/>
      <c r="Q2582" s="702"/>
      <c r="R2582" s="702"/>
      <c r="S2582" s="106"/>
      <c r="T2582" s="486"/>
      <c r="U2582" s="106"/>
      <c r="V2582" s="4184"/>
      <c r="W2582" s="3421"/>
      <c r="X2582" s="3421"/>
      <c r="Y2582" s="2374">
        <v>9.6999999999999993</v>
      </c>
      <c r="Z2582" s="3421">
        <v>9.6999999999999993</v>
      </c>
      <c r="AA2582" s="3421">
        <v>9.6999999999999993</v>
      </c>
      <c r="AB2582" s="2374">
        <v>10</v>
      </c>
      <c r="AC2582" s="2919">
        <v>9.5</v>
      </c>
      <c r="AD2582" s="583">
        <v>9.5</v>
      </c>
      <c r="AE2582" s="3429"/>
      <c r="AF2582" s="3421"/>
      <c r="AG2582" s="3421"/>
      <c r="AH2582" s="156"/>
      <c r="AI2582" s="156"/>
      <c r="AJ2582" s="156"/>
      <c r="AK2582" s="156"/>
      <c r="AL2582" s="156"/>
      <c r="AM2582" s="156"/>
      <c r="AN2582" s="156"/>
      <c r="AO2582" s="156"/>
      <c r="AP2582" s="156"/>
      <c r="AQ2582" s="156"/>
      <c r="AR2582" s="156"/>
      <c r="AS2582" s="156"/>
      <c r="AT2582" s="156"/>
      <c r="AU2582" s="156"/>
      <c r="AV2582" s="156"/>
      <c r="AW2582" s="156"/>
      <c r="AX2582" s="156"/>
      <c r="AY2582" s="156"/>
      <c r="AZ2582" s="156"/>
      <c r="BA2582" s="156"/>
      <c r="BB2582" s="2828"/>
      <c r="BC2582" s="452"/>
      <c r="BD2582" s="2829"/>
      <c r="BE2582" s="2837"/>
      <c r="BF2582" s="156"/>
    </row>
    <row r="2583" spans="1:58" ht="15" customHeight="1" outlineLevel="1" x14ac:dyDescent="0.35">
      <c r="A2583" s="1664"/>
      <c r="B2583" s="2812"/>
      <c r="C2583" s="3077"/>
      <c r="D2583" s="3980"/>
      <c r="E2583" s="3883"/>
      <c r="F2583" s="3984" t="str">
        <f>$E$1662</f>
        <v>ASHP-SEER18-Replace_CAC_NonElectricHeat_ROF_MF</v>
      </c>
      <c r="G2583" s="3984"/>
      <c r="H2583" s="3984"/>
      <c r="I2583" s="3984"/>
      <c r="J2583" s="3501" t="str">
        <f>$C$1662</f>
        <v>353260_2021_12_</v>
      </c>
      <c r="K2583" s="3052">
        <v>9.5</v>
      </c>
      <c r="L2583" s="2822"/>
      <c r="M2583" s="3025" t="s">
        <v>1083</v>
      </c>
      <c r="N2583" s="106"/>
      <c r="O2583" s="106"/>
      <c r="P2583" s="702"/>
      <c r="Q2583" s="702"/>
      <c r="R2583" s="702"/>
      <c r="S2583" s="106"/>
      <c r="T2583" s="486"/>
      <c r="U2583" s="106"/>
      <c r="V2583" s="4184"/>
      <c r="W2583" s="3421"/>
      <c r="X2583" s="3421"/>
      <c r="Y2583" s="2374"/>
      <c r="Z2583" s="3421"/>
      <c r="AA2583" s="3421"/>
      <c r="AB2583" s="2374"/>
      <c r="AC2583" s="2919">
        <v>9.5</v>
      </c>
      <c r="AD2583" s="583">
        <v>9.5</v>
      </c>
      <c r="AE2583" s="3429"/>
      <c r="AF2583" s="3421"/>
      <c r="AG2583" s="3421"/>
      <c r="AH2583" s="156"/>
      <c r="AI2583" s="156"/>
      <c r="AJ2583" s="156"/>
      <c r="AK2583" s="156"/>
      <c r="AL2583" s="156"/>
      <c r="AM2583" s="156"/>
      <c r="AN2583" s="156"/>
      <c r="AO2583" s="156"/>
      <c r="AP2583" s="156"/>
      <c r="AQ2583" s="156"/>
      <c r="AR2583" s="156"/>
      <c r="AS2583" s="156"/>
      <c r="AT2583" s="156"/>
      <c r="AU2583" s="156"/>
      <c r="AV2583" s="156"/>
      <c r="AW2583" s="156"/>
      <c r="AX2583" s="156"/>
      <c r="AY2583" s="156"/>
      <c r="AZ2583" s="156"/>
      <c r="BA2583" s="156"/>
      <c r="BB2583" s="2828"/>
      <c r="BC2583" s="452"/>
      <c r="BD2583" s="2829"/>
      <c r="BE2583" s="2837"/>
      <c r="BF2583" s="156"/>
    </row>
    <row r="2584" spans="1:58" ht="15" customHeight="1" outlineLevel="1" x14ac:dyDescent="0.35">
      <c r="A2584" s="1664"/>
      <c r="B2584" s="2812"/>
      <c r="C2584" s="3077"/>
      <c r="D2584" s="3980"/>
      <c r="E2584" s="3883"/>
      <c r="F2584" s="3984" t="str">
        <f>$E$1664</f>
        <v>ASHP-SEER18-Replace_CAC_NonElectricHeat_ROF_MF_CompE</v>
      </c>
      <c r="G2584" s="3984"/>
      <c r="H2584" s="3984"/>
      <c r="I2584" s="3984"/>
      <c r="J2584" s="3501" t="str">
        <f>$C$1664</f>
        <v>353261_2021_12_</v>
      </c>
      <c r="K2584" s="3052">
        <v>9.5</v>
      </c>
      <c r="L2584" s="2822"/>
      <c r="M2584" s="3025" t="s">
        <v>1083</v>
      </c>
      <c r="N2584" s="106"/>
      <c r="O2584" s="106"/>
      <c r="P2584" s="702"/>
      <c r="Q2584" s="702"/>
      <c r="R2584" s="702"/>
      <c r="S2584" s="106"/>
      <c r="T2584" s="486"/>
      <c r="U2584" s="106"/>
      <c r="V2584" s="4184"/>
      <c r="W2584" s="3421"/>
      <c r="X2584" s="3421"/>
      <c r="Y2584" s="2374"/>
      <c r="Z2584" s="3421"/>
      <c r="AA2584" s="3421"/>
      <c r="AB2584" s="2374"/>
      <c r="AC2584" s="2919">
        <v>9.5</v>
      </c>
      <c r="AD2584" s="583">
        <v>9.5</v>
      </c>
      <c r="AE2584" s="3429"/>
      <c r="AF2584" s="3421"/>
      <c r="AG2584" s="3421"/>
      <c r="AH2584" s="156"/>
      <c r="AI2584" s="156"/>
      <c r="AJ2584" s="156"/>
      <c r="AK2584" s="156"/>
      <c r="AL2584" s="156"/>
      <c r="AM2584" s="156"/>
      <c r="AN2584" s="156"/>
      <c r="AO2584" s="156"/>
      <c r="AP2584" s="156"/>
      <c r="AQ2584" s="156"/>
      <c r="AR2584" s="156"/>
      <c r="AS2584" s="156"/>
      <c r="AT2584" s="156"/>
      <c r="AU2584" s="156"/>
      <c r="AV2584" s="156"/>
      <c r="AW2584" s="156"/>
      <c r="AX2584" s="156"/>
      <c r="AY2584" s="156"/>
      <c r="AZ2584" s="156"/>
      <c r="BA2584" s="156"/>
      <c r="BB2584" s="2828"/>
      <c r="BC2584" s="452"/>
      <c r="BD2584" s="2829"/>
      <c r="BE2584" s="2837"/>
      <c r="BF2584" s="156"/>
    </row>
    <row r="2585" spans="1:58" ht="15" customHeight="1" outlineLevel="1" x14ac:dyDescent="0.35">
      <c r="A2585" s="1664"/>
      <c r="B2585" s="2812"/>
      <c r="C2585" s="3077"/>
      <c r="D2585" s="3980"/>
      <c r="E2585" s="3883"/>
      <c r="F2585" s="3984" t="str">
        <f>$E$1666</f>
        <v>ASHP-SEER19-Replace_CAC_ElectricHeat_ROF_SF</v>
      </c>
      <c r="G2585" s="3984"/>
      <c r="H2585" s="3984"/>
      <c r="I2585" s="3984"/>
      <c r="J2585" s="3501" t="str">
        <f>$C$1666</f>
        <v>353300_2021_12_</v>
      </c>
      <c r="K2585" s="3050">
        <v>10.115384615384615</v>
      </c>
      <c r="L2585" s="2822"/>
      <c r="M2585" s="2819" t="s">
        <v>4360</v>
      </c>
      <c r="N2585" s="106"/>
      <c r="O2585" s="106"/>
      <c r="P2585" s="702"/>
      <c r="Q2585" s="702"/>
      <c r="R2585" s="702"/>
      <c r="S2585" s="106"/>
      <c r="T2585" s="486"/>
      <c r="U2585" s="106"/>
      <c r="V2585" s="4184"/>
      <c r="W2585" s="3421">
        <v>9.6999999999999993</v>
      </c>
      <c r="X2585" s="3421">
        <v>9.6999999999999993</v>
      </c>
      <c r="Y2585" s="3421">
        <v>9.6999999999999993</v>
      </c>
      <c r="Z2585" s="3421">
        <v>9.6999999999999993</v>
      </c>
      <c r="AA2585" s="3421">
        <v>9.6999999999999993</v>
      </c>
      <c r="AB2585" s="3421">
        <v>9.6999999999999993</v>
      </c>
      <c r="AC2585" s="2919">
        <v>11</v>
      </c>
      <c r="AD2585" s="3050">
        <v>10.115384615384615</v>
      </c>
      <c r="AE2585" s="3429"/>
      <c r="AF2585" s="3421"/>
      <c r="AG2585" s="3421"/>
      <c r="AH2585" s="156"/>
      <c r="AI2585" s="156"/>
      <c r="AJ2585" s="156"/>
      <c r="AK2585" s="156"/>
      <c r="AL2585" s="156"/>
      <c r="AM2585" s="156"/>
      <c r="AN2585" s="156"/>
      <c r="AO2585" s="156"/>
      <c r="AP2585" s="156"/>
      <c r="AQ2585" s="156"/>
      <c r="AR2585" s="156"/>
      <c r="AS2585" s="156"/>
      <c r="AT2585" s="156"/>
      <c r="AU2585" s="156"/>
      <c r="AV2585" s="156"/>
      <c r="AW2585" s="156"/>
      <c r="AX2585" s="156"/>
      <c r="AY2585" s="156"/>
      <c r="AZ2585" s="156"/>
      <c r="BA2585" s="156"/>
      <c r="BB2585" s="2828"/>
      <c r="BC2585" s="452"/>
      <c r="BD2585" s="2829"/>
      <c r="BE2585" s="2837"/>
      <c r="BF2585" s="156"/>
    </row>
    <row r="2586" spans="1:58" s="3398" customFormat="1" ht="15" customHeight="1" outlineLevel="1" x14ac:dyDescent="0.35">
      <c r="A2586" s="1664"/>
      <c r="B2586" s="2812"/>
      <c r="C2586" s="3077"/>
      <c r="D2586" s="3980"/>
      <c r="E2586" s="3883"/>
      <c r="F2586" s="4136" t="str">
        <f>$E$1668</f>
        <v>ASHP-SEER19-Replace_CAC_NonElectricHeat_ROF_SF</v>
      </c>
      <c r="G2586" s="4136"/>
      <c r="H2586" s="4136"/>
      <c r="I2586" s="4136"/>
      <c r="J2586" s="3502" t="str">
        <f>$C$1668</f>
        <v>353310_2022_12_</v>
      </c>
      <c r="K2586" s="3050">
        <v>10.115384615384615</v>
      </c>
      <c r="L2586" s="2822"/>
      <c r="M2586" s="2819" t="s">
        <v>1083</v>
      </c>
      <c r="P2586" s="702"/>
      <c r="Q2586" s="702"/>
      <c r="R2586" s="702"/>
      <c r="T2586" s="3397"/>
      <c r="V2586" s="4184"/>
      <c r="W2586" s="3421"/>
      <c r="X2586" s="2374"/>
      <c r="Y2586" s="2374"/>
      <c r="Z2586" s="3421"/>
      <c r="AA2586" s="3421"/>
      <c r="AB2586" s="584"/>
      <c r="AC2586" s="2919"/>
      <c r="AD2586" s="3050">
        <v>10.115384615384615</v>
      </c>
      <c r="AE2586" s="3429"/>
      <c r="AF2586" s="3421"/>
      <c r="AG2586" s="3421"/>
      <c r="AH2586" s="156"/>
      <c r="AI2586" s="156"/>
      <c r="AJ2586" s="156"/>
      <c r="AK2586" s="156"/>
      <c r="AL2586" s="156"/>
      <c r="AM2586" s="156"/>
      <c r="AN2586" s="156"/>
      <c r="AO2586" s="156"/>
      <c r="AP2586" s="156"/>
      <c r="AQ2586" s="156"/>
      <c r="AR2586" s="156"/>
      <c r="AS2586" s="156"/>
      <c r="AT2586" s="156"/>
      <c r="AU2586" s="156"/>
      <c r="AV2586" s="156"/>
      <c r="AW2586" s="156"/>
      <c r="AX2586" s="156"/>
      <c r="AY2586" s="156"/>
      <c r="AZ2586" s="156"/>
      <c r="BA2586" s="156"/>
      <c r="BB2586" s="2828"/>
      <c r="BC2586" s="452"/>
      <c r="BD2586" s="2829"/>
      <c r="BE2586" s="2837"/>
      <c r="BF2586" s="156"/>
    </row>
    <row r="2587" spans="1:58" ht="15" customHeight="1" outlineLevel="1" x14ac:dyDescent="0.35">
      <c r="A2587" s="1664"/>
      <c r="B2587" s="2812"/>
      <c r="C2587" s="3077"/>
      <c r="D2587" s="3980"/>
      <c r="E2587" s="3883"/>
      <c r="F2587" s="3984" t="str">
        <f>$E$1670</f>
        <v>ASHP-SEER19-Replace_CAC_ElectricHeat_ROF_MF</v>
      </c>
      <c r="G2587" s="3984"/>
      <c r="H2587" s="3984"/>
      <c r="I2587" s="3984"/>
      <c r="J2587" s="3501" t="str">
        <f>$C$1670</f>
        <v>353350_2021_12_</v>
      </c>
      <c r="K2587" s="3052">
        <v>9.6999999999999993</v>
      </c>
      <c r="L2587" s="2822"/>
      <c r="M2587" s="3025" t="s">
        <v>1506</v>
      </c>
      <c r="N2587" s="106"/>
      <c r="O2587" s="106"/>
      <c r="P2587" s="702"/>
      <c r="Q2587" s="702"/>
      <c r="R2587" s="702"/>
      <c r="S2587" s="106"/>
      <c r="T2587" s="486"/>
      <c r="U2587" s="106"/>
      <c r="V2587" s="4184"/>
      <c r="W2587" s="3421">
        <v>9.6999999999999993</v>
      </c>
      <c r="X2587" s="3421">
        <v>9.6999999999999993</v>
      </c>
      <c r="Y2587" s="3421">
        <v>9.6999999999999993</v>
      </c>
      <c r="Z2587" s="3421">
        <v>9.6999999999999993</v>
      </c>
      <c r="AA2587" s="3421">
        <v>9.6999999999999993</v>
      </c>
      <c r="AB2587" s="3421">
        <v>9.6999999999999993</v>
      </c>
      <c r="AC2587" s="2920">
        <v>9.6999999999999993</v>
      </c>
      <c r="AD2587" s="583">
        <v>9.6999999999999993</v>
      </c>
      <c r="AE2587" s="3429"/>
      <c r="AF2587" s="3421"/>
      <c r="AG2587" s="3421"/>
      <c r="AH2587" s="156"/>
      <c r="AI2587" s="156"/>
      <c r="AJ2587" s="156"/>
      <c r="AK2587" s="156"/>
      <c r="AL2587" s="156"/>
      <c r="AM2587" s="156"/>
      <c r="AN2587" s="156"/>
      <c r="AO2587" s="156"/>
      <c r="AP2587" s="156"/>
      <c r="AQ2587" s="156"/>
      <c r="AR2587" s="156"/>
      <c r="AS2587" s="156"/>
      <c r="AT2587" s="156"/>
      <c r="AU2587" s="156"/>
      <c r="AV2587" s="156"/>
      <c r="AW2587" s="156"/>
      <c r="AX2587" s="156"/>
      <c r="AY2587" s="156"/>
      <c r="AZ2587" s="156"/>
      <c r="BA2587" s="156"/>
      <c r="BB2587" s="2828"/>
      <c r="BC2587" s="452"/>
      <c r="BD2587" s="2829"/>
      <c r="BE2587" s="2837"/>
      <c r="BF2587" s="156"/>
    </row>
    <row r="2588" spans="1:58" ht="15" customHeight="1" outlineLevel="1" x14ac:dyDescent="0.35">
      <c r="A2588" s="1664"/>
      <c r="B2588" s="2812"/>
      <c r="C2588" s="3077"/>
      <c r="D2588" s="3980"/>
      <c r="E2588" s="3883"/>
      <c r="F2588" s="3984" t="str">
        <f>$E$1672</f>
        <v>ASHP-SEER19-Replace_CAC_ElectricHeat_ROF_MF_CompE</v>
      </c>
      <c r="G2588" s="3984"/>
      <c r="H2588" s="3984"/>
      <c r="I2588" s="3984"/>
      <c r="J2588" s="3501" t="str">
        <f>$C$1672</f>
        <v>353351_2019_12_</v>
      </c>
      <c r="K2588" s="3052">
        <v>9.6999999999999993</v>
      </c>
      <c r="L2588" s="2822"/>
      <c r="M2588" s="3025"/>
      <c r="N2588" s="106"/>
      <c r="O2588" s="106"/>
      <c r="P2588" s="702"/>
      <c r="Q2588" s="702"/>
      <c r="R2588" s="702"/>
      <c r="S2588" s="106"/>
      <c r="T2588" s="486"/>
      <c r="U2588" s="106"/>
      <c r="V2588" s="4184"/>
      <c r="W2588" s="3421"/>
      <c r="X2588" s="3421"/>
      <c r="Y2588" s="2374">
        <v>9.6999999999999993</v>
      </c>
      <c r="Z2588" s="3421">
        <v>9.6999999999999993</v>
      </c>
      <c r="AA2588" s="3421">
        <v>9.6999999999999993</v>
      </c>
      <c r="AB2588" s="3421">
        <v>9.6999999999999993</v>
      </c>
      <c r="AC2588" s="2920">
        <v>9.6999999999999993</v>
      </c>
      <c r="AD2588" s="583">
        <v>9.6999999999999993</v>
      </c>
      <c r="AE2588" s="3429"/>
      <c r="AF2588" s="3421"/>
      <c r="AG2588" s="3421"/>
      <c r="AH2588" s="156"/>
      <c r="AI2588" s="156"/>
      <c r="AJ2588" s="156"/>
      <c r="AK2588" s="156"/>
      <c r="AL2588" s="156"/>
      <c r="AM2588" s="156"/>
      <c r="AN2588" s="156"/>
      <c r="AO2588" s="156"/>
      <c r="AP2588" s="156"/>
      <c r="AQ2588" s="156"/>
      <c r="AR2588" s="156"/>
      <c r="AS2588" s="156"/>
      <c r="AT2588" s="156"/>
      <c r="AU2588" s="156"/>
      <c r="AV2588" s="156"/>
      <c r="AW2588" s="156"/>
      <c r="AX2588" s="156"/>
      <c r="AY2588" s="156"/>
      <c r="AZ2588" s="156"/>
      <c r="BA2588" s="156"/>
      <c r="BB2588" s="2828"/>
      <c r="BC2588" s="452"/>
      <c r="BD2588" s="2829"/>
      <c r="BE2588" s="2837"/>
      <c r="BF2588" s="156"/>
    </row>
    <row r="2589" spans="1:58" ht="15" customHeight="1" outlineLevel="1" x14ac:dyDescent="0.35">
      <c r="A2589" s="1664"/>
      <c r="B2589" s="2812"/>
      <c r="C2589" s="3077"/>
      <c r="D2589" s="3980"/>
      <c r="E2589" s="3883"/>
      <c r="F2589" s="3984" t="str">
        <f>$E$1674</f>
        <v>ASHP-SEER19-Replace_CAC_NonElectricHeat_ROF_MF</v>
      </c>
      <c r="G2589" s="3984"/>
      <c r="H2589" s="3984"/>
      <c r="I2589" s="3984"/>
      <c r="J2589" s="3501" t="str">
        <f>$C$1674</f>
        <v>353360_2021_12_</v>
      </c>
      <c r="K2589" s="3052">
        <v>9.6999999999999993</v>
      </c>
      <c r="L2589" s="2822"/>
      <c r="M2589" s="3025" t="s">
        <v>1083</v>
      </c>
      <c r="N2589" s="106"/>
      <c r="O2589" s="106"/>
      <c r="P2589" s="702"/>
      <c r="Q2589" s="702"/>
      <c r="R2589" s="702"/>
      <c r="S2589" s="106"/>
      <c r="T2589" s="486"/>
      <c r="U2589" s="106"/>
      <c r="V2589" s="4184"/>
      <c r="W2589" s="3421"/>
      <c r="X2589" s="3421"/>
      <c r="Y2589" s="2374"/>
      <c r="Z2589" s="3421"/>
      <c r="AA2589" s="3421"/>
      <c r="AB2589" s="3421"/>
      <c r="AC2589" s="2919">
        <v>9.6999999999999993</v>
      </c>
      <c r="AD2589" s="583">
        <v>9.6999999999999993</v>
      </c>
      <c r="AE2589" s="3429"/>
      <c r="AF2589" s="3421"/>
      <c r="AG2589" s="3421"/>
      <c r="AH2589" s="156"/>
      <c r="AI2589" s="156"/>
      <c r="AJ2589" s="156"/>
      <c r="AK2589" s="156"/>
      <c r="AL2589" s="156"/>
      <c r="AM2589" s="156"/>
      <c r="AN2589" s="156"/>
      <c r="AO2589" s="156"/>
      <c r="AP2589" s="156"/>
      <c r="AQ2589" s="156"/>
      <c r="AR2589" s="156"/>
      <c r="AS2589" s="156"/>
      <c r="AT2589" s="156"/>
      <c r="AU2589" s="156"/>
      <c r="AV2589" s="156"/>
      <c r="AW2589" s="156"/>
      <c r="AX2589" s="156"/>
      <c r="AY2589" s="156"/>
      <c r="AZ2589" s="156"/>
      <c r="BA2589" s="156"/>
      <c r="BB2589" s="2828"/>
      <c r="BC2589" s="452"/>
      <c r="BD2589" s="2829"/>
      <c r="BE2589" s="2837"/>
      <c r="BF2589" s="156"/>
    </row>
    <row r="2590" spans="1:58" ht="15" customHeight="1" outlineLevel="1" x14ac:dyDescent="0.35">
      <c r="A2590" s="1664"/>
      <c r="B2590" s="2812"/>
      <c r="C2590" s="3077"/>
      <c r="D2590" s="3980"/>
      <c r="E2590" s="3883"/>
      <c r="F2590" s="3984" t="str">
        <f>$E$1676</f>
        <v>ASHP-SEER19-Replace_CAC_NonElectricHeat_ROF_MF_CompE</v>
      </c>
      <c r="G2590" s="3984"/>
      <c r="H2590" s="3984"/>
      <c r="I2590" s="3984"/>
      <c r="J2590" s="3501" t="str">
        <f>$C$1676</f>
        <v>353361_2021_12_</v>
      </c>
      <c r="K2590" s="3052">
        <v>9.6999999999999993</v>
      </c>
      <c r="L2590" s="2822"/>
      <c r="M2590" s="3025" t="s">
        <v>1083</v>
      </c>
      <c r="N2590" s="106"/>
      <c r="O2590" s="106"/>
      <c r="P2590" s="702"/>
      <c r="Q2590" s="702"/>
      <c r="R2590" s="702"/>
      <c r="S2590" s="106"/>
      <c r="T2590" s="486"/>
      <c r="U2590" s="106"/>
      <c r="V2590" s="4184"/>
      <c r="W2590" s="3421"/>
      <c r="X2590" s="3421"/>
      <c r="Y2590" s="2374"/>
      <c r="Z2590" s="3421"/>
      <c r="AA2590" s="3421"/>
      <c r="AB2590" s="3421"/>
      <c r="AC2590" s="2919">
        <v>9.6999999999999993</v>
      </c>
      <c r="AD2590" s="583">
        <v>9.6999999999999993</v>
      </c>
      <c r="AE2590" s="3429"/>
      <c r="AF2590" s="3421"/>
      <c r="AG2590" s="3421"/>
      <c r="AH2590" s="156"/>
      <c r="AI2590" s="156"/>
      <c r="AJ2590" s="156"/>
      <c r="AK2590" s="156"/>
      <c r="AL2590" s="156"/>
      <c r="AM2590" s="156"/>
      <c r="AN2590" s="156"/>
      <c r="AO2590" s="156"/>
      <c r="AP2590" s="156"/>
      <c r="AQ2590" s="156"/>
      <c r="AR2590" s="156"/>
      <c r="AS2590" s="156"/>
      <c r="AT2590" s="156"/>
      <c r="AU2590" s="156"/>
      <c r="AV2590" s="156"/>
      <c r="AW2590" s="156"/>
      <c r="AX2590" s="156"/>
      <c r="AY2590" s="156"/>
      <c r="AZ2590" s="156"/>
      <c r="BA2590" s="156"/>
      <c r="BB2590" s="2828"/>
      <c r="BC2590" s="452"/>
      <c r="BD2590" s="2829"/>
      <c r="BE2590" s="2837"/>
      <c r="BF2590" s="156"/>
    </row>
    <row r="2591" spans="1:58" ht="15" customHeight="1" outlineLevel="1" x14ac:dyDescent="0.35">
      <c r="A2591" s="1664"/>
      <c r="B2591" s="2812"/>
      <c r="C2591" s="3077"/>
      <c r="D2591" s="3980"/>
      <c r="E2591" s="3883"/>
      <c r="F2591" s="3984" t="str">
        <f>$E$1678</f>
        <v>ASHP-SEER20-Replace_CAC_ElectricHeat_ER1_SF</v>
      </c>
      <c r="G2591" s="3984"/>
      <c r="H2591" s="3984"/>
      <c r="I2591" s="3984"/>
      <c r="J2591" s="3501" t="str">
        <f>$C$1678</f>
        <v>353400_2021_12_</v>
      </c>
      <c r="K2591" s="3050">
        <v>10.135555555555554</v>
      </c>
      <c r="L2591" s="2822"/>
      <c r="M2591" s="2819" t="s">
        <v>4360</v>
      </c>
      <c r="N2591" s="106"/>
      <c r="O2591" s="106"/>
      <c r="P2591" s="702"/>
      <c r="Q2591" s="702"/>
      <c r="R2591" s="702"/>
      <c r="S2591" s="106"/>
      <c r="T2591" s="486"/>
      <c r="U2591" s="106"/>
      <c r="V2591" s="4184"/>
      <c r="W2591" s="3421">
        <v>9.4</v>
      </c>
      <c r="X2591" s="3421">
        <v>9.4</v>
      </c>
      <c r="Y2591" s="3421">
        <v>9.4</v>
      </c>
      <c r="Z2591" s="3421">
        <v>9.4</v>
      </c>
      <c r="AA2591" s="3421">
        <v>9.4</v>
      </c>
      <c r="AB2591" s="3421">
        <v>9.4</v>
      </c>
      <c r="AC2591" s="2919">
        <v>11.1</v>
      </c>
      <c r="AD2591" s="3050">
        <v>10.135555555555554</v>
      </c>
      <c r="AE2591" s="3429"/>
      <c r="AF2591" s="3421"/>
      <c r="AG2591" s="3421"/>
      <c r="AH2591" s="156"/>
      <c r="AI2591" s="156"/>
      <c r="AJ2591" s="156"/>
      <c r="AK2591" s="156"/>
      <c r="AL2591" s="156"/>
      <c r="AM2591" s="156"/>
      <c r="AN2591" s="156"/>
      <c r="AO2591" s="156"/>
      <c r="AP2591" s="156"/>
      <c r="AQ2591" s="156"/>
      <c r="AR2591" s="156"/>
      <c r="AS2591" s="156"/>
      <c r="AT2591" s="156"/>
      <c r="AU2591" s="156"/>
      <c r="AV2591" s="156"/>
      <c r="AW2591" s="156"/>
      <c r="AX2591" s="156"/>
      <c r="AY2591" s="156"/>
      <c r="AZ2591" s="156"/>
      <c r="BA2591" s="156"/>
      <c r="BB2591" s="2828"/>
      <c r="BC2591" s="452"/>
      <c r="BD2591" s="2829"/>
      <c r="BE2591" s="2837"/>
      <c r="BF2591" s="156"/>
    </row>
    <row r="2592" spans="1:58" ht="15" customHeight="1" outlineLevel="1" x14ac:dyDescent="0.35">
      <c r="A2592" s="1664"/>
      <c r="B2592" s="2812"/>
      <c r="C2592" s="3077"/>
      <c r="D2592" s="3980"/>
      <c r="E2592" s="3883"/>
      <c r="F2592" s="3984" t="str">
        <f>$E$1680</f>
        <v>ASHP-SEER20-Replace_CAC_ElectricHeat_ER2_SF</v>
      </c>
      <c r="G2592" s="3984"/>
      <c r="H2592" s="3984"/>
      <c r="I2592" s="3984"/>
      <c r="J2592" s="3501" t="str">
        <f>$C$1680</f>
        <v>353400_2021_12_</v>
      </c>
      <c r="K2592" s="3050">
        <v>10.135555555555554</v>
      </c>
      <c r="L2592" s="2822"/>
      <c r="M2592" s="2819" t="s">
        <v>4360</v>
      </c>
      <c r="N2592" s="106"/>
      <c r="O2592" s="106"/>
      <c r="P2592" s="702"/>
      <c r="Q2592" s="702"/>
      <c r="R2592" s="702"/>
      <c r="S2592" s="106"/>
      <c r="T2592" s="486"/>
      <c r="U2592" s="106"/>
      <c r="V2592" s="4184"/>
      <c r="W2592" s="3421">
        <v>9.4</v>
      </c>
      <c r="X2592" s="3421">
        <v>9.4</v>
      </c>
      <c r="Y2592" s="3421">
        <v>9.4</v>
      </c>
      <c r="Z2592" s="3421">
        <v>9.4</v>
      </c>
      <c r="AA2592" s="3421">
        <v>9.4</v>
      </c>
      <c r="AB2592" s="3421">
        <v>9.4</v>
      </c>
      <c r="AC2592" s="2919">
        <f>AC2591</f>
        <v>11.1</v>
      </c>
      <c r="AD2592" s="3050">
        <v>10.135555555555554</v>
      </c>
      <c r="AE2592" s="3429"/>
      <c r="AF2592" s="3421"/>
      <c r="AG2592" s="3421"/>
      <c r="AH2592" s="156"/>
      <c r="AI2592" s="156"/>
      <c r="AJ2592" s="156"/>
      <c r="AK2592" s="156"/>
      <c r="AL2592" s="156"/>
      <c r="AM2592" s="156"/>
      <c r="AN2592" s="156"/>
      <c r="AO2592" s="156"/>
      <c r="AP2592" s="156"/>
      <c r="AQ2592" s="156"/>
      <c r="AR2592" s="156"/>
      <c r="AS2592" s="156"/>
      <c r="AT2592" s="156"/>
      <c r="AU2592" s="156"/>
      <c r="AV2592" s="156"/>
      <c r="AW2592" s="156"/>
      <c r="AX2592" s="156"/>
      <c r="AY2592" s="156"/>
      <c r="AZ2592" s="156"/>
      <c r="BA2592" s="156"/>
      <c r="BB2592" s="2828"/>
      <c r="BC2592" s="452"/>
      <c r="BD2592" s="2829"/>
      <c r="BE2592" s="2837"/>
      <c r="BF2592" s="156"/>
    </row>
    <row r="2593" spans="1:58" ht="15" customHeight="1" outlineLevel="1" x14ac:dyDescent="0.35">
      <c r="A2593" s="1664"/>
      <c r="B2593" s="2812"/>
      <c r="C2593" s="3077"/>
      <c r="D2593" s="3980"/>
      <c r="E2593" s="3883"/>
      <c r="F2593" s="3984" t="str">
        <f>$E$1682</f>
        <v>ASHP-SEER20-Replace_CAC_NonElectricHeat_ER1_SF</v>
      </c>
      <c r="G2593" s="3984"/>
      <c r="H2593" s="3984"/>
      <c r="I2593" s="3984"/>
      <c r="J2593" s="3501" t="str">
        <f>$C$1682</f>
        <v>353410_2021_12_</v>
      </c>
      <c r="K2593" s="3050">
        <v>10.135555555555554</v>
      </c>
      <c r="L2593" s="2822"/>
      <c r="M2593" s="3025" t="s">
        <v>1083</v>
      </c>
      <c r="N2593" s="106"/>
      <c r="O2593" s="106"/>
      <c r="P2593" s="702"/>
      <c r="Q2593" s="702"/>
      <c r="R2593" s="702"/>
      <c r="S2593" s="106"/>
      <c r="T2593" s="486"/>
      <c r="U2593" s="106"/>
      <c r="V2593" s="4184"/>
      <c r="W2593" s="3421"/>
      <c r="X2593" s="3421"/>
      <c r="Y2593" s="3421"/>
      <c r="Z2593" s="3421"/>
      <c r="AA2593" s="3421"/>
      <c r="AB2593" s="3421"/>
      <c r="AC2593" s="2919">
        <v>11.1</v>
      </c>
      <c r="AD2593" s="3050">
        <v>10.135555555555554</v>
      </c>
      <c r="AE2593" s="3429"/>
      <c r="AF2593" s="3421"/>
      <c r="AG2593" s="3421"/>
      <c r="AH2593" s="156"/>
      <c r="AI2593" s="156"/>
      <c r="AJ2593" s="156"/>
      <c r="AK2593" s="156"/>
      <c r="AL2593" s="156"/>
      <c r="AM2593" s="156"/>
      <c r="AN2593" s="156"/>
      <c r="AO2593" s="156"/>
      <c r="AP2593" s="156"/>
      <c r="AQ2593" s="156"/>
      <c r="AR2593" s="156"/>
      <c r="AS2593" s="156"/>
      <c r="AT2593" s="156"/>
      <c r="AU2593" s="156"/>
      <c r="AV2593" s="156"/>
      <c r="AW2593" s="156"/>
      <c r="AX2593" s="156"/>
      <c r="AY2593" s="156"/>
      <c r="AZ2593" s="156"/>
      <c r="BA2593" s="156"/>
      <c r="BB2593" s="2828"/>
      <c r="BC2593" s="452"/>
      <c r="BD2593" s="2829"/>
      <c r="BE2593" s="2837"/>
      <c r="BF2593" s="156"/>
    </row>
    <row r="2594" spans="1:58" ht="15" customHeight="1" outlineLevel="1" x14ac:dyDescent="0.35">
      <c r="A2594" s="1664"/>
      <c r="B2594" s="2812"/>
      <c r="C2594" s="3077"/>
      <c r="D2594" s="3980"/>
      <c r="E2594" s="3883"/>
      <c r="F2594" s="3984" t="str">
        <f>$E$1684</f>
        <v>ASHP-SEER20-Replace_CAC_NonElectricHeat_ER2_SF</v>
      </c>
      <c r="G2594" s="3984"/>
      <c r="H2594" s="3984"/>
      <c r="I2594" s="3984"/>
      <c r="J2594" s="3501" t="str">
        <f>$C$1684</f>
        <v>353410_2021_12_</v>
      </c>
      <c r="K2594" s="3050">
        <v>10.135555555555554</v>
      </c>
      <c r="L2594" s="2822"/>
      <c r="M2594" s="3025" t="s">
        <v>1083</v>
      </c>
      <c r="N2594" s="106"/>
      <c r="O2594" s="106"/>
      <c r="P2594" s="702"/>
      <c r="Q2594" s="702"/>
      <c r="R2594" s="702"/>
      <c r="S2594" s="106"/>
      <c r="T2594" s="486"/>
      <c r="U2594" s="106"/>
      <c r="V2594" s="4184"/>
      <c r="W2594" s="3421"/>
      <c r="X2594" s="3421"/>
      <c r="Y2594" s="3421"/>
      <c r="Z2594" s="3421"/>
      <c r="AA2594" s="3421"/>
      <c r="AB2594" s="3421"/>
      <c r="AC2594" s="2919">
        <f>AC2593</f>
        <v>11.1</v>
      </c>
      <c r="AD2594" s="3050">
        <v>10.135555555555554</v>
      </c>
      <c r="AE2594" s="3429"/>
      <c r="AF2594" s="3421"/>
      <c r="AG2594" s="3421"/>
      <c r="AH2594" s="156"/>
      <c r="AI2594" s="156"/>
      <c r="AJ2594" s="156"/>
      <c r="AK2594" s="156"/>
      <c r="AL2594" s="156"/>
      <c r="AM2594" s="156"/>
      <c r="AN2594" s="156"/>
      <c r="AO2594" s="156"/>
      <c r="AP2594" s="156"/>
      <c r="AQ2594" s="156"/>
      <c r="AR2594" s="156"/>
      <c r="AS2594" s="156"/>
      <c r="AT2594" s="156"/>
      <c r="AU2594" s="156"/>
      <c r="AV2594" s="156"/>
      <c r="AW2594" s="156"/>
      <c r="AX2594" s="156"/>
      <c r="AY2594" s="156"/>
      <c r="AZ2594" s="156"/>
      <c r="BA2594" s="156"/>
      <c r="BB2594" s="2828"/>
      <c r="BC2594" s="452"/>
      <c r="BD2594" s="2829"/>
      <c r="BE2594" s="2837"/>
      <c r="BF2594" s="156"/>
    </row>
    <row r="2595" spans="1:58" ht="15" customHeight="1" outlineLevel="1" x14ac:dyDescent="0.35">
      <c r="A2595" s="1664"/>
      <c r="B2595" s="2812"/>
      <c r="C2595" s="3077"/>
      <c r="D2595" s="3980"/>
      <c r="E2595" s="3883"/>
      <c r="F2595" s="3984" t="str">
        <f>$E$1686</f>
        <v>ASHP-SEER20-Replace_CAC_ElectricHeat_ROF_SF</v>
      </c>
      <c r="G2595" s="3984"/>
      <c r="H2595" s="3984"/>
      <c r="I2595" s="3984"/>
      <c r="J2595" s="3501" t="str">
        <f>$C$1686</f>
        <v>353450_2021_12_</v>
      </c>
      <c r="K2595" s="3050">
        <v>10.403571428571428</v>
      </c>
      <c r="L2595" s="2822"/>
      <c r="M2595" s="2819" t="s">
        <v>4360</v>
      </c>
      <c r="N2595" s="106"/>
      <c r="O2595" s="106"/>
      <c r="P2595" s="702"/>
      <c r="Q2595" s="702"/>
      <c r="R2595" s="702"/>
      <c r="S2595" s="106"/>
      <c r="T2595" s="486"/>
      <c r="U2595" s="106"/>
      <c r="V2595" s="4184"/>
      <c r="W2595" s="3421">
        <v>9.6999999999999993</v>
      </c>
      <c r="X2595" s="3421">
        <v>9.6999999999999993</v>
      </c>
      <c r="Y2595" s="3421">
        <v>9.6999999999999993</v>
      </c>
      <c r="Z2595" s="3421">
        <v>9.6999999999999993</v>
      </c>
      <c r="AA2595" s="3421">
        <v>9.6999999999999993</v>
      </c>
      <c r="AB2595" s="3421">
        <v>9.6999999999999993</v>
      </c>
      <c r="AC2595" s="2919">
        <v>10.5</v>
      </c>
      <c r="AD2595" s="3050">
        <v>10.403571428571428</v>
      </c>
      <c r="AE2595" s="3429"/>
      <c r="AF2595" s="3421"/>
      <c r="AG2595" s="3421"/>
      <c r="AH2595" s="156"/>
      <c r="AI2595" s="156"/>
      <c r="AJ2595" s="156"/>
      <c r="AK2595" s="156"/>
      <c r="AL2595" s="156"/>
      <c r="AM2595" s="156"/>
      <c r="AN2595" s="156"/>
      <c r="AO2595" s="156"/>
      <c r="AP2595" s="156"/>
      <c r="AQ2595" s="156"/>
      <c r="AR2595" s="156"/>
      <c r="AS2595" s="156"/>
      <c r="AT2595" s="156"/>
      <c r="AU2595" s="156"/>
      <c r="AV2595" s="156"/>
      <c r="AW2595" s="156"/>
      <c r="AX2595" s="156"/>
      <c r="AY2595" s="156"/>
      <c r="AZ2595" s="156"/>
      <c r="BA2595" s="156"/>
      <c r="BB2595" s="2828"/>
      <c r="BC2595" s="452"/>
      <c r="BD2595" s="2829"/>
      <c r="BE2595" s="2837"/>
      <c r="BF2595" s="156"/>
    </row>
    <row r="2596" spans="1:58" s="3398" customFormat="1" ht="15" customHeight="1" outlineLevel="1" x14ac:dyDescent="0.35">
      <c r="A2596" s="1664"/>
      <c r="B2596" s="2812"/>
      <c r="C2596" s="3077"/>
      <c r="D2596" s="3980"/>
      <c r="E2596" s="3883"/>
      <c r="F2596" s="4136" t="str">
        <f>$E$1688</f>
        <v>ASHP-SEER20-Replace_CAC_NonElectricHeat_ROF_SF</v>
      </c>
      <c r="G2596" s="4136"/>
      <c r="H2596" s="4136"/>
      <c r="I2596" s="4136"/>
      <c r="J2596" s="3502" t="str">
        <f>$C$1688</f>
        <v>353460_2022_12_</v>
      </c>
      <c r="K2596" s="3050">
        <v>10.403571428571428</v>
      </c>
      <c r="L2596" s="2822"/>
      <c r="M2596" s="2819" t="s">
        <v>1083</v>
      </c>
      <c r="P2596" s="702"/>
      <c r="Q2596" s="702"/>
      <c r="R2596" s="702"/>
      <c r="T2596" s="3397"/>
      <c r="V2596" s="4184"/>
      <c r="W2596" s="3421"/>
      <c r="X2596" s="2374"/>
      <c r="Y2596" s="2374"/>
      <c r="Z2596" s="3421"/>
      <c r="AA2596" s="3421"/>
      <c r="AB2596" s="584"/>
      <c r="AC2596" s="2919"/>
      <c r="AD2596" s="3050">
        <v>10.403571428571428</v>
      </c>
      <c r="AE2596" s="3429"/>
      <c r="AF2596" s="3421"/>
      <c r="AG2596" s="3421"/>
      <c r="AH2596" s="156"/>
      <c r="AI2596" s="156"/>
      <c r="AJ2596" s="156"/>
      <c r="AK2596" s="156"/>
      <c r="AL2596" s="156"/>
      <c r="AM2596" s="156"/>
      <c r="AN2596" s="156"/>
      <c r="AO2596" s="156"/>
      <c r="AP2596" s="156"/>
      <c r="AQ2596" s="156"/>
      <c r="AR2596" s="156"/>
      <c r="AS2596" s="156"/>
      <c r="AT2596" s="156"/>
      <c r="AU2596" s="156"/>
      <c r="AV2596" s="156"/>
      <c r="AW2596" s="156"/>
      <c r="AX2596" s="156"/>
      <c r="AY2596" s="156"/>
      <c r="AZ2596" s="156"/>
      <c r="BA2596" s="156"/>
      <c r="BB2596" s="2828"/>
      <c r="BC2596" s="452"/>
      <c r="BD2596" s="2829"/>
      <c r="BE2596" s="2837"/>
      <c r="BF2596" s="156"/>
    </row>
    <row r="2597" spans="1:58" ht="15" customHeight="1" outlineLevel="1" x14ac:dyDescent="0.35">
      <c r="A2597" s="1664"/>
      <c r="B2597" s="2812"/>
      <c r="C2597" s="3077"/>
      <c r="D2597" s="3980"/>
      <c r="E2597" s="3883"/>
      <c r="F2597" s="3984" t="str">
        <f>$E$1690</f>
        <v>ASHP-SEER20-Replace_CAC_ElectricHeat_ROF_MF</v>
      </c>
      <c r="G2597" s="3984"/>
      <c r="H2597" s="3984"/>
      <c r="I2597" s="3984"/>
      <c r="J2597" s="3501" t="str">
        <f>$C$1690</f>
        <v>353500_2019_12_</v>
      </c>
      <c r="K2597" s="3052">
        <v>9.6999999999999993</v>
      </c>
      <c r="L2597" s="2822"/>
      <c r="M2597" s="3025" t="s">
        <v>1506</v>
      </c>
      <c r="N2597" s="106"/>
      <c r="O2597" s="106"/>
      <c r="P2597" s="702"/>
      <c r="Q2597" s="574"/>
      <c r="R2597" s="702"/>
      <c r="S2597" s="106"/>
      <c r="T2597" s="486"/>
      <c r="U2597" s="106"/>
      <c r="V2597" s="4184"/>
      <c r="W2597" s="3421">
        <v>9.6999999999999993</v>
      </c>
      <c r="X2597" s="3421">
        <v>9.6999999999999993</v>
      </c>
      <c r="Y2597" s="3421">
        <v>9.6999999999999993</v>
      </c>
      <c r="Z2597" s="3421">
        <v>9.6999999999999993</v>
      </c>
      <c r="AA2597" s="3421">
        <v>9.6999999999999993</v>
      </c>
      <c r="AB2597" s="3421">
        <v>9.6999999999999993</v>
      </c>
      <c r="AC2597" s="2920">
        <v>9.6999999999999993</v>
      </c>
      <c r="AD2597" s="583">
        <v>9.6999999999999993</v>
      </c>
      <c r="AE2597" s="3429"/>
      <c r="AF2597" s="3421"/>
      <c r="AG2597" s="3421"/>
      <c r="AH2597" s="156"/>
      <c r="AI2597" s="156"/>
      <c r="AJ2597" s="156"/>
      <c r="AK2597" s="156"/>
      <c r="AL2597" s="156"/>
      <c r="AM2597" s="156"/>
      <c r="AN2597" s="156"/>
      <c r="AO2597" s="156"/>
      <c r="AP2597" s="156"/>
      <c r="AQ2597" s="156"/>
      <c r="AR2597" s="156"/>
      <c r="AS2597" s="156"/>
      <c r="AT2597" s="156"/>
      <c r="AU2597" s="156"/>
      <c r="AV2597" s="156"/>
      <c r="AW2597" s="156"/>
      <c r="AX2597" s="156"/>
      <c r="AY2597" s="156"/>
      <c r="AZ2597" s="156"/>
      <c r="BA2597" s="156"/>
      <c r="BB2597" s="2828"/>
      <c r="BC2597" s="452"/>
      <c r="BD2597" s="2829"/>
      <c r="BE2597" s="2837"/>
      <c r="BF2597" s="156"/>
    </row>
    <row r="2598" spans="1:58" ht="15" customHeight="1" outlineLevel="1" x14ac:dyDescent="0.35">
      <c r="A2598" s="1664"/>
      <c r="B2598" s="2812"/>
      <c r="C2598" s="3077"/>
      <c r="D2598" s="3980"/>
      <c r="E2598" s="3883"/>
      <c r="F2598" s="3984" t="str">
        <f>$E$1692</f>
        <v>ASHP-SEER20-Replace_CAC_ElectricHeat_ROF_MF_CompE</v>
      </c>
      <c r="G2598" s="3984"/>
      <c r="H2598" s="3984"/>
      <c r="I2598" s="3984"/>
      <c r="J2598" s="3501" t="str">
        <f>$C$1692</f>
        <v>353501_2019_12_</v>
      </c>
      <c r="K2598" s="3052">
        <v>9.6999999999999993</v>
      </c>
      <c r="L2598" s="2822"/>
      <c r="M2598" s="3025"/>
      <c r="N2598" s="106"/>
      <c r="O2598" s="106"/>
      <c r="P2598" s="702"/>
      <c r="Q2598" s="574"/>
      <c r="R2598" s="702"/>
      <c r="S2598" s="106"/>
      <c r="T2598" s="486"/>
      <c r="U2598" s="106"/>
      <c r="V2598" s="4184"/>
      <c r="W2598" s="3421"/>
      <c r="X2598" s="3421"/>
      <c r="Y2598" s="2374">
        <v>9.6999999999999993</v>
      </c>
      <c r="Z2598" s="3421">
        <v>9.6999999999999993</v>
      </c>
      <c r="AA2598" s="3421">
        <v>9.6999999999999993</v>
      </c>
      <c r="AB2598" s="3421">
        <v>9.6999999999999993</v>
      </c>
      <c r="AC2598" s="2920">
        <v>9.6999999999999993</v>
      </c>
      <c r="AD2598" s="583">
        <v>9.6999999999999993</v>
      </c>
      <c r="AE2598" s="3429"/>
      <c r="AF2598" s="3421"/>
      <c r="AG2598" s="3421"/>
      <c r="AH2598" s="156"/>
      <c r="AI2598" s="156"/>
      <c r="AJ2598" s="156"/>
      <c r="AK2598" s="156"/>
      <c r="AL2598" s="156"/>
      <c r="AM2598" s="156"/>
      <c r="AN2598" s="156"/>
      <c r="AO2598" s="156"/>
      <c r="AP2598" s="156"/>
      <c r="AQ2598" s="156"/>
      <c r="AR2598" s="156"/>
      <c r="AS2598" s="156"/>
      <c r="AT2598" s="156"/>
      <c r="AU2598" s="156"/>
      <c r="AV2598" s="156"/>
      <c r="AW2598" s="156"/>
      <c r="AX2598" s="156"/>
      <c r="AY2598" s="156"/>
      <c r="AZ2598" s="156"/>
      <c r="BA2598" s="156"/>
      <c r="BB2598" s="2828"/>
      <c r="BC2598" s="452"/>
      <c r="BD2598" s="2829"/>
      <c r="BE2598" s="2837"/>
      <c r="BF2598" s="156"/>
    </row>
    <row r="2599" spans="1:58" ht="15" customHeight="1" outlineLevel="1" x14ac:dyDescent="0.35">
      <c r="A2599" s="1664"/>
      <c r="B2599" s="2812"/>
      <c r="C2599" s="3077"/>
      <c r="D2599" s="3980"/>
      <c r="E2599" s="3883"/>
      <c r="F2599" s="3984" t="str">
        <f>$E$1694</f>
        <v>ASHP-SEER20-Replace_CAC_NonElectricHeat_ROF_MF</v>
      </c>
      <c r="G2599" s="3984"/>
      <c r="H2599" s="3984"/>
      <c r="I2599" s="3984"/>
      <c r="J2599" s="3501" t="str">
        <f>$C$1694</f>
        <v>353510_2021_12_</v>
      </c>
      <c r="K2599" s="3052">
        <v>9.6999999999999993</v>
      </c>
      <c r="L2599" s="2822"/>
      <c r="M2599" s="3025" t="s">
        <v>1083</v>
      </c>
      <c r="N2599" s="106"/>
      <c r="O2599" s="106"/>
      <c r="P2599" s="702"/>
      <c r="Q2599" s="574"/>
      <c r="R2599" s="702"/>
      <c r="S2599" s="106"/>
      <c r="T2599" s="486"/>
      <c r="U2599" s="106"/>
      <c r="V2599" s="4184"/>
      <c r="W2599" s="3421"/>
      <c r="X2599" s="3421"/>
      <c r="Y2599" s="2374"/>
      <c r="Z2599" s="3421"/>
      <c r="AA2599" s="3421"/>
      <c r="AB2599" s="3421"/>
      <c r="AC2599" s="2919">
        <v>9.6999999999999993</v>
      </c>
      <c r="AD2599" s="583">
        <v>9.6999999999999993</v>
      </c>
      <c r="AE2599" s="3429"/>
      <c r="AF2599" s="3421"/>
      <c r="AG2599" s="3421"/>
      <c r="AH2599" s="156"/>
      <c r="AI2599" s="156"/>
      <c r="AJ2599" s="156"/>
      <c r="AK2599" s="156"/>
      <c r="AL2599" s="156"/>
      <c r="AM2599" s="156"/>
      <c r="AN2599" s="156"/>
      <c r="AO2599" s="156"/>
      <c r="AP2599" s="156"/>
      <c r="AQ2599" s="156"/>
      <c r="AR2599" s="156"/>
      <c r="AS2599" s="156"/>
      <c r="AT2599" s="156"/>
      <c r="AU2599" s="156"/>
      <c r="AV2599" s="156"/>
      <c r="AW2599" s="156"/>
      <c r="AX2599" s="156"/>
      <c r="AY2599" s="156"/>
      <c r="AZ2599" s="156"/>
      <c r="BA2599" s="156"/>
      <c r="BB2599" s="2828"/>
      <c r="BC2599" s="452"/>
      <c r="BD2599" s="2829"/>
      <c r="BE2599" s="2837"/>
      <c r="BF2599" s="156"/>
    </row>
    <row r="2600" spans="1:58" ht="15" customHeight="1" outlineLevel="1" x14ac:dyDescent="0.35">
      <c r="A2600" s="1664"/>
      <c r="B2600" s="2812"/>
      <c r="C2600" s="3077"/>
      <c r="D2600" s="3980"/>
      <c r="E2600" s="3883"/>
      <c r="F2600" s="3984" t="str">
        <f>$E$1696</f>
        <v>ASHP-SEER20-Replace_CAC_NonElectricHeat_ROF_MF_CompE</v>
      </c>
      <c r="G2600" s="3984"/>
      <c r="H2600" s="3984"/>
      <c r="I2600" s="3984"/>
      <c r="J2600" s="3501" t="str">
        <f>$C$1696</f>
        <v>353511_2021_12_</v>
      </c>
      <c r="K2600" s="3052">
        <v>9.6999999999999993</v>
      </c>
      <c r="L2600" s="2822"/>
      <c r="M2600" s="3025" t="s">
        <v>1083</v>
      </c>
      <c r="N2600" s="106"/>
      <c r="O2600" s="106"/>
      <c r="P2600" s="702"/>
      <c r="Q2600" s="574"/>
      <c r="R2600" s="702"/>
      <c r="S2600" s="106"/>
      <c r="T2600" s="486"/>
      <c r="U2600" s="106"/>
      <c r="V2600" s="4184"/>
      <c r="W2600" s="3421"/>
      <c r="X2600" s="3421"/>
      <c r="Y2600" s="2374"/>
      <c r="Z2600" s="3421"/>
      <c r="AA2600" s="3421"/>
      <c r="AB2600" s="3421"/>
      <c r="AC2600" s="2919">
        <v>9.6999999999999993</v>
      </c>
      <c r="AD2600" s="583">
        <v>9.6999999999999993</v>
      </c>
      <c r="AE2600" s="3429"/>
      <c r="AF2600" s="3421"/>
      <c r="AG2600" s="3421"/>
      <c r="AH2600" s="156"/>
      <c r="AI2600" s="156"/>
      <c r="AJ2600" s="156"/>
      <c r="AK2600" s="156"/>
      <c r="AL2600" s="156"/>
      <c r="AM2600" s="156"/>
      <c r="AN2600" s="156"/>
      <c r="AO2600" s="156"/>
      <c r="AP2600" s="156"/>
      <c r="AQ2600" s="156"/>
      <c r="AR2600" s="156"/>
      <c r="AS2600" s="156"/>
      <c r="AT2600" s="156"/>
      <c r="AU2600" s="156"/>
      <c r="AV2600" s="156"/>
      <c r="AW2600" s="156"/>
      <c r="AX2600" s="156"/>
      <c r="AY2600" s="156"/>
      <c r="AZ2600" s="156"/>
      <c r="BA2600" s="156"/>
      <c r="BB2600" s="2828"/>
      <c r="BC2600" s="452"/>
      <c r="BD2600" s="2829"/>
      <c r="BE2600" s="2837"/>
      <c r="BF2600" s="156"/>
    </row>
    <row r="2601" spans="1:58" ht="15" customHeight="1" outlineLevel="1" x14ac:dyDescent="0.35">
      <c r="A2601" s="1664"/>
      <c r="B2601" s="2812"/>
      <c r="C2601" s="3077"/>
      <c r="D2601" s="3980"/>
      <c r="E2601" s="3883"/>
      <c r="F2601" s="3984" t="str">
        <f>$E$1698</f>
        <v>ASHP-SEER21-Replace_CAC_ElectricHeat_ER1_SF</v>
      </c>
      <c r="G2601" s="3984"/>
      <c r="H2601" s="3984"/>
      <c r="I2601" s="3984"/>
      <c r="J2601" s="3501" t="str">
        <f>$C$1698</f>
        <v>353550_2021_12_</v>
      </c>
      <c r="K2601" s="3051">
        <v>10.727272727272727</v>
      </c>
      <c r="L2601" s="2822"/>
      <c r="M2601" s="2819" t="s">
        <v>4360</v>
      </c>
      <c r="N2601" s="106"/>
      <c r="O2601" s="106"/>
      <c r="P2601" s="702"/>
      <c r="Q2601" s="574"/>
      <c r="R2601" s="702"/>
      <c r="S2601" s="106"/>
      <c r="T2601" s="486"/>
      <c r="U2601" s="106"/>
      <c r="V2601" s="4184"/>
      <c r="W2601" s="3421">
        <v>9.4</v>
      </c>
      <c r="X2601" s="3421">
        <v>9.4</v>
      </c>
      <c r="Y2601" s="3421">
        <v>9.4</v>
      </c>
      <c r="Z2601" s="3421">
        <v>9.4</v>
      </c>
      <c r="AA2601" s="3421">
        <v>9.4</v>
      </c>
      <c r="AB2601" s="3421">
        <v>9.4</v>
      </c>
      <c r="AC2601" s="2919">
        <v>10.727272727272727</v>
      </c>
      <c r="AD2601" s="3051">
        <v>10.727272727272727</v>
      </c>
      <c r="AE2601" s="3429"/>
      <c r="AF2601" s="3421"/>
      <c r="AG2601" s="3421"/>
      <c r="AH2601" s="156"/>
      <c r="AI2601" s="156"/>
      <c r="AJ2601" s="156"/>
      <c r="AK2601" s="156"/>
      <c r="AL2601" s="156"/>
      <c r="AM2601" s="156"/>
      <c r="AN2601" s="156"/>
      <c r="AO2601" s="156"/>
      <c r="AP2601" s="156"/>
      <c r="AQ2601" s="156"/>
      <c r="AR2601" s="156"/>
      <c r="AS2601" s="156"/>
      <c r="AT2601" s="156"/>
      <c r="AU2601" s="156"/>
      <c r="AV2601" s="156"/>
      <c r="AW2601" s="156"/>
      <c r="AX2601" s="156"/>
      <c r="AY2601" s="156"/>
      <c r="AZ2601" s="156"/>
      <c r="BA2601" s="156"/>
      <c r="BB2601" s="2828"/>
      <c r="BC2601" s="452"/>
      <c r="BD2601" s="2829"/>
      <c r="BE2601" s="2837"/>
      <c r="BF2601" s="156"/>
    </row>
    <row r="2602" spans="1:58" ht="15" customHeight="1" outlineLevel="1" x14ac:dyDescent="0.35">
      <c r="A2602" s="1664"/>
      <c r="B2602" s="2812"/>
      <c r="C2602" s="3077"/>
      <c r="D2602" s="3980"/>
      <c r="E2602" s="3883"/>
      <c r="F2602" s="3984" t="str">
        <f>$E$1700</f>
        <v>ASHP-SEER21-Replace_CAC_ElectricHeat_ER2_SF</v>
      </c>
      <c r="G2602" s="3984"/>
      <c r="H2602" s="3984"/>
      <c r="I2602" s="3984"/>
      <c r="J2602" s="3501" t="str">
        <f>$C$1700</f>
        <v>353550_2021_12_</v>
      </c>
      <c r="K2602" s="3051">
        <v>10.727272727272727</v>
      </c>
      <c r="L2602" s="2822"/>
      <c r="M2602" s="2819" t="s">
        <v>4360</v>
      </c>
      <c r="N2602" s="106"/>
      <c r="O2602" s="106"/>
      <c r="P2602" s="702"/>
      <c r="Q2602" s="574"/>
      <c r="R2602" s="702"/>
      <c r="S2602" s="106"/>
      <c r="T2602" s="486"/>
      <c r="U2602" s="106"/>
      <c r="V2602" s="4184"/>
      <c r="W2602" s="3421">
        <v>9.4</v>
      </c>
      <c r="X2602" s="3421">
        <v>9.4</v>
      </c>
      <c r="Y2602" s="3421">
        <v>9.4</v>
      </c>
      <c r="Z2602" s="3421">
        <v>9.4</v>
      </c>
      <c r="AA2602" s="3421">
        <v>9.4</v>
      </c>
      <c r="AB2602" s="3421">
        <v>9.4</v>
      </c>
      <c r="AC2602" s="2919">
        <f>AC2601</f>
        <v>10.727272727272727</v>
      </c>
      <c r="AD2602" s="3051">
        <v>10.727272727272727</v>
      </c>
      <c r="AE2602" s="3429"/>
      <c r="AF2602" s="3421"/>
      <c r="AG2602" s="3421"/>
      <c r="AH2602" s="156"/>
      <c r="AI2602" s="156"/>
      <c r="AJ2602" s="156"/>
      <c r="AK2602" s="156"/>
      <c r="AL2602" s="156"/>
      <c r="AM2602" s="156"/>
      <c r="AN2602" s="156"/>
      <c r="AO2602" s="156"/>
      <c r="AP2602" s="156"/>
      <c r="AQ2602" s="156"/>
      <c r="AR2602" s="156"/>
      <c r="AS2602" s="156"/>
      <c r="AT2602" s="156"/>
      <c r="AU2602" s="156"/>
      <c r="AV2602" s="156"/>
      <c r="AW2602" s="156"/>
      <c r="AX2602" s="156"/>
      <c r="AY2602" s="156"/>
      <c r="AZ2602" s="156"/>
      <c r="BA2602" s="156"/>
      <c r="BB2602" s="2828"/>
      <c r="BC2602" s="452"/>
      <c r="BD2602" s="2829"/>
      <c r="BE2602" s="2837"/>
      <c r="BF2602" s="156"/>
    </row>
    <row r="2603" spans="1:58" ht="15" customHeight="1" outlineLevel="1" x14ac:dyDescent="0.35">
      <c r="A2603" s="1664"/>
      <c r="B2603" s="2812"/>
      <c r="C2603" s="3077"/>
      <c r="D2603" s="3980"/>
      <c r="E2603" s="3883"/>
      <c r="F2603" s="3984" t="str">
        <f>$E$1702</f>
        <v>ASHP-SEER21-Replace_CAC_NonElectricHeat_ER1_SF</v>
      </c>
      <c r="G2603" s="3984"/>
      <c r="H2603" s="3984"/>
      <c r="I2603" s="3984"/>
      <c r="J2603" s="3501" t="str">
        <f>$C$1702</f>
        <v>353560_2021_12_</v>
      </c>
      <c r="K2603" s="3051">
        <v>10.727272727272727</v>
      </c>
      <c r="L2603" s="2822"/>
      <c r="M2603" s="3025" t="s">
        <v>1083</v>
      </c>
      <c r="N2603" s="106"/>
      <c r="O2603" s="106"/>
      <c r="P2603" s="702"/>
      <c r="Q2603" s="574"/>
      <c r="R2603" s="702"/>
      <c r="S2603" s="106"/>
      <c r="T2603" s="486"/>
      <c r="U2603" s="106"/>
      <c r="V2603" s="4184"/>
      <c r="W2603" s="3421"/>
      <c r="X2603" s="3421"/>
      <c r="Y2603" s="3421"/>
      <c r="Z2603" s="3421"/>
      <c r="AA2603" s="3421"/>
      <c r="AB2603" s="3421"/>
      <c r="AC2603" s="2919">
        <v>10.727272727272727</v>
      </c>
      <c r="AD2603" s="3051">
        <v>10.727272727272727</v>
      </c>
      <c r="AE2603" s="3429"/>
      <c r="AF2603" s="3421"/>
      <c r="AG2603" s="3421"/>
      <c r="AH2603" s="156"/>
      <c r="AI2603" s="156"/>
      <c r="AJ2603" s="156"/>
      <c r="AK2603" s="156"/>
      <c r="AL2603" s="156"/>
      <c r="AM2603" s="156"/>
      <c r="AN2603" s="156"/>
      <c r="AO2603" s="156"/>
      <c r="AP2603" s="156"/>
      <c r="AQ2603" s="156"/>
      <c r="AR2603" s="156"/>
      <c r="AS2603" s="156"/>
      <c r="AT2603" s="156"/>
      <c r="AU2603" s="156"/>
      <c r="AV2603" s="156"/>
      <c r="AW2603" s="156"/>
      <c r="AX2603" s="156"/>
      <c r="AY2603" s="156"/>
      <c r="AZ2603" s="156"/>
      <c r="BA2603" s="156"/>
      <c r="BB2603" s="2828"/>
      <c r="BC2603" s="452"/>
      <c r="BD2603" s="2829"/>
      <c r="BE2603" s="2837"/>
      <c r="BF2603" s="156"/>
    </row>
    <row r="2604" spans="1:58" ht="15" customHeight="1" outlineLevel="1" x14ac:dyDescent="0.35">
      <c r="A2604" s="1664"/>
      <c r="B2604" s="2812"/>
      <c r="C2604" s="3077"/>
      <c r="D2604" s="3980"/>
      <c r="E2604" s="3883"/>
      <c r="F2604" s="3984" t="str">
        <f>$E$1704</f>
        <v>ASHP-SEER21-Replace_CAC_NonElectricHeat_ER2_SF</v>
      </c>
      <c r="G2604" s="3984"/>
      <c r="H2604" s="3984"/>
      <c r="I2604" s="3984"/>
      <c r="J2604" s="3501" t="str">
        <f>$C$1704</f>
        <v>353560_2021_12_</v>
      </c>
      <c r="K2604" s="3051">
        <v>10.727272727272727</v>
      </c>
      <c r="L2604" s="2822"/>
      <c r="M2604" s="3025" t="s">
        <v>1083</v>
      </c>
      <c r="N2604" s="106"/>
      <c r="O2604" s="106"/>
      <c r="P2604" s="702"/>
      <c r="Q2604" s="574"/>
      <c r="R2604" s="702"/>
      <c r="S2604" s="106"/>
      <c r="T2604" s="486"/>
      <c r="U2604" s="106"/>
      <c r="V2604" s="4184"/>
      <c r="W2604" s="3421"/>
      <c r="X2604" s="3421"/>
      <c r="Y2604" s="3421"/>
      <c r="Z2604" s="3421"/>
      <c r="AA2604" s="3421"/>
      <c r="AB2604" s="3421"/>
      <c r="AC2604" s="2919">
        <f>AC2603</f>
        <v>10.727272727272727</v>
      </c>
      <c r="AD2604" s="3051">
        <v>10.727272727272727</v>
      </c>
      <c r="AE2604" s="3429"/>
      <c r="AF2604" s="3421"/>
      <c r="AG2604" s="3421"/>
      <c r="AH2604" s="156"/>
      <c r="AI2604" s="156"/>
      <c r="AJ2604" s="156"/>
      <c r="AK2604" s="156"/>
      <c r="AL2604" s="156"/>
      <c r="AM2604" s="156"/>
      <c r="AN2604" s="156"/>
      <c r="AO2604" s="156"/>
      <c r="AP2604" s="156"/>
      <c r="AQ2604" s="156"/>
      <c r="AR2604" s="156"/>
      <c r="AS2604" s="156"/>
      <c r="AT2604" s="156"/>
      <c r="AU2604" s="156"/>
      <c r="AV2604" s="156"/>
      <c r="AW2604" s="156"/>
      <c r="AX2604" s="156"/>
      <c r="AY2604" s="156"/>
      <c r="AZ2604" s="156"/>
      <c r="BA2604" s="156"/>
      <c r="BB2604" s="2828"/>
      <c r="BC2604" s="452"/>
      <c r="BD2604" s="2829"/>
      <c r="BE2604" s="2837"/>
      <c r="BF2604" s="156"/>
    </row>
    <row r="2605" spans="1:58" ht="15" customHeight="1" outlineLevel="1" x14ac:dyDescent="0.35">
      <c r="A2605" s="1664"/>
      <c r="B2605" s="2812"/>
      <c r="C2605" s="3077"/>
      <c r="D2605" s="3980"/>
      <c r="E2605" s="3883"/>
      <c r="F2605" s="3984" t="str">
        <f>$E$1706</f>
        <v>ASHP-SEER21-Replace_CAC_ElectricHeat_ER1_MF</v>
      </c>
      <c r="G2605" s="3984"/>
      <c r="H2605" s="3984"/>
      <c r="I2605" s="3984"/>
      <c r="J2605" s="3501" t="str">
        <f>$C$1706</f>
        <v>353600_2019_12_</v>
      </c>
      <c r="K2605" s="3052">
        <v>9.4</v>
      </c>
      <c r="L2605" s="2822"/>
      <c r="M2605" s="3025" t="s">
        <v>1506</v>
      </c>
      <c r="N2605" s="106"/>
      <c r="O2605" s="106"/>
      <c r="P2605" s="702"/>
      <c r="Q2605" s="574"/>
      <c r="R2605" s="702"/>
      <c r="S2605" s="106"/>
      <c r="T2605" s="486"/>
      <c r="U2605" s="106"/>
      <c r="V2605" s="4184"/>
      <c r="W2605" s="3421">
        <v>9.4</v>
      </c>
      <c r="X2605" s="3421">
        <v>9.4</v>
      </c>
      <c r="Y2605" s="3421">
        <v>9.4</v>
      </c>
      <c r="Z2605" s="3421">
        <v>9.4</v>
      </c>
      <c r="AA2605" s="3421">
        <v>9.4</v>
      </c>
      <c r="AB2605" s="3421">
        <v>9.4</v>
      </c>
      <c r="AC2605" s="2920">
        <v>9.4</v>
      </c>
      <c r="AD2605" s="583">
        <v>9.4</v>
      </c>
      <c r="AE2605" s="3429"/>
      <c r="AF2605" s="3421"/>
      <c r="AG2605" s="3421"/>
      <c r="AH2605" s="156"/>
      <c r="AI2605" s="156"/>
      <c r="AJ2605" s="156"/>
      <c r="AK2605" s="156"/>
      <c r="AL2605" s="156"/>
      <c r="AM2605" s="156"/>
      <c r="AN2605" s="156"/>
      <c r="AO2605" s="156"/>
      <c r="AP2605" s="156"/>
      <c r="AQ2605" s="156"/>
      <c r="AR2605" s="156"/>
      <c r="AS2605" s="156"/>
      <c r="AT2605" s="156"/>
      <c r="AU2605" s="156"/>
      <c r="AV2605" s="156"/>
      <c r="AW2605" s="156"/>
      <c r="AX2605" s="156"/>
      <c r="AY2605" s="156"/>
      <c r="AZ2605" s="156"/>
      <c r="BA2605" s="156"/>
      <c r="BB2605" s="2828"/>
      <c r="BC2605" s="452"/>
      <c r="BD2605" s="2829"/>
      <c r="BE2605" s="2837"/>
      <c r="BF2605" s="156"/>
    </row>
    <row r="2606" spans="1:58" ht="15" customHeight="1" outlineLevel="1" x14ac:dyDescent="0.35">
      <c r="A2606" s="1664"/>
      <c r="B2606" s="2812"/>
      <c r="C2606" s="3077"/>
      <c r="D2606" s="3980"/>
      <c r="E2606" s="3883"/>
      <c r="F2606" s="3984" t="str">
        <f>$E$1708</f>
        <v>ASHP-SEER21-Replace_CAC_ElectricHeat_ER2_MF</v>
      </c>
      <c r="G2606" s="3984"/>
      <c r="H2606" s="3984"/>
      <c r="I2606" s="3984"/>
      <c r="J2606" s="3501" t="str">
        <f>$C$1708</f>
        <v>353600_2019_12_</v>
      </c>
      <c r="K2606" s="3052">
        <v>9.4</v>
      </c>
      <c r="L2606" s="2822"/>
      <c r="M2606" s="3025" t="s">
        <v>1506</v>
      </c>
      <c r="N2606" s="106"/>
      <c r="O2606" s="106"/>
      <c r="P2606" s="702"/>
      <c r="Q2606" s="574"/>
      <c r="R2606" s="702"/>
      <c r="S2606" s="106"/>
      <c r="T2606" s="486"/>
      <c r="U2606" s="106"/>
      <c r="V2606" s="4184"/>
      <c r="W2606" s="3421">
        <v>9.4</v>
      </c>
      <c r="X2606" s="3421">
        <v>9.4</v>
      </c>
      <c r="Y2606" s="3421">
        <v>9.4</v>
      </c>
      <c r="Z2606" s="3421">
        <v>9.4</v>
      </c>
      <c r="AA2606" s="3421">
        <v>9.4</v>
      </c>
      <c r="AB2606" s="3421">
        <v>9.4</v>
      </c>
      <c r="AC2606" s="2920">
        <v>9.4</v>
      </c>
      <c r="AD2606" s="583">
        <v>9.4</v>
      </c>
      <c r="AE2606" s="3429"/>
      <c r="AF2606" s="3421"/>
      <c r="AG2606" s="3421"/>
      <c r="AH2606" s="156"/>
      <c r="AI2606" s="156"/>
      <c r="AJ2606" s="156"/>
      <c r="AK2606" s="156"/>
      <c r="AL2606" s="156"/>
      <c r="AM2606" s="156"/>
      <c r="AN2606" s="156"/>
      <c r="AO2606" s="156"/>
      <c r="AP2606" s="156"/>
      <c r="AQ2606" s="156"/>
      <c r="AR2606" s="156"/>
      <c r="AS2606" s="156"/>
      <c r="AT2606" s="156"/>
      <c r="AU2606" s="156"/>
      <c r="AV2606" s="156"/>
      <c r="AW2606" s="156"/>
      <c r="AX2606" s="156"/>
      <c r="AY2606" s="156"/>
      <c r="AZ2606" s="156"/>
      <c r="BA2606" s="156"/>
      <c r="BB2606" s="2828"/>
      <c r="BC2606" s="452"/>
      <c r="BD2606" s="2829"/>
      <c r="BE2606" s="2837"/>
      <c r="BF2606" s="156"/>
    </row>
    <row r="2607" spans="1:58" ht="15" customHeight="1" outlineLevel="1" x14ac:dyDescent="0.35">
      <c r="A2607" s="1664"/>
      <c r="B2607" s="2812"/>
      <c r="C2607" s="3077"/>
      <c r="D2607" s="3980"/>
      <c r="E2607" s="3883"/>
      <c r="F2607" s="3984" t="str">
        <f>$E$1710</f>
        <v>ASHP-SEER21-Replace_CAC_ElectricHeat_ER1_MF_CompE</v>
      </c>
      <c r="G2607" s="3984"/>
      <c r="H2607" s="3984"/>
      <c r="I2607" s="3984"/>
      <c r="J2607" s="3501" t="str">
        <f>$C$1710</f>
        <v>353601_2019_12_</v>
      </c>
      <c r="K2607" s="3052">
        <v>9.4</v>
      </c>
      <c r="L2607" s="2822"/>
      <c r="M2607" s="3025" t="s">
        <v>1083</v>
      </c>
      <c r="N2607" s="106"/>
      <c r="O2607" s="106"/>
      <c r="P2607" s="702"/>
      <c r="Q2607" s="574"/>
      <c r="R2607" s="702"/>
      <c r="S2607" s="106"/>
      <c r="T2607" s="486"/>
      <c r="U2607" s="106"/>
      <c r="V2607" s="4184"/>
      <c r="W2607" s="3421"/>
      <c r="X2607" s="3421"/>
      <c r="Y2607" s="2374">
        <v>9.4</v>
      </c>
      <c r="Z2607" s="3421">
        <v>9.4</v>
      </c>
      <c r="AA2607" s="3421">
        <v>9.4</v>
      </c>
      <c r="AB2607" s="3421">
        <v>9.4</v>
      </c>
      <c r="AC2607" s="2920">
        <v>9.4</v>
      </c>
      <c r="AD2607" s="583">
        <v>9.4</v>
      </c>
      <c r="AE2607" s="3429"/>
      <c r="AF2607" s="3421"/>
      <c r="AG2607" s="3421"/>
      <c r="AH2607" s="156"/>
      <c r="AI2607" s="156"/>
      <c r="AJ2607" s="156"/>
      <c r="AK2607" s="156"/>
      <c r="AL2607" s="156"/>
      <c r="AM2607" s="156"/>
      <c r="AN2607" s="156"/>
      <c r="AO2607" s="156"/>
      <c r="AP2607" s="156"/>
      <c r="AQ2607" s="156"/>
      <c r="AR2607" s="156"/>
      <c r="AS2607" s="156"/>
      <c r="AT2607" s="156"/>
      <c r="AU2607" s="156"/>
      <c r="AV2607" s="156"/>
      <c r="AW2607" s="156"/>
      <c r="AX2607" s="156"/>
      <c r="AY2607" s="156"/>
      <c r="AZ2607" s="156"/>
      <c r="BA2607" s="156"/>
      <c r="BB2607" s="2828"/>
      <c r="BC2607" s="452"/>
      <c r="BD2607" s="2829"/>
      <c r="BE2607" s="2837"/>
      <c r="BF2607" s="156"/>
    </row>
    <row r="2608" spans="1:58" ht="15" customHeight="1" outlineLevel="1" x14ac:dyDescent="0.35">
      <c r="A2608" s="1664"/>
      <c r="B2608" s="2812"/>
      <c r="C2608" s="3077"/>
      <c r="D2608" s="3980"/>
      <c r="E2608" s="3883"/>
      <c r="F2608" s="3984" t="str">
        <f>$E$1712</f>
        <v>ASHP-SEER21-Replace_CAC_ElectricHeat_ER2_MF_CompE</v>
      </c>
      <c r="G2608" s="3984"/>
      <c r="H2608" s="3984"/>
      <c r="I2608" s="3984"/>
      <c r="J2608" s="3501" t="str">
        <f>$C$1712</f>
        <v>353601_2019_12_</v>
      </c>
      <c r="K2608" s="3052">
        <v>9.4</v>
      </c>
      <c r="L2608" s="2822"/>
      <c r="M2608" s="3025" t="s">
        <v>1083</v>
      </c>
      <c r="N2608" s="106"/>
      <c r="O2608" s="106"/>
      <c r="P2608" s="702"/>
      <c r="Q2608" s="574"/>
      <c r="R2608" s="702"/>
      <c r="S2608" s="106"/>
      <c r="T2608" s="486"/>
      <c r="U2608" s="106"/>
      <c r="V2608" s="4184"/>
      <c r="W2608" s="3421"/>
      <c r="X2608" s="3421"/>
      <c r="Y2608" s="2374">
        <v>9.4</v>
      </c>
      <c r="Z2608" s="3421">
        <v>9.4</v>
      </c>
      <c r="AA2608" s="3421">
        <v>9.4</v>
      </c>
      <c r="AB2608" s="3421">
        <v>9.4</v>
      </c>
      <c r="AC2608" s="2920">
        <v>9.4</v>
      </c>
      <c r="AD2608" s="583">
        <v>9.4</v>
      </c>
      <c r="AE2608" s="3429"/>
      <c r="AF2608" s="3421"/>
      <c r="AG2608" s="3421"/>
      <c r="AH2608" s="156"/>
      <c r="AI2608" s="156"/>
      <c r="AJ2608" s="156"/>
      <c r="AK2608" s="156"/>
      <c r="AL2608" s="156"/>
      <c r="AM2608" s="156"/>
      <c r="AN2608" s="156"/>
      <c r="AO2608" s="156"/>
      <c r="AP2608" s="156"/>
      <c r="AQ2608" s="156"/>
      <c r="AR2608" s="156"/>
      <c r="AS2608" s="156"/>
      <c r="AT2608" s="156"/>
      <c r="AU2608" s="156"/>
      <c r="AV2608" s="156"/>
      <c r="AW2608" s="156"/>
      <c r="AX2608" s="156"/>
      <c r="AY2608" s="156"/>
      <c r="AZ2608" s="156"/>
      <c r="BA2608" s="156"/>
      <c r="BB2608" s="2828"/>
      <c r="BC2608" s="452"/>
      <c r="BD2608" s="2829"/>
      <c r="BE2608" s="2837"/>
      <c r="BF2608" s="156"/>
    </row>
    <row r="2609" spans="1:58" ht="15" customHeight="1" outlineLevel="1" x14ac:dyDescent="0.35">
      <c r="A2609" s="1664"/>
      <c r="B2609" s="2812"/>
      <c r="C2609" s="3077"/>
      <c r="D2609" s="3980"/>
      <c r="E2609" s="3883"/>
      <c r="F2609" s="3984" t="str">
        <f>$E$1714</f>
        <v>ASHP-SEER21-Replace_CAC_NonElectricHeat_ER1_MF</v>
      </c>
      <c r="G2609" s="3984"/>
      <c r="H2609" s="3984"/>
      <c r="I2609" s="3984"/>
      <c r="J2609" s="3501" t="str">
        <f>$C$1714</f>
        <v>353610_2021_12_</v>
      </c>
      <c r="K2609" s="3052">
        <v>9.4</v>
      </c>
      <c r="L2609" s="2822"/>
      <c r="M2609" s="3025" t="s">
        <v>1083</v>
      </c>
      <c r="N2609" s="106"/>
      <c r="O2609" s="106"/>
      <c r="P2609" s="702"/>
      <c r="Q2609" s="574"/>
      <c r="R2609" s="702"/>
      <c r="S2609" s="106"/>
      <c r="T2609" s="486"/>
      <c r="U2609" s="106"/>
      <c r="V2609" s="4184"/>
      <c r="W2609" s="3421"/>
      <c r="X2609" s="3421"/>
      <c r="Y2609" s="2374"/>
      <c r="Z2609" s="3421"/>
      <c r="AA2609" s="3421"/>
      <c r="AB2609" s="3421"/>
      <c r="AC2609" s="2919">
        <v>9.4</v>
      </c>
      <c r="AD2609" s="583">
        <v>9.4</v>
      </c>
      <c r="AE2609" s="3429"/>
      <c r="AF2609" s="3421"/>
      <c r="AG2609" s="3421"/>
      <c r="AH2609" s="156"/>
      <c r="AI2609" s="156"/>
      <c r="AJ2609" s="156"/>
      <c r="AK2609" s="156"/>
      <c r="AL2609" s="156"/>
      <c r="AM2609" s="156"/>
      <c r="AN2609" s="156"/>
      <c r="AO2609" s="156"/>
      <c r="AP2609" s="156"/>
      <c r="AQ2609" s="156"/>
      <c r="AR2609" s="156"/>
      <c r="AS2609" s="156"/>
      <c r="AT2609" s="156"/>
      <c r="AU2609" s="156"/>
      <c r="AV2609" s="156"/>
      <c r="AW2609" s="156"/>
      <c r="AX2609" s="156"/>
      <c r="AY2609" s="156"/>
      <c r="AZ2609" s="156"/>
      <c r="BA2609" s="156"/>
      <c r="BB2609" s="2828"/>
      <c r="BC2609" s="452"/>
      <c r="BD2609" s="2829"/>
      <c r="BE2609" s="2837"/>
      <c r="BF2609" s="156"/>
    </row>
    <row r="2610" spans="1:58" ht="15" customHeight="1" outlineLevel="1" x14ac:dyDescent="0.35">
      <c r="A2610" s="1664"/>
      <c r="B2610" s="2812"/>
      <c r="C2610" s="3077"/>
      <c r="D2610" s="3980"/>
      <c r="E2610" s="3883"/>
      <c r="F2610" s="3984" t="str">
        <f>$E$1716</f>
        <v>ASHP-SEER21-Replace_CAC_NonElectricHeat_ER2_MF</v>
      </c>
      <c r="G2610" s="3984"/>
      <c r="H2610" s="3984"/>
      <c r="I2610" s="3984"/>
      <c r="J2610" s="3501" t="str">
        <f>$C$1716</f>
        <v>353610_2021_12_</v>
      </c>
      <c r="K2610" s="3052">
        <v>9.4</v>
      </c>
      <c r="L2610" s="2822"/>
      <c r="M2610" s="3025" t="s">
        <v>1083</v>
      </c>
      <c r="N2610" s="106"/>
      <c r="O2610" s="106"/>
      <c r="P2610" s="702"/>
      <c r="Q2610" s="574"/>
      <c r="R2610" s="702"/>
      <c r="S2610" s="106"/>
      <c r="T2610" s="486"/>
      <c r="U2610" s="106"/>
      <c r="V2610" s="4184"/>
      <c r="W2610" s="3421"/>
      <c r="X2610" s="3421"/>
      <c r="Y2610" s="2374"/>
      <c r="Z2610" s="3421"/>
      <c r="AA2610" s="3421"/>
      <c r="AB2610" s="3421"/>
      <c r="AC2610" s="2919">
        <v>9.4</v>
      </c>
      <c r="AD2610" s="583">
        <v>9.4</v>
      </c>
      <c r="AE2610" s="3429"/>
      <c r="AF2610" s="3421"/>
      <c r="AG2610" s="3421"/>
      <c r="AH2610" s="156"/>
      <c r="AI2610" s="156"/>
      <c r="AJ2610" s="156"/>
      <c r="AK2610" s="156"/>
      <c r="AL2610" s="156"/>
      <c r="AM2610" s="156"/>
      <c r="AN2610" s="156"/>
      <c r="AO2610" s="156"/>
      <c r="AP2610" s="156"/>
      <c r="AQ2610" s="156"/>
      <c r="AR2610" s="156"/>
      <c r="AS2610" s="156"/>
      <c r="AT2610" s="156"/>
      <c r="AU2610" s="156"/>
      <c r="AV2610" s="156"/>
      <c r="AW2610" s="156"/>
      <c r="AX2610" s="156"/>
      <c r="AY2610" s="156"/>
      <c r="AZ2610" s="156"/>
      <c r="BA2610" s="156"/>
      <c r="BB2610" s="2828"/>
      <c r="BC2610" s="452"/>
      <c r="BD2610" s="2829"/>
      <c r="BE2610" s="2837"/>
      <c r="BF2610" s="156"/>
    </row>
    <row r="2611" spans="1:58" ht="15" customHeight="1" outlineLevel="1" x14ac:dyDescent="0.35">
      <c r="A2611" s="1664"/>
      <c r="B2611" s="2812"/>
      <c r="C2611" s="3077"/>
      <c r="D2611" s="3980"/>
      <c r="E2611" s="3883"/>
      <c r="F2611" s="3984" t="str">
        <f>$E$1718</f>
        <v>ASHP-SEER21-Replace_CAC_NonElectricHeat_ER1_MF_CompE</v>
      </c>
      <c r="G2611" s="3984"/>
      <c r="H2611" s="3984"/>
      <c r="I2611" s="3984"/>
      <c r="J2611" s="3501" t="str">
        <f>$C$1718</f>
        <v>353611_2021_12_</v>
      </c>
      <c r="K2611" s="3052">
        <v>9.4</v>
      </c>
      <c r="L2611" s="2822"/>
      <c r="M2611" s="3025" t="s">
        <v>1083</v>
      </c>
      <c r="N2611" s="106"/>
      <c r="O2611" s="106"/>
      <c r="P2611" s="702"/>
      <c r="Q2611" s="574"/>
      <c r="R2611" s="702"/>
      <c r="S2611" s="106"/>
      <c r="T2611" s="486"/>
      <c r="U2611" s="106"/>
      <c r="V2611" s="4184"/>
      <c r="W2611" s="3421"/>
      <c r="X2611" s="3421"/>
      <c r="Y2611" s="2374"/>
      <c r="Z2611" s="3421"/>
      <c r="AA2611" s="3421"/>
      <c r="AB2611" s="3421"/>
      <c r="AC2611" s="2919">
        <v>9.4</v>
      </c>
      <c r="AD2611" s="583">
        <v>9.4</v>
      </c>
      <c r="AE2611" s="3429"/>
      <c r="AF2611" s="3421"/>
      <c r="AG2611" s="3421"/>
      <c r="AH2611" s="156"/>
      <c r="AI2611" s="156"/>
      <c r="AJ2611" s="156"/>
      <c r="AK2611" s="156"/>
      <c r="AL2611" s="156"/>
      <c r="AM2611" s="156"/>
      <c r="AN2611" s="156"/>
      <c r="AO2611" s="156"/>
      <c r="AP2611" s="156"/>
      <c r="AQ2611" s="156"/>
      <c r="AR2611" s="156"/>
      <c r="AS2611" s="156"/>
      <c r="AT2611" s="156"/>
      <c r="AU2611" s="156"/>
      <c r="AV2611" s="156"/>
      <c r="AW2611" s="156"/>
      <c r="AX2611" s="156"/>
      <c r="AY2611" s="156"/>
      <c r="AZ2611" s="156"/>
      <c r="BA2611" s="156"/>
      <c r="BB2611" s="2828"/>
      <c r="BC2611" s="452"/>
      <c r="BD2611" s="2829"/>
      <c r="BE2611" s="2837"/>
      <c r="BF2611" s="156"/>
    </row>
    <row r="2612" spans="1:58" ht="15" customHeight="1" outlineLevel="1" x14ac:dyDescent="0.35">
      <c r="A2612" s="1664"/>
      <c r="B2612" s="2812"/>
      <c r="C2612" s="3077"/>
      <c r="D2612" s="3980"/>
      <c r="E2612" s="3883"/>
      <c r="F2612" s="3984" t="str">
        <f>$E$1720</f>
        <v>ASHP-SEER21-Replace_CAC_NonElectricHeat_ER2_MF_CompE</v>
      </c>
      <c r="G2612" s="3984"/>
      <c r="H2612" s="3984"/>
      <c r="I2612" s="3984"/>
      <c r="J2612" s="3501" t="str">
        <f>$C$1720</f>
        <v>353611_2021_12_</v>
      </c>
      <c r="K2612" s="3052">
        <v>9.4</v>
      </c>
      <c r="L2612" s="2822"/>
      <c r="M2612" s="3025" t="s">
        <v>1083</v>
      </c>
      <c r="N2612" s="106"/>
      <c r="O2612" s="106"/>
      <c r="P2612" s="702"/>
      <c r="Q2612" s="574"/>
      <c r="R2612" s="702"/>
      <c r="S2612" s="106"/>
      <c r="T2612" s="486"/>
      <c r="U2612" s="106"/>
      <c r="V2612" s="4184"/>
      <c r="W2612" s="3421"/>
      <c r="X2612" s="3421"/>
      <c r="Y2612" s="2374"/>
      <c r="Z2612" s="3421"/>
      <c r="AA2612" s="3421"/>
      <c r="AB2612" s="3421"/>
      <c r="AC2612" s="2919">
        <v>9.4</v>
      </c>
      <c r="AD2612" s="583">
        <v>9.4</v>
      </c>
      <c r="AE2612" s="3429"/>
      <c r="AF2612" s="3421"/>
      <c r="AG2612" s="3421"/>
      <c r="AH2612" s="156"/>
      <c r="AI2612" s="156"/>
      <c r="AJ2612" s="156"/>
      <c r="AK2612" s="156"/>
      <c r="AL2612" s="156"/>
      <c r="AM2612" s="156"/>
      <c r="AN2612" s="156"/>
      <c r="AO2612" s="156"/>
      <c r="AP2612" s="156"/>
      <c r="AQ2612" s="156"/>
      <c r="AR2612" s="156"/>
      <c r="AS2612" s="156"/>
      <c r="AT2612" s="156"/>
      <c r="AU2612" s="156"/>
      <c r="AV2612" s="156"/>
      <c r="AW2612" s="156"/>
      <c r="AX2612" s="156"/>
      <c r="AY2612" s="156"/>
      <c r="AZ2612" s="156"/>
      <c r="BA2612" s="156"/>
      <c r="BB2612" s="2828"/>
      <c r="BC2612" s="452"/>
      <c r="BD2612" s="2829"/>
      <c r="BE2612" s="2837"/>
      <c r="BF2612" s="156"/>
    </row>
    <row r="2613" spans="1:58" ht="15" customHeight="1" outlineLevel="1" x14ac:dyDescent="0.35">
      <c r="A2613" s="1664"/>
      <c r="B2613" s="2812"/>
      <c r="C2613" s="3077"/>
      <c r="D2613" s="3980"/>
      <c r="E2613" s="3883"/>
      <c r="F2613" s="3984" t="str">
        <f>$E$1722</f>
        <v>ASHP-SEER21-Replace_CAC_ElectricHeat_ROF_SF</v>
      </c>
      <c r="G2613" s="3984"/>
      <c r="H2613" s="3984"/>
      <c r="I2613" s="3984"/>
      <c r="J2613" s="3501" t="str">
        <f>$C$1722</f>
        <v>353650_2021_12_</v>
      </c>
      <c r="K2613" s="3050">
        <v>11</v>
      </c>
      <c r="L2613" s="2822"/>
      <c r="M2613" s="2819" t="s">
        <v>4360</v>
      </c>
      <c r="N2613" s="106"/>
      <c r="O2613" s="106"/>
      <c r="P2613" s="702"/>
      <c r="Q2613" s="574"/>
      <c r="R2613" s="702"/>
      <c r="S2613" s="106"/>
      <c r="T2613" s="486"/>
      <c r="U2613" s="106"/>
      <c r="V2613" s="4184"/>
      <c r="W2613" s="3421">
        <v>9.6999999999999993</v>
      </c>
      <c r="X2613" s="3421">
        <v>9.6999999999999993</v>
      </c>
      <c r="Y2613" s="3421">
        <v>9.6999999999999993</v>
      </c>
      <c r="Z2613" s="3421">
        <v>9.6999999999999993</v>
      </c>
      <c r="AA2613" s="3421">
        <v>9.6999999999999993</v>
      </c>
      <c r="AB2613" s="3421">
        <v>9.6999999999999993</v>
      </c>
      <c r="AC2613" s="2919">
        <v>10.5</v>
      </c>
      <c r="AD2613" s="3050">
        <v>11</v>
      </c>
      <c r="AE2613" s="3429"/>
      <c r="AF2613" s="3421"/>
      <c r="AG2613" s="3421"/>
      <c r="AH2613" s="156"/>
      <c r="AI2613" s="156"/>
      <c r="AJ2613" s="156"/>
      <c r="AK2613" s="156"/>
      <c r="AL2613" s="156"/>
      <c r="AM2613" s="156"/>
      <c r="AN2613" s="156"/>
      <c r="AO2613" s="156"/>
      <c r="AP2613" s="156"/>
      <c r="AQ2613" s="156"/>
      <c r="AR2613" s="156"/>
      <c r="AS2613" s="156"/>
      <c r="AT2613" s="156"/>
      <c r="AU2613" s="156"/>
      <c r="AV2613" s="156"/>
      <c r="AW2613" s="156"/>
      <c r="AX2613" s="156"/>
      <c r="AY2613" s="156"/>
      <c r="AZ2613" s="156"/>
      <c r="BA2613" s="156"/>
      <c r="BB2613" s="2828"/>
      <c r="BC2613" s="452"/>
      <c r="BD2613" s="2829"/>
      <c r="BE2613" s="2837"/>
      <c r="BF2613" s="156"/>
    </row>
    <row r="2614" spans="1:58" s="3398" customFormat="1" ht="15" customHeight="1" outlineLevel="1" x14ac:dyDescent="0.35">
      <c r="A2614" s="1664"/>
      <c r="B2614" s="2812"/>
      <c r="C2614" s="3077"/>
      <c r="D2614" s="3980"/>
      <c r="E2614" s="3883"/>
      <c r="F2614" s="4136" t="str">
        <f>$E$1724</f>
        <v>ASHP-SEER21-Replace_CAC_NonElectricHeat_ROF_SF</v>
      </c>
      <c r="G2614" s="4136"/>
      <c r="H2614" s="4136"/>
      <c r="I2614" s="4136"/>
      <c r="J2614" s="3502" t="str">
        <f>$C$1724</f>
        <v>353660_2022_12_</v>
      </c>
      <c r="K2614" s="3050">
        <v>11</v>
      </c>
      <c r="L2614" s="2822"/>
      <c r="M2614" s="2819" t="s">
        <v>1083</v>
      </c>
      <c r="P2614" s="702"/>
      <c r="Q2614" s="574"/>
      <c r="R2614" s="702"/>
      <c r="T2614" s="3397"/>
      <c r="V2614" s="4184"/>
      <c r="W2614" s="3421"/>
      <c r="X2614" s="2374"/>
      <c r="Y2614" s="2374"/>
      <c r="Z2614" s="3421"/>
      <c r="AA2614" s="3421"/>
      <c r="AB2614" s="584"/>
      <c r="AC2614" s="2919"/>
      <c r="AD2614" s="3050">
        <v>11</v>
      </c>
      <c r="AE2614" s="3429"/>
      <c r="AF2614" s="3421"/>
      <c r="AG2614" s="3421"/>
      <c r="AH2614" s="156"/>
      <c r="AI2614" s="156"/>
      <c r="AJ2614" s="156"/>
      <c r="AK2614" s="156"/>
      <c r="AL2614" s="156"/>
      <c r="AM2614" s="156"/>
      <c r="AN2614" s="156"/>
      <c r="AO2614" s="156"/>
      <c r="AP2614" s="156"/>
      <c r="AQ2614" s="156"/>
      <c r="AR2614" s="156"/>
      <c r="AS2614" s="156"/>
      <c r="AT2614" s="156"/>
      <c r="AU2614" s="156"/>
      <c r="AV2614" s="156"/>
      <c r="AW2614" s="156"/>
      <c r="AX2614" s="156"/>
      <c r="AY2614" s="156"/>
      <c r="AZ2614" s="156"/>
      <c r="BA2614" s="156"/>
      <c r="BB2614" s="2828"/>
      <c r="BC2614" s="452"/>
      <c r="BD2614" s="2829"/>
      <c r="BE2614" s="2837"/>
      <c r="BF2614" s="156"/>
    </row>
    <row r="2615" spans="1:58" ht="15" customHeight="1" outlineLevel="1" x14ac:dyDescent="0.35">
      <c r="A2615" s="1071"/>
      <c r="B2615" s="2812"/>
      <c r="C2615" s="3077"/>
      <c r="D2615" s="3980"/>
      <c r="E2615" s="3883"/>
      <c r="F2615" s="3984" t="str">
        <f>$E$1726</f>
        <v>ASHP-SEER21+-Replace_CAC_ElectricHeat_ROF_MF</v>
      </c>
      <c r="G2615" s="3984"/>
      <c r="H2615" s="3984"/>
      <c r="I2615" s="3984"/>
      <c r="J2615" s="3501" t="str">
        <f>$C$1726</f>
        <v>353700_2019_12_</v>
      </c>
      <c r="K2615" s="3052">
        <v>9.6999999999999993</v>
      </c>
      <c r="L2615" s="2822"/>
      <c r="M2615" s="3025" t="s">
        <v>1506</v>
      </c>
      <c r="N2615" s="106"/>
      <c r="O2615" s="106"/>
      <c r="P2615" s="106"/>
      <c r="Q2615" s="106"/>
      <c r="R2615" s="106"/>
      <c r="S2615" s="106"/>
      <c r="T2615" s="106"/>
      <c r="U2615" s="106"/>
      <c r="V2615" s="4184"/>
      <c r="W2615" s="3421">
        <v>9.6999999999999993</v>
      </c>
      <c r="X2615" s="3421">
        <v>9.6999999999999993</v>
      </c>
      <c r="Y2615" s="3421">
        <v>9.6999999999999993</v>
      </c>
      <c r="Z2615" s="3421">
        <v>9.6999999999999993</v>
      </c>
      <c r="AA2615" s="3421">
        <v>9.6999999999999993</v>
      </c>
      <c r="AB2615" s="3421">
        <v>9.6999999999999993</v>
      </c>
      <c r="AC2615" s="2920">
        <v>9.6999999999999993</v>
      </c>
      <c r="AD2615" s="583">
        <v>9.6999999999999993</v>
      </c>
      <c r="AE2615" s="3429"/>
      <c r="AF2615" s="3421"/>
      <c r="AG2615" s="3421"/>
      <c r="AH2615" s="156"/>
      <c r="AI2615" s="156"/>
      <c r="AJ2615" s="156"/>
      <c r="AK2615" s="156"/>
      <c r="AL2615" s="156"/>
      <c r="AM2615" s="156"/>
      <c r="AN2615" s="156"/>
      <c r="AO2615" s="156"/>
      <c r="AP2615" s="156"/>
      <c r="AQ2615" s="156"/>
      <c r="AR2615" s="156"/>
      <c r="AS2615" s="156"/>
      <c r="AT2615" s="156"/>
      <c r="AU2615" s="156"/>
      <c r="AV2615" s="156"/>
      <c r="AW2615" s="156"/>
      <c r="AX2615" s="156"/>
      <c r="AY2615" s="156"/>
      <c r="AZ2615" s="156"/>
      <c r="BA2615" s="156"/>
      <c r="BB2615" s="2828"/>
      <c r="BC2615" s="452"/>
      <c r="BD2615" s="2829"/>
      <c r="BE2615" s="2837"/>
      <c r="BF2615" s="156"/>
    </row>
    <row r="2616" spans="1:58" ht="15" customHeight="1" outlineLevel="1" x14ac:dyDescent="0.35">
      <c r="A2616" s="1071"/>
      <c r="B2616" s="2812"/>
      <c r="C2616" s="3077"/>
      <c r="D2616" s="3980"/>
      <c r="E2616" s="3883"/>
      <c r="F2616" s="3984" t="str">
        <f>$E$1728</f>
        <v>ASHP-SEER21+-Replace_CAC_ElectricHeat_ROF_MF_CompE</v>
      </c>
      <c r="G2616" s="3984"/>
      <c r="H2616" s="3984"/>
      <c r="I2616" s="3984"/>
      <c r="J2616" s="3501" t="str">
        <f>$C$1728</f>
        <v>353701_2019_12_</v>
      </c>
      <c r="K2616" s="3052">
        <v>9.6999999999999993</v>
      </c>
      <c r="L2616" s="2822"/>
      <c r="M2616" s="3025"/>
      <c r="N2616" s="106"/>
      <c r="O2616" s="106"/>
      <c r="P2616" s="106"/>
      <c r="Q2616" s="106"/>
      <c r="R2616" s="106"/>
      <c r="S2616" s="106"/>
      <c r="T2616" s="106"/>
      <c r="U2616" s="106"/>
      <c r="V2616" s="4184"/>
      <c r="W2616" s="3421"/>
      <c r="X2616" s="3421"/>
      <c r="Y2616" s="2374">
        <v>9.6999999999999993</v>
      </c>
      <c r="Z2616" s="3421">
        <v>9.6999999999999993</v>
      </c>
      <c r="AA2616" s="3421">
        <v>9.6999999999999993</v>
      </c>
      <c r="AB2616" s="3421">
        <v>9.6999999999999993</v>
      </c>
      <c r="AC2616" s="2920">
        <v>9.6999999999999993</v>
      </c>
      <c r="AD2616" s="583">
        <v>9.6999999999999993</v>
      </c>
      <c r="AE2616" s="3429"/>
      <c r="AF2616" s="3421"/>
      <c r="AG2616" s="3421"/>
      <c r="AH2616" s="156"/>
      <c r="AI2616" s="156"/>
      <c r="AJ2616" s="156"/>
      <c r="AK2616" s="156"/>
      <c r="AL2616" s="156"/>
      <c r="AM2616" s="156"/>
      <c r="AN2616" s="156"/>
      <c r="AO2616" s="156"/>
      <c r="AP2616" s="156"/>
      <c r="AQ2616" s="156"/>
      <c r="AR2616" s="156"/>
      <c r="AS2616" s="156"/>
      <c r="AT2616" s="156"/>
      <c r="AU2616" s="156"/>
      <c r="AV2616" s="156"/>
      <c r="AW2616" s="156"/>
      <c r="AX2616" s="156"/>
      <c r="AY2616" s="156"/>
      <c r="AZ2616" s="156"/>
      <c r="BA2616" s="156"/>
      <c r="BB2616" s="2828"/>
      <c r="BC2616" s="452"/>
      <c r="BD2616" s="2829"/>
      <c r="BE2616" s="2837"/>
      <c r="BF2616" s="156"/>
    </row>
    <row r="2617" spans="1:58" ht="15" customHeight="1" outlineLevel="1" x14ac:dyDescent="0.35">
      <c r="A2617" s="1071"/>
      <c r="B2617" s="2812"/>
      <c r="C2617" s="3077"/>
      <c r="D2617" s="3980"/>
      <c r="E2617" s="3883"/>
      <c r="F2617" s="3984" t="str">
        <f>$E$1730</f>
        <v>ASHP-SEER21+-Replace_CAC_NonElectricHeat_ROF_MF</v>
      </c>
      <c r="G2617" s="3984"/>
      <c r="H2617" s="3984"/>
      <c r="I2617" s="3984"/>
      <c r="J2617" s="3501" t="str">
        <f>$C$1730</f>
        <v>353710_2021_12_</v>
      </c>
      <c r="K2617" s="3052">
        <v>9.6999999999999993</v>
      </c>
      <c r="L2617" s="2822"/>
      <c r="M2617" s="3025" t="s">
        <v>1083</v>
      </c>
      <c r="N2617" s="106"/>
      <c r="O2617" s="106"/>
      <c r="P2617" s="106"/>
      <c r="Q2617" s="106"/>
      <c r="R2617" s="106"/>
      <c r="S2617" s="106"/>
      <c r="T2617" s="106"/>
      <c r="U2617" s="106"/>
      <c r="V2617" s="4184"/>
      <c r="W2617" s="3421"/>
      <c r="X2617" s="3421"/>
      <c r="Y2617" s="2374"/>
      <c r="Z2617" s="3421"/>
      <c r="AA2617" s="3421"/>
      <c r="AB2617" s="3421"/>
      <c r="AC2617" s="2919">
        <v>9.6999999999999993</v>
      </c>
      <c r="AD2617" s="583">
        <v>9.6999999999999993</v>
      </c>
      <c r="AE2617" s="3429"/>
      <c r="AF2617" s="3421"/>
      <c r="AG2617" s="3421"/>
      <c r="AH2617" s="156"/>
      <c r="AI2617" s="156"/>
      <c r="AJ2617" s="156"/>
      <c r="AK2617" s="156"/>
      <c r="AL2617" s="156"/>
      <c r="AM2617" s="156"/>
      <c r="AN2617" s="156"/>
      <c r="AO2617" s="156"/>
      <c r="AP2617" s="156"/>
      <c r="AQ2617" s="156"/>
      <c r="AR2617" s="156"/>
      <c r="AS2617" s="156"/>
      <c r="AT2617" s="156"/>
      <c r="AU2617" s="156"/>
      <c r="AV2617" s="156"/>
      <c r="AW2617" s="156"/>
      <c r="AX2617" s="156"/>
      <c r="AY2617" s="156"/>
      <c r="AZ2617" s="156"/>
      <c r="BA2617" s="156"/>
      <c r="BB2617" s="2828"/>
      <c r="BC2617" s="452"/>
      <c r="BD2617" s="2829"/>
      <c r="BE2617" s="2837"/>
      <c r="BF2617" s="156"/>
    </row>
    <row r="2618" spans="1:58" ht="15" customHeight="1" outlineLevel="1" x14ac:dyDescent="0.35">
      <c r="A2618" s="1071"/>
      <c r="B2618" s="2812"/>
      <c r="C2618" s="3077"/>
      <c r="D2618" s="3980"/>
      <c r="E2618" s="3883"/>
      <c r="F2618" s="3984" t="str">
        <f>$E$1732</f>
        <v>ASHP-SEER21+-Replace_CAC_NonElectricHeat_ROF_MF_CompE</v>
      </c>
      <c r="G2618" s="3984"/>
      <c r="H2618" s="3984"/>
      <c r="I2618" s="3984"/>
      <c r="J2618" s="3501" t="str">
        <f>$C$1732</f>
        <v>353711_2021_12_</v>
      </c>
      <c r="K2618" s="3052">
        <v>9.6999999999999993</v>
      </c>
      <c r="L2618" s="2822"/>
      <c r="M2618" s="3025" t="s">
        <v>1083</v>
      </c>
      <c r="N2618" s="106"/>
      <c r="O2618" s="106"/>
      <c r="P2618" s="106"/>
      <c r="Q2618" s="106"/>
      <c r="R2618" s="106"/>
      <c r="S2618" s="106"/>
      <c r="T2618" s="106"/>
      <c r="U2618" s="106"/>
      <c r="V2618" s="4184"/>
      <c r="W2618" s="3421"/>
      <c r="X2618" s="3421"/>
      <c r="Y2618" s="2374"/>
      <c r="Z2618" s="3421"/>
      <c r="AA2618" s="3421"/>
      <c r="AB2618" s="3421"/>
      <c r="AC2618" s="2919">
        <v>9.6999999999999993</v>
      </c>
      <c r="AD2618" s="583">
        <v>9.6999999999999993</v>
      </c>
      <c r="AE2618" s="3429"/>
      <c r="AF2618" s="3421"/>
      <c r="AG2618" s="3421"/>
      <c r="AH2618" s="156"/>
      <c r="AI2618" s="156"/>
      <c r="AJ2618" s="156"/>
      <c r="AK2618" s="156"/>
      <c r="AL2618" s="156"/>
      <c r="AM2618" s="156"/>
      <c r="AN2618" s="156"/>
      <c r="AO2618" s="156"/>
      <c r="AP2618" s="156"/>
      <c r="AQ2618" s="156"/>
      <c r="AR2618" s="156"/>
      <c r="AS2618" s="156"/>
      <c r="AT2618" s="156"/>
      <c r="AU2618" s="156"/>
      <c r="AV2618" s="156"/>
      <c r="AW2618" s="156"/>
      <c r="AX2618" s="156"/>
      <c r="AY2618" s="156"/>
      <c r="AZ2618" s="156"/>
      <c r="BA2618" s="156"/>
      <c r="BB2618" s="2828"/>
      <c r="BC2618" s="452"/>
      <c r="BD2618" s="2829"/>
      <c r="BE2618" s="2837"/>
      <c r="BF2618" s="156"/>
    </row>
    <row r="2619" spans="1:58" ht="15" customHeight="1" outlineLevel="1" x14ac:dyDescent="0.35">
      <c r="A2619" s="1664"/>
      <c r="B2619" s="2812"/>
      <c r="C2619" s="3077"/>
      <c r="D2619" s="3980"/>
      <c r="E2619" s="3883"/>
      <c r="F2619" s="3984" t="str">
        <f>$E$1734</f>
        <v>ASHP-SEER17_ER1_SF</v>
      </c>
      <c r="G2619" s="3984"/>
      <c r="H2619" s="3984"/>
      <c r="I2619" s="3984"/>
      <c r="J2619" s="3501" t="str">
        <f>$C$1734</f>
        <v>353750_2021_12_</v>
      </c>
      <c r="K2619" s="3050">
        <v>9.4631147540983651</v>
      </c>
      <c r="L2619" s="2822"/>
      <c r="M2619" s="2819" t="s">
        <v>4360</v>
      </c>
      <c r="N2619" s="106"/>
      <c r="O2619" s="106"/>
      <c r="P2619" s="702"/>
      <c r="Q2619" s="574"/>
      <c r="R2619" s="702"/>
      <c r="S2619" s="106"/>
      <c r="T2619" s="486"/>
      <c r="U2619" s="106"/>
      <c r="V2619" s="4184"/>
      <c r="W2619" s="3421">
        <v>9.5</v>
      </c>
      <c r="X2619" s="3421">
        <v>9.5</v>
      </c>
      <c r="Y2619" s="3421">
        <v>9.5</v>
      </c>
      <c r="Z2619" s="3421">
        <v>9.5</v>
      </c>
      <c r="AA2619" s="3421">
        <v>9.5</v>
      </c>
      <c r="AB2619" s="3421">
        <v>9.5</v>
      </c>
      <c r="AC2619" s="2919">
        <v>9.3857142857142861</v>
      </c>
      <c r="AD2619" s="3050">
        <v>9.4631147540983651</v>
      </c>
      <c r="AE2619" s="3429"/>
      <c r="AF2619" s="3421"/>
      <c r="AG2619" s="3421"/>
      <c r="AH2619" s="156"/>
      <c r="AI2619" s="156"/>
      <c r="AJ2619" s="156"/>
      <c r="AK2619" s="156"/>
      <c r="AL2619" s="156"/>
      <c r="AM2619" s="156"/>
      <c r="AN2619" s="156"/>
      <c r="AO2619" s="156"/>
      <c r="AP2619" s="156"/>
      <c r="AQ2619" s="156"/>
      <c r="AR2619" s="156"/>
      <c r="AS2619" s="156"/>
      <c r="AT2619" s="156"/>
      <c r="AU2619" s="156"/>
      <c r="AV2619" s="156"/>
      <c r="AW2619" s="156"/>
      <c r="AX2619" s="156"/>
      <c r="AY2619" s="156"/>
      <c r="AZ2619" s="156"/>
      <c r="BA2619" s="156"/>
      <c r="BB2619" s="2828"/>
      <c r="BC2619" s="452"/>
      <c r="BD2619" s="2829"/>
      <c r="BE2619" s="2837"/>
      <c r="BF2619" s="156"/>
    </row>
    <row r="2620" spans="1:58" ht="15" customHeight="1" outlineLevel="1" x14ac:dyDescent="0.35">
      <c r="A2620" s="1071"/>
      <c r="B2620" s="2812"/>
      <c r="C2620" s="3077"/>
      <c r="D2620" s="3980"/>
      <c r="E2620" s="3883"/>
      <c r="F2620" s="3984" t="str">
        <f>$E$1736</f>
        <v>ASHP-SEER17_ER2_SF</v>
      </c>
      <c r="G2620" s="3984"/>
      <c r="H2620" s="3984"/>
      <c r="I2620" s="3984"/>
      <c r="J2620" s="3501" t="str">
        <f>$C$1736</f>
        <v>353750_2021_12_</v>
      </c>
      <c r="K2620" s="3050">
        <v>9.4631147540983651</v>
      </c>
      <c r="L2620" s="2822"/>
      <c r="M2620" s="2819" t="s">
        <v>4360</v>
      </c>
      <c r="N2620" s="106"/>
      <c r="O2620" s="106"/>
      <c r="P2620" s="106"/>
      <c r="Q2620" s="106"/>
      <c r="R2620" s="106"/>
      <c r="S2620" s="106"/>
      <c r="T2620" s="106"/>
      <c r="U2620" s="106"/>
      <c r="V2620" s="4184"/>
      <c r="W2620" s="3421">
        <v>9.5</v>
      </c>
      <c r="X2620" s="3421">
        <v>9.5</v>
      </c>
      <c r="Y2620" s="3421">
        <v>9.5</v>
      </c>
      <c r="Z2620" s="3421">
        <v>9.5</v>
      </c>
      <c r="AA2620" s="3421">
        <v>9.5</v>
      </c>
      <c r="AB2620" s="3421">
        <v>9.5</v>
      </c>
      <c r="AC2620" s="2919">
        <f>AC2619</f>
        <v>9.3857142857142861</v>
      </c>
      <c r="AD2620" s="3050">
        <v>9.4631147540983651</v>
      </c>
      <c r="AE2620" s="3429"/>
      <c r="AF2620" s="3421"/>
      <c r="AG2620" s="3421"/>
      <c r="AH2620" s="156"/>
      <c r="AI2620" s="156"/>
      <c r="AJ2620" s="156"/>
      <c r="AK2620" s="156"/>
      <c r="AL2620" s="156"/>
      <c r="AM2620" s="156"/>
      <c r="AN2620" s="156"/>
      <c r="AO2620" s="156"/>
      <c r="AP2620" s="156"/>
      <c r="AQ2620" s="156"/>
      <c r="AR2620" s="156"/>
      <c r="AS2620" s="156"/>
      <c r="AT2620" s="156"/>
      <c r="AU2620" s="156"/>
      <c r="AV2620" s="156"/>
      <c r="AW2620" s="156"/>
      <c r="AX2620" s="156"/>
      <c r="AY2620" s="156"/>
      <c r="AZ2620" s="156"/>
      <c r="BA2620" s="156"/>
      <c r="BB2620" s="2828"/>
      <c r="BC2620" s="452"/>
      <c r="BD2620" s="2829"/>
      <c r="BE2620" s="2837"/>
      <c r="BF2620" s="156"/>
    </row>
    <row r="2621" spans="1:58" ht="15" customHeight="1" outlineLevel="1" x14ac:dyDescent="0.35">
      <c r="A2621" s="1664"/>
      <c r="B2621" s="2812"/>
      <c r="C2621" s="3077"/>
      <c r="D2621" s="3980"/>
      <c r="E2621" s="3883"/>
      <c r="F2621" s="3984" t="str">
        <f>$E$1738</f>
        <v>ASHP-SEER17_ROF_SF</v>
      </c>
      <c r="G2621" s="3984"/>
      <c r="H2621" s="3984"/>
      <c r="I2621" s="3984"/>
      <c r="J2621" s="3501" t="str">
        <f>$C$1738</f>
        <v>353800_2021_12_</v>
      </c>
      <c r="K2621" s="3050">
        <v>9.4181159420289866</v>
      </c>
      <c r="L2621" s="2822"/>
      <c r="M2621" s="2819" t="s">
        <v>4360</v>
      </c>
      <c r="N2621" s="106"/>
      <c r="O2621" s="106"/>
      <c r="P2621" s="702"/>
      <c r="Q2621" s="574"/>
      <c r="R2621" s="702"/>
      <c r="S2621" s="106"/>
      <c r="T2621" s="486"/>
      <c r="U2621" s="106"/>
      <c r="V2621" s="4184"/>
      <c r="W2621" s="3421">
        <v>9.8000000000000007</v>
      </c>
      <c r="X2621" s="3421">
        <v>9.8000000000000007</v>
      </c>
      <c r="Y2621" s="3421">
        <v>9.8000000000000007</v>
      </c>
      <c r="Z2621" s="3421">
        <v>9.8000000000000007</v>
      </c>
      <c r="AA2621" s="3421">
        <v>9.8000000000000007</v>
      </c>
      <c r="AB2621" s="3421">
        <v>9.8000000000000007</v>
      </c>
      <c r="AC2621" s="2919">
        <v>9.6047619047619044</v>
      </c>
      <c r="AD2621" s="3050">
        <v>9.4181159420289866</v>
      </c>
      <c r="AE2621" s="3429"/>
      <c r="AF2621" s="3421"/>
      <c r="AG2621" s="3421"/>
      <c r="AH2621" s="156"/>
      <c r="AI2621" s="156"/>
      <c r="AJ2621" s="156"/>
      <c r="AK2621" s="156"/>
      <c r="AL2621" s="156"/>
      <c r="AM2621" s="156"/>
      <c r="AN2621" s="156"/>
      <c r="AO2621" s="156"/>
      <c r="AP2621" s="156"/>
      <c r="AQ2621" s="156"/>
      <c r="AR2621" s="156"/>
      <c r="AS2621" s="156"/>
      <c r="AT2621" s="156"/>
      <c r="AU2621" s="156"/>
      <c r="AV2621" s="156"/>
      <c r="AW2621" s="156"/>
      <c r="AX2621" s="156"/>
      <c r="AY2621" s="156"/>
      <c r="AZ2621" s="156"/>
      <c r="BA2621" s="156"/>
      <c r="BB2621" s="2828"/>
      <c r="BC2621" s="452"/>
      <c r="BD2621" s="2829"/>
      <c r="BE2621" s="2837"/>
      <c r="BF2621" s="156"/>
    </row>
    <row r="2622" spans="1:58" ht="15" customHeight="1" outlineLevel="1" x14ac:dyDescent="0.35">
      <c r="A2622" s="1071"/>
      <c r="B2622" s="2812"/>
      <c r="C2622" s="3077"/>
      <c r="D2622" s="3980"/>
      <c r="E2622" s="3883"/>
      <c r="F2622" s="3984" t="str">
        <f>$E$1740</f>
        <v>ASHP-SEER18_ER1_SF</v>
      </c>
      <c r="G2622" s="3984"/>
      <c r="H2622" s="3984"/>
      <c r="I2622" s="3984"/>
      <c r="J2622" s="3501" t="str">
        <f>$C$1740</f>
        <v>353850_2021_12_</v>
      </c>
      <c r="K2622" s="3050">
        <v>10.124561403508777</v>
      </c>
      <c r="L2622" s="2822"/>
      <c r="M2622" s="2819" t="s">
        <v>4360</v>
      </c>
      <c r="N2622" s="106"/>
      <c r="O2622" s="106"/>
      <c r="P2622" s="106"/>
      <c r="Q2622" s="106"/>
      <c r="R2622" s="106"/>
      <c r="S2622" s="106"/>
      <c r="T2622" s="106"/>
      <c r="U2622" s="106"/>
      <c r="V2622" s="4184"/>
      <c r="W2622" s="3421">
        <v>9.5</v>
      </c>
      <c r="X2622" s="3421">
        <v>9.5</v>
      </c>
      <c r="Y2622" s="3421">
        <v>9.5</v>
      </c>
      <c r="Z2622" s="3421">
        <v>9.5</v>
      </c>
      <c r="AA2622" s="3421">
        <v>9.5</v>
      </c>
      <c r="AB2622" s="681">
        <v>9.6830769230769231</v>
      </c>
      <c r="AC2622" s="2919">
        <v>9.9742424242424281</v>
      </c>
      <c r="AD2622" s="3050">
        <v>10.124561403508777</v>
      </c>
      <c r="AE2622" s="3429"/>
      <c r="AF2622" s="3421"/>
      <c r="AG2622" s="3421"/>
      <c r="AH2622" s="156"/>
      <c r="AI2622" s="156"/>
      <c r="AJ2622" s="156"/>
      <c r="AK2622" s="156"/>
      <c r="AL2622" s="156"/>
      <c r="AM2622" s="156"/>
      <c r="AN2622" s="156"/>
      <c r="AO2622" s="156"/>
      <c r="AP2622" s="156"/>
      <c r="AQ2622" s="156"/>
      <c r="AR2622" s="156"/>
      <c r="AS2622" s="156"/>
      <c r="AT2622" s="156"/>
      <c r="AU2622" s="156"/>
      <c r="AV2622" s="156"/>
      <c r="AW2622" s="156"/>
      <c r="AX2622" s="156"/>
      <c r="AY2622" s="156"/>
      <c r="AZ2622" s="156"/>
      <c r="BA2622" s="156"/>
      <c r="BB2622" s="2828"/>
      <c r="BC2622" s="452"/>
      <c r="BD2622" s="2829"/>
      <c r="BE2622" s="2837"/>
      <c r="BF2622" s="156"/>
    </row>
    <row r="2623" spans="1:58" ht="15" customHeight="1" outlineLevel="1" x14ac:dyDescent="0.35">
      <c r="A2623" s="1071"/>
      <c r="B2623" s="2812"/>
      <c r="C2623" s="3077"/>
      <c r="D2623" s="3980"/>
      <c r="E2623" s="3883"/>
      <c r="F2623" s="3984" t="str">
        <f>$E$1742</f>
        <v>ASHP-SEER18_ER2_SF</v>
      </c>
      <c r="G2623" s="3984"/>
      <c r="H2623" s="3984"/>
      <c r="I2623" s="3984"/>
      <c r="J2623" s="3501" t="str">
        <f>$C$1742</f>
        <v>353850_2021_12_</v>
      </c>
      <c r="K2623" s="3050">
        <v>10.124561403508777</v>
      </c>
      <c r="L2623" s="2822"/>
      <c r="M2623" s="2819" t="s">
        <v>4360</v>
      </c>
      <c r="N2623" s="106"/>
      <c r="O2623" s="106"/>
      <c r="P2623" s="106"/>
      <c r="Q2623" s="106"/>
      <c r="R2623" s="106"/>
      <c r="S2623" s="106"/>
      <c r="T2623" s="106"/>
      <c r="U2623" s="106"/>
      <c r="V2623" s="4184"/>
      <c r="W2623" s="3421">
        <v>9.5</v>
      </c>
      <c r="X2623" s="3421">
        <v>9.5</v>
      </c>
      <c r="Y2623" s="3421">
        <v>9.5</v>
      </c>
      <c r="Z2623" s="3421">
        <v>9.5</v>
      </c>
      <c r="AA2623" s="3421">
        <v>9.5</v>
      </c>
      <c r="AB2623" s="681">
        <v>9.6830769230769231</v>
      </c>
      <c r="AC2623" s="2919">
        <f>AC2622</f>
        <v>9.9742424242424281</v>
      </c>
      <c r="AD2623" s="3050">
        <v>10.124561403508777</v>
      </c>
      <c r="AE2623" s="3429"/>
      <c r="AF2623" s="3421"/>
      <c r="AG2623" s="3421"/>
      <c r="AH2623" s="156"/>
      <c r="AI2623" s="156"/>
      <c r="AJ2623" s="156"/>
      <c r="AK2623" s="156"/>
      <c r="AL2623" s="156"/>
      <c r="AM2623" s="156"/>
      <c r="AN2623" s="156"/>
      <c r="AO2623" s="156"/>
      <c r="AP2623" s="156"/>
      <c r="AQ2623" s="156"/>
      <c r="AR2623" s="156"/>
      <c r="AS2623" s="156"/>
      <c r="AT2623" s="156"/>
      <c r="AU2623" s="156"/>
      <c r="AV2623" s="156"/>
      <c r="AW2623" s="156"/>
      <c r="AX2623" s="156"/>
      <c r="AY2623" s="156"/>
      <c r="AZ2623" s="156"/>
      <c r="BA2623" s="156"/>
      <c r="BB2623" s="2828"/>
      <c r="BC2623" s="452"/>
      <c r="BD2623" s="2829"/>
      <c r="BE2623" s="2837"/>
      <c r="BF2623" s="156"/>
    </row>
    <row r="2624" spans="1:58" ht="15" customHeight="1" outlineLevel="1" x14ac:dyDescent="0.35">
      <c r="A2624" s="1664"/>
      <c r="B2624" s="2812"/>
      <c r="C2624" s="3077"/>
      <c r="D2624" s="3980"/>
      <c r="E2624" s="3883"/>
      <c r="F2624" s="3984" t="str">
        <f>$E$1744</f>
        <v>ASHP-SEER18_ROF_SF</v>
      </c>
      <c r="G2624" s="3984"/>
      <c r="H2624" s="3984"/>
      <c r="I2624" s="3984"/>
      <c r="J2624" s="3501" t="str">
        <f>$C$1744</f>
        <v>353950_2021_12_</v>
      </c>
      <c r="K2624" s="3050">
        <v>10.148936170212766</v>
      </c>
      <c r="L2624" s="2822"/>
      <c r="M2624" s="2819" t="s">
        <v>4360</v>
      </c>
      <c r="N2624" s="106"/>
      <c r="O2624" s="106"/>
      <c r="P2624" s="702"/>
      <c r="Q2624" s="574"/>
      <c r="R2624" s="702"/>
      <c r="S2624" s="106"/>
      <c r="T2624" s="486"/>
      <c r="U2624" s="106"/>
      <c r="V2624" s="4184"/>
      <c r="W2624" s="3421">
        <v>9.8000000000000007</v>
      </c>
      <c r="X2624" s="3421">
        <v>9.8000000000000007</v>
      </c>
      <c r="Y2624" s="3421">
        <v>9.8000000000000007</v>
      </c>
      <c r="Z2624" s="3421">
        <v>9.8000000000000007</v>
      </c>
      <c r="AA2624" s="3421">
        <v>9.8000000000000007</v>
      </c>
      <c r="AB2624" s="3421">
        <v>9.8000000000000007</v>
      </c>
      <c r="AC2624" s="2919">
        <v>10.549999999999999</v>
      </c>
      <c r="AD2624" s="3050">
        <v>10.148936170212766</v>
      </c>
      <c r="AE2624" s="3429"/>
      <c r="AF2624" s="3421"/>
      <c r="AG2624" s="3421"/>
      <c r="AH2624" s="156"/>
      <c r="AI2624" s="156"/>
      <c r="AJ2624" s="156"/>
      <c r="AK2624" s="156"/>
      <c r="AL2624" s="156"/>
      <c r="AM2624" s="156"/>
      <c r="AN2624" s="156"/>
      <c r="AO2624" s="156"/>
      <c r="AP2624" s="156"/>
      <c r="AQ2624" s="156"/>
      <c r="AR2624" s="156"/>
      <c r="AS2624" s="156"/>
      <c r="AT2624" s="156"/>
      <c r="AU2624" s="156"/>
      <c r="AV2624" s="156"/>
      <c r="AW2624" s="156"/>
      <c r="AX2624" s="156"/>
      <c r="AY2624" s="156"/>
      <c r="AZ2624" s="156"/>
      <c r="BA2624" s="156"/>
      <c r="BB2624" s="2828"/>
      <c r="BC2624" s="452"/>
      <c r="BD2624" s="2829"/>
      <c r="BE2624" s="2837"/>
      <c r="BF2624" s="156"/>
    </row>
    <row r="2625" spans="1:58" ht="15" customHeight="1" outlineLevel="1" x14ac:dyDescent="0.35">
      <c r="A2625" s="1071"/>
      <c r="B2625" s="2812"/>
      <c r="C2625" s="3077"/>
      <c r="D2625" s="3980"/>
      <c r="E2625" s="3883"/>
      <c r="F2625" s="3984" t="str">
        <f>$E$1746</f>
        <v>ASHP-SEER19_ER1_SF</v>
      </c>
      <c r="G2625" s="3984"/>
      <c r="H2625" s="3984"/>
      <c r="I2625" s="3984"/>
      <c r="J2625" s="3501" t="str">
        <f>$C$1746</f>
        <v>354000_2021_12_</v>
      </c>
      <c r="K2625" s="3050">
        <v>9.815151515151511</v>
      </c>
      <c r="L2625" s="2822"/>
      <c r="M2625" s="2819" t="s">
        <v>4360</v>
      </c>
      <c r="N2625" s="106"/>
      <c r="O2625" s="106"/>
      <c r="P2625" s="106"/>
      <c r="Q2625" s="106"/>
      <c r="R2625" s="106"/>
      <c r="S2625" s="106"/>
      <c r="T2625" s="106"/>
      <c r="U2625" s="106"/>
      <c r="V2625" s="4184"/>
      <c r="W2625" s="3421">
        <v>9.5</v>
      </c>
      <c r="X2625" s="3421">
        <v>9.5</v>
      </c>
      <c r="Y2625" s="3421">
        <v>9.5</v>
      </c>
      <c r="Z2625" s="3421">
        <v>9.5</v>
      </c>
      <c r="AA2625" s="3421">
        <v>9.5</v>
      </c>
      <c r="AB2625" s="3421">
        <v>9.5</v>
      </c>
      <c r="AC2625" s="2919">
        <v>10.040000000000001</v>
      </c>
      <c r="AD2625" s="3050">
        <v>9.815151515151511</v>
      </c>
      <c r="AE2625" s="3429"/>
      <c r="AF2625" s="3421"/>
      <c r="AG2625" s="3421"/>
      <c r="AH2625" s="156"/>
      <c r="AI2625" s="156"/>
      <c r="AJ2625" s="156"/>
      <c r="AK2625" s="156"/>
      <c r="AL2625" s="156"/>
      <c r="AM2625" s="156"/>
      <c r="AN2625" s="156"/>
      <c r="AO2625" s="156"/>
      <c r="AP2625" s="156"/>
      <c r="AQ2625" s="156"/>
      <c r="AR2625" s="156"/>
      <c r="AS2625" s="156"/>
      <c r="AT2625" s="156"/>
      <c r="AU2625" s="156"/>
      <c r="AV2625" s="156"/>
      <c r="AW2625" s="156"/>
      <c r="AX2625" s="156"/>
      <c r="AY2625" s="156"/>
      <c r="AZ2625" s="156"/>
      <c r="BA2625" s="156"/>
      <c r="BB2625" s="2828"/>
      <c r="BC2625" s="452"/>
      <c r="BD2625" s="2829"/>
      <c r="BE2625" s="2837"/>
      <c r="BF2625" s="156"/>
    </row>
    <row r="2626" spans="1:58" ht="15" customHeight="1" outlineLevel="1" x14ac:dyDescent="0.35">
      <c r="A2626" s="1071"/>
      <c r="B2626" s="2812"/>
      <c r="C2626" s="3077"/>
      <c r="D2626" s="3980"/>
      <c r="E2626" s="3883"/>
      <c r="F2626" s="3984" t="str">
        <f>$E$1748</f>
        <v>ASHP-SEER19_ER2_SF</v>
      </c>
      <c r="G2626" s="3984"/>
      <c r="H2626" s="3984"/>
      <c r="I2626" s="3984"/>
      <c r="J2626" s="3501" t="str">
        <f>$C$1748</f>
        <v>354000_2021_12_</v>
      </c>
      <c r="K2626" s="3050">
        <v>9.815151515151511</v>
      </c>
      <c r="L2626" s="2822"/>
      <c r="M2626" s="2819" t="s">
        <v>4360</v>
      </c>
      <c r="N2626" s="106"/>
      <c r="O2626" s="106"/>
      <c r="P2626" s="106"/>
      <c r="Q2626" s="106"/>
      <c r="R2626" s="106"/>
      <c r="S2626" s="106"/>
      <c r="T2626" s="106"/>
      <c r="U2626" s="106"/>
      <c r="V2626" s="4184"/>
      <c r="W2626" s="3421">
        <v>9.5</v>
      </c>
      <c r="X2626" s="3421">
        <v>9.5</v>
      </c>
      <c r="Y2626" s="3421">
        <v>9.5</v>
      </c>
      <c r="Z2626" s="3421">
        <v>9.5</v>
      </c>
      <c r="AA2626" s="3421">
        <v>9.5</v>
      </c>
      <c r="AB2626" s="3421">
        <v>9.5</v>
      </c>
      <c r="AC2626" s="2919">
        <f>AC2625</f>
        <v>10.040000000000001</v>
      </c>
      <c r="AD2626" s="3050">
        <v>9.815151515151511</v>
      </c>
      <c r="AE2626" s="3429"/>
      <c r="AF2626" s="3421"/>
      <c r="AG2626" s="3421"/>
      <c r="AH2626" s="156"/>
      <c r="AI2626" s="156"/>
      <c r="AJ2626" s="156"/>
      <c r="AK2626" s="156"/>
      <c r="AL2626" s="156"/>
      <c r="AM2626" s="156"/>
      <c r="AN2626" s="156"/>
      <c r="AO2626" s="156"/>
      <c r="AP2626" s="156"/>
      <c r="AQ2626" s="156"/>
      <c r="AR2626" s="156"/>
      <c r="AS2626" s="156"/>
      <c r="AT2626" s="156"/>
      <c r="AU2626" s="156"/>
      <c r="AV2626" s="156"/>
      <c r="AW2626" s="156"/>
      <c r="AX2626" s="156"/>
      <c r="AY2626" s="156"/>
      <c r="AZ2626" s="156"/>
      <c r="BA2626" s="156"/>
      <c r="BB2626" s="2828"/>
      <c r="BC2626" s="452"/>
      <c r="BD2626" s="2829"/>
      <c r="BE2626" s="2837"/>
      <c r="BF2626" s="156"/>
    </row>
    <row r="2627" spans="1:58" ht="15" customHeight="1" outlineLevel="1" x14ac:dyDescent="0.35">
      <c r="A2627" s="1664"/>
      <c r="B2627" s="2812"/>
      <c r="C2627" s="3077"/>
      <c r="D2627" s="3980"/>
      <c r="E2627" s="3883"/>
      <c r="F2627" s="3984" t="str">
        <f>$E$1750</f>
        <v>ASHP-SEER19_ROF_SF</v>
      </c>
      <c r="G2627" s="3984"/>
      <c r="H2627" s="3984"/>
      <c r="I2627" s="3984"/>
      <c r="J2627" s="3501" t="str">
        <f>$C$1750</f>
        <v>354050_2021_12_</v>
      </c>
      <c r="K2627" s="3050">
        <v>10.115384615384615</v>
      </c>
      <c r="L2627" s="2822"/>
      <c r="M2627" s="2819" t="s">
        <v>4360</v>
      </c>
      <c r="N2627" s="106"/>
      <c r="O2627" s="106"/>
      <c r="P2627" s="702"/>
      <c r="Q2627" s="574"/>
      <c r="R2627" s="702"/>
      <c r="S2627" s="106"/>
      <c r="T2627" s="486"/>
      <c r="U2627" s="106"/>
      <c r="V2627" s="4184"/>
      <c r="W2627" s="3421">
        <v>9.8000000000000007</v>
      </c>
      <c r="X2627" s="3421">
        <v>9.8000000000000007</v>
      </c>
      <c r="Y2627" s="3421">
        <v>9.8000000000000007</v>
      </c>
      <c r="Z2627" s="3421">
        <v>9.8000000000000007</v>
      </c>
      <c r="AA2627" s="3421">
        <v>9.8000000000000007</v>
      </c>
      <c r="AB2627" s="3421">
        <v>9.8000000000000007</v>
      </c>
      <c r="AC2627" s="2919">
        <v>10.502222222222223</v>
      </c>
      <c r="AD2627" s="3050">
        <v>10.115384615384615</v>
      </c>
      <c r="AE2627" s="3429"/>
      <c r="AF2627" s="3421"/>
      <c r="AG2627" s="3421"/>
      <c r="AH2627" s="156"/>
      <c r="AI2627" s="156"/>
      <c r="AJ2627" s="156"/>
      <c r="AK2627" s="156"/>
      <c r="AL2627" s="156"/>
      <c r="AM2627" s="156"/>
      <c r="AN2627" s="156"/>
      <c r="AO2627" s="156"/>
      <c r="AP2627" s="156"/>
      <c r="AQ2627" s="156"/>
      <c r="AR2627" s="156"/>
      <c r="AS2627" s="156"/>
      <c r="AT2627" s="156"/>
      <c r="AU2627" s="156"/>
      <c r="AV2627" s="156"/>
      <c r="AW2627" s="156"/>
      <c r="AX2627" s="156"/>
      <c r="AY2627" s="156"/>
      <c r="AZ2627" s="156"/>
      <c r="BA2627" s="156"/>
      <c r="BB2627" s="2828"/>
      <c r="BC2627" s="452"/>
      <c r="BD2627" s="2829"/>
      <c r="BE2627" s="2837"/>
      <c r="BF2627" s="156"/>
    </row>
    <row r="2628" spans="1:58" ht="15" customHeight="1" outlineLevel="1" x14ac:dyDescent="0.35">
      <c r="A2628" s="1664"/>
      <c r="B2628" s="2812"/>
      <c r="C2628" s="3077"/>
      <c r="D2628" s="3980"/>
      <c r="E2628" s="3883"/>
      <c r="F2628" s="3984" t="str">
        <f>$E$1752</f>
        <v>ASHP-SEER17-Replace_CAC_ElectricHeat_ER1_SF</v>
      </c>
      <c r="G2628" s="3984"/>
      <c r="H2628" s="3984"/>
      <c r="I2628" s="3984"/>
      <c r="J2628" s="3501" t="str">
        <f>$C$1752</f>
        <v>354100_2021_12_</v>
      </c>
      <c r="K2628" s="3050">
        <v>9.4631147540983651</v>
      </c>
      <c r="L2628" s="2822"/>
      <c r="M2628" s="2819" t="s">
        <v>4360</v>
      </c>
      <c r="N2628" s="106"/>
      <c r="O2628" s="106"/>
      <c r="P2628" s="702"/>
      <c r="Q2628" s="574"/>
      <c r="R2628" s="702"/>
      <c r="S2628" s="106"/>
      <c r="T2628" s="486"/>
      <c r="U2628" s="106"/>
      <c r="V2628" s="4184"/>
      <c r="W2628" s="3421">
        <v>9.4</v>
      </c>
      <c r="X2628" s="3421">
        <v>9.4</v>
      </c>
      <c r="Y2628" s="3421">
        <v>9.4</v>
      </c>
      <c r="Z2628" s="3421">
        <v>9.4</v>
      </c>
      <c r="AA2628" s="3421">
        <v>9.4</v>
      </c>
      <c r="AB2628" s="3421">
        <v>9.4</v>
      </c>
      <c r="AC2628" s="2919">
        <v>9.5113636363636349</v>
      </c>
      <c r="AD2628" s="3050">
        <v>9.4631147540983651</v>
      </c>
      <c r="AE2628" s="3429"/>
      <c r="AF2628" s="3421"/>
      <c r="AG2628" s="3421"/>
      <c r="AH2628" s="156"/>
      <c r="AI2628" s="156"/>
      <c r="AJ2628" s="156"/>
      <c r="AK2628" s="156"/>
      <c r="AL2628" s="156"/>
      <c r="AM2628" s="156"/>
      <c r="AN2628" s="156"/>
      <c r="AO2628" s="156"/>
      <c r="AP2628" s="156"/>
      <c r="AQ2628" s="156"/>
      <c r="AR2628" s="156"/>
      <c r="AS2628" s="156"/>
      <c r="AT2628" s="156"/>
      <c r="AU2628" s="156"/>
      <c r="AV2628" s="156"/>
      <c r="AW2628" s="156"/>
      <c r="AX2628" s="156"/>
      <c r="AY2628" s="156"/>
      <c r="AZ2628" s="156"/>
      <c r="BA2628" s="156"/>
      <c r="BB2628" s="2828"/>
      <c r="BC2628" s="452"/>
      <c r="BD2628" s="2829"/>
      <c r="BE2628" s="2837"/>
      <c r="BF2628" s="156"/>
    </row>
    <row r="2629" spans="1:58" ht="15" customHeight="1" outlineLevel="1" x14ac:dyDescent="0.35">
      <c r="A2629" s="1664"/>
      <c r="B2629" s="2812"/>
      <c r="C2629" s="3077"/>
      <c r="D2629" s="3980"/>
      <c r="E2629" s="3883"/>
      <c r="F2629" s="3984" t="str">
        <f>$E$1754</f>
        <v>ASHP-SEER17-Replace_CAC_ElectricHeat_ER2_SF</v>
      </c>
      <c r="G2629" s="3984"/>
      <c r="H2629" s="3984"/>
      <c r="I2629" s="3984"/>
      <c r="J2629" s="3501" t="str">
        <f>$C$1754</f>
        <v>354100_2021_12_</v>
      </c>
      <c r="K2629" s="3050">
        <v>9.4631147540983651</v>
      </c>
      <c r="L2629" s="2822"/>
      <c r="M2629" s="2819" t="s">
        <v>4360</v>
      </c>
      <c r="N2629" s="106"/>
      <c r="O2629" s="106"/>
      <c r="P2629" s="702"/>
      <c r="Q2629" s="574"/>
      <c r="R2629" s="702"/>
      <c r="S2629" s="106"/>
      <c r="T2629" s="486"/>
      <c r="U2629" s="106"/>
      <c r="V2629" s="4184"/>
      <c r="W2629" s="3421">
        <v>9.4</v>
      </c>
      <c r="X2629" s="3421">
        <v>9.4</v>
      </c>
      <c r="Y2629" s="3421">
        <v>9.4</v>
      </c>
      <c r="Z2629" s="3421">
        <v>9.4</v>
      </c>
      <c r="AA2629" s="3421">
        <v>9.4</v>
      </c>
      <c r="AB2629" s="3421">
        <v>9.4</v>
      </c>
      <c r="AC2629" s="2919">
        <f>AC2628</f>
        <v>9.5113636363636349</v>
      </c>
      <c r="AD2629" s="3050">
        <v>9.4631147540983651</v>
      </c>
      <c r="AE2629" s="3429"/>
      <c r="AF2629" s="3421"/>
      <c r="AG2629" s="3421"/>
      <c r="AH2629" s="156"/>
      <c r="AI2629" s="156"/>
      <c r="AJ2629" s="156"/>
      <c r="AK2629" s="156"/>
      <c r="AL2629" s="156"/>
      <c r="AM2629" s="156"/>
      <c r="AN2629" s="156"/>
      <c r="AO2629" s="156"/>
      <c r="AP2629" s="156"/>
      <c r="AQ2629" s="156"/>
      <c r="AR2629" s="156"/>
      <c r="AS2629" s="156"/>
      <c r="AT2629" s="156"/>
      <c r="AU2629" s="156"/>
      <c r="AV2629" s="156"/>
      <c r="AW2629" s="156"/>
      <c r="AX2629" s="156"/>
      <c r="AY2629" s="156"/>
      <c r="AZ2629" s="156"/>
      <c r="BA2629" s="156"/>
      <c r="BB2629" s="2828"/>
      <c r="BC2629" s="452"/>
      <c r="BD2629" s="2829"/>
      <c r="BE2629" s="2837"/>
      <c r="BF2629" s="156"/>
    </row>
    <row r="2630" spans="1:58" ht="15" customHeight="1" outlineLevel="1" x14ac:dyDescent="0.35">
      <c r="A2630" s="1664"/>
      <c r="B2630" s="2812"/>
      <c r="C2630" s="3077"/>
      <c r="D2630" s="3980"/>
      <c r="E2630" s="3883"/>
      <c r="F2630" s="3984" t="str">
        <f>$E$1756</f>
        <v>ASHP-SEER17-Replace_CAC_NonElectricHeat_ER1_SF</v>
      </c>
      <c r="G2630" s="3984"/>
      <c r="H2630" s="3984"/>
      <c r="I2630" s="3984"/>
      <c r="J2630" s="3501" t="str">
        <f>$C$1756</f>
        <v>354110_2021_12_</v>
      </c>
      <c r="K2630" s="3050">
        <v>9.4631147540983651</v>
      </c>
      <c r="L2630" s="2822"/>
      <c r="M2630" s="3025" t="s">
        <v>1083</v>
      </c>
      <c r="N2630" s="106"/>
      <c r="O2630" s="106"/>
      <c r="P2630" s="702"/>
      <c r="Q2630" s="574"/>
      <c r="R2630" s="702"/>
      <c r="S2630" s="106"/>
      <c r="T2630" s="486"/>
      <c r="U2630" s="106"/>
      <c r="V2630" s="4184"/>
      <c r="W2630" s="3421"/>
      <c r="X2630" s="3421"/>
      <c r="Y2630" s="3421"/>
      <c r="Z2630" s="3421"/>
      <c r="AA2630" s="3421"/>
      <c r="AB2630" s="3421"/>
      <c r="AC2630" s="2919">
        <v>9.5113636363636349</v>
      </c>
      <c r="AD2630" s="3050">
        <v>9.4631147540983651</v>
      </c>
      <c r="AE2630" s="3429"/>
      <c r="AF2630" s="3421"/>
      <c r="AG2630" s="3421"/>
      <c r="AH2630" s="156"/>
      <c r="AI2630" s="156"/>
      <c r="AJ2630" s="156"/>
      <c r="AK2630" s="156"/>
      <c r="AL2630" s="156"/>
      <c r="AM2630" s="156"/>
      <c r="AN2630" s="156"/>
      <c r="AO2630" s="156"/>
      <c r="AP2630" s="156"/>
      <c r="AQ2630" s="156"/>
      <c r="AR2630" s="156"/>
      <c r="AS2630" s="156"/>
      <c r="AT2630" s="156"/>
      <c r="AU2630" s="156"/>
      <c r="AV2630" s="156"/>
      <c r="AW2630" s="156"/>
      <c r="AX2630" s="156"/>
      <c r="AY2630" s="156"/>
      <c r="AZ2630" s="156"/>
      <c r="BA2630" s="156"/>
      <c r="BB2630" s="2828"/>
      <c r="BC2630" s="452"/>
      <c r="BD2630" s="2829"/>
      <c r="BE2630" s="2837"/>
      <c r="BF2630" s="156"/>
    </row>
    <row r="2631" spans="1:58" ht="15" customHeight="1" outlineLevel="1" x14ac:dyDescent="0.35">
      <c r="A2631" s="1664"/>
      <c r="B2631" s="2812"/>
      <c r="C2631" s="3077"/>
      <c r="D2631" s="3980"/>
      <c r="E2631" s="3883"/>
      <c r="F2631" s="3984" t="str">
        <f>$E$1758</f>
        <v>ASHP-SEER17-Replace_CAC_NonElectricHeat_ER2_SF</v>
      </c>
      <c r="G2631" s="3984"/>
      <c r="H2631" s="3984"/>
      <c r="I2631" s="3984"/>
      <c r="J2631" s="3501" t="str">
        <f>$C$1758</f>
        <v>354110_2021_12_</v>
      </c>
      <c r="K2631" s="3050">
        <v>9.4631147540983651</v>
      </c>
      <c r="L2631" s="2822"/>
      <c r="M2631" s="3025" t="s">
        <v>1083</v>
      </c>
      <c r="N2631" s="106"/>
      <c r="O2631" s="106"/>
      <c r="P2631" s="702"/>
      <c r="Q2631" s="574"/>
      <c r="R2631" s="702"/>
      <c r="S2631" s="106"/>
      <c r="T2631" s="486"/>
      <c r="U2631" s="106"/>
      <c r="V2631" s="4184"/>
      <c r="W2631" s="3421"/>
      <c r="X2631" s="3421"/>
      <c r="Y2631" s="3421"/>
      <c r="Z2631" s="3421"/>
      <c r="AA2631" s="3421"/>
      <c r="AB2631" s="3421"/>
      <c r="AC2631" s="2919">
        <f>AC2630</f>
        <v>9.5113636363636349</v>
      </c>
      <c r="AD2631" s="3050">
        <v>9.4631147540983651</v>
      </c>
      <c r="AE2631" s="3429"/>
      <c r="AF2631" s="3421"/>
      <c r="AG2631" s="3421"/>
      <c r="AH2631" s="156"/>
      <c r="AI2631" s="156"/>
      <c r="AJ2631" s="156"/>
      <c r="AK2631" s="156"/>
      <c r="AL2631" s="156"/>
      <c r="AM2631" s="156"/>
      <c r="AN2631" s="156"/>
      <c r="AO2631" s="156"/>
      <c r="AP2631" s="156"/>
      <c r="AQ2631" s="156"/>
      <c r="AR2631" s="156"/>
      <c r="AS2631" s="156"/>
      <c r="AT2631" s="156"/>
      <c r="AU2631" s="156"/>
      <c r="AV2631" s="156"/>
      <c r="AW2631" s="156"/>
      <c r="AX2631" s="156"/>
      <c r="AY2631" s="156"/>
      <c r="AZ2631" s="156"/>
      <c r="BA2631" s="156"/>
      <c r="BB2631" s="2828"/>
      <c r="BC2631" s="452"/>
      <c r="BD2631" s="2829"/>
      <c r="BE2631" s="2837"/>
      <c r="BF2631" s="156"/>
    </row>
    <row r="2632" spans="1:58" ht="15" customHeight="1" outlineLevel="1" x14ac:dyDescent="0.35">
      <c r="A2632" s="1664"/>
      <c r="B2632" s="2812"/>
      <c r="C2632" s="3077"/>
      <c r="D2632" s="3980"/>
      <c r="E2632" s="3883"/>
      <c r="F2632" s="3984" t="str">
        <f>$E$1760</f>
        <v>ASHP-SEER17-Replace_CAC_ElectricHeat_ER1_MF</v>
      </c>
      <c r="G2632" s="3984"/>
      <c r="H2632" s="3984"/>
      <c r="I2632" s="3984"/>
      <c r="J2632" s="3501" t="str">
        <f>$C$1760</f>
        <v>354150_2019_12_</v>
      </c>
      <c r="K2632" s="3052">
        <v>9.4</v>
      </c>
      <c r="L2632" s="2822"/>
      <c r="M2632" s="3025"/>
      <c r="N2632" s="106"/>
      <c r="O2632" s="106"/>
      <c r="P2632" s="702"/>
      <c r="Q2632" s="574"/>
      <c r="R2632" s="702"/>
      <c r="S2632" s="106"/>
      <c r="T2632" s="486"/>
      <c r="U2632" s="106"/>
      <c r="V2632" s="4184"/>
      <c r="W2632" s="3421">
        <v>9.4</v>
      </c>
      <c r="X2632" s="3421">
        <v>9.4</v>
      </c>
      <c r="Y2632" s="3421">
        <v>9.4</v>
      </c>
      <c r="Z2632" s="3421">
        <v>9.4</v>
      </c>
      <c r="AA2632" s="3421">
        <v>9.4</v>
      </c>
      <c r="AB2632" s="3421">
        <v>9.4</v>
      </c>
      <c r="AC2632" s="2920">
        <v>9.4</v>
      </c>
      <c r="AD2632" s="583">
        <v>9.4</v>
      </c>
      <c r="AE2632" s="3429"/>
      <c r="AF2632" s="3421"/>
      <c r="AG2632" s="3421"/>
      <c r="AH2632" s="156"/>
      <c r="AI2632" s="156"/>
      <c r="AJ2632" s="156"/>
      <c r="AK2632" s="156"/>
      <c r="AL2632" s="156"/>
      <c r="AM2632" s="156"/>
      <c r="AN2632" s="156"/>
      <c r="AO2632" s="156"/>
      <c r="AP2632" s="156"/>
      <c r="AQ2632" s="156"/>
      <c r="AR2632" s="156"/>
      <c r="AS2632" s="156"/>
      <c r="AT2632" s="156"/>
      <c r="AU2632" s="156"/>
      <c r="AV2632" s="156"/>
      <c r="AW2632" s="156"/>
      <c r="AX2632" s="156"/>
      <c r="AY2632" s="156"/>
      <c r="AZ2632" s="156"/>
      <c r="BA2632" s="156"/>
      <c r="BB2632" s="2828"/>
      <c r="BC2632" s="452"/>
      <c r="BD2632" s="2829"/>
      <c r="BE2632" s="2837"/>
      <c r="BF2632" s="156"/>
    </row>
    <row r="2633" spans="1:58" ht="15" customHeight="1" outlineLevel="1" x14ac:dyDescent="0.35">
      <c r="A2633" s="1664"/>
      <c r="B2633" s="2812"/>
      <c r="C2633" s="3077"/>
      <c r="D2633" s="3980"/>
      <c r="E2633" s="3883"/>
      <c r="F2633" s="3984" t="str">
        <f>$E$1762</f>
        <v>ASHP-SEER17-Replace_CAC_ElectricHeat_ER2_MF</v>
      </c>
      <c r="G2633" s="3984"/>
      <c r="H2633" s="3984"/>
      <c r="I2633" s="3984"/>
      <c r="J2633" s="3501" t="str">
        <f>$C$1762</f>
        <v>354150_2019_12_</v>
      </c>
      <c r="K2633" s="3052">
        <v>9.4</v>
      </c>
      <c r="L2633" s="2822"/>
      <c r="M2633" s="3025"/>
      <c r="N2633" s="106"/>
      <c r="O2633" s="106"/>
      <c r="P2633" s="702"/>
      <c r="Q2633" s="574"/>
      <c r="R2633" s="702"/>
      <c r="S2633" s="106"/>
      <c r="T2633" s="486"/>
      <c r="U2633" s="106"/>
      <c r="V2633" s="4184"/>
      <c r="W2633" s="3421">
        <v>9.4</v>
      </c>
      <c r="X2633" s="3421">
        <v>9.4</v>
      </c>
      <c r="Y2633" s="3421">
        <v>9.4</v>
      </c>
      <c r="Z2633" s="3421">
        <v>9.4</v>
      </c>
      <c r="AA2633" s="3421">
        <v>9.4</v>
      </c>
      <c r="AB2633" s="3421">
        <v>9.4</v>
      </c>
      <c r="AC2633" s="2920">
        <v>9.4</v>
      </c>
      <c r="AD2633" s="583">
        <v>9.4</v>
      </c>
      <c r="AE2633" s="3429"/>
      <c r="AF2633" s="3421"/>
      <c r="AG2633" s="3421"/>
      <c r="AH2633" s="156"/>
      <c r="AI2633" s="156"/>
      <c r="AJ2633" s="156"/>
      <c r="AK2633" s="156"/>
      <c r="AL2633" s="156"/>
      <c r="AM2633" s="156"/>
      <c r="AN2633" s="156"/>
      <c r="AO2633" s="156"/>
      <c r="AP2633" s="156"/>
      <c r="AQ2633" s="156"/>
      <c r="AR2633" s="156"/>
      <c r="AS2633" s="156"/>
      <c r="AT2633" s="156"/>
      <c r="AU2633" s="156"/>
      <c r="AV2633" s="156"/>
      <c r="AW2633" s="156"/>
      <c r="AX2633" s="156"/>
      <c r="AY2633" s="156"/>
      <c r="AZ2633" s="156"/>
      <c r="BA2633" s="156"/>
      <c r="BB2633" s="2828"/>
      <c r="BC2633" s="452"/>
      <c r="BD2633" s="2829"/>
      <c r="BE2633" s="2837"/>
      <c r="BF2633" s="156"/>
    </row>
    <row r="2634" spans="1:58" ht="15" customHeight="1" outlineLevel="1" x14ac:dyDescent="0.35">
      <c r="A2634" s="1664"/>
      <c r="B2634" s="2812"/>
      <c r="C2634" s="3077"/>
      <c r="D2634" s="3980"/>
      <c r="E2634" s="3883"/>
      <c r="F2634" s="3984" t="str">
        <f>$E$1764</f>
        <v>ASHP-SEER17-Replace_CAC_ElectricHeat_ER1_MF_CompE</v>
      </c>
      <c r="G2634" s="3984"/>
      <c r="H2634" s="3984"/>
      <c r="I2634" s="3984"/>
      <c r="J2634" s="3501" t="str">
        <f>$C$1764</f>
        <v>354151_2019_12_</v>
      </c>
      <c r="K2634" s="3052">
        <v>9.4</v>
      </c>
      <c r="L2634" s="2822"/>
      <c r="M2634" s="3025"/>
      <c r="N2634" s="106"/>
      <c r="O2634" s="106"/>
      <c r="P2634" s="702"/>
      <c r="Q2634" s="574"/>
      <c r="R2634" s="702"/>
      <c r="S2634" s="106"/>
      <c r="T2634" s="486"/>
      <c r="U2634" s="106"/>
      <c r="V2634" s="4184"/>
      <c r="W2634" s="3421"/>
      <c r="X2634" s="3421"/>
      <c r="Y2634" s="2374">
        <v>9.4</v>
      </c>
      <c r="Z2634" s="3421">
        <v>9.4</v>
      </c>
      <c r="AA2634" s="3421">
        <v>9.4</v>
      </c>
      <c r="AB2634" s="3421">
        <v>9.4</v>
      </c>
      <c r="AC2634" s="2920">
        <v>9.4</v>
      </c>
      <c r="AD2634" s="583">
        <v>9.4</v>
      </c>
      <c r="AE2634" s="3429"/>
      <c r="AF2634" s="3421"/>
      <c r="AG2634" s="3421"/>
      <c r="AH2634" s="156"/>
      <c r="AI2634" s="156"/>
      <c r="AJ2634" s="156"/>
      <c r="AK2634" s="156"/>
      <c r="AL2634" s="156"/>
      <c r="AM2634" s="156"/>
      <c r="AN2634" s="156"/>
      <c r="AO2634" s="156"/>
      <c r="AP2634" s="156"/>
      <c r="AQ2634" s="156"/>
      <c r="AR2634" s="156"/>
      <c r="AS2634" s="156"/>
      <c r="AT2634" s="156"/>
      <c r="AU2634" s="156"/>
      <c r="AV2634" s="156"/>
      <c r="AW2634" s="156"/>
      <c r="AX2634" s="156"/>
      <c r="AY2634" s="156"/>
      <c r="AZ2634" s="156"/>
      <c r="BA2634" s="156"/>
      <c r="BB2634" s="2828"/>
      <c r="BC2634" s="452"/>
      <c r="BD2634" s="2829"/>
      <c r="BE2634" s="2837"/>
      <c r="BF2634" s="156"/>
    </row>
    <row r="2635" spans="1:58" ht="15" customHeight="1" outlineLevel="1" x14ac:dyDescent="0.35">
      <c r="A2635" s="1664"/>
      <c r="B2635" s="2812"/>
      <c r="C2635" s="3077"/>
      <c r="D2635" s="3980"/>
      <c r="E2635" s="3883"/>
      <c r="F2635" s="3984" t="str">
        <f>$E$1766</f>
        <v>ASHP-SEER17-Replace_CAC_ElectricHeat_ER2_MF_CompE</v>
      </c>
      <c r="G2635" s="3984"/>
      <c r="H2635" s="3984"/>
      <c r="I2635" s="3984"/>
      <c r="J2635" s="3501" t="str">
        <f>$C$1766</f>
        <v>354151_2019_12_</v>
      </c>
      <c r="K2635" s="3052">
        <v>9.4</v>
      </c>
      <c r="L2635" s="2822"/>
      <c r="M2635" s="3025"/>
      <c r="N2635" s="106"/>
      <c r="O2635" s="106"/>
      <c r="P2635" s="702"/>
      <c r="Q2635" s="574"/>
      <c r="R2635" s="702"/>
      <c r="S2635" s="106"/>
      <c r="T2635" s="486"/>
      <c r="U2635" s="106"/>
      <c r="V2635" s="4184"/>
      <c r="W2635" s="3421"/>
      <c r="X2635" s="3421"/>
      <c r="Y2635" s="2374">
        <v>9.4</v>
      </c>
      <c r="Z2635" s="3421">
        <v>9.4</v>
      </c>
      <c r="AA2635" s="3421">
        <v>9.4</v>
      </c>
      <c r="AB2635" s="3421">
        <v>9.4</v>
      </c>
      <c r="AC2635" s="2920">
        <v>9.4</v>
      </c>
      <c r="AD2635" s="583">
        <v>9.4</v>
      </c>
      <c r="AE2635" s="3429"/>
      <c r="AF2635" s="3421"/>
      <c r="AG2635" s="3421"/>
      <c r="AH2635" s="156"/>
      <c r="AI2635" s="156"/>
      <c r="AJ2635" s="156"/>
      <c r="AK2635" s="156"/>
      <c r="AL2635" s="156"/>
      <c r="AM2635" s="156"/>
      <c r="AN2635" s="156"/>
      <c r="AO2635" s="156"/>
      <c r="AP2635" s="156"/>
      <c r="AQ2635" s="156"/>
      <c r="AR2635" s="156"/>
      <c r="AS2635" s="156"/>
      <c r="AT2635" s="156"/>
      <c r="AU2635" s="156"/>
      <c r="AV2635" s="156"/>
      <c r="AW2635" s="156"/>
      <c r="AX2635" s="156"/>
      <c r="AY2635" s="156"/>
      <c r="AZ2635" s="156"/>
      <c r="BA2635" s="156"/>
      <c r="BB2635" s="2828"/>
      <c r="BC2635" s="452"/>
      <c r="BD2635" s="2829"/>
      <c r="BE2635" s="2837"/>
      <c r="BF2635" s="156"/>
    </row>
    <row r="2636" spans="1:58" ht="15" customHeight="1" outlineLevel="1" x14ac:dyDescent="0.35">
      <c r="A2636" s="1664"/>
      <c r="B2636" s="2812"/>
      <c r="C2636" s="3077"/>
      <c r="D2636" s="3980"/>
      <c r="E2636" s="3883"/>
      <c r="F2636" s="3984" t="str">
        <f>$E$1768</f>
        <v>ASHP-SEER17-Replace_CAC_NonElectricHeat_ER1_MF</v>
      </c>
      <c r="G2636" s="3984"/>
      <c r="H2636" s="3984"/>
      <c r="I2636" s="3984"/>
      <c r="J2636" s="3501" t="str">
        <f>$C$1768</f>
        <v>354160_2021_12_</v>
      </c>
      <c r="K2636" s="3052">
        <v>9.4</v>
      </c>
      <c r="L2636" s="2822"/>
      <c r="M2636" s="3025" t="s">
        <v>1083</v>
      </c>
      <c r="N2636" s="106"/>
      <c r="O2636" s="106"/>
      <c r="P2636" s="702"/>
      <c r="Q2636" s="574"/>
      <c r="R2636" s="702"/>
      <c r="S2636" s="106"/>
      <c r="T2636" s="486"/>
      <c r="U2636" s="106"/>
      <c r="V2636" s="4184"/>
      <c r="W2636" s="3421"/>
      <c r="X2636" s="3421"/>
      <c r="Y2636" s="2374"/>
      <c r="Z2636" s="3421"/>
      <c r="AA2636" s="3421"/>
      <c r="AB2636" s="3421"/>
      <c r="AC2636" s="2919">
        <v>9.4</v>
      </c>
      <c r="AD2636" s="583">
        <v>9.4</v>
      </c>
      <c r="AE2636" s="3429"/>
      <c r="AF2636" s="3421"/>
      <c r="AG2636" s="3421"/>
      <c r="AH2636" s="156"/>
      <c r="AI2636" s="156"/>
      <c r="AJ2636" s="156"/>
      <c r="AK2636" s="156"/>
      <c r="AL2636" s="156"/>
      <c r="AM2636" s="156"/>
      <c r="AN2636" s="156"/>
      <c r="AO2636" s="156"/>
      <c r="AP2636" s="156"/>
      <c r="AQ2636" s="156"/>
      <c r="AR2636" s="156"/>
      <c r="AS2636" s="156"/>
      <c r="AT2636" s="156"/>
      <c r="AU2636" s="156"/>
      <c r="AV2636" s="156"/>
      <c r="AW2636" s="156"/>
      <c r="AX2636" s="156"/>
      <c r="AY2636" s="156"/>
      <c r="AZ2636" s="156"/>
      <c r="BA2636" s="156"/>
      <c r="BB2636" s="2828"/>
      <c r="BC2636" s="452"/>
      <c r="BD2636" s="2829"/>
      <c r="BE2636" s="2837"/>
      <c r="BF2636" s="156"/>
    </row>
    <row r="2637" spans="1:58" ht="15" customHeight="1" outlineLevel="1" x14ac:dyDescent="0.35">
      <c r="A2637" s="1664"/>
      <c r="B2637" s="2812"/>
      <c r="C2637" s="3077"/>
      <c r="D2637" s="3980"/>
      <c r="E2637" s="3883"/>
      <c r="F2637" s="3984" t="str">
        <f>$E$1770</f>
        <v>ASHP-SEER17-Replace_CAC_NonElectricHeat_ER2_MF</v>
      </c>
      <c r="G2637" s="3984"/>
      <c r="H2637" s="3984"/>
      <c r="I2637" s="3984"/>
      <c r="J2637" s="3501" t="str">
        <f>$C$1770</f>
        <v>354160_2021_12_</v>
      </c>
      <c r="K2637" s="3052">
        <v>9.4</v>
      </c>
      <c r="L2637" s="2822"/>
      <c r="M2637" s="3025" t="s">
        <v>1083</v>
      </c>
      <c r="N2637" s="106"/>
      <c r="O2637" s="106"/>
      <c r="P2637" s="702"/>
      <c r="Q2637" s="574"/>
      <c r="R2637" s="702"/>
      <c r="S2637" s="106"/>
      <c r="T2637" s="486"/>
      <c r="U2637" s="106"/>
      <c r="V2637" s="4184"/>
      <c r="W2637" s="3421"/>
      <c r="X2637" s="3421"/>
      <c r="Y2637" s="2374"/>
      <c r="Z2637" s="3421"/>
      <c r="AA2637" s="3421"/>
      <c r="AB2637" s="3421"/>
      <c r="AC2637" s="2919">
        <v>9.4</v>
      </c>
      <c r="AD2637" s="583">
        <v>9.4</v>
      </c>
      <c r="AE2637" s="3429"/>
      <c r="AF2637" s="3421"/>
      <c r="AG2637" s="3421"/>
      <c r="AH2637" s="156"/>
      <c r="AI2637" s="156"/>
      <c r="AJ2637" s="156"/>
      <c r="AK2637" s="156"/>
      <c r="AL2637" s="156"/>
      <c r="AM2637" s="156"/>
      <c r="AN2637" s="156"/>
      <c r="AO2637" s="156"/>
      <c r="AP2637" s="156"/>
      <c r="AQ2637" s="156"/>
      <c r="AR2637" s="156"/>
      <c r="AS2637" s="156"/>
      <c r="AT2637" s="156"/>
      <c r="AU2637" s="156"/>
      <c r="AV2637" s="156"/>
      <c r="AW2637" s="156"/>
      <c r="AX2637" s="156"/>
      <c r="AY2637" s="156"/>
      <c r="AZ2637" s="156"/>
      <c r="BA2637" s="156"/>
      <c r="BB2637" s="2828"/>
      <c r="BC2637" s="452"/>
      <c r="BD2637" s="2829"/>
      <c r="BE2637" s="2837"/>
      <c r="BF2637" s="156"/>
    </row>
    <row r="2638" spans="1:58" ht="15" customHeight="1" outlineLevel="1" x14ac:dyDescent="0.35">
      <c r="A2638" s="1664"/>
      <c r="B2638" s="2812"/>
      <c r="C2638" s="3077"/>
      <c r="D2638" s="3980"/>
      <c r="E2638" s="3883"/>
      <c r="F2638" s="3984" t="str">
        <f>$E$1772</f>
        <v>ASHP-SEER17-Replace_CAC_NonElectricHeat_ER1_MF_CompE</v>
      </c>
      <c r="G2638" s="3984"/>
      <c r="H2638" s="3984"/>
      <c r="I2638" s="3984"/>
      <c r="J2638" s="3501" t="str">
        <f>$C$1772</f>
        <v>354161_2021_12_</v>
      </c>
      <c r="K2638" s="3052">
        <v>9.4</v>
      </c>
      <c r="L2638" s="2822"/>
      <c r="M2638" s="3025" t="s">
        <v>1083</v>
      </c>
      <c r="N2638" s="106"/>
      <c r="O2638" s="106"/>
      <c r="P2638" s="702"/>
      <c r="Q2638" s="574"/>
      <c r="R2638" s="702"/>
      <c r="S2638" s="106"/>
      <c r="T2638" s="486"/>
      <c r="U2638" s="106"/>
      <c r="V2638" s="4184"/>
      <c r="W2638" s="3421"/>
      <c r="X2638" s="3421"/>
      <c r="Y2638" s="2374"/>
      <c r="Z2638" s="3421"/>
      <c r="AA2638" s="3421"/>
      <c r="AB2638" s="3421"/>
      <c r="AC2638" s="2919">
        <v>9.4</v>
      </c>
      <c r="AD2638" s="583">
        <v>9.4</v>
      </c>
      <c r="AE2638" s="3429"/>
      <c r="AF2638" s="3421"/>
      <c r="AG2638" s="3421"/>
      <c r="AH2638" s="156"/>
      <c r="AI2638" s="156"/>
      <c r="AJ2638" s="156"/>
      <c r="AK2638" s="156"/>
      <c r="AL2638" s="156"/>
      <c r="AM2638" s="156"/>
      <c r="AN2638" s="156"/>
      <c r="AO2638" s="156"/>
      <c r="AP2638" s="156"/>
      <c r="AQ2638" s="156"/>
      <c r="AR2638" s="156"/>
      <c r="AS2638" s="156"/>
      <c r="AT2638" s="156"/>
      <c r="AU2638" s="156"/>
      <c r="AV2638" s="156"/>
      <c r="AW2638" s="156"/>
      <c r="AX2638" s="156"/>
      <c r="AY2638" s="156"/>
      <c r="AZ2638" s="156"/>
      <c r="BA2638" s="156"/>
      <c r="BB2638" s="2828"/>
      <c r="BC2638" s="452"/>
      <c r="BD2638" s="2829"/>
      <c r="BE2638" s="2837"/>
      <c r="BF2638" s="156"/>
    </row>
    <row r="2639" spans="1:58" ht="15" customHeight="1" outlineLevel="1" x14ac:dyDescent="0.35">
      <c r="A2639" s="1664"/>
      <c r="B2639" s="2812"/>
      <c r="C2639" s="3077"/>
      <c r="D2639" s="3980"/>
      <c r="E2639" s="3883"/>
      <c r="F2639" s="3984" t="str">
        <f>$E$1774</f>
        <v>ASHP-SEER17-Replace_CAC_NonElectricHeat_ER2_MF_CompE</v>
      </c>
      <c r="G2639" s="3984"/>
      <c r="H2639" s="3984"/>
      <c r="I2639" s="3984"/>
      <c r="J2639" s="3501" t="str">
        <f>$C$1774</f>
        <v>354161_2021_12_</v>
      </c>
      <c r="K2639" s="3052">
        <v>9.4</v>
      </c>
      <c r="L2639" s="2822"/>
      <c r="M2639" s="3025" t="s">
        <v>1083</v>
      </c>
      <c r="N2639" s="106"/>
      <c r="O2639" s="106"/>
      <c r="P2639" s="702"/>
      <c r="Q2639" s="574"/>
      <c r="R2639" s="702"/>
      <c r="S2639" s="106"/>
      <c r="T2639" s="486"/>
      <c r="U2639" s="106"/>
      <c r="V2639" s="4184"/>
      <c r="W2639" s="3421"/>
      <c r="X2639" s="3421"/>
      <c r="Y2639" s="2374"/>
      <c r="Z2639" s="3421"/>
      <c r="AA2639" s="3421"/>
      <c r="AB2639" s="3421"/>
      <c r="AC2639" s="2919">
        <v>9.4</v>
      </c>
      <c r="AD2639" s="583">
        <v>9.4</v>
      </c>
      <c r="AE2639" s="3429"/>
      <c r="AF2639" s="3421"/>
      <c r="AG2639" s="3421"/>
      <c r="AH2639" s="156"/>
      <c r="AI2639" s="156"/>
      <c r="AJ2639" s="156"/>
      <c r="AK2639" s="156"/>
      <c r="AL2639" s="156"/>
      <c r="AM2639" s="156"/>
      <c r="AN2639" s="156"/>
      <c r="AO2639" s="156"/>
      <c r="AP2639" s="156"/>
      <c r="AQ2639" s="156"/>
      <c r="AR2639" s="156"/>
      <c r="AS2639" s="156"/>
      <c r="AT2639" s="156"/>
      <c r="AU2639" s="156"/>
      <c r="AV2639" s="156"/>
      <c r="AW2639" s="156"/>
      <c r="AX2639" s="156"/>
      <c r="AY2639" s="156"/>
      <c r="AZ2639" s="156"/>
      <c r="BA2639" s="156"/>
      <c r="BB2639" s="2828"/>
      <c r="BC2639" s="452"/>
      <c r="BD2639" s="2829"/>
      <c r="BE2639" s="2837"/>
      <c r="BF2639" s="156"/>
    </row>
    <row r="2640" spans="1:58" ht="15" customHeight="1" outlineLevel="1" x14ac:dyDescent="0.35">
      <c r="A2640" s="1664"/>
      <c r="B2640" s="2812"/>
      <c r="C2640" s="3077"/>
      <c r="D2640" s="3980"/>
      <c r="E2640" s="3883"/>
      <c r="F2640" s="3984" t="str">
        <f>$E$1776</f>
        <v>ASHP-SEER17_ER1_MF</v>
      </c>
      <c r="G2640" s="3984"/>
      <c r="H2640" s="3984"/>
      <c r="I2640" s="3984"/>
      <c r="J2640" s="3501" t="str">
        <f>$C$1776</f>
        <v>354200_2019_12_</v>
      </c>
      <c r="K2640" s="3052">
        <v>9.5</v>
      </c>
      <c r="L2640" s="2822"/>
      <c r="M2640" s="3025"/>
      <c r="N2640" s="106"/>
      <c r="O2640" s="106"/>
      <c r="P2640" s="702"/>
      <c r="Q2640" s="574"/>
      <c r="R2640" s="702"/>
      <c r="S2640" s="106"/>
      <c r="T2640" s="486"/>
      <c r="U2640" s="106"/>
      <c r="V2640" s="4184"/>
      <c r="W2640" s="3421">
        <v>9.5</v>
      </c>
      <c r="X2640" s="3421">
        <v>9.5</v>
      </c>
      <c r="Y2640" s="3421">
        <v>9.5</v>
      </c>
      <c r="Z2640" s="3421">
        <v>9.5</v>
      </c>
      <c r="AA2640" s="3421">
        <v>9.5</v>
      </c>
      <c r="AB2640" s="3421">
        <v>9.5</v>
      </c>
      <c r="AC2640" s="2920">
        <v>9.5</v>
      </c>
      <c r="AD2640" s="583">
        <v>9.5</v>
      </c>
      <c r="AE2640" s="3429"/>
      <c r="AF2640" s="3421"/>
      <c r="AG2640" s="3421"/>
      <c r="AH2640" s="156"/>
      <c r="AI2640" s="156"/>
      <c r="AJ2640" s="156"/>
      <c r="AK2640" s="156"/>
      <c r="AL2640" s="156"/>
      <c r="AM2640" s="156"/>
      <c r="AN2640" s="156"/>
      <c r="AO2640" s="156"/>
      <c r="AP2640" s="156"/>
      <c r="AQ2640" s="156"/>
      <c r="AR2640" s="156"/>
      <c r="AS2640" s="156"/>
      <c r="AT2640" s="156"/>
      <c r="AU2640" s="156"/>
      <c r="AV2640" s="156"/>
      <c r="AW2640" s="156"/>
      <c r="AX2640" s="156"/>
      <c r="AY2640" s="156"/>
      <c r="AZ2640" s="156"/>
      <c r="BA2640" s="156"/>
      <c r="BB2640" s="2828"/>
      <c r="BC2640" s="452"/>
      <c r="BD2640" s="2829"/>
      <c r="BE2640" s="2837"/>
      <c r="BF2640" s="156"/>
    </row>
    <row r="2641" spans="1:58" ht="15" customHeight="1" outlineLevel="1" x14ac:dyDescent="0.35">
      <c r="A2641" s="1664"/>
      <c r="B2641" s="2812"/>
      <c r="C2641" s="3077"/>
      <c r="D2641" s="3980"/>
      <c r="E2641" s="3883"/>
      <c r="F2641" s="3984" t="str">
        <f>$E$1778</f>
        <v>ASHP-SEER17_ER2_MF</v>
      </c>
      <c r="G2641" s="3984"/>
      <c r="H2641" s="3984"/>
      <c r="I2641" s="3984"/>
      <c r="J2641" s="3501" t="str">
        <f>$C$1778</f>
        <v>354200_2019_12_</v>
      </c>
      <c r="K2641" s="3052">
        <v>9.5</v>
      </c>
      <c r="L2641" s="2822"/>
      <c r="M2641" s="3025"/>
      <c r="N2641" s="106"/>
      <c r="O2641" s="106"/>
      <c r="P2641" s="702"/>
      <c r="Q2641" s="574"/>
      <c r="R2641" s="702"/>
      <c r="S2641" s="106"/>
      <c r="T2641" s="486"/>
      <c r="U2641" s="106"/>
      <c r="V2641" s="4184"/>
      <c r="W2641" s="3421">
        <v>9.5</v>
      </c>
      <c r="X2641" s="3421">
        <v>9.5</v>
      </c>
      <c r="Y2641" s="3421">
        <v>9.5</v>
      </c>
      <c r="Z2641" s="3421">
        <v>9.5</v>
      </c>
      <c r="AA2641" s="3421">
        <v>9.5</v>
      </c>
      <c r="AB2641" s="3421">
        <v>9.5</v>
      </c>
      <c r="AC2641" s="2920">
        <v>9.5</v>
      </c>
      <c r="AD2641" s="583">
        <v>9.5</v>
      </c>
      <c r="AE2641" s="3429"/>
      <c r="AF2641" s="3421"/>
      <c r="AG2641" s="3421"/>
      <c r="AH2641" s="156"/>
      <c r="AI2641" s="156"/>
      <c r="AJ2641" s="156"/>
      <c r="AK2641" s="156"/>
      <c r="AL2641" s="156"/>
      <c r="AM2641" s="156"/>
      <c r="AN2641" s="156"/>
      <c r="AO2641" s="156"/>
      <c r="AP2641" s="156"/>
      <c r="AQ2641" s="156"/>
      <c r="AR2641" s="156"/>
      <c r="AS2641" s="156"/>
      <c r="AT2641" s="156"/>
      <c r="AU2641" s="156"/>
      <c r="AV2641" s="156"/>
      <c r="AW2641" s="156"/>
      <c r="AX2641" s="156"/>
      <c r="AY2641" s="156"/>
      <c r="AZ2641" s="156"/>
      <c r="BA2641" s="156"/>
      <c r="BB2641" s="2828"/>
      <c r="BC2641" s="452"/>
      <c r="BD2641" s="2829"/>
      <c r="BE2641" s="2837"/>
      <c r="BF2641" s="156"/>
    </row>
    <row r="2642" spans="1:58" ht="15" customHeight="1" outlineLevel="1" x14ac:dyDescent="0.35">
      <c r="A2642" s="1664"/>
      <c r="B2642" s="2812"/>
      <c r="C2642" s="3077"/>
      <c r="D2642" s="3980"/>
      <c r="E2642" s="3883"/>
      <c r="F2642" s="3984" t="str">
        <f>$E$1780</f>
        <v>ASHP-SEER17_ER1_MF_CompE</v>
      </c>
      <c r="G2642" s="3984"/>
      <c r="H2642" s="3984"/>
      <c r="I2642" s="3984"/>
      <c r="J2642" s="3501" t="str">
        <f>$C$1780</f>
        <v>354201_2019_12_</v>
      </c>
      <c r="K2642" s="3052">
        <v>9.5</v>
      </c>
      <c r="L2642" s="2822"/>
      <c r="M2642" s="3025"/>
      <c r="N2642" s="106"/>
      <c r="O2642" s="106"/>
      <c r="P2642" s="702"/>
      <c r="Q2642" s="574"/>
      <c r="R2642" s="702"/>
      <c r="S2642" s="106"/>
      <c r="T2642" s="486"/>
      <c r="U2642" s="106"/>
      <c r="V2642" s="4184"/>
      <c r="W2642" s="3421"/>
      <c r="X2642" s="3421"/>
      <c r="Y2642" s="2374">
        <v>9.5</v>
      </c>
      <c r="Z2642" s="3421">
        <v>9.5</v>
      </c>
      <c r="AA2642" s="3421">
        <v>9.5</v>
      </c>
      <c r="AB2642" s="3421">
        <v>9.5</v>
      </c>
      <c r="AC2642" s="2920">
        <v>9.5</v>
      </c>
      <c r="AD2642" s="583">
        <v>9.5</v>
      </c>
      <c r="AE2642" s="3429"/>
      <c r="AF2642" s="3421"/>
      <c r="AG2642" s="3421"/>
      <c r="AH2642" s="156"/>
      <c r="AI2642" s="156"/>
      <c r="AJ2642" s="156"/>
      <c r="AK2642" s="156"/>
      <c r="AL2642" s="156"/>
      <c r="AM2642" s="156"/>
      <c r="AN2642" s="156"/>
      <c r="AO2642" s="156"/>
      <c r="AP2642" s="156"/>
      <c r="AQ2642" s="156"/>
      <c r="AR2642" s="156"/>
      <c r="AS2642" s="156"/>
      <c r="AT2642" s="156"/>
      <c r="AU2642" s="156"/>
      <c r="AV2642" s="156"/>
      <c r="AW2642" s="156"/>
      <c r="AX2642" s="156"/>
      <c r="AY2642" s="156"/>
      <c r="AZ2642" s="156"/>
      <c r="BA2642" s="156"/>
      <c r="BB2642" s="2828"/>
      <c r="BC2642" s="452"/>
      <c r="BD2642" s="2829"/>
      <c r="BE2642" s="2837"/>
      <c r="BF2642" s="156"/>
    </row>
    <row r="2643" spans="1:58" ht="15" customHeight="1" outlineLevel="1" x14ac:dyDescent="0.35">
      <c r="A2643" s="1664"/>
      <c r="B2643" s="2812"/>
      <c r="C2643" s="3077"/>
      <c r="D2643" s="3980"/>
      <c r="E2643" s="3883"/>
      <c r="F2643" s="3984" t="str">
        <f>$E$1782</f>
        <v>ASHP-SEER17_ER2_MF_CompE</v>
      </c>
      <c r="G2643" s="3984"/>
      <c r="H2643" s="3984"/>
      <c r="I2643" s="3984"/>
      <c r="J2643" s="3501" t="str">
        <f>$C$1782</f>
        <v>354201_2019_12_</v>
      </c>
      <c r="K2643" s="3052">
        <v>9.5</v>
      </c>
      <c r="L2643" s="2822"/>
      <c r="M2643" s="3025"/>
      <c r="N2643" s="106"/>
      <c r="O2643" s="106"/>
      <c r="P2643" s="702"/>
      <c r="Q2643" s="574"/>
      <c r="R2643" s="702"/>
      <c r="S2643" s="106"/>
      <c r="T2643" s="486"/>
      <c r="U2643" s="106"/>
      <c r="V2643" s="4184"/>
      <c r="W2643" s="3421"/>
      <c r="X2643" s="3421"/>
      <c r="Y2643" s="2374">
        <v>9.5</v>
      </c>
      <c r="Z2643" s="3421">
        <v>9.5</v>
      </c>
      <c r="AA2643" s="3421">
        <v>9.5</v>
      </c>
      <c r="AB2643" s="3421">
        <v>9.5</v>
      </c>
      <c r="AC2643" s="2920">
        <v>9.5</v>
      </c>
      <c r="AD2643" s="583">
        <v>9.5</v>
      </c>
      <c r="AE2643" s="3429"/>
      <c r="AF2643" s="3421"/>
      <c r="AG2643" s="3421"/>
      <c r="AH2643" s="156"/>
      <c r="AI2643" s="156"/>
      <c r="AJ2643" s="156"/>
      <c r="AK2643" s="156"/>
      <c r="AL2643" s="156"/>
      <c r="AM2643" s="156"/>
      <c r="AN2643" s="156"/>
      <c r="AO2643" s="156"/>
      <c r="AP2643" s="156"/>
      <c r="AQ2643" s="156"/>
      <c r="AR2643" s="156"/>
      <c r="AS2643" s="156"/>
      <c r="AT2643" s="156"/>
      <c r="AU2643" s="156"/>
      <c r="AV2643" s="156"/>
      <c r="AW2643" s="156"/>
      <c r="AX2643" s="156"/>
      <c r="AY2643" s="156"/>
      <c r="AZ2643" s="156"/>
      <c r="BA2643" s="156"/>
      <c r="BB2643" s="2828"/>
      <c r="BC2643" s="452"/>
      <c r="BD2643" s="2829"/>
      <c r="BE2643" s="2837"/>
      <c r="BF2643" s="156"/>
    </row>
    <row r="2644" spans="1:58" ht="15" customHeight="1" outlineLevel="1" x14ac:dyDescent="0.35">
      <c r="A2644" s="1664"/>
      <c r="B2644" s="2812"/>
      <c r="C2644" s="3077"/>
      <c r="D2644" s="3980"/>
      <c r="E2644" s="3883"/>
      <c r="F2644" s="3984" t="str">
        <f>$E$1784</f>
        <v>ASHP-SEER18-Replace_CAC_ElectricHeat_ER1_SF</v>
      </c>
      <c r="G2644" s="3984"/>
      <c r="H2644" s="3984"/>
      <c r="I2644" s="3984"/>
      <c r="J2644" s="3501" t="str">
        <f>$C$1784</f>
        <v>354250_2021_12_</v>
      </c>
      <c r="K2644" s="3050">
        <v>10.124561403508777</v>
      </c>
      <c r="L2644" s="2822"/>
      <c r="M2644" s="2819" t="s">
        <v>4360</v>
      </c>
      <c r="N2644" s="106"/>
      <c r="O2644" s="106"/>
      <c r="P2644" s="702"/>
      <c r="Q2644" s="574"/>
      <c r="R2644" s="702"/>
      <c r="S2644" s="106"/>
      <c r="T2644" s="486"/>
      <c r="U2644" s="106"/>
      <c r="V2644" s="4184"/>
      <c r="W2644" s="3421">
        <v>9.4</v>
      </c>
      <c r="X2644" s="3421">
        <v>9.4</v>
      </c>
      <c r="Y2644" s="3421">
        <v>9.4</v>
      </c>
      <c r="Z2644" s="3421">
        <v>9.4</v>
      </c>
      <c r="AA2644" s="3421">
        <v>9.4</v>
      </c>
      <c r="AB2644" s="681">
        <v>9.8885057471264393</v>
      </c>
      <c r="AC2644" s="2919">
        <v>10.084070796460182</v>
      </c>
      <c r="AD2644" s="3050">
        <v>10.124561403508777</v>
      </c>
      <c r="AE2644" s="3429"/>
      <c r="AF2644" s="3421"/>
      <c r="AG2644" s="3421"/>
      <c r="AH2644" s="156"/>
      <c r="AI2644" s="156"/>
      <c r="AJ2644" s="156"/>
      <c r="AK2644" s="156"/>
      <c r="AL2644" s="156"/>
      <c r="AM2644" s="156"/>
      <c r="AN2644" s="156"/>
      <c r="AO2644" s="156"/>
      <c r="AP2644" s="156"/>
      <c r="AQ2644" s="156"/>
      <c r="AR2644" s="156"/>
      <c r="AS2644" s="156"/>
      <c r="AT2644" s="156"/>
      <c r="AU2644" s="156"/>
      <c r="AV2644" s="156"/>
      <c r="AW2644" s="156"/>
      <c r="AX2644" s="156"/>
      <c r="AY2644" s="156"/>
      <c r="AZ2644" s="156"/>
      <c r="BA2644" s="156"/>
      <c r="BB2644" s="2828"/>
      <c r="BC2644" s="452"/>
      <c r="BD2644" s="2829"/>
      <c r="BE2644" s="2837"/>
      <c r="BF2644" s="156"/>
    </row>
    <row r="2645" spans="1:58" ht="15" customHeight="1" outlineLevel="1" x14ac:dyDescent="0.35">
      <c r="A2645" s="1664"/>
      <c r="B2645" s="2812"/>
      <c r="C2645" s="3077"/>
      <c r="D2645" s="3980"/>
      <c r="E2645" s="3883"/>
      <c r="F2645" s="3984" t="str">
        <f>$E$1786</f>
        <v>ASHP-SEER18-Replace_CAC_ElectricHeat_ER2_SF</v>
      </c>
      <c r="G2645" s="3984"/>
      <c r="H2645" s="3984"/>
      <c r="I2645" s="3984"/>
      <c r="J2645" s="3501" t="str">
        <f>$C$1786</f>
        <v>354250_2021_12_</v>
      </c>
      <c r="K2645" s="3050">
        <v>10.124561403508777</v>
      </c>
      <c r="L2645" s="2822"/>
      <c r="M2645" s="2819" t="s">
        <v>4360</v>
      </c>
      <c r="N2645" s="106"/>
      <c r="O2645" s="106"/>
      <c r="P2645" s="702"/>
      <c r="Q2645" s="574"/>
      <c r="R2645" s="702"/>
      <c r="S2645" s="106"/>
      <c r="T2645" s="486"/>
      <c r="U2645" s="106"/>
      <c r="V2645" s="4184"/>
      <c r="W2645" s="3421">
        <v>9.4</v>
      </c>
      <c r="X2645" s="3421">
        <v>9.4</v>
      </c>
      <c r="Y2645" s="3421">
        <v>9.4</v>
      </c>
      <c r="Z2645" s="3421">
        <v>9.4</v>
      </c>
      <c r="AA2645" s="3421">
        <v>9.4</v>
      </c>
      <c r="AB2645" s="681">
        <v>9.8885057471264393</v>
      </c>
      <c r="AC2645" s="2919">
        <f>AC2644</f>
        <v>10.084070796460182</v>
      </c>
      <c r="AD2645" s="3050">
        <v>10.124561403508777</v>
      </c>
      <c r="AE2645" s="3429"/>
      <c r="AF2645" s="3421"/>
      <c r="AG2645" s="3421"/>
      <c r="AH2645" s="156"/>
      <c r="AI2645" s="156"/>
      <c r="AJ2645" s="156"/>
      <c r="AK2645" s="156"/>
      <c r="AL2645" s="156"/>
      <c r="AM2645" s="156"/>
      <c r="AN2645" s="156"/>
      <c r="AO2645" s="156"/>
      <c r="AP2645" s="156"/>
      <c r="AQ2645" s="156"/>
      <c r="AR2645" s="156"/>
      <c r="AS2645" s="156"/>
      <c r="AT2645" s="156"/>
      <c r="AU2645" s="156"/>
      <c r="AV2645" s="156"/>
      <c r="AW2645" s="156"/>
      <c r="AX2645" s="156"/>
      <c r="AY2645" s="156"/>
      <c r="AZ2645" s="156"/>
      <c r="BA2645" s="156"/>
      <c r="BB2645" s="2828"/>
      <c r="BC2645" s="452"/>
      <c r="BD2645" s="2829"/>
      <c r="BE2645" s="2837"/>
      <c r="BF2645" s="156"/>
    </row>
    <row r="2646" spans="1:58" ht="15" customHeight="1" outlineLevel="1" x14ac:dyDescent="0.35">
      <c r="A2646" s="1664"/>
      <c r="B2646" s="2812"/>
      <c r="C2646" s="3077"/>
      <c r="D2646" s="3980"/>
      <c r="E2646" s="3883"/>
      <c r="F2646" s="3984" t="str">
        <f>$E$1788</f>
        <v>ASHP-SEER18-Replace_CAC_NonElectricHeat_ER1_SF</v>
      </c>
      <c r="G2646" s="3984"/>
      <c r="H2646" s="3984"/>
      <c r="I2646" s="3984"/>
      <c r="J2646" s="3501" t="str">
        <f>$C$1788</f>
        <v>354260_2021_12_</v>
      </c>
      <c r="K2646" s="3050">
        <v>10.124561403508777</v>
      </c>
      <c r="L2646" s="2822"/>
      <c r="M2646" s="3025" t="s">
        <v>1083</v>
      </c>
      <c r="N2646" s="106"/>
      <c r="O2646" s="106"/>
      <c r="P2646" s="702"/>
      <c r="Q2646" s="574"/>
      <c r="R2646" s="702"/>
      <c r="S2646" s="106"/>
      <c r="T2646" s="486"/>
      <c r="U2646" s="106"/>
      <c r="V2646" s="4184"/>
      <c r="W2646" s="3421"/>
      <c r="X2646" s="3421"/>
      <c r="Y2646" s="3421"/>
      <c r="Z2646" s="3421"/>
      <c r="AA2646" s="3421"/>
      <c r="AB2646" s="681"/>
      <c r="AC2646" s="2919">
        <v>10.084070796460182</v>
      </c>
      <c r="AD2646" s="3050">
        <v>10.124561403508777</v>
      </c>
      <c r="AE2646" s="3429"/>
      <c r="AF2646" s="3421"/>
      <c r="AG2646" s="3421"/>
      <c r="AH2646" s="156"/>
      <c r="AI2646" s="156"/>
      <c r="AJ2646" s="156"/>
      <c r="AK2646" s="156"/>
      <c r="AL2646" s="156"/>
      <c r="AM2646" s="156"/>
      <c r="AN2646" s="156"/>
      <c r="AO2646" s="156"/>
      <c r="AP2646" s="156"/>
      <c r="AQ2646" s="156"/>
      <c r="AR2646" s="156"/>
      <c r="AS2646" s="156"/>
      <c r="AT2646" s="156"/>
      <c r="AU2646" s="156"/>
      <c r="AV2646" s="156"/>
      <c r="AW2646" s="156"/>
      <c r="AX2646" s="156"/>
      <c r="AY2646" s="156"/>
      <c r="AZ2646" s="156"/>
      <c r="BA2646" s="156"/>
      <c r="BB2646" s="2828"/>
      <c r="BC2646" s="452"/>
      <c r="BD2646" s="2829"/>
      <c r="BE2646" s="2837"/>
      <c r="BF2646" s="156"/>
    </row>
    <row r="2647" spans="1:58" ht="15" customHeight="1" outlineLevel="1" x14ac:dyDescent="0.35">
      <c r="A2647" s="1664"/>
      <c r="B2647" s="2812"/>
      <c r="C2647" s="3077"/>
      <c r="D2647" s="3980"/>
      <c r="E2647" s="3883"/>
      <c r="F2647" s="3984" t="str">
        <f>$E$1790</f>
        <v>ASHP-SEER18-Replace_CAC_NonElectricHeat_ER2_SF</v>
      </c>
      <c r="G2647" s="3984"/>
      <c r="H2647" s="3984"/>
      <c r="I2647" s="3984"/>
      <c r="J2647" s="3501" t="str">
        <f>$C$1790</f>
        <v>354260_2021_12_</v>
      </c>
      <c r="K2647" s="3050">
        <v>10.124561403508777</v>
      </c>
      <c r="L2647" s="2822"/>
      <c r="M2647" s="3025" t="s">
        <v>1083</v>
      </c>
      <c r="N2647" s="106"/>
      <c r="O2647" s="106"/>
      <c r="P2647" s="702"/>
      <c r="Q2647" s="574"/>
      <c r="R2647" s="702"/>
      <c r="S2647" s="106"/>
      <c r="T2647" s="486"/>
      <c r="U2647" s="106"/>
      <c r="V2647" s="4184"/>
      <c r="W2647" s="3421"/>
      <c r="X2647" s="3421"/>
      <c r="Y2647" s="3421"/>
      <c r="Z2647" s="3421"/>
      <c r="AA2647" s="3421"/>
      <c r="AB2647" s="681"/>
      <c r="AC2647" s="2919">
        <f>AC2646</f>
        <v>10.084070796460182</v>
      </c>
      <c r="AD2647" s="3050">
        <v>10.124561403508777</v>
      </c>
      <c r="AE2647" s="3429"/>
      <c r="AF2647" s="3421"/>
      <c r="AG2647" s="3421"/>
      <c r="AH2647" s="156"/>
      <c r="AI2647" s="156"/>
      <c r="AJ2647" s="156"/>
      <c r="AK2647" s="156"/>
      <c r="AL2647" s="156"/>
      <c r="AM2647" s="156"/>
      <c r="AN2647" s="156"/>
      <c r="AO2647" s="156"/>
      <c r="AP2647" s="156"/>
      <c r="AQ2647" s="156"/>
      <c r="AR2647" s="156"/>
      <c r="AS2647" s="156"/>
      <c r="AT2647" s="156"/>
      <c r="AU2647" s="156"/>
      <c r="AV2647" s="156"/>
      <c r="AW2647" s="156"/>
      <c r="AX2647" s="156"/>
      <c r="AY2647" s="156"/>
      <c r="AZ2647" s="156"/>
      <c r="BA2647" s="156"/>
      <c r="BB2647" s="2828"/>
      <c r="BC2647" s="452"/>
      <c r="BD2647" s="2829"/>
      <c r="BE2647" s="2837"/>
      <c r="BF2647" s="156"/>
    </row>
    <row r="2648" spans="1:58" ht="15" customHeight="1" outlineLevel="1" x14ac:dyDescent="0.35">
      <c r="A2648" s="1664"/>
      <c r="B2648" s="2812"/>
      <c r="C2648" s="3077"/>
      <c r="D2648" s="3980"/>
      <c r="E2648" s="3883"/>
      <c r="F2648" s="3984" t="str">
        <f>$E$1792</f>
        <v>ASHP-SEER18-Replace_CAC_ElectricHeat_ER1_MF</v>
      </c>
      <c r="G2648" s="3984"/>
      <c r="H2648" s="3984"/>
      <c r="I2648" s="3984"/>
      <c r="J2648" s="3501" t="str">
        <f>$C$1792</f>
        <v>354300_2021_12_</v>
      </c>
      <c r="K2648" s="3052">
        <v>10</v>
      </c>
      <c r="L2648" s="2822"/>
      <c r="M2648" s="2819" t="s">
        <v>4360</v>
      </c>
      <c r="N2648" s="106"/>
      <c r="O2648" s="106"/>
      <c r="P2648" s="702"/>
      <c r="Q2648" s="574"/>
      <c r="R2648" s="702"/>
      <c r="S2648" s="106"/>
      <c r="T2648" s="486"/>
      <c r="U2648" s="106"/>
      <c r="V2648" s="4184"/>
      <c r="W2648" s="3421">
        <v>9.4</v>
      </c>
      <c r="X2648" s="3421">
        <v>9.4</v>
      </c>
      <c r="Y2648" s="3421">
        <v>9.4</v>
      </c>
      <c r="Z2648" s="3421">
        <v>9.4</v>
      </c>
      <c r="AA2648" s="3421">
        <v>9.4</v>
      </c>
      <c r="AB2648" s="681">
        <v>10</v>
      </c>
      <c r="AC2648" s="2920">
        <v>10</v>
      </c>
      <c r="AD2648" s="583">
        <v>10</v>
      </c>
      <c r="AE2648" s="3429"/>
      <c r="AF2648" s="3421"/>
      <c r="AG2648" s="3421"/>
      <c r="AH2648" s="156"/>
      <c r="AI2648" s="156"/>
      <c r="AJ2648" s="156"/>
      <c r="AK2648" s="156"/>
      <c r="AL2648" s="156"/>
      <c r="AM2648" s="156"/>
      <c r="AN2648" s="156"/>
      <c r="AO2648" s="156"/>
      <c r="AP2648" s="156"/>
      <c r="AQ2648" s="156"/>
      <c r="AR2648" s="156"/>
      <c r="AS2648" s="156"/>
      <c r="AT2648" s="156"/>
      <c r="AU2648" s="156"/>
      <c r="AV2648" s="156"/>
      <c r="AW2648" s="156"/>
      <c r="AX2648" s="156"/>
      <c r="AY2648" s="156"/>
      <c r="AZ2648" s="156"/>
      <c r="BA2648" s="156"/>
      <c r="BB2648" s="2828"/>
      <c r="BC2648" s="452"/>
      <c r="BD2648" s="2829"/>
      <c r="BE2648" s="2837"/>
      <c r="BF2648" s="156"/>
    </row>
    <row r="2649" spans="1:58" ht="15" customHeight="1" outlineLevel="1" x14ac:dyDescent="0.35">
      <c r="A2649" s="1664"/>
      <c r="B2649" s="2812"/>
      <c r="C2649" s="3077"/>
      <c r="D2649" s="3980"/>
      <c r="E2649" s="3883"/>
      <c r="F2649" s="3984" t="str">
        <f>$E$1794</f>
        <v>ASHP-SEER18-Replace_CAC_ElectricHeat_ER2_MF</v>
      </c>
      <c r="G2649" s="3984"/>
      <c r="H2649" s="3984"/>
      <c r="I2649" s="3984"/>
      <c r="J2649" s="3501" t="str">
        <f>$C$1794</f>
        <v>354300_2021_12_</v>
      </c>
      <c r="K2649" s="3052">
        <v>10</v>
      </c>
      <c r="L2649" s="2822"/>
      <c r="M2649" s="2819" t="s">
        <v>4360</v>
      </c>
      <c r="N2649" s="106"/>
      <c r="O2649" s="106"/>
      <c r="P2649" s="702"/>
      <c r="Q2649" s="574"/>
      <c r="R2649" s="702"/>
      <c r="S2649" s="106"/>
      <c r="T2649" s="486"/>
      <c r="U2649" s="106"/>
      <c r="V2649" s="4184"/>
      <c r="W2649" s="3421">
        <v>9.4</v>
      </c>
      <c r="X2649" s="3421">
        <v>9.4</v>
      </c>
      <c r="Y2649" s="3421">
        <v>9.4</v>
      </c>
      <c r="Z2649" s="3421">
        <v>9.4</v>
      </c>
      <c r="AA2649" s="3421">
        <v>9.4</v>
      </c>
      <c r="AB2649" s="681">
        <v>10</v>
      </c>
      <c r="AC2649" s="2920">
        <f>AC2648</f>
        <v>10</v>
      </c>
      <c r="AD2649" s="583">
        <v>10</v>
      </c>
      <c r="AE2649" s="3429"/>
      <c r="AF2649" s="3421"/>
      <c r="AG2649" s="3421"/>
      <c r="AH2649" s="156"/>
      <c r="AI2649" s="156"/>
      <c r="AJ2649" s="156"/>
      <c r="AK2649" s="156"/>
      <c r="AL2649" s="156"/>
      <c r="AM2649" s="156"/>
      <c r="AN2649" s="156"/>
      <c r="AO2649" s="156"/>
      <c r="AP2649" s="156"/>
      <c r="AQ2649" s="156"/>
      <c r="AR2649" s="156"/>
      <c r="AS2649" s="156"/>
      <c r="AT2649" s="156"/>
      <c r="AU2649" s="156"/>
      <c r="AV2649" s="156"/>
      <c r="AW2649" s="156"/>
      <c r="AX2649" s="156"/>
      <c r="AY2649" s="156"/>
      <c r="AZ2649" s="156"/>
      <c r="BA2649" s="156"/>
      <c r="BB2649" s="2828"/>
      <c r="BC2649" s="452"/>
      <c r="BD2649" s="2829"/>
      <c r="BE2649" s="2837"/>
      <c r="BF2649" s="156"/>
    </row>
    <row r="2650" spans="1:58" ht="15" customHeight="1" outlineLevel="1" x14ac:dyDescent="0.35">
      <c r="A2650" s="1664"/>
      <c r="B2650" s="2812"/>
      <c r="C2650" s="3077"/>
      <c r="D2650" s="3980"/>
      <c r="E2650" s="3883"/>
      <c r="F2650" s="3984" t="str">
        <f>$E$1796</f>
        <v>ASHP-SEER18-Replace_CAC_ElectricHeat_ER1_MF_CompE</v>
      </c>
      <c r="G2650" s="3984"/>
      <c r="H2650" s="3984"/>
      <c r="I2650" s="3984"/>
      <c r="J2650" s="3501" t="str">
        <f>$C$1796</f>
        <v>354301_2021_12_</v>
      </c>
      <c r="K2650" s="3052">
        <v>10</v>
      </c>
      <c r="L2650" s="2822"/>
      <c r="M2650" s="3040" t="s">
        <v>1083</v>
      </c>
      <c r="N2650" s="106"/>
      <c r="O2650" s="106"/>
      <c r="P2650" s="702"/>
      <c r="Q2650" s="574"/>
      <c r="R2650" s="702"/>
      <c r="S2650" s="106"/>
      <c r="T2650" s="486"/>
      <c r="U2650" s="106"/>
      <c r="V2650" s="4184"/>
      <c r="W2650" s="3421"/>
      <c r="X2650" s="3421"/>
      <c r="Y2650" s="2374">
        <v>9.4</v>
      </c>
      <c r="Z2650" s="3421">
        <v>9.4</v>
      </c>
      <c r="AA2650" s="3421">
        <v>9.4</v>
      </c>
      <c r="AB2650" s="681">
        <v>10</v>
      </c>
      <c r="AC2650" s="2920">
        <f>AC2648</f>
        <v>10</v>
      </c>
      <c r="AD2650" s="583">
        <v>10</v>
      </c>
      <c r="AE2650" s="3429"/>
      <c r="AF2650" s="3421"/>
      <c r="AG2650" s="3421"/>
      <c r="AH2650" s="156"/>
      <c r="AI2650" s="156"/>
      <c r="AJ2650" s="156"/>
      <c r="AK2650" s="156"/>
      <c r="AL2650" s="156"/>
      <c r="AM2650" s="156"/>
      <c r="AN2650" s="156"/>
      <c r="AO2650" s="156"/>
      <c r="AP2650" s="156"/>
      <c r="AQ2650" s="156"/>
      <c r="AR2650" s="156"/>
      <c r="AS2650" s="156"/>
      <c r="AT2650" s="156"/>
      <c r="AU2650" s="156"/>
      <c r="AV2650" s="156"/>
      <c r="AW2650" s="156"/>
      <c r="AX2650" s="156"/>
      <c r="AY2650" s="156"/>
      <c r="AZ2650" s="156"/>
      <c r="BA2650" s="156"/>
      <c r="BB2650" s="2828"/>
      <c r="BC2650" s="452"/>
      <c r="BD2650" s="2829"/>
      <c r="BE2650" s="2837"/>
      <c r="BF2650" s="156"/>
    </row>
    <row r="2651" spans="1:58" ht="15" customHeight="1" outlineLevel="1" x14ac:dyDescent="0.35">
      <c r="A2651" s="1664"/>
      <c r="B2651" s="2812"/>
      <c r="C2651" s="3077"/>
      <c r="D2651" s="3980"/>
      <c r="E2651" s="3883"/>
      <c r="F2651" s="3984" t="str">
        <f>$E$1798</f>
        <v>ASHP-SEER18-Replace_CAC_ElectricHeat_ER2_MF_CompE</v>
      </c>
      <c r="G2651" s="3984"/>
      <c r="H2651" s="3984"/>
      <c r="I2651" s="3984"/>
      <c r="J2651" s="3501" t="str">
        <f>$C$1798</f>
        <v>354301_2021_12_</v>
      </c>
      <c r="K2651" s="3052">
        <v>10</v>
      </c>
      <c r="L2651" s="2822"/>
      <c r="M2651" s="3040" t="s">
        <v>1083</v>
      </c>
      <c r="N2651" s="106"/>
      <c r="O2651" s="106"/>
      <c r="P2651" s="702"/>
      <c r="Q2651" s="574"/>
      <c r="R2651" s="702"/>
      <c r="S2651" s="106"/>
      <c r="T2651" s="486"/>
      <c r="U2651" s="106"/>
      <c r="V2651" s="4184"/>
      <c r="W2651" s="3421"/>
      <c r="X2651" s="3421"/>
      <c r="Y2651" s="2374">
        <v>9.4</v>
      </c>
      <c r="Z2651" s="3421">
        <v>9.4</v>
      </c>
      <c r="AA2651" s="3421">
        <v>9.4</v>
      </c>
      <c r="AB2651" s="681">
        <v>10</v>
      </c>
      <c r="AC2651" s="2920">
        <f>AC2649</f>
        <v>10</v>
      </c>
      <c r="AD2651" s="583">
        <v>10</v>
      </c>
      <c r="AE2651" s="3429"/>
      <c r="AF2651" s="3421"/>
      <c r="AG2651" s="3421"/>
      <c r="AH2651" s="156"/>
      <c r="AI2651" s="156"/>
      <c r="AJ2651" s="156"/>
      <c r="AK2651" s="156"/>
      <c r="AL2651" s="156"/>
      <c r="AM2651" s="156"/>
      <c r="AN2651" s="156"/>
      <c r="AO2651" s="156"/>
      <c r="AP2651" s="156"/>
      <c r="AQ2651" s="156"/>
      <c r="AR2651" s="156"/>
      <c r="AS2651" s="156"/>
      <c r="AT2651" s="156"/>
      <c r="AU2651" s="156"/>
      <c r="AV2651" s="156"/>
      <c r="AW2651" s="156"/>
      <c r="AX2651" s="156"/>
      <c r="AY2651" s="156"/>
      <c r="AZ2651" s="156"/>
      <c r="BA2651" s="156"/>
      <c r="BB2651" s="2828"/>
      <c r="BC2651" s="452"/>
      <c r="BD2651" s="2829"/>
      <c r="BE2651" s="2837"/>
      <c r="BF2651" s="156"/>
    </row>
    <row r="2652" spans="1:58" ht="15" customHeight="1" outlineLevel="1" x14ac:dyDescent="0.35">
      <c r="A2652" s="1664"/>
      <c r="B2652" s="2812"/>
      <c r="C2652" s="3077"/>
      <c r="D2652" s="3980"/>
      <c r="E2652" s="3883"/>
      <c r="F2652" s="3984" t="str">
        <f>$E$1800</f>
        <v>ASHP-SEER18-Replace_CAC_NonElectricHeat_ER1_MF</v>
      </c>
      <c r="G2652" s="3984"/>
      <c r="H2652" s="3984"/>
      <c r="I2652" s="3984"/>
      <c r="J2652" s="3501" t="str">
        <f>$C$1800</f>
        <v>354310_2021_12_</v>
      </c>
      <c r="K2652" s="3052">
        <v>10</v>
      </c>
      <c r="L2652" s="2822"/>
      <c r="M2652" s="3025" t="s">
        <v>1083</v>
      </c>
      <c r="N2652" s="106"/>
      <c r="O2652" s="106"/>
      <c r="P2652" s="702"/>
      <c r="Q2652" s="574"/>
      <c r="R2652" s="702"/>
      <c r="S2652" s="106"/>
      <c r="T2652" s="486"/>
      <c r="U2652" s="106"/>
      <c r="V2652" s="4184"/>
      <c r="W2652" s="3421"/>
      <c r="X2652" s="3421"/>
      <c r="Y2652" s="2374"/>
      <c r="Z2652" s="3421"/>
      <c r="AA2652" s="3421"/>
      <c r="AB2652" s="681"/>
      <c r="AC2652" s="2919">
        <v>10</v>
      </c>
      <c r="AD2652" s="583">
        <v>10</v>
      </c>
      <c r="AE2652" s="3429"/>
      <c r="AF2652" s="3421"/>
      <c r="AG2652" s="3421"/>
      <c r="AH2652" s="156"/>
      <c r="AI2652" s="156"/>
      <c r="AJ2652" s="156"/>
      <c r="AK2652" s="156"/>
      <c r="AL2652" s="156"/>
      <c r="AM2652" s="156"/>
      <c r="AN2652" s="156"/>
      <c r="AO2652" s="156"/>
      <c r="AP2652" s="156"/>
      <c r="AQ2652" s="156"/>
      <c r="AR2652" s="156"/>
      <c r="AS2652" s="156"/>
      <c r="AT2652" s="156"/>
      <c r="AU2652" s="156"/>
      <c r="AV2652" s="156"/>
      <c r="AW2652" s="156"/>
      <c r="AX2652" s="156"/>
      <c r="AY2652" s="156"/>
      <c r="AZ2652" s="156"/>
      <c r="BA2652" s="156"/>
      <c r="BB2652" s="2828"/>
      <c r="BC2652" s="452"/>
      <c r="BD2652" s="2829"/>
      <c r="BE2652" s="2837"/>
      <c r="BF2652" s="156"/>
    </row>
    <row r="2653" spans="1:58" ht="15" customHeight="1" outlineLevel="1" x14ac:dyDescent="0.35">
      <c r="A2653" s="1664"/>
      <c r="B2653" s="2812"/>
      <c r="C2653" s="3077"/>
      <c r="D2653" s="3980"/>
      <c r="E2653" s="3883"/>
      <c r="F2653" s="3984" t="str">
        <f>$E$1802</f>
        <v>ASHP-SEER18-Replace_CAC_NonElectricHeat_ER2_MF</v>
      </c>
      <c r="G2653" s="3984"/>
      <c r="H2653" s="3984"/>
      <c r="I2653" s="3984"/>
      <c r="J2653" s="3501" t="str">
        <f>$C$1802</f>
        <v>354310_2021_12_</v>
      </c>
      <c r="K2653" s="3052">
        <v>10</v>
      </c>
      <c r="L2653" s="2822"/>
      <c r="M2653" s="3025" t="s">
        <v>1083</v>
      </c>
      <c r="N2653" s="106"/>
      <c r="O2653" s="106"/>
      <c r="P2653" s="702"/>
      <c r="Q2653" s="574"/>
      <c r="R2653" s="702"/>
      <c r="S2653" s="106"/>
      <c r="T2653" s="486"/>
      <c r="U2653" s="106"/>
      <c r="V2653" s="4184"/>
      <c r="W2653" s="3421"/>
      <c r="X2653" s="3421"/>
      <c r="Y2653" s="2374"/>
      <c r="Z2653" s="3421"/>
      <c r="AA2653" s="3421"/>
      <c r="AB2653" s="681"/>
      <c r="AC2653" s="2919">
        <f>AC2652</f>
        <v>10</v>
      </c>
      <c r="AD2653" s="583">
        <v>10</v>
      </c>
      <c r="AE2653" s="3429"/>
      <c r="AF2653" s="3421"/>
      <c r="AG2653" s="3421"/>
      <c r="AH2653" s="156"/>
      <c r="AI2653" s="156"/>
      <c r="AJ2653" s="156"/>
      <c r="AK2653" s="156"/>
      <c r="AL2653" s="156"/>
      <c r="AM2653" s="156"/>
      <c r="AN2653" s="156"/>
      <c r="AO2653" s="156"/>
      <c r="AP2653" s="156"/>
      <c r="AQ2653" s="156"/>
      <c r="AR2653" s="156"/>
      <c r="AS2653" s="156"/>
      <c r="AT2653" s="156"/>
      <c r="AU2653" s="156"/>
      <c r="AV2653" s="156"/>
      <c r="AW2653" s="156"/>
      <c r="AX2653" s="156"/>
      <c r="AY2653" s="156"/>
      <c r="AZ2653" s="156"/>
      <c r="BA2653" s="156"/>
      <c r="BB2653" s="2828"/>
      <c r="BC2653" s="452"/>
      <c r="BD2653" s="2829"/>
      <c r="BE2653" s="2837"/>
      <c r="BF2653" s="156"/>
    </row>
    <row r="2654" spans="1:58" ht="15" customHeight="1" outlineLevel="1" x14ac:dyDescent="0.35">
      <c r="A2654" s="1664"/>
      <c r="B2654" s="2812"/>
      <c r="C2654" s="3077"/>
      <c r="D2654" s="3980"/>
      <c r="E2654" s="3883"/>
      <c r="F2654" s="3984" t="str">
        <f>$E$1804</f>
        <v>ASHP-SEER18-Replace_CAC_NonElectricHeat_ER1_MF_CompE</v>
      </c>
      <c r="G2654" s="3984"/>
      <c r="H2654" s="3984"/>
      <c r="I2654" s="3984"/>
      <c r="J2654" s="3501" t="str">
        <f>$C$1804</f>
        <v>354311_2021_12_</v>
      </c>
      <c r="K2654" s="3052">
        <v>10</v>
      </c>
      <c r="L2654" s="2822"/>
      <c r="M2654" s="3025" t="s">
        <v>1083</v>
      </c>
      <c r="N2654" s="106"/>
      <c r="O2654" s="106"/>
      <c r="P2654" s="702"/>
      <c r="Q2654" s="574"/>
      <c r="R2654" s="702"/>
      <c r="S2654" s="106"/>
      <c r="T2654" s="486"/>
      <c r="U2654" s="106"/>
      <c r="V2654" s="4184"/>
      <c r="W2654" s="3421"/>
      <c r="X2654" s="3421"/>
      <c r="Y2654" s="2374"/>
      <c r="Z2654" s="3421"/>
      <c r="AA2654" s="3421"/>
      <c r="AB2654" s="681"/>
      <c r="AC2654" s="2919">
        <f>AC2652</f>
        <v>10</v>
      </c>
      <c r="AD2654" s="583">
        <v>10</v>
      </c>
      <c r="AE2654" s="3429"/>
      <c r="AF2654" s="3421"/>
      <c r="AG2654" s="3421"/>
      <c r="AH2654" s="156"/>
      <c r="AI2654" s="156"/>
      <c r="AJ2654" s="156"/>
      <c r="AK2654" s="156"/>
      <c r="AL2654" s="156"/>
      <c r="AM2654" s="156"/>
      <c r="AN2654" s="156"/>
      <c r="AO2654" s="156"/>
      <c r="AP2654" s="156"/>
      <c r="AQ2654" s="156"/>
      <c r="AR2654" s="156"/>
      <c r="AS2654" s="156"/>
      <c r="AT2654" s="156"/>
      <c r="AU2654" s="156"/>
      <c r="AV2654" s="156"/>
      <c r="AW2654" s="156"/>
      <c r="AX2654" s="156"/>
      <c r="AY2654" s="156"/>
      <c r="AZ2654" s="156"/>
      <c r="BA2654" s="156"/>
      <c r="BB2654" s="2828"/>
      <c r="BC2654" s="452"/>
      <c r="BD2654" s="2829"/>
      <c r="BE2654" s="2837"/>
      <c r="BF2654" s="156"/>
    </row>
    <row r="2655" spans="1:58" ht="15" customHeight="1" outlineLevel="1" x14ac:dyDescent="0.35">
      <c r="A2655" s="1664"/>
      <c r="B2655" s="2812"/>
      <c r="C2655" s="3077"/>
      <c r="D2655" s="3980"/>
      <c r="E2655" s="3883"/>
      <c r="F2655" s="3984" t="str">
        <f>$E$1806</f>
        <v>ASHP-SEER18-Replace_CAC_NonElectricHeat_ER2_MF_CompE</v>
      </c>
      <c r="G2655" s="3984"/>
      <c r="H2655" s="3984"/>
      <c r="I2655" s="3984"/>
      <c r="J2655" s="3501" t="str">
        <f>$C$1806</f>
        <v>354311_2021_12_</v>
      </c>
      <c r="K2655" s="3052">
        <v>10</v>
      </c>
      <c r="L2655" s="2822"/>
      <c r="M2655" s="3025" t="s">
        <v>1083</v>
      </c>
      <c r="N2655" s="106"/>
      <c r="O2655" s="106"/>
      <c r="P2655" s="702"/>
      <c r="Q2655" s="574"/>
      <c r="R2655" s="702"/>
      <c r="S2655" s="106"/>
      <c r="T2655" s="486"/>
      <c r="U2655" s="106"/>
      <c r="V2655" s="4184"/>
      <c r="W2655" s="3421"/>
      <c r="X2655" s="3421"/>
      <c r="Y2655" s="2374"/>
      <c r="Z2655" s="3421"/>
      <c r="AA2655" s="3421"/>
      <c r="AB2655" s="681"/>
      <c r="AC2655" s="2919">
        <f>AC2653</f>
        <v>10</v>
      </c>
      <c r="AD2655" s="583">
        <v>10</v>
      </c>
      <c r="AE2655" s="3429"/>
      <c r="AF2655" s="3421"/>
      <c r="AG2655" s="3421"/>
      <c r="AH2655" s="156"/>
      <c r="AI2655" s="156"/>
      <c r="AJ2655" s="156"/>
      <c r="AK2655" s="156"/>
      <c r="AL2655" s="156"/>
      <c r="AM2655" s="156"/>
      <c r="AN2655" s="156"/>
      <c r="AO2655" s="156"/>
      <c r="AP2655" s="156"/>
      <c r="AQ2655" s="156"/>
      <c r="AR2655" s="156"/>
      <c r="AS2655" s="156"/>
      <c r="AT2655" s="156"/>
      <c r="AU2655" s="156"/>
      <c r="AV2655" s="156"/>
      <c r="AW2655" s="156"/>
      <c r="AX2655" s="156"/>
      <c r="AY2655" s="156"/>
      <c r="AZ2655" s="156"/>
      <c r="BA2655" s="156"/>
      <c r="BB2655" s="2828"/>
      <c r="BC2655" s="452"/>
      <c r="BD2655" s="2829"/>
      <c r="BE2655" s="2837"/>
      <c r="BF2655" s="156"/>
    </row>
    <row r="2656" spans="1:58" ht="15" customHeight="1" outlineLevel="1" x14ac:dyDescent="0.35">
      <c r="A2656" s="1664"/>
      <c r="B2656" s="2812"/>
      <c r="C2656" s="3077"/>
      <c r="D2656" s="3980"/>
      <c r="E2656" s="3883"/>
      <c r="F2656" s="3984" t="str">
        <f>$E$1808</f>
        <v>ASHP-SEER18_ER1_MF</v>
      </c>
      <c r="G2656" s="3984"/>
      <c r="H2656" s="3984"/>
      <c r="I2656" s="3984"/>
      <c r="J2656" s="3501" t="str">
        <f>$C$1808</f>
        <v>354350_2021_12_</v>
      </c>
      <c r="K2656" s="3050">
        <v>10</v>
      </c>
      <c r="L2656" s="2822"/>
      <c r="M2656" s="2819" t="s">
        <v>4360</v>
      </c>
      <c r="N2656" s="106"/>
      <c r="O2656" s="106"/>
      <c r="P2656" s="702"/>
      <c r="Q2656" s="574"/>
      <c r="R2656" s="702"/>
      <c r="S2656" s="106"/>
      <c r="T2656" s="486"/>
      <c r="U2656" s="106"/>
      <c r="V2656" s="4184"/>
      <c r="W2656" s="3421">
        <v>9.5</v>
      </c>
      <c r="X2656" s="3421">
        <v>9.5</v>
      </c>
      <c r="Y2656" s="3421">
        <v>9.5</v>
      </c>
      <c r="Z2656" s="3421">
        <v>9.5</v>
      </c>
      <c r="AA2656" s="3421">
        <v>9.5</v>
      </c>
      <c r="AB2656" s="1792">
        <v>9.5</v>
      </c>
      <c r="AC2656" s="2920">
        <v>9.5</v>
      </c>
      <c r="AD2656" s="3050">
        <v>10</v>
      </c>
      <c r="AE2656" s="3429"/>
      <c r="AF2656" s="3421"/>
      <c r="AG2656" s="3421"/>
      <c r="AH2656" s="156"/>
      <c r="AI2656" s="156"/>
      <c r="AJ2656" s="156"/>
      <c r="AK2656" s="156"/>
      <c r="AL2656" s="156"/>
      <c r="AM2656" s="156"/>
      <c r="AN2656" s="156"/>
      <c r="AO2656" s="156"/>
      <c r="AP2656" s="156"/>
      <c r="AQ2656" s="156"/>
      <c r="AR2656" s="156"/>
      <c r="AS2656" s="156"/>
      <c r="AT2656" s="156"/>
      <c r="AU2656" s="156"/>
      <c r="AV2656" s="156"/>
      <c r="AW2656" s="156"/>
      <c r="AX2656" s="156"/>
      <c r="AY2656" s="156"/>
      <c r="AZ2656" s="156"/>
      <c r="BA2656" s="156"/>
      <c r="BB2656" s="2828"/>
      <c r="BC2656" s="452"/>
      <c r="BD2656" s="2829"/>
      <c r="BE2656" s="2837"/>
      <c r="BF2656" s="156"/>
    </row>
    <row r="2657" spans="1:58" ht="15" customHeight="1" outlineLevel="1" x14ac:dyDescent="0.35">
      <c r="A2657" s="1664"/>
      <c r="B2657" s="2812"/>
      <c r="C2657" s="3077"/>
      <c r="D2657" s="3980"/>
      <c r="E2657" s="3883"/>
      <c r="F2657" s="3984" t="str">
        <f>$E$1810</f>
        <v>ASHP-SEER18_ER2_MF</v>
      </c>
      <c r="G2657" s="3984"/>
      <c r="H2657" s="3984"/>
      <c r="I2657" s="3984"/>
      <c r="J2657" s="3501" t="str">
        <f>$C$1810</f>
        <v>354350_2021_12_</v>
      </c>
      <c r="K2657" s="3050">
        <v>10</v>
      </c>
      <c r="L2657" s="2822"/>
      <c r="M2657" s="2819" t="s">
        <v>4360</v>
      </c>
      <c r="N2657" s="106"/>
      <c r="O2657" s="106"/>
      <c r="P2657" s="702"/>
      <c r="Q2657" s="574"/>
      <c r="R2657" s="702"/>
      <c r="S2657" s="106"/>
      <c r="T2657" s="486"/>
      <c r="U2657" s="106"/>
      <c r="V2657" s="4184"/>
      <c r="W2657" s="3421">
        <v>9.5</v>
      </c>
      <c r="X2657" s="3421">
        <v>9.5</v>
      </c>
      <c r="Y2657" s="3421">
        <v>9.5</v>
      </c>
      <c r="Z2657" s="3421">
        <v>9.5</v>
      </c>
      <c r="AA2657" s="3421">
        <v>9.5</v>
      </c>
      <c r="AB2657" s="1792">
        <v>9.5</v>
      </c>
      <c r="AC2657" s="2920">
        <f>AC2656</f>
        <v>9.5</v>
      </c>
      <c r="AD2657" s="3050">
        <v>10</v>
      </c>
      <c r="AE2657" s="3429"/>
      <c r="AF2657" s="3421"/>
      <c r="AG2657" s="3421"/>
      <c r="AH2657" s="156"/>
      <c r="AI2657" s="156"/>
      <c r="AJ2657" s="156"/>
      <c r="AK2657" s="156"/>
      <c r="AL2657" s="156"/>
      <c r="AM2657" s="156"/>
      <c r="AN2657" s="156"/>
      <c r="AO2657" s="156"/>
      <c r="AP2657" s="156"/>
      <c r="AQ2657" s="156"/>
      <c r="AR2657" s="156"/>
      <c r="AS2657" s="156"/>
      <c r="AT2657" s="156"/>
      <c r="AU2657" s="156"/>
      <c r="AV2657" s="156"/>
      <c r="AW2657" s="156"/>
      <c r="AX2657" s="156"/>
      <c r="AY2657" s="156"/>
      <c r="AZ2657" s="156"/>
      <c r="BA2657" s="156"/>
      <c r="BB2657" s="2828"/>
      <c r="BC2657" s="452"/>
      <c r="BD2657" s="2829"/>
      <c r="BE2657" s="2837"/>
      <c r="BF2657" s="156"/>
    </row>
    <row r="2658" spans="1:58" ht="15" customHeight="1" outlineLevel="1" x14ac:dyDescent="0.35">
      <c r="A2658" s="1664"/>
      <c r="B2658" s="2812"/>
      <c r="C2658" s="3077"/>
      <c r="D2658" s="3980"/>
      <c r="E2658" s="3883"/>
      <c r="F2658" s="3984" t="str">
        <f>$E$1812</f>
        <v>ASHP-SEER18_ER1_MF_CompE</v>
      </c>
      <c r="G2658" s="3984"/>
      <c r="H2658" s="3984"/>
      <c r="I2658" s="3984"/>
      <c r="J2658" s="3501" t="str">
        <f>$C$1812</f>
        <v>354351_2021_12_</v>
      </c>
      <c r="K2658" s="3050">
        <v>10</v>
      </c>
      <c r="L2658" s="2822"/>
      <c r="M2658" s="3025" t="s">
        <v>1083</v>
      </c>
      <c r="N2658" s="106"/>
      <c r="O2658" s="106"/>
      <c r="P2658" s="702"/>
      <c r="Q2658" s="574"/>
      <c r="R2658" s="702"/>
      <c r="S2658" s="106"/>
      <c r="T2658" s="486"/>
      <c r="U2658" s="106"/>
      <c r="V2658" s="4184"/>
      <c r="W2658" s="3421"/>
      <c r="X2658" s="3421"/>
      <c r="Y2658" s="2374">
        <v>9.5</v>
      </c>
      <c r="Z2658" s="3421">
        <v>9.5</v>
      </c>
      <c r="AA2658" s="3421">
        <v>9.5</v>
      </c>
      <c r="AB2658" s="3421">
        <v>9.5</v>
      </c>
      <c r="AC2658" s="2920">
        <v>9.5</v>
      </c>
      <c r="AD2658" s="3050">
        <v>10</v>
      </c>
      <c r="AE2658" s="3429"/>
      <c r="AF2658" s="3421"/>
      <c r="AG2658" s="3421"/>
      <c r="AH2658" s="156"/>
      <c r="AI2658" s="156"/>
      <c r="AJ2658" s="156"/>
      <c r="AK2658" s="156"/>
      <c r="AL2658" s="156"/>
      <c r="AM2658" s="156"/>
      <c r="AN2658" s="156"/>
      <c r="AO2658" s="156"/>
      <c r="AP2658" s="156"/>
      <c r="AQ2658" s="156"/>
      <c r="AR2658" s="156"/>
      <c r="AS2658" s="156"/>
      <c r="AT2658" s="156"/>
      <c r="AU2658" s="156"/>
      <c r="AV2658" s="156"/>
      <c r="AW2658" s="156"/>
      <c r="AX2658" s="156"/>
      <c r="AY2658" s="156"/>
      <c r="AZ2658" s="156"/>
      <c r="BA2658" s="156"/>
      <c r="BB2658" s="2828"/>
      <c r="BC2658" s="452"/>
      <c r="BD2658" s="2829"/>
      <c r="BE2658" s="2837"/>
      <c r="BF2658" s="156"/>
    </row>
    <row r="2659" spans="1:58" ht="15" customHeight="1" outlineLevel="1" x14ac:dyDescent="0.35">
      <c r="A2659" s="1664"/>
      <c r="B2659" s="2812"/>
      <c r="C2659" s="3077"/>
      <c r="D2659" s="3980"/>
      <c r="E2659" s="3883"/>
      <c r="F2659" s="3984" t="str">
        <f>$E$1814</f>
        <v>ASHP-SEER18_ER2_MF_CompE</v>
      </c>
      <c r="G2659" s="3984"/>
      <c r="H2659" s="3984"/>
      <c r="I2659" s="3984"/>
      <c r="J2659" s="3501" t="str">
        <f>$C$1814</f>
        <v>354351_2021_12_</v>
      </c>
      <c r="K2659" s="3050">
        <v>10</v>
      </c>
      <c r="L2659" s="2822"/>
      <c r="M2659" s="3025" t="s">
        <v>1083</v>
      </c>
      <c r="N2659" s="106"/>
      <c r="O2659" s="106"/>
      <c r="P2659" s="702"/>
      <c r="Q2659" s="574"/>
      <c r="R2659" s="702"/>
      <c r="S2659" s="106"/>
      <c r="T2659" s="486"/>
      <c r="U2659" s="106"/>
      <c r="V2659" s="4184"/>
      <c r="W2659" s="3421"/>
      <c r="X2659" s="3421"/>
      <c r="Y2659" s="2374">
        <v>9.5</v>
      </c>
      <c r="Z2659" s="3421">
        <v>9.5</v>
      </c>
      <c r="AA2659" s="3421">
        <v>9.5</v>
      </c>
      <c r="AB2659" s="3421">
        <v>9.5</v>
      </c>
      <c r="AC2659" s="2920">
        <v>9.5</v>
      </c>
      <c r="AD2659" s="3050">
        <v>10</v>
      </c>
      <c r="AE2659" s="3429"/>
      <c r="AF2659" s="3421"/>
      <c r="AG2659" s="3421"/>
      <c r="AH2659" s="156"/>
      <c r="AI2659" s="156"/>
      <c r="AJ2659" s="156"/>
      <c r="AK2659" s="156"/>
      <c r="AL2659" s="156"/>
      <c r="AM2659" s="156"/>
      <c r="AN2659" s="156"/>
      <c r="AO2659" s="156"/>
      <c r="AP2659" s="156"/>
      <c r="AQ2659" s="156"/>
      <c r="AR2659" s="156"/>
      <c r="AS2659" s="156"/>
      <c r="AT2659" s="156"/>
      <c r="AU2659" s="156"/>
      <c r="AV2659" s="156"/>
      <c r="AW2659" s="156"/>
      <c r="AX2659" s="156"/>
      <c r="AY2659" s="156"/>
      <c r="AZ2659" s="156"/>
      <c r="BA2659" s="156"/>
      <c r="BB2659" s="2828"/>
      <c r="BC2659" s="452"/>
      <c r="BD2659" s="2829"/>
      <c r="BE2659" s="2837"/>
      <c r="BF2659" s="156"/>
    </row>
    <row r="2660" spans="1:58" ht="15" customHeight="1" outlineLevel="1" x14ac:dyDescent="0.35">
      <c r="A2660" s="1664"/>
      <c r="B2660" s="2812"/>
      <c r="C2660" s="3077"/>
      <c r="D2660" s="3980"/>
      <c r="E2660" s="3883"/>
      <c r="F2660" s="3984" t="str">
        <f>$E$1816</f>
        <v>ASHP-SEER19-Replace_CAC_ElectricHeat_ER1_SF</v>
      </c>
      <c r="G2660" s="3984"/>
      <c r="H2660" s="3984"/>
      <c r="I2660" s="3984"/>
      <c r="J2660" s="3501" t="str">
        <f>$C$1816</f>
        <v>354400_2021_12_</v>
      </c>
      <c r="K2660" s="3050">
        <v>9.815151515151511</v>
      </c>
      <c r="L2660" s="2822"/>
      <c r="M2660" s="2819" t="s">
        <v>4360</v>
      </c>
      <c r="N2660" s="106"/>
      <c r="O2660" s="106"/>
      <c r="P2660" s="702"/>
      <c r="Q2660" s="574"/>
      <c r="R2660" s="702"/>
      <c r="S2660" s="106"/>
      <c r="T2660" s="486"/>
      <c r="U2660" s="106"/>
      <c r="V2660" s="4184"/>
      <c r="W2660" s="3421">
        <v>9.4</v>
      </c>
      <c r="X2660" s="3421">
        <v>9.4</v>
      </c>
      <c r="Y2660" s="3421">
        <v>9.4</v>
      </c>
      <c r="Z2660" s="3421">
        <v>9.4</v>
      </c>
      <c r="AA2660" s="3421">
        <v>9.4</v>
      </c>
      <c r="AB2660" s="3421">
        <v>9.4</v>
      </c>
      <c r="AC2660" s="2919">
        <v>10.099999999999998</v>
      </c>
      <c r="AD2660" s="3050">
        <v>9.815151515151511</v>
      </c>
      <c r="AE2660" s="3429"/>
      <c r="AF2660" s="3421"/>
      <c r="AG2660" s="3421"/>
      <c r="AH2660" s="156"/>
      <c r="AI2660" s="156"/>
      <c r="AJ2660" s="156"/>
      <c r="AK2660" s="156"/>
      <c r="AL2660" s="156"/>
      <c r="AM2660" s="156"/>
      <c r="AN2660" s="156"/>
      <c r="AO2660" s="156"/>
      <c r="AP2660" s="156"/>
      <c r="AQ2660" s="156"/>
      <c r="AR2660" s="156"/>
      <c r="AS2660" s="156"/>
      <c r="AT2660" s="156"/>
      <c r="AU2660" s="156"/>
      <c r="AV2660" s="156"/>
      <c r="AW2660" s="156"/>
      <c r="AX2660" s="156"/>
      <c r="AY2660" s="156"/>
      <c r="AZ2660" s="156"/>
      <c r="BA2660" s="156"/>
      <c r="BB2660" s="2828"/>
      <c r="BC2660" s="452"/>
      <c r="BD2660" s="2829"/>
      <c r="BE2660" s="2837"/>
      <c r="BF2660" s="156"/>
    </row>
    <row r="2661" spans="1:58" ht="15" customHeight="1" outlineLevel="1" x14ac:dyDescent="0.35">
      <c r="A2661" s="1664"/>
      <c r="B2661" s="2812"/>
      <c r="C2661" s="3077"/>
      <c r="D2661" s="3980"/>
      <c r="E2661" s="3883"/>
      <c r="F2661" s="3984" t="str">
        <f>$E$1818</f>
        <v>ASHP-SEER19-Replace_CAC_ElectricHeat_ER2_SF</v>
      </c>
      <c r="G2661" s="3984"/>
      <c r="H2661" s="3984"/>
      <c r="I2661" s="3984"/>
      <c r="J2661" s="3501" t="str">
        <f>$C$1818</f>
        <v>354400_2021_12_</v>
      </c>
      <c r="K2661" s="3050">
        <v>9.815151515151511</v>
      </c>
      <c r="L2661" s="2822"/>
      <c r="M2661" s="2819" t="s">
        <v>4360</v>
      </c>
      <c r="N2661" s="106"/>
      <c r="O2661" s="106"/>
      <c r="P2661" s="702"/>
      <c r="Q2661" s="574"/>
      <c r="R2661" s="702"/>
      <c r="S2661" s="106"/>
      <c r="T2661" s="486"/>
      <c r="U2661" s="106"/>
      <c r="V2661" s="4184"/>
      <c r="W2661" s="3421">
        <v>9.4</v>
      </c>
      <c r="X2661" s="3421">
        <v>9.4</v>
      </c>
      <c r="Y2661" s="3421">
        <v>9.4</v>
      </c>
      <c r="Z2661" s="3421">
        <v>9.4</v>
      </c>
      <c r="AA2661" s="3421">
        <v>9.4</v>
      </c>
      <c r="AB2661" s="3421">
        <v>9.4</v>
      </c>
      <c r="AC2661" s="2919">
        <f>AC2660</f>
        <v>10.099999999999998</v>
      </c>
      <c r="AD2661" s="3050">
        <v>9.815151515151511</v>
      </c>
      <c r="AE2661" s="3429"/>
      <c r="AF2661" s="3421"/>
      <c r="AG2661" s="3421"/>
      <c r="AH2661" s="156"/>
      <c r="AI2661" s="156"/>
      <c r="AJ2661" s="156"/>
      <c r="AK2661" s="156"/>
      <c r="AL2661" s="156"/>
      <c r="AM2661" s="156"/>
      <c r="AN2661" s="156"/>
      <c r="AO2661" s="156"/>
      <c r="AP2661" s="156"/>
      <c r="AQ2661" s="156"/>
      <c r="AR2661" s="156"/>
      <c r="AS2661" s="156"/>
      <c r="AT2661" s="156"/>
      <c r="AU2661" s="156"/>
      <c r="AV2661" s="156"/>
      <c r="AW2661" s="156"/>
      <c r="AX2661" s="156"/>
      <c r="AY2661" s="156"/>
      <c r="AZ2661" s="156"/>
      <c r="BA2661" s="156"/>
      <c r="BB2661" s="2828"/>
      <c r="BC2661" s="452"/>
      <c r="BD2661" s="2829"/>
      <c r="BE2661" s="2837"/>
      <c r="BF2661" s="156"/>
    </row>
    <row r="2662" spans="1:58" ht="15" customHeight="1" outlineLevel="1" x14ac:dyDescent="0.35">
      <c r="A2662" s="1664"/>
      <c r="B2662" s="2812"/>
      <c r="C2662" s="3077"/>
      <c r="D2662" s="3980"/>
      <c r="E2662" s="3883"/>
      <c r="F2662" s="3984" t="str">
        <f>$E$1820</f>
        <v>ASHP-SEER19-Replace_CAC_NonElectricHeat_ER1_SF</v>
      </c>
      <c r="G2662" s="3984"/>
      <c r="H2662" s="3984"/>
      <c r="I2662" s="3984"/>
      <c r="J2662" s="3501" t="str">
        <f>$C$1820</f>
        <v>354410_2021_12_</v>
      </c>
      <c r="K2662" s="3052">
        <v>10.099999999999998</v>
      </c>
      <c r="L2662" s="2822"/>
      <c r="M2662" s="3025" t="s">
        <v>1083</v>
      </c>
      <c r="N2662" s="106"/>
      <c r="O2662" s="106"/>
      <c r="P2662" s="702"/>
      <c r="Q2662" s="574"/>
      <c r="R2662" s="702"/>
      <c r="S2662" s="106"/>
      <c r="T2662" s="486"/>
      <c r="U2662" s="106"/>
      <c r="V2662" s="4184"/>
      <c r="W2662" s="3421"/>
      <c r="X2662" s="3421"/>
      <c r="Y2662" s="3421"/>
      <c r="Z2662" s="3421"/>
      <c r="AA2662" s="3421"/>
      <c r="AB2662" s="3421"/>
      <c r="AC2662" s="2919">
        <v>10.099999999999998</v>
      </c>
      <c r="AD2662" s="583">
        <v>10.099999999999998</v>
      </c>
      <c r="AE2662" s="3429"/>
      <c r="AF2662" s="3421"/>
      <c r="AG2662" s="3421"/>
      <c r="AH2662" s="156"/>
      <c r="AI2662" s="156"/>
      <c r="AJ2662" s="156"/>
      <c r="AK2662" s="156"/>
      <c r="AL2662" s="156"/>
      <c r="AM2662" s="156"/>
      <c r="AN2662" s="156"/>
      <c r="AO2662" s="156"/>
      <c r="AP2662" s="156"/>
      <c r="AQ2662" s="156"/>
      <c r="AR2662" s="156"/>
      <c r="AS2662" s="156"/>
      <c r="AT2662" s="156"/>
      <c r="AU2662" s="156"/>
      <c r="AV2662" s="156"/>
      <c r="AW2662" s="156"/>
      <c r="AX2662" s="156"/>
      <c r="AY2662" s="156"/>
      <c r="AZ2662" s="156"/>
      <c r="BA2662" s="156"/>
      <c r="BB2662" s="2828"/>
      <c r="BC2662" s="452"/>
      <c r="BD2662" s="2829"/>
      <c r="BE2662" s="2837"/>
      <c r="BF2662" s="156"/>
    </row>
    <row r="2663" spans="1:58" ht="15" customHeight="1" outlineLevel="1" x14ac:dyDescent="0.35">
      <c r="A2663" s="1664"/>
      <c r="B2663" s="2812"/>
      <c r="C2663" s="3077"/>
      <c r="D2663" s="3980"/>
      <c r="E2663" s="3883"/>
      <c r="F2663" s="3984" t="str">
        <f>$E$1822</f>
        <v>ASHP-SEER19-Replace_CAC_NonElectricHeat_ER2_SF</v>
      </c>
      <c r="G2663" s="3984"/>
      <c r="H2663" s="3984"/>
      <c r="I2663" s="3984"/>
      <c r="J2663" s="3501" t="str">
        <f>$C$1822</f>
        <v>354410_2021_12_</v>
      </c>
      <c r="K2663" s="3052">
        <v>10.099999999999998</v>
      </c>
      <c r="L2663" s="2822"/>
      <c r="M2663" s="3025" t="s">
        <v>1083</v>
      </c>
      <c r="N2663" s="106"/>
      <c r="O2663" s="106"/>
      <c r="P2663" s="702"/>
      <c r="Q2663" s="574"/>
      <c r="R2663" s="702"/>
      <c r="S2663" s="106"/>
      <c r="T2663" s="486"/>
      <c r="U2663" s="106"/>
      <c r="V2663" s="4184"/>
      <c r="W2663" s="3421"/>
      <c r="X2663" s="3421"/>
      <c r="Y2663" s="3421"/>
      <c r="Z2663" s="3421"/>
      <c r="AA2663" s="3421"/>
      <c r="AB2663" s="3421"/>
      <c r="AC2663" s="2919">
        <f>AC2662</f>
        <v>10.099999999999998</v>
      </c>
      <c r="AD2663" s="583">
        <v>10.099999999999998</v>
      </c>
      <c r="AE2663" s="3429"/>
      <c r="AF2663" s="3421"/>
      <c r="AG2663" s="3421"/>
      <c r="AH2663" s="156"/>
      <c r="AI2663" s="156"/>
      <c r="AJ2663" s="156"/>
      <c r="AK2663" s="156"/>
      <c r="AL2663" s="156"/>
      <c r="AM2663" s="156"/>
      <c r="AN2663" s="156"/>
      <c r="AO2663" s="156"/>
      <c r="AP2663" s="156"/>
      <c r="AQ2663" s="156"/>
      <c r="AR2663" s="156"/>
      <c r="AS2663" s="156"/>
      <c r="AT2663" s="156"/>
      <c r="AU2663" s="156"/>
      <c r="AV2663" s="156"/>
      <c r="AW2663" s="156"/>
      <c r="AX2663" s="156"/>
      <c r="AY2663" s="156"/>
      <c r="AZ2663" s="156"/>
      <c r="BA2663" s="156"/>
      <c r="BB2663" s="2828"/>
      <c r="BC2663" s="452"/>
      <c r="BD2663" s="2829"/>
      <c r="BE2663" s="2837"/>
      <c r="BF2663" s="156"/>
    </row>
    <row r="2664" spans="1:58" ht="15" customHeight="1" outlineLevel="1" x14ac:dyDescent="0.35">
      <c r="A2664" s="1664"/>
      <c r="B2664" s="2812"/>
      <c r="C2664" s="3077"/>
      <c r="D2664" s="3980"/>
      <c r="E2664" s="3883"/>
      <c r="F2664" s="3984" t="str">
        <f>$E$1824</f>
        <v>ASHP-SEER19-Replace_CAC_ElectricHeat_ER1_MF</v>
      </c>
      <c r="G2664" s="3984"/>
      <c r="H2664" s="3984"/>
      <c r="I2664" s="3984"/>
      <c r="J2664" s="3501" t="str">
        <f>$C$1824</f>
        <v>354450_2019_12_</v>
      </c>
      <c r="K2664" s="3052">
        <v>9.4</v>
      </c>
      <c r="L2664" s="2822"/>
      <c r="M2664" s="3041"/>
      <c r="N2664" s="106"/>
      <c r="O2664" s="106"/>
      <c r="P2664" s="702"/>
      <c r="Q2664" s="574"/>
      <c r="R2664" s="702"/>
      <c r="S2664" s="106"/>
      <c r="T2664" s="486"/>
      <c r="U2664" s="106"/>
      <c r="V2664" s="4184"/>
      <c r="W2664" s="3421">
        <v>9.4</v>
      </c>
      <c r="X2664" s="3421">
        <v>9.4</v>
      </c>
      <c r="Y2664" s="3421">
        <v>9.4</v>
      </c>
      <c r="Z2664" s="3421">
        <v>9.4</v>
      </c>
      <c r="AA2664" s="3421">
        <v>9.4</v>
      </c>
      <c r="AB2664" s="3421">
        <v>9.4</v>
      </c>
      <c r="AC2664" s="2920">
        <v>9.4</v>
      </c>
      <c r="AD2664" s="583">
        <v>9.4</v>
      </c>
      <c r="AE2664" s="3429"/>
      <c r="AF2664" s="3421"/>
      <c r="AG2664" s="3421"/>
      <c r="AH2664" s="156"/>
      <c r="AI2664" s="156"/>
      <c r="AJ2664" s="156"/>
      <c r="AK2664" s="156"/>
      <c r="AL2664" s="156"/>
      <c r="AM2664" s="156"/>
      <c r="AN2664" s="156"/>
      <c r="AO2664" s="156"/>
      <c r="AP2664" s="156"/>
      <c r="AQ2664" s="156"/>
      <c r="AR2664" s="156"/>
      <c r="AS2664" s="156"/>
      <c r="AT2664" s="156"/>
      <c r="AU2664" s="156"/>
      <c r="AV2664" s="156"/>
      <c r="AW2664" s="156"/>
      <c r="AX2664" s="156"/>
      <c r="AY2664" s="156"/>
      <c r="AZ2664" s="156"/>
      <c r="BA2664" s="156"/>
      <c r="BB2664" s="2828"/>
      <c r="BC2664" s="452"/>
      <c r="BD2664" s="2829"/>
      <c r="BE2664" s="2837"/>
      <c r="BF2664" s="156"/>
    </row>
    <row r="2665" spans="1:58" ht="15" customHeight="1" outlineLevel="1" x14ac:dyDescent="0.35">
      <c r="A2665" s="1664"/>
      <c r="B2665" s="2812"/>
      <c r="C2665" s="3077"/>
      <c r="D2665" s="3980"/>
      <c r="E2665" s="3883"/>
      <c r="F2665" s="3984" t="str">
        <f>$E$1826</f>
        <v>ASHP-SEER19-Replace_CAC_ElectricHeat_ER2_MF</v>
      </c>
      <c r="G2665" s="3984"/>
      <c r="H2665" s="3984"/>
      <c r="I2665" s="3984"/>
      <c r="J2665" s="3501" t="str">
        <f>$C$1826</f>
        <v>354450_2019_12_</v>
      </c>
      <c r="K2665" s="3052">
        <v>9.4</v>
      </c>
      <c r="L2665" s="2822"/>
      <c r="M2665" s="3041"/>
      <c r="N2665" s="106"/>
      <c r="O2665" s="106"/>
      <c r="P2665" s="702"/>
      <c r="Q2665" s="574"/>
      <c r="R2665" s="702"/>
      <c r="S2665" s="106"/>
      <c r="T2665" s="486"/>
      <c r="U2665" s="106"/>
      <c r="V2665" s="4184"/>
      <c r="W2665" s="3421">
        <v>9.4</v>
      </c>
      <c r="X2665" s="3421">
        <v>9.4</v>
      </c>
      <c r="Y2665" s="3421">
        <v>9.4</v>
      </c>
      <c r="Z2665" s="3421">
        <v>9.4</v>
      </c>
      <c r="AA2665" s="3421">
        <v>9.4</v>
      </c>
      <c r="AB2665" s="3421">
        <v>9.4</v>
      </c>
      <c r="AC2665" s="2920">
        <v>9.4</v>
      </c>
      <c r="AD2665" s="583">
        <v>9.4</v>
      </c>
      <c r="AE2665" s="3429"/>
      <c r="AF2665" s="3421"/>
      <c r="AG2665" s="3421"/>
      <c r="AH2665" s="156"/>
      <c r="AI2665" s="156"/>
      <c r="AJ2665" s="156"/>
      <c r="AK2665" s="156"/>
      <c r="AL2665" s="156"/>
      <c r="AM2665" s="156"/>
      <c r="AN2665" s="156"/>
      <c r="AO2665" s="156"/>
      <c r="AP2665" s="156"/>
      <c r="AQ2665" s="156"/>
      <c r="AR2665" s="156"/>
      <c r="AS2665" s="156"/>
      <c r="AT2665" s="156"/>
      <c r="AU2665" s="156"/>
      <c r="AV2665" s="156"/>
      <c r="AW2665" s="156"/>
      <c r="AX2665" s="156"/>
      <c r="AY2665" s="156"/>
      <c r="AZ2665" s="156"/>
      <c r="BA2665" s="156"/>
      <c r="BB2665" s="2828"/>
      <c r="BC2665" s="452"/>
      <c r="BD2665" s="2829"/>
      <c r="BE2665" s="2837"/>
      <c r="BF2665" s="156"/>
    </row>
    <row r="2666" spans="1:58" ht="15" customHeight="1" outlineLevel="1" x14ac:dyDescent="0.35">
      <c r="A2666" s="1664"/>
      <c r="B2666" s="2812"/>
      <c r="C2666" s="3077"/>
      <c r="D2666" s="3980"/>
      <c r="E2666" s="3883"/>
      <c r="F2666" s="3984" t="str">
        <f>$E$1828</f>
        <v>ASHP-SEER19-Replace_CAC_ElectricHeat_ER1_MF_CompE</v>
      </c>
      <c r="G2666" s="3984"/>
      <c r="H2666" s="3984"/>
      <c r="I2666" s="3984"/>
      <c r="J2666" s="3501" t="str">
        <f>$C$1828</f>
        <v>354451_2019_12_</v>
      </c>
      <c r="K2666" s="3052">
        <v>9.4</v>
      </c>
      <c r="L2666" s="2822"/>
      <c r="M2666" s="3041"/>
      <c r="N2666" s="106"/>
      <c r="O2666" s="106"/>
      <c r="P2666" s="702"/>
      <c r="Q2666" s="574"/>
      <c r="R2666" s="702"/>
      <c r="S2666" s="106"/>
      <c r="T2666" s="486"/>
      <c r="U2666" s="106"/>
      <c r="V2666" s="4184"/>
      <c r="W2666" s="3421"/>
      <c r="X2666" s="3421"/>
      <c r="Y2666" s="2374">
        <v>9.4</v>
      </c>
      <c r="Z2666" s="3421">
        <v>9.4</v>
      </c>
      <c r="AA2666" s="3421">
        <v>9.4</v>
      </c>
      <c r="AB2666" s="3421">
        <v>9.4</v>
      </c>
      <c r="AC2666" s="2920">
        <v>9.4</v>
      </c>
      <c r="AD2666" s="583">
        <v>9.4</v>
      </c>
      <c r="AE2666" s="3429"/>
      <c r="AF2666" s="3421"/>
      <c r="AG2666" s="3421"/>
      <c r="AH2666" s="156"/>
      <c r="AI2666" s="156"/>
      <c r="AJ2666" s="156"/>
      <c r="AK2666" s="156"/>
      <c r="AL2666" s="156"/>
      <c r="AM2666" s="156"/>
      <c r="AN2666" s="156"/>
      <c r="AO2666" s="156"/>
      <c r="AP2666" s="156"/>
      <c r="AQ2666" s="156"/>
      <c r="AR2666" s="156"/>
      <c r="AS2666" s="156"/>
      <c r="AT2666" s="156"/>
      <c r="AU2666" s="156"/>
      <c r="AV2666" s="156"/>
      <c r="AW2666" s="156"/>
      <c r="AX2666" s="156"/>
      <c r="AY2666" s="156"/>
      <c r="AZ2666" s="156"/>
      <c r="BA2666" s="156"/>
      <c r="BB2666" s="2828"/>
      <c r="BC2666" s="452"/>
      <c r="BD2666" s="2829"/>
      <c r="BE2666" s="2837"/>
      <c r="BF2666" s="156"/>
    </row>
    <row r="2667" spans="1:58" ht="15" customHeight="1" outlineLevel="1" x14ac:dyDescent="0.35">
      <c r="A2667" s="1664"/>
      <c r="B2667" s="2812"/>
      <c r="C2667" s="3077"/>
      <c r="D2667" s="3980"/>
      <c r="E2667" s="3883"/>
      <c r="F2667" s="3984" t="str">
        <f>$E$1830</f>
        <v>ASHP-SEER19-Replace_CAC_ElectricHeat_ER2_MF_CompE</v>
      </c>
      <c r="G2667" s="3984"/>
      <c r="H2667" s="3984"/>
      <c r="I2667" s="3984"/>
      <c r="J2667" s="3501" t="str">
        <f>$C$1830</f>
        <v>354451_2019_12_</v>
      </c>
      <c r="K2667" s="3052">
        <v>9.4</v>
      </c>
      <c r="L2667" s="2822"/>
      <c r="M2667" s="3041"/>
      <c r="N2667" s="106"/>
      <c r="O2667" s="106"/>
      <c r="P2667" s="702"/>
      <c r="Q2667" s="574"/>
      <c r="R2667" s="702"/>
      <c r="S2667" s="106"/>
      <c r="T2667" s="486"/>
      <c r="U2667" s="106"/>
      <c r="V2667" s="4184"/>
      <c r="W2667" s="3421"/>
      <c r="X2667" s="3421"/>
      <c r="Y2667" s="2374">
        <v>9.4</v>
      </c>
      <c r="Z2667" s="3421">
        <v>9.4</v>
      </c>
      <c r="AA2667" s="3421">
        <v>9.4</v>
      </c>
      <c r="AB2667" s="3421">
        <v>9.4</v>
      </c>
      <c r="AC2667" s="2920">
        <v>9.4</v>
      </c>
      <c r="AD2667" s="583">
        <v>9.4</v>
      </c>
      <c r="AE2667" s="3429"/>
      <c r="AF2667" s="3421"/>
      <c r="AG2667" s="3421"/>
      <c r="AH2667" s="156"/>
      <c r="AI2667" s="156"/>
      <c r="AJ2667" s="156"/>
      <c r="AK2667" s="156"/>
      <c r="AL2667" s="156"/>
      <c r="AM2667" s="156"/>
      <c r="AN2667" s="156"/>
      <c r="AO2667" s="156"/>
      <c r="AP2667" s="156"/>
      <c r="AQ2667" s="156"/>
      <c r="AR2667" s="156"/>
      <c r="AS2667" s="156"/>
      <c r="AT2667" s="156"/>
      <c r="AU2667" s="156"/>
      <c r="AV2667" s="156"/>
      <c r="AW2667" s="156"/>
      <c r="AX2667" s="156"/>
      <c r="AY2667" s="156"/>
      <c r="AZ2667" s="156"/>
      <c r="BA2667" s="156"/>
      <c r="BB2667" s="2828"/>
      <c r="BC2667" s="452"/>
      <c r="BD2667" s="2829"/>
      <c r="BE2667" s="2837"/>
      <c r="BF2667" s="156"/>
    </row>
    <row r="2668" spans="1:58" ht="15" customHeight="1" outlineLevel="1" x14ac:dyDescent="0.35">
      <c r="A2668" s="1664"/>
      <c r="B2668" s="2812"/>
      <c r="C2668" s="3077"/>
      <c r="D2668" s="3980"/>
      <c r="E2668" s="3883"/>
      <c r="F2668" s="3984" t="str">
        <f>$E$1832</f>
        <v>ASHP-SEER19-Replace_CAC_NonElectricHeat_ER1_MF</v>
      </c>
      <c r="G2668" s="3984"/>
      <c r="H2668" s="3984"/>
      <c r="I2668" s="3984"/>
      <c r="J2668" s="3501" t="str">
        <f>$C$1832</f>
        <v>354460_2021_12_</v>
      </c>
      <c r="K2668" s="3052">
        <v>9.4</v>
      </c>
      <c r="L2668" s="2822"/>
      <c r="M2668" s="3025" t="s">
        <v>1083</v>
      </c>
      <c r="N2668" s="106"/>
      <c r="O2668" s="106"/>
      <c r="P2668" s="702"/>
      <c r="Q2668" s="574"/>
      <c r="R2668" s="702"/>
      <c r="S2668" s="106"/>
      <c r="T2668" s="486"/>
      <c r="U2668" s="106"/>
      <c r="V2668" s="4184"/>
      <c r="W2668" s="3421"/>
      <c r="X2668" s="3421"/>
      <c r="Y2668" s="2374"/>
      <c r="Z2668" s="3421"/>
      <c r="AA2668" s="3421"/>
      <c r="AB2668" s="3421"/>
      <c r="AC2668" s="2919">
        <v>9.4</v>
      </c>
      <c r="AD2668" s="583">
        <v>9.4</v>
      </c>
      <c r="AE2668" s="3429"/>
      <c r="AF2668" s="3421"/>
      <c r="AG2668" s="3421"/>
      <c r="AH2668" s="156"/>
      <c r="AI2668" s="156"/>
      <c r="AJ2668" s="156"/>
      <c r="AK2668" s="156"/>
      <c r="AL2668" s="156"/>
      <c r="AM2668" s="156"/>
      <c r="AN2668" s="156"/>
      <c r="AO2668" s="156"/>
      <c r="AP2668" s="156"/>
      <c r="AQ2668" s="156"/>
      <c r="AR2668" s="156"/>
      <c r="AS2668" s="156"/>
      <c r="AT2668" s="156"/>
      <c r="AU2668" s="156"/>
      <c r="AV2668" s="156"/>
      <c r="AW2668" s="156"/>
      <c r="AX2668" s="156"/>
      <c r="AY2668" s="156"/>
      <c r="AZ2668" s="156"/>
      <c r="BA2668" s="156"/>
      <c r="BB2668" s="2828"/>
      <c r="BC2668" s="452"/>
      <c r="BD2668" s="2829"/>
      <c r="BE2668" s="2837"/>
      <c r="BF2668" s="156"/>
    </row>
    <row r="2669" spans="1:58" ht="15" customHeight="1" outlineLevel="1" x14ac:dyDescent="0.35">
      <c r="A2669" s="1664"/>
      <c r="B2669" s="2812"/>
      <c r="C2669" s="3077"/>
      <c r="D2669" s="3980"/>
      <c r="E2669" s="3883"/>
      <c r="F2669" s="3984" t="str">
        <f>$E$1834</f>
        <v>ASHP-SEER19-Replace_CAC_NonElectricHeat_ER2_MF</v>
      </c>
      <c r="G2669" s="3984"/>
      <c r="H2669" s="3984"/>
      <c r="I2669" s="3984"/>
      <c r="J2669" s="3501" t="str">
        <f>$C$1834</f>
        <v>354460_2021_12_</v>
      </c>
      <c r="K2669" s="3052">
        <v>9.4</v>
      </c>
      <c r="L2669" s="2822"/>
      <c r="M2669" s="3025" t="s">
        <v>1083</v>
      </c>
      <c r="N2669" s="106"/>
      <c r="O2669" s="106"/>
      <c r="P2669" s="702"/>
      <c r="Q2669" s="574"/>
      <c r="R2669" s="702"/>
      <c r="S2669" s="106"/>
      <c r="T2669" s="486"/>
      <c r="U2669" s="106"/>
      <c r="V2669" s="4184"/>
      <c r="W2669" s="3421"/>
      <c r="X2669" s="3421"/>
      <c r="Y2669" s="2374"/>
      <c r="Z2669" s="3421"/>
      <c r="AA2669" s="3421"/>
      <c r="AB2669" s="3421"/>
      <c r="AC2669" s="2919">
        <v>9.4</v>
      </c>
      <c r="AD2669" s="583">
        <v>9.4</v>
      </c>
      <c r="AE2669" s="3429"/>
      <c r="AF2669" s="3421"/>
      <c r="AG2669" s="3421"/>
      <c r="AH2669" s="156"/>
      <c r="AI2669" s="156"/>
      <c r="AJ2669" s="156"/>
      <c r="AK2669" s="156"/>
      <c r="AL2669" s="156"/>
      <c r="AM2669" s="156"/>
      <c r="AN2669" s="156"/>
      <c r="AO2669" s="156"/>
      <c r="AP2669" s="156"/>
      <c r="AQ2669" s="156"/>
      <c r="AR2669" s="156"/>
      <c r="AS2669" s="156"/>
      <c r="AT2669" s="156"/>
      <c r="AU2669" s="156"/>
      <c r="AV2669" s="156"/>
      <c r="AW2669" s="156"/>
      <c r="AX2669" s="156"/>
      <c r="AY2669" s="156"/>
      <c r="AZ2669" s="156"/>
      <c r="BA2669" s="156"/>
      <c r="BB2669" s="2828"/>
      <c r="BC2669" s="452"/>
      <c r="BD2669" s="2829"/>
      <c r="BE2669" s="2837"/>
      <c r="BF2669" s="156"/>
    </row>
    <row r="2670" spans="1:58" ht="15" customHeight="1" outlineLevel="1" x14ac:dyDescent="0.35">
      <c r="A2670" s="1664"/>
      <c r="B2670" s="2812"/>
      <c r="C2670" s="3077"/>
      <c r="D2670" s="3980"/>
      <c r="E2670" s="3883"/>
      <c r="F2670" s="3984" t="str">
        <f>$E$1836</f>
        <v>ASHP-SEER19-Replace_CAC_NonElectricHeat_ER1_MF_CompE</v>
      </c>
      <c r="G2670" s="3984"/>
      <c r="H2670" s="3984"/>
      <c r="I2670" s="3984"/>
      <c r="J2670" s="3501" t="str">
        <f>$C$1836</f>
        <v>354461_2021_12_</v>
      </c>
      <c r="K2670" s="3052">
        <v>9.4</v>
      </c>
      <c r="L2670" s="2822"/>
      <c r="M2670" s="3025" t="s">
        <v>1083</v>
      </c>
      <c r="N2670" s="106"/>
      <c r="O2670" s="106"/>
      <c r="P2670" s="702"/>
      <c r="Q2670" s="574"/>
      <c r="R2670" s="702"/>
      <c r="S2670" s="106"/>
      <c r="T2670" s="486"/>
      <c r="U2670" s="106"/>
      <c r="V2670" s="4184"/>
      <c r="W2670" s="3421"/>
      <c r="X2670" s="3421"/>
      <c r="Y2670" s="2374"/>
      <c r="Z2670" s="3421"/>
      <c r="AA2670" s="3421"/>
      <c r="AB2670" s="3421"/>
      <c r="AC2670" s="2919">
        <v>9.4</v>
      </c>
      <c r="AD2670" s="583">
        <v>9.4</v>
      </c>
      <c r="AE2670" s="3429"/>
      <c r="AF2670" s="3421"/>
      <c r="AG2670" s="3421"/>
      <c r="AH2670" s="156"/>
      <c r="AI2670" s="156"/>
      <c r="AJ2670" s="156"/>
      <c r="AK2670" s="156"/>
      <c r="AL2670" s="156"/>
      <c r="AM2670" s="156"/>
      <c r="AN2670" s="156"/>
      <c r="AO2670" s="156"/>
      <c r="AP2670" s="156"/>
      <c r="AQ2670" s="156"/>
      <c r="AR2670" s="156"/>
      <c r="AS2670" s="156"/>
      <c r="AT2670" s="156"/>
      <c r="AU2670" s="156"/>
      <c r="AV2670" s="156"/>
      <c r="AW2670" s="156"/>
      <c r="AX2670" s="156"/>
      <c r="AY2670" s="156"/>
      <c r="AZ2670" s="156"/>
      <c r="BA2670" s="156"/>
      <c r="BB2670" s="2828"/>
      <c r="BC2670" s="452"/>
      <c r="BD2670" s="2829"/>
      <c r="BE2670" s="2837"/>
      <c r="BF2670" s="156"/>
    </row>
    <row r="2671" spans="1:58" ht="15" customHeight="1" outlineLevel="1" x14ac:dyDescent="0.35">
      <c r="A2671" s="1664"/>
      <c r="B2671" s="2812"/>
      <c r="C2671" s="3077"/>
      <c r="D2671" s="3980"/>
      <c r="E2671" s="3883"/>
      <c r="F2671" s="3984" t="str">
        <f>$E$1838</f>
        <v>ASHP-SEER19-Replace_CAC_NonElectricHeat_ER2_MF_CompE</v>
      </c>
      <c r="G2671" s="3984"/>
      <c r="H2671" s="3984"/>
      <c r="I2671" s="3984"/>
      <c r="J2671" s="3501" t="str">
        <f>$C$1838</f>
        <v>354461_2021_12_</v>
      </c>
      <c r="K2671" s="3052">
        <v>9.4</v>
      </c>
      <c r="L2671" s="2822"/>
      <c r="M2671" s="3025" t="s">
        <v>1083</v>
      </c>
      <c r="N2671" s="106"/>
      <c r="O2671" s="106"/>
      <c r="P2671" s="702"/>
      <c r="Q2671" s="574"/>
      <c r="R2671" s="702"/>
      <c r="S2671" s="106"/>
      <c r="T2671" s="486"/>
      <c r="U2671" s="106"/>
      <c r="V2671" s="4184"/>
      <c r="W2671" s="3421"/>
      <c r="X2671" s="3421"/>
      <c r="Y2671" s="2374"/>
      <c r="Z2671" s="3421"/>
      <c r="AA2671" s="3421"/>
      <c r="AB2671" s="3421"/>
      <c r="AC2671" s="2919">
        <v>9.4</v>
      </c>
      <c r="AD2671" s="583">
        <v>9.4</v>
      </c>
      <c r="AE2671" s="3429"/>
      <c r="AF2671" s="3421"/>
      <c r="AG2671" s="3421"/>
      <c r="AH2671" s="156"/>
      <c r="AI2671" s="156"/>
      <c r="AJ2671" s="156"/>
      <c r="AK2671" s="156"/>
      <c r="AL2671" s="156"/>
      <c r="AM2671" s="156"/>
      <c r="AN2671" s="156"/>
      <c r="AO2671" s="156"/>
      <c r="AP2671" s="156"/>
      <c r="AQ2671" s="156"/>
      <c r="AR2671" s="156"/>
      <c r="AS2671" s="156"/>
      <c r="AT2671" s="156"/>
      <c r="AU2671" s="156"/>
      <c r="AV2671" s="156"/>
      <c r="AW2671" s="156"/>
      <c r="AX2671" s="156"/>
      <c r="AY2671" s="156"/>
      <c r="AZ2671" s="156"/>
      <c r="BA2671" s="156"/>
      <c r="BB2671" s="2828"/>
      <c r="BC2671" s="452"/>
      <c r="BD2671" s="2829"/>
      <c r="BE2671" s="2837"/>
      <c r="BF2671" s="156"/>
    </row>
    <row r="2672" spans="1:58" ht="15" customHeight="1" outlineLevel="1" x14ac:dyDescent="0.35">
      <c r="A2672" s="1664"/>
      <c r="B2672" s="2812"/>
      <c r="C2672" s="3077"/>
      <c r="D2672" s="3980"/>
      <c r="E2672" s="3883"/>
      <c r="F2672" s="3984" t="str">
        <f>$E$1840</f>
        <v>ASHP-SEER19_ER1_MF</v>
      </c>
      <c r="G2672" s="3984"/>
      <c r="H2672" s="3984"/>
      <c r="I2672" s="3984"/>
      <c r="J2672" s="3501" t="str">
        <f>$C$1840</f>
        <v>354500_2019_12_</v>
      </c>
      <c r="K2672" s="3052">
        <v>9.5</v>
      </c>
      <c r="L2672" s="2822"/>
      <c r="M2672" s="3041"/>
      <c r="N2672" s="106"/>
      <c r="O2672" s="106"/>
      <c r="P2672" s="702"/>
      <c r="Q2672" s="574"/>
      <c r="R2672" s="702"/>
      <c r="S2672" s="106"/>
      <c r="T2672" s="486"/>
      <c r="U2672" s="106"/>
      <c r="V2672" s="4184"/>
      <c r="W2672" s="3421">
        <v>9.5</v>
      </c>
      <c r="X2672" s="3421">
        <v>9.5</v>
      </c>
      <c r="Y2672" s="3421">
        <v>9.5</v>
      </c>
      <c r="Z2672" s="3421">
        <v>9.5</v>
      </c>
      <c r="AA2672" s="3421">
        <v>9.5</v>
      </c>
      <c r="AB2672" s="3421">
        <v>9.5</v>
      </c>
      <c r="AC2672" s="2920">
        <v>9.5</v>
      </c>
      <c r="AD2672" s="583">
        <v>9.5</v>
      </c>
      <c r="AE2672" s="3429"/>
      <c r="AF2672" s="3421"/>
      <c r="AG2672" s="3421"/>
      <c r="AH2672" s="156"/>
      <c r="AI2672" s="156"/>
      <c r="AJ2672" s="156"/>
      <c r="AK2672" s="156"/>
      <c r="AL2672" s="156"/>
      <c r="AM2672" s="156"/>
      <c r="AN2672" s="156"/>
      <c r="AO2672" s="156"/>
      <c r="AP2672" s="156"/>
      <c r="AQ2672" s="156"/>
      <c r="AR2672" s="156"/>
      <c r="AS2672" s="156"/>
      <c r="AT2672" s="156"/>
      <c r="AU2672" s="156"/>
      <c r="AV2672" s="156"/>
      <c r="AW2672" s="156"/>
      <c r="AX2672" s="156"/>
      <c r="AY2672" s="156"/>
      <c r="AZ2672" s="156"/>
      <c r="BA2672" s="156"/>
      <c r="BB2672" s="2828"/>
      <c r="BC2672" s="452"/>
      <c r="BD2672" s="2829"/>
      <c r="BE2672" s="2837"/>
      <c r="BF2672" s="156"/>
    </row>
    <row r="2673" spans="1:58" ht="15" customHeight="1" outlineLevel="1" x14ac:dyDescent="0.35">
      <c r="A2673" s="1664"/>
      <c r="B2673" s="2812"/>
      <c r="C2673" s="3077"/>
      <c r="D2673" s="3980"/>
      <c r="E2673" s="3883"/>
      <c r="F2673" s="3984" t="str">
        <f>$E$1842</f>
        <v>ASHP-SEER19_ER2_MF</v>
      </c>
      <c r="G2673" s="3984"/>
      <c r="H2673" s="3984"/>
      <c r="I2673" s="3984"/>
      <c r="J2673" s="3501" t="str">
        <f>$C$1842</f>
        <v>354500_2019_12_</v>
      </c>
      <c r="K2673" s="3052">
        <v>9.5</v>
      </c>
      <c r="L2673" s="2822"/>
      <c r="M2673" s="3041"/>
      <c r="N2673" s="106"/>
      <c r="O2673" s="106"/>
      <c r="P2673" s="702"/>
      <c r="Q2673" s="574"/>
      <c r="R2673" s="702"/>
      <c r="S2673" s="106"/>
      <c r="T2673" s="486"/>
      <c r="U2673" s="106"/>
      <c r="V2673" s="4184"/>
      <c r="W2673" s="3421">
        <v>9.5</v>
      </c>
      <c r="X2673" s="3421">
        <v>9.5</v>
      </c>
      <c r="Y2673" s="3421">
        <v>9.5</v>
      </c>
      <c r="Z2673" s="3421">
        <v>9.5</v>
      </c>
      <c r="AA2673" s="3421">
        <v>9.5</v>
      </c>
      <c r="AB2673" s="3421">
        <v>9.5</v>
      </c>
      <c r="AC2673" s="2920">
        <v>9.5</v>
      </c>
      <c r="AD2673" s="583">
        <v>9.5</v>
      </c>
      <c r="AE2673" s="3429"/>
      <c r="AF2673" s="3421"/>
      <c r="AG2673" s="3421"/>
      <c r="AH2673" s="156"/>
      <c r="AI2673" s="156"/>
      <c r="AJ2673" s="156"/>
      <c r="AK2673" s="156"/>
      <c r="AL2673" s="156"/>
      <c r="AM2673" s="156"/>
      <c r="AN2673" s="156"/>
      <c r="AO2673" s="156"/>
      <c r="AP2673" s="156"/>
      <c r="AQ2673" s="156"/>
      <c r="AR2673" s="156"/>
      <c r="AS2673" s="156"/>
      <c r="AT2673" s="156"/>
      <c r="AU2673" s="156"/>
      <c r="AV2673" s="156"/>
      <c r="AW2673" s="156"/>
      <c r="AX2673" s="156"/>
      <c r="AY2673" s="156"/>
      <c r="AZ2673" s="156"/>
      <c r="BA2673" s="156"/>
      <c r="BB2673" s="2828"/>
      <c r="BC2673" s="452"/>
      <c r="BD2673" s="2829"/>
      <c r="BE2673" s="2837"/>
      <c r="BF2673" s="156"/>
    </row>
    <row r="2674" spans="1:58" ht="15" customHeight="1" outlineLevel="1" x14ac:dyDescent="0.35">
      <c r="A2674" s="1664"/>
      <c r="B2674" s="2812"/>
      <c r="C2674" s="3077"/>
      <c r="D2674" s="3980"/>
      <c r="E2674" s="3883"/>
      <c r="F2674" s="3984" t="str">
        <f>$E$1844</f>
        <v>ASHP-SEER19_ER1_MF_CompE</v>
      </c>
      <c r="G2674" s="3984"/>
      <c r="H2674" s="3984"/>
      <c r="I2674" s="3984"/>
      <c r="J2674" s="3501" t="str">
        <f>$C$1844</f>
        <v>354501_2019_12_</v>
      </c>
      <c r="K2674" s="3052">
        <v>9.5</v>
      </c>
      <c r="L2674" s="2822"/>
      <c r="M2674" s="3041"/>
      <c r="N2674" s="106"/>
      <c r="O2674" s="106"/>
      <c r="P2674" s="702"/>
      <c r="Q2674" s="574"/>
      <c r="R2674" s="702"/>
      <c r="S2674" s="106"/>
      <c r="T2674" s="486"/>
      <c r="U2674" s="106"/>
      <c r="V2674" s="4184"/>
      <c r="W2674" s="3421"/>
      <c r="X2674" s="3421"/>
      <c r="Y2674" s="2374">
        <v>9.5</v>
      </c>
      <c r="Z2674" s="3421">
        <v>9.5</v>
      </c>
      <c r="AA2674" s="3421">
        <v>9.5</v>
      </c>
      <c r="AB2674" s="3421">
        <v>9.5</v>
      </c>
      <c r="AC2674" s="2920">
        <v>9.5</v>
      </c>
      <c r="AD2674" s="583">
        <v>9.5</v>
      </c>
      <c r="AE2674" s="3429"/>
      <c r="AF2674" s="3421"/>
      <c r="AG2674" s="3421"/>
      <c r="AH2674" s="156"/>
      <c r="AI2674" s="156"/>
      <c r="AJ2674" s="156"/>
      <c r="AK2674" s="156"/>
      <c r="AL2674" s="156"/>
      <c r="AM2674" s="156"/>
      <c r="AN2674" s="156"/>
      <c r="AO2674" s="156"/>
      <c r="AP2674" s="156"/>
      <c r="AQ2674" s="156"/>
      <c r="AR2674" s="156"/>
      <c r="AS2674" s="156"/>
      <c r="AT2674" s="156"/>
      <c r="AU2674" s="156"/>
      <c r="AV2674" s="156"/>
      <c r="AW2674" s="156"/>
      <c r="AX2674" s="156"/>
      <c r="AY2674" s="156"/>
      <c r="AZ2674" s="156"/>
      <c r="BA2674" s="156"/>
      <c r="BB2674" s="2828"/>
      <c r="BC2674" s="452"/>
      <c r="BD2674" s="2829"/>
      <c r="BE2674" s="2837"/>
      <c r="BF2674" s="156"/>
    </row>
    <row r="2675" spans="1:58" ht="15" customHeight="1" outlineLevel="1" x14ac:dyDescent="0.35">
      <c r="A2675" s="1664"/>
      <c r="B2675" s="2812"/>
      <c r="C2675" s="3077"/>
      <c r="D2675" s="3980"/>
      <c r="E2675" s="3883"/>
      <c r="F2675" s="3984" t="str">
        <f>$E$1846</f>
        <v>ASHP-SEER19_ER2_MF_CompE</v>
      </c>
      <c r="G2675" s="3984"/>
      <c r="H2675" s="3984"/>
      <c r="I2675" s="3984"/>
      <c r="J2675" s="3501" t="str">
        <f>$C$1846</f>
        <v>354501_2019_12_</v>
      </c>
      <c r="K2675" s="3052">
        <v>9.5</v>
      </c>
      <c r="L2675" s="2822"/>
      <c r="M2675" s="3041"/>
      <c r="N2675" s="106"/>
      <c r="O2675" s="106"/>
      <c r="P2675" s="702"/>
      <c r="Q2675" s="574"/>
      <c r="R2675" s="702"/>
      <c r="S2675" s="106"/>
      <c r="T2675" s="486"/>
      <c r="U2675" s="106"/>
      <c r="V2675" s="4184"/>
      <c r="W2675" s="3421"/>
      <c r="X2675" s="3421"/>
      <c r="Y2675" s="2374">
        <v>9.5</v>
      </c>
      <c r="Z2675" s="3421">
        <v>9.5</v>
      </c>
      <c r="AA2675" s="3421">
        <v>9.5</v>
      </c>
      <c r="AB2675" s="3421">
        <v>9.5</v>
      </c>
      <c r="AC2675" s="2920">
        <v>9.5</v>
      </c>
      <c r="AD2675" s="583">
        <v>9.5</v>
      </c>
      <c r="AE2675" s="3429"/>
      <c r="AF2675" s="3421"/>
      <c r="AG2675" s="3421"/>
      <c r="AH2675" s="156"/>
      <c r="AI2675" s="156"/>
      <c r="AJ2675" s="156"/>
      <c r="AK2675" s="156"/>
      <c r="AL2675" s="156"/>
      <c r="AM2675" s="156"/>
      <c r="AN2675" s="156"/>
      <c r="AO2675" s="156"/>
      <c r="AP2675" s="156"/>
      <c r="AQ2675" s="156"/>
      <c r="AR2675" s="156"/>
      <c r="AS2675" s="156"/>
      <c r="AT2675" s="156"/>
      <c r="AU2675" s="156"/>
      <c r="AV2675" s="156"/>
      <c r="AW2675" s="156"/>
      <c r="AX2675" s="156"/>
      <c r="AY2675" s="156"/>
      <c r="AZ2675" s="156"/>
      <c r="BA2675" s="156"/>
      <c r="BB2675" s="2828"/>
      <c r="BC2675" s="452"/>
      <c r="BD2675" s="2829"/>
      <c r="BE2675" s="2837"/>
      <c r="BF2675" s="156"/>
    </row>
    <row r="2676" spans="1:58" ht="15" customHeight="1" outlineLevel="1" x14ac:dyDescent="0.35">
      <c r="A2676" s="1664"/>
      <c r="B2676" s="2812"/>
      <c r="C2676" s="3077"/>
      <c r="D2676" s="3980"/>
      <c r="E2676" s="3883"/>
      <c r="F2676" s="3984" t="str">
        <f>$E$1848</f>
        <v>ASHP-SEER20_ER1_SF</v>
      </c>
      <c r="G2676" s="3984"/>
      <c r="H2676" s="3984"/>
      <c r="I2676" s="3984"/>
      <c r="J2676" s="3501" t="str">
        <f>$C$1848</f>
        <v>354550_2021_12_</v>
      </c>
      <c r="K2676" s="3050">
        <v>10.135555555555554</v>
      </c>
      <c r="L2676" s="2822"/>
      <c r="M2676" s="2819" t="s">
        <v>4360</v>
      </c>
      <c r="N2676" s="106"/>
      <c r="O2676" s="106"/>
      <c r="P2676" s="702"/>
      <c r="Q2676" s="574"/>
      <c r="R2676" s="702"/>
      <c r="S2676" s="106"/>
      <c r="T2676" s="486"/>
      <c r="U2676" s="106"/>
      <c r="V2676" s="4184"/>
      <c r="W2676" s="3421">
        <v>9.5</v>
      </c>
      <c r="X2676" s="3421">
        <v>9.5</v>
      </c>
      <c r="Y2676" s="3421">
        <v>9.5</v>
      </c>
      <c r="Z2676" s="3421">
        <v>9.5</v>
      </c>
      <c r="AA2676" s="3421">
        <v>9.5</v>
      </c>
      <c r="AB2676" s="3421">
        <v>9.5</v>
      </c>
      <c r="AC2676" s="2919">
        <v>10.5</v>
      </c>
      <c r="AD2676" s="3050">
        <v>10.135555555555554</v>
      </c>
      <c r="AE2676" s="3429"/>
      <c r="AF2676" s="3421"/>
      <c r="AG2676" s="3421"/>
      <c r="AH2676" s="156"/>
      <c r="AI2676" s="156"/>
      <c r="AJ2676" s="156"/>
      <c r="AK2676" s="156"/>
      <c r="AL2676" s="156"/>
      <c r="AM2676" s="156"/>
      <c r="AN2676" s="156"/>
      <c r="AO2676" s="156"/>
      <c r="AP2676" s="156"/>
      <c r="AQ2676" s="156"/>
      <c r="AR2676" s="156"/>
      <c r="AS2676" s="156"/>
      <c r="AT2676" s="156"/>
      <c r="AU2676" s="156"/>
      <c r="AV2676" s="156"/>
      <c r="AW2676" s="156"/>
      <c r="AX2676" s="156"/>
      <c r="AY2676" s="156"/>
      <c r="AZ2676" s="156"/>
      <c r="BA2676" s="156"/>
      <c r="BB2676" s="2828"/>
      <c r="BC2676" s="452"/>
      <c r="BD2676" s="2829"/>
      <c r="BE2676" s="2837"/>
      <c r="BF2676" s="156"/>
    </row>
    <row r="2677" spans="1:58" ht="15" customHeight="1" outlineLevel="1" x14ac:dyDescent="0.35">
      <c r="A2677" s="1664"/>
      <c r="B2677" s="2812"/>
      <c r="C2677" s="3077"/>
      <c r="D2677" s="3980"/>
      <c r="E2677" s="3883"/>
      <c r="F2677" s="3984" t="str">
        <f>$E$1850</f>
        <v>ASHP-SEER20_ER2_SF</v>
      </c>
      <c r="G2677" s="3984"/>
      <c r="H2677" s="3984"/>
      <c r="I2677" s="3984"/>
      <c r="J2677" s="3501" t="str">
        <f>$C$1850</f>
        <v>354550_2021_12_</v>
      </c>
      <c r="K2677" s="3050">
        <v>10.135555555555554</v>
      </c>
      <c r="L2677" s="2822"/>
      <c r="M2677" s="2819" t="s">
        <v>4360</v>
      </c>
      <c r="N2677" s="106"/>
      <c r="O2677" s="106"/>
      <c r="P2677" s="702"/>
      <c r="Q2677" s="574"/>
      <c r="R2677" s="702"/>
      <c r="S2677" s="106"/>
      <c r="T2677" s="486"/>
      <c r="U2677" s="106"/>
      <c r="V2677" s="4184"/>
      <c r="W2677" s="3421">
        <v>9.5</v>
      </c>
      <c r="X2677" s="3421">
        <v>9.5</v>
      </c>
      <c r="Y2677" s="3421">
        <v>9.5</v>
      </c>
      <c r="Z2677" s="3421">
        <v>9.5</v>
      </c>
      <c r="AA2677" s="3421">
        <v>9.5</v>
      </c>
      <c r="AB2677" s="3421">
        <v>9.5</v>
      </c>
      <c r="AC2677" s="2919">
        <f>AC2676</f>
        <v>10.5</v>
      </c>
      <c r="AD2677" s="3050">
        <v>10.135555555555554</v>
      </c>
      <c r="AE2677" s="3429"/>
      <c r="AF2677" s="3421"/>
      <c r="AG2677" s="3421"/>
      <c r="AH2677" s="156"/>
      <c r="AI2677" s="156"/>
      <c r="AJ2677" s="156"/>
      <c r="AK2677" s="156"/>
      <c r="AL2677" s="156"/>
      <c r="AM2677" s="156"/>
      <c r="AN2677" s="156"/>
      <c r="AO2677" s="156"/>
      <c r="AP2677" s="156"/>
      <c r="AQ2677" s="156"/>
      <c r="AR2677" s="156"/>
      <c r="AS2677" s="156"/>
      <c r="AT2677" s="156"/>
      <c r="AU2677" s="156"/>
      <c r="AV2677" s="156"/>
      <c r="AW2677" s="156"/>
      <c r="AX2677" s="156"/>
      <c r="AY2677" s="156"/>
      <c r="AZ2677" s="156"/>
      <c r="BA2677" s="156"/>
      <c r="BB2677" s="2828"/>
      <c r="BC2677" s="452"/>
      <c r="BD2677" s="2829"/>
      <c r="BE2677" s="2837"/>
      <c r="BF2677" s="156"/>
    </row>
    <row r="2678" spans="1:58" ht="15" customHeight="1" outlineLevel="1" x14ac:dyDescent="0.35">
      <c r="A2678" s="1664"/>
      <c r="B2678" s="2812"/>
      <c r="C2678" s="3077"/>
      <c r="D2678" s="3980"/>
      <c r="E2678" s="3883"/>
      <c r="F2678" s="3984" t="str">
        <f>$E$1852</f>
        <v>ASHP-SEER20_ROF_SF</v>
      </c>
      <c r="G2678" s="3984"/>
      <c r="H2678" s="3984"/>
      <c r="I2678" s="3984"/>
      <c r="J2678" s="3501" t="str">
        <f>$C$1852</f>
        <v>354600_2021_12_</v>
      </c>
      <c r="K2678" s="3050">
        <v>10.403571428571428</v>
      </c>
      <c r="L2678" s="2822"/>
      <c r="M2678" s="2819" t="s">
        <v>4360</v>
      </c>
      <c r="N2678" s="106"/>
      <c r="O2678" s="106"/>
      <c r="P2678" s="702"/>
      <c r="Q2678" s="574"/>
      <c r="R2678" s="702"/>
      <c r="S2678" s="106"/>
      <c r="T2678" s="486"/>
      <c r="U2678" s="106"/>
      <c r="V2678" s="4184"/>
      <c r="W2678" s="3421">
        <v>9.8000000000000007</v>
      </c>
      <c r="X2678" s="3421">
        <v>9.8000000000000007</v>
      </c>
      <c r="Y2678" s="3421">
        <v>9.8000000000000007</v>
      </c>
      <c r="Z2678" s="3421">
        <v>9.8000000000000007</v>
      </c>
      <c r="AA2678" s="3421">
        <v>9.8000000000000007</v>
      </c>
      <c r="AB2678" s="3421">
        <v>9.8000000000000007</v>
      </c>
      <c r="AC2678" s="2919">
        <v>10.866666666666667</v>
      </c>
      <c r="AD2678" s="3050">
        <v>10.403571428571428</v>
      </c>
      <c r="AE2678" s="3429"/>
      <c r="AF2678" s="3421"/>
      <c r="AG2678" s="3421"/>
      <c r="AH2678" s="156"/>
      <c r="AI2678" s="156"/>
      <c r="AJ2678" s="156"/>
      <c r="AK2678" s="156"/>
      <c r="AL2678" s="156"/>
      <c r="AM2678" s="156"/>
      <c r="AN2678" s="156"/>
      <c r="AO2678" s="156"/>
      <c r="AP2678" s="156"/>
      <c r="AQ2678" s="156"/>
      <c r="AR2678" s="156"/>
      <c r="AS2678" s="156"/>
      <c r="AT2678" s="156"/>
      <c r="AU2678" s="156"/>
      <c r="AV2678" s="156"/>
      <c r="AW2678" s="156"/>
      <c r="AX2678" s="156"/>
      <c r="AY2678" s="156"/>
      <c r="AZ2678" s="156"/>
      <c r="BA2678" s="156"/>
      <c r="BB2678" s="2828"/>
      <c r="BC2678" s="452"/>
      <c r="BD2678" s="2829"/>
      <c r="BE2678" s="2837"/>
      <c r="BF2678" s="156"/>
    </row>
    <row r="2679" spans="1:58" ht="15" customHeight="1" outlineLevel="1" x14ac:dyDescent="0.35">
      <c r="A2679" s="1664"/>
      <c r="B2679" s="2812"/>
      <c r="C2679" s="3077"/>
      <c r="D2679" s="3980"/>
      <c r="E2679" s="3883"/>
      <c r="F2679" s="3984" t="str">
        <f>$E$1854</f>
        <v>ASHP-SEER20-Replace_CAC_ElectricHeat_ER1_MF</v>
      </c>
      <c r="G2679" s="3984"/>
      <c r="H2679" s="3984"/>
      <c r="I2679" s="3984"/>
      <c r="J2679" s="3501" t="str">
        <f>$C$1854</f>
        <v>354650_2019_12_</v>
      </c>
      <c r="K2679" s="3052">
        <v>9.4</v>
      </c>
      <c r="L2679" s="2822"/>
      <c r="M2679" s="3041"/>
      <c r="N2679" s="106"/>
      <c r="O2679" s="106"/>
      <c r="P2679" s="702"/>
      <c r="Q2679" s="574"/>
      <c r="R2679" s="702"/>
      <c r="S2679" s="106"/>
      <c r="T2679" s="486"/>
      <c r="U2679" s="106"/>
      <c r="V2679" s="4184"/>
      <c r="W2679" s="3421">
        <v>9.4</v>
      </c>
      <c r="X2679" s="3421">
        <v>9.4</v>
      </c>
      <c r="Y2679" s="3421">
        <v>9.4</v>
      </c>
      <c r="Z2679" s="3421">
        <v>9.4</v>
      </c>
      <c r="AA2679" s="3421">
        <v>9.4</v>
      </c>
      <c r="AB2679" s="3421">
        <v>9.4</v>
      </c>
      <c r="AC2679" s="2920">
        <v>9.4</v>
      </c>
      <c r="AD2679" s="583">
        <v>9.4</v>
      </c>
      <c r="AE2679" s="3429"/>
      <c r="AF2679" s="3421"/>
      <c r="AG2679" s="3421"/>
      <c r="AH2679" s="156"/>
      <c r="AI2679" s="156"/>
      <c r="AJ2679" s="156"/>
      <c r="AK2679" s="156"/>
      <c r="AL2679" s="156"/>
      <c r="AM2679" s="156"/>
      <c r="AN2679" s="156"/>
      <c r="AO2679" s="156"/>
      <c r="AP2679" s="156"/>
      <c r="AQ2679" s="156"/>
      <c r="AR2679" s="156"/>
      <c r="AS2679" s="156"/>
      <c r="AT2679" s="156"/>
      <c r="AU2679" s="156"/>
      <c r="AV2679" s="156"/>
      <c r="AW2679" s="156"/>
      <c r="AX2679" s="156"/>
      <c r="AY2679" s="156"/>
      <c r="AZ2679" s="156"/>
      <c r="BA2679" s="156"/>
      <c r="BB2679" s="2828"/>
      <c r="BC2679" s="452"/>
      <c r="BD2679" s="2829"/>
      <c r="BE2679" s="2837"/>
      <c r="BF2679" s="156"/>
    </row>
    <row r="2680" spans="1:58" ht="15" customHeight="1" outlineLevel="1" x14ac:dyDescent="0.35">
      <c r="A2680" s="1664"/>
      <c r="B2680" s="2812"/>
      <c r="C2680" s="3077"/>
      <c r="D2680" s="3980"/>
      <c r="E2680" s="3883"/>
      <c r="F2680" s="3984" t="str">
        <f>$E$1856</f>
        <v>ASHP-SEER20-Replace_CAC_ElectricHeat_ER2_MF</v>
      </c>
      <c r="G2680" s="3984"/>
      <c r="H2680" s="3984"/>
      <c r="I2680" s="3984"/>
      <c r="J2680" s="3501" t="str">
        <f>$C$1856</f>
        <v>354650_2019_12_</v>
      </c>
      <c r="K2680" s="3052">
        <v>9.4</v>
      </c>
      <c r="L2680" s="2822"/>
      <c r="M2680" s="3041"/>
      <c r="N2680" s="106"/>
      <c r="O2680" s="106"/>
      <c r="P2680" s="702"/>
      <c r="Q2680" s="574"/>
      <c r="R2680" s="702"/>
      <c r="S2680" s="106"/>
      <c r="T2680" s="486"/>
      <c r="U2680" s="106"/>
      <c r="V2680" s="4184"/>
      <c r="W2680" s="3421">
        <v>9.4</v>
      </c>
      <c r="X2680" s="3421">
        <v>9.4</v>
      </c>
      <c r="Y2680" s="3421">
        <v>9.4</v>
      </c>
      <c r="Z2680" s="3421">
        <v>9.4</v>
      </c>
      <c r="AA2680" s="3421">
        <v>9.4</v>
      </c>
      <c r="AB2680" s="3421">
        <v>9.4</v>
      </c>
      <c r="AC2680" s="2920">
        <v>9.4</v>
      </c>
      <c r="AD2680" s="583">
        <v>9.4</v>
      </c>
      <c r="AE2680" s="3429"/>
      <c r="AF2680" s="3421"/>
      <c r="AG2680" s="3421"/>
      <c r="AH2680" s="156"/>
      <c r="AI2680" s="156"/>
      <c r="AJ2680" s="156"/>
      <c r="AK2680" s="156"/>
      <c r="AL2680" s="156"/>
      <c r="AM2680" s="156"/>
      <c r="AN2680" s="156"/>
      <c r="AO2680" s="156"/>
      <c r="AP2680" s="156"/>
      <c r="AQ2680" s="156"/>
      <c r="AR2680" s="156"/>
      <c r="AS2680" s="156"/>
      <c r="AT2680" s="156"/>
      <c r="AU2680" s="156"/>
      <c r="AV2680" s="156"/>
      <c r="AW2680" s="156"/>
      <c r="AX2680" s="156"/>
      <c r="AY2680" s="156"/>
      <c r="AZ2680" s="156"/>
      <c r="BA2680" s="156"/>
      <c r="BB2680" s="2828"/>
      <c r="BC2680" s="452"/>
      <c r="BD2680" s="2829"/>
      <c r="BE2680" s="2837"/>
      <c r="BF2680" s="156"/>
    </row>
    <row r="2681" spans="1:58" ht="15" customHeight="1" outlineLevel="1" x14ac:dyDescent="0.35">
      <c r="A2681" s="1664"/>
      <c r="B2681" s="2812"/>
      <c r="C2681" s="3077"/>
      <c r="D2681" s="3980"/>
      <c r="E2681" s="3883"/>
      <c r="F2681" s="3984" t="str">
        <f>$E$1858</f>
        <v>ASHP-SEER20-Replace_CAC_ElectricHeat_ER1_MF_CompE</v>
      </c>
      <c r="G2681" s="3984"/>
      <c r="H2681" s="3984"/>
      <c r="I2681" s="3984"/>
      <c r="J2681" s="3501" t="str">
        <f>$C$1858</f>
        <v>354651_2019_12_</v>
      </c>
      <c r="K2681" s="3052">
        <v>9.4</v>
      </c>
      <c r="L2681" s="2822"/>
      <c r="M2681" s="3041"/>
      <c r="N2681" s="106"/>
      <c r="O2681" s="106"/>
      <c r="P2681" s="702"/>
      <c r="Q2681" s="574"/>
      <c r="R2681" s="702"/>
      <c r="S2681" s="106"/>
      <c r="T2681" s="486"/>
      <c r="U2681" s="106"/>
      <c r="V2681" s="4184"/>
      <c r="W2681" s="3421"/>
      <c r="X2681" s="3421"/>
      <c r="Y2681" s="2374">
        <v>9.4</v>
      </c>
      <c r="Z2681" s="3421">
        <v>9.4</v>
      </c>
      <c r="AA2681" s="3421">
        <v>9.4</v>
      </c>
      <c r="AB2681" s="3421">
        <v>9.4</v>
      </c>
      <c r="AC2681" s="2920">
        <v>9.4</v>
      </c>
      <c r="AD2681" s="583">
        <v>9.4</v>
      </c>
      <c r="AE2681" s="3429"/>
      <c r="AF2681" s="3421"/>
      <c r="AG2681" s="3421"/>
      <c r="AH2681" s="156"/>
      <c r="AI2681" s="156"/>
      <c r="AJ2681" s="156"/>
      <c r="AK2681" s="156"/>
      <c r="AL2681" s="156"/>
      <c r="AM2681" s="156"/>
      <c r="AN2681" s="156"/>
      <c r="AO2681" s="156"/>
      <c r="AP2681" s="156"/>
      <c r="AQ2681" s="156"/>
      <c r="AR2681" s="156"/>
      <c r="AS2681" s="156"/>
      <c r="AT2681" s="156"/>
      <c r="AU2681" s="156"/>
      <c r="AV2681" s="156"/>
      <c r="AW2681" s="156"/>
      <c r="AX2681" s="156"/>
      <c r="AY2681" s="156"/>
      <c r="AZ2681" s="156"/>
      <c r="BA2681" s="156"/>
      <c r="BB2681" s="2828"/>
      <c r="BC2681" s="452"/>
      <c r="BD2681" s="2829"/>
      <c r="BE2681" s="2837"/>
      <c r="BF2681" s="156"/>
    </row>
    <row r="2682" spans="1:58" ht="15" customHeight="1" outlineLevel="1" x14ac:dyDescent="0.35">
      <c r="A2682" s="1664"/>
      <c r="B2682" s="2812"/>
      <c r="C2682" s="3077"/>
      <c r="D2682" s="3980"/>
      <c r="E2682" s="3883"/>
      <c r="F2682" s="3984" t="str">
        <f>$E$1860</f>
        <v>ASHP-SEER20-Replace_CAC_ElectricHeat_ER2_MF_CompE</v>
      </c>
      <c r="G2682" s="3984"/>
      <c r="H2682" s="3984"/>
      <c r="I2682" s="3984"/>
      <c r="J2682" s="3501" t="str">
        <f>$C$1860</f>
        <v>354651_2019_12_</v>
      </c>
      <c r="K2682" s="3052">
        <v>9.4</v>
      </c>
      <c r="L2682" s="2822"/>
      <c r="M2682" s="3041"/>
      <c r="N2682" s="106"/>
      <c r="O2682" s="106"/>
      <c r="P2682" s="702"/>
      <c r="Q2682" s="574"/>
      <c r="R2682" s="702"/>
      <c r="S2682" s="106"/>
      <c r="T2682" s="486"/>
      <c r="U2682" s="106"/>
      <c r="V2682" s="4184"/>
      <c r="W2682" s="3421"/>
      <c r="X2682" s="3421"/>
      <c r="Y2682" s="2374">
        <v>9.4</v>
      </c>
      <c r="Z2682" s="3421">
        <v>9.4</v>
      </c>
      <c r="AA2682" s="3421">
        <v>9.4</v>
      </c>
      <c r="AB2682" s="3421">
        <v>9.4</v>
      </c>
      <c r="AC2682" s="2920">
        <v>9.4</v>
      </c>
      <c r="AD2682" s="583">
        <v>9.4</v>
      </c>
      <c r="AE2682" s="3429"/>
      <c r="AF2682" s="3421"/>
      <c r="AG2682" s="3421"/>
      <c r="AH2682" s="156"/>
      <c r="AI2682" s="156"/>
      <c r="AJ2682" s="156"/>
      <c r="AK2682" s="156"/>
      <c r="AL2682" s="156"/>
      <c r="AM2682" s="156"/>
      <c r="AN2682" s="156"/>
      <c r="AO2682" s="156"/>
      <c r="AP2682" s="156"/>
      <c r="AQ2682" s="156"/>
      <c r="AR2682" s="156"/>
      <c r="AS2682" s="156"/>
      <c r="AT2682" s="156"/>
      <c r="AU2682" s="156"/>
      <c r="AV2682" s="156"/>
      <c r="AW2682" s="156"/>
      <c r="AX2682" s="156"/>
      <c r="AY2682" s="156"/>
      <c r="AZ2682" s="156"/>
      <c r="BA2682" s="156"/>
      <c r="BB2682" s="2828"/>
      <c r="BC2682" s="452"/>
      <c r="BD2682" s="2829"/>
      <c r="BE2682" s="2837"/>
      <c r="BF2682" s="156"/>
    </row>
    <row r="2683" spans="1:58" ht="15" customHeight="1" outlineLevel="1" x14ac:dyDescent="0.35">
      <c r="A2683" s="1664"/>
      <c r="B2683" s="2812"/>
      <c r="C2683" s="3077"/>
      <c r="D2683" s="3980"/>
      <c r="E2683" s="3883"/>
      <c r="F2683" s="3984" t="str">
        <f>$E$1862</f>
        <v>ASHP-SEER20-Replace_CAC_NonElectricHeat_ER1_MF</v>
      </c>
      <c r="G2683" s="3984"/>
      <c r="H2683" s="3984"/>
      <c r="I2683" s="3984"/>
      <c r="J2683" s="3501" t="str">
        <f>$C$1862</f>
        <v>354660_2021_12_</v>
      </c>
      <c r="K2683" s="3052">
        <v>9.4</v>
      </c>
      <c r="L2683" s="2822"/>
      <c r="M2683" s="3025" t="s">
        <v>1083</v>
      </c>
      <c r="N2683" s="106"/>
      <c r="O2683" s="106"/>
      <c r="P2683" s="702"/>
      <c r="Q2683" s="574"/>
      <c r="R2683" s="702"/>
      <c r="S2683" s="106"/>
      <c r="T2683" s="486"/>
      <c r="U2683" s="106"/>
      <c r="V2683" s="4184"/>
      <c r="W2683" s="3421"/>
      <c r="X2683" s="3421"/>
      <c r="Y2683" s="2374"/>
      <c r="Z2683" s="3421"/>
      <c r="AA2683" s="3421"/>
      <c r="AB2683" s="3421"/>
      <c r="AC2683" s="2919">
        <v>9.4</v>
      </c>
      <c r="AD2683" s="583">
        <v>9.4</v>
      </c>
      <c r="AE2683" s="3429"/>
      <c r="AF2683" s="3421"/>
      <c r="AG2683" s="3421"/>
      <c r="AH2683" s="156"/>
      <c r="AI2683" s="156"/>
      <c r="AJ2683" s="156"/>
      <c r="AK2683" s="156"/>
      <c r="AL2683" s="156"/>
      <c r="AM2683" s="156"/>
      <c r="AN2683" s="156"/>
      <c r="AO2683" s="156"/>
      <c r="AP2683" s="156"/>
      <c r="AQ2683" s="156"/>
      <c r="AR2683" s="156"/>
      <c r="AS2683" s="156"/>
      <c r="AT2683" s="156"/>
      <c r="AU2683" s="156"/>
      <c r="AV2683" s="156"/>
      <c r="AW2683" s="156"/>
      <c r="AX2683" s="156"/>
      <c r="AY2683" s="156"/>
      <c r="AZ2683" s="156"/>
      <c r="BA2683" s="156"/>
      <c r="BB2683" s="2828"/>
      <c r="BC2683" s="452"/>
      <c r="BD2683" s="2829"/>
      <c r="BE2683" s="2837"/>
      <c r="BF2683" s="156"/>
    </row>
    <row r="2684" spans="1:58" ht="15" customHeight="1" outlineLevel="1" x14ac:dyDescent="0.35">
      <c r="A2684" s="1664"/>
      <c r="B2684" s="2812"/>
      <c r="C2684" s="3077"/>
      <c r="D2684" s="3980"/>
      <c r="E2684" s="3883"/>
      <c r="F2684" s="3984" t="str">
        <f>$E$1864</f>
        <v>ASHP-SEER20-Replace_CAC_NonElectricHeat_ER2_MF</v>
      </c>
      <c r="G2684" s="3984"/>
      <c r="H2684" s="3984"/>
      <c r="I2684" s="3984"/>
      <c r="J2684" s="3501" t="str">
        <f>$C$1864</f>
        <v>354660_2021_12_</v>
      </c>
      <c r="K2684" s="3052">
        <v>9.4</v>
      </c>
      <c r="L2684" s="2822"/>
      <c r="M2684" s="3025" t="s">
        <v>1083</v>
      </c>
      <c r="N2684" s="106"/>
      <c r="O2684" s="106"/>
      <c r="P2684" s="702"/>
      <c r="Q2684" s="574"/>
      <c r="R2684" s="702"/>
      <c r="S2684" s="106"/>
      <c r="T2684" s="486"/>
      <c r="U2684" s="106"/>
      <c r="V2684" s="4184"/>
      <c r="W2684" s="3421"/>
      <c r="X2684" s="3421"/>
      <c r="Y2684" s="2374"/>
      <c r="Z2684" s="3421"/>
      <c r="AA2684" s="3421"/>
      <c r="AB2684" s="3421"/>
      <c r="AC2684" s="2919">
        <v>9.4</v>
      </c>
      <c r="AD2684" s="583">
        <v>9.4</v>
      </c>
      <c r="AE2684" s="3429"/>
      <c r="AF2684" s="3421"/>
      <c r="AG2684" s="3421"/>
      <c r="AH2684" s="156"/>
      <c r="AI2684" s="156"/>
      <c r="AJ2684" s="156"/>
      <c r="AK2684" s="156"/>
      <c r="AL2684" s="156"/>
      <c r="AM2684" s="156"/>
      <c r="AN2684" s="156"/>
      <c r="AO2684" s="156"/>
      <c r="AP2684" s="156"/>
      <c r="AQ2684" s="156"/>
      <c r="AR2684" s="156"/>
      <c r="AS2684" s="156"/>
      <c r="AT2684" s="156"/>
      <c r="AU2684" s="156"/>
      <c r="AV2684" s="156"/>
      <c r="AW2684" s="156"/>
      <c r="AX2684" s="156"/>
      <c r="AY2684" s="156"/>
      <c r="AZ2684" s="156"/>
      <c r="BA2684" s="156"/>
      <c r="BB2684" s="2828"/>
      <c r="BC2684" s="452"/>
      <c r="BD2684" s="2829"/>
      <c r="BE2684" s="2837"/>
      <c r="BF2684" s="156"/>
    </row>
    <row r="2685" spans="1:58" ht="15" customHeight="1" outlineLevel="1" x14ac:dyDescent="0.35">
      <c r="A2685" s="1664"/>
      <c r="B2685" s="2812"/>
      <c r="C2685" s="3077"/>
      <c r="D2685" s="3980"/>
      <c r="E2685" s="3883"/>
      <c r="F2685" s="3984" t="str">
        <f>$E$1866</f>
        <v>ASHP-SEER20-Replace_CAC_NonElectricHeat_ER1_MF_CompE</v>
      </c>
      <c r="G2685" s="3984"/>
      <c r="H2685" s="3984"/>
      <c r="I2685" s="3984"/>
      <c r="J2685" s="3501" t="str">
        <f>$C$1866</f>
        <v>354661_2021_12_</v>
      </c>
      <c r="K2685" s="3052">
        <v>9.4</v>
      </c>
      <c r="L2685" s="2822"/>
      <c r="M2685" s="3025" t="s">
        <v>1083</v>
      </c>
      <c r="N2685" s="106"/>
      <c r="O2685" s="106"/>
      <c r="P2685" s="702"/>
      <c r="Q2685" s="574"/>
      <c r="R2685" s="702"/>
      <c r="S2685" s="106"/>
      <c r="T2685" s="486"/>
      <c r="U2685" s="106"/>
      <c r="V2685" s="4184"/>
      <c r="W2685" s="3421"/>
      <c r="X2685" s="3421"/>
      <c r="Y2685" s="2374"/>
      <c r="Z2685" s="3421"/>
      <c r="AA2685" s="3421"/>
      <c r="AB2685" s="3421"/>
      <c r="AC2685" s="2919">
        <v>9.4</v>
      </c>
      <c r="AD2685" s="583">
        <v>9.4</v>
      </c>
      <c r="AE2685" s="3429"/>
      <c r="AF2685" s="3421"/>
      <c r="AG2685" s="3421"/>
      <c r="AH2685" s="156"/>
      <c r="AI2685" s="156"/>
      <c r="AJ2685" s="156"/>
      <c r="AK2685" s="156"/>
      <c r="AL2685" s="156"/>
      <c r="AM2685" s="156"/>
      <c r="AN2685" s="156"/>
      <c r="AO2685" s="156"/>
      <c r="AP2685" s="156"/>
      <c r="AQ2685" s="156"/>
      <c r="AR2685" s="156"/>
      <c r="AS2685" s="156"/>
      <c r="AT2685" s="156"/>
      <c r="AU2685" s="156"/>
      <c r="AV2685" s="156"/>
      <c r="AW2685" s="156"/>
      <c r="AX2685" s="156"/>
      <c r="AY2685" s="156"/>
      <c r="AZ2685" s="156"/>
      <c r="BA2685" s="156"/>
      <c r="BB2685" s="2828"/>
      <c r="BC2685" s="452"/>
      <c r="BD2685" s="2829"/>
      <c r="BE2685" s="2837"/>
      <c r="BF2685" s="156"/>
    </row>
    <row r="2686" spans="1:58" ht="15" customHeight="1" outlineLevel="1" x14ac:dyDescent="0.35">
      <c r="A2686" s="1664"/>
      <c r="B2686" s="2812"/>
      <c r="C2686" s="3077"/>
      <c r="D2686" s="3980"/>
      <c r="E2686" s="3883"/>
      <c r="F2686" s="3984" t="str">
        <f>$E$1868</f>
        <v>ASHP-SEER20-Replace_CAC_NonElectricHeat_ER2_MF_CompE</v>
      </c>
      <c r="G2686" s="3984"/>
      <c r="H2686" s="3984"/>
      <c r="I2686" s="3984"/>
      <c r="J2686" s="3501" t="str">
        <f>$C$1868</f>
        <v>354661_2021_12_</v>
      </c>
      <c r="K2686" s="3052">
        <v>9.4</v>
      </c>
      <c r="L2686" s="2822"/>
      <c r="M2686" s="3025" t="s">
        <v>1083</v>
      </c>
      <c r="N2686" s="106"/>
      <c r="O2686" s="106"/>
      <c r="P2686" s="702"/>
      <c r="Q2686" s="574"/>
      <c r="R2686" s="702"/>
      <c r="S2686" s="106"/>
      <c r="T2686" s="486"/>
      <c r="U2686" s="106"/>
      <c r="V2686" s="4184"/>
      <c r="W2686" s="3421"/>
      <c r="X2686" s="3421"/>
      <c r="Y2686" s="2374"/>
      <c r="Z2686" s="3421"/>
      <c r="AA2686" s="3421"/>
      <c r="AB2686" s="3421"/>
      <c r="AC2686" s="2919">
        <v>9.4</v>
      </c>
      <c r="AD2686" s="583">
        <v>9.4</v>
      </c>
      <c r="AE2686" s="3429"/>
      <c r="AF2686" s="3421"/>
      <c r="AG2686" s="3421"/>
      <c r="AH2686" s="156"/>
      <c r="AI2686" s="156"/>
      <c r="AJ2686" s="156"/>
      <c r="AK2686" s="156"/>
      <c r="AL2686" s="156"/>
      <c r="AM2686" s="156"/>
      <c r="AN2686" s="156"/>
      <c r="AO2686" s="156"/>
      <c r="AP2686" s="156"/>
      <c r="AQ2686" s="156"/>
      <c r="AR2686" s="156"/>
      <c r="AS2686" s="156"/>
      <c r="AT2686" s="156"/>
      <c r="AU2686" s="156"/>
      <c r="AV2686" s="156"/>
      <c r="AW2686" s="156"/>
      <c r="AX2686" s="156"/>
      <c r="AY2686" s="156"/>
      <c r="AZ2686" s="156"/>
      <c r="BA2686" s="156"/>
      <c r="BB2686" s="2828"/>
      <c r="BC2686" s="452"/>
      <c r="BD2686" s="2829"/>
      <c r="BE2686" s="2837"/>
      <c r="BF2686" s="156"/>
    </row>
    <row r="2687" spans="1:58" ht="15" customHeight="1" outlineLevel="1" x14ac:dyDescent="0.35">
      <c r="A2687" s="1664"/>
      <c r="B2687" s="2812"/>
      <c r="C2687" s="3077"/>
      <c r="D2687" s="3980"/>
      <c r="E2687" s="3883"/>
      <c r="F2687" s="3984" t="str">
        <f>$E$1870</f>
        <v>ASHP-SEER20_ER1_MF</v>
      </c>
      <c r="G2687" s="3984"/>
      <c r="H2687" s="3984"/>
      <c r="I2687" s="3984"/>
      <c r="J2687" s="3501" t="str">
        <f>$C$1870</f>
        <v>354700_2019_12_</v>
      </c>
      <c r="K2687" s="3052">
        <v>9.5</v>
      </c>
      <c r="L2687" s="2822"/>
      <c r="M2687" s="3041"/>
      <c r="N2687" s="106"/>
      <c r="O2687" s="106"/>
      <c r="P2687" s="702"/>
      <c r="Q2687" s="574"/>
      <c r="R2687" s="702"/>
      <c r="S2687" s="106"/>
      <c r="T2687" s="486"/>
      <c r="U2687" s="106"/>
      <c r="V2687" s="4184"/>
      <c r="W2687" s="3421">
        <v>9.5</v>
      </c>
      <c r="X2687" s="3421">
        <v>9.5</v>
      </c>
      <c r="Y2687" s="3421">
        <v>9.5</v>
      </c>
      <c r="Z2687" s="3421">
        <v>9.5</v>
      </c>
      <c r="AA2687" s="3421">
        <v>9.5</v>
      </c>
      <c r="AB2687" s="3421">
        <v>9.5</v>
      </c>
      <c r="AC2687" s="2920">
        <v>9.5</v>
      </c>
      <c r="AD2687" s="583">
        <v>9.5</v>
      </c>
      <c r="AE2687" s="3429"/>
      <c r="AF2687" s="3421"/>
      <c r="AG2687" s="3421"/>
      <c r="AH2687" s="156"/>
      <c r="AI2687" s="156"/>
      <c r="AJ2687" s="156"/>
      <c r="AK2687" s="156"/>
      <c r="AL2687" s="156"/>
      <c r="AM2687" s="156"/>
      <c r="AN2687" s="156"/>
      <c r="AO2687" s="156"/>
      <c r="AP2687" s="156"/>
      <c r="AQ2687" s="156"/>
      <c r="AR2687" s="156"/>
      <c r="AS2687" s="156"/>
      <c r="AT2687" s="156"/>
      <c r="AU2687" s="156"/>
      <c r="AV2687" s="156"/>
      <c r="AW2687" s="156"/>
      <c r="AX2687" s="156"/>
      <c r="AY2687" s="156"/>
      <c r="AZ2687" s="156"/>
      <c r="BA2687" s="156"/>
      <c r="BB2687" s="2828"/>
      <c r="BC2687" s="452"/>
      <c r="BD2687" s="2829"/>
      <c r="BE2687" s="2837"/>
      <c r="BF2687" s="156"/>
    </row>
    <row r="2688" spans="1:58" ht="15" customHeight="1" outlineLevel="1" x14ac:dyDescent="0.35">
      <c r="A2688" s="1664"/>
      <c r="B2688" s="2812"/>
      <c r="C2688" s="3077"/>
      <c r="D2688" s="3980"/>
      <c r="E2688" s="3883"/>
      <c r="F2688" s="3984" t="str">
        <f>$E$1872</f>
        <v>ASHP-SEER20_ER2_MF</v>
      </c>
      <c r="G2688" s="3984"/>
      <c r="H2688" s="3984"/>
      <c r="I2688" s="3984"/>
      <c r="J2688" s="3501" t="str">
        <f>$C$1872</f>
        <v>354700_2019_12_</v>
      </c>
      <c r="K2688" s="3052">
        <v>9.5</v>
      </c>
      <c r="L2688" s="2822"/>
      <c r="M2688" s="3041"/>
      <c r="N2688" s="106"/>
      <c r="O2688" s="106"/>
      <c r="P2688" s="702"/>
      <c r="Q2688" s="574"/>
      <c r="R2688" s="702"/>
      <c r="S2688" s="106"/>
      <c r="T2688" s="486"/>
      <c r="U2688" s="106"/>
      <c r="V2688" s="4184"/>
      <c r="W2688" s="3421">
        <v>9.5</v>
      </c>
      <c r="X2688" s="3421">
        <v>9.5</v>
      </c>
      <c r="Y2688" s="3421">
        <v>9.5</v>
      </c>
      <c r="Z2688" s="3421">
        <v>9.5</v>
      </c>
      <c r="AA2688" s="3421">
        <v>9.5</v>
      </c>
      <c r="AB2688" s="3421">
        <v>9.5</v>
      </c>
      <c r="AC2688" s="2920">
        <v>9.5</v>
      </c>
      <c r="AD2688" s="583">
        <v>9.5</v>
      </c>
      <c r="AE2688" s="3429"/>
      <c r="AF2688" s="3421"/>
      <c r="AG2688" s="3421"/>
      <c r="AH2688" s="156"/>
      <c r="AI2688" s="156"/>
      <c r="AJ2688" s="156"/>
      <c r="AK2688" s="156"/>
      <c r="AL2688" s="156"/>
      <c r="AM2688" s="156"/>
      <c r="AN2688" s="156"/>
      <c r="AO2688" s="156"/>
      <c r="AP2688" s="156"/>
      <c r="AQ2688" s="156"/>
      <c r="AR2688" s="156"/>
      <c r="AS2688" s="156"/>
      <c r="AT2688" s="156"/>
      <c r="AU2688" s="156"/>
      <c r="AV2688" s="156"/>
      <c r="AW2688" s="156"/>
      <c r="AX2688" s="156"/>
      <c r="AY2688" s="156"/>
      <c r="AZ2688" s="156"/>
      <c r="BA2688" s="156"/>
      <c r="BB2688" s="2828"/>
      <c r="BC2688" s="452"/>
      <c r="BD2688" s="2829"/>
      <c r="BE2688" s="2837"/>
      <c r="BF2688" s="156"/>
    </row>
    <row r="2689" spans="1:58" ht="15" customHeight="1" outlineLevel="1" x14ac:dyDescent="0.35">
      <c r="A2689" s="1664"/>
      <c r="B2689" s="2812"/>
      <c r="C2689" s="3077"/>
      <c r="D2689" s="3980"/>
      <c r="E2689" s="3883"/>
      <c r="F2689" s="3984" t="str">
        <f>$E$1874</f>
        <v>ASHP-SEER20_ER1_MF_CompE</v>
      </c>
      <c r="G2689" s="3984"/>
      <c r="H2689" s="3984"/>
      <c r="I2689" s="3984"/>
      <c r="J2689" s="3501" t="str">
        <f>$C$1874</f>
        <v>354701_2019_12_</v>
      </c>
      <c r="K2689" s="3052">
        <v>9.5</v>
      </c>
      <c r="L2689" s="2822"/>
      <c r="M2689" s="3041"/>
      <c r="N2689" s="106"/>
      <c r="O2689" s="106"/>
      <c r="P2689" s="702"/>
      <c r="Q2689" s="574"/>
      <c r="R2689" s="702"/>
      <c r="S2689" s="106"/>
      <c r="T2689" s="486"/>
      <c r="U2689" s="106"/>
      <c r="V2689" s="4184"/>
      <c r="W2689" s="3421"/>
      <c r="X2689" s="3421"/>
      <c r="Y2689" s="2374">
        <v>9.5</v>
      </c>
      <c r="Z2689" s="3421">
        <v>9.5</v>
      </c>
      <c r="AA2689" s="3421">
        <v>9.5</v>
      </c>
      <c r="AB2689" s="3421">
        <v>9.5</v>
      </c>
      <c r="AC2689" s="2920">
        <v>9.5</v>
      </c>
      <c r="AD2689" s="583">
        <v>9.5</v>
      </c>
      <c r="AE2689" s="3429"/>
      <c r="AF2689" s="3421"/>
      <c r="AG2689" s="3421"/>
      <c r="AH2689" s="156"/>
      <c r="AI2689" s="156"/>
      <c r="AJ2689" s="156"/>
      <c r="AK2689" s="156"/>
      <c r="AL2689" s="156"/>
      <c r="AM2689" s="156"/>
      <c r="AN2689" s="156"/>
      <c r="AO2689" s="156"/>
      <c r="AP2689" s="156"/>
      <c r="AQ2689" s="156"/>
      <c r="AR2689" s="156"/>
      <c r="AS2689" s="156"/>
      <c r="AT2689" s="156"/>
      <c r="AU2689" s="156"/>
      <c r="AV2689" s="156"/>
      <c r="AW2689" s="156"/>
      <c r="AX2689" s="156"/>
      <c r="AY2689" s="156"/>
      <c r="AZ2689" s="156"/>
      <c r="BA2689" s="156"/>
      <c r="BB2689" s="2828"/>
      <c r="BC2689" s="452"/>
      <c r="BD2689" s="2829"/>
      <c r="BE2689" s="2837"/>
      <c r="BF2689" s="156"/>
    </row>
    <row r="2690" spans="1:58" ht="15" customHeight="1" outlineLevel="1" x14ac:dyDescent="0.35">
      <c r="A2690" s="1664"/>
      <c r="B2690" s="2812"/>
      <c r="C2690" s="3077"/>
      <c r="D2690" s="3980"/>
      <c r="E2690" s="3883"/>
      <c r="F2690" s="3984" t="str">
        <f>$E$1876</f>
        <v>ASHP-SEER20_ER2_MF_CompE</v>
      </c>
      <c r="G2690" s="3984"/>
      <c r="H2690" s="3984"/>
      <c r="I2690" s="3984"/>
      <c r="J2690" s="3501" t="str">
        <f>$C$1876</f>
        <v>354701_2019_12_</v>
      </c>
      <c r="K2690" s="3052">
        <v>9.5</v>
      </c>
      <c r="L2690" s="2822"/>
      <c r="M2690" s="3041"/>
      <c r="N2690" s="106"/>
      <c r="O2690" s="106"/>
      <c r="P2690" s="702"/>
      <c r="Q2690" s="574"/>
      <c r="R2690" s="702"/>
      <c r="S2690" s="106"/>
      <c r="T2690" s="486"/>
      <c r="U2690" s="106"/>
      <c r="V2690" s="4184"/>
      <c r="W2690" s="3421"/>
      <c r="X2690" s="3421"/>
      <c r="Y2690" s="2374">
        <v>9.5</v>
      </c>
      <c r="Z2690" s="3421">
        <v>9.5</v>
      </c>
      <c r="AA2690" s="3421">
        <v>9.5</v>
      </c>
      <c r="AB2690" s="3421">
        <v>9.5</v>
      </c>
      <c r="AC2690" s="2920">
        <v>9.5</v>
      </c>
      <c r="AD2690" s="583">
        <v>9.5</v>
      </c>
      <c r="AE2690" s="3429"/>
      <c r="AF2690" s="3421"/>
      <c r="AG2690" s="3421"/>
      <c r="AH2690" s="156"/>
      <c r="AI2690" s="156"/>
      <c r="AJ2690" s="156"/>
      <c r="AK2690" s="156"/>
      <c r="AL2690" s="156"/>
      <c r="AM2690" s="156"/>
      <c r="AN2690" s="156"/>
      <c r="AO2690" s="156"/>
      <c r="AP2690" s="156"/>
      <c r="AQ2690" s="156"/>
      <c r="AR2690" s="156"/>
      <c r="AS2690" s="156"/>
      <c r="AT2690" s="156"/>
      <c r="AU2690" s="156"/>
      <c r="AV2690" s="156"/>
      <c r="AW2690" s="156"/>
      <c r="AX2690" s="156"/>
      <c r="AY2690" s="156"/>
      <c r="AZ2690" s="156"/>
      <c r="BA2690" s="156"/>
      <c r="BB2690" s="2828"/>
      <c r="BC2690" s="452"/>
      <c r="BD2690" s="2829"/>
      <c r="BE2690" s="2837"/>
      <c r="BF2690" s="156"/>
    </row>
    <row r="2691" spans="1:58" ht="15" customHeight="1" outlineLevel="1" x14ac:dyDescent="0.35">
      <c r="A2691" s="1664"/>
      <c r="B2691" s="2812"/>
      <c r="C2691" s="3077"/>
      <c r="D2691" s="3980"/>
      <c r="E2691" s="3883"/>
      <c r="F2691" s="3984" t="str">
        <f>$E$1878</f>
        <v>ASHP-SEER21_ER1_SF</v>
      </c>
      <c r="G2691" s="3984"/>
      <c r="H2691" s="3984"/>
      <c r="I2691" s="3984"/>
      <c r="J2691" s="3501" t="str">
        <f>$C$1878</f>
        <v>354750_2021_12_</v>
      </c>
      <c r="K2691" s="3050">
        <v>10.727272727272727</v>
      </c>
      <c r="L2691" s="2822"/>
      <c r="M2691" s="2819" t="s">
        <v>4360</v>
      </c>
      <c r="N2691" s="106"/>
      <c r="O2691" s="106"/>
      <c r="P2691" s="702"/>
      <c r="Q2691" s="574"/>
      <c r="R2691" s="702"/>
      <c r="S2691" s="106"/>
      <c r="T2691" s="486"/>
      <c r="U2691" s="106"/>
      <c r="V2691" s="4184"/>
      <c r="W2691" s="3421">
        <v>9.5</v>
      </c>
      <c r="X2691" s="3421">
        <v>9.5</v>
      </c>
      <c r="Y2691" s="3421">
        <v>9.5</v>
      </c>
      <c r="Z2691" s="3421">
        <v>9.5</v>
      </c>
      <c r="AA2691" s="3421">
        <v>9.5</v>
      </c>
      <c r="AB2691" s="3421">
        <v>9.5</v>
      </c>
      <c r="AC2691" s="2919">
        <v>10.807692307692308</v>
      </c>
      <c r="AD2691" s="3050">
        <v>10.727272727272727</v>
      </c>
      <c r="AE2691" s="3429"/>
      <c r="AF2691" s="3421"/>
      <c r="AG2691" s="3421"/>
      <c r="AH2691" s="156"/>
      <c r="AI2691" s="156"/>
      <c r="AJ2691" s="156"/>
      <c r="AK2691" s="156"/>
      <c r="AL2691" s="156"/>
      <c r="AM2691" s="156"/>
      <c r="AN2691" s="156"/>
      <c r="AO2691" s="156"/>
      <c r="AP2691" s="156"/>
      <c r="AQ2691" s="156"/>
      <c r="AR2691" s="156"/>
      <c r="AS2691" s="156"/>
      <c r="AT2691" s="156"/>
      <c r="AU2691" s="156"/>
      <c r="AV2691" s="156"/>
      <c r="AW2691" s="156"/>
      <c r="AX2691" s="156"/>
      <c r="AY2691" s="156"/>
      <c r="AZ2691" s="156"/>
      <c r="BA2691" s="156"/>
      <c r="BB2691" s="2828"/>
      <c r="BC2691" s="452"/>
      <c r="BD2691" s="2829"/>
      <c r="BE2691" s="2837"/>
      <c r="BF2691" s="156"/>
    </row>
    <row r="2692" spans="1:58" ht="15" customHeight="1" outlineLevel="1" x14ac:dyDescent="0.35">
      <c r="A2692" s="1664"/>
      <c r="B2692" s="2812"/>
      <c r="C2692" s="3077"/>
      <c r="D2692" s="3980"/>
      <c r="E2692" s="3883"/>
      <c r="F2692" s="3984" t="str">
        <f>$E$1880</f>
        <v>ASHP-SEER21_ER2_SF</v>
      </c>
      <c r="G2692" s="3984"/>
      <c r="H2692" s="3984"/>
      <c r="I2692" s="3984"/>
      <c r="J2692" s="3501" t="str">
        <f>$C$1880</f>
        <v>354750_2021_12_</v>
      </c>
      <c r="K2692" s="3050">
        <v>10.727272727272727</v>
      </c>
      <c r="L2692" s="2822"/>
      <c r="M2692" s="2819" t="s">
        <v>4360</v>
      </c>
      <c r="N2692" s="106"/>
      <c r="O2692" s="106"/>
      <c r="P2692" s="702"/>
      <c r="Q2692" s="574"/>
      <c r="R2692" s="702"/>
      <c r="S2692" s="106"/>
      <c r="T2692" s="486"/>
      <c r="U2692" s="106"/>
      <c r="V2692" s="4184"/>
      <c r="W2692" s="3421">
        <v>9.5</v>
      </c>
      <c r="X2692" s="3421">
        <v>9.5</v>
      </c>
      <c r="Y2692" s="3421">
        <v>9.5</v>
      </c>
      <c r="Z2692" s="3421">
        <v>9.5</v>
      </c>
      <c r="AA2692" s="3421">
        <v>9.5</v>
      </c>
      <c r="AB2692" s="3421">
        <v>9.5</v>
      </c>
      <c r="AC2692" s="2919">
        <f>AC2691</f>
        <v>10.807692307692308</v>
      </c>
      <c r="AD2692" s="3050">
        <v>10.727272727272727</v>
      </c>
      <c r="AE2692" s="3429"/>
      <c r="AF2692" s="3421"/>
      <c r="AG2692" s="3421"/>
      <c r="AH2692" s="156"/>
      <c r="AI2692" s="156"/>
      <c r="AJ2692" s="156"/>
      <c r="AK2692" s="156"/>
      <c r="AL2692" s="156"/>
      <c r="AM2692" s="156"/>
      <c r="AN2692" s="156"/>
      <c r="AO2692" s="156"/>
      <c r="AP2692" s="156"/>
      <c r="AQ2692" s="156"/>
      <c r="AR2692" s="156"/>
      <c r="AS2692" s="156"/>
      <c r="AT2692" s="156"/>
      <c r="AU2692" s="156"/>
      <c r="AV2692" s="156"/>
      <c r="AW2692" s="156"/>
      <c r="AX2692" s="156"/>
      <c r="AY2692" s="156"/>
      <c r="AZ2692" s="156"/>
      <c r="BA2692" s="156"/>
      <c r="BB2692" s="2828"/>
      <c r="BC2692" s="452"/>
      <c r="BD2692" s="2829"/>
      <c r="BE2692" s="2837"/>
      <c r="BF2692" s="156"/>
    </row>
    <row r="2693" spans="1:58" ht="15" customHeight="1" outlineLevel="1" x14ac:dyDescent="0.35">
      <c r="A2693" s="1664"/>
      <c r="B2693" s="2812"/>
      <c r="C2693" s="3077"/>
      <c r="D2693" s="3980"/>
      <c r="E2693" s="3883"/>
      <c r="F2693" s="3984" t="str">
        <f>$E$1882</f>
        <v>ASHP-SEER21_ROF_SF</v>
      </c>
      <c r="G2693" s="3984"/>
      <c r="H2693" s="3984"/>
      <c r="I2693" s="3984"/>
      <c r="J2693" s="3501" t="str">
        <f>$C$1882</f>
        <v>354800_2021_12_</v>
      </c>
      <c r="K2693" s="3050">
        <v>11</v>
      </c>
      <c r="L2693" s="2822"/>
      <c r="M2693" s="2819" t="s">
        <v>4360</v>
      </c>
      <c r="N2693" s="106"/>
      <c r="O2693" s="106"/>
      <c r="P2693" s="702"/>
      <c r="Q2693" s="574"/>
      <c r="R2693" s="702"/>
      <c r="S2693" s="106"/>
      <c r="T2693" s="486"/>
      <c r="U2693" s="106"/>
      <c r="V2693" s="4184"/>
      <c r="W2693" s="3421">
        <v>9.8000000000000007</v>
      </c>
      <c r="X2693" s="3421">
        <v>9.8000000000000007</v>
      </c>
      <c r="Y2693" s="3421">
        <v>9.8000000000000007</v>
      </c>
      <c r="Z2693" s="3421">
        <v>9.8000000000000007</v>
      </c>
      <c r="AA2693" s="3421">
        <v>9.8000000000000007</v>
      </c>
      <c r="AB2693" s="3421">
        <v>9.8000000000000007</v>
      </c>
      <c r="AC2693" s="2919">
        <v>10.875</v>
      </c>
      <c r="AD2693" s="3050">
        <v>11</v>
      </c>
      <c r="AE2693" s="3429"/>
      <c r="AF2693" s="3421"/>
      <c r="AG2693" s="3421"/>
      <c r="AH2693" s="156"/>
      <c r="AI2693" s="156"/>
      <c r="AJ2693" s="156"/>
      <c r="AK2693" s="156"/>
      <c r="AL2693" s="156"/>
      <c r="AM2693" s="156"/>
      <c r="AN2693" s="156"/>
      <c r="AO2693" s="156"/>
      <c r="AP2693" s="156"/>
      <c r="AQ2693" s="156"/>
      <c r="AR2693" s="156"/>
      <c r="AS2693" s="156"/>
      <c r="AT2693" s="156"/>
      <c r="AU2693" s="156"/>
      <c r="AV2693" s="156"/>
      <c r="AW2693" s="156"/>
      <c r="AX2693" s="156"/>
      <c r="AY2693" s="156"/>
      <c r="AZ2693" s="156"/>
      <c r="BA2693" s="156"/>
      <c r="BB2693" s="2828"/>
      <c r="BC2693" s="452"/>
      <c r="BD2693" s="2829"/>
      <c r="BE2693" s="2837"/>
      <c r="BF2693" s="156"/>
    </row>
    <row r="2694" spans="1:58" ht="15" customHeight="1" outlineLevel="1" x14ac:dyDescent="0.35">
      <c r="A2694" s="1664"/>
      <c r="B2694" s="2812"/>
      <c r="C2694" s="3077"/>
      <c r="D2694" s="3980"/>
      <c r="E2694" s="3883"/>
      <c r="F2694" s="3984" t="str">
        <f>$E$1884</f>
        <v>ASHP-SEER21-Replace_CAC_ElectricHeat_ROF_MF</v>
      </c>
      <c r="G2694" s="3984"/>
      <c r="H2694" s="3984"/>
      <c r="I2694" s="3984"/>
      <c r="J2694" s="3501" t="str">
        <f>$C$1884</f>
        <v>354850_2019_12_</v>
      </c>
      <c r="K2694" s="3052">
        <v>9.6999999999999993</v>
      </c>
      <c r="L2694" s="2822"/>
      <c r="M2694" s="3041"/>
      <c r="N2694" s="106"/>
      <c r="O2694" s="106"/>
      <c r="P2694" s="702"/>
      <c r="Q2694" s="574"/>
      <c r="R2694" s="702"/>
      <c r="S2694" s="106"/>
      <c r="T2694" s="486"/>
      <c r="U2694" s="106"/>
      <c r="V2694" s="4184"/>
      <c r="W2694" s="3421">
        <v>9.6999999999999993</v>
      </c>
      <c r="X2694" s="3421">
        <v>9.6999999999999993</v>
      </c>
      <c r="Y2694" s="3421">
        <v>9.6999999999999993</v>
      </c>
      <c r="Z2694" s="3421">
        <v>9.6999999999999993</v>
      </c>
      <c r="AA2694" s="3421">
        <v>9.6999999999999993</v>
      </c>
      <c r="AB2694" s="3421">
        <v>9.6999999999999993</v>
      </c>
      <c r="AC2694" s="2920">
        <v>9.6999999999999993</v>
      </c>
      <c r="AD2694" s="583">
        <v>9.6999999999999993</v>
      </c>
      <c r="AE2694" s="3429"/>
      <c r="AF2694" s="3421"/>
      <c r="AG2694" s="3421"/>
      <c r="AH2694" s="156"/>
      <c r="AI2694" s="156"/>
      <c r="AJ2694" s="156"/>
      <c r="AK2694" s="156"/>
      <c r="AL2694" s="156"/>
      <c r="AM2694" s="156"/>
      <c r="AN2694" s="156"/>
      <c r="AO2694" s="156"/>
      <c r="AP2694" s="156"/>
      <c r="AQ2694" s="156"/>
      <c r="AR2694" s="156"/>
      <c r="AS2694" s="156"/>
      <c r="AT2694" s="156"/>
      <c r="AU2694" s="156"/>
      <c r="AV2694" s="156"/>
      <c r="AW2694" s="156"/>
      <c r="AX2694" s="156"/>
      <c r="AY2694" s="156"/>
      <c r="AZ2694" s="156"/>
      <c r="BA2694" s="156"/>
      <c r="BB2694" s="2828"/>
      <c r="BC2694" s="452"/>
      <c r="BD2694" s="2829"/>
      <c r="BE2694" s="2837"/>
      <c r="BF2694" s="156"/>
    </row>
    <row r="2695" spans="1:58" ht="15" customHeight="1" outlineLevel="1" x14ac:dyDescent="0.35">
      <c r="A2695" s="1664"/>
      <c r="B2695" s="2812"/>
      <c r="C2695" s="3077"/>
      <c r="D2695" s="3980"/>
      <c r="E2695" s="3883"/>
      <c r="F2695" s="3984" t="str">
        <f>$E$1886</f>
        <v>ASHP-SEER21-Replace_CAC_ElectricHeat_ROF_MF_CompE</v>
      </c>
      <c r="G2695" s="3984"/>
      <c r="H2695" s="3984"/>
      <c r="I2695" s="3984"/>
      <c r="J2695" s="3501" t="str">
        <f>$C$1886</f>
        <v>354851_2019_12_</v>
      </c>
      <c r="K2695" s="3052">
        <v>9.6999999999999993</v>
      </c>
      <c r="L2695" s="2822"/>
      <c r="M2695" s="3041"/>
      <c r="N2695" s="106"/>
      <c r="O2695" s="106"/>
      <c r="P2695" s="702"/>
      <c r="Q2695" s="574"/>
      <c r="R2695" s="702"/>
      <c r="S2695" s="106"/>
      <c r="T2695" s="486"/>
      <c r="U2695" s="106"/>
      <c r="V2695" s="4184"/>
      <c r="W2695" s="3421"/>
      <c r="X2695" s="3421"/>
      <c r="Y2695" s="2374">
        <v>9.6999999999999993</v>
      </c>
      <c r="Z2695" s="3421">
        <v>9.6999999999999993</v>
      </c>
      <c r="AA2695" s="3421">
        <v>9.6999999999999993</v>
      </c>
      <c r="AB2695" s="3421">
        <v>9.6999999999999993</v>
      </c>
      <c r="AC2695" s="2920">
        <v>9.6999999999999993</v>
      </c>
      <c r="AD2695" s="583">
        <v>9.6999999999999993</v>
      </c>
      <c r="AE2695" s="3429"/>
      <c r="AF2695" s="3421"/>
      <c r="AG2695" s="3421"/>
      <c r="AH2695" s="156"/>
      <c r="AI2695" s="156"/>
      <c r="AJ2695" s="156"/>
      <c r="AK2695" s="156"/>
      <c r="AL2695" s="156"/>
      <c r="AM2695" s="156"/>
      <c r="AN2695" s="156"/>
      <c r="AO2695" s="156"/>
      <c r="AP2695" s="156"/>
      <c r="AQ2695" s="156"/>
      <c r="AR2695" s="156"/>
      <c r="AS2695" s="156"/>
      <c r="AT2695" s="156"/>
      <c r="AU2695" s="156"/>
      <c r="AV2695" s="156"/>
      <c r="AW2695" s="156"/>
      <c r="AX2695" s="156"/>
      <c r="AY2695" s="156"/>
      <c r="AZ2695" s="156"/>
      <c r="BA2695" s="156"/>
      <c r="BB2695" s="2828"/>
      <c r="BC2695" s="452"/>
      <c r="BD2695" s="2829"/>
      <c r="BE2695" s="2837"/>
      <c r="BF2695" s="156"/>
    </row>
    <row r="2696" spans="1:58" ht="15" customHeight="1" outlineLevel="1" x14ac:dyDescent="0.35">
      <c r="A2696" s="1664"/>
      <c r="B2696" s="2812"/>
      <c r="C2696" s="3077"/>
      <c r="D2696" s="3980"/>
      <c r="E2696" s="3883"/>
      <c r="F2696" s="3984" t="str">
        <f>$E$1888</f>
        <v>ASHP-SEER21-Replace_CAC_NonElectricHeat_ROF_MF</v>
      </c>
      <c r="G2696" s="3984"/>
      <c r="H2696" s="3984"/>
      <c r="I2696" s="3984"/>
      <c r="J2696" s="3501" t="str">
        <f>$C$1888</f>
        <v>354860_2021_12_</v>
      </c>
      <c r="K2696" s="3052">
        <v>9.6999999999999993</v>
      </c>
      <c r="L2696" s="2822"/>
      <c r="M2696" s="3025" t="s">
        <v>1083</v>
      </c>
      <c r="N2696" s="106"/>
      <c r="O2696" s="106"/>
      <c r="P2696" s="702"/>
      <c r="Q2696" s="574"/>
      <c r="R2696" s="702"/>
      <c r="S2696" s="106"/>
      <c r="T2696" s="486"/>
      <c r="U2696" s="106"/>
      <c r="V2696" s="4184"/>
      <c r="W2696" s="3421"/>
      <c r="X2696" s="3421"/>
      <c r="Y2696" s="2374"/>
      <c r="Z2696" s="3421"/>
      <c r="AA2696" s="3421"/>
      <c r="AB2696" s="3421"/>
      <c r="AC2696" s="2919">
        <v>9.6999999999999993</v>
      </c>
      <c r="AD2696" s="583">
        <v>9.6999999999999993</v>
      </c>
      <c r="AE2696" s="3429"/>
      <c r="AF2696" s="3421"/>
      <c r="AG2696" s="3421"/>
      <c r="AH2696" s="156"/>
      <c r="AI2696" s="156"/>
      <c r="AJ2696" s="156"/>
      <c r="AK2696" s="156"/>
      <c r="AL2696" s="156"/>
      <c r="AM2696" s="156"/>
      <c r="AN2696" s="156"/>
      <c r="AO2696" s="156"/>
      <c r="AP2696" s="156"/>
      <c r="AQ2696" s="156"/>
      <c r="AR2696" s="156"/>
      <c r="AS2696" s="156"/>
      <c r="AT2696" s="156"/>
      <c r="AU2696" s="156"/>
      <c r="AV2696" s="156"/>
      <c r="AW2696" s="156"/>
      <c r="AX2696" s="156"/>
      <c r="AY2696" s="156"/>
      <c r="AZ2696" s="156"/>
      <c r="BA2696" s="156"/>
      <c r="BB2696" s="2828"/>
      <c r="BC2696" s="452"/>
      <c r="BD2696" s="2829"/>
      <c r="BE2696" s="2837"/>
      <c r="BF2696" s="156"/>
    </row>
    <row r="2697" spans="1:58" ht="15" customHeight="1" outlineLevel="1" x14ac:dyDescent="0.35">
      <c r="A2697" s="1664"/>
      <c r="B2697" s="2812"/>
      <c r="C2697" s="3077"/>
      <c r="D2697" s="3980"/>
      <c r="E2697" s="3883"/>
      <c r="F2697" s="3984" t="str">
        <f>$E$1890</f>
        <v>ASHP-SEER21-Replace_CAC_NonElectricHeat_ROF_MF_CompE</v>
      </c>
      <c r="G2697" s="3984"/>
      <c r="H2697" s="3984"/>
      <c r="I2697" s="3984"/>
      <c r="J2697" s="3501" t="str">
        <f>$C$1890</f>
        <v>354861_2021_12_</v>
      </c>
      <c r="K2697" s="3052">
        <v>9.6999999999999993</v>
      </c>
      <c r="L2697" s="2822"/>
      <c r="M2697" s="3025" t="s">
        <v>1083</v>
      </c>
      <c r="N2697" s="106"/>
      <c r="O2697" s="106"/>
      <c r="P2697" s="702"/>
      <c r="Q2697" s="574"/>
      <c r="R2697" s="702"/>
      <c r="S2697" s="106"/>
      <c r="T2697" s="486"/>
      <c r="U2697" s="106"/>
      <c r="V2697" s="4184"/>
      <c r="W2697" s="3421"/>
      <c r="X2697" s="3421"/>
      <c r="Y2697" s="2374"/>
      <c r="Z2697" s="3421"/>
      <c r="AA2697" s="3421"/>
      <c r="AB2697" s="3421"/>
      <c r="AC2697" s="2919">
        <v>9.6999999999999993</v>
      </c>
      <c r="AD2697" s="583">
        <v>9.6999999999999993</v>
      </c>
      <c r="AE2697" s="3429"/>
      <c r="AF2697" s="3421"/>
      <c r="AG2697" s="3421"/>
      <c r="AH2697" s="156"/>
      <c r="AI2697" s="156"/>
      <c r="AJ2697" s="156"/>
      <c r="AK2697" s="156"/>
      <c r="AL2697" s="156"/>
      <c r="AM2697" s="156"/>
      <c r="AN2697" s="156"/>
      <c r="AO2697" s="156"/>
      <c r="AP2697" s="156"/>
      <c r="AQ2697" s="156"/>
      <c r="AR2697" s="156"/>
      <c r="AS2697" s="156"/>
      <c r="AT2697" s="156"/>
      <c r="AU2697" s="156"/>
      <c r="AV2697" s="156"/>
      <c r="AW2697" s="156"/>
      <c r="AX2697" s="156"/>
      <c r="AY2697" s="156"/>
      <c r="AZ2697" s="156"/>
      <c r="BA2697" s="156"/>
      <c r="BB2697" s="2828"/>
      <c r="BC2697" s="452"/>
      <c r="BD2697" s="2829"/>
      <c r="BE2697" s="2837"/>
      <c r="BF2697" s="156"/>
    </row>
    <row r="2698" spans="1:58" ht="15" customHeight="1" outlineLevel="1" x14ac:dyDescent="0.35">
      <c r="A2698" s="1664"/>
      <c r="B2698" s="2812"/>
      <c r="C2698" s="3077"/>
      <c r="D2698" s="3980"/>
      <c r="E2698" s="3883"/>
      <c r="F2698" s="3984" t="str">
        <f>$E$1892</f>
        <v>ASHP-SEER21_ER1_MF</v>
      </c>
      <c r="G2698" s="3984"/>
      <c r="H2698" s="3984"/>
      <c r="I2698" s="3984"/>
      <c r="J2698" s="3501" t="str">
        <f>$C$1892</f>
        <v>354900_2019_12_</v>
      </c>
      <c r="K2698" s="3052">
        <v>9.5</v>
      </c>
      <c r="L2698" s="2822"/>
      <c r="M2698" s="3041"/>
      <c r="N2698" s="106"/>
      <c r="O2698" s="106"/>
      <c r="P2698" s="702"/>
      <c r="Q2698" s="574"/>
      <c r="R2698" s="702"/>
      <c r="S2698" s="106"/>
      <c r="T2698" s="486"/>
      <c r="U2698" s="106"/>
      <c r="V2698" s="4184"/>
      <c r="W2698" s="3421">
        <v>9.5</v>
      </c>
      <c r="X2698" s="3421">
        <v>9.5</v>
      </c>
      <c r="Y2698" s="3421">
        <v>9.5</v>
      </c>
      <c r="Z2698" s="3421">
        <v>9.5</v>
      </c>
      <c r="AA2698" s="3421">
        <v>9.5</v>
      </c>
      <c r="AB2698" s="3421">
        <v>9.5</v>
      </c>
      <c r="AC2698" s="2920">
        <v>9.5</v>
      </c>
      <c r="AD2698" s="583">
        <v>9.5</v>
      </c>
      <c r="AE2698" s="3429"/>
      <c r="AF2698" s="3421"/>
      <c r="AG2698" s="3421"/>
      <c r="AH2698" s="156"/>
      <c r="AI2698" s="156"/>
      <c r="AJ2698" s="156"/>
      <c r="AK2698" s="156"/>
      <c r="AL2698" s="156"/>
      <c r="AM2698" s="156"/>
      <c r="AN2698" s="156"/>
      <c r="AO2698" s="156"/>
      <c r="AP2698" s="156"/>
      <c r="AQ2698" s="156"/>
      <c r="AR2698" s="156"/>
      <c r="AS2698" s="156"/>
      <c r="AT2698" s="156"/>
      <c r="AU2698" s="156"/>
      <c r="AV2698" s="156"/>
      <c r="AW2698" s="156"/>
      <c r="AX2698" s="156"/>
      <c r="AY2698" s="156"/>
      <c r="AZ2698" s="156"/>
      <c r="BA2698" s="156"/>
      <c r="BB2698" s="2828"/>
      <c r="BC2698" s="452"/>
      <c r="BD2698" s="2829"/>
      <c r="BE2698" s="2837"/>
      <c r="BF2698" s="156"/>
    </row>
    <row r="2699" spans="1:58" ht="15" customHeight="1" outlineLevel="1" x14ac:dyDescent="0.35">
      <c r="A2699" s="1664"/>
      <c r="B2699" s="2812"/>
      <c r="C2699" s="3077"/>
      <c r="D2699" s="3980"/>
      <c r="E2699" s="3883"/>
      <c r="F2699" s="3984" t="str">
        <f>$E$1894</f>
        <v>ASHP-SEER21_ER2_MF</v>
      </c>
      <c r="G2699" s="3984"/>
      <c r="H2699" s="3984"/>
      <c r="I2699" s="3984"/>
      <c r="J2699" s="3501" t="str">
        <f>$C$1894</f>
        <v>354900_2019_12_</v>
      </c>
      <c r="K2699" s="3052">
        <v>9.5</v>
      </c>
      <c r="L2699" s="2822"/>
      <c r="M2699" s="3041"/>
      <c r="N2699" s="106"/>
      <c r="O2699" s="106"/>
      <c r="P2699" s="702"/>
      <c r="Q2699" s="574"/>
      <c r="R2699" s="702"/>
      <c r="S2699" s="106"/>
      <c r="T2699" s="486"/>
      <c r="U2699" s="106"/>
      <c r="V2699" s="4184"/>
      <c r="W2699" s="3421">
        <v>9.5</v>
      </c>
      <c r="X2699" s="3421">
        <v>9.5</v>
      </c>
      <c r="Y2699" s="3421">
        <v>9.5</v>
      </c>
      <c r="Z2699" s="3421">
        <v>9.5</v>
      </c>
      <c r="AA2699" s="3421">
        <v>9.5</v>
      </c>
      <c r="AB2699" s="3421">
        <v>9.5</v>
      </c>
      <c r="AC2699" s="2920">
        <v>9.5</v>
      </c>
      <c r="AD2699" s="583">
        <v>9.5</v>
      </c>
      <c r="AE2699" s="3429"/>
      <c r="AF2699" s="3421"/>
      <c r="AG2699" s="3421"/>
      <c r="AH2699" s="156"/>
      <c r="AI2699" s="156"/>
      <c r="AJ2699" s="156"/>
      <c r="AK2699" s="156"/>
      <c r="AL2699" s="156"/>
      <c r="AM2699" s="156"/>
      <c r="AN2699" s="156"/>
      <c r="AO2699" s="156"/>
      <c r="AP2699" s="156"/>
      <c r="AQ2699" s="156"/>
      <c r="AR2699" s="156"/>
      <c r="AS2699" s="156"/>
      <c r="AT2699" s="156"/>
      <c r="AU2699" s="156"/>
      <c r="AV2699" s="156"/>
      <c r="AW2699" s="156"/>
      <c r="AX2699" s="156"/>
      <c r="AY2699" s="156"/>
      <c r="AZ2699" s="156"/>
      <c r="BA2699" s="156"/>
      <c r="BB2699" s="2828"/>
      <c r="BC2699" s="452"/>
      <c r="BD2699" s="2829"/>
      <c r="BE2699" s="2837"/>
      <c r="BF2699" s="156"/>
    </row>
    <row r="2700" spans="1:58" ht="15" customHeight="1" outlineLevel="1" x14ac:dyDescent="0.35">
      <c r="A2700" s="1664"/>
      <c r="B2700" s="2812"/>
      <c r="C2700" s="3077"/>
      <c r="D2700" s="3980"/>
      <c r="E2700" s="3883"/>
      <c r="F2700" s="3984" t="str">
        <f>$E$1896</f>
        <v>ASHP-SEER21_ER1_MF_CompE</v>
      </c>
      <c r="G2700" s="3984"/>
      <c r="H2700" s="3984"/>
      <c r="I2700" s="3984"/>
      <c r="J2700" s="3501" t="str">
        <f>$C$1896</f>
        <v>354901_2019_12_</v>
      </c>
      <c r="K2700" s="3052">
        <v>9.5</v>
      </c>
      <c r="L2700" s="2822"/>
      <c r="M2700" s="3041"/>
      <c r="N2700" s="106"/>
      <c r="O2700" s="106"/>
      <c r="P2700" s="702"/>
      <c r="Q2700" s="574"/>
      <c r="R2700" s="702"/>
      <c r="S2700" s="106"/>
      <c r="T2700" s="486"/>
      <c r="U2700" s="106"/>
      <c r="V2700" s="4184"/>
      <c r="W2700" s="3421"/>
      <c r="X2700" s="3421"/>
      <c r="Y2700" s="2374">
        <v>9.5</v>
      </c>
      <c r="Z2700" s="3421">
        <v>9.5</v>
      </c>
      <c r="AA2700" s="3421">
        <v>9.5</v>
      </c>
      <c r="AB2700" s="3421">
        <v>9.5</v>
      </c>
      <c r="AC2700" s="2920">
        <v>9.5</v>
      </c>
      <c r="AD2700" s="583">
        <v>9.5</v>
      </c>
      <c r="AE2700" s="3429"/>
      <c r="AF2700" s="3421"/>
      <c r="AG2700" s="3421"/>
      <c r="AH2700" s="156"/>
      <c r="AI2700" s="156"/>
      <c r="AJ2700" s="156"/>
      <c r="AK2700" s="156"/>
      <c r="AL2700" s="156"/>
      <c r="AM2700" s="156"/>
      <c r="AN2700" s="156"/>
      <c r="AO2700" s="156"/>
      <c r="AP2700" s="156"/>
      <c r="AQ2700" s="156"/>
      <c r="AR2700" s="156"/>
      <c r="AS2700" s="156"/>
      <c r="AT2700" s="156"/>
      <c r="AU2700" s="156"/>
      <c r="AV2700" s="156"/>
      <c r="AW2700" s="156"/>
      <c r="AX2700" s="156"/>
      <c r="AY2700" s="156"/>
      <c r="AZ2700" s="156"/>
      <c r="BA2700" s="156"/>
      <c r="BB2700" s="2828"/>
      <c r="BC2700" s="452"/>
      <c r="BD2700" s="2829"/>
      <c r="BE2700" s="2837"/>
      <c r="BF2700" s="156"/>
    </row>
    <row r="2701" spans="1:58" ht="15" customHeight="1" outlineLevel="1" x14ac:dyDescent="0.35">
      <c r="A2701" s="1664"/>
      <c r="B2701" s="2812"/>
      <c r="C2701" s="3077"/>
      <c r="D2701" s="3980"/>
      <c r="E2701" s="3883"/>
      <c r="F2701" s="3984" t="str">
        <f>$E$1898</f>
        <v>ASHP-SEER21_ER2_MF_CompE</v>
      </c>
      <c r="G2701" s="3984"/>
      <c r="H2701" s="3984"/>
      <c r="I2701" s="3984"/>
      <c r="J2701" s="3501" t="str">
        <f>$C$1898</f>
        <v>354901_2019_12_</v>
      </c>
      <c r="K2701" s="3052">
        <v>9.5</v>
      </c>
      <c r="L2701" s="2822"/>
      <c r="M2701" s="3041"/>
      <c r="N2701" s="106"/>
      <c r="O2701" s="106"/>
      <c r="P2701" s="702"/>
      <c r="Q2701" s="574"/>
      <c r="R2701" s="702"/>
      <c r="S2701" s="106"/>
      <c r="T2701" s="486"/>
      <c r="U2701" s="106"/>
      <c r="V2701" s="4184"/>
      <c r="W2701" s="3421"/>
      <c r="X2701" s="3421"/>
      <c r="Y2701" s="2374">
        <v>9.5</v>
      </c>
      <c r="Z2701" s="3421">
        <v>9.5</v>
      </c>
      <c r="AA2701" s="3421">
        <v>9.5</v>
      </c>
      <c r="AB2701" s="3421">
        <v>9.5</v>
      </c>
      <c r="AC2701" s="2920">
        <v>9.5</v>
      </c>
      <c r="AD2701" s="583">
        <v>9.5</v>
      </c>
      <c r="AE2701" s="3429"/>
      <c r="AF2701" s="3421"/>
      <c r="AG2701" s="3421"/>
      <c r="AH2701" s="156"/>
      <c r="AI2701" s="156"/>
      <c r="AJ2701" s="156"/>
      <c r="AK2701" s="156"/>
      <c r="AL2701" s="156"/>
      <c r="AM2701" s="156"/>
      <c r="AN2701" s="156"/>
      <c r="AO2701" s="156"/>
      <c r="AP2701" s="156"/>
      <c r="AQ2701" s="156"/>
      <c r="AR2701" s="156"/>
      <c r="AS2701" s="156"/>
      <c r="AT2701" s="156"/>
      <c r="AU2701" s="156"/>
      <c r="AV2701" s="156"/>
      <c r="AW2701" s="156"/>
      <c r="AX2701" s="156"/>
      <c r="AY2701" s="156"/>
      <c r="AZ2701" s="156"/>
      <c r="BA2701" s="156"/>
      <c r="BB2701" s="2828"/>
      <c r="BC2701" s="452"/>
      <c r="BD2701" s="2829"/>
      <c r="BE2701" s="2837"/>
      <c r="BF2701" s="156"/>
    </row>
    <row r="2702" spans="1:58" ht="15" customHeight="1" outlineLevel="1" x14ac:dyDescent="0.35">
      <c r="A2702" s="1664"/>
      <c r="B2702" s="2812"/>
      <c r="C2702" s="3077"/>
      <c r="D2702" s="3980"/>
      <c r="E2702" s="3883"/>
      <c r="F2702" s="3984" t="str">
        <f>$E$1900</f>
        <v>ASHP-SEER17_ROF_MF</v>
      </c>
      <c r="G2702" s="3984"/>
      <c r="H2702" s="3984"/>
      <c r="I2702" s="3984"/>
      <c r="J2702" s="3501" t="str">
        <f>$C$1900</f>
        <v>354950_2019_12_</v>
      </c>
      <c r="K2702" s="3052">
        <v>9.8000000000000007</v>
      </c>
      <c r="L2702" s="2822"/>
      <c r="M2702" s="3041" t="s">
        <v>1506</v>
      </c>
      <c r="N2702" s="106"/>
      <c r="O2702" s="106"/>
      <c r="P2702" s="702"/>
      <c r="Q2702" s="574"/>
      <c r="R2702" s="702"/>
      <c r="S2702" s="106"/>
      <c r="T2702" s="486"/>
      <c r="U2702" s="106"/>
      <c r="V2702" s="4184"/>
      <c r="W2702" s="3421">
        <v>9.8000000000000007</v>
      </c>
      <c r="X2702" s="3421">
        <v>9.8000000000000007</v>
      </c>
      <c r="Y2702" s="3421">
        <v>9.8000000000000007</v>
      </c>
      <c r="Z2702" s="3421">
        <v>9.8000000000000007</v>
      </c>
      <c r="AA2702" s="3421">
        <v>9.8000000000000007</v>
      </c>
      <c r="AB2702" s="3421">
        <v>9.8000000000000007</v>
      </c>
      <c r="AC2702" s="2920">
        <v>9.8000000000000007</v>
      </c>
      <c r="AD2702" s="583">
        <v>9.8000000000000007</v>
      </c>
      <c r="AE2702" s="3429"/>
      <c r="AF2702" s="3421"/>
      <c r="AG2702" s="3421"/>
      <c r="AH2702" s="156"/>
      <c r="AI2702" s="156"/>
      <c r="AJ2702" s="156"/>
      <c r="AK2702" s="156"/>
      <c r="AL2702" s="156"/>
      <c r="AM2702" s="156"/>
      <c r="AN2702" s="156"/>
      <c r="AO2702" s="156"/>
      <c r="AP2702" s="156"/>
      <c r="AQ2702" s="156"/>
      <c r="AR2702" s="156"/>
      <c r="AS2702" s="156"/>
      <c r="AT2702" s="156"/>
      <c r="AU2702" s="156"/>
      <c r="AV2702" s="156"/>
      <c r="AW2702" s="156"/>
      <c r="AX2702" s="156"/>
      <c r="AY2702" s="156"/>
      <c r="AZ2702" s="156"/>
      <c r="BA2702" s="156"/>
      <c r="BB2702" s="2828"/>
      <c r="BC2702" s="452"/>
      <c r="BD2702" s="2829"/>
      <c r="BE2702" s="2837"/>
      <c r="BF2702" s="156"/>
    </row>
    <row r="2703" spans="1:58" ht="15" customHeight="1" outlineLevel="1" x14ac:dyDescent="0.35">
      <c r="A2703" s="1664"/>
      <c r="B2703" s="2812"/>
      <c r="C2703" s="3077"/>
      <c r="D2703" s="3980"/>
      <c r="E2703" s="3883"/>
      <c r="F2703" s="3984" t="str">
        <f>$E$1902</f>
        <v>ASHP-SEER17_ROF_MF_CompE</v>
      </c>
      <c r="G2703" s="3984"/>
      <c r="H2703" s="3984"/>
      <c r="I2703" s="3984"/>
      <c r="J2703" s="3501" t="str">
        <f>$C$1902</f>
        <v>354951_2019_12_</v>
      </c>
      <c r="K2703" s="3052">
        <v>9.8000000000000007</v>
      </c>
      <c r="L2703" s="2822"/>
      <c r="M2703" s="3041"/>
      <c r="N2703" s="106"/>
      <c r="O2703" s="106"/>
      <c r="P2703" s="702"/>
      <c r="Q2703" s="574"/>
      <c r="R2703" s="702"/>
      <c r="S2703" s="106"/>
      <c r="T2703" s="486"/>
      <c r="U2703" s="106"/>
      <c r="V2703" s="4184"/>
      <c r="W2703" s="3421"/>
      <c r="X2703" s="3421"/>
      <c r="Y2703" s="2374">
        <v>9.8000000000000007</v>
      </c>
      <c r="Z2703" s="3421">
        <v>9.8000000000000007</v>
      </c>
      <c r="AA2703" s="3421">
        <v>9.8000000000000007</v>
      </c>
      <c r="AB2703" s="3421">
        <v>9.8000000000000007</v>
      </c>
      <c r="AC2703" s="2920">
        <v>9.8000000000000007</v>
      </c>
      <c r="AD2703" s="583">
        <v>9.8000000000000007</v>
      </c>
      <c r="AE2703" s="3429"/>
      <c r="AF2703" s="3421"/>
      <c r="AG2703" s="3421"/>
      <c r="AH2703" s="156"/>
      <c r="AI2703" s="156"/>
      <c r="AJ2703" s="156"/>
      <c r="AK2703" s="156"/>
      <c r="AL2703" s="156"/>
      <c r="AM2703" s="156"/>
      <c r="AN2703" s="156"/>
      <c r="AO2703" s="156"/>
      <c r="AP2703" s="156"/>
      <c r="AQ2703" s="156"/>
      <c r="AR2703" s="156"/>
      <c r="AS2703" s="156"/>
      <c r="AT2703" s="156"/>
      <c r="AU2703" s="156"/>
      <c r="AV2703" s="156"/>
      <c r="AW2703" s="156"/>
      <c r="AX2703" s="156"/>
      <c r="AY2703" s="156"/>
      <c r="AZ2703" s="156"/>
      <c r="BA2703" s="156"/>
      <c r="BB2703" s="2828"/>
      <c r="BC2703" s="452"/>
      <c r="BD2703" s="2829"/>
      <c r="BE2703" s="2837"/>
      <c r="BF2703" s="156"/>
    </row>
    <row r="2704" spans="1:58" ht="15" customHeight="1" outlineLevel="1" x14ac:dyDescent="0.35">
      <c r="A2704" s="1071"/>
      <c r="B2704" s="2812"/>
      <c r="C2704" s="3077"/>
      <c r="D2704" s="3980"/>
      <c r="E2704" s="3883"/>
      <c r="F2704" s="3984" t="str">
        <f>$E$1904</f>
        <v>ASHP-SEER18_ROF_MF</v>
      </c>
      <c r="G2704" s="3984"/>
      <c r="H2704" s="3984"/>
      <c r="I2704" s="3984"/>
      <c r="J2704" s="3501" t="str">
        <f>$C$1904</f>
        <v>355000_2019_12_</v>
      </c>
      <c r="K2704" s="3052">
        <v>9.8000000000000007</v>
      </c>
      <c r="L2704" s="2822"/>
      <c r="M2704" s="3041" t="s">
        <v>1506</v>
      </c>
      <c r="N2704" s="106"/>
      <c r="O2704" s="106"/>
      <c r="P2704" s="106"/>
      <c r="Q2704" s="106"/>
      <c r="R2704" s="106"/>
      <c r="S2704" s="106"/>
      <c r="T2704" s="106"/>
      <c r="U2704" s="106"/>
      <c r="V2704" s="4184"/>
      <c r="W2704" s="3421">
        <v>9.8000000000000007</v>
      </c>
      <c r="X2704" s="3421">
        <v>9.8000000000000007</v>
      </c>
      <c r="Y2704" s="3421">
        <v>9.8000000000000007</v>
      </c>
      <c r="Z2704" s="3421">
        <v>9.8000000000000007</v>
      </c>
      <c r="AA2704" s="3421">
        <v>9.8000000000000007</v>
      </c>
      <c r="AB2704" s="3421">
        <v>9.8000000000000007</v>
      </c>
      <c r="AC2704" s="2920">
        <v>9.8000000000000007</v>
      </c>
      <c r="AD2704" s="583">
        <v>9.8000000000000007</v>
      </c>
      <c r="AE2704" s="3429"/>
      <c r="AF2704" s="3421"/>
      <c r="AG2704" s="3421"/>
      <c r="AH2704" s="156"/>
      <c r="AI2704" s="156"/>
      <c r="AJ2704" s="156"/>
      <c r="AK2704" s="156"/>
      <c r="AL2704" s="156"/>
      <c r="AM2704" s="156"/>
      <c r="AN2704" s="156"/>
      <c r="AO2704" s="156"/>
      <c r="AP2704" s="156"/>
      <c r="AQ2704" s="156"/>
      <c r="AR2704" s="156"/>
      <c r="AS2704" s="156"/>
      <c r="AT2704" s="156"/>
      <c r="AU2704" s="156"/>
      <c r="AV2704" s="156"/>
      <c r="AW2704" s="156"/>
      <c r="AX2704" s="156"/>
      <c r="AY2704" s="156"/>
      <c r="AZ2704" s="156"/>
      <c r="BA2704" s="156"/>
      <c r="BB2704" s="2828"/>
      <c r="BC2704" s="452"/>
      <c r="BD2704" s="2829"/>
      <c r="BE2704" s="2837"/>
      <c r="BF2704" s="156"/>
    </row>
    <row r="2705" spans="1:58" ht="15" customHeight="1" outlineLevel="1" x14ac:dyDescent="0.35">
      <c r="A2705" s="1071"/>
      <c r="B2705" s="2812"/>
      <c r="C2705" s="3077"/>
      <c r="D2705" s="3980"/>
      <c r="E2705" s="3883"/>
      <c r="F2705" s="3984" t="str">
        <f>$E$1906</f>
        <v>ASHP-SEER18_ROF_MF_CompE</v>
      </c>
      <c r="G2705" s="3984"/>
      <c r="H2705" s="3984"/>
      <c r="I2705" s="3984"/>
      <c r="J2705" s="3501" t="str">
        <f>$C$1906</f>
        <v>355001_2021_12_</v>
      </c>
      <c r="K2705" s="3052">
        <v>9.8000000000000007</v>
      </c>
      <c r="L2705" s="2822"/>
      <c r="M2705" s="3041"/>
      <c r="N2705" s="106"/>
      <c r="O2705" s="106"/>
      <c r="P2705" s="106"/>
      <c r="Q2705" s="106"/>
      <c r="R2705" s="106"/>
      <c r="S2705" s="106"/>
      <c r="T2705" s="106"/>
      <c r="U2705" s="106"/>
      <c r="V2705" s="4184"/>
      <c r="W2705" s="3421"/>
      <c r="X2705" s="3421"/>
      <c r="Y2705" s="2374">
        <v>9.8000000000000007</v>
      </c>
      <c r="Z2705" s="3421">
        <v>9.8000000000000007</v>
      </c>
      <c r="AA2705" s="3421">
        <v>9.8000000000000007</v>
      </c>
      <c r="AB2705" s="3421">
        <v>9.8000000000000007</v>
      </c>
      <c r="AC2705" s="2920">
        <v>9.8000000000000007</v>
      </c>
      <c r="AD2705" s="583">
        <v>9.8000000000000007</v>
      </c>
      <c r="AE2705" s="3429"/>
      <c r="AF2705" s="3421"/>
      <c r="AG2705" s="3421"/>
      <c r="AH2705" s="156"/>
      <c r="AI2705" s="156"/>
      <c r="AJ2705" s="156"/>
      <c r="AK2705" s="156"/>
      <c r="AL2705" s="156"/>
      <c r="AM2705" s="156"/>
      <c r="AN2705" s="156"/>
      <c r="AO2705" s="156"/>
      <c r="AP2705" s="156"/>
      <c r="AQ2705" s="156"/>
      <c r="AR2705" s="156"/>
      <c r="AS2705" s="156"/>
      <c r="AT2705" s="156"/>
      <c r="AU2705" s="156"/>
      <c r="AV2705" s="156"/>
      <c r="AW2705" s="156"/>
      <c r="AX2705" s="156"/>
      <c r="AY2705" s="156"/>
      <c r="AZ2705" s="156"/>
      <c r="BA2705" s="156"/>
      <c r="BB2705" s="2828"/>
      <c r="BC2705" s="452"/>
      <c r="BD2705" s="2829"/>
      <c r="BE2705" s="2837"/>
      <c r="BF2705" s="156"/>
    </row>
    <row r="2706" spans="1:58" ht="15" customHeight="1" outlineLevel="1" x14ac:dyDescent="0.35">
      <c r="A2706" s="1071"/>
      <c r="B2706" s="2812"/>
      <c r="C2706" s="3077"/>
      <c r="D2706" s="3980"/>
      <c r="E2706" s="3883"/>
      <c r="F2706" s="3984" t="str">
        <f>$E$1908</f>
        <v>ASHP-SEER19_ROF_MF</v>
      </c>
      <c r="G2706" s="3984"/>
      <c r="H2706" s="3984"/>
      <c r="I2706" s="3984"/>
      <c r="J2706" s="3501" t="str">
        <f>$C$1908</f>
        <v>355050_2019_12_</v>
      </c>
      <c r="K2706" s="3052">
        <v>9.8000000000000007</v>
      </c>
      <c r="L2706" s="2822"/>
      <c r="M2706" s="3041" t="s">
        <v>1506</v>
      </c>
      <c r="N2706" s="106"/>
      <c r="O2706" s="106"/>
      <c r="P2706" s="106"/>
      <c r="Q2706" s="106"/>
      <c r="R2706" s="106"/>
      <c r="S2706" s="106"/>
      <c r="T2706" s="106"/>
      <c r="U2706" s="106"/>
      <c r="V2706" s="4184"/>
      <c r="W2706" s="3421">
        <v>9.8000000000000007</v>
      </c>
      <c r="X2706" s="3421">
        <v>9.8000000000000007</v>
      </c>
      <c r="Y2706" s="3421">
        <v>9.8000000000000007</v>
      </c>
      <c r="Z2706" s="3421">
        <v>9.8000000000000007</v>
      </c>
      <c r="AA2706" s="3421">
        <v>9.8000000000000007</v>
      </c>
      <c r="AB2706" s="3421">
        <v>9.8000000000000007</v>
      </c>
      <c r="AC2706" s="2920">
        <v>9.8000000000000007</v>
      </c>
      <c r="AD2706" s="583">
        <v>9.8000000000000007</v>
      </c>
      <c r="AE2706" s="3429"/>
      <c r="AF2706" s="3421"/>
      <c r="AG2706" s="3421"/>
      <c r="AH2706" s="156"/>
      <c r="AI2706" s="156"/>
      <c r="AJ2706" s="156"/>
      <c r="AK2706" s="156"/>
      <c r="AL2706" s="156"/>
      <c r="AM2706" s="156"/>
      <c r="AN2706" s="156"/>
      <c r="AO2706" s="156"/>
      <c r="AP2706" s="156"/>
      <c r="AQ2706" s="156"/>
      <c r="AR2706" s="156"/>
      <c r="AS2706" s="156"/>
      <c r="AT2706" s="156"/>
      <c r="AU2706" s="156"/>
      <c r="AV2706" s="156"/>
      <c r="AW2706" s="156"/>
      <c r="AX2706" s="156"/>
      <c r="AY2706" s="156"/>
      <c r="AZ2706" s="156"/>
      <c r="BA2706" s="156"/>
      <c r="BB2706" s="2828"/>
      <c r="BC2706" s="452"/>
      <c r="BD2706" s="2829"/>
      <c r="BE2706" s="2837"/>
      <c r="BF2706" s="156"/>
    </row>
    <row r="2707" spans="1:58" ht="15" customHeight="1" outlineLevel="1" x14ac:dyDescent="0.35">
      <c r="A2707" s="1071"/>
      <c r="B2707" s="2812"/>
      <c r="C2707" s="3077"/>
      <c r="D2707" s="3980"/>
      <c r="E2707" s="3883"/>
      <c r="F2707" s="3984" t="str">
        <f>$E$1910</f>
        <v>ASHP-SEER19_ROF_MF_CompE</v>
      </c>
      <c r="G2707" s="3984"/>
      <c r="H2707" s="3984"/>
      <c r="I2707" s="3984"/>
      <c r="J2707" s="3501" t="str">
        <f>$C$1910</f>
        <v>355051_2019_12_</v>
      </c>
      <c r="K2707" s="3052">
        <v>9.8000000000000007</v>
      </c>
      <c r="L2707" s="2822"/>
      <c r="M2707" s="3041"/>
      <c r="N2707" s="106"/>
      <c r="O2707" s="106"/>
      <c r="P2707" s="106"/>
      <c r="Q2707" s="106"/>
      <c r="R2707" s="106"/>
      <c r="S2707" s="106"/>
      <c r="T2707" s="106"/>
      <c r="U2707" s="106"/>
      <c r="V2707" s="4184"/>
      <c r="W2707" s="3421"/>
      <c r="X2707" s="3421"/>
      <c r="Y2707" s="2374">
        <v>9.8000000000000007</v>
      </c>
      <c r="Z2707" s="3421">
        <v>9.8000000000000007</v>
      </c>
      <c r="AA2707" s="3421">
        <v>9.8000000000000007</v>
      </c>
      <c r="AB2707" s="3421">
        <v>9.8000000000000007</v>
      </c>
      <c r="AC2707" s="2920">
        <v>9.8000000000000007</v>
      </c>
      <c r="AD2707" s="583">
        <v>9.8000000000000007</v>
      </c>
      <c r="AE2707" s="3429"/>
      <c r="AF2707" s="3421"/>
      <c r="AG2707" s="3421"/>
      <c r="AH2707" s="156"/>
      <c r="AI2707" s="156"/>
      <c r="AJ2707" s="156"/>
      <c r="AK2707" s="156"/>
      <c r="AL2707" s="156"/>
      <c r="AM2707" s="156"/>
      <c r="AN2707" s="156"/>
      <c r="AO2707" s="156"/>
      <c r="AP2707" s="156"/>
      <c r="AQ2707" s="156"/>
      <c r="AR2707" s="156"/>
      <c r="AS2707" s="156"/>
      <c r="AT2707" s="156"/>
      <c r="AU2707" s="156"/>
      <c r="AV2707" s="156"/>
      <c r="AW2707" s="156"/>
      <c r="AX2707" s="156"/>
      <c r="AY2707" s="156"/>
      <c r="AZ2707" s="156"/>
      <c r="BA2707" s="156"/>
      <c r="BB2707" s="2828"/>
      <c r="BC2707" s="452"/>
      <c r="BD2707" s="2829"/>
      <c r="BE2707" s="2837"/>
      <c r="BF2707" s="156"/>
    </row>
    <row r="2708" spans="1:58" ht="15" customHeight="1" outlineLevel="1" x14ac:dyDescent="0.35">
      <c r="A2708" s="1664"/>
      <c r="B2708" s="2812"/>
      <c r="C2708" s="3077"/>
      <c r="D2708" s="3980"/>
      <c r="E2708" s="3883"/>
      <c r="F2708" s="3984" t="str">
        <f>$E$1912</f>
        <v>ASHP-SEER20_ROF_MF</v>
      </c>
      <c r="G2708" s="3984"/>
      <c r="H2708" s="3984"/>
      <c r="I2708" s="3984"/>
      <c r="J2708" s="3501" t="str">
        <f>$C$1912</f>
        <v>355100_2019_12_</v>
      </c>
      <c r="K2708" s="3052">
        <v>9.8000000000000007</v>
      </c>
      <c r="L2708" s="2822"/>
      <c r="M2708" s="3041" t="s">
        <v>1506</v>
      </c>
      <c r="N2708" s="106"/>
      <c r="O2708" s="106"/>
      <c r="P2708" s="702"/>
      <c r="Q2708" s="574"/>
      <c r="R2708" s="702"/>
      <c r="S2708" s="106"/>
      <c r="T2708" s="486"/>
      <c r="U2708" s="106"/>
      <c r="V2708" s="4184"/>
      <c r="W2708" s="3421">
        <v>9.8000000000000007</v>
      </c>
      <c r="X2708" s="3421">
        <v>9.8000000000000007</v>
      </c>
      <c r="Y2708" s="3421">
        <v>9.8000000000000007</v>
      </c>
      <c r="Z2708" s="3421">
        <v>9.8000000000000007</v>
      </c>
      <c r="AA2708" s="3421">
        <v>9.8000000000000007</v>
      </c>
      <c r="AB2708" s="3421">
        <v>9.8000000000000007</v>
      </c>
      <c r="AC2708" s="2920">
        <v>9.8000000000000007</v>
      </c>
      <c r="AD2708" s="583">
        <v>9.8000000000000007</v>
      </c>
      <c r="AE2708" s="3429"/>
      <c r="AF2708" s="3421"/>
      <c r="AG2708" s="3421"/>
      <c r="AH2708" s="156"/>
      <c r="AI2708" s="156"/>
      <c r="AJ2708" s="156"/>
      <c r="AK2708" s="156"/>
      <c r="AL2708" s="156"/>
      <c r="AM2708" s="156"/>
      <c r="AN2708" s="156"/>
      <c r="AO2708" s="156"/>
      <c r="AP2708" s="156"/>
      <c r="AQ2708" s="156"/>
      <c r="AR2708" s="156"/>
      <c r="AS2708" s="156"/>
      <c r="AT2708" s="156"/>
      <c r="AU2708" s="156"/>
      <c r="AV2708" s="156"/>
      <c r="AW2708" s="156"/>
      <c r="AX2708" s="156"/>
      <c r="AY2708" s="156"/>
      <c r="AZ2708" s="156"/>
      <c r="BA2708" s="156"/>
      <c r="BB2708" s="2828"/>
      <c r="BC2708" s="452"/>
      <c r="BD2708" s="2829"/>
      <c r="BE2708" s="2837"/>
      <c r="BF2708" s="156"/>
    </row>
    <row r="2709" spans="1:58" ht="15" customHeight="1" outlineLevel="1" x14ac:dyDescent="0.35">
      <c r="A2709" s="1664"/>
      <c r="B2709" s="2812"/>
      <c r="C2709" s="3077"/>
      <c r="D2709" s="3980"/>
      <c r="E2709" s="3883"/>
      <c r="F2709" s="3984" t="str">
        <f>$E$1914</f>
        <v>ASHP-SEER20_ROF_MF_CompE</v>
      </c>
      <c r="G2709" s="3984"/>
      <c r="H2709" s="3984"/>
      <c r="I2709" s="3984"/>
      <c r="J2709" s="3501" t="str">
        <f>$C$1914</f>
        <v>355101_2019_12_</v>
      </c>
      <c r="K2709" s="3052">
        <v>9.8000000000000007</v>
      </c>
      <c r="L2709" s="3055"/>
      <c r="M2709" s="3042"/>
      <c r="N2709" s="106"/>
      <c r="O2709" s="106"/>
      <c r="P2709" s="702"/>
      <c r="Q2709" s="574"/>
      <c r="R2709" s="702"/>
      <c r="S2709" s="106"/>
      <c r="T2709" s="486"/>
      <c r="U2709" s="106"/>
      <c r="V2709" s="4184"/>
      <c r="W2709" s="576"/>
      <c r="X2709" s="576"/>
      <c r="Y2709" s="2374">
        <v>9.8000000000000007</v>
      </c>
      <c r="Z2709" s="3421">
        <v>9.8000000000000007</v>
      </c>
      <c r="AA2709" s="3421">
        <v>9.8000000000000007</v>
      </c>
      <c r="AB2709" s="3421">
        <v>9.8000000000000007</v>
      </c>
      <c r="AC2709" s="2920">
        <v>9.8000000000000007</v>
      </c>
      <c r="AD2709" s="583">
        <v>9.8000000000000007</v>
      </c>
      <c r="AE2709" s="2935"/>
      <c r="AF2709" s="576"/>
      <c r="AG2709" s="576"/>
      <c r="AH2709" s="156"/>
      <c r="AI2709" s="156"/>
      <c r="AJ2709" s="156"/>
      <c r="AK2709" s="156"/>
      <c r="AL2709" s="156"/>
      <c r="AM2709" s="156"/>
      <c r="AN2709" s="156"/>
      <c r="AO2709" s="156"/>
      <c r="AP2709" s="156"/>
      <c r="AQ2709" s="156"/>
      <c r="AR2709" s="156"/>
      <c r="AS2709" s="156"/>
      <c r="AT2709" s="156"/>
      <c r="AU2709" s="156"/>
      <c r="AV2709" s="156"/>
      <c r="AW2709" s="156"/>
      <c r="AX2709" s="156"/>
      <c r="AY2709" s="156"/>
      <c r="AZ2709" s="156"/>
      <c r="BA2709" s="156"/>
      <c r="BB2709" s="2828"/>
      <c r="BC2709" s="452"/>
      <c r="BD2709" s="2829"/>
      <c r="BE2709" s="2837"/>
      <c r="BF2709" s="156"/>
    </row>
    <row r="2710" spans="1:58" ht="15.75" customHeight="1" outlineLevel="1" x14ac:dyDescent="0.35">
      <c r="A2710" s="1664"/>
      <c r="B2710" s="2812"/>
      <c r="C2710" s="3077"/>
      <c r="D2710" s="3980"/>
      <c r="E2710" s="3883"/>
      <c r="F2710" s="3984" t="str">
        <f>$E$1916</f>
        <v>ASHP-SEER21_ROF_MF</v>
      </c>
      <c r="G2710" s="3984"/>
      <c r="H2710" s="3984"/>
      <c r="I2710" s="3984"/>
      <c r="J2710" s="3501" t="str">
        <f>$C$1916</f>
        <v>355150_2019_12_</v>
      </c>
      <c r="K2710" s="3052">
        <v>9.8000000000000007</v>
      </c>
      <c r="L2710" s="3055"/>
      <c r="M2710" s="3042" t="s">
        <v>1506</v>
      </c>
      <c r="N2710" s="106"/>
      <c r="O2710" s="106"/>
      <c r="P2710" s="702"/>
      <c r="Q2710" s="574"/>
      <c r="R2710" s="702"/>
      <c r="S2710" s="106"/>
      <c r="T2710" s="486"/>
      <c r="U2710" s="106"/>
      <c r="V2710" s="4184"/>
      <c r="W2710" s="3421">
        <v>9.8000000000000007</v>
      </c>
      <c r="X2710" s="3421">
        <v>9.8000000000000007</v>
      </c>
      <c r="Y2710" s="3421">
        <v>9.8000000000000007</v>
      </c>
      <c r="Z2710" s="3421">
        <v>9.8000000000000007</v>
      </c>
      <c r="AA2710" s="3421">
        <v>9.8000000000000007</v>
      </c>
      <c r="AB2710" s="3421">
        <v>9.8000000000000007</v>
      </c>
      <c r="AC2710" s="2920">
        <v>9.8000000000000007</v>
      </c>
      <c r="AD2710" s="583">
        <v>9.8000000000000007</v>
      </c>
      <c r="AE2710" s="3429"/>
      <c r="AF2710" s="3421"/>
      <c r="AG2710" s="3421"/>
      <c r="AH2710" s="156"/>
      <c r="AI2710" s="156"/>
      <c r="AJ2710" s="156"/>
      <c r="AK2710" s="156"/>
      <c r="AL2710" s="156"/>
      <c r="AM2710" s="156"/>
      <c r="AN2710" s="156"/>
      <c r="AO2710" s="156"/>
      <c r="AP2710" s="156"/>
      <c r="AQ2710" s="156"/>
      <c r="AR2710" s="156"/>
      <c r="AS2710" s="156"/>
      <c r="AT2710" s="156"/>
      <c r="AU2710" s="156"/>
      <c r="AV2710" s="156"/>
      <c r="AW2710" s="156"/>
      <c r="AX2710" s="156"/>
      <c r="AY2710" s="156"/>
      <c r="AZ2710" s="156"/>
      <c r="BA2710" s="156"/>
      <c r="BB2710" s="2828"/>
      <c r="BC2710" s="452"/>
      <c r="BD2710" s="2829"/>
      <c r="BE2710" s="2837"/>
      <c r="BF2710" s="156"/>
    </row>
    <row r="2711" spans="1:58" ht="15.75" customHeight="1" outlineLevel="1" thickBot="1" x14ac:dyDescent="0.4">
      <c r="A2711" s="1664"/>
      <c r="B2711" s="2812"/>
      <c r="C2711" s="3077"/>
      <c r="D2711" s="3981"/>
      <c r="E2711" s="3983"/>
      <c r="F2711" s="4106" t="str">
        <f>$E$1918</f>
        <v>ASHP-SEER21_ROF_MF_CompE</v>
      </c>
      <c r="G2711" s="4106"/>
      <c r="H2711" s="4106"/>
      <c r="I2711" s="4106"/>
      <c r="J2711" s="3503" t="str">
        <f>$C$1918</f>
        <v>355151_2019_12_</v>
      </c>
      <c r="K2711" s="3053">
        <v>9.8000000000000007</v>
      </c>
      <c r="L2711" s="3056"/>
      <c r="M2711" s="3043"/>
      <c r="N2711" s="106"/>
      <c r="O2711" s="106"/>
      <c r="P2711" s="702"/>
      <c r="Q2711" s="574"/>
      <c r="R2711" s="702"/>
      <c r="S2711" s="106"/>
      <c r="T2711" s="486"/>
      <c r="U2711" s="106"/>
      <c r="V2711" s="4185"/>
      <c r="W2711" s="578"/>
      <c r="X2711" s="578"/>
      <c r="Y2711" s="706">
        <v>9.8000000000000007</v>
      </c>
      <c r="Z2711" s="708">
        <v>9.8000000000000007</v>
      </c>
      <c r="AA2711" s="708">
        <v>9.8000000000000007</v>
      </c>
      <c r="AB2711" s="708">
        <v>9.8000000000000007</v>
      </c>
      <c r="AC2711" s="2921">
        <v>9.8000000000000007</v>
      </c>
      <c r="AD2711" s="3196">
        <v>9.8000000000000007</v>
      </c>
      <c r="AE2711" s="2936"/>
      <c r="AF2711" s="578"/>
      <c r="AG2711" s="578"/>
      <c r="AH2711" s="156"/>
      <c r="AI2711" s="156"/>
      <c r="AJ2711" s="156"/>
      <c r="AK2711" s="156"/>
      <c r="AL2711" s="156"/>
      <c r="AM2711" s="156"/>
      <c r="AN2711" s="156"/>
      <c r="AO2711" s="156"/>
      <c r="AP2711" s="156"/>
      <c r="AQ2711" s="156"/>
      <c r="AR2711" s="156"/>
      <c r="AS2711" s="156"/>
      <c r="AT2711" s="156"/>
      <c r="AU2711" s="156"/>
      <c r="AV2711" s="156"/>
      <c r="AW2711" s="156"/>
      <c r="AX2711" s="156"/>
      <c r="AY2711" s="156"/>
      <c r="AZ2711" s="156"/>
      <c r="BA2711" s="156"/>
      <c r="BB2711" s="2828"/>
      <c r="BC2711" s="452"/>
      <c r="BD2711" s="2829"/>
      <c r="BE2711" s="2837"/>
      <c r="BF2711" s="156"/>
    </row>
    <row r="2712" spans="1:58" ht="15" customHeight="1" outlineLevel="1" x14ac:dyDescent="0.35">
      <c r="A2712" s="1664"/>
      <c r="B2712" s="2812"/>
      <c r="C2712" s="3077"/>
      <c r="D2712" s="3979" t="s">
        <v>1116</v>
      </c>
      <c r="E2712" s="3982" t="s">
        <v>1512</v>
      </c>
      <c r="F2712" s="4133" t="str">
        <f>$E$1534</f>
        <v>ASHP-SEER15-Replace_CAC_ElectricHeat_ER1_SF</v>
      </c>
      <c r="G2712" s="4134"/>
      <c r="H2712" s="4134"/>
      <c r="I2712" s="4135"/>
      <c r="J2712" s="3500" t="str">
        <f>$C$1534</f>
        <v>352300_2021_12_</v>
      </c>
      <c r="K2712" s="3046">
        <v>35530.201342281878</v>
      </c>
      <c r="L2712" s="3016">
        <f t="shared" ref="L2712:L2778" si="365">K2712/12000</f>
        <v>2.9608501118568231</v>
      </c>
      <c r="M2712" s="3015" t="s">
        <v>4360</v>
      </c>
      <c r="N2712" s="106"/>
      <c r="O2712" s="106"/>
      <c r="P2712" s="702"/>
      <c r="Q2712" s="702"/>
      <c r="R2712" s="702"/>
      <c r="S2712" s="106"/>
      <c r="T2712" s="486"/>
      <c r="U2712" s="106"/>
      <c r="V2712" s="3979" t="s">
        <v>1116</v>
      </c>
      <c r="W2712" s="3424">
        <v>33600</v>
      </c>
      <c r="X2712" s="2376">
        <f>3.06*12000</f>
        <v>36720</v>
      </c>
      <c r="Y2712" s="2376">
        <v>34800</v>
      </c>
      <c r="Z2712" s="3424">
        <v>34800</v>
      </c>
      <c r="AA2712" s="3424">
        <v>34800</v>
      </c>
      <c r="AB2712" s="3553">
        <v>34457.142857142855</v>
      </c>
      <c r="AC2712" s="3554">
        <v>34555.932203389835</v>
      </c>
      <c r="AD2712" s="3553">
        <v>35530.201342281878</v>
      </c>
      <c r="AE2712" s="3431"/>
      <c r="AF2712" s="3424"/>
      <c r="AG2712" s="3424"/>
      <c r="AH2712" s="156"/>
      <c r="AI2712" s="156"/>
      <c r="AJ2712" s="156"/>
      <c r="AK2712" s="156"/>
      <c r="AL2712" s="156"/>
      <c r="AM2712" s="156"/>
      <c r="AN2712" s="156"/>
      <c r="AO2712" s="156"/>
      <c r="AP2712" s="156"/>
      <c r="AQ2712" s="156"/>
      <c r="AR2712" s="156"/>
      <c r="AS2712" s="156"/>
      <c r="AT2712" s="156"/>
      <c r="AU2712" s="156"/>
      <c r="AV2712" s="156"/>
      <c r="AW2712" s="156"/>
      <c r="AX2712" s="156"/>
      <c r="AY2712" s="156"/>
      <c r="AZ2712" s="156"/>
      <c r="BA2712" s="156"/>
      <c r="BB2712" s="2828"/>
      <c r="BC2712" s="452"/>
      <c r="BD2712" s="2829"/>
      <c r="BE2712" s="2837"/>
      <c r="BF2712" s="156"/>
    </row>
    <row r="2713" spans="1:58" ht="15" customHeight="1" outlineLevel="1" x14ac:dyDescent="0.35">
      <c r="A2713" s="1664"/>
      <c r="B2713" s="2812"/>
      <c r="C2713" s="3077"/>
      <c r="D2713" s="3980"/>
      <c r="E2713" s="3883"/>
      <c r="F2713" s="3984" t="str">
        <f>$E$1536</f>
        <v>ASHP-SEER15-Replace_CAC_ElectricHeat_ER2_SF</v>
      </c>
      <c r="G2713" s="3984"/>
      <c r="H2713" s="3984"/>
      <c r="I2713" s="3984"/>
      <c r="J2713" s="3501" t="str">
        <f>$C$1536</f>
        <v>352300_2021_12_</v>
      </c>
      <c r="K2713" s="3047">
        <v>35530.201342281878</v>
      </c>
      <c r="L2713" s="2823">
        <f t="shared" si="365"/>
        <v>2.9608501118568231</v>
      </c>
      <c r="M2713" s="2819" t="s">
        <v>4360</v>
      </c>
      <c r="N2713" s="106"/>
      <c r="O2713" s="106"/>
      <c r="P2713" s="702"/>
      <c r="Q2713" s="702"/>
      <c r="R2713" s="702"/>
      <c r="S2713" s="106"/>
      <c r="T2713" s="486"/>
      <c r="U2713" s="106"/>
      <c r="V2713" s="3980"/>
      <c r="W2713" s="3421">
        <v>33600</v>
      </c>
      <c r="X2713" s="2374">
        <f t="shared" ref="X2713:X2729" si="366">3.06*12000</f>
        <v>36720</v>
      </c>
      <c r="Y2713" s="2374">
        <v>34800</v>
      </c>
      <c r="Z2713" s="3421">
        <v>34800</v>
      </c>
      <c r="AA2713" s="3421">
        <v>34800</v>
      </c>
      <c r="AB2713" s="2296">
        <v>34457.142857142855</v>
      </c>
      <c r="AC2713" s="2292">
        <f>AC2712</f>
        <v>34555.932203389835</v>
      </c>
      <c r="AD2713" s="2296">
        <v>35530.201342281878</v>
      </c>
      <c r="AE2713" s="3429"/>
      <c r="AF2713" s="3421"/>
      <c r="AG2713" s="3421"/>
      <c r="AH2713" s="156"/>
      <c r="AI2713" s="156"/>
      <c r="AJ2713" s="156"/>
      <c r="AK2713" s="156"/>
      <c r="AL2713" s="156"/>
      <c r="AM2713" s="156"/>
      <c r="AN2713" s="156"/>
      <c r="AO2713" s="156"/>
      <c r="AP2713" s="156"/>
      <c r="AQ2713" s="156"/>
      <c r="AR2713" s="156"/>
      <c r="AS2713" s="156"/>
      <c r="AT2713" s="156"/>
      <c r="AU2713" s="156"/>
      <c r="AV2713" s="156"/>
      <c r="AW2713" s="156"/>
      <c r="AX2713" s="156"/>
      <c r="AY2713" s="156"/>
      <c r="AZ2713" s="156"/>
      <c r="BA2713" s="156"/>
      <c r="BB2713" s="2828"/>
      <c r="BC2713" s="452"/>
      <c r="BD2713" s="2829"/>
      <c r="BE2713" s="2837"/>
      <c r="BF2713" s="156"/>
    </row>
    <row r="2714" spans="1:58" ht="15" customHeight="1" outlineLevel="1" x14ac:dyDescent="0.35">
      <c r="A2714" s="1664"/>
      <c r="B2714" s="2812"/>
      <c r="C2714" s="3077"/>
      <c r="D2714" s="3980"/>
      <c r="E2714" s="3883"/>
      <c r="F2714" s="3984" t="str">
        <f>$E$1538</f>
        <v>ASHP-SEER15-Replace_CAC_NonElectricHeat_ER1_SF</v>
      </c>
      <c r="G2714" s="3984"/>
      <c r="H2714" s="3984"/>
      <c r="I2714" s="3984"/>
      <c r="J2714" s="3501" t="str">
        <f>$C$1538</f>
        <v>352310_2021_12_</v>
      </c>
      <c r="K2714" s="3047">
        <v>35530.201342281878</v>
      </c>
      <c r="L2714" s="2823">
        <f t="shared" si="365"/>
        <v>2.9608501118568231</v>
      </c>
      <c r="M2714" s="3025" t="s">
        <v>1083</v>
      </c>
      <c r="N2714" s="106"/>
      <c r="O2714" s="106"/>
      <c r="P2714" s="702"/>
      <c r="Q2714" s="702"/>
      <c r="R2714" s="702"/>
      <c r="S2714" s="106"/>
      <c r="T2714" s="486"/>
      <c r="U2714" s="106"/>
      <c r="V2714" s="3980"/>
      <c r="W2714" s="3421"/>
      <c r="X2714" s="2374"/>
      <c r="Y2714" s="2374"/>
      <c r="Z2714" s="3421"/>
      <c r="AA2714" s="3421"/>
      <c r="AB2714" s="2296"/>
      <c r="AC2714" s="3555">
        <v>34555.932203389835</v>
      </c>
      <c r="AD2714" s="2296">
        <v>35530.201342281878</v>
      </c>
      <c r="AE2714" s="3429"/>
      <c r="AF2714" s="3421"/>
      <c r="AG2714" s="3421"/>
      <c r="AH2714" s="156"/>
      <c r="AI2714" s="156"/>
      <c r="AJ2714" s="156"/>
      <c r="AK2714" s="156"/>
      <c r="AL2714" s="156"/>
      <c r="AM2714" s="156"/>
      <c r="AN2714" s="156"/>
      <c r="AO2714" s="156"/>
      <c r="AP2714" s="156"/>
      <c r="AQ2714" s="156"/>
      <c r="AR2714" s="156"/>
      <c r="AS2714" s="156"/>
      <c r="AT2714" s="156"/>
      <c r="AU2714" s="156"/>
      <c r="AV2714" s="156"/>
      <c r="AW2714" s="156"/>
      <c r="AX2714" s="156"/>
      <c r="AY2714" s="156"/>
      <c r="AZ2714" s="156"/>
      <c r="BA2714" s="156"/>
      <c r="BB2714" s="2828"/>
      <c r="BC2714" s="452"/>
      <c r="BD2714" s="2829"/>
      <c r="BE2714" s="2837"/>
      <c r="BF2714" s="156"/>
    </row>
    <row r="2715" spans="1:58" ht="15" customHeight="1" outlineLevel="1" x14ac:dyDescent="0.35">
      <c r="A2715" s="1664"/>
      <c r="B2715" s="2812"/>
      <c r="C2715" s="3077"/>
      <c r="D2715" s="3980"/>
      <c r="E2715" s="3883"/>
      <c r="F2715" s="3984" t="str">
        <f>$E$1540</f>
        <v>ASHP-SEER15-Replace_CAC_NonElectricHeat_ER2_SF</v>
      </c>
      <c r="G2715" s="3984"/>
      <c r="H2715" s="3984"/>
      <c r="I2715" s="3984"/>
      <c r="J2715" s="3501" t="str">
        <f>$C$1540</f>
        <v>352310_2021_12_</v>
      </c>
      <c r="K2715" s="3047">
        <v>35530.201342281878</v>
      </c>
      <c r="L2715" s="2823">
        <f t="shared" si="365"/>
        <v>2.9608501118568231</v>
      </c>
      <c r="M2715" s="3025" t="s">
        <v>1083</v>
      </c>
      <c r="N2715" s="106"/>
      <c r="O2715" s="106"/>
      <c r="P2715" s="702"/>
      <c r="Q2715" s="702"/>
      <c r="R2715" s="702"/>
      <c r="S2715" s="106"/>
      <c r="T2715" s="486"/>
      <c r="U2715" s="106"/>
      <c r="V2715" s="3980"/>
      <c r="W2715" s="3421"/>
      <c r="X2715" s="2374"/>
      <c r="Y2715" s="2374"/>
      <c r="Z2715" s="3421"/>
      <c r="AA2715" s="3421"/>
      <c r="AB2715" s="2296"/>
      <c r="AC2715" s="2292">
        <f>AC2714</f>
        <v>34555.932203389835</v>
      </c>
      <c r="AD2715" s="2296">
        <v>35530.201342281878</v>
      </c>
      <c r="AE2715" s="3429"/>
      <c r="AF2715" s="3421"/>
      <c r="AG2715" s="3421"/>
      <c r="AH2715" s="156"/>
      <c r="AI2715" s="156"/>
      <c r="AJ2715" s="156"/>
      <c r="AK2715" s="156"/>
      <c r="AL2715" s="156"/>
      <c r="AM2715" s="156"/>
      <c r="AN2715" s="156"/>
      <c r="AO2715" s="156"/>
      <c r="AP2715" s="156"/>
      <c r="AQ2715" s="156"/>
      <c r="AR2715" s="156"/>
      <c r="AS2715" s="156"/>
      <c r="AT2715" s="156"/>
      <c r="AU2715" s="156"/>
      <c r="AV2715" s="156"/>
      <c r="AW2715" s="156"/>
      <c r="AX2715" s="156"/>
      <c r="AY2715" s="156"/>
      <c r="AZ2715" s="156"/>
      <c r="BA2715" s="156"/>
      <c r="BB2715" s="2828"/>
      <c r="BC2715" s="452"/>
      <c r="BD2715" s="2829"/>
      <c r="BE2715" s="2837"/>
      <c r="BF2715" s="156"/>
    </row>
    <row r="2716" spans="1:58" ht="15" customHeight="1" outlineLevel="1" x14ac:dyDescent="0.35">
      <c r="A2716" s="1664"/>
      <c r="B2716" s="2812"/>
      <c r="C2716" s="3077"/>
      <c r="D2716" s="3980"/>
      <c r="E2716" s="3883"/>
      <c r="F2716" s="3984" t="str">
        <f>$E$1542</f>
        <v>ASHP-SEER15_ER1_SF</v>
      </c>
      <c r="G2716" s="3984"/>
      <c r="H2716" s="3984"/>
      <c r="I2716" s="3984"/>
      <c r="J2716" s="3501" t="str">
        <f>$C$1542</f>
        <v>352350_2021_12_</v>
      </c>
      <c r="K2716" s="3047">
        <v>35530.201342281878</v>
      </c>
      <c r="L2716" s="2823">
        <f t="shared" si="365"/>
        <v>2.9608501118568231</v>
      </c>
      <c r="M2716" s="2819" t="s">
        <v>4360</v>
      </c>
      <c r="N2716" s="106"/>
      <c r="O2716" s="106"/>
      <c r="P2716" s="702"/>
      <c r="Q2716" s="702"/>
      <c r="R2716" s="702"/>
      <c r="S2716" s="106"/>
      <c r="T2716" s="486"/>
      <c r="U2716" s="106"/>
      <c r="V2716" s="3980"/>
      <c r="W2716" s="3421">
        <v>37200</v>
      </c>
      <c r="X2716" s="2374">
        <f t="shared" si="366"/>
        <v>36720</v>
      </c>
      <c r="Y2716" s="2374">
        <v>35160</v>
      </c>
      <c r="Z2716" s="3421">
        <v>35160</v>
      </c>
      <c r="AA2716" s="3421">
        <v>35160</v>
      </c>
      <c r="AB2716" s="2296">
        <v>37222.222222222219</v>
      </c>
      <c r="AC2716" s="2292">
        <v>37480.519480519484</v>
      </c>
      <c r="AD2716" s="2296">
        <v>35530.201342281878</v>
      </c>
      <c r="AE2716" s="3429"/>
      <c r="AF2716" s="3421"/>
      <c r="AG2716" s="3421"/>
      <c r="AH2716" s="156"/>
      <c r="AI2716" s="156"/>
      <c r="AJ2716" s="156"/>
      <c r="AK2716" s="156"/>
      <c r="AL2716" s="156"/>
      <c r="AM2716" s="156"/>
      <c r="AN2716" s="156"/>
      <c r="AO2716" s="156"/>
      <c r="AP2716" s="156"/>
      <c r="AQ2716" s="156"/>
      <c r="AR2716" s="156"/>
      <c r="AS2716" s="156"/>
      <c r="AT2716" s="156"/>
      <c r="AU2716" s="156"/>
      <c r="AV2716" s="156"/>
      <c r="AW2716" s="156"/>
      <c r="AX2716" s="156"/>
      <c r="AY2716" s="156"/>
      <c r="AZ2716" s="156"/>
      <c r="BA2716" s="156"/>
      <c r="BB2716" s="2828"/>
      <c r="BC2716" s="452"/>
      <c r="BD2716" s="2829"/>
      <c r="BE2716" s="2837"/>
      <c r="BF2716" s="156"/>
    </row>
    <row r="2717" spans="1:58" ht="15" customHeight="1" outlineLevel="1" x14ac:dyDescent="0.35">
      <c r="A2717" s="1664"/>
      <c r="B2717" s="2812"/>
      <c r="C2717" s="3077"/>
      <c r="D2717" s="3980"/>
      <c r="E2717" s="3883"/>
      <c r="F2717" s="3984" t="str">
        <f>$E$1544</f>
        <v>ASHP-SEER15_ER2_SF</v>
      </c>
      <c r="G2717" s="3984"/>
      <c r="H2717" s="3984"/>
      <c r="I2717" s="3984"/>
      <c r="J2717" s="3501" t="str">
        <f>$C$1544</f>
        <v>352350_2021_12_</v>
      </c>
      <c r="K2717" s="3047">
        <v>35530.201342281878</v>
      </c>
      <c r="L2717" s="2823">
        <f t="shared" si="365"/>
        <v>2.9608501118568231</v>
      </c>
      <c r="M2717" s="2819" t="s">
        <v>4360</v>
      </c>
      <c r="N2717" s="106"/>
      <c r="O2717" s="106"/>
      <c r="P2717" s="702"/>
      <c r="Q2717" s="702"/>
      <c r="R2717" s="702"/>
      <c r="S2717" s="106"/>
      <c r="T2717" s="486"/>
      <c r="U2717" s="106"/>
      <c r="V2717" s="3980"/>
      <c r="W2717" s="3421">
        <v>37200</v>
      </c>
      <c r="X2717" s="2374">
        <f t="shared" si="366"/>
        <v>36720</v>
      </c>
      <c r="Y2717" s="2374">
        <v>35160</v>
      </c>
      <c r="Z2717" s="3421">
        <v>35160</v>
      </c>
      <c r="AA2717" s="3421">
        <v>35160</v>
      </c>
      <c r="AB2717" s="2296">
        <v>37222.222222222219</v>
      </c>
      <c r="AC2717" s="2292">
        <f>AC2716</f>
        <v>37480.519480519484</v>
      </c>
      <c r="AD2717" s="2296">
        <v>35530.201342281878</v>
      </c>
      <c r="AE2717" s="3429"/>
      <c r="AF2717" s="3421"/>
      <c r="AG2717" s="3421"/>
      <c r="AH2717" s="156"/>
      <c r="AI2717" s="156"/>
      <c r="AJ2717" s="156"/>
      <c r="AK2717" s="156"/>
      <c r="AL2717" s="156"/>
      <c r="AM2717" s="156"/>
      <c r="AN2717" s="156"/>
      <c r="AO2717" s="156"/>
      <c r="AP2717" s="156"/>
      <c r="AQ2717" s="156"/>
      <c r="AR2717" s="156"/>
      <c r="AS2717" s="156"/>
      <c r="AT2717" s="156"/>
      <c r="AU2717" s="156"/>
      <c r="AV2717" s="156"/>
      <c r="AW2717" s="156"/>
      <c r="AX2717" s="156"/>
      <c r="AY2717" s="156"/>
      <c r="AZ2717" s="156"/>
      <c r="BA2717" s="156"/>
      <c r="BB2717" s="2828"/>
      <c r="BC2717" s="452"/>
      <c r="BD2717" s="2829"/>
      <c r="BE2717" s="2837"/>
      <c r="BF2717" s="156"/>
    </row>
    <row r="2718" spans="1:58" ht="15" customHeight="1" outlineLevel="1" x14ac:dyDescent="0.35">
      <c r="A2718" s="1664"/>
      <c r="B2718" s="2812"/>
      <c r="C2718" s="3077"/>
      <c r="D2718" s="3980"/>
      <c r="E2718" s="3883"/>
      <c r="F2718" s="3984" t="str">
        <f>$E$1546</f>
        <v>ASHP-SEER15-Replace_CAC_ElectricHeat_ROF_SF</v>
      </c>
      <c r="G2718" s="3984"/>
      <c r="H2718" s="3984"/>
      <c r="I2718" s="3984"/>
      <c r="J2718" s="3501" t="str">
        <f>$C$1546</f>
        <v>352400_2021_12_</v>
      </c>
      <c r="K2718" s="3047">
        <v>36495.412844036699</v>
      </c>
      <c r="L2718" s="2823">
        <f t="shared" si="365"/>
        <v>3.0412844036697249</v>
      </c>
      <c r="M2718" s="2819" t="s">
        <v>4360</v>
      </c>
      <c r="N2718" s="106"/>
      <c r="O2718" s="106"/>
      <c r="P2718" s="702"/>
      <c r="Q2718" s="702"/>
      <c r="R2718" s="702"/>
      <c r="S2718" s="106"/>
      <c r="T2718" s="486"/>
      <c r="U2718" s="106"/>
      <c r="V2718" s="3980"/>
      <c r="W2718" s="3421">
        <v>31200</v>
      </c>
      <c r="X2718" s="2374">
        <f t="shared" si="366"/>
        <v>36720</v>
      </c>
      <c r="Y2718" s="2374">
        <v>34320</v>
      </c>
      <c r="Z2718" s="3421">
        <v>34320</v>
      </c>
      <c r="AA2718" s="3421">
        <v>34320</v>
      </c>
      <c r="AB2718" s="2296">
        <v>35872.340425531918</v>
      </c>
      <c r="AC2718" s="2292">
        <v>37047.619047619046</v>
      </c>
      <c r="AD2718" s="2296">
        <v>36495.412844036699</v>
      </c>
      <c r="AE2718" s="3429"/>
      <c r="AF2718" s="3421"/>
      <c r="AG2718" s="3421"/>
      <c r="AH2718" s="156"/>
      <c r="AI2718" s="156"/>
      <c r="AJ2718" s="156"/>
      <c r="AK2718" s="156"/>
      <c r="AL2718" s="156"/>
      <c r="AM2718" s="156"/>
      <c r="AN2718" s="156"/>
      <c r="AO2718" s="156"/>
      <c r="AP2718" s="156"/>
      <c r="AQ2718" s="156"/>
      <c r="AR2718" s="156"/>
      <c r="AS2718" s="156"/>
      <c r="AT2718" s="156"/>
      <c r="AU2718" s="156"/>
      <c r="AV2718" s="156"/>
      <c r="AW2718" s="156"/>
      <c r="AX2718" s="156"/>
      <c r="AY2718" s="156"/>
      <c r="AZ2718" s="156"/>
      <c r="BA2718" s="156"/>
      <c r="BB2718" s="2828"/>
      <c r="BC2718" s="452"/>
      <c r="BD2718" s="2829"/>
      <c r="BE2718" s="2837"/>
      <c r="BF2718" s="156"/>
    </row>
    <row r="2719" spans="1:58" ht="15" customHeight="1" outlineLevel="1" x14ac:dyDescent="0.35">
      <c r="A2719" s="1664"/>
      <c r="B2719" s="2812"/>
      <c r="C2719" s="3077"/>
      <c r="D2719" s="3980"/>
      <c r="E2719" s="3883"/>
      <c r="F2719" s="3984" t="str">
        <f>$E$1548</f>
        <v>ASHP-SEER15-Replace_CAC_NonElectricHeat_ROF_SF</v>
      </c>
      <c r="G2719" s="3984"/>
      <c r="H2719" s="3984"/>
      <c r="I2719" s="3984"/>
      <c r="J2719" s="3501" t="str">
        <f>$C$1548</f>
        <v>352410_2021_12_</v>
      </c>
      <c r="K2719" s="3047">
        <v>36495.412844036699</v>
      </c>
      <c r="L2719" s="2823">
        <f t="shared" si="365"/>
        <v>3.0412844036697249</v>
      </c>
      <c r="M2719" s="3025" t="s">
        <v>1083</v>
      </c>
      <c r="N2719" s="106"/>
      <c r="O2719" s="106"/>
      <c r="P2719" s="702"/>
      <c r="Q2719" s="702"/>
      <c r="R2719" s="702"/>
      <c r="S2719" s="106"/>
      <c r="T2719" s="486"/>
      <c r="U2719" s="106"/>
      <c r="V2719" s="3980"/>
      <c r="W2719" s="3421"/>
      <c r="X2719" s="2374"/>
      <c r="Y2719" s="2374"/>
      <c r="Z2719" s="3421"/>
      <c r="AA2719" s="3421"/>
      <c r="AB2719" s="2296"/>
      <c r="AC2719" s="2292">
        <v>37047.619047619046</v>
      </c>
      <c r="AD2719" s="2296">
        <v>36495.412844036699</v>
      </c>
      <c r="AE2719" s="3429"/>
      <c r="AF2719" s="3421"/>
      <c r="AG2719" s="3421"/>
      <c r="AH2719" s="156"/>
      <c r="AI2719" s="156"/>
      <c r="AJ2719" s="156"/>
      <c r="AK2719" s="156"/>
      <c r="AL2719" s="156"/>
      <c r="AM2719" s="156"/>
      <c r="AN2719" s="156"/>
      <c r="AO2719" s="156"/>
      <c r="AP2719" s="156"/>
      <c r="AQ2719" s="156"/>
      <c r="AR2719" s="156"/>
      <c r="AS2719" s="156"/>
      <c r="AT2719" s="156"/>
      <c r="AU2719" s="156"/>
      <c r="AV2719" s="156"/>
      <c r="AW2719" s="156"/>
      <c r="AX2719" s="156"/>
      <c r="AY2719" s="156"/>
      <c r="AZ2719" s="156"/>
      <c r="BA2719" s="156"/>
      <c r="BB2719" s="2828"/>
      <c r="BC2719" s="452"/>
      <c r="BD2719" s="2829"/>
      <c r="BE2719" s="2837"/>
      <c r="BF2719" s="156"/>
    </row>
    <row r="2720" spans="1:58" ht="15" customHeight="1" outlineLevel="1" x14ac:dyDescent="0.35">
      <c r="A2720" s="1664"/>
      <c r="B2720" s="2812"/>
      <c r="C2720" s="3077"/>
      <c r="D2720" s="3980"/>
      <c r="E2720" s="3883"/>
      <c r="F2720" s="3984" t="str">
        <f>$E$1550</f>
        <v>ASHP-SEER15_ROF_SF</v>
      </c>
      <c r="G2720" s="3984"/>
      <c r="H2720" s="3984"/>
      <c r="I2720" s="3984"/>
      <c r="J2720" s="3501" t="str">
        <f>$C$1550</f>
        <v>352450_2021_12_</v>
      </c>
      <c r="K2720" s="3047">
        <v>36495.412844036699</v>
      </c>
      <c r="L2720" s="2823">
        <f t="shared" si="365"/>
        <v>3.0412844036697249</v>
      </c>
      <c r="M2720" s="2819" t="s">
        <v>4360</v>
      </c>
      <c r="N2720" s="106"/>
      <c r="O2720" s="106"/>
      <c r="P2720" s="702"/>
      <c r="Q2720" s="702"/>
      <c r="R2720" s="702"/>
      <c r="S2720" s="106"/>
      <c r="T2720" s="486"/>
      <c r="U2720" s="106"/>
      <c r="V2720" s="3980"/>
      <c r="W2720" s="3421">
        <v>37200</v>
      </c>
      <c r="X2720" s="2374">
        <f t="shared" si="366"/>
        <v>36720</v>
      </c>
      <c r="Y2720" s="2374">
        <v>34680</v>
      </c>
      <c r="Z2720" s="3421">
        <v>34680</v>
      </c>
      <c r="AA2720" s="3421">
        <v>34680</v>
      </c>
      <c r="AB2720" s="3421">
        <v>34680</v>
      </c>
      <c r="AC2720" s="2292">
        <v>35892.857142857138</v>
      </c>
      <c r="AD2720" s="2296">
        <v>36495.412844036699</v>
      </c>
      <c r="AE2720" s="3429"/>
      <c r="AF2720" s="3421"/>
      <c r="AG2720" s="3421"/>
      <c r="AH2720" s="156"/>
      <c r="AI2720" s="156"/>
      <c r="AJ2720" s="156"/>
      <c r="AK2720" s="156"/>
      <c r="AL2720" s="156"/>
      <c r="AM2720" s="156"/>
      <c r="AN2720" s="156"/>
      <c r="AO2720" s="156"/>
      <c r="AP2720" s="156"/>
      <c r="AQ2720" s="156"/>
      <c r="AR2720" s="156"/>
      <c r="AS2720" s="156"/>
      <c r="AT2720" s="156"/>
      <c r="AU2720" s="156"/>
      <c r="AV2720" s="156"/>
      <c r="AW2720" s="156"/>
      <c r="AX2720" s="156"/>
      <c r="AY2720" s="156"/>
      <c r="AZ2720" s="156"/>
      <c r="BA2720" s="156"/>
      <c r="BB2720" s="2828"/>
      <c r="BC2720" s="452"/>
      <c r="BD2720" s="2829"/>
      <c r="BE2720" s="2837"/>
      <c r="BF2720" s="156"/>
    </row>
    <row r="2721" spans="1:58" ht="15" customHeight="1" outlineLevel="1" x14ac:dyDescent="0.35">
      <c r="A2721" s="1664"/>
      <c r="B2721" s="2812"/>
      <c r="C2721" s="3077"/>
      <c r="D2721" s="3980"/>
      <c r="E2721" s="3883"/>
      <c r="F2721" s="3984" t="str">
        <f>$E$1552</f>
        <v>ASHP-SEER16-Replace_CAC_ElectricHeat_ER1_SF</v>
      </c>
      <c r="G2721" s="3984"/>
      <c r="H2721" s="3984"/>
      <c r="I2721" s="3984"/>
      <c r="J2721" s="3501" t="str">
        <f>$C$1552</f>
        <v>352500_2021_12_</v>
      </c>
      <c r="K2721" s="3047">
        <v>35478.530884808017</v>
      </c>
      <c r="L2721" s="2823">
        <f t="shared" si="365"/>
        <v>2.9565442404006679</v>
      </c>
      <c r="M2721" s="2819" t="s">
        <v>4360</v>
      </c>
      <c r="N2721" s="106"/>
      <c r="O2721" s="106"/>
      <c r="P2721" s="702"/>
      <c r="Q2721" s="702"/>
      <c r="R2721" s="702"/>
      <c r="S2721" s="106"/>
      <c r="T2721" s="486"/>
      <c r="U2721" s="106"/>
      <c r="V2721" s="3980"/>
      <c r="W2721" s="3421">
        <v>37200</v>
      </c>
      <c r="X2721" s="2374">
        <f t="shared" si="366"/>
        <v>36720</v>
      </c>
      <c r="Y2721" s="2374">
        <v>38160</v>
      </c>
      <c r="Z2721" s="3421">
        <v>38160</v>
      </c>
      <c r="AA2721" s="3421">
        <v>38160</v>
      </c>
      <c r="AB2721" s="2296">
        <v>35375.776397515532</v>
      </c>
      <c r="AC2721" s="2292">
        <v>35069.908814589668</v>
      </c>
      <c r="AD2721" s="2296">
        <v>35478.530884808017</v>
      </c>
      <c r="AE2721" s="3429"/>
      <c r="AF2721" s="3421"/>
      <c r="AG2721" s="3421"/>
      <c r="AH2721" s="156"/>
      <c r="AI2721" s="156"/>
      <c r="AJ2721" s="156"/>
      <c r="AK2721" s="156"/>
      <c r="AL2721" s="156"/>
      <c r="AM2721" s="156"/>
      <c r="AN2721" s="156"/>
      <c r="AO2721" s="156"/>
      <c r="AP2721" s="156"/>
      <c r="AQ2721" s="156"/>
      <c r="AR2721" s="156"/>
      <c r="AS2721" s="156"/>
      <c r="AT2721" s="156"/>
      <c r="AU2721" s="156"/>
      <c r="AV2721" s="156"/>
      <c r="AW2721" s="156"/>
      <c r="AX2721" s="156"/>
      <c r="AY2721" s="156"/>
      <c r="AZ2721" s="156"/>
      <c r="BA2721" s="156"/>
      <c r="BB2721" s="2828"/>
      <c r="BC2721" s="452"/>
      <c r="BD2721" s="2829"/>
      <c r="BE2721" s="2837"/>
      <c r="BF2721" s="156"/>
    </row>
    <row r="2722" spans="1:58" ht="15" customHeight="1" outlineLevel="1" x14ac:dyDescent="0.35">
      <c r="A2722" s="1664"/>
      <c r="B2722" s="2812"/>
      <c r="C2722" s="3077"/>
      <c r="D2722" s="3980"/>
      <c r="E2722" s="3883"/>
      <c r="F2722" s="3984" t="str">
        <f>$E$1554</f>
        <v>ASHP-SEER16-Replace_CAC_ElectricHeat_ER2_SF</v>
      </c>
      <c r="G2722" s="3984"/>
      <c r="H2722" s="3984"/>
      <c r="I2722" s="3984"/>
      <c r="J2722" s="3501" t="str">
        <f>$C$1554</f>
        <v>352500_2021_12_</v>
      </c>
      <c r="K2722" s="3047">
        <v>35478.530884808017</v>
      </c>
      <c r="L2722" s="2823">
        <f t="shared" si="365"/>
        <v>2.9565442404006679</v>
      </c>
      <c r="M2722" s="2819" t="s">
        <v>4360</v>
      </c>
      <c r="N2722" s="106"/>
      <c r="O2722" s="106"/>
      <c r="P2722" s="702"/>
      <c r="Q2722" s="702"/>
      <c r="R2722" s="702"/>
      <c r="S2722" s="106"/>
      <c r="T2722" s="486"/>
      <c r="U2722" s="106"/>
      <c r="V2722" s="3980"/>
      <c r="W2722" s="3421">
        <v>37200</v>
      </c>
      <c r="X2722" s="2374">
        <f t="shared" si="366"/>
        <v>36720</v>
      </c>
      <c r="Y2722" s="2374">
        <v>38160</v>
      </c>
      <c r="Z2722" s="3421">
        <v>38160</v>
      </c>
      <c r="AA2722" s="3421">
        <v>38160</v>
      </c>
      <c r="AB2722" s="2296">
        <v>35375.776397515532</v>
      </c>
      <c r="AC2722" s="2292">
        <f>AC2721</f>
        <v>35069.908814589668</v>
      </c>
      <c r="AD2722" s="2296">
        <v>35478.530884808017</v>
      </c>
      <c r="AE2722" s="3429"/>
      <c r="AF2722" s="3421"/>
      <c r="AG2722" s="3421"/>
      <c r="AH2722" s="156"/>
      <c r="AI2722" s="156"/>
      <c r="AJ2722" s="156"/>
      <c r="AK2722" s="156"/>
      <c r="AL2722" s="156"/>
      <c r="AM2722" s="156"/>
      <c r="AN2722" s="156"/>
      <c r="AO2722" s="156"/>
      <c r="AP2722" s="156"/>
      <c r="AQ2722" s="156"/>
      <c r="AR2722" s="156"/>
      <c r="AS2722" s="156"/>
      <c r="AT2722" s="156"/>
      <c r="AU2722" s="156"/>
      <c r="AV2722" s="156"/>
      <c r="AW2722" s="156"/>
      <c r="AX2722" s="156"/>
      <c r="AY2722" s="156"/>
      <c r="AZ2722" s="156"/>
      <c r="BA2722" s="156"/>
      <c r="BB2722" s="2828"/>
      <c r="BC2722" s="452"/>
      <c r="BD2722" s="2829"/>
      <c r="BE2722" s="2837"/>
      <c r="BF2722" s="156"/>
    </row>
    <row r="2723" spans="1:58" ht="15" customHeight="1" outlineLevel="1" x14ac:dyDescent="0.35">
      <c r="A2723" s="1664"/>
      <c r="B2723" s="2812"/>
      <c r="C2723" s="3077"/>
      <c r="D2723" s="3980"/>
      <c r="E2723" s="3883"/>
      <c r="F2723" s="3984" t="str">
        <f>$E$1556</f>
        <v>ASHP-SEER16-Replace_CAC_NonElectricHeat_ER1_SF</v>
      </c>
      <c r="G2723" s="3984"/>
      <c r="H2723" s="3984"/>
      <c r="I2723" s="3984"/>
      <c r="J2723" s="3501" t="str">
        <f>$C$1556</f>
        <v>352510_2021_12_</v>
      </c>
      <c r="K2723" s="3047">
        <v>35478.530884808017</v>
      </c>
      <c r="L2723" s="2823">
        <f t="shared" si="365"/>
        <v>2.9565442404006679</v>
      </c>
      <c r="M2723" s="3025" t="s">
        <v>1083</v>
      </c>
      <c r="N2723" s="106"/>
      <c r="O2723" s="106"/>
      <c r="P2723" s="702"/>
      <c r="Q2723" s="702"/>
      <c r="R2723" s="702"/>
      <c r="S2723" s="106"/>
      <c r="T2723" s="486"/>
      <c r="U2723" s="106"/>
      <c r="V2723" s="3980"/>
      <c r="W2723" s="3421"/>
      <c r="X2723" s="2374"/>
      <c r="Y2723" s="2374"/>
      <c r="Z2723" s="3421"/>
      <c r="AA2723" s="3421"/>
      <c r="AB2723" s="2296"/>
      <c r="AC2723" s="2292">
        <v>35069.908814589668</v>
      </c>
      <c r="AD2723" s="2296">
        <v>35478.530884808017</v>
      </c>
      <c r="AE2723" s="3429"/>
      <c r="AF2723" s="3421"/>
      <c r="AG2723" s="3421"/>
      <c r="AH2723" s="156"/>
      <c r="AI2723" s="156"/>
      <c r="AJ2723" s="156"/>
      <c r="AK2723" s="156"/>
      <c r="AL2723" s="156"/>
      <c r="AM2723" s="156"/>
      <c r="AN2723" s="156"/>
      <c r="AO2723" s="156"/>
      <c r="AP2723" s="156"/>
      <c r="AQ2723" s="156"/>
      <c r="AR2723" s="156"/>
      <c r="AS2723" s="156"/>
      <c r="AT2723" s="156"/>
      <c r="AU2723" s="156"/>
      <c r="AV2723" s="156"/>
      <c r="AW2723" s="156"/>
      <c r="AX2723" s="156"/>
      <c r="AY2723" s="156"/>
      <c r="AZ2723" s="156"/>
      <c r="BA2723" s="156"/>
      <c r="BB2723" s="2828"/>
      <c r="BC2723" s="452"/>
      <c r="BD2723" s="2829"/>
      <c r="BE2723" s="2837"/>
      <c r="BF2723" s="156"/>
    </row>
    <row r="2724" spans="1:58" ht="15" customHeight="1" outlineLevel="1" x14ac:dyDescent="0.35">
      <c r="A2724" s="1664"/>
      <c r="B2724" s="2812"/>
      <c r="C2724" s="3077"/>
      <c r="D2724" s="3980"/>
      <c r="E2724" s="3883"/>
      <c r="F2724" s="3984" t="str">
        <f>$E$1558</f>
        <v>ASHP-SEER16-Replace_CAC_NonElectricHeat_ER2_SF</v>
      </c>
      <c r="G2724" s="3984"/>
      <c r="H2724" s="3984"/>
      <c r="I2724" s="3984"/>
      <c r="J2724" s="3501" t="str">
        <f>$C$1558</f>
        <v>352510_2021_12_</v>
      </c>
      <c r="K2724" s="3047">
        <v>35478.530884808017</v>
      </c>
      <c r="L2724" s="2823">
        <f t="shared" si="365"/>
        <v>2.9565442404006679</v>
      </c>
      <c r="M2724" s="3025" t="s">
        <v>1083</v>
      </c>
      <c r="N2724" s="106"/>
      <c r="O2724" s="106"/>
      <c r="P2724" s="702"/>
      <c r="Q2724" s="702"/>
      <c r="R2724" s="702"/>
      <c r="S2724" s="106"/>
      <c r="T2724" s="486"/>
      <c r="U2724" s="106"/>
      <c r="V2724" s="3980"/>
      <c r="W2724" s="3421"/>
      <c r="X2724" s="2374"/>
      <c r="Y2724" s="2374"/>
      <c r="Z2724" s="3421"/>
      <c r="AA2724" s="3421"/>
      <c r="AB2724" s="2296"/>
      <c r="AC2724" s="2292">
        <f>AC2723</f>
        <v>35069.908814589668</v>
      </c>
      <c r="AD2724" s="2296">
        <v>35478.530884808017</v>
      </c>
      <c r="AE2724" s="3429"/>
      <c r="AF2724" s="3421"/>
      <c r="AG2724" s="3421"/>
      <c r="AH2724" s="156"/>
      <c r="AI2724" s="156"/>
      <c r="AJ2724" s="156"/>
      <c r="AK2724" s="156"/>
      <c r="AL2724" s="156"/>
      <c r="AM2724" s="156"/>
      <c r="AN2724" s="156"/>
      <c r="AO2724" s="156"/>
      <c r="AP2724" s="156"/>
      <c r="AQ2724" s="156"/>
      <c r="AR2724" s="156"/>
      <c r="AS2724" s="156"/>
      <c r="AT2724" s="156"/>
      <c r="AU2724" s="156"/>
      <c r="AV2724" s="156"/>
      <c r="AW2724" s="156"/>
      <c r="AX2724" s="156"/>
      <c r="AY2724" s="156"/>
      <c r="AZ2724" s="156"/>
      <c r="BA2724" s="156"/>
      <c r="BB2724" s="2828"/>
      <c r="BC2724" s="452"/>
      <c r="BD2724" s="2829"/>
      <c r="BE2724" s="2837"/>
      <c r="BF2724" s="156"/>
    </row>
    <row r="2725" spans="1:58" ht="15" customHeight="1" outlineLevel="1" x14ac:dyDescent="0.35">
      <c r="A2725" s="1664"/>
      <c r="B2725" s="2812"/>
      <c r="C2725" s="3077"/>
      <c r="D2725" s="3980"/>
      <c r="E2725" s="3883"/>
      <c r="F2725" s="3984" t="str">
        <f>$E$1560</f>
        <v>ASHP-SEER16_ER1_SF</v>
      </c>
      <c r="G2725" s="3984"/>
      <c r="H2725" s="3984"/>
      <c r="I2725" s="3984"/>
      <c r="J2725" s="3501" t="str">
        <f>$C$1560</f>
        <v>352550_2021_12_</v>
      </c>
      <c r="K2725" s="3047">
        <v>35478.530884808017</v>
      </c>
      <c r="L2725" s="2823">
        <f t="shared" si="365"/>
        <v>2.9565442404006679</v>
      </c>
      <c r="M2725" s="2819" t="s">
        <v>4360</v>
      </c>
      <c r="N2725" s="106"/>
      <c r="O2725" s="106"/>
      <c r="P2725" s="702"/>
      <c r="Q2725" s="702"/>
      <c r="R2725" s="702"/>
      <c r="S2725" s="106"/>
      <c r="T2725" s="486"/>
      <c r="U2725" s="106"/>
      <c r="V2725" s="3980"/>
      <c r="W2725" s="3421">
        <v>39600</v>
      </c>
      <c r="X2725" s="2374">
        <f t="shared" si="366"/>
        <v>36720</v>
      </c>
      <c r="Y2725" s="2374">
        <v>37800</v>
      </c>
      <c r="Z2725" s="3421">
        <v>37800</v>
      </c>
      <c r="AA2725" s="3421">
        <v>37800</v>
      </c>
      <c r="AB2725" s="2296">
        <v>37317.757009345798</v>
      </c>
      <c r="AC2725" s="2292">
        <v>36536.170212765959</v>
      </c>
      <c r="AD2725" s="2296">
        <v>35478.530884808017</v>
      </c>
      <c r="AE2725" s="3429"/>
      <c r="AF2725" s="3421"/>
      <c r="AG2725" s="3421"/>
      <c r="AH2725" s="156"/>
      <c r="AI2725" s="156"/>
      <c r="AJ2725" s="156"/>
      <c r="AK2725" s="156"/>
      <c r="AL2725" s="156"/>
      <c r="AM2725" s="156"/>
      <c r="AN2725" s="156"/>
      <c r="AO2725" s="156"/>
      <c r="AP2725" s="156"/>
      <c r="AQ2725" s="156"/>
      <c r="AR2725" s="156"/>
      <c r="AS2725" s="156"/>
      <c r="AT2725" s="156"/>
      <c r="AU2725" s="156"/>
      <c r="AV2725" s="156"/>
      <c r="AW2725" s="156"/>
      <c r="AX2725" s="156"/>
      <c r="AY2725" s="156"/>
      <c r="AZ2725" s="156"/>
      <c r="BA2725" s="156"/>
      <c r="BB2725" s="2828"/>
      <c r="BC2725" s="452"/>
      <c r="BD2725" s="2829"/>
      <c r="BE2725" s="2837"/>
      <c r="BF2725" s="156"/>
    </row>
    <row r="2726" spans="1:58" ht="15" customHeight="1" outlineLevel="1" x14ac:dyDescent="0.35">
      <c r="A2726" s="1664"/>
      <c r="B2726" s="2812"/>
      <c r="C2726" s="3077"/>
      <c r="D2726" s="3980"/>
      <c r="E2726" s="3883"/>
      <c r="F2726" s="3984" t="str">
        <f>$E$1562</f>
        <v>ASHP-SEER16_ER2_SF</v>
      </c>
      <c r="G2726" s="3984"/>
      <c r="H2726" s="3984"/>
      <c r="I2726" s="3984"/>
      <c r="J2726" s="3501" t="str">
        <f>$C$1562</f>
        <v>352550_2021_12_</v>
      </c>
      <c r="K2726" s="3047">
        <v>35478.530884808017</v>
      </c>
      <c r="L2726" s="2823">
        <f t="shared" si="365"/>
        <v>2.9565442404006679</v>
      </c>
      <c r="M2726" s="2819" t="s">
        <v>4360</v>
      </c>
      <c r="N2726" s="106"/>
      <c r="O2726" s="106"/>
      <c r="P2726" s="702"/>
      <c r="Q2726" s="702"/>
      <c r="R2726" s="702"/>
      <c r="S2726" s="106"/>
      <c r="T2726" s="486"/>
      <c r="U2726" s="106"/>
      <c r="V2726" s="3980"/>
      <c r="W2726" s="3421">
        <v>39600</v>
      </c>
      <c r="X2726" s="2377">
        <f t="shared" si="366"/>
        <v>36720</v>
      </c>
      <c r="Y2726" s="2374">
        <v>37800</v>
      </c>
      <c r="Z2726" s="3421">
        <v>37800</v>
      </c>
      <c r="AA2726" s="3421">
        <v>37800</v>
      </c>
      <c r="AB2726" s="2296">
        <v>37317.757009345798</v>
      </c>
      <c r="AC2726" s="3555">
        <f>AC2725</f>
        <v>36536.170212765959</v>
      </c>
      <c r="AD2726" s="2296">
        <v>35478.530884808017</v>
      </c>
      <c r="AE2726" s="3429"/>
      <c r="AF2726" s="3421"/>
      <c r="AG2726" s="3421"/>
      <c r="AH2726" s="156"/>
      <c r="AI2726" s="156"/>
      <c r="AJ2726" s="156"/>
      <c r="AK2726" s="156"/>
      <c r="AL2726" s="156"/>
      <c r="AM2726" s="156"/>
      <c r="AN2726" s="156"/>
      <c r="AO2726" s="156"/>
      <c r="AP2726" s="156"/>
      <c r="AQ2726" s="156"/>
      <c r="AR2726" s="156"/>
      <c r="AS2726" s="156"/>
      <c r="AT2726" s="156"/>
      <c r="AU2726" s="156"/>
      <c r="AV2726" s="156"/>
      <c r="AW2726" s="156"/>
      <c r="AX2726" s="156"/>
      <c r="AY2726" s="156"/>
      <c r="AZ2726" s="156"/>
      <c r="BA2726" s="156"/>
      <c r="BB2726" s="2828"/>
      <c r="BC2726" s="452"/>
      <c r="BD2726" s="2829"/>
      <c r="BE2726" s="2837"/>
      <c r="BF2726" s="156"/>
    </row>
    <row r="2727" spans="1:58" ht="15" customHeight="1" outlineLevel="1" x14ac:dyDescent="0.35">
      <c r="A2727" s="1664"/>
      <c r="B2727" s="2812"/>
      <c r="C2727" s="3077"/>
      <c r="D2727" s="3980"/>
      <c r="E2727" s="3883"/>
      <c r="F2727" s="3984" t="str">
        <f>$E$1564</f>
        <v>ASHP-SEER16-Replace_CAC_ElectricHeat_ROF_SF</v>
      </c>
      <c r="G2727" s="3984"/>
      <c r="H2727" s="3984"/>
      <c r="I2727" s="3984"/>
      <c r="J2727" s="3501" t="str">
        <f>$C$1564</f>
        <v>352600_2021_12_</v>
      </c>
      <c r="K2727" s="3047">
        <v>37756.097560975613</v>
      </c>
      <c r="L2727" s="2823">
        <f t="shared" si="365"/>
        <v>3.1463414634146343</v>
      </c>
      <c r="M2727" s="2819" t="s">
        <v>4360</v>
      </c>
      <c r="N2727" s="106"/>
      <c r="O2727" s="106"/>
      <c r="P2727" s="702"/>
      <c r="Q2727" s="702"/>
      <c r="R2727" s="702"/>
      <c r="S2727" s="106"/>
      <c r="T2727" s="486"/>
      <c r="U2727" s="106"/>
      <c r="V2727" s="3980"/>
      <c r="W2727" s="3421">
        <v>38400</v>
      </c>
      <c r="X2727" s="2377">
        <f t="shared" si="366"/>
        <v>36720</v>
      </c>
      <c r="Y2727" s="2374">
        <v>37320</v>
      </c>
      <c r="Z2727" s="3421">
        <v>37320</v>
      </c>
      <c r="AA2727" s="3421">
        <v>37320</v>
      </c>
      <c r="AB2727" s="2296">
        <v>35428.571428571428</v>
      </c>
      <c r="AC2727" s="3555">
        <v>35468.354430379746</v>
      </c>
      <c r="AD2727" s="2296">
        <v>37756.097560975613</v>
      </c>
      <c r="AE2727" s="3429"/>
      <c r="AF2727" s="3421"/>
      <c r="AG2727" s="3421"/>
      <c r="AH2727" s="156"/>
      <c r="AI2727" s="156"/>
      <c r="AJ2727" s="156"/>
      <c r="AK2727" s="156"/>
      <c r="AL2727" s="156"/>
      <c r="AM2727" s="156"/>
      <c r="AN2727" s="156"/>
      <c r="AO2727" s="156"/>
      <c r="AP2727" s="156"/>
      <c r="AQ2727" s="156"/>
      <c r="AR2727" s="156"/>
      <c r="AS2727" s="156"/>
      <c r="AT2727" s="156"/>
      <c r="AU2727" s="156"/>
      <c r="AV2727" s="156"/>
      <c r="AW2727" s="156"/>
      <c r="AX2727" s="156"/>
      <c r="AY2727" s="156"/>
      <c r="AZ2727" s="156"/>
      <c r="BA2727" s="156"/>
      <c r="BB2727" s="2828"/>
      <c r="BC2727" s="452"/>
      <c r="BD2727" s="2829"/>
      <c r="BE2727" s="2837"/>
      <c r="BF2727" s="156"/>
    </row>
    <row r="2728" spans="1:58" ht="15" customHeight="1" outlineLevel="1" x14ac:dyDescent="0.35">
      <c r="A2728" s="1664"/>
      <c r="B2728" s="2812"/>
      <c r="C2728" s="3077"/>
      <c r="D2728" s="3980"/>
      <c r="E2728" s="3883"/>
      <c r="F2728" s="4136" t="str">
        <f>$E$1566</f>
        <v>ASHP-SEER16-Replace_CAC_NonElectricHeat_ROF_SF</v>
      </c>
      <c r="G2728" s="4136"/>
      <c r="H2728" s="4136"/>
      <c r="I2728" s="4136"/>
      <c r="J2728" s="3502" t="str">
        <f>$C$1566</f>
        <v>352610_2022_12_</v>
      </c>
      <c r="K2728" s="3047">
        <v>37756.097560975613</v>
      </c>
      <c r="L2728" s="2823">
        <f t="shared" ref="L2728" si="367">K2728/12000</f>
        <v>3.1463414634146343</v>
      </c>
      <c r="M2728" s="2819" t="s">
        <v>1083</v>
      </c>
      <c r="N2728" s="3391"/>
      <c r="O2728" s="3391"/>
      <c r="P2728" s="702"/>
      <c r="Q2728" s="702"/>
      <c r="R2728" s="702"/>
      <c r="S2728" s="3391"/>
      <c r="T2728" s="3389"/>
      <c r="U2728" s="3391"/>
      <c r="V2728" s="3980"/>
      <c r="W2728" s="3421"/>
      <c r="X2728" s="2377"/>
      <c r="Y2728" s="2374"/>
      <c r="Z2728" s="3421"/>
      <c r="AA2728" s="3421"/>
      <c r="AB2728" s="2296"/>
      <c r="AC2728" s="3555"/>
      <c r="AD2728" s="2296">
        <v>37756.097560975613</v>
      </c>
      <c r="AE2728" s="3429"/>
      <c r="AF2728" s="3421"/>
      <c r="AG2728" s="3421"/>
      <c r="AH2728" s="156"/>
      <c r="AI2728" s="156"/>
      <c r="AJ2728" s="156"/>
      <c r="AK2728" s="156"/>
      <c r="AL2728" s="156"/>
      <c r="AM2728" s="156"/>
      <c r="AN2728" s="156"/>
      <c r="AO2728" s="156"/>
      <c r="AP2728" s="156"/>
      <c r="AQ2728" s="156"/>
      <c r="AR2728" s="156"/>
      <c r="AS2728" s="156"/>
      <c r="AT2728" s="156"/>
      <c r="AU2728" s="156"/>
      <c r="AV2728" s="156"/>
      <c r="AW2728" s="156"/>
      <c r="AX2728" s="156"/>
      <c r="AY2728" s="156"/>
      <c r="AZ2728" s="156"/>
      <c r="BA2728" s="156"/>
      <c r="BB2728" s="2828"/>
      <c r="BC2728" s="452"/>
      <c r="BD2728" s="2829"/>
      <c r="BE2728" s="2837"/>
      <c r="BF2728" s="156"/>
    </row>
    <row r="2729" spans="1:58" ht="15" customHeight="1" outlineLevel="1" x14ac:dyDescent="0.35">
      <c r="A2729" s="1664"/>
      <c r="B2729" s="2812"/>
      <c r="C2729" s="3077"/>
      <c r="D2729" s="3980"/>
      <c r="E2729" s="3883"/>
      <c r="F2729" s="3984" t="str">
        <f>$E$1568</f>
        <v>ASHP-SEER16_ROF_SF</v>
      </c>
      <c r="G2729" s="3984"/>
      <c r="H2729" s="3984"/>
      <c r="I2729" s="3984"/>
      <c r="J2729" s="3501" t="str">
        <f>$C$1568</f>
        <v>352650_2021_12_</v>
      </c>
      <c r="K2729" s="3047">
        <v>37756.097560975613</v>
      </c>
      <c r="L2729" s="2823">
        <f t="shared" si="365"/>
        <v>3.1463414634146343</v>
      </c>
      <c r="M2729" s="2819" t="s">
        <v>4360</v>
      </c>
      <c r="N2729" s="106"/>
      <c r="O2729" s="106"/>
      <c r="P2729" s="702"/>
      <c r="Q2729" s="702"/>
      <c r="R2729" s="702"/>
      <c r="S2729" s="106"/>
      <c r="T2729" s="486"/>
      <c r="U2729" s="106"/>
      <c r="V2729" s="3980"/>
      <c r="W2729" s="3421">
        <v>39600</v>
      </c>
      <c r="X2729" s="2377">
        <f t="shared" si="366"/>
        <v>36720</v>
      </c>
      <c r="Y2729" s="2374">
        <v>39000</v>
      </c>
      <c r="Z2729" s="3421">
        <v>39000</v>
      </c>
      <c r="AA2729" s="3421">
        <v>39000</v>
      </c>
      <c r="AB2729" s="3421">
        <v>39000</v>
      </c>
      <c r="AC2729" s="3555">
        <v>37105.263157894733</v>
      </c>
      <c r="AD2729" s="2296">
        <v>37756.097560975613</v>
      </c>
      <c r="AE2729" s="3429"/>
      <c r="AF2729" s="3421"/>
      <c r="AG2729" s="3421"/>
      <c r="AH2729" s="156"/>
      <c r="AI2729" s="156"/>
      <c r="AJ2729" s="156"/>
      <c r="AK2729" s="156"/>
      <c r="AL2729" s="156"/>
      <c r="AM2729" s="156"/>
      <c r="AN2729" s="156"/>
      <c r="AO2729" s="156"/>
      <c r="AP2729" s="156"/>
      <c r="AQ2729" s="156"/>
      <c r="AR2729" s="156"/>
      <c r="AS2729" s="156"/>
      <c r="AT2729" s="156"/>
      <c r="AU2729" s="156"/>
      <c r="AV2729" s="156"/>
      <c r="AW2729" s="156"/>
      <c r="AX2729" s="156"/>
      <c r="AY2729" s="156"/>
      <c r="AZ2729" s="156"/>
      <c r="BA2729" s="156"/>
      <c r="BB2729" s="2828"/>
      <c r="BC2729" s="452"/>
      <c r="BD2729" s="2829"/>
      <c r="BE2729" s="2837"/>
      <c r="BF2729" s="156"/>
    </row>
    <row r="2730" spans="1:58" ht="15" customHeight="1" outlineLevel="1" x14ac:dyDescent="0.35">
      <c r="A2730" s="1664"/>
      <c r="B2730" s="2812"/>
      <c r="C2730" s="3077"/>
      <c r="D2730" s="3980"/>
      <c r="E2730" s="3883"/>
      <c r="F2730" s="3984" t="str">
        <f>$E$1570</f>
        <v>ASHP-SEER15_ER1_MF</v>
      </c>
      <c r="G2730" s="3984"/>
      <c r="H2730" s="3984"/>
      <c r="I2730" s="3984"/>
      <c r="J2730" s="3501" t="str">
        <f>$C$1570</f>
        <v>352700_2021_12_</v>
      </c>
      <c r="K2730" s="3047">
        <v>39600</v>
      </c>
      <c r="L2730" s="2823">
        <f t="shared" si="365"/>
        <v>3.3</v>
      </c>
      <c r="M2730" s="2819" t="s">
        <v>4360</v>
      </c>
      <c r="N2730" s="106"/>
      <c r="O2730" s="106"/>
      <c r="P2730" s="702"/>
      <c r="Q2730" s="702"/>
      <c r="R2730" s="702"/>
      <c r="S2730" s="106"/>
      <c r="T2730" s="486"/>
      <c r="U2730" s="106"/>
      <c r="V2730" s="3980"/>
      <c r="W2730" s="3421">
        <v>37200</v>
      </c>
      <c r="X2730" s="3421">
        <v>37200</v>
      </c>
      <c r="Y2730" s="3421">
        <v>37200</v>
      </c>
      <c r="Z2730" s="3421">
        <v>37200</v>
      </c>
      <c r="AA2730" s="3421">
        <v>37200</v>
      </c>
      <c r="AB2730" s="2374">
        <v>34500</v>
      </c>
      <c r="AC2730" s="2292">
        <v>35000</v>
      </c>
      <c r="AD2730" s="2296">
        <v>39600</v>
      </c>
      <c r="AE2730" s="3429"/>
      <c r="AF2730" s="3421"/>
      <c r="AG2730" s="3421"/>
      <c r="AH2730" s="156"/>
      <c r="AI2730" s="156"/>
      <c r="AJ2730" s="156"/>
      <c r="AK2730" s="156"/>
      <c r="AL2730" s="156"/>
      <c r="AM2730" s="156"/>
      <c r="AN2730" s="156"/>
      <c r="AO2730" s="156"/>
      <c r="AP2730" s="156"/>
      <c r="AQ2730" s="156"/>
      <c r="AR2730" s="156"/>
      <c r="AS2730" s="156"/>
      <c r="AT2730" s="156"/>
      <c r="AU2730" s="156"/>
      <c r="AV2730" s="156"/>
      <c r="AW2730" s="156"/>
      <c r="AX2730" s="156"/>
      <c r="AY2730" s="156"/>
      <c r="AZ2730" s="156"/>
      <c r="BA2730" s="156"/>
      <c r="BB2730" s="2828"/>
      <c r="BC2730" s="452"/>
      <c r="BD2730" s="2829"/>
      <c r="BE2730" s="2837"/>
      <c r="BF2730" s="156"/>
    </row>
    <row r="2731" spans="1:58" ht="15" customHeight="1" outlineLevel="1" x14ac:dyDescent="0.35">
      <c r="A2731" s="1664"/>
      <c r="B2731" s="2812"/>
      <c r="C2731" s="3077"/>
      <c r="D2731" s="3980"/>
      <c r="E2731" s="3883"/>
      <c r="F2731" s="3984" t="str">
        <f>$E$1572</f>
        <v>ASHP-SEER15_ER2_MF</v>
      </c>
      <c r="G2731" s="3984"/>
      <c r="H2731" s="3984"/>
      <c r="I2731" s="3984"/>
      <c r="J2731" s="3501" t="str">
        <f>$C$1572</f>
        <v>352700_2021_12_</v>
      </c>
      <c r="K2731" s="3047">
        <v>39600</v>
      </c>
      <c r="L2731" s="2823">
        <f t="shared" si="365"/>
        <v>3.3</v>
      </c>
      <c r="M2731" s="2819" t="s">
        <v>4360</v>
      </c>
      <c r="N2731" s="106"/>
      <c r="O2731" s="106"/>
      <c r="P2731" s="702"/>
      <c r="Q2731" s="702"/>
      <c r="R2731" s="702"/>
      <c r="S2731" s="106"/>
      <c r="T2731" s="486"/>
      <c r="U2731" s="106"/>
      <c r="V2731" s="3980"/>
      <c r="W2731" s="3421">
        <v>37200</v>
      </c>
      <c r="X2731" s="3421">
        <v>37200</v>
      </c>
      <c r="Y2731" s="3421">
        <v>37200</v>
      </c>
      <c r="Z2731" s="3421">
        <v>37200</v>
      </c>
      <c r="AA2731" s="3421">
        <v>37200</v>
      </c>
      <c r="AB2731" s="2374">
        <v>34500</v>
      </c>
      <c r="AC2731" s="2292">
        <f>AC2730</f>
        <v>35000</v>
      </c>
      <c r="AD2731" s="2296">
        <v>39600</v>
      </c>
      <c r="AE2731" s="3429"/>
      <c r="AF2731" s="3421"/>
      <c r="AG2731" s="3421"/>
      <c r="AH2731" s="156"/>
      <c r="AI2731" s="156"/>
      <c r="AJ2731" s="156"/>
      <c r="AK2731" s="156"/>
      <c r="AL2731" s="156"/>
      <c r="AM2731" s="156"/>
      <c r="AN2731" s="156"/>
      <c r="AO2731" s="156"/>
      <c r="AP2731" s="156"/>
      <c r="AQ2731" s="156"/>
      <c r="AR2731" s="156"/>
      <c r="AS2731" s="156"/>
      <c r="AT2731" s="156"/>
      <c r="AU2731" s="156"/>
      <c r="AV2731" s="156"/>
      <c r="AW2731" s="156"/>
      <c r="AX2731" s="156"/>
      <c r="AY2731" s="156"/>
      <c r="AZ2731" s="156"/>
      <c r="BA2731" s="156"/>
      <c r="BB2731" s="2828"/>
      <c r="BC2731" s="452"/>
      <c r="BD2731" s="2829"/>
      <c r="BE2731" s="2837"/>
      <c r="BF2731" s="156"/>
    </row>
    <row r="2732" spans="1:58" ht="15" customHeight="1" outlineLevel="1" x14ac:dyDescent="0.35">
      <c r="A2732" s="1664"/>
      <c r="B2732" s="2812"/>
      <c r="C2732" s="3077"/>
      <c r="D2732" s="3980"/>
      <c r="E2732" s="3883"/>
      <c r="F2732" s="3984" t="str">
        <f>$E$1574</f>
        <v>ASHP-SEER15_ER1_MF_CompE</v>
      </c>
      <c r="G2732" s="3984"/>
      <c r="H2732" s="3984"/>
      <c r="I2732" s="3984"/>
      <c r="J2732" s="3501" t="str">
        <f>$C$1574</f>
        <v>352701_2021_12_</v>
      </c>
      <c r="K2732" s="3047">
        <v>39600</v>
      </c>
      <c r="L2732" s="2823">
        <f t="shared" si="365"/>
        <v>3.3</v>
      </c>
      <c r="M2732" s="3040" t="s">
        <v>1083</v>
      </c>
      <c r="N2732" s="106"/>
      <c r="O2732" s="106"/>
      <c r="P2732" s="702"/>
      <c r="Q2732" s="702"/>
      <c r="R2732" s="702"/>
      <c r="S2732" s="106"/>
      <c r="T2732" s="486"/>
      <c r="U2732" s="106"/>
      <c r="V2732" s="3980"/>
      <c r="W2732" s="3421"/>
      <c r="X2732" s="3421"/>
      <c r="Y2732" s="2374">
        <v>37200</v>
      </c>
      <c r="Z2732" s="3421">
        <v>37200</v>
      </c>
      <c r="AA2732" s="3421">
        <v>37200</v>
      </c>
      <c r="AB2732" s="2374">
        <v>37200</v>
      </c>
      <c r="AC2732" s="2292">
        <f>AC2730</f>
        <v>35000</v>
      </c>
      <c r="AD2732" s="2296">
        <v>39600</v>
      </c>
      <c r="AE2732" s="3429"/>
      <c r="AF2732" s="3421"/>
      <c r="AG2732" s="3421"/>
      <c r="AH2732" s="156"/>
      <c r="AI2732" s="156"/>
      <c r="AJ2732" s="156"/>
      <c r="AK2732" s="156"/>
      <c r="AL2732" s="156"/>
      <c r="AM2732" s="156"/>
      <c r="AN2732" s="156"/>
      <c r="AO2732" s="156"/>
      <c r="AP2732" s="156"/>
      <c r="AQ2732" s="156"/>
      <c r="AR2732" s="156"/>
      <c r="AS2732" s="156"/>
      <c r="AT2732" s="156"/>
      <c r="AU2732" s="156"/>
      <c r="AV2732" s="156"/>
      <c r="AW2732" s="156"/>
      <c r="AX2732" s="156"/>
      <c r="AY2732" s="156"/>
      <c r="AZ2732" s="156"/>
      <c r="BA2732" s="156"/>
      <c r="BB2732" s="2828"/>
      <c r="BC2732" s="452"/>
      <c r="BD2732" s="2829"/>
      <c r="BE2732" s="2837"/>
      <c r="BF2732" s="156"/>
    </row>
    <row r="2733" spans="1:58" ht="15" customHeight="1" outlineLevel="1" x14ac:dyDescent="0.35">
      <c r="A2733" s="1664"/>
      <c r="B2733" s="2812"/>
      <c r="C2733" s="3077"/>
      <c r="D2733" s="3980"/>
      <c r="E2733" s="3883"/>
      <c r="F2733" s="3984" t="str">
        <f>$E$1576</f>
        <v>ASHP-SEER15_ER2_MF_CompE</v>
      </c>
      <c r="G2733" s="3984"/>
      <c r="H2733" s="3984"/>
      <c r="I2733" s="3984"/>
      <c r="J2733" s="3501" t="str">
        <f>$C$1576</f>
        <v>352701_2021_12_</v>
      </c>
      <c r="K2733" s="3047">
        <v>39600</v>
      </c>
      <c r="L2733" s="2823">
        <f t="shared" si="365"/>
        <v>3.3</v>
      </c>
      <c r="M2733" s="3040" t="s">
        <v>1083</v>
      </c>
      <c r="N2733" s="106"/>
      <c r="O2733" s="106"/>
      <c r="P2733" s="702"/>
      <c r="Q2733" s="702"/>
      <c r="R2733" s="702"/>
      <c r="S2733" s="106"/>
      <c r="T2733" s="486"/>
      <c r="U2733" s="106"/>
      <c r="V2733" s="3980"/>
      <c r="W2733" s="3421"/>
      <c r="X2733" s="3421"/>
      <c r="Y2733" s="2374">
        <v>37200</v>
      </c>
      <c r="Z2733" s="3421">
        <v>37200</v>
      </c>
      <c r="AA2733" s="3421">
        <v>37200</v>
      </c>
      <c r="AB2733" s="2374">
        <v>37200</v>
      </c>
      <c r="AC2733" s="2292">
        <f>AC2731</f>
        <v>35000</v>
      </c>
      <c r="AD2733" s="2296">
        <v>39600</v>
      </c>
      <c r="AE2733" s="3429"/>
      <c r="AF2733" s="3421"/>
      <c r="AG2733" s="3421"/>
      <c r="AH2733" s="156"/>
      <c r="AI2733" s="156"/>
      <c r="AJ2733" s="156"/>
      <c r="AK2733" s="156"/>
      <c r="AL2733" s="156"/>
      <c r="AM2733" s="156"/>
      <c r="AN2733" s="156"/>
      <c r="AO2733" s="156"/>
      <c r="AP2733" s="156"/>
      <c r="AQ2733" s="156"/>
      <c r="AR2733" s="156"/>
      <c r="AS2733" s="156"/>
      <c r="AT2733" s="156"/>
      <c r="AU2733" s="156"/>
      <c r="AV2733" s="156"/>
      <c r="AW2733" s="156"/>
      <c r="AX2733" s="156"/>
      <c r="AY2733" s="156"/>
      <c r="AZ2733" s="156"/>
      <c r="BA2733" s="156"/>
      <c r="BB2733" s="2828"/>
      <c r="BC2733" s="452"/>
      <c r="BD2733" s="2829"/>
      <c r="BE2733" s="2837"/>
      <c r="BF2733" s="156"/>
    </row>
    <row r="2734" spans="1:58" ht="15" customHeight="1" outlineLevel="1" x14ac:dyDescent="0.35">
      <c r="A2734" s="1664"/>
      <c r="B2734" s="2812"/>
      <c r="C2734" s="3077"/>
      <c r="D2734" s="3980"/>
      <c r="E2734" s="3883"/>
      <c r="F2734" s="3984" t="str">
        <f>$E$1578</f>
        <v>ASHP-SEER15-Replace_CAC_ElectricHeat_ER1_MF</v>
      </c>
      <c r="G2734" s="3984"/>
      <c r="H2734" s="3984"/>
      <c r="I2734" s="3984"/>
      <c r="J2734" s="3501" t="str">
        <f>$C$1578</f>
        <v>352750_2021_12_</v>
      </c>
      <c r="K2734" s="3047">
        <v>39600</v>
      </c>
      <c r="L2734" s="2823">
        <f t="shared" si="365"/>
        <v>3.3</v>
      </c>
      <c r="M2734" s="2819" t="s">
        <v>4360</v>
      </c>
      <c r="N2734" s="106"/>
      <c r="O2734" s="106"/>
      <c r="P2734" s="702"/>
      <c r="Q2734" s="702"/>
      <c r="R2734" s="702"/>
      <c r="S2734" s="106"/>
      <c r="T2734" s="486"/>
      <c r="U2734" s="106"/>
      <c r="V2734" s="3980"/>
      <c r="W2734" s="3421">
        <v>33600</v>
      </c>
      <c r="X2734" s="3421">
        <v>33600</v>
      </c>
      <c r="Y2734" s="3421">
        <v>33600</v>
      </c>
      <c r="Z2734" s="3421">
        <v>33600</v>
      </c>
      <c r="AA2734" s="3421">
        <v>33600</v>
      </c>
      <c r="AB2734" s="2374">
        <v>33000</v>
      </c>
      <c r="AC2734" s="2292">
        <v>30000</v>
      </c>
      <c r="AD2734" s="2296">
        <v>39600</v>
      </c>
      <c r="AE2734" s="3429"/>
      <c r="AF2734" s="3421"/>
      <c r="AG2734" s="3421"/>
      <c r="AH2734" s="156"/>
      <c r="AI2734" s="156"/>
      <c r="AJ2734" s="156"/>
      <c r="AK2734" s="156"/>
      <c r="AL2734" s="156"/>
      <c r="AM2734" s="156"/>
      <c r="AN2734" s="156"/>
      <c r="AO2734" s="156"/>
      <c r="AP2734" s="156"/>
      <c r="AQ2734" s="156"/>
      <c r="AR2734" s="156"/>
      <c r="AS2734" s="156"/>
      <c r="AT2734" s="156"/>
      <c r="AU2734" s="156"/>
      <c r="AV2734" s="156"/>
      <c r="AW2734" s="156"/>
      <c r="AX2734" s="156"/>
      <c r="AY2734" s="156"/>
      <c r="AZ2734" s="156"/>
      <c r="BA2734" s="156"/>
      <c r="BB2734" s="2828"/>
      <c r="BC2734" s="452"/>
      <c r="BD2734" s="2829"/>
      <c r="BE2734" s="2837"/>
      <c r="BF2734" s="156"/>
    </row>
    <row r="2735" spans="1:58" ht="15" customHeight="1" outlineLevel="1" x14ac:dyDescent="0.35">
      <c r="A2735" s="1664"/>
      <c r="B2735" s="2812"/>
      <c r="C2735" s="3077"/>
      <c r="D2735" s="3980"/>
      <c r="E2735" s="3883"/>
      <c r="F2735" s="3984" t="str">
        <f>$E$1580</f>
        <v>ASHP-SEER15-Replace_CAC_ElectricHeat_ER2_MF</v>
      </c>
      <c r="G2735" s="3984"/>
      <c r="H2735" s="3984"/>
      <c r="I2735" s="3984"/>
      <c r="J2735" s="3501" t="str">
        <f>$C$1580</f>
        <v>352750_2021_12_</v>
      </c>
      <c r="K2735" s="3047">
        <v>39600</v>
      </c>
      <c r="L2735" s="2823">
        <f t="shared" si="365"/>
        <v>3.3</v>
      </c>
      <c r="M2735" s="2819" t="s">
        <v>4360</v>
      </c>
      <c r="N2735" s="106"/>
      <c r="O2735" s="106"/>
      <c r="P2735" s="702"/>
      <c r="Q2735" s="702"/>
      <c r="R2735" s="702"/>
      <c r="S2735" s="106"/>
      <c r="T2735" s="486"/>
      <c r="U2735" s="106"/>
      <c r="V2735" s="3980"/>
      <c r="W2735" s="3421">
        <v>33600</v>
      </c>
      <c r="X2735" s="3421">
        <v>33600</v>
      </c>
      <c r="Y2735" s="3421">
        <v>33600</v>
      </c>
      <c r="Z2735" s="3421">
        <v>33600</v>
      </c>
      <c r="AA2735" s="3421">
        <v>33600</v>
      </c>
      <c r="AB2735" s="2374">
        <v>33000</v>
      </c>
      <c r="AC2735" s="2292">
        <f>AC2734</f>
        <v>30000</v>
      </c>
      <c r="AD2735" s="2296">
        <v>39600</v>
      </c>
      <c r="AE2735" s="3429"/>
      <c r="AF2735" s="3421"/>
      <c r="AG2735" s="3421"/>
      <c r="AH2735" s="156"/>
      <c r="AI2735" s="156"/>
      <c r="AJ2735" s="156"/>
      <c r="AK2735" s="156"/>
      <c r="AL2735" s="156"/>
      <c r="AM2735" s="156"/>
      <c r="AN2735" s="156"/>
      <c r="AO2735" s="156"/>
      <c r="AP2735" s="156"/>
      <c r="AQ2735" s="156"/>
      <c r="AR2735" s="156"/>
      <c r="AS2735" s="156"/>
      <c r="AT2735" s="156"/>
      <c r="AU2735" s="156"/>
      <c r="AV2735" s="156"/>
      <c r="AW2735" s="156"/>
      <c r="AX2735" s="156"/>
      <c r="AY2735" s="156"/>
      <c r="AZ2735" s="156"/>
      <c r="BA2735" s="156"/>
      <c r="BB2735" s="2828"/>
      <c r="BC2735" s="452"/>
      <c r="BD2735" s="2829"/>
      <c r="BE2735" s="2837"/>
      <c r="BF2735" s="156"/>
    </row>
    <row r="2736" spans="1:58" ht="15" customHeight="1" outlineLevel="1" x14ac:dyDescent="0.35">
      <c r="A2736" s="1664"/>
      <c r="B2736" s="2812"/>
      <c r="C2736" s="3077"/>
      <c r="D2736" s="3980"/>
      <c r="E2736" s="3883"/>
      <c r="F2736" s="3984" t="str">
        <f>$E$1582</f>
        <v>ASHP-SEER15-Replace_CAC_ElectricHeat_ER1_MF_CompE</v>
      </c>
      <c r="G2736" s="3984"/>
      <c r="H2736" s="3984"/>
      <c r="I2736" s="3984"/>
      <c r="J2736" s="3501" t="str">
        <f>$C$1582</f>
        <v>352751_2021_12_</v>
      </c>
      <c r="K2736" s="3047">
        <v>39600</v>
      </c>
      <c r="L2736" s="2823">
        <f t="shared" si="365"/>
        <v>3.3</v>
      </c>
      <c r="M2736" s="3040" t="s">
        <v>1083</v>
      </c>
      <c r="N2736" s="106"/>
      <c r="O2736" s="106"/>
      <c r="P2736" s="702"/>
      <c r="Q2736" s="702"/>
      <c r="R2736" s="702"/>
      <c r="S2736" s="106"/>
      <c r="T2736" s="486"/>
      <c r="U2736" s="106"/>
      <c r="V2736" s="3980"/>
      <c r="W2736" s="3421"/>
      <c r="X2736" s="3421"/>
      <c r="Y2736" s="2374">
        <v>33600</v>
      </c>
      <c r="Z2736" s="3421">
        <v>33600</v>
      </c>
      <c r="AA2736" s="3421">
        <v>33600</v>
      </c>
      <c r="AB2736" s="2374">
        <v>33000</v>
      </c>
      <c r="AC2736" s="2292">
        <f>AC2734</f>
        <v>30000</v>
      </c>
      <c r="AD2736" s="2296">
        <v>39600</v>
      </c>
      <c r="AE2736" s="3429"/>
      <c r="AF2736" s="3421"/>
      <c r="AG2736" s="3421"/>
      <c r="AH2736" s="156"/>
      <c r="AI2736" s="156"/>
      <c r="AJ2736" s="156"/>
      <c r="AK2736" s="156"/>
      <c r="AL2736" s="156"/>
      <c r="AM2736" s="156"/>
      <c r="AN2736" s="156"/>
      <c r="AO2736" s="156"/>
      <c r="AP2736" s="156"/>
      <c r="AQ2736" s="156"/>
      <c r="AR2736" s="156"/>
      <c r="AS2736" s="156"/>
      <c r="AT2736" s="156"/>
      <c r="AU2736" s="156"/>
      <c r="AV2736" s="156"/>
      <c r="AW2736" s="156"/>
      <c r="AX2736" s="156"/>
      <c r="AY2736" s="156"/>
      <c r="AZ2736" s="156"/>
      <c r="BA2736" s="156"/>
      <c r="BB2736" s="2828"/>
      <c r="BC2736" s="452"/>
      <c r="BD2736" s="2829"/>
      <c r="BE2736" s="2837"/>
      <c r="BF2736" s="156"/>
    </row>
    <row r="2737" spans="1:58" ht="15" customHeight="1" outlineLevel="1" x14ac:dyDescent="0.35">
      <c r="A2737" s="1664"/>
      <c r="B2737" s="2812"/>
      <c r="C2737" s="3077"/>
      <c r="D2737" s="3980"/>
      <c r="E2737" s="3883"/>
      <c r="F2737" s="3984" t="str">
        <f>$E$1584</f>
        <v>ASHP-SEER15-Replace_CAC_ElectricHeat_ER2_MF_CompE</v>
      </c>
      <c r="G2737" s="3984"/>
      <c r="H2737" s="3984"/>
      <c r="I2737" s="3984"/>
      <c r="J2737" s="3501" t="str">
        <f>$C$1584</f>
        <v>352751_2021_12_</v>
      </c>
      <c r="K2737" s="3047">
        <v>39600</v>
      </c>
      <c r="L2737" s="2823">
        <f t="shared" si="365"/>
        <v>3.3</v>
      </c>
      <c r="M2737" s="3040" t="s">
        <v>1083</v>
      </c>
      <c r="N2737" s="106"/>
      <c r="O2737" s="106"/>
      <c r="P2737" s="702"/>
      <c r="Q2737" s="702"/>
      <c r="R2737" s="702"/>
      <c r="S2737" s="106"/>
      <c r="T2737" s="486"/>
      <c r="U2737" s="106"/>
      <c r="V2737" s="3980"/>
      <c r="W2737" s="3421"/>
      <c r="X2737" s="3421"/>
      <c r="Y2737" s="2374">
        <v>33600</v>
      </c>
      <c r="Z2737" s="3421">
        <v>33600</v>
      </c>
      <c r="AA2737" s="3421">
        <v>33600</v>
      </c>
      <c r="AB2737" s="2374">
        <v>33000</v>
      </c>
      <c r="AC2737" s="2292">
        <f>AC2735</f>
        <v>30000</v>
      </c>
      <c r="AD2737" s="2296">
        <v>39600</v>
      </c>
      <c r="AE2737" s="3429"/>
      <c r="AF2737" s="3421"/>
      <c r="AG2737" s="3421"/>
      <c r="AH2737" s="156"/>
      <c r="AI2737" s="156"/>
      <c r="AJ2737" s="156"/>
      <c r="AK2737" s="156"/>
      <c r="AL2737" s="156"/>
      <c r="AM2737" s="156"/>
      <c r="AN2737" s="156"/>
      <c r="AO2737" s="156"/>
      <c r="AP2737" s="156"/>
      <c r="AQ2737" s="156"/>
      <c r="AR2737" s="156"/>
      <c r="AS2737" s="156"/>
      <c r="AT2737" s="156"/>
      <c r="AU2737" s="156"/>
      <c r="AV2737" s="156"/>
      <c r="AW2737" s="156"/>
      <c r="AX2737" s="156"/>
      <c r="AY2737" s="156"/>
      <c r="AZ2737" s="156"/>
      <c r="BA2737" s="156"/>
      <c r="BB2737" s="2828"/>
      <c r="BC2737" s="452"/>
      <c r="BD2737" s="2829"/>
      <c r="BE2737" s="2837"/>
      <c r="BF2737" s="156"/>
    </row>
    <row r="2738" spans="1:58" ht="15" customHeight="1" outlineLevel="1" x14ac:dyDescent="0.35">
      <c r="A2738" s="1664"/>
      <c r="B2738" s="2812"/>
      <c r="C2738" s="3077"/>
      <c r="D2738" s="3980"/>
      <c r="E2738" s="3883"/>
      <c r="F2738" s="3984" t="str">
        <f>$E$1586</f>
        <v>ASHP-SEER15-Replace_CAC_NonElectricHeat_ER1_MF</v>
      </c>
      <c r="G2738" s="3984"/>
      <c r="H2738" s="3984"/>
      <c r="I2738" s="3984"/>
      <c r="J2738" s="3501" t="str">
        <f>$C$1586</f>
        <v>352760_2021_12_</v>
      </c>
      <c r="K2738" s="3047">
        <v>39600</v>
      </c>
      <c r="L2738" s="2823">
        <f t="shared" si="365"/>
        <v>3.3</v>
      </c>
      <c r="M2738" s="3025" t="s">
        <v>1083</v>
      </c>
      <c r="N2738" s="106"/>
      <c r="O2738" s="106"/>
      <c r="P2738" s="702"/>
      <c r="Q2738" s="702"/>
      <c r="R2738" s="702"/>
      <c r="S2738" s="106"/>
      <c r="T2738" s="486"/>
      <c r="U2738" s="106"/>
      <c r="V2738" s="3980"/>
      <c r="W2738" s="3421"/>
      <c r="X2738" s="3421"/>
      <c r="Y2738" s="2374"/>
      <c r="Z2738" s="3421"/>
      <c r="AA2738" s="3421"/>
      <c r="AB2738" s="2374"/>
      <c r="AC2738" s="2292">
        <v>30000</v>
      </c>
      <c r="AD2738" s="2296">
        <v>39600</v>
      </c>
      <c r="AE2738" s="3429"/>
      <c r="AF2738" s="3421"/>
      <c r="AG2738" s="3421"/>
      <c r="AH2738" s="156"/>
      <c r="AI2738" s="156"/>
      <c r="AJ2738" s="156"/>
      <c r="AK2738" s="156"/>
      <c r="AL2738" s="156"/>
      <c r="AM2738" s="156"/>
      <c r="AN2738" s="156"/>
      <c r="AO2738" s="156"/>
      <c r="AP2738" s="156"/>
      <c r="AQ2738" s="156"/>
      <c r="AR2738" s="156"/>
      <c r="AS2738" s="156"/>
      <c r="AT2738" s="156"/>
      <c r="AU2738" s="156"/>
      <c r="AV2738" s="156"/>
      <c r="AW2738" s="156"/>
      <c r="AX2738" s="156"/>
      <c r="AY2738" s="156"/>
      <c r="AZ2738" s="156"/>
      <c r="BA2738" s="156"/>
      <c r="BB2738" s="2828"/>
      <c r="BC2738" s="452"/>
      <c r="BD2738" s="2829"/>
      <c r="BE2738" s="2837"/>
      <c r="BF2738" s="156"/>
    </row>
    <row r="2739" spans="1:58" ht="15" customHeight="1" outlineLevel="1" x14ac:dyDescent="0.35">
      <c r="A2739" s="1664"/>
      <c r="B2739" s="2812"/>
      <c r="C2739" s="3077"/>
      <c r="D2739" s="3980"/>
      <c r="E2739" s="3883"/>
      <c r="F2739" s="3984" t="str">
        <f>$E$1588</f>
        <v>ASHP-SEER15-Replace_CAC_NonElectricHeat_ER2_MF</v>
      </c>
      <c r="G2739" s="3984"/>
      <c r="H2739" s="3984"/>
      <c r="I2739" s="3984"/>
      <c r="J2739" s="3501" t="str">
        <f>$C$1588</f>
        <v>352760_2021_12_</v>
      </c>
      <c r="K2739" s="3047">
        <v>39600</v>
      </c>
      <c r="L2739" s="2823">
        <f t="shared" si="365"/>
        <v>3.3</v>
      </c>
      <c r="M2739" s="3025" t="s">
        <v>1083</v>
      </c>
      <c r="N2739" s="106"/>
      <c r="O2739" s="106"/>
      <c r="P2739" s="702"/>
      <c r="Q2739" s="702"/>
      <c r="R2739" s="702"/>
      <c r="S2739" s="106"/>
      <c r="T2739" s="486"/>
      <c r="U2739" s="106"/>
      <c r="V2739" s="3980"/>
      <c r="W2739" s="3421"/>
      <c r="X2739" s="3421"/>
      <c r="Y2739" s="2374"/>
      <c r="Z2739" s="3421"/>
      <c r="AA2739" s="3421"/>
      <c r="AB2739" s="2374"/>
      <c r="AC2739" s="2292">
        <f>AC2738</f>
        <v>30000</v>
      </c>
      <c r="AD2739" s="2296">
        <v>39600</v>
      </c>
      <c r="AE2739" s="3429"/>
      <c r="AF2739" s="3421"/>
      <c r="AG2739" s="3421"/>
      <c r="AH2739" s="156"/>
      <c r="AI2739" s="156"/>
      <c r="AJ2739" s="156"/>
      <c r="AK2739" s="156"/>
      <c r="AL2739" s="156"/>
      <c r="AM2739" s="156"/>
      <c r="AN2739" s="156"/>
      <c r="AO2739" s="156"/>
      <c r="AP2739" s="156"/>
      <c r="AQ2739" s="156"/>
      <c r="AR2739" s="156"/>
      <c r="AS2739" s="156"/>
      <c r="AT2739" s="156"/>
      <c r="AU2739" s="156"/>
      <c r="AV2739" s="156"/>
      <c r="AW2739" s="156"/>
      <c r="AX2739" s="156"/>
      <c r="AY2739" s="156"/>
      <c r="AZ2739" s="156"/>
      <c r="BA2739" s="156"/>
      <c r="BB2739" s="2828"/>
      <c r="BC2739" s="452"/>
      <c r="BD2739" s="2829"/>
      <c r="BE2739" s="2837"/>
      <c r="BF2739" s="156"/>
    </row>
    <row r="2740" spans="1:58" ht="15" customHeight="1" outlineLevel="1" x14ac:dyDescent="0.35">
      <c r="A2740" s="1664"/>
      <c r="B2740" s="2812"/>
      <c r="C2740" s="3077"/>
      <c r="D2740" s="3980"/>
      <c r="E2740" s="3883"/>
      <c r="F2740" s="3984" t="str">
        <f>$E$1590</f>
        <v>ASHP-SEER15-Replace_CAC_NonElectricHeat_ER1_MF_CompE</v>
      </c>
      <c r="G2740" s="3984"/>
      <c r="H2740" s="3984"/>
      <c r="I2740" s="3984"/>
      <c r="J2740" s="3501" t="str">
        <f>$C$1590</f>
        <v>352761_2021_12_</v>
      </c>
      <c r="K2740" s="3047">
        <v>39600</v>
      </c>
      <c r="L2740" s="2823">
        <f t="shared" si="365"/>
        <v>3.3</v>
      </c>
      <c r="M2740" s="3025" t="s">
        <v>1083</v>
      </c>
      <c r="N2740" s="106"/>
      <c r="O2740" s="106"/>
      <c r="P2740" s="702"/>
      <c r="Q2740" s="702"/>
      <c r="R2740" s="702"/>
      <c r="S2740" s="106"/>
      <c r="T2740" s="486"/>
      <c r="U2740" s="106"/>
      <c r="V2740" s="3980"/>
      <c r="W2740" s="3421"/>
      <c r="X2740" s="3421"/>
      <c r="Y2740" s="2374"/>
      <c r="Z2740" s="3421"/>
      <c r="AA2740" s="3421"/>
      <c r="AB2740" s="2374"/>
      <c r="AC2740" s="2292">
        <f>AC2738</f>
        <v>30000</v>
      </c>
      <c r="AD2740" s="2296">
        <v>39600</v>
      </c>
      <c r="AE2740" s="3429"/>
      <c r="AF2740" s="3421"/>
      <c r="AG2740" s="3421"/>
      <c r="AH2740" s="156"/>
      <c r="AI2740" s="156"/>
      <c r="AJ2740" s="156"/>
      <c r="AK2740" s="156"/>
      <c r="AL2740" s="156"/>
      <c r="AM2740" s="156"/>
      <c r="AN2740" s="156"/>
      <c r="AO2740" s="156"/>
      <c r="AP2740" s="156"/>
      <c r="AQ2740" s="156"/>
      <c r="AR2740" s="156"/>
      <c r="AS2740" s="156"/>
      <c r="AT2740" s="156"/>
      <c r="AU2740" s="156"/>
      <c r="AV2740" s="156"/>
      <c r="AW2740" s="156"/>
      <c r="AX2740" s="156"/>
      <c r="AY2740" s="156"/>
      <c r="AZ2740" s="156"/>
      <c r="BA2740" s="156"/>
      <c r="BB2740" s="2828"/>
      <c r="BC2740" s="452"/>
      <c r="BD2740" s="2829"/>
      <c r="BE2740" s="2837"/>
      <c r="BF2740" s="156"/>
    </row>
    <row r="2741" spans="1:58" ht="15" customHeight="1" outlineLevel="1" x14ac:dyDescent="0.35">
      <c r="A2741" s="1664"/>
      <c r="B2741" s="2812"/>
      <c r="C2741" s="3077"/>
      <c r="D2741" s="3980"/>
      <c r="E2741" s="3883"/>
      <c r="F2741" s="3984" t="str">
        <f>$E$1592</f>
        <v>ASHP-SEER15-Replace_CAC_NonElectricHeat_ER2_MF_CompE</v>
      </c>
      <c r="G2741" s="3984"/>
      <c r="H2741" s="3984"/>
      <c r="I2741" s="3984"/>
      <c r="J2741" s="3501" t="str">
        <f>$C$1592</f>
        <v>352761_2021_12_</v>
      </c>
      <c r="K2741" s="3047">
        <v>39600</v>
      </c>
      <c r="L2741" s="2823">
        <f t="shared" si="365"/>
        <v>3.3</v>
      </c>
      <c r="M2741" s="3025" t="s">
        <v>1083</v>
      </c>
      <c r="N2741" s="106"/>
      <c r="O2741" s="106"/>
      <c r="P2741" s="702"/>
      <c r="Q2741" s="702"/>
      <c r="R2741" s="702"/>
      <c r="S2741" s="106"/>
      <c r="T2741" s="486"/>
      <c r="U2741" s="106"/>
      <c r="V2741" s="3980"/>
      <c r="W2741" s="3421"/>
      <c r="X2741" s="3421"/>
      <c r="Y2741" s="2374"/>
      <c r="Z2741" s="3421"/>
      <c r="AA2741" s="3421"/>
      <c r="AB2741" s="2374"/>
      <c r="AC2741" s="2292">
        <f>AC2739</f>
        <v>30000</v>
      </c>
      <c r="AD2741" s="2296">
        <v>39600</v>
      </c>
      <c r="AE2741" s="3429"/>
      <c r="AF2741" s="3421"/>
      <c r="AG2741" s="3421"/>
      <c r="AH2741" s="156"/>
      <c r="AI2741" s="156"/>
      <c r="AJ2741" s="156"/>
      <c r="AK2741" s="156"/>
      <c r="AL2741" s="156"/>
      <c r="AM2741" s="156"/>
      <c r="AN2741" s="156"/>
      <c r="AO2741" s="156"/>
      <c r="AP2741" s="156"/>
      <c r="AQ2741" s="156"/>
      <c r="AR2741" s="156"/>
      <c r="AS2741" s="156"/>
      <c r="AT2741" s="156"/>
      <c r="AU2741" s="156"/>
      <c r="AV2741" s="156"/>
      <c r="AW2741" s="156"/>
      <c r="AX2741" s="156"/>
      <c r="AY2741" s="156"/>
      <c r="AZ2741" s="156"/>
      <c r="BA2741" s="156"/>
      <c r="BB2741" s="2828"/>
      <c r="BC2741" s="452"/>
      <c r="BD2741" s="2829"/>
      <c r="BE2741" s="2837"/>
      <c r="BF2741" s="156"/>
    </row>
    <row r="2742" spans="1:58" ht="15" customHeight="1" outlineLevel="1" x14ac:dyDescent="0.35">
      <c r="A2742" s="1664"/>
      <c r="B2742" s="2812"/>
      <c r="C2742" s="3077"/>
      <c r="D2742" s="3980"/>
      <c r="E2742" s="3883"/>
      <c r="F2742" s="3984" t="str">
        <f>$E$1594</f>
        <v>ASHP-SEER15-Replace_CAC_ElectricHeat_ROF_MF</v>
      </c>
      <c r="G2742" s="3984"/>
      <c r="H2742" s="3984"/>
      <c r="I2742" s="3984"/>
      <c r="J2742" s="3501" t="str">
        <f>$C$1594</f>
        <v>352800_2019_12_</v>
      </c>
      <c r="K2742" s="3047">
        <v>30000</v>
      </c>
      <c r="L2742" s="2823">
        <f t="shared" si="365"/>
        <v>2.5</v>
      </c>
      <c r="M2742" s="2819" t="s">
        <v>4360</v>
      </c>
      <c r="N2742" s="106"/>
      <c r="O2742" s="106"/>
      <c r="P2742" s="702"/>
      <c r="Q2742" s="702"/>
      <c r="R2742" s="702"/>
      <c r="S2742" s="106"/>
      <c r="T2742" s="486"/>
      <c r="U2742" s="106"/>
      <c r="V2742" s="3980"/>
      <c r="W2742" s="3421">
        <v>31200</v>
      </c>
      <c r="X2742" s="3421">
        <v>31200</v>
      </c>
      <c r="Y2742" s="3421">
        <v>31200</v>
      </c>
      <c r="Z2742" s="3421">
        <v>31200</v>
      </c>
      <c r="AA2742" s="3421">
        <v>31200</v>
      </c>
      <c r="AB2742" s="3421">
        <v>31200</v>
      </c>
      <c r="AC2742" s="3557">
        <v>31200</v>
      </c>
      <c r="AD2742" s="2296">
        <v>30000</v>
      </c>
      <c r="AE2742" s="3429"/>
      <c r="AF2742" s="3421"/>
      <c r="AG2742" s="3421"/>
      <c r="AH2742" s="156"/>
      <c r="AI2742" s="156"/>
      <c r="AJ2742" s="156"/>
      <c r="AK2742" s="156"/>
      <c r="AL2742" s="156"/>
      <c r="AM2742" s="156"/>
      <c r="AN2742" s="156"/>
      <c r="AO2742" s="156"/>
      <c r="AP2742" s="156"/>
      <c r="AQ2742" s="156"/>
      <c r="AR2742" s="156"/>
      <c r="AS2742" s="156"/>
      <c r="AT2742" s="156"/>
      <c r="AU2742" s="156"/>
      <c r="AV2742" s="156"/>
      <c r="AW2742" s="156"/>
      <c r="AX2742" s="156"/>
      <c r="AY2742" s="156"/>
      <c r="AZ2742" s="156"/>
      <c r="BA2742" s="156"/>
      <c r="BB2742" s="2828"/>
      <c r="BC2742" s="452"/>
      <c r="BD2742" s="2829"/>
      <c r="BE2742" s="2837"/>
      <c r="BF2742" s="156"/>
    </row>
    <row r="2743" spans="1:58" ht="15" customHeight="1" outlineLevel="1" x14ac:dyDescent="0.35">
      <c r="A2743" s="1664"/>
      <c r="B2743" s="2812"/>
      <c r="C2743" s="3077"/>
      <c r="D2743" s="3980"/>
      <c r="E2743" s="3883"/>
      <c r="F2743" s="3984" t="str">
        <f>$E$1596</f>
        <v>ASHP-SEER15-Replace_CAC_ElectricHeat_ROF_MF_CompE</v>
      </c>
      <c r="G2743" s="3984"/>
      <c r="H2743" s="3984"/>
      <c r="I2743" s="3984"/>
      <c r="J2743" s="3501" t="str">
        <f>$C$1596</f>
        <v>352801_2021_12_</v>
      </c>
      <c r="K2743" s="3047">
        <v>30000</v>
      </c>
      <c r="L2743" s="2823">
        <f t="shared" si="365"/>
        <v>2.5</v>
      </c>
      <c r="M2743" s="2819" t="s">
        <v>4360</v>
      </c>
      <c r="N2743" s="106"/>
      <c r="O2743" s="106"/>
      <c r="P2743" s="702"/>
      <c r="Q2743" s="702"/>
      <c r="R2743" s="702"/>
      <c r="S2743" s="106"/>
      <c r="T2743" s="486"/>
      <c r="U2743" s="106"/>
      <c r="V2743" s="3980"/>
      <c r="W2743" s="3421"/>
      <c r="X2743" s="3421"/>
      <c r="Y2743" s="2374">
        <v>31200</v>
      </c>
      <c r="Z2743" s="3421">
        <v>31200</v>
      </c>
      <c r="AA2743" s="3421">
        <v>31200</v>
      </c>
      <c r="AB2743" s="3421">
        <v>31200</v>
      </c>
      <c r="AC2743" s="3557">
        <f>AC2742</f>
        <v>31200</v>
      </c>
      <c r="AD2743" s="2296">
        <v>30000</v>
      </c>
      <c r="AE2743" s="3429"/>
      <c r="AF2743" s="3421"/>
      <c r="AG2743" s="3421"/>
      <c r="AH2743" s="156"/>
      <c r="AI2743" s="156"/>
      <c r="AJ2743" s="156"/>
      <c r="AK2743" s="156"/>
      <c r="AL2743" s="156"/>
      <c r="AM2743" s="156"/>
      <c r="AN2743" s="156"/>
      <c r="AO2743" s="156"/>
      <c r="AP2743" s="156"/>
      <c r="AQ2743" s="156"/>
      <c r="AR2743" s="156"/>
      <c r="AS2743" s="156"/>
      <c r="AT2743" s="156"/>
      <c r="AU2743" s="156"/>
      <c r="AV2743" s="156"/>
      <c r="AW2743" s="156"/>
      <c r="AX2743" s="156"/>
      <c r="AY2743" s="156"/>
      <c r="AZ2743" s="156"/>
      <c r="BA2743" s="156"/>
      <c r="BB2743" s="2828"/>
      <c r="BC2743" s="452"/>
      <c r="BD2743" s="2829"/>
      <c r="BE2743" s="2837"/>
      <c r="BF2743" s="156"/>
    </row>
    <row r="2744" spans="1:58" ht="15" customHeight="1" outlineLevel="1" x14ac:dyDescent="0.35">
      <c r="A2744" s="1664"/>
      <c r="B2744" s="2812"/>
      <c r="C2744" s="3077"/>
      <c r="D2744" s="3980"/>
      <c r="E2744" s="3883"/>
      <c r="F2744" s="3984" t="str">
        <f>$E$1598</f>
        <v>ASHP-SEER15-Replace_CAC_NonElectricHeat_ROF_MF</v>
      </c>
      <c r="G2744" s="3984"/>
      <c r="H2744" s="3984"/>
      <c r="I2744" s="3984"/>
      <c r="J2744" s="3501" t="str">
        <f>$C$1598</f>
        <v>352810_2021_12_</v>
      </c>
      <c r="K2744" s="3047">
        <v>30000</v>
      </c>
      <c r="L2744" s="2823">
        <f t="shared" si="365"/>
        <v>2.5</v>
      </c>
      <c r="M2744" s="3025" t="s">
        <v>1083</v>
      </c>
      <c r="N2744" s="106"/>
      <c r="O2744" s="106"/>
      <c r="P2744" s="702"/>
      <c r="Q2744" s="702"/>
      <c r="R2744" s="702"/>
      <c r="S2744" s="106"/>
      <c r="T2744" s="486"/>
      <c r="U2744" s="106"/>
      <c r="V2744" s="3980"/>
      <c r="W2744" s="3421"/>
      <c r="X2744" s="3421"/>
      <c r="Y2744" s="2374"/>
      <c r="Z2744" s="3421"/>
      <c r="AA2744" s="3421"/>
      <c r="AB2744" s="3421"/>
      <c r="AC2744" s="2292">
        <v>31200</v>
      </c>
      <c r="AD2744" s="2296">
        <v>30000</v>
      </c>
      <c r="AE2744" s="3429"/>
      <c r="AF2744" s="3421"/>
      <c r="AG2744" s="3421"/>
      <c r="AH2744" s="156"/>
      <c r="AI2744" s="156"/>
      <c r="AJ2744" s="156"/>
      <c r="AK2744" s="156"/>
      <c r="AL2744" s="156"/>
      <c r="AM2744" s="156"/>
      <c r="AN2744" s="156"/>
      <c r="AO2744" s="156"/>
      <c r="AP2744" s="156"/>
      <c r="AQ2744" s="156"/>
      <c r="AR2744" s="156"/>
      <c r="AS2744" s="156"/>
      <c r="AT2744" s="156"/>
      <c r="AU2744" s="156"/>
      <c r="AV2744" s="156"/>
      <c r="AW2744" s="156"/>
      <c r="AX2744" s="156"/>
      <c r="AY2744" s="156"/>
      <c r="AZ2744" s="156"/>
      <c r="BA2744" s="156"/>
      <c r="BB2744" s="2828"/>
      <c r="BC2744" s="452"/>
      <c r="BD2744" s="2829"/>
      <c r="BE2744" s="2837"/>
      <c r="BF2744" s="156"/>
    </row>
    <row r="2745" spans="1:58" ht="15" customHeight="1" outlineLevel="1" x14ac:dyDescent="0.35">
      <c r="A2745" s="1664"/>
      <c r="B2745" s="2812"/>
      <c r="C2745" s="3077"/>
      <c r="D2745" s="3980"/>
      <c r="E2745" s="3883"/>
      <c r="F2745" s="3984" t="str">
        <f>$E$1600</f>
        <v>ASHP-SEER15-Replace_CAC_NonElectricHeat_ROF_MF_CompE</v>
      </c>
      <c r="G2745" s="3984"/>
      <c r="H2745" s="3984"/>
      <c r="I2745" s="3984"/>
      <c r="J2745" s="3501" t="str">
        <f>$C$1600</f>
        <v>352811_2021_12_</v>
      </c>
      <c r="K2745" s="3047">
        <v>30000</v>
      </c>
      <c r="L2745" s="2823">
        <f t="shared" si="365"/>
        <v>2.5</v>
      </c>
      <c r="M2745" s="3025" t="s">
        <v>1083</v>
      </c>
      <c r="N2745" s="106"/>
      <c r="O2745" s="106"/>
      <c r="P2745" s="702"/>
      <c r="Q2745" s="702"/>
      <c r="R2745" s="702"/>
      <c r="S2745" s="106"/>
      <c r="T2745" s="486"/>
      <c r="U2745" s="106"/>
      <c r="V2745" s="3980"/>
      <c r="W2745" s="3421"/>
      <c r="X2745" s="3421"/>
      <c r="Y2745" s="2374"/>
      <c r="Z2745" s="3421"/>
      <c r="AA2745" s="3421"/>
      <c r="AB2745" s="3421"/>
      <c r="AC2745" s="2292">
        <f>AC2744</f>
        <v>31200</v>
      </c>
      <c r="AD2745" s="2296">
        <v>30000</v>
      </c>
      <c r="AE2745" s="3429"/>
      <c r="AF2745" s="3421"/>
      <c r="AG2745" s="3421"/>
      <c r="AH2745" s="156"/>
      <c r="AI2745" s="156"/>
      <c r="AJ2745" s="156"/>
      <c r="AK2745" s="156"/>
      <c r="AL2745" s="156"/>
      <c r="AM2745" s="156"/>
      <c r="AN2745" s="156"/>
      <c r="AO2745" s="156"/>
      <c r="AP2745" s="156"/>
      <c r="AQ2745" s="156"/>
      <c r="AR2745" s="156"/>
      <c r="AS2745" s="156"/>
      <c r="AT2745" s="156"/>
      <c r="AU2745" s="156"/>
      <c r="AV2745" s="156"/>
      <c r="AW2745" s="156"/>
      <c r="AX2745" s="156"/>
      <c r="AY2745" s="156"/>
      <c r="AZ2745" s="156"/>
      <c r="BA2745" s="156"/>
      <c r="BB2745" s="2828"/>
      <c r="BC2745" s="452"/>
      <c r="BD2745" s="2829"/>
      <c r="BE2745" s="2837"/>
      <c r="BF2745" s="156"/>
    </row>
    <row r="2746" spans="1:58" ht="15" customHeight="1" outlineLevel="1" x14ac:dyDescent="0.35">
      <c r="A2746" s="1664"/>
      <c r="B2746" s="2812"/>
      <c r="C2746" s="3077"/>
      <c r="D2746" s="3980"/>
      <c r="E2746" s="3883"/>
      <c r="F2746" s="3984" t="str">
        <f>$E$1602</f>
        <v>ASHP-SEER16_ER1_MF</v>
      </c>
      <c r="G2746" s="3984"/>
      <c r="H2746" s="3984"/>
      <c r="I2746" s="3984"/>
      <c r="J2746" s="3501" t="str">
        <f>$C$1602</f>
        <v>352850_2021_12_</v>
      </c>
      <c r="K2746" s="3047">
        <v>38000</v>
      </c>
      <c r="L2746" s="2823">
        <f t="shared" si="365"/>
        <v>3.1666666666666665</v>
      </c>
      <c r="M2746" s="2819" t="s">
        <v>4360</v>
      </c>
      <c r="N2746" s="106"/>
      <c r="O2746" s="106"/>
      <c r="P2746" s="702"/>
      <c r="Q2746" s="702"/>
      <c r="R2746" s="702"/>
      <c r="S2746" s="106"/>
      <c r="T2746" s="486"/>
      <c r="U2746" s="106"/>
      <c r="V2746" s="3980"/>
      <c r="W2746" s="3421">
        <v>39600</v>
      </c>
      <c r="X2746" s="3421">
        <v>39600</v>
      </c>
      <c r="Y2746" s="3421">
        <v>39600</v>
      </c>
      <c r="Z2746" s="3421">
        <v>39600</v>
      </c>
      <c r="AA2746" s="3421">
        <v>39600</v>
      </c>
      <c r="AB2746" s="3421">
        <v>39600</v>
      </c>
      <c r="AC2746" s="2292">
        <v>36000</v>
      </c>
      <c r="AD2746" s="2296">
        <v>38000</v>
      </c>
      <c r="AE2746" s="3429"/>
      <c r="AF2746" s="3421"/>
      <c r="AG2746" s="3421"/>
      <c r="AH2746" s="156"/>
      <c r="AI2746" s="156"/>
      <c r="AJ2746" s="156"/>
      <c r="AK2746" s="156"/>
      <c r="AL2746" s="156"/>
      <c r="AM2746" s="156"/>
      <c r="AN2746" s="156"/>
      <c r="AO2746" s="156"/>
      <c r="AP2746" s="156"/>
      <c r="AQ2746" s="156"/>
      <c r="AR2746" s="156"/>
      <c r="AS2746" s="156"/>
      <c r="AT2746" s="156"/>
      <c r="AU2746" s="156"/>
      <c r="AV2746" s="156"/>
      <c r="AW2746" s="156"/>
      <c r="AX2746" s="156"/>
      <c r="AY2746" s="156"/>
      <c r="AZ2746" s="156"/>
      <c r="BA2746" s="156"/>
      <c r="BB2746" s="2828"/>
      <c r="BC2746" s="452"/>
      <c r="BD2746" s="2829"/>
      <c r="BE2746" s="2837"/>
      <c r="BF2746" s="156"/>
    </row>
    <row r="2747" spans="1:58" ht="15" customHeight="1" outlineLevel="1" x14ac:dyDescent="0.35">
      <c r="A2747" s="1664"/>
      <c r="B2747" s="2812"/>
      <c r="C2747" s="3077"/>
      <c r="D2747" s="3980"/>
      <c r="E2747" s="3883"/>
      <c r="F2747" s="3984" t="str">
        <f>$E$1604</f>
        <v>ASHP-SEER16_ER2_MF</v>
      </c>
      <c r="G2747" s="3984"/>
      <c r="H2747" s="3984"/>
      <c r="I2747" s="3984"/>
      <c r="J2747" s="3501" t="str">
        <f>$C$1604</f>
        <v>352850_2021_12_</v>
      </c>
      <c r="K2747" s="3047">
        <v>38000</v>
      </c>
      <c r="L2747" s="2823">
        <f t="shared" si="365"/>
        <v>3.1666666666666665</v>
      </c>
      <c r="M2747" s="2819" t="s">
        <v>4360</v>
      </c>
      <c r="N2747" s="106"/>
      <c r="O2747" s="106"/>
      <c r="P2747" s="702"/>
      <c r="Q2747" s="702"/>
      <c r="R2747" s="702"/>
      <c r="S2747" s="106"/>
      <c r="T2747" s="486"/>
      <c r="U2747" s="106"/>
      <c r="V2747" s="3980"/>
      <c r="W2747" s="3421">
        <v>39600</v>
      </c>
      <c r="X2747" s="3421">
        <v>39600</v>
      </c>
      <c r="Y2747" s="3421">
        <v>39600</v>
      </c>
      <c r="Z2747" s="3421">
        <v>39600</v>
      </c>
      <c r="AA2747" s="3421">
        <v>39600</v>
      </c>
      <c r="AB2747" s="3421">
        <v>39600</v>
      </c>
      <c r="AC2747" s="2292">
        <f>AC2746</f>
        <v>36000</v>
      </c>
      <c r="AD2747" s="2296">
        <v>38000</v>
      </c>
      <c r="AE2747" s="3429"/>
      <c r="AF2747" s="3421"/>
      <c r="AG2747" s="3421"/>
      <c r="AH2747" s="156"/>
      <c r="AI2747" s="156"/>
      <c r="AJ2747" s="156"/>
      <c r="AK2747" s="156"/>
      <c r="AL2747" s="156"/>
      <c r="AM2747" s="156"/>
      <c r="AN2747" s="156"/>
      <c r="AO2747" s="156"/>
      <c r="AP2747" s="156"/>
      <c r="AQ2747" s="156"/>
      <c r="AR2747" s="156"/>
      <c r="AS2747" s="156"/>
      <c r="AT2747" s="156"/>
      <c r="AU2747" s="156"/>
      <c r="AV2747" s="156"/>
      <c r="AW2747" s="156"/>
      <c r="AX2747" s="156"/>
      <c r="AY2747" s="156"/>
      <c r="AZ2747" s="156"/>
      <c r="BA2747" s="156"/>
      <c r="BB2747" s="2828"/>
      <c r="BC2747" s="452"/>
      <c r="BD2747" s="2829"/>
      <c r="BE2747" s="2837"/>
      <c r="BF2747" s="156"/>
    </row>
    <row r="2748" spans="1:58" ht="15" customHeight="1" outlineLevel="1" x14ac:dyDescent="0.35">
      <c r="A2748" s="1664"/>
      <c r="B2748" s="2812"/>
      <c r="C2748" s="3077"/>
      <c r="D2748" s="3980"/>
      <c r="E2748" s="3883"/>
      <c r="F2748" s="3984" t="str">
        <f>$E$1606</f>
        <v>ASHP-SEER16_ER1_MF_CompE</v>
      </c>
      <c r="G2748" s="3984"/>
      <c r="H2748" s="3984"/>
      <c r="I2748" s="3984"/>
      <c r="J2748" s="3501" t="str">
        <f>$C$1606</f>
        <v>352851_2021_12_</v>
      </c>
      <c r="K2748" s="3047">
        <v>38000</v>
      </c>
      <c r="L2748" s="2823">
        <f t="shared" si="365"/>
        <v>3.1666666666666665</v>
      </c>
      <c r="M2748" s="3040" t="s">
        <v>1083</v>
      </c>
      <c r="N2748" s="106"/>
      <c r="O2748" s="106"/>
      <c r="P2748" s="702"/>
      <c r="Q2748" s="702"/>
      <c r="R2748" s="702"/>
      <c r="S2748" s="106"/>
      <c r="T2748" s="486"/>
      <c r="U2748" s="106"/>
      <c r="V2748" s="3980"/>
      <c r="W2748" s="3421"/>
      <c r="X2748" s="3421"/>
      <c r="Y2748" s="2374">
        <v>39600</v>
      </c>
      <c r="Z2748" s="3421">
        <v>39600</v>
      </c>
      <c r="AA2748" s="3421">
        <v>39600</v>
      </c>
      <c r="AB2748" s="3421">
        <v>39600</v>
      </c>
      <c r="AC2748" s="2292">
        <f>AC2746</f>
        <v>36000</v>
      </c>
      <c r="AD2748" s="2296">
        <v>38000</v>
      </c>
      <c r="AE2748" s="3429"/>
      <c r="AF2748" s="3421"/>
      <c r="AG2748" s="3421"/>
      <c r="AH2748" s="156"/>
      <c r="AI2748" s="156"/>
      <c r="AJ2748" s="156"/>
      <c r="AK2748" s="156"/>
      <c r="AL2748" s="156"/>
      <c r="AM2748" s="156"/>
      <c r="AN2748" s="156"/>
      <c r="AO2748" s="156"/>
      <c r="AP2748" s="156"/>
      <c r="AQ2748" s="156"/>
      <c r="AR2748" s="156"/>
      <c r="AS2748" s="156"/>
      <c r="AT2748" s="156"/>
      <c r="AU2748" s="156"/>
      <c r="AV2748" s="156"/>
      <c r="AW2748" s="156"/>
      <c r="AX2748" s="156"/>
      <c r="AY2748" s="156"/>
      <c r="AZ2748" s="156"/>
      <c r="BA2748" s="156"/>
      <c r="BB2748" s="2828"/>
      <c r="BC2748" s="452"/>
      <c r="BD2748" s="2829"/>
      <c r="BE2748" s="2837"/>
      <c r="BF2748" s="156"/>
    </row>
    <row r="2749" spans="1:58" ht="15" customHeight="1" outlineLevel="1" x14ac:dyDescent="0.35">
      <c r="A2749" s="1664"/>
      <c r="B2749" s="2812"/>
      <c r="C2749" s="3077"/>
      <c r="D2749" s="3980"/>
      <c r="E2749" s="3883"/>
      <c r="F2749" s="3984" t="str">
        <f>$E$1608</f>
        <v>ASHP-SEER16_ER2_MF_CompE</v>
      </c>
      <c r="G2749" s="3984"/>
      <c r="H2749" s="3984"/>
      <c r="I2749" s="3984"/>
      <c r="J2749" s="3501" t="str">
        <f>$C$1608</f>
        <v>352851_2021_12_</v>
      </c>
      <c r="K2749" s="3047">
        <v>38000</v>
      </c>
      <c r="L2749" s="2823">
        <f t="shared" si="365"/>
        <v>3.1666666666666665</v>
      </c>
      <c r="M2749" s="3040" t="s">
        <v>1083</v>
      </c>
      <c r="N2749" s="106"/>
      <c r="O2749" s="106"/>
      <c r="P2749" s="702"/>
      <c r="Q2749" s="702"/>
      <c r="R2749" s="702"/>
      <c r="S2749" s="106"/>
      <c r="T2749" s="486"/>
      <c r="U2749" s="106"/>
      <c r="V2749" s="3980"/>
      <c r="W2749" s="3421"/>
      <c r="X2749" s="3421"/>
      <c r="Y2749" s="2374">
        <v>39600</v>
      </c>
      <c r="Z2749" s="3421">
        <v>39600</v>
      </c>
      <c r="AA2749" s="3421">
        <v>39600</v>
      </c>
      <c r="AB2749" s="3421">
        <v>39600</v>
      </c>
      <c r="AC2749" s="2292">
        <f>AC2747</f>
        <v>36000</v>
      </c>
      <c r="AD2749" s="2296">
        <v>38000</v>
      </c>
      <c r="AE2749" s="3429"/>
      <c r="AF2749" s="3421"/>
      <c r="AG2749" s="3421"/>
      <c r="AH2749" s="156"/>
      <c r="AI2749" s="156"/>
      <c r="AJ2749" s="156"/>
      <c r="AK2749" s="156"/>
      <c r="AL2749" s="156"/>
      <c r="AM2749" s="156"/>
      <c r="AN2749" s="156"/>
      <c r="AO2749" s="156"/>
      <c r="AP2749" s="156"/>
      <c r="AQ2749" s="156"/>
      <c r="AR2749" s="156"/>
      <c r="AS2749" s="156"/>
      <c r="AT2749" s="156"/>
      <c r="AU2749" s="156"/>
      <c r="AV2749" s="156"/>
      <c r="AW2749" s="156"/>
      <c r="AX2749" s="156"/>
      <c r="AY2749" s="156"/>
      <c r="AZ2749" s="156"/>
      <c r="BA2749" s="156"/>
      <c r="BB2749" s="2828"/>
      <c r="BC2749" s="452"/>
      <c r="BD2749" s="2829"/>
      <c r="BE2749" s="2837"/>
      <c r="BF2749" s="156"/>
    </row>
    <row r="2750" spans="1:58" ht="15" customHeight="1" outlineLevel="1" x14ac:dyDescent="0.35">
      <c r="A2750" s="1664"/>
      <c r="B2750" s="2812"/>
      <c r="C2750" s="3077"/>
      <c r="D2750" s="3980"/>
      <c r="E2750" s="3883"/>
      <c r="F2750" s="3984" t="str">
        <f>$E$1610</f>
        <v>ASHP-SEER16_ROF_MF</v>
      </c>
      <c r="G2750" s="3984"/>
      <c r="H2750" s="3984"/>
      <c r="I2750" s="3984"/>
      <c r="J2750" s="3501" t="str">
        <f>$C$1610</f>
        <v>352900_2021_12_</v>
      </c>
      <c r="K2750" s="3047">
        <v>27000</v>
      </c>
      <c r="L2750" s="2823">
        <f t="shared" si="365"/>
        <v>2.25</v>
      </c>
      <c r="M2750" s="2819" t="s">
        <v>4360</v>
      </c>
      <c r="N2750" s="106"/>
      <c r="O2750" s="106"/>
      <c r="P2750" s="702"/>
      <c r="Q2750" s="702"/>
      <c r="R2750" s="702"/>
      <c r="S2750" s="106"/>
      <c r="T2750" s="486"/>
      <c r="U2750" s="106"/>
      <c r="V2750" s="3980"/>
      <c r="W2750" s="3421">
        <v>39600</v>
      </c>
      <c r="X2750" s="3421">
        <v>39600</v>
      </c>
      <c r="Y2750" s="3421">
        <v>39600</v>
      </c>
      <c r="Z2750" s="3421">
        <v>39600</v>
      </c>
      <c r="AA2750" s="3421">
        <v>39600</v>
      </c>
      <c r="AB2750" s="3421">
        <v>39600</v>
      </c>
      <c r="AC2750" s="2292">
        <v>36000</v>
      </c>
      <c r="AD2750" s="2296">
        <v>27000</v>
      </c>
      <c r="AE2750" s="3429"/>
      <c r="AF2750" s="3421"/>
      <c r="AG2750" s="3421"/>
      <c r="AH2750" s="156"/>
      <c r="AI2750" s="156"/>
      <c r="AJ2750" s="156"/>
      <c r="AK2750" s="156"/>
      <c r="AL2750" s="156"/>
      <c r="AM2750" s="156"/>
      <c r="AN2750" s="156"/>
      <c r="AO2750" s="156"/>
      <c r="AP2750" s="156"/>
      <c r="AQ2750" s="156"/>
      <c r="AR2750" s="156"/>
      <c r="AS2750" s="156"/>
      <c r="AT2750" s="156"/>
      <c r="AU2750" s="156"/>
      <c r="AV2750" s="156"/>
      <c r="AW2750" s="156"/>
      <c r="AX2750" s="156"/>
      <c r="AY2750" s="156"/>
      <c r="AZ2750" s="156"/>
      <c r="BA2750" s="156"/>
      <c r="BB2750" s="2828"/>
      <c r="BC2750" s="452"/>
      <c r="BD2750" s="2829"/>
      <c r="BE2750" s="2837"/>
      <c r="BF2750" s="156"/>
    </row>
    <row r="2751" spans="1:58" ht="15" customHeight="1" outlineLevel="1" x14ac:dyDescent="0.35">
      <c r="A2751" s="1664"/>
      <c r="B2751" s="2812"/>
      <c r="C2751" s="3077"/>
      <c r="D2751" s="3980"/>
      <c r="E2751" s="3883"/>
      <c r="F2751" s="3984" t="str">
        <f>$E$1612</f>
        <v>ASHP-SEER16_ROF_MF_CompE</v>
      </c>
      <c r="G2751" s="3984"/>
      <c r="H2751" s="3984"/>
      <c r="I2751" s="3984"/>
      <c r="J2751" s="3501" t="str">
        <f>$C$1612</f>
        <v>352901_2021_12_</v>
      </c>
      <c r="K2751" s="3047">
        <v>27000</v>
      </c>
      <c r="L2751" s="2823">
        <f t="shared" si="365"/>
        <v>2.25</v>
      </c>
      <c r="M2751" s="2819" t="s">
        <v>4360</v>
      </c>
      <c r="N2751" s="106"/>
      <c r="O2751" s="106"/>
      <c r="P2751" s="702"/>
      <c r="Q2751" s="702"/>
      <c r="R2751" s="702"/>
      <c r="S2751" s="106"/>
      <c r="T2751" s="486"/>
      <c r="U2751" s="106"/>
      <c r="V2751" s="3980"/>
      <c r="W2751" s="3421"/>
      <c r="X2751" s="3421"/>
      <c r="Y2751" s="2374">
        <v>39600</v>
      </c>
      <c r="Z2751" s="3421">
        <v>39600</v>
      </c>
      <c r="AA2751" s="3421">
        <v>39600</v>
      </c>
      <c r="AB2751" s="3421">
        <v>39600</v>
      </c>
      <c r="AC2751" s="2292">
        <f>AC2750</f>
        <v>36000</v>
      </c>
      <c r="AD2751" s="2296">
        <v>27000</v>
      </c>
      <c r="AE2751" s="3429"/>
      <c r="AF2751" s="3421"/>
      <c r="AG2751" s="3421"/>
      <c r="AH2751" s="156"/>
      <c r="AI2751" s="156"/>
      <c r="AJ2751" s="156"/>
      <c r="AK2751" s="156"/>
      <c r="AL2751" s="156"/>
      <c r="AM2751" s="156"/>
      <c r="AN2751" s="156"/>
      <c r="AO2751" s="156"/>
      <c r="AP2751" s="156"/>
      <c r="AQ2751" s="156"/>
      <c r="AR2751" s="156"/>
      <c r="AS2751" s="156"/>
      <c r="AT2751" s="156"/>
      <c r="AU2751" s="156"/>
      <c r="AV2751" s="156"/>
      <c r="AW2751" s="156"/>
      <c r="AX2751" s="156"/>
      <c r="AY2751" s="156"/>
      <c r="AZ2751" s="156"/>
      <c r="BA2751" s="156"/>
      <c r="BB2751" s="2828"/>
      <c r="BC2751" s="452"/>
      <c r="BD2751" s="2829"/>
      <c r="BE2751" s="2837"/>
      <c r="BF2751" s="156"/>
    </row>
    <row r="2752" spans="1:58" ht="15" customHeight="1" outlineLevel="1" x14ac:dyDescent="0.35">
      <c r="A2752" s="1664"/>
      <c r="B2752" s="2812"/>
      <c r="C2752" s="3077"/>
      <c r="D2752" s="3980"/>
      <c r="E2752" s="3883"/>
      <c r="F2752" s="3984" t="str">
        <f>$E$1614</f>
        <v>ASHP-SEER16-Replace_CAC_ElectricHeat_ROF_MF</v>
      </c>
      <c r="G2752" s="3984"/>
      <c r="H2752" s="3984"/>
      <c r="I2752" s="3984"/>
      <c r="J2752" s="3501" t="str">
        <f>$C$1614</f>
        <v>352950_2019_12_</v>
      </c>
      <c r="K2752" s="3047">
        <v>27000</v>
      </c>
      <c r="L2752" s="2823">
        <f t="shared" si="365"/>
        <v>2.25</v>
      </c>
      <c r="M2752" s="2819" t="s">
        <v>4360</v>
      </c>
      <c r="N2752" s="106"/>
      <c r="O2752" s="106"/>
      <c r="P2752" s="702"/>
      <c r="Q2752" s="702"/>
      <c r="R2752" s="702"/>
      <c r="S2752" s="106"/>
      <c r="T2752" s="486"/>
      <c r="U2752" s="106"/>
      <c r="V2752" s="3980"/>
      <c r="W2752" s="3421">
        <v>38400</v>
      </c>
      <c r="X2752" s="3421">
        <v>38400</v>
      </c>
      <c r="Y2752" s="3421">
        <v>38400</v>
      </c>
      <c r="Z2752" s="3421">
        <v>38400</v>
      </c>
      <c r="AA2752" s="3421">
        <v>38400</v>
      </c>
      <c r="AB2752" s="2374">
        <v>24000</v>
      </c>
      <c r="AC2752" s="3557">
        <v>24000</v>
      </c>
      <c r="AD2752" s="2296">
        <v>27000</v>
      </c>
      <c r="AE2752" s="3429"/>
      <c r="AF2752" s="3421"/>
      <c r="AG2752" s="3421"/>
      <c r="AH2752" s="156"/>
      <c r="AI2752" s="156"/>
      <c r="AJ2752" s="156"/>
      <c r="AK2752" s="156"/>
      <c r="AL2752" s="156"/>
      <c r="AM2752" s="156"/>
      <c r="AN2752" s="156"/>
      <c r="AO2752" s="156"/>
      <c r="AP2752" s="156"/>
      <c r="AQ2752" s="156"/>
      <c r="AR2752" s="156"/>
      <c r="AS2752" s="156"/>
      <c r="AT2752" s="156"/>
      <c r="AU2752" s="156"/>
      <c r="AV2752" s="156"/>
      <c r="AW2752" s="156"/>
      <c r="AX2752" s="156"/>
      <c r="AY2752" s="156"/>
      <c r="AZ2752" s="156"/>
      <c r="BA2752" s="156"/>
      <c r="BB2752" s="2828"/>
      <c r="BC2752" s="452"/>
      <c r="BD2752" s="2829"/>
      <c r="BE2752" s="2837"/>
      <c r="BF2752" s="156"/>
    </row>
    <row r="2753" spans="1:58" ht="15" customHeight="1" outlineLevel="1" x14ac:dyDescent="0.35">
      <c r="A2753" s="1664"/>
      <c r="B2753" s="2812"/>
      <c r="C2753" s="3077"/>
      <c r="D2753" s="3980"/>
      <c r="E2753" s="3883"/>
      <c r="F2753" s="3984" t="str">
        <f>$E$1616</f>
        <v>ASHP-SEER16-Replace_CAC_ElectricHeat_ROF_MF_CompE</v>
      </c>
      <c r="G2753" s="3984"/>
      <c r="H2753" s="3984"/>
      <c r="I2753" s="3984"/>
      <c r="J2753" s="3501" t="str">
        <f>$C$1616</f>
        <v>352951_2019_12_</v>
      </c>
      <c r="K2753" s="3047">
        <v>27000</v>
      </c>
      <c r="L2753" s="2823">
        <f t="shared" si="365"/>
        <v>2.25</v>
      </c>
      <c r="M2753" s="2819" t="s">
        <v>4360</v>
      </c>
      <c r="N2753" s="106"/>
      <c r="O2753" s="106"/>
      <c r="P2753" s="702"/>
      <c r="Q2753" s="702"/>
      <c r="R2753" s="702"/>
      <c r="S2753" s="106"/>
      <c r="T2753" s="486"/>
      <c r="U2753" s="106"/>
      <c r="V2753" s="3980"/>
      <c r="W2753" s="3421"/>
      <c r="X2753" s="3421"/>
      <c r="Y2753" s="2374">
        <v>38400</v>
      </c>
      <c r="Z2753" s="3421">
        <v>38400</v>
      </c>
      <c r="AA2753" s="3421">
        <v>38400</v>
      </c>
      <c r="AB2753" s="2374">
        <v>24000</v>
      </c>
      <c r="AC2753" s="3557">
        <f>AC2752</f>
        <v>24000</v>
      </c>
      <c r="AD2753" s="2296">
        <v>27000</v>
      </c>
      <c r="AE2753" s="3429"/>
      <c r="AF2753" s="3421"/>
      <c r="AG2753" s="3421"/>
      <c r="AH2753" s="156"/>
      <c r="AI2753" s="156"/>
      <c r="AJ2753" s="156"/>
      <c r="AK2753" s="156"/>
      <c r="AL2753" s="156"/>
      <c r="AM2753" s="156"/>
      <c r="AN2753" s="156"/>
      <c r="AO2753" s="156"/>
      <c r="AP2753" s="156"/>
      <c r="AQ2753" s="156"/>
      <c r="AR2753" s="156"/>
      <c r="AS2753" s="156"/>
      <c r="AT2753" s="156"/>
      <c r="AU2753" s="156"/>
      <c r="AV2753" s="156"/>
      <c r="AW2753" s="156"/>
      <c r="AX2753" s="156"/>
      <c r="AY2753" s="156"/>
      <c r="AZ2753" s="156"/>
      <c r="BA2753" s="156"/>
      <c r="BB2753" s="2828"/>
      <c r="BC2753" s="452"/>
      <c r="BD2753" s="2829"/>
      <c r="BE2753" s="2837"/>
      <c r="BF2753" s="156"/>
    </row>
    <row r="2754" spans="1:58" ht="15" customHeight="1" outlineLevel="1" x14ac:dyDescent="0.35">
      <c r="A2754" s="1664"/>
      <c r="B2754" s="2812"/>
      <c r="C2754" s="3077"/>
      <c r="D2754" s="3980"/>
      <c r="E2754" s="3883"/>
      <c r="F2754" s="3984" t="str">
        <f>$E$1618</f>
        <v>ASHP-SEER16-Replace_CAC_NonElectricHeat_ROF_MF</v>
      </c>
      <c r="G2754" s="3984"/>
      <c r="H2754" s="3984"/>
      <c r="I2754" s="3984"/>
      <c r="J2754" s="3501" t="str">
        <f>$C$1618</f>
        <v>352960_2021_12_</v>
      </c>
      <c r="K2754" s="3047">
        <v>27000</v>
      </c>
      <c r="L2754" s="2823">
        <f t="shared" si="365"/>
        <v>2.25</v>
      </c>
      <c r="M2754" s="3025" t="s">
        <v>1083</v>
      </c>
      <c r="N2754" s="106"/>
      <c r="O2754" s="106"/>
      <c r="P2754" s="702"/>
      <c r="Q2754" s="702"/>
      <c r="R2754" s="702"/>
      <c r="S2754" s="106"/>
      <c r="T2754" s="486"/>
      <c r="U2754" s="106"/>
      <c r="V2754" s="3980"/>
      <c r="W2754" s="3421"/>
      <c r="X2754" s="3421"/>
      <c r="Y2754" s="2374"/>
      <c r="Z2754" s="3421"/>
      <c r="AA2754" s="3421"/>
      <c r="AB2754" s="2374"/>
      <c r="AC2754" s="2292">
        <v>24000</v>
      </c>
      <c r="AD2754" s="2296">
        <v>27000</v>
      </c>
      <c r="AE2754" s="3429"/>
      <c r="AF2754" s="3421"/>
      <c r="AG2754" s="3421"/>
      <c r="AH2754" s="156"/>
      <c r="AI2754" s="156"/>
      <c r="AJ2754" s="156"/>
      <c r="AK2754" s="156"/>
      <c r="AL2754" s="156"/>
      <c r="AM2754" s="156"/>
      <c r="AN2754" s="156"/>
      <c r="AO2754" s="156"/>
      <c r="AP2754" s="156"/>
      <c r="AQ2754" s="156"/>
      <c r="AR2754" s="156"/>
      <c r="AS2754" s="156"/>
      <c r="AT2754" s="156"/>
      <c r="AU2754" s="156"/>
      <c r="AV2754" s="156"/>
      <c r="AW2754" s="156"/>
      <c r="AX2754" s="156"/>
      <c r="AY2754" s="156"/>
      <c r="AZ2754" s="156"/>
      <c r="BA2754" s="156"/>
      <c r="BB2754" s="2828"/>
      <c r="BC2754" s="452"/>
      <c r="BD2754" s="2829"/>
      <c r="BE2754" s="2837"/>
      <c r="BF2754" s="156"/>
    </row>
    <row r="2755" spans="1:58" ht="15" customHeight="1" outlineLevel="1" x14ac:dyDescent="0.35">
      <c r="A2755" s="1664"/>
      <c r="B2755" s="2812"/>
      <c r="C2755" s="3077"/>
      <c r="D2755" s="3980"/>
      <c r="E2755" s="3883"/>
      <c r="F2755" s="3984" t="str">
        <f>$E$1620</f>
        <v>ASHP-SEER16-Replace_CAC_NonElectricHeat_ROF_MF_CompE</v>
      </c>
      <c r="G2755" s="3984"/>
      <c r="H2755" s="3984"/>
      <c r="I2755" s="3984"/>
      <c r="J2755" s="3501" t="str">
        <f>$C$1620</f>
        <v>352961_2021_12_</v>
      </c>
      <c r="K2755" s="3047">
        <v>27000</v>
      </c>
      <c r="L2755" s="2823">
        <f t="shared" si="365"/>
        <v>2.25</v>
      </c>
      <c r="M2755" s="3025" t="s">
        <v>1083</v>
      </c>
      <c r="N2755" s="106"/>
      <c r="O2755" s="106"/>
      <c r="P2755" s="702"/>
      <c r="Q2755" s="702"/>
      <c r="R2755" s="702"/>
      <c r="S2755" s="106"/>
      <c r="T2755" s="486"/>
      <c r="U2755" s="106"/>
      <c r="V2755" s="3980"/>
      <c r="W2755" s="3421"/>
      <c r="X2755" s="3421"/>
      <c r="Y2755" s="2374"/>
      <c r="Z2755" s="3421"/>
      <c r="AA2755" s="3421"/>
      <c r="AB2755" s="2374"/>
      <c r="AC2755" s="2292">
        <f>AC2754</f>
        <v>24000</v>
      </c>
      <c r="AD2755" s="2296">
        <v>27000</v>
      </c>
      <c r="AE2755" s="3429"/>
      <c r="AF2755" s="3421"/>
      <c r="AG2755" s="3421"/>
      <c r="AH2755" s="156"/>
      <c r="AI2755" s="156"/>
      <c r="AJ2755" s="156"/>
      <c r="AK2755" s="156"/>
      <c r="AL2755" s="156"/>
      <c r="AM2755" s="156"/>
      <c r="AN2755" s="156"/>
      <c r="AO2755" s="156"/>
      <c r="AP2755" s="156"/>
      <c r="AQ2755" s="156"/>
      <c r="AR2755" s="156"/>
      <c r="AS2755" s="156"/>
      <c r="AT2755" s="156"/>
      <c r="AU2755" s="156"/>
      <c r="AV2755" s="156"/>
      <c r="AW2755" s="156"/>
      <c r="AX2755" s="156"/>
      <c r="AY2755" s="156"/>
      <c r="AZ2755" s="156"/>
      <c r="BA2755" s="156"/>
      <c r="BB2755" s="2828"/>
      <c r="BC2755" s="452"/>
      <c r="BD2755" s="2829"/>
      <c r="BE2755" s="2837"/>
      <c r="BF2755" s="156"/>
    </row>
    <row r="2756" spans="1:58" ht="15" customHeight="1" outlineLevel="1" x14ac:dyDescent="0.35">
      <c r="A2756" s="1664"/>
      <c r="B2756" s="2812"/>
      <c r="C2756" s="3077"/>
      <c r="D2756" s="3980"/>
      <c r="E2756" s="3883"/>
      <c r="F2756" s="3984" t="str">
        <f>$E$1622</f>
        <v>ASHP-SEER16-Replace_CAC_ElectricHeat_ER1_MF</v>
      </c>
      <c r="G2756" s="3984"/>
      <c r="H2756" s="3984"/>
      <c r="I2756" s="3984"/>
      <c r="J2756" s="3501" t="str">
        <f>$C$1622</f>
        <v>353000_2021_12_</v>
      </c>
      <c r="K2756" s="3047">
        <v>38000</v>
      </c>
      <c r="L2756" s="2823">
        <f t="shared" si="365"/>
        <v>3.1666666666666665</v>
      </c>
      <c r="M2756" s="2819" t="s">
        <v>4360</v>
      </c>
      <c r="N2756" s="106"/>
      <c r="O2756" s="106"/>
      <c r="P2756" s="702"/>
      <c r="Q2756" s="702"/>
      <c r="R2756" s="702"/>
      <c r="S2756" s="106"/>
      <c r="T2756" s="486"/>
      <c r="U2756" s="106"/>
      <c r="V2756" s="3980"/>
      <c r="W2756" s="3421">
        <v>37200</v>
      </c>
      <c r="X2756" s="3421">
        <v>37200</v>
      </c>
      <c r="Y2756" s="3421">
        <v>37200</v>
      </c>
      <c r="Z2756" s="3421">
        <v>37200</v>
      </c>
      <c r="AA2756" s="3421">
        <v>37200</v>
      </c>
      <c r="AB2756" s="2374">
        <v>39600</v>
      </c>
      <c r="AC2756" s="2292">
        <v>24000</v>
      </c>
      <c r="AD2756" s="2296">
        <v>38000</v>
      </c>
      <c r="AE2756" s="3429"/>
      <c r="AF2756" s="3421"/>
      <c r="AG2756" s="3421"/>
      <c r="AH2756" s="156"/>
      <c r="AI2756" s="156"/>
      <c r="AJ2756" s="156"/>
      <c r="AK2756" s="156"/>
      <c r="AL2756" s="156"/>
      <c r="AM2756" s="156"/>
      <c r="AN2756" s="156"/>
      <c r="AO2756" s="156"/>
      <c r="AP2756" s="156"/>
      <c r="AQ2756" s="156"/>
      <c r="AR2756" s="156"/>
      <c r="AS2756" s="156"/>
      <c r="AT2756" s="156"/>
      <c r="AU2756" s="156"/>
      <c r="AV2756" s="156"/>
      <c r="AW2756" s="156"/>
      <c r="AX2756" s="156"/>
      <c r="AY2756" s="156"/>
      <c r="AZ2756" s="156"/>
      <c r="BA2756" s="156"/>
      <c r="BB2756" s="2828"/>
      <c r="BC2756" s="452"/>
      <c r="BD2756" s="2829"/>
      <c r="BE2756" s="2837"/>
      <c r="BF2756" s="156"/>
    </row>
    <row r="2757" spans="1:58" ht="15" customHeight="1" outlineLevel="1" x14ac:dyDescent="0.35">
      <c r="A2757" s="1664"/>
      <c r="B2757" s="2812"/>
      <c r="C2757" s="3077"/>
      <c r="D2757" s="3980"/>
      <c r="E2757" s="3883"/>
      <c r="F2757" s="3984" t="str">
        <f>$E$1624</f>
        <v>ASHP-SEER16-Replace_CAC_ElectricHeat_ER2_MF</v>
      </c>
      <c r="G2757" s="3984"/>
      <c r="H2757" s="3984"/>
      <c r="I2757" s="3984"/>
      <c r="J2757" s="3501" t="str">
        <f>$C$1624</f>
        <v>353000_2021_12_</v>
      </c>
      <c r="K2757" s="3047">
        <v>38000</v>
      </c>
      <c r="L2757" s="2823">
        <f t="shared" si="365"/>
        <v>3.1666666666666665</v>
      </c>
      <c r="M2757" s="2819" t="s">
        <v>4360</v>
      </c>
      <c r="N2757" s="106"/>
      <c r="O2757" s="106"/>
      <c r="P2757" s="702"/>
      <c r="Q2757" s="702"/>
      <c r="R2757" s="702"/>
      <c r="S2757" s="106"/>
      <c r="T2757" s="486"/>
      <c r="U2757" s="106"/>
      <c r="V2757" s="3980"/>
      <c r="W2757" s="3421">
        <v>37200</v>
      </c>
      <c r="X2757" s="3421">
        <v>37200</v>
      </c>
      <c r="Y2757" s="3421">
        <v>37200</v>
      </c>
      <c r="Z2757" s="3421">
        <v>37200</v>
      </c>
      <c r="AA2757" s="3421">
        <v>37200</v>
      </c>
      <c r="AB2757" s="2374">
        <v>39600</v>
      </c>
      <c r="AC2757" s="2292">
        <f>AC2756</f>
        <v>24000</v>
      </c>
      <c r="AD2757" s="2296">
        <v>38000</v>
      </c>
      <c r="AE2757" s="3429"/>
      <c r="AF2757" s="3421"/>
      <c r="AG2757" s="3421"/>
      <c r="AH2757" s="156"/>
      <c r="AI2757" s="156"/>
      <c r="AJ2757" s="156"/>
      <c r="AK2757" s="156"/>
      <c r="AL2757" s="156"/>
      <c r="AM2757" s="156"/>
      <c r="AN2757" s="156"/>
      <c r="AO2757" s="156"/>
      <c r="AP2757" s="156"/>
      <c r="AQ2757" s="156"/>
      <c r="AR2757" s="156"/>
      <c r="AS2757" s="156"/>
      <c r="AT2757" s="156"/>
      <c r="AU2757" s="156"/>
      <c r="AV2757" s="156"/>
      <c r="AW2757" s="156"/>
      <c r="AX2757" s="156"/>
      <c r="AY2757" s="156"/>
      <c r="AZ2757" s="156"/>
      <c r="BA2757" s="156"/>
      <c r="BB2757" s="2828"/>
      <c r="BC2757" s="452"/>
      <c r="BD2757" s="2829"/>
      <c r="BE2757" s="2837"/>
      <c r="BF2757" s="156"/>
    </row>
    <row r="2758" spans="1:58" ht="15" customHeight="1" outlineLevel="1" x14ac:dyDescent="0.35">
      <c r="A2758" s="1664"/>
      <c r="B2758" s="2812"/>
      <c r="C2758" s="3077"/>
      <c r="D2758" s="3980"/>
      <c r="E2758" s="3883"/>
      <c r="F2758" s="3984" t="str">
        <f>$E$1626</f>
        <v>ASHP-SEER16-Replace_CAC_ElectricHeat_ER1_MF_CompE</v>
      </c>
      <c r="G2758" s="3984"/>
      <c r="H2758" s="3984"/>
      <c r="I2758" s="3984"/>
      <c r="J2758" s="3501" t="str">
        <f>$C$1626</f>
        <v>353001_2021_12_</v>
      </c>
      <c r="K2758" s="3047">
        <v>38000</v>
      </c>
      <c r="L2758" s="2823">
        <f t="shared" si="365"/>
        <v>3.1666666666666665</v>
      </c>
      <c r="M2758" s="3025" t="s">
        <v>1083</v>
      </c>
      <c r="N2758" s="106"/>
      <c r="O2758" s="106"/>
      <c r="P2758" s="702"/>
      <c r="Q2758" s="702"/>
      <c r="R2758" s="702"/>
      <c r="S2758" s="106"/>
      <c r="T2758" s="486"/>
      <c r="U2758" s="106"/>
      <c r="V2758" s="3980"/>
      <c r="W2758" s="3421"/>
      <c r="X2758" s="3421"/>
      <c r="Y2758" s="2374">
        <v>37200</v>
      </c>
      <c r="Z2758" s="3421">
        <v>37200</v>
      </c>
      <c r="AA2758" s="3421">
        <v>37200</v>
      </c>
      <c r="AB2758" s="2374">
        <v>39600</v>
      </c>
      <c r="AC2758" s="2292">
        <f>AC2756</f>
        <v>24000</v>
      </c>
      <c r="AD2758" s="2296">
        <v>38000</v>
      </c>
      <c r="AE2758" s="3429"/>
      <c r="AF2758" s="3421"/>
      <c r="AG2758" s="3421"/>
      <c r="AH2758" s="156"/>
      <c r="AI2758" s="156"/>
      <c r="AJ2758" s="156"/>
      <c r="AK2758" s="156"/>
      <c r="AL2758" s="156"/>
      <c r="AM2758" s="156"/>
      <c r="AN2758" s="156"/>
      <c r="AO2758" s="156"/>
      <c r="AP2758" s="156"/>
      <c r="AQ2758" s="156"/>
      <c r="AR2758" s="156"/>
      <c r="AS2758" s="156"/>
      <c r="AT2758" s="156"/>
      <c r="AU2758" s="156"/>
      <c r="AV2758" s="156"/>
      <c r="AW2758" s="156"/>
      <c r="AX2758" s="156"/>
      <c r="AY2758" s="156"/>
      <c r="AZ2758" s="156"/>
      <c r="BA2758" s="156"/>
      <c r="BB2758" s="2828"/>
      <c r="BC2758" s="452"/>
      <c r="BD2758" s="2829"/>
      <c r="BE2758" s="2837"/>
      <c r="BF2758" s="156"/>
    </row>
    <row r="2759" spans="1:58" ht="15" customHeight="1" outlineLevel="1" x14ac:dyDescent="0.35">
      <c r="A2759" s="1664"/>
      <c r="B2759" s="2812"/>
      <c r="C2759" s="3077"/>
      <c r="D2759" s="3980"/>
      <c r="E2759" s="3883"/>
      <c r="F2759" s="3984" t="str">
        <f>$E$1628</f>
        <v>ASHP-SEER16-Replace_CAC_ElectricHeat_ER2_MF_CompE</v>
      </c>
      <c r="G2759" s="3984"/>
      <c r="H2759" s="3984"/>
      <c r="I2759" s="3984"/>
      <c r="J2759" s="3501" t="str">
        <f>$C$1628</f>
        <v>353001_2021_12_</v>
      </c>
      <c r="K2759" s="3047">
        <v>38000</v>
      </c>
      <c r="L2759" s="2823">
        <f t="shared" si="365"/>
        <v>3.1666666666666665</v>
      </c>
      <c r="M2759" s="3025" t="s">
        <v>1083</v>
      </c>
      <c r="N2759" s="106"/>
      <c r="O2759" s="106"/>
      <c r="P2759" s="702"/>
      <c r="Q2759" s="702"/>
      <c r="R2759" s="702"/>
      <c r="S2759" s="106"/>
      <c r="T2759" s="486"/>
      <c r="U2759" s="106"/>
      <c r="V2759" s="3980"/>
      <c r="W2759" s="3421"/>
      <c r="X2759" s="3421"/>
      <c r="Y2759" s="2374">
        <v>37200</v>
      </c>
      <c r="Z2759" s="3421">
        <v>37200</v>
      </c>
      <c r="AA2759" s="3421">
        <v>37200</v>
      </c>
      <c r="AB2759" s="2374">
        <v>39600</v>
      </c>
      <c r="AC2759" s="2292">
        <f>AC2757</f>
        <v>24000</v>
      </c>
      <c r="AD2759" s="2296">
        <v>38000</v>
      </c>
      <c r="AE2759" s="3429"/>
      <c r="AF2759" s="3421"/>
      <c r="AG2759" s="3421"/>
      <c r="AH2759" s="156"/>
      <c r="AI2759" s="156"/>
      <c r="AJ2759" s="156"/>
      <c r="AK2759" s="156"/>
      <c r="AL2759" s="156"/>
      <c r="AM2759" s="156"/>
      <c r="AN2759" s="156"/>
      <c r="AO2759" s="156"/>
      <c r="AP2759" s="156"/>
      <c r="AQ2759" s="156"/>
      <c r="AR2759" s="156"/>
      <c r="AS2759" s="156"/>
      <c r="AT2759" s="156"/>
      <c r="AU2759" s="156"/>
      <c r="AV2759" s="156"/>
      <c r="AW2759" s="156"/>
      <c r="AX2759" s="156"/>
      <c r="AY2759" s="156"/>
      <c r="AZ2759" s="156"/>
      <c r="BA2759" s="156"/>
      <c r="BB2759" s="2828"/>
      <c r="BC2759" s="452"/>
      <c r="BD2759" s="2829"/>
      <c r="BE2759" s="2837"/>
      <c r="BF2759" s="156"/>
    </row>
    <row r="2760" spans="1:58" ht="15" customHeight="1" outlineLevel="1" x14ac:dyDescent="0.35">
      <c r="A2760" s="1664"/>
      <c r="B2760" s="2812"/>
      <c r="C2760" s="3077"/>
      <c r="D2760" s="3980"/>
      <c r="E2760" s="3883"/>
      <c r="F2760" s="3984" t="str">
        <f>$E$1630</f>
        <v>ASHP-SEER16-Replace_CAC_NonElectricHeat_ER1_MF</v>
      </c>
      <c r="G2760" s="3984"/>
      <c r="H2760" s="3984"/>
      <c r="I2760" s="3984"/>
      <c r="J2760" s="3501" t="str">
        <f>$C$1630</f>
        <v>353010_2021_12_</v>
      </c>
      <c r="K2760" s="3047">
        <v>38000</v>
      </c>
      <c r="L2760" s="2823">
        <f t="shared" si="365"/>
        <v>3.1666666666666665</v>
      </c>
      <c r="M2760" s="3025" t="s">
        <v>1083</v>
      </c>
      <c r="N2760" s="106"/>
      <c r="O2760" s="106"/>
      <c r="P2760" s="702"/>
      <c r="Q2760" s="702"/>
      <c r="R2760" s="702"/>
      <c r="S2760" s="106"/>
      <c r="T2760" s="486"/>
      <c r="U2760" s="106"/>
      <c r="V2760" s="3980"/>
      <c r="W2760" s="3421"/>
      <c r="X2760" s="3421"/>
      <c r="Y2760" s="2374"/>
      <c r="Z2760" s="3421"/>
      <c r="AA2760" s="3421"/>
      <c r="AB2760" s="2374"/>
      <c r="AC2760" s="2292">
        <v>24000</v>
      </c>
      <c r="AD2760" s="2296">
        <v>38000</v>
      </c>
      <c r="AE2760" s="3429"/>
      <c r="AF2760" s="3421"/>
      <c r="AG2760" s="3421"/>
      <c r="AH2760" s="156"/>
      <c r="AI2760" s="156"/>
      <c r="AJ2760" s="156"/>
      <c r="AK2760" s="156"/>
      <c r="AL2760" s="156"/>
      <c r="AM2760" s="156"/>
      <c r="AN2760" s="156"/>
      <c r="AO2760" s="156"/>
      <c r="AP2760" s="156"/>
      <c r="AQ2760" s="156"/>
      <c r="AR2760" s="156"/>
      <c r="AS2760" s="156"/>
      <c r="AT2760" s="156"/>
      <c r="AU2760" s="156"/>
      <c r="AV2760" s="156"/>
      <c r="AW2760" s="156"/>
      <c r="AX2760" s="156"/>
      <c r="AY2760" s="156"/>
      <c r="AZ2760" s="156"/>
      <c r="BA2760" s="156"/>
      <c r="BB2760" s="2828"/>
      <c r="BC2760" s="452"/>
      <c r="BD2760" s="2829"/>
      <c r="BE2760" s="2837"/>
      <c r="BF2760" s="156"/>
    </row>
    <row r="2761" spans="1:58" ht="15" customHeight="1" outlineLevel="1" x14ac:dyDescent="0.35">
      <c r="A2761" s="1664"/>
      <c r="B2761" s="2812"/>
      <c r="C2761" s="3077"/>
      <c r="D2761" s="3980"/>
      <c r="E2761" s="3883"/>
      <c r="F2761" s="3984" t="str">
        <f>$E$1632</f>
        <v>ASHP-SEER16-Replace_CAC_NonElectricHeat_ER2_MF</v>
      </c>
      <c r="G2761" s="3984"/>
      <c r="H2761" s="3984"/>
      <c r="I2761" s="3984"/>
      <c r="J2761" s="3501" t="str">
        <f>$C$1632</f>
        <v>353010_2021_12_</v>
      </c>
      <c r="K2761" s="3047">
        <v>38000</v>
      </c>
      <c r="L2761" s="2823">
        <f t="shared" si="365"/>
        <v>3.1666666666666665</v>
      </c>
      <c r="M2761" s="3025" t="s">
        <v>1083</v>
      </c>
      <c r="N2761" s="106"/>
      <c r="O2761" s="106"/>
      <c r="P2761" s="702"/>
      <c r="Q2761" s="702"/>
      <c r="R2761" s="702"/>
      <c r="S2761" s="106"/>
      <c r="T2761" s="486"/>
      <c r="U2761" s="106"/>
      <c r="V2761" s="3980"/>
      <c r="W2761" s="3421"/>
      <c r="X2761" s="3421"/>
      <c r="Y2761" s="2374"/>
      <c r="Z2761" s="3421"/>
      <c r="AA2761" s="3421"/>
      <c r="AB2761" s="2374"/>
      <c r="AC2761" s="2292">
        <f>AC2760</f>
        <v>24000</v>
      </c>
      <c r="AD2761" s="2296">
        <v>38000</v>
      </c>
      <c r="AE2761" s="3429"/>
      <c r="AF2761" s="3421"/>
      <c r="AG2761" s="3421"/>
      <c r="AH2761" s="156"/>
      <c r="AI2761" s="156"/>
      <c r="AJ2761" s="156"/>
      <c r="AK2761" s="156"/>
      <c r="AL2761" s="156"/>
      <c r="AM2761" s="156"/>
      <c r="AN2761" s="156"/>
      <c r="AO2761" s="156"/>
      <c r="AP2761" s="156"/>
      <c r="AQ2761" s="156"/>
      <c r="AR2761" s="156"/>
      <c r="AS2761" s="156"/>
      <c r="AT2761" s="156"/>
      <c r="AU2761" s="156"/>
      <c r="AV2761" s="156"/>
      <c r="AW2761" s="156"/>
      <c r="AX2761" s="156"/>
      <c r="AY2761" s="156"/>
      <c r="AZ2761" s="156"/>
      <c r="BA2761" s="156"/>
      <c r="BB2761" s="2828"/>
      <c r="BC2761" s="452"/>
      <c r="BD2761" s="2829"/>
      <c r="BE2761" s="2837"/>
      <c r="BF2761" s="156"/>
    </row>
    <row r="2762" spans="1:58" ht="15" customHeight="1" outlineLevel="1" x14ac:dyDescent="0.35">
      <c r="A2762" s="1664"/>
      <c r="B2762" s="2812"/>
      <c r="C2762" s="3077"/>
      <c r="D2762" s="3980"/>
      <c r="E2762" s="3883"/>
      <c r="F2762" s="3984" t="str">
        <f>$E$1634</f>
        <v>ASHP-SEER16-Replace_CAC_NonElectricHeat_ER1_MF_CompE</v>
      </c>
      <c r="G2762" s="3984"/>
      <c r="H2762" s="3984"/>
      <c r="I2762" s="3984"/>
      <c r="J2762" s="3501" t="str">
        <f>$C$1634</f>
        <v>353011_2021_12_</v>
      </c>
      <c r="K2762" s="3047">
        <v>38000</v>
      </c>
      <c r="L2762" s="2823">
        <f t="shared" si="365"/>
        <v>3.1666666666666665</v>
      </c>
      <c r="M2762" s="3025" t="s">
        <v>1083</v>
      </c>
      <c r="N2762" s="106"/>
      <c r="O2762" s="106"/>
      <c r="P2762" s="702"/>
      <c r="Q2762" s="702"/>
      <c r="R2762" s="702"/>
      <c r="S2762" s="106"/>
      <c r="T2762" s="486"/>
      <c r="U2762" s="106"/>
      <c r="V2762" s="3980"/>
      <c r="W2762" s="3421"/>
      <c r="X2762" s="3421"/>
      <c r="Y2762" s="2374"/>
      <c r="Z2762" s="3421"/>
      <c r="AA2762" s="3421"/>
      <c r="AB2762" s="2374"/>
      <c r="AC2762" s="2292">
        <f>AC2760</f>
        <v>24000</v>
      </c>
      <c r="AD2762" s="2296">
        <v>38000</v>
      </c>
      <c r="AE2762" s="3429"/>
      <c r="AF2762" s="3421"/>
      <c r="AG2762" s="3421"/>
      <c r="AH2762" s="156"/>
      <c r="AI2762" s="156"/>
      <c r="AJ2762" s="156"/>
      <c r="AK2762" s="156"/>
      <c r="AL2762" s="156"/>
      <c r="AM2762" s="156"/>
      <c r="AN2762" s="156"/>
      <c r="AO2762" s="156"/>
      <c r="AP2762" s="156"/>
      <c r="AQ2762" s="156"/>
      <c r="AR2762" s="156"/>
      <c r="AS2762" s="156"/>
      <c r="AT2762" s="156"/>
      <c r="AU2762" s="156"/>
      <c r="AV2762" s="156"/>
      <c r="AW2762" s="156"/>
      <c r="AX2762" s="156"/>
      <c r="AY2762" s="156"/>
      <c r="AZ2762" s="156"/>
      <c r="BA2762" s="156"/>
      <c r="BB2762" s="2828"/>
      <c r="BC2762" s="452"/>
      <c r="BD2762" s="2829"/>
      <c r="BE2762" s="2837"/>
      <c r="BF2762" s="156"/>
    </row>
    <row r="2763" spans="1:58" ht="15" customHeight="1" outlineLevel="1" x14ac:dyDescent="0.35">
      <c r="A2763" s="1664"/>
      <c r="B2763" s="2812"/>
      <c r="C2763" s="3077"/>
      <c r="D2763" s="3980"/>
      <c r="E2763" s="3883"/>
      <c r="F2763" s="3984" t="str">
        <f>$E$1636</f>
        <v>ASHP-SEER16-Replace_CAC_NonElectricHeat_ER2_MF_CompE</v>
      </c>
      <c r="G2763" s="3984"/>
      <c r="H2763" s="3984"/>
      <c r="I2763" s="3984"/>
      <c r="J2763" s="3501" t="str">
        <f>$C$1636</f>
        <v>353011_2021_12_</v>
      </c>
      <c r="K2763" s="3047">
        <v>38000</v>
      </c>
      <c r="L2763" s="2823">
        <f t="shared" si="365"/>
        <v>3.1666666666666665</v>
      </c>
      <c r="M2763" s="3025" t="s">
        <v>1083</v>
      </c>
      <c r="N2763" s="106"/>
      <c r="O2763" s="106"/>
      <c r="P2763" s="702"/>
      <c r="Q2763" s="702"/>
      <c r="R2763" s="702"/>
      <c r="S2763" s="106"/>
      <c r="T2763" s="486"/>
      <c r="U2763" s="106"/>
      <c r="V2763" s="3980"/>
      <c r="W2763" s="3421"/>
      <c r="X2763" s="3421"/>
      <c r="Y2763" s="2374"/>
      <c r="Z2763" s="3421"/>
      <c r="AA2763" s="3421"/>
      <c r="AB2763" s="2374"/>
      <c r="AC2763" s="2292">
        <f>AC2761</f>
        <v>24000</v>
      </c>
      <c r="AD2763" s="2296">
        <v>38000</v>
      </c>
      <c r="AE2763" s="3429"/>
      <c r="AF2763" s="3421"/>
      <c r="AG2763" s="3421"/>
      <c r="AH2763" s="156"/>
      <c r="AI2763" s="156"/>
      <c r="AJ2763" s="156"/>
      <c r="AK2763" s="156"/>
      <c r="AL2763" s="156"/>
      <c r="AM2763" s="156"/>
      <c r="AN2763" s="156"/>
      <c r="AO2763" s="156"/>
      <c r="AP2763" s="156"/>
      <c r="AQ2763" s="156"/>
      <c r="AR2763" s="156"/>
      <c r="AS2763" s="156"/>
      <c r="AT2763" s="156"/>
      <c r="AU2763" s="156"/>
      <c r="AV2763" s="156"/>
      <c r="AW2763" s="156"/>
      <c r="AX2763" s="156"/>
      <c r="AY2763" s="156"/>
      <c r="AZ2763" s="156"/>
      <c r="BA2763" s="156"/>
      <c r="BB2763" s="2828"/>
      <c r="BC2763" s="452"/>
      <c r="BD2763" s="2829"/>
      <c r="BE2763" s="2837"/>
      <c r="BF2763" s="156"/>
    </row>
    <row r="2764" spans="1:58" ht="15" customHeight="1" outlineLevel="1" x14ac:dyDescent="0.35">
      <c r="A2764" s="1664"/>
      <c r="B2764" s="2812"/>
      <c r="C2764" s="3077"/>
      <c r="D2764" s="3980"/>
      <c r="E2764" s="3883"/>
      <c r="F2764" s="3984" t="str">
        <f>$E$1638</f>
        <v>ASHP-SEER15_ROF_MF</v>
      </c>
      <c r="G2764" s="3984"/>
      <c r="H2764" s="3984"/>
      <c r="I2764" s="3984"/>
      <c r="J2764" s="3501" t="str">
        <f>$C$1638</f>
        <v>353050_2021_12_</v>
      </c>
      <c r="K2764" s="3047">
        <v>30000</v>
      </c>
      <c r="L2764" s="2823">
        <f t="shared" si="365"/>
        <v>2.5</v>
      </c>
      <c r="M2764" s="2819" t="s">
        <v>4360</v>
      </c>
      <c r="N2764" s="106"/>
      <c r="O2764" s="106"/>
      <c r="P2764" s="702"/>
      <c r="Q2764" s="702"/>
      <c r="R2764" s="702"/>
      <c r="S2764" s="106"/>
      <c r="T2764" s="486"/>
      <c r="U2764" s="106"/>
      <c r="V2764" s="3980"/>
      <c r="W2764" s="3421">
        <v>37200</v>
      </c>
      <c r="X2764" s="3421">
        <v>37200</v>
      </c>
      <c r="Y2764" s="3421">
        <v>37200</v>
      </c>
      <c r="Z2764" s="3421">
        <v>37200</v>
      </c>
      <c r="AA2764" s="3421">
        <v>37200</v>
      </c>
      <c r="AB2764" s="3421">
        <v>37200</v>
      </c>
      <c r="AC2764" s="2292">
        <v>24157.894736842103</v>
      </c>
      <c r="AD2764" s="2296">
        <v>30000</v>
      </c>
      <c r="AE2764" s="3429"/>
      <c r="AF2764" s="3421"/>
      <c r="AG2764" s="3421"/>
      <c r="AH2764" s="156"/>
      <c r="AI2764" s="156"/>
      <c r="AJ2764" s="156"/>
      <c r="AK2764" s="156"/>
      <c r="AL2764" s="156"/>
      <c r="AM2764" s="156"/>
      <c r="AN2764" s="156"/>
      <c r="AO2764" s="156"/>
      <c r="AP2764" s="156"/>
      <c r="AQ2764" s="156"/>
      <c r="AR2764" s="156"/>
      <c r="AS2764" s="156"/>
      <c r="AT2764" s="156"/>
      <c r="AU2764" s="156"/>
      <c r="AV2764" s="156"/>
      <c r="AW2764" s="156"/>
      <c r="AX2764" s="156"/>
      <c r="AY2764" s="156"/>
      <c r="AZ2764" s="156"/>
      <c r="BA2764" s="156"/>
      <c r="BB2764" s="2828"/>
      <c r="BC2764" s="452"/>
      <c r="BD2764" s="2829"/>
      <c r="BE2764" s="2837"/>
      <c r="BF2764" s="156"/>
    </row>
    <row r="2765" spans="1:58" ht="15" customHeight="1" outlineLevel="1" x14ac:dyDescent="0.35">
      <c r="A2765" s="1664"/>
      <c r="B2765" s="2812"/>
      <c r="C2765" s="3077"/>
      <c r="D2765" s="3980"/>
      <c r="E2765" s="3883"/>
      <c r="F2765" s="3984" t="str">
        <f>$E$1640</f>
        <v>ASHP-SEER15_ROF_MF_CompE</v>
      </c>
      <c r="G2765" s="3984"/>
      <c r="H2765" s="3984"/>
      <c r="I2765" s="3984"/>
      <c r="J2765" s="3501" t="str">
        <f>$C$1640</f>
        <v>353051_2021_12_</v>
      </c>
      <c r="K2765" s="3047">
        <v>30000</v>
      </c>
      <c r="L2765" s="2823">
        <f t="shared" si="365"/>
        <v>2.5</v>
      </c>
      <c r="M2765" s="3025" t="s">
        <v>1083</v>
      </c>
      <c r="N2765" s="106"/>
      <c r="O2765" s="106"/>
      <c r="P2765" s="702"/>
      <c r="Q2765" s="702"/>
      <c r="R2765" s="702"/>
      <c r="S2765" s="106"/>
      <c r="T2765" s="486"/>
      <c r="U2765" s="106"/>
      <c r="V2765" s="3980"/>
      <c r="W2765" s="3421"/>
      <c r="X2765" s="3421"/>
      <c r="Y2765" s="2374">
        <v>37200</v>
      </c>
      <c r="Z2765" s="3421">
        <v>37200</v>
      </c>
      <c r="AA2765" s="3421">
        <v>37200</v>
      </c>
      <c r="AB2765" s="3421">
        <v>37200</v>
      </c>
      <c r="AC2765" s="2292">
        <f>AC2764</f>
        <v>24157.894736842103</v>
      </c>
      <c r="AD2765" s="2296">
        <v>30000</v>
      </c>
      <c r="AE2765" s="3429"/>
      <c r="AF2765" s="3421"/>
      <c r="AG2765" s="3421"/>
      <c r="AH2765" s="156"/>
      <c r="AI2765" s="156"/>
      <c r="AJ2765" s="156"/>
      <c r="AK2765" s="156"/>
      <c r="AL2765" s="156"/>
      <c r="AM2765" s="156"/>
      <c r="AN2765" s="156"/>
      <c r="AO2765" s="156"/>
      <c r="AP2765" s="156"/>
      <c r="AQ2765" s="156"/>
      <c r="AR2765" s="156"/>
      <c r="AS2765" s="156"/>
      <c r="AT2765" s="156"/>
      <c r="AU2765" s="156"/>
      <c r="AV2765" s="156"/>
      <c r="AW2765" s="156"/>
      <c r="AX2765" s="156"/>
      <c r="AY2765" s="156"/>
      <c r="AZ2765" s="156"/>
      <c r="BA2765" s="156"/>
      <c r="BB2765" s="2828"/>
      <c r="BC2765" s="452"/>
      <c r="BD2765" s="2829"/>
      <c r="BE2765" s="2837"/>
      <c r="BF2765" s="156"/>
    </row>
    <row r="2766" spans="1:58" ht="15" customHeight="1" outlineLevel="1" x14ac:dyDescent="0.35">
      <c r="A2766" s="1664"/>
      <c r="B2766" s="2812"/>
      <c r="C2766" s="3077"/>
      <c r="D2766" s="3980"/>
      <c r="E2766" s="3883"/>
      <c r="F2766" s="3984" t="str">
        <f>$E$1642</f>
        <v>ASHP-SEER17-Replace_CAC_ElectricHeat_ROF_SF</v>
      </c>
      <c r="G2766" s="3984"/>
      <c r="H2766" s="3984"/>
      <c r="I2766" s="3984"/>
      <c r="J2766" s="3501" t="str">
        <f>$C$1642</f>
        <v>353100_2021_12_</v>
      </c>
      <c r="K2766" s="3047">
        <v>36857.142857142855</v>
      </c>
      <c r="L2766" s="2823">
        <f t="shared" si="365"/>
        <v>3.0714285714285712</v>
      </c>
      <c r="M2766" s="2819" t="s">
        <v>4360</v>
      </c>
      <c r="N2766" s="106"/>
      <c r="O2766" s="106"/>
      <c r="P2766" s="702"/>
      <c r="Q2766" s="702"/>
      <c r="R2766" s="702"/>
      <c r="S2766" s="106"/>
      <c r="T2766" s="486"/>
      <c r="U2766" s="106"/>
      <c r="V2766" s="3980"/>
      <c r="W2766" s="3421">
        <v>33600</v>
      </c>
      <c r="X2766" s="3421">
        <v>33600</v>
      </c>
      <c r="Y2766" s="3421">
        <v>33600</v>
      </c>
      <c r="Z2766" s="3421">
        <v>33600</v>
      </c>
      <c r="AA2766" s="3421">
        <v>33600</v>
      </c>
      <c r="AB2766" s="3421">
        <v>33600</v>
      </c>
      <c r="AC2766" s="2292">
        <v>32400.000000000004</v>
      </c>
      <c r="AD2766" s="2296">
        <v>36857.142857142855</v>
      </c>
      <c r="AE2766" s="3429"/>
      <c r="AF2766" s="3421"/>
      <c r="AG2766" s="3421"/>
      <c r="AH2766" s="156"/>
      <c r="AI2766" s="156"/>
      <c r="AJ2766" s="156"/>
      <c r="AK2766" s="156"/>
      <c r="AL2766" s="156"/>
      <c r="AM2766" s="156"/>
      <c r="AN2766" s="156"/>
      <c r="AO2766" s="156"/>
      <c r="AP2766" s="156"/>
      <c r="AQ2766" s="156"/>
      <c r="AR2766" s="156"/>
      <c r="AS2766" s="156"/>
      <c r="AT2766" s="156"/>
      <c r="AU2766" s="156"/>
      <c r="AV2766" s="156"/>
      <c r="AW2766" s="156"/>
      <c r="AX2766" s="156"/>
      <c r="AY2766" s="156"/>
      <c r="AZ2766" s="156"/>
      <c r="BA2766" s="156"/>
      <c r="BB2766" s="2828"/>
      <c r="BC2766" s="452"/>
      <c r="BD2766" s="2829"/>
      <c r="BE2766" s="2837"/>
      <c r="BF2766" s="156"/>
    </row>
    <row r="2767" spans="1:58" s="3398" customFormat="1" ht="15" customHeight="1" outlineLevel="1" x14ac:dyDescent="0.35">
      <c r="A2767" s="1664"/>
      <c r="B2767" s="2812"/>
      <c r="C2767" s="3077"/>
      <c r="D2767" s="3980"/>
      <c r="E2767" s="3883"/>
      <c r="F2767" s="4136" t="str">
        <f>$E$1644</f>
        <v>ASHP-SEER17-Replace_CAC_NonElectricHeat_ROF_SF</v>
      </c>
      <c r="G2767" s="4136"/>
      <c r="H2767" s="4136"/>
      <c r="I2767" s="4136"/>
      <c r="J2767" s="3502" t="str">
        <f>$C$1644</f>
        <v>353110_2022_12_</v>
      </c>
      <c r="K2767" s="3047">
        <v>36857.142857142855</v>
      </c>
      <c r="L2767" s="2823">
        <f t="shared" si="365"/>
        <v>3.0714285714285712</v>
      </c>
      <c r="M2767" s="2819" t="s">
        <v>1083</v>
      </c>
      <c r="P2767" s="702"/>
      <c r="Q2767" s="702"/>
      <c r="R2767" s="702"/>
      <c r="T2767" s="3397"/>
      <c r="V2767" s="3980"/>
      <c r="W2767" s="3421"/>
      <c r="X2767" s="2377"/>
      <c r="Y2767" s="2374"/>
      <c r="Z2767" s="3421"/>
      <c r="AA2767" s="3421"/>
      <c r="AB2767" s="2296"/>
      <c r="AC2767" s="3555"/>
      <c r="AD2767" s="2296">
        <v>36857.142857142855</v>
      </c>
      <c r="AE2767" s="3429"/>
      <c r="AF2767" s="3421"/>
      <c r="AG2767" s="3421"/>
      <c r="AH2767" s="156"/>
      <c r="AI2767" s="156"/>
      <c r="AJ2767" s="156"/>
      <c r="AK2767" s="156"/>
      <c r="AL2767" s="156"/>
      <c r="AM2767" s="156"/>
      <c r="AN2767" s="156"/>
      <c r="AO2767" s="156"/>
      <c r="AP2767" s="156"/>
      <c r="AQ2767" s="156"/>
      <c r="AR2767" s="156"/>
      <c r="AS2767" s="156"/>
      <c r="AT2767" s="156"/>
      <c r="AU2767" s="156"/>
      <c r="AV2767" s="156"/>
      <c r="AW2767" s="156"/>
      <c r="AX2767" s="156"/>
      <c r="AY2767" s="156"/>
      <c r="AZ2767" s="156"/>
      <c r="BA2767" s="156"/>
      <c r="BB2767" s="2828"/>
      <c r="BC2767" s="452"/>
      <c r="BD2767" s="2829"/>
      <c r="BE2767" s="2837"/>
      <c r="BF2767" s="156"/>
    </row>
    <row r="2768" spans="1:58" ht="15" customHeight="1" outlineLevel="1" x14ac:dyDescent="0.35">
      <c r="A2768" s="1664"/>
      <c r="B2768" s="2812"/>
      <c r="C2768" s="3077"/>
      <c r="D2768" s="3980"/>
      <c r="E2768" s="3883"/>
      <c r="F2768" s="3984" t="str">
        <f>$E$1646</f>
        <v>ASHP-SEER17-Replace_CAC_ElectricHeat_ROF_MF</v>
      </c>
      <c r="G2768" s="3984"/>
      <c r="H2768" s="3984"/>
      <c r="I2768" s="3984"/>
      <c r="J2768" s="3501" t="str">
        <f>$C$1646</f>
        <v>353150_2019_12_</v>
      </c>
      <c r="K2768" s="3048">
        <v>33600</v>
      </c>
      <c r="L2768" s="2824">
        <f t="shared" si="365"/>
        <v>2.8</v>
      </c>
      <c r="M2768" s="3025" t="s">
        <v>1506</v>
      </c>
      <c r="N2768" s="106"/>
      <c r="O2768" s="106"/>
      <c r="P2768" s="702"/>
      <c r="Q2768" s="702"/>
      <c r="R2768" s="702"/>
      <c r="S2768" s="106"/>
      <c r="T2768" s="486"/>
      <c r="U2768" s="106"/>
      <c r="V2768" s="3980"/>
      <c r="W2768" s="3421">
        <v>33600</v>
      </c>
      <c r="X2768" s="3421">
        <v>33600</v>
      </c>
      <c r="Y2768" s="3421">
        <v>33600</v>
      </c>
      <c r="Z2768" s="3421">
        <v>33600</v>
      </c>
      <c r="AA2768" s="3421">
        <v>33600</v>
      </c>
      <c r="AB2768" s="3421">
        <v>33600</v>
      </c>
      <c r="AC2768" s="3557">
        <v>33600</v>
      </c>
      <c r="AD2768" s="2042">
        <v>33600</v>
      </c>
      <c r="AE2768" s="3429"/>
      <c r="AF2768" s="3421"/>
      <c r="AG2768" s="3421"/>
      <c r="AH2768" s="156"/>
      <c r="AI2768" s="156"/>
      <c r="AJ2768" s="156"/>
      <c r="AK2768" s="156"/>
      <c r="AL2768" s="156"/>
      <c r="AM2768" s="156"/>
      <c r="AN2768" s="156"/>
      <c r="AO2768" s="156"/>
      <c r="AP2768" s="156"/>
      <c r="AQ2768" s="156"/>
      <c r="AR2768" s="156"/>
      <c r="AS2768" s="156"/>
      <c r="AT2768" s="156"/>
      <c r="AU2768" s="156"/>
      <c r="AV2768" s="156"/>
      <c r="AW2768" s="156"/>
      <c r="AX2768" s="156"/>
      <c r="AY2768" s="156"/>
      <c r="AZ2768" s="156"/>
      <c r="BA2768" s="156"/>
      <c r="BB2768" s="2828"/>
      <c r="BC2768" s="452"/>
      <c r="BD2768" s="2829"/>
      <c r="BE2768" s="2837"/>
      <c r="BF2768" s="156"/>
    </row>
    <row r="2769" spans="1:58" ht="15" customHeight="1" outlineLevel="1" x14ac:dyDescent="0.35">
      <c r="A2769" s="1664"/>
      <c r="B2769" s="2812"/>
      <c r="C2769" s="3077"/>
      <c r="D2769" s="3980"/>
      <c r="E2769" s="3883"/>
      <c r="F2769" s="3984" t="str">
        <f>$E$1648</f>
        <v>ASHP-SEER17-Replace_CAC_ElectricHeat_ROF_MF_CompE</v>
      </c>
      <c r="G2769" s="3984"/>
      <c r="H2769" s="3984"/>
      <c r="I2769" s="3984"/>
      <c r="J2769" s="3501" t="str">
        <f>$C$1648</f>
        <v>353151_2019_12_</v>
      </c>
      <c r="K2769" s="3048">
        <v>33600</v>
      </c>
      <c r="L2769" s="2824">
        <f t="shared" si="365"/>
        <v>2.8</v>
      </c>
      <c r="M2769" s="3025"/>
      <c r="N2769" s="106"/>
      <c r="O2769" s="106"/>
      <c r="P2769" s="702"/>
      <c r="Q2769" s="702"/>
      <c r="R2769" s="702"/>
      <c r="S2769" s="106"/>
      <c r="T2769" s="486"/>
      <c r="U2769" s="106"/>
      <c r="V2769" s="3980"/>
      <c r="W2769" s="3421"/>
      <c r="X2769" s="3421"/>
      <c r="Y2769" s="2374">
        <v>33600</v>
      </c>
      <c r="Z2769" s="3421">
        <v>33600</v>
      </c>
      <c r="AA2769" s="3421">
        <v>33600</v>
      </c>
      <c r="AB2769" s="3421">
        <v>33600</v>
      </c>
      <c r="AC2769" s="3557">
        <f>AC2768</f>
        <v>33600</v>
      </c>
      <c r="AD2769" s="2042">
        <v>33600</v>
      </c>
      <c r="AE2769" s="3429"/>
      <c r="AF2769" s="3421"/>
      <c r="AG2769" s="3421"/>
      <c r="AH2769" s="156"/>
      <c r="AI2769" s="156"/>
      <c r="AJ2769" s="156"/>
      <c r="AK2769" s="156"/>
      <c r="AL2769" s="156"/>
      <c r="AM2769" s="156"/>
      <c r="AN2769" s="156"/>
      <c r="AO2769" s="156"/>
      <c r="AP2769" s="156"/>
      <c r="AQ2769" s="156"/>
      <c r="AR2769" s="156"/>
      <c r="AS2769" s="156"/>
      <c r="AT2769" s="156"/>
      <c r="AU2769" s="156"/>
      <c r="AV2769" s="156"/>
      <c r="AW2769" s="156"/>
      <c r="AX2769" s="156"/>
      <c r="AY2769" s="156"/>
      <c r="AZ2769" s="156"/>
      <c r="BA2769" s="156"/>
      <c r="BB2769" s="2828"/>
      <c r="BC2769" s="452"/>
      <c r="BD2769" s="2829"/>
      <c r="BE2769" s="2837"/>
      <c r="BF2769" s="156"/>
    </row>
    <row r="2770" spans="1:58" ht="15" customHeight="1" outlineLevel="1" x14ac:dyDescent="0.35">
      <c r="A2770" s="1664"/>
      <c r="B2770" s="2812"/>
      <c r="C2770" s="3077"/>
      <c r="D2770" s="3980"/>
      <c r="E2770" s="3883"/>
      <c r="F2770" s="3984" t="str">
        <f>$E$1650</f>
        <v>ASHP-SEER17-Replace_CAC_NonElectricHeat_ROF_MF</v>
      </c>
      <c r="G2770" s="3984"/>
      <c r="H2770" s="3984"/>
      <c r="I2770" s="3984"/>
      <c r="J2770" s="3501" t="str">
        <f>$C$1650</f>
        <v>353160_2021_12_</v>
      </c>
      <c r="K2770" s="3048">
        <v>33600</v>
      </c>
      <c r="L2770" s="2823">
        <f t="shared" si="365"/>
        <v>2.8</v>
      </c>
      <c r="M2770" s="3025" t="s">
        <v>1083</v>
      </c>
      <c r="N2770" s="106"/>
      <c r="O2770" s="106"/>
      <c r="P2770" s="702"/>
      <c r="Q2770" s="702"/>
      <c r="R2770" s="702"/>
      <c r="S2770" s="106"/>
      <c r="T2770" s="486"/>
      <c r="U2770" s="106"/>
      <c r="V2770" s="3980"/>
      <c r="W2770" s="3421"/>
      <c r="X2770" s="3421"/>
      <c r="Y2770" s="2374"/>
      <c r="Z2770" s="3421"/>
      <c r="AA2770" s="3421"/>
      <c r="AB2770" s="3421"/>
      <c r="AC2770" s="2292">
        <v>33600</v>
      </c>
      <c r="AD2770" s="2042">
        <v>33600</v>
      </c>
      <c r="AE2770" s="3429"/>
      <c r="AF2770" s="3421"/>
      <c r="AG2770" s="3421"/>
      <c r="AH2770" s="156"/>
      <c r="AI2770" s="156"/>
      <c r="AJ2770" s="156"/>
      <c r="AK2770" s="156"/>
      <c r="AL2770" s="156"/>
      <c r="AM2770" s="156"/>
      <c r="AN2770" s="156"/>
      <c r="AO2770" s="156"/>
      <c r="AP2770" s="156"/>
      <c r="AQ2770" s="156"/>
      <c r="AR2770" s="156"/>
      <c r="AS2770" s="156"/>
      <c r="AT2770" s="156"/>
      <c r="AU2770" s="156"/>
      <c r="AV2770" s="156"/>
      <c r="AW2770" s="156"/>
      <c r="AX2770" s="156"/>
      <c r="AY2770" s="156"/>
      <c r="AZ2770" s="156"/>
      <c r="BA2770" s="156"/>
      <c r="BB2770" s="2828"/>
      <c r="BC2770" s="452"/>
      <c r="BD2770" s="2829"/>
      <c r="BE2770" s="2837"/>
      <c r="BF2770" s="156"/>
    </row>
    <row r="2771" spans="1:58" ht="15" customHeight="1" outlineLevel="1" x14ac:dyDescent="0.35">
      <c r="A2771" s="1664"/>
      <c r="B2771" s="2812"/>
      <c r="C2771" s="3077"/>
      <c r="D2771" s="3980"/>
      <c r="E2771" s="3883"/>
      <c r="F2771" s="3984" t="str">
        <f>$E$1652</f>
        <v>ASHP-SEER17-Replace_CAC_NonElectricHeat_ROF_MF_CompE</v>
      </c>
      <c r="G2771" s="3984"/>
      <c r="H2771" s="3984"/>
      <c r="I2771" s="3984"/>
      <c r="J2771" s="3501" t="str">
        <f>$C$1652</f>
        <v>353161_2021_12_</v>
      </c>
      <c r="K2771" s="3048">
        <v>33600</v>
      </c>
      <c r="L2771" s="2823">
        <f t="shared" si="365"/>
        <v>2.8</v>
      </c>
      <c r="M2771" s="3025" t="s">
        <v>1083</v>
      </c>
      <c r="N2771" s="106"/>
      <c r="O2771" s="106"/>
      <c r="P2771" s="702"/>
      <c r="Q2771" s="702"/>
      <c r="R2771" s="702"/>
      <c r="S2771" s="106"/>
      <c r="T2771" s="486"/>
      <c r="U2771" s="106"/>
      <c r="V2771" s="3980"/>
      <c r="W2771" s="3421"/>
      <c r="X2771" s="3421"/>
      <c r="Y2771" s="2374"/>
      <c r="Z2771" s="3421"/>
      <c r="AA2771" s="3421"/>
      <c r="AB2771" s="3421"/>
      <c r="AC2771" s="2292">
        <f>AC2770</f>
        <v>33600</v>
      </c>
      <c r="AD2771" s="2042">
        <v>33600</v>
      </c>
      <c r="AE2771" s="3429"/>
      <c r="AF2771" s="3421"/>
      <c r="AG2771" s="3421"/>
      <c r="AH2771" s="156"/>
      <c r="AI2771" s="156"/>
      <c r="AJ2771" s="156"/>
      <c r="AK2771" s="156"/>
      <c r="AL2771" s="156"/>
      <c r="AM2771" s="156"/>
      <c r="AN2771" s="156"/>
      <c r="AO2771" s="156"/>
      <c r="AP2771" s="156"/>
      <c r="AQ2771" s="156"/>
      <c r="AR2771" s="156"/>
      <c r="AS2771" s="156"/>
      <c r="AT2771" s="156"/>
      <c r="AU2771" s="156"/>
      <c r="AV2771" s="156"/>
      <c r="AW2771" s="156"/>
      <c r="AX2771" s="156"/>
      <c r="AY2771" s="156"/>
      <c r="AZ2771" s="156"/>
      <c r="BA2771" s="156"/>
      <c r="BB2771" s="2828"/>
      <c r="BC2771" s="452"/>
      <c r="BD2771" s="2829"/>
      <c r="BE2771" s="2837"/>
      <c r="BF2771" s="156"/>
    </row>
    <row r="2772" spans="1:58" ht="15" customHeight="1" outlineLevel="1" x14ac:dyDescent="0.35">
      <c r="A2772" s="1664"/>
      <c r="B2772" s="2812"/>
      <c r="C2772" s="3077"/>
      <c r="D2772" s="3980"/>
      <c r="E2772" s="3883"/>
      <c r="F2772" s="3984" t="str">
        <f>$E$1654</f>
        <v>ASHP-SEER18-Replace_CAC_ElectricHeat_ROF_SF</v>
      </c>
      <c r="G2772" s="3984"/>
      <c r="H2772" s="3984"/>
      <c r="I2772" s="3984"/>
      <c r="J2772" s="3501" t="str">
        <f>$C$1654</f>
        <v>353200_2021_12_</v>
      </c>
      <c r="K2772" s="3047">
        <v>38808.51063829787</v>
      </c>
      <c r="L2772" s="2823">
        <f t="shared" si="365"/>
        <v>3.2340425531914891</v>
      </c>
      <c r="M2772" s="2819" t="s">
        <v>4360</v>
      </c>
      <c r="N2772" s="106"/>
      <c r="O2772" s="106"/>
      <c r="P2772" s="702"/>
      <c r="Q2772" s="702"/>
      <c r="R2772" s="702"/>
      <c r="S2772" s="106"/>
      <c r="T2772" s="486"/>
      <c r="U2772" s="106"/>
      <c r="V2772" s="3980"/>
      <c r="W2772" s="3421">
        <v>33600</v>
      </c>
      <c r="X2772" s="3421">
        <v>33600</v>
      </c>
      <c r="Y2772" s="3421">
        <v>33600</v>
      </c>
      <c r="Z2772" s="3421">
        <v>33600</v>
      </c>
      <c r="AA2772" s="3421">
        <v>33600</v>
      </c>
      <c r="AB2772" s="2374">
        <v>36000</v>
      </c>
      <c r="AC2772" s="2292">
        <v>36486.486486486487</v>
      </c>
      <c r="AD2772" s="2296">
        <v>38808.51063829787</v>
      </c>
      <c r="AE2772" s="3429"/>
      <c r="AF2772" s="3421"/>
      <c r="AG2772" s="3421"/>
      <c r="AH2772" s="156"/>
      <c r="AI2772" s="156"/>
      <c r="AJ2772" s="156"/>
      <c r="AK2772" s="156"/>
      <c r="AL2772" s="156"/>
      <c r="AM2772" s="156"/>
      <c r="AN2772" s="156"/>
      <c r="AO2772" s="156"/>
      <c r="AP2772" s="156"/>
      <c r="AQ2772" s="156"/>
      <c r="AR2772" s="156"/>
      <c r="AS2772" s="156"/>
      <c r="AT2772" s="156"/>
      <c r="AU2772" s="156"/>
      <c r="AV2772" s="156"/>
      <c r="AW2772" s="156"/>
      <c r="AX2772" s="156"/>
      <c r="AY2772" s="156"/>
      <c r="AZ2772" s="156"/>
      <c r="BA2772" s="156"/>
      <c r="BB2772" s="2828"/>
      <c r="BC2772" s="452"/>
      <c r="BD2772" s="2829"/>
      <c r="BE2772" s="2837"/>
      <c r="BF2772" s="156"/>
    </row>
    <row r="2773" spans="1:58" s="3398" customFormat="1" ht="15" customHeight="1" outlineLevel="1" x14ac:dyDescent="0.35">
      <c r="A2773" s="1664"/>
      <c r="B2773" s="2812"/>
      <c r="C2773" s="3077"/>
      <c r="D2773" s="3980"/>
      <c r="E2773" s="3883"/>
      <c r="F2773" s="4136" t="str">
        <f>$E$1656</f>
        <v>ASHP-SEER18-Replace_CAC_NonElectricHeat_ROF_SF</v>
      </c>
      <c r="G2773" s="4136"/>
      <c r="H2773" s="4136"/>
      <c r="I2773" s="4136"/>
      <c r="J2773" s="3502" t="str">
        <f>$C$1656</f>
        <v>353210_2022_12_</v>
      </c>
      <c r="K2773" s="3047">
        <v>38808.51063829787</v>
      </c>
      <c r="L2773" s="2823">
        <f t="shared" si="365"/>
        <v>3.2340425531914891</v>
      </c>
      <c r="M2773" s="2819" t="s">
        <v>1083</v>
      </c>
      <c r="P2773" s="702"/>
      <c r="Q2773" s="702"/>
      <c r="R2773" s="702"/>
      <c r="T2773" s="3397"/>
      <c r="V2773" s="3980"/>
      <c r="W2773" s="3421"/>
      <c r="X2773" s="2377"/>
      <c r="Y2773" s="2374"/>
      <c r="Z2773" s="3421"/>
      <c r="AA2773" s="3421"/>
      <c r="AB2773" s="2296"/>
      <c r="AC2773" s="3555"/>
      <c r="AD2773" s="2296">
        <v>38808.51063829787</v>
      </c>
      <c r="AE2773" s="3429"/>
      <c r="AF2773" s="3421"/>
      <c r="AG2773" s="3421"/>
      <c r="AH2773" s="156"/>
      <c r="AI2773" s="156"/>
      <c r="AJ2773" s="156"/>
      <c r="AK2773" s="156"/>
      <c r="AL2773" s="156"/>
      <c r="AM2773" s="156"/>
      <c r="AN2773" s="156"/>
      <c r="AO2773" s="156"/>
      <c r="AP2773" s="156"/>
      <c r="AQ2773" s="156"/>
      <c r="AR2773" s="156"/>
      <c r="AS2773" s="156"/>
      <c r="AT2773" s="156"/>
      <c r="AU2773" s="156"/>
      <c r="AV2773" s="156"/>
      <c r="AW2773" s="156"/>
      <c r="AX2773" s="156"/>
      <c r="AY2773" s="156"/>
      <c r="AZ2773" s="156"/>
      <c r="BA2773" s="156"/>
      <c r="BB2773" s="2828"/>
      <c r="BC2773" s="452"/>
      <c r="BD2773" s="2829"/>
      <c r="BE2773" s="2837"/>
      <c r="BF2773" s="156"/>
    </row>
    <row r="2774" spans="1:58" ht="15" customHeight="1" outlineLevel="1" x14ac:dyDescent="0.35">
      <c r="A2774" s="1664"/>
      <c r="B2774" s="2812"/>
      <c r="C2774" s="3077"/>
      <c r="D2774" s="3980"/>
      <c r="E2774" s="3883"/>
      <c r="F2774" s="3984" t="str">
        <f>$E$1658</f>
        <v>ASHP-SEER18-Replace_CAC_ElectricHeat_ROF_MF</v>
      </c>
      <c r="G2774" s="3984"/>
      <c r="H2774" s="3984"/>
      <c r="I2774" s="3984"/>
      <c r="J2774" s="3501" t="str">
        <f>$C$1658</f>
        <v>353250_2021_12_</v>
      </c>
      <c r="K2774" s="3054">
        <v>36000</v>
      </c>
      <c r="L2774" s="2824">
        <f t="shared" si="365"/>
        <v>3</v>
      </c>
      <c r="M2774" s="3025" t="s">
        <v>974</v>
      </c>
      <c r="N2774" s="106"/>
      <c r="O2774" s="106"/>
      <c r="P2774" s="702"/>
      <c r="Q2774" s="702"/>
      <c r="R2774" s="702"/>
      <c r="S2774" s="106"/>
      <c r="T2774" s="486"/>
      <c r="U2774" s="106"/>
      <c r="V2774" s="3980"/>
      <c r="W2774" s="3421">
        <v>33600</v>
      </c>
      <c r="X2774" s="3421">
        <v>33600</v>
      </c>
      <c r="Y2774" s="3421">
        <v>33600</v>
      </c>
      <c r="Z2774" s="3421">
        <v>33600</v>
      </c>
      <c r="AA2774" s="3421">
        <v>33600</v>
      </c>
      <c r="AB2774" s="2374">
        <v>48000</v>
      </c>
      <c r="AC2774" s="2292">
        <v>36000</v>
      </c>
      <c r="AD2774" s="2042">
        <v>36000</v>
      </c>
      <c r="AE2774" s="3429"/>
      <c r="AF2774" s="3421"/>
      <c r="AG2774" s="3421"/>
      <c r="AH2774" s="156"/>
      <c r="AI2774" s="156"/>
      <c r="AJ2774" s="156"/>
      <c r="AK2774" s="156"/>
      <c r="AL2774" s="156"/>
      <c r="AM2774" s="156"/>
      <c r="AN2774" s="156"/>
      <c r="AO2774" s="156"/>
      <c r="AP2774" s="156"/>
      <c r="AQ2774" s="156"/>
      <c r="AR2774" s="156"/>
      <c r="AS2774" s="156"/>
      <c r="AT2774" s="156"/>
      <c r="AU2774" s="156"/>
      <c r="AV2774" s="156"/>
      <c r="AW2774" s="156"/>
      <c r="AX2774" s="156"/>
      <c r="AY2774" s="156"/>
      <c r="AZ2774" s="156"/>
      <c r="BA2774" s="156"/>
      <c r="BB2774" s="2828"/>
      <c r="BC2774" s="452"/>
      <c r="BD2774" s="2829"/>
      <c r="BE2774" s="2837"/>
      <c r="BF2774" s="156"/>
    </row>
    <row r="2775" spans="1:58" ht="15" customHeight="1" outlineLevel="1" x14ac:dyDescent="0.35">
      <c r="A2775" s="1664"/>
      <c r="B2775" s="2812"/>
      <c r="C2775" s="3077"/>
      <c r="D2775" s="3980"/>
      <c r="E2775" s="3883"/>
      <c r="F2775" s="3984" t="str">
        <f>$E$1660</f>
        <v>ASHP-SEER18-Replace_CAC_ElectricHeat_ROF_MF_CompE</v>
      </c>
      <c r="G2775" s="3984"/>
      <c r="H2775" s="3984"/>
      <c r="I2775" s="3984"/>
      <c r="J2775" s="3501" t="str">
        <f>$C$1660</f>
        <v>353251_2021_12_</v>
      </c>
      <c r="K2775" s="3054">
        <v>36000</v>
      </c>
      <c r="L2775" s="2824">
        <f t="shared" si="365"/>
        <v>3</v>
      </c>
      <c r="M2775" s="3025" t="s">
        <v>974</v>
      </c>
      <c r="N2775" s="106"/>
      <c r="O2775" s="106"/>
      <c r="P2775" s="702"/>
      <c r="Q2775" s="702"/>
      <c r="R2775" s="702"/>
      <c r="S2775" s="106"/>
      <c r="T2775" s="486"/>
      <c r="U2775" s="106"/>
      <c r="V2775" s="3980"/>
      <c r="W2775" s="3421"/>
      <c r="X2775" s="3421"/>
      <c r="Y2775" s="2374">
        <v>33600</v>
      </c>
      <c r="Z2775" s="3421">
        <v>33600</v>
      </c>
      <c r="AA2775" s="3421">
        <v>33600</v>
      </c>
      <c r="AB2775" s="2374">
        <v>48000</v>
      </c>
      <c r="AC2775" s="2292">
        <f>AC2774</f>
        <v>36000</v>
      </c>
      <c r="AD2775" s="2042">
        <v>36000</v>
      </c>
      <c r="AE2775" s="3429"/>
      <c r="AF2775" s="3421"/>
      <c r="AG2775" s="3421"/>
      <c r="AH2775" s="156"/>
      <c r="AI2775" s="156"/>
      <c r="AJ2775" s="156"/>
      <c r="AK2775" s="156"/>
      <c r="AL2775" s="156"/>
      <c r="AM2775" s="156"/>
      <c r="AN2775" s="156"/>
      <c r="AO2775" s="156"/>
      <c r="AP2775" s="156"/>
      <c r="AQ2775" s="156"/>
      <c r="AR2775" s="156"/>
      <c r="AS2775" s="156"/>
      <c r="AT2775" s="156"/>
      <c r="AU2775" s="156"/>
      <c r="AV2775" s="156"/>
      <c r="AW2775" s="156"/>
      <c r="AX2775" s="156"/>
      <c r="AY2775" s="156"/>
      <c r="AZ2775" s="156"/>
      <c r="BA2775" s="156"/>
      <c r="BB2775" s="2828"/>
      <c r="BC2775" s="452"/>
      <c r="BD2775" s="2829"/>
      <c r="BE2775" s="2837"/>
      <c r="BF2775" s="156"/>
    </row>
    <row r="2776" spans="1:58" ht="15" customHeight="1" outlineLevel="1" x14ac:dyDescent="0.35">
      <c r="A2776" s="1664"/>
      <c r="B2776" s="2812"/>
      <c r="C2776" s="3077"/>
      <c r="D2776" s="3980"/>
      <c r="E2776" s="3883"/>
      <c r="F2776" s="3984" t="str">
        <f>$E$1662</f>
        <v>ASHP-SEER18-Replace_CAC_NonElectricHeat_ROF_MF</v>
      </c>
      <c r="G2776" s="3984"/>
      <c r="H2776" s="3984"/>
      <c r="I2776" s="3984"/>
      <c r="J2776" s="3501" t="str">
        <f>$C$1662</f>
        <v>353260_2021_12_</v>
      </c>
      <c r="K2776" s="3054">
        <v>36000</v>
      </c>
      <c r="L2776" s="2823">
        <f t="shared" si="365"/>
        <v>3</v>
      </c>
      <c r="M2776" s="3025" t="s">
        <v>1083</v>
      </c>
      <c r="N2776" s="106"/>
      <c r="O2776" s="106"/>
      <c r="P2776" s="702"/>
      <c r="Q2776" s="702"/>
      <c r="R2776" s="702"/>
      <c r="S2776" s="106"/>
      <c r="T2776" s="486"/>
      <c r="U2776" s="106"/>
      <c r="V2776" s="3980"/>
      <c r="W2776" s="3421"/>
      <c r="X2776" s="3421"/>
      <c r="Y2776" s="2374"/>
      <c r="Z2776" s="3421"/>
      <c r="AA2776" s="3421"/>
      <c r="AB2776" s="2374"/>
      <c r="AC2776" s="2292">
        <v>36000</v>
      </c>
      <c r="AD2776" s="2042">
        <v>36000</v>
      </c>
      <c r="AE2776" s="3429"/>
      <c r="AF2776" s="3421"/>
      <c r="AG2776" s="3421"/>
      <c r="AH2776" s="156"/>
      <c r="AI2776" s="156"/>
      <c r="AJ2776" s="156"/>
      <c r="AK2776" s="156"/>
      <c r="AL2776" s="156"/>
      <c r="AM2776" s="156"/>
      <c r="AN2776" s="156"/>
      <c r="AO2776" s="156"/>
      <c r="AP2776" s="156"/>
      <c r="AQ2776" s="156"/>
      <c r="AR2776" s="156"/>
      <c r="AS2776" s="156"/>
      <c r="AT2776" s="156"/>
      <c r="AU2776" s="156"/>
      <c r="AV2776" s="156"/>
      <c r="AW2776" s="156"/>
      <c r="AX2776" s="156"/>
      <c r="AY2776" s="156"/>
      <c r="AZ2776" s="156"/>
      <c r="BA2776" s="156"/>
      <c r="BB2776" s="2828"/>
      <c r="BC2776" s="452"/>
      <c r="BD2776" s="2829"/>
      <c r="BE2776" s="2837"/>
      <c r="BF2776" s="156"/>
    </row>
    <row r="2777" spans="1:58" ht="15" customHeight="1" outlineLevel="1" x14ac:dyDescent="0.35">
      <c r="A2777" s="1664"/>
      <c r="B2777" s="2812"/>
      <c r="C2777" s="3077"/>
      <c r="D2777" s="3980"/>
      <c r="E2777" s="3883"/>
      <c r="F2777" s="3984" t="str">
        <f>$E$1664</f>
        <v>ASHP-SEER18-Replace_CAC_NonElectricHeat_ROF_MF_CompE</v>
      </c>
      <c r="G2777" s="3984"/>
      <c r="H2777" s="3984"/>
      <c r="I2777" s="3984"/>
      <c r="J2777" s="3501" t="str">
        <f>$C$1664</f>
        <v>353261_2021_12_</v>
      </c>
      <c r="K2777" s="3054">
        <v>36000</v>
      </c>
      <c r="L2777" s="2823">
        <f t="shared" si="365"/>
        <v>3</v>
      </c>
      <c r="M2777" s="3025" t="s">
        <v>1083</v>
      </c>
      <c r="N2777" s="106"/>
      <c r="O2777" s="106"/>
      <c r="P2777" s="702"/>
      <c r="Q2777" s="702"/>
      <c r="R2777" s="702"/>
      <c r="S2777" s="106"/>
      <c r="T2777" s="486"/>
      <c r="U2777" s="106"/>
      <c r="V2777" s="3980"/>
      <c r="W2777" s="3421"/>
      <c r="X2777" s="3421"/>
      <c r="Y2777" s="2374"/>
      <c r="Z2777" s="3421"/>
      <c r="AA2777" s="3421"/>
      <c r="AB2777" s="2374"/>
      <c r="AC2777" s="2292">
        <f>AC2776</f>
        <v>36000</v>
      </c>
      <c r="AD2777" s="2042">
        <v>36000</v>
      </c>
      <c r="AE2777" s="3429"/>
      <c r="AF2777" s="3421"/>
      <c r="AG2777" s="3421"/>
      <c r="AH2777" s="156"/>
      <c r="AI2777" s="156"/>
      <c r="AJ2777" s="156"/>
      <c r="AK2777" s="156"/>
      <c r="AL2777" s="156"/>
      <c r="AM2777" s="156"/>
      <c r="AN2777" s="156"/>
      <c r="AO2777" s="156"/>
      <c r="AP2777" s="156"/>
      <c r="AQ2777" s="156"/>
      <c r="AR2777" s="156"/>
      <c r="AS2777" s="156"/>
      <c r="AT2777" s="156"/>
      <c r="AU2777" s="156"/>
      <c r="AV2777" s="156"/>
      <c r="AW2777" s="156"/>
      <c r="AX2777" s="156"/>
      <c r="AY2777" s="156"/>
      <c r="AZ2777" s="156"/>
      <c r="BA2777" s="156"/>
      <c r="BB2777" s="2828"/>
      <c r="BC2777" s="452"/>
      <c r="BD2777" s="2829"/>
      <c r="BE2777" s="2837"/>
      <c r="BF2777" s="156"/>
    </row>
    <row r="2778" spans="1:58" ht="15" customHeight="1" outlineLevel="1" x14ac:dyDescent="0.35">
      <c r="A2778" s="1664"/>
      <c r="B2778" s="2812"/>
      <c r="C2778" s="3077"/>
      <c r="D2778" s="3980"/>
      <c r="E2778" s="3883"/>
      <c r="F2778" s="3984" t="str">
        <f>$E$1666</f>
        <v>ASHP-SEER19-Replace_CAC_ElectricHeat_ROF_SF</v>
      </c>
      <c r="G2778" s="3984"/>
      <c r="H2778" s="3984"/>
      <c r="I2778" s="3984"/>
      <c r="J2778" s="3501" t="str">
        <f>$C$1666</f>
        <v>353300_2021_12_</v>
      </c>
      <c r="K2778" s="3047">
        <v>41076.923076923078</v>
      </c>
      <c r="L2778" s="2823">
        <f t="shared" si="365"/>
        <v>3.4230769230769234</v>
      </c>
      <c r="M2778" s="2819" t="s">
        <v>4360</v>
      </c>
      <c r="N2778" s="106"/>
      <c r="O2778" s="106"/>
      <c r="P2778" s="702"/>
      <c r="Q2778" s="702"/>
      <c r="R2778" s="702"/>
      <c r="S2778" s="106"/>
      <c r="T2778" s="486"/>
      <c r="U2778" s="106"/>
      <c r="V2778" s="3980"/>
      <c r="W2778" s="3421">
        <v>33600</v>
      </c>
      <c r="X2778" s="3421">
        <v>33600</v>
      </c>
      <c r="Y2778" s="3421">
        <v>33600</v>
      </c>
      <c r="Z2778" s="3421">
        <v>33600</v>
      </c>
      <c r="AA2778" s="3421">
        <v>33600</v>
      </c>
      <c r="AB2778" s="3421">
        <v>33600</v>
      </c>
      <c r="AC2778" s="2292">
        <v>48000</v>
      </c>
      <c r="AD2778" s="2296">
        <v>41076.923076923078</v>
      </c>
      <c r="AE2778" s="3429"/>
      <c r="AF2778" s="3421"/>
      <c r="AG2778" s="3421"/>
      <c r="AH2778" s="156"/>
      <c r="AI2778" s="156"/>
      <c r="AJ2778" s="156"/>
      <c r="AK2778" s="156"/>
      <c r="AL2778" s="156"/>
      <c r="AM2778" s="156"/>
      <c r="AN2778" s="156"/>
      <c r="AO2778" s="156"/>
      <c r="AP2778" s="156"/>
      <c r="AQ2778" s="156"/>
      <c r="AR2778" s="156"/>
      <c r="AS2778" s="156"/>
      <c r="AT2778" s="156"/>
      <c r="AU2778" s="156"/>
      <c r="AV2778" s="156"/>
      <c r="AW2778" s="156"/>
      <c r="AX2778" s="156"/>
      <c r="AY2778" s="156"/>
      <c r="AZ2778" s="156"/>
      <c r="BA2778" s="156"/>
      <c r="BB2778" s="2828"/>
      <c r="BC2778" s="452"/>
      <c r="BD2778" s="2829"/>
      <c r="BE2778" s="2837"/>
      <c r="BF2778" s="156"/>
    </row>
    <row r="2779" spans="1:58" s="3398" customFormat="1" ht="15" customHeight="1" outlineLevel="1" x14ac:dyDescent="0.35">
      <c r="A2779" s="1664"/>
      <c r="B2779" s="2812"/>
      <c r="C2779" s="3077"/>
      <c r="D2779" s="3980"/>
      <c r="E2779" s="3883"/>
      <c r="F2779" s="4136" t="str">
        <f>$E$1668</f>
        <v>ASHP-SEER19-Replace_CAC_NonElectricHeat_ROF_SF</v>
      </c>
      <c r="G2779" s="4136"/>
      <c r="H2779" s="4136"/>
      <c r="I2779" s="4136"/>
      <c r="J2779" s="3502" t="str">
        <f>$C$1668</f>
        <v>353310_2022_12_</v>
      </c>
      <c r="K2779" s="3047">
        <v>41076.923076923078</v>
      </c>
      <c r="L2779" s="2823">
        <f t="shared" ref="L2779" si="368">K2779/12000</f>
        <v>3.4230769230769234</v>
      </c>
      <c r="M2779" s="2819" t="s">
        <v>1083</v>
      </c>
      <c r="P2779" s="702"/>
      <c r="Q2779" s="702"/>
      <c r="R2779" s="702"/>
      <c r="T2779" s="3397"/>
      <c r="V2779" s="3980"/>
      <c r="W2779" s="3421"/>
      <c r="X2779" s="2377"/>
      <c r="Y2779" s="2374"/>
      <c r="Z2779" s="3421"/>
      <c r="AA2779" s="3421"/>
      <c r="AB2779" s="2296"/>
      <c r="AC2779" s="3555"/>
      <c r="AD2779" s="2296">
        <v>41076.923076923078</v>
      </c>
      <c r="AE2779" s="3429"/>
      <c r="AF2779" s="3421"/>
      <c r="AG2779" s="3421"/>
      <c r="AH2779" s="156"/>
      <c r="AI2779" s="156"/>
      <c r="AJ2779" s="156"/>
      <c r="AK2779" s="156"/>
      <c r="AL2779" s="156"/>
      <c r="AM2779" s="156"/>
      <c r="AN2779" s="156"/>
      <c r="AO2779" s="156"/>
      <c r="AP2779" s="156"/>
      <c r="AQ2779" s="156"/>
      <c r="AR2779" s="156"/>
      <c r="AS2779" s="156"/>
      <c r="AT2779" s="156"/>
      <c r="AU2779" s="156"/>
      <c r="AV2779" s="156"/>
      <c r="AW2779" s="156"/>
      <c r="AX2779" s="156"/>
      <c r="AY2779" s="156"/>
      <c r="AZ2779" s="156"/>
      <c r="BA2779" s="156"/>
      <c r="BB2779" s="2828"/>
      <c r="BC2779" s="452"/>
      <c r="BD2779" s="2829"/>
      <c r="BE2779" s="2837"/>
      <c r="BF2779" s="156"/>
    </row>
    <row r="2780" spans="1:58" ht="15" customHeight="1" outlineLevel="1" x14ac:dyDescent="0.35">
      <c r="A2780" s="1664"/>
      <c r="B2780" s="2812"/>
      <c r="C2780" s="3077"/>
      <c r="D2780" s="3980"/>
      <c r="E2780" s="3883"/>
      <c r="F2780" s="3984" t="str">
        <f>$E$1670</f>
        <v>ASHP-SEER19-Replace_CAC_ElectricHeat_ROF_MF</v>
      </c>
      <c r="G2780" s="3984"/>
      <c r="H2780" s="3984"/>
      <c r="I2780" s="3984"/>
      <c r="J2780" s="3501" t="str">
        <f>$C$1670</f>
        <v>353350_2021_12_</v>
      </c>
      <c r="K2780" s="3054">
        <v>33600</v>
      </c>
      <c r="L2780" s="2824">
        <f t="shared" ref="L2780:L2845" si="369">K2780/12000</f>
        <v>2.8</v>
      </c>
      <c r="M2780" s="3025" t="s">
        <v>1506</v>
      </c>
      <c r="N2780" s="106"/>
      <c r="O2780" s="106"/>
      <c r="P2780" s="702"/>
      <c r="Q2780" s="702"/>
      <c r="R2780" s="702"/>
      <c r="S2780" s="106"/>
      <c r="T2780" s="486"/>
      <c r="U2780" s="106"/>
      <c r="V2780" s="3980"/>
      <c r="W2780" s="3421">
        <v>33600</v>
      </c>
      <c r="X2780" s="3421">
        <v>33600</v>
      </c>
      <c r="Y2780" s="3421">
        <v>33600</v>
      </c>
      <c r="Z2780" s="3421">
        <v>33600</v>
      </c>
      <c r="AA2780" s="3421">
        <v>33600</v>
      </c>
      <c r="AB2780" s="3421">
        <v>33600</v>
      </c>
      <c r="AC2780" s="3557">
        <v>33600</v>
      </c>
      <c r="AD2780" s="2042">
        <v>33600</v>
      </c>
      <c r="AE2780" s="3429"/>
      <c r="AF2780" s="3421"/>
      <c r="AG2780" s="3421"/>
      <c r="AH2780" s="156"/>
      <c r="AI2780" s="156"/>
      <c r="AJ2780" s="156"/>
      <c r="AK2780" s="156"/>
      <c r="AL2780" s="156"/>
      <c r="AM2780" s="156"/>
      <c r="AN2780" s="156"/>
      <c r="AO2780" s="156"/>
      <c r="AP2780" s="156"/>
      <c r="AQ2780" s="156"/>
      <c r="AR2780" s="156"/>
      <c r="AS2780" s="156"/>
      <c r="AT2780" s="156"/>
      <c r="AU2780" s="156"/>
      <c r="AV2780" s="156"/>
      <c r="AW2780" s="156"/>
      <c r="AX2780" s="156"/>
      <c r="AY2780" s="156"/>
      <c r="AZ2780" s="156"/>
      <c r="BA2780" s="156"/>
      <c r="BB2780" s="2828"/>
      <c r="BC2780" s="452"/>
      <c r="BD2780" s="2829"/>
      <c r="BE2780" s="2837"/>
      <c r="BF2780" s="156"/>
    </row>
    <row r="2781" spans="1:58" ht="15" customHeight="1" outlineLevel="1" x14ac:dyDescent="0.35">
      <c r="A2781" s="1664"/>
      <c r="B2781" s="2812"/>
      <c r="C2781" s="3077"/>
      <c r="D2781" s="3980"/>
      <c r="E2781" s="3883"/>
      <c r="F2781" s="3984" t="str">
        <f>$E$1672</f>
        <v>ASHP-SEER19-Replace_CAC_ElectricHeat_ROF_MF_CompE</v>
      </c>
      <c r="G2781" s="3984"/>
      <c r="H2781" s="3984"/>
      <c r="I2781" s="3984"/>
      <c r="J2781" s="3501" t="str">
        <f>$C$1672</f>
        <v>353351_2019_12_</v>
      </c>
      <c r="K2781" s="3054">
        <v>33600</v>
      </c>
      <c r="L2781" s="2824">
        <f t="shared" si="369"/>
        <v>2.8</v>
      </c>
      <c r="M2781" s="3025"/>
      <c r="N2781" s="106"/>
      <c r="O2781" s="106"/>
      <c r="P2781" s="702"/>
      <c r="Q2781" s="702"/>
      <c r="R2781" s="702"/>
      <c r="S2781" s="106"/>
      <c r="T2781" s="486"/>
      <c r="U2781" s="106"/>
      <c r="V2781" s="3980"/>
      <c r="W2781" s="3421"/>
      <c r="X2781" s="3421"/>
      <c r="Y2781" s="2374">
        <v>33600</v>
      </c>
      <c r="Z2781" s="3421">
        <v>33600</v>
      </c>
      <c r="AA2781" s="3421">
        <v>33600</v>
      </c>
      <c r="AB2781" s="3421">
        <v>33600</v>
      </c>
      <c r="AC2781" s="3557">
        <f>AC2780</f>
        <v>33600</v>
      </c>
      <c r="AD2781" s="2042">
        <v>33600</v>
      </c>
      <c r="AE2781" s="3429"/>
      <c r="AF2781" s="3421"/>
      <c r="AG2781" s="3421"/>
      <c r="AH2781" s="156"/>
      <c r="AI2781" s="156"/>
      <c r="AJ2781" s="156"/>
      <c r="AK2781" s="156"/>
      <c r="AL2781" s="156"/>
      <c r="AM2781" s="156"/>
      <c r="AN2781" s="156"/>
      <c r="AO2781" s="156"/>
      <c r="AP2781" s="156"/>
      <c r="AQ2781" s="156"/>
      <c r="AR2781" s="156"/>
      <c r="AS2781" s="156"/>
      <c r="AT2781" s="156"/>
      <c r="AU2781" s="156"/>
      <c r="AV2781" s="156"/>
      <c r="AW2781" s="156"/>
      <c r="AX2781" s="156"/>
      <c r="AY2781" s="156"/>
      <c r="AZ2781" s="156"/>
      <c r="BA2781" s="156"/>
      <c r="BB2781" s="2828"/>
      <c r="BC2781" s="452"/>
      <c r="BD2781" s="2829"/>
      <c r="BE2781" s="2837"/>
      <c r="BF2781" s="156"/>
    </row>
    <row r="2782" spans="1:58" ht="15" customHeight="1" outlineLevel="1" x14ac:dyDescent="0.35">
      <c r="A2782" s="1664"/>
      <c r="B2782" s="2812"/>
      <c r="C2782" s="3077"/>
      <c r="D2782" s="3980"/>
      <c r="E2782" s="3883"/>
      <c r="F2782" s="3984" t="str">
        <f>$E$1674</f>
        <v>ASHP-SEER19-Replace_CAC_NonElectricHeat_ROF_MF</v>
      </c>
      <c r="G2782" s="3984"/>
      <c r="H2782" s="3984"/>
      <c r="I2782" s="3984"/>
      <c r="J2782" s="3501" t="str">
        <f>$C$1674</f>
        <v>353360_2021_12_</v>
      </c>
      <c r="K2782" s="3054">
        <v>33600</v>
      </c>
      <c r="L2782" s="2823">
        <f t="shared" si="369"/>
        <v>2.8</v>
      </c>
      <c r="M2782" s="3025" t="s">
        <v>1083</v>
      </c>
      <c r="N2782" s="106"/>
      <c r="O2782" s="106"/>
      <c r="P2782" s="702"/>
      <c r="Q2782" s="702"/>
      <c r="R2782" s="702"/>
      <c r="S2782" s="106"/>
      <c r="T2782" s="486"/>
      <c r="U2782" s="106"/>
      <c r="V2782" s="3980"/>
      <c r="W2782" s="3421"/>
      <c r="X2782" s="3421"/>
      <c r="Y2782" s="2374"/>
      <c r="Z2782" s="3421"/>
      <c r="AA2782" s="3421"/>
      <c r="AB2782" s="3421"/>
      <c r="AC2782" s="2292">
        <v>33600</v>
      </c>
      <c r="AD2782" s="2042">
        <v>33600</v>
      </c>
      <c r="AE2782" s="3429"/>
      <c r="AF2782" s="3421"/>
      <c r="AG2782" s="3421"/>
      <c r="AH2782" s="156"/>
      <c r="AI2782" s="156"/>
      <c r="AJ2782" s="156"/>
      <c r="AK2782" s="156"/>
      <c r="AL2782" s="156"/>
      <c r="AM2782" s="156"/>
      <c r="AN2782" s="156"/>
      <c r="AO2782" s="156"/>
      <c r="AP2782" s="156"/>
      <c r="AQ2782" s="156"/>
      <c r="AR2782" s="156"/>
      <c r="AS2782" s="156"/>
      <c r="AT2782" s="156"/>
      <c r="AU2782" s="156"/>
      <c r="AV2782" s="156"/>
      <c r="AW2782" s="156"/>
      <c r="AX2782" s="156"/>
      <c r="AY2782" s="156"/>
      <c r="AZ2782" s="156"/>
      <c r="BA2782" s="156"/>
      <c r="BB2782" s="2828"/>
      <c r="BC2782" s="452"/>
      <c r="BD2782" s="2829"/>
      <c r="BE2782" s="2837"/>
      <c r="BF2782" s="156"/>
    </row>
    <row r="2783" spans="1:58" ht="15" customHeight="1" outlineLevel="1" x14ac:dyDescent="0.35">
      <c r="A2783" s="1664"/>
      <c r="B2783" s="2812"/>
      <c r="C2783" s="3077"/>
      <c r="D2783" s="3980"/>
      <c r="E2783" s="3883"/>
      <c r="F2783" s="3984" t="str">
        <f>$E$1676</f>
        <v>ASHP-SEER19-Replace_CAC_NonElectricHeat_ROF_MF_CompE</v>
      </c>
      <c r="G2783" s="3984"/>
      <c r="H2783" s="3984"/>
      <c r="I2783" s="3984"/>
      <c r="J2783" s="3501" t="str">
        <f>$C$1676</f>
        <v>353361_2021_12_</v>
      </c>
      <c r="K2783" s="3054">
        <v>33600</v>
      </c>
      <c r="L2783" s="2823">
        <f t="shared" si="369"/>
        <v>2.8</v>
      </c>
      <c r="M2783" s="3025" t="s">
        <v>1083</v>
      </c>
      <c r="N2783" s="106"/>
      <c r="O2783" s="106"/>
      <c r="P2783" s="702"/>
      <c r="Q2783" s="702"/>
      <c r="R2783" s="702"/>
      <c r="S2783" s="106"/>
      <c r="T2783" s="486"/>
      <c r="U2783" s="106"/>
      <c r="V2783" s="3980"/>
      <c r="W2783" s="3421"/>
      <c r="X2783" s="3421"/>
      <c r="Y2783" s="2374"/>
      <c r="Z2783" s="3421"/>
      <c r="AA2783" s="3421"/>
      <c r="AB2783" s="3421"/>
      <c r="AC2783" s="2292">
        <f>AC2782</f>
        <v>33600</v>
      </c>
      <c r="AD2783" s="2042">
        <v>33600</v>
      </c>
      <c r="AE2783" s="3429"/>
      <c r="AF2783" s="3421"/>
      <c r="AG2783" s="3421"/>
      <c r="AH2783" s="156"/>
      <c r="AI2783" s="156"/>
      <c r="AJ2783" s="156"/>
      <c r="AK2783" s="156"/>
      <c r="AL2783" s="156"/>
      <c r="AM2783" s="156"/>
      <c r="AN2783" s="156"/>
      <c r="AO2783" s="156"/>
      <c r="AP2783" s="156"/>
      <c r="AQ2783" s="156"/>
      <c r="AR2783" s="156"/>
      <c r="AS2783" s="156"/>
      <c r="AT2783" s="156"/>
      <c r="AU2783" s="156"/>
      <c r="AV2783" s="156"/>
      <c r="AW2783" s="156"/>
      <c r="AX2783" s="156"/>
      <c r="AY2783" s="156"/>
      <c r="AZ2783" s="156"/>
      <c r="BA2783" s="156"/>
      <c r="BB2783" s="2828"/>
      <c r="BC2783" s="452"/>
      <c r="BD2783" s="2829"/>
      <c r="BE2783" s="2837"/>
      <c r="BF2783" s="156"/>
    </row>
    <row r="2784" spans="1:58" ht="15" customHeight="1" outlineLevel="1" x14ac:dyDescent="0.35">
      <c r="A2784" s="1664"/>
      <c r="B2784" s="2812"/>
      <c r="C2784" s="3077"/>
      <c r="D2784" s="3980"/>
      <c r="E2784" s="3883"/>
      <c r="F2784" s="3984" t="str">
        <f>$E$1678</f>
        <v>ASHP-SEER20-Replace_CAC_ElectricHeat_ER1_SF</v>
      </c>
      <c r="G2784" s="3984"/>
      <c r="H2784" s="3984"/>
      <c r="I2784" s="3984"/>
      <c r="J2784" s="3501" t="str">
        <f>$C$1678</f>
        <v>353400_2021_12_</v>
      </c>
      <c r="K2784" s="3047">
        <v>36754.666666666664</v>
      </c>
      <c r="L2784" s="2823">
        <f t="shared" si="369"/>
        <v>3.0628888888888888</v>
      </c>
      <c r="M2784" s="2819" t="s">
        <v>4360</v>
      </c>
      <c r="N2784" s="106"/>
      <c r="O2784" s="106"/>
      <c r="P2784" s="702"/>
      <c r="Q2784" s="702"/>
      <c r="R2784" s="702"/>
      <c r="S2784" s="106"/>
      <c r="T2784" s="486"/>
      <c r="U2784" s="106"/>
      <c r="V2784" s="3980"/>
      <c r="W2784" s="3421">
        <v>37200</v>
      </c>
      <c r="X2784" s="3421">
        <v>37200</v>
      </c>
      <c r="Y2784" s="3421">
        <v>37200</v>
      </c>
      <c r="Z2784" s="3421">
        <v>37200</v>
      </c>
      <c r="AA2784" s="3421">
        <v>37200</v>
      </c>
      <c r="AB2784" s="3421">
        <v>37200</v>
      </c>
      <c r="AC2784" s="2292">
        <v>36000</v>
      </c>
      <c r="AD2784" s="2296">
        <v>36754.666666666664</v>
      </c>
      <c r="AE2784" s="3429"/>
      <c r="AF2784" s="3421"/>
      <c r="AG2784" s="3421"/>
      <c r="AH2784" s="156"/>
      <c r="AI2784" s="156"/>
      <c r="AJ2784" s="156"/>
      <c r="AK2784" s="156"/>
      <c r="AL2784" s="156"/>
      <c r="AM2784" s="156"/>
      <c r="AN2784" s="156"/>
      <c r="AO2784" s="156"/>
      <c r="AP2784" s="156"/>
      <c r="AQ2784" s="156"/>
      <c r="AR2784" s="156"/>
      <c r="AS2784" s="156"/>
      <c r="AT2784" s="156"/>
      <c r="AU2784" s="156"/>
      <c r="AV2784" s="156"/>
      <c r="AW2784" s="156"/>
      <c r="AX2784" s="156"/>
      <c r="AY2784" s="156"/>
      <c r="AZ2784" s="156"/>
      <c r="BA2784" s="156"/>
      <c r="BB2784" s="2828"/>
      <c r="BC2784" s="452"/>
      <c r="BD2784" s="2829"/>
      <c r="BE2784" s="2837"/>
      <c r="BF2784" s="156"/>
    </row>
    <row r="2785" spans="1:58" ht="15" customHeight="1" outlineLevel="1" x14ac:dyDescent="0.35">
      <c r="A2785" s="1664"/>
      <c r="B2785" s="2812"/>
      <c r="C2785" s="3077"/>
      <c r="D2785" s="3980"/>
      <c r="E2785" s="3883"/>
      <c r="F2785" s="3984" t="str">
        <f>$E$1680</f>
        <v>ASHP-SEER20-Replace_CAC_ElectricHeat_ER2_SF</v>
      </c>
      <c r="G2785" s="3984"/>
      <c r="H2785" s="3984"/>
      <c r="I2785" s="3984"/>
      <c r="J2785" s="3501" t="str">
        <f>$C$1680</f>
        <v>353400_2021_12_</v>
      </c>
      <c r="K2785" s="3047">
        <v>36754.666666666664</v>
      </c>
      <c r="L2785" s="2823">
        <f t="shared" si="369"/>
        <v>3.0628888888888888</v>
      </c>
      <c r="M2785" s="2819" t="s">
        <v>4360</v>
      </c>
      <c r="N2785" s="106"/>
      <c r="O2785" s="106"/>
      <c r="P2785" s="702"/>
      <c r="Q2785" s="702"/>
      <c r="R2785" s="702"/>
      <c r="S2785" s="106"/>
      <c r="T2785" s="486"/>
      <c r="U2785" s="106"/>
      <c r="V2785" s="3980"/>
      <c r="W2785" s="3421">
        <v>37200</v>
      </c>
      <c r="X2785" s="3421">
        <v>37200</v>
      </c>
      <c r="Y2785" s="3421">
        <v>37200</v>
      </c>
      <c r="Z2785" s="3421">
        <v>37200</v>
      </c>
      <c r="AA2785" s="3421">
        <v>37200</v>
      </c>
      <c r="AB2785" s="3421">
        <v>37200</v>
      </c>
      <c r="AC2785" s="2292">
        <f>AC2784</f>
        <v>36000</v>
      </c>
      <c r="AD2785" s="2296">
        <v>36754.666666666664</v>
      </c>
      <c r="AE2785" s="3429"/>
      <c r="AF2785" s="3421"/>
      <c r="AG2785" s="3421"/>
      <c r="AH2785" s="156"/>
      <c r="AI2785" s="156"/>
      <c r="AJ2785" s="156"/>
      <c r="AK2785" s="156"/>
      <c r="AL2785" s="156"/>
      <c r="AM2785" s="156"/>
      <c r="AN2785" s="156"/>
      <c r="AO2785" s="156"/>
      <c r="AP2785" s="156"/>
      <c r="AQ2785" s="156"/>
      <c r="AR2785" s="156"/>
      <c r="AS2785" s="156"/>
      <c r="AT2785" s="156"/>
      <c r="AU2785" s="156"/>
      <c r="AV2785" s="156"/>
      <c r="AW2785" s="156"/>
      <c r="AX2785" s="156"/>
      <c r="AY2785" s="156"/>
      <c r="AZ2785" s="156"/>
      <c r="BA2785" s="156"/>
      <c r="BB2785" s="2828"/>
      <c r="BC2785" s="452"/>
      <c r="BD2785" s="2829"/>
      <c r="BE2785" s="2837"/>
      <c r="BF2785" s="156"/>
    </row>
    <row r="2786" spans="1:58" ht="15" customHeight="1" outlineLevel="1" x14ac:dyDescent="0.35">
      <c r="A2786" s="1664"/>
      <c r="B2786" s="2812"/>
      <c r="C2786" s="3077"/>
      <c r="D2786" s="3980"/>
      <c r="E2786" s="3883"/>
      <c r="F2786" s="3984" t="str">
        <f>$E$1682</f>
        <v>ASHP-SEER20-Replace_CAC_NonElectricHeat_ER1_SF</v>
      </c>
      <c r="G2786" s="3984"/>
      <c r="H2786" s="3984"/>
      <c r="I2786" s="3984"/>
      <c r="J2786" s="3501" t="str">
        <f>$C$1682</f>
        <v>353410_2021_12_</v>
      </c>
      <c r="K2786" s="3047">
        <v>36754.666666666664</v>
      </c>
      <c r="L2786" s="2823">
        <f t="shared" si="369"/>
        <v>3.0628888888888888</v>
      </c>
      <c r="M2786" s="3025" t="s">
        <v>1083</v>
      </c>
      <c r="N2786" s="106"/>
      <c r="O2786" s="106"/>
      <c r="P2786" s="702"/>
      <c r="Q2786" s="702"/>
      <c r="R2786" s="702"/>
      <c r="S2786" s="106"/>
      <c r="T2786" s="486"/>
      <c r="U2786" s="106"/>
      <c r="V2786" s="3980"/>
      <c r="W2786" s="3421"/>
      <c r="X2786" s="3421"/>
      <c r="Y2786" s="3421"/>
      <c r="Z2786" s="3421"/>
      <c r="AA2786" s="3421"/>
      <c r="AB2786" s="3421"/>
      <c r="AC2786" s="2292">
        <v>36000</v>
      </c>
      <c r="AD2786" s="2296">
        <v>36754.666666666664</v>
      </c>
      <c r="AE2786" s="3429"/>
      <c r="AF2786" s="3421"/>
      <c r="AG2786" s="3421"/>
      <c r="AH2786" s="156"/>
      <c r="AI2786" s="156"/>
      <c r="AJ2786" s="156"/>
      <c r="AK2786" s="156"/>
      <c r="AL2786" s="156"/>
      <c r="AM2786" s="156"/>
      <c r="AN2786" s="156"/>
      <c r="AO2786" s="156"/>
      <c r="AP2786" s="156"/>
      <c r="AQ2786" s="156"/>
      <c r="AR2786" s="156"/>
      <c r="AS2786" s="156"/>
      <c r="AT2786" s="156"/>
      <c r="AU2786" s="156"/>
      <c r="AV2786" s="156"/>
      <c r="AW2786" s="156"/>
      <c r="AX2786" s="156"/>
      <c r="AY2786" s="156"/>
      <c r="AZ2786" s="156"/>
      <c r="BA2786" s="156"/>
      <c r="BB2786" s="2828"/>
      <c r="BC2786" s="452"/>
      <c r="BD2786" s="2829"/>
      <c r="BE2786" s="2837"/>
      <c r="BF2786" s="156"/>
    </row>
    <row r="2787" spans="1:58" ht="15" customHeight="1" outlineLevel="1" x14ac:dyDescent="0.35">
      <c r="A2787" s="1664"/>
      <c r="B2787" s="2812"/>
      <c r="C2787" s="3077"/>
      <c r="D2787" s="3980"/>
      <c r="E2787" s="3883"/>
      <c r="F2787" s="3984" t="str">
        <f>$E$1684</f>
        <v>ASHP-SEER20-Replace_CAC_NonElectricHeat_ER2_SF</v>
      </c>
      <c r="G2787" s="3984"/>
      <c r="H2787" s="3984"/>
      <c r="I2787" s="3984"/>
      <c r="J2787" s="3501" t="str">
        <f>$C$1684</f>
        <v>353410_2021_12_</v>
      </c>
      <c r="K2787" s="3047">
        <v>36754.666666666664</v>
      </c>
      <c r="L2787" s="2823">
        <f t="shared" si="369"/>
        <v>3.0628888888888888</v>
      </c>
      <c r="M2787" s="3025" t="s">
        <v>1083</v>
      </c>
      <c r="N2787" s="106"/>
      <c r="O2787" s="106"/>
      <c r="P2787" s="702"/>
      <c r="Q2787" s="702"/>
      <c r="R2787" s="702"/>
      <c r="S2787" s="106"/>
      <c r="T2787" s="486"/>
      <c r="U2787" s="106"/>
      <c r="V2787" s="3980"/>
      <c r="W2787" s="3421"/>
      <c r="X2787" s="3421"/>
      <c r="Y2787" s="3421"/>
      <c r="Z2787" s="3421"/>
      <c r="AA2787" s="3421"/>
      <c r="AB2787" s="3421"/>
      <c r="AC2787" s="2292">
        <f>AC2786</f>
        <v>36000</v>
      </c>
      <c r="AD2787" s="2296">
        <v>36754.666666666664</v>
      </c>
      <c r="AE2787" s="3429"/>
      <c r="AF2787" s="3421"/>
      <c r="AG2787" s="3421"/>
      <c r="AH2787" s="156"/>
      <c r="AI2787" s="156"/>
      <c r="AJ2787" s="156"/>
      <c r="AK2787" s="156"/>
      <c r="AL2787" s="156"/>
      <c r="AM2787" s="156"/>
      <c r="AN2787" s="156"/>
      <c r="AO2787" s="156"/>
      <c r="AP2787" s="156"/>
      <c r="AQ2787" s="156"/>
      <c r="AR2787" s="156"/>
      <c r="AS2787" s="156"/>
      <c r="AT2787" s="156"/>
      <c r="AU2787" s="156"/>
      <c r="AV2787" s="156"/>
      <c r="AW2787" s="156"/>
      <c r="AX2787" s="156"/>
      <c r="AY2787" s="156"/>
      <c r="AZ2787" s="156"/>
      <c r="BA2787" s="156"/>
      <c r="BB2787" s="2828"/>
      <c r="BC2787" s="452"/>
      <c r="BD2787" s="2829"/>
      <c r="BE2787" s="2837"/>
      <c r="BF2787" s="156"/>
    </row>
    <row r="2788" spans="1:58" ht="15" customHeight="1" outlineLevel="1" x14ac:dyDescent="0.35">
      <c r="A2788" s="1664"/>
      <c r="B2788" s="2812"/>
      <c r="C2788" s="3077"/>
      <c r="D2788" s="3980"/>
      <c r="E2788" s="3883"/>
      <c r="F2788" s="3984" t="str">
        <f>$E$1686</f>
        <v>ASHP-SEER20-Replace_CAC_ElectricHeat_ROF_SF</v>
      </c>
      <c r="G2788" s="3984"/>
      <c r="H2788" s="3984"/>
      <c r="I2788" s="3984"/>
      <c r="J2788" s="3501" t="str">
        <f>$C$1686</f>
        <v>353450_2021_12_</v>
      </c>
      <c r="K2788" s="3047">
        <v>38142.857142857138</v>
      </c>
      <c r="L2788" s="2823">
        <f t="shared" si="369"/>
        <v>3.1785714285714279</v>
      </c>
      <c r="M2788" s="2819" t="s">
        <v>4360</v>
      </c>
      <c r="N2788" s="106"/>
      <c r="O2788" s="106"/>
      <c r="P2788" s="702"/>
      <c r="Q2788" s="702"/>
      <c r="R2788" s="702"/>
      <c r="S2788" s="106"/>
      <c r="T2788" s="486"/>
      <c r="U2788" s="106"/>
      <c r="V2788" s="3980"/>
      <c r="W2788" s="3421">
        <v>38400</v>
      </c>
      <c r="X2788" s="3421">
        <v>38400</v>
      </c>
      <c r="Y2788" s="3421">
        <v>38400</v>
      </c>
      <c r="Z2788" s="3421">
        <v>38400</v>
      </c>
      <c r="AA2788" s="3421">
        <v>38400</v>
      </c>
      <c r="AB2788" s="3421">
        <v>38400</v>
      </c>
      <c r="AC2788" s="2292">
        <v>30000</v>
      </c>
      <c r="AD2788" s="2296">
        <v>38142.857142857138</v>
      </c>
      <c r="AE2788" s="3429"/>
      <c r="AF2788" s="3421"/>
      <c r="AG2788" s="3421"/>
      <c r="AH2788" s="156"/>
      <c r="AI2788" s="156"/>
      <c r="AJ2788" s="156"/>
      <c r="AK2788" s="156"/>
      <c r="AL2788" s="156"/>
      <c r="AM2788" s="156"/>
      <c r="AN2788" s="156"/>
      <c r="AO2788" s="156"/>
      <c r="AP2788" s="156"/>
      <c r="AQ2788" s="156"/>
      <c r="AR2788" s="156"/>
      <c r="AS2788" s="156"/>
      <c r="AT2788" s="156"/>
      <c r="AU2788" s="156"/>
      <c r="AV2788" s="156"/>
      <c r="AW2788" s="156"/>
      <c r="AX2788" s="156"/>
      <c r="AY2788" s="156"/>
      <c r="AZ2788" s="156"/>
      <c r="BA2788" s="156"/>
      <c r="BB2788" s="2828"/>
      <c r="BC2788" s="452"/>
      <c r="BD2788" s="2829"/>
      <c r="BE2788" s="2837"/>
      <c r="BF2788" s="156"/>
    </row>
    <row r="2789" spans="1:58" s="3398" customFormat="1" ht="15" customHeight="1" outlineLevel="1" x14ac:dyDescent="0.35">
      <c r="A2789" s="1664"/>
      <c r="B2789" s="2812"/>
      <c r="C2789" s="3077"/>
      <c r="D2789" s="3980"/>
      <c r="E2789" s="3883"/>
      <c r="F2789" s="4136" t="str">
        <f>$E$1688</f>
        <v>ASHP-SEER20-Replace_CAC_NonElectricHeat_ROF_SF</v>
      </c>
      <c r="G2789" s="4136"/>
      <c r="H2789" s="4136"/>
      <c r="I2789" s="4136"/>
      <c r="J2789" s="3502" t="str">
        <f>$C$1688</f>
        <v>353460_2022_12_</v>
      </c>
      <c r="K2789" s="3047">
        <v>38142.857142857138</v>
      </c>
      <c r="L2789" s="2823">
        <f t="shared" si="369"/>
        <v>3.1785714285714279</v>
      </c>
      <c r="M2789" s="2819" t="s">
        <v>1083</v>
      </c>
      <c r="P2789" s="702"/>
      <c r="Q2789" s="702"/>
      <c r="R2789" s="702"/>
      <c r="T2789" s="3397"/>
      <c r="V2789" s="3980"/>
      <c r="W2789" s="3421"/>
      <c r="X2789" s="2377"/>
      <c r="Y2789" s="2374"/>
      <c r="Z2789" s="3421"/>
      <c r="AA2789" s="3421"/>
      <c r="AB2789" s="2296"/>
      <c r="AC2789" s="3555"/>
      <c r="AD2789" s="2296">
        <v>38142.857142857138</v>
      </c>
      <c r="AE2789" s="3429"/>
      <c r="AF2789" s="3421"/>
      <c r="AG2789" s="3421"/>
      <c r="AH2789" s="156"/>
      <c r="AI2789" s="156"/>
      <c r="AJ2789" s="156"/>
      <c r="AK2789" s="156"/>
      <c r="AL2789" s="156"/>
      <c r="AM2789" s="156"/>
      <c r="AN2789" s="156"/>
      <c r="AO2789" s="156"/>
      <c r="AP2789" s="156"/>
      <c r="AQ2789" s="156"/>
      <c r="AR2789" s="156"/>
      <c r="AS2789" s="156"/>
      <c r="AT2789" s="156"/>
      <c r="AU2789" s="156"/>
      <c r="AV2789" s="156"/>
      <c r="AW2789" s="156"/>
      <c r="AX2789" s="156"/>
      <c r="AY2789" s="156"/>
      <c r="AZ2789" s="156"/>
      <c r="BA2789" s="156"/>
      <c r="BB2789" s="2828"/>
      <c r="BC2789" s="452"/>
      <c r="BD2789" s="2829"/>
      <c r="BE2789" s="2837"/>
      <c r="BF2789" s="156"/>
    </row>
    <row r="2790" spans="1:58" ht="15" customHeight="1" outlineLevel="1" x14ac:dyDescent="0.35">
      <c r="A2790" s="1664"/>
      <c r="B2790" s="2812"/>
      <c r="C2790" s="3077"/>
      <c r="D2790" s="3980"/>
      <c r="E2790" s="3883"/>
      <c r="F2790" s="3984" t="str">
        <f>$E$1690</f>
        <v>ASHP-SEER20-Replace_CAC_ElectricHeat_ROF_MF</v>
      </c>
      <c r="G2790" s="3984"/>
      <c r="H2790" s="3984"/>
      <c r="I2790" s="3984"/>
      <c r="J2790" s="3501" t="str">
        <f>$C$1690</f>
        <v>353500_2019_12_</v>
      </c>
      <c r="K2790" s="3054">
        <v>38400</v>
      </c>
      <c r="L2790" s="2824">
        <f t="shared" si="369"/>
        <v>3.2</v>
      </c>
      <c r="M2790" s="3025" t="s">
        <v>1506</v>
      </c>
      <c r="N2790" s="106"/>
      <c r="O2790" s="106"/>
      <c r="P2790" s="702"/>
      <c r="Q2790" s="702"/>
      <c r="R2790" s="702"/>
      <c r="S2790" s="106"/>
      <c r="T2790" s="486"/>
      <c r="U2790" s="106"/>
      <c r="V2790" s="3980"/>
      <c r="W2790" s="3421">
        <v>38400</v>
      </c>
      <c r="X2790" s="3421">
        <v>38400</v>
      </c>
      <c r="Y2790" s="3421">
        <v>38400</v>
      </c>
      <c r="Z2790" s="3421">
        <v>38400</v>
      </c>
      <c r="AA2790" s="3421">
        <v>38400</v>
      </c>
      <c r="AB2790" s="3421">
        <v>38400</v>
      </c>
      <c r="AC2790" s="3557">
        <v>38400</v>
      </c>
      <c r="AD2790" s="2042">
        <v>38400</v>
      </c>
      <c r="AE2790" s="3429"/>
      <c r="AF2790" s="3421"/>
      <c r="AG2790" s="3421"/>
      <c r="AH2790" s="156"/>
      <c r="AI2790" s="156"/>
      <c r="AJ2790" s="156"/>
      <c r="AK2790" s="156"/>
      <c r="AL2790" s="156"/>
      <c r="AM2790" s="156"/>
      <c r="AN2790" s="156"/>
      <c r="AO2790" s="156"/>
      <c r="AP2790" s="156"/>
      <c r="AQ2790" s="156"/>
      <c r="AR2790" s="156"/>
      <c r="AS2790" s="156"/>
      <c r="AT2790" s="156"/>
      <c r="AU2790" s="156"/>
      <c r="AV2790" s="156"/>
      <c r="AW2790" s="156"/>
      <c r="AX2790" s="156"/>
      <c r="AY2790" s="156"/>
      <c r="AZ2790" s="156"/>
      <c r="BA2790" s="156"/>
      <c r="BB2790" s="2828"/>
      <c r="BC2790" s="452"/>
      <c r="BD2790" s="2829"/>
      <c r="BE2790" s="2837"/>
      <c r="BF2790" s="156"/>
    </row>
    <row r="2791" spans="1:58" ht="15" customHeight="1" outlineLevel="1" x14ac:dyDescent="0.35">
      <c r="A2791" s="1664"/>
      <c r="B2791" s="2812"/>
      <c r="C2791" s="3077"/>
      <c r="D2791" s="3980"/>
      <c r="E2791" s="3883"/>
      <c r="F2791" s="3984" t="str">
        <f>$E$1692</f>
        <v>ASHP-SEER20-Replace_CAC_ElectricHeat_ROF_MF_CompE</v>
      </c>
      <c r="G2791" s="3984"/>
      <c r="H2791" s="3984"/>
      <c r="I2791" s="3984"/>
      <c r="J2791" s="3501" t="str">
        <f>$C$1692</f>
        <v>353501_2019_12_</v>
      </c>
      <c r="K2791" s="3054">
        <v>38400</v>
      </c>
      <c r="L2791" s="2824">
        <f t="shared" si="369"/>
        <v>3.2</v>
      </c>
      <c r="M2791" s="3025"/>
      <c r="N2791" s="106"/>
      <c r="O2791" s="106"/>
      <c r="P2791" s="702"/>
      <c r="Q2791" s="702"/>
      <c r="R2791" s="702"/>
      <c r="S2791" s="106"/>
      <c r="T2791" s="486"/>
      <c r="U2791" s="106"/>
      <c r="V2791" s="3980"/>
      <c r="W2791" s="3421"/>
      <c r="X2791" s="3421"/>
      <c r="Y2791" s="2374">
        <v>38400</v>
      </c>
      <c r="Z2791" s="3421">
        <v>38400</v>
      </c>
      <c r="AA2791" s="3421">
        <v>38400</v>
      </c>
      <c r="AB2791" s="3421">
        <v>38400</v>
      </c>
      <c r="AC2791" s="3557">
        <f>AC2790</f>
        <v>38400</v>
      </c>
      <c r="AD2791" s="2042">
        <v>38400</v>
      </c>
      <c r="AE2791" s="3429"/>
      <c r="AF2791" s="3421"/>
      <c r="AG2791" s="3421"/>
      <c r="AH2791" s="156"/>
      <c r="AI2791" s="156"/>
      <c r="AJ2791" s="156"/>
      <c r="AK2791" s="156"/>
      <c r="AL2791" s="156"/>
      <c r="AM2791" s="156"/>
      <c r="AN2791" s="156"/>
      <c r="AO2791" s="156"/>
      <c r="AP2791" s="156"/>
      <c r="AQ2791" s="156"/>
      <c r="AR2791" s="156"/>
      <c r="AS2791" s="156"/>
      <c r="AT2791" s="156"/>
      <c r="AU2791" s="156"/>
      <c r="AV2791" s="156"/>
      <c r="AW2791" s="156"/>
      <c r="AX2791" s="156"/>
      <c r="AY2791" s="156"/>
      <c r="AZ2791" s="156"/>
      <c r="BA2791" s="156"/>
      <c r="BB2791" s="2828"/>
      <c r="BC2791" s="452"/>
      <c r="BD2791" s="2829"/>
      <c r="BE2791" s="2837"/>
      <c r="BF2791" s="156"/>
    </row>
    <row r="2792" spans="1:58" ht="15" customHeight="1" outlineLevel="1" x14ac:dyDescent="0.35">
      <c r="A2792" s="1664"/>
      <c r="B2792" s="2812"/>
      <c r="C2792" s="3077"/>
      <c r="D2792" s="3980"/>
      <c r="E2792" s="3883"/>
      <c r="F2792" s="3984" t="str">
        <f>$E$1694</f>
        <v>ASHP-SEER20-Replace_CAC_NonElectricHeat_ROF_MF</v>
      </c>
      <c r="G2792" s="3984"/>
      <c r="H2792" s="3984"/>
      <c r="I2792" s="3984"/>
      <c r="J2792" s="3501" t="str">
        <f>$C$1694</f>
        <v>353510_2021_12_</v>
      </c>
      <c r="K2792" s="3054">
        <v>38400</v>
      </c>
      <c r="L2792" s="2823">
        <f t="shared" si="369"/>
        <v>3.2</v>
      </c>
      <c r="M2792" s="3025" t="s">
        <v>1083</v>
      </c>
      <c r="N2792" s="106"/>
      <c r="O2792" s="106"/>
      <c r="P2792" s="702"/>
      <c r="Q2792" s="702"/>
      <c r="R2792" s="702"/>
      <c r="S2792" s="106"/>
      <c r="T2792" s="486"/>
      <c r="U2792" s="106"/>
      <c r="V2792" s="3980"/>
      <c r="W2792" s="3421"/>
      <c r="X2792" s="3421"/>
      <c r="Y2792" s="2374"/>
      <c r="Z2792" s="3421"/>
      <c r="AA2792" s="3421"/>
      <c r="AB2792" s="3421"/>
      <c r="AC2792" s="2292">
        <v>38400</v>
      </c>
      <c r="AD2792" s="2042">
        <v>38400</v>
      </c>
      <c r="AE2792" s="3429"/>
      <c r="AF2792" s="3421"/>
      <c r="AG2792" s="3421"/>
      <c r="AH2792" s="156"/>
      <c r="AI2792" s="156"/>
      <c r="AJ2792" s="156"/>
      <c r="AK2792" s="156"/>
      <c r="AL2792" s="156"/>
      <c r="AM2792" s="156"/>
      <c r="AN2792" s="156"/>
      <c r="AO2792" s="156"/>
      <c r="AP2792" s="156"/>
      <c r="AQ2792" s="156"/>
      <c r="AR2792" s="156"/>
      <c r="AS2792" s="156"/>
      <c r="AT2792" s="156"/>
      <c r="AU2792" s="156"/>
      <c r="AV2792" s="156"/>
      <c r="AW2792" s="156"/>
      <c r="AX2792" s="156"/>
      <c r="AY2792" s="156"/>
      <c r="AZ2792" s="156"/>
      <c r="BA2792" s="156"/>
      <c r="BB2792" s="2828"/>
      <c r="BC2792" s="452"/>
      <c r="BD2792" s="2829"/>
      <c r="BE2792" s="2837"/>
      <c r="BF2792" s="156"/>
    </row>
    <row r="2793" spans="1:58" ht="15" customHeight="1" outlineLevel="1" x14ac:dyDescent="0.35">
      <c r="A2793" s="1664"/>
      <c r="B2793" s="2812"/>
      <c r="C2793" s="3077"/>
      <c r="D2793" s="3980"/>
      <c r="E2793" s="3883"/>
      <c r="F2793" s="3984" t="str">
        <f>$E$1696</f>
        <v>ASHP-SEER20-Replace_CAC_NonElectricHeat_ROF_MF_CompE</v>
      </c>
      <c r="G2793" s="3984"/>
      <c r="H2793" s="3984"/>
      <c r="I2793" s="3984"/>
      <c r="J2793" s="3501" t="str">
        <f>$C$1696</f>
        <v>353511_2021_12_</v>
      </c>
      <c r="K2793" s="3054">
        <v>38400</v>
      </c>
      <c r="L2793" s="2823">
        <f t="shared" si="369"/>
        <v>3.2</v>
      </c>
      <c r="M2793" s="3025" t="s">
        <v>1083</v>
      </c>
      <c r="N2793" s="106"/>
      <c r="O2793" s="106"/>
      <c r="P2793" s="702"/>
      <c r="Q2793" s="702"/>
      <c r="R2793" s="702"/>
      <c r="S2793" s="106"/>
      <c r="T2793" s="486"/>
      <c r="U2793" s="106"/>
      <c r="V2793" s="3980"/>
      <c r="W2793" s="3421"/>
      <c r="X2793" s="3421"/>
      <c r="Y2793" s="2374"/>
      <c r="Z2793" s="3421"/>
      <c r="AA2793" s="3421"/>
      <c r="AB2793" s="3421"/>
      <c r="AC2793" s="2292">
        <f>AC2792</f>
        <v>38400</v>
      </c>
      <c r="AD2793" s="2042">
        <v>38400</v>
      </c>
      <c r="AE2793" s="3429"/>
      <c r="AF2793" s="3421"/>
      <c r="AG2793" s="3421"/>
      <c r="AH2793" s="156"/>
      <c r="AI2793" s="156"/>
      <c r="AJ2793" s="156"/>
      <c r="AK2793" s="156"/>
      <c r="AL2793" s="156"/>
      <c r="AM2793" s="156"/>
      <c r="AN2793" s="156"/>
      <c r="AO2793" s="156"/>
      <c r="AP2793" s="156"/>
      <c r="AQ2793" s="156"/>
      <c r="AR2793" s="156"/>
      <c r="AS2793" s="156"/>
      <c r="AT2793" s="156"/>
      <c r="AU2793" s="156"/>
      <c r="AV2793" s="156"/>
      <c r="AW2793" s="156"/>
      <c r="AX2793" s="156"/>
      <c r="AY2793" s="156"/>
      <c r="AZ2793" s="156"/>
      <c r="BA2793" s="156"/>
      <c r="BB2793" s="2828"/>
      <c r="BC2793" s="452"/>
      <c r="BD2793" s="2829"/>
      <c r="BE2793" s="2837"/>
      <c r="BF2793" s="156"/>
    </row>
    <row r="2794" spans="1:58" ht="15" customHeight="1" outlineLevel="1" x14ac:dyDescent="0.35">
      <c r="A2794" s="1664"/>
      <c r="B2794" s="2812"/>
      <c r="C2794" s="3077"/>
      <c r="D2794" s="3980"/>
      <c r="E2794" s="3883"/>
      <c r="F2794" s="3984" t="str">
        <f>$E$1698</f>
        <v>ASHP-SEER21-Replace_CAC_ElectricHeat_ER1_SF</v>
      </c>
      <c r="G2794" s="3984"/>
      <c r="H2794" s="3984"/>
      <c r="I2794" s="3984"/>
      <c r="J2794" s="3501" t="str">
        <f>$C$1698</f>
        <v>353550_2021_12_</v>
      </c>
      <c r="K2794" s="3047">
        <v>40343.181818181816</v>
      </c>
      <c r="L2794" s="2823">
        <f t="shared" si="369"/>
        <v>3.3619318181818181</v>
      </c>
      <c r="M2794" s="2819" t="s">
        <v>4360</v>
      </c>
      <c r="N2794" s="106"/>
      <c r="O2794" s="106"/>
      <c r="P2794" s="702"/>
      <c r="Q2794" s="574"/>
      <c r="R2794" s="702"/>
      <c r="S2794" s="106"/>
      <c r="T2794" s="486"/>
      <c r="U2794" s="106"/>
      <c r="V2794" s="3980"/>
      <c r="W2794" s="3421">
        <v>37200</v>
      </c>
      <c r="X2794" s="3421">
        <v>37200</v>
      </c>
      <c r="Y2794" s="3421">
        <v>37200</v>
      </c>
      <c r="Z2794" s="3421">
        <v>37200</v>
      </c>
      <c r="AA2794" s="3421">
        <v>37200</v>
      </c>
      <c r="AB2794" s="3421">
        <v>37200</v>
      </c>
      <c r="AC2794" s="2292">
        <v>43090.909090909088</v>
      </c>
      <c r="AD2794" s="2296">
        <v>40343.181818181816</v>
      </c>
      <c r="AE2794" s="3429"/>
      <c r="AF2794" s="3421"/>
      <c r="AG2794" s="3421"/>
      <c r="AH2794" s="156"/>
      <c r="AI2794" s="156"/>
      <c r="AJ2794" s="156"/>
      <c r="AK2794" s="156"/>
      <c r="AL2794" s="156"/>
      <c r="AM2794" s="156"/>
      <c r="AN2794" s="156"/>
      <c r="AO2794" s="156"/>
      <c r="AP2794" s="156"/>
      <c r="AQ2794" s="156"/>
      <c r="AR2794" s="156"/>
      <c r="AS2794" s="156"/>
      <c r="AT2794" s="156"/>
      <c r="AU2794" s="156"/>
      <c r="AV2794" s="156"/>
      <c r="AW2794" s="156"/>
      <c r="AX2794" s="156"/>
      <c r="AY2794" s="156"/>
      <c r="AZ2794" s="156"/>
      <c r="BA2794" s="156"/>
      <c r="BB2794" s="2828"/>
      <c r="BC2794" s="452"/>
      <c r="BD2794" s="2829"/>
      <c r="BE2794" s="2837"/>
      <c r="BF2794" s="156"/>
    </row>
    <row r="2795" spans="1:58" ht="15" customHeight="1" outlineLevel="1" x14ac:dyDescent="0.35">
      <c r="A2795" s="1664"/>
      <c r="B2795" s="2812"/>
      <c r="C2795" s="3077"/>
      <c r="D2795" s="3980"/>
      <c r="E2795" s="3883"/>
      <c r="F2795" s="3984" t="str">
        <f>$E$1700</f>
        <v>ASHP-SEER21-Replace_CAC_ElectricHeat_ER2_SF</v>
      </c>
      <c r="G2795" s="3984"/>
      <c r="H2795" s="3984"/>
      <c r="I2795" s="3984"/>
      <c r="J2795" s="3501" t="str">
        <f>$C$1700</f>
        <v>353550_2021_12_</v>
      </c>
      <c r="K2795" s="3047">
        <v>40343.181818181816</v>
      </c>
      <c r="L2795" s="2823">
        <f t="shared" si="369"/>
        <v>3.3619318181818181</v>
      </c>
      <c r="M2795" s="2819" t="s">
        <v>4360</v>
      </c>
      <c r="N2795" s="106"/>
      <c r="O2795" s="106"/>
      <c r="P2795" s="702"/>
      <c r="Q2795" s="574"/>
      <c r="R2795" s="702"/>
      <c r="S2795" s="106"/>
      <c r="T2795" s="486"/>
      <c r="U2795" s="106"/>
      <c r="V2795" s="3980"/>
      <c r="W2795" s="3421">
        <v>37200</v>
      </c>
      <c r="X2795" s="3421">
        <v>37200</v>
      </c>
      <c r="Y2795" s="3421">
        <v>37200</v>
      </c>
      <c r="Z2795" s="3421">
        <v>37200</v>
      </c>
      <c r="AA2795" s="3421">
        <v>37200</v>
      </c>
      <c r="AB2795" s="3421">
        <v>37200</v>
      </c>
      <c r="AC2795" s="2292">
        <f>AC2794</f>
        <v>43090.909090909088</v>
      </c>
      <c r="AD2795" s="2296">
        <v>40343.181818181816</v>
      </c>
      <c r="AE2795" s="3429"/>
      <c r="AF2795" s="3421"/>
      <c r="AG2795" s="3421"/>
      <c r="AH2795" s="156"/>
      <c r="AI2795" s="156"/>
      <c r="AJ2795" s="156"/>
      <c r="AK2795" s="156"/>
      <c r="AL2795" s="156"/>
      <c r="AM2795" s="156"/>
      <c r="AN2795" s="156"/>
      <c r="AO2795" s="156"/>
      <c r="AP2795" s="156"/>
      <c r="AQ2795" s="156"/>
      <c r="AR2795" s="156"/>
      <c r="AS2795" s="156"/>
      <c r="AT2795" s="156"/>
      <c r="AU2795" s="156"/>
      <c r="AV2795" s="156"/>
      <c r="AW2795" s="156"/>
      <c r="AX2795" s="156"/>
      <c r="AY2795" s="156"/>
      <c r="AZ2795" s="156"/>
      <c r="BA2795" s="156"/>
      <c r="BB2795" s="2828"/>
      <c r="BC2795" s="452"/>
      <c r="BD2795" s="2829"/>
      <c r="BE2795" s="2837"/>
      <c r="BF2795" s="156"/>
    </row>
    <row r="2796" spans="1:58" ht="15" customHeight="1" outlineLevel="1" x14ac:dyDescent="0.35">
      <c r="A2796" s="1664"/>
      <c r="B2796" s="2812"/>
      <c r="C2796" s="3077"/>
      <c r="D2796" s="3980"/>
      <c r="E2796" s="3883"/>
      <c r="F2796" s="3984" t="str">
        <f>$E$1702</f>
        <v>ASHP-SEER21-Replace_CAC_NonElectricHeat_ER1_SF</v>
      </c>
      <c r="G2796" s="3984"/>
      <c r="H2796" s="3984"/>
      <c r="I2796" s="3984"/>
      <c r="J2796" s="3501" t="str">
        <f>$C$1702</f>
        <v>353560_2021_12_</v>
      </c>
      <c r="K2796" s="3047">
        <v>40343.181818181816</v>
      </c>
      <c r="L2796" s="2823">
        <f t="shared" si="369"/>
        <v>3.3619318181818181</v>
      </c>
      <c r="M2796" s="3025" t="s">
        <v>1083</v>
      </c>
      <c r="N2796" s="106"/>
      <c r="O2796" s="106"/>
      <c r="P2796" s="702"/>
      <c r="Q2796" s="574"/>
      <c r="R2796" s="702"/>
      <c r="S2796" s="106"/>
      <c r="T2796" s="486"/>
      <c r="U2796" s="106"/>
      <c r="V2796" s="3980"/>
      <c r="W2796" s="3421"/>
      <c r="X2796" s="3421"/>
      <c r="Y2796" s="3421"/>
      <c r="Z2796" s="3421"/>
      <c r="AA2796" s="3421"/>
      <c r="AB2796" s="3421"/>
      <c r="AC2796" s="2292">
        <v>43090.909090909088</v>
      </c>
      <c r="AD2796" s="2296">
        <v>40343.181818181816</v>
      </c>
      <c r="AE2796" s="3429"/>
      <c r="AF2796" s="3421"/>
      <c r="AG2796" s="3421"/>
      <c r="AH2796" s="156"/>
      <c r="AI2796" s="156"/>
      <c r="AJ2796" s="156"/>
      <c r="AK2796" s="156"/>
      <c r="AL2796" s="156"/>
      <c r="AM2796" s="156"/>
      <c r="AN2796" s="156"/>
      <c r="AO2796" s="156"/>
      <c r="AP2796" s="156"/>
      <c r="AQ2796" s="156"/>
      <c r="AR2796" s="156"/>
      <c r="AS2796" s="156"/>
      <c r="AT2796" s="156"/>
      <c r="AU2796" s="156"/>
      <c r="AV2796" s="156"/>
      <c r="AW2796" s="156"/>
      <c r="AX2796" s="156"/>
      <c r="AY2796" s="156"/>
      <c r="AZ2796" s="156"/>
      <c r="BA2796" s="156"/>
      <c r="BB2796" s="2828"/>
      <c r="BC2796" s="452"/>
      <c r="BD2796" s="2829"/>
      <c r="BE2796" s="2837"/>
      <c r="BF2796" s="156"/>
    </row>
    <row r="2797" spans="1:58" ht="15" customHeight="1" outlineLevel="1" x14ac:dyDescent="0.35">
      <c r="A2797" s="1664"/>
      <c r="B2797" s="2812"/>
      <c r="C2797" s="3077"/>
      <c r="D2797" s="3980"/>
      <c r="E2797" s="3883"/>
      <c r="F2797" s="3984" t="str">
        <f>$E$1704</f>
        <v>ASHP-SEER21-Replace_CAC_NonElectricHeat_ER2_SF</v>
      </c>
      <c r="G2797" s="3984"/>
      <c r="H2797" s="3984"/>
      <c r="I2797" s="3984"/>
      <c r="J2797" s="3501" t="str">
        <f>$C$1704</f>
        <v>353560_2021_12_</v>
      </c>
      <c r="K2797" s="3047">
        <v>40343.181818181816</v>
      </c>
      <c r="L2797" s="2823">
        <f t="shared" si="369"/>
        <v>3.3619318181818181</v>
      </c>
      <c r="M2797" s="3025" t="s">
        <v>1083</v>
      </c>
      <c r="N2797" s="106"/>
      <c r="O2797" s="106"/>
      <c r="P2797" s="702"/>
      <c r="Q2797" s="574"/>
      <c r="R2797" s="702"/>
      <c r="S2797" s="106"/>
      <c r="T2797" s="486"/>
      <c r="U2797" s="106"/>
      <c r="V2797" s="3980"/>
      <c r="W2797" s="3421"/>
      <c r="X2797" s="3421"/>
      <c r="Y2797" s="3421"/>
      <c r="Z2797" s="3421"/>
      <c r="AA2797" s="3421"/>
      <c r="AB2797" s="3421"/>
      <c r="AC2797" s="2292">
        <f>AC2796</f>
        <v>43090.909090909088</v>
      </c>
      <c r="AD2797" s="2296">
        <v>40343.181818181816</v>
      </c>
      <c r="AE2797" s="3429"/>
      <c r="AF2797" s="3421"/>
      <c r="AG2797" s="3421"/>
      <c r="AH2797" s="156"/>
      <c r="AI2797" s="156"/>
      <c r="AJ2797" s="156"/>
      <c r="AK2797" s="156"/>
      <c r="AL2797" s="156"/>
      <c r="AM2797" s="156"/>
      <c r="AN2797" s="156"/>
      <c r="AO2797" s="156"/>
      <c r="AP2797" s="156"/>
      <c r="AQ2797" s="156"/>
      <c r="AR2797" s="156"/>
      <c r="AS2797" s="156"/>
      <c r="AT2797" s="156"/>
      <c r="AU2797" s="156"/>
      <c r="AV2797" s="156"/>
      <c r="AW2797" s="156"/>
      <c r="AX2797" s="156"/>
      <c r="AY2797" s="156"/>
      <c r="AZ2797" s="156"/>
      <c r="BA2797" s="156"/>
      <c r="BB2797" s="2828"/>
      <c r="BC2797" s="452"/>
      <c r="BD2797" s="2829"/>
      <c r="BE2797" s="2837"/>
      <c r="BF2797" s="156"/>
    </row>
    <row r="2798" spans="1:58" ht="15" customHeight="1" outlineLevel="1" x14ac:dyDescent="0.35">
      <c r="A2798" s="1664"/>
      <c r="B2798" s="2812"/>
      <c r="C2798" s="3077"/>
      <c r="D2798" s="3980"/>
      <c r="E2798" s="3883"/>
      <c r="F2798" s="3984" t="str">
        <f>$E$1706</f>
        <v>ASHP-SEER21-Replace_CAC_ElectricHeat_ER1_MF</v>
      </c>
      <c r="G2798" s="3984"/>
      <c r="H2798" s="3984"/>
      <c r="I2798" s="3984"/>
      <c r="J2798" s="3501" t="str">
        <f>$C$1706</f>
        <v>353600_2019_12_</v>
      </c>
      <c r="K2798" s="3048">
        <v>37200</v>
      </c>
      <c r="L2798" s="2824">
        <f t="shared" si="369"/>
        <v>3.1</v>
      </c>
      <c r="M2798" s="3025" t="s">
        <v>1506</v>
      </c>
      <c r="N2798" s="106"/>
      <c r="O2798" s="106"/>
      <c r="P2798" s="702"/>
      <c r="Q2798" s="574"/>
      <c r="R2798" s="702"/>
      <c r="S2798" s="106"/>
      <c r="T2798" s="486"/>
      <c r="U2798" s="106"/>
      <c r="V2798" s="3980"/>
      <c r="W2798" s="3421">
        <v>37200</v>
      </c>
      <c r="X2798" s="3421">
        <v>37200</v>
      </c>
      <c r="Y2798" s="3421">
        <v>37200</v>
      </c>
      <c r="Z2798" s="3421">
        <v>37200</v>
      </c>
      <c r="AA2798" s="3421">
        <v>37200</v>
      </c>
      <c r="AB2798" s="3421">
        <v>37200</v>
      </c>
      <c r="AC2798" s="3557">
        <v>37200</v>
      </c>
      <c r="AD2798" s="2042">
        <v>37200</v>
      </c>
      <c r="AE2798" s="3429"/>
      <c r="AF2798" s="3421"/>
      <c r="AG2798" s="3421"/>
      <c r="AH2798" s="156"/>
      <c r="AI2798" s="156"/>
      <c r="AJ2798" s="156"/>
      <c r="AK2798" s="156"/>
      <c r="AL2798" s="156"/>
      <c r="AM2798" s="156"/>
      <c r="AN2798" s="156"/>
      <c r="AO2798" s="156"/>
      <c r="AP2798" s="156"/>
      <c r="AQ2798" s="156"/>
      <c r="AR2798" s="156"/>
      <c r="AS2798" s="156"/>
      <c r="AT2798" s="156"/>
      <c r="AU2798" s="156"/>
      <c r="AV2798" s="156"/>
      <c r="AW2798" s="156"/>
      <c r="AX2798" s="156"/>
      <c r="AY2798" s="156"/>
      <c r="AZ2798" s="156"/>
      <c r="BA2798" s="156"/>
      <c r="BB2798" s="2828"/>
      <c r="BC2798" s="452"/>
      <c r="BD2798" s="2829"/>
      <c r="BE2798" s="2837"/>
      <c r="BF2798" s="156"/>
    </row>
    <row r="2799" spans="1:58" ht="15" customHeight="1" outlineLevel="1" x14ac:dyDescent="0.35">
      <c r="A2799" s="1664"/>
      <c r="B2799" s="2812"/>
      <c r="C2799" s="3077"/>
      <c r="D2799" s="3980"/>
      <c r="E2799" s="3883"/>
      <c r="F2799" s="3984" t="str">
        <f>$E$1708</f>
        <v>ASHP-SEER21-Replace_CAC_ElectricHeat_ER2_MF</v>
      </c>
      <c r="G2799" s="3984"/>
      <c r="H2799" s="3984"/>
      <c r="I2799" s="3984"/>
      <c r="J2799" s="3501" t="str">
        <f>$C$1708</f>
        <v>353600_2019_12_</v>
      </c>
      <c r="K2799" s="3048">
        <v>37200</v>
      </c>
      <c r="L2799" s="2824">
        <f t="shared" si="369"/>
        <v>3.1</v>
      </c>
      <c r="M2799" s="3025" t="s">
        <v>1506</v>
      </c>
      <c r="N2799" s="106"/>
      <c r="O2799" s="106"/>
      <c r="P2799" s="702"/>
      <c r="Q2799" s="574"/>
      <c r="R2799" s="702"/>
      <c r="S2799" s="106"/>
      <c r="T2799" s="486"/>
      <c r="U2799" s="106"/>
      <c r="V2799" s="3980"/>
      <c r="W2799" s="3421">
        <v>37200</v>
      </c>
      <c r="X2799" s="3421">
        <v>37200</v>
      </c>
      <c r="Y2799" s="3421">
        <v>37200</v>
      </c>
      <c r="Z2799" s="3421">
        <v>37200</v>
      </c>
      <c r="AA2799" s="3421">
        <v>37200</v>
      </c>
      <c r="AB2799" s="3421">
        <v>37200</v>
      </c>
      <c r="AC2799" s="3557">
        <v>37200</v>
      </c>
      <c r="AD2799" s="2042">
        <v>37200</v>
      </c>
      <c r="AE2799" s="3429"/>
      <c r="AF2799" s="3421"/>
      <c r="AG2799" s="3421"/>
      <c r="AH2799" s="156"/>
      <c r="AI2799" s="156"/>
      <c r="AJ2799" s="156"/>
      <c r="AK2799" s="156"/>
      <c r="AL2799" s="156"/>
      <c r="AM2799" s="156"/>
      <c r="AN2799" s="156"/>
      <c r="AO2799" s="156"/>
      <c r="AP2799" s="156"/>
      <c r="AQ2799" s="156"/>
      <c r="AR2799" s="156"/>
      <c r="AS2799" s="156"/>
      <c r="AT2799" s="156"/>
      <c r="AU2799" s="156"/>
      <c r="AV2799" s="156"/>
      <c r="AW2799" s="156"/>
      <c r="AX2799" s="156"/>
      <c r="AY2799" s="156"/>
      <c r="AZ2799" s="156"/>
      <c r="BA2799" s="156"/>
      <c r="BB2799" s="2828"/>
      <c r="BC2799" s="452"/>
      <c r="BD2799" s="2829"/>
      <c r="BE2799" s="2837"/>
      <c r="BF2799" s="156"/>
    </row>
    <row r="2800" spans="1:58" ht="15" customHeight="1" outlineLevel="1" x14ac:dyDescent="0.35">
      <c r="A2800" s="1664"/>
      <c r="B2800" s="2812"/>
      <c r="C2800" s="3077"/>
      <c r="D2800" s="3980"/>
      <c r="E2800" s="3883"/>
      <c r="F2800" s="3984" t="str">
        <f>$E$1710</f>
        <v>ASHP-SEER21-Replace_CAC_ElectricHeat_ER1_MF_CompE</v>
      </c>
      <c r="G2800" s="3984"/>
      <c r="H2800" s="3984"/>
      <c r="I2800" s="3984"/>
      <c r="J2800" s="3501" t="str">
        <f>$C$1710</f>
        <v>353601_2019_12_</v>
      </c>
      <c r="K2800" s="3048">
        <v>37200</v>
      </c>
      <c r="L2800" s="2824">
        <f t="shared" si="369"/>
        <v>3.1</v>
      </c>
      <c r="M2800" s="3025"/>
      <c r="N2800" s="106"/>
      <c r="O2800" s="106"/>
      <c r="P2800" s="702"/>
      <c r="Q2800" s="574"/>
      <c r="R2800" s="702"/>
      <c r="S2800" s="106"/>
      <c r="T2800" s="486"/>
      <c r="U2800" s="106"/>
      <c r="V2800" s="3980"/>
      <c r="W2800" s="3421"/>
      <c r="X2800" s="3421"/>
      <c r="Y2800" s="2374">
        <v>37200</v>
      </c>
      <c r="Z2800" s="3421">
        <v>37200</v>
      </c>
      <c r="AA2800" s="3421">
        <v>37200</v>
      </c>
      <c r="AB2800" s="3421">
        <v>37200</v>
      </c>
      <c r="AC2800" s="3557">
        <f>AC2798</f>
        <v>37200</v>
      </c>
      <c r="AD2800" s="2042">
        <v>37200</v>
      </c>
      <c r="AE2800" s="3429"/>
      <c r="AF2800" s="3421"/>
      <c r="AG2800" s="3421"/>
      <c r="AH2800" s="156"/>
      <c r="AI2800" s="156"/>
      <c r="AJ2800" s="156"/>
      <c r="AK2800" s="156"/>
      <c r="AL2800" s="156"/>
      <c r="AM2800" s="156"/>
      <c r="AN2800" s="156"/>
      <c r="AO2800" s="156"/>
      <c r="AP2800" s="156"/>
      <c r="AQ2800" s="156"/>
      <c r="AR2800" s="156"/>
      <c r="AS2800" s="156"/>
      <c r="AT2800" s="156"/>
      <c r="AU2800" s="156"/>
      <c r="AV2800" s="156"/>
      <c r="AW2800" s="156"/>
      <c r="AX2800" s="156"/>
      <c r="AY2800" s="156"/>
      <c r="AZ2800" s="156"/>
      <c r="BA2800" s="156"/>
      <c r="BB2800" s="2828"/>
      <c r="BC2800" s="452"/>
      <c r="BD2800" s="2829"/>
      <c r="BE2800" s="2837"/>
      <c r="BF2800" s="156"/>
    </row>
    <row r="2801" spans="1:58" ht="15" customHeight="1" outlineLevel="1" x14ac:dyDescent="0.35">
      <c r="A2801" s="1664"/>
      <c r="B2801" s="2812"/>
      <c r="C2801" s="3077"/>
      <c r="D2801" s="3980"/>
      <c r="E2801" s="3883"/>
      <c r="F2801" s="3984" t="str">
        <f>$E$1712</f>
        <v>ASHP-SEER21-Replace_CAC_ElectricHeat_ER2_MF_CompE</v>
      </c>
      <c r="G2801" s="3984"/>
      <c r="H2801" s="3984"/>
      <c r="I2801" s="3984"/>
      <c r="J2801" s="3501" t="str">
        <f>$C$1712</f>
        <v>353601_2019_12_</v>
      </c>
      <c r="K2801" s="3048">
        <v>37200</v>
      </c>
      <c r="L2801" s="2824">
        <f t="shared" si="369"/>
        <v>3.1</v>
      </c>
      <c r="M2801" s="3025"/>
      <c r="N2801" s="106"/>
      <c r="O2801" s="106"/>
      <c r="P2801" s="702"/>
      <c r="Q2801" s="574"/>
      <c r="R2801" s="702"/>
      <c r="S2801" s="106"/>
      <c r="T2801" s="486"/>
      <c r="U2801" s="106"/>
      <c r="V2801" s="3980"/>
      <c r="W2801" s="3421"/>
      <c r="X2801" s="3421"/>
      <c r="Y2801" s="2374">
        <v>37200</v>
      </c>
      <c r="Z2801" s="3421">
        <v>37200</v>
      </c>
      <c r="AA2801" s="3421">
        <v>37200</v>
      </c>
      <c r="AB2801" s="3421">
        <v>37200</v>
      </c>
      <c r="AC2801" s="3557">
        <f>AC2799</f>
        <v>37200</v>
      </c>
      <c r="AD2801" s="2042">
        <v>37200</v>
      </c>
      <c r="AE2801" s="3429"/>
      <c r="AF2801" s="3421"/>
      <c r="AG2801" s="3421"/>
      <c r="AH2801" s="156"/>
      <c r="AI2801" s="156"/>
      <c r="AJ2801" s="156"/>
      <c r="AK2801" s="156"/>
      <c r="AL2801" s="156"/>
      <c r="AM2801" s="156"/>
      <c r="AN2801" s="156"/>
      <c r="AO2801" s="156"/>
      <c r="AP2801" s="156"/>
      <c r="AQ2801" s="156"/>
      <c r="AR2801" s="156"/>
      <c r="AS2801" s="156"/>
      <c r="AT2801" s="156"/>
      <c r="AU2801" s="156"/>
      <c r="AV2801" s="156"/>
      <c r="AW2801" s="156"/>
      <c r="AX2801" s="156"/>
      <c r="AY2801" s="156"/>
      <c r="AZ2801" s="156"/>
      <c r="BA2801" s="156"/>
      <c r="BB2801" s="2828"/>
      <c r="BC2801" s="452"/>
      <c r="BD2801" s="2829"/>
      <c r="BE2801" s="2837"/>
      <c r="BF2801" s="156"/>
    </row>
    <row r="2802" spans="1:58" ht="15" customHeight="1" outlineLevel="1" x14ac:dyDescent="0.35">
      <c r="A2802" s="1664"/>
      <c r="B2802" s="2812"/>
      <c r="C2802" s="3077"/>
      <c r="D2802" s="3980"/>
      <c r="E2802" s="3883"/>
      <c r="F2802" s="3984" t="str">
        <f>$E$1714</f>
        <v>ASHP-SEER21-Replace_CAC_NonElectricHeat_ER1_MF</v>
      </c>
      <c r="G2802" s="3984"/>
      <c r="H2802" s="3984"/>
      <c r="I2802" s="3984"/>
      <c r="J2802" s="3501" t="str">
        <f>$C$1714</f>
        <v>353610_2021_12_</v>
      </c>
      <c r="K2802" s="3048">
        <v>37200</v>
      </c>
      <c r="L2802" s="2823">
        <f t="shared" si="369"/>
        <v>3.1</v>
      </c>
      <c r="M2802" s="3025" t="s">
        <v>1083</v>
      </c>
      <c r="N2802" s="106"/>
      <c r="O2802" s="106"/>
      <c r="P2802" s="702"/>
      <c r="Q2802" s="574"/>
      <c r="R2802" s="702"/>
      <c r="S2802" s="106"/>
      <c r="T2802" s="486"/>
      <c r="U2802" s="106"/>
      <c r="V2802" s="3980"/>
      <c r="W2802" s="3421"/>
      <c r="X2802" s="3421"/>
      <c r="Y2802" s="2374"/>
      <c r="Z2802" s="3421"/>
      <c r="AA2802" s="3421"/>
      <c r="AB2802" s="3421"/>
      <c r="AC2802" s="2292">
        <v>37200</v>
      </c>
      <c r="AD2802" s="2042">
        <v>37200</v>
      </c>
      <c r="AE2802" s="3429"/>
      <c r="AF2802" s="3421"/>
      <c r="AG2802" s="3421"/>
      <c r="AH2802" s="156"/>
      <c r="AI2802" s="156"/>
      <c r="AJ2802" s="156"/>
      <c r="AK2802" s="156"/>
      <c r="AL2802" s="156"/>
      <c r="AM2802" s="156"/>
      <c r="AN2802" s="156"/>
      <c r="AO2802" s="156"/>
      <c r="AP2802" s="156"/>
      <c r="AQ2802" s="156"/>
      <c r="AR2802" s="156"/>
      <c r="AS2802" s="156"/>
      <c r="AT2802" s="156"/>
      <c r="AU2802" s="156"/>
      <c r="AV2802" s="156"/>
      <c r="AW2802" s="156"/>
      <c r="AX2802" s="156"/>
      <c r="AY2802" s="156"/>
      <c r="AZ2802" s="156"/>
      <c r="BA2802" s="156"/>
      <c r="BB2802" s="2828"/>
      <c r="BC2802" s="452"/>
      <c r="BD2802" s="2829"/>
      <c r="BE2802" s="2837"/>
      <c r="BF2802" s="156"/>
    </row>
    <row r="2803" spans="1:58" ht="15" customHeight="1" outlineLevel="1" x14ac:dyDescent="0.35">
      <c r="A2803" s="1664"/>
      <c r="B2803" s="2812"/>
      <c r="C2803" s="3077"/>
      <c r="D2803" s="3980"/>
      <c r="E2803" s="3883"/>
      <c r="F2803" s="3984" t="str">
        <f>$E$1716</f>
        <v>ASHP-SEER21-Replace_CAC_NonElectricHeat_ER2_MF</v>
      </c>
      <c r="G2803" s="3984"/>
      <c r="H2803" s="3984"/>
      <c r="I2803" s="3984"/>
      <c r="J2803" s="3501" t="str">
        <f>$C$1716</f>
        <v>353610_2021_12_</v>
      </c>
      <c r="K2803" s="3048">
        <v>37200</v>
      </c>
      <c r="L2803" s="2823">
        <f t="shared" si="369"/>
        <v>3.1</v>
      </c>
      <c r="M2803" s="3025" t="s">
        <v>1083</v>
      </c>
      <c r="N2803" s="106"/>
      <c r="O2803" s="106"/>
      <c r="P2803" s="702"/>
      <c r="Q2803" s="574"/>
      <c r="R2803" s="702"/>
      <c r="S2803" s="106"/>
      <c r="T2803" s="486"/>
      <c r="U2803" s="106"/>
      <c r="V2803" s="3980"/>
      <c r="W2803" s="3421"/>
      <c r="X2803" s="3421"/>
      <c r="Y2803" s="2374"/>
      <c r="Z2803" s="3421"/>
      <c r="AA2803" s="3421"/>
      <c r="AB2803" s="3421"/>
      <c r="AC2803" s="2292">
        <v>37200</v>
      </c>
      <c r="AD2803" s="2042">
        <v>37200</v>
      </c>
      <c r="AE2803" s="3429"/>
      <c r="AF2803" s="3421"/>
      <c r="AG2803" s="3421"/>
      <c r="AH2803" s="156"/>
      <c r="AI2803" s="156"/>
      <c r="AJ2803" s="156"/>
      <c r="AK2803" s="156"/>
      <c r="AL2803" s="156"/>
      <c r="AM2803" s="156"/>
      <c r="AN2803" s="156"/>
      <c r="AO2803" s="156"/>
      <c r="AP2803" s="156"/>
      <c r="AQ2803" s="156"/>
      <c r="AR2803" s="156"/>
      <c r="AS2803" s="156"/>
      <c r="AT2803" s="156"/>
      <c r="AU2803" s="156"/>
      <c r="AV2803" s="156"/>
      <c r="AW2803" s="156"/>
      <c r="AX2803" s="156"/>
      <c r="AY2803" s="156"/>
      <c r="AZ2803" s="156"/>
      <c r="BA2803" s="156"/>
      <c r="BB2803" s="2828"/>
      <c r="BC2803" s="452"/>
      <c r="BD2803" s="2829"/>
      <c r="BE2803" s="2837"/>
      <c r="BF2803" s="156"/>
    </row>
    <row r="2804" spans="1:58" ht="15" customHeight="1" outlineLevel="1" x14ac:dyDescent="0.35">
      <c r="A2804" s="1664"/>
      <c r="B2804" s="2812"/>
      <c r="C2804" s="3077"/>
      <c r="D2804" s="3980"/>
      <c r="E2804" s="3883"/>
      <c r="F2804" s="3984" t="str">
        <f>$E$1718</f>
        <v>ASHP-SEER21-Replace_CAC_NonElectricHeat_ER1_MF_CompE</v>
      </c>
      <c r="G2804" s="3984"/>
      <c r="H2804" s="3984"/>
      <c r="I2804" s="3984"/>
      <c r="J2804" s="3501" t="str">
        <f>$C$1718</f>
        <v>353611_2021_12_</v>
      </c>
      <c r="K2804" s="3048">
        <v>37200</v>
      </c>
      <c r="L2804" s="2823">
        <f t="shared" si="369"/>
        <v>3.1</v>
      </c>
      <c r="M2804" s="3025" t="s">
        <v>1083</v>
      </c>
      <c r="N2804" s="106"/>
      <c r="O2804" s="106"/>
      <c r="P2804" s="702"/>
      <c r="Q2804" s="574"/>
      <c r="R2804" s="702"/>
      <c r="S2804" s="106"/>
      <c r="T2804" s="486"/>
      <c r="U2804" s="106"/>
      <c r="V2804" s="3980"/>
      <c r="W2804" s="3421"/>
      <c r="X2804" s="3421"/>
      <c r="Y2804" s="2374"/>
      <c r="Z2804" s="3421"/>
      <c r="AA2804" s="3421"/>
      <c r="AB2804" s="3421"/>
      <c r="AC2804" s="2292">
        <f>AC2802</f>
        <v>37200</v>
      </c>
      <c r="AD2804" s="2042">
        <v>37200</v>
      </c>
      <c r="AE2804" s="3429"/>
      <c r="AF2804" s="3421"/>
      <c r="AG2804" s="3421"/>
      <c r="AH2804" s="156"/>
      <c r="AI2804" s="156"/>
      <c r="AJ2804" s="156"/>
      <c r="AK2804" s="156"/>
      <c r="AL2804" s="156"/>
      <c r="AM2804" s="156"/>
      <c r="AN2804" s="156"/>
      <c r="AO2804" s="156"/>
      <c r="AP2804" s="156"/>
      <c r="AQ2804" s="156"/>
      <c r="AR2804" s="156"/>
      <c r="AS2804" s="156"/>
      <c r="AT2804" s="156"/>
      <c r="AU2804" s="156"/>
      <c r="AV2804" s="156"/>
      <c r="AW2804" s="156"/>
      <c r="AX2804" s="156"/>
      <c r="AY2804" s="156"/>
      <c r="AZ2804" s="156"/>
      <c r="BA2804" s="156"/>
      <c r="BB2804" s="2828"/>
      <c r="BC2804" s="452"/>
      <c r="BD2804" s="2829"/>
      <c r="BE2804" s="2837"/>
      <c r="BF2804" s="156"/>
    </row>
    <row r="2805" spans="1:58" ht="15" customHeight="1" outlineLevel="1" x14ac:dyDescent="0.35">
      <c r="A2805" s="1664"/>
      <c r="B2805" s="2812"/>
      <c r="C2805" s="3077"/>
      <c r="D2805" s="3980"/>
      <c r="E2805" s="3883"/>
      <c r="F2805" s="3984" t="str">
        <f>$E$1720</f>
        <v>ASHP-SEER21-Replace_CAC_NonElectricHeat_ER2_MF_CompE</v>
      </c>
      <c r="G2805" s="3984"/>
      <c r="H2805" s="3984"/>
      <c r="I2805" s="3984"/>
      <c r="J2805" s="3501" t="str">
        <f>$C$1720</f>
        <v>353611_2021_12_</v>
      </c>
      <c r="K2805" s="3048">
        <v>37200</v>
      </c>
      <c r="L2805" s="2823">
        <f t="shared" si="369"/>
        <v>3.1</v>
      </c>
      <c r="M2805" s="3025" t="s">
        <v>1083</v>
      </c>
      <c r="N2805" s="106"/>
      <c r="O2805" s="106"/>
      <c r="P2805" s="702"/>
      <c r="Q2805" s="574"/>
      <c r="R2805" s="702"/>
      <c r="S2805" s="106"/>
      <c r="T2805" s="486"/>
      <c r="U2805" s="106"/>
      <c r="V2805" s="3980"/>
      <c r="W2805" s="3421"/>
      <c r="X2805" s="3421"/>
      <c r="Y2805" s="2374"/>
      <c r="Z2805" s="3421"/>
      <c r="AA2805" s="3421"/>
      <c r="AB2805" s="3421"/>
      <c r="AC2805" s="2292">
        <f>AC2803</f>
        <v>37200</v>
      </c>
      <c r="AD2805" s="2042">
        <v>37200</v>
      </c>
      <c r="AE2805" s="3429"/>
      <c r="AF2805" s="3421"/>
      <c r="AG2805" s="3421"/>
      <c r="AH2805" s="156"/>
      <c r="AI2805" s="156"/>
      <c r="AJ2805" s="156"/>
      <c r="AK2805" s="156"/>
      <c r="AL2805" s="156"/>
      <c r="AM2805" s="156"/>
      <c r="AN2805" s="156"/>
      <c r="AO2805" s="156"/>
      <c r="AP2805" s="156"/>
      <c r="AQ2805" s="156"/>
      <c r="AR2805" s="156"/>
      <c r="AS2805" s="156"/>
      <c r="AT2805" s="156"/>
      <c r="AU2805" s="156"/>
      <c r="AV2805" s="156"/>
      <c r="AW2805" s="156"/>
      <c r="AX2805" s="156"/>
      <c r="AY2805" s="156"/>
      <c r="AZ2805" s="156"/>
      <c r="BA2805" s="156"/>
      <c r="BB2805" s="2828"/>
      <c r="BC2805" s="452"/>
      <c r="BD2805" s="2829"/>
      <c r="BE2805" s="2837"/>
      <c r="BF2805" s="156"/>
    </row>
    <row r="2806" spans="1:58" ht="15" customHeight="1" outlineLevel="1" x14ac:dyDescent="0.35">
      <c r="A2806" s="1664"/>
      <c r="B2806" s="2812"/>
      <c r="C2806" s="3077"/>
      <c r="D2806" s="3980"/>
      <c r="E2806" s="3883"/>
      <c r="F2806" s="3984" t="str">
        <f>$E$1722</f>
        <v>ASHP-SEER21-Replace_CAC_ElectricHeat_ROF_SF</v>
      </c>
      <c r="G2806" s="3984"/>
      <c r="H2806" s="3984"/>
      <c r="I2806" s="3984"/>
      <c r="J2806" s="3501" t="str">
        <f>$C$1722</f>
        <v>353650_2021_12_</v>
      </c>
      <c r="K2806" s="3047">
        <v>42375</v>
      </c>
      <c r="L2806" s="2823">
        <f t="shared" si="369"/>
        <v>3.53125</v>
      </c>
      <c r="M2806" s="2819" t="s">
        <v>4360</v>
      </c>
      <c r="N2806" s="106"/>
      <c r="O2806" s="106"/>
      <c r="P2806" s="702"/>
      <c r="Q2806" s="574"/>
      <c r="R2806" s="702"/>
      <c r="S2806" s="106"/>
      <c r="T2806" s="486"/>
      <c r="U2806" s="106"/>
      <c r="V2806" s="3980"/>
      <c r="W2806" s="3421">
        <v>38400</v>
      </c>
      <c r="X2806" s="3421">
        <v>38400</v>
      </c>
      <c r="Y2806" s="3421">
        <v>38400</v>
      </c>
      <c r="Z2806" s="3421">
        <v>38400</v>
      </c>
      <c r="AA2806" s="3421">
        <v>38400</v>
      </c>
      <c r="AB2806" s="3421">
        <v>38400</v>
      </c>
      <c r="AC2806" s="2292">
        <v>42000</v>
      </c>
      <c r="AD2806" s="2296">
        <v>42375</v>
      </c>
      <c r="AE2806" s="3429"/>
      <c r="AF2806" s="3421"/>
      <c r="AG2806" s="3421"/>
      <c r="AH2806" s="156"/>
      <c r="AI2806" s="156"/>
      <c r="AJ2806" s="156"/>
      <c r="AK2806" s="156"/>
      <c r="AL2806" s="156"/>
      <c r="AM2806" s="156"/>
      <c r="AN2806" s="156"/>
      <c r="AO2806" s="156"/>
      <c r="AP2806" s="156"/>
      <c r="AQ2806" s="156"/>
      <c r="AR2806" s="156"/>
      <c r="AS2806" s="156"/>
      <c r="AT2806" s="156"/>
      <c r="AU2806" s="156"/>
      <c r="AV2806" s="156"/>
      <c r="AW2806" s="156"/>
      <c r="AX2806" s="156"/>
      <c r="AY2806" s="156"/>
      <c r="AZ2806" s="156"/>
      <c r="BA2806" s="156"/>
      <c r="BB2806" s="2828"/>
      <c r="BC2806" s="452"/>
      <c r="BD2806" s="2829"/>
      <c r="BE2806" s="2837"/>
      <c r="BF2806" s="156"/>
    </row>
    <row r="2807" spans="1:58" s="3398" customFormat="1" ht="15" customHeight="1" outlineLevel="1" x14ac:dyDescent="0.35">
      <c r="A2807" s="1664"/>
      <c r="B2807" s="2812"/>
      <c r="C2807" s="3077"/>
      <c r="D2807" s="3980"/>
      <c r="E2807" s="3883"/>
      <c r="F2807" s="4136" t="str">
        <f>$E$1724</f>
        <v>ASHP-SEER21-Replace_CAC_NonElectricHeat_ROF_SF</v>
      </c>
      <c r="G2807" s="4136"/>
      <c r="H2807" s="4136"/>
      <c r="I2807" s="4136"/>
      <c r="J2807" s="3502" t="str">
        <f>$C$1724</f>
        <v>353660_2022_12_</v>
      </c>
      <c r="K2807" s="3047">
        <v>42375</v>
      </c>
      <c r="L2807" s="2823">
        <f t="shared" si="369"/>
        <v>3.53125</v>
      </c>
      <c r="M2807" s="2819" t="s">
        <v>1083</v>
      </c>
      <c r="P2807" s="702"/>
      <c r="Q2807" s="574"/>
      <c r="R2807" s="702"/>
      <c r="T2807" s="3397"/>
      <c r="V2807" s="3980"/>
      <c r="W2807" s="3421"/>
      <c r="X2807" s="2377"/>
      <c r="Y2807" s="2374"/>
      <c r="Z2807" s="3421"/>
      <c r="AA2807" s="3421"/>
      <c r="AB2807" s="2296"/>
      <c r="AC2807" s="3555"/>
      <c r="AD2807" s="2296">
        <v>42375</v>
      </c>
      <c r="AE2807" s="3429"/>
      <c r="AF2807" s="3421"/>
      <c r="AG2807" s="3421"/>
      <c r="AH2807" s="156"/>
      <c r="AI2807" s="156"/>
      <c r="AJ2807" s="156"/>
      <c r="AK2807" s="156"/>
      <c r="AL2807" s="156"/>
      <c r="AM2807" s="156"/>
      <c r="AN2807" s="156"/>
      <c r="AO2807" s="156"/>
      <c r="AP2807" s="156"/>
      <c r="AQ2807" s="156"/>
      <c r="AR2807" s="156"/>
      <c r="AS2807" s="156"/>
      <c r="AT2807" s="156"/>
      <c r="AU2807" s="156"/>
      <c r="AV2807" s="156"/>
      <c r="AW2807" s="156"/>
      <c r="AX2807" s="156"/>
      <c r="AY2807" s="156"/>
      <c r="AZ2807" s="156"/>
      <c r="BA2807" s="156"/>
      <c r="BB2807" s="2828"/>
      <c r="BC2807" s="452"/>
      <c r="BD2807" s="2829"/>
      <c r="BE2807" s="2837"/>
      <c r="BF2807" s="156"/>
    </row>
    <row r="2808" spans="1:58" ht="15" customHeight="1" outlineLevel="1" x14ac:dyDescent="0.35">
      <c r="A2808" s="1664"/>
      <c r="B2808" s="2812"/>
      <c r="C2808" s="3077"/>
      <c r="D2808" s="3980"/>
      <c r="E2808" s="3883"/>
      <c r="F2808" s="3984" t="str">
        <f>$E$1726</f>
        <v>ASHP-SEER21+-Replace_CAC_ElectricHeat_ROF_MF</v>
      </c>
      <c r="G2808" s="3984"/>
      <c r="H2808" s="3984"/>
      <c r="I2808" s="3984"/>
      <c r="J2808" s="3501" t="str">
        <f>$C$1726</f>
        <v>353700_2019_12_</v>
      </c>
      <c r="K2808" s="3048">
        <v>38400</v>
      </c>
      <c r="L2808" s="2824">
        <f t="shared" si="369"/>
        <v>3.2</v>
      </c>
      <c r="M2808" s="3025" t="s">
        <v>1506</v>
      </c>
      <c r="N2808" s="106"/>
      <c r="O2808" s="106"/>
      <c r="P2808" s="702"/>
      <c r="Q2808" s="574"/>
      <c r="R2808" s="702"/>
      <c r="S2808" s="106"/>
      <c r="T2808" s="486"/>
      <c r="U2808" s="106"/>
      <c r="V2808" s="3980"/>
      <c r="W2808" s="3421">
        <v>38400</v>
      </c>
      <c r="X2808" s="3421">
        <v>38400</v>
      </c>
      <c r="Y2808" s="3421">
        <v>38400</v>
      </c>
      <c r="Z2808" s="3421">
        <v>38400</v>
      </c>
      <c r="AA2808" s="3421">
        <v>38400</v>
      </c>
      <c r="AB2808" s="3421">
        <v>38400</v>
      </c>
      <c r="AC2808" s="3557">
        <v>38400</v>
      </c>
      <c r="AD2808" s="2042">
        <v>38400</v>
      </c>
      <c r="AE2808" s="3429"/>
      <c r="AF2808" s="3421"/>
      <c r="AG2808" s="3421"/>
      <c r="AH2808" s="156"/>
      <c r="AI2808" s="156"/>
      <c r="AJ2808" s="156"/>
      <c r="AK2808" s="156"/>
      <c r="AL2808" s="156"/>
      <c r="AM2808" s="156"/>
      <c r="AN2808" s="156"/>
      <c r="AO2808" s="156"/>
      <c r="AP2808" s="156"/>
      <c r="AQ2808" s="156"/>
      <c r="AR2808" s="156"/>
      <c r="AS2808" s="156"/>
      <c r="AT2808" s="156"/>
      <c r="AU2808" s="156"/>
      <c r="AV2808" s="156"/>
      <c r="AW2808" s="156"/>
      <c r="AX2808" s="156"/>
      <c r="AY2808" s="156"/>
      <c r="AZ2808" s="156"/>
      <c r="BA2808" s="156"/>
      <c r="BB2808" s="2828"/>
      <c r="BC2808" s="452"/>
      <c r="BD2808" s="2829"/>
      <c r="BE2808" s="2837"/>
      <c r="BF2808" s="156"/>
    </row>
    <row r="2809" spans="1:58" ht="15" customHeight="1" outlineLevel="1" x14ac:dyDescent="0.35">
      <c r="A2809" s="1664"/>
      <c r="B2809" s="2812"/>
      <c r="C2809" s="3077"/>
      <c r="D2809" s="3980"/>
      <c r="E2809" s="3883"/>
      <c r="F2809" s="3984" t="str">
        <f>$E$1728</f>
        <v>ASHP-SEER21+-Replace_CAC_ElectricHeat_ROF_MF_CompE</v>
      </c>
      <c r="G2809" s="3984"/>
      <c r="H2809" s="3984"/>
      <c r="I2809" s="3984"/>
      <c r="J2809" s="3501" t="str">
        <f>$C$1728</f>
        <v>353701_2019_12_</v>
      </c>
      <c r="K2809" s="3048">
        <v>38400</v>
      </c>
      <c r="L2809" s="2824">
        <f t="shared" si="369"/>
        <v>3.2</v>
      </c>
      <c r="M2809" s="3025"/>
      <c r="N2809" s="106"/>
      <c r="O2809" s="106"/>
      <c r="P2809" s="702"/>
      <c r="Q2809" s="574"/>
      <c r="R2809" s="702"/>
      <c r="S2809" s="106"/>
      <c r="T2809" s="486"/>
      <c r="U2809" s="106"/>
      <c r="V2809" s="3980"/>
      <c r="W2809" s="3421"/>
      <c r="X2809" s="3421"/>
      <c r="Y2809" s="2374">
        <v>38400</v>
      </c>
      <c r="Z2809" s="3421">
        <v>38400</v>
      </c>
      <c r="AA2809" s="3421">
        <v>38400</v>
      </c>
      <c r="AB2809" s="3421">
        <v>38400</v>
      </c>
      <c r="AC2809" s="3557">
        <v>38400</v>
      </c>
      <c r="AD2809" s="2042">
        <v>38400</v>
      </c>
      <c r="AE2809" s="3429"/>
      <c r="AF2809" s="3421"/>
      <c r="AG2809" s="3421"/>
      <c r="AH2809" s="156"/>
      <c r="AI2809" s="156"/>
      <c r="AJ2809" s="156"/>
      <c r="AK2809" s="156"/>
      <c r="AL2809" s="156"/>
      <c r="AM2809" s="156"/>
      <c r="AN2809" s="156"/>
      <c r="AO2809" s="156"/>
      <c r="AP2809" s="156"/>
      <c r="AQ2809" s="156"/>
      <c r="AR2809" s="156"/>
      <c r="AS2809" s="156"/>
      <c r="AT2809" s="156"/>
      <c r="AU2809" s="156"/>
      <c r="AV2809" s="156"/>
      <c r="AW2809" s="156"/>
      <c r="AX2809" s="156"/>
      <c r="AY2809" s="156"/>
      <c r="AZ2809" s="156"/>
      <c r="BA2809" s="156"/>
      <c r="BB2809" s="2828"/>
      <c r="BC2809" s="452"/>
      <c r="BD2809" s="2829"/>
      <c r="BE2809" s="2837"/>
      <c r="BF2809" s="156"/>
    </row>
    <row r="2810" spans="1:58" ht="15" customHeight="1" outlineLevel="1" x14ac:dyDescent="0.35">
      <c r="A2810" s="1664"/>
      <c r="B2810" s="2812"/>
      <c r="C2810" s="3077"/>
      <c r="D2810" s="3980"/>
      <c r="E2810" s="3883"/>
      <c r="F2810" s="3984" t="str">
        <f>$E$1730</f>
        <v>ASHP-SEER21+-Replace_CAC_NonElectricHeat_ROF_MF</v>
      </c>
      <c r="G2810" s="3984"/>
      <c r="H2810" s="3984"/>
      <c r="I2810" s="3984"/>
      <c r="J2810" s="3501" t="str">
        <f>$C$1730</f>
        <v>353710_2021_12_</v>
      </c>
      <c r="K2810" s="3048">
        <v>38400</v>
      </c>
      <c r="L2810" s="2823">
        <f t="shared" si="369"/>
        <v>3.2</v>
      </c>
      <c r="M2810" s="3025" t="s">
        <v>1083</v>
      </c>
      <c r="N2810" s="106"/>
      <c r="O2810" s="106"/>
      <c r="P2810" s="702"/>
      <c r="Q2810" s="574"/>
      <c r="R2810" s="702"/>
      <c r="S2810" s="106"/>
      <c r="T2810" s="486"/>
      <c r="U2810" s="106"/>
      <c r="V2810" s="3980"/>
      <c r="W2810" s="3421"/>
      <c r="X2810" s="3421"/>
      <c r="Y2810" s="2374"/>
      <c r="Z2810" s="3421"/>
      <c r="AA2810" s="3421"/>
      <c r="AB2810" s="3421"/>
      <c r="AC2810" s="2292">
        <v>38400</v>
      </c>
      <c r="AD2810" s="2042">
        <v>38400</v>
      </c>
      <c r="AE2810" s="3429"/>
      <c r="AF2810" s="3421"/>
      <c r="AG2810" s="3421"/>
      <c r="AH2810" s="156"/>
      <c r="AI2810" s="156"/>
      <c r="AJ2810" s="156"/>
      <c r="AK2810" s="156"/>
      <c r="AL2810" s="156"/>
      <c r="AM2810" s="156"/>
      <c r="AN2810" s="156"/>
      <c r="AO2810" s="156"/>
      <c r="AP2810" s="156"/>
      <c r="AQ2810" s="156"/>
      <c r="AR2810" s="156"/>
      <c r="AS2810" s="156"/>
      <c r="AT2810" s="156"/>
      <c r="AU2810" s="156"/>
      <c r="AV2810" s="156"/>
      <c r="AW2810" s="156"/>
      <c r="AX2810" s="156"/>
      <c r="AY2810" s="156"/>
      <c r="AZ2810" s="156"/>
      <c r="BA2810" s="156"/>
      <c r="BB2810" s="2828"/>
      <c r="BC2810" s="452"/>
      <c r="BD2810" s="2829"/>
      <c r="BE2810" s="2837"/>
      <c r="BF2810" s="156"/>
    </row>
    <row r="2811" spans="1:58" ht="15" customHeight="1" outlineLevel="1" x14ac:dyDescent="0.35">
      <c r="A2811" s="1664"/>
      <c r="B2811" s="2812"/>
      <c r="C2811" s="3077"/>
      <c r="D2811" s="3980"/>
      <c r="E2811" s="3883"/>
      <c r="F2811" s="3984" t="str">
        <f>$E$1732</f>
        <v>ASHP-SEER21+-Replace_CAC_NonElectricHeat_ROF_MF_CompE</v>
      </c>
      <c r="G2811" s="3984"/>
      <c r="H2811" s="3984"/>
      <c r="I2811" s="3984"/>
      <c r="J2811" s="3501" t="str">
        <f>$C$1732</f>
        <v>353711_2021_12_</v>
      </c>
      <c r="K2811" s="3048">
        <v>38400</v>
      </c>
      <c r="L2811" s="2823">
        <f t="shared" si="369"/>
        <v>3.2</v>
      </c>
      <c r="M2811" s="3025" t="s">
        <v>1083</v>
      </c>
      <c r="N2811" s="106"/>
      <c r="O2811" s="106"/>
      <c r="P2811" s="702"/>
      <c r="Q2811" s="574"/>
      <c r="R2811" s="702"/>
      <c r="S2811" s="106"/>
      <c r="T2811" s="486"/>
      <c r="U2811" s="106"/>
      <c r="V2811" s="3980"/>
      <c r="W2811" s="3421"/>
      <c r="X2811" s="3421"/>
      <c r="Y2811" s="2374"/>
      <c r="Z2811" s="3421"/>
      <c r="AA2811" s="3421"/>
      <c r="AB2811" s="3421"/>
      <c r="AC2811" s="2292">
        <v>38400</v>
      </c>
      <c r="AD2811" s="2042">
        <v>38400</v>
      </c>
      <c r="AE2811" s="3429"/>
      <c r="AF2811" s="3421"/>
      <c r="AG2811" s="3421"/>
      <c r="AH2811" s="156"/>
      <c r="AI2811" s="156"/>
      <c r="AJ2811" s="156"/>
      <c r="AK2811" s="156"/>
      <c r="AL2811" s="156"/>
      <c r="AM2811" s="156"/>
      <c r="AN2811" s="156"/>
      <c r="AO2811" s="156"/>
      <c r="AP2811" s="156"/>
      <c r="AQ2811" s="156"/>
      <c r="AR2811" s="156"/>
      <c r="AS2811" s="156"/>
      <c r="AT2811" s="156"/>
      <c r="AU2811" s="156"/>
      <c r="AV2811" s="156"/>
      <c r="AW2811" s="156"/>
      <c r="AX2811" s="156"/>
      <c r="AY2811" s="156"/>
      <c r="AZ2811" s="156"/>
      <c r="BA2811" s="156"/>
      <c r="BB2811" s="2828"/>
      <c r="BC2811" s="452"/>
      <c r="BD2811" s="2829"/>
      <c r="BE2811" s="2837"/>
      <c r="BF2811" s="156"/>
    </row>
    <row r="2812" spans="1:58" ht="15" customHeight="1" outlineLevel="1" x14ac:dyDescent="0.35">
      <c r="A2812" s="1071"/>
      <c r="B2812" s="2812"/>
      <c r="C2812" s="3077"/>
      <c r="D2812" s="3980"/>
      <c r="E2812" s="3883"/>
      <c r="F2812" s="3984" t="str">
        <f>$E$1734</f>
        <v>ASHP-SEER17_ER1_SF</v>
      </c>
      <c r="G2812" s="3984"/>
      <c r="H2812" s="3984"/>
      <c r="I2812" s="3984"/>
      <c r="J2812" s="3501" t="str">
        <f>$C$1734</f>
        <v>353750_2021_12_</v>
      </c>
      <c r="K2812" s="3047">
        <v>37099.236641221374</v>
      </c>
      <c r="L2812" s="2823">
        <f t="shared" si="369"/>
        <v>3.0916030534351147</v>
      </c>
      <c r="M2812" s="2819" t="s">
        <v>4360</v>
      </c>
      <c r="N2812" s="106"/>
      <c r="O2812" s="106"/>
      <c r="P2812" s="106"/>
      <c r="Q2812" s="106"/>
      <c r="R2812" s="106"/>
      <c r="S2812" s="106"/>
      <c r="T2812" s="106"/>
      <c r="U2812" s="106"/>
      <c r="V2812" s="3980"/>
      <c r="W2812" s="3421">
        <v>39600</v>
      </c>
      <c r="X2812" s="3421">
        <v>39600</v>
      </c>
      <c r="Y2812" s="3421">
        <v>39600</v>
      </c>
      <c r="Z2812" s="3421">
        <v>39600</v>
      </c>
      <c r="AA2812" s="3421">
        <v>39600</v>
      </c>
      <c r="AB2812" s="3421">
        <v>39600</v>
      </c>
      <c r="AC2812" s="2292">
        <v>35142.857142857138</v>
      </c>
      <c r="AD2812" s="2296">
        <v>37099.236641221374</v>
      </c>
      <c r="AE2812" s="3429"/>
      <c r="AF2812" s="3421"/>
      <c r="AG2812" s="3421"/>
      <c r="AH2812" s="156"/>
      <c r="AI2812" s="156"/>
      <c r="AJ2812" s="156"/>
      <c r="AK2812" s="156"/>
      <c r="AL2812" s="156"/>
      <c r="AM2812" s="156"/>
      <c r="AN2812" s="156"/>
      <c r="AO2812" s="156"/>
      <c r="AP2812" s="156"/>
      <c r="AQ2812" s="156"/>
      <c r="AR2812" s="156"/>
      <c r="AS2812" s="156"/>
      <c r="AT2812" s="156"/>
      <c r="AU2812" s="156"/>
      <c r="AV2812" s="156"/>
      <c r="AW2812" s="156"/>
      <c r="AX2812" s="156"/>
      <c r="AY2812" s="156"/>
      <c r="AZ2812" s="156"/>
      <c r="BA2812" s="156"/>
      <c r="BB2812" s="2828"/>
      <c r="BC2812" s="452"/>
      <c r="BD2812" s="2829"/>
      <c r="BE2812" s="2837"/>
      <c r="BF2812" s="156"/>
    </row>
    <row r="2813" spans="1:58" ht="15" customHeight="1" outlineLevel="1" x14ac:dyDescent="0.35">
      <c r="A2813" s="1664"/>
      <c r="B2813" s="2812"/>
      <c r="C2813" s="3077"/>
      <c r="D2813" s="3980"/>
      <c r="E2813" s="3883"/>
      <c r="F2813" s="3984" t="str">
        <f>$E$1736</f>
        <v>ASHP-SEER17_ER2_SF</v>
      </c>
      <c r="G2813" s="3984"/>
      <c r="H2813" s="3984"/>
      <c r="I2813" s="3984"/>
      <c r="J2813" s="3501" t="str">
        <f>$C$1736</f>
        <v>353750_2021_12_</v>
      </c>
      <c r="K2813" s="3047">
        <v>37099.236641221374</v>
      </c>
      <c r="L2813" s="2823">
        <f t="shared" si="369"/>
        <v>3.0916030534351147</v>
      </c>
      <c r="M2813" s="2819" t="s">
        <v>4360</v>
      </c>
      <c r="N2813" s="106"/>
      <c r="O2813" s="106"/>
      <c r="P2813" s="702"/>
      <c r="Q2813" s="574"/>
      <c r="R2813" s="702"/>
      <c r="S2813" s="106"/>
      <c r="T2813" s="486"/>
      <c r="U2813" s="106"/>
      <c r="V2813" s="3980"/>
      <c r="W2813" s="3421">
        <v>39600</v>
      </c>
      <c r="X2813" s="3421">
        <v>39600</v>
      </c>
      <c r="Y2813" s="3421">
        <v>39600</v>
      </c>
      <c r="Z2813" s="3421">
        <v>39600</v>
      </c>
      <c r="AA2813" s="3421">
        <v>39600</v>
      </c>
      <c r="AB2813" s="3421">
        <v>39600</v>
      </c>
      <c r="AC2813" s="2292">
        <f>AC2812</f>
        <v>35142.857142857138</v>
      </c>
      <c r="AD2813" s="2296">
        <v>37099.236641221374</v>
      </c>
      <c r="AE2813" s="3429"/>
      <c r="AF2813" s="3421"/>
      <c r="AG2813" s="3421"/>
      <c r="AH2813" s="156"/>
      <c r="AI2813" s="156"/>
      <c r="AJ2813" s="156"/>
      <c r="AK2813" s="156"/>
      <c r="AL2813" s="156"/>
      <c r="AM2813" s="156"/>
      <c r="AN2813" s="156"/>
      <c r="AO2813" s="156"/>
      <c r="AP2813" s="156"/>
      <c r="AQ2813" s="156"/>
      <c r="AR2813" s="156"/>
      <c r="AS2813" s="156"/>
      <c r="AT2813" s="156"/>
      <c r="AU2813" s="156"/>
      <c r="AV2813" s="156"/>
      <c r="AW2813" s="156"/>
      <c r="AX2813" s="156"/>
      <c r="AY2813" s="156"/>
      <c r="AZ2813" s="156"/>
      <c r="BA2813" s="156"/>
      <c r="BB2813" s="2828"/>
      <c r="BC2813" s="452"/>
      <c r="BD2813" s="2829"/>
      <c r="BE2813" s="2837"/>
      <c r="BF2813" s="156"/>
    </row>
    <row r="2814" spans="1:58" ht="15" customHeight="1" outlineLevel="1" x14ac:dyDescent="0.35">
      <c r="A2814" s="1071"/>
      <c r="B2814" s="2812"/>
      <c r="C2814" s="3077"/>
      <c r="D2814" s="3980"/>
      <c r="E2814" s="3883"/>
      <c r="F2814" s="3984" t="str">
        <f>$E$1738</f>
        <v>ASHP-SEER17_ROF_SF</v>
      </c>
      <c r="G2814" s="3984"/>
      <c r="H2814" s="3984"/>
      <c r="I2814" s="3984"/>
      <c r="J2814" s="3501" t="str">
        <f>$C$1738</f>
        <v>353800_2021_12_</v>
      </c>
      <c r="K2814" s="3047">
        <v>36857.142857142855</v>
      </c>
      <c r="L2814" s="2823">
        <f t="shared" si="369"/>
        <v>3.0714285714285712</v>
      </c>
      <c r="M2814" s="2819" t="s">
        <v>4360</v>
      </c>
      <c r="N2814" s="106"/>
      <c r="O2814" s="106"/>
      <c r="P2814" s="106"/>
      <c r="Q2814" s="106"/>
      <c r="R2814" s="106"/>
      <c r="S2814" s="106"/>
      <c r="T2814" s="106"/>
      <c r="U2814" s="106"/>
      <c r="V2814" s="3980"/>
      <c r="W2814" s="3421">
        <v>39600</v>
      </c>
      <c r="X2814" s="3421">
        <v>39600</v>
      </c>
      <c r="Y2814" s="3421">
        <v>39600</v>
      </c>
      <c r="Z2814" s="3421">
        <v>39600</v>
      </c>
      <c r="AA2814" s="3421">
        <v>39600</v>
      </c>
      <c r="AB2814" s="3421">
        <v>39600</v>
      </c>
      <c r="AC2814" s="2292">
        <v>46285.71428571429</v>
      </c>
      <c r="AD2814" s="2296">
        <v>36857.142857142855</v>
      </c>
      <c r="AE2814" s="3429"/>
      <c r="AF2814" s="3421"/>
      <c r="AG2814" s="3421"/>
      <c r="AH2814" s="156"/>
      <c r="AI2814" s="156"/>
      <c r="AJ2814" s="156"/>
      <c r="AK2814" s="156"/>
      <c r="AL2814" s="156"/>
      <c r="AM2814" s="156"/>
      <c r="AN2814" s="156"/>
      <c r="AO2814" s="156"/>
      <c r="AP2814" s="156"/>
      <c r="AQ2814" s="156"/>
      <c r="AR2814" s="156"/>
      <c r="AS2814" s="156"/>
      <c r="AT2814" s="156"/>
      <c r="AU2814" s="156"/>
      <c r="AV2814" s="156"/>
      <c r="AW2814" s="156"/>
      <c r="AX2814" s="156"/>
      <c r="AY2814" s="156"/>
      <c r="AZ2814" s="156"/>
      <c r="BA2814" s="156"/>
      <c r="BB2814" s="2828"/>
      <c r="BC2814" s="452"/>
      <c r="BD2814" s="2829"/>
      <c r="BE2814" s="2837"/>
      <c r="BF2814" s="156"/>
    </row>
    <row r="2815" spans="1:58" ht="15" customHeight="1" outlineLevel="1" x14ac:dyDescent="0.35">
      <c r="A2815" s="1664"/>
      <c r="B2815" s="2812"/>
      <c r="C2815" s="3077"/>
      <c r="D2815" s="3980"/>
      <c r="E2815" s="3883"/>
      <c r="F2815" s="3984" t="str">
        <f>$E$1740</f>
        <v>ASHP-SEER18_ER1_SF</v>
      </c>
      <c r="G2815" s="3984"/>
      <c r="H2815" s="3984"/>
      <c r="I2815" s="3984"/>
      <c r="J2815" s="3501" t="str">
        <f>$C$1740</f>
        <v>353850_2021_12_</v>
      </c>
      <c r="K2815" s="3047">
        <v>38000</v>
      </c>
      <c r="L2815" s="2823">
        <f t="shared" si="369"/>
        <v>3.1666666666666665</v>
      </c>
      <c r="M2815" s="2819" t="s">
        <v>4360</v>
      </c>
      <c r="N2815" s="106"/>
      <c r="O2815" s="106"/>
      <c r="P2815" s="702"/>
      <c r="Q2815" s="574"/>
      <c r="R2815" s="702"/>
      <c r="S2815" s="106"/>
      <c r="T2815" s="486"/>
      <c r="U2815" s="106"/>
      <c r="V2815" s="3980"/>
      <c r="W2815" s="3421">
        <v>39600</v>
      </c>
      <c r="X2815" s="3421">
        <v>39600</v>
      </c>
      <c r="Y2815" s="3421">
        <v>39600</v>
      </c>
      <c r="Z2815" s="3421">
        <v>39600</v>
      </c>
      <c r="AA2815" s="3421">
        <v>39600</v>
      </c>
      <c r="AB2815" s="2374">
        <v>42600</v>
      </c>
      <c r="AC2815" s="2292">
        <v>38521.739130434784</v>
      </c>
      <c r="AD2815" s="2296">
        <v>38000</v>
      </c>
      <c r="AE2815" s="3429"/>
      <c r="AF2815" s="3421"/>
      <c r="AG2815" s="3421"/>
      <c r="AH2815" s="156"/>
      <c r="AI2815" s="156"/>
      <c r="AJ2815" s="156"/>
      <c r="AK2815" s="156"/>
      <c r="AL2815" s="156"/>
      <c r="AM2815" s="156"/>
      <c r="AN2815" s="156"/>
      <c r="AO2815" s="156"/>
      <c r="AP2815" s="156"/>
      <c r="AQ2815" s="156"/>
      <c r="AR2815" s="156"/>
      <c r="AS2815" s="156"/>
      <c r="AT2815" s="156"/>
      <c r="AU2815" s="156"/>
      <c r="AV2815" s="156"/>
      <c r="AW2815" s="156"/>
      <c r="AX2815" s="156"/>
      <c r="AY2815" s="156"/>
      <c r="AZ2815" s="156"/>
      <c r="BA2815" s="156"/>
      <c r="BB2815" s="2828"/>
      <c r="BC2815" s="452"/>
      <c r="BD2815" s="2829"/>
      <c r="BE2815" s="2837"/>
      <c r="BF2815" s="156"/>
    </row>
    <row r="2816" spans="1:58" ht="15" customHeight="1" outlineLevel="1" x14ac:dyDescent="0.35">
      <c r="A2816" s="1071"/>
      <c r="B2816" s="2812"/>
      <c r="C2816" s="3077"/>
      <c r="D2816" s="3980"/>
      <c r="E2816" s="3883"/>
      <c r="F2816" s="3984" t="str">
        <f>$E$1742</f>
        <v>ASHP-SEER18_ER2_SF</v>
      </c>
      <c r="G2816" s="3984"/>
      <c r="H2816" s="3984"/>
      <c r="I2816" s="3984"/>
      <c r="J2816" s="3501" t="str">
        <f>$C$1742</f>
        <v>353850_2021_12_</v>
      </c>
      <c r="K2816" s="3047">
        <v>38000</v>
      </c>
      <c r="L2816" s="2823">
        <f t="shared" si="369"/>
        <v>3.1666666666666665</v>
      </c>
      <c r="M2816" s="2819" t="s">
        <v>4360</v>
      </c>
      <c r="N2816" s="106"/>
      <c r="O2816" s="106"/>
      <c r="P2816" s="106"/>
      <c r="Q2816" s="106"/>
      <c r="R2816" s="106"/>
      <c r="S2816" s="106"/>
      <c r="T2816" s="106"/>
      <c r="U2816" s="106"/>
      <c r="V2816" s="3980"/>
      <c r="W2816" s="3421">
        <v>39600</v>
      </c>
      <c r="X2816" s="3421">
        <v>39600</v>
      </c>
      <c r="Y2816" s="3421">
        <v>39600</v>
      </c>
      <c r="Z2816" s="3421">
        <v>39600</v>
      </c>
      <c r="AA2816" s="3421">
        <v>39600</v>
      </c>
      <c r="AB2816" s="2374">
        <v>42600</v>
      </c>
      <c r="AC2816" s="2292">
        <f>AC2815</f>
        <v>38521.739130434784</v>
      </c>
      <c r="AD2816" s="2296">
        <v>38000</v>
      </c>
      <c r="AE2816" s="3429"/>
      <c r="AF2816" s="3421"/>
      <c r="AG2816" s="3421"/>
      <c r="AH2816" s="156"/>
      <c r="AI2816" s="156"/>
      <c r="AJ2816" s="156"/>
      <c r="AK2816" s="156"/>
      <c r="AL2816" s="156"/>
      <c r="AM2816" s="156"/>
      <c r="AN2816" s="156"/>
      <c r="AO2816" s="156"/>
      <c r="AP2816" s="156"/>
      <c r="AQ2816" s="156"/>
      <c r="AR2816" s="156"/>
      <c r="AS2816" s="156"/>
      <c r="AT2816" s="156"/>
      <c r="AU2816" s="156"/>
      <c r="AV2816" s="156"/>
      <c r="AW2816" s="156"/>
      <c r="AX2816" s="156"/>
      <c r="AY2816" s="156"/>
      <c r="AZ2816" s="156"/>
      <c r="BA2816" s="156"/>
      <c r="BB2816" s="2828"/>
      <c r="BC2816" s="452"/>
      <c r="BD2816" s="2829"/>
      <c r="BE2816" s="2837"/>
      <c r="BF2816" s="156"/>
    </row>
    <row r="2817" spans="1:58" ht="15" customHeight="1" outlineLevel="1" x14ac:dyDescent="0.35">
      <c r="A2817" s="1664"/>
      <c r="B2817" s="2812"/>
      <c r="C2817" s="3077"/>
      <c r="D2817" s="3980"/>
      <c r="E2817" s="3883"/>
      <c r="F2817" s="3984" t="str">
        <f>$E$1744</f>
        <v>ASHP-SEER18_ROF_SF</v>
      </c>
      <c r="G2817" s="3984"/>
      <c r="H2817" s="3984"/>
      <c r="I2817" s="3984"/>
      <c r="J2817" s="3501" t="str">
        <f>$C$1744</f>
        <v>353950_2021_12_</v>
      </c>
      <c r="K2817" s="3047">
        <v>38808.51063829787</v>
      </c>
      <c r="L2817" s="2823">
        <f t="shared" si="369"/>
        <v>3.2340425531914891</v>
      </c>
      <c r="M2817" s="2819" t="s">
        <v>4360</v>
      </c>
      <c r="N2817" s="106"/>
      <c r="O2817" s="106"/>
      <c r="P2817" s="702"/>
      <c r="Q2817" s="574"/>
      <c r="R2817" s="702"/>
      <c r="S2817" s="106"/>
      <c r="T2817" s="486"/>
      <c r="U2817" s="106"/>
      <c r="V2817" s="3980"/>
      <c r="W2817" s="3421">
        <v>39600</v>
      </c>
      <c r="X2817" s="3421">
        <v>39600</v>
      </c>
      <c r="Y2817" s="3421">
        <v>39600</v>
      </c>
      <c r="Z2817" s="3421">
        <v>39600</v>
      </c>
      <c r="AA2817" s="3421">
        <v>39600</v>
      </c>
      <c r="AB2817" s="3421">
        <v>39600</v>
      </c>
      <c r="AC2817" s="2292">
        <v>41250</v>
      </c>
      <c r="AD2817" s="2296">
        <v>38808.51063829787</v>
      </c>
      <c r="AE2817" s="3429"/>
      <c r="AF2817" s="3421"/>
      <c r="AG2817" s="3421"/>
      <c r="AH2817" s="156"/>
      <c r="AI2817" s="156"/>
      <c r="AJ2817" s="156"/>
      <c r="AK2817" s="156"/>
      <c r="AL2817" s="156"/>
      <c r="AM2817" s="156"/>
      <c r="AN2817" s="156"/>
      <c r="AO2817" s="156"/>
      <c r="AP2817" s="156"/>
      <c r="AQ2817" s="156"/>
      <c r="AR2817" s="156"/>
      <c r="AS2817" s="156"/>
      <c r="AT2817" s="156"/>
      <c r="AU2817" s="156"/>
      <c r="AV2817" s="156"/>
      <c r="AW2817" s="156"/>
      <c r="AX2817" s="156"/>
      <c r="AY2817" s="156"/>
      <c r="AZ2817" s="156"/>
      <c r="BA2817" s="156"/>
      <c r="BB2817" s="2828"/>
      <c r="BC2817" s="452"/>
      <c r="BD2817" s="2829"/>
      <c r="BE2817" s="2837"/>
      <c r="BF2817" s="156"/>
    </row>
    <row r="2818" spans="1:58" ht="15" customHeight="1" outlineLevel="1" x14ac:dyDescent="0.35">
      <c r="A2818" s="1664"/>
      <c r="B2818" s="2812"/>
      <c r="C2818" s="3077"/>
      <c r="D2818" s="3980"/>
      <c r="E2818" s="3883"/>
      <c r="F2818" s="3984" t="str">
        <f>$E$1746</f>
        <v>ASHP-SEER19_ER1_SF</v>
      </c>
      <c r="G2818" s="3984"/>
      <c r="H2818" s="3984"/>
      <c r="I2818" s="3984"/>
      <c r="J2818" s="3501" t="str">
        <f>$C$1746</f>
        <v>354000_2021_12_</v>
      </c>
      <c r="K2818" s="3047">
        <v>49058.823529411762</v>
      </c>
      <c r="L2818" s="2823">
        <f t="shared" si="369"/>
        <v>4.0882352941176467</v>
      </c>
      <c r="M2818" s="2819" t="s">
        <v>4360</v>
      </c>
      <c r="N2818" s="106"/>
      <c r="O2818" s="106"/>
      <c r="P2818" s="702"/>
      <c r="Q2818" s="574"/>
      <c r="R2818" s="702"/>
      <c r="S2818" s="106"/>
      <c r="T2818" s="486"/>
      <c r="U2818" s="106"/>
      <c r="V2818" s="3980"/>
      <c r="W2818" s="3421">
        <v>39600</v>
      </c>
      <c r="X2818" s="3421">
        <v>39600</v>
      </c>
      <c r="Y2818" s="3421">
        <v>39600</v>
      </c>
      <c r="Z2818" s="3421">
        <v>39600</v>
      </c>
      <c r="AA2818" s="3421">
        <v>39600</v>
      </c>
      <c r="AB2818" s="3421">
        <v>39600</v>
      </c>
      <c r="AC2818" s="2292">
        <v>48000</v>
      </c>
      <c r="AD2818" s="2296">
        <v>49058.823529411762</v>
      </c>
      <c r="AE2818" s="3429"/>
      <c r="AF2818" s="3421"/>
      <c r="AG2818" s="3421"/>
      <c r="AH2818" s="156"/>
      <c r="AI2818" s="156"/>
      <c r="AJ2818" s="156"/>
      <c r="AK2818" s="156"/>
      <c r="AL2818" s="156"/>
      <c r="AM2818" s="156"/>
      <c r="AN2818" s="156"/>
      <c r="AO2818" s="156"/>
      <c r="AP2818" s="156"/>
      <c r="AQ2818" s="156"/>
      <c r="AR2818" s="156"/>
      <c r="AS2818" s="156"/>
      <c r="AT2818" s="156"/>
      <c r="AU2818" s="156"/>
      <c r="AV2818" s="156"/>
      <c r="AW2818" s="156"/>
      <c r="AX2818" s="156"/>
      <c r="AY2818" s="156"/>
      <c r="AZ2818" s="156"/>
      <c r="BA2818" s="156"/>
      <c r="BB2818" s="2828"/>
      <c r="BC2818" s="452"/>
      <c r="BD2818" s="2829"/>
      <c r="BE2818" s="2837"/>
      <c r="BF2818" s="156"/>
    </row>
    <row r="2819" spans="1:58" ht="15" customHeight="1" outlineLevel="1" x14ac:dyDescent="0.35">
      <c r="A2819" s="1071"/>
      <c r="B2819" s="2812"/>
      <c r="C2819" s="3077"/>
      <c r="D2819" s="3980"/>
      <c r="E2819" s="3883"/>
      <c r="F2819" s="3984" t="str">
        <f>$E$1748</f>
        <v>ASHP-SEER19_ER2_SF</v>
      </c>
      <c r="G2819" s="3984"/>
      <c r="H2819" s="3984"/>
      <c r="I2819" s="3984"/>
      <c r="J2819" s="3501" t="str">
        <f>$C$1748</f>
        <v>354000_2021_12_</v>
      </c>
      <c r="K2819" s="3047">
        <v>49058.823529411762</v>
      </c>
      <c r="L2819" s="2823">
        <f t="shared" si="369"/>
        <v>4.0882352941176467</v>
      </c>
      <c r="M2819" s="2819" t="s">
        <v>4360</v>
      </c>
      <c r="N2819" s="106"/>
      <c r="O2819" s="106"/>
      <c r="P2819" s="106"/>
      <c r="Q2819" s="106"/>
      <c r="R2819" s="106"/>
      <c r="S2819" s="106"/>
      <c r="T2819" s="106"/>
      <c r="U2819" s="106"/>
      <c r="V2819" s="3980"/>
      <c r="W2819" s="3421">
        <v>39600</v>
      </c>
      <c r="X2819" s="3421">
        <v>39600</v>
      </c>
      <c r="Y2819" s="3421">
        <v>39600</v>
      </c>
      <c r="Z2819" s="3421">
        <v>39600</v>
      </c>
      <c r="AA2819" s="3421">
        <v>39600</v>
      </c>
      <c r="AB2819" s="3421">
        <v>39600</v>
      </c>
      <c r="AC2819" s="2292">
        <f>AC2818</f>
        <v>48000</v>
      </c>
      <c r="AD2819" s="2296">
        <v>49058.823529411762</v>
      </c>
      <c r="AE2819" s="3429"/>
      <c r="AF2819" s="3421"/>
      <c r="AG2819" s="3421"/>
      <c r="AH2819" s="156"/>
      <c r="AI2819" s="156"/>
      <c r="AJ2819" s="156"/>
      <c r="AK2819" s="156"/>
      <c r="AL2819" s="156"/>
      <c r="AM2819" s="156"/>
      <c r="AN2819" s="156"/>
      <c r="AO2819" s="156"/>
      <c r="AP2819" s="156"/>
      <c r="AQ2819" s="156"/>
      <c r="AR2819" s="156"/>
      <c r="AS2819" s="156"/>
      <c r="AT2819" s="156"/>
      <c r="AU2819" s="156"/>
      <c r="AV2819" s="156"/>
      <c r="AW2819" s="156"/>
      <c r="AX2819" s="156"/>
      <c r="AY2819" s="156"/>
      <c r="AZ2819" s="156"/>
      <c r="BA2819" s="156"/>
      <c r="BB2819" s="2828"/>
      <c r="BC2819" s="452"/>
      <c r="BD2819" s="2829"/>
      <c r="BE2819" s="2837"/>
      <c r="BF2819" s="156"/>
    </row>
    <row r="2820" spans="1:58" ht="15" customHeight="1" outlineLevel="1" x14ac:dyDescent="0.35">
      <c r="A2820" s="1071"/>
      <c r="B2820" s="2812"/>
      <c r="C2820" s="3077"/>
      <c r="D2820" s="3980"/>
      <c r="E2820" s="3883"/>
      <c r="F2820" s="3984" t="str">
        <f>$E$1750</f>
        <v>ASHP-SEER19_ROF_SF</v>
      </c>
      <c r="G2820" s="3984"/>
      <c r="H2820" s="3984"/>
      <c r="I2820" s="3984"/>
      <c r="J2820" s="3501" t="str">
        <f>$C$1750</f>
        <v>354050_2021_12_</v>
      </c>
      <c r="K2820" s="3047">
        <v>41076.923076923078</v>
      </c>
      <c r="L2820" s="2823">
        <f t="shared" si="369"/>
        <v>3.4230769230769234</v>
      </c>
      <c r="M2820" s="2819" t="s">
        <v>4360</v>
      </c>
      <c r="N2820" s="106"/>
      <c r="O2820" s="106"/>
      <c r="P2820" s="106"/>
      <c r="Q2820" s="106"/>
      <c r="R2820" s="106"/>
      <c r="S2820" s="106"/>
      <c r="T2820" s="106"/>
      <c r="U2820" s="106"/>
      <c r="V2820" s="3980"/>
      <c r="W2820" s="3421">
        <v>39600</v>
      </c>
      <c r="X2820" s="3421">
        <v>39600</v>
      </c>
      <c r="Y2820" s="3421">
        <v>39600</v>
      </c>
      <c r="Z2820" s="3421">
        <v>39600</v>
      </c>
      <c r="AA2820" s="3421">
        <v>39600</v>
      </c>
      <c r="AB2820" s="3421">
        <v>39600</v>
      </c>
      <c r="AC2820" s="2292">
        <v>26133.333333333332</v>
      </c>
      <c r="AD2820" s="2296">
        <v>41076.923076923078</v>
      </c>
      <c r="AE2820" s="3429"/>
      <c r="AF2820" s="3421"/>
      <c r="AG2820" s="3421"/>
      <c r="AH2820" s="156"/>
      <c r="AI2820" s="156"/>
      <c r="AJ2820" s="156"/>
      <c r="AK2820" s="156"/>
      <c r="AL2820" s="156"/>
      <c r="AM2820" s="156"/>
      <c r="AN2820" s="156"/>
      <c r="AO2820" s="156"/>
      <c r="AP2820" s="156"/>
      <c r="AQ2820" s="156"/>
      <c r="AR2820" s="156"/>
      <c r="AS2820" s="156"/>
      <c r="AT2820" s="156"/>
      <c r="AU2820" s="156"/>
      <c r="AV2820" s="156"/>
      <c r="AW2820" s="156"/>
      <c r="AX2820" s="156"/>
      <c r="AY2820" s="156"/>
      <c r="AZ2820" s="156"/>
      <c r="BA2820" s="156"/>
      <c r="BB2820" s="2828"/>
      <c r="BC2820" s="452"/>
      <c r="BD2820" s="2829"/>
      <c r="BE2820" s="2837"/>
      <c r="BF2820" s="156"/>
    </row>
    <row r="2821" spans="1:58" ht="15" customHeight="1" outlineLevel="1" x14ac:dyDescent="0.35">
      <c r="A2821" s="1071"/>
      <c r="B2821" s="2812"/>
      <c r="C2821" s="3077"/>
      <c r="D2821" s="3980"/>
      <c r="E2821" s="3883"/>
      <c r="F2821" s="3984" t="str">
        <f>$E$1752</f>
        <v>ASHP-SEER17-Replace_CAC_ElectricHeat_ER1_SF</v>
      </c>
      <c r="G2821" s="3984"/>
      <c r="H2821" s="3984"/>
      <c r="I2821" s="3984"/>
      <c r="J2821" s="3501" t="str">
        <f>$C$1752</f>
        <v>354100_2021_12_</v>
      </c>
      <c r="K2821" s="3047">
        <v>37099.236641221374</v>
      </c>
      <c r="L2821" s="2823">
        <f t="shared" si="369"/>
        <v>3.0916030534351147</v>
      </c>
      <c r="M2821" s="2819" t="s">
        <v>4360</v>
      </c>
      <c r="N2821" s="106"/>
      <c r="O2821" s="106"/>
      <c r="P2821" s="106"/>
      <c r="Q2821" s="106"/>
      <c r="R2821" s="106"/>
      <c r="S2821" s="106"/>
      <c r="T2821" s="106"/>
      <c r="U2821" s="106"/>
      <c r="V2821" s="3980"/>
      <c r="W2821" s="3421">
        <v>37200</v>
      </c>
      <c r="X2821" s="3421">
        <v>37200</v>
      </c>
      <c r="Y2821" s="3421">
        <v>37200</v>
      </c>
      <c r="Z2821" s="3421">
        <v>37200</v>
      </c>
      <c r="AA2821" s="3421">
        <v>37200</v>
      </c>
      <c r="AB2821" s="3421">
        <v>37200</v>
      </c>
      <c r="AC2821" s="2292">
        <v>34090.909090909088</v>
      </c>
      <c r="AD2821" s="2296">
        <v>37099.236641221374</v>
      </c>
      <c r="AE2821" s="3429"/>
      <c r="AF2821" s="3421"/>
      <c r="AG2821" s="3421"/>
      <c r="AH2821" s="156"/>
      <c r="AI2821" s="156"/>
      <c r="AJ2821" s="156"/>
      <c r="AK2821" s="156"/>
      <c r="AL2821" s="156"/>
      <c r="AM2821" s="156"/>
      <c r="AN2821" s="156"/>
      <c r="AO2821" s="156"/>
      <c r="AP2821" s="156"/>
      <c r="AQ2821" s="156"/>
      <c r="AR2821" s="156"/>
      <c r="AS2821" s="156"/>
      <c r="AT2821" s="156"/>
      <c r="AU2821" s="156"/>
      <c r="AV2821" s="156"/>
      <c r="AW2821" s="156"/>
      <c r="AX2821" s="156"/>
      <c r="AY2821" s="156"/>
      <c r="AZ2821" s="156"/>
      <c r="BA2821" s="156"/>
      <c r="BB2821" s="2828"/>
      <c r="BC2821" s="452"/>
      <c r="BD2821" s="2829"/>
      <c r="BE2821" s="2837"/>
      <c r="BF2821" s="156"/>
    </row>
    <row r="2822" spans="1:58" ht="15" customHeight="1" outlineLevel="1" x14ac:dyDescent="0.35">
      <c r="A2822" s="1071"/>
      <c r="B2822" s="2812"/>
      <c r="C2822" s="3077"/>
      <c r="D2822" s="3980"/>
      <c r="E2822" s="3883"/>
      <c r="F2822" s="3984" t="str">
        <f>$E$1754</f>
        <v>ASHP-SEER17-Replace_CAC_ElectricHeat_ER2_SF</v>
      </c>
      <c r="G2822" s="3984"/>
      <c r="H2822" s="3984"/>
      <c r="I2822" s="3984"/>
      <c r="J2822" s="3501" t="str">
        <f>$C$1754</f>
        <v>354100_2021_12_</v>
      </c>
      <c r="K2822" s="3047">
        <v>37099.236641221374</v>
      </c>
      <c r="L2822" s="2823">
        <f t="shared" si="369"/>
        <v>3.0916030534351147</v>
      </c>
      <c r="M2822" s="2819" t="s">
        <v>4360</v>
      </c>
      <c r="N2822" s="106"/>
      <c r="O2822" s="106"/>
      <c r="P2822" s="106"/>
      <c r="Q2822" s="106"/>
      <c r="R2822" s="106"/>
      <c r="S2822" s="106"/>
      <c r="T2822" s="106"/>
      <c r="U2822" s="106"/>
      <c r="V2822" s="3980"/>
      <c r="W2822" s="3421">
        <v>37200</v>
      </c>
      <c r="X2822" s="3421">
        <v>37200</v>
      </c>
      <c r="Y2822" s="3421">
        <v>37200</v>
      </c>
      <c r="Z2822" s="3421">
        <v>37200</v>
      </c>
      <c r="AA2822" s="3421">
        <v>37200</v>
      </c>
      <c r="AB2822" s="3421">
        <v>37200</v>
      </c>
      <c r="AC2822" s="2292">
        <v>34090.909090909088</v>
      </c>
      <c r="AD2822" s="2296">
        <v>37099.236641221374</v>
      </c>
      <c r="AE2822" s="3429"/>
      <c r="AF2822" s="3421"/>
      <c r="AG2822" s="3421"/>
      <c r="AH2822" s="156"/>
      <c r="AI2822" s="156"/>
      <c r="AJ2822" s="156"/>
      <c r="AK2822" s="156"/>
      <c r="AL2822" s="156"/>
      <c r="AM2822" s="156"/>
      <c r="AN2822" s="156"/>
      <c r="AO2822" s="156"/>
      <c r="AP2822" s="156"/>
      <c r="AQ2822" s="156"/>
      <c r="AR2822" s="156"/>
      <c r="AS2822" s="156"/>
      <c r="AT2822" s="156"/>
      <c r="AU2822" s="156"/>
      <c r="AV2822" s="156"/>
      <c r="AW2822" s="156"/>
      <c r="AX2822" s="156"/>
      <c r="AY2822" s="156"/>
      <c r="AZ2822" s="156"/>
      <c r="BA2822" s="156"/>
      <c r="BB2822" s="2828"/>
      <c r="BC2822" s="452"/>
      <c r="BD2822" s="2829"/>
      <c r="BE2822" s="2837"/>
      <c r="BF2822" s="156"/>
    </row>
    <row r="2823" spans="1:58" ht="15" customHeight="1" outlineLevel="1" x14ac:dyDescent="0.35">
      <c r="A2823" s="1071"/>
      <c r="B2823" s="2812"/>
      <c r="C2823" s="3077"/>
      <c r="D2823" s="3980"/>
      <c r="E2823" s="3883"/>
      <c r="F2823" s="3984" t="str">
        <f>$E$1756</f>
        <v>ASHP-SEER17-Replace_CAC_NonElectricHeat_ER1_SF</v>
      </c>
      <c r="G2823" s="3984"/>
      <c r="H2823" s="3984"/>
      <c r="I2823" s="3984"/>
      <c r="J2823" s="3501" t="str">
        <f>$C$1756</f>
        <v>354110_2021_12_</v>
      </c>
      <c r="K2823" s="3047">
        <v>37099.236641221374</v>
      </c>
      <c r="L2823" s="2823">
        <f t="shared" si="369"/>
        <v>3.0916030534351147</v>
      </c>
      <c r="M2823" s="3025" t="s">
        <v>1083</v>
      </c>
      <c r="N2823" s="106"/>
      <c r="O2823" s="106"/>
      <c r="P2823" s="106"/>
      <c r="Q2823" s="106"/>
      <c r="R2823" s="106"/>
      <c r="S2823" s="106"/>
      <c r="T2823" s="106"/>
      <c r="U2823" s="106"/>
      <c r="V2823" s="3980"/>
      <c r="W2823" s="3421"/>
      <c r="X2823" s="3421"/>
      <c r="Y2823" s="3421"/>
      <c r="Z2823" s="3421"/>
      <c r="AA2823" s="3421"/>
      <c r="AB2823" s="3421"/>
      <c r="AC2823" s="2292">
        <v>34090.909090909088</v>
      </c>
      <c r="AD2823" s="2296">
        <v>37099.236641221374</v>
      </c>
      <c r="AE2823" s="3429"/>
      <c r="AF2823" s="3421"/>
      <c r="AG2823" s="3421"/>
      <c r="AH2823" s="156"/>
      <c r="AI2823" s="156"/>
      <c r="AJ2823" s="156"/>
      <c r="AK2823" s="156"/>
      <c r="AL2823" s="156"/>
      <c r="AM2823" s="156"/>
      <c r="AN2823" s="156"/>
      <c r="AO2823" s="156"/>
      <c r="AP2823" s="156"/>
      <c r="AQ2823" s="156"/>
      <c r="AR2823" s="156"/>
      <c r="AS2823" s="156"/>
      <c r="AT2823" s="156"/>
      <c r="AU2823" s="156"/>
      <c r="AV2823" s="156"/>
      <c r="AW2823" s="156"/>
      <c r="AX2823" s="156"/>
      <c r="AY2823" s="156"/>
      <c r="AZ2823" s="156"/>
      <c r="BA2823" s="156"/>
      <c r="BB2823" s="2828"/>
      <c r="BC2823" s="452"/>
      <c r="BD2823" s="2829"/>
      <c r="BE2823" s="2837"/>
      <c r="BF2823" s="156"/>
    </row>
    <row r="2824" spans="1:58" ht="15" customHeight="1" outlineLevel="1" x14ac:dyDescent="0.35">
      <c r="A2824" s="1071"/>
      <c r="B2824" s="2812"/>
      <c r="C2824" s="3077"/>
      <c r="D2824" s="3980"/>
      <c r="E2824" s="3883"/>
      <c r="F2824" s="3984" t="str">
        <f>$E$1758</f>
        <v>ASHP-SEER17-Replace_CAC_NonElectricHeat_ER2_SF</v>
      </c>
      <c r="G2824" s="3984"/>
      <c r="H2824" s="3984"/>
      <c r="I2824" s="3984"/>
      <c r="J2824" s="3501" t="str">
        <f>$C$1758</f>
        <v>354110_2021_12_</v>
      </c>
      <c r="K2824" s="3047">
        <v>37099.236641221374</v>
      </c>
      <c r="L2824" s="2823">
        <f t="shared" si="369"/>
        <v>3.0916030534351147</v>
      </c>
      <c r="M2824" s="3025" t="s">
        <v>1083</v>
      </c>
      <c r="N2824" s="106"/>
      <c r="O2824" s="106"/>
      <c r="P2824" s="106"/>
      <c r="Q2824" s="106"/>
      <c r="R2824" s="106"/>
      <c r="S2824" s="106"/>
      <c r="T2824" s="106"/>
      <c r="U2824" s="106"/>
      <c r="V2824" s="3980"/>
      <c r="W2824" s="3421"/>
      <c r="X2824" s="3421"/>
      <c r="Y2824" s="3421"/>
      <c r="Z2824" s="3421"/>
      <c r="AA2824" s="3421"/>
      <c r="AB2824" s="3421"/>
      <c r="AC2824" s="2292">
        <v>34090.909090909088</v>
      </c>
      <c r="AD2824" s="2296">
        <v>37099.236641221374</v>
      </c>
      <c r="AE2824" s="3429"/>
      <c r="AF2824" s="3421"/>
      <c r="AG2824" s="3421"/>
      <c r="AH2824" s="156"/>
      <c r="AI2824" s="156"/>
      <c r="AJ2824" s="156"/>
      <c r="AK2824" s="156"/>
      <c r="AL2824" s="156"/>
      <c r="AM2824" s="156"/>
      <c r="AN2824" s="156"/>
      <c r="AO2824" s="156"/>
      <c r="AP2824" s="156"/>
      <c r="AQ2824" s="156"/>
      <c r="AR2824" s="156"/>
      <c r="AS2824" s="156"/>
      <c r="AT2824" s="156"/>
      <c r="AU2824" s="156"/>
      <c r="AV2824" s="156"/>
      <c r="AW2824" s="156"/>
      <c r="AX2824" s="156"/>
      <c r="AY2824" s="156"/>
      <c r="AZ2824" s="156"/>
      <c r="BA2824" s="156"/>
      <c r="BB2824" s="2828"/>
      <c r="BC2824" s="452"/>
      <c r="BD2824" s="2829"/>
      <c r="BE2824" s="2837"/>
      <c r="BF2824" s="156"/>
    </row>
    <row r="2825" spans="1:58" ht="15" customHeight="1" outlineLevel="1" x14ac:dyDescent="0.35">
      <c r="A2825" s="1071"/>
      <c r="B2825" s="2812"/>
      <c r="C2825" s="3077"/>
      <c r="D2825" s="3980"/>
      <c r="E2825" s="3883"/>
      <c r="F2825" s="3984" t="str">
        <f>$E$1760</f>
        <v>ASHP-SEER17-Replace_CAC_ElectricHeat_ER1_MF</v>
      </c>
      <c r="G2825" s="3984"/>
      <c r="H2825" s="3984"/>
      <c r="I2825" s="3984"/>
      <c r="J2825" s="3501" t="str">
        <f>$C$1760</f>
        <v>354150_2019_12_</v>
      </c>
      <c r="K2825" s="3048">
        <v>37200</v>
      </c>
      <c r="L2825" s="2824">
        <f t="shared" si="369"/>
        <v>3.1</v>
      </c>
      <c r="M2825" s="3025"/>
      <c r="N2825" s="106"/>
      <c r="O2825" s="106"/>
      <c r="P2825" s="106"/>
      <c r="Q2825" s="106"/>
      <c r="R2825" s="106"/>
      <c r="S2825" s="106"/>
      <c r="T2825" s="106"/>
      <c r="U2825" s="106"/>
      <c r="V2825" s="3980"/>
      <c r="W2825" s="3421">
        <v>37200</v>
      </c>
      <c r="X2825" s="3421">
        <v>37200</v>
      </c>
      <c r="Y2825" s="3421">
        <v>37200</v>
      </c>
      <c r="Z2825" s="3421">
        <v>37200</v>
      </c>
      <c r="AA2825" s="3421">
        <v>37200</v>
      </c>
      <c r="AB2825" s="3421">
        <v>37200</v>
      </c>
      <c r="AC2825" s="3557">
        <v>37200</v>
      </c>
      <c r="AD2825" s="2042">
        <v>37200</v>
      </c>
      <c r="AE2825" s="3429"/>
      <c r="AF2825" s="3421"/>
      <c r="AG2825" s="3421"/>
      <c r="AH2825" s="156"/>
      <c r="AI2825" s="156"/>
      <c r="AJ2825" s="156"/>
      <c r="AK2825" s="156"/>
      <c r="AL2825" s="156"/>
      <c r="AM2825" s="156"/>
      <c r="AN2825" s="156"/>
      <c r="AO2825" s="156"/>
      <c r="AP2825" s="156"/>
      <c r="AQ2825" s="156"/>
      <c r="AR2825" s="156"/>
      <c r="AS2825" s="156"/>
      <c r="AT2825" s="156"/>
      <c r="AU2825" s="156"/>
      <c r="AV2825" s="156"/>
      <c r="AW2825" s="156"/>
      <c r="AX2825" s="156"/>
      <c r="AY2825" s="156"/>
      <c r="AZ2825" s="156"/>
      <c r="BA2825" s="156"/>
      <c r="BB2825" s="2828"/>
      <c r="BC2825" s="452"/>
      <c r="BD2825" s="2829"/>
      <c r="BE2825" s="2837"/>
      <c r="BF2825" s="156"/>
    </row>
    <row r="2826" spans="1:58" ht="15" customHeight="1" outlineLevel="1" x14ac:dyDescent="0.35">
      <c r="A2826" s="1071"/>
      <c r="B2826" s="2812"/>
      <c r="C2826" s="3077"/>
      <c r="D2826" s="3980"/>
      <c r="E2826" s="3883"/>
      <c r="F2826" s="3984" t="str">
        <f>$E$1762</f>
        <v>ASHP-SEER17-Replace_CAC_ElectricHeat_ER2_MF</v>
      </c>
      <c r="G2826" s="3984"/>
      <c r="H2826" s="3984"/>
      <c r="I2826" s="3984"/>
      <c r="J2826" s="3501" t="str">
        <f>$C$1762</f>
        <v>354150_2019_12_</v>
      </c>
      <c r="K2826" s="3048">
        <v>37200</v>
      </c>
      <c r="L2826" s="2824">
        <f t="shared" si="369"/>
        <v>3.1</v>
      </c>
      <c r="M2826" s="3025"/>
      <c r="N2826" s="106"/>
      <c r="O2826" s="106"/>
      <c r="P2826" s="106"/>
      <c r="Q2826" s="106"/>
      <c r="R2826" s="106"/>
      <c r="S2826" s="106"/>
      <c r="T2826" s="106"/>
      <c r="U2826" s="106"/>
      <c r="V2826" s="3980"/>
      <c r="W2826" s="3421">
        <v>37200</v>
      </c>
      <c r="X2826" s="3421">
        <v>37200</v>
      </c>
      <c r="Y2826" s="3421">
        <v>37200</v>
      </c>
      <c r="Z2826" s="3421">
        <v>37200</v>
      </c>
      <c r="AA2826" s="3421">
        <v>37200</v>
      </c>
      <c r="AB2826" s="3421">
        <v>37200</v>
      </c>
      <c r="AC2826" s="3557">
        <v>37200</v>
      </c>
      <c r="AD2826" s="2042">
        <v>37200</v>
      </c>
      <c r="AE2826" s="3429"/>
      <c r="AF2826" s="3421"/>
      <c r="AG2826" s="3421"/>
      <c r="AH2826" s="156"/>
      <c r="AI2826" s="156"/>
      <c r="AJ2826" s="156"/>
      <c r="AK2826" s="156"/>
      <c r="AL2826" s="156"/>
      <c r="AM2826" s="156"/>
      <c r="AN2826" s="156"/>
      <c r="AO2826" s="156"/>
      <c r="AP2826" s="156"/>
      <c r="AQ2826" s="156"/>
      <c r="AR2826" s="156"/>
      <c r="AS2826" s="156"/>
      <c r="AT2826" s="156"/>
      <c r="AU2826" s="156"/>
      <c r="AV2826" s="156"/>
      <c r="AW2826" s="156"/>
      <c r="AX2826" s="156"/>
      <c r="AY2826" s="156"/>
      <c r="AZ2826" s="156"/>
      <c r="BA2826" s="156"/>
      <c r="BB2826" s="2828"/>
      <c r="BC2826" s="452"/>
      <c r="BD2826" s="2829"/>
      <c r="BE2826" s="2837"/>
      <c r="BF2826" s="156"/>
    </row>
    <row r="2827" spans="1:58" ht="15" customHeight="1" outlineLevel="1" x14ac:dyDescent="0.35">
      <c r="A2827" s="1071"/>
      <c r="B2827" s="2812"/>
      <c r="C2827" s="3077"/>
      <c r="D2827" s="3980"/>
      <c r="E2827" s="3883"/>
      <c r="F2827" s="3984" t="str">
        <f>$E$1764</f>
        <v>ASHP-SEER17-Replace_CAC_ElectricHeat_ER1_MF_CompE</v>
      </c>
      <c r="G2827" s="3984"/>
      <c r="H2827" s="3984"/>
      <c r="I2827" s="3984"/>
      <c r="J2827" s="3501" t="str">
        <f>$C$1764</f>
        <v>354151_2019_12_</v>
      </c>
      <c r="K2827" s="3048">
        <v>37200</v>
      </c>
      <c r="L2827" s="2824">
        <f t="shared" si="369"/>
        <v>3.1</v>
      </c>
      <c r="M2827" s="3025"/>
      <c r="N2827" s="106"/>
      <c r="O2827" s="106"/>
      <c r="P2827" s="106"/>
      <c r="Q2827" s="106"/>
      <c r="R2827" s="106"/>
      <c r="S2827" s="106"/>
      <c r="T2827" s="106"/>
      <c r="U2827" s="106"/>
      <c r="V2827" s="3980"/>
      <c r="W2827" s="3421"/>
      <c r="X2827" s="3421"/>
      <c r="Y2827" s="2374">
        <v>37200</v>
      </c>
      <c r="Z2827" s="3421">
        <v>37200</v>
      </c>
      <c r="AA2827" s="3421">
        <v>37200</v>
      </c>
      <c r="AB2827" s="3421">
        <v>37200</v>
      </c>
      <c r="AC2827" s="3557">
        <f>AC2825</f>
        <v>37200</v>
      </c>
      <c r="AD2827" s="2042">
        <v>37200</v>
      </c>
      <c r="AE2827" s="3429"/>
      <c r="AF2827" s="3421"/>
      <c r="AG2827" s="3421"/>
      <c r="AH2827" s="156"/>
      <c r="AI2827" s="156"/>
      <c r="AJ2827" s="156"/>
      <c r="AK2827" s="156"/>
      <c r="AL2827" s="156"/>
      <c r="AM2827" s="156"/>
      <c r="AN2827" s="156"/>
      <c r="AO2827" s="156"/>
      <c r="AP2827" s="156"/>
      <c r="AQ2827" s="156"/>
      <c r="AR2827" s="156"/>
      <c r="AS2827" s="156"/>
      <c r="AT2827" s="156"/>
      <c r="AU2827" s="156"/>
      <c r="AV2827" s="156"/>
      <c r="AW2827" s="156"/>
      <c r="AX2827" s="156"/>
      <c r="AY2827" s="156"/>
      <c r="AZ2827" s="156"/>
      <c r="BA2827" s="156"/>
      <c r="BB2827" s="2828"/>
      <c r="BC2827" s="452"/>
      <c r="BD2827" s="2829"/>
      <c r="BE2827" s="2837"/>
      <c r="BF2827" s="156"/>
    </row>
    <row r="2828" spans="1:58" ht="15" customHeight="1" outlineLevel="1" x14ac:dyDescent="0.35">
      <c r="A2828" s="1071"/>
      <c r="B2828" s="2812"/>
      <c r="C2828" s="3077"/>
      <c r="D2828" s="3980"/>
      <c r="E2828" s="3883"/>
      <c r="F2828" s="3984" t="str">
        <f>$E$1766</f>
        <v>ASHP-SEER17-Replace_CAC_ElectricHeat_ER2_MF_CompE</v>
      </c>
      <c r="G2828" s="3984"/>
      <c r="H2828" s="3984"/>
      <c r="I2828" s="3984"/>
      <c r="J2828" s="3501" t="str">
        <f>$C$1766</f>
        <v>354151_2019_12_</v>
      </c>
      <c r="K2828" s="3048">
        <v>37200</v>
      </c>
      <c r="L2828" s="2824">
        <f t="shared" si="369"/>
        <v>3.1</v>
      </c>
      <c r="M2828" s="3025"/>
      <c r="N2828" s="106"/>
      <c r="O2828" s="106"/>
      <c r="P2828" s="106"/>
      <c r="Q2828" s="106"/>
      <c r="R2828" s="106"/>
      <c r="S2828" s="106"/>
      <c r="T2828" s="106"/>
      <c r="U2828" s="106"/>
      <c r="V2828" s="3980"/>
      <c r="W2828" s="3421"/>
      <c r="X2828" s="3421"/>
      <c r="Y2828" s="2374">
        <v>37200</v>
      </c>
      <c r="Z2828" s="3421">
        <v>37200</v>
      </c>
      <c r="AA2828" s="3421">
        <v>37200</v>
      </c>
      <c r="AB2828" s="3421">
        <v>37200</v>
      </c>
      <c r="AC2828" s="3557">
        <f>AC2826</f>
        <v>37200</v>
      </c>
      <c r="AD2828" s="2042">
        <v>37200</v>
      </c>
      <c r="AE2828" s="3429"/>
      <c r="AF2828" s="3421"/>
      <c r="AG2828" s="3421"/>
      <c r="AH2828" s="156"/>
      <c r="AI2828" s="156"/>
      <c r="AJ2828" s="156"/>
      <c r="AK2828" s="156"/>
      <c r="AL2828" s="156"/>
      <c r="AM2828" s="156"/>
      <c r="AN2828" s="156"/>
      <c r="AO2828" s="156"/>
      <c r="AP2828" s="156"/>
      <c r="AQ2828" s="156"/>
      <c r="AR2828" s="156"/>
      <c r="AS2828" s="156"/>
      <c r="AT2828" s="156"/>
      <c r="AU2828" s="156"/>
      <c r="AV2828" s="156"/>
      <c r="AW2828" s="156"/>
      <c r="AX2828" s="156"/>
      <c r="AY2828" s="156"/>
      <c r="AZ2828" s="156"/>
      <c r="BA2828" s="156"/>
      <c r="BB2828" s="2828"/>
      <c r="BC2828" s="452"/>
      <c r="BD2828" s="2829"/>
      <c r="BE2828" s="2837"/>
      <c r="BF2828" s="156"/>
    </row>
    <row r="2829" spans="1:58" ht="15" customHeight="1" outlineLevel="1" x14ac:dyDescent="0.35">
      <c r="A2829" s="1071"/>
      <c r="B2829" s="2812"/>
      <c r="C2829" s="3077"/>
      <c r="D2829" s="3980"/>
      <c r="E2829" s="3883"/>
      <c r="F2829" s="3984" t="str">
        <f>$E$1768</f>
        <v>ASHP-SEER17-Replace_CAC_NonElectricHeat_ER1_MF</v>
      </c>
      <c r="G2829" s="3984"/>
      <c r="H2829" s="3984"/>
      <c r="I2829" s="3984"/>
      <c r="J2829" s="3501" t="str">
        <f>$C$1768</f>
        <v>354160_2021_12_</v>
      </c>
      <c r="K2829" s="3048">
        <v>37200</v>
      </c>
      <c r="L2829" s="2823">
        <f t="shared" si="369"/>
        <v>3.1</v>
      </c>
      <c r="M2829" s="3025" t="s">
        <v>1083</v>
      </c>
      <c r="N2829" s="106"/>
      <c r="O2829" s="106"/>
      <c r="P2829" s="106"/>
      <c r="Q2829" s="106"/>
      <c r="R2829" s="106"/>
      <c r="S2829" s="106"/>
      <c r="T2829" s="106"/>
      <c r="U2829" s="106"/>
      <c r="V2829" s="3980"/>
      <c r="W2829" s="3421"/>
      <c r="X2829" s="3421"/>
      <c r="Y2829" s="2374"/>
      <c r="Z2829" s="3421"/>
      <c r="AA2829" s="3421"/>
      <c r="AB2829" s="3421"/>
      <c r="AC2829" s="2292">
        <v>37200</v>
      </c>
      <c r="AD2829" s="2042">
        <v>37200</v>
      </c>
      <c r="AE2829" s="3429"/>
      <c r="AF2829" s="3421"/>
      <c r="AG2829" s="3421"/>
      <c r="AH2829" s="156"/>
      <c r="AI2829" s="156"/>
      <c r="AJ2829" s="156"/>
      <c r="AK2829" s="156"/>
      <c r="AL2829" s="156"/>
      <c r="AM2829" s="156"/>
      <c r="AN2829" s="156"/>
      <c r="AO2829" s="156"/>
      <c r="AP2829" s="156"/>
      <c r="AQ2829" s="156"/>
      <c r="AR2829" s="156"/>
      <c r="AS2829" s="156"/>
      <c r="AT2829" s="156"/>
      <c r="AU2829" s="156"/>
      <c r="AV2829" s="156"/>
      <c r="AW2829" s="156"/>
      <c r="AX2829" s="156"/>
      <c r="AY2829" s="156"/>
      <c r="AZ2829" s="156"/>
      <c r="BA2829" s="156"/>
      <c r="BB2829" s="2828"/>
      <c r="BC2829" s="452"/>
      <c r="BD2829" s="2829"/>
      <c r="BE2829" s="2837"/>
      <c r="BF2829" s="156"/>
    </row>
    <row r="2830" spans="1:58" ht="15" customHeight="1" outlineLevel="1" x14ac:dyDescent="0.35">
      <c r="A2830" s="1071"/>
      <c r="B2830" s="2812"/>
      <c r="C2830" s="3077"/>
      <c r="D2830" s="3980"/>
      <c r="E2830" s="3883"/>
      <c r="F2830" s="3984" t="str">
        <f>$E$1770</f>
        <v>ASHP-SEER17-Replace_CAC_NonElectricHeat_ER2_MF</v>
      </c>
      <c r="G2830" s="3984"/>
      <c r="H2830" s="3984"/>
      <c r="I2830" s="3984"/>
      <c r="J2830" s="3501" t="str">
        <f>$C$1770</f>
        <v>354160_2021_12_</v>
      </c>
      <c r="K2830" s="3048">
        <v>37200</v>
      </c>
      <c r="L2830" s="2823">
        <f t="shared" si="369"/>
        <v>3.1</v>
      </c>
      <c r="M2830" s="3025" t="s">
        <v>1083</v>
      </c>
      <c r="N2830" s="106"/>
      <c r="O2830" s="106"/>
      <c r="P2830" s="106"/>
      <c r="Q2830" s="106"/>
      <c r="R2830" s="106"/>
      <c r="S2830" s="106"/>
      <c r="T2830" s="106"/>
      <c r="U2830" s="106"/>
      <c r="V2830" s="3980"/>
      <c r="W2830" s="3421"/>
      <c r="X2830" s="3421"/>
      <c r="Y2830" s="2374"/>
      <c r="Z2830" s="3421"/>
      <c r="AA2830" s="3421"/>
      <c r="AB2830" s="3421"/>
      <c r="AC2830" s="2292">
        <v>37200</v>
      </c>
      <c r="AD2830" s="2042">
        <v>37200</v>
      </c>
      <c r="AE2830" s="3429"/>
      <c r="AF2830" s="3421"/>
      <c r="AG2830" s="3421"/>
      <c r="AH2830" s="156"/>
      <c r="AI2830" s="156"/>
      <c r="AJ2830" s="156"/>
      <c r="AK2830" s="156"/>
      <c r="AL2830" s="156"/>
      <c r="AM2830" s="156"/>
      <c r="AN2830" s="156"/>
      <c r="AO2830" s="156"/>
      <c r="AP2830" s="156"/>
      <c r="AQ2830" s="156"/>
      <c r="AR2830" s="156"/>
      <c r="AS2830" s="156"/>
      <c r="AT2830" s="156"/>
      <c r="AU2830" s="156"/>
      <c r="AV2830" s="156"/>
      <c r="AW2830" s="156"/>
      <c r="AX2830" s="156"/>
      <c r="AY2830" s="156"/>
      <c r="AZ2830" s="156"/>
      <c r="BA2830" s="156"/>
      <c r="BB2830" s="2828"/>
      <c r="BC2830" s="452"/>
      <c r="BD2830" s="2829"/>
      <c r="BE2830" s="2837"/>
      <c r="BF2830" s="156"/>
    </row>
    <row r="2831" spans="1:58" ht="15" customHeight="1" outlineLevel="1" x14ac:dyDescent="0.35">
      <c r="A2831" s="1071"/>
      <c r="B2831" s="2812"/>
      <c r="C2831" s="3077"/>
      <c r="D2831" s="3980"/>
      <c r="E2831" s="3883"/>
      <c r="F2831" s="3984" t="str">
        <f>$E$1772</f>
        <v>ASHP-SEER17-Replace_CAC_NonElectricHeat_ER1_MF_CompE</v>
      </c>
      <c r="G2831" s="3984"/>
      <c r="H2831" s="3984"/>
      <c r="I2831" s="3984"/>
      <c r="J2831" s="3501" t="str">
        <f>$C$1772</f>
        <v>354161_2021_12_</v>
      </c>
      <c r="K2831" s="3048">
        <v>37200</v>
      </c>
      <c r="L2831" s="2823">
        <f t="shared" si="369"/>
        <v>3.1</v>
      </c>
      <c r="M2831" s="3025" t="s">
        <v>1083</v>
      </c>
      <c r="N2831" s="106"/>
      <c r="O2831" s="106"/>
      <c r="P2831" s="106"/>
      <c r="Q2831" s="106"/>
      <c r="R2831" s="106"/>
      <c r="S2831" s="106"/>
      <c r="T2831" s="106"/>
      <c r="U2831" s="106"/>
      <c r="V2831" s="3980"/>
      <c r="W2831" s="3421"/>
      <c r="X2831" s="3421"/>
      <c r="Y2831" s="2374"/>
      <c r="Z2831" s="3421"/>
      <c r="AA2831" s="3421"/>
      <c r="AB2831" s="3421"/>
      <c r="AC2831" s="2292">
        <f>AC2829</f>
        <v>37200</v>
      </c>
      <c r="AD2831" s="2042">
        <v>37200</v>
      </c>
      <c r="AE2831" s="3429"/>
      <c r="AF2831" s="3421"/>
      <c r="AG2831" s="3421"/>
      <c r="AH2831" s="156"/>
      <c r="AI2831" s="156"/>
      <c r="AJ2831" s="156"/>
      <c r="AK2831" s="156"/>
      <c r="AL2831" s="156"/>
      <c r="AM2831" s="156"/>
      <c r="AN2831" s="156"/>
      <c r="AO2831" s="156"/>
      <c r="AP2831" s="156"/>
      <c r="AQ2831" s="156"/>
      <c r="AR2831" s="156"/>
      <c r="AS2831" s="156"/>
      <c r="AT2831" s="156"/>
      <c r="AU2831" s="156"/>
      <c r="AV2831" s="156"/>
      <c r="AW2831" s="156"/>
      <c r="AX2831" s="156"/>
      <c r="AY2831" s="156"/>
      <c r="AZ2831" s="156"/>
      <c r="BA2831" s="156"/>
      <c r="BB2831" s="2828"/>
      <c r="BC2831" s="452"/>
      <c r="BD2831" s="2829"/>
      <c r="BE2831" s="2837"/>
      <c r="BF2831" s="156"/>
    </row>
    <row r="2832" spans="1:58" ht="15" customHeight="1" outlineLevel="1" x14ac:dyDescent="0.35">
      <c r="A2832" s="1071"/>
      <c r="B2832" s="2812"/>
      <c r="C2832" s="3077"/>
      <c r="D2832" s="3980"/>
      <c r="E2832" s="3883"/>
      <c r="F2832" s="3984" t="str">
        <f>$E$1774</f>
        <v>ASHP-SEER17-Replace_CAC_NonElectricHeat_ER2_MF_CompE</v>
      </c>
      <c r="G2832" s="3984"/>
      <c r="H2832" s="3984"/>
      <c r="I2832" s="3984"/>
      <c r="J2832" s="3501" t="str">
        <f>$C$1774</f>
        <v>354161_2021_12_</v>
      </c>
      <c r="K2832" s="3048">
        <v>37200</v>
      </c>
      <c r="L2832" s="2823">
        <f t="shared" si="369"/>
        <v>3.1</v>
      </c>
      <c r="M2832" s="3025" t="s">
        <v>1083</v>
      </c>
      <c r="N2832" s="106"/>
      <c r="O2832" s="106"/>
      <c r="P2832" s="106"/>
      <c r="Q2832" s="106"/>
      <c r="R2832" s="106"/>
      <c r="S2832" s="106"/>
      <c r="T2832" s="106"/>
      <c r="U2832" s="106"/>
      <c r="V2832" s="3980"/>
      <c r="W2832" s="3421"/>
      <c r="X2832" s="3421"/>
      <c r="Y2832" s="2374"/>
      <c r="Z2832" s="3421"/>
      <c r="AA2832" s="3421"/>
      <c r="AB2832" s="3421"/>
      <c r="AC2832" s="2292">
        <f>AC2830</f>
        <v>37200</v>
      </c>
      <c r="AD2832" s="2042">
        <v>37200</v>
      </c>
      <c r="AE2832" s="3429"/>
      <c r="AF2832" s="3421"/>
      <c r="AG2832" s="3421"/>
      <c r="AH2832" s="156"/>
      <c r="AI2832" s="156"/>
      <c r="AJ2832" s="156"/>
      <c r="AK2832" s="156"/>
      <c r="AL2832" s="156"/>
      <c r="AM2832" s="156"/>
      <c r="AN2832" s="156"/>
      <c r="AO2832" s="156"/>
      <c r="AP2832" s="156"/>
      <c r="AQ2832" s="156"/>
      <c r="AR2832" s="156"/>
      <c r="AS2832" s="156"/>
      <c r="AT2832" s="156"/>
      <c r="AU2832" s="156"/>
      <c r="AV2832" s="156"/>
      <c r="AW2832" s="156"/>
      <c r="AX2832" s="156"/>
      <c r="AY2832" s="156"/>
      <c r="AZ2832" s="156"/>
      <c r="BA2832" s="156"/>
      <c r="BB2832" s="2828"/>
      <c r="BC2832" s="452"/>
      <c r="BD2832" s="2829"/>
      <c r="BE2832" s="2837"/>
      <c r="BF2832" s="156"/>
    </row>
    <row r="2833" spans="1:58" ht="15" customHeight="1" outlineLevel="1" x14ac:dyDescent="0.35">
      <c r="A2833" s="1071"/>
      <c r="B2833" s="2812"/>
      <c r="C2833" s="3077"/>
      <c r="D2833" s="3980"/>
      <c r="E2833" s="3883"/>
      <c r="F2833" s="3984" t="str">
        <f>$E$1776</f>
        <v>ASHP-SEER17_ER1_MF</v>
      </c>
      <c r="G2833" s="3984"/>
      <c r="H2833" s="3984"/>
      <c r="I2833" s="3984"/>
      <c r="J2833" s="3501" t="str">
        <f>$C$1776</f>
        <v>354200_2019_12_</v>
      </c>
      <c r="K2833" s="3048">
        <v>39600</v>
      </c>
      <c r="L2833" s="2824">
        <f t="shared" si="369"/>
        <v>3.3</v>
      </c>
      <c r="M2833" s="3025"/>
      <c r="N2833" s="106"/>
      <c r="O2833" s="106"/>
      <c r="P2833" s="106"/>
      <c r="Q2833" s="106"/>
      <c r="R2833" s="106"/>
      <c r="S2833" s="106"/>
      <c r="T2833" s="106"/>
      <c r="U2833" s="106"/>
      <c r="V2833" s="3980"/>
      <c r="W2833" s="3421">
        <v>39600</v>
      </c>
      <c r="X2833" s="3421">
        <v>39600</v>
      </c>
      <c r="Y2833" s="3421">
        <v>39600</v>
      </c>
      <c r="Z2833" s="3421">
        <v>39600</v>
      </c>
      <c r="AA2833" s="3421">
        <v>39600</v>
      </c>
      <c r="AB2833" s="3421">
        <v>39600</v>
      </c>
      <c r="AC2833" s="3557">
        <v>39600</v>
      </c>
      <c r="AD2833" s="2042">
        <v>39600</v>
      </c>
      <c r="AE2833" s="3429"/>
      <c r="AF2833" s="3421"/>
      <c r="AG2833" s="3421"/>
      <c r="AH2833" s="156"/>
      <c r="AI2833" s="156"/>
      <c r="AJ2833" s="156"/>
      <c r="AK2833" s="156"/>
      <c r="AL2833" s="156"/>
      <c r="AM2833" s="156"/>
      <c r="AN2833" s="156"/>
      <c r="AO2833" s="156"/>
      <c r="AP2833" s="156"/>
      <c r="AQ2833" s="156"/>
      <c r="AR2833" s="156"/>
      <c r="AS2833" s="156"/>
      <c r="AT2833" s="156"/>
      <c r="AU2833" s="156"/>
      <c r="AV2833" s="156"/>
      <c r="AW2833" s="156"/>
      <c r="AX2833" s="156"/>
      <c r="AY2833" s="156"/>
      <c r="AZ2833" s="156"/>
      <c r="BA2833" s="156"/>
      <c r="BB2833" s="2828"/>
      <c r="BC2833" s="452"/>
      <c r="BD2833" s="2829"/>
      <c r="BE2833" s="2837"/>
      <c r="BF2833" s="156"/>
    </row>
    <row r="2834" spans="1:58" ht="15" customHeight="1" outlineLevel="1" x14ac:dyDescent="0.35">
      <c r="A2834" s="1071"/>
      <c r="B2834" s="2812"/>
      <c r="C2834" s="3077"/>
      <c r="D2834" s="3980"/>
      <c r="E2834" s="3883"/>
      <c r="F2834" s="3984" t="str">
        <f>$E$1778</f>
        <v>ASHP-SEER17_ER2_MF</v>
      </c>
      <c r="G2834" s="3984"/>
      <c r="H2834" s="3984"/>
      <c r="I2834" s="3984"/>
      <c r="J2834" s="3501" t="str">
        <f>$C$1778</f>
        <v>354200_2019_12_</v>
      </c>
      <c r="K2834" s="3048">
        <v>39600</v>
      </c>
      <c r="L2834" s="2824">
        <f t="shared" si="369"/>
        <v>3.3</v>
      </c>
      <c r="M2834" s="3025"/>
      <c r="N2834" s="106"/>
      <c r="O2834" s="106"/>
      <c r="P2834" s="106"/>
      <c r="Q2834" s="106"/>
      <c r="R2834" s="106"/>
      <c r="S2834" s="106"/>
      <c r="T2834" s="106"/>
      <c r="U2834" s="106"/>
      <c r="V2834" s="3980"/>
      <c r="W2834" s="3421">
        <v>39600</v>
      </c>
      <c r="X2834" s="3421">
        <v>39600</v>
      </c>
      <c r="Y2834" s="3421">
        <v>39600</v>
      </c>
      <c r="Z2834" s="3421">
        <v>39600</v>
      </c>
      <c r="AA2834" s="3421">
        <v>39600</v>
      </c>
      <c r="AB2834" s="3421">
        <v>39600</v>
      </c>
      <c r="AC2834" s="3557">
        <v>39600</v>
      </c>
      <c r="AD2834" s="2042">
        <v>39600</v>
      </c>
      <c r="AE2834" s="3429"/>
      <c r="AF2834" s="3421"/>
      <c r="AG2834" s="3421"/>
      <c r="AH2834" s="156"/>
      <c r="AI2834" s="156"/>
      <c r="AJ2834" s="156"/>
      <c r="AK2834" s="156"/>
      <c r="AL2834" s="156"/>
      <c r="AM2834" s="156"/>
      <c r="AN2834" s="156"/>
      <c r="AO2834" s="156"/>
      <c r="AP2834" s="156"/>
      <c r="AQ2834" s="156"/>
      <c r="AR2834" s="156"/>
      <c r="AS2834" s="156"/>
      <c r="AT2834" s="156"/>
      <c r="AU2834" s="156"/>
      <c r="AV2834" s="156"/>
      <c r="AW2834" s="156"/>
      <c r="AX2834" s="156"/>
      <c r="AY2834" s="156"/>
      <c r="AZ2834" s="156"/>
      <c r="BA2834" s="156"/>
      <c r="BB2834" s="2828"/>
      <c r="BC2834" s="452"/>
      <c r="BD2834" s="2829"/>
      <c r="BE2834" s="2837"/>
      <c r="BF2834" s="156"/>
    </row>
    <row r="2835" spans="1:58" ht="15" customHeight="1" outlineLevel="1" x14ac:dyDescent="0.35">
      <c r="A2835" s="1071"/>
      <c r="B2835" s="2812"/>
      <c r="C2835" s="3077"/>
      <c r="D2835" s="3980"/>
      <c r="E2835" s="3883"/>
      <c r="F2835" s="3984" t="str">
        <f>$E$1780</f>
        <v>ASHP-SEER17_ER1_MF_CompE</v>
      </c>
      <c r="G2835" s="3984"/>
      <c r="H2835" s="3984"/>
      <c r="I2835" s="3984"/>
      <c r="J2835" s="3501" t="str">
        <f>$C$1780</f>
        <v>354201_2019_12_</v>
      </c>
      <c r="K2835" s="3048">
        <v>39600</v>
      </c>
      <c r="L2835" s="2824">
        <f t="shared" si="369"/>
        <v>3.3</v>
      </c>
      <c r="M2835" s="3025"/>
      <c r="N2835" s="106"/>
      <c r="O2835" s="106"/>
      <c r="P2835" s="106"/>
      <c r="Q2835" s="106"/>
      <c r="R2835" s="106"/>
      <c r="S2835" s="106"/>
      <c r="T2835" s="106"/>
      <c r="U2835" s="106"/>
      <c r="V2835" s="3980"/>
      <c r="W2835" s="3421"/>
      <c r="X2835" s="3421"/>
      <c r="Y2835" s="2374">
        <v>39600</v>
      </c>
      <c r="Z2835" s="3421">
        <v>39600</v>
      </c>
      <c r="AA2835" s="3421">
        <v>39600</v>
      </c>
      <c r="AB2835" s="3421">
        <v>39600</v>
      </c>
      <c r="AC2835" s="3557">
        <f>AC2833</f>
        <v>39600</v>
      </c>
      <c r="AD2835" s="2042">
        <v>39600</v>
      </c>
      <c r="AE2835" s="3429"/>
      <c r="AF2835" s="3421"/>
      <c r="AG2835" s="3421"/>
      <c r="AH2835" s="156"/>
      <c r="AI2835" s="156"/>
      <c r="AJ2835" s="156"/>
      <c r="AK2835" s="156"/>
      <c r="AL2835" s="156"/>
      <c r="AM2835" s="156"/>
      <c r="AN2835" s="156"/>
      <c r="AO2835" s="156"/>
      <c r="AP2835" s="156"/>
      <c r="AQ2835" s="156"/>
      <c r="AR2835" s="156"/>
      <c r="AS2835" s="156"/>
      <c r="AT2835" s="156"/>
      <c r="AU2835" s="156"/>
      <c r="AV2835" s="156"/>
      <c r="AW2835" s="156"/>
      <c r="AX2835" s="156"/>
      <c r="AY2835" s="156"/>
      <c r="AZ2835" s="156"/>
      <c r="BA2835" s="156"/>
      <c r="BB2835" s="2828"/>
      <c r="BC2835" s="452"/>
      <c r="BD2835" s="2829"/>
      <c r="BE2835" s="2837"/>
      <c r="BF2835" s="156"/>
    </row>
    <row r="2836" spans="1:58" ht="15" customHeight="1" outlineLevel="1" x14ac:dyDescent="0.35">
      <c r="A2836" s="1071"/>
      <c r="B2836" s="2812"/>
      <c r="C2836" s="3077"/>
      <c r="D2836" s="3980"/>
      <c r="E2836" s="3883"/>
      <c r="F2836" s="3984" t="str">
        <f>$E$1782</f>
        <v>ASHP-SEER17_ER2_MF_CompE</v>
      </c>
      <c r="G2836" s="3984"/>
      <c r="H2836" s="3984"/>
      <c r="I2836" s="3984"/>
      <c r="J2836" s="3501" t="str">
        <f>$C$1782</f>
        <v>354201_2019_12_</v>
      </c>
      <c r="K2836" s="3048">
        <v>39600</v>
      </c>
      <c r="L2836" s="2824">
        <f t="shared" si="369"/>
        <v>3.3</v>
      </c>
      <c r="M2836" s="3025"/>
      <c r="N2836" s="106"/>
      <c r="O2836" s="106"/>
      <c r="P2836" s="106"/>
      <c r="Q2836" s="106"/>
      <c r="R2836" s="106"/>
      <c r="S2836" s="106"/>
      <c r="T2836" s="106"/>
      <c r="U2836" s="106"/>
      <c r="V2836" s="3980"/>
      <c r="W2836" s="3421"/>
      <c r="X2836" s="3421"/>
      <c r="Y2836" s="2374">
        <v>39600</v>
      </c>
      <c r="Z2836" s="3421">
        <v>39600</v>
      </c>
      <c r="AA2836" s="3421">
        <v>39600</v>
      </c>
      <c r="AB2836" s="3421">
        <v>39600</v>
      </c>
      <c r="AC2836" s="3557">
        <f>AC2834</f>
        <v>39600</v>
      </c>
      <c r="AD2836" s="2042">
        <v>39600</v>
      </c>
      <c r="AE2836" s="3429"/>
      <c r="AF2836" s="3421"/>
      <c r="AG2836" s="3421"/>
      <c r="AH2836" s="156"/>
      <c r="AI2836" s="156"/>
      <c r="AJ2836" s="156"/>
      <c r="AK2836" s="156"/>
      <c r="AL2836" s="156"/>
      <c r="AM2836" s="156"/>
      <c r="AN2836" s="156"/>
      <c r="AO2836" s="156"/>
      <c r="AP2836" s="156"/>
      <c r="AQ2836" s="156"/>
      <c r="AR2836" s="156"/>
      <c r="AS2836" s="156"/>
      <c r="AT2836" s="156"/>
      <c r="AU2836" s="156"/>
      <c r="AV2836" s="156"/>
      <c r="AW2836" s="156"/>
      <c r="AX2836" s="156"/>
      <c r="AY2836" s="156"/>
      <c r="AZ2836" s="156"/>
      <c r="BA2836" s="156"/>
      <c r="BB2836" s="2828"/>
      <c r="BC2836" s="452"/>
      <c r="BD2836" s="2829"/>
      <c r="BE2836" s="2837"/>
      <c r="BF2836" s="156"/>
    </row>
    <row r="2837" spans="1:58" ht="15" customHeight="1" outlineLevel="1" x14ac:dyDescent="0.35">
      <c r="A2837" s="1071"/>
      <c r="B2837" s="2812"/>
      <c r="C2837" s="3077"/>
      <c r="D2837" s="3980"/>
      <c r="E2837" s="3883"/>
      <c r="F2837" s="3984" t="str">
        <f>$E$1784</f>
        <v>ASHP-SEER18-Replace_CAC_ElectricHeat_ER1_SF</v>
      </c>
      <c r="G2837" s="3984"/>
      <c r="H2837" s="3984"/>
      <c r="I2837" s="3984"/>
      <c r="J2837" s="3501" t="str">
        <f>$C$1784</f>
        <v>354250_2021_12_</v>
      </c>
      <c r="K2837" s="3047">
        <v>38000</v>
      </c>
      <c r="L2837" s="2823">
        <f t="shared" si="369"/>
        <v>3.1666666666666665</v>
      </c>
      <c r="M2837" s="2819" t="s">
        <v>4360</v>
      </c>
      <c r="N2837" s="106"/>
      <c r="O2837" s="106"/>
      <c r="P2837" s="106"/>
      <c r="Q2837" s="106"/>
      <c r="R2837" s="106"/>
      <c r="S2837" s="106"/>
      <c r="T2837" s="106"/>
      <c r="U2837" s="106"/>
      <c r="V2837" s="3980"/>
      <c r="W2837" s="3421">
        <v>37200</v>
      </c>
      <c r="X2837" s="3421">
        <v>37200</v>
      </c>
      <c r="Y2837" s="3421">
        <v>37200</v>
      </c>
      <c r="Z2837" s="3421">
        <v>37200</v>
      </c>
      <c r="AA2837" s="3421">
        <v>37200</v>
      </c>
      <c r="AB2837" s="2296">
        <v>40965.517241379312</v>
      </c>
      <c r="AC2837" s="2292">
        <v>37721.739130434784</v>
      </c>
      <c r="AD2837" s="2296">
        <v>38000</v>
      </c>
      <c r="AE2837" s="3429"/>
      <c r="AF2837" s="3421"/>
      <c r="AG2837" s="3421"/>
      <c r="AH2837" s="156"/>
      <c r="AI2837" s="156"/>
      <c r="AJ2837" s="156"/>
      <c r="AK2837" s="156"/>
      <c r="AL2837" s="156"/>
      <c r="AM2837" s="156"/>
      <c r="AN2837" s="156"/>
      <c r="AO2837" s="156"/>
      <c r="AP2837" s="156"/>
      <c r="AQ2837" s="156"/>
      <c r="AR2837" s="156"/>
      <c r="AS2837" s="156"/>
      <c r="AT2837" s="156"/>
      <c r="AU2837" s="156"/>
      <c r="AV2837" s="156"/>
      <c r="AW2837" s="156"/>
      <c r="AX2837" s="156"/>
      <c r="AY2837" s="156"/>
      <c r="AZ2837" s="156"/>
      <c r="BA2837" s="156"/>
      <c r="BB2837" s="2828"/>
      <c r="BC2837" s="452"/>
      <c r="BD2837" s="2829"/>
      <c r="BE2837" s="2837"/>
      <c r="BF2837" s="156"/>
    </row>
    <row r="2838" spans="1:58" ht="15" customHeight="1" outlineLevel="1" x14ac:dyDescent="0.35">
      <c r="A2838" s="1071"/>
      <c r="B2838" s="2812"/>
      <c r="C2838" s="3077"/>
      <c r="D2838" s="3980"/>
      <c r="E2838" s="3883"/>
      <c r="F2838" s="3984" t="str">
        <f>$E$1786</f>
        <v>ASHP-SEER18-Replace_CAC_ElectricHeat_ER2_SF</v>
      </c>
      <c r="G2838" s="3984"/>
      <c r="H2838" s="3984"/>
      <c r="I2838" s="3984"/>
      <c r="J2838" s="3501" t="str">
        <f>$C$1786</f>
        <v>354250_2021_12_</v>
      </c>
      <c r="K2838" s="3047">
        <v>38000</v>
      </c>
      <c r="L2838" s="2823">
        <f t="shared" si="369"/>
        <v>3.1666666666666665</v>
      </c>
      <c r="M2838" s="2819" t="s">
        <v>4360</v>
      </c>
      <c r="N2838" s="106"/>
      <c r="O2838" s="106"/>
      <c r="P2838" s="106"/>
      <c r="Q2838" s="106"/>
      <c r="R2838" s="106"/>
      <c r="S2838" s="106"/>
      <c r="T2838" s="106"/>
      <c r="U2838" s="106"/>
      <c r="V2838" s="3980"/>
      <c r="W2838" s="3421">
        <v>37200</v>
      </c>
      <c r="X2838" s="3421">
        <v>37200</v>
      </c>
      <c r="Y2838" s="3421">
        <v>37200</v>
      </c>
      <c r="Z2838" s="3421">
        <v>37200</v>
      </c>
      <c r="AA2838" s="3421">
        <v>37200</v>
      </c>
      <c r="AB2838" s="2296">
        <v>40965.517241379312</v>
      </c>
      <c r="AC2838" s="2292">
        <f>AC2837</f>
        <v>37721.739130434784</v>
      </c>
      <c r="AD2838" s="2296">
        <v>38000</v>
      </c>
      <c r="AE2838" s="3429"/>
      <c r="AF2838" s="3421"/>
      <c r="AG2838" s="3421"/>
      <c r="AH2838" s="156"/>
      <c r="AI2838" s="156"/>
      <c r="AJ2838" s="156"/>
      <c r="AK2838" s="156"/>
      <c r="AL2838" s="156"/>
      <c r="AM2838" s="156"/>
      <c r="AN2838" s="156"/>
      <c r="AO2838" s="156"/>
      <c r="AP2838" s="156"/>
      <c r="AQ2838" s="156"/>
      <c r="AR2838" s="156"/>
      <c r="AS2838" s="156"/>
      <c r="AT2838" s="156"/>
      <c r="AU2838" s="156"/>
      <c r="AV2838" s="156"/>
      <c r="AW2838" s="156"/>
      <c r="AX2838" s="156"/>
      <c r="AY2838" s="156"/>
      <c r="AZ2838" s="156"/>
      <c r="BA2838" s="156"/>
      <c r="BB2838" s="2828"/>
      <c r="BC2838" s="452"/>
      <c r="BD2838" s="2829"/>
      <c r="BE2838" s="2837"/>
      <c r="BF2838" s="156"/>
    </row>
    <row r="2839" spans="1:58" ht="15" customHeight="1" outlineLevel="1" x14ac:dyDescent="0.35">
      <c r="A2839" s="1071"/>
      <c r="B2839" s="2812"/>
      <c r="C2839" s="3077"/>
      <c r="D2839" s="3980"/>
      <c r="E2839" s="3883"/>
      <c r="F2839" s="3984" t="str">
        <f>$E$1788</f>
        <v>ASHP-SEER18-Replace_CAC_NonElectricHeat_ER1_SF</v>
      </c>
      <c r="G2839" s="3984"/>
      <c r="H2839" s="3984"/>
      <c r="I2839" s="3984"/>
      <c r="J2839" s="3501" t="str">
        <f>$C$1788</f>
        <v>354260_2021_12_</v>
      </c>
      <c r="K2839" s="3047">
        <v>38000</v>
      </c>
      <c r="L2839" s="2823">
        <f t="shared" si="369"/>
        <v>3.1666666666666665</v>
      </c>
      <c r="M2839" s="3025" t="s">
        <v>1083</v>
      </c>
      <c r="N2839" s="106"/>
      <c r="O2839" s="106"/>
      <c r="P2839" s="106"/>
      <c r="Q2839" s="106"/>
      <c r="R2839" s="106"/>
      <c r="S2839" s="106"/>
      <c r="T2839" s="106"/>
      <c r="U2839" s="106"/>
      <c r="V2839" s="3980"/>
      <c r="W2839" s="3421"/>
      <c r="X2839" s="3421"/>
      <c r="Y2839" s="3421"/>
      <c r="Z2839" s="3421"/>
      <c r="AA2839" s="3421"/>
      <c r="AB2839" s="2296"/>
      <c r="AC2839" s="2292">
        <v>37721.739130434784</v>
      </c>
      <c r="AD2839" s="2296">
        <v>38000</v>
      </c>
      <c r="AE2839" s="3429"/>
      <c r="AF2839" s="3421"/>
      <c r="AG2839" s="3421"/>
      <c r="AH2839" s="156"/>
      <c r="AI2839" s="156"/>
      <c r="AJ2839" s="156"/>
      <c r="AK2839" s="156"/>
      <c r="AL2839" s="156"/>
      <c r="AM2839" s="156"/>
      <c r="AN2839" s="156"/>
      <c r="AO2839" s="156"/>
      <c r="AP2839" s="156"/>
      <c r="AQ2839" s="156"/>
      <c r="AR2839" s="156"/>
      <c r="AS2839" s="156"/>
      <c r="AT2839" s="156"/>
      <c r="AU2839" s="156"/>
      <c r="AV2839" s="156"/>
      <c r="AW2839" s="156"/>
      <c r="AX2839" s="156"/>
      <c r="AY2839" s="156"/>
      <c r="AZ2839" s="156"/>
      <c r="BA2839" s="156"/>
      <c r="BB2839" s="2828"/>
      <c r="BC2839" s="452"/>
      <c r="BD2839" s="2829"/>
      <c r="BE2839" s="2837"/>
      <c r="BF2839" s="156"/>
    </row>
    <row r="2840" spans="1:58" ht="15" customHeight="1" outlineLevel="1" x14ac:dyDescent="0.35">
      <c r="A2840" s="1071"/>
      <c r="B2840" s="2812"/>
      <c r="C2840" s="3077"/>
      <c r="D2840" s="3980"/>
      <c r="E2840" s="3883"/>
      <c r="F2840" s="3984" t="str">
        <f>$E$1790</f>
        <v>ASHP-SEER18-Replace_CAC_NonElectricHeat_ER2_SF</v>
      </c>
      <c r="G2840" s="3984"/>
      <c r="H2840" s="3984"/>
      <c r="I2840" s="3984"/>
      <c r="J2840" s="3501" t="str">
        <f>$C$1790</f>
        <v>354260_2021_12_</v>
      </c>
      <c r="K2840" s="3047">
        <v>38000</v>
      </c>
      <c r="L2840" s="2823">
        <f t="shared" si="369"/>
        <v>3.1666666666666665</v>
      </c>
      <c r="M2840" s="3025" t="s">
        <v>1083</v>
      </c>
      <c r="N2840" s="106"/>
      <c r="O2840" s="106"/>
      <c r="P2840" s="106"/>
      <c r="Q2840" s="106"/>
      <c r="R2840" s="106"/>
      <c r="S2840" s="106"/>
      <c r="T2840" s="106"/>
      <c r="U2840" s="106"/>
      <c r="V2840" s="3980"/>
      <c r="W2840" s="3421"/>
      <c r="X2840" s="3421"/>
      <c r="Y2840" s="3421"/>
      <c r="Z2840" s="3421"/>
      <c r="AA2840" s="3421"/>
      <c r="AB2840" s="2296"/>
      <c r="AC2840" s="2292">
        <f>AC2839</f>
        <v>37721.739130434784</v>
      </c>
      <c r="AD2840" s="2296">
        <v>38000</v>
      </c>
      <c r="AE2840" s="3429"/>
      <c r="AF2840" s="3421"/>
      <c r="AG2840" s="3421"/>
      <c r="AH2840" s="156"/>
      <c r="AI2840" s="156"/>
      <c r="AJ2840" s="156"/>
      <c r="AK2840" s="156"/>
      <c r="AL2840" s="156"/>
      <c r="AM2840" s="156"/>
      <c r="AN2840" s="156"/>
      <c r="AO2840" s="156"/>
      <c r="AP2840" s="156"/>
      <c r="AQ2840" s="156"/>
      <c r="AR2840" s="156"/>
      <c r="AS2840" s="156"/>
      <c r="AT2840" s="156"/>
      <c r="AU2840" s="156"/>
      <c r="AV2840" s="156"/>
      <c r="AW2840" s="156"/>
      <c r="AX2840" s="156"/>
      <c r="AY2840" s="156"/>
      <c r="AZ2840" s="156"/>
      <c r="BA2840" s="156"/>
      <c r="BB2840" s="2828"/>
      <c r="BC2840" s="452"/>
      <c r="BD2840" s="2829"/>
      <c r="BE2840" s="2837"/>
      <c r="BF2840" s="156"/>
    </row>
    <row r="2841" spans="1:58" ht="15" customHeight="1" outlineLevel="1" x14ac:dyDescent="0.35">
      <c r="A2841" s="1071"/>
      <c r="B2841" s="2812"/>
      <c r="C2841" s="3077"/>
      <c r="D2841" s="3980"/>
      <c r="E2841" s="3883"/>
      <c r="F2841" s="3984" t="str">
        <f>$E$1792</f>
        <v>ASHP-SEER18-Replace_CAC_ElectricHeat_ER1_MF</v>
      </c>
      <c r="G2841" s="3984"/>
      <c r="H2841" s="3984"/>
      <c r="I2841" s="3984"/>
      <c r="J2841" s="3501" t="str">
        <f>$C$1792</f>
        <v>354300_2021_12_</v>
      </c>
      <c r="K2841" s="3048">
        <v>18000</v>
      </c>
      <c r="L2841" s="2824">
        <f t="shared" si="369"/>
        <v>1.5</v>
      </c>
      <c r="M2841" s="3025" t="s">
        <v>974</v>
      </c>
      <c r="N2841" s="106"/>
      <c r="O2841" s="106"/>
      <c r="P2841" s="106"/>
      <c r="Q2841" s="106"/>
      <c r="R2841" s="106"/>
      <c r="S2841" s="106"/>
      <c r="T2841" s="106"/>
      <c r="U2841" s="106"/>
      <c r="V2841" s="3980"/>
      <c r="W2841" s="3421">
        <v>37200</v>
      </c>
      <c r="X2841" s="3421">
        <v>37200</v>
      </c>
      <c r="Y2841" s="3421">
        <v>37200</v>
      </c>
      <c r="Z2841" s="3421">
        <v>37200</v>
      </c>
      <c r="AA2841" s="3421">
        <v>37200</v>
      </c>
      <c r="AB2841" s="2296">
        <v>48000</v>
      </c>
      <c r="AC2841" s="2292">
        <v>18000</v>
      </c>
      <c r="AD2841" s="2042">
        <v>18000</v>
      </c>
      <c r="AE2841" s="3429"/>
      <c r="AF2841" s="3421"/>
      <c r="AG2841" s="3421"/>
      <c r="AH2841" s="156"/>
      <c r="AI2841" s="156"/>
      <c r="AJ2841" s="156"/>
      <c r="AK2841" s="156"/>
      <c r="AL2841" s="156"/>
      <c r="AM2841" s="156"/>
      <c r="AN2841" s="156"/>
      <c r="AO2841" s="156"/>
      <c r="AP2841" s="156"/>
      <c r="AQ2841" s="156"/>
      <c r="AR2841" s="156"/>
      <c r="AS2841" s="156"/>
      <c r="AT2841" s="156"/>
      <c r="AU2841" s="156"/>
      <c r="AV2841" s="156"/>
      <c r="AW2841" s="156"/>
      <c r="AX2841" s="156"/>
      <c r="AY2841" s="156"/>
      <c r="AZ2841" s="156"/>
      <c r="BA2841" s="156"/>
      <c r="BB2841" s="2828"/>
      <c r="BC2841" s="452"/>
      <c r="BD2841" s="2829"/>
      <c r="BE2841" s="2837"/>
      <c r="BF2841" s="156"/>
    </row>
    <row r="2842" spans="1:58" ht="15" customHeight="1" outlineLevel="1" x14ac:dyDescent="0.35">
      <c r="A2842" s="1071"/>
      <c r="B2842" s="2812"/>
      <c r="C2842" s="3077"/>
      <c r="D2842" s="3980"/>
      <c r="E2842" s="3883"/>
      <c r="F2842" s="3984" t="str">
        <f>$E$1794</f>
        <v>ASHP-SEER18-Replace_CAC_ElectricHeat_ER2_MF</v>
      </c>
      <c r="G2842" s="3984"/>
      <c r="H2842" s="3984"/>
      <c r="I2842" s="3984"/>
      <c r="J2842" s="3501" t="str">
        <f>$C$1794</f>
        <v>354300_2021_12_</v>
      </c>
      <c r="K2842" s="3048">
        <v>18000</v>
      </c>
      <c r="L2842" s="2824">
        <f t="shared" si="369"/>
        <v>1.5</v>
      </c>
      <c r="M2842" s="3025" t="s">
        <v>974</v>
      </c>
      <c r="N2842" s="106"/>
      <c r="O2842" s="106"/>
      <c r="P2842" s="106"/>
      <c r="Q2842" s="106"/>
      <c r="R2842" s="106"/>
      <c r="S2842" s="106"/>
      <c r="T2842" s="106"/>
      <c r="U2842" s="106"/>
      <c r="V2842" s="3980"/>
      <c r="W2842" s="3421">
        <v>37200</v>
      </c>
      <c r="X2842" s="3421">
        <v>37200</v>
      </c>
      <c r="Y2842" s="3421">
        <v>37200</v>
      </c>
      <c r="Z2842" s="3421">
        <v>37200</v>
      </c>
      <c r="AA2842" s="3421">
        <v>37200</v>
      </c>
      <c r="AB2842" s="2296">
        <v>48000</v>
      </c>
      <c r="AC2842" s="2292">
        <f>AC2841</f>
        <v>18000</v>
      </c>
      <c r="AD2842" s="2042">
        <v>18000</v>
      </c>
      <c r="AE2842" s="3429"/>
      <c r="AF2842" s="3421"/>
      <c r="AG2842" s="3421"/>
      <c r="AH2842" s="156"/>
      <c r="AI2842" s="156"/>
      <c r="AJ2842" s="156"/>
      <c r="AK2842" s="156"/>
      <c r="AL2842" s="156"/>
      <c r="AM2842" s="156"/>
      <c r="AN2842" s="156"/>
      <c r="AO2842" s="156"/>
      <c r="AP2842" s="156"/>
      <c r="AQ2842" s="156"/>
      <c r="AR2842" s="156"/>
      <c r="AS2842" s="156"/>
      <c r="AT2842" s="156"/>
      <c r="AU2842" s="156"/>
      <c r="AV2842" s="156"/>
      <c r="AW2842" s="156"/>
      <c r="AX2842" s="156"/>
      <c r="AY2842" s="156"/>
      <c r="AZ2842" s="156"/>
      <c r="BA2842" s="156"/>
      <c r="BB2842" s="2828"/>
      <c r="BC2842" s="452"/>
      <c r="BD2842" s="2829"/>
      <c r="BE2842" s="2837"/>
      <c r="BF2842" s="156"/>
    </row>
    <row r="2843" spans="1:58" ht="15" customHeight="1" outlineLevel="1" x14ac:dyDescent="0.35">
      <c r="A2843" s="1071"/>
      <c r="B2843" s="2812"/>
      <c r="C2843" s="3077"/>
      <c r="D2843" s="3980"/>
      <c r="E2843" s="3883"/>
      <c r="F2843" s="3984" t="str">
        <f>$E$1796</f>
        <v>ASHP-SEER18-Replace_CAC_ElectricHeat_ER1_MF_CompE</v>
      </c>
      <c r="G2843" s="3984"/>
      <c r="H2843" s="3984"/>
      <c r="I2843" s="3984"/>
      <c r="J2843" s="3501" t="str">
        <f>$C$1796</f>
        <v>354301_2021_12_</v>
      </c>
      <c r="K2843" s="3048">
        <v>18000</v>
      </c>
      <c r="L2843" s="2824">
        <f t="shared" si="369"/>
        <v>1.5</v>
      </c>
      <c r="M2843" s="3025" t="s">
        <v>1083</v>
      </c>
      <c r="N2843" s="106"/>
      <c r="O2843" s="106"/>
      <c r="P2843" s="106"/>
      <c r="Q2843" s="106"/>
      <c r="R2843" s="106"/>
      <c r="S2843" s="106"/>
      <c r="T2843" s="106"/>
      <c r="U2843" s="106"/>
      <c r="V2843" s="3980"/>
      <c r="W2843" s="3421"/>
      <c r="X2843" s="3421"/>
      <c r="Y2843" s="2374">
        <v>37200</v>
      </c>
      <c r="Z2843" s="3421">
        <v>37200</v>
      </c>
      <c r="AA2843" s="3421">
        <v>37200</v>
      </c>
      <c r="AB2843" s="2296">
        <v>48000</v>
      </c>
      <c r="AC2843" s="2292">
        <f>AC2841</f>
        <v>18000</v>
      </c>
      <c r="AD2843" s="2042">
        <v>18000</v>
      </c>
      <c r="AE2843" s="3429"/>
      <c r="AF2843" s="3421"/>
      <c r="AG2843" s="3421"/>
      <c r="AH2843" s="156"/>
      <c r="AI2843" s="156"/>
      <c r="AJ2843" s="156"/>
      <c r="AK2843" s="156"/>
      <c r="AL2843" s="156"/>
      <c r="AM2843" s="156"/>
      <c r="AN2843" s="156"/>
      <c r="AO2843" s="156"/>
      <c r="AP2843" s="156"/>
      <c r="AQ2843" s="156"/>
      <c r="AR2843" s="156"/>
      <c r="AS2843" s="156"/>
      <c r="AT2843" s="156"/>
      <c r="AU2843" s="156"/>
      <c r="AV2843" s="156"/>
      <c r="AW2843" s="156"/>
      <c r="AX2843" s="156"/>
      <c r="AY2843" s="156"/>
      <c r="AZ2843" s="156"/>
      <c r="BA2843" s="156"/>
      <c r="BB2843" s="2828"/>
      <c r="BC2843" s="452"/>
      <c r="BD2843" s="2829"/>
      <c r="BE2843" s="2837"/>
      <c r="BF2843" s="156"/>
    </row>
    <row r="2844" spans="1:58" ht="15" customHeight="1" outlineLevel="1" x14ac:dyDescent="0.35">
      <c r="A2844" s="1071"/>
      <c r="B2844" s="2812"/>
      <c r="C2844" s="3077"/>
      <c r="D2844" s="3980"/>
      <c r="E2844" s="3883"/>
      <c r="F2844" s="3984" t="str">
        <f>$E$1798</f>
        <v>ASHP-SEER18-Replace_CAC_ElectricHeat_ER2_MF_CompE</v>
      </c>
      <c r="G2844" s="3984"/>
      <c r="H2844" s="3984"/>
      <c r="I2844" s="3984"/>
      <c r="J2844" s="3501" t="str">
        <f>$C$1798</f>
        <v>354301_2021_12_</v>
      </c>
      <c r="K2844" s="3048">
        <v>18000</v>
      </c>
      <c r="L2844" s="2824">
        <f t="shared" si="369"/>
        <v>1.5</v>
      </c>
      <c r="M2844" s="3025" t="s">
        <v>1083</v>
      </c>
      <c r="N2844" s="106"/>
      <c r="O2844" s="106"/>
      <c r="P2844" s="106"/>
      <c r="Q2844" s="106"/>
      <c r="R2844" s="106"/>
      <c r="S2844" s="106"/>
      <c r="T2844" s="106"/>
      <c r="U2844" s="106"/>
      <c r="V2844" s="3980"/>
      <c r="W2844" s="3421"/>
      <c r="X2844" s="3421"/>
      <c r="Y2844" s="2374">
        <v>37200</v>
      </c>
      <c r="Z2844" s="3421">
        <v>37200</v>
      </c>
      <c r="AA2844" s="3421">
        <v>37200</v>
      </c>
      <c r="AB2844" s="2296">
        <v>48000</v>
      </c>
      <c r="AC2844" s="2292">
        <f>AC2842</f>
        <v>18000</v>
      </c>
      <c r="AD2844" s="2042">
        <v>18000</v>
      </c>
      <c r="AE2844" s="3429"/>
      <c r="AF2844" s="3421"/>
      <c r="AG2844" s="3421"/>
      <c r="AH2844" s="156"/>
      <c r="AI2844" s="156"/>
      <c r="AJ2844" s="156"/>
      <c r="AK2844" s="156"/>
      <c r="AL2844" s="156"/>
      <c r="AM2844" s="156"/>
      <c r="AN2844" s="156"/>
      <c r="AO2844" s="156"/>
      <c r="AP2844" s="156"/>
      <c r="AQ2844" s="156"/>
      <c r="AR2844" s="156"/>
      <c r="AS2844" s="156"/>
      <c r="AT2844" s="156"/>
      <c r="AU2844" s="156"/>
      <c r="AV2844" s="156"/>
      <c r="AW2844" s="156"/>
      <c r="AX2844" s="156"/>
      <c r="AY2844" s="156"/>
      <c r="AZ2844" s="156"/>
      <c r="BA2844" s="156"/>
      <c r="BB2844" s="2828"/>
      <c r="BC2844" s="452"/>
      <c r="BD2844" s="2829"/>
      <c r="BE2844" s="2837"/>
      <c r="BF2844" s="156"/>
    </row>
    <row r="2845" spans="1:58" ht="15" customHeight="1" outlineLevel="1" x14ac:dyDescent="0.35">
      <c r="A2845" s="1071"/>
      <c r="B2845" s="2812"/>
      <c r="C2845" s="3077"/>
      <c r="D2845" s="3980"/>
      <c r="E2845" s="3883"/>
      <c r="F2845" s="3984" t="str">
        <f>$E$1800</f>
        <v>ASHP-SEER18-Replace_CAC_NonElectricHeat_ER1_MF</v>
      </c>
      <c r="G2845" s="3984"/>
      <c r="H2845" s="3984"/>
      <c r="I2845" s="3984"/>
      <c r="J2845" s="3501" t="str">
        <f>$C$1800</f>
        <v>354310_2021_12_</v>
      </c>
      <c r="K2845" s="3048">
        <v>18000</v>
      </c>
      <c r="L2845" s="2823">
        <f t="shared" si="369"/>
        <v>1.5</v>
      </c>
      <c r="M2845" s="3025" t="s">
        <v>1083</v>
      </c>
      <c r="N2845" s="106"/>
      <c r="O2845" s="106"/>
      <c r="P2845" s="106"/>
      <c r="Q2845" s="106"/>
      <c r="R2845" s="106"/>
      <c r="S2845" s="106"/>
      <c r="T2845" s="106"/>
      <c r="U2845" s="106"/>
      <c r="V2845" s="3980"/>
      <c r="W2845" s="3421"/>
      <c r="X2845" s="3421"/>
      <c r="Y2845" s="2374"/>
      <c r="Z2845" s="3421"/>
      <c r="AA2845" s="3421"/>
      <c r="AB2845" s="2296"/>
      <c r="AC2845" s="2292">
        <v>18000</v>
      </c>
      <c r="AD2845" s="2042">
        <v>18000</v>
      </c>
      <c r="AE2845" s="3429"/>
      <c r="AF2845" s="3421"/>
      <c r="AG2845" s="3421"/>
      <c r="AH2845" s="156"/>
      <c r="AI2845" s="156"/>
      <c r="AJ2845" s="156"/>
      <c r="AK2845" s="156"/>
      <c r="AL2845" s="156"/>
      <c r="AM2845" s="156"/>
      <c r="AN2845" s="156"/>
      <c r="AO2845" s="156"/>
      <c r="AP2845" s="156"/>
      <c r="AQ2845" s="156"/>
      <c r="AR2845" s="156"/>
      <c r="AS2845" s="156"/>
      <c r="AT2845" s="156"/>
      <c r="AU2845" s="156"/>
      <c r="AV2845" s="156"/>
      <c r="AW2845" s="156"/>
      <c r="AX2845" s="156"/>
      <c r="AY2845" s="156"/>
      <c r="AZ2845" s="156"/>
      <c r="BA2845" s="156"/>
      <c r="BB2845" s="2828"/>
      <c r="BC2845" s="452"/>
      <c r="BD2845" s="2829"/>
      <c r="BE2845" s="2837"/>
      <c r="BF2845" s="156"/>
    </row>
    <row r="2846" spans="1:58" ht="15" customHeight="1" outlineLevel="1" x14ac:dyDescent="0.35">
      <c r="A2846" s="1071"/>
      <c r="B2846" s="2812"/>
      <c r="C2846" s="3077"/>
      <c r="D2846" s="3980"/>
      <c r="E2846" s="3883"/>
      <c r="F2846" s="3984" t="str">
        <f>$E$1802</f>
        <v>ASHP-SEER18-Replace_CAC_NonElectricHeat_ER2_MF</v>
      </c>
      <c r="G2846" s="3984"/>
      <c r="H2846" s="3984"/>
      <c r="I2846" s="3984"/>
      <c r="J2846" s="3501" t="str">
        <f>$C$1802</f>
        <v>354310_2021_12_</v>
      </c>
      <c r="K2846" s="3048">
        <v>18000</v>
      </c>
      <c r="L2846" s="2823">
        <f t="shared" ref="L2846:L2888" si="370">K2846/12000</f>
        <v>1.5</v>
      </c>
      <c r="M2846" s="3025" t="s">
        <v>1083</v>
      </c>
      <c r="N2846" s="106"/>
      <c r="O2846" s="106"/>
      <c r="P2846" s="106"/>
      <c r="Q2846" s="106"/>
      <c r="R2846" s="106"/>
      <c r="S2846" s="106"/>
      <c r="T2846" s="106"/>
      <c r="U2846" s="106"/>
      <c r="V2846" s="3980"/>
      <c r="W2846" s="3421"/>
      <c r="X2846" s="3421"/>
      <c r="Y2846" s="2374"/>
      <c r="Z2846" s="3421"/>
      <c r="AA2846" s="3421"/>
      <c r="AB2846" s="2296"/>
      <c r="AC2846" s="2292">
        <f>AC2845</f>
        <v>18000</v>
      </c>
      <c r="AD2846" s="2042">
        <v>18000</v>
      </c>
      <c r="AE2846" s="3429"/>
      <c r="AF2846" s="3421"/>
      <c r="AG2846" s="3421"/>
      <c r="AH2846" s="156"/>
      <c r="AI2846" s="156"/>
      <c r="AJ2846" s="156"/>
      <c r="AK2846" s="156"/>
      <c r="AL2846" s="156"/>
      <c r="AM2846" s="156"/>
      <c r="AN2846" s="156"/>
      <c r="AO2846" s="156"/>
      <c r="AP2846" s="156"/>
      <c r="AQ2846" s="156"/>
      <c r="AR2846" s="156"/>
      <c r="AS2846" s="156"/>
      <c r="AT2846" s="156"/>
      <c r="AU2846" s="156"/>
      <c r="AV2846" s="156"/>
      <c r="AW2846" s="156"/>
      <c r="AX2846" s="156"/>
      <c r="AY2846" s="156"/>
      <c r="AZ2846" s="156"/>
      <c r="BA2846" s="156"/>
      <c r="BB2846" s="2828"/>
      <c r="BC2846" s="452"/>
      <c r="BD2846" s="2829"/>
      <c r="BE2846" s="2837"/>
      <c r="BF2846" s="156"/>
    </row>
    <row r="2847" spans="1:58" ht="15" customHeight="1" outlineLevel="1" x14ac:dyDescent="0.35">
      <c r="A2847" s="1071"/>
      <c r="B2847" s="2812"/>
      <c r="C2847" s="3077"/>
      <c r="D2847" s="3980"/>
      <c r="E2847" s="3883"/>
      <c r="F2847" s="3984" t="str">
        <f>$E$1804</f>
        <v>ASHP-SEER18-Replace_CAC_NonElectricHeat_ER1_MF_CompE</v>
      </c>
      <c r="G2847" s="3984"/>
      <c r="H2847" s="3984"/>
      <c r="I2847" s="3984"/>
      <c r="J2847" s="3501" t="str">
        <f>$C$1804</f>
        <v>354311_2021_12_</v>
      </c>
      <c r="K2847" s="3048">
        <v>18000</v>
      </c>
      <c r="L2847" s="2823">
        <f t="shared" si="370"/>
        <v>1.5</v>
      </c>
      <c r="M2847" s="3025" t="s">
        <v>1083</v>
      </c>
      <c r="N2847" s="106"/>
      <c r="O2847" s="106"/>
      <c r="P2847" s="106"/>
      <c r="Q2847" s="106"/>
      <c r="R2847" s="106"/>
      <c r="S2847" s="106"/>
      <c r="T2847" s="106"/>
      <c r="U2847" s="106"/>
      <c r="V2847" s="3980"/>
      <c r="W2847" s="3421"/>
      <c r="X2847" s="3421"/>
      <c r="Y2847" s="2374"/>
      <c r="Z2847" s="3421"/>
      <c r="AA2847" s="3421"/>
      <c r="AB2847" s="2296"/>
      <c r="AC2847" s="2292">
        <f>AC2845</f>
        <v>18000</v>
      </c>
      <c r="AD2847" s="2042">
        <v>18000</v>
      </c>
      <c r="AE2847" s="3429"/>
      <c r="AF2847" s="3421"/>
      <c r="AG2847" s="3421"/>
      <c r="AH2847" s="156"/>
      <c r="AI2847" s="156"/>
      <c r="AJ2847" s="156"/>
      <c r="AK2847" s="156"/>
      <c r="AL2847" s="156"/>
      <c r="AM2847" s="156"/>
      <c r="AN2847" s="156"/>
      <c r="AO2847" s="156"/>
      <c r="AP2847" s="156"/>
      <c r="AQ2847" s="156"/>
      <c r="AR2847" s="156"/>
      <c r="AS2847" s="156"/>
      <c r="AT2847" s="156"/>
      <c r="AU2847" s="156"/>
      <c r="AV2847" s="156"/>
      <c r="AW2847" s="156"/>
      <c r="AX2847" s="156"/>
      <c r="AY2847" s="156"/>
      <c r="AZ2847" s="156"/>
      <c r="BA2847" s="156"/>
      <c r="BB2847" s="2828"/>
      <c r="BC2847" s="452"/>
      <c r="BD2847" s="2829"/>
      <c r="BE2847" s="2837"/>
      <c r="BF2847" s="156"/>
    </row>
    <row r="2848" spans="1:58" ht="15" customHeight="1" outlineLevel="1" x14ac:dyDescent="0.35">
      <c r="A2848" s="1071"/>
      <c r="B2848" s="2812"/>
      <c r="C2848" s="3077"/>
      <c r="D2848" s="3980"/>
      <c r="E2848" s="3883"/>
      <c r="F2848" s="3984" t="str">
        <f>$E$1806</f>
        <v>ASHP-SEER18-Replace_CAC_NonElectricHeat_ER2_MF_CompE</v>
      </c>
      <c r="G2848" s="3984"/>
      <c r="H2848" s="3984"/>
      <c r="I2848" s="3984"/>
      <c r="J2848" s="3501" t="str">
        <f>$C$1806</f>
        <v>354311_2021_12_</v>
      </c>
      <c r="K2848" s="3048">
        <v>18000</v>
      </c>
      <c r="L2848" s="2823">
        <f t="shared" si="370"/>
        <v>1.5</v>
      </c>
      <c r="M2848" s="3025" t="s">
        <v>1083</v>
      </c>
      <c r="N2848" s="106"/>
      <c r="O2848" s="106"/>
      <c r="P2848" s="106"/>
      <c r="Q2848" s="106"/>
      <c r="R2848" s="106"/>
      <c r="S2848" s="106"/>
      <c r="T2848" s="106"/>
      <c r="U2848" s="106"/>
      <c r="V2848" s="3980"/>
      <c r="W2848" s="3421"/>
      <c r="X2848" s="3421"/>
      <c r="Y2848" s="2374"/>
      <c r="Z2848" s="3421"/>
      <c r="AA2848" s="3421"/>
      <c r="AB2848" s="2296"/>
      <c r="AC2848" s="2292">
        <f>AC2846</f>
        <v>18000</v>
      </c>
      <c r="AD2848" s="2042">
        <v>18000</v>
      </c>
      <c r="AE2848" s="3429"/>
      <c r="AF2848" s="3421"/>
      <c r="AG2848" s="3421"/>
      <c r="AH2848" s="156"/>
      <c r="AI2848" s="156"/>
      <c r="AJ2848" s="156"/>
      <c r="AK2848" s="156"/>
      <c r="AL2848" s="156"/>
      <c r="AM2848" s="156"/>
      <c r="AN2848" s="156"/>
      <c r="AO2848" s="156"/>
      <c r="AP2848" s="156"/>
      <c r="AQ2848" s="156"/>
      <c r="AR2848" s="156"/>
      <c r="AS2848" s="156"/>
      <c r="AT2848" s="156"/>
      <c r="AU2848" s="156"/>
      <c r="AV2848" s="156"/>
      <c r="AW2848" s="156"/>
      <c r="AX2848" s="156"/>
      <c r="AY2848" s="156"/>
      <c r="AZ2848" s="156"/>
      <c r="BA2848" s="156"/>
      <c r="BB2848" s="2828"/>
      <c r="BC2848" s="452"/>
      <c r="BD2848" s="2829"/>
      <c r="BE2848" s="2837"/>
      <c r="BF2848" s="156"/>
    </row>
    <row r="2849" spans="1:58" ht="15" customHeight="1" outlineLevel="1" x14ac:dyDescent="0.35">
      <c r="A2849" s="1071"/>
      <c r="B2849" s="2812"/>
      <c r="C2849" s="3077"/>
      <c r="D2849" s="3980"/>
      <c r="E2849" s="3883"/>
      <c r="F2849" s="3984" t="str">
        <f>$E$1808</f>
        <v>ASHP-SEER18_ER1_MF</v>
      </c>
      <c r="G2849" s="3984"/>
      <c r="H2849" s="3984"/>
      <c r="I2849" s="3984"/>
      <c r="J2849" s="3501" t="str">
        <f>$C$1808</f>
        <v>354350_2021_12_</v>
      </c>
      <c r="K2849" s="3047">
        <v>30000</v>
      </c>
      <c r="L2849" s="2823">
        <f t="shared" si="370"/>
        <v>2.5</v>
      </c>
      <c r="M2849" s="2819" t="s">
        <v>4360</v>
      </c>
      <c r="N2849" s="106"/>
      <c r="O2849" s="106"/>
      <c r="P2849" s="106"/>
      <c r="Q2849" s="106"/>
      <c r="R2849" s="106"/>
      <c r="S2849" s="106"/>
      <c r="T2849" s="106"/>
      <c r="U2849" s="106"/>
      <c r="V2849" s="3980"/>
      <c r="W2849" s="3421">
        <v>39600</v>
      </c>
      <c r="X2849" s="3421">
        <v>39600</v>
      </c>
      <c r="Y2849" s="3421">
        <v>39600</v>
      </c>
      <c r="Z2849" s="3421">
        <v>39600</v>
      </c>
      <c r="AA2849" s="3421">
        <v>39600</v>
      </c>
      <c r="AB2849" s="3421">
        <v>39600</v>
      </c>
      <c r="AC2849" s="2292">
        <v>60000</v>
      </c>
      <c r="AD2849" s="2296">
        <v>30000</v>
      </c>
      <c r="AE2849" s="3429"/>
      <c r="AF2849" s="3421"/>
      <c r="AG2849" s="3421"/>
      <c r="AH2849" s="156"/>
      <c r="AI2849" s="156"/>
      <c r="AJ2849" s="156"/>
      <c r="AK2849" s="156"/>
      <c r="AL2849" s="156"/>
      <c r="AM2849" s="156"/>
      <c r="AN2849" s="156"/>
      <c r="AO2849" s="156"/>
      <c r="AP2849" s="156"/>
      <c r="AQ2849" s="156"/>
      <c r="AR2849" s="156"/>
      <c r="AS2849" s="156"/>
      <c r="AT2849" s="156"/>
      <c r="AU2849" s="156"/>
      <c r="AV2849" s="156"/>
      <c r="AW2849" s="156"/>
      <c r="AX2849" s="156"/>
      <c r="AY2849" s="156"/>
      <c r="AZ2849" s="156"/>
      <c r="BA2849" s="156"/>
      <c r="BB2849" s="2828"/>
      <c r="BC2849" s="452"/>
      <c r="BD2849" s="2829"/>
      <c r="BE2849" s="2837"/>
      <c r="BF2849" s="156"/>
    </row>
    <row r="2850" spans="1:58" ht="15" customHeight="1" outlineLevel="1" x14ac:dyDescent="0.35">
      <c r="A2850" s="1071"/>
      <c r="B2850" s="2812"/>
      <c r="C2850" s="3077"/>
      <c r="D2850" s="3980"/>
      <c r="E2850" s="3883"/>
      <c r="F2850" s="3984" t="str">
        <f>$E$1810</f>
        <v>ASHP-SEER18_ER2_MF</v>
      </c>
      <c r="G2850" s="3984"/>
      <c r="H2850" s="3984"/>
      <c r="I2850" s="3984"/>
      <c r="J2850" s="3501" t="str">
        <f>$C$1810</f>
        <v>354350_2021_12_</v>
      </c>
      <c r="K2850" s="3047">
        <v>30000</v>
      </c>
      <c r="L2850" s="2823">
        <f t="shared" si="370"/>
        <v>2.5</v>
      </c>
      <c r="M2850" s="3024" t="s">
        <v>1083</v>
      </c>
      <c r="N2850" s="106"/>
      <c r="O2850" s="106"/>
      <c r="P2850" s="106"/>
      <c r="Q2850" s="106"/>
      <c r="R2850" s="106"/>
      <c r="S2850" s="106"/>
      <c r="T2850" s="106"/>
      <c r="U2850" s="106"/>
      <c r="V2850" s="3980"/>
      <c r="W2850" s="3421">
        <v>39600</v>
      </c>
      <c r="X2850" s="3421">
        <v>39600</v>
      </c>
      <c r="Y2850" s="3421">
        <v>39600</v>
      </c>
      <c r="Z2850" s="3421">
        <v>39600</v>
      </c>
      <c r="AA2850" s="3421">
        <v>39600</v>
      </c>
      <c r="AB2850" s="3421">
        <v>39600</v>
      </c>
      <c r="AC2850" s="2292">
        <f>AC2849</f>
        <v>60000</v>
      </c>
      <c r="AD2850" s="2296">
        <v>30000</v>
      </c>
      <c r="AE2850" s="3429"/>
      <c r="AF2850" s="3421"/>
      <c r="AG2850" s="3421"/>
      <c r="AH2850" s="156"/>
      <c r="AI2850" s="156"/>
      <c r="AJ2850" s="156"/>
      <c r="AK2850" s="156"/>
      <c r="AL2850" s="156"/>
      <c r="AM2850" s="156"/>
      <c r="AN2850" s="156"/>
      <c r="AO2850" s="156"/>
      <c r="AP2850" s="156"/>
      <c r="AQ2850" s="156"/>
      <c r="AR2850" s="156"/>
      <c r="AS2850" s="156"/>
      <c r="AT2850" s="156"/>
      <c r="AU2850" s="156"/>
      <c r="AV2850" s="156"/>
      <c r="AW2850" s="156"/>
      <c r="AX2850" s="156"/>
      <c r="AY2850" s="156"/>
      <c r="AZ2850" s="156"/>
      <c r="BA2850" s="156"/>
      <c r="BB2850" s="2828"/>
      <c r="BC2850" s="452"/>
      <c r="BD2850" s="2829"/>
      <c r="BE2850" s="2837"/>
      <c r="BF2850" s="156"/>
    </row>
    <row r="2851" spans="1:58" ht="15" customHeight="1" outlineLevel="1" x14ac:dyDescent="0.35">
      <c r="A2851" s="1071"/>
      <c r="B2851" s="2812"/>
      <c r="C2851" s="3077"/>
      <c r="D2851" s="3980"/>
      <c r="E2851" s="3883"/>
      <c r="F2851" s="3984" t="str">
        <f>$E$1812</f>
        <v>ASHP-SEER18_ER1_MF_CompE</v>
      </c>
      <c r="G2851" s="3984"/>
      <c r="H2851" s="3984"/>
      <c r="I2851" s="3984"/>
      <c r="J2851" s="3501" t="str">
        <f>$C$1812</f>
        <v>354351_2021_12_</v>
      </c>
      <c r="K2851" s="3047">
        <v>30000</v>
      </c>
      <c r="L2851" s="2823">
        <f t="shared" si="370"/>
        <v>2.5</v>
      </c>
      <c r="M2851" s="3024" t="s">
        <v>1083</v>
      </c>
      <c r="N2851" s="106"/>
      <c r="O2851" s="106"/>
      <c r="P2851" s="106"/>
      <c r="Q2851" s="106"/>
      <c r="R2851" s="106"/>
      <c r="S2851" s="106"/>
      <c r="T2851" s="106"/>
      <c r="U2851" s="106"/>
      <c r="V2851" s="3980"/>
      <c r="W2851" s="3421"/>
      <c r="X2851" s="3421"/>
      <c r="Y2851" s="2374">
        <v>39600</v>
      </c>
      <c r="Z2851" s="3421">
        <v>39600</v>
      </c>
      <c r="AA2851" s="3421">
        <v>39600</v>
      </c>
      <c r="AB2851" s="3421">
        <v>39600</v>
      </c>
      <c r="AC2851" s="2292">
        <f>AC2849</f>
        <v>60000</v>
      </c>
      <c r="AD2851" s="2296">
        <v>30000</v>
      </c>
      <c r="AE2851" s="3429"/>
      <c r="AF2851" s="3421"/>
      <c r="AG2851" s="3421"/>
      <c r="AH2851" s="156"/>
      <c r="AI2851" s="156"/>
      <c r="AJ2851" s="156"/>
      <c r="AK2851" s="156"/>
      <c r="AL2851" s="156"/>
      <c r="AM2851" s="156"/>
      <c r="AN2851" s="156"/>
      <c r="AO2851" s="156"/>
      <c r="AP2851" s="156"/>
      <c r="AQ2851" s="156"/>
      <c r="AR2851" s="156"/>
      <c r="AS2851" s="156"/>
      <c r="AT2851" s="156"/>
      <c r="AU2851" s="156"/>
      <c r="AV2851" s="156"/>
      <c r="AW2851" s="156"/>
      <c r="AX2851" s="156"/>
      <c r="AY2851" s="156"/>
      <c r="AZ2851" s="156"/>
      <c r="BA2851" s="156"/>
      <c r="BB2851" s="2828"/>
      <c r="BC2851" s="452"/>
      <c r="BD2851" s="2829"/>
      <c r="BE2851" s="2837"/>
      <c r="BF2851" s="156"/>
    </row>
    <row r="2852" spans="1:58" ht="15" customHeight="1" outlineLevel="1" x14ac:dyDescent="0.35">
      <c r="A2852" s="1071"/>
      <c r="B2852" s="2812"/>
      <c r="C2852" s="3077"/>
      <c r="D2852" s="3980"/>
      <c r="E2852" s="3883"/>
      <c r="F2852" s="3984" t="str">
        <f>$E$1814</f>
        <v>ASHP-SEER18_ER2_MF_CompE</v>
      </c>
      <c r="G2852" s="3984"/>
      <c r="H2852" s="3984"/>
      <c r="I2852" s="3984"/>
      <c r="J2852" s="3501" t="str">
        <f>$C$1814</f>
        <v>354351_2021_12_</v>
      </c>
      <c r="K2852" s="3047">
        <v>30000</v>
      </c>
      <c r="L2852" s="2823">
        <f t="shared" si="370"/>
        <v>2.5</v>
      </c>
      <c r="M2852" s="3024" t="s">
        <v>1083</v>
      </c>
      <c r="N2852" s="106"/>
      <c r="O2852" s="106"/>
      <c r="P2852" s="106"/>
      <c r="Q2852" s="106"/>
      <c r="R2852" s="106"/>
      <c r="S2852" s="106"/>
      <c r="T2852" s="106"/>
      <c r="U2852" s="106"/>
      <c r="V2852" s="3980"/>
      <c r="W2852" s="3421"/>
      <c r="X2852" s="3421"/>
      <c r="Y2852" s="2374">
        <v>39600</v>
      </c>
      <c r="Z2852" s="3421">
        <v>39600</v>
      </c>
      <c r="AA2852" s="3421">
        <v>39600</v>
      </c>
      <c r="AB2852" s="3421">
        <v>39600</v>
      </c>
      <c r="AC2852" s="2292">
        <f>AC2850</f>
        <v>60000</v>
      </c>
      <c r="AD2852" s="2296">
        <v>30000</v>
      </c>
      <c r="AE2852" s="3429"/>
      <c r="AF2852" s="3421"/>
      <c r="AG2852" s="3421"/>
      <c r="AH2852" s="156"/>
      <c r="AI2852" s="156"/>
      <c r="AJ2852" s="156"/>
      <c r="AK2852" s="156"/>
      <c r="AL2852" s="156"/>
      <c r="AM2852" s="156"/>
      <c r="AN2852" s="156"/>
      <c r="AO2852" s="156"/>
      <c r="AP2852" s="156"/>
      <c r="AQ2852" s="156"/>
      <c r="AR2852" s="156"/>
      <c r="AS2852" s="156"/>
      <c r="AT2852" s="156"/>
      <c r="AU2852" s="156"/>
      <c r="AV2852" s="156"/>
      <c r="AW2852" s="156"/>
      <c r="AX2852" s="156"/>
      <c r="AY2852" s="156"/>
      <c r="AZ2852" s="156"/>
      <c r="BA2852" s="156"/>
      <c r="BB2852" s="2828"/>
      <c r="BC2852" s="452"/>
      <c r="BD2852" s="2829"/>
      <c r="BE2852" s="2837"/>
      <c r="BF2852" s="156"/>
    </row>
    <row r="2853" spans="1:58" ht="15" customHeight="1" outlineLevel="1" x14ac:dyDescent="0.35">
      <c r="A2853" s="1071"/>
      <c r="B2853" s="2812"/>
      <c r="C2853" s="3077"/>
      <c r="D2853" s="3980"/>
      <c r="E2853" s="3883"/>
      <c r="F2853" s="3984" t="str">
        <f>$E$1816</f>
        <v>ASHP-SEER19-Replace_CAC_ElectricHeat_ER1_SF</v>
      </c>
      <c r="G2853" s="3984"/>
      <c r="H2853" s="3984"/>
      <c r="I2853" s="3984"/>
      <c r="J2853" s="3501" t="str">
        <f>$C$1816</f>
        <v>354400_2021_12_</v>
      </c>
      <c r="K2853" s="3047">
        <v>49059</v>
      </c>
      <c r="L2853" s="2823">
        <f t="shared" si="370"/>
        <v>4.0882500000000004</v>
      </c>
      <c r="M2853" s="2819" t="s">
        <v>4360</v>
      </c>
      <c r="N2853" s="106"/>
      <c r="O2853" s="106"/>
      <c r="P2853" s="106"/>
      <c r="Q2853" s="106"/>
      <c r="R2853" s="106"/>
      <c r="S2853" s="106"/>
      <c r="T2853" s="106"/>
      <c r="U2853" s="106"/>
      <c r="V2853" s="3980"/>
      <c r="W2853" s="3421">
        <v>37200</v>
      </c>
      <c r="X2853" s="3421">
        <v>37200</v>
      </c>
      <c r="Y2853" s="3421">
        <v>37200</v>
      </c>
      <c r="Z2853" s="3421">
        <v>37200</v>
      </c>
      <c r="AA2853" s="3421">
        <v>37200</v>
      </c>
      <c r="AB2853" s="3421">
        <v>37200</v>
      </c>
      <c r="AC2853" s="2292">
        <v>43200</v>
      </c>
      <c r="AD2853" s="2296">
        <v>49058.823529411762</v>
      </c>
      <c r="AE2853" s="3429"/>
      <c r="AF2853" s="3421"/>
      <c r="AG2853" s="3421"/>
      <c r="AH2853" s="156"/>
      <c r="AI2853" s="156"/>
      <c r="AJ2853" s="156"/>
      <c r="AK2853" s="156"/>
      <c r="AL2853" s="156"/>
      <c r="AM2853" s="156"/>
      <c r="AN2853" s="156"/>
      <c r="AO2853" s="156"/>
      <c r="AP2853" s="156"/>
      <c r="AQ2853" s="156"/>
      <c r="AR2853" s="156"/>
      <c r="AS2853" s="156"/>
      <c r="AT2853" s="156"/>
      <c r="AU2853" s="156"/>
      <c r="AV2853" s="156"/>
      <c r="AW2853" s="156"/>
      <c r="AX2853" s="156"/>
      <c r="AY2853" s="156"/>
      <c r="AZ2853" s="156"/>
      <c r="BA2853" s="156"/>
      <c r="BB2853" s="2828"/>
      <c r="BC2853" s="452"/>
      <c r="BD2853" s="2829"/>
      <c r="BE2853" s="2837"/>
      <c r="BF2853" s="156"/>
    </row>
    <row r="2854" spans="1:58" ht="15" customHeight="1" outlineLevel="1" x14ac:dyDescent="0.35">
      <c r="A2854" s="1071"/>
      <c r="B2854" s="2812"/>
      <c r="C2854" s="3077"/>
      <c r="D2854" s="3980"/>
      <c r="E2854" s="3883"/>
      <c r="F2854" s="3984" t="str">
        <f>$E$1818</f>
        <v>ASHP-SEER19-Replace_CAC_ElectricHeat_ER2_SF</v>
      </c>
      <c r="G2854" s="3984"/>
      <c r="H2854" s="3984"/>
      <c r="I2854" s="3984"/>
      <c r="J2854" s="3501" t="str">
        <f>$C$1818</f>
        <v>354400_2021_12_</v>
      </c>
      <c r="K2854" s="3047">
        <v>49059</v>
      </c>
      <c r="L2854" s="2823">
        <f t="shared" si="370"/>
        <v>4.0882500000000004</v>
      </c>
      <c r="M2854" s="2819" t="s">
        <v>4360</v>
      </c>
      <c r="N2854" s="106"/>
      <c r="O2854" s="106"/>
      <c r="P2854" s="106"/>
      <c r="Q2854" s="106"/>
      <c r="R2854" s="106"/>
      <c r="S2854" s="106"/>
      <c r="T2854" s="106"/>
      <c r="U2854" s="106"/>
      <c r="V2854" s="3980"/>
      <c r="W2854" s="3421">
        <v>37200</v>
      </c>
      <c r="X2854" s="3421">
        <v>37200</v>
      </c>
      <c r="Y2854" s="3421">
        <v>37200</v>
      </c>
      <c r="Z2854" s="3421">
        <v>37200</v>
      </c>
      <c r="AA2854" s="3421">
        <v>37200</v>
      </c>
      <c r="AB2854" s="3421">
        <v>37200</v>
      </c>
      <c r="AC2854" s="2292">
        <f>AC2853</f>
        <v>43200</v>
      </c>
      <c r="AD2854" s="2296">
        <v>49058.823529411762</v>
      </c>
      <c r="AE2854" s="3429"/>
      <c r="AF2854" s="3421"/>
      <c r="AG2854" s="3421"/>
      <c r="AH2854" s="156"/>
      <c r="AI2854" s="156"/>
      <c r="AJ2854" s="156"/>
      <c r="AK2854" s="156"/>
      <c r="AL2854" s="156"/>
      <c r="AM2854" s="156"/>
      <c r="AN2854" s="156"/>
      <c r="AO2854" s="156"/>
      <c r="AP2854" s="156"/>
      <c r="AQ2854" s="156"/>
      <c r="AR2854" s="156"/>
      <c r="AS2854" s="156"/>
      <c r="AT2854" s="156"/>
      <c r="AU2854" s="156"/>
      <c r="AV2854" s="156"/>
      <c r="AW2854" s="156"/>
      <c r="AX2854" s="156"/>
      <c r="AY2854" s="156"/>
      <c r="AZ2854" s="156"/>
      <c r="BA2854" s="156"/>
      <c r="BB2854" s="2828"/>
      <c r="BC2854" s="452"/>
      <c r="BD2854" s="2829"/>
      <c r="BE2854" s="2837"/>
      <c r="BF2854" s="156"/>
    </row>
    <row r="2855" spans="1:58" ht="15" customHeight="1" outlineLevel="1" x14ac:dyDescent="0.35">
      <c r="A2855" s="1071"/>
      <c r="B2855" s="2812"/>
      <c r="C2855" s="3077"/>
      <c r="D2855" s="3980"/>
      <c r="E2855" s="3883"/>
      <c r="F2855" s="3984" t="str">
        <f>$E$1820</f>
        <v>ASHP-SEER19-Replace_CAC_NonElectricHeat_ER1_SF</v>
      </c>
      <c r="G2855" s="3984"/>
      <c r="H2855" s="3984"/>
      <c r="I2855" s="3984"/>
      <c r="J2855" s="3501" t="str">
        <f>$C$1820</f>
        <v>354410_2021_12_</v>
      </c>
      <c r="K2855" s="3048">
        <v>43200</v>
      </c>
      <c r="L2855" s="2823">
        <f t="shared" si="370"/>
        <v>3.6</v>
      </c>
      <c r="M2855" s="3025" t="s">
        <v>1083</v>
      </c>
      <c r="N2855" s="106"/>
      <c r="O2855" s="106"/>
      <c r="P2855" s="106"/>
      <c r="Q2855" s="106"/>
      <c r="R2855" s="106"/>
      <c r="S2855" s="106"/>
      <c r="T2855" s="106"/>
      <c r="U2855" s="106"/>
      <c r="V2855" s="3980"/>
      <c r="W2855" s="3421"/>
      <c r="X2855" s="3421"/>
      <c r="Y2855" s="3421"/>
      <c r="Z2855" s="3421"/>
      <c r="AA2855" s="3421"/>
      <c r="AB2855" s="3421"/>
      <c r="AC2855" s="2292">
        <v>43200</v>
      </c>
      <c r="AD2855" s="2042">
        <v>43200</v>
      </c>
      <c r="AE2855" s="3429"/>
      <c r="AF2855" s="3421"/>
      <c r="AG2855" s="3421"/>
      <c r="AH2855" s="156"/>
      <c r="AI2855" s="156"/>
      <c r="AJ2855" s="156"/>
      <c r="AK2855" s="156"/>
      <c r="AL2855" s="156"/>
      <c r="AM2855" s="156"/>
      <c r="AN2855" s="156"/>
      <c r="AO2855" s="156"/>
      <c r="AP2855" s="156"/>
      <c r="AQ2855" s="156"/>
      <c r="AR2855" s="156"/>
      <c r="AS2855" s="156"/>
      <c r="AT2855" s="156"/>
      <c r="AU2855" s="156"/>
      <c r="AV2855" s="156"/>
      <c r="AW2855" s="156"/>
      <c r="AX2855" s="156"/>
      <c r="AY2855" s="156"/>
      <c r="AZ2855" s="156"/>
      <c r="BA2855" s="156"/>
      <c r="BB2855" s="2828"/>
      <c r="BC2855" s="452"/>
      <c r="BD2855" s="2829"/>
      <c r="BE2855" s="2837"/>
      <c r="BF2855" s="156"/>
    </row>
    <row r="2856" spans="1:58" ht="15" customHeight="1" outlineLevel="1" x14ac:dyDescent="0.35">
      <c r="A2856" s="1071"/>
      <c r="B2856" s="2812"/>
      <c r="C2856" s="3077"/>
      <c r="D2856" s="3980"/>
      <c r="E2856" s="3883"/>
      <c r="F2856" s="3984" t="str">
        <f>$E$1822</f>
        <v>ASHP-SEER19-Replace_CAC_NonElectricHeat_ER2_SF</v>
      </c>
      <c r="G2856" s="3984"/>
      <c r="H2856" s="3984"/>
      <c r="I2856" s="3984"/>
      <c r="J2856" s="3501" t="str">
        <f>$C$1822</f>
        <v>354410_2021_12_</v>
      </c>
      <c r="K2856" s="3048">
        <v>43200</v>
      </c>
      <c r="L2856" s="2823">
        <f t="shared" si="370"/>
        <v>3.6</v>
      </c>
      <c r="M2856" s="3025" t="s">
        <v>1083</v>
      </c>
      <c r="N2856" s="106"/>
      <c r="O2856" s="106"/>
      <c r="P2856" s="106"/>
      <c r="Q2856" s="106"/>
      <c r="R2856" s="106"/>
      <c r="S2856" s="106"/>
      <c r="T2856" s="106"/>
      <c r="U2856" s="106"/>
      <c r="V2856" s="3980"/>
      <c r="W2856" s="3421"/>
      <c r="X2856" s="3421"/>
      <c r="Y2856" s="3421"/>
      <c r="Z2856" s="3421"/>
      <c r="AA2856" s="3421"/>
      <c r="AB2856" s="3421"/>
      <c r="AC2856" s="2292">
        <f>AC2855</f>
        <v>43200</v>
      </c>
      <c r="AD2856" s="2042">
        <v>43200</v>
      </c>
      <c r="AE2856" s="3429"/>
      <c r="AF2856" s="3421"/>
      <c r="AG2856" s="3421"/>
      <c r="AH2856" s="156"/>
      <c r="AI2856" s="156"/>
      <c r="AJ2856" s="156"/>
      <c r="AK2856" s="156"/>
      <c r="AL2856" s="156"/>
      <c r="AM2856" s="156"/>
      <c r="AN2856" s="156"/>
      <c r="AO2856" s="156"/>
      <c r="AP2856" s="156"/>
      <c r="AQ2856" s="156"/>
      <c r="AR2856" s="156"/>
      <c r="AS2856" s="156"/>
      <c r="AT2856" s="156"/>
      <c r="AU2856" s="156"/>
      <c r="AV2856" s="156"/>
      <c r="AW2856" s="156"/>
      <c r="AX2856" s="156"/>
      <c r="AY2856" s="156"/>
      <c r="AZ2856" s="156"/>
      <c r="BA2856" s="156"/>
      <c r="BB2856" s="2828"/>
      <c r="BC2856" s="452"/>
      <c r="BD2856" s="2829"/>
      <c r="BE2856" s="2837"/>
      <c r="BF2856" s="156"/>
    </row>
    <row r="2857" spans="1:58" ht="15" customHeight="1" outlineLevel="1" x14ac:dyDescent="0.35">
      <c r="A2857" s="1071"/>
      <c r="B2857" s="2812"/>
      <c r="C2857" s="3077"/>
      <c r="D2857" s="3980"/>
      <c r="E2857" s="3883"/>
      <c r="F2857" s="3984" t="str">
        <f>$E$1824</f>
        <v>ASHP-SEER19-Replace_CAC_ElectricHeat_ER1_MF</v>
      </c>
      <c r="G2857" s="3984"/>
      <c r="H2857" s="3984"/>
      <c r="I2857" s="3984"/>
      <c r="J2857" s="3501" t="str">
        <f>$C$1824</f>
        <v>354450_2019_12_</v>
      </c>
      <c r="K2857" s="3048">
        <v>37200</v>
      </c>
      <c r="L2857" s="2824">
        <f t="shared" si="370"/>
        <v>3.1</v>
      </c>
      <c r="M2857" s="3025"/>
      <c r="N2857" s="106"/>
      <c r="O2857" s="106"/>
      <c r="P2857" s="106"/>
      <c r="Q2857" s="106"/>
      <c r="R2857" s="106"/>
      <c r="S2857" s="106"/>
      <c r="T2857" s="106"/>
      <c r="U2857" s="106"/>
      <c r="V2857" s="3980"/>
      <c r="W2857" s="3421">
        <v>37200</v>
      </c>
      <c r="X2857" s="3421">
        <v>37200</v>
      </c>
      <c r="Y2857" s="3421">
        <v>37200</v>
      </c>
      <c r="Z2857" s="3421">
        <v>37200</v>
      </c>
      <c r="AA2857" s="3421">
        <v>37200</v>
      </c>
      <c r="AB2857" s="3421">
        <v>37200</v>
      </c>
      <c r="AC2857" s="3557">
        <v>37200</v>
      </c>
      <c r="AD2857" s="2042">
        <v>37200</v>
      </c>
      <c r="AE2857" s="3429"/>
      <c r="AF2857" s="3421"/>
      <c r="AG2857" s="3421"/>
      <c r="AH2857" s="156"/>
      <c r="AI2857" s="156"/>
      <c r="AJ2857" s="156"/>
      <c r="AK2857" s="156"/>
      <c r="AL2857" s="156"/>
      <c r="AM2857" s="156"/>
      <c r="AN2857" s="156"/>
      <c r="AO2857" s="156"/>
      <c r="AP2857" s="156"/>
      <c r="AQ2857" s="156"/>
      <c r="AR2857" s="156"/>
      <c r="AS2857" s="156"/>
      <c r="AT2857" s="156"/>
      <c r="AU2857" s="156"/>
      <c r="AV2857" s="156"/>
      <c r="AW2857" s="156"/>
      <c r="AX2857" s="156"/>
      <c r="AY2857" s="156"/>
      <c r="AZ2857" s="156"/>
      <c r="BA2857" s="156"/>
      <c r="BB2857" s="2828"/>
      <c r="BC2857" s="452"/>
      <c r="BD2857" s="2829"/>
      <c r="BE2857" s="2837"/>
      <c r="BF2857" s="156"/>
    </row>
    <row r="2858" spans="1:58" ht="15" customHeight="1" outlineLevel="1" x14ac:dyDescent="0.35">
      <c r="A2858" s="1071"/>
      <c r="B2858" s="2812"/>
      <c r="C2858" s="3077"/>
      <c r="D2858" s="3980"/>
      <c r="E2858" s="3883"/>
      <c r="F2858" s="3984" t="str">
        <f>$E$1826</f>
        <v>ASHP-SEER19-Replace_CAC_ElectricHeat_ER2_MF</v>
      </c>
      <c r="G2858" s="3984"/>
      <c r="H2858" s="3984"/>
      <c r="I2858" s="3984"/>
      <c r="J2858" s="3501" t="str">
        <f>$C$1826</f>
        <v>354450_2019_12_</v>
      </c>
      <c r="K2858" s="3048">
        <v>37200</v>
      </c>
      <c r="L2858" s="2824">
        <f t="shared" si="370"/>
        <v>3.1</v>
      </c>
      <c r="M2858" s="3025"/>
      <c r="N2858" s="106"/>
      <c r="O2858" s="106"/>
      <c r="P2858" s="106"/>
      <c r="Q2858" s="106"/>
      <c r="R2858" s="106"/>
      <c r="S2858" s="106"/>
      <c r="T2858" s="106"/>
      <c r="U2858" s="106"/>
      <c r="V2858" s="3980"/>
      <c r="W2858" s="3421">
        <v>37200</v>
      </c>
      <c r="X2858" s="3421">
        <v>37200</v>
      </c>
      <c r="Y2858" s="3421">
        <v>37200</v>
      </c>
      <c r="Z2858" s="3421">
        <v>37200</v>
      </c>
      <c r="AA2858" s="3421">
        <v>37200</v>
      </c>
      <c r="AB2858" s="3421">
        <v>37200</v>
      </c>
      <c r="AC2858" s="3557">
        <v>37200</v>
      </c>
      <c r="AD2858" s="2042">
        <v>37200</v>
      </c>
      <c r="AE2858" s="3429"/>
      <c r="AF2858" s="3421"/>
      <c r="AG2858" s="3421"/>
      <c r="AH2858" s="156"/>
      <c r="AI2858" s="156"/>
      <c r="AJ2858" s="156"/>
      <c r="AK2858" s="156"/>
      <c r="AL2858" s="156"/>
      <c r="AM2858" s="156"/>
      <c r="AN2858" s="156"/>
      <c r="AO2858" s="156"/>
      <c r="AP2858" s="156"/>
      <c r="AQ2858" s="156"/>
      <c r="AR2858" s="156"/>
      <c r="AS2858" s="156"/>
      <c r="AT2858" s="156"/>
      <c r="AU2858" s="156"/>
      <c r="AV2858" s="156"/>
      <c r="AW2858" s="156"/>
      <c r="AX2858" s="156"/>
      <c r="AY2858" s="156"/>
      <c r="AZ2858" s="156"/>
      <c r="BA2858" s="156"/>
      <c r="BB2858" s="2828"/>
      <c r="BC2858" s="452"/>
      <c r="BD2858" s="2829"/>
      <c r="BE2858" s="2837"/>
      <c r="BF2858" s="156"/>
    </row>
    <row r="2859" spans="1:58" ht="15" customHeight="1" outlineLevel="1" x14ac:dyDescent="0.35">
      <c r="A2859" s="1071"/>
      <c r="B2859" s="2812"/>
      <c r="C2859" s="3077"/>
      <c r="D2859" s="3980"/>
      <c r="E2859" s="3883"/>
      <c r="F2859" s="3984" t="str">
        <f>$E$1828</f>
        <v>ASHP-SEER19-Replace_CAC_ElectricHeat_ER1_MF_CompE</v>
      </c>
      <c r="G2859" s="3984"/>
      <c r="H2859" s="3984"/>
      <c r="I2859" s="3984"/>
      <c r="J2859" s="3501" t="str">
        <f>$C$1828</f>
        <v>354451_2019_12_</v>
      </c>
      <c r="K2859" s="3048">
        <v>37200</v>
      </c>
      <c r="L2859" s="2824">
        <f t="shared" si="370"/>
        <v>3.1</v>
      </c>
      <c r="M2859" s="3025"/>
      <c r="N2859" s="106"/>
      <c r="O2859" s="106"/>
      <c r="P2859" s="106"/>
      <c r="Q2859" s="106"/>
      <c r="R2859" s="106"/>
      <c r="S2859" s="106"/>
      <c r="T2859" s="106"/>
      <c r="U2859" s="106"/>
      <c r="V2859" s="3980"/>
      <c r="W2859" s="3421"/>
      <c r="X2859" s="3421"/>
      <c r="Y2859" s="2374">
        <v>37200</v>
      </c>
      <c r="Z2859" s="3421">
        <v>37200</v>
      </c>
      <c r="AA2859" s="3421">
        <v>37200</v>
      </c>
      <c r="AB2859" s="3421">
        <v>37200</v>
      </c>
      <c r="AC2859" s="3557">
        <f>AC2857</f>
        <v>37200</v>
      </c>
      <c r="AD2859" s="2042">
        <v>37200</v>
      </c>
      <c r="AE2859" s="3429"/>
      <c r="AF2859" s="3421"/>
      <c r="AG2859" s="3421"/>
      <c r="AH2859" s="156"/>
      <c r="AI2859" s="156"/>
      <c r="AJ2859" s="156"/>
      <c r="AK2859" s="156"/>
      <c r="AL2859" s="156"/>
      <c r="AM2859" s="156"/>
      <c r="AN2859" s="156"/>
      <c r="AO2859" s="156"/>
      <c r="AP2859" s="156"/>
      <c r="AQ2859" s="156"/>
      <c r="AR2859" s="156"/>
      <c r="AS2859" s="156"/>
      <c r="AT2859" s="156"/>
      <c r="AU2859" s="156"/>
      <c r="AV2859" s="156"/>
      <c r="AW2859" s="156"/>
      <c r="AX2859" s="156"/>
      <c r="AY2859" s="156"/>
      <c r="AZ2859" s="156"/>
      <c r="BA2859" s="156"/>
      <c r="BB2859" s="2828"/>
      <c r="BC2859" s="452"/>
      <c r="BD2859" s="2829"/>
      <c r="BE2859" s="2837"/>
      <c r="BF2859" s="156"/>
    </row>
    <row r="2860" spans="1:58" ht="15" customHeight="1" outlineLevel="1" x14ac:dyDescent="0.35">
      <c r="A2860" s="1071"/>
      <c r="B2860" s="2812"/>
      <c r="C2860" s="3077"/>
      <c r="D2860" s="3980"/>
      <c r="E2860" s="3883"/>
      <c r="F2860" s="3984" t="str">
        <f>$E$1830</f>
        <v>ASHP-SEER19-Replace_CAC_ElectricHeat_ER2_MF_CompE</v>
      </c>
      <c r="G2860" s="3984"/>
      <c r="H2860" s="3984"/>
      <c r="I2860" s="3984"/>
      <c r="J2860" s="3501" t="str">
        <f>$C$1830</f>
        <v>354451_2019_12_</v>
      </c>
      <c r="K2860" s="3048">
        <v>37200</v>
      </c>
      <c r="L2860" s="2824">
        <f t="shared" si="370"/>
        <v>3.1</v>
      </c>
      <c r="M2860" s="3025"/>
      <c r="N2860" s="106"/>
      <c r="O2860" s="106"/>
      <c r="P2860" s="106"/>
      <c r="Q2860" s="106"/>
      <c r="R2860" s="106"/>
      <c r="S2860" s="106"/>
      <c r="T2860" s="106"/>
      <c r="U2860" s="106"/>
      <c r="V2860" s="3980"/>
      <c r="W2860" s="3421"/>
      <c r="X2860" s="3421"/>
      <c r="Y2860" s="2374">
        <v>37200</v>
      </c>
      <c r="Z2860" s="3421">
        <v>37200</v>
      </c>
      <c r="AA2860" s="3421">
        <v>37200</v>
      </c>
      <c r="AB2860" s="3421">
        <v>37200</v>
      </c>
      <c r="AC2860" s="3557">
        <f>AC2858</f>
        <v>37200</v>
      </c>
      <c r="AD2860" s="2042">
        <v>37200</v>
      </c>
      <c r="AE2860" s="3429"/>
      <c r="AF2860" s="3421"/>
      <c r="AG2860" s="3421"/>
      <c r="AH2860" s="156"/>
      <c r="AI2860" s="156"/>
      <c r="AJ2860" s="156"/>
      <c r="AK2860" s="156"/>
      <c r="AL2860" s="156"/>
      <c r="AM2860" s="156"/>
      <c r="AN2860" s="156"/>
      <c r="AO2860" s="156"/>
      <c r="AP2860" s="156"/>
      <c r="AQ2860" s="156"/>
      <c r="AR2860" s="156"/>
      <c r="AS2860" s="156"/>
      <c r="AT2860" s="156"/>
      <c r="AU2860" s="156"/>
      <c r="AV2860" s="156"/>
      <c r="AW2860" s="156"/>
      <c r="AX2860" s="156"/>
      <c r="AY2860" s="156"/>
      <c r="AZ2860" s="156"/>
      <c r="BA2860" s="156"/>
      <c r="BB2860" s="2828"/>
      <c r="BC2860" s="452"/>
      <c r="BD2860" s="2829"/>
      <c r="BE2860" s="2837"/>
      <c r="BF2860" s="156"/>
    </row>
    <row r="2861" spans="1:58" ht="15" customHeight="1" outlineLevel="1" x14ac:dyDescent="0.35">
      <c r="A2861" s="1071"/>
      <c r="B2861" s="2812"/>
      <c r="C2861" s="3077"/>
      <c r="D2861" s="3980"/>
      <c r="E2861" s="3883"/>
      <c r="F2861" s="3984" t="str">
        <f>$E$1832</f>
        <v>ASHP-SEER19-Replace_CAC_NonElectricHeat_ER1_MF</v>
      </c>
      <c r="G2861" s="3984"/>
      <c r="H2861" s="3984"/>
      <c r="I2861" s="3984"/>
      <c r="J2861" s="3501" t="str">
        <f>$C$1832</f>
        <v>354460_2021_12_</v>
      </c>
      <c r="K2861" s="3048">
        <v>37200</v>
      </c>
      <c r="L2861" s="2823">
        <f t="shared" si="370"/>
        <v>3.1</v>
      </c>
      <c r="M2861" s="3025" t="s">
        <v>1083</v>
      </c>
      <c r="N2861" s="106"/>
      <c r="O2861" s="106"/>
      <c r="P2861" s="106"/>
      <c r="Q2861" s="106"/>
      <c r="R2861" s="106"/>
      <c r="S2861" s="106"/>
      <c r="T2861" s="106"/>
      <c r="U2861" s="106"/>
      <c r="V2861" s="3980"/>
      <c r="W2861" s="3421"/>
      <c r="X2861" s="3421"/>
      <c r="Y2861" s="2374"/>
      <c r="Z2861" s="3421"/>
      <c r="AA2861" s="3421"/>
      <c r="AB2861" s="3421"/>
      <c r="AC2861" s="2292">
        <v>37200</v>
      </c>
      <c r="AD2861" s="2042">
        <v>37200</v>
      </c>
      <c r="AE2861" s="3429"/>
      <c r="AF2861" s="3421"/>
      <c r="AG2861" s="3421"/>
      <c r="AH2861" s="156"/>
      <c r="AI2861" s="156"/>
      <c r="AJ2861" s="156"/>
      <c r="AK2861" s="156"/>
      <c r="AL2861" s="156"/>
      <c r="AM2861" s="156"/>
      <c r="AN2861" s="156"/>
      <c r="AO2861" s="156"/>
      <c r="AP2861" s="156"/>
      <c r="AQ2861" s="156"/>
      <c r="AR2861" s="156"/>
      <c r="AS2861" s="156"/>
      <c r="AT2861" s="156"/>
      <c r="AU2861" s="156"/>
      <c r="AV2861" s="156"/>
      <c r="AW2861" s="156"/>
      <c r="AX2861" s="156"/>
      <c r="AY2861" s="156"/>
      <c r="AZ2861" s="156"/>
      <c r="BA2861" s="156"/>
      <c r="BB2861" s="2828"/>
      <c r="BC2861" s="452"/>
      <c r="BD2861" s="2829"/>
      <c r="BE2861" s="2837"/>
      <c r="BF2861" s="156"/>
    </row>
    <row r="2862" spans="1:58" ht="15" customHeight="1" outlineLevel="1" x14ac:dyDescent="0.35">
      <c r="A2862" s="1071"/>
      <c r="B2862" s="2812"/>
      <c r="C2862" s="3077"/>
      <c r="D2862" s="3980"/>
      <c r="E2862" s="3883"/>
      <c r="F2862" s="3984" t="str">
        <f>$E$1834</f>
        <v>ASHP-SEER19-Replace_CAC_NonElectricHeat_ER2_MF</v>
      </c>
      <c r="G2862" s="3984"/>
      <c r="H2862" s="3984"/>
      <c r="I2862" s="3984"/>
      <c r="J2862" s="3501" t="str">
        <f>$C$1834</f>
        <v>354460_2021_12_</v>
      </c>
      <c r="K2862" s="3048">
        <v>37200</v>
      </c>
      <c r="L2862" s="2823">
        <f t="shared" si="370"/>
        <v>3.1</v>
      </c>
      <c r="M2862" s="3025" t="s">
        <v>1083</v>
      </c>
      <c r="N2862" s="106"/>
      <c r="O2862" s="106"/>
      <c r="P2862" s="106"/>
      <c r="Q2862" s="106"/>
      <c r="R2862" s="106"/>
      <c r="S2862" s="106"/>
      <c r="T2862" s="106"/>
      <c r="U2862" s="106"/>
      <c r="V2862" s="3980"/>
      <c r="W2862" s="3421"/>
      <c r="X2862" s="3421"/>
      <c r="Y2862" s="2374"/>
      <c r="Z2862" s="3421"/>
      <c r="AA2862" s="3421"/>
      <c r="AB2862" s="3421"/>
      <c r="AC2862" s="2292">
        <v>37200</v>
      </c>
      <c r="AD2862" s="2042">
        <v>37200</v>
      </c>
      <c r="AE2862" s="3429"/>
      <c r="AF2862" s="3421"/>
      <c r="AG2862" s="3421"/>
      <c r="AH2862" s="156"/>
      <c r="AI2862" s="156"/>
      <c r="AJ2862" s="156"/>
      <c r="AK2862" s="156"/>
      <c r="AL2862" s="156"/>
      <c r="AM2862" s="156"/>
      <c r="AN2862" s="156"/>
      <c r="AO2862" s="156"/>
      <c r="AP2862" s="156"/>
      <c r="AQ2862" s="156"/>
      <c r="AR2862" s="156"/>
      <c r="AS2862" s="156"/>
      <c r="AT2862" s="156"/>
      <c r="AU2862" s="156"/>
      <c r="AV2862" s="156"/>
      <c r="AW2862" s="156"/>
      <c r="AX2862" s="156"/>
      <c r="AY2862" s="156"/>
      <c r="AZ2862" s="156"/>
      <c r="BA2862" s="156"/>
      <c r="BB2862" s="2828"/>
      <c r="BC2862" s="452"/>
      <c r="BD2862" s="2829"/>
      <c r="BE2862" s="2837"/>
      <c r="BF2862" s="156"/>
    </row>
    <row r="2863" spans="1:58" ht="15" customHeight="1" outlineLevel="1" x14ac:dyDescent="0.35">
      <c r="A2863" s="1071"/>
      <c r="B2863" s="2812"/>
      <c r="C2863" s="3077"/>
      <c r="D2863" s="3980"/>
      <c r="E2863" s="3883"/>
      <c r="F2863" s="3984" t="str">
        <f>$E$1836</f>
        <v>ASHP-SEER19-Replace_CAC_NonElectricHeat_ER1_MF_CompE</v>
      </c>
      <c r="G2863" s="3984"/>
      <c r="H2863" s="3984"/>
      <c r="I2863" s="3984"/>
      <c r="J2863" s="3501" t="str">
        <f>$C$1836</f>
        <v>354461_2021_12_</v>
      </c>
      <c r="K2863" s="3048">
        <v>37200</v>
      </c>
      <c r="L2863" s="2823">
        <f t="shared" si="370"/>
        <v>3.1</v>
      </c>
      <c r="M2863" s="3025" t="s">
        <v>1083</v>
      </c>
      <c r="N2863" s="106"/>
      <c r="O2863" s="106"/>
      <c r="P2863" s="106"/>
      <c r="Q2863" s="106"/>
      <c r="R2863" s="106"/>
      <c r="S2863" s="106"/>
      <c r="T2863" s="106"/>
      <c r="U2863" s="106"/>
      <c r="V2863" s="3980"/>
      <c r="W2863" s="3421"/>
      <c r="X2863" s="3421"/>
      <c r="Y2863" s="2374"/>
      <c r="Z2863" s="3421"/>
      <c r="AA2863" s="3421"/>
      <c r="AB2863" s="3421"/>
      <c r="AC2863" s="2292">
        <f>AC2861</f>
        <v>37200</v>
      </c>
      <c r="AD2863" s="2042">
        <v>37200</v>
      </c>
      <c r="AE2863" s="3429"/>
      <c r="AF2863" s="3421"/>
      <c r="AG2863" s="3421"/>
      <c r="AH2863" s="156"/>
      <c r="AI2863" s="156"/>
      <c r="AJ2863" s="156"/>
      <c r="AK2863" s="156"/>
      <c r="AL2863" s="156"/>
      <c r="AM2863" s="156"/>
      <c r="AN2863" s="156"/>
      <c r="AO2863" s="156"/>
      <c r="AP2863" s="156"/>
      <c r="AQ2863" s="156"/>
      <c r="AR2863" s="156"/>
      <c r="AS2863" s="156"/>
      <c r="AT2863" s="156"/>
      <c r="AU2863" s="156"/>
      <c r="AV2863" s="156"/>
      <c r="AW2863" s="156"/>
      <c r="AX2863" s="156"/>
      <c r="AY2863" s="156"/>
      <c r="AZ2863" s="156"/>
      <c r="BA2863" s="156"/>
      <c r="BB2863" s="2828"/>
      <c r="BC2863" s="452"/>
      <c r="BD2863" s="2829"/>
      <c r="BE2863" s="2837"/>
      <c r="BF2863" s="156"/>
    </row>
    <row r="2864" spans="1:58" ht="15" customHeight="1" outlineLevel="1" x14ac:dyDescent="0.35">
      <c r="A2864" s="1071"/>
      <c r="B2864" s="2812"/>
      <c r="C2864" s="3077"/>
      <c r="D2864" s="3980"/>
      <c r="E2864" s="3883"/>
      <c r="F2864" s="3984" t="str">
        <f>$E$1838</f>
        <v>ASHP-SEER19-Replace_CAC_NonElectricHeat_ER2_MF_CompE</v>
      </c>
      <c r="G2864" s="3984"/>
      <c r="H2864" s="3984"/>
      <c r="I2864" s="3984"/>
      <c r="J2864" s="3501" t="str">
        <f>$C$1838</f>
        <v>354461_2021_12_</v>
      </c>
      <c r="K2864" s="3048">
        <v>37200</v>
      </c>
      <c r="L2864" s="2823">
        <f t="shared" si="370"/>
        <v>3.1</v>
      </c>
      <c r="M2864" s="3025" t="s">
        <v>1083</v>
      </c>
      <c r="N2864" s="106"/>
      <c r="O2864" s="106"/>
      <c r="P2864" s="106"/>
      <c r="Q2864" s="106"/>
      <c r="R2864" s="106"/>
      <c r="S2864" s="106"/>
      <c r="T2864" s="106"/>
      <c r="U2864" s="106"/>
      <c r="V2864" s="3980"/>
      <c r="W2864" s="3421"/>
      <c r="X2864" s="3421"/>
      <c r="Y2864" s="2374"/>
      <c r="Z2864" s="3421"/>
      <c r="AA2864" s="3421"/>
      <c r="AB2864" s="3421"/>
      <c r="AC2864" s="2292">
        <f>AC2862</f>
        <v>37200</v>
      </c>
      <c r="AD2864" s="2042">
        <v>37200</v>
      </c>
      <c r="AE2864" s="3429"/>
      <c r="AF2864" s="3421"/>
      <c r="AG2864" s="3421"/>
      <c r="AH2864" s="156"/>
      <c r="AI2864" s="156"/>
      <c r="AJ2864" s="156"/>
      <c r="AK2864" s="156"/>
      <c r="AL2864" s="156"/>
      <c r="AM2864" s="156"/>
      <c r="AN2864" s="156"/>
      <c r="AO2864" s="156"/>
      <c r="AP2864" s="156"/>
      <c r="AQ2864" s="156"/>
      <c r="AR2864" s="156"/>
      <c r="AS2864" s="156"/>
      <c r="AT2864" s="156"/>
      <c r="AU2864" s="156"/>
      <c r="AV2864" s="156"/>
      <c r="AW2864" s="156"/>
      <c r="AX2864" s="156"/>
      <c r="AY2864" s="156"/>
      <c r="AZ2864" s="156"/>
      <c r="BA2864" s="156"/>
      <c r="BB2864" s="2828"/>
      <c r="BC2864" s="452"/>
      <c r="BD2864" s="2829"/>
      <c r="BE2864" s="2837"/>
      <c r="BF2864" s="156"/>
    </row>
    <row r="2865" spans="1:58" ht="15" customHeight="1" outlineLevel="1" x14ac:dyDescent="0.35">
      <c r="A2865" s="1071"/>
      <c r="B2865" s="2812"/>
      <c r="C2865" s="3077"/>
      <c r="D2865" s="3980"/>
      <c r="E2865" s="3883"/>
      <c r="F2865" s="3984" t="str">
        <f>$E$1840</f>
        <v>ASHP-SEER19_ER1_MF</v>
      </c>
      <c r="G2865" s="3984"/>
      <c r="H2865" s="3984"/>
      <c r="I2865" s="3984"/>
      <c r="J2865" s="3501" t="str">
        <f>$C$1840</f>
        <v>354500_2019_12_</v>
      </c>
      <c r="K2865" s="3048">
        <v>39600</v>
      </c>
      <c r="L2865" s="2824">
        <f t="shared" si="370"/>
        <v>3.3</v>
      </c>
      <c r="M2865" s="3025"/>
      <c r="N2865" s="106"/>
      <c r="O2865" s="106"/>
      <c r="P2865" s="106"/>
      <c r="Q2865" s="106"/>
      <c r="R2865" s="106"/>
      <c r="S2865" s="106"/>
      <c r="T2865" s="106"/>
      <c r="U2865" s="106"/>
      <c r="V2865" s="3980"/>
      <c r="W2865" s="3421">
        <v>39600</v>
      </c>
      <c r="X2865" s="3421">
        <v>39600</v>
      </c>
      <c r="Y2865" s="3421">
        <v>39600</v>
      </c>
      <c r="Z2865" s="3421">
        <v>39600</v>
      </c>
      <c r="AA2865" s="3421">
        <v>39600</v>
      </c>
      <c r="AB2865" s="3421">
        <v>39600</v>
      </c>
      <c r="AC2865" s="3557">
        <v>39600</v>
      </c>
      <c r="AD2865" s="2042">
        <v>39600</v>
      </c>
      <c r="AE2865" s="3429"/>
      <c r="AF2865" s="3421"/>
      <c r="AG2865" s="3421"/>
      <c r="AH2865" s="156"/>
      <c r="AI2865" s="156"/>
      <c r="AJ2865" s="156"/>
      <c r="AK2865" s="156"/>
      <c r="AL2865" s="156"/>
      <c r="AM2865" s="156"/>
      <c r="AN2865" s="156"/>
      <c r="AO2865" s="156"/>
      <c r="AP2865" s="156"/>
      <c r="AQ2865" s="156"/>
      <c r="AR2865" s="156"/>
      <c r="AS2865" s="156"/>
      <c r="AT2865" s="156"/>
      <c r="AU2865" s="156"/>
      <c r="AV2865" s="156"/>
      <c r="AW2865" s="156"/>
      <c r="AX2865" s="156"/>
      <c r="AY2865" s="156"/>
      <c r="AZ2865" s="156"/>
      <c r="BA2865" s="156"/>
      <c r="BB2865" s="2828"/>
      <c r="BC2865" s="452"/>
      <c r="BD2865" s="2829"/>
      <c r="BE2865" s="2837"/>
      <c r="BF2865" s="156"/>
    </row>
    <row r="2866" spans="1:58" ht="15" customHeight="1" outlineLevel="1" x14ac:dyDescent="0.35">
      <c r="A2866" s="1071"/>
      <c r="B2866" s="2812"/>
      <c r="C2866" s="3077"/>
      <c r="D2866" s="3980"/>
      <c r="E2866" s="3883"/>
      <c r="F2866" s="3984" t="str">
        <f>$E$1842</f>
        <v>ASHP-SEER19_ER2_MF</v>
      </c>
      <c r="G2866" s="3984"/>
      <c r="H2866" s="3984"/>
      <c r="I2866" s="3984"/>
      <c r="J2866" s="3501" t="str">
        <f>$C$1842</f>
        <v>354500_2019_12_</v>
      </c>
      <c r="K2866" s="3048">
        <v>39600</v>
      </c>
      <c r="L2866" s="2824">
        <f t="shared" si="370"/>
        <v>3.3</v>
      </c>
      <c r="M2866" s="3025"/>
      <c r="N2866" s="106"/>
      <c r="O2866" s="106"/>
      <c r="P2866" s="106"/>
      <c r="Q2866" s="106"/>
      <c r="R2866" s="106"/>
      <c r="S2866" s="106"/>
      <c r="T2866" s="106"/>
      <c r="U2866" s="106"/>
      <c r="V2866" s="3980"/>
      <c r="W2866" s="3421">
        <v>39600</v>
      </c>
      <c r="X2866" s="3421">
        <v>39600</v>
      </c>
      <c r="Y2866" s="3421">
        <v>39600</v>
      </c>
      <c r="Z2866" s="3421">
        <v>39600</v>
      </c>
      <c r="AA2866" s="3421">
        <v>39600</v>
      </c>
      <c r="AB2866" s="3421">
        <v>39600</v>
      </c>
      <c r="AC2866" s="3557">
        <v>39600</v>
      </c>
      <c r="AD2866" s="2042">
        <v>39600</v>
      </c>
      <c r="AE2866" s="3429"/>
      <c r="AF2866" s="3421"/>
      <c r="AG2866" s="3421"/>
      <c r="AH2866" s="156"/>
      <c r="AI2866" s="156"/>
      <c r="AJ2866" s="156"/>
      <c r="AK2866" s="156"/>
      <c r="AL2866" s="156"/>
      <c r="AM2866" s="156"/>
      <c r="AN2866" s="156"/>
      <c r="AO2866" s="156"/>
      <c r="AP2866" s="156"/>
      <c r="AQ2866" s="156"/>
      <c r="AR2866" s="156"/>
      <c r="AS2866" s="156"/>
      <c r="AT2866" s="156"/>
      <c r="AU2866" s="156"/>
      <c r="AV2866" s="156"/>
      <c r="AW2866" s="156"/>
      <c r="AX2866" s="156"/>
      <c r="AY2866" s="156"/>
      <c r="AZ2866" s="156"/>
      <c r="BA2866" s="156"/>
      <c r="BB2866" s="2828"/>
      <c r="BC2866" s="452"/>
      <c r="BD2866" s="2829"/>
      <c r="BE2866" s="2837"/>
      <c r="BF2866" s="156"/>
    </row>
    <row r="2867" spans="1:58" ht="15" customHeight="1" outlineLevel="1" x14ac:dyDescent="0.35">
      <c r="A2867" s="1071"/>
      <c r="B2867" s="2812"/>
      <c r="C2867" s="3077"/>
      <c r="D2867" s="3980"/>
      <c r="E2867" s="3883"/>
      <c r="F2867" s="3984" t="str">
        <f>$E$1844</f>
        <v>ASHP-SEER19_ER1_MF_CompE</v>
      </c>
      <c r="G2867" s="3984"/>
      <c r="H2867" s="3984"/>
      <c r="I2867" s="3984"/>
      <c r="J2867" s="3501" t="str">
        <f>$C$1844</f>
        <v>354501_2019_12_</v>
      </c>
      <c r="K2867" s="3048">
        <v>39600</v>
      </c>
      <c r="L2867" s="2824">
        <f t="shared" si="370"/>
        <v>3.3</v>
      </c>
      <c r="M2867" s="3025"/>
      <c r="N2867" s="106"/>
      <c r="O2867" s="106"/>
      <c r="P2867" s="106"/>
      <c r="Q2867" s="106"/>
      <c r="R2867" s="106"/>
      <c r="S2867" s="106"/>
      <c r="T2867" s="106"/>
      <c r="U2867" s="106"/>
      <c r="V2867" s="3980"/>
      <c r="W2867" s="3421"/>
      <c r="X2867" s="3421"/>
      <c r="Y2867" s="2374">
        <v>39600</v>
      </c>
      <c r="Z2867" s="3421">
        <v>39600</v>
      </c>
      <c r="AA2867" s="3421">
        <v>39600</v>
      </c>
      <c r="AB2867" s="3421">
        <v>39600</v>
      </c>
      <c r="AC2867" s="3557">
        <f>AC2865</f>
        <v>39600</v>
      </c>
      <c r="AD2867" s="2042">
        <v>39600</v>
      </c>
      <c r="AE2867" s="3429"/>
      <c r="AF2867" s="3421"/>
      <c r="AG2867" s="3421"/>
      <c r="AH2867" s="156"/>
      <c r="AI2867" s="156"/>
      <c r="AJ2867" s="156"/>
      <c r="AK2867" s="156"/>
      <c r="AL2867" s="156"/>
      <c r="AM2867" s="156"/>
      <c r="AN2867" s="156"/>
      <c r="AO2867" s="156"/>
      <c r="AP2867" s="156"/>
      <c r="AQ2867" s="156"/>
      <c r="AR2867" s="156"/>
      <c r="AS2867" s="156"/>
      <c r="AT2867" s="156"/>
      <c r="AU2867" s="156"/>
      <c r="AV2867" s="156"/>
      <c r="AW2867" s="156"/>
      <c r="AX2867" s="156"/>
      <c r="AY2867" s="156"/>
      <c r="AZ2867" s="156"/>
      <c r="BA2867" s="156"/>
      <c r="BB2867" s="2828"/>
      <c r="BC2867" s="452"/>
      <c r="BD2867" s="2829"/>
      <c r="BE2867" s="2837"/>
      <c r="BF2867" s="156"/>
    </row>
    <row r="2868" spans="1:58" ht="15" customHeight="1" outlineLevel="1" x14ac:dyDescent="0.35">
      <c r="A2868" s="1071"/>
      <c r="B2868" s="2812"/>
      <c r="C2868" s="3077"/>
      <c r="D2868" s="3980"/>
      <c r="E2868" s="3883"/>
      <c r="F2868" s="3984" t="str">
        <f>$E$1846</f>
        <v>ASHP-SEER19_ER2_MF_CompE</v>
      </c>
      <c r="G2868" s="3984"/>
      <c r="H2868" s="3984"/>
      <c r="I2868" s="3984"/>
      <c r="J2868" s="3501" t="str">
        <f>$C$1846</f>
        <v>354501_2019_12_</v>
      </c>
      <c r="K2868" s="3048">
        <v>39600</v>
      </c>
      <c r="L2868" s="2824">
        <f t="shared" si="370"/>
        <v>3.3</v>
      </c>
      <c r="M2868" s="3025"/>
      <c r="N2868" s="106"/>
      <c r="O2868" s="106"/>
      <c r="P2868" s="106"/>
      <c r="Q2868" s="106"/>
      <c r="R2868" s="106"/>
      <c r="S2868" s="106"/>
      <c r="T2868" s="106"/>
      <c r="U2868" s="106"/>
      <c r="V2868" s="3980"/>
      <c r="W2868" s="3421"/>
      <c r="X2868" s="3421"/>
      <c r="Y2868" s="2374">
        <v>39600</v>
      </c>
      <c r="Z2868" s="3421">
        <v>39600</v>
      </c>
      <c r="AA2868" s="3421">
        <v>39600</v>
      </c>
      <c r="AB2868" s="3421">
        <v>39600</v>
      </c>
      <c r="AC2868" s="3557">
        <f>AC2866</f>
        <v>39600</v>
      </c>
      <c r="AD2868" s="2042">
        <v>39600</v>
      </c>
      <c r="AE2868" s="3429"/>
      <c r="AF2868" s="3421"/>
      <c r="AG2868" s="3421"/>
      <c r="AH2868" s="156"/>
      <c r="AI2868" s="156"/>
      <c r="AJ2868" s="156"/>
      <c r="AK2868" s="156"/>
      <c r="AL2868" s="156"/>
      <c r="AM2868" s="156"/>
      <c r="AN2868" s="156"/>
      <c r="AO2868" s="156"/>
      <c r="AP2868" s="156"/>
      <c r="AQ2868" s="156"/>
      <c r="AR2868" s="156"/>
      <c r="AS2868" s="156"/>
      <c r="AT2868" s="156"/>
      <c r="AU2868" s="156"/>
      <c r="AV2868" s="156"/>
      <c r="AW2868" s="156"/>
      <c r="AX2868" s="156"/>
      <c r="AY2868" s="156"/>
      <c r="AZ2868" s="156"/>
      <c r="BA2868" s="156"/>
      <c r="BB2868" s="2828"/>
      <c r="BC2868" s="452"/>
      <c r="BD2868" s="2829"/>
      <c r="BE2868" s="2837"/>
      <c r="BF2868" s="156"/>
    </row>
    <row r="2869" spans="1:58" ht="15" customHeight="1" outlineLevel="1" x14ac:dyDescent="0.35">
      <c r="A2869" s="1071"/>
      <c r="B2869" s="2812"/>
      <c r="C2869" s="3077"/>
      <c r="D2869" s="3980"/>
      <c r="E2869" s="3883"/>
      <c r="F2869" s="3984" t="str">
        <f>$E$1848</f>
        <v>ASHP-SEER20_ER1_SF</v>
      </c>
      <c r="G2869" s="3984"/>
      <c r="H2869" s="3984"/>
      <c r="I2869" s="3984"/>
      <c r="J2869" s="3501" t="str">
        <f>$C$1848</f>
        <v>354550_2021_12_</v>
      </c>
      <c r="K2869" s="3047">
        <v>36754.666666666664</v>
      </c>
      <c r="L2869" s="2823">
        <f t="shared" si="370"/>
        <v>3.0628888888888888</v>
      </c>
      <c r="M2869" s="2819" t="s">
        <v>4360</v>
      </c>
      <c r="N2869" s="106"/>
      <c r="O2869" s="106"/>
      <c r="P2869" s="106"/>
      <c r="Q2869" s="106"/>
      <c r="R2869" s="106"/>
      <c r="S2869" s="106"/>
      <c r="T2869" s="106"/>
      <c r="U2869" s="106"/>
      <c r="V2869" s="3980"/>
      <c r="W2869" s="3421">
        <v>39600</v>
      </c>
      <c r="X2869" s="3421">
        <v>39600</v>
      </c>
      <c r="Y2869" s="3421">
        <v>39600</v>
      </c>
      <c r="Z2869" s="3421">
        <v>39600</v>
      </c>
      <c r="AA2869" s="3421">
        <v>39600</v>
      </c>
      <c r="AB2869" s="3421">
        <v>39600</v>
      </c>
      <c r="AC2869" s="2292">
        <v>60000</v>
      </c>
      <c r="AD2869" s="2296">
        <v>36754.666666666664</v>
      </c>
      <c r="AE2869" s="3429"/>
      <c r="AF2869" s="3421"/>
      <c r="AG2869" s="3421"/>
      <c r="AH2869" s="156"/>
      <c r="AI2869" s="156"/>
      <c r="AJ2869" s="156"/>
      <c r="AK2869" s="156"/>
      <c r="AL2869" s="156"/>
      <c r="AM2869" s="156"/>
      <c r="AN2869" s="156"/>
      <c r="AO2869" s="156"/>
      <c r="AP2869" s="156"/>
      <c r="AQ2869" s="156"/>
      <c r="AR2869" s="156"/>
      <c r="AS2869" s="156"/>
      <c r="AT2869" s="156"/>
      <c r="AU2869" s="156"/>
      <c r="AV2869" s="156"/>
      <c r="AW2869" s="156"/>
      <c r="AX2869" s="156"/>
      <c r="AY2869" s="156"/>
      <c r="AZ2869" s="156"/>
      <c r="BA2869" s="156"/>
      <c r="BB2869" s="2828"/>
      <c r="BC2869" s="452"/>
      <c r="BD2869" s="2829"/>
      <c r="BE2869" s="2837"/>
      <c r="BF2869" s="156"/>
    </row>
    <row r="2870" spans="1:58" ht="15" customHeight="1" outlineLevel="1" x14ac:dyDescent="0.35">
      <c r="A2870" s="1071"/>
      <c r="B2870" s="2812"/>
      <c r="C2870" s="3077"/>
      <c r="D2870" s="3980"/>
      <c r="E2870" s="3883"/>
      <c r="F2870" s="3984" t="str">
        <f>$E$1850</f>
        <v>ASHP-SEER20_ER2_SF</v>
      </c>
      <c r="G2870" s="3984"/>
      <c r="H2870" s="3984"/>
      <c r="I2870" s="3984"/>
      <c r="J2870" s="3501" t="str">
        <f>$C$1850</f>
        <v>354550_2021_12_</v>
      </c>
      <c r="K2870" s="3047">
        <v>36754.666666666664</v>
      </c>
      <c r="L2870" s="2823">
        <f t="shared" si="370"/>
        <v>3.0628888888888888</v>
      </c>
      <c r="M2870" s="2819" t="s">
        <v>4360</v>
      </c>
      <c r="N2870" s="106"/>
      <c r="O2870" s="106"/>
      <c r="P2870" s="106"/>
      <c r="Q2870" s="106"/>
      <c r="R2870" s="106"/>
      <c r="S2870" s="106"/>
      <c r="T2870" s="106"/>
      <c r="U2870" s="106"/>
      <c r="V2870" s="3980"/>
      <c r="W2870" s="3421">
        <v>39600</v>
      </c>
      <c r="X2870" s="3421">
        <v>39600</v>
      </c>
      <c r="Y2870" s="3421">
        <v>39600</v>
      </c>
      <c r="Z2870" s="3421">
        <v>39600</v>
      </c>
      <c r="AA2870" s="3421">
        <v>39600</v>
      </c>
      <c r="AB2870" s="3421">
        <v>39600</v>
      </c>
      <c r="AC2870" s="2292">
        <f>AC2869</f>
        <v>60000</v>
      </c>
      <c r="AD2870" s="2296">
        <v>36754.666666666664</v>
      </c>
      <c r="AE2870" s="3429"/>
      <c r="AF2870" s="3421"/>
      <c r="AG2870" s="3421"/>
      <c r="AH2870" s="156"/>
      <c r="AI2870" s="156"/>
      <c r="AJ2870" s="156"/>
      <c r="AK2870" s="156"/>
      <c r="AL2870" s="156"/>
      <c r="AM2870" s="156"/>
      <c r="AN2870" s="156"/>
      <c r="AO2870" s="156"/>
      <c r="AP2870" s="156"/>
      <c r="AQ2870" s="156"/>
      <c r="AR2870" s="156"/>
      <c r="AS2870" s="156"/>
      <c r="AT2870" s="156"/>
      <c r="AU2870" s="156"/>
      <c r="AV2870" s="156"/>
      <c r="AW2870" s="156"/>
      <c r="AX2870" s="156"/>
      <c r="AY2870" s="156"/>
      <c r="AZ2870" s="156"/>
      <c r="BA2870" s="156"/>
      <c r="BB2870" s="2828"/>
      <c r="BC2870" s="452"/>
      <c r="BD2870" s="2829"/>
      <c r="BE2870" s="2837"/>
      <c r="BF2870" s="156"/>
    </row>
    <row r="2871" spans="1:58" ht="15" customHeight="1" outlineLevel="1" x14ac:dyDescent="0.35">
      <c r="A2871" s="1071"/>
      <c r="B2871" s="2812"/>
      <c r="C2871" s="3077"/>
      <c r="D2871" s="3980"/>
      <c r="E2871" s="3883"/>
      <c r="F2871" s="3984" t="str">
        <f>$E$1852</f>
        <v>ASHP-SEER20_ROF_SF</v>
      </c>
      <c r="G2871" s="3984"/>
      <c r="H2871" s="3984"/>
      <c r="I2871" s="3984"/>
      <c r="J2871" s="3501" t="str">
        <f>$C$1852</f>
        <v>354600_2021_12_</v>
      </c>
      <c r="K2871" s="3047">
        <v>38142.857142857138</v>
      </c>
      <c r="L2871" s="2823">
        <f t="shared" si="370"/>
        <v>3.1785714285714279</v>
      </c>
      <c r="M2871" s="2819" t="s">
        <v>4360</v>
      </c>
      <c r="N2871" s="106"/>
      <c r="O2871" s="106"/>
      <c r="P2871" s="106"/>
      <c r="Q2871" s="106"/>
      <c r="R2871" s="106"/>
      <c r="S2871" s="106"/>
      <c r="T2871" s="106"/>
      <c r="U2871" s="106"/>
      <c r="V2871" s="3980"/>
      <c r="W2871" s="3421">
        <v>39600</v>
      </c>
      <c r="X2871" s="3421">
        <v>39600</v>
      </c>
      <c r="Y2871" s="3421">
        <v>39600</v>
      </c>
      <c r="Z2871" s="3421">
        <v>39600</v>
      </c>
      <c r="AA2871" s="3421">
        <v>39600</v>
      </c>
      <c r="AB2871" s="3421">
        <v>39600</v>
      </c>
      <c r="AC2871" s="2292">
        <v>36000</v>
      </c>
      <c r="AD2871" s="2296">
        <v>38142.857142857138</v>
      </c>
      <c r="AE2871" s="3429"/>
      <c r="AF2871" s="3421"/>
      <c r="AG2871" s="3421"/>
      <c r="AH2871" s="156"/>
      <c r="AI2871" s="156"/>
      <c r="AJ2871" s="156"/>
      <c r="AK2871" s="156"/>
      <c r="AL2871" s="156"/>
      <c r="AM2871" s="156"/>
      <c r="AN2871" s="156"/>
      <c r="AO2871" s="156"/>
      <c r="AP2871" s="156"/>
      <c r="AQ2871" s="156"/>
      <c r="AR2871" s="156"/>
      <c r="AS2871" s="156"/>
      <c r="AT2871" s="156"/>
      <c r="AU2871" s="156"/>
      <c r="AV2871" s="156"/>
      <c r="AW2871" s="156"/>
      <c r="AX2871" s="156"/>
      <c r="AY2871" s="156"/>
      <c r="AZ2871" s="156"/>
      <c r="BA2871" s="156"/>
      <c r="BB2871" s="2828"/>
      <c r="BC2871" s="452"/>
      <c r="BD2871" s="2829"/>
      <c r="BE2871" s="2837"/>
      <c r="BF2871" s="156"/>
    </row>
    <row r="2872" spans="1:58" ht="15" customHeight="1" outlineLevel="1" x14ac:dyDescent="0.35">
      <c r="A2872" s="1071"/>
      <c r="B2872" s="2812"/>
      <c r="C2872" s="3077"/>
      <c r="D2872" s="3980"/>
      <c r="E2872" s="3883"/>
      <c r="F2872" s="3984" t="str">
        <f>$E$1854</f>
        <v>ASHP-SEER20-Replace_CAC_ElectricHeat_ER1_MF</v>
      </c>
      <c r="G2872" s="3984"/>
      <c r="H2872" s="3984"/>
      <c r="I2872" s="3984"/>
      <c r="J2872" s="3501" t="str">
        <f>$C$1854</f>
        <v>354650_2019_12_</v>
      </c>
      <c r="K2872" s="3048">
        <v>37200</v>
      </c>
      <c r="L2872" s="2824">
        <f t="shared" si="370"/>
        <v>3.1</v>
      </c>
      <c r="M2872" s="3025"/>
      <c r="N2872" s="106"/>
      <c r="O2872" s="106"/>
      <c r="P2872" s="106"/>
      <c r="Q2872" s="106"/>
      <c r="R2872" s="106"/>
      <c r="S2872" s="106"/>
      <c r="T2872" s="106"/>
      <c r="U2872" s="106"/>
      <c r="V2872" s="3980"/>
      <c r="W2872" s="3421">
        <v>37200</v>
      </c>
      <c r="X2872" s="3421">
        <v>37200</v>
      </c>
      <c r="Y2872" s="3421">
        <v>37200</v>
      </c>
      <c r="Z2872" s="3421">
        <v>37200</v>
      </c>
      <c r="AA2872" s="3421">
        <v>37200</v>
      </c>
      <c r="AB2872" s="3421">
        <v>37200</v>
      </c>
      <c r="AC2872" s="3557">
        <v>37200</v>
      </c>
      <c r="AD2872" s="2042">
        <v>37200</v>
      </c>
      <c r="AE2872" s="3429"/>
      <c r="AF2872" s="3421"/>
      <c r="AG2872" s="3421"/>
      <c r="AH2872" s="156"/>
      <c r="AI2872" s="156"/>
      <c r="AJ2872" s="156"/>
      <c r="AK2872" s="156"/>
      <c r="AL2872" s="156"/>
      <c r="AM2872" s="156"/>
      <c r="AN2872" s="156"/>
      <c r="AO2872" s="156"/>
      <c r="AP2872" s="156"/>
      <c r="AQ2872" s="156"/>
      <c r="AR2872" s="156"/>
      <c r="AS2872" s="156"/>
      <c r="AT2872" s="156"/>
      <c r="AU2872" s="156"/>
      <c r="AV2872" s="156"/>
      <c r="AW2872" s="156"/>
      <c r="AX2872" s="156"/>
      <c r="AY2872" s="156"/>
      <c r="AZ2872" s="156"/>
      <c r="BA2872" s="156"/>
      <c r="BB2872" s="2828"/>
      <c r="BC2872" s="452"/>
      <c r="BD2872" s="2829"/>
      <c r="BE2872" s="2837"/>
      <c r="BF2872" s="156"/>
    </row>
    <row r="2873" spans="1:58" ht="15" customHeight="1" outlineLevel="1" x14ac:dyDescent="0.35">
      <c r="A2873" s="1071"/>
      <c r="B2873" s="2812"/>
      <c r="C2873" s="3077"/>
      <c r="D2873" s="3980"/>
      <c r="E2873" s="3883"/>
      <c r="F2873" s="3984" t="str">
        <f>$E$1856</f>
        <v>ASHP-SEER20-Replace_CAC_ElectricHeat_ER2_MF</v>
      </c>
      <c r="G2873" s="3984"/>
      <c r="H2873" s="3984"/>
      <c r="I2873" s="3984"/>
      <c r="J2873" s="3501" t="str">
        <f>$C$1856</f>
        <v>354650_2019_12_</v>
      </c>
      <c r="K2873" s="3048">
        <v>37200</v>
      </c>
      <c r="L2873" s="2824">
        <f t="shared" si="370"/>
        <v>3.1</v>
      </c>
      <c r="M2873" s="3025"/>
      <c r="N2873" s="106"/>
      <c r="O2873" s="106"/>
      <c r="P2873" s="106"/>
      <c r="Q2873" s="106"/>
      <c r="R2873" s="106"/>
      <c r="S2873" s="106"/>
      <c r="T2873" s="106"/>
      <c r="U2873" s="106"/>
      <c r="V2873" s="3980"/>
      <c r="W2873" s="3421">
        <v>37200</v>
      </c>
      <c r="X2873" s="3421">
        <v>37200</v>
      </c>
      <c r="Y2873" s="3421">
        <v>37200</v>
      </c>
      <c r="Z2873" s="3421">
        <v>37200</v>
      </c>
      <c r="AA2873" s="3421">
        <v>37200</v>
      </c>
      <c r="AB2873" s="3421">
        <v>37200</v>
      </c>
      <c r="AC2873" s="3557">
        <v>37200</v>
      </c>
      <c r="AD2873" s="2042">
        <v>37200</v>
      </c>
      <c r="AE2873" s="3429"/>
      <c r="AF2873" s="3421"/>
      <c r="AG2873" s="3421"/>
      <c r="AH2873" s="156"/>
      <c r="AI2873" s="156"/>
      <c r="AJ2873" s="156"/>
      <c r="AK2873" s="156"/>
      <c r="AL2873" s="156"/>
      <c r="AM2873" s="156"/>
      <c r="AN2873" s="156"/>
      <c r="AO2873" s="156"/>
      <c r="AP2873" s="156"/>
      <c r="AQ2873" s="156"/>
      <c r="AR2873" s="156"/>
      <c r="AS2873" s="156"/>
      <c r="AT2873" s="156"/>
      <c r="AU2873" s="156"/>
      <c r="AV2873" s="156"/>
      <c r="AW2873" s="156"/>
      <c r="AX2873" s="156"/>
      <c r="AY2873" s="156"/>
      <c r="AZ2873" s="156"/>
      <c r="BA2873" s="156"/>
      <c r="BB2873" s="2828"/>
      <c r="BC2873" s="452"/>
      <c r="BD2873" s="2829"/>
      <c r="BE2873" s="2837"/>
      <c r="BF2873" s="156"/>
    </row>
    <row r="2874" spans="1:58" ht="15" customHeight="1" outlineLevel="1" x14ac:dyDescent="0.35">
      <c r="A2874" s="1071"/>
      <c r="B2874" s="2812"/>
      <c r="C2874" s="3077"/>
      <c r="D2874" s="3980"/>
      <c r="E2874" s="3883"/>
      <c r="F2874" s="3984" t="str">
        <f>$E$1858</f>
        <v>ASHP-SEER20-Replace_CAC_ElectricHeat_ER1_MF_CompE</v>
      </c>
      <c r="G2874" s="3984"/>
      <c r="H2874" s="3984"/>
      <c r="I2874" s="3984"/>
      <c r="J2874" s="3501" t="str">
        <f>$C$1858</f>
        <v>354651_2019_12_</v>
      </c>
      <c r="K2874" s="3048">
        <v>37200</v>
      </c>
      <c r="L2874" s="2824">
        <f t="shared" si="370"/>
        <v>3.1</v>
      </c>
      <c r="M2874" s="3025"/>
      <c r="N2874" s="106"/>
      <c r="O2874" s="106"/>
      <c r="P2874" s="106"/>
      <c r="Q2874" s="106"/>
      <c r="R2874" s="106"/>
      <c r="S2874" s="106"/>
      <c r="T2874" s="106"/>
      <c r="U2874" s="106"/>
      <c r="V2874" s="3980"/>
      <c r="W2874" s="3421"/>
      <c r="X2874" s="3421"/>
      <c r="Y2874" s="2374">
        <v>37200</v>
      </c>
      <c r="Z2874" s="3421">
        <v>37200</v>
      </c>
      <c r="AA2874" s="3421">
        <v>37200</v>
      </c>
      <c r="AB2874" s="3421">
        <v>37200</v>
      </c>
      <c r="AC2874" s="3557">
        <f>AC2872</f>
        <v>37200</v>
      </c>
      <c r="AD2874" s="2042">
        <v>37200</v>
      </c>
      <c r="AE2874" s="3429"/>
      <c r="AF2874" s="3421"/>
      <c r="AG2874" s="3421"/>
      <c r="AH2874" s="156"/>
      <c r="AI2874" s="156"/>
      <c r="AJ2874" s="156"/>
      <c r="AK2874" s="156"/>
      <c r="AL2874" s="156"/>
      <c r="AM2874" s="156"/>
      <c r="AN2874" s="156"/>
      <c r="AO2874" s="156"/>
      <c r="AP2874" s="156"/>
      <c r="AQ2874" s="156"/>
      <c r="AR2874" s="156"/>
      <c r="AS2874" s="156"/>
      <c r="AT2874" s="156"/>
      <c r="AU2874" s="156"/>
      <c r="AV2874" s="156"/>
      <c r="AW2874" s="156"/>
      <c r="AX2874" s="156"/>
      <c r="AY2874" s="156"/>
      <c r="AZ2874" s="156"/>
      <c r="BA2874" s="156"/>
      <c r="BB2874" s="2828"/>
      <c r="BC2874" s="452"/>
      <c r="BD2874" s="2829"/>
      <c r="BE2874" s="2837"/>
      <c r="BF2874" s="156"/>
    </row>
    <row r="2875" spans="1:58" ht="15" customHeight="1" outlineLevel="1" x14ac:dyDescent="0.35">
      <c r="A2875" s="1071"/>
      <c r="B2875" s="2812"/>
      <c r="C2875" s="3077"/>
      <c r="D2875" s="3980"/>
      <c r="E2875" s="3883"/>
      <c r="F2875" s="3984" t="str">
        <f>$E$1860</f>
        <v>ASHP-SEER20-Replace_CAC_ElectricHeat_ER2_MF_CompE</v>
      </c>
      <c r="G2875" s="3984"/>
      <c r="H2875" s="3984"/>
      <c r="I2875" s="3984"/>
      <c r="J2875" s="3501" t="str">
        <f>$C$1860</f>
        <v>354651_2019_12_</v>
      </c>
      <c r="K2875" s="3048">
        <v>37200</v>
      </c>
      <c r="L2875" s="2824">
        <f t="shared" si="370"/>
        <v>3.1</v>
      </c>
      <c r="M2875" s="3025"/>
      <c r="N2875" s="106"/>
      <c r="O2875" s="106"/>
      <c r="P2875" s="106"/>
      <c r="Q2875" s="106"/>
      <c r="R2875" s="106"/>
      <c r="S2875" s="106"/>
      <c r="T2875" s="106"/>
      <c r="U2875" s="106"/>
      <c r="V2875" s="3980"/>
      <c r="W2875" s="3421"/>
      <c r="X2875" s="3421"/>
      <c r="Y2875" s="2374">
        <v>37200</v>
      </c>
      <c r="Z2875" s="3421">
        <v>37200</v>
      </c>
      <c r="AA2875" s="3421">
        <v>37200</v>
      </c>
      <c r="AB2875" s="3421">
        <v>37200</v>
      </c>
      <c r="AC2875" s="3557">
        <f>AC2873</f>
        <v>37200</v>
      </c>
      <c r="AD2875" s="2042">
        <v>37200</v>
      </c>
      <c r="AE2875" s="3429"/>
      <c r="AF2875" s="3421"/>
      <c r="AG2875" s="3421"/>
      <c r="AH2875" s="156"/>
      <c r="AI2875" s="156"/>
      <c r="AJ2875" s="156"/>
      <c r="AK2875" s="156"/>
      <c r="AL2875" s="156"/>
      <c r="AM2875" s="156"/>
      <c r="AN2875" s="156"/>
      <c r="AO2875" s="156"/>
      <c r="AP2875" s="156"/>
      <c r="AQ2875" s="156"/>
      <c r="AR2875" s="156"/>
      <c r="AS2875" s="156"/>
      <c r="AT2875" s="156"/>
      <c r="AU2875" s="156"/>
      <c r="AV2875" s="156"/>
      <c r="AW2875" s="156"/>
      <c r="AX2875" s="156"/>
      <c r="AY2875" s="156"/>
      <c r="AZ2875" s="156"/>
      <c r="BA2875" s="156"/>
      <c r="BB2875" s="2828"/>
      <c r="BC2875" s="452"/>
      <c r="BD2875" s="2829"/>
      <c r="BE2875" s="2837"/>
      <c r="BF2875" s="156"/>
    </row>
    <row r="2876" spans="1:58" ht="15" customHeight="1" outlineLevel="1" x14ac:dyDescent="0.35">
      <c r="A2876" s="1071"/>
      <c r="B2876" s="2812"/>
      <c r="C2876" s="3077"/>
      <c r="D2876" s="3980"/>
      <c r="E2876" s="3883"/>
      <c r="F2876" s="3984" t="str">
        <f>$E$1862</f>
        <v>ASHP-SEER20-Replace_CAC_NonElectricHeat_ER1_MF</v>
      </c>
      <c r="G2876" s="3984"/>
      <c r="H2876" s="3984"/>
      <c r="I2876" s="3984"/>
      <c r="J2876" s="3501" t="str">
        <f>$C$1862</f>
        <v>354660_2021_12_</v>
      </c>
      <c r="K2876" s="3048">
        <v>37200</v>
      </c>
      <c r="L2876" s="2823">
        <f t="shared" si="370"/>
        <v>3.1</v>
      </c>
      <c r="M2876" s="3025" t="s">
        <v>1083</v>
      </c>
      <c r="N2876" s="106"/>
      <c r="O2876" s="106"/>
      <c r="P2876" s="106"/>
      <c r="Q2876" s="106"/>
      <c r="R2876" s="106"/>
      <c r="S2876" s="106"/>
      <c r="T2876" s="106"/>
      <c r="U2876" s="106"/>
      <c r="V2876" s="3980"/>
      <c r="W2876" s="3421"/>
      <c r="X2876" s="3421"/>
      <c r="Y2876" s="2374"/>
      <c r="Z2876" s="3421"/>
      <c r="AA2876" s="3421"/>
      <c r="AB2876" s="3421"/>
      <c r="AC2876" s="2292">
        <v>37200</v>
      </c>
      <c r="AD2876" s="2042">
        <v>37200</v>
      </c>
      <c r="AE2876" s="3429"/>
      <c r="AF2876" s="3421"/>
      <c r="AG2876" s="3421"/>
      <c r="AH2876" s="156"/>
      <c r="AI2876" s="156"/>
      <c r="AJ2876" s="156"/>
      <c r="AK2876" s="156"/>
      <c r="AL2876" s="156"/>
      <c r="AM2876" s="156"/>
      <c r="AN2876" s="156"/>
      <c r="AO2876" s="156"/>
      <c r="AP2876" s="156"/>
      <c r="AQ2876" s="156"/>
      <c r="AR2876" s="156"/>
      <c r="AS2876" s="156"/>
      <c r="AT2876" s="156"/>
      <c r="AU2876" s="156"/>
      <c r="AV2876" s="156"/>
      <c r="AW2876" s="156"/>
      <c r="AX2876" s="156"/>
      <c r="AY2876" s="156"/>
      <c r="AZ2876" s="156"/>
      <c r="BA2876" s="156"/>
      <c r="BB2876" s="2828"/>
      <c r="BC2876" s="452"/>
      <c r="BD2876" s="2829"/>
      <c r="BE2876" s="2837"/>
      <c r="BF2876" s="156"/>
    </row>
    <row r="2877" spans="1:58" ht="15" customHeight="1" outlineLevel="1" x14ac:dyDescent="0.35">
      <c r="A2877" s="1071"/>
      <c r="B2877" s="2812"/>
      <c r="C2877" s="3077"/>
      <c r="D2877" s="3980"/>
      <c r="E2877" s="3883"/>
      <c r="F2877" s="3984" t="str">
        <f>$E$1864</f>
        <v>ASHP-SEER20-Replace_CAC_NonElectricHeat_ER2_MF</v>
      </c>
      <c r="G2877" s="3984"/>
      <c r="H2877" s="3984"/>
      <c r="I2877" s="3984"/>
      <c r="J2877" s="3501" t="str">
        <f>$C$1864</f>
        <v>354660_2021_12_</v>
      </c>
      <c r="K2877" s="3048">
        <v>37200</v>
      </c>
      <c r="L2877" s="2823">
        <f t="shared" si="370"/>
        <v>3.1</v>
      </c>
      <c r="M2877" s="3025" t="s">
        <v>1083</v>
      </c>
      <c r="N2877" s="106"/>
      <c r="O2877" s="106"/>
      <c r="P2877" s="106"/>
      <c r="Q2877" s="106"/>
      <c r="R2877" s="106"/>
      <c r="S2877" s="106"/>
      <c r="T2877" s="106"/>
      <c r="U2877" s="106"/>
      <c r="V2877" s="3980"/>
      <c r="W2877" s="3421"/>
      <c r="X2877" s="3421"/>
      <c r="Y2877" s="2374"/>
      <c r="Z2877" s="3421"/>
      <c r="AA2877" s="3421"/>
      <c r="AB2877" s="3421"/>
      <c r="AC2877" s="2292">
        <v>37200</v>
      </c>
      <c r="AD2877" s="2042">
        <v>37200</v>
      </c>
      <c r="AE2877" s="3429"/>
      <c r="AF2877" s="3421"/>
      <c r="AG2877" s="3421"/>
      <c r="AH2877" s="156"/>
      <c r="AI2877" s="156"/>
      <c r="AJ2877" s="156"/>
      <c r="AK2877" s="156"/>
      <c r="AL2877" s="156"/>
      <c r="AM2877" s="156"/>
      <c r="AN2877" s="156"/>
      <c r="AO2877" s="156"/>
      <c r="AP2877" s="156"/>
      <c r="AQ2877" s="156"/>
      <c r="AR2877" s="156"/>
      <c r="AS2877" s="156"/>
      <c r="AT2877" s="156"/>
      <c r="AU2877" s="156"/>
      <c r="AV2877" s="156"/>
      <c r="AW2877" s="156"/>
      <c r="AX2877" s="156"/>
      <c r="AY2877" s="156"/>
      <c r="AZ2877" s="156"/>
      <c r="BA2877" s="156"/>
      <c r="BB2877" s="2828"/>
      <c r="BC2877" s="452"/>
      <c r="BD2877" s="2829"/>
      <c r="BE2877" s="2837"/>
      <c r="BF2877" s="156"/>
    </row>
    <row r="2878" spans="1:58" ht="15" customHeight="1" outlineLevel="1" x14ac:dyDescent="0.35">
      <c r="A2878" s="1071"/>
      <c r="B2878" s="2812"/>
      <c r="C2878" s="3077"/>
      <c r="D2878" s="3980"/>
      <c r="E2878" s="3883"/>
      <c r="F2878" s="3984" t="str">
        <f>$E$1866</f>
        <v>ASHP-SEER20-Replace_CAC_NonElectricHeat_ER1_MF_CompE</v>
      </c>
      <c r="G2878" s="3984"/>
      <c r="H2878" s="3984"/>
      <c r="I2878" s="3984"/>
      <c r="J2878" s="3501" t="str">
        <f>$C$1866</f>
        <v>354661_2021_12_</v>
      </c>
      <c r="K2878" s="3048">
        <v>37200</v>
      </c>
      <c r="L2878" s="2823">
        <f t="shared" si="370"/>
        <v>3.1</v>
      </c>
      <c r="M2878" s="3025" t="s">
        <v>1083</v>
      </c>
      <c r="N2878" s="106"/>
      <c r="O2878" s="106"/>
      <c r="P2878" s="106"/>
      <c r="Q2878" s="106"/>
      <c r="R2878" s="106"/>
      <c r="S2878" s="106"/>
      <c r="T2878" s="106"/>
      <c r="U2878" s="106"/>
      <c r="V2878" s="3980"/>
      <c r="W2878" s="3421"/>
      <c r="X2878" s="3421"/>
      <c r="Y2878" s="2374"/>
      <c r="Z2878" s="3421"/>
      <c r="AA2878" s="3421"/>
      <c r="AB2878" s="3421"/>
      <c r="AC2878" s="2292">
        <f>AC2876</f>
        <v>37200</v>
      </c>
      <c r="AD2878" s="2042">
        <v>37200</v>
      </c>
      <c r="AE2878" s="3429"/>
      <c r="AF2878" s="3421"/>
      <c r="AG2878" s="3421"/>
      <c r="AH2878" s="156"/>
      <c r="AI2878" s="156"/>
      <c r="AJ2878" s="156"/>
      <c r="AK2878" s="156"/>
      <c r="AL2878" s="156"/>
      <c r="AM2878" s="156"/>
      <c r="AN2878" s="156"/>
      <c r="AO2878" s="156"/>
      <c r="AP2878" s="156"/>
      <c r="AQ2878" s="156"/>
      <c r="AR2878" s="156"/>
      <c r="AS2878" s="156"/>
      <c r="AT2878" s="156"/>
      <c r="AU2878" s="156"/>
      <c r="AV2878" s="156"/>
      <c r="AW2878" s="156"/>
      <c r="AX2878" s="156"/>
      <c r="AY2878" s="156"/>
      <c r="AZ2878" s="156"/>
      <c r="BA2878" s="156"/>
      <c r="BB2878" s="2828"/>
      <c r="BC2878" s="452"/>
      <c r="BD2878" s="2829"/>
      <c r="BE2878" s="2837"/>
      <c r="BF2878" s="156"/>
    </row>
    <row r="2879" spans="1:58" ht="15" customHeight="1" outlineLevel="1" x14ac:dyDescent="0.35">
      <c r="A2879" s="1071"/>
      <c r="B2879" s="2812"/>
      <c r="C2879" s="3077"/>
      <c r="D2879" s="3980"/>
      <c r="E2879" s="3883"/>
      <c r="F2879" s="3984" t="str">
        <f>$E$1868</f>
        <v>ASHP-SEER20-Replace_CAC_NonElectricHeat_ER2_MF_CompE</v>
      </c>
      <c r="G2879" s="3984"/>
      <c r="H2879" s="3984"/>
      <c r="I2879" s="3984"/>
      <c r="J2879" s="3501" t="str">
        <f>$C$1868</f>
        <v>354661_2021_12_</v>
      </c>
      <c r="K2879" s="3048">
        <v>37200</v>
      </c>
      <c r="L2879" s="2823">
        <f t="shared" si="370"/>
        <v>3.1</v>
      </c>
      <c r="M2879" s="3025" t="s">
        <v>1083</v>
      </c>
      <c r="N2879" s="106"/>
      <c r="O2879" s="106"/>
      <c r="P2879" s="106"/>
      <c r="Q2879" s="106"/>
      <c r="R2879" s="106"/>
      <c r="S2879" s="106"/>
      <c r="T2879" s="106"/>
      <c r="U2879" s="106"/>
      <c r="V2879" s="3980"/>
      <c r="W2879" s="3421"/>
      <c r="X2879" s="3421"/>
      <c r="Y2879" s="2374"/>
      <c r="Z2879" s="3421"/>
      <c r="AA2879" s="3421"/>
      <c r="AB2879" s="3421"/>
      <c r="AC2879" s="2292">
        <f>AC2877</f>
        <v>37200</v>
      </c>
      <c r="AD2879" s="2042">
        <v>37200</v>
      </c>
      <c r="AE2879" s="3429"/>
      <c r="AF2879" s="3421"/>
      <c r="AG2879" s="3421"/>
      <c r="AH2879" s="156"/>
      <c r="AI2879" s="156"/>
      <c r="AJ2879" s="156"/>
      <c r="AK2879" s="156"/>
      <c r="AL2879" s="156"/>
      <c r="AM2879" s="156"/>
      <c r="AN2879" s="156"/>
      <c r="AO2879" s="156"/>
      <c r="AP2879" s="156"/>
      <c r="AQ2879" s="156"/>
      <c r="AR2879" s="156"/>
      <c r="AS2879" s="156"/>
      <c r="AT2879" s="156"/>
      <c r="AU2879" s="156"/>
      <c r="AV2879" s="156"/>
      <c r="AW2879" s="156"/>
      <c r="AX2879" s="156"/>
      <c r="AY2879" s="156"/>
      <c r="AZ2879" s="156"/>
      <c r="BA2879" s="156"/>
      <c r="BB2879" s="2828"/>
      <c r="BC2879" s="452"/>
      <c r="BD2879" s="2829"/>
      <c r="BE2879" s="2837"/>
      <c r="BF2879" s="156"/>
    </row>
    <row r="2880" spans="1:58" ht="15" customHeight="1" outlineLevel="1" x14ac:dyDescent="0.35">
      <c r="A2880" s="1071"/>
      <c r="B2880" s="2812"/>
      <c r="C2880" s="3077"/>
      <c r="D2880" s="3980"/>
      <c r="E2880" s="3883"/>
      <c r="F2880" s="3984" t="str">
        <f>$E$1870</f>
        <v>ASHP-SEER20_ER1_MF</v>
      </c>
      <c r="G2880" s="3984"/>
      <c r="H2880" s="3984"/>
      <c r="I2880" s="3984"/>
      <c r="J2880" s="3501" t="str">
        <f>$C$1870</f>
        <v>354700_2019_12_</v>
      </c>
      <c r="K2880" s="3048">
        <v>39600</v>
      </c>
      <c r="L2880" s="2824">
        <f t="shared" si="370"/>
        <v>3.3</v>
      </c>
      <c r="M2880" s="3025"/>
      <c r="N2880" s="106"/>
      <c r="O2880" s="106"/>
      <c r="P2880" s="106"/>
      <c r="Q2880" s="106"/>
      <c r="R2880" s="106"/>
      <c r="S2880" s="106"/>
      <c r="T2880" s="106"/>
      <c r="U2880" s="106"/>
      <c r="V2880" s="3980"/>
      <c r="W2880" s="3421">
        <v>39600</v>
      </c>
      <c r="X2880" s="3421">
        <v>39600</v>
      </c>
      <c r="Y2880" s="3421">
        <v>39600</v>
      </c>
      <c r="Z2880" s="3421">
        <v>39600</v>
      </c>
      <c r="AA2880" s="3421">
        <v>39600</v>
      </c>
      <c r="AB2880" s="3421">
        <v>39600</v>
      </c>
      <c r="AC2880" s="3557">
        <v>39600</v>
      </c>
      <c r="AD2880" s="2042">
        <v>39600</v>
      </c>
      <c r="AE2880" s="3429"/>
      <c r="AF2880" s="3421"/>
      <c r="AG2880" s="3421"/>
      <c r="AH2880" s="156"/>
      <c r="AI2880" s="156"/>
      <c r="AJ2880" s="156"/>
      <c r="AK2880" s="156"/>
      <c r="AL2880" s="156"/>
      <c r="AM2880" s="156"/>
      <c r="AN2880" s="156"/>
      <c r="AO2880" s="156"/>
      <c r="AP2880" s="156"/>
      <c r="AQ2880" s="156"/>
      <c r="AR2880" s="156"/>
      <c r="AS2880" s="156"/>
      <c r="AT2880" s="156"/>
      <c r="AU2880" s="156"/>
      <c r="AV2880" s="156"/>
      <c r="AW2880" s="156"/>
      <c r="AX2880" s="156"/>
      <c r="AY2880" s="156"/>
      <c r="AZ2880" s="156"/>
      <c r="BA2880" s="156"/>
      <c r="BB2880" s="2828"/>
      <c r="BC2880" s="452"/>
      <c r="BD2880" s="2829"/>
      <c r="BE2880" s="2837"/>
      <c r="BF2880" s="156"/>
    </row>
    <row r="2881" spans="1:58" ht="15" customHeight="1" outlineLevel="1" x14ac:dyDescent="0.35">
      <c r="A2881" s="1071"/>
      <c r="B2881" s="2812"/>
      <c r="C2881" s="3077"/>
      <c r="D2881" s="3980"/>
      <c r="E2881" s="3883"/>
      <c r="F2881" s="3984" t="str">
        <f>$E$1872</f>
        <v>ASHP-SEER20_ER2_MF</v>
      </c>
      <c r="G2881" s="3984"/>
      <c r="H2881" s="3984"/>
      <c r="I2881" s="3984"/>
      <c r="J2881" s="3501" t="str">
        <f>$C$1872</f>
        <v>354700_2019_12_</v>
      </c>
      <c r="K2881" s="3048">
        <v>39600</v>
      </c>
      <c r="L2881" s="2824">
        <f t="shared" si="370"/>
        <v>3.3</v>
      </c>
      <c r="M2881" s="3025"/>
      <c r="N2881" s="106"/>
      <c r="O2881" s="106"/>
      <c r="P2881" s="106"/>
      <c r="Q2881" s="106"/>
      <c r="R2881" s="106"/>
      <c r="S2881" s="106"/>
      <c r="T2881" s="106"/>
      <c r="U2881" s="106"/>
      <c r="V2881" s="3980"/>
      <c r="W2881" s="3421">
        <v>39600</v>
      </c>
      <c r="X2881" s="3421">
        <v>39600</v>
      </c>
      <c r="Y2881" s="3421">
        <v>39600</v>
      </c>
      <c r="Z2881" s="3421">
        <v>39600</v>
      </c>
      <c r="AA2881" s="3421">
        <v>39600</v>
      </c>
      <c r="AB2881" s="3421">
        <v>39600</v>
      </c>
      <c r="AC2881" s="3557">
        <v>39600</v>
      </c>
      <c r="AD2881" s="2042">
        <v>39600</v>
      </c>
      <c r="AE2881" s="3429"/>
      <c r="AF2881" s="3421"/>
      <c r="AG2881" s="3421"/>
      <c r="AH2881" s="156"/>
      <c r="AI2881" s="156"/>
      <c r="AJ2881" s="156"/>
      <c r="AK2881" s="156"/>
      <c r="AL2881" s="156"/>
      <c r="AM2881" s="156"/>
      <c r="AN2881" s="156"/>
      <c r="AO2881" s="156"/>
      <c r="AP2881" s="156"/>
      <c r="AQ2881" s="156"/>
      <c r="AR2881" s="156"/>
      <c r="AS2881" s="156"/>
      <c r="AT2881" s="156"/>
      <c r="AU2881" s="156"/>
      <c r="AV2881" s="156"/>
      <c r="AW2881" s="156"/>
      <c r="AX2881" s="156"/>
      <c r="AY2881" s="156"/>
      <c r="AZ2881" s="156"/>
      <c r="BA2881" s="156"/>
      <c r="BB2881" s="2828"/>
      <c r="BC2881" s="452"/>
      <c r="BD2881" s="2829"/>
      <c r="BE2881" s="2837"/>
      <c r="BF2881" s="156"/>
    </row>
    <row r="2882" spans="1:58" ht="15" customHeight="1" outlineLevel="1" x14ac:dyDescent="0.35">
      <c r="A2882" s="1071"/>
      <c r="B2882" s="2812"/>
      <c r="C2882" s="3077"/>
      <c r="D2882" s="3980"/>
      <c r="E2882" s="3883"/>
      <c r="F2882" s="3984" t="str">
        <f>$E$1874</f>
        <v>ASHP-SEER20_ER1_MF_CompE</v>
      </c>
      <c r="G2882" s="3984"/>
      <c r="H2882" s="3984"/>
      <c r="I2882" s="3984"/>
      <c r="J2882" s="3501" t="str">
        <f>$C$1874</f>
        <v>354701_2019_12_</v>
      </c>
      <c r="K2882" s="3048">
        <v>39600</v>
      </c>
      <c r="L2882" s="2824">
        <f t="shared" si="370"/>
        <v>3.3</v>
      </c>
      <c r="M2882" s="3025"/>
      <c r="N2882" s="106"/>
      <c r="O2882" s="106"/>
      <c r="P2882" s="106"/>
      <c r="Q2882" s="106"/>
      <c r="R2882" s="106"/>
      <c r="S2882" s="106"/>
      <c r="T2882" s="106"/>
      <c r="U2882" s="106"/>
      <c r="V2882" s="3980"/>
      <c r="W2882" s="3421"/>
      <c r="X2882" s="3421"/>
      <c r="Y2882" s="2374">
        <v>39600</v>
      </c>
      <c r="Z2882" s="3421">
        <v>39600</v>
      </c>
      <c r="AA2882" s="3421">
        <v>39600</v>
      </c>
      <c r="AB2882" s="3421">
        <v>39600</v>
      </c>
      <c r="AC2882" s="3557">
        <f>AC2880</f>
        <v>39600</v>
      </c>
      <c r="AD2882" s="2042">
        <v>39600</v>
      </c>
      <c r="AE2882" s="3429"/>
      <c r="AF2882" s="3421"/>
      <c r="AG2882" s="3421"/>
      <c r="AH2882" s="156"/>
      <c r="AI2882" s="156"/>
      <c r="AJ2882" s="156"/>
      <c r="AK2882" s="156"/>
      <c r="AL2882" s="156"/>
      <c r="AM2882" s="156"/>
      <c r="AN2882" s="156"/>
      <c r="AO2882" s="156"/>
      <c r="AP2882" s="156"/>
      <c r="AQ2882" s="156"/>
      <c r="AR2882" s="156"/>
      <c r="AS2882" s="156"/>
      <c r="AT2882" s="156"/>
      <c r="AU2882" s="156"/>
      <c r="AV2882" s="156"/>
      <c r="AW2882" s="156"/>
      <c r="AX2882" s="156"/>
      <c r="AY2882" s="156"/>
      <c r="AZ2882" s="156"/>
      <c r="BA2882" s="156"/>
      <c r="BB2882" s="2828"/>
      <c r="BC2882" s="452"/>
      <c r="BD2882" s="2829"/>
      <c r="BE2882" s="2837"/>
      <c r="BF2882" s="156"/>
    </row>
    <row r="2883" spans="1:58" ht="15" customHeight="1" outlineLevel="1" x14ac:dyDescent="0.35">
      <c r="A2883" s="1071"/>
      <c r="B2883" s="2812"/>
      <c r="C2883" s="3077"/>
      <c r="D2883" s="3980"/>
      <c r="E2883" s="3883"/>
      <c r="F2883" s="3984" t="str">
        <f>$E$1876</f>
        <v>ASHP-SEER20_ER2_MF_CompE</v>
      </c>
      <c r="G2883" s="3984"/>
      <c r="H2883" s="3984"/>
      <c r="I2883" s="3984"/>
      <c r="J2883" s="3501" t="str">
        <f>$C$1876</f>
        <v>354701_2019_12_</v>
      </c>
      <c r="K2883" s="3048">
        <v>39600</v>
      </c>
      <c r="L2883" s="2824">
        <f t="shared" si="370"/>
        <v>3.3</v>
      </c>
      <c r="M2883" s="3025"/>
      <c r="N2883" s="106"/>
      <c r="O2883" s="106"/>
      <c r="P2883" s="106"/>
      <c r="Q2883" s="106"/>
      <c r="R2883" s="106"/>
      <c r="S2883" s="106"/>
      <c r="T2883" s="106"/>
      <c r="U2883" s="106"/>
      <c r="V2883" s="3980"/>
      <c r="W2883" s="3421"/>
      <c r="X2883" s="3421"/>
      <c r="Y2883" s="2374">
        <v>39600</v>
      </c>
      <c r="Z2883" s="3421">
        <v>39600</v>
      </c>
      <c r="AA2883" s="3421">
        <v>39600</v>
      </c>
      <c r="AB2883" s="3421">
        <v>39600</v>
      </c>
      <c r="AC2883" s="3557">
        <f>AC2881</f>
        <v>39600</v>
      </c>
      <c r="AD2883" s="2042">
        <v>39600</v>
      </c>
      <c r="AE2883" s="3429"/>
      <c r="AF2883" s="3421"/>
      <c r="AG2883" s="3421"/>
      <c r="AH2883" s="156"/>
      <c r="AI2883" s="156"/>
      <c r="AJ2883" s="156"/>
      <c r="AK2883" s="156"/>
      <c r="AL2883" s="156"/>
      <c r="AM2883" s="156"/>
      <c r="AN2883" s="156"/>
      <c r="AO2883" s="156"/>
      <c r="AP2883" s="156"/>
      <c r="AQ2883" s="156"/>
      <c r="AR2883" s="156"/>
      <c r="AS2883" s="156"/>
      <c r="AT2883" s="156"/>
      <c r="AU2883" s="156"/>
      <c r="AV2883" s="156"/>
      <c r="AW2883" s="156"/>
      <c r="AX2883" s="156"/>
      <c r="AY2883" s="156"/>
      <c r="AZ2883" s="156"/>
      <c r="BA2883" s="156"/>
      <c r="BB2883" s="2828"/>
      <c r="BC2883" s="452"/>
      <c r="BD2883" s="2829"/>
      <c r="BE2883" s="2837"/>
      <c r="BF2883" s="156"/>
    </row>
    <row r="2884" spans="1:58" ht="15" customHeight="1" outlineLevel="1" x14ac:dyDescent="0.35">
      <c r="A2884" s="1071"/>
      <c r="B2884" s="2812"/>
      <c r="C2884" s="3077"/>
      <c r="D2884" s="3980"/>
      <c r="E2884" s="3883"/>
      <c r="F2884" s="3984" t="str">
        <f>$E$1878</f>
        <v>ASHP-SEER21_ER1_SF</v>
      </c>
      <c r="G2884" s="3984"/>
      <c r="H2884" s="3984"/>
      <c r="I2884" s="3984"/>
      <c r="J2884" s="3501" t="str">
        <f>$C$1878</f>
        <v>354750_2021_12_</v>
      </c>
      <c r="K2884" s="3047">
        <v>40343.181818181816</v>
      </c>
      <c r="L2884" s="2823">
        <f t="shared" si="370"/>
        <v>3.3619318181818181</v>
      </c>
      <c r="M2884" s="2819" t="s">
        <v>4360</v>
      </c>
      <c r="N2884" s="106"/>
      <c r="O2884" s="106"/>
      <c r="P2884" s="106"/>
      <c r="Q2884" s="106"/>
      <c r="R2884" s="106"/>
      <c r="S2884" s="106"/>
      <c r="T2884" s="106"/>
      <c r="U2884" s="106"/>
      <c r="V2884" s="3980"/>
      <c r="W2884" s="3421">
        <v>39600</v>
      </c>
      <c r="X2884" s="3421">
        <v>39600</v>
      </c>
      <c r="Y2884" s="3421">
        <v>39600</v>
      </c>
      <c r="Z2884" s="3421">
        <v>39600</v>
      </c>
      <c r="AA2884" s="3421">
        <v>39600</v>
      </c>
      <c r="AB2884" s="3421">
        <v>39600</v>
      </c>
      <c r="AC2884" s="2292">
        <v>40615.384615384617</v>
      </c>
      <c r="AD2884" s="2296">
        <v>40343.181818181816</v>
      </c>
      <c r="AE2884" s="3429"/>
      <c r="AF2884" s="3421"/>
      <c r="AG2884" s="3421"/>
      <c r="AH2884" s="156"/>
      <c r="AI2884" s="156"/>
      <c r="AJ2884" s="156"/>
      <c r="AK2884" s="156"/>
      <c r="AL2884" s="156"/>
      <c r="AM2884" s="156"/>
      <c r="AN2884" s="156"/>
      <c r="AO2884" s="156"/>
      <c r="AP2884" s="156"/>
      <c r="AQ2884" s="156"/>
      <c r="AR2884" s="156"/>
      <c r="AS2884" s="156"/>
      <c r="AT2884" s="156"/>
      <c r="AU2884" s="156"/>
      <c r="AV2884" s="156"/>
      <c r="AW2884" s="156"/>
      <c r="AX2884" s="156"/>
      <c r="AY2884" s="156"/>
      <c r="AZ2884" s="156"/>
      <c r="BA2884" s="156"/>
      <c r="BB2884" s="2828"/>
      <c r="BC2884" s="452"/>
      <c r="BD2884" s="2829"/>
      <c r="BE2884" s="2837"/>
      <c r="BF2884" s="156"/>
    </row>
    <row r="2885" spans="1:58" ht="15" customHeight="1" outlineLevel="1" x14ac:dyDescent="0.35">
      <c r="A2885" s="1071"/>
      <c r="B2885" s="2812"/>
      <c r="C2885" s="3077"/>
      <c r="D2885" s="3980"/>
      <c r="E2885" s="3883"/>
      <c r="F2885" s="3984" t="str">
        <f>$E$1880</f>
        <v>ASHP-SEER21_ER2_SF</v>
      </c>
      <c r="G2885" s="3984"/>
      <c r="H2885" s="3984"/>
      <c r="I2885" s="3984"/>
      <c r="J2885" s="3501" t="str">
        <f>$C$1880</f>
        <v>354750_2021_12_</v>
      </c>
      <c r="K2885" s="3047">
        <v>40343.181818181816</v>
      </c>
      <c r="L2885" s="2823">
        <f t="shared" si="370"/>
        <v>3.3619318181818181</v>
      </c>
      <c r="M2885" s="2819" t="s">
        <v>4360</v>
      </c>
      <c r="N2885" s="106"/>
      <c r="O2885" s="106"/>
      <c r="P2885" s="106"/>
      <c r="Q2885" s="106"/>
      <c r="R2885" s="106"/>
      <c r="S2885" s="106"/>
      <c r="T2885" s="106"/>
      <c r="U2885" s="106"/>
      <c r="V2885" s="3980"/>
      <c r="W2885" s="3421">
        <v>39600</v>
      </c>
      <c r="X2885" s="3421">
        <v>39600</v>
      </c>
      <c r="Y2885" s="3421">
        <v>39600</v>
      </c>
      <c r="Z2885" s="3421">
        <v>39600</v>
      </c>
      <c r="AA2885" s="3421">
        <v>39600</v>
      </c>
      <c r="AB2885" s="3421">
        <v>39600</v>
      </c>
      <c r="AC2885" s="2292">
        <f>AC2884</f>
        <v>40615.384615384617</v>
      </c>
      <c r="AD2885" s="2296">
        <v>40343.181818181816</v>
      </c>
      <c r="AE2885" s="3429"/>
      <c r="AF2885" s="3421"/>
      <c r="AG2885" s="3421"/>
      <c r="AH2885" s="156"/>
      <c r="AI2885" s="156"/>
      <c r="AJ2885" s="156"/>
      <c r="AK2885" s="156"/>
      <c r="AL2885" s="156"/>
      <c r="AM2885" s="156"/>
      <c r="AN2885" s="156"/>
      <c r="AO2885" s="156"/>
      <c r="AP2885" s="156"/>
      <c r="AQ2885" s="156"/>
      <c r="AR2885" s="156"/>
      <c r="AS2885" s="156"/>
      <c r="AT2885" s="156"/>
      <c r="AU2885" s="156"/>
      <c r="AV2885" s="156"/>
      <c r="AW2885" s="156"/>
      <c r="AX2885" s="156"/>
      <c r="AY2885" s="156"/>
      <c r="AZ2885" s="156"/>
      <c r="BA2885" s="156"/>
      <c r="BB2885" s="2828"/>
      <c r="BC2885" s="452"/>
      <c r="BD2885" s="2829"/>
      <c r="BE2885" s="2837"/>
      <c r="BF2885" s="156"/>
    </row>
    <row r="2886" spans="1:58" ht="15" customHeight="1" outlineLevel="1" x14ac:dyDescent="0.35">
      <c r="A2886" s="1071"/>
      <c r="B2886" s="2812"/>
      <c r="C2886" s="3077"/>
      <c r="D2886" s="3980"/>
      <c r="E2886" s="3883"/>
      <c r="F2886" s="3984" t="str">
        <f>$E$1882</f>
        <v>ASHP-SEER21_ROF_SF</v>
      </c>
      <c r="G2886" s="3984"/>
      <c r="H2886" s="3984"/>
      <c r="I2886" s="3984"/>
      <c r="J2886" s="3501" t="str">
        <f>$C$1882</f>
        <v>354800_2021_12_</v>
      </c>
      <c r="K2886" s="3047">
        <v>42375</v>
      </c>
      <c r="L2886" s="2823">
        <f t="shared" si="370"/>
        <v>3.53125</v>
      </c>
      <c r="M2886" s="2819" t="s">
        <v>4360</v>
      </c>
      <c r="N2886" s="106"/>
      <c r="O2886" s="106"/>
      <c r="P2886" s="106"/>
      <c r="Q2886" s="106"/>
      <c r="R2886" s="106"/>
      <c r="S2886" s="106"/>
      <c r="T2886" s="106"/>
      <c r="U2886" s="106"/>
      <c r="V2886" s="3980"/>
      <c r="W2886" s="3421">
        <v>39600</v>
      </c>
      <c r="X2886" s="3421">
        <v>39600</v>
      </c>
      <c r="Y2886" s="3421">
        <v>39600</v>
      </c>
      <c r="Z2886" s="3421">
        <v>39600</v>
      </c>
      <c r="AA2886" s="3421">
        <v>39600</v>
      </c>
      <c r="AB2886" s="3421">
        <v>39600</v>
      </c>
      <c r="AC2886" s="2292">
        <v>46500</v>
      </c>
      <c r="AD2886" s="2296">
        <v>42375</v>
      </c>
      <c r="AE2886" s="3429"/>
      <c r="AF2886" s="3421"/>
      <c r="AG2886" s="3421"/>
      <c r="AH2886" s="156"/>
      <c r="AI2886" s="156"/>
      <c r="AJ2886" s="156"/>
      <c r="AK2886" s="156"/>
      <c r="AL2886" s="156"/>
      <c r="AM2886" s="156"/>
      <c r="AN2886" s="156"/>
      <c r="AO2886" s="156"/>
      <c r="AP2886" s="156"/>
      <c r="AQ2886" s="156"/>
      <c r="AR2886" s="156"/>
      <c r="AS2886" s="156"/>
      <c r="AT2886" s="156"/>
      <c r="AU2886" s="156"/>
      <c r="AV2886" s="156"/>
      <c r="AW2886" s="156"/>
      <c r="AX2886" s="156"/>
      <c r="AY2886" s="156"/>
      <c r="AZ2886" s="156"/>
      <c r="BA2886" s="156"/>
      <c r="BB2886" s="2828"/>
      <c r="BC2886" s="452"/>
      <c r="BD2886" s="2829"/>
      <c r="BE2886" s="2837"/>
      <c r="BF2886" s="156"/>
    </row>
    <row r="2887" spans="1:58" ht="15" customHeight="1" outlineLevel="1" x14ac:dyDescent="0.35">
      <c r="A2887" s="1071"/>
      <c r="B2887" s="2812"/>
      <c r="C2887" s="3077"/>
      <c r="D2887" s="3980"/>
      <c r="E2887" s="3883"/>
      <c r="F2887" s="3984" t="str">
        <f>$E$1884</f>
        <v>ASHP-SEER21-Replace_CAC_ElectricHeat_ROF_MF</v>
      </c>
      <c r="G2887" s="3984"/>
      <c r="H2887" s="3984"/>
      <c r="I2887" s="3984"/>
      <c r="J2887" s="3501" t="str">
        <f>$C$1884</f>
        <v>354850_2019_12_</v>
      </c>
      <c r="K2887" s="3048">
        <v>33600</v>
      </c>
      <c r="L2887" s="2824">
        <f t="shared" si="370"/>
        <v>2.8</v>
      </c>
      <c r="M2887" s="3025"/>
      <c r="N2887" s="106"/>
      <c r="O2887" s="106"/>
      <c r="P2887" s="106"/>
      <c r="Q2887" s="106"/>
      <c r="R2887" s="106"/>
      <c r="S2887" s="106"/>
      <c r="T2887" s="106"/>
      <c r="U2887" s="106"/>
      <c r="V2887" s="3980"/>
      <c r="W2887" s="3421">
        <v>33600</v>
      </c>
      <c r="X2887" s="3421">
        <v>33600</v>
      </c>
      <c r="Y2887" s="3421">
        <v>33600</v>
      </c>
      <c r="Z2887" s="3421">
        <v>33600</v>
      </c>
      <c r="AA2887" s="3421">
        <v>33600</v>
      </c>
      <c r="AB2887" s="3421">
        <v>33600</v>
      </c>
      <c r="AC2887" s="3557">
        <v>33600</v>
      </c>
      <c r="AD2887" s="2042">
        <v>33600</v>
      </c>
      <c r="AE2887" s="3429"/>
      <c r="AF2887" s="3421"/>
      <c r="AG2887" s="3421"/>
      <c r="AH2887" s="156"/>
      <c r="AI2887" s="156"/>
      <c r="AJ2887" s="156"/>
      <c r="AK2887" s="156"/>
      <c r="AL2887" s="156"/>
      <c r="AM2887" s="156"/>
      <c r="AN2887" s="156"/>
      <c r="AO2887" s="156"/>
      <c r="AP2887" s="156"/>
      <c r="AQ2887" s="156"/>
      <c r="AR2887" s="156"/>
      <c r="AS2887" s="156"/>
      <c r="AT2887" s="156"/>
      <c r="AU2887" s="156"/>
      <c r="AV2887" s="156"/>
      <c r="AW2887" s="156"/>
      <c r="AX2887" s="156"/>
      <c r="AY2887" s="156"/>
      <c r="AZ2887" s="156"/>
      <c r="BA2887" s="156"/>
      <c r="BB2887" s="2828"/>
      <c r="BC2887" s="452"/>
      <c r="BD2887" s="2829"/>
      <c r="BE2887" s="2837"/>
      <c r="BF2887" s="156"/>
    </row>
    <row r="2888" spans="1:58" ht="15" customHeight="1" outlineLevel="1" x14ac:dyDescent="0.35">
      <c r="A2888" s="1071"/>
      <c r="B2888" s="2812"/>
      <c r="C2888" s="3077"/>
      <c r="D2888" s="3980"/>
      <c r="E2888" s="3883"/>
      <c r="F2888" s="3984" t="str">
        <f>$E$1886</f>
        <v>ASHP-SEER21-Replace_CAC_ElectricHeat_ROF_MF_CompE</v>
      </c>
      <c r="G2888" s="3984"/>
      <c r="H2888" s="3984"/>
      <c r="I2888" s="3984"/>
      <c r="J2888" s="3501" t="str">
        <f>$C$1886</f>
        <v>354851_2019_12_</v>
      </c>
      <c r="K2888" s="3048">
        <v>33600</v>
      </c>
      <c r="L2888" s="2824">
        <f t="shared" si="370"/>
        <v>2.8</v>
      </c>
      <c r="M2888" s="3025"/>
      <c r="N2888" s="106"/>
      <c r="O2888" s="106"/>
      <c r="P2888" s="106"/>
      <c r="Q2888" s="106"/>
      <c r="R2888" s="106"/>
      <c r="S2888" s="106"/>
      <c r="T2888" s="106"/>
      <c r="U2888" s="106"/>
      <c r="V2888" s="3980"/>
      <c r="W2888" s="3421"/>
      <c r="X2888" s="3421"/>
      <c r="Y2888" s="2374">
        <v>33600</v>
      </c>
      <c r="Z2888" s="3421">
        <v>33600</v>
      </c>
      <c r="AA2888" s="3421">
        <v>33600</v>
      </c>
      <c r="AB2888" s="3421">
        <v>33600</v>
      </c>
      <c r="AC2888" s="3557">
        <f>AC2887</f>
        <v>33600</v>
      </c>
      <c r="AD2888" s="2042">
        <v>33600</v>
      </c>
      <c r="AE2888" s="3429"/>
      <c r="AF2888" s="3421"/>
      <c r="AG2888" s="3421"/>
      <c r="AH2888" s="156"/>
      <c r="AI2888" s="156"/>
      <c r="AJ2888" s="156"/>
      <c r="AK2888" s="156"/>
      <c r="AL2888" s="156"/>
      <c r="AM2888" s="156"/>
      <c r="AN2888" s="156"/>
      <c r="AO2888" s="156"/>
      <c r="AP2888" s="156"/>
      <c r="AQ2888" s="156"/>
      <c r="AR2888" s="156"/>
      <c r="AS2888" s="156"/>
      <c r="AT2888" s="156"/>
      <c r="AU2888" s="156"/>
      <c r="AV2888" s="156"/>
      <c r="AW2888" s="156"/>
      <c r="AX2888" s="156"/>
      <c r="AY2888" s="156"/>
      <c r="AZ2888" s="156"/>
      <c r="BA2888" s="156"/>
      <c r="BB2888" s="2828"/>
      <c r="BC2888" s="452"/>
      <c r="BD2888" s="2829"/>
      <c r="BE2888" s="2837"/>
      <c r="BF2888" s="156"/>
    </row>
    <row r="2889" spans="1:58" ht="15" customHeight="1" outlineLevel="1" x14ac:dyDescent="0.35">
      <c r="A2889" s="1071"/>
      <c r="B2889" s="2812"/>
      <c r="C2889" s="3077"/>
      <c r="D2889" s="3980"/>
      <c r="E2889" s="3883"/>
      <c r="F2889" s="3984" t="str">
        <f>$E$1888</f>
        <v>ASHP-SEER21-Replace_CAC_NonElectricHeat_ROF_MF</v>
      </c>
      <c r="G2889" s="3984"/>
      <c r="H2889" s="3984"/>
      <c r="I2889" s="3984"/>
      <c r="J2889" s="3501" t="str">
        <f>$C$1888</f>
        <v>354860_2021_12_</v>
      </c>
      <c r="K2889" s="3048">
        <v>33600</v>
      </c>
      <c r="L2889" s="2823">
        <f>K2889/12000</f>
        <v>2.8</v>
      </c>
      <c r="M2889" s="3025" t="s">
        <v>1083</v>
      </c>
      <c r="N2889" s="106"/>
      <c r="O2889" s="106"/>
      <c r="P2889" s="106"/>
      <c r="Q2889" s="106"/>
      <c r="R2889" s="106"/>
      <c r="S2889" s="106"/>
      <c r="T2889" s="106"/>
      <c r="U2889" s="106"/>
      <c r="V2889" s="3980"/>
      <c r="W2889" s="3421"/>
      <c r="X2889" s="3421"/>
      <c r="Y2889" s="2374"/>
      <c r="Z2889" s="3421"/>
      <c r="AA2889" s="3421"/>
      <c r="AB2889" s="3421"/>
      <c r="AC2889" s="2292">
        <v>33600</v>
      </c>
      <c r="AD2889" s="2042">
        <v>33600</v>
      </c>
      <c r="AE2889" s="3429"/>
      <c r="AF2889" s="3421"/>
      <c r="AG2889" s="3421"/>
      <c r="AH2889" s="156"/>
      <c r="AI2889" s="156"/>
      <c r="AJ2889" s="156"/>
      <c r="AK2889" s="156"/>
      <c r="AL2889" s="156"/>
      <c r="AM2889" s="156"/>
      <c r="AN2889" s="156"/>
      <c r="AO2889" s="156"/>
      <c r="AP2889" s="156"/>
      <c r="AQ2889" s="156"/>
      <c r="AR2889" s="156"/>
      <c r="AS2889" s="156"/>
      <c r="AT2889" s="156"/>
      <c r="AU2889" s="156"/>
      <c r="AV2889" s="156"/>
      <c r="AW2889" s="156"/>
      <c r="AX2889" s="156"/>
      <c r="AY2889" s="156"/>
      <c r="AZ2889" s="156"/>
      <c r="BA2889" s="156"/>
      <c r="BB2889" s="2828"/>
      <c r="BC2889" s="452"/>
      <c r="BD2889" s="2829"/>
      <c r="BE2889" s="2837"/>
      <c r="BF2889" s="156"/>
    </row>
    <row r="2890" spans="1:58" ht="15" customHeight="1" outlineLevel="1" x14ac:dyDescent="0.35">
      <c r="A2890" s="1071"/>
      <c r="B2890" s="2812"/>
      <c r="C2890" s="3077"/>
      <c r="D2890" s="3980"/>
      <c r="E2890" s="3883"/>
      <c r="F2890" s="3984" t="str">
        <f>$E$1890</f>
        <v>ASHP-SEER21-Replace_CAC_NonElectricHeat_ROF_MF_CompE</v>
      </c>
      <c r="G2890" s="3984"/>
      <c r="H2890" s="3984"/>
      <c r="I2890" s="3984"/>
      <c r="J2890" s="3501" t="str">
        <f>$C$1890</f>
        <v>354861_2021_12_</v>
      </c>
      <c r="K2890" s="3048">
        <v>33600</v>
      </c>
      <c r="L2890" s="2823">
        <f t="shared" ref="L2890:L2904" si="371">K2890/12000</f>
        <v>2.8</v>
      </c>
      <c r="M2890" s="3025" t="s">
        <v>1083</v>
      </c>
      <c r="N2890" s="106"/>
      <c r="O2890" s="106"/>
      <c r="P2890" s="106"/>
      <c r="Q2890" s="106"/>
      <c r="R2890" s="106"/>
      <c r="S2890" s="106"/>
      <c r="T2890" s="106"/>
      <c r="U2890" s="106"/>
      <c r="V2890" s="3980"/>
      <c r="W2890" s="3421"/>
      <c r="X2890" s="3421"/>
      <c r="Y2890" s="2374"/>
      <c r="Z2890" s="3421"/>
      <c r="AA2890" s="3421"/>
      <c r="AB2890" s="3421"/>
      <c r="AC2890" s="2292">
        <f>AC2889</f>
        <v>33600</v>
      </c>
      <c r="AD2890" s="2042">
        <v>33600</v>
      </c>
      <c r="AE2890" s="3429"/>
      <c r="AF2890" s="3421"/>
      <c r="AG2890" s="3421"/>
      <c r="AH2890" s="156"/>
      <c r="AI2890" s="156"/>
      <c r="AJ2890" s="156"/>
      <c r="AK2890" s="156"/>
      <c r="AL2890" s="156"/>
      <c r="AM2890" s="156"/>
      <c r="AN2890" s="156"/>
      <c r="AO2890" s="156"/>
      <c r="AP2890" s="156"/>
      <c r="AQ2890" s="156"/>
      <c r="AR2890" s="156"/>
      <c r="AS2890" s="156"/>
      <c r="AT2890" s="156"/>
      <c r="AU2890" s="156"/>
      <c r="AV2890" s="156"/>
      <c r="AW2890" s="156"/>
      <c r="AX2890" s="156"/>
      <c r="AY2890" s="156"/>
      <c r="AZ2890" s="156"/>
      <c r="BA2890" s="156"/>
      <c r="BB2890" s="2828"/>
      <c r="BC2890" s="452"/>
      <c r="BD2890" s="2829"/>
      <c r="BE2890" s="2837"/>
      <c r="BF2890" s="156"/>
    </row>
    <row r="2891" spans="1:58" ht="15" customHeight="1" outlineLevel="1" x14ac:dyDescent="0.35">
      <c r="A2891" s="1071"/>
      <c r="B2891" s="2812"/>
      <c r="C2891" s="3077"/>
      <c r="D2891" s="3980"/>
      <c r="E2891" s="3883"/>
      <c r="F2891" s="3984" t="str">
        <f>$E$1892</f>
        <v>ASHP-SEER21_ER1_MF</v>
      </c>
      <c r="G2891" s="3984"/>
      <c r="H2891" s="3984"/>
      <c r="I2891" s="3984"/>
      <c r="J2891" s="3501" t="str">
        <f>$C$1892</f>
        <v>354900_2019_12_</v>
      </c>
      <c r="K2891" s="3048">
        <v>39600</v>
      </c>
      <c r="L2891" s="2824">
        <f t="shared" si="371"/>
        <v>3.3</v>
      </c>
      <c r="M2891" s="3025"/>
      <c r="N2891" s="106"/>
      <c r="O2891" s="106"/>
      <c r="P2891" s="106"/>
      <c r="Q2891" s="106"/>
      <c r="R2891" s="106"/>
      <c r="S2891" s="106"/>
      <c r="T2891" s="106"/>
      <c r="U2891" s="106"/>
      <c r="V2891" s="3980"/>
      <c r="W2891" s="3421">
        <v>39600</v>
      </c>
      <c r="X2891" s="3421">
        <v>39600</v>
      </c>
      <c r="Y2891" s="3421">
        <v>39600</v>
      </c>
      <c r="Z2891" s="3421">
        <v>39600</v>
      </c>
      <c r="AA2891" s="3421">
        <v>39600</v>
      </c>
      <c r="AB2891" s="3421">
        <v>39600</v>
      </c>
      <c r="AC2891" s="3557">
        <v>39600</v>
      </c>
      <c r="AD2891" s="2042">
        <v>39600</v>
      </c>
      <c r="AE2891" s="3429"/>
      <c r="AF2891" s="3421"/>
      <c r="AG2891" s="3421"/>
      <c r="AH2891" s="156"/>
      <c r="AI2891" s="156"/>
      <c r="AJ2891" s="156"/>
      <c r="AK2891" s="156"/>
      <c r="AL2891" s="156"/>
      <c r="AM2891" s="156"/>
      <c r="AN2891" s="156"/>
      <c r="AO2891" s="156"/>
      <c r="AP2891" s="156"/>
      <c r="AQ2891" s="156"/>
      <c r="AR2891" s="156"/>
      <c r="AS2891" s="156"/>
      <c r="AT2891" s="156"/>
      <c r="AU2891" s="156"/>
      <c r="AV2891" s="156"/>
      <c r="AW2891" s="156"/>
      <c r="AX2891" s="156"/>
      <c r="AY2891" s="156"/>
      <c r="AZ2891" s="156"/>
      <c r="BA2891" s="156"/>
      <c r="BB2891" s="2828"/>
      <c r="BC2891" s="452"/>
      <c r="BD2891" s="2829"/>
      <c r="BE2891" s="2837"/>
      <c r="BF2891" s="156"/>
    </row>
    <row r="2892" spans="1:58" ht="15" customHeight="1" outlineLevel="1" x14ac:dyDescent="0.35">
      <c r="A2892" s="1071"/>
      <c r="B2892" s="2812"/>
      <c r="C2892" s="3077"/>
      <c r="D2892" s="3980"/>
      <c r="E2892" s="3883"/>
      <c r="F2892" s="3984" t="str">
        <f>$E$1894</f>
        <v>ASHP-SEER21_ER2_MF</v>
      </c>
      <c r="G2892" s="3984"/>
      <c r="H2892" s="3984"/>
      <c r="I2892" s="3984"/>
      <c r="J2892" s="3501" t="str">
        <f>$C$1894</f>
        <v>354900_2019_12_</v>
      </c>
      <c r="K2892" s="3048">
        <v>39600</v>
      </c>
      <c r="L2892" s="2824">
        <f t="shared" si="371"/>
        <v>3.3</v>
      </c>
      <c r="M2892" s="3025"/>
      <c r="N2892" s="106"/>
      <c r="O2892" s="106"/>
      <c r="P2892" s="106"/>
      <c r="Q2892" s="106"/>
      <c r="R2892" s="106"/>
      <c r="S2892" s="106"/>
      <c r="T2892" s="106"/>
      <c r="U2892" s="106"/>
      <c r="V2892" s="3980"/>
      <c r="W2892" s="3421">
        <v>39600</v>
      </c>
      <c r="X2892" s="3421">
        <v>39600</v>
      </c>
      <c r="Y2892" s="3421">
        <v>39600</v>
      </c>
      <c r="Z2892" s="3421">
        <v>39600</v>
      </c>
      <c r="AA2892" s="3421">
        <v>39600</v>
      </c>
      <c r="AB2892" s="3421">
        <v>39600</v>
      </c>
      <c r="AC2892" s="3557">
        <v>39600</v>
      </c>
      <c r="AD2892" s="2042">
        <v>39600</v>
      </c>
      <c r="AE2892" s="3429"/>
      <c r="AF2892" s="3421"/>
      <c r="AG2892" s="3421"/>
      <c r="AH2892" s="156"/>
      <c r="AI2892" s="156"/>
      <c r="AJ2892" s="156"/>
      <c r="AK2892" s="156"/>
      <c r="AL2892" s="156"/>
      <c r="AM2892" s="156"/>
      <c r="AN2892" s="156"/>
      <c r="AO2892" s="156"/>
      <c r="AP2892" s="156"/>
      <c r="AQ2892" s="156"/>
      <c r="AR2892" s="156"/>
      <c r="AS2892" s="156"/>
      <c r="AT2892" s="156"/>
      <c r="AU2892" s="156"/>
      <c r="AV2892" s="156"/>
      <c r="AW2892" s="156"/>
      <c r="AX2892" s="156"/>
      <c r="AY2892" s="156"/>
      <c r="AZ2892" s="156"/>
      <c r="BA2892" s="156"/>
      <c r="BB2892" s="2828"/>
      <c r="BC2892" s="452"/>
      <c r="BD2892" s="2829"/>
      <c r="BE2892" s="2837"/>
      <c r="BF2892" s="156"/>
    </row>
    <row r="2893" spans="1:58" ht="15" customHeight="1" outlineLevel="1" x14ac:dyDescent="0.35">
      <c r="A2893" s="1071"/>
      <c r="B2893" s="2812"/>
      <c r="C2893" s="3077"/>
      <c r="D2893" s="3980"/>
      <c r="E2893" s="3883"/>
      <c r="F2893" s="3984" t="str">
        <f>$E$1896</f>
        <v>ASHP-SEER21_ER1_MF_CompE</v>
      </c>
      <c r="G2893" s="3984"/>
      <c r="H2893" s="3984"/>
      <c r="I2893" s="3984"/>
      <c r="J2893" s="3501" t="str">
        <f>$C$1896</f>
        <v>354901_2019_12_</v>
      </c>
      <c r="K2893" s="3048">
        <v>39600</v>
      </c>
      <c r="L2893" s="2824">
        <f t="shared" si="371"/>
        <v>3.3</v>
      </c>
      <c r="M2893" s="3025"/>
      <c r="N2893" s="106"/>
      <c r="O2893" s="106"/>
      <c r="P2893" s="106"/>
      <c r="Q2893" s="106"/>
      <c r="R2893" s="106"/>
      <c r="S2893" s="106"/>
      <c r="T2893" s="106"/>
      <c r="U2893" s="106"/>
      <c r="V2893" s="3980"/>
      <c r="W2893" s="3421"/>
      <c r="X2893" s="3421"/>
      <c r="Y2893" s="2374">
        <v>39600</v>
      </c>
      <c r="Z2893" s="3421">
        <v>39600</v>
      </c>
      <c r="AA2893" s="3421">
        <v>39600</v>
      </c>
      <c r="AB2893" s="3421">
        <v>39600</v>
      </c>
      <c r="AC2893" s="3557">
        <f>AC2891</f>
        <v>39600</v>
      </c>
      <c r="AD2893" s="2042">
        <v>39600</v>
      </c>
      <c r="AE2893" s="3429"/>
      <c r="AF2893" s="3421"/>
      <c r="AG2893" s="3421"/>
      <c r="AH2893" s="156"/>
      <c r="AI2893" s="156"/>
      <c r="AJ2893" s="156"/>
      <c r="AK2893" s="156"/>
      <c r="AL2893" s="156"/>
      <c r="AM2893" s="156"/>
      <c r="AN2893" s="156"/>
      <c r="AO2893" s="156"/>
      <c r="AP2893" s="156"/>
      <c r="AQ2893" s="156"/>
      <c r="AR2893" s="156"/>
      <c r="AS2893" s="156"/>
      <c r="AT2893" s="156"/>
      <c r="AU2893" s="156"/>
      <c r="AV2893" s="156"/>
      <c r="AW2893" s="156"/>
      <c r="AX2893" s="156"/>
      <c r="AY2893" s="156"/>
      <c r="AZ2893" s="156"/>
      <c r="BA2893" s="156"/>
      <c r="BB2893" s="2828"/>
      <c r="BC2893" s="452"/>
      <c r="BD2893" s="2829"/>
      <c r="BE2893" s="2837"/>
      <c r="BF2893" s="156"/>
    </row>
    <row r="2894" spans="1:58" ht="15" customHeight="1" outlineLevel="1" x14ac:dyDescent="0.35">
      <c r="A2894" s="1071"/>
      <c r="B2894" s="2812"/>
      <c r="C2894" s="3077"/>
      <c r="D2894" s="3980"/>
      <c r="E2894" s="3883"/>
      <c r="F2894" s="3984" t="str">
        <f>$E$1898</f>
        <v>ASHP-SEER21_ER2_MF_CompE</v>
      </c>
      <c r="G2894" s="3984"/>
      <c r="H2894" s="3984"/>
      <c r="I2894" s="3984"/>
      <c r="J2894" s="3501" t="str">
        <f>$C$1898</f>
        <v>354901_2019_12_</v>
      </c>
      <c r="K2894" s="3048">
        <v>39600</v>
      </c>
      <c r="L2894" s="2824">
        <f t="shared" si="371"/>
        <v>3.3</v>
      </c>
      <c r="M2894" s="3025"/>
      <c r="N2894" s="106"/>
      <c r="O2894" s="106"/>
      <c r="P2894" s="106"/>
      <c r="Q2894" s="106"/>
      <c r="R2894" s="106"/>
      <c r="S2894" s="106"/>
      <c r="T2894" s="106"/>
      <c r="U2894" s="106"/>
      <c r="V2894" s="3980"/>
      <c r="W2894" s="3421"/>
      <c r="X2894" s="3421"/>
      <c r="Y2894" s="2374">
        <v>39600</v>
      </c>
      <c r="Z2894" s="3421">
        <v>39600</v>
      </c>
      <c r="AA2894" s="3421">
        <v>39600</v>
      </c>
      <c r="AB2894" s="3421">
        <v>39600</v>
      </c>
      <c r="AC2894" s="3557">
        <f>AC2892</f>
        <v>39600</v>
      </c>
      <c r="AD2894" s="2042">
        <v>39600</v>
      </c>
      <c r="AE2894" s="3429"/>
      <c r="AF2894" s="3421"/>
      <c r="AG2894" s="3421"/>
      <c r="AH2894" s="156"/>
      <c r="AI2894" s="156"/>
      <c r="AJ2894" s="156"/>
      <c r="AK2894" s="156"/>
      <c r="AL2894" s="156"/>
      <c r="AM2894" s="156"/>
      <c r="AN2894" s="156"/>
      <c r="AO2894" s="156"/>
      <c r="AP2894" s="156"/>
      <c r="AQ2894" s="156"/>
      <c r="AR2894" s="156"/>
      <c r="AS2894" s="156"/>
      <c r="AT2894" s="156"/>
      <c r="AU2894" s="156"/>
      <c r="AV2894" s="156"/>
      <c r="AW2894" s="156"/>
      <c r="AX2894" s="156"/>
      <c r="AY2894" s="156"/>
      <c r="AZ2894" s="156"/>
      <c r="BA2894" s="156"/>
      <c r="BB2894" s="2828"/>
      <c r="BC2894" s="452"/>
      <c r="BD2894" s="2829"/>
      <c r="BE2894" s="2837"/>
      <c r="BF2894" s="156"/>
    </row>
    <row r="2895" spans="1:58" ht="15" customHeight="1" outlineLevel="1" x14ac:dyDescent="0.35">
      <c r="A2895" s="1664"/>
      <c r="B2895" s="2812"/>
      <c r="C2895" s="3077"/>
      <c r="D2895" s="3980"/>
      <c r="E2895" s="3883"/>
      <c r="F2895" s="3984" t="str">
        <f>$E$1900</f>
        <v>ASHP-SEER17_ROF_MF</v>
      </c>
      <c r="G2895" s="3984"/>
      <c r="H2895" s="3984"/>
      <c r="I2895" s="3984"/>
      <c r="J2895" s="3501" t="str">
        <f>$C$1900</f>
        <v>354950_2019_12_</v>
      </c>
      <c r="K2895" s="3048">
        <v>39600</v>
      </c>
      <c r="L2895" s="2824">
        <f t="shared" si="371"/>
        <v>3.3</v>
      </c>
      <c r="M2895" s="3025" t="s">
        <v>1506</v>
      </c>
      <c r="N2895" s="106"/>
      <c r="O2895" s="106"/>
      <c r="P2895" s="702"/>
      <c r="Q2895" s="574"/>
      <c r="R2895" s="702"/>
      <c r="S2895" s="106"/>
      <c r="T2895" s="486"/>
      <c r="U2895" s="106"/>
      <c r="V2895" s="3980"/>
      <c r="W2895" s="3421">
        <v>39600</v>
      </c>
      <c r="X2895" s="3421">
        <v>39600</v>
      </c>
      <c r="Y2895" s="3421">
        <v>39600</v>
      </c>
      <c r="Z2895" s="3421">
        <v>39600</v>
      </c>
      <c r="AA2895" s="3421">
        <v>39600</v>
      </c>
      <c r="AB2895" s="3421">
        <v>39600</v>
      </c>
      <c r="AC2895" s="3557">
        <v>39600</v>
      </c>
      <c r="AD2895" s="2042">
        <v>39600</v>
      </c>
      <c r="AE2895" s="3429"/>
      <c r="AF2895" s="3421"/>
      <c r="AG2895" s="3421"/>
      <c r="AH2895" s="156"/>
      <c r="AI2895" s="156"/>
      <c r="AJ2895" s="156"/>
      <c r="AK2895" s="156"/>
      <c r="AL2895" s="156"/>
      <c r="AM2895" s="156"/>
      <c r="AN2895" s="156"/>
      <c r="AO2895" s="156"/>
      <c r="AP2895" s="156"/>
      <c r="AQ2895" s="156"/>
      <c r="AR2895" s="156"/>
      <c r="AS2895" s="156"/>
      <c r="AT2895" s="156"/>
      <c r="AU2895" s="156"/>
      <c r="AV2895" s="156"/>
      <c r="AW2895" s="156"/>
      <c r="AX2895" s="156"/>
      <c r="AY2895" s="156"/>
      <c r="AZ2895" s="156"/>
      <c r="BA2895" s="156"/>
      <c r="BB2895" s="2828"/>
      <c r="BC2895" s="452"/>
      <c r="BD2895" s="2829"/>
      <c r="BE2895" s="2837"/>
      <c r="BF2895" s="156"/>
    </row>
    <row r="2896" spans="1:58" ht="15" customHeight="1" outlineLevel="1" x14ac:dyDescent="0.35">
      <c r="A2896" s="1664"/>
      <c r="B2896" s="2812"/>
      <c r="C2896" s="3077"/>
      <c r="D2896" s="3980"/>
      <c r="E2896" s="3883"/>
      <c r="F2896" s="3984" t="str">
        <f>$E$1902</f>
        <v>ASHP-SEER17_ROF_MF_CompE</v>
      </c>
      <c r="G2896" s="3984"/>
      <c r="H2896" s="3984"/>
      <c r="I2896" s="3984"/>
      <c r="J2896" s="3501" t="str">
        <f>$C$1902</f>
        <v>354951_2019_12_</v>
      </c>
      <c r="K2896" s="3048">
        <v>39600</v>
      </c>
      <c r="L2896" s="2824">
        <f t="shared" si="371"/>
        <v>3.3</v>
      </c>
      <c r="M2896" s="3025"/>
      <c r="N2896" s="106"/>
      <c r="O2896" s="106"/>
      <c r="P2896" s="702"/>
      <c r="Q2896" s="574"/>
      <c r="R2896" s="702"/>
      <c r="S2896" s="106"/>
      <c r="T2896" s="486"/>
      <c r="U2896" s="106"/>
      <c r="V2896" s="3980"/>
      <c r="W2896" s="3421"/>
      <c r="X2896" s="3421"/>
      <c r="Y2896" s="2374">
        <v>39600</v>
      </c>
      <c r="Z2896" s="3421">
        <v>39600</v>
      </c>
      <c r="AA2896" s="3421">
        <v>39600</v>
      </c>
      <c r="AB2896" s="3421">
        <v>39600</v>
      </c>
      <c r="AC2896" s="3557">
        <f>AC2895</f>
        <v>39600</v>
      </c>
      <c r="AD2896" s="2042">
        <v>39600</v>
      </c>
      <c r="AE2896" s="3429"/>
      <c r="AF2896" s="3421"/>
      <c r="AG2896" s="3421"/>
      <c r="AH2896" s="156"/>
      <c r="AI2896" s="156"/>
      <c r="AJ2896" s="156"/>
      <c r="AK2896" s="156"/>
      <c r="AL2896" s="156"/>
      <c r="AM2896" s="156"/>
      <c r="AN2896" s="156"/>
      <c r="AO2896" s="156"/>
      <c r="AP2896" s="156"/>
      <c r="AQ2896" s="156"/>
      <c r="AR2896" s="156"/>
      <c r="AS2896" s="156"/>
      <c r="AT2896" s="156"/>
      <c r="AU2896" s="156"/>
      <c r="AV2896" s="156"/>
      <c r="AW2896" s="156"/>
      <c r="AX2896" s="156"/>
      <c r="AY2896" s="156"/>
      <c r="AZ2896" s="156"/>
      <c r="BA2896" s="156"/>
      <c r="BB2896" s="2828"/>
      <c r="BC2896" s="452"/>
      <c r="BD2896" s="2829"/>
      <c r="BE2896" s="2837"/>
      <c r="BF2896" s="156"/>
    </row>
    <row r="2897" spans="1:58" ht="15" customHeight="1" outlineLevel="1" x14ac:dyDescent="0.35">
      <c r="A2897" s="1664"/>
      <c r="B2897" s="2812"/>
      <c r="C2897" s="3077"/>
      <c r="D2897" s="3980"/>
      <c r="E2897" s="3883"/>
      <c r="F2897" s="3984" t="str">
        <f>$E$1904</f>
        <v>ASHP-SEER18_ROF_MF</v>
      </c>
      <c r="G2897" s="3984"/>
      <c r="H2897" s="3984"/>
      <c r="I2897" s="3984"/>
      <c r="J2897" s="3501" t="str">
        <f>$C$1904</f>
        <v>355000_2019_12_</v>
      </c>
      <c r="K2897" s="3048">
        <v>39600</v>
      </c>
      <c r="L2897" s="2824">
        <f t="shared" si="371"/>
        <v>3.3</v>
      </c>
      <c r="M2897" s="3025" t="s">
        <v>1506</v>
      </c>
      <c r="N2897" s="106"/>
      <c r="O2897" s="106"/>
      <c r="P2897" s="702"/>
      <c r="Q2897" s="574"/>
      <c r="R2897" s="702"/>
      <c r="S2897" s="106"/>
      <c r="T2897" s="486"/>
      <c r="U2897" s="106"/>
      <c r="V2897" s="3980"/>
      <c r="W2897" s="3421">
        <v>39600</v>
      </c>
      <c r="X2897" s="3421">
        <v>39600</v>
      </c>
      <c r="Y2897" s="3421">
        <v>39600</v>
      </c>
      <c r="Z2897" s="3421">
        <v>39600</v>
      </c>
      <c r="AA2897" s="3421">
        <v>39600</v>
      </c>
      <c r="AB2897" s="3421">
        <v>39600</v>
      </c>
      <c r="AC2897" s="3557">
        <v>39600</v>
      </c>
      <c r="AD2897" s="2042">
        <v>39600</v>
      </c>
      <c r="AE2897" s="3429"/>
      <c r="AF2897" s="3421"/>
      <c r="AG2897" s="3421"/>
      <c r="AH2897" s="156"/>
      <c r="AI2897" s="156"/>
      <c r="AJ2897" s="156"/>
      <c r="AK2897" s="156"/>
      <c r="AL2897" s="156"/>
      <c r="AM2897" s="156"/>
      <c r="AN2897" s="156"/>
      <c r="AO2897" s="156"/>
      <c r="AP2897" s="156"/>
      <c r="AQ2897" s="156"/>
      <c r="AR2897" s="156"/>
      <c r="AS2897" s="156"/>
      <c r="AT2897" s="156"/>
      <c r="AU2897" s="156"/>
      <c r="AV2897" s="156"/>
      <c r="AW2897" s="156"/>
      <c r="AX2897" s="156"/>
      <c r="AY2897" s="156"/>
      <c r="AZ2897" s="156"/>
      <c r="BA2897" s="156"/>
      <c r="BB2897" s="2828"/>
      <c r="BC2897" s="452"/>
      <c r="BD2897" s="2829"/>
      <c r="BE2897" s="2837"/>
      <c r="BF2897" s="156"/>
    </row>
    <row r="2898" spans="1:58" ht="15" customHeight="1" outlineLevel="1" x14ac:dyDescent="0.35">
      <c r="A2898" s="1664"/>
      <c r="B2898" s="2812"/>
      <c r="C2898" s="3077"/>
      <c r="D2898" s="3980"/>
      <c r="E2898" s="3883"/>
      <c r="F2898" s="3984" t="str">
        <f>$E$1906</f>
        <v>ASHP-SEER18_ROF_MF_CompE</v>
      </c>
      <c r="G2898" s="3984"/>
      <c r="H2898" s="3984"/>
      <c r="I2898" s="3984"/>
      <c r="J2898" s="3501" t="str">
        <f>$C$1906</f>
        <v>355001_2021_12_</v>
      </c>
      <c r="K2898" s="3048">
        <v>39600</v>
      </c>
      <c r="L2898" s="2824">
        <f t="shared" si="371"/>
        <v>3.3</v>
      </c>
      <c r="M2898" s="3025"/>
      <c r="N2898" s="106"/>
      <c r="O2898" s="106"/>
      <c r="P2898" s="702"/>
      <c r="Q2898" s="574"/>
      <c r="R2898" s="702"/>
      <c r="S2898" s="106"/>
      <c r="T2898" s="486"/>
      <c r="U2898" s="106"/>
      <c r="V2898" s="3980"/>
      <c r="W2898" s="3421"/>
      <c r="X2898" s="3421"/>
      <c r="Y2898" s="2374">
        <v>39600</v>
      </c>
      <c r="Z2898" s="3421">
        <v>39600</v>
      </c>
      <c r="AA2898" s="3421">
        <v>39600</v>
      </c>
      <c r="AB2898" s="3421">
        <v>39600</v>
      </c>
      <c r="AC2898" s="3557">
        <f>AC2897</f>
        <v>39600</v>
      </c>
      <c r="AD2898" s="2042">
        <v>39600</v>
      </c>
      <c r="AE2898" s="3429"/>
      <c r="AF2898" s="3421"/>
      <c r="AG2898" s="3421"/>
      <c r="AH2898" s="156"/>
      <c r="AI2898" s="156"/>
      <c r="AJ2898" s="156"/>
      <c r="AK2898" s="156"/>
      <c r="AL2898" s="156"/>
      <c r="AM2898" s="156"/>
      <c r="AN2898" s="156"/>
      <c r="AO2898" s="156"/>
      <c r="AP2898" s="156"/>
      <c r="AQ2898" s="156"/>
      <c r="AR2898" s="156"/>
      <c r="AS2898" s="156"/>
      <c r="AT2898" s="156"/>
      <c r="AU2898" s="156"/>
      <c r="AV2898" s="156"/>
      <c r="AW2898" s="156"/>
      <c r="AX2898" s="156"/>
      <c r="AY2898" s="156"/>
      <c r="AZ2898" s="156"/>
      <c r="BA2898" s="156"/>
      <c r="BB2898" s="2828"/>
      <c r="BC2898" s="452"/>
      <c r="BD2898" s="2829"/>
      <c r="BE2898" s="2837"/>
      <c r="BF2898" s="156"/>
    </row>
    <row r="2899" spans="1:58" ht="15" customHeight="1" outlineLevel="1" x14ac:dyDescent="0.35">
      <c r="A2899" s="1071"/>
      <c r="B2899" s="2812"/>
      <c r="C2899" s="3077"/>
      <c r="D2899" s="3980"/>
      <c r="E2899" s="3883"/>
      <c r="F2899" s="3984" t="str">
        <f>$E$1908</f>
        <v>ASHP-SEER19_ROF_MF</v>
      </c>
      <c r="G2899" s="3984"/>
      <c r="H2899" s="3984"/>
      <c r="I2899" s="3984"/>
      <c r="J2899" s="3501" t="str">
        <f>$C$1908</f>
        <v>355050_2019_12_</v>
      </c>
      <c r="K2899" s="3048">
        <v>39600</v>
      </c>
      <c r="L2899" s="2824">
        <f t="shared" si="371"/>
        <v>3.3</v>
      </c>
      <c r="M2899" s="3025" t="s">
        <v>1506</v>
      </c>
      <c r="N2899" s="106"/>
      <c r="O2899" s="106"/>
      <c r="P2899" s="106"/>
      <c r="Q2899" s="106"/>
      <c r="R2899" s="106"/>
      <c r="S2899" s="106"/>
      <c r="T2899" s="106"/>
      <c r="U2899" s="106"/>
      <c r="V2899" s="3980"/>
      <c r="W2899" s="3421">
        <v>39600</v>
      </c>
      <c r="X2899" s="3421">
        <v>39600</v>
      </c>
      <c r="Y2899" s="3421">
        <v>39600</v>
      </c>
      <c r="Z2899" s="3421">
        <v>39600</v>
      </c>
      <c r="AA2899" s="3421">
        <v>39600</v>
      </c>
      <c r="AB2899" s="3421">
        <v>39600</v>
      </c>
      <c r="AC2899" s="3557">
        <v>39600</v>
      </c>
      <c r="AD2899" s="2042">
        <v>39600</v>
      </c>
      <c r="AE2899" s="3429"/>
      <c r="AF2899" s="3421"/>
      <c r="AG2899" s="3421"/>
      <c r="AH2899" s="156"/>
      <c r="AI2899" s="156"/>
      <c r="AJ2899" s="156"/>
      <c r="AK2899" s="156"/>
      <c r="AL2899" s="156"/>
      <c r="AM2899" s="156"/>
      <c r="AN2899" s="156"/>
      <c r="AO2899" s="156"/>
      <c r="AP2899" s="156"/>
      <c r="AQ2899" s="156"/>
      <c r="AR2899" s="156"/>
      <c r="AS2899" s="156"/>
      <c r="AT2899" s="156"/>
      <c r="AU2899" s="156"/>
      <c r="AV2899" s="156"/>
      <c r="AW2899" s="156"/>
      <c r="AX2899" s="156"/>
      <c r="AY2899" s="156"/>
      <c r="AZ2899" s="156"/>
      <c r="BA2899" s="156"/>
      <c r="BB2899" s="2828"/>
      <c r="BC2899" s="452"/>
      <c r="BD2899" s="2829"/>
      <c r="BE2899" s="2837"/>
      <c r="BF2899" s="156"/>
    </row>
    <row r="2900" spans="1:58" ht="15" customHeight="1" outlineLevel="1" x14ac:dyDescent="0.35">
      <c r="A2900" s="1071"/>
      <c r="B2900" s="2812"/>
      <c r="C2900" s="3077"/>
      <c r="D2900" s="3980"/>
      <c r="E2900" s="3883"/>
      <c r="F2900" s="3984" t="str">
        <f>$E$1910</f>
        <v>ASHP-SEER19_ROF_MF_CompE</v>
      </c>
      <c r="G2900" s="3984"/>
      <c r="H2900" s="3984"/>
      <c r="I2900" s="3984"/>
      <c r="J2900" s="3501" t="str">
        <f>$C$1910</f>
        <v>355051_2019_12_</v>
      </c>
      <c r="K2900" s="3048">
        <v>39600</v>
      </c>
      <c r="L2900" s="2824">
        <f t="shared" si="371"/>
        <v>3.3</v>
      </c>
      <c r="M2900" s="3025"/>
      <c r="N2900" s="106"/>
      <c r="O2900" s="106"/>
      <c r="P2900" s="106"/>
      <c r="Q2900" s="106"/>
      <c r="R2900" s="106"/>
      <c r="S2900" s="106"/>
      <c r="T2900" s="106"/>
      <c r="U2900" s="106"/>
      <c r="V2900" s="3980"/>
      <c r="W2900" s="3421"/>
      <c r="X2900" s="3421"/>
      <c r="Y2900" s="2374">
        <v>39600</v>
      </c>
      <c r="Z2900" s="3421">
        <v>39600</v>
      </c>
      <c r="AA2900" s="3421">
        <v>39600</v>
      </c>
      <c r="AB2900" s="3421">
        <v>39600</v>
      </c>
      <c r="AC2900" s="3557">
        <f>AC2899</f>
        <v>39600</v>
      </c>
      <c r="AD2900" s="2042">
        <v>39600</v>
      </c>
      <c r="AE2900" s="3429"/>
      <c r="AF2900" s="3421"/>
      <c r="AG2900" s="3421"/>
      <c r="AH2900" s="156"/>
      <c r="AI2900" s="156"/>
      <c r="AJ2900" s="156"/>
      <c r="AK2900" s="156"/>
      <c r="AL2900" s="156"/>
      <c r="AM2900" s="156"/>
      <c r="AN2900" s="156"/>
      <c r="AO2900" s="156"/>
      <c r="AP2900" s="156"/>
      <c r="AQ2900" s="156"/>
      <c r="AR2900" s="156"/>
      <c r="AS2900" s="156"/>
      <c r="AT2900" s="156"/>
      <c r="AU2900" s="156"/>
      <c r="AV2900" s="156"/>
      <c r="AW2900" s="156"/>
      <c r="AX2900" s="156"/>
      <c r="AY2900" s="156"/>
      <c r="AZ2900" s="156"/>
      <c r="BA2900" s="156"/>
      <c r="BB2900" s="2828"/>
      <c r="BC2900" s="452"/>
      <c r="BD2900" s="2829"/>
      <c r="BE2900" s="2837"/>
      <c r="BF2900" s="156"/>
    </row>
    <row r="2901" spans="1:58" ht="15" customHeight="1" outlineLevel="1" x14ac:dyDescent="0.35">
      <c r="A2901" s="1071"/>
      <c r="B2901" s="2812"/>
      <c r="C2901" s="3077"/>
      <c r="D2901" s="3980"/>
      <c r="E2901" s="3883"/>
      <c r="F2901" s="3984" t="str">
        <f>$E$1912</f>
        <v>ASHP-SEER20_ROF_MF</v>
      </c>
      <c r="G2901" s="3984"/>
      <c r="H2901" s="3984"/>
      <c r="I2901" s="3984"/>
      <c r="J2901" s="3501" t="str">
        <f>$C$1912</f>
        <v>355100_2019_12_</v>
      </c>
      <c r="K2901" s="3048">
        <v>39600</v>
      </c>
      <c r="L2901" s="2824">
        <f t="shared" si="371"/>
        <v>3.3</v>
      </c>
      <c r="M2901" s="3025" t="s">
        <v>1506</v>
      </c>
      <c r="N2901" s="106"/>
      <c r="O2901" s="106"/>
      <c r="P2901" s="106"/>
      <c r="Q2901" s="106"/>
      <c r="R2901" s="106"/>
      <c r="S2901" s="106"/>
      <c r="T2901" s="106"/>
      <c r="U2901" s="106"/>
      <c r="V2901" s="3980"/>
      <c r="W2901" s="3421">
        <v>39600</v>
      </c>
      <c r="X2901" s="3421">
        <v>39600</v>
      </c>
      <c r="Y2901" s="3421">
        <v>39600</v>
      </c>
      <c r="Z2901" s="3421">
        <v>39600</v>
      </c>
      <c r="AA2901" s="3421">
        <v>39600</v>
      </c>
      <c r="AB2901" s="3421">
        <v>39600</v>
      </c>
      <c r="AC2901" s="3557">
        <v>39600</v>
      </c>
      <c r="AD2901" s="2042">
        <v>39600</v>
      </c>
      <c r="AE2901" s="3429"/>
      <c r="AF2901" s="3421"/>
      <c r="AG2901" s="3421"/>
      <c r="AH2901" s="156"/>
      <c r="AI2901" s="156"/>
      <c r="AJ2901" s="156"/>
      <c r="AK2901" s="156"/>
      <c r="AL2901" s="156"/>
      <c r="AM2901" s="156"/>
      <c r="AN2901" s="156"/>
      <c r="AO2901" s="156"/>
      <c r="AP2901" s="156"/>
      <c r="AQ2901" s="156"/>
      <c r="AR2901" s="156"/>
      <c r="AS2901" s="156"/>
      <c r="AT2901" s="156"/>
      <c r="AU2901" s="156"/>
      <c r="AV2901" s="156"/>
      <c r="AW2901" s="156"/>
      <c r="AX2901" s="156"/>
      <c r="AY2901" s="156"/>
      <c r="AZ2901" s="156"/>
      <c r="BA2901" s="156"/>
      <c r="BB2901" s="2828"/>
      <c r="BC2901" s="452"/>
      <c r="BD2901" s="2829"/>
      <c r="BE2901" s="2837"/>
      <c r="BF2901" s="156"/>
    </row>
    <row r="2902" spans="1:58" ht="15" customHeight="1" outlineLevel="1" x14ac:dyDescent="0.35">
      <c r="A2902" s="1071"/>
      <c r="B2902" s="2812"/>
      <c r="C2902" s="3077"/>
      <c r="D2902" s="3980"/>
      <c r="E2902" s="3883"/>
      <c r="F2902" s="3984" t="str">
        <f>$E$1914</f>
        <v>ASHP-SEER20_ROF_MF_CompE</v>
      </c>
      <c r="G2902" s="3984"/>
      <c r="H2902" s="3984"/>
      <c r="I2902" s="3984"/>
      <c r="J2902" s="3501" t="str">
        <f>$C$1914</f>
        <v>355101_2019_12_</v>
      </c>
      <c r="K2902" s="3048">
        <v>39600</v>
      </c>
      <c r="L2902" s="2824">
        <f t="shared" si="371"/>
        <v>3.3</v>
      </c>
      <c r="M2902" s="3035"/>
      <c r="N2902" s="106"/>
      <c r="O2902" s="106"/>
      <c r="P2902" s="106"/>
      <c r="Q2902" s="106"/>
      <c r="R2902" s="106"/>
      <c r="S2902" s="106"/>
      <c r="T2902" s="106"/>
      <c r="U2902" s="106"/>
      <c r="V2902" s="3980"/>
      <c r="W2902" s="576"/>
      <c r="X2902" s="576"/>
      <c r="Y2902" s="2374">
        <v>39600</v>
      </c>
      <c r="Z2902" s="3421">
        <v>39600</v>
      </c>
      <c r="AA2902" s="3421">
        <v>39600</v>
      </c>
      <c r="AB2902" s="3421">
        <v>39600</v>
      </c>
      <c r="AC2902" s="3557">
        <f>AC2901</f>
        <v>39600</v>
      </c>
      <c r="AD2902" s="2042">
        <v>39600</v>
      </c>
      <c r="AE2902" s="2935"/>
      <c r="AF2902" s="576"/>
      <c r="AG2902" s="576"/>
      <c r="AH2902" s="156"/>
      <c r="AI2902" s="156"/>
      <c r="AJ2902" s="156"/>
      <c r="AK2902" s="156"/>
      <c r="AL2902" s="156"/>
      <c r="AM2902" s="156"/>
      <c r="AN2902" s="156"/>
      <c r="AO2902" s="156"/>
      <c r="AP2902" s="156"/>
      <c r="AQ2902" s="156"/>
      <c r="AR2902" s="156"/>
      <c r="AS2902" s="156"/>
      <c r="AT2902" s="156"/>
      <c r="AU2902" s="156"/>
      <c r="AV2902" s="156"/>
      <c r="AW2902" s="156"/>
      <c r="AX2902" s="156"/>
      <c r="AY2902" s="156"/>
      <c r="AZ2902" s="156"/>
      <c r="BA2902" s="156"/>
      <c r="BB2902" s="2828"/>
      <c r="BC2902" s="452"/>
      <c r="BD2902" s="2829"/>
      <c r="BE2902" s="2837"/>
      <c r="BF2902" s="156"/>
    </row>
    <row r="2903" spans="1:58" ht="15.75" customHeight="1" outlineLevel="1" x14ac:dyDescent="0.35">
      <c r="A2903" s="1664"/>
      <c r="B2903" s="2812"/>
      <c r="C2903" s="3077"/>
      <c r="D2903" s="3980"/>
      <c r="E2903" s="3883"/>
      <c r="F2903" s="3984" t="str">
        <f>$E$1916</f>
        <v>ASHP-SEER21_ROF_MF</v>
      </c>
      <c r="G2903" s="3984"/>
      <c r="H2903" s="3984"/>
      <c r="I2903" s="3984"/>
      <c r="J2903" s="3501" t="str">
        <f>$C$1916</f>
        <v>355150_2019_12_</v>
      </c>
      <c r="K2903" s="3048">
        <v>39600</v>
      </c>
      <c r="L2903" s="2824">
        <f t="shared" si="371"/>
        <v>3.3</v>
      </c>
      <c r="M2903" s="3025" t="s">
        <v>1506</v>
      </c>
      <c r="N2903" s="106"/>
      <c r="O2903" s="106"/>
      <c r="P2903" s="702"/>
      <c r="Q2903" s="574"/>
      <c r="R2903" s="702"/>
      <c r="S2903" s="106"/>
      <c r="T2903" s="486"/>
      <c r="U2903" s="106"/>
      <c r="V2903" s="3980"/>
      <c r="W2903" s="576">
        <v>39600</v>
      </c>
      <c r="X2903" s="576">
        <v>39600</v>
      </c>
      <c r="Y2903" s="3421">
        <v>39600</v>
      </c>
      <c r="Z2903" s="3421">
        <v>39600</v>
      </c>
      <c r="AA2903" s="3421">
        <v>39600</v>
      </c>
      <c r="AB2903" s="3421">
        <v>39600</v>
      </c>
      <c r="AC2903" s="3557">
        <v>39600</v>
      </c>
      <c r="AD2903" s="2042">
        <v>39600</v>
      </c>
      <c r="AE2903" s="2935"/>
      <c r="AF2903" s="576"/>
      <c r="AG2903" s="576"/>
      <c r="AH2903" s="156"/>
      <c r="AI2903" s="156"/>
      <c r="AJ2903" s="156"/>
      <c r="AK2903" s="156"/>
      <c r="AL2903" s="156"/>
      <c r="AM2903" s="156"/>
      <c r="AN2903" s="156"/>
      <c r="AO2903" s="156"/>
      <c r="AP2903" s="156"/>
      <c r="AQ2903" s="156"/>
      <c r="AR2903" s="156"/>
      <c r="AS2903" s="156"/>
      <c r="AT2903" s="156"/>
      <c r="AU2903" s="156"/>
      <c r="AV2903" s="156"/>
      <c r="AW2903" s="156"/>
      <c r="AX2903" s="156"/>
      <c r="AY2903" s="156"/>
      <c r="AZ2903" s="156"/>
      <c r="BA2903" s="156"/>
      <c r="BB2903" s="2828"/>
      <c r="BC2903" s="452"/>
      <c r="BD2903" s="2829"/>
      <c r="BE2903" s="2837"/>
      <c r="BF2903" s="156"/>
    </row>
    <row r="2904" spans="1:58" ht="15.75" customHeight="1" outlineLevel="1" thickBot="1" x14ac:dyDescent="0.4">
      <c r="A2904" s="1664"/>
      <c r="B2904" s="2812"/>
      <c r="C2904" s="3077"/>
      <c r="D2904" s="3981"/>
      <c r="E2904" s="3983"/>
      <c r="F2904" s="4106" t="str">
        <f>$E$1918</f>
        <v>ASHP-SEER21_ROF_MF_CompE</v>
      </c>
      <c r="G2904" s="4106"/>
      <c r="H2904" s="4106"/>
      <c r="I2904" s="4106"/>
      <c r="J2904" s="3503" t="str">
        <f>$C$1918</f>
        <v>355151_2019_12_</v>
      </c>
      <c r="K2904" s="3049">
        <v>39600</v>
      </c>
      <c r="L2904" s="3017">
        <f t="shared" si="371"/>
        <v>3.3</v>
      </c>
      <c r="M2904" s="3036"/>
      <c r="N2904" s="106"/>
      <c r="O2904" s="106"/>
      <c r="P2904" s="702"/>
      <c r="Q2904" s="574"/>
      <c r="R2904" s="702"/>
      <c r="S2904" s="106"/>
      <c r="T2904" s="486"/>
      <c r="U2904" s="106"/>
      <c r="V2904" s="3981"/>
      <c r="W2904" s="3422"/>
      <c r="X2904" s="3422"/>
      <c r="Y2904" s="706">
        <v>39600</v>
      </c>
      <c r="Z2904" s="708">
        <v>39600</v>
      </c>
      <c r="AA2904" s="708">
        <v>39600</v>
      </c>
      <c r="AB2904" s="708">
        <v>39600</v>
      </c>
      <c r="AC2904" s="3557">
        <f>AC2903</f>
        <v>39600</v>
      </c>
      <c r="AD2904" s="3548">
        <v>39600</v>
      </c>
      <c r="AE2904" s="3432"/>
      <c r="AF2904" s="3422"/>
      <c r="AG2904" s="3422"/>
      <c r="AH2904" s="156"/>
      <c r="AI2904" s="156"/>
      <c r="AJ2904" s="156"/>
      <c r="AK2904" s="156"/>
      <c r="AL2904" s="156"/>
      <c r="AM2904" s="156"/>
      <c r="AN2904" s="156"/>
      <c r="AO2904" s="156"/>
      <c r="AP2904" s="156"/>
      <c r="AQ2904" s="156"/>
      <c r="AR2904" s="156"/>
      <c r="AS2904" s="156"/>
      <c r="AT2904" s="156"/>
      <c r="AU2904" s="156"/>
      <c r="AV2904" s="156"/>
      <c r="AW2904" s="156"/>
      <c r="AX2904" s="156"/>
      <c r="AY2904" s="156"/>
      <c r="AZ2904" s="156"/>
      <c r="BA2904" s="156"/>
      <c r="BB2904" s="2828"/>
      <c r="BC2904" s="452"/>
      <c r="BD2904" s="2829"/>
      <c r="BE2904" s="2837"/>
      <c r="BF2904" s="156"/>
    </row>
    <row r="2905" spans="1:58" ht="15" customHeight="1" outlineLevel="1" x14ac:dyDescent="0.35">
      <c r="A2905" s="1664"/>
      <c r="B2905" s="2812"/>
      <c r="C2905" s="3077"/>
      <c r="D2905" s="3979" t="s">
        <v>1118</v>
      </c>
      <c r="E2905" s="3982" t="s">
        <v>1119</v>
      </c>
      <c r="F2905" s="4133" t="str">
        <f>$E$1534</f>
        <v>ASHP-SEER15-Replace_CAC_ElectricHeat_ER1_SF</v>
      </c>
      <c r="G2905" s="4134"/>
      <c r="H2905" s="4134"/>
      <c r="I2905" s="4135"/>
      <c r="J2905" s="3500" t="str">
        <f>$C$1534</f>
        <v>352300_2021_12_</v>
      </c>
      <c r="K2905" s="3424">
        <v>869</v>
      </c>
      <c r="L2905" s="620"/>
      <c r="M2905" s="3019" t="s">
        <v>977</v>
      </c>
      <c r="N2905" s="106"/>
      <c r="O2905" s="106"/>
      <c r="P2905" s="702"/>
      <c r="Q2905" s="702"/>
      <c r="R2905" s="702"/>
      <c r="S2905" s="106"/>
      <c r="T2905" s="486"/>
      <c r="U2905" s="106"/>
      <c r="V2905" s="3979" t="s">
        <v>1118</v>
      </c>
      <c r="W2905" s="3425">
        <v>869</v>
      </c>
      <c r="X2905" s="3425">
        <v>869</v>
      </c>
      <c r="Y2905" s="3425">
        <v>869</v>
      </c>
      <c r="Z2905" s="3425">
        <v>869</v>
      </c>
      <c r="AA2905" s="3425">
        <v>869</v>
      </c>
      <c r="AB2905" s="3424">
        <v>869</v>
      </c>
      <c r="AC2905" s="3430">
        <v>869</v>
      </c>
      <c r="AD2905" s="3425">
        <v>869</v>
      </c>
      <c r="AE2905" s="2937"/>
      <c r="AF2905" s="3425"/>
      <c r="AG2905" s="3425"/>
      <c r="AH2905" s="156"/>
      <c r="AI2905" s="156"/>
      <c r="AJ2905" s="156"/>
      <c r="AK2905" s="156"/>
      <c r="AL2905" s="156"/>
      <c r="AM2905" s="156"/>
      <c r="AN2905" s="156"/>
      <c r="AO2905" s="156"/>
      <c r="AP2905" s="156"/>
      <c r="AQ2905" s="156"/>
      <c r="AR2905" s="156"/>
      <c r="AS2905" s="156"/>
      <c r="AT2905" s="156"/>
      <c r="AU2905" s="156"/>
      <c r="AV2905" s="156"/>
      <c r="AW2905" s="156"/>
      <c r="AX2905" s="156"/>
      <c r="AY2905" s="156"/>
      <c r="AZ2905" s="156"/>
      <c r="BA2905" s="156"/>
      <c r="BB2905" s="2828"/>
      <c r="BC2905" s="452"/>
      <c r="BD2905" s="2829"/>
      <c r="BE2905" s="2837"/>
      <c r="BF2905" s="156"/>
    </row>
    <row r="2906" spans="1:58" ht="15" customHeight="1" outlineLevel="1" x14ac:dyDescent="0.35">
      <c r="A2906" s="1664"/>
      <c r="B2906" s="2812"/>
      <c r="C2906" s="3077"/>
      <c r="D2906" s="3980"/>
      <c r="E2906" s="3883"/>
      <c r="F2906" s="3984" t="str">
        <f>$E$1536</f>
        <v>ASHP-SEER15-Replace_CAC_ElectricHeat_ER2_SF</v>
      </c>
      <c r="G2906" s="3984"/>
      <c r="H2906" s="3984"/>
      <c r="I2906" s="3984"/>
      <c r="J2906" s="3501" t="str">
        <f>$C$1536</f>
        <v>352300_2021_12_</v>
      </c>
      <c r="K2906" s="3425">
        <v>869</v>
      </c>
      <c r="L2906" s="703"/>
      <c r="M2906" s="3020" t="s">
        <v>977</v>
      </c>
      <c r="N2906" s="106"/>
      <c r="O2906" s="106"/>
      <c r="P2906" s="702"/>
      <c r="Q2906" s="702"/>
      <c r="R2906" s="702"/>
      <c r="S2906" s="106"/>
      <c r="T2906" s="486"/>
      <c r="U2906" s="106"/>
      <c r="V2906" s="3980"/>
      <c r="W2906" s="3421">
        <v>869</v>
      </c>
      <c r="X2906" s="3421">
        <v>869</v>
      </c>
      <c r="Y2906" s="3425">
        <v>869</v>
      </c>
      <c r="Z2906" s="3425">
        <v>869</v>
      </c>
      <c r="AA2906" s="3425">
        <v>869</v>
      </c>
      <c r="AB2906" s="3425">
        <v>869</v>
      </c>
      <c r="AC2906" s="2132">
        <v>869</v>
      </c>
      <c r="AD2906" s="3421">
        <v>869</v>
      </c>
      <c r="AE2906" s="3429"/>
      <c r="AF2906" s="3421"/>
      <c r="AG2906" s="3421"/>
      <c r="AH2906" s="156"/>
      <c r="AI2906" s="156"/>
      <c r="AJ2906" s="156"/>
      <c r="AK2906" s="156"/>
      <c r="AL2906" s="156"/>
      <c r="AM2906" s="156"/>
      <c r="AN2906" s="156"/>
      <c r="AO2906" s="156"/>
      <c r="AP2906" s="156"/>
      <c r="AQ2906" s="156"/>
      <c r="AR2906" s="156"/>
      <c r="AS2906" s="156"/>
      <c r="AT2906" s="156"/>
      <c r="AU2906" s="156"/>
      <c r="AV2906" s="156"/>
      <c r="AW2906" s="156"/>
      <c r="AX2906" s="156"/>
      <c r="AY2906" s="156"/>
      <c r="AZ2906" s="156"/>
      <c r="BA2906" s="156"/>
      <c r="BB2906" s="2828"/>
      <c r="BC2906" s="452"/>
      <c r="BD2906" s="2829"/>
      <c r="BE2906" s="2837"/>
      <c r="BF2906" s="156"/>
    </row>
    <row r="2907" spans="1:58" ht="15" customHeight="1" outlineLevel="1" x14ac:dyDescent="0.35">
      <c r="A2907" s="1664"/>
      <c r="B2907" s="2812"/>
      <c r="C2907" s="3077"/>
      <c r="D2907" s="3980"/>
      <c r="E2907" s="3883"/>
      <c r="F2907" s="3984" t="str">
        <f>$E$1538</f>
        <v>ASHP-SEER15-Replace_CAC_NonElectricHeat_ER1_SF</v>
      </c>
      <c r="G2907" s="3984"/>
      <c r="H2907" s="3984"/>
      <c r="I2907" s="3984"/>
      <c r="J2907" s="3501" t="str">
        <f>$C$1538</f>
        <v>352310_2021_12_</v>
      </c>
      <c r="K2907" s="3425">
        <v>869</v>
      </c>
      <c r="L2907" s="703"/>
      <c r="M2907" s="3020" t="s">
        <v>977</v>
      </c>
      <c r="N2907" s="106"/>
      <c r="O2907" s="106"/>
      <c r="P2907" s="702"/>
      <c r="Q2907" s="702"/>
      <c r="R2907" s="702"/>
      <c r="S2907" s="106"/>
      <c r="T2907" s="486"/>
      <c r="U2907" s="106"/>
      <c r="V2907" s="3980"/>
      <c r="W2907" s="3421"/>
      <c r="X2907" s="3421"/>
      <c r="Y2907" s="3425"/>
      <c r="Z2907" s="3425"/>
      <c r="AA2907" s="3425"/>
      <c r="AB2907" s="3425"/>
      <c r="AC2907" s="2922">
        <v>869</v>
      </c>
      <c r="AD2907" s="3421">
        <v>869</v>
      </c>
      <c r="AE2907" s="3429"/>
      <c r="AF2907" s="3421"/>
      <c r="AG2907" s="3421"/>
      <c r="AH2907" s="156"/>
      <c r="AI2907" s="156"/>
      <c r="AJ2907" s="156"/>
      <c r="AK2907" s="156"/>
      <c r="AL2907" s="156"/>
      <c r="AM2907" s="156"/>
      <c r="AN2907" s="156"/>
      <c r="AO2907" s="156"/>
      <c r="AP2907" s="156"/>
      <c r="AQ2907" s="156"/>
      <c r="AR2907" s="156"/>
      <c r="AS2907" s="156"/>
      <c r="AT2907" s="156"/>
      <c r="AU2907" s="156"/>
      <c r="AV2907" s="156"/>
      <c r="AW2907" s="156"/>
      <c r="AX2907" s="156"/>
      <c r="AY2907" s="156"/>
      <c r="AZ2907" s="156"/>
      <c r="BA2907" s="156"/>
      <c r="BB2907" s="2828"/>
      <c r="BC2907" s="452"/>
      <c r="BD2907" s="2829"/>
      <c r="BE2907" s="2837"/>
      <c r="BF2907" s="156"/>
    </row>
    <row r="2908" spans="1:58" ht="15" customHeight="1" outlineLevel="1" x14ac:dyDescent="0.35">
      <c r="A2908" s="1664"/>
      <c r="B2908" s="2812"/>
      <c r="C2908" s="3077"/>
      <c r="D2908" s="3980"/>
      <c r="E2908" s="3883"/>
      <c r="F2908" s="3984" t="str">
        <f>$E$1540</f>
        <v>ASHP-SEER15-Replace_CAC_NonElectricHeat_ER2_SF</v>
      </c>
      <c r="G2908" s="3984"/>
      <c r="H2908" s="3984"/>
      <c r="I2908" s="3984"/>
      <c r="J2908" s="3501" t="str">
        <f>$C$1540</f>
        <v>352310_2021_12_</v>
      </c>
      <c r="K2908" s="3425">
        <v>869</v>
      </c>
      <c r="L2908" s="703"/>
      <c r="M2908" s="3020" t="s">
        <v>977</v>
      </c>
      <c r="N2908" s="106"/>
      <c r="O2908" s="106"/>
      <c r="P2908" s="702"/>
      <c r="Q2908" s="702"/>
      <c r="R2908" s="702"/>
      <c r="S2908" s="106"/>
      <c r="T2908" s="486"/>
      <c r="U2908" s="106"/>
      <c r="V2908" s="3980"/>
      <c r="W2908" s="3421"/>
      <c r="X2908" s="3421"/>
      <c r="Y2908" s="3425"/>
      <c r="Z2908" s="3425"/>
      <c r="AA2908" s="3425"/>
      <c r="AB2908" s="3425"/>
      <c r="AC2908" s="2922">
        <v>869</v>
      </c>
      <c r="AD2908" s="3421">
        <v>869</v>
      </c>
      <c r="AE2908" s="3429"/>
      <c r="AF2908" s="3421"/>
      <c r="AG2908" s="3421"/>
      <c r="AH2908" s="156"/>
      <c r="AI2908" s="156"/>
      <c r="AJ2908" s="156"/>
      <c r="AK2908" s="156"/>
      <c r="AL2908" s="156"/>
      <c r="AM2908" s="156"/>
      <c r="AN2908" s="156"/>
      <c r="AO2908" s="156"/>
      <c r="AP2908" s="156"/>
      <c r="AQ2908" s="156"/>
      <c r="AR2908" s="156"/>
      <c r="AS2908" s="156"/>
      <c r="AT2908" s="156"/>
      <c r="AU2908" s="156"/>
      <c r="AV2908" s="156"/>
      <c r="AW2908" s="156"/>
      <c r="AX2908" s="156"/>
      <c r="AY2908" s="156"/>
      <c r="AZ2908" s="156"/>
      <c r="BA2908" s="156"/>
      <c r="BB2908" s="2828"/>
      <c r="BC2908" s="452"/>
      <c r="BD2908" s="2829"/>
      <c r="BE2908" s="2837"/>
      <c r="BF2908" s="156"/>
    </row>
    <row r="2909" spans="1:58" ht="15" customHeight="1" outlineLevel="1" x14ac:dyDescent="0.35">
      <c r="A2909" s="1664"/>
      <c r="B2909" s="2812"/>
      <c r="C2909" s="3077"/>
      <c r="D2909" s="3980"/>
      <c r="E2909" s="3883"/>
      <c r="F2909" s="3984" t="str">
        <f>$E$1542</f>
        <v>ASHP-SEER15_ER1_SF</v>
      </c>
      <c r="G2909" s="3984"/>
      <c r="H2909" s="3984"/>
      <c r="I2909" s="3984"/>
      <c r="J2909" s="3501" t="str">
        <f>$C$1542</f>
        <v>352350_2021_12_</v>
      </c>
      <c r="K2909" s="3425">
        <v>869</v>
      </c>
      <c r="L2909" s="703"/>
      <c r="M2909" s="3020" t="s">
        <v>977</v>
      </c>
      <c r="N2909" s="106"/>
      <c r="O2909" s="106"/>
      <c r="P2909" s="702"/>
      <c r="Q2909" s="702"/>
      <c r="R2909" s="702"/>
      <c r="S2909" s="106"/>
      <c r="T2909" s="486"/>
      <c r="U2909" s="106"/>
      <c r="V2909" s="3980"/>
      <c r="W2909" s="3421">
        <v>869</v>
      </c>
      <c r="X2909" s="3421">
        <v>869</v>
      </c>
      <c r="Y2909" s="3425">
        <v>869</v>
      </c>
      <c r="Z2909" s="3425">
        <v>869</v>
      </c>
      <c r="AA2909" s="3425">
        <v>869</v>
      </c>
      <c r="AB2909" s="3425">
        <v>869</v>
      </c>
      <c r="AC2909" s="2132">
        <v>869</v>
      </c>
      <c r="AD2909" s="3421">
        <v>869</v>
      </c>
      <c r="AE2909" s="3429"/>
      <c r="AF2909" s="3421"/>
      <c r="AG2909" s="3421"/>
      <c r="AH2909" s="156"/>
      <c r="AI2909" s="156"/>
      <c r="AJ2909" s="156"/>
      <c r="AK2909" s="156"/>
      <c r="AL2909" s="156"/>
      <c r="AM2909" s="156"/>
      <c r="AN2909" s="156"/>
      <c r="AO2909" s="156"/>
      <c r="AP2909" s="156"/>
      <c r="AQ2909" s="156"/>
      <c r="AR2909" s="156"/>
      <c r="AS2909" s="156"/>
      <c r="AT2909" s="156"/>
      <c r="AU2909" s="156"/>
      <c r="AV2909" s="156"/>
      <c r="AW2909" s="156"/>
      <c r="AX2909" s="156"/>
      <c r="AY2909" s="156"/>
      <c r="AZ2909" s="156"/>
      <c r="BA2909" s="156"/>
      <c r="BB2909" s="2828"/>
      <c r="BC2909" s="452"/>
      <c r="BD2909" s="2829"/>
      <c r="BE2909" s="2837"/>
      <c r="BF2909" s="156"/>
    </row>
    <row r="2910" spans="1:58" ht="15" customHeight="1" outlineLevel="1" x14ac:dyDescent="0.35">
      <c r="A2910" s="1664"/>
      <c r="B2910" s="2812"/>
      <c r="C2910" s="3077"/>
      <c r="D2910" s="3980"/>
      <c r="E2910" s="3883"/>
      <c r="F2910" s="3984" t="str">
        <f>$E$1544</f>
        <v>ASHP-SEER15_ER2_SF</v>
      </c>
      <c r="G2910" s="3984"/>
      <c r="H2910" s="3984"/>
      <c r="I2910" s="3984"/>
      <c r="J2910" s="3501" t="str">
        <f>$C$1544</f>
        <v>352350_2021_12_</v>
      </c>
      <c r="K2910" s="3425">
        <v>869</v>
      </c>
      <c r="L2910" s="703"/>
      <c r="M2910" s="3020" t="s">
        <v>977</v>
      </c>
      <c r="N2910" s="106"/>
      <c r="O2910" s="106"/>
      <c r="P2910" s="702"/>
      <c r="Q2910" s="702"/>
      <c r="R2910" s="702"/>
      <c r="S2910" s="106"/>
      <c r="T2910" s="486"/>
      <c r="U2910" s="106"/>
      <c r="V2910" s="3980"/>
      <c r="W2910" s="3421">
        <v>869</v>
      </c>
      <c r="X2910" s="3421">
        <v>869</v>
      </c>
      <c r="Y2910" s="3425">
        <v>869</v>
      </c>
      <c r="Z2910" s="3425">
        <v>869</v>
      </c>
      <c r="AA2910" s="3425">
        <v>869</v>
      </c>
      <c r="AB2910" s="3425">
        <v>869</v>
      </c>
      <c r="AC2910" s="2132">
        <v>869</v>
      </c>
      <c r="AD2910" s="3421">
        <v>869</v>
      </c>
      <c r="AE2910" s="3429"/>
      <c r="AF2910" s="3421"/>
      <c r="AG2910" s="3421"/>
      <c r="AH2910" s="156"/>
      <c r="AI2910" s="156"/>
      <c r="AJ2910" s="156"/>
      <c r="AK2910" s="156"/>
      <c r="AL2910" s="156"/>
      <c r="AM2910" s="156"/>
      <c r="AN2910" s="156"/>
      <c r="AO2910" s="156"/>
      <c r="AP2910" s="156"/>
      <c r="AQ2910" s="156"/>
      <c r="AR2910" s="156"/>
      <c r="AS2910" s="156"/>
      <c r="AT2910" s="156"/>
      <c r="AU2910" s="156"/>
      <c r="AV2910" s="156"/>
      <c r="AW2910" s="156"/>
      <c r="AX2910" s="156"/>
      <c r="AY2910" s="156"/>
      <c r="AZ2910" s="156"/>
      <c r="BA2910" s="156"/>
      <c r="BB2910" s="2828"/>
      <c r="BC2910" s="452"/>
      <c r="BD2910" s="2829"/>
      <c r="BE2910" s="2837"/>
      <c r="BF2910" s="156"/>
    </row>
    <row r="2911" spans="1:58" ht="15" customHeight="1" outlineLevel="1" x14ac:dyDescent="0.35">
      <c r="A2911" s="1664"/>
      <c r="B2911" s="2812"/>
      <c r="C2911" s="3077"/>
      <c r="D2911" s="3980"/>
      <c r="E2911" s="3883"/>
      <c r="F2911" s="3984" t="str">
        <f>$E$1546</f>
        <v>ASHP-SEER15-Replace_CAC_ElectricHeat_ROF_SF</v>
      </c>
      <c r="G2911" s="3984"/>
      <c r="H2911" s="3984"/>
      <c r="I2911" s="3984"/>
      <c r="J2911" s="3501" t="str">
        <f>$C$1546</f>
        <v>352400_2021_12_</v>
      </c>
      <c r="K2911" s="3425">
        <v>869</v>
      </c>
      <c r="L2911" s="703"/>
      <c r="M2911" s="3020" t="s">
        <v>977</v>
      </c>
      <c r="N2911" s="106"/>
      <c r="O2911" s="106"/>
      <c r="P2911" s="702"/>
      <c r="Q2911" s="702"/>
      <c r="R2911" s="702"/>
      <c r="S2911" s="106"/>
      <c r="T2911" s="486"/>
      <c r="U2911" s="106"/>
      <c r="V2911" s="3980"/>
      <c r="W2911" s="3421">
        <v>869</v>
      </c>
      <c r="X2911" s="3421">
        <v>869</v>
      </c>
      <c r="Y2911" s="3425">
        <v>869</v>
      </c>
      <c r="Z2911" s="3425">
        <v>869</v>
      </c>
      <c r="AA2911" s="3425">
        <v>869</v>
      </c>
      <c r="AB2911" s="3425">
        <v>869</v>
      </c>
      <c r="AC2911" s="2132">
        <v>869</v>
      </c>
      <c r="AD2911" s="3421">
        <v>869</v>
      </c>
      <c r="AE2911" s="3429"/>
      <c r="AF2911" s="3421"/>
      <c r="AG2911" s="3421"/>
      <c r="AH2911" s="156"/>
      <c r="AI2911" s="156"/>
      <c r="AJ2911" s="156"/>
      <c r="AK2911" s="156"/>
      <c r="AL2911" s="156"/>
      <c r="AM2911" s="156"/>
      <c r="AN2911" s="156"/>
      <c r="AO2911" s="156"/>
      <c r="AP2911" s="156"/>
      <c r="AQ2911" s="156"/>
      <c r="AR2911" s="156"/>
      <c r="AS2911" s="156"/>
      <c r="AT2911" s="156"/>
      <c r="AU2911" s="156"/>
      <c r="AV2911" s="156"/>
      <c r="AW2911" s="156"/>
      <c r="AX2911" s="156"/>
      <c r="AY2911" s="156"/>
      <c r="AZ2911" s="156"/>
      <c r="BA2911" s="156"/>
      <c r="BB2911" s="2828"/>
      <c r="BC2911" s="452"/>
      <c r="BD2911" s="2829"/>
      <c r="BE2911" s="2837"/>
      <c r="BF2911" s="156"/>
    </row>
    <row r="2912" spans="1:58" ht="15" customHeight="1" outlineLevel="1" x14ac:dyDescent="0.35">
      <c r="A2912" s="1664"/>
      <c r="B2912" s="2812"/>
      <c r="C2912" s="3077"/>
      <c r="D2912" s="3980"/>
      <c r="E2912" s="3883"/>
      <c r="F2912" s="3984" t="str">
        <f>$E$1548</f>
        <v>ASHP-SEER15-Replace_CAC_NonElectricHeat_ROF_SF</v>
      </c>
      <c r="G2912" s="3984"/>
      <c r="H2912" s="3984"/>
      <c r="I2912" s="3984"/>
      <c r="J2912" s="3501" t="str">
        <f>$C$1548</f>
        <v>352410_2021_12_</v>
      </c>
      <c r="K2912" s="3425">
        <v>869</v>
      </c>
      <c r="L2912" s="703"/>
      <c r="M2912" s="3020" t="s">
        <v>977</v>
      </c>
      <c r="N2912" s="106"/>
      <c r="O2912" s="106"/>
      <c r="P2912" s="702"/>
      <c r="Q2912" s="702"/>
      <c r="R2912" s="702"/>
      <c r="S2912" s="106"/>
      <c r="T2912" s="486"/>
      <c r="U2912" s="106"/>
      <c r="V2912" s="3980"/>
      <c r="W2912" s="3421"/>
      <c r="X2912" s="3421"/>
      <c r="Y2912" s="3425"/>
      <c r="Z2912" s="3425"/>
      <c r="AA2912" s="3425"/>
      <c r="AB2912" s="3425"/>
      <c r="AC2912" s="2922">
        <v>869</v>
      </c>
      <c r="AD2912" s="3421">
        <v>869</v>
      </c>
      <c r="AE2912" s="3429"/>
      <c r="AF2912" s="3421"/>
      <c r="AG2912" s="3421"/>
      <c r="AH2912" s="156"/>
      <c r="AI2912" s="156"/>
      <c r="AJ2912" s="156"/>
      <c r="AK2912" s="156"/>
      <c r="AL2912" s="156"/>
      <c r="AM2912" s="156"/>
      <c r="AN2912" s="156"/>
      <c r="AO2912" s="156"/>
      <c r="AP2912" s="156"/>
      <c r="AQ2912" s="156"/>
      <c r="AR2912" s="156"/>
      <c r="AS2912" s="156"/>
      <c r="AT2912" s="156"/>
      <c r="AU2912" s="156"/>
      <c r="AV2912" s="156"/>
      <c r="AW2912" s="156"/>
      <c r="AX2912" s="156"/>
      <c r="AY2912" s="156"/>
      <c r="AZ2912" s="156"/>
      <c r="BA2912" s="156"/>
      <c r="BB2912" s="2828"/>
      <c r="BC2912" s="452"/>
      <c r="BD2912" s="2829"/>
      <c r="BE2912" s="2837"/>
      <c r="BF2912" s="156"/>
    </row>
    <row r="2913" spans="1:58" ht="15" customHeight="1" outlineLevel="1" x14ac:dyDescent="0.35">
      <c r="A2913" s="1664"/>
      <c r="B2913" s="2812"/>
      <c r="C2913" s="3077"/>
      <c r="D2913" s="3980"/>
      <c r="E2913" s="3883"/>
      <c r="F2913" s="3984" t="str">
        <f>$E$1550</f>
        <v>ASHP-SEER15_ROF_SF</v>
      </c>
      <c r="G2913" s="3984"/>
      <c r="H2913" s="3984"/>
      <c r="I2913" s="3984"/>
      <c r="J2913" s="3501" t="str">
        <f>$C$1550</f>
        <v>352450_2021_12_</v>
      </c>
      <c r="K2913" s="3425">
        <v>869</v>
      </c>
      <c r="L2913" s="703"/>
      <c r="M2913" s="3020" t="s">
        <v>977</v>
      </c>
      <c r="N2913" s="106"/>
      <c r="O2913" s="106"/>
      <c r="P2913" s="702"/>
      <c r="Q2913" s="702"/>
      <c r="R2913" s="702"/>
      <c r="S2913" s="106"/>
      <c r="T2913" s="486"/>
      <c r="U2913" s="106"/>
      <c r="V2913" s="3980"/>
      <c r="W2913" s="3421">
        <v>869</v>
      </c>
      <c r="X2913" s="3421">
        <v>869</v>
      </c>
      <c r="Y2913" s="3425">
        <v>869</v>
      </c>
      <c r="Z2913" s="3425">
        <v>869</v>
      </c>
      <c r="AA2913" s="3425">
        <v>869</v>
      </c>
      <c r="AB2913" s="3425">
        <v>869</v>
      </c>
      <c r="AC2913" s="2132">
        <v>869</v>
      </c>
      <c r="AD2913" s="3421">
        <v>869</v>
      </c>
      <c r="AE2913" s="3429"/>
      <c r="AF2913" s="3421"/>
      <c r="AG2913" s="3421"/>
      <c r="AH2913" s="156"/>
      <c r="AI2913" s="156"/>
      <c r="AJ2913" s="156"/>
      <c r="AK2913" s="156"/>
      <c r="AL2913" s="156"/>
      <c r="AM2913" s="156"/>
      <c r="AN2913" s="156"/>
      <c r="AO2913" s="156"/>
      <c r="AP2913" s="156"/>
      <c r="AQ2913" s="156"/>
      <c r="AR2913" s="156"/>
      <c r="AS2913" s="156"/>
      <c r="AT2913" s="156"/>
      <c r="AU2913" s="156"/>
      <c r="AV2913" s="156"/>
      <c r="AW2913" s="156"/>
      <c r="AX2913" s="156"/>
      <c r="AY2913" s="156"/>
      <c r="AZ2913" s="156"/>
      <c r="BA2913" s="156"/>
      <c r="BB2913" s="2828"/>
      <c r="BC2913" s="452"/>
      <c r="BD2913" s="2829"/>
      <c r="BE2913" s="2837"/>
      <c r="BF2913" s="156"/>
    </row>
    <row r="2914" spans="1:58" ht="15" customHeight="1" outlineLevel="1" x14ac:dyDescent="0.35">
      <c r="A2914" s="1664"/>
      <c r="B2914" s="2812"/>
      <c r="C2914" s="3077"/>
      <c r="D2914" s="3980"/>
      <c r="E2914" s="3883"/>
      <c r="F2914" s="3984" t="str">
        <f>$E$1552</f>
        <v>ASHP-SEER16-Replace_CAC_ElectricHeat_ER1_SF</v>
      </c>
      <c r="G2914" s="3984"/>
      <c r="H2914" s="3984"/>
      <c r="I2914" s="3984"/>
      <c r="J2914" s="3501" t="str">
        <f>$C$1552</f>
        <v>352500_2021_12_</v>
      </c>
      <c r="K2914" s="3425">
        <v>869</v>
      </c>
      <c r="L2914" s="703"/>
      <c r="M2914" s="3020" t="s">
        <v>977</v>
      </c>
      <c r="N2914" s="106"/>
      <c r="O2914" s="106"/>
      <c r="P2914" s="702"/>
      <c r="Q2914" s="702"/>
      <c r="R2914" s="702"/>
      <c r="S2914" s="106"/>
      <c r="T2914" s="486"/>
      <c r="U2914" s="106"/>
      <c r="V2914" s="3980"/>
      <c r="W2914" s="3421">
        <v>869</v>
      </c>
      <c r="X2914" s="3421">
        <v>869</v>
      </c>
      <c r="Y2914" s="3425">
        <v>869</v>
      </c>
      <c r="Z2914" s="3425">
        <v>869</v>
      </c>
      <c r="AA2914" s="3425">
        <v>869</v>
      </c>
      <c r="AB2914" s="3425">
        <v>869</v>
      </c>
      <c r="AC2914" s="2132">
        <v>869</v>
      </c>
      <c r="AD2914" s="3421">
        <v>869</v>
      </c>
      <c r="AE2914" s="3429"/>
      <c r="AF2914" s="3421"/>
      <c r="AG2914" s="3421"/>
      <c r="AH2914" s="156"/>
      <c r="AI2914" s="156"/>
      <c r="AJ2914" s="156"/>
      <c r="AK2914" s="156"/>
      <c r="AL2914" s="156"/>
      <c r="AM2914" s="156"/>
      <c r="AN2914" s="156"/>
      <c r="AO2914" s="156"/>
      <c r="AP2914" s="156"/>
      <c r="AQ2914" s="156"/>
      <c r="AR2914" s="156"/>
      <c r="AS2914" s="156"/>
      <c r="AT2914" s="156"/>
      <c r="AU2914" s="156"/>
      <c r="AV2914" s="156"/>
      <c r="AW2914" s="156"/>
      <c r="AX2914" s="156"/>
      <c r="AY2914" s="156"/>
      <c r="AZ2914" s="156"/>
      <c r="BA2914" s="156"/>
      <c r="BB2914" s="2828"/>
      <c r="BC2914" s="452"/>
      <c r="BD2914" s="2829"/>
      <c r="BE2914" s="2837"/>
      <c r="BF2914" s="156"/>
    </row>
    <row r="2915" spans="1:58" ht="15" customHeight="1" outlineLevel="1" x14ac:dyDescent="0.35">
      <c r="A2915" s="1664"/>
      <c r="B2915" s="2812"/>
      <c r="C2915" s="3077"/>
      <c r="D2915" s="3980"/>
      <c r="E2915" s="3883"/>
      <c r="F2915" s="3984" t="str">
        <f>$E$1554</f>
        <v>ASHP-SEER16-Replace_CAC_ElectricHeat_ER2_SF</v>
      </c>
      <c r="G2915" s="3984"/>
      <c r="H2915" s="3984"/>
      <c r="I2915" s="3984"/>
      <c r="J2915" s="3501" t="str">
        <f>$C$1554</f>
        <v>352500_2021_12_</v>
      </c>
      <c r="K2915" s="3425">
        <v>869</v>
      </c>
      <c r="L2915" s="703"/>
      <c r="M2915" s="3020" t="s">
        <v>977</v>
      </c>
      <c r="N2915" s="106"/>
      <c r="O2915" s="106"/>
      <c r="P2915" s="702"/>
      <c r="Q2915" s="702"/>
      <c r="R2915" s="702"/>
      <c r="S2915" s="106"/>
      <c r="T2915" s="486"/>
      <c r="U2915" s="106"/>
      <c r="V2915" s="3980"/>
      <c r="W2915" s="3421">
        <v>869</v>
      </c>
      <c r="X2915" s="3421">
        <v>869</v>
      </c>
      <c r="Y2915" s="3425">
        <v>869</v>
      </c>
      <c r="Z2915" s="3425">
        <v>869</v>
      </c>
      <c r="AA2915" s="3425">
        <v>869</v>
      </c>
      <c r="AB2915" s="3425">
        <v>869</v>
      </c>
      <c r="AC2915" s="2132">
        <v>869</v>
      </c>
      <c r="AD2915" s="3421">
        <v>869</v>
      </c>
      <c r="AE2915" s="3429"/>
      <c r="AF2915" s="3421"/>
      <c r="AG2915" s="3421"/>
      <c r="AH2915" s="156"/>
      <c r="AI2915" s="156"/>
      <c r="AJ2915" s="156"/>
      <c r="AK2915" s="156"/>
      <c r="AL2915" s="156"/>
      <c r="AM2915" s="156"/>
      <c r="AN2915" s="156"/>
      <c r="AO2915" s="156"/>
      <c r="AP2915" s="156"/>
      <c r="AQ2915" s="156"/>
      <c r="AR2915" s="156"/>
      <c r="AS2915" s="156"/>
      <c r="AT2915" s="156"/>
      <c r="AU2915" s="156"/>
      <c r="AV2915" s="156"/>
      <c r="AW2915" s="156"/>
      <c r="AX2915" s="156"/>
      <c r="AY2915" s="156"/>
      <c r="AZ2915" s="156"/>
      <c r="BA2915" s="156"/>
      <c r="BB2915" s="2828"/>
      <c r="BC2915" s="452"/>
      <c r="BD2915" s="2829"/>
      <c r="BE2915" s="2837"/>
      <c r="BF2915" s="156"/>
    </row>
    <row r="2916" spans="1:58" ht="15" customHeight="1" outlineLevel="1" x14ac:dyDescent="0.35">
      <c r="A2916" s="1664"/>
      <c r="B2916" s="2812"/>
      <c r="C2916" s="3077"/>
      <c r="D2916" s="3980"/>
      <c r="E2916" s="3883"/>
      <c r="F2916" s="3984" t="str">
        <f>$E$1556</f>
        <v>ASHP-SEER16-Replace_CAC_NonElectricHeat_ER1_SF</v>
      </c>
      <c r="G2916" s="3984"/>
      <c r="H2916" s="3984"/>
      <c r="I2916" s="3984"/>
      <c r="J2916" s="3501" t="str">
        <f>$C$1556</f>
        <v>352510_2021_12_</v>
      </c>
      <c r="K2916" s="3425">
        <v>869</v>
      </c>
      <c r="L2916" s="703"/>
      <c r="M2916" s="3020" t="s">
        <v>977</v>
      </c>
      <c r="N2916" s="106"/>
      <c r="O2916" s="106"/>
      <c r="P2916" s="702"/>
      <c r="Q2916" s="702"/>
      <c r="R2916" s="702"/>
      <c r="S2916" s="106"/>
      <c r="T2916" s="486"/>
      <c r="U2916" s="106"/>
      <c r="V2916" s="3980"/>
      <c r="W2916" s="3421"/>
      <c r="X2916" s="3421"/>
      <c r="Y2916" s="3425"/>
      <c r="Z2916" s="3425"/>
      <c r="AA2916" s="3425"/>
      <c r="AB2916" s="3425"/>
      <c r="AC2916" s="2922">
        <v>869</v>
      </c>
      <c r="AD2916" s="3421">
        <v>869</v>
      </c>
      <c r="AE2916" s="3429"/>
      <c r="AF2916" s="3421"/>
      <c r="AG2916" s="3421"/>
      <c r="AH2916" s="156"/>
      <c r="AI2916" s="156"/>
      <c r="AJ2916" s="156"/>
      <c r="AK2916" s="156"/>
      <c r="AL2916" s="156"/>
      <c r="AM2916" s="156"/>
      <c r="AN2916" s="156"/>
      <c r="AO2916" s="156"/>
      <c r="AP2916" s="156"/>
      <c r="AQ2916" s="156"/>
      <c r="AR2916" s="156"/>
      <c r="AS2916" s="156"/>
      <c r="AT2916" s="156"/>
      <c r="AU2916" s="156"/>
      <c r="AV2916" s="156"/>
      <c r="AW2916" s="156"/>
      <c r="AX2916" s="156"/>
      <c r="AY2916" s="156"/>
      <c r="AZ2916" s="156"/>
      <c r="BA2916" s="156"/>
      <c r="BB2916" s="2828"/>
      <c r="BC2916" s="452"/>
      <c r="BD2916" s="2829"/>
      <c r="BE2916" s="2837"/>
      <c r="BF2916" s="156"/>
    </row>
    <row r="2917" spans="1:58" ht="15" customHeight="1" outlineLevel="1" x14ac:dyDescent="0.35">
      <c r="A2917" s="1664"/>
      <c r="B2917" s="2812"/>
      <c r="C2917" s="3077"/>
      <c r="D2917" s="3980"/>
      <c r="E2917" s="3883"/>
      <c r="F2917" s="3984" t="str">
        <f>$E$1558</f>
        <v>ASHP-SEER16-Replace_CAC_NonElectricHeat_ER2_SF</v>
      </c>
      <c r="G2917" s="3984"/>
      <c r="H2917" s="3984"/>
      <c r="I2917" s="3984"/>
      <c r="J2917" s="3501" t="str">
        <f>$C$1558</f>
        <v>352510_2021_12_</v>
      </c>
      <c r="K2917" s="3425">
        <v>869</v>
      </c>
      <c r="L2917" s="703"/>
      <c r="M2917" s="3020" t="s">
        <v>977</v>
      </c>
      <c r="N2917" s="106"/>
      <c r="O2917" s="106"/>
      <c r="P2917" s="702"/>
      <c r="Q2917" s="702"/>
      <c r="R2917" s="702"/>
      <c r="S2917" s="106"/>
      <c r="T2917" s="486"/>
      <c r="U2917" s="106"/>
      <c r="V2917" s="3980"/>
      <c r="W2917" s="3421"/>
      <c r="X2917" s="3421"/>
      <c r="Y2917" s="3425"/>
      <c r="Z2917" s="3425"/>
      <c r="AA2917" s="3425"/>
      <c r="AB2917" s="3425"/>
      <c r="AC2917" s="2922">
        <v>869</v>
      </c>
      <c r="AD2917" s="3421">
        <v>869</v>
      </c>
      <c r="AE2917" s="3429"/>
      <c r="AF2917" s="3421"/>
      <c r="AG2917" s="3421"/>
      <c r="AH2917" s="156"/>
      <c r="AI2917" s="156"/>
      <c r="AJ2917" s="156"/>
      <c r="AK2917" s="156"/>
      <c r="AL2917" s="156"/>
      <c r="AM2917" s="156"/>
      <c r="AN2917" s="156"/>
      <c r="AO2917" s="156"/>
      <c r="AP2917" s="156"/>
      <c r="AQ2917" s="156"/>
      <c r="AR2917" s="156"/>
      <c r="AS2917" s="156"/>
      <c r="AT2917" s="156"/>
      <c r="AU2917" s="156"/>
      <c r="AV2917" s="156"/>
      <c r="AW2917" s="156"/>
      <c r="AX2917" s="156"/>
      <c r="AY2917" s="156"/>
      <c r="AZ2917" s="156"/>
      <c r="BA2917" s="156"/>
      <c r="BB2917" s="2828"/>
      <c r="BC2917" s="452"/>
      <c r="BD2917" s="2829"/>
      <c r="BE2917" s="2837"/>
      <c r="BF2917" s="156"/>
    </row>
    <row r="2918" spans="1:58" ht="15" customHeight="1" outlineLevel="1" x14ac:dyDescent="0.35">
      <c r="A2918" s="1664"/>
      <c r="B2918" s="2812"/>
      <c r="C2918" s="3077"/>
      <c r="D2918" s="3980"/>
      <c r="E2918" s="3883"/>
      <c r="F2918" s="3984" t="str">
        <f>$E$1560</f>
        <v>ASHP-SEER16_ER1_SF</v>
      </c>
      <c r="G2918" s="3984"/>
      <c r="H2918" s="3984"/>
      <c r="I2918" s="3984"/>
      <c r="J2918" s="3501" t="str">
        <f>$C$1560</f>
        <v>352550_2021_12_</v>
      </c>
      <c r="K2918" s="3425">
        <v>869</v>
      </c>
      <c r="L2918" s="703"/>
      <c r="M2918" s="3020" t="s">
        <v>977</v>
      </c>
      <c r="N2918" s="106"/>
      <c r="O2918" s="106"/>
      <c r="P2918" s="702"/>
      <c r="Q2918" s="702"/>
      <c r="R2918" s="702"/>
      <c r="S2918" s="106"/>
      <c r="T2918" s="486"/>
      <c r="U2918" s="106"/>
      <c r="V2918" s="3980"/>
      <c r="W2918" s="3421">
        <v>869</v>
      </c>
      <c r="X2918" s="3421">
        <v>869</v>
      </c>
      <c r="Y2918" s="3425">
        <v>869</v>
      </c>
      <c r="Z2918" s="3425">
        <v>869</v>
      </c>
      <c r="AA2918" s="3425">
        <v>869</v>
      </c>
      <c r="AB2918" s="3425">
        <v>869</v>
      </c>
      <c r="AC2918" s="2132">
        <v>869</v>
      </c>
      <c r="AD2918" s="3421">
        <v>869</v>
      </c>
      <c r="AE2918" s="3429"/>
      <c r="AF2918" s="3421"/>
      <c r="AG2918" s="3421"/>
      <c r="AH2918" s="156"/>
      <c r="AI2918" s="156"/>
      <c r="AJ2918" s="156"/>
      <c r="AK2918" s="156"/>
      <c r="AL2918" s="156"/>
      <c r="AM2918" s="156"/>
      <c r="AN2918" s="156"/>
      <c r="AO2918" s="156"/>
      <c r="AP2918" s="156"/>
      <c r="AQ2918" s="156"/>
      <c r="AR2918" s="156"/>
      <c r="AS2918" s="156"/>
      <c r="AT2918" s="156"/>
      <c r="AU2918" s="156"/>
      <c r="AV2918" s="156"/>
      <c r="AW2918" s="156"/>
      <c r="AX2918" s="156"/>
      <c r="AY2918" s="156"/>
      <c r="AZ2918" s="156"/>
      <c r="BA2918" s="156"/>
      <c r="BB2918" s="2828"/>
      <c r="BC2918" s="452"/>
      <c r="BD2918" s="2829"/>
      <c r="BE2918" s="2837"/>
      <c r="BF2918" s="156"/>
    </row>
    <row r="2919" spans="1:58" ht="15" customHeight="1" outlineLevel="1" x14ac:dyDescent="0.35">
      <c r="A2919" s="1664"/>
      <c r="B2919" s="2812"/>
      <c r="C2919" s="3077"/>
      <c r="D2919" s="3980"/>
      <c r="E2919" s="3883"/>
      <c r="F2919" s="3984" t="str">
        <f>$E$1562</f>
        <v>ASHP-SEER16_ER2_SF</v>
      </c>
      <c r="G2919" s="3984"/>
      <c r="H2919" s="3984"/>
      <c r="I2919" s="3984"/>
      <c r="J2919" s="3501" t="str">
        <f>$C$1562</f>
        <v>352550_2021_12_</v>
      </c>
      <c r="K2919" s="3425">
        <v>869</v>
      </c>
      <c r="L2919" s="704"/>
      <c r="M2919" s="3020" t="s">
        <v>977</v>
      </c>
      <c r="N2919" s="106"/>
      <c r="O2919" s="106"/>
      <c r="P2919" s="702"/>
      <c r="Q2919" s="702"/>
      <c r="R2919" s="702"/>
      <c r="S2919" s="106"/>
      <c r="T2919" s="486"/>
      <c r="U2919" s="106"/>
      <c r="V2919" s="3980"/>
      <c r="W2919" s="3421">
        <v>869</v>
      </c>
      <c r="X2919" s="3421">
        <v>869</v>
      </c>
      <c r="Y2919" s="3425">
        <v>869</v>
      </c>
      <c r="Z2919" s="3425">
        <v>869</v>
      </c>
      <c r="AA2919" s="3425">
        <v>869</v>
      </c>
      <c r="AB2919" s="3425">
        <v>869</v>
      </c>
      <c r="AC2919" s="2132">
        <v>869</v>
      </c>
      <c r="AD2919" s="3421">
        <v>869</v>
      </c>
      <c r="AE2919" s="3429"/>
      <c r="AF2919" s="3421"/>
      <c r="AG2919" s="3421"/>
      <c r="AH2919" s="156"/>
      <c r="AI2919" s="156"/>
      <c r="AJ2919" s="156"/>
      <c r="AK2919" s="156"/>
      <c r="AL2919" s="156"/>
      <c r="AM2919" s="156"/>
      <c r="AN2919" s="156"/>
      <c r="AO2919" s="156"/>
      <c r="AP2919" s="156"/>
      <c r="AQ2919" s="156"/>
      <c r="AR2919" s="156"/>
      <c r="AS2919" s="156"/>
      <c r="AT2919" s="156"/>
      <c r="AU2919" s="156"/>
      <c r="AV2919" s="156"/>
      <c r="AW2919" s="156"/>
      <c r="AX2919" s="156"/>
      <c r="AY2919" s="156"/>
      <c r="AZ2919" s="156"/>
      <c r="BA2919" s="156"/>
      <c r="BB2919" s="2828"/>
      <c r="BC2919" s="452"/>
      <c r="BD2919" s="2829"/>
      <c r="BE2919" s="2837"/>
      <c r="BF2919" s="156"/>
    </row>
    <row r="2920" spans="1:58" ht="15" customHeight="1" outlineLevel="1" x14ac:dyDescent="0.35">
      <c r="A2920" s="1664"/>
      <c r="B2920" s="2812"/>
      <c r="C2920" s="3077"/>
      <c r="D2920" s="3980"/>
      <c r="E2920" s="3883"/>
      <c r="F2920" s="3984" t="str">
        <f>$E$1564</f>
        <v>ASHP-SEER16-Replace_CAC_ElectricHeat_ROF_SF</v>
      </c>
      <c r="G2920" s="3984"/>
      <c r="H2920" s="3984"/>
      <c r="I2920" s="3984"/>
      <c r="J2920" s="3501" t="str">
        <f>$C$1564</f>
        <v>352600_2021_12_</v>
      </c>
      <c r="K2920" s="3425">
        <v>869</v>
      </c>
      <c r="L2920" s="704"/>
      <c r="M2920" s="3020" t="s">
        <v>977</v>
      </c>
      <c r="N2920" s="106"/>
      <c r="O2920" s="106"/>
      <c r="P2920" s="702"/>
      <c r="Q2920" s="702"/>
      <c r="R2920" s="702"/>
      <c r="S2920" s="106"/>
      <c r="T2920" s="486"/>
      <c r="U2920" s="106"/>
      <c r="V2920" s="3980"/>
      <c r="W2920" s="3421">
        <v>869</v>
      </c>
      <c r="X2920" s="3421">
        <v>869</v>
      </c>
      <c r="Y2920" s="3425">
        <v>869</v>
      </c>
      <c r="Z2920" s="3425">
        <v>869</v>
      </c>
      <c r="AA2920" s="3425">
        <v>869</v>
      </c>
      <c r="AB2920" s="3425">
        <v>869</v>
      </c>
      <c r="AC2920" s="2132">
        <v>869</v>
      </c>
      <c r="AD2920" s="3421">
        <v>869</v>
      </c>
      <c r="AE2920" s="3429"/>
      <c r="AF2920" s="3421"/>
      <c r="AG2920" s="3421"/>
      <c r="AH2920" s="156"/>
      <c r="AI2920" s="156"/>
      <c r="AJ2920" s="156"/>
      <c r="AK2920" s="156"/>
      <c r="AL2920" s="156"/>
      <c r="AM2920" s="156"/>
      <c r="AN2920" s="156"/>
      <c r="AO2920" s="156"/>
      <c r="AP2920" s="156"/>
      <c r="AQ2920" s="156"/>
      <c r="AR2920" s="156"/>
      <c r="AS2920" s="156"/>
      <c r="AT2920" s="156"/>
      <c r="AU2920" s="156"/>
      <c r="AV2920" s="156"/>
      <c r="AW2920" s="156"/>
      <c r="AX2920" s="156"/>
      <c r="AY2920" s="156"/>
      <c r="AZ2920" s="156"/>
      <c r="BA2920" s="156"/>
      <c r="BB2920" s="2828"/>
      <c r="BC2920" s="452"/>
      <c r="BD2920" s="2829"/>
      <c r="BE2920" s="2837"/>
      <c r="BF2920" s="156"/>
    </row>
    <row r="2921" spans="1:58" ht="15" customHeight="1" outlineLevel="1" x14ac:dyDescent="0.35">
      <c r="A2921" s="1664"/>
      <c r="B2921" s="2812"/>
      <c r="C2921" s="3077"/>
      <c r="D2921" s="3980"/>
      <c r="E2921" s="3883"/>
      <c r="F2921" s="4136" t="str">
        <f>$E$1566</f>
        <v>ASHP-SEER16-Replace_CAC_NonElectricHeat_ROF_SF</v>
      </c>
      <c r="G2921" s="4136"/>
      <c r="H2921" s="4136"/>
      <c r="I2921" s="4136"/>
      <c r="J2921" s="3502" t="str">
        <f>$C$1566</f>
        <v>352610_2022_12_</v>
      </c>
      <c r="K2921" s="2377">
        <v>869</v>
      </c>
      <c r="L2921" s="704"/>
      <c r="M2921" s="3525" t="s">
        <v>977</v>
      </c>
      <c r="N2921" s="3391"/>
      <c r="O2921" s="3391"/>
      <c r="P2921" s="702"/>
      <c r="Q2921" s="702"/>
      <c r="R2921" s="702"/>
      <c r="S2921" s="3391"/>
      <c r="T2921" s="3389"/>
      <c r="U2921" s="3391"/>
      <c r="V2921" s="3980"/>
      <c r="W2921" s="3421"/>
      <c r="X2921" s="3421"/>
      <c r="Y2921" s="3425"/>
      <c r="Z2921" s="3425"/>
      <c r="AA2921" s="3425"/>
      <c r="AB2921" s="3425"/>
      <c r="AC2921" s="2132"/>
      <c r="AD2921" s="2374">
        <v>869</v>
      </c>
      <c r="AE2921" s="3429"/>
      <c r="AF2921" s="3421"/>
      <c r="AG2921" s="3421"/>
      <c r="AH2921" s="156"/>
      <c r="AI2921" s="156"/>
      <c r="AJ2921" s="156"/>
      <c r="AK2921" s="156"/>
      <c r="AL2921" s="156"/>
      <c r="AM2921" s="156"/>
      <c r="AN2921" s="156"/>
      <c r="AO2921" s="156"/>
      <c r="AP2921" s="156"/>
      <c r="AQ2921" s="156"/>
      <c r="AR2921" s="156"/>
      <c r="AS2921" s="156"/>
      <c r="AT2921" s="156"/>
      <c r="AU2921" s="156"/>
      <c r="AV2921" s="156"/>
      <c r="AW2921" s="156"/>
      <c r="AX2921" s="156"/>
      <c r="AY2921" s="156"/>
      <c r="AZ2921" s="156"/>
      <c r="BA2921" s="156"/>
      <c r="BB2921" s="2828"/>
      <c r="BC2921" s="452"/>
      <c r="BD2921" s="2829"/>
      <c r="BE2921" s="2837"/>
      <c r="BF2921" s="156"/>
    </row>
    <row r="2922" spans="1:58" ht="15" customHeight="1" outlineLevel="1" x14ac:dyDescent="0.35">
      <c r="A2922" s="1664"/>
      <c r="B2922" s="2812"/>
      <c r="C2922" s="3077"/>
      <c r="D2922" s="3980"/>
      <c r="E2922" s="3883"/>
      <c r="F2922" s="3984" t="str">
        <f>$E$1568</f>
        <v>ASHP-SEER16_ROF_SF</v>
      </c>
      <c r="G2922" s="3984"/>
      <c r="H2922" s="3984"/>
      <c r="I2922" s="3984"/>
      <c r="J2922" s="3501" t="str">
        <f>$C$1568</f>
        <v>352650_2021_12_</v>
      </c>
      <c r="K2922" s="3425">
        <v>869</v>
      </c>
      <c r="L2922" s="704"/>
      <c r="M2922" s="3020" t="s">
        <v>977</v>
      </c>
      <c r="N2922" s="106"/>
      <c r="O2922" s="106"/>
      <c r="P2922" s="702"/>
      <c r="Q2922" s="702"/>
      <c r="R2922" s="702"/>
      <c r="S2922" s="106"/>
      <c r="T2922" s="486"/>
      <c r="U2922" s="106"/>
      <c r="V2922" s="3980"/>
      <c r="W2922" s="3421">
        <v>869</v>
      </c>
      <c r="X2922" s="3421">
        <v>869</v>
      </c>
      <c r="Y2922" s="3425">
        <v>869</v>
      </c>
      <c r="Z2922" s="3425">
        <v>869</v>
      </c>
      <c r="AA2922" s="3425">
        <v>869</v>
      </c>
      <c r="AB2922" s="3425">
        <v>869</v>
      </c>
      <c r="AC2922" s="2132">
        <v>869</v>
      </c>
      <c r="AD2922" s="3421">
        <v>869</v>
      </c>
      <c r="AE2922" s="3429"/>
      <c r="AF2922" s="3421"/>
      <c r="AG2922" s="3421"/>
      <c r="AH2922" s="156"/>
      <c r="AI2922" s="156"/>
      <c r="AJ2922" s="156"/>
      <c r="AK2922" s="156"/>
      <c r="AL2922" s="156"/>
      <c r="AM2922" s="156"/>
      <c r="AN2922" s="156"/>
      <c r="AO2922" s="156"/>
      <c r="AP2922" s="156"/>
      <c r="AQ2922" s="156"/>
      <c r="AR2922" s="156"/>
      <c r="AS2922" s="156"/>
      <c r="AT2922" s="156"/>
      <c r="AU2922" s="156"/>
      <c r="AV2922" s="156"/>
      <c r="AW2922" s="156"/>
      <c r="AX2922" s="156"/>
      <c r="AY2922" s="156"/>
      <c r="AZ2922" s="156"/>
      <c r="BA2922" s="156"/>
      <c r="BB2922" s="2828"/>
      <c r="BC2922" s="452"/>
      <c r="BD2922" s="2829"/>
      <c r="BE2922" s="2837"/>
      <c r="BF2922" s="156"/>
    </row>
    <row r="2923" spans="1:58" ht="15" customHeight="1" outlineLevel="1" x14ac:dyDescent="0.35">
      <c r="A2923" s="1664"/>
      <c r="B2923" s="2812"/>
      <c r="C2923" s="3077"/>
      <c r="D2923" s="3980"/>
      <c r="E2923" s="3883"/>
      <c r="F2923" s="3984" t="str">
        <f>$E$1570</f>
        <v>ASHP-SEER15_ER1_MF</v>
      </c>
      <c r="G2923" s="3984"/>
      <c r="H2923" s="3984"/>
      <c r="I2923" s="3984"/>
      <c r="J2923" s="3501" t="str">
        <f>$C$1570</f>
        <v>352700_2021_12_</v>
      </c>
      <c r="K2923" s="3425">
        <v>869</v>
      </c>
      <c r="L2923" s="704"/>
      <c r="M2923" s="3020" t="s">
        <v>977</v>
      </c>
      <c r="N2923" s="106"/>
      <c r="O2923" s="106"/>
      <c r="P2923" s="702"/>
      <c r="Q2923" s="702"/>
      <c r="R2923" s="702"/>
      <c r="S2923" s="106"/>
      <c r="T2923" s="486"/>
      <c r="U2923" s="106"/>
      <c r="V2923" s="3980"/>
      <c r="W2923" s="3421">
        <v>869</v>
      </c>
      <c r="X2923" s="3421">
        <v>869</v>
      </c>
      <c r="Y2923" s="3425">
        <v>869</v>
      </c>
      <c r="Z2923" s="3425">
        <v>869</v>
      </c>
      <c r="AA2923" s="3425">
        <v>869</v>
      </c>
      <c r="AB2923" s="3425">
        <v>869</v>
      </c>
      <c r="AC2923" s="2132">
        <v>869</v>
      </c>
      <c r="AD2923" s="3421">
        <v>869</v>
      </c>
      <c r="AE2923" s="3429"/>
      <c r="AF2923" s="3421"/>
      <c r="AG2923" s="3421"/>
      <c r="AH2923" s="156"/>
      <c r="AI2923" s="156"/>
      <c r="AJ2923" s="156"/>
      <c r="AK2923" s="156"/>
      <c r="AL2923" s="156"/>
      <c r="AM2923" s="156"/>
      <c r="AN2923" s="156"/>
      <c r="AO2923" s="156"/>
      <c r="AP2923" s="156"/>
      <c r="AQ2923" s="156"/>
      <c r="AR2923" s="156"/>
      <c r="AS2923" s="156"/>
      <c r="AT2923" s="156"/>
      <c r="AU2923" s="156"/>
      <c r="AV2923" s="156"/>
      <c r="AW2923" s="156"/>
      <c r="AX2923" s="156"/>
      <c r="AY2923" s="156"/>
      <c r="AZ2923" s="156"/>
      <c r="BA2923" s="156"/>
      <c r="BB2923" s="2828"/>
      <c r="BC2923" s="452"/>
      <c r="BD2923" s="2829"/>
      <c r="BE2923" s="2837"/>
      <c r="BF2923" s="156"/>
    </row>
    <row r="2924" spans="1:58" ht="15" customHeight="1" outlineLevel="1" x14ac:dyDescent="0.35">
      <c r="A2924" s="1664"/>
      <c r="B2924" s="2812"/>
      <c r="C2924" s="3077"/>
      <c r="D2924" s="3980"/>
      <c r="E2924" s="3883"/>
      <c r="F2924" s="3984" t="str">
        <f>$E$1572</f>
        <v>ASHP-SEER15_ER2_MF</v>
      </c>
      <c r="G2924" s="3984"/>
      <c r="H2924" s="3984"/>
      <c r="I2924" s="3984"/>
      <c r="J2924" s="3501" t="str">
        <f>$C$1572</f>
        <v>352700_2021_12_</v>
      </c>
      <c r="K2924" s="3425">
        <v>869</v>
      </c>
      <c r="L2924" s="704"/>
      <c r="M2924" s="3020" t="s">
        <v>977</v>
      </c>
      <c r="N2924" s="106"/>
      <c r="O2924" s="106"/>
      <c r="P2924" s="702"/>
      <c r="Q2924" s="702"/>
      <c r="R2924" s="702"/>
      <c r="S2924" s="106"/>
      <c r="T2924" s="486"/>
      <c r="U2924" s="106"/>
      <c r="V2924" s="3980"/>
      <c r="W2924" s="3421">
        <v>869</v>
      </c>
      <c r="X2924" s="3421">
        <v>869</v>
      </c>
      <c r="Y2924" s="3425">
        <v>869</v>
      </c>
      <c r="Z2924" s="3425">
        <v>869</v>
      </c>
      <c r="AA2924" s="3425">
        <v>869</v>
      </c>
      <c r="AB2924" s="3425">
        <v>869</v>
      </c>
      <c r="AC2924" s="2132">
        <v>869</v>
      </c>
      <c r="AD2924" s="3421">
        <v>869</v>
      </c>
      <c r="AE2924" s="3429"/>
      <c r="AF2924" s="3421"/>
      <c r="AG2924" s="3421"/>
      <c r="AH2924" s="156"/>
      <c r="AI2924" s="156"/>
      <c r="AJ2924" s="156"/>
      <c r="AK2924" s="156"/>
      <c r="AL2924" s="156"/>
      <c r="AM2924" s="156"/>
      <c r="AN2924" s="156"/>
      <c r="AO2924" s="156"/>
      <c r="AP2924" s="156"/>
      <c r="AQ2924" s="156"/>
      <c r="AR2924" s="156"/>
      <c r="AS2924" s="156"/>
      <c r="AT2924" s="156"/>
      <c r="AU2924" s="156"/>
      <c r="AV2924" s="156"/>
      <c r="AW2924" s="156"/>
      <c r="AX2924" s="156"/>
      <c r="AY2924" s="156"/>
      <c r="AZ2924" s="156"/>
      <c r="BA2924" s="156"/>
      <c r="BB2924" s="2828"/>
      <c r="BC2924" s="452"/>
      <c r="BD2924" s="2829"/>
      <c r="BE2924" s="2837"/>
      <c r="BF2924" s="156"/>
    </row>
    <row r="2925" spans="1:58" ht="15" customHeight="1" outlineLevel="1" x14ac:dyDescent="0.35">
      <c r="A2925" s="1664"/>
      <c r="B2925" s="2812"/>
      <c r="C2925" s="3077"/>
      <c r="D2925" s="3980"/>
      <c r="E2925" s="3883"/>
      <c r="F2925" s="3984" t="str">
        <f>$E$1574</f>
        <v>ASHP-SEER15_ER1_MF_CompE</v>
      </c>
      <c r="G2925" s="3984"/>
      <c r="H2925" s="3984"/>
      <c r="I2925" s="3984"/>
      <c r="J2925" s="3501" t="str">
        <f>$C$1574</f>
        <v>352701_2021_12_</v>
      </c>
      <c r="K2925" s="3425">
        <v>632</v>
      </c>
      <c r="L2925" s="704"/>
      <c r="M2925" s="3044" t="s">
        <v>513</v>
      </c>
      <c r="N2925" s="106"/>
      <c r="O2925" s="106"/>
      <c r="P2925" s="702"/>
      <c r="Q2925" s="702"/>
      <c r="R2925" s="702"/>
      <c r="S2925" s="106"/>
      <c r="T2925" s="486"/>
      <c r="U2925" s="106"/>
      <c r="V2925" s="3980"/>
      <c r="W2925" s="3421"/>
      <c r="X2925" s="3421"/>
      <c r="Y2925" s="2377">
        <v>632</v>
      </c>
      <c r="Z2925" s="3425">
        <v>632</v>
      </c>
      <c r="AA2925" s="3425">
        <v>632</v>
      </c>
      <c r="AB2925" s="3425">
        <v>632</v>
      </c>
      <c r="AC2925" s="2132">
        <v>632</v>
      </c>
      <c r="AD2925" s="3421">
        <v>632</v>
      </c>
      <c r="AE2925" s="3429"/>
      <c r="AF2925" s="3421"/>
      <c r="AG2925" s="3421"/>
      <c r="AH2925" s="156"/>
      <c r="AI2925" s="156"/>
      <c r="AJ2925" s="156"/>
      <c r="AK2925" s="156"/>
      <c r="AL2925" s="156"/>
      <c r="AM2925" s="156"/>
      <c r="AN2925" s="156"/>
      <c r="AO2925" s="156"/>
      <c r="AP2925" s="156"/>
      <c r="AQ2925" s="156"/>
      <c r="AR2925" s="156"/>
      <c r="AS2925" s="156"/>
      <c r="AT2925" s="156"/>
      <c r="AU2925" s="156"/>
      <c r="AV2925" s="156"/>
      <c r="AW2925" s="156"/>
      <c r="AX2925" s="156"/>
      <c r="AY2925" s="156"/>
      <c r="AZ2925" s="156"/>
      <c r="BA2925" s="156"/>
      <c r="BB2925" s="2828"/>
      <c r="BC2925" s="452"/>
      <c r="BD2925" s="2829"/>
      <c r="BE2925" s="2837"/>
      <c r="BF2925" s="156"/>
    </row>
    <row r="2926" spans="1:58" ht="15" customHeight="1" outlineLevel="1" x14ac:dyDescent="0.35">
      <c r="A2926" s="1664"/>
      <c r="B2926" s="2812"/>
      <c r="C2926" s="3077"/>
      <c r="D2926" s="3980"/>
      <c r="E2926" s="3883"/>
      <c r="F2926" s="3984" t="str">
        <f>$E$1576</f>
        <v>ASHP-SEER15_ER2_MF_CompE</v>
      </c>
      <c r="G2926" s="3984"/>
      <c r="H2926" s="3984"/>
      <c r="I2926" s="3984"/>
      <c r="J2926" s="3501" t="str">
        <f>$C$1576</f>
        <v>352701_2021_12_</v>
      </c>
      <c r="K2926" s="3425">
        <f>$K$2925</f>
        <v>632</v>
      </c>
      <c r="L2926" s="704"/>
      <c r="M2926" s="3044" t="s">
        <v>513</v>
      </c>
      <c r="N2926" s="106"/>
      <c r="O2926" s="106"/>
      <c r="P2926" s="702"/>
      <c r="Q2926" s="702"/>
      <c r="R2926" s="702"/>
      <c r="S2926" s="106"/>
      <c r="T2926" s="486"/>
      <c r="U2926" s="106"/>
      <c r="V2926" s="3980"/>
      <c r="W2926" s="3421"/>
      <c r="X2926" s="3421"/>
      <c r="Y2926" s="2377">
        <f>$K$2925</f>
        <v>632</v>
      </c>
      <c r="Z2926" s="3425">
        <f t="shared" ref="Z2926:AA2926" si="372">$K$2925</f>
        <v>632</v>
      </c>
      <c r="AA2926" s="3425">
        <f t="shared" si="372"/>
        <v>632</v>
      </c>
      <c r="AB2926" s="3425">
        <v>632</v>
      </c>
      <c r="AC2926" s="2132">
        <f>$K$2925</f>
        <v>632</v>
      </c>
      <c r="AD2926" s="3421">
        <v>632</v>
      </c>
      <c r="AE2926" s="3429"/>
      <c r="AF2926" s="3421"/>
      <c r="AG2926" s="3421"/>
      <c r="AH2926" s="156"/>
      <c r="AI2926" s="156"/>
      <c r="AJ2926" s="156"/>
      <c r="AK2926" s="156"/>
      <c r="AL2926" s="156"/>
      <c r="AM2926" s="156"/>
      <c r="AN2926" s="156"/>
      <c r="AO2926" s="156"/>
      <c r="AP2926" s="156"/>
      <c r="AQ2926" s="156"/>
      <c r="AR2926" s="156"/>
      <c r="AS2926" s="156"/>
      <c r="AT2926" s="156"/>
      <c r="AU2926" s="156"/>
      <c r="AV2926" s="156"/>
      <c r="AW2926" s="156"/>
      <c r="AX2926" s="156"/>
      <c r="AY2926" s="156"/>
      <c r="AZ2926" s="156"/>
      <c r="BA2926" s="156"/>
      <c r="BB2926" s="2828"/>
      <c r="BC2926" s="452"/>
      <c r="BD2926" s="2829"/>
      <c r="BE2926" s="2837"/>
      <c r="BF2926" s="156"/>
    </row>
    <row r="2927" spans="1:58" ht="15" customHeight="1" outlineLevel="1" x14ac:dyDescent="0.35">
      <c r="A2927" s="1664"/>
      <c r="B2927" s="2812"/>
      <c r="C2927" s="3077"/>
      <c r="D2927" s="3980"/>
      <c r="E2927" s="3883"/>
      <c r="F2927" s="3984" t="str">
        <f>$E$1578</f>
        <v>ASHP-SEER15-Replace_CAC_ElectricHeat_ER1_MF</v>
      </c>
      <c r="G2927" s="3984"/>
      <c r="H2927" s="3984"/>
      <c r="I2927" s="3984"/>
      <c r="J2927" s="3501" t="str">
        <f>$C$1578</f>
        <v>352750_2021_12_</v>
      </c>
      <c r="K2927" s="3425">
        <v>869</v>
      </c>
      <c r="L2927" s="704"/>
      <c r="M2927" s="3020" t="s">
        <v>977</v>
      </c>
      <c r="N2927" s="106"/>
      <c r="O2927" s="106"/>
      <c r="P2927" s="702"/>
      <c r="Q2927" s="702"/>
      <c r="R2927" s="702"/>
      <c r="S2927" s="106"/>
      <c r="T2927" s="486"/>
      <c r="U2927" s="106"/>
      <c r="V2927" s="3980"/>
      <c r="W2927" s="3421">
        <v>869</v>
      </c>
      <c r="X2927" s="3421">
        <v>869</v>
      </c>
      <c r="Y2927" s="3425">
        <v>869</v>
      </c>
      <c r="Z2927" s="3425">
        <v>869</v>
      </c>
      <c r="AA2927" s="3425">
        <v>869</v>
      </c>
      <c r="AB2927" s="3425">
        <v>869</v>
      </c>
      <c r="AC2927" s="2132">
        <v>869</v>
      </c>
      <c r="AD2927" s="3421">
        <v>869</v>
      </c>
      <c r="AE2927" s="3429"/>
      <c r="AF2927" s="3421"/>
      <c r="AG2927" s="3421"/>
      <c r="AH2927" s="156"/>
      <c r="AI2927" s="156"/>
      <c r="AJ2927" s="156"/>
      <c r="AK2927" s="156"/>
      <c r="AL2927" s="156"/>
      <c r="AM2927" s="156"/>
      <c r="AN2927" s="156"/>
      <c r="AO2927" s="156"/>
      <c r="AP2927" s="156"/>
      <c r="AQ2927" s="156"/>
      <c r="AR2927" s="156"/>
      <c r="AS2927" s="156"/>
      <c r="AT2927" s="156"/>
      <c r="AU2927" s="156"/>
      <c r="AV2927" s="156"/>
      <c r="AW2927" s="156"/>
      <c r="AX2927" s="156"/>
      <c r="AY2927" s="156"/>
      <c r="AZ2927" s="156"/>
      <c r="BA2927" s="156"/>
      <c r="BB2927" s="2828"/>
      <c r="BC2927" s="452"/>
      <c r="BD2927" s="2829"/>
      <c r="BE2927" s="2837"/>
      <c r="BF2927" s="156"/>
    </row>
    <row r="2928" spans="1:58" ht="15" customHeight="1" outlineLevel="1" x14ac:dyDescent="0.35">
      <c r="A2928" s="1664"/>
      <c r="B2928" s="2812"/>
      <c r="C2928" s="3077"/>
      <c r="D2928" s="3980"/>
      <c r="E2928" s="3883"/>
      <c r="F2928" s="3984" t="str">
        <f>$E$1580</f>
        <v>ASHP-SEER15-Replace_CAC_ElectricHeat_ER2_MF</v>
      </c>
      <c r="G2928" s="3984"/>
      <c r="H2928" s="3984"/>
      <c r="I2928" s="3984"/>
      <c r="J2928" s="3501" t="str">
        <f>$C$1580</f>
        <v>352750_2021_12_</v>
      </c>
      <c r="K2928" s="3425">
        <v>869</v>
      </c>
      <c r="L2928" s="704"/>
      <c r="M2928" s="3020" t="s">
        <v>977</v>
      </c>
      <c r="N2928" s="106"/>
      <c r="O2928" s="106"/>
      <c r="P2928" s="702"/>
      <c r="Q2928" s="702"/>
      <c r="R2928" s="702"/>
      <c r="S2928" s="106"/>
      <c r="T2928" s="486"/>
      <c r="U2928" s="106"/>
      <c r="V2928" s="3980"/>
      <c r="W2928" s="3421">
        <v>869</v>
      </c>
      <c r="X2928" s="3421">
        <v>869</v>
      </c>
      <c r="Y2928" s="3425">
        <v>869</v>
      </c>
      <c r="Z2928" s="3425">
        <v>869</v>
      </c>
      <c r="AA2928" s="3425">
        <v>869</v>
      </c>
      <c r="AB2928" s="3425">
        <v>869</v>
      </c>
      <c r="AC2928" s="2132">
        <v>869</v>
      </c>
      <c r="AD2928" s="3421">
        <v>869</v>
      </c>
      <c r="AE2928" s="3429"/>
      <c r="AF2928" s="3421"/>
      <c r="AG2928" s="3421"/>
      <c r="AH2928" s="156"/>
      <c r="AI2928" s="156"/>
      <c r="AJ2928" s="156"/>
      <c r="AK2928" s="156"/>
      <c r="AL2928" s="156"/>
      <c r="AM2928" s="156"/>
      <c r="AN2928" s="156"/>
      <c r="AO2928" s="156"/>
      <c r="AP2928" s="156"/>
      <c r="AQ2928" s="156"/>
      <c r="AR2928" s="156"/>
      <c r="AS2928" s="156"/>
      <c r="AT2928" s="156"/>
      <c r="AU2928" s="156"/>
      <c r="AV2928" s="156"/>
      <c r="AW2928" s="156"/>
      <c r="AX2928" s="156"/>
      <c r="AY2928" s="156"/>
      <c r="AZ2928" s="156"/>
      <c r="BA2928" s="156"/>
      <c r="BB2928" s="2828"/>
      <c r="BC2928" s="452"/>
      <c r="BD2928" s="2829"/>
      <c r="BE2928" s="2837"/>
      <c r="BF2928" s="156"/>
    </row>
    <row r="2929" spans="1:58" ht="15" customHeight="1" outlineLevel="1" x14ac:dyDescent="0.35">
      <c r="A2929" s="1664"/>
      <c r="B2929" s="2812"/>
      <c r="C2929" s="3077"/>
      <c r="D2929" s="3980"/>
      <c r="E2929" s="3883"/>
      <c r="F2929" s="3984" t="str">
        <f>$E$1582</f>
        <v>ASHP-SEER15-Replace_CAC_ElectricHeat_ER1_MF_CompE</v>
      </c>
      <c r="G2929" s="3984"/>
      <c r="H2929" s="3984"/>
      <c r="I2929" s="3984"/>
      <c r="J2929" s="3501" t="str">
        <f>$C$1582</f>
        <v>352751_2021_12_</v>
      </c>
      <c r="K2929" s="3425">
        <f>$K$2925</f>
        <v>632</v>
      </c>
      <c r="L2929" s="704"/>
      <c r="M2929" s="3044" t="s">
        <v>513</v>
      </c>
      <c r="N2929" s="106"/>
      <c r="O2929" s="106"/>
      <c r="P2929" s="702"/>
      <c r="Q2929" s="702"/>
      <c r="R2929" s="702"/>
      <c r="S2929" s="106"/>
      <c r="T2929" s="486"/>
      <c r="U2929" s="106"/>
      <c r="V2929" s="3980"/>
      <c r="W2929" s="3421"/>
      <c r="X2929" s="3421"/>
      <c r="Y2929" s="2377">
        <f>$K$2925</f>
        <v>632</v>
      </c>
      <c r="Z2929" s="3425">
        <f t="shared" ref="Z2929:AA2930" si="373">$K$2925</f>
        <v>632</v>
      </c>
      <c r="AA2929" s="3425">
        <f t="shared" si="373"/>
        <v>632</v>
      </c>
      <c r="AB2929" s="3425">
        <v>632</v>
      </c>
      <c r="AC2929" s="2132">
        <f>$K$2925</f>
        <v>632</v>
      </c>
      <c r="AD2929" s="3421">
        <v>632</v>
      </c>
      <c r="AE2929" s="3429"/>
      <c r="AF2929" s="3421"/>
      <c r="AG2929" s="3421"/>
      <c r="AH2929" s="156"/>
      <c r="AI2929" s="156"/>
      <c r="AJ2929" s="156"/>
      <c r="AK2929" s="156"/>
      <c r="AL2929" s="156"/>
      <c r="AM2929" s="156"/>
      <c r="AN2929" s="156"/>
      <c r="AO2929" s="156"/>
      <c r="AP2929" s="156"/>
      <c r="AQ2929" s="156"/>
      <c r="AR2929" s="156"/>
      <c r="AS2929" s="156"/>
      <c r="AT2929" s="156"/>
      <c r="AU2929" s="156"/>
      <c r="AV2929" s="156"/>
      <c r="AW2929" s="156"/>
      <c r="AX2929" s="156"/>
      <c r="AY2929" s="156"/>
      <c r="AZ2929" s="156"/>
      <c r="BA2929" s="156"/>
      <c r="BB2929" s="2828"/>
      <c r="BC2929" s="452"/>
      <c r="BD2929" s="2829"/>
      <c r="BE2929" s="2837"/>
      <c r="BF2929" s="156"/>
    </row>
    <row r="2930" spans="1:58" ht="15" customHeight="1" outlineLevel="1" x14ac:dyDescent="0.35">
      <c r="A2930" s="1664"/>
      <c r="B2930" s="2812"/>
      <c r="C2930" s="3077"/>
      <c r="D2930" s="3980"/>
      <c r="E2930" s="3883"/>
      <c r="F2930" s="3984" t="str">
        <f>$E$1584</f>
        <v>ASHP-SEER15-Replace_CAC_ElectricHeat_ER2_MF_CompE</v>
      </c>
      <c r="G2930" s="3984"/>
      <c r="H2930" s="3984"/>
      <c r="I2930" s="3984"/>
      <c r="J2930" s="3501" t="str">
        <f>$C$1584</f>
        <v>352751_2021_12_</v>
      </c>
      <c r="K2930" s="3425">
        <f>$K$2925</f>
        <v>632</v>
      </c>
      <c r="L2930" s="704"/>
      <c r="M2930" s="3044" t="s">
        <v>513</v>
      </c>
      <c r="N2930" s="106"/>
      <c r="O2930" s="106"/>
      <c r="P2930" s="702"/>
      <c r="Q2930" s="702"/>
      <c r="R2930" s="702"/>
      <c r="S2930" s="106"/>
      <c r="T2930" s="486"/>
      <c r="U2930" s="106"/>
      <c r="V2930" s="3980"/>
      <c r="W2930" s="3421"/>
      <c r="X2930" s="3421"/>
      <c r="Y2930" s="2377">
        <f>$K$2925</f>
        <v>632</v>
      </c>
      <c r="Z2930" s="3425">
        <f t="shared" si="373"/>
        <v>632</v>
      </c>
      <c r="AA2930" s="3425">
        <f t="shared" si="373"/>
        <v>632</v>
      </c>
      <c r="AB2930" s="3425">
        <v>632</v>
      </c>
      <c r="AC2930" s="2132">
        <f>$K$2925</f>
        <v>632</v>
      </c>
      <c r="AD2930" s="3421">
        <v>632</v>
      </c>
      <c r="AE2930" s="3429"/>
      <c r="AF2930" s="3421"/>
      <c r="AG2930" s="3421"/>
      <c r="AH2930" s="156"/>
      <c r="AI2930" s="156"/>
      <c r="AJ2930" s="156"/>
      <c r="AK2930" s="156"/>
      <c r="AL2930" s="156"/>
      <c r="AM2930" s="156"/>
      <c r="AN2930" s="156"/>
      <c r="AO2930" s="156"/>
      <c r="AP2930" s="156"/>
      <c r="AQ2930" s="156"/>
      <c r="AR2930" s="156"/>
      <c r="AS2930" s="156"/>
      <c r="AT2930" s="156"/>
      <c r="AU2930" s="156"/>
      <c r="AV2930" s="156"/>
      <c r="AW2930" s="156"/>
      <c r="AX2930" s="156"/>
      <c r="AY2930" s="156"/>
      <c r="AZ2930" s="156"/>
      <c r="BA2930" s="156"/>
      <c r="BB2930" s="2828"/>
      <c r="BC2930" s="452"/>
      <c r="BD2930" s="2829"/>
      <c r="BE2930" s="2837"/>
      <c r="BF2930" s="156"/>
    </row>
    <row r="2931" spans="1:58" ht="15" customHeight="1" outlineLevel="1" x14ac:dyDescent="0.35">
      <c r="A2931" s="1664"/>
      <c r="B2931" s="2812"/>
      <c r="C2931" s="3077"/>
      <c r="D2931" s="3980"/>
      <c r="E2931" s="3883"/>
      <c r="F2931" s="3984" t="str">
        <f>$E$1586</f>
        <v>ASHP-SEER15-Replace_CAC_NonElectricHeat_ER1_MF</v>
      </c>
      <c r="G2931" s="3984"/>
      <c r="H2931" s="3984"/>
      <c r="I2931" s="3984"/>
      <c r="J2931" s="3501" t="str">
        <f>$C$1586</f>
        <v>352760_2021_12_</v>
      </c>
      <c r="K2931" s="3425">
        <v>869</v>
      </c>
      <c r="L2931" s="704"/>
      <c r="M2931" s="3020" t="s">
        <v>977</v>
      </c>
      <c r="N2931" s="106"/>
      <c r="O2931" s="106"/>
      <c r="P2931" s="702"/>
      <c r="Q2931" s="702"/>
      <c r="R2931" s="702"/>
      <c r="S2931" s="106"/>
      <c r="T2931" s="486"/>
      <c r="U2931" s="106"/>
      <c r="V2931" s="3980"/>
      <c r="W2931" s="3421"/>
      <c r="X2931" s="3421"/>
      <c r="Y2931" s="2377"/>
      <c r="Z2931" s="3425"/>
      <c r="AA2931" s="3425"/>
      <c r="AB2931" s="3425"/>
      <c r="AC2931" s="2922">
        <v>869</v>
      </c>
      <c r="AD2931" s="3421">
        <v>869</v>
      </c>
      <c r="AE2931" s="3429"/>
      <c r="AF2931" s="3421"/>
      <c r="AG2931" s="3421"/>
      <c r="AH2931" s="156"/>
      <c r="AI2931" s="156"/>
      <c r="AJ2931" s="156"/>
      <c r="AK2931" s="156"/>
      <c r="AL2931" s="156"/>
      <c r="AM2931" s="156"/>
      <c r="AN2931" s="156"/>
      <c r="AO2931" s="156"/>
      <c r="AP2931" s="156"/>
      <c r="AQ2931" s="156"/>
      <c r="AR2931" s="156"/>
      <c r="AS2931" s="156"/>
      <c r="AT2931" s="156"/>
      <c r="AU2931" s="156"/>
      <c r="AV2931" s="156"/>
      <c r="AW2931" s="156"/>
      <c r="AX2931" s="156"/>
      <c r="AY2931" s="156"/>
      <c r="AZ2931" s="156"/>
      <c r="BA2931" s="156"/>
      <c r="BB2931" s="2828"/>
      <c r="BC2931" s="452"/>
      <c r="BD2931" s="2829"/>
      <c r="BE2931" s="2837"/>
      <c r="BF2931" s="156"/>
    </row>
    <row r="2932" spans="1:58" ht="15" customHeight="1" outlineLevel="1" x14ac:dyDescent="0.35">
      <c r="A2932" s="1664"/>
      <c r="B2932" s="2812"/>
      <c r="C2932" s="3077"/>
      <c r="D2932" s="3980"/>
      <c r="E2932" s="3883"/>
      <c r="F2932" s="3984" t="str">
        <f>$E$1588</f>
        <v>ASHP-SEER15-Replace_CAC_NonElectricHeat_ER2_MF</v>
      </c>
      <c r="G2932" s="3984"/>
      <c r="H2932" s="3984"/>
      <c r="I2932" s="3984"/>
      <c r="J2932" s="3501" t="str">
        <f>$C$1588</f>
        <v>352760_2021_12_</v>
      </c>
      <c r="K2932" s="3425">
        <v>869</v>
      </c>
      <c r="L2932" s="704"/>
      <c r="M2932" s="3020" t="s">
        <v>977</v>
      </c>
      <c r="N2932" s="106"/>
      <c r="O2932" s="106"/>
      <c r="P2932" s="702"/>
      <c r="Q2932" s="702"/>
      <c r="R2932" s="702"/>
      <c r="S2932" s="106"/>
      <c r="T2932" s="486"/>
      <c r="U2932" s="106"/>
      <c r="V2932" s="3980"/>
      <c r="W2932" s="3421"/>
      <c r="X2932" s="3421"/>
      <c r="Y2932" s="2377"/>
      <c r="Z2932" s="3425"/>
      <c r="AA2932" s="3425"/>
      <c r="AB2932" s="3425"/>
      <c r="AC2932" s="2922">
        <v>869</v>
      </c>
      <c r="AD2932" s="3421">
        <v>869</v>
      </c>
      <c r="AE2932" s="3429"/>
      <c r="AF2932" s="3421"/>
      <c r="AG2932" s="3421"/>
      <c r="AH2932" s="156"/>
      <c r="AI2932" s="156"/>
      <c r="AJ2932" s="156"/>
      <c r="AK2932" s="156"/>
      <c r="AL2932" s="156"/>
      <c r="AM2932" s="156"/>
      <c r="AN2932" s="156"/>
      <c r="AO2932" s="156"/>
      <c r="AP2932" s="156"/>
      <c r="AQ2932" s="156"/>
      <c r="AR2932" s="156"/>
      <c r="AS2932" s="156"/>
      <c r="AT2932" s="156"/>
      <c r="AU2932" s="156"/>
      <c r="AV2932" s="156"/>
      <c r="AW2932" s="156"/>
      <c r="AX2932" s="156"/>
      <c r="AY2932" s="156"/>
      <c r="AZ2932" s="156"/>
      <c r="BA2932" s="156"/>
      <c r="BB2932" s="2828"/>
      <c r="BC2932" s="452"/>
      <c r="BD2932" s="2829"/>
      <c r="BE2932" s="2837"/>
      <c r="BF2932" s="156"/>
    </row>
    <row r="2933" spans="1:58" ht="15" customHeight="1" outlineLevel="1" x14ac:dyDescent="0.35">
      <c r="A2933" s="1664"/>
      <c r="B2933" s="2812"/>
      <c r="C2933" s="3077"/>
      <c r="D2933" s="3980"/>
      <c r="E2933" s="3883"/>
      <c r="F2933" s="3984" t="str">
        <f>$E$1590</f>
        <v>ASHP-SEER15-Replace_CAC_NonElectricHeat_ER1_MF_CompE</v>
      </c>
      <c r="G2933" s="3984"/>
      <c r="H2933" s="3984"/>
      <c r="I2933" s="3984"/>
      <c r="J2933" s="3501" t="str">
        <f>$C$1590</f>
        <v>352761_2021_12_</v>
      </c>
      <c r="K2933" s="3425">
        <f>$K$2925</f>
        <v>632</v>
      </c>
      <c r="L2933" s="704"/>
      <c r="M2933" s="3044" t="s">
        <v>513</v>
      </c>
      <c r="N2933" s="106"/>
      <c r="O2933" s="106"/>
      <c r="P2933" s="702"/>
      <c r="Q2933" s="702"/>
      <c r="R2933" s="702"/>
      <c r="S2933" s="106"/>
      <c r="T2933" s="486"/>
      <c r="U2933" s="106"/>
      <c r="V2933" s="3980"/>
      <c r="W2933" s="3421"/>
      <c r="X2933" s="3421"/>
      <c r="Y2933" s="2377"/>
      <c r="Z2933" s="3425"/>
      <c r="AA2933" s="3425"/>
      <c r="AB2933" s="3425"/>
      <c r="AC2933" s="2922">
        <f>$K$2925</f>
        <v>632</v>
      </c>
      <c r="AD2933" s="3421">
        <v>632</v>
      </c>
      <c r="AE2933" s="3429"/>
      <c r="AF2933" s="3421"/>
      <c r="AG2933" s="3421"/>
      <c r="AH2933" s="156"/>
      <c r="AI2933" s="156"/>
      <c r="AJ2933" s="156"/>
      <c r="AK2933" s="156"/>
      <c r="AL2933" s="156"/>
      <c r="AM2933" s="156"/>
      <c r="AN2933" s="156"/>
      <c r="AO2933" s="156"/>
      <c r="AP2933" s="156"/>
      <c r="AQ2933" s="156"/>
      <c r="AR2933" s="156"/>
      <c r="AS2933" s="156"/>
      <c r="AT2933" s="156"/>
      <c r="AU2933" s="156"/>
      <c r="AV2933" s="156"/>
      <c r="AW2933" s="156"/>
      <c r="AX2933" s="156"/>
      <c r="AY2933" s="156"/>
      <c r="AZ2933" s="156"/>
      <c r="BA2933" s="156"/>
      <c r="BB2933" s="2828"/>
      <c r="BC2933" s="452"/>
      <c r="BD2933" s="2829"/>
      <c r="BE2933" s="2837"/>
      <c r="BF2933" s="156"/>
    </row>
    <row r="2934" spans="1:58" ht="15" customHeight="1" outlineLevel="1" x14ac:dyDescent="0.35">
      <c r="A2934" s="1664"/>
      <c r="B2934" s="2812"/>
      <c r="C2934" s="3077"/>
      <c r="D2934" s="3980"/>
      <c r="E2934" s="3883"/>
      <c r="F2934" s="3984" t="str">
        <f>$E$1592</f>
        <v>ASHP-SEER15-Replace_CAC_NonElectricHeat_ER2_MF_CompE</v>
      </c>
      <c r="G2934" s="3984"/>
      <c r="H2934" s="3984"/>
      <c r="I2934" s="3984"/>
      <c r="J2934" s="3501" t="str">
        <f>$C$1592</f>
        <v>352761_2021_12_</v>
      </c>
      <c r="K2934" s="3425">
        <f>$K$2925</f>
        <v>632</v>
      </c>
      <c r="L2934" s="704"/>
      <c r="M2934" s="3044" t="s">
        <v>513</v>
      </c>
      <c r="N2934" s="106"/>
      <c r="O2934" s="106"/>
      <c r="P2934" s="702"/>
      <c r="Q2934" s="702"/>
      <c r="R2934" s="702"/>
      <c r="S2934" s="106"/>
      <c r="T2934" s="486"/>
      <c r="U2934" s="106"/>
      <c r="V2934" s="3980"/>
      <c r="W2934" s="3421"/>
      <c r="X2934" s="3421"/>
      <c r="Y2934" s="2377"/>
      <c r="Z2934" s="3425"/>
      <c r="AA2934" s="3425"/>
      <c r="AB2934" s="3425"/>
      <c r="AC2934" s="2922">
        <f>$K$2925</f>
        <v>632</v>
      </c>
      <c r="AD2934" s="3421">
        <v>632</v>
      </c>
      <c r="AE2934" s="3429"/>
      <c r="AF2934" s="3421"/>
      <c r="AG2934" s="3421"/>
      <c r="AH2934" s="156"/>
      <c r="AI2934" s="156"/>
      <c r="AJ2934" s="156"/>
      <c r="AK2934" s="156"/>
      <c r="AL2934" s="156"/>
      <c r="AM2934" s="156"/>
      <c r="AN2934" s="156"/>
      <c r="AO2934" s="156"/>
      <c r="AP2934" s="156"/>
      <c r="AQ2934" s="156"/>
      <c r="AR2934" s="156"/>
      <c r="AS2934" s="156"/>
      <c r="AT2934" s="156"/>
      <c r="AU2934" s="156"/>
      <c r="AV2934" s="156"/>
      <c r="AW2934" s="156"/>
      <c r="AX2934" s="156"/>
      <c r="AY2934" s="156"/>
      <c r="AZ2934" s="156"/>
      <c r="BA2934" s="156"/>
      <c r="BB2934" s="2828"/>
      <c r="BC2934" s="452"/>
      <c r="BD2934" s="2829"/>
      <c r="BE2934" s="2837"/>
      <c r="BF2934" s="156"/>
    </row>
    <row r="2935" spans="1:58" ht="15" customHeight="1" outlineLevel="1" x14ac:dyDescent="0.35">
      <c r="A2935" s="1664"/>
      <c r="B2935" s="2812"/>
      <c r="C2935" s="3077"/>
      <c r="D2935" s="3980"/>
      <c r="E2935" s="3883"/>
      <c r="F2935" s="3984" t="str">
        <f>$E$1594</f>
        <v>ASHP-SEER15-Replace_CAC_ElectricHeat_ROF_MF</v>
      </c>
      <c r="G2935" s="3984"/>
      <c r="H2935" s="3984"/>
      <c r="I2935" s="3984"/>
      <c r="J2935" s="3501" t="str">
        <f>$C$1594</f>
        <v>352800_2019_12_</v>
      </c>
      <c r="K2935" s="3425">
        <v>869</v>
      </c>
      <c r="L2935" s="704"/>
      <c r="M2935" s="3020" t="s">
        <v>977</v>
      </c>
      <c r="N2935" s="106"/>
      <c r="O2935" s="106"/>
      <c r="P2935" s="702"/>
      <c r="Q2935" s="702"/>
      <c r="R2935" s="702"/>
      <c r="S2935" s="106"/>
      <c r="T2935" s="486"/>
      <c r="U2935" s="106"/>
      <c r="V2935" s="3980"/>
      <c r="W2935" s="3421">
        <v>869</v>
      </c>
      <c r="X2935" s="3421">
        <v>869</v>
      </c>
      <c r="Y2935" s="3425">
        <v>869</v>
      </c>
      <c r="Z2935" s="3425">
        <v>869</v>
      </c>
      <c r="AA2935" s="3425">
        <v>869</v>
      </c>
      <c r="AB2935" s="3425">
        <v>869</v>
      </c>
      <c r="AC2935" s="2132">
        <v>869</v>
      </c>
      <c r="AD2935" s="3421">
        <v>869</v>
      </c>
      <c r="AE2935" s="3429"/>
      <c r="AF2935" s="3421"/>
      <c r="AG2935" s="3421"/>
      <c r="AH2935" s="156"/>
      <c r="AI2935" s="156"/>
      <c r="AJ2935" s="156"/>
      <c r="AK2935" s="156"/>
      <c r="AL2935" s="156"/>
      <c r="AM2935" s="156"/>
      <c r="AN2935" s="156"/>
      <c r="AO2935" s="156"/>
      <c r="AP2935" s="156"/>
      <c r="AQ2935" s="156"/>
      <c r="AR2935" s="156"/>
      <c r="AS2935" s="156"/>
      <c r="AT2935" s="156"/>
      <c r="AU2935" s="156"/>
      <c r="AV2935" s="156"/>
      <c r="AW2935" s="156"/>
      <c r="AX2935" s="156"/>
      <c r="AY2935" s="156"/>
      <c r="AZ2935" s="156"/>
      <c r="BA2935" s="156"/>
      <c r="BB2935" s="2828"/>
      <c r="BC2935" s="452"/>
      <c r="BD2935" s="2829"/>
      <c r="BE2935" s="2837"/>
      <c r="BF2935" s="156"/>
    </row>
    <row r="2936" spans="1:58" ht="15" customHeight="1" outlineLevel="1" x14ac:dyDescent="0.35">
      <c r="A2936" s="1664"/>
      <c r="B2936" s="2812"/>
      <c r="C2936" s="3077"/>
      <c r="D2936" s="3980"/>
      <c r="E2936" s="3883"/>
      <c r="F2936" s="3984" t="str">
        <f>$E$1596</f>
        <v>ASHP-SEER15-Replace_CAC_ElectricHeat_ROF_MF_CompE</v>
      </c>
      <c r="G2936" s="3984"/>
      <c r="H2936" s="3984"/>
      <c r="I2936" s="3984"/>
      <c r="J2936" s="3501" t="str">
        <f>$C$1596</f>
        <v>352801_2021_12_</v>
      </c>
      <c r="K2936" s="3425">
        <f>$K$2925</f>
        <v>632</v>
      </c>
      <c r="L2936" s="704"/>
      <c r="M2936" s="3044" t="s">
        <v>513</v>
      </c>
      <c r="N2936" s="106"/>
      <c r="O2936" s="106"/>
      <c r="P2936" s="702"/>
      <c r="Q2936" s="702"/>
      <c r="R2936" s="702"/>
      <c r="S2936" s="106"/>
      <c r="T2936" s="486"/>
      <c r="U2936" s="106"/>
      <c r="V2936" s="3980"/>
      <c r="W2936" s="3421"/>
      <c r="X2936" s="3421"/>
      <c r="Y2936" s="2377">
        <f>$K$2925</f>
        <v>632</v>
      </c>
      <c r="Z2936" s="3425">
        <f t="shared" ref="Z2936:AA2936" si="374">$K$2925</f>
        <v>632</v>
      </c>
      <c r="AA2936" s="3425">
        <f t="shared" si="374"/>
        <v>632</v>
      </c>
      <c r="AB2936" s="3425">
        <v>632</v>
      </c>
      <c r="AC2936" s="2132">
        <f>$K$2925</f>
        <v>632</v>
      </c>
      <c r="AD2936" s="3421">
        <v>632</v>
      </c>
      <c r="AE2936" s="3429"/>
      <c r="AF2936" s="3421"/>
      <c r="AG2936" s="3421"/>
      <c r="AH2936" s="156"/>
      <c r="AI2936" s="156"/>
      <c r="AJ2936" s="156"/>
      <c r="AK2936" s="156"/>
      <c r="AL2936" s="156"/>
      <c r="AM2936" s="156"/>
      <c r="AN2936" s="156"/>
      <c r="AO2936" s="156"/>
      <c r="AP2936" s="156"/>
      <c r="AQ2936" s="156"/>
      <c r="AR2936" s="156"/>
      <c r="AS2936" s="156"/>
      <c r="AT2936" s="156"/>
      <c r="AU2936" s="156"/>
      <c r="AV2936" s="156"/>
      <c r="AW2936" s="156"/>
      <c r="AX2936" s="156"/>
      <c r="AY2936" s="156"/>
      <c r="AZ2936" s="156"/>
      <c r="BA2936" s="156"/>
      <c r="BB2936" s="2828"/>
      <c r="BC2936" s="452"/>
      <c r="BD2936" s="2829"/>
      <c r="BE2936" s="2837"/>
      <c r="BF2936" s="156"/>
    </row>
    <row r="2937" spans="1:58" ht="15" customHeight="1" outlineLevel="1" x14ac:dyDescent="0.35">
      <c r="A2937" s="1664"/>
      <c r="B2937" s="2812"/>
      <c r="C2937" s="3077"/>
      <c r="D2937" s="3980"/>
      <c r="E2937" s="3883"/>
      <c r="F2937" s="3984" t="str">
        <f>$E$1598</f>
        <v>ASHP-SEER15-Replace_CAC_NonElectricHeat_ROF_MF</v>
      </c>
      <c r="G2937" s="3984"/>
      <c r="H2937" s="3984"/>
      <c r="I2937" s="3984"/>
      <c r="J2937" s="3501" t="str">
        <f>$C$1598</f>
        <v>352810_2021_12_</v>
      </c>
      <c r="K2937" s="3425">
        <v>869</v>
      </c>
      <c r="L2937" s="704"/>
      <c r="M2937" s="3020" t="s">
        <v>977</v>
      </c>
      <c r="N2937" s="106"/>
      <c r="O2937" s="106"/>
      <c r="P2937" s="702"/>
      <c r="Q2937" s="702"/>
      <c r="R2937" s="702"/>
      <c r="S2937" s="106"/>
      <c r="T2937" s="486"/>
      <c r="U2937" s="106"/>
      <c r="V2937" s="3980"/>
      <c r="W2937" s="3421"/>
      <c r="X2937" s="3421"/>
      <c r="Y2937" s="2377"/>
      <c r="Z2937" s="3425"/>
      <c r="AA2937" s="3425"/>
      <c r="AB2937" s="3425"/>
      <c r="AC2937" s="2922">
        <v>869</v>
      </c>
      <c r="AD2937" s="3421">
        <v>869</v>
      </c>
      <c r="AE2937" s="3429"/>
      <c r="AF2937" s="3421"/>
      <c r="AG2937" s="3421"/>
      <c r="AH2937" s="156"/>
      <c r="AI2937" s="156"/>
      <c r="AJ2937" s="156"/>
      <c r="AK2937" s="156"/>
      <c r="AL2937" s="156"/>
      <c r="AM2937" s="156"/>
      <c r="AN2937" s="156"/>
      <c r="AO2937" s="156"/>
      <c r="AP2937" s="156"/>
      <c r="AQ2937" s="156"/>
      <c r="AR2937" s="156"/>
      <c r="AS2937" s="156"/>
      <c r="AT2937" s="156"/>
      <c r="AU2937" s="156"/>
      <c r="AV2937" s="156"/>
      <c r="AW2937" s="156"/>
      <c r="AX2937" s="156"/>
      <c r="AY2937" s="156"/>
      <c r="AZ2937" s="156"/>
      <c r="BA2937" s="156"/>
      <c r="BB2937" s="2828"/>
      <c r="BC2937" s="452"/>
      <c r="BD2937" s="2829"/>
      <c r="BE2937" s="2837"/>
      <c r="BF2937" s="156"/>
    </row>
    <row r="2938" spans="1:58" ht="15" customHeight="1" outlineLevel="1" x14ac:dyDescent="0.35">
      <c r="A2938" s="1664"/>
      <c r="B2938" s="2812"/>
      <c r="C2938" s="3077"/>
      <c r="D2938" s="3980"/>
      <c r="E2938" s="3883"/>
      <c r="F2938" s="3984" t="str">
        <f>$E$1600</f>
        <v>ASHP-SEER15-Replace_CAC_NonElectricHeat_ROF_MF_CompE</v>
      </c>
      <c r="G2938" s="3984"/>
      <c r="H2938" s="3984"/>
      <c r="I2938" s="3984"/>
      <c r="J2938" s="3501" t="str">
        <f>$C$1600</f>
        <v>352811_2021_12_</v>
      </c>
      <c r="K2938" s="3425">
        <f>$K$2925</f>
        <v>632</v>
      </c>
      <c r="L2938" s="704"/>
      <c r="M2938" s="3044" t="s">
        <v>513</v>
      </c>
      <c r="N2938" s="106"/>
      <c r="O2938" s="106"/>
      <c r="P2938" s="702"/>
      <c r="Q2938" s="702"/>
      <c r="R2938" s="702"/>
      <c r="S2938" s="106"/>
      <c r="T2938" s="486"/>
      <c r="U2938" s="106"/>
      <c r="V2938" s="3980"/>
      <c r="W2938" s="3421"/>
      <c r="X2938" s="3421"/>
      <c r="Y2938" s="2377"/>
      <c r="Z2938" s="3425"/>
      <c r="AA2938" s="3425"/>
      <c r="AB2938" s="3425"/>
      <c r="AC2938" s="2922">
        <f>$K$2925</f>
        <v>632</v>
      </c>
      <c r="AD2938" s="3421">
        <v>632</v>
      </c>
      <c r="AE2938" s="3429"/>
      <c r="AF2938" s="3421"/>
      <c r="AG2938" s="3421"/>
      <c r="AH2938" s="156"/>
      <c r="AI2938" s="156"/>
      <c r="AJ2938" s="156"/>
      <c r="AK2938" s="156"/>
      <c r="AL2938" s="156"/>
      <c r="AM2938" s="156"/>
      <c r="AN2938" s="156"/>
      <c r="AO2938" s="156"/>
      <c r="AP2938" s="156"/>
      <c r="AQ2938" s="156"/>
      <c r="AR2938" s="156"/>
      <c r="AS2938" s="156"/>
      <c r="AT2938" s="156"/>
      <c r="AU2938" s="156"/>
      <c r="AV2938" s="156"/>
      <c r="AW2938" s="156"/>
      <c r="AX2938" s="156"/>
      <c r="AY2938" s="156"/>
      <c r="AZ2938" s="156"/>
      <c r="BA2938" s="156"/>
      <c r="BB2938" s="2828"/>
      <c r="BC2938" s="452"/>
      <c r="BD2938" s="2829"/>
      <c r="BE2938" s="2837"/>
      <c r="BF2938" s="156"/>
    </row>
    <row r="2939" spans="1:58" ht="15" customHeight="1" outlineLevel="1" x14ac:dyDescent="0.35">
      <c r="A2939" s="1664"/>
      <c r="B2939" s="2812"/>
      <c r="C2939" s="3077"/>
      <c r="D2939" s="3980"/>
      <c r="E2939" s="3883"/>
      <c r="F2939" s="3984" t="str">
        <f>$E$1602</f>
        <v>ASHP-SEER16_ER1_MF</v>
      </c>
      <c r="G2939" s="3984"/>
      <c r="H2939" s="3984"/>
      <c r="I2939" s="3984"/>
      <c r="J2939" s="3501" t="str">
        <f>$C$1602</f>
        <v>352850_2021_12_</v>
      </c>
      <c r="K2939" s="3425">
        <v>869</v>
      </c>
      <c r="L2939" s="704"/>
      <c r="M2939" s="3020" t="s">
        <v>977</v>
      </c>
      <c r="N2939" s="106"/>
      <c r="O2939" s="106"/>
      <c r="P2939" s="702"/>
      <c r="Q2939" s="702"/>
      <c r="R2939" s="702"/>
      <c r="S2939" s="106"/>
      <c r="T2939" s="486"/>
      <c r="U2939" s="106"/>
      <c r="V2939" s="3980"/>
      <c r="W2939" s="3421">
        <v>869</v>
      </c>
      <c r="X2939" s="3421">
        <v>869</v>
      </c>
      <c r="Y2939" s="3425">
        <v>869</v>
      </c>
      <c r="Z2939" s="3425">
        <v>869</v>
      </c>
      <c r="AA2939" s="3425">
        <v>869</v>
      </c>
      <c r="AB2939" s="3425">
        <v>869</v>
      </c>
      <c r="AC2939" s="2132">
        <v>869</v>
      </c>
      <c r="AD2939" s="3421">
        <v>869</v>
      </c>
      <c r="AE2939" s="3429"/>
      <c r="AF2939" s="3421"/>
      <c r="AG2939" s="3421"/>
      <c r="AH2939" s="156"/>
      <c r="AI2939" s="156"/>
      <c r="AJ2939" s="156"/>
      <c r="AK2939" s="156"/>
      <c r="AL2939" s="156"/>
      <c r="AM2939" s="156"/>
      <c r="AN2939" s="156"/>
      <c r="AO2939" s="156"/>
      <c r="AP2939" s="156"/>
      <c r="AQ2939" s="156"/>
      <c r="AR2939" s="156"/>
      <c r="AS2939" s="156"/>
      <c r="AT2939" s="156"/>
      <c r="AU2939" s="156"/>
      <c r="AV2939" s="156"/>
      <c r="AW2939" s="156"/>
      <c r="AX2939" s="156"/>
      <c r="AY2939" s="156"/>
      <c r="AZ2939" s="156"/>
      <c r="BA2939" s="156"/>
      <c r="BB2939" s="2828"/>
      <c r="BC2939" s="452"/>
      <c r="BD2939" s="2829"/>
      <c r="BE2939" s="2837"/>
      <c r="BF2939" s="156"/>
    </row>
    <row r="2940" spans="1:58" ht="15" customHeight="1" outlineLevel="1" x14ac:dyDescent="0.35">
      <c r="A2940" s="1664"/>
      <c r="B2940" s="2812"/>
      <c r="C2940" s="3077"/>
      <c r="D2940" s="3980"/>
      <c r="E2940" s="3883"/>
      <c r="F2940" s="3984" t="str">
        <f>$E$1604</f>
        <v>ASHP-SEER16_ER2_MF</v>
      </c>
      <c r="G2940" s="3984"/>
      <c r="H2940" s="3984"/>
      <c r="I2940" s="3984"/>
      <c r="J2940" s="3501" t="str">
        <f>$C$1604</f>
        <v>352850_2021_12_</v>
      </c>
      <c r="K2940" s="3425">
        <v>869</v>
      </c>
      <c r="L2940" s="704"/>
      <c r="M2940" s="3020" t="s">
        <v>977</v>
      </c>
      <c r="N2940" s="106"/>
      <c r="O2940" s="106"/>
      <c r="P2940" s="702"/>
      <c r="Q2940" s="702"/>
      <c r="R2940" s="702"/>
      <c r="S2940" s="106"/>
      <c r="T2940" s="486"/>
      <c r="U2940" s="106"/>
      <c r="V2940" s="3980"/>
      <c r="W2940" s="3421">
        <v>869</v>
      </c>
      <c r="X2940" s="3421">
        <v>869</v>
      </c>
      <c r="Y2940" s="3425">
        <v>869</v>
      </c>
      <c r="Z2940" s="3425">
        <v>869</v>
      </c>
      <c r="AA2940" s="3425">
        <v>869</v>
      </c>
      <c r="AB2940" s="3425">
        <v>869</v>
      </c>
      <c r="AC2940" s="2132">
        <v>869</v>
      </c>
      <c r="AD2940" s="3421">
        <v>869</v>
      </c>
      <c r="AE2940" s="3429"/>
      <c r="AF2940" s="3421"/>
      <c r="AG2940" s="3421"/>
      <c r="AH2940" s="156"/>
      <c r="AI2940" s="156"/>
      <c r="AJ2940" s="156"/>
      <c r="AK2940" s="156"/>
      <c r="AL2940" s="156"/>
      <c r="AM2940" s="156"/>
      <c r="AN2940" s="156"/>
      <c r="AO2940" s="156"/>
      <c r="AP2940" s="156"/>
      <c r="AQ2940" s="156"/>
      <c r="AR2940" s="156"/>
      <c r="AS2940" s="156"/>
      <c r="AT2940" s="156"/>
      <c r="AU2940" s="156"/>
      <c r="AV2940" s="156"/>
      <c r="AW2940" s="156"/>
      <c r="AX2940" s="156"/>
      <c r="AY2940" s="156"/>
      <c r="AZ2940" s="156"/>
      <c r="BA2940" s="156"/>
      <c r="BB2940" s="2828"/>
      <c r="BC2940" s="452"/>
      <c r="BD2940" s="2829"/>
      <c r="BE2940" s="2837"/>
      <c r="BF2940" s="156"/>
    </row>
    <row r="2941" spans="1:58" ht="15" customHeight="1" outlineLevel="1" x14ac:dyDescent="0.35">
      <c r="A2941" s="1664"/>
      <c r="B2941" s="2812"/>
      <c r="C2941" s="3077"/>
      <c r="D2941" s="3980"/>
      <c r="E2941" s="3883"/>
      <c r="F2941" s="3984" t="str">
        <f>$E$1606</f>
        <v>ASHP-SEER16_ER1_MF_CompE</v>
      </c>
      <c r="G2941" s="3984"/>
      <c r="H2941" s="3984"/>
      <c r="I2941" s="3984"/>
      <c r="J2941" s="3501" t="str">
        <f>$C$1606</f>
        <v>352851_2021_12_</v>
      </c>
      <c r="K2941" s="3425">
        <f>$K$2925</f>
        <v>632</v>
      </c>
      <c r="L2941" s="704"/>
      <c r="M2941" s="3044" t="s">
        <v>513</v>
      </c>
      <c r="N2941" s="106"/>
      <c r="O2941" s="106"/>
      <c r="P2941" s="702"/>
      <c r="Q2941" s="702"/>
      <c r="R2941" s="702"/>
      <c r="S2941" s="106"/>
      <c r="T2941" s="486"/>
      <c r="U2941" s="106"/>
      <c r="V2941" s="3980"/>
      <c r="W2941" s="3421"/>
      <c r="X2941" s="3421"/>
      <c r="Y2941" s="2377">
        <f>$K$2925</f>
        <v>632</v>
      </c>
      <c r="Z2941" s="3425">
        <f t="shared" ref="Z2941:AA2942" si="375">$K$2925</f>
        <v>632</v>
      </c>
      <c r="AA2941" s="3425">
        <f t="shared" si="375"/>
        <v>632</v>
      </c>
      <c r="AB2941" s="3425">
        <v>632</v>
      </c>
      <c r="AC2941" s="2132">
        <f>$K$2925</f>
        <v>632</v>
      </c>
      <c r="AD2941" s="3421">
        <v>632</v>
      </c>
      <c r="AE2941" s="3429"/>
      <c r="AF2941" s="3421"/>
      <c r="AG2941" s="3421"/>
      <c r="AH2941" s="156"/>
      <c r="AI2941" s="156"/>
      <c r="AJ2941" s="156"/>
      <c r="AK2941" s="156"/>
      <c r="AL2941" s="156"/>
      <c r="AM2941" s="156"/>
      <c r="AN2941" s="156"/>
      <c r="AO2941" s="156"/>
      <c r="AP2941" s="156"/>
      <c r="AQ2941" s="156"/>
      <c r="AR2941" s="156"/>
      <c r="AS2941" s="156"/>
      <c r="AT2941" s="156"/>
      <c r="AU2941" s="156"/>
      <c r="AV2941" s="156"/>
      <c r="AW2941" s="156"/>
      <c r="AX2941" s="156"/>
      <c r="AY2941" s="156"/>
      <c r="AZ2941" s="156"/>
      <c r="BA2941" s="156"/>
      <c r="BB2941" s="2828"/>
      <c r="BC2941" s="452"/>
      <c r="BD2941" s="2829"/>
      <c r="BE2941" s="2837"/>
      <c r="BF2941" s="156"/>
    </row>
    <row r="2942" spans="1:58" ht="15" customHeight="1" outlineLevel="1" x14ac:dyDescent="0.35">
      <c r="A2942" s="1664"/>
      <c r="B2942" s="2812"/>
      <c r="C2942" s="3077"/>
      <c r="D2942" s="3980"/>
      <c r="E2942" s="3883"/>
      <c r="F2942" s="3984" t="str">
        <f>$E$1608</f>
        <v>ASHP-SEER16_ER2_MF_CompE</v>
      </c>
      <c r="G2942" s="3984"/>
      <c r="H2942" s="3984"/>
      <c r="I2942" s="3984"/>
      <c r="J2942" s="3501" t="str">
        <f>$C$1608</f>
        <v>352851_2021_12_</v>
      </c>
      <c r="K2942" s="3425">
        <f>$K$2925</f>
        <v>632</v>
      </c>
      <c r="L2942" s="704"/>
      <c r="M2942" s="3044" t="s">
        <v>513</v>
      </c>
      <c r="N2942" s="106"/>
      <c r="O2942" s="106"/>
      <c r="P2942" s="702"/>
      <c r="Q2942" s="702"/>
      <c r="R2942" s="702"/>
      <c r="S2942" s="106"/>
      <c r="T2942" s="486"/>
      <c r="U2942" s="106"/>
      <c r="V2942" s="3980"/>
      <c r="W2942" s="3421"/>
      <c r="X2942" s="3421"/>
      <c r="Y2942" s="2377">
        <f>$K$2925</f>
        <v>632</v>
      </c>
      <c r="Z2942" s="3425">
        <f t="shared" si="375"/>
        <v>632</v>
      </c>
      <c r="AA2942" s="3425">
        <f t="shared" si="375"/>
        <v>632</v>
      </c>
      <c r="AB2942" s="3425">
        <v>632</v>
      </c>
      <c r="AC2942" s="2132">
        <f>$K$2925</f>
        <v>632</v>
      </c>
      <c r="AD2942" s="3421">
        <v>632</v>
      </c>
      <c r="AE2942" s="3429"/>
      <c r="AF2942" s="3421"/>
      <c r="AG2942" s="3421"/>
      <c r="AH2942" s="156"/>
      <c r="AI2942" s="156"/>
      <c r="AJ2942" s="156"/>
      <c r="AK2942" s="156"/>
      <c r="AL2942" s="156"/>
      <c r="AM2942" s="156"/>
      <c r="AN2942" s="156"/>
      <c r="AO2942" s="156"/>
      <c r="AP2942" s="156"/>
      <c r="AQ2942" s="156"/>
      <c r="AR2942" s="156"/>
      <c r="AS2942" s="156"/>
      <c r="AT2942" s="156"/>
      <c r="AU2942" s="156"/>
      <c r="AV2942" s="156"/>
      <c r="AW2942" s="156"/>
      <c r="AX2942" s="156"/>
      <c r="AY2942" s="156"/>
      <c r="AZ2942" s="156"/>
      <c r="BA2942" s="156"/>
      <c r="BB2942" s="2828"/>
      <c r="BC2942" s="452"/>
      <c r="BD2942" s="2829"/>
      <c r="BE2942" s="2837"/>
      <c r="BF2942" s="156"/>
    </row>
    <row r="2943" spans="1:58" ht="15" customHeight="1" outlineLevel="1" x14ac:dyDescent="0.35">
      <c r="A2943" s="1664"/>
      <c r="B2943" s="2812"/>
      <c r="C2943" s="3077"/>
      <c r="D2943" s="3980"/>
      <c r="E2943" s="3883"/>
      <c r="F2943" s="3984" t="str">
        <f>$E$1610</f>
        <v>ASHP-SEER16_ROF_MF</v>
      </c>
      <c r="G2943" s="3984"/>
      <c r="H2943" s="3984"/>
      <c r="I2943" s="3984"/>
      <c r="J2943" s="3501" t="str">
        <f>$C$1610</f>
        <v>352900_2021_12_</v>
      </c>
      <c r="K2943" s="3425">
        <v>869</v>
      </c>
      <c r="L2943" s="704"/>
      <c r="M2943" s="3020" t="s">
        <v>977</v>
      </c>
      <c r="N2943" s="106"/>
      <c r="O2943" s="106"/>
      <c r="P2943" s="702"/>
      <c r="Q2943" s="702"/>
      <c r="R2943" s="702"/>
      <c r="S2943" s="106"/>
      <c r="T2943" s="486"/>
      <c r="U2943" s="106"/>
      <c r="V2943" s="3980"/>
      <c r="W2943" s="3421">
        <v>869</v>
      </c>
      <c r="X2943" s="3421">
        <v>869</v>
      </c>
      <c r="Y2943" s="3425">
        <v>869</v>
      </c>
      <c r="Z2943" s="3425">
        <v>869</v>
      </c>
      <c r="AA2943" s="3425">
        <v>869</v>
      </c>
      <c r="AB2943" s="3425">
        <v>869</v>
      </c>
      <c r="AC2943" s="2132">
        <v>869</v>
      </c>
      <c r="AD2943" s="3421">
        <v>869</v>
      </c>
      <c r="AE2943" s="3429"/>
      <c r="AF2943" s="3421"/>
      <c r="AG2943" s="3421"/>
      <c r="AH2943" s="156"/>
      <c r="AI2943" s="156"/>
      <c r="AJ2943" s="156"/>
      <c r="AK2943" s="156"/>
      <c r="AL2943" s="156"/>
      <c r="AM2943" s="156"/>
      <c r="AN2943" s="156"/>
      <c r="AO2943" s="156"/>
      <c r="AP2943" s="156"/>
      <c r="AQ2943" s="156"/>
      <c r="AR2943" s="156"/>
      <c r="AS2943" s="156"/>
      <c r="AT2943" s="156"/>
      <c r="AU2943" s="156"/>
      <c r="AV2943" s="156"/>
      <c r="AW2943" s="156"/>
      <c r="AX2943" s="156"/>
      <c r="AY2943" s="156"/>
      <c r="AZ2943" s="156"/>
      <c r="BA2943" s="156"/>
      <c r="BB2943" s="2828"/>
      <c r="BC2943" s="452"/>
      <c r="BD2943" s="2829"/>
      <c r="BE2943" s="2837"/>
      <c r="BF2943" s="156"/>
    </row>
    <row r="2944" spans="1:58" ht="15" customHeight="1" outlineLevel="1" x14ac:dyDescent="0.35">
      <c r="A2944" s="1664"/>
      <c r="B2944" s="2812"/>
      <c r="C2944" s="3077"/>
      <c r="D2944" s="3980"/>
      <c r="E2944" s="3883"/>
      <c r="F2944" s="3984" t="str">
        <f>$E$1612</f>
        <v>ASHP-SEER16_ROF_MF_CompE</v>
      </c>
      <c r="G2944" s="3984"/>
      <c r="H2944" s="3984"/>
      <c r="I2944" s="3984"/>
      <c r="J2944" s="3501" t="str">
        <f>$C$1612</f>
        <v>352901_2021_12_</v>
      </c>
      <c r="K2944" s="3425">
        <f>$K$2925</f>
        <v>632</v>
      </c>
      <c r="L2944" s="704"/>
      <c r="M2944" s="3044" t="s">
        <v>513</v>
      </c>
      <c r="N2944" s="106"/>
      <c r="O2944" s="106"/>
      <c r="P2944" s="702"/>
      <c r="Q2944" s="702"/>
      <c r="R2944" s="702"/>
      <c r="S2944" s="106"/>
      <c r="T2944" s="486"/>
      <c r="U2944" s="106"/>
      <c r="V2944" s="3980"/>
      <c r="W2944" s="3421"/>
      <c r="X2944" s="3421"/>
      <c r="Y2944" s="2377">
        <f>$K$2925</f>
        <v>632</v>
      </c>
      <c r="Z2944" s="3425">
        <f t="shared" ref="Z2944:AA2944" si="376">$K$2925</f>
        <v>632</v>
      </c>
      <c r="AA2944" s="3425">
        <f t="shared" si="376"/>
        <v>632</v>
      </c>
      <c r="AB2944" s="3425">
        <v>632</v>
      </c>
      <c r="AC2944" s="2132">
        <f>$K$2925</f>
        <v>632</v>
      </c>
      <c r="AD2944" s="3421">
        <v>632</v>
      </c>
      <c r="AE2944" s="3429"/>
      <c r="AF2944" s="3421"/>
      <c r="AG2944" s="3421"/>
      <c r="AH2944" s="156"/>
      <c r="AI2944" s="156"/>
      <c r="AJ2944" s="156"/>
      <c r="AK2944" s="156"/>
      <c r="AL2944" s="156"/>
      <c r="AM2944" s="156"/>
      <c r="AN2944" s="156"/>
      <c r="AO2944" s="156"/>
      <c r="AP2944" s="156"/>
      <c r="AQ2944" s="156"/>
      <c r="AR2944" s="156"/>
      <c r="AS2944" s="156"/>
      <c r="AT2944" s="156"/>
      <c r="AU2944" s="156"/>
      <c r="AV2944" s="156"/>
      <c r="AW2944" s="156"/>
      <c r="AX2944" s="156"/>
      <c r="AY2944" s="156"/>
      <c r="AZ2944" s="156"/>
      <c r="BA2944" s="156"/>
      <c r="BB2944" s="2828"/>
      <c r="BC2944" s="452"/>
      <c r="BD2944" s="2829"/>
      <c r="BE2944" s="2837"/>
      <c r="BF2944" s="156"/>
    </row>
    <row r="2945" spans="1:58" ht="15" customHeight="1" outlineLevel="1" x14ac:dyDescent="0.35">
      <c r="A2945" s="1664"/>
      <c r="B2945" s="2812"/>
      <c r="C2945" s="3077"/>
      <c r="D2945" s="3980"/>
      <c r="E2945" s="3883"/>
      <c r="F2945" s="3984" t="str">
        <f>$E$1614</f>
        <v>ASHP-SEER16-Replace_CAC_ElectricHeat_ROF_MF</v>
      </c>
      <c r="G2945" s="3984"/>
      <c r="H2945" s="3984"/>
      <c r="I2945" s="3984"/>
      <c r="J2945" s="3501" t="str">
        <f>$C$1614</f>
        <v>352950_2019_12_</v>
      </c>
      <c r="K2945" s="3425">
        <v>869</v>
      </c>
      <c r="L2945" s="704"/>
      <c r="M2945" s="3020" t="s">
        <v>977</v>
      </c>
      <c r="N2945" s="106"/>
      <c r="O2945" s="106"/>
      <c r="P2945" s="702"/>
      <c r="Q2945" s="702"/>
      <c r="R2945" s="702"/>
      <c r="S2945" s="106"/>
      <c r="T2945" s="486"/>
      <c r="U2945" s="106"/>
      <c r="V2945" s="3980"/>
      <c r="W2945" s="3421">
        <v>869</v>
      </c>
      <c r="X2945" s="3421">
        <v>869</v>
      </c>
      <c r="Y2945" s="3425">
        <v>869</v>
      </c>
      <c r="Z2945" s="3425">
        <v>869</v>
      </c>
      <c r="AA2945" s="3425">
        <v>869</v>
      </c>
      <c r="AB2945" s="3425">
        <v>869</v>
      </c>
      <c r="AC2945" s="2132">
        <v>869</v>
      </c>
      <c r="AD2945" s="3421">
        <v>869</v>
      </c>
      <c r="AE2945" s="3429"/>
      <c r="AF2945" s="3421"/>
      <c r="AG2945" s="3421"/>
      <c r="AH2945" s="156"/>
      <c r="AI2945" s="156"/>
      <c r="AJ2945" s="156"/>
      <c r="AK2945" s="156"/>
      <c r="AL2945" s="156"/>
      <c r="AM2945" s="156"/>
      <c r="AN2945" s="156"/>
      <c r="AO2945" s="156"/>
      <c r="AP2945" s="156"/>
      <c r="AQ2945" s="156"/>
      <c r="AR2945" s="156"/>
      <c r="AS2945" s="156"/>
      <c r="AT2945" s="156"/>
      <c r="AU2945" s="156"/>
      <c r="AV2945" s="156"/>
      <c r="AW2945" s="156"/>
      <c r="AX2945" s="156"/>
      <c r="AY2945" s="156"/>
      <c r="AZ2945" s="156"/>
      <c r="BA2945" s="156"/>
      <c r="BB2945" s="2828"/>
      <c r="BC2945" s="452"/>
      <c r="BD2945" s="2829"/>
      <c r="BE2945" s="2837"/>
      <c r="BF2945" s="156"/>
    </row>
    <row r="2946" spans="1:58" ht="15" customHeight="1" outlineLevel="1" x14ac:dyDescent="0.35">
      <c r="A2946" s="1664"/>
      <c r="B2946" s="2812"/>
      <c r="C2946" s="3077"/>
      <c r="D2946" s="3980"/>
      <c r="E2946" s="3883"/>
      <c r="F2946" s="3984" t="str">
        <f>$E$1616</f>
        <v>ASHP-SEER16-Replace_CAC_ElectricHeat_ROF_MF_CompE</v>
      </c>
      <c r="G2946" s="3984"/>
      <c r="H2946" s="3984"/>
      <c r="I2946" s="3984"/>
      <c r="J2946" s="3501" t="str">
        <f>$C$1616</f>
        <v>352951_2019_12_</v>
      </c>
      <c r="K2946" s="3425">
        <f>$K$2925</f>
        <v>632</v>
      </c>
      <c r="L2946" s="704"/>
      <c r="M2946" s="3044" t="s">
        <v>513</v>
      </c>
      <c r="N2946" s="106"/>
      <c r="O2946" s="106"/>
      <c r="P2946" s="702"/>
      <c r="Q2946" s="702"/>
      <c r="R2946" s="702"/>
      <c r="S2946" s="106"/>
      <c r="T2946" s="486"/>
      <c r="U2946" s="106"/>
      <c r="V2946" s="3980"/>
      <c r="W2946" s="3421"/>
      <c r="X2946" s="3421"/>
      <c r="Y2946" s="2377">
        <f>$K$2925</f>
        <v>632</v>
      </c>
      <c r="Z2946" s="3425">
        <f t="shared" ref="Z2946:AA2946" si="377">$K$2925</f>
        <v>632</v>
      </c>
      <c r="AA2946" s="3425">
        <f t="shared" si="377"/>
        <v>632</v>
      </c>
      <c r="AB2946" s="3425">
        <v>632</v>
      </c>
      <c r="AC2946" s="2132">
        <f>$K$2925</f>
        <v>632</v>
      </c>
      <c r="AD2946" s="3421">
        <v>632</v>
      </c>
      <c r="AE2946" s="3429"/>
      <c r="AF2946" s="3421"/>
      <c r="AG2946" s="3421"/>
      <c r="AH2946" s="156"/>
      <c r="AI2946" s="156"/>
      <c r="AJ2946" s="156"/>
      <c r="AK2946" s="156"/>
      <c r="AL2946" s="156"/>
      <c r="AM2946" s="156"/>
      <c r="AN2946" s="156"/>
      <c r="AO2946" s="156"/>
      <c r="AP2946" s="156"/>
      <c r="AQ2946" s="156"/>
      <c r="AR2946" s="156"/>
      <c r="AS2946" s="156"/>
      <c r="AT2946" s="156"/>
      <c r="AU2946" s="156"/>
      <c r="AV2946" s="156"/>
      <c r="AW2946" s="156"/>
      <c r="AX2946" s="156"/>
      <c r="AY2946" s="156"/>
      <c r="AZ2946" s="156"/>
      <c r="BA2946" s="156"/>
      <c r="BB2946" s="2828"/>
      <c r="BC2946" s="452"/>
      <c r="BD2946" s="2829"/>
      <c r="BE2946" s="2837"/>
      <c r="BF2946" s="156"/>
    </row>
    <row r="2947" spans="1:58" ht="15" customHeight="1" outlineLevel="1" x14ac:dyDescent="0.35">
      <c r="A2947" s="1664"/>
      <c r="B2947" s="2812"/>
      <c r="C2947" s="3077"/>
      <c r="D2947" s="3980"/>
      <c r="E2947" s="3883"/>
      <c r="F2947" s="3984" t="str">
        <f>$E$1618</f>
        <v>ASHP-SEER16-Replace_CAC_NonElectricHeat_ROF_MF</v>
      </c>
      <c r="G2947" s="3984"/>
      <c r="H2947" s="3984"/>
      <c r="I2947" s="3984"/>
      <c r="J2947" s="3501" t="str">
        <f>$C$1618</f>
        <v>352960_2021_12_</v>
      </c>
      <c r="K2947" s="3425">
        <v>869</v>
      </c>
      <c r="L2947" s="704"/>
      <c r="M2947" s="3020" t="s">
        <v>977</v>
      </c>
      <c r="N2947" s="106"/>
      <c r="O2947" s="106"/>
      <c r="P2947" s="702"/>
      <c r="Q2947" s="702"/>
      <c r="R2947" s="702"/>
      <c r="S2947" s="106"/>
      <c r="T2947" s="486"/>
      <c r="U2947" s="106"/>
      <c r="V2947" s="3980"/>
      <c r="W2947" s="3421"/>
      <c r="X2947" s="3421"/>
      <c r="Y2947" s="2377"/>
      <c r="Z2947" s="3425"/>
      <c r="AA2947" s="3425"/>
      <c r="AB2947" s="3425"/>
      <c r="AC2947" s="2922">
        <v>869</v>
      </c>
      <c r="AD2947" s="3421">
        <v>869</v>
      </c>
      <c r="AE2947" s="3429"/>
      <c r="AF2947" s="3421"/>
      <c r="AG2947" s="3421"/>
      <c r="AH2947" s="156"/>
      <c r="AI2947" s="156"/>
      <c r="AJ2947" s="156"/>
      <c r="AK2947" s="156"/>
      <c r="AL2947" s="156"/>
      <c r="AM2947" s="156"/>
      <c r="AN2947" s="156"/>
      <c r="AO2947" s="156"/>
      <c r="AP2947" s="156"/>
      <c r="AQ2947" s="156"/>
      <c r="AR2947" s="156"/>
      <c r="AS2947" s="156"/>
      <c r="AT2947" s="156"/>
      <c r="AU2947" s="156"/>
      <c r="AV2947" s="156"/>
      <c r="AW2947" s="156"/>
      <c r="AX2947" s="156"/>
      <c r="AY2947" s="156"/>
      <c r="AZ2947" s="156"/>
      <c r="BA2947" s="156"/>
      <c r="BB2947" s="2828"/>
      <c r="BC2947" s="452"/>
      <c r="BD2947" s="2829"/>
      <c r="BE2947" s="2837"/>
      <c r="BF2947" s="156"/>
    </row>
    <row r="2948" spans="1:58" ht="15" customHeight="1" outlineLevel="1" x14ac:dyDescent="0.35">
      <c r="A2948" s="1664"/>
      <c r="B2948" s="2812"/>
      <c r="C2948" s="3077"/>
      <c r="D2948" s="3980"/>
      <c r="E2948" s="3883"/>
      <c r="F2948" s="3984" t="str">
        <f>$E$1620</f>
        <v>ASHP-SEER16-Replace_CAC_NonElectricHeat_ROF_MF_CompE</v>
      </c>
      <c r="G2948" s="3984"/>
      <c r="H2948" s="3984"/>
      <c r="I2948" s="3984"/>
      <c r="J2948" s="3501" t="str">
        <f>$C$1620</f>
        <v>352961_2021_12_</v>
      </c>
      <c r="K2948" s="3425">
        <f>$K$2925</f>
        <v>632</v>
      </c>
      <c r="L2948" s="704"/>
      <c r="M2948" s="3044" t="s">
        <v>513</v>
      </c>
      <c r="N2948" s="106"/>
      <c r="O2948" s="106"/>
      <c r="P2948" s="702"/>
      <c r="Q2948" s="702"/>
      <c r="R2948" s="702"/>
      <c r="S2948" s="106"/>
      <c r="T2948" s="486"/>
      <c r="U2948" s="106"/>
      <c r="V2948" s="3980"/>
      <c r="W2948" s="3421"/>
      <c r="X2948" s="3421"/>
      <c r="Y2948" s="2377"/>
      <c r="Z2948" s="3425"/>
      <c r="AA2948" s="3425"/>
      <c r="AB2948" s="3425"/>
      <c r="AC2948" s="2922">
        <f>$K$2925</f>
        <v>632</v>
      </c>
      <c r="AD2948" s="3421">
        <v>632</v>
      </c>
      <c r="AE2948" s="3429"/>
      <c r="AF2948" s="3421"/>
      <c r="AG2948" s="3421"/>
      <c r="AH2948" s="156"/>
      <c r="AI2948" s="156"/>
      <c r="AJ2948" s="156"/>
      <c r="AK2948" s="156"/>
      <c r="AL2948" s="156"/>
      <c r="AM2948" s="156"/>
      <c r="AN2948" s="156"/>
      <c r="AO2948" s="156"/>
      <c r="AP2948" s="156"/>
      <c r="AQ2948" s="156"/>
      <c r="AR2948" s="156"/>
      <c r="AS2948" s="156"/>
      <c r="AT2948" s="156"/>
      <c r="AU2948" s="156"/>
      <c r="AV2948" s="156"/>
      <c r="AW2948" s="156"/>
      <c r="AX2948" s="156"/>
      <c r="AY2948" s="156"/>
      <c r="AZ2948" s="156"/>
      <c r="BA2948" s="156"/>
      <c r="BB2948" s="2828"/>
      <c r="BC2948" s="452"/>
      <c r="BD2948" s="2829"/>
      <c r="BE2948" s="2837"/>
      <c r="BF2948" s="156"/>
    </row>
    <row r="2949" spans="1:58" ht="15" customHeight="1" outlineLevel="1" x14ac:dyDescent="0.35">
      <c r="A2949" s="1664"/>
      <c r="B2949" s="2812"/>
      <c r="C2949" s="3077"/>
      <c r="D2949" s="3980"/>
      <c r="E2949" s="3883"/>
      <c r="F2949" s="3984" t="str">
        <f>$E$1622</f>
        <v>ASHP-SEER16-Replace_CAC_ElectricHeat_ER1_MF</v>
      </c>
      <c r="G2949" s="3984"/>
      <c r="H2949" s="3984"/>
      <c r="I2949" s="3984"/>
      <c r="J2949" s="3501" t="str">
        <f>$C$1622</f>
        <v>353000_2021_12_</v>
      </c>
      <c r="K2949" s="3425">
        <v>869</v>
      </c>
      <c r="L2949" s="704"/>
      <c r="M2949" s="3020" t="s">
        <v>977</v>
      </c>
      <c r="N2949" s="106"/>
      <c r="O2949" s="106"/>
      <c r="P2949" s="702"/>
      <c r="Q2949" s="702"/>
      <c r="R2949" s="702"/>
      <c r="S2949" s="106"/>
      <c r="T2949" s="486"/>
      <c r="U2949" s="106"/>
      <c r="V2949" s="3980"/>
      <c r="W2949" s="3421">
        <v>869</v>
      </c>
      <c r="X2949" s="3421">
        <v>869</v>
      </c>
      <c r="Y2949" s="3425">
        <v>869</v>
      </c>
      <c r="Z2949" s="3425">
        <v>869</v>
      </c>
      <c r="AA2949" s="3425">
        <v>869</v>
      </c>
      <c r="AB2949" s="3425">
        <v>869</v>
      </c>
      <c r="AC2949" s="2132">
        <v>869</v>
      </c>
      <c r="AD2949" s="3421">
        <v>869</v>
      </c>
      <c r="AE2949" s="3429"/>
      <c r="AF2949" s="3421"/>
      <c r="AG2949" s="3421"/>
      <c r="AH2949" s="156"/>
      <c r="AI2949" s="156"/>
      <c r="AJ2949" s="156"/>
      <c r="AK2949" s="156"/>
      <c r="AL2949" s="156"/>
      <c r="AM2949" s="156"/>
      <c r="AN2949" s="156"/>
      <c r="AO2949" s="156"/>
      <c r="AP2949" s="156"/>
      <c r="AQ2949" s="156"/>
      <c r="AR2949" s="156"/>
      <c r="AS2949" s="156"/>
      <c r="AT2949" s="156"/>
      <c r="AU2949" s="156"/>
      <c r="AV2949" s="156"/>
      <c r="AW2949" s="156"/>
      <c r="AX2949" s="156"/>
      <c r="AY2949" s="156"/>
      <c r="AZ2949" s="156"/>
      <c r="BA2949" s="156"/>
      <c r="BB2949" s="2828"/>
      <c r="BC2949" s="452"/>
      <c r="BD2949" s="2829"/>
      <c r="BE2949" s="2837"/>
      <c r="BF2949" s="156"/>
    </row>
    <row r="2950" spans="1:58" ht="15" customHeight="1" outlineLevel="1" x14ac:dyDescent="0.35">
      <c r="A2950" s="1664"/>
      <c r="B2950" s="2812"/>
      <c r="C2950" s="3077"/>
      <c r="D2950" s="3980"/>
      <c r="E2950" s="3883"/>
      <c r="F2950" s="3984" t="str">
        <f>$E$1624</f>
        <v>ASHP-SEER16-Replace_CAC_ElectricHeat_ER2_MF</v>
      </c>
      <c r="G2950" s="3984"/>
      <c r="H2950" s="3984"/>
      <c r="I2950" s="3984"/>
      <c r="J2950" s="3501" t="str">
        <f>$C$1624</f>
        <v>353000_2021_12_</v>
      </c>
      <c r="K2950" s="3425">
        <v>869</v>
      </c>
      <c r="L2950" s="704"/>
      <c r="M2950" s="3020" t="s">
        <v>977</v>
      </c>
      <c r="N2950" s="106"/>
      <c r="O2950" s="106"/>
      <c r="P2950" s="702"/>
      <c r="Q2950" s="702"/>
      <c r="R2950" s="702"/>
      <c r="S2950" s="106"/>
      <c r="T2950" s="486"/>
      <c r="U2950" s="106"/>
      <c r="V2950" s="3980"/>
      <c r="W2950" s="3421">
        <v>869</v>
      </c>
      <c r="X2950" s="3421">
        <v>869</v>
      </c>
      <c r="Y2950" s="3425">
        <v>869</v>
      </c>
      <c r="Z2950" s="3425">
        <v>869</v>
      </c>
      <c r="AA2950" s="3425">
        <v>869</v>
      </c>
      <c r="AB2950" s="3425">
        <v>869</v>
      </c>
      <c r="AC2950" s="2132">
        <v>869</v>
      </c>
      <c r="AD2950" s="3421">
        <v>869</v>
      </c>
      <c r="AE2950" s="3429"/>
      <c r="AF2950" s="3421"/>
      <c r="AG2950" s="3421"/>
      <c r="AH2950" s="156"/>
      <c r="AI2950" s="156"/>
      <c r="AJ2950" s="156"/>
      <c r="AK2950" s="156"/>
      <c r="AL2950" s="156"/>
      <c r="AM2950" s="156"/>
      <c r="AN2950" s="156"/>
      <c r="AO2950" s="156"/>
      <c r="AP2950" s="156"/>
      <c r="AQ2950" s="156"/>
      <c r="AR2950" s="156"/>
      <c r="AS2950" s="156"/>
      <c r="AT2950" s="156"/>
      <c r="AU2950" s="156"/>
      <c r="AV2950" s="156"/>
      <c r="AW2950" s="156"/>
      <c r="AX2950" s="156"/>
      <c r="AY2950" s="156"/>
      <c r="AZ2950" s="156"/>
      <c r="BA2950" s="156"/>
      <c r="BB2950" s="2828"/>
      <c r="BC2950" s="452"/>
      <c r="BD2950" s="2829"/>
      <c r="BE2950" s="2837"/>
      <c r="BF2950" s="156"/>
    </row>
    <row r="2951" spans="1:58" ht="15" customHeight="1" outlineLevel="1" x14ac:dyDescent="0.35">
      <c r="A2951" s="1664"/>
      <c r="B2951" s="2812"/>
      <c r="C2951" s="3077"/>
      <c r="D2951" s="3980"/>
      <c r="E2951" s="3883"/>
      <c r="F2951" s="3984" t="str">
        <f>$E$1626</f>
        <v>ASHP-SEER16-Replace_CAC_ElectricHeat_ER1_MF_CompE</v>
      </c>
      <c r="G2951" s="3984"/>
      <c r="H2951" s="3984"/>
      <c r="I2951" s="3984"/>
      <c r="J2951" s="3501" t="str">
        <f>$C$1626</f>
        <v>353001_2021_12_</v>
      </c>
      <c r="K2951" s="3425">
        <f>$K$2925</f>
        <v>632</v>
      </c>
      <c r="L2951" s="704"/>
      <c r="M2951" s="3044" t="s">
        <v>513</v>
      </c>
      <c r="N2951" s="106"/>
      <c r="O2951" s="106"/>
      <c r="P2951" s="702"/>
      <c r="Q2951" s="702"/>
      <c r="R2951" s="702"/>
      <c r="S2951" s="106"/>
      <c r="T2951" s="486"/>
      <c r="U2951" s="106"/>
      <c r="V2951" s="3980"/>
      <c r="W2951" s="3421"/>
      <c r="X2951" s="3421"/>
      <c r="Y2951" s="2377">
        <f>$K$2925</f>
        <v>632</v>
      </c>
      <c r="Z2951" s="3425">
        <f t="shared" ref="Z2951:AA2952" si="378">$K$2925</f>
        <v>632</v>
      </c>
      <c r="AA2951" s="3425">
        <f t="shared" si="378"/>
        <v>632</v>
      </c>
      <c r="AB2951" s="3425">
        <v>632</v>
      </c>
      <c r="AC2951" s="2132">
        <f>$K$2925</f>
        <v>632</v>
      </c>
      <c r="AD2951" s="3421">
        <v>632</v>
      </c>
      <c r="AE2951" s="3429"/>
      <c r="AF2951" s="3421"/>
      <c r="AG2951" s="3421"/>
      <c r="AH2951" s="156"/>
      <c r="AI2951" s="156"/>
      <c r="AJ2951" s="156"/>
      <c r="AK2951" s="156"/>
      <c r="AL2951" s="156"/>
      <c r="AM2951" s="156"/>
      <c r="AN2951" s="156"/>
      <c r="AO2951" s="156"/>
      <c r="AP2951" s="156"/>
      <c r="AQ2951" s="156"/>
      <c r="AR2951" s="156"/>
      <c r="AS2951" s="156"/>
      <c r="AT2951" s="156"/>
      <c r="AU2951" s="156"/>
      <c r="AV2951" s="156"/>
      <c r="AW2951" s="156"/>
      <c r="AX2951" s="156"/>
      <c r="AY2951" s="156"/>
      <c r="AZ2951" s="156"/>
      <c r="BA2951" s="156"/>
      <c r="BB2951" s="2828"/>
      <c r="BC2951" s="452"/>
      <c r="BD2951" s="2829"/>
      <c r="BE2951" s="2837"/>
      <c r="BF2951" s="156"/>
    </row>
    <row r="2952" spans="1:58" ht="15" customHeight="1" outlineLevel="1" x14ac:dyDescent="0.35">
      <c r="A2952" s="1664"/>
      <c r="B2952" s="2812"/>
      <c r="C2952" s="3077"/>
      <c r="D2952" s="3980"/>
      <c r="E2952" s="3883"/>
      <c r="F2952" s="3984" t="str">
        <f>$E$1628</f>
        <v>ASHP-SEER16-Replace_CAC_ElectricHeat_ER2_MF_CompE</v>
      </c>
      <c r="G2952" s="3984"/>
      <c r="H2952" s="3984"/>
      <c r="I2952" s="3984"/>
      <c r="J2952" s="3501" t="str">
        <f>$C$1628</f>
        <v>353001_2021_12_</v>
      </c>
      <c r="K2952" s="3425">
        <f>$K$2925</f>
        <v>632</v>
      </c>
      <c r="L2952" s="704"/>
      <c r="M2952" s="3044" t="s">
        <v>513</v>
      </c>
      <c r="N2952" s="106"/>
      <c r="O2952" s="106"/>
      <c r="P2952" s="702"/>
      <c r="Q2952" s="702"/>
      <c r="R2952" s="702"/>
      <c r="S2952" s="106"/>
      <c r="T2952" s="486"/>
      <c r="U2952" s="106"/>
      <c r="V2952" s="3980"/>
      <c r="W2952" s="3421"/>
      <c r="X2952" s="3421"/>
      <c r="Y2952" s="2377">
        <f>$K$2925</f>
        <v>632</v>
      </c>
      <c r="Z2952" s="3425">
        <f t="shared" si="378"/>
        <v>632</v>
      </c>
      <c r="AA2952" s="3425">
        <f t="shared" si="378"/>
        <v>632</v>
      </c>
      <c r="AB2952" s="3425">
        <v>632</v>
      </c>
      <c r="AC2952" s="2132">
        <f>$K$2925</f>
        <v>632</v>
      </c>
      <c r="AD2952" s="3421">
        <v>632</v>
      </c>
      <c r="AE2952" s="3429"/>
      <c r="AF2952" s="3421"/>
      <c r="AG2952" s="3421"/>
      <c r="AH2952" s="156"/>
      <c r="AI2952" s="156"/>
      <c r="AJ2952" s="156"/>
      <c r="AK2952" s="156"/>
      <c r="AL2952" s="156"/>
      <c r="AM2952" s="156"/>
      <c r="AN2952" s="156"/>
      <c r="AO2952" s="156"/>
      <c r="AP2952" s="156"/>
      <c r="AQ2952" s="156"/>
      <c r="AR2952" s="156"/>
      <c r="AS2952" s="156"/>
      <c r="AT2952" s="156"/>
      <c r="AU2952" s="156"/>
      <c r="AV2952" s="156"/>
      <c r="AW2952" s="156"/>
      <c r="AX2952" s="156"/>
      <c r="AY2952" s="156"/>
      <c r="AZ2952" s="156"/>
      <c r="BA2952" s="156"/>
      <c r="BB2952" s="2828"/>
      <c r="BC2952" s="452"/>
      <c r="BD2952" s="2829"/>
      <c r="BE2952" s="2837"/>
      <c r="BF2952" s="156"/>
    </row>
    <row r="2953" spans="1:58" ht="15" customHeight="1" outlineLevel="1" x14ac:dyDescent="0.35">
      <c r="A2953" s="1664"/>
      <c r="B2953" s="2812"/>
      <c r="C2953" s="3077"/>
      <c r="D2953" s="3980"/>
      <c r="E2953" s="3883"/>
      <c r="F2953" s="3984" t="str">
        <f>$E$1630</f>
        <v>ASHP-SEER16-Replace_CAC_NonElectricHeat_ER1_MF</v>
      </c>
      <c r="G2953" s="3984"/>
      <c r="H2953" s="3984"/>
      <c r="I2953" s="3984"/>
      <c r="J2953" s="3501" t="str">
        <f>$C$1630</f>
        <v>353010_2021_12_</v>
      </c>
      <c r="K2953" s="3425">
        <v>869</v>
      </c>
      <c r="L2953" s="704"/>
      <c r="M2953" s="3020" t="s">
        <v>977</v>
      </c>
      <c r="N2953" s="106"/>
      <c r="O2953" s="106"/>
      <c r="P2953" s="702"/>
      <c r="Q2953" s="702"/>
      <c r="R2953" s="702"/>
      <c r="S2953" s="106"/>
      <c r="T2953" s="486"/>
      <c r="U2953" s="106"/>
      <c r="V2953" s="3980"/>
      <c r="W2953" s="3421"/>
      <c r="X2953" s="3421"/>
      <c r="Y2953" s="2377"/>
      <c r="Z2953" s="3425"/>
      <c r="AA2953" s="3425"/>
      <c r="AB2953" s="3425"/>
      <c r="AC2953" s="2922">
        <v>869</v>
      </c>
      <c r="AD2953" s="3421">
        <v>869</v>
      </c>
      <c r="AE2953" s="3429"/>
      <c r="AF2953" s="3421"/>
      <c r="AG2953" s="3421"/>
      <c r="AH2953" s="156"/>
      <c r="AI2953" s="156"/>
      <c r="AJ2953" s="156"/>
      <c r="AK2953" s="156"/>
      <c r="AL2953" s="156"/>
      <c r="AM2953" s="156"/>
      <c r="AN2953" s="156"/>
      <c r="AO2953" s="156"/>
      <c r="AP2953" s="156"/>
      <c r="AQ2953" s="156"/>
      <c r="AR2953" s="156"/>
      <c r="AS2953" s="156"/>
      <c r="AT2953" s="156"/>
      <c r="AU2953" s="156"/>
      <c r="AV2953" s="156"/>
      <c r="AW2953" s="156"/>
      <c r="AX2953" s="156"/>
      <c r="AY2953" s="156"/>
      <c r="AZ2953" s="156"/>
      <c r="BA2953" s="156"/>
      <c r="BB2953" s="2828"/>
      <c r="BC2953" s="452"/>
      <c r="BD2953" s="2829"/>
      <c r="BE2953" s="2837"/>
      <c r="BF2953" s="156"/>
    </row>
    <row r="2954" spans="1:58" ht="15" customHeight="1" outlineLevel="1" x14ac:dyDescent="0.35">
      <c r="A2954" s="1664"/>
      <c r="B2954" s="2812"/>
      <c r="C2954" s="3077"/>
      <c r="D2954" s="3980"/>
      <c r="E2954" s="3883"/>
      <c r="F2954" s="3984" t="str">
        <f>$E$1632</f>
        <v>ASHP-SEER16-Replace_CAC_NonElectricHeat_ER2_MF</v>
      </c>
      <c r="G2954" s="3984"/>
      <c r="H2954" s="3984"/>
      <c r="I2954" s="3984"/>
      <c r="J2954" s="3501" t="str">
        <f>$C$1632</f>
        <v>353010_2021_12_</v>
      </c>
      <c r="K2954" s="3425">
        <v>869</v>
      </c>
      <c r="L2954" s="704"/>
      <c r="M2954" s="3020" t="s">
        <v>977</v>
      </c>
      <c r="N2954" s="106"/>
      <c r="O2954" s="106"/>
      <c r="P2954" s="702"/>
      <c r="Q2954" s="702"/>
      <c r="R2954" s="702"/>
      <c r="S2954" s="106"/>
      <c r="T2954" s="486"/>
      <c r="U2954" s="106"/>
      <c r="V2954" s="3980"/>
      <c r="W2954" s="3421"/>
      <c r="X2954" s="3421"/>
      <c r="Y2954" s="2377"/>
      <c r="Z2954" s="3425"/>
      <c r="AA2954" s="3425"/>
      <c r="AB2954" s="3425"/>
      <c r="AC2954" s="2922">
        <v>869</v>
      </c>
      <c r="AD2954" s="3421">
        <v>869</v>
      </c>
      <c r="AE2954" s="3429"/>
      <c r="AF2954" s="3421"/>
      <c r="AG2954" s="3421"/>
      <c r="AH2954" s="156"/>
      <c r="AI2954" s="156"/>
      <c r="AJ2954" s="156"/>
      <c r="AK2954" s="156"/>
      <c r="AL2954" s="156"/>
      <c r="AM2954" s="156"/>
      <c r="AN2954" s="156"/>
      <c r="AO2954" s="156"/>
      <c r="AP2954" s="156"/>
      <c r="AQ2954" s="156"/>
      <c r="AR2954" s="156"/>
      <c r="AS2954" s="156"/>
      <c r="AT2954" s="156"/>
      <c r="AU2954" s="156"/>
      <c r="AV2954" s="156"/>
      <c r="AW2954" s="156"/>
      <c r="AX2954" s="156"/>
      <c r="AY2954" s="156"/>
      <c r="AZ2954" s="156"/>
      <c r="BA2954" s="156"/>
      <c r="BB2954" s="2828"/>
      <c r="BC2954" s="452"/>
      <c r="BD2954" s="2829"/>
      <c r="BE2954" s="2837"/>
      <c r="BF2954" s="156"/>
    </row>
    <row r="2955" spans="1:58" ht="15" customHeight="1" outlineLevel="1" x14ac:dyDescent="0.35">
      <c r="A2955" s="1664"/>
      <c r="B2955" s="2812"/>
      <c r="C2955" s="3077"/>
      <c r="D2955" s="3980"/>
      <c r="E2955" s="3883"/>
      <c r="F2955" s="3984" t="str">
        <f>$E$1634</f>
        <v>ASHP-SEER16-Replace_CAC_NonElectricHeat_ER1_MF_CompE</v>
      </c>
      <c r="G2955" s="3984"/>
      <c r="H2955" s="3984"/>
      <c r="I2955" s="3984"/>
      <c r="J2955" s="3501" t="str">
        <f>$C$1634</f>
        <v>353011_2021_12_</v>
      </c>
      <c r="K2955" s="3425">
        <f>$K$2925</f>
        <v>632</v>
      </c>
      <c r="L2955" s="704"/>
      <c r="M2955" s="3044" t="s">
        <v>513</v>
      </c>
      <c r="N2955" s="106"/>
      <c r="O2955" s="106"/>
      <c r="P2955" s="702"/>
      <c r="Q2955" s="702"/>
      <c r="R2955" s="702"/>
      <c r="S2955" s="106"/>
      <c r="T2955" s="486"/>
      <c r="U2955" s="106"/>
      <c r="V2955" s="3980"/>
      <c r="W2955" s="3421"/>
      <c r="X2955" s="3421"/>
      <c r="Y2955" s="2377"/>
      <c r="Z2955" s="3425"/>
      <c r="AA2955" s="3425"/>
      <c r="AB2955" s="3425"/>
      <c r="AC2955" s="2922">
        <f>$K$2925</f>
        <v>632</v>
      </c>
      <c r="AD2955" s="3421">
        <v>632</v>
      </c>
      <c r="AE2955" s="3429"/>
      <c r="AF2955" s="3421"/>
      <c r="AG2955" s="3421"/>
      <c r="AH2955" s="156"/>
      <c r="AI2955" s="156"/>
      <c r="AJ2955" s="156"/>
      <c r="AK2955" s="156"/>
      <c r="AL2955" s="156"/>
      <c r="AM2955" s="156"/>
      <c r="AN2955" s="156"/>
      <c r="AO2955" s="156"/>
      <c r="AP2955" s="156"/>
      <c r="AQ2955" s="156"/>
      <c r="AR2955" s="156"/>
      <c r="AS2955" s="156"/>
      <c r="AT2955" s="156"/>
      <c r="AU2955" s="156"/>
      <c r="AV2955" s="156"/>
      <c r="AW2955" s="156"/>
      <c r="AX2955" s="156"/>
      <c r="AY2955" s="156"/>
      <c r="AZ2955" s="156"/>
      <c r="BA2955" s="156"/>
      <c r="BB2955" s="2828"/>
      <c r="BC2955" s="452"/>
      <c r="BD2955" s="2829"/>
      <c r="BE2955" s="2837"/>
      <c r="BF2955" s="156"/>
    </row>
    <row r="2956" spans="1:58" ht="15" customHeight="1" outlineLevel="1" x14ac:dyDescent="0.35">
      <c r="A2956" s="1664"/>
      <c r="B2956" s="2812"/>
      <c r="C2956" s="3077"/>
      <c r="D2956" s="3980"/>
      <c r="E2956" s="3883"/>
      <c r="F2956" s="3984" t="str">
        <f>$E$1636</f>
        <v>ASHP-SEER16-Replace_CAC_NonElectricHeat_ER2_MF_CompE</v>
      </c>
      <c r="G2956" s="3984"/>
      <c r="H2956" s="3984"/>
      <c r="I2956" s="3984"/>
      <c r="J2956" s="3501" t="str">
        <f>$C$1636</f>
        <v>353011_2021_12_</v>
      </c>
      <c r="K2956" s="3425">
        <f>$K$2925</f>
        <v>632</v>
      </c>
      <c r="L2956" s="704"/>
      <c r="M2956" s="3044" t="s">
        <v>513</v>
      </c>
      <c r="N2956" s="106"/>
      <c r="O2956" s="106"/>
      <c r="P2956" s="702"/>
      <c r="Q2956" s="702"/>
      <c r="R2956" s="702"/>
      <c r="S2956" s="106"/>
      <c r="T2956" s="486"/>
      <c r="U2956" s="106"/>
      <c r="V2956" s="3980"/>
      <c r="W2956" s="3421"/>
      <c r="X2956" s="3421"/>
      <c r="Y2956" s="2377"/>
      <c r="Z2956" s="3425"/>
      <c r="AA2956" s="3425"/>
      <c r="AB2956" s="3425"/>
      <c r="AC2956" s="2922">
        <f>$K$2925</f>
        <v>632</v>
      </c>
      <c r="AD2956" s="3421">
        <v>632</v>
      </c>
      <c r="AE2956" s="3429"/>
      <c r="AF2956" s="3421"/>
      <c r="AG2956" s="3421"/>
      <c r="AH2956" s="156"/>
      <c r="AI2956" s="156"/>
      <c r="AJ2956" s="156"/>
      <c r="AK2956" s="156"/>
      <c r="AL2956" s="156"/>
      <c r="AM2956" s="156"/>
      <c r="AN2956" s="156"/>
      <c r="AO2956" s="156"/>
      <c r="AP2956" s="156"/>
      <c r="AQ2956" s="156"/>
      <c r="AR2956" s="156"/>
      <c r="AS2956" s="156"/>
      <c r="AT2956" s="156"/>
      <c r="AU2956" s="156"/>
      <c r="AV2956" s="156"/>
      <c r="AW2956" s="156"/>
      <c r="AX2956" s="156"/>
      <c r="AY2956" s="156"/>
      <c r="AZ2956" s="156"/>
      <c r="BA2956" s="156"/>
      <c r="BB2956" s="2828"/>
      <c r="BC2956" s="452"/>
      <c r="BD2956" s="2829"/>
      <c r="BE2956" s="2837"/>
      <c r="BF2956" s="156"/>
    </row>
    <row r="2957" spans="1:58" ht="15" customHeight="1" outlineLevel="1" x14ac:dyDescent="0.35">
      <c r="A2957" s="1664"/>
      <c r="B2957" s="2812"/>
      <c r="C2957" s="3077"/>
      <c r="D2957" s="3980"/>
      <c r="E2957" s="3883"/>
      <c r="F2957" s="3984" t="str">
        <f>$E$1638</f>
        <v>ASHP-SEER15_ROF_MF</v>
      </c>
      <c r="G2957" s="3984"/>
      <c r="H2957" s="3984"/>
      <c r="I2957" s="3984"/>
      <c r="J2957" s="3501" t="str">
        <f>$C$1638</f>
        <v>353050_2021_12_</v>
      </c>
      <c r="K2957" s="3425">
        <v>869</v>
      </c>
      <c r="L2957" s="704"/>
      <c r="M2957" s="3020" t="s">
        <v>977</v>
      </c>
      <c r="N2957" s="106"/>
      <c r="O2957" s="106"/>
      <c r="P2957" s="702"/>
      <c r="Q2957" s="702"/>
      <c r="R2957" s="702"/>
      <c r="S2957" s="106"/>
      <c r="T2957" s="486"/>
      <c r="U2957" s="106"/>
      <c r="V2957" s="3980"/>
      <c r="W2957" s="3421">
        <v>869</v>
      </c>
      <c r="X2957" s="3421">
        <v>869</v>
      </c>
      <c r="Y2957" s="3425">
        <v>869</v>
      </c>
      <c r="Z2957" s="3425">
        <v>869</v>
      </c>
      <c r="AA2957" s="3425">
        <v>869</v>
      </c>
      <c r="AB2957" s="3425">
        <v>869</v>
      </c>
      <c r="AC2957" s="2132">
        <v>869</v>
      </c>
      <c r="AD2957" s="3421">
        <v>869</v>
      </c>
      <c r="AE2957" s="3429"/>
      <c r="AF2957" s="3421"/>
      <c r="AG2957" s="3421"/>
      <c r="AH2957" s="156"/>
      <c r="AI2957" s="156"/>
      <c r="AJ2957" s="156"/>
      <c r="AK2957" s="156"/>
      <c r="AL2957" s="156"/>
      <c r="AM2957" s="156"/>
      <c r="AN2957" s="156"/>
      <c r="AO2957" s="156"/>
      <c r="AP2957" s="156"/>
      <c r="AQ2957" s="156"/>
      <c r="AR2957" s="156"/>
      <c r="AS2957" s="156"/>
      <c r="AT2957" s="156"/>
      <c r="AU2957" s="156"/>
      <c r="AV2957" s="156"/>
      <c r="AW2957" s="156"/>
      <c r="AX2957" s="156"/>
      <c r="AY2957" s="156"/>
      <c r="AZ2957" s="156"/>
      <c r="BA2957" s="156"/>
      <c r="BB2957" s="2828"/>
      <c r="BC2957" s="452"/>
      <c r="BD2957" s="2829"/>
      <c r="BE2957" s="2837"/>
      <c r="BF2957" s="156"/>
    </row>
    <row r="2958" spans="1:58" ht="15" customHeight="1" outlineLevel="1" x14ac:dyDescent="0.35">
      <c r="A2958" s="1664"/>
      <c r="B2958" s="2812"/>
      <c r="C2958" s="3077"/>
      <c r="D2958" s="3980"/>
      <c r="E2958" s="3883"/>
      <c r="F2958" s="3984" t="str">
        <f>$E$1640</f>
        <v>ASHP-SEER15_ROF_MF_CompE</v>
      </c>
      <c r="G2958" s="3984"/>
      <c r="H2958" s="3984"/>
      <c r="I2958" s="3984"/>
      <c r="J2958" s="3501" t="str">
        <f>$C$1640</f>
        <v>353051_2021_12_</v>
      </c>
      <c r="K2958" s="3425">
        <f>$K$2925</f>
        <v>632</v>
      </c>
      <c r="L2958" s="704"/>
      <c r="M2958" s="3044" t="s">
        <v>513</v>
      </c>
      <c r="N2958" s="106"/>
      <c r="O2958" s="106"/>
      <c r="P2958" s="702"/>
      <c r="Q2958" s="702"/>
      <c r="R2958" s="702"/>
      <c r="S2958" s="106"/>
      <c r="T2958" s="486"/>
      <c r="U2958" s="106"/>
      <c r="V2958" s="3980"/>
      <c r="W2958" s="3421"/>
      <c r="X2958" s="3421"/>
      <c r="Y2958" s="2377">
        <f>$K$2925</f>
        <v>632</v>
      </c>
      <c r="Z2958" s="3425">
        <f t="shared" ref="Z2958:AA2958" si="379">$K$2925</f>
        <v>632</v>
      </c>
      <c r="AA2958" s="3425">
        <f t="shared" si="379"/>
        <v>632</v>
      </c>
      <c r="AB2958" s="3425">
        <v>632</v>
      </c>
      <c r="AC2958" s="2132">
        <f>$K$2925</f>
        <v>632</v>
      </c>
      <c r="AD2958" s="3421">
        <v>632</v>
      </c>
      <c r="AE2958" s="3429"/>
      <c r="AF2958" s="3421"/>
      <c r="AG2958" s="3421"/>
      <c r="AH2958" s="156"/>
      <c r="AI2958" s="156"/>
      <c r="AJ2958" s="156"/>
      <c r="AK2958" s="156"/>
      <c r="AL2958" s="156"/>
      <c r="AM2958" s="156"/>
      <c r="AN2958" s="156"/>
      <c r="AO2958" s="156"/>
      <c r="AP2958" s="156"/>
      <c r="AQ2958" s="156"/>
      <c r="AR2958" s="156"/>
      <c r="AS2958" s="156"/>
      <c r="AT2958" s="156"/>
      <c r="AU2958" s="156"/>
      <c r="AV2958" s="156"/>
      <c r="AW2958" s="156"/>
      <c r="AX2958" s="156"/>
      <c r="AY2958" s="156"/>
      <c r="AZ2958" s="156"/>
      <c r="BA2958" s="156"/>
      <c r="BB2958" s="2828"/>
      <c r="BC2958" s="452"/>
      <c r="BD2958" s="2829"/>
      <c r="BE2958" s="2837"/>
      <c r="BF2958" s="156"/>
    </row>
    <row r="2959" spans="1:58" ht="15" customHeight="1" outlineLevel="1" x14ac:dyDescent="0.35">
      <c r="A2959" s="1664"/>
      <c r="B2959" s="2812"/>
      <c r="C2959" s="3077"/>
      <c r="D2959" s="3980"/>
      <c r="E2959" s="3883"/>
      <c r="F2959" s="3984" t="str">
        <f>$E$1642</f>
        <v>ASHP-SEER17-Replace_CAC_ElectricHeat_ROF_SF</v>
      </c>
      <c r="G2959" s="3984"/>
      <c r="H2959" s="3984"/>
      <c r="I2959" s="3984"/>
      <c r="J2959" s="3501" t="str">
        <f>$C$1642</f>
        <v>353100_2021_12_</v>
      </c>
      <c r="K2959" s="3425">
        <v>869</v>
      </c>
      <c r="L2959" s="704"/>
      <c r="M2959" s="3020" t="s">
        <v>977</v>
      </c>
      <c r="N2959" s="106"/>
      <c r="O2959" s="106"/>
      <c r="P2959" s="702"/>
      <c r="Q2959" s="702"/>
      <c r="R2959" s="702"/>
      <c r="S2959" s="106"/>
      <c r="T2959" s="486"/>
      <c r="U2959" s="106"/>
      <c r="V2959" s="3980"/>
      <c r="W2959" s="3421">
        <v>869</v>
      </c>
      <c r="X2959" s="3421">
        <v>869</v>
      </c>
      <c r="Y2959" s="3425">
        <v>869</v>
      </c>
      <c r="Z2959" s="3425">
        <v>869</v>
      </c>
      <c r="AA2959" s="3425">
        <v>869</v>
      </c>
      <c r="AB2959" s="3425">
        <v>869</v>
      </c>
      <c r="AC2959" s="2132">
        <v>869</v>
      </c>
      <c r="AD2959" s="3421">
        <v>869</v>
      </c>
      <c r="AE2959" s="3429"/>
      <c r="AF2959" s="3421"/>
      <c r="AG2959" s="3421"/>
      <c r="AH2959" s="156"/>
      <c r="AI2959" s="156"/>
      <c r="AJ2959" s="156"/>
      <c r="AK2959" s="156"/>
      <c r="AL2959" s="156"/>
      <c r="AM2959" s="156"/>
      <c r="AN2959" s="156"/>
      <c r="AO2959" s="156"/>
      <c r="AP2959" s="156"/>
      <c r="AQ2959" s="156"/>
      <c r="AR2959" s="156"/>
      <c r="AS2959" s="156"/>
      <c r="AT2959" s="156"/>
      <c r="AU2959" s="156"/>
      <c r="AV2959" s="156"/>
      <c r="AW2959" s="156"/>
      <c r="AX2959" s="156"/>
      <c r="AY2959" s="156"/>
      <c r="AZ2959" s="156"/>
      <c r="BA2959" s="156"/>
      <c r="BB2959" s="2828"/>
      <c r="BC2959" s="452"/>
      <c r="BD2959" s="2829"/>
      <c r="BE2959" s="2837"/>
      <c r="BF2959" s="156"/>
    </row>
    <row r="2960" spans="1:58" s="3398" customFormat="1" ht="15" customHeight="1" outlineLevel="1" x14ac:dyDescent="0.35">
      <c r="A2960" s="1664"/>
      <c r="B2960" s="2812"/>
      <c r="C2960" s="3077"/>
      <c r="D2960" s="3980"/>
      <c r="E2960" s="3883"/>
      <c r="F2960" s="4136" t="str">
        <f>$E$1644</f>
        <v>ASHP-SEER17-Replace_CAC_NonElectricHeat_ROF_SF</v>
      </c>
      <c r="G2960" s="4136"/>
      <c r="H2960" s="4136"/>
      <c r="I2960" s="4136"/>
      <c r="J2960" s="3502" t="str">
        <f>$C$1644</f>
        <v>353110_2022_12_</v>
      </c>
      <c r="K2960" s="2377">
        <v>869</v>
      </c>
      <c r="L2960" s="704"/>
      <c r="M2960" s="3525" t="s">
        <v>977</v>
      </c>
      <c r="P2960" s="702"/>
      <c r="Q2960" s="702"/>
      <c r="R2960" s="702"/>
      <c r="T2960" s="3397"/>
      <c r="V2960" s="3980"/>
      <c r="W2960" s="3421"/>
      <c r="X2960" s="3421"/>
      <c r="Y2960" s="3425"/>
      <c r="Z2960" s="3425"/>
      <c r="AA2960" s="3425"/>
      <c r="AB2960" s="3425"/>
      <c r="AC2960" s="2132"/>
      <c r="AD2960" s="2374">
        <v>869</v>
      </c>
      <c r="AE2960" s="3429"/>
      <c r="AF2960" s="3421"/>
      <c r="AG2960" s="3421"/>
      <c r="AH2960" s="156"/>
      <c r="AI2960" s="156"/>
      <c r="AJ2960" s="156"/>
      <c r="AK2960" s="156"/>
      <c r="AL2960" s="156"/>
      <c r="AM2960" s="156"/>
      <c r="AN2960" s="156"/>
      <c r="AO2960" s="156"/>
      <c r="AP2960" s="156"/>
      <c r="AQ2960" s="156"/>
      <c r="AR2960" s="156"/>
      <c r="AS2960" s="156"/>
      <c r="AT2960" s="156"/>
      <c r="AU2960" s="156"/>
      <c r="AV2960" s="156"/>
      <c r="AW2960" s="156"/>
      <c r="AX2960" s="156"/>
      <c r="AY2960" s="156"/>
      <c r="AZ2960" s="156"/>
      <c r="BA2960" s="156"/>
      <c r="BB2960" s="2828"/>
      <c r="BC2960" s="452"/>
      <c r="BD2960" s="2829"/>
      <c r="BE2960" s="2837"/>
      <c r="BF2960" s="156"/>
    </row>
    <row r="2961" spans="1:58" ht="15" customHeight="1" outlineLevel="1" x14ac:dyDescent="0.35">
      <c r="A2961" s="1664"/>
      <c r="B2961" s="2812"/>
      <c r="C2961" s="3077"/>
      <c r="D2961" s="3980"/>
      <c r="E2961" s="3883"/>
      <c r="F2961" s="3984" t="str">
        <f>$E$1646</f>
        <v>ASHP-SEER17-Replace_CAC_ElectricHeat_ROF_MF</v>
      </c>
      <c r="G2961" s="3984"/>
      <c r="H2961" s="3984"/>
      <c r="I2961" s="3984"/>
      <c r="J2961" s="3501" t="str">
        <f>$C$1646</f>
        <v>353150_2019_12_</v>
      </c>
      <c r="K2961" s="3425">
        <v>869</v>
      </c>
      <c r="L2961" s="704"/>
      <c r="M2961" s="3020" t="s">
        <v>977</v>
      </c>
      <c r="N2961" s="106"/>
      <c r="O2961" s="106"/>
      <c r="P2961" s="702"/>
      <c r="Q2961" s="702"/>
      <c r="R2961" s="702"/>
      <c r="S2961" s="106"/>
      <c r="T2961" s="486"/>
      <c r="U2961" s="106"/>
      <c r="V2961" s="3980"/>
      <c r="W2961" s="3421">
        <v>869</v>
      </c>
      <c r="X2961" s="3421">
        <v>869</v>
      </c>
      <c r="Y2961" s="3425">
        <v>869</v>
      </c>
      <c r="Z2961" s="3425">
        <v>869</v>
      </c>
      <c r="AA2961" s="3425">
        <v>869</v>
      </c>
      <c r="AB2961" s="3425">
        <v>869</v>
      </c>
      <c r="AC2961" s="2132">
        <v>869</v>
      </c>
      <c r="AD2961" s="3421">
        <v>869</v>
      </c>
      <c r="AE2961" s="3429"/>
      <c r="AF2961" s="3421"/>
      <c r="AG2961" s="3421"/>
      <c r="AH2961" s="156"/>
      <c r="AI2961" s="156"/>
      <c r="AJ2961" s="156"/>
      <c r="AK2961" s="156"/>
      <c r="AL2961" s="156"/>
      <c r="AM2961" s="156"/>
      <c r="AN2961" s="156"/>
      <c r="AO2961" s="156"/>
      <c r="AP2961" s="156"/>
      <c r="AQ2961" s="156"/>
      <c r="AR2961" s="156"/>
      <c r="AS2961" s="156"/>
      <c r="AT2961" s="156"/>
      <c r="AU2961" s="156"/>
      <c r="AV2961" s="156"/>
      <c r="AW2961" s="156"/>
      <c r="AX2961" s="156"/>
      <c r="AY2961" s="156"/>
      <c r="AZ2961" s="156"/>
      <c r="BA2961" s="156"/>
      <c r="BB2961" s="2828"/>
      <c r="BC2961" s="452"/>
      <c r="BD2961" s="2829"/>
      <c r="BE2961" s="2837"/>
      <c r="BF2961" s="156"/>
    </row>
    <row r="2962" spans="1:58" ht="15" customHeight="1" outlineLevel="1" x14ac:dyDescent="0.35">
      <c r="A2962" s="1664"/>
      <c r="B2962" s="2812"/>
      <c r="C2962" s="3077"/>
      <c r="D2962" s="3980"/>
      <c r="E2962" s="3883"/>
      <c r="F2962" s="3984" t="str">
        <f>$E$1648</f>
        <v>ASHP-SEER17-Replace_CAC_ElectricHeat_ROF_MF_CompE</v>
      </c>
      <c r="G2962" s="3984"/>
      <c r="H2962" s="3984"/>
      <c r="I2962" s="3984"/>
      <c r="J2962" s="3501" t="str">
        <f>$C$1648</f>
        <v>353151_2019_12_</v>
      </c>
      <c r="K2962" s="3425">
        <f>$K$2925</f>
        <v>632</v>
      </c>
      <c r="L2962" s="704"/>
      <c r="M2962" s="3044" t="s">
        <v>513</v>
      </c>
      <c r="N2962" s="106"/>
      <c r="O2962" s="106"/>
      <c r="P2962" s="702"/>
      <c r="Q2962" s="702"/>
      <c r="R2962" s="702"/>
      <c r="S2962" s="106"/>
      <c r="T2962" s="486"/>
      <c r="U2962" s="106"/>
      <c r="V2962" s="3980"/>
      <c r="W2962" s="3421"/>
      <c r="X2962" s="3421"/>
      <c r="Y2962" s="2377">
        <f>$K$2925</f>
        <v>632</v>
      </c>
      <c r="Z2962" s="3425">
        <f t="shared" ref="Z2962:AA2962" si="380">$K$2925</f>
        <v>632</v>
      </c>
      <c r="AA2962" s="3425">
        <f t="shared" si="380"/>
        <v>632</v>
      </c>
      <c r="AB2962" s="3425">
        <v>632</v>
      </c>
      <c r="AC2962" s="2132">
        <f>$K$2925</f>
        <v>632</v>
      </c>
      <c r="AD2962" s="3421">
        <v>632</v>
      </c>
      <c r="AE2962" s="3429"/>
      <c r="AF2962" s="3421"/>
      <c r="AG2962" s="3421"/>
      <c r="AH2962" s="156"/>
      <c r="AI2962" s="156"/>
      <c r="AJ2962" s="156"/>
      <c r="AK2962" s="156"/>
      <c r="AL2962" s="156"/>
      <c r="AM2962" s="156"/>
      <c r="AN2962" s="156"/>
      <c r="AO2962" s="156"/>
      <c r="AP2962" s="156"/>
      <c r="AQ2962" s="156"/>
      <c r="AR2962" s="156"/>
      <c r="AS2962" s="156"/>
      <c r="AT2962" s="156"/>
      <c r="AU2962" s="156"/>
      <c r="AV2962" s="156"/>
      <c r="AW2962" s="156"/>
      <c r="AX2962" s="156"/>
      <c r="AY2962" s="156"/>
      <c r="AZ2962" s="156"/>
      <c r="BA2962" s="156"/>
      <c r="BB2962" s="2828"/>
      <c r="BC2962" s="452"/>
      <c r="BD2962" s="2829"/>
      <c r="BE2962" s="2837"/>
      <c r="BF2962" s="156"/>
    </row>
    <row r="2963" spans="1:58" ht="15" customHeight="1" outlineLevel="1" x14ac:dyDescent="0.35">
      <c r="A2963" s="1664"/>
      <c r="B2963" s="2812"/>
      <c r="C2963" s="3077"/>
      <c r="D2963" s="3980"/>
      <c r="E2963" s="3883"/>
      <c r="F2963" s="3984" t="str">
        <f>$E$1650</f>
        <v>ASHP-SEER17-Replace_CAC_NonElectricHeat_ROF_MF</v>
      </c>
      <c r="G2963" s="3984"/>
      <c r="H2963" s="3984"/>
      <c r="I2963" s="3984"/>
      <c r="J2963" s="3501" t="str">
        <f>$C$1650</f>
        <v>353160_2021_12_</v>
      </c>
      <c r="K2963" s="3425">
        <v>869</v>
      </c>
      <c r="L2963" s="704"/>
      <c r="M2963" s="3020" t="s">
        <v>977</v>
      </c>
      <c r="N2963" s="106"/>
      <c r="O2963" s="106"/>
      <c r="P2963" s="702"/>
      <c r="Q2963" s="702"/>
      <c r="R2963" s="702"/>
      <c r="S2963" s="106"/>
      <c r="T2963" s="486"/>
      <c r="U2963" s="106"/>
      <c r="V2963" s="3980"/>
      <c r="W2963" s="3421"/>
      <c r="X2963" s="3421"/>
      <c r="Y2963" s="2377"/>
      <c r="Z2963" s="3425"/>
      <c r="AA2963" s="3425"/>
      <c r="AB2963" s="3425"/>
      <c r="AC2963" s="2922">
        <v>869</v>
      </c>
      <c r="AD2963" s="3421">
        <v>869</v>
      </c>
      <c r="AE2963" s="3429"/>
      <c r="AF2963" s="3421"/>
      <c r="AG2963" s="3421"/>
      <c r="AH2963" s="156"/>
      <c r="AI2963" s="156"/>
      <c r="AJ2963" s="156"/>
      <c r="AK2963" s="156"/>
      <c r="AL2963" s="156"/>
      <c r="AM2963" s="156"/>
      <c r="AN2963" s="156"/>
      <c r="AO2963" s="156"/>
      <c r="AP2963" s="156"/>
      <c r="AQ2963" s="156"/>
      <c r="AR2963" s="156"/>
      <c r="AS2963" s="156"/>
      <c r="AT2963" s="156"/>
      <c r="AU2963" s="156"/>
      <c r="AV2963" s="156"/>
      <c r="AW2963" s="156"/>
      <c r="AX2963" s="156"/>
      <c r="AY2963" s="156"/>
      <c r="AZ2963" s="156"/>
      <c r="BA2963" s="156"/>
      <c r="BB2963" s="2828"/>
      <c r="BC2963" s="452"/>
      <c r="BD2963" s="2829"/>
      <c r="BE2963" s="2837"/>
      <c r="BF2963" s="156"/>
    </row>
    <row r="2964" spans="1:58" ht="15" customHeight="1" outlineLevel="1" x14ac:dyDescent="0.35">
      <c r="A2964" s="1664"/>
      <c r="B2964" s="2812"/>
      <c r="C2964" s="3077"/>
      <c r="D2964" s="3980"/>
      <c r="E2964" s="3883"/>
      <c r="F2964" s="3984" t="str">
        <f>$E$1652</f>
        <v>ASHP-SEER17-Replace_CAC_NonElectricHeat_ROF_MF_CompE</v>
      </c>
      <c r="G2964" s="3984"/>
      <c r="H2964" s="3984"/>
      <c r="I2964" s="3984"/>
      <c r="J2964" s="3501" t="str">
        <f>$C$1652</f>
        <v>353161_2021_12_</v>
      </c>
      <c r="K2964" s="3425">
        <f>$K$2925</f>
        <v>632</v>
      </c>
      <c r="L2964" s="704"/>
      <c r="M2964" s="3044" t="s">
        <v>513</v>
      </c>
      <c r="N2964" s="106"/>
      <c r="O2964" s="106"/>
      <c r="P2964" s="702"/>
      <c r="Q2964" s="702"/>
      <c r="R2964" s="702"/>
      <c r="S2964" s="106"/>
      <c r="T2964" s="486"/>
      <c r="U2964" s="106"/>
      <c r="V2964" s="3980"/>
      <c r="W2964" s="3421"/>
      <c r="X2964" s="3421"/>
      <c r="Y2964" s="2377"/>
      <c r="Z2964" s="3425"/>
      <c r="AA2964" s="3425"/>
      <c r="AB2964" s="3425"/>
      <c r="AC2964" s="2922">
        <f>$K$2925</f>
        <v>632</v>
      </c>
      <c r="AD2964" s="3421">
        <v>632</v>
      </c>
      <c r="AE2964" s="3429"/>
      <c r="AF2964" s="3421"/>
      <c r="AG2964" s="3421"/>
      <c r="AH2964" s="156"/>
      <c r="AI2964" s="156"/>
      <c r="AJ2964" s="156"/>
      <c r="AK2964" s="156"/>
      <c r="AL2964" s="156"/>
      <c r="AM2964" s="156"/>
      <c r="AN2964" s="156"/>
      <c r="AO2964" s="156"/>
      <c r="AP2964" s="156"/>
      <c r="AQ2964" s="156"/>
      <c r="AR2964" s="156"/>
      <c r="AS2964" s="156"/>
      <c r="AT2964" s="156"/>
      <c r="AU2964" s="156"/>
      <c r="AV2964" s="156"/>
      <c r="AW2964" s="156"/>
      <c r="AX2964" s="156"/>
      <c r="AY2964" s="156"/>
      <c r="AZ2964" s="156"/>
      <c r="BA2964" s="156"/>
      <c r="BB2964" s="2828"/>
      <c r="BC2964" s="452"/>
      <c r="BD2964" s="2829"/>
      <c r="BE2964" s="2837"/>
      <c r="BF2964" s="156"/>
    </row>
    <row r="2965" spans="1:58" ht="15" customHeight="1" outlineLevel="1" x14ac:dyDescent="0.35">
      <c r="A2965" s="1664"/>
      <c r="B2965" s="2812"/>
      <c r="C2965" s="3077"/>
      <c r="D2965" s="3980"/>
      <c r="E2965" s="3883"/>
      <c r="F2965" s="3984" t="str">
        <f>$E$1654</f>
        <v>ASHP-SEER18-Replace_CAC_ElectricHeat_ROF_SF</v>
      </c>
      <c r="G2965" s="3984"/>
      <c r="H2965" s="3984"/>
      <c r="I2965" s="3984"/>
      <c r="J2965" s="3501" t="str">
        <f>$C$1654</f>
        <v>353200_2021_12_</v>
      </c>
      <c r="K2965" s="3425">
        <v>869</v>
      </c>
      <c r="L2965" s="704"/>
      <c r="M2965" s="3020" t="s">
        <v>977</v>
      </c>
      <c r="N2965" s="106"/>
      <c r="O2965" s="106"/>
      <c r="P2965" s="702"/>
      <c r="Q2965" s="702"/>
      <c r="R2965" s="702"/>
      <c r="S2965" s="106"/>
      <c r="T2965" s="486"/>
      <c r="U2965" s="106"/>
      <c r="V2965" s="3980"/>
      <c r="W2965" s="3421">
        <v>869</v>
      </c>
      <c r="X2965" s="3421">
        <v>869</v>
      </c>
      <c r="Y2965" s="3425">
        <v>869</v>
      </c>
      <c r="Z2965" s="3425">
        <v>869</v>
      </c>
      <c r="AA2965" s="3425">
        <v>869</v>
      </c>
      <c r="AB2965" s="3425">
        <v>869</v>
      </c>
      <c r="AC2965" s="2132">
        <v>869</v>
      </c>
      <c r="AD2965" s="3421">
        <v>869</v>
      </c>
      <c r="AE2965" s="3429"/>
      <c r="AF2965" s="3421"/>
      <c r="AG2965" s="3421"/>
      <c r="AH2965" s="156"/>
      <c r="AI2965" s="156"/>
      <c r="AJ2965" s="156"/>
      <c r="AK2965" s="156"/>
      <c r="AL2965" s="156"/>
      <c r="AM2965" s="156"/>
      <c r="AN2965" s="156"/>
      <c r="AO2965" s="156"/>
      <c r="AP2965" s="156"/>
      <c r="AQ2965" s="156"/>
      <c r="AR2965" s="156"/>
      <c r="AS2965" s="156"/>
      <c r="AT2965" s="156"/>
      <c r="AU2965" s="156"/>
      <c r="AV2965" s="156"/>
      <c r="AW2965" s="156"/>
      <c r="AX2965" s="156"/>
      <c r="AY2965" s="156"/>
      <c r="AZ2965" s="156"/>
      <c r="BA2965" s="156"/>
      <c r="BB2965" s="2828"/>
      <c r="BC2965" s="452"/>
      <c r="BD2965" s="2829"/>
      <c r="BE2965" s="2837"/>
      <c r="BF2965" s="156"/>
    </row>
    <row r="2966" spans="1:58" s="3398" customFormat="1" ht="15" customHeight="1" outlineLevel="1" x14ac:dyDescent="0.35">
      <c r="A2966" s="1664"/>
      <c r="B2966" s="2812"/>
      <c r="C2966" s="3077"/>
      <c r="D2966" s="3980"/>
      <c r="E2966" s="3883"/>
      <c r="F2966" s="4136" t="str">
        <f>$E$1656</f>
        <v>ASHP-SEER18-Replace_CAC_NonElectricHeat_ROF_SF</v>
      </c>
      <c r="G2966" s="4136"/>
      <c r="H2966" s="4136"/>
      <c r="I2966" s="4136"/>
      <c r="J2966" s="3502" t="str">
        <f>$C$1656</f>
        <v>353210_2022_12_</v>
      </c>
      <c r="K2966" s="2377">
        <v>869</v>
      </c>
      <c r="L2966" s="704"/>
      <c r="M2966" s="3525" t="s">
        <v>977</v>
      </c>
      <c r="P2966" s="702"/>
      <c r="Q2966" s="702"/>
      <c r="R2966" s="702"/>
      <c r="T2966" s="3397"/>
      <c r="V2966" s="3980"/>
      <c r="W2966" s="3421"/>
      <c r="X2966" s="3421"/>
      <c r="Y2966" s="3425"/>
      <c r="Z2966" s="3425"/>
      <c r="AA2966" s="3425"/>
      <c r="AB2966" s="3425"/>
      <c r="AC2966" s="2132"/>
      <c r="AD2966" s="2374">
        <v>869</v>
      </c>
      <c r="AE2966" s="3429"/>
      <c r="AF2966" s="3421"/>
      <c r="AG2966" s="3421"/>
      <c r="AH2966" s="156"/>
      <c r="AI2966" s="156"/>
      <c r="AJ2966" s="156"/>
      <c r="AK2966" s="156"/>
      <c r="AL2966" s="156"/>
      <c r="AM2966" s="156"/>
      <c r="AN2966" s="156"/>
      <c r="AO2966" s="156"/>
      <c r="AP2966" s="156"/>
      <c r="AQ2966" s="156"/>
      <c r="AR2966" s="156"/>
      <c r="AS2966" s="156"/>
      <c r="AT2966" s="156"/>
      <c r="AU2966" s="156"/>
      <c r="AV2966" s="156"/>
      <c r="AW2966" s="156"/>
      <c r="AX2966" s="156"/>
      <c r="AY2966" s="156"/>
      <c r="AZ2966" s="156"/>
      <c r="BA2966" s="156"/>
      <c r="BB2966" s="2828"/>
      <c r="BC2966" s="452"/>
      <c r="BD2966" s="2829"/>
      <c r="BE2966" s="2837"/>
      <c r="BF2966" s="156"/>
    </row>
    <row r="2967" spans="1:58" ht="15" customHeight="1" outlineLevel="1" x14ac:dyDescent="0.35">
      <c r="A2967" s="1664"/>
      <c r="B2967" s="2812"/>
      <c r="C2967" s="3077"/>
      <c r="D2967" s="3980"/>
      <c r="E2967" s="3883"/>
      <c r="F2967" s="3984" t="str">
        <f>$E$1658</f>
        <v>ASHP-SEER18-Replace_CAC_ElectricHeat_ROF_MF</v>
      </c>
      <c r="G2967" s="3984"/>
      <c r="H2967" s="3984"/>
      <c r="I2967" s="3984"/>
      <c r="J2967" s="3501" t="str">
        <f>$C$1658</f>
        <v>353250_2021_12_</v>
      </c>
      <c r="K2967" s="3425">
        <v>869</v>
      </c>
      <c r="L2967" s="704"/>
      <c r="M2967" s="3020" t="s">
        <v>977</v>
      </c>
      <c r="N2967" s="106"/>
      <c r="O2967" s="106"/>
      <c r="P2967" s="702"/>
      <c r="Q2967" s="702"/>
      <c r="R2967" s="702"/>
      <c r="S2967" s="106"/>
      <c r="T2967" s="486"/>
      <c r="U2967" s="106"/>
      <c r="V2967" s="3980"/>
      <c r="W2967" s="3421">
        <v>869</v>
      </c>
      <c r="X2967" s="3421">
        <v>869</v>
      </c>
      <c r="Y2967" s="3425">
        <v>869</v>
      </c>
      <c r="Z2967" s="3425">
        <v>869</v>
      </c>
      <c r="AA2967" s="3425">
        <v>869</v>
      </c>
      <c r="AB2967" s="3425">
        <v>869</v>
      </c>
      <c r="AC2967" s="2132">
        <v>869</v>
      </c>
      <c r="AD2967" s="3421">
        <v>869</v>
      </c>
      <c r="AE2967" s="3429"/>
      <c r="AF2967" s="3421"/>
      <c r="AG2967" s="3421"/>
      <c r="AH2967" s="156"/>
      <c r="AI2967" s="156"/>
      <c r="AJ2967" s="156"/>
      <c r="AK2967" s="156"/>
      <c r="AL2967" s="156"/>
      <c r="AM2967" s="156"/>
      <c r="AN2967" s="156"/>
      <c r="AO2967" s="156"/>
      <c r="AP2967" s="156"/>
      <c r="AQ2967" s="156"/>
      <c r="AR2967" s="156"/>
      <c r="AS2967" s="156"/>
      <c r="AT2967" s="156"/>
      <c r="AU2967" s="156"/>
      <c r="AV2967" s="156"/>
      <c r="AW2967" s="156"/>
      <c r="AX2967" s="156"/>
      <c r="AY2967" s="156"/>
      <c r="AZ2967" s="156"/>
      <c r="BA2967" s="156"/>
      <c r="BB2967" s="2828"/>
      <c r="BC2967" s="452"/>
      <c r="BD2967" s="2829"/>
      <c r="BE2967" s="2837"/>
      <c r="BF2967" s="156"/>
    </row>
    <row r="2968" spans="1:58" ht="15" customHeight="1" outlineLevel="1" x14ac:dyDescent="0.35">
      <c r="A2968" s="1664"/>
      <c r="B2968" s="2812"/>
      <c r="C2968" s="3077"/>
      <c r="D2968" s="3980"/>
      <c r="E2968" s="3883"/>
      <c r="F2968" s="3984" t="str">
        <f>$E$1660</f>
        <v>ASHP-SEER18-Replace_CAC_ElectricHeat_ROF_MF_CompE</v>
      </c>
      <c r="G2968" s="3984"/>
      <c r="H2968" s="3984"/>
      <c r="I2968" s="3984"/>
      <c r="J2968" s="3501" t="str">
        <f>$C$1660</f>
        <v>353251_2021_12_</v>
      </c>
      <c r="K2968" s="3425">
        <f>$K$2925</f>
        <v>632</v>
      </c>
      <c r="L2968" s="704"/>
      <c r="M2968" s="3044" t="s">
        <v>513</v>
      </c>
      <c r="N2968" s="106"/>
      <c r="O2968" s="106"/>
      <c r="P2968" s="702"/>
      <c r="Q2968" s="702"/>
      <c r="R2968" s="702"/>
      <c r="S2968" s="106"/>
      <c r="T2968" s="486"/>
      <c r="U2968" s="106"/>
      <c r="V2968" s="3980"/>
      <c r="W2968" s="3421"/>
      <c r="X2968" s="3421"/>
      <c r="Y2968" s="2377">
        <f>$K$2925</f>
        <v>632</v>
      </c>
      <c r="Z2968" s="3425">
        <f t="shared" ref="Z2968:AA2968" si="381">$K$2925</f>
        <v>632</v>
      </c>
      <c r="AA2968" s="3425">
        <f t="shared" si="381"/>
        <v>632</v>
      </c>
      <c r="AB2968" s="3425">
        <v>632</v>
      </c>
      <c r="AC2968" s="2132">
        <f>$K$2925</f>
        <v>632</v>
      </c>
      <c r="AD2968" s="3421">
        <v>632</v>
      </c>
      <c r="AE2968" s="3429"/>
      <c r="AF2968" s="3421"/>
      <c r="AG2968" s="3421"/>
      <c r="AH2968" s="156"/>
      <c r="AI2968" s="156"/>
      <c r="AJ2968" s="156"/>
      <c r="AK2968" s="156"/>
      <c r="AL2968" s="156"/>
      <c r="AM2968" s="156"/>
      <c r="AN2968" s="156"/>
      <c r="AO2968" s="156"/>
      <c r="AP2968" s="156"/>
      <c r="AQ2968" s="156"/>
      <c r="AR2968" s="156"/>
      <c r="AS2968" s="156"/>
      <c r="AT2968" s="156"/>
      <c r="AU2968" s="156"/>
      <c r="AV2968" s="156"/>
      <c r="AW2968" s="156"/>
      <c r="AX2968" s="156"/>
      <c r="AY2968" s="156"/>
      <c r="AZ2968" s="156"/>
      <c r="BA2968" s="156"/>
      <c r="BB2968" s="2828"/>
      <c r="BC2968" s="452"/>
      <c r="BD2968" s="2829"/>
      <c r="BE2968" s="2837"/>
      <c r="BF2968" s="156"/>
    </row>
    <row r="2969" spans="1:58" ht="15" customHeight="1" outlineLevel="1" x14ac:dyDescent="0.35">
      <c r="A2969" s="1664"/>
      <c r="B2969" s="2812"/>
      <c r="C2969" s="3077"/>
      <c r="D2969" s="3980"/>
      <c r="E2969" s="3883"/>
      <c r="F2969" s="3984" t="str">
        <f>$E$1662</f>
        <v>ASHP-SEER18-Replace_CAC_NonElectricHeat_ROF_MF</v>
      </c>
      <c r="G2969" s="3984"/>
      <c r="H2969" s="3984"/>
      <c r="I2969" s="3984"/>
      <c r="J2969" s="3501" t="str">
        <f>$C$1662</f>
        <v>353260_2021_12_</v>
      </c>
      <c r="K2969" s="3425">
        <v>869</v>
      </c>
      <c r="L2969" s="704"/>
      <c r="M2969" s="3020" t="s">
        <v>977</v>
      </c>
      <c r="N2969" s="106"/>
      <c r="O2969" s="106"/>
      <c r="P2969" s="702"/>
      <c r="Q2969" s="702"/>
      <c r="R2969" s="702"/>
      <c r="S2969" s="106"/>
      <c r="T2969" s="486"/>
      <c r="U2969" s="106"/>
      <c r="V2969" s="3980"/>
      <c r="W2969" s="3421"/>
      <c r="X2969" s="3421"/>
      <c r="Y2969" s="2377"/>
      <c r="Z2969" s="3425"/>
      <c r="AA2969" s="3425"/>
      <c r="AB2969" s="3425"/>
      <c r="AC2969" s="2922">
        <v>869</v>
      </c>
      <c r="AD2969" s="3421">
        <v>869</v>
      </c>
      <c r="AE2969" s="3429"/>
      <c r="AF2969" s="3421"/>
      <c r="AG2969" s="3421"/>
      <c r="AH2969" s="156"/>
      <c r="AI2969" s="156"/>
      <c r="AJ2969" s="156"/>
      <c r="AK2969" s="156"/>
      <c r="AL2969" s="156"/>
      <c r="AM2969" s="156"/>
      <c r="AN2969" s="156"/>
      <c r="AO2969" s="156"/>
      <c r="AP2969" s="156"/>
      <c r="AQ2969" s="156"/>
      <c r="AR2969" s="156"/>
      <c r="AS2969" s="156"/>
      <c r="AT2969" s="156"/>
      <c r="AU2969" s="156"/>
      <c r="AV2969" s="156"/>
      <c r="AW2969" s="156"/>
      <c r="AX2969" s="156"/>
      <c r="AY2969" s="156"/>
      <c r="AZ2969" s="156"/>
      <c r="BA2969" s="156"/>
      <c r="BB2969" s="2828"/>
      <c r="BC2969" s="452"/>
      <c r="BD2969" s="2829"/>
      <c r="BE2969" s="2837"/>
      <c r="BF2969" s="156"/>
    </row>
    <row r="2970" spans="1:58" ht="15" customHeight="1" outlineLevel="1" x14ac:dyDescent="0.35">
      <c r="A2970" s="1664"/>
      <c r="B2970" s="2812"/>
      <c r="C2970" s="3077"/>
      <c r="D2970" s="3980"/>
      <c r="E2970" s="3883"/>
      <c r="F2970" s="3984" t="str">
        <f>$E$1664</f>
        <v>ASHP-SEER18-Replace_CAC_NonElectricHeat_ROF_MF_CompE</v>
      </c>
      <c r="G2970" s="3984"/>
      <c r="H2970" s="3984"/>
      <c r="I2970" s="3984"/>
      <c r="J2970" s="3501" t="str">
        <f>$C$1664</f>
        <v>353261_2021_12_</v>
      </c>
      <c r="K2970" s="3425">
        <f>$K$2925</f>
        <v>632</v>
      </c>
      <c r="L2970" s="704"/>
      <c r="M2970" s="3044" t="s">
        <v>513</v>
      </c>
      <c r="N2970" s="106"/>
      <c r="O2970" s="106"/>
      <c r="P2970" s="702"/>
      <c r="Q2970" s="702"/>
      <c r="R2970" s="702"/>
      <c r="S2970" s="106"/>
      <c r="T2970" s="486"/>
      <c r="U2970" s="106"/>
      <c r="V2970" s="3980"/>
      <c r="W2970" s="3421"/>
      <c r="X2970" s="3421"/>
      <c r="Y2970" s="2377"/>
      <c r="Z2970" s="3425"/>
      <c r="AA2970" s="3425"/>
      <c r="AB2970" s="3425"/>
      <c r="AC2970" s="2922">
        <f>$K$2925</f>
        <v>632</v>
      </c>
      <c r="AD2970" s="3421">
        <v>632</v>
      </c>
      <c r="AE2970" s="3429"/>
      <c r="AF2970" s="3421"/>
      <c r="AG2970" s="3421"/>
      <c r="AH2970" s="156"/>
      <c r="AI2970" s="156"/>
      <c r="AJ2970" s="156"/>
      <c r="AK2970" s="156"/>
      <c r="AL2970" s="156"/>
      <c r="AM2970" s="156"/>
      <c r="AN2970" s="156"/>
      <c r="AO2970" s="156"/>
      <c r="AP2970" s="156"/>
      <c r="AQ2970" s="156"/>
      <c r="AR2970" s="156"/>
      <c r="AS2970" s="156"/>
      <c r="AT2970" s="156"/>
      <c r="AU2970" s="156"/>
      <c r="AV2970" s="156"/>
      <c r="AW2970" s="156"/>
      <c r="AX2970" s="156"/>
      <c r="AY2970" s="156"/>
      <c r="AZ2970" s="156"/>
      <c r="BA2970" s="156"/>
      <c r="BB2970" s="2828"/>
      <c r="BC2970" s="452"/>
      <c r="BD2970" s="2829"/>
      <c r="BE2970" s="2837"/>
      <c r="BF2970" s="156"/>
    </row>
    <row r="2971" spans="1:58" ht="15" customHeight="1" outlineLevel="1" x14ac:dyDescent="0.35">
      <c r="A2971" s="1664"/>
      <c r="B2971" s="2812"/>
      <c r="C2971" s="3077"/>
      <c r="D2971" s="3980"/>
      <c r="E2971" s="3883"/>
      <c r="F2971" s="3984" t="str">
        <f>$E$1666</f>
        <v>ASHP-SEER19-Replace_CAC_ElectricHeat_ROF_SF</v>
      </c>
      <c r="G2971" s="3984"/>
      <c r="H2971" s="3984"/>
      <c r="I2971" s="3984"/>
      <c r="J2971" s="3501" t="str">
        <f>$C$1666</f>
        <v>353300_2021_12_</v>
      </c>
      <c r="K2971" s="3425">
        <v>869</v>
      </c>
      <c r="L2971" s="704"/>
      <c r="M2971" s="3020" t="s">
        <v>977</v>
      </c>
      <c r="N2971" s="106"/>
      <c r="O2971" s="106"/>
      <c r="P2971" s="702"/>
      <c r="Q2971" s="702"/>
      <c r="R2971" s="702"/>
      <c r="S2971" s="106"/>
      <c r="T2971" s="486"/>
      <c r="U2971" s="106"/>
      <c r="V2971" s="3980"/>
      <c r="W2971" s="3421">
        <v>869</v>
      </c>
      <c r="X2971" s="3421">
        <v>869</v>
      </c>
      <c r="Y2971" s="3425">
        <v>869</v>
      </c>
      <c r="Z2971" s="3425">
        <v>869</v>
      </c>
      <c r="AA2971" s="3425">
        <v>869</v>
      </c>
      <c r="AB2971" s="3425">
        <v>869</v>
      </c>
      <c r="AC2971" s="2132">
        <v>869</v>
      </c>
      <c r="AD2971" s="3421">
        <v>869</v>
      </c>
      <c r="AE2971" s="3429"/>
      <c r="AF2971" s="3421"/>
      <c r="AG2971" s="3421"/>
      <c r="AH2971" s="156"/>
      <c r="AI2971" s="156"/>
      <c r="AJ2971" s="156"/>
      <c r="AK2971" s="156"/>
      <c r="AL2971" s="156"/>
      <c r="AM2971" s="156"/>
      <c r="AN2971" s="156"/>
      <c r="AO2971" s="156"/>
      <c r="AP2971" s="156"/>
      <c r="AQ2971" s="156"/>
      <c r="AR2971" s="156"/>
      <c r="AS2971" s="156"/>
      <c r="AT2971" s="156"/>
      <c r="AU2971" s="156"/>
      <c r="AV2971" s="156"/>
      <c r="AW2971" s="156"/>
      <c r="AX2971" s="156"/>
      <c r="AY2971" s="156"/>
      <c r="AZ2971" s="156"/>
      <c r="BA2971" s="156"/>
      <c r="BB2971" s="2828"/>
      <c r="BC2971" s="452"/>
      <c r="BD2971" s="2829"/>
      <c r="BE2971" s="2837"/>
      <c r="BF2971" s="156"/>
    </row>
    <row r="2972" spans="1:58" s="3398" customFormat="1" ht="15" customHeight="1" outlineLevel="1" x14ac:dyDescent="0.35">
      <c r="A2972" s="1664"/>
      <c r="B2972" s="2812"/>
      <c r="C2972" s="3077"/>
      <c r="D2972" s="3980"/>
      <c r="E2972" s="3883"/>
      <c r="F2972" s="4136" t="str">
        <f>$E$1668</f>
        <v>ASHP-SEER19-Replace_CAC_NonElectricHeat_ROF_SF</v>
      </c>
      <c r="G2972" s="4136"/>
      <c r="H2972" s="4136"/>
      <c r="I2972" s="4136"/>
      <c r="J2972" s="3502" t="str">
        <f>$C$1668</f>
        <v>353310_2022_12_</v>
      </c>
      <c r="K2972" s="2377">
        <v>869</v>
      </c>
      <c r="L2972" s="704"/>
      <c r="M2972" s="3525" t="s">
        <v>977</v>
      </c>
      <c r="P2972" s="702"/>
      <c r="Q2972" s="702"/>
      <c r="R2972" s="702"/>
      <c r="T2972" s="3397"/>
      <c r="V2972" s="3980"/>
      <c r="W2972" s="3421"/>
      <c r="X2972" s="3421"/>
      <c r="Y2972" s="3425"/>
      <c r="Z2972" s="3425"/>
      <c r="AA2972" s="3425"/>
      <c r="AB2972" s="3425"/>
      <c r="AC2972" s="2132"/>
      <c r="AD2972" s="2374">
        <v>869</v>
      </c>
      <c r="AE2972" s="3429"/>
      <c r="AF2972" s="3421"/>
      <c r="AG2972" s="3421"/>
      <c r="AH2972" s="156"/>
      <c r="AI2972" s="156"/>
      <c r="AJ2972" s="156"/>
      <c r="AK2972" s="156"/>
      <c r="AL2972" s="156"/>
      <c r="AM2972" s="156"/>
      <c r="AN2972" s="156"/>
      <c r="AO2972" s="156"/>
      <c r="AP2972" s="156"/>
      <c r="AQ2972" s="156"/>
      <c r="AR2972" s="156"/>
      <c r="AS2972" s="156"/>
      <c r="AT2972" s="156"/>
      <c r="AU2972" s="156"/>
      <c r="AV2972" s="156"/>
      <c r="AW2972" s="156"/>
      <c r="AX2972" s="156"/>
      <c r="AY2972" s="156"/>
      <c r="AZ2972" s="156"/>
      <c r="BA2972" s="156"/>
      <c r="BB2972" s="2828"/>
      <c r="BC2972" s="452"/>
      <c r="BD2972" s="2829"/>
      <c r="BE2972" s="2837"/>
      <c r="BF2972" s="156"/>
    </row>
    <row r="2973" spans="1:58" ht="15" customHeight="1" outlineLevel="1" x14ac:dyDescent="0.35">
      <c r="A2973" s="1664"/>
      <c r="B2973" s="2812"/>
      <c r="C2973" s="3077"/>
      <c r="D2973" s="3980"/>
      <c r="E2973" s="3883"/>
      <c r="F2973" s="3984" t="str">
        <f>$E$1670</f>
        <v>ASHP-SEER19-Replace_CAC_ElectricHeat_ROF_MF</v>
      </c>
      <c r="G2973" s="3984"/>
      <c r="H2973" s="3984"/>
      <c r="I2973" s="3984"/>
      <c r="J2973" s="3501" t="str">
        <f>$C$1670</f>
        <v>353350_2021_12_</v>
      </c>
      <c r="K2973" s="3425">
        <v>869</v>
      </c>
      <c r="L2973" s="704"/>
      <c r="M2973" s="3020" t="s">
        <v>977</v>
      </c>
      <c r="N2973" s="106"/>
      <c r="O2973" s="106"/>
      <c r="P2973" s="702"/>
      <c r="Q2973" s="702"/>
      <c r="R2973" s="702"/>
      <c r="S2973" s="106"/>
      <c r="T2973" s="486"/>
      <c r="U2973" s="106"/>
      <c r="V2973" s="3980"/>
      <c r="W2973" s="3421">
        <v>869</v>
      </c>
      <c r="X2973" s="3421">
        <v>869</v>
      </c>
      <c r="Y2973" s="3425">
        <v>869</v>
      </c>
      <c r="Z2973" s="3425">
        <v>869</v>
      </c>
      <c r="AA2973" s="3425">
        <v>869</v>
      </c>
      <c r="AB2973" s="3425">
        <v>869</v>
      </c>
      <c r="AC2973" s="2132">
        <v>869</v>
      </c>
      <c r="AD2973" s="3421">
        <v>869</v>
      </c>
      <c r="AE2973" s="3429"/>
      <c r="AF2973" s="3421"/>
      <c r="AG2973" s="3421"/>
      <c r="AH2973" s="156"/>
      <c r="AI2973" s="156"/>
      <c r="AJ2973" s="156"/>
      <c r="AK2973" s="156"/>
      <c r="AL2973" s="156"/>
      <c r="AM2973" s="156"/>
      <c r="AN2973" s="156"/>
      <c r="AO2973" s="156"/>
      <c r="AP2973" s="156"/>
      <c r="AQ2973" s="156"/>
      <c r="AR2973" s="156"/>
      <c r="AS2973" s="156"/>
      <c r="AT2973" s="156"/>
      <c r="AU2973" s="156"/>
      <c r="AV2973" s="156"/>
      <c r="AW2973" s="156"/>
      <c r="AX2973" s="156"/>
      <c r="AY2973" s="156"/>
      <c r="AZ2973" s="156"/>
      <c r="BA2973" s="156"/>
      <c r="BB2973" s="2828"/>
      <c r="BC2973" s="452"/>
      <c r="BD2973" s="2829"/>
      <c r="BE2973" s="2837"/>
      <c r="BF2973" s="156"/>
    </row>
    <row r="2974" spans="1:58" ht="15" customHeight="1" outlineLevel="1" x14ac:dyDescent="0.35">
      <c r="A2974" s="1664"/>
      <c r="B2974" s="2812"/>
      <c r="C2974" s="3077"/>
      <c r="D2974" s="3980"/>
      <c r="E2974" s="3883"/>
      <c r="F2974" s="3984" t="str">
        <f>$E$1672</f>
        <v>ASHP-SEER19-Replace_CAC_ElectricHeat_ROF_MF_CompE</v>
      </c>
      <c r="G2974" s="3984"/>
      <c r="H2974" s="3984"/>
      <c r="I2974" s="3984"/>
      <c r="J2974" s="3501" t="str">
        <f>$C$1672</f>
        <v>353351_2019_12_</v>
      </c>
      <c r="K2974" s="3425">
        <f>$K$2925</f>
        <v>632</v>
      </c>
      <c r="L2974" s="704"/>
      <c r="M2974" s="3044" t="s">
        <v>513</v>
      </c>
      <c r="N2974" s="106"/>
      <c r="O2974" s="106"/>
      <c r="P2974" s="702"/>
      <c r="Q2974" s="702"/>
      <c r="R2974" s="702"/>
      <c r="S2974" s="106"/>
      <c r="T2974" s="486"/>
      <c r="U2974" s="106"/>
      <c r="V2974" s="3980"/>
      <c r="W2974" s="3421"/>
      <c r="X2974" s="3421"/>
      <c r="Y2974" s="2377">
        <f>$K$2925</f>
        <v>632</v>
      </c>
      <c r="Z2974" s="3425">
        <f t="shared" ref="Z2974:AA2974" si="382">$K$2925</f>
        <v>632</v>
      </c>
      <c r="AA2974" s="3425">
        <f t="shared" si="382"/>
        <v>632</v>
      </c>
      <c r="AB2974" s="3425">
        <v>632</v>
      </c>
      <c r="AC2974" s="2132">
        <f>$K$2925</f>
        <v>632</v>
      </c>
      <c r="AD2974" s="3421">
        <v>632</v>
      </c>
      <c r="AE2974" s="3429"/>
      <c r="AF2974" s="3421"/>
      <c r="AG2974" s="3421"/>
      <c r="AH2974" s="156"/>
      <c r="AI2974" s="156"/>
      <c r="AJ2974" s="156"/>
      <c r="AK2974" s="156"/>
      <c r="AL2974" s="156"/>
      <c r="AM2974" s="156"/>
      <c r="AN2974" s="156"/>
      <c r="AO2974" s="156"/>
      <c r="AP2974" s="156"/>
      <c r="AQ2974" s="156"/>
      <c r="AR2974" s="156"/>
      <c r="AS2974" s="156"/>
      <c r="AT2974" s="156"/>
      <c r="AU2974" s="156"/>
      <c r="AV2974" s="156"/>
      <c r="AW2974" s="156"/>
      <c r="AX2974" s="156"/>
      <c r="AY2974" s="156"/>
      <c r="AZ2974" s="156"/>
      <c r="BA2974" s="156"/>
      <c r="BB2974" s="2828"/>
      <c r="BC2974" s="452"/>
      <c r="BD2974" s="2829"/>
      <c r="BE2974" s="2837"/>
      <c r="BF2974" s="156"/>
    </row>
    <row r="2975" spans="1:58" ht="15" customHeight="1" outlineLevel="1" x14ac:dyDescent="0.35">
      <c r="A2975" s="1664"/>
      <c r="B2975" s="2812"/>
      <c r="C2975" s="3077"/>
      <c r="D2975" s="3980"/>
      <c r="E2975" s="3883"/>
      <c r="F2975" s="3984" t="str">
        <f>$E$1674</f>
        <v>ASHP-SEER19-Replace_CAC_NonElectricHeat_ROF_MF</v>
      </c>
      <c r="G2975" s="3984"/>
      <c r="H2975" s="3984"/>
      <c r="I2975" s="3984"/>
      <c r="J2975" s="3501" t="str">
        <f>$C$1674</f>
        <v>353360_2021_12_</v>
      </c>
      <c r="K2975" s="3425">
        <v>869</v>
      </c>
      <c r="L2975" s="704"/>
      <c r="M2975" s="3020" t="s">
        <v>977</v>
      </c>
      <c r="N2975" s="106"/>
      <c r="O2975" s="106"/>
      <c r="P2975" s="702"/>
      <c r="Q2975" s="702"/>
      <c r="R2975" s="702"/>
      <c r="S2975" s="106"/>
      <c r="T2975" s="486"/>
      <c r="U2975" s="106"/>
      <c r="V2975" s="3980"/>
      <c r="W2975" s="3421"/>
      <c r="X2975" s="3421"/>
      <c r="Y2975" s="2377"/>
      <c r="Z2975" s="3425"/>
      <c r="AA2975" s="3425"/>
      <c r="AB2975" s="3425"/>
      <c r="AC2975" s="2922">
        <v>869</v>
      </c>
      <c r="AD2975" s="3421">
        <v>869</v>
      </c>
      <c r="AE2975" s="3429"/>
      <c r="AF2975" s="3421"/>
      <c r="AG2975" s="3421"/>
      <c r="AH2975" s="156"/>
      <c r="AI2975" s="156"/>
      <c r="AJ2975" s="156"/>
      <c r="AK2975" s="156"/>
      <c r="AL2975" s="156"/>
      <c r="AM2975" s="156"/>
      <c r="AN2975" s="156"/>
      <c r="AO2975" s="156"/>
      <c r="AP2975" s="156"/>
      <c r="AQ2975" s="156"/>
      <c r="AR2975" s="156"/>
      <c r="AS2975" s="156"/>
      <c r="AT2975" s="156"/>
      <c r="AU2975" s="156"/>
      <c r="AV2975" s="156"/>
      <c r="AW2975" s="156"/>
      <c r="AX2975" s="156"/>
      <c r="AY2975" s="156"/>
      <c r="AZ2975" s="156"/>
      <c r="BA2975" s="156"/>
      <c r="BB2975" s="2828"/>
      <c r="BC2975" s="452"/>
      <c r="BD2975" s="2829"/>
      <c r="BE2975" s="2837"/>
      <c r="BF2975" s="156"/>
    </row>
    <row r="2976" spans="1:58" ht="15" customHeight="1" outlineLevel="1" x14ac:dyDescent="0.35">
      <c r="A2976" s="1664"/>
      <c r="B2976" s="2812"/>
      <c r="C2976" s="3077"/>
      <c r="D2976" s="3980"/>
      <c r="E2976" s="3883"/>
      <c r="F2976" s="3984" t="str">
        <f>$E$1676</f>
        <v>ASHP-SEER19-Replace_CAC_NonElectricHeat_ROF_MF_CompE</v>
      </c>
      <c r="G2976" s="3984"/>
      <c r="H2976" s="3984"/>
      <c r="I2976" s="3984"/>
      <c r="J2976" s="3501" t="str">
        <f>$C$1676</f>
        <v>353361_2021_12_</v>
      </c>
      <c r="K2976" s="3425">
        <f>$K$2925</f>
        <v>632</v>
      </c>
      <c r="L2976" s="704"/>
      <c r="M2976" s="3044" t="s">
        <v>513</v>
      </c>
      <c r="N2976" s="106"/>
      <c r="O2976" s="106"/>
      <c r="P2976" s="702"/>
      <c r="Q2976" s="702"/>
      <c r="R2976" s="702"/>
      <c r="S2976" s="106"/>
      <c r="T2976" s="486"/>
      <c r="U2976" s="106"/>
      <c r="V2976" s="3980"/>
      <c r="W2976" s="3421"/>
      <c r="X2976" s="3421"/>
      <c r="Y2976" s="2377"/>
      <c r="Z2976" s="3425"/>
      <c r="AA2976" s="3425"/>
      <c r="AB2976" s="3425"/>
      <c r="AC2976" s="2922">
        <f>$K$2925</f>
        <v>632</v>
      </c>
      <c r="AD2976" s="3421">
        <v>632</v>
      </c>
      <c r="AE2976" s="3429"/>
      <c r="AF2976" s="3421"/>
      <c r="AG2976" s="3421"/>
      <c r="AH2976" s="156"/>
      <c r="AI2976" s="156"/>
      <c r="AJ2976" s="156"/>
      <c r="AK2976" s="156"/>
      <c r="AL2976" s="156"/>
      <c r="AM2976" s="156"/>
      <c r="AN2976" s="156"/>
      <c r="AO2976" s="156"/>
      <c r="AP2976" s="156"/>
      <c r="AQ2976" s="156"/>
      <c r="AR2976" s="156"/>
      <c r="AS2976" s="156"/>
      <c r="AT2976" s="156"/>
      <c r="AU2976" s="156"/>
      <c r="AV2976" s="156"/>
      <c r="AW2976" s="156"/>
      <c r="AX2976" s="156"/>
      <c r="AY2976" s="156"/>
      <c r="AZ2976" s="156"/>
      <c r="BA2976" s="156"/>
      <c r="BB2976" s="2828"/>
      <c r="BC2976" s="452"/>
      <c r="BD2976" s="2829"/>
      <c r="BE2976" s="2837"/>
      <c r="BF2976" s="156"/>
    </row>
    <row r="2977" spans="1:58" ht="15" customHeight="1" outlineLevel="1" x14ac:dyDescent="0.35">
      <c r="A2977" s="1664"/>
      <c r="B2977" s="2812"/>
      <c r="C2977" s="3077"/>
      <c r="D2977" s="3980"/>
      <c r="E2977" s="3883"/>
      <c r="F2977" s="3984" t="str">
        <f>$E$1678</f>
        <v>ASHP-SEER20-Replace_CAC_ElectricHeat_ER1_SF</v>
      </c>
      <c r="G2977" s="3984"/>
      <c r="H2977" s="3984"/>
      <c r="I2977" s="3984"/>
      <c r="J2977" s="3501" t="str">
        <f>$C$1678</f>
        <v>353400_2021_12_</v>
      </c>
      <c r="K2977" s="3425">
        <v>869</v>
      </c>
      <c r="L2977" s="704"/>
      <c r="M2977" s="3020" t="s">
        <v>977</v>
      </c>
      <c r="N2977" s="106"/>
      <c r="O2977" s="106"/>
      <c r="P2977" s="702"/>
      <c r="Q2977" s="702"/>
      <c r="R2977" s="702"/>
      <c r="S2977" s="106"/>
      <c r="T2977" s="486"/>
      <c r="U2977" s="106"/>
      <c r="V2977" s="3980"/>
      <c r="W2977" s="3421">
        <v>869</v>
      </c>
      <c r="X2977" s="3421">
        <v>869</v>
      </c>
      <c r="Y2977" s="3425">
        <v>869</v>
      </c>
      <c r="Z2977" s="3425">
        <v>869</v>
      </c>
      <c r="AA2977" s="3425">
        <v>869</v>
      </c>
      <c r="AB2977" s="3425">
        <v>869</v>
      </c>
      <c r="AC2977" s="2132">
        <v>869</v>
      </c>
      <c r="AD2977" s="3421">
        <v>869</v>
      </c>
      <c r="AE2977" s="3429"/>
      <c r="AF2977" s="3421"/>
      <c r="AG2977" s="3421"/>
      <c r="AH2977" s="156"/>
      <c r="AI2977" s="156"/>
      <c r="AJ2977" s="156"/>
      <c r="AK2977" s="156"/>
      <c r="AL2977" s="156"/>
      <c r="AM2977" s="156"/>
      <c r="AN2977" s="156"/>
      <c r="AO2977" s="156"/>
      <c r="AP2977" s="156"/>
      <c r="AQ2977" s="156"/>
      <c r="AR2977" s="156"/>
      <c r="AS2977" s="156"/>
      <c r="AT2977" s="156"/>
      <c r="AU2977" s="156"/>
      <c r="AV2977" s="156"/>
      <c r="AW2977" s="156"/>
      <c r="AX2977" s="156"/>
      <c r="AY2977" s="156"/>
      <c r="AZ2977" s="156"/>
      <c r="BA2977" s="156"/>
      <c r="BB2977" s="2828"/>
      <c r="BC2977" s="452"/>
      <c r="BD2977" s="2829"/>
      <c r="BE2977" s="2837"/>
      <c r="BF2977" s="156"/>
    </row>
    <row r="2978" spans="1:58" ht="15" customHeight="1" outlineLevel="1" x14ac:dyDescent="0.35">
      <c r="A2978" s="1664"/>
      <c r="B2978" s="2812"/>
      <c r="C2978" s="3077"/>
      <c r="D2978" s="3980"/>
      <c r="E2978" s="3883"/>
      <c r="F2978" s="3984" t="str">
        <f>$E$1680</f>
        <v>ASHP-SEER20-Replace_CAC_ElectricHeat_ER2_SF</v>
      </c>
      <c r="G2978" s="3984"/>
      <c r="H2978" s="3984"/>
      <c r="I2978" s="3984"/>
      <c r="J2978" s="3501" t="str">
        <f>$C$1680</f>
        <v>353400_2021_12_</v>
      </c>
      <c r="K2978" s="3425">
        <v>869</v>
      </c>
      <c r="L2978" s="704"/>
      <c r="M2978" s="3020" t="s">
        <v>977</v>
      </c>
      <c r="N2978" s="106"/>
      <c r="O2978" s="106"/>
      <c r="P2978" s="702"/>
      <c r="Q2978" s="702"/>
      <c r="R2978" s="702"/>
      <c r="S2978" s="106"/>
      <c r="T2978" s="486"/>
      <c r="U2978" s="106"/>
      <c r="V2978" s="3980"/>
      <c r="W2978" s="3421">
        <v>869</v>
      </c>
      <c r="X2978" s="3421">
        <v>869</v>
      </c>
      <c r="Y2978" s="3425">
        <v>869</v>
      </c>
      <c r="Z2978" s="3425">
        <v>869</v>
      </c>
      <c r="AA2978" s="3425">
        <v>869</v>
      </c>
      <c r="AB2978" s="3425">
        <v>869</v>
      </c>
      <c r="AC2978" s="2132">
        <v>869</v>
      </c>
      <c r="AD2978" s="3421">
        <v>869</v>
      </c>
      <c r="AE2978" s="3429"/>
      <c r="AF2978" s="3421"/>
      <c r="AG2978" s="3421"/>
      <c r="AH2978" s="156"/>
      <c r="AI2978" s="156"/>
      <c r="AJ2978" s="156"/>
      <c r="AK2978" s="156"/>
      <c r="AL2978" s="156"/>
      <c r="AM2978" s="156"/>
      <c r="AN2978" s="156"/>
      <c r="AO2978" s="156"/>
      <c r="AP2978" s="156"/>
      <c r="AQ2978" s="156"/>
      <c r="AR2978" s="156"/>
      <c r="AS2978" s="156"/>
      <c r="AT2978" s="156"/>
      <c r="AU2978" s="156"/>
      <c r="AV2978" s="156"/>
      <c r="AW2978" s="156"/>
      <c r="AX2978" s="156"/>
      <c r="AY2978" s="156"/>
      <c r="AZ2978" s="156"/>
      <c r="BA2978" s="156"/>
      <c r="BB2978" s="2828"/>
      <c r="BC2978" s="452"/>
      <c r="BD2978" s="2829"/>
      <c r="BE2978" s="2837"/>
      <c r="BF2978" s="156"/>
    </row>
    <row r="2979" spans="1:58" ht="15" customHeight="1" outlineLevel="1" x14ac:dyDescent="0.35">
      <c r="A2979" s="1664"/>
      <c r="B2979" s="2812"/>
      <c r="C2979" s="3077"/>
      <c r="D2979" s="3980"/>
      <c r="E2979" s="3883"/>
      <c r="F2979" s="3984" t="str">
        <f>$E$1682</f>
        <v>ASHP-SEER20-Replace_CAC_NonElectricHeat_ER1_SF</v>
      </c>
      <c r="G2979" s="3984"/>
      <c r="H2979" s="3984"/>
      <c r="I2979" s="3984"/>
      <c r="J2979" s="3501" t="str">
        <f>$C$1682</f>
        <v>353410_2021_12_</v>
      </c>
      <c r="K2979" s="3425">
        <v>869</v>
      </c>
      <c r="L2979" s="704"/>
      <c r="M2979" s="3020" t="s">
        <v>977</v>
      </c>
      <c r="N2979" s="106"/>
      <c r="O2979" s="106"/>
      <c r="P2979" s="702"/>
      <c r="Q2979" s="702"/>
      <c r="R2979" s="702"/>
      <c r="S2979" s="106"/>
      <c r="T2979" s="486"/>
      <c r="U2979" s="106"/>
      <c r="V2979" s="3980"/>
      <c r="W2979" s="3421"/>
      <c r="X2979" s="3421"/>
      <c r="Y2979" s="3425"/>
      <c r="Z2979" s="3425"/>
      <c r="AA2979" s="3425"/>
      <c r="AB2979" s="3425"/>
      <c r="AC2979" s="2922">
        <v>869</v>
      </c>
      <c r="AD2979" s="3421">
        <v>869</v>
      </c>
      <c r="AE2979" s="3429"/>
      <c r="AF2979" s="3421"/>
      <c r="AG2979" s="3421"/>
      <c r="AH2979" s="156"/>
      <c r="AI2979" s="156"/>
      <c r="AJ2979" s="156"/>
      <c r="AK2979" s="156"/>
      <c r="AL2979" s="156"/>
      <c r="AM2979" s="156"/>
      <c r="AN2979" s="156"/>
      <c r="AO2979" s="156"/>
      <c r="AP2979" s="156"/>
      <c r="AQ2979" s="156"/>
      <c r="AR2979" s="156"/>
      <c r="AS2979" s="156"/>
      <c r="AT2979" s="156"/>
      <c r="AU2979" s="156"/>
      <c r="AV2979" s="156"/>
      <c r="AW2979" s="156"/>
      <c r="AX2979" s="156"/>
      <c r="AY2979" s="156"/>
      <c r="AZ2979" s="156"/>
      <c r="BA2979" s="156"/>
      <c r="BB2979" s="2828"/>
      <c r="BC2979" s="452"/>
      <c r="BD2979" s="2829"/>
      <c r="BE2979" s="2837"/>
      <c r="BF2979" s="156"/>
    </row>
    <row r="2980" spans="1:58" ht="15" customHeight="1" outlineLevel="1" x14ac:dyDescent="0.35">
      <c r="A2980" s="1664"/>
      <c r="B2980" s="2812"/>
      <c r="C2980" s="3077"/>
      <c r="D2980" s="3980"/>
      <c r="E2980" s="3883"/>
      <c r="F2980" s="3984" t="str">
        <f>$E$1684</f>
        <v>ASHP-SEER20-Replace_CAC_NonElectricHeat_ER2_SF</v>
      </c>
      <c r="G2980" s="3984"/>
      <c r="H2980" s="3984"/>
      <c r="I2980" s="3984"/>
      <c r="J2980" s="3501" t="str">
        <f>$C$1684</f>
        <v>353410_2021_12_</v>
      </c>
      <c r="K2980" s="3425">
        <v>869</v>
      </c>
      <c r="L2980" s="704"/>
      <c r="M2980" s="3020" t="s">
        <v>977</v>
      </c>
      <c r="N2980" s="106"/>
      <c r="O2980" s="106"/>
      <c r="P2980" s="702"/>
      <c r="Q2980" s="702"/>
      <c r="R2980" s="702"/>
      <c r="S2980" s="106"/>
      <c r="T2980" s="486"/>
      <c r="U2980" s="106"/>
      <c r="V2980" s="3980"/>
      <c r="W2980" s="3421"/>
      <c r="X2980" s="3421"/>
      <c r="Y2980" s="3425"/>
      <c r="Z2980" s="3425"/>
      <c r="AA2980" s="3425"/>
      <c r="AB2980" s="3425"/>
      <c r="AC2980" s="2922">
        <v>869</v>
      </c>
      <c r="AD2980" s="3421">
        <v>869</v>
      </c>
      <c r="AE2980" s="3429"/>
      <c r="AF2980" s="3421"/>
      <c r="AG2980" s="3421"/>
      <c r="AH2980" s="156"/>
      <c r="AI2980" s="156"/>
      <c r="AJ2980" s="156"/>
      <c r="AK2980" s="156"/>
      <c r="AL2980" s="156"/>
      <c r="AM2980" s="156"/>
      <c r="AN2980" s="156"/>
      <c r="AO2980" s="156"/>
      <c r="AP2980" s="156"/>
      <c r="AQ2980" s="156"/>
      <c r="AR2980" s="156"/>
      <c r="AS2980" s="156"/>
      <c r="AT2980" s="156"/>
      <c r="AU2980" s="156"/>
      <c r="AV2980" s="156"/>
      <c r="AW2980" s="156"/>
      <c r="AX2980" s="156"/>
      <c r="AY2980" s="156"/>
      <c r="AZ2980" s="156"/>
      <c r="BA2980" s="156"/>
      <c r="BB2980" s="2828"/>
      <c r="BC2980" s="452"/>
      <c r="BD2980" s="2829"/>
      <c r="BE2980" s="2837"/>
      <c r="BF2980" s="156"/>
    </row>
    <row r="2981" spans="1:58" ht="15" customHeight="1" outlineLevel="1" x14ac:dyDescent="0.35">
      <c r="A2981" s="1664"/>
      <c r="B2981" s="2812"/>
      <c r="C2981" s="3077"/>
      <c r="D2981" s="3980"/>
      <c r="E2981" s="3883"/>
      <c r="F2981" s="3984" t="str">
        <f>$E$1686</f>
        <v>ASHP-SEER20-Replace_CAC_ElectricHeat_ROF_SF</v>
      </c>
      <c r="G2981" s="3984"/>
      <c r="H2981" s="3984"/>
      <c r="I2981" s="3984"/>
      <c r="J2981" s="3501" t="str">
        <f>$C$1686</f>
        <v>353450_2021_12_</v>
      </c>
      <c r="K2981" s="3425">
        <v>869</v>
      </c>
      <c r="L2981" s="704"/>
      <c r="M2981" s="3020" t="s">
        <v>977</v>
      </c>
      <c r="N2981" s="106"/>
      <c r="O2981" s="106"/>
      <c r="P2981" s="702"/>
      <c r="Q2981" s="702"/>
      <c r="R2981" s="702"/>
      <c r="S2981" s="106"/>
      <c r="T2981" s="486"/>
      <c r="U2981" s="106"/>
      <c r="V2981" s="3980"/>
      <c r="W2981" s="3421">
        <v>869</v>
      </c>
      <c r="X2981" s="3421">
        <v>869</v>
      </c>
      <c r="Y2981" s="3425">
        <v>869</v>
      </c>
      <c r="Z2981" s="3425">
        <v>869</v>
      </c>
      <c r="AA2981" s="3425">
        <v>869</v>
      </c>
      <c r="AB2981" s="3425">
        <v>869</v>
      </c>
      <c r="AC2981" s="2132">
        <v>869</v>
      </c>
      <c r="AD2981" s="3421">
        <v>869</v>
      </c>
      <c r="AE2981" s="3429"/>
      <c r="AF2981" s="3421"/>
      <c r="AG2981" s="3421"/>
      <c r="AH2981" s="156"/>
      <c r="AI2981" s="156"/>
      <c r="AJ2981" s="156"/>
      <c r="AK2981" s="156"/>
      <c r="AL2981" s="156"/>
      <c r="AM2981" s="156"/>
      <c r="AN2981" s="156"/>
      <c r="AO2981" s="156"/>
      <c r="AP2981" s="156"/>
      <c r="AQ2981" s="156"/>
      <c r="AR2981" s="156"/>
      <c r="AS2981" s="156"/>
      <c r="AT2981" s="156"/>
      <c r="AU2981" s="156"/>
      <c r="AV2981" s="156"/>
      <c r="AW2981" s="156"/>
      <c r="AX2981" s="156"/>
      <c r="AY2981" s="156"/>
      <c r="AZ2981" s="156"/>
      <c r="BA2981" s="156"/>
      <c r="BB2981" s="2828"/>
      <c r="BC2981" s="452"/>
      <c r="BD2981" s="2829"/>
      <c r="BE2981" s="2837"/>
      <c r="BF2981" s="156"/>
    </row>
    <row r="2982" spans="1:58" s="3398" customFormat="1" ht="15" customHeight="1" outlineLevel="1" x14ac:dyDescent="0.35">
      <c r="A2982" s="1664"/>
      <c r="B2982" s="2812"/>
      <c r="C2982" s="3077"/>
      <c r="D2982" s="3980"/>
      <c r="E2982" s="3883"/>
      <c r="F2982" s="4136" t="str">
        <f>$E$1688</f>
        <v>ASHP-SEER20-Replace_CAC_NonElectricHeat_ROF_SF</v>
      </c>
      <c r="G2982" s="4136"/>
      <c r="H2982" s="4136"/>
      <c r="I2982" s="4136"/>
      <c r="J2982" s="3502" t="str">
        <f>$C$1688</f>
        <v>353460_2022_12_</v>
      </c>
      <c r="K2982" s="2377">
        <v>869</v>
      </c>
      <c r="L2982" s="704"/>
      <c r="M2982" s="3525" t="s">
        <v>977</v>
      </c>
      <c r="P2982" s="702"/>
      <c r="Q2982" s="702"/>
      <c r="R2982" s="702"/>
      <c r="T2982" s="3397"/>
      <c r="V2982" s="3980"/>
      <c r="W2982" s="3421"/>
      <c r="X2982" s="3421"/>
      <c r="Y2982" s="3425"/>
      <c r="Z2982" s="3425"/>
      <c r="AA2982" s="3425"/>
      <c r="AB2982" s="3425"/>
      <c r="AC2982" s="2132"/>
      <c r="AD2982" s="2374">
        <v>869</v>
      </c>
      <c r="AE2982" s="3429"/>
      <c r="AF2982" s="3421"/>
      <c r="AG2982" s="3421"/>
      <c r="AH2982" s="156"/>
      <c r="AI2982" s="156"/>
      <c r="AJ2982" s="156"/>
      <c r="AK2982" s="156"/>
      <c r="AL2982" s="156"/>
      <c r="AM2982" s="156"/>
      <c r="AN2982" s="156"/>
      <c r="AO2982" s="156"/>
      <c r="AP2982" s="156"/>
      <c r="AQ2982" s="156"/>
      <c r="AR2982" s="156"/>
      <c r="AS2982" s="156"/>
      <c r="AT2982" s="156"/>
      <c r="AU2982" s="156"/>
      <c r="AV2982" s="156"/>
      <c r="AW2982" s="156"/>
      <c r="AX2982" s="156"/>
      <c r="AY2982" s="156"/>
      <c r="AZ2982" s="156"/>
      <c r="BA2982" s="156"/>
      <c r="BB2982" s="2828"/>
      <c r="BC2982" s="452"/>
      <c r="BD2982" s="2829"/>
      <c r="BE2982" s="2837"/>
      <c r="BF2982" s="156"/>
    </row>
    <row r="2983" spans="1:58" ht="15" customHeight="1" outlineLevel="1" x14ac:dyDescent="0.35">
      <c r="A2983" s="1664"/>
      <c r="B2983" s="2812"/>
      <c r="C2983" s="3077"/>
      <c r="D2983" s="3980"/>
      <c r="E2983" s="3883"/>
      <c r="F2983" s="3984" t="str">
        <f>$E$1690</f>
        <v>ASHP-SEER20-Replace_CAC_ElectricHeat_ROF_MF</v>
      </c>
      <c r="G2983" s="3984"/>
      <c r="H2983" s="3984"/>
      <c r="I2983" s="3984"/>
      <c r="J2983" s="3501" t="str">
        <f>$C$1690</f>
        <v>353500_2019_12_</v>
      </c>
      <c r="K2983" s="3425">
        <v>869</v>
      </c>
      <c r="L2983" s="704"/>
      <c r="M2983" s="3020" t="s">
        <v>977</v>
      </c>
      <c r="N2983" s="106"/>
      <c r="O2983" s="106"/>
      <c r="P2983" s="702"/>
      <c r="Q2983" s="574"/>
      <c r="R2983" s="702"/>
      <c r="S2983" s="106"/>
      <c r="T2983" s="486"/>
      <c r="U2983" s="106"/>
      <c r="V2983" s="3980"/>
      <c r="W2983" s="3421">
        <v>869</v>
      </c>
      <c r="X2983" s="3421">
        <v>869</v>
      </c>
      <c r="Y2983" s="3425">
        <v>869</v>
      </c>
      <c r="Z2983" s="3425">
        <v>869</v>
      </c>
      <c r="AA2983" s="3425">
        <v>869</v>
      </c>
      <c r="AB2983" s="3425">
        <v>869</v>
      </c>
      <c r="AC2983" s="2132">
        <v>869</v>
      </c>
      <c r="AD2983" s="3421">
        <v>869</v>
      </c>
      <c r="AE2983" s="3429"/>
      <c r="AF2983" s="3421"/>
      <c r="AG2983" s="3421"/>
      <c r="AH2983" s="156"/>
      <c r="AI2983" s="156"/>
      <c r="AJ2983" s="156"/>
      <c r="AK2983" s="156"/>
      <c r="AL2983" s="156"/>
      <c r="AM2983" s="156"/>
      <c r="AN2983" s="156"/>
      <c r="AO2983" s="156"/>
      <c r="AP2983" s="156"/>
      <c r="AQ2983" s="156"/>
      <c r="AR2983" s="156"/>
      <c r="AS2983" s="156"/>
      <c r="AT2983" s="156"/>
      <c r="AU2983" s="156"/>
      <c r="AV2983" s="156"/>
      <c r="AW2983" s="156"/>
      <c r="AX2983" s="156"/>
      <c r="AY2983" s="156"/>
      <c r="AZ2983" s="156"/>
      <c r="BA2983" s="156"/>
      <c r="BB2983" s="2828"/>
      <c r="BC2983" s="452"/>
      <c r="BD2983" s="2829"/>
      <c r="BE2983" s="2837"/>
      <c r="BF2983" s="156"/>
    </row>
    <row r="2984" spans="1:58" ht="15" customHeight="1" outlineLevel="1" x14ac:dyDescent="0.35">
      <c r="A2984" s="1664"/>
      <c r="B2984" s="2812"/>
      <c r="C2984" s="3077"/>
      <c r="D2984" s="3980"/>
      <c r="E2984" s="3883"/>
      <c r="F2984" s="3984" t="str">
        <f>$E$1692</f>
        <v>ASHP-SEER20-Replace_CAC_ElectricHeat_ROF_MF_CompE</v>
      </c>
      <c r="G2984" s="3984"/>
      <c r="H2984" s="3984"/>
      <c r="I2984" s="3984"/>
      <c r="J2984" s="3501" t="str">
        <f>$C$1692</f>
        <v>353501_2019_12_</v>
      </c>
      <c r="K2984" s="3425">
        <f>$K$2925</f>
        <v>632</v>
      </c>
      <c r="L2984" s="704"/>
      <c r="M2984" s="3044" t="s">
        <v>513</v>
      </c>
      <c r="N2984" s="106"/>
      <c r="O2984" s="106"/>
      <c r="P2984" s="702"/>
      <c r="Q2984" s="574"/>
      <c r="R2984" s="702"/>
      <c r="S2984" s="106"/>
      <c r="T2984" s="486"/>
      <c r="U2984" s="106"/>
      <c r="V2984" s="3980"/>
      <c r="W2984" s="3421"/>
      <c r="X2984" s="3421"/>
      <c r="Y2984" s="2377">
        <f>$K$2925</f>
        <v>632</v>
      </c>
      <c r="Z2984" s="3425">
        <f t="shared" ref="Z2984:AA2984" si="383">$K$2925</f>
        <v>632</v>
      </c>
      <c r="AA2984" s="3425">
        <f t="shared" si="383"/>
        <v>632</v>
      </c>
      <c r="AB2984" s="3425">
        <v>632</v>
      </c>
      <c r="AC2984" s="2132">
        <f>$K$2925</f>
        <v>632</v>
      </c>
      <c r="AD2984" s="3421">
        <v>632</v>
      </c>
      <c r="AE2984" s="3429"/>
      <c r="AF2984" s="3421"/>
      <c r="AG2984" s="3421"/>
      <c r="AH2984" s="156"/>
      <c r="AI2984" s="156"/>
      <c r="AJ2984" s="156"/>
      <c r="AK2984" s="156"/>
      <c r="AL2984" s="156"/>
      <c r="AM2984" s="156"/>
      <c r="AN2984" s="156"/>
      <c r="AO2984" s="156"/>
      <c r="AP2984" s="156"/>
      <c r="AQ2984" s="156"/>
      <c r="AR2984" s="156"/>
      <c r="AS2984" s="156"/>
      <c r="AT2984" s="156"/>
      <c r="AU2984" s="156"/>
      <c r="AV2984" s="156"/>
      <c r="AW2984" s="156"/>
      <c r="AX2984" s="156"/>
      <c r="AY2984" s="156"/>
      <c r="AZ2984" s="156"/>
      <c r="BA2984" s="156"/>
      <c r="BB2984" s="2828"/>
      <c r="BC2984" s="452"/>
      <c r="BD2984" s="2829"/>
      <c r="BE2984" s="2837"/>
      <c r="BF2984" s="156"/>
    </row>
    <row r="2985" spans="1:58" ht="15" customHeight="1" outlineLevel="1" x14ac:dyDescent="0.35">
      <c r="A2985" s="1664"/>
      <c r="B2985" s="2812"/>
      <c r="C2985" s="3077"/>
      <c r="D2985" s="3980"/>
      <c r="E2985" s="3883"/>
      <c r="F2985" s="3984" t="str">
        <f>$E$1694</f>
        <v>ASHP-SEER20-Replace_CAC_NonElectricHeat_ROF_MF</v>
      </c>
      <c r="G2985" s="3984"/>
      <c r="H2985" s="3984"/>
      <c r="I2985" s="3984"/>
      <c r="J2985" s="3501" t="str">
        <f>$C$1694</f>
        <v>353510_2021_12_</v>
      </c>
      <c r="K2985" s="3425">
        <v>869</v>
      </c>
      <c r="L2985" s="704"/>
      <c r="M2985" s="3020" t="s">
        <v>977</v>
      </c>
      <c r="N2985" s="106"/>
      <c r="O2985" s="106"/>
      <c r="P2985" s="702"/>
      <c r="Q2985" s="574"/>
      <c r="R2985" s="702"/>
      <c r="S2985" s="106"/>
      <c r="T2985" s="486"/>
      <c r="U2985" s="106"/>
      <c r="V2985" s="3980"/>
      <c r="W2985" s="3421"/>
      <c r="X2985" s="3421"/>
      <c r="Y2985" s="2377"/>
      <c r="Z2985" s="3425"/>
      <c r="AA2985" s="3425"/>
      <c r="AB2985" s="3425"/>
      <c r="AC2985" s="2922">
        <v>869</v>
      </c>
      <c r="AD2985" s="3421">
        <v>869</v>
      </c>
      <c r="AE2985" s="3429"/>
      <c r="AF2985" s="3421"/>
      <c r="AG2985" s="3421"/>
      <c r="AH2985" s="156"/>
      <c r="AI2985" s="156"/>
      <c r="AJ2985" s="156"/>
      <c r="AK2985" s="156"/>
      <c r="AL2985" s="156"/>
      <c r="AM2985" s="156"/>
      <c r="AN2985" s="156"/>
      <c r="AO2985" s="156"/>
      <c r="AP2985" s="156"/>
      <c r="AQ2985" s="156"/>
      <c r="AR2985" s="156"/>
      <c r="AS2985" s="156"/>
      <c r="AT2985" s="156"/>
      <c r="AU2985" s="156"/>
      <c r="AV2985" s="156"/>
      <c r="AW2985" s="156"/>
      <c r="AX2985" s="156"/>
      <c r="AY2985" s="156"/>
      <c r="AZ2985" s="156"/>
      <c r="BA2985" s="156"/>
      <c r="BB2985" s="2828"/>
      <c r="BC2985" s="452"/>
      <c r="BD2985" s="2829"/>
      <c r="BE2985" s="2837"/>
      <c r="BF2985" s="156"/>
    </row>
    <row r="2986" spans="1:58" ht="15" customHeight="1" outlineLevel="1" x14ac:dyDescent="0.35">
      <c r="A2986" s="1664"/>
      <c r="B2986" s="2812"/>
      <c r="C2986" s="3077"/>
      <c r="D2986" s="3980"/>
      <c r="E2986" s="3883"/>
      <c r="F2986" s="3984" t="str">
        <f>$E$1696</f>
        <v>ASHP-SEER20-Replace_CAC_NonElectricHeat_ROF_MF_CompE</v>
      </c>
      <c r="G2986" s="3984"/>
      <c r="H2986" s="3984"/>
      <c r="I2986" s="3984"/>
      <c r="J2986" s="3501" t="str">
        <f>$C$1696</f>
        <v>353511_2021_12_</v>
      </c>
      <c r="K2986" s="3425">
        <f>$K$2925</f>
        <v>632</v>
      </c>
      <c r="L2986" s="704"/>
      <c r="M2986" s="3044" t="s">
        <v>513</v>
      </c>
      <c r="N2986" s="106"/>
      <c r="O2986" s="106"/>
      <c r="P2986" s="702"/>
      <c r="Q2986" s="574"/>
      <c r="R2986" s="702"/>
      <c r="S2986" s="106"/>
      <c r="T2986" s="486"/>
      <c r="U2986" s="106"/>
      <c r="V2986" s="3980"/>
      <c r="W2986" s="3421"/>
      <c r="X2986" s="3421"/>
      <c r="Y2986" s="2377"/>
      <c r="Z2986" s="3425"/>
      <c r="AA2986" s="3425"/>
      <c r="AB2986" s="3425"/>
      <c r="AC2986" s="2922">
        <f>$K$2925</f>
        <v>632</v>
      </c>
      <c r="AD2986" s="3421">
        <v>632</v>
      </c>
      <c r="AE2986" s="3429"/>
      <c r="AF2986" s="3421"/>
      <c r="AG2986" s="3421"/>
      <c r="AH2986" s="156"/>
      <c r="AI2986" s="156"/>
      <c r="AJ2986" s="156"/>
      <c r="AK2986" s="156"/>
      <c r="AL2986" s="156"/>
      <c r="AM2986" s="156"/>
      <c r="AN2986" s="156"/>
      <c r="AO2986" s="156"/>
      <c r="AP2986" s="156"/>
      <c r="AQ2986" s="156"/>
      <c r="AR2986" s="156"/>
      <c r="AS2986" s="156"/>
      <c r="AT2986" s="156"/>
      <c r="AU2986" s="156"/>
      <c r="AV2986" s="156"/>
      <c r="AW2986" s="156"/>
      <c r="AX2986" s="156"/>
      <c r="AY2986" s="156"/>
      <c r="AZ2986" s="156"/>
      <c r="BA2986" s="156"/>
      <c r="BB2986" s="2828"/>
      <c r="BC2986" s="452"/>
      <c r="BD2986" s="2829"/>
      <c r="BE2986" s="2837"/>
      <c r="BF2986" s="156"/>
    </row>
    <row r="2987" spans="1:58" ht="15" customHeight="1" outlineLevel="1" x14ac:dyDescent="0.35">
      <c r="A2987" s="1664"/>
      <c r="B2987" s="2812"/>
      <c r="C2987" s="3077"/>
      <c r="D2987" s="3980"/>
      <c r="E2987" s="3883"/>
      <c r="F2987" s="3984" t="str">
        <f>$E$1698</f>
        <v>ASHP-SEER21-Replace_CAC_ElectricHeat_ER1_SF</v>
      </c>
      <c r="G2987" s="3984"/>
      <c r="H2987" s="3984"/>
      <c r="I2987" s="3984"/>
      <c r="J2987" s="3501" t="str">
        <f>$C$1698</f>
        <v>353550_2021_12_</v>
      </c>
      <c r="K2987" s="3425">
        <v>869</v>
      </c>
      <c r="L2987" s="704"/>
      <c r="M2987" s="3020" t="s">
        <v>977</v>
      </c>
      <c r="N2987" s="106"/>
      <c r="O2987" s="106"/>
      <c r="P2987" s="702"/>
      <c r="Q2987" s="574"/>
      <c r="R2987" s="702"/>
      <c r="S2987" s="106"/>
      <c r="T2987" s="486"/>
      <c r="U2987" s="106"/>
      <c r="V2987" s="3980"/>
      <c r="W2987" s="3421">
        <v>869</v>
      </c>
      <c r="X2987" s="3421">
        <v>869</v>
      </c>
      <c r="Y2987" s="3425">
        <v>869</v>
      </c>
      <c r="Z2987" s="3425">
        <v>869</v>
      </c>
      <c r="AA2987" s="3425">
        <v>869</v>
      </c>
      <c r="AB2987" s="3425">
        <v>869</v>
      </c>
      <c r="AC2987" s="2132">
        <v>869</v>
      </c>
      <c r="AD2987" s="3421">
        <v>869</v>
      </c>
      <c r="AE2987" s="3429"/>
      <c r="AF2987" s="3421"/>
      <c r="AG2987" s="3421"/>
      <c r="AH2987" s="156"/>
      <c r="AI2987" s="156"/>
      <c r="AJ2987" s="156"/>
      <c r="AK2987" s="156"/>
      <c r="AL2987" s="156"/>
      <c r="AM2987" s="156"/>
      <c r="AN2987" s="156"/>
      <c r="AO2987" s="156"/>
      <c r="AP2987" s="156"/>
      <c r="AQ2987" s="156"/>
      <c r="AR2987" s="156"/>
      <c r="AS2987" s="156"/>
      <c r="AT2987" s="156"/>
      <c r="AU2987" s="156"/>
      <c r="AV2987" s="156"/>
      <c r="AW2987" s="156"/>
      <c r="AX2987" s="156"/>
      <c r="AY2987" s="156"/>
      <c r="AZ2987" s="156"/>
      <c r="BA2987" s="156"/>
      <c r="BB2987" s="2828"/>
      <c r="BC2987" s="452"/>
      <c r="BD2987" s="2829"/>
      <c r="BE2987" s="2837"/>
      <c r="BF2987" s="156"/>
    </row>
    <row r="2988" spans="1:58" ht="15" customHeight="1" outlineLevel="1" x14ac:dyDescent="0.35">
      <c r="A2988" s="1664"/>
      <c r="B2988" s="2812"/>
      <c r="C2988" s="3077"/>
      <c r="D2988" s="3980"/>
      <c r="E2988" s="3883"/>
      <c r="F2988" s="3984" t="str">
        <f>$E$1700</f>
        <v>ASHP-SEER21-Replace_CAC_ElectricHeat_ER2_SF</v>
      </c>
      <c r="G2988" s="3984"/>
      <c r="H2988" s="3984"/>
      <c r="I2988" s="3984"/>
      <c r="J2988" s="3501" t="str">
        <f>$C$1700</f>
        <v>353550_2021_12_</v>
      </c>
      <c r="K2988" s="3425">
        <v>869</v>
      </c>
      <c r="L2988" s="704"/>
      <c r="M2988" s="3020" t="s">
        <v>977</v>
      </c>
      <c r="N2988" s="106"/>
      <c r="O2988" s="106"/>
      <c r="P2988" s="702"/>
      <c r="Q2988" s="574"/>
      <c r="R2988" s="702"/>
      <c r="S2988" s="106"/>
      <c r="T2988" s="486"/>
      <c r="U2988" s="106"/>
      <c r="V2988" s="3980"/>
      <c r="W2988" s="3421">
        <v>869</v>
      </c>
      <c r="X2988" s="3421">
        <v>869</v>
      </c>
      <c r="Y2988" s="3425">
        <v>869</v>
      </c>
      <c r="Z2988" s="3425">
        <v>869</v>
      </c>
      <c r="AA2988" s="3425">
        <v>869</v>
      </c>
      <c r="AB2988" s="3425">
        <v>869</v>
      </c>
      <c r="AC2988" s="2132">
        <v>869</v>
      </c>
      <c r="AD2988" s="3421">
        <v>869</v>
      </c>
      <c r="AE2988" s="3429"/>
      <c r="AF2988" s="3421"/>
      <c r="AG2988" s="3421"/>
      <c r="AH2988" s="156"/>
      <c r="AI2988" s="156"/>
      <c r="AJ2988" s="156"/>
      <c r="AK2988" s="156"/>
      <c r="AL2988" s="156"/>
      <c r="AM2988" s="156"/>
      <c r="AN2988" s="156"/>
      <c r="AO2988" s="156"/>
      <c r="AP2988" s="156"/>
      <c r="AQ2988" s="156"/>
      <c r="AR2988" s="156"/>
      <c r="AS2988" s="156"/>
      <c r="AT2988" s="156"/>
      <c r="AU2988" s="156"/>
      <c r="AV2988" s="156"/>
      <c r="AW2988" s="156"/>
      <c r="AX2988" s="156"/>
      <c r="AY2988" s="156"/>
      <c r="AZ2988" s="156"/>
      <c r="BA2988" s="156"/>
      <c r="BB2988" s="2828"/>
      <c r="BC2988" s="452"/>
      <c r="BD2988" s="2829"/>
      <c r="BE2988" s="2837"/>
      <c r="BF2988" s="156"/>
    </row>
    <row r="2989" spans="1:58" ht="15" customHeight="1" outlineLevel="1" x14ac:dyDescent="0.35">
      <c r="A2989" s="1664"/>
      <c r="B2989" s="2812"/>
      <c r="C2989" s="3077"/>
      <c r="D2989" s="3980"/>
      <c r="E2989" s="3883"/>
      <c r="F2989" s="3984" t="str">
        <f>$E$1702</f>
        <v>ASHP-SEER21-Replace_CAC_NonElectricHeat_ER1_SF</v>
      </c>
      <c r="G2989" s="3984"/>
      <c r="H2989" s="3984"/>
      <c r="I2989" s="3984"/>
      <c r="J2989" s="3501" t="str">
        <f>$C$1702</f>
        <v>353560_2021_12_</v>
      </c>
      <c r="K2989" s="3425">
        <v>869</v>
      </c>
      <c r="L2989" s="704"/>
      <c r="M2989" s="3020" t="s">
        <v>977</v>
      </c>
      <c r="N2989" s="106"/>
      <c r="O2989" s="106"/>
      <c r="P2989" s="702"/>
      <c r="Q2989" s="574"/>
      <c r="R2989" s="702"/>
      <c r="S2989" s="106"/>
      <c r="T2989" s="486"/>
      <c r="U2989" s="106"/>
      <c r="V2989" s="3980"/>
      <c r="W2989" s="3421"/>
      <c r="X2989" s="3421"/>
      <c r="Y2989" s="3425"/>
      <c r="Z2989" s="3425"/>
      <c r="AA2989" s="3425"/>
      <c r="AB2989" s="3425"/>
      <c r="AC2989" s="2922">
        <v>869</v>
      </c>
      <c r="AD2989" s="3421">
        <v>869</v>
      </c>
      <c r="AE2989" s="3429"/>
      <c r="AF2989" s="3421"/>
      <c r="AG2989" s="3421"/>
      <c r="AH2989" s="156"/>
      <c r="AI2989" s="156"/>
      <c r="AJ2989" s="156"/>
      <c r="AK2989" s="156"/>
      <c r="AL2989" s="156"/>
      <c r="AM2989" s="156"/>
      <c r="AN2989" s="156"/>
      <c r="AO2989" s="156"/>
      <c r="AP2989" s="156"/>
      <c r="AQ2989" s="156"/>
      <c r="AR2989" s="156"/>
      <c r="AS2989" s="156"/>
      <c r="AT2989" s="156"/>
      <c r="AU2989" s="156"/>
      <c r="AV2989" s="156"/>
      <c r="AW2989" s="156"/>
      <c r="AX2989" s="156"/>
      <c r="AY2989" s="156"/>
      <c r="AZ2989" s="156"/>
      <c r="BA2989" s="156"/>
      <c r="BB2989" s="2828"/>
      <c r="BC2989" s="452"/>
      <c r="BD2989" s="2829"/>
      <c r="BE2989" s="2837"/>
      <c r="BF2989" s="156"/>
    </row>
    <row r="2990" spans="1:58" ht="15" customHeight="1" outlineLevel="1" x14ac:dyDescent="0.35">
      <c r="A2990" s="1664"/>
      <c r="B2990" s="2812"/>
      <c r="C2990" s="3077"/>
      <c r="D2990" s="3980"/>
      <c r="E2990" s="3883"/>
      <c r="F2990" s="3984" t="str">
        <f>$E$1704</f>
        <v>ASHP-SEER21-Replace_CAC_NonElectricHeat_ER2_SF</v>
      </c>
      <c r="G2990" s="3984"/>
      <c r="H2990" s="3984"/>
      <c r="I2990" s="3984"/>
      <c r="J2990" s="3501" t="str">
        <f>$C$1704</f>
        <v>353560_2021_12_</v>
      </c>
      <c r="K2990" s="3425">
        <v>869</v>
      </c>
      <c r="L2990" s="704"/>
      <c r="M2990" s="3020" t="s">
        <v>977</v>
      </c>
      <c r="N2990" s="106"/>
      <c r="O2990" s="106"/>
      <c r="P2990" s="702"/>
      <c r="Q2990" s="574"/>
      <c r="R2990" s="702"/>
      <c r="S2990" s="106"/>
      <c r="T2990" s="486"/>
      <c r="U2990" s="106"/>
      <c r="V2990" s="3980"/>
      <c r="W2990" s="3421"/>
      <c r="X2990" s="3421"/>
      <c r="Y2990" s="3425"/>
      <c r="Z2990" s="3425"/>
      <c r="AA2990" s="3425"/>
      <c r="AB2990" s="3425"/>
      <c r="AC2990" s="2922">
        <v>869</v>
      </c>
      <c r="AD2990" s="3421">
        <v>869</v>
      </c>
      <c r="AE2990" s="3429"/>
      <c r="AF2990" s="3421"/>
      <c r="AG2990" s="3421"/>
      <c r="AH2990" s="156"/>
      <c r="AI2990" s="156"/>
      <c r="AJ2990" s="156"/>
      <c r="AK2990" s="156"/>
      <c r="AL2990" s="156"/>
      <c r="AM2990" s="156"/>
      <c r="AN2990" s="156"/>
      <c r="AO2990" s="156"/>
      <c r="AP2990" s="156"/>
      <c r="AQ2990" s="156"/>
      <c r="AR2990" s="156"/>
      <c r="AS2990" s="156"/>
      <c r="AT2990" s="156"/>
      <c r="AU2990" s="156"/>
      <c r="AV2990" s="156"/>
      <c r="AW2990" s="156"/>
      <c r="AX2990" s="156"/>
      <c r="AY2990" s="156"/>
      <c r="AZ2990" s="156"/>
      <c r="BA2990" s="156"/>
      <c r="BB2990" s="2828"/>
      <c r="BC2990" s="452"/>
      <c r="BD2990" s="2829"/>
      <c r="BE2990" s="2837"/>
      <c r="BF2990" s="156"/>
    </row>
    <row r="2991" spans="1:58" ht="15" customHeight="1" outlineLevel="1" x14ac:dyDescent="0.35">
      <c r="A2991" s="1664"/>
      <c r="B2991" s="2812"/>
      <c r="C2991" s="3077"/>
      <c r="D2991" s="3980"/>
      <c r="E2991" s="3883"/>
      <c r="F2991" s="3984" t="str">
        <f>$E$1706</f>
        <v>ASHP-SEER21-Replace_CAC_ElectricHeat_ER1_MF</v>
      </c>
      <c r="G2991" s="3984"/>
      <c r="H2991" s="3984"/>
      <c r="I2991" s="3984"/>
      <c r="J2991" s="3501" t="str">
        <f>$C$1706</f>
        <v>353600_2019_12_</v>
      </c>
      <c r="K2991" s="3425">
        <v>869</v>
      </c>
      <c r="L2991" s="704"/>
      <c r="M2991" s="3020" t="s">
        <v>977</v>
      </c>
      <c r="N2991" s="106"/>
      <c r="O2991" s="106"/>
      <c r="P2991" s="702"/>
      <c r="Q2991" s="574"/>
      <c r="R2991" s="702"/>
      <c r="S2991" s="106"/>
      <c r="T2991" s="486"/>
      <c r="U2991" s="106"/>
      <c r="V2991" s="3980"/>
      <c r="W2991" s="3421">
        <v>869</v>
      </c>
      <c r="X2991" s="3421">
        <v>869</v>
      </c>
      <c r="Y2991" s="3425">
        <v>869</v>
      </c>
      <c r="Z2991" s="3425">
        <v>869</v>
      </c>
      <c r="AA2991" s="3425">
        <v>869</v>
      </c>
      <c r="AB2991" s="3425">
        <v>869</v>
      </c>
      <c r="AC2991" s="2132">
        <v>869</v>
      </c>
      <c r="AD2991" s="3421">
        <v>869</v>
      </c>
      <c r="AE2991" s="3429"/>
      <c r="AF2991" s="3421"/>
      <c r="AG2991" s="3421"/>
      <c r="AH2991" s="156"/>
      <c r="AI2991" s="156"/>
      <c r="AJ2991" s="156"/>
      <c r="AK2991" s="156"/>
      <c r="AL2991" s="156"/>
      <c r="AM2991" s="156"/>
      <c r="AN2991" s="156"/>
      <c r="AO2991" s="156"/>
      <c r="AP2991" s="156"/>
      <c r="AQ2991" s="156"/>
      <c r="AR2991" s="156"/>
      <c r="AS2991" s="156"/>
      <c r="AT2991" s="156"/>
      <c r="AU2991" s="156"/>
      <c r="AV2991" s="156"/>
      <c r="AW2991" s="156"/>
      <c r="AX2991" s="156"/>
      <c r="AY2991" s="156"/>
      <c r="AZ2991" s="156"/>
      <c r="BA2991" s="156"/>
      <c r="BB2991" s="2828"/>
      <c r="BC2991" s="452"/>
      <c r="BD2991" s="2829"/>
      <c r="BE2991" s="2837"/>
      <c r="BF2991" s="156"/>
    </row>
    <row r="2992" spans="1:58" ht="15" customHeight="1" outlineLevel="1" x14ac:dyDescent="0.35">
      <c r="A2992" s="1664"/>
      <c r="B2992" s="2812"/>
      <c r="C2992" s="3077"/>
      <c r="D2992" s="3980"/>
      <c r="E2992" s="3883"/>
      <c r="F2992" s="3984" t="str">
        <f>$E$1708</f>
        <v>ASHP-SEER21-Replace_CAC_ElectricHeat_ER2_MF</v>
      </c>
      <c r="G2992" s="3984"/>
      <c r="H2992" s="3984"/>
      <c r="I2992" s="3984"/>
      <c r="J2992" s="3501" t="str">
        <f>$C$1708</f>
        <v>353600_2019_12_</v>
      </c>
      <c r="K2992" s="3425">
        <v>869</v>
      </c>
      <c r="L2992" s="704"/>
      <c r="M2992" s="3020" t="s">
        <v>977</v>
      </c>
      <c r="N2992" s="106"/>
      <c r="O2992" s="106"/>
      <c r="P2992" s="702"/>
      <c r="Q2992" s="574"/>
      <c r="R2992" s="702"/>
      <c r="S2992" s="106"/>
      <c r="T2992" s="486"/>
      <c r="U2992" s="106"/>
      <c r="V2992" s="3980"/>
      <c r="W2992" s="3421">
        <v>869</v>
      </c>
      <c r="X2992" s="3421">
        <v>869</v>
      </c>
      <c r="Y2992" s="3425">
        <v>869</v>
      </c>
      <c r="Z2992" s="3425">
        <v>869</v>
      </c>
      <c r="AA2992" s="3425">
        <v>869</v>
      </c>
      <c r="AB2992" s="3425">
        <v>869</v>
      </c>
      <c r="AC2992" s="2132">
        <v>869</v>
      </c>
      <c r="AD2992" s="3421">
        <v>869</v>
      </c>
      <c r="AE2992" s="3429"/>
      <c r="AF2992" s="3421"/>
      <c r="AG2992" s="3421"/>
      <c r="AH2992" s="156"/>
      <c r="AI2992" s="156"/>
      <c r="AJ2992" s="156"/>
      <c r="AK2992" s="156"/>
      <c r="AL2992" s="156"/>
      <c r="AM2992" s="156"/>
      <c r="AN2992" s="156"/>
      <c r="AO2992" s="156"/>
      <c r="AP2992" s="156"/>
      <c r="AQ2992" s="156"/>
      <c r="AR2992" s="156"/>
      <c r="AS2992" s="156"/>
      <c r="AT2992" s="156"/>
      <c r="AU2992" s="156"/>
      <c r="AV2992" s="156"/>
      <c r="AW2992" s="156"/>
      <c r="AX2992" s="156"/>
      <c r="AY2992" s="156"/>
      <c r="AZ2992" s="156"/>
      <c r="BA2992" s="156"/>
      <c r="BB2992" s="2828"/>
      <c r="BC2992" s="452"/>
      <c r="BD2992" s="2829"/>
      <c r="BE2992" s="2837"/>
      <c r="BF2992" s="156"/>
    </row>
    <row r="2993" spans="1:58" ht="15" customHeight="1" outlineLevel="1" x14ac:dyDescent="0.35">
      <c r="A2993" s="1664"/>
      <c r="B2993" s="2812"/>
      <c r="C2993" s="3077"/>
      <c r="D2993" s="3980"/>
      <c r="E2993" s="3883"/>
      <c r="F2993" s="3984" t="str">
        <f>$E$1710</f>
        <v>ASHP-SEER21-Replace_CAC_ElectricHeat_ER1_MF_CompE</v>
      </c>
      <c r="G2993" s="3984"/>
      <c r="H2993" s="3984"/>
      <c r="I2993" s="3984"/>
      <c r="J2993" s="3501" t="str">
        <f>$C$1710</f>
        <v>353601_2019_12_</v>
      </c>
      <c r="K2993" s="3425">
        <f>$K$2925</f>
        <v>632</v>
      </c>
      <c r="L2993" s="704"/>
      <c r="M2993" s="3044" t="s">
        <v>513</v>
      </c>
      <c r="N2993" s="106"/>
      <c r="O2993" s="106"/>
      <c r="P2993" s="702"/>
      <c r="Q2993" s="574"/>
      <c r="R2993" s="702"/>
      <c r="S2993" s="106"/>
      <c r="T2993" s="486"/>
      <c r="U2993" s="106"/>
      <c r="V2993" s="3980"/>
      <c r="W2993" s="3421"/>
      <c r="X2993" s="3421"/>
      <c r="Y2993" s="2377">
        <f>$K$2925</f>
        <v>632</v>
      </c>
      <c r="Z2993" s="3425">
        <f t="shared" ref="Z2993:AA2994" si="384">$K$2925</f>
        <v>632</v>
      </c>
      <c r="AA2993" s="3425">
        <f t="shared" si="384"/>
        <v>632</v>
      </c>
      <c r="AB2993" s="3425">
        <v>632</v>
      </c>
      <c r="AC2993" s="2132">
        <f>$K$2925</f>
        <v>632</v>
      </c>
      <c r="AD2993" s="3421">
        <v>632</v>
      </c>
      <c r="AE2993" s="3429"/>
      <c r="AF2993" s="3421"/>
      <c r="AG2993" s="3421"/>
      <c r="AH2993" s="156"/>
      <c r="AI2993" s="156"/>
      <c r="AJ2993" s="156"/>
      <c r="AK2993" s="156"/>
      <c r="AL2993" s="156"/>
      <c r="AM2993" s="156"/>
      <c r="AN2993" s="156"/>
      <c r="AO2993" s="156"/>
      <c r="AP2993" s="156"/>
      <c r="AQ2993" s="156"/>
      <c r="AR2993" s="156"/>
      <c r="AS2993" s="156"/>
      <c r="AT2993" s="156"/>
      <c r="AU2993" s="156"/>
      <c r="AV2993" s="156"/>
      <c r="AW2993" s="156"/>
      <c r="AX2993" s="156"/>
      <c r="AY2993" s="156"/>
      <c r="AZ2993" s="156"/>
      <c r="BA2993" s="156"/>
      <c r="BB2993" s="2828"/>
      <c r="BC2993" s="452"/>
      <c r="BD2993" s="2829"/>
      <c r="BE2993" s="2837"/>
      <c r="BF2993" s="156"/>
    </row>
    <row r="2994" spans="1:58" ht="15" customHeight="1" outlineLevel="1" x14ac:dyDescent="0.35">
      <c r="A2994" s="1664"/>
      <c r="B2994" s="2812"/>
      <c r="C2994" s="3077"/>
      <c r="D2994" s="3980"/>
      <c r="E2994" s="3883"/>
      <c r="F2994" s="3984" t="str">
        <f>$E$1712</f>
        <v>ASHP-SEER21-Replace_CAC_ElectricHeat_ER2_MF_CompE</v>
      </c>
      <c r="G2994" s="3984"/>
      <c r="H2994" s="3984"/>
      <c r="I2994" s="3984"/>
      <c r="J2994" s="3501" t="str">
        <f>$C$1712</f>
        <v>353601_2019_12_</v>
      </c>
      <c r="K2994" s="3425">
        <f>$K$2925</f>
        <v>632</v>
      </c>
      <c r="L2994" s="704"/>
      <c r="M2994" s="3044" t="s">
        <v>513</v>
      </c>
      <c r="N2994" s="106"/>
      <c r="O2994" s="106"/>
      <c r="P2994" s="702"/>
      <c r="Q2994" s="574"/>
      <c r="R2994" s="702"/>
      <c r="S2994" s="106"/>
      <c r="T2994" s="486"/>
      <c r="U2994" s="106"/>
      <c r="V2994" s="3980"/>
      <c r="W2994" s="3421"/>
      <c r="X2994" s="3421"/>
      <c r="Y2994" s="2377">
        <f>$K$2925</f>
        <v>632</v>
      </c>
      <c r="Z2994" s="3425">
        <f t="shared" si="384"/>
        <v>632</v>
      </c>
      <c r="AA2994" s="3425">
        <f t="shared" si="384"/>
        <v>632</v>
      </c>
      <c r="AB2994" s="3425">
        <v>632</v>
      </c>
      <c r="AC2994" s="2132">
        <f>$K$2925</f>
        <v>632</v>
      </c>
      <c r="AD2994" s="3421">
        <v>632</v>
      </c>
      <c r="AE2994" s="3429"/>
      <c r="AF2994" s="3421"/>
      <c r="AG2994" s="3421"/>
      <c r="AH2994" s="156"/>
      <c r="AI2994" s="156"/>
      <c r="AJ2994" s="156"/>
      <c r="AK2994" s="156"/>
      <c r="AL2994" s="156"/>
      <c r="AM2994" s="156"/>
      <c r="AN2994" s="156"/>
      <c r="AO2994" s="156"/>
      <c r="AP2994" s="156"/>
      <c r="AQ2994" s="156"/>
      <c r="AR2994" s="156"/>
      <c r="AS2994" s="156"/>
      <c r="AT2994" s="156"/>
      <c r="AU2994" s="156"/>
      <c r="AV2994" s="156"/>
      <c r="AW2994" s="156"/>
      <c r="AX2994" s="156"/>
      <c r="AY2994" s="156"/>
      <c r="AZ2994" s="156"/>
      <c r="BA2994" s="156"/>
      <c r="BB2994" s="2828"/>
      <c r="BC2994" s="452"/>
      <c r="BD2994" s="2829"/>
      <c r="BE2994" s="2837"/>
      <c r="BF2994" s="156"/>
    </row>
    <row r="2995" spans="1:58" ht="15" customHeight="1" outlineLevel="1" x14ac:dyDescent="0.35">
      <c r="A2995" s="1664"/>
      <c r="B2995" s="2812"/>
      <c r="C2995" s="3077"/>
      <c r="D2995" s="3980"/>
      <c r="E2995" s="3883"/>
      <c r="F2995" s="3984" t="str">
        <f>$E$1714</f>
        <v>ASHP-SEER21-Replace_CAC_NonElectricHeat_ER1_MF</v>
      </c>
      <c r="G2995" s="3984"/>
      <c r="H2995" s="3984"/>
      <c r="I2995" s="3984"/>
      <c r="J2995" s="3501" t="str">
        <f>$C$1714</f>
        <v>353610_2021_12_</v>
      </c>
      <c r="K2995" s="3425">
        <v>869</v>
      </c>
      <c r="L2995" s="704"/>
      <c r="M2995" s="3020" t="s">
        <v>977</v>
      </c>
      <c r="N2995" s="106"/>
      <c r="O2995" s="106"/>
      <c r="P2995" s="702"/>
      <c r="Q2995" s="574"/>
      <c r="R2995" s="702"/>
      <c r="S2995" s="106"/>
      <c r="T2995" s="486"/>
      <c r="U2995" s="106"/>
      <c r="V2995" s="3980"/>
      <c r="W2995" s="3421"/>
      <c r="X2995" s="3421"/>
      <c r="Y2995" s="2377"/>
      <c r="Z2995" s="3425"/>
      <c r="AA2995" s="3425"/>
      <c r="AB2995" s="3425"/>
      <c r="AC2995" s="2922">
        <v>869</v>
      </c>
      <c r="AD2995" s="3421">
        <v>869</v>
      </c>
      <c r="AE2995" s="3429"/>
      <c r="AF2995" s="3421"/>
      <c r="AG2995" s="3421"/>
      <c r="AH2995" s="156"/>
      <c r="AI2995" s="156"/>
      <c r="AJ2995" s="156"/>
      <c r="AK2995" s="156"/>
      <c r="AL2995" s="156"/>
      <c r="AM2995" s="156"/>
      <c r="AN2995" s="156"/>
      <c r="AO2995" s="156"/>
      <c r="AP2995" s="156"/>
      <c r="AQ2995" s="156"/>
      <c r="AR2995" s="156"/>
      <c r="AS2995" s="156"/>
      <c r="AT2995" s="156"/>
      <c r="AU2995" s="156"/>
      <c r="AV2995" s="156"/>
      <c r="AW2995" s="156"/>
      <c r="AX2995" s="156"/>
      <c r="AY2995" s="156"/>
      <c r="AZ2995" s="156"/>
      <c r="BA2995" s="156"/>
      <c r="BB2995" s="2828"/>
      <c r="BC2995" s="452"/>
      <c r="BD2995" s="2829"/>
      <c r="BE2995" s="2837"/>
      <c r="BF2995" s="156"/>
    </row>
    <row r="2996" spans="1:58" ht="15" customHeight="1" outlineLevel="1" x14ac:dyDescent="0.35">
      <c r="A2996" s="1664"/>
      <c r="B2996" s="2812"/>
      <c r="C2996" s="3077"/>
      <c r="D2996" s="3980"/>
      <c r="E2996" s="3883"/>
      <c r="F2996" s="3984" t="str">
        <f>$E$1716</f>
        <v>ASHP-SEER21-Replace_CAC_NonElectricHeat_ER2_MF</v>
      </c>
      <c r="G2996" s="3984"/>
      <c r="H2996" s="3984"/>
      <c r="I2996" s="3984"/>
      <c r="J2996" s="3501" t="str">
        <f>$C$1716</f>
        <v>353610_2021_12_</v>
      </c>
      <c r="K2996" s="3425">
        <v>869</v>
      </c>
      <c r="L2996" s="704"/>
      <c r="M2996" s="3020" t="s">
        <v>977</v>
      </c>
      <c r="N2996" s="106"/>
      <c r="O2996" s="106"/>
      <c r="P2996" s="702"/>
      <c r="Q2996" s="574"/>
      <c r="R2996" s="702"/>
      <c r="S2996" s="106"/>
      <c r="T2996" s="486"/>
      <c r="U2996" s="106"/>
      <c r="V2996" s="3980"/>
      <c r="W2996" s="3421"/>
      <c r="X2996" s="3421"/>
      <c r="Y2996" s="2377"/>
      <c r="Z2996" s="3425"/>
      <c r="AA2996" s="3425"/>
      <c r="AB2996" s="3425"/>
      <c r="AC2996" s="2922">
        <v>869</v>
      </c>
      <c r="AD2996" s="3421">
        <v>869</v>
      </c>
      <c r="AE2996" s="3429"/>
      <c r="AF2996" s="3421"/>
      <c r="AG2996" s="3421"/>
      <c r="AH2996" s="156"/>
      <c r="AI2996" s="156"/>
      <c r="AJ2996" s="156"/>
      <c r="AK2996" s="156"/>
      <c r="AL2996" s="156"/>
      <c r="AM2996" s="156"/>
      <c r="AN2996" s="156"/>
      <c r="AO2996" s="156"/>
      <c r="AP2996" s="156"/>
      <c r="AQ2996" s="156"/>
      <c r="AR2996" s="156"/>
      <c r="AS2996" s="156"/>
      <c r="AT2996" s="156"/>
      <c r="AU2996" s="156"/>
      <c r="AV2996" s="156"/>
      <c r="AW2996" s="156"/>
      <c r="AX2996" s="156"/>
      <c r="AY2996" s="156"/>
      <c r="AZ2996" s="156"/>
      <c r="BA2996" s="156"/>
      <c r="BB2996" s="2828"/>
      <c r="BC2996" s="452"/>
      <c r="BD2996" s="2829"/>
      <c r="BE2996" s="2837"/>
      <c r="BF2996" s="156"/>
    </row>
    <row r="2997" spans="1:58" ht="15" customHeight="1" outlineLevel="1" x14ac:dyDescent="0.35">
      <c r="A2997" s="1664"/>
      <c r="B2997" s="2812"/>
      <c r="C2997" s="3077"/>
      <c r="D2997" s="3980"/>
      <c r="E2997" s="3883"/>
      <c r="F2997" s="3984" t="str">
        <f>$E$1718</f>
        <v>ASHP-SEER21-Replace_CAC_NonElectricHeat_ER1_MF_CompE</v>
      </c>
      <c r="G2997" s="3984"/>
      <c r="H2997" s="3984"/>
      <c r="I2997" s="3984"/>
      <c r="J2997" s="3501" t="str">
        <f>$C$1718</f>
        <v>353611_2021_12_</v>
      </c>
      <c r="K2997" s="3425">
        <f>$K$2925</f>
        <v>632</v>
      </c>
      <c r="L2997" s="704"/>
      <c r="M2997" s="3044" t="s">
        <v>513</v>
      </c>
      <c r="N2997" s="106"/>
      <c r="O2997" s="106"/>
      <c r="P2997" s="702"/>
      <c r="Q2997" s="574"/>
      <c r="R2997" s="702"/>
      <c r="S2997" s="106"/>
      <c r="T2997" s="486"/>
      <c r="U2997" s="106"/>
      <c r="V2997" s="3980"/>
      <c r="W2997" s="3421"/>
      <c r="X2997" s="3421"/>
      <c r="Y2997" s="2377"/>
      <c r="Z2997" s="3425"/>
      <c r="AA2997" s="3425"/>
      <c r="AB2997" s="3425"/>
      <c r="AC2997" s="2922">
        <f>$K$2925</f>
        <v>632</v>
      </c>
      <c r="AD2997" s="3421">
        <v>632</v>
      </c>
      <c r="AE2997" s="3429"/>
      <c r="AF2997" s="3421"/>
      <c r="AG2997" s="3421"/>
      <c r="AH2997" s="156"/>
      <c r="AI2997" s="156"/>
      <c r="AJ2997" s="156"/>
      <c r="AK2997" s="156"/>
      <c r="AL2997" s="156"/>
      <c r="AM2997" s="156"/>
      <c r="AN2997" s="156"/>
      <c r="AO2997" s="156"/>
      <c r="AP2997" s="156"/>
      <c r="AQ2997" s="156"/>
      <c r="AR2997" s="156"/>
      <c r="AS2997" s="156"/>
      <c r="AT2997" s="156"/>
      <c r="AU2997" s="156"/>
      <c r="AV2997" s="156"/>
      <c r="AW2997" s="156"/>
      <c r="AX2997" s="156"/>
      <c r="AY2997" s="156"/>
      <c r="AZ2997" s="156"/>
      <c r="BA2997" s="156"/>
      <c r="BB2997" s="2828"/>
      <c r="BC2997" s="452"/>
      <c r="BD2997" s="2829"/>
      <c r="BE2997" s="2837"/>
      <c r="BF2997" s="156"/>
    </row>
    <row r="2998" spans="1:58" ht="15" customHeight="1" outlineLevel="1" x14ac:dyDescent="0.35">
      <c r="A2998" s="1664"/>
      <c r="B2998" s="2812"/>
      <c r="C2998" s="3077"/>
      <c r="D2998" s="3980"/>
      <c r="E2998" s="3883"/>
      <c r="F2998" s="3984" t="str">
        <f>$E$1720</f>
        <v>ASHP-SEER21-Replace_CAC_NonElectricHeat_ER2_MF_CompE</v>
      </c>
      <c r="G2998" s="3984"/>
      <c r="H2998" s="3984"/>
      <c r="I2998" s="3984"/>
      <c r="J2998" s="3501" t="str">
        <f>$C$1720</f>
        <v>353611_2021_12_</v>
      </c>
      <c r="K2998" s="3425">
        <f>$K$2925</f>
        <v>632</v>
      </c>
      <c r="L2998" s="704"/>
      <c r="M2998" s="3044" t="s">
        <v>513</v>
      </c>
      <c r="N2998" s="106"/>
      <c r="O2998" s="106"/>
      <c r="P2998" s="702"/>
      <c r="Q2998" s="574"/>
      <c r="R2998" s="702"/>
      <c r="S2998" s="106"/>
      <c r="T2998" s="486"/>
      <c r="U2998" s="106"/>
      <c r="V2998" s="3980"/>
      <c r="W2998" s="3421"/>
      <c r="X2998" s="3421"/>
      <c r="Y2998" s="2377"/>
      <c r="Z2998" s="3425"/>
      <c r="AA2998" s="3425"/>
      <c r="AB2998" s="3425"/>
      <c r="AC2998" s="2922">
        <f>$K$2925</f>
        <v>632</v>
      </c>
      <c r="AD2998" s="3421">
        <v>632</v>
      </c>
      <c r="AE2998" s="3429"/>
      <c r="AF2998" s="3421"/>
      <c r="AG2998" s="3421"/>
      <c r="AH2998" s="156"/>
      <c r="AI2998" s="156"/>
      <c r="AJ2998" s="156"/>
      <c r="AK2998" s="156"/>
      <c r="AL2998" s="156"/>
      <c r="AM2998" s="156"/>
      <c r="AN2998" s="156"/>
      <c r="AO2998" s="156"/>
      <c r="AP2998" s="156"/>
      <c r="AQ2998" s="156"/>
      <c r="AR2998" s="156"/>
      <c r="AS2998" s="156"/>
      <c r="AT2998" s="156"/>
      <c r="AU2998" s="156"/>
      <c r="AV2998" s="156"/>
      <c r="AW2998" s="156"/>
      <c r="AX2998" s="156"/>
      <c r="AY2998" s="156"/>
      <c r="AZ2998" s="156"/>
      <c r="BA2998" s="156"/>
      <c r="BB2998" s="2828"/>
      <c r="BC2998" s="452"/>
      <c r="BD2998" s="2829"/>
      <c r="BE2998" s="2837"/>
      <c r="BF2998" s="156"/>
    </row>
    <row r="2999" spans="1:58" ht="15" customHeight="1" outlineLevel="1" x14ac:dyDescent="0.35">
      <c r="A2999" s="1664"/>
      <c r="B2999" s="2812"/>
      <c r="C2999" s="3077"/>
      <c r="D2999" s="3980"/>
      <c r="E2999" s="3883"/>
      <c r="F2999" s="3984" t="str">
        <f>$E$1722</f>
        <v>ASHP-SEER21-Replace_CAC_ElectricHeat_ROF_SF</v>
      </c>
      <c r="G2999" s="3984"/>
      <c r="H2999" s="3984"/>
      <c r="I2999" s="3984"/>
      <c r="J2999" s="3501" t="str">
        <f>$C$1722</f>
        <v>353650_2021_12_</v>
      </c>
      <c r="K2999" s="3425">
        <v>869</v>
      </c>
      <c r="L2999" s="704"/>
      <c r="M2999" s="3020" t="s">
        <v>977</v>
      </c>
      <c r="N2999" s="106"/>
      <c r="O2999" s="106"/>
      <c r="P2999" s="702"/>
      <c r="Q2999" s="574"/>
      <c r="R2999" s="702"/>
      <c r="S2999" s="106"/>
      <c r="T2999" s="486"/>
      <c r="U2999" s="106"/>
      <c r="V2999" s="3980"/>
      <c r="W2999" s="3421">
        <v>869</v>
      </c>
      <c r="X2999" s="3421">
        <v>869</v>
      </c>
      <c r="Y2999" s="3425">
        <v>869</v>
      </c>
      <c r="Z2999" s="3425">
        <v>869</v>
      </c>
      <c r="AA2999" s="3425">
        <v>869</v>
      </c>
      <c r="AB2999" s="3425">
        <v>869</v>
      </c>
      <c r="AC2999" s="2132">
        <v>869</v>
      </c>
      <c r="AD2999" s="3421">
        <v>869</v>
      </c>
      <c r="AE2999" s="3429"/>
      <c r="AF2999" s="3421"/>
      <c r="AG2999" s="3421"/>
      <c r="AH2999" s="156"/>
      <c r="AI2999" s="156"/>
      <c r="AJ2999" s="156"/>
      <c r="AK2999" s="156"/>
      <c r="AL2999" s="156"/>
      <c r="AM2999" s="156"/>
      <c r="AN2999" s="156"/>
      <c r="AO2999" s="156"/>
      <c r="AP2999" s="156"/>
      <c r="AQ2999" s="156"/>
      <c r="AR2999" s="156"/>
      <c r="AS2999" s="156"/>
      <c r="AT2999" s="156"/>
      <c r="AU2999" s="156"/>
      <c r="AV2999" s="156"/>
      <c r="AW2999" s="156"/>
      <c r="AX2999" s="156"/>
      <c r="AY2999" s="156"/>
      <c r="AZ2999" s="156"/>
      <c r="BA2999" s="156"/>
      <c r="BB2999" s="2828"/>
      <c r="BC2999" s="452"/>
      <c r="BD2999" s="2829"/>
      <c r="BE2999" s="2837"/>
      <c r="BF2999" s="156"/>
    </row>
    <row r="3000" spans="1:58" s="3398" customFormat="1" ht="15" customHeight="1" outlineLevel="1" x14ac:dyDescent="0.35">
      <c r="A3000" s="1664"/>
      <c r="B3000" s="2812"/>
      <c r="C3000" s="3077"/>
      <c r="D3000" s="3980"/>
      <c r="E3000" s="3883"/>
      <c r="F3000" s="4136" t="str">
        <f>$E$1724</f>
        <v>ASHP-SEER21-Replace_CAC_NonElectricHeat_ROF_SF</v>
      </c>
      <c r="G3000" s="4136"/>
      <c r="H3000" s="4136"/>
      <c r="I3000" s="4136"/>
      <c r="J3000" s="3502" t="str">
        <f>$C$1724</f>
        <v>353660_2022_12_</v>
      </c>
      <c r="K3000" s="2377">
        <v>869</v>
      </c>
      <c r="L3000" s="704"/>
      <c r="M3000" s="3525" t="s">
        <v>977</v>
      </c>
      <c r="P3000" s="702"/>
      <c r="Q3000" s="574"/>
      <c r="R3000" s="702"/>
      <c r="T3000" s="3397"/>
      <c r="V3000" s="3980"/>
      <c r="W3000" s="3421"/>
      <c r="X3000" s="3421"/>
      <c r="Y3000" s="3425"/>
      <c r="Z3000" s="3425"/>
      <c r="AA3000" s="3425"/>
      <c r="AB3000" s="3425"/>
      <c r="AC3000" s="2132"/>
      <c r="AD3000" s="2374">
        <v>869</v>
      </c>
      <c r="AE3000" s="3429"/>
      <c r="AF3000" s="3421"/>
      <c r="AG3000" s="3421"/>
      <c r="AH3000" s="156"/>
      <c r="AI3000" s="156"/>
      <c r="AJ3000" s="156"/>
      <c r="AK3000" s="156"/>
      <c r="AL3000" s="156"/>
      <c r="AM3000" s="156"/>
      <c r="AN3000" s="156"/>
      <c r="AO3000" s="156"/>
      <c r="AP3000" s="156"/>
      <c r="AQ3000" s="156"/>
      <c r="AR3000" s="156"/>
      <c r="AS3000" s="156"/>
      <c r="AT3000" s="156"/>
      <c r="AU3000" s="156"/>
      <c r="AV3000" s="156"/>
      <c r="AW3000" s="156"/>
      <c r="AX3000" s="156"/>
      <c r="AY3000" s="156"/>
      <c r="AZ3000" s="156"/>
      <c r="BA3000" s="156"/>
      <c r="BB3000" s="2828"/>
      <c r="BC3000" s="452"/>
      <c r="BD3000" s="2829"/>
      <c r="BE3000" s="2837"/>
      <c r="BF3000" s="156"/>
    </row>
    <row r="3001" spans="1:58" ht="15" customHeight="1" outlineLevel="1" x14ac:dyDescent="0.35">
      <c r="A3001" s="1071"/>
      <c r="B3001" s="2812"/>
      <c r="C3001" s="3077"/>
      <c r="D3001" s="3980"/>
      <c r="E3001" s="3883"/>
      <c r="F3001" s="3984" t="str">
        <f>$E$1726</f>
        <v>ASHP-SEER21+-Replace_CAC_ElectricHeat_ROF_MF</v>
      </c>
      <c r="G3001" s="3984"/>
      <c r="H3001" s="3984"/>
      <c r="I3001" s="3984"/>
      <c r="J3001" s="3501" t="str">
        <f>$C$1726</f>
        <v>353700_2019_12_</v>
      </c>
      <c r="K3001" s="3425">
        <v>869</v>
      </c>
      <c r="L3001" s="704"/>
      <c r="M3001" s="3020" t="s">
        <v>977</v>
      </c>
      <c r="N3001" s="106"/>
      <c r="O3001" s="106"/>
      <c r="P3001" s="106"/>
      <c r="Q3001" s="106"/>
      <c r="R3001" s="106"/>
      <c r="S3001" s="106"/>
      <c r="T3001" s="106"/>
      <c r="U3001" s="106"/>
      <c r="V3001" s="3980"/>
      <c r="W3001" s="3421">
        <v>869</v>
      </c>
      <c r="X3001" s="3421">
        <v>869</v>
      </c>
      <c r="Y3001" s="3425">
        <v>869</v>
      </c>
      <c r="Z3001" s="3425">
        <v>869</v>
      </c>
      <c r="AA3001" s="3425">
        <v>869</v>
      </c>
      <c r="AB3001" s="3425">
        <v>869</v>
      </c>
      <c r="AC3001" s="2132">
        <v>869</v>
      </c>
      <c r="AD3001" s="3421">
        <v>869</v>
      </c>
      <c r="AE3001" s="3429"/>
      <c r="AF3001" s="3421"/>
      <c r="AG3001" s="3421"/>
      <c r="AH3001" s="156"/>
      <c r="AI3001" s="156"/>
      <c r="AJ3001" s="156"/>
      <c r="AK3001" s="156"/>
      <c r="AL3001" s="156"/>
      <c r="AM3001" s="156"/>
      <c r="AN3001" s="156"/>
      <c r="AO3001" s="156"/>
      <c r="AP3001" s="156"/>
      <c r="AQ3001" s="156"/>
      <c r="AR3001" s="156"/>
      <c r="AS3001" s="156"/>
      <c r="AT3001" s="156"/>
      <c r="AU3001" s="156"/>
      <c r="AV3001" s="156"/>
      <c r="AW3001" s="156"/>
      <c r="AX3001" s="156"/>
      <c r="AY3001" s="156"/>
      <c r="AZ3001" s="156"/>
      <c r="BA3001" s="156"/>
      <c r="BB3001" s="2828"/>
      <c r="BC3001" s="452"/>
      <c r="BD3001" s="2829"/>
      <c r="BE3001" s="2837"/>
      <c r="BF3001" s="156"/>
    </row>
    <row r="3002" spans="1:58" ht="15" customHeight="1" outlineLevel="1" x14ac:dyDescent="0.35">
      <c r="A3002" s="1071"/>
      <c r="B3002" s="2812"/>
      <c r="C3002" s="3077"/>
      <c r="D3002" s="3980"/>
      <c r="E3002" s="3883"/>
      <c r="F3002" s="3984" t="str">
        <f>$E$1728</f>
        <v>ASHP-SEER21+-Replace_CAC_ElectricHeat_ROF_MF_CompE</v>
      </c>
      <c r="G3002" s="3984"/>
      <c r="H3002" s="3984"/>
      <c r="I3002" s="3984"/>
      <c r="J3002" s="3501" t="str">
        <f>$C$1728</f>
        <v>353701_2019_12_</v>
      </c>
      <c r="K3002" s="3425">
        <v>632</v>
      </c>
      <c r="L3002" s="704"/>
      <c r="M3002" s="3020" t="s">
        <v>977</v>
      </c>
      <c r="N3002" s="106"/>
      <c r="O3002" s="106"/>
      <c r="P3002" s="106"/>
      <c r="Q3002" s="106"/>
      <c r="R3002" s="106"/>
      <c r="S3002" s="106"/>
      <c r="T3002" s="106"/>
      <c r="U3002" s="106"/>
      <c r="V3002" s="3980"/>
      <c r="W3002" s="3421"/>
      <c r="X3002" s="3421"/>
      <c r="Y3002" s="2377">
        <v>632</v>
      </c>
      <c r="Z3002" s="3425">
        <v>632</v>
      </c>
      <c r="AA3002" s="3425">
        <v>632</v>
      </c>
      <c r="AB3002" s="3425">
        <v>632</v>
      </c>
      <c r="AC3002" s="2132">
        <v>632</v>
      </c>
      <c r="AD3002" s="3421">
        <v>632</v>
      </c>
      <c r="AE3002" s="3429"/>
      <c r="AF3002" s="3421"/>
      <c r="AG3002" s="3421"/>
      <c r="AH3002" s="156"/>
      <c r="AI3002" s="156"/>
      <c r="AJ3002" s="156"/>
      <c r="AK3002" s="156"/>
      <c r="AL3002" s="156"/>
      <c r="AM3002" s="156"/>
      <c r="AN3002" s="156"/>
      <c r="AO3002" s="156"/>
      <c r="AP3002" s="156"/>
      <c r="AQ3002" s="156"/>
      <c r="AR3002" s="156"/>
      <c r="AS3002" s="156"/>
      <c r="AT3002" s="156"/>
      <c r="AU3002" s="156"/>
      <c r="AV3002" s="156"/>
      <c r="AW3002" s="156"/>
      <c r="AX3002" s="156"/>
      <c r="AY3002" s="156"/>
      <c r="AZ3002" s="156"/>
      <c r="BA3002" s="156"/>
      <c r="BB3002" s="2828"/>
      <c r="BC3002" s="452"/>
      <c r="BD3002" s="2829"/>
      <c r="BE3002" s="2837"/>
      <c r="BF3002" s="156"/>
    </row>
    <row r="3003" spans="1:58" ht="15" customHeight="1" outlineLevel="1" x14ac:dyDescent="0.35">
      <c r="A3003" s="1071"/>
      <c r="B3003" s="2812"/>
      <c r="C3003" s="3077"/>
      <c r="D3003" s="3980"/>
      <c r="E3003" s="3883"/>
      <c r="F3003" s="3984" t="str">
        <f>$E$1730</f>
        <v>ASHP-SEER21+-Replace_CAC_NonElectricHeat_ROF_MF</v>
      </c>
      <c r="G3003" s="3984"/>
      <c r="H3003" s="3984"/>
      <c r="I3003" s="3984"/>
      <c r="J3003" s="3501" t="str">
        <f>$C$1730</f>
        <v>353710_2021_12_</v>
      </c>
      <c r="K3003" s="3425">
        <v>869</v>
      </c>
      <c r="L3003" s="704"/>
      <c r="M3003" s="3020" t="s">
        <v>977</v>
      </c>
      <c r="N3003" s="106"/>
      <c r="O3003" s="106"/>
      <c r="P3003" s="106"/>
      <c r="Q3003" s="106"/>
      <c r="R3003" s="106"/>
      <c r="S3003" s="106"/>
      <c r="T3003" s="106"/>
      <c r="U3003" s="106"/>
      <c r="V3003" s="3980"/>
      <c r="W3003" s="3421"/>
      <c r="X3003" s="3421"/>
      <c r="Y3003" s="2377"/>
      <c r="Z3003" s="3425"/>
      <c r="AA3003" s="3425"/>
      <c r="AB3003" s="3425"/>
      <c r="AC3003" s="2922">
        <v>869</v>
      </c>
      <c r="AD3003" s="3421">
        <v>869</v>
      </c>
      <c r="AE3003" s="3429"/>
      <c r="AF3003" s="3421"/>
      <c r="AG3003" s="3421"/>
      <c r="AH3003" s="156"/>
      <c r="AI3003" s="156"/>
      <c r="AJ3003" s="156"/>
      <c r="AK3003" s="156"/>
      <c r="AL3003" s="156"/>
      <c r="AM3003" s="156"/>
      <c r="AN3003" s="156"/>
      <c r="AO3003" s="156"/>
      <c r="AP3003" s="156"/>
      <c r="AQ3003" s="156"/>
      <c r="AR3003" s="156"/>
      <c r="AS3003" s="156"/>
      <c r="AT3003" s="156"/>
      <c r="AU3003" s="156"/>
      <c r="AV3003" s="156"/>
      <c r="AW3003" s="156"/>
      <c r="AX3003" s="156"/>
      <c r="AY3003" s="156"/>
      <c r="AZ3003" s="156"/>
      <c r="BA3003" s="156"/>
      <c r="BB3003" s="2828"/>
      <c r="BC3003" s="452"/>
      <c r="BD3003" s="2829"/>
      <c r="BE3003" s="2837"/>
      <c r="BF3003" s="156"/>
    </row>
    <row r="3004" spans="1:58" ht="15" customHeight="1" outlineLevel="1" x14ac:dyDescent="0.35">
      <c r="A3004" s="1071"/>
      <c r="B3004" s="2812"/>
      <c r="C3004" s="3077"/>
      <c r="D3004" s="3980"/>
      <c r="E3004" s="3883"/>
      <c r="F3004" s="3984" t="str">
        <f>$E$1732</f>
        <v>ASHP-SEER21+-Replace_CAC_NonElectricHeat_ROF_MF_CompE</v>
      </c>
      <c r="G3004" s="3984"/>
      <c r="H3004" s="3984"/>
      <c r="I3004" s="3984"/>
      <c r="J3004" s="3501" t="str">
        <f>$C$1732</f>
        <v>353711_2021_12_</v>
      </c>
      <c r="K3004" s="3425">
        <v>632</v>
      </c>
      <c r="L3004" s="704"/>
      <c r="M3004" s="3044" t="s">
        <v>513</v>
      </c>
      <c r="N3004" s="106"/>
      <c r="O3004" s="106"/>
      <c r="P3004" s="106"/>
      <c r="Q3004" s="106"/>
      <c r="R3004" s="106"/>
      <c r="S3004" s="106"/>
      <c r="T3004" s="106"/>
      <c r="U3004" s="106"/>
      <c r="V3004" s="3980"/>
      <c r="W3004" s="3421"/>
      <c r="X3004" s="3421"/>
      <c r="Y3004" s="2377"/>
      <c r="Z3004" s="3425"/>
      <c r="AA3004" s="3425"/>
      <c r="AB3004" s="3425"/>
      <c r="AC3004" s="2922">
        <v>632</v>
      </c>
      <c r="AD3004" s="3421">
        <v>632</v>
      </c>
      <c r="AE3004" s="3429"/>
      <c r="AF3004" s="3421"/>
      <c r="AG3004" s="3421"/>
      <c r="AH3004" s="156"/>
      <c r="AI3004" s="156"/>
      <c r="AJ3004" s="156"/>
      <c r="AK3004" s="156"/>
      <c r="AL3004" s="156"/>
      <c r="AM3004" s="156"/>
      <c r="AN3004" s="156"/>
      <c r="AO3004" s="156"/>
      <c r="AP3004" s="156"/>
      <c r="AQ3004" s="156"/>
      <c r="AR3004" s="156"/>
      <c r="AS3004" s="156"/>
      <c r="AT3004" s="156"/>
      <c r="AU3004" s="156"/>
      <c r="AV3004" s="156"/>
      <c r="AW3004" s="156"/>
      <c r="AX3004" s="156"/>
      <c r="AY3004" s="156"/>
      <c r="AZ3004" s="156"/>
      <c r="BA3004" s="156"/>
      <c r="BB3004" s="2828"/>
      <c r="BC3004" s="452"/>
      <c r="BD3004" s="2829"/>
      <c r="BE3004" s="2837"/>
      <c r="BF3004" s="156"/>
    </row>
    <row r="3005" spans="1:58" ht="15" customHeight="1" outlineLevel="1" x14ac:dyDescent="0.35">
      <c r="A3005" s="1664"/>
      <c r="B3005" s="2812"/>
      <c r="C3005" s="3077"/>
      <c r="D3005" s="3980"/>
      <c r="E3005" s="3883"/>
      <c r="F3005" s="3984" t="str">
        <f>$E$1734</f>
        <v>ASHP-SEER17_ER1_SF</v>
      </c>
      <c r="G3005" s="3984"/>
      <c r="H3005" s="3984"/>
      <c r="I3005" s="3984"/>
      <c r="J3005" s="3501" t="str">
        <f>$C$1734</f>
        <v>353750_2021_12_</v>
      </c>
      <c r="K3005" s="3425">
        <v>869</v>
      </c>
      <c r="L3005" s="704"/>
      <c r="M3005" s="3020" t="s">
        <v>977</v>
      </c>
      <c r="N3005" s="106"/>
      <c r="O3005" s="106"/>
      <c r="P3005" s="702"/>
      <c r="Q3005" s="574"/>
      <c r="R3005" s="702"/>
      <c r="S3005" s="106"/>
      <c r="T3005" s="486"/>
      <c r="U3005" s="106"/>
      <c r="V3005" s="3980"/>
      <c r="W3005" s="3421">
        <v>869</v>
      </c>
      <c r="X3005" s="3421">
        <v>869</v>
      </c>
      <c r="Y3005" s="3425">
        <v>869</v>
      </c>
      <c r="Z3005" s="3425">
        <v>869</v>
      </c>
      <c r="AA3005" s="3425">
        <v>869</v>
      </c>
      <c r="AB3005" s="3425">
        <v>869</v>
      </c>
      <c r="AC3005" s="2132">
        <v>869</v>
      </c>
      <c r="AD3005" s="3421">
        <v>869</v>
      </c>
      <c r="AE3005" s="3429"/>
      <c r="AF3005" s="3421"/>
      <c r="AG3005" s="3421"/>
      <c r="AH3005" s="156"/>
      <c r="AI3005" s="156"/>
      <c r="AJ3005" s="156"/>
      <c r="AK3005" s="156"/>
      <c r="AL3005" s="156"/>
      <c r="AM3005" s="156"/>
      <c r="AN3005" s="156"/>
      <c r="AO3005" s="156"/>
      <c r="AP3005" s="156"/>
      <c r="AQ3005" s="156"/>
      <c r="AR3005" s="156"/>
      <c r="AS3005" s="156"/>
      <c r="AT3005" s="156"/>
      <c r="AU3005" s="156"/>
      <c r="AV3005" s="156"/>
      <c r="AW3005" s="156"/>
      <c r="AX3005" s="156"/>
      <c r="AY3005" s="156"/>
      <c r="AZ3005" s="156"/>
      <c r="BA3005" s="156"/>
      <c r="BB3005" s="2828"/>
      <c r="BC3005" s="452"/>
      <c r="BD3005" s="2829"/>
      <c r="BE3005" s="2837"/>
      <c r="BF3005" s="156"/>
    </row>
    <row r="3006" spans="1:58" ht="15" customHeight="1" outlineLevel="1" x14ac:dyDescent="0.35">
      <c r="A3006" s="1071"/>
      <c r="B3006" s="2812"/>
      <c r="C3006" s="3077"/>
      <c r="D3006" s="3980"/>
      <c r="E3006" s="3883"/>
      <c r="F3006" s="3984" t="str">
        <f>$E$1736</f>
        <v>ASHP-SEER17_ER2_SF</v>
      </c>
      <c r="G3006" s="3984"/>
      <c r="H3006" s="3984"/>
      <c r="I3006" s="3984"/>
      <c r="J3006" s="3501" t="str">
        <f>$C$1736</f>
        <v>353750_2021_12_</v>
      </c>
      <c r="K3006" s="3425">
        <v>869</v>
      </c>
      <c r="L3006" s="704"/>
      <c r="M3006" s="3020" t="s">
        <v>977</v>
      </c>
      <c r="N3006" s="106"/>
      <c r="O3006" s="106"/>
      <c r="P3006" s="106"/>
      <c r="Q3006" s="106"/>
      <c r="R3006" s="106"/>
      <c r="S3006" s="106"/>
      <c r="T3006" s="106"/>
      <c r="U3006" s="106"/>
      <c r="V3006" s="3980"/>
      <c r="W3006" s="3421">
        <v>869</v>
      </c>
      <c r="X3006" s="3421">
        <v>869</v>
      </c>
      <c r="Y3006" s="3425">
        <v>869</v>
      </c>
      <c r="Z3006" s="3425">
        <v>869</v>
      </c>
      <c r="AA3006" s="3425">
        <v>869</v>
      </c>
      <c r="AB3006" s="3425">
        <v>869</v>
      </c>
      <c r="AC3006" s="2132">
        <v>869</v>
      </c>
      <c r="AD3006" s="3421">
        <v>869</v>
      </c>
      <c r="AE3006" s="3429"/>
      <c r="AF3006" s="3421"/>
      <c r="AG3006" s="3421"/>
      <c r="AH3006" s="156"/>
      <c r="AI3006" s="156"/>
      <c r="AJ3006" s="156"/>
      <c r="AK3006" s="156"/>
      <c r="AL3006" s="156"/>
      <c r="AM3006" s="156"/>
      <c r="AN3006" s="156"/>
      <c r="AO3006" s="156"/>
      <c r="AP3006" s="156"/>
      <c r="AQ3006" s="156"/>
      <c r="AR3006" s="156"/>
      <c r="AS3006" s="156"/>
      <c r="AT3006" s="156"/>
      <c r="AU3006" s="156"/>
      <c r="AV3006" s="156"/>
      <c r="AW3006" s="156"/>
      <c r="AX3006" s="156"/>
      <c r="AY3006" s="156"/>
      <c r="AZ3006" s="156"/>
      <c r="BA3006" s="156"/>
      <c r="BB3006" s="2828"/>
      <c r="BC3006" s="452"/>
      <c r="BD3006" s="2829"/>
      <c r="BE3006" s="2837"/>
      <c r="BF3006" s="156"/>
    </row>
    <row r="3007" spans="1:58" ht="15" customHeight="1" outlineLevel="1" x14ac:dyDescent="0.35">
      <c r="A3007" s="1664"/>
      <c r="B3007" s="2812"/>
      <c r="C3007" s="3077"/>
      <c r="D3007" s="3980"/>
      <c r="E3007" s="3883"/>
      <c r="F3007" s="3984" t="str">
        <f>$E$1738</f>
        <v>ASHP-SEER17_ROF_SF</v>
      </c>
      <c r="G3007" s="3984"/>
      <c r="H3007" s="3984"/>
      <c r="I3007" s="3984"/>
      <c r="J3007" s="3501" t="str">
        <f>$C$1738</f>
        <v>353800_2021_12_</v>
      </c>
      <c r="K3007" s="3425">
        <v>869</v>
      </c>
      <c r="L3007" s="704"/>
      <c r="M3007" s="3020" t="s">
        <v>977</v>
      </c>
      <c r="N3007" s="106"/>
      <c r="O3007" s="106"/>
      <c r="P3007" s="702"/>
      <c r="Q3007" s="574"/>
      <c r="R3007" s="702"/>
      <c r="S3007" s="106"/>
      <c r="T3007" s="486"/>
      <c r="U3007" s="106"/>
      <c r="V3007" s="3980"/>
      <c r="W3007" s="3421">
        <v>869</v>
      </c>
      <c r="X3007" s="3421">
        <v>869</v>
      </c>
      <c r="Y3007" s="3425">
        <v>869</v>
      </c>
      <c r="Z3007" s="3425">
        <v>869</v>
      </c>
      <c r="AA3007" s="3425">
        <v>869</v>
      </c>
      <c r="AB3007" s="3425">
        <v>869</v>
      </c>
      <c r="AC3007" s="2132">
        <v>869</v>
      </c>
      <c r="AD3007" s="3421">
        <v>869</v>
      </c>
      <c r="AE3007" s="3429"/>
      <c r="AF3007" s="3421"/>
      <c r="AG3007" s="3421"/>
      <c r="AH3007" s="156"/>
      <c r="AI3007" s="156"/>
      <c r="AJ3007" s="156"/>
      <c r="AK3007" s="156"/>
      <c r="AL3007" s="156"/>
      <c r="AM3007" s="156"/>
      <c r="AN3007" s="156"/>
      <c r="AO3007" s="156"/>
      <c r="AP3007" s="156"/>
      <c r="AQ3007" s="156"/>
      <c r="AR3007" s="156"/>
      <c r="AS3007" s="156"/>
      <c r="AT3007" s="156"/>
      <c r="AU3007" s="156"/>
      <c r="AV3007" s="156"/>
      <c r="AW3007" s="156"/>
      <c r="AX3007" s="156"/>
      <c r="AY3007" s="156"/>
      <c r="AZ3007" s="156"/>
      <c r="BA3007" s="156"/>
      <c r="BB3007" s="2828"/>
      <c r="BC3007" s="452"/>
      <c r="BD3007" s="2829"/>
      <c r="BE3007" s="2837"/>
      <c r="BF3007" s="156"/>
    </row>
    <row r="3008" spans="1:58" ht="15" customHeight="1" outlineLevel="1" x14ac:dyDescent="0.35">
      <c r="A3008" s="1071"/>
      <c r="B3008" s="2812"/>
      <c r="C3008" s="3077"/>
      <c r="D3008" s="3980"/>
      <c r="E3008" s="3883"/>
      <c r="F3008" s="3984" t="str">
        <f>$E$1740</f>
        <v>ASHP-SEER18_ER1_SF</v>
      </c>
      <c r="G3008" s="3984"/>
      <c r="H3008" s="3984"/>
      <c r="I3008" s="3984"/>
      <c r="J3008" s="3501" t="str">
        <f>$C$1740</f>
        <v>353850_2021_12_</v>
      </c>
      <c r="K3008" s="3425">
        <v>869</v>
      </c>
      <c r="L3008" s="704"/>
      <c r="M3008" s="3020" t="s">
        <v>977</v>
      </c>
      <c r="N3008" s="106"/>
      <c r="O3008" s="106"/>
      <c r="P3008" s="106"/>
      <c r="Q3008" s="106"/>
      <c r="R3008" s="106"/>
      <c r="S3008" s="106"/>
      <c r="T3008" s="106"/>
      <c r="U3008" s="106"/>
      <c r="V3008" s="3980"/>
      <c r="W3008" s="3421">
        <v>869</v>
      </c>
      <c r="X3008" s="3421">
        <v>869</v>
      </c>
      <c r="Y3008" s="3425">
        <v>869</v>
      </c>
      <c r="Z3008" s="3425">
        <v>869</v>
      </c>
      <c r="AA3008" s="3425">
        <v>869</v>
      </c>
      <c r="AB3008" s="3425">
        <v>869</v>
      </c>
      <c r="AC3008" s="2132">
        <v>869</v>
      </c>
      <c r="AD3008" s="3421">
        <v>869</v>
      </c>
      <c r="AE3008" s="3429"/>
      <c r="AF3008" s="3421"/>
      <c r="AG3008" s="3421"/>
      <c r="AH3008" s="156"/>
      <c r="AI3008" s="156"/>
      <c r="AJ3008" s="156"/>
      <c r="AK3008" s="156"/>
      <c r="AL3008" s="156"/>
      <c r="AM3008" s="156"/>
      <c r="AN3008" s="156"/>
      <c r="AO3008" s="156"/>
      <c r="AP3008" s="156"/>
      <c r="AQ3008" s="156"/>
      <c r="AR3008" s="156"/>
      <c r="AS3008" s="156"/>
      <c r="AT3008" s="156"/>
      <c r="AU3008" s="156"/>
      <c r="AV3008" s="156"/>
      <c r="AW3008" s="156"/>
      <c r="AX3008" s="156"/>
      <c r="AY3008" s="156"/>
      <c r="AZ3008" s="156"/>
      <c r="BA3008" s="156"/>
      <c r="BB3008" s="2828"/>
      <c r="BC3008" s="452"/>
      <c r="BD3008" s="2829"/>
      <c r="BE3008" s="2837"/>
      <c r="BF3008" s="156"/>
    </row>
    <row r="3009" spans="1:58" ht="15" customHeight="1" outlineLevel="1" x14ac:dyDescent="0.35">
      <c r="A3009" s="1071"/>
      <c r="B3009" s="2812"/>
      <c r="C3009" s="3077"/>
      <c r="D3009" s="3980"/>
      <c r="E3009" s="3883"/>
      <c r="F3009" s="3984" t="str">
        <f>$E$1742</f>
        <v>ASHP-SEER18_ER2_SF</v>
      </c>
      <c r="G3009" s="3984"/>
      <c r="H3009" s="3984"/>
      <c r="I3009" s="3984"/>
      <c r="J3009" s="3501" t="str">
        <f>$C$1742</f>
        <v>353850_2021_12_</v>
      </c>
      <c r="K3009" s="3425">
        <v>869</v>
      </c>
      <c r="L3009" s="704"/>
      <c r="M3009" s="3020" t="s">
        <v>977</v>
      </c>
      <c r="N3009" s="106"/>
      <c r="O3009" s="106"/>
      <c r="P3009" s="106"/>
      <c r="Q3009" s="106"/>
      <c r="R3009" s="106"/>
      <c r="S3009" s="106"/>
      <c r="T3009" s="106"/>
      <c r="U3009" s="106"/>
      <c r="V3009" s="3980"/>
      <c r="W3009" s="3421">
        <v>869</v>
      </c>
      <c r="X3009" s="3421">
        <v>869</v>
      </c>
      <c r="Y3009" s="3425">
        <v>869</v>
      </c>
      <c r="Z3009" s="3425">
        <v>869</v>
      </c>
      <c r="AA3009" s="3425">
        <v>869</v>
      </c>
      <c r="AB3009" s="3425">
        <v>869</v>
      </c>
      <c r="AC3009" s="2132">
        <v>869</v>
      </c>
      <c r="AD3009" s="3421">
        <v>869</v>
      </c>
      <c r="AE3009" s="3429"/>
      <c r="AF3009" s="3421"/>
      <c r="AG3009" s="3421"/>
      <c r="AH3009" s="156"/>
      <c r="AI3009" s="156"/>
      <c r="AJ3009" s="156"/>
      <c r="AK3009" s="156"/>
      <c r="AL3009" s="156"/>
      <c r="AM3009" s="156"/>
      <c r="AN3009" s="156"/>
      <c r="AO3009" s="156"/>
      <c r="AP3009" s="156"/>
      <c r="AQ3009" s="156"/>
      <c r="AR3009" s="156"/>
      <c r="AS3009" s="156"/>
      <c r="AT3009" s="156"/>
      <c r="AU3009" s="156"/>
      <c r="AV3009" s="156"/>
      <c r="AW3009" s="156"/>
      <c r="AX3009" s="156"/>
      <c r="AY3009" s="156"/>
      <c r="AZ3009" s="156"/>
      <c r="BA3009" s="156"/>
      <c r="BB3009" s="2828"/>
      <c r="BC3009" s="452"/>
      <c r="BD3009" s="2829"/>
      <c r="BE3009" s="2837"/>
      <c r="BF3009" s="156"/>
    </row>
    <row r="3010" spans="1:58" ht="15" customHeight="1" outlineLevel="1" x14ac:dyDescent="0.35">
      <c r="A3010" s="1664"/>
      <c r="B3010" s="2812"/>
      <c r="C3010" s="3077"/>
      <c r="D3010" s="3980"/>
      <c r="E3010" s="3883"/>
      <c r="F3010" s="3984" t="str">
        <f>$E$1744</f>
        <v>ASHP-SEER18_ROF_SF</v>
      </c>
      <c r="G3010" s="3984"/>
      <c r="H3010" s="3984"/>
      <c r="I3010" s="3984"/>
      <c r="J3010" s="3501" t="str">
        <f>$C$1744</f>
        <v>353950_2021_12_</v>
      </c>
      <c r="K3010" s="3425">
        <v>869</v>
      </c>
      <c r="L3010" s="704"/>
      <c r="M3010" s="3020" t="s">
        <v>977</v>
      </c>
      <c r="N3010" s="106"/>
      <c r="O3010" s="106"/>
      <c r="P3010" s="702"/>
      <c r="Q3010" s="574"/>
      <c r="R3010" s="702"/>
      <c r="S3010" s="106"/>
      <c r="T3010" s="486"/>
      <c r="U3010" s="106"/>
      <c r="V3010" s="3980"/>
      <c r="W3010" s="3421">
        <v>869</v>
      </c>
      <c r="X3010" s="3421">
        <v>869</v>
      </c>
      <c r="Y3010" s="3425">
        <v>869</v>
      </c>
      <c r="Z3010" s="3425">
        <v>869</v>
      </c>
      <c r="AA3010" s="3425">
        <v>869</v>
      </c>
      <c r="AB3010" s="3425">
        <v>869</v>
      </c>
      <c r="AC3010" s="2132">
        <v>869</v>
      </c>
      <c r="AD3010" s="3421">
        <v>869</v>
      </c>
      <c r="AE3010" s="3429"/>
      <c r="AF3010" s="3421"/>
      <c r="AG3010" s="3421"/>
      <c r="AH3010" s="156"/>
      <c r="AI3010" s="156"/>
      <c r="AJ3010" s="156"/>
      <c r="AK3010" s="156"/>
      <c r="AL3010" s="156"/>
      <c r="AM3010" s="156"/>
      <c r="AN3010" s="156"/>
      <c r="AO3010" s="156"/>
      <c r="AP3010" s="156"/>
      <c r="AQ3010" s="156"/>
      <c r="AR3010" s="156"/>
      <c r="AS3010" s="156"/>
      <c r="AT3010" s="156"/>
      <c r="AU3010" s="156"/>
      <c r="AV3010" s="156"/>
      <c r="AW3010" s="156"/>
      <c r="AX3010" s="156"/>
      <c r="AY3010" s="156"/>
      <c r="AZ3010" s="156"/>
      <c r="BA3010" s="156"/>
      <c r="BB3010" s="2828"/>
      <c r="BC3010" s="452"/>
      <c r="BD3010" s="2829"/>
      <c r="BE3010" s="2837"/>
      <c r="BF3010" s="156"/>
    </row>
    <row r="3011" spans="1:58" ht="15" customHeight="1" outlineLevel="1" x14ac:dyDescent="0.35">
      <c r="A3011" s="1071"/>
      <c r="B3011" s="2812"/>
      <c r="C3011" s="3077"/>
      <c r="D3011" s="3980"/>
      <c r="E3011" s="3883"/>
      <c r="F3011" s="3984" t="str">
        <f>$E$1746</f>
        <v>ASHP-SEER19_ER1_SF</v>
      </c>
      <c r="G3011" s="3984"/>
      <c r="H3011" s="3984"/>
      <c r="I3011" s="3984"/>
      <c r="J3011" s="3501" t="str">
        <f>$C$1746</f>
        <v>354000_2021_12_</v>
      </c>
      <c r="K3011" s="3425">
        <v>869</v>
      </c>
      <c r="L3011" s="704"/>
      <c r="M3011" s="3020" t="s">
        <v>977</v>
      </c>
      <c r="N3011" s="106"/>
      <c r="O3011" s="106"/>
      <c r="P3011" s="106"/>
      <c r="Q3011" s="106"/>
      <c r="R3011" s="106"/>
      <c r="S3011" s="106"/>
      <c r="T3011" s="106"/>
      <c r="U3011" s="106"/>
      <c r="V3011" s="3980"/>
      <c r="W3011" s="3421">
        <v>869</v>
      </c>
      <c r="X3011" s="3421">
        <v>869</v>
      </c>
      <c r="Y3011" s="3425">
        <v>869</v>
      </c>
      <c r="Z3011" s="3425">
        <v>869</v>
      </c>
      <c r="AA3011" s="3425">
        <v>869</v>
      </c>
      <c r="AB3011" s="3425">
        <v>869</v>
      </c>
      <c r="AC3011" s="2132">
        <v>869</v>
      </c>
      <c r="AD3011" s="3421">
        <v>869</v>
      </c>
      <c r="AE3011" s="3429"/>
      <c r="AF3011" s="3421"/>
      <c r="AG3011" s="3421"/>
      <c r="AH3011" s="156"/>
      <c r="AI3011" s="156"/>
      <c r="AJ3011" s="156"/>
      <c r="AK3011" s="156"/>
      <c r="AL3011" s="156"/>
      <c r="AM3011" s="156"/>
      <c r="AN3011" s="156"/>
      <c r="AO3011" s="156"/>
      <c r="AP3011" s="156"/>
      <c r="AQ3011" s="156"/>
      <c r="AR3011" s="156"/>
      <c r="AS3011" s="156"/>
      <c r="AT3011" s="156"/>
      <c r="AU3011" s="156"/>
      <c r="AV3011" s="156"/>
      <c r="AW3011" s="156"/>
      <c r="AX3011" s="156"/>
      <c r="AY3011" s="156"/>
      <c r="AZ3011" s="156"/>
      <c r="BA3011" s="156"/>
      <c r="BB3011" s="2828"/>
      <c r="BC3011" s="452"/>
      <c r="BD3011" s="2829"/>
      <c r="BE3011" s="2837"/>
      <c r="BF3011" s="156"/>
    </row>
    <row r="3012" spans="1:58" ht="15" customHeight="1" outlineLevel="1" x14ac:dyDescent="0.35">
      <c r="A3012" s="1071"/>
      <c r="B3012" s="2812"/>
      <c r="C3012" s="3077"/>
      <c r="D3012" s="3980"/>
      <c r="E3012" s="3883"/>
      <c r="F3012" s="3984" t="str">
        <f>$E$1748</f>
        <v>ASHP-SEER19_ER2_SF</v>
      </c>
      <c r="G3012" s="3984"/>
      <c r="H3012" s="3984"/>
      <c r="I3012" s="3984"/>
      <c r="J3012" s="3501" t="str">
        <f>$C$1748</f>
        <v>354000_2021_12_</v>
      </c>
      <c r="K3012" s="3425">
        <v>869</v>
      </c>
      <c r="L3012" s="704"/>
      <c r="M3012" s="3020" t="s">
        <v>977</v>
      </c>
      <c r="N3012" s="106"/>
      <c r="O3012" s="106"/>
      <c r="P3012" s="106"/>
      <c r="Q3012" s="106"/>
      <c r="R3012" s="106"/>
      <c r="S3012" s="106"/>
      <c r="T3012" s="106"/>
      <c r="U3012" s="106"/>
      <c r="V3012" s="3980"/>
      <c r="W3012" s="3421">
        <v>869</v>
      </c>
      <c r="X3012" s="3421">
        <v>869</v>
      </c>
      <c r="Y3012" s="3425">
        <v>869</v>
      </c>
      <c r="Z3012" s="3425">
        <v>869</v>
      </c>
      <c r="AA3012" s="3425">
        <v>869</v>
      </c>
      <c r="AB3012" s="3425">
        <v>869</v>
      </c>
      <c r="AC3012" s="2132">
        <v>869</v>
      </c>
      <c r="AD3012" s="3421">
        <v>869</v>
      </c>
      <c r="AE3012" s="3429"/>
      <c r="AF3012" s="3421"/>
      <c r="AG3012" s="3421"/>
      <c r="AH3012" s="156"/>
      <c r="AI3012" s="156"/>
      <c r="AJ3012" s="156"/>
      <c r="AK3012" s="156"/>
      <c r="AL3012" s="156"/>
      <c r="AM3012" s="156"/>
      <c r="AN3012" s="156"/>
      <c r="AO3012" s="156"/>
      <c r="AP3012" s="156"/>
      <c r="AQ3012" s="156"/>
      <c r="AR3012" s="156"/>
      <c r="AS3012" s="156"/>
      <c r="AT3012" s="156"/>
      <c r="AU3012" s="156"/>
      <c r="AV3012" s="156"/>
      <c r="AW3012" s="156"/>
      <c r="AX3012" s="156"/>
      <c r="AY3012" s="156"/>
      <c r="AZ3012" s="156"/>
      <c r="BA3012" s="156"/>
      <c r="BB3012" s="2828"/>
      <c r="BC3012" s="452"/>
      <c r="BD3012" s="2829"/>
      <c r="BE3012" s="2837"/>
      <c r="BF3012" s="156"/>
    </row>
    <row r="3013" spans="1:58" ht="15" customHeight="1" outlineLevel="1" x14ac:dyDescent="0.35">
      <c r="A3013" s="1664"/>
      <c r="B3013" s="2812"/>
      <c r="C3013" s="3077"/>
      <c r="D3013" s="3980"/>
      <c r="E3013" s="3883"/>
      <c r="F3013" s="3984" t="str">
        <f>$E$1750</f>
        <v>ASHP-SEER19_ROF_SF</v>
      </c>
      <c r="G3013" s="3984"/>
      <c r="H3013" s="3984"/>
      <c r="I3013" s="3984"/>
      <c r="J3013" s="3501" t="str">
        <f>$C$1750</f>
        <v>354050_2021_12_</v>
      </c>
      <c r="K3013" s="3425">
        <v>869</v>
      </c>
      <c r="L3013" s="704"/>
      <c r="M3013" s="3020" t="s">
        <v>977</v>
      </c>
      <c r="N3013" s="106"/>
      <c r="O3013" s="106"/>
      <c r="P3013" s="702"/>
      <c r="Q3013" s="574"/>
      <c r="R3013" s="702"/>
      <c r="S3013" s="106"/>
      <c r="T3013" s="486"/>
      <c r="U3013" s="106"/>
      <c r="V3013" s="3980"/>
      <c r="W3013" s="3421">
        <v>869</v>
      </c>
      <c r="X3013" s="3421">
        <v>869</v>
      </c>
      <c r="Y3013" s="3425">
        <v>869</v>
      </c>
      <c r="Z3013" s="3425">
        <v>869</v>
      </c>
      <c r="AA3013" s="3425">
        <v>869</v>
      </c>
      <c r="AB3013" s="3425">
        <v>869</v>
      </c>
      <c r="AC3013" s="2132">
        <v>869</v>
      </c>
      <c r="AD3013" s="3421">
        <v>869</v>
      </c>
      <c r="AE3013" s="3429"/>
      <c r="AF3013" s="3421"/>
      <c r="AG3013" s="3421"/>
      <c r="AH3013" s="156"/>
      <c r="AI3013" s="156"/>
      <c r="AJ3013" s="156"/>
      <c r="AK3013" s="156"/>
      <c r="AL3013" s="156"/>
      <c r="AM3013" s="156"/>
      <c r="AN3013" s="156"/>
      <c r="AO3013" s="156"/>
      <c r="AP3013" s="156"/>
      <c r="AQ3013" s="156"/>
      <c r="AR3013" s="156"/>
      <c r="AS3013" s="156"/>
      <c r="AT3013" s="156"/>
      <c r="AU3013" s="156"/>
      <c r="AV3013" s="156"/>
      <c r="AW3013" s="156"/>
      <c r="AX3013" s="156"/>
      <c r="AY3013" s="156"/>
      <c r="AZ3013" s="156"/>
      <c r="BA3013" s="156"/>
      <c r="BB3013" s="2828"/>
      <c r="BC3013" s="452"/>
      <c r="BD3013" s="2829"/>
      <c r="BE3013" s="2837"/>
      <c r="BF3013" s="156"/>
    </row>
    <row r="3014" spans="1:58" ht="15" customHeight="1" outlineLevel="1" x14ac:dyDescent="0.35">
      <c r="A3014" s="1664"/>
      <c r="B3014" s="2812"/>
      <c r="C3014" s="3077"/>
      <c r="D3014" s="3980"/>
      <c r="E3014" s="3883"/>
      <c r="F3014" s="3984" t="str">
        <f>$E$1752</f>
        <v>ASHP-SEER17-Replace_CAC_ElectricHeat_ER1_SF</v>
      </c>
      <c r="G3014" s="3984"/>
      <c r="H3014" s="3984"/>
      <c r="I3014" s="3984"/>
      <c r="J3014" s="3501" t="str">
        <f>$C$1752</f>
        <v>354100_2021_12_</v>
      </c>
      <c r="K3014" s="3425">
        <v>869</v>
      </c>
      <c r="L3014" s="704"/>
      <c r="M3014" s="3020" t="s">
        <v>977</v>
      </c>
      <c r="N3014" s="106"/>
      <c r="O3014" s="106"/>
      <c r="P3014" s="702"/>
      <c r="Q3014" s="574"/>
      <c r="R3014" s="702"/>
      <c r="S3014" s="106"/>
      <c r="T3014" s="486"/>
      <c r="U3014" s="106"/>
      <c r="V3014" s="3980"/>
      <c r="W3014" s="3421">
        <v>869</v>
      </c>
      <c r="X3014" s="3421">
        <v>869</v>
      </c>
      <c r="Y3014" s="3425">
        <v>869</v>
      </c>
      <c r="Z3014" s="3425">
        <v>869</v>
      </c>
      <c r="AA3014" s="3425">
        <v>869</v>
      </c>
      <c r="AB3014" s="3425">
        <v>869</v>
      </c>
      <c r="AC3014" s="2132">
        <v>869</v>
      </c>
      <c r="AD3014" s="3421">
        <v>869</v>
      </c>
      <c r="AE3014" s="3429"/>
      <c r="AF3014" s="3421"/>
      <c r="AG3014" s="3421"/>
      <c r="AH3014" s="156"/>
      <c r="AI3014" s="156"/>
      <c r="AJ3014" s="156"/>
      <c r="AK3014" s="156"/>
      <c r="AL3014" s="156"/>
      <c r="AM3014" s="156"/>
      <c r="AN3014" s="156"/>
      <c r="AO3014" s="156"/>
      <c r="AP3014" s="156"/>
      <c r="AQ3014" s="156"/>
      <c r="AR3014" s="156"/>
      <c r="AS3014" s="156"/>
      <c r="AT3014" s="156"/>
      <c r="AU3014" s="156"/>
      <c r="AV3014" s="156"/>
      <c r="AW3014" s="156"/>
      <c r="AX3014" s="156"/>
      <c r="AY3014" s="156"/>
      <c r="AZ3014" s="156"/>
      <c r="BA3014" s="156"/>
      <c r="BB3014" s="2828"/>
      <c r="BC3014" s="452"/>
      <c r="BD3014" s="2829"/>
      <c r="BE3014" s="2837"/>
      <c r="BF3014" s="156"/>
    </row>
    <row r="3015" spans="1:58" ht="15" customHeight="1" outlineLevel="1" x14ac:dyDescent="0.35">
      <c r="A3015" s="1664"/>
      <c r="B3015" s="2812"/>
      <c r="C3015" s="3077"/>
      <c r="D3015" s="3980"/>
      <c r="E3015" s="3883"/>
      <c r="F3015" s="3984" t="str">
        <f>$E$1754</f>
        <v>ASHP-SEER17-Replace_CAC_ElectricHeat_ER2_SF</v>
      </c>
      <c r="G3015" s="3984"/>
      <c r="H3015" s="3984"/>
      <c r="I3015" s="3984"/>
      <c r="J3015" s="3501" t="str">
        <f>$C$1754</f>
        <v>354100_2021_12_</v>
      </c>
      <c r="K3015" s="3425">
        <v>869</v>
      </c>
      <c r="L3015" s="704"/>
      <c r="M3015" s="3020" t="s">
        <v>977</v>
      </c>
      <c r="N3015" s="106"/>
      <c r="O3015" s="106"/>
      <c r="P3015" s="702"/>
      <c r="Q3015" s="574"/>
      <c r="R3015" s="702"/>
      <c r="S3015" s="106"/>
      <c r="T3015" s="486"/>
      <c r="U3015" s="106"/>
      <c r="V3015" s="3980"/>
      <c r="W3015" s="3421">
        <v>869</v>
      </c>
      <c r="X3015" s="3421">
        <v>869</v>
      </c>
      <c r="Y3015" s="3425">
        <v>869</v>
      </c>
      <c r="Z3015" s="3425">
        <v>869</v>
      </c>
      <c r="AA3015" s="3425">
        <v>869</v>
      </c>
      <c r="AB3015" s="3425">
        <v>869</v>
      </c>
      <c r="AC3015" s="2132">
        <v>869</v>
      </c>
      <c r="AD3015" s="3421">
        <v>869</v>
      </c>
      <c r="AE3015" s="3429"/>
      <c r="AF3015" s="3421"/>
      <c r="AG3015" s="3421"/>
      <c r="AH3015" s="156"/>
      <c r="AI3015" s="156"/>
      <c r="AJ3015" s="156"/>
      <c r="AK3015" s="156"/>
      <c r="AL3015" s="156"/>
      <c r="AM3015" s="156"/>
      <c r="AN3015" s="156"/>
      <c r="AO3015" s="156"/>
      <c r="AP3015" s="156"/>
      <c r="AQ3015" s="156"/>
      <c r="AR3015" s="156"/>
      <c r="AS3015" s="156"/>
      <c r="AT3015" s="156"/>
      <c r="AU3015" s="156"/>
      <c r="AV3015" s="156"/>
      <c r="AW3015" s="156"/>
      <c r="AX3015" s="156"/>
      <c r="AY3015" s="156"/>
      <c r="AZ3015" s="156"/>
      <c r="BA3015" s="156"/>
      <c r="BB3015" s="2828"/>
      <c r="BC3015" s="452"/>
      <c r="BD3015" s="2829"/>
      <c r="BE3015" s="2837"/>
      <c r="BF3015" s="156"/>
    </row>
    <row r="3016" spans="1:58" ht="15" customHeight="1" outlineLevel="1" x14ac:dyDescent="0.35">
      <c r="A3016" s="1664"/>
      <c r="B3016" s="2812"/>
      <c r="C3016" s="3077"/>
      <c r="D3016" s="3980"/>
      <c r="E3016" s="3883"/>
      <c r="F3016" s="3984" t="str">
        <f>$E$1756</f>
        <v>ASHP-SEER17-Replace_CAC_NonElectricHeat_ER1_SF</v>
      </c>
      <c r="G3016" s="3984"/>
      <c r="H3016" s="3984"/>
      <c r="I3016" s="3984"/>
      <c r="J3016" s="3501" t="str">
        <f>$C$1756</f>
        <v>354110_2021_12_</v>
      </c>
      <c r="K3016" s="3425">
        <v>869</v>
      </c>
      <c r="L3016" s="704"/>
      <c r="M3016" s="3020" t="s">
        <v>977</v>
      </c>
      <c r="N3016" s="106"/>
      <c r="O3016" s="106"/>
      <c r="P3016" s="702"/>
      <c r="Q3016" s="574"/>
      <c r="R3016" s="702"/>
      <c r="S3016" s="106"/>
      <c r="T3016" s="486"/>
      <c r="U3016" s="106"/>
      <c r="V3016" s="3980"/>
      <c r="W3016" s="3421"/>
      <c r="X3016" s="3421"/>
      <c r="Y3016" s="3425"/>
      <c r="Z3016" s="3425"/>
      <c r="AA3016" s="3425"/>
      <c r="AB3016" s="3425"/>
      <c r="AC3016" s="2922">
        <v>869</v>
      </c>
      <c r="AD3016" s="3421">
        <v>869</v>
      </c>
      <c r="AE3016" s="3429"/>
      <c r="AF3016" s="3421"/>
      <c r="AG3016" s="3421"/>
      <c r="AH3016" s="156"/>
      <c r="AI3016" s="156"/>
      <c r="AJ3016" s="156"/>
      <c r="AK3016" s="156"/>
      <c r="AL3016" s="156"/>
      <c r="AM3016" s="156"/>
      <c r="AN3016" s="156"/>
      <c r="AO3016" s="156"/>
      <c r="AP3016" s="156"/>
      <c r="AQ3016" s="156"/>
      <c r="AR3016" s="156"/>
      <c r="AS3016" s="156"/>
      <c r="AT3016" s="156"/>
      <c r="AU3016" s="156"/>
      <c r="AV3016" s="156"/>
      <c r="AW3016" s="156"/>
      <c r="AX3016" s="156"/>
      <c r="AY3016" s="156"/>
      <c r="AZ3016" s="156"/>
      <c r="BA3016" s="156"/>
      <c r="BB3016" s="2828"/>
      <c r="BC3016" s="452"/>
      <c r="BD3016" s="2829"/>
      <c r="BE3016" s="2837"/>
      <c r="BF3016" s="156"/>
    </row>
    <row r="3017" spans="1:58" ht="15" customHeight="1" outlineLevel="1" x14ac:dyDescent="0.35">
      <c r="A3017" s="1664"/>
      <c r="B3017" s="2812"/>
      <c r="C3017" s="3077"/>
      <c r="D3017" s="3980"/>
      <c r="E3017" s="3883"/>
      <c r="F3017" s="3984" t="str">
        <f>$E$1758</f>
        <v>ASHP-SEER17-Replace_CAC_NonElectricHeat_ER2_SF</v>
      </c>
      <c r="G3017" s="3984"/>
      <c r="H3017" s="3984"/>
      <c r="I3017" s="3984"/>
      <c r="J3017" s="3501" t="str">
        <f>$C$1758</f>
        <v>354110_2021_12_</v>
      </c>
      <c r="K3017" s="3425">
        <v>869</v>
      </c>
      <c r="L3017" s="704"/>
      <c r="M3017" s="3020" t="s">
        <v>977</v>
      </c>
      <c r="N3017" s="106"/>
      <c r="O3017" s="106"/>
      <c r="P3017" s="702"/>
      <c r="Q3017" s="574"/>
      <c r="R3017" s="702"/>
      <c r="S3017" s="106"/>
      <c r="T3017" s="486"/>
      <c r="U3017" s="106"/>
      <c r="V3017" s="3980"/>
      <c r="W3017" s="3421"/>
      <c r="X3017" s="3421"/>
      <c r="Y3017" s="3425"/>
      <c r="Z3017" s="3425"/>
      <c r="AA3017" s="3425"/>
      <c r="AB3017" s="3425"/>
      <c r="AC3017" s="2922">
        <v>869</v>
      </c>
      <c r="AD3017" s="3421">
        <v>869</v>
      </c>
      <c r="AE3017" s="3429"/>
      <c r="AF3017" s="3421"/>
      <c r="AG3017" s="3421"/>
      <c r="AH3017" s="156"/>
      <c r="AI3017" s="156"/>
      <c r="AJ3017" s="156"/>
      <c r="AK3017" s="156"/>
      <c r="AL3017" s="156"/>
      <c r="AM3017" s="156"/>
      <c r="AN3017" s="156"/>
      <c r="AO3017" s="156"/>
      <c r="AP3017" s="156"/>
      <c r="AQ3017" s="156"/>
      <c r="AR3017" s="156"/>
      <c r="AS3017" s="156"/>
      <c r="AT3017" s="156"/>
      <c r="AU3017" s="156"/>
      <c r="AV3017" s="156"/>
      <c r="AW3017" s="156"/>
      <c r="AX3017" s="156"/>
      <c r="AY3017" s="156"/>
      <c r="AZ3017" s="156"/>
      <c r="BA3017" s="156"/>
      <c r="BB3017" s="2828"/>
      <c r="BC3017" s="452"/>
      <c r="BD3017" s="2829"/>
      <c r="BE3017" s="2837"/>
      <c r="BF3017" s="156"/>
    </row>
    <row r="3018" spans="1:58" ht="15" customHeight="1" outlineLevel="1" x14ac:dyDescent="0.35">
      <c r="A3018" s="1664"/>
      <c r="B3018" s="2812"/>
      <c r="C3018" s="3077"/>
      <c r="D3018" s="3980"/>
      <c r="E3018" s="3883"/>
      <c r="F3018" s="3984" t="str">
        <f>$E$1760</f>
        <v>ASHP-SEER17-Replace_CAC_ElectricHeat_ER1_MF</v>
      </c>
      <c r="G3018" s="3984"/>
      <c r="H3018" s="3984"/>
      <c r="I3018" s="3984"/>
      <c r="J3018" s="3501" t="str">
        <f>$C$1760</f>
        <v>354150_2019_12_</v>
      </c>
      <c r="K3018" s="3425">
        <v>869</v>
      </c>
      <c r="L3018" s="704"/>
      <c r="M3018" s="3020" t="s">
        <v>977</v>
      </c>
      <c r="N3018" s="106"/>
      <c r="O3018" s="106"/>
      <c r="P3018" s="702"/>
      <c r="Q3018" s="574"/>
      <c r="R3018" s="702"/>
      <c r="S3018" s="106"/>
      <c r="T3018" s="486"/>
      <c r="U3018" s="106"/>
      <c r="V3018" s="3980"/>
      <c r="W3018" s="3421">
        <v>869</v>
      </c>
      <c r="X3018" s="3421">
        <v>869</v>
      </c>
      <c r="Y3018" s="3425">
        <v>869</v>
      </c>
      <c r="Z3018" s="3425">
        <v>869</v>
      </c>
      <c r="AA3018" s="3425">
        <v>869</v>
      </c>
      <c r="AB3018" s="3425">
        <v>869</v>
      </c>
      <c r="AC3018" s="2132">
        <v>869</v>
      </c>
      <c r="AD3018" s="3421">
        <v>869</v>
      </c>
      <c r="AE3018" s="3429"/>
      <c r="AF3018" s="3421"/>
      <c r="AG3018" s="3421"/>
      <c r="AH3018" s="156"/>
      <c r="AI3018" s="156"/>
      <c r="AJ3018" s="156"/>
      <c r="AK3018" s="156"/>
      <c r="AL3018" s="156"/>
      <c r="AM3018" s="156"/>
      <c r="AN3018" s="156"/>
      <c r="AO3018" s="156"/>
      <c r="AP3018" s="156"/>
      <c r="AQ3018" s="156"/>
      <c r="AR3018" s="156"/>
      <c r="AS3018" s="156"/>
      <c r="AT3018" s="156"/>
      <c r="AU3018" s="156"/>
      <c r="AV3018" s="156"/>
      <c r="AW3018" s="156"/>
      <c r="AX3018" s="156"/>
      <c r="AY3018" s="156"/>
      <c r="AZ3018" s="156"/>
      <c r="BA3018" s="156"/>
      <c r="BB3018" s="2828"/>
      <c r="BC3018" s="452"/>
      <c r="BD3018" s="2829"/>
      <c r="BE3018" s="2837"/>
      <c r="BF3018" s="156"/>
    </row>
    <row r="3019" spans="1:58" ht="15" customHeight="1" outlineLevel="1" x14ac:dyDescent="0.35">
      <c r="A3019" s="1664"/>
      <c r="B3019" s="2812"/>
      <c r="C3019" s="3077"/>
      <c r="D3019" s="3980"/>
      <c r="E3019" s="3883"/>
      <c r="F3019" s="3984" t="str">
        <f>$E$1762</f>
        <v>ASHP-SEER17-Replace_CAC_ElectricHeat_ER2_MF</v>
      </c>
      <c r="G3019" s="3984"/>
      <c r="H3019" s="3984"/>
      <c r="I3019" s="3984"/>
      <c r="J3019" s="3501" t="str">
        <f>$C$1762</f>
        <v>354150_2019_12_</v>
      </c>
      <c r="K3019" s="3425">
        <v>869</v>
      </c>
      <c r="L3019" s="704"/>
      <c r="M3019" s="3020" t="s">
        <v>977</v>
      </c>
      <c r="N3019" s="106"/>
      <c r="O3019" s="106"/>
      <c r="P3019" s="702"/>
      <c r="Q3019" s="574"/>
      <c r="R3019" s="702"/>
      <c r="S3019" s="106"/>
      <c r="T3019" s="486"/>
      <c r="U3019" s="106"/>
      <c r="V3019" s="3980"/>
      <c r="W3019" s="3421">
        <v>869</v>
      </c>
      <c r="X3019" s="3421">
        <v>869</v>
      </c>
      <c r="Y3019" s="3425">
        <v>869</v>
      </c>
      <c r="Z3019" s="3425">
        <v>869</v>
      </c>
      <c r="AA3019" s="3425">
        <v>869</v>
      </c>
      <c r="AB3019" s="3425">
        <v>869</v>
      </c>
      <c r="AC3019" s="2132">
        <v>869</v>
      </c>
      <c r="AD3019" s="3421">
        <v>869</v>
      </c>
      <c r="AE3019" s="3429"/>
      <c r="AF3019" s="3421"/>
      <c r="AG3019" s="3421"/>
      <c r="AH3019" s="156"/>
      <c r="AI3019" s="156"/>
      <c r="AJ3019" s="156"/>
      <c r="AK3019" s="156"/>
      <c r="AL3019" s="156"/>
      <c r="AM3019" s="156"/>
      <c r="AN3019" s="156"/>
      <c r="AO3019" s="156"/>
      <c r="AP3019" s="156"/>
      <c r="AQ3019" s="156"/>
      <c r="AR3019" s="156"/>
      <c r="AS3019" s="156"/>
      <c r="AT3019" s="156"/>
      <c r="AU3019" s="156"/>
      <c r="AV3019" s="156"/>
      <c r="AW3019" s="156"/>
      <c r="AX3019" s="156"/>
      <c r="AY3019" s="156"/>
      <c r="AZ3019" s="156"/>
      <c r="BA3019" s="156"/>
      <c r="BB3019" s="2828"/>
      <c r="BC3019" s="452"/>
      <c r="BD3019" s="2829"/>
      <c r="BE3019" s="2837"/>
      <c r="BF3019" s="156"/>
    </row>
    <row r="3020" spans="1:58" ht="15" customHeight="1" outlineLevel="1" x14ac:dyDescent="0.35">
      <c r="A3020" s="1664"/>
      <c r="B3020" s="2812"/>
      <c r="C3020" s="3077"/>
      <c r="D3020" s="3980"/>
      <c r="E3020" s="3883"/>
      <c r="F3020" s="3984" t="str">
        <f>$E$1764</f>
        <v>ASHP-SEER17-Replace_CAC_ElectricHeat_ER1_MF_CompE</v>
      </c>
      <c r="G3020" s="3984"/>
      <c r="H3020" s="3984"/>
      <c r="I3020" s="3984"/>
      <c r="J3020" s="3501" t="str">
        <f>$C$1764</f>
        <v>354151_2019_12_</v>
      </c>
      <c r="K3020" s="3425">
        <f>$K$2925</f>
        <v>632</v>
      </c>
      <c r="L3020" s="704"/>
      <c r="M3020" s="3044" t="s">
        <v>513</v>
      </c>
      <c r="N3020" s="106"/>
      <c r="O3020" s="106"/>
      <c r="P3020" s="702"/>
      <c r="Q3020" s="574"/>
      <c r="R3020" s="702"/>
      <c r="S3020" s="106"/>
      <c r="T3020" s="486"/>
      <c r="U3020" s="106"/>
      <c r="V3020" s="3980"/>
      <c r="W3020" s="3421"/>
      <c r="X3020" s="3421"/>
      <c r="Y3020" s="2377">
        <f>$K$2925</f>
        <v>632</v>
      </c>
      <c r="Z3020" s="3425">
        <f t="shared" ref="Z3020:AA3021" si="385">$K$2925</f>
        <v>632</v>
      </c>
      <c r="AA3020" s="3425">
        <f t="shared" si="385"/>
        <v>632</v>
      </c>
      <c r="AB3020" s="3425">
        <v>632</v>
      </c>
      <c r="AC3020" s="2132">
        <f>$K$2925</f>
        <v>632</v>
      </c>
      <c r="AD3020" s="3421">
        <v>632</v>
      </c>
      <c r="AE3020" s="3429"/>
      <c r="AF3020" s="3421"/>
      <c r="AG3020" s="3421"/>
      <c r="AH3020" s="156"/>
      <c r="AI3020" s="156"/>
      <c r="AJ3020" s="156"/>
      <c r="AK3020" s="156"/>
      <c r="AL3020" s="156"/>
      <c r="AM3020" s="156"/>
      <c r="AN3020" s="156"/>
      <c r="AO3020" s="156"/>
      <c r="AP3020" s="156"/>
      <c r="AQ3020" s="156"/>
      <c r="AR3020" s="156"/>
      <c r="AS3020" s="156"/>
      <c r="AT3020" s="156"/>
      <c r="AU3020" s="156"/>
      <c r="AV3020" s="156"/>
      <c r="AW3020" s="156"/>
      <c r="AX3020" s="156"/>
      <c r="AY3020" s="156"/>
      <c r="AZ3020" s="156"/>
      <c r="BA3020" s="156"/>
      <c r="BB3020" s="2828"/>
      <c r="BC3020" s="452"/>
      <c r="BD3020" s="2829"/>
      <c r="BE3020" s="2837"/>
      <c r="BF3020" s="156"/>
    </row>
    <row r="3021" spans="1:58" ht="15" customHeight="1" outlineLevel="1" x14ac:dyDescent="0.35">
      <c r="A3021" s="1664"/>
      <c r="B3021" s="2812"/>
      <c r="C3021" s="3077"/>
      <c r="D3021" s="3980"/>
      <c r="E3021" s="3883"/>
      <c r="F3021" s="3984" t="str">
        <f>$E$1766</f>
        <v>ASHP-SEER17-Replace_CAC_ElectricHeat_ER2_MF_CompE</v>
      </c>
      <c r="G3021" s="3984"/>
      <c r="H3021" s="3984"/>
      <c r="I3021" s="3984"/>
      <c r="J3021" s="3501" t="str">
        <f>$C$1766</f>
        <v>354151_2019_12_</v>
      </c>
      <c r="K3021" s="3425">
        <f>$K$2925</f>
        <v>632</v>
      </c>
      <c r="L3021" s="704"/>
      <c r="M3021" s="3044" t="s">
        <v>513</v>
      </c>
      <c r="N3021" s="106"/>
      <c r="O3021" s="106"/>
      <c r="P3021" s="702"/>
      <c r="Q3021" s="574"/>
      <c r="R3021" s="702"/>
      <c r="S3021" s="106"/>
      <c r="T3021" s="486"/>
      <c r="U3021" s="106"/>
      <c r="V3021" s="3980"/>
      <c r="W3021" s="3421"/>
      <c r="X3021" s="3421"/>
      <c r="Y3021" s="2377">
        <f>$K$2925</f>
        <v>632</v>
      </c>
      <c r="Z3021" s="3425">
        <f t="shared" si="385"/>
        <v>632</v>
      </c>
      <c r="AA3021" s="3425">
        <f t="shared" si="385"/>
        <v>632</v>
      </c>
      <c r="AB3021" s="3425">
        <v>632</v>
      </c>
      <c r="AC3021" s="2132">
        <f>$K$2925</f>
        <v>632</v>
      </c>
      <c r="AD3021" s="3421">
        <v>632</v>
      </c>
      <c r="AE3021" s="3429"/>
      <c r="AF3021" s="3421"/>
      <c r="AG3021" s="3421"/>
      <c r="AH3021" s="156"/>
      <c r="AI3021" s="156"/>
      <c r="AJ3021" s="156"/>
      <c r="AK3021" s="156"/>
      <c r="AL3021" s="156"/>
      <c r="AM3021" s="156"/>
      <c r="AN3021" s="156"/>
      <c r="AO3021" s="156"/>
      <c r="AP3021" s="156"/>
      <c r="AQ3021" s="156"/>
      <c r="AR3021" s="156"/>
      <c r="AS3021" s="156"/>
      <c r="AT3021" s="156"/>
      <c r="AU3021" s="156"/>
      <c r="AV3021" s="156"/>
      <c r="AW3021" s="156"/>
      <c r="AX3021" s="156"/>
      <c r="AY3021" s="156"/>
      <c r="AZ3021" s="156"/>
      <c r="BA3021" s="156"/>
      <c r="BB3021" s="2828"/>
      <c r="BC3021" s="452"/>
      <c r="BD3021" s="2829"/>
      <c r="BE3021" s="2837"/>
      <c r="BF3021" s="156"/>
    </row>
    <row r="3022" spans="1:58" ht="15" customHeight="1" outlineLevel="1" x14ac:dyDescent="0.35">
      <c r="A3022" s="1664"/>
      <c r="B3022" s="2812"/>
      <c r="C3022" s="3077"/>
      <c r="D3022" s="3980"/>
      <c r="E3022" s="3883"/>
      <c r="F3022" s="3984" t="str">
        <f>$E$1768</f>
        <v>ASHP-SEER17-Replace_CAC_NonElectricHeat_ER1_MF</v>
      </c>
      <c r="G3022" s="3984"/>
      <c r="H3022" s="3984"/>
      <c r="I3022" s="3984"/>
      <c r="J3022" s="3501" t="str">
        <f>$C$1768</f>
        <v>354160_2021_12_</v>
      </c>
      <c r="K3022" s="3425">
        <v>869</v>
      </c>
      <c r="L3022" s="704"/>
      <c r="M3022" s="3020" t="s">
        <v>977</v>
      </c>
      <c r="N3022" s="106"/>
      <c r="O3022" s="106"/>
      <c r="P3022" s="702"/>
      <c r="Q3022" s="574"/>
      <c r="R3022" s="702"/>
      <c r="S3022" s="106"/>
      <c r="T3022" s="486"/>
      <c r="U3022" s="106"/>
      <c r="V3022" s="3980"/>
      <c r="W3022" s="3421"/>
      <c r="X3022" s="3421"/>
      <c r="Y3022" s="2377"/>
      <c r="Z3022" s="3425"/>
      <c r="AA3022" s="3425"/>
      <c r="AB3022" s="3425"/>
      <c r="AC3022" s="2922">
        <v>869</v>
      </c>
      <c r="AD3022" s="3421">
        <v>869</v>
      </c>
      <c r="AE3022" s="3429"/>
      <c r="AF3022" s="3421"/>
      <c r="AG3022" s="3421"/>
      <c r="AH3022" s="156"/>
      <c r="AI3022" s="156"/>
      <c r="AJ3022" s="156"/>
      <c r="AK3022" s="156"/>
      <c r="AL3022" s="156"/>
      <c r="AM3022" s="156"/>
      <c r="AN3022" s="156"/>
      <c r="AO3022" s="156"/>
      <c r="AP3022" s="156"/>
      <c r="AQ3022" s="156"/>
      <c r="AR3022" s="156"/>
      <c r="AS3022" s="156"/>
      <c r="AT3022" s="156"/>
      <c r="AU3022" s="156"/>
      <c r="AV3022" s="156"/>
      <c r="AW3022" s="156"/>
      <c r="AX3022" s="156"/>
      <c r="AY3022" s="156"/>
      <c r="AZ3022" s="156"/>
      <c r="BA3022" s="156"/>
      <c r="BB3022" s="2828"/>
      <c r="BC3022" s="452"/>
      <c r="BD3022" s="2829"/>
      <c r="BE3022" s="2837"/>
      <c r="BF3022" s="156"/>
    </row>
    <row r="3023" spans="1:58" ht="15" customHeight="1" outlineLevel="1" x14ac:dyDescent="0.35">
      <c r="A3023" s="1664"/>
      <c r="B3023" s="2812"/>
      <c r="C3023" s="3077"/>
      <c r="D3023" s="3980"/>
      <c r="E3023" s="3883"/>
      <c r="F3023" s="3984" t="str">
        <f>$E$1770</f>
        <v>ASHP-SEER17-Replace_CAC_NonElectricHeat_ER2_MF</v>
      </c>
      <c r="G3023" s="3984"/>
      <c r="H3023" s="3984"/>
      <c r="I3023" s="3984"/>
      <c r="J3023" s="3501" t="str">
        <f>$C$1770</f>
        <v>354160_2021_12_</v>
      </c>
      <c r="K3023" s="3425">
        <v>869</v>
      </c>
      <c r="L3023" s="704"/>
      <c r="M3023" s="3020" t="s">
        <v>977</v>
      </c>
      <c r="N3023" s="106"/>
      <c r="O3023" s="106"/>
      <c r="P3023" s="702"/>
      <c r="Q3023" s="574"/>
      <c r="R3023" s="702"/>
      <c r="S3023" s="106"/>
      <c r="T3023" s="486"/>
      <c r="U3023" s="106"/>
      <c r="V3023" s="3980"/>
      <c r="W3023" s="3421"/>
      <c r="X3023" s="3421"/>
      <c r="Y3023" s="2377"/>
      <c r="Z3023" s="3425"/>
      <c r="AA3023" s="3425"/>
      <c r="AB3023" s="3425"/>
      <c r="AC3023" s="2922">
        <v>869</v>
      </c>
      <c r="AD3023" s="3421">
        <v>869</v>
      </c>
      <c r="AE3023" s="3429"/>
      <c r="AF3023" s="3421"/>
      <c r="AG3023" s="3421"/>
      <c r="AH3023" s="156"/>
      <c r="AI3023" s="156"/>
      <c r="AJ3023" s="156"/>
      <c r="AK3023" s="156"/>
      <c r="AL3023" s="156"/>
      <c r="AM3023" s="156"/>
      <c r="AN3023" s="156"/>
      <c r="AO3023" s="156"/>
      <c r="AP3023" s="156"/>
      <c r="AQ3023" s="156"/>
      <c r="AR3023" s="156"/>
      <c r="AS3023" s="156"/>
      <c r="AT3023" s="156"/>
      <c r="AU3023" s="156"/>
      <c r="AV3023" s="156"/>
      <c r="AW3023" s="156"/>
      <c r="AX3023" s="156"/>
      <c r="AY3023" s="156"/>
      <c r="AZ3023" s="156"/>
      <c r="BA3023" s="156"/>
      <c r="BB3023" s="2828"/>
      <c r="BC3023" s="452"/>
      <c r="BD3023" s="2829"/>
      <c r="BE3023" s="2837"/>
      <c r="BF3023" s="156"/>
    </row>
    <row r="3024" spans="1:58" ht="15" customHeight="1" outlineLevel="1" x14ac:dyDescent="0.35">
      <c r="A3024" s="1664"/>
      <c r="B3024" s="2812"/>
      <c r="C3024" s="3077"/>
      <c r="D3024" s="3980"/>
      <c r="E3024" s="3883"/>
      <c r="F3024" s="3984" t="str">
        <f>$E$1772</f>
        <v>ASHP-SEER17-Replace_CAC_NonElectricHeat_ER1_MF_CompE</v>
      </c>
      <c r="G3024" s="3984"/>
      <c r="H3024" s="3984"/>
      <c r="I3024" s="3984"/>
      <c r="J3024" s="3501" t="str">
        <f>$C$1772</f>
        <v>354161_2021_12_</v>
      </c>
      <c r="K3024" s="3425">
        <f>$K$2925</f>
        <v>632</v>
      </c>
      <c r="L3024" s="704"/>
      <c r="M3024" s="3044" t="s">
        <v>513</v>
      </c>
      <c r="N3024" s="106"/>
      <c r="O3024" s="106"/>
      <c r="P3024" s="702"/>
      <c r="Q3024" s="574"/>
      <c r="R3024" s="702"/>
      <c r="S3024" s="106"/>
      <c r="T3024" s="486"/>
      <c r="U3024" s="106"/>
      <c r="V3024" s="3980"/>
      <c r="W3024" s="3421"/>
      <c r="X3024" s="3421"/>
      <c r="Y3024" s="2377"/>
      <c r="Z3024" s="3425"/>
      <c r="AA3024" s="3425"/>
      <c r="AB3024" s="3425"/>
      <c r="AC3024" s="2922">
        <f>$K$2925</f>
        <v>632</v>
      </c>
      <c r="AD3024" s="3421">
        <v>632</v>
      </c>
      <c r="AE3024" s="3429"/>
      <c r="AF3024" s="3421"/>
      <c r="AG3024" s="3421"/>
      <c r="AH3024" s="156"/>
      <c r="AI3024" s="156"/>
      <c r="AJ3024" s="156"/>
      <c r="AK3024" s="156"/>
      <c r="AL3024" s="156"/>
      <c r="AM3024" s="156"/>
      <c r="AN3024" s="156"/>
      <c r="AO3024" s="156"/>
      <c r="AP3024" s="156"/>
      <c r="AQ3024" s="156"/>
      <c r="AR3024" s="156"/>
      <c r="AS3024" s="156"/>
      <c r="AT3024" s="156"/>
      <c r="AU3024" s="156"/>
      <c r="AV3024" s="156"/>
      <c r="AW3024" s="156"/>
      <c r="AX3024" s="156"/>
      <c r="AY3024" s="156"/>
      <c r="AZ3024" s="156"/>
      <c r="BA3024" s="156"/>
      <c r="BB3024" s="2828"/>
      <c r="BC3024" s="452"/>
      <c r="BD3024" s="2829"/>
      <c r="BE3024" s="2837"/>
      <c r="BF3024" s="156"/>
    </row>
    <row r="3025" spans="1:58" ht="15" customHeight="1" outlineLevel="1" x14ac:dyDescent="0.35">
      <c r="A3025" s="1664"/>
      <c r="B3025" s="2812"/>
      <c r="C3025" s="3077"/>
      <c r="D3025" s="3980"/>
      <c r="E3025" s="3883"/>
      <c r="F3025" s="3984" t="str">
        <f>$E$1774</f>
        <v>ASHP-SEER17-Replace_CAC_NonElectricHeat_ER2_MF_CompE</v>
      </c>
      <c r="G3025" s="3984"/>
      <c r="H3025" s="3984"/>
      <c r="I3025" s="3984"/>
      <c r="J3025" s="3501" t="str">
        <f>$C$1774</f>
        <v>354161_2021_12_</v>
      </c>
      <c r="K3025" s="3425">
        <f>$K$2925</f>
        <v>632</v>
      </c>
      <c r="L3025" s="704"/>
      <c r="M3025" s="3044" t="s">
        <v>513</v>
      </c>
      <c r="N3025" s="106"/>
      <c r="O3025" s="106"/>
      <c r="P3025" s="702"/>
      <c r="Q3025" s="574"/>
      <c r="R3025" s="702"/>
      <c r="S3025" s="106"/>
      <c r="T3025" s="486"/>
      <c r="U3025" s="106"/>
      <c r="V3025" s="3980"/>
      <c r="W3025" s="3421"/>
      <c r="X3025" s="3421"/>
      <c r="Y3025" s="2377"/>
      <c r="Z3025" s="3425"/>
      <c r="AA3025" s="3425"/>
      <c r="AB3025" s="3425"/>
      <c r="AC3025" s="2922">
        <f>$K$2925</f>
        <v>632</v>
      </c>
      <c r="AD3025" s="3421">
        <v>632</v>
      </c>
      <c r="AE3025" s="3429"/>
      <c r="AF3025" s="3421"/>
      <c r="AG3025" s="3421"/>
      <c r="AH3025" s="156"/>
      <c r="AI3025" s="156"/>
      <c r="AJ3025" s="156"/>
      <c r="AK3025" s="156"/>
      <c r="AL3025" s="156"/>
      <c r="AM3025" s="156"/>
      <c r="AN3025" s="156"/>
      <c r="AO3025" s="156"/>
      <c r="AP3025" s="156"/>
      <c r="AQ3025" s="156"/>
      <c r="AR3025" s="156"/>
      <c r="AS3025" s="156"/>
      <c r="AT3025" s="156"/>
      <c r="AU3025" s="156"/>
      <c r="AV3025" s="156"/>
      <c r="AW3025" s="156"/>
      <c r="AX3025" s="156"/>
      <c r="AY3025" s="156"/>
      <c r="AZ3025" s="156"/>
      <c r="BA3025" s="156"/>
      <c r="BB3025" s="2828"/>
      <c r="BC3025" s="452"/>
      <c r="BD3025" s="2829"/>
      <c r="BE3025" s="2837"/>
      <c r="BF3025" s="156"/>
    </row>
    <row r="3026" spans="1:58" ht="15" customHeight="1" outlineLevel="1" x14ac:dyDescent="0.35">
      <c r="A3026" s="1664"/>
      <c r="B3026" s="2812"/>
      <c r="C3026" s="3077"/>
      <c r="D3026" s="3980"/>
      <c r="E3026" s="3883"/>
      <c r="F3026" s="3984" t="str">
        <f>$E$1776</f>
        <v>ASHP-SEER17_ER1_MF</v>
      </c>
      <c r="G3026" s="3984"/>
      <c r="H3026" s="3984"/>
      <c r="I3026" s="3984"/>
      <c r="J3026" s="3501" t="str">
        <f>$C$1776</f>
        <v>354200_2019_12_</v>
      </c>
      <c r="K3026" s="3425">
        <v>869</v>
      </c>
      <c r="L3026" s="704"/>
      <c r="M3026" s="3020" t="s">
        <v>977</v>
      </c>
      <c r="N3026" s="106"/>
      <c r="O3026" s="106"/>
      <c r="P3026" s="702"/>
      <c r="Q3026" s="574"/>
      <c r="R3026" s="702"/>
      <c r="S3026" s="106"/>
      <c r="T3026" s="486"/>
      <c r="U3026" s="106"/>
      <c r="V3026" s="3980"/>
      <c r="W3026" s="3421">
        <v>869</v>
      </c>
      <c r="X3026" s="3421">
        <v>869</v>
      </c>
      <c r="Y3026" s="3425">
        <v>869</v>
      </c>
      <c r="Z3026" s="3425">
        <v>869</v>
      </c>
      <c r="AA3026" s="3425">
        <v>869</v>
      </c>
      <c r="AB3026" s="3425">
        <v>869</v>
      </c>
      <c r="AC3026" s="2132">
        <v>869</v>
      </c>
      <c r="AD3026" s="3421">
        <v>869</v>
      </c>
      <c r="AE3026" s="3429"/>
      <c r="AF3026" s="3421"/>
      <c r="AG3026" s="3421"/>
      <c r="AH3026" s="156"/>
      <c r="AI3026" s="156"/>
      <c r="AJ3026" s="156"/>
      <c r="AK3026" s="156"/>
      <c r="AL3026" s="156"/>
      <c r="AM3026" s="156"/>
      <c r="AN3026" s="156"/>
      <c r="AO3026" s="156"/>
      <c r="AP3026" s="156"/>
      <c r="AQ3026" s="156"/>
      <c r="AR3026" s="156"/>
      <c r="AS3026" s="156"/>
      <c r="AT3026" s="156"/>
      <c r="AU3026" s="156"/>
      <c r="AV3026" s="156"/>
      <c r="AW3026" s="156"/>
      <c r="AX3026" s="156"/>
      <c r="AY3026" s="156"/>
      <c r="AZ3026" s="156"/>
      <c r="BA3026" s="156"/>
      <c r="BB3026" s="2828"/>
      <c r="BC3026" s="452"/>
      <c r="BD3026" s="2829"/>
      <c r="BE3026" s="2837"/>
      <c r="BF3026" s="156"/>
    </row>
    <row r="3027" spans="1:58" ht="15" customHeight="1" outlineLevel="1" x14ac:dyDescent="0.35">
      <c r="A3027" s="1664"/>
      <c r="B3027" s="2812"/>
      <c r="C3027" s="3077"/>
      <c r="D3027" s="3980"/>
      <c r="E3027" s="3883"/>
      <c r="F3027" s="3984" t="str">
        <f>$E$1778</f>
        <v>ASHP-SEER17_ER2_MF</v>
      </c>
      <c r="G3027" s="3984"/>
      <c r="H3027" s="3984"/>
      <c r="I3027" s="3984"/>
      <c r="J3027" s="3501" t="str">
        <f>$C$1778</f>
        <v>354200_2019_12_</v>
      </c>
      <c r="K3027" s="3425">
        <v>869</v>
      </c>
      <c r="L3027" s="704"/>
      <c r="M3027" s="3020" t="s">
        <v>977</v>
      </c>
      <c r="N3027" s="106"/>
      <c r="O3027" s="106"/>
      <c r="P3027" s="702"/>
      <c r="Q3027" s="574"/>
      <c r="R3027" s="702"/>
      <c r="S3027" s="106"/>
      <c r="T3027" s="486"/>
      <c r="U3027" s="106"/>
      <c r="V3027" s="3980"/>
      <c r="W3027" s="3421">
        <v>869</v>
      </c>
      <c r="X3027" s="3421">
        <v>869</v>
      </c>
      <c r="Y3027" s="3425">
        <v>869</v>
      </c>
      <c r="Z3027" s="3425">
        <v>869</v>
      </c>
      <c r="AA3027" s="3425">
        <v>869</v>
      </c>
      <c r="AB3027" s="3425">
        <v>869</v>
      </c>
      <c r="AC3027" s="2132">
        <v>869</v>
      </c>
      <c r="AD3027" s="3421">
        <v>869</v>
      </c>
      <c r="AE3027" s="3429"/>
      <c r="AF3027" s="3421"/>
      <c r="AG3027" s="3421"/>
      <c r="AH3027" s="156"/>
      <c r="AI3027" s="156"/>
      <c r="AJ3027" s="156"/>
      <c r="AK3027" s="156"/>
      <c r="AL3027" s="156"/>
      <c r="AM3027" s="156"/>
      <c r="AN3027" s="156"/>
      <c r="AO3027" s="156"/>
      <c r="AP3027" s="156"/>
      <c r="AQ3027" s="156"/>
      <c r="AR3027" s="156"/>
      <c r="AS3027" s="156"/>
      <c r="AT3027" s="156"/>
      <c r="AU3027" s="156"/>
      <c r="AV3027" s="156"/>
      <c r="AW3027" s="156"/>
      <c r="AX3027" s="156"/>
      <c r="AY3027" s="156"/>
      <c r="AZ3027" s="156"/>
      <c r="BA3027" s="156"/>
      <c r="BB3027" s="2828"/>
      <c r="BC3027" s="452"/>
      <c r="BD3027" s="2829"/>
      <c r="BE3027" s="2837"/>
      <c r="BF3027" s="156"/>
    </row>
    <row r="3028" spans="1:58" ht="15" customHeight="1" outlineLevel="1" x14ac:dyDescent="0.35">
      <c r="A3028" s="1664"/>
      <c r="B3028" s="2812"/>
      <c r="C3028" s="3077"/>
      <c r="D3028" s="3980"/>
      <c r="E3028" s="3883"/>
      <c r="F3028" s="3984" t="str">
        <f>$E$1780</f>
        <v>ASHP-SEER17_ER1_MF_CompE</v>
      </c>
      <c r="G3028" s="3984"/>
      <c r="H3028" s="3984"/>
      <c r="I3028" s="3984"/>
      <c r="J3028" s="3501" t="str">
        <f>$C$1780</f>
        <v>354201_2019_12_</v>
      </c>
      <c r="K3028" s="3425">
        <f>$K$2925</f>
        <v>632</v>
      </c>
      <c r="L3028" s="704"/>
      <c r="M3028" s="3044" t="s">
        <v>513</v>
      </c>
      <c r="N3028" s="106"/>
      <c r="O3028" s="106"/>
      <c r="P3028" s="702"/>
      <c r="Q3028" s="574"/>
      <c r="R3028" s="702"/>
      <c r="S3028" s="106"/>
      <c r="T3028" s="486"/>
      <c r="U3028" s="106"/>
      <c r="V3028" s="3980"/>
      <c r="W3028" s="3421"/>
      <c r="X3028" s="3421"/>
      <c r="Y3028" s="2377">
        <f>$K$2925</f>
        <v>632</v>
      </c>
      <c r="Z3028" s="3425">
        <f t="shared" ref="Z3028:AA3029" si="386">$K$2925</f>
        <v>632</v>
      </c>
      <c r="AA3028" s="3425">
        <f t="shared" si="386"/>
        <v>632</v>
      </c>
      <c r="AB3028" s="3425">
        <v>632</v>
      </c>
      <c r="AC3028" s="2132">
        <f>$K$2925</f>
        <v>632</v>
      </c>
      <c r="AD3028" s="3421">
        <v>632</v>
      </c>
      <c r="AE3028" s="3429"/>
      <c r="AF3028" s="3421"/>
      <c r="AG3028" s="3421"/>
      <c r="AH3028" s="156"/>
      <c r="AI3028" s="156"/>
      <c r="AJ3028" s="156"/>
      <c r="AK3028" s="156"/>
      <c r="AL3028" s="156"/>
      <c r="AM3028" s="156"/>
      <c r="AN3028" s="156"/>
      <c r="AO3028" s="156"/>
      <c r="AP3028" s="156"/>
      <c r="AQ3028" s="156"/>
      <c r="AR3028" s="156"/>
      <c r="AS3028" s="156"/>
      <c r="AT3028" s="156"/>
      <c r="AU3028" s="156"/>
      <c r="AV3028" s="156"/>
      <c r="AW3028" s="156"/>
      <c r="AX3028" s="156"/>
      <c r="AY3028" s="156"/>
      <c r="AZ3028" s="156"/>
      <c r="BA3028" s="156"/>
      <c r="BB3028" s="2828"/>
      <c r="BC3028" s="452"/>
      <c r="BD3028" s="2829"/>
      <c r="BE3028" s="2837"/>
      <c r="BF3028" s="156"/>
    </row>
    <row r="3029" spans="1:58" ht="15" customHeight="1" outlineLevel="1" x14ac:dyDescent="0.35">
      <c r="A3029" s="1664"/>
      <c r="B3029" s="2812"/>
      <c r="C3029" s="3077"/>
      <c r="D3029" s="3980"/>
      <c r="E3029" s="3883"/>
      <c r="F3029" s="3984" t="str">
        <f>$E$1782</f>
        <v>ASHP-SEER17_ER2_MF_CompE</v>
      </c>
      <c r="G3029" s="3984"/>
      <c r="H3029" s="3984"/>
      <c r="I3029" s="3984"/>
      <c r="J3029" s="3501" t="str">
        <f>$C$1782</f>
        <v>354201_2019_12_</v>
      </c>
      <c r="K3029" s="3425">
        <f>$K$2925</f>
        <v>632</v>
      </c>
      <c r="L3029" s="704"/>
      <c r="M3029" s="3044" t="s">
        <v>513</v>
      </c>
      <c r="N3029" s="106"/>
      <c r="O3029" s="106"/>
      <c r="P3029" s="702"/>
      <c r="Q3029" s="574"/>
      <c r="R3029" s="702"/>
      <c r="S3029" s="106"/>
      <c r="T3029" s="486"/>
      <c r="U3029" s="106"/>
      <c r="V3029" s="3980"/>
      <c r="W3029" s="3421"/>
      <c r="X3029" s="3421"/>
      <c r="Y3029" s="2377">
        <f>$K$2925</f>
        <v>632</v>
      </c>
      <c r="Z3029" s="3425">
        <f t="shared" si="386"/>
        <v>632</v>
      </c>
      <c r="AA3029" s="3425">
        <f t="shared" si="386"/>
        <v>632</v>
      </c>
      <c r="AB3029" s="3425">
        <v>632</v>
      </c>
      <c r="AC3029" s="2132">
        <f>$K$2925</f>
        <v>632</v>
      </c>
      <c r="AD3029" s="3421">
        <v>632</v>
      </c>
      <c r="AE3029" s="3429"/>
      <c r="AF3029" s="3421"/>
      <c r="AG3029" s="3421"/>
      <c r="AH3029" s="156"/>
      <c r="AI3029" s="156"/>
      <c r="AJ3029" s="156"/>
      <c r="AK3029" s="156"/>
      <c r="AL3029" s="156"/>
      <c r="AM3029" s="156"/>
      <c r="AN3029" s="156"/>
      <c r="AO3029" s="156"/>
      <c r="AP3029" s="156"/>
      <c r="AQ3029" s="156"/>
      <c r="AR3029" s="156"/>
      <c r="AS3029" s="156"/>
      <c r="AT3029" s="156"/>
      <c r="AU3029" s="156"/>
      <c r="AV3029" s="156"/>
      <c r="AW3029" s="156"/>
      <c r="AX3029" s="156"/>
      <c r="AY3029" s="156"/>
      <c r="AZ3029" s="156"/>
      <c r="BA3029" s="156"/>
      <c r="BB3029" s="2828"/>
      <c r="BC3029" s="452"/>
      <c r="BD3029" s="2829"/>
      <c r="BE3029" s="2837"/>
      <c r="BF3029" s="156"/>
    </row>
    <row r="3030" spans="1:58" ht="15" customHeight="1" outlineLevel="1" x14ac:dyDescent="0.35">
      <c r="A3030" s="1664"/>
      <c r="B3030" s="2812"/>
      <c r="C3030" s="3077"/>
      <c r="D3030" s="3980"/>
      <c r="E3030" s="3883"/>
      <c r="F3030" s="3984" t="str">
        <f>$E$1784</f>
        <v>ASHP-SEER18-Replace_CAC_ElectricHeat_ER1_SF</v>
      </c>
      <c r="G3030" s="3984"/>
      <c r="H3030" s="3984"/>
      <c r="I3030" s="3984"/>
      <c r="J3030" s="3501" t="str">
        <f>$C$1784</f>
        <v>354250_2021_12_</v>
      </c>
      <c r="K3030" s="3425">
        <v>869</v>
      </c>
      <c r="L3030" s="704"/>
      <c r="M3030" s="3020" t="s">
        <v>977</v>
      </c>
      <c r="N3030" s="106"/>
      <c r="O3030" s="106"/>
      <c r="P3030" s="702"/>
      <c r="Q3030" s="574"/>
      <c r="R3030" s="702"/>
      <c r="S3030" s="106"/>
      <c r="T3030" s="486"/>
      <c r="U3030" s="106"/>
      <c r="V3030" s="3980"/>
      <c r="W3030" s="3421">
        <v>869</v>
      </c>
      <c r="X3030" s="3421">
        <v>869</v>
      </c>
      <c r="Y3030" s="3425">
        <v>869</v>
      </c>
      <c r="Z3030" s="3425">
        <v>869</v>
      </c>
      <c r="AA3030" s="3425">
        <v>869</v>
      </c>
      <c r="AB3030" s="3425">
        <v>869</v>
      </c>
      <c r="AC3030" s="2132">
        <v>869</v>
      </c>
      <c r="AD3030" s="3421">
        <v>869</v>
      </c>
      <c r="AE3030" s="3429"/>
      <c r="AF3030" s="3421"/>
      <c r="AG3030" s="3421"/>
      <c r="AH3030" s="156"/>
      <c r="AI3030" s="156"/>
      <c r="AJ3030" s="156"/>
      <c r="AK3030" s="156"/>
      <c r="AL3030" s="156"/>
      <c r="AM3030" s="156"/>
      <c r="AN3030" s="156"/>
      <c r="AO3030" s="156"/>
      <c r="AP3030" s="156"/>
      <c r="AQ3030" s="156"/>
      <c r="AR3030" s="156"/>
      <c r="AS3030" s="156"/>
      <c r="AT3030" s="156"/>
      <c r="AU3030" s="156"/>
      <c r="AV3030" s="156"/>
      <c r="AW3030" s="156"/>
      <c r="AX3030" s="156"/>
      <c r="AY3030" s="156"/>
      <c r="AZ3030" s="156"/>
      <c r="BA3030" s="156"/>
      <c r="BB3030" s="2828"/>
      <c r="BC3030" s="452"/>
      <c r="BD3030" s="2829"/>
      <c r="BE3030" s="2837"/>
      <c r="BF3030" s="156"/>
    </row>
    <row r="3031" spans="1:58" ht="15" customHeight="1" outlineLevel="1" x14ac:dyDescent="0.35">
      <c r="A3031" s="1664"/>
      <c r="B3031" s="2812"/>
      <c r="C3031" s="3077"/>
      <c r="D3031" s="3980"/>
      <c r="E3031" s="3883"/>
      <c r="F3031" s="3984" t="str">
        <f>$E$1786</f>
        <v>ASHP-SEER18-Replace_CAC_ElectricHeat_ER2_SF</v>
      </c>
      <c r="G3031" s="3984"/>
      <c r="H3031" s="3984"/>
      <c r="I3031" s="3984"/>
      <c r="J3031" s="3501" t="str">
        <f>$C$1786</f>
        <v>354250_2021_12_</v>
      </c>
      <c r="K3031" s="3425">
        <v>869</v>
      </c>
      <c r="L3031" s="704"/>
      <c r="M3031" s="3020" t="s">
        <v>977</v>
      </c>
      <c r="N3031" s="106"/>
      <c r="O3031" s="106"/>
      <c r="P3031" s="702"/>
      <c r="Q3031" s="574"/>
      <c r="R3031" s="702"/>
      <c r="S3031" s="106"/>
      <c r="T3031" s="486"/>
      <c r="U3031" s="106"/>
      <c r="V3031" s="3980"/>
      <c r="W3031" s="3421">
        <v>869</v>
      </c>
      <c r="X3031" s="3421">
        <v>869</v>
      </c>
      <c r="Y3031" s="3425">
        <v>869</v>
      </c>
      <c r="Z3031" s="3425">
        <v>869</v>
      </c>
      <c r="AA3031" s="3425">
        <v>869</v>
      </c>
      <c r="AB3031" s="3425">
        <v>869</v>
      </c>
      <c r="AC3031" s="2132">
        <v>869</v>
      </c>
      <c r="AD3031" s="3421">
        <v>869</v>
      </c>
      <c r="AE3031" s="3429"/>
      <c r="AF3031" s="3421"/>
      <c r="AG3031" s="3421"/>
      <c r="AH3031" s="156"/>
      <c r="AI3031" s="156"/>
      <c r="AJ3031" s="156"/>
      <c r="AK3031" s="156"/>
      <c r="AL3031" s="156"/>
      <c r="AM3031" s="156"/>
      <c r="AN3031" s="156"/>
      <c r="AO3031" s="156"/>
      <c r="AP3031" s="156"/>
      <c r="AQ3031" s="156"/>
      <c r="AR3031" s="156"/>
      <c r="AS3031" s="156"/>
      <c r="AT3031" s="156"/>
      <c r="AU3031" s="156"/>
      <c r="AV3031" s="156"/>
      <c r="AW3031" s="156"/>
      <c r="AX3031" s="156"/>
      <c r="AY3031" s="156"/>
      <c r="AZ3031" s="156"/>
      <c r="BA3031" s="156"/>
      <c r="BB3031" s="2828"/>
      <c r="BC3031" s="452"/>
      <c r="BD3031" s="2829"/>
      <c r="BE3031" s="2837"/>
      <c r="BF3031" s="156"/>
    </row>
    <row r="3032" spans="1:58" ht="15" customHeight="1" outlineLevel="1" x14ac:dyDescent="0.35">
      <c r="A3032" s="1664"/>
      <c r="B3032" s="2812"/>
      <c r="C3032" s="3077"/>
      <c r="D3032" s="3980"/>
      <c r="E3032" s="3883"/>
      <c r="F3032" s="3984" t="str">
        <f>$E$1788</f>
        <v>ASHP-SEER18-Replace_CAC_NonElectricHeat_ER1_SF</v>
      </c>
      <c r="G3032" s="3984"/>
      <c r="H3032" s="3984"/>
      <c r="I3032" s="3984"/>
      <c r="J3032" s="3501" t="str">
        <f>$C$1788</f>
        <v>354260_2021_12_</v>
      </c>
      <c r="K3032" s="3425">
        <v>869</v>
      </c>
      <c r="L3032" s="704"/>
      <c r="M3032" s="3020" t="s">
        <v>977</v>
      </c>
      <c r="N3032" s="106"/>
      <c r="O3032" s="106"/>
      <c r="P3032" s="702"/>
      <c r="Q3032" s="574"/>
      <c r="R3032" s="702"/>
      <c r="S3032" s="106"/>
      <c r="T3032" s="486"/>
      <c r="U3032" s="106"/>
      <c r="V3032" s="3980"/>
      <c r="W3032" s="3421"/>
      <c r="X3032" s="3421"/>
      <c r="Y3032" s="3425"/>
      <c r="Z3032" s="3425"/>
      <c r="AA3032" s="3425"/>
      <c r="AB3032" s="3425"/>
      <c r="AC3032" s="2922">
        <v>869</v>
      </c>
      <c r="AD3032" s="3421">
        <v>869</v>
      </c>
      <c r="AE3032" s="3429"/>
      <c r="AF3032" s="3421"/>
      <c r="AG3032" s="3421"/>
      <c r="AH3032" s="156"/>
      <c r="AI3032" s="156"/>
      <c r="AJ3032" s="156"/>
      <c r="AK3032" s="156"/>
      <c r="AL3032" s="156"/>
      <c r="AM3032" s="156"/>
      <c r="AN3032" s="156"/>
      <c r="AO3032" s="156"/>
      <c r="AP3032" s="156"/>
      <c r="AQ3032" s="156"/>
      <c r="AR3032" s="156"/>
      <c r="AS3032" s="156"/>
      <c r="AT3032" s="156"/>
      <c r="AU3032" s="156"/>
      <c r="AV3032" s="156"/>
      <c r="AW3032" s="156"/>
      <c r="AX3032" s="156"/>
      <c r="AY3032" s="156"/>
      <c r="AZ3032" s="156"/>
      <c r="BA3032" s="156"/>
      <c r="BB3032" s="2828"/>
      <c r="BC3032" s="452"/>
      <c r="BD3032" s="2829"/>
      <c r="BE3032" s="2837"/>
      <c r="BF3032" s="156"/>
    </row>
    <row r="3033" spans="1:58" ht="15" customHeight="1" outlineLevel="1" x14ac:dyDescent="0.35">
      <c r="A3033" s="1664"/>
      <c r="B3033" s="2812"/>
      <c r="C3033" s="3077"/>
      <c r="D3033" s="3980"/>
      <c r="E3033" s="3883"/>
      <c r="F3033" s="3984" t="str">
        <f>$E$1790</f>
        <v>ASHP-SEER18-Replace_CAC_NonElectricHeat_ER2_SF</v>
      </c>
      <c r="G3033" s="3984"/>
      <c r="H3033" s="3984"/>
      <c r="I3033" s="3984"/>
      <c r="J3033" s="3501" t="str">
        <f>$C$1790</f>
        <v>354260_2021_12_</v>
      </c>
      <c r="K3033" s="3425">
        <v>869</v>
      </c>
      <c r="L3033" s="704"/>
      <c r="M3033" s="3020" t="s">
        <v>977</v>
      </c>
      <c r="N3033" s="106"/>
      <c r="O3033" s="106"/>
      <c r="P3033" s="702"/>
      <c r="Q3033" s="574"/>
      <c r="R3033" s="702"/>
      <c r="S3033" s="106"/>
      <c r="T3033" s="486"/>
      <c r="U3033" s="106"/>
      <c r="V3033" s="3980"/>
      <c r="W3033" s="3421"/>
      <c r="X3033" s="3421"/>
      <c r="Y3033" s="3425"/>
      <c r="Z3033" s="3425"/>
      <c r="AA3033" s="3425"/>
      <c r="AB3033" s="3425"/>
      <c r="AC3033" s="2922">
        <v>869</v>
      </c>
      <c r="AD3033" s="3421">
        <v>869</v>
      </c>
      <c r="AE3033" s="3429"/>
      <c r="AF3033" s="3421"/>
      <c r="AG3033" s="3421"/>
      <c r="AH3033" s="156"/>
      <c r="AI3033" s="156"/>
      <c r="AJ3033" s="156"/>
      <c r="AK3033" s="156"/>
      <c r="AL3033" s="156"/>
      <c r="AM3033" s="156"/>
      <c r="AN3033" s="156"/>
      <c r="AO3033" s="156"/>
      <c r="AP3033" s="156"/>
      <c r="AQ3033" s="156"/>
      <c r="AR3033" s="156"/>
      <c r="AS3033" s="156"/>
      <c r="AT3033" s="156"/>
      <c r="AU3033" s="156"/>
      <c r="AV3033" s="156"/>
      <c r="AW3033" s="156"/>
      <c r="AX3033" s="156"/>
      <c r="AY3033" s="156"/>
      <c r="AZ3033" s="156"/>
      <c r="BA3033" s="156"/>
      <c r="BB3033" s="2828"/>
      <c r="BC3033" s="452"/>
      <c r="BD3033" s="2829"/>
      <c r="BE3033" s="2837"/>
      <c r="BF3033" s="156"/>
    </row>
    <row r="3034" spans="1:58" ht="15" customHeight="1" outlineLevel="1" x14ac:dyDescent="0.35">
      <c r="A3034" s="1664"/>
      <c r="B3034" s="2812"/>
      <c r="C3034" s="3077"/>
      <c r="D3034" s="3980"/>
      <c r="E3034" s="3883"/>
      <c r="F3034" s="3984" t="str">
        <f>$E$1792</f>
        <v>ASHP-SEER18-Replace_CAC_ElectricHeat_ER1_MF</v>
      </c>
      <c r="G3034" s="3984"/>
      <c r="H3034" s="3984"/>
      <c r="I3034" s="3984"/>
      <c r="J3034" s="3501" t="str">
        <f>$C$1792</f>
        <v>354300_2021_12_</v>
      </c>
      <c r="K3034" s="3425">
        <v>869</v>
      </c>
      <c r="L3034" s="704"/>
      <c r="M3034" s="3020" t="s">
        <v>977</v>
      </c>
      <c r="N3034" s="106"/>
      <c r="O3034" s="106"/>
      <c r="P3034" s="702"/>
      <c r="Q3034" s="574"/>
      <c r="R3034" s="702"/>
      <c r="S3034" s="106"/>
      <c r="T3034" s="486"/>
      <c r="U3034" s="106"/>
      <c r="V3034" s="3980"/>
      <c r="W3034" s="3421">
        <v>869</v>
      </c>
      <c r="X3034" s="3421">
        <v>869</v>
      </c>
      <c r="Y3034" s="3425">
        <v>869</v>
      </c>
      <c r="Z3034" s="3425">
        <v>869</v>
      </c>
      <c r="AA3034" s="3425">
        <v>869</v>
      </c>
      <c r="AB3034" s="3425">
        <v>869</v>
      </c>
      <c r="AC3034" s="2132">
        <v>869</v>
      </c>
      <c r="AD3034" s="3421">
        <v>869</v>
      </c>
      <c r="AE3034" s="3429"/>
      <c r="AF3034" s="3421"/>
      <c r="AG3034" s="3421"/>
      <c r="AH3034" s="156"/>
      <c r="AI3034" s="156"/>
      <c r="AJ3034" s="156"/>
      <c r="AK3034" s="156"/>
      <c r="AL3034" s="156"/>
      <c r="AM3034" s="156"/>
      <c r="AN3034" s="156"/>
      <c r="AO3034" s="156"/>
      <c r="AP3034" s="156"/>
      <c r="AQ3034" s="156"/>
      <c r="AR3034" s="156"/>
      <c r="AS3034" s="156"/>
      <c r="AT3034" s="156"/>
      <c r="AU3034" s="156"/>
      <c r="AV3034" s="156"/>
      <c r="AW3034" s="156"/>
      <c r="AX3034" s="156"/>
      <c r="AY3034" s="156"/>
      <c r="AZ3034" s="156"/>
      <c r="BA3034" s="156"/>
      <c r="BB3034" s="2828"/>
      <c r="BC3034" s="452"/>
      <c r="BD3034" s="2829"/>
      <c r="BE3034" s="2837"/>
      <c r="BF3034" s="156"/>
    </row>
    <row r="3035" spans="1:58" ht="15" customHeight="1" outlineLevel="1" x14ac:dyDescent="0.35">
      <c r="A3035" s="1664"/>
      <c r="B3035" s="2812"/>
      <c r="C3035" s="3077"/>
      <c r="D3035" s="3980"/>
      <c r="E3035" s="3883"/>
      <c r="F3035" s="3984" t="str">
        <f>$E$1794</f>
        <v>ASHP-SEER18-Replace_CAC_ElectricHeat_ER2_MF</v>
      </c>
      <c r="G3035" s="3984"/>
      <c r="H3035" s="3984"/>
      <c r="I3035" s="3984"/>
      <c r="J3035" s="3501" t="str">
        <f>$C$1794</f>
        <v>354300_2021_12_</v>
      </c>
      <c r="K3035" s="3425">
        <v>869</v>
      </c>
      <c r="L3035" s="704"/>
      <c r="M3035" s="3020" t="s">
        <v>977</v>
      </c>
      <c r="N3035" s="106"/>
      <c r="O3035" s="106"/>
      <c r="P3035" s="702"/>
      <c r="Q3035" s="574"/>
      <c r="R3035" s="702"/>
      <c r="S3035" s="106"/>
      <c r="T3035" s="486"/>
      <c r="U3035" s="106"/>
      <c r="V3035" s="3980"/>
      <c r="W3035" s="3421">
        <v>869</v>
      </c>
      <c r="X3035" s="3421">
        <v>869</v>
      </c>
      <c r="Y3035" s="3425">
        <v>869</v>
      </c>
      <c r="Z3035" s="3425">
        <v>869</v>
      </c>
      <c r="AA3035" s="3425">
        <v>869</v>
      </c>
      <c r="AB3035" s="3425">
        <v>869</v>
      </c>
      <c r="AC3035" s="2132">
        <v>869</v>
      </c>
      <c r="AD3035" s="3421">
        <v>869</v>
      </c>
      <c r="AE3035" s="3429"/>
      <c r="AF3035" s="3421"/>
      <c r="AG3035" s="3421"/>
      <c r="AH3035" s="156"/>
      <c r="AI3035" s="156"/>
      <c r="AJ3035" s="156"/>
      <c r="AK3035" s="156"/>
      <c r="AL3035" s="156"/>
      <c r="AM3035" s="156"/>
      <c r="AN3035" s="156"/>
      <c r="AO3035" s="156"/>
      <c r="AP3035" s="156"/>
      <c r="AQ3035" s="156"/>
      <c r="AR3035" s="156"/>
      <c r="AS3035" s="156"/>
      <c r="AT3035" s="156"/>
      <c r="AU3035" s="156"/>
      <c r="AV3035" s="156"/>
      <c r="AW3035" s="156"/>
      <c r="AX3035" s="156"/>
      <c r="AY3035" s="156"/>
      <c r="AZ3035" s="156"/>
      <c r="BA3035" s="156"/>
      <c r="BB3035" s="2828"/>
      <c r="BC3035" s="452"/>
      <c r="BD3035" s="2829"/>
      <c r="BE3035" s="2837"/>
      <c r="BF3035" s="156"/>
    </row>
    <row r="3036" spans="1:58" ht="15" customHeight="1" outlineLevel="1" x14ac:dyDescent="0.35">
      <c r="A3036" s="1664"/>
      <c r="B3036" s="2812"/>
      <c r="C3036" s="3077"/>
      <c r="D3036" s="3980"/>
      <c r="E3036" s="3883"/>
      <c r="F3036" s="3984" t="str">
        <f>$E$1796</f>
        <v>ASHP-SEER18-Replace_CAC_ElectricHeat_ER1_MF_CompE</v>
      </c>
      <c r="G3036" s="3984"/>
      <c r="H3036" s="3984"/>
      <c r="I3036" s="3984"/>
      <c r="J3036" s="3501" t="str">
        <f>$C$1796</f>
        <v>354301_2021_12_</v>
      </c>
      <c r="K3036" s="3425">
        <f>$K$2925</f>
        <v>632</v>
      </c>
      <c r="L3036" s="704"/>
      <c r="M3036" s="3044" t="s">
        <v>513</v>
      </c>
      <c r="N3036" s="106"/>
      <c r="O3036" s="106"/>
      <c r="P3036" s="702"/>
      <c r="Q3036" s="574"/>
      <c r="R3036" s="702"/>
      <c r="S3036" s="106"/>
      <c r="T3036" s="486"/>
      <c r="U3036" s="106"/>
      <c r="V3036" s="3980"/>
      <c r="W3036" s="3421"/>
      <c r="X3036" s="3421"/>
      <c r="Y3036" s="2377">
        <f>$K$2925</f>
        <v>632</v>
      </c>
      <c r="Z3036" s="3425">
        <f t="shared" ref="Z3036:AA3037" si="387">$K$2925</f>
        <v>632</v>
      </c>
      <c r="AA3036" s="3425">
        <f t="shared" si="387"/>
        <v>632</v>
      </c>
      <c r="AB3036" s="3425">
        <v>632</v>
      </c>
      <c r="AC3036" s="2132">
        <f>$K$2925</f>
        <v>632</v>
      </c>
      <c r="AD3036" s="3421">
        <v>632</v>
      </c>
      <c r="AE3036" s="3429"/>
      <c r="AF3036" s="3421"/>
      <c r="AG3036" s="3421"/>
      <c r="AH3036" s="156"/>
      <c r="AI3036" s="156"/>
      <c r="AJ3036" s="156"/>
      <c r="AK3036" s="156"/>
      <c r="AL3036" s="156"/>
      <c r="AM3036" s="156"/>
      <c r="AN3036" s="156"/>
      <c r="AO3036" s="156"/>
      <c r="AP3036" s="156"/>
      <c r="AQ3036" s="156"/>
      <c r="AR3036" s="156"/>
      <c r="AS3036" s="156"/>
      <c r="AT3036" s="156"/>
      <c r="AU3036" s="156"/>
      <c r="AV3036" s="156"/>
      <c r="AW3036" s="156"/>
      <c r="AX3036" s="156"/>
      <c r="AY3036" s="156"/>
      <c r="AZ3036" s="156"/>
      <c r="BA3036" s="156"/>
      <c r="BB3036" s="2828"/>
      <c r="BC3036" s="452"/>
      <c r="BD3036" s="2829"/>
      <c r="BE3036" s="2837"/>
      <c r="BF3036" s="156"/>
    </row>
    <row r="3037" spans="1:58" ht="15" customHeight="1" outlineLevel="1" x14ac:dyDescent="0.35">
      <c r="A3037" s="1664"/>
      <c r="B3037" s="2812"/>
      <c r="C3037" s="3077"/>
      <c r="D3037" s="3980"/>
      <c r="E3037" s="3883"/>
      <c r="F3037" s="3984" t="str">
        <f>$E$1798</f>
        <v>ASHP-SEER18-Replace_CAC_ElectricHeat_ER2_MF_CompE</v>
      </c>
      <c r="G3037" s="3984"/>
      <c r="H3037" s="3984"/>
      <c r="I3037" s="3984"/>
      <c r="J3037" s="3501" t="str">
        <f>$C$1798</f>
        <v>354301_2021_12_</v>
      </c>
      <c r="K3037" s="3425">
        <f>$K$2925</f>
        <v>632</v>
      </c>
      <c r="L3037" s="704"/>
      <c r="M3037" s="3044" t="s">
        <v>513</v>
      </c>
      <c r="N3037" s="106"/>
      <c r="O3037" s="106"/>
      <c r="P3037" s="702"/>
      <c r="Q3037" s="574"/>
      <c r="R3037" s="702"/>
      <c r="S3037" s="106"/>
      <c r="T3037" s="486"/>
      <c r="U3037" s="106"/>
      <c r="V3037" s="3980"/>
      <c r="W3037" s="3421"/>
      <c r="X3037" s="3421"/>
      <c r="Y3037" s="2377">
        <f>$K$2925</f>
        <v>632</v>
      </c>
      <c r="Z3037" s="3425">
        <f t="shared" si="387"/>
        <v>632</v>
      </c>
      <c r="AA3037" s="3425">
        <f t="shared" si="387"/>
        <v>632</v>
      </c>
      <c r="AB3037" s="3425">
        <v>632</v>
      </c>
      <c r="AC3037" s="2132">
        <f>$K$2925</f>
        <v>632</v>
      </c>
      <c r="AD3037" s="3421">
        <v>632</v>
      </c>
      <c r="AE3037" s="3429"/>
      <c r="AF3037" s="3421"/>
      <c r="AG3037" s="3421"/>
      <c r="AH3037" s="156"/>
      <c r="AI3037" s="156"/>
      <c r="AJ3037" s="156"/>
      <c r="AK3037" s="156"/>
      <c r="AL3037" s="156"/>
      <c r="AM3037" s="156"/>
      <c r="AN3037" s="156"/>
      <c r="AO3037" s="156"/>
      <c r="AP3037" s="156"/>
      <c r="AQ3037" s="156"/>
      <c r="AR3037" s="156"/>
      <c r="AS3037" s="156"/>
      <c r="AT3037" s="156"/>
      <c r="AU3037" s="156"/>
      <c r="AV3037" s="156"/>
      <c r="AW3037" s="156"/>
      <c r="AX3037" s="156"/>
      <c r="AY3037" s="156"/>
      <c r="AZ3037" s="156"/>
      <c r="BA3037" s="156"/>
      <c r="BB3037" s="2828"/>
      <c r="BC3037" s="452"/>
      <c r="BD3037" s="2829"/>
      <c r="BE3037" s="2837"/>
      <c r="BF3037" s="156"/>
    </row>
    <row r="3038" spans="1:58" ht="15" customHeight="1" outlineLevel="1" x14ac:dyDescent="0.35">
      <c r="A3038" s="1664"/>
      <c r="B3038" s="2812"/>
      <c r="C3038" s="3077"/>
      <c r="D3038" s="3980"/>
      <c r="E3038" s="3883"/>
      <c r="F3038" s="3984" t="str">
        <f>$E$1800</f>
        <v>ASHP-SEER18-Replace_CAC_NonElectricHeat_ER1_MF</v>
      </c>
      <c r="G3038" s="3984"/>
      <c r="H3038" s="3984"/>
      <c r="I3038" s="3984"/>
      <c r="J3038" s="3501" t="str">
        <f>$C$1800</f>
        <v>354310_2021_12_</v>
      </c>
      <c r="K3038" s="3425">
        <v>869</v>
      </c>
      <c r="L3038" s="704"/>
      <c r="M3038" s="3020" t="s">
        <v>977</v>
      </c>
      <c r="N3038" s="106"/>
      <c r="O3038" s="106"/>
      <c r="P3038" s="702"/>
      <c r="Q3038" s="574"/>
      <c r="R3038" s="702"/>
      <c r="S3038" s="106"/>
      <c r="T3038" s="486"/>
      <c r="U3038" s="106"/>
      <c r="V3038" s="3980"/>
      <c r="W3038" s="3421"/>
      <c r="X3038" s="3421"/>
      <c r="Y3038" s="2377"/>
      <c r="Z3038" s="3425"/>
      <c r="AA3038" s="3425"/>
      <c r="AB3038" s="3425"/>
      <c r="AC3038" s="2922">
        <v>869</v>
      </c>
      <c r="AD3038" s="3421">
        <v>869</v>
      </c>
      <c r="AE3038" s="3429"/>
      <c r="AF3038" s="3421"/>
      <c r="AG3038" s="3421"/>
      <c r="AH3038" s="156"/>
      <c r="AI3038" s="156"/>
      <c r="AJ3038" s="156"/>
      <c r="AK3038" s="156"/>
      <c r="AL3038" s="156"/>
      <c r="AM3038" s="156"/>
      <c r="AN3038" s="156"/>
      <c r="AO3038" s="156"/>
      <c r="AP3038" s="156"/>
      <c r="AQ3038" s="156"/>
      <c r="AR3038" s="156"/>
      <c r="AS3038" s="156"/>
      <c r="AT3038" s="156"/>
      <c r="AU3038" s="156"/>
      <c r="AV3038" s="156"/>
      <c r="AW3038" s="156"/>
      <c r="AX3038" s="156"/>
      <c r="AY3038" s="156"/>
      <c r="AZ3038" s="156"/>
      <c r="BA3038" s="156"/>
      <c r="BB3038" s="2828"/>
      <c r="BC3038" s="452"/>
      <c r="BD3038" s="2829"/>
      <c r="BE3038" s="2837"/>
      <c r="BF3038" s="156"/>
    </row>
    <row r="3039" spans="1:58" ht="15" customHeight="1" outlineLevel="1" x14ac:dyDescent="0.35">
      <c r="A3039" s="1664"/>
      <c r="B3039" s="2812"/>
      <c r="C3039" s="3077"/>
      <c r="D3039" s="3980"/>
      <c r="E3039" s="3883"/>
      <c r="F3039" s="3984" t="str">
        <f>$E$1802</f>
        <v>ASHP-SEER18-Replace_CAC_NonElectricHeat_ER2_MF</v>
      </c>
      <c r="G3039" s="3984"/>
      <c r="H3039" s="3984"/>
      <c r="I3039" s="3984"/>
      <c r="J3039" s="3501" t="str">
        <f>$C$1802</f>
        <v>354310_2021_12_</v>
      </c>
      <c r="K3039" s="3425">
        <v>869</v>
      </c>
      <c r="L3039" s="704"/>
      <c r="M3039" s="3020" t="s">
        <v>977</v>
      </c>
      <c r="N3039" s="106"/>
      <c r="O3039" s="106"/>
      <c r="P3039" s="702"/>
      <c r="Q3039" s="574"/>
      <c r="R3039" s="702"/>
      <c r="S3039" s="106"/>
      <c r="T3039" s="486"/>
      <c r="U3039" s="106"/>
      <c r="V3039" s="3980"/>
      <c r="W3039" s="3421"/>
      <c r="X3039" s="3421"/>
      <c r="Y3039" s="2377"/>
      <c r="Z3039" s="3425"/>
      <c r="AA3039" s="3425"/>
      <c r="AB3039" s="3425"/>
      <c r="AC3039" s="2922">
        <v>869</v>
      </c>
      <c r="AD3039" s="3421">
        <v>869</v>
      </c>
      <c r="AE3039" s="3429"/>
      <c r="AF3039" s="3421"/>
      <c r="AG3039" s="3421"/>
      <c r="AH3039" s="156"/>
      <c r="AI3039" s="156"/>
      <c r="AJ3039" s="156"/>
      <c r="AK3039" s="156"/>
      <c r="AL3039" s="156"/>
      <c r="AM3039" s="156"/>
      <c r="AN3039" s="156"/>
      <c r="AO3039" s="156"/>
      <c r="AP3039" s="156"/>
      <c r="AQ3039" s="156"/>
      <c r="AR3039" s="156"/>
      <c r="AS3039" s="156"/>
      <c r="AT3039" s="156"/>
      <c r="AU3039" s="156"/>
      <c r="AV3039" s="156"/>
      <c r="AW3039" s="156"/>
      <c r="AX3039" s="156"/>
      <c r="AY3039" s="156"/>
      <c r="AZ3039" s="156"/>
      <c r="BA3039" s="156"/>
      <c r="BB3039" s="2828"/>
      <c r="BC3039" s="452"/>
      <c r="BD3039" s="2829"/>
      <c r="BE3039" s="2837"/>
      <c r="BF3039" s="156"/>
    </row>
    <row r="3040" spans="1:58" ht="15" customHeight="1" outlineLevel="1" x14ac:dyDescent="0.35">
      <c r="A3040" s="1664"/>
      <c r="B3040" s="2812"/>
      <c r="C3040" s="3077"/>
      <c r="D3040" s="3980"/>
      <c r="E3040" s="3883"/>
      <c r="F3040" s="3984" t="str">
        <f>$E$1804</f>
        <v>ASHP-SEER18-Replace_CAC_NonElectricHeat_ER1_MF_CompE</v>
      </c>
      <c r="G3040" s="3984"/>
      <c r="H3040" s="3984"/>
      <c r="I3040" s="3984"/>
      <c r="J3040" s="3501" t="str">
        <f>$C$1804</f>
        <v>354311_2021_12_</v>
      </c>
      <c r="K3040" s="3425">
        <f>$K$2925</f>
        <v>632</v>
      </c>
      <c r="L3040" s="704"/>
      <c r="M3040" s="3044" t="s">
        <v>513</v>
      </c>
      <c r="N3040" s="106"/>
      <c r="O3040" s="106"/>
      <c r="P3040" s="702"/>
      <c r="Q3040" s="574"/>
      <c r="R3040" s="702"/>
      <c r="S3040" s="106"/>
      <c r="T3040" s="486"/>
      <c r="U3040" s="106"/>
      <c r="V3040" s="3980"/>
      <c r="W3040" s="3421"/>
      <c r="X3040" s="3421"/>
      <c r="Y3040" s="2377"/>
      <c r="Z3040" s="3425"/>
      <c r="AA3040" s="3425"/>
      <c r="AB3040" s="3425"/>
      <c r="AC3040" s="2922">
        <f>$K$2925</f>
        <v>632</v>
      </c>
      <c r="AD3040" s="3421">
        <v>632</v>
      </c>
      <c r="AE3040" s="3429"/>
      <c r="AF3040" s="3421"/>
      <c r="AG3040" s="3421"/>
      <c r="AH3040" s="156"/>
      <c r="AI3040" s="156"/>
      <c r="AJ3040" s="156"/>
      <c r="AK3040" s="156"/>
      <c r="AL3040" s="156"/>
      <c r="AM3040" s="156"/>
      <c r="AN3040" s="156"/>
      <c r="AO3040" s="156"/>
      <c r="AP3040" s="156"/>
      <c r="AQ3040" s="156"/>
      <c r="AR3040" s="156"/>
      <c r="AS3040" s="156"/>
      <c r="AT3040" s="156"/>
      <c r="AU3040" s="156"/>
      <c r="AV3040" s="156"/>
      <c r="AW3040" s="156"/>
      <c r="AX3040" s="156"/>
      <c r="AY3040" s="156"/>
      <c r="AZ3040" s="156"/>
      <c r="BA3040" s="156"/>
      <c r="BB3040" s="2828"/>
      <c r="BC3040" s="452"/>
      <c r="BD3040" s="2829"/>
      <c r="BE3040" s="2837"/>
      <c r="BF3040" s="156"/>
    </row>
    <row r="3041" spans="1:58" ht="15" customHeight="1" outlineLevel="1" x14ac:dyDescent="0.35">
      <c r="A3041" s="1664"/>
      <c r="B3041" s="2812"/>
      <c r="C3041" s="3077"/>
      <c r="D3041" s="3980"/>
      <c r="E3041" s="3883"/>
      <c r="F3041" s="3984" t="str">
        <f>$E$1806</f>
        <v>ASHP-SEER18-Replace_CAC_NonElectricHeat_ER2_MF_CompE</v>
      </c>
      <c r="G3041" s="3984"/>
      <c r="H3041" s="3984"/>
      <c r="I3041" s="3984"/>
      <c r="J3041" s="3501" t="str">
        <f>$C$1806</f>
        <v>354311_2021_12_</v>
      </c>
      <c r="K3041" s="3425">
        <f>$K$2925</f>
        <v>632</v>
      </c>
      <c r="L3041" s="704"/>
      <c r="M3041" s="3044" t="s">
        <v>513</v>
      </c>
      <c r="N3041" s="106"/>
      <c r="O3041" s="106"/>
      <c r="P3041" s="702"/>
      <c r="Q3041" s="574"/>
      <c r="R3041" s="702"/>
      <c r="S3041" s="106"/>
      <c r="T3041" s="486"/>
      <c r="U3041" s="106"/>
      <c r="V3041" s="3980"/>
      <c r="W3041" s="3421"/>
      <c r="X3041" s="3421"/>
      <c r="Y3041" s="2377"/>
      <c r="Z3041" s="3425"/>
      <c r="AA3041" s="3425"/>
      <c r="AB3041" s="3425"/>
      <c r="AC3041" s="2922">
        <f>$K$2925</f>
        <v>632</v>
      </c>
      <c r="AD3041" s="3421">
        <v>632</v>
      </c>
      <c r="AE3041" s="3429"/>
      <c r="AF3041" s="3421"/>
      <c r="AG3041" s="3421"/>
      <c r="AH3041" s="156"/>
      <c r="AI3041" s="156"/>
      <c r="AJ3041" s="156"/>
      <c r="AK3041" s="156"/>
      <c r="AL3041" s="156"/>
      <c r="AM3041" s="156"/>
      <c r="AN3041" s="156"/>
      <c r="AO3041" s="156"/>
      <c r="AP3041" s="156"/>
      <c r="AQ3041" s="156"/>
      <c r="AR3041" s="156"/>
      <c r="AS3041" s="156"/>
      <c r="AT3041" s="156"/>
      <c r="AU3041" s="156"/>
      <c r="AV3041" s="156"/>
      <c r="AW3041" s="156"/>
      <c r="AX3041" s="156"/>
      <c r="AY3041" s="156"/>
      <c r="AZ3041" s="156"/>
      <c r="BA3041" s="156"/>
      <c r="BB3041" s="2828"/>
      <c r="BC3041" s="452"/>
      <c r="BD3041" s="2829"/>
      <c r="BE3041" s="2837"/>
      <c r="BF3041" s="156"/>
    </row>
    <row r="3042" spans="1:58" ht="15" customHeight="1" outlineLevel="1" x14ac:dyDescent="0.35">
      <c r="A3042" s="1664"/>
      <c r="B3042" s="2812"/>
      <c r="C3042" s="3077"/>
      <c r="D3042" s="3980"/>
      <c r="E3042" s="3883"/>
      <c r="F3042" s="3984" t="str">
        <f>$E$1808</f>
        <v>ASHP-SEER18_ER1_MF</v>
      </c>
      <c r="G3042" s="3984"/>
      <c r="H3042" s="3984"/>
      <c r="I3042" s="3984"/>
      <c r="J3042" s="3501" t="str">
        <f>$C$1808</f>
        <v>354350_2021_12_</v>
      </c>
      <c r="K3042" s="3425">
        <v>869</v>
      </c>
      <c r="L3042" s="704"/>
      <c r="M3042" s="3020" t="s">
        <v>977</v>
      </c>
      <c r="N3042" s="106"/>
      <c r="O3042" s="106"/>
      <c r="P3042" s="702"/>
      <c r="Q3042" s="574"/>
      <c r="R3042" s="702"/>
      <c r="S3042" s="106"/>
      <c r="T3042" s="486"/>
      <c r="U3042" s="106"/>
      <c r="V3042" s="3980"/>
      <c r="W3042" s="3421">
        <v>869</v>
      </c>
      <c r="X3042" s="3421">
        <v>869</v>
      </c>
      <c r="Y3042" s="3425">
        <v>869</v>
      </c>
      <c r="Z3042" s="3425">
        <v>869</v>
      </c>
      <c r="AA3042" s="3425">
        <v>869</v>
      </c>
      <c r="AB3042" s="3425">
        <v>869</v>
      </c>
      <c r="AC3042" s="2132">
        <v>869</v>
      </c>
      <c r="AD3042" s="3421">
        <v>869</v>
      </c>
      <c r="AE3042" s="3429"/>
      <c r="AF3042" s="3421"/>
      <c r="AG3042" s="3421"/>
      <c r="AH3042" s="156"/>
      <c r="AI3042" s="156"/>
      <c r="AJ3042" s="156"/>
      <c r="AK3042" s="156"/>
      <c r="AL3042" s="156"/>
      <c r="AM3042" s="156"/>
      <c r="AN3042" s="156"/>
      <c r="AO3042" s="156"/>
      <c r="AP3042" s="156"/>
      <c r="AQ3042" s="156"/>
      <c r="AR3042" s="156"/>
      <c r="AS3042" s="156"/>
      <c r="AT3042" s="156"/>
      <c r="AU3042" s="156"/>
      <c r="AV3042" s="156"/>
      <c r="AW3042" s="156"/>
      <c r="AX3042" s="156"/>
      <c r="AY3042" s="156"/>
      <c r="AZ3042" s="156"/>
      <c r="BA3042" s="156"/>
      <c r="BB3042" s="2828"/>
      <c r="BC3042" s="452"/>
      <c r="BD3042" s="2829"/>
      <c r="BE3042" s="2837"/>
      <c r="BF3042" s="156"/>
    </row>
    <row r="3043" spans="1:58" ht="15" customHeight="1" outlineLevel="1" x14ac:dyDescent="0.35">
      <c r="A3043" s="1664"/>
      <c r="B3043" s="2812"/>
      <c r="C3043" s="3077"/>
      <c r="D3043" s="3980"/>
      <c r="E3043" s="3883"/>
      <c r="F3043" s="3984" t="str">
        <f>$E$1810</f>
        <v>ASHP-SEER18_ER2_MF</v>
      </c>
      <c r="G3043" s="3984"/>
      <c r="H3043" s="3984"/>
      <c r="I3043" s="3984"/>
      <c r="J3043" s="3501" t="str">
        <f>$C$1810</f>
        <v>354350_2021_12_</v>
      </c>
      <c r="K3043" s="3425">
        <v>869</v>
      </c>
      <c r="L3043" s="704"/>
      <c r="M3043" s="3020" t="s">
        <v>977</v>
      </c>
      <c r="N3043" s="106"/>
      <c r="O3043" s="106"/>
      <c r="P3043" s="702"/>
      <c r="Q3043" s="574"/>
      <c r="R3043" s="702"/>
      <c r="S3043" s="106"/>
      <c r="T3043" s="486"/>
      <c r="U3043" s="106"/>
      <c r="V3043" s="3980"/>
      <c r="W3043" s="3421">
        <v>869</v>
      </c>
      <c r="X3043" s="3421">
        <v>869</v>
      </c>
      <c r="Y3043" s="3425">
        <v>869</v>
      </c>
      <c r="Z3043" s="3425">
        <v>869</v>
      </c>
      <c r="AA3043" s="3425">
        <v>869</v>
      </c>
      <c r="AB3043" s="3425">
        <v>869</v>
      </c>
      <c r="AC3043" s="2132">
        <v>869</v>
      </c>
      <c r="AD3043" s="3421">
        <v>869</v>
      </c>
      <c r="AE3043" s="3429"/>
      <c r="AF3043" s="3421"/>
      <c r="AG3043" s="3421"/>
      <c r="AH3043" s="156"/>
      <c r="AI3043" s="156"/>
      <c r="AJ3043" s="156"/>
      <c r="AK3043" s="156"/>
      <c r="AL3043" s="156"/>
      <c r="AM3043" s="156"/>
      <c r="AN3043" s="156"/>
      <c r="AO3043" s="156"/>
      <c r="AP3043" s="156"/>
      <c r="AQ3043" s="156"/>
      <c r="AR3043" s="156"/>
      <c r="AS3043" s="156"/>
      <c r="AT3043" s="156"/>
      <c r="AU3043" s="156"/>
      <c r="AV3043" s="156"/>
      <c r="AW3043" s="156"/>
      <c r="AX3043" s="156"/>
      <c r="AY3043" s="156"/>
      <c r="AZ3043" s="156"/>
      <c r="BA3043" s="156"/>
      <c r="BB3043" s="2828"/>
      <c r="BC3043" s="452"/>
      <c r="BD3043" s="2829"/>
      <c r="BE3043" s="2837"/>
      <c r="BF3043" s="156"/>
    </row>
    <row r="3044" spans="1:58" ht="15" customHeight="1" outlineLevel="1" x14ac:dyDescent="0.35">
      <c r="A3044" s="1664"/>
      <c r="B3044" s="2812"/>
      <c r="C3044" s="3077"/>
      <c r="D3044" s="3980"/>
      <c r="E3044" s="3883"/>
      <c r="F3044" s="3984" t="str">
        <f>$E$1812</f>
        <v>ASHP-SEER18_ER1_MF_CompE</v>
      </c>
      <c r="G3044" s="3984"/>
      <c r="H3044" s="3984"/>
      <c r="I3044" s="3984"/>
      <c r="J3044" s="3501" t="str">
        <f>$C$1812</f>
        <v>354351_2021_12_</v>
      </c>
      <c r="K3044" s="3425">
        <f>$K$2925</f>
        <v>632</v>
      </c>
      <c r="L3044" s="704"/>
      <c r="M3044" s="3044" t="s">
        <v>513</v>
      </c>
      <c r="N3044" s="106"/>
      <c r="O3044" s="106"/>
      <c r="P3044" s="702"/>
      <c r="Q3044" s="574"/>
      <c r="R3044" s="702"/>
      <c r="S3044" s="106"/>
      <c r="T3044" s="486"/>
      <c r="U3044" s="106"/>
      <c r="V3044" s="3980"/>
      <c r="W3044" s="3421"/>
      <c r="X3044" s="3421"/>
      <c r="Y3044" s="2377">
        <f>$K$2925</f>
        <v>632</v>
      </c>
      <c r="Z3044" s="3425">
        <f t="shared" ref="Z3044:AA3045" si="388">$K$2925</f>
        <v>632</v>
      </c>
      <c r="AA3044" s="3425">
        <f t="shared" si="388"/>
        <v>632</v>
      </c>
      <c r="AB3044" s="3425">
        <v>632</v>
      </c>
      <c r="AC3044" s="2132">
        <f>$K$2925</f>
        <v>632</v>
      </c>
      <c r="AD3044" s="3421">
        <v>632</v>
      </c>
      <c r="AE3044" s="3429"/>
      <c r="AF3044" s="3421"/>
      <c r="AG3044" s="3421"/>
      <c r="AH3044" s="156"/>
      <c r="AI3044" s="156"/>
      <c r="AJ3044" s="156"/>
      <c r="AK3044" s="156"/>
      <c r="AL3044" s="156"/>
      <c r="AM3044" s="156"/>
      <c r="AN3044" s="156"/>
      <c r="AO3044" s="156"/>
      <c r="AP3044" s="156"/>
      <c r="AQ3044" s="156"/>
      <c r="AR3044" s="156"/>
      <c r="AS3044" s="156"/>
      <c r="AT3044" s="156"/>
      <c r="AU3044" s="156"/>
      <c r="AV3044" s="156"/>
      <c r="AW3044" s="156"/>
      <c r="AX3044" s="156"/>
      <c r="AY3044" s="156"/>
      <c r="AZ3044" s="156"/>
      <c r="BA3044" s="156"/>
      <c r="BB3044" s="2828"/>
      <c r="BC3044" s="452"/>
      <c r="BD3044" s="2829"/>
      <c r="BE3044" s="2837"/>
      <c r="BF3044" s="156"/>
    </row>
    <row r="3045" spans="1:58" ht="15" customHeight="1" outlineLevel="1" x14ac:dyDescent="0.35">
      <c r="A3045" s="1664"/>
      <c r="B3045" s="2812"/>
      <c r="C3045" s="3077"/>
      <c r="D3045" s="3980"/>
      <c r="E3045" s="3883"/>
      <c r="F3045" s="3984" t="str">
        <f>$E$1814</f>
        <v>ASHP-SEER18_ER2_MF_CompE</v>
      </c>
      <c r="G3045" s="3984"/>
      <c r="H3045" s="3984"/>
      <c r="I3045" s="3984"/>
      <c r="J3045" s="3501" t="str">
        <f>$C$1814</f>
        <v>354351_2021_12_</v>
      </c>
      <c r="K3045" s="3425">
        <f>$K$2925</f>
        <v>632</v>
      </c>
      <c r="L3045" s="704"/>
      <c r="M3045" s="3044" t="s">
        <v>513</v>
      </c>
      <c r="N3045" s="106"/>
      <c r="O3045" s="106"/>
      <c r="P3045" s="702"/>
      <c r="Q3045" s="574"/>
      <c r="R3045" s="702"/>
      <c r="S3045" s="106"/>
      <c r="T3045" s="486"/>
      <c r="U3045" s="106"/>
      <c r="V3045" s="3980"/>
      <c r="W3045" s="3421"/>
      <c r="X3045" s="3421"/>
      <c r="Y3045" s="2377">
        <f>$K$2925</f>
        <v>632</v>
      </c>
      <c r="Z3045" s="3425">
        <f t="shared" si="388"/>
        <v>632</v>
      </c>
      <c r="AA3045" s="3425">
        <f t="shared" si="388"/>
        <v>632</v>
      </c>
      <c r="AB3045" s="3425">
        <v>632</v>
      </c>
      <c r="AC3045" s="2132">
        <f>$K$2925</f>
        <v>632</v>
      </c>
      <c r="AD3045" s="3421">
        <v>632</v>
      </c>
      <c r="AE3045" s="3429"/>
      <c r="AF3045" s="3421"/>
      <c r="AG3045" s="3421"/>
      <c r="AH3045" s="156"/>
      <c r="AI3045" s="156"/>
      <c r="AJ3045" s="156"/>
      <c r="AK3045" s="156"/>
      <c r="AL3045" s="156"/>
      <c r="AM3045" s="156"/>
      <c r="AN3045" s="156"/>
      <c r="AO3045" s="156"/>
      <c r="AP3045" s="156"/>
      <c r="AQ3045" s="156"/>
      <c r="AR3045" s="156"/>
      <c r="AS3045" s="156"/>
      <c r="AT3045" s="156"/>
      <c r="AU3045" s="156"/>
      <c r="AV3045" s="156"/>
      <c r="AW3045" s="156"/>
      <c r="AX3045" s="156"/>
      <c r="AY3045" s="156"/>
      <c r="AZ3045" s="156"/>
      <c r="BA3045" s="156"/>
      <c r="BB3045" s="2828"/>
      <c r="BC3045" s="452"/>
      <c r="BD3045" s="2829"/>
      <c r="BE3045" s="2837"/>
      <c r="BF3045" s="156"/>
    </row>
    <row r="3046" spans="1:58" ht="15" customHeight="1" outlineLevel="1" x14ac:dyDescent="0.35">
      <c r="A3046" s="1664"/>
      <c r="B3046" s="2812"/>
      <c r="C3046" s="3077"/>
      <c r="D3046" s="3980"/>
      <c r="E3046" s="3883"/>
      <c r="F3046" s="3984" t="str">
        <f>$E$1816</f>
        <v>ASHP-SEER19-Replace_CAC_ElectricHeat_ER1_SF</v>
      </c>
      <c r="G3046" s="3984"/>
      <c r="H3046" s="3984"/>
      <c r="I3046" s="3984"/>
      <c r="J3046" s="3501" t="str">
        <f>$C$1816</f>
        <v>354400_2021_12_</v>
      </c>
      <c r="K3046" s="3425">
        <v>869</v>
      </c>
      <c r="L3046" s="704"/>
      <c r="M3046" s="3020" t="s">
        <v>977</v>
      </c>
      <c r="N3046" s="106"/>
      <c r="O3046" s="106"/>
      <c r="P3046" s="702"/>
      <c r="Q3046" s="574"/>
      <c r="R3046" s="702"/>
      <c r="S3046" s="106"/>
      <c r="T3046" s="486"/>
      <c r="U3046" s="106"/>
      <c r="V3046" s="3980"/>
      <c r="W3046" s="3421">
        <v>869</v>
      </c>
      <c r="X3046" s="3421">
        <v>869</v>
      </c>
      <c r="Y3046" s="3425">
        <v>869</v>
      </c>
      <c r="Z3046" s="3425">
        <v>869</v>
      </c>
      <c r="AA3046" s="3425">
        <v>869</v>
      </c>
      <c r="AB3046" s="3425">
        <v>869</v>
      </c>
      <c r="AC3046" s="2132">
        <v>869</v>
      </c>
      <c r="AD3046" s="3421">
        <v>869</v>
      </c>
      <c r="AE3046" s="3429"/>
      <c r="AF3046" s="3421"/>
      <c r="AG3046" s="3421"/>
      <c r="AH3046" s="156"/>
      <c r="AI3046" s="156"/>
      <c r="AJ3046" s="156"/>
      <c r="AK3046" s="156"/>
      <c r="AL3046" s="156"/>
      <c r="AM3046" s="156"/>
      <c r="AN3046" s="156"/>
      <c r="AO3046" s="156"/>
      <c r="AP3046" s="156"/>
      <c r="AQ3046" s="156"/>
      <c r="AR3046" s="156"/>
      <c r="AS3046" s="156"/>
      <c r="AT3046" s="156"/>
      <c r="AU3046" s="156"/>
      <c r="AV3046" s="156"/>
      <c r="AW3046" s="156"/>
      <c r="AX3046" s="156"/>
      <c r="AY3046" s="156"/>
      <c r="AZ3046" s="156"/>
      <c r="BA3046" s="156"/>
      <c r="BB3046" s="2828"/>
      <c r="BC3046" s="452"/>
      <c r="BD3046" s="2829"/>
      <c r="BE3046" s="2837"/>
      <c r="BF3046" s="156"/>
    </row>
    <row r="3047" spans="1:58" ht="15" customHeight="1" outlineLevel="1" x14ac:dyDescent="0.35">
      <c r="A3047" s="1664"/>
      <c r="B3047" s="2812"/>
      <c r="C3047" s="3077"/>
      <c r="D3047" s="3980"/>
      <c r="E3047" s="3883"/>
      <c r="F3047" s="3984" t="str">
        <f>$E$1818</f>
        <v>ASHP-SEER19-Replace_CAC_ElectricHeat_ER2_SF</v>
      </c>
      <c r="G3047" s="3984"/>
      <c r="H3047" s="3984"/>
      <c r="I3047" s="3984"/>
      <c r="J3047" s="3501" t="str">
        <f>$C$1818</f>
        <v>354400_2021_12_</v>
      </c>
      <c r="K3047" s="3425">
        <v>869</v>
      </c>
      <c r="L3047" s="704"/>
      <c r="M3047" s="3020" t="s">
        <v>977</v>
      </c>
      <c r="N3047" s="106"/>
      <c r="O3047" s="106"/>
      <c r="P3047" s="702"/>
      <c r="Q3047" s="574"/>
      <c r="R3047" s="702"/>
      <c r="S3047" s="106"/>
      <c r="T3047" s="486"/>
      <c r="U3047" s="106"/>
      <c r="V3047" s="3980"/>
      <c r="W3047" s="3421">
        <v>869</v>
      </c>
      <c r="X3047" s="3421">
        <v>869</v>
      </c>
      <c r="Y3047" s="3425">
        <v>869</v>
      </c>
      <c r="Z3047" s="3425">
        <v>869</v>
      </c>
      <c r="AA3047" s="3425">
        <v>869</v>
      </c>
      <c r="AB3047" s="3425">
        <v>869</v>
      </c>
      <c r="AC3047" s="2132">
        <v>869</v>
      </c>
      <c r="AD3047" s="3421">
        <v>869</v>
      </c>
      <c r="AE3047" s="3429"/>
      <c r="AF3047" s="3421"/>
      <c r="AG3047" s="3421"/>
      <c r="AH3047" s="156"/>
      <c r="AI3047" s="156"/>
      <c r="AJ3047" s="156"/>
      <c r="AK3047" s="156"/>
      <c r="AL3047" s="156"/>
      <c r="AM3047" s="156"/>
      <c r="AN3047" s="156"/>
      <c r="AO3047" s="156"/>
      <c r="AP3047" s="156"/>
      <c r="AQ3047" s="156"/>
      <c r="AR3047" s="156"/>
      <c r="AS3047" s="156"/>
      <c r="AT3047" s="156"/>
      <c r="AU3047" s="156"/>
      <c r="AV3047" s="156"/>
      <c r="AW3047" s="156"/>
      <c r="AX3047" s="156"/>
      <c r="AY3047" s="156"/>
      <c r="AZ3047" s="156"/>
      <c r="BA3047" s="156"/>
      <c r="BB3047" s="2828"/>
      <c r="BC3047" s="452"/>
      <c r="BD3047" s="2829"/>
      <c r="BE3047" s="2837"/>
      <c r="BF3047" s="156"/>
    </row>
    <row r="3048" spans="1:58" ht="15" customHeight="1" outlineLevel="1" x14ac:dyDescent="0.35">
      <c r="A3048" s="1664"/>
      <c r="B3048" s="2812"/>
      <c r="C3048" s="3077"/>
      <c r="D3048" s="3980"/>
      <c r="E3048" s="3883"/>
      <c r="F3048" s="3984" t="str">
        <f>$E$1820</f>
        <v>ASHP-SEER19-Replace_CAC_NonElectricHeat_ER1_SF</v>
      </c>
      <c r="G3048" s="3984"/>
      <c r="H3048" s="3984"/>
      <c r="I3048" s="3984"/>
      <c r="J3048" s="3501" t="str">
        <f>$C$1820</f>
        <v>354410_2021_12_</v>
      </c>
      <c r="K3048" s="3425">
        <v>869</v>
      </c>
      <c r="L3048" s="704"/>
      <c r="M3048" s="3020" t="s">
        <v>977</v>
      </c>
      <c r="N3048" s="106"/>
      <c r="O3048" s="106"/>
      <c r="P3048" s="702"/>
      <c r="Q3048" s="574"/>
      <c r="R3048" s="702"/>
      <c r="S3048" s="106"/>
      <c r="T3048" s="486"/>
      <c r="U3048" s="106"/>
      <c r="V3048" s="3980"/>
      <c r="W3048" s="3421"/>
      <c r="X3048" s="3421"/>
      <c r="Y3048" s="3425"/>
      <c r="Z3048" s="3425"/>
      <c r="AA3048" s="3425"/>
      <c r="AB3048" s="3425"/>
      <c r="AC3048" s="2922">
        <v>869</v>
      </c>
      <c r="AD3048" s="3421">
        <v>869</v>
      </c>
      <c r="AE3048" s="3429"/>
      <c r="AF3048" s="3421"/>
      <c r="AG3048" s="3421"/>
      <c r="AH3048" s="156"/>
      <c r="AI3048" s="156"/>
      <c r="AJ3048" s="156"/>
      <c r="AK3048" s="156"/>
      <c r="AL3048" s="156"/>
      <c r="AM3048" s="156"/>
      <c r="AN3048" s="156"/>
      <c r="AO3048" s="156"/>
      <c r="AP3048" s="156"/>
      <c r="AQ3048" s="156"/>
      <c r="AR3048" s="156"/>
      <c r="AS3048" s="156"/>
      <c r="AT3048" s="156"/>
      <c r="AU3048" s="156"/>
      <c r="AV3048" s="156"/>
      <c r="AW3048" s="156"/>
      <c r="AX3048" s="156"/>
      <c r="AY3048" s="156"/>
      <c r="AZ3048" s="156"/>
      <c r="BA3048" s="156"/>
      <c r="BB3048" s="2828"/>
      <c r="BC3048" s="452"/>
      <c r="BD3048" s="2829"/>
      <c r="BE3048" s="2837"/>
      <c r="BF3048" s="156"/>
    </row>
    <row r="3049" spans="1:58" ht="15" customHeight="1" outlineLevel="1" x14ac:dyDescent="0.35">
      <c r="A3049" s="1664"/>
      <c r="B3049" s="2812"/>
      <c r="C3049" s="3077"/>
      <c r="D3049" s="3980"/>
      <c r="E3049" s="3883"/>
      <c r="F3049" s="3984" t="str">
        <f>$E$1822</f>
        <v>ASHP-SEER19-Replace_CAC_NonElectricHeat_ER2_SF</v>
      </c>
      <c r="G3049" s="3984"/>
      <c r="H3049" s="3984"/>
      <c r="I3049" s="3984"/>
      <c r="J3049" s="3501" t="str">
        <f>$C$1822</f>
        <v>354410_2021_12_</v>
      </c>
      <c r="K3049" s="3425">
        <v>869</v>
      </c>
      <c r="L3049" s="704"/>
      <c r="M3049" s="3020" t="s">
        <v>977</v>
      </c>
      <c r="N3049" s="106"/>
      <c r="O3049" s="106"/>
      <c r="P3049" s="702"/>
      <c r="Q3049" s="574"/>
      <c r="R3049" s="702"/>
      <c r="S3049" s="106"/>
      <c r="T3049" s="486"/>
      <c r="U3049" s="106"/>
      <c r="V3049" s="3980"/>
      <c r="W3049" s="3421"/>
      <c r="X3049" s="3421"/>
      <c r="Y3049" s="3425"/>
      <c r="Z3049" s="3425"/>
      <c r="AA3049" s="3425"/>
      <c r="AB3049" s="3425"/>
      <c r="AC3049" s="2922">
        <v>869</v>
      </c>
      <c r="AD3049" s="3421">
        <v>869</v>
      </c>
      <c r="AE3049" s="3429"/>
      <c r="AF3049" s="3421"/>
      <c r="AG3049" s="3421"/>
      <c r="AH3049" s="156"/>
      <c r="AI3049" s="156"/>
      <c r="AJ3049" s="156"/>
      <c r="AK3049" s="156"/>
      <c r="AL3049" s="156"/>
      <c r="AM3049" s="156"/>
      <c r="AN3049" s="156"/>
      <c r="AO3049" s="156"/>
      <c r="AP3049" s="156"/>
      <c r="AQ3049" s="156"/>
      <c r="AR3049" s="156"/>
      <c r="AS3049" s="156"/>
      <c r="AT3049" s="156"/>
      <c r="AU3049" s="156"/>
      <c r="AV3049" s="156"/>
      <c r="AW3049" s="156"/>
      <c r="AX3049" s="156"/>
      <c r="AY3049" s="156"/>
      <c r="AZ3049" s="156"/>
      <c r="BA3049" s="156"/>
      <c r="BB3049" s="2828"/>
      <c r="BC3049" s="452"/>
      <c r="BD3049" s="2829"/>
      <c r="BE3049" s="2837"/>
      <c r="BF3049" s="156"/>
    </row>
    <row r="3050" spans="1:58" ht="15" customHeight="1" outlineLevel="1" x14ac:dyDescent="0.35">
      <c r="A3050" s="1664"/>
      <c r="B3050" s="2812"/>
      <c r="C3050" s="3077"/>
      <c r="D3050" s="3980"/>
      <c r="E3050" s="3883"/>
      <c r="F3050" s="3984" t="str">
        <f>$E$1824</f>
        <v>ASHP-SEER19-Replace_CAC_ElectricHeat_ER1_MF</v>
      </c>
      <c r="G3050" s="3984"/>
      <c r="H3050" s="3984"/>
      <c r="I3050" s="3984"/>
      <c r="J3050" s="3501" t="str">
        <f>$C$1824</f>
        <v>354450_2019_12_</v>
      </c>
      <c r="K3050" s="3425">
        <v>869</v>
      </c>
      <c r="L3050" s="704"/>
      <c r="M3050" s="3020" t="s">
        <v>977</v>
      </c>
      <c r="N3050" s="106"/>
      <c r="O3050" s="106"/>
      <c r="P3050" s="702"/>
      <c r="Q3050" s="574"/>
      <c r="R3050" s="702"/>
      <c r="S3050" s="106"/>
      <c r="T3050" s="486"/>
      <c r="U3050" s="106"/>
      <c r="V3050" s="3980"/>
      <c r="W3050" s="3421">
        <v>869</v>
      </c>
      <c r="X3050" s="3421">
        <v>869</v>
      </c>
      <c r="Y3050" s="3425">
        <v>869</v>
      </c>
      <c r="Z3050" s="3425">
        <v>869</v>
      </c>
      <c r="AA3050" s="3425">
        <v>869</v>
      </c>
      <c r="AB3050" s="3425">
        <v>869</v>
      </c>
      <c r="AC3050" s="2132">
        <v>869</v>
      </c>
      <c r="AD3050" s="3421">
        <v>869</v>
      </c>
      <c r="AE3050" s="3429"/>
      <c r="AF3050" s="3421"/>
      <c r="AG3050" s="3421"/>
      <c r="AH3050" s="156"/>
      <c r="AI3050" s="156"/>
      <c r="AJ3050" s="156"/>
      <c r="AK3050" s="156"/>
      <c r="AL3050" s="156"/>
      <c r="AM3050" s="156"/>
      <c r="AN3050" s="156"/>
      <c r="AO3050" s="156"/>
      <c r="AP3050" s="156"/>
      <c r="AQ3050" s="156"/>
      <c r="AR3050" s="156"/>
      <c r="AS3050" s="156"/>
      <c r="AT3050" s="156"/>
      <c r="AU3050" s="156"/>
      <c r="AV3050" s="156"/>
      <c r="AW3050" s="156"/>
      <c r="AX3050" s="156"/>
      <c r="AY3050" s="156"/>
      <c r="AZ3050" s="156"/>
      <c r="BA3050" s="156"/>
      <c r="BB3050" s="2828"/>
      <c r="BC3050" s="452"/>
      <c r="BD3050" s="2829"/>
      <c r="BE3050" s="2837"/>
      <c r="BF3050" s="156"/>
    </row>
    <row r="3051" spans="1:58" ht="15" customHeight="1" outlineLevel="1" x14ac:dyDescent="0.35">
      <c r="A3051" s="1664"/>
      <c r="B3051" s="2812"/>
      <c r="C3051" s="3077"/>
      <c r="D3051" s="3980"/>
      <c r="E3051" s="3883"/>
      <c r="F3051" s="3984" t="str">
        <f>$E$1826</f>
        <v>ASHP-SEER19-Replace_CAC_ElectricHeat_ER2_MF</v>
      </c>
      <c r="G3051" s="3984"/>
      <c r="H3051" s="3984"/>
      <c r="I3051" s="3984"/>
      <c r="J3051" s="3501" t="str">
        <f>$C$1826</f>
        <v>354450_2019_12_</v>
      </c>
      <c r="K3051" s="3425">
        <v>869</v>
      </c>
      <c r="L3051" s="704"/>
      <c r="M3051" s="3020" t="s">
        <v>977</v>
      </c>
      <c r="N3051" s="106"/>
      <c r="O3051" s="106"/>
      <c r="P3051" s="702"/>
      <c r="Q3051" s="574"/>
      <c r="R3051" s="702"/>
      <c r="S3051" s="106"/>
      <c r="T3051" s="486"/>
      <c r="U3051" s="106"/>
      <c r="V3051" s="3980"/>
      <c r="W3051" s="3421">
        <v>869</v>
      </c>
      <c r="X3051" s="3421">
        <v>869</v>
      </c>
      <c r="Y3051" s="3425">
        <v>869</v>
      </c>
      <c r="Z3051" s="3425">
        <v>869</v>
      </c>
      <c r="AA3051" s="3425">
        <v>869</v>
      </c>
      <c r="AB3051" s="3425">
        <v>869</v>
      </c>
      <c r="AC3051" s="2132">
        <v>869</v>
      </c>
      <c r="AD3051" s="3421">
        <v>869</v>
      </c>
      <c r="AE3051" s="3429"/>
      <c r="AF3051" s="3421"/>
      <c r="AG3051" s="3421"/>
      <c r="AH3051" s="156"/>
      <c r="AI3051" s="156"/>
      <c r="AJ3051" s="156"/>
      <c r="AK3051" s="156"/>
      <c r="AL3051" s="156"/>
      <c r="AM3051" s="156"/>
      <c r="AN3051" s="156"/>
      <c r="AO3051" s="156"/>
      <c r="AP3051" s="156"/>
      <c r="AQ3051" s="156"/>
      <c r="AR3051" s="156"/>
      <c r="AS3051" s="156"/>
      <c r="AT3051" s="156"/>
      <c r="AU3051" s="156"/>
      <c r="AV3051" s="156"/>
      <c r="AW3051" s="156"/>
      <c r="AX3051" s="156"/>
      <c r="AY3051" s="156"/>
      <c r="AZ3051" s="156"/>
      <c r="BA3051" s="156"/>
      <c r="BB3051" s="2828"/>
      <c r="BC3051" s="452"/>
      <c r="BD3051" s="2829"/>
      <c r="BE3051" s="2837"/>
      <c r="BF3051" s="156"/>
    </row>
    <row r="3052" spans="1:58" ht="15" customHeight="1" outlineLevel="1" x14ac:dyDescent="0.35">
      <c r="A3052" s="1664"/>
      <c r="B3052" s="2812"/>
      <c r="C3052" s="3077"/>
      <c r="D3052" s="3980"/>
      <c r="E3052" s="3883"/>
      <c r="F3052" s="3984" t="str">
        <f>$E$1828</f>
        <v>ASHP-SEER19-Replace_CAC_ElectricHeat_ER1_MF_CompE</v>
      </c>
      <c r="G3052" s="3984"/>
      <c r="H3052" s="3984"/>
      <c r="I3052" s="3984"/>
      <c r="J3052" s="3501" t="str">
        <f>$C$1828</f>
        <v>354451_2019_12_</v>
      </c>
      <c r="K3052" s="3425">
        <f>$K$2925</f>
        <v>632</v>
      </c>
      <c r="L3052" s="704"/>
      <c r="M3052" s="3044" t="s">
        <v>513</v>
      </c>
      <c r="N3052" s="106"/>
      <c r="O3052" s="106"/>
      <c r="P3052" s="702"/>
      <c r="Q3052" s="574"/>
      <c r="R3052" s="702"/>
      <c r="S3052" s="106"/>
      <c r="T3052" s="486"/>
      <c r="U3052" s="106"/>
      <c r="V3052" s="3980"/>
      <c r="W3052" s="3421"/>
      <c r="X3052" s="3421"/>
      <c r="Y3052" s="2377">
        <f>$K$2925</f>
        <v>632</v>
      </c>
      <c r="Z3052" s="3425">
        <f t="shared" ref="Z3052:AA3053" si="389">$K$2925</f>
        <v>632</v>
      </c>
      <c r="AA3052" s="3425">
        <f t="shared" si="389"/>
        <v>632</v>
      </c>
      <c r="AB3052" s="3425">
        <v>632</v>
      </c>
      <c r="AC3052" s="2132">
        <f>$K$2925</f>
        <v>632</v>
      </c>
      <c r="AD3052" s="3421">
        <v>632</v>
      </c>
      <c r="AE3052" s="3429"/>
      <c r="AF3052" s="3421"/>
      <c r="AG3052" s="3421"/>
      <c r="AH3052" s="156"/>
      <c r="AI3052" s="156"/>
      <c r="AJ3052" s="156"/>
      <c r="AK3052" s="156"/>
      <c r="AL3052" s="156"/>
      <c r="AM3052" s="156"/>
      <c r="AN3052" s="156"/>
      <c r="AO3052" s="156"/>
      <c r="AP3052" s="156"/>
      <c r="AQ3052" s="156"/>
      <c r="AR3052" s="156"/>
      <c r="AS3052" s="156"/>
      <c r="AT3052" s="156"/>
      <c r="AU3052" s="156"/>
      <c r="AV3052" s="156"/>
      <c r="AW3052" s="156"/>
      <c r="AX3052" s="156"/>
      <c r="AY3052" s="156"/>
      <c r="AZ3052" s="156"/>
      <c r="BA3052" s="156"/>
      <c r="BB3052" s="2828"/>
      <c r="BC3052" s="452"/>
      <c r="BD3052" s="2829"/>
      <c r="BE3052" s="2837"/>
      <c r="BF3052" s="156"/>
    </row>
    <row r="3053" spans="1:58" ht="15" customHeight="1" outlineLevel="1" x14ac:dyDescent="0.35">
      <c r="A3053" s="1664"/>
      <c r="B3053" s="2812"/>
      <c r="C3053" s="3077"/>
      <c r="D3053" s="3980"/>
      <c r="E3053" s="3883"/>
      <c r="F3053" s="3984" t="str">
        <f>$E$1830</f>
        <v>ASHP-SEER19-Replace_CAC_ElectricHeat_ER2_MF_CompE</v>
      </c>
      <c r="G3053" s="3984"/>
      <c r="H3053" s="3984"/>
      <c r="I3053" s="3984"/>
      <c r="J3053" s="3501" t="str">
        <f>$C$1830</f>
        <v>354451_2019_12_</v>
      </c>
      <c r="K3053" s="3425">
        <f>$K$2925</f>
        <v>632</v>
      </c>
      <c r="L3053" s="704"/>
      <c r="M3053" s="3044" t="s">
        <v>513</v>
      </c>
      <c r="N3053" s="106"/>
      <c r="O3053" s="106"/>
      <c r="P3053" s="702"/>
      <c r="Q3053" s="574"/>
      <c r="R3053" s="702"/>
      <c r="S3053" s="106"/>
      <c r="T3053" s="486"/>
      <c r="U3053" s="106"/>
      <c r="V3053" s="3980"/>
      <c r="W3053" s="3421"/>
      <c r="X3053" s="3421"/>
      <c r="Y3053" s="2377">
        <f>$K$2925</f>
        <v>632</v>
      </c>
      <c r="Z3053" s="3425">
        <f t="shared" si="389"/>
        <v>632</v>
      </c>
      <c r="AA3053" s="3425">
        <f t="shared" si="389"/>
        <v>632</v>
      </c>
      <c r="AB3053" s="3425">
        <v>632</v>
      </c>
      <c r="AC3053" s="2132">
        <f>$K$2925</f>
        <v>632</v>
      </c>
      <c r="AD3053" s="3421">
        <v>632</v>
      </c>
      <c r="AE3053" s="3429"/>
      <c r="AF3053" s="3421"/>
      <c r="AG3053" s="3421"/>
      <c r="AH3053" s="156"/>
      <c r="AI3053" s="156"/>
      <c r="AJ3053" s="156"/>
      <c r="AK3053" s="156"/>
      <c r="AL3053" s="156"/>
      <c r="AM3053" s="156"/>
      <c r="AN3053" s="156"/>
      <c r="AO3053" s="156"/>
      <c r="AP3053" s="156"/>
      <c r="AQ3053" s="156"/>
      <c r="AR3053" s="156"/>
      <c r="AS3053" s="156"/>
      <c r="AT3053" s="156"/>
      <c r="AU3053" s="156"/>
      <c r="AV3053" s="156"/>
      <c r="AW3053" s="156"/>
      <c r="AX3053" s="156"/>
      <c r="AY3053" s="156"/>
      <c r="AZ3053" s="156"/>
      <c r="BA3053" s="156"/>
      <c r="BB3053" s="2828"/>
      <c r="BC3053" s="452"/>
      <c r="BD3053" s="2829"/>
      <c r="BE3053" s="2837"/>
      <c r="BF3053" s="156"/>
    </row>
    <row r="3054" spans="1:58" ht="15" customHeight="1" outlineLevel="1" x14ac:dyDescent="0.35">
      <c r="A3054" s="1664"/>
      <c r="B3054" s="2812"/>
      <c r="C3054" s="3077"/>
      <c r="D3054" s="3980"/>
      <c r="E3054" s="3883"/>
      <c r="F3054" s="3984" t="str">
        <f>$E$1832</f>
        <v>ASHP-SEER19-Replace_CAC_NonElectricHeat_ER1_MF</v>
      </c>
      <c r="G3054" s="3984"/>
      <c r="H3054" s="3984"/>
      <c r="I3054" s="3984"/>
      <c r="J3054" s="3501" t="str">
        <f>$C$1832</f>
        <v>354460_2021_12_</v>
      </c>
      <c r="K3054" s="3425">
        <v>869</v>
      </c>
      <c r="L3054" s="704"/>
      <c r="M3054" s="3020" t="s">
        <v>977</v>
      </c>
      <c r="N3054" s="106"/>
      <c r="O3054" s="106"/>
      <c r="P3054" s="702"/>
      <c r="Q3054" s="574"/>
      <c r="R3054" s="702"/>
      <c r="S3054" s="106"/>
      <c r="T3054" s="486"/>
      <c r="U3054" s="106"/>
      <c r="V3054" s="3980"/>
      <c r="W3054" s="3421"/>
      <c r="X3054" s="3421"/>
      <c r="Y3054" s="2377"/>
      <c r="Z3054" s="3425"/>
      <c r="AA3054" s="3425"/>
      <c r="AB3054" s="3425"/>
      <c r="AC3054" s="2922">
        <v>869</v>
      </c>
      <c r="AD3054" s="3421">
        <v>869</v>
      </c>
      <c r="AE3054" s="3429"/>
      <c r="AF3054" s="3421"/>
      <c r="AG3054" s="3421"/>
      <c r="AH3054" s="156"/>
      <c r="AI3054" s="156"/>
      <c r="AJ3054" s="156"/>
      <c r="AK3054" s="156"/>
      <c r="AL3054" s="156"/>
      <c r="AM3054" s="156"/>
      <c r="AN3054" s="156"/>
      <c r="AO3054" s="156"/>
      <c r="AP3054" s="156"/>
      <c r="AQ3054" s="156"/>
      <c r="AR3054" s="156"/>
      <c r="AS3054" s="156"/>
      <c r="AT3054" s="156"/>
      <c r="AU3054" s="156"/>
      <c r="AV3054" s="156"/>
      <c r="AW3054" s="156"/>
      <c r="AX3054" s="156"/>
      <c r="AY3054" s="156"/>
      <c r="AZ3054" s="156"/>
      <c r="BA3054" s="156"/>
      <c r="BB3054" s="2828"/>
      <c r="BC3054" s="452"/>
      <c r="BD3054" s="2829"/>
      <c r="BE3054" s="2837"/>
      <c r="BF3054" s="156"/>
    </row>
    <row r="3055" spans="1:58" ht="15" customHeight="1" outlineLevel="1" x14ac:dyDescent="0.35">
      <c r="A3055" s="1664"/>
      <c r="B3055" s="2812"/>
      <c r="C3055" s="3077"/>
      <c r="D3055" s="3980"/>
      <c r="E3055" s="3883"/>
      <c r="F3055" s="3984" t="str">
        <f>$E$1834</f>
        <v>ASHP-SEER19-Replace_CAC_NonElectricHeat_ER2_MF</v>
      </c>
      <c r="G3055" s="3984"/>
      <c r="H3055" s="3984"/>
      <c r="I3055" s="3984"/>
      <c r="J3055" s="3501" t="str">
        <f>$C$1834</f>
        <v>354460_2021_12_</v>
      </c>
      <c r="K3055" s="3425">
        <v>869</v>
      </c>
      <c r="L3055" s="704"/>
      <c r="M3055" s="3020" t="s">
        <v>977</v>
      </c>
      <c r="N3055" s="106"/>
      <c r="O3055" s="106"/>
      <c r="P3055" s="702"/>
      <c r="Q3055" s="574"/>
      <c r="R3055" s="702"/>
      <c r="S3055" s="106"/>
      <c r="T3055" s="486"/>
      <c r="U3055" s="106"/>
      <c r="V3055" s="3980"/>
      <c r="W3055" s="3421"/>
      <c r="X3055" s="3421"/>
      <c r="Y3055" s="2377"/>
      <c r="Z3055" s="3425"/>
      <c r="AA3055" s="3425"/>
      <c r="AB3055" s="3425"/>
      <c r="AC3055" s="2922">
        <v>869</v>
      </c>
      <c r="AD3055" s="3421">
        <v>869</v>
      </c>
      <c r="AE3055" s="3429"/>
      <c r="AF3055" s="3421"/>
      <c r="AG3055" s="3421"/>
      <c r="AH3055" s="156"/>
      <c r="AI3055" s="156"/>
      <c r="AJ3055" s="156"/>
      <c r="AK3055" s="156"/>
      <c r="AL3055" s="156"/>
      <c r="AM3055" s="156"/>
      <c r="AN3055" s="156"/>
      <c r="AO3055" s="156"/>
      <c r="AP3055" s="156"/>
      <c r="AQ3055" s="156"/>
      <c r="AR3055" s="156"/>
      <c r="AS3055" s="156"/>
      <c r="AT3055" s="156"/>
      <c r="AU3055" s="156"/>
      <c r="AV3055" s="156"/>
      <c r="AW3055" s="156"/>
      <c r="AX3055" s="156"/>
      <c r="AY3055" s="156"/>
      <c r="AZ3055" s="156"/>
      <c r="BA3055" s="156"/>
      <c r="BB3055" s="2828"/>
      <c r="BC3055" s="452"/>
      <c r="BD3055" s="2829"/>
      <c r="BE3055" s="2837"/>
      <c r="BF3055" s="156"/>
    </row>
    <row r="3056" spans="1:58" ht="15" customHeight="1" outlineLevel="1" x14ac:dyDescent="0.35">
      <c r="A3056" s="1664"/>
      <c r="B3056" s="2812"/>
      <c r="C3056" s="3077"/>
      <c r="D3056" s="3980"/>
      <c r="E3056" s="3883"/>
      <c r="F3056" s="3984" t="str">
        <f>$E$1836</f>
        <v>ASHP-SEER19-Replace_CAC_NonElectricHeat_ER1_MF_CompE</v>
      </c>
      <c r="G3056" s="3984"/>
      <c r="H3056" s="3984"/>
      <c r="I3056" s="3984"/>
      <c r="J3056" s="3501" t="str">
        <f>$C$1836</f>
        <v>354461_2021_12_</v>
      </c>
      <c r="K3056" s="3425">
        <f>$K$2925</f>
        <v>632</v>
      </c>
      <c r="L3056" s="704"/>
      <c r="M3056" s="3044" t="s">
        <v>513</v>
      </c>
      <c r="N3056" s="106"/>
      <c r="O3056" s="106"/>
      <c r="P3056" s="702"/>
      <c r="Q3056" s="574"/>
      <c r="R3056" s="702"/>
      <c r="S3056" s="106"/>
      <c r="T3056" s="486"/>
      <c r="U3056" s="106"/>
      <c r="V3056" s="3980"/>
      <c r="W3056" s="3421"/>
      <c r="X3056" s="3421"/>
      <c r="Y3056" s="2377"/>
      <c r="Z3056" s="3425"/>
      <c r="AA3056" s="3425"/>
      <c r="AB3056" s="3425"/>
      <c r="AC3056" s="2922">
        <f>$K$2925</f>
        <v>632</v>
      </c>
      <c r="AD3056" s="3421">
        <v>632</v>
      </c>
      <c r="AE3056" s="3429"/>
      <c r="AF3056" s="3421"/>
      <c r="AG3056" s="3421"/>
      <c r="AH3056" s="156"/>
      <c r="AI3056" s="156"/>
      <c r="AJ3056" s="156"/>
      <c r="AK3056" s="156"/>
      <c r="AL3056" s="156"/>
      <c r="AM3056" s="156"/>
      <c r="AN3056" s="156"/>
      <c r="AO3056" s="156"/>
      <c r="AP3056" s="156"/>
      <c r="AQ3056" s="156"/>
      <c r="AR3056" s="156"/>
      <c r="AS3056" s="156"/>
      <c r="AT3056" s="156"/>
      <c r="AU3056" s="156"/>
      <c r="AV3056" s="156"/>
      <c r="AW3056" s="156"/>
      <c r="AX3056" s="156"/>
      <c r="AY3056" s="156"/>
      <c r="AZ3056" s="156"/>
      <c r="BA3056" s="156"/>
      <c r="BB3056" s="2828"/>
      <c r="BC3056" s="452"/>
      <c r="BD3056" s="2829"/>
      <c r="BE3056" s="2837"/>
      <c r="BF3056" s="156"/>
    </row>
    <row r="3057" spans="1:58" ht="15" customHeight="1" outlineLevel="1" x14ac:dyDescent="0.35">
      <c r="A3057" s="1664"/>
      <c r="B3057" s="2812"/>
      <c r="C3057" s="3077"/>
      <c r="D3057" s="3980"/>
      <c r="E3057" s="3883"/>
      <c r="F3057" s="3984" t="str">
        <f>$E$1838</f>
        <v>ASHP-SEER19-Replace_CAC_NonElectricHeat_ER2_MF_CompE</v>
      </c>
      <c r="G3057" s="3984"/>
      <c r="H3057" s="3984"/>
      <c r="I3057" s="3984"/>
      <c r="J3057" s="3501" t="str">
        <f>$C$1838</f>
        <v>354461_2021_12_</v>
      </c>
      <c r="K3057" s="3425">
        <f>$K$2925</f>
        <v>632</v>
      </c>
      <c r="L3057" s="704"/>
      <c r="M3057" s="3044" t="s">
        <v>513</v>
      </c>
      <c r="N3057" s="106"/>
      <c r="O3057" s="106"/>
      <c r="P3057" s="702"/>
      <c r="Q3057" s="574"/>
      <c r="R3057" s="702"/>
      <c r="S3057" s="106"/>
      <c r="T3057" s="486"/>
      <c r="U3057" s="106"/>
      <c r="V3057" s="3980"/>
      <c r="W3057" s="3421"/>
      <c r="X3057" s="3421"/>
      <c r="Y3057" s="2377"/>
      <c r="Z3057" s="3425"/>
      <c r="AA3057" s="3425"/>
      <c r="AB3057" s="3425"/>
      <c r="AC3057" s="2922">
        <f>$K$2925</f>
        <v>632</v>
      </c>
      <c r="AD3057" s="3421">
        <v>632</v>
      </c>
      <c r="AE3057" s="3429"/>
      <c r="AF3057" s="3421"/>
      <c r="AG3057" s="3421"/>
      <c r="AH3057" s="156"/>
      <c r="AI3057" s="156"/>
      <c r="AJ3057" s="156"/>
      <c r="AK3057" s="156"/>
      <c r="AL3057" s="156"/>
      <c r="AM3057" s="156"/>
      <c r="AN3057" s="156"/>
      <c r="AO3057" s="156"/>
      <c r="AP3057" s="156"/>
      <c r="AQ3057" s="156"/>
      <c r="AR3057" s="156"/>
      <c r="AS3057" s="156"/>
      <c r="AT3057" s="156"/>
      <c r="AU3057" s="156"/>
      <c r="AV3057" s="156"/>
      <c r="AW3057" s="156"/>
      <c r="AX3057" s="156"/>
      <c r="AY3057" s="156"/>
      <c r="AZ3057" s="156"/>
      <c r="BA3057" s="156"/>
      <c r="BB3057" s="2828"/>
      <c r="BC3057" s="452"/>
      <c r="BD3057" s="2829"/>
      <c r="BE3057" s="2837"/>
      <c r="BF3057" s="156"/>
    </row>
    <row r="3058" spans="1:58" ht="15" customHeight="1" outlineLevel="1" x14ac:dyDescent="0.35">
      <c r="A3058" s="1664"/>
      <c r="B3058" s="2812"/>
      <c r="C3058" s="3077"/>
      <c r="D3058" s="3980"/>
      <c r="E3058" s="3883"/>
      <c r="F3058" s="3984" t="str">
        <f>$E$1840</f>
        <v>ASHP-SEER19_ER1_MF</v>
      </c>
      <c r="G3058" s="3984"/>
      <c r="H3058" s="3984"/>
      <c r="I3058" s="3984"/>
      <c r="J3058" s="3501" t="str">
        <f>$C$1840</f>
        <v>354500_2019_12_</v>
      </c>
      <c r="K3058" s="3425">
        <v>869</v>
      </c>
      <c r="L3058" s="704"/>
      <c r="M3058" s="3020" t="s">
        <v>977</v>
      </c>
      <c r="N3058" s="106"/>
      <c r="O3058" s="106"/>
      <c r="P3058" s="702"/>
      <c r="Q3058" s="574"/>
      <c r="R3058" s="702"/>
      <c r="S3058" s="106"/>
      <c r="T3058" s="486"/>
      <c r="U3058" s="106"/>
      <c r="V3058" s="3980"/>
      <c r="W3058" s="3421">
        <v>869</v>
      </c>
      <c r="X3058" s="3421">
        <v>869</v>
      </c>
      <c r="Y3058" s="3425">
        <v>869</v>
      </c>
      <c r="Z3058" s="3425">
        <v>869</v>
      </c>
      <c r="AA3058" s="3425">
        <v>869</v>
      </c>
      <c r="AB3058" s="3425">
        <v>869</v>
      </c>
      <c r="AC3058" s="2132">
        <v>869</v>
      </c>
      <c r="AD3058" s="3421">
        <v>869</v>
      </c>
      <c r="AE3058" s="3429"/>
      <c r="AF3058" s="3421"/>
      <c r="AG3058" s="3421"/>
      <c r="AH3058" s="156"/>
      <c r="AI3058" s="156"/>
      <c r="AJ3058" s="156"/>
      <c r="AK3058" s="156"/>
      <c r="AL3058" s="156"/>
      <c r="AM3058" s="156"/>
      <c r="AN3058" s="156"/>
      <c r="AO3058" s="156"/>
      <c r="AP3058" s="156"/>
      <c r="AQ3058" s="156"/>
      <c r="AR3058" s="156"/>
      <c r="AS3058" s="156"/>
      <c r="AT3058" s="156"/>
      <c r="AU3058" s="156"/>
      <c r="AV3058" s="156"/>
      <c r="AW3058" s="156"/>
      <c r="AX3058" s="156"/>
      <c r="AY3058" s="156"/>
      <c r="AZ3058" s="156"/>
      <c r="BA3058" s="156"/>
      <c r="BB3058" s="2828"/>
      <c r="BC3058" s="452"/>
      <c r="BD3058" s="2829"/>
      <c r="BE3058" s="2837"/>
      <c r="BF3058" s="156"/>
    </row>
    <row r="3059" spans="1:58" ht="15" customHeight="1" outlineLevel="1" x14ac:dyDescent="0.35">
      <c r="A3059" s="1664"/>
      <c r="B3059" s="2812"/>
      <c r="C3059" s="3077"/>
      <c r="D3059" s="3980"/>
      <c r="E3059" s="3883"/>
      <c r="F3059" s="3984" t="str">
        <f>$E$1842</f>
        <v>ASHP-SEER19_ER2_MF</v>
      </c>
      <c r="G3059" s="3984"/>
      <c r="H3059" s="3984"/>
      <c r="I3059" s="3984"/>
      <c r="J3059" s="3501" t="str">
        <f>$C$1842</f>
        <v>354500_2019_12_</v>
      </c>
      <c r="K3059" s="3425">
        <v>869</v>
      </c>
      <c r="L3059" s="704"/>
      <c r="M3059" s="3020" t="s">
        <v>977</v>
      </c>
      <c r="N3059" s="106"/>
      <c r="O3059" s="106"/>
      <c r="P3059" s="702"/>
      <c r="Q3059" s="574"/>
      <c r="R3059" s="702"/>
      <c r="S3059" s="106"/>
      <c r="T3059" s="486"/>
      <c r="U3059" s="106"/>
      <c r="V3059" s="3980"/>
      <c r="W3059" s="3421">
        <v>869</v>
      </c>
      <c r="X3059" s="3421">
        <v>869</v>
      </c>
      <c r="Y3059" s="3425">
        <v>869</v>
      </c>
      <c r="Z3059" s="3425">
        <v>869</v>
      </c>
      <c r="AA3059" s="3425">
        <v>869</v>
      </c>
      <c r="AB3059" s="3425">
        <v>869</v>
      </c>
      <c r="AC3059" s="2132">
        <v>869</v>
      </c>
      <c r="AD3059" s="3421">
        <v>869</v>
      </c>
      <c r="AE3059" s="3429"/>
      <c r="AF3059" s="3421"/>
      <c r="AG3059" s="3421"/>
      <c r="AH3059" s="156"/>
      <c r="AI3059" s="156"/>
      <c r="AJ3059" s="156"/>
      <c r="AK3059" s="156"/>
      <c r="AL3059" s="156"/>
      <c r="AM3059" s="156"/>
      <c r="AN3059" s="156"/>
      <c r="AO3059" s="156"/>
      <c r="AP3059" s="156"/>
      <c r="AQ3059" s="156"/>
      <c r="AR3059" s="156"/>
      <c r="AS3059" s="156"/>
      <c r="AT3059" s="156"/>
      <c r="AU3059" s="156"/>
      <c r="AV3059" s="156"/>
      <c r="AW3059" s="156"/>
      <c r="AX3059" s="156"/>
      <c r="AY3059" s="156"/>
      <c r="AZ3059" s="156"/>
      <c r="BA3059" s="156"/>
      <c r="BB3059" s="2828"/>
      <c r="BC3059" s="452"/>
      <c r="BD3059" s="2829"/>
      <c r="BE3059" s="2837"/>
      <c r="BF3059" s="156"/>
    </row>
    <row r="3060" spans="1:58" ht="15" customHeight="1" outlineLevel="1" x14ac:dyDescent="0.35">
      <c r="A3060" s="1664"/>
      <c r="B3060" s="2812"/>
      <c r="C3060" s="3077"/>
      <c r="D3060" s="3980"/>
      <c r="E3060" s="3883"/>
      <c r="F3060" s="3984" t="str">
        <f>$E$1844</f>
        <v>ASHP-SEER19_ER1_MF_CompE</v>
      </c>
      <c r="G3060" s="3984"/>
      <c r="H3060" s="3984"/>
      <c r="I3060" s="3984"/>
      <c r="J3060" s="3501" t="str">
        <f>$C$1844</f>
        <v>354501_2019_12_</v>
      </c>
      <c r="K3060" s="3425">
        <f>$K$2925</f>
        <v>632</v>
      </c>
      <c r="L3060" s="704"/>
      <c r="M3060" s="3044" t="s">
        <v>513</v>
      </c>
      <c r="N3060" s="106"/>
      <c r="O3060" s="106"/>
      <c r="P3060" s="702"/>
      <c r="Q3060" s="574"/>
      <c r="R3060" s="702"/>
      <c r="S3060" s="106"/>
      <c r="T3060" s="486"/>
      <c r="U3060" s="106"/>
      <c r="V3060" s="3980"/>
      <c r="W3060" s="3421"/>
      <c r="X3060" s="3421"/>
      <c r="Y3060" s="2377">
        <f>$K$2925</f>
        <v>632</v>
      </c>
      <c r="Z3060" s="3425">
        <f t="shared" ref="Z3060:AA3061" si="390">$K$2925</f>
        <v>632</v>
      </c>
      <c r="AA3060" s="3425">
        <f t="shared" si="390"/>
        <v>632</v>
      </c>
      <c r="AB3060" s="3425">
        <v>632</v>
      </c>
      <c r="AC3060" s="2132">
        <f>$K$2925</f>
        <v>632</v>
      </c>
      <c r="AD3060" s="3421">
        <v>632</v>
      </c>
      <c r="AE3060" s="3429"/>
      <c r="AF3060" s="3421"/>
      <c r="AG3060" s="3421"/>
      <c r="AH3060" s="156"/>
      <c r="AI3060" s="156"/>
      <c r="AJ3060" s="156"/>
      <c r="AK3060" s="156"/>
      <c r="AL3060" s="156"/>
      <c r="AM3060" s="156"/>
      <c r="AN3060" s="156"/>
      <c r="AO3060" s="156"/>
      <c r="AP3060" s="156"/>
      <c r="AQ3060" s="156"/>
      <c r="AR3060" s="156"/>
      <c r="AS3060" s="156"/>
      <c r="AT3060" s="156"/>
      <c r="AU3060" s="156"/>
      <c r="AV3060" s="156"/>
      <c r="AW3060" s="156"/>
      <c r="AX3060" s="156"/>
      <c r="AY3060" s="156"/>
      <c r="AZ3060" s="156"/>
      <c r="BA3060" s="156"/>
      <c r="BB3060" s="2828"/>
      <c r="BC3060" s="452"/>
      <c r="BD3060" s="2829"/>
      <c r="BE3060" s="2837"/>
      <c r="BF3060" s="156"/>
    </row>
    <row r="3061" spans="1:58" ht="15" customHeight="1" outlineLevel="1" x14ac:dyDescent="0.35">
      <c r="A3061" s="1664"/>
      <c r="B3061" s="2812"/>
      <c r="C3061" s="3077"/>
      <c r="D3061" s="3980"/>
      <c r="E3061" s="3883"/>
      <c r="F3061" s="3984" t="str">
        <f>$E$1846</f>
        <v>ASHP-SEER19_ER2_MF_CompE</v>
      </c>
      <c r="G3061" s="3984"/>
      <c r="H3061" s="3984"/>
      <c r="I3061" s="3984"/>
      <c r="J3061" s="3501" t="str">
        <f>$C$1846</f>
        <v>354501_2019_12_</v>
      </c>
      <c r="K3061" s="3425">
        <f>$K$2925</f>
        <v>632</v>
      </c>
      <c r="L3061" s="704"/>
      <c r="M3061" s="3044" t="s">
        <v>513</v>
      </c>
      <c r="N3061" s="106"/>
      <c r="O3061" s="106"/>
      <c r="P3061" s="702"/>
      <c r="Q3061" s="574"/>
      <c r="R3061" s="702"/>
      <c r="S3061" s="106"/>
      <c r="T3061" s="486"/>
      <c r="U3061" s="106"/>
      <c r="V3061" s="3980"/>
      <c r="W3061" s="3421"/>
      <c r="X3061" s="3421"/>
      <c r="Y3061" s="2377">
        <f>$K$2925</f>
        <v>632</v>
      </c>
      <c r="Z3061" s="3425">
        <f t="shared" si="390"/>
        <v>632</v>
      </c>
      <c r="AA3061" s="3425">
        <f t="shared" si="390"/>
        <v>632</v>
      </c>
      <c r="AB3061" s="3425">
        <v>632</v>
      </c>
      <c r="AC3061" s="2132">
        <f>$K$2925</f>
        <v>632</v>
      </c>
      <c r="AD3061" s="3421">
        <v>632</v>
      </c>
      <c r="AE3061" s="3429"/>
      <c r="AF3061" s="3421"/>
      <c r="AG3061" s="3421"/>
      <c r="AH3061" s="156"/>
      <c r="AI3061" s="156"/>
      <c r="AJ3061" s="156"/>
      <c r="AK3061" s="156"/>
      <c r="AL3061" s="156"/>
      <c r="AM3061" s="156"/>
      <c r="AN3061" s="156"/>
      <c r="AO3061" s="156"/>
      <c r="AP3061" s="156"/>
      <c r="AQ3061" s="156"/>
      <c r="AR3061" s="156"/>
      <c r="AS3061" s="156"/>
      <c r="AT3061" s="156"/>
      <c r="AU3061" s="156"/>
      <c r="AV3061" s="156"/>
      <c r="AW3061" s="156"/>
      <c r="AX3061" s="156"/>
      <c r="AY3061" s="156"/>
      <c r="AZ3061" s="156"/>
      <c r="BA3061" s="156"/>
      <c r="BB3061" s="2828"/>
      <c r="BC3061" s="452"/>
      <c r="BD3061" s="2829"/>
      <c r="BE3061" s="2837"/>
      <c r="BF3061" s="156"/>
    </row>
    <row r="3062" spans="1:58" ht="15" customHeight="1" outlineLevel="1" x14ac:dyDescent="0.35">
      <c r="A3062" s="1664"/>
      <c r="B3062" s="2812"/>
      <c r="C3062" s="3077"/>
      <c r="D3062" s="3980"/>
      <c r="E3062" s="3883"/>
      <c r="F3062" s="3984" t="str">
        <f>$E$1848</f>
        <v>ASHP-SEER20_ER1_SF</v>
      </c>
      <c r="G3062" s="3984"/>
      <c r="H3062" s="3984"/>
      <c r="I3062" s="3984"/>
      <c r="J3062" s="3501" t="str">
        <f>$C$1848</f>
        <v>354550_2021_12_</v>
      </c>
      <c r="K3062" s="3425">
        <v>869</v>
      </c>
      <c r="L3062" s="704"/>
      <c r="M3062" s="3020" t="s">
        <v>977</v>
      </c>
      <c r="N3062" s="106"/>
      <c r="O3062" s="106"/>
      <c r="P3062" s="702"/>
      <c r="Q3062" s="574"/>
      <c r="R3062" s="702"/>
      <c r="S3062" s="106"/>
      <c r="T3062" s="486"/>
      <c r="U3062" s="106"/>
      <c r="V3062" s="3980"/>
      <c r="W3062" s="3421">
        <v>869</v>
      </c>
      <c r="X3062" s="3421">
        <v>869</v>
      </c>
      <c r="Y3062" s="3425">
        <v>869</v>
      </c>
      <c r="Z3062" s="3425">
        <v>869</v>
      </c>
      <c r="AA3062" s="3425">
        <v>869</v>
      </c>
      <c r="AB3062" s="3425">
        <v>869</v>
      </c>
      <c r="AC3062" s="2132">
        <v>869</v>
      </c>
      <c r="AD3062" s="3421">
        <v>869</v>
      </c>
      <c r="AE3062" s="3429"/>
      <c r="AF3062" s="3421"/>
      <c r="AG3062" s="3421"/>
      <c r="AH3062" s="156"/>
      <c r="AI3062" s="156"/>
      <c r="AJ3062" s="156"/>
      <c r="AK3062" s="156"/>
      <c r="AL3062" s="156"/>
      <c r="AM3062" s="156"/>
      <c r="AN3062" s="156"/>
      <c r="AO3062" s="156"/>
      <c r="AP3062" s="156"/>
      <c r="AQ3062" s="156"/>
      <c r="AR3062" s="156"/>
      <c r="AS3062" s="156"/>
      <c r="AT3062" s="156"/>
      <c r="AU3062" s="156"/>
      <c r="AV3062" s="156"/>
      <c r="AW3062" s="156"/>
      <c r="AX3062" s="156"/>
      <c r="AY3062" s="156"/>
      <c r="AZ3062" s="156"/>
      <c r="BA3062" s="156"/>
      <c r="BB3062" s="2828"/>
      <c r="BC3062" s="452"/>
      <c r="BD3062" s="2829"/>
      <c r="BE3062" s="2837"/>
      <c r="BF3062" s="156"/>
    </row>
    <row r="3063" spans="1:58" ht="15" customHeight="1" outlineLevel="1" x14ac:dyDescent="0.35">
      <c r="A3063" s="1664"/>
      <c r="B3063" s="2812"/>
      <c r="C3063" s="3077"/>
      <c r="D3063" s="3980"/>
      <c r="E3063" s="3883"/>
      <c r="F3063" s="3984" t="str">
        <f>$E$1850</f>
        <v>ASHP-SEER20_ER2_SF</v>
      </c>
      <c r="G3063" s="3984"/>
      <c r="H3063" s="3984"/>
      <c r="I3063" s="3984"/>
      <c r="J3063" s="3501" t="str">
        <f>$C$1850</f>
        <v>354550_2021_12_</v>
      </c>
      <c r="K3063" s="3425">
        <v>869</v>
      </c>
      <c r="L3063" s="704"/>
      <c r="M3063" s="3020" t="s">
        <v>977</v>
      </c>
      <c r="N3063" s="106"/>
      <c r="O3063" s="106"/>
      <c r="P3063" s="702"/>
      <c r="Q3063" s="574"/>
      <c r="R3063" s="702"/>
      <c r="S3063" s="106"/>
      <c r="T3063" s="486"/>
      <c r="U3063" s="106"/>
      <c r="V3063" s="3980"/>
      <c r="W3063" s="3421">
        <v>869</v>
      </c>
      <c r="X3063" s="3421">
        <v>869</v>
      </c>
      <c r="Y3063" s="3425">
        <v>869</v>
      </c>
      <c r="Z3063" s="3425">
        <v>869</v>
      </c>
      <c r="AA3063" s="3425">
        <v>869</v>
      </c>
      <c r="AB3063" s="3425">
        <v>869</v>
      </c>
      <c r="AC3063" s="2132">
        <v>869</v>
      </c>
      <c r="AD3063" s="3421">
        <v>869</v>
      </c>
      <c r="AE3063" s="3429"/>
      <c r="AF3063" s="3421"/>
      <c r="AG3063" s="3421"/>
      <c r="AH3063" s="156"/>
      <c r="AI3063" s="156"/>
      <c r="AJ3063" s="156"/>
      <c r="AK3063" s="156"/>
      <c r="AL3063" s="156"/>
      <c r="AM3063" s="156"/>
      <c r="AN3063" s="156"/>
      <c r="AO3063" s="156"/>
      <c r="AP3063" s="156"/>
      <c r="AQ3063" s="156"/>
      <c r="AR3063" s="156"/>
      <c r="AS3063" s="156"/>
      <c r="AT3063" s="156"/>
      <c r="AU3063" s="156"/>
      <c r="AV3063" s="156"/>
      <c r="AW3063" s="156"/>
      <c r="AX3063" s="156"/>
      <c r="AY3063" s="156"/>
      <c r="AZ3063" s="156"/>
      <c r="BA3063" s="156"/>
      <c r="BB3063" s="2828"/>
      <c r="BC3063" s="452"/>
      <c r="BD3063" s="2829"/>
      <c r="BE3063" s="2837"/>
      <c r="BF3063" s="156"/>
    </row>
    <row r="3064" spans="1:58" ht="15" customHeight="1" outlineLevel="1" x14ac:dyDescent="0.35">
      <c r="A3064" s="1664"/>
      <c r="B3064" s="2812"/>
      <c r="C3064" s="3077"/>
      <c r="D3064" s="3980"/>
      <c r="E3064" s="3883"/>
      <c r="F3064" s="3984" t="str">
        <f>$E$1852</f>
        <v>ASHP-SEER20_ROF_SF</v>
      </c>
      <c r="G3064" s="3984"/>
      <c r="H3064" s="3984"/>
      <c r="I3064" s="3984"/>
      <c r="J3064" s="3501" t="str">
        <f>$C$1852</f>
        <v>354600_2021_12_</v>
      </c>
      <c r="K3064" s="3425">
        <v>869</v>
      </c>
      <c r="L3064" s="704"/>
      <c r="M3064" s="3020" t="s">
        <v>977</v>
      </c>
      <c r="N3064" s="106"/>
      <c r="O3064" s="106"/>
      <c r="P3064" s="702"/>
      <c r="Q3064" s="574"/>
      <c r="R3064" s="702"/>
      <c r="S3064" s="106"/>
      <c r="T3064" s="486"/>
      <c r="U3064" s="106"/>
      <c r="V3064" s="3980"/>
      <c r="W3064" s="3421">
        <v>869</v>
      </c>
      <c r="X3064" s="3421">
        <v>869</v>
      </c>
      <c r="Y3064" s="3425">
        <v>869</v>
      </c>
      <c r="Z3064" s="3425">
        <v>869</v>
      </c>
      <c r="AA3064" s="3425">
        <v>869</v>
      </c>
      <c r="AB3064" s="3425">
        <v>869</v>
      </c>
      <c r="AC3064" s="2132">
        <v>869</v>
      </c>
      <c r="AD3064" s="3421">
        <v>869</v>
      </c>
      <c r="AE3064" s="3429"/>
      <c r="AF3064" s="3421"/>
      <c r="AG3064" s="3421"/>
      <c r="AH3064" s="156"/>
      <c r="AI3064" s="156"/>
      <c r="AJ3064" s="156"/>
      <c r="AK3064" s="156"/>
      <c r="AL3064" s="156"/>
      <c r="AM3064" s="156"/>
      <c r="AN3064" s="156"/>
      <c r="AO3064" s="156"/>
      <c r="AP3064" s="156"/>
      <c r="AQ3064" s="156"/>
      <c r="AR3064" s="156"/>
      <c r="AS3064" s="156"/>
      <c r="AT3064" s="156"/>
      <c r="AU3064" s="156"/>
      <c r="AV3064" s="156"/>
      <c r="AW3064" s="156"/>
      <c r="AX3064" s="156"/>
      <c r="AY3064" s="156"/>
      <c r="AZ3064" s="156"/>
      <c r="BA3064" s="156"/>
      <c r="BB3064" s="2828"/>
      <c r="BC3064" s="452"/>
      <c r="BD3064" s="2829"/>
      <c r="BE3064" s="2837"/>
      <c r="BF3064" s="156"/>
    </row>
    <row r="3065" spans="1:58" ht="15" customHeight="1" outlineLevel="1" x14ac:dyDescent="0.35">
      <c r="A3065" s="1664"/>
      <c r="B3065" s="2812"/>
      <c r="C3065" s="3077"/>
      <c r="D3065" s="3980"/>
      <c r="E3065" s="3883"/>
      <c r="F3065" s="3984" t="str">
        <f>$E$1854</f>
        <v>ASHP-SEER20-Replace_CAC_ElectricHeat_ER1_MF</v>
      </c>
      <c r="G3065" s="3984"/>
      <c r="H3065" s="3984"/>
      <c r="I3065" s="3984"/>
      <c r="J3065" s="3501" t="str">
        <f>$C$1854</f>
        <v>354650_2019_12_</v>
      </c>
      <c r="K3065" s="3425">
        <v>869</v>
      </c>
      <c r="L3065" s="704"/>
      <c r="M3065" s="3020" t="s">
        <v>977</v>
      </c>
      <c r="N3065" s="106"/>
      <c r="O3065" s="106"/>
      <c r="P3065" s="702"/>
      <c r="Q3065" s="574"/>
      <c r="R3065" s="702"/>
      <c r="S3065" s="106"/>
      <c r="T3065" s="486"/>
      <c r="U3065" s="106"/>
      <c r="V3065" s="3980"/>
      <c r="W3065" s="3421">
        <v>869</v>
      </c>
      <c r="X3065" s="3421">
        <v>869</v>
      </c>
      <c r="Y3065" s="3425">
        <v>869</v>
      </c>
      <c r="Z3065" s="3425">
        <v>869</v>
      </c>
      <c r="AA3065" s="3425">
        <v>869</v>
      </c>
      <c r="AB3065" s="3425">
        <v>869</v>
      </c>
      <c r="AC3065" s="2132">
        <v>869</v>
      </c>
      <c r="AD3065" s="3421">
        <v>869</v>
      </c>
      <c r="AE3065" s="3429"/>
      <c r="AF3065" s="3421"/>
      <c r="AG3065" s="3421"/>
      <c r="AH3065" s="156"/>
      <c r="AI3065" s="156"/>
      <c r="AJ3065" s="156"/>
      <c r="AK3065" s="156"/>
      <c r="AL3065" s="156"/>
      <c r="AM3065" s="156"/>
      <c r="AN3065" s="156"/>
      <c r="AO3065" s="156"/>
      <c r="AP3065" s="156"/>
      <c r="AQ3065" s="156"/>
      <c r="AR3065" s="156"/>
      <c r="AS3065" s="156"/>
      <c r="AT3065" s="156"/>
      <c r="AU3065" s="156"/>
      <c r="AV3065" s="156"/>
      <c r="AW3065" s="156"/>
      <c r="AX3065" s="156"/>
      <c r="AY3065" s="156"/>
      <c r="AZ3065" s="156"/>
      <c r="BA3065" s="156"/>
      <c r="BB3065" s="2828"/>
      <c r="BC3065" s="452"/>
      <c r="BD3065" s="2829"/>
      <c r="BE3065" s="2837"/>
      <c r="BF3065" s="156"/>
    </row>
    <row r="3066" spans="1:58" ht="15" customHeight="1" outlineLevel="1" x14ac:dyDescent="0.35">
      <c r="A3066" s="1664"/>
      <c r="B3066" s="2812"/>
      <c r="C3066" s="3077"/>
      <c r="D3066" s="3980"/>
      <c r="E3066" s="3883"/>
      <c r="F3066" s="3984" t="str">
        <f>$E$1856</f>
        <v>ASHP-SEER20-Replace_CAC_ElectricHeat_ER2_MF</v>
      </c>
      <c r="G3066" s="3984"/>
      <c r="H3066" s="3984"/>
      <c r="I3066" s="3984"/>
      <c r="J3066" s="3501" t="str">
        <f>$C$1856</f>
        <v>354650_2019_12_</v>
      </c>
      <c r="K3066" s="3425">
        <v>869</v>
      </c>
      <c r="L3066" s="704"/>
      <c r="M3066" s="3020" t="s">
        <v>977</v>
      </c>
      <c r="N3066" s="106"/>
      <c r="O3066" s="106"/>
      <c r="P3066" s="702"/>
      <c r="Q3066" s="574"/>
      <c r="R3066" s="702"/>
      <c r="S3066" s="106"/>
      <c r="T3066" s="486"/>
      <c r="U3066" s="106"/>
      <c r="V3066" s="3980"/>
      <c r="W3066" s="3421">
        <v>869</v>
      </c>
      <c r="X3066" s="3421">
        <v>869</v>
      </c>
      <c r="Y3066" s="3425">
        <v>869</v>
      </c>
      <c r="Z3066" s="3425">
        <v>869</v>
      </c>
      <c r="AA3066" s="3425">
        <v>869</v>
      </c>
      <c r="AB3066" s="3425">
        <v>869</v>
      </c>
      <c r="AC3066" s="2132">
        <v>869</v>
      </c>
      <c r="AD3066" s="3421">
        <v>869</v>
      </c>
      <c r="AE3066" s="3429"/>
      <c r="AF3066" s="3421"/>
      <c r="AG3066" s="3421"/>
      <c r="AH3066" s="156"/>
      <c r="AI3066" s="156"/>
      <c r="AJ3066" s="156"/>
      <c r="AK3066" s="156"/>
      <c r="AL3066" s="156"/>
      <c r="AM3066" s="156"/>
      <c r="AN3066" s="156"/>
      <c r="AO3066" s="156"/>
      <c r="AP3066" s="156"/>
      <c r="AQ3066" s="156"/>
      <c r="AR3066" s="156"/>
      <c r="AS3066" s="156"/>
      <c r="AT3066" s="156"/>
      <c r="AU3066" s="156"/>
      <c r="AV3066" s="156"/>
      <c r="AW3066" s="156"/>
      <c r="AX3066" s="156"/>
      <c r="AY3066" s="156"/>
      <c r="AZ3066" s="156"/>
      <c r="BA3066" s="156"/>
      <c r="BB3066" s="2828"/>
      <c r="BC3066" s="452"/>
      <c r="BD3066" s="2829"/>
      <c r="BE3066" s="2837"/>
      <c r="BF3066" s="156"/>
    </row>
    <row r="3067" spans="1:58" ht="15" customHeight="1" outlineLevel="1" x14ac:dyDescent="0.35">
      <c r="A3067" s="1664"/>
      <c r="B3067" s="2812"/>
      <c r="C3067" s="3077"/>
      <c r="D3067" s="3980"/>
      <c r="E3067" s="3883"/>
      <c r="F3067" s="3984" t="str">
        <f>$E$1858</f>
        <v>ASHP-SEER20-Replace_CAC_ElectricHeat_ER1_MF_CompE</v>
      </c>
      <c r="G3067" s="3984"/>
      <c r="H3067" s="3984"/>
      <c r="I3067" s="3984"/>
      <c r="J3067" s="3501" t="str">
        <f>$C$1858</f>
        <v>354651_2019_12_</v>
      </c>
      <c r="K3067" s="3425">
        <f>$K$2925</f>
        <v>632</v>
      </c>
      <c r="L3067" s="704"/>
      <c r="M3067" s="3044" t="s">
        <v>513</v>
      </c>
      <c r="N3067" s="106"/>
      <c r="O3067" s="106"/>
      <c r="P3067" s="702"/>
      <c r="Q3067" s="574"/>
      <c r="R3067" s="702"/>
      <c r="S3067" s="106"/>
      <c r="T3067" s="486"/>
      <c r="U3067" s="106"/>
      <c r="V3067" s="3980"/>
      <c r="W3067" s="3421"/>
      <c r="X3067" s="3421"/>
      <c r="Y3067" s="2377">
        <f>$K$2925</f>
        <v>632</v>
      </c>
      <c r="Z3067" s="3425">
        <f t="shared" ref="Z3067:AA3068" si="391">$K$2925</f>
        <v>632</v>
      </c>
      <c r="AA3067" s="3425">
        <f t="shared" si="391"/>
        <v>632</v>
      </c>
      <c r="AB3067" s="3425">
        <v>632</v>
      </c>
      <c r="AC3067" s="2132">
        <f>$K$2925</f>
        <v>632</v>
      </c>
      <c r="AD3067" s="3421">
        <v>632</v>
      </c>
      <c r="AE3067" s="3429"/>
      <c r="AF3067" s="3421"/>
      <c r="AG3067" s="3421"/>
      <c r="AH3067" s="156"/>
      <c r="AI3067" s="156"/>
      <c r="AJ3067" s="156"/>
      <c r="AK3067" s="156"/>
      <c r="AL3067" s="156"/>
      <c r="AM3067" s="156"/>
      <c r="AN3067" s="156"/>
      <c r="AO3067" s="156"/>
      <c r="AP3067" s="156"/>
      <c r="AQ3067" s="156"/>
      <c r="AR3067" s="156"/>
      <c r="AS3067" s="156"/>
      <c r="AT3067" s="156"/>
      <c r="AU3067" s="156"/>
      <c r="AV3067" s="156"/>
      <c r="AW3067" s="156"/>
      <c r="AX3067" s="156"/>
      <c r="AY3067" s="156"/>
      <c r="AZ3067" s="156"/>
      <c r="BA3067" s="156"/>
      <c r="BB3067" s="2828"/>
      <c r="BC3067" s="452"/>
      <c r="BD3067" s="2829"/>
      <c r="BE3067" s="2837"/>
      <c r="BF3067" s="156"/>
    </row>
    <row r="3068" spans="1:58" ht="15" customHeight="1" outlineLevel="1" x14ac:dyDescent="0.35">
      <c r="A3068" s="1664"/>
      <c r="B3068" s="2812"/>
      <c r="C3068" s="3077"/>
      <c r="D3068" s="3980"/>
      <c r="E3068" s="3883"/>
      <c r="F3068" s="3984" t="str">
        <f>$E$1860</f>
        <v>ASHP-SEER20-Replace_CAC_ElectricHeat_ER2_MF_CompE</v>
      </c>
      <c r="G3068" s="3984"/>
      <c r="H3068" s="3984"/>
      <c r="I3068" s="3984"/>
      <c r="J3068" s="3501" t="str">
        <f>$C$1860</f>
        <v>354651_2019_12_</v>
      </c>
      <c r="K3068" s="3425">
        <f>$K$2925</f>
        <v>632</v>
      </c>
      <c r="L3068" s="704"/>
      <c r="M3068" s="3044" t="s">
        <v>513</v>
      </c>
      <c r="N3068" s="106"/>
      <c r="O3068" s="106"/>
      <c r="P3068" s="702"/>
      <c r="Q3068" s="574"/>
      <c r="R3068" s="702"/>
      <c r="S3068" s="106"/>
      <c r="T3068" s="486"/>
      <c r="U3068" s="106"/>
      <c r="V3068" s="3980"/>
      <c r="W3068" s="3421"/>
      <c r="X3068" s="3421"/>
      <c r="Y3068" s="2377">
        <f>$K$2925</f>
        <v>632</v>
      </c>
      <c r="Z3068" s="3425">
        <f t="shared" si="391"/>
        <v>632</v>
      </c>
      <c r="AA3068" s="3425">
        <f t="shared" si="391"/>
        <v>632</v>
      </c>
      <c r="AB3068" s="3425">
        <v>632</v>
      </c>
      <c r="AC3068" s="2132">
        <f>$K$2925</f>
        <v>632</v>
      </c>
      <c r="AD3068" s="3421">
        <v>632</v>
      </c>
      <c r="AE3068" s="3429"/>
      <c r="AF3068" s="3421"/>
      <c r="AG3068" s="3421"/>
      <c r="AH3068" s="156"/>
      <c r="AI3068" s="156"/>
      <c r="AJ3068" s="156"/>
      <c r="AK3068" s="156"/>
      <c r="AL3068" s="156"/>
      <c r="AM3068" s="156"/>
      <c r="AN3068" s="156"/>
      <c r="AO3068" s="156"/>
      <c r="AP3068" s="156"/>
      <c r="AQ3068" s="156"/>
      <c r="AR3068" s="156"/>
      <c r="AS3068" s="156"/>
      <c r="AT3068" s="156"/>
      <c r="AU3068" s="156"/>
      <c r="AV3068" s="156"/>
      <c r="AW3068" s="156"/>
      <c r="AX3068" s="156"/>
      <c r="AY3068" s="156"/>
      <c r="AZ3068" s="156"/>
      <c r="BA3068" s="156"/>
      <c r="BB3068" s="2828"/>
      <c r="BC3068" s="452"/>
      <c r="BD3068" s="2829"/>
      <c r="BE3068" s="2837"/>
      <c r="BF3068" s="156"/>
    </row>
    <row r="3069" spans="1:58" ht="15" customHeight="1" outlineLevel="1" x14ac:dyDescent="0.35">
      <c r="A3069" s="1664"/>
      <c r="B3069" s="2812"/>
      <c r="C3069" s="3077"/>
      <c r="D3069" s="3980"/>
      <c r="E3069" s="3883"/>
      <c r="F3069" s="3984" t="str">
        <f>$E$1862</f>
        <v>ASHP-SEER20-Replace_CAC_NonElectricHeat_ER1_MF</v>
      </c>
      <c r="G3069" s="3984"/>
      <c r="H3069" s="3984"/>
      <c r="I3069" s="3984"/>
      <c r="J3069" s="3501" t="str">
        <f>$C$1862</f>
        <v>354660_2021_12_</v>
      </c>
      <c r="K3069" s="3425">
        <v>869</v>
      </c>
      <c r="L3069" s="704"/>
      <c r="M3069" s="3020" t="s">
        <v>977</v>
      </c>
      <c r="N3069" s="106"/>
      <c r="O3069" s="106"/>
      <c r="P3069" s="702"/>
      <c r="Q3069" s="574"/>
      <c r="R3069" s="702"/>
      <c r="S3069" s="106"/>
      <c r="T3069" s="486"/>
      <c r="U3069" s="106"/>
      <c r="V3069" s="3980"/>
      <c r="W3069" s="3421"/>
      <c r="X3069" s="3421"/>
      <c r="Y3069" s="2377"/>
      <c r="Z3069" s="3425"/>
      <c r="AA3069" s="3425"/>
      <c r="AB3069" s="3425"/>
      <c r="AC3069" s="2922">
        <v>869</v>
      </c>
      <c r="AD3069" s="3421">
        <v>869</v>
      </c>
      <c r="AE3069" s="3429"/>
      <c r="AF3069" s="3421"/>
      <c r="AG3069" s="3421"/>
      <c r="AH3069" s="156"/>
      <c r="AI3069" s="156"/>
      <c r="AJ3069" s="156"/>
      <c r="AK3069" s="156"/>
      <c r="AL3069" s="156"/>
      <c r="AM3069" s="156"/>
      <c r="AN3069" s="156"/>
      <c r="AO3069" s="156"/>
      <c r="AP3069" s="156"/>
      <c r="AQ3069" s="156"/>
      <c r="AR3069" s="156"/>
      <c r="AS3069" s="156"/>
      <c r="AT3069" s="156"/>
      <c r="AU3069" s="156"/>
      <c r="AV3069" s="156"/>
      <c r="AW3069" s="156"/>
      <c r="AX3069" s="156"/>
      <c r="AY3069" s="156"/>
      <c r="AZ3069" s="156"/>
      <c r="BA3069" s="156"/>
      <c r="BB3069" s="2828"/>
      <c r="BC3069" s="452"/>
      <c r="BD3069" s="2829"/>
      <c r="BE3069" s="2837"/>
      <c r="BF3069" s="156"/>
    </row>
    <row r="3070" spans="1:58" ht="15" customHeight="1" outlineLevel="1" x14ac:dyDescent="0.35">
      <c r="A3070" s="1664"/>
      <c r="B3070" s="2812"/>
      <c r="C3070" s="3077"/>
      <c r="D3070" s="3980"/>
      <c r="E3070" s="3883"/>
      <c r="F3070" s="3984" t="str">
        <f>$E$1864</f>
        <v>ASHP-SEER20-Replace_CAC_NonElectricHeat_ER2_MF</v>
      </c>
      <c r="G3070" s="3984"/>
      <c r="H3070" s="3984"/>
      <c r="I3070" s="3984"/>
      <c r="J3070" s="3501" t="str">
        <f>$C$1864</f>
        <v>354660_2021_12_</v>
      </c>
      <c r="K3070" s="3425">
        <v>869</v>
      </c>
      <c r="L3070" s="704"/>
      <c r="M3070" s="3020" t="s">
        <v>977</v>
      </c>
      <c r="N3070" s="106"/>
      <c r="O3070" s="106"/>
      <c r="P3070" s="702"/>
      <c r="Q3070" s="574"/>
      <c r="R3070" s="702"/>
      <c r="S3070" s="106"/>
      <c r="T3070" s="486"/>
      <c r="U3070" s="106"/>
      <c r="V3070" s="3980"/>
      <c r="W3070" s="3421"/>
      <c r="X3070" s="3421"/>
      <c r="Y3070" s="2377"/>
      <c r="Z3070" s="3425"/>
      <c r="AA3070" s="3425"/>
      <c r="AB3070" s="3425"/>
      <c r="AC3070" s="2922">
        <v>869</v>
      </c>
      <c r="AD3070" s="3421">
        <v>869</v>
      </c>
      <c r="AE3070" s="3429"/>
      <c r="AF3070" s="3421"/>
      <c r="AG3070" s="3421"/>
      <c r="AH3070" s="156"/>
      <c r="AI3070" s="156"/>
      <c r="AJ3070" s="156"/>
      <c r="AK3070" s="156"/>
      <c r="AL3070" s="156"/>
      <c r="AM3070" s="156"/>
      <c r="AN3070" s="156"/>
      <c r="AO3070" s="156"/>
      <c r="AP3070" s="156"/>
      <c r="AQ3070" s="156"/>
      <c r="AR3070" s="156"/>
      <c r="AS3070" s="156"/>
      <c r="AT3070" s="156"/>
      <c r="AU3070" s="156"/>
      <c r="AV3070" s="156"/>
      <c r="AW3070" s="156"/>
      <c r="AX3070" s="156"/>
      <c r="AY3070" s="156"/>
      <c r="AZ3070" s="156"/>
      <c r="BA3070" s="156"/>
      <c r="BB3070" s="2828"/>
      <c r="BC3070" s="452"/>
      <c r="BD3070" s="2829"/>
      <c r="BE3070" s="2837"/>
      <c r="BF3070" s="156"/>
    </row>
    <row r="3071" spans="1:58" ht="15" customHeight="1" outlineLevel="1" x14ac:dyDescent="0.35">
      <c r="A3071" s="1664"/>
      <c r="B3071" s="2812"/>
      <c r="C3071" s="3077"/>
      <c r="D3071" s="3980"/>
      <c r="E3071" s="3883"/>
      <c r="F3071" s="3984" t="str">
        <f>$E$1866</f>
        <v>ASHP-SEER20-Replace_CAC_NonElectricHeat_ER1_MF_CompE</v>
      </c>
      <c r="G3071" s="3984"/>
      <c r="H3071" s="3984"/>
      <c r="I3071" s="3984"/>
      <c r="J3071" s="3501" t="str">
        <f>$C$1866</f>
        <v>354661_2021_12_</v>
      </c>
      <c r="K3071" s="3425">
        <f>$K$2925</f>
        <v>632</v>
      </c>
      <c r="L3071" s="704"/>
      <c r="M3071" s="3044" t="s">
        <v>513</v>
      </c>
      <c r="N3071" s="106"/>
      <c r="O3071" s="106"/>
      <c r="P3071" s="702"/>
      <c r="Q3071" s="574"/>
      <c r="R3071" s="702"/>
      <c r="S3071" s="106"/>
      <c r="T3071" s="486"/>
      <c r="U3071" s="106"/>
      <c r="V3071" s="3980"/>
      <c r="W3071" s="3421"/>
      <c r="X3071" s="3421"/>
      <c r="Y3071" s="2377"/>
      <c r="Z3071" s="3425"/>
      <c r="AA3071" s="3425"/>
      <c r="AB3071" s="3425"/>
      <c r="AC3071" s="2922">
        <f>$K$2925</f>
        <v>632</v>
      </c>
      <c r="AD3071" s="3421">
        <v>632</v>
      </c>
      <c r="AE3071" s="3429"/>
      <c r="AF3071" s="3421"/>
      <c r="AG3071" s="3421"/>
      <c r="AH3071" s="156"/>
      <c r="AI3071" s="156"/>
      <c r="AJ3071" s="156"/>
      <c r="AK3071" s="156"/>
      <c r="AL3071" s="156"/>
      <c r="AM3071" s="156"/>
      <c r="AN3071" s="156"/>
      <c r="AO3071" s="156"/>
      <c r="AP3071" s="156"/>
      <c r="AQ3071" s="156"/>
      <c r="AR3071" s="156"/>
      <c r="AS3071" s="156"/>
      <c r="AT3071" s="156"/>
      <c r="AU3071" s="156"/>
      <c r="AV3071" s="156"/>
      <c r="AW3071" s="156"/>
      <c r="AX3071" s="156"/>
      <c r="AY3071" s="156"/>
      <c r="AZ3071" s="156"/>
      <c r="BA3071" s="156"/>
      <c r="BB3071" s="2828"/>
      <c r="BC3071" s="452"/>
      <c r="BD3071" s="2829"/>
      <c r="BE3071" s="2837"/>
      <c r="BF3071" s="156"/>
    </row>
    <row r="3072" spans="1:58" ht="15" customHeight="1" outlineLevel="1" x14ac:dyDescent="0.35">
      <c r="A3072" s="1664"/>
      <c r="B3072" s="2812"/>
      <c r="C3072" s="3077"/>
      <c r="D3072" s="3980"/>
      <c r="E3072" s="3883"/>
      <c r="F3072" s="3984" t="str">
        <f>$E$1868</f>
        <v>ASHP-SEER20-Replace_CAC_NonElectricHeat_ER2_MF_CompE</v>
      </c>
      <c r="G3072" s="3984"/>
      <c r="H3072" s="3984"/>
      <c r="I3072" s="3984"/>
      <c r="J3072" s="3501" t="str">
        <f>$C$1868</f>
        <v>354661_2021_12_</v>
      </c>
      <c r="K3072" s="3425">
        <f>$K$2925</f>
        <v>632</v>
      </c>
      <c r="L3072" s="704"/>
      <c r="M3072" s="3044" t="s">
        <v>513</v>
      </c>
      <c r="N3072" s="106"/>
      <c r="O3072" s="106"/>
      <c r="P3072" s="702"/>
      <c r="Q3072" s="574"/>
      <c r="R3072" s="702"/>
      <c r="S3072" s="106"/>
      <c r="T3072" s="486"/>
      <c r="U3072" s="106"/>
      <c r="V3072" s="3980"/>
      <c r="W3072" s="3421"/>
      <c r="X3072" s="3421"/>
      <c r="Y3072" s="2377"/>
      <c r="Z3072" s="3425"/>
      <c r="AA3072" s="3425"/>
      <c r="AB3072" s="3425"/>
      <c r="AC3072" s="2922">
        <f>$K$2925</f>
        <v>632</v>
      </c>
      <c r="AD3072" s="3421">
        <v>632</v>
      </c>
      <c r="AE3072" s="3429"/>
      <c r="AF3072" s="3421"/>
      <c r="AG3072" s="3421"/>
      <c r="AH3072" s="156"/>
      <c r="AI3072" s="156"/>
      <c r="AJ3072" s="156"/>
      <c r="AK3072" s="156"/>
      <c r="AL3072" s="156"/>
      <c r="AM3072" s="156"/>
      <c r="AN3072" s="156"/>
      <c r="AO3072" s="156"/>
      <c r="AP3072" s="156"/>
      <c r="AQ3072" s="156"/>
      <c r="AR3072" s="156"/>
      <c r="AS3072" s="156"/>
      <c r="AT3072" s="156"/>
      <c r="AU3072" s="156"/>
      <c r="AV3072" s="156"/>
      <c r="AW3072" s="156"/>
      <c r="AX3072" s="156"/>
      <c r="AY3072" s="156"/>
      <c r="AZ3072" s="156"/>
      <c r="BA3072" s="156"/>
      <c r="BB3072" s="2828"/>
      <c r="BC3072" s="452"/>
      <c r="BD3072" s="2829"/>
      <c r="BE3072" s="2837"/>
      <c r="BF3072" s="156"/>
    </row>
    <row r="3073" spans="1:58" ht="15" customHeight="1" outlineLevel="1" x14ac:dyDescent="0.35">
      <c r="A3073" s="1664"/>
      <c r="B3073" s="2812"/>
      <c r="C3073" s="3077"/>
      <c r="D3073" s="3980"/>
      <c r="E3073" s="3883"/>
      <c r="F3073" s="3984" t="str">
        <f>$E$1870</f>
        <v>ASHP-SEER20_ER1_MF</v>
      </c>
      <c r="G3073" s="3984"/>
      <c r="H3073" s="3984"/>
      <c r="I3073" s="3984"/>
      <c r="J3073" s="3501" t="str">
        <f>$C$1870</f>
        <v>354700_2019_12_</v>
      </c>
      <c r="K3073" s="3425">
        <v>869</v>
      </c>
      <c r="L3073" s="704"/>
      <c r="M3073" s="3020" t="s">
        <v>977</v>
      </c>
      <c r="N3073" s="106"/>
      <c r="O3073" s="106"/>
      <c r="P3073" s="702"/>
      <c r="Q3073" s="574"/>
      <c r="R3073" s="702"/>
      <c r="S3073" s="106"/>
      <c r="T3073" s="486"/>
      <c r="U3073" s="106"/>
      <c r="V3073" s="3980"/>
      <c r="W3073" s="3421">
        <v>869</v>
      </c>
      <c r="X3073" s="3421">
        <v>869</v>
      </c>
      <c r="Y3073" s="3425">
        <v>869</v>
      </c>
      <c r="Z3073" s="3425">
        <v>869</v>
      </c>
      <c r="AA3073" s="3425">
        <v>869</v>
      </c>
      <c r="AB3073" s="3425">
        <v>869</v>
      </c>
      <c r="AC3073" s="2132">
        <v>869</v>
      </c>
      <c r="AD3073" s="3421">
        <v>869</v>
      </c>
      <c r="AE3073" s="3429"/>
      <c r="AF3073" s="3421"/>
      <c r="AG3073" s="3421"/>
      <c r="AH3073" s="156"/>
      <c r="AI3073" s="156"/>
      <c r="AJ3073" s="156"/>
      <c r="AK3073" s="156"/>
      <c r="AL3073" s="156"/>
      <c r="AM3073" s="156"/>
      <c r="AN3073" s="156"/>
      <c r="AO3073" s="156"/>
      <c r="AP3073" s="156"/>
      <c r="AQ3073" s="156"/>
      <c r="AR3073" s="156"/>
      <c r="AS3073" s="156"/>
      <c r="AT3073" s="156"/>
      <c r="AU3073" s="156"/>
      <c r="AV3073" s="156"/>
      <c r="AW3073" s="156"/>
      <c r="AX3073" s="156"/>
      <c r="AY3073" s="156"/>
      <c r="AZ3073" s="156"/>
      <c r="BA3073" s="156"/>
      <c r="BB3073" s="2828"/>
      <c r="BC3073" s="452"/>
      <c r="BD3073" s="2829"/>
      <c r="BE3073" s="2837"/>
      <c r="BF3073" s="156"/>
    </row>
    <row r="3074" spans="1:58" ht="15" customHeight="1" outlineLevel="1" x14ac:dyDescent="0.35">
      <c r="A3074" s="1664"/>
      <c r="B3074" s="2812"/>
      <c r="C3074" s="3077"/>
      <c r="D3074" s="3980"/>
      <c r="E3074" s="3883"/>
      <c r="F3074" s="3984" t="str">
        <f>$E$1872</f>
        <v>ASHP-SEER20_ER2_MF</v>
      </c>
      <c r="G3074" s="3984"/>
      <c r="H3074" s="3984"/>
      <c r="I3074" s="3984"/>
      <c r="J3074" s="3501" t="str">
        <f>$C$1872</f>
        <v>354700_2019_12_</v>
      </c>
      <c r="K3074" s="3425">
        <v>869</v>
      </c>
      <c r="L3074" s="704"/>
      <c r="M3074" s="3020" t="s">
        <v>977</v>
      </c>
      <c r="N3074" s="106"/>
      <c r="O3074" s="106"/>
      <c r="P3074" s="702"/>
      <c r="Q3074" s="574"/>
      <c r="R3074" s="702"/>
      <c r="S3074" s="106"/>
      <c r="T3074" s="486"/>
      <c r="U3074" s="106"/>
      <c r="V3074" s="3980"/>
      <c r="W3074" s="3421">
        <v>869</v>
      </c>
      <c r="X3074" s="3421">
        <v>869</v>
      </c>
      <c r="Y3074" s="3425">
        <v>869</v>
      </c>
      <c r="Z3074" s="3425">
        <v>869</v>
      </c>
      <c r="AA3074" s="3425">
        <v>869</v>
      </c>
      <c r="AB3074" s="3425">
        <v>869</v>
      </c>
      <c r="AC3074" s="2132">
        <v>869</v>
      </c>
      <c r="AD3074" s="3421">
        <v>869</v>
      </c>
      <c r="AE3074" s="3429"/>
      <c r="AF3074" s="3421"/>
      <c r="AG3074" s="3421"/>
      <c r="AH3074" s="156"/>
      <c r="AI3074" s="156"/>
      <c r="AJ3074" s="156"/>
      <c r="AK3074" s="156"/>
      <c r="AL3074" s="156"/>
      <c r="AM3074" s="156"/>
      <c r="AN3074" s="156"/>
      <c r="AO3074" s="156"/>
      <c r="AP3074" s="156"/>
      <c r="AQ3074" s="156"/>
      <c r="AR3074" s="156"/>
      <c r="AS3074" s="156"/>
      <c r="AT3074" s="156"/>
      <c r="AU3074" s="156"/>
      <c r="AV3074" s="156"/>
      <c r="AW3074" s="156"/>
      <c r="AX3074" s="156"/>
      <c r="AY3074" s="156"/>
      <c r="AZ3074" s="156"/>
      <c r="BA3074" s="156"/>
      <c r="BB3074" s="2828"/>
      <c r="BC3074" s="452"/>
      <c r="BD3074" s="2829"/>
      <c r="BE3074" s="2837"/>
      <c r="BF3074" s="156"/>
    </row>
    <row r="3075" spans="1:58" ht="15" customHeight="1" outlineLevel="1" x14ac:dyDescent="0.35">
      <c r="A3075" s="1664"/>
      <c r="B3075" s="2812"/>
      <c r="C3075" s="3077"/>
      <c r="D3075" s="3980"/>
      <c r="E3075" s="3883"/>
      <c r="F3075" s="3984" t="str">
        <f>$E$1874</f>
        <v>ASHP-SEER20_ER1_MF_CompE</v>
      </c>
      <c r="G3075" s="3984"/>
      <c r="H3075" s="3984"/>
      <c r="I3075" s="3984"/>
      <c r="J3075" s="3501" t="str">
        <f>$C$1874</f>
        <v>354701_2019_12_</v>
      </c>
      <c r="K3075" s="3425">
        <f>$K$2925</f>
        <v>632</v>
      </c>
      <c r="L3075" s="704"/>
      <c r="M3075" s="3044" t="s">
        <v>513</v>
      </c>
      <c r="N3075" s="106"/>
      <c r="O3075" s="106"/>
      <c r="P3075" s="702"/>
      <c r="Q3075" s="574"/>
      <c r="R3075" s="702"/>
      <c r="S3075" s="106"/>
      <c r="T3075" s="486"/>
      <c r="U3075" s="106"/>
      <c r="V3075" s="3980"/>
      <c r="W3075" s="3421"/>
      <c r="X3075" s="3421"/>
      <c r="Y3075" s="2377">
        <f>$K$2925</f>
        <v>632</v>
      </c>
      <c r="Z3075" s="3425">
        <f t="shared" ref="Z3075:AA3076" si="392">$K$2925</f>
        <v>632</v>
      </c>
      <c r="AA3075" s="3425">
        <f t="shared" si="392"/>
        <v>632</v>
      </c>
      <c r="AB3075" s="3425">
        <v>632</v>
      </c>
      <c r="AC3075" s="2132">
        <f>$K$2925</f>
        <v>632</v>
      </c>
      <c r="AD3075" s="3421">
        <v>632</v>
      </c>
      <c r="AE3075" s="3429"/>
      <c r="AF3075" s="3421"/>
      <c r="AG3075" s="3421"/>
      <c r="AH3075" s="156"/>
      <c r="AI3075" s="156"/>
      <c r="AJ3075" s="156"/>
      <c r="AK3075" s="156"/>
      <c r="AL3075" s="156"/>
      <c r="AM3075" s="156"/>
      <c r="AN3075" s="156"/>
      <c r="AO3075" s="156"/>
      <c r="AP3075" s="156"/>
      <c r="AQ3075" s="156"/>
      <c r="AR3075" s="156"/>
      <c r="AS3075" s="156"/>
      <c r="AT3075" s="156"/>
      <c r="AU3075" s="156"/>
      <c r="AV3075" s="156"/>
      <c r="AW3075" s="156"/>
      <c r="AX3075" s="156"/>
      <c r="AY3075" s="156"/>
      <c r="AZ3075" s="156"/>
      <c r="BA3075" s="156"/>
      <c r="BB3075" s="2828"/>
      <c r="BC3075" s="452"/>
      <c r="BD3075" s="2829"/>
      <c r="BE3075" s="2837"/>
      <c r="BF3075" s="156"/>
    </row>
    <row r="3076" spans="1:58" ht="15" customHeight="1" outlineLevel="1" x14ac:dyDescent="0.35">
      <c r="A3076" s="1664"/>
      <c r="B3076" s="2812"/>
      <c r="C3076" s="3077"/>
      <c r="D3076" s="3980"/>
      <c r="E3076" s="3883"/>
      <c r="F3076" s="3984" t="str">
        <f>$E$1876</f>
        <v>ASHP-SEER20_ER2_MF_CompE</v>
      </c>
      <c r="G3076" s="3984"/>
      <c r="H3076" s="3984"/>
      <c r="I3076" s="3984"/>
      <c r="J3076" s="3501" t="str">
        <f>$C$1876</f>
        <v>354701_2019_12_</v>
      </c>
      <c r="K3076" s="3425">
        <f>$K$2925</f>
        <v>632</v>
      </c>
      <c r="L3076" s="704"/>
      <c r="M3076" s="3044" t="s">
        <v>513</v>
      </c>
      <c r="N3076" s="106"/>
      <c r="O3076" s="106"/>
      <c r="P3076" s="702"/>
      <c r="Q3076" s="574"/>
      <c r="R3076" s="702"/>
      <c r="S3076" s="106"/>
      <c r="T3076" s="486"/>
      <c r="U3076" s="106"/>
      <c r="V3076" s="3980"/>
      <c r="W3076" s="3421"/>
      <c r="X3076" s="3421"/>
      <c r="Y3076" s="2377">
        <f>$K$2925</f>
        <v>632</v>
      </c>
      <c r="Z3076" s="3425">
        <f t="shared" si="392"/>
        <v>632</v>
      </c>
      <c r="AA3076" s="3425">
        <f t="shared" si="392"/>
        <v>632</v>
      </c>
      <c r="AB3076" s="3425">
        <v>632</v>
      </c>
      <c r="AC3076" s="2132">
        <f>$K$2925</f>
        <v>632</v>
      </c>
      <c r="AD3076" s="3421">
        <v>632</v>
      </c>
      <c r="AE3076" s="3429"/>
      <c r="AF3076" s="3421"/>
      <c r="AG3076" s="3421"/>
      <c r="AH3076" s="156"/>
      <c r="AI3076" s="156"/>
      <c r="AJ3076" s="156"/>
      <c r="AK3076" s="156"/>
      <c r="AL3076" s="156"/>
      <c r="AM3076" s="156"/>
      <c r="AN3076" s="156"/>
      <c r="AO3076" s="156"/>
      <c r="AP3076" s="156"/>
      <c r="AQ3076" s="156"/>
      <c r="AR3076" s="156"/>
      <c r="AS3076" s="156"/>
      <c r="AT3076" s="156"/>
      <c r="AU3076" s="156"/>
      <c r="AV3076" s="156"/>
      <c r="AW3076" s="156"/>
      <c r="AX3076" s="156"/>
      <c r="AY3076" s="156"/>
      <c r="AZ3076" s="156"/>
      <c r="BA3076" s="156"/>
      <c r="BB3076" s="2828"/>
      <c r="BC3076" s="452"/>
      <c r="BD3076" s="2829"/>
      <c r="BE3076" s="2837"/>
      <c r="BF3076" s="156"/>
    </row>
    <row r="3077" spans="1:58" ht="15" customHeight="1" outlineLevel="1" x14ac:dyDescent="0.35">
      <c r="A3077" s="1664"/>
      <c r="B3077" s="2812"/>
      <c r="C3077" s="3077"/>
      <c r="D3077" s="3980"/>
      <c r="E3077" s="3883"/>
      <c r="F3077" s="3984" t="str">
        <f>$E$1878</f>
        <v>ASHP-SEER21_ER1_SF</v>
      </c>
      <c r="G3077" s="3984"/>
      <c r="H3077" s="3984"/>
      <c r="I3077" s="3984"/>
      <c r="J3077" s="3501" t="str">
        <f>$C$1878</f>
        <v>354750_2021_12_</v>
      </c>
      <c r="K3077" s="3425">
        <v>869</v>
      </c>
      <c r="L3077" s="704"/>
      <c r="M3077" s="3020" t="s">
        <v>977</v>
      </c>
      <c r="N3077" s="106"/>
      <c r="O3077" s="106"/>
      <c r="P3077" s="702"/>
      <c r="Q3077" s="574"/>
      <c r="R3077" s="702"/>
      <c r="S3077" s="106"/>
      <c r="T3077" s="486"/>
      <c r="U3077" s="106"/>
      <c r="V3077" s="3980"/>
      <c r="W3077" s="3421">
        <v>869</v>
      </c>
      <c r="X3077" s="3421">
        <v>869</v>
      </c>
      <c r="Y3077" s="3425">
        <v>869</v>
      </c>
      <c r="Z3077" s="3425">
        <v>869</v>
      </c>
      <c r="AA3077" s="3425">
        <v>869</v>
      </c>
      <c r="AB3077" s="3425">
        <v>869</v>
      </c>
      <c r="AC3077" s="2132">
        <v>869</v>
      </c>
      <c r="AD3077" s="3421">
        <v>869</v>
      </c>
      <c r="AE3077" s="3429"/>
      <c r="AF3077" s="3421"/>
      <c r="AG3077" s="3421"/>
      <c r="AH3077" s="156"/>
      <c r="AI3077" s="156"/>
      <c r="AJ3077" s="156"/>
      <c r="AK3077" s="156"/>
      <c r="AL3077" s="156"/>
      <c r="AM3077" s="156"/>
      <c r="AN3077" s="156"/>
      <c r="AO3077" s="156"/>
      <c r="AP3077" s="156"/>
      <c r="AQ3077" s="156"/>
      <c r="AR3077" s="156"/>
      <c r="AS3077" s="156"/>
      <c r="AT3077" s="156"/>
      <c r="AU3077" s="156"/>
      <c r="AV3077" s="156"/>
      <c r="AW3077" s="156"/>
      <c r="AX3077" s="156"/>
      <c r="AY3077" s="156"/>
      <c r="AZ3077" s="156"/>
      <c r="BA3077" s="156"/>
      <c r="BB3077" s="2828"/>
      <c r="BC3077" s="452"/>
      <c r="BD3077" s="2829"/>
      <c r="BE3077" s="2837"/>
      <c r="BF3077" s="156"/>
    </row>
    <row r="3078" spans="1:58" ht="15" customHeight="1" outlineLevel="1" x14ac:dyDescent="0.35">
      <c r="A3078" s="1664"/>
      <c r="B3078" s="2812"/>
      <c r="C3078" s="3077"/>
      <c r="D3078" s="3980"/>
      <c r="E3078" s="3883"/>
      <c r="F3078" s="3984" t="str">
        <f>$E$1880</f>
        <v>ASHP-SEER21_ER2_SF</v>
      </c>
      <c r="G3078" s="3984"/>
      <c r="H3078" s="3984"/>
      <c r="I3078" s="3984"/>
      <c r="J3078" s="3501" t="str">
        <f>$C$1880</f>
        <v>354750_2021_12_</v>
      </c>
      <c r="K3078" s="3425">
        <v>869</v>
      </c>
      <c r="L3078" s="704"/>
      <c r="M3078" s="3020" t="s">
        <v>977</v>
      </c>
      <c r="N3078" s="106"/>
      <c r="O3078" s="106"/>
      <c r="P3078" s="702"/>
      <c r="Q3078" s="574"/>
      <c r="R3078" s="702"/>
      <c r="S3078" s="106"/>
      <c r="T3078" s="486"/>
      <c r="U3078" s="106"/>
      <c r="V3078" s="3980"/>
      <c r="W3078" s="3421">
        <v>869</v>
      </c>
      <c r="X3078" s="3421">
        <v>869</v>
      </c>
      <c r="Y3078" s="3425">
        <v>869</v>
      </c>
      <c r="Z3078" s="3425">
        <v>869</v>
      </c>
      <c r="AA3078" s="3425">
        <v>869</v>
      </c>
      <c r="AB3078" s="3425">
        <v>869</v>
      </c>
      <c r="AC3078" s="2132">
        <v>869</v>
      </c>
      <c r="AD3078" s="3421">
        <v>869</v>
      </c>
      <c r="AE3078" s="3429"/>
      <c r="AF3078" s="3421"/>
      <c r="AG3078" s="3421"/>
      <c r="AH3078" s="156"/>
      <c r="AI3078" s="156"/>
      <c r="AJ3078" s="156"/>
      <c r="AK3078" s="156"/>
      <c r="AL3078" s="156"/>
      <c r="AM3078" s="156"/>
      <c r="AN3078" s="156"/>
      <c r="AO3078" s="156"/>
      <c r="AP3078" s="156"/>
      <c r="AQ3078" s="156"/>
      <c r="AR3078" s="156"/>
      <c r="AS3078" s="156"/>
      <c r="AT3078" s="156"/>
      <c r="AU3078" s="156"/>
      <c r="AV3078" s="156"/>
      <c r="AW3078" s="156"/>
      <c r="AX3078" s="156"/>
      <c r="AY3078" s="156"/>
      <c r="AZ3078" s="156"/>
      <c r="BA3078" s="156"/>
      <c r="BB3078" s="2828"/>
      <c r="BC3078" s="452"/>
      <c r="BD3078" s="2829"/>
      <c r="BE3078" s="2837"/>
      <c r="BF3078" s="156"/>
    </row>
    <row r="3079" spans="1:58" ht="15" customHeight="1" outlineLevel="1" x14ac:dyDescent="0.35">
      <c r="A3079" s="1664"/>
      <c r="B3079" s="2812"/>
      <c r="C3079" s="3077"/>
      <c r="D3079" s="3980"/>
      <c r="E3079" s="3883"/>
      <c r="F3079" s="3984" t="str">
        <f>$E$1882</f>
        <v>ASHP-SEER21_ROF_SF</v>
      </c>
      <c r="G3079" s="3984"/>
      <c r="H3079" s="3984"/>
      <c r="I3079" s="3984"/>
      <c r="J3079" s="3501" t="str">
        <f>$C$1882</f>
        <v>354800_2021_12_</v>
      </c>
      <c r="K3079" s="3425">
        <v>869</v>
      </c>
      <c r="L3079" s="704"/>
      <c r="M3079" s="3020" t="s">
        <v>977</v>
      </c>
      <c r="N3079" s="106"/>
      <c r="O3079" s="106"/>
      <c r="P3079" s="702"/>
      <c r="Q3079" s="574"/>
      <c r="R3079" s="702"/>
      <c r="S3079" s="106"/>
      <c r="T3079" s="486"/>
      <c r="U3079" s="106"/>
      <c r="V3079" s="3980"/>
      <c r="W3079" s="3421">
        <v>869</v>
      </c>
      <c r="X3079" s="3421">
        <v>869</v>
      </c>
      <c r="Y3079" s="3425">
        <v>869</v>
      </c>
      <c r="Z3079" s="3425">
        <v>869</v>
      </c>
      <c r="AA3079" s="3425">
        <v>869</v>
      </c>
      <c r="AB3079" s="3425">
        <v>869</v>
      </c>
      <c r="AC3079" s="2132">
        <v>869</v>
      </c>
      <c r="AD3079" s="3421">
        <v>869</v>
      </c>
      <c r="AE3079" s="3429"/>
      <c r="AF3079" s="3421"/>
      <c r="AG3079" s="3421"/>
      <c r="AH3079" s="156"/>
      <c r="AI3079" s="156"/>
      <c r="AJ3079" s="156"/>
      <c r="AK3079" s="156"/>
      <c r="AL3079" s="156"/>
      <c r="AM3079" s="156"/>
      <c r="AN3079" s="156"/>
      <c r="AO3079" s="156"/>
      <c r="AP3079" s="156"/>
      <c r="AQ3079" s="156"/>
      <c r="AR3079" s="156"/>
      <c r="AS3079" s="156"/>
      <c r="AT3079" s="156"/>
      <c r="AU3079" s="156"/>
      <c r="AV3079" s="156"/>
      <c r="AW3079" s="156"/>
      <c r="AX3079" s="156"/>
      <c r="AY3079" s="156"/>
      <c r="AZ3079" s="156"/>
      <c r="BA3079" s="156"/>
      <c r="BB3079" s="2828"/>
      <c r="BC3079" s="452"/>
      <c r="BD3079" s="2829"/>
      <c r="BE3079" s="2837"/>
      <c r="BF3079" s="156"/>
    </row>
    <row r="3080" spans="1:58" ht="15" customHeight="1" outlineLevel="1" x14ac:dyDescent="0.35">
      <c r="A3080" s="1664"/>
      <c r="B3080" s="2812"/>
      <c r="C3080" s="3077"/>
      <c r="D3080" s="3980"/>
      <c r="E3080" s="3883"/>
      <c r="F3080" s="3984" t="str">
        <f>$E$1884</f>
        <v>ASHP-SEER21-Replace_CAC_ElectricHeat_ROF_MF</v>
      </c>
      <c r="G3080" s="3984"/>
      <c r="H3080" s="3984"/>
      <c r="I3080" s="3984"/>
      <c r="J3080" s="3501" t="str">
        <f>$C$1884</f>
        <v>354850_2019_12_</v>
      </c>
      <c r="K3080" s="3425">
        <v>869</v>
      </c>
      <c r="L3080" s="704"/>
      <c r="M3080" s="3044" t="s">
        <v>513</v>
      </c>
      <c r="N3080" s="106"/>
      <c r="O3080" s="106"/>
      <c r="P3080" s="702"/>
      <c r="Q3080" s="574"/>
      <c r="R3080" s="702"/>
      <c r="S3080" s="106"/>
      <c r="T3080" s="486"/>
      <c r="U3080" s="106"/>
      <c r="V3080" s="3980"/>
      <c r="W3080" s="3421">
        <v>869</v>
      </c>
      <c r="X3080" s="3421">
        <v>869</v>
      </c>
      <c r="Y3080" s="3425">
        <v>869</v>
      </c>
      <c r="Z3080" s="3425">
        <v>869</v>
      </c>
      <c r="AA3080" s="3425">
        <v>869</v>
      </c>
      <c r="AB3080" s="3425">
        <v>869</v>
      </c>
      <c r="AC3080" s="2132">
        <v>869</v>
      </c>
      <c r="AD3080" s="3421">
        <v>869</v>
      </c>
      <c r="AE3080" s="3429"/>
      <c r="AF3080" s="3421"/>
      <c r="AG3080" s="3421"/>
      <c r="AH3080" s="156"/>
      <c r="AI3080" s="156"/>
      <c r="AJ3080" s="156"/>
      <c r="AK3080" s="156"/>
      <c r="AL3080" s="156"/>
      <c r="AM3080" s="156"/>
      <c r="AN3080" s="156"/>
      <c r="AO3080" s="156"/>
      <c r="AP3080" s="156"/>
      <c r="AQ3080" s="156"/>
      <c r="AR3080" s="156"/>
      <c r="AS3080" s="156"/>
      <c r="AT3080" s="156"/>
      <c r="AU3080" s="156"/>
      <c r="AV3080" s="156"/>
      <c r="AW3080" s="156"/>
      <c r="AX3080" s="156"/>
      <c r="AY3080" s="156"/>
      <c r="AZ3080" s="156"/>
      <c r="BA3080" s="156"/>
      <c r="BB3080" s="2828"/>
      <c r="BC3080" s="452"/>
      <c r="BD3080" s="2829"/>
      <c r="BE3080" s="2837"/>
      <c r="BF3080" s="156"/>
    </row>
    <row r="3081" spans="1:58" ht="15" customHeight="1" outlineLevel="1" x14ac:dyDescent="0.35">
      <c r="A3081" s="1664"/>
      <c r="B3081" s="2812"/>
      <c r="C3081" s="3077"/>
      <c r="D3081" s="3980"/>
      <c r="E3081" s="3883"/>
      <c r="F3081" s="3984" t="str">
        <f>$E$1886</f>
        <v>ASHP-SEER21-Replace_CAC_ElectricHeat_ROF_MF_CompE</v>
      </c>
      <c r="G3081" s="3984"/>
      <c r="H3081" s="3984"/>
      <c r="I3081" s="3984"/>
      <c r="J3081" s="3501" t="str">
        <f>$C$1886</f>
        <v>354851_2019_12_</v>
      </c>
      <c r="K3081" s="3425">
        <f>$K$2925</f>
        <v>632</v>
      </c>
      <c r="L3081" s="704"/>
      <c r="M3081" s="3044" t="s">
        <v>513</v>
      </c>
      <c r="N3081" s="106"/>
      <c r="O3081" s="106"/>
      <c r="P3081" s="702"/>
      <c r="Q3081" s="574"/>
      <c r="R3081" s="702"/>
      <c r="S3081" s="106"/>
      <c r="T3081" s="486"/>
      <c r="U3081" s="106"/>
      <c r="V3081" s="3980"/>
      <c r="W3081" s="3421"/>
      <c r="X3081" s="3421"/>
      <c r="Y3081" s="2377">
        <f>$K$2925</f>
        <v>632</v>
      </c>
      <c r="Z3081" s="3425">
        <f t="shared" ref="Z3081:AA3081" si="393">$K$2925</f>
        <v>632</v>
      </c>
      <c r="AA3081" s="3425">
        <f t="shared" si="393"/>
        <v>632</v>
      </c>
      <c r="AB3081" s="3425">
        <v>632</v>
      </c>
      <c r="AC3081" s="2132">
        <f>$K$2925</f>
        <v>632</v>
      </c>
      <c r="AD3081" s="3421">
        <v>632</v>
      </c>
      <c r="AE3081" s="3429"/>
      <c r="AF3081" s="3421"/>
      <c r="AG3081" s="3421"/>
      <c r="AH3081" s="156"/>
      <c r="AI3081" s="156"/>
      <c r="AJ3081" s="156"/>
      <c r="AK3081" s="156"/>
      <c r="AL3081" s="156"/>
      <c r="AM3081" s="156"/>
      <c r="AN3081" s="156"/>
      <c r="AO3081" s="156"/>
      <c r="AP3081" s="156"/>
      <c r="AQ3081" s="156"/>
      <c r="AR3081" s="156"/>
      <c r="AS3081" s="156"/>
      <c r="AT3081" s="156"/>
      <c r="AU3081" s="156"/>
      <c r="AV3081" s="156"/>
      <c r="AW3081" s="156"/>
      <c r="AX3081" s="156"/>
      <c r="AY3081" s="156"/>
      <c r="AZ3081" s="156"/>
      <c r="BA3081" s="156"/>
      <c r="BB3081" s="2828"/>
      <c r="BC3081" s="452"/>
      <c r="BD3081" s="2829"/>
      <c r="BE3081" s="2837"/>
      <c r="BF3081" s="156"/>
    </row>
    <row r="3082" spans="1:58" ht="15" customHeight="1" outlineLevel="1" x14ac:dyDescent="0.35">
      <c r="A3082" s="1664"/>
      <c r="B3082" s="2812"/>
      <c r="C3082" s="3077"/>
      <c r="D3082" s="3980"/>
      <c r="E3082" s="3883"/>
      <c r="F3082" s="3984" t="str">
        <f>$E$1888</f>
        <v>ASHP-SEER21-Replace_CAC_NonElectricHeat_ROF_MF</v>
      </c>
      <c r="G3082" s="3984"/>
      <c r="H3082" s="3984"/>
      <c r="I3082" s="3984"/>
      <c r="J3082" s="3501" t="str">
        <f>$C$1888</f>
        <v>354860_2021_12_</v>
      </c>
      <c r="K3082" s="3425">
        <v>869</v>
      </c>
      <c r="L3082" s="704"/>
      <c r="M3082" s="3020" t="s">
        <v>977</v>
      </c>
      <c r="N3082" s="106"/>
      <c r="O3082" s="106"/>
      <c r="P3082" s="702"/>
      <c r="Q3082" s="574"/>
      <c r="R3082" s="702"/>
      <c r="S3082" s="106"/>
      <c r="T3082" s="486"/>
      <c r="U3082" s="106"/>
      <c r="V3082" s="3980"/>
      <c r="W3082" s="3421"/>
      <c r="X3082" s="3421"/>
      <c r="Y3082" s="2377"/>
      <c r="Z3082" s="3425"/>
      <c r="AA3082" s="3425"/>
      <c r="AB3082" s="3425"/>
      <c r="AC3082" s="2922">
        <v>869</v>
      </c>
      <c r="AD3082" s="3421">
        <v>869</v>
      </c>
      <c r="AE3082" s="3429"/>
      <c r="AF3082" s="3421"/>
      <c r="AG3082" s="3421"/>
      <c r="AH3082" s="156"/>
      <c r="AI3082" s="156"/>
      <c r="AJ3082" s="156"/>
      <c r="AK3082" s="156"/>
      <c r="AL3082" s="156"/>
      <c r="AM3082" s="156"/>
      <c r="AN3082" s="156"/>
      <c r="AO3082" s="156"/>
      <c r="AP3082" s="156"/>
      <c r="AQ3082" s="156"/>
      <c r="AR3082" s="156"/>
      <c r="AS3082" s="156"/>
      <c r="AT3082" s="156"/>
      <c r="AU3082" s="156"/>
      <c r="AV3082" s="156"/>
      <c r="AW3082" s="156"/>
      <c r="AX3082" s="156"/>
      <c r="AY3082" s="156"/>
      <c r="AZ3082" s="156"/>
      <c r="BA3082" s="156"/>
      <c r="BB3082" s="2828"/>
      <c r="BC3082" s="452"/>
      <c r="BD3082" s="2829"/>
      <c r="BE3082" s="2837"/>
      <c r="BF3082" s="156"/>
    </row>
    <row r="3083" spans="1:58" ht="15" customHeight="1" outlineLevel="1" x14ac:dyDescent="0.35">
      <c r="A3083" s="1664"/>
      <c r="B3083" s="2812"/>
      <c r="C3083" s="3077"/>
      <c r="D3083" s="3980"/>
      <c r="E3083" s="3883"/>
      <c r="F3083" s="3984" t="str">
        <f>$E$1890</f>
        <v>ASHP-SEER21-Replace_CAC_NonElectricHeat_ROF_MF_CompE</v>
      </c>
      <c r="G3083" s="3984"/>
      <c r="H3083" s="3984"/>
      <c r="I3083" s="3984"/>
      <c r="J3083" s="3501" t="str">
        <f>$C$1890</f>
        <v>354861_2021_12_</v>
      </c>
      <c r="K3083" s="3425">
        <f>$K$2925</f>
        <v>632</v>
      </c>
      <c r="L3083" s="704"/>
      <c r="M3083" s="3044" t="s">
        <v>513</v>
      </c>
      <c r="N3083" s="106"/>
      <c r="O3083" s="106"/>
      <c r="P3083" s="702"/>
      <c r="Q3083" s="574"/>
      <c r="R3083" s="702"/>
      <c r="S3083" s="106"/>
      <c r="T3083" s="486"/>
      <c r="U3083" s="106"/>
      <c r="V3083" s="3980"/>
      <c r="W3083" s="3421"/>
      <c r="X3083" s="3421"/>
      <c r="Y3083" s="2377"/>
      <c r="Z3083" s="3425"/>
      <c r="AA3083" s="3425"/>
      <c r="AB3083" s="3425"/>
      <c r="AC3083" s="2922">
        <f>$K$2925</f>
        <v>632</v>
      </c>
      <c r="AD3083" s="3421">
        <v>632</v>
      </c>
      <c r="AE3083" s="3429"/>
      <c r="AF3083" s="3421"/>
      <c r="AG3083" s="3421"/>
      <c r="AH3083" s="156"/>
      <c r="AI3083" s="156"/>
      <c r="AJ3083" s="156"/>
      <c r="AK3083" s="156"/>
      <c r="AL3083" s="156"/>
      <c r="AM3083" s="156"/>
      <c r="AN3083" s="156"/>
      <c r="AO3083" s="156"/>
      <c r="AP3083" s="156"/>
      <c r="AQ3083" s="156"/>
      <c r="AR3083" s="156"/>
      <c r="AS3083" s="156"/>
      <c r="AT3083" s="156"/>
      <c r="AU3083" s="156"/>
      <c r="AV3083" s="156"/>
      <c r="AW3083" s="156"/>
      <c r="AX3083" s="156"/>
      <c r="AY3083" s="156"/>
      <c r="AZ3083" s="156"/>
      <c r="BA3083" s="156"/>
      <c r="BB3083" s="2828"/>
      <c r="BC3083" s="452"/>
      <c r="BD3083" s="2829"/>
      <c r="BE3083" s="2837"/>
      <c r="BF3083" s="156"/>
    </row>
    <row r="3084" spans="1:58" ht="15" customHeight="1" outlineLevel="1" x14ac:dyDescent="0.35">
      <c r="A3084" s="1664"/>
      <c r="B3084" s="2812"/>
      <c r="C3084" s="3077"/>
      <c r="D3084" s="3980"/>
      <c r="E3084" s="3883"/>
      <c r="F3084" s="3984" t="str">
        <f>$E$1892</f>
        <v>ASHP-SEER21_ER1_MF</v>
      </c>
      <c r="G3084" s="3984"/>
      <c r="H3084" s="3984"/>
      <c r="I3084" s="3984"/>
      <c r="J3084" s="3501" t="str">
        <f>$C$1892</f>
        <v>354900_2019_12_</v>
      </c>
      <c r="K3084" s="3425">
        <v>869</v>
      </c>
      <c r="L3084" s="704"/>
      <c r="M3084" s="3044" t="s">
        <v>513</v>
      </c>
      <c r="N3084" s="106"/>
      <c r="O3084" s="106"/>
      <c r="P3084" s="702"/>
      <c r="Q3084" s="574"/>
      <c r="R3084" s="702"/>
      <c r="S3084" s="106"/>
      <c r="T3084" s="486"/>
      <c r="U3084" s="106"/>
      <c r="V3084" s="3980"/>
      <c r="W3084" s="3421">
        <v>869</v>
      </c>
      <c r="X3084" s="3421">
        <v>869</v>
      </c>
      <c r="Y3084" s="3425">
        <v>869</v>
      </c>
      <c r="Z3084" s="3425">
        <v>869</v>
      </c>
      <c r="AA3084" s="3425">
        <v>869</v>
      </c>
      <c r="AB3084" s="3425">
        <v>869</v>
      </c>
      <c r="AC3084" s="2132">
        <v>869</v>
      </c>
      <c r="AD3084" s="3421">
        <v>869</v>
      </c>
      <c r="AE3084" s="3429"/>
      <c r="AF3084" s="3421"/>
      <c r="AG3084" s="3421"/>
      <c r="AH3084" s="156"/>
      <c r="AI3084" s="156"/>
      <c r="AJ3084" s="156"/>
      <c r="AK3084" s="156"/>
      <c r="AL3084" s="156"/>
      <c r="AM3084" s="156"/>
      <c r="AN3084" s="156"/>
      <c r="AO3084" s="156"/>
      <c r="AP3084" s="156"/>
      <c r="AQ3084" s="156"/>
      <c r="AR3084" s="156"/>
      <c r="AS3084" s="156"/>
      <c r="AT3084" s="156"/>
      <c r="AU3084" s="156"/>
      <c r="AV3084" s="156"/>
      <c r="AW3084" s="156"/>
      <c r="AX3084" s="156"/>
      <c r="AY3084" s="156"/>
      <c r="AZ3084" s="156"/>
      <c r="BA3084" s="156"/>
      <c r="BB3084" s="2828"/>
      <c r="BC3084" s="452"/>
      <c r="BD3084" s="2829"/>
      <c r="BE3084" s="2837"/>
      <c r="BF3084" s="156"/>
    </row>
    <row r="3085" spans="1:58" ht="15" customHeight="1" outlineLevel="1" x14ac:dyDescent="0.35">
      <c r="A3085" s="1664"/>
      <c r="B3085" s="2812"/>
      <c r="C3085" s="3077"/>
      <c r="D3085" s="3980"/>
      <c r="E3085" s="3883"/>
      <c r="F3085" s="3984" t="str">
        <f>$E$1894</f>
        <v>ASHP-SEER21_ER2_MF</v>
      </c>
      <c r="G3085" s="3984"/>
      <c r="H3085" s="3984"/>
      <c r="I3085" s="3984"/>
      <c r="J3085" s="3501" t="str">
        <f>$C$1894</f>
        <v>354900_2019_12_</v>
      </c>
      <c r="K3085" s="3425">
        <v>869</v>
      </c>
      <c r="L3085" s="704"/>
      <c r="M3085" s="3020" t="s">
        <v>977</v>
      </c>
      <c r="N3085" s="106"/>
      <c r="O3085" s="106"/>
      <c r="P3085" s="702"/>
      <c r="Q3085" s="574"/>
      <c r="R3085" s="702"/>
      <c r="S3085" s="106"/>
      <c r="T3085" s="486"/>
      <c r="U3085" s="106"/>
      <c r="V3085" s="3980"/>
      <c r="W3085" s="3421">
        <v>869</v>
      </c>
      <c r="X3085" s="3421">
        <v>869</v>
      </c>
      <c r="Y3085" s="3425">
        <v>869</v>
      </c>
      <c r="Z3085" s="3425">
        <v>869</v>
      </c>
      <c r="AA3085" s="3425">
        <v>869</v>
      </c>
      <c r="AB3085" s="3425">
        <v>869</v>
      </c>
      <c r="AC3085" s="2132">
        <v>869</v>
      </c>
      <c r="AD3085" s="3421">
        <v>869</v>
      </c>
      <c r="AE3085" s="3429"/>
      <c r="AF3085" s="3421"/>
      <c r="AG3085" s="3421"/>
      <c r="AH3085" s="156"/>
      <c r="AI3085" s="156"/>
      <c r="AJ3085" s="156"/>
      <c r="AK3085" s="156"/>
      <c r="AL3085" s="156"/>
      <c r="AM3085" s="156"/>
      <c r="AN3085" s="156"/>
      <c r="AO3085" s="156"/>
      <c r="AP3085" s="156"/>
      <c r="AQ3085" s="156"/>
      <c r="AR3085" s="156"/>
      <c r="AS3085" s="156"/>
      <c r="AT3085" s="156"/>
      <c r="AU3085" s="156"/>
      <c r="AV3085" s="156"/>
      <c r="AW3085" s="156"/>
      <c r="AX3085" s="156"/>
      <c r="AY3085" s="156"/>
      <c r="AZ3085" s="156"/>
      <c r="BA3085" s="156"/>
      <c r="BB3085" s="2828"/>
      <c r="BC3085" s="452"/>
      <c r="BD3085" s="2829"/>
      <c r="BE3085" s="2837"/>
      <c r="BF3085" s="156"/>
    </row>
    <row r="3086" spans="1:58" ht="15" customHeight="1" outlineLevel="1" x14ac:dyDescent="0.35">
      <c r="A3086" s="1664"/>
      <c r="B3086" s="2812"/>
      <c r="C3086" s="3077"/>
      <c r="D3086" s="3980"/>
      <c r="E3086" s="3883"/>
      <c r="F3086" s="3984" t="str">
        <f>$E$1896</f>
        <v>ASHP-SEER21_ER1_MF_CompE</v>
      </c>
      <c r="G3086" s="3984"/>
      <c r="H3086" s="3984"/>
      <c r="I3086" s="3984"/>
      <c r="J3086" s="3501" t="str">
        <f>$C$1896</f>
        <v>354901_2019_12_</v>
      </c>
      <c r="K3086" s="3425">
        <f>$K$2925</f>
        <v>632</v>
      </c>
      <c r="L3086" s="704"/>
      <c r="M3086" s="3044" t="s">
        <v>513</v>
      </c>
      <c r="N3086" s="106"/>
      <c r="O3086" s="106"/>
      <c r="P3086" s="702"/>
      <c r="Q3086" s="574"/>
      <c r="R3086" s="702"/>
      <c r="S3086" s="106"/>
      <c r="T3086" s="486"/>
      <c r="U3086" s="106"/>
      <c r="V3086" s="3980"/>
      <c r="W3086" s="3421"/>
      <c r="X3086" s="3421"/>
      <c r="Y3086" s="2377">
        <f>$K$2925</f>
        <v>632</v>
      </c>
      <c r="Z3086" s="3425">
        <f t="shared" ref="Z3086:AA3087" si="394">$K$2925</f>
        <v>632</v>
      </c>
      <c r="AA3086" s="3425">
        <f t="shared" si="394"/>
        <v>632</v>
      </c>
      <c r="AB3086" s="3425">
        <v>632</v>
      </c>
      <c r="AC3086" s="2132">
        <f>$K$2925</f>
        <v>632</v>
      </c>
      <c r="AD3086" s="3421">
        <v>632</v>
      </c>
      <c r="AE3086" s="3429"/>
      <c r="AF3086" s="3421"/>
      <c r="AG3086" s="3421"/>
      <c r="AH3086" s="156"/>
      <c r="AI3086" s="156"/>
      <c r="AJ3086" s="156"/>
      <c r="AK3086" s="156"/>
      <c r="AL3086" s="156"/>
      <c r="AM3086" s="156"/>
      <c r="AN3086" s="156"/>
      <c r="AO3086" s="156"/>
      <c r="AP3086" s="156"/>
      <c r="AQ3086" s="156"/>
      <c r="AR3086" s="156"/>
      <c r="AS3086" s="156"/>
      <c r="AT3086" s="156"/>
      <c r="AU3086" s="156"/>
      <c r="AV3086" s="156"/>
      <c r="AW3086" s="156"/>
      <c r="AX3086" s="156"/>
      <c r="AY3086" s="156"/>
      <c r="AZ3086" s="156"/>
      <c r="BA3086" s="156"/>
      <c r="BB3086" s="2828"/>
      <c r="BC3086" s="452"/>
      <c r="BD3086" s="2829"/>
      <c r="BE3086" s="2837"/>
      <c r="BF3086" s="156"/>
    </row>
    <row r="3087" spans="1:58" ht="15" customHeight="1" outlineLevel="1" x14ac:dyDescent="0.35">
      <c r="A3087" s="1664"/>
      <c r="B3087" s="2812"/>
      <c r="C3087" s="3077"/>
      <c r="D3087" s="3980"/>
      <c r="E3087" s="3883"/>
      <c r="F3087" s="3984" t="str">
        <f>$E$1898</f>
        <v>ASHP-SEER21_ER2_MF_CompE</v>
      </c>
      <c r="G3087" s="3984"/>
      <c r="H3087" s="3984"/>
      <c r="I3087" s="3984"/>
      <c r="J3087" s="3501" t="str">
        <f>$C$1898</f>
        <v>354901_2019_12_</v>
      </c>
      <c r="K3087" s="3425">
        <f>$K$2925</f>
        <v>632</v>
      </c>
      <c r="L3087" s="704"/>
      <c r="M3087" s="3044" t="s">
        <v>513</v>
      </c>
      <c r="N3087" s="106"/>
      <c r="O3087" s="106"/>
      <c r="P3087" s="702"/>
      <c r="Q3087" s="574"/>
      <c r="R3087" s="702"/>
      <c r="S3087" s="106"/>
      <c r="T3087" s="486"/>
      <c r="U3087" s="106"/>
      <c r="V3087" s="3980"/>
      <c r="W3087" s="3421"/>
      <c r="X3087" s="3421"/>
      <c r="Y3087" s="2377">
        <f>$K$2925</f>
        <v>632</v>
      </c>
      <c r="Z3087" s="3425">
        <f t="shared" si="394"/>
        <v>632</v>
      </c>
      <c r="AA3087" s="3425">
        <f t="shared" si="394"/>
        <v>632</v>
      </c>
      <c r="AB3087" s="3425">
        <v>632</v>
      </c>
      <c r="AC3087" s="2132">
        <f>$K$2925</f>
        <v>632</v>
      </c>
      <c r="AD3087" s="3421">
        <v>632</v>
      </c>
      <c r="AE3087" s="3429"/>
      <c r="AF3087" s="3421"/>
      <c r="AG3087" s="3421"/>
      <c r="AH3087" s="156"/>
      <c r="AI3087" s="156"/>
      <c r="AJ3087" s="156"/>
      <c r="AK3087" s="156"/>
      <c r="AL3087" s="156"/>
      <c r="AM3087" s="156"/>
      <c r="AN3087" s="156"/>
      <c r="AO3087" s="156"/>
      <c r="AP3087" s="156"/>
      <c r="AQ3087" s="156"/>
      <c r="AR3087" s="156"/>
      <c r="AS3087" s="156"/>
      <c r="AT3087" s="156"/>
      <c r="AU3087" s="156"/>
      <c r="AV3087" s="156"/>
      <c r="AW3087" s="156"/>
      <c r="AX3087" s="156"/>
      <c r="AY3087" s="156"/>
      <c r="AZ3087" s="156"/>
      <c r="BA3087" s="156"/>
      <c r="BB3087" s="2828"/>
      <c r="BC3087" s="452"/>
      <c r="BD3087" s="2829"/>
      <c r="BE3087" s="2837"/>
      <c r="BF3087" s="156"/>
    </row>
    <row r="3088" spans="1:58" ht="15" customHeight="1" outlineLevel="1" x14ac:dyDescent="0.35">
      <c r="A3088" s="1664"/>
      <c r="B3088" s="2812"/>
      <c r="C3088" s="3077"/>
      <c r="D3088" s="3980"/>
      <c r="E3088" s="3883"/>
      <c r="F3088" s="3984" t="str">
        <f>$E$1900</f>
        <v>ASHP-SEER17_ROF_MF</v>
      </c>
      <c r="G3088" s="3984"/>
      <c r="H3088" s="3984"/>
      <c r="I3088" s="3984"/>
      <c r="J3088" s="3501" t="str">
        <f>$C$1900</f>
        <v>354950_2019_12_</v>
      </c>
      <c r="K3088" s="3425">
        <v>869</v>
      </c>
      <c r="L3088" s="704"/>
      <c r="M3088" s="3022" t="s">
        <v>977</v>
      </c>
      <c r="N3088" s="106"/>
      <c r="O3088" s="106"/>
      <c r="P3088" s="702"/>
      <c r="Q3088" s="574"/>
      <c r="R3088" s="702"/>
      <c r="S3088" s="106"/>
      <c r="T3088" s="486"/>
      <c r="U3088" s="106"/>
      <c r="V3088" s="3980"/>
      <c r="W3088" s="3421">
        <v>869</v>
      </c>
      <c r="X3088" s="3421">
        <v>869</v>
      </c>
      <c r="Y3088" s="3425">
        <v>869</v>
      </c>
      <c r="Z3088" s="3425">
        <v>869</v>
      </c>
      <c r="AA3088" s="3425">
        <v>869</v>
      </c>
      <c r="AB3088" s="3425">
        <v>869</v>
      </c>
      <c r="AC3088" s="2132">
        <v>869</v>
      </c>
      <c r="AD3088" s="3421">
        <v>869</v>
      </c>
      <c r="AE3088" s="3429"/>
      <c r="AF3088" s="3421"/>
      <c r="AG3088" s="3421"/>
      <c r="AH3088" s="156"/>
      <c r="AI3088" s="156"/>
      <c r="AJ3088" s="156"/>
      <c r="AK3088" s="156"/>
      <c r="AL3088" s="156"/>
      <c r="AM3088" s="156"/>
      <c r="AN3088" s="156"/>
      <c r="AO3088" s="156"/>
      <c r="AP3088" s="156"/>
      <c r="AQ3088" s="156"/>
      <c r="AR3088" s="156"/>
      <c r="AS3088" s="156"/>
      <c r="AT3088" s="156"/>
      <c r="AU3088" s="156"/>
      <c r="AV3088" s="156"/>
      <c r="AW3088" s="156"/>
      <c r="AX3088" s="156"/>
      <c r="AY3088" s="156"/>
      <c r="AZ3088" s="156"/>
      <c r="BA3088" s="156"/>
      <c r="BB3088" s="2828"/>
      <c r="BC3088" s="452"/>
      <c r="BD3088" s="2829"/>
      <c r="BE3088" s="2837"/>
      <c r="BF3088" s="156"/>
    </row>
    <row r="3089" spans="1:58" ht="15" customHeight="1" outlineLevel="1" x14ac:dyDescent="0.35">
      <c r="A3089" s="1664"/>
      <c r="B3089" s="2812"/>
      <c r="C3089" s="3077"/>
      <c r="D3089" s="3980"/>
      <c r="E3089" s="3883"/>
      <c r="F3089" s="3984" t="str">
        <f>$E$1902</f>
        <v>ASHP-SEER17_ROF_MF_CompE</v>
      </c>
      <c r="G3089" s="3984"/>
      <c r="H3089" s="3984"/>
      <c r="I3089" s="3984"/>
      <c r="J3089" s="3501" t="str">
        <f>$C$1902</f>
        <v>354951_2019_12_</v>
      </c>
      <c r="K3089" s="3425">
        <f>$K$2925</f>
        <v>632</v>
      </c>
      <c r="L3089" s="704"/>
      <c r="M3089" s="3044" t="s">
        <v>513</v>
      </c>
      <c r="N3089" s="106"/>
      <c r="O3089" s="106"/>
      <c r="P3089" s="702"/>
      <c r="Q3089" s="574"/>
      <c r="R3089" s="702"/>
      <c r="S3089" s="106"/>
      <c r="T3089" s="486"/>
      <c r="U3089" s="106"/>
      <c r="V3089" s="3980"/>
      <c r="W3089" s="3421"/>
      <c r="X3089" s="3421"/>
      <c r="Y3089" s="2377">
        <f>$K$2925</f>
        <v>632</v>
      </c>
      <c r="Z3089" s="3425">
        <f t="shared" ref="Z3089:AA3089" si="395">$K$2925</f>
        <v>632</v>
      </c>
      <c r="AA3089" s="3425">
        <f t="shared" si="395"/>
        <v>632</v>
      </c>
      <c r="AB3089" s="3425">
        <v>632</v>
      </c>
      <c r="AC3089" s="2132">
        <f>$K$2925</f>
        <v>632</v>
      </c>
      <c r="AD3089" s="3421">
        <v>632</v>
      </c>
      <c r="AE3089" s="3429"/>
      <c r="AF3089" s="3421"/>
      <c r="AG3089" s="3421"/>
      <c r="AH3089" s="156"/>
      <c r="AI3089" s="156"/>
      <c r="AJ3089" s="156"/>
      <c r="AK3089" s="156"/>
      <c r="AL3089" s="156"/>
      <c r="AM3089" s="156"/>
      <c r="AN3089" s="156"/>
      <c r="AO3089" s="156"/>
      <c r="AP3089" s="156"/>
      <c r="AQ3089" s="156"/>
      <c r="AR3089" s="156"/>
      <c r="AS3089" s="156"/>
      <c r="AT3089" s="156"/>
      <c r="AU3089" s="156"/>
      <c r="AV3089" s="156"/>
      <c r="AW3089" s="156"/>
      <c r="AX3089" s="156"/>
      <c r="AY3089" s="156"/>
      <c r="AZ3089" s="156"/>
      <c r="BA3089" s="156"/>
      <c r="BB3089" s="2828"/>
      <c r="BC3089" s="452"/>
      <c r="BD3089" s="2829"/>
      <c r="BE3089" s="2837"/>
      <c r="BF3089" s="156"/>
    </row>
    <row r="3090" spans="1:58" ht="15" customHeight="1" outlineLevel="1" x14ac:dyDescent="0.35">
      <c r="A3090" s="1071"/>
      <c r="B3090" s="2812"/>
      <c r="C3090" s="3077"/>
      <c r="D3090" s="3980"/>
      <c r="E3090" s="3883"/>
      <c r="F3090" s="3984" t="str">
        <f>$E$1904</f>
        <v>ASHP-SEER18_ROF_MF</v>
      </c>
      <c r="G3090" s="3984"/>
      <c r="H3090" s="3984"/>
      <c r="I3090" s="3984"/>
      <c r="J3090" s="3501" t="str">
        <f>$C$1904</f>
        <v>355000_2019_12_</v>
      </c>
      <c r="K3090" s="3425">
        <v>869</v>
      </c>
      <c r="L3090" s="704"/>
      <c r="M3090" s="3022" t="s">
        <v>977</v>
      </c>
      <c r="N3090" s="106"/>
      <c r="O3090" s="106"/>
      <c r="P3090" s="106"/>
      <c r="Q3090" s="106"/>
      <c r="R3090" s="106"/>
      <c r="S3090" s="106"/>
      <c r="T3090" s="106"/>
      <c r="U3090" s="106"/>
      <c r="V3090" s="3980"/>
      <c r="W3090" s="3421">
        <v>869</v>
      </c>
      <c r="X3090" s="3421">
        <v>869</v>
      </c>
      <c r="Y3090" s="3425">
        <v>869</v>
      </c>
      <c r="Z3090" s="3425">
        <v>869</v>
      </c>
      <c r="AA3090" s="3425">
        <v>869</v>
      </c>
      <c r="AB3090" s="3425">
        <v>869</v>
      </c>
      <c r="AC3090" s="2132">
        <v>869</v>
      </c>
      <c r="AD3090" s="3421">
        <v>869</v>
      </c>
      <c r="AE3090" s="3429"/>
      <c r="AF3090" s="3421"/>
      <c r="AG3090" s="3421"/>
      <c r="AH3090" s="156"/>
      <c r="AI3090" s="156"/>
      <c r="AJ3090" s="156"/>
      <c r="AK3090" s="156"/>
      <c r="AL3090" s="156"/>
      <c r="AM3090" s="156"/>
      <c r="AN3090" s="156"/>
      <c r="AO3090" s="156"/>
      <c r="AP3090" s="156"/>
      <c r="AQ3090" s="156"/>
      <c r="AR3090" s="156"/>
      <c r="AS3090" s="156"/>
      <c r="AT3090" s="156"/>
      <c r="AU3090" s="156"/>
      <c r="AV3090" s="156"/>
      <c r="AW3090" s="156"/>
      <c r="AX3090" s="156"/>
      <c r="AY3090" s="156"/>
      <c r="AZ3090" s="156"/>
      <c r="BA3090" s="156"/>
      <c r="BB3090" s="2828"/>
      <c r="BC3090" s="452"/>
      <c r="BD3090" s="2829"/>
      <c r="BE3090" s="2837"/>
      <c r="BF3090" s="156"/>
    </row>
    <row r="3091" spans="1:58" ht="15" customHeight="1" outlineLevel="1" x14ac:dyDescent="0.35">
      <c r="A3091" s="1071"/>
      <c r="B3091" s="2812"/>
      <c r="C3091" s="3077"/>
      <c r="D3091" s="3980"/>
      <c r="E3091" s="3883"/>
      <c r="F3091" s="3984" t="str">
        <f>$E$1906</f>
        <v>ASHP-SEER18_ROF_MF_CompE</v>
      </c>
      <c r="G3091" s="3984"/>
      <c r="H3091" s="3984"/>
      <c r="I3091" s="3984"/>
      <c r="J3091" s="3501" t="str">
        <f>$C$1906</f>
        <v>355001_2021_12_</v>
      </c>
      <c r="K3091" s="3425">
        <f>$K$2925</f>
        <v>632</v>
      </c>
      <c r="L3091" s="704"/>
      <c r="M3091" s="3044" t="s">
        <v>513</v>
      </c>
      <c r="N3091" s="106"/>
      <c r="O3091" s="106"/>
      <c r="P3091" s="106"/>
      <c r="Q3091" s="106"/>
      <c r="R3091" s="106"/>
      <c r="S3091" s="106"/>
      <c r="T3091" s="106"/>
      <c r="U3091" s="106"/>
      <c r="V3091" s="3980"/>
      <c r="W3091" s="3421"/>
      <c r="X3091" s="3421"/>
      <c r="Y3091" s="2377">
        <f>$K$2925</f>
        <v>632</v>
      </c>
      <c r="Z3091" s="3425">
        <f t="shared" ref="Z3091:AA3091" si="396">$K$2925</f>
        <v>632</v>
      </c>
      <c r="AA3091" s="3425">
        <f t="shared" si="396"/>
        <v>632</v>
      </c>
      <c r="AB3091" s="3425">
        <v>632</v>
      </c>
      <c r="AC3091" s="2132">
        <f>$K$2925</f>
        <v>632</v>
      </c>
      <c r="AD3091" s="3421">
        <v>632</v>
      </c>
      <c r="AE3091" s="3429"/>
      <c r="AF3091" s="3421"/>
      <c r="AG3091" s="3421"/>
      <c r="AH3091" s="156"/>
      <c r="AI3091" s="156"/>
      <c r="AJ3091" s="156"/>
      <c r="AK3091" s="156"/>
      <c r="AL3091" s="156"/>
      <c r="AM3091" s="156"/>
      <c r="AN3091" s="156"/>
      <c r="AO3091" s="156"/>
      <c r="AP3091" s="156"/>
      <c r="AQ3091" s="156"/>
      <c r="AR3091" s="156"/>
      <c r="AS3091" s="156"/>
      <c r="AT3091" s="156"/>
      <c r="AU3091" s="156"/>
      <c r="AV3091" s="156"/>
      <c r="AW3091" s="156"/>
      <c r="AX3091" s="156"/>
      <c r="AY3091" s="156"/>
      <c r="AZ3091" s="156"/>
      <c r="BA3091" s="156"/>
      <c r="BB3091" s="2828"/>
      <c r="BC3091" s="452"/>
      <c r="BD3091" s="2829"/>
      <c r="BE3091" s="2837"/>
      <c r="BF3091" s="156"/>
    </row>
    <row r="3092" spans="1:58" ht="15" customHeight="1" outlineLevel="1" x14ac:dyDescent="0.35">
      <c r="A3092" s="1071"/>
      <c r="B3092" s="2812"/>
      <c r="C3092" s="3077"/>
      <c r="D3092" s="3980"/>
      <c r="E3092" s="3883"/>
      <c r="F3092" s="3984" t="str">
        <f>$E$1908</f>
        <v>ASHP-SEER19_ROF_MF</v>
      </c>
      <c r="G3092" s="3984"/>
      <c r="H3092" s="3984"/>
      <c r="I3092" s="3984"/>
      <c r="J3092" s="3501" t="str">
        <f>$C$1908</f>
        <v>355050_2019_12_</v>
      </c>
      <c r="K3092" s="3425">
        <v>869</v>
      </c>
      <c r="L3092" s="704"/>
      <c r="M3092" s="3022" t="s">
        <v>977</v>
      </c>
      <c r="N3092" s="106"/>
      <c r="O3092" s="106"/>
      <c r="P3092" s="106"/>
      <c r="Q3092" s="106"/>
      <c r="R3092" s="106"/>
      <c r="S3092" s="106"/>
      <c r="T3092" s="106"/>
      <c r="U3092" s="106"/>
      <c r="V3092" s="3980"/>
      <c r="W3092" s="3421">
        <v>869</v>
      </c>
      <c r="X3092" s="3421">
        <v>869</v>
      </c>
      <c r="Y3092" s="3425">
        <v>869</v>
      </c>
      <c r="Z3092" s="3425">
        <v>869</v>
      </c>
      <c r="AA3092" s="3425">
        <v>869</v>
      </c>
      <c r="AB3092" s="3425">
        <v>869</v>
      </c>
      <c r="AC3092" s="2132">
        <v>869</v>
      </c>
      <c r="AD3092" s="3421">
        <v>869</v>
      </c>
      <c r="AE3092" s="3429"/>
      <c r="AF3092" s="3421"/>
      <c r="AG3092" s="3421"/>
      <c r="AH3092" s="156"/>
      <c r="AI3092" s="156"/>
      <c r="AJ3092" s="156"/>
      <c r="AK3092" s="156"/>
      <c r="AL3092" s="156"/>
      <c r="AM3092" s="156"/>
      <c r="AN3092" s="156"/>
      <c r="AO3092" s="156"/>
      <c r="AP3092" s="156"/>
      <c r="AQ3092" s="156"/>
      <c r="AR3092" s="156"/>
      <c r="AS3092" s="156"/>
      <c r="AT3092" s="156"/>
      <c r="AU3092" s="156"/>
      <c r="AV3092" s="156"/>
      <c r="AW3092" s="156"/>
      <c r="AX3092" s="156"/>
      <c r="AY3092" s="156"/>
      <c r="AZ3092" s="156"/>
      <c r="BA3092" s="156"/>
      <c r="BB3092" s="2828"/>
      <c r="BC3092" s="452"/>
      <c r="BD3092" s="2829"/>
      <c r="BE3092" s="2837"/>
      <c r="BF3092" s="156"/>
    </row>
    <row r="3093" spans="1:58" ht="15" customHeight="1" outlineLevel="1" x14ac:dyDescent="0.35">
      <c r="A3093" s="1071"/>
      <c r="B3093" s="2812"/>
      <c r="C3093" s="3077"/>
      <c r="D3093" s="3980"/>
      <c r="E3093" s="3883"/>
      <c r="F3093" s="3984" t="str">
        <f>$E$1910</f>
        <v>ASHP-SEER19_ROF_MF_CompE</v>
      </c>
      <c r="G3093" s="3984"/>
      <c r="H3093" s="3984"/>
      <c r="I3093" s="3984"/>
      <c r="J3093" s="3501" t="str">
        <f>$C$1910</f>
        <v>355051_2019_12_</v>
      </c>
      <c r="K3093" s="3425">
        <f>$K$2925</f>
        <v>632</v>
      </c>
      <c r="L3093" s="704"/>
      <c r="M3093" s="3044" t="s">
        <v>513</v>
      </c>
      <c r="N3093" s="106"/>
      <c r="O3093" s="106"/>
      <c r="P3093" s="106"/>
      <c r="Q3093" s="106"/>
      <c r="R3093" s="106"/>
      <c r="S3093" s="106"/>
      <c r="T3093" s="106"/>
      <c r="U3093" s="106"/>
      <c r="V3093" s="3980"/>
      <c r="W3093" s="3421"/>
      <c r="X3093" s="3421"/>
      <c r="Y3093" s="2377">
        <f>$K$2925</f>
        <v>632</v>
      </c>
      <c r="Z3093" s="3425">
        <f t="shared" ref="Z3093:AA3093" si="397">$K$2925</f>
        <v>632</v>
      </c>
      <c r="AA3093" s="3425">
        <f t="shared" si="397"/>
        <v>632</v>
      </c>
      <c r="AB3093" s="3425">
        <v>632</v>
      </c>
      <c r="AC3093" s="2132">
        <f>$K$2925</f>
        <v>632</v>
      </c>
      <c r="AD3093" s="3421">
        <v>632</v>
      </c>
      <c r="AE3093" s="3429"/>
      <c r="AF3093" s="3421"/>
      <c r="AG3093" s="3421"/>
      <c r="AH3093" s="156"/>
      <c r="AI3093" s="156"/>
      <c r="AJ3093" s="156"/>
      <c r="AK3093" s="156"/>
      <c r="AL3093" s="156"/>
      <c r="AM3093" s="156"/>
      <c r="AN3093" s="156"/>
      <c r="AO3093" s="156"/>
      <c r="AP3093" s="156"/>
      <c r="AQ3093" s="156"/>
      <c r="AR3093" s="156"/>
      <c r="AS3093" s="156"/>
      <c r="AT3093" s="156"/>
      <c r="AU3093" s="156"/>
      <c r="AV3093" s="156"/>
      <c r="AW3093" s="156"/>
      <c r="AX3093" s="156"/>
      <c r="AY3093" s="156"/>
      <c r="AZ3093" s="156"/>
      <c r="BA3093" s="156"/>
      <c r="BB3093" s="2828"/>
      <c r="BC3093" s="452"/>
      <c r="BD3093" s="2829"/>
      <c r="BE3093" s="2837"/>
      <c r="BF3093" s="156"/>
    </row>
    <row r="3094" spans="1:58" ht="15" customHeight="1" outlineLevel="1" x14ac:dyDescent="0.35">
      <c r="A3094" s="1664"/>
      <c r="B3094" s="2812"/>
      <c r="C3094" s="3077"/>
      <c r="D3094" s="3980"/>
      <c r="E3094" s="3883"/>
      <c r="F3094" s="3984" t="str">
        <f>$E$1912</f>
        <v>ASHP-SEER20_ROF_MF</v>
      </c>
      <c r="G3094" s="3984"/>
      <c r="H3094" s="3984"/>
      <c r="I3094" s="3984"/>
      <c r="J3094" s="3501" t="str">
        <f>$C$1912</f>
        <v>355100_2019_12_</v>
      </c>
      <c r="K3094" s="3425">
        <v>869</v>
      </c>
      <c r="L3094" s="704"/>
      <c r="M3094" s="3022" t="s">
        <v>977</v>
      </c>
      <c r="N3094" s="106"/>
      <c r="O3094" s="106"/>
      <c r="P3094" s="702"/>
      <c r="Q3094" s="574"/>
      <c r="R3094" s="702"/>
      <c r="S3094" s="106"/>
      <c r="T3094" s="486"/>
      <c r="U3094" s="106"/>
      <c r="V3094" s="3980"/>
      <c r="W3094" s="3421">
        <v>869</v>
      </c>
      <c r="X3094" s="3421">
        <v>869</v>
      </c>
      <c r="Y3094" s="3425">
        <v>869</v>
      </c>
      <c r="Z3094" s="3425">
        <v>869</v>
      </c>
      <c r="AA3094" s="3425">
        <v>869</v>
      </c>
      <c r="AB3094" s="3425">
        <v>869</v>
      </c>
      <c r="AC3094" s="2132">
        <v>869</v>
      </c>
      <c r="AD3094" s="3421">
        <v>869</v>
      </c>
      <c r="AE3094" s="3429"/>
      <c r="AF3094" s="3421"/>
      <c r="AG3094" s="3421"/>
      <c r="AH3094" s="156"/>
      <c r="AI3094" s="156"/>
      <c r="AJ3094" s="156"/>
      <c r="AK3094" s="156"/>
      <c r="AL3094" s="156"/>
      <c r="AM3094" s="156"/>
      <c r="AN3094" s="156"/>
      <c r="AO3094" s="156"/>
      <c r="AP3094" s="156"/>
      <c r="AQ3094" s="156"/>
      <c r="AR3094" s="156"/>
      <c r="AS3094" s="156"/>
      <c r="AT3094" s="156"/>
      <c r="AU3094" s="156"/>
      <c r="AV3094" s="156"/>
      <c r="AW3094" s="156"/>
      <c r="AX3094" s="156"/>
      <c r="AY3094" s="156"/>
      <c r="AZ3094" s="156"/>
      <c r="BA3094" s="156"/>
      <c r="BB3094" s="2828"/>
      <c r="BC3094" s="452"/>
      <c r="BD3094" s="2829"/>
      <c r="BE3094" s="2837"/>
      <c r="BF3094" s="156"/>
    </row>
    <row r="3095" spans="1:58" ht="15" customHeight="1" outlineLevel="1" x14ac:dyDescent="0.35">
      <c r="A3095" s="1664"/>
      <c r="B3095" s="2812"/>
      <c r="C3095" s="3077"/>
      <c r="D3095" s="3980"/>
      <c r="E3095" s="3883"/>
      <c r="F3095" s="3984" t="str">
        <f>$E$1914</f>
        <v>ASHP-SEER20_ROF_MF_CompE</v>
      </c>
      <c r="G3095" s="3984"/>
      <c r="H3095" s="3984"/>
      <c r="I3095" s="3984"/>
      <c r="J3095" s="3501" t="str">
        <f>$C$1914</f>
        <v>355101_2019_12_</v>
      </c>
      <c r="K3095" s="3425">
        <f>$K$2925</f>
        <v>632</v>
      </c>
      <c r="L3095" s="705"/>
      <c r="M3095" s="3044" t="s">
        <v>513</v>
      </c>
      <c r="N3095" s="106"/>
      <c r="O3095" s="106"/>
      <c r="P3095" s="702"/>
      <c r="Q3095" s="574"/>
      <c r="R3095" s="702"/>
      <c r="S3095" s="106"/>
      <c r="T3095" s="486"/>
      <c r="U3095" s="106"/>
      <c r="V3095" s="3980"/>
      <c r="W3095" s="576"/>
      <c r="X3095" s="576"/>
      <c r="Y3095" s="2377">
        <f>$K$2925</f>
        <v>632</v>
      </c>
      <c r="Z3095" s="3425">
        <f t="shared" ref="Z3095:AA3095" si="398">$K$2925</f>
        <v>632</v>
      </c>
      <c r="AA3095" s="3425">
        <f t="shared" si="398"/>
        <v>632</v>
      </c>
      <c r="AB3095" s="3425">
        <v>632</v>
      </c>
      <c r="AC3095" s="2132">
        <f>$K$2925</f>
        <v>632</v>
      </c>
      <c r="AD3095" s="3421">
        <v>632</v>
      </c>
      <c r="AE3095" s="2935"/>
      <c r="AF3095" s="576"/>
      <c r="AG3095" s="576"/>
      <c r="AH3095" s="156"/>
      <c r="AI3095" s="156"/>
      <c r="AJ3095" s="156"/>
      <c r="AK3095" s="156"/>
      <c r="AL3095" s="156"/>
      <c r="AM3095" s="156"/>
      <c r="AN3095" s="156"/>
      <c r="AO3095" s="156"/>
      <c r="AP3095" s="156"/>
      <c r="AQ3095" s="156"/>
      <c r="AR3095" s="156"/>
      <c r="AS3095" s="156"/>
      <c r="AT3095" s="156"/>
      <c r="AU3095" s="156"/>
      <c r="AV3095" s="156"/>
      <c r="AW3095" s="156"/>
      <c r="AX3095" s="156"/>
      <c r="AY3095" s="156"/>
      <c r="AZ3095" s="156"/>
      <c r="BA3095" s="156"/>
      <c r="BB3095" s="2828"/>
      <c r="BC3095" s="452"/>
      <c r="BD3095" s="2829"/>
      <c r="BE3095" s="2837"/>
      <c r="BF3095" s="156"/>
    </row>
    <row r="3096" spans="1:58" ht="15.75" customHeight="1" outlineLevel="1" x14ac:dyDescent="0.35">
      <c r="A3096" s="1664"/>
      <c r="B3096" s="2812"/>
      <c r="C3096" s="3077"/>
      <c r="D3096" s="3980"/>
      <c r="E3096" s="3883"/>
      <c r="F3096" s="3984" t="str">
        <f>$E$1916</f>
        <v>ASHP-SEER21_ROF_MF</v>
      </c>
      <c r="G3096" s="3984"/>
      <c r="H3096" s="3984"/>
      <c r="I3096" s="3984"/>
      <c r="J3096" s="3501" t="str">
        <f>$C$1916</f>
        <v>355150_2019_12_</v>
      </c>
      <c r="K3096" s="3421">
        <v>869</v>
      </c>
      <c r="L3096" s="704"/>
      <c r="M3096" s="3022" t="s">
        <v>977</v>
      </c>
      <c r="N3096" s="106"/>
      <c r="O3096" s="106"/>
      <c r="P3096" s="702"/>
      <c r="Q3096" s="574"/>
      <c r="R3096" s="702"/>
      <c r="S3096" s="106"/>
      <c r="T3096" s="486"/>
      <c r="U3096" s="106"/>
      <c r="V3096" s="3980"/>
      <c r="W3096" s="576">
        <v>869</v>
      </c>
      <c r="X3096" s="576">
        <v>869</v>
      </c>
      <c r="Y3096" s="576">
        <v>869</v>
      </c>
      <c r="Z3096" s="576">
        <v>869</v>
      </c>
      <c r="AA3096" s="576">
        <v>869</v>
      </c>
      <c r="AB3096" s="3421">
        <v>869</v>
      </c>
      <c r="AC3096" s="3428">
        <v>869</v>
      </c>
      <c r="AD3096" s="3421">
        <v>869</v>
      </c>
      <c r="AE3096" s="2935"/>
      <c r="AF3096" s="576"/>
      <c r="AG3096" s="576"/>
      <c r="AH3096" s="156"/>
      <c r="AI3096" s="156"/>
      <c r="AJ3096" s="156"/>
      <c r="AK3096" s="156"/>
      <c r="AL3096" s="156"/>
      <c r="AM3096" s="156"/>
      <c r="AN3096" s="156"/>
      <c r="AO3096" s="156"/>
      <c r="AP3096" s="156"/>
      <c r="AQ3096" s="156"/>
      <c r="AR3096" s="156"/>
      <c r="AS3096" s="156"/>
      <c r="AT3096" s="156"/>
      <c r="AU3096" s="156"/>
      <c r="AV3096" s="156"/>
      <c r="AW3096" s="156"/>
      <c r="AX3096" s="156"/>
      <c r="AY3096" s="156"/>
      <c r="AZ3096" s="156"/>
      <c r="BA3096" s="156"/>
      <c r="BB3096" s="2828"/>
      <c r="BC3096" s="452"/>
      <c r="BD3096" s="2829"/>
      <c r="BE3096" s="2837"/>
      <c r="BF3096" s="156"/>
    </row>
    <row r="3097" spans="1:58" ht="15.75" customHeight="1" outlineLevel="1" thickBot="1" x14ac:dyDescent="0.4">
      <c r="A3097" s="1664"/>
      <c r="B3097" s="2812"/>
      <c r="C3097" s="3077"/>
      <c r="D3097" s="3981"/>
      <c r="E3097" s="3983"/>
      <c r="F3097" s="4106" t="str">
        <f>$E$1918</f>
        <v>ASHP-SEER21_ROF_MF_CompE</v>
      </c>
      <c r="G3097" s="4106"/>
      <c r="H3097" s="4106"/>
      <c r="I3097" s="4106"/>
      <c r="J3097" s="3503" t="str">
        <f>$C$1918</f>
        <v>355151_2019_12_</v>
      </c>
      <c r="K3097" s="708">
        <f>$K$2925</f>
        <v>632</v>
      </c>
      <c r="L3097" s="707"/>
      <c r="M3097" s="3045" t="s">
        <v>513</v>
      </c>
      <c r="N3097" s="106"/>
      <c r="O3097" s="106"/>
      <c r="P3097" s="702"/>
      <c r="Q3097" s="574"/>
      <c r="R3097" s="702"/>
      <c r="S3097" s="106"/>
      <c r="T3097" s="486"/>
      <c r="U3097" s="106"/>
      <c r="V3097" s="3981"/>
      <c r="W3097" s="3422"/>
      <c r="X3097" s="3422"/>
      <c r="Y3097" s="2375">
        <f>$K$2925</f>
        <v>632</v>
      </c>
      <c r="Z3097" s="3422">
        <f t="shared" ref="Z3097:AA3097" si="399">$K$2925</f>
        <v>632</v>
      </c>
      <c r="AA3097" s="3422">
        <f t="shared" si="399"/>
        <v>632</v>
      </c>
      <c r="AB3097" s="708">
        <v>632</v>
      </c>
      <c r="AC3097" s="2918">
        <f>$K$2925</f>
        <v>632</v>
      </c>
      <c r="AD3097" s="3422">
        <v>632</v>
      </c>
      <c r="AE3097" s="3432"/>
      <c r="AF3097" s="3422"/>
      <c r="AG3097" s="3422"/>
      <c r="AH3097" s="156"/>
      <c r="AI3097" s="156"/>
      <c r="AJ3097" s="156"/>
      <c r="AK3097" s="156"/>
      <c r="AL3097" s="156"/>
      <c r="AM3097" s="156"/>
      <c r="AN3097" s="156"/>
      <c r="AO3097" s="156"/>
      <c r="AP3097" s="156"/>
      <c r="AQ3097" s="156"/>
      <c r="AR3097" s="156"/>
      <c r="AS3097" s="156"/>
      <c r="AT3097" s="156"/>
      <c r="AU3097" s="156"/>
      <c r="AV3097" s="156"/>
      <c r="AW3097" s="156"/>
      <c r="AX3097" s="156"/>
      <c r="AY3097" s="156"/>
      <c r="AZ3097" s="156"/>
      <c r="BA3097" s="156"/>
      <c r="BB3097" s="2828"/>
      <c r="BC3097" s="452"/>
      <c r="BD3097" s="2829"/>
      <c r="BE3097" s="2837"/>
      <c r="BF3097" s="156"/>
    </row>
    <row r="3098" spans="1:58" ht="15" customHeight="1" outlineLevel="1" x14ac:dyDescent="0.35">
      <c r="A3098" s="1664"/>
      <c r="B3098" s="2812"/>
      <c r="C3098" s="3077"/>
      <c r="D3098" s="3979" t="s">
        <v>1120</v>
      </c>
      <c r="E3098" s="4137" t="s">
        <v>1121</v>
      </c>
      <c r="F3098" s="4133" t="str">
        <f>$E$1534</f>
        <v>ASHP-SEER15-Replace_CAC_ElectricHeat_ER1_SF</v>
      </c>
      <c r="G3098" s="4134"/>
      <c r="H3098" s="4134"/>
      <c r="I3098" s="4135"/>
      <c r="J3098" s="3500" t="str">
        <f>$C$1534</f>
        <v>352300_2021_12_</v>
      </c>
      <c r="K3098" s="3504">
        <v>7.4467291759226644</v>
      </c>
      <c r="L3098" s="620"/>
      <c r="M3098" s="3023" t="s">
        <v>4360</v>
      </c>
      <c r="N3098" s="106"/>
      <c r="O3098" s="106"/>
      <c r="P3098" s="702"/>
      <c r="Q3098" s="702"/>
      <c r="R3098" s="702"/>
      <c r="S3098" s="106"/>
      <c r="T3098" s="486"/>
      <c r="U3098" s="106"/>
      <c r="V3098" s="3979" t="s">
        <v>1120</v>
      </c>
      <c r="W3098" s="3424">
        <v>6.8</v>
      </c>
      <c r="X3098" s="2376">
        <v>8.33</v>
      </c>
      <c r="Y3098" s="3425">
        <v>8.33</v>
      </c>
      <c r="Z3098" s="3425">
        <v>8.33</v>
      </c>
      <c r="AA3098" s="3425">
        <v>8.33</v>
      </c>
      <c r="AB3098" s="582">
        <v>7.2250895092808101</v>
      </c>
      <c r="AC3098" s="3506">
        <v>8.1543772216897246</v>
      </c>
      <c r="AD3098" s="3560">
        <v>7.4467291759226644</v>
      </c>
      <c r="AE3098" s="3431"/>
      <c r="AF3098" s="3424"/>
      <c r="AG3098" s="3424"/>
      <c r="AH3098" s="156"/>
      <c r="AI3098" s="156"/>
      <c r="AJ3098" s="156"/>
      <c r="AK3098" s="156"/>
      <c r="AL3098" s="156"/>
      <c r="AM3098" s="156"/>
      <c r="AN3098" s="156"/>
      <c r="AO3098" s="156"/>
      <c r="AP3098" s="156"/>
      <c r="AQ3098" s="156"/>
      <c r="AR3098" s="156"/>
      <c r="AS3098" s="156"/>
      <c r="AT3098" s="156"/>
      <c r="AU3098" s="156"/>
      <c r="AV3098" s="156"/>
      <c r="AW3098" s="156"/>
      <c r="AX3098" s="156"/>
      <c r="AY3098" s="156"/>
      <c r="AZ3098" s="156"/>
      <c r="BA3098" s="156"/>
      <c r="BB3098" s="2828"/>
      <c r="BC3098" s="452"/>
      <c r="BD3098" s="2829"/>
      <c r="BE3098" s="2837"/>
      <c r="BF3098" s="156"/>
    </row>
    <row r="3099" spans="1:58" ht="15" customHeight="1" outlineLevel="1" x14ac:dyDescent="0.35">
      <c r="A3099" s="1664"/>
      <c r="B3099" s="2812"/>
      <c r="C3099" s="3077"/>
      <c r="D3099" s="3980"/>
      <c r="E3099" s="3883"/>
      <c r="F3099" s="3984" t="str">
        <f>$E$1536</f>
        <v>ASHP-SEER15-Replace_CAC_ElectricHeat_ER2_SF</v>
      </c>
      <c r="G3099" s="3984"/>
      <c r="H3099" s="3984"/>
      <c r="I3099" s="3984"/>
      <c r="J3099" s="3501" t="str">
        <f>$C$1536</f>
        <v>352300_2021_12_</v>
      </c>
      <c r="K3099" s="3051">
        <v>13</v>
      </c>
      <c r="L3099" s="703"/>
      <c r="M3099" s="3022" t="s">
        <v>1070</v>
      </c>
      <c r="N3099" s="106"/>
      <c r="O3099" s="106"/>
      <c r="P3099" s="702"/>
      <c r="Q3099" s="702"/>
      <c r="R3099" s="702"/>
      <c r="S3099" s="106"/>
      <c r="T3099" s="486"/>
      <c r="U3099" s="106"/>
      <c r="V3099" s="3980"/>
      <c r="W3099" s="3421">
        <v>13</v>
      </c>
      <c r="X3099" s="3421">
        <v>13</v>
      </c>
      <c r="Y3099" s="3425">
        <v>13</v>
      </c>
      <c r="Z3099" s="3425">
        <v>13</v>
      </c>
      <c r="AA3099" s="3425">
        <v>13</v>
      </c>
      <c r="AB3099" s="583">
        <v>13</v>
      </c>
      <c r="AC3099" s="2920">
        <v>13</v>
      </c>
      <c r="AD3099" s="3051">
        <v>13</v>
      </c>
      <c r="AE3099" s="3429"/>
      <c r="AF3099" s="3421"/>
      <c r="AG3099" s="3421"/>
      <c r="AH3099" s="156"/>
      <c r="AI3099" s="156"/>
      <c r="AJ3099" s="156"/>
      <c r="AK3099" s="156"/>
      <c r="AL3099" s="156"/>
      <c r="AM3099" s="156"/>
      <c r="AN3099" s="156"/>
      <c r="AO3099" s="156"/>
      <c r="AP3099" s="156"/>
      <c r="AQ3099" s="156"/>
      <c r="AR3099" s="156"/>
      <c r="AS3099" s="156"/>
      <c r="AT3099" s="156"/>
      <c r="AU3099" s="156"/>
      <c r="AV3099" s="156"/>
      <c r="AW3099" s="156"/>
      <c r="AX3099" s="156"/>
      <c r="AY3099" s="156"/>
      <c r="AZ3099" s="156"/>
      <c r="BA3099" s="156"/>
      <c r="BB3099" s="2828"/>
      <c r="BC3099" s="452"/>
      <c r="BD3099" s="2829"/>
      <c r="BE3099" s="2837"/>
      <c r="BF3099" s="156"/>
    </row>
    <row r="3100" spans="1:58" ht="15" customHeight="1" outlineLevel="1" x14ac:dyDescent="0.35">
      <c r="A3100" s="1664"/>
      <c r="B3100" s="2812"/>
      <c r="C3100" s="3077"/>
      <c r="D3100" s="3980"/>
      <c r="E3100" s="3883"/>
      <c r="F3100" s="3984" t="str">
        <f>$E$1538</f>
        <v>ASHP-SEER15-Replace_CAC_NonElectricHeat_ER1_SF</v>
      </c>
      <c r="G3100" s="3984"/>
      <c r="H3100" s="3984"/>
      <c r="I3100" s="3984"/>
      <c r="J3100" s="3501" t="str">
        <f>$C$1538</f>
        <v>352310_2021_12_</v>
      </c>
      <c r="K3100" s="3050">
        <v>7.4467291759226644</v>
      </c>
      <c r="L3100" s="703"/>
      <c r="M3100" s="3022" t="s">
        <v>1083</v>
      </c>
      <c r="N3100" s="106"/>
      <c r="O3100" s="106"/>
      <c r="P3100" s="702"/>
      <c r="Q3100" s="702"/>
      <c r="R3100" s="702"/>
      <c r="S3100" s="106"/>
      <c r="T3100" s="486"/>
      <c r="U3100" s="106"/>
      <c r="V3100" s="3980"/>
      <c r="W3100" s="3421"/>
      <c r="X3100" s="3421"/>
      <c r="Y3100" s="3425"/>
      <c r="Z3100" s="3425"/>
      <c r="AA3100" s="3425"/>
      <c r="AB3100" s="583"/>
      <c r="AC3100" s="3561">
        <v>8.1543772216897246</v>
      </c>
      <c r="AD3100" s="3050">
        <v>7.4467291759226644</v>
      </c>
      <c r="AE3100" s="3429"/>
      <c r="AF3100" s="3421"/>
      <c r="AG3100" s="3421"/>
      <c r="AH3100" s="156"/>
      <c r="AI3100" s="156"/>
      <c r="AJ3100" s="156"/>
      <c r="AK3100" s="156"/>
      <c r="AL3100" s="156"/>
      <c r="AM3100" s="156"/>
      <c r="AN3100" s="156"/>
      <c r="AO3100" s="156"/>
      <c r="AP3100" s="156"/>
      <c r="AQ3100" s="156"/>
      <c r="AR3100" s="156"/>
      <c r="AS3100" s="156"/>
      <c r="AT3100" s="156"/>
      <c r="AU3100" s="156"/>
      <c r="AV3100" s="156"/>
      <c r="AW3100" s="156"/>
      <c r="AX3100" s="156"/>
      <c r="AY3100" s="156"/>
      <c r="AZ3100" s="156"/>
      <c r="BA3100" s="156"/>
      <c r="BB3100" s="2828"/>
      <c r="BC3100" s="452"/>
      <c r="BD3100" s="2829"/>
      <c r="BE3100" s="2837"/>
      <c r="BF3100" s="156"/>
    </row>
    <row r="3101" spans="1:58" ht="15" customHeight="1" outlineLevel="1" x14ac:dyDescent="0.35">
      <c r="A3101" s="1664"/>
      <c r="B3101" s="2812"/>
      <c r="C3101" s="3077"/>
      <c r="D3101" s="3980"/>
      <c r="E3101" s="3883"/>
      <c r="F3101" s="3984" t="str">
        <f>$E$1540</f>
        <v>ASHP-SEER15-Replace_CAC_NonElectricHeat_ER2_SF</v>
      </c>
      <c r="G3101" s="3984"/>
      <c r="H3101" s="3984"/>
      <c r="I3101" s="3984"/>
      <c r="J3101" s="3501" t="str">
        <f>$C$1540</f>
        <v>352310_2021_12_</v>
      </c>
      <c r="K3101" s="3051">
        <v>13</v>
      </c>
      <c r="L3101" s="703"/>
      <c r="M3101" s="3022" t="s">
        <v>1070</v>
      </c>
      <c r="N3101" s="106"/>
      <c r="O3101" s="106"/>
      <c r="P3101" s="702"/>
      <c r="Q3101" s="702"/>
      <c r="R3101" s="702"/>
      <c r="S3101" s="106"/>
      <c r="T3101" s="486"/>
      <c r="U3101" s="106"/>
      <c r="V3101" s="3980"/>
      <c r="W3101" s="3421"/>
      <c r="X3101" s="3421"/>
      <c r="Y3101" s="3425"/>
      <c r="Z3101" s="3425"/>
      <c r="AA3101" s="3425"/>
      <c r="AB3101" s="583"/>
      <c r="AC3101" s="2919">
        <v>13</v>
      </c>
      <c r="AD3101" s="3051">
        <v>13</v>
      </c>
      <c r="AE3101" s="3429"/>
      <c r="AF3101" s="3421"/>
      <c r="AG3101" s="3421"/>
      <c r="AH3101" s="156"/>
      <c r="AI3101" s="156"/>
      <c r="AJ3101" s="156"/>
      <c r="AK3101" s="156"/>
      <c r="AL3101" s="156"/>
      <c r="AM3101" s="156"/>
      <c r="AN3101" s="156"/>
      <c r="AO3101" s="156"/>
      <c r="AP3101" s="156"/>
      <c r="AQ3101" s="156"/>
      <c r="AR3101" s="156"/>
      <c r="AS3101" s="156"/>
      <c r="AT3101" s="156"/>
      <c r="AU3101" s="156"/>
      <c r="AV3101" s="156"/>
      <c r="AW3101" s="156"/>
      <c r="AX3101" s="156"/>
      <c r="AY3101" s="156"/>
      <c r="AZ3101" s="156"/>
      <c r="BA3101" s="156"/>
      <c r="BB3101" s="2828"/>
      <c r="BC3101" s="452"/>
      <c r="BD3101" s="2829"/>
      <c r="BE3101" s="2837"/>
      <c r="BF3101" s="156"/>
    </row>
    <row r="3102" spans="1:58" ht="15" customHeight="1" outlineLevel="1" x14ac:dyDescent="0.35">
      <c r="A3102" s="1664"/>
      <c r="B3102" s="2812"/>
      <c r="C3102" s="3077"/>
      <c r="D3102" s="3980"/>
      <c r="E3102" s="3883"/>
      <c r="F3102" s="3984" t="str">
        <f>$E$1542</f>
        <v>ASHP-SEER15_ER1_SF</v>
      </c>
      <c r="G3102" s="3984"/>
      <c r="H3102" s="3984"/>
      <c r="I3102" s="3984"/>
      <c r="J3102" s="3501" t="str">
        <f>$C$1542</f>
        <v>352350_2021_12_</v>
      </c>
      <c r="K3102" s="3050">
        <v>7.4467291759226644</v>
      </c>
      <c r="L3102" s="703"/>
      <c r="M3102" s="3024" t="s">
        <v>4360</v>
      </c>
      <c r="N3102" s="106"/>
      <c r="O3102" s="106"/>
      <c r="P3102" s="702"/>
      <c r="Q3102" s="702"/>
      <c r="R3102" s="702"/>
      <c r="S3102" s="106"/>
      <c r="T3102" s="486"/>
      <c r="U3102" s="106"/>
      <c r="V3102" s="3980"/>
      <c r="W3102" s="3421">
        <v>7.2</v>
      </c>
      <c r="X3102" s="2374">
        <v>8.33</v>
      </c>
      <c r="Y3102" s="3425">
        <v>8.33</v>
      </c>
      <c r="Z3102" s="3425">
        <v>8.33</v>
      </c>
      <c r="AA3102" s="3425">
        <v>8.33</v>
      </c>
      <c r="AB3102" s="584">
        <v>7.4709062755842588</v>
      </c>
      <c r="AC3102" s="2919">
        <v>8.380670139147373</v>
      </c>
      <c r="AD3102" s="3050">
        <v>7.4467291759226644</v>
      </c>
      <c r="AE3102" s="3429"/>
      <c r="AF3102" s="3421"/>
      <c r="AG3102" s="3421"/>
      <c r="AH3102" s="156"/>
      <c r="AI3102" s="156"/>
      <c r="AJ3102" s="156"/>
      <c r="AK3102" s="156"/>
      <c r="AL3102" s="156"/>
      <c r="AM3102" s="156"/>
      <c r="AN3102" s="156"/>
      <c r="AO3102" s="156"/>
      <c r="AP3102" s="156"/>
      <c r="AQ3102" s="156"/>
      <c r="AR3102" s="156"/>
      <c r="AS3102" s="156"/>
      <c r="AT3102" s="156"/>
      <c r="AU3102" s="156"/>
      <c r="AV3102" s="156"/>
      <c r="AW3102" s="156"/>
      <c r="AX3102" s="156"/>
      <c r="AY3102" s="156"/>
      <c r="AZ3102" s="156"/>
      <c r="BA3102" s="156"/>
      <c r="BB3102" s="2828"/>
      <c r="BC3102" s="452"/>
      <c r="BD3102" s="2829"/>
      <c r="BE3102" s="2837"/>
      <c r="BF3102" s="156"/>
    </row>
    <row r="3103" spans="1:58" ht="15" customHeight="1" outlineLevel="1" x14ac:dyDescent="0.35">
      <c r="A3103" s="1664"/>
      <c r="B3103" s="2812"/>
      <c r="C3103" s="3077"/>
      <c r="D3103" s="3980"/>
      <c r="E3103" s="3883"/>
      <c r="F3103" s="3984" t="str">
        <f>$E$1544</f>
        <v>ASHP-SEER15_ER2_SF</v>
      </c>
      <c r="G3103" s="3984"/>
      <c r="H3103" s="3984"/>
      <c r="I3103" s="3984"/>
      <c r="J3103" s="3501" t="str">
        <f>$C$1544</f>
        <v>352350_2021_12_</v>
      </c>
      <c r="K3103" s="3051">
        <v>14</v>
      </c>
      <c r="L3103" s="703"/>
      <c r="M3103" s="3022" t="s">
        <v>1070</v>
      </c>
      <c r="N3103" s="106"/>
      <c r="O3103" s="106"/>
      <c r="P3103" s="702"/>
      <c r="Q3103" s="702"/>
      <c r="R3103" s="702"/>
      <c r="S3103" s="106"/>
      <c r="T3103" s="486"/>
      <c r="U3103" s="106"/>
      <c r="V3103" s="3980"/>
      <c r="W3103" s="3421">
        <v>14</v>
      </c>
      <c r="X3103" s="3421">
        <v>14</v>
      </c>
      <c r="Y3103" s="3425">
        <v>14</v>
      </c>
      <c r="Z3103" s="3425">
        <v>14</v>
      </c>
      <c r="AA3103" s="3425">
        <v>14</v>
      </c>
      <c r="AB3103" s="583">
        <v>14</v>
      </c>
      <c r="AC3103" s="2920">
        <v>14</v>
      </c>
      <c r="AD3103" s="3051">
        <v>14</v>
      </c>
      <c r="AE3103" s="3429"/>
      <c r="AF3103" s="3421"/>
      <c r="AG3103" s="3421"/>
      <c r="AH3103" s="156"/>
      <c r="AI3103" s="156"/>
      <c r="AJ3103" s="156"/>
      <c r="AK3103" s="156"/>
      <c r="AL3103" s="156"/>
      <c r="AM3103" s="156"/>
      <c r="AN3103" s="156"/>
      <c r="AO3103" s="156"/>
      <c r="AP3103" s="156"/>
      <c r="AQ3103" s="156"/>
      <c r="AR3103" s="156"/>
      <c r="AS3103" s="156"/>
      <c r="AT3103" s="156"/>
      <c r="AU3103" s="156"/>
      <c r="AV3103" s="156"/>
      <c r="AW3103" s="156"/>
      <c r="AX3103" s="156"/>
      <c r="AY3103" s="156"/>
      <c r="AZ3103" s="156"/>
      <c r="BA3103" s="156"/>
      <c r="BB3103" s="2828"/>
      <c r="BC3103" s="452"/>
      <c r="BD3103" s="2829"/>
      <c r="BE3103" s="2837"/>
      <c r="BF3103" s="156"/>
    </row>
    <row r="3104" spans="1:58" ht="15" customHeight="1" outlineLevel="1" x14ac:dyDescent="0.35">
      <c r="A3104" s="1664"/>
      <c r="B3104" s="2812"/>
      <c r="C3104" s="3077"/>
      <c r="D3104" s="3980"/>
      <c r="E3104" s="3883"/>
      <c r="F3104" s="3984" t="str">
        <f>$E$1546</f>
        <v>ASHP-SEER15-Replace_CAC_ElectricHeat_ROF_SF</v>
      </c>
      <c r="G3104" s="3984"/>
      <c r="H3104" s="3984"/>
      <c r="I3104" s="3984"/>
      <c r="J3104" s="3501" t="str">
        <f>$C$1546</f>
        <v>352400_2021_12_</v>
      </c>
      <c r="K3104" s="3051">
        <v>13</v>
      </c>
      <c r="L3104" s="703"/>
      <c r="M3104" s="3022" t="s">
        <v>1070</v>
      </c>
      <c r="N3104" s="106"/>
      <c r="O3104" s="106"/>
      <c r="P3104" s="702"/>
      <c r="Q3104" s="702"/>
      <c r="R3104" s="702"/>
      <c r="S3104" s="106"/>
      <c r="T3104" s="486"/>
      <c r="U3104" s="106"/>
      <c r="V3104" s="3980"/>
      <c r="W3104" s="3421">
        <v>13</v>
      </c>
      <c r="X3104" s="3421">
        <v>13</v>
      </c>
      <c r="Y3104" s="3425">
        <v>13</v>
      </c>
      <c r="Z3104" s="3425">
        <v>13</v>
      </c>
      <c r="AA3104" s="3425">
        <v>13</v>
      </c>
      <c r="AB3104" s="583">
        <v>13</v>
      </c>
      <c r="AC3104" s="2920">
        <v>13</v>
      </c>
      <c r="AD3104" s="3051">
        <v>13</v>
      </c>
      <c r="AE3104" s="3429"/>
      <c r="AF3104" s="3421"/>
      <c r="AG3104" s="3421"/>
      <c r="AH3104" s="156"/>
      <c r="AI3104" s="156"/>
      <c r="AJ3104" s="156"/>
      <c r="AK3104" s="156"/>
      <c r="AL3104" s="156"/>
      <c r="AM3104" s="156"/>
      <c r="AN3104" s="156"/>
      <c r="AO3104" s="156"/>
      <c r="AP3104" s="156"/>
      <c r="AQ3104" s="156"/>
      <c r="AR3104" s="156"/>
      <c r="AS3104" s="156"/>
      <c r="AT3104" s="156"/>
      <c r="AU3104" s="156"/>
      <c r="AV3104" s="156"/>
      <c r="AW3104" s="156"/>
      <c r="AX3104" s="156"/>
      <c r="AY3104" s="156"/>
      <c r="AZ3104" s="156"/>
      <c r="BA3104" s="156"/>
      <c r="BB3104" s="2828"/>
      <c r="BC3104" s="452"/>
      <c r="BD3104" s="2829"/>
      <c r="BE3104" s="2837"/>
      <c r="BF3104" s="156"/>
    </row>
    <row r="3105" spans="1:58" ht="15" customHeight="1" outlineLevel="1" x14ac:dyDescent="0.35">
      <c r="A3105" s="1664"/>
      <c r="B3105" s="2812"/>
      <c r="C3105" s="3077"/>
      <c r="D3105" s="3980"/>
      <c r="E3105" s="3883"/>
      <c r="F3105" s="3984" t="str">
        <f>$E$1548</f>
        <v>ASHP-SEER15-Replace_CAC_NonElectricHeat_ROF_SF</v>
      </c>
      <c r="G3105" s="3984"/>
      <c r="H3105" s="3984"/>
      <c r="I3105" s="3984"/>
      <c r="J3105" s="3501" t="str">
        <f>$C$1548</f>
        <v>352410_2021_12_</v>
      </c>
      <c r="K3105" s="3051">
        <v>13</v>
      </c>
      <c r="L3105" s="703"/>
      <c r="M3105" s="3022" t="s">
        <v>1070</v>
      </c>
      <c r="N3105" s="106"/>
      <c r="O3105" s="106"/>
      <c r="P3105" s="702"/>
      <c r="Q3105" s="702"/>
      <c r="R3105" s="702"/>
      <c r="S3105" s="106"/>
      <c r="T3105" s="486"/>
      <c r="U3105" s="106"/>
      <c r="V3105" s="3980"/>
      <c r="W3105" s="3421"/>
      <c r="X3105" s="3421"/>
      <c r="Y3105" s="3425"/>
      <c r="Z3105" s="3425"/>
      <c r="AA3105" s="3425"/>
      <c r="AB3105" s="583"/>
      <c r="AC3105" s="2919">
        <v>13</v>
      </c>
      <c r="AD3105" s="3051">
        <v>13</v>
      </c>
      <c r="AE3105" s="3429"/>
      <c r="AF3105" s="3421"/>
      <c r="AG3105" s="3421"/>
      <c r="AH3105" s="156"/>
      <c r="AI3105" s="156"/>
      <c r="AJ3105" s="156"/>
      <c r="AK3105" s="156"/>
      <c r="AL3105" s="156"/>
      <c r="AM3105" s="156"/>
      <c r="AN3105" s="156"/>
      <c r="AO3105" s="156"/>
      <c r="AP3105" s="156"/>
      <c r="AQ3105" s="156"/>
      <c r="AR3105" s="156"/>
      <c r="AS3105" s="156"/>
      <c r="AT3105" s="156"/>
      <c r="AU3105" s="156"/>
      <c r="AV3105" s="156"/>
      <c r="AW3105" s="156"/>
      <c r="AX3105" s="156"/>
      <c r="AY3105" s="156"/>
      <c r="AZ3105" s="156"/>
      <c r="BA3105" s="156"/>
      <c r="BB3105" s="2828"/>
      <c r="BC3105" s="452"/>
      <c r="BD3105" s="2829"/>
      <c r="BE3105" s="2837"/>
      <c r="BF3105" s="156"/>
    </row>
    <row r="3106" spans="1:58" ht="15" customHeight="1" outlineLevel="1" x14ac:dyDescent="0.35">
      <c r="A3106" s="1664"/>
      <c r="B3106" s="2812"/>
      <c r="C3106" s="3077"/>
      <c r="D3106" s="3980"/>
      <c r="E3106" s="3883"/>
      <c r="F3106" s="3984" t="str">
        <f>$E$1550</f>
        <v>ASHP-SEER15_ROF_SF</v>
      </c>
      <c r="G3106" s="3984"/>
      <c r="H3106" s="3984"/>
      <c r="I3106" s="3984"/>
      <c r="J3106" s="3501" t="str">
        <f>$C$1550</f>
        <v>352450_2021_12_</v>
      </c>
      <c r="K3106" s="3051">
        <v>14</v>
      </c>
      <c r="L3106" s="703"/>
      <c r="M3106" s="3022" t="s">
        <v>1070</v>
      </c>
      <c r="N3106" s="106"/>
      <c r="O3106" s="106"/>
      <c r="P3106" s="702"/>
      <c r="Q3106" s="702"/>
      <c r="R3106" s="702"/>
      <c r="S3106" s="106"/>
      <c r="T3106" s="486"/>
      <c r="U3106" s="106"/>
      <c r="V3106" s="3980"/>
      <c r="W3106" s="3421">
        <v>14</v>
      </c>
      <c r="X3106" s="3421">
        <v>14</v>
      </c>
      <c r="Y3106" s="3425">
        <v>14</v>
      </c>
      <c r="Z3106" s="3425">
        <v>14</v>
      </c>
      <c r="AA3106" s="3425">
        <v>14</v>
      </c>
      <c r="AB3106" s="583">
        <v>14</v>
      </c>
      <c r="AC3106" s="2920">
        <v>14</v>
      </c>
      <c r="AD3106" s="3051">
        <v>14</v>
      </c>
      <c r="AE3106" s="3429"/>
      <c r="AF3106" s="3421"/>
      <c r="AG3106" s="3421"/>
      <c r="AH3106" s="156"/>
      <c r="AI3106" s="156"/>
      <c r="AJ3106" s="156"/>
      <c r="AK3106" s="156"/>
      <c r="AL3106" s="156"/>
      <c r="AM3106" s="156"/>
      <c r="AN3106" s="156"/>
      <c r="AO3106" s="156"/>
      <c r="AP3106" s="156"/>
      <c r="AQ3106" s="156"/>
      <c r="AR3106" s="156"/>
      <c r="AS3106" s="156"/>
      <c r="AT3106" s="156"/>
      <c r="AU3106" s="156"/>
      <c r="AV3106" s="156"/>
      <c r="AW3106" s="156"/>
      <c r="AX3106" s="156"/>
      <c r="AY3106" s="156"/>
      <c r="AZ3106" s="156"/>
      <c r="BA3106" s="156"/>
      <c r="BB3106" s="2828"/>
      <c r="BC3106" s="452"/>
      <c r="BD3106" s="2829"/>
      <c r="BE3106" s="2837"/>
      <c r="BF3106" s="156"/>
    </row>
    <row r="3107" spans="1:58" ht="15" customHeight="1" outlineLevel="1" x14ac:dyDescent="0.35">
      <c r="A3107" s="1664"/>
      <c r="B3107" s="2812"/>
      <c r="C3107" s="3077"/>
      <c r="D3107" s="3980"/>
      <c r="E3107" s="3883"/>
      <c r="F3107" s="3984" t="str">
        <f>$E$1552</f>
        <v>ASHP-SEER16-Replace_CAC_ElectricHeat_ER1_SF</v>
      </c>
      <c r="G3107" s="3984"/>
      <c r="H3107" s="3984"/>
      <c r="I3107" s="3984"/>
      <c r="J3107" s="3501" t="str">
        <f>$C$1552</f>
        <v>352500_2021_12_</v>
      </c>
      <c r="K3107" s="3050">
        <v>7.4938049011994181</v>
      </c>
      <c r="L3107" s="703"/>
      <c r="M3107" s="3024" t="s">
        <v>4360</v>
      </c>
      <c r="N3107" s="106"/>
      <c r="O3107" s="106"/>
      <c r="P3107" s="702"/>
      <c r="Q3107" s="702"/>
      <c r="R3107" s="702"/>
      <c r="S3107" s="106"/>
      <c r="T3107" s="486"/>
      <c r="U3107" s="106"/>
      <c r="V3107" s="3980"/>
      <c r="W3107" s="3421">
        <v>6.8</v>
      </c>
      <c r="X3107" s="2374">
        <v>8.33</v>
      </c>
      <c r="Y3107" s="3425">
        <v>8.33</v>
      </c>
      <c r="Z3107" s="3425">
        <v>8.33</v>
      </c>
      <c r="AA3107" s="3425">
        <v>8.33</v>
      </c>
      <c r="AB3107" s="584">
        <v>7.3736145314130352</v>
      </c>
      <c r="AC3107" s="2919">
        <v>8.1664591605461361</v>
      </c>
      <c r="AD3107" s="3050">
        <v>7.4938049011994181</v>
      </c>
      <c r="AE3107" s="3429"/>
      <c r="AF3107" s="3421"/>
      <c r="AG3107" s="3421"/>
      <c r="AH3107" s="156"/>
      <c r="AI3107" s="156"/>
      <c r="AJ3107" s="156"/>
      <c r="AK3107" s="156"/>
      <c r="AL3107" s="156"/>
      <c r="AM3107" s="156"/>
      <c r="AN3107" s="156"/>
      <c r="AO3107" s="156"/>
      <c r="AP3107" s="156"/>
      <c r="AQ3107" s="156"/>
      <c r="AR3107" s="156"/>
      <c r="AS3107" s="156"/>
      <c r="AT3107" s="156"/>
      <c r="AU3107" s="156"/>
      <c r="AV3107" s="156"/>
      <c r="AW3107" s="156"/>
      <c r="AX3107" s="156"/>
      <c r="AY3107" s="156"/>
      <c r="AZ3107" s="156"/>
      <c r="BA3107" s="156"/>
      <c r="BB3107" s="2828"/>
      <c r="BC3107" s="452"/>
      <c r="BD3107" s="2829"/>
      <c r="BE3107" s="2837"/>
      <c r="BF3107" s="156"/>
    </row>
    <row r="3108" spans="1:58" ht="15" customHeight="1" outlineLevel="1" x14ac:dyDescent="0.35">
      <c r="A3108" s="1071"/>
      <c r="B3108" s="2812"/>
      <c r="C3108" s="3077"/>
      <c r="D3108" s="3980"/>
      <c r="E3108" s="3883"/>
      <c r="F3108" s="3984" t="str">
        <f>$E$1554</f>
        <v>ASHP-SEER16-Replace_CAC_ElectricHeat_ER2_SF</v>
      </c>
      <c r="G3108" s="3984"/>
      <c r="H3108" s="3984"/>
      <c r="I3108" s="3984"/>
      <c r="J3108" s="3501" t="str">
        <f>$C$1554</f>
        <v>352500_2021_12_</v>
      </c>
      <c r="K3108" s="3051">
        <v>13</v>
      </c>
      <c r="L3108" s="703"/>
      <c r="M3108" s="3022" t="s">
        <v>1070</v>
      </c>
      <c r="N3108" s="106"/>
      <c r="O3108" s="106"/>
      <c r="P3108" s="702"/>
      <c r="Q3108" s="702"/>
      <c r="R3108" s="702"/>
      <c r="S3108" s="106"/>
      <c r="T3108" s="486"/>
      <c r="U3108" s="106"/>
      <c r="V3108" s="3980"/>
      <c r="W3108" s="3421">
        <v>13</v>
      </c>
      <c r="X3108" s="3421">
        <v>13</v>
      </c>
      <c r="Y3108" s="3425">
        <v>13</v>
      </c>
      <c r="Z3108" s="3425">
        <v>13</v>
      </c>
      <c r="AA3108" s="3425">
        <v>13</v>
      </c>
      <c r="AB3108" s="583">
        <v>13</v>
      </c>
      <c r="AC3108" s="2920">
        <v>13</v>
      </c>
      <c r="AD3108" s="3051">
        <v>13</v>
      </c>
      <c r="AE3108" s="3429"/>
      <c r="AF3108" s="3421"/>
      <c r="AG3108" s="3421"/>
      <c r="AH3108" s="156"/>
      <c r="AI3108" s="156"/>
      <c r="AJ3108" s="156"/>
      <c r="AK3108" s="156"/>
      <c r="AL3108" s="156"/>
      <c r="AM3108" s="156"/>
      <c r="AN3108" s="156"/>
      <c r="AO3108" s="156"/>
      <c r="AP3108" s="156"/>
      <c r="AQ3108" s="156"/>
      <c r="AR3108" s="156"/>
      <c r="AS3108" s="156"/>
      <c r="AT3108" s="156"/>
      <c r="AU3108" s="156"/>
      <c r="AV3108" s="156"/>
      <c r="AW3108" s="156"/>
      <c r="AX3108" s="156"/>
      <c r="AY3108" s="156"/>
      <c r="AZ3108" s="156"/>
      <c r="BA3108" s="156"/>
      <c r="BB3108" s="2828"/>
      <c r="BC3108" s="452"/>
      <c r="BD3108" s="2829"/>
      <c r="BE3108" s="2837"/>
      <c r="BF3108" s="156"/>
    </row>
    <row r="3109" spans="1:58" ht="15" customHeight="1" outlineLevel="1" x14ac:dyDescent="0.35">
      <c r="A3109" s="1071"/>
      <c r="B3109" s="2812"/>
      <c r="C3109" s="3077"/>
      <c r="D3109" s="3980"/>
      <c r="E3109" s="3883"/>
      <c r="F3109" s="3984" t="str">
        <f>$E$1556</f>
        <v>ASHP-SEER16-Replace_CAC_NonElectricHeat_ER1_SF</v>
      </c>
      <c r="G3109" s="3984"/>
      <c r="H3109" s="3984"/>
      <c r="I3109" s="3984"/>
      <c r="J3109" s="3501" t="str">
        <f>$C$1556</f>
        <v>352510_2021_12_</v>
      </c>
      <c r="K3109" s="3050">
        <v>7.4938049011994181</v>
      </c>
      <c r="L3109" s="703"/>
      <c r="M3109" s="3022" t="s">
        <v>1083</v>
      </c>
      <c r="N3109" s="106"/>
      <c r="O3109" s="106"/>
      <c r="P3109" s="702"/>
      <c r="Q3109" s="702"/>
      <c r="R3109" s="702"/>
      <c r="S3109" s="106"/>
      <c r="T3109" s="486"/>
      <c r="U3109" s="106"/>
      <c r="V3109" s="3980"/>
      <c r="W3109" s="3421"/>
      <c r="X3109" s="3421"/>
      <c r="Y3109" s="3425"/>
      <c r="Z3109" s="3425"/>
      <c r="AA3109" s="3425"/>
      <c r="AB3109" s="583"/>
      <c r="AC3109" s="2919">
        <v>8.1664591605461361</v>
      </c>
      <c r="AD3109" s="3050">
        <v>7.4938049011994181</v>
      </c>
      <c r="AE3109" s="3429"/>
      <c r="AF3109" s="3421"/>
      <c r="AG3109" s="3421"/>
      <c r="AH3109" s="156"/>
      <c r="AI3109" s="156"/>
      <c r="AJ3109" s="156"/>
      <c r="AK3109" s="156"/>
      <c r="AL3109" s="156"/>
      <c r="AM3109" s="156"/>
      <c r="AN3109" s="156"/>
      <c r="AO3109" s="156"/>
      <c r="AP3109" s="156"/>
      <c r="AQ3109" s="156"/>
      <c r="AR3109" s="156"/>
      <c r="AS3109" s="156"/>
      <c r="AT3109" s="156"/>
      <c r="AU3109" s="156"/>
      <c r="AV3109" s="156"/>
      <c r="AW3109" s="156"/>
      <c r="AX3109" s="156"/>
      <c r="AY3109" s="156"/>
      <c r="AZ3109" s="156"/>
      <c r="BA3109" s="156"/>
      <c r="BB3109" s="2828"/>
      <c r="BC3109" s="452"/>
      <c r="BD3109" s="2829"/>
      <c r="BE3109" s="2837"/>
      <c r="BF3109" s="156"/>
    </row>
    <row r="3110" spans="1:58" ht="15" customHeight="1" outlineLevel="1" x14ac:dyDescent="0.35">
      <c r="A3110" s="1071"/>
      <c r="B3110" s="2812"/>
      <c r="C3110" s="3077"/>
      <c r="D3110" s="3980"/>
      <c r="E3110" s="3883"/>
      <c r="F3110" s="3984" t="str">
        <f>$E$1558</f>
        <v>ASHP-SEER16-Replace_CAC_NonElectricHeat_ER2_SF</v>
      </c>
      <c r="G3110" s="3984"/>
      <c r="H3110" s="3984"/>
      <c r="I3110" s="3984"/>
      <c r="J3110" s="3501" t="str">
        <f>$C$1558</f>
        <v>352510_2021_12_</v>
      </c>
      <c r="K3110" s="3051">
        <v>13</v>
      </c>
      <c r="L3110" s="703"/>
      <c r="M3110" s="3022" t="s">
        <v>1070</v>
      </c>
      <c r="N3110" s="106"/>
      <c r="O3110" s="106"/>
      <c r="P3110" s="702"/>
      <c r="Q3110" s="702"/>
      <c r="R3110" s="702"/>
      <c r="S3110" s="106"/>
      <c r="T3110" s="486"/>
      <c r="U3110" s="106"/>
      <c r="V3110" s="3980"/>
      <c r="W3110" s="3421"/>
      <c r="X3110" s="3421"/>
      <c r="Y3110" s="3425"/>
      <c r="Z3110" s="3425"/>
      <c r="AA3110" s="3425"/>
      <c r="AB3110" s="583"/>
      <c r="AC3110" s="2919">
        <v>13</v>
      </c>
      <c r="AD3110" s="3051">
        <v>13</v>
      </c>
      <c r="AE3110" s="3429"/>
      <c r="AF3110" s="3421"/>
      <c r="AG3110" s="3421"/>
      <c r="AH3110" s="156"/>
      <c r="AI3110" s="156"/>
      <c r="AJ3110" s="156"/>
      <c r="AK3110" s="156"/>
      <c r="AL3110" s="156"/>
      <c r="AM3110" s="156"/>
      <c r="AN3110" s="156"/>
      <c r="AO3110" s="156"/>
      <c r="AP3110" s="156"/>
      <c r="AQ3110" s="156"/>
      <c r="AR3110" s="156"/>
      <c r="AS3110" s="156"/>
      <c r="AT3110" s="156"/>
      <c r="AU3110" s="156"/>
      <c r="AV3110" s="156"/>
      <c r="AW3110" s="156"/>
      <c r="AX3110" s="156"/>
      <c r="AY3110" s="156"/>
      <c r="AZ3110" s="156"/>
      <c r="BA3110" s="156"/>
      <c r="BB3110" s="2828"/>
      <c r="BC3110" s="452"/>
      <c r="BD3110" s="2829"/>
      <c r="BE3110" s="2837"/>
      <c r="BF3110" s="156"/>
    </row>
    <row r="3111" spans="1:58" ht="15" customHeight="1" outlineLevel="1" x14ac:dyDescent="0.35">
      <c r="A3111" s="1664"/>
      <c r="B3111" s="2812"/>
      <c r="C3111" s="3077"/>
      <c r="D3111" s="3980"/>
      <c r="E3111" s="3883"/>
      <c r="F3111" s="3984" t="str">
        <f>$E$1560</f>
        <v>ASHP-SEER16_ER1_SF</v>
      </c>
      <c r="G3111" s="3984"/>
      <c r="H3111" s="3984"/>
      <c r="I3111" s="3984"/>
      <c r="J3111" s="3501" t="str">
        <f>$C$1560</f>
        <v>352550_2021_12_</v>
      </c>
      <c r="K3111" s="3050">
        <v>7.4938049011994181</v>
      </c>
      <c r="L3111" s="703"/>
      <c r="M3111" s="3024" t="s">
        <v>4360</v>
      </c>
      <c r="N3111" s="106"/>
      <c r="O3111" s="106"/>
      <c r="P3111" s="702"/>
      <c r="Q3111" s="702"/>
      <c r="R3111" s="702"/>
      <c r="S3111" s="106"/>
      <c r="T3111" s="486"/>
      <c r="U3111" s="106"/>
      <c r="V3111" s="3980"/>
      <c r="W3111" s="3421">
        <v>7.2</v>
      </c>
      <c r="X3111" s="2374">
        <v>8.33</v>
      </c>
      <c r="Y3111" s="3425">
        <v>8.33</v>
      </c>
      <c r="Z3111" s="3425">
        <v>8.33</v>
      </c>
      <c r="AA3111" s="3425">
        <v>8.33</v>
      </c>
      <c r="AB3111" s="584">
        <v>7.7898582649437182</v>
      </c>
      <c r="AC3111" s="2919">
        <v>8.4255600602484932</v>
      </c>
      <c r="AD3111" s="3050">
        <v>7.4938049011994181</v>
      </c>
      <c r="AE3111" s="3429"/>
      <c r="AF3111" s="3421"/>
      <c r="AG3111" s="3421"/>
      <c r="AH3111" s="156"/>
      <c r="AI3111" s="156"/>
      <c r="AJ3111" s="156"/>
      <c r="AK3111" s="156"/>
      <c r="AL3111" s="156"/>
      <c r="AM3111" s="156"/>
      <c r="AN3111" s="156"/>
      <c r="AO3111" s="156"/>
      <c r="AP3111" s="156"/>
      <c r="AQ3111" s="156"/>
      <c r="AR3111" s="156"/>
      <c r="AS3111" s="156"/>
      <c r="AT3111" s="156"/>
      <c r="AU3111" s="156"/>
      <c r="AV3111" s="156"/>
      <c r="AW3111" s="156"/>
      <c r="AX3111" s="156"/>
      <c r="AY3111" s="156"/>
      <c r="AZ3111" s="156"/>
      <c r="BA3111" s="156"/>
      <c r="BB3111" s="2828"/>
      <c r="BC3111" s="452"/>
      <c r="BD3111" s="2829"/>
      <c r="BE3111" s="2837"/>
      <c r="BF3111" s="156"/>
    </row>
    <row r="3112" spans="1:58" ht="15" customHeight="1" outlineLevel="1" x14ac:dyDescent="0.35">
      <c r="A3112" s="1664"/>
      <c r="B3112" s="2812"/>
      <c r="C3112" s="3077"/>
      <c r="D3112" s="3980"/>
      <c r="E3112" s="3883"/>
      <c r="F3112" s="3984" t="str">
        <f>$E$1562</f>
        <v>ASHP-SEER16_ER2_SF</v>
      </c>
      <c r="G3112" s="3984"/>
      <c r="H3112" s="3984"/>
      <c r="I3112" s="3984"/>
      <c r="J3112" s="3501" t="str">
        <f>$C$1562</f>
        <v>352550_2021_12_</v>
      </c>
      <c r="K3112" s="3051">
        <v>14</v>
      </c>
      <c r="L3112" s="704"/>
      <c r="M3112" s="3022" t="s">
        <v>1070</v>
      </c>
      <c r="N3112" s="106"/>
      <c r="O3112" s="106"/>
      <c r="P3112" s="702"/>
      <c r="Q3112" s="702"/>
      <c r="R3112" s="702"/>
      <c r="S3112" s="106"/>
      <c r="T3112" s="486"/>
      <c r="U3112" s="106"/>
      <c r="V3112" s="3980"/>
      <c r="W3112" s="3421">
        <v>14</v>
      </c>
      <c r="X3112" s="3421">
        <v>14</v>
      </c>
      <c r="Y3112" s="3425">
        <v>14</v>
      </c>
      <c r="Z3112" s="3425">
        <v>14</v>
      </c>
      <c r="AA3112" s="3425">
        <v>14</v>
      </c>
      <c r="AB3112" s="583">
        <v>14</v>
      </c>
      <c r="AC3112" s="2920">
        <v>14</v>
      </c>
      <c r="AD3112" s="3051">
        <v>14</v>
      </c>
      <c r="AE3112" s="3429"/>
      <c r="AF3112" s="3421"/>
      <c r="AG3112" s="3421"/>
      <c r="AH3112" s="156"/>
      <c r="AI3112" s="156"/>
      <c r="AJ3112" s="156"/>
      <c r="AK3112" s="156"/>
      <c r="AL3112" s="156"/>
      <c r="AM3112" s="156"/>
      <c r="AN3112" s="156"/>
      <c r="AO3112" s="156"/>
      <c r="AP3112" s="156"/>
      <c r="AQ3112" s="156"/>
      <c r="AR3112" s="156"/>
      <c r="AS3112" s="156"/>
      <c r="AT3112" s="156"/>
      <c r="AU3112" s="156"/>
      <c r="AV3112" s="156"/>
      <c r="AW3112" s="156"/>
      <c r="AX3112" s="156"/>
      <c r="AY3112" s="156"/>
      <c r="AZ3112" s="156"/>
      <c r="BA3112" s="156"/>
      <c r="BB3112" s="2828"/>
      <c r="BC3112" s="452"/>
      <c r="BD3112" s="2829"/>
      <c r="BE3112" s="2837"/>
      <c r="BF3112" s="156"/>
    </row>
    <row r="3113" spans="1:58" ht="15" customHeight="1" outlineLevel="1" x14ac:dyDescent="0.35">
      <c r="A3113" s="1664"/>
      <c r="B3113" s="2812"/>
      <c r="C3113" s="3077"/>
      <c r="D3113" s="3980"/>
      <c r="E3113" s="3883"/>
      <c r="F3113" s="3984" t="str">
        <f>$E$1564</f>
        <v>ASHP-SEER16-Replace_CAC_ElectricHeat_ROF_SF</v>
      </c>
      <c r="G3113" s="3984"/>
      <c r="H3113" s="3984"/>
      <c r="I3113" s="3984"/>
      <c r="J3113" s="3501" t="str">
        <f>$C$1564</f>
        <v>352600_2021_12_</v>
      </c>
      <c r="K3113" s="3051">
        <v>13</v>
      </c>
      <c r="L3113" s="704"/>
      <c r="M3113" s="3022" t="s">
        <v>1070</v>
      </c>
      <c r="N3113" s="106"/>
      <c r="O3113" s="106"/>
      <c r="P3113" s="702"/>
      <c r="Q3113" s="702"/>
      <c r="R3113" s="702"/>
      <c r="S3113" s="106"/>
      <c r="T3113" s="486"/>
      <c r="U3113" s="106"/>
      <c r="V3113" s="3980"/>
      <c r="W3113" s="3421">
        <v>13</v>
      </c>
      <c r="X3113" s="3421">
        <v>13</v>
      </c>
      <c r="Y3113" s="3425">
        <v>13</v>
      </c>
      <c r="Z3113" s="3425">
        <v>13</v>
      </c>
      <c r="AA3113" s="3425">
        <v>13</v>
      </c>
      <c r="AB3113" s="583">
        <v>13</v>
      </c>
      <c r="AC3113" s="2920">
        <v>13</v>
      </c>
      <c r="AD3113" s="3051">
        <v>13</v>
      </c>
      <c r="AE3113" s="3429"/>
      <c r="AF3113" s="3421"/>
      <c r="AG3113" s="3421"/>
      <c r="AH3113" s="156"/>
      <c r="AI3113" s="156"/>
      <c r="AJ3113" s="156"/>
      <c r="AK3113" s="156"/>
      <c r="AL3113" s="156"/>
      <c r="AM3113" s="156"/>
      <c r="AN3113" s="156"/>
      <c r="AO3113" s="156"/>
      <c r="AP3113" s="156"/>
      <c r="AQ3113" s="156"/>
      <c r="AR3113" s="156"/>
      <c r="AS3113" s="156"/>
      <c r="AT3113" s="156"/>
      <c r="AU3113" s="156"/>
      <c r="AV3113" s="156"/>
      <c r="AW3113" s="156"/>
      <c r="AX3113" s="156"/>
      <c r="AY3113" s="156"/>
      <c r="AZ3113" s="156"/>
      <c r="BA3113" s="156"/>
      <c r="BB3113" s="2828"/>
      <c r="BC3113" s="452"/>
      <c r="BD3113" s="2829"/>
      <c r="BE3113" s="2837"/>
      <c r="BF3113" s="156"/>
    </row>
    <row r="3114" spans="1:58" ht="15" customHeight="1" outlineLevel="1" x14ac:dyDescent="0.35">
      <c r="A3114" s="1664"/>
      <c r="B3114" s="2812"/>
      <c r="C3114" s="3077"/>
      <c r="D3114" s="3980"/>
      <c r="E3114" s="3883"/>
      <c r="F3114" s="4136" t="str">
        <f>$E$1566</f>
        <v>ASHP-SEER16-Replace_CAC_NonElectricHeat_ROF_SF</v>
      </c>
      <c r="G3114" s="4136"/>
      <c r="H3114" s="4136"/>
      <c r="I3114" s="4136"/>
      <c r="J3114" s="3502" t="str">
        <f>$C$1566</f>
        <v>352610_2022_12_</v>
      </c>
      <c r="K3114" s="3050">
        <v>13</v>
      </c>
      <c r="L3114" s="703"/>
      <c r="M3114" s="3024" t="s">
        <v>1070</v>
      </c>
      <c r="N3114" s="3391"/>
      <c r="O3114" s="3391"/>
      <c r="P3114" s="702"/>
      <c r="Q3114" s="702"/>
      <c r="R3114" s="702"/>
      <c r="S3114" s="3391"/>
      <c r="T3114" s="3389"/>
      <c r="U3114" s="3391"/>
      <c r="V3114" s="3980"/>
      <c r="W3114" s="3421"/>
      <c r="X3114" s="3421"/>
      <c r="Y3114" s="3425"/>
      <c r="Z3114" s="3425"/>
      <c r="AA3114" s="3425"/>
      <c r="AB3114" s="583"/>
      <c r="AC3114" s="2920"/>
      <c r="AD3114" s="3050">
        <v>13</v>
      </c>
      <c r="AE3114" s="3429"/>
      <c r="AF3114" s="3421"/>
      <c r="AG3114" s="3421"/>
      <c r="AH3114" s="156"/>
      <c r="AI3114" s="156"/>
      <c r="AJ3114" s="156"/>
      <c r="AK3114" s="156"/>
      <c r="AL3114" s="156"/>
      <c r="AM3114" s="156"/>
      <c r="AN3114" s="156"/>
      <c r="AO3114" s="156"/>
      <c r="AP3114" s="156"/>
      <c r="AQ3114" s="156"/>
      <c r="AR3114" s="156"/>
      <c r="AS3114" s="156"/>
      <c r="AT3114" s="156"/>
      <c r="AU3114" s="156"/>
      <c r="AV3114" s="156"/>
      <c r="AW3114" s="156"/>
      <c r="AX3114" s="156"/>
      <c r="AY3114" s="156"/>
      <c r="AZ3114" s="156"/>
      <c r="BA3114" s="156"/>
      <c r="BB3114" s="2828"/>
      <c r="BC3114" s="452"/>
      <c r="BD3114" s="2829"/>
      <c r="BE3114" s="2837"/>
      <c r="BF3114" s="156"/>
    </row>
    <row r="3115" spans="1:58" ht="15" customHeight="1" outlineLevel="1" x14ac:dyDescent="0.35">
      <c r="A3115" s="1664"/>
      <c r="B3115" s="2812"/>
      <c r="C3115" s="3077"/>
      <c r="D3115" s="3980"/>
      <c r="E3115" s="3883"/>
      <c r="F3115" s="3984" t="str">
        <f>$E$1568</f>
        <v>ASHP-SEER16_ROF_SF</v>
      </c>
      <c r="G3115" s="3984"/>
      <c r="H3115" s="3984"/>
      <c r="I3115" s="3984"/>
      <c r="J3115" s="3501" t="str">
        <f>$C$1568</f>
        <v>352650_2021_12_</v>
      </c>
      <c r="K3115" s="3051">
        <v>14</v>
      </c>
      <c r="L3115" s="704"/>
      <c r="M3115" s="3022" t="s">
        <v>1070</v>
      </c>
      <c r="N3115" s="106"/>
      <c r="O3115" s="106"/>
      <c r="P3115" s="702"/>
      <c r="Q3115" s="702"/>
      <c r="R3115" s="702"/>
      <c r="S3115" s="106"/>
      <c r="T3115" s="486"/>
      <c r="U3115" s="106"/>
      <c r="V3115" s="3980"/>
      <c r="W3115" s="3421">
        <v>14</v>
      </c>
      <c r="X3115" s="3421">
        <v>14</v>
      </c>
      <c r="Y3115" s="3425">
        <v>14</v>
      </c>
      <c r="Z3115" s="3425">
        <v>14</v>
      </c>
      <c r="AA3115" s="3425">
        <v>14</v>
      </c>
      <c r="AB3115" s="583">
        <v>14</v>
      </c>
      <c r="AC3115" s="2920">
        <v>14</v>
      </c>
      <c r="AD3115" s="3051">
        <v>14</v>
      </c>
      <c r="AE3115" s="3429"/>
      <c r="AF3115" s="3421"/>
      <c r="AG3115" s="3421"/>
      <c r="AH3115" s="156"/>
      <c r="AI3115" s="156"/>
      <c r="AJ3115" s="156"/>
      <c r="AK3115" s="156"/>
      <c r="AL3115" s="156"/>
      <c r="AM3115" s="156"/>
      <c r="AN3115" s="156"/>
      <c r="AO3115" s="156"/>
      <c r="AP3115" s="156"/>
      <c r="AQ3115" s="156"/>
      <c r="AR3115" s="156"/>
      <c r="AS3115" s="156"/>
      <c r="AT3115" s="156"/>
      <c r="AU3115" s="156"/>
      <c r="AV3115" s="156"/>
      <c r="AW3115" s="156"/>
      <c r="AX3115" s="156"/>
      <c r="AY3115" s="156"/>
      <c r="AZ3115" s="156"/>
      <c r="BA3115" s="156"/>
      <c r="BB3115" s="2828"/>
      <c r="BC3115" s="452"/>
      <c r="BD3115" s="2829"/>
      <c r="BE3115" s="2837"/>
      <c r="BF3115" s="156"/>
    </row>
    <row r="3116" spans="1:58" ht="15" customHeight="1" outlineLevel="1" x14ac:dyDescent="0.35">
      <c r="A3116" s="1664"/>
      <c r="B3116" s="2812"/>
      <c r="C3116" s="3077"/>
      <c r="D3116" s="3980"/>
      <c r="E3116" s="3883"/>
      <c r="F3116" s="3984" t="str">
        <f>$E$1570</f>
        <v>ASHP-SEER15_ER1_MF</v>
      </c>
      <c r="G3116" s="3984"/>
      <c r="H3116" s="3984"/>
      <c r="I3116" s="3984"/>
      <c r="J3116" s="3501" t="str">
        <f>$C$1570</f>
        <v>352700_2021_12_</v>
      </c>
      <c r="K3116" s="3050">
        <v>7.383168127728446</v>
      </c>
      <c r="L3116" s="704"/>
      <c r="M3116" s="3024" t="s">
        <v>4360</v>
      </c>
      <c r="N3116" s="106"/>
      <c r="O3116" s="106"/>
      <c r="P3116" s="702"/>
      <c r="Q3116" s="702"/>
      <c r="R3116" s="702"/>
      <c r="S3116" s="106"/>
      <c r="T3116" s="486"/>
      <c r="U3116" s="106"/>
      <c r="V3116" s="3980"/>
      <c r="W3116" s="3421">
        <v>7.2</v>
      </c>
      <c r="X3116" s="2374">
        <v>8.33</v>
      </c>
      <c r="Y3116" s="3425">
        <v>8.33</v>
      </c>
      <c r="Z3116" s="3425">
        <v>8.33</v>
      </c>
      <c r="AA3116" s="3425">
        <v>8.33</v>
      </c>
      <c r="AB3116" s="584">
        <v>7.4463820519283335</v>
      </c>
      <c r="AC3116" s="2919">
        <v>8.3235581631061049</v>
      </c>
      <c r="AD3116" s="3050">
        <v>7.383168127728446</v>
      </c>
      <c r="AE3116" s="3429"/>
      <c r="AF3116" s="3421"/>
      <c r="AG3116" s="3421"/>
      <c r="AH3116" s="156"/>
      <c r="AI3116" s="156"/>
      <c r="AJ3116" s="156"/>
      <c r="AK3116" s="156"/>
      <c r="AL3116" s="156"/>
      <c r="AM3116" s="156"/>
      <c r="AN3116" s="156"/>
      <c r="AO3116" s="156"/>
      <c r="AP3116" s="156"/>
      <c r="AQ3116" s="156"/>
      <c r="AR3116" s="156"/>
      <c r="AS3116" s="156"/>
      <c r="AT3116" s="156"/>
      <c r="AU3116" s="156"/>
      <c r="AV3116" s="156"/>
      <c r="AW3116" s="156"/>
      <c r="AX3116" s="156"/>
      <c r="AY3116" s="156"/>
      <c r="AZ3116" s="156"/>
      <c r="BA3116" s="156"/>
      <c r="BB3116" s="2828"/>
      <c r="BC3116" s="452"/>
      <c r="BD3116" s="2829"/>
      <c r="BE3116" s="2837"/>
      <c r="BF3116" s="156"/>
    </row>
    <row r="3117" spans="1:58" ht="15" customHeight="1" outlineLevel="1" x14ac:dyDescent="0.35">
      <c r="A3117" s="1664"/>
      <c r="B3117" s="2812"/>
      <c r="C3117" s="3077"/>
      <c r="D3117" s="3980"/>
      <c r="E3117" s="3883"/>
      <c r="F3117" s="3984" t="str">
        <f>$E$1572</f>
        <v>ASHP-SEER15_ER2_MF</v>
      </c>
      <c r="G3117" s="3984"/>
      <c r="H3117" s="3984"/>
      <c r="I3117" s="3984"/>
      <c r="J3117" s="3501" t="str">
        <f>$C$1572</f>
        <v>352700_2021_12_</v>
      </c>
      <c r="K3117" s="3051">
        <v>14</v>
      </c>
      <c r="L3117" s="704"/>
      <c r="M3117" s="3022" t="s">
        <v>1070</v>
      </c>
      <c r="N3117" s="106"/>
      <c r="O3117" s="106"/>
      <c r="P3117" s="702"/>
      <c r="Q3117" s="702"/>
      <c r="R3117" s="702"/>
      <c r="S3117" s="106"/>
      <c r="T3117" s="486"/>
      <c r="U3117" s="106"/>
      <c r="V3117" s="3980"/>
      <c r="W3117" s="3421">
        <v>14</v>
      </c>
      <c r="X3117" s="3421">
        <v>14</v>
      </c>
      <c r="Y3117" s="3425">
        <v>14</v>
      </c>
      <c r="Z3117" s="3425">
        <v>14</v>
      </c>
      <c r="AA3117" s="3425">
        <v>14</v>
      </c>
      <c r="AB3117" s="583">
        <v>14</v>
      </c>
      <c r="AC3117" s="2920">
        <v>14</v>
      </c>
      <c r="AD3117" s="3051">
        <v>14</v>
      </c>
      <c r="AE3117" s="3429"/>
      <c r="AF3117" s="3421"/>
      <c r="AG3117" s="3421"/>
      <c r="AH3117" s="156"/>
      <c r="AI3117" s="156"/>
      <c r="AJ3117" s="156"/>
      <c r="AK3117" s="156"/>
      <c r="AL3117" s="156"/>
      <c r="AM3117" s="156"/>
      <c r="AN3117" s="156"/>
      <c r="AO3117" s="156"/>
      <c r="AP3117" s="156"/>
      <c r="AQ3117" s="156"/>
      <c r="AR3117" s="156"/>
      <c r="AS3117" s="156"/>
      <c r="AT3117" s="156"/>
      <c r="AU3117" s="156"/>
      <c r="AV3117" s="156"/>
      <c r="AW3117" s="156"/>
      <c r="AX3117" s="156"/>
      <c r="AY3117" s="156"/>
      <c r="AZ3117" s="156"/>
      <c r="BA3117" s="156"/>
      <c r="BB3117" s="2828"/>
      <c r="BC3117" s="452"/>
      <c r="BD3117" s="2829"/>
      <c r="BE3117" s="2837"/>
      <c r="BF3117" s="156"/>
    </row>
    <row r="3118" spans="1:58" ht="15" customHeight="1" outlineLevel="1" x14ac:dyDescent="0.35">
      <c r="A3118" s="1664"/>
      <c r="B3118" s="2812"/>
      <c r="C3118" s="3077"/>
      <c r="D3118" s="3980"/>
      <c r="E3118" s="3883"/>
      <c r="F3118" s="3984" t="str">
        <f>$E$1574</f>
        <v>ASHP-SEER15_ER1_MF_CompE</v>
      </c>
      <c r="G3118" s="3984"/>
      <c r="H3118" s="3984"/>
      <c r="I3118" s="3984"/>
      <c r="J3118" s="3501" t="str">
        <f>$C$1574</f>
        <v>352701_2021_12_</v>
      </c>
      <c r="K3118" s="3050">
        <v>7.383168127728446</v>
      </c>
      <c r="L3118" s="704"/>
      <c r="M3118" s="3024" t="s">
        <v>4360</v>
      </c>
      <c r="N3118" s="106"/>
      <c r="O3118" s="106"/>
      <c r="P3118" s="702"/>
      <c r="Q3118" s="702"/>
      <c r="R3118" s="702"/>
      <c r="S3118" s="106"/>
      <c r="T3118" s="486"/>
      <c r="U3118" s="106"/>
      <c r="V3118" s="3980"/>
      <c r="W3118" s="3421"/>
      <c r="X3118" s="3421"/>
      <c r="Y3118" s="2377">
        <v>8.33</v>
      </c>
      <c r="Z3118" s="3425">
        <v>8.33</v>
      </c>
      <c r="AA3118" s="3425">
        <v>8.33</v>
      </c>
      <c r="AB3118" s="584">
        <v>7.4463820519283335</v>
      </c>
      <c r="AC3118" s="2920">
        <v>7.4463820519283335</v>
      </c>
      <c r="AD3118" s="3050">
        <v>7.383168127728446</v>
      </c>
      <c r="AE3118" s="3429"/>
      <c r="AF3118" s="3421"/>
      <c r="AG3118" s="3421"/>
      <c r="AH3118" s="156"/>
      <c r="AI3118" s="156"/>
      <c r="AJ3118" s="156"/>
      <c r="AK3118" s="156"/>
      <c r="AL3118" s="156"/>
      <c r="AM3118" s="156"/>
      <c r="AN3118" s="156"/>
      <c r="AO3118" s="156"/>
      <c r="AP3118" s="156"/>
      <c r="AQ3118" s="156"/>
      <c r="AR3118" s="156"/>
      <c r="AS3118" s="156"/>
      <c r="AT3118" s="156"/>
      <c r="AU3118" s="156"/>
      <c r="AV3118" s="156"/>
      <c r="AW3118" s="156"/>
      <c r="AX3118" s="156"/>
      <c r="AY3118" s="156"/>
      <c r="AZ3118" s="156"/>
      <c r="BA3118" s="156"/>
      <c r="BB3118" s="2828"/>
      <c r="BC3118" s="452"/>
      <c r="BD3118" s="2829"/>
      <c r="BE3118" s="2837"/>
      <c r="BF3118" s="156"/>
    </row>
    <row r="3119" spans="1:58" ht="15" customHeight="1" outlineLevel="1" x14ac:dyDescent="0.35">
      <c r="A3119" s="1664"/>
      <c r="B3119" s="2812"/>
      <c r="C3119" s="3077"/>
      <c r="D3119" s="3980"/>
      <c r="E3119" s="3883"/>
      <c r="F3119" s="3984" t="str">
        <f>$E$1576</f>
        <v>ASHP-SEER15_ER2_MF_CompE</v>
      </c>
      <c r="G3119" s="3984"/>
      <c r="H3119" s="3984"/>
      <c r="I3119" s="3984"/>
      <c r="J3119" s="3501" t="str">
        <f>$C$1576</f>
        <v>352701_2021_12_</v>
      </c>
      <c r="K3119" s="3051">
        <v>14</v>
      </c>
      <c r="L3119" s="704"/>
      <c r="M3119" s="3022" t="s">
        <v>1070</v>
      </c>
      <c r="N3119" s="106"/>
      <c r="O3119" s="106"/>
      <c r="P3119" s="702"/>
      <c r="Q3119" s="702"/>
      <c r="R3119" s="702"/>
      <c r="S3119" s="106"/>
      <c r="T3119" s="486"/>
      <c r="U3119" s="106"/>
      <c r="V3119" s="3980"/>
      <c r="W3119" s="3421"/>
      <c r="X3119" s="3421"/>
      <c r="Y3119" s="2377">
        <v>14</v>
      </c>
      <c r="Z3119" s="3425">
        <v>14</v>
      </c>
      <c r="AA3119" s="3425">
        <v>14</v>
      </c>
      <c r="AB3119" s="583">
        <v>14</v>
      </c>
      <c r="AC3119" s="2920">
        <v>14</v>
      </c>
      <c r="AD3119" s="3051">
        <v>14</v>
      </c>
      <c r="AE3119" s="3429"/>
      <c r="AF3119" s="3421"/>
      <c r="AG3119" s="3421"/>
      <c r="AH3119" s="156"/>
      <c r="AI3119" s="156"/>
      <c r="AJ3119" s="156"/>
      <c r="AK3119" s="156"/>
      <c r="AL3119" s="156"/>
      <c r="AM3119" s="156"/>
      <c r="AN3119" s="156"/>
      <c r="AO3119" s="156"/>
      <c r="AP3119" s="156"/>
      <c r="AQ3119" s="156"/>
      <c r="AR3119" s="156"/>
      <c r="AS3119" s="156"/>
      <c r="AT3119" s="156"/>
      <c r="AU3119" s="156"/>
      <c r="AV3119" s="156"/>
      <c r="AW3119" s="156"/>
      <c r="AX3119" s="156"/>
      <c r="AY3119" s="156"/>
      <c r="AZ3119" s="156"/>
      <c r="BA3119" s="156"/>
      <c r="BB3119" s="2828"/>
      <c r="BC3119" s="452"/>
      <c r="BD3119" s="2829"/>
      <c r="BE3119" s="2837"/>
      <c r="BF3119" s="156"/>
    </row>
    <row r="3120" spans="1:58" ht="15" customHeight="1" outlineLevel="1" x14ac:dyDescent="0.35">
      <c r="A3120" s="1664"/>
      <c r="B3120" s="2812"/>
      <c r="C3120" s="3077"/>
      <c r="D3120" s="3980"/>
      <c r="E3120" s="3883"/>
      <c r="F3120" s="3984" t="str">
        <f>$E$1578</f>
        <v>ASHP-SEER15-Replace_CAC_ElectricHeat_ER1_MF</v>
      </c>
      <c r="G3120" s="3984"/>
      <c r="H3120" s="3984"/>
      <c r="I3120" s="3984"/>
      <c r="J3120" s="3501" t="str">
        <f>$C$1578</f>
        <v>352750_2021_12_</v>
      </c>
      <c r="K3120" s="3050">
        <v>7.383168127728446</v>
      </c>
      <c r="L3120" s="704"/>
      <c r="M3120" s="3024" t="s">
        <v>4360</v>
      </c>
      <c r="N3120" s="106"/>
      <c r="O3120" s="106"/>
      <c r="P3120" s="702"/>
      <c r="Q3120" s="702"/>
      <c r="R3120" s="702"/>
      <c r="S3120" s="106"/>
      <c r="T3120" s="486"/>
      <c r="U3120" s="106"/>
      <c r="V3120" s="3980"/>
      <c r="W3120" s="3421">
        <v>6.8</v>
      </c>
      <c r="X3120" s="2374">
        <v>8.33</v>
      </c>
      <c r="Y3120" s="3425">
        <v>8.33</v>
      </c>
      <c r="Z3120" s="3425">
        <v>8.33</v>
      </c>
      <c r="AA3120" s="3425">
        <v>8.33</v>
      </c>
      <c r="AB3120" s="584">
        <v>7.4436972862639159</v>
      </c>
      <c r="AC3120" s="2919">
        <v>8.402496453661275</v>
      </c>
      <c r="AD3120" s="3050">
        <v>7.383168127728446</v>
      </c>
      <c r="AE3120" s="3429"/>
      <c r="AF3120" s="3421"/>
      <c r="AG3120" s="3421"/>
      <c r="AH3120" s="156"/>
      <c r="AI3120" s="156"/>
      <c r="AJ3120" s="156"/>
      <c r="AK3120" s="156"/>
      <c r="AL3120" s="156"/>
      <c r="AM3120" s="156"/>
      <c r="AN3120" s="156"/>
      <c r="AO3120" s="156"/>
      <c r="AP3120" s="156"/>
      <c r="AQ3120" s="156"/>
      <c r="AR3120" s="156"/>
      <c r="AS3120" s="156"/>
      <c r="AT3120" s="156"/>
      <c r="AU3120" s="156"/>
      <c r="AV3120" s="156"/>
      <c r="AW3120" s="156"/>
      <c r="AX3120" s="156"/>
      <c r="AY3120" s="156"/>
      <c r="AZ3120" s="156"/>
      <c r="BA3120" s="156"/>
      <c r="BB3120" s="2828"/>
      <c r="BC3120" s="452"/>
      <c r="BD3120" s="2829"/>
      <c r="BE3120" s="2837"/>
      <c r="BF3120" s="156"/>
    </row>
    <row r="3121" spans="1:58" ht="15" customHeight="1" outlineLevel="1" x14ac:dyDescent="0.35">
      <c r="A3121" s="1664"/>
      <c r="B3121" s="2812"/>
      <c r="C3121" s="3077"/>
      <c r="D3121" s="3980"/>
      <c r="E3121" s="3883"/>
      <c r="F3121" s="3984" t="str">
        <f>$E$1580</f>
        <v>ASHP-SEER15-Replace_CAC_ElectricHeat_ER2_MF</v>
      </c>
      <c r="G3121" s="3984"/>
      <c r="H3121" s="3984"/>
      <c r="I3121" s="3984"/>
      <c r="J3121" s="3501" t="str">
        <f>$C$1580</f>
        <v>352750_2021_12_</v>
      </c>
      <c r="K3121" s="3051">
        <v>13</v>
      </c>
      <c r="L3121" s="704"/>
      <c r="M3121" s="3022" t="s">
        <v>1070</v>
      </c>
      <c r="N3121" s="106"/>
      <c r="O3121" s="106"/>
      <c r="P3121" s="702"/>
      <c r="Q3121" s="702"/>
      <c r="R3121" s="702"/>
      <c r="S3121" s="106"/>
      <c r="T3121" s="486"/>
      <c r="U3121" s="106"/>
      <c r="V3121" s="3980"/>
      <c r="W3121" s="3421">
        <v>13</v>
      </c>
      <c r="X3121" s="3421">
        <v>13</v>
      </c>
      <c r="Y3121" s="3425">
        <v>13</v>
      </c>
      <c r="Z3121" s="3425">
        <v>13</v>
      </c>
      <c r="AA3121" s="3425">
        <v>13</v>
      </c>
      <c r="AB3121" s="583">
        <v>13</v>
      </c>
      <c r="AC3121" s="2920">
        <v>13</v>
      </c>
      <c r="AD3121" s="3051">
        <v>13</v>
      </c>
      <c r="AE3121" s="3429"/>
      <c r="AF3121" s="3421"/>
      <c r="AG3121" s="3421"/>
      <c r="AH3121" s="156"/>
      <c r="AI3121" s="156"/>
      <c r="AJ3121" s="156"/>
      <c r="AK3121" s="156"/>
      <c r="AL3121" s="156"/>
      <c r="AM3121" s="156"/>
      <c r="AN3121" s="156"/>
      <c r="AO3121" s="156"/>
      <c r="AP3121" s="156"/>
      <c r="AQ3121" s="156"/>
      <c r="AR3121" s="156"/>
      <c r="AS3121" s="156"/>
      <c r="AT3121" s="156"/>
      <c r="AU3121" s="156"/>
      <c r="AV3121" s="156"/>
      <c r="AW3121" s="156"/>
      <c r="AX3121" s="156"/>
      <c r="AY3121" s="156"/>
      <c r="AZ3121" s="156"/>
      <c r="BA3121" s="156"/>
      <c r="BB3121" s="2828"/>
      <c r="BC3121" s="452"/>
      <c r="BD3121" s="2829"/>
      <c r="BE3121" s="2837"/>
      <c r="BF3121" s="156"/>
    </row>
    <row r="3122" spans="1:58" ht="15" customHeight="1" outlineLevel="1" x14ac:dyDescent="0.35">
      <c r="A3122" s="1664"/>
      <c r="B3122" s="2812"/>
      <c r="C3122" s="3077"/>
      <c r="D3122" s="3980"/>
      <c r="E3122" s="3883"/>
      <c r="F3122" s="3984" t="str">
        <f>$E$1582</f>
        <v>ASHP-SEER15-Replace_CAC_ElectricHeat_ER1_MF_CompE</v>
      </c>
      <c r="G3122" s="3984"/>
      <c r="H3122" s="3984"/>
      <c r="I3122" s="3984"/>
      <c r="J3122" s="3501" t="str">
        <f>$C$1582</f>
        <v>352751_2021_12_</v>
      </c>
      <c r="K3122" s="3050">
        <v>7.383168127728446</v>
      </c>
      <c r="L3122" s="704"/>
      <c r="M3122" s="3022" t="s">
        <v>1083</v>
      </c>
      <c r="N3122" s="106"/>
      <c r="O3122" s="106"/>
      <c r="P3122" s="702"/>
      <c r="Q3122" s="702"/>
      <c r="R3122" s="702"/>
      <c r="S3122" s="106"/>
      <c r="T3122" s="486"/>
      <c r="U3122" s="106"/>
      <c r="V3122" s="3980"/>
      <c r="W3122" s="3421"/>
      <c r="X3122" s="3421"/>
      <c r="Y3122" s="2377">
        <v>8.33</v>
      </c>
      <c r="Z3122" s="3425">
        <v>8.33</v>
      </c>
      <c r="AA3122" s="3425">
        <v>8.33</v>
      </c>
      <c r="AB3122" s="584">
        <v>7.4436972862639159</v>
      </c>
      <c r="AC3122" s="2920">
        <v>7.4436972862639159</v>
      </c>
      <c r="AD3122" s="3050">
        <v>7.383168127728446</v>
      </c>
      <c r="AE3122" s="3429"/>
      <c r="AF3122" s="3421"/>
      <c r="AG3122" s="3421"/>
      <c r="AH3122" s="156"/>
      <c r="AI3122" s="156"/>
      <c r="AJ3122" s="156"/>
      <c r="AK3122" s="156"/>
      <c r="AL3122" s="156"/>
      <c r="AM3122" s="156"/>
      <c r="AN3122" s="156"/>
      <c r="AO3122" s="156"/>
      <c r="AP3122" s="156"/>
      <c r="AQ3122" s="156"/>
      <c r="AR3122" s="156"/>
      <c r="AS3122" s="156"/>
      <c r="AT3122" s="156"/>
      <c r="AU3122" s="156"/>
      <c r="AV3122" s="156"/>
      <c r="AW3122" s="156"/>
      <c r="AX3122" s="156"/>
      <c r="AY3122" s="156"/>
      <c r="AZ3122" s="156"/>
      <c r="BA3122" s="156"/>
      <c r="BB3122" s="2828"/>
      <c r="BC3122" s="452"/>
      <c r="BD3122" s="2829"/>
      <c r="BE3122" s="2837"/>
      <c r="BF3122" s="156"/>
    </row>
    <row r="3123" spans="1:58" ht="15" customHeight="1" outlineLevel="1" x14ac:dyDescent="0.35">
      <c r="A3123" s="1664"/>
      <c r="B3123" s="2812"/>
      <c r="C3123" s="3077"/>
      <c r="D3123" s="3980"/>
      <c r="E3123" s="3883"/>
      <c r="F3123" s="3984" t="str">
        <f>$E$1584</f>
        <v>ASHP-SEER15-Replace_CAC_ElectricHeat_ER2_MF_CompE</v>
      </c>
      <c r="G3123" s="3984"/>
      <c r="H3123" s="3984"/>
      <c r="I3123" s="3984"/>
      <c r="J3123" s="3501" t="str">
        <f>$C$1584</f>
        <v>352751_2021_12_</v>
      </c>
      <c r="K3123" s="3051">
        <v>13</v>
      </c>
      <c r="L3123" s="704"/>
      <c r="M3123" s="3022" t="s">
        <v>1070</v>
      </c>
      <c r="N3123" s="106"/>
      <c r="O3123" s="106"/>
      <c r="P3123" s="702"/>
      <c r="Q3123" s="702"/>
      <c r="R3123" s="702"/>
      <c r="S3123" s="106"/>
      <c r="T3123" s="486"/>
      <c r="U3123" s="106"/>
      <c r="V3123" s="3980"/>
      <c r="W3123" s="3421"/>
      <c r="X3123" s="3421"/>
      <c r="Y3123" s="2377">
        <v>13</v>
      </c>
      <c r="Z3123" s="3425">
        <v>13</v>
      </c>
      <c r="AA3123" s="3425">
        <v>13</v>
      </c>
      <c r="AB3123" s="583">
        <v>13</v>
      </c>
      <c r="AC3123" s="2920">
        <v>13</v>
      </c>
      <c r="AD3123" s="3051">
        <v>13</v>
      </c>
      <c r="AE3123" s="3429"/>
      <c r="AF3123" s="3421"/>
      <c r="AG3123" s="3421"/>
      <c r="AH3123" s="156"/>
      <c r="AI3123" s="156"/>
      <c r="AJ3123" s="156"/>
      <c r="AK3123" s="156"/>
      <c r="AL3123" s="156"/>
      <c r="AM3123" s="156"/>
      <c r="AN3123" s="156"/>
      <c r="AO3123" s="156"/>
      <c r="AP3123" s="156"/>
      <c r="AQ3123" s="156"/>
      <c r="AR3123" s="156"/>
      <c r="AS3123" s="156"/>
      <c r="AT3123" s="156"/>
      <c r="AU3123" s="156"/>
      <c r="AV3123" s="156"/>
      <c r="AW3123" s="156"/>
      <c r="AX3123" s="156"/>
      <c r="AY3123" s="156"/>
      <c r="AZ3123" s="156"/>
      <c r="BA3123" s="156"/>
      <c r="BB3123" s="2828"/>
      <c r="BC3123" s="452"/>
      <c r="BD3123" s="2829"/>
      <c r="BE3123" s="2837"/>
      <c r="BF3123" s="156"/>
    </row>
    <row r="3124" spans="1:58" ht="15" customHeight="1" outlineLevel="1" x14ac:dyDescent="0.35">
      <c r="A3124" s="1664"/>
      <c r="B3124" s="2812"/>
      <c r="C3124" s="3077"/>
      <c r="D3124" s="3980"/>
      <c r="E3124" s="3883"/>
      <c r="F3124" s="3984" t="str">
        <f>$E$1586</f>
        <v>ASHP-SEER15-Replace_CAC_NonElectricHeat_ER1_MF</v>
      </c>
      <c r="G3124" s="3984"/>
      <c r="H3124" s="3984"/>
      <c r="I3124" s="3984"/>
      <c r="J3124" s="3501" t="str">
        <f>$C$1586</f>
        <v>352760_2021_12_</v>
      </c>
      <c r="K3124" s="3050">
        <v>7.383168127728446</v>
      </c>
      <c r="L3124" s="704"/>
      <c r="M3124" s="3022" t="s">
        <v>1083</v>
      </c>
      <c r="N3124" s="106"/>
      <c r="O3124" s="106"/>
      <c r="P3124" s="702"/>
      <c r="Q3124" s="702"/>
      <c r="R3124" s="702"/>
      <c r="S3124" s="106"/>
      <c r="T3124" s="486"/>
      <c r="U3124" s="106"/>
      <c r="V3124" s="3980"/>
      <c r="W3124" s="3421"/>
      <c r="X3124" s="3421"/>
      <c r="Y3124" s="2377"/>
      <c r="Z3124" s="3425"/>
      <c r="AA3124" s="3425"/>
      <c r="AB3124" s="583"/>
      <c r="AC3124" s="2919">
        <v>8.402496453661275</v>
      </c>
      <c r="AD3124" s="3050">
        <v>7.383168127728446</v>
      </c>
      <c r="AE3124" s="3429"/>
      <c r="AF3124" s="3421"/>
      <c r="AG3124" s="3421"/>
      <c r="AH3124" s="156"/>
      <c r="AI3124" s="156"/>
      <c r="AJ3124" s="156"/>
      <c r="AK3124" s="156"/>
      <c r="AL3124" s="156"/>
      <c r="AM3124" s="156"/>
      <c r="AN3124" s="156"/>
      <c r="AO3124" s="156"/>
      <c r="AP3124" s="156"/>
      <c r="AQ3124" s="156"/>
      <c r="AR3124" s="156"/>
      <c r="AS3124" s="156"/>
      <c r="AT3124" s="156"/>
      <c r="AU3124" s="156"/>
      <c r="AV3124" s="156"/>
      <c r="AW3124" s="156"/>
      <c r="AX3124" s="156"/>
      <c r="AY3124" s="156"/>
      <c r="AZ3124" s="156"/>
      <c r="BA3124" s="156"/>
      <c r="BB3124" s="2828"/>
      <c r="BC3124" s="452"/>
      <c r="BD3124" s="2829"/>
      <c r="BE3124" s="2837"/>
      <c r="BF3124" s="156"/>
    </row>
    <row r="3125" spans="1:58" ht="15" customHeight="1" outlineLevel="1" x14ac:dyDescent="0.35">
      <c r="A3125" s="1664"/>
      <c r="B3125" s="2812"/>
      <c r="C3125" s="3077"/>
      <c r="D3125" s="3980"/>
      <c r="E3125" s="3883"/>
      <c r="F3125" s="3984" t="str">
        <f>$E$1588</f>
        <v>ASHP-SEER15-Replace_CAC_NonElectricHeat_ER2_MF</v>
      </c>
      <c r="G3125" s="3984"/>
      <c r="H3125" s="3984"/>
      <c r="I3125" s="3984"/>
      <c r="J3125" s="3501" t="str">
        <f>$C$1588</f>
        <v>352760_2021_12_</v>
      </c>
      <c r="K3125" s="3051">
        <v>13</v>
      </c>
      <c r="L3125" s="704"/>
      <c r="M3125" s="3022" t="s">
        <v>1070</v>
      </c>
      <c r="N3125" s="106"/>
      <c r="O3125" s="106"/>
      <c r="P3125" s="702"/>
      <c r="Q3125" s="702"/>
      <c r="R3125" s="702"/>
      <c r="S3125" s="106"/>
      <c r="T3125" s="486"/>
      <c r="U3125" s="106"/>
      <c r="V3125" s="3980"/>
      <c r="W3125" s="3421"/>
      <c r="X3125" s="3421"/>
      <c r="Y3125" s="2377"/>
      <c r="Z3125" s="3425"/>
      <c r="AA3125" s="3425"/>
      <c r="AB3125" s="583"/>
      <c r="AC3125" s="2919">
        <v>13</v>
      </c>
      <c r="AD3125" s="3051">
        <v>13</v>
      </c>
      <c r="AE3125" s="3429"/>
      <c r="AF3125" s="3421"/>
      <c r="AG3125" s="3421"/>
      <c r="AH3125" s="156"/>
      <c r="AI3125" s="156"/>
      <c r="AJ3125" s="156"/>
      <c r="AK3125" s="156"/>
      <c r="AL3125" s="156"/>
      <c r="AM3125" s="156"/>
      <c r="AN3125" s="156"/>
      <c r="AO3125" s="156"/>
      <c r="AP3125" s="156"/>
      <c r="AQ3125" s="156"/>
      <c r="AR3125" s="156"/>
      <c r="AS3125" s="156"/>
      <c r="AT3125" s="156"/>
      <c r="AU3125" s="156"/>
      <c r="AV3125" s="156"/>
      <c r="AW3125" s="156"/>
      <c r="AX3125" s="156"/>
      <c r="AY3125" s="156"/>
      <c r="AZ3125" s="156"/>
      <c r="BA3125" s="156"/>
      <c r="BB3125" s="2828"/>
      <c r="BC3125" s="452"/>
      <c r="BD3125" s="2829"/>
      <c r="BE3125" s="2837"/>
      <c r="BF3125" s="156"/>
    </row>
    <row r="3126" spans="1:58" ht="15" customHeight="1" outlineLevel="1" x14ac:dyDescent="0.35">
      <c r="A3126" s="1664"/>
      <c r="B3126" s="2812"/>
      <c r="C3126" s="3077"/>
      <c r="D3126" s="3980"/>
      <c r="E3126" s="3883"/>
      <c r="F3126" s="3984" t="str">
        <f>$E$1590</f>
        <v>ASHP-SEER15-Replace_CAC_NonElectricHeat_ER1_MF_CompE</v>
      </c>
      <c r="G3126" s="3984"/>
      <c r="H3126" s="3984"/>
      <c r="I3126" s="3984"/>
      <c r="J3126" s="3501" t="str">
        <f>$C$1590</f>
        <v>352761_2021_12_</v>
      </c>
      <c r="K3126" s="3050">
        <v>7.383168127728446</v>
      </c>
      <c r="L3126" s="704"/>
      <c r="M3126" s="3022" t="s">
        <v>1083</v>
      </c>
      <c r="N3126" s="106"/>
      <c r="O3126" s="106"/>
      <c r="P3126" s="702"/>
      <c r="Q3126" s="702"/>
      <c r="R3126" s="702"/>
      <c r="S3126" s="106"/>
      <c r="T3126" s="486"/>
      <c r="U3126" s="106"/>
      <c r="V3126" s="3980"/>
      <c r="W3126" s="3421"/>
      <c r="X3126" s="3421"/>
      <c r="Y3126" s="2377"/>
      <c r="Z3126" s="3425"/>
      <c r="AA3126" s="3425"/>
      <c r="AB3126" s="583"/>
      <c r="AC3126" s="2919">
        <v>7.4436972862639159</v>
      </c>
      <c r="AD3126" s="3050">
        <v>7.383168127728446</v>
      </c>
      <c r="AE3126" s="3429"/>
      <c r="AF3126" s="3421"/>
      <c r="AG3126" s="3421"/>
      <c r="AH3126" s="156"/>
      <c r="AI3126" s="156"/>
      <c r="AJ3126" s="156"/>
      <c r="AK3126" s="156"/>
      <c r="AL3126" s="156"/>
      <c r="AM3126" s="156"/>
      <c r="AN3126" s="156"/>
      <c r="AO3126" s="156"/>
      <c r="AP3126" s="156"/>
      <c r="AQ3126" s="156"/>
      <c r="AR3126" s="156"/>
      <c r="AS3126" s="156"/>
      <c r="AT3126" s="156"/>
      <c r="AU3126" s="156"/>
      <c r="AV3126" s="156"/>
      <c r="AW3126" s="156"/>
      <c r="AX3126" s="156"/>
      <c r="AY3126" s="156"/>
      <c r="AZ3126" s="156"/>
      <c r="BA3126" s="156"/>
      <c r="BB3126" s="2828"/>
      <c r="BC3126" s="452"/>
      <c r="BD3126" s="2829"/>
      <c r="BE3126" s="2837"/>
      <c r="BF3126" s="156"/>
    </row>
    <row r="3127" spans="1:58" ht="15" customHeight="1" outlineLevel="1" x14ac:dyDescent="0.35">
      <c r="A3127" s="1664"/>
      <c r="B3127" s="2812"/>
      <c r="C3127" s="3077"/>
      <c r="D3127" s="3980"/>
      <c r="E3127" s="3883"/>
      <c r="F3127" s="3984" t="str">
        <f>$E$1592</f>
        <v>ASHP-SEER15-Replace_CAC_NonElectricHeat_ER2_MF_CompE</v>
      </c>
      <c r="G3127" s="3984"/>
      <c r="H3127" s="3984"/>
      <c r="I3127" s="3984"/>
      <c r="J3127" s="3501" t="str">
        <f>$C$1592</f>
        <v>352761_2021_12_</v>
      </c>
      <c r="K3127" s="3051">
        <v>13</v>
      </c>
      <c r="L3127" s="704"/>
      <c r="M3127" s="3022" t="s">
        <v>1070</v>
      </c>
      <c r="N3127" s="106"/>
      <c r="O3127" s="106"/>
      <c r="P3127" s="702"/>
      <c r="Q3127" s="702"/>
      <c r="R3127" s="702"/>
      <c r="S3127" s="106"/>
      <c r="T3127" s="486"/>
      <c r="U3127" s="106"/>
      <c r="V3127" s="3980"/>
      <c r="W3127" s="3421"/>
      <c r="X3127" s="3421"/>
      <c r="Y3127" s="2377"/>
      <c r="Z3127" s="3425"/>
      <c r="AA3127" s="3425"/>
      <c r="AB3127" s="583"/>
      <c r="AC3127" s="2919">
        <v>13</v>
      </c>
      <c r="AD3127" s="3051">
        <v>13</v>
      </c>
      <c r="AE3127" s="3429"/>
      <c r="AF3127" s="3421"/>
      <c r="AG3127" s="3421"/>
      <c r="AH3127" s="156"/>
      <c r="AI3127" s="156"/>
      <c r="AJ3127" s="156"/>
      <c r="AK3127" s="156"/>
      <c r="AL3127" s="156"/>
      <c r="AM3127" s="156"/>
      <c r="AN3127" s="156"/>
      <c r="AO3127" s="156"/>
      <c r="AP3127" s="156"/>
      <c r="AQ3127" s="156"/>
      <c r="AR3127" s="156"/>
      <c r="AS3127" s="156"/>
      <c r="AT3127" s="156"/>
      <c r="AU3127" s="156"/>
      <c r="AV3127" s="156"/>
      <c r="AW3127" s="156"/>
      <c r="AX3127" s="156"/>
      <c r="AY3127" s="156"/>
      <c r="AZ3127" s="156"/>
      <c r="BA3127" s="156"/>
      <c r="BB3127" s="2828"/>
      <c r="BC3127" s="452"/>
      <c r="BD3127" s="2829"/>
      <c r="BE3127" s="2837"/>
      <c r="BF3127" s="156"/>
    </row>
    <row r="3128" spans="1:58" ht="15" customHeight="1" outlineLevel="1" x14ac:dyDescent="0.35">
      <c r="A3128" s="1664"/>
      <c r="B3128" s="2812"/>
      <c r="C3128" s="3077"/>
      <c r="D3128" s="3980"/>
      <c r="E3128" s="3883"/>
      <c r="F3128" s="3984" t="str">
        <f>$E$1594</f>
        <v>ASHP-SEER15-Replace_CAC_ElectricHeat_ROF_MF</v>
      </c>
      <c r="G3128" s="3984"/>
      <c r="H3128" s="3984"/>
      <c r="I3128" s="3984"/>
      <c r="J3128" s="3501" t="str">
        <f>$C$1594</f>
        <v>352800_2019_12_</v>
      </c>
      <c r="K3128" s="3051">
        <v>13</v>
      </c>
      <c r="L3128" s="704"/>
      <c r="M3128" s="3022" t="s">
        <v>1070</v>
      </c>
      <c r="N3128" s="106"/>
      <c r="O3128" s="106"/>
      <c r="P3128" s="702"/>
      <c r="Q3128" s="702"/>
      <c r="R3128" s="702"/>
      <c r="S3128" s="106"/>
      <c r="T3128" s="486"/>
      <c r="U3128" s="106"/>
      <c r="V3128" s="3980"/>
      <c r="W3128" s="3421">
        <v>13</v>
      </c>
      <c r="X3128" s="3421">
        <v>13</v>
      </c>
      <c r="Y3128" s="3425">
        <v>13</v>
      </c>
      <c r="Z3128" s="3425">
        <v>13</v>
      </c>
      <c r="AA3128" s="3425">
        <v>13</v>
      </c>
      <c r="AB3128" s="583">
        <v>13</v>
      </c>
      <c r="AC3128" s="2920">
        <v>13</v>
      </c>
      <c r="AD3128" s="3051">
        <v>13</v>
      </c>
      <c r="AE3128" s="3429"/>
      <c r="AF3128" s="3421"/>
      <c r="AG3128" s="3421"/>
      <c r="AH3128" s="156"/>
      <c r="AI3128" s="156"/>
      <c r="AJ3128" s="156"/>
      <c r="AK3128" s="156"/>
      <c r="AL3128" s="156"/>
      <c r="AM3128" s="156"/>
      <c r="AN3128" s="156"/>
      <c r="AO3128" s="156"/>
      <c r="AP3128" s="156"/>
      <c r="AQ3128" s="156"/>
      <c r="AR3128" s="156"/>
      <c r="AS3128" s="156"/>
      <c r="AT3128" s="156"/>
      <c r="AU3128" s="156"/>
      <c r="AV3128" s="156"/>
      <c r="AW3128" s="156"/>
      <c r="AX3128" s="156"/>
      <c r="AY3128" s="156"/>
      <c r="AZ3128" s="156"/>
      <c r="BA3128" s="156"/>
      <c r="BB3128" s="2828"/>
      <c r="BC3128" s="452"/>
      <c r="BD3128" s="2829"/>
      <c r="BE3128" s="2837"/>
      <c r="BF3128" s="156"/>
    </row>
    <row r="3129" spans="1:58" ht="15" customHeight="1" outlineLevel="1" x14ac:dyDescent="0.35">
      <c r="A3129" s="1664"/>
      <c r="B3129" s="2812"/>
      <c r="C3129" s="3077"/>
      <c r="D3129" s="3980"/>
      <c r="E3129" s="3883"/>
      <c r="F3129" s="3984" t="str">
        <f>$E$1596</f>
        <v>ASHP-SEER15-Replace_CAC_ElectricHeat_ROF_MF_CompE</v>
      </c>
      <c r="G3129" s="3984"/>
      <c r="H3129" s="3984"/>
      <c r="I3129" s="3984"/>
      <c r="J3129" s="3501" t="str">
        <f>$C$1596</f>
        <v>352801_2021_12_</v>
      </c>
      <c r="K3129" s="3051">
        <v>13</v>
      </c>
      <c r="L3129" s="704"/>
      <c r="M3129" s="3022" t="s">
        <v>1070</v>
      </c>
      <c r="N3129" s="106"/>
      <c r="O3129" s="106"/>
      <c r="P3129" s="702"/>
      <c r="Q3129" s="702"/>
      <c r="R3129" s="702"/>
      <c r="S3129" s="106"/>
      <c r="T3129" s="486"/>
      <c r="U3129" s="106"/>
      <c r="V3129" s="3980"/>
      <c r="W3129" s="3421"/>
      <c r="X3129" s="3421"/>
      <c r="Y3129" s="2377">
        <v>13</v>
      </c>
      <c r="Z3129" s="3425">
        <v>13</v>
      </c>
      <c r="AA3129" s="3425">
        <v>13</v>
      </c>
      <c r="AB3129" s="583">
        <v>13</v>
      </c>
      <c r="AC3129" s="2920">
        <v>13</v>
      </c>
      <c r="AD3129" s="3051">
        <v>13</v>
      </c>
      <c r="AE3129" s="3429"/>
      <c r="AF3129" s="3421"/>
      <c r="AG3129" s="3421"/>
      <c r="AH3129" s="156"/>
      <c r="AI3129" s="156"/>
      <c r="AJ3129" s="156"/>
      <c r="AK3129" s="156"/>
      <c r="AL3129" s="156"/>
      <c r="AM3129" s="156"/>
      <c r="AN3129" s="156"/>
      <c r="AO3129" s="156"/>
      <c r="AP3129" s="156"/>
      <c r="AQ3129" s="156"/>
      <c r="AR3129" s="156"/>
      <c r="AS3129" s="156"/>
      <c r="AT3129" s="156"/>
      <c r="AU3129" s="156"/>
      <c r="AV3129" s="156"/>
      <c r="AW3129" s="156"/>
      <c r="AX3129" s="156"/>
      <c r="AY3129" s="156"/>
      <c r="AZ3129" s="156"/>
      <c r="BA3129" s="156"/>
      <c r="BB3129" s="2828"/>
      <c r="BC3129" s="452"/>
      <c r="BD3129" s="2829"/>
      <c r="BE3129" s="2837"/>
      <c r="BF3129" s="156"/>
    </row>
    <row r="3130" spans="1:58" ht="15" customHeight="1" outlineLevel="1" x14ac:dyDescent="0.35">
      <c r="A3130" s="1664"/>
      <c r="B3130" s="2812"/>
      <c r="C3130" s="3077"/>
      <c r="D3130" s="3980"/>
      <c r="E3130" s="3883"/>
      <c r="F3130" s="3984" t="str">
        <f>$E$1598</f>
        <v>ASHP-SEER15-Replace_CAC_NonElectricHeat_ROF_MF</v>
      </c>
      <c r="G3130" s="3984"/>
      <c r="H3130" s="3984"/>
      <c r="I3130" s="3984"/>
      <c r="J3130" s="3501" t="str">
        <f>$C$1598</f>
        <v>352810_2021_12_</v>
      </c>
      <c r="K3130" s="3051">
        <v>13</v>
      </c>
      <c r="L3130" s="704"/>
      <c r="M3130" s="3022" t="s">
        <v>1070</v>
      </c>
      <c r="N3130" s="106"/>
      <c r="O3130" s="106"/>
      <c r="P3130" s="702"/>
      <c r="Q3130" s="702"/>
      <c r="R3130" s="702"/>
      <c r="S3130" s="106"/>
      <c r="T3130" s="486"/>
      <c r="U3130" s="106"/>
      <c r="V3130" s="3980"/>
      <c r="W3130" s="3421"/>
      <c r="X3130" s="3421"/>
      <c r="Y3130" s="2377"/>
      <c r="Z3130" s="3425"/>
      <c r="AA3130" s="3425"/>
      <c r="AB3130" s="583"/>
      <c r="AC3130" s="2919">
        <v>13</v>
      </c>
      <c r="AD3130" s="3051">
        <v>13</v>
      </c>
      <c r="AE3130" s="3429"/>
      <c r="AF3130" s="3421"/>
      <c r="AG3130" s="3421"/>
      <c r="AH3130" s="156"/>
      <c r="AI3130" s="156"/>
      <c r="AJ3130" s="156"/>
      <c r="AK3130" s="156"/>
      <c r="AL3130" s="156"/>
      <c r="AM3130" s="156"/>
      <c r="AN3130" s="156"/>
      <c r="AO3130" s="156"/>
      <c r="AP3130" s="156"/>
      <c r="AQ3130" s="156"/>
      <c r="AR3130" s="156"/>
      <c r="AS3130" s="156"/>
      <c r="AT3130" s="156"/>
      <c r="AU3130" s="156"/>
      <c r="AV3130" s="156"/>
      <c r="AW3130" s="156"/>
      <c r="AX3130" s="156"/>
      <c r="AY3130" s="156"/>
      <c r="AZ3130" s="156"/>
      <c r="BA3130" s="156"/>
      <c r="BB3130" s="2828"/>
      <c r="BC3130" s="452"/>
      <c r="BD3130" s="2829"/>
      <c r="BE3130" s="2837"/>
      <c r="BF3130" s="156"/>
    </row>
    <row r="3131" spans="1:58" ht="15" customHeight="1" outlineLevel="1" x14ac:dyDescent="0.35">
      <c r="A3131" s="1664"/>
      <c r="B3131" s="2812"/>
      <c r="C3131" s="3077"/>
      <c r="D3131" s="3980"/>
      <c r="E3131" s="3883"/>
      <c r="F3131" s="3984" t="str">
        <f>$E$1600</f>
        <v>ASHP-SEER15-Replace_CAC_NonElectricHeat_ROF_MF_CompE</v>
      </c>
      <c r="G3131" s="3984"/>
      <c r="H3131" s="3984"/>
      <c r="I3131" s="3984"/>
      <c r="J3131" s="3501" t="str">
        <f>$C$1600</f>
        <v>352811_2021_12_</v>
      </c>
      <c r="K3131" s="3051">
        <v>13</v>
      </c>
      <c r="L3131" s="704"/>
      <c r="M3131" s="3022" t="s">
        <v>1070</v>
      </c>
      <c r="N3131" s="106"/>
      <c r="O3131" s="106"/>
      <c r="P3131" s="702"/>
      <c r="Q3131" s="702"/>
      <c r="R3131" s="702"/>
      <c r="S3131" s="106"/>
      <c r="T3131" s="486"/>
      <c r="U3131" s="106"/>
      <c r="V3131" s="3980"/>
      <c r="W3131" s="3421"/>
      <c r="X3131" s="3421"/>
      <c r="Y3131" s="2377"/>
      <c r="Z3131" s="3425"/>
      <c r="AA3131" s="3425"/>
      <c r="AB3131" s="583"/>
      <c r="AC3131" s="2919">
        <v>13</v>
      </c>
      <c r="AD3131" s="3051">
        <v>13</v>
      </c>
      <c r="AE3131" s="3429"/>
      <c r="AF3131" s="3421"/>
      <c r="AG3131" s="3421"/>
      <c r="AH3131" s="156"/>
      <c r="AI3131" s="156"/>
      <c r="AJ3131" s="156"/>
      <c r="AK3131" s="156"/>
      <c r="AL3131" s="156"/>
      <c r="AM3131" s="156"/>
      <c r="AN3131" s="156"/>
      <c r="AO3131" s="156"/>
      <c r="AP3131" s="156"/>
      <c r="AQ3131" s="156"/>
      <c r="AR3131" s="156"/>
      <c r="AS3131" s="156"/>
      <c r="AT3131" s="156"/>
      <c r="AU3131" s="156"/>
      <c r="AV3131" s="156"/>
      <c r="AW3131" s="156"/>
      <c r="AX3131" s="156"/>
      <c r="AY3131" s="156"/>
      <c r="AZ3131" s="156"/>
      <c r="BA3131" s="156"/>
      <c r="BB3131" s="2828"/>
      <c r="BC3131" s="452"/>
      <c r="BD3131" s="2829"/>
      <c r="BE3131" s="2837"/>
      <c r="BF3131" s="156"/>
    </row>
    <row r="3132" spans="1:58" ht="15" customHeight="1" outlineLevel="1" x14ac:dyDescent="0.35">
      <c r="A3132" s="1664"/>
      <c r="B3132" s="2812"/>
      <c r="C3132" s="3077"/>
      <c r="D3132" s="3980"/>
      <c r="E3132" s="3883"/>
      <c r="F3132" s="3984" t="str">
        <f>$E$1602</f>
        <v>ASHP-SEER16_ER1_MF</v>
      </c>
      <c r="G3132" s="3984"/>
      <c r="H3132" s="3984"/>
      <c r="I3132" s="3984"/>
      <c r="J3132" s="3501" t="str">
        <f>$C$1602</f>
        <v>352850_2021_12_</v>
      </c>
      <c r="K3132" s="3050">
        <v>7.9529639856088918</v>
      </c>
      <c r="L3132" s="704"/>
      <c r="M3132" s="3024" t="s">
        <v>4360</v>
      </c>
      <c r="N3132" s="106"/>
      <c r="O3132" s="106"/>
      <c r="P3132" s="702"/>
      <c r="Q3132" s="702"/>
      <c r="R3132" s="702"/>
      <c r="S3132" s="106"/>
      <c r="T3132" s="486"/>
      <c r="U3132" s="106"/>
      <c r="V3132" s="3980"/>
      <c r="W3132" s="3421">
        <v>7.2</v>
      </c>
      <c r="X3132" s="2374">
        <v>8.33</v>
      </c>
      <c r="Y3132" s="3425">
        <v>8.33</v>
      </c>
      <c r="Z3132" s="3425">
        <v>8.33</v>
      </c>
      <c r="AA3132" s="3425">
        <v>8.33</v>
      </c>
      <c r="AB3132" s="583">
        <v>8.33</v>
      </c>
      <c r="AC3132" s="2919">
        <v>8.1723559416639002</v>
      </c>
      <c r="AD3132" s="3050">
        <v>7.9529639856088918</v>
      </c>
      <c r="AE3132" s="3429"/>
      <c r="AF3132" s="3421"/>
      <c r="AG3132" s="3421"/>
      <c r="AH3132" s="156"/>
      <c r="AI3132" s="156"/>
      <c r="AJ3132" s="156"/>
      <c r="AK3132" s="156"/>
      <c r="AL3132" s="156"/>
      <c r="AM3132" s="156"/>
      <c r="AN3132" s="156"/>
      <c r="AO3132" s="156"/>
      <c r="AP3132" s="156"/>
      <c r="AQ3132" s="156"/>
      <c r="AR3132" s="156"/>
      <c r="AS3132" s="156"/>
      <c r="AT3132" s="156"/>
      <c r="AU3132" s="156"/>
      <c r="AV3132" s="156"/>
      <c r="AW3132" s="156"/>
      <c r="AX3132" s="156"/>
      <c r="AY3132" s="156"/>
      <c r="AZ3132" s="156"/>
      <c r="BA3132" s="156"/>
      <c r="BB3132" s="2828"/>
      <c r="BC3132" s="452"/>
      <c r="BD3132" s="2829"/>
      <c r="BE3132" s="2837"/>
      <c r="BF3132" s="156"/>
    </row>
    <row r="3133" spans="1:58" ht="15" customHeight="1" outlineLevel="1" x14ac:dyDescent="0.35">
      <c r="A3133" s="1664"/>
      <c r="B3133" s="2812"/>
      <c r="C3133" s="3077"/>
      <c r="D3133" s="3980"/>
      <c r="E3133" s="3883"/>
      <c r="F3133" s="3984" t="str">
        <f>$E$1604</f>
        <v>ASHP-SEER16_ER2_MF</v>
      </c>
      <c r="G3133" s="3984"/>
      <c r="H3133" s="3984"/>
      <c r="I3133" s="3984"/>
      <c r="J3133" s="3501" t="str">
        <f>$C$1604</f>
        <v>352850_2021_12_</v>
      </c>
      <c r="K3133" s="3051">
        <v>14</v>
      </c>
      <c r="L3133" s="704"/>
      <c r="M3133" s="3022" t="s">
        <v>1070</v>
      </c>
      <c r="N3133" s="106"/>
      <c r="O3133" s="106"/>
      <c r="P3133" s="702"/>
      <c r="Q3133" s="702"/>
      <c r="R3133" s="702"/>
      <c r="S3133" s="106"/>
      <c r="T3133" s="486"/>
      <c r="U3133" s="106"/>
      <c r="V3133" s="3980"/>
      <c r="W3133" s="3421">
        <v>14</v>
      </c>
      <c r="X3133" s="3421">
        <v>14</v>
      </c>
      <c r="Y3133" s="3425">
        <v>14</v>
      </c>
      <c r="Z3133" s="3425">
        <v>14</v>
      </c>
      <c r="AA3133" s="3425">
        <v>14</v>
      </c>
      <c r="AB3133" s="583">
        <v>14</v>
      </c>
      <c r="AC3133" s="2920">
        <v>14</v>
      </c>
      <c r="AD3133" s="3051">
        <v>14</v>
      </c>
      <c r="AE3133" s="3429"/>
      <c r="AF3133" s="3421"/>
      <c r="AG3133" s="3421"/>
      <c r="AH3133" s="156"/>
      <c r="AI3133" s="156"/>
      <c r="AJ3133" s="156"/>
      <c r="AK3133" s="156"/>
      <c r="AL3133" s="156"/>
      <c r="AM3133" s="156"/>
      <c r="AN3133" s="156"/>
      <c r="AO3133" s="156"/>
      <c r="AP3133" s="156"/>
      <c r="AQ3133" s="156"/>
      <c r="AR3133" s="156"/>
      <c r="AS3133" s="156"/>
      <c r="AT3133" s="156"/>
      <c r="AU3133" s="156"/>
      <c r="AV3133" s="156"/>
      <c r="AW3133" s="156"/>
      <c r="AX3133" s="156"/>
      <c r="AY3133" s="156"/>
      <c r="AZ3133" s="156"/>
      <c r="BA3133" s="156"/>
      <c r="BB3133" s="2828"/>
      <c r="BC3133" s="452"/>
      <c r="BD3133" s="2829"/>
      <c r="BE3133" s="2837"/>
      <c r="BF3133" s="156"/>
    </row>
    <row r="3134" spans="1:58" ht="15" customHeight="1" outlineLevel="1" x14ac:dyDescent="0.35">
      <c r="A3134" s="1664"/>
      <c r="B3134" s="2812"/>
      <c r="C3134" s="3077"/>
      <c r="D3134" s="3980"/>
      <c r="E3134" s="3883"/>
      <c r="F3134" s="3984" t="str">
        <f>$E$1606</f>
        <v>ASHP-SEER16_ER1_MF_CompE</v>
      </c>
      <c r="G3134" s="3984"/>
      <c r="H3134" s="3984"/>
      <c r="I3134" s="3984"/>
      <c r="J3134" s="3501" t="str">
        <f>$C$1606</f>
        <v>352851_2021_12_</v>
      </c>
      <c r="K3134" s="3050">
        <v>7.9529639856088918</v>
      </c>
      <c r="L3134" s="704"/>
      <c r="M3134" s="3024" t="s">
        <v>4360</v>
      </c>
      <c r="N3134" s="106"/>
      <c r="O3134" s="106"/>
      <c r="P3134" s="702"/>
      <c r="Q3134" s="702"/>
      <c r="R3134" s="702"/>
      <c r="S3134" s="106"/>
      <c r="T3134" s="486"/>
      <c r="U3134" s="106"/>
      <c r="V3134" s="3980"/>
      <c r="W3134" s="3421"/>
      <c r="X3134" s="3421"/>
      <c r="Y3134" s="2377">
        <v>8.33</v>
      </c>
      <c r="Z3134" s="3425">
        <v>8.33</v>
      </c>
      <c r="AA3134" s="3425">
        <v>8.33</v>
      </c>
      <c r="AB3134" s="583">
        <v>8.33</v>
      </c>
      <c r="AC3134" s="2920">
        <v>8.33</v>
      </c>
      <c r="AD3134" s="3050">
        <v>7.9529639856088918</v>
      </c>
      <c r="AE3134" s="3429"/>
      <c r="AF3134" s="3421"/>
      <c r="AG3134" s="3421"/>
      <c r="AH3134" s="156"/>
      <c r="AI3134" s="156"/>
      <c r="AJ3134" s="156"/>
      <c r="AK3134" s="156"/>
      <c r="AL3134" s="156"/>
      <c r="AM3134" s="156"/>
      <c r="AN3134" s="156"/>
      <c r="AO3134" s="156"/>
      <c r="AP3134" s="156"/>
      <c r="AQ3134" s="156"/>
      <c r="AR3134" s="156"/>
      <c r="AS3134" s="156"/>
      <c r="AT3134" s="156"/>
      <c r="AU3134" s="156"/>
      <c r="AV3134" s="156"/>
      <c r="AW3134" s="156"/>
      <c r="AX3134" s="156"/>
      <c r="AY3134" s="156"/>
      <c r="AZ3134" s="156"/>
      <c r="BA3134" s="156"/>
      <c r="BB3134" s="2828"/>
      <c r="BC3134" s="452"/>
      <c r="BD3134" s="2829"/>
      <c r="BE3134" s="2837"/>
      <c r="BF3134" s="156"/>
    </row>
    <row r="3135" spans="1:58" ht="15" customHeight="1" outlineLevel="1" x14ac:dyDescent="0.35">
      <c r="A3135" s="1664"/>
      <c r="B3135" s="2812"/>
      <c r="C3135" s="3077"/>
      <c r="D3135" s="3980"/>
      <c r="E3135" s="3883"/>
      <c r="F3135" s="3984" t="str">
        <f>$E$1608</f>
        <v>ASHP-SEER16_ER2_MF_CompE</v>
      </c>
      <c r="G3135" s="3984"/>
      <c r="H3135" s="3984"/>
      <c r="I3135" s="3984"/>
      <c r="J3135" s="3501" t="str">
        <f>$C$1608</f>
        <v>352851_2021_12_</v>
      </c>
      <c r="K3135" s="3051">
        <v>14</v>
      </c>
      <c r="L3135" s="704"/>
      <c r="M3135" s="3022" t="s">
        <v>1070</v>
      </c>
      <c r="N3135" s="106"/>
      <c r="O3135" s="106"/>
      <c r="P3135" s="702"/>
      <c r="Q3135" s="702"/>
      <c r="R3135" s="702"/>
      <c r="S3135" s="106"/>
      <c r="T3135" s="486"/>
      <c r="U3135" s="106"/>
      <c r="V3135" s="3980"/>
      <c r="W3135" s="3421"/>
      <c r="X3135" s="3421"/>
      <c r="Y3135" s="2377">
        <v>14</v>
      </c>
      <c r="Z3135" s="3425">
        <v>14</v>
      </c>
      <c r="AA3135" s="3425">
        <v>14</v>
      </c>
      <c r="AB3135" s="583">
        <v>14</v>
      </c>
      <c r="AC3135" s="2920">
        <v>14</v>
      </c>
      <c r="AD3135" s="3051">
        <v>14</v>
      </c>
      <c r="AE3135" s="3429"/>
      <c r="AF3135" s="3421"/>
      <c r="AG3135" s="3421"/>
      <c r="AH3135" s="156"/>
      <c r="AI3135" s="156"/>
      <c r="AJ3135" s="156"/>
      <c r="AK3135" s="156"/>
      <c r="AL3135" s="156"/>
      <c r="AM3135" s="156"/>
      <c r="AN3135" s="156"/>
      <c r="AO3135" s="156"/>
      <c r="AP3135" s="156"/>
      <c r="AQ3135" s="156"/>
      <c r="AR3135" s="156"/>
      <c r="AS3135" s="156"/>
      <c r="AT3135" s="156"/>
      <c r="AU3135" s="156"/>
      <c r="AV3135" s="156"/>
      <c r="AW3135" s="156"/>
      <c r="AX3135" s="156"/>
      <c r="AY3135" s="156"/>
      <c r="AZ3135" s="156"/>
      <c r="BA3135" s="156"/>
      <c r="BB3135" s="2828"/>
      <c r="BC3135" s="452"/>
      <c r="BD3135" s="2829"/>
      <c r="BE3135" s="2837"/>
      <c r="BF3135" s="156"/>
    </row>
    <row r="3136" spans="1:58" ht="15" customHeight="1" outlineLevel="1" x14ac:dyDescent="0.35">
      <c r="A3136" s="1664"/>
      <c r="B3136" s="2812"/>
      <c r="C3136" s="3077"/>
      <c r="D3136" s="3980"/>
      <c r="E3136" s="3883"/>
      <c r="F3136" s="3984" t="str">
        <f>$E$1610</f>
        <v>ASHP-SEER16_ROF_MF</v>
      </c>
      <c r="G3136" s="3984"/>
      <c r="H3136" s="3984"/>
      <c r="I3136" s="3984"/>
      <c r="J3136" s="3501" t="str">
        <f>$C$1610</f>
        <v>352900_2021_12_</v>
      </c>
      <c r="K3136" s="3051">
        <v>14</v>
      </c>
      <c r="L3136" s="704"/>
      <c r="M3136" s="3022" t="s">
        <v>1070</v>
      </c>
      <c r="N3136" s="106"/>
      <c r="O3136" s="106"/>
      <c r="P3136" s="702"/>
      <c r="Q3136" s="702"/>
      <c r="R3136" s="702"/>
      <c r="S3136" s="106"/>
      <c r="T3136" s="486"/>
      <c r="U3136" s="106"/>
      <c r="V3136" s="3980"/>
      <c r="W3136" s="3421">
        <v>14</v>
      </c>
      <c r="X3136" s="3421">
        <v>14</v>
      </c>
      <c r="Y3136" s="3425">
        <v>14</v>
      </c>
      <c r="Z3136" s="3425">
        <v>14</v>
      </c>
      <c r="AA3136" s="3425">
        <v>14</v>
      </c>
      <c r="AB3136" s="583">
        <v>14</v>
      </c>
      <c r="AC3136" s="2920">
        <v>14</v>
      </c>
      <c r="AD3136" s="3051">
        <v>14</v>
      </c>
      <c r="AE3136" s="3429"/>
      <c r="AF3136" s="3421"/>
      <c r="AG3136" s="3421"/>
      <c r="AH3136" s="156"/>
      <c r="AI3136" s="156"/>
      <c r="AJ3136" s="156"/>
      <c r="AK3136" s="156"/>
      <c r="AL3136" s="156"/>
      <c r="AM3136" s="156"/>
      <c r="AN3136" s="156"/>
      <c r="AO3136" s="156"/>
      <c r="AP3136" s="156"/>
      <c r="AQ3136" s="156"/>
      <c r="AR3136" s="156"/>
      <c r="AS3136" s="156"/>
      <c r="AT3136" s="156"/>
      <c r="AU3136" s="156"/>
      <c r="AV3136" s="156"/>
      <c r="AW3136" s="156"/>
      <c r="AX3136" s="156"/>
      <c r="AY3136" s="156"/>
      <c r="AZ3136" s="156"/>
      <c r="BA3136" s="156"/>
      <c r="BB3136" s="2828"/>
      <c r="BC3136" s="452"/>
      <c r="BD3136" s="2829"/>
      <c r="BE3136" s="2837"/>
      <c r="BF3136" s="156"/>
    </row>
    <row r="3137" spans="1:58" ht="15" customHeight="1" outlineLevel="1" x14ac:dyDescent="0.35">
      <c r="A3137" s="1664"/>
      <c r="B3137" s="2812"/>
      <c r="C3137" s="3077"/>
      <c r="D3137" s="3980"/>
      <c r="E3137" s="3883"/>
      <c r="F3137" s="3984" t="str">
        <f>$E$1612</f>
        <v>ASHP-SEER16_ROF_MF_CompE</v>
      </c>
      <c r="G3137" s="3984"/>
      <c r="H3137" s="3984"/>
      <c r="I3137" s="3984"/>
      <c r="J3137" s="3501" t="str">
        <f>$C$1612</f>
        <v>352901_2021_12_</v>
      </c>
      <c r="K3137" s="3051">
        <v>14</v>
      </c>
      <c r="L3137" s="704"/>
      <c r="M3137" s="3022" t="s">
        <v>1070</v>
      </c>
      <c r="N3137" s="106"/>
      <c r="O3137" s="106"/>
      <c r="P3137" s="702"/>
      <c r="Q3137" s="702"/>
      <c r="R3137" s="702"/>
      <c r="S3137" s="106"/>
      <c r="T3137" s="486"/>
      <c r="U3137" s="106"/>
      <c r="V3137" s="3980"/>
      <c r="W3137" s="3421"/>
      <c r="X3137" s="3421"/>
      <c r="Y3137" s="2377">
        <v>14</v>
      </c>
      <c r="Z3137" s="3425">
        <v>14</v>
      </c>
      <c r="AA3137" s="3425">
        <v>14</v>
      </c>
      <c r="AB3137" s="583">
        <v>14</v>
      </c>
      <c r="AC3137" s="2920">
        <v>14</v>
      </c>
      <c r="AD3137" s="3051">
        <v>14</v>
      </c>
      <c r="AE3137" s="3429"/>
      <c r="AF3137" s="3421"/>
      <c r="AG3137" s="3421"/>
      <c r="AH3137" s="156"/>
      <c r="AI3137" s="156"/>
      <c r="AJ3137" s="156"/>
      <c r="AK3137" s="156"/>
      <c r="AL3137" s="156"/>
      <c r="AM3137" s="156"/>
      <c r="AN3137" s="156"/>
      <c r="AO3137" s="156"/>
      <c r="AP3137" s="156"/>
      <c r="AQ3137" s="156"/>
      <c r="AR3137" s="156"/>
      <c r="AS3137" s="156"/>
      <c r="AT3137" s="156"/>
      <c r="AU3137" s="156"/>
      <c r="AV3137" s="156"/>
      <c r="AW3137" s="156"/>
      <c r="AX3137" s="156"/>
      <c r="AY3137" s="156"/>
      <c r="AZ3137" s="156"/>
      <c r="BA3137" s="156"/>
      <c r="BB3137" s="2828"/>
      <c r="BC3137" s="452"/>
      <c r="BD3137" s="2829"/>
      <c r="BE3137" s="2837"/>
      <c r="BF3137" s="156"/>
    </row>
    <row r="3138" spans="1:58" ht="15" customHeight="1" outlineLevel="1" x14ac:dyDescent="0.35">
      <c r="A3138" s="1664"/>
      <c r="B3138" s="2812"/>
      <c r="C3138" s="3077"/>
      <c r="D3138" s="3980"/>
      <c r="E3138" s="3883"/>
      <c r="F3138" s="3984" t="str">
        <f>$E$1614</f>
        <v>ASHP-SEER16-Replace_CAC_ElectricHeat_ROF_MF</v>
      </c>
      <c r="G3138" s="3984"/>
      <c r="H3138" s="3984"/>
      <c r="I3138" s="3984"/>
      <c r="J3138" s="3501" t="str">
        <f>$C$1614</f>
        <v>352950_2019_12_</v>
      </c>
      <c r="K3138" s="3051">
        <v>13</v>
      </c>
      <c r="L3138" s="704"/>
      <c r="M3138" s="3022" t="s">
        <v>1070</v>
      </c>
      <c r="N3138" s="106"/>
      <c r="O3138" s="106"/>
      <c r="P3138" s="702"/>
      <c r="Q3138" s="702"/>
      <c r="R3138" s="702"/>
      <c r="S3138" s="106"/>
      <c r="T3138" s="486"/>
      <c r="U3138" s="106"/>
      <c r="V3138" s="3980"/>
      <c r="W3138" s="3421">
        <v>13</v>
      </c>
      <c r="X3138" s="3421">
        <v>13</v>
      </c>
      <c r="Y3138" s="3425">
        <v>13</v>
      </c>
      <c r="Z3138" s="3425">
        <v>13</v>
      </c>
      <c r="AA3138" s="3425">
        <v>13</v>
      </c>
      <c r="AB3138" s="583">
        <v>13</v>
      </c>
      <c r="AC3138" s="2920">
        <v>13</v>
      </c>
      <c r="AD3138" s="3051">
        <v>13</v>
      </c>
      <c r="AE3138" s="3429"/>
      <c r="AF3138" s="3421"/>
      <c r="AG3138" s="3421"/>
      <c r="AH3138" s="156"/>
      <c r="AI3138" s="156"/>
      <c r="AJ3138" s="156"/>
      <c r="AK3138" s="156"/>
      <c r="AL3138" s="156"/>
      <c r="AM3138" s="156"/>
      <c r="AN3138" s="156"/>
      <c r="AO3138" s="156"/>
      <c r="AP3138" s="156"/>
      <c r="AQ3138" s="156"/>
      <c r="AR3138" s="156"/>
      <c r="AS3138" s="156"/>
      <c r="AT3138" s="156"/>
      <c r="AU3138" s="156"/>
      <c r="AV3138" s="156"/>
      <c r="AW3138" s="156"/>
      <c r="AX3138" s="156"/>
      <c r="AY3138" s="156"/>
      <c r="AZ3138" s="156"/>
      <c r="BA3138" s="156"/>
      <c r="BB3138" s="2828"/>
      <c r="BC3138" s="452"/>
      <c r="BD3138" s="2829"/>
      <c r="BE3138" s="2837"/>
      <c r="BF3138" s="156"/>
    </row>
    <row r="3139" spans="1:58" ht="15" customHeight="1" outlineLevel="1" x14ac:dyDescent="0.35">
      <c r="A3139" s="1664"/>
      <c r="B3139" s="2812"/>
      <c r="C3139" s="3077"/>
      <c r="D3139" s="3980"/>
      <c r="E3139" s="3883"/>
      <c r="F3139" s="3984" t="str">
        <f>$E$1616</f>
        <v>ASHP-SEER16-Replace_CAC_ElectricHeat_ROF_MF_CompE</v>
      </c>
      <c r="G3139" s="3984"/>
      <c r="H3139" s="3984"/>
      <c r="I3139" s="3984"/>
      <c r="J3139" s="3501" t="str">
        <f>$C$1616</f>
        <v>352951_2019_12_</v>
      </c>
      <c r="K3139" s="3051">
        <v>13</v>
      </c>
      <c r="L3139" s="704"/>
      <c r="M3139" s="3022" t="s">
        <v>1070</v>
      </c>
      <c r="N3139" s="106"/>
      <c r="O3139" s="106"/>
      <c r="P3139" s="702"/>
      <c r="Q3139" s="702"/>
      <c r="R3139" s="702"/>
      <c r="S3139" s="106"/>
      <c r="T3139" s="486"/>
      <c r="U3139" s="106"/>
      <c r="V3139" s="3980"/>
      <c r="W3139" s="3421"/>
      <c r="X3139" s="3421"/>
      <c r="Y3139" s="2377">
        <v>13</v>
      </c>
      <c r="Z3139" s="3425">
        <v>13</v>
      </c>
      <c r="AA3139" s="3425">
        <v>13</v>
      </c>
      <c r="AB3139" s="583">
        <v>13</v>
      </c>
      <c r="AC3139" s="2920">
        <v>13</v>
      </c>
      <c r="AD3139" s="3051">
        <v>13</v>
      </c>
      <c r="AE3139" s="3429"/>
      <c r="AF3139" s="3421"/>
      <c r="AG3139" s="3421"/>
      <c r="AH3139" s="156"/>
      <c r="AI3139" s="156"/>
      <c r="AJ3139" s="156"/>
      <c r="AK3139" s="156"/>
      <c r="AL3139" s="156"/>
      <c r="AM3139" s="156"/>
      <c r="AN3139" s="156"/>
      <c r="AO3139" s="156"/>
      <c r="AP3139" s="156"/>
      <c r="AQ3139" s="156"/>
      <c r="AR3139" s="156"/>
      <c r="AS3139" s="156"/>
      <c r="AT3139" s="156"/>
      <c r="AU3139" s="156"/>
      <c r="AV3139" s="156"/>
      <c r="AW3139" s="156"/>
      <c r="AX3139" s="156"/>
      <c r="AY3139" s="156"/>
      <c r="AZ3139" s="156"/>
      <c r="BA3139" s="156"/>
      <c r="BB3139" s="2828"/>
      <c r="BC3139" s="452"/>
      <c r="BD3139" s="2829"/>
      <c r="BE3139" s="2837"/>
      <c r="BF3139" s="156"/>
    </row>
    <row r="3140" spans="1:58" ht="15" customHeight="1" outlineLevel="1" x14ac:dyDescent="0.35">
      <c r="A3140" s="1664"/>
      <c r="B3140" s="2812"/>
      <c r="C3140" s="3077"/>
      <c r="D3140" s="3980"/>
      <c r="E3140" s="3883"/>
      <c r="F3140" s="3984" t="str">
        <f>$E$1618</f>
        <v>ASHP-SEER16-Replace_CAC_NonElectricHeat_ROF_MF</v>
      </c>
      <c r="G3140" s="3984"/>
      <c r="H3140" s="3984"/>
      <c r="I3140" s="3984"/>
      <c r="J3140" s="3501" t="str">
        <f>$C$1618</f>
        <v>352960_2021_12_</v>
      </c>
      <c r="K3140" s="3051">
        <v>13</v>
      </c>
      <c r="L3140" s="704"/>
      <c r="M3140" s="3022" t="s">
        <v>1070</v>
      </c>
      <c r="N3140" s="106"/>
      <c r="O3140" s="106"/>
      <c r="P3140" s="702"/>
      <c r="Q3140" s="702"/>
      <c r="R3140" s="702"/>
      <c r="S3140" s="106"/>
      <c r="T3140" s="486"/>
      <c r="U3140" s="106"/>
      <c r="V3140" s="3980"/>
      <c r="W3140" s="3421"/>
      <c r="X3140" s="3421"/>
      <c r="Y3140" s="2377"/>
      <c r="Z3140" s="3425"/>
      <c r="AA3140" s="3425"/>
      <c r="AB3140" s="583"/>
      <c r="AC3140" s="2919">
        <v>13</v>
      </c>
      <c r="AD3140" s="3051">
        <v>13</v>
      </c>
      <c r="AE3140" s="3429"/>
      <c r="AF3140" s="3421"/>
      <c r="AG3140" s="3421"/>
      <c r="AH3140" s="156"/>
      <c r="AI3140" s="156"/>
      <c r="AJ3140" s="156"/>
      <c r="AK3140" s="156"/>
      <c r="AL3140" s="156"/>
      <c r="AM3140" s="156"/>
      <c r="AN3140" s="156"/>
      <c r="AO3140" s="156"/>
      <c r="AP3140" s="156"/>
      <c r="AQ3140" s="156"/>
      <c r="AR3140" s="156"/>
      <c r="AS3140" s="156"/>
      <c r="AT3140" s="156"/>
      <c r="AU3140" s="156"/>
      <c r="AV3140" s="156"/>
      <c r="AW3140" s="156"/>
      <c r="AX3140" s="156"/>
      <c r="AY3140" s="156"/>
      <c r="AZ3140" s="156"/>
      <c r="BA3140" s="156"/>
      <c r="BB3140" s="2828"/>
      <c r="BC3140" s="452"/>
      <c r="BD3140" s="2829"/>
      <c r="BE3140" s="2837"/>
      <c r="BF3140" s="156"/>
    </row>
    <row r="3141" spans="1:58" ht="15" customHeight="1" outlineLevel="1" x14ac:dyDescent="0.35">
      <c r="A3141" s="1664"/>
      <c r="B3141" s="2812"/>
      <c r="C3141" s="3077"/>
      <c r="D3141" s="3980"/>
      <c r="E3141" s="3883"/>
      <c r="F3141" s="3984" t="str">
        <f>$E$1620</f>
        <v>ASHP-SEER16-Replace_CAC_NonElectricHeat_ROF_MF_CompE</v>
      </c>
      <c r="G3141" s="3984"/>
      <c r="H3141" s="3984"/>
      <c r="I3141" s="3984"/>
      <c r="J3141" s="3501" t="str">
        <f>$C$1620</f>
        <v>352961_2021_12_</v>
      </c>
      <c r="K3141" s="3051">
        <v>13</v>
      </c>
      <c r="L3141" s="704"/>
      <c r="M3141" s="3022" t="s">
        <v>1070</v>
      </c>
      <c r="N3141" s="106"/>
      <c r="O3141" s="106"/>
      <c r="P3141" s="702"/>
      <c r="Q3141" s="702"/>
      <c r="R3141" s="702"/>
      <c r="S3141" s="106"/>
      <c r="T3141" s="486"/>
      <c r="U3141" s="106"/>
      <c r="V3141" s="3980"/>
      <c r="W3141" s="3421"/>
      <c r="X3141" s="3421"/>
      <c r="Y3141" s="2377"/>
      <c r="Z3141" s="3425"/>
      <c r="AA3141" s="3425"/>
      <c r="AB3141" s="583"/>
      <c r="AC3141" s="2919">
        <v>13</v>
      </c>
      <c r="AD3141" s="3051">
        <v>13</v>
      </c>
      <c r="AE3141" s="3429"/>
      <c r="AF3141" s="3421"/>
      <c r="AG3141" s="3421"/>
      <c r="AH3141" s="156"/>
      <c r="AI3141" s="156"/>
      <c r="AJ3141" s="156"/>
      <c r="AK3141" s="156"/>
      <c r="AL3141" s="156"/>
      <c r="AM3141" s="156"/>
      <c r="AN3141" s="156"/>
      <c r="AO3141" s="156"/>
      <c r="AP3141" s="156"/>
      <c r="AQ3141" s="156"/>
      <c r="AR3141" s="156"/>
      <c r="AS3141" s="156"/>
      <c r="AT3141" s="156"/>
      <c r="AU3141" s="156"/>
      <c r="AV3141" s="156"/>
      <c r="AW3141" s="156"/>
      <c r="AX3141" s="156"/>
      <c r="AY3141" s="156"/>
      <c r="AZ3141" s="156"/>
      <c r="BA3141" s="156"/>
      <c r="BB3141" s="2828"/>
      <c r="BC3141" s="452"/>
      <c r="BD3141" s="2829"/>
      <c r="BE3141" s="2837"/>
      <c r="BF3141" s="156"/>
    </row>
    <row r="3142" spans="1:58" ht="15" customHeight="1" outlineLevel="1" x14ac:dyDescent="0.35">
      <c r="A3142" s="1664"/>
      <c r="B3142" s="2812"/>
      <c r="C3142" s="3077"/>
      <c r="D3142" s="3980"/>
      <c r="E3142" s="3883"/>
      <c r="F3142" s="3984" t="str">
        <f>$E$1622</f>
        <v>ASHP-SEER16-Replace_CAC_ElectricHeat_ER1_MF</v>
      </c>
      <c r="G3142" s="3984"/>
      <c r="H3142" s="3984"/>
      <c r="I3142" s="3984"/>
      <c r="J3142" s="3501" t="str">
        <f>$C$1622</f>
        <v>353000_2021_12_</v>
      </c>
      <c r="K3142" s="3050">
        <v>7.9529639856088918</v>
      </c>
      <c r="L3142" s="704"/>
      <c r="M3142" s="3024" t="s">
        <v>4360</v>
      </c>
      <c r="N3142" s="106"/>
      <c r="O3142" s="106"/>
      <c r="P3142" s="702"/>
      <c r="Q3142" s="702"/>
      <c r="R3142" s="702"/>
      <c r="S3142" s="106"/>
      <c r="T3142" s="486"/>
      <c r="U3142" s="106"/>
      <c r="V3142" s="3980"/>
      <c r="W3142" s="3421">
        <v>6.8</v>
      </c>
      <c r="X3142" s="2374">
        <v>8.33</v>
      </c>
      <c r="Y3142" s="3425">
        <v>8.33</v>
      </c>
      <c r="Z3142" s="3425">
        <v>8.33</v>
      </c>
      <c r="AA3142" s="3425">
        <v>8.33</v>
      </c>
      <c r="AB3142" s="583">
        <v>8.33</v>
      </c>
      <c r="AC3142" s="2919">
        <v>6.7219971629290205</v>
      </c>
      <c r="AD3142" s="3050">
        <v>7.9529639856088918</v>
      </c>
      <c r="AE3142" s="3429"/>
      <c r="AF3142" s="3421"/>
      <c r="AG3142" s="3421"/>
      <c r="AH3142" s="156"/>
      <c r="AI3142" s="156"/>
      <c r="AJ3142" s="156"/>
      <c r="AK3142" s="156"/>
      <c r="AL3142" s="156"/>
      <c r="AM3142" s="156"/>
      <c r="AN3142" s="156"/>
      <c r="AO3142" s="156"/>
      <c r="AP3142" s="156"/>
      <c r="AQ3142" s="156"/>
      <c r="AR3142" s="156"/>
      <c r="AS3142" s="156"/>
      <c r="AT3142" s="156"/>
      <c r="AU3142" s="156"/>
      <c r="AV3142" s="156"/>
      <c r="AW3142" s="156"/>
      <c r="AX3142" s="156"/>
      <c r="AY3142" s="156"/>
      <c r="AZ3142" s="156"/>
      <c r="BA3142" s="156"/>
      <c r="BB3142" s="2828"/>
      <c r="BC3142" s="452"/>
      <c r="BD3142" s="2829"/>
      <c r="BE3142" s="2837"/>
      <c r="BF3142" s="156"/>
    </row>
    <row r="3143" spans="1:58" ht="15" customHeight="1" outlineLevel="1" x14ac:dyDescent="0.35">
      <c r="A3143" s="1664"/>
      <c r="B3143" s="2812"/>
      <c r="C3143" s="3077"/>
      <c r="D3143" s="3980"/>
      <c r="E3143" s="3883"/>
      <c r="F3143" s="3984" t="str">
        <f>$E$1624</f>
        <v>ASHP-SEER16-Replace_CAC_ElectricHeat_ER2_MF</v>
      </c>
      <c r="G3143" s="3984"/>
      <c r="H3143" s="3984"/>
      <c r="I3143" s="3984"/>
      <c r="J3143" s="3501" t="str">
        <f>$C$1624</f>
        <v>353000_2021_12_</v>
      </c>
      <c r="K3143" s="3051">
        <v>13</v>
      </c>
      <c r="L3143" s="704"/>
      <c r="M3143" s="3022" t="s">
        <v>1070</v>
      </c>
      <c r="N3143" s="106"/>
      <c r="O3143" s="106"/>
      <c r="P3143" s="702"/>
      <c r="Q3143" s="702"/>
      <c r="R3143" s="702"/>
      <c r="S3143" s="106"/>
      <c r="T3143" s="486"/>
      <c r="U3143" s="106"/>
      <c r="V3143" s="3980"/>
      <c r="W3143" s="3421">
        <v>13</v>
      </c>
      <c r="X3143" s="3421">
        <v>13</v>
      </c>
      <c r="Y3143" s="3425">
        <v>13</v>
      </c>
      <c r="Z3143" s="3425">
        <v>13</v>
      </c>
      <c r="AA3143" s="3425">
        <v>13</v>
      </c>
      <c r="AB3143" s="583">
        <v>13</v>
      </c>
      <c r="AC3143" s="2920">
        <v>13</v>
      </c>
      <c r="AD3143" s="3051">
        <v>13</v>
      </c>
      <c r="AE3143" s="3429"/>
      <c r="AF3143" s="3421"/>
      <c r="AG3143" s="3421"/>
      <c r="AH3143" s="156"/>
      <c r="AI3143" s="156"/>
      <c r="AJ3143" s="156"/>
      <c r="AK3143" s="156"/>
      <c r="AL3143" s="156"/>
      <c r="AM3143" s="156"/>
      <c r="AN3143" s="156"/>
      <c r="AO3143" s="156"/>
      <c r="AP3143" s="156"/>
      <c r="AQ3143" s="156"/>
      <c r="AR3143" s="156"/>
      <c r="AS3143" s="156"/>
      <c r="AT3143" s="156"/>
      <c r="AU3143" s="156"/>
      <c r="AV3143" s="156"/>
      <c r="AW3143" s="156"/>
      <c r="AX3143" s="156"/>
      <c r="AY3143" s="156"/>
      <c r="AZ3143" s="156"/>
      <c r="BA3143" s="156"/>
      <c r="BB3143" s="2828"/>
      <c r="BC3143" s="452"/>
      <c r="BD3143" s="2829"/>
      <c r="BE3143" s="2837"/>
      <c r="BF3143" s="156"/>
    </row>
    <row r="3144" spans="1:58" ht="15" customHeight="1" outlineLevel="1" x14ac:dyDescent="0.35">
      <c r="A3144" s="1664"/>
      <c r="B3144" s="2812"/>
      <c r="C3144" s="3077"/>
      <c r="D3144" s="3980"/>
      <c r="E3144" s="3883"/>
      <c r="F3144" s="3984" t="str">
        <f>$E$1626</f>
        <v>ASHP-SEER16-Replace_CAC_ElectricHeat_ER1_MF_CompE</v>
      </c>
      <c r="G3144" s="3984"/>
      <c r="H3144" s="3984"/>
      <c r="I3144" s="3984"/>
      <c r="J3144" s="3501" t="str">
        <f>$C$1626</f>
        <v>353001_2021_12_</v>
      </c>
      <c r="K3144" s="3050">
        <v>7.9529639856088918</v>
      </c>
      <c r="L3144" s="704"/>
      <c r="M3144" s="3024" t="s">
        <v>4360</v>
      </c>
      <c r="N3144" s="106"/>
      <c r="O3144" s="106"/>
      <c r="P3144" s="702"/>
      <c r="Q3144" s="702"/>
      <c r="R3144" s="702"/>
      <c r="S3144" s="106"/>
      <c r="T3144" s="486"/>
      <c r="U3144" s="106"/>
      <c r="V3144" s="3980"/>
      <c r="W3144" s="3421"/>
      <c r="X3144" s="3421"/>
      <c r="Y3144" s="2377">
        <v>8.33</v>
      </c>
      <c r="Z3144" s="3425">
        <v>8.33</v>
      </c>
      <c r="AA3144" s="3425">
        <v>8.33</v>
      </c>
      <c r="AB3144" s="583">
        <v>8.33</v>
      </c>
      <c r="AC3144" s="2920">
        <v>8.33</v>
      </c>
      <c r="AD3144" s="3050">
        <v>7.9529639856088918</v>
      </c>
      <c r="AE3144" s="3429"/>
      <c r="AF3144" s="3421"/>
      <c r="AG3144" s="3421"/>
      <c r="AH3144" s="156"/>
      <c r="AI3144" s="156"/>
      <c r="AJ3144" s="156"/>
      <c r="AK3144" s="156"/>
      <c r="AL3144" s="156"/>
      <c r="AM3144" s="156"/>
      <c r="AN3144" s="156"/>
      <c r="AO3144" s="156"/>
      <c r="AP3144" s="156"/>
      <c r="AQ3144" s="156"/>
      <c r="AR3144" s="156"/>
      <c r="AS3144" s="156"/>
      <c r="AT3144" s="156"/>
      <c r="AU3144" s="156"/>
      <c r="AV3144" s="156"/>
      <c r="AW3144" s="156"/>
      <c r="AX3144" s="156"/>
      <c r="AY3144" s="156"/>
      <c r="AZ3144" s="156"/>
      <c r="BA3144" s="156"/>
      <c r="BB3144" s="2828"/>
      <c r="BC3144" s="452"/>
      <c r="BD3144" s="2829"/>
      <c r="BE3144" s="2837"/>
      <c r="BF3144" s="156"/>
    </row>
    <row r="3145" spans="1:58" ht="15" customHeight="1" outlineLevel="1" x14ac:dyDescent="0.35">
      <c r="A3145" s="1664"/>
      <c r="B3145" s="2812"/>
      <c r="C3145" s="3077"/>
      <c r="D3145" s="3980"/>
      <c r="E3145" s="3883"/>
      <c r="F3145" s="3984" t="str">
        <f>$E$1628</f>
        <v>ASHP-SEER16-Replace_CAC_ElectricHeat_ER2_MF_CompE</v>
      </c>
      <c r="G3145" s="3984"/>
      <c r="H3145" s="3984"/>
      <c r="I3145" s="3984"/>
      <c r="J3145" s="3501" t="str">
        <f>$C$1628</f>
        <v>353001_2021_12_</v>
      </c>
      <c r="K3145" s="3051">
        <v>13</v>
      </c>
      <c r="L3145" s="704"/>
      <c r="M3145" s="3022" t="s">
        <v>1070</v>
      </c>
      <c r="N3145" s="106"/>
      <c r="O3145" s="106"/>
      <c r="P3145" s="702"/>
      <c r="Q3145" s="702"/>
      <c r="R3145" s="702"/>
      <c r="S3145" s="106"/>
      <c r="T3145" s="486"/>
      <c r="U3145" s="106"/>
      <c r="V3145" s="3980"/>
      <c r="W3145" s="3421"/>
      <c r="X3145" s="3421"/>
      <c r="Y3145" s="2377">
        <v>13</v>
      </c>
      <c r="Z3145" s="3425">
        <v>13</v>
      </c>
      <c r="AA3145" s="3425">
        <v>13</v>
      </c>
      <c r="AB3145" s="583">
        <v>13</v>
      </c>
      <c r="AC3145" s="2920">
        <v>13</v>
      </c>
      <c r="AD3145" s="3051">
        <v>13</v>
      </c>
      <c r="AE3145" s="3429"/>
      <c r="AF3145" s="3421"/>
      <c r="AG3145" s="3421"/>
      <c r="AH3145" s="156"/>
      <c r="AI3145" s="156"/>
      <c r="AJ3145" s="156"/>
      <c r="AK3145" s="156"/>
      <c r="AL3145" s="156"/>
      <c r="AM3145" s="156"/>
      <c r="AN3145" s="156"/>
      <c r="AO3145" s="156"/>
      <c r="AP3145" s="156"/>
      <c r="AQ3145" s="156"/>
      <c r="AR3145" s="156"/>
      <c r="AS3145" s="156"/>
      <c r="AT3145" s="156"/>
      <c r="AU3145" s="156"/>
      <c r="AV3145" s="156"/>
      <c r="AW3145" s="156"/>
      <c r="AX3145" s="156"/>
      <c r="AY3145" s="156"/>
      <c r="AZ3145" s="156"/>
      <c r="BA3145" s="156"/>
      <c r="BB3145" s="2828"/>
      <c r="BC3145" s="452"/>
      <c r="BD3145" s="2829"/>
      <c r="BE3145" s="2837"/>
      <c r="BF3145" s="156"/>
    </row>
    <row r="3146" spans="1:58" ht="15" customHeight="1" outlineLevel="1" x14ac:dyDescent="0.35">
      <c r="A3146" s="1664"/>
      <c r="B3146" s="2812"/>
      <c r="C3146" s="3077"/>
      <c r="D3146" s="3980"/>
      <c r="E3146" s="3883"/>
      <c r="F3146" s="3984" t="str">
        <f>$E$1630</f>
        <v>ASHP-SEER16-Replace_CAC_NonElectricHeat_ER1_MF</v>
      </c>
      <c r="G3146" s="3984"/>
      <c r="H3146" s="3984"/>
      <c r="I3146" s="3984"/>
      <c r="J3146" s="3501" t="str">
        <f>$C$1630</f>
        <v>353010_2021_12_</v>
      </c>
      <c r="K3146" s="3050">
        <v>7.9529639856088918</v>
      </c>
      <c r="L3146" s="704"/>
      <c r="M3146" s="3022" t="s">
        <v>1083</v>
      </c>
      <c r="N3146" s="106"/>
      <c r="O3146" s="106"/>
      <c r="P3146" s="702"/>
      <c r="Q3146" s="702"/>
      <c r="R3146" s="702"/>
      <c r="S3146" s="106"/>
      <c r="T3146" s="486"/>
      <c r="U3146" s="106"/>
      <c r="V3146" s="3980"/>
      <c r="W3146" s="3421"/>
      <c r="X3146" s="3421"/>
      <c r="Y3146" s="2377"/>
      <c r="Z3146" s="3425"/>
      <c r="AA3146" s="3425"/>
      <c r="AB3146" s="583"/>
      <c r="AC3146" s="2919">
        <v>6.7219971629290205</v>
      </c>
      <c r="AD3146" s="3050">
        <v>7.9529639856088918</v>
      </c>
      <c r="AE3146" s="3429"/>
      <c r="AF3146" s="3421"/>
      <c r="AG3146" s="3421"/>
      <c r="AH3146" s="156"/>
      <c r="AI3146" s="156"/>
      <c r="AJ3146" s="156"/>
      <c r="AK3146" s="156"/>
      <c r="AL3146" s="156"/>
      <c r="AM3146" s="156"/>
      <c r="AN3146" s="156"/>
      <c r="AO3146" s="156"/>
      <c r="AP3146" s="156"/>
      <c r="AQ3146" s="156"/>
      <c r="AR3146" s="156"/>
      <c r="AS3146" s="156"/>
      <c r="AT3146" s="156"/>
      <c r="AU3146" s="156"/>
      <c r="AV3146" s="156"/>
      <c r="AW3146" s="156"/>
      <c r="AX3146" s="156"/>
      <c r="AY3146" s="156"/>
      <c r="AZ3146" s="156"/>
      <c r="BA3146" s="156"/>
      <c r="BB3146" s="2828"/>
      <c r="BC3146" s="452"/>
      <c r="BD3146" s="2829"/>
      <c r="BE3146" s="2837"/>
      <c r="BF3146" s="156"/>
    </row>
    <row r="3147" spans="1:58" ht="15" customHeight="1" outlineLevel="1" x14ac:dyDescent="0.35">
      <c r="A3147" s="1664"/>
      <c r="B3147" s="2812"/>
      <c r="C3147" s="3077"/>
      <c r="D3147" s="3980"/>
      <c r="E3147" s="3883"/>
      <c r="F3147" s="3984" t="str">
        <f>$E$1632</f>
        <v>ASHP-SEER16-Replace_CAC_NonElectricHeat_ER2_MF</v>
      </c>
      <c r="G3147" s="3984"/>
      <c r="H3147" s="3984"/>
      <c r="I3147" s="3984"/>
      <c r="J3147" s="3501" t="str">
        <f>$C$1632</f>
        <v>353010_2021_12_</v>
      </c>
      <c r="K3147" s="3051">
        <v>13</v>
      </c>
      <c r="L3147" s="704"/>
      <c r="M3147" s="3022" t="s">
        <v>1070</v>
      </c>
      <c r="N3147" s="106"/>
      <c r="O3147" s="106"/>
      <c r="P3147" s="702"/>
      <c r="Q3147" s="702"/>
      <c r="R3147" s="702"/>
      <c r="S3147" s="106"/>
      <c r="T3147" s="486"/>
      <c r="U3147" s="106"/>
      <c r="V3147" s="3980"/>
      <c r="W3147" s="3421"/>
      <c r="X3147" s="3421"/>
      <c r="Y3147" s="2377"/>
      <c r="Z3147" s="3425"/>
      <c r="AA3147" s="3425"/>
      <c r="AB3147" s="583"/>
      <c r="AC3147" s="2919">
        <v>13</v>
      </c>
      <c r="AD3147" s="3051">
        <v>13</v>
      </c>
      <c r="AE3147" s="3429"/>
      <c r="AF3147" s="3421"/>
      <c r="AG3147" s="3421"/>
      <c r="AH3147" s="156"/>
      <c r="AI3147" s="156"/>
      <c r="AJ3147" s="156"/>
      <c r="AK3147" s="156"/>
      <c r="AL3147" s="156"/>
      <c r="AM3147" s="156"/>
      <c r="AN3147" s="156"/>
      <c r="AO3147" s="156"/>
      <c r="AP3147" s="156"/>
      <c r="AQ3147" s="156"/>
      <c r="AR3147" s="156"/>
      <c r="AS3147" s="156"/>
      <c r="AT3147" s="156"/>
      <c r="AU3147" s="156"/>
      <c r="AV3147" s="156"/>
      <c r="AW3147" s="156"/>
      <c r="AX3147" s="156"/>
      <c r="AY3147" s="156"/>
      <c r="AZ3147" s="156"/>
      <c r="BA3147" s="156"/>
      <c r="BB3147" s="2828"/>
      <c r="BC3147" s="452"/>
      <c r="BD3147" s="2829"/>
      <c r="BE3147" s="2837"/>
      <c r="BF3147" s="156"/>
    </row>
    <row r="3148" spans="1:58" ht="15" customHeight="1" outlineLevel="1" x14ac:dyDescent="0.35">
      <c r="A3148" s="1664"/>
      <c r="B3148" s="2812"/>
      <c r="C3148" s="3077"/>
      <c r="D3148" s="3980"/>
      <c r="E3148" s="3883"/>
      <c r="F3148" s="3984" t="str">
        <f>$E$1634</f>
        <v>ASHP-SEER16-Replace_CAC_NonElectricHeat_ER1_MF_CompE</v>
      </c>
      <c r="G3148" s="3984"/>
      <c r="H3148" s="3984"/>
      <c r="I3148" s="3984"/>
      <c r="J3148" s="3501" t="str">
        <f>$C$1634</f>
        <v>353011_2021_12_</v>
      </c>
      <c r="K3148" s="3050">
        <v>7.9529639856088918</v>
      </c>
      <c r="L3148" s="704"/>
      <c r="M3148" s="3022" t="s">
        <v>1083</v>
      </c>
      <c r="N3148" s="106"/>
      <c r="O3148" s="106"/>
      <c r="P3148" s="702"/>
      <c r="Q3148" s="702"/>
      <c r="R3148" s="702"/>
      <c r="S3148" s="106"/>
      <c r="T3148" s="486"/>
      <c r="U3148" s="106"/>
      <c r="V3148" s="3980"/>
      <c r="W3148" s="3421"/>
      <c r="X3148" s="3421"/>
      <c r="Y3148" s="2377"/>
      <c r="Z3148" s="3425"/>
      <c r="AA3148" s="3425"/>
      <c r="AB3148" s="583"/>
      <c r="AC3148" s="2919">
        <v>8.33</v>
      </c>
      <c r="AD3148" s="3050">
        <v>7.9529639856088918</v>
      </c>
      <c r="AE3148" s="3429"/>
      <c r="AF3148" s="3421"/>
      <c r="AG3148" s="3421"/>
      <c r="AH3148" s="156"/>
      <c r="AI3148" s="156"/>
      <c r="AJ3148" s="156"/>
      <c r="AK3148" s="156"/>
      <c r="AL3148" s="156"/>
      <c r="AM3148" s="156"/>
      <c r="AN3148" s="156"/>
      <c r="AO3148" s="156"/>
      <c r="AP3148" s="156"/>
      <c r="AQ3148" s="156"/>
      <c r="AR3148" s="156"/>
      <c r="AS3148" s="156"/>
      <c r="AT3148" s="156"/>
      <c r="AU3148" s="156"/>
      <c r="AV3148" s="156"/>
      <c r="AW3148" s="156"/>
      <c r="AX3148" s="156"/>
      <c r="AY3148" s="156"/>
      <c r="AZ3148" s="156"/>
      <c r="BA3148" s="156"/>
      <c r="BB3148" s="2828"/>
      <c r="BC3148" s="452"/>
      <c r="BD3148" s="2829"/>
      <c r="BE3148" s="2837"/>
      <c r="BF3148" s="156"/>
    </row>
    <row r="3149" spans="1:58" ht="15" customHeight="1" outlineLevel="1" x14ac:dyDescent="0.35">
      <c r="A3149" s="1664"/>
      <c r="B3149" s="2812"/>
      <c r="C3149" s="3077"/>
      <c r="D3149" s="3980"/>
      <c r="E3149" s="3883"/>
      <c r="F3149" s="3984" t="str">
        <f>$E$1636</f>
        <v>ASHP-SEER16-Replace_CAC_NonElectricHeat_ER2_MF_CompE</v>
      </c>
      <c r="G3149" s="3984"/>
      <c r="H3149" s="3984"/>
      <c r="I3149" s="3984"/>
      <c r="J3149" s="3501" t="str">
        <f>$C$1636</f>
        <v>353011_2021_12_</v>
      </c>
      <c r="K3149" s="3051">
        <v>13</v>
      </c>
      <c r="L3149" s="704"/>
      <c r="M3149" s="3022" t="s">
        <v>1070</v>
      </c>
      <c r="N3149" s="106"/>
      <c r="O3149" s="106"/>
      <c r="P3149" s="702"/>
      <c r="Q3149" s="702"/>
      <c r="R3149" s="702"/>
      <c r="S3149" s="106"/>
      <c r="T3149" s="486"/>
      <c r="U3149" s="106"/>
      <c r="V3149" s="3980"/>
      <c r="W3149" s="3421"/>
      <c r="X3149" s="3421"/>
      <c r="Y3149" s="2377"/>
      <c r="Z3149" s="3425"/>
      <c r="AA3149" s="3425"/>
      <c r="AB3149" s="583"/>
      <c r="AC3149" s="2919">
        <v>13</v>
      </c>
      <c r="AD3149" s="3051">
        <v>13</v>
      </c>
      <c r="AE3149" s="3429"/>
      <c r="AF3149" s="3421"/>
      <c r="AG3149" s="3421"/>
      <c r="AH3149" s="156"/>
      <c r="AI3149" s="156"/>
      <c r="AJ3149" s="156"/>
      <c r="AK3149" s="156"/>
      <c r="AL3149" s="156"/>
      <c r="AM3149" s="156"/>
      <c r="AN3149" s="156"/>
      <c r="AO3149" s="156"/>
      <c r="AP3149" s="156"/>
      <c r="AQ3149" s="156"/>
      <c r="AR3149" s="156"/>
      <c r="AS3149" s="156"/>
      <c r="AT3149" s="156"/>
      <c r="AU3149" s="156"/>
      <c r="AV3149" s="156"/>
      <c r="AW3149" s="156"/>
      <c r="AX3149" s="156"/>
      <c r="AY3149" s="156"/>
      <c r="AZ3149" s="156"/>
      <c r="BA3149" s="156"/>
      <c r="BB3149" s="2828"/>
      <c r="BC3149" s="452"/>
      <c r="BD3149" s="2829"/>
      <c r="BE3149" s="2837"/>
      <c r="BF3149" s="156"/>
    </row>
    <row r="3150" spans="1:58" ht="15" customHeight="1" outlineLevel="1" x14ac:dyDescent="0.35">
      <c r="A3150" s="1664"/>
      <c r="B3150" s="2812"/>
      <c r="C3150" s="3077"/>
      <c r="D3150" s="3980"/>
      <c r="E3150" s="3883"/>
      <c r="F3150" s="3984" t="str">
        <f>$E$1638</f>
        <v>ASHP-SEER15_ROF_MF</v>
      </c>
      <c r="G3150" s="3984"/>
      <c r="H3150" s="3984"/>
      <c r="I3150" s="3984"/>
      <c r="J3150" s="3501" t="str">
        <f>$C$1638</f>
        <v>353050_2021_12_</v>
      </c>
      <c r="K3150" s="3051">
        <v>14</v>
      </c>
      <c r="L3150" s="704"/>
      <c r="M3150" s="3022" t="s">
        <v>1070</v>
      </c>
      <c r="N3150" s="106"/>
      <c r="O3150" s="106"/>
      <c r="P3150" s="702"/>
      <c r="Q3150" s="702"/>
      <c r="R3150" s="702"/>
      <c r="S3150" s="106"/>
      <c r="T3150" s="486"/>
      <c r="U3150" s="106"/>
      <c r="V3150" s="3980"/>
      <c r="W3150" s="3421">
        <v>14</v>
      </c>
      <c r="X3150" s="3421">
        <v>14</v>
      </c>
      <c r="Y3150" s="3425">
        <v>14</v>
      </c>
      <c r="Z3150" s="3425">
        <v>14</v>
      </c>
      <c r="AA3150" s="3425">
        <v>14</v>
      </c>
      <c r="AB3150" s="583">
        <v>14</v>
      </c>
      <c r="AC3150" s="2920">
        <v>14</v>
      </c>
      <c r="AD3150" s="3051">
        <v>14</v>
      </c>
      <c r="AE3150" s="3429"/>
      <c r="AF3150" s="3421"/>
      <c r="AG3150" s="3421"/>
      <c r="AH3150" s="156"/>
      <c r="AI3150" s="156"/>
      <c r="AJ3150" s="156"/>
      <c r="AK3150" s="156"/>
      <c r="AL3150" s="156"/>
      <c r="AM3150" s="156"/>
      <c r="AN3150" s="156"/>
      <c r="AO3150" s="156"/>
      <c r="AP3150" s="156"/>
      <c r="AQ3150" s="156"/>
      <c r="AR3150" s="156"/>
      <c r="AS3150" s="156"/>
      <c r="AT3150" s="156"/>
      <c r="AU3150" s="156"/>
      <c r="AV3150" s="156"/>
      <c r="AW3150" s="156"/>
      <c r="AX3150" s="156"/>
      <c r="AY3150" s="156"/>
      <c r="AZ3150" s="156"/>
      <c r="BA3150" s="156"/>
      <c r="BB3150" s="2828"/>
      <c r="BC3150" s="452"/>
      <c r="BD3150" s="2829"/>
      <c r="BE3150" s="2837"/>
      <c r="BF3150" s="156"/>
    </row>
    <row r="3151" spans="1:58" ht="15" customHeight="1" outlineLevel="1" x14ac:dyDescent="0.35">
      <c r="A3151" s="1664"/>
      <c r="B3151" s="2812"/>
      <c r="C3151" s="3077"/>
      <c r="D3151" s="3980"/>
      <c r="E3151" s="3883"/>
      <c r="F3151" s="3984" t="str">
        <f>$E$1640</f>
        <v>ASHP-SEER15_ROF_MF_CompE</v>
      </c>
      <c r="G3151" s="3984"/>
      <c r="H3151" s="3984"/>
      <c r="I3151" s="3984"/>
      <c r="J3151" s="3501" t="str">
        <f>$C$1640</f>
        <v>353051_2021_12_</v>
      </c>
      <c r="K3151" s="3051">
        <v>14</v>
      </c>
      <c r="L3151" s="704"/>
      <c r="M3151" s="3022" t="s">
        <v>1070</v>
      </c>
      <c r="N3151" s="106"/>
      <c r="O3151" s="106"/>
      <c r="P3151" s="702"/>
      <c r="Q3151" s="702"/>
      <c r="R3151" s="702"/>
      <c r="S3151" s="106"/>
      <c r="T3151" s="486"/>
      <c r="U3151" s="106"/>
      <c r="V3151" s="3980"/>
      <c r="W3151" s="3421"/>
      <c r="X3151" s="3421"/>
      <c r="Y3151" s="2377">
        <v>14</v>
      </c>
      <c r="Z3151" s="3425">
        <v>14</v>
      </c>
      <c r="AA3151" s="3425">
        <v>14</v>
      </c>
      <c r="AB3151" s="583">
        <v>14</v>
      </c>
      <c r="AC3151" s="2920">
        <v>14</v>
      </c>
      <c r="AD3151" s="3051">
        <v>14</v>
      </c>
      <c r="AE3151" s="3429"/>
      <c r="AF3151" s="3421"/>
      <c r="AG3151" s="3421"/>
      <c r="AH3151" s="156"/>
      <c r="AI3151" s="156"/>
      <c r="AJ3151" s="156"/>
      <c r="AK3151" s="156"/>
      <c r="AL3151" s="156"/>
      <c r="AM3151" s="156"/>
      <c r="AN3151" s="156"/>
      <c r="AO3151" s="156"/>
      <c r="AP3151" s="156"/>
      <c r="AQ3151" s="156"/>
      <c r="AR3151" s="156"/>
      <c r="AS3151" s="156"/>
      <c r="AT3151" s="156"/>
      <c r="AU3151" s="156"/>
      <c r="AV3151" s="156"/>
      <c r="AW3151" s="156"/>
      <c r="AX3151" s="156"/>
      <c r="AY3151" s="156"/>
      <c r="AZ3151" s="156"/>
      <c r="BA3151" s="156"/>
      <c r="BB3151" s="2828"/>
      <c r="BC3151" s="452"/>
      <c r="BD3151" s="2829"/>
      <c r="BE3151" s="2837"/>
      <c r="BF3151" s="156"/>
    </row>
    <row r="3152" spans="1:58" ht="15" customHeight="1" outlineLevel="1" x14ac:dyDescent="0.35">
      <c r="A3152" s="1664"/>
      <c r="B3152" s="2812"/>
      <c r="C3152" s="3077"/>
      <c r="D3152" s="3980"/>
      <c r="E3152" s="3883"/>
      <c r="F3152" s="3984" t="str">
        <f>$E$1642</f>
        <v>ASHP-SEER17-Replace_CAC_ElectricHeat_ROF_SF</v>
      </c>
      <c r="G3152" s="3984"/>
      <c r="H3152" s="3984"/>
      <c r="I3152" s="3984"/>
      <c r="J3152" s="3501" t="str">
        <f>$C$1642</f>
        <v>353100_2021_12_</v>
      </c>
      <c r="K3152" s="3051">
        <v>13</v>
      </c>
      <c r="L3152" s="704"/>
      <c r="M3152" s="3022" t="s">
        <v>1070</v>
      </c>
      <c r="N3152" s="106"/>
      <c r="O3152" s="106"/>
      <c r="P3152" s="702"/>
      <c r="Q3152" s="702"/>
      <c r="R3152" s="702"/>
      <c r="S3152" s="106"/>
      <c r="T3152" s="486"/>
      <c r="U3152" s="106"/>
      <c r="V3152" s="3980"/>
      <c r="W3152" s="3421">
        <v>6.8</v>
      </c>
      <c r="X3152" s="2374">
        <v>8.33</v>
      </c>
      <c r="Y3152" s="2377">
        <v>13</v>
      </c>
      <c r="Z3152" s="3425">
        <v>13</v>
      </c>
      <c r="AA3152" s="3425">
        <v>13</v>
      </c>
      <c r="AB3152" s="583">
        <v>13</v>
      </c>
      <c r="AC3152" s="2920">
        <v>13</v>
      </c>
      <c r="AD3152" s="3051">
        <v>13</v>
      </c>
      <c r="AE3152" s="3429"/>
      <c r="AF3152" s="3421"/>
      <c r="AG3152" s="3421"/>
      <c r="AH3152" s="156"/>
      <c r="AI3152" s="156"/>
      <c r="AJ3152" s="156"/>
      <c r="AK3152" s="156"/>
      <c r="AL3152" s="156"/>
      <c r="AM3152" s="156"/>
      <c r="AN3152" s="156"/>
      <c r="AO3152" s="156"/>
      <c r="AP3152" s="156"/>
      <c r="AQ3152" s="156"/>
      <c r="AR3152" s="156"/>
      <c r="AS3152" s="156"/>
      <c r="AT3152" s="156"/>
      <c r="AU3152" s="156"/>
      <c r="AV3152" s="156"/>
      <c r="AW3152" s="156"/>
      <c r="AX3152" s="156"/>
      <c r="AY3152" s="156"/>
      <c r="AZ3152" s="156"/>
      <c r="BA3152" s="156"/>
      <c r="BB3152" s="2828"/>
      <c r="BC3152" s="452"/>
      <c r="BD3152" s="2829"/>
      <c r="BE3152" s="2837"/>
      <c r="BF3152" s="156"/>
    </row>
    <row r="3153" spans="1:58" s="3398" customFormat="1" ht="15" customHeight="1" outlineLevel="1" x14ac:dyDescent="0.35">
      <c r="A3153" s="1664"/>
      <c r="B3153" s="2812"/>
      <c r="C3153" s="3077"/>
      <c r="D3153" s="3980"/>
      <c r="E3153" s="3883"/>
      <c r="F3153" s="4136" t="str">
        <f>$E$1644</f>
        <v>ASHP-SEER17-Replace_CAC_NonElectricHeat_ROF_SF</v>
      </c>
      <c r="G3153" s="4136"/>
      <c r="H3153" s="4136"/>
      <c r="I3153" s="4136"/>
      <c r="J3153" s="3502" t="str">
        <f>$C$1644</f>
        <v>353110_2022_12_</v>
      </c>
      <c r="K3153" s="3050">
        <v>13</v>
      </c>
      <c r="L3153" s="703"/>
      <c r="M3153" s="3024" t="s">
        <v>1070</v>
      </c>
      <c r="P3153" s="702"/>
      <c r="Q3153" s="702"/>
      <c r="R3153" s="702"/>
      <c r="T3153" s="3397"/>
      <c r="V3153" s="3980"/>
      <c r="W3153" s="3421"/>
      <c r="X3153" s="3421"/>
      <c r="Y3153" s="3425"/>
      <c r="Z3153" s="3425"/>
      <c r="AA3153" s="3425"/>
      <c r="AB3153" s="583"/>
      <c r="AC3153" s="2920"/>
      <c r="AD3153" s="3050">
        <v>13</v>
      </c>
      <c r="AE3153" s="3429"/>
      <c r="AF3153" s="3421"/>
      <c r="AG3153" s="3421"/>
      <c r="AH3153" s="156"/>
      <c r="AI3153" s="156"/>
      <c r="AJ3153" s="156"/>
      <c r="AK3153" s="156"/>
      <c r="AL3153" s="156"/>
      <c r="AM3153" s="156"/>
      <c r="AN3153" s="156"/>
      <c r="AO3153" s="156"/>
      <c r="AP3153" s="156"/>
      <c r="AQ3153" s="156"/>
      <c r="AR3153" s="156"/>
      <c r="AS3153" s="156"/>
      <c r="AT3153" s="156"/>
      <c r="AU3153" s="156"/>
      <c r="AV3153" s="156"/>
      <c r="AW3153" s="156"/>
      <c r="AX3153" s="156"/>
      <c r="AY3153" s="156"/>
      <c r="AZ3153" s="156"/>
      <c r="BA3153" s="156"/>
      <c r="BB3153" s="2828"/>
      <c r="BC3153" s="452"/>
      <c r="BD3153" s="2829"/>
      <c r="BE3153" s="2837"/>
      <c r="BF3153" s="156"/>
    </row>
    <row r="3154" spans="1:58" ht="15" customHeight="1" outlineLevel="1" x14ac:dyDescent="0.35">
      <c r="A3154" s="1664"/>
      <c r="B3154" s="2812"/>
      <c r="C3154" s="3077"/>
      <c r="D3154" s="3980"/>
      <c r="E3154" s="3883"/>
      <c r="F3154" s="3984" t="str">
        <f>$E$1646</f>
        <v>ASHP-SEER17-Replace_CAC_ElectricHeat_ROF_MF</v>
      </c>
      <c r="G3154" s="3984"/>
      <c r="H3154" s="3984"/>
      <c r="I3154" s="3984"/>
      <c r="J3154" s="3501" t="str">
        <f>$C$1646</f>
        <v>353150_2019_12_</v>
      </c>
      <c r="K3154" s="3051">
        <v>13</v>
      </c>
      <c r="L3154" s="704"/>
      <c r="M3154" s="3022" t="s">
        <v>1070</v>
      </c>
      <c r="N3154" s="106"/>
      <c r="O3154" s="106"/>
      <c r="P3154" s="702"/>
      <c r="Q3154" s="702"/>
      <c r="R3154" s="702"/>
      <c r="S3154" s="106"/>
      <c r="T3154" s="486"/>
      <c r="U3154" s="106"/>
      <c r="V3154" s="3980"/>
      <c r="W3154" s="3421">
        <v>6.8</v>
      </c>
      <c r="X3154" s="2374">
        <v>8.33</v>
      </c>
      <c r="Y3154" s="2377">
        <v>13</v>
      </c>
      <c r="Z3154" s="3425">
        <v>13</v>
      </c>
      <c r="AA3154" s="3425">
        <v>13</v>
      </c>
      <c r="AB3154" s="583">
        <v>13</v>
      </c>
      <c r="AC3154" s="2920">
        <v>13</v>
      </c>
      <c r="AD3154" s="3051">
        <v>13</v>
      </c>
      <c r="AE3154" s="3429"/>
      <c r="AF3154" s="3421"/>
      <c r="AG3154" s="3421"/>
      <c r="AH3154" s="156"/>
      <c r="AI3154" s="156"/>
      <c r="AJ3154" s="156"/>
      <c r="AK3154" s="156"/>
      <c r="AL3154" s="156"/>
      <c r="AM3154" s="156"/>
      <c r="AN3154" s="156"/>
      <c r="AO3154" s="156"/>
      <c r="AP3154" s="156"/>
      <c r="AQ3154" s="156"/>
      <c r="AR3154" s="156"/>
      <c r="AS3154" s="156"/>
      <c r="AT3154" s="156"/>
      <c r="AU3154" s="156"/>
      <c r="AV3154" s="156"/>
      <c r="AW3154" s="156"/>
      <c r="AX3154" s="156"/>
      <c r="AY3154" s="156"/>
      <c r="AZ3154" s="156"/>
      <c r="BA3154" s="156"/>
      <c r="BB3154" s="2828"/>
      <c r="BC3154" s="452"/>
      <c r="BD3154" s="2829"/>
      <c r="BE3154" s="2837"/>
      <c r="BF3154" s="156"/>
    </row>
    <row r="3155" spans="1:58" ht="15" customHeight="1" outlineLevel="1" x14ac:dyDescent="0.35">
      <c r="A3155" s="1664"/>
      <c r="B3155" s="2812"/>
      <c r="C3155" s="3077"/>
      <c r="D3155" s="3980"/>
      <c r="E3155" s="3883"/>
      <c r="F3155" s="3984" t="str">
        <f>$E$1648</f>
        <v>ASHP-SEER17-Replace_CAC_ElectricHeat_ROF_MF_CompE</v>
      </c>
      <c r="G3155" s="3984"/>
      <c r="H3155" s="3984"/>
      <c r="I3155" s="3984"/>
      <c r="J3155" s="3501" t="str">
        <f>$C$1648</f>
        <v>353151_2019_12_</v>
      </c>
      <c r="K3155" s="3051">
        <v>13</v>
      </c>
      <c r="L3155" s="704"/>
      <c r="M3155" s="3022" t="s">
        <v>1070</v>
      </c>
      <c r="N3155" s="106"/>
      <c r="O3155" s="106"/>
      <c r="P3155" s="702"/>
      <c r="Q3155" s="702"/>
      <c r="R3155" s="702"/>
      <c r="S3155" s="106"/>
      <c r="T3155" s="486"/>
      <c r="U3155" s="106"/>
      <c r="V3155" s="3980"/>
      <c r="W3155" s="3421"/>
      <c r="X3155" s="2374"/>
      <c r="Y3155" s="2377">
        <v>13</v>
      </c>
      <c r="Z3155" s="3425">
        <v>13</v>
      </c>
      <c r="AA3155" s="3425">
        <v>13</v>
      </c>
      <c r="AB3155" s="583">
        <v>13</v>
      </c>
      <c r="AC3155" s="2920">
        <v>13</v>
      </c>
      <c r="AD3155" s="3051">
        <v>13</v>
      </c>
      <c r="AE3155" s="3429"/>
      <c r="AF3155" s="3421"/>
      <c r="AG3155" s="3421"/>
      <c r="AH3155" s="156"/>
      <c r="AI3155" s="156"/>
      <c r="AJ3155" s="156"/>
      <c r="AK3155" s="156"/>
      <c r="AL3155" s="156"/>
      <c r="AM3155" s="156"/>
      <c r="AN3155" s="156"/>
      <c r="AO3155" s="156"/>
      <c r="AP3155" s="156"/>
      <c r="AQ3155" s="156"/>
      <c r="AR3155" s="156"/>
      <c r="AS3155" s="156"/>
      <c r="AT3155" s="156"/>
      <c r="AU3155" s="156"/>
      <c r="AV3155" s="156"/>
      <c r="AW3155" s="156"/>
      <c r="AX3155" s="156"/>
      <c r="AY3155" s="156"/>
      <c r="AZ3155" s="156"/>
      <c r="BA3155" s="156"/>
      <c r="BB3155" s="2828"/>
      <c r="BC3155" s="452"/>
      <c r="BD3155" s="2829"/>
      <c r="BE3155" s="2837"/>
      <c r="BF3155" s="156"/>
    </row>
    <row r="3156" spans="1:58" ht="15" customHeight="1" outlineLevel="1" x14ac:dyDescent="0.35">
      <c r="A3156" s="1664"/>
      <c r="B3156" s="2812"/>
      <c r="C3156" s="3077"/>
      <c r="D3156" s="3980"/>
      <c r="E3156" s="3883"/>
      <c r="F3156" s="3984" t="str">
        <f>$E$1650</f>
        <v>ASHP-SEER17-Replace_CAC_NonElectricHeat_ROF_MF</v>
      </c>
      <c r="G3156" s="3984"/>
      <c r="H3156" s="3984"/>
      <c r="I3156" s="3984"/>
      <c r="J3156" s="3501" t="str">
        <f>$C$1650</f>
        <v>353160_2021_12_</v>
      </c>
      <c r="K3156" s="3051">
        <v>13</v>
      </c>
      <c r="L3156" s="704"/>
      <c r="M3156" s="3022" t="s">
        <v>1070</v>
      </c>
      <c r="N3156" s="106"/>
      <c r="O3156" s="106"/>
      <c r="P3156" s="702"/>
      <c r="Q3156" s="702"/>
      <c r="R3156" s="702"/>
      <c r="S3156" s="106"/>
      <c r="T3156" s="486"/>
      <c r="U3156" s="106"/>
      <c r="V3156" s="3980"/>
      <c r="W3156" s="3421"/>
      <c r="X3156" s="2374"/>
      <c r="Y3156" s="2377"/>
      <c r="Z3156" s="3425"/>
      <c r="AA3156" s="3425"/>
      <c r="AB3156" s="583"/>
      <c r="AC3156" s="2919">
        <v>13</v>
      </c>
      <c r="AD3156" s="3051">
        <v>13</v>
      </c>
      <c r="AE3156" s="3429"/>
      <c r="AF3156" s="3421"/>
      <c r="AG3156" s="3421"/>
      <c r="AH3156" s="156"/>
      <c r="AI3156" s="156"/>
      <c r="AJ3156" s="156"/>
      <c r="AK3156" s="156"/>
      <c r="AL3156" s="156"/>
      <c r="AM3156" s="156"/>
      <c r="AN3156" s="156"/>
      <c r="AO3156" s="156"/>
      <c r="AP3156" s="156"/>
      <c r="AQ3156" s="156"/>
      <c r="AR3156" s="156"/>
      <c r="AS3156" s="156"/>
      <c r="AT3156" s="156"/>
      <c r="AU3156" s="156"/>
      <c r="AV3156" s="156"/>
      <c r="AW3156" s="156"/>
      <c r="AX3156" s="156"/>
      <c r="AY3156" s="156"/>
      <c r="AZ3156" s="156"/>
      <c r="BA3156" s="156"/>
      <c r="BB3156" s="2828"/>
      <c r="BC3156" s="452"/>
      <c r="BD3156" s="2829"/>
      <c r="BE3156" s="2837"/>
      <c r="BF3156" s="156"/>
    </row>
    <row r="3157" spans="1:58" ht="15" customHeight="1" outlineLevel="1" x14ac:dyDescent="0.35">
      <c r="A3157" s="1664"/>
      <c r="B3157" s="2812"/>
      <c r="C3157" s="3077"/>
      <c r="D3157" s="3980"/>
      <c r="E3157" s="3883"/>
      <c r="F3157" s="3984" t="str">
        <f>$E$1652</f>
        <v>ASHP-SEER17-Replace_CAC_NonElectricHeat_ROF_MF_CompE</v>
      </c>
      <c r="G3157" s="3984"/>
      <c r="H3157" s="3984"/>
      <c r="I3157" s="3984"/>
      <c r="J3157" s="3501" t="str">
        <f>$C$1652</f>
        <v>353161_2021_12_</v>
      </c>
      <c r="K3157" s="3051">
        <v>13</v>
      </c>
      <c r="L3157" s="704"/>
      <c r="M3157" s="3022" t="s">
        <v>1070</v>
      </c>
      <c r="N3157" s="106"/>
      <c r="O3157" s="106"/>
      <c r="P3157" s="702"/>
      <c r="Q3157" s="702"/>
      <c r="R3157" s="702"/>
      <c r="S3157" s="106"/>
      <c r="T3157" s="486"/>
      <c r="U3157" s="106"/>
      <c r="V3157" s="3980"/>
      <c r="W3157" s="3421"/>
      <c r="X3157" s="2374"/>
      <c r="Y3157" s="2377"/>
      <c r="Z3157" s="3425"/>
      <c r="AA3157" s="3425"/>
      <c r="AB3157" s="583"/>
      <c r="AC3157" s="2919">
        <v>13</v>
      </c>
      <c r="AD3157" s="3051">
        <v>13</v>
      </c>
      <c r="AE3157" s="3429"/>
      <c r="AF3157" s="3421"/>
      <c r="AG3157" s="3421"/>
      <c r="AH3157" s="156"/>
      <c r="AI3157" s="156"/>
      <c r="AJ3157" s="156"/>
      <c r="AK3157" s="156"/>
      <c r="AL3157" s="156"/>
      <c r="AM3157" s="156"/>
      <c r="AN3157" s="156"/>
      <c r="AO3157" s="156"/>
      <c r="AP3157" s="156"/>
      <c r="AQ3157" s="156"/>
      <c r="AR3157" s="156"/>
      <c r="AS3157" s="156"/>
      <c r="AT3157" s="156"/>
      <c r="AU3157" s="156"/>
      <c r="AV3157" s="156"/>
      <c r="AW3157" s="156"/>
      <c r="AX3157" s="156"/>
      <c r="AY3157" s="156"/>
      <c r="AZ3157" s="156"/>
      <c r="BA3157" s="156"/>
      <c r="BB3157" s="2828"/>
      <c r="BC3157" s="452"/>
      <c r="BD3157" s="2829"/>
      <c r="BE3157" s="2837"/>
      <c r="BF3157" s="156"/>
    </row>
    <row r="3158" spans="1:58" ht="15" customHeight="1" outlineLevel="1" x14ac:dyDescent="0.35">
      <c r="A3158" s="1664"/>
      <c r="B3158" s="2812"/>
      <c r="C3158" s="3077"/>
      <c r="D3158" s="3980"/>
      <c r="E3158" s="3883"/>
      <c r="F3158" s="3984" t="str">
        <f>$E$1654</f>
        <v>ASHP-SEER18-Replace_CAC_ElectricHeat_ROF_SF</v>
      </c>
      <c r="G3158" s="3984"/>
      <c r="H3158" s="3984"/>
      <c r="I3158" s="3984"/>
      <c r="J3158" s="3501" t="str">
        <f>$C$1654</f>
        <v>353200_2021_12_</v>
      </c>
      <c r="K3158" s="3051">
        <v>13</v>
      </c>
      <c r="L3158" s="704"/>
      <c r="M3158" s="3022" t="s">
        <v>1070</v>
      </c>
      <c r="N3158" s="106"/>
      <c r="O3158" s="106"/>
      <c r="P3158" s="702"/>
      <c r="Q3158" s="702"/>
      <c r="R3158" s="702"/>
      <c r="S3158" s="106"/>
      <c r="T3158" s="486"/>
      <c r="U3158" s="106"/>
      <c r="V3158" s="3980"/>
      <c r="W3158" s="3421">
        <v>6.8</v>
      </c>
      <c r="X3158" s="2374">
        <v>8.33</v>
      </c>
      <c r="Y3158" s="2377">
        <v>13</v>
      </c>
      <c r="Z3158" s="3425">
        <v>13</v>
      </c>
      <c r="AA3158" s="3425">
        <v>13</v>
      </c>
      <c r="AB3158" s="583">
        <v>13</v>
      </c>
      <c r="AC3158" s="2920">
        <v>13</v>
      </c>
      <c r="AD3158" s="3051">
        <v>13</v>
      </c>
      <c r="AE3158" s="3429"/>
      <c r="AF3158" s="3421"/>
      <c r="AG3158" s="3421"/>
      <c r="AH3158" s="156"/>
      <c r="AI3158" s="156"/>
      <c r="AJ3158" s="156"/>
      <c r="AK3158" s="156"/>
      <c r="AL3158" s="156"/>
      <c r="AM3158" s="156"/>
      <c r="AN3158" s="156"/>
      <c r="AO3158" s="156"/>
      <c r="AP3158" s="156"/>
      <c r="AQ3158" s="156"/>
      <c r="AR3158" s="156"/>
      <c r="AS3158" s="156"/>
      <c r="AT3158" s="156"/>
      <c r="AU3158" s="156"/>
      <c r="AV3158" s="156"/>
      <c r="AW3158" s="156"/>
      <c r="AX3158" s="156"/>
      <c r="AY3158" s="156"/>
      <c r="AZ3158" s="156"/>
      <c r="BA3158" s="156"/>
      <c r="BB3158" s="2828"/>
      <c r="BC3158" s="452"/>
      <c r="BD3158" s="2829"/>
      <c r="BE3158" s="2837"/>
      <c r="BF3158" s="156"/>
    </row>
    <row r="3159" spans="1:58" s="3398" customFormat="1" ht="15" customHeight="1" outlineLevel="1" x14ac:dyDescent="0.35">
      <c r="A3159" s="1664"/>
      <c r="B3159" s="2812"/>
      <c r="C3159" s="3077"/>
      <c r="D3159" s="3980"/>
      <c r="E3159" s="3883"/>
      <c r="F3159" s="4136" t="str">
        <f>$E$1656</f>
        <v>ASHP-SEER18-Replace_CAC_NonElectricHeat_ROF_SF</v>
      </c>
      <c r="G3159" s="4136"/>
      <c r="H3159" s="4136"/>
      <c r="I3159" s="4136"/>
      <c r="J3159" s="3502" t="str">
        <f>$C$1656</f>
        <v>353210_2022_12_</v>
      </c>
      <c r="K3159" s="3050">
        <v>13</v>
      </c>
      <c r="L3159" s="703"/>
      <c r="M3159" s="3024" t="s">
        <v>1070</v>
      </c>
      <c r="P3159" s="702"/>
      <c r="Q3159" s="702"/>
      <c r="R3159" s="702"/>
      <c r="T3159" s="3397"/>
      <c r="V3159" s="3980"/>
      <c r="W3159" s="3421"/>
      <c r="X3159" s="3421"/>
      <c r="Y3159" s="3425"/>
      <c r="Z3159" s="3425"/>
      <c r="AA3159" s="3425"/>
      <c r="AB3159" s="583"/>
      <c r="AC3159" s="2920"/>
      <c r="AD3159" s="3050">
        <v>13</v>
      </c>
      <c r="AE3159" s="3429"/>
      <c r="AF3159" s="3421"/>
      <c r="AG3159" s="3421"/>
      <c r="AH3159" s="156"/>
      <c r="AI3159" s="156"/>
      <c r="AJ3159" s="156"/>
      <c r="AK3159" s="156"/>
      <c r="AL3159" s="156"/>
      <c r="AM3159" s="156"/>
      <c r="AN3159" s="156"/>
      <c r="AO3159" s="156"/>
      <c r="AP3159" s="156"/>
      <c r="AQ3159" s="156"/>
      <c r="AR3159" s="156"/>
      <c r="AS3159" s="156"/>
      <c r="AT3159" s="156"/>
      <c r="AU3159" s="156"/>
      <c r="AV3159" s="156"/>
      <c r="AW3159" s="156"/>
      <c r="AX3159" s="156"/>
      <c r="AY3159" s="156"/>
      <c r="AZ3159" s="156"/>
      <c r="BA3159" s="156"/>
      <c r="BB3159" s="2828"/>
      <c r="BC3159" s="452"/>
      <c r="BD3159" s="2829"/>
      <c r="BE3159" s="2837"/>
      <c r="BF3159" s="156"/>
    </row>
    <row r="3160" spans="1:58" ht="15" customHeight="1" outlineLevel="1" x14ac:dyDescent="0.35">
      <c r="A3160" s="1664"/>
      <c r="B3160" s="2812"/>
      <c r="C3160" s="3077"/>
      <c r="D3160" s="3980"/>
      <c r="E3160" s="3883"/>
      <c r="F3160" s="3984" t="str">
        <f>$E$1658</f>
        <v>ASHP-SEER18-Replace_CAC_ElectricHeat_ROF_MF</v>
      </c>
      <c r="G3160" s="3984"/>
      <c r="H3160" s="3984"/>
      <c r="I3160" s="3984"/>
      <c r="J3160" s="3501" t="str">
        <f>$C$1658</f>
        <v>353250_2021_12_</v>
      </c>
      <c r="K3160" s="3051">
        <v>13</v>
      </c>
      <c r="L3160" s="704"/>
      <c r="M3160" s="3022" t="s">
        <v>1070</v>
      </c>
      <c r="N3160" s="106"/>
      <c r="O3160" s="106"/>
      <c r="P3160" s="702"/>
      <c r="Q3160" s="702"/>
      <c r="R3160" s="702"/>
      <c r="S3160" s="106"/>
      <c r="T3160" s="486"/>
      <c r="U3160" s="106"/>
      <c r="V3160" s="3980"/>
      <c r="W3160" s="3421">
        <v>6.8</v>
      </c>
      <c r="X3160" s="2374">
        <v>8.33</v>
      </c>
      <c r="Y3160" s="2377">
        <v>13</v>
      </c>
      <c r="Z3160" s="3425">
        <v>13</v>
      </c>
      <c r="AA3160" s="3425">
        <v>13</v>
      </c>
      <c r="AB3160" s="583">
        <v>13</v>
      </c>
      <c r="AC3160" s="2920">
        <v>13</v>
      </c>
      <c r="AD3160" s="3051">
        <v>13</v>
      </c>
      <c r="AE3160" s="3429"/>
      <c r="AF3160" s="3421"/>
      <c r="AG3160" s="3421"/>
      <c r="AH3160" s="156"/>
      <c r="AI3160" s="156"/>
      <c r="AJ3160" s="156"/>
      <c r="AK3160" s="156"/>
      <c r="AL3160" s="156"/>
      <c r="AM3160" s="156"/>
      <c r="AN3160" s="156"/>
      <c r="AO3160" s="156"/>
      <c r="AP3160" s="156"/>
      <c r="AQ3160" s="156"/>
      <c r="AR3160" s="156"/>
      <c r="AS3160" s="156"/>
      <c r="AT3160" s="156"/>
      <c r="AU3160" s="156"/>
      <c r="AV3160" s="156"/>
      <c r="AW3160" s="156"/>
      <c r="AX3160" s="156"/>
      <c r="AY3160" s="156"/>
      <c r="AZ3160" s="156"/>
      <c r="BA3160" s="156"/>
      <c r="BB3160" s="2828"/>
      <c r="BC3160" s="452"/>
      <c r="BD3160" s="2829"/>
      <c r="BE3160" s="2837"/>
      <c r="BF3160" s="156"/>
    </row>
    <row r="3161" spans="1:58" ht="15" customHeight="1" outlineLevel="1" x14ac:dyDescent="0.35">
      <c r="A3161" s="1664"/>
      <c r="B3161" s="2812"/>
      <c r="C3161" s="3077"/>
      <c r="D3161" s="3980"/>
      <c r="E3161" s="3883"/>
      <c r="F3161" s="3984" t="str">
        <f>$E$1660</f>
        <v>ASHP-SEER18-Replace_CAC_ElectricHeat_ROF_MF_CompE</v>
      </c>
      <c r="G3161" s="3984"/>
      <c r="H3161" s="3984"/>
      <c r="I3161" s="3984"/>
      <c r="J3161" s="3501" t="str">
        <f>$C$1660</f>
        <v>353251_2021_12_</v>
      </c>
      <c r="K3161" s="3051">
        <v>13</v>
      </c>
      <c r="L3161" s="704"/>
      <c r="M3161" s="3022" t="s">
        <v>1070</v>
      </c>
      <c r="N3161" s="106"/>
      <c r="O3161" s="106"/>
      <c r="P3161" s="702"/>
      <c r="Q3161" s="702"/>
      <c r="R3161" s="702"/>
      <c r="S3161" s="106"/>
      <c r="T3161" s="486"/>
      <c r="U3161" s="106"/>
      <c r="V3161" s="3980"/>
      <c r="W3161" s="3421"/>
      <c r="X3161" s="2374"/>
      <c r="Y3161" s="2377">
        <v>13</v>
      </c>
      <c r="Z3161" s="3425">
        <v>13</v>
      </c>
      <c r="AA3161" s="3425">
        <v>13</v>
      </c>
      <c r="AB3161" s="583">
        <v>13</v>
      </c>
      <c r="AC3161" s="2920">
        <v>13</v>
      </c>
      <c r="AD3161" s="3051">
        <v>13</v>
      </c>
      <c r="AE3161" s="3429"/>
      <c r="AF3161" s="3421"/>
      <c r="AG3161" s="3421"/>
      <c r="AH3161" s="156"/>
      <c r="AI3161" s="156"/>
      <c r="AJ3161" s="156"/>
      <c r="AK3161" s="156"/>
      <c r="AL3161" s="156"/>
      <c r="AM3161" s="156"/>
      <c r="AN3161" s="156"/>
      <c r="AO3161" s="156"/>
      <c r="AP3161" s="156"/>
      <c r="AQ3161" s="156"/>
      <c r="AR3161" s="156"/>
      <c r="AS3161" s="156"/>
      <c r="AT3161" s="156"/>
      <c r="AU3161" s="156"/>
      <c r="AV3161" s="156"/>
      <c r="AW3161" s="156"/>
      <c r="AX3161" s="156"/>
      <c r="AY3161" s="156"/>
      <c r="AZ3161" s="156"/>
      <c r="BA3161" s="156"/>
      <c r="BB3161" s="2828"/>
      <c r="BC3161" s="452"/>
      <c r="BD3161" s="2829"/>
      <c r="BE3161" s="2837"/>
      <c r="BF3161" s="156"/>
    </row>
    <row r="3162" spans="1:58" ht="15" customHeight="1" outlineLevel="1" x14ac:dyDescent="0.35">
      <c r="A3162" s="1664"/>
      <c r="B3162" s="2812"/>
      <c r="C3162" s="3077"/>
      <c r="D3162" s="3980"/>
      <c r="E3162" s="3883"/>
      <c r="F3162" s="3984" t="str">
        <f>$E$1662</f>
        <v>ASHP-SEER18-Replace_CAC_NonElectricHeat_ROF_MF</v>
      </c>
      <c r="G3162" s="3984"/>
      <c r="H3162" s="3984"/>
      <c r="I3162" s="3984"/>
      <c r="J3162" s="3501" t="str">
        <f>$C$1662</f>
        <v>353260_2021_12_</v>
      </c>
      <c r="K3162" s="3051">
        <v>13</v>
      </c>
      <c r="L3162" s="704"/>
      <c r="M3162" s="3022" t="s">
        <v>1070</v>
      </c>
      <c r="N3162" s="106"/>
      <c r="O3162" s="106"/>
      <c r="P3162" s="702"/>
      <c r="Q3162" s="702"/>
      <c r="R3162" s="702"/>
      <c r="S3162" s="106"/>
      <c r="T3162" s="486"/>
      <c r="U3162" s="106"/>
      <c r="V3162" s="3980"/>
      <c r="W3162" s="3421"/>
      <c r="X3162" s="2374"/>
      <c r="Y3162" s="2377"/>
      <c r="Z3162" s="3425"/>
      <c r="AA3162" s="3425"/>
      <c r="AB3162" s="583"/>
      <c r="AC3162" s="2919">
        <v>13</v>
      </c>
      <c r="AD3162" s="3051">
        <v>13</v>
      </c>
      <c r="AE3162" s="3429"/>
      <c r="AF3162" s="3421"/>
      <c r="AG3162" s="3421"/>
      <c r="AH3162" s="156"/>
      <c r="AI3162" s="156"/>
      <c r="AJ3162" s="156"/>
      <c r="AK3162" s="156"/>
      <c r="AL3162" s="156"/>
      <c r="AM3162" s="156"/>
      <c r="AN3162" s="156"/>
      <c r="AO3162" s="156"/>
      <c r="AP3162" s="156"/>
      <c r="AQ3162" s="156"/>
      <c r="AR3162" s="156"/>
      <c r="AS3162" s="156"/>
      <c r="AT3162" s="156"/>
      <c r="AU3162" s="156"/>
      <c r="AV3162" s="156"/>
      <c r="AW3162" s="156"/>
      <c r="AX3162" s="156"/>
      <c r="AY3162" s="156"/>
      <c r="AZ3162" s="156"/>
      <c r="BA3162" s="156"/>
      <c r="BB3162" s="2828"/>
      <c r="BC3162" s="452"/>
      <c r="BD3162" s="2829"/>
      <c r="BE3162" s="2837"/>
      <c r="BF3162" s="156"/>
    </row>
    <row r="3163" spans="1:58" ht="15" customHeight="1" outlineLevel="1" x14ac:dyDescent="0.35">
      <c r="A3163" s="1664"/>
      <c r="B3163" s="2812"/>
      <c r="C3163" s="3077"/>
      <c r="D3163" s="3980"/>
      <c r="E3163" s="3883"/>
      <c r="F3163" s="3984" t="str">
        <f>$E$1664</f>
        <v>ASHP-SEER18-Replace_CAC_NonElectricHeat_ROF_MF_CompE</v>
      </c>
      <c r="G3163" s="3984"/>
      <c r="H3163" s="3984"/>
      <c r="I3163" s="3984"/>
      <c r="J3163" s="3501" t="str">
        <f>$C$1664</f>
        <v>353261_2021_12_</v>
      </c>
      <c r="K3163" s="3051">
        <v>13</v>
      </c>
      <c r="L3163" s="704"/>
      <c r="M3163" s="3022" t="s">
        <v>1070</v>
      </c>
      <c r="N3163" s="106"/>
      <c r="O3163" s="106"/>
      <c r="P3163" s="702"/>
      <c r="Q3163" s="702"/>
      <c r="R3163" s="702"/>
      <c r="S3163" s="106"/>
      <c r="T3163" s="486"/>
      <c r="U3163" s="106"/>
      <c r="V3163" s="3980"/>
      <c r="W3163" s="3421"/>
      <c r="X3163" s="2374"/>
      <c r="Y3163" s="2377"/>
      <c r="Z3163" s="3425"/>
      <c r="AA3163" s="3425"/>
      <c r="AB3163" s="583"/>
      <c r="AC3163" s="2919">
        <v>13</v>
      </c>
      <c r="AD3163" s="3051">
        <v>13</v>
      </c>
      <c r="AE3163" s="3429"/>
      <c r="AF3163" s="3421"/>
      <c r="AG3163" s="3421"/>
      <c r="AH3163" s="156"/>
      <c r="AI3163" s="156"/>
      <c r="AJ3163" s="156"/>
      <c r="AK3163" s="156"/>
      <c r="AL3163" s="156"/>
      <c r="AM3163" s="156"/>
      <c r="AN3163" s="156"/>
      <c r="AO3163" s="156"/>
      <c r="AP3163" s="156"/>
      <c r="AQ3163" s="156"/>
      <c r="AR3163" s="156"/>
      <c r="AS3163" s="156"/>
      <c r="AT3163" s="156"/>
      <c r="AU3163" s="156"/>
      <c r="AV3163" s="156"/>
      <c r="AW3163" s="156"/>
      <c r="AX3163" s="156"/>
      <c r="AY3163" s="156"/>
      <c r="AZ3163" s="156"/>
      <c r="BA3163" s="156"/>
      <c r="BB3163" s="2828"/>
      <c r="BC3163" s="452"/>
      <c r="BD3163" s="2829"/>
      <c r="BE3163" s="2837"/>
      <c r="BF3163" s="156"/>
    </row>
    <row r="3164" spans="1:58" ht="15" customHeight="1" outlineLevel="1" x14ac:dyDescent="0.35">
      <c r="A3164" s="1664"/>
      <c r="B3164" s="2812"/>
      <c r="C3164" s="3077"/>
      <c r="D3164" s="3980"/>
      <c r="E3164" s="3883"/>
      <c r="F3164" s="3984" t="str">
        <f>$E$1666</f>
        <v>ASHP-SEER19-Replace_CAC_ElectricHeat_ROF_SF</v>
      </c>
      <c r="G3164" s="3984"/>
      <c r="H3164" s="3984"/>
      <c r="I3164" s="3984"/>
      <c r="J3164" s="3501" t="str">
        <f>$C$1666</f>
        <v>353300_2021_12_</v>
      </c>
      <c r="K3164" s="3051">
        <v>13</v>
      </c>
      <c r="L3164" s="704"/>
      <c r="M3164" s="3022" t="s">
        <v>1070</v>
      </c>
      <c r="N3164" s="106"/>
      <c r="O3164" s="106"/>
      <c r="P3164" s="702"/>
      <c r="Q3164" s="702"/>
      <c r="R3164" s="702"/>
      <c r="S3164" s="106"/>
      <c r="T3164" s="486"/>
      <c r="U3164" s="106"/>
      <c r="V3164" s="3980"/>
      <c r="W3164" s="3421">
        <v>6.8</v>
      </c>
      <c r="X3164" s="2374">
        <v>8.33</v>
      </c>
      <c r="Y3164" s="2377">
        <v>13</v>
      </c>
      <c r="Z3164" s="3425">
        <v>13</v>
      </c>
      <c r="AA3164" s="3425">
        <v>13</v>
      </c>
      <c r="AB3164" s="583">
        <v>13</v>
      </c>
      <c r="AC3164" s="2920">
        <v>13</v>
      </c>
      <c r="AD3164" s="3051">
        <v>13</v>
      </c>
      <c r="AE3164" s="3429"/>
      <c r="AF3164" s="3421"/>
      <c r="AG3164" s="3421"/>
      <c r="AH3164" s="156"/>
      <c r="AI3164" s="156"/>
      <c r="AJ3164" s="156"/>
      <c r="AK3164" s="156"/>
      <c r="AL3164" s="156"/>
      <c r="AM3164" s="156"/>
      <c r="AN3164" s="156"/>
      <c r="AO3164" s="156"/>
      <c r="AP3164" s="156"/>
      <c r="AQ3164" s="156"/>
      <c r="AR3164" s="156"/>
      <c r="AS3164" s="156"/>
      <c r="AT3164" s="156"/>
      <c r="AU3164" s="156"/>
      <c r="AV3164" s="156"/>
      <c r="AW3164" s="156"/>
      <c r="AX3164" s="156"/>
      <c r="AY3164" s="156"/>
      <c r="AZ3164" s="156"/>
      <c r="BA3164" s="156"/>
      <c r="BB3164" s="2828"/>
      <c r="BC3164" s="452"/>
      <c r="BD3164" s="2829"/>
      <c r="BE3164" s="2837"/>
      <c r="BF3164" s="156"/>
    </row>
    <row r="3165" spans="1:58" s="3398" customFormat="1" ht="15" customHeight="1" outlineLevel="1" x14ac:dyDescent="0.35">
      <c r="A3165" s="1664"/>
      <c r="B3165" s="2812"/>
      <c r="C3165" s="3077"/>
      <c r="D3165" s="3980"/>
      <c r="E3165" s="3883"/>
      <c r="F3165" s="4136" t="str">
        <f>$E$1668</f>
        <v>ASHP-SEER19-Replace_CAC_NonElectricHeat_ROF_SF</v>
      </c>
      <c r="G3165" s="4136"/>
      <c r="H3165" s="4136"/>
      <c r="I3165" s="4136"/>
      <c r="J3165" s="3502" t="str">
        <f>$C$1668</f>
        <v>353310_2022_12_</v>
      </c>
      <c r="K3165" s="3050">
        <v>13</v>
      </c>
      <c r="L3165" s="703"/>
      <c r="M3165" s="3024" t="s">
        <v>1070</v>
      </c>
      <c r="P3165" s="702"/>
      <c r="Q3165" s="702"/>
      <c r="R3165" s="702"/>
      <c r="T3165" s="3397"/>
      <c r="V3165" s="3980"/>
      <c r="W3165" s="3421"/>
      <c r="X3165" s="3421"/>
      <c r="Y3165" s="3425"/>
      <c r="Z3165" s="3425"/>
      <c r="AA3165" s="3425"/>
      <c r="AB3165" s="583"/>
      <c r="AC3165" s="2920"/>
      <c r="AD3165" s="3050">
        <v>13</v>
      </c>
      <c r="AE3165" s="3429"/>
      <c r="AF3165" s="3421"/>
      <c r="AG3165" s="3421"/>
      <c r="AH3165" s="156"/>
      <c r="AI3165" s="156"/>
      <c r="AJ3165" s="156"/>
      <c r="AK3165" s="156"/>
      <c r="AL3165" s="156"/>
      <c r="AM3165" s="156"/>
      <c r="AN3165" s="156"/>
      <c r="AO3165" s="156"/>
      <c r="AP3165" s="156"/>
      <c r="AQ3165" s="156"/>
      <c r="AR3165" s="156"/>
      <c r="AS3165" s="156"/>
      <c r="AT3165" s="156"/>
      <c r="AU3165" s="156"/>
      <c r="AV3165" s="156"/>
      <c r="AW3165" s="156"/>
      <c r="AX3165" s="156"/>
      <c r="AY3165" s="156"/>
      <c r="AZ3165" s="156"/>
      <c r="BA3165" s="156"/>
      <c r="BB3165" s="2828"/>
      <c r="BC3165" s="452"/>
      <c r="BD3165" s="2829"/>
      <c r="BE3165" s="2837"/>
      <c r="BF3165" s="156"/>
    </row>
    <row r="3166" spans="1:58" ht="15" customHeight="1" outlineLevel="1" x14ac:dyDescent="0.35">
      <c r="A3166" s="1664"/>
      <c r="B3166" s="2812"/>
      <c r="C3166" s="3077"/>
      <c r="D3166" s="3980"/>
      <c r="E3166" s="3883"/>
      <c r="F3166" s="3984" t="str">
        <f>$E$1670</f>
        <v>ASHP-SEER19-Replace_CAC_ElectricHeat_ROF_MF</v>
      </c>
      <c r="G3166" s="3984"/>
      <c r="H3166" s="3984"/>
      <c r="I3166" s="3984"/>
      <c r="J3166" s="3501" t="str">
        <f>$C$1670</f>
        <v>353350_2021_12_</v>
      </c>
      <c r="K3166" s="3051">
        <v>13</v>
      </c>
      <c r="L3166" s="704"/>
      <c r="M3166" s="3022" t="s">
        <v>1070</v>
      </c>
      <c r="N3166" s="106"/>
      <c r="O3166" s="106"/>
      <c r="P3166" s="702"/>
      <c r="Q3166" s="702"/>
      <c r="R3166" s="702"/>
      <c r="S3166" s="106"/>
      <c r="T3166" s="486"/>
      <c r="U3166" s="106"/>
      <c r="V3166" s="3980"/>
      <c r="W3166" s="3421">
        <v>6.8</v>
      </c>
      <c r="X3166" s="2374">
        <v>8.33</v>
      </c>
      <c r="Y3166" s="2377">
        <v>13</v>
      </c>
      <c r="Z3166" s="3425">
        <v>13</v>
      </c>
      <c r="AA3166" s="3425">
        <v>13</v>
      </c>
      <c r="AB3166" s="583">
        <v>13</v>
      </c>
      <c r="AC3166" s="2920">
        <v>13</v>
      </c>
      <c r="AD3166" s="3051">
        <v>13</v>
      </c>
      <c r="AE3166" s="3429"/>
      <c r="AF3166" s="3421"/>
      <c r="AG3166" s="3421"/>
      <c r="AH3166" s="156"/>
      <c r="AI3166" s="156"/>
      <c r="AJ3166" s="156"/>
      <c r="AK3166" s="156"/>
      <c r="AL3166" s="156"/>
      <c r="AM3166" s="156"/>
      <c r="AN3166" s="156"/>
      <c r="AO3166" s="156"/>
      <c r="AP3166" s="156"/>
      <c r="AQ3166" s="156"/>
      <c r="AR3166" s="156"/>
      <c r="AS3166" s="156"/>
      <c r="AT3166" s="156"/>
      <c r="AU3166" s="156"/>
      <c r="AV3166" s="156"/>
      <c r="AW3166" s="156"/>
      <c r="AX3166" s="156"/>
      <c r="AY3166" s="156"/>
      <c r="AZ3166" s="156"/>
      <c r="BA3166" s="156"/>
      <c r="BB3166" s="2828"/>
      <c r="BC3166" s="452"/>
      <c r="BD3166" s="2829"/>
      <c r="BE3166" s="2837"/>
      <c r="BF3166" s="156"/>
    </row>
    <row r="3167" spans="1:58" ht="15" customHeight="1" outlineLevel="1" x14ac:dyDescent="0.35">
      <c r="A3167" s="1664"/>
      <c r="B3167" s="2812"/>
      <c r="C3167" s="3077"/>
      <c r="D3167" s="3980"/>
      <c r="E3167" s="3883"/>
      <c r="F3167" s="3984" t="str">
        <f>$E$1672</f>
        <v>ASHP-SEER19-Replace_CAC_ElectricHeat_ROF_MF_CompE</v>
      </c>
      <c r="G3167" s="3984"/>
      <c r="H3167" s="3984"/>
      <c r="I3167" s="3984"/>
      <c r="J3167" s="3501" t="str">
        <f>$C$1672</f>
        <v>353351_2019_12_</v>
      </c>
      <c r="K3167" s="3051">
        <v>13</v>
      </c>
      <c r="L3167" s="704"/>
      <c r="M3167" s="3022" t="s">
        <v>1070</v>
      </c>
      <c r="N3167" s="106"/>
      <c r="O3167" s="106"/>
      <c r="P3167" s="702"/>
      <c r="Q3167" s="702"/>
      <c r="R3167" s="702"/>
      <c r="S3167" s="106"/>
      <c r="T3167" s="486"/>
      <c r="U3167" s="106"/>
      <c r="V3167" s="3980"/>
      <c r="W3167" s="3421"/>
      <c r="X3167" s="2374"/>
      <c r="Y3167" s="2377">
        <v>13</v>
      </c>
      <c r="Z3167" s="3425">
        <v>13</v>
      </c>
      <c r="AA3167" s="3425">
        <v>13</v>
      </c>
      <c r="AB3167" s="583">
        <v>13</v>
      </c>
      <c r="AC3167" s="2920">
        <v>13</v>
      </c>
      <c r="AD3167" s="3051">
        <v>13</v>
      </c>
      <c r="AE3167" s="3429"/>
      <c r="AF3167" s="3421"/>
      <c r="AG3167" s="3421"/>
      <c r="AH3167" s="156"/>
      <c r="AI3167" s="156"/>
      <c r="AJ3167" s="156"/>
      <c r="AK3167" s="156"/>
      <c r="AL3167" s="156"/>
      <c r="AM3167" s="156"/>
      <c r="AN3167" s="156"/>
      <c r="AO3167" s="156"/>
      <c r="AP3167" s="156"/>
      <c r="AQ3167" s="156"/>
      <c r="AR3167" s="156"/>
      <c r="AS3167" s="156"/>
      <c r="AT3167" s="156"/>
      <c r="AU3167" s="156"/>
      <c r="AV3167" s="156"/>
      <c r="AW3167" s="156"/>
      <c r="AX3167" s="156"/>
      <c r="AY3167" s="156"/>
      <c r="AZ3167" s="156"/>
      <c r="BA3167" s="156"/>
      <c r="BB3167" s="2828"/>
      <c r="BC3167" s="452"/>
      <c r="BD3167" s="2829"/>
      <c r="BE3167" s="2837"/>
      <c r="BF3167" s="156"/>
    </row>
    <row r="3168" spans="1:58" ht="15" customHeight="1" outlineLevel="1" x14ac:dyDescent="0.35">
      <c r="A3168" s="1664"/>
      <c r="B3168" s="2812"/>
      <c r="C3168" s="3077"/>
      <c r="D3168" s="3980"/>
      <c r="E3168" s="3883"/>
      <c r="F3168" s="3984" t="str">
        <f>$E$1674</f>
        <v>ASHP-SEER19-Replace_CAC_NonElectricHeat_ROF_MF</v>
      </c>
      <c r="G3168" s="3984"/>
      <c r="H3168" s="3984"/>
      <c r="I3168" s="3984"/>
      <c r="J3168" s="3501" t="str">
        <f>$C$1674</f>
        <v>353360_2021_12_</v>
      </c>
      <c r="K3168" s="3051">
        <v>13</v>
      </c>
      <c r="L3168" s="704"/>
      <c r="M3168" s="3022" t="s">
        <v>1070</v>
      </c>
      <c r="N3168" s="106"/>
      <c r="O3168" s="106"/>
      <c r="P3168" s="702"/>
      <c r="Q3168" s="702"/>
      <c r="R3168" s="702"/>
      <c r="S3168" s="106"/>
      <c r="T3168" s="486"/>
      <c r="U3168" s="106"/>
      <c r="V3168" s="3980"/>
      <c r="W3168" s="3421"/>
      <c r="X3168" s="2374"/>
      <c r="Y3168" s="2377"/>
      <c r="Z3168" s="3425"/>
      <c r="AA3168" s="3425"/>
      <c r="AB3168" s="583"/>
      <c r="AC3168" s="2919">
        <v>13</v>
      </c>
      <c r="AD3168" s="3051">
        <v>13</v>
      </c>
      <c r="AE3168" s="3429"/>
      <c r="AF3168" s="3421"/>
      <c r="AG3168" s="3421"/>
      <c r="AH3168" s="156"/>
      <c r="AI3168" s="156"/>
      <c r="AJ3168" s="156"/>
      <c r="AK3168" s="156"/>
      <c r="AL3168" s="156"/>
      <c r="AM3168" s="156"/>
      <c r="AN3168" s="156"/>
      <c r="AO3168" s="156"/>
      <c r="AP3168" s="156"/>
      <c r="AQ3168" s="156"/>
      <c r="AR3168" s="156"/>
      <c r="AS3168" s="156"/>
      <c r="AT3168" s="156"/>
      <c r="AU3168" s="156"/>
      <c r="AV3168" s="156"/>
      <c r="AW3168" s="156"/>
      <c r="AX3168" s="156"/>
      <c r="AY3168" s="156"/>
      <c r="AZ3168" s="156"/>
      <c r="BA3168" s="156"/>
      <c r="BB3168" s="2828"/>
      <c r="BC3168" s="452"/>
      <c r="BD3168" s="2829"/>
      <c r="BE3168" s="2837"/>
      <c r="BF3168" s="156"/>
    </row>
    <row r="3169" spans="1:58" ht="15" customHeight="1" outlineLevel="1" x14ac:dyDescent="0.35">
      <c r="A3169" s="1664"/>
      <c r="B3169" s="2812"/>
      <c r="C3169" s="3077"/>
      <c r="D3169" s="3980"/>
      <c r="E3169" s="3883"/>
      <c r="F3169" s="3984" t="str">
        <f>$E$1676</f>
        <v>ASHP-SEER19-Replace_CAC_NonElectricHeat_ROF_MF_CompE</v>
      </c>
      <c r="G3169" s="3984"/>
      <c r="H3169" s="3984"/>
      <c r="I3169" s="3984"/>
      <c r="J3169" s="3501" t="str">
        <f>$C$1676</f>
        <v>353361_2021_12_</v>
      </c>
      <c r="K3169" s="3051">
        <v>13</v>
      </c>
      <c r="L3169" s="704"/>
      <c r="M3169" s="3022" t="s">
        <v>1070</v>
      </c>
      <c r="N3169" s="106"/>
      <c r="O3169" s="106"/>
      <c r="P3169" s="702"/>
      <c r="Q3169" s="702"/>
      <c r="R3169" s="702"/>
      <c r="S3169" s="106"/>
      <c r="T3169" s="486"/>
      <c r="U3169" s="106"/>
      <c r="V3169" s="3980"/>
      <c r="W3169" s="3421"/>
      <c r="X3169" s="2374"/>
      <c r="Y3169" s="2377"/>
      <c r="Z3169" s="3425"/>
      <c r="AA3169" s="3425"/>
      <c r="AB3169" s="583"/>
      <c r="AC3169" s="2919">
        <v>13</v>
      </c>
      <c r="AD3169" s="3051">
        <v>13</v>
      </c>
      <c r="AE3169" s="3429"/>
      <c r="AF3169" s="3421"/>
      <c r="AG3169" s="3421"/>
      <c r="AH3169" s="156"/>
      <c r="AI3169" s="156"/>
      <c r="AJ3169" s="156"/>
      <c r="AK3169" s="156"/>
      <c r="AL3169" s="156"/>
      <c r="AM3169" s="156"/>
      <c r="AN3169" s="156"/>
      <c r="AO3169" s="156"/>
      <c r="AP3169" s="156"/>
      <c r="AQ3169" s="156"/>
      <c r="AR3169" s="156"/>
      <c r="AS3169" s="156"/>
      <c r="AT3169" s="156"/>
      <c r="AU3169" s="156"/>
      <c r="AV3169" s="156"/>
      <c r="AW3169" s="156"/>
      <c r="AX3169" s="156"/>
      <c r="AY3169" s="156"/>
      <c r="AZ3169" s="156"/>
      <c r="BA3169" s="156"/>
      <c r="BB3169" s="2828"/>
      <c r="BC3169" s="452"/>
      <c r="BD3169" s="2829"/>
      <c r="BE3169" s="2837"/>
      <c r="BF3169" s="156"/>
    </row>
    <row r="3170" spans="1:58" ht="15" customHeight="1" outlineLevel="1" x14ac:dyDescent="0.35">
      <c r="A3170" s="1664"/>
      <c r="B3170" s="2812"/>
      <c r="C3170" s="3077"/>
      <c r="D3170" s="3980"/>
      <c r="E3170" s="3883"/>
      <c r="F3170" s="3984" t="str">
        <f>$E$1678</f>
        <v>ASHP-SEER20-Replace_CAC_ElectricHeat_ER1_SF</v>
      </c>
      <c r="G3170" s="3984"/>
      <c r="H3170" s="3984"/>
      <c r="I3170" s="3984"/>
      <c r="J3170" s="3501" t="str">
        <f>$C$1678</f>
        <v>353400_2021_12_</v>
      </c>
      <c r="K3170" s="3050">
        <v>7.6241123100090684</v>
      </c>
      <c r="L3170" s="704"/>
      <c r="M3170" s="3024" t="s">
        <v>4360</v>
      </c>
      <c r="N3170" s="106"/>
      <c r="O3170" s="106"/>
      <c r="P3170" s="702"/>
      <c r="Q3170" s="702"/>
      <c r="R3170" s="702"/>
      <c r="S3170" s="106"/>
      <c r="T3170" s="486"/>
      <c r="U3170" s="106"/>
      <c r="V3170" s="3980"/>
      <c r="W3170" s="3421">
        <v>6.8</v>
      </c>
      <c r="X3170" s="2374">
        <v>8.33</v>
      </c>
      <c r="Y3170" s="3425">
        <v>8.33</v>
      </c>
      <c r="Z3170" s="3425">
        <v>8.33</v>
      </c>
      <c r="AA3170" s="3425">
        <v>8.33</v>
      </c>
      <c r="AB3170" s="583">
        <v>8.33</v>
      </c>
      <c r="AC3170" s="2919">
        <v>8.3166278348954581</v>
      </c>
      <c r="AD3170" s="3050">
        <v>7.6241123100090684</v>
      </c>
      <c r="AE3170" s="3429"/>
      <c r="AF3170" s="3421"/>
      <c r="AG3170" s="3421"/>
      <c r="AH3170" s="156"/>
      <c r="AI3170" s="156"/>
      <c r="AJ3170" s="156"/>
      <c r="AK3170" s="156"/>
      <c r="AL3170" s="156"/>
      <c r="AM3170" s="156"/>
      <c r="AN3170" s="156"/>
      <c r="AO3170" s="156"/>
      <c r="AP3170" s="156"/>
      <c r="AQ3170" s="156"/>
      <c r="AR3170" s="156"/>
      <c r="AS3170" s="156"/>
      <c r="AT3170" s="156"/>
      <c r="AU3170" s="156"/>
      <c r="AV3170" s="156"/>
      <c r="AW3170" s="156"/>
      <c r="AX3170" s="156"/>
      <c r="AY3170" s="156"/>
      <c r="AZ3170" s="156"/>
      <c r="BA3170" s="156"/>
      <c r="BB3170" s="2828"/>
      <c r="BC3170" s="452"/>
      <c r="BD3170" s="2829"/>
      <c r="BE3170" s="2837"/>
      <c r="BF3170" s="156"/>
    </row>
    <row r="3171" spans="1:58" ht="15" customHeight="1" outlineLevel="1" x14ac:dyDescent="0.35">
      <c r="A3171" s="1664"/>
      <c r="B3171" s="2812"/>
      <c r="C3171" s="3077"/>
      <c r="D3171" s="3980"/>
      <c r="E3171" s="3883"/>
      <c r="F3171" s="3984" t="str">
        <f>$E$1680</f>
        <v>ASHP-SEER20-Replace_CAC_ElectricHeat_ER2_SF</v>
      </c>
      <c r="G3171" s="3984"/>
      <c r="H3171" s="3984"/>
      <c r="I3171" s="3984"/>
      <c r="J3171" s="3501" t="str">
        <f>$C$1680</f>
        <v>353400_2021_12_</v>
      </c>
      <c r="K3171" s="3051">
        <v>13</v>
      </c>
      <c r="L3171" s="704"/>
      <c r="M3171" s="3022" t="s">
        <v>1070</v>
      </c>
      <c r="N3171" s="106"/>
      <c r="O3171" s="106"/>
      <c r="P3171" s="702"/>
      <c r="Q3171" s="702"/>
      <c r="R3171" s="702"/>
      <c r="S3171" s="106"/>
      <c r="T3171" s="486"/>
      <c r="U3171" s="106"/>
      <c r="V3171" s="3980"/>
      <c r="W3171" s="3421">
        <v>13</v>
      </c>
      <c r="X3171" s="3421">
        <v>13</v>
      </c>
      <c r="Y3171" s="3425">
        <v>13</v>
      </c>
      <c r="Z3171" s="3425">
        <v>13</v>
      </c>
      <c r="AA3171" s="3425">
        <v>13</v>
      </c>
      <c r="AB3171" s="583">
        <v>13</v>
      </c>
      <c r="AC3171" s="2920">
        <v>13</v>
      </c>
      <c r="AD3171" s="3051">
        <v>13</v>
      </c>
      <c r="AE3171" s="3429"/>
      <c r="AF3171" s="3421"/>
      <c r="AG3171" s="3421"/>
      <c r="AH3171" s="156"/>
      <c r="AI3171" s="156"/>
      <c r="AJ3171" s="156"/>
      <c r="AK3171" s="156"/>
      <c r="AL3171" s="156"/>
      <c r="AM3171" s="156"/>
      <c r="AN3171" s="156"/>
      <c r="AO3171" s="156"/>
      <c r="AP3171" s="156"/>
      <c r="AQ3171" s="156"/>
      <c r="AR3171" s="156"/>
      <c r="AS3171" s="156"/>
      <c r="AT3171" s="156"/>
      <c r="AU3171" s="156"/>
      <c r="AV3171" s="156"/>
      <c r="AW3171" s="156"/>
      <c r="AX3171" s="156"/>
      <c r="AY3171" s="156"/>
      <c r="AZ3171" s="156"/>
      <c r="BA3171" s="156"/>
      <c r="BB3171" s="2828"/>
      <c r="BC3171" s="452"/>
      <c r="BD3171" s="2829"/>
      <c r="BE3171" s="2837"/>
      <c r="BF3171" s="156"/>
    </row>
    <row r="3172" spans="1:58" ht="15" customHeight="1" outlineLevel="1" x14ac:dyDescent="0.35">
      <c r="A3172" s="1664"/>
      <c r="B3172" s="2812"/>
      <c r="C3172" s="3077"/>
      <c r="D3172" s="3980"/>
      <c r="E3172" s="3883"/>
      <c r="F3172" s="3984" t="str">
        <f>$E$1682</f>
        <v>ASHP-SEER20-Replace_CAC_NonElectricHeat_ER1_SF</v>
      </c>
      <c r="G3172" s="3984"/>
      <c r="H3172" s="3984"/>
      <c r="I3172" s="3984"/>
      <c r="J3172" s="3501" t="str">
        <f>$C$1682</f>
        <v>353410_2021_12_</v>
      </c>
      <c r="K3172" s="3050">
        <v>7.6241123100090684</v>
      </c>
      <c r="L3172" s="704"/>
      <c r="M3172" s="3022" t="s">
        <v>1083</v>
      </c>
      <c r="N3172" s="106"/>
      <c r="O3172" s="106"/>
      <c r="P3172" s="702"/>
      <c r="Q3172" s="702"/>
      <c r="R3172" s="702"/>
      <c r="S3172" s="106"/>
      <c r="T3172" s="486"/>
      <c r="U3172" s="106"/>
      <c r="V3172" s="3980"/>
      <c r="W3172" s="3421"/>
      <c r="X3172" s="3421"/>
      <c r="Y3172" s="3425"/>
      <c r="Z3172" s="3425"/>
      <c r="AA3172" s="3425"/>
      <c r="AB3172" s="583"/>
      <c r="AC3172" s="2919">
        <v>8.3166278348954581</v>
      </c>
      <c r="AD3172" s="3050">
        <v>7.6241123100090684</v>
      </c>
      <c r="AE3172" s="3429"/>
      <c r="AF3172" s="3421"/>
      <c r="AG3172" s="3421"/>
      <c r="AH3172" s="156"/>
      <c r="AI3172" s="156"/>
      <c r="AJ3172" s="156"/>
      <c r="AK3172" s="156"/>
      <c r="AL3172" s="156"/>
      <c r="AM3172" s="156"/>
      <c r="AN3172" s="156"/>
      <c r="AO3172" s="156"/>
      <c r="AP3172" s="156"/>
      <c r="AQ3172" s="156"/>
      <c r="AR3172" s="156"/>
      <c r="AS3172" s="156"/>
      <c r="AT3172" s="156"/>
      <c r="AU3172" s="156"/>
      <c r="AV3172" s="156"/>
      <c r="AW3172" s="156"/>
      <c r="AX3172" s="156"/>
      <c r="AY3172" s="156"/>
      <c r="AZ3172" s="156"/>
      <c r="BA3172" s="156"/>
      <c r="BB3172" s="2828"/>
      <c r="BC3172" s="452"/>
      <c r="BD3172" s="2829"/>
      <c r="BE3172" s="2837"/>
      <c r="BF3172" s="156"/>
    </row>
    <row r="3173" spans="1:58" ht="15" customHeight="1" outlineLevel="1" x14ac:dyDescent="0.35">
      <c r="A3173" s="1664"/>
      <c r="B3173" s="2812"/>
      <c r="C3173" s="3077"/>
      <c r="D3173" s="3980"/>
      <c r="E3173" s="3883"/>
      <c r="F3173" s="3984" t="str">
        <f>$E$1684</f>
        <v>ASHP-SEER20-Replace_CAC_NonElectricHeat_ER2_SF</v>
      </c>
      <c r="G3173" s="3984"/>
      <c r="H3173" s="3984"/>
      <c r="I3173" s="3984"/>
      <c r="J3173" s="3501" t="str">
        <f>$C$1684</f>
        <v>353410_2021_12_</v>
      </c>
      <c r="K3173" s="3051">
        <v>13</v>
      </c>
      <c r="L3173" s="704"/>
      <c r="M3173" s="3022" t="s">
        <v>1070</v>
      </c>
      <c r="N3173" s="106"/>
      <c r="O3173" s="106"/>
      <c r="P3173" s="702"/>
      <c r="Q3173" s="702"/>
      <c r="R3173" s="702"/>
      <c r="S3173" s="106"/>
      <c r="T3173" s="486"/>
      <c r="U3173" s="106"/>
      <c r="V3173" s="3980"/>
      <c r="W3173" s="3421"/>
      <c r="X3173" s="3421"/>
      <c r="Y3173" s="3425"/>
      <c r="Z3173" s="3425"/>
      <c r="AA3173" s="3425"/>
      <c r="AB3173" s="583"/>
      <c r="AC3173" s="2919">
        <v>13</v>
      </c>
      <c r="AD3173" s="3051">
        <v>13</v>
      </c>
      <c r="AE3173" s="3429"/>
      <c r="AF3173" s="3421"/>
      <c r="AG3173" s="3421"/>
      <c r="AH3173" s="156"/>
      <c r="AI3173" s="156"/>
      <c r="AJ3173" s="156"/>
      <c r="AK3173" s="156"/>
      <c r="AL3173" s="156"/>
      <c r="AM3173" s="156"/>
      <c r="AN3173" s="156"/>
      <c r="AO3173" s="156"/>
      <c r="AP3173" s="156"/>
      <c r="AQ3173" s="156"/>
      <c r="AR3173" s="156"/>
      <c r="AS3173" s="156"/>
      <c r="AT3173" s="156"/>
      <c r="AU3173" s="156"/>
      <c r="AV3173" s="156"/>
      <c r="AW3173" s="156"/>
      <c r="AX3173" s="156"/>
      <c r="AY3173" s="156"/>
      <c r="AZ3173" s="156"/>
      <c r="BA3173" s="156"/>
      <c r="BB3173" s="2828"/>
      <c r="BC3173" s="452"/>
      <c r="BD3173" s="2829"/>
      <c r="BE3173" s="2837"/>
      <c r="BF3173" s="156"/>
    </row>
    <row r="3174" spans="1:58" ht="15" customHeight="1" outlineLevel="1" x14ac:dyDescent="0.35">
      <c r="A3174" s="1664"/>
      <c r="B3174" s="2812"/>
      <c r="C3174" s="3077"/>
      <c r="D3174" s="3980"/>
      <c r="E3174" s="3883"/>
      <c r="F3174" s="3984" t="str">
        <f>$E$1686</f>
        <v>ASHP-SEER20-Replace_CAC_ElectricHeat_ROF_SF</v>
      </c>
      <c r="G3174" s="3984"/>
      <c r="H3174" s="3984"/>
      <c r="I3174" s="3984"/>
      <c r="J3174" s="3501" t="str">
        <f>$C$1686</f>
        <v>353450_2021_12_</v>
      </c>
      <c r="K3174" s="3051">
        <v>13</v>
      </c>
      <c r="L3174" s="704"/>
      <c r="M3174" s="3022" t="s">
        <v>1070</v>
      </c>
      <c r="N3174" s="106"/>
      <c r="O3174" s="106"/>
      <c r="P3174" s="702"/>
      <c r="Q3174" s="702"/>
      <c r="R3174" s="702"/>
      <c r="S3174" s="106"/>
      <c r="T3174" s="486"/>
      <c r="U3174" s="106"/>
      <c r="V3174" s="3980"/>
      <c r="W3174" s="3421">
        <v>13</v>
      </c>
      <c r="X3174" s="3421">
        <v>13</v>
      </c>
      <c r="Y3174" s="3425">
        <v>13</v>
      </c>
      <c r="Z3174" s="3425">
        <v>13</v>
      </c>
      <c r="AA3174" s="3425">
        <v>13</v>
      </c>
      <c r="AB3174" s="583">
        <v>13</v>
      </c>
      <c r="AC3174" s="2920">
        <v>13</v>
      </c>
      <c r="AD3174" s="3051">
        <v>13</v>
      </c>
      <c r="AE3174" s="3429"/>
      <c r="AF3174" s="3421"/>
      <c r="AG3174" s="3421"/>
      <c r="AH3174" s="156"/>
      <c r="AI3174" s="156"/>
      <c r="AJ3174" s="156"/>
      <c r="AK3174" s="156"/>
      <c r="AL3174" s="156"/>
      <c r="AM3174" s="156"/>
      <c r="AN3174" s="156"/>
      <c r="AO3174" s="156"/>
      <c r="AP3174" s="156"/>
      <c r="AQ3174" s="156"/>
      <c r="AR3174" s="156"/>
      <c r="AS3174" s="156"/>
      <c r="AT3174" s="156"/>
      <c r="AU3174" s="156"/>
      <c r="AV3174" s="156"/>
      <c r="AW3174" s="156"/>
      <c r="AX3174" s="156"/>
      <c r="AY3174" s="156"/>
      <c r="AZ3174" s="156"/>
      <c r="BA3174" s="156"/>
      <c r="BB3174" s="2828"/>
      <c r="BC3174" s="452"/>
      <c r="BD3174" s="2829"/>
      <c r="BE3174" s="2837"/>
      <c r="BF3174" s="156"/>
    </row>
    <row r="3175" spans="1:58" s="3398" customFormat="1" ht="15" customHeight="1" outlineLevel="1" x14ac:dyDescent="0.35">
      <c r="A3175" s="1664"/>
      <c r="B3175" s="2812"/>
      <c r="C3175" s="3077"/>
      <c r="D3175" s="3980"/>
      <c r="E3175" s="3883"/>
      <c r="F3175" s="4136" t="str">
        <f>$E$1688</f>
        <v>ASHP-SEER20-Replace_CAC_NonElectricHeat_ROF_SF</v>
      </c>
      <c r="G3175" s="4136"/>
      <c r="H3175" s="4136"/>
      <c r="I3175" s="4136"/>
      <c r="J3175" s="3502" t="str">
        <f>$C$1688</f>
        <v>353460_2022_12_</v>
      </c>
      <c r="K3175" s="3050">
        <v>13</v>
      </c>
      <c r="L3175" s="703"/>
      <c r="M3175" s="3024" t="s">
        <v>1070</v>
      </c>
      <c r="P3175" s="702"/>
      <c r="Q3175" s="702"/>
      <c r="R3175" s="702"/>
      <c r="T3175" s="3397"/>
      <c r="V3175" s="3980"/>
      <c r="W3175" s="3421"/>
      <c r="X3175" s="3421"/>
      <c r="Y3175" s="3425"/>
      <c r="Z3175" s="3425"/>
      <c r="AA3175" s="3425"/>
      <c r="AB3175" s="583"/>
      <c r="AC3175" s="2920"/>
      <c r="AD3175" s="3050">
        <v>13</v>
      </c>
      <c r="AE3175" s="3429"/>
      <c r="AF3175" s="3421"/>
      <c r="AG3175" s="3421"/>
      <c r="AH3175" s="156"/>
      <c r="AI3175" s="156"/>
      <c r="AJ3175" s="156"/>
      <c r="AK3175" s="156"/>
      <c r="AL3175" s="156"/>
      <c r="AM3175" s="156"/>
      <c r="AN3175" s="156"/>
      <c r="AO3175" s="156"/>
      <c r="AP3175" s="156"/>
      <c r="AQ3175" s="156"/>
      <c r="AR3175" s="156"/>
      <c r="AS3175" s="156"/>
      <c r="AT3175" s="156"/>
      <c r="AU3175" s="156"/>
      <c r="AV3175" s="156"/>
      <c r="AW3175" s="156"/>
      <c r="AX3175" s="156"/>
      <c r="AY3175" s="156"/>
      <c r="AZ3175" s="156"/>
      <c r="BA3175" s="156"/>
      <c r="BB3175" s="2828"/>
      <c r="BC3175" s="452"/>
      <c r="BD3175" s="2829"/>
      <c r="BE3175" s="2837"/>
      <c r="BF3175" s="156"/>
    </row>
    <row r="3176" spans="1:58" ht="15" customHeight="1" outlineLevel="1" x14ac:dyDescent="0.35">
      <c r="A3176" s="1664"/>
      <c r="B3176" s="2812"/>
      <c r="C3176" s="3077"/>
      <c r="D3176" s="3980"/>
      <c r="E3176" s="3883"/>
      <c r="F3176" s="3984" t="str">
        <f>$E$1690</f>
        <v>ASHP-SEER20-Replace_CAC_ElectricHeat_ROF_MF</v>
      </c>
      <c r="G3176" s="3984"/>
      <c r="H3176" s="3984"/>
      <c r="I3176" s="3984"/>
      <c r="J3176" s="3501" t="str">
        <f>$C$1690</f>
        <v>353500_2019_12_</v>
      </c>
      <c r="K3176" s="3051">
        <v>13</v>
      </c>
      <c r="L3176" s="704"/>
      <c r="M3176" s="3022" t="s">
        <v>1070</v>
      </c>
      <c r="N3176" s="106"/>
      <c r="O3176" s="106"/>
      <c r="P3176" s="702"/>
      <c r="Q3176" s="702"/>
      <c r="R3176" s="702"/>
      <c r="S3176" s="106"/>
      <c r="T3176" s="486"/>
      <c r="U3176" s="106"/>
      <c r="V3176" s="3980"/>
      <c r="W3176" s="3421">
        <v>13</v>
      </c>
      <c r="X3176" s="3421">
        <v>13</v>
      </c>
      <c r="Y3176" s="3425">
        <v>13</v>
      </c>
      <c r="Z3176" s="3425">
        <v>13</v>
      </c>
      <c r="AA3176" s="3425">
        <v>13</v>
      </c>
      <c r="AB3176" s="583">
        <v>13</v>
      </c>
      <c r="AC3176" s="2920">
        <v>13</v>
      </c>
      <c r="AD3176" s="3051">
        <v>13</v>
      </c>
      <c r="AE3176" s="3429"/>
      <c r="AF3176" s="3421"/>
      <c r="AG3176" s="3421"/>
      <c r="AH3176" s="156"/>
      <c r="AI3176" s="156"/>
      <c r="AJ3176" s="156"/>
      <c r="AK3176" s="156"/>
      <c r="AL3176" s="156"/>
      <c r="AM3176" s="156"/>
      <c r="AN3176" s="156"/>
      <c r="AO3176" s="156"/>
      <c r="AP3176" s="156"/>
      <c r="AQ3176" s="156"/>
      <c r="AR3176" s="156"/>
      <c r="AS3176" s="156"/>
      <c r="AT3176" s="156"/>
      <c r="AU3176" s="156"/>
      <c r="AV3176" s="156"/>
      <c r="AW3176" s="156"/>
      <c r="AX3176" s="156"/>
      <c r="AY3176" s="156"/>
      <c r="AZ3176" s="156"/>
      <c r="BA3176" s="156"/>
      <c r="BB3176" s="2828"/>
      <c r="BC3176" s="452"/>
      <c r="BD3176" s="2829"/>
      <c r="BE3176" s="2837"/>
      <c r="BF3176" s="156"/>
    </row>
    <row r="3177" spans="1:58" ht="15" customHeight="1" outlineLevel="1" x14ac:dyDescent="0.35">
      <c r="A3177" s="1664"/>
      <c r="B3177" s="2812"/>
      <c r="C3177" s="3077"/>
      <c r="D3177" s="3980"/>
      <c r="E3177" s="3883"/>
      <c r="F3177" s="3984" t="str">
        <f>$E$1692</f>
        <v>ASHP-SEER20-Replace_CAC_ElectricHeat_ROF_MF_CompE</v>
      </c>
      <c r="G3177" s="3984"/>
      <c r="H3177" s="3984"/>
      <c r="I3177" s="3984"/>
      <c r="J3177" s="3501" t="str">
        <f>$C$1692</f>
        <v>353501_2019_12_</v>
      </c>
      <c r="K3177" s="3051">
        <v>13</v>
      </c>
      <c r="L3177" s="704"/>
      <c r="M3177" s="3022" t="s">
        <v>1070</v>
      </c>
      <c r="N3177" s="106"/>
      <c r="O3177" s="106"/>
      <c r="P3177" s="702"/>
      <c r="Q3177" s="702"/>
      <c r="R3177" s="702"/>
      <c r="S3177" s="106"/>
      <c r="T3177" s="486"/>
      <c r="U3177" s="106"/>
      <c r="V3177" s="3980"/>
      <c r="W3177" s="3421"/>
      <c r="X3177" s="3421"/>
      <c r="Y3177" s="2377">
        <v>13</v>
      </c>
      <c r="Z3177" s="3425">
        <v>13</v>
      </c>
      <c r="AA3177" s="3425">
        <v>13</v>
      </c>
      <c r="AB3177" s="583">
        <v>13</v>
      </c>
      <c r="AC3177" s="2920">
        <v>13</v>
      </c>
      <c r="AD3177" s="3051">
        <v>13</v>
      </c>
      <c r="AE3177" s="3429"/>
      <c r="AF3177" s="3421"/>
      <c r="AG3177" s="3421"/>
      <c r="AH3177" s="156"/>
      <c r="AI3177" s="156"/>
      <c r="AJ3177" s="156"/>
      <c r="AK3177" s="156"/>
      <c r="AL3177" s="156"/>
      <c r="AM3177" s="156"/>
      <c r="AN3177" s="156"/>
      <c r="AO3177" s="156"/>
      <c r="AP3177" s="156"/>
      <c r="AQ3177" s="156"/>
      <c r="AR3177" s="156"/>
      <c r="AS3177" s="156"/>
      <c r="AT3177" s="156"/>
      <c r="AU3177" s="156"/>
      <c r="AV3177" s="156"/>
      <c r="AW3177" s="156"/>
      <c r="AX3177" s="156"/>
      <c r="AY3177" s="156"/>
      <c r="AZ3177" s="156"/>
      <c r="BA3177" s="156"/>
      <c r="BB3177" s="2828"/>
      <c r="BC3177" s="452"/>
      <c r="BD3177" s="2829"/>
      <c r="BE3177" s="2837"/>
      <c r="BF3177" s="156"/>
    </row>
    <row r="3178" spans="1:58" ht="15" customHeight="1" outlineLevel="1" x14ac:dyDescent="0.35">
      <c r="A3178" s="1664"/>
      <c r="B3178" s="2812"/>
      <c r="C3178" s="3077"/>
      <c r="D3178" s="3980"/>
      <c r="E3178" s="3883"/>
      <c r="F3178" s="3984" t="str">
        <f>$E$1694</f>
        <v>ASHP-SEER20-Replace_CAC_NonElectricHeat_ROF_MF</v>
      </c>
      <c r="G3178" s="3984"/>
      <c r="H3178" s="3984"/>
      <c r="I3178" s="3984"/>
      <c r="J3178" s="3501" t="str">
        <f>$C$1694</f>
        <v>353510_2021_12_</v>
      </c>
      <c r="K3178" s="3051">
        <v>13</v>
      </c>
      <c r="L3178" s="704"/>
      <c r="M3178" s="3022" t="s">
        <v>1070</v>
      </c>
      <c r="N3178" s="106"/>
      <c r="O3178" s="106"/>
      <c r="P3178" s="702"/>
      <c r="Q3178" s="702"/>
      <c r="R3178" s="702"/>
      <c r="S3178" s="106"/>
      <c r="T3178" s="486"/>
      <c r="U3178" s="106"/>
      <c r="V3178" s="3980"/>
      <c r="W3178" s="3421"/>
      <c r="X3178" s="3421"/>
      <c r="Y3178" s="2377"/>
      <c r="Z3178" s="3425"/>
      <c r="AA3178" s="3425"/>
      <c r="AB3178" s="583"/>
      <c r="AC3178" s="2919">
        <v>13</v>
      </c>
      <c r="AD3178" s="3051">
        <v>13</v>
      </c>
      <c r="AE3178" s="3429"/>
      <c r="AF3178" s="3421"/>
      <c r="AG3178" s="3421"/>
      <c r="AH3178" s="156"/>
      <c r="AI3178" s="156"/>
      <c r="AJ3178" s="156"/>
      <c r="AK3178" s="156"/>
      <c r="AL3178" s="156"/>
      <c r="AM3178" s="156"/>
      <c r="AN3178" s="156"/>
      <c r="AO3178" s="156"/>
      <c r="AP3178" s="156"/>
      <c r="AQ3178" s="156"/>
      <c r="AR3178" s="156"/>
      <c r="AS3178" s="156"/>
      <c r="AT3178" s="156"/>
      <c r="AU3178" s="156"/>
      <c r="AV3178" s="156"/>
      <c r="AW3178" s="156"/>
      <c r="AX3178" s="156"/>
      <c r="AY3178" s="156"/>
      <c r="AZ3178" s="156"/>
      <c r="BA3178" s="156"/>
      <c r="BB3178" s="2828"/>
      <c r="BC3178" s="452"/>
      <c r="BD3178" s="2829"/>
      <c r="BE3178" s="2837"/>
      <c r="BF3178" s="156"/>
    </row>
    <row r="3179" spans="1:58" ht="15" customHeight="1" outlineLevel="1" x14ac:dyDescent="0.35">
      <c r="A3179" s="1664"/>
      <c r="B3179" s="2812"/>
      <c r="C3179" s="3077"/>
      <c r="D3179" s="3980"/>
      <c r="E3179" s="3883"/>
      <c r="F3179" s="3984" t="str">
        <f>$E$1696</f>
        <v>ASHP-SEER20-Replace_CAC_NonElectricHeat_ROF_MF_CompE</v>
      </c>
      <c r="G3179" s="3984"/>
      <c r="H3179" s="3984"/>
      <c r="I3179" s="3984"/>
      <c r="J3179" s="3501" t="str">
        <f>$C$1696</f>
        <v>353511_2021_12_</v>
      </c>
      <c r="K3179" s="3051">
        <v>13</v>
      </c>
      <c r="L3179" s="704"/>
      <c r="M3179" s="3022" t="s">
        <v>1070</v>
      </c>
      <c r="N3179" s="106"/>
      <c r="O3179" s="106"/>
      <c r="P3179" s="702"/>
      <c r="Q3179" s="702"/>
      <c r="R3179" s="702"/>
      <c r="S3179" s="106"/>
      <c r="T3179" s="486"/>
      <c r="U3179" s="106"/>
      <c r="V3179" s="3980"/>
      <c r="W3179" s="3421"/>
      <c r="X3179" s="3421"/>
      <c r="Y3179" s="2377"/>
      <c r="Z3179" s="3425"/>
      <c r="AA3179" s="3425"/>
      <c r="AB3179" s="583"/>
      <c r="AC3179" s="2919">
        <v>13</v>
      </c>
      <c r="AD3179" s="3051">
        <v>13</v>
      </c>
      <c r="AE3179" s="3429"/>
      <c r="AF3179" s="3421"/>
      <c r="AG3179" s="3421"/>
      <c r="AH3179" s="156"/>
      <c r="AI3179" s="156"/>
      <c r="AJ3179" s="156"/>
      <c r="AK3179" s="156"/>
      <c r="AL3179" s="156"/>
      <c r="AM3179" s="156"/>
      <c r="AN3179" s="156"/>
      <c r="AO3179" s="156"/>
      <c r="AP3179" s="156"/>
      <c r="AQ3179" s="156"/>
      <c r="AR3179" s="156"/>
      <c r="AS3179" s="156"/>
      <c r="AT3179" s="156"/>
      <c r="AU3179" s="156"/>
      <c r="AV3179" s="156"/>
      <c r="AW3179" s="156"/>
      <c r="AX3179" s="156"/>
      <c r="AY3179" s="156"/>
      <c r="AZ3179" s="156"/>
      <c r="BA3179" s="156"/>
      <c r="BB3179" s="2828"/>
      <c r="BC3179" s="452"/>
      <c r="BD3179" s="2829"/>
      <c r="BE3179" s="2837"/>
      <c r="BF3179" s="156"/>
    </row>
    <row r="3180" spans="1:58" ht="15" customHeight="1" outlineLevel="1" x14ac:dyDescent="0.35">
      <c r="A3180" s="1664"/>
      <c r="B3180" s="2812"/>
      <c r="C3180" s="3077"/>
      <c r="D3180" s="3980"/>
      <c r="E3180" s="3883"/>
      <c r="F3180" s="3984" t="str">
        <f>$E$1698</f>
        <v>ASHP-SEER21-Replace_CAC_ElectricHeat_ER1_SF</v>
      </c>
      <c r="G3180" s="3984"/>
      <c r="H3180" s="3984"/>
      <c r="I3180" s="3984"/>
      <c r="J3180" s="3501" t="str">
        <f>$C$1698</f>
        <v>353550_2021_12_</v>
      </c>
      <c r="K3180" s="3050">
        <v>7.6464902009468165</v>
      </c>
      <c r="L3180" s="704"/>
      <c r="M3180" s="3024" t="s">
        <v>4360</v>
      </c>
      <c r="N3180" s="106"/>
      <c r="O3180" s="106"/>
      <c r="P3180" s="702"/>
      <c r="Q3180" s="574"/>
      <c r="R3180" s="702"/>
      <c r="S3180" s="106"/>
      <c r="T3180" s="486"/>
      <c r="U3180" s="106"/>
      <c r="V3180" s="3980"/>
      <c r="W3180" s="3421">
        <v>6.8</v>
      </c>
      <c r="X3180" s="2374">
        <v>8.33</v>
      </c>
      <c r="Y3180" s="3425">
        <v>8.33</v>
      </c>
      <c r="Z3180" s="3425">
        <v>8.33</v>
      </c>
      <c r="AA3180" s="3425">
        <v>8.33</v>
      </c>
      <c r="AB3180" s="583">
        <v>8.33</v>
      </c>
      <c r="AC3180" s="2919">
        <v>8.4603597630441261</v>
      </c>
      <c r="AD3180" s="3050">
        <v>7.6464902009468165</v>
      </c>
      <c r="AE3180" s="3429"/>
      <c r="AF3180" s="3421"/>
      <c r="AG3180" s="3421"/>
      <c r="AH3180" s="156"/>
      <c r="AI3180" s="156"/>
      <c r="AJ3180" s="156"/>
      <c r="AK3180" s="156"/>
      <c r="AL3180" s="156"/>
      <c r="AM3180" s="156"/>
      <c r="AN3180" s="156"/>
      <c r="AO3180" s="156"/>
      <c r="AP3180" s="156"/>
      <c r="AQ3180" s="156"/>
      <c r="AR3180" s="156"/>
      <c r="AS3180" s="156"/>
      <c r="AT3180" s="156"/>
      <c r="AU3180" s="156"/>
      <c r="AV3180" s="156"/>
      <c r="AW3180" s="156"/>
      <c r="AX3180" s="156"/>
      <c r="AY3180" s="156"/>
      <c r="AZ3180" s="156"/>
      <c r="BA3180" s="156"/>
      <c r="BB3180" s="2828"/>
      <c r="BC3180" s="452"/>
      <c r="BD3180" s="2829"/>
      <c r="BE3180" s="2837"/>
      <c r="BF3180" s="156"/>
    </row>
    <row r="3181" spans="1:58" ht="15" customHeight="1" outlineLevel="1" x14ac:dyDescent="0.35">
      <c r="A3181" s="1664"/>
      <c r="B3181" s="2812"/>
      <c r="C3181" s="3077"/>
      <c r="D3181" s="3980"/>
      <c r="E3181" s="3883"/>
      <c r="F3181" s="3984" t="str">
        <f>$E$1700</f>
        <v>ASHP-SEER21-Replace_CAC_ElectricHeat_ER2_SF</v>
      </c>
      <c r="G3181" s="3984"/>
      <c r="H3181" s="3984"/>
      <c r="I3181" s="3984"/>
      <c r="J3181" s="3501" t="str">
        <f>$C$1700</f>
        <v>353550_2021_12_</v>
      </c>
      <c r="K3181" s="3051">
        <v>13</v>
      </c>
      <c r="L3181" s="704"/>
      <c r="M3181" s="3022" t="s">
        <v>1070</v>
      </c>
      <c r="N3181" s="106"/>
      <c r="O3181" s="106"/>
      <c r="P3181" s="702"/>
      <c r="Q3181" s="574"/>
      <c r="R3181" s="702"/>
      <c r="S3181" s="106"/>
      <c r="T3181" s="486"/>
      <c r="U3181" s="106"/>
      <c r="V3181" s="3980"/>
      <c r="W3181" s="3421">
        <v>13</v>
      </c>
      <c r="X3181" s="3421">
        <v>13</v>
      </c>
      <c r="Y3181" s="3425">
        <v>13</v>
      </c>
      <c r="Z3181" s="3425">
        <v>13</v>
      </c>
      <c r="AA3181" s="3425">
        <v>13</v>
      </c>
      <c r="AB3181" s="583">
        <v>13</v>
      </c>
      <c r="AC3181" s="2920">
        <v>13</v>
      </c>
      <c r="AD3181" s="3051">
        <v>13</v>
      </c>
      <c r="AE3181" s="3429"/>
      <c r="AF3181" s="3421"/>
      <c r="AG3181" s="3421"/>
      <c r="AH3181" s="156"/>
      <c r="AI3181" s="156"/>
      <c r="AJ3181" s="156"/>
      <c r="AK3181" s="156"/>
      <c r="AL3181" s="156"/>
      <c r="AM3181" s="156"/>
      <c r="AN3181" s="156"/>
      <c r="AO3181" s="156"/>
      <c r="AP3181" s="156"/>
      <c r="AQ3181" s="156"/>
      <c r="AR3181" s="156"/>
      <c r="AS3181" s="156"/>
      <c r="AT3181" s="156"/>
      <c r="AU3181" s="156"/>
      <c r="AV3181" s="156"/>
      <c r="AW3181" s="156"/>
      <c r="AX3181" s="156"/>
      <c r="AY3181" s="156"/>
      <c r="AZ3181" s="156"/>
      <c r="BA3181" s="156"/>
      <c r="BB3181" s="2828"/>
      <c r="BC3181" s="452"/>
      <c r="BD3181" s="2829"/>
      <c r="BE3181" s="2837"/>
      <c r="BF3181" s="156"/>
    </row>
    <row r="3182" spans="1:58" ht="15" customHeight="1" outlineLevel="1" x14ac:dyDescent="0.35">
      <c r="A3182" s="1664"/>
      <c r="B3182" s="2812"/>
      <c r="C3182" s="3077"/>
      <c r="D3182" s="3980"/>
      <c r="E3182" s="3883"/>
      <c r="F3182" s="3984" t="str">
        <f>$E$1702</f>
        <v>ASHP-SEER21-Replace_CAC_NonElectricHeat_ER1_SF</v>
      </c>
      <c r="G3182" s="3984"/>
      <c r="H3182" s="3984"/>
      <c r="I3182" s="3984"/>
      <c r="J3182" s="3501" t="str">
        <f>$C$1702</f>
        <v>353560_2021_12_</v>
      </c>
      <c r="K3182" s="3050">
        <v>7.6464902009468165</v>
      </c>
      <c r="L3182" s="704"/>
      <c r="M3182" s="3022" t="s">
        <v>1083</v>
      </c>
      <c r="N3182" s="106"/>
      <c r="O3182" s="106"/>
      <c r="P3182" s="702"/>
      <c r="Q3182" s="574"/>
      <c r="R3182" s="702"/>
      <c r="S3182" s="106"/>
      <c r="T3182" s="486"/>
      <c r="U3182" s="106"/>
      <c r="V3182" s="3980"/>
      <c r="W3182" s="3421"/>
      <c r="X3182" s="3421"/>
      <c r="Y3182" s="3425"/>
      <c r="Z3182" s="3425"/>
      <c r="AA3182" s="3425"/>
      <c r="AB3182" s="583"/>
      <c r="AC3182" s="2919">
        <v>8.4603597630441261</v>
      </c>
      <c r="AD3182" s="3050">
        <v>7.6464902009468165</v>
      </c>
      <c r="AE3182" s="3429"/>
      <c r="AF3182" s="3421"/>
      <c r="AG3182" s="3421"/>
      <c r="AH3182" s="156"/>
      <c r="AI3182" s="156"/>
      <c r="AJ3182" s="156"/>
      <c r="AK3182" s="156"/>
      <c r="AL3182" s="156"/>
      <c r="AM3182" s="156"/>
      <c r="AN3182" s="156"/>
      <c r="AO3182" s="156"/>
      <c r="AP3182" s="156"/>
      <c r="AQ3182" s="156"/>
      <c r="AR3182" s="156"/>
      <c r="AS3182" s="156"/>
      <c r="AT3182" s="156"/>
      <c r="AU3182" s="156"/>
      <c r="AV3182" s="156"/>
      <c r="AW3182" s="156"/>
      <c r="AX3182" s="156"/>
      <c r="AY3182" s="156"/>
      <c r="AZ3182" s="156"/>
      <c r="BA3182" s="156"/>
      <c r="BB3182" s="2828"/>
      <c r="BC3182" s="452"/>
      <c r="BD3182" s="2829"/>
      <c r="BE3182" s="2837"/>
      <c r="BF3182" s="156"/>
    </row>
    <row r="3183" spans="1:58" ht="15" customHeight="1" outlineLevel="1" x14ac:dyDescent="0.35">
      <c r="A3183" s="1664"/>
      <c r="B3183" s="2812"/>
      <c r="C3183" s="3077"/>
      <c r="D3183" s="3980"/>
      <c r="E3183" s="3883"/>
      <c r="F3183" s="3984" t="str">
        <f>$E$1704</f>
        <v>ASHP-SEER21-Replace_CAC_NonElectricHeat_ER2_SF</v>
      </c>
      <c r="G3183" s="3984"/>
      <c r="H3183" s="3984"/>
      <c r="I3183" s="3984"/>
      <c r="J3183" s="3501" t="str">
        <f>$C$1704</f>
        <v>353560_2021_12_</v>
      </c>
      <c r="K3183" s="3051">
        <v>13</v>
      </c>
      <c r="L3183" s="704"/>
      <c r="M3183" s="3022" t="s">
        <v>1070</v>
      </c>
      <c r="N3183" s="106"/>
      <c r="O3183" s="106"/>
      <c r="P3183" s="702"/>
      <c r="Q3183" s="574"/>
      <c r="R3183" s="702"/>
      <c r="S3183" s="106"/>
      <c r="T3183" s="486"/>
      <c r="U3183" s="106"/>
      <c r="V3183" s="3980"/>
      <c r="W3183" s="3421"/>
      <c r="X3183" s="3421"/>
      <c r="Y3183" s="3425"/>
      <c r="Z3183" s="3425"/>
      <c r="AA3183" s="3425"/>
      <c r="AB3183" s="583"/>
      <c r="AC3183" s="2919">
        <v>13</v>
      </c>
      <c r="AD3183" s="3051">
        <v>13</v>
      </c>
      <c r="AE3183" s="3429"/>
      <c r="AF3183" s="3421"/>
      <c r="AG3183" s="3421"/>
      <c r="AH3183" s="156"/>
      <c r="AI3183" s="156"/>
      <c r="AJ3183" s="156"/>
      <c r="AK3183" s="156"/>
      <c r="AL3183" s="156"/>
      <c r="AM3183" s="156"/>
      <c r="AN3183" s="156"/>
      <c r="AO3183" s="156"/>
      <c r="AP3183" s="156"/>
      <c r="AQ3183" s="156"/>
      <c r="AR3183" s="156"/>
      <c r="AS3183" s="156"/>
      <c r="AT3183" s="156"/>
      <c r="AU3183" s="156"/>
      <c r="AV3183" s="156"/>
      <c r="AW3183" s="156"/>
      <c r="AX3183" s="156"/>
      <c r="AY3183" s="156"/>
      <c r="AZ3183" s="156"/>
      <c r="BA3183" s="156"/>
      <c r="BB3183" s="2828"/>
      <c r="BC3183" s="452"/>
      <c r="BD3183" s="2829"/>
      <c r="BE3183" s="2837"/>
      <c r="BF3183" s="156"/>
    </row>
    <row r="3184" spans="1:58" ht="15" customHeight="1" outlineLevel="1" x14ac:dyDescent="0.35">
      <c r="A3184" s="1664"/>
      <c r="B3184" s="2812"/>
      <c r="C3184" s="3077"/>
      <c r="D3184" s="3980"/>
      <c r="E3184" s="3883"/>
      <c r="F3184" s="3984" t="str">
        <f>$E$1706</f>
        <v>ASHP-SEER21-Replace_CAC_ElectricHeat_ER1_MF</v>
      </c>
      <c r="G3184" s="3984"/>
      <c r="H3184" s="3984"/>
      <c r="I3184" s="3984"/>
      <c r="J3184" s="3501" t="str">
        <f>$C$1706</f>
        <v>353600_2019_12_</v>
      </c>
      <c r="K3184" s="3051">
        <v>8.33</v>
      </c>
      <c r="L3184" s="704"/>
      <c r="M3184" s="3022" t="s">
        <v>1070</v>
      </c>
      <c r="N3184" s="106"/>
      <c r="O3184" s="106"/>
      <c r="P3184" s="702"/>
      <c r="Q3184" s="574"/>
      <c r="R3184" s="702"/>
      <c r="S3184" s="106"/>
      <c r="T3184" s="486"/>
      <c r="U3184" s="106"/>
      <c r="V3184" s="3980"/>
      <c r="W3184" s="3421">
        <v>6.8</v>
      </c>
      <c r="X3184" s="2374">
        <v>8.33</v>
      </c>
      <c r="Y3184" s="3425">
        <v>8.33</v>
      </c>
      <c r="Z3184" s="3425">
        <v>8.33</v>
      </c>
      <c r="AA3184" s="3425">
        <v>8.33</v>
      </c>
      <c r="AB3184" s="583">
        <v>8.33</v>
      </c>
      <c r="AC3184" s="2920">
        <v>8.33</v>
      </c>
      <c r="AD3184" s="3051">
        <v>8.33</v>
      </c>
      <c r="AE3184" s="3429"/>
      <c r="AF3184" s="3421"/>
      <c r="AG3184" s="3421"/>
      <c r="AH3184" s="156"/>
      <c r="AI3184" s="156"/>
      <c r="AJ3184" s="156"/>
      <c r="AK3184" s="156"/>
      <c r="AL3184" s="156"/>
      <c r="AM3184" s="156"/>
      <c r="AN3184" s="156"/>
      <c r="AO3184" s="156"/>
      <c r="AP3184" s="156"/>
      <c r="AQ3184" s="156"/>
      <c r="AR3184" s="156"/>
      <c r="AS3184" s="156"/>
      <c r="AT3184" s="156"/>
      <c r="AU3184" s="156"/>
      <c r="AV3184" s="156"/>
      <c r="AW3184" s="156"/>
      <c r="AX3184" s="156"/>
      <c r="AY3184" s="156"/>
      <c r="AZ3184" s="156"/>
      <c r="BA3184" s="156"/>
      <c r="BB3184" s="2828"/>
      <c r="BC3184" s="452"/>
      <c r="BD3184" s="2829"/>
      <c r="BE3184" s="2837"/>
      <c r="BF3184" s="156"/>
    </row>
    <row r="3185" spans="1:58" ht="15" customHeight="1" outlineLevel="1" x14ac:dyDescent="0.35">
      <c r="A3185" s="1664"/>
      <c r="B3185" s="2812"/>
      <c r="C3185" s="3077"/>
      <c r="D3185" s="3980"/>
      <c r="E3185" s="3883"/>
      <c r="F3185" s="3984" t="str">
        <f>$E$1708</f>
        <v>ASHP-SEER21-Replace_CAC_ElectricHeat_ER2_MF</v>
      </c>
      <c r="G3185" s="3984"/>
      <c r="H3185" s="3984"/>
      <c r="I3185" s="3984"/>
      <c r="J3185" s="3501" t="str">
        <f>$C$1708</f>
        <v>353600_2019_12_</v>
      </c>
      <c r="K3185" s="3051">
        <v>13</v>
      </c>
      <c r="L3185" s="704"/>
      <c r="M3185" s="3022" t="s">
        <v>1070</v>
      </c>
      <c r="N3185" s="106"/>
      <c r="O3185" s="106"/>
      <c r="P3185" s="702"/>
      <c r="Q3185" s="574"/>
      <c r="R3185" s="702"/>
      <c r="S3185" s="106"/>
      <c r="T3185" s="486"/>
      <c r="U3185" s="106"/>
      <c r="V3185" s="3980"/>
      <c r="W3185" s="3421">
        <v>13</v>
      </c>
      <c r="X3185" s="3421">
        <v>13</v>
      </c>
      <c r="Y3185" s="3425">
        <v>13</v>
      </c>
      <c r="Z3185" s="3425">
        <v>13</v>
      </c>
      <c r="AA3185" s="3425">
        <v>13</v>
      </c>
      <c r="AB3185" s="583">
        <v>13</v>
      </c>
      <c r="AC3185" s="2920">
        <v>13</v>
      </c>
      <c r="AD3185" s="3051">
        <v>13</v>
      </c>
      <c r="AE3185" s="3429"/>
      <c r="AF3185" s="3421"/>
      <c r="AG3185" s="3421"/>
      <c r="AH3185" s="156"/>
      <c r="AI3185" s="156"/>
      <c r="AJ3185" s="156"/>
      <c r="AK3185" s="156"/>
      <c r="AL3185" s="156"/>
      <c r="AM3185" s="156"/>
      <c r="AN3185" s="156"/>
      <c r="AO3185" s="156"/>
      <c r="AP3185" s="156"/>
      <c r="AQ3185" s="156"/>
      <c r="AR3185" s="156"/>
      <c r="AS3185" s="156"/>
      <c r="AT3185" s="156"/>
      <c r="AU3185" s="156"/>
      <c r="AV3185" s="156"/>
      <c r="AW3185" s="156"/>
      <c r="AX3185" s="156"/>
      <c r="AY3185" s="156"/>
      <c r="AZ3185" s="156"/>
      <c r="BA3185" s="156"/>
      <c r="BB3185" s="2828"/>
      <c r="BC3185" s="452"/>
      <c r="BD3185" s="2829"/>
      <c r="BE3185" s="2837"/>
      <c r="BF3185" s="156"/>
    </row>
    <row r="3186" spans="1:58" ht="15" customHeight="1" outlineLevel="1" x14ac:dyDescent="0.35">
      <c r="A3186" s="1664"/>
      <c r="B3186" s="2812"/>
      <c r="C3186" s="3077"/>
      <c r="D3186" s="3980"/>
      <c r="E3186" s="3883"/>
      <c r="F3186" s="3984" t="str">
        <f>$E$1710</f>
        <v>ASHP-SEER21-Replace_CAC_ElectricHeat_ER1_MF_CompE</v>
      </c>
      <c r="G3186" s="3984"/>
      <c r="H3186" s="3984"/>
      <c r="I3186" s="3984"/>
      <c r="J3186" s="3501" t="str">
        <f>$C$1710</f>
        <v>353601_2019_12_</v>
      </c>
      <c r="K3186" s="3051">
        <v>8.33</v>
      </c>
      <c r="L3186" s="704"/>
      <c r="M3186" s="3022" t="s">
        <v>1070</v>
      </c>
      <c r="N3186" s="106"/>
      <c r="O3186" s="106"/>
      <c r="P3186" s="702"/>
      <c r="Q3186" s="574"/>
      <c r="R3186" s="702"/>
      <c r="S3186" s="106"/>
      <c r="T3186" s="486"/>
      <c r="U3186" s="106"/>
      <c r="V3186" s="3980"/>
      <c r="W3186" s="3421"/>
      <c r="X3186" s="3421"/>
      <c r="Y3186" s="2377">
        <v>8.33</v>
      </c>
      <c r="Z3186" s="3425">
        <v>8.33</v>
      </c>
      <c r="AA3186" s="3425">
        <v>8.33</v>
      </c>
      <c r="AB3186" s="583">
        <v>8.33</v>
      </c>
      <c r="AC3186" s="2920">
        <v>8.33</v>
      </c>
      <c r="AD3186" s="3051">
        <v>8.33</v>
      </c>
      <c r="AE3186" s="3429"/>
      <c r="AF3186" s="3421"/>
      <c r="AG3186" s="3421"/>
      <c r="AH3186" s="156"/>
      <c r="AI3186" s="156"/>
      <c r="AJ3186" s="156"/>
      <c r="AK3186" s="156"/>
      <c r="AL3186" s="156"/>
      <c r="AM3186" s="156"/>
      <c r="AN3186" s="156"/>
      <c r="AO3186" s="156"/>
      <c r="AP3186" s="156"/>
      <c r="AQ3186" s="156"/>
      <c r="AR3186" s="156"/>
      <c r="AS3186" s="156"/>
      <c r="AT3186" s="156"/>
      <c r="AU3186" s="156"/>
      <c r="AV3186" s="156"/>
      <c r="AW3186" s="156"/>
      <c r="AX3186" s="156"/>
      <c r="AY3186" s="156"/>
      <c r="AZ3186" s="156"/>
      <c r="BA3186" s="156"/>
      <c r="BB3186" s="2828"/>
      <c r="BC3186" s="452"/>
      <c r="BD3186" s="2829"/>
      <c r="BE3186" s="2837"/>
      <c r="BF3186" s="156"/>
    </row>
    <row r="3187" spans="1:58" ht="15" customHeight="1" outlineLevel="1" x14ac:dyDescent="0.35">
      <c r="A3187" s="1664"/>
      <c r="B3187" s="2812"/>
      <c r="C3187" s="3077"/>
      <c r="D3187" s="3980"/>
      <c r="E3187" s="3883"/>
      <c r="F3187" s="3984" t="str">
        <f>$E$1712</f>
        <v>ASHP-SEER21-Replace_CAC_ElectricHeat_ER2_MF_CompE</v>
      </c>
      <c r="G3187" s="3984"/>
      <c r="H3187" s="3984"/>
      <c r="I3187" s="3984"/>
      <c r="J3187" s="3501" t="str">
        <f>$C$1712</f>
        <v>353601_2019_12_</v>
      </c>
      <c r="K3187" s="3051">
        <v>13</v>
      </c>
      <c r="L3187" s="704"/>
      <c r="M3187" s="3022" t="s">
        <v>1070</v>
      </c>
      <c r="N3187" s="106"/>
      <c r="O3187" s="106"/>
      <c r="P3187" s="702"/>
      <c r="Q3187" s="574"/>
      <c r="R3187" s="702"/>
      <c r="S3187" s="106"/>
      <c r="T3187" s="486"/>
      <c r="U3187" s="106"/>
      <c r="V3187" s="3980"/>
      <c r="W3187" s="3421"/>
      <c r="X3187" s="3421"/>
      <c r="Y3187" s="2377">
        <v>13</v>
      </c>
      <c r="Z3187" s="3425">
        <v>13</v>
      </c>
      <c r="AA3187" s="3425">
        <v>13</v>
      </c>
      <c r="AB3187" s="583">
        <v>13</v>
      </c>
      <c r="AC3187" s="2920">
        <v>13</v>
      </c>
      <c r="AD3187" s="3051">
        <v>13</v>
      </c>
      <c r="AE3187" s="3429"/>
      <c r="AF3187" s="3421"/>
      <c r="AG3187" s="3421"/>
      <c r="AH3187" s="156"/>
      <c r="AI3187" s="156"/>
      <c r="AJ3187" s="156"/>
      <c r="AK3187" s="156"/>
      <c r="AL3187" s="156"/>
      <c r="AM3187" s="156"/>
      <c r="AN3187" s="156"/>
      <c r="AO3187" s="156"/>
      <c r="AP3187" s="156"/>
      <c r="AQ3187" s="156"/>
      <c r="AR3187" s="156"/>
      <c r="AS3187" s="156"/>
      <c r="AT3187" s="156"/>
      <c r="AU3187" s="156"/>
      <c r="AV3187" s="156"/>
      <c r="AW3187" s="156"/>
      <c r="AX3187" s="156"/>
      <c r="AY3187" s="156"/>
      <c r="AZ3187" s="156"/>
      <c r="BA3187" s="156"/>
      <c r="BB3187" s="2828"/>
      <c r="BC3187" s="452"/>
      <c r="BD3187" s="2829"/>
      <c r="BE3187" s="2837"/>
      <c r="BF3187" s="156"/>
    </row>
    <row r="3188" spans="1:58" ht="15" customHeight="1" outlineLevel="1" x14ac:dyDescent="0.35">
      <c r="A3188" s="1664"/>
      <c r="B3188" s="2812"/>
      <c r="C3188" s="3077"/>
      <c r="D3188" s="3980"/>
      <c r="E3188" s="3883"/>
      <c r="F3188" s="3984" t="str">
        <f>$E$1714</f>
        <v>ASHP-SEER21-Replace_CAC_NonElectricHeat_ER1_MF</v>
      </c>
      <c r="G3188" s="3984"/>
      <c r="H3188" s="3984"/>
      <c r="I3188" s="3984"/>
      <c r="J3188" s="3501" t="str">
        <f>$C$1714</f>
        <v>353610_2021_12_</v>
      </c>
      <c r="K3188" s="3051">
        <v>8.33</v>
      </c>
      <c r="L3188" s="704"/>
      <c r="M3188" s="3022" t="s">
        <v>1083</v>
      </c>
      <c r="N3188" s="106"/>
      <c r="O3188" s="106"/>
      <c r="P3188" s="702"/>
      <c r="Q3188" s="574"/>
      <c r="R3188" s="702"/>
      <c r="S3188" s="106"/>
      <c r="T3188" s="486"/>
      <c r="U3188" s="106"/>
      <c r="V3188" s="3980"/>
      <c r="W3188" s="3421"/>
      <c r="X3188" s="3421"/>
      <c r="Y3188" s="2377"/>
      <c r="Z3188" s="3425"/>
      <c r="AA3188" s="3425"/>
      <c r="AB3188" s="583"/>
      <c r="AC3188" s="2919">
        <v>8.33</v>
      </c>
      <c r="AD3188" s="3051">
        <v>8.33</v>
      </c>
      <c r="AE3188" s="3429"/>
      <c r="AF3188" s="3421"/>
      <c r="AG3188" s="3421"/>
      <c r="AH3188" s="156"/>
      <c r="AI3188" s="156"/>
      <c r="AJ3188" s="156"/>
      <c r="AK3188" s="156"/>
      <c r="AL3188" s="156"/>
      <c r="AM3188" s="156"/>
      <c r="AN3188" s="156"/>
      <c r="AO3188" s="156"/>
      <c r="AP3188" s="156"/>
      <c r="AQ3188" s="156"/>
      <c r="AR3188" s="156"/>
      <c r="AS3188" s="156"/>
      <c r="AT3188" s="156"/>
      <c r="AU3188" s="156"/>
      <c r="AV3188" s="156"/>
      <c r="AW3188" s="156"/>
      <c r="AX3188" s="156"/>
      <c r="AY3188" s="156"/>
      <c r="AZ3188" s="156"/>
      <c r="BA3188" s="156"/>
      <c r="BB3188" s="2828"/>
      <c r="BC3188" s="452"/>
      <c r="BD3188" s="2829"/>
      <c r="BE3188" s="2837"/>
      <c r="BF3188" s="156"/>
    </row>
    <row r="3189" spans="1:58" ht="15" customHeight="1" outlineLevel="1" x14ac:dyDescent="0.35">
      <c r="A3189" s="1664"/>
      <c r="B3189" s="2812"/>
      <c r="C3189" s="3077"/>
      <c r="D3189" s="3980"/>
      <c r="E3189" s="3883"/>
      <c r="F3189" s="3984" t="str">
        <f>$E$1716</f>
        <v>ASHP-SEER21-Replace_CAC_NonElectricHeat_ER2_MF</v>
      </c>
      <c r="G3189" s="3984"/>
      <c r="H3189" s="3984"/>
      <c r="I3189" s="3984"/>
      <c r="J3189" s="3501" t="str">
        <f>$C$1716</f>
        <v>353610_2021_12_</v>
      </c>
      <c r="K3189" s="3051">
        <v>13</v>
      </c>
      <c r="L3189" s="704"/>
      <c r="M3189" s="3022" t="s">
        <v>1070</v>
      </c>
      <c r="N3189" s="106"/>
      <c r="O3189" s="106"/>
      <c r="P3189" s="702"/>
      <c r="Q3189" s="574"/>
      <c r="R3189" s="702"/>
      <c r="S3189" s="106"/>
      <c r="T3189" s="486"/>
      <c r="U3189" s="106"/>
      <c r="V3189" s="3980"/>
      <c r="W3189" s="3421"/>
      <c r="X3189" s="3421"/>
      <c r="Y3189" s="2377"/>
      <c r="Z3189" s="3425"/>
      <c r="AA3189" s="3425"/>
      <c r="AB3189" s="583"/>
      <c r="AC3189" s="2919">
        <v>13</v>
      </c>
      <c r="AD3189" s="3051">
        <v>13</v>
      </c>
      <c r="AE3189" s="3429"/>
      <c r="AF3189" s="3421"/>
      <c r="AG3189" s="3421"/>
      <c r="AH3189" s="156"/>
      <c r="AI3189" s="156"/>
      <c r="AJ3189" s="156"/>
      <c r="AK3189" s="156"/>
      <c r="AL3189" s="156"/>
      <c r="AM3189" s="156"/>
      <c r="AN3189" s="156"/>
      <c r="AO3189" s="156"/>
      <c r="AP3189" s="156"/>
      <c r="AQ3189" s="156"/>
      <c r="AR3189" s="156"/>
      <c r="AS3189" s="156"/>
      <c r="AT3189" s="156"/>
      <c r="AU3189" s="156"/>
      <c r="AV3189" s="156"/>
      <c r="AW3189" s="156"/>
      <c r="AX3189" s="156"/>
      <c r="AY3189" s="156"/>
      <c r="AZ3189" s="156"/>
      <c r="BA3189" s="156"/>
      <c r="BB3189" s="2828"/>
      <c r="BC3189" s="452"/>
      <c r="BD3189" s="2829"/>
      <c r="BE3189" s="2837"/>
      <c r="BF3189" s="156"/>
    </row>
    <row r="3190" spans="1:58" ht="15" customHeight="1" outlineLevel="1" x14ac:dyDescent="0.35">
      <c r="A3190" s="1664"/>
      <c r="B3190" s="2812"/>
      <c r="C3190" s="3077"/>
      <c r="D3190" s="3980"/>
      <c r="E3190" s="3883"/>
      <c r="F3190" s="3984" t="str">
        <f>$E$1718</f>
        <v>ASHP-SEER21-Replace_CAC_NonElectricHeat_ER1_MF_CompE</v>
      </c>
      <c r="G3190" s="3984"/>
      <c r="H3190" s="3984"/>
      <c r="I3190" s="3984"/>
      <c r="J3190" s="3501" t="str">
        <f>$C$1718</f>
        <v>353611_2021_12_</v>
      </c>
      <c r="K3190" s="3051">
        <v>8.33</v>
      </c>
      <c r="L3190" s="704"/>
      <c r="M3190" s="3022" t="s">
        <v>1083</v>
      </c>
      <c r="N3190" s="106"/>
      <c r="O3190" s="106"/>
      <c r="P3190" s="702"/>
      <c r="Q3190" s="574"/>
      <c r="R3190" s="702"/>
      <c r="S3190" s="106"/>
      <c r="T3190" s="486"/>
      <c r="U3190" s="106"/>
      <c r="V3190" s="3980"/>
      <c r="W3190" s="3421"/>
      <c r="X3190" s="3421"/>
      <c r="Y3190" s="2377"/>
      <c r="Z3190" s="3425"/>
      <c r="AA3190" s="3425"/>
      <c r="AB3190" s="583"/>
      <c r="AC3190" s="2919">
        <v>8.33</v>
      </c>
      <c r="AD3190" s="3051">
        <v>8.33</v>
      </c>
      <c r="AE3190" s="3429"/>
      <c r="AF3190" s="3421"/>
      <c r="AG3190" s="3421"/>
      <c r="AH3190" s="156"/>
      <c r="AI3190" s="156"/>
      <c r="AJ3190" s="156"/>
      <c r="AK3190" s="156"/>
      <c r="AL3190" s="156"/>
      <c r="AM3190" s="156"/>
      <c r="AN3190" s="156"/>
      <c r="AO3190" s="156"/>
      <c r="AP3190" s="156"/>
      <c r="AQ3190" s="156"/>
      <c r="AR3190" s="156"/>
      <c r="AS3190" s="156"/>
      <c r="AT3190" s="156"/>
      <c r="AU3190" s="156"/>
      <c r="AV3190" s="156"/>
      <c r="AW3190" s="156"/>
      <c r="AX3190" s="156"/>
      <c r="AY3190" s="156"/>
      <c r="AZ3190" s="156"/>
      <c r="BA3190" s="156"/>
      <c r="BB3190" s="2828"/>
      <c r="BC3190" s="452"/>
      <c r="BD3190" s="2829"/>
      <c r="BE3190" s="2837"/>
      <c r="BF3190" s="156"/>
    </row>
    <row r="3191" spans="1:58" ht="15" customHeight="1" outlineLevel="1" x14ac:dyDescent="0.35">
      <c r="A3191" s="1664"/>
      <c r="B3191" s="2812"/>
      <c r="C3191" s="3077"/>
      <c r="D3191" s="3980"/>
      <c r="E3191" s="3883"/>
      <c r="F3191" s="3984" t="str">
        <f>$E$1720</f>
        <v>ASHP-SEER21-Replace_CAC_NonElectricHeat_ER2_MF_CompE</v>
      </c>
      <c r="G3191" s="3984"/>
      <c r="H3191" s="3984"/>
      <c r="I3191" s="3984"/>
      <c r="J3191" s="3501" t="str">
        <f>$C$1720</f>
        <v>353611_2021_12_</v>
      </c>
      <c r="K3191" s="3051">
        <v>13</v>
      </c>
      <c r="L3191" s="704"/>
      <c r="M3191" s="3022" t="s">
        <v>1070</v>
      </c>
      <c r="N3191" s="106"/>
      <c r="O3191" s="106"/>
      <c r="P3191" s="702"/>
      <c r="Q3191" s="574"/>
      <c r="R3191" s="702"/>
      <c r="S3191" s="106"/>
      <c r="T3191" s="486"/>
      <c r="U3191" s="106"/>
      <c r="V3191" s="3980"/>
      <c r="W3191" s="3421"/>
      <c r="X3191" s="3421"/>
      <c r="Y3191" s="2377"/>
      <c r="Z3191" s="3425"/>
      <c r="AA3191" s="3425"/>
      <c r="AB3191" s="583"/>
      <c r="AC3191" s="2919">
        <v>13</v>
      </c>
      <c r="AD3191" s="3051">
        <v>13</v>
      </c>
      <c r="AE3191" s="3429"/>
      <c r="AF3191" s="3421"/>
      <c r="AG3191" s="3421"/>
      <c r="AH3191" s="156"/>
      <c r="AI3191" s="156"/>
      <c r="AJ3191" s="156"/>
      <c r="AK3191" s="156"/>
      <c r="AL3191" s="156"/>
      <c r="AM3191" s="156"/>
      <c r="AN3191" s="156"/>
      <c r="AO3191" s="156"/>
      <c r="AP3191" s="156"/>
      <c r="AQ3191" s="156"/>
      <c r="AR3191" s="156"/>
      <c r="AS3191" s="156"/>
      <c r="AT3191" s="156"/>
      <c r="AU3191" s="156"/>
      <c r="AV3191" s="156"/>
      <c r="AW3191" s="156"/>
      <c r="AX3191" s="156"/>
      <c r="AY3191" s="156"/>
      <c r="AZ3191" s="156"/>
      <c r="BA3191" s="156"/>
      <c r="BB3191" s="2828"/>
      <c r="BC3191" s="452"/>
      <c r="BD3191" s="2829"/>
      <c r="BE3191" s="2837"/>
      <c r="BF3191" s="156"/>
    </row>
    <row r="3192" spans="1:58" ht="15" customHeight="1" outlineLevel="1" x14ac:dyDescent="0.35">
      <c r="A3192" s="1664"/>
      <c r="B3192" s="2812"/>
      <c r="C3192" s="3077"/>
      <c r="D3192" s="3980"/>
      <c r="E3192" s="3883"/>
      <c r="F3192" s="3984" t="str">
        <f>$E$1722</f>
        <v>ASHP-SEER21-Replace_CAC_ElectricHeat_ROF_SF</v>
      </c>
      <c r="G3192" s="3984"/>
      <c r="H3192" s="3984"/>
      <c r="I3192" s="3984"/>
      <c r="J3192" s="3501" t="str">
        <f>$C$1722</f>
        <v>353650_2021_12_</v>
      </c>
      <c r="K3192" s="3051">
        <v>13</v>
      </c>
      <c r="L3192" s="704"/>
      <c r="M3192" s="3022" t="s">
        <v>1070</v>
      </c>
      <c r="N3192" s="106"/>
      <c r="O3192" s="106"/>
      <c r="P3192" s="702"/>
      <c r="Q3192" s="574"/>
      <c r="R3192" s="702"/>
      <c r="S3192" s="106"/>
      <c r="T3192" s="486"/>
      <c r="U3192" s="106"/>
      <c r="V3192" s="3980"/>
      <c r="W3192" s="3421">
        <v>13</v>
      </c>
      <c r="X3192" s="3421">
        <v>13</v>
      </c>
      <c r="Y3192" s="3425">
        <v>13</v>
      </c>
      <c r="Z3192" s="3425">
        <v>13</v>
      </c>
      <c r="AA3192" s="3425">
        <v>13</v>
      </c>
      <c r="AB3192" s="583">
        <v>13</v>
      </c>
      <c r="AC3192" s="2920">
        <v>13</v>
      </c>
      <c r="AD3192" s="3051">
        <v>13</v>
      </c>
      <c r="AE3192" s="3429"/>
      <c r="AF3192" s="3421"/>
      <c r="AG3192" s="3421"/>
      <c r="AH3192" s="156"/>
      <c r="AI3192" s="156"/>
      <c r="AJ3192" s="156"/>
      <c r="AK3192" s="156"/>
      <c r="AL3192" s="156"/>
      <c r="AM3192" s="156"/>
      <c r="AN3192" s="156"/>
      <c r="AO3192" s="156"/>
      <c r="AP3192" s="156"/>
      <c r="AQ3192" s="156"/>
      <c r="AR3192" s="156"/>
      <c r="AS3192" s="156"/>
      <c r="AT3192" s="156"/>
      <c r="AU3192" s="156"/>
      <c r="AV3192" s="156"/>
      <c r="AW3192" s="156"/>
      <c r="AX3192" s="156"/>
      <c r="AY3192" s="156"/>
      <c r="AZ3192" s="156"/>
      <c r="BA3192" s="156"/>
      <c r="BB3192" s="2828"/>
      <c r="BC3192" s="452"/>
      <c r="BD3192" s="2829"/>
      <c r="BE3192" s="2837"/>
      <c r="BF3192" s="156"/>
    </row>
    <row r="3193" spans="1:58" s="3398" customFormat="1" ht="15" customHeight="1" outlineLevel="1" x14ac:dyDescent="0.35">
      <c r="A3193" s="1664"/>
      <c r="B3193" s="2812"/>
      <c r="C3193" s="3077"/>
      <c r="D3193" s="3980"/>
      <c r="E3193" s="3883"/>
      <c r="F3193" s="4136" t="str">
        <f>$E$1724</f>
        <v>ASHP-SEER21-Replace_CAC_NonElectricHeat_ROF_SF</v>
      </c>
      <c r="G3193" s="4136"/>
      <c r="H3193" s="4136"/>
      <c r="I3193" s="4136"/>
      <c r="J3193" s="3502" t="str">
        <f>$C$1724</f>
        <v>353660_2022_12_</v>
      </c>
      <c r="K3193" s="3050">
        <v>13</v>
      </c>
      <c r="L3193" s="703"/>
      <c r="M3193" s="3024" t="s">
        <v>1070</v>
      </c>
      <c r="P3193" s="702"/>
      <c r="Q3193" s="574"/>
      <c r="R3193" s="702"/>
      <c r="T3193" s="3397"/>
      <c r="V3193" s="3980"/>
      <c r="W3193" s="3421"/>
      <c r="X3193" s="3421"/>
      <c r="Y3193" s="3425"/>
      <c r="Z3193" s="3425"/>
      <c r="AA3193" s="3425"/>
      <c r="AB3193" s="583"/>
      <c r="AC3193" s="2920"/>
      <c r="AD3193" s="3050">
        <v>13</v>
      </c>
      <c r="AE3193" s="3429"/>
      <c r="AF3193" s="3421"/>
      <c r="AG3193" s="3421"/>
      <c r="AH3193" s="156"/>
      <c r="AI3193" s="156"/>
      <c r="AJ3193" s="156"/>
      <c r="AK3193" s="156"/>
      <c r="AL3193" s="156"/>
      <c r="AM3193" s="156"/>
      <c r="AN3193" s="156"/>
      <c r="AO3193" s="156"/>
      <c r="AP3193" s="156"/>
      <c r="AQ3193" s="156"/>
      <c r="AR3193" s="156"/>
      <c r="AS3193" s="156"/>
      <c r="AT3193" s="156"/>
      <c r="AU3193" s="156"/>
      <c r="AV3193" s="156"/>
      <c r="AW3193" s="156"/>
      <c r="AX3193" s="156"/>
      <c r="AY3193" s="156"/>
      <c r="AZ3193" s="156"/>
      <c r="BA3193" s="156"/>
      <c r="BB3193" s="2828"/>
      <c r="BC3193" s="452"/>
      <c r="BD3193" s="2829"/>
      <c r="BE3193" s="2837"/>
      <c r="BF3193" s="156"/>
    </row>
    <row r="3194" spans="1:58" ht="15" customHeight="1" outlineLevel="1" x14ac:dyDescent="0.35">
      <c r="A3194" s="1664"/>
      <c r="B3194" s="2812"/>
      <c r="C3194" s="3077"/>
      <c r="D3194" s="3980"/>
      <c r="E3194" s="3883"/>
      <c r="F3194" s="3984" t="str">
        <f>$E$1726</f>
        <v>ASHP-SEER21+-Replace_CAC_ElectricHeat_ROF_MF</v>
      </c>
      <c r="G3194" s="3984"/>
      <c r="H3194" s="3984"/>
      <c r="I3194" s="3984"/>
      <c r="J3194" s="3501" t="str">
        <f>$C$1726</f>
        <v>353700_2019_12_</v>
      </c>
      <c r="K3194" s="3051">
        <v>13</v>
      </c>
      <c r="L3194" s="704"/>
      <c r="M3194" s="3022" t="s">
        <v>1070</v>
      </c>
      <c r="N3194" s="106"/>
      <c r="O3194" s="106"/>
      <c r="P3194" s="702"/>
      <c r="Q3194" s="574"/>
      <c r="R3194" s="702"/>
      <c r="S3194" s="106"/>
      <c r="T3194" s="486"/>
      <c r="U3194" s="106"/>
      <c r="V3194" s="3980"/>
      <c r="W3194" s="3421">
        <v>13</v>
      </c>
      <c r="X3194" s="3421">
        <v>13</v>
      </c>
      <c r="Y3194" s="3425">
        <v>13</v>
      </c>
      <c r="Z3194" s="3425">
        <v>13</v>
      </c>
      <c r="AA3194" s="3425">
        <v>13</v>
      </c>
      <c r="AB3194" s="583">
        <v>13</v>
      </c>
      <c r="AC3194" s="2920">
        <v>13</v>
      </c>
      <c r="AD3194" s="3051">
        <v>13</v>
      </c>
      <c r="AE3194" s="3429"/>
      <c r="AF3194" s="3421"/>
      <c r="AG3194" s="3421"/>
      <c r="AH3194" s="156"/>
      <c r="AI3194" s="156"/>
      <c r="AJ3194" s="156"/>
      <c r="AK3194" s="156"/>
      <c r="AL3194" s="156"/>
      <c r="AM3194" s="156"/>
      <c r="AN3194" s="156"/>
      <c r="AO3194" s="156"/>
      <c r="AP3194" s="156"/>
      <c r="AQ3194" s="156"/>
      <c r="AR3194" s="156"/>
      <c r="AS3194" s="156"/>
      <c r="AT3194" s="156"/>
      <c r="AU3194" s="156"/>
      <c r="AV3194" s="156"/>
      <c r="AW3194" s="156"/>
      <c r="AX3194" s="156"/>
      <c r="AY3194" s="156"/>
      <c r="AZ3194" s="156"/>
      <c r="BA3194" s="156"/>
      <c r="BB3194" s="2828"/>
      <c r="BC3194" s="452"/>
      <c r="BD3194" s="2829"/>
      <c r="BE3194" s="2837"/>
      <c r="BF3194" s="156"/>
    </row>
    <row r="3195" spans="1:58" ht="15" customHeight="1" outlineLevel="1" x14ac:dyDescent="0.35">
      <c r="A3195" s="1664"/>
      <c r="B3195" s="2812"/>
      <c r="C3195" s="3077"/>
      <c r="D3195" s="3980"/>
      <c r="E3195" s="3883"/>
      <c r="F3195" s="3984" t="str">
        <f>$E$1728</f>
        <v>ASHP-SEER21+-Replace_CAC_ElectricHeat_ROF_MF_CompE</v>
      </c>
      <c r="G3195" s="3984"/>
      <c r="H3195" s="3984"/>
      <c r="I3195" s="3984"/>
      <c r="J3195" s="3501" t="str">
        <f>$C$1728</f>
        <v>353701_2019_12_</v>
      </c>
      <c r="K3195" s="3051">
        <v>13</v>
      </c>
      <c r="L3195" s="704"/>
      <c r="M3195" s="3022" t="s">
        <v>1070</v>
      </c>
      <c r="N3195" s="106"/>
      <c r="O3195" s="106"/>
      <c r="P3195" s="702"/>
      <c r="Q3195" s="574"/>
      <c r="R3195" s="702"/>
      <c r="S3195" s="106"/>
      <c r="T3195" s="486"/>
      <c r="U3195" s="106"/>
      <c r="V3195" s="3980"/>
      <c r="W3195" s="3421"/>
      <c r="X3195" s="3421"/>
      <c r="Y3195" s="2377">
        <v>13</v>
      </c>
      <c r="Z3195" s="3425">
        <v>13</v>
      </c>
      <c r="AA3195" s="3425">
        <v>13</v>
      </c>
      <c r="AB3195" s="583">
        <v>13</v>
      </c>
      <c r="AC3195" s="2920">
        <v>13</v>
      </c>
      <c r="AD3195" s="3051">
        <v>13</v>
      </c>
      <c r="AE3195" s="3429"/>
      <c r="AF3195" s="3421"/>
      <c r="AG3195" s="3421"/>
      <c r="AH3195" s="156"/>
      <c r="AI3195" s="156"/>
      <c r="AJ3195" s="156"/>
      <c r="AK3195" s="156"/>
      <c r="AL3195" s="156"/>
      <c r="AM3195" s="156"/>
      <c r="AN3195" s="156"/>
      <c r="AO3195" s="156"/>
      <c r="AP3195" s="156"/>
      <c r="AQ3195" s="156"/>
      <c r="AR3195" s="156"/>
      <c r="AS3195" s="156"/>
      <c r="AT3195" s="156"/>
      <c r="AU3195" s="156"/>
      <c r="AV3195" s="156"/>
      <c r="AW3195" s="156"/>
      <c r="AX3195" s="156"/>
      <c r="AY3195" s="156"/>
      <c r="AZ3195" s="156"/>
      <c r="BA3195" s="156"/>
      <c r="BB3195" s="2828"/>
      <c r="BC3195" s="452"/>
      <c r="BD3195" s="2829"/>
      <c r="BE3195" s="2837"/>
      <c r="BF3195" s="156"/>
    </row>
    <row r="3196" spans="1:58" ht="15" customHeight="1" outlineLevel="1" x14ac:dyDescent="0.35">
      <c r="A3196" s="1664"/>
      <c r="B3196" s="2812"/>
      <c r="C3196" s="3077"/>
      <c r="D3196" s="3980"/>
      <c r="E3196" s="3883"/>
      <c r="F3196" s="3984" t="str">
        <f>$E$1730</f>
        <v>ASHP-SEER21+-Replace_CAC_NonElectricHeat_ROF_MF</v>
      </c>
      <c r="G3196" s="3984"/>
      <c r="H3196" s="3984"/>
      <c r="I3196" s="3984"/>
      <c r="J3196" s="3501" t="str">
        <f>$C$1730</f>
        <v>353710_2021_12_</v>
      </c>
      <c r="K3196" s="3051">
        <v>13</v>
      </c>
      <c r="L3196" s="704"/>
      <c r="M3196" s="3022" t="s">
        <v>1070</v>
      </c>
      <c r="N3196" s="106"/>
      <c r="O3196" s="106"/>
      <c r="P3196" s="702"/>
      <c r="Q3196" s="574"/>
      <c r="R3196" s="702"/>
      <c r="S3196" s="106"/>
      <c r="T3196" s="486"/>
      <c r="U3196" s="106"/>
      <c r="V3196" s="3980"/>
      <c r="W3196" s="3421"/>
      <c r="X3196" s="3421"/>
      <c r="Y3196" s="2377"/>
      <c r="Z3196" s="3425"/>
      <c r="AA3196" s="3425"/>
      <c r="AB3196" s="583"/>
      <c r="AC3196" s="2919">
        <v>13</v>
      </c>
      <c r="AD3196" s="3051">
        <v>13</v>
      </c>
      <c r="AE3196" s="3429"/>
      <c r="AF3196" s="3421"/>
      <c r="AG3196" s="3421"/>
      <c r="AH3196" s="156"/>
      <c r="AI3196" s="156"/>
      <c r="AJ3196" s="156"/>
      <c r="AK3196" s="156"/>
      <c r="AL3196" s="156"/>
      <c r="AM3196" s="156"/>
      <c r="AN3196" s="156"/>
      <c r="AO3196" s="156"/>
      <c r="AP3196" s="156"/>
      <c r="AQ3196" s="156"/>
      <c r="AR3196" s="156"/>
      <c r="AS3196" s="156"/>
      <c r="AT3196" s="156"/>
      <c r="AU3196" s="156"/>
      <c r="AV3196" s="156"/>
      <c r="AW3196" s="156"/>
      <c r="AX3196" s="156"/>
      <c r="AY3196" s="156"/>
      <c r="AZ3196" s="156"/>
      <c r="BA3196" s="156"/>
      <c r="BB3196" s="2828"/>
      <c r="BC3196" s="452"/>
      <c r="BD3196" s="2829"/>
      <c r="BE3196" s="2837"/>
      <c r="BF3196" s="156"/>
    </row>
    <row r="3197" spans="1:58" ht="15" customHeight="1" outlineLevel="1" x14ac:dyDescent="0.35">
      <c r="A3197" s="1664"/>
      <c r="B3197" s="2812"/>
      <c r="C3197" s="3077"/>
      <c r="D3197" s="3980"/>
      <c r="E3197" s="3883"/>
      <c r="F3197" s="3984" t="str">
        <f>$E$1732</f>
        <v>ASHP-SEER21+-Replace_CAC_NonElectricHeat_ROF_MF_CompE</v>
      </c>
      <c r="G3197" s="3984"/>
      <c r="H3197" s="3984"/>
      <c r="I3197" s="3984"/>
      <c r="J3197" s="3501" t="str">
        <f>$C$1732</f>
        <v>353711_2021_12_</v>
      </c>
      <c r="K3197" s="3051">
        <v>13</v>
      </c>
      <c r="L3197" s="704"/>
      <c r="M3197" s="3022" t="s">
        <v>1070</v>
      </c>
      <c r="N3197" s="106"/>
      <c r="O3197" s="106"/>
      <c r="P3197" s="702"/>
      <c r="Q3197" s="574"/>
      <c r="R3197" s="702"/>
      <c r="S3197" s="106"/>
      <c r="T3197" s="486"/>
      <c r="U3197" s="106"/>
      <c r="V3197" s="3980"/>
      <c r="W3197" s="3421"/>
      <c r="X3197" s="3421"/>
      <c r="Y3197" s="2377"/>
      <c r="Z3197" s="3425"/>
      <c r="AA3197" s="3425"/>
      <c r="AB3197" s="583"/>
      <c r="AC3197" s="2919">
        <v>13</v>
      </c>
      <c r="AD3197" s="3051">
        <v>13</v>
      </c>
      <c r="AE3197" s="3429"/>
      <c r="AF3197" s="3421"/>
      <c r="AG3197" s="3421"/>
      <c r="AH3197" s="156"/>
      <c r="AI3197" s="156"/>
      <c r="AJ3197" s="156"/>
      <c r="AK3197" s="156"/>
      <c r="AL3197" s="156"/>
      <c r="AM3197" s="156"/>
      <c r="AN3197" s="156"/>
      <c r="AO3197" s="156"/>
      <c r="AP3197" s="156"/>
      <c r="AQ3197" s="156"/>
      <c r="AR3197" s="156"/>
      <c r="AS3197" s="156"/>
      <c r="AT3197" s="156"/>
      <c r="AU3197" s="156"/>
      <c r="AV3197" s="156"/>
      <c r="AW3197" s="156"/>
      <c r="AX3197" s="156"/>
      <c r="AY3197" s="156"/>
      <c r="AZ3197" s="156"/>
      <c r="BA3197" s="156"/>
      <c r="BB3197" s="2828"/>
      <c r="BC3197" s="452"/>
      <c r="BD3197" s="2829"/>
      <c r="BE3197" s="2837"/>
      <c r="BF3197" s="156"/>
    </row>
    <row r="3198" spans="1:58" ht="15" customHeight="1" outlineLevel="1" x14ac:dyDescent="0.35">
      <c r="A3198" s="1071"/>
      <c r="B3198" s="2812"/>
      <c r="C3198" s="3077"/>
      <c r="D3198" s="3980"/>
      <c r="E3198" s="3883"/>
      <c r="F3198" s="3984" t="str">
        <f>$E$1734</f>
        <v>ASHP-SEER17_ER1_SF</v>
      </c>
      <c r="G3198" s="3984"/>
      <c r="H3198" s="3984"/>
      <c r="I3198" s="3984"/>
      <c r="J3198" s="3501" t="str">
        <f>$C$1734</f>
        <v>353750_2021_12_</v>
      </c>
      <c r="K3198" s="3050">
        <v>7.8746004975378812</v>
      </c>
      <c r="L3198" s="704"/>
      <c r="M3198" s="3024" t="s">
        <v>4360</v>
      </c>
      <c r="N3198" s="106"/>
      <c r="O3198" s="106"/>
      <c r="P3198" s="106"/>
      <c r="Q3198" s="106"/>
      <c r="R3198" s="106"/>
      <c r="S3198" s="106"/>
      <c r="T3198" s="106"/>
      <c r="U3198" s="106"/>
      <c r="V3198" s="3980"/>
      <c r="W3198" s="3421">
        <v>7.2</v>
      </c>
      <c r="X3198" s="2374">
        <v>8.33</v>
      </c>
      <c r="Y3198" s="3425">
        <v>8.33</v>
      </c>
      <c r="Z3198" s="3425">
        <v>8.33</v>
      </c>
      <c r="AA3198" s="3425">
        <v>8.33</v>
      </c>
      <c r="AB3198" s="583">
        <v>8.33</v>
      </c>
      <c r="AC3198" s="2919">
        <v>8.7303880814835253</v>
      </c>
      <c r="AD3198" s="3050">
        <v>7.8746004975378812</v>
      </c>
      <c r="AE3198" s="3429"/>
      <c r="AF3198" s="3421"/>
      <c r="AG3198" s="3421"/>
      <c r="AH3198" s="156"/>
      <c r="AI3198" s="156"/>
      <c r="AJ3198" s="156"/>
      <c r="AK3198" s="156"/>
      <c r="AL3198" s="156"/>
      <c r="AM3198" s="156"/>
      <c r="AN3198" s="156"/>
      <c r="AO3198" s="156"/>
      <c r="AP3198" s="156"/>
      <c r="AQ3198" s="156"/>
      <c r="AR3198" s="156"/>
      <c r="AS3198" s="156"/>
      <c r="AT3198" s="156"/>
      <c r="AU3198" s="156"/>
      <c r="AV3198" s="156"/>
      <c r="AW3198" s="156"/>
      <c r="AX3198" s="156"/>
      <c r="AY3198" s="156"/>
      <c r="AZ3198" s="156"/>
      <c r="BA3198" s="156"/>
      <c r="BB3198" s="2828"/>
      <c r="BC3198" s="452"/>
      <c r="BD3198" s="2829"/>
      <c r="BE3198" s="2837"/>
      <c r="BF3198" s="156"/>
    </row>
    <row r="3199" spans="1:58" ht="15" customHeight="1" outlineLevel="1" x14ac:dyDescent="0.35">
      <c r="A3199" s="1664"/>
      <c r="B3199" s="2812"/>
      <c r="C3199" s="3077"/>
      <c r="D3199" s="3980"/>
      <c r="E3199" s="3883"/>
      <c r="F3199" s="3984" t="str">
        <f>$E$1736</f>
        <v>ASHP-SEER17_ER2_SF</v>
      </c>
      <c r="G3199" s="3984"/>
      <c r="H3199" s="3984"/>
      <c r="I3199" s="3984"/>
      <c r="J3199" s="3501" t="str">
        <f>$C$1736</f>
        <v>353750_2021_12_</v>
      </c>
      <c r="K3199" s="3051">
        <v>14</v>
      </c>
      <c r="L3199" s="704"/>
      <c r="M3199" s="3022" t="s">
        <v>1070</v>
      </c>
      <c r="N3199" s="106"/>
      <c r="O3199" s="106"/>
      <c r="P3199" s="702"/>
      <c r="Q3199" s="574"/>
      <c r="R3199" s="702"/>
      <c r="S3199" s="106"/>
      <c r="T3199" s="486"/>
      <c r="U3199" s="106"/>
      <c r="V3199" s="3980"/>
      <c r="W3199" s="3421">
        <v>14</v>
      </c>
      <c r="X3199" s="3421">
        <v>14</v>
      </c>
      <c r="Y3199" s="3425">
        <v>14</v>
      </c>
      <c r="Z3199" s="3425">
        <v>14</v>
      </c>
      <c r="AA3199" s="3425">
        <v>14</v>
      </c>
      <c r="AB3199" s="583">
        <v>14</v>
      </c>
      <c r="AC3199" s="2920">
        <v>14</v>
      </c>
      <c r="AD3199" s="3051">
        <v>14</v>
      </c>
      <c r="AE3199" s="3429"/>
      <c r="AF3199" s="3421"/>
      <c r="AG3199" s="3421"/>
      <c r="AH3199" s="156"/>
      <c r="AI3199" s="156"/>
      <c r="AJ3199" s="156"/>
      <c r="AK3199" s="156"/>
      <c r="AL3199" s="156"/>
      <c r="AM3199" s="156"/>
      <c r="AN3199" s="156"/>
      <c r="AO3199" s="156"/>
      <c r="AP3199" s="156"/>
      <c r="AQ3199" s="156"/>
      <c r="AR3199" s="156"/>
      <c r="AS3199" s="156"/>
      <c r="AT3199" s="156"/>
      <c r="AU3199" s="156"/>
      <c r="AV3199" s="156"/>
      <c r="AW3199" s="156"/>
      <c r="AX3199" s="156"/>
      <c r="AY3199" s="156"/>
      <c r="AZ3199" s="156"/>
      <c r="BA3199" s="156"/>
      <c r="BB3199" s="2828"/>
      <c r="BC3199" s="452"/>
      <c r="BD3199" s="2829"/>
      <c r="BE3199" s="2837"/>
      <c r="BF3199" s="156"/>
    </row>
    <row r="3200" spans="1:58" ht="15" customHeight="1" outlineLevel="1" x14ac:dyDescent="0.35">
      <c r="A3200" s="1071"/>
      <c r="B3200" s="2812"/>
      <c r="C3200" s="3077"/>
      <c r="D3200" s="3980"/>
      <c r="E3200" s="3883"/>
      <c r="F3200" s="3984" t="str">
        <f>$E$1738</f>
        <v>ASHP-SEER17_ROF_SF</v>
      </c>
      <c r="G3200" s="3984"/>
      <c r="H3200" s="3984"/>
      <c r="I3200" s="3984"/>
      <c r="J3200" s="3501" t="str">
        <f>$C$1738</f>
        <v>353800_2021_12_</v>
      </c>
      <c r="K3200" s="3051">
        <v>14</v>
      </c>
      <c r="L3200" s="704"/>
      <c r="M3200" s="3022" t="s">
        <v>1070</v>
      </c>
      <c r="N3200" s="106"/>
      <c r="O3200" s="106"/>
      <c r="P3200" s="106"/>
      <c r="Q3200" s="106"/>
      <c r="R3200" s="106"/>
      <c r="S3200" s="106"/>
      <c r="T3200" s="106"/>
      <c r="U3200" s="106"/>
      <c r="V3200" s="3980"/>
      <c r="W3200" s="3421">
        <v>14</v>
      </c>
      <c r="X3200" s="3421">
        <v>14</v>
      </c>
      <c r="Y3200" s="3425">
        <v>14</v>
      </c>
      <c r="Z3200" s="3425">
        <v>14</v>
      </c>
      <c r="AA3200" s="3425">
        <v>14</v>
      </c>
      <c r="AB3200" s="583">
        <v>14</v>
      </c>
      <c r="AC3200" s="2920">
        <v>14</v>
      </c>
      <c r="AD3200" s="3051">
        <v>14</v>
      </c>
      <c r="AE3200" s="3429"/>
      <c r="AF3200" s="3421"/>
      <c r="AG3200" s="3421"/>
      <c r="AH3200" s="156"/>
      <c r="AI3200" s="156"/>
      <c r="AJ3200" s="156"/>
      <c r="AK3200" s="156"/>
      <c r="AL3200" s="156"/>
      <c r="AM3200" s="156"/>
      <c r="AN3200" s="156"/>
      <c r="AO3200" s="156"/>
      <c r="AP3200" s="156"/>
      <c r="AQ3200" s="156"/>
      <c r="AR3200" s="156"/>
      <c r="AS3200" s="156"/>
      <c r="AT3200" s="156"/>
      <c r="AU3200" s="156"/>
      <c r="AV3200" s="156"/>
      <c r="AW3200" s="156"/>
      <c r="AX3200" s="156"/>
      <c r="AY3200" s="156"/>
      <c r="AZ3200" s="156"/>
      <c r="BA3200" s="156"/>
      <c r="BB3200" s="2828"/>
      <c r="BC3200" s="452"/>
      <c r="BD3200" s="2829"/>
      <c r="BE3200" s="2837"/>
      <c r="BF3200" s="156"/>
    </row>
    <row r="3201" spans="1:58" ht="15" customHeight="1" outlineLevel="1" x14ac:dyDescent="0.35">
      <c r="A3201" s="1664"/>
      <c r="B3201" s="2812"/>
      <c r="C3201" s="3077"/>
      <c r="D3201" s="3980"/>
      <c r="E3201" s="3883"/>
      <c r="F3201" s="3984" t="str">
        <f>$E$1740</f>
        <v>ASHP-SEER18_ER1_SF</v>
      </c>
      <c r="G3201" s="3984"/>
      <c r="H3201" s="3984"/>
      <c r="I3201" s="3984"/>
      <c r="J3201" s="3501" t="str">
        <f>$C$1740</f>
        <v>353850_2021_12_</v>
      </c>
      <c r="K3201" s="3050">
        <v>7.8596801773401781</v>
      </c>
      <c r="L3201" s="704"/>
      <c r="M3201" s="3024" t="s">
        <v>4360</v>
      </c>
      <c r="N3201" s="106"/>
      <c r="O3201" s="106"/>
      <c r="P3201" s="702"/>
      <c r="Q3201" s="574"/>
      <c r="R3201" s="702"/>
      <c r="S3201" s="106"/>
      <c r="T3201" s="486"/>
      <c r="U3201" s="106"/>
      <c r="V3201" s="3980"/>
      <c r="W3201" s="3421">
        <v>7.2</v>
      </c>
      <c r="X3201" s="2374">
        <v>8.33</v>
      </c>
      <c r="Y3201" s="3425">
        <v>8.33</v>
      </c>
      <c r="Z3201" s="3425">
        <v>8.33</v>
      </c>
      <c r="AA3201" s="3425">
        <v>8.33</v>
      </c>
      <c r="AB3201" s="584">
        <v>7.9029574060126802</v>
      </c>
      <c r="AC3201" s="2919">
        <v>8.5136840013184276</v>
      </c>
      <c r="AD3201" s="3050">
        <v>7.8596801773401781</v>
      </c>
      <c r="AE3201" s="3429"/>
      <c r="AF3201" s="3421"/>
      <c r="AG3201" s="3421"/>
      <c r="AH3201" s="156"/>
      <c r="AI3201" s="156"/>
      <c r="AJ3201" s="156"/>
      <c r="AK3201" s="156"/>
      <c r="AL3201" s="156"/>
      <c r="AM3201" s="156"/>
      <c r="AN3201" s="156"/>
      <c r="AO3201" s="156"/>
      <c r="AP3201" s="156"/>
      <c r="AQ3201" s="156"/>
      <c r="AR3201" s="156"/>
      <c r="AS3201" s="156"/>
      <c r="AT3201" s="156"/>
      <c r="AU3201" s="156"/>
      <c r="AV3201" s="156"/>
      <c r="AW3201" s="156"/>
      <c r="AX3201" s="156"/>
      <c r="AY3201" s="156"/>
      <c r="AZ3201" s="156"/>
      <c r="BA3201" s="156"/>
      <c r="BB3201" s="2828"/>
      <c r="BC3201" s="452"/>
      <c r="BD3201" s="2829"/>
      <c r="BE3201" s="2837"/>
      <c r="BF3201" s="156"/>
    </row>
    <row r="3202" spans="1:58" ht="15" customHeight="1" outlineLevel="1" x14ac:dyDescent="0.35">
      <c r="A3202" s="1071"/>
      <c r="B3202" s="2812"/>
      <c r="C3202" s="3077"/>
      <c r="D3202" s="3980"/>
      <c r="E3202" s="3883"/>
      <c r="F3202" s="3984" t="str">
        <f>$E$1742</f>
        <v>ASHP-SEER18_ER2_SF</v>
      </c>
      <c r="G3202" s="3984"/>
      <c r="H3202" s="3984"/>
      <c r="I3202" s="3984"/>
      <c r="J3202" s="3501" t="str">
        <f>$C$1742</f>
        <v>353850_2021_12_</v>
      </c>
      <c r="K3202" s="3051">
        <v>14</v>
      </c>
      <c r="L3202" s="704"/>
      <c r="M3202" s="3022" t="s">
        <v>1070</v>
      </c>
      <c r="N3202" s="106"/>
      <c r="O3202" s="106"/>
      <c r="P3202" s="106"/>
      <c r="Q3202" s="106"/>
      <c r="R3202" s="106"/>
      <c r="S3202" s="106"/>
      <c r="T3202" s="106"/>
      <c r="U3202" s="106"/>
      <c r="V3202" s="3980"/>
      <c r="W3202" s="3421">
        <v>14</v>
      </c>
      <c r="X3202" s="3421">
        <v>14</v>
      </c>
      <c r="Y3202" s="3425">
        <v>14</v>
      </c>
      <c r="Z3202" s="3425">
        <v>14</v>
      </c>
      <c r="AA3202" s="3425">
        <v>14</v>
      </c>
      <c r="AB3202" s="583">
        <v>14</v>
      </c>
      <c r="AC3202" s="2920">
        <v>14</v>
      </c>
      <c r="AD3202" s="3051">
        <v>14</v>
      </c>
      <c r="AE3202" s="3429"/>
      <c r="AF3202" s="3421"/>
      <c r="AG3202" s="3421"/>
      <c r="AH3202" s="156"/>
      <c r="AI3202" s="156"/>
      <c r="AJ3202" s="156"/>
      <c r="AK3202" s="156"/>
      <c r="AL3202" s="156"/>
      <c r="AM3202" s="156"/>
      <c r="AN3202" s="156"/>
      <c r="AO3202" s="156"/>
      <c r="AP3202" s="156"/>
      <c r="AQ3202" s="156"/>
      <c r="AR3202" s="156"/>
      <c r="AS3202" s="156"/>
      <c r="AT3202" s="156"/>
      <c r="AU3202" s="156"/>
      <c r="AV3202" s="156"/>
      <c r="AW3202" s="156"/>
      <c r="AX3202" s="156"/>
      <c r="AY3202" s="156"/>
      <c r="AZ3202" s="156"/>
      <c r="BA3202" s="156"/>
      <c r="BB3202" s="2828"/>
      <c r="BC3202" s="452"/>
      <c r="BD3202" s="2829"/>
      <c r="BE3202" s="2837"/>
      <c r="BF3202" s="156"/>
    </row>
    <row r="3203" spans="1:58" ht="15" customHeight="1" outlineLevel="1" x14ac:dyDescent="0.35">
      <c r="A3203" s="1664"/>
      <c r="B3203" s="2812"/>
      <c r="C3203" s="3077"/>
      <c r="D3203" s="3980"/>
      <c r="E3203" s="3883"/>
      <c r="F3203" s="3984" t="str">
        <f>$E$1744</f>
        <v>ASHP-SEER18_ROF_SF</v>
      </c>
      <c r="G3203" s="3984"/>
      <c r="H3203" s="3984"/>
      <c r="I3203" s="3984"/>
      <c r="J3203" s="3501" t="str">
        <f>$C$1744</f>
        <v>353950_2021_12_</v>
      </c>
      <c r="K3203" s="3051">
        <v>14</v>
      </c>
      <c r="L3203" s="704"/>
      <c r="M3203" s="3022" t="s">
        <v>1070</v>
      </c>
      <c r="N3203" s="106"/>
      <c r="O3203" s="106"/>
      <c r="P3203" s="702"/>
      <c r="Q3203" s="574"/>
      <c r="R3203" s="702"/>
      <c r="S3203" s="106"/>
      <c r="T3203" s="486"/>
      <c r="U3203" s="106"/>
      <c r="V3203" s="3980"/>
      <c r="W3203" s="3421">
        <v>14</v>
      </c>
      <c r="X3203" s="3421">
        <v>14</v>
      </c>
      <c r="Y3203" s="3425">
        <v>14</v>
      </c>
      <c r="Z3203" s="3425">
        <v>14</v>
      </c>
      <c r="AA3203" s="3425">
        <v>14</v>
      </c>
      <c r="AB3203" s="583">
        <v>14</v>
      </c>
      <c r="AC3203" s="2920">
        <v>14</v>
      </c>
      <c r="AD3203" s="3051">
        <v>14</v>
      </c>
      <c r="AE3203" s="3429"/>
      <c r="AF3203" s="3421"/>
      <c r="AG3203" s="3421"/>
      <c r="AH3203" s="156"/>
      <c r="AI3203" s="156"/>
      <c r="AJ3203" s="156"/>
      <c r="AK3203" s="156"/>
      <c r="AL3203" s="156"/>
      <c r="AM3203" s="156"/>
      <c r="AN3203" s="156"/>
      <c r="AO3203" s="156"/>
      <c r="AP3203" s="156"/>
      <c r="AQ3203" s="156"/>
      <c r="AR3203" s="156"/>
      <c r="AS3203" s="156"/>
      <c r="AT3203" s="156"/>
      <c r="AU3203" s="156"/>
      <c r="AV3203" s="156"/>
      <c r="AW3203" s="156"/>
      <c r="AX3203" s="156"/>
      <c r="AY3203" s="156"/>
      <c r="AZ3203" s="156"/>
      <c r="BA3203" s="156"/>
      <c r="BB3203" s="2828"/>
      <c r="BC3203" s="452"/>
      <c r="BD3203" s="2829"/>
      <c r="BE3203" s="2837"/>
      <c r="BF3203" s="156"/>
    </row>
    <row r="3204" spans="1:58" ht="15" customHeight="1" outlineLevel="1" x14ac:dyDescent="0.35">
      <c r="A3204" s="1664"/>
      <c r="B3204" s="2812"/>
      <c r="C3204" s="3077"/>
      <c r="D3204" s="3980"/>
      <c r="E3204" s="3883"/>
      <c r="F3204" s="3984" t="str">
        <f>$E$1746</f>
        <v>ASHP-SEER19_ER1_SF</v>
      </c>
      <c r="G3204" s="3984"/>
      <c r="H3204" s="3984"/>
      <c r="I3204" s="3984"/>
      <c r="J3204" s="3501" t="str">
        <f>$C$1746</f>
        <v>354000_2021_12_</v>
      </c>
      <c r="K3204" s="3050">
        <v>7.7408755535350018</v>
      </c>
      <c r="L3204" s="704"/>
      <c r="M3204" s="3024" t="s">
        <v>4360</v>
      </c>
      <c r="N3204" s="106"/>
      <c r="O3204" s="106"/>
      <c r="P3204" s="702"/>
      <c r="Q3204" s="574"/>
      <c r="R3204" s="702"/>
      <c r="S3204" s="106"/>
      <c r="T3204" s="486"/>
      <c r="U3204" s="106"/>
      <c r="V3204" s="3980"/>
      <c r="W3204" s="3421">
        <v>7.2</v>
      </c>
      <c r="X3204" s="2374">
        <v>8.33</v>
      </c>
      <c r="Y3204" s="3425">
        <v>8.33</v>
      </c>
      <c r="Z3204" s="3425">
        <v>8.33</v>
      </c>
      <c r="AA3204" s="3425">
        <v>8.33</v>
      </c>
      <c r="AB3204" s="583">
        <v>8.33</v>
      </c>
      <c r="AC3204" s="2919">
        <v>9.0504969801676332</v>
      </c>
      <c r="AD3204" s="3050">
        <v>7.7408755535350018</v>
      </c>
      <c r="AE3204" s="3429"/>
      <c r="AF3204" s="3421"/>
      <c r="AG3204" s="3421"/>
      <c r="AH3204" s="156"/>
      <c r="AI3204" s="156"/>
      <c r="AJ3204" s="156"/>
      <c r="AK3204" s="156"/>
      <c r="AL3204" s="156"/>
      <c r="AM3204" s="156"/>
      <c r="AN3204" s="156"/>
      <c r="AO3204" s="156"/>
      <c r="AP3204" s="156"/>
      <c r="AQ3204" s="156"/>
      <c r="AR3204" s="156"/>
      <c r="AS3204" s="156"/>
      <c r="AT3204" s="156"/>
      <c r="AU3204" s="156"/>
      <c r="AV3204" s="156"/>
      <c r="AW3204" s="156"/>
      <c r="AX3204" s="156"/>
      <c r="AY3204" s="156"/>
      <c r="AZ3204" s="156"/>
      <c r="BA3204" s="156"/>
      <c r="BB3204" s="2828"/>
      <c r="BC3204" s="452"/>
      <c r="BD3204" s="2829"/>
      <c r="BE3204" s="2837"/>
      <c r="BF3204" s="156"/>
    </row>
    <row r="3205" spans="1:58" ht="15" customHeight="1" outlineLevel="1" x14ac:dyDescent="0.35">
      <c r="A3205" s="1071"/>
      <c r="B3205" s="2812"/>
      <c r="C3205" s="3077"/>
      <c r="D3205" s="3980"/>
      <c r="E3205" s="3883"/>
      <c r="F3205" s="3984" t="str">
        <f>$E$1748</f>
        <v>ASHP-SEER19_ER2_SF</v>
      </c>
      <c r="G3205" s="3984"/>
      <c r="H3205" s="3984"/>
      <c r="I3205" s="3984"/>
      <c r="J3205" s="3501" t="str">
        <f>$C$1748</f>
        <v>354000_2021_12_</v>
      </c>
      <c r="K3205" s="3051">
        <v>14</v>
      </c>
      <c r="L3205" s="704"/>
      <c r="M3205" s="3022" t="s">
        <v>1070</v>
      </c>
      <c r="N3205" s="106"/>
      <c r="O3205" s="106"/>
      <c r="P3205" s="106"/>
      <c r="Q3205" s="106"/>
      <c r="R3205" s="106"/>
      <c r="S3205" s="106"/>
      <c r="T3205" s="106"/>
      <c r="U3205" s="106"/>
      <c r="V3205" s="3980"/>
      <c r="W3205" s="3421">
        <v>14</v>
      </c>
      <c r="X3205" s="3421">
        <v>14</v>
      </c>
      <c r="Y3205" s="3425">
        <v>14</v>
      </c>
      <c r="Z3205" s="3425">
        <v>14</v>
      </c>
      <c r="AA3205" s="3425">
        <v>14</v>
      </c>
      <c r="AB3205" s="583">
        <v>14</v>
      </c>
      <c r="AC3205" s="2920">
        <v>14</v>
      </c>
      <c r="AD3205" s="3051">
        <v>14</v>
      </c>
      <c r="AE3205" s="3429"/>
      <c r="AF3205" s="3421"/>
      <c r="AG3205" s="3421"/>
      <c r="AH3205" s="156"/>
      <c r="AI3205" s="156"/>
      <c r="AJ3205" s="156"/>
      <c r="AK3205" s="156"/>
      <c r="AL3205" s="156"/>
      <c r="AM3205" s="156"/>
      <c r="AN3205" s="156"/>
      <c r="AO3205" s="156"/>
      <c r="AP3205" s="156"/>
      <c r="AQ3205" s="156"/>
      <c r="AR3205" s="156"/>
      <c r="AS3205" s="156"/>
      <c r="AT3205" s="156"/>
      <c r="AU3205" s="156"/>
      <c r="AV3205" s="156"/>
      <c r="AW3205" s="156"/>
      <c r="AX3205" s="156"/>
      <c r="AY3205" s="156"/>
      <c r="AZ3205" s="156"/>
      <c r="BA3205" s="156"/>
      <c r="BB3205" s="2828"/>
      <c r="BC3205" s="452"/>
      <c r="BD3205" s="2829"/>
      <c r="BE3205" s="2837"/>
      <c r="BF3205" s="156"/>
    </row>
    <row r="3206" spans="1:58" ht="15" customHeight="1" outlineLevel="1" x14ac:dyDescent="0.35">
      <c r="A3206" s="1071"/>
      <c r="B3206" s="2812"/>
      <c r="C3206" s="3077"/>
      <c r="D3206" s="3980"/>
      <c r="E3206" s="3883"/>
      <c r="F3206" s="3984" t="str">
        <f>$E$1750</f>
        <v>ASHP-SEER19_ROF_SF</v>
      </c>
      <c r="G3206" s="3984"/>
      <c r="H3206" s="3984"/>
      <c r="I3206" s="3984"/>
      <c r="J3206" s="3501" t="str">
        <f>$C$1750</f>
        <v>354050_2021_12_</v>
      </c>
      <c r="K3206" s="3051">
        <v>14</v>
      </c>
      <c r="L3206" s="704"/>
      <c r="M3206" s="3022" t="s">
        <v>1070</v>
      </c>
      <c r="N3206" s="106"/>
      <c r="O3206" s="106"/>
      <c r="P3206" s="106"/>
      <c r="Q3206" s="106"/>
      <c r="R3206" s="106"/>
      <c r="S3206" s="106"/>
      <c r="T3206" s="106"/>
      <c r="U3206" s="106"/>
      <c r="V3206" s="3980"/>
      <c r="W3206" s="3421">
        <v>14</v>
      </c>
      <c r="X3206" s="3421">
        <v>14</v>
      </c>
      <c r="Y3206" s="3425">
        <v>14</v>
      </c>
      <c r="Z3206" s="3425">
        <v>14</v>
      </c>
      <c r="AA3206" s="3425">
        <v>14</v>
      </c>
      <c r="AB3206" s="583">
        <v>14</v>
      </c>
      <c r="AC3206" s="2920">
        <v>14</v>
      </c>
      <c r="AD3206" s="3051">
        <v>14</v>
      </c>
      <c r="AE3206" s="3429"/>
      <c r="AF3206" s="3421"/>
      <c r="AG3206" s="3421"/>
      <c r="AH3206" s="156"/>
      <c r="AI3206" s="156"/>
      <c r="AJ3206" s="156"/>
      <c r="AK3206" s="156"/>
      <c r="AL3206" s="156"/>
      <c r="AM3206" s="156"/>
      <c r="AN3206" s="156"/>
      <c r="AO3206" s="156"/>
      <c r="AP3206" s="156"/>
      <c r="AQ3206" s="156"/>
      <c r="AR3206" s="156"/>
      <c r="AS3206" s="156"/>
      <c r="AT3206" s="156"/>
      <c r="AU3206" s="156"/>
      <c r="AV3206" s="156"/>
      <c r="AW3206" s="156"/>
      <c r="AX3206" s="156"/>
      <c r="AY3206" s="156"/>
      <c r="AZ3206" s="156"/>
      <c r="BA3206" s="156"/>
      <c r="BB3206" s="2828"/>
      <c r="BC3206" s="452"/>
      <c r="BD3206" s="2829"/>
      <c r="BE3206" s="2837"/>
      <c r="BF3206" s="156"/>
    </row>
    <row r="3207" spans="1:58" ht="15" customHeight="1" outlineLevel="1" x14ac:dyDescent="0.35">
      <c r="A3207" s="1071"/>
      <c r="B3207" s="2812"/>
      <c r="C3207" s="3077"/>
      <c r="D3207" s="3980"/>
      <c r="E3207" s="3883"/>
      <c r="F3207" s="3984" t="str">
        <f>$E$1752</f>
        <v>ASHP-SEER17-Replace_CAC_ElectricHeat_ER1_SF</v>
      </c>
      <c r="G3207" s="3984"/>
      <c r="H3207" s="3984"/>
      <c r="I3207" s="3984"/>
      <c r="J3207" s="3501" t="str">
        <f>$C$1752</f>
        <v>354100_2021_12_</v>
      </c>
      <c r="K3207" s="3050">
        <v>7.8746004975378812</v>
      </c>
      <c r="L3207" s="704"/>
      <c r="M3207" s="3024" t="s">
        <v>4360</v>
      </c>
      <c r="N3207" s="106"/>
      <c r="O3207" s="106"/>
      <c r="P3207" s="106"/>
      <c r="Q3207" s="106"/>
      <c r="R3207" s="106"/>
      <c r="S3207" s="106"/>
      <c r="T3207" s="106"/>
      <c r="U3207" s="106"/>
      <c r="V3207" s="3980"/>
      <c r="W3207" s="3421">
        <v>6.8</v>
      </c>
      <c r="X3207" s="2374">
        <v>8.33</v>
      </c>
      <c r="Y3207" s="3425">
        <v>8.33</v>
      </c>
      <c r="Z3207" s="3425">
        <v>8.33</v>
      </c>
      <c r="AA3207" s="3425">
        <v>8.33</v>
      </c>
      <c r="AB3207" s="583">
        <v>8.33</v>
      </c>
      <c r="AC3207" s="2919">
        <v>8.0559951349156371</v>
      </c>
      <c r="AD3207" s="3050">
        <v>7.8746004975378812</v>
      </c>
      <c r="AE3207" s="3429"/>
      <c r="AF3207" s="3421"/>
      <c r="AG3207" s="3421"/>
      <c r="AH3207" s="156"/>
      <c r="AI3207" s="156"/>
      <c r="AJ3207" s="156"/>
      <c r="AK3207" s="156"/>
      <c r="AL3207" s="156"/>
      <c r="AM3207" s="156"/>
      <c r="AN3207" s="156"/>
      <c r="AO3207" s="156"/>
      <c r="AP3207" s="156"/>
      <c r="AQ3207" s="156"/>
      <c r="AR3207" s="156"/>
      <c r="AS3207" s="156"/>
      <c r="AT3207" s="156"/>
      <c r="AU3207" s="156"/>
      <c r="AV3207" s="156"/>
      <c r="AW3207" s="156"/>
      <c r="AX3207" s="156"/>
      <c r="AY3207" s="156"/>
      <c r="AZ3207" s="156"/>
      <c r="BA3207" s="156"/>
      <c r="BB3207" s="2828"/>
      <c r="BC3207" s="452"/>
      <c r="BD3207" s="2829"/>
      <c r="BE3207" s="2837"/>
      <c r="BF3207" s="156"/>
    </row>
    <row r="3208" spans="1:58" ht="15" customHeight="1" outlineLevel="1" x14ac:dyDescent="0.35">
      <c r="A3208" s="1071"/>
      <c r="B3208" s="2812"/>
      <c r="C3208" s="3077"/>
      <c r="D3208" s="3980"/>
      <c r="E3208" s="3883"/>
      <c r="F3208" s="3984" t="str">
        <f>$E$1754</f>
        <v>ASHP-SEER17-Replace_CAC_ElectricHeat_ER2_SF</v>
      </c>
      <c r="G3208" s="3984"/>
      <c r="H3208" s="3984"/>
      <c r="I3208" s="3984"/>
      <c r="J3208" s="3501" t="str">
        <f>$C$1754</f>
        <v>354100_2021_12_</v>
      </c>
      <c r="K3208" s="3051">
        <v>13</v>
      </c>
      <c r="L3208" s="704"/>
      <c r="M3208" s="3022" t="s">
        <v>1070</v>
      </c>
      <c r="N3208" s="106"/>
      <c r="O3208" s="106"/>
      <c r="P3208" s="106"/>
      <c r="Q3208" s="106"/>
      <c r="R3208" s="106"/>
      <c r="S3208" s="106"/>
      <c r="T3208" s="106"/>
      <c r="U3208" s="106"/>
      <c r="V3208" s="3980"/>
      <c r="W3208" s="3421">
        <v>13</v>
      </c>
      <c r="X3208" s="3421">
        <v>13</v>
      </c>
      <c r="Y3208" s="3425">
        <v>13</v>
      </c>
      <c r="Z3208" s="3425">
        <v>13</v>
      </c>
      <c r="AA3208" s="3425">
        <v>13</v>
      </c>
      <c r="AB3208" s="583">
        <v>13</v>
      </c>
      <c r="AC3208" s="2920">
        <v>13</v>
      </c>
      <c r="AD3208" s="3051">
        <v>13</v>
      </c>
      <c r="AE3208" s="3429"/>
      <c r="AF3208" s="3421"/>
      <c r="AG3208" s="3421"/>
      <c r="AH3208" s="156"/>
      <c r="AI3208" s="156"/>
      <c r="AJ3208" s="156"/>
      <c r="AK3208" s="156"/>
      <c r="AL3208" s="156"/>
      <c r="AM3208" s="156"/>
      <c r="AN3208" s="156"/>
      <c r="AO3208" s="156"/>
      <c r="AP3208" s="156"/>
      <c r="AQ3208" s="156"/>
      <c r="AR3208" s="156"/>
      <c r="AS3208" s="156"/>
      <c r="AT3208" s="156"/>
      <c r="AU3208" s="156"/>
      <c r="AV3208" s="156"/>
      <c r="AW3208" s="156"/>
      <c r="AX3208" s="156"/>
      <c r="AY3208" s="156"/>
      <c r="AZ3208" s="156"/>
      <c r="BA3208" s="156"/>
      <c r="BB3208" s="2828"/>
      <c r="BC3208" s="452"/>
      <c r="BD3208" s="2829"/>
      <c r="BE3208" s="2837"/>
      <c r="BF3208" s="156"/>
    </row>
    <row r="3209" spans="1:58" ht="15" customHeight="1" outlineLevel="1" x14ac:dyDescent="0.35">
      <c r="A3209" s="1071"/>
      <c r="B3209" s="2812"/>
      <c r="C3209" s="3077"/>
      <c r="D3209" s="3980"/>
      <c r="E3209" s="3883"/>
      <c r="F3209" s="3984" t="str">
        <f>$E$1756</f>
        <v>ASHP-SEER17-Replace_CAC_NonElectricHeat_ER1_SF</v>
      </c>
      <c r="G3209" s="3984"/>
      <c r="H3209" s="3984"/>
      <c r="I3209" s="3984"/>
      <c r="J3209" s="3501" t="str">
        <f>$C$1756</f>
        <v>354110_2021_12_</v>
      </c>
      <c r="K3209" s="3050">
        <v>7.8746004975378812</v>
      </c>
      <c r="L3209" s="704"/>
      <c r="M3209" s="3022" t="s">
        <v>1083</v>
      </c>
      <c r="N3209" s="106"/>
      <c r="O3209" s="106"/>
      <c r="P3209" s="106"/>
      <c r="Q3209" s="106"/>
      <c r="R3209" s="106"/>
      <c r="S3209" s="106"/>
      <c r="T3209" s="106"/>
      <c r="U3209" s="106"/>
      <c r="V3209" s="3980"/>
      <c r="W3209" s="3421"/>
      <c r="X3209" s="3421"/>
      <c r="Y3209" s="3425"/>
      <c r="Z3209" s="3425"/>
      <c r="AA3209" s="3425"/>
      <c r="AB3209" s="583"/>
      <c r="AC3209" s="2919">
        <v>8.0559951349156371</v>
      </c>
      <c r="AD3209" s="3050">
        <v>7.8746004975378812</v>
      </c>
      <c r="AE3209" s="3429"/>
      <c r="AF3209" s="3421"/>
      <c r="AG3209" s="3421"/>
      <c r="AH3209" s="156"/>
      <c r="AI3209" s="156"/>
      <c r="AJ3209" s="156"/>
      <c r="AK3209" s="156"/>
      <c r="AL3209" s="156"/>
      <c r="AM3209" s="156"/>
      <c r="AN3209" s="156"/>
      <c r="AO3209" s="156"/>
      <c r="AP3209" s="156"/>
      <c r="AQ3209" s="156"/>
      <c r="AR3209" s="156"/>
      <c r="AS3209" s="156"/>
      <c r="AT3209" s="156"/>
      <c r="AU3209" s="156"/>
      <c r="AV3209" s="156"/>
      <c r="AW3209" s="156"/>
      <c r="AX3209" s="156"/>
      <c r="AY3209" s="156"/>
      <c r="AZ3209" s="156"/>
      <c r="BA3209" s="156"/>
      <c r="BB3209" s="2828"/>
      <c r="BC3209" s="452"/>
      <c r="BD3209" s="2829"/>
      <c r="BE3209" s="2837"/>
      <c r="BF3209" s="156"/>
    </row>
    <row r="3210" spans="1:58" ht="15" customHeight="1" outlineLevel="1" x14ac:dyDescent="0.35">
      <c r="A3210" s="1071"/>
      <c r="B3210" s="2812"/>
      <c r="C3210" s="3077"/>
      <c r="D3210" s="3980"/>
      <c r="E3210" s="3883"/>
      <c r="F3210" s="3984" t="str">
        <f>$E$1758</f>
        <v>ASHP-SEER17-Replace_CAC_NonElectricHeat_ER2_SF</v>
      </c>
      <c r="G3210" s="3984"/>
      <c r="H3210" s="3984"/>
      <c r="I3210" s="3984"/>
      <c r="J3210" s="3501" t="str">
        <f>$C$1758</f>
        <v>354110_2021_12_</v>
      </c>
      <c r="K3210" s="3051">
        <v>13</v>
      </c>
      <c r="L3210" s="704"/>
      <c r="M3210" s="3022" t="s">
        <v>1070</v>
      </c>
      <c r="N3210" s="106"/>
      <c r="O3210" s="106"/>
      <c r="P3210" s="106"/>
      <c r="Q3210" s="106"/>
      <c r="R3210" s="106"/>
      <c r="S3210" s="106"/>
      <c r="T3210" s="106"/>
      <c r="U3210" s="106"/>
      <c r="V3210" s="3980"/>
      <c r="W3210" s="3421"/>
      <c r="X3210" s="3421"/>
      <c r="Y3210" s="3425"/>
      <c r="Z3210" s="3425"/>
      <c r="AA3210" s="3425"/>
      <c r="AB3210" s="583"/>
      <c r="AC3210" s="2919">
        <v>13</v>
      </c>
      <c r="AD3210" s="3051">
        <v>13</v>
      </c>
      <c r="AE3210" s="3429"/>
      <c r="AF3210" s="3421"/>
      <c r="AG3210" s="3421"/>
      <c r="AH3210" s="156"/>
      <c r="AI3210" s="156"/>
      <c r="AJ3210" s="156"/>
      <c r="AK3210" s="156"/>
      <c r="AL3210" s="156"/>
      <c r="AM3210" s="156"/>
      <c r="AN3210" s="156"/>
      <c r="AO3210" s="156"/>
      <c r="AP3210" s="156"/>
      <c r="AQ3210" s="156"/>
      <c r="AR3210" s="156"/>
      <c r="AS3210" s="156"/>
      <c r="AT3210" s="156"/>
      <c r="AU3210" s="156"/>
      <c r="AV3210" s="156"/>
      <c r="AW3210" s="156"/>
      <c r="AX3210" s="156"/>
      <c r="AY3210" s="156"/>
      <c r="AZ3210" s="156"/>
      <c r="BA3210" s="156"/>
      <c r="BB3210" s="2828"/>
      <c r="BC3210" s="452"/>
      <c r="BD3210" s="2829"/>
      <c r="BE3210" s="2837"/>
      <c r="BF3210" s="156"/>
    </row>
    <row r="3211" spans="1:58" ht="15" customHeight="1" outlineLevel="1" x14ac:dyDescent="0.35">
      <c r="A3211" s="1071"/>
      <c r="B3211" s="2812"/>
      <c r="C3211" s="3077"/>
      <c r="D3211" s="3980"/>
      <c r="E3211" s="3883"/>
      <c r="F3211" s="3984" t="str">
        <f>$E$1760</f>
        <v>ASHP-SEER17-Replace_CAC_ElectricHeat_ER1_MF</v>
      </c>
      <c r="G3211" s="3984"/>
      <c r="H3211" s="3984"/>
      <c r="I3211" s="3984"/>
      <c r="J3211" s="3501" t="str">
        <f>$C$1760</f>
        <v>354150_2019_12_</v>
      </c>
      <c r="K3211" s="3051">
        <v>8.33</v>
      </c>
      <c r="L3211" s="704"/>
      <c r="M3211" s="3022" t="s">
        <v>1070</v>
      </c>
      <c r="N3211" s="106"/>
      <c r="O3211" s="106"/>
      <c r="P3211" s="106"/>
      <c r="Q3211" s="106"/>
      <c r="R3211" s="106"/>
      <c r="S3211" s="106"/>
      <c r="T3211" s="106"/>
      <c r="U3211" s="106"/>
      <c r="V3211" s="3980"/>
      <c r="W3211" s="3421">
        <v>6.8</v>
      </c>
      <c r="X3211" s="2374">
        <v>8.33</v>
      </c>
      <c r="Y3211" s="3425">
        <v>8.33</v>
      </c>
      <c r="Z3211" s="3425">
        <v>8.33</v>
      </c>
      <c r="AA3211" s="3425">
        <v>8.33</v>
      </c>
      <c r="AB3211" s="583">
        <v>8.33</v>
      </c>
      <c r="AC3211" s="2920">
        <v>8.33</v>
      </c>
      <c r="AD3211" s="3051">
        <v>8.33</v>
      </c>
      <c r="AE3211" s="3429"/>
      <c r="AF3211" s="3421"/>
      <c r="AG3211" s="3421"/>
      <c r="AH3211" s="156"/>
      <c r="AI3211" s="156"/>
      <c r="AJ3211" s="156"/>
      <c r="AK3211" s="156"/>
      <c r="AL3211" s="156"/>
      <c r="AM3211" s="156"/>
      <c r="AN3211" s="156"/>
      <c r="AO3211" s="156"/>
      <c r="AP3211" s="156"/>
      <c r="AQ3211" s="156"/>
      <c r="AR3211" s="156"/>
      <c r="AS3211" s="156"/>
      <c r="AT3211" s="156"/>
      <c r="AU3211" s="156"/>
      <c r="AV3211" s="156"/>
      <c r="AW3211" s="156"/>
      <c r="AX3211" s="156"/>
      <c r="AY3211" s="156"/>
      <c r="AZ3211" s="156"/>
      <c r="BA3211" s="156"/>
      <c r="BB3211" s="2828"/>
      <c r="BC3211" s="452"/>
      <c r="BD3211" s="2829"/>
      <c r="BE3211" s="2837"/>
      <c r="BF3211" s="156"/>
    </row>
    <row r="3212" spans="1:58" ht="15" customHeight="1" outlineLevel="1" x14ac:dyDescent="0.35">
      <c r="A3212" s="1071"/>
      <c r="B3212" s="2812"/>
      <c r="C3212" s="3077"/>
      <c r="D3212" s="3980"/>
      <c r="E3212" s="3883"/>
      <c r="F3212" s="3984" t="str">
        <f>$E$1762</f>
        <v>ASHP-SEER17-Replace_CAC_ElectricHeat_ER2_MF</v>
      </c>
      <c r="G3212" s="3984"/>
      <c r="H3212" s="3984"/>
      <c r="I3212" s="3984"/>
      <c r="J3212" s="3501" t="str">
        <f>$C$1762</f>
        <v>354150_2019_12_</v>
      </c>
      <c r="K3212" s="3051">
        <v>13</v>
      </c>
      <c r="L3212" s="704"/>
      <c r="M3212" s="3022" t="s">
        <v>1070</v>
      </c>
      <c r="N3212" s="106"/>
      <c r="O3212" s="106"/>
      <c r="P3212" s="106"/>
      <c r="Q3212" s="106"/>
      <c r="R3212" s="106"/>
      <c r="S3212" s="106"/>
      <c r="T3212" s="106"/>
      <c r="U3212" s="106"/>
      <c r="V3212" s="3980"/>
      <c r="W3212" s="3421">
        <v>13</v>
      </c>
      <c r="X3212" s="3421">
        <v>13</v>
      </c>
      <c r="Y3212" s="3425">
        <v>13</v>
      </c>
      <c r="Z3212" s="3425">
        <v>13</v>
      </c>
      <c r="AA3212" s="3425">
        <v>13</v>
      </c>
      <c r="AB3212" s="583">
        <v>13</v>
      </c>
      <c r="AC3212" s="2920">
        <v>13</v>
      </c>
      <c r="AD3212" s="3051">
        <v>13</v>
      </c>
      <c r="AE3212" s="3429"/>
      <c r="AF3212" s="3421"/>
      <c r="AG3212" s="3421"/>
      <c r="AH3212" s="156"/>
      <c r="AI3212" s="156"/>
      <c r="AJ3212" s="156"/>
      <c r="AK3212" s="156"/>
      <c r="AL3212" s="156"/>
      <c r="AM3212" s="156"/>
      <c r="AN3212" s="156"/>
      <c r="AO3212" s="156"/>
      <c r="AP3212" s="156"/>
      <c r="AQ3212" s="156"/>
      <c r="AR3212" s="156"/>
      <c r="AS3212" s="156"/>
      <c r="AT3212" s="156"/>
      <c r="AU3212" s="156"/>
      <c r="AV3212" s="156"/>
      <c r="AW3212" s="156"/>
      <c r="AX3212" s="156"/>
      <c r="AY3212" s="156"/>
      <c r="AZ3212" s="156"/>
      <c r="BA3212" s="156"/>
      <c r="BB3212" s="2828"/>
      <c r="BC3212" s="452"/>
      <c r="BD3212" s="2829"/>
      <c r="BE3212" s="2837"/>
      <c r="BF3212" s="156"/>
    </row>
    <row r="3213" spans="1:58" ht="15" customHeight="1" outlineLevel="1" x14ac:dyDescent="0.35">
      <c r="A3213" s="1071"/>
      <c r="B3213" s="2812"/>
      <c r="C3213" s="3077"/>
      <c r="D3213" s="3980"/>
      <c r="E3213" s="3883"/>
      <c r="F3213" s="3984" t="str">
        <f>$E$1764</f>
        <v>ASHP-SEER17-Replace_CAC_ElectricHeat_ER1_MF_CompE</v>
      </c>
      <c r="G3213" s="3984"/>
      <c r="H3213" s="3984"/>
      <c r="I3213" s="3984"/>
      <c r="J3213" s="3501" t="str">
        <f>$C$1764</f>
        <v>354151_2019_12_</v>
      </c>
      <c r="K3213" s="3051">
        <v>8.33</v>
      </c>
      <c r="L3213" s="704"/>
      <c r="M3213" s="3022" t="s">
        <v>1070</v>
      </c>
      <c r="N3213" s="106"/>
      <c r="O3213" s="106"/>
      <c r="P3213" s="106"/>
      <c r="Q3213" s="106"/>
      <c r="R3213" s="106"/>
      <c r="S3213" s="106"/>
      <c r="T3213" s="106"/>
      <c r="U3213" s="106"/>
      <c r="V3213" s="3980"/>
      <c r="W3213" s="3421"/>
      <c r="X3213" s="3421"/>
      <c r="Y3213" s="2377">
        <v>8.33</v>
      </c>
      <c r="Z3213" s="3425">
        <v>8.33</v>
      </c>
      <c r="AA3213" s="3425">
        <v>8.33</v>
      </c>
      <c r="AB3213" s="583">
        <v>8.33</v>
      </c>
      <c r="AC3213" s="2920">
        <v>8.33</v>
      </c>
      <c r="AD3213" s="3051">
        <v>8.33</v>
      </c>
      <c r="AE3213" s="3429"/>
      <c r="AF3213" s="3421"/>
      <c r="AG3213" s="3421"/>
      <c r="AH3213" s="156"/>
      <c r="AI3213" s="156"/>
      <c r="AJ3213" s="156"/>
      <c r="AK3213" s="156"/>
      <c r="AL3213" s="156"/>
      <c r="AM3213" s="156"/>
      <c r="AN3213" s="156"/>
      <c r="AO3213" s="156"/>
      <c r="AP3213" s="156"/>
      <c r="AQ3213" s="156"/>
      <c r="AR3213" s="156"/>
      <c r="AS3213" s="156"/>
      <c r="AT3213" s="156"/>
      <c r="AU3213" s="156"/>
      <c r="AV3213" s="156"/>
      <c r="AW3213" s="156"/>
      <c r="AX3213" s="156"/>
      <c r="AY3213" s="156"/>
      <c r="AZ3213" s="156"/>
      <c r="BA3213" s="156"/>
      <c r="BB3213" s="2828"/>
      <c r="BC3213" s="452"/>
      <c r="BD3213" s="2829"/>
      <c r="BE3213" s="2837"/>
      <c r="BF3213" s="156"/>
    </row>
    <row r="3214" spans="1:58" ht="15" customHeight="1" outlineLevel="1" x14ac:dyDescent="0.35">
      <c r="A3214" s="1071"/>
      <c r="B3214" s="2812"/>
      <c r="C3214" s="3077"/>
      <c r="D3214" s="3980"/>
      <c r="E3214" s="3883"/>
      <c r="F3214" s="3984" t="str">
        <f>$E$1766</f>
        <v>ASHP-SEER17-Replace_CAC_ElectricHeat_ER2_MF_CompE</v>
      </c>
      <c r="G3214" s="3984"/>
      <c r="H3214" s="3984"/>
      <c r="I3214" s="3984"/>
      <c r="J3214" s="3501" t="str">
        <f>$C$1766</f>
        <v>354151_2019_12_</v>
      </c>
      <c r="K3214" s="3051">
        <v>13</v>
      </c>
      <c r="L3214" s="704"/>
      <c r="M3214" s="3022" t="s">
        <v>1070</v>
      </c>
      <c r="N3214" s="106"/>
      <c r="O3214" s="106"/>
      <c r="P3214" s="106"/>
      <c r="Q3214" s="106"/>
      <c r="R3214" s="106"/>
      <c r="S3214" s="106"/>
      <c r="T3214" s="106"/>
      <c r="U3214" s="106"/>
      <c r="V3214" s="3980"/>
      <c r="W3214" s="3421"/>
      <c r="X3214" s="3421"/>
      <c r="Y3214" s="2377">
        <v>13</v>
      </c>
      <c r="Z3214" s="3425">
        <v>13</v>
      </c>
      <c r="AA3214" s="3425">
        <v>13</v>
      </c>
      <c r="AB3214" s="583">
        <v>13</v>
      </c>
      <c r="AC3214" s="2920">
        <v>13</v>
      </c>
      <c r="AD3214" s="3051">
        <v>13</v>
      </c>
      <c r="AE3214" s="3429"/>
      <c r="AF3214" s="3421"/>
      <c r="AG3214" s="3421"/>
      <c r="AH3214" s="156"/>
      <c r="AI3214" s="156"/>
      <c r="AJ3214" s="156"/>
      <c r="AK3214" s="156"/>
      <c r="AL3214" s="156"/>
      <c r="AM3214" s="156"/>
      <c r="AN3214" s="156"/>
      <c r="AO3214" s="156"/>
      <c r="AP3214" s="156"/>
      <c r="AQ3214" s="156"/>
      <c r="AR3214" s="156"/>
      <c r="AS3214" s="156"/>
      <c r="AT3214" s="156"/>
      <c r="AU3214" s="156"/>
      <c r="AV3214" s="156"/>
      <c r="AW3214" s="156"/>
      <c r="AX3214" s="156"/>
      <c r="AY3214" s="156"/>
      <c r="AZ3214" s="156"/>
      <c r="BA3214" s="156"/>
      <c r="BB3214" s="2828"/>
      <c r="BC3214" s="452"/>
      <c r="BD3214" s="2829"/>
      <c r="BE3214" s="2837"/>
      <c r="BF3214" s="156"/>
    </row>
    <row r="3215" spans="1:58" ht="15" customHeight="1" outlineLevel="1" x14ac:dyDescent="0.35">
      <c r="A3215" s="1071"/>
      <c r="B3215" s="2812"/>
      <c r="C3215" s="3077"/>
      <c r="D3215" s="3980"/>
      <c r="E3215" s="3883"/>
      <c r="F3215" s="3984" t="str">
        <f>$E$1768</f>
        <v>ASHP-SEER17-Replace_CAC_NonElectricHeat_ER1_MF</v>
      </c>
      <c r="G3215" s="3984"/>
      <c r="H3215" s="3984"/>
      <c r="I3215" s="3984"/>
      <c r="J3215" s="3501" t="str">
        <f>$C$1768</f>
        <v>354160_2021_12_</v>
      </c>
      <c r="K3215" s="3051">
        <v>8.33</v>
      </c>
      <c r="L3215" s="704"/>
      <c r="M3215" s="3022" t="s">
        <v>1083</v>
      </c>
      <c r="N3215" s="106"/>
      <c r="O3215" s="106"/>
      <c r="P3215" s="106"/>
      <c r="Q3215" s="106"/>
      <c r="R3215" s="106"/>
      <c r="S3215" s="106"/>
      <c r="T3215" s="106"/>
      <c r="U3215" s="106"/>
      <c r="V3215" s="3980"/>
      <c r="W3215" s="3421"/>
      <c r="X3215" s="3421"/>
      <c r="Y3215" s="2377"/>
      <c r="Z3215" s="3425"/>
      <c r="AA3215" s="3425"/>
      <c r="AB3215" s="583"/>
      <c r="AC3215" s="2919">
        <v>8.33</v>
      </c>
      <c r="AD3215" s="3051">
        <v>8.33</v>
      </c>
      <c r="AE3215" s="3429"/>
      <c r="AF3215" s="3421"/>
      <c r="AG3215" s="3421"/>
      <c r="AH3215" s="156"/>
      <c r="AI3215" s="156"/>
      <c r="AJ3215" s="156"/>
      <c r="AK3215" s="156"/>
      <c r="AL3215" s="156"/>
      <c r="AM3215" s="156"/>
      <c r="AN3215" s="156"/>
      <c r="AO3215" s="156"/>
      <c r="AP3215" s="156"/>
      <c r="AQ3215" s="156"/>
      <c r="AR3215" s="156"/>
      <c r="AS3215" s="156"/>
      <c r="AT3215" s="156"/>
      <c r="AU3215" s="156"/>
      <c r="AV3215" s="156"/>
      <c r="AW3215" s="156"/>
      <c r="AX3215" s="156"/>
      <c r="AY3215" s="156"/>
      <c r="AZ3215" s="156"/>
      <c r="BA3215" s="156"/>
      <c r="BB3215" s="2828"/>
      <c r="BC3215" s="452"/>
      <c r="BD3215" s="2829"/>
      <c r="BE3215" s="2837"/>
      <c r="BF3215" s="156"/>
    </row>
    <row r="3216" spans="1:58" ht="15" customHeight="1" outlineLevel="1" x14ac:dyDescent="0.35">
      <c r="A3216" s="1071"/>
      <c r="B3216" s="2812"/>
      <c r="C3216" s="3077"/>
      <c r="D3216" s="3980"/>
      <c r="E3216" s="3883"/>
      <c r="F3216" s="3984" t="str">
        <f>$E$1770</f>
        <v>ASHP-SEER17-Replace_CAC_NonElectricHeat_ER2_MF</v>
      </c>
      <c r="G3216" s="3984"/>
      <c r="H3216" s="3984"/>
      <c r="I3216" s="3984"/>
      <c r="J3216" s="3501" t="str">
        <f>$C$1770</f>
        <v>354160_2021_12_</v>
      </c>
      <c r="K3216" s="3051">
        <v>13</v>
      </c>
      <c r="L3216" s="704"/>
      <c r="M3216" s="3022" t="s">
        <v>1070</v>
      </c>
      <c r="N3216" s="106"/>
      <c r="O3216" s="106"/>
      <c r="P3216" s="106"/>
      <c r="Q3216" s="106"/>
      <c r="R3216" s="106"/>
      <c r="S3216" s="106"/>
      <c r="T3216" s="106"/>
      <c r="U3216" s="106"/>
      <c r="V3216" s="3980"/>
      <c r="W3216" s="3421"/>
      <c r="X3216" s="3421"/>
      <c r="Y3216" s="2377"/>
      <c r="Z3216" s="3425"/>
      <c r="AA3216" s="3425"/>
      <c r="AB3216" s="583"/>
      <c r="AC3216" s="2919">
        <v>13</v>
      </c>
      <c r="AD3216" s="3051">
        <v>13</v>
      </c>
      <c r="AE3216" s="3429"/>
      <c r="AF3216" s="3421"/>
      <c r="AG3216" s="3421"/>
      <c r="AH3216" s="156"/>
      <c r="AI3216" s="156"/>
      <c r="AJ3216" s="156"/>
      <c r="AK3216" s="156"/>
      <c r="AL3216" s="156"/>
      <c r="AM3216" s="156"/>
      <c r="AN3216" s="156"/>
      <c r="AO3216" s="156"/>
      <c r="AP3216" s="156"/>
      <c r="AQ3216" s="156"/>
      <c r="AR3216" s="156"/>
      <c r="AS3216" s="156"/>
      <c r="AT3216" s="156"/>
      <c r="AU3216" s="156"/>
      <c r="AV3216" s="156"/>
      <c r="AW3216" s="156"/>
      <c r="AX3216" s="156"/>
      <c r="AY3216" s="156"/>
      <c r="AZ3216" s="156"/>
      <c r="BA3216" s="156"/>
      <c r="BB3216" s="2828"/>
      <c r="BC3216" s="452"/>
      <c r="BD3216" s="2829"/>
      <c r="BE3216" s="2837"/>
      <c r="BF3216" s="156"/>
    </row>
    <row r="3217" spans="1:58" ht="15" customHeight="1" outlineLevel="1" x14ac:dyDescent="0.35">
      <c r="A3217" s="1071"/>
      <c r="B3217" s="2812"/>
      <c r="C3217" s="3077"/>
      <c r="D3217" s="3980"/>
      <c r="E3217" s="3883"/>
      <c r="F3217" s="3984" t="str">
        <f>$E$1772</f>
        <v>ASHP-SEER17-Replace_CAC_NonElectricHeat_ER1_MF_CompE</v>
      </c>
      <c r="G3217" s="3984"/>
      <c r="H3217" s="3984"/>
      <c r="I3217" s="3984"/>
      <c r="J3217" s="3501" t="str">
        <f>$C$1772</f>
        <v>354161_2021_12_</v>
      </c>
      <c r="K3217" s="3051">
        <v>8.33</v>
      </c>
      <c r="L3217" s="704"/>
      <c r="M3217" s="3022" t="s">
        <v>1083</v>
      </c>
      <c r="N3217" s="106"/>
      <c r="O3217" s="106"/>
      <c r="P3217" s="106"/>
      <c r="Q3217" s="106"/>
      <c r="R3217" s="106"/>
      <c r="S3217" s="106"/>
      <c r="T3217" s="106"/>
      <c r="U3217" s="106"/>
      <c r="V3217" s="3980"/>
      <c r="W3217" s="3421"/>
      <c r="X3217" s="3421"/>
      <c r="Y3217" s="2377"/>
      <c r="Z3217" s="3425"/>
      <c r="AA3217" s="3425"/>
      <c r="AB3217" s="583"/>
      <c r="AC3217" s="2919">
        <v>8.33</v>
      </c>
      <c r="AD3217" s="3051">
        <v>8.33</v>
      </c>
      <c r="AE3217" s="3429"/>
      <c r="AF3217" s="3421"/>
      <c r="AG3217" s="3421"/>
      <c r="AH3217" s="156"/>
      <c r="AI3217" s="156"/>
      <c r="AJ3217" s="156"/>
      <c r="AK3217" s="156"/>
      <c r="AL3217" s="156"/>
      <c r="AM3217" s="156"/>
      <c r="AN3217" s="156"/>
      <c r="AO3217" s="156"/>
      <c r="AP3217" s="156"/>
      <c r="AQ3217" s="156"/>
      <c r="AR3217" s="156"/>
      <c r="AS3217" s="156"/>
      <c r="AT3217" s="156"/>
      <c r="AU3217" s="156"/>
      <c r="AV3217" s="156"/>
      <c r="AW3217" s="156"/>
      <c r="AX3217" s="156"/>
      <c r="AY3217" s="156"/>
      <c r="AZ3217" s="156"/>
      <c r="BA3217" s="156"/>
      <c r="BB3217" s="2828"/>
      <c r="BC3217" s="452"/>
      <c r="BD3217" s="2829"/>
      <c r="BE3217" s="2837"/>
      <c r="BF3217" s="156"/>
    </row>
    <row r="3218" spans="1:58" ht="15" customHeight="1" outlineLevel="1" x14ac:dyDescent="0.35">
      <c r="A3218" s="1071"/>
      <c r="B3218" s="2812"/>
      <c r="C3218" s="3077"/>
      <c r="D3218" s="3980"/>
      <c r="E3218" s="3883"/>
      <c r="F3218" s="3984" t="str">
        <f>$E$1774</f>
        <v>ASHP-SEER17-Replace_CAC_NonElectricHeat_ER2_MF_CompE</v>
      </c>
      <c r="G3218" s="3984"/>
      <c r="H3218" s="3984"/>
      <c r="I3218" s="3984"/>
      <c r="J3218" s="3501" t="str">
        <f>$C$1774</f>
        <v>354161_2021_12_</v>
      </c>
      <c r="K3218" s="3051">
        <v>13</v>
      </c>
      <c r="L3218" s="704"/>
      <c r="M3218" s="3022" t="s">
        <v>1070</v>
      </c>
      <c r="N3218" s="106"/>
      <c r="O3218" s="106"/>
      <c r="P3218" s="106"/>
      <c r="Q3218" s="106"/>
      <c r="R3218" s="106"/>
      <c r="S3218" s="106"/>
      <c r="T3218" s="106"/>
      <c r="U3218" s="106"/>
      <c r="V3218" s="3980"/>
      <c r="W3218" s="3421"/>
      <c r="X3218" s="3421"/>
      <c r="Y3218" s="2377"/>
      <c r="Z3218" s="3425"/>
      <c r="AA3218" s="3425"/>
      <c r="AB3218" s="583"/>
      <c r="AC3218" s="2919">
        <v>13</v>
      </c>
      <c r="AD3218" s="3051">
        <v>13</v>
      </c>
      <c r="AE3218" s="3429"/>
      <c r="AF3218" s="3421"/>
      <c r="AG3218" s="3421"/>
      <c r="AH3218" s="156"/>
      <c r="AI3218" s="156"/>
      <c r="AJ3218" s="156"/>
      <c r="AK3218" s="156"/>
      <c r="AL3218" s="156"/>
      <c r="AM3218" s="156"/>
      <c r="AN3218" s="156"/>
      <c r="AO3218" s="156"/>
      <c r="AP3218" s="156"/>
      <c r="AQ3218" s="156"/>
      <c r="AR3218" s="156"/>
      <c r="AS3218" s="156"/>
      <c r="AT3218" s="156"/>
      <c r="AU3218" s="156"/>
      <c r="AV3218" s="156"/>
      <c r="AW3218" s="156"/>
      <c r="AX3218" s="156"/>
      <c r="AY3218" s="156"/>
      <c r="AZ3218" s="156"/>
      <c r="BA3218" s="156"/>
      <c r="BB3218" s="2828"/>
      <c r="BC3218" s="452"/>
      <c r="BD3218" s="2829"/>
      <c r="BE3218" s="2837"/>
      <c r="BF3218" s="156"/>
    </row>
    <row r="3219" spans="1:58" ht="15" customHeight="1" outlineLevel="1" x14ac:dyDescent="0.35">
      <c r="A3219" s="1071"/>
      <c r="B3219" s="2812"/>
      <c r="C3219" s="3077"/>
      <c r="D3219" s="3980"/>
      <c r="E3219" s="3883"/>
      <c r="F3219" s="3984" t="str">
        <f>$E$1776</f>
        <v>ASHP-SEER17_ER1_MF</v>
      </c>
      <c r="G3219" s="3984"/>
      <c r="H3219" s="3984"/>
      <c r="I3219" s="3984"/>
      <c r="J3219" s="3501" t="str">
        <f>$C$1776</f>
        <v>354200_2019_12_</v>
      </c>
      <c r="K3219" s="3051">
        <v>8.33</v>
      </c>
      <c r="L3219" s="704"/>
      <c r="M3219" s="3022" t="s">
        <v>1070</v>
      </c>
      <c r="N3219" s="106"/>
      <c r="O3219" s="106"/>
      <c r="P3219" s="106"/>
      <c r="Q3219" s="106"/>
      <c r="R3219" s="106"/>
      <c r="S3219" s="106"/>
      <c r="T3219" s="106"/>
      <c r="U3219" s="106"/>
      <c r="V3219" s="3980"/>
      <c r="W3219" s="3421">
        <v>7.2</v>
      </c>
      <c r="X3219" s="2374">
        <v>8.33</v>
      </c>
      <c r="Y3219" s="3425">
        <v>8.33</v>
      </c>
      <c r="Z3219" s="3425">
        <v>8.33</v>
      </c>
      <c r="AA3219" s="3425">
        <v>8.33</v>
      </c>
      <c r="AB3219" s="583">
        <v>8.33</v>
      </c>
      <c r="AC3219" s="2920">
        <v>8.33</v>
      </c>
      <c r="AD3219" s="3051">
        <v>8.33</v>
      </c>
      <c r="AE3219" s="3429"/>
      <c r="AF3219" s="3421"/>
      <c r="AG3219" s="3421"/>
      <c r="AH3219" s="156"/>
      <c r="AI3219" s="156"/>
      <c r="AJ3219" s="156"/>
      <c r="AK3219" s="156"/>
      <c r="AL3219" s="156"/>
      <c r="AM3219" s="156"/>
      <c r="AN3219" s="156"/>
      <c r="AO3219" s="156"/>
      <c r="AP3219" s="156"/>
      <c r="AQ3219" s="156"/>
      <c r="AR3219" s="156"/>
      <c r="AS3219" s="156"/>
      <c r="AT3219" s="156"/>
      <c r="AU3219" s="156"/>
      <c r="AV3219" s="156"/>
      <c r="AW3219" s="156"/>
      <c r="AX3219" s="156"/>
      <c r="AY3219" s="156"/>
      <c r="AZ3219" s="156"/>
      <c r="BA3219" s="156"/>
      <c r="BB3219" s="2828"/>
      <c r="BC3219" s="452"/>
      <c r="BD3219" s="2829"/>
      <c r="BE3219" s="2837"/>
      <c r="BF3219" s="156"/>
    </row>
    <row r="3220" spans="1:58" ht="15" customHeight="1" outlineLevel="1" x14ac:dyDescent="0.35">
      <c r="A3220" s="1071"/>
      <c r="B3220" s="2812"/>
      <c r="C3220" s="3077"/>
      <c r="D3220" s="3980"/>
      <c r="E3220" s="3883"/>
      <c r="F3220" s="3984" t="str">
        <f>$E$1778</f>
        <v>ASHP-SEER17_ER2_MF</v>
      </c>
      <c r="G3220" s="3984"/>
      <c r="H3220" s="3984"/>
      <c r="I3220" s="3984"/>
      <c r="J3220" s="3501" t="str">
        <f>$C$1778</f>
        <v>354200_2019_12_</v>
      </c>
      <c r="K3220" s="3051">
        <v>14</v>
      </c>
      <c r="L3220" s="704"/>
      <c r="M3220" s="3022" t="s">
        <v>1070</v>
      </c>
      <c r="N3220" s="106"/>
      <c r="O3220" s="106"/>
      <c r="P3220" s="106"/>
      <c r="Q3220" s="106"/>
      <c r="R3220" s="106"/>
      <c r="S3220" s="106"/>
      <c r="T3220" s="106"/>
      <c r="U3220" s="106"/>
      <c r="V3220" s="3980"/>
      <c r="W3220" s="3421">
        <v>14</v>
      </c>
      <c r="X3220" s="3421">
        <v>14</v>
      </c>
      <c r="Y3220" s="3425">
        <v>14</v>
      </c>
      <c r="Z3220" s="3425">
        <v>14</v>
      </c>
      <c r="AA3220" s="3425">
        <v>14</v>
      </c>
      <c r="AB3220" s="583">
        <v>14</v>
      </c>
      <c r="AC3220" s="2920">
        <v>14</v>
      </c>
      <c r="AD3220" s="3051">
        <v>14</v>
      </c>
      <c r="AE3220" s="3429"/>
      <c r="AF3220" s="3421"/>
      <c r="AG3220" s="3421"/>
      <c r="AH3220" s="156"/>
      <c r="AI3220" s="156"/>
      <c r="AJ3220" s="156"/>
      <c r="AK3220" s="156"/>
      <c r="AL3220" s="156"/>
      <c r="AM3220" s="156"/>
      <c r="AN3220" s="156"/>
      <c r="AO3220" s="156"/>
      <c r="AP3220" s="156"/>
      <c r="AQ3220" s="156"/>
      <c r="AR3220" s="156"/>
      <c r="AS3220" s="156"/>
      <c r="AT3220" s="156"/>
      <c r="AU3220" s="156"/>
      <c r="AV3220" s="156"/>
      <c r="AW3220" s="156"/>
      <c r="AX3220" s="156"/>
      <c r="AY3220" s="156"/>
      <c r="AZ3220" s="156"/>
      <c r="BA3220" s="156"/>
      <c r="BB3220" s="2828"/>
      <c r="BC3220" s="452"/>
      <c r="BD3220" s="2829"/>
      <c r="BE3220" s="2837"/>
      <c r="BF3220" s="156"/>
    </row>
    <row r="3221" spans="1:58" ht="15" customHeight="1" outlineLevel="1" x14ac:dyDescent="0.35">
      <c r="A3221" s="1071"/>
      <c r="B3221" s="2812"/>
      <c r="C3221" s="3077"/>
      <c r="D3221" s="3980"/>
      <c r="E3221" s="3883"/>
      <c r="F3221" s="3984" t="str">
        <f>$E$1780</f>
        <v>ASHP-SEER17_ER1_MF_CompE</v>
      </c>
      <c r="G3221" s="3984"/>
      <c r="H3221" s="3984"/>
      <c r="I3221" s="3984"/>
      <c r="J3221" s="3501" t="str">
        <f>$C$1780</f>
        <v>354201_2019_12_</v>
      </c>
      <c r="K3221" s="3051">
        <v>8.33</v>
      </c>
      <c r="L3221" s="704"/>
      <c r="M3221" s="3022" t="s">
        <v>1070</v>
      </c>
      <c r="N3221" s="106"/>
      <c r="O3221" s="106"/>
      <c r="P3221" s="106"/>
      <c r="Q3221" s="106"/>
      <c r="R3221" s="106"/>
      <c r="S3221" s="106"/>
      <c r="T3221" s="106"/>
      <c r="U3221" s="106"/>
      <c r="V3221" s="3980"/>
      <c r="W3221" s="3421"/>
      <c r="X3221" s="3421"/>
      <c r="Y3221" s="2377">
        <v>8.33</v>
      </c>
      <c r="Z3221" s="3425">
        <v>8.33</v>
      </c>
      <c r="AA3221" s="3425">
        <v>8.33</v>
      </c>
      <c r="AB3221" s="583">
        <v>8.33</v>
      </c>
      <c r="AC3221" s="2920">
        <v>8.33</v>
      </c>
      <c r="AD3221" s="3051">
        <v>8.33</v>
      </c>
      <c r="AE3221" s="3429"/>
      <c r="AF3221" s="3421"/>
      <c r="AG3221" s="3421"/>
      <c r="AH3221" s="156"/>
      <c r="AI3221" s="156"/>
      <c r="AJ3221" s="156"/>
      <c r="AK3221" s="156"/>
      <c r="AL3221" s="156"/>
      <c r="AM3221" s="156"/>
      <c r="AN3221" s="156"/>
      <c r="AO3221" s="156"/>
      <c r="AP3221" s="156"/>
      <c r="AQ3221" s="156"/>
      <c r="AR3221" s="156"/>
      <c r="AS3221" s="156"/>
      <c r="AT3221" s="156"/>
      <c r="AU3221" s="156"/>
      <c r="AV3221" s="156"/>
      <c r="AW3221" s="156"/>
      <c r="AX3221" s="156"/>
      <c r="AY3221" s="156"/>
      <c r="AZ3221" s="156"/>
      <c r="BA3221" s="156"/>
      <c r="BB3221" s="2828"/>
      <c r="BC3221" s="452"/>
      <c r="BD3221" s="2829"/>
      <c r="BE3221" s="2837"/>
      <c r="BF3221" s="156"/>
    </row>
    <row r="3222" spans="1:58" ht="15" customHeight="1" outlineLevel="1" x14ac:dyDescent="0.35">
      <c r="A3222" s="1071"/>
      <c r="B3222" s="2812"/>
      <c r="C3222" s="3077"/>
      <c r="D3222" s="3980"/>
      <c r="E3222" s="3883"/>
      <c r="F3222" s="3984" t="str">
        <f>$E$1782</f>
        <v>ASHP-SEER17_ER2_MF_CompE</v>
      </c>
      <c r="G3222" s="3984"/>
      <c r="H3222" s="3984"/>
      <c r="I3222" s="3984"/>
      <c r="J3222" s="3501" t="str">
        <f>$C$1782</f>
        <v>354201_2019_12_</v>
      </c>
      <c r="K3222" s="3051">
        <v>14</v>
      </c>
      <c r="L3222" s="704"/>
      <c r="M3222" s="3022" t="s">
        <v>1070</v>
      </c>
      <c r="N3222" s="106"/>
      <c r="O3222" s="106"/>
      <c r="P3222" s="106"/>
      <c r="Q3222" s="106"/>
      <c r="R3222" s="106"/>
      <c r="S3222" s="106"/>
      <c r="T3222" s="106"/>
      <c r="U3222" s="106"/>
      <c r="V3222" s="3980"/>
      <c r="W3222" s="3421"/>
      <c r="X3222" s="3421"/>
      <c r="Y3222" s="2377">
        <v>14</v>
      </c>
      <c r="Z3222" s="3425">
        <v>14</v>
      </c>
      <c r="AA3222" s="3425">
        <v>14</v>
      </c>
      <c r="AB3222" s="583">
        <v>14</v>
      </c>
      <c r="AC3222" s="2920">
        <v>14</v>
      </c>
      <c r="AD3222" s="3051">
        <v>14</v>
      </c>
      <c r="AE3222" s="3429"/>
      <c r="AF3222" s="3421"/>
      <c r="AG3222" s="3421"/>
      <c r="AH3222" s="156"/>
      <c r="AI3222" s="156"/>
      <c r="AJ3222" s="156"/>
      <c r="AK3222" s="156"/>
      <c r="AL3222" s="156"/>
      <c r="AM3222" s="156"/>
      <c r="AN3222" s="156"/>
      <c r="AO3222" s="156"/>
      <c r="AP3222" s="156"/>
      <c r="AQ3222" s="156"/>
      <c r="AR3222" s="156"/>
      <c r="AS3222" s="156"/>
      <c r="AT3222" s="156"/>
      <c r="AU3222" s="156"/>
      <c r="AV3222" s="156"/>
      <c r="AW3222" s="156"/>
      <c r="AX3222" s="156"/>
      <c r="AY3222" s="156"/>
      <c r="AZ3222" s="156"/>
      <c r="BA3222" s="156"/>
      <c r="BB3222" s="2828"/>
      <c r="BC3222" s="452"/>
      <c r="BD3222" s="2829"/>
      <c r="BE3222" s="2837"/>
      <c r="BF3222" s="156"/>
    </row>
    <row r="3223" spans="1:58" ht="15" customHeight="1" outlineLevel="1" x14ac:dyDescent="0.35">
      <c r="A3223" s="1071"/>
      <c r="B3223" s="2812"/>
      <c r="C3223" s="3077"/>
      <c r="D3223" s="3980"/>
      <c r="E3223" s="3883"/>
      <c r="F3223" s="3984" t="str">
        <f>$E$1784</f>
        <v>ASHP-SEER18-Replace_CAC_ElectricHeat_ER1_SF</v>
      </c>
      <c r="G3223" s="3984"/>
      <c r="H3223" s="3984"/>
      <c r="I3223" s="3984"/>
      <c r="J3223" s="3501" t="str">
        <f>$C$1784</f>
        <v>354250_2021_12_</v>
      </c>
      <c r="K3223" s="3050">
        <v>7.8596801773401781</v>
      </c>
      <c r="L3223" s="704"/>
      <c r="M3223" s="3024" t="s">
        <v>4360</v>
      </c>
      <c r="N3223" s="106"/>
      <c r="O3223" s="106"/>
      <c r="P3223" s="106"/>
      <c r="Q3223" s="106"/>
      <c r="R3223" s="106"/>
      <c r="S3223" s="106"/>
      <c r="T3223" s="106"/>
      <c r="U3223" s="106"/>
      <c r="V3223" s="3980"/>
      <c r="W3223" s="3421">
        <v>6.8</v>
      </c>
      <c r="X3223" s="2374">
        <v>8.33</v>
      </c>
      <c r="Y3223" s="3425">
        <v>8.33</v>
      </c>
      <c r="Z3223" s="3425">
        <v>8.33</v>
      </c>
      <c r="AA3223" s="3425">
        <v>8.33</v>
      </c>
      <c r="AB3223" s="584">
        <v>7.6973343211156395</v>
      </c>
      <c r="AC3223" s="2919">
        <v>8.4215383390942158</v>
      </c>
      <c r="AD3223" s="3050">
        <v>7.8596801773401781</v>
      </c>
      <c r="AE3223" s="3429"/>
      <c r="AF3223" s="3421"/>
      <c r="AG3223" s="3421"/>
      <c r="AH3223" s="156"/>
      <c r="AI3223" s="156"/>
      <c r="AJ3223" s="156"/>
      <c r="AK3223" s="156"/>
      <c r="AL3223" s="156"/>
      <c r="AM3223" s="156"/>
      <c r="AN3223" s="156"/>
      <c r="AO3223" s="156"/>
      <c r="AP3223" s="156"/>
      <c r="AQ3223" s="156"/>
      <c r="AR3223" s="156"/>
      <c r="AS3223" s="156"/>
      <c r="AT3223" s="156"/>
      <c r="AU3223" s="156"/>
      <c r="AV3223" s="156"/>
      <c r="AW3223" s="156"/>
      <c r="AX3223" s="156"/>
      <c r="AY3223" s="156"/>
      <c r="AZ3223" s="156"/>
      <c r="BA3223" s="156"/>
      <c r="BB3223" s="2828"/>
      <c r="BC3223" s="452"/>
      <c r="BD3223" s="2829"/>
      <c r="BE3223" s="2837"/>
      <c r="BF3223" s="156"/>
    </row>
    <row r="3224" spans="1:58" ht="15" customHeight="1" outlineLevel="1" x14ac:dyDescent="0.35">
      <c r="A3224" s="1071"/>
      <c r="B3224" s="2812"/>
      <c r="C3224" s="3077"/>
      <c r="D3224" s="3980"/>
      <c r="E3224" s="3883"/>
      <c r="F3224" s="3984" t="str">
        <f>$E$1786</f>
        <v>ASHP-SEER18-Replace_CAC_ElectricHeat_ER2_SF</v>
      </c>
      <c r="G3224" s="3984"/>
      <c r="H3224" s="3984"/>
      <c r="I3224" s="3984"/>
      <c r="J3224" s="3501" t="str">
        <f>$C$1786</f>
        <v>354250_2021_12_</v>
      </c>
      <c r="K3224" s="3051">
        <v>13</v>
      </c>
      <c r="L3224" s="704"/>
      <c r="M3224" s="3022" t="s">
        <v>1070</v>
      </c>
      <c r="N3224" s="106"/>
      <c r="O3224" s="106"/>
      <c r="P3224" s="106"/>
      <c r="Q3224" s="106"/>
      <c r="R3224" s="106"/>
      <c r="S3224" s="106"/>
      <c r="T3224" s="106"/>
      <c r="U3224" s="106"/>
      <c r="V3224" s="3980"/>
      <c r="W3224" s="3421">
        <v>13</v>
      </c>
      <c r="X3224" s="3421">
        <v>13</v>
      </c>
      <c r="Y3224" s="3425">
        <v>13</v>
      </c>
      <c r="Z3224" s="3425">
        <v>13</v>
      </c>
      <c r="AA3224" s="3425">
        <v>13</v>
      </c>
      <c r="AB3224" s="583">
        <v>13</v>
      </c>
      <c r="AC3224" s="2920">
        <v>13</v>
      </c>
      <c r="AD3224" s="3051">
        <v>13</v>
      </c>
      <c r="AE3224" s="3429"/>
      <c r="AF3224" s="3421"/>
      <c r="AG3224" s="3421"/>
      <c r="AH3224" s="156"/>
      <c r="AI3224" s="156"/>
      <c r="AJ3224" s="156"/>
      <c r="AK3224" s="156"/>
      <c r="AL3224" s="156"/>
      <c r="AM3224" s="156"/>
      <c r="AN3224" s="156"/>
      <c r="AO3224" s="156"/>
      <c r="AP3224" s="156"/>
      <c r="AQ3224" s="156"/>
      <c r="AR3224" s="156"/>
      <c r="AS3224" s="156"/>
      <c r="AT3224" s="156"/>
      <c r="AU3224" s="156"/>
      <c r="AV3224" s="156"/>
      <c r="AW3224" s="156"/>
      <c r="AX3224" s="156"/>
      <c r="AY3224" s="156"/>
      <c r="AZ3224" s="156"/>
      <c r="BA3224" s="156"/>
      <c r="BB3224" s="2828"/>
      <c r="BC3224" s="452"/>
      <c r="BD3224" s="2829"/>
      <c r="BE3224" s="2837"/>
      <c r="BF3224" s="156"/>
    </row>
    <row r="3225" spans="1:58" ht="15" customHeight="1" outlineLevel="1" x14ac:dyDescent="0.35">
      <c r="A3225" s="1071"/>
      <c r="B3225" s="2812"/>
      <c r="C3225" s="3077"/>
      <c r="D3225" s="3980"/>
      <c r="E3225" s="3883"/>
      <c r="F3225" s="3984" t="str">
        <f>$E$1788</f>
        <v>ASHP-SEER18-Replace_CAC_NonElectricHeat_ER1_SF</v>
      </c>
      <c r="G3225" s="3984"/>
      <c r="H3225" s="3984"/>
      <c r="I3225" s="3984"/>
      <c r="J3225" s="3501" t="str">
        <f>$C$1788</f>
        <v>354260_2021_12_</v>
      </c>
      <c r="K3225" s="3050">
        <v>7.8596801773401781</v>
      </c>
      <c r="L3225" s="704"/>
      <c r="M3225" s="3022" t="s">
        <v>1083</v>
      </c>
      <c r="N3225" s="106"/>
      <c r="O3225" s="106"/>
      <c r="P3225" s="106"/>
      <c r="Q3225" s="106"/>
      <c r="R3225" s="106"/>
      <c r="S3225" s="106"/>
      <c r="T3225" s="106"/>
      <c r="U3225" s="106"/>
      <c r="V3225" s="3980"/>
      <c r="W3225" s="3421"/>
      <c r="X3225" s="3421"/>
      <c r="Y3225" s="3425"/>
      <c r="Z3225" s="3425"/>
      <c r="AA3225" s="3425"/>
      <c r="AB3225" s="583"/>
      <c r="AC3225" s="2919">
        <v>8.4215383390942158</v>
      </c>
      <c r="AD3225" s="3050">
        <v>7.8596801773401781</v>
      </c>
      <c r="AE3225" s="3429"/>
      <c r="AF3225" s="3421"/>
      <c r="AG3225" s="3421"/>
      <c r="AH3225" s="156"/>
      <c r="AI3225" s="156"/>
      <c r="AJ3225" s="156"/>
      <c r="AK3225" s="156"/>
      <c r="AL3225" s="156"/>
      <c r="AM3225" s="156"/>
      <c r="AN3225" s="156"/>
      <c r="AO3225" s="156"/>
      <c r="AP3225" s="156"/>
      <c r="AQ3225" s="156"/>
      <c r="AR3225" s="156"/>
      <c r="AS3225" s="156"/>
      <c r="AT3225" s="156"/>
      <c r="AU3225" s="156"/>
      <c r="AV3225" s="156"/>
      <c r="AW3225" s="156"/>
      <c r="AX3225" s="156"/>
      <c r="AY3225" s="156"/>
      <c r="AZ3225" s="156"/>
      <c r="BA3225" s="156"/>
      <c r="BB3225" s="2828"/>
      <c r="BC3225" s="452"/>
      <c r="BD3225" s="2829"/>
      <c r="BE3225" s="2837"/>
      <c r="BF3225" s="156"/>
    </row>
    <row r="3226" spans="1:58" ht="15" customHeight="1" outlineLevel="1" x14ac:dyDescent="0.35">
      <c r="A3226" s="1071"/>
      <c r="B3226" s="2812"/>
      <c r="C3226" s="3077"/>
      <c r="D3226" s="3980"/>
      <c r="E3226" s="3883"/>
      <c r="F3226" s="3984" t="str">
        <f>$E$1790</f>
        <v>ASHP-SEER18-Replace_CAC_NonElectricHeat_ER2_SF</v>
      </c>
      <c r="G3226" s="3984"/>
      <c r="H3226" s="3984"/>
      <c r="I3226" s="3984"/>
      <c r="J3226" s="3501" t="str">
        <f>$C$1790</f>
        <v>354260_2021_12_</v>
      </c>
      <c r="K3226" s="3051">
        <v>13</v>
      </c>
      <c r="L3226" s="704"/>
      <c r="M3226" s="3022" t="s">
        <v>1070</v>
      </c>
      <c r="N3226" s="106"/>
      <c r="O3226" s="106"/>
      <c r="P3226" s="106"/>
      <c r="Q3226" s="106"/>
      <c r="R3226" s="106"/>
      <c r="S3226" s="106"/>
      <c r="T3226" s="106"/>
      <c r="U3226" s="106"/>
      <c r="V3226" s="3980"/>
      <c r="W3226" s="3421"/>
      <c r="X3226" s="3421"/>
      <c r="Y3226" s="3425"/>
      <c r="Z3226" s="3425"/>
      <c r="AA3226" s="3425"/>
      <c r="AB3226" s="583"/>
      <c r="AC3226" s="2919">
        <v>13</v>
      </c>
      <c r="AD3226" s="3051">
        <v>13</v>
      </c>
      <c r="AE3226" s="3429"/>
      <c r="AF3226" s="3421"/>
      <c r="AG3226" s="3421"/>
      <c r="AH3226" s="156"/>
      <c r="AI3226" s="156"/>
      <c r="AJ3226" s="156"/>
      <c r="AK3226" s="156"/>
      <c r="AL3226" s="156"/>
      <c r="AM3226" s="156"/>
      <c r="AN3226" s="156"/>
      <c r="AO3226" s="156"/>
      <c r="AP3226" s="156"/>
      <c r="AQ3226" s="156"/>
      <c r="AR3226" s="156"/>
      <c r="AS3226" s="156"/>
      <c r="AT3226" s="156"/>
      <c r="AU3226" s="156"/>
      <c r="AV3226" s="156"/>
      <c r="AW3226" s="156"/>
      <c r="AX3226" s="156"/>
      <c r="AY3226" s="156"/>
      <c r="AZ3226" s="156"/>
      <c r="BA3226" s="156"/>
      <c r="BB3226" s="2828"/>
      <c r="BC3226" s="452"/>
      <c r="BD3226" s="2829"/>
      <c r="BE3226" s="2837"/>
      <c r="BF3226" s="156"/>
    </row>
    <row r="3227" spans="1:58" ht="15" customHeight="1" outlineLevel="1" x14ac:dyDescent="0.35">
      <c r="A3227" s="1071"/>
      <c r="B3227" s="2812"/>
      <c r="C3227" s="3077"/>
      <c r="D3227" s="3980"/>
      <c r="E3227" s="3883"/>
      <c r="F3227" s="3984" t="str">
        <f>$E$1792</f>
        <v>ASHP-SEER18-Replace_CAC_ElectricHeat_ER1_MF</v>
      </c>
      <c r="G3227" s="3984"/>
      <c r="H3227" s="3984"/>
      <c r="I3227" s="3984"/>
      <c r="J3227" s="3501" t="str">
        <f>$C$1792</f>
        <v>354300_2021_12_</v>
      </c>
      <c r="K3227" s="3051">
        <v>5.4170996929996953</v>
      </c>
      <c r="L3227" s="704"/>
      <c r="M3227" s="3025" t="s">
        <v>974</v>
      </c>
      <c r="N3227" s="106"/>
      <c r="O3227" s="106"/>
      <c r="P3227" s="106"/>
      <c r="Q3227" s="106"/>
      <c r="R3227" s="106"/>
      <c r="S3227" s="106"/>
      <c r="T3227" s="106"/>
      <c r="U3227" s="106"/>
      <c r="V3227" s="3980"/>
      <c r="W3227" s="3421">
        <v>6.8</v>
      </c>
      <c r="X3227" s="2374">
        <v>8.33</v>
      </c>
      <c r="Y3227" s="3425">
        <v>8.33</v>
      </c>
      <c r="Z3227" s="3425">
        <v>8.33</v>
      </c>
      <c r="AA3227" s="3425">
        <v>8.33</v>
      </c>
      <c r="AB3227" s="584">
        <v>6.541205533836111</v>
      </c>
      <c r="AC3227" s="2919">
        <v>5.4170996929996953</v>
      </c>
      <c r="AD3227" s="3051">
        <v>5.4170996929996953</v>
      </c>
      <c r="AE3227" s="3429"/>
      <c r="AF3227" s="3421"/>
      <c r="AG3227" s="3421"/>
      <c r="AH3227" s="156"/>
      <c r="AI3227" s="156"/>
      <c r="AJ3227" s="156"/>
      <c r="AK3227" s="156"/>
      <c r="AL3227" s="156"/>
      <c r="AM3227" s="156"/>
      <c r="AN3227" s="156"/>
      <c r="AO3227" s="156"/>
      <c r="AP3227" s="156"/>
      <c r="AQ3227" s="156"/>
      <c r="AR3227" s="156"/>
      <c r="AS3227" s="156"/>
      <c r="AT3227" s="156"/>
      <c r="AU3227" s="156"/>
      <c r="AV3227" s="156"/>
      <c r="AW3227" s="156"/>
      <c r="AX3227" s="156"/>
      <c r="AY3227" s="156"/>
      <c r="AZ3227" s="156"/>
      <c r="BA3227" s="156"/>
      <c r="BB3227" s="2828"/>
      <c r="BC3227" s="452"/>
      <c r="BD3227" s="2829"/>
      <c r="BE3227" s="2837"/>
      <c r="BF3227" s="156"/>
    </row>
    <row r="3228" spans="1:58" ht="15" customHeight="1" outlineLevel="1" x14ac:dyDescent="0.35">
      <c r="A3228" s="1071"/>
      <c r="B3228" s="2812"/>
      <c r="C3228" s="3077"/>
      <c r="D3228" s="3980"/>
      <c r="E3228" s="3883"/>
      <c r="F3228" s="3984" t="str">
        <f>$E$1794</f>
        <v>ASHP-SEER18-Replace_CAC_ElectricHeat_ER2_MF</v>
      </c>
      <c r="G3228" s="3984"/>
      <c r="H3228" s="3984"/>
      <c r="I3228" s="3984"/>
      <c r="J3228" s="3501" t="str">
        <f>$C$1794</f>
        <v>354300_2021_12_</v>
      </c>
      <c r="K3228" s="3051">
        <v>13</v>
      </c>
      <c r="L3228" s="704"/>
      <c r="M3228" s="3022" t="s">
        <v>1070</v>
      </c>
      <c r="N3228" s="106"/>
      <c r="O3228" s="106"/>
      <c r="P3228" s="106"/>
      <c r="Q3228" s="106"/>
      <c r="R3228" s="106"/>
      <c r="S3228" s="106"/>
      <c r="T3228" s="106"/>
      <c r="U3228" s="106"/>
      <c r="V3228" s="3980"/>
      <c r="W3228" s="3421">
        <v>13</v>
      </c>
      <c r="X3228" s="3421">
        <v>13</v>
      </c>
      <c r="Y3228" s="3425">
        <v>13</v>
      </c>
      <c r="Z3228" s="3425">
        <v>13</v>
      </c>
      <c r="AA3228" s="3425">
        <v>13</v>
      </c>
      <c r="AB3228" s="583">
        <v>13</v>
      </c>
      <c r="AC3228" s="2920">
        <v>13</v>
      </c>
      <c r="AD3228" s="3051">
        <v>13</v>
      </c>
      <c r="AE3228" s="3429"/>
      <c r="AF3228" s="3421"/>
      <c r="AG3228" s="3421"/>
      <c r="AH3228" s="156"/>
      <c r="AI3228" s="156"/>
      <c r="AJ3228" s="156"/>
      <c r="AK3228" s="156"/>
      <c r="AL3228" s="156"/>
      <c r="AM3228" s="156"/>
      <c r="AN3228" s="156"/>
      <c r="AO3228" s="156"/>
      <c r="AP3228" s="156"/>
      <c r="AQ3228" s="156"/>
      <c r="AR3228" s="156"/>
      <c r="AS3228" s="156"/>
      <c r="AT3228" s="156"/>
      <c r="AU3228" s="156"/>
      <c r="AV3228" s="156"/>
      <c r="AW3228" s="156"/>
      <c r="AX3228" s="156"/>
      <c r="AY3228" s="156"/>
      <c r="AZ3228" s="156"/>
      <c r="BA3228" s="156"/>
      <c r="BB3228" s="2828"/>
      <c r="BC3228" s="452"/>
      <c r="BD3228" s="2829"/>
      <c r="BE3228" s="2837"/>
      <c r="BF3228" s="156"/>
    </row>
    <row r="3229" spans="1:58" ht="15" customHeight="1" outlineLevel="1" x14ac:dyDescent="0.35">
      <c r="A3229" s="1071"/>
      <c r="B3229" s="2812"/>
      <c r="C3229" s="3077"/>
      <c r="D3229" s="3980"/>
      <c r="E3229" s="3883"/>
      <c r="F3229" s="3984" t="str">
        <f>$E$1796</f>
        <v>ASHP-SEER18-Replace_CAC_ElectricHeat_ER1_MF_CompE</v>
      </c>
      <c r="G3229" s="3984"/>
      <c r="H3229" s="3984"/>
      <c r="I3229" s="3984"/>
      <c r="J3229" s="3501" t="str">
        <f>$C$1796</f>
        <v>354301_2021_12_</v>
      </c>
      <c r="K3229" s="3051">
        <v>8.33</v>
      </c>
      <c r="L3229" s="704"/>
      <c r="M3229" s="3022" t="s">
        <v>1070</v>
      </c>
      <c r="N3229" s="106"/>
      <c r="O3229" s="106"/>
      <c r="P3229" s="106"/>
      <c r="Q3229" s="106"/>
      <c r="R3229" s="106"/>
      <c r="S3229" s="106"/>
      <c r="T3229" s="106"/>
      <c r="U3229" s="106"/>
      <c r="V3229" s="3980"/>
      <c r="W3229" s="3421"/>
      <c r="X3229" s="3421"/>
      <c r="Y3229" s="2377">
        <v>8.33</v>
      </c>
      <c r="Z3229" s="3425">
        <v>8.33</v>
      </c>
      <c r="AA3229" s="3425">
        <v>8.33</v>
      </c>
      <c r="AB3229" s="583">
        <v>8.33</v>
      </c>
      <c r="AC3229" s="2920">
        <v>8.33</v>
      </c>
      <c r="AD3229" s="3051">
        <v>8.33</v>
      </c>
      <c r="AE3229" s="3429"/>
      <c r="AF3229" s="3421"/>
      <c r="AG3229" s="3421"/>
      <c r="AH3229" s="156"/>
      <c r="AI3229" s="156"/>
      <c r="AJ3229" s="156"/>
      <c r="AK3229" s="156"/>
      <c r="AL3229" s="156"/>
      <c r="AM3229" s="156"/>
      <c r="AN3229" s="156"/>
      <c r="AO3229" s="156"/>
      <c r="AP3229" s="156"/>
      <c r="AQ3229" s="156"/>
      <c r="AR3229" s="156"/>
      <c r="AS3229" s="156"/>
      <c r="AT3229" s="156"/>
      <c r="AU3229" s="156"/>
      <c r="AV3229" s="156"/>
      <c r="AW3229" s="156"/>
      <c r="AX3229" s="156"/>
      <c r="AY3229" s="156"/>
      <c r="AZ3229" s="156"/>
      <c r="BA3229" s="156"/>
      <c r="BB3229" s="2828"/>
      <c r="BC3229" s="452"/>
      <c r="BD3229" s="2829"/>
      <c r="BE3229" s="2837"/>
      <c r="BF3229" s="156"/>
    </row>
    <row r="3230" spans="1:58" ht="15" customHeight="1" outlineLevel="1" x14ac:dyDescent="0.35">
      <c r="A3230" s="1071"/>
      <c r="B3230" s="2812"/>
      <c r="C3230" s="3077"/>
      <c r="D3230" s="3980"/>
      <c r="E3230" s="3883"/>
      <c r="F3230" s="3984" t="str">
        <f>$E$1798</f>
        <v>ASHP-SEER18-Replace_CAC_ElectricHeat_ER2_MF_CompE</v>
      </c>
      <c r="G3230" s="3984"/>
      <c r="H3230" s="3984"/>
      <c r="I3230" s="3984"/>
      <c r="J3230" s="3501" t="str">
        <f>$C$1798</f>
        <v>354301_2021_12_</v>
      </c>
      <c r="K3230" s="3051">
        <v>13</v>
      </c>
      <c r="L3230" s="704"/>
      <c r="M3230" s="3022" t="s">
        <v>1070</v>
      </c>
      <c r="N3230" s="106"/>
      <c r="O3230" s="106"/>
      <c r="P3230" s="106"/>
      <c r="Q3230" s="106"/>
      <c r="R3230" s="106"/>
      <c r="S3230" s="106"/>
      <c r="T3230" s="106"/>
      <c r="U3230" s="106"/>
      <c r="V3230" s="3980"/>
      <c r="W3230" s="3421"/>
      <c r="X3230" s="3421"/>
      <c r="Y3230" s="2377">
        <v>13</v>
      </c>
      <c r="Z3230" s="3425">
        <v>13</v>
      </c>
      <c r="AA3230" s="3425">
        <v>13</v>
      </c>
      <c r="AB3230" s="583">
        <v>13</v>
      </c>
      <c r="AC3230" s="2920">
        <v>13</v>
      </c>
      <c r="AD3230" s="3051">
        <v>13</v>
      </c>
      <c r="AE3230" s="3429"/>
      <c r="AF3230" s="3421"/>
      <c r="AG3230" s="3421"/>
      <c r="AH3230" s="156"/>
      <c r="AI3230" s="156"/>
      <c r="AJ3230" s="156"/>
      <c r="AK3230" s="156"/>
      <c r="AL3230" s="156"/>
      <c r="AM3230" s="156"/>
      <c r="AN3230" s="156"/>
      <c r="AO3230" s="156"/>
      <c r="AP3230" s="156"/>
      <c r="AQ3230" s="156"/>
      <c r="AR3230" s="156"/>
      <c r="AS3230" s="156"/>
      <c r="AT3230" s="156"/>
      <c r="AU3230" s="156"/>
      <c r="AV3230" s="156"/>
      <c r="AW3230" s="156"/>
      <c r="AX3230" s="156"/>
      <c r="AY3230" s="156"/>
      <c r="AZ3230" s="156"/>
      <c r="BA3230" s="156"/>
      <c r="BB3230" s="2828"/>
      <c r="BC3230" s="452"/>
      <c r="BD3230" s="2829"/>
      <c r="BE3230" s="2837"/>
      <c r="BF3230" s="156"/>
    </row>
    <row r="3231" spans="1:58" ht="15" customHeight="1" outlineLevel="1" x14ac:dyDescent="0.35">
      <c r="A3231" s="1071"/>
      <c r="B3231" s="2812"/>
      <c r="C3231" s="3077"/>
      <c r="D3231" s="3980"/>
      <c r="E3231" s="3883"/>
      <c r="F3231" s="3984" t="str">
        <f>$E$1800</f>
        <v>ASHP-SEER18-Replace_CAC_NonElectricHeat_ER1_MF</v>
      </c>
      <c r="G3231" s="3984"/>
      <c r="H3231" s="3984"/>
      <c r="I3231" s="3984"/>
      <c r="J3231" s="3501" t="str">
        <f>$C$1800</f>
        <v>354310_2021_12_</v>
      </c>
      <c r="K3231" s="3051">
        <v>5.4170996929996953</v>
      </c>
      <c r="L3231" s="704"/>
      <c r="M3231" s="3022" t="s">
        <v>1083</v>
      </c>
      <c r="N3231" s="106"/>
      <c r="O3231" s="106"/>
      <c r="P3231" s="106"/>
      <c r="Q3231" s="106"/>
      <c r="R3231" s="106"/>
      <c r="S3231" s="106"/>
      <c r="T3231" s="106"/>
      <c r="U3231" s="106"/>
      <c r="V3231" s="3980"/>
      <c r="W3231" s="3421"/>
      <c r="X3231" s="3421"/>
      <c r="Y3231" s="2377"/>
      <c r="Z3231" s="3425"/>
      <c r="AA3231" s="3425"/>
      <c r="AB3231" s="583"/>
      <c r="AC3231" s="2919">
        <v>5.4170996929996953</v>
      </c>
      <c r="AD3231" s="3051">
        <v>5.4170996929996953</v>
      </c>
      <c r="AE3231" s="3429"/>
      <c r="AF3231" s="3421"/>
      <c r="AG3231" s="3421"/>
      <c r="AH3231" s="156"/>
      <c r="AI3231" s="156"/>
      <c r="AJ3231" s="156"/>
      <c r="AK3231" s="156"/>
      <c r="AL3231" s="156"/>
      <c r="AM3231" s="156"/>
      <c r="AN3231" s="156"/>
      <c r="AO3231" s="156"/>
      <c r="AP3231" s="156"/>
      <c r="AQ3231" s="156"/>
      <c r="AR3231" s="156"/>
      <c r="AS3231" s="156"/>
      <c r="AT3231" s="156"/>
      <c r="AU3231" s="156"/>
      <c r="AV3231" s="156"/>
      <c r="AW3231" s="156"/>
      <c r="AX3231" s="156"/>
      <c r="AY3231" s="156"/>
      <c r="AZ3231" s="156"/>
      <c r="BA3231" s="156"/>
      <c r="BB3231" s="2828"/>
      <c r="BC3231" s="452"/>
      <c r="BD3231" s="2829"/>
      <c r="BE3231" s="2837"/>
      <c r="BF3231" s="156"/>
    </row>
    <row r="3232" spans="1:58" ht="15" customHeight="1" outlineLevel="1" x14ac:dyDescent="0.35">
      <c r="A3232" s="1071"/>
      <c r="B3232" s="2812"/>
      <c r="C3232" s="3077"/>
      <c r="D3232" s="3980"/>
      <c r="E3232" s="3883"/>
      <c r="F3232" s="3984" t="str">
        <f>$E$1802</f>
        <v>ASHP-SEER18-Replace_CAC_NonElectricHeat_ER2_MF</v>
      </c>
      <c r="G3232" s="3984"/>
      <c r="H3232" s="3984"/>
      <c r="I3232" s="3984"/>
      <c r="J3232" s="3501" t="str">
        <f>$C$1802</f>
        <v>354310_2021_12_</v>
      </c>
      <c r="K3232" s="3051">
        <v>13</v>
      </c>
      <c r="L3232" s="704"/>
      <c r="M3232" s="3022" t="s">
        <v>1070</v>
      </c>
      <c r="N3232" s="106"/>
      <c r="O3232" s="106"/>
      <c r="P3232" s="106"/>
      <c r="Q3232" s="106"/>
      <c r="R3232" s="106"/>
      <c r="S3232" s="106"/>
      <c r="T3232" s="106"/>
      <c r="U3232" s="106"/>
      <c r="V3232" s="3980"/>
      <c r="W3232" s="3421"/>
      <c r="X3232" s="3421"/>
      <c r="Y3232" s="2377"/>
      <c r="Z3232" s="3425"/>
      <c r="AA3232" s="3425"/>
      <c r="AB3232" s="583"/>
      <c r="AC3232" s="2919">
        <v>13</v>
      </c>
      <c r="AD3232" s="3051">
        <v>13</v>
      </c>
      <c r="AE3232" s="3429"/>
      <c r="AF3232" s="3421"/>
      <c r="AG3232" s="3421"/>
      <c r="AH3232" s="156"/>
      <c r="AI3232" s="156"/>
      <c r="AJ3232" s="156"/>
      <c r="AK3232" s="156"/>
      <c r="AL3232" s="156"/>
      <c r="AM3232" s="156"/>
      <c r="AN3232" s="156"/>
      <c r="AO3232" s="156"/>
      <c r="AP3232" s="156"/>
      <c r="AQ3232" s="156"/>
      <c r="AR3232" s="156"/>
      <c r="AS3232" s="156"/>
      <c r="AT3232" s="156"/>
      <c r="AU3232" s="156"/>
      <c r="AV3232" s="156"/>
      <c r="AW3232" s="156"/>
      <c r="AX3232" s="156"/>
      <c r="AY3232" s="156"/>
      <c r="AZ3232" s="156"/>
      <c r="BA3232" s="156"/>
      <c r="BB3232" s="2828"/>
      <c r="BC3232" s="452"/>
      <c r="BD3232" s="2829"/>
      <c r="BE3232" s="2837"/>
      <c r="BF3232" s="156"/>
    </row>
    <row r="3233" spans="1:58" ht="15" customHeight="1" outlineLevel="1" x14ac:dyDescent="0.35">
      <c r="A3233" s="1071"/>
      <c r="B3233" s="2812"/>
      <c r="C3233" s="3077"/>
      <c r="D3233" s="3980"/>
      <c r="E3233" s="3883"/>
      <c r="F3233" s="3984" t="str">
        <f>$E$1804</f>
        <v>ASHP-SEER18-Replace_CAC_NonElectricHeat_ER1_MF_CompE</v>
      </c>
      <c r="G3233" s="3984"/>
      <c r="H3233" s="3984"/>
      <c r="I3233" s="3984"/>
      <c r="J3233" s="3501" t="str">
        <f>$C$1804</f>
        <v>354311_2021_12_</v>
      </c>
      <c r="K3233" s="3051">
        <v>8.33</v>
      </c>
      <c r="L3233" s="704"/>
      <c r="M3233" s="3022" t="s">
        <v>1083</v>
      </c>
      <c r="N3233" s="106"/>
      <c r="O3233" s="106"/>
      <c r="P3233" s="106"/>
      <c r="Q3233" s="106"/>
      <c r="R3233" s="106"/>
      <c r="S3233" s="106"/>
      <c r="T3233" s="106"/>
      <c r="U3233" s="106"/>
      <c r="V3233" s="3980"/>
      <c r="W3233" s="3421"/>
      <c r="X3233" s="3421"/>
      <c r="Y3233" s="2377"/>
      <c r="Z3233" s="3425"/>
      <c r="AA3233" s="3425"/>
      <c r="AB3233" s="583"/>
      <c r="AC3233" s="2919">
        <v>8.33</v>
      </c>
      <c r="AD3233" s="3051">
        <v>8.33</v>
      </c>
      <c r="AE3233" s="3429"/>
      <c r="AF3233" s="3421"/>
      <c r="AG3233" s="3421"/>
      <c r="AH3233" s="156"/>
      <c r="AI3233" s="156"/>
      <c r="AJ3233" s="156"/>
      <c r="AK3233" s="156"/>
      <c r="AL3233" s="156"/>
      <c r="AM3233" s="156"/>
      <c r="AN3233" s="156"/>
      <c r="AO3233" s="156"/>
      <c r="AP3233" s="156"/>
      <c r="AQ3233" s="156"/>
      <c r="AR3233" s="156"/>
      <c r="AS3233" s="156"/>
      <c r="AT3233" s="156"/>
      <c r="AU3233" s="156"/>
      <c r="AV3233" s="156"/>
      <c r="AW3233" s="156"/>
      <c r="AX3233" s="156"/>
      <c r="AY3233" s="156"/>
      <c r="AZ3233" s="156"/>
      <c r="BA3233" s="156"/>
      <c r="BB3233" s="2828"/>
      <c r="BC3233" s="452"/>
      <c r="BD3233" s="2829"/>
      <c r="BE3233" s="2837"/>
      <c r="BF3233" s="156"/>
    </row>
    <row r="3234" spans="1:58" ht="15" customHeight="1" outlineLevel="1" x14ac:dyDescent="0.35">
      <c r="A3234" s="1071"/>
      <c r="B3234" s="2812"/>
      <c r="C3234" s="3077"/>
      <c r="D3234" s="3980"/>
      <c r="E3234" s="3883"/>
      <c r="F3234" s="3984" t="str">
        <f>$E$1806</f>
        <v>ASHP-SEER18-Replace_CAC_NonElectricHeat_ER2_MF_CompE</v>
      </c>
      <c r="G3234" s="3984"/>
      <c r="H3234" s="3984"/>
      <c r="I3234" s="3984"/>
      <c r="J3234" s="3501" t="str">
        <f>$C$1806</f>
        <v>354311_2021_12_</v>
      </c>
      <c r="K3234" s="3051">
        <v>13</v>
      </c>
      <c r="L3234" s="704"/>
      <c r="M3234" s="3022" t="s">
        <v>1070</v>
      </c>
      <c r="N3234" s="106"/>
      <c r="O3234" s="106"/>
      <c r="P3234" s="106"/>
      <c r="Q3234" s="106"/>
      <c r="R3234" s="106"/>
      <c r="S3234" s="106"/>
      <c r="T3234" s="106"/>
      <c r="U3234" s="106"/>
      <c r="V3234" s="3980"/>
      <c r="W3234" s="3421"/>
      <c r="X3234" s="3421"/>
      <c r="Y3234" s="2377"/>
      <c r="Z3234" s="3425"/>
      <c r="AA3234" s="3425"/>
      <c r="AB3234" s="583"/>
      <c r="AC3234" s="2919">
        <v>13</v>
      </c>
      <c r="AD3234" s="3051">
        <v>13</v>
      </c>
      <c r="AE3234" s="3429"/>
      <c r="AF3234" s="3421"/>
      <c r="AG3234" s="3421"/>
      <c r="AH3234" s="156"/>
      <c r="AI3234" s="156"/>
      <c r="AJ3234" s="156"/>
      <c r="AK3234" s="156"/>
      <c r="AL3234" s="156"/>
      <c r="AM3234" s="156"/>
      <c r="AN3234" s="156"/>
      <c r="AO3234" s="156"/>
      <c r="AP3234" s="156"/>
      <c r="AQ3234" s="156"/>
      <c r="AR3234" s="156"/>
      <c r="AS3234" s="156"/>
      <c r="AT3234" s="156"/>
      <c r="AU3234" s="156"/>
      <c r="AV3234" s="156"/>
      <c r="AW3234" s="156"/>
      <c r="AX3234" s="156"/>
      <c r="AY3234" s="156"/>
      <c r="AZ3234" s="156"/>
      <c r="BA3234" s="156"/>
      <c r="BB3234" s="2828"/>
      <c r="BC3234" s="452"/>
      <c r="BD3234" s="2829"/>
      <c r="BE3234" s="2837"/>
      <c r="BF3234" s="156"/>
    </row>
    <row r="3235" spans="1:58" ht="15" customHeight="1" outlineLevel="1" x14ac:dyDescent="0.35">
      <c r="A3235" s="1071"/>
      <c r="B3235" s="2812"/>
      <c r="C3235" s="3077"/>
      <c r="D3235" s="3980"/>
      <c r="E3235" s="3883"/>
      <c r="F3235" s="3984" t="str">
        <f>$E$1808</f>
        <v>ASHP-SEER18_ER1_MF</v>
      </c>
      <c r="G3235" s="3984"/>
      <c r="H3235" s="3984"/>
      <c r="I3235" s="3984"/>
      <c r="J3235" s="3501" t="str">
        <f>$C$1808</f>
        <v>354350_2021_12_</v>
      </c>
      <c r="K3235" s="3050">
        <v>6.6622274415102947</v>
      </c>
      <c r="L3235" s="704"/>
      <c r="M3235" s="3024" t="s">
        <v>4360</v>
      </c>
      <c r="N3235" s="106"/>
      <c r="O3235" s="106"/>
      <c r="P3235" s="106"/>
      <c r="Q3235" s="106"/>
      <c r="R3235" s="106"/>
      <c r="S3235" s="106"/>
      <c r="T3235" s="106"/>
      <c r="U3235" s="106"/>
      <c r="V3235" s="3980"/>
      <c r="W3235" s="3421">
        <v>7.2</v>
      </c>
      <c r="X3235" s="2374">
        <v>8.33</v>
      </c>
      <c r="Y3235" s="3425">
        <v>8.33</v>
      </c>
      <c r="Z3235" s="3425">
        <v>8.33</v>
      </c>
      <c r="AA3235" s="3425">
        <v>8.33</v>
      </c>
      <c r="AB3235" s="583">
        <v>8.33</v>
      </c>
      <c r="AC3235" s="2919">
        <v>8.402496453661275</v>
      </c>
      <c r="AD3235" s="3050">
        <v>6.6622274415102947</v>
      </c>
      <c r="AE3235" s="3429"/>
      <c r="AF3235" s="3421"/>
      <c r="AG3235" s="3421"/>
      <c r="AH3235" s="156"/>
      <c r="AI3235" s="156"/>
      <c r="AJ3235" s="156"/>
      <c r="AK3235" s="156"/>
      <c r="AL3235" s="156"/>
      <c r="AM3235" s="156"/>
      <c r="AN3235" s="156"/>
      <c r="AO3235" s="156"/>
      <c r="AP3235" s="156"/>
      <c r="AQ3235" s="156"/>
      <c r="AR3235" s="156"/>
      <c r="AS3235" s="156"/>
      <c r="AT3235" s="156"/>
      <c r="AU3235" s="156"/>
      <c r="AV3235" s="156"/>
      <c r="AW3235" s="156"/>
      <c r="AX3235" s="156"/>
      <c r="AY3235" s="156"/>
      <c r="AZ3235" s="156"/>
      <c r="BA3235" s="156"/>
      <c r="BB3235" s="2828"/>
      <c r="BC3235" s="452"/>
      <c r="BD3235" s="2829"/>
      <c r="BE3235" s="2837"/>
      <c r="BF3235" s="156"/>
    </row>
    <row r="3236" spans="1:58" ht="15" customHeight="1" outlineLevel="1" x14ac:dyDescent="0.35">
      <c r="A3236" s="1071"/>
      <c r="B3236" s="2812"/>
      <c r="C3236" s="3077"/>
      <c r="D3236" s="3980"/>
      <c r="E3236" s="3883"/>
      <c r="F3236" s="3984" t="str">
        <f>$E$1810</f>
        <v>ASHP-SEER18_ER2_MF</v>
      </c>
      <c r="G3236" s="3984"/>
      <c r="H3236" s="3984"/>
      <c r="I3236" s="3984"/>
      <c r="J3236" s="3501" t="str">
        <f>$C$1810</f>
        <v>354350_2021_12_</v>
      </c>
      <c r="K3236" s="3051">
        <v>14</v>
      </c>
      <c r="L3236" s="704"/>
      <c r="M3236" s="3022" t="s">
        <v>1070</v>
      </c>
      <c r="N3236" s="106"/>
      <c r="O3236" s="106"/>
      <c r="P3236" s="106"/>
      <c r="Q3236" s="106"/>
      <c r="R3236" s="106"/>
      <c r="S3236" s="106"/>
      <c r="T3236" s="106"/>
      <c r="U3236" s="106"/>
      <c r="V3236" s="3980"/>
      <c r="W3236" s="3421">
        <v>14</v>
      </c>
      <c r="X3236" s="3421">
        <v>14</v>
      </c>
      <c r="Y3236" s="3425">
        <v>14</v>
      </c>
      <c r="Z3236" s="3425">
        <v>14</v>
      </c>
      <c r="AA3236" s="3425">
        <v>14</v>
      </c>
      <c r="AB3236" s="583">
        <v>14</v>
      </c>
      <c r="AC3236" s="2920">
        <v>14</v>
      </c>
      <c r="AD3236" s="3051">
        <v>14</v>
      </c>
      <c r="AE3236" s="3429"/>
      <c r="AF3236" s="3421"/>
      <c r="AG3236" s="3421"/>
      <c r="AH3236" s="156"/>
      <c r="AI3236" s="156"/>
      <c r="AJ3236" s="156"/>
      <c r="AK3236" s="156"/>
      <c r="AL3236" s="156"/>
      <c r="AM3236" s="156"/>
      <c r="AN3236" s="156"/>
      <c r="AO3236" s="156"/>
      <c r="AP3236" s="156"/>
      <c r="AQ3236" s="156"/>
      <c r="AR3236" s="156"/>
      <c r="AS3236" s="156"/>
      <c r="AT3236" s="156"/>
      <c r="AU3236" s="156"/>
      <c r="AV3236" s="156"/>
      <c r="AW3236" s="156"/>
      <c r="AX3236" s="156"/>
      <c r="AY3236" s="156"/>
      <c r="AZ3236" s="156"/>
      <c r="BA3236" s="156"/>
      <c r="BB3236" s="2828"/>
      <c r="BC3236" s="452"/>
      <c r="BD3236" s="2829"/>
      <c r="BE3236" s="2837"/>
      <c r="BF3236" s="156"/>
    </row>
    <row r="3237" spans="1:58" ht="15" customHeight="1" outlineLevel="1" x14ac:dyDescent="0.35">
      <c r="A3237" s="1071"/>
      <c r="B3237" s="2812"/>
      <c r="C3237" s="3077"/>
      <c r="D3237" s="3980"/>
      <c r="E3237" s="3883"/>
      <c r="F3237" s="3984" t="str">
        <f>$E$1812</f>
        <v>ASHP-SEER18_ER1_MF_CompE</v>
      </c>
      <c r="G3237" s="3984"/>
      <c r="H3237" s="3984"/>
      <c r="I3237" s="3984"/>
      <c r="J3237" s="3501" t="str">
        <f>$C$1812</f>
        <v>354351_2021_12_</v>
      </c>
      <c r="K3237" s="3050">
        <v>6.6622274415102947</v>
      </c>
      <c r="L3237" s="704"/>
      <c r="M3237" s="3024" t="s">
        <v>4360</v>
      </c>
      <c r="N3237" s="106"/>
      <c r="O3237" s="106"/>
      <c r="P3237" s="106"/>
      <c r="Q3237" s="106"/>
      <c r="R3237" s="106"/>
      <c r="S3237" s="106"/>
      <c r="T3237" s="106"/>
      <c r="U3237" s="106"/>
      <c r="V3237" s="3980"/>
      <c r="W3237" s="3421"/>
      <c r="X3237" s="3421"/>
      <c r="Y3237" s="2377">
        <v>8.33</v>
      </c>
      <c r="Z3237" s="3425">
        <v>8.33</v>
      </c>
      <c r="AA3237" s="3425">
        <v>8.33</v>
      </c>
      <c r="AB3237" s="583">
        <v>8.33</v>
      </c>
      <c r="AC3237" s="2920">
        <v>8.33</v>
      </c>
      <c r="AD3237" s="3050">
        <v>6.6622274415102947</v>
      </c>
      <c r="AE3237" s="3429"/>
      <c r="AF3237" s="3421"/>
      <c r="AG3237" s="3421"/>
      <c r="AH3237" s="156"/>
      <c r="AI3237" s="156"/>
      <c r="AJ3237" s="156"/>
      <c r="AK3237" s="156"/>
      <c r="AL3237" s="156"/>
      <c r="AM3237" s="156"/>
      <c r="AN3237" s="156"/>
      <c r="AO3237" s="156"/>
      <c r="AP3237" s="156"/>
      <c r="AQ3237" s="156"/>
      <c r="AR3237" s="156"/>
      <c r="AS3237" s="156"/>
      <c r="AT3237" s="156"/>
      <c r="AU3237" s="156"/>
      <c r="AV3237" s="156"/>
      <c r="AW3237" s="156"/>
      <c r="AX3237" s="156"/>
      <c r="AY3237" s="156"/>
      <c r="AZ3237" s="156"/>
      <c r="BA3237" s="156"/>
      <c r="BB3237" s="2828"/>
      <c r="BC3237" s="452"/>
      <c r="BD3237" s="2829"/>
      <c r="BE3237" s="2837"/>
      <c r="BF3237" s="156"/>
    </row>
    <row r="3238" spans="1:58" ht="15" customHeight="1" outlineLevel="1" x14ac:dyDescent="0.35">
      <c r="A3238" s="1071"/>
      <c r="B3238" s="2812"/>
      <c r="C3238" s="3077"/>
      <c r="D3238" s="3980"/>
      <c r="E3238" s="3883"/>
      <c r="F3238" s="3984" t="str">
        <f>$E$1814</f>
        <v>ASHP-SEER18_ER2_MF_CompE</v>
      </c>
      <c r="G3238" s="3984"/>
      <c r="H3238" s="3984"/>
      <c r="I3238" s="3984"/>
      <c r="J3238" s="3501" t="str">
        <f>$C$1814</f>
        <v>354351_2021_12_</v>
      </c>
      <c r="K3238" s="3051">
        <v>14</v>
      </c>
      <c r="L3238" s="704"/>
      <c r="M3238" s="3022" t="s">
        <v>1070</v>
      </c>
      <c r="N3238" s="106"/>
      <c r="O3238" s="106"/>
      <c r="P3238" s="106"/>
      <c r="Q3238" s="106"/>
      <c r="R3238" s="106"/>
      <c r="S3238" s="106"/>
      <c r="T3238" s="106"/>
      <c r="U3238" s="106"/>
      <c r="V3238" s="3980"/>
      <c r="W3238" s="3421"/>
      <c r="X3238" s="3421"/>
      <c r="Y3238" s="2377">
        <v>14</v>
      </c>
      <c r="Z3238" s="3425">
        <v>14</v>
      </c>
      <c r="AA3238" s="3425">
        <v>14</v>
      </c>
      <c r="AB3238" s="583">
        <v>14</v>
      </c>
      <c r="AC3238" s="2920">
        <v>14</v>
      </c>
      <c r="AD3238" s="3051">
        <v>14</v>
      </c>
      <c r="AE3238" s="3429"/>
      <c r="AF3238" s="3421"/>
      <c r="AG3238" s="3421"/>
      <c r="AH3238" s="156"/>
      <c r="AI3238" s="156"/>
      <c r="AJ3238" s="156"/>
      <c r="AK3238" s="156"/>
      <c r="AL3238" s="156"/>
      <c r="AM3238" s="156"/>
      <c r="AN3238" s="156"/>
      <c r="AO3238" s="156"/>
      <c r="AP3238" s="156"/>
      <c r="AQ3238" s="156"/>
      <c r="AR3238" s="156"/>
      <c r="AS3238" s="156"/>
      <c r="AT3238" s="156"/>
      <c r="AU3238" s="156"/>
      <c r="AV3238" s="156"/>
      <c r="AW3238" s="156"/>
      <c r="AX3238" s="156"/>
      <c r="AY3238" s="156"/>
      <c r="AZ3238" s="156"/>
      <c r="BA3238" s="156"/>
      <c r="BB3238" s="2828"/>
      <c r="BC3238" s="452"/>
      <c r="BD3238" s="2829"/>
      <c r="BE3238" s="2837"/>
      <c r="BF3238" s="156"/>
    </row>
    <row r="3239" spans="1:58" ht="15" customHeight="1" outlineLevel="1" x14ac:dyDescent="0.35">
      <c r="A3239" s="1071"/>
      <c r="B3239" s="2812"/>
      <c r="C3239" s="3077"/>
      <c r="D3239" s="3980"/>
      <c r="E3239" s="3883"/>
      <c r="F3239" s="3984" t="str">
        <f>$E$1816</f>
        <v>ASHP-SEER19-Replace_CAC_ElectricHeat_ER1_SF</v>
      </c>
      <c r="G3239" s="3984"/>
      <c r="H3239" s="3984"/>
      <c r="I3239" s="3984"/>
      <c r="J3239" s="3501" t="str">
        <f>$C$1816</f>
        <v>354400_2021_12_</v>
      </c>
      <c r="K3239" s="3050">
        <v>7.7408755535350018</v>
      </c>
      <c r="L3239" s="704"/>
      <c r="M3239" s="3024" t="s">
        <v>4360</v>
      </c>
      <c r="N3239" s="106"/>
      <c r="O3239" s="106"/>
      <c r="P3239" s="106"/>
      <c r="Q3239" s="106"/>
      <c r="R3239" s="106"/>
      <c r="S3239" s="106"/>
      <c r="T3239" s="106"/>
      <c r="U3239" s="106"/>
      <c r="V3239" s="3980"/>
      <c r="W3239" s="3421">
        <v>6.8</v>
      </c>
      <c r="X3239" s="2374">
        <v>8.33</v>
      </c>
      <c r="Y3239" s="3425">
        <v>8.33</v>
      </c>
      <c r="Z3239" s="3425">
        <v>8.33</v>
      </c>
      <c r="AA3239" s="3425">
        <v>8.33</v>
      </c>
      <c r="AB3239" s="583">
        <v>8.33</v>
      </c>
      <c r="AC3239" s="2919">
        <v>8.5327178544626143</v>
      </c>
      <c r="AD3239" s="3050">
        <v>7.7408755535350018</v>
      </c>
      <c r="AE3239" s="3429"/>
      <c r="AF3239" s="3421"/>
      <c r="AG3239" s="3421"/>
      <c r="AH3239" s="156"/>
      <c r="AI3239" s="156"/>
      <c r="AJ3239" s="156"/>
      <c r="AK3239" s="156"/>
      <c r="AL3239" s="156"/>
      <c r="AM3239" s="156"/>
      <c r="AN3239" s="156"/>
      <c r="AO3239" s="156"/>
      <c r="AP3239" s="156"/>
      <c r="AQ3239" s="156"/>
      <c r="AR3239" s="156"/>
      <c r="AS3239" s="156"/>
      <c r="AT3239" s="156"/>
      <c r="AU3239" s="156"/>
      <c r="AV3239" s="156"/>
      <c r="AW3239" s="156"/>
      <c r="AX3239" s="156"/>
      <c r="AY3239" s="156"/>
      <c r="AZ3239" s="156"/>
      <c r="BA3239" s="156"/>
      <c r="BB3239" s="2828"/>
      <c r="BC3239" s="452"/>
      <c r="BD3239" s="2829"/>
      <c r="BE3239" s="2837"/>
      <c r="BF3239" s="156"/>
    </row>
    <row r="3240" spans="1:58" ht="15" customHeight="1" outlineLevel="1" x14ac:dyDescent="0.35">
      <c r="A3240" s="1071"/>
      <c r="B3240" s="2812"/>
      <c r="C3240" s="3077"/>
      <c r="D3240" s="3980"/>
      <c r="E3240" s="3883"/>
      <c r="F3240" s="3984" t="str">
        <f>$E$1818</f>
        <v>ASHP-SEER19-Replace_CAC_ElectricHeat_ER2_SF</v>
      </c>
      <c r="G3240" s="3984"/>
      <c r="H3240" s="3984"/>
      <c r="I3240" s="3984"/>
      <c r="J3240" s="3501" t="str">
        <f>$C$1818</f>
        <v>354400_2021_12_</v>
      </c>
      <c r="K3240" s="3051">
        <v>13</v>
      </c>
      <c r="L3240" s="704"/>
      <c r="M3240" s="3022" t="s">
        <v>1070</v>
      </c>
      <c r="N3240" s="106"/>
      <c r="O3240" s="106"/>
      <c r="P3240" s="106"/>
      <c r="Q3240" s="106"/>
      <c r="R3240" s="106"/>
      <c r="S3240" s="106"/>
      <c r="T3240" s="106"/>
      <c r="U3240" s="106"/>
      <c r="V3240" s="3980"/>
      <c r="W3240" s="3421">
        <v>13</v>
      </c>
      <c r="X3240" s="3421">
        <v>13</v>
      </c>
      <c r="Y3240" s="3425">
        <v>13</v>
      </c>
      <c r="Z3240" s="3425">
        <v>13</v>
      </c>
      <c r="AA3240" s="3425">
        <v>13</v>
      </c>
      <c r="AB3240" s="583">
        <v>13</v>
      </c>
      <c r="AC3240" s="2920">
        <v>13</v>
      </c>
      <c r="AD3240" s="3051">
        <v>13</v>
      </c>
      <c r="AE3240" s="3429"/>
      <c r="AF3240" s="3421"/>
      <c r="AG3240" s="3421"/>
      <c r="AH3240" s="156"/>
      <c r="AI3240" s="156"/>
      <c r="AJ3240" s="156"/>
      <c r="AK3240" s="156"/>
      <c r="AL3240" s="156"/>
      <c r="AM3240" s="156"/>
      <c r="AN3240" s="156"/>
      <c r="AO3240" s="156"/>
      <c r="AP3240" s="156"/>
      <c r="AQ3240" s="156"/>
      <c r="AR3240" s="156"/>
      <c r="AS3240" s="156"/>
      <c r="AT3240" s="156"/>
      <c r="AU3240" s="156"/>
      <c r="AV3240" s="156"/>
      <c r="AW3240" s="156"/>
      <c r="AX3240" s="156"/>
      <c r="AY3240" s="156"/>
      <c r="AZ3240" s="156"/>
      <c r="BA3240" s="156"/>
      <c r="BB3240" s="2828"/>
      <c r="BC3240" s="452"/>
      <c r="BD3240" s="2829"/>
      <c r="BE3240" s="2837"/>
      <c r="BF3240" s="156"/>
    </row>
    <row r="3241" spans="1:58" ht="15" customHeight="1" outlineLevel="1" x14ac:dyDescent="0.35">
      <c r="A3241" s="1071"/>
      <c r="B3241" s="2812"/>
      <c r="C3241" s="3077"/>
      <c r="D3241" s="3980"/>
      <c r="E3241" s="3883"/>
      <c r="F3241" s="3984" t="str">
        <f>$E$1820</f>
        <v>ASHP-SEER19-Replace_CAC_NonElectricHeat_ER1_SF</v>
      </c>
      <c r="G3241" s="3984"/>
      <c r="H3241" s="3984"/>
      <c r="I3241" s="3984"/>
      <c r="J3241" s="3501" t="str">
        <f>$C$1820</f>
        <v>354410_2021_12_</v>
      </c>
      <c r="K3241" s="3051">
        <v>8.5327178544626143</v>
      </c>
      <c r="L3241" s="704"/>
      <c r="M3241" s="3022" t="s">
        <v>1083</v>
      </c>
      <c r="N3241" s="106"/>
      <c r="O3241" s="106"/>
      <c r="P3241" s="106"/>
      <c r="Q3241" s="106"/>
      <c r="R3241" s="106"/>
      <c r="S3241" s="106"/>
      <c r="T3241" s="106"/>
      <c r="U3241" s="106"/>
      <c r="V3241" s="3980"/>
      <c r="W3241" s="3421"/>
      <c r="X3241" s="3421"/>
      <c r="Y3241" s="3425"/>
      <c r="Z3241" s="3425"/>
      <c r="AA3241" s="3425"/>
      <c r="AB3241" s="583"/>
      <c r="AC3241" s="2919">
        <v>8.5327178544626143</v>
      </c>
      <c r="AD3241" s="3051">
        <v>8.5327178544626143</v>
      </c>
      <c r="AE3241" s="3429"/>
      <c r="AF3241" s="3421"/>
      <c r="AG3241" s="3421"/>
      <c r="AH3241" s="156"/>
      <c r="AI3241" s="156"/>
      <c r="AJ3241" s="156"/>
      <c r="AK3241" s="156"/>
      <c r="AL3241" s="156"/>
      <c r="AM3241" s="156"/>
      <c r="AN3241" s="156"/>
      <c r="AO3241" s="156"/>
      <c r="AP3241" s="156"/>
      <c r="AQ3241" s="156"/>
      <c r="AR3241" s="156"/>
      <c r="AS3241" s="156"/>
      <c r="AT3241" s="156"/>
      <c r="AU3241" s="156"/>
      <c r="AV3241" s="156"/>
      <c r="AW3241" s="156"/>
      <c r="AX3241" s="156"/>
      <c r="AY3241" s="156"/>
      <c r="AZ3241" s="156"/>
      <c r="BA3241" s="156"/>
      <c r="BB3241" s="2828"/>
      <c r="BC3241" s="452"/>
      <c r="BD3241" s="2829"/>
      <c r="BE3241" s="2837"/>
      <c r="BF3241" s="156"/>
    </row>
    <row r="3242" spans="1:58" ht="15" customHeight="1" outlineLevel="1" x14ac:dyDescent="0.35">
      <c r="A3242" s="1071"/>
      <c r="B3242" s="2812"/>
      <c r="C3242" s="3077"/>
      <c r="D3242" s="3980"/>
      <c r="E3242" s="3883"/>
      <c r="F3242" s="3984" t="str">
        <f>$E$1822</f>
        <v>ASHP-SEER19-Replace_CAC_NonElectricHeat_ER2_SF</v>
      </c>
      <c r="G3242" s="3984"/>
      <c r="H3242" s="3984"/>
      <c r="I3242" s="3984"/>
      <c r="J3242" s="3501" t="str">
        <f>$C$1822</f>
        <v>354410_2021_12_</v>
      </c>
      <c r="K3242" s="3051">
        <v>13</v>
      </c>
      <c r="L3242" s="704"/>
      <c r="M3242" s="3022" t="s">
        <v>1070</v>
      </c>
      <c r="N3242" s="106"/>
      <c r="O3242" s="106"/>
      <c r="P3242" s="106"/>
      <c r="Q3242" s="106"/>
      <c r="R3242" s="106"/>
      <c r="S3242" s="106"/>
      <c r="T3242" s="106"/>
      <c r="U3242" s="106"/>
      <c r="V3242" s="3980"/>
      <c r="W3242" s="3421"/>
      <c r="X3242" s="3421"/>
      <c r="Y3242" s="3425"/>
      <c r="Z3242" s="3425"/>
      <c r="AA3242" s="3425"/>
      <c r="AB3242" s="583"/>
      <c r="AC3242" s="2919">
        <v>13</v>
      </c>
      <c r="AD3242" s="3051">
        <v>13</v>
      </c>
      <c r="AE3242" s="3429"/>
      <c r="AF3242" s="3421"/>
      <c r="AG3242" s="3421"/>
      <c r="AH3242" s="156"/>
      <c r="AI3242" s="156"/>
      <c r="AJ3242" s="156"/>
      <c r="AK3242" s="156"/>
      <c r="AL3242" s="156"/>
      <c r="AM3242" s="156"/>
      <c r="AN3242" s="156"/>
      <c r="AO3242" s="156"/>
      <c r="AP3242" s="156"/>
      <c r="AQ3242" s="156"/>
      <c r="AR3242" s="156"/>
      <c r="AS3242" s="156"/>
      <c r="AT3242" s="156"/>
      <c r="AU3242" s="156"/>
      <c r="AV3242" s="156"/>
      <c r="AW3242" s="156"/>
      <c r="AX3242" s="156"/>
      <c r="AY3242" s="156"/>
      <c r="AZ3242" s="156"/>
      <c r="BA3242" s="156"/>
      <c r="BB3242" s="2828"/>
      <c r="BC3242" s="452"/>
      <c r="BD3242" s="2829"/>
      <c r="BE3242" s="2837"/>
      <c r="BF3242" s="156"/>
    </row>
    <row r="3243" spans="1:58" ht="15" customHeight="1" outlineLevel="1" x14ac:dyDescent="0.35">
      <c r="A3243" s="1071"/>
      <c r="B3243" s="2812"/>
      <c r="C3243" s="3077"/>
      <c r="D3243" s="3980"/>
      <c r="E3243" s="3883"/>
      <c r="F3243" s="3984" t="str">
        <f>$E$1824</f>
        <v>ASHP-SEER19-Replace_CAC_ElectricHeat_ER1_MF</v>
      </c>
      <c r="G3243" s="3984"/>
      <c r="H3243" s="3984"/>
      <c r="I3243" s="3984"/>
      <c r="J3243" s="3501" t="str">
        <f>$C$1824</f>
        <v>354450_2019_12_</v>
      </c>
      <c r="K3243" s="3051">
        <v>8.33</v>
      </c>
      <c r="L3243" s="704"/>
      <c r="M3243" s="3022" t="s">
        <v>1070</v>
      </c>
      <c r="N3243" s="106"/>
      <c r="O3243" s="106"/>
      <c r="P3243" s="106"/>
      <c r="Q3243" s="106"/>
      <c r="R3243" s="106"/>
      <c r="S3243" s="106"/>
      <c r="T3243" s="106"/>
      <c r="U3243" s="106"/>
      <c r="V3243" s="3980"/>
      <c r="W3243" s="3421">
        <v>6.8</v>
      </c>
      <c r="X3243" s="2374">
        <v>8.33</v>
      </c>
      <c r="Y3243" s="3425">
        <v>8.33</v>
      </c>
      <c r="Z3243" s="3425">
        <v>8.33</v>
      </c>
      <c r="AA3243" s="3425">
        <v>8.33</v>
      </c>
      <c r="AB3243" s="583">
        <v>8.33</v>
      </c>
      <c r="AC3243" s="2920">
        <v>8.33</v>
      </c>
      <c r="AD3243" s="3051">
        <v>8.33</v>
      </c>
      <c r="AE3243" s="3429"/>
      <c r="AF3243" s="3421"/>
      <c r="AG3243" s="3421"/>
      <c r="AH3243" s="156"/>
      <c r="AI3243" s="156"/>
      <c r="AJ3243" s="156"/>
      <c r="AK3243" s="156"/>
      <c r="AL3243" s="156"/>
      <c r="AM3243" s="156"/>
      <c r="AN3243" s="156"/>
      <c r="AO3243" s="156"/>
      <c r="AP3243" s="156"/>
      <c r="AQ3243" s="156"/>
      <c r="AR3243" s="156"/>
      <c r="AS3243" s="156"/>
      <c r="AT3243" s="156"/>
      <c r="AU3243" s="156"/>
      <c r="AV3243" s="156"/>
      <c r="AW3243" s="156"/>
      <c r="AX3243" s="156"/>
      <c r="AY3243" s="156"/>
      <c r="AZ3243" s="156"/>
      <c r="BA3243" s="156"/>
      <c r="BB3243" s="2828"/>
      <c r="BC3243" s="452"/>
      <c r="BD3243" s="2829"/>
      <c r="BE3243" s="2837"/>
      <c r="BF3243" s="156"/>
    </row>
    <row r="3244" spans="1:58" ht="15" customHeight="1" outlineLevel="1" x14ac:dyDescent="0.35">
      <c r="A3244" s="1071"/>
      <c r="B3244" s="2812"/>
      <c r="C3244" s="3077"/>
      <c r="D3244" s="3980"/>
      <c r="E3244" s="3883"/>
      <c r="F3244" s="3984" t="str">
        <f>$E$1826</f>
        <v>ASHP-SEER19-Replace_CAC_ElectricHeat_ER2_MF</v>
      </c>
      <c r="G3244" s="3984"/>
      <c r="H3244" s="3984"/>
      <c r="I3244" s="3984"/>
      <c r="J3244" s="3501" t="str">
        <f>$C$1826</f>
        <v>354450_2019_12_</v>
      </c>
      <c r="K3244" s="3051">
        <v>13</v>
      </c>
      <c r="L3244" s="704"/>
      <c r="M3244" s="3022" t="s">
        <v>1070</v>
      </c>
      <c r="N3244" s="106"/>
      <c r="O3244" s="106"/>
      <c r="P3244" s="106"/>
      <c r="Q3244" s="106"/>
      <c r="R3244" s="106"/>
      <c r="S3244" s="106"/>
      <c r="T3244" s="106"/>
      <c r="U3244" s="106"/>
      <c r="V3244" s="3980"/>
      <c r="W3244" s="3421">
        <v>13</v>
      </c>
      <c r="X3244" s="3421">
        <v>13</v>
      </c>
      <c r="Y3244" s="3425">
        <v>13</v>
      </c>
      <c r="Z3244" s="3425">
        <v>13</v>
      </c>
      <c r="AA3244" s="3425">
        <v>13</v>
      </c>
      <c r="AB3244" s="583">
        <v>13</v>
      </c>
      <c r="AC3244" s="2920">
        <v>13</v>
      </c>
      <c r="AD3244" s="3051">
        <v>13</v>
      </c>
      <c r="AE3244" s="3429"/>
      <c r="AF3244" s="3421"/>
      <c r="AG3244" s="3421"/>
      <c r="AH3244" s="156"/>
      <c r="AI3244" s="156"/>
      <c r="AJ3244" s="156"/>
      <c r="AK3244" s="156"/>
      <c r="AL3244" s="156"/>
      <c r="AM3244" s="156"/>
      <c r="AN3244" s="156"/>
      <c r="AO3244" s="156"/>
      <c r="AP3244" s="156"/>
      <c r="AQ3244" s="156"/>
      <c r="AR3244" s="156"/>
      <c r="AS3244" s="156"/>
      <c r="AT3244" s="156"/>
      <c r="AU3244" s="156"/>
      <c r="AV3244" s="156"/>
      <c r="AW3244" s="156"/>
      <c r="AX3244" s="156"/>
      <c r="AY3244" s="156"/>
      <c r="AZ3244" s="156"/>
      <c r="BA3244" s="156"/>
      <c r="BB3244" s="2828"/>
      <c r="BC3244" s="452"/>
      <c r="BD3244" s="2829"/>
      <c r="BE3244" s="2837"/>
      <c r="BF3244" s="156"/>
    </row>
    <row r="3245" spans="1:58" ht="15" customHeight="1" outlineLevel="1" x14ac:dyDescent="0.35">
      <c r="A3245" s="1071"/>
      <c r="B3245" s="2812"/>
      <c r="C3245" s="3077"/>
      <c r="D3245" s="3980"/>
      <c r="E3245" s="3883"/>
      <c r="F3245" s="3984" t="str">
        <f>$E$1828</f>
        <v>ASHP-SEER19-Replace_CAC_ElectricHeat_ER1_MF_CompE</v>
      </c>
      <c r="G3245" s="3984"/>
      <c r="H3245" s="3984"/>
      <c r="I3245" s="3984"/>
      <c r="J3245" s="3501" t="str">
        <f>$C$1828</f>
        <v>354451_2019_12_</v>
      </c>
      <c r="K3245" s="3051">
        <v>8.33</v>
      </c>
      <c r="L3245" s="704"/>
      <c r="M3245" s="3022" t="s">
        <v>1070</v>
      </c>
      <c r="N3245" s="106"/>
      <c r="O3245" s="106"/>
      <c r="P3245" s="106"/>
      <c r="Q3245" s="106"/>
      <c r="R3245" s="106"/>
      <c r="S3245" s="106"/>
      <c r="T3245" s="106"/>
      <c r="U3245" s="106"/>
      <c r="V3245" s="3980"/>
      <c r="W3245" s="3421"/>
      <c r="X3245" s="3421"/>
      <c r="Y3245" s="2377">
        <v>8.33</v>
      </c>
      <c r="Z3245" s="3425">
        <v>8.33</v>
      </c>
      <c r="AA3245" s="3425">
        <v>8.33</v>
      </c>
      <c r="AB3245" s="583">
        <v>8.33</v>
      </c>
      <c r="AC3245" s="2920">
        <v>8.33</v>
      </c>
      <c r="AD3245" s="3051">
        <v>8.33</v>
      </c>
      <c r="AE3245" s="3429"/>
      <c r="AF3245" s="3421"/>
      <c r="AG3245" s="3421"/>
      <c r="AH3245" s="156"/>
      <c r="AI3245" s="156"/>
      <c r="AJ3245" s="156"/>
      <c r="AK3245" s="156"/>
      <c r="AL3245" s="156"/>
      <c r="AM3245" s="156"/>
      <c r="AN3245" s="156"/>
      <c r="AO3245" s="156"/>
      <c r="AP3245" s="156"/>
      <c r="AQ3245" s="156"/>
      <c r="AR3245" s="156"/>
      <c r="AS3245" s="156"/>
      <c r="AT3245" s="156"/>
      <c r="AU3245" s="156"/>
      <c r="AV3245" s="156"/>
      <c r="AW3245" s="156"/>
      <c r="AX3245" s="156"/>
      <c r="AY3245" s="156"/>
      <c r="AZ3245" s="156"/>
      <c r="BA3245" s="156"/>
      <c r="BB3245" s="2828"/>
      <c r="BC3245" s="452"/>
      <c r="BD3245" s="2829"/>
      <c r="BE3245" s="2837"/>
      <c r="BF3245" s="156"/>
    </row>
    <row r="3246" spans="1:58" ht="15" customHeight="1" outlineLevel="1" x14ac:dyDescent="0.35">
      <c r="A3246" s="1071"/>
      <c r="B3246" s="2812"/>
      <c r="C3246" s="3077"/>
      <c r="D3246" s="3980"/>
      <c r="E3246" s="3883"/>
      <c r="F3246" s="3984" t="str">
        <f>$E$1830</f>
        <v>ASHP-SEER19-Replace_CAC_ElectricHeat_ER2_MF_CompE</v>
      </c>
      <c r="G3246" s="3984"/>
      <c r="H3246" s="3984"/>
      <c r="I3246" s="3984"/>
      <c r="J3246" s="3501" t="str">
        <f>$C$1830</f>
        <v>354451_2019_12_</v>
      </c>
      <c r="K3246" s="3051">
        <v>13</v>
      </c>
      <c r="L3246" s="704"/>
      <c r="M3246" s="3022" t="s">
        <v>1070</v>
      </c>
      <c r="N3246" s="106"/>
      <c r="O3246" s="106"/>
      <c r="P3246" s="106"/>
      <c r="Q3246" s="106"/>
      <c r="R3246" s="106"/>
      <c r="S3246" s="106"/>
      <c r="T3246" s="106"/>
      <c r="U3246" s="106"/>
      <c r="V3246" s="3980"/>
      <c r="W3246" s="3421"/>
      <c r="X3246" s="3421"/>
      <c r="Y3246" s="2377">
        <v>13</v>
      </c>
      <c r="Z3246" s="3425">
        <v>13</v>
      </c>
      <c r="AA3246" s="3425">
        <v>13</v>
      </c>
      <c r="AB3246" s="583">
        <v>13</v>
      </c>
      <c r="AC3246" s="2920">
        <v>13</v>
      </c>
      <c r="AD3246" s="3051">
        <v>13</v>
      </c>
      <c r="AE3246" s="3429"/>
      <c r="AF3246" s="3421"/>
      <c r="AG3246" s="3421"/>
      <c r="AH3246" s="156"/>
      <c r="AI3246" s="156"/>
      <c r="AJ3246" s="156"/>
      <c r="AK3246" s="156"/>
      <c r="AL3246" s="156"/>
      <c r="AM3246" s="156"/>
      <c r="AN3246" s="156"/>
      <c r="AO3246" s="156"/>
      <c r="AP3246" s="156"/>
      <c r="AQ3246" s="156"/>
      <c r="AR3246" s="156"/>
      <c r="AS3246" s="156"/>
      <c r="AT3246" s="156"/>
      <c r="AU3246" s="156"/>
      <c r="AV3246" s="156"/>
      <c r="AW3246" s="156"/>
      <c r="AX3246" s="156"/>
      <c r="AY3246" s="156"/>
      <c r="AZ3246" s="156"/>
      <c r="BA3246" s="156"/>
      <c r="BB3246" s="2828"/>
      <c r="BC3246" s="452"/>
      <c r="BD3246" s="2829"/>
      <c r="BE3246" s="2837"/>
      <c r="BF3246" s="156"/>
    </row>
    <row r="3247" spans="1:58" ht="15" customHeight="1" outlineLevel="1" x14ac:dyDescent="0.35">
      <c r="A3247" s="1071"/>
      <c r="B3247" s="2812"/>
      <c r="C3247" s="3077"/>
      <c r="D3247" s="3980"/>
      <c r="E3247" s="3883"/>
      <c r="F3247" s="3984" t="str">
        <f>$E$1832</f>
        <v>ASHP-SEER19-Replace_CAC_NonElectricHeat_ER1_MF</v>
      </c>
      <c r="G3247" s="3984"/>
      <c r="H3247" s="3984"/>
      <c r="I3247" s="3984"/>
      <c r="J3247" s="3501" t="str">
        <f>$C$1832</f>
        <v>354460_2021_12_</v>
      </c>
      <c r="K3247" s="3051">
        <v>8.33</v>
      </c>
      <c r="L3247" s="704"/>
      <c r="M3247" s="3022" t="s">
        <v>1083</v>
      </c>
      <c r="N3247" s="106"/>
      <c r="O3247" s="106"/>
      <c r="P3247" s="106"/>
      <c r="Q3247" s="106"/>
      <c r="R3247" s="106"/>
      <c r="S3247" s="106"/>
      <c r="T3247" s="106"/>
      <c r="U3247" s="106"/>
      <c r="V3247" s="3980"/>
      <c r="W3247" s="3421"/>
      <c r="X3247" s="3421"/>
      <c r="Y3247" s="2377"/>
      <c r="Z3247" s="3425"/>
      <c r="AA3247" s="3425"/>
      <c r="AB3247" s="583"/>
      <c r="AC3247" s="2919">
        <v>8.33</v>
      </c>
      <c r="AD3247" s="3051">
        <v>8.33</v>
      </c>
      <c r="AE3247" s="3429"/>
      <c r="AF3247" s="3421"/>
      <c r="AG3247" s="3421"/>
      <c r="AH3247" s="156"/>
      <c r="AI3247" s="156"/>
      <c r="AJ3247" s="156"/>
      <c r="AK3247" s="156"/>
      <c r="AL3247" s="156"/>
      <c r="AM3247" s="156"/>
      <c r="AN3247" s="156"/>
      <c r="AO3247" s="156"/>
      <c r="AP3247" s="156"/>
      <c r="AQ3247" s="156"/>
      <c r="AR3247" s="156"/>
      <c r="AS3247" s="156"/>
      <c r="AT3247" s="156"/>
      <c r="AU3247" s="156"/>
      <c r="AV3247" s="156"/>
      <c r="AW3247" s="156"/>
      <c r="AX3247" s="156"/>
      <c r="AY3247" s="156"/>
      <c r="AZ3247" s="156"/>
      <c r="BA3247" s="156"/>
      <c r="BB3247" s="2828"/>
      <c r="BC3247" s="452"/>
      <c r="BD3247" s="2829"/>
      <c r="BE3247" s="2837"/>
      <c r="BF3247" s="156"/>
    </row>
    <row r="3248" spans="1:58" ht="15" customHeight="1" outlineLevel="1" x14ac:dyDescent="0.35">
      <c r="A3248" s="1071"/>
      <c r="B3248" s="2812"/>
      <c r="C3248" s="3077"/>
      <c r="D3248" s="3980"/>
      <c r="E3248" s="3883"/>
      <c r="F3248" s="3984" t="str">
        <f>$E$1834</f>
        <v>ASHP-SEER19-Replace_CAC_NonElectricHeat_ER2_MF</v>
      </c>
      <c r="G3248" s="3984"/>
      <c r="H3248" s="3984"/>
      <c r="I3248" s="3984"/>
      <c r="J3248" s="3501" t="str">
        <f>$C$1834</f>
        <v>354460_2021_12_</v>
      </c>
      <c r="K3248" s="3051">
        <v>13</v>
      </c>
      <c r="L3248" s="704"/>
      <c r="M3248" s="3022" t="s">
        <v>1070</v>
      </c>
      <c r="N3248" s="106"/>
      <c r="O3248" s="106"/>
      <c r="P3248" s="106"/>
      <c r="Q3248" s="106"/>
      <c r="R3248" s="106"/>
      <c r="S3248" s="106"/>
      <c r="T3248" s="106"/>
      <c r="U3248" s="106"/>
      <c r="V3248" s="3980"/>
      <c r="W3248" s="3421"/>
      <c r="X3248" s="3421"/>
      <c r="Y3248" s="2377"/>
      <c r="Z3248" s="3425"/>
      <c r="AA3248" s="3425"/>
      <c r="AB3248" s="583"/>
      <c r="AC3248" s="2919">
        <v>13</v>
      </c>
      <c r="AD3248" s="3051">
        <v>13</v>
      </c>
      <c r="AE3248" s="3429"/>
      <c r="AF3248" s="3421"/>
      <c r="AG3248" s="3421"/>
      <c r="AH3248" s="156"/>
      <c r="AI3248" s="156"/>
      <c r="AJ3248" s="156"/>
      <c r="AK3248" s="156"/>
      <c r="AL3248" s="156"/>
      <c r="AM3248" s="156"/>
      <c r="AN3248" s="156"/>
      <c r="AO3248" s="156"/>
      <c r="AP3248" s="156"/>
      <c r="AQ3248" s="156"/>
      <c r="AR3248" s="156"/>
      <c r="AS3248" s="156"/>
      <c r="AT3248" s="156"/>
      <c r="AU3248" s="156"/>
      <c r="AV3248" s="156"/>
      <c r="AW3248" s="156"/>
      <c r="AX3248" s="156"/>
      <c r="AY3248" s="156"/>
      <c r="AZ3248" s="156"/>
      <c r="BA3248" s="156"/>
      <c r="BB3248" s="2828"/>
      <c r="BC3248" s="452"/>
      <c r="BD3248" s="2829"/>
      <c r="BE3248" s="2837"/>
      <c r="BF3248" s="156"/>
    </row>
    <row r="3249" spans="1:58" ht="15" customHeight="1" outlineLevel="1" x14ac:dyDescent="0.35">
      <c r="A3249" s="1071"/>
      <c r="B3249" s="2812"/>
      <c r="C3249" s="3077"/>
      <c r="D3249" s="3980"/>
      <c r="E3249" s="3883"/>
      <c r="F3249" s="3984" t="str">
        <f>$E$1836</f>
        <v>ASHP-SEER19-Replace_CAC_NonElectricHeat_ER1_MF_CompE</v>
      </c>
      <c r="G3249" s="3984"/>
      <c r="H3249" s="3984"/>
      <c r="I3249" s="3984"/>
      <c r="J3249" s="3501" t="str">
        <f>$C$1836</f>
        <v>354461_2021_12_</v>
      </c>
      <c r="K3249" s="3051">
        <v>8.33</v>
      </c>
      <c r="L3249" s="704"/>
      <c r="M3249" s="3022" t="s">
        <v>1083</v>
      </c>
      <c r="N3249" s="106"/>
      <c r="O3249" s="106"/>
      <c r="P3249" s="106"/>
      <c r="Q3249" s="106"/>
      <c r="R3249" s="106"/>
      <c r="S3249" s="106"/>
      <c r="T3249" s="106"/>
      <c r="U3249" s="106"/>
      <c r="V3249" s="3980"/>
      <c r="W3249" s="3421"/>
      <c r="X3249" s="3421"/>
      <c r="Y3249" s="2377"/>
      <c r="Z3249" s="3425"/>
      <c r="AA3249" s="3425"/>
      <c r="AB3249" s="583"/>
      <c r="AC3249" s="2919">
        <v>8.33</v>
      </c>
      <c r="AD3249" s="3051">
        <v>8.33</v>
      </c>
      <c r="AE3249" s="3429"/>
      <c r="AF3249" s="3421"/>
      <c r="AG3249" s="3421"/>
      <c r="AH3249" s="156"/>
      <c r="AI3249" s="156"/>
      <c r="AJ3249" s="156"/>
      <c r="AK3249" s="156"/>
      <c r="AL3249" s="156"/>
      <c r="AM3249" s="156"/>
      <c r="AN3249" s="156"/>
      <c r="AO3249" s="156"/>
      <c r="AP3249" s="156"/>
      <c r="AQ3249" s="156"/>
      <c r="AR3249" s="156"/>
      <c r="AS3249" s="156"/>
      <c r="AT3249" s="156"/>
      <c r="AU3249" s="156"/>
      <c r="AV3249" s="156"/>
      <c r="AW3249" s="156"/>
      <c r="AX3249" s="156"/>
      <c r="AY3249" s="156"/>
      <c r="AZ3249" s="156"/>
      <c r="BA3249" s="156"/>
      <c r="BB3249" s="2828"/>
      <c r="BC3249" s="452"/>
      <c r="BD3249" s="2829"/>
      <c r="BE3249" s="2837"/>
      <c r="BF3249" s="156"/>
    </row>
    <row r="3250" spans="1:58" ht="15" customHeight="1" outlineLevel="1" x14ac:dyDescent="0.35">
      <c r="A3250" s="1071"/>
      <c r="B3250" s="2812"/>
      <c r="C3250" s="3077"/>
      <c r="D3250" s="3980"/>
      <c r="E3250" s="3883"/>
      <c r="F3250" s="3984" t="str">
        <f>$E$1838</f>
        <v>ASHP-SEER19-Replace_CAC_NonElectricHeat_ER2_MF_CompE</v>
      </c>
      <c r="G3250" s="3984"/>
      <c r="H3250" s="3984"/>
      <c r="I3250" s="3984"/>
      <c r="J3250" s="3501" t="str">
        <f>$C$1838</f>
        <v>354461_2021_12_</v>
      </c>
      <c r="K3250" s="3051">
        <v>13</v>
      </c>
      <c r="L3250" s="704"/>
      <c r="M3250" s="3022" t="s">
        <v>1070</v>
      </c>
      <c r="N3250" s="106"/>
      <c r="O3250" s="106"/>
      <c r="P3250" s="106"/>
      <c r="Q3250" s="106"/>
      <c r="R3250" s="106"/>
      <c r="S3250" s="106"/>
      <c r="T3250" s="106"/>
      <c r="U3250" s="106"/>
      <c r="V3250" s="3980"/>
      <c r="W3250" s="3421"/>
      <c r="X3250" s="3421"/>
      <c r="Y3250" s="2377"/>
      <c r="Z3250" s="3425"/>
      <c r="AA3250" s="3425"/>
      <c r="AB3250" s="583"/>
      <c r="AC3250" s="2919">
        <v>13</v>
      </c>
      <c r="AD3250" s="3051">
        <v>13</v>
      </c>
      <c r="AE3250" s="3429"/>
      <c r="AF3250" s="3421"/>
      <c r="AG3250" s="3421"/>
      <c r="AH3250" s="156"/>
      <c r="AI3250" s="156"/>
      <c r="AJ3250" s="156"/>
      <c r="AK3250" s="156"/>
      <c r="AL3250" s="156"/>
      <c r="AM3250" s="156"/>
      <c r="AN3250" s="156"/>
      <c r="AO3250" s="156"/>
      <c r="AP3250" s="156"/>
      <c r="AQ3250" s="156"/>
      <c r="AR3250" s="156"/>
      <c r="AS3250" s="156"/>
      <c r="AT3250" s="156"/>
      <c r="AU3250" s="156"/>
      <c r="AV3250" s="156"/>
      <c r="AW3250" s="156"/>
      <c r="AX3250" s="156"/>
      <c r="AY3250" s="156"/>
      <c r="AZ3250" s="156"/>
      <c r="BA3250" s="156"/>
      <c r="BB3250" s="2828"/>
      <c r="BC3250" s="452"/>
      <c r="BD3250" s="2829"/>
      <c r="BE3250" s="2837"/>
      <c r="BF3250" s="156"/>
    </row>
    <row r="3251" spans="1:58" ht="15" customHeight="1" outlineLevel="1" x14ac:dyDescent="0.35">
      <c r="A3251" s="1071"/>
      <c r="B3251" s="2812"/>
      <c r="C3251" s="3077"/>
      <c r="D3251" s="3980"/>
      <c r="E3251" s="3883"/>
      <c r="F3251" s="3984" t="str">
        <f>$E$1840</f>
        <v>ASHP-SEER19_ER1_MF</v>
      </c>
      <c r="G3251" s="3984"/>
      <c r="H3251" s="3984"/>
      <c r="I3251" s="3984"/>
      <c r="J3251" s="3501" t="str">
        <f>$C$1840</f>
        <v>354500_2019_12_</v>
      </c>
      <c r="K3251" s="3051">
        <v>8.33</v>
      </c>
      <c r="L3251" s="704"/>
      <c r="M3251" s="3022" t="s">
        <v>1070</v>
      </c>
      <c r="N3251" s="106"/>
      <c r="O3251" s="106"/>
      <c r="P3251" s="106"/>
      <c r="Q3251" s="106"/>
      <c r="R3251" s="106"/>
      <c r="S3251" s="106"/>
      <c r="T3251" s="106"/>
      <c r="U3251" s="106"/>
      <c r="V3251" s="3980"/>
      <c r="W3251" s="3421">
        <v>7.2</v>
      </c>
      <c r="X3251" s="2374">
        <v>8.33</v>
      </c>
      <c r="Y3251" s="3425">
        <v>8.33</v>
      </c>
      <c r="Z3251" s="3425">
        <v>8.33</v>
      </c>
      <c r="AA3251" s="3425">
        <v>8.33</v>
      </c>
      <c r="AB3251" s="583">
        <v>8.33</v>
      </c>
      <c r="AC3251" s="2920">
        <v>8.33</v>
      </c>
      <c r="AD3251" s="3051">
        <v>8.33</v>
      </c>
      <c r="AE3251" s="3429"/>
      <c r="AF3251" s="3421"/>
      <c r="AG3251" s="3421"/>
      <c r="AH3251" s="156"/>
      <c r="AI3251" s="156"/>
      <c r="AJ3251" s="156"/>
      <c r="AK3251" s="156"/>
      <c r="AL3251" s="156"/>
      <c r="AM3251" s="156"/>
      <c r="AN3251" s="156"/>
      <c r="AO3251" s="156"/>
      <c r="AP3251" s="156"/>
      <c r="AQ3251" s="156"/>
      <c r="AR3251" s="156"/>
      <c r="AS3251" s="156"/>
      <c r="AT3251" s="156"/>
      <c r="AU3251" s="156"/>
      <c r="AV3251" s="156"/>
      <c r="AW3251" s="156"/>
      <c r="AX3251" s="156"/>
      <c r="AY3251" s="156"/>
      <c r="AZ3251" s="156"/>
      <c r="BA3251" s="156"/>
      <c r="BB3251" s="2828"/>
      <c r="BC3251" s="452"/>
      <c r="BD3251" s="2829"/>
      <c r="BE3251" s="2837"/>
      <c r="BF3251" s="156"/>
    </row>
    <row r="3252" spans="1:58" ht="15" customHeight="1" outlineLevel="1" x14ac:dyDescent="0.35">
      <c r="A3252" s="1071"/>
      <c r="B3252" s="2812"/>
      <c r="C3252" s="3077"/>
      <c r="D3252" s="3980"/>
      <c r="E3252" s="3883"/>
      <c r="F3252" s="3984" t="str">
        <f>$E$1842</f>
        <v>ASHP-SEER19_ER2_MF</v>
      </c>
      <c r="G3252" s="3984"/>
      <c r="H3252" s="3984"/>
      <c r="I3252" s="3984"/>
      <c r="J3252" s="3501" t="str">
        <f>$C$1842</f>
        <v>354500_2019_12_</v>
      </c>
      <c r="K3252" s="3051">
        <v>14</v>
      </c>
      <c r="L3252" s="704"/>
      <c r="M3252" s="3022" t="s">
        <v>1070</v>
      </c>
      <c r="N3252" s="106"/>
      <c r="O3252" s="106"/>
      <c r="P3252" s="106"/>
      <c r="Q3252" s="106"/>
      <c r="R3252" s="106"/>
      <c r="S3252" s="106"/>
      <c r="T3252" s="106"/>
      <c r="U3252" s="106"/>
      <c r="V3252" s="3980"/>
      <c r="W3252" s="3421">
        <v>14</v>
      </c>
      <c r="X3252" s="3421">
        <v>14</v>
      </c>
      <c r="Y3252" s="3425">
        <v>14</v>
      </c>
      <c r="Z3252" s="3425">
        <v>14</v>
      </c>
      <c r="AA3252" s="3425">
        <v>14</v>
      </c>
      <c r="AB3252" s="583">
        <v>14</v>
      </c>
      <c r="AC3252" s="2920">
        <v>14</v>
      </c>
      <c r="AD3252" s="3051">
        <v>14</v>
      </c>
      <c r="AE3252" s="3429"/>
      <c r="AF3252" s="3421"/>
      <c r="AG3252" s="3421"/>
      <c r="AH3252" s="156"/>
      <c r="AI3252" s="156"/>
      <c r="AJ3252" s="156"/>
      <c r="AK3252" s="156"/>
      <c r="AL3252" s="156"/>
      <c r="AM3252" s="156"/>
      <c r="AN3252" s="156"/>
      <c r="AO3252" s="156"/>
      <c r="AP3252" s="156"/>
      <c r="AQ3252" s="156"/>
      <c r="AR3252" s="156"/>
      <c r="AS3252" s="156"/>
      <c r="AT3252" s="156"/>
      <c r="AU3252" s="156"/>
      <c r="AV3252" s="156"/>
      <c r="AW3252" s="156"/>
      <c r="AX3252" s="156"/>
      <c r="AY3252" s="156"/>
      <c r="AZ3252" s="156"/>
      <c r="BA3252" s="156"/>
      <c r="BB3252" s="2828"/>
      <c r="BC3252" s="452"/>
      <c r="BD3252" s="2829"/>
      <c r="BE3252" s="2837"/>
      <c r="BF3252" s="156"/>
    </row>
    <row r="3253" spans="1:58" ht="15" customHeight="1" outlineLevel="1" x14ac:dyDescent="0.35">
      <c r="A3253" s="1071"/>
      <c r="B3253" s="2812"/>
      <c r="C3253" s="3077"/>
      <c r="D3253" s="3980"/>
      <c r="E3253" s="3883"/>
      <c r="F3253" s="3984" t="str">
        <f>$E$1844</f>
        <v>ASHP-SEER19_ER1_MF_CompE</v>
      </c>
      <c r="G3253" s="3984"/>
      <c r="H3253" s="3984"/>
      <c r="I3253" s="3984"/>
      <c r="J3253" s="3501" t="str">
        <f>$C$1844</f>
        <v>354501_2019_12_</v>
      </c>
      <c r="K3253" s="3051">
        <v>8.33</v>
      </c>
      <c r="L3253" s="704"/>
      <c r="M3253" s="3022" t="s">
        <v>1070</v>
      </c>
      <c r="N3253" s="106"/>
      <c r="O3253" s="106"/>
      <c r="P3253" s="106"/>
      <c r="Q3253" s="106"/>
      <c r="R3253" s="106"/>
      <c r="S3253" s="106"/>
      <c r="T3253" s="106"/>
      <c r="U3253" s="106"/>
      <c r="V3253" s="3980"/>
      <c r="W3253" s="3421"/>
      <c r="X3253" s="3421"/>
      <c r="Y3253" s="2377">
        <v>8.33</v>
      </c>
      <c r="Z3253" s="3425">
        <v>8.33</v>
      </c>
      <c r="AA3253" s="3425">
        <v>8.33</v>
      </c>
      <c r="AB3253" s="583">
        <v>8.33</v>
      </c>
      <c r="AC3253" s="2920">
        <v>8.33</v>
      </c>
      <c r="AD3253" s="3051">
        <v>8.33</v>
      </c>
      <c r="AE3253" s="3429"/>
      <c r="AF3253" s="3421"/>
      <c r="AG3253" s="3421"/>
      <c r="AH3253" s="156"/>
      <c r="AI3253" s="156"/>
      <c r="AJ3253" s="156"/>
      <c r="AK3253" s="156"/>
      <c r="AL3253" s="156"/>
      <c r="AM3253" s="156"/>
      <c r="AN3253" s="156"/>
      <c r="AO3253" s="156"/>
      <c r="AP3253" s="156"/>
      <c r="AQ3253" s="156"/>
      <c r="AR3253" s="156"/>
      <c r="AS3253" s="156"/>
      <c r="AT3253" s="156"/>
      <c r="AU3253" s="156"/>
      <c r="AV3253" s="156"/>
      <c r="AW3253" s="156"/>
      <c r="AX3253" s="156"/>
      <c r="AY3253" s="156"/>
      <c r="AZ3253" s="156"/>
      <c r="BA3253" s="156"/>
      <c r="BB3253" s="2828"/>
      <c r="BC3253" s="452"/>
      <c r="BD3253" s="2829"/>
      <c r="BE3253" s="2837"/>
      <c r="BF3253" s="156"/>
    </row>
    <row r="3254" spans="1:58" ht="15" customHeight="1" outlineLevel="1" x14ac:dyDescent="0.35">
      <c r="A3254" s="1071"/>
      <c r="B3254" s="2812"/>
      <c r="C3254" s="3077"/>
      <c r="D3254" s="3980"/>
      <c r="E3254" s="3883"/>
      <c r="F3254" s="3984" t="str">
        <f>$E$1846</f>
        <v>ASHP-SEER19_ER2_MF_CompE</v>
      </c>
      <c r="G3254" s="3984"/>
      <c r="H3254" s="3984"/>
      <c r="I3254" s="3984"/>
      <c r="J3254" s="3501" t="str">
        <f>$C$1846</f>
        <v>354501_2019_12_</v>
      </c>
      <c r="K3254" s="3051">
        <v>14</v>
      </c>
      <c r="L3254" s="704"/>
      <c r="M3254" s="3022" t="s">
        <v>1070</v>
      </c>
      <c r="N3254" s="106"/>
      <c r="O3254" s="106"/>
      <c r="P3254" s="106"/>
      <c r="Q3254" s="106"/>
      <c r="R3254" s="106"/>
      <c r="S3254" s="106"/>
      <c r="T3254" s="106"/>
      <c r="U3254" s="106"/>
      <c r="V3254" s="3980"/>
      <c r="W3254" s="3421"/>
      <c r="X3254" s="3421"/>
      <c r="Y3254" s="2377">
        <v>14</v>
      </c>
      <c r="Z3254" s="3425">
        <v>14</v>
      </c>
      <c r="AA3254" s="3425">
        <v>14</v>
      </c>
      <c r="AB3254" s="583">
        <v>14</v>
      </c>
      <c r="AC3254" s="2920">
        <v>14</v>
      </c>
      <c r="AD3254" s="3051">
        <v>14</v>
      </c>
      <c r="AE3254" s="3429"/>
      <c r="AF3254" s="3421"/>
      <c r="AG3254" s="3421"/>
      <c r="AH3254" s="156"/>
      <c r="AI3254" s="156"/>
      <c r="AJ3254" s="156"/>
      <c r="AK3254" s="156"/>
      <c r="AL3254" s="156"/>
      <c r="AM3254" s="156"/>
      <c r="AN3254" s="156"/>
      <c r="AO3254" s="156"/>
      <c r="AP3254" s="156"/>
      <c r="AQ3254" s="156"/>
      <c r="AR3254" s="156"/>
      <c r="AS3254" s="156"/>
      <c r="AT3254" s="156"/>
      <c r="AU3254" s="156"/>
      <c r="AV3254" s="156"/>
      <c r="AW3254" s="156"/>
      <c r="AX3254" s="156"/>
      <c r="AY3254" s="156"/>
      <c r="AZ3254" s="156"/>
      <c r="BA3254" s="156"/>
      <c r="BB3254" s="2828"/>
      <c r="BC3254" s="452"/>
      <c r="BD3254" s="2829"/>
      <c r="BE3254" s="2837"/>
      <c r="BF3254" s="156"/>
    </row>
    <row r="3255" spans="1:58" ht="15" customHeight="1" outlineLevel="1" x14ac:dyDescent="0.35">
      <c r="A3255" s="1071"/>
      <c r="B3255" s="2812"/>
      <c r="C3255" s="3077"/>
      <c r="D3255" s="3980"/>
      <c r="E3255" s="3883"/>
      <c r="F3255" s="3984" t="str">
        <f>$E$1848</f>
        <v>ASHP-SEER20_ER1_SF</v>
      </c>
      <c r="G3255" s="3984"/>
      <c r="H3255" s="3984"/>
      <c r="I3255" s="3984"/>
      <c r="J3255" s="3501" t="str">
        <f>$C$1848</f>
        <v>354550_2021_12_</v>
      </c>
      <c r="K3255" s="3050">
        <v>7.6241123100090684</v>
      </c>
      <c r="L3255" s="704"/>
      <c r="M3255" s="3024" t="s">
        <v>4360</v>
      </c>
      <c r="N3255" s="106"/>
      <c r="O3255" s="106"/>
      <c r="P3255" s="106"/>
      <c r="Q3255" s="106"/>
      <c r="R3255" s="106"/>
      <c r="S3255" s="106"/>
      <c r="T3255" s="106"/>
      <c r="U3255" s="106"/>
      <c r="V3255" s="3980"/>
      <c r="W3255" s="3421">
        <v>7.2</v>
      </c>
      <c r="X3255" s="2374">
        <v>8.33</v>
      </c>
      <c r="Y3255" s="3425">
        <v>8.33</v>
      </c>
      <c r="Z3255" s="3425">
        <v>8.33</v>
      </c>
      <c r="AA3255" s="3425">
        <v>8.33</v>
      </c>
      <c r="AB3255" s="583">
        <v>8.33</v>
      </c>
      <c r="AC3255" s="2920">
        <v>8.33</v>
      </c>
      <c r="AD3255" s="3050">
        <v>7.6241123100090684</v>
      </c>
      <c r="AE3255" s="3429"/>
      <c r="AF3255" s="3421"/>
      <c r="AG3255" s="3421"/>
      <c r="AH3255" s="156"/>
      <c r="AI3255" s="156"/>
      <c r="AJ3255" s="156"/>
      <c r="AK3255" s="156"/>
      <c r="AL3255" s="156"/>
      <c r="AM3255" s="156"/>
      <c r="AN3255" s="156"/>
      <c r="AO3255" s="156"/>
      <c r="AP3255" s="156"/>
      <c r="AQ3255" s="156"/>
      <c r="AR3255" s="156"/>
      <c r="AS3255" s="156"/>
      <c r="AT3255" s="156"/>
      <c r="AU3255" s="156"/>
      <c r="AV3255" s="156"/>
      <c r="AW3255" s="156"/>
      <c r="AX3255" s="156"/>
      <c r="AY3255" s="156"/>
      <c r="AZ3255" s="156"/>
      <c r="BA3255" s="156"/>
      <c r="BB3255" s="2828"/>
      <c r="BC3255" s="452"/>
      <c r="BD3255" s="2829"/>
      <c r="BE3255" s="2837"/>
      <c r="BF3255" s="156"/>
    </row>
    <row r="3256" spans="1:58" ht="15" customHeight="1" outlineLevel="1" x14ac:dyDescent="0.35">
      <c r="A3256" s="1071"/>
      <c r="B3256" s="2812"/>
      <c r="C3256" s="3077"/>
      <c r="D3256" s="3980"/>
      <c r="E3256" s="3883"/>
      <c r="F3256" s="3984" t="str">
        <f>$E$1850</f>
        <v>ASHP-SEER20_ER2_SF</v>
      </c>
      <c r="G3256" s="3984"/>
      <c r="H3256" s="3984"/>
      <c r="I3256" s="3984"/>
      <c r="J3256" s="3501" t="str">
        <f>$C$1850</f>
        <v>354550_2021_12_</v>
      </c>
      <c r="K3256" s="3051">
        <v>14</v>
      </c>
      <c r="L3256" s="704"/>
      <c r="M3256" s="3022" t="s">
        <v>1070</v>
      </c>
      <c r="N3256" s="106"/>
      <c r="O3256" s="106"/>
      <c r="P3256" s="106"/>
      <c r="Q3256" s="106"/>
      <c r="R3256" s="106"/>
      <c r="S3256" s="106"/>
      <c r="T3256" s="106"/>
      <c r="U3256" s="106"/>
      <c r="V3256" s="3980"/>
      <c r="W3256" s="3421">
        <v>14</v>
      </c>
      <c r="X3256" s="3421">
        <v>14</v>
      </c>
      <c r="Y3256" s="3425">
        <v>14</v>
      </c>
      <c r="Z3256" s="3425">
        <v>14</v>
      </c>
      <c r="AA3256" s="3425">
        <v>14</v>
      </c>
      <c r="AB3256" s="583">
        <v>14</v>
      </c>
      <c r="AC3256" s="2920">
        <v>14</v>
      </c>
      <c r="AD3256" s="3051">
        <v>14</v>
      </c>
      <c r="AE3256" s="3429"/>
      <c r="AF3256" s="3421"/>
      <c r="AG3256" s="3421"/>
      <c r="AH3256" s="156"/>
      <c r="AI3256" s="156"/>
      <c r="AJ3256" s="156"/>
      <c r="AK3256" s="156"/>
      <c r="AL3256" s="156"/>
      <c r="AM3256" s="156"/>
      <c r="AN3256" s="156"/>
      <c r="AO3256" s="156"/>
      <c r="AP3256" s="156"/>
      <c r="AQ3256" s="156"/>
      <c r="AR3256" s="156"/>
      <c r="AS3256" s="156"/>
      <c r="AT3256" s="156"/>
      <c r="AU3256" s="156"/>
      <c r="AV3256" s="156"/>
      <c r="AW3256" s="156"/>
      <c r="AX3256" s="156"/>
      <c r="AY3256" s="156"/>
      <c r="AZ3256" s="156"/>
      <c r="BA3256" s="156"/>
      <c r="BB3256" s="2828"/>
      <c r="BC3256" s="452"/>
      <c r="BD3256" s="2829"/>
      <c r="BE3256" s="2837"/>
      <c r="BF3256" s="156"/>
    </row>
    <row r="3257" spans="1:58" ht="15" customHeight="1" outlineLevel="1" x14ac:dyDescent="0.35">
      <c r="A3257" s="1071"/>
      <c r="B3257" s="2812"/>
      <c r="C3257" s="3077"/>
      <c r="D3257" s="3980"/>
      <c r="E3257" s="3883"/>
      <c r="F3257" s="3984" t="str">
        <f>$E$1852</f>
        <v>ASHP-SEER20_ROF_SF</v>
      </c>
      <c r="G3257" s="3984"/>
      <c r="H3257" s="3984"/>
      <c r="I3257" s="3984"/>
      <c r="J3257" s="3501" t="str">
        <f>$C$1852</f>
        <v>354600_2021_12_</v>
      </c>
      <c r="K3257" s="3051">
        <v>14</v>
      </c>
      <c r="L3257" s="704"/>
      <c r="M3257" s="3022" t="s">
        <v>1070</v>
      </c>
      <c r="N3257" s="106"/>
      <c r="O3257" s="106"/>
      <c r="P3257" s="106"/>
      <c r="Q3257" s="106"/>
      <c r="R3257" s="106"/>
      <c r="S3257" s="106"/>
      <c r="T3257" s="106"/>
      <c r="U3257" s="106"/>
      <c r="V3257" s="3980"/>
      <c r="W3257" s="3421">
        <v>14</v>
      </c>
      <c r="X3257" s="3421">
        <v>14</v>
      </c>
      <c r="Y3257" s="3425">
        <v>14</v>
      </c>
      <c r="Z3257" s="3425">
        <v>14</v>
      </c>
      <c r="AA3257" s="3425">
        <v>14</v>
      </c>
      <c r="AB3257" s="583">
        <v>14</v>
      </c>
      <c r="AC3257" s="2920">
        <v>14</v>
      </c>
      <c r="AD3257" s="3051">
        <v>14</v>
      </c>
      <c r="AE3257" s="3429"/>
      <c r="AF3257" s="3421"/>
      <c r="AG3257" s="3421"/>
      <c r="AH3257" s="156"/>
      <c r="AI3257" s="156"/>
      <c r="AJ3257" s="156"/>
      <c r="AK3257" s="156"/>
      <c r="AL3257" s="156"/>
      <c r="AM3257" s="156"/>
      <c r="AN3257" s="156"/>
      <c r="AO3257" s="156"/>
      <c r="AP3257" s="156"/>
      <c r="AQ3257" s="156"/>
      <c r="AR3257" s="156"/>
      <c r="AS3257" s="156"/>
      <c r="AT3257" s="156"/>
      <c r="AU3257" s="156"/>
      <c r="AV3257" s="156"/>
      <c r="AW3257" s="156"/>
      <c r="AX3257" s="156"/>
      <c r="AY3257" s="156"/>
      <c r="AZ3257" s="156"/>
      <c r="BA3257" s="156"/>
      <c r="BB3257" s="2828"/>
      <c r="BC3257" s="452"/>
      <c r="BD3257" s="2829"/>
      <c r="BE3257" s="2837"/>
      <c r="BF3257" s="156"/>
    </row>
    <row r="3258" spans="1:58" ht="15" customHeight="1" outlineLevel="1" x14ac:dyDescent="0.35">
      <c r="A3258" s="1071"/>
      <c r="B3258" s="2812"/>
      <c r="C3258" s="3077"/>
      <c r="D3258" s="3980"/>
      <c r="E3258" s="3883"/>
      <c r="F3258" s="3984" t="str">
        <f>$E$1854</f>
        <v>ASHP-SEER20-Replace_CAC_ElectricHeat_ER1_MF</v>
      </c>
      <c r="G3258" s="3984"/>
      <c r="H3258" s="3984"/>
      <c r="I3258" s="3984"/>
      <c r="J3258" s="3501" t="str">
        <f>$C$1854</f>
        <v>354650_2019_12_</v>
      </c>
      <c r="K3258" s="3051">
        <v>8.33</v>
      </c>
      <c r="L3258" s="704"/>
      <c r="M3258" s="3022" t="s">
        <v>1070</v>
      </c>
      <c r="N3258" s="106"/>
      <c r="O3258" s="106"/>
      <c r="P3258" s="106"/>
      <c r="Q3258" s="106"/>
      <c r="R3258" s="106"/>
      <c r="S3258" s="106"/>
      <c r="T3258" s="106"/>
      <c r="U3258" s="106"/>
      <c r="V3258" s="3980"/>
      <c r="W3258" s="3421">
        <v>6.8</v>
      </c>
      <c r="X3258" s="2374">
        <v>8.33</v>
      </c>
      <c r="Y3258" s="3425">
        <v>8.33</v>
      </c>
      <c r="Z3258" s="3425">
        <v>8.33</v>
      </c>
      <c r="AA3258" s="3425">
        <v>8.33</v>
      </c>
      <c r="AB3258" s="583">
        <v>8.33</v>
      </c>
      <c r="AC3258" s="2920">
        <v>8.33</v>
      </c>
      <c r="AD3258" s="3051">
        <v>8.33</v>
      </c>
      <c r="AE3258" s="3429"/>
      <c r="AF3258" s="3421"/>
      <c r="AG3258" s="3421"/>
      <c r="AH3258" s="156"/>
      <c r="AI3258" s="156"/>
      <c r="AJ3258" s="156"/>
      <c r="AK3258" s="156"/>
      <c r="AL3258" s="156"/>
      <c r="AM3258" s="156"/>
      <c r="AN3258" s="156"/>
      <c r="AO3258" s="156"/>
      <c r="AP3258" s="156"/>
      <c r="AQ3258" s="156"/>
      <c r="AR3258" s="156"/>
      <c r="AS3258" s="156"/>
      <c r="AT3258" s="156"/>
      <c r="AU3258" s="156"/>
      <c r="AV3258" s="156"/>
      <c r="AW3258" s="156"/>
      <c r="AX3258" s="156"/>
      <c r="AY3258" s="156"/>
      <c r="AZ3258" s="156"/>
      <c r="BA3258" s="156"/>
      <c r="BB3258" s="2828"/>
      <c r="BC3258" s="452"/>
      <c r="BD3258" s="2829"/>
      <c r="BE3258" s="2837"/>
      <c r="BF3258" s="156"/>
    </row>
    <row r="3259" spans="1:58" ht="15" customHeight="1" outlineLevel="1" x14ac:dyDescent="0.35">
      <c r="A3259" s="1071"/>
      <c r="B3259" s="2812"/>
      <c r="C3259" s="3077"/>
      <c r="D3259" s="3980"/>
      <c r="E3259" s="3883"/>
      <c r="F3259" s="3984" t="str">
        <f>$E$1856</f>
        <v>ASHP-SEER20-Replace_CAC_ElectricHeat_ER2_MF</v>
      </c>
      <c r="G3259" s="3984"/>
      <c r="H3259" s="3984"/>
      <c r="I3259" s="3984"/>
      <c r="J3259" s="3501" t="str">
        <f>$C$1856</f>
        <v>354650_2019_12_</v>
      </c>
      <c r="K3259" s="3051">
        <v>13</v>
      </c>
      <c r="L3259" s="704"/>
      <c r="M3259" s="3022" t="s">
        <v>1070</v>
      </c>
      <c r="N3259" s="106"/>
      <c r="O3259" s="106"/>
      <c r="P3259" s="106"/>
      <c r="Q3259" s="106"/>
      <c r="R3259" s="106"/>
      <c r="S3259" s="106"/>
      <c r="T3259" s="106"/>
      <c r="U3259" s="106"/>
      <c r="V3259" s="3980"/>
      <c r="W3259" s="3421">
        <v>13</v>
      </c>
      <c r="X3259" s="3421">
        <v>13</v>
      </c>
      <c r="Y3259" s="3425">
        <v>13</v>
      </c>
      <c r="Z3259" s="3425">
        <v>13</v>
      </c>
      <c r="AA3259" s="3425">
        <v>13</v>
      </c>
      <c r="AB3259" s="583">
        <v>13</v>
      </c>
      <c r="AC3259" s="2920">
        <v>13</v>
      </c>
      <c r="AD3259" s="3051">
        <v>13</v>
      </c>
      <c r="AE3259" s="3429"/>
      <c r="AF3259" s="3421"/>
      <c r="AG3259" s="3421"/>
      <c r="AH3259" s="156"/>
      <c r="AI3259" s="156"/>
      <c r="AJ3259" s="156"/>
      <c r="AK3259" s="156"/>
      <c r="AL3259" s="156"/>
      <c r="AM3259" s="156"/>
      <c r="AN3259" s="156"/>
      <c r="AO3259" s="156"/>
      <c r="AP3259" s="156"/>
      <c r="AQ3259" s="156"/>
      <c r="AR3259" s="156"/>
      <c r="AS3259" s="156"/>
      <c r="AT3259" s="156"/>
      <c r="AU3259" s="156"/>
      <c r="AV3259" s="156"/>
      <c r="AW3259" s="156"/>
      <c r="AX3259" s="156"/>
      <c r="AY3259" s="156"/>
      <c r="AZ3259" s="156"/>
      <c r="BA3259" s="156"/>
      <c r="BB3259" s="2828"/>
      <c r="BC3259" s="452"/>
      <c r="BD3259" s="2829"/>
      <c r="BE3259" s="2837"/>
      <c r="BF3259" s="156"/>
    </row>
    <row r="3260" spans="1:58" ht="15" customHeight="1" outlineLevel="1" x14ac:dyDescent="0.35">
      <c r="A3260" s="1071"/>
      <c r="B3260" s="2812"/>
      <c r="C3260" s="3077"/>
      <c r="D3260" s="3980"/>
      <c r="E3260" s="3883"/>
      <c r="F3260" s="3984" t="str">
        <f>$E$1858</f>
        <v>ASHP-SEER20-Replace_CAC_ElectricHeat_ER1_MF_CompE</v>
      </c>
      <c r="G3260" s="3984"/>
      <c r="H3260" s="3984"/>
      <c r="I3260" s="3984"/>
      <c r="J3260" s="3501" t="str">
        <f>$C$1858</f>
        <v>354651_2019_12_</v>
      </c>
      <c r="K3260" s="3051">
        <v>8.33</v>
      </c>
      <c r="L3260" s="704"/>
      <c r="M3260" s="3022" t="s">
        <v>1070</v>
      </c>
      <c r="N3260" s="106"/>
      <c r="O3260" s="106"/>
      <c r="P3260" s="106"/>
      <c r="Q3260" s="106"/>
      <c r="R3260" s="106"/>
      <c r="S3260" s="106"/>
      <c r="T3260" s="106"/>
      <c r="U3260" s="106"/>
      <c r="V3260" s="3980"/>
      <c r="W3260" s="3421"/>
      <c r="X3260" s="3421"/>
      <c r="Y3260" s="2377">
        <v>8.33</v>
      </c>
      <c r="Z3260" s="3425">
        <v>8.33</v>
      </c>
      <c r="AA3260" s="3425">
        <v>8.33</v>
      </c>
      <c r="AB3260" s="583">
        <v>8.33</v>
      </c>
      <c r="AC3260" s="2920">
        <v>8.33</v>
      </c>
      <c r="AD3260" s="3051">
        <v>8.33</v>
      </c>
      <c r="AE3260" s="3429"/>
      <c r="AF3260" s="3421"/>
      <c r="AG3260" s="3421"/>
      <c r="AH3260" s="156"/>
      <c r="AI3260" s="156"/>
      <c r="AJ3260" s="156"/>
      <c r="AK3260" s="156"/>
      <c r="AL3260" s="156"/>
      <c r="AM3260" s="156"/>
      <c r="AN3260" s="156"/>
      <c r="AO3260" s="156"/>
      <c r="AP3260" s="156"/>
      <c r="AQ3260" s="156"/>
      <c r="AR3260" s="156"/>
      <c r="AS3260" s="156"/>
      <c r="AT3260" s="156"/>
      <c r="AU3260" s="156"/>
      <c r="AV3260" s="156"/>
      <c r="AW3260" s="156"/>
      <c r="AX3260" s="156"/>
      <c r="AY3260" s="156"/>
      <c r="AZ3260" s="156"/>
      <c r="BA3260" s="156"/>
      <c r="BB3260" s="2828"/>
      <c r="BC3260" s="452"/>
      <c r="BD3260" s="2829"/>
      <c r="BE3260" s="2837"/>
      <c r="BF3260" s="156"/>
    </row>
    <row r="3261" spans="1:58" ht="15" customHeight="1" outlineLevel="1" x14ac:dyDescent="0.35">
      <c r="A3261" s="1071"/>
      <c r="B3261" s="2812"/>
      <c r="C3261" s="3077"/>
      <c r="D3261" s="3980"/>
      <c r="E3261" s="3883"/>
      <c r="F3261" s="3984" t="str">
        <f>$E$1860</f>
        <v>ASHP-SEER20-Replace_CAC_ElectricHeat_ER2_MF_CompE</v>
      </c>
      <c r="G3261" s="3984"/>
      <c r="H3261" s="3984"/>
      <c r="I3261" s="3984"/>
      <c r="J3261" s="3501" t="str">
        <f>$C$1860</f>
        <v>354651_2019_12_</v>
      </c>
      <c r="K3261" s="3051">
        <v>13</v>
      </c>
      <c r="L3261" s="704"/>
      <c r="M3261" s="3022" t="s">
        <v>1070</v>
      </c>
      <c r="N3261" s="106"/>
      <c r="O3261" s="106"/>
      <c r="P3261" s="106"/>
      <c r="Q3261" s="106"/>
      <c r="R3261" s="106"/>
      <c r="S3261" s="106"/>
      <c r="T3261" s="106"/>
      <c r="U3261" s="106"/>
      <c r="V3261" s="3980"/>
      <c r="W3261" s="3421"/>
      <c r="X3261" s="3421"/>
      <c r="Y3261" s="2377">
        <v>13</v>
      </c>
      <c r="Z3261" s="3425">
        <v>13</v>
      </c>
      <c r="AA3261" s="3425">
        <v>13</v>
      </c>
      <c r="AB3261" s="583">
        <v>13</v>
      </c>
      <c r="AC3261" s="2920">
        <v>13</v>
      </c>
      <c r="AD3261" s="3051">
        <v>13</v>
      </c>
      <c r="AE3261" s="3429"/>
      <c r="AF3261" s="3421"/>
      <c r="AG3261" s="3421"/>
      <c r="AH3261" s="156"/>
      <c r="AI3261" s="156"/>
      <c r="AJ3261" s="156"/>
      <c r="AK3261" s="156"/>
      <c r="AL3261" s="156"/>
      <c r="AM3261" s="156"/>
      <c r="AN3261" s="156"/>
      <c r="AO3261" s="156"/>
      <c r="AP3261" s="156"/>
      <c r="AQ3261" s="156"/>
      <c r="AR3261" s="156"/>
      <c r="AS3261" s="156"/>
      <c r="AT3261" s="156"/>
      <c r="AU3261" s="156"/>
      <c r="AV3261" s="156"/>
      <c r="AW3261" s="156"/>
      <c r="AX3261" s="156"/>
      <c r="AY3261" s="156"/>
      <c r="AZ3261" s="156"/>
      <c r="BA3261" s="156"/>
      <c r="BB3261" s="2828"/>
      <c r="BC3261" s="452"/>
      <c r="BD3261" s="2829"/>
      <c r="BE3261" s="2837"/>
      <c r="BF3261" s="156"/>
    </row>
    <row r="3262" spans="1:58" ht="15" customHeight="1" outlineLevel="1" x14ac:dyDescent="0.35">
      <c r="A3262" s="1071"/>
      <c r="B3262" s="2812"/>
      <c r="C3262" s="3077"/>
      <c r="D3262" s="3980"/>
      <c r="E3262" s="3883"/>
      <c r="F3262" s="3984" t="str">
        <f>$E$1862</f>
        <v>ASHP-SEER20-Replace_CAC_NonElectricHeat_ER1_MF</v>
      </c>
      <c r="G3262" s="3984"/>
      <c r="H3262" s="3984"/>
      <c r="I3262" s="3984"/>
      <c r="J3262" s="3501" t="str">
        <f>$C$1862</f>
        <v>354660_2021_12_</v>
      </c>
      <c r="K3262" s="3051">
        <v>8.33</v>
      </c>
      <c r="L3262" s="704"/>
      <c r="M3262" s="3022" t="s">
        <v>1083</v>
      </c>
      <c r="N3262" s="106"/>
      <c r="O3262" s="106"/>
      <c r="P3262" s="106"/>
      <c r="Q3262" s="106"/>
      <c r="R3262" s="106"/>
      <c r="S3262" s="106"/>
      <c r="T3262" s="106"/>
      <c r="U3262" s="106"/>
      <c r="V3262" s="3980"/>
      <c r="W3262" s="3421"/>
      <c r="X3262" s="3421"/>
      <c r="Y3262" s="2377"/>
      <c r="Z3262" s="3425"/>
      <c r="AA3262" s="3425"/>
      <c r="AB3262" s="583"/>
      <c r="AC3262" s="2919">
        <v>8.33</v>
      </c>
      <c r="AD3262" s="3051">
        <v>8.33</v>
      </c>
      <c r="AE3262" s="3429"/>
      <c r="AF3262" s="3421"/>
      <c r="AG3262" s="3421"/>
      <c r="AH3262" s="156"/>
      <c r="AI3262" s="156"/>
      <c r="AJ3262" s="156"/>
      <c r="AK3262" s="156"/>
      <c r="AL3262" s="156"/>
      <c r="AM3262" s="156"/>
      <c r="AN3262" s="156"/>
      <c r="AO3262" s="156"/>
      <c r="AP3262" s="156"/>
      <c r="AQ3262" s="156"/>
      <c r="AR3262" s="156"/>
      <c r="AS3262" s="156"/>
      <c r="AT3262" s="156"/>
      <c r="AU3262" s="156"/>
      <c r="AV3262" s="156"/>
      <c r="AW3262" s="156"/>
      <c r="AX3262" s="156"/>
      <c r="AY3262" s="156"/>
      <c r="AZ3262" s="156"/>
      <c r="BA3262" s="156"/>
      <c r="BB3262" s="2828"/>
      <c r="BC3262" s="452"/>
      <c r="BD3262" s="2829"/>
      <c r="BE3262" s="2837"/>
      <c r="BF3262" s="156"/>
    </row>
    <row r="3263" spans="1:58" ht="15" customHeight="1" outlineLevel="1" x14ac:dyDescent="0.35">
      <c r="A3263" s="1071"/>
      <c r="B3263" s="2812"/>
      <c r="C3263" s="3077"/>
      <c r="D3263" s="3980"/>
      <c r="E3263" s="3883"/>
      <c r="F3263" s="3984" t="str">
        <f>$E$1864</f>
        <v>ASHP-SEER20-Replace_CAC_NonElectricHeat_ER2_MF</v>
      </c>
      <c r="G3263" s="3984"/>
      <c r="H3263" s="3984"/>
      <c r="I3263" s="3984"/>
      <c r="J3263" s="3501" t="str">
        <f>$C$1864</f>
        <v>354660_2021_12_</v>
      </c>
      <c r="K3263" s="3051">
        <v>13</v>
      </c>
      <c r="L3263" s="704"/>
      <c r="M3263" s="3022" t="s">
        <v>1070</v>
      </c>
      <c r="N3263" s="106"/>
      <c r="O3263" s="106"/>
      <c r="P3263" s="106"/>
      <c r="Q3263" s="106"/>
      <c r="R3263" s="106"/>
      <c r="S3263" s="106"/>
      <c r="T3263" s="106"/>
      <c r="U3263" s="106"/>
      <c r="V3263" s="3980"/>
      <c r="W3263" s="3421"/>
      <c r="X3263" s="3421"/>
      <c r="Y3263" s="2377"/>
      <c r="Z3263" s="3425"/>
      <c r="AA3263" s="3425"/>
      <c r="AB3263" s="583"/>
      <c r="AC3263" s="2919">
        <v>13</v>
      </c>
      <c r="AD3263" s="3051">
        <v>13</v>
      </c>
      <c r="AE3263" s="3429"/>
      <c r="AF3263" s="3421"/>
      <c r="AG3263" s="3421"/>
      <c r="AH3263" s="156"/>
      <c r="AI3263" s="156"/>
      <c r="AJ3263" s="156"/>
      <c r="AK3263" s="156"/>
      <c r="AL3263" s="156"/>
      <c r="AM3263" s="156"/>
      <c r="AN3263" s="156"/>
      <c r="AO3263" s="156"/>
      <c r="AP3263" s="156"/>
      <c r="AQ3263" s="156"/>
      <c r="AR3263" s="156"/>
      <c r="AS3263" s="156"/>
      <c r="AT3263" s="156"/>
      <c r="AU3263" s="156"/>
      <c r="AV3263" s="156"/>
      <c r="AW3263" s="156"/>
      <c r="AX3263" s="156"/>
      <c r="AY3263" s="156"/>
      <c r="AZ3263" s="156"/>
      <c r="BA3263" s="156"/>
      <c r="BB3263" s="2828"/>
      <c r="BC3263" s="452"/>
      <c r="BD3263" s="2829"/>
      <c r="BE3263" s="2837"/>
      <c r="BF3263" s="156"/>
    </row>
    <row r="3264" spans="1:58" ht="15" customHeight="1" outlineLevel="1" x14ac:dyDescent="0.35">
      <c r="A3264" s="1071"/>
      <c r="B3264" s="2812"/>
      <c r="C3264" s="3077"/>
      <c r="D3264" s="3980"/>
      <c r="E3264" s="3883"/>
      <c r="F3264" s="3984" t="str">
        <f>$E$1866</f>
        <v>ASHP-SEER20-Replace_CAC_NonElectricHeat_ER1_MF_CompE</v>
      </c>
      <c r="G3264" s="3984"/>
      <c r="H3264" s="3984"/>
      <c r="I3264" s="3984"/>
      <c r="J3264" s="3501" t="str">
        <f>$C$1866</f>
        <v>354661_2021_12_</v>
      </c>
      <c r="K3264" s="3051">
        <v>8.33</v>
      </c>
      <c r="L3264" s="704"/>
      <c r="M3264" s="3022" t="s">
        <v>1083</v>
      </c>
      <c r="N3264" s="106"/>
      <c r="O3264" s="106"/>
      <c r="P3264" s="106"/>
      <c r="Q3264" s="106"/>
      <c r="R3264" s="106"/>
      <c r="S3264" s="106"/>
      <c r="T3264" s="106"/>
      <c r="U3264" s="106"/>
      <c r="V3264" s="3980"/>
      <c r="W3264" s="3421"/>
      <c r="X3264" s="3421"/>
      <c r="Y3264" s="2377"/>
      <c r="Z3264" s="3425"/>
      <c r="AA3264" s="3425"/>
      <c r="AB3264" s="583"/>
      <c r="AC3264" s="2919">
        <v>8.33</v>
      </c>
      <c r="AD3264" s="3051">
        <v>8.33</v>
      </c>
      <c r="AE3264" s="3429"/>
      <c r="AF3264" s="3421"/>
      <c r="AG3264" s="3421"/>
      <c r="AH3264" s="156"/>
      <c r="AI3264" s="156"/>
      <c r="AJ3264" s="156"/>
      <c r="AK3264" s="156"/>
      <c r="AL3264" s="156"/>
      <c r="AM3264" s="156"/>
      <c r="AN3264" s="156"/>
      <c r="AO3264" s="156"/>
      <c r="AP3264" s="156"/>
      <c r="AQ3264" s="156"/>
      <c r="AR3264" s="156"/>
      <c r="AS3264" s="156"/>
      <c r="AT3264" s="156"/>
      <c r="AU3264" s="156"/>
      <c r="AV3264" s="156"/>
      <c r="AW3264" s="156"/>
      <c r="AX3264" s="156"/>
      <c r="AY3264" s="156"/>
      <c r="AZ3264" s="156"/>
      <c r="BA3264" s="156"/>
      <c r="BB3264" s="2828"/>
      <c r="BC3264" s="452"/>
      <c r="BD3264" s="2829"/>
      <c r="BE3264" s="2837"/>
      <c r="BF3264" s="156"/>
    </row>
    <row r="3265" spans="1:58" ht="15" customHeight="1" outlineLevel="1" x14ac:dyDescent="0.35">
      <c r="A3265" s="1071"/>
      <c r="B3265" s="2812"/>
      <c r="C3265" s="3077"/>
      <c r="D3265" s="3980"/>
      <c r="E3265" s="3883"/>
      <c r="F3265" s="3984" t="str">
        <f>$E$1868</f>
        <v>ASHP-SEER20-Replace_CAC_NonElectricHeat_ER2_MF_CompE</v>
      </c>
      <c r="G3265" s="3984"/>
      <c r="H3265" s="3984"/>
      <c r="I3265" s="3984"/>
      <c r="J3265" s="3501" t="str">
        <f>$C$1868</f>
        <v>354661_2021_12_</v>
      </c>
      <c r="K3265" s="3051">
        <v>13</v>
      </c>
      <c r="L3265" s="704"/>
      <c r="M3265" s="3022" t="s">
        <v>1070</v>
      </c>
      <c r="N3265" s="106"/>
      <c r="O3265" s="106"/>
      <c r="P3265" s="106"/>
      <c r="Q3265" s="106"/>
      <c r="R3265" s="106"/>
      <c r="S3265" s="106"/>
      <c r="T3265" s="106"/>
      <c r="U3265" s="106"/>
      <c r="V3265" s="3980"/>
      <c r="W3265" s="3421"/>
      <c r="X3265" s="3421"/>
      <c r="Y3265" s="2377"/>
      <c r="Z3265" s="3425"/>
      <c r="AA3265" s="3425"/>
      <c r="AB3265" s="583"/>
      <c r="AC3265" s="2919">
        <v>13</v>
      </c>
      <c r="AD3265" s="3051">
        <v>13</v>
      </c>
      <c r="AE3265" s="3429"/>
      <c r="AF3265" s="3421"/>
      <c r="AG3265" s="3421"/>
      <c r="AH3265" s="156"/>
      <c r="AI3265" s="156"/>
      <c r="AJ3265" s="156"/>
      <c r="AK3265" s="156"/>
      <c r="AL3265" s="156"/>
      <c r="AM3265" s="156"/>
      <c r="AN3265" s="156"/>
      <c r="AO3265" s="156"/>
      <c r="AP3265" s="156"/>
      <c r="AQ3265" s="156"/>
      <c r="AR3265" s="156"/>
      <c r="AS3265" s="156"/>
      <c r="AT3265" s="156"/>
      <c r="AU3265" s="156"/>
      <c r="AV3265" s="156"/>
      <c r="AW3265" s="156"/>
      <c r="AX3265" s="156"/>
      <c r="AY3265" s="156"/>
      <c r="AZ3265" s="156"/>
      <c r="BA3265" s="156"/>
      <c r="BB3265" s="2828"/>
      <c r="BC3265" s="452"/>
      <c r="BD3265" s="2829"/>
      <c r="BE3265" s="2837"/>
      <c r="BF3265" s="156"/>
    </row>
    <row r="3266" spans="1:58" ht="15" customHeight="1" outlineLevel="1" x14ac:dyDescent="0.35">
      <c r="A3266" s="1071"/>
      <c r="B3266" s="2812"/>
      <c r="C3266" s="3077"/>
      <c r="D3266" s="3980"/>
      <c r="E3266" s="3883"/>
      <c r="F3266" s="3984" t="str">
        <f>$E$1870</f>
        <v>ASHP-SEER20_ER1_MF</v>
      </c>
      <c r="G3266" s="3984"/>
      <c r="H3266" s="3984"/>
      <c r="I3266" s="3984"/>
      <c r="J3266" s="3501" t="str">
        <f>$C$1870</f>
        <v>354700_2019_12_</v>
      </c>
      <c r="K3266" s="3051">
        <v>8.33</v>
      </c>
      <c r="L3266" s="704"/>
      <c r="M3266" s="3022" t="s">
        <v>1070</v>
      </c>
      <c r="N3266" s="106"/>
      <c r="O3266" s="106"/>
      <c r="P3266" s="106"/>
      <c r="Q3266" s="106"/>
      <c r="R3266" s="106"/>
      <c r="S3266" s="106"/>
      <c r="T3266" s="106"/>
      <c r="U3266" s="106"/>
      <c r="V3266" s="3980"/>
      <c r="W3266" s="3421">
        <v>7.2</v>
      </c>
      <c r="X3266" s="2374">
        <v>8.33</v>
      </c>
      <c r="Y3266" s="3425">
        <v>8.33</v>
      </c>
      <c r="Z3266" s="3425">
        <v>8.33</v>
      </c>
      <c r="AA3266" s="3425">
        <v>8.33</v>
      </c>
      <c r="AB3266" s="583">
        <v>8.33</v>
      </c>
      <c r="AC3266" s="2920">
        <v>8.33</v>
      </c>
      <c r="AD3266" s="3051">
        <v>8.33</v>
      </c>
      <c r="AE3266" s="3429"/>
      <c r="AF3266" s="3421"/>
      <c r="AG3266" s="3421"/>
      <c r="AH3266" s="156"/>
      <c r="AI3266" s="156"/>
      <c r="AJ3266" s="156"/>
      <c r="AK3266" s="156"/>
      <c r="AL3266" s="156"/>
      <c r="AM3266" s="156"/>
      <c r="AN3266" s="156"/>
      <c r="AO3266" s="156"/>
      <c r="AP3266" s="156"/>
      <c r="AQ3266" s="156"/>
      <c r="AR3266" s="156"/>
      <c r="AS3266" s="156"/>
      <c r="AT3266" s="156"/>
      <c r="AU3266" s="156"/>
      <c r="AV3266" s="156"/>
      <c r="AW3266" s="156"/>
      <c r="AX3266" s="156"/>
      <c r="AY3266" s="156"/>
      <c r="AZ3266" s="156"/>
      <c r="BA3266" s="156"/>
      <c r="BB3266" s="2828"/>
      <c r="BC3266" s="452"/>
      <c r="BD3266" s="2829"/>
      <c r="BE3266" s="2837"/>
      <c r="BF3266" s="156"/>
    </row>
    <row r="3267" spans="1:58" ht="15" customHeight="1" outlineLevel="1" x14ac:dyDescent="0.35">
      <c r="A3267" s="1071"/>
      <c r="B3267" s="2812"/>
      <c r="C3267" s="3077"/>
      <c r="D3267" s="3980"/>
      <c r="E3267" s="3883"/>
      <c r="F3267" s="3984" t="str">
        <f>$E$1872</f>
        <v>ASHP-SEER20_ER2_MF</v>
      </c>
      <c r="G3267" s="3984"/>
      <c r="H3267" s="3984"/>
      <c r="I3267" s="3984"/>
      <c r="J3267" s="3501" t="str">
        <f>$C$1872</f>
        <v>354700_2019_12_</v>
      </c>
      <c r="K3267" s="3051">
        <v>14</v>
      </c>
      <c r="L3267" s="704"/>
      <c r="M3267" s="3022" t="s">
        <v>1070</v>
      </c>
      <c r="N3267" s="106"/>
      <c r="O3267" s="106"/>
      <c r="P3267" s="106"/>
      <c r="Q3267" s="106"/>
      <c r="R3267" s="106"/>
      <c r="S3267" s="106"/>
      <c r="T3267" s="106"/>
      <c r="U3267" s="106"/>
      <c r="V3267" s="3980"/>
      <c r="W3267" s="3421">
        <v>14</v>
      </c>
      <c r="X3267" s="3421">
        <v>14</v>
      </c>
      <c r="Y3267" s="3425">
        <v>14</v>
      </c>
      <c r="Z3267" s="3425">
        <v>14</v>
      </c>
      <c r="AA3267" s="3425">
        <v>14</v>
      </c>
      <c r="AB3267" s="583">
        <v>14</v>
      </c>
      <c r="AC3267" s="2920">
        <v>14</v>
      </c>
      <c r="AD3267" s="3051">
        <v>14</v>
      </c>
      <c r="AE3267" s="3429"/>
      <c r="AF3267" s="3421"/>
      <c r="AG3267" s="3421"/>
      <c r="AH3267" s="156"/>
      <c r="AI3267" s="156"/>
      <c r="AJ3267" s="156"/>
      <c r="AK3267" s="156"/>
      <c r="AL3267" s="156"/>
      <c r="AM3267" s="156"/>
      <c r="AN3267" s="156"/>
      <c r="AO3267" s="156"/>
      <c r="AP3267" s="156"/>
      <c r="AQ3267" s="156"/>
      <c r="AR3267" s="156"/>
      <c r="AS3267" s="156"/>
      <c r="AT3267" s="156"/>
      <c r="AU3267" s="156"/>
      <c r="AV3267" s="156"/>
      <c r="AW3267" s="156"/>
      <c r="AX3267" s="156"/>
      <c r="AY3267" s="156"/>
      <c r="AZ3267" s="156"/>
      <c r="BA3267" s="156"/>
      <c r="BB3267" s="2828"/>
      <c r="BC3267" s="452"/>
      <c r="BD3267" s="2829"/>
      <c r="BE3267" s="2837"/>
      <c r="BF3267" s="156"/>
    </row>
    <row r="3268" spans="1:58" ht="15" customHeight="1" outlineLevel="1" x14ac:dyDescent="0.35">
      <c r="A3268" s="1071"/>
      <c r="B3268" s="2812"/>
      <c r="C3268" s="3077"/>
      <c r="D3268" s="3980"/>
      <c r="E3268" s="3883"/>
      <c r="F3268" s="3984" t="str">
        <f>$E$1874</f>
        <v>ASHP-SEER20_ER1_MF_CompE</v>
      </c>
      <c r="G3268" s="3984"/>
      <c r="H3268" s="3984"/>
      <c r="I3268" s="3984"/>
      <c r="J3268" s="3501" t="str">
        <f>$C$1874</f>
        <v>354701_2019_12_</v>
      </c>
      <c r="K3268" s="3051">
        <v>8.33</v>
      </c>
      <c r="L3268" s="704"/>
      <c r="M3268" s="3022" t="s">
        <v>1070</v>
      </c>
      <c r="N3268" s="106"/>
      <c r="O3268" s="106"/>
      <c r="P3268" s="106"/>
      <c r="Q3268" s="106"/>
      <c r="R3268" s="106"/>
      <c r="S3268" s="106"/>
      <c r="T3268" s="106"/>
      <c r="U3268" s="106"/>
      <c r="V3268" s="3980"/>
      <c r="W3268" s="3421"/>
      <c r="X3268" s="3421"/>
      <c r="Y3268" s="2377">
        <v>8.33</v>
      </c>
      <c r="Z3268" s="3425">
        <v>8.33</v>
      </c>
      <c r="AA3268" s="3425">
        <v>8.33</v>
      </c>
      <c r="AB3268" s="583">
        <v>8.33</v>
      </c>
      <c r="AC3268" s="2920">
        <v>8.33</v>
      </c>
      <c r="AD3268" s="3051">
        <v>8.33</v>
      </c>
      <c r="AE3268" s="3429"/>
      <c r="AF3268" s="3421"/>
      <c r="AG3268" s="3421"/>
      <c r="AH3268" s="156"/>
      <c r="AI3268" s="156"/>
      <c r="AJ3268" s="156"/>
      <c r="AK3268" s="156"/>
      <c r="AL3268" s="156"/>
      <c r="AM3268" s="156"/>
      <c r="AN3268" s="156"/>
      <c r="AO3268" s="156"/>
      <c r="AP3268" s="156"/>
      <c r="AQ3268" s="156"/>
      <c r="AR3268" s="156"/>
      <c r="AS3268" s="156"/>
      <c r="AT3268" s="156"/>
      <c r="AU3268" s="156"/>
      <c r="AV3268" s="156"/>
      <c r="AW3268" s="156"/>
      <c r="AX3268" s="156"/>
      <c r="AY3268" s="156"/>
      <c r="AZ3268" s="156"/>
      <c r="BA3268" s="156"/>
      <c r="BB3268" s="2828"/>
      <c r="BC3268" s="452"/>
      <c r="BD3268" s="2829"/>
      <c r="BE3268" s="2837"/>
      <c r="BF3268" s="156"/>
    </row>
    <row r="3269" spans="1:58" ht="15" customHeight="1" outlineLevel="1" x14ac:dyDescent="0.35">
      <c r="A3269" s="1071"/>
      <c r="B3269" s="2812"/>
      <c r="C3269" s="3077"/>
      <c r="D3269" s="3980"/>
      <c r="E3269" s="3883"/>
      <c r="F3269" s="3984" t="str">
        <f>$E$1876</f>
        <v>ASHP-SEER20_ER2_MF_CompE</v>
      </c>
      <c r="G3269" s="3984"/>
      <c r="H3269" s="3984"/>
      <c r="I3269" s="3984"/>
      <c r="J3269" s="3501" t="str">
        <f>$C$1876</f>
        <v>354701_2019_12_</v>
      </c>
      <c r="K3269" s="3051">
        <v>14</v>
      </c>
      <c r="L3269" s="704"/>
      <c r="M3269" s="3022" t="s">
        <v>1070</v>
      </c>
      <c r="N3269" s="106"/>
      <c r="O3269" s="106"/>
      <c r="P3269" s="106"/>
      <c r="Q3269" s="106"/>
      <c r="R3269" s="106"/>
      <c r="S3269" s="106"/>
      <c r="T3269" s="106"/>
      <c r="U3269" s="106"/>
      <c r="V3269" s="3980"/>
      <c r="W3269" s="3421"/>
      <c r="X3269" s="3421"/>
      <c r="Y3269" s="2377">
        <v>14</v>
      </c>
      <c r="Z3269" s="3425">
        <v>14</v>
      </c>
      <c r="AA3269" s="3425">
        <v>14</v>
      </c>
      <c r="AB3269" s="583">
        <v>14</v>
      </c>
      <c r="AC3269" s="2920">
        <v>14</v>
      </c>
      <c r="AD3269" s="3051">
        <v>14</v>
      </c>
      <c r="AE3269" s="3429"/>
      <c r="AF3269" s="3421"/>
      <c r="AG3269" s="3421"/>
      <c r="AH3269" s="156"/>
      <c r="AI3269" s="156"/>
      <c r="AJ3269" s="156"/>
      <c r="AK3269" s="156"/>
      <c r="AL3269" s="156"/>
      <c r="AM3269" s="156"/>
      <c r="AN3269" s="156"/>
      <c r="AO3269" s="156"/>
      <c r="AP3269" s="156"/>
      <c r="AQ3269" s="156"/>
      <c r="AR3269" s="156"/>
      <c r="AS3269" s="156"/>
      <c r="AT3269" s="156"/>
      <c r="AU3269" s="156"/>
      <c r="AV3269" s="156"/>
      <c r="AW3269" s="156"/>
      <c r="AX3269" s="156"/>
      <c r="AY3269" s="156"/>
      <c r="AZ3269" s="156"/>
      <c r="BA3269" s="156"/>
      <c r="BB3269" s="2828"/>
      <c r="BC3269" s="452"/>
      <c r="BD3269" s="2829"/>
      <c r="BE3269" s="2837"/>
      <c r="BF3269" s="156"/>
    </row>
    <row r="3270" spans="1:58" ht="15" customHeight="1" outlineLevel="1" x14ac:dyDescent="0.35">
      <c r="A3270" s="1071"/>
      <c r="B3270" s="2812"/>
      <c r="C3270" s="3077"/>
      <c r="D3270" s="3980"/>
      <c r="E3270" s="3883"/>
      <c r="F3270" s="3984" t="str">
        <f>$E$1878</f>
        <v>ASHP-SEER21_ER1_SF</v>
      </c>
      <c r="G3270" s="3984"/>
      <c r="H3270" s="3984"/>
      <c r="I3270" s="3984"/>
      <c r="J3270" s="3501" t="str">
        <f>$C$1878</f>
        <v>354750_2021_12_</v>
      </c>
      <c r="K3270" s="3050">
        <v>7.6464902009468165</v>
      </c>
      <c r="L3270" s="704"/>
      <c r="M3270" s="3024" t="s">
        <v>4360</v>
      </c>
      <c r="N3270" s="106"/>
      <c r="O3270" s="106"/>
      <c r="P3270" s="106"/>
      <c r="Q3270" s="106"/>
      <c r="R3270" s="106"/>
      <c r="S3270" s="106"/>
      <c r="T3270" s="106"/>
      <c r="U3270" s="106"/>
      <c r="V3270" s="3980"/>
      <c r="W3270" s="3421">
        <v>7.2</v>
      </c>
      <c r="X3270" s="2374">
        <v>8.33</v>
      </c>
      <c r="Y3270" s="3425">
        <v>8.33</v>
      </c>
      <c r="Z3270" s="3425">
        <v>8.33</v>
      </c>
      <c r="AA3270" s="3425">
        <v>8.33</v>
      </c>
      <c r="AB3270" s="583">
        <v>8.33</v>
      </c>
      <c r="AC3270" s="2919">
        <v>8.4729048312395783</v>
      </c>
      <c r="AD3270" s="3050">
        <v>7.6464902009468165</v>
      </c>
      <c r="AE3270" s="3429"/>
      <c r="AF3270" s="3421"/>
      <c r="AG3270" s="3421"/>
      <c r="AH3270" s="156"/>
      <c r="AI3270" s="156"/>
      <c r="AJ3270" s="156"/>
      <c r="AK3270" s="156"/>
      <c r="AL3270" s="156"/>
      <c r="AM3270" s="156"/>
      <c r="AN3270" s="156"/>
      <c r="AO3270" s="156"/>
      <c r="AP3270" s="156"/>
      <c r="AQ3270" s="156"/>
      <c r="AR3270" s="156"/>
      <c r="AS3270" s="156"/>
      <c r="AT3270" s="156"/>
      <c r="AU3270" s="156"/>
      <c r="AV3270" s="156"/>
      <c r="AW3270" s="156"/>
      <c r="AX3270" s="156"/>
      <c r="AY3270" s="156"/>
      <c r="AZ3270" s="156"/>
      <c r="BA3270" s="156"/>
      <c r="BB3270" s="2828"/>
      <c r="BC3270" s="452"/>
      <c r="BD3270" s="2829"/>
      <c r="BE3270" s="2837"/>
      <c r="BF3270" s="156"/>
    </row>
    <row r="3271" spans="1:58" ht="15" customHeight="1" outlineLevel="1" x14ac:dyDescent="0.35">
      <c r="A3271" s="1071"/>
      <c r="B3271" s="2812"/>
      <c r="C3271" s="3077"/>
      <c r="D3271" s="3980"/>
      <c r="E3271" s="3883"/>
      <c r="F3271" s="3984" t="str">
        <f>$E$1880</f>
        <v>ASHP-SEER21_ER2_SF</v>
      </c>
      <c r="G3271" s="3984"/>
      <c r="H3271" s="3984"/>
      <c r="I3271" s="3984"/>
      <c r="J3271" s="3501" t="str">
        <f>$C$1880</f>
        <v>354750_2021_12_</v>
      </c>
      <c r="K3271" s="3051">
        <v>14</v>
      </c>
      <c r="L3271" s="704"/>
      <c r="M3271" s="3022" t="s">
        <v>1070</v>
      </c>
      <c r="N3271" s="106"/>
      <c r="O3271" s="106"/>
      <c r="P3271" s="106"/>
      <c r="Q3271" s="106"/>
      <c r="R3271" s="106"/>
      <c r="S3271" s="106"/>
      <c r="T3271" s="106"/>
      <c r="U3271" s="106"/>
      <c r="V3271" s="3980"/>
      <c r="W3271" s="3421">
        <v>14</v>
      </c>
      <c r="X3271" s="3421">
        <v>14</v>
      </c>
      <c r="Y3271" s="3425">
        <v>14</v>
      </c>
      <c r="Z3271" s="3425">
        <v>14</v>
      </c>
      <c r="AA3271" s="3425">
        <v>14</v>
      </c>
      <c r="AB3271" s="583">
        <v>14</v>
      </c>
      <c r="AC3271" s="2920">
        <v>14</v>
      </c>
      <c r="AD3271" s="3051">
        <v>14</v>
      </c>
      <c r="AE3271" s="3429"/>
      <c r="AF3271" s="3421"/>
      <c r="AG3271" s="3421"/>
      <c r="AH3271" s="156"/>
      <c r="AI3271" s="156"/>
      <c r="AJ3271" s="156"/>
      <c r="AK3271" s="156"/>
      <c r="AL3271" s="156"/>
      <c r="AM3271" s="156"/>
      <c r="AN3271" s="156"/>
      <c r="AO3271" s="156"/>
      <c r="AP3271" s="156"/>
      <c r="AQ3271" s="156"/>
      <c r="AR3271" s="156"/>
      <c r="AS3271" s="156"/>
      <c r="AT3271" s="156"/>
      <c r="AU3271" s="156"/>
      <c r="AV3271" s="156"/>
      <c r="AW3271" s="156"/>
      <c r="AX3271" s="156"/>
      <c r="AY3271" s="156"/>
      <c r="AZ3271" s="156"/>
      <c r="BA3271" s="156"/>
      <c r="BB3271" s="2828"/>
      <c r="BC3271" s="452"/>
      <c r="BD3271" s="2829"/>
      <c r="BE3271" s="2837"/>
      <c r="BF3271" s="156"/>
    </row>
    <row r="3272" spans="1:58" ht="15" customHeight="1" outlineLevel="1" x14ac:dyDescent="0.35">
      <c r="A3272" s="1071"/>
      <c r="B3272" s="2812"/>
      <c r="C3272" s="3077"/>
      <c r="D3272" s="3980"/>
      <c r="E3272" s="3883"/>
      <c r="F3272" s="3984" t="str">
        <f>$E$1882</f>
        <v>ASHP-SEER21_ROF_SF</v>
      </c>
      <c r="G3272" s="3984"/>
      <c r="H3272" s="3984"/>
      <c r="I3272" s="3984"/>
      <c r="J3272" s="3501" t="str">
        <f>$C$1882</f>
        <v>354800_2021_12_</v>
      </c>
      <c r="K3272" s="3051">
        <v>14</v>
      </c>
      <c r="L3272" s="704"/>
      <c r="M3272" s="3022" t="s">
        <v>1070</v>
      </c>
      <c r="N3272" s="106"/>
      <c r="O3272" s="106"/>
      <c r="P3272" s="106"/>
      <c r="Q3272" s="106"/>
      <c r="R3272" s="106"/>
      <c r="S3272" s="106"/>
      <c r="T3272" s="106"/>
      <c r="U3272" s="106"/>
      <c r="V3272" s="3980"/>
      <c r="W3272" s="3421">
        <v>14</v>
      </c>
      <c r="X3272" s="3421">
        <v>14</v>
      </c>
      <c r="Y3272" s="3425">
        <v>14</v>
      </c>
      <c r="Z3272" s="3425">
        <v>14</v>
      </c>
      <c r="AA3272" s="3425">
        <v>14</v>
      </c>
      <c r="AB3272" s="583">
        <v>14</v>
      </c>
      <c r="AC3272" s="2920">
        <v>14</v>
      </c>
      <c r="AD3272" s="3051">
        <v>14</v>
      </c>
      <c r="AE3272" s="3429"/>
      <c r="AF3272" s="3421"/>
      <c r="AG3272" s="3421"/>
      <c r="AH3272" s="156"/>
      <c r="AI3272" s="156"/>
      <c r="AJ3272" s="156"/>
      <c r="AK3272" s="156"/>
      <c r="AL3272" s="156"/>
      <c r="AM3272" s="156"/>
      <c r="AN3272" s="156"/>
      <c r="AO3272" s="156"/>
      <c r="AP3272" s="156"/>
      <c r="AQ3272" s="156"/>
      <c r="AR3272" s="156"/>
      <c r="AS3272" s="156"/>
      <c r="AT3272" s="156"/>
      <c r="AU3272" s="156"/>
      <c r="AV3272" s="156"/>
      <c r="AW3272" s="156"/>
      <c r="AX3272" s="156"/>
      <c r="AY3272" s="156"/>
      <c r="AZ3272" s="156"/>
      <c r="BA3272" s="156"/>
      <c r="BB3272" s="2828"/>
      <c r="BC3272" s="452"/>
      <c r="BD3272" s="2829"/>
      <c r="BE3272" s="2837"/>
      <c r="BF3272" s="156"/>
    </row>
    <row r="3273" spans="1:58" ht="15" customHeight="1" outlineLevel="1" x14ac:dyDescent="0.35">
      <c r="A3273" s="1071"/>
      <c r="B3273" s="2812"/>
      <c r="C3273" s="3077"/>
      <c r="D3273" s="3980"/>
      <c r="E3273" s="3883"/>
      <c r="F3273" s="3984" t="str">
        <f>$E$1884</f>
        <v>ASHP-SEER21-Replace_CAC_ElectricHeat_ROF_MF</v>
      </c>
      <c r="G3273" s="3984"/>
      <c r="H3273" s="3984"/>
      <c r="I3273" s="3984"/>
      <c r="J3273" s="3501" t="str">
        <f>$C$1884</f>
        <v>354850_2019_12_</v>
      </c>
      <c r="K3273" s="3051">
        <v>13</v>
      </c>
      <c r="L3273" s="704"/>
      <c r="M3273" s="3022" t="s">
        <v>1070</v>
      </c>
      <c r="N3273" s="106"/>
      <c r="O3273" s="106"/>
      <c r="P3273" s="106"/>
      <c r="Q3273" s="106"/>
      <c r="R3273" s="106"/>
      <c r="S3273" s="106"/>
      <c r="T3273" s="106"/>
      <c r="U3273" s="106"/>
      <c r="V3273" s="3980"/>
      <c r="W3273" s="3421">
        <v>13</v>
      </c>
      <c r="X3273" s="3421">
        <v>13</v>
      </c>
      <c r="Y3273" s="3425">
        <v>13</v>
      </c>
      <c r="Z3273" s="3425">
        <v>13</v>
      </c>
      <c r="AA3273" s="3425">
        <v>13</v>
      </c>
      <c r="AB3273" s="583">
        <v>13</v>
      </c>
      <c r="AC3273" s="2920">
        <v>13</v>
      </c>
      <c r="AD3273" s="3051">
        <v>13</v>
      </c>
      <c r="AE3273" s="3429"/>
      <c r="AF3273" s="3421"/>
      <c r="AG3273" s="3421"/>
      <c r="AH3273" s="156"/>
      <c r="AI3273" s="156"/>
      <c r="AJ3273" s="156"/>
      <c r="AK3273" s="156"/>
      <c r="AL3273" s="156"/>
      <c r="AM3273" s="156"/>
      <c r="AN3273" s="156"/>
      <c r="AO3273" s="156"/>
      <c r="AP3273" s="156"/>
      <c r="AQ3273" s="156"/>
      <c r="AR3273" s="156"/>
      <c r="AS3273" s="156"/>
      <c r="AT3273" s="156"/>
      <c r="AU3273" s="156"/>
      <c r="AV3273" s="156"/>
      <c r="AW3273" s="156"/>
      <c r="AX3273" s="156"/>
      <c r="AY3273" s="156"/>
      <c r="AZ3273" s="156"/>
      <c r="BA3273" s="156"/>
      <c r="BB3273" s="2828"/>
      <c r="BC3273" s="452"/>
      <c r="BD3273" s="2829"/>
      <c r="BE3273" s="2837"/>
      <c r="BF3273" s="156"/>
    </row>
    <row r="3274" spans="1:58" ht="15" customHeight="1" outlineLevel="1" x14ac:dyDescent="0.35">
      <c r="A3274" s="1071"/>
      <c r="B3274" s="2812"/>
      <c r="C3274" s="3077"/>
      <c r="D3274" s="3980"/>
      <c r="E3274" s="3883"/>
      <c r="F3274" s="3984" t="str">
        <f>$E$1886</f>
        <v>ASHP-SEER21-Replace_CAC_ElectricHeat_ROF_MF_CompE</v>
      </c>
      <c r="G3274" s="3984"/>
      <c r="H3274" s="3984"/>
      <c r="I3274" s="3984"/>
      <c r="J3274" s="3501" t="str">
        <f>$C$1886</f>
        <v>354851_2019_12_</v>
      </c>
      <c r="K3274" s="3051">
        <v>13</v>
      </c>
      <c r="L3274" s="704"/>
      <c r="M3274" s="3022" t="s">
        <v>1070</v>
      </c>
      <c r="N3274" s="106"/>
      <c r="O3274" s="106"/>
      <c r="P3274" s="106"/>
      <c r="Q3274" s="106"/>
      <c r="R3274" s="106"/>
      <c r="S3274" s="106"/>
      <c r="T3274" s="106"/>
      <c r="U3274" s="106"/>
      <c r="V3274" s="3980"/>
      <c r="W3274" s="3421"/>
      <c r="X3274" s="3421"/>
      <c r="Y3274" s="2377">
        <v>13</v>
      </c>
      <c r="Z3274" s="3425">
        <v>13</v>
      </c>
      <c r="AA3274" s="3425">
        <v>13</v>
      </c>
      <c r="AB3274" s="583">
        <v>13</v>
      </c>
      <c r="AC3274" s="2920">
        <v>13</v>
      </c>
      <c r="AD3274" s="3051">
        <v>13</v>
      </c>
      <c r="AE3274" s="3429"/>
      <c r="AF3274" s="3421"/>
      <c r="AG3274" s="3421"/>
      <c r="AH3274" s="156"/>
      <c r="AI3274" s="156"/>
      <c r="AJ3274" s="156"/>
      <c r="AK3274" s="156"/>
      <c r="AL3274" s="156"/>
      <c r="AM3274" s="156"/>
      <c r="AN3274" s="156"/>
      <c r="AO3274" s="156"/>
      <c r="AP3274" s="156"/>
      <c r="AQ3274" s="156"/>
      <c r="AR3274" s="156"/>
      <c r="AS3274" s="156"/>
      <c r="AT3274" s="156"/>
      <c r="AU3274" s="156"/>
      <c r="AV3274" s="156"/>
      <c r="AW3274" s="156"/>
      <c r="AX3274" s="156"/>
      <c r="AY3274" s="156"/>
      <c r="AZ3274" s="156"/>
      <c r="BA3274" s="156"/>
      <c r="BB3274" s="2828"/>
      <c r="BC3274" s="452"/>
      <c r="BD3274" s="2829"/>
      <c r="BE3274" s="2837"/>
      <c r="BF3274" s="156"/>
    </row>
    <row r="3275" spans="1:58" ht="15" customHeight="1" outlineLevel="1" x14ac:dyDescent="0.35">
      <c r="A3275" s="1071"/>
      <c r="B3275" s="2812"/>
      <c r="C3275" s="3077"/>
      <c r="D3275" s="3980"/>
      <c r="E3275" s="3883"/>
      <c r="F3275" s="3984" t="str">
        <f>$E$1888</f>
        <v>ASHP-SEER21-Replace_CAC_NonElectricHeat_ROF_MF</v>
      </c>
      <c r="G3275" s="3984"/>
      <c r="H3275" s="3984"/>
      <c r="I3275" s="3984"/>
      <c r="J3275" s="3501" t="str">
        <f>$C$1888</f>
        <v>354860_2021_12_</v>
      </c>
      <c r="K3275" s="3051">
        <v>13</v>
      </c>
      <c r="L3275" s="704"/>
      <c r="M3275" s="3022" t="s">
        <v>1070</v>
      </c>
      <c r="N3275" s="106"/>
      <c r="O3275" s="106"/>
      <c r="P3275" s="106"/>
      <c r="Q3275" s="106"/>
      <c r="R3275" s="106"/>
      <c r="S3275" s="106"/>
      <c r="T3275" s="106"/>
      <c r="U3275" s="106"/>
      <c r="V3275" s="3980"/>
      <c r="W3275" s="3421"/>
      <c r="X3275" s="3421"/>
      <c r="Y3275" s="2377"/>
      <c r="Z3275" s="3425"/>
      <c r="AA3275" s="3425"/>
      <c r="AB3275" s="583"/>
      <c r="AC3275" s="2919">
        <v>13</v>
      </c>
      <c r="AD3275" s="3051">
        <v>13</v>
      </c>
      <c r="AE3275" s="3429"/>
      <c r="AF3275" s="3421"/>
      <c r="AG3275" s="3421"/>
      <c r="AH3275" s="156"/>
      <c r="AI3275" s="156"/>
      <c r="AJ3275" s="156"/>
      <c r="AK3275" s="156"/>
      <c r="AL3275" s="156"/>
      <c r="AM3275" s="156"/>
      <c r="AN3275" s="156"/>
      <c r="AO3275" s="156"/>
      <c r="AP3275" s="156"/>
      <c r="AQ3275" s="156"/>
      <c r="AR3275" s="156"/>
      <c r="AS3275" s="156"/>
      <c r="AT3275" s="156"/>
      <c r="AU3275" s="156"/>
      <c r="AV3275" s="156"/>
      <c r="AW3275" s="156"/>
      <c r="AX3275" s="156"/>
      <c r="AY3275" s="156"/>
      <c r="AZ3275" s="156"/>
      <c r="BA3275" s="156"/>
      <c r="BB3275" s="2828"/>
      <c r="BC3275" s="452"/>
      <c r="BD3275" s="2829"/>
      <c r="BE3275" s="2837"/>
      <c r="BF3275" s="156"/>
    </row>
    <row r="3276" spans="1:58" ht="15" customHeight="1" outlineLevel="1" x14ac:dyDescent="0.35">
      <c r="A3276" s="1071"/>
      <c r="B3276" s="2812"/>
      <c r="C3276" s="3077"/>
      <c r="D3276" s="3980"/>
      <c r="E3276" s="3883"/>
      <c r="F3276" s="3984" t="str">
        <f>$E$1890</f>
        <v>ASHP-SEER21-Replace_CAC_NonElectricHeat_ROF_MF_CompE</v>
      </c>
      <c r="G3276" s="3984"/>
      <c r="H3276" s="3984"/>
      <c r="I3276" s="3984"/>
      <c r="J3276" s="3501" t="str">
        <f>$C$1890</f>
        <v>354861_2021_12_</v>
      </c>
      <c r="K3276" s="3051">
        <v>13</v>
      </c>
      <c r="L3276" s="704"/>
      <c r="M3276" s="3022" t="s">
        <v>1070</v>
      </c>
      <c r="N3276" s="106"/>
      <c r="O3276" s="106"/>
      <c r="P3276" s="106"/>
      <c r="Q3276" s="106"/>
      <c r="R3276" s="106"/>
      <c r="S3276" s="106"/>
      <c r="T3276" s="106"/>
      <c r="U3276" s="106"/>
      <c r="V3276" s="3980"/>
      <c r="W3276" s="3421"/>
      <c r="X3276" s="3421"/>
      <c r="Y3276" s="2377"/>
      <c r="Z3276" s="3425"/>
      <c r="AA3276" s="3425"/>
      <c r="AB3276" s="583"/>
      <c r="AC3276" s="2919">
        <v>13</v>
      </c>
      <c r="AD3276" s="3051">
        <v>13</v>
      </c>
      <c r="AE3276" s="3429"/>
      <c r="AF3276" s="3421"/>
      <c r="AG3276" s="3421"/>
      <c r="AH3276" s="156"/>
      <c r="AI3276" s="156"/>
      <c r="AJ3276" s="156"/>
      <c r="AK3276" s="156"/>
      <c r="AL3276" s="156"/>
      <c r="AM3276" s="156"/>
      <c r="AN3276" s="156"/>
      <c r="AO3276" s="156"/>
      <c r="AP3276" s="156"/>
      <c r="AQ3276" s="156"/>
      <c r="AR3276" s="156"/>
      <c r="AS3276" s="156"/>
      <c r="AT3276" s="156"/>
      <c r="AU3276" s="156"/>
      <c r="AV3276" s="156"/>
      <c r="AW3276" s="156"/>
      <c r="AX3276" s="156"/>
      <c r="AY3276" s="156"/>
      <c r="AZ3276" s="156"/>
      <c r="BA3276" s="156"/>
      <c r="BB3276" s="2828"/>
      <c r="BC3276" s="452"/>
      <c r="BD3276" s="2829"/>
      <c r="BE3276" s="2837"/>
      <c r="BF3276" s="156"/>
    </row>
    <row r="3277" spans="1:58" ht="15" customHeight="1" outlineLevel="1" x14ac:dyDescent="0.35">
      <c r="A3277" s="1071"/>
      <c r="B3277" s="2812"/>
      <c r="C3277" s="3077"/>
      <c r="D3277" s="3980"/>
      <c r="E3277" s="3883"/>
      <c r="F3277" s="3984" t="str">
        <f>$E$1892</f>
        <v>ASHP-SEER21_ER1_MF</v>
      </c>
      <c r="G3277" s="3984"/>
      <c r="H3277" s="3984"/>
      <c r="I3277" s="3984"/>
      <c r="J3277" s="3501" t="str">
        <f>$C$1892</f>
        <v>354900_2019_12_</v>
      </c>
      <c r="K3277" s="3051">
        <v>8.33</v>
      </c>
      <c r="L3277" s="704"/>
      <c r="M3277" s="3022" t="s">
        <v>1070</v>
      </c>
      <c r="N3277" s="106"/>
      <c r="O3277" s="106"/>
      <c r="P3277" s="106"/>
      <c r="Q3277" s="106"/>
      <c r="R3277" s="106"/>
      <c r="S3277" s="106"/>
      <c r="T3277" s="106"/>
      <c r="U3277" s="106"/>
      <c r="V3277" s="3980"/>
      <c r="W3277" s="3421">
        <v>7.2</v>
      </c>
      <c r="X3277" s="2374">
        <v>8.33</v>
      </c>
      <c r="Y3277" s="3425">
        <v>8.33</v>
      </c>
      <c r="Z3277" s="3425">
        <v>8.33</v>
      </c>
      <c r="AA3277" s="3425">
        <v>8.33</v>
      </c>
      <c r="AB3277" s="583">
        <v>8.33</v>
      </c>
      <c r="AC3277" s="2920">
        <v>8.33</v>
      </c>
      <c r="AD3277" s="3051">
        <v>8.33</v>
      </c>
      <c r="AE3277" s="3429"/>
      <c r="AF3277" s="3421"/>
      <c r="AG3277" s="3421"/>
      <c r="AH3277" s="156"/>
      <c r="AI3277" s="156"/>
      <c r="AJ3277" s="156"/>
      <c r="AK3277" s="156"/>
      <c r="AL3277" s="156"/>
      <c r="AM3277" s="156"/>
      <c r="AN3277" s="156"/>
      <c r="AO3277" s="156"/>
      <c r="AP3277" s="156"/>
      <c r="AQ3277" s="156"/>
      <c r="AR3277" s="156"/>
      <c r="AS3277" s="156"/>
      <c r="AT3277" s="156"/>
      <c r="AU3277" s="156"/>
      <c r="AV3277" s="156"/>
      <c r="AW3277" s="156"/>
      <c r="AX3277" s="156"/>
      <c r="AY3277" s="156"/>
      <c r="AZ3277" s="156"/>
      <c r="BA3277" s="156"/>
      <c r="BB3277" s="2828"/>
      <c r="BC3277" s="452"/>
      <c r="BD3277" s="2829"/>
      <c r="BE3277" s="2837"/>
      <c r="BF3277" s="156"/>
    </row>
    <row r="3278" spans="1:58" ht="15" customHeight="1" outlineLevel="1" x14ac:dyDescent="0.35">
      <c r="A3278" s="1071"/>
      <c r="B3278" s="2812"/>
      <c r="C3278" s="3077"/>
      <c r="D3278" s="3980"/>
      <c r="E3278" s="3883"/>
      <c r="F3278" s="3984" t="str">
        <f>$E$1894</f>
        <v>ASHP-SEER21_ER2_MF</v>
      </c>
      <c r="G3278" s="3984"/>
      <c r="H3278" s="3984"/>
      <c r="I3278" s="3984"/>
      <c r="J3278" s="3501" t="str">
        <f>$C$1894</f>
        <v>354900_2019_12_</v>
      </c>
      <c r="K3278" s="3051">
        <v>14</v>
      </c>
      <c r="L3278" s="704"/>
      <c r="M3278" s="3022" t="s">
        <v>1070</v>
      </c>
      <c r="N3278" s="106"/>
      <c r="O3278" s="106"/>
      <c r="P3278" s="106"/>
      <c r="Q3278" s="106"/>
      <c r="R3278" s="106"/>
      <c r="S3278" s="106"/>
      <c r="T3278" s="106"/>
      <c r="U3278" s="106"/>
      <c r="V3278" s="3980"/>
      <c r="W3278" s="3421">
        <v>14</v>
      </c>
      <c r="X3278" s="3421">
        <v>14</v>
      </c>
      <c r="Y3278" s="3425">
        <v>14</v>
      </c>
      <c r="Z3278" s="3425">
        <v>14</v>
      </c>
      <c r="AA3278" s="3425">
        <v>14</v>
      </c>
      <c r="AB3278" s="583">
        <v>14</v>
      </c>
      <c r="AC3278" s="2920">
        <v>14</v>
      </c>
      <c r="AD3278" s="3051">
        <v>14</v>
      </c>
      <c r="AE3278" s="3429"/>
      <c r="AF3278" s="3421"/>
      <c r="AG3278" s="3421"/>
      <c r="AH3278" s="156"/>
      <c r="AI3278" s="156"/>
      <c r="AJ3278" s="156"/>
      <c r="AK3278" s="156"/>
      <c r="AL3278" s="156"/>
      <c r="AM3278" s="156"/>
      <c r="AN3278" s="156"/>
      <c r="AO3278" s="156"/>
      <c r="AP3278" s="156"/>
      <c r="AQ3278" s="156"/>
      <c r="AR3278" s="156"/>
      <c r="AS3278" s="156"/>
      <c r="AT3278" s="156"/>
      <c r="AU3278" s="156"/>
      <c r="AV3278" s="156"/>
      <c r="AW3278" s="156"/>
      <c r="AX3278" s="156"/>
      <c r="AY3278" s="156"/>
      <c r="AZ3278" s="156"/>
      <c r="BA3278" s="156"/>
      <c r="BB3278" s="2828"/>
      <c r="BC3278" s="452"/>
      <c r="BD3278" s="2829"/>
      <c r="BE3278" s="2837"/>
      <c r="BF3278" s="156"/>
    </row>
    <row r="3279" spans="1:58" ht="15" customHeight="1" outlineLevel="1" x14ac:dyDescent="0.35">
      <c r="A3279" s="1071"/>
      <c r="B3279" s="2812"/>
      <c r="C3279" s="3077"/>
      <c r="D3279" s="3980"/>
      <c r="E3279" s="3883"/>
      <c r="F3279" s="3984" t="str">
        <f>$E$1896</f>
        <v>ASHP-SEER21_ER1_MF_CompE</v>
      </c>
      <c r="G3279" s="3984"/>
      <c r="H3279" s="3984"/>
      <c r="I3279" s="3984"/>
      <c r="J3279" s="3501" t="str">
        <f>$C$1896</f>
        <v>354901_2019_12_</v>
      </c>
      <c r="K3279" s="3051">
        <v>8.33</v>
      </c>
      <c r="L3279" s="704"/>
      <c r="M3279" s="3022" t="s">
        <v>1070</v>
      </c>
      <c r="N3279" s="106"/>
      <c r="O3279" s="106"/>
      <c r="P3279" s="106"/>
      <c r="Q3279" s="106"/>
      <c r="R3279" s="106"/>
      <c r="S3279" s="106"/>
      <c r="T3279" s="106"/>
      <c r="U3279" s="106"/>
      <c r="V3279" s="3980"/>
      <c r="W3279" s="3421"/>
      <c r="X3279" s="3421"/>
      <c r="Y3279" s="2377">
        <v>8.33</v>
      </c>
      <c r="Z3279" s="3425">
        <v>8.33</v>
      </c>
      <c r="AA3279" s="3425">
        <v>8.33</v>
      </c>
      <c r="AB3279" s="583">
        <v>8.33</v>
      </c>
      <c r="AC3279" s="2920">
        <v>8.33</v>
      </c>
      <c r="AD3279" s="3051">
        <v>8.33</v>
      </c>
      <c r="AE3279" s="3429"/>
      <c r="AF3279" s="3421"/>
      <c r="AG3279" s="3421"/>
      <c r="AH3279" s="156"/>
      <c r="AI3279" s="156"/>
      <c r="AJ3279" s="156"/>
      <c r="AK3279" s="156"/>
      <c r="AL3279" s="156"/>
      <c r="AM3279" s="156"/>
      <c r="AN3279" s="156"/>
      <c r="AO3279" s="156"/>
      <c r="AP3279" s="156"/>
      <c r="AQ3279" s="156"/>
      <c r="AR3279" s="156"/>
      <c r="AS3279" s="156"/>
      <c r="AT3279" s="156"/>
      <c r="AU3279" s="156"/>
      <c r="AV3279" s="156"/>
      <c r="AW3279" s="156"/>
      <c r="AX3279" s="156"/>
      <c r="AY3279" s="156"/>
      <c r="AZ3279" s="156"/>
      <c r="BA3279" s="156"/>
      <c r="BB3279" s="2828"/>
      <c r="BC3279" s="452"/>
      <c r="BD3279" s="2829"/>
      <c r="BE3279" s="2837"/>
      <c r="BF3279" s="156"/>
    </row>
    <row r="3280" spans="1:58" ht="15" customHeight="1" outlineLevel="1" x14ac:dyDescent="0.35">
      <c r="A3280" s="1071"/>
      <c r="B3280" s="2812"/>
      <c r="C3280" s="3077"/>
      <c r="D3280" s="3980"/>
      <c r="E3280" s="3883"/>
      <c r="F3280" s="3984" t="str">
        <f>$E$1898</f>
        <v>ASHP-SEER21_ER2_MF_CompE</v>
      </c>
      <c r="G3280" s="3984"/>
      <c r="H3280" s="3984"/>
      <c r="I3280" s="3984"/>
      <c r="J3280" s="3501" t="str">
        <f>$C$1898</f>
        <v>354901_2019_12_</v>
      </c>
      <c r="K3280" s="3051">
        <v>14</v>
      </c>
      <c r="L3280" s="704"/>
      <c r="M3280" s="3022" t="s">
        <v>1070</v>
      </c>
      <c r="N3280" s="106"/>
      <c r="O3280" s="106"/>
      <c r="P3280" s="106"/>
      <c r="Q3280" s="106"/>
      <c r="R3280" s="106"/>
      <c r="S3280" s="106"/>
      <c r="T3280" s="106"/>
      <c r="U3280" s="106"/>
      <c r="V3280" s="3980"/>
      <c r="W3280" s="3421"/>
      <c r="X3280" s="3421"/>
      <c r="Y3280" s="2377">
        <v>14</v>
      </c>
      <c r="Z3280" s="3425">
        <v>14</v>
      </c>
      <c r="AA3280" s="3425">
        <v>14</v>
      </c>
      <c r="AB3280" s="583">
        <v>14</v>
      </c>
      <c r="AC3280" s="2920">
        <v>14</v>
      </c>
      <c r="AD3280" s="3051">
        <v>14</v>
      </c>
      <c r="AE3280" s="3429"/>
      <c r="AF3280" s="3421"/>
      <c r="AG3280" s="3421"/>
      <c r="AH3280" s="156"/>
      <c r="AI3280" s="156"/>
      <c r="AJ3280" s="156"/>
      <c r="AK3280" s="156"/>
      <c r="AL3280" s="156"/>
      <c r="AM3280" s="156"/>
      <c r="AN3280" s="156"/>
      <c r="AO3280" s="156"/>
      <c r="AP3280" s="156"/>
      <c r="AQ3280" s="156"/>
      <c r="AR3280" s="156"/>
      <c r="AS3280" s="156"/>
      <c r="AT3280" s="156"/>
      <c r="AU3280" s="156"/>
      <c r="AV3280" s="156"/>
      <c r="AW3280" s="156"/>
      <c r="AX3280" s="156"/>
      <c r="AY3280" s="156"/>
      <c r="AZ3280" s="156"/>
      <c r="BA3280" s="156"/>
      <c r="BB3280" s="2828"/>
      <c r="BC3280" s="452"/>
      <c r="BD3280" s="2829"/>
      <c r="BE3280" s="2837"/>
      <c r="BF3280" s="156"/>
    </row>
    <row r="3281" spans="1:58" ht="15" customHeight="1" outlineLevel="1" x14ac:dyDescent="0.35">
      <c r="A3281" s="1664"/>
      <c r="B3281" s="2812"/>
      <c r="C3281" s="3077"/>
      <c r="D3281" s="3980"/>
      <c r="E3281" s="3883"/>
      <c r="F3281" s="3984" t="str">
        <f>$E$1900</f>
        <v>ASHP-SEER17_ROF_MF</v>
      </c>
      <c r="G3281" s="3984"/>
      <c r="H3281" s="3984"/>
      <c r="I3281" s="3984"/>
      <c r="J3281" s="3501" t="str">
        <f>$C$1900</f>
        <v>354950_2019_12_</v>
      </c>
      <c r="K3281" s="3051">
        <v>14</v>
      </c>
      <c r="L3281" s="704"/>
      <c r="M3281" s="3022" t="s">
        <v>1070</v>
      </c>
      <c r="N3281" s="106"/>
      <c r="O3281" s="106"/>
      <c r="P3281" s="702"/>
      <c r="Q3281" s="574"/>
      <c r="R3281" s="702"/>
      <c r="S3281" s="106"/>
      <c r="T3281" s="486"/>
      <c r="U3281" s="106"/>
      <c r="V3281" s="3980"/>
      <c r="W3281" s="3421">
        <v>14</v>
      </c>
      <c r="X3281" s="3421">
        <v>14</v>
      </c>
      <c r="Y3281" s="3425">
        <v>14</v>
      </c>
      <c r="Z3281" s="3425">
        <v>14</v>
      </c>
      <c r="AA3281" s="3425">
        <v>14</v>
      </c>
      <c r="AB3281" s="583">
        <v>14</v>
      </c>
      <c r="AC3281" s="2920">
        <v>14</v>
      </c>
      <c r="AD3281" s="3051">
        <v>14</v>
      </c>
      <c r="AE3281" s="3429"/>
      <c r="AF3281" s="3421"/>
      <c r="AG3281" s="3421"/>
      <c r="AH3281" s="156"/>
      <c r="AI3281" s="156"/>
      <c r="AJ3281" s="156"/>
      <c r="AK3281" s="156"/>
      <c r="AL3281" s="156"/>
      <c r="AM3281" s="156"/>
      <c r="AN3281" s="156"/>
      <c r="AO3281" s="156"/>
      <c r="AP3281" s="156"/>
      <c r="AQ3281" s="156"/>
      <c r="AR3281" s="156"/>
      <c r="AS3281" s="156"/>
      <c r="AT3281" s="156"/>
      <c r="AU3281" s="156"/>
      <c r="AV3281" s="156"/>
      <c r="AW3281" s="156"/>
      <c r="AX3281" s="156"/>
      <c r="AY3281" s="156"/>
      <c r="AZ3281" s="156"/>
      <c r="BA3281" s="156"/>
      <c r="BB3281" s="2828"/>
      <c r="BC3281" s="452"/>
      <c r="BD3281" s="2829"/>
      <c r="BE3281" s="2837"/>
      <c r="BF3281" s="156"/>
    </row>
    <row r="3282" spans="1:58" ht="15" customHeight="1" outlineLevel="1" x14ac:dyDescent="0.35">
      <c r="A3282" s="1664"/>
      <c r="B3282" s="2812"/>
      <c r="C3282" s="3077"/>
      <c r="D3282" s="3980"/>
      <c r="E3282" s="3883"/>
      <c r="F3282" s="3984" t="str">
        <f>$E$1902</f>
        <v>ASHP-SEER17_ROF_MF_CompE</v>
      </c>
      <c r="G3282" s="3984"/>
      <c r="H3282" s="3984"/>
      <c r="I3282" s="3984"/>
      <c r="J3282" s="3501" t="str">
        <f>$C$1902</f>
        <v>354951_2019_12_</v>
      </c>
      <c r="K3282" s="3051">
        <v>14</v>
      </c>
      <c r="L3282" s="704"/>
      <c r="M3282" s="3022" t="s">
        <v>1070</v>
      </c>
      <c r="N3282" s="106"/>
      <c r="O3282" s="106"/>
      <c r="P3282" s="702"/>
      <c r="Q3282" s="574"/>
      <c r="R3282" s="702"/>
      <c r="S3282" s="106"/>
      <c r="T3282" s="486"/>
      <c r="U3282" s="106"/>
      <c r="V3282" s="3980"/>
      <c r="W3282" s="3421"/>
      <c r="X3282" s="3421"/>
      <c r="Y3282" s="2377">
        <v>14</v>
      </c>
      <c r="Z3282" s="3425">
        <v>14</v>
      </c>
      <c r="AA3282" s="3425">
        <v>14</v>
      </c>
      <c r="AB3282" s="583">
        <v>14</v>
      </c>
      <c r="AC3282" s="2920">
        <v>14</v>
      </c>
      <c r="AD3282" s="3051">
        <v>14</v>
      </c>
      <c r="AE3282" s="3429"/>
      <c r="AF3282" s="3421"/>
      <c r="AG3282" s="3421"/>
      <c r="AH3282" s="156"/>
      <c r="AI3282" s="156"/>
      <c r="AJ3282" s="156"/>
      <c r="AK3282" s="156"/>
      <c r="AL3282" s="156"/>
      <c r="AM3282" s="156"/>
      <c r="AN3282" s="156"/>
      <c r="AO3282" s="156"/>
      <c r="AP3282" s="156"/>
      <c r="AQ3282" s="156"/>
      <c r="AR3282" s="156"/>
      <c r="AS3282" s="156"/>
      <c r="AT3282" s="156"/>
      <c r="AU3282" s="156"/>
      <c r="AV3282" s="156"/>
      <c r="AW3282" s="156"/>
      <c r="AX3282" s="156"/>
      <c r="AY3282" s="156"/>
      <c r="AZ3282" s="156"/>
      <c r="BA3282" s="156"/>
      <c r="BB3282" s="2828"/>
      <c r="BC3282" s="452"/>
      <c r="BD3282" s="2829"/>
      <c r="BE3282" s="2837"/>
      <c r="BF3282" s="156"/>
    </row>
    <row r="3283" spans="1:58" ht="15" customHeight="1" outlineLevel="1" x14ac:dyDescent="0.35">
      <c r="A3283" s="1664"/>
      <c r="B3283" s="2812"/>
      <c r="C3283" s="3077"/>
      <c r="D3283" s="3980"/>
      <c r="E3283" s="3883"/>
      <c r="F3283" s="3984" t="str">
        <f>$E$1904</f>
        <v>ASHP-SEER18_ROF_MF</v>
      </c>
      <c r="G3283" s="3984"/>
      <c r="H3283" s="3984"/>
      <c r="I3283" s="3984"/>
      <c r="J3283" s="3501" t="str">
        <f>$C$1904</f>
        <v>355000_2019_12_</v>
      </c>
      <c r="K3283" s="3051">
        <v>14</v>
      </c>
      <c r="L3283" s="704"/>
      <c r="M3283" s="3022" t="s">
        <v>1070</v>
      </c>
      <c r="N3283" s="106"/>
      <c r="O3283" s="106"/>
      <c r="P3283" s="702"/>
      <c r="Q3283" s="574"/>
      <c r="R3283" s="702"/>
      <c r="S3283" s="106"/>
      <c r="T3283" s="486"/>
      <c r="U3283" s="106"/>
      <c r="V3283" s="3980"/>
      <c r="W3283" s="3421">
        <v>14</v>
      </c>
      <c r="X3283" s="3421">
        <v>14</v>
      </c>
      <c r="Y3283" s="3425">
        <v>14</v>
      </c>
      <c r="Z3283" s="3425">
        <v>14</v>
      </c>
      <c r="AA3283" s="3425">
        <v>14</v>
      </c>
      <c r="AB3283" s="583">
        <v>14</v>
      </c>
      <c r="AC3283" s="2920">
        <v>14</v>
      </c>
      <c r="AD3283" s="3051">
        <v>14</v>
      </c>
      <c r="AE3283" s="3429"/>
      <c r="AF3283" s="3421"/>
      <c r="AG3283" s="3421"/>
      <c r="AH3283" s="156"/>
      <c r="AI3283" s="156"/>
      <c r="AJ3283" s="156"/>
      <c r="AK3283" s="156"/>
      <c r="AL3283" s="156"/>
      <c r="AM3283" s="156"/>
      <c r="AN3283" s="156"/>
      <c r="AO3283" s="156"/>
      <c r="AP3283" s="156"/>
      <c r="AQ3283" s="156"/>
      <c r="AR3283" s="156"/>
      <c r="AS3283" s="156"/>
      <c r="AT3283" s="156"/>
      <c r="AU3283" s="156"/>
      <c r="AV3283" s="156"/>
      <c r="AW3283" s="156"/>
      <c r="AX3283" s="156"/>
      <c r="AY3283" s="156"/>
      <c r="AZ3283" s="156"/>
      <c r="BA3283" s="156"/>
      <c r="BB3283" s="2828"/>
      <c r="BC3283" s="452"/>
      <c r="BD3283" s="2829"/>
      <c r="BE3283" s="2837"/>
      <c r="BF3283" s="156"/>
    </row>
    <row r="3284" spans="1:58" ht="15" customHeight="1" outlineLevel="1" x14ac:dyDescent="0.35">
      <c r="A3284" s="1664"/>
      <c r="B3284" s="2812"/>
      <c r="C3284" s="3077"/>
      <c r="D3284" s="3980"/>
      <c r="E3284" s="3883"/>
      <c r="F3284" s="3984" t="str">
        <f>$E$1906</f>
        <v>ASHP-SEER18_ROF_MF_CompE</v>
      </c>
      <c r="G3284" s="3984"/>
      <c r="H3284" s="3984"/>
      <c r="I3284" s="3984"/>
      <c r="J3284" s="3501" t="str">
        <f>$C$1906</f>
        <v>355001_2021_12_</v>
      </c>
      <c r="K3284" s="3051">
        <v>14</v>
      </c>
      <c r="L3284" s="704"/>
      <c r="M3284" s="3022" t="s">
        <v>1070</v>
      </c>
      <c r="N3284" s="106"/>
      <c r="O3284" s="106"/>
      <c r="P3284" s="702"/>
      <c r="Q3284" s="574"/>
      <c r="R3284" s="702"/>
      <c r="S3284" s="106"/>
      <c r="T3284" s="486"/>
      <c r="U3284" s="106"/>
      <c r="V3284" s="3980"/>
      <c r="W3284" s="3421"/>
      <c r="X3284" s="3421"/>
      <c r="Y3284" s="2377">
        <v>14</v>
      </c>
      <c r="Z3284" s="3425">
        <v>14</v>
      </c>
      <c r="AA3284" s="3425">
        <v>14</v>
      </c>
      <c r="AB3284" s="583">
        <v>14</v>
      </c>
      <c r="AC3284" s="2920">
        <v>14</v>
      </c>
      <c r="AD3284" s="3051">
        <v>14</v>
      </c>
      <c r="AE3284" s="3429"/>
      <c r="AF3284" s="3421"/>
      <c r="AG3284" s="3421"/>
      <c r="AH3284" s="156"/>
      <c r="AI3284" s="156"/>
      <c r="AJ3284" s="156"/>
      <c r="AK3284" s="156"/>
      <c r="AL3284" s="156"/>
      <c r="AM3284" s="156"/>
      <c r="AN3284" s="156"/>
      <c r="AO3284" s="156"/>
      <c r="AP3284" s="156"/>
      <c r="AQ3284" s="156"/>
      <c r="AR3284" s="156"/>
      <c r="AS3284" s="156"/>
      <c r="AT3284" s="156"/>
      <c r="AU3284" s="156"/>
      <c r="AV3284" s="156"/>
      <c r="AW3284" s="156"/>
      <c r="AX3284" s="156"/>
      <c r="AY3284" s="156"/>
      <c r="AZ3284" s="156"/>
      <c r="BA3284" s="156"/>
      <c r="BB3284" s="2828"/>
      <c r="BC3284" s="452"/>
      <c r="BD3284" s="2829"/>
      <c r="BE3284" s="2837"/>
      <c r="BF3284" s="156"/>
    </row>
    <row r="3285" spans="1:58" ht="15" customHeight="1" outlineLevel="1" x14ac:dyDescent="0.35">
      <c r="A3285" s="1071"/>
      <c r="B3285" s="2812"/>
      <c r="C3285" s="3077"/>
      <c r="D3285" s="3980"/>
      <c r="E3285" s="3883"/>
      <c r="F3285" s="3984" t="str">
        <f>$E$1908</f>
        <v>ASHP-SEER19_ROF_MF</v>
      </c>
      <c r="G3285" s="3984"/>
      <c r="H3285" s="3984"/>
      <c r="I3285" s="3984"/>
      <c r="J3285" s="3501" t="str">
        <f>$C$1908</f>
        <v>355050_2019_12_</v>
      </c>
      <c r="K3285" s="3051">
        <v>14</v>
      </c>
      <c r="L3285" s="704"/>
      <c r="M3285" s="3022" t="s">
        <v>1070</v>
      </c>
      <c r="N3285" s="106"/>
      <c r="O3285" s="106"/>
      <c r="P3285" s="106"/>
      <c r="Q3285" s="106"/>
      <c r="R3285" s="106"/>
      <c r="S3285" s="106"/>
      <c r="T3285" s="106"/>
      <c r="U3285" s="106"/>
      <c r="V3285" s="3980"/>
      <c r="W3285" s="3421">
        <v>14</v>
      </c>
      <c r="X3285" s="3421">
        <v>14</v>
      </c>
      <c r="Y3285" s="3425">
        <v>14</v>
      </c>
      <c r="Z3285" s="3425">
        <v>14</v>
      </c>
      <c r="AA3285" s="3425">
        <v>14</v>
      </c>
      <c r="AB3285" s="583">
        <v>14</v>
      </c>
      <c r="AC3285" s="2920">
        <v>14</v>
      </c>
      <c r="AD3285" s="3051">
        <v>14</v>
      </c>
      <c r="AE3285" s="3429"/>
      <c r="AF3285" s="3421"/>
      <c r="AG3285" s="3421"/>
      <c r="AH3285" s="156"/>
      <c r="AI3285" s="156"/>
      <c r="AJ3285" s="156"/>
      <c r="AK3285" s="156"/>
      <c r="AL3285" s="156"/>
      <c r="AM3285" s="156"/>
      <c r="AN3285" s="156"/>
      <c r="AO3285" s="156"/>
      <c r="AP3285" s="156"/>
      <c r="AQ3285" s="156"/>
      <c r="AR3285" s="156"/>
      <c r="AS3285" s="156"/>
      <c r="AT3285" s="156"/>
      <c r="AU3285" s="156"/>
      <c r="AV3285" s="156"/>
      <c r="AW3285" s="156"/>
      <c r="AX3285" s="156"/>
      <c r="AY3285" s="156"/>
      <c r="AZ3285" s="156"/>
      <c r="BA3285" s="156"/>
      <c r="BB3285" s="2828"/>
      <c r="BC3285" s="452"/>
      <c r="BD3285" s="2829"/>
      <c r="BE3285" s="2837"/>
      <c r="BF3285" s="156"/>
    </row>
    <row r="3286" spans="1:58" ht="15" customHeight="1" outlineLevel="1" x14ac:dyDescent="0.35">
      <c r="A3286" s="1071"/>
      <c r="B3286" s="2812"/>
      <c r="C3286" s="3077"/>
      <c r="D3286" s="3980"/>
      <c r="E3286" s="3883"/>
      <c r="F3286" s="3984" t="str">
        <f>$E$1910</f>
        <v>ASHP-SEER19_ROF_MF_CompE</v>
      </c>
      <c r="G3286" s="3984"/>
      <c r="H3286" s="3984"/>
      <c r="I3286" s="3984"/>
      <c r="J3286" s="3501" t="str">
        <f>$C$1910</f>
        <v>355051_2019_12_</v>
      </c>
      <c r="K3286" s="3051">
        <v>14</v>
      </c>
      <c r="L3286" s="704"/>
      <c r="M3286" s="3022" t="s">
        <v>1070</v>
      </c>
      <c r="N3286" s="106"/>
      <c r="O3286" s="106"/>
      <c r="P3286" s="106"/>
      <c r="Q3286" s="106"/>
      <c r="R3286" s="106"/>
      <c r="S3286" s="106"/>
      <c r="T3286" s="106"/>
      <c r="U3286" s="106"/>
      <c r="V3286" s="3980"/>
      <c r="W3286" s="3421"/>
      <c r="X3286" s="3421"/>
      <c r="Y3286" s="2377">
        <v>14</v>
      </c>
      <c r="Z3286" s="3425">
        <v>14</v>
      </c>
      <c r="AA3286" s="3425">
        <v>14</v>
      </c>
      <c r="AB3286" s="583">
        <v>14</v>
      </c>
      <c r="AC3286" s="2920">
        <v>14</v>
      </c>
      <c r="AD3286" s="3051">
        <v>14</v>
      </c>
      <c r="AE3286" s="3429"/>
      <c r="AF3286" s="3421"/>
      <c r="AG3286" s="3421"/>
      <c r="AH3286" s="156"/>
      <c r="AI3286" s="156"/>
      <c r="AJ3286" s="156"/>
      <c r="AK3286" s="156"/>
      <c r="AL3286" s="156"/>
      <c r="AM3286" s="156"/>
      <c r="AN3286" s="156"/>
      <c r="AO3286" s="156"/>
      <c r="AP3286" s="156"/>
      <c r="AQ3286" s="156"/>
      <c r="AR3286" s="156"/>
      <c r="AS3286" s="156"/>
      <c r="AT3286" s="156"/>
      <c r="AU3286" s="156"/>
      <c r="AV3286" s="156"/>
      <c r="AW3286" s="156"/>
      <c r="AX3286" s="156"/>
      <c r="AY3286" s="156"/>
      <c r="AZ3286" s="156"/>
      <c r="BA3286" s="156"/>
      <c r="BB3286" s="2828"/>
      <c r="BC3286" s="452"/>
      <c r="BD3286" s="2829"/>
      <c r="BE3286" s="2837"/>
      <c r="BF3286" s="156"/>
    </row>
    <row r="3287" spans="1:58" ht="15" customHeight="1" outlineLevel="1" x14ac:dyDescent="0.35">
      <c r="A3287" s="1071"/>
      <c r="B3287" s="2812"/>
      <c r="C3287" s="3077"/>
      <c r="D3287" s="3980"/>
      <c r="E3287" s="3883"/>
      <c r="F3287" s="3984" t="str">
        <f>$E$1912</f>
        <v>ASHP-SEER20_ROF_MF</v>
      </c>
      <c r="G3287" s="3984"/>
      <c r="H3287" s="3984"/>
      <c r="I3287" s="3984"/>
      <c r="J3287" s="3501" t="str">
        <f>$C$1912</f>
        <v>355100_2019_12_</v>
      </c>
      <c r="K3287" s="3051">
        <v>14</v>
      </c>
      <c r="L3287" s="704"/>
      <c r="M3287" s="3022" t="s">
        <v>1070</v>
      </c>
      <c r="N3287" s="106"/>
      <c r="O3287" s="106"/>
      <c r="P3287" s="106"/>
      <c r="Q3287" s="106"/>
      <c r="R3287" s="106"/>
      <c r="S3287" s="106"/>
      <c r="T3287" s="106"/>
      <c r="U3287" s="106"/>
      <c r="V3287" s="3980"/>
      <c r="W3287" s="3421">
        <v>14</v>
      </c>
      <c r="X3287" s="3421">
        <v>14</v>
      </c>
      <c r="Y3287" s="3425">
        <v>14</v>
      </c>
      <c r="Z3287" s="3425">
        <v>14</v>
      </c>
      <c r="AA3287" s="3425">
        <v>14</v>
      </c>
      <c r="AB3287" s="583">
        <v>14</v>
      </c>
      <c r="AC3287" s="2920">
        <v>14</v>
      </c>
      <c r="AD3287" s="3051">
        <v>14</v>
      </c>
      <c r="AE3287" s="3429"/>
      <c r="AF3287" s="3421"/>
      <c r="AG3287" s="3421"/>
      <c r="AH3287" s="156"/>
      <c r="AI3287" s="156"/>
      <c r="AJ3287" s="156"/>
      <c r="AK3287" s="156"/>
      <c r="AL3287" s="156"/>
      <c r="AM3287" s="156"/>
      <c r="AN3287" s="156"/>
      <c r="AO3287" s="156"/>
      <c r="AP3287" s="156"/>
      <c r="AQ3287" s="156"/>
      <c r="AR3287" s="156"/>
      <c r="AS3287" s="156"/>
      <c r="AT3287" s="156"/>
      <c r="AU3287" s="156"/>
      <c r="AV3287" s="156"/>
      <c r="AW3287" s="156"/>
      <c r="AX3287" s="156"/>
      <c r="AY3287" s="156"/>
      <c r="AZ3287" s="156"/>
      <c r="BA3287" s="156"/>
      <c r="BB3287" s="2828"/>
      <c r="BC3287" s="452"/>
      <c r="BD3287" s="2829"/>
      <c r="BE3287" s="2837"/>
      <c r="BF3287" s="156"/>
    </row>
    <row r="3288" spans="1:58" ht="15" customHeight="1" outlineLevel="1" x14ac:dyDescent="0.35">
      <c r="A3288" s="1071"/>
      <c r="B3288" s="2812"/>
      <c r="C3288" s="3077"/>
      <c r="D3288" s="3980"/>
      <c r="E3288" s="3883"/>
      <c r="F3288" s="3984" t="str">
        <f>$E$1914</f>
        <v>ASHP-SEER20_ROF_MF_CompE</v>
      </c>
      <c r="G3288" s="3984"/>
      <c r="H3288" s="3984"/>
      <c r="I3288" s="3984"/>
      <c r="J3288" s="3501" t="str">
        <f>$C$1914</f>
        <v>355101_2019_12_</v>
      </c>
      <c r="K3288" s="3051">
        <v>14</v>
      </c>
      <c r="L3288" s="705"/>
      <c r="M3288" s="3022" t="s">
        <v>1070</v>
      </c>
      <c r="N3288" s="106"/>
      <c r="O3288" s="106"/>
      <c r="P3288" s="106"/>
      <c r="Q3288" s="106"/>
      <c r="R3288" s="106"/>
      <c r="S3288" s="106"/>
      <c r="T3288" s="106"/>
      <c r="U3288" s="106"/>
      <c r="V3288" s="3980"/>
      <c r="W3288" s="576"/>
      <c r="X3288" s="576"/>
      <c r="Y3288" s="2377">
        <v>14</v>
      </c>
      <c r="Z3288" s="3425">
        <v>14</v>
      </c>
      <c r="AA3288" s="3425">
        <v>14</v>
      </c>
      <c r="AB3288" s="583">
        <v>14</v>
      </c>
      <c r="AC3288" s="2920">
        <v>14</v>
      </c>
      <c r="AD3288" s="3051">
        <v>14</v>
      </c>
      <c r="AE3288" s="2935"/>
      <c r="AF3288" s="576"/>
      <c r="AG3288" s="576"/>
      <c r="AH3288" s="156"/>
      <c r="AI3288" s="156"/>
      <c r="AJ3288" s="156"/>
      <c r="AK3288" s="156"/>
      <c r="AL3288" s="156"/>
      <c r="AM3288" s="156"/>
      <c r="AN3288" s="156"/>
      <c r="AO3288" s="156"/>
      <c r="AP3288" s="156"/>
      <c r="AQ3288" s="156"/>
      <c r="AR3288" s="156"/>
      <c r="AS3288" s="156"/>
      <c r="AT3288" s="156"/>
      <c r="AU3288" s="156"/>
      <c r="AV3288" s="156"/>
      <c r="AW3288" s="156"/>
      <c r="AX3288" s="156"/>
      <c r="AY3288" s="156"/>
      <c r="AZ3288" s="156"/>
      <c r="BA3288" s="156"/>
      <c r="BB3288" s="2828"/>
      <c r="BC3288" s="452"/>
      <c r="BD3288" s="2829"/>
      <c r="BE3288" s="2837"/>
      <c r="BF3288" s="156"/>
    </row>
    <row r="3289" spans="1:58" ht="15.75" customHeight="1" outlineLevel="1" x14ac:dyDescent="0.35">
      <c r="A3289" s="1664"/>
      <c r="B3289" s="2812"/>
      <c r="C3289" s="3077"/>
      <c r="D3289" s="3980"/>
      <c r="E3289" s="3883"/>
      <c r="F3289" s="3984" t="str">
        <f>$E$1916</f>
        <v>ASHP-SEER21_ROF_MF</v>
      </c>
      <c r="G3289" s="3984"/>
      <c r="H3289" s="3984"/>
      <c r="I3289" s="3984"/>
      <c r="J3289" s="3501" t="str">
        <f>$C$1916</f>
        <v>355150_2019_12_</v>
      </c>
      <c r="K3289" s="3051">
        <v>14</v>
      </c>
      <c r="L3289" s="704"/>
      <c r="M3289" s="3022" t="s">
        <v>1070</v>
      </c>
      <c r="N3289" s="106"/>
      <c r="O3289" s="106"/>
      <c r="P3289" s="702"/>
      <c r="Q3289" s="574"/>
      <c r="R3289" s="702"/>
      <c r="S3289" s="106"/>
      <c r="T3289" s="486"/>
      <c r="U3289" s="106"/>
      <c r="V3289" s="3980"/>
      <c r="W3289" s="3421">
        <v>14</v>
      </c>
      <c r="X3289" s="3421">
        <v>14</v>
      </c>
      <c r="Y3289" s="576">
        <v>14</v>
      </c>
      <c r="Z3289" s="576">
        <v>14</v>
      </c>
      <c r="AA3289" s="576">
        <v>14</v>
      </c>
      <c r="AB3289" s="583">
        <v>14</v>
      </c>
      <c r="AC3289" s="2920">
        <v>14</v>
      </c>
      <c r="AD3289" s="3051">
        <v>14</v>
      </c>
      <c r="AE3289" s="3429"/>
      <c r="AF3289" s="3421"/>
      <c r="AG3289" s="3421"/>
      <c r="AH3289" s="156"/>
      <c r="AI3289" s="156"/>
      <c r="AJ3289" s="156"/>
      <c r="AK3289" s="156"/>
      <c r="AL3289" s="156"/>
      <c r="AM3289" s="156"/>
      <c r="AN3289" s="156"/>
      <c r="AO3289" s="156"/>
      <c r="AP3289" s="156"/>
      <c r="AQ3289" s="156"/>
      <c r="AR3289" s="156"/>
      <c r="AS3289" s="156"/>
      <c r="AT3289" s="156"/>
      <c r="AU3289" s="156"/>
      <c r="AV3289" s="156"/>
      <c r="AW3289" s="156"/>
      <c r="AX3289" s="156"/>
      <c r="AY3289" s="156"/>
      <c r="AZ3289" s="156"/>
      <c r="BA3289" s="156"/>
      <c r="BB3289" s="2828"/>
      <c r="BC3289" s="452"/>
      <c r="BD3289" s="2829"/>
      <c r="BE3289" s="2837"/>
      <c r="BF3289" s="156"/>
    </row>
    <row r="3290" spans="1:58" ht="15.75" customHeight="1" outlineLevel="1" thickBot="1" x14ac:dyDescent="0.4">
      <c r="A3290" s="1664"/>
      <c r="B3290" s="2812"/>
      <c r="C3290" s="3077"/>
      <c r="D3290" s="3981"/>
      <c r="E3290" s="3983"/>
      <c r="F3290" s="4106" t="str">
        <f>$E$1918</f>
        <v>ASHP-SEER21_ROF_MF_CompE</v>
      </c>
      <c r="G3290" s="4106"/>
      <c r="H3290" s="4106"/>
      <c r="I3290" s="4106"/>
      <c r="J3290" s="3503" t="str">
        <f>$C$1918</f>
        <v>355151_2019_12_</v>
      </c>
      <c r="K3290" s="3505">
        <v>14</v>
      </c>
      <c r="L3290" s="707"/>
      <c r="M3290" s="3026" t="s">
        <v>1070</v>
      </c>
      <c r="N3290" s="106"/>
      <c r="O3290" s="106"/>
      <c r="P3290" s="702"/>
      <c r="Q3290" s="574"/>
      <c r="R3290" s="702"/>
      <c r="S3290" s="106"/>
      <c r="T3290" s="486"/>
      <c r="U3290" s="106"/>
      <c r="V3290" s="3981"/>
      <c r="W3290" s="578"/>
      <c r="X3290" s="578"/>
      <c r="Y3290" s="2375">
        <v>14</v>
      </c>
      <c r="Z3290" s="3422">
        <v>14</v>
      </c>
      <c r="AA3290" s="3422">
        <v>14</v>
      </c>
      <c r="AB3290" s="3196">
        <v>14</v>
      </c>
      <c r="AC3290" s="2921">
        <v>14</v>
      </c>
      <c r="AD3290" s="3505">
        <v>14</v>
      </c>
      <c r="AE3290" s="2936"/>
      <c r="AF3290" s="578"/>
      <c r="AG3290" s="578"/>
      <c r="AH3290" s="156"/>
      <c r="AI3290" s="156"/>
      <c r="AJ3290" s="156"/>
      <c r="AK3290" s="156"/>
      <c r="AL3290" s="156"/>
      <c r="AM3290" s="156"/>
      <c r="AN3290" s="156"/>
      <c r="AO3290" s="156"/>
      <c r="AP3290" s="156"/>
      <c r="AQ3290" s="156"/>
      <c r="AR3290" s="156"/>
      <c r="AS3290" s="156"/>
      <c r="AT3290" s="156"/>
      <c r="AU3290" s="156"/>
      <c r="AV3290" s="156"/>
      <c r="AW3290" s="156"/>
      <c r="AX3290" s="156"/>
      <c r="AY3290" s="156"/>
      <c r="AZ3290" s="156"/>
      <c r="BA3290" s="156"/>
      <c r="BB3290" s="2828"/>
      <c r="BC3290" s="452"/>
      <c r="BD3290" s="2829"/>
      <c r="BE3290" s="2837"/>
      <c r="BF3290" s="156"/>
    </row>
    <row r="3291" spans="1:58" ht="15" customHeight="1" outlineLevel="1" x14ac:dyDescent="0.35">
      <c r="A3291" s="1664"/>
      <c r="B3291" s="2812"/>
      <c r="C3291" s="3077"/>
      <c r="D3291" s="3979" t="s">
        <v>1122</v>
      </c>
      <c r="E3291" s="3982" t="s">
        <v>1513</v>
      </c>
      <c r="F3291" s="4133" t="str">
        <f>$E$1534</f>
        <v>ASHP-SEER15-Replace_CAC_ElectricHeat_ER1_SF</v>
      </c>
      <c r="G3291" s="4134"/>
      <c r="H3291" s="4134"/>
      <c r="I3291" s="4135"/>
      <c r="J3291" s="3500" t="str">
        <f>$C$1534</f>
        <v>352300_2021_12_</v>
      </c>
      <c r="K3291" s="3506">
        <v>15.131096196868006</v>
      </c>
      <c r="L3291" s="620"/>
      <c r="M3291" s="3027" t="s">
        <v>4360</v>
      </c>
      <c r="N3291" s="106"/>
      <c r="O3291" s="106"/>
      <c r="P3291" s="702"/>
      <c r="Q3291" s="702"/>
      <c r="R3291" s="702"/>
      <c r="S3291" s="106"/>
      <c r="T3291" s="486"/>
      <c r="U3291" s="106"/>
      <c r="V3291" s="3979" t="s">
        <v>1122</v>
      </c>
      <c r="W3291" s="3424">
        <v>15.1</v>
      </c>
      <c r="X3291" s="2376">
        <v>15.12</v>
      </c>
      <c r="Y3291" s="2377">
        <v>15.11</v>
      </c>
      <c r="Z3291" s="3425">
        <v>15.11</v>
      </c>
      <c r="AA3291" s="3425">
        <v>15.11</v>
      </c>
      <c r="AB3291" s="582">
        <v>15.12889344262295</v>
      </c>
      <c r="AC3291" s="3506">
        <v>15.121398305084742</v>
      </c>
      <c r="AD3291" s="677">
        <v>15.131096196868006</v>
      </c>
      <c r="AE3291" s="3431"/>
      <c r="AF3291" s="3424"/>
      <c r="AG3291" s="3424"/>
      <c r="AH3291" s="156"/>
      <c r="AI3291" s="156"/>
      <c r="AJ3291" s="156"/>
      <c r="AK3291" s="156"/>
      <c r="AL3291" s="156"/>
      <c r="AM3291" s="156"/>
      <c r="AN3291" s="156"/>
      <c r="AO3291" s="156"/>
      <c r="AP3291" s="156"/>
      <c r="AQ3291" s="156"/>
      <c r="AR3291" s="156"/>
      <c r="AS3291" s="156"/>
      <c r="AT3291" s="156"/>
      <c r="AU3291" s="156"/>
      <c r="AV3291" s="156"/>
      <c r="AW3291" s="156"/>
      <c r="AX3291" s="156"/>
      <c r="AY3291" s="156"/>
      <c r="AZ3291" s="156"/>
      <c r="BA3291" s="156"/>
      <c r="BB3291" s="2828"/>
      <c r="BC3291" s="452"/>
      <c r="BD3291" s="2829"/>
      <c r="BE3291" s="2837"/>
      <c r="BF3291" s="156"/>
    </row>
    <row r="3292" spans="1:58" ht="15" customHeight="1" outlineLevel="1" x14ac:dyDescent="0.35">
      <c r="A3292" s="1664"/>
      <c r="B3292" s="2812"/>
      <c r="C3292" s="3077"/>
      <c r="D3292" s="3980"/>
      <c r="E3292" s="3883"/>
      <c r="F3292" s="3984" t="str">
        <f>$E$1536</f>
        <v>ASHP-SEER15-Replace_CAC_ElectricHeat_ER2_SF</v>
      </c>
      <c r="G3292" s="3984"/>
      <c r="H3292" s="3984"/>
      <c r="I3292" s="3984"/>
      <c r="J3292" s="3501" t="str">
        <f>$C$1536</f>
        <v>352300_2021_12_</v>
      </c>
      <c r="K3292" s="584">
        <v>15.131096196868006</v>
      </c>
      <c r="L3292" s="703"/>
      <c r="M3292" s="3024" t="s">
        <v>1083</v>
      </c>
      <c r="N3292" s="106"/>
      <c r="O3292" s="106"/>
      <c r="P3292" s="702"/>
      <c r="Q3292" s="702"/>
      <c r="R3292" s="702"/>
      <c r="S3292" s="106"/>
      <c r="T3292" s="486"/>
      <c r="U3292" s="106"/>
      <c r="V3292" s="3980"/>
      <c r="W3292" s="3421">
        <v>15.1</v>
      </c>
      <c r="X3292" s="2374">
        <v>15.12</v>
      </c>
      <c r="Y3292" s="2377">
        <v>15.11</v>
      </c>
      <c r="Z3292" s="3425">
        <v>15.11</v>
      </c>
      <c r="AA3292" s="3425">
        <v>15.11</v>
      </c>
      <c r="AB3292" s="584">
        <v>15.12889344262295</v>
      </c>
      <c r="AC3292" s="2919">
        <f>AC3291</f>
        <v>15.121398305084742</v>
      </c>
      <c r="AD3292" s="584">
        <v>15.131096196868006</v>
      </c>
      <c r="AE3292" s="3429"/>
      <c r="AF3292" s="3421"/>
      <c r="AG3292" s="3421"/>
      <c r="AH3292" s="156"/>
      <c r="AI3292" s="156"/>
      <c r="AJ3292" s="156"/>
      <c r="AK3292" s="156"/>
      <c r="AL3292" s="156"/>
      <c r="AM3292" s="156"/>
      <c r="AN3292" s="156"/>
      <c r="AO3292" s="156"/>
      <c r="AP3292" s="156"/>
      <c r="AQ3292" s="156"/>
      <c r="AR3292" s="156"/>
      <c r="AS3292" s="156"/>
      <c r="AT3292" s="156"/>
      <c r="AU3292" s="156"/>
      <c r="AV3292" s="156"/>
      <c r="AW3292" s="156"/>
      <c r="AX3292" s="156"/>
      <c r="AY3292" s="156"/>
      <c r="AZ3292" s="156"/>
      <c r="BA3292" s="156"/>
      <c r="BB3292" s="2828"/>
      <c r="BC3292" s="452"/>
      <c r="BD3292" s="2829"/>
      <c r="BE3292" s="2837"/>
      <c r="BF3292" s="156"/>
    </row>
    <row r="3293" spans="1:58" ht="15" customHeight="1" outlineLevel="1" x14ac:dyDescent="0.35">
      <c r="A3293" s="1664"/>
      <c r="B3293" s="2812"/>
      <c r="C3293" s="3077"/>
      <c r="D3293" s="3980"/>
      <c r="E3293" s="3883"/>
      <c r="F3293" s="3984" t="str">
        <f>$E$1538</f>
        <v>ASHP-SEER15-Replace_CAC_NonElectricHeat_ER1_SF</v>
      </c>
      <c r="G3293" s="3984"/>
      <c r="H3293" s="3984"/>
      <c r="I3293" s="3984"/>
      <c r="J3293" s="3501" t="str">
        <f>$C$1538</f>
        <v>352310_2021_12_</v>
      </c>
      <c r="K3293" s="584">
        <v>15.131096196868006</v>
      </c>
      <c r="L3293" s="703"/>
      <c r="M3293" s="3024" t="s">
        <v>1083</v>
      </c>
      <c r="N3293" s="106"/>
      <c r="O3293" s="106"/>
      <c r="P3293" s="702"/>
      <c r="Q3293" s="702"/>
      <c r="R3293" s="702"/>
      <c r="S3293" s="106"/>
      <c r="T3293" s="486"/>
      <c r="U3293" s="106"/>
      <c r="V3293" s="3980"/>
      <c r="W3293" s="3421"/>
      <c r="X3293" s="2374"/>
      <c r="Y3293" s="2377"/>
      <c r="Z3293" s="3425"/>
      <c r="AA3293" s="3425"/>
      <c r="AB3293" s="584"/>
      <c r="AC3293" s="3561">
        <v>15.121398305084742</v>
      </c>
      <c r="AD3293" s="584">
        <v>15.131096196868006</v>
      </c>
      <c r="AE3293" s="3429"/>
      <c r="AF3293" s="3421"/>
      <c r="AG3293" s="3421"/>
      <c r="AH3293" s="156"/>
      <c r="AI3293" s="156"/>
      <c r="AJ3293" s="156"/>
      <c r="AK3293" s="156"/>
      <c r="AL3293" s="156"/>
      <c r="AM3293" s="156"/>
      <c r="AN3293" s="156"/>
      <c r="AO3293" s="156"/>
      <c r="AP3293" s="156"/>
      <c r="AQ3293" s="156"/>
      <c r="AR3293" s="156"/>
      <c r="AS3293" s="156"/>
      <c r="AT3293" s="156"/>
      <c r="AU3293" s="156"/>
      <c r="AV3293" s="156"/>
      <c r="AW3293" s="156"/>
      <c r="AX3293" s="156"/>
      <c r="AY3293" s="156"/>
      <c r="AZ3293" s="156"/>
      <c r="BA3293" s="156"/>
      <c r="BB3293" s="2828"/>
      <c r="BC3293" s="452"/>
      <c r="BD3293" s="2829"/>
      <c r="BE3293" s="2837"/>
      <c r="BF3293" s="156"/>
    </row>
    <row r="3294" spans="1:58" ht="15" customHeight="1" outlineLevel="1" x14ac:dyDescent="0.35">
      <c r="A3294" s="1664"/>
      <c r="B3294" s="2812"/>
      <c r="C3294" s="3077"/>
      <c r="D3294" s="3980"/>
      <c r="E3294" s="3883"/>
      <c r="F3294" s="3984" t="str">
        <f>$E$1540</f>
        <v>ASHP-SEER15-Replace_CAC_NonElectricHeat_ER2_SF</v>
      </c>
      <c r="G3294" s="3984"/>
      <c r="H3294" s="3984"/>
      <c r="I3294" s="3984"/>
      <c r="J3294" s="3501" t="str">
        <f>$C$1540</f>
        <v>352310_2021_12_</v>
      </c>
      <c r="K3294" s="584">
        <v>15.131096196868006</v>
      </c>
      <c r="L3294" s="703"/>
      <c r="M3294" s="3024" t="s">
        <v>1083</v>
      </c>
      <c r="N3294" s="106"/>
      <c r="O3294" s="106"/>
      <c r="P3294" s="702"/>
      <c r="Q3294" s="702"/>
      <c r="R3294" s="702"/>
      <c r="S3294" s="106"/>
      <c r="T3294" s="486"/>
      <c r="U3294" s="106"/>
      <c r="V3294" s="3980"/>
      <c r="W3294" s="3421"/>
      <c r="X3294" s="2374"/>
      <c r="Y3294" s="2377"/>
      <c r="Z3294" s="3425"/>
      <c r="AA3294" s="3425"/>
      <c r="AB3294" s="584"/>
      <c r="AC3294" s="2919">
        <f>AC3293</f>
        <v>15.121398305084742</v>
      </c>
      <c r="AD3294" s="584">
        <v>15.131096196868006</v>
      </c>
      <c r="AE3294" s="3429"/>
      <c r="AF3294" s="3421"/>
      <c r="AG3294" s="3421"/>
      <c r="AH3294" s="156"/>
      <c r="AI3294" s="156"/>
      <c r="AJ3294" s="156"/>
      <c r="AK3294" s="156"/>
      <c r="AL3294" s="156"/>
      <c r="AM3294" s="156"/>
      <c r="AN3294" s="156"/>
      <c r="AO3294" s="156"/>
      <c r="AP3294" s="156"/>
      <c r="AQ3294" s="156"/>
      <c r="AR3294" s="156"/>
      <c r="AS3294" s="156"/>
      <c r="AT3294" s="156"/>
      <c r="AU3294" s="156"/>
      <c r="AV3294" s="156"/>
      <c r="AW3294" s="156"/>
      <c r="AX3294" s="156"/>
      <c r="AY3294" s="156"/>
      <c r="AZ3294" s="156"/>
      <c r="BA3294" s="156"/>
      <c r="BB3294" s="2828"/>
      <c r="BC3294" s="452"/>
      <c r="BD3294" s="2829"/>
      <c r="BE3294" s="2837"/>
      <c r="BF3294" s="156"/>
    </row>
    <row r="3295" spans="1:58" ht="15" customHeight="1" outlineLevel="1" x14ac:dyDescent="0.35">
      <c r="A3295" s="1664"/>
      <c r="B3295" s="2812"/>
      <c r="C3295" s="3077"/>
      <c r="D3295" s="3980"/>
      <c r="E3295" s="3883"/>
      <c r="F3295" s="3984" t="str">
        <f>$E$1542</f>
        <v>ASHP-SEER15_ER1_SF</v>
      </c>
      <c r="G3295" s="3984"/>
      <c r="H3295" s="3984"/>
      <c r="I3295" s="3984"/>
      <c r="J3295" s="3501" t="str">
        <f>$C$1542</f>
        <v>352350_2021_12_</v>
      </c>
      <c r="K3295" s="584">
        <v>15.131096196868006</v>
      </c>
      <c r="L3295" s="703"/>
      <c r="M3295" s="3024" t="s">
        <v>1083</v>
      </c>
      <c r="N3295" s="106"/>
      <c r="O3295" s="106"/>
      <c r="P3295" s="702"/>
      <c r="Q3295" s="702"/>
      <c r="R3295" s="702"/>
      <c r="S3295" s="106"/>
      <c r="T3295" s="486"/>
      <c r="U3295" s="106"/>
      <c r="V3295" s="3980"/>
      <c r="W3295" s="3421">
        <v>15.1</v>
      </c>
      <c r="X3295" s="2374">
        <v>15.12</v>
      </c>
      <c r="Y3295" s="2377">
        <v>15.12</v>
      </c>
      <c r="Z3295" s="3425">
        <v>15.12</v>
      </c>
      <c r="AA3295" s="3425">
        <v>15.12</v>
      </c>
      <c r="AB3295" s="584">
        <v>15.124074074074072</v>
      </c>
      <c r="AC3295" s="2919">
        <v>15.142532467532467</v>
      </c>
      <c r="AD3295" s="584">
        <v>15.131096196868006</v>
      </c>
      <c r="AE3295" s="3429"/>
      <c r="AF3295" s="3421"/>
      <c r="AG3295" s="3421"/>
      <c r="AH3295" s="156"/>
      <c r="AI3295" s="156"/>
      <c r="AJ3295" s="156"/>
      <c r="AK3295" s="156"/>
      <c r="AL3295" s="156"/>
      <c r="AM3295" s="156"/>
      <c r="AN3295" s="156"/>
      <c r="AO3295" s="156"/>
      <c r="AP3295" s="156"/>
      <c r="AQ3295" s="156"/>
      <c r="AR3295" s="156"/>
      <c r="AS3295" s="156"/>
      <c r="AT3295" s="156"/>
      <c r="AU3295" s="156"/>
      <c r="AV3295" s="156"/>
      <c r="AW3295" s="156"/>
      <c r="AX3295" s="156"/>
      <c r="AY3295" s="156"/>
      <c r="AZ3295" s="156"/>
      <c r="BA3295" s="156"/>
      <c r="BB3295" s="2828"/>
      <c r="BC3295" s="452"/>
      <c r="BD3295" s="2829"/>
      <c r="BE3295" s="2837"/>
      <c r="BF3295" s="156"/>
    </row>
    <row r="3296" spans="1:58" ht="15" customHeight="1" outlineLevel="1" x14ac:dyDescent="0.35">
      <c r="A3296" s="1664"/>
      <c r="B3296" s="2812"/>
      <c r="C3296" s="3077"/>
      <c r="D3296" s="3980"/>
      <c r="E3296" s="3883"/>
      <c r="F3296" s="3984" t="str">
        <f>$E$1544</f>
        <v>ASHP-SEER15_ER2_SF</v>
      </c>
      <c r="G3296" s="3984"/>
      <c r="H3296" s="3984"/>
      <c r="I3296" s="3984"/>
      <c r="J3296" s="3501" t="str">
        <f>$C$1544</f>
        <v>352350_2021_12_</v>
      </c>
      <c r="K3296" s="584">
        <v>15.131096196868006</v>
      </c>
      <c r="L3296" s="703"/>
      <c r="M3296" s="3024" t="s">
        <v>1083</v>
      </c>
      <c r="N3296" s="106"/>
      <c r="O3296" s="106"/>
      <c r="P3296" s="702"/>
      <c r="Q3296" s="702"/>
      <c r="R3296" s="702"/>
      <c r="S3296" s="106"/>
      <c r="T3296" s="486"/>
      <c r="U3296" s="106"/>
      <c r="V3296" s="3980"/>
      <c r="W3296" s="3421">
        <v>15.1</v>
      </c>
      <c r="X3296" s="2374">
        <v>15.12</v>
      </c>
      <c r="Y3296" s="2377">
        <v>15.12</v>
      </c>
      <c r="Z3296" s="3425">
        <v>15.12</v>
      </c>
      <c r="AA3296" s="3425">
        <v>15.12</v>
      </c>
      <c r="AB3296" s="584">
        <v>15.124074074074072</v>
      </c>
      <c r="AC3296" s="2919">
        <f>AC3295</f>
        <v>15.142532467532467</v>
      </c>
      <c r="AD3296" s="584">
        <v>15.131096196868006</v>
      </c>
      <c r="AE3296" s="3429"/>
      <c r="AF3296" s="3421"/>
      <c r="AG3296" s="3421"/>
      <c r="AH3296" s="156"/>
      <c r="AI3296" s="156"/>
      <c r="AJ3296" s="156"/>
      <c r="AK3296" s="156"/>
      <c r="AL3296" s="156"/>
      <c r="AM3296" s="156"/>
      <c r="AN3296" s="156"/>
      <c r="AO3296" s="156"/>
      <c r="AP3296" s="156"/>
      <c r="AQ3296" s="156"/>
      <c r="AR3296" s="156"/>
      <c r="AS3296" s="156"/>
      <c r="AT3296" s="156"/>
      <c r="AU3296" s="156"/>
      <c r="AV3296" s="156"/>
      <c r="AW3296" s="156"/>
      <c r="AX3296" s="156"/>
      <c r="AY3296" s="156"/>
      <c r="AZ3296" s="156"/>
      <c r="BA3296" s="156"/>
      <c r="BB3296" s="2828"/>
      <c r="BC3296" s="452"/>
      <c r="BD3296" s="2829"/>
      <c r="BE3296" s="2837"/>
      <c r="BF3296" s="156"/>
    </row>
    <row r="3297" spans="1:58" ht="15" customHeight="1" outlineLevel="1" x14ac:dyDescent="0.35">
      <c r="A3297" s="1664"/>
      <c r="B3297" s="2812"/>
      <c r="C3297" s="3077"/>
      <c r="D3297" s="3980"/>
      <c r="E3297" s="3883"/>
      <c r="F3297" s="3984" t="str">
        <f>$E$1546</f>
        <v>ASHP-SEER15-Replace_CAC_ElectricHeat_ROF_SF</v>
      </c>
      <c r="G3297" s="3984"/>
      <c r="H3297" s="3984"/>
      <c r="I3297" s="3984"/>
      <c r="J3297" s="3501" t="str">
        <f>$C$1546</f>
        <v>352400_2021_12_</v>
      </c>
      <c r="K3297" s="584">
        <v>15.185779816513762</v>
      </c>
      <c r="L3297" s="704"/>
      <c r="M3297" s="3024" t="s">
        <v>4360</v>
      </c>
      <c r="N3297" s="106"/>
      <c r="O3297" s="106"/>
      <c r="P3297" s="702"/>
      <c r="Q3297" s="702"/>
      <c r="R3297" s="702"/>
      <c r="S3297" s="106"/>
      <c r="T3297" s="486"/>
      <c r="U3297" s="106"/>
      <c r="V3297" s="3980"/>
      <c r="W3297" s="3421">
        <v>15.2</v>
      </c>
      <c r="X3297" s="2374">
        <v>15.12</v>
      </c>
      <c r="Y3297" s="2377">
        <v>15.11</v>
      </c>
      <c r="Z3297" s="3425">
        <v>15.11</v>
      </c>
      <c r="AA3297" s="3425">
        <v>15.11</v>
      </c>
      <c r="AB3297" s="584">
        <v>15.185106382978724</v>
      </c>
      <c r="AC3297" s="2919">
        <v>15.138888888888889</v>
      </c>
      <c r="AD3297" s="584">
        <v>15.185779816513762</v>
      </c>
      <c r="AE3297" s="3429"/>
      <c r="AF3297" s="3421"/>
      <c r="AG3297" s="3421"/>
      <c r="AH3297" s="156"/>
      <c r="AI3297" s="156"/>
      <c r="AJ3297" s="156"/>
      <c r="AK3297" s="156"/>
      <c r="AL3297" s="156"/>
      <c r="AM3297" s="156"/>
      <c r="AN3297" s="156"/>
      <c r="AO3297" s="156"/>
      <c r="AP3297" s="156"/>
      <c r="AQ3297" s="156"/>
      <c r="AR3297" s="156"/>
      <c r="AS3297" s="156"/>
      <c r="AT3297" s="156"/>
      <c r="AU3297" s="156"/>
      <c r="AV3297" s="156"/>
      <c r="AW3297" s="156"/>
      <c r="AX3297" s="156"/>
      <c r="AY3297" s="156"/>
      <c r="AZ3297" s="156"/>
      <c r="BA3297" s="156"/>
      <c r="BB3297" s="2828"/>
      <c r="BC3297" s="452"/>
      <c r="BD3297" s="2829"/>
      <c r="BE3297" s="2837"/>
      <c r="BF3297" s="156"/>
    </row>
    <row r="3298" spans="1:58" ht="15" customHeight="1" outlineLevel="1" x14ac:dyDescent="0.35">
      <c r="A3298" s="1664"/>
      <c r="B3298" s="2812"/>
      <c r="C3298" s="3077"/>
      <c r="D3298" s="3980"/>
      <c r="E3298" s="3883"/>
      <c r="F3298" s="3984" t="str">
        <f>$E$1548</f>
        <v>ASHP-SEER15-Replace_CAC_NonElectricHeat_ROF_SF</v>
      </c>
      <c r="G3298" s="3984"/>
      <c r="H3298" s="3984"/>
      <c r="I3298" s="3984"/>
      <c r="J3298" s="3501" t="str">
        <f>$C$1548</f>
        <v>352410_2021_12_</v>
      </c>
      <c r="K3298" s="584">
        <v>15.185779816513762</v>
      </c>
      <c r="L3298" s="704"/>
      <c r="M3298" s="3024" t="s">
        <v>1083</v>
      </c>
      <c r="N3298" s="106"/>
      <c r="O3298" s="106"/>
      <c r="P3298" s="702"/>
      <c r="Q3298" s="702"/>
      <c r="R3298" s="702"/>
      <c r="S3298" s="106"/>
      <c r="T3298" s="486"/>
      <c r="U3298" s="106"/>
      <c r="V3298" s="3980"/>
      <c r="W3298" s="3421"/>
      <c r="X3298" s="2374"/>
      <c r="Y3298" s="2377"/>
      <c r="Z3298" s="3425"/>
      <c r="AA3298" s="3425"/>
      <c r="AB3298" s="584"/>
      <c r="AC3298" s="2919">
        <v>15.138888888888889</v>
      </c>
      <c r="AD3298" s="584">
        <v>15.185779816513762</v>
      </c>
      <c r="AE3298" s="3429"/>
      <c r="AF3298" s="3421"/>
      <c r="AG3298" s="3421"/>
      <c r="AH3298" s="156"/>
      <c r="AI3298" s="156"/>
      <c r="AJ3298" s="156"/>
      <c r="AK3298" s="156"/>
      <c r="AL3298" s="156"/>
      <c r="AM3298" s="156"/>
      <c r="AN3298" s="156"/>
      <c r="AO3298" s="156"/>
      <c r="AP3298" s="156"/>
      <c r="AQ3298" s="156"/>
      <c r="AR3298" s="156"/>
      <c r="AS3298" s="156"/>
      <c r="AT3298" s="156"/>
      <c r="AU3298" s="156"/>
      <c r="AV3298" s="156"/>
      <c r="AW3298" s="156"/>
      <c r="AX3298" s="156"/>
      <c r="AY3298" s="156"/>
      <c r="AZ3298" s="156"/>
      <c r="BA3298" s="156"/>
      <c r="BB3298" s="2828"/>
      <c r="BC3298" s="452"/>
      <c r="BD3298" s="2829"/>
      <c r="BE3298" s="2837"/>
      <c r="BF3298" s="156"/>
    </row>
    <row r="3299" spans="1:58" ht="15" customHeight="1" outlineLevel="1" x14ac:dyDescent="0.35">
      <c r="A3299" s="1664"/>
      <c r="B3299" s="2812"/>
      <c r="C3299" s="3077"/>
      <c r="D3299" s="3980"/>
      <c r="E3299" s="3883"/>
      <c r="F3299" s="3984" t="str">
        <f>$E$1550</f>
        <v>ASHP-SEER15_ROF_SF</v>
      </c>
      <c r="G3299" s="3984"/>
      <c r="H3299" s="3984"/>
      <c r="I3299" s="3984"/>
      <c r="J3299" s="3501" t="str">
        <f>$C$1550</f>
        <v>352450_2021_12_</v>
      </c>
      <c r="K3299" s="584">
        <v>15.185779816513762</v>
      </c>
      <c r="L3299" s="704"/>
      <c r="M3299" s="3024" t="s">
        <v>1083</v>
      </c>
      <c r="N3299" s="106"/>
      <c r="O3299" s="106"/>
      <c r="P3299" s="702"/>
      <c r="Q3299" s="702"/>
      <c r="R3299" s="702"/>
      <c r="S3299" s="106"/>
      <c r="T3299" s="486"/>
      <c r="U3299" s="106"/>
      <c r="V3299" s="3980"/>
      <c r="W3299" s="3421">
        <v>15.1</v>
      </c>
      <c r="X3299" s="2374">
        <v>15.12</v>
      </c>
      <c r="Y3299" s="2377">
        <v>15.17</v>
      </c>
      <c r="Z3299" s="3425">
        <v>15.17</v>
      </c>
      <c r="AA3299" s="3425">
        <v>15.17</v>
      </c>
      <c r="AB3299" s="583">
        <v>15.17</v>
      </c>
      <c r="AC3299" s="2919">
        <v>15.076785714285716</v>
      </c>
      <c r="AD3299" s="584">
        <v>15.185779816513762</v>
      </c>
      <c r="AE3299" s="3429"/>
      <c r="AF3299" s="3421"/>
      <c r="AG3299" s="3421"/>
      <c r="AH3299" s="156"/>
      <c r="AI3299" s="156"/>
      <c r="AJ3299" s="156"/>
      <c r="AK3299" s="156"/>
      <c r="AL3299" s="156"/>
      <c r="AM3299" s="156"/>
      <c r="AN3299" s="156"/>
      <c r="AO3299" s="156"/>
      <c r="AP3299" s="156"/>
      <c r="AQ3299" s="156"/>
      <c r="AR3299" s="156"/>
      <c r="AS3299" s="156"/>
      <c r="AT3299" s="156"/>
      <c r="AU3299" s="156"/>
      <c r="AV3299" s="156"/>
      <c r="AW3299" s="156"/>
      <c r="AX3299" s="156"/>
      <c r="AY3299" s="156"/>
      <c r="AZ3299" s="156"/>
      <c r="BA3299" s="156"/>
      <c r="BB3299" s="2828"/>
      <c r="BC3299" s="452"/>
      <c r="BD3299" s="2829"/>
      <c r="BE3299" s="2837"/>
      <c r="BF3299" s="156"/>
    </row>
    <row r="3300" spans="1:58" ht="15" customHeight="1" outlineLevel="1" x14ac:dyDescent="0.35">
      <c r="A3300" s="1664"/>
      <c r="B3300" s="2812"/>
      <c r="C3300" s="3077"/>
      <c r="D3300" s="3980"/>
      <c r="E3300" s="3883"/>
      <c r="F3300" s="3984" t="str">
        <f>$E$1552</f>
        <v>ASHP-SEER16-Replace_CAC_ElectricHeat_ER1_SF</v>
      </c>
      <c r="G3300" s="3984"/>
      <c r="H3300" s="3984"/>
      <c r="I3300" s="3984"/>
      <c r="J3300" s="3501" t="str">
        <f>$C$1552</f>
        <v>352500_2021_12_</v>
      </c>
      <c r="K3300" s="3050">
        <v>16.062186978297163</v>
      </c>
      <c r="L3300" s="704"/>
      <c r="M3300" s="2819" t="s">
        <v>4360</v>
      </c>
      <c r="N3300" s="106"/>
      <c r="O3300" s="106"/>
      <c r="P3300" s="702"/>
      <c r="Q3300" s="702"/>
      <c r="R3300" s="702"/>
      <c r="S3300" s="106"/>
      <c r="T3300" s="486"/>
      <c r="U3300" s="106"/>
      <c r="V3300" s="3980"/>
      <c r="W3300" s="3421">
        <v>16</v>
      </c>
      <c r="X3300" s="3421">
        <v>16</v>
      </c>
      <c r="Y3300" s="3425">
        <v>16</v>
      </c>
      <c r="Z3300" s="3425">
        <v>16</v>
      </c>
      <c r="AA3300" s="3425">
        <v>16</v>
      </c>
      <c r="AB3300" s="584">
        <v>16.252500000000001</v>
      </c>
      <c r="AC3300" s="2919">
        <v>16.068085106382977</v>
      </c>
      <c r="AD3300" s="3050">
        <v>16.062186978297163</v>
      </c>
      <c r="AE3300" s="3429"/>
      <c r="AF3300" s="3421"/>
      <c r="AG3300" s="3421"/>
      <c r="AH3300" s="156"/>
      <c r="AI3300" s="156"/>
      <c r="AJ3300" s="156"/>
      <c r="AK3300" s="156"/>
      <c r="AL3300" s="156"/>
      <c r="AM3300" s="156"/>
      <c r="AN3300" s="156"/>
      <c r="AO3300" s="156"/>
      <c r="AP3300" s="156"/>
      <c r="AQ3300" s="156"/>
      <c r="AR3300" s="156"/>
      <c r="AS3300" s="156"/>
      <c r="AT3300" s="156"/>
      <c r="AU3300" s="156"/>
      <c r="AV3300" s="156"/>
      <c r="AW3300" s="156"/>
      <c r="AX3300" s="156"/>
      <c r="AY3300" s="156"/>
      <c r="AZ3300" s="156"/>
      <c r="BA3300" s="156"/>
      <c r="BB3300" s="2828"/>
      <c r="BC3300" s="452"/>
      <c r="BD3300" s="2829"/>
      <c r="BE3300" s="2837"/>
      <c r="BF3300" s="156"/>
    </row>
    <row r="3301" spans="1:58" ht="15" customHeight="1" outlineLevel="1" x14ac:dyDescent="0.35">
      <c r="A3301" s="1664"/>
      <c r="B3301" s="2812"/>
      <c r="C3301" s="3077"/>
      <c r="D3301" s="3980"/>
      <c r="E3301" s="3883"/>
      <c r="F3301" s="3984" t="str">
        <f>$E$1554</f>
        <v>ASHP-SEER16-Replace_CAC_ElectricHeat_ER2_SF</v>
      </c>
      <c r="G3301" s="3984"/>
      <c r="H3301" s="3984"/>
      <c r="I3301" s="3984"/>
      <c r="J3301" s="3501" t="str">
        <f>$C$1554</f>
        <v>352500_2021_12_</v>
      </c>
      <c r="K3301" s="3050">
        <v>16.062186978297163</v>
      </c>
      <c r="L3301" s="704"/>
      <c r="M3301" s="2819" t="s">
        <v>4360</v>
      </c>
      <c r="N3301" s="106"/>
      <c r="O3301" s="106"/>
      <c r="P3301" s="702"/>
      <c r="Q3301" s="702"/>
      <c r="R3301" s="702"/>
      <c r="S3301" s="106"/>
      <c r="T3301" s="486"/>
      <c r="U3301" s="106"/>
      <c r="V3301" s="3980"/>
      <c r="W3301" s="3421">
        <v>16</v>
      </c>
      <c r="X3301" s="3421">
        <v>16</v>
      </c>
      <c r="Y3301" s="3425">
        <v>16</v>
      </c>
      <c r="Z3301" s="3425">
        <v>16</v>
      </c>
      <c r="AA3301" s="3425">
        <v>16</v>
      </c>
      <c r="AB3301" s="584">
        <v>16.252500000000001</v>
      </c>
      <c r="AC3301" s="2919">
        <f>AC3300</f>
        <v>16.068085106382977</v>
      </c>
      <c r="AD3301" s="3050">
        <v>16.062186978297163</v>
      </c>
      <c r="AE3301" s="3429"/>
      <c r="AF3301" s="3421"/>
      <c r="AG3301" s="3421"/>
      <c r="AH3301" s="156"/>
      <c r="AI3301" s="156"/>
      <c r="AJ3301" s="156"/>
      <c r="AK3301" s="156"/>
      <c r="AL3301" s="156"/>
      <c r="AM3301" s="156"/>
      <c r="AN3301" s="156"/>
      <c r="AO3301" s="156"/>
      <c r="AP3301" s="156"/>
      <c r="AQ3301" s="156"/>
      <c r="AR3301" s="156"/>
      <c r="AS3301" s="156"/>
      <c r="AT3301" s="156"/>
      <c r="AU3301" s="156"/>
      <c r="AV3301" s="156"/>
      <c r="AW3301" s="156"/>
      <c r="AX3301" s="156"/>
      <c r="AY3301" s="156"/>
      <c r="AZ3301" s="156"/>
      <c r="BA3301" s="156"/>
      <c r="BB3301" s="2828"/>
      <c r="BC3301" s="452"/>
      <c r="BD3301" s="2829"/>
      <c r="BE3301" s="2837"/>
      <c r="BF3301" s="156"/>
    </row>
    <row r="3302" spans="1:58" ht="15" customHeight="1" outlineLevel="1" x14ac:dyDescent="0.35">
      <c r="A3302" s="1664"/>
      <c r="B3302" s="2812"/>
      <c r="C3302" s="3077"/>
      <c r="D3302" s="3980"/>
      <c r="E3302" s="3883"/>
      <c r="F3302" s="3984" t="str">
        <f>$E$1556</f>
        <v>ASHP-SEER16-Replace_CAC_NonElectricHeat_ER1_SF</v>
      </c>
      <c r="G3302" s="3984"/>
      <c r="H3302" s="3984"/>
      <c r="I3302" s="3984"/>
      <c r="J3302" s="3501" t="str">
        <f>$C$1556</f>
        <v>352510_2021_12_</v>
      </c>
      <c r="K3302" s="3050">
        <v>16.062186978297163</v>
      </c>
      <c r="L3302" s="704"/>
      <c r="M3302" s="3025" t="s">
        <v>1083</v>
      </c>
      <c r="N3302" s="106"/>
      <c r="O3302" s="106"/>
      <c r="P3302" s="702"/>
      <c r="Q3302" s="702"/>
      <c r="R3302" s="702"/>
      <c r="S3302" s="106"/>
      <c r="T3302" s="486"/>
      <c r="U3302" s="106"/>
      <c r="V3302" s="3980"/>
      <c r="W3302" s="3421"/>
      <c r="X3302" s="3421"/>
      <c r="Y3302" s="3425"/>
      <c r="Z3302" s="3425"/>
      <c r="AA3302" s="3425"/>
      <c r="AB3302" s="584"/>
      <c r="AC3302" s="2919">
        <v>16.068085106382977</v>
      </c>
      <c r="AD3302" s="3050">
        <v>16.062186978297163</v>
      </c>
      <c r="AE3302" s="3429"/>
      <c r="AF3302" s="3421"/>
      <c r="AG3302" s="3421"/>
      <c r="AH3302" s="156"/>
      <c r="AI3302" s="156"/>
      <c r="AJ3302" s="156"/>
      <c r="AK3302" s="156"/>
      <c r="AL3302" s="156"/>
      <c r="AM3302" s="156"/>
      <c r="AN3302" s="156"/>
      <c r="AO3302" s="156"/>
      <c r="AP3302" s="156"/>
      <c r="AQ3302" s="156"/>
      <c r="AR3302" s="156"/>
      <c r="AS3302" s="156"/>
      <c r="AT3302" s="156"/>
      <c r="AU3302" s="156"/>
      <c r="AV3302" s="156"/>
      <c r="AW3302" s="156"/>
      <c r="AX3302" s="156"/>
      <c r="AY3302" s="156"/>
      <c r="AZ3302" s="156"/>
      <c r="BA3302" s="156"/>
      <c r="BB3302" s="2828"/>
      <c r="BC3302" s="452"/>
      <c r="BD3302" s="2829"/>
      <c r="BE3302" s="2837"/>
      <c r="BF3302" s="156"/>
    </row>
    <row r="3303" spans="1:58" ht="15" customHeight="1" outlineLevel="1" x14ac:dyDescent="0.35">
      <c r="A3303" s="1664"/>
      <c r="B3303" s="2812"/>
      <c r="C3303" s="3077"/>
      <c r="D3303" s="3980"/>
      <c r="E3303" s="3883"/>
      <c r="F3303" s="3984" t="str">
        <f>$E$1558</f>
        <v>ASHP-SEER16-Replace_CAC_NonElectricHeat_ER2_SF</v>
      </c>
      <c r="G3303" s="3984"/>
      <c r="H3303" s="3984"/>
      <c r="I3303" s="3984"/>
      <c r="J3303" s="3501" t="str">
        <f>$C$1558</f>
        <v>352510_2021_12_</v>
      </c>
      <c r="K3303" s="3050">
        <v>16.062186978297163</v>
      </c>
      <c r="L3303" s="704"/>
      <c r="M3303" s="3025" t="s">
        <v>1083</v>
      </c>
      <c r="N3303" s="106"/>
      <c r="O3303" s="106"/>
      <c r="P3303" s="702"/>
      <c r="Q3303" s="702"/>
      <c r="R3303" s="702"/>
      <c r="S3303" s="106"/>
      <c r="T3303" s="486"/>
      <c r="U3303" s="106"/>
      <c r="V3303" s="3980"/>
      <c r="W3303" s="3421"/>
      <c r="X3303" s="3421"/>
      <c r="Y3303" s="3425"/>
      <c r="Z3303" s="3425"/>
      <c r="AA3303" s="3425"/>
      <c r="AB3303" s="584"/>
      <c r="AC3303" s="2919">
        <f>AC3302</f>
        <v>16.068085106382977</v>
      </c>
      <c r="AD3303" s="3050">
        <v>16.062186978297163</v>
      </c>
      <c r="AE3303" s="3429"/>
      <c r="AF3303" s="3421"/>
      <c r="AG3303" s="3421"/>
      <c r="AH3303" s="156"/>
      <c r="AI3303" s="156"/>
      <c r="AJ3303" s="156"/>
      <c r="AK3303" s="156"/>
      <c r="AL3303" s="156"/>
      <c r="AM3303" s="156"/>
      <c r="AN3303" s="156"/>
      <c r="AO3303" s="156"/>
      <c r="AP3303" s="156"/>
      <c r="AQ3303" s="156"/>
      <c r="AR3303" s="156"/>
      <c r="AS3303" s="156"/>
      <c r="AT3303" s="156"/>
      <c r="AU3303" s="156"/>
      <c r="AV3303" s="156"/>
      <c r="AW3303" s="156"/>
      <c r="AX3303" s="156"/>
      <c r="AY3303" s="156"/>
      <c r="AZ3303" s="156"/>
      <c r="BA3303" s="156"/>
      <c r="BB3303" s="2828"/>
      <c r="BC3303" s="452"/>
      <c r="BD3303" s="2829"/>
      <c r="BE3303" s="2837"/>
      <c r="BF3303" s="156"/>
    </row>
    <row r="3304" spans="1:58" ht="15" customHeight="1" outlineLevel="1" x14ac:dyDescent="0.35">
      <c r="A3304" s="1664"/>
      <c r="B3304" s="2812"/>
      <c r="C3304" s="3077"/>
      <c r="D3304" s="3980"/>
      <c r="E3304" s="3883"/>
      <c r="F3304" s="3984" t="str">
        <f>$E$1560</f>
        <v>ASHP-SEER16_ER1_SF</v>
      </c>
      <c r="G3304" s="3984"/>
      <c r="H3304" s="3984"/>
      <c r="I3304" s="3984"/>
      <c r="J3304" s="3501" t="str">
        <f>$C$1560</f>
        <v>352550_2021_12_</v>
      </c>
      <c r="K3304" s="3050">
        <v>16.062186978297163</v>
      </c>
      <c r="L3304" s="704"/>
      <c r="M3304" s="2819" t="s">
        <v>4360</v>
      </c>
      <c r="N3304" s="106"/>
      <c r="O3304" s="106"/>
      <c r="P3304" s="702"/>
      <c r="Q3304" s="702"/>
      <c r="R3304" s="702"/>
      <c r="S3304" s="106"/>
      <c r="T3304" s="486"/>
      <c r="U3304" s="106"/>
      <c r="V3304" s="3980"/>
      <c r="W3304" s="3421">
        <v>16</v>
      </c>
      <c r="X3304" s="3421">
        <v>16</v>
      </c>
      <c r="Y3304" s="3425">
        <v>16</v>
      </c>
      <c r="Z3304" s="3425">
        <v>16</v>
      </c>
      <c r="AA3304" s="3425">
        <v>16</v>
      </c>
      <c r="AB3304" s="584">
        <v>16.354460093896712</v>
      </c>
      <c r="AC3304" s="2919">
        <v>16.110638297872342</v>
      </c>
      <c r="AD3304" s="3050">
        <v>16.062186978297163</v>
      </c>
      <c r="AE3304" s="3429"/>
      <c r="AF3304" s="3421"/>
      <c r="AG3304" s="3421"/>
      <c r="AH3304" s="156"/>
      <c r="AI3304" s="156"/>
      <c r="AJ3304" s="156"/>
      <c r="AK3304" s="156"/>
      <c r="AL3304" s="156"/>
      <c r="AM3304" s="156"/>
      <c r="AN3304" s="156"/>
      <c r="AO3304" s="156"/>
      <c r="AP3304" s="156"/>
      <c r="AQ3304" s="156"/>
      <c r="AR3304" s="156"/>
      <c r="AS3304" s="156"/>
      <c r="AT3304" s="156"/>
      <c r="AU3304" s="156"/>
      <c r="AV3304" s="156"/>
      <c r="AW3304" s="156"/>
      <c r="AX3304" s="156"/>
      <c r="AY3304" s="156"/>
      <c r="AZ3304" s="156"/>
      <c r="BA3304" s="156"/>
      <c r="BB3304" s="2828"/>
      <c r="BC3304" s="452"/>
      <c r="BD3304" s="2829"/>
      <c r="BE3304" s="2837"/>
      <c r="BF3304" s="156"/>
    </row>
    <row r="3305" spans="1:58" ht="15" customHeight="1" outlineLevel="1" x14ac:dyDescent="0.35">
      <c r="A3305" s="1664"/>
      <c r="B3305" s="2812"/>
      <c r="C3305" s="3077"/>
      <c r="D3305" s="3980"/>
      <c r="E3305" s="3883"/>
      <c r="F3305" s="3984" t="str">
        <f>$E$1562</f>
        <v>ASHP-SEER16_ER2_SF</v>
      </c>
      <c r="G3305" s="3984"/>
      <c r="H3305" s="3984"/>
      <c r="I3305" s="3984"/>
      <c r="J3305" s="3501" t="str">
        <f>$C$1562</f>
        <v>352550_2021_12_</v>
      </c>
      <c r="K3305" s="3050">
        <v>16.062186978297163</v>
      </c>
      <c r="L3305" s="704"/>
      <c r="M3305" s="2819" t="s">
        <v>4360</v>
      </c>
      <c r="N3305" s="106"/>
      <c r="O3305" s="106"/>
      <c r="P3305" s="702"/>
      <c r="Q3305" s="702"/>
      <c r="R3305" s="702"/>
      <c r="S3305" s="106"/>
      <c r="T3305" s="486"/>
      <c r="U3305" s="106"/>
      <c r="V3305" s="3980"/>
      <c r="W3305" s="3421">
        <v>16</v>
      </c>
      <c r="X3305" s="3421">
        <v>16</v>
      </c>
      <c r="Y3305" s="3425">
        <v>16</v>
      </c>
      <c r="Z3305" s="3425">
        <v>16</v>
      </c>
      <c r="AA3305" s="3425">
        <v>16</v>
      </c>
      <c r="AB3305" s="584">
        <v>16.354460093896712</v>
      </c>
      <c r="AC3305" s="2919">
        <f>AC3304</f>
        <v>16.110638297872342</v>
      </c>
      <c r="AD3305" s="3050">
        <v>16.062186978297163</v>
      </c>
      <c r="AE3305" s="3429"/>
      <c r="AF3305" s="3421"/>
      <c r="AG3305" s="3421"/>
      <c r="AH3305" s="156"/>
      <c r="AI3305" s="156"/>
      <c r="AJ3305" s="156"/>
      <c r="AK3305" s="156"/>
      <c r="AL3305" s="156"/>
      <c r="AM3305" s="156"/>
      <c r="AN3305" s="156"/>
      <c r="AO3305" s="156"/>
      <c r="AP3305" s="156"/>
      <c r="AQ3305" s="156"/>
      <c r="AR3305" s="156"/>
      <c r="AS3305" s="156"/>
      <c r="AT3305" s="156"/>
      <c r="AU3305" s="156"/>
      <c r="AV3305" s="156"/>
      <c r="AW3305" s="156"/>
      <c r="AX3305" s="156"/>
      <c r="AY3305" s="156"/>
      <c r="AZ3305" s="156"/>
      <c r="BA3305" s="156"/>
      <c r="BB3305" s="2828"/>
      <c r="BC3305" s="452"/>
      <c r="BD3305" s="2829"/>
      <c r="BE3305" s="2837"/>
      <c r="BF3305" s="156"/>
    </row>
    <row r="3306" spans="1:58" ht="15" customHeight="1" outlineLevel="1" x14ac:dyDescent="0.35">
      <c r="A3306" s="1664"/>
      <c r="B3306" s="2812"/>
      <c r="C3306" s="3077"/>
      <c r="D3306" s="3980"/>
      <c r="E3306" s="3883"/>
      <c r="F3306" s="3984" t="str">
        <f>$E$1564</f>
        <v>ASHP-SEER16-Replace_CAC_ElectricHeat_ROF_SF</v>
      </c>
      <c r="G3306" s="3984"/>
      <c r="H3306" s="3984"/>
      <c r="I3306" s="3984"/>
      <c r="J3306" s="3501" t="str">
        <f>$C$1564</f>
        <v>352600_2021_12_</v>
      </c>
      <c r="K3306" s="3050">
        <v>16.060243902439023</v>
      </c>
      <c r="L3306" s="704"/>
      <c r="M3306" s="2819" t="s">
        <v>4360</v>
      </c>
      <c r="N3306" s="106"/>
      <c r="O3306" s="106"/>
      <c r="P3306" s="702"/>
      <c r="Q3306" s="702"/>
      <c r="R3306" s="702"/>
      <c r="S3306" s="106"/>
      <c r="T3306" s="486"/>
      <c r="U3306" s="106"/>
      <c r="V3306" s="3980"/>
      <c r="W3306" s="3421">
        <v>16</v>
      </c>
      <c r="X3306" s="3421">
        <v>16</v>
      </c>
      <c r="Y3306" s="3425">
        <v>16</v>
      </c>
      <c r="Z3306" s="3425">
        <v>16</v>
      </c>
      <c r="AA3306" s="3425">
        <v>16</v>
      </c>
      <c r="AB3306" s="584">
        <v>16.166666666666668</v>
      </c>
      <c r="AC3306" s="2919">
        <v>16.534177215189874</v>
      </c>
      <c r="AD3306" s="3050">
        <v>16.060243902439023</v>
      </c>
      <c r="AE3306" s="3429"/>
      <c r="AF3306" s="3421"/>
      <c r="AG3306" s="3421"/>
      <c r="AH3306" s="156"/>
      <c r="AI3306" s="156"/>
      <c r="AJ3306" s="156"/>
      <c r="AK3306" s="156"/>
      <c r="AL3306" s="156"/>
      <c r="AM3306" s="156"/>
      <c r="AN3306" s="156"/>
      <c r="AO3306" s="156"/>
      <c r="AP3306" s="156"/>
      <c r="AQ3306" s="156"/>
      <c r="AR3306" s="156"/>
      <c r="AS3306" s="156"/>
      <c r="AT3306" s="156"/>
      <c r="AU3306" s="156"/>
      <c r="AV3306" s="156"/>
      <c r="AW3306" s="156"/>
      <c r="AX3306" s="156"/>
      <c r="AY3306" s="156"/>
      <c r="AZ3306" s="156"/>
      <c r="BA3306" s="156"/>
      <c r="BB3306" s="2828"/>
      <c r="BC3306" s="452"/>
      <c r="BD3306" s="2829"/>
      <c r="BE3306" s="2837"/>
      <c r="BF3306" s="156"/>
    </row>
    <row r="3307" spans="1:58" ht="15" customHeight="1" outlineLevel="1" x14ac:dyDescent="0.35">
      <c r="A3307" s="1664"/>
      <c r="B3307" s="2812"/>
      <c r="C3307" s="3077"/>
      <c r="D3307" s="3980"/>
      <c r="E3307" s="3883"/>
      <c r="F3307" s="4136" t="str">
        <f>$E$1566</f>
        <v>ASHP-SEER16-Replace_CAC_NonElectricHeat_ROF_SF</v>
      </c>
      <c r="G3307" s="4136"/>
      <c r="H3307" s="4136"/>
      <c r="I3307" s="4136"/>
      <c r="J3307" s="3502" t="str">
        <f>$C$1566</f>
        <v>352610_2022_12_</v>
      </c>
      <c r="K3307" s="3050">
        <v>16.060243902439023</v>
      </c>
      <c r="L3307" s="704"/>
      <c r="M3307" s="2819" t="s">
        <v>1083</v>
      </c>
      <c r="N3307" s="3391"/>
      <c r="O3307" s="3391"/>
      <c r="P3307" s="702"/>
      <c r="Q3307" s="702"/>
      <c r="R3307" s="702"/>
      <c r="S3307" s="3391"/>
      <c r="T3307" s="3389"/>
      <c r="U3307" s="3391"/>
      <c r="V3307" s="3980"/>
      <c r="W3307" s="3421"/>
      <c r="X3307" s="3421"/>
      <c r="Y3307" s="3425"/>
      <c r="Z3307" s="3425"/>
      <c r="AA3307" s="3425"/>
      <c r="AB3307" s="584"/>
      <c r="AC3307" s="2919"/>
      <c r="AD3307" s="3050">
        <v>16.060243902439023</v>
      </c>
      <c r="AE3307" s="3429"/>
      <c r="AF3307" s="3421"/>
      <c r="AG3307" s="3421"/>
      <c r="AH3307" s="156"/>
      <c r="AI3307" s="156"/>
      <c r="AJ3307" s="156"/>
      <c r="AK3307" s="156"/>
      <c r="AL3307" s="156"/>
      <c r="AM3307" s="156"/>
      <c r="AN3307" s="156"/>
      <c r="AO3307" s="156"/>
      <c r="AP3307" s="156"/>
      <c r="AQ3307" s="156"/>
      <c r="AR3307" s="156"/>
      <c r="AS3307" s="156"/>
      <c r="AT3307" s="156"/>
      <c r="AU3307" s="156"/>
      <c r="AV3307" s="156"/>
      <c r="AW3307" s="156"/>
      <c r="AX3307" s="156"/>
      <c r="AY3307" s="156"/>
      <c r="AZ3307" s="156"/>
      <c r="BA3307" s="156"/>
      <c r="BB3307" s="2828"/>
      <c r="BC3307" s="452"/>
      <c r="BD3307" s="2829"/>
      <c r="BE3307" s="2837"/>
      <c r="BF3307" s="156"/>
    </row>
    <row r="3308" spans="1:58" ht="15" customHeight="1" outlineLevel="1" x14ac:dyDescent="0.35">
      <c r="A3308" s="1664"/>
      <c r="B3308" s="2812"/>
      <c r="C3308" s="3077"/>
      <c r="D3308" s="3980"/>
      <c r="E3308" s="3883"/>
      <c r="F3308" s="3984" t="str">
        <f>$E$1568</f>
        <v>ASHP-SEER16_ROF_SF</v>
      </c>
      <c r="G3308" s="3984"/>
      <c r="H3308" s="3984"/>
      <c r="I3308" s="3984"/>
      <c r="J3308" s="3501" t="str">
        <f>$C$1568</f>
        <v>352650_2021_12_</v>
      </c>
      <c r="K3308" s="3050">
        <v>16.060243902439023</v>
      </c>
      <c r="L3308" s="704"/>
      <c r="M3308" s="2819" t="s">
        <v>4360</v>
      </c>
      <c r="N3308" s="106"/>
      <c r="O3308" s="106"/>
      <c r="P3308" s="702"/>
      <c r="Q3308" s="702"/>
      <c r="R3308" s="702"/>
      <c r="S3308" s="106"/>
      <c r="T3308" s="486"/>
      <c r="U3308" s="106"/>
      <c r="V3308" s="3980"/>
      <c r="W3308" s="3421">
        <v>16</v>
      </c>
      <c r="X3308" s="3421">
        <v>16</v>
      </c>
      <c r="Y3308" s="3425">
        <v>16</v>
      </c>
      <c r="Z3308" s="3425">
        <v>16</v>
      </c>
      <c r="AA3308" s="3425">
        <v>16</v>
      </c>
      <c r="AB3308" s="583">
        <v>16</v>
      </c>
      <c r="AC3308" s="2919">
        <v>16.039473684210527</v>
      </c>
      <c r="AD3308" s="3050">
        <v>16.060243902439023</v>
      </c>
      <c r="AE3308" s="3429"/>
      <c r="AF3308" s="3421"/>
      <c r="AG3308" s="3421"/>
      <c r="AH3308" s="156"/>
      <c r="AI3308" s="156"/>
      <c r="AJ3308" s="156"/>
      <c r="AK3308" s="156"/>
      <c r="AL3308" s="156"/>
      <c r="AM3308" s="156"/>
      <c r="AN3308" s="156"/>
      <c r="AO3308" s="156"/>
      <c r="AP3308" s="156"/>
      <c r="AQ3308" s="156"/>
      <c r="AR3308" s="156"/>
      <c r="AS3308" s="156"/>
      <c r="AT3308" s="156"/>
      <c r="AU3308" s="156"/>
      <c r="AV3308" s="156"/>
      <c r="AW3308" s="156"/>
      <c r="AX3308" s="156"/>
      <c r="AY3308" s="156"/>
      <c r="AZ3308" s="156"/>
      <c r="BA3308" s="156"/>
      <c r="BB3308" s="2828"/>
      <c r="BC3308" s="452"/>
      <c r="BD3308" s="2829"/>
      <c r="BE3308" s="2837"/>
      <c r="BF3308" s="156"/>
    </row>
    <row r="3309" spans="1:58" ht="15" customHeight="1" outlineLevel="1" x14ac:dyDescent="0.35">
      <c r="A3309" s="1664"/>
      <c r="B3309" s="2812"/>
      <c r="C3309" s="3077"/>
      <c r="D3309" s="3980"/>
      <c r="E3309" s="3883"/>
      <c r="F3309" s="3984" t="str">
        <f>$E$1570</f>
        <v>ASHP-SEER15_ER1_MF</v>
      </c>
      <c r="G3309" s="3984"/>
      <c r="H3309" s="3984"/>
      <c r="I3309" s="3984"/>
      <c r="J3309" s="3501" t="str">
        <f>$C$1570</f>
        <v>352700_2021_12_</v>
      </c>
      <c r="K3309" s="3050">
        <v>15.05</v>
      </c>
      <c r="L3309" s="704"/>
      <c r="M3309" s="2819" t="s">
        <v>4360</v>
      </c>
      <c r="N3309" s="106"/>
      <c r="O3309" s="106"/>
      <c r="P3309" s="702"/>
      <c r="Q3309" s="702"/>
      <c r="R3309" s="702"/>
      <c r="S3309" s="106"/>
      <c r="T3309" s="486"/>
      <c r="U3309" s="106"/>
      <c r="V3309" s="3980"/>
      <c r="W3309" s="3421">
        <v>15.1</v>
      </c>
      <c r="X3309" s="3421">
        <v>15.1</v>
      </c>
      <c r="Y3309" s="3425">
        <v>15.1</v>
      </c>
      <c r="Z3309" s="3425">
        <v>15.1</v>
      </c>
      <c r="AA3309" s="3425">
        <v>15.1</v>
      </c>
      <c r="AB3309" s="584">
        <v>15.125</v>
      </c>
      <c r="AC3309" s="2919">
        <v>15.125</v>
      </c>
      <c r="AD3309" s="3050">
        <v>15.05</v>
      </c>
      <c r="AE3309" s="3429"/>
      <c r="AF3309" s="3421"/>
      <c r="AG3309" s="3421"/>
      <c r="AH3309" s="156"/>
      <c r="AI3309" s="156"/>
      <c r="AJ3309" s="156"/>
      <c r="AK3309" s="156"/>
      <c r="AL3309" s="156"/>
      <c r="AM3309" s="156"/>
      <c r="AN3309" s="156"/>
      <c r="AO3309" s="156"/>
      <c r="AP3309" s="156"/>
      <c r="AQ3309" s="156"/>
      <c r="AR3309" s="156"/>
      <c r="AS3309" s="156"/>
      <c r="AT3309" s="156"/>
      <c r="AU3309" s="156"/>
      <c r="AV3309" s="156"/>
      <c r="AW3309" s="156"/>
      <c r="AX3309" s="156"/>
      <c r="AY3309" s="156"/>
      <c r="AZ3309" s="156"/>
      <c r="BA3309" s="156"/>
      <c r="BB3309" s="2828"/>
      <c r="BC3309" s="452"/>
      <c r="BD3309" s="2829"/>
      <c r="BE3309" s="2837"/>
      <c r="BF3309" s="156"/>
    </row>
    <row r="3310" spans="1:58" ht="15" customHeight="1" outlineLevel="1" x14ac:dyDescent="0.35">
      <c r="A3310" s="1664"/>
      <c r="B3310" s="2812"/>
      <c r="C3310" s="3077"/>
      <c r="D3310" s="3980"/>
      <c r="E3310" s="3883"/>
      <c r="F3310" s="3984" t="str">
        <f>$E$1572</f>
        <v>ASHP-SEER15_ER2_MF</v>
      </c>
      <c r="G3310" s="3984"/>
      <c r="H3310" s="3984"/>
      <c r="I3310" s="3984"/>
      <c r="J3310" s="3501" t="str">
        <f>$C$1572</f>
        <v>352700_2021_12_</v>
      </c>
      <c r="K3310" s="3050">
        <v>15.05</v>
      </c>
      <c r="L3310" s="704"/>
      <c r="M3310" s="2819" t="s">
        <v>4360</v>
      </c>
      <c r="N3310" s="106"/>
      <c r="O3310" s="106"/>
      <c r="P3310" s="702"/>
      <c r="Q3310" s="702"/>
      <c r="R3310" s="702"/>
      <c r="S3310" s="106"/>
      <c r="T3310" s="486"/>
      <c r="U3310" s="106"/>
      <c r="V3310" s="3980"/>
      <c r="W3310" s="3421">
        <v>15.1</v>
      </c>
      <c r="X3310" s="3421">
        <v>15.1</v>
      </c>
      <c r="Y3310" s="3425">
        <v>15.1</v>
      </c>
      <c r="Z3310" s="3425">
        <v>15.1</v>
      </c>
      <c r="AA3310" s="3425">
        <v>15.1</v>
      </c>
      <c r="AB3310" s="584">
        <v>15.125</v>
      </c>
      <c r="AC3310" s="2919">
        <f>AC3309</f>
        <v>15.125</v>
      </c>
      <c r="AD3310" s="3050">
        <v>15.05</v>
      </c>
      <c r="AE3310" s="3429"/>
      <c r="AF3310" s="3421"/>
      <c r="AG3310" s="3421"/>
      <c r="AH3310" s="156"/>
      <c r="AI3310" s="156"/>
      <c r="AJ3310" s="156"/>
      <c r="AK3310" s="156"/>
      <c r="AL3310" s="156"/>
      <c r="AM3310" s="156"/>
      <c r="AN3310" s="156"/>
      <c r="AO3310" s="156"/>
      <c r="AP3310" s="156"/>
      <c r="AQ3310" s="156"/>
      <c r="AR3310" s="156"/>
      <c r="AS3310" s="156"/>
      <c r="AT3310" s="156"/>
      <c r="AU3310" s="156"/>
      <c r="AV3310" s="156"/>
      <c r="AW3310" s="156"/>
      <c r="AX3310" s="156"/>
      <c r="AY3310" s="156"/>
      <c r="AZ3310" s="156"/>
      <c r="BA3310" s="156"/>
      <c r="BB3310" s="2828"/>
      <c r="BC3310" s="452"/>
      <c r="BD3310" s="2829"/>
      <c r="BE3310" s="2837"/>
      <c r="BF3310" s="156"/>
    </row>
    <row r="3311" spans="1:58" ht="15" customHeight="1" outlineLevel="1" x14ac:dyDescent="0.35">
      <c r="A3311" s="1664"/>
      <c r="B3311" s="2812"/>
      <c r="C3311" s="3077"/>
      <c r="D3311" s="3980"/>
      <c r="E3311" s="3883"/>
      <c r="F3311" s="3984" t="str">
        <f>$E$1574</f>
        <v>ASHP-SEER15_ER1_MF_CompE</v>
      </c>
      <c r="G3311" s="3984"/>
      <c r="H3311" s="3984"/>
      <c r="I3311" s="3984"/>
      <c r="J3311" s="3501" t="str">
        <f>$C$1574</f>
        <v>352701_2021_12_</v>
      </c>
      <c r="K3311" s="3050">
        <v>15.05</v>
      </c>
      <c r="L3311" s="704"/>
      <c r="M3311" s="3025" t="s">
        <v>1083</v>
      </c>
      <c r="N3311" s="106"/>
      <c r="O3311" s="106"/>
      <c r="P3311" s="702"/>
      <c r="Q3311" s="702"/>
      <c r="R3311" s="702"/>
      <c r="S3311" s="106"/>
      <c r="T3311" s="486"/>
      <c r="U3311" s="106"/>
      <c r="V3311" s="3980"/>
      <c r="W3311" s="3421"/>
      <c r="X3311" s="3421"/>
      <c r="Y3311" s="2377">
        <v>15.1</v>
      </c>
      <c r="Z3311" s="3425">
        <v>15.1</v>
      </c>
      <c r="AA3311" s="3425">
        <v>15.1</v>
      </c>
      <c r="AB3311" s="584">
        <v>15.125</v>
      </c>
      <c r="AC3311" s="2920">
        <f>AC3310</f>
        <v>15.125</v>
      </c>
      <c r="AD3311" s="3050">
        <v>15.05</v>
      </c>
      <c r="AE3311" s="3429"/>
      <c r="AF3311" s="3421"/>
      <c r="AG3311" s="3421"/>
      <c r="AH3311" s="156"/>
      <c r="AI3311" s="156"/>
      <c r="AJ3311" s="156"/>
      <c r="AK3311" s="156"/>
      <c r="AL3311" s="156"/>
      <c r="AM3311" s="156"/>
      <c r="AN3311" s="156"/>
      <c r="AO3311" s="156"/>
      <c r="AP3311" s="156"/>
      <c r="AQ3311" s="156"/>
      <c r="AR3311" s="156"/>
      <c r="AS3311" s="156"/>
      <c r="AT3311" s="156"/>
      <c r="AU3311" s="156"/>
      <c r="AV3311" s="156"/>
      <c r="AW3311" s="156"/>
      <c r="AX3311" s="156"/>
      <c r="AY3311" s="156"/>
      <c r="AZ3311" s="156"/>
      <c r="BA3311" s="156"/>
      <c r="BB3311" s="2828"/>
      <c r="BC3311" s="452"/>
      <c r="BD3311" s="2829"/>
      <c r="BE3311" s="2837"/>
      <c r="BF3311" s="156"/>
    </row>
    <row r="3312" spans="1:58" ht="15" customHeight="1" outlineLevel="1" x14ac:dyDescent="0.35">
      <c r="A3312" s="1664"/>
      <c r="B3312" s="2812"/>
      <c r="C3312" s="3077"/>
      <c r="D3312" s="3980"/>
      <c r="E3312" s="3883"/>
      <c r="F3312" s="3984" t="str">
        <f>$E$1576</f>
        <v>ASHP-SEER15_ER2_MF_CompE</v>
      </c>
      <c r="G3312" s="3984"/>
      <c r="H3312" s="3984"/>
      <c r="I3312" s="3984"/>
      <c r="J3312" s="3501" t="str">
        <f>$C$1576</f>
        <v>352701_2021_12_</v>
      </c>
      <c r="K3312" s="3050">
        <v>15.05</v>
      </c>
      <c r="L3312" s="704"/>
      <c r="M3312" s="3025" t="s">
        <v>1083</v>
      </c>
      <c r="N3312" s="106"/>
      <c r="O3312" s="106"/>
      <c r="P3312" s="702"/>
      <c r="Q3312" s="702"/>
      <c r="R3312" s="702"/>
      <c r="S3312" s="106"/>
      <c r="T3312" s="486"/>
      <c r="U3312" s="106"/>
      <c r="V3312" s="3980"/>
      <c r="W3312" s="3421"/>
      <c r="X3312" s="3421"/>
      <c r="Y3312" s="2377">
        <v>15.1</v>
      </c>
      <c r="Z3312" s="3425">
        <v>15.1</v>
      </c>
      <c r="AA3312" s="3425">
        <v>15.1</v>
      </c>
      <c r="AB3312" s="584">
        <v>15.125</v>
      </c>
      <c r="AC3312" s="2920">
        <f>AC3311</f>
        <v>15.125</v>
      </c>
      <c r="AD3312" s="3050">
        <v>15.05</v>
      </c>
      <c r="AE3312" s="3429"/>
      <c r="AF3312" s="3421"/>
      <c r="AG3312" s="3421"/>
      <c r="AH3312" s="156"/>
      <c r="AI3312" s="156"/>
      <c r="AJ3312" s="156"/>
      <c r="AK3312" s="156"/>
      <c r="AL3312" s="156"/>
      <c r="AM3312" s="156"/>
      <c r="AN3312" s="156"/>
      <c r="AO3312" s="156"/>
      <c r="AP3312" s="156"/>
      <c r="AQ3312" s="156"/>
      <c r="AR3312" s="156"/>
      <c r="AS3312" s="156"/>
      <c r="AT3312" s="156"/>
      <c r="AU3312" s="156"/>
      <c r="AV3312" s="156"/>
      <c r="AW3312" s="156"/>
      <c r="AX3312" s="156"/>
      <c r="AY3312" s="156"/>
      <c r="AZ3312" s="156"/>
      <c r="BA3312" s="156"/>
      <c r="BB3312" s="2828"/>
      <c r="BC3312" s="452"/>
      <c r="BD3312" s="2829"/>
      <c r="BE3312" s="2837"/>
      <c r="BF3312" s="156"/>
    </row>
    <row r="3313" spans="1:58" ht="15" customHeight="1" outlineLevel="1" x14ac:dyDescent="0.35">
      <c r="A3313" s="1664"/>
      <c r="B3313" s="2812"/>
      <c r="C3313" s="3077"/>
      <c r="D3313" s="3980"/>
      <c r="E3313" s="3883"/>
      <c r="F3313" s="3984" t="str">
        <f>$E$1578</f>
        <v>ASHP-SEER15-Replace_CAC_ElectricHeat_ER1_MF</v>
      </c>
      <c r="G3313" s="3984"/>
      <c r="H3313" s="3984"/>
      <c r="I3313" s="3984"/>
      <c r="J3313" s="3501" t="str">
        <f>$C$1578</f>
        <v>352750_2021_12_</v>
      </c>
      <c r="K3313" s="3050">
        <v>15.05</v>
      </c>
      <c r="L3313" s="704"/>
      <c r="M3313" s="2819" t="s">
        <v>4360</v>
      </c>
      <c r="N3313" s="106"/>
      <c r="O3313" s="106"/>
      <c r="P3313" s="702"/>
      <c r="Q3313" s="702"/>
      <c r="R3313" s="702"/>
      <c r="S3313" s="106"/>
      <c r="T3313" s="486"/>
      <c r="U3313" s="106"/>
      <c r="V3313" s="3980"/>
      <c r="W3313" s="3421">
        <v>15.1</v>
      </c>
      <c r="X3313" s="3421">
        <v>15.1</v>
      </c>
      <c r="Y3313" s="3425">
        <v>15.1</v>
      </c>
      <c r="Z3313" s="3425">
        <v>15.1</v>
      </c>
      <c r="AA3313" s="3425">
        <v>15.1</v>
      </c>
      <c r="AB3313" s="584">
        <v>15.25</v>
      </c>
      <c r="AC3313" s="2919">
        <v>15.375</v>
      </c>
      <c r="AD3313" s="3050">
        <v>15.05</v>
      </c>
      <c r="AE3313" s="3429"/>
      <c r="AF3313" s="3421"/>
      <c r="AG3313" s="3421"/>
      <c r="AH3313" s="156"/>
      <c r="AI3313" s="156"/>
      <c r="AJ3313" s="156"/>
      <c r="AK3313" s="156"/>
      <c r="AL3313" s="156"/>
      <c r="AM3313" s="156"/>
      <c r="AN3313" s="156"/>
      <c r="AO3313" s="156"/>
      <c r="AP3313" s="156"/>
      <c r="AQ3313" s="156"/>
      <c r="AR3313" s="156"/>
      <c r="AS3313" s="156"/>
      <c r="AT3313" s="156"/>
      <c r="AU3313" s="156"/>
      <c r="AV3313" s="156"/>
      <c r="AW3313" s="156"/>
      <c r="AX3313" s="156"/>
      <c r="AY3313" s="156"/>
      <c r="AZ3313" s="156"/>
      <c r="BA3313" s="156"/>
      <c r="BB3313" s="2828"/>
      <c r="BC3313" s="452"/>
      <c r="BD3313" s="2829"/>
      <c r="BE3313" s="2837"/>
      <c r="BF3313" s="156"/>
    </row>
    <row r="3314" spans="1:58" ht="15" customHeight="1" outlineLevel="1" x14ac:dyDescent="0.35">
      <c r="A3314" s="1664"/>
      <c r="B3314" s="2812"/>
      <c r="C3314" s="3077"/>
      <c r="D3314" s="3980"/>
      <c r="E3314" s="3883"/>
      <c r="F3314" s="3984" t="str">
        <f>$E$1580</f>
        <v>ASHP-SEER15-Replace_CAC_ElectricHeat_ER2_MF</v>
      </c>
      <c r="G3314" s="3984"/>
      <c r="H3314" s="3984"/>
      <c r="I3314" s="3984"/>
      <c r="J3314" s="3501" t="str">
        <f>$C$1580</f>
        <v>352750_2021_12_</v>
      </c>
      <c r="K3314" s="3050">
        <v>15.05</v>
      </c>
      <c r="L3314" s="704"/>
      <c r="M3314" s="2819" t="s">
        <v>4360</v>
      </c>
      <c r="N3314" s="106"/>
      <c r="O3314" s="106"/>
      <c r="P3314" s="702"/>
      <c r="Q3314" s="702"/>
      <c r="R3314" s="702"/>
      <c r="S3314" s="106"/>
      <c r="T3314" s="486"/>
      <c r="U3314" s="106"/>
      <c r="V3314" s="3980"/>
      <c r="W3314" s="3421">
        <v>15.1</v>
      </c>
      <c r="X3314" s="3421">
        <v>15.1</v>
      </c>
      <c r="Y3314" s="3425">
        <v>15.1</v>
      </c>
      <c r="Z3314" s="3425">
        <v>15.1</v>
      </c>
      <c r="AA3314" s="3425">
        <v>15.1</v>
      </c>
      <c r="AB3314" s="584">
        <v>15.1</v>
      </c>
      <c r="AC3314" s="2919">
        <f>AC3313</f>
        <v>15.375</v>
      </c>
      <c r="AD3314" s="3050">
        <v>15.05</v>
      </c>
      <c r="AE3314" s="3429"/>
      <c r="AF3314" s="3421"/>
      <c r="AG3314" s="3421"/>
      <c r="AH3314" s="156"/>
      <c r="AI3314" s="156"/>
      <c r="AJ3314" s="156"/>
      <c r="AK3314" s="156"/>
      <c r="AL3314" s="156"/>
      <c r="AM3314" s="156"/>
      <c r="AN3314" s="156"/>
      <c r="AO3314" s="156"/>
      <c r="AP3314" s="156"/>
      <c r="AQ3314" s="156"/>
      <c r="AR3314" s="156"/>
      <c r="AS3314" s="156"/>
      <c r="AT3314" s="156"/>
      <c r="AU3314" s="156"/>
      <c r="AV3314" s="156"/>
      <c r="AW3314" s="156"/>
      <c r="AX3314" s="156"/>
      <c r="AY3314" s="156"/>
      <c r="AZ3314" s="156"/>
      <c r="BA3314" s="156"/>
      <c r="BB3314" s="2828"/>
      <c r="BC3314" s="452"/>
      <c r="BD3314" s="2829"/>
      <c r="BE3314" s="2837"/>
      <c r="BF3314" s="156"/>
    </row>
    <row r="3315" spans="1:58" ht="15" customHeight="1" outlineLevel="1" x14ac:dyDescent="0.35">
      <c r="A3315" s="1664"/>
      <c r="B3315" s="2812"/>
      <c r="C3315" s="3077"/>
      <c r="D3315" s="3980"/>
      <c r="E3315" s="3883"/>
      <c r="F3315" s="3984" t="str">
        <f>$E$1582</f>
        <v>ASHP-SEER15-Replace_CAC_ElectricHeat_ER1_MF_CompE</v>
      </c>
      <c r="G3315" s="3984"/>
      <c r="H3315" s="3984"/>
      <c r="I3315" s="3984"/>
      <c r="J3315" s="3501" t="str">
        <f>$C$1582</f>
        <v>352751_2021_12_</v>
      </c>
      <c r="K3315" s="3050">
        <v>15.05</v>
      </c>
      <c r="L3315" s="704"/>
      <c r="M3315" s="3025" t="s">
        <v>1083</v>
      </c>
      <c r="N3315" s="106"/>
      <c r="O3315" s="106"/>
      <c r="P3315" s="702"/>
      <c r="Q3315" s="702"/>
      <c r="R3315" s="702"/>
      <c r="S3315" s="106"/>
      <c r="T3315" s="486"/>
      <c r="U3315" s="106"/>
      <c r="V3315" s="3980"/>
      <c r="W3315" s="3421"/>
      <c r="X3315" s="3421"/>
      <c r="Y3315" s="2377">
        <v>15.1</v>
      </c>
      <c r="Z3315" s="3425">
        <v>15.1</v>
      </c>
      <c r="AA3315" s="3425">
        <v>15.1</v>
      </c>
      <c r="AB3315" s="584">
        <v>15.1</v>
      </c>
      <c r="AC3315" s="2920">
        <v>15.1</v>
      </c>
      <c r="AD3315" s="3050">
        <v>15.05</v>
      </c>
      <c r="AE3315" s="3429"/>
      <c r="AF3315" s="3421"/>
      <c r="AG3315" s="3421"/>
      <c r="AH3315" s="156"/>
      <c r="AI3315" s="156"/>
      <c r="AJ3315" s="156"/>
      <c r="AK3315" s="156"/>
      <c r="AL3315" s="156"/>
      <c r="AM3315" s="156"/>
      <c r="AN3315" s="156"/>
      <c r="AO3315" s="156"/>
      <c r="AP3315" s="156"/>
      <c r="AQ3315" s="156"/>
      <c r="AR3315" s="156"/>
      <c r="AS3315" s="156"/>
      <c r="AT3315" s="156"/>
      <c r="AU3315" s="156"/>
      <c r="AV3315" s="156"/>
      <c r="AW3315" s="156"/>
      <c r="AX3315" s="156"/>
      <c r="AY3315" s="156"/>
      <c r="AZ3315" s="156"/>
      <c r="BA3315" s="156"/>
      <c r="BB3315" s="2828"/>
      <c r="BC3315" s="452"/>
      <c r="BD3315" s="2829"/>
      <c r="BE3315" s="2837"/>
      <c r="BF3315" s="156"/>
    </row>
    <row r="3316" spans="1:58" ht="15" customHeight="1" outlineLevel="1" x14ac:dyDescent="0.35">
      <c r="A3316" s="1664"/>
      <c r="B3316" s="2812"/>
      <c r="C3316" s="3077"/>
      <c r="D3316" s="3980"/>
      <c r="E3316" s="3883"/>
      <c r="F3316" s="3984" t="str">
        <f>$E$1584</f>
        <v>ASHP-SEER15-Replace_CAC_ElectricHeat_ER2_MF_CompE</v>
      </c>
      <c r="G3316" s="3984"/>
      <c r="H3316" s="3984"/>
      <c r="I3316" s="3984"/>
      <c r="J3316" s="3501" t="str">
        <f>$C$1584</f>
        <v>352751_2021_12_</v>
      </c>
      <c r="K3316" s="3050">
        <v>15.05</v>
      </c>
      <c r="L3316" s="704"/>
      <c r="M3316" s="3025" t="s">
        <v>1083</v>
      </c>
      <c r="N3316" s="106"/>
      <c r="O3316" s="106"/>
      <c r="P3316" s="702"/>
      <c r="Q3316" s="702"/>
      <c r="R3316" s="702"/>
      <c r="S3316" s="106"/>
      <c r="T3316" s="486"/>
      <c r="U3316" s="106"/>
      <c r="V3316" s="3980"/>
      <c r="W3316" s="3421"/>
      <c r="X3316" s="3421"/>
      <c r="Y3316" s="2377">
        <v>15.1</v>
      </c>
      <c r="Z3316" s="3425">
        <v>15.1</v>
      </c>
      <c r="AA3316" s="3425">
        <v>15.1</v>
      </c>
      <c r="AB3316" s="584">
        <v>15.1</v>
      </c>
      <c r="AC3316" s="2920">
        <v>15.1</v>
      </c>
      <c r="AD3316" s="3050">
        <v>15.05</v>
      </c>
      <c r="AE3316" s="3429"/>
      <c r="AF3316" s="3421"/>
      <c r="AG3316" s="3421"/>
      <c r="AH3316" s="156"/>
      <c r="AI3316" s="156"/>
      <c r="AJ3316" s="156"/>
      <c r="AK3316" s="156"/>
      <c r="AL3316" s="156"/>
      <c r="AM3316" s="156"/>
      <c r="AN3316" s="156"/>
      <c r="AO3316" s="156"/>
      <c r="AP3316" s="156"/>
      <c r="AQ3316" s="156"/>
      <c r="AR3316" s="156"/>
      <c r="AS3316" s="156"/>
      <c r="AT3316" s="156"/>
      <c r="AU3316" s="156"/>
      <c r="AV3316" s="156"/>
      <c r="AW3316" s="156"/>
      <c r="AX3316" s="156"/>
      <c r="AY3316" s="156"/>
      <c r="AZ3316" s="156"/>
      <c r="BA3316" s="156"/>
      <c r="BB3316" s="2828"/>
      <c r="BC3316" s="452"/>
      <c r="BD3316" s="2829"/>
      <c r="BE3316" s="2837"/>
      <c r="BF3316" s="156"/>
    </row>
    <row r="3317" spans="1:58" ht="15" customHeight="1" outlineLevel="1" x14ac:dyDescent="0.35">
      <c r="A3317" s="1664"/>
      <c r="B3317" s="2812"/>
      <c r="C3317" s="3077"/>
      <c r="D3317" s="3980"/>
      <c r="E3317" s="3883"/>
      <c r="F3317" s="3984" t="str">
        <f>$E$1586</f>
        <v>ASHP-SEER15-Replace_CAC_NonElectricHeat_ER1_MF</v>
      </c>
      <c r="G3317" s="3984"/>
      <c r="H3317" s="3984"/>
      <c r="I3317" s="3984"/>
      <c r="J3317" s="3501" t="str">
        <f>$C$1586</f>
        <v>352760_2021_12_</v>
      </c>
      <c r="K3317" s="3050">
        <v>15.05</v>
      </c>
      <c r="L3317" s="704"/>
      <c r="M3317" s="3025" t="s">
        <v>1083</v>
      </c>
      <c r="N3317" s="106"/>
      <c r="O3317" s="106"/>
      <c r="P3317" s="702"/>
      <c r="Q3317" s="702"/>
      <c r="R3317" s="702"/>
      <c r="S3317" s="106"/>
      <c r="T3317" s="486"/>
      <c r="U3317" s="106"/>
      <c r="V3317" s="3980"/>
      <c r="W3317" s="3421"/>
      <c r="X3317" s="3421"/>
      <c r="Y3317" s="2377"/>
      <c r="Z3317" s="3425"/>
      <c r="AA3317" s="3425"/>
      <c r="AB3317" s="584"/>
      <c r="AC3317" s="2919">
        <v>15.375</v>
      </c>
      <c r="AD3317" s="3050">
        <v>15.05</v>
      </c>
      <c r="AE3317" s="3429"/>
      <c r="AF3317" s="3421"/>
      <c r="AG3317" s="3421"/>
      <c r="AH3317" s="156"/>
      <c r="AI3317" s="156"/>
      <c r="AJ3317" s="156"/>
      <c r="AK3317" s="156"/>
      <c r="AL3317" s="156"/>
      <c r="AM3317" s="156"/>
      <c r="AN3317" s="156"/>
      <c r="AO3317" s="156"/>
      <c r="AP3317" s="156"/>
      <c r="AQ3317" s="156"/>
      <c r="AR3317" s="156"/>
      <c r="AS3317" s="156"/>
      <c r="AT3317" s="156"/>
      <c r="AU3317" s="156"/>
      <c r="AV3317" s="156"/>
      <c r="AW3317" s="156"/>
      <c r="AX3317" s="156"/>
      <c r="AY3317" s="156"/>
      <c r="AZ3317" s="156"/>
      <c r="BA3317" s="156"/>
      <c r="BB3317" s="2828"/>
      <c r="BC3317" s="452"/>
      <c r="BD3317" s="2829"/>
      <c r="BE3317" s="2837"/>
      <c r="BF3317" s="156"/>
    </row>
    <row r="3318" spans="1:58" ht="15" customHeight="1" outlineLevel="1" x14ac:dyDescent="0.35">
      <c r="A3318" s="1664"/>
      <c r="B3318" s="2812"/>
      <c r="C3318" s="3077"/>
      <c r="D3318" s="3980"/>
      <c r="E3318" s="3883"/>
      <c r="F3318" s="3984" t="str">
        <f>$E$1588</f>
        <v>ASHP-SEER15-Replace_CAC_NonElectricHeat_ER2_MF</v>
      </c>
      <c r="G3318" s="3984"/>
      <c r="H3318" s="3984"/>
      <c r="I3318" s="3984"/>
      <c r="J3318" s="3501" t="str">
        <f>$C$1588</f>
        <v>352760_2021_12_</v>
      </c>
      <c r="K3318" s="3050">
        <v>15.05</v>
      </c>
      <c r="L3318" s="704"/>
      <c r="M3318" s="3025" t="s">
        <v>1083</v>
      </c>
      <c r="N3318" s="106"/>
      <c r="O3318" s="106"/>
      <c r="P3318" s="702"/>
      <c r="Q3318" s="702"/>
      <c r="R3318" s="702"/>
      <c r="S3318" s="106"/>
      <c r="T3318" s="486"/>
      <c r="U3318" s="106"/>
      <c r="V3318" s="3980"/>
      <c r="W3318" s="3421"/>
      <c r="X3318" s="3421"/>
      <c r="Y3318" s="2377"/>
      <c r="Z3318" s="3425"/>
      <c r="AA3318" s="3425"/>
      <c r="AB3318" s="584"/>
      <c r="AC3318" s="2919">
        <f>AC3317</f>
        <v>15.375</v>
      </c>
      <c r="AD3318" s="3050">
        <v>15.05</v>
      </c>
      <c r="AE3318" s="3429"/>
      <c r="AF3318" s="3421"/>
      <c r="AG3318" s="3421"/>
      <c r="AH3318" s="156"/>
      <c r="AI3318" s="156"/>
      <c r="AJ3318" s="156"/>
      <c r="AK3318" s="156"/>
      <c r="AL3318" s="156"/>
      <c r="AM3318" s="156"/>
      <c r="AN3318" s="156"/>
      <c r="AO3318" s="156"/>
      <c r="AP3318" s="156"/>
      <c r="AQ3318" s="156"/>
      <c r="AR3318" s="156"/>
      <c r="AS3318" s="156"/>
      <c r="AT3318" s="156"/>
      <c r="AU3318" s="156"/>
      <c r="AV3318" s="156"/>
      <c r="AW3318" s="156"/>
      <c r="AX3318" s="156"/>
      <c r="AY3318" s="156"/>
      <c r="AZ3318" s="156"/>
      <c r="BA3318" s="156"/>
      <c r="BB3318" s="2828"/>
      <c r="BC3318" s="452"/>
      <c r="BD3318" s="2829"/>
      <c r="BE3318" s="2837"/>
      <c r="BF3318" s="156"/>
    </row>
    <row r="3319" spans="1:58" ht="15" customHeight="1" outlineLevel="1" x14ac:dyDescent="0.35">
      <c r="A3319" s="1664"/>
      <c r="B3319" s="2812"/>
      <c r="C3319" s="3077"/>
      <c r="D3319" s="3980"/>
      <c r="E3319" s="3883"/>
      <c r="F3319" s="3984" t="str">
        <f>$E$1590</f>
        <v>ASHP-SEER15-Replace_CAC_NonElectricHeat_ER1_MF_CompE</v>
      </c>
      <c r="G3319" s="3984"/>
      <c r="H3319" s="3984"/>
      <c r="I3319" s="3984"/>
      <c r="J3319" s="3501" t="str">
        <f>$C$1590</f>
        <v>352761_2021_12_</v>
      </c>
      <c r="K3319" s="3050">
        <v>15.05</v>
      </c>
      <c r="L3319" s="704"/>
      <c r="M3319" s="3025" t="s">
        <v>1083</v>
      </c>
      <c r="N3319" s="106"/>
      <c r="O3319" s="106"/>
      <c r="P3319" s="702"/>
      <c r="Q3319" s="702"/>
      <c r="R3319" s="702"/>
      <c r="S3319" s="106"/>
      <c r="T3319" s="486"/>
      <c r="U3319" s="106"/>
      <c r="V3319" s="3980"/>
      <c r="W3319" s="3421"/>
      <c r="X3319" s="3421"/>
      <c r="Y3319" s="2377"/>
      <c r="Z3319" s="3425"/>
      <c r="AA3319" s="3425"/>
      <c r="AB3319" s="584"/>
      <c r="AC3319" s="2919">
        <v>15.1</v>
      </c>
      <c r="AD3319" s="3050">
        <v>15.05</v>
      </c>
      <c r="AE3319" s="3429"/>
      <c r="AF3319" s="3421"/>
      <c r="AG3319" s="3421"/>
      <c r="AH3319" s="156"/>
      <c r="AI3319" s="156"/>
      <c r="AJ3319" s="156"/>
      <c r="AK3319" s="156"/>
      <c r="AL3319" s="156"/>
      <c r="AM3319" s="156"/>
      <c r="AN3319" s="156"/>
      <c r="AO3319" s="156"/>
      <c r="AP3319" s="156"/>
      <c r="AQ3319" s="156"/>
      <c r="AR3319" s="156"/>
      <c r="AS3319" s="156"/>
      <c r="AT3319" s="156"/>
      <c r="AU3319" s="156"/>
      <c r="AV3319" s="156"/>
      <c r="AW3319" s="156"/>
      <c r="AX3319" s="156"/>
      <c r="AY3319" s="156"/>
      <c r="AZ3319" s="156"/>
      <c r="BA3319" s="156"/>
      <c r="BB3319" s="2828"/>
      <c r="BC3319" s="452"/>
      <c r="BD3319" s="2829"/>
      <c r="BE3319" s="2837"/>
      <c r="BF3319" s="156"/>
    </row>
    <row r="3320" spans="1:58" ht="15" customHeight="1" outlineLevel="1" x14ac:dyDescent="0.35">
      <c r="A3320" s="1664"/>
      <c r="B3320" s="2812"/>
      <c r="C3320" s="3077"/>
      <c r="D3320" s="3980"/>
      <c r="E3320" s="3883"/>
      <c r="F3320" s="3984" t="str">
        <f>$E$1592</f>
        <v>ASHP-SEER15-Replace_CAC_NonElectricHeat_ER2_MF_CompE</v>
      </c>
      <c r="G3320" s="3984"/>
      <c r="H3320" s="3984"/>
      <c r="I3320" s="3984"/>
      <c r="J3320" s="3501" t="str">
        <f>$C$1592</f>
        <v>352761_2021_12_</v>
      </c>
      <c r="K3320" s="3050">
        <v>15.05</v>
      </c>
      <c r="L3320" s="704"/>
      <c r="M3320" s="3025" t="s">
        <v>1083</v>
      </c>
      <c r="N3320" s="106"/>
      <c r="O3320" s="106"/>
      <c r="P3320" s="702"/>
      <c r="Q3320" s="702"/>
      <c r="R3320" s="702"/>
      <c r="S3320" s="106"/>
      <c r="T3320" s="486"/>
      <c r="U3320" s="106"/>
      <c r="V3320" s="3980"/>
      <c r="W3320" s="3421"/>
      <c r="X3320" s="3421"/>
      <c r="Y3320" s="2377"/>
      <c r="Z3320" s="3425"/>
      <c r="AA3320" s="3425"/>
      <c r="AB3320" s="584"/>
      <c r="AC3320" s="2919">
        <v>15.1</v>
      </c>
      <c r="AD3320" s="3050">
        <v>15.05</v>
      </c>
      <c r="AE3320" s="3429"/>
      <c r="AF3320" s="3421"/>
      <c r="AG3320" s="3421"/>
      <c r="AH3320" s="156"/>
      <c r="AI3320" s="156"/>
      <c r="AJ3320" s="156"/>
      <c r="AK3320" s="156"/>
      <c r="AL3320" s="156"/>
      <c r="AM3320" s="156"/>
      <c r="AN3320" s="156"/>
      <c r="AO3320" s="156"/>
      <c r="AP3320" s="156"/>
      <c r="AQ3320" s="156"/>
      <c r="AR3320" s="156"/>
      <c r="AS3320" s="156"/>
      <c r="AT3320" s="156"/>
      <c r="AU3320" s="156"/>
      <c r="AV3320" s="156"/>
      <c r="AW3320" s="156"/>
      <c r="AX3320" s="156"/>
      <c r="AY3320" s="156"/>
      <c r="AZ3320" s="156"/>
      <c r="BA3320" s="156"/>
      <c r="BB3320" s="2828"/>
      <c r="BC3320" s="452"/>
      <c r="BD3320" s="2829"/>
      <c r="BE3320" s="2837"/>
      <c r="BF3320" s="156"/>
    </row>
    <row r="3321" spans="1:58" ht="15" customHeight="1" outlineLevel="1" x14ac:dyDescent="0.35">
      <c r="A3321" s="1664"/>
      <c r="B3321" s="2812"/>
      <c r="C3321" s="3077"/>
      <c r="D3321" s="3980"/>
      <c r="E3321" s="3883"/>
      <c r="F3321" s="3984" t="str">
        <f>$E$1594</f>
        <v>ASHP-SEER15-Replace_CAC_ElectricHeat_ROF_MF</v>
      </c>
      <c r="G3321" s="3984"/>
      <c r="H3321" s="3984"/>
      <c r="I3321" s="3984"/>
      <c r="J3321" s="3501" t="str">
        <f>$C$1594</f>
        <v>352800_2019_12_</v>
      </c>
      <c r="K3321" s="3050">
        <v>15</v>
      </c>
      <c r="L3321" s="704"/>
      <c r="M3321" s="2819" t="s">
        <v>4360</v>
      </c>
      <c r="N3321" s="106"/>
      <c r="O3321" s="106"/>
      <c r="P3321" s="702"/>
      <c r="Q3321" s="702"/>
      <c r="R3321" s="702"/>
      <c r="S3321" s="106"/>
      <c r="T3321" s="486"/>
      <c r="U3321" s="106"/>
      <c r="V3321" s="3980"/>
      <c r="W3321" s="3421">
        <v>15.2</v>
      </c>
      <c r="X3321" s="3421">
        <v>15.2</v>
      </c>
      <c r="Y3321" s="3425">
        <v>15.2</v>
      </c>
      <c r="Z3321" s="3425">
        <v>15.2</v>
      </c>
      <c r="AA3321" s="3425">
        <v>15.2</v>
      </c>
      <c r="AB3321" s="583">
        <v>15.2</v>
      </c>
      <c r="AC3321" s="2920">
        <v>15.2</v>
      </c>
      <c r="AD3321" s="3050">
        <v>15</v>
      </c>
      <c r="AE3321" s="3429"/>
      <c r="AF3321" s="3421"/>
      <c r="AG3321" s="3421"/>
      <c r="AH3321" s="156"/>
      <c r="AI3321" s="156"/>
      <c r="AJ3321" s="156"/>
      <c r="AK3321" s="156"/>
      <c r="AL3321" s="156"/>
      <c r="AM3321" s="156"/>
      <c r="AN3321" s="156"/>
      <c r="AO3321" s="156"/>
      <c r="AP3321" s="156"/>
      <c r="AQ3321" s="156"/>
      <c r="AR3321" s="156"/>
      <c r="AS3321" s="156"/>
      <c r="AT3321" s="156"/>
      <c r="AU3321" s="156"/>
      <c r="AV3321" s="156"/>
      <c r="AW3321" s="156"/>
      <c r="AX3321" s="156"/>
      <c r="AY3321" s="156"/>
      <c r="AZ3321" s="156"/>
      <c r="BA3321" s="156"/>
      <c r="BB3321" s="2828"/>
      <c r="BC3321" s="452"/>
      <c r="BD3321" s="2829"/>
      <c r="BE3321" s="2837"/>
      <c r="BF3321" s="156"/>
    </row>
    <row r="3322" spans="1:58" ht="15" customHeight="1" outlineLevel="1" x14ac:dyDescent="0.35">
      <c r="A3322" s="1664"/>
      <c r="B3322" s="2812"/>
      <c r="C3322" s="3077"/>
      <c r="D3322" s="3980"/>
      <c r="E3322" s="3883"/>
      <c r="F3322" s="3984" t="str">
        <f>$E$1596</f>
        <v>ASHP-SEER15-Replace_CAC_ElectricHeat_ROF_MF_CompE</v>
      </c>
      <c r="G3322" s="3984"/>
      <c r="H3322" s="3984"/>
      <c r="I3322" s="3984"/>
      <c r="J3322" s="3501" t="str">
        <f>$C$1596</f>
        <v>352801_2021_12_</v>
      </c>
      <c r="K3322" s="3050">
        <v>15</v>
      </c>
      <c r="L3322" s="704"/>
      <c r="M3322" s="3025" t="s">
        <v>1083</v>
      </c>
      <c r="N3322" s="106"/>
      <c r="O3322" s="106"/>
      <c r="P3322" s="702"/>
      <c r="Q3322" s="702"/>
      <c r="R3322" s="702"/>
      <c r="S3322" s="106"/>
      <c r="T3322" s="486"/>
      <c r="U3322" s="106"/>
      <c r="V3322" s="3980"/>
      <c r="W3322" s="3421"/>
      <c r="X3322" s="3421"/>
      <c r="Y3322" s="2377">
        <v>15.2</v>
      </c>
      <c r="Z3322" s="3425">
        <v>15.2</v>
      </c>
      <c r="AA3322" s="3425">
        <v>15.2</v>
      </c>
      <c r="AB3322" s="583">
        <v>15.2</v>
      </c>
      <c r="AC3322" s="2920">
        <v>15.2</v>
      </c>
      <c r="AD3322" s="3050">
        <v>15</v>
      </c>
      <c r="AE3322" s="3429"/>
      <c r="AF3322" s="3421"/>
      <c r="AG3322" s="3421"/>
      <c r="AH3322" s="156"/>
      <c r="AI3322" s="156"/>
      <c r="AJ3322" s="156"/>
      <c r="AK3322" s="156"/>
      <c r="AL3322" s="156"/>
      <c r="AM3322" s="156"/>
      <c r="AN3322" s="156"/>
      <c r="AO3322" s="156"/>
      <c r="AP3322" s="156"/>
      <c r="AQ3322" s="156"/>
      <c r="AR3322" s="156"/>
      <c r="AS3322" s="156"/>
      <c r="AT3322" s="156"/>
      <c r="AU3322" s="156"/>
      <c r="AV3322" s="156"/>
      <c r="AW3322" s="156"/>
      <c r="AX3322" s="156"/>
      <c r="AY3322" s="156"/>
      <c r="AZ3322" s="156"/>
      <c r="BA3322" s="156"/>
      <c r="BB3322" s="2828"/>
      <c r="BC3322" s="452"/>
      <c r="BD3322" s="2829"/>
      <c r="BE3322" s="2837"/>
      <c r="BF3322" s="156"/>
    </row>
    <row r="3323" spans="1:58" ht="15" customHeight="1" outlineLevel="1" x14ac:dyDescent="0.35">
      <c r="A3323" s="1664"/>
      <c r="B3323" s="2812"/>
      <c r="C3323" s="3077"/>
      <c r="D3323" s="3980"/>
      <c r="E3323" s="3883"/>
      <c r="F3323" s="3984" t="str">
        <f>$E$1598</f>
        <v>ASHP-SEER15-Replace_CAC_NonElectricHeat_ROF_MF</v>
      </c>
      <c r="G3323" s="3984"/>
      <c r="H3323" s="3984"/>
      <c r="I3323" s="3984"/>
      <c r="J3323" s="3501" t="str">
        <f>$C$1598</f>
        <v>352810_2021_12_</v>
      </c>
      <c r="K3323" s="3050">
        <v>15</v>
      </c>
      <c r="L3323" s="704"/>
      <c r="M3323" s="3025" t="s">
        <v>1083</v>
      </c>
      <c r="N3323" s="106"/>
      <c r="O3323" s="106"/>
      <c r="P3323" s="702"/>
      <c r="Q3323" s="702"/>
      <c r="R3323" s="702"/>
      <c r="S3323" s="106"/>
      <c r="T3323" s="486"/>
      <c r="U3323" s="106"/>
      <c r="V3323" s="3980"/>
      <c r="W3323" s="3421"/>
      <c r="X3323" s="3421"/>
      <c r="Y3323" s="2377"/>
      <c r="Z3323" s="3425"/>
      <c r="AA3323" s="3425"/>
      <c r="AB3323" s="583"/>
      <c r="AC3323" s="2919">
        <v>15.2</v>
      </c>
      <c r="AD3323" s="3050">
        <v>15</v>
      </c>
      <c r="AE3323" s="3429"/>
      <c r="AF3323" s="3421"/>
      <c r="AG3323" s="3421"/>
      <c r="AH3323" s="156"/>
      <c r="AI3323" s="156"/>
      <c r="AJ3323" s="156"/>
      <c r="AK3323" s="156"/>
      <c r="AL3323" s="156"/>
      <c r="AM3323" s="156"/>
      <c r="AN3323" s="156"/>
      <c r="AO3323" s="156"/>
      <c r="AP3323" s="156"/>
      <c r="AQ3323" s="156"/>
      <c r="AR3323" s="156"/>
      <c r="AS3323" s="156"/>
      <c r="AT3323" s="156"/>
      <c r="AU3323" s="156"/>
      <c r="AV3323" s="156"/>
      <c r="AW3323" s="156"/>
      <c r="AX3323" s="156"/>
      <c r="AY3323" s="156"/>
      <c r="AZ3323" s="156"/>
      <c r="BA3323" s="156"/>
      <c r="BB3323" s="2828"/>
      <c r="BC3323" s="452"/>
      <c r="BD3323" s="2829"/>
      <c r="BE3323" s="2837"/>
      <c r="BF3323" s="156"/>
    </row>
    <row r="3324" spans="1:58" ht="15" customHeight="1" outlineLevel="1" x14ac:dyDescent="0.35">
      <c r="A3324" s="1664"/>
      <c r="B3324" s="2812"/>
      <c r="C3324" s="3077"/>
      <c r="D3324" s="3980"/>
      <c r="E3324" s="3883"/>
      <c r="F3324" s="3984" t="str">
        <f>$E$1600</f>
        <v>ASHP-SEER15-Replace_CAC_NonElectricHeat_ROF_MF_CompE</v>
      </c>
      <c r="G3324" s="3984"/>
      <c r="H3324" s="3984"/>
      <c r="I3324" s="3984"/>
      <c r="J3324" s="3501" t="str">
        <f>$C$1600</f>
        <v>352811_2021_12_</v>
      </c>
      <c r="K3324" s="3050">
        <v>15</v>
      </c>
      <c r="L3324" s="704"/>
      <c r="M3324" s="3025" t="s">
        <v>1083</v>
      </c>
      <c r="N3324" s="106"/>
      <c r="O3324" s="106"/>
      <c r="P3324" s="702"/>
      <c r="Q3324" s="702"/>
      <c r="R3324" s="702"/>
      <c r="S3324" s="106"/>
      <c r="T3324" s="486"/>
      <c r="U3324" s="106"/>
      <c r="V3324" s="3980"/>
      <c r="W3324" s="3421"/>
      <c r="X3324" s="3421"/>
      <c r="Y3324" s="2377"/>
      <c r="Z3324" s="3425"/>
      <c r="AA3324" s="3425"/>
      <c r="AB3324" s="583"/>
      <c r="AC3324" s="2919">
        <v>15.2</v>
      </c>
      <c r="AD3324" s="3050">
        <v>15</v>
      </c>
      <c r="AE3324" s="3429"/>
      <c r="AF3324" s="3421"/>
      <c r="AG3324" s="3421"/>
      <c r="AH3324" s="156"/>
      <c r="AI3324" s="156"/>
      <c r="AJ3324" s="156"/>
      <c r="AK3324" s="156"/>
      <c r="AL3324" s="156"/>
      <c r="AM3324" s="156"/>
      <c r="AN3324" s="156"/>
      <c r="AO3324" s="156"/>
      <c r="AP3324" s="156"/>
      <c r="AQ3324" s="156"/>
      <c r="AR3324" s="156"/>
      <c r="AS3324" s="156"/>
      <c r="AT3324" s="156"/>
      <c r="AU3324" s="156"/>
      <c r="AV3324" s="156"/>
      <c r="AW3324" s="156"/>
      <c r="AX3324" s="156"/>
      <c r="AY3324" s="156"/>
      <c r="AZ3324" s="156"/>
      <c r="BA3324" s="156"/>
      <c r="BB3324" s="2828"/>
      <c r="BC3324" s="452"/>
      <c r="BD3324" s="2829"/>
      <c r="BE3324" s="2837"/>
      <c r="BF3324" s="156"/>
    </row>
    <row r="3325" spans="1:58" ht="15" customHeight="1" outlineLevel="1" x14ac:dyDescent="0.35">
      <c r="A3325" s="1664"/>
      <c r="B3325" s="2812"/>
      <c r="C3325" s="3077"/>
      <c r="D3325" s="3980"/>
      <c r="E3325" s="3883"/>
      <c r="F3325" s="3984" t="str">
        <f>$E$1602</f>
        <v>ASHP-SEER16_ER1_MF</v>
      </c>
      <c r="G3325" s="3984"/>
      <c r="H3325" s="3984"/>
      <c r="I3325" s="3984"/>
      <c r="J3325" s="3501" t="str">
        <f>$C$1602</f>
        <v>352850_2021_12_</v>
      </c>
      <c r="K3325" s="583">
        <v>16</v>
      </c>
      <c r="L3325" s="704"/>
      <c r="M3325" s="3024" t="s">
        <v>4360</v>
      </c>
      <c r="N3325" s="106"/>
      <c r="O3325" s="106"/>
      <c r="P3325" s="702"/>
      <c r="Q3325" s="702"/>
      <c r="R3325" s="702"/>
      <c r="S3325" s="106"/>
      <c r="T3325" s="486"/>
      <c r="U3325" s="106"/>
      <c r="V3325" s="3980"/>
      <c r="W3325" s="3421">
        <v>16</v>
      </c>
      <c r="X3325" s="3421">
        <v>16</v>
      </c>
      <c r="Y3325" s="3425">
        <v>16</v>
      </c>
      <c r="Z3325" s="3425">
        <v>16</v>
      </c>
      <c r="AA3325" s="3425">
        <v>16</v>
      </c>
      <c r="AB3325" s="583">
        <v>16</v>
      </c>
      <c r="AC3325" s="2919">
        <v>16</v>
      </c>
      <c r="AD3325" s="583">
        <v>16</v>
      </c>
      <c r="AE3325" s="3429"/>
      <c r="AF3325" s="3421"/>
      <c r="AG3325" s="3421"/>
      <c r="AH3325" s="156"/>
      <c r="AI3325" s="156"/>
      <c r="AJ3325" s="156"/>
      <c r="AK3325" s="156"/>
      <c r="AL3325" s="156"/>
      <c r="AM3325" s="156"/>
      <c r="AN3325" s="156"/>
      <c r="AO3325" s="156"/>
      <c r="AP3325" s="156"/>
      <c r="AQ3325" s="156"/>
      <c r="AR3325" s="156"/>
      <c r="AS3325" s="156"/>
      <c r="AT3325" s="156"/>
      <c r="AU3325" s="156"/>
      <c r="AV3325" s="156"/>
      <c r="AW3325" s="156"/>
      <c r="AX3325" s="156"/>
      <c r="AY3325" s="156"/>
      <c r="AZ3325" s="156"/>
      <c r="BA3325" s="156"/>
      <c r="BB3325" s="2828"/>
      <c r="BC3325" s="452"/>
      <c r="BD3325" s="2829"/>
      <c r="BE3325" s="2837"/>
      <c r="BF3325" s="156"/>
    </row>
    <row r="3326" spans="1:58" ht="15" customHeight="1" outlineLevel="1" x14ac:dyDescent="0.35">
      <c r="A3326" s="1664"/>
      <c r="B3326" s="2812"/>
      <c r="C3326" s="3077"/>
      <c r="D3326" s="3980"/>
      <c r="E3326" s="3883"/>
      <c r="F3326" s="3984" t="str">
        <f>$E$1604</f>
        <v>ASHP-SEER16_ER2_MF</v>
      </c>
      <c r="G3326" s="3984"/>
      <c r="H3326" s="3984"/>
      <c r="I3326" s="3984"/>
      <c r="J3326" s="3501" t="str">
        <f>$C$1604</f>
        <v>352850_2021_12_</v>
      </c>
      <c r="K3326" s="583">
        <v>16</v>
      </c>
      <c r="L3326" s="704"/>
      <c r="M3326" s="3024" t="s">
        <v>4360</v>
      </c>
      <c r="N3326" s="106"/>
      <c r="O3326" s="106"/>
      <c r="P3326" s="702"/>
      <c r="Q3326" s="702"/>
      <c r="R3326" s="702"/>
      <c r="S3326" s="106"/>
      <c r="T3326" s="486"/>
      <c r="U3326" s="106"/>
      <c r="V3326" s="3980"/>
      <c r="W3326" s="3421">
        <v>16</v>
      </c>
      <c r="X3326" s="3421">
        <v>16</v>
      </c>
      <c r="Y3326" s="3425">
        <v>16</v>
      </c>
      <c r="Z3326" s="3425">
        <v>16</v>
      </c>
      <c r="AA3326" s="3425">
        <v>16</v>
      </c>
      <c r="AB3326" s="583">
        <v>16</v>
      </c>
      <c r="AC3326" s="2919">
        <f>AC3325</f>
        <v>16</v>
      </c>
      <c r="AD3326" s="583">
        <v>16</v>
      </c>
      <c r="AE3326" s="3429"/>
      <c r="AF3326" s="3421"/>
      <c r="AG3326" s="3421"/>
      <c r="AH3326" s="156"/>
      <c r="AI3326" s="156"/>
      <c r="AJ3326" s="156"/>
      <c r="AK3326" s="156"/>
      <c r="AL3326" s="156"/>
      <c r="AM3326" s="156"/>
      <c r="AN3326" s="156"/>
      <c r="AO3326" s="156"/>
      <c r="AP3326" s="156"/>
      <c r="AQ3326" s="156"/>
      <c r="AR3326" s="156"/>
      <c r="AS3326" s="156"/>
      <c r="AT3326" s="156"/>
      <c r="AU3326" s="156"/>
      <c r="AV3326" s="156"/>
      <c r="AW3326" s="156"/>
      <c r="AX3326" s="156"/>
      <c r="AY3326" s="156"/>
      <c r="AZ3326" s="156"/>
      <c r="BA3326" s="156"/>
      <c r="BB3326" s="2828"/>
      <c r="BC3326" s="452"/>
      <c r="BD3326" s="2829"/>
      <c r="BE3326" s="2837"/>
      <c r="BF3326" s="156"/>
    </row>
    <row r="3327" spans="1:58" ht="15" customHeight="1" outlineLevel="1" x14ac:dyDescent="0.35">
      <c r="A3327" s="1664"/>
      <c r="B3327" s="2812"/>
      <c r="C3327" s="3077"/>
      <c r="D3327" s="3980"/>
      <c r="E3327" s="3883"/>
      <c r="F3327" s="3984" t="str">
        <f>$E$1606</f>
        <v>ASHP-SEER16_ER1_MF_CompE</v>
      </c>
      <c r="G3327" s="3984"/>
      <c r="H3327" s="3984"/>
      <c r="I3327" s="3984"/>
      <c r="J3327" s="3501" t="str">
        <f>$C$1606</f>
        <v>352851_2021_12_</v>
      </c>
      <c r="K3327" s="583">
        <v>16</v>
      </c>
      <c r="L3327" s="704"/>
      <c r="M3327" s="3025" t="s">
        <v>1083</v>
      </c>
      <c r="N3327" s="106"/>
      <c r="O3327" s="106"/>
      <c r="P3327" s="702"/>
      <c r="Q3327" s="702"/>
      <c r="R3327" s="702"/>
      <c r="S3327" s="106"/>
      <c r="T3327" s="486"/>
      <c r="U3327" s="106"/>
      <c r="V3327" s="3980"/>
      <c r="W3327" s="3421"/>
      <c r="X3327" s="3421"/>
      <c r="Y3327" s="2377">
        <v>16</v>
      </c>
      <c r="Z3327" s="3425">
        <v>16</v>
      </c>
      <c r="AA3327" s="3425">
        <v>16</v>
      </c>
      <c r="AB3327" s="583">
        <v>16</v>
      </c>
      <c r="AC3327" s="2920">
        <v>16</v>
      </c>
      <c r="AD3327" s="583">
        <v>16</v>
      </c>
      <c r="AE3327" s="3429"/>
      <c r="AF3327" s="3421"/>
      <c r="AG3327" s="3421"/>
      <c r="AH3327" s="156"/>
      <c r="AI3327" s="156"/>
      <c r="AJ3327" s="156"/>
      <c r="AK3327" s="156"/>
      <c r="AL3327" s="156"/>
      <c r="AM3327" s="156"/>
      <c r="AN3327" s="156"/>
      <c r="AO3327" s="156"/>
      <c r="AP3327" s="156"/>
      <c r="AQ3327" s="156"/>
      <c r="AR3327" s="156"/>
      <c r="AS3327" s="156"/>
      <c r="AT3327" s="156"/>
      <c r="AU3327" s="156"/>
      <c r="AV3327" s="156"/>
      <c r="AW3327" s="156"/>
      <c r="AX3327" s="156"/>
      <c r="AY3327" s="156"/>
      <c r="AZ3327" s="156"/>
      <c r="BA3327" s="156"/>
      <c r="BB3327" s="2828"/>
      <c r="BC3327" s="452"/>
      <c r="BD3327" s="2829"/>
      <c r="BE3327" s="2837"/>
      <c r="BF3327" s="156"/>
    </row>
    <row r="3328" spans="1:58" ht="15" customHeight="1" outlineLevel="1" x14ac:dyDescent="0.35">
      <c r="A3328" s="1664"/>
      <c r="B3328" s="2812"/>
      <c r="C3328" s="3077"/>
      <c r="D3328" s="3980"/>
      <c r="E3328" s="3883"/>
      <c r="F3328" s="3984" t="str">
        <f>$E$1608</f>
        <v>ASHP-SEER16_ER2_MF_CompE</v>
      </c>
      <c r="G3328" s="3984"/>
      <c r="H3328" s="3984"/>
      <c r="I3328" s="3984"/>
      <c r="J3328" s="3501" t="str">
        <f>$C$1608</f>
        <v>352851_2021_12_</v>
      </c>
      <c r="K3328" s="583">
        <v>16</v>
      </c>
      <c r="L3328" s="704"/>
      <c r="M3328" s="3025" t="s">
        <v>1083</v>
      </c>
      <c r="N3328" s="106"/>
      <c r="O3328" s="106"/>
      <c r="P3328" s="702"/>
      <c r="Q3328" s="702"/>
      <c r="R3328" s="702"/>
      <c r="S3328" s="106"/>
      <c r="T3328" s="486"/>
      <c r="U3328" s="106"/>
      <c r="V3328" s="3980"/>
      <c r="W3328" s="3421"/>
      <c r="X3328" s="3421"/>
      <c r="Y3328" s="2377">
        <v>16</v>
      </c>
      <c r="Z3328" s="3425">
        <v>16</v>
      </c>
      <c r="AA3328" s="3425">
        <v>16</v>
      </c>
      <c r="AB3328" s="583">
        <v>16</v>
      </c>
      <c r="AC3328" s="2920">
        <v>16</v>
      </c>
      <c r="AD3328" s="583">
        <v>16</v>
      </c>
      <c r="AE3328" s="3429"/>
      <c r="AF3328" s="3421"/>
      <c r="AG3328" s="3421"/>
      <c r="AH3328" s="156"/>
      <c r="AI3328" s="156"/>
      <c r="AJ3328" s="156"/>
      <c r="AK3328" s="156"/>
      <c r="AL3328" s="156"/>
      <c r="AM3328" s="156"/>
      <c r="AN3328" s="156"/>
      <c r="AO3328" s="156"/>
      <c r="AP3328" s="156"/>
      <c r="AQ3328" s="156"/>
      <c r="AR3328" s="156"/>
      <c r="AS3328" s="156"/>
      <c r="AT3328" s="156"/>
      <c r="AU3328" s="156"/>
      <c r="AV3328" s="156"/>
      <c r="AW3328" s="156"/>
      <c r="AX3328" s="156"/>
      <c r="AY3328" s="156"/>
      <c r="AZ3328" s="156"/>
      <c r="BA3328" s="156"/>
      <c r="BB3328" s="2828"/>
      <c r="BC3328" s="452"/>
      <c r="BD3328" s="2829"/>
      <c r="BE3328" s="2837"/>
      <c r="BF3328" s="156"/>
    </row>
    <row r="3329" spans="1:58" ht="15" customHeight="1" outlineLevel="1" x14ac:dyDescent="0.35">
      <c r="A3329" s="1664"/>
      <c r="B3329" s="2812"/>
      <c r="C3329" s="3077"/>
      <c r="D3329" s="3980"/>
      <c r="E3329" s="3883"/>
      <c r="F3329" s="3984" t="str">
        <f>$E$1610</f>
        <v>ASHP-SEER16_ROF_MF</v>
      </c>
      <c r="G3329" s="3984"/>
      <c r="H3329" s="3984"/>
      <c r="I3329" s="3984"/>
      <c r="J3329" s="3501" t="str">
        <f>$C$1610</f>
        <v>352900_2021_12_</v>
      </c>
      <c r="K3329" s="583">
        <v>16</v>
      </c>
      <c r="L3329" s="704"/>
      <c r="M3329" s="3024" t="s">
        <v>4360</v>
      </c>
      <c r="N3329" s="106"/>
      <c r="O3329" s="106"/>
      <c r="P3329" s="702"/>
      <c r="Q3329" s="702"/>
      <c r="R3329" s="702"/>
      <c r="S3329" s="106"/>
      <c r="T3329" s="486"/>
      <c r="U3329" s="106"/>
      <c r="V3329" s="3980"/>
      <c r="W3329" s="3421">
        <v>16</v>
      </c>
      <c r="X3329" s="3421">
        <v>16</v>
      </c>
      <c r="Y3329" s="3425">
        <v>16</v>
      </c>
      <c r="Z3329" s="3425">
        <v>16</v>
      </c>
      <c r="AA3329" s="3425">
        <v>16</v>
      </c>
      <c r="AB3329" s="583">
        <v>16</v>
      </c>
      <c r="AC3329" s="2919">
        <v>16</v>
      </c>
      <c r="AD3329" s="583">
        <v>16</v>
      </c>
      <c r="AE3329" s="3429"/>
      <c r="AF3329" s="3421"/>
      <c r="AG3329" s="3421"/>
      <c r="AH3329" s="156"/>
      <c r="AI3329" s="156"/>
      <c r="AJ3329" s="156"/>
      <c r="AK3329" s="156"/>
      <c r="AL3329" s="156"/>
      <c r="AM3329" s="156"/>
      <c r="AN3329" s="156"/>
      <c r="AO3329" s="156"/>
      <c r="AP3329" s="156"/>
      <c r="AQ3329" s="156"/>
      <c r="AR3329" s="156"/>
      <c r="AS3329" s="156"/>
      <c r="AT3329" s="156"/>
      <c r="AU3329" s="156"/>
      <c r="AV3329" s="156"/>
      <c r="AW3329" s="156"/>
      <c r="AX3329" s="156"/>
      <c r="AY3329" s="156"/>
      <c r="AZ3329" s="156"/>
      <c r="BA3329" s="156"/>
      <c r="BB3329" s="2828"/>
      <c r="BC3329" s="452"/>
      <c r="BD3329" s="2829"/>
      <c r="BE3329" s="2837"/>
      <c r="BF3329" s="156"/>
    </row>
    <row r="3330" spans="1:58" ht="15" customHeight="1" outlineLevel="1" x14ac:dyDescent="0.35">
      <c r="A3330" s="1664"/>
      <c r="B3330" s="2812"/>
      <c r="C3330" s="3077"/>
      <c r="D3330" s="3980"/>
      <c r="E3330" s="3883"/>
      <c r="F3330" s="3984" t="str">
        <f>$E$1612</f>
        <v>ASHP-SEER16_ROF_MF_CompE</v>
      </c>
      <c r="G3330" s="3984"/>
      <c r="H3330" s="3984"/>
      <c r="I3330" s="3984"/>
      <c r="J3330" s="3501" t="str">
        <f>$C$1612</f>
        <v>352901_2021_12_</v>
      </c>
      <c r="K3330" s="583">
        <v>16</v>
      </c>
      <c r="L3330" s="704"/>
      <c r="M3330" s="3025" t="s">
        <v>1083</v>
      </c>
      <c r="N3330" s="106"/>
      <c r="O3330" s="106"/>
      <c r="P3330" s="702"/>
      <c r="Q3330" s="702"/>
      <c r="R3330" s="702"/>
      <c r="S3330" s="106"/>
      <c r="T3330" s="486"/>
      <c r="U3330" s="106"/>
      <c r="V3330" s="3980"/>
      <c r="W3330" s="3421"/>
      <c r="X3330" s="3421"/>
      <c r="Y3330" s="2377">
        <v>16</v>
      </c>
      <c r="Z3330" s="3425">
        <v>16</v>
      </c>
      <c r="AA3330" s="3425">
        <v>16</v>
      </c>
      <c r="AB3330" s="583">
        <v>16</v>
      </c>
      <c r="AC3330" s="2920">
        <v>16</v>
      </c>
      <c r="AD3330" s="583">
        <v>16</v>
      </c>
      <c r="AE3330" s="3429"/>
      <c r="AF3330" s="3421"/>
      <c r="AG3330" s="3421"/>
      <c r="AH3330" s="156"/>
      <c r="AI3330" s="156"/>
      <c r="AJ3330" s="156"/>
      <c r="AK3330" s="156"/>
      <c r="AL3330" s="156"/>
      <c r="AM3330" s="156"/>
      <c r="AN3330" s="156"/>
      <c r="AO3330" s="156"/>
      <c r="AP3330" s="156"/>
      <c r="AQ3330" s="156"/>
      <c r="AR3330" s="156"/>
      <c r="AS3330" s="156"/>
      <c r="AT3330" s="156"/>
      <c r="AU3330" s="156"/>
      <c r="AV3330" s="156"/>
      <c r="AW3330" s="156"/>
      <c r="AX3330" s="156"/>
      <c r="AY3330" s="156"/>
      <c r="AZ3330" s="156"/>
      <c r="BA3330" s="156"/>
      <c r="BB3330" s="2828"/>
      <c r="BC3330" s="452"/>
      <c r="BD3330" s="2829"/>
      <c r="BE3330" s="2837"/>
      <c r="BF3330" s="156"/>
    </row>
    <row r="3331" spans="1:58" ht="15" customHeight="1" outlineLevel="1" x14ac:dyDescent="0.35">
      <c r="A3331" s="1664"/>
      <c r="B3331" s="2812"/>
      <c r="C3331" s="3077"/>
      <c r="D3331" s="3980"/>
      <c r="E3331" s="3883"/>
      <c r="F3331" s="3984" t="str">
        <f>$E$1614</f>
        <v>ASHP-SEER16-Replace_CAC_ElectricHeat_ROF_MF</v>
      </c>
      <c r="G3331" s="3984"/>
      <c r="H3331" s="3984"/>
      <c r="I3331" s="3984"/>
      <c r="J3331" s="3501" t="str">
        <f>$C$1614</f>
        <v>352950_2019_12_</v>
      </c>
      <c r="K3331" s="3050">
        <v>16</v>
      </c>
      <c r="L3331" s="704"/>
      <c r="M3331" s="3024" t="s">
        <v>4360</v>
      </c>
      <c r="N3331" s="106"/>
      <c r="O3331" s="106"/>
      <c r="P3331" s="702"/>
      <c r="Q3331" s="702"/>
      <c r="R3331" s="702"/>
      <c r="S3331" s="106"/>
      <c r="T3331" s="486"/>
      <c r="U3331" s="106"/>
      <c r="V3331" s="3980"/>
      <c r="W3331" s="3421">
        <v>16</v>
      </c>
      <c r="X3331" s="3421">
        <v>16</v>
      </c>
      <c r="Y3331" s="3425">
        <v>16</v>
      </c>
      <c r="Z3331" s="3425">
        <v>16</v>
      </c>
      <c r="AA3331" s="3425">
        <v>16</v>
      </c>
      <c r="AB3331" s="584">
        <v>17</v>
      </c>
      <c r="AC3331" s="2920">
        <v>17</v>
      </c>
      <c r="AD3331" s="3050">
        <v>16</v>
      </c>
      <c r="AE3331" s="3429"/>
      <c r="AF3331" s="3421"/>
      <c r="AG3331" s="3421"/>
      <c r="AH3331" s="156"/>
      <c r="AI3331" s="156"/>
      <c r="AJ3331" s="156"/>
      <c r="AK3331" s="156"/>
      <c r="AL3331" s="156"/>
      <c r="AM3331" s="156"/>
      <c r="AN3331" s="156"/>
      <c r="AO3331" s="156"/>
      <c r="AP3331" s="156"/>
      <c r="AQ3331" s="156"/>
      <c r="AR3331" s="156"/>
      <c r="AS3331" s="156"/>
      <c r="AT3331" s="156"/>
      <c r="AU3331" s="156"/>
      <c r="AV3331" s="156"/>
      <c r="AW3331" s="156"/>
      <c r="AX3331" s="156"/>
      <c r="AY3331" s="156"/>
      <c r="AZ3331" s="156"/>
      <c r="BA3331" s="156"/>
      <c r="BB3331" s="2828"/>
      <c r="BC3331" s="452"/>
      <c r="BD3331" s="2829"/>
      <c r="BE3331" s="2837"/>
      <c r="BF3331" s="156"/>
    </row>
    <row r="3332" spans="1:58" ht="15" customHeight="1" outlineLevel="1" x14ac:dyDescent="0.35">
      <c r="A3332" s="1664"/>
      <c r="B3332" s="2812"/>
      <c r="C3332" s="3077"/>
      <c r="D3332" s="3980"/>
      <c r="E3332" s="3883"/>
      <c r="F3332" s="3984" t="str">
        <f>$E$1616</f>
        <v>ASHP-SEER16-Replace_CAC_ElectricHeat_ROF_MF_CompE</v>
      </c>
      <c r="G3332" s="3984"/>
      <c r="H3332" s="3984"/>
      <c r="I3332" s="3984"/>
      <c r="J3332" s="3501" t="str">
        <f>$C$1616</f>
        <v>352951_2019_12_</v>
      </c>
      <c r="K3332" s="3050">
        <v>16</v>
      </c>
      <c r="L3332" s="704"/>
      <c r="M3332" s="3025" t="s">
        <v>1083</v>
      </c>
      <c r="N3332" s="106"/>
      <c r="O3332" s="106"/>
      <c r="P3332" s="702"/>
      <c r="Q3332" s="702"/>
      <c r="R3332" s="702"/>
      <c r="S3332" s="106"/>
      <c r="T3332" s="486"/>
      <c r="U3332" s="106"/>
      <c r="V3332" s="3980"/>
      <c r="W3332" s="3421"/>
      <c r="X3332" s="3421"/>
      <c r="Y3332" s="2377">
        <v>16</v>
      </c>
      <c r="Z3332" s="3425">
        <v>16</v>
      </c>
      <c r="AA3332" s="3425">
        <v>16</v>
      </c>
      <c r="AB3332" s="584">
        <v>17</v>
      </c>
      <c r="AC3332" s="2920">
        <f>AC3331</f>
        <v>17</v>
      </c>
      <c r="AD3332" s="3050">
        <v>16</v>
      </c>
      <c r="AE3332" s="3429"/>
      <c r="AF3332" s="3421"/>
      <c r="AG3332" s="3421"/>
      <c r="AH3332" s="156"/>
      <c r="AI3332" s="156"/>
      <c r="AJ3332" s="156"/>
      <c r="AK3332" s="156"/>
      <c r="AL3332" s="156"/>
      <c r="AM3332" s="156"/>
      <c r="AN3332" s="156"/>
      <c r="AO3332" s="156"/>
      <c r="AP3332" s="156"/>
      <c r="AQ3332" s="156"/>
      <c r="AR3332" s="156"/>
      <c r="AS3332" s="156"/>
      <c r="AT3332" s="156"/>
      <c r="AU3332" s="156"/>
      <c r="AV3332" s="156"/>
      <c r="AW3332" s="156"/>
      <c r="AX3332" s="156"/>
      <c r="AY3332" s="156"/>
      <c r="AZ3332" s="156"/>
      <c r="BA3332" s="156"/>
      <c r="BB3332" s="2828"/>
      <c r="BC3332" s="452"/>
      <c r="BD3332" s="2829"/>
      <c r="BE3332" s="2837"/>
      <c r="BF3332" s="156"/>
    </row>
    <row r="3333" spans="1:58" ht="15" customHeight="1" outlineLevel="1" x14ac:dyDescent="0.35">
      <c r="A3333" s="1664"/>
      <c r="B3333" s="2812"/>
      <c r="C3333" s="3077"/>
      <c r="D3333" s="3980"/>
      <c r="E3333" s="3883"/>
      <c r="F3333" s="3984" t="str">
        <f>$E$1618</f>
        <v>ASHP-SEER16-Replace_CAC_NonElectricHeat_ROF_MF</v>
      </c>
      <c r="G3333" s="3984"/>
      <c r="H3333" s="3984"/>
      <c r="I3333" s="3984"/>
      <c r="J3333" s="3501" t="str">
        <f>$C$1618</f>
        <v>352960_2021_12_</v>
      </c>
      <c r="K3333" s="3050">
        <v>16</v>
      </c>
      <c r="L3333" s="704"/>
      <c r="M3333" s="3025" t="s">
        <v>1083</v>
      </c>
      <c r="N3333" s="106"/>
      <c r="O3333" s="106"/>
      <c r="P3333" s="702"/>
      <c r="Q3333" s="702"/>
      <c r="R3333" s="702"/>
      <c r="S3333" s="106"/>
      <c r="T3333" s="486"/>
      <c r="U3333" s="106"/>
      <c r="V3333" s="3980"/>
      <c r="W3333" s="3421"/>
      <c r="X3333" s="3421"/>
      <c r="Y3333" s="2377"/>
      <c r="Z3333" s="3425"/>
      <c r="AA3333" s="3425"/>
      <c r="AB3333" s="584"/>
      <c r="AC3333" s="2919">
        <v>17</v>
      </c>
      <c r="AD3333" s="3050">
        <v>16</v>
      </c>
      <c r="AE3333" s="3429"/>
      <c r="AF3333" s="3421"/>
      <c r="AG3333" s="3421"/>
      <c r="AH3333" s="156"/>
      <c r="AI3333" s="156"/>
      <c r="AJ3333" s="156"/>
      <c r="AK3333" s="156"/>
      <c r="AL3333" s="156"/>
      <c r="AM3333" s="156"/>
      <c r="AN3333" s="156"/>
      <c r="AO3333" s="156"/>
      <c r="AP3333" s="156"/>
      <c r="AQ3333" s="156"/>
      <c r="AR3333" s="156"/>
      <c r="AS3333" s="156"/>
      <c r="AT3333" s="156"/>
      <c r="AU3333" s="156"/>
      <c r="AV3333" s="156"/>
      <c r="AW3333" s="156"/>
      <c r="AX3333" s="156"/>
      <c r="AY3333" s="156"/>
      <c r="AZ3333" s="156"/>
      <c r="BA3333" s="156"/>
      <c r="BB3333" s="2828"/>
      <c r="BC3333" s="452"/>
      <c r="BD3333" s="2829"/>
      <c r="BE3333" s="2837"/>
      <c r="BF3333" s="156"/>
    </row>
    <row r="3334" spans="1:58" ht="15" customHeight="1" outlineLevel="1" x14ac:dyDescent="0.35">
      <c r="A3334" s="1664"/>
      <c r="B3334" s="2812"/>
      <c r="C3334" s="3077"/>
      <c r="D3334" s="3980"/>
      <c r="E3334" s="3883"/>
      <c r="F3334" s="3984" t="str">
        <f>$E$1620</f>
        <v>ASHP-SEER16-Replace_CAC_NonElectricHeat_ROF_MF_CompE</v>
      </c>
      <c r="G3334" s="3984"/>
      <c r="H3334" s="3984"/>
      <c r="I3334" s="3984"/>
      <c r="J3334" s="3501" t="str">
        <f>$C$1620</f>
        <v>352961_2021_12_</v>
      </c>
      <c r="K3334" s="3050">
        <v>16</v>
      </c>
      <c r="L3334" s="704"/>
      <c r="M3334" s="3025" t="s">
        <v>1083</v>
      </c>
      <c r="N3334" s="106"/>
      <c r="O3334" s="106"/>
      <c r="P3334" s="702"/>
      <c r="Q3334" s="702"/>
      <c r="R3334" s="702"/>
      <c r="S3334" s="106"/>
      <c r="T3334" s="486"/>
      <c r="U3334" s="106"/>
      <c r="V3334" s="3980"/>
      <c r="W3334" s="3421"/>
      <c r="X3334" s="3421"/>
      <c r="Y3334" s="2377"/>
      <c r="Z3334" s="3425"/>
      <c r="AA3334" s="3425"/>
      <c r="AB3334" s="584"/>
      <c r="AC3334" s="2919">
        <f>AC3333</f>
        <v>17</v>
      </c>
      <c r="AD3334" s="3050">
        <v>16</v>
      </c>
      <c r="AE3334" s="3429"/>
      <c r="AF3334" s="3421"/>
      <c r="AG3334" s="3421"/>
      <c r="AH3334" s="156"/>
      <c r="AI3334" s="156"/>
      <c r="AJ3334" s="156"/>
      <c r="AK3334" s="156"/>
      <c r="AL3334" s="156"/>
      <c r="AM3334" s="156"/>
      <c r="AN3334" s="156"/>
      <c r="AO3334" s="156"/>
      <c r="AP3334" s="156"/>
      <c r="AQ3334" s="156"/>
      <c r="AR3334" s="156"/>
      <c r="AS3334" s="156"/>
      <c r="AT3334" s="156"/>
      <c r="AU3334" s="156"/>
      <c r="AV3334" s="156"/>
      <c r="AW3334" s="156"/>
      <c r="AX3334" s="156"/>
      <c r="AY3334" s="156"/>
      <c r="AZ3334" s="156"/>
      <c r="BA3334" s="156"/>
      <c r="BB3334" s="2828"/>
      <c r="BC3334" s="452"/>
      <c r="BD3334" s="2829"/>
      <c r="BE3334" s="2837"/>
      <c r="BF3334" s="156"/>
    </row>
    <row r="3335" spans="1:58" ht="15" customHeight="1" outlineLevel="1" x14ac:dyDescent="0.35">
      <c r="A3335" s="1664"/>
      <c r="B3335" s="2812"/>
      <c r="C3335" s="3077"/>
      <c r="D3335" s="3980"/>
      <c r="E3335" s="3883"/>
      <c r="F3335" s="3984" t="str">
        <f>$E$1622</f>
        <v>ASHP-SEER16-Replace_CAC_ElectricHeat_ER1_MF</v>
      </c>
      <c r="G3335" s="3984"/>
      <c r="H3335" s="3984"/>
      <c r="I3335" s="3984"/>
      <c r="J3335" s="3501" t="str">
        <f>$C$1622</f>
        <v>353000_2021_12_</v>
      </c>
      <c r="K3335" s="583">
        <v>16</v>
      </c>
      <c r="L3335" s="704"/>
      <c r="M3335" s="3024" t="s">
        <v>4360</v>
      </c>
      <c r="N3335" s="106"/>
      <c r="O3335" s="106"/>
      <c r="P3335" s="702"/>
      <c r="Q3335" s="702"/>
      <c r="R3335" s="702"/>
      <c r="S3335" s="106"/>
      <c r="T3335" s="486"/>
      <c r="U3335" s="106"/>
      <c r="V3335" s="3980"/>
      <c r="W3335" s="3421">
        <v>16</v>
      </c>
      <c r="X3335" s="3421">
        <v>16</v>
      </c>
      <c r="Y3335" s="3425">
        <v>16</v>
      </c>
      <c r="Z3335" s="3425">
        <v>16</v>
      </c>
      <c r="AA3335" s="3425">
        <v>16</v>
      </c>
      <c r="AB3335" s="584">
        <v>16.5</v>
      </c>
      <c r="AC3335" s="2919">
        <v>16</v>
      </c>
      <c r="AD3335" s="583">
        <v>16</v>
      </c>
      <c r="AE3335" s="3429"/>
      <c r="AF3335" s="3421"/>
      <c r="AG3335" s="3421"/>
      <c r="AH3335" s="156"/>
      <c r="AI3335" s="156"/>
      <c r="AJ3335" s="156"/>
      <c r="AK3335" s="156"/>
      <c r="AL3335" s="156"/>
      <c r="AM3335" s="156"/>
      <c r="AN3335" s="156"/>
      <c r="AO3335" s="156"/>
      <c r="AP3335" s="156"/>
      <c r="AQ3335" s="156"/>
      <c r="AR3335" s="156"/>
      <c r="AS3335" s="156"/>
      <c r="AT3335" s="156"/>
      <c r="AU3335" s="156"/>
      <c r="AV3335" s="156"/>
      <c r="AW3335" s="156"/>
      <c r="AX3335" s="156"/>
      <c r="AY3335" s="156"/>
      <c r="AZ3335" s="156"/>
      <c r="BA3335" s="156"/>
      <c r="BB3335" s="2828"/>
      <c r="BC3335" s="452"/>
      <c r="BD3335" s="2829"/>
      <c r="BE3335" s="2837"/>
      <c r="BF3335" s="156"/>
    </row>
    <row r="3336" spans="1:58" ht="15" customHeight="1" outlineLevel="1" x14ac:dyDescent="0.35">
      <c r="A3336" s="1664"/>
      <c r="B3336" s="2812"/>
      <c r="C3336" s="3077"/>
      <c r="D3336" s="3980"/>
      <c r="E3336" s="3883"/>
      <c r="F3336" s="3984" t="str">
        <f>$E$1624</f>
        <v>ASHP-SEER16-Replace_CAC_ElectricHeat_ER2_MF</v>
      </c>
      <c r="G3336" s="3984"/>
      <c r="H3336" s="3984"/>
      <c r="I3336" s="3984"/>
      <c r="J3336" s="3501" t="str">
        <f>$C$1624</f>
        <v>353000_2021_12_</v>
      </c>
      <c r="K3336" s="583">
        <v>16</v>
      </c>
      <c r="L3336" s="704"/>
      <c r="M3336" s="3024" t="s">
        <v>4360</v>
      </c>
      <c r="N3336" s="106"/>
      <c r="O3336" s="106"/>
      <c r="P3336" s="702"/>
      <c r="Q3336" s="702"/>
      <c r="R3336" s="702"/>
      <c r="S3336" s="106"/>
      <c r="T3336" s="486"/>
      <c r="U3336" s="106"/>
      <c r="V3336" s="3980"/>
      <c r="W3336" s="3421">
        <v>16</v>
      </c>
      <c r="X3336" s="3421">
        <v>16</v>
      </c>
      <c r="Y3336" s="3425">
        <v>16</v>
      </c>
      <c r="Z3336" s="3425">
        <v>16</v>
      </c>
      <c r="AA3336" s="3425">
        <v>16</v>
      </c>
      <c r="AB3336" s="584">
        <v>16.5</v>
      </c>
      <c r="AC3336" s="2919">
        <f>AC3335</f>
        <v>16</v>
      </c>
      <c r="AD3336" s="583">
        <v>16</v>
      </c>
      <c r="AE3336" s="3429"/>
      <c r="AF3336" s="3421"/>
      <c r="AG3336" s="3421"/>
      <c r="AH3336" s="156"/>
      <c r="AI3336" s="156"/>
      <c r="AJ3336" s="156"/>
      <c r="AK3336" s="156"/>
      <c r="AL3336" s="156"/>
      <c r="AM3336" s="156"/>
      <c r="AN3336" s="156"/>
      <c r="AO3336" s="156"/>
      <c r="AP3336" s="156"/>
      <c r="AQ3336" s="156"/>
      <c r="AR3336" s="156"/>
      <c r="AS3336" s="156"/>
      <c r="AT3336" s="156"/>
      <c r="AU3336" s="156"/>
      <c r="AV3336" s="156"/>
      <c r="AW3336" s="156"/>
      <c r="AX3336" s="156"/>
      <c r="AY3336" s="156"/>
      <c r="AZ3336" s="156"/>
      <c r="BA3336" s="156"/>
      <c r="BB3336" s="2828"/>
      <c r="BC3336" s="452"/>
      <c r="BD3336" s="2829"/>
      <c r="BE3336" s="2837"/>
      <c r="BF3336" s="156"/>
    </row>
    <row r="3337" spans="1:58" ht="15" customHeight="1" outlineLevel="1" x14ac:dyDescent="0.35">
      <c r="A3337" s="1664"/>
      <c r="B3337" s="2812"/>
      <c r="C3337" s="3077"/>
      <c r="D3337" s="3980"/>
      <c r="E3337" s="3883"/>
      <c r="F3337" s="3984" t="str">
        <f>$E$1626</f>
        <v>ASHP-SEER16-Replace_CAC_ElectricHeat_ER1_MF_CompE</v>
      </c>
      <c r="G3337" s="3984"/>
      <c r="H3337" s="3984"/>
      <c r="I3337" s="3984"/>
      <c r="J3337" s="3501" t="str">
        <f>$C$1626</f>
        <v>353001_2021_12_</v>
      </c>
      <c r="K3337" s="583">
        <v>16</v>
      </c>
      <c r="L3337" s="704"/>
      <c r="M3337" s="3025" t="s">
        <v>1083</v>
      </c>
      <c r="N3337" s="106"/>
      <c r="O3337" s="106"/>
      <c r="P3337" s="702"/>
      <c r="Q3337" s="702"/>
      <c r="R3337" s="702"/>
      <c r="S3337" s="106"/>
      <c r="T3337" s="486"/>
      <c r="U3337" s="106"/>
      <c r="V3337" s="3980"/>
      <c r="W3337" s="3421"/>
      <c r="X3337" s="3421"/>
      <c r="Y3337" s="2377">
        <v>16</v>
      </c>
      <c r="Z3337" s="3425">
        <v>16</v>
      </c>
      <c r="AA3337" s="3425">
        <v>16</v>
      </c>
      <c r="AB3337" s="584">
        <v>16.5</v>
      </c>
      <c r="AC3337" s="2920">
        <f>AC3336</f>
        <v>16</v>
      </c>
      <c r="AD3337" s="583">
        <v>16</v>
      </c>
      <c r="AE3337" s="3429"/>
      <c r="AF3337" s="3421"/>
      <c r="AG3337" s="3421"/>
      <c r="AH3337" s="156"/>
      <c r="AI3337" s="156"/>
      <c r="AJ3337" s="156"/>
      <c r="AK3337" s="156"/>
      <c r="AL3337" s="156"/>
      <c r="AM3337" s="156"/>
      <c r="AN3337" s="156"/>
      <c r="AO3337" s="156"/>
      <c r="AP3337" s="156"/>
      <c r="AQ3337" s="156"/>
      <c r="AR3337" s="156"/>
      <c r="AS3337" s="156"/>
      <c r="AT3337" s="156"/>
      <c r="AU3337" s="156"/>
      <c r="AV3337" s="156"/>
      <c r="AW3337" s="156"/>
      <c r="AX3337" s="156"/>
      <c r="AY3337" s="156"/>
      <c r="AZ3337" s="156"/>
      <c r="BA3337" s="156"/>
      <c r="BB3337" s="2828"/>
      <c r="BC3337" s="452"/>
      <c r="BD3337" s="2829"/>
      <c r="BE3337" s="2837"/>
      <c r="BF3337" s="156"/>
    </row>
    <row r="3338" spans="1:58" ht="15" customHeight="1" outlineLevel="1" x14ac:dyDescent="0.35">
      <c r="A3338" s="1664"/>
      <c r="B3338" s="2812"/>
      <c r="C3338" s="3077"/>
      <c r="D3338" s="3980"/>
      <c r="E3338" s="3883"/>
      <c r="F3338" s="3984" t="str">
        <f>$E$1628</f>
        <v>ASHP-SEER16-Replace_CAC_ElectricHeat_ER2_MF_CompE</v>
      </c>
      <c r="G3338" s="3984"/>
      <c r="H3338" s="3984"/>
      <c r="I3338" s="3984"/>
      <c r="J3338" s="3501" t="str">
        <f>$C$1628</f>
        <v>353001_2021_12_</v>
      </c>
      <c r="K3338" s="583">
        <v>16</v>
      </c>
      <c r="L3338" s="704"/>
      <c r="M3338" s="3025" t="s">
        <v>1083</v>
      </c>
      <c r="N3338" s="106"/>
      <c r="O3338" s="106"/>
      <c r="P3338" s="702"/>
      <c r="Q3338" s="702"/>
      <c r="R3338" s="702"/>
      <c r="S3338" s="106"/>
      <c r="T3338" s="486"/>
      <c r="U3338" s="106"/>
      <c r="V3338" s="3980"/>
      <c r="W3338" s="3421"/>
      <c r="X3338" s="3421"/>
      <c r="Y3338" s="2377">
        <v>16</v>
      </c>
      <c r="Z3338" s="3425">
        <v>16</v>
      </c>
      <c r="AA3338" s="3425">
        <v>16</v>
      </c>
      <c r="AB3338" s="584">
        <v>16.5</v>
      </c>
      <c r="AC3338" s="2920">
        <f>AC3337</f>
        <v>16</v>
      </c>
      <c r="AD3338" s="583">
        <v>16</v>
      </c>
      <c r="AE3338" s="3429"/>
      <c r="AF3338" s="3421"/>
      <c r="AG3338" s="3421"/>
      <c r="AH3338" s="156"/>
      <c r="AI3338" s="156"/>
      <c r="AJ3338" s="156"/>
      <c r="AK3338" s="156"/>
      <c r="AL3338" s="156"/>
      <c r="AM3338" s="156"/>
      <c r="AN3338" s="156"/>
      <c r="AO3338" s="156"/>
      <c r="AP3338" s="156"/>
      <c r="AQ3338" s="156"/>
      <c r="AR3338" s="156"/>
      <c r="AS3338" s="156"/>
      <c r="AT3338" s="156"/>
      <c r="AU3338" s="156"/>
      <c r="AV3338" s="156"/>
      <c r="AW3338" s="156"/>
      <c r="AX3338" s="156"/>
      <c r="AY3338" s="156"/>
      <c r="AZ3338" s="156"/>
      <c r="BA3338" s="156"/>
      <c r="BB3338" s="2828"/>
      <c r="BC3338" s="452"/>
      <c r="BD3338" s="2829"/>
      <c r="BE3338" s="2837"/>
      <c r="BF3338" s="156"/>
    </row>
    <row r="3339" spans="1:58" ht="15" customHeight="1" outlineLevel="1" x14ac:dyDescent="0.35">
      <c r="A3339" s="1664"/>
      <c r="B3339" s="2812"/>
      <c r="C3339" s="3077"/>
      <c r="D3339" s="3980"/>
      <c r="E3339" s="3883"/>
      <c r="F3339" s="3984" t="str">
        <f>$E$1630</f>
        <v>ASHP-SEER16-Replace_CAC_NonElectricHeat_ER1_MF</v>
      </c>
      <c r="G3339" s="3984"/>
      <c r="H3339" s="3984"/>
      <c r="I3339" s="3984"/>
      <c r="J3339" s="3501" t="str">
        <f>$C$1630</f>
        <v>353010_2021_12_</v>
      </c>
      <c r="K3339" s="583">
        <v>16</v>
      </c>
      <c r="L3339" s="704"/>
      <c r="M3339" s="3025" t="s">
        <v>1083</v>
      </c>
      <c r="N3339" s="106"/>
      <c r="O3339" s="106"/>
      <c r="P3339" s="702"/>
      <c r="Q3339" s="702"/>
      <c r="R3339" s="702"/>
      <c r="S3339" s="106"/>
      <c r="T3339" s="486"/>
      <c r="U3339" s="106"/>
      <c r="V3339" s="3980"/>
      <c r="W3339" s="3421"/>
      <c r="X3339" s="3421"/>
      <c r="Y3339" s="2377"/>
      <c r="Z3339" s="3425"/>
      <c r="AA3339" s="3425"/>
      <c r="AB3339" s="584"/>
      <c r="AC3339" s="2919">
        <v>16</v>
      </c>
      <c r="AD3339" s="583">
        <v>16</v>
      </c>
      <c r="AE3339" s="3429"/>
      <c r="AF3339" s="3421"/>
      <c r="AG3339" s="3421"/>
      <c r="AH3339" s="156"/>
      <c r="AI3339" s="156"/>
      <c r="AJ3339" s="156"/>
      <c r="AK3339" s="156"/>
      <c r="AL3339" s="156"/>
      <c r="AM3339" s="156"/>
      <c r="AN3339" s="156"/>
      <c r="AO3339" s="156"/>
      <c r="AP3339" s="156"/>
      <c r="AQ3339" s="156"/>
      <c r="AR3339" s="156"/>
      <c r="AS3339" s="156"/>
      <c r="AT3339" s="156"/>
      <c r="AU3339" s="156"/>
      <c r="AV3339" s="156"/>
      <c r="AW3339" s="156"/>
      <c r="AX3339" s="156"/>
      <c r="AY3339" s="156"/>
      <c r="AZ3339" s="156"/>
      <c r="BA3339" s="156"/>
      <c r="BB3339" s="2828"/>
      <c r="BC3339" s="452"/>
      <c r="BD3339" s="2829"/>
      <c r="BE3339" s="2837"/>
      <c r="BF3339" s="156"/>
    </row>
    <row r="3340" spans="1:58" ht="15" customHeight="1" outlineLevel="1" x14ac:dyDescent="0.35">
      <c r="A3340" s="1664"/>
      <c r="B3340" s="2812"/>
      <c r="C3340" s="3077"/>
      <c r="D3340" s="3980"/>
      <c r="E3340" s="3883"/>
      <c r="F3340" s="3984" t="str">
        <f>$E$1632</f>
        <v>ASHP-SEER16-Replace_CAC_NonElectricHeat_ER2_MF</v>
      </c>
      <c r="G3340" s="3984"/>
      <c r="H3340" s="3984"/>
      <c r="I3340" s="3984"/>
      <c r="J3340" s="3501" t="str">
        <f>$C$1632</f>
        <v>353010_2021_12_</v>
      </c>
      <c r="K3340" s="583">
        <v>16</v>
      </c>
      <c r="L3340" s="704"/>
      <c r="M3340" s="3025" t="s">
        <v>1083</v>
      </c>
      <c r="N3340" s="106"/>
      <c r="O3340" s="106"/>
      <c r="P3340" s="702"/>
      <c r="Q3340" s="702"/>
      <c r="R3340" s="702"/>
      <c r="S3340" s="106"/>
      <c r="T3340" s="486"/>
      <c r="U3340" s="106"/>
      <c r="V3340" s="3980"/>
      <c r="W3340" s="3421"/>
      <c r="X3340" s="3421"/>
      <c r="Y3340" s="2377"/>
      <c r="Z3340" s="3425"/>
      <c r="AA3340" s="3425"/>
      <c r="AB3340" s="584"/>
      <c r="AC3340" s="2919">
        <f>AC3339</f>
        <v>16</v>
      </c>
      <c r="AD3340" s="583">
        <v>16</v>
      </c>
      <c r="AE3340" s="3429"/>
      <c r="AF3340" s="3421"/>
      <c r="AG3340" s="3421"/>
      <c r="AH3340" s="156"/>
      <c r="AI3340" s="156"/>
      <c r="AJ3340" s="156"/>
      <c r="AK3340" s="156"/>
      <c r="AL3340" s="156"/>
      <c r="AM3340" s="156"/>
      <c r="AN3340" s="156"/>
      <c r="AO3340" s="156"/>
      <c r="AP3340" s="156"/>
      <c r="AQ3340" s="156"/>
      <c r="AR3340" s="156"/>
      <c r="AS3340" s="156"/>
      <c r="AT3340" s="156"/>
      <c r="AU3340" s="156"/>
      <c r="AV3340" s="156"/>
      <c r="AW3340" s="156"/>
      <c r="AX3340" s="156"/>
      <c r="AY3340" s="156"/>
      <c r="AZ3340" s="156"/>
      <c r="BA3340" s="156"/>
      <c r="BB3340" s="2828"/>
      <c r="BC3340" s="452"/>
      <c r="BD3340" s="2829"/>
      <c r="BE3340" s="2837"/>
      <c r="BF3340" s="156"/>
    </row>
    <row r="3341" spans="1:58" ht="15" customHeight="1" outlineLevel="1" x14ac:dyDescent="0.35">
      <c r="A3341" s="1664"/>
      <c r="B3341" s="2812"/>
      <c r="C3341" s="3077"/>
      <c r="D3341" s="3980"/>
      <c r="E3341" s="3883"/>
      <c r="F3341" s="3984" t="str">
        <f>$E$1634</f>
        <v>ASHP-SEER16-Replace_CAC_NonElectricHeat_ER1_MF_CompE</v>
      </c>
      <c r="G3341" s="3984"/>
      <c r="H3341" s="3984"/>
      <c r="I3341" s="3984"/>
      <c r="J3341" s="3501" t="str">
        <f>$C$1634</f>
        <v>353011_2021_12_</v>
      </c>
      <c r="K3341" s="583">
        <v>16</v>
      </c>
      <c r="L3341" s="704"/>
      <c r="M3341" s="3025" t="s">
        <v>1083</v>
      </c>
      <c r="N3341" s="106"/>
      <c r="O3341" s="106"/>
      <c r="P3341" s="702"/>
      <c r="Q3341" s="702"/>
      <c r="R3341" s="702"/>
      <c r="S3341" s="106"/>
      <c r="T3341" s="486"/>
      <c r="U3341" s="106"/>
      <c r="V3341" s="3980"/>
      <c r="W3341" s="3421"/>
      <c r="X3341" s="3421"/>
      <c r="Y3341" s="2377"/>
      <c r="Z3341" s="3425"/>
      <c r="AA3341" s="3425"/>
      <c r="AB3341" s="584"/>
      <c r="AC3341" s="2919">
        <f>AC3340</f>
        <v>16</v>
      </c>
      <c r="AD3341" s="583">
        <v>16</v>
      </c>
      <c r="AE3341" s="3429"/>
      <c r="AF3341" s="3421"/>
      <c r="AG3341" s="3421"/>
      <c r="AH3341" s="156"/>
      <c r="AI3341" s="156"/>
      <c r="AJ3341" s="156"/>
      <c r="AK3341" s="156"/>
      <c r="AL3341" s="156"/>
      <c r="AM3341" s="156"/>
      <c r="AN3341" s="156"/>
      <c r="AO3341" s="156"/>
      <c r="AP3341" s="156"/>
      <c r="AQ3341" s="156"/>
      <c r="AR3341" s="156"/>
      <c r="AS3341" s="156"/>
      <c r="AT3341" s="156"/>
      <c r="AU3341" s="156"/>
      <c r="AV3341" s="156"/>
      <c r="AW3341" s="156"/>
      <c r="AX3341" s="156"/>
      <c r="AY3341" s="156"/>
      <c r="AZ3341" s="156"/>
      <c r="BA3341" s="156"/>
      <c r="BB3341" s="2828"/>
      <c r="BC3341" s="452"/>
      <c r="BD3341" s="2829"/>
      <c r="BE3341" s="2837"/>
      <c r="BF3341" s="156"/>
    </row>
    <row r="3342" spans="1:58" ht="15" customHeight="1" outlineLevel="1" x14ac:dyDescent="0.35">
      <c r="A3342" s="1664"/>
      <c r="B3342" s="2812"/>
      <c r="C3342" s="3077"/>
      <c r="D3342" s="3980"/>
      <c r="E3342" s="3883"/>
      <c r="F3342" s="3984" t="str">
        <f>$E$1636</f>
        <v>ASHP-SEER16-Replace_CAC_NonElectricHeat_ER2_MF_CompE</v>
      </c>
      <c r="G3342" s="3984"/>
      <c r="H3342" s="3984"/>
      <c r="I3342" s="3984"/>
      <c r="J3342" s="3501" t="str">
        <f>$C$1636</f>
        <v>353011_2021_12_</v>
      </c>
      <c r="K3342" s="583">
        <v>16</v>
      </c>
      <c r="L3342" s="704"/>
      <c r="M3342" s="3025" t="s">
        <v>1083</v>
      </c>
      <c r="N3342" s="106"/>
      <c r="O3342" s="106"/>
      <c r="P3342" s="702"/>
      <c r="Q3342" s="702"/>
      <c r="R3342" s="702"/>
      <c r="S3342" s="106"/>
      <c r="T3342" s="486"/>
      <c r="U3342" s="106"/>
      <c r="V3342" s="3980"/>
      <c r="W3342" s="3421"/>
      <c r="X3342" s="3421"/>
      <c r="Y3342" s="2377"/>
      <c r="Z3342" s="3425"/>
      <c r="AA3342" s="3425"/>
      <c r="AB3342" s="584"/>
      <c r="AC3342" s="2919">
        <f>AC3341</f>
        <v>16</v>
      </c>
      <c r="AD3342" s="583">
        <v>16</v>
      </c>
      <c r="AE3342" s="3429"/>
      <c r="AF3342" s="3421"/>
      <c r="AG3342" s="3421"/>
      <c r="AH3342" s="156"/>
      <c r="AI3342" s="156"/>
      <c r="AJ3342" s="156"/>
      <c r="AK3342" s="156"/>
      <c r="AL3342" s="156"/>
      <c r="AM3342" s="156"/>
      <c r="AN3342" s="156"/>
      <c r="AO3342" s="156"/>
      <c r="AP3342" s="156"/>
      <c r="AQ3342" s="156"/>
      <c r="AR3342" s="156"/>
      <c r="AS3342" s="156"/>
      <c r="AT3342" s="156"/>
      <c r="AU3342" s="156"/>
      <c r="AV3342" s="156"/>
      <c r="AW3342" s="156"/>
      <c r="AX3342" s="156"/>
      <c r="AY3342" s="156"/>
      <c r="AZ3342" s="156"/>
      <c r="BA3342" s="156"/>
      <c r="BB3342" s="2828"/>
      <c r="BC3342" s="452"/>
      <c r="BD3342" s="2829"/>
      <c r="BE3342" s="2837"/>
      <c r="BF3342" s="156"/>
    </row>
    <row r="3343" spans="1:58" ht="15" customHeight="1" outlineLevel="1" x14ac:dyDescent="0.35">
      <c r="A3343" s="1664"/>
      <c r="B3343" s="2812"/>
      <c r="C3343" s="3077"/>
      <c r="D3343" s="3980"/>
      <c r="E3343" s="3883"/>
      <c r="F3343" s="3984" t="str">
        <f>$E$1638</f>
        <v>ASHP-SEER15_ROF_MF</v>
      </c>
      <c r="G3343" s="3984"/>
      <c r="H3343" s="3984"/>
      <c r="I3343" s="3984"/>
      <c r="J3343" s="3501" t="str">
        <f>$C$1638</f>
        <v>353050_2021_12_</v>
      </c>
      <c r="K3343" s="583">
        <v>15</v>
      </c>
      <c r="L3343" s="704"/>
      <c r="M3343" s="3024" t="s">
        <v>4360</v>
      </c>
      <c r="N3343" s="106"/>
      <c r="O3343" s="106"/>
      <c r="P3343" s="702"/>
      <c r="Q3343" s="702"/>
      <c r="R3343" s="702"/>
      <c r="S3343" s="106"/>
      <c r="T3343" s="486"/>
      <c r="U3343" s="106"/>
      <c r="V3343" s="3980"/>
      <c r="W3343" s="3421">
        <v>15.1</v>
      </c>
      <c r="X3343" s="3421">
        <v>15.1</v>
      </c>
      <c r="Y3343" s="3425">
        <v>15.1</v>
      </c>
      <c r="Z3343" s="3425">
        <v>15.1</v>
      </c>
      <c r="AA3343" s="3425">
        <v>15.1</v>
      </c>
      <c r="AB3343" s="583">
        <v>15.1</v>
      </c>
      <c r="AC3343" s="2919">
        <v>15</v>
      </c>
      <c r="AD3343" s="583">
        <v>15</v>
      </c>
      <c r="AE3343" s="3429"/>
      <c r="AF3343" s="3421"/>
      <c r="AG3343" s="3421"/>
      <c r="AH3343" s="156"/>
      <c r="AI3343" s="156"/>
      <c r="AJ3343" s="156"/>
      <c r="AK3343" s="156"/>
      <c r="AL3343" s="156"/>
      <c r="AM3343" s="156"/>
      <c r="AN3343" s="156"/>
      <c r="AO3343" s="156"/>
      <c r="AP3343" s="156"/>
      <c r="AQ3343" s="156"/>
      <c r="AR3343" s="156"/>
      <c r="AS3343" s="156"/>
      <c r="AT3343" s="156"/>
      <c r="AU3343" s="156"/>
      <c r="AV3343" s="156"/>
      <c r="AW3343" s="156"/>
      <c r="AX3343" s="156"/>
      <c r="AY3343" s="156"/>
      <c r="AZ3343" s="156"/>
      <c r="BA3343" s="156"/>
      <c r="BB3343" s="2828"/>
      <c r="BC3343" s="452"/>
      <c r="BD3343" s="2829"/>
      <c r="BE3343" s="2837"/>
      <c r="BF3343" s="156"/>
    </row>
    <row r="3344" spans="1:58" ht="15" customHeight="1" outlineLevel="1" x14ac:dyDescent="0.35">
      <c r="A3344" s="1664"/>
      <c r="B3344" s="2812"/>
      <c r="C3344" s="3077"/>
      <c r="D3344" s="3980"/>
      <c r="E3344" s="3883"/>
      <c r="F3344" s="3984" t="str">
        <f>$E$1640</f>
        <v>ASHP-SEER15_ROF_MF_CompE</v>
      </c>
      <c r="G3344" s="3984"/>
      <c r="H3344" s="3984"/>
      <c r="I3344" s="3984"/>
      <c r="J3344" s="3501" t="str">
        <f>$C$1640</f>
        <v>353051_2021_12_</v>
      </c>
      <c r="K3344" s="3050">
        <v>15</v>
      </c>
      <c r="L3344" s="704"/>
      <c r="M3344" s="2819" t="s">
        <v>4360</v>
      </c>
      <c r="N3344" s="106"/>
      <c r="O3344" s="106"/>
      <c r="P3344" s="702"/>
      <c r="Q3344" s="702"/>
      <c r="R3344" s="702"/>
      <c r="S3344" s="106"/>
      <c r="T3344" s="486"/>
      <c r="U3344" s="106"/>
      <c r="V3344" s="3980"/>
      <c r="W3344" s="3421"/>
      <c r="X3344" s="3421"/>
      <c r="Y3344" s="2377">
        <v>15.1</v>
      </c>
      <c r="Z3344" s="3425">
        <v>15.1</v>
      </c>
      <c r="AA3344" s="3425">
        <v>15.1</v>
      </c>
      <c r="AB3344" s="583">
        <v>15.1</v>
      </c>
      <c r="AC3344" s="2920">
        <v>15.1</v>
      </c>
      <c r="AD3344" s="3050">
        <v>15</v>
      </c>
      <c r="AE3344" s="3429"/>
      <c r="AF3344" s="3421"/>
      <c r="AG3344" s="3421"/>
      <c r="AH3344" s="156"/>
      <c r="AI3344" s="156"/>
      <c r="AJ3344" s="156"/>
      <c r="AK3344" s="156"/>
      <c r="AL3344" s="156"/>
      <c r="AM3344" s="156"/>
      <c r="AN3344" s="156"/>
      <c r="AO3344" s="156"/>
      <c r="AP3344" s="156"/>
      <c r="AQ3344" s="156"/>
      <c r="AR3344" s="156"/>
      <c r="AS3344" s="156"/>
      <c r="AT3344" s="156"/>
      <c r="AU3344" s="156"/>
      <c r="AV3344" s="156"/>
      <c r="AW3344" s="156"/>
      <c r="AX3344" s="156"/>
      <c r="AY3344" s="156"/>
      <c r="AZ3344" s="156"/>
      <c r="BA3344" s="156"/>
      <c r="BB3344" s="2828"/>
      <c r="BC3344" s="452"/>
      <c r="BD3344" s="2829"/>
      <c r="BE3344" s="2837"/>
      <c r="BF3344" s="156"/>
    </row>
    <row r="3345" spans="1:58" ht="15" customHeight="1" outlineLevel="1" x14ac:dyDescent="0.35">
      <c r="A3345" s="1664"/>
      <c r="B3345" s="2812"/>
      <c r="C3345" s="3077"/>
      <c r="D3345" s="3980"/>
      <c r="E3345" s="3883"/>
      <c r="F3345" s="3984" t="str">
        <f>$E$1642</f>
        <v>ASHP-SEER17-Replace_CAC_ElectricHeat_ROF_SF</v>
      </c>
      <c r="G3345" s="3984"/>
      <c r="H3345" s="3984"/>
      <c r="I3345" s="3984"/>
      <c r="J3345" s="3501" t="str">
        <f>$C$1642</f>
        <v>353100_2021_12_</v>
      </c>
      <c r="K3345" s="3050">
        <v>17.237142857142857</v>
      </c>
      <c r="L3345" s="704"/>
      <c r="M3345" s="2819" t="s">
        <v>4360</v>
      </c>
      <c r="N3345" s="106"/>
      <c r="O3345" s="106"/>
      <c r="P3345" s="702"/>
      <c r="Q3345" s="702"/>
      <c r="R3345" s="702"/>
      <c r="S3345" s="106"/>
      <c r="T3345" s="486"/>
      <c r="U3345" s="106"/>
      <c r="V3345" s="3980"/>
      <c r="W3345" s="3421">
        <v>17</v>
      </c>
      <c r="X3345" s="3421">
        <v>17</v>
      </c>
      <c r="Y3345" s="2377">
        <v>17</v>
      </c>
      <c r="Z3345" s="3425">
        <v>17</v>
      </c>
      <c r="AA3345" s="3425">
        <v>17</v>
      </c>
      <c r="AB3345" s="583">
        <v>17</v>
      </c>
      <c r="AC3345" s="2919">
        <v>17.3</v>
      </c>
      <c r="AD3345" s="3050">
        <v>17.237142857142857</v>
      </c>
      <c r="AE3345" s="3429"/>
      <c r="AF3345" s="3421"/>
      <c r="AG3345" s="3421"/>
      <c r="AH3345" s="156"/>
      <c r="AI3345" s="156"/>
      <c r="AJ3345" s="156"/>
      <c r="AK3345" s="156"/>
      <c r="AL3345" s="156"/>
      <c r="AM3345" s="156"/>
      <c r="AN3345" s="156"/>
      <c r="AO3345" s="156"/>
      <c r="AP3345" s="156"/>
      <c r="AQ3345" s="156"/>
      <c r="AR3345" s="156"/>
      <c r="AS3345" s="156"/>
      <c r="AT3345" s="156"/>
      <c r="AU3345" s="156"/>
      <c r="AV3345" s="156"/>
      <c r="AW3345" s="156"/>
      <c r="AX3345" s="156"/>
      <c r="AY3345" s="156"/>
      <c r="AZ3345" s="156"/>
      <c r="BA3345" s="156"/>
      <c r="BB3345" s="2828"/>
      <c r="BC3345" s="452"/>
      <c r="BD3345" s="2829"/>
      <c r="BE3345" s="2837"/>
      <c r="BF3345" s="156"/>
    </row>
    <row r="3346" spans="1:58" s="3398" customFormat="1" ht="15" customHeight="1" outlineLevel="1" x14ac:dyDescent="0.35">
      <c r="A3346" s="1664"/>
      <c r="B3346" s="2812"/>
      <c r="C3346" s="3077"/>
      <c r="D3346" s="3980"/>
      <c r="E3346" s="3883"/>
      <c r="F3346" s="4136" t="str">
        <f>$E$1644</f>
        <v>ASHP-SEER17-Replace_CAC_NonElectricHeat_ROF_SF</v>
      </c>
      <c r="G3346" s="4136"/>
      <c r="H3346" s="4136"/>
      <c r="I3346" s="4136"/>
      <c r="J3346" s="3502" t="str">
        <f>$C$1644</f>
        <v>353110_2022_12_</v>
      </c>
      <c r="K3346" s="3050">
        <v>17.237142857142857</v>
      </c>
      <c r="L3346" s="704"/>
      <c r="M3346" s="2819" t="s">
        <v>1083</v>
      </c>
      <c r="P3346" s="702"/>
      <c r="Q3346" s="702"/>
      <c r="R3346" s="702"/>
      <c r="T3346" s="3397"/>
      <c r="V3346" s="3980"/>
      <c r="W3346" s="3421"/>
      <c r="X3346" s="3421"/>
      <c r="Y3346" s="3425"/>
      <c r="Z3346" s="3425"/>
      <c r="AA3346" s="3425"/>
      <c r="AB3346" s="583"/>
      <c r="AC3346" s="2920"/>
      <c r="AD3346" s="3050">
        <v>17.237142857142857</v>
      </c>
      <c r="AE3346" s="3429"/>
      <c r="AF3346" s="3421"/>
      <c r="AG3346" s="3421"/>
      <c r="AH3346" s="156"/>
      <c r="AI3346" s="156"/>
      <c r="AJ3346" s="156"/>
      <c r="AK3346" s="156"/>
      <c r="AL3346" s="156"/>
      <c r="AM3346" s="156"/>
      <c r="AN3346" s="156"/>
      <c r="AO3346" s="156"/>
      <c r="AP3346" s="156"/>
      <c r="AQ3346" s="156"/>
      <c r="AR3346" s="156"/>
      <c r="AS3346" s="156"/>
      <c r="AT3346" s="156"/>
      <c r="AU3346" s="156"/>
      <c r="AV3346" s="156"/>
      <c r="AW3346" s="156"/>
      <c r="AX3346" s="156"/>
      <c r="AY3346" s="156"/>
      <c r="AZ3346" s="156"/>
      <c r="BA3346" s="156"/>
      <c r="BB3346" s="2828"/>
      <c r="BC3346" s="452"/>
      <c r="BD3346" s="2829"/>
      <c r="BE3346" s="2837"/>
      <c r="BF3346" s="156"/>
    </row>
    <row r="3347" spans="1:58" ht="15" customHeight="1" outlineLevel="1" x14ac:dyDescent="0.35">
      <c r="A3347" s="1664"/>
      <c r="B3347" s="2812"/>
      <c r="C3347" s="3077"/>
      <c r="D3347" s="3980"/>
      <c r="E3347" s="3883"/>
      <c r="F3347" s="3984" t="str">
        <f>$E$1646</f>
        <v>ASHP-SEER17-Replace_CAC_ElectricHeat_ROF_MF</v>
      </c>
      <c r="G3347" s="3984"/>
      <c r="H3347" s="3984"/>
      <c r="I3347" s="3984"/>
      <c r="J3347" s="3501" t="str">
        <f>$C$1646</f>
        <v>353150_2019_12_</v>
      </c>
      <c r="K3347" s="583">
        <v>17</v>
      </c>
      <c r="L3347" s="704"/>
      <c r="M3347" s="3025" t="s">
        <v>1514</v>
      </c>
      <c r="N3347" s="106"/>
      <c r="O3347" s="106"/>
      <c r="P3347" s="702"/>
      <c r="Q3347" s="702"/>
      <c r="R3347" s="702"/>
      <c r="S3347" s="106"/>
      <c r="T3347" s="486"/>
      <c r="U3347" s="106"/>
      <c r="V3347" s="3980"/>
      <c r="W3347" s="3421">
        <v>17</v>
      </c>
      <c r="X3347" s="3421">
        <v>17</v>
      </c>
      <c r="Y3347" s="2377">
        <v>17</v>
      </c>
      <c r="Z3347" s="3425">
        <v>17</v>
      </c>
      <c r="AA3347" s="3425">
        <v>17</v>
      </c>
      <c r="AB3347" s="583">
        <v>17</v>
      </c>
      <c r="AC3347" s="2920">
        <v>17</v>
      </c>
      <c r="AD3347" s="583">
        <v>17</v>
      </c>
      <c r="AE3347" s="3429"/>
      <c r="AF3347" s="3421"/>
      <c r="AG3347" s="3421"/>
      <c r="AH3347" s="156"/>
      <c r="AI3347" s="156"/>
      <c r="AJ3347" s="156"/>
      <c r="AK3347" s="156"/>
      <c r="AL3347" s="156"/>
      <c r="AM3347" s="156"/>
      <c r="AN3347" s="156"/>
      <c r="AO3347" s="156"/>
      <c r="AP3347" s="156"/>
      <c r="AQ3347" s="156"/>
      <c r="AR3347" s="156"/>
      <c r="AS3347" s="156"/>
      <c r="AT3347" s="156"/>
      <c r="AU3347" s="156"/>
      <c r="AV3347" s="156"/>
      <c r="AW3347" s="156"/>
      <c r="AX3347" s="156"/>
      <c r="AY3347" s="156"/>
      <c r="AZ3347" s="156"/>
      <c r="BA3347" s="156"/>
      <c r="BB3347" s="2828"/>
      <c r="BC3347" s="452"/>
      <c r="BD3347" s="2829"/>
      <c r="BE3347" s="2837"/>
      <c r="BF3347" s="156"/>
    </row>
    <row r="3348" spans="1:58" ht="15" customHeight="1" outlineLevel="1" x14ac:dyDescent="0.35">
      <c r="A3348" s="1664"/>
      <c r="B3348" s="2812"/>
      <c r="C3348" s="3077"/>
      <c r="D3348" s="3980"/>
      <c r="E3348" s="3883"/>
      <c r="F3348" s="3984" t="str">
        <f>$E$1648</f>
        <v>ASHP-SEER17-Replace_CAC_ElectricHeat_ROF_MF_CompE</v>
      </c>
      <c r="G3348" s="3984"/>
      <c r="H3348" s="3984"/>
      <c r="I3348" s="3984"/>
      <c r="J3348" s="3501" t="str">
        <f>$C$1648</f>
        <v>353151_2019_12_</v>
      </c>
      <c r="K3348" s="583">
        <v>17</v>
      </c>
      <c r="L3348" s="704"/>
      <c r="M3348" s="3025" t="s">
        <v>1083</v>
      </c>
      <c r="N3348" s="106"/>
      <c r="O3348" s="106"/>
      <c r="P3348" s="702"/>
      <c r="Q3348" s="702"/>
      <c r="R3348" s="702"/>
      <c r="S3348" s="106"/>
      <c r="T3348" s="486"/>
      <c r="U3348" s="106"/>
      <c r="V3348" s="3980"/>
      <c r="W3348" s="3421"/>
      <c r="X3348" s="3421"/>
      <c r="Y3348" s="2377">
        <v>17</v>
      </c>
      <c r="Z3348" s="3425">
        <v>17</v>
      </c>
      <c r="AA3348" s="3425">
        <v>17</v>
      </c>
      <c r="AB3348" s="583">
        <v>17</v>
      </c>
      <c r="AC3348" s="2920">
        <v>17</v>
      </c>
      <c r="AD3348" s="583">
        <v>17</v>
      </c>
      <c r="AE3348" s="3429"/>
      <c r="AF3348" s="3421"/>
      <c r="AG3348" s="3421"/>
      <c r="AH3348" s="156"/>
      <c r="AI3348" s="156"/>
      <c r="AJ3348" s="156"/>
      <c r="AK3348" s="156"/>
      <c r="AL3348" s="156"/>
      <c r="AM3348" s="156"/>
      <c r="AN3348" s="156"/>
      <c r="AO3348" s="156"/>
      <c r="AP3348" s="156"/>
      <c r="AQ3348" s="156"/>
      <c r="AR3348" s="156"/>
      <c r="AS3348" s="156"/>
      <c r="AT3348" s="156"/>
      <c r="AU3348" s="156"/>
      <c r="AV3348" s="156"/>
      <c r="AW3348" s="156"/>
      <c r="AX3348" s="156"/>
      <c r="AY3348" s="156"/>
      <c r="AZ3348" s="156"/>
      <c r="BA3348" s="156"/>
      <c r="BB3348" s="2828"/>
      <c r="BC3348" s="452"/>
      <c r="BD3348" s="2829"/>
      <c r="BE3348" s="2837"/>
      <c r="BF3348" s="156"/>
    </row>
    <row r="3349" spans="1:58" ht="15" customHeight="1" outlineLevel="1" x14ac:dyDescent="0.35">
      <c r="A3349" s="1664"/>
      <c r="B3349" s="2812"/>
      <c r="C3349" s="3077"/>
      <c r="D3349" s="3980"/>
      <c r="E3349" s="3883"/>
      <c r="F3349" s="3984" t="str">
        <f>$E$1650</f>
        <v>ASHP-SEER17-Replace_CAC_NonElectricHeat_ROF_MF</v>
      </c>
      <c r="G3349" s="3984"/>
      <c r="H3349" s="3984"/>
      <c r="I3349" s="3984"/>
      <c r="J3349" s="3501" t="str">
        <f>$C$1650</f>
        <v>353160_2021_12_</v>
      </c>
      <c r="K3349" s="583">
        <v>17</v>
      </c>
      <c r="L3349" s="704"/>
      <c r="M3349" s="3025" t="s">
        <v>1083</v>
      </c>
      <c r="N3349" s="106"/>
      <c r="O3349" s="106"/>
      <c r="P3349" s="702"/>
      <c r="Q3349" s="702"/>
      <c r="R3349" s="702"/>
      <c r="S3349" s="106"/>
      <c r="T3349" s="486"/>
      <c r="U3349" s="106"/>
      <c r="V3349" s="3980"/>
      <c r="W3349" s="3421"/>
      <c r="X3349" s="3421"/>
      <c r="Y3349" s="2377"/>
      <c r="Z3349" s="3425"/>
      <c r="AA3349" s="3425"/>
      <c r="AB3349" s="583"/>
      <c r="AC3349" s="2919">
        <v>17</v>
      </c>
      <c r="AD3349" s="583">
        <v>17</v>
      </c>
      <c r="AE3349" s="3429"/>
      <c r="AF3349" s="3421"/>
      <c r="AG3349" s="3421"/>
      <c r="AH3349" s="156"/>
      <c r="AI3349" s="156"/>
      <c r="AJ3349" s="156"/>
      <c r="AK3349" s="156"/>
      <c r="AL3349" s="156"/>
      <c r="AM3349" s="156"/>
      <c r="AN3349" s="156"/>
      <c r="AO3349" s="156"/>
      <c r="AP3349" s="156"/>
      <c r="AQ3349" s="156"/>
      <c r="AR3349" s="156"/>
      <c r="AS3349" s="156"/>
      <c r="AT3349" s="156"/>
      <c r="AU3349" s="156"/>
      <c r="AV3349" s="156"/>
      <c r="AW3349" s="156"/>
      <c r="AX3349" s="156"/>
      <c r="AY3349" s="156"/>
      <c r="AZ3349" s="156"/>
      <c r="BA3349" s="156"/>
      <c r="BB3349" s="2828"/>
      <c r="BC3349" s="452"/>
      <c r="BD3349" s="2829"/>
      <c r="BE3349" s="2837"/>
      <c r="BF3349" s="156"/>
    </row>
    <row r="3350" spans="1:58" ht="15" customHeight="1" outlineLevel="1" x14ac:dyDescent="0.35">
      <c r="A3350" s="1664"/>
      <c r="B3350" s="2812"/>
      <c r="C3350" s="3077"/>
      <c r="D3350" s="3980"/>
      <c r="E3350" s="3883"/>
      <c r="F3350" s="3984" t="str">
        <f>$E$1652</f>
        <v>ASHP-SEER17-Replace_CAC_NonElectricHeat_ROF_MF_CompE</v>
      </c>
      <c r="G3350" s="3984"/>
      <c r="H3350" s="3984"/>
      <c r="I3350" s="3984"/>
      <c r="J3350" s="3501" t="str">
        <f>$C$1652</f>
        <v>353161_2021_12_</v>
      </c>
      <c r="K3350" s="583">
        <v>17</v>
      </c>
      <c r="L3350" s="704"/>
      <c r="M3350" s="3025" t="s">
        <v>1083</v>
      </c>
      <c r="N3350" s="106"/>
      <c r="O3350" s="106"/>
      <c r="P3350" s="702"/>
      <c r="Q3350" s="702"/>
      <c r="R3350" s="702"/>
      <c r="S3350" s="106"/>
      <c r="T3350" s="486"/>
      <c r="U3350" s="106"/>
      <c r="V3350" s="3980"/>
      <c r="W3350" s="3421"/>
      <c r="X3350" s="3421"/>
      <c r="Y3350" s="2377"/>
      <c r="Z3350" s="3425"/>
      <c r="AA3350" s="3425"/>
      <c r="AB3350" s="583"/>
      <c r="AC3350" s="2919">
        <v>17</v>
      </c>
      <c r="AD3350" s="583">
        <v>17</v>
      </c>
      <c r="AE3350" s="3429"/>
      <c r="AF3350" s="3421"/>
      <c r="AG3350" s="3421"/>
      <c r="AH3350" s="156"/>
      <c r="AI3350" s="156"/>
      <c r="AJ3350" s="156"/>
      <c r="AK3350" s="156"/>
      <c r="AL3350" s="156"/>
      <c r="AM3350" s="156"/>
      <c r="AN3350" s="156"/>
      <c r="AO3350" s="156"/>
      <c r="AP3350" s="156"/>
      <c r="AQ3350" s="156"/>
      <c r="AR3350" s="156"/>
      <c r="AS3350" s="156"/>
      <c r="AT3350" s="156"/>
      <c r="AU3350" s="156"/>
      <c r="AV3350" s="156"/>
      <c r="AW3350" s="156"/>
      <c r="AX3350" s="156"/>
      <c r="AY3350" s="156"/>
      <c r="AZ3350" s="156"/>
      <c r="BA3350" s="156"/>
      <c r="BB3350" s="2828"/>
      <c r="BC3350" s="452"/>
      <c r="BD3350" s="2829"/>
      <c r="BE3350" s="2837"/>
      <c r="BF3350" s="156"/>
    </row>
    <row r="3351" spans="1:58" ht="15" customHeight="1" outlineLevel="1" x14ac:dyDescent="0.35">
      <c r="A3351" s="1664"/>
      <c r="B3351" s="2812"/>
      <c r="C3351" s="3077"/>
      <c r="D3351" s="3980"/>
      <c r="E3351" s="3883"/>
      <c r="F3351" s="3984" t="str">
        <f>$E$1654</f>
        <v>ASHP-SEER18-Replace_CAC_ElectricHeat_ROF_SF</v>
      </c>
      <c r="G3351" s="3984"/>
      <c r="H3351" s="3984"/>
      <c r="I3351" s="3984"/>
      <c r="J3351" s="3501" t="str">
        <f>$C$1654</f>
        <v>353200_2021_12_</v>
      </c>
      <c r="K3351" s="3050">
        <v>17.872340425531913</v>
      </c>
      <c r="L3351" s="704"/>
      <c r="M3351" s="2819" t="s">
        <v>4360</v>
      </c>
      <c r="N3351" s="106"/>
      <c r="O3351" s="106"/>
      <c r="P3351" s="702"/>
      <c r="Q3351" s="702"/>
      <c r="R3351" s="702"/>
      <c r="S3351" s="106"/>
      <c r="T3351" s="486"/>
      <c r="U3351" s="106"/>
      <c r="V3351" s="3980"/>
      <c r="W3351" s="3421">
        <v>18</v>
      </c>
      <c r="X3351" s="3421">
        <v>18</v>
      </c>
      <c r="Y3351" s="2377">
        <v>18</v>
      </c>
      <c r="Z3351" s="3425">
        <v>18</v>
      </c>
      <c r="AA3351" s="3425">
        <v>18</v>
      </c>
      <c r="AB3351" s="584">
        <v>19</v>
      </c>
      <c r="AC3351" s="2919">
        <v>17.736216216216217</v>
      </c>
      <c r="AD3351" s="3050">
        <v>17.872340425531913</v>
      </c>
      <c r="AE3351" s="3429"/>
      <c r="AF3351" s="3421"/>
      <c r="AG3351" s="3421"/>
      <c r="AH3351" s="156"/>
      <c r="AI3351" s="156"/>
      <c r="AJ3351" s="156"/>
      <c r="AK3351" s="156"/>
      <c r="AL3351" s="156"/>
      <c r="AM3351" s="156"/>
      <c r="AN3351" s="156"/>
      <c r="AO3351" s="156"/>
      <c r="AP3351" s="156"/>
      <c r="AQ3351" s="156"/>
      <c r="AR3351" s="156"/>
      <c r="AS3351" s="156"/>
      <c r="AT3351" s="156"/>
      <c r="AU3351" s="156"/>
      <c r="AV3351" s="156"/>
      <c r="AW3351" s="156"/>
      <c r="AX3351" s="156"/>
      <c r="AY3351" s="156"/>
      <c r="AZ3351" s="156"/>
      <c r="BA3351" s="156"/>
      <c r="BB3351" s="2828"/>
      <c r="BC3351" s="452"/>
      <c r="BD3351" s="2829"/>
      <c r="BE3351" s="2837"/>
      <c r="BF3351" s="156"/>
    </row>
    <row r="3352" spans="1:58" s="3398" customFormat="1" ht="15" customHeight="1" outlineLevel="1" x14ac:dyDescent="0.35">
      <c r="A3352" s="1664"/>
      <c r="B3352" s="2812"/>
      <c r="C3352" s="3077"/>
      <c r="D3352" s="3980"/>
      <c r="E3352" s="3883"/>
      <c r="F3352" s="4136" t="str">
        <f>$E$1656</f>
        <v>ASHP-SEER18-Replace_CAC_NonElectricHeat_ROF_SF</v>
      </c>
      <c r="G3352" s="4136"/>
      <c r="H3352" s="4136"/>
      <c r="I3352" s="4136"/>
      <c r="J3352" s="3502" t="str">
        <f>$C$1656</f>
        <v>353210_2022_12_</v>
      </c>
      <c r="K3352" s="3050">
        <v>17.872340425531913</v>
      </c>
      <c r="L3352" s="704"/>
      <c r="M3352" s="2819" t="s">
        <v>1083</v>
      </c>
      <c r="P3352" s="702"/>
      <c r="Q3352" s="702"/>
      <c r="R3352" s="702"/>
      <c r="T3352" s="3397"/>
      <c r="V3352" s="3980"/>
      <c r="W3352" s="3421"/>
      <c r="X3352" s="3421"/>
      <c r="Y3352" s="3425"/>
      <c r="Z3352" s="3425"/>
      <c r="AA3352" s="3425"/>
      <c r="AB3352" s="583"/>
      <c r="AC3352" s="2920"/>
      <c r="AD3352" s="3050">
        <v>17.872340425531913</v>
      </c>
      <c r="AE3352" s="3429"/>
      <c r="AF3352" s="3421"/>
      <c r="AG3352" s="3421"/>
      <c r="AH3352" s="156"/>
      <c r="AI3352" s="156"/>
      <c r="AJ3352" s="156"/>
      <c r="AK3352" s="156"/>
      <c r="AL3352" s="156"/>
      <c r="AM3352" s="156"/>
      <c r="AN3352" s="156"/>
      <c r="AO3352" s="156"/>
      <c r="AP3352" s="156"/>
      <c r="AQ3352" s="156"/>
      <c r="AR3352" s="156"/>
      <c r="AS3352" s="156"/>
      <c r="AT3352" s="156"/>
      <c r="AU3352" s="156"/>
      <c r="AV3352" s="156"/>
      <c r="AW3352" s="156"/>
      <c r="AX3352" s="156"/>
      <c r="AY3352" s="156"/>
      <c r="AZ3352" s="156"/>
      <c r="BA3352" s="156"/>
      <c r="BB3352" s="2828"/>
      <c r="BC3352" s="452"/>
      <c r="BD3352" s="2829"/>
      <c r="BE3352" s="2837"/>
      <c r="BF3352" s="156"/>
    </row>
    <row r="3353" spans="1:58" ht="15" customHeight="1" outlineLevel="1" x14ac:dyDescent="0.35">
      <c r="A3353" s="1664"/>
      <c r="B3353" s="2812"/>
      <c r="C3353" s="3077"/>
      <c r="D3353" s="3980"/>
      <c r="E3353" s="3883"/>
      <c r="F3353" s="3984" t="str">
        <f>$E$1658</f>
        <v>ASHP-SEER18-Replace_CAC_ElectricHeat_ROF_MF</v>
      </c>
      <c r="G3353" s="3984"/>
      <c r="H3353" s="3984"/>
      <c r="I3353" s="3984"/>
      <c r="J3353" s="3501" t="str">
        <f>$C$1658</f>
        <v>353250_2021_12_</v>
      </c>
      <c r="K3353" s="583">
        <v>18</v>
      </c>
      <c r="L3353" s="704"/>
      <c r="M3353" s="3025" t="s">
        <v>974</v>
      </c>
      <c r="N3353" s="106"/>
      <c r="O3353" s="106"/>
      <c r="P3353" s="702"/>
      <c r="Q3353" s="702"/>
      <c r="R3353" s="702"/>
      <c r="S3353" s="106"/>
      <c r="T3353" s="486"/>
      <c r="U3353" s="106"/>
      <c r="V3353" s="3980"/>
      <c r="W3353" s="3421">
        <v>18</v>
      </c>
      <c r="X3353" s="3421">
        <v>18</v>
      </c>
      <c r="Y3353" s="2377">
        <v>18</v>
      </c>
      <c r="Z3353" s="3425">
        <v>18</v>
      </c>
      <c r="AA3353" s="3425">
        <v>18</v>
      </c>
      <c r="AB3353" s="584">
        <v>19</v>
      </c>
      <c r="AC3353" s="2919">
        <v>18</v>
      </c>
      <c r="AD3353" s="583">
        <v>18</v>
      </c>
      <c r="AE3353" s="3429"/>
      <c r="AF3353" s="3421"/>
      <c r="AG3353" s="3421"/>
      <c r="AH3353" s="156"/>
      <c r="AI3353" s="156"/>
      <c r="AJ3353" s="156"/>
      <c r="AK3353" s="156"/>
      <c r="AL3353" s="156"/>
      <c r="AM3353" s="156"/>
      <c r="AN3353" s="156"/>
      <c r="AO3353" s="156"/>
      <c r="AP3353" s="156"/>
      <c r="AQ3353" s="156"/>
      <c r="AR3353" s="156"/>
      <c r="AS3353" s="156"/>
      <c r="AT3353" s="156"/>
      <c r="AU3353" s="156"/>
      <c r="AV3353" s="156"/>
      <c r="AW3353" s="156"/>
      <c r="AX3353" s="156"/>
      <c r="AY3353" s="156"/>
      <c r="AZ3353" s="156"/>
      <c r="BA3353" s="156"/>
      <c r="BB3353" s="2828"/>
      <c r="BC3353" s="452"/>
      <c r="BD3353" s="2829"/>
      <c r="BE3353" s="2837"/>
      <c r="BF3353" s="156"/>
    </row>
    <row r="3354" spans="1:58" ht="15" customHeight="1" outlineLevel="1" x14ac:dyDescent="0.35">
      <c r="A3354" s="1664"/>
      <c r="B3354" s="2812"/>
      <c r="C3354" s="3077"/>
      <c r="D3354" s="3980"/>
      <c r="E3354" s="3883"/>
      <c r="F3354" s="3984" t="str">
        <f>$E$1660</f>
        <v>ASHP-SEER18-Replace_CAC_ElectricHeat_ROF_MF_CompE</v>
      </c>
      <c r="G3354" s="3984"/>
      <c r="H3354" s="3984"/>
      <c r="I3354" s="3984"/>
      <c r="J3354" s="3501" t="str">
        <f>$C$1660</f>
        <v>353251_2021_12_</v>
      </c>
      <c r="K3354" s="583">
        <v>18</v>
      </c>
      <c r="L3354" s="704"/>
      <c r="M3354" s="3025" t="s">
        <v>1083</v>
      </c>
      <c r="N3354" s="106"/>
      <c r="O3354" s="106"/>
      <c r="P3354" s="702"/>
      <c r="Q3354" s="702"/>
      <c r="R3354" s="702"/>
      <c r="S3354" s="106"/>
      <c r="T3354" s="486"/>
      <c r="U3354" s="106"/>
      <c r="V3354" s="3980"/>
      <c r="W3354" s="3421"/>
      <c r="X3354" s="3421"/>
      <c r="Y3354" s="2377">
        <v>18</v>
      </c>
      <c r="Z3354" s="3425">
        <v>18</v>
      </c>
      <c r="AA3354" s="3425">
        <v>18</v>
      </c>
      <c r="AB3354" s="584">
        <v>19</v>
      </c>
      <c r="AC3354" s="2920">
        <f>AC3353</f>
        <v>18</v>
      </c>
      <c r="AD3354" s="583">
        <v>18</v>
      </c>
      <c r="AE3354" s="3429"/>
      <c r="AF3354" s="3421"/>
      <c r="AG3354" s="3421"/>
      <c r="AH3354" s="156"/>
      <c r="AI3354" s="156"/>
      <c r="AJ3354" s="156"/>
      <c r="AK3354" s="156"/>
      <c r="AL3354" s="156"/>
      <c r="AM3354" s="156"/>
      <c r="AN3354" s="156"/>
      <c r="AO3354" s="156"/>
      <c r="AP3354" s="156"/>
      <c r="AQ3354" s="156"/>
      <c r="AR3354" s="156"/>
      <c r="AS3354" s="156"/>
      <c r="AT3354" s="156"/>
      <c r="AU3354" s="156"/>
      <c r="AV3354" s="156"/>
      <c r="AW3354" s="156"/>
      <c r="AX3354" s="156"/>
      <c r="AY3354" s="156"/>
      <c r="AZ3354" s="156"/>
      <c r="BA3354" s="156"/>
      <c r="BB3354" s="2828"/>
      <c r="BC3354" s="452"/>
      <c r="BD3354" s="2829"/>
      <c r="BE3354" s="2837"/>
      <c r="BF3354" s="156"/>
    </row>
    <row r="3355" spans="1:58" ht="15" customHeight="1" outlineLevel="1" x14ac:dyDescent="0.35">
      <c r="A3355" s="1664"/>
      <c r="B3355" s="2812"/>
      <c r="C3355" s="3077"/>
      <c r="D3355" s="3980"/>
      <c r="E3355" s="3883"/>
      <c r="F3355" s="3984" t="str">
        <f>$E$1662</f>
        <v>ASHP-SEER18-Replace_CAC_NonElectricHeat_ROF_MF</v>
      </c>
      <c r="G3355" s="3984"/>
      <c r="H3355" s="3984"/>
      <c r="I3355" s="3984"/>
      <c r="J3355" s="3501" t="str">
        <f>$C$1662</f>
        <v>353260_2021_12_</v>
      </c>
      <c r="K3355" s="583">
        <v>18</v>
      </c>
      <c r="L3355" s="704"/>
      <c r="M3355" s="3025" t="s">
        <v>1083</v>
      </c>
      <c r="N3355" s="106"/>
      <c r="O3355" s="106"/>
      <c r="P3355" s="702"/>
      <c r="Q3355" s="702"/>
      <c r="R3355" s="702"/>
      <c r="S3355" s="106"/>
      <c r="T3355" s="486"/>
      <c r="U3355" s="106"/>
      <c r="V3355" s="3980"/>
      <c r="W3355" s="3421"/>
      <c r="X3355" s="3421"/>
      <c r="Y3355" s="2377"/>
      <c r="Z3355" s="3425"/>
      <c r="AA3355" s="3425"/>
      <c r="AB3355" s="584"/>
      <c r="AC3355" s="2919">
        <v>18</v>
      </c>
      <c r="AD3355" s="583">
        <v>18</v>
      </c>
      <c r="AE3355" s="3429"/>
      <c r="AF3355" s="3421"/>
      <c r="AG3355" s="3421"/>
      <c r="AH3355" s="156"/>
      <c r="AI3355" s="156"/>
      <c r="AJ3355" s="156"/>
      <c r="AK3355" s="156"/>
      <c r="AL3355" s="156"/>
      <c r="AM3355" s="156"/>
      <c r="AN3355" s="156"/>
      <c r="AO3355" s="156"/>
      <c r="AP3355" s="156"/>
      <c r="AQ3355" s="156"/>
      <c r="AR3355" s="156"/>
      <c r="AS3355" s="156"/>
      <c r="AT3355" s="156"/>
      <c r="AU3355" s="156"/>
      <c r="AV3355" s="156"/>
      <c r="AW3355" s="156"/>
      <c r="AX3355" s="156"/>
      <c r="AY3355" s="156"/>
      <c r="AZ3355" s="156"/>
      <c r="BA3355" s="156"/>
      <c r="BB3355" s="2828"/>
      <c r="BC3355" s="452"/>
      <c r="BD3355" s="2829"/>
      <c r="BE3355" s="2837"/>
      <c r="BF3355" s="156"/>
    </row>
    <row r="3356" spans="1:58" ht="15" customHeight="1" outlineLevel="1" x14ac:dyDescent="0.35">
      <c r="A3356" s="1664"/>
      <c r="B3356" s="2812"/>
      <c r="C3356" s="3077"/>
      <c r="D3356" s="3980"/>
      <c r="E3356" s="3883"/>
      <c r="F3356" s="3984" t="str">
        <f>$E$1664</f>
        <v>ASHP-SEER18-Replace_CAC_NonElectricHeat_ROF_MF_CompE</v>
      </c>
      <c r="G3356" s="3984"/>
      <c r="H3356" s="3984"/>
      <c r="I3356" s="3984"/>
      <c r="J3356" s="3501" t="str">
        <f>$C$1664</f>
        <v>353261_2021_12_</v>
      </c>
      <c r="K3356" s="583">
        <v>18</v>
      </c>
      <c r="L3356" s="704"/>
      <c r="M3356" s="3025" t="s">
        <v>1083</v>
      </c>
      <c r="N3356" s="106"/>
      <c r="O3356" s="106"/>
      <c r="P3356" s="702"/>
      <c r="Q3356" s="702"/>
      <c r="R3356" s="702"/>
      <c r="S3356" s="106"/>
      <c r="T3356" s="486"/>
      <c r="U3356" s="106"/>
      <c r="V3356" s="3980"/>
      <c r="W3356" s="3421"/>
      <c r="X3356" s="3421"/>
      <c r="Y3356" s="2377"/>
      <c r="Z3356" s="3425"/>
      <c r="AA3356" s="3425"/>
      <c r="AB3356" s="584"/>
      <c r="AC3356" s="2919">
        <f>AC3355</f>
        <v>18</v>
      </c>
      <c r="AD3356" s="583">
        <v>18</v>
      </c>
      <c r="AE3356" s="3429"/>
      <c r="AF3356" s="3421"/>
      <c r="AG3356" s="3421"/>
      <c r="AH3356" s="156"/>
      <c r="AI3356" s="156"/>
      <c r="AJ3356" s="156"/>
      <c r="AK3356" s="156"/>
      <c r="AL3356" s="156"/>
      <c r="AM3356" s="156"/>
      <c r="AN3356" s="156"/>
      <c r="AO3356" s="156"/>
      <c r="AP3356" s="156"/>
      <c r="AQ3356" s="156"/>
      <c r="AR3356" s="156"/>
      <c r="AS3356" s="156"/>
      <c r="AT3356" s="156"/>
      <c r="AU3356" s="156"/>
      <c r="AV3356" s="156"/>
      <c r="AW3356" s="156"/>
      <c r="AX3356" s="156"/>
      <c r="AY3356" s="156"/>
      <c r="AZ3356" s="156"/>
      <c r="BA3356" s="156"/>
      <c r="BB3356" s="2828"/>
      <c r="BC3356" s="452"/>
      <c r="BD3356" s="2829"/>
      <c r="BE3356" s="2837"/>
      <c r="BF3356" s="156"/>
    </row>
    <row r="3357" spans="1:58" ht="15" customHeight="1" outlineLevel="1" x14ac:dyDescent="0.35">
      <c r="A3357" s="1664"/>
      <c r="B3357" s="2812"/>
      <c r="C3357" s="3077"/>
      <c r="D3357" s="3980"/>
      <c r="E3357" s="3883"/>
      <c r="F3357" s="3984" t="str">
        <f>$E$1666</f>
        <v>ASHP-SEER19-Replace_CAC_ElectricHeat_ROF_SF</v>
      </c>
      <c r="G3357" s="3984"/>
      <c r="H3357" s="3984"/>
      <c r="I3357" s="3984"/>
      <c r="J3357" s="3501" t="str">
        <f>$C$1666</f>
        <v>353300_2021_12_</v>
      </c>
      <c r="K3357" s="3050">
        <v>19.28846153846154</v>
      </c>
      <c r="L3357" s="704"/>
      <c r="M3357" s="2819" t="s">
        <v>4360</v>
      </c>
      <c r="N3357" s="106"/>
      <c r="O3357" s="106"/>
      <c r="P3357" s="702"/>
      <c r="Q3357" s="702"/>
      <c r="R3357" s="702"/>
      <c r="S3357" s="106"/>
      <c r="T3357" s="486"/>
      <c r="U3357" s="106"/>
      <c r="V3357" s="3980"/>
      <c r="W3357" s="3421">
        <v>19</v>
      </c>
      <c r="X3357" s="3421">
        <v>19</v>
      </c>
      <c r="Y3357" s="2377">
        <v>19</v>
      </c>
      <c r="Z3357" s="3425">
        <v>19</v>
      </c>
      <c r="AA3357" s="3425">
        <v>19</v>
      </c>
      <c r="AB3357" s="583">
        <v>19</v>
      </c>
      <c r="AC3357" s="2920">
        <v>19</v>
      </c>
      <c r="AD3357" s="3050">
        <v>19.28846153846154</v>
      </c>
      <c r="AE3357" s="3429"/>
      <c r="AF3357" s="3421"/>
      <c r="AG3357" s="3421"/>
      <c r="AH3357" s="156"/>
      <c r="AI3357" s="156"/>
      <c r="AJ3357" s="156"/>
      <c r="AK3357" s="156"/>
      <c r="AL3357" s="156"/>
      <c r="AM3357" s="156"/>
      <c r="AN3357" s="156"/>
      <c r="AO3357" s="156"/>
      <c r="AP3357" s="156"/>
      <c r="AQ3357" s="156"/>
      <c r="AR3357" s="156"/>
      <c r="AS3357" s="156"/>
      <c r="AT3357" s="156"/>
      <c r="AU3357" s="156"/>
      <c r="AV3357" s="156"/>
      <c r="AW3357" s="156"/>
      <c r="AX3357" s="156"/>
      <c r="AY3357" s="156"/>
      <c r="AZ3357" s="156"/>
      <c r="BA3357" s="156"/>
      <c r="BB3357" s="2828"/>
      <c r="BC3357" s="452"/>
      <c r="BD3357" s="2829"/>
      <c r="BE3357" s="2837"/>
      <c r="BF3357" s="156"/>
    </row>
    <row r="3358" spans="1:58" s="3398" customFormat="1" ht="15" customHeight="1" outlineLevel="1" x14ac:dyDescent="0.35">
      <c r="A3358" s="1664"/>
      <c r="B3358" s="2812"/>
      <c r="C3358" s="3077"/>
      <c r="D3358" s="3980"/>
      <c r="E3358" s="3883"/>
      <c r="F3358" s="4136" t="str">
        <f>$E$1668</f>
        <v>ASHP-SEER19-Replace_CAC_NonElectricHeat_ROF_SF</v>
      </c>
      <c r="G3358" s="4136"/>
      <c r="H3358" s="4136"/>
      <c r="I3358" s="4136"/>
      <c r="J3358" s="3502" t="str">
        <f>$C$1668</f>
        <v>353310_2022_12_</v>
      </c>
      <c r="K3358" s="3050">
        <v>19.28846153846154</v>
      </c>
      <c r="L3358" s="704"/>
      <c r="M3358" s="2819" t="s">
        <v>1083</v>
      </c>
      <c r="P3358" s="702"/>
      <c r="Q3358" s="702"/>
      <c r="R3358" s="702"/>
      <c r="T3358" s="3397"/>
      <c r="V3358" s="3980"/>
      <c r="W3358" s="3421"/>
      <c r="X3358" s="3421"/>
      <c r="Y3358" s="3425"/>
      <c r="Z3358" s="3425"/>
      <c r="AA3358" s="3425"/>
      <c r="AB3358" s="583"/>
      <c r="AC3358" s="2920"/>
      <c r="AD3358" s="3050">
        <v>19.28846153846154</v>
      </c>
      <c r="AE3358" s="3429"/>
      <c r="AF3358" s="3421"/>
      <c r="AG3358" s="3421"/>
      <c r="AH3358" s="156"/>
      <c r="AI3358" s="156"/>
      <c r="AJ3358" s="156"/>
      <c r="AK3358" s="156"/>
      <c r="AL3358" s="156"/>
      <c r="AM3358" s="156"/>
      <c r="AN3358" s="156"/>
      <c r="AO3358" s="156"/>
      <c r="AP3358" s="156"/>
      <c r="AQ3358" s="156"/>
      <c r="AR3358" s="156"/>
      <c r="AS3358" s="156"/>
      <c r="AT3358" s="156"/>
      <c r="AU3358" s="156"/>
      <c r="AV3358" s="156"/>
      <c r="AW3358" s="156"/>
      <c r="AX3358" s="156"/>
      <c r="AY3358" s="156"/>
      <c r="AZ3358" s="156"/>
      <c r="BA3358" s="156"/>
      <c r="BB3358" s="2828"/>
      <c r="BC3358" s="452"/>
      <c r="BD3358" s="2829"/>
      <c r="BE3358" s="2837"/>
      <c r="BF3358" s="156"/>
    </row>
    <row r="3359" spans="1:58" ht="15" customHeight="1" outlineLevel="1" x14ac:dyDescent="0.35">
      <c r="A3359" s="1664"/>
      <c r="B3359" s="2812"/>
      <c r="C3359" s="3077"/>
      <c r="D3359" s="3980"/>
      <c r="E3359" s="3883"/>
      <c r="F3359" s="3984" t="str">
        <f>$E$1670</f>
        <v>ASHP-SEER19-Replace_CAC_ElectricHeat_ROF_MF</v>
      </c>
      <c r="G3359" s="3984"/>
      <c r="H3359" s="3984"/>
      <c r="I3359" s="3984"/>
      <c r="J3359" s="3501" t="str">
        <f>$C$1670</f>
        <v>353350_2021_12_</v>
      </c>
      <c r="K3359" s="583">
        <v>19.5</v>
      </c>
      <c r="L3359" s="704"/>
      <c r="M3359" s="3025" t="s">
        <v>974</v>
      </c>
      <c r="N3359" s="106"/>
      <c r="O3359" s="106"/>
      <c r="P3359" s="702"/>
      <c r="Q3359" s="702"/>
      <c r="R3359" s="702"/>
      <c r="S3359" s="106"/>
      <c r="T3359" s="486"/>
      <c r="U3359" s="106"/>
      <c r="V3359" s="3980"/>
      <c r="W3359" s="3421">
        <v>19</v>
      </c>
      <c r="X3359" s="3421">
        <v>19</v>
      </c>
      <c r="Y3359" s="2377">
        <v>19</v>
      </c>
      <c r="Z3359" s="3425">
        <v>19</v>
      </c>
      <c r="AA3359" s="3425">
        <v>19</v>
      </c>
      <c r="AB3359" s="583">
        <v>19</v>
      </c>
      <c r="AC3359" s="2919">
        <v>19.5</v>
      </c>
      <c r="AD3359" s="583">
        <v>19.5</v>
      </c>
      <c r="AE3359" s="3429"/>
      <c r="AF3359" s="3421"/>
      <c r="AG3359" s="3421"/>
      <c r="AH3359" s="156"/>
      <c r="AI3359" s="156"/>
      <c r="AJ3359" s="156"/>
      <c r="AK3359" s="156"/>
      <c r="AL3359" s="156"/>
      <c r="AM3359" s="156"/>
      <c r="AN3359" s="156"/>
      <c r="AO3359" s="156"/>
      <c r="AP3359" s="156"/>
      <c r="AQ3359" s="156"/>
      <c r="AR3359" s="156"/>
      <c r="AS3359" s="156"/>
      <c r="AT3359" s="156"/>
      <c r="AU3359" s="156"/>
      <c r="AV3359" s="156"/>
      <c r="AW3359" s="156"/>
      <c r="AX3359" s="156"/>
      <c r="AY3359" s="156"/>
      <c r="AZ3359" s="156"/>
      <c r="BA3359" s="156"/>
      <c r="BB3359" s="2828"/>
      <c r="BC3359" s="452"/>
      <c r="BD3359" s="2829"/>
      <c r="BE3359" s="2837"/>
      <c r="BF3359" s="156"/>
    </row>
    <row r="3360" spans="1:58" ht="15" customHeight="1" outlineLevel="1" x14ac:dyDescent="0.35">
      <c r="A3360" s="1664"/>
      <c r="B3360" s="2812"/>
      <c r="C3360" s="3077"/>
      <c r="D3360" s="3980"/>
      <c r="E3360" s="3883"/>
      <c r="F3360" s="3984" t="str">
        <f>$E$1672</f>
        <v>ASHP-SEER19-Replace_CAC_ElectricHeat_ROF_MF_CompE</v>
      </c>
      <c r="G3360" s="3984"/>
      <c r="H3360" s="3984"/>
      <c r="I3360" s="3984"/>
      <c r="J3360" s="3501" t="str">
        <f>$C$1672</f>
        <v>353351_2019_12_</v>
      </c>
      <c r="K3360" s="583">
        <v>19</v>
      </c>
      <c r="L3360" s="704"/>
      <c r="M3360" s="3025" t="s">
        <v>1083</v>
      </c>
      <c r="N3360" s="106"/>
      <c r="O3360" s="106"/>
      <c r="P3360" s="702"/>
      <c r="Q3360" s="702"/>
      <c r="R3360" s="702"/>
      <c r="S3360" s="106"/>
      <c r="T3360" s="486"/>
      <c r="U3360" s="106"/>
      <c r="V3360" s="3980"/>
      <c r="W3360" s="3421"/>
      <c r="X3360" s="3421"/>
      <c r="Y3360" s="2377">
        <v>19</v>
      </c>
      <c r="Z3360" s="3425">
        <v>19</v>
      </c>
      <c r="AA3360" s="3425">
        <v>19</v>
      </c>
      <c r="AB3360" s="583">
        <v>19</v>
      </c>
      <c r="AC3360" s="2920">
        <v>19</v>
      </c>
      <c r="AD3360" s="583">
        <v>19</v>
      </c>
      <c r="AE3360" s="3429"/>
      <c r="AF3360" s="3421"/>
      <c r="AG3360" s="3421"/>
      <c r="AH3360" s="156"/>
      <c r="AI3360" s="156"/>
      <c r="AJ3360" s="156"/>
      <c r="AK3360" s="156"/>
      <c r="AL3360" s="156"/>
      <c r="AM3360" s="156"/>
      <c r="AN3360" s="156"/>
      <c r="AO3360" s="156"/>
      <c r="AP3360" s="156"/>
      <c r="AQ3360" s="156"/>
      <c r="AR3360" s="156"/>
      <c r="AS3360" s="156"/>
      <c r="AT3360" s="156"/>
      <c r="AU3360" s="156"/>
      <c r="AV3360" s="156"/>
      <c r="AW3360" s="156"/>
      <c r="AX3360" s="156"/>
      <c r="AY3360" s="156"/>
      <c r="AZ3360" s="156"/>
      <c r="BA3360" s="156"/>
      <c r="BB3360" s="2828"/>
      <c r="BC3360" s="452"/>
      <c r="BD3360" s="2829"/>
      <c r="BE3360" s="2837"/>
      <c r="BF3360" s="156"/>
    </row>
    <row r="3361" spans="1:58" ht="15" customHeight="1" outlineLevel="1" x14ac:dyDescent="0.35">
      <c r="A3361" s="1664"/>
      <c r="B3361" s="2812"/>
      <c r="C3361" s="3077"/>
      <c r="D3361" s="3980"/>
      <c r="E3361" s="3883"/>
      <c r="F3361" s="3984" t="str">
        <f>$E$1674</f>
        <v>ASHP-SEER19-Replace_CAC_NonElectricHeat_ROF_MF</v>
      </c>
      <c r="G3361" s="3984"/>
      <c r="H3361" s="3984"/>
      <c r="I3361" s="3984"/>
      <c r="J3361" s="3501" t="str">
        <f>$C$1674</f>
        <v>353360_2021_12_</v>
      </c>
      <c r="K3361" s="583">
        <v>19.5</v>
      </c>
      <c r="L3361" s="704"/>
      <c r="M3361" s="3025" t="s">
        <v>1083</v>
      </c>
      <c r="N3361" s="106"/>
      <c r="O3361" s="106"/>
      <c r="P3361" s="702"/>
      <c r="Q3361" s="702"/>
      <c r="R3361" s="702"/>
      <c r="S3361" s="106"/>
      <c r="T3361" s="486"/>
      <c r="U3361" s="106"/>
      <c r="V3361" s="3980"/>
      <c r="W3361" s="3421"/>
      <c r="X3361" s="3421"/>
      <c r="Y3361" s="2377"/>
      <c r="Z3361" s="3425"/>
      <c r="AA3361" s="3425"/>
      <c r="AB3361" s="583"/>
      <c r="AC3361" s="2919">
        <v>19.5</v>
      </c>
      <c r="AD3361" s="583">
        <v>19.5</v>
      </c>
      <c r="AE3361" s="3429"/>
      <c r="AF3361" s="3421"/>
      <c r="AG3361" s="3421"/>
      <c r="AH3361" s="156"/>
      <c r="AI3361" s="156"/>
      <c r="AJ3361" s="156"/>
      <c r="AK3361" s="156"/>
      <c r="AL3361" s="156"/>
      <c r="AM3361" s="156"/>
      <c r="AN3361" s="156"/>
      <c r="AO3361" s="156"/>
      <c r="AP3361" s="156"/>
      <c r="AQ3361" s="156"/>
      <c r="AR3361" s="156"/>
      <c r="AS3361" s="156"/>
      <c r="AT3361" s="156"/>
      <c r="AU3361" s="156"/>
      <c r="AV3361" s="156"/>
      <c r="AW3361" s="156"/>
      <c r="AX3361" s="156"/>
      <c r="AY3361" s="156"/>
      <c r="AZ3361" s="156"/>
      <c r="BA3361" s="156"/>
      <c r="BB3361" s="2828"/>
      <c r="BC3361" s="452"/>
      <c r="BD3361" s="2829"/>
      <c r="BE3361" s="2837"/>
      <c r="BF3361" s="156"/>
    </row>
    <row r="3362" spans="1:58" ht="15" customHeight="1" outlineLevel="1" x14ac:dyDescent="0.35">
      <c r="A3362" s="1664"/>
      <c r="B3362" s="2812"/>
      <c r="C3362" s="3077"/>
      <c r="D3362" s="3980"/>
      <c r="E3362" s="3883"/>
      <c r="F3362" s="3984" t="str">
        <f>$E$1676</f>
        <v>ASHP-SEER19-Replace_CAC_NonElectricHeat_ROF_MF_CompE</v>
      </c>
      <c r="G3362" s="3984"/>
      <c r="H3362" s="3984"/>
      <c r="I3362" s="3984"/>
      <c r="J3362" s="3501" t="str">
        <f>$C$1676</f>
        <v>353361_2021_12_</v>
      </c>
      <c r="K3362" s="583">
        <v>19</v>
      </c>
      <c r="L3362" s="704"/>
      <c r="M3362" s="3025" t="s">
        <v>1083</v>
      </c>
      <c r="N3362" s="106"/>
      <c r="O3362" s="106"/>
      <c r="P3362" s="702"/>
      <c r="Q3362" s="702"/>
      <c r="R3362" s="702"/>
      <c r="S3362" s="106"/>
      <c r="T3362" s="486"/>
      <c r="U3362" s="106"/>
      <c r="V3362" s="3980"/>
      <c r="W3362" s="3421"/>
      <c r="X3362" s="3421"/>
      <c r="Y3362" s="2377"/>
      <c r="Z3362" s="3425"/>
      <c r="AA3362" s="3425"/>
      <c r="AB3362" s="583"/>
      <c r="AC3362" s="2919">
        <v>19</v>
      </c>
      <c r="AD3362" s="583">
        <v>19</v>
      </c>
      <c r="AE3362" s="3429"/>
      <c r="AF3362" s="3421"/>
      <c r="AG3362" s="3421"/>
      <c r="AH3362" s="156"/>
      <c r="AI3362" s="156"/>
      <c r="AJ3362" s="156"/>
      <c r="AK3362" s="156"/>
      <c r="AL3362" s="156"/>
      <c r="AM3362" s="156"/>
      <c r="AN3362" s="156"/>
      <c r="AO3362" s="156"/>
      <c r="AP3362" s="156"/>
      <c r="AQ3362" s="156"/>
      <c r="AR3362" s="156"/>
      <c r="AS3362" s="156"/>
      <c r="AT3362" s="156"/>
      <c r="AU3362" s="156"/>
      <c r="AV3362" s="156"/>
      <c r="AW3362" s="156"/>
      <c r="AX3362" s="156"/>
      <c r="AY3362" s="156"/>
      <c r="AZ3362" s="156"/>
      <c r="BA3362" s="156"/>
      <c r="BB3362" s="2828"/>
      <c r="BC3362" s="452"/>
      <c r="BD3362" s="2829"/>
      <c r="BE3362" s="2837"/>
      <c r="BF3362" s="156"/>
    </row>
    <row r="3363" spans="1:58" ht="15" customHeight="1" outlineLevel="1" x14ac:dyDescent="0.35">
      <c r="A3363" s="1664"/>
      <c r="B3363" s="2812"/>
      <c r="C3363" s="3077"/>
      <c r="D3363" s="3980"/>
      <c r="E3363" s="3883"/>
      <c r="F3363" s="3984" t="str">
        <f>$E$1678</f>
        <v>ASHP-SEER20-Replace_CAC_ElectricHeat_ER1_SF</v>
      </c>
      <c r="G3363" s="3984"/>
      <c r="H3363" s="3984"/>
      <c r="I3363" s="3984"/>
      <c r="J3363" s="3501" t="str">
        <f>$C$1678</f>
        <v>353400_2021_12_</v>
      </c>
      <c r="K3363" s="3050">
        <v>20.033333333333335</v>
      </c>
      <c r="L3363" s="704"/>
      <c r="M3363" s="2819" t="s">
        <v>4360</v>
      </c>
      <c r="N3363" s="106"/>
      <c r="O3363" s="106"/>
      <c r="P3363" s="702"/>
      <c r="Q3363" s="702"/>
      <c r="R3363" s="702"/>
      <c r="S3363" s="106"/>
      <c r="T3363" s="486"/>
      <c r="U3363" s="106"/>
      <c r="V3363" s="3980"/>
      <c r="W3363" s="3421">
        <v>20</v>
      </c>
      <c r="X3363" s="3421">
        <v>20</v>
      </c>
      <c r="Y3363" s="3425">
        <v>20</v>
      </c>
      <c r="Z3363" s="3425">
        <v>20</v>
      </c>
      <c r="AA3363" s="3425">
        <v>20</v>
      </c>
      <c r="AB3363" s="583">
        <v>20</v>
      </c>
      <c r="AC3363" s="2919">
        <v>20</v>
      </c>
      <c r="AD3363" s="3050">
        <v>20.033333333333335</v>
      </c>
      <c r="AE3363" s="3429"/>
      <c r="AF3363" s="3421"/>
      <c r="AG3363" s="3421"/>
      <c r="AH3363" s="156"/>
      <c r="AI3363" s="156"/>
      <c r="AJ3363" s="156"/>
      <c r="AK3363" s="156"/>
      <c r="AL3363" s="156"/>
      <c r="AM3363" s="156"/>
      <c r="AN3363" s="156"/>
      <c r="AO3363" s="156"/>
      <c r="AP3363" s="156"/>
      <c r="AQ3363" s="156"/>
      <c r="AR3363" s="156"/>
      <c r="AS3363" s="156"/>
      <c r="AT3363" s="156"/>
      <c r="AU3363" s="156"/>
      <c r="AV3363" s="156"/>
      <c r="AW3363" s="156"/>
      <c r="AX3363" s="156"/>
      <c r="AY3363" s="156"/>
      <c r="AZ3363" s="156"/>
      <c r="BA3363" s="156"/>
      <c r="BB3363" s="2828"/>
      <c r="BC3363" s="452"/>
      <c r="BD3363" s="2829"/>
      <c r="BE3363" s="2837"/>
      <c r="BF3363" s="156"/>
    </row>
    <row r="3364" spans="1:58" ht="15" customHeight="1" outlineLevel="1" x14ac:dyDescent="0.35">
      <c r="A3364" s="1664"/>
      <c r="B3364" s="2812"/>
      <c r="C3364" s="3077"/>
      <c r="D3364" s="3980"/>
      <c r="E3364" s="3883"/>
      <c r="F3364" s="3984" t="str">
        <f>$E$1680</f>
        <v>ASHP-SEER20-Replace_CAC_ElectricHeat_ER2_SF</v>
      </c>
      <c r="G3364" s="3984"/>
      <c r="H3364" s="3984"/>
      <c r="I3364" s="3984"/>
      <c r="J3364" s="3501" t="str">
        <f>$C$1680</f>
        <v>353400_2021_12_</v>
      </c>
      <c r="K3364" s="3050">
        <v>20.033333333333335</v>
      </c>
      <c r="L3364" s="704"/>
      <c r="M3364" s="2819" t="s">
        <v>4360</v>
      </c>
      <c r="N3364" s="106"/>
      <c r="O3364" s="106"/>
      <c r="P3364" s="702"/>
      <c r="Q3364" s="702"/>
      <c r="R3364" s="702"/>
      <c r="S3364" s="106"/>
      <c r="T3364" s="486"/>
      <c r="U3364" s="106"/>
      <c r="V3364" s="3980"/>
      <c r="W3364" s="3421">
        <v>20</v>
      </c>
      <c r="X3364" s="3421">
        <v>20</v>
      </c>
      <c r="Y3364" s="3425">
        <v>20</v>
      </c>
      <c r="Z3364" s="3425">
        <v>20</v>
      </c>
      <c r="AA3364" s="3425">
        <v>20</v>
      </c>
      <c r="AB3364" s="583">
        <v>20</v>
      </c>
      <c r="AC3364" s="2919">
        <f>AC3363</f>
        <v>20</v>
      </c>
      <c r="AD3364" s="3050">
        <v>20.033333333333335</v>
      </c>
      <c r="AE3364" s="3429"/>
      <c r="AF3364" s="3421"/>
      <c r="AG3364" s="3421"/>
      <c r="AH3364" s="156"/>
      <c r="AI3364" s="156"/>
      <c r="AJ3364" s="156"/>
      <c r="AK3364" s="156"/>
      <c r="AL3364" s="156"/>
      <c r="AM3364" s="156"/>
      <c r="AN3364" s="156"/>
      <c r="AO3364" s="156"/>
      <c r="AP3364" s="156"/>
      <c r="AQ3364" s="156"/>
      <c r="AR3364" s="156"/>
      <c r="AS3364" s="156"/>
      <c r="AT3364" s="156"/>
      <c r="AU3364" s="156"/>
      <c r="AV3364" s="156"/>
      <c r="AW3364" s="156"/>
      <c r="AX3364" s="156"/>
      <c r="AY3364" s="156"/>
      <c r="AZ3364" s="156"/>
      <c r="BA3364" s="156"/>
      <c r="BB3364" s="2828"/>
      <c r="BC3364" s="452"/>
      <c r="BD3364" s="2829"/>
      <c r="BE3364" s="2837"/>
      <c r="BF3364" s="156"/>
    </row>
    <row r="3365" spans="1:58" ht="15" customHeight="1" outlineLevel="1" x14ac:dyDescent="0.35">
      <c r="A3365" s="1664"/>
      <c r="B3365" s="2812"/>
      <c r="C3365" s="3077"/>
      <c r="D3365" s="3980"/>
      <c r="E3365" s="3883"/>
      <c r="F3365" s="3984" t="str">
        <f>$E$1682</f>
        <v>ASHP-SEER20-Replace_CAC_NonElectricHeat_ER1_SF</v>
      </c>
      <c r="G3365" s="3984"/>
      <c r="H3365" s="3984"/>
      <c r="I3365" s="3984"/>
      <c r="J3365" s="3501" t="str">
        <f>$C$1682</f>
        <v>353410_2021_12_</v>
      </c>
      <c r="K3365" s="3050">
        <v>20.033333333333335</v>
      </c>
      <c r="L3365" s="704"/>
      <c r="M3365" s="3025" t="s">
        <v>1083</v>
      </c>
      <c r="N3365" s="106"/>
      <c r="O3365" s="106"/>
      <c r="P3365" s="702"/>
      <c r="Q3365" s="702"/>
      <c r="R3365" s="702"/>
      <c r="S3365" s="106"/>
      <c r="T3365" s="486"/>
      <c r="U3365" s="106"/>
      <c r="V3365" s="3980"/>
      <c r="W3365" s="3421"/>
      <c r="X3365" s="3421"/>
      <c r="Y3365" s="3425"/>
      <c r="Z3365" s="3425"/>
      <c r="AA3365" s="3425"/>
      <c r="AB3365" s="583"/>
      <c r="AC3365" s="2919">
        <v>20</v>
      </c>
      <c r="AD3365" s="3050">
        <v>20.033333333333335</v>
      </c>
      <c r="AE3365" s="3429"/>
      <c r="AF3365" s="3421"/>
      <c r="AG3365" s="3421"/>
      <c r="AH3365" s="156"/>
      <c r="AI3365" s="156"/>
      <c r="AJ3365" s="156"/>
      <c r="AK3365" s="156"/>
      <c r="AL3365" s="156"/>
      <c r="AM3365" s="156"/>
      <c r="AN3365" s="156"/>
      <c r="AO3365" s="156"/>
      <c r="AP3365" s="156"/>
      <c r="AQ3365" s="156"/>
      <c r="AR3365" s="156"/>
      <c r="AS3365" s="156"/>
      <c r="AT3365" s="156"/>
      <c r="AU3365" s="156"/>
      <c r="AV3365" s="156"/>
      <c r="AW3365" s="156"/>
      <c r="AX3365" s="156"/>
      <c r="AY3365" s="156"/>
      <c r="AZ3365" s="156"/>
      <c r="BA3365" s="156"/>
      <c r="BB3365" s="2828"/>
      <c r="BC3365" s="452"/>
      <c r="BD3365" s="2829"/>
      <c r="BE3365" s="2837"/>
      <c r="BF3365" s="156"/>
    </row>
    <row r="3366" spans="1:58" ht="15" customHeight="1" outlineLevel="1" x14ac:dyDescent="0.35">
      <c r="A3366" s="1664"/>
      <c r="B3366" s="2812"/>
      <c r="C3366" s="3077"/>
      <c r="D3366" s="3980"/>
      <c r="E3366" s="3883"/>
      <c r="F3366" s="3984" t="str">
        <f>$E$1684</f>
        <v>ASHP-SEER20-Replace_CAC_NonElectricHeat_ER2_SF</v>
      </c>
      <c r="G3366" s="3984"/>
      <c r="H3366" s="3984"/>
      <c r="I3366" s="3984"/>
      <c r="J3366" s="3501" t="str">
        <f>$C$1684</f>
        <v>353410_2021_12_</v>
      </c>
      <c r="K3366" s="3050">
        <v>20.033333333333335</v>
      </c>
      <c r="L3366" s="704"/>
      <c r="M3366" s="3025" t="s">
        <v>1083</v>
      </c>
      <c r="N3366" s="106"/>
      <c r="O3366" s="106"/>
      <c r="P3366" s="702"/>
      <c r="Q3366" s="702"/>
      <c r="R3366" s="702"/>
      <c r="S3366" s="106"/>
      <c r="T3366" s="486"/>
      <c r="U3366" s="106"/>
      <c r="V3366" s="3980"/>
      <c r="W3366" s="3421"/>
      <c r="X3366" s="3421"/>
      <c r="Y3366" s="3425"/>
      <c r="Z3366" s="3425"/>
      <c r="AA3366" s="3425"/>
      <c r="AB3366" s="583"/>
      <c r="AC3366" s="2919">
        <f>AC3365</f>
        <v>20</v>
      </c>
      <c r="AD3366" s="3050">
        <v>20.033333333333335</v>
      </c>
      <c r="AE3366" s="3429"/>
      <c r="AF3366" s="3421"/>
      <c r="AG3366" s="3421"/>
      <c r="AH3366" s="156"/>
      <c r="AI3366" s="156"/>
      <c r="AJ3366" s="156"/>
      <c r="AK3366" s="156"/>
      <c r="AL3366" s="156"/>
      <c r="AM3366" s="156"/>
      <c r="AN3366" s="156"/>
      <c r="AO3366" s="156"/>
      <c r="AP3366" s="156"/>
      <c r="AQ3366" s="156"/>
      <c r="AR3366" s="156"/>
      <c r="AS3366" s="156"/>
      <c r="AT3366" s="156"/>
      <c r="AU3366" s="156"/>
      <c r="AV3366" s="156"/>
      <c r="AW3366" s="156"/>
      <c r="AX3366" s="156"/>
      <c r="AY3366" s="156"/>
      <c r="AZ3366" s="156"/>
      <c r="BA3366" s="156"/>
      <c r="BB3366" s="2828"/>
      <c r="BC3366" s="452"/>
      <c r="BD3366" s="2829"/>
      <c r="BE3366" s="2837"/>
      <c r="BF3366" s="156"/>
    </row>
    <row r="3367" spans="1:58" ht="15" customHeight="1" outlineLevel="1" x14ac:dyDescent="0.35">
      <c r="A3367" s="1664"/>
      <c r="B3367" s="2812"/>
      <c r="C3367" s="3077"/>
      <c r="D3367" s="3980"/>
      <c r="E3367" s="3883"/>
      <c r="F3367" s="3984" t="str">
        <f>$E$1686</f>
        <v>ASHP-SEER20-Replace_CAC_ElectricHeat_ROF_SF</v>
      </c>
      <c r="G3367" s="3984"/>
      <c r="H3367" s="3984"/>
      <c r="I3367" s="3984"/>
      <c r="J3367" s="3501" t="str">
        <f>$C$1686</f>
        <v>353450_2021_12_</v>
      </c>
      <c r="K3367" s="3050">
        <v>20.089285714285715</v>
      </c>
      <c r="L3367" s="704"/>
      <c r="M3367" s="2819" t="s">
        <v>4360</v>
      </c>
      <c r="N3367" s="106"/>
      <c r="O3367" s="106"/>
      <c r="P3367" s="702"/>
      <c r="Q3367" s="702"/>
      <c r="R3367" s="702"/>
      <c r="S3367" s="106"/>
      <c r="T3367" s="486"/>
      <c r="U3367" s="106"/>
      <c r="V3367" s="3980"/>
      <c r="W3367" s="3421">
        <v>20</v>
      </c>
      <c r="X3367" s="3421">
        <v>20</v>
      </c>
      <c r="Y3367" s="3425">
        <v>20</v>
      </c>
      <c r="Z3367" s="3425">
        <v>20</v>
      </c>
      <c r="AA3367" s="3425">
        <v>20</v>
      </c>
      <c r="AB3367" s="583">
        <v>20</v>
      </c>
      <c r="AC3367" s="2919">
        <v>20</v>
      </c>
      <c r="AD3367" s="3050">
        <v>20.089285714285715</v>
      </c>
      <c r="AE3367" s="3429"/>
      <c r="AF3367" s="3421"/>
      <c r="AG3367" s="3421"/>
      <c r="AH3367" s="156"/>
      <c r="AI3367" s="156"/>
      <c r="AJ3367" s="156"/>
      <c r="AK3367" s="156"/>
      <c r="AL3367" s="156"/>
      <c r="AM3367" s="156"/>
      <c r="AN3367" s="156"/>
      <c r="AO3367" s="156"/>
      <c r="AP3367" s="156"/>
      <c r="AQ3367" s="156"/>
      <c r="AR3367" s="156"/>
      <c r="AS3367" s="156"/>
      <c r="AT3367" s="156"/>
      <c r="AU3367" s="156"/>
      <c r="AV3367" s="156"/>
      <c r="AW3367" s="156"/>
      <c r="AX3367" s="156"/>
      <c r="AY3367" s="156"/>
      <c r="AZ3367" s="156"/>
      <c r="BA3367" s="156"/>
      <c r="BB3367" s="2828"/>
      <c r="BC3367" s="452"/>
      <c r="BD3367" s="2829"/>
      <c r="BE3367" s="2837"/>
      <c r="BF3367" s="156"/>
    </row>
    <row r="3368" spans="1:58" s="3398" customFormat="1" ht="15" customHeight="1" outlineLevel="1" x14ac:dyDescent="0.35">
      <c r="A3368" s="1664"/>
      <c r="B3368" s="2812"/>
      <c r="C3368" s="3077"/>
      <c r="D3368" s="3980"/>
      <c r="E3368" s="3883"/>
      <c r="F3368" s="4136" t="str">
        <f>$E$1688</f>
        <v>ASHP-SEER20-Replace_CAC_NonElectricHeat_ROF_SF</v>
      </c>
      <c r="G3368" s="4136"/>
      <c r="H3368" s="4136"/>
      <c r="I3368" s="4136"/>
      <c r="J3368" s="3502" t="str">
        <f>$C$1688</f>
        <v>353460_2022_12_</v>
      </c>
      <c r="K3368" s="3050">
        <v>20.089285714285715</v>
      </c>
      <c r="L3368" s="704"/>
      <c r="M3368" s="2819" t="s">
        <v>1083</v>
      </c>
      <c r="P3368" s="702"/>
      <c r="Q3368" s="702"/>
      <c r="R3368" s="702"/>
      <c r="T3368" s="3397"/>
      <c r="V3368" s="3980"/>
      <c r="W3368" s="3421"/>
      <c r="X3368" s="3421"/>
      <c r="Y3368" s="3425"/>
      <c r="Z3368" s="3425"/>
      <c r="AA3368" s="3425"/>
      <c r="AB3368" s="583"/>
      <c r="AC3368" s="2920"/>
      <c r="AD3368" s="3050">
        <v>20.089285714285715</v>
      </c>
      <c r="AE3368" s="3429"/>
      <c r="AF3368" s="3421"/>
      <c r="AG3368" s="3421"/>
      <c r="AH3368" s="156"/>
      <c r="AI3368" s="156"/>
      <c r="AJ3368" s="156"/>
      <c r="AK3368" s="156"/>
      <c r="AL3368" s="156"/>
      <c r="AM3368" s="156"/>
      <c r="AN3368" s="156"/>
      <c r="AO3368" s="156"/>
      <c r="AP3368" s="156"/>
      <c r="AQ3368" s="156"/>
      <c r="AR3368" s="156"/>
      <c r="AS3368" s="156"/>
      <c r="AT3368" s="156"/>
      <c r="AU3368" s="156"/>
      <c r="AV3368" s="156"/>
      <c r="AW3368" s="156"/>
      <c r="AX3368" s="156"/>
      <c r="AY3368" s="156"/>
      <c r="AZ3368" s="156"/>
      <c r="BA3368" s="156"/>
      <c r="BB3368" s="2828"/>
      <c r="BC3368" s="452"/>
      <c r="BD3368" s="2829"/>
      <c r="BE3368" s="2837"/>
      <c r="BF3368" s="156"/>
    </row>
    <row r="3369" spans="1:58" ht="15" customHeight="1" outlineLevel="1" x14ac:dyDescent="0.35">
      <c r="A3369" s="1664"/>
      <c r="B3369" s="2812"/>
      <c r="C3369" s="3077"/>
      <c r="D3369" s="3980"/>
      <c r="E3369" s="3883"/>
      <c r="F3369" s="3984" t="str">
        <f>$E$1690</f>
        <v>ASHP-SEER20-Replace_CAC_ElectricHeat_ROF_MF</v>
      </c>
      <c r="G3369" s="3984"/>
      <c r="H3369" s="3984"/>
      <c r="I3369" s="3984"/>
      <c r="J3369" s="3501" t="str">
        <f>$C$1690</f>
        <v>353500_2019_12_</v>
      </c>
      <c r="K3369" s="583">
        <v>20</v>
      </c>
      <c r="L3369" s="704"/>
      <c r="M3369" s="3025" t="s">
        <v>1514</v>
      </c>
      <c r="N3369" s="106"/>
      <c r="O3369" s="106"/>
      <c r="P3369" s="702"/>
      <c r="Q3369" s="702"/>
      <c r="R3369" s="702"/>
      <c r="S3369" s="106"/>
      <c r="T3369" s="486"/>
      <c r="U3369" s="106"/>
      <c r="V3369" s="3980"/>
      <c r="W3369" s="3421">
        <v>20</v>
      </c>
      <c r="X3369" s="3421">
        <v>20</v>
      </c>
      <c r="Y3369" s="3425">
        <v>20</v>
      </c>
      <c r="Z3369" s="3425">
        <v>20</v>
      </c>
      <c r="AA3369" s="3425">
        <v>20</v>
      </c>
      <c r="AB3369" s="583">
        <v>20</v>
      </c>
      <c r="AC3369" s="2920">
        <v>20</v>
      </c>
      <c r="AD3369" s="583">
        <v>20</v>
      </c>
      <c r="AE3369" s="3429"/>
      <c r="AF3369" s="3421"/>
      <c r="AG3369" s="3421"/>
      <c r="AH3369" s="156"/>
      <c r="AI3369" s="156"/>
      <c r="AJ3369" s="156"/>
      <c r="AK3369" s="156"/>
      <c r="AL3369" s="156"/>
      <c r="AM3369" s="156"/>
      <c r="AN3369" s="156"/>
      <c r="AO3369" s="156"/>
      <c r="AP3369" s="156"/>
      <c r="AQ3369" s="156"/>
      <c r="AR3369" s="156"/>
      <c r="AS3369" s="156"/>
      <c r="AT3369" s="156"/>
      <c r="AU3369" s="156"/>
      <c r="AV3369" s="156"/>
      <c r="AW3369" s="156"/>
      <c r="AX3369" s="156"/>
      <c r="AY3369" s="156"/>
      <c r="AZ3369" s="156"/>
      <c r="BA3369" s="156"/>
      <c r="BB3369" s="2828"/>
      <c r="BC3369" s="452"/>
      <c r="BD3369" s="2829"/>
      <c r="BE3369" s="2837"/>
      <c r="BF3369" s="156"/>
    </row>
    <row r="3370" spans="1:58" ht="15" customHeight="1" outlineLevel="1" x14ac:dyDescent="0.35">
      <c r="A3370" s="1664"/>
      <c r="B3370" s="2812"/>
      <c r="C3370" s="3077"/>
      <c r="D3370" s="3980"/>
      <c r="E3370" s="3883"/>
      <c r="F3370" s="3984" t="str">
        <f>$E$1692</f>
        <v>ASHP-SEER20-Replace_CAC_ElectricHeat_ROF_MF_CompE</v>
      </c>
      <c r="G3370" s="3984"/>
      <c r="H3370" s="3984"/>
      <c r="I3370" s="3984"/>
      <c r="J3370" s="3501" t="str">
        <f>$C$1692</f>
        <v>353501_2019_12_</v>
      </c>
      <c r="K3370" s="583">
        <v>20</v>
      </c>
      <c r="L3370" s="704"/>
      <c r="M3370" s="3025" t="s">
        <v>1083</v>
      </c>
      <c r="N3370" s="106"/>
      <c r="O3370" s="106"/>
      <c r="P3370" s="702"/>
      <c r="Q3370" s="702"/>
      <c r="R3370" s="702"/>
      <c r="S3370" s="106"/>
      <c r="T3370" s="486"/>
      <c r="U3370" s="106"/>
      <c r="V3370" s="3980"/>
      <c r="W3370" s="3421"/>
      <c r="X3370" s="3421"/>
      <c r="Y3370" s="2377">
        <v>20</v>
      </c>
      <c r="Z3370" s="3425">
        <v>20</v>
      </c>
      <c r="AA3370" s="3425">
        <v>20</v>
      </c>
      <c r="AB3370" s="583">
        <v>20</v>
      </c>
      <c r="AC3370" s="2920">
        <v>20</v>
      </c>
      <c r="AD3370" s="583">
        <v>20</v>
      </c>
      <c r="AE3370" s="3429"/>
      <c r="AF3370" s="3421"/>
      <c r="AG3370" s="3421"/>
      <c r="AH3370" s="156"/>
      <c r="AI3370" s="156"/>
      <c r="AJ3370" s="156"/>
      <c r="AK3370" s="156"/>
      <c r="AL3370" s="156"/>
      <c r="AM3370" s="156"/>
      <c r="AN3370" s="156"/>
      <c r="AO3370" s="156"/>
      <c r="AP3370" s="156"/>
      <c r="AQ3370" s="156"/>
      <c r="AR3370" s="156"/>
      <c r="AS3370" s="156"/>
      <c r="AT3370" s="156"/>
      <c r="AU3370" s="156"/>
      <c r="AV3370" s="156"/>
      <c r="AW3370" s="156"/>
      <c r="AX3370" s="156"/>
      <c r="AY3370" s="156"/>
      <c r="AZ3370" s="156"/>
      <c r="BA3370" s="156"/>
      <c r="BB3370" s="2828"/>
      <c r="BC3370" s="452"/>
      <c r="BD3370" s="2829"/>
      <c r="BE3370" s="2837"/>
      <c r="BF3370" s="156"/>
    </row>
    <row r="3371" spans="1:58" ht="15" customHeight="1" outlineLevel="1" x14ac:dyDescent="0.35">
      <c r="A3371" s="1664"/>
      <c r="B3371" s="2812"/>
      <c r="C3371" s="3077"/>
      <c r="D3371" s="3980"/>
      <c r="E3371" s="3883"/>
      <c r="F3371" s="3984" t="str">
        <f>$E$1694</f>
        <v>ASHP-SEER20-Replace_CAC_NonElectricHeat_ROF_MF</v>
      </c>
      <c r="G3371" s="3984"/>
      <c r="H3371" s="3984"/>
      <c r="I3371" s="3984"/>
      <c r="J3371" s="3501" t="str">
        <f>$C$1694</f>
        <v>353510_2021_12_</v>
      </c>
      <c r="K3371" s="583">
        <v>20</v>
      </c>
      <c r="L3371" s="704"/>
      <c r="M3371" s="3025" t="s">
        <v>1083</v>
      </c>
      <c r="N3371" s="106"/>
      <c r="O3371" s="106"/>
      <c r="P3371" s="702"/>
      <c r="Q3371" s="702"/>
      <c r="R3371" s="702"/>
      <c r="S3371" s="106"/>
      <c r="T3371" s="486"/>
      <c r="U3371" s="106"/>
      <c r="V3371" s="3980"/>
      <c r="W3371" s="3421"/>
      <c r="X3371" s="3421"/>
      <c r="Y3371" s="2377"/>
      <c r="Z3371" s="3425"/>
      <c r="AA3371" s="3425"/>
      <c r="AB3371" s="583"/>
      <c r="AC3371" s="2919">
        <v>20</v>
      </c>
      <c r="AD3371" s="583">
        <v>20</v>
      </c>
      <c r="AE3371" s="3429"/>
      <c r="AF3371" s="3421"/>
      <c r="AG3371" s="3421"/>
      <c r="AH3371" s="156"/>
      <c r="AI3371" s="156"/>
      <c r="AJ3371" s="156"/>
      <c r="AK3371" s="156"/>
      <c r="AL3371" s="156"/>
      <c r="AM3371" s="156"/>
      <c r="AN3371" s="156"/>
      <c r="AO3371" s="156"/>
      <c r="AP3371" s="156"/>
      <c r="AQ3371" s="156"/>
      <c r="AR3371" s="156"/>
      <c r="AS3371" s="156"/>
      <c r="AT3371" s="156"/>
      <c r="AU3371" s="156"/>
      <c r="AV3371" s="156"/>
      <c r="AW3371" s="156"/>
      <c r="AX3371" s="156"/>
      <c r="AY3371" s="156"/>
      <c r="AZ3371" s="156"/>
      <c r="BA3371" s="156"/>
      <c r="BB3371" s="2828"/>
      <c r="BC3371" s="452"/>
      <c r="BD3371" s="2829"/>
      <c r="BE3371" s="2837"/>
      <c r="BF3371" s="156"/>
    </row>
    <row r="3372" spans="1:58" ht="15" customHeight="1" outlineLevel="1" x14ac:dyDescent="0.35">
      <c r="A3372" s="1664"/>
      <c r="B3372" s="2812"/>
      <c r="C3372" s="3077"/>
      <c r="D3372" s="3980"/>
      <c r="E3372" s="3883"/>
      <c r="F3372" s="3984" t="str">
        <f>$E$1696</f>
        <v>ASHP-SEER20-Replace_CAC_NonElectricHeat_ROF_MF_CompE</v>
      </c>
      <c r="G3372" s="3984"/>
      <c r="H3372" s="3984"/>
      <c r="I3372" s="3984"/>
      <c r="J3372" s="3501" t="str">
        <f>$C$1696</f>
        <v>353511_2021_12_</v>
      </c>
      <c r="K3372" s="583">
        <v>20</v>
      </c>
      <c r="L3372" s="704"/>
      <c r="M3372" s="3025" t="s">
        <v>1083</v>
      </c>
      <c r="N3372" s="106"/>
      <c r="O3372" s="106"/>
      <c r="P3372" s="702"/>
      <c r="Q3372" s="702"/>
      <c r="R3372" s="702"/>
      <c r="S3372" s="106"/>
      <c r="T3372" s="486"/>
      <c r="U3372" s="106"/>
      <c r="V3372" s="3980"/>
      <c r="W3372" s="3421"/>
      <c r="X3372" s="3421"/>
      <c r="Y3372" s="2377"/>
      <c r="Z3372" s="3425"/>
      <c r="AA3372" s="3425"/>
      <c r="AB3372" s="583"/>
      <c r="AC3372" s="2919">
        <v>20</v>
      </c>
      <c r="AD3372" s="583">
        <v>20</v>
      </c>
      <c r="AE3372" s="3429"/>
      <c r="AF3372" s="3421"/>
      <c r="AG3372" s="3421"/>
      <c r="AH3372" s="156"/>
      <c r="AI3372" s="156"/>
      <c r="AJ3372" s="156"/>
      <c r="AK3372" s="156"/>
      <c r="AL3372" s="156"/>
      <c r="AM3372" s="156"/>
      <c r="AN3372" s="156"/>
      <c r="AO3372" s="156"/>
      <c r="AP3372" s="156"/>
      <c r="AQ3372" s="156"/>
      <c r="AR3372" s="156"/>
      <c r="AS3372" s="156"/>
      <c r="AT3372" s="156"/>
      <c r="AU3372" s="156"/>
      <c r="AV3372" s="156"/>
      <c r="AW3372" s="156"/>
      <c r="AX3372" s="156"/>
      <c r="AY3372" s="156"/>
      <c r="AZ3372" s="156"/>
      <c r="BA3372" s="156"/>
      <c r="BB3372" s="2828"/>
      <c r="BC3372" s="452"/>
      <c r="BD3372" s="2829"/>
      <c r="BE3372" s="2837"/>
      <c r="BF3372" s="156"/>
    </row>
    <row r="3373" spans="1:58" ht="15" customHeight="1" outlineLevel="1" x14ac:dyDescent="0.35">
      <c r="A3373" s="1664"/>
      <c r="B3373" s="2812"/>
      <c r="C3373" s="3077"/>
      <c r="D3373" s="3980"/>
      <c r="E3373" s="3883"/>
      <c r="F3373" s="3984" t="str">
        <f>$E$1698</f>
        <v>ASHP-SEER21-Replace_CAC_ElectricHeat_ER1_SF</v>
      </c>
      <c r="G3373" s="3984"/>
      <c r="H3373" s="3984"/>
      <c r="I3373" s="3984"/>
      <c r="J3373" s="3501" t="str">
        <f>$C$1698</f>
        <v>353550_2021_12_</v>
      </c>
      <c r="K3373" s="3050">
        <v>21.551136363636363</v>
      </c>
      <c r="L3373" s="704"/>
      <c r="M3373" s="2819" t="s">
        <v>4360</v>
      </c>
      <c r="N3373" s="106"/>
      <c r="O3373" s="106"/>
      <c r="P3373" s="702"/>
      <c r="Q3373" s="574"/>
      <c r="R3373" s="702"/>
      <c r="S3373" s="106"/>
      <c r="T3373" s="486"/>
      <c r="U3373" s="106"/>
      <c r="V3373" s="3980"/>
      <c r="W3373" s="3421">
        <v>21</v>
      </c>
      <c r="X3373" s="3421">
        <v>21</v>
      </c>
      <c r="Y3373" s="3425">
        <v>21</v>
      </c>
      <c r="Z3373" s="3425">
        <v>21</v>
      </c>
      <c r="AA3373" s="3425">
        <v>21</v>
      </c>
      <c r="AB3373" s="583">
        <v>21</v>
      </c>
      <c r="AC3373" s="2919">
        <v>21.65909090909091</v>
      </c>
      <c r="AD3373" s="3050">
        <v>21.551136363636363</v>
      </c>
      <c r="AE3373" s="3429"/>
      <c r="AF3373" s="3421"/>
      <c r="AG3373" s="3421"/>
      <c r="AH3373" s="156"/>
      <c r="AI3373" s="156"/>
      <c r="AJ3373" s="156"/>
      <c r="AK3373" s="156"/>
      <c r="AL3373" s="156"/>
      <c r="AM3373" s="156"/>
      <c r="AN3373" s="156"/>
      <c r="AO3373" s="156"/>
      <c r="AP3373" s="156"/>
      <c r="AQ3373" s="156"/>
      <c r="AR3373" s="156"/>
      <c r="AS3373" s="156"/>
      <c r="AT3373" s="156"/>
      <c r="AU3373" s="156"/>
      <c r="AV3373" s="156"/>
      <c r="AW3373" s="156"/>
      <c r="AX3373" s="156"/>
      <c r="AY3373" s="156"/>
      <c r="AZ3373" s="156"/>
      <c r="BA3373" s="156"/>
      <c r="BB3373" s="2828"/>
      <c r="BC3373" s="452"/>
      <c r="BD3373" s="2829"/>
      <c r="BE3373" s="2837"/>
      <c r="BF3373" s="156"/>
    </row>
    <row r="3374" spans="1:58" ht="15" customHeight="1" outlineLevel="1" x14ac:dyDescent="0.35">
      <c r="A3374" s="1664"/>
      <c r="B3374" s="2812"/>
      <c r="C3374" s="3077"/>
      <c r="D3374" s="3980"/>
      <c r="E3374" s="3883"/>
      <c r="F3374" s="3984" t="str">
        <f>$E$1700</f>
        <v>ASHP-SEER21-Replace_CAC_ElectricHeat_ER2_SF</v>
      </c>
      <c r="G3374" s="3984"/>
      <c r="H3374" s="3984"/>
      <c r="I3374" s="3984"/>
      <c r="J3374" s="3501" t="str">
        <f>$C$1700</f>
        <v>353550_2021_12_</v>
      </c>
      <c r="K3374" s="3050">
        <v>21.551136363636363</v>
      </c>
      <c r="L3374" s="704"/>
      <c r="M3374" s="2819" t="s">
        <v>4360</v>
      </c>
      <c r="N3374" s="106"/>
      <c r="O3374" s="106"/>
      <c r="P3374" s="702"/>
      <c r="Q3374" s="574"/>
      <c r="R3374" s="702"/>
      <c r="S3374" s="106"/>
      <c r="T3374" s="486"/>
      <c r="U3374" s="106"/>
      <c r="V3374" s="3980"/>
      <c r="W3374" s="3421">
        <v>21</v>
      </c>
      <c r="X3374" s="3421">
        <v>21</v>
      </c>
      <c r="Y3374" s="3425">
        <v>21</v>
      </c>
      <c r="Z3374" s="3425">
        <v>21</v>
      </c>
      <c r="AA3374" s="3425">
        <v>21</v>
      </c>
      <c r="AB3374" s="583">
        <v>21</v>
      </c>
      <c r="AC3374" s="2919">
        <f>AC3373</f>
        <v>21.65909090909091</v>
      </c>
      <c r="AD3374" s="3050">
        <v>21.551136363636363</v>
      </c>
      <c r="AE3374" s="3429"/>
      <c r="AF3374" s="3421"/>
      <c r="AG3374" s="3421"/>
      <c r="AH3374" s="156"/>
      <c r="AI3374" s="156"/>
      <c r="AJ3374" s="156"/>
      <c r="AK3374" s="156"/>
      <c r="AL3374" s="156"/>
      <c r="AM3374" s="156"/>
      <c r="AN3374" s="156"/>
      <c r="AO3374" s="156"/>
      <c r="AP3374" s="156"/>
      <c r="AQ3374" s="156"/>
      <c r="AR3374" s="156"/>
      <c r="AS3374" s="156"/>
      <c r="AT3374" s="156"/>
      <c r="AU3374" s="156"/>
      <c r="AV3374" s="156"/>
      <c r="AW3374" s="156"/>
      <c r="AX3374" s="156"/>
      <c r="AY3374" s="156"/>
      <c r="AZ3374" s="156"/>
      <c r="BA3374" s="156"/>
      <c r="BB3374" s="2828"/>
      <c r="BC3374" s="452"/>
      <c r="BD3374" s="2829"/>
      <c r="BE3374" s="2837"/>
      <c r="BF3374" s="156"/>
    </row>
    <row r="3375" spans="1:58" ht="15" customHeight="1" outlineLevel="1" x14ac:dyDescent="0.35">
      <c r="A3375" s="1664"/>
      <c r="B3375" s="2812"/>
      <c r="C3375" s="3077"/>
      <c r="D3375" s="3980"/>
      <c r="E3375" s="3883"/>
      <c r="F3375" s="3984" t="str">
        <f>$E$1702</f>
        <v>ASHP-SEER21-Replace_CAC_NonElectricHeat_ER1_SF</v>
      </c>
      <c r="G3375" s="3984"/>
      <c r="H3375" s="3984"/>
      <c r="I3375" s="3984"/>
      <c r="J3375" s="3501" t="str">
        <f>$C$1702</f>
        <v>353560_2021_12_</v>
      </c>
      <c r="K3375" s="3050">
        <v>21.551136363636363</v>
      </c>
      <c r="L3375" s="704"/>
      <c r="M3375" s="3025" t="s">
        <v>1083</v>
      </c>
      <c r="N3375" s="106"/>
      <c r="O3375" s="106"/>
      <c r="P3375" s="702"/>
      <c r="Q3375" s="574"/>
      <c r="R3375" s="702"/>
      <c r="S3375" s="106"/>
      <c r="T3375" s="486"/>
      <c r="U3375" s="106"/>
      <c r="V3375" s="3980"/>
      <c r="W3375" s="3421"/>
      <c r="X3375" s="3421"/>
      <c r="Y3375" s="3425"/>
      <c r="Z3375" s="3425"/>
      <c r="AA3375" s="3425"/>
      <c r="AB3375" s="583"/>
      <c r="AC3375" s="2919">
        <v>21.65909090909091</v>
      </c>
      <c r="AD3375" s="3050">
        <v>21.551136363636363</v>
      </c>
      <c r="AE3375" s="3429"/>
      <c r="AF3375" s="3421"/>
      <c r="AG3375" s="3421"/>
      <c r="AH3375" s="156"/>
      <c r="AI3375" s="156"/>
      <c r="AJ3375" s="156"/>
      <c r="AK3375" s="156"/>
      <c r="AL3375" s="156"/>
      <c r="AM3375" s="156"/>
      <c r="AN3375" s="156"/>
      <c r="AO3375" s="156"/>
      <c r="AP3375" s="156"/>
      <c r="AQ3375" s="156"/>
      <c r="AR3375" s="156"/>
      <c r="AS3375" s="156"/>
      <c r="AT3375" s="156"/>
      <c r="AU3375" s="156"/>
      <c r="AV3375" s="156"/>
      <c r="AW3375" s="156"/>
      <c r="AX3375" s="156"/>
      <c r="AY3375" s="156"/>
      <c r="AZ3375" s="156"/>
      <c r="BA3375" s="156"/>
      <c r="BB3375" s="2828"/>
      <c r="BC3375" s="452"/>
      <c r="BD3375" s="2829"/>
      <c r="BE3375" s="2837"/>
      <c r="BF3375" s="156"/>
    </row>
    <row r="3376" spans="1:58" ht="15" customHeight="1" outlineLevel="1" x14ac:dyDescent="0.35">
      <c r="A3376" s="1664"/>
      <c r="B3376" s="2812"/>
      <c r="C3376" s="3077"/>
      <c r="D3376" s="3980"/>
      <c r="E3376" s="3883"/>
      <c r="F3376" s="3984" t="str">
        <f>$E$1704</f>
        <v>ASHP-SEER21-Replace_CAC_NonElectricHeat_ER2_SF</v>
      </c>
      <c r="G3376" s="3984"/>
      <c r="H3376" s="3984"/>
      <c r="I3376" s="3984"/>
      <c r="J3376" s="3501" t="str">
        <f>$C$1704</f>
        <v>353560_2021_12_</v>
      </c>
      <c r="K3376" s="3050">
        <v>21.551136363636363</v>
      </c>
      <c r="L3376" s="704"/>
      <c r="M3376" s="3025" t="s">
        <v>1083</v>
      </c>
      <c r="N3376" s="106"/>
      <c r="O3376" s="106"/>
      <c r="P3376" s="702"/>
      <c r="Q3376" s="574"/>
      <c r="R3376" s="702"/>
      <c r="S3376" s="106"/>
      <c r="T3376" s="486"/>
      <c r="U3376" s="106"/>
      <c r="V3376" s="3980"/>
      <c r="W3376" s="3421"/>
      <c r="X3376" s="3421"/>
      <c r="Y3376" s="3425"/>
      <c r="Z3376" s="3425"/>
      <c r="AA3376" s="3425"/>
      <c r="AB3376" s="583"/>
      <c r="AC3376" s="2919">
        <f>AC3375</f>
        <v>21.65909090909091</v>
      </c>
      <c r="AD3376" s="3050">
        <v>21.551136363636363</v>
      </c>
      <c r="AE3376" s="3429"/>
      <c r="AF3376" s="3421"/>
      <c r="AG3376" s="3421"/>
      <c r="AH3376" s="156"/>
      <c r="AI3376" s="156"/>
      <c r="AJ3376" s="156"/>
      <c r="AK3376" s="156"/>
      <c r="AL3376" s="156"/>
      <c r="AM3376" s="156"/>
      <c r="AN3376" s="156"/>
      <c r="AO3376" s="156"/>
      <c r="AP3376" s="156"/>
      <c r="AQ3376" s="156"/>
      <c r="AR3376" s="156"/>
      <c r="AS3376" s="156"/>
      <c r="AT3376" s="156"/>
      <c r="AU3376" s="156"/>
      <c r="AV3376" s="156"/>
      <c r="AW3376" s="156"/>
      <c r="AX3376" s="156"/>
      <c r="AY3376" s="156"/>
      <c r="AZ3376" s="156"/>
      <c r="BA3376" s="156"/>
      <c r="BB3376" s="2828"/>
      <c r="BC3376" s="452"/>
      <c r="BD3376" s="2829"/>
      <c r="BE3376" s="2837"/>
      <c r="BF3376" s="156"/>
    </row>
    <row r="3377" spans="1:58" ht="15" customHeight="1" outlineLevel="1" x14ac:dyDescent="0.35">
      <c r="A3377" s="1664"/>
      <c r="B3377" s="2812"/>
      <c r="C3377" s="3077"/>
      <c r="D3377" s="3980"/>
      <c r="E3377" s="3883"/>
      <c r="F3377" s="3984" t="str">
        <f>$E$1706</f>
        <v>ASHP-SEER21-Replace_CAC_ElectricHeat_ER1_MF</v>
      </c>
      <c r="G3377" s="3984"/>
      <c r="H3377" s="3984"/>
      <c r="I3377" s="3984"/>
      <c r="J3377" s="3501" t="str">
        <f>$C$1706</f>
        <v>353600_2019_12_</v>
      </c>
      <c r="K3377" s="583">
        <v>21</v>
      </c>
      <c r="L3377" s="704"/>
      <c r="M3377" s="3025" t="s">
        <v>1514</v>
      </c>
      <c r="N3377" s="106"/>
      <c r="O3377" s="106"/>
      <c r="P3377" s="702"/>
      <c r="Q3377" s="574"/>
      <c r="R3377" s="702"/>
      <c r="S3377" s="106"/>
      <c r="T3377" s="486"/>
      <c r="U3377" s="106"/>
      <c r="V3377" s="3980"/>
      <c r="W3377" s="3421">
        <v>21</v>
      </c>
      <c r="X3377" s="3421">
        <v>21</v>
      </c>
      <c r="Y3377" s="3425">
        <v>21</v>
      </c>
      <c r="Z3377" s="3425">
        <v>21</v>
      </c>
      <c r="AA3377" s="3425">
        <v>21</v>
      </c>
      <c r="AB3377" s="583">
        <v>21</v>
      </c>
      <c r="AC3377" s="2920">
        <v>21</v>
      </c>
      <c r="AD3377" s="583">
        <v>21</v>
      </c>
      <c r="AE3377" s="3429"/>
      <c r="AF3377" s="3421"/>
      <c r="AG3377" s="3421"/>
      <c r="AH3377" s="156"/>
      <c r="AI3377" s="156"/>
      <c r="AJ3377" s="156"/>
      <c r="AK3377" s="156"/>
      <c r="AL3377" s="156"/>
      <c r="AM3377" s="156"/>
      <c r="AN3377" s="156"/>
      <c r="AO3377" s="156"/>
      <c r="AP3377" s="156"/>
      <c r="AQ3377" s="156"/>
      <c r="AR3377" s="156"/>
      <c r="AS3377" s="156"/>
      <c r="AT3377" s="156"/>
      <c r="AU3377" s="156"/>
      <c r="AV3377" s="156"/>
      <c r="AW3377" s="156"/>
      <c r="AX3377" s="156"/>
      <c r="AY3377" s="156"/>
      <c r="AZ3377" s="156"/>
      <c r="BA3377" s="156"/>
      <c r="BB3377" s="2828"/>
      <c r="BC3377" s="452"/>
      <c r="BD3377" s="2829"/>
      <c r="BE3377" s="2837"/>
      <c r="BF3377" s="156"/>
    </row>
    <row r="3378" spans="1:58" ht="15" customHeight="1" outlineLevel="1" x14ac:dyDescent="0.35">
      <c r="A3378" s="1664"/>
      <c r="B3378" s="2812"/>
      <c r="C3378" s="3077"/>
      <c r="D3378" s="3980"/>
      <c r="E3378" s="3883"/>
      <c r="F3378" s="3984" t="str">
        <f>$E$1708</f>
        <v>ASHP-SEER21-Replace_CAC_ElectricHeat_ER2_MF</v>
      </c>
      <c r="G3378" s="3984"/>
      <c r="H3378" s="3984"/>
      <c r="I3378" s="3984"/>
      <c r="J3378" s="3501" t="str">
        <f>$C$1708</f>
        <v>353600_2019_12_</v>
      </c>
      <c r="K3378" s="583">
        <v>21</v>
      </c>
      <c r="L3378" s="704"/>
      <c r="M3378" s="3025" t="s">
        <v>1514</v>
      </c>
      <c r="N3378" s="106"/>
      <c r="O3378" s="106"/>
      <c r="P3378" s="702"/>
      <c r="Q3378" s="574"/>
      <c r="R3378" s="702"/>
      <c r="S3378" s="106"/>
      <c r="T3378" s="486"/>
      <c r="U3378" s="106"/>
      <c r="V3378" s="3980"/>
      <c r="W3378" s="3421">
        <v>21</v>
      </c>
      <c r="X3378" s="3421">
        <v>21</v>
      </c>
      <c r="Y3378" s="3425">
        <v>21</v>
      </c>
      <c r="Z3378" s="3425">
        <v>21</v>
      </c>
      <c r="AA3378" s="3425">
        <v>21</v>
      </c>
      <c r="AB3378" s="583">
        <v>21</v>
      </c>
      <c r="AC3378" s="2920">
        <v>21</v>
      </c>
      <c r="AD3378" s="583">
        <v>21</v>
      </c>
      <c r="AE3378" s="3429"/>
      <c r="AF3378" s="3421"/>
      <c r="AG3378" s="3421"/>
      <c r="AH3378" s="156"/>
      <c r="AI3378" s="156"/>
      <c r="AJ3378" s="156"/>
      <c r="AK3378" s="156"/>
      <c r="AL3378" s="156"/>
      <c r="AM3378" s="156"/>
      <c r="AN3378" s="156"/>
      <c r="AO3378" s="156"/>
      <c r="AP3378" s="156"/>
      <c r="AQ3378" s="156"/>
      <c r="AR3378" s="156"/>
      <c r="AS3378" s="156"/>
      <c r="AT3378" s="156"/>
      <c r="AU3378" s="156"/>
      <c r="AV3378" s="156"/>
      <c r="AW3378" s="156"/>
      <c r="AX3378" s="156"/>
      <c r="AY3378" s="156"/>
      <c r="AZ3378" s="156"/>
      <c r="BA3378" s="156"/>
      <c r="BB3378" s="2828"/>
      <c r="BC3378" s="452"/>
      <c r="BD3378" s="2829"/>
      <c r="BE3378" s="2837"/>
      <c r="BF3378" s="156"/>
    </row>
    <row r="3379" spans="1:58" ht="15" customHeight="1" outlineLevel="1" x14ac:dyDescent="0.35">
      <c r="A3379" s="1664"/>
      <c r="B3379" s="2812"/>
      <c r="C3379" s="3077"/>
      <c r="D3379" s="3980"/>
      <c r="E3379" s="3883"/>
      <c r="F3379" s="3984" t="str">
        <f>$E$1710</f>
        <v>ASHP-SEER21-Replace_CAC_ElectricHeat_ER1_MF_CompE</v>
      </c>
      <c r="G3379" s="3984"/>
      <c r="H3379" s="3984"/>
      <c r="I3379" s="3984"/>
      <c r="J3379" s="3501" t="str">
        <f>$C$1710</f>
        <v>353601_2019_12_</v>
      </c>
      <c r="K3379" s="583">
        <v>21</v>
      </c>
      <c r="L3379" s="704"/>
      <c r="M3379" s="3025" t="s">
        <v>1083</v>
      </c>
      <c r="N3379" s="106"/>
      <c r="O3379" s="106"/>
      <c r="P3379" s="702"/>
      <c r="Q3379" s="574"/>
      <c r="R3379" s="702"/>
      <c r="S3379" s="106"/>
      <c r="T3379" s="486"/>
      <c r="U3379" s="106"/>
      <c r="V3379" s="3980"/>
      <c r="W3379" s="3421"/>
      <c r="X3379" s="3421"/>
      <c r="Y3379" s="2377">
        <v>21</v>
      </c>
      <c r="Z3379" s="3425">
        <v>21</v>
      </c>
      <c r="AA3379" s="3425">
        <v>21</v>
      </c>
      <c r="AB3379" s="583">
        <v>21</v>
      </c>
      <c r="AC3379" s="2920">
        <v>21</v>
      </c>
      <c r="AD3379" s="583">
        <v>21</v>
      </c>
      <c r="AE3379" s="3429"/>
      <c r="AF3379" s="3421"/>
      <c r="AG3379" s="3421"/>
      <c r="AH3379" s="156"/>
      <c r="AI3379" s="156"/>
      <c r="AJ3379" s="156"/>
      <c r="AK3379" s="156"/>
      <c r="AL3379" s="156"/>
      <c r="AM3379" s="156"/>
      <c r="AN3379" s="156"/>
      <c r="AO3379" s="156"/>
      <c r="AP3379" s="156"/>
      <c r="AQ3379" s="156"/>
      <c r="AR3379" s="156"/>
      <c r="AS3379" s="156"/>
      <c r="AT3379" s="156"/>
      <c r="AU3379" s="156"/>
      <c r="AV3379" s="156"/>
      <c r="AW3379" s="156"/>
      <c r="AX3379" s="156"/>
      <c r="AY3379" s="156"/>
      <c r="AZ3379" s="156"/>
      <c r="BA3379" s="156"/>
      <c r="BB3379" s="2828"/>
      <c r="BC3379" s="452"/>
      <c r="BD3379" s="2829"/>
      <c r="BE3379" s="2837"/>
      <c r="BF3379" s="156"/>
    </row>
    <row r="3380" spans="1:58" ht="15" customHeight="1" outlineLevel="1" x14ac:dyDescent="0.35">
      <c r="A3380" s="1664"/>
      <c r="B3380" s="2812"/>
      <c r="C3380" s="3077"/>
      <c r="D3380" s="3980"/>
      <c r="E3380" s="3883"/>
      <c r="F3380" s="3984" t="str">
        <f>$E$1712</f>
        <v>ASHP-SEER21-Replace_CAC_ElectricHeat_ER2_MF_CompE</v>
      </c>
      <c r="G3380" s="3984"/>
      <c r="H3380" s="3984"/>
      <c r="I3380" s="3984"/>
      <c r="J3380" s="3501" t="str">
        <f>$C$1712</f>
        <v>353601_2019_12_</v>
      </c>
      <c r="K3380" s="583">
        <v>21</v>
      </c>
      <c r="L3380" s="704"/>
      <c r="M3380" s="3025" t="s">
        <v>1083</v>
      </c>
      <c r="N3380" s="106"/>
      <c r="O3380" s="106"/>
      <c r="P3380" s="702"/>
      <c r="Q3380" s="574"/>
      <c r="R3380" s="702"/>
      <c r="S3380" s="106"/>
      <c r="T3380" s="486"/>
      <c r="U3380" s="106"/>
      <c r="V3380" s="3980"/>
      <c r="W3380" s="3421"/>
      <c r="X3380" s="3421"/>
      <c r="Y3380" s="2377">
        <v>21</v>
      </c>
      <c r="Z3380" s="3425">
        <v>21</v>
      </c>
      <c r="AA3380" s="3425">
        <v>21</v>
      </c>
      <c r="AB3380" s="583">
        <v>21</v>
      </c>
      <c r="AC3380" s="2920">
        <v>21</v>
      </c>
      <c r="AD3380" s="583">
        <v>21</v>
      </c>
      <c r="AE3380" s="3429"/>
      <c r="AF3380" s="3421"/>
      <c r="AG3380" s="3421"/>
      <c r="AH3380" s="156"/>
      <c r="AI3380" s="156"/>
      <c r="AJ3380" s="156"/>
      <c r="AK3380" s="156"/>
      <c r="AL3380" s="156"/>
      <c r="AM3380" s="156"/>
      <c r="AN3380" s="156"/>
      <c r="AO3380" s="156"/>
      <c r="AP3380" s="156"/>
      <c r="AQ3380" s="156"/>
      <c r="AR3380" s="156"/>
      <c r="AS3380" s="156"/>
      <c r="AT3380" s="156"/>
      <c r="AU3380" s="156"/>
      <c r="AV3380" s="156"/>
      <c r="AW3380" s="156"/>
      <c r="AX3380" s="156"/>
      <c r="AY3380" s="156"/>
      <c r="AZ3380" s="156"/>
      <c r="BA3380" s="156"/>
      <c r="BB3380" s="2828"/>
      <c r="BC3380" s="452"/>
      <c r="BD3380" s="2829"/>
      <c r="BE3380" s="2837"/>
      <c r="BF3380" s="156"/>
    </row>
    <row r="3381" spans="1:58" ht="15" customHeight="1" outlineLevel="1" x14ac:dyDescent="0.35">
      <c r="A3381" s="1664"/>
      <c r="B3381" s="2812"/>
      <c r="C3381" s="3077"/>
      <c r="D3381" s="3980"/>
      <c r="E3381" s="3883"/>
      <c r="F3381" s="3984" t="str">
        <f>$E$1714</f>
        <v>ASHP-SEER21-Replace_CAC_NonElectricHeat_ER1_MF</v>
      </c>
      <c r="G3381" s="3984"/>
      <c r="H3381" s="3984"/>
      <c r="I3381" s="3984"/>
      <c r="J3381" s="3501" t="str">
        <f>$C$1714</f>
        <v>353610_2021_12_</v>
      </c>
      <c r="K3381" s="583">
        <v>21</v>
      </c>
      <c r="L3381" s="704"/>
      <c r="M3381" s="3025" t="s">
        <v>1083</v>
      </c>
      <c r="N3381" s="106"/>
      <c r="O3381" s="106"/>
      <c r="P3381" s="702"/>
      <c r="Q3381" s="574"/>
      <c r="R3381" s="702"/>
      <c r="S3381" s="106"/>
      <c r="T3381" s="486"/>
      <c r="U3381" s="106"/>
      <c r="V3381" s="3980"/>
      <c r="W3381" s="3421"/>
      <c r="X3381" s="3421"/>
      <c r="Y3381" s="2377"/>
      <c r="Z3381" s="3425"/>
      <c r="AA3381" s="3425"/>
      <c r="AB3381" s="583"/>
      <c r="AC3381" s="2919">
        <v>21</v>
      </c>
      <c r="AD3381" s="583">
        <v>21</v>
      </c>
      <c r="AE3381" s="3429"/>
      <c r="AF3381" s="3421"/>
      <c r="AG3381" s="3421"/>
      <c r="AH3381" s="156"/>
      <c r="AI3381" s="156"/>
      <c r="AJ3381" s="156"/>
      <c r="AK3381" s="156"/>
      <c r="AL3381" s="156"/>
      <c r="AM3381" s="156"/>
      <c r="AN3381" s="156"/>
      <c r="AO3381" s="156"/>
      <c r="AP3381" s="156"/>
      <c r="AQ3381" s="156"/>
      <c r="AR3381" s="156"/>
      <c r="AS3381" s="156"/>
      <c r="AT3381" s="156"/>
      <c r="AU3381" s="156"/>
      <c r="AV3381" s="156"/>
      <c r="AW3381" s="156"/>
      <c r="AX3381" s="156"/>
      <c r="AY3381" s="156"/>
      <c r="AZ3381" s="156"/>
      <c r="BA3381" s="156"/>
      <c r="BB3381" s="2828"/>
      <c r="BC3381" s="452"/>
      <c r="BD3381" s="2829"/>
      <c r="BE3381" s="2837"/>
      <c r="BF3381" s="156"/>
    </row>
    <row r="3382" spans="1:58" ht="15" customHeight="1" outlineLevel="1" x14ac:dyDescent="0.35">
      <c r="A3382" s="1664"/>
      <c r="B3382" s="2812"/>
      <c r="C3382" s="3077"/>
      <c r="D3382" s="3980"/>
      <c r="E3382" s="3883"/>
      <c r="F3382" s="3984" t="str">
        <f>$E$1716</f>
        <v>ASHP-SEER21-Replace_CAC_NonElectricHeat_ER2_MF</v>
      </c>
      <c r="G3382" s="3984"/>
      <c r="H3382" s="3984"/>
      <c r="I3382" s="3984"/>
      <c r="J3382" s="3501" t="str">
        <f>$C$1716</f>
        <v>353610_2021_12_</v>
      </c>
      <c r="K3382" s="583">
        <v>21</v>
      </c>
      <c r="L3382" s="704"/>
      <c r="M3382" s="3025" t="s">
        <v>1083</v>
      </c>
      <c r="N3382" s="106"/>
      <c r="O3382" s="106"/>
      <c r="P3382" s="702"/>
      <c r="Q3382" s="574"/>
      <c r="R3382" s="702"/>
      <c r="S3382" s="106"/>
      <c r="T3382" s="486"/>
      <c r="U3382" s="106"/>
      <c r="V3382" s="3980"/>
      <c r="W3382" s="3421"/>
      <c r="X3382" s="3421"/>
      <c r="Y3382" s="2377"/>
      <c r="Z3382" s="3425"/>
      <c r="AA3382" s="3425"/>
      <c r="AB3382" s="583"/>
      <c r="AC3382" s="2919">
        <v>21</v>
      </c>
      <c r="AD3382" s="583">
        <v>21</v>
      </c>
      <c r="AE3382" s="3429"/>
      <c r="AF3382" s="3421"/>
      <c r="AG3382" s="3421"/>
      <c r="AH3382" s="156"/>
      <c r="AI3382" s="156"/>
      <c r="AJ3382" s="156"/>
      <c r="AK3382" s="156"/>
      <c r="AL3382" s="156"/>
      <c r="AM3382" s="156"/>
      <c r="AN3382" s="156"/>
      <c r="AO3382" s="156"/>
      <c r="AP3382" s="156"/>
      <c r="AQ3382" s="156"/>
      <c r="AR3382" s="156"/>
      <c r="AS3382" s="156"/>
      <c r="AT3382" s="156"/>
      <c r="AU3382" s="156"/>
      <c r="AV3382" s="156"/>
      <c r="AW3382" s="156"/>
      <c r="AX3382" s="156"/>
      <c r="AY3382" s="156"/>
      <c r="AZ3382" s="156"/>
      <c r="BA3382" s="156"/>
      <c r="BB3382" s="2828"/>
      <c r="BC3382" s="452"/>
      <c r="BD3382" s="2829"/>
      <c r="BE3382" s="2837"/>
      <c r="BF3382" s="156"/>
    </row>
    <row r="3383" spans="1:58" ht="15" customHeight="1" outlineLevel="1" x14ac:dyDescent="0.35">
      <c r="A3383" s="1664"/>
      <c r="B3383" s="2812"/>
      <c r="C3383" s="3077"/>
      <c r="D3383" s="3980"/>
      <c r="E3383" s="3883"/>
      <c r="F3383" s="3984" t="str">
        <f>$E$1718</f>
        <v>ASHP-SEER21-Replace_CAC_NonElectricHeat_ER1_MF_CompE</v>
      </c>
      <c r="G3383" s="3984"/>
      <c r="H3383" s="3984"/>
      <c r="I3383" s="3984"/>
      <c r="J3383" s="3501" t="str">
        <f>$C$1718</f>
        <v>353611_2021_12_</v>
      </c>
      <c r="K3383" s="583">
        <v>21</v>
      </c>
      <c r="L3383" s="704"/>
      <c r="M3383" s="3025" t="s">
        <v>1083</v>
      </c>
      <c r="N3383" s="106"/>
      <c r="O3383" s="106"/>
      <c r="P3383" s="702"/>
      <c r="Q3383" s="574"/>
      <c r="R3383" s="702"/>
      <c r="S3383" s="106"/>
      <c r="T3383" s="486"/>
      <c r="U3383" s="106"/>
      <c r="V3383" s="3980"/>
      <c r="W3383" s="3421"/>
      <c r="X3383" s="3421"/>
      <c r="Y3383" s="2377"/>
      <c r="Z3383" s="3425"/>
      <c r="AA3383" s="3425"/>
      <c r="AB3383" s="583"/>
      <c r="AC3383" s="2919">
        <v>21</v>
      </c>
      <c r="AD3383" s="583">
        <v>21</v>
      </c>
      <c r="AE3383" s="3429"/>
      <c r="AF3383" s="3421"/>
      <c r="AG3383" s="3421"/>
      <c r="AH3383" s="156"/>
      <c r="AI3383" s="156"/>
      <c r="AJ3383" s="156"/>
      <c r="AK3383" s="156"/>
      <c r="AL3383" s="156"/>
      <c r="AM3383" s="156"/>
      <c r="AN3383" s="156"/>
      <c r="AO3383" s="156"/>
      <c r="AP3383" s="156"/>
      <c r="AQ3383" s="156"/>
      <c r="AR3383" s="156"/>
      <c r="AS3383" s="156"/>
      <c r="AT3383" s="156"/>
      <c r="AU3383" s="156"/>
      <c r="AV3383" s="156"/>
      <c r="AW3383" s="156"/>
      <c r="AX3383" s="156"/>
      <c r="AY3383" s="156"/>
      <c r="AZ3383" s="156"/>
      <c r="BA3383" s="156"/>
      <c r="BB3383" s="2828"/>
      <c r="BC3383" s="452"/>
      <c r="BD3383" s="2829"/>
      <c r="BE3383" s="2837"/>
      <c r="BF3383" s="156"/>
    </row>
    <row r="3384" spans="1:58" ht="15" customHeight="1" outlineLevel="1" x14ac:dyDescent="0.35">
      <c r="A3384" s="1664"/>
      <c r="B3384" s="2812"/>
      <c r="C3384" s="3077"/>
      <c r="D3384" s="3980"/>
      <c r="E3384" s="3883"/>
      <c r="F3384" s="3984" t="str">
        <f>$E$1720</f>
        <v>ASHP-SEER21-Replace_CAC_NonElectricHeat_ER2_MF_CompE</v>
      </c>
      <c r="G3384" s="3984"/>
      <c r="H3384" s="3984"/>
      <c r="I3384" s="3984"/>
      <c r="J3384" s="3501" t="str">
        <f>$C$1720</f>
        <v>353611_2021_12_</v>
      </c>
      <c r="K3384" s="583">
        <v>21</v>
      </c>
      <c r="L3384" s="704"/>
      <c r="M3384" s="3025" t="s">
        <v>1083</v>
      </c>
      <c r="N3384" s="106"/>
      <c r="O3384" s="106"/>
      <c r="P3384" s="702"/>
      <c r="Q3384" s="574"/>
      <c r="R3384" s="702"/>
      <c r="S3384" s="106"/>
      <c r="T3384" s="486"/>
      <c r="U3384" s="106"/>
      <c r="V3384" s="3980"/>
      <c r="W3384" s="3421"/>
      <c r="X3384" s="3421"/>
      <c r="Y3384" s="2377"/>
      <c r="Z3384" s="3425"/>
      <c r="AA3384" s="3425"/>
      <c r="AB3384" s="583"/>
      <c r="AC3384" s="2919">
        <v>21</v>
      </c>
      <c r="AD3384" s="583">
        <v>21</v>
      </c>
      <c r="AE3384" s="3429"/>
      <c r="AF3384" s="3421"/>
      <c r="AG3384" s="3421"/>
      <c r="AH3384" s="156"/>
      <c r="AI3384" s="156"/>
      <c r="AJ3384" s="156"/>
      <c r="AK3384" s="156"/>
      <c r="AL3384" s="156"/>
      <c r="AM3384" s="156"/>
      <c r="AN3384" s="156"/>
      <c r="AO3384" s="156"/>
      <c r="AP3384" s="156"/>
      <c r="AQ3384" s="156"/>
      <c r="AR3384" s="156"/>
      <c r="AS3384" s="156"/>
      <c r="AT3384" s="156"/>
      <c r="AU3384" s="156"/>
      <c r="AV3384" s="156"/>
      <c r="AW3384" s="156"/>
      <c r="AX3384" s="156"/>
      <c r="AY3384" s="156"/>
      <c r="AZ3384" s="156"/>
      <c r="BA3384" s="156"/>
      <c r="BB3384" s="2828"/>
      <c r="BC3384" s="452"/>
      <c r="BD3384" s="2829"/>
      <c r="BE3384" s="2837"/>
      <c r="BF3384" s="156"/>
    </row>
    <row r="3385" spans="1:58" ht="15" customHeight="1" outlineLevel="1" x14ac:dyDescent="0.35">
      <c r="A3385" s="1664"/>
      <c r="B3385" s="2812"/>
      <c r="C3385" s="3077"/>
      <c r="D3385" s="3980"/>
      <c r="E3385" s="3883"/>
      <c r="F3385" s="3984" t="str">
        <f>$E$1722</f>
        <v>ASHP-SEER21-Replace_CAC_ElectricHeat_ROF_SF</v>
      </c>
      <c r="G3385" s="3984"/>
      <c r="H3385" s="3984"/>
      <c r="I3385" s="3984"/>
      <c r="J3385" s="3501" t="str">
        <f>$C$1722</f>
        <v>353650_2021_12_</v>
      </c>
      <c r="K3385" s="3050">
        <v>21.59375</v>
      </c>
      <c r="L3385" s="704"/>
      <c r="M3385" s="2819" t="s">
        <v>4360</v>
      </c>
      <c r="N3385" s="106"/>
      <c r="O3385" s="106"/>
      <c r="P3385" s="702"/>
      <c r="Q3385" s="574"/>
      <c r="R3385" s="702"/>
      <c r="S3385" s="106"/>
      <c r="T3385" s="486"/>
      <c r="U3385" s="106"/>
      <c r="V3385" s="3980"/>
      <c r="W3385" s="3421">
        <v>21</v>
      </c>
      <c r="X3385" s="3421">
        <v>21</v>
      </c>
      <c r="Y3385" s="3425">
        <v>21</v>
      </c>
      <c r="Z3385" s="3425">
        <v>21</v>
      </c>
      <c r="AA3385" s="3425">
        <v>21</v>
      </c>
      <c r="AB3385" s="583">
        <v>21</v>
      </c>
      <c r="AC3385" s="2919">
        <v>21.5</v>
      </c>
      <c r="AD3385" s="3050">
        <v>21.59375</v>
      </c>
      <c r="AE3385" s="3429"/>
      <c r="AF3385" s="3421"/>
      <c r="AG3385" s="3421"/>
      <c r="AH3385" s="156"/>
      <c r="AI3385" s="156"/>
      <c r="AJ3385" s="156"/>
      <c r="AK3385" s="156"/>
      <c r="AL3385" s="156"/>
      <c r="AM3385" s="156"/>
      <c r="AN3385" s="156"/>
      <c r="AO3385" s="156"/>
      <c r="AP3385" s="156"/>
      <c r="AQ3385" s="156"/>
      <c r="AR3385" s="156"/>
      <c r="AS3385" s="156"/>
      <c r="AT3385" s="156"/>
      <c r="AU3385" s="156"/>
      <c r="AV3385" s="156"/>
      <c r="AW3385" s="156"/>
      <c r="AX3385" s="156"/>
      <c r="AY3385" s="156"/>
      <c r="AZ3385" s="156"/>
      <c r="BA3385" s="156"/>
      <c r="BB3385" s="2828"/>
      <c r="BC3385" s="452"/>
      <c r="BD3385" s="2829"/>
      <c r="BE3385" s="2837"/>
      <c r="BF3385" s="156"/>
    </row>
    <row r="3386" spans="1:58" s="3398" customFormat="1" ht="15" customHeight="1" outlineLevel="1" x14ac:dyDescent="0.35">
      <c r="A3386" s="1664"/>
      <c r="B3386" s="2812"/>
      <c r="C3386" s="3077"/>
      <c r="D3386" s="3980"/>
      <c r="E3386" s="3883"/>
      <c r="F3386" s="4136" t="str">
        <f>$E$1724</f>
        <v>ASHP-SEER21-Replace_CAC_NonElectricHeat_ROF_SF</v>
      </c>
      <c r="G3386" s="4136"/>
      <c r="H3386" s="4136"/>
      <c r="I3386" s="4136"/>
      <c r="J3386" s="3502" t="str">
        <f>$C$1724</f>
        <v>353660_2022_12_</v>
      </c>
      <c r="K3386" s="3050">
        <v>21.59375</v>
      </c>
      <c r="L3386" s="704"/>
      <c r="M3386" s="2819" t="s">
        <v>1083</v>
      </c>
      <c r="P3386" s="702"/>
      <c r="Q3386" s="574"/>
      <c r="R3386" s="702"/>
      <c r="T3386" s="3397"/>
      <c r="V3386" s="3980"/>
      <c r="W3386" s="3421"/>
      <c r="X3386" s="3421"/>
      <c r="Y3386" s="3425"/>
      <c r="Z3386" s="3425"/>
      <c r="AA3386" s="3425"/>
      <c r="AB3386" s="583"/>
      <c r="AC3386" s="2920"/>
      <c r="AD3386" s="3050">
        <v>21.59375</v>
      </c>
      <c r="AE3386" s="3429"/>
      <c r="AF3386" s="3421"/>
      <c r="AG3386" s="3421"/>
      <c r="AH3386" s="156"/>
      <c r="AI3386" s="156"/>
      <c r="AJ3386" s="156"/>
      <c r="AK3386" s="156"/>
      <c r="AL3386" s="156"/>
      <c r="AM3386" s="156"/>
      <c r="AN3386" s="156"/>
      <c r="AO3386" s="156"/>
      <c r="AP3386" s="156"/>
      <c r="AQ3386" s="156"/>
      <c r="AR3386" s="156"/>
      <c r="AS3386" s="156"/>
      <c r="AT3386" s="156"/>
      <c r="AU3386" s="156"/>
      <c r="AV3386" s="156"/>
      <c r="AW3386" s="156"/>
      <c r="AX3386" s="156"/>
      <c r="AY3386" s="156"/>
      <c r="AZ3386" s="156"/>
      <c r="BA3386" s="156"/>
      <c r="BB3386" s="2828"/>
      <c r="BC3386" s="452"/>
      <c r="BD3386" s="2829"/>
      <c r="BE3386" s="2837"/>
      <c r="BF3386" s="156"/>
    </row>
    <row r="3387" spans="1:58" ht="15" customHeight="1" outlineLevel="1" x14ac:dyDescent="0.35">
      <c r="A3387" s="1664"/>
      <c r="B3387" s="2812"/>
      <c r="C3387" s="3077"/>
      <c r="D3387" s="3980"/>
      <c r="E3387" s="3883"/>
      <c r="F3387" s="3984" t="str">
        <f>$E$1726</f>
        <v>ASHP-SEER21+-Replace_CAC_ElectricHeat_ROF_MF</v>
      </c>
      <c r="G3387" s="3984"/>
      <c r="H3387" s="3984"/>
      <c r="I3387" s="3984"/>
      <c r="J3387" s="3501" t="str">
        <f>$C$1726</f>
        <v>353700_2019_12_</v>
      </c>
      <c r="K3387" s="583">
        <v>21</v>
      </c>
      <c r="L3387" s="704"/>
      <c r="M3387" s="3025" t="s">
        <v>1514</v>
      </c>
      <c r="N3387" s="106"/>
      <c r="O3387" s="106"/>
      <c r="P3387" s="702"/>
      <c r="Q3387" s="574"/>
      <c r="R3387" s="702"/>
      <c r="S3387" s="106"/>
      <c r="T3387" s="486"/>
      <c r="U3387" s="106"/>
      <c r="V3387" s="3980"/>
      <c r="W3387" s="3421">
        <v>21</v>
      </c>
      <c r="X3387" s="3421">
        <v>21</v>
      </c>
      <c r="Y3387" s="3425">
        <v>21</v>
      </c>
      <c r="Z3387" s="3425">
        <v>21</v>
      </c>
      <c r="AA3387" s="3425">
        <v>21</v>
      </c>
      <c r="AB3387" s="583">
        <v>21</v>
      </c>
      <c r="AC3387" s="2920">
        <v>21</v>
      </c>
      <c r="AD3387" s="583">
        <v>21</v>
      </c>
      <c r="AE3387" s="3429"/>
      <c r="AF3387" s="3421"/>
      <c r="AG3387" s="3421"/>
      <c r="AH3387" s="156"/>
      <c r="AI3387" s="156"/>
      <c r="AJ3387" s="156"/>
      <c r="AK3387" s="156"/>
      <c r="AL3387" s="156"/>
      <c r="AM3387" s="156"/>
      <c r="AN3387" s="156"/>
      <c r="AO3387" s="156"/>
      <c r="AP3387" s="156"/>
      <c r="AQ3387" s="156"/>
      <c r="AR3387" s="156"/>
      <c r="AS3387" s="156"/>
      <c r="AT3387" s="156"/>
      <c r="AU3387" s="156"/>
      <c r="AV3387" s="156"/>
      <c r="AW3387" s="156"/>
      <c r="AX3387" s="156"/>
      <c r="AY3387" s="156"/>
      <c r="AZ3387" s="156"/>
      <c r="BA3387" s="156"/>
      <c r="BB3387" s="2828"/>
      <c r="BC3387" s="452"/>
      <c r="BD3387" s="2829"/>
      <c r="BE3387" s="2837"/>
      <c r="BF3387" s="156"/>
    </row>
    <row r="3388" spans="1:58" ht="15" customHeight="1" outlineLevel="1" x14ac:dyDescent="0.35">
      <c r="A3388" s="1664"/>
      <c r="B3388" s="2812"/>
      <c r="C3388" s="3077"/>
      <c r="D3388" s="3980"/>
      <c r="E3388" s="3883"/>
      <c r="F3388" s="3984" t="str">
        <f>$E$1728</f>
        <v>ASHP-SEER21+-Replace_CAC_ElectricHeat_ROF_MF_CompE</v>
      </c>
      <c r="G3388" s="3984"/>
      <c r="H3388" s="3984"/>
      <c r="I3388" s="3984"/>
      <c r="J3388" s="3501" t="str">
        <f>$C$1728</f>
        <v>353701_2019_12_</v>
      </c>
      <c r="K3388" s="583">
        <v>21</v>
      </c>
      <c r="L3388" s="704"/>
      <c r="M3388" s="3025" t="s">
        <v>1083</v>
      </c>
      <c r="N3388" s="106"/>
      <c r="O3388" s="106"/>
      <c r="P3388" s="702"/>
      <c r="Q3388" s="574"/>
      <c r="R3388" s="702"/>
      <c r="S3388" s="106"/>
      <c r="T3388" s="486"/>
      <c r="U3388" s="106"/>
      <c r="V3388" s="3980"/>
      <c r="W3388" s="3421"/>
      <c r="X3388" s="3421"/>
      <c r="Y3388" s="2377">
        <v>21</v>
      </c>
      <c r="Z3388" s="3425">
        <v>21</v>
      </c>
      <c r="AA3388" s="3425">
        <v>21</v>
      </c>
      <c r="AB3388" s="583">
        <v>21</v>
      </c>
      <c r="AC3388" s="2920">
        <v>21</v>
      </c>
      <c r="AD3388" s="583">
        <v>21</v>
      </c>
      <c r="AE3388" s="3429"/>
      <c r="AF3388" s="3421"/>
      <c r="AG3388" s="3421"/>
      <c r="AH3388" s="156"/>
      <c r="AI3388" s="156"/>
      <c r="AJ3388" s="156"/>
      <c r="AK3388" s="156"/>
      <c r="AL3388" s="156"/>
      <c r="AM3388" s="156"/>
      <c r="AN3388" s="156"/>
      <c r="AO3388" s="156"/>
      <c r="AP3388" s="156"/>
      <c r="AQ3388" s="156"/>
      <c r="AR3388" s="156"/>
      <c r="AS3388" s="156"/>
      <c r="AT3388" s="156"/>
      <c r="AU3388" s="156"/>
      <c r="AV3388" s="156"/>
      <c r="AW3388" s="156"/>
      <c r="AX3388" s="156"/>
      <c r="AY3388" s="156"/>
      <c r="AZ3388" s="156"/>
      <c r="BA3388" s="156"/>
      <c r="BB3388" s="2828"/>
      <c r="BC3388" s="452"/>
      <c r="BD3388" s="2829"/>
      <c r="BE3388" s="2837"/>
      <c r="BF3388" s="156"/>
    </row>
    <row r="3389" spans="1:58" ht="15" customHeight="1" outlineLevel="1" x14ac:dyDescent="0.35">
      <c r="A3389" s="1664"/>
      <c r="B3389" s="2812"/>
      <c r="C3389" s="3077"/>
      <c r="D3389" s="3980"/>
      <c r="E3389" s="3883"/>
      <c r="F3389" s="3984" t="str">
        <f>$E$1730</f>
        <v>ASHP-SEER21+-Replace_CAC_NonElectricHeat_ROF_MF</v>
      </c>
      <c r="G3389" s="3984"/>
      <c r="H3389" s="3984"/>
      <c r="I3389" s="3984"/>
      <c r="J3389" s="3501" t="str">
        <f>$C$1730</f>
        <v>353710_2021_12_</v>
      </c>
      <c r="K3389" s="583">
        <v>21</v>
      </c>
      <c r="L3389" s="704"/>
      <c r="M3389" s="3025" t="s">
        <v>1083</v>
      </c>
      <c r="N3389" s="106"/>
      <c r="O3389" s="106"/>
      <c r="P3389" s="702"/>
      <c r="Q3389" s="574"/>
      <c r="R3389" s="702"/>
      <c r="S3389" s="106"/>
      <c r="T3389" s="486"/>
      <c r="U3389" s="106"/>
      <c r="V3389" s="3980"/>
      <c r="W3389" s="3421"/>
      <c r="X3389" s="3421"/>
      <c r="Y3389" s="2377"/>
      <c r="Z3389" s="3425"/>
      <c r="AA3389" s="3425"/>
      <c r="AB3389" s="583"/>
      <c r="AC3389" s="2919">
        <v>21</v>
      </c>
      <c r="AD3389" s="583">
        <v>21</v>
      </c>
      <c r="AE3389" s="3429"/>
      <c r="AF3389" s="3421"/>
      <c r="AG3389" s="3421"/>
      <c r="AH3389" s="156"/>
      <c r="AI3389" s="156"/>
      <c r="AJ3389" s="156"/>
      <c r="AK3389" s="156"/>
      <c r="AL3389" s="156"/>
      <c r="AM3389" s="156"/>
      <c r="AN3389" s="156"/>
      <c r="AO3389" s="156"/>
      <c r="AP3389" s="156"/>
      <c r="AQ3389" s="156"/>
      <c r="AR3389" s="156"/>
      <c r="AS3389" s="156"/>
      <c r="AT3389" s="156"/>
      <c r="AU3389" s="156"/>
      <c r="AV3389" s="156"/>
      <c r="AW3389" s="156"/>
      <c r="AX3389" s="156"/>
      <c r="AY3389" s="156"/>
      <c r="AZ3389" s="156"/>
      <c r="BA3389" s="156"/>
      <c r="BB3389" s="2828"/>
      <c r="BC3389" s="452"/>
      <c r="BD3389" s="2829"/>
      <c r="BE3389" s="2837"/>
      <c r="BF3389" s="156"/>
    </row>
    <row r="3390" spans="1:58" ht="15" customHeight="1" outlineLevel="1" x14ac:dyDescent="0.35">
      <c r="A3390" s="1664"/>
      <c r="B3390" s="2812"/>
      <c r="C3390" s="3077"/>
      <c r="D3390" s="3980"/>
      <c r="E3390" s="3883"/>
      <c r="F3390" s="3984" t="str">
        <f>$E$1732</f>
        <v>ASHP-SEER21+-Replace_CAC_NonElectricHeat_ROF_MF_CompE</v>
      </c>
      <c r="G3390" s="3984"/>
      <c r="H3390" s="3984"/>
      <c r="I3390" s="3984"/>
      <c r="J3390" s="3501" t="str">
        <f>$C$1732</f>
        <v>353711_2021_12_</v>
      </c>
      <c r="K3390" s="583">
        <v>21</v>
      </c>
      <c r="L3390" s="704"/>
      <c r="M3390" s="3025" t="s">
        <v>1083</v>
      </c>
      <c r="N3390" s="106"/>
      <c r="O3390" s="106"/>
      <c r="P3390" s="702"/>
      <c r="Q3390" s="574"/>
      <c r="R3390" s="702"/>
      <c r="S3390" s="106"/>
      <c r="T3390" s="486"/>
      <c r="U3390" s="106"/>
      <c r="V3390" s="3980"/>
      <c r="W3390" s="3421"/>
      <c r="X3390" s="3421"/>
      <c r="Y3390" s="2377"/>
      <c r="Z3390" s="3425"/>
      <c r="AA3390" s="3425"/>
      <c r="AB3390" s="583"/>
      <c r="AC3390" s="2919">
        <v>21</v>
      </c>
      <c r="AD3390" s="583">
        <v>21</v>
      </c>
      <c r="AE3390" s="3429"/>
      <c r="AF3390" s="3421"/>
      <c r="AG3390" s="3421"/>
      <c r="AH3390" s="156"/>
      <c r="AI3390" s="156"/>
      <c r="AJ3390" s="156"/>
      <c r="AK3390" s="156"/>
      <c r="AL3390" s="156"/>
      <c r="AM3390" s="156"/>
      <c r="AN3390" s="156"/>
      <c r="AO3390" s="156"/>
      <c r="AP3390" s="156"/>
      <c r="AQ3390" s="156"/>
      <c r="AR3390" s="156"/>
      <c r="AS3390" s="156"/>
      <c r="AT3390" s="156"/>
      <c r="AU3390" s="156"/>
      <c r="AV3390" s="156"/>
      <c r="AW3390" s="156"/>
      <c r="AX3390" s="156"/>
      <c r="AY3390" s="156"/>
      <c r="AZ3390" s="156"/>
      <c r="BA3390" s="156"/>
      <c r="BB3390" s="2828"/>
      <c r="BC3390" s="452"/>
      <c r="BD3390" s="2829"/>
      <c r="BE3390" s="2837"/>
      <c r="BF3390" s="156"/>
    </row>
    <row r="3391" spans="1:58" ht="15" customHeight="1" outlineLevel="1" x14ac:dyDescent="0.35">
      <c r="A3391" s="1071"/>
      <c r="B3391" s="2812"/>
      <c r="C3391" s="3077"/>
      <c r="D3391" s="3980"/>
      <c r="E3391" s="3883"/>
      <c r="F3391" s="3984" t="str">
        <f>$E$1734</f>
        <v>ASHP-SEER17_ER1_SF</v>
      </c>
      <c r="G3391" s="3984"/>
      <c r="H3391" s="3984"/>
      <c r="I3391" s="3984"/>
      <c r="J3391" s="3501" t="str">
        <f>$C$1734</f>
        <v>353750_2021_12_</v>
      </c>
      <c r="K3391" s="3050">
        <v>17.195075757575758</v>
      </c>
      <c r="L3391" s="704"/>
      <c r="M3391" s="2819" t="s">
        <v>4360</v>
      </c>
      <c r="N3391" s="106"/>
      <c r="O3391" s="106"/>
      <c r="P3391" s="106"/>
      <c r="Q3391" s="106"/>
      <c r="R3391" s="106"/>
      <c r="S3391" s="106"/>
      <c r="T3391" s="106"/>
      <c r="U3391" s="106"/>
      <c r="V3391" s="3980"/>
      <c r="W3391" s="3421">
        <v>17</v>
      </c>
      <c r="X3391" s="3421">
        <v>17</v>
      </c>
      <c r="Y3391" s="3425">
        <v>17</v>
      </c>
      <c r="Z3391" s="3425">
        <v>17</v>
      </c>
      <c r="AA3391" s="3425">
        <v>17</v>
      </c>
      <c r="AB3391" s="583">
        <v>17</v>
      </c>
      <c r="AC3391" s="2919">
        <v>17.142857142857142</v>
      </c>
      <c r="AD3391" s="3050">
        <v>17.195075757575758</v>
      </c>
      <c r="AE3391" s="3429"/>
      <c r="AF3391" s="3421"/>
      <c r="AG3391" s="3421"/>
      <c r="AH3391" s="156"/>
      <c r="AI3391" s="156"/>
      <c r="AJ3391" s="156"/>
      <c r="AK3391" s="156"/>
      <c r="AL3391" s="156"/>
      <c r="AM3391" s="156"/>
      <c r="AN3391" s="156"/>
      <c r="AO3391" s="156"/>
      <c r="AP3391" s="156"/>
      <c r="AQ3391" s="156"/>
      <c r="AR3391" s="156"/>
      <c r="AS3391" s="156"/>
      <c r="AT3391" s="156"/>
      <c r="AU3391" s="156"/>
      <c r="AV3391" s="156"/>
      <c r="AW3391" s="156"/>
      <c r="AX3391" s="156"/>
      <c r="AY3391" s="156"/>
      <c r="AZ3391" s="156"/>
      <c r="BA3391" s="156"/>
      <c r="BB3391" s="2828"/>
      <c r="BC3391" s="452"/>
      <c r="BD3391" s="2829"/>
      <c r="BE3391" s="2837"/>
      <c r="BF3391" s="156"/>
    </row>
    <row r="3392" spans="1:58" ht="15" customHeight="1" outlineLevel="1" x14ac:dyDescent="0.35">
      <c r="A3392" s="1664"/>
      <c r="B3392" s="2812"/>
      <c r="C3392" s="3077"/>
      <c r="D3392" s="3980"/>
      <c r="E3392" s="3883"/>
      <c r="F3392" s="3984" t="str">
        <f>$E$1736</f>
        <v>ASHP-SEER17_ER2_SF</v>
      </c>
      <c r="G3392" s="3984"/>
      <c r="H3392" s="3984"/>
      <c r="I3392" s="3984"/>
      <c r="J3392" s="3501" t="str">
        <f>$C$1736</f>
        <v>353750_2021_12_</v>
      </c>
      <c r="K3392" s="3050">
        <v>17.195075757575758</v>
      </c>
      <c r="L3392" s="704"/>
      <c r="M3392" s="2819" t="s">
        <v>4360</v>
      </c>
      <c r="N3392" s="106"/>
      <c r="O3392" s="106"/>
      <c r="P3392" s="702"/>
      <c r="Q3392" s="574"/>
      <c r="R3392" s="702"/>
      <c r="S3392" s="106"/>
      <c r="T3392" s="486"/>
      <c r="U3392" s="106"/>
      <c r="V3392" s="3980"/>
      <c r="W3392" s="3421">
        <v>17</v>
      </c>
      <c r="X3392" s="3421">
        <v>17</v>
      </c>
      <c r="Y3392" s="3425">
        <v>17</v>
      </c>
      <c r="Z3392" s="3425">
        <v>17</v>
      </c>
      <c r="AA3392" s="3425">
        <v>17</v>
      </c>
      <c r="AB3392" s="583">
        <v>17</v>
      </c>
      <c r="AC3392" s="2919">
        <f>AC3391</f>
        <v>17.142857142857142</v>
      </c>
      <c r="AD3392" s="3050">
        <v>17.195075757575758</v>
      </c>
      <c r="AE3392" s="3429"/>
      <c r="AF3392" s="3421"/>
      <c r="AG3392" s="3421"/>
      <c r="AH3392" s="156"/>
      <c r="AI3392" s="156"/>
      <c r="AJ3392" s="156"/>
      <c r="AK3392" s="156"/>
      <c r="AL3392" s="156"/>
      <c r="AM3392" s="156"/>
      <c r="AN3392" s="156"/>
      <c r="AO3392" s="156"/>
      <c r="AP3392" s="156"/>
      <c r="AQ3392" s="156"/>
      <c r="AR3392" s="156"/>
      <c r="AS3392" s="156"/>
      <c r="AT3392" s="156"/>
      <c r="AU3392" s="156"/>
      <c r="AV3392" s="156"/>
      <c r="AW3392" s="156"/>
      <c r="AX3392" s="156"/>
      <c r="AY3392" s="156"/>
      <c r="AZ3392" s="156"/>
      <c r="BA3392" s="156"/>
      <c r="BB3392" s="2828"/>
      <c r="BC3392" s="452"/>
      <c r="BD3392" s="2829"/>
      <c r="BE3392" s="2837"/>
      <c r="BF3392" s="156"/>
    </row>
    <row r="3393" spans="1:58" ht="15" customHeight="1" outlineLevel="1" x14ac:dyDescent="0.35">
      <c r="A3393" s="1071"/>
      <c r="B3393" s="2812"/>
      <c r="C3393" s="3077"/>
      <c r="D3393" s="3980"/>
      <c r="E3393" s="3883"/>
      <c r="F3393" s="3984" t="str">
        <f>$E$1738</f>
        <v>ASHP-SEER17_ROF_SF</v>
      </c>
      <c r="G3393" s="3984"/>
      <c r="H3393" s="3984"/>
      <c r="I3393" s="3984"/>
      <c r="J3393" s="3501" t="str">
        <f>$C$1738</f>
        <v>353800_2021_12_</v>
      </c>
      <c r="K3393" s="3050">
        <v>17.237142857142857</v>
      </c>
      <c r="L3393" s="704"/>
      <c r="M3393" s="2819" t="s">
        <v>4360</v>
      </c>
      <c r="N3393" s="106"/>
      <c r="O3393" s="106"/>
      <c r="P3393" s="106"/>
      <c r="Q3393" s="106"/>
      <c r="R3393" s="106"/>
      <c r="S3393" s="106"/>
      <c r="T3393" s="106"/>
      <c r="U3393" s="106"/>
      <c r="V3393" s="3980"/>
      <c r="W3393" s="3421">
        <v>17</v>
      </c>
      <c r="X3393" s="3421">
        <v>17</v>
      </c>
      <c r="Y3393" s="3425">
        <v>17</v>
      </c>
      <c r="Z3393" s="3425">
        <v>17</v>
      </c>
      <c r="AA3393" s="3425">
        <v>17</v>
      </c>
      <c r="AB3393" s="583">
        <v>17</v>
      </c>
      <c r="AC3393" s="2919">
        <v>17.795238095238094</v>
      </c>
      <c r="AD3393" s="3050">
        <v>17.237142857142857</v>
      </c>
      <c r="AE3393" s="3429"/>
      <c r="AF3393" s="3421"/>
      <c r="AG3393" s="3421"/>
      <c r="AH3393" s="156"/>
      <c r="AI3393" s="156"/>
      <c r="AJ3393" s="156"/>
      <c r="AK3393" s="156"/>
      <c r="AL3393" s="156"/>
      <c r="AM3393" s="156"/>
      <c r="AN3393" s="156"/>
      <c r="AO3393" s="156"/>
      <c r="AP3393" s="156"/>
      <c r="AQ3393" s="156"/>
      <c r="AR3393" s="156"/>
      <c r="AS3393" s="156"/>
      <c r="AT3393" s="156"/>
      <c r="AU3393" s="156"/>
      <c r="AV3393" s="156"/>
      <c r="AW3393" s="156"/>
      <c r="AX3393" s="156"/>
      <c r="AY3393" s="156"/>
      <c r="AZ3393" s="156"/>
      <c r="BA3393" s="156"/>
      <c r="BB3393" s="2828"/>
      <c r="BC3393" s="452"/>
      <c r="BD3393" s="2829"/>
      <c r="BE3393" s="2837"/>
      <c r="BF3393" s="156"/>
    </row>
    <row r="3394" spans="1:58" ht="15" customHeight="1" outlineLevel="1" x14ac:dyDescent="0.35">
      <c r="A3394" s="1664"/>
      <c r="B3394" s="2812"/>
      <c r="C3394" s="3077"/>
      <c r="D3394" s="3980"/>
      <c r="E3394" s="3883"/>
      <c r="F3394" s="3984" t="str">
        <f>$E$1740</f>
        <v>ASHP-SEER18_ER1_SF</v>
      </c>
      <c r="G3394" s="3984"/>
      <c r="H3394" s="3984"/>
      <c r="I3394" s="3984"/>
      <c r="J3394" s="3501" t="str">
        <f>$C$1740</f>
        <v>353850_2021_12_</v>
      </c>
      <c r="K3394" s="3050">
        <v>18.023684210526316</v>
      </c>
      <c r="L3394" s="704"/>
      <c r="M3394" s="2819" t="s">
        <v>4360</v>
      </c>
      <c r="N3394" s="106"/>
      <c r="O3394" s="106"/>
      <c r="P3394" s="702"/>
      <c r="Q3394" s="574"/>
      <c r="R3394" s="702"/>
      <c r="S3394" s="106"/>
      <c r="T3394" s="486"/>
      <c r="U3394" s="106"/>
      <c r="V3394" s="3980"/>
      <c r="W3394" s="3421">
        <v>18</v>
      </c>
      <c r="X3394" s="3421">
        <v>18</v>
      </c>
      <c r="Y3394" s="3425">
        <v>18</v>
      </c>
      <c r="Z3394" s="3425">
        <v>18</v>
      </c>
      <c r="AA3394" s="3425">
        <v>18</v>
      </c>
      <c r="AB3394" s="584">
        <v>18.991935483870968</v>
      </c>
      <c r="AC3394" s="2919">
        <v>17.920289855072465</v>
      </c>
      <c r="AD3394" s="3050">
        <v>18.023684210526316</v>
      </c>
      <c r="AE3394" s="3429"/>
      <c r="AF3394" s="3421"/>
      <c r="AG3394" s="3421"/>
      <c r="AH3394" s="156"/>
      <c r="AI3394" s="156"/>
      <c r="AJ3394" s="156"/>
      <c r="AK3394" s="156"/>
      <c r="AL3394" s="156"/>
      <c r="AM3394" s="156"/>
      <c r="AN3394" s="156"/>
      <c r="AO3394" s="156"/>
      <c r="AP3394" s="156"/>
      <c r="AQ3394" s="156"/>
      <c r="AR3394" s="156"/>
      <c r="AS3394" s="156"/>
      <c r="AT3394" s="156"/>
      <c r="AU3394" s="156"/>
      <c r="AV3394" s="156"/>
      <c r="AW3394" s="156"/>
      <c r="AX3394" s="156"/>
      <c r="AY3394" s="156"/>
      <c r="AZ3394" s="156"/>
      <c r="BA3394" s="156"/>
      <c r="BB3394" s="2828"/>
      <c r="BC3394" s="452"/>
      <c r="BD3394" s="2829"/>
      <c r="BE3394" s="2837"/>
      <c r="BF3394" s="156"/>
    </row>
    <row r="3395" spans="1:58" ht="15" customHeight="1" outlineLevel="1" x14ac:dyDescent="0.35">
      <c r="A3395" s="1071"/>
      <c r="B3395" s="2812"/>
      <c r="C3395" s="3077"/>
      <c r="D3395" s="3980"/>
      <c r="E3395" s="3883"/>
      <c r="F3395" s="3984" t="str">
        <f>$E$1742</f>
        <v>ASHP-SEER18_ER2_SF</v>
      </c>
      <c r="G3395" s="3984"/>
      <c r="H3395" s="3984"/>
      <c r="I3395" s="3984"/>
      <c r="J3395" s="3501" t="str">
        <f>$C$1742</f>
        <v>353850_2021_12_</v>
      </c>
      <c r="K3395" s="3050">
        <v>18.023684210526316</v>
      </c>
      <c r="L3395" s="704"/>
      <c r="M3395" s="2819" t="s">
        <v>4360</v>
      </c>
      <c r="N3395" s="106"/>
      <c r="O3395" s="106"/>
      <c r="P3395" s="106"/>
      <c r="Q3395" s="106"/>
      <c r="R3395" s="106"/>
      <c r="S3395" s="106"/>
      <c r="T3395" s="106"/>
      <c r="U3395" s="106"/>
      <c r="V3395" s="3980"/>
      <c r="W3395" s="3421">
        <v>18</v>
      </c>
      <c r="X3395" s="3421">
        <v>18</v>
      </c>
      <c r="Y3395" s="3425">
        <v>18</v>
      </c>
      <c r="Z3395" s="3425">
        <v>18</v>
      </c>
      <c r="AA3395" s="3425">
        <v>18</v>
      </c>
      <c r="AB3395" s="584">
        <v>18.991935483870968</v>
      </c>
      <c r="AC3395" s="2919">
        <f>AC3394</f>
        <v>17.920289855072465</v>
      </c>
      <c r="AD3395" s="3050">
        <v>18.023684210526316</v>
      </c>
      <c r="AE3395" s="3429"/>
      <c r="AF3395" s="3421"/>
      <c r="AG3395" s="3421"/>
      <c r="AH3395" s="156"/>
      <c r="AI3395" s="156"/>
      <c r="AJ3395" s="156"/>
      <c r="AK3395" s="156"/>
      <c r="AL3395" s="156"/>
      <c r="AM3395" s="156"/>
      <c r="AN3395" s="156"/>
      <c r="AO3395" s="156"/>
      <c r="AP3395" s="156"/>
      <c r="AQ3395" s="156"/>
      <c r="AR3395" s="156"/>
      <c r="AS3395" s="156"/>
      <c r="AT3395" s="156"/>
      <c r="AU3395" s="156"/>
      <c r="AV3395" s="156"/>
      <c r="AW3395" s="156"/>
      <c r="AX3395" s="156"/>
      <c r="AY3395" s="156"/>
      <c r="AZ3395" s="156"/>
      <c r="BA3395" s="156"/>
      <c r="BB3395" s="2828"/>
      <c r="BC3395" s="452"/>
      <c r="BD3395" s="2829"/>
      <c r="BE3395" s="2837"/>
      <c r="BF3395" s="156"/>
    </row>
    <row r="3396" spans="1:58" ht="15" customHeight="1" outlineLevel="1" x14ac:dyDescent="0.35">
      <c r="A3396" s="1664"/>
      <c r="B3396" s="2812"/>
      <c r="C3396" s="3077"/>
      <c r="D3396" s="3980"/>
      <c r="E3396" s="3883"/>
      <c r="F3396" s="3984" t="str">
        <f>$E$1744</f>
        <v>ASHP-SEER18_ROF_SF</v>
      </c>
      <c r="G3396" s="3984"/>
      <c r="H3396" s="3984"/>
      <c r="I3396" s="3984"/>
      <c r="J3396" s="3501" t="str">
        <f>$C$1744</f>
        <v>353950_2021_12_</v>
      </c>
      <c r="K3396" s="3050">
        <v>17.872340425531913</v>
      </c>
      <c r="L3396" s="704"/>
      <c r="M3396" s="2819" t="s">
        <v>4360</v>
      </c>
      <c r="N3396" s="106"/>
      <c r="O3396" s="106"/>
      <c r="P3396" s="702"/>
      <c r="Q3396" s="574"/>
      <c r="R3396" s="702"/>
      <c r="S3396" s="106"/>
      <c r="T3396" s="486"/>
      <c r="U3396" s="106"/>
      <c r="V3396" s="3980"/>
      <c r="W3396" s="3421">
        <v>18</v>
      </c>
      <c r="X3396" s="3421">
        <v>18</v>
      </c>
      <c r="Y3396" s="3425">
        <v>18</v>
      </c>
      <c r="Z3396" s="3425">
        <v>18</v>
      </c>
      <c r="AA3396" s="3425">
        <v>18</v>
      </c>
      <c r="AB3396" s="583">
        <v>18</v>
      </c>
      <c r="AC3396" s="2919">
        <v>18.203125</v>
      </c>
      <c r="AD3396" s="3050">
        <v>17.872340425531913</v>
      </c>
      <c r="AE3396" s="3429"/>
      <c r="AF3396" s="3421"/>
      <c r="AG3396" s="3421"/>
      <c r="AH3396" s="156"/>
      <c r="AI3396" s="156"/>
      <c r="AJ3396" s="156"/>
      <c r="AK3396" s="156"/>
      <c r="AL3396" s="156"/>
      <c r="AM3396" s="156"/>
      <c r="AN3396" s="156"/>
      <c r="AO3396" s="156"/>
      <c r="AP3396" s="156"/>
      <c r="AQ3396" s="156"/>
      <c r="AR3396" s="156"/>
      <c r="AS3396" s="156"/>
      <c r="AT3396" s="156"/>
      <c r="AU3396" s="156"/>
      <c r="AV3396" s="156"/>
      <c r="AW3396" s="156"/>
      <c r="AX3396" s="156"/>
      <c r="AY3396" s="156"/>
      <c r="AZ3396" s="156"/>
      <c r="BA3396" s="156"/>
      <c r="BB3396" s="2828"/>
      <c r="BC3396" s="452"/>
      <c r="BD3396" s="2829"/>
      <c r="BE3396" s="2837"/>
      <c r="BF3396" s="156"/>
    </row>
    <row r="3397" spans="1:58" ht="15" customHeight="1" outlineLevel="1" x14ac:dyDescent="0.35">
      <c r="A3397" s="1664"/>
      <c r="B3397" s="2812"/>
      <c r="C3397" s="3077"/>
      <c r="D3397" s="3980"/>
      <c r="E3397" s="3883"/>
      <c r="F3397" s="3984" t="str">
        <f>$E$1746</f>
        <v>ASHP-SEER19_ER1_SF</v>
      </c>
      <c r="G3397" s="3984"/>
      <c r="H3397" s="3984"/>
      <c r="I3397" s="3984"/>
      <c r="J3397" s="3501" t="str">
        <f>$C$1746</f>
        <v>354000_2021_12_</v>
      </c>
      <c r="K3397" s="3050">
        <v>19.132352941176471</v>
      </c>
      <c r="L3397" s="704"/>
      <c r="M3397" s="2819" t="s">
        <v>4360</v>
      </c>
      <c r="N3397" s="106"/>
      <c r="O3397" s="106"/>
      <c r="P3397" s="702"/>
      <c r="Q3397" s="574"/>
      <c r="R3397" s="702"/>
      <c r="S3397" s="106"/>
      <c r="T3397" s="486"/>
      <c r="U3397" s="106"/>
      <c r="V3397" s="3980"/>
      <c r="W3397" s="3421">
        <v>19</v>
      </c>
      <c r="X3397" s="3421">
        <v>19</v>
      </c>
      <c r="Y3397" s="3425">
        <v>19</v>
      </c>
      <c r="Z3397" s="3425">
        <v>19</v>
      </c>
      <c r="AA3397" s="3425">
        <v>19</v>
      </c>
      <c r="AB3397" s="583">
        <v>19</v>
      </c>
      <c r="AC3397" s="2919">
        <v>19.100000000000001</v>
      </c>
      <c r="AD3397" s="3050">
        <v>19.132352941176471</v>
      </c>
      <c r="AE3397" s="3429"/>
      <c r="AF3397" s="3421"/>
      <c r="AG3397" s="3421"/>
      <c r="AH3397" s="156"/>
      <c r="AI3397" s="156"/>
      <c r="AJ3397" s="156"/>
      <c r="AK3397" s="156"/>
      <c r="AL3397" s="156"/>
      <c r="AM3397" s="156"/>
      <c r="AN3397" s="156"/>
      <c r="AO3397" s="156"/>
      <c r="AP3397" s="156"/>
      <c r="AQ3397" s="156"/>
      <c r="AR3397" s="156"/>
      <c r="AS3397" s="156"/>
      <c r="AT3397" s="156"/>
      <c r="AU3397" s="156"/>
      <c r="AV3397" s="156"/>
      <c r="AW3397" s="156"/>
      <c r="AX3397" s="156"/>
      <c r="AY3397" s="156"/>
      <c r="AZ3397" s="156"/>
      <c r="BA3397" s="156"/>
      <c r="BB3397" s="2828"/>
      <c r="BC3397" s="452"/>
      <c r="BD3397" s="2829"/>
      <c r="BE3397" s="2837"/>
      <c r="BF3397" s="156"/>
    </row>
    <row r="3398" spans="1:58" ht="15" customHeight="1" outlineLevel="1" x14ac:dyDescent="0.35">
      <c r="A3398" s="1071"/>
      <c r="B3398" s="2812"/>
      <c r="C3398" s="3077"/>
      <c r="D3398" s="3980"/>
      <c r="E3398" s="3883"/>
      <c r="F3398" s="3984" t="str">
        <f>$E$1748</f>
        <v>ASHP-SEER19_ER2_SF</v>
      </c>
      <c r="G3398" s="3984"/>
      <c r="H3398" s="3984"/>
      <c r="I3398" s="3984"/>
      <c r="J3398" s="3501" t="str">
        <f>$C$1748</f>
        <v>354000_2021_12_</v>
      </c>
      <c r="K3398" s="3050">
        <v>19.132352941176471</v>
      </c>
      <c r="L3398" s="704"/>
      <c r="M3398" s="2819" t="s">
        <v>4360</v>
      </c>
      <c r="N3398" s="106"/>
      <c r="O3398" s="106"/>
      <c r="P3398" s="106"/>
      <c r="Q3398" s="106"/>
      <c r="R3398" s="106"/>
      <c r="S3398" s="106"/>
      <c r="T3398" s="106"/>
      <c r="U3398" s="106"/>
      <c r="V3398" s="3980"/>
      <c r="W3398" s="3421">
        <v>19</v>
      </c>
      <c r="X3398" s="3421">
        <v>19</v>
      </c>
      <c r="Y3398" s="3425">
        <v>19</v>
      </c>
      <c r="Z3398" s="3425">
        <v>19</v>
      </c>
      <c r="AA3398" s="3425">
        <v>19</v>
      </c>
      <c r="AB3398" s="583">
        <v>19</v>
      </c>
      <c r="AC3398" s="2919">
        <f>AC3397</f>
        <v>19.100000000000001</v>
      </c>
      <c r="AD3398" s="3050">
        <v>19.132352941176471</v>
      </c>
      <c r="AE3398" s="3429"/>
      <c r="AF3398" s="3421"/>
      <c r="AG3398" s="3421"/>
      <c r="AH3398" s="156"/>
      <c r="AI3398" s="156"/>
      <c r="AJ3398" s="156"/>
      <c r="AK3398" s="156"/>
      <c r="AL3398" s="156"/>
      <c r="AM3398" s="156"/>
      <c r="AN3398" s="156"/>
      <c r="AO3398" s="156"/>
      <c r="AP3398" s="156"/>
      <c r="AQ3398" s="156"/>
      <c r="AR3398" s="156"/>
      <c r="AS3398" s="156"/>
      <c r="AT3398" s="156"/>
      <c r="AU3398" s="156"/>
      <c r="AV3398" s="156"/>
      <c r="AW3398" s="156"/>
      <c r="AX3398" s="156"/>
      <c r="AY3398" s="156"/>
      <c r="AZ3398" s="156"/>
      <c r="BA3398" s="156"/>
      <c r="BB3398" s="2828"/>
      <c r="BC3398" s="452"/>
      <c r="BD3398" s="2829"/>
      <c r="BE3398" s="2837"/>
      <c r="BF3398" s="156"/>
    </row>
    <row r="3399" spans="1:58" ht="15" customHeight="1" outlineLevel="1" x14ac:dyDescent="0.35">
      <c r="A3399" s="1071"/>
      <c r="B3399" s="2812"/>
      <c r="C3399" s="3077"/>
      <c r="D3399" s="3980"/>
      <c r="E3399" s="3883"/>
      <c r="F3399" s="3984" t="str">
        <f>$E$1750</f>
        <v>ASHP-SEER19_ROF_SF</v>
      </c>
      <c r="G3399" s="3984"/>
      <c r="H3399" s="3984"/>
      <c r="I3399" s="3984"/>
      <c r="J3399" s="3501" t="str">
        <f>$C$1750</f>
        <v>354050_2021_12_</v>
      </c>
      <c r="K3399" s="3050">
        <v>19.28846153846154</v>
      </c>
      <c r="L3399" s="704"/>
      <c r="M3399" s="2819" t="s">
        <v>4360</v>
      </c>
      <c r="N3399" s="106"/>
      <c r="O3399" s="106"/>
      <c r="P3399" s="106"/>
      <c r="Q3399" s="106"/>
      <c r="R3399" s="106"/>
      <c r="S3399" s="106"/>
      <c r="T3399" s="106"/>
      <c r="U3399" s="106"/>
      <c r="V3399" s="3980"/>
      <c r="W3399" s="3421">
        <v>19</v>
      </c>
      <c r="X3399" s="3421">
        <v>19</v>
      </c>
      <c r="Y3399" s="3425">
        <v>19</v>
      </c>
      <c r="Z3399" s="3425">
        <v>19</v>
      </c>
      <c r="AA3399" s="3425">
        <v>19</v>
      </c>
      <c r="AB3399" s="583">
        <v>19</v>
      </c>
      <c r="AC3399" s="2919">
        <v>19.033333333333335</v>
      </c>
      <c r="AD3399" s="3050">
        <v>19.28846153846154</v>
      </c>
      <c r="AE3399" s="3429"/>
      <c r="AF3399" s="3421"/>
      <c r="AG3399" s="3421"/>
      <c r="AH3399" s="156"/>
      <c r="AI3399" s="156"/>
      <c r="AJ3399" s="156"/>
      <c r="AK3399" s="156"/>
      <c r="AL3399" s="156"/>
      <c r="AM3399" s="156"/>
      <c r="AN3399" s="156"/>
      <c r="AO3399" s="156"/>
      <c r="AP3399" s="156"/>
      <c r="AQ3399" s="156"/>
      <c r="AR3399" s="156"/>
      <c r="AS3399" s="156"/>
      <c r="AT3399" s="156"/>
      <c r="AU3399" s="156"/>
      <c r="AV3399" s="156"/>
      <c r="AW3399" s="156"/>
      <c r="AX3399" s="156"/>
      <c r="AY3399" s="156"/>
      <c r="AZ3399" s="156"/>
      <c r="BA3399" s="156"/>
      <c r="BB3399" s="2828"/>
      <c r="BC3399" s="452"/>
      <c r="BD3399" s="2829"/>
      <c r="BE3399" s="2837"/>
      <c r="BF3399" s="156"/>
    </row>
    <row r="3400" spans="1:58" ht="15" customHeight="1" outlineLevel="1" x14ac:dyDescent="0.35">
      <c r="A3400" s="1071"/>
      <c r="B3400" s="2812"/>
      <c r="C3400" s="3077"/>
      <c r="D3400" s="3980"/>
      <c r="E3400" s="3883"/>
      <c r="F3400" s="3984" t="str">
        <f>$E$1752</f>
        <v>ASHP-SEER17-Replace_CAC_ElectricHeat_ER1_SF</v>
      </c>
      <c r="G3400" s="3984"/>
      <c r="H3400" s="3984"/>
      <c r="I3400" s="3984"/>
      <c r="J3400" s="3501" t="str">
        <f>$C$1752</f>
        <v>354100_2021_12_</v>
      </c>
      <c r="K3400" s="3050">
        <v>17.195075757575758</v>
      </c>
      <c r="L3400" s="704"/>
      <c r="M3400" s="2819" t="s">
        <v>4360</v>
      </c>
      <c r="N3400" s="106"/>
      <c r="O3400" s="106"/>
      <c r="P3400" s="106"/>
      <c r="Q3400" s="106"/>
      <c r="R3400" s="106"/>
      <c r="S3400" s="106"/>
      <c r="T3400" s="106"/>
      <c r="U3400" s="106"/>
      <c r="V3400" s="3980"/>
      <c r="W3400" s="3421">
        <v>17</v>
      </c>
      <c r="X3400" s="3421">
        <v>17</v>
      </c>
      <c r="Y3400" s="3425">
        <v>17</v>
      </c>
      <c r="Z3400" s="3425">
        <v>17</v>
      </c>
      <c r="AA3400" s="3425">
        <v>17</v>
      </c>
      <c r="AB3400" s="583">
        <v>17</v>
      </c>
      <c r="AC3400" s="2919">
        <v>17.136363636363637</v>
      </c>
      <c r="AD3400" s="3050">
        <v>17.195075757575758</v>
      </c>
      <c r="AE3400" s="3429"/>
      <c r="AF3400" s="3421"/>
      <c r="AG3400" s="3421"/>
      <c r="AH3400" s="156"/>
      <c r="AI3400" s="156"/>
      <c r="AJ3400" s="156"/>
      <c r="AK3400" s="156"/>
      <c r="AL3400" s="156"/>
      <c r="AM3400" s="156"/>
      <c r="AN3400" s="156"/>
      <c r="AO3400" s="156"/>
      <c r="AP3400" s="156"/>
      <c r="AQ3400" s="156"/>
      <c r="AR3400" s="156"/>
      <c r="AS3400" s="156"/>
      <c r="AT3400" s="156"/>
      <c r="AU3400" s="156"/>
      <c r="AV3400" s="156"/>
      <c r="AW3400" s="156"/>
      <c r="AX3400" s="156"/>
      <c r="AY3400" s="156"/>
      <c r="AZ3400" s="156"/>
      <c r="BA3400" s="156"/>
      <c r="BB3400" s="2828"/>
      <c r="BC3400" s="452"/>
      <c r="BD3400" s="2829"/>
      <c r="BE3400" s="2837"/>
      <c r="BF3400" s="156"/>
    </row>
    <row r="3401" spans="1:58" ht="15" customHeight="1" outlineLevel="1" x14ac:dyDescent="0.35">
      <c r="A3401" s="1071"/>
      <c r="B3401" s="2812"/>
      <c r="C3401" s="3077"/>
      <c r="D3401" s="3980"/>
      <c r="E3401" s="3883"/>
      <c r="F3401" s="3984" t="str">
        <f>$E$1754</f>
        <v>ASHP-SEER17-Replace_CAC_ElectricHeat_ER2_SF</v>
      </c>
      <c r="G3401" s="3984"/>
      <c r="H3401" s="3984"/>
      <c r="I3401" s="3984"/>
      <c r="J3401" s="3501" t="str">
        <f>$C$1754</f>
        <v>354100_2021_12_</v>
      </c>
      <c r="K3401" s="3050">
        <v>17.195075757575758</v>
      </c>
      <c r="L3401" s="704"/>
      <c r="M3401" s="2819" t="s">
        <v>4360</v>
      </c>
      <c r="N3401" s="106"/>
      <c r="O3401" s="106"/>
      <c r="P3401" s="106"/>
      <c r="Q3401" s="106"/>
      <c r="R3401" s="106"/>
      <c r="S3401" s="106"/>
      <c r="T3401" s="106"/>
      <c r="U3401" s="106"/>
      <c r="V3401" s="3980"/>
      <c r="W3401" s="3421">
        <v>17</v>
      </c>
      <c r="X3401" s="3421">
        <v>17</v>
      </c>
      <c r="Y3401" s="3425">
        <v>17</v>
      </c>
      <c r="Z3401" s="3425">
        <v>17</v>
      </c>
      <c r="AA3401" s="3425">
        <v>17</v>
      </c>
      <c r="AB3401" s="583">
        <v>17</v>
      </c>
      <c r="AC3401" s="2919">
        <f>AC3400</f>
        <v>17.136363636363637</v>
      </c>
      <c r="AD3401" s="3050">
        <v>17.195075757575758</v>
      </c>
      <c r="AE3401" s="3429"/>
      <c r="AF3401" s="3421"/>
      <c r="AG3401" s="3421"/>
      <c r="AH3401" s="156"/>
      <c r="AI3401" s="156"/>
      <c r="AJ3401" s="156"/>
      <c r="AK3401" s="156"/>
      <c r="AL3401" s="156"/>
      <c r="AM3401" s="156"/>
      <c r="AN3401" s="156"/>
      <c r="AO3401" s="156"/>
      <c r="AP3401" s="156"/>
      <c r="AQ3401" s="156"/>
      <c r="AR3401" s="156"/>
      <c r="AS3401" s="156"/>
      <c r="AT3401" s="156"/>
      <c r="AU3401" s="156"/>
      <c r="AV3401" s="156"/>
      <c r="AW3401" s="156"/>
      <c r="AX3401" s="156"/>
      <c r="AY3401" s="156"/>
      <c r="AZ3401" s="156"/>
      <c r="BA3401" s="156"/>
      <c r="BB3401" s="2828"/>
      <c r="BC3401" s="452"/>
      <c r="BD3401" s="2829"/>
      <c r="BE3401" s="2837"/>
      <c r="BF3401" s="156"/>
    </row>
    <row r="3402" spans="1:58" ht="15" customHeight="1" outlineLevel="1" x14ac:dyDescent="0.35">
      <c r="A3402" s="1071"/>
      <c r="B3402" s="2812"/>
      <c r="C3402" s="3077"/>
      <c r="D3402" s="3980"/>
      <c r="E3402" s="3883"/>
      <c r="F3402" s="3984" t="str">
        <f>$E$1756</f>
        <v>ASHP-SEER17-Replace_CAC_NonElectricHeat_ER1_SF</v>
      </c>
      <c r="G3402" s="3984"/>
      <c r="H3402" s="3984"/>
      <c r="I3402" s="3984"/>
      <c r="J3402" s="3501" t="str">
        <f>$C$1756</f>
        <v>354110_2021_12_</v>
      </c>
      <c r="K3402" s="3050">
        <v>17.195075757575758</v>
      </c>
      <c r="L3402" s="704"/>
      <c r="M3402" s="3025" t="s">
        <v>1083</v>
      </c>
      <c r="N3402" s="106"/>
      <c r="O3402" s="106"/>
      <c r="P3402" s="106"/>
      <c r="Q3402" s="106"/>
      <c r="R3402" s="106"/>
      <c r="S3402" s="106"/>
      <c r="T3402" s="106"/>
      <c r="U3402" s="106"/>
      <c r="V3402" s="3980"/>
      <c r="W3402" s="3421"/>
      <c r="X3402" s="3421"/>
      <c r="Y3402" s="3425"/>
      <c r="Z3402" s="3425"/>
      <c r="AA3402" s="3425"/>
      <c r="AB3402" s="583"/>
      <c r="AC3402" s="2919">
        <v>17.136363636363637</v>
      </c>
      <c r="AD3402" s="3050">
        <v>17.195075757575758</v>
      </c>
      <c r="AE3402" s="3429"/>
      <c r="AF3402" s="3421"/>
      <c r="AG3402" s="3421"/>
      <c r="AH3402" s="156"/>
      <c r="AI3402" s="156"/>
      <c r="AJ3402" s="156"/>
      <c r="AK3402" s="156"/>
      <c r="AL3402" s="156"/>
      <c r="AM3402" s="156"/>
      <c r="AN3402" s="156"/>
      <c r="AO3402" s="156"/>
      <c r="AP3402" s="156"/>
      <c r="AQ3402" s="156"/>
      <c r="AR3402" s="156"/>
      <c r="AS3402" s="156"/>
      <c r="AT3402" s="156"/>
      <c r="AU3402" s="156"/>
      <c r="AV3402" s="156"/>
      <c r="AW3402" s="156"/>
      <c r="AX3402" s="156"/>
      <c r="AY3402" s="156"/>
      <c r="AZ3402" s="156"/>
      <c r="BA3402" s="156"/>
      <c r="BB3402" s="2828"/>
      <c r="BC3402" s="452"/>
      <c r="BD3402" s="2829"/>
      <c r="BE3402" s="2837"/>
      <c r="BF3402" s="156"/>
    </row>
    <row r="3403" spans="1:58" ht="15" customHeight="1" outlineLevel="1" x14ac:dyDescent="0.35">
      <c r="A3403" s="1071"/>
      <c r="B3403" s="2812"/>
      <c r="C3403" s="3077"/>
      <c r="D3403" s="3980"/>
      <c r="E3403" s="3883"/>
      <c r="F3403" s="3984" t="str">
        <f>$E$1758</f>
        <v>ASHP-SEER17-Replace_CAC_NonElectricHeat_ER2_SF</v>
      </c>
      <c r="G3403" s="3984"/>
      <c r="H3403" s="3984"/>
      <c r="I3403" s="3984"/>
      <c r="J3403" s="3501" t="str">
        <f>$C$1758</f>
        <v>354110_2021_12_</v>
      </c>
      <c r="K3403" s="3050">
        <v>17.195075757575758</v>
      </c>
      <c r="L3403" s="704"/>
      <c r="M3403" s="3025" t="s">
        <v>1083</v>
      </c>
      <c r="N3403" s="106"/>
      <c r="O3403" s="106"/>
      <c r="P3403" s="106"/>
      <c r="Q3403" s="106"/>
      <c r="R3403" s="106"/>
      <c r="S3403" s="106"/>
      <c r="T3403" s="106"/>
      <c r="U3403" s="106"/>
      <c r="V3403" s="3980"/>
      <c r="W3403" s="3421"/>
      <c r="X3403" s="3421"/>
      <c r="Y3403" s="3425"/>
      <c r="Z3403" s="3425"/>
      <c r="AA3403" s="3425"/>
      <c r="AB3403" s="583"/>
      <c r="AC3403" s="2919">
        <f>AC3402</f>
        <v>17.136363636363637</v>
      </c>
      <c r="AD3403" s="3050">
        <v>17.195075757575758</v>
      </c>
      <c r="AE3403" s="3429"/>
      <c r="AF3403" s="3421"/>
      <c r="AG3403" s="3421"/>
      <c r="AH3403" s="156"/>
      <c r="AI3403" s="156"/>
      <c r="AJ3403" s="156"/>
      <c r="AK3403" s="156"/>
      <c r="AL3403" s="156"/>
      <c r="AM3403" s="156"/>
      <c r="AN3403" s="156"/>
      <c r="AO3403" s="156"/>
      <c r="AP3403" s="156"/>
      <c r="AQ3403" s="156"/>
      <c r="AR3403" s="156"/>
      <c r="AS3403" s="156"/>
      <c r="AT3403" s="156"/>
      <c r="AU3403" s="156"/>
      <c r="AV3403" s="156"/>
      <c r="AW3403" s="156"/>
      <c r="AX3403" s="156"/>
      <c r="AY3403" s="156"/>
      <c r="AZ3403" s="156"/>
      <c r="BA3403" s="156"/>
      <c r="BB3403" s="2828"/>
      <c r="BC3403" s="452"/>
      <c r="BD3403" s="2829"/>
      <c r="BE3403" s="2837"/>
      <c r="BF3403" s="156"/>
    </row>
    <row r="3404" spans="1:58" ht="15" customHeight="1" outlineLevel="1" x14ac:dyDescent="0.35">
      <c r="A3404" s="1071"/>
      <c r="B3404" s="2812"/>
      <c r="C3404" s="3077"/>
      <c r="D3404" s="3980"/>
      <c r="E3404" s="3883"/>
      <c r="F3404" s="3984" t="str">
        <f>$E$1760</f>
        <v>ASHP-SEER17-Replace_CAC_ElectricHeat_ER1_MF</v>
      </c>
      <c r="G3404" s="3984"/>
      <c r="H3404" s="3984"/>
      <c r="I3404" s="3984"/>
      <c r="J3404" s="3501" t="str">
        <f>$C$1760</f>
        <v>354150_2019_12_</v>
      </c>
      <c r="K3404" s="583">
        <v>17</v>
      </c>
      <c r="L3404" s="704"/>
      <c r="M3404" s="3025" t="s">
        <v>1514</v>
      </c>
      <c r="N3404" s="106"/>
      <c r="O3404" s="106"/>
      <c r="P3404" s="106"/>
      <c r="Q3404" s="106"/>
      <c r="R3404" s="106"/>
      <c r="S3404" s="106"/>
      <c r="T3404" s="106"/>
      <c r="U3404" s="106"/>
      <c r="V3404" s="3980"/>
      <c r="W3404" s="3421">
        <v>17</v>
      </c>
      <c r="X3404" s="3421">
        <v>17</v>
      </c>
      <c r="Y3404" s="3425">
        <v>17</v>
      </c>
      <c r="Z3404" s="3425">
        <v>17</v>
      </c>
      <c r="AA3404" s="3425">
        <v>17</v>
      </c>
      <c r="AB3404" s="583">
        <v>17</v>
      </c>
      <c r="AC3404" s="2920">
        <v>17</v>
      </c>
      <c r="AD3404" s="583">
        <v>17</v>
      </c>
      <c r="AE3404" s="3429"/>
      <c r="AF3404" s="3421"/>
      <c r="AG3404" s="3421"/>
      <c r="AH3404" s="156"/>
      <c r="AI3404" s="156"/>
      <c r="AJ3404" s="156"/>
      <c r="AK3404" s="156"/>
      <c r="AL3404" s="156"/>
      <c r="AM3404" s="156"/>
      <c r="AN3404" s="156"/>
      <c r="AO3404" s="156"/>
      <c r="AP3404" s="156"/>
      <c r="AQ3404" s="156"/>
      <c r="AR3404" s="156"/>
      <c r="AS3404" s="156"/>
      <c r="AT3404" s="156"/>
      <c r="AU3404" s="156"/>
      <c r="AV3404" s="156"/>
      <c r="AW3404" s="156"/>
      <c r="AX3404" s="156"/>
      <c r="AY3404" s="156"/>
      <c r="AZ3404" s="156"/>
      <c r="BA3404" s="156"/>
      <c r="BB3404" s="2828"/>
      <c r="BC3404" s="452"/>
      <c r="BD3404" s="2829"/>
      <c r="BE3404" s="2837"/>
      <c r="BF3404" s="156"/>
    </row>
    <row r="3405" spans="1:58" ht="15" customHeight="1" outlineLevel="1" x14ac:dyDescent="0.35">
      <c r="A3405" s="1071"/>
      <c r="B3405" s="2812"/>
      <c r="C3405" s="3077"/>
      <c r="D3405" s="3980"/>
      <c r="E3405" s="3883"/>
      <c r="F3405" s="3984" t="str">
        <f>$E$1762</f>
        <v>ASHP-SEER17-Replace_CAC_ElectricHeat_ER2_MF</v>
      </c>
      <c r="G3405" s="3984"/>
      <c r="H3405" s="3984"/>
      <c r="I3405" s="3984"/>
      <c r="J3405" s="3501" t="str">
        <f>$C$1762</f>
        <v>354150_2019_12_</v>
      </c>
      <c r="K3405" s="583">
        <v>17</v>
      </c>
      <c r="L3405" s="704"/>
      <c r="M3405" s="3025" t="s">
        <v>1514</v>
      </c>
      <c r="N3405" s="106"/>
      <c r="O3405" s="106"/>
      <c r="P3405" s="106"/>
      <c r="Q3405" s="106"/>
      <c r="R3405" s="106"/>
      <c r="S3405" s="106"/>
      <c r="T3405" s="106"/>
      <c r="U3405" s="106"/>
      <c r="V3405" s="3980"/>
      <c r="W3405" s="3421">
        <v>17</v>
      </c>
      <c r="X3405" s="3421">
        <v>17</v>
      </c>
      <c r="Y3405" s="3425">
        <v>17</v>
      </c>
      <c r="Z3405" s="3425">
        <v>17</v>
      </c>
      <c r="AA3405" s="3425">
        <v>17</v>
      </c>
      <c r="AB3405" s="583">
        <v>17</v>
      </c>
      <c r="AC3405" s="2920">
        <v>17</v>
      </c>
      <c r="AD3405" s="583">
        <v>17</v>
      </c>
      <c r="AE3405" s="3429"/>
      <c r="AF3405" s="3421"/>
      <c r="AG3405" s="3421"/>
      <c r="AH3405" s="156"/>
      <c r="AI3405" s="156"/>
      <c r="AJ3405" s="156"/>
      <c r="AK3405" s="156"/>
      <c r="AL3405" s="156"/>
      <c r="AM3405" s="156"/>
      <c r="AN3405" s="156"/>
      <c r="AO3405" s="156"/>
      <c r="AP3405" s="156"/>
      <c r="AQ3405" s="156"/>
      <c r="AR3405" s="156"/>
      <c r="AS3405" s="156"/>
      <c r="AT3405" s="156"/>
      <c r="AU3405" s="156"/>
      <c r="AV3405" s="156"/>
      <c r="AW3405" s="156"/>
      <c r="AX3405" s="156"/>
      <c r="AY3405" s="156"/>
      <c r="AZ3405" s="156"/>
      <c r="BA3405" s="156"/>
      <c r="BB3405" s="2828"/>
      <c r="BC3405" s="452"/>
      <c r="BD3405" s="2829"/>
      <c r="BE3405" s="2837"/>
      <c r="BF3405" s="156"/>
    </row>
    <row r="3406" spans="1:58" ht="15" customHeight="1" outlineLevel="1" x14ac:dyDescent="0.35">
      <c r="A3406" s="1071"/>
      <c r="B3406" s="2812"/>
      <c r="C3406" s="3077"/>
      <c r="D3406" s="3980"/>
      <c r="E3406" s="3883"/>
      <c r="F3406" s="3984" t="str">
        <f>$E$1764</f>
        <v>ASHP-SEER17-Replace_CAC_ElectricHeat_ER1_MF_CompE</v>
      </c>
      <c r="G3406" s="3984"/>
      <c r="H3406" s="3984"/>
      <c r="I3406" s="3984"/>
      <c r="J3406" s="3501" t="str">
        <f>$C$1764</f>
        <v>354151_2019_12_</v>
      </c>
      <c r="K3406" s="583">
        <v>17</v>
      </c>
      <c r="L3406" s="704"/>
      <c r="M3406" s="3025" t="s">
        <v>1083</v>
      </c>
      <c r="N3406" s="106"/>
      <c r="O3406" s="106"/>
      <c r="P3406" s="106"/>
      <c r="Q3406" s="106"/>
      <c r="R3406" s="106"/>
      <c r="S3406" s="106"/>
      <c r="T3406" s="106"/>
      <c r="U3406" s="106"/>
      <c r="V3406" s="3980"/>
      <c r="W3406" s="3421"/>
      <c r="X3406" s="3421"/>
      <c r="Y3406" s="2377">
        <v>17</v>
      </c>
      <c r="Z3406" s="3425">
        <v>17</v>
      </c>
      <c r="AA3406" s="3425">
        <v>17</v>
      </c>
      <c r="AB3406" s="583">
        <v>17</v>
      </c>
      <c r="AC3406" s="2920">
        <v>17</v>
      </c>
      <c r="AD3406" s="583">
        <v>17</v>
      </c>
      <c r="AE3406" s="3429"/>
      <c r="AF3406" s="3421"/>
      <c r="AG3406" s="3421"/>
      <c r="AH3406" s="156"/>
      <c r="AI3406" s="156"/>
      <c r="AJ3406" s="156"/>
      <c r="AK3406" s="156"/>
      <c r="AL3406" s="156"/>
      <c r="AM3406" s="156"/>
      <c r="AN3406" s="156"/>
      <c r="AO3406" s="156"/>
      <c r="AP3406" s="156"/>
      <c r="AQ3406" s="156"/>
      <c r="AR3406" s="156"/>
      <c r="AS3406" s="156"/>
      <c r="AT3406" s="156"/>
      <c r="AU3406" s="156"/>
      <c r="AV3406" s="156"/>
      <c r="AW3406" s="156"/>
      <c r="AX3406" s="156"/>
      <c r="AY3406" s="156"/>
      <c r="AZ3406" s="156"/>
      <c r="BA3406" s="156"/>
      <c r="BB3406" s="2828"/>
      <c r="BC3406" s="452"/>
      <c r="BD3406" s="2829"/>
      <c r="BE3406" s="2837"/>
      <c r="BF3406" s="156"/>
    </row>
    <row r="3407" spans="1:58" ht="15" customHeight="1" outlineLevel="1" x14ac:dyDescent="0.35">
      <c r="A3407" s="1071"/>
      <c r="B3407" s="2812"/>
      <c r="C3407" s="3077"/>
      <c r="D3407" s="3980"/>
      <c r="E3407" s="3883"/>
      <c r="F3407" s="3984" t="str">
        <f>$E$1766</f>
        <v>ASHP-SEER17-Replace_CAC_ElectricHeat_ER2_MF_CompE</v>
      </c>
      <c r="G3407" s="3984"/>
      <c r="H3407" s="3984"/>
      <c r="I3407" s="3984"/>
      <c r="J3407" s="3501" t="str">
        <f>$C$1766</f>
        <v>354151_2019_12_</v>
      </c>
      <c r="K3407" s="583">
        <v>17</v>
      </c>
      <c r="L3407" s="704"/>
      <c r="M3407" s="3025" t="s">
        <v>1083</v>
      </c>
      <c r="N3407" s="106"/>
      <c r="O3407" s="106"/>
      <c r="P3407" s="106"/>
      <c r="Q3407" s="106"/>
      <c r="R3407" s="106"/>
      <c r="S3407" s="106"/>
      <c r="T3407" s="106"/>
      <c r="U3407" s="106"/>
      <c r="V3407" s="3980"/>
      <c r="W3407" s="3421"/>
      <c r="X3407" s="3421"/>
      <c r="Y3407" s="2377">
        <v>17</v>
      </c>
      <c r="Z3407" s="3425">
        <v>17</v>
      </c>
      <c r="AA3407" s="3425">
        <v>17</v>
      </c>
      <c r="AB3407" s="583">
        <v>17</v>
      </c>
      <c r="AC3407" s="2920">
        <v>17</v>
      </c>
      <c r="AD3407" s="583">
        <v>17</v>
      </c>
      <c r="AE3407" s="3429"/>
      <c r="AF3407" s="3421"/>
      <c r="AG3407" s="3421"/>
      <c r="AH3407" s="156"/>
      <c r="AI3407" s="156"/>
      <c r="AJ3407" s="156"/>
      <c r="AK3407" s="156"/>
      <c r="AL3407" s="156"/>
      <c r="AM3407" s="156"/>
      <c r="AN3407" s="156"/>
      <c r="AO3407" s="156"/>
      <c r="AP3407" s="156"/>
      <c r="AQ3407" s="156"/>
      <c r="AR3407" s="156"/>
      <c r="AS3407" s="156"/>
      <c r="AT3407" s="156"/>
      <c r="AU3407" s="156"/>
      <c r="AV3407" s="156"/>
      <c r="AW3407" s="156"/>
      <c r="AX3407" s="156"/>
      <c r="AY3407" s="156"/>
      <c r="AZ3407" s="156"/>
      <c r="BA3407" s="156"/>
      <c r="BB3407" s="2828"/>
      <c r="BC3407" s="452"/>
      <c r="BD3407" s="2829"/>
      <c r="BE3407" s="2837"/>
      <c r="BF3407" s="156"/>
    </row>
    <row r="3408" spans="1:58" ht="15" customHeight="1" outlineLevel="1" x14ac:dyDescent="0.35">
      <c r="A3408" s="1071"/>
      <c r="B3408" s="2812"/>
      <c r="C3408" s="3077"/>
      <c r="D3408" s="3980"/>
      <c r="E3408" s="3883"/>
      <c r="F3408" s="3984" t="str">
        <f>$E$1768</f>
        <v>ASHP-SEER17-Replace_CAC_NonElectricHeat_ER1_MF</v>
      </c>
      <c r="G3408" s="3984"/>
      <c r="H3408" s="3984"/>
      <c r="I3408" s="3984"/>
      <c r="J3408" s="3501" t="str">
        <f>$C$1768</f>
        <v>354160_2021_12_</v>
      </c>
      <c r="K3408" s="583">
        <v>17</v>
      </c>
      <c r="L3408" s="704"/>
      <c r="M3408" s="3025" t="s">
        <v>1083</v>
      </c>
      <c r="N3408" s="106"/>
      <c r="O3408" s="106"/>
      <c r="P3408" s="106"/>
      <c r="Q3408" s="106"/>
      <c r="R3408" s="106"/>
      <c r="S3408" s="106"/>
      <c r="T3408" s="106"/>
      <c r="U3408" s="106"/>
      <c r="V3408" s="3980"/>
      <c r="W3408" s="3421"/>
      <c r="X3408" s="3421"/>
      <c r="Y3408" s="2377"/>
      <c r="Z3408" s="3425"/>
      <c r="AA3408" s="3425"/>
      <c r="AB3408" s="583"/>
      <c r="AC3408" s="2919">
        <v>17</v>
      </c>
      <c r="AD3408" s="583">
        <v>17</v>
      </c>
      <c r="AE3408" s="3429"/>
      <c r="AF3408" s="3421"/>
      <c r="AG3408" s="3421"/>
      <c r="AH3408" s="156"/>
      <c r="AI3408" s="156"/>
      <c r="AJ3408" s="156"/>
      <c r="AK3408" s="156"/>
      <c r="AL3408" s="156"/>
      <c r="AM3408" s="156"/>
      <c r="AN3408" s="156"/>
      <c r="AO3408" s="156"/>
      <c r="AP3408" s="156"/>
      <c r="AQ3408" s="156"/>
      <c r="AR3408" s="156"/>
      <c r="AS3408" s="156"/>
      <c r="AT3408" s="156"/>
      <c r="AU3408" s="156"/>
      <c r="AV3408" s="156"/>
      <c r="AW3408" s="156"/>
      <c r="AX3408" s="156"/>
      <c r="AY3408" s="156"/>
      <c r="AZ3408" s="156"/>
      <c r="BA3408" s="156"/>
      <c r="BB3408" s="2828"/>
      <c r="BC3408" s="452"/>
      <c r="BD3408" s="2829"/>
      <c r="BE3408" s="2837"/>
      <c r="BF3408" s="156"/>
    </row>
    <row r="3409" spans="1:58" ht="15" customHeight="1" outlineLevel="1" x14ac:dyDescent="0.35">
      <c r="A3409" s="1071"/>
      <c r="B3409" s="2812"/>
      <c r="C3409" s="3077"/>
      <c r="D3409" s="3980"/>
      <c r="E3409" s="3883"/>
      <c r="F3409" s="3984" t="str">
        <f>$E$1770</f>
        <v>ASHP-SEER17-Replace_CAC_NonElectricHeat_ER2_MF</v>
      </c>
      <c r="G3409" s="3984"/>
      <c r="H3409" s="3984"/>
      <c r="I3409" s="3984"/>
      <c r="J3409" s="3501" t="str">
        <f>$C$1770</f>
        <v>354160_2021_12_</v>
      </c>
      <c r="K3409" s="583">
        <v>17</v>
      </c>
      <c r="L3409" s="704"/>
      <c r="M3409" s="3025" t="s">
        <v>1083</v>
      </c>
      <c r="N3409" s="106"/>
      <c r="O3409" s="106"/>
      <c r="P3409" s="106"/>
      <c r="Q3409" s="106"/>
      <c r="R3409" s="106"/>
      <c r="S3409" s="106"/>
      <c r="T3409" s="106"/>
      <c r="U3409" s="106"/>
      <c r="V3409" s="3980"/>
      <c r="W3409" s="3421"/>
      <c r="X3409" s="3421"/>
      <c r="Y3409" s="2377"/>
      <c r="Z3409" s="3425"/>
      <c r="AA3409" s="3425"/>
      <c r="AB3409" s="583"/>
      <c r="AC3409" s="2919">
        <v>17</v>
      </c>
      <c r="AD3409" s="583">
        <v>17</v>
      </c>
      <c r="AE3409" s="3429"/>
      <c r="AF3409" s="3421"/>
      <c r="AG3409" s="3421"/>
      <c r="AH3409" s="156"/>
      <c r="AI3409" s="156"/>
      <c r="AJ3409" s="156"/>
      <c r="AK3409" s="156"/>
      <c r="AL3409" s="156"/>
      <c r="AM3409" s="156"/>
      <c r="AN3409" s="156"/>
      <c r="AO3409" s="156"/>
      <c r="AP3409" s="156"/>
      <c r="AQ3409" s="156"/>
      <c r="AR3409" s="156"/>
      <c r="AS3409" s="156"/>
      <c r="AT3409" s="156"/>
      <c r="AU3409" s="156"/>
      <c r="AV3409" s="156"/>
      <c r="AW3409" s="156"/>
      <c r="AX3409" s="156"/>
      <c r="AY3409" s="156"/>
      <c r="AZ3409" s="156"/>
      <c r="BA3409" s="156"/>
      <c r="BB3409" s="2828"/>
      <c r="BC3409" s="452"/>
      <c r="BD3409" s="2829"/>
      <c r="BE3409" s="2837"/>
      <c r="BF3409" s="156"/>
    </row>
    <row r="3410" spans="1:58" ht="15" customHeight="1" outlineLevel="1" x14ac:dyDescent="0.35">
      <c r="A3410" s="1071"/>
      <c r="B3410" s="2812"/>
      <c r="C3410" s="3077"/>
      <c r="D3410" s="3980"/>
      <c r="E3410" s="3883"/>
      <c r="F3410" s="3984" t="str">
        <f>$E$1772</f>
        <v>ASHP-SEER17-Replace_CAC_NonElectricHeat_ER1_MF_CompE</v>
      </c>
      <c r="G3410" s="3984"/>
      <c r="H3410" s="3984"/>
      <c r="I3410" s="3984"/>
      <c r="J3410" s="3501" t="str">
        <f>$C$1772</f>
        <v>354161_2021_12_</v>
      </c>
      <c r="K3410" s="583">
        <v>17</v>
      </c>
      <c r="L3410" s="704"/>
      <c r="M3410" s="3025" t="s">
        <v>1083</v>
      </c>
      <c r="N3410" s="106"/>
      <c r="O3410" s="106"/>
      <c r="P3410" s="106"/>
      <c r="Q3410" s="106"/>
      <c r="R3410" s="106"/>
      <c r="S3410" s="106"/>
      <c r="T3410" s="106"/>
      <c r="U3410" s="106"/>
      <c r="V3410" s="3980"/>
      <c r="W3410" s="3421"/>
      <c r="X3410" s="3421"/>
      <c r="Y3410" s="2377"/>
      <c r="Z3410" s="3425"/>
      <c r="AA3410" s="3425"/>
      <c r="AB3410" s="583"/>
      <c r="AC3410" s="2919">
        <v>17</v>
      </c>
      <c r="AD3410" s="583">
        <v>17</v>
      </c>
      <c r="AE3410" s="3429"/>
      <c r="AF3410" s="3421"/>
      <c r="AG3410" s="3421"/>
      <c r="AH3410" s="156"/>
      <c r="AI3410" s="156"/>
      <c r="AJ3410" s="156"/>
      <c r="AK3410" s="156"/>
      <c r="AL3410" s="156"/>
      <c r="AM3410" s="156"/>
      <c r="AN3410" s="156"/>
      <c r="AO3410" s="156"/>
      <c r="AP3410" s="156"/>
      <c r="AQ3410" s="156"/>
      <c r="AR3410" s="156"/>
      <c r="AS3410" s="156"/>
      <c r="AT3410" s="156"/>
      <c r="AU3410" s="156"/>
      <c r="AV3410" s="156"/>
      <c r="AW3410" s="156"/>
      <c r="AX3410" s="156"/>
      <c r="AY3410" s="156"/>
      <c r="AZ3410" s="156"/>
      <c r="BA3410" s="156"/>
      <c r="BB3410" s="2828"/>
      <c r="BC3410" s="452"/>
      <c r="BD3410" s="2829"/>
      <c r="BE3410" s="2837"/>
      <c r="BF3410" s="156"/>
    </row>
    <row r="3411" spans="1:58" ht="15" customHeight="1" outlineLevel="1" x14ac:dyDescent="0.35">
      <c r="A3411" s="1071"/>
      <c r="B3411" s="2812"/>
      <c r="C3411" s="3077"/>
      <c r="D3411" s="3980"/>
      <c r="E3411" s="3883"/>
      <c r="F3411" s="3984" t="str">
        <f>$E$1774</f>
        <v>ASHP-SEER17-Replace_CAC_NonElectricHeat_ER2_MF_CompE</v>
      </c>
      <c r="G3411" s="3984"/>
      <c r="H3411" s="3984"/>
      <c r="I3411" s="3984"/>
      <c r="J3411" s="3501" t="str">
        <f>$C$1774</f>
        <v>354161_2021_12_</v>
      </c>
      <c r="K3411" s="583">
        <v>17</v>
      </c>
      <c r="L3411" s="704"/>
      <c r="M3411" s="3025" t="s">
        <v>1083</v>
      </c>
      <c r="N3411" s="106"/>
      <c r="O3411" s="106"/>
      <c r="P3411" s="106"/>
      <c r="Q3411" s="106"/>
      <c r="R3411" s="106"/>
      <c r="S3411" s="106"/>
      <c r="T3411" s="106"/>
      <c r="U3411" s="106"/>
      <c r="V3411" s="3980"/>
      <c r="W3411" s="3421"/>
      <c r="X3411" s="3421"/>
      <c r="Y3411" s="2377"/>
      <c r="Z3411" s="3425"/>
      <c r="AA3411" s="3425"/>
      <c r="AB3411" s="583"/>
      <c r="AC3411" s="2919">
        <v>17</v>
      </c>
      <c r="AD3411" s="583">
        <v>17</v>
      </c>
      <c r="AE3411" s="3429"/>
      <c r="AF3411" s="3421"/>
      <c r="AG3411" s="3421"/>
      <c r="AH3411" s="156"/>
      <c r="AI3411" s="156"/>
      <c r="AJ3411" s="156"/>
      <c r="AK3411" s="156"/>
      <c r="AL3411" s="156"/>
      <c r="AM3411" s="156"/>
      <c r="AN3411" s="156"/>
      <c r="AO3411" s="156"/>
      <c r="AP3411" s="156"/>
      <c r="AQ3411" s="156"/>
      <c r="AR3411" s="156"/>
      <c r="AS3411" s="156"/>
      <c r="AT3411" s="156"/>
      <c r="AU3411" s="156"/>
      <c r="AV3411" s="156"/>
      <c r="AW3411" s="156"/>
      <c r="AX3411" s="156"/>
      <c r="AY3411" s="156"/>
      <c r="AZ3411" s="156"/>
      <c r="BA3411" s="156"/>
      <c r="BB3411" s="2828"/>
      <c r="BC3411" s="452"/>
      <c r="BD3411" s="2829"/>
      <c r="BE3411" s="2837"/>
      <c r="BF3411" s="156"/>
    </row>
    <row r="3412" spans="1:58" ht="15" customHeight="1" outlineLevel="1" x14ac:dyDescent="0.35">
      <c r="A3412" s="1071"/>
      <c r="B3412" s="2812"/>
      <c r="C3412" s="3077"/>
      <c r="D3412" s="3980"/>
      <c r="E3412" s="3883"/>
      <c r="F3412" s="3984" t="str">
        <f>$E$1776</f>
        <v>ASHP-SEER17_ER1_MF</v>
      </c>
      <c r="G3412" s="3984"/>
      <c r="H3412" s="3984"/>
      <c r="I3412" s="3984"/>
      <c r="J3412" s="3501" t="str">
        <f>$C$1776</f>
        <v>354200_2019_12_</v>
      </c>
      <c r="K3412" s="583">
        <v>17</v>
      </c>
      <c r="L3412" s="704"/>
      <c r="M3412" s="3025" t="s">
        <v>1514</v>
      </c>
      <c r="N3412" s="106"/>
      <c r="O3412" s="106"/>
      <c r="P3412" s="106"/>
      <c r="Q3412" s="106"/>
      <c r="R3412" s="106"/>
      <c r="S3412" s="106"/>
      <c r="T3412" s="106"/>
      <c r="U3412" s="106"/>
      <c r="V3412" s="3980"/>
      <c r="W3412" s="3421">
        <v>17</v>
      </c>
      <c r="X3412" s="3421">
        <v>17</v>
      </c>
      <c r="Y3412" s="3425">
        <v>17</v>
      </c>
      <c r="Z3412" s="3425">
        <v>17</v>
      </c>
      <c r="AA3412" s="3425">
        <v>17</v>
      </c>
      <c r="AB3412" s="583">
        <v>17</v>
      </c>
      <c r="AC3412" s="2920">
        <v>17</v>
      </c>
      <c r="AD3412" s="583">
        <v>17</v>
      </c>
      <c r="AE3412" s="3429"/>
      <c r="AF3412" s="3421"/>
      <c r="AG3412" s="3421"/>
      <c r="AH3412" s="156"/>
      <c r="AI3412" s="156"/>
      <c r="AJ3412" s="156"/>
      <c r="AK3412" s="156"/>
      <c r="AL3412" s="156"/>
      <c r="AM3412" s="156"/>
      <c r="AN3412" s="156"/>
      <c r="AO3412" s="156"/>
      <c r="AP3412" s="156"/>
      <c r="AQ3412" s="156"/>
      <c r="AR3412" s="156"/>
      <c r="AS3412" s="156"/>
      <c r="AT3412" s="156"/>
      <c r="AU3412" s="156"/>
      <c r="AV3412" s="156"/>
      <c r="AW3412" s="156"/>
      <c r="AX3412" s="156"/>
      <c r="AY3412" s="156"/>
      <c r="AZ3412" s="156"/>
      <c r="BA3412" s="156"/>
      <c r="BB3412" s="2828"/>
      <c r="BC3412" s="452"/>
      <c r="BD3412" s="2829"/>
      <c r="BE3412" s="2837"/>
      <c r="BF3412" s="156"/>
    </row>
    <row r="3413" spans="1:58" ht="15" customHeight="1" outlineLevel="1" x14ac:dyDescent="0.35">
      <c r="A3413" s="1071"/>
      <c r="B3413" s="2812"/>
      <c r="C3413" s="3077"/>
      <c r="D3413" s="3980"/>
      <c r="E3413" s="3883"/>
      <c r="F3413" s="3984" t="str">
        <f>$E$1778</f>
        <v>ASHP-SEER17_ER2_MF</v>
      </c>
      <c r="G3413" s="3984"/>
      <c r="H3413" s="3984"/>
      <c r="I3413" s="3984"/>
      <c r="J3413" s="3501" t="str">
        <f>$C$1778</f>
        <v>354200_2019_12_</v>
      </c>
      <c r="K3413" s="583">
        <v>17</v>
      </c>
      <c r="L3413" s="704"/>
      <c r="M3413" s="3025" t="s">
        <v>1514</v>
      </c>
      <c r="N3413" s="106"/>
      <c r="O3413" s="106"/>
      <c r="P3413" s="106"/>
      <c r="Q3413" s="106"/>
      <c r="R3413" s="106"/>
      <c r="S3413" s="106"/>
      <c r="T3413" s="106"/>
      <c r="U3413" s="106"/>
      <c r="V3413" s="3980"/>
      <c r="W3413" s="3421">
        <v>17</v>
      </c>
      <c r="X3413" s="3421">
        <v>17</v>
      </c>
      <c r="Y3413" s="3425">
        <v>17</v>
      </c>
      <c r="Z3413" s="3425">
        <v>17</v>
      </c>
      <c r="AA3413" s="3425">
        <v>17</v>
      </c>
      <c r="AB3413" s="583">
        <v>17</v>
      </c>
      <c r="AC3413" s="2920">
        <v>17</v>
      </c>
      <c r="AD3413" s="583">
        <v>17</v>
      </c>
      <c r="AE3413" s="3429"/>
      <c r="AF3413" s="3421"/>
      <c r="AG3413" s="3421"/>
      <c r="AH3413" s="156"/>
      <c r="AI3413" s="156"/>
      <c r="AJ3413" s="156"/>
      <c r="AK3413" s="156"/>
      <c r="AL3413" s="156"/>
      <c r="AM3413" s="156"/>
      <c r="AN3413" s="156"/>
      <c r="AO3413" s="156"/>
      <c r="AP3413" s="156"/>
      <c r="AQ3413" s="156"/>
      <c r="AR3413" s="156"/>
      <c r="AS3413" s="156"/>
      <c r="AT3413" s="156"/>
      <c r="AU3413" s="156"/>
      <c r="AV3413" s="156"/>
      <c r="AW3413" s="156"/>
      <c r="AX3413" s="156"/>
      <c r="AY3413" s="156"/>
      <c r="AZ3413" s="156"/>
      <c r="BA3413" s="156"/>
      <c r="BB3413" s="2828"/>
      <c r="BC3413" s="452"/>
      <c r="BD3413" s="2829"/>
      <c r="BE3413" s="2837"/>
      <c r="BF3413" s="156"/>
    </row>
    <row r="3414" spans="1:58" ht="15" customHeight="1" outlineLevel="1" x14ac:dyDescent="0.35">
      <c r="A3414" s="1071"/>
      <c r="B3414" s="2812"/>
      <c r="C3414" s="3077"/>
      <c r="D3414" s="3980"/>
      <c r="E3414" s="3883"/>
      <c r="F3414" s="3984" t="str">
        <f>$E$1780</f>
        <v>ASHP-SEER17_ER1_MF_CompE</v>
      </c>
      <c r="G3414" s="3984"/>
      <c r="H3414" s="3984"/>
      <c r="I3414" s="3984"/>
      <c r="J3414" s="3501" t="str">
        <f>$C$1780</f>
        <v>354201_2019_12_</v>
      </c>
      <c r="K3414" s="583">
        <v>17</v>
      </c>
      <c r="L3414" s="704"/>
      <c r="M3414" s="3025" t="s">
        <v>1083</v>
      </c>
      <c r="N3414" s="106"/>
      <c r="O3414" s="106"/>
      <c r="P3414" s="106"/>
      <c r="Q3414" s="106"/>
      <c r="R3414" s="106"/>
      <c r="S3414" s="106"/>
      <c r="T3414" s="106"/>
      <c r="U3414" s="106"/>
      <c r="V3414" s="3980"/>
      <c r="W3414" s="3421"/>
      <c r="X3414" s="3421"/>
      <c r="Y3414" s="2377">
        <v>17</v>
      </c>
      <c r="Z3414" s="3425">
        <v>17</v>
      </c>
      <c r="AA3414" s="3425">
        <v>17</v>
      </c>
      <c r="AB3414" s="583">
        <v>17</v>
      </c>
      <c r="AC3414" s="2920">
        <v>17</v>
      </c>
      <c r="AD3414" s="583">
        <v>17</v>
      </c>
      <c r="AE3414" s="3429"/>
      <c r="AF3414" s="3421"/>
      <c r="AG3414" s="3421"/>
      <c r="AH3414" s="156"/>
      <c r="AI3414" s="156"/>
      <c r="AJ3414" s="156"/>
      <c r="AK3414" s="156"/>
      <c r="AL3414" s="156"/>
      <c r="AM3414" s="156"/>
      <c r="AN3414" s="156"/>
      <c r="AO3414" s="156"/>
      <c r="AP3414" s="156"/>
      <c r="AQ3414" s="156"/>
      <c r="AR3414" s="156"/>
      <c r="AS3414" s="156"/>
      <c r="AT3414" s="156"/>
      <c r="AU3414" s="156"/>
      <c r="AV3414" s="156"/>
      <c r="AW3414" s="156"/>
      <c r="AX3414" s="156"/>
      <c r="AY3414" s="156"/>
      <c r="AZ3414" s="156"/>
      <c r="BA3414" s="156"/>
      <c r="BB3414" s="2828"/>
      <c r="BC3414" s="452"/>
      <c r="BD3414" s="2829"/>
      <c r="BE3414" s="2837"/>
      <c r="BF3414" s="156"/>
    </row>
    <row r="3415" spans="1:58" ht="15" customHeight="1" outlineLevel="1" x14ac:dyDescent="0.35">
      <c r="A3415" s="1071"/>
      <c r="B3415" s="2812"/>
      <c r="C3415" s="3077"/>
      <c r="D3415" s="3980"/>
      <c r="E3415" s="3883"/>
      <c r="F3415" s="3984" t="str">
        <f>$E$1782</f>
        <v>ASHP-SEER17_ER2_MF_CompE</v>
      </c>
      <c r="G3415" s="3984"/>
      <c r="H3415" s="3984"/>
      <c r="I3415" s="3984"/>
      <c r="J3415" s="3501" t="str">
        <f>$C$1782</f>
        <v>354201_2019_12_</v>
      </c>
      <c r="K3415" s="583">
        <v>17</v>
      </c>
      <c r="L3415" s="704"/>
      <c r="M3415" s="3025" t="s">
        <v>1083</v>
      </c>
      <c r="N3415" s="106"/>
      <c r="O3415" s="106"/>
      <c r="P3415" s="106"/>
      <c r="Q3415" s="106"/>
      <c r="R3415" s="106"/>
      <c r="S3415" s="106"/>
      <c r="T3415" s="106"/>
      <c r="U3415" s="106"/>
      <c r="V3415" s="3980"/>
      <c r="W3415" s="3421"/>
      <c r="X3415" s="3421"/>
      <c r="Y3415" s="2377">
        <v>17</v>
      </c>
      <c r="Z3415" s="3425">
        <v>17</v>
      </c>
      <c r="AA3415" s="3425">
        <v>17</v>
      </c>
      <c r="AB3415" s="583">
        <v>17</v>
      </c>
      <c r="AC3415" s="2920">
        <v>17</v>
      </c>
      <c r="AD3415" s="583">
        <v>17</v>
      </c>
      <c r="AE3415" s="3429"/>
      <c r="AF3415" s="3421"/>
      <c r="AG3415" s="3421"/>
      <c r="AH3415" s="156"/>
      <c r="AI3415" s="156"/>
      <c r="AJ3415" s="156"/>
      <c r="AK3415" s="156"/>
      <c r="AL3415" s="156"/>
      <c r="AM3415" s="156"/>
      <c r="AN3415" s="156"/>
      <c r="AO3415" s="156"/>
      <c r="AP3415" s="156"/>
      <c r="AQ3415" s="156"/>
      <c r="AR3415" s="156"/>
      <c r="AS3415" s="156"/>
      <c r="AT3415" s="156"/>
      <c r="AU3415" s="156"/>
      <c r="AV3415" s="156"/>
      <c r="AW3415" s="156"/>
      <c r="AX3415" s="156"/>
      <c r="AY3415" s="156"/>
      <c r="AZ3415" s="156"/>
      <c r="BA3415" s="156"/>
      <c r="BB3415" s="2828"/>
      <c r="BC3415" s="452"/>
      <c r="BD3415" s="2829"/>
      <c r="BE3415" s="2837"/>
      <c r="BF3415" s="156"/>
    </row>
    <row r="3416" spans="1:58" ht="15" customHeight="1" outlineLevel="1" x14ac:dyDescent="0.35">
      <c r="A3416" s="1071"/>
      <c r="B3416" s="2812"/>
      <c r="C3416" s="3077"/>
      <c r="D3416" s="3980"/>
      <c r="E3416" s="3883"/>
      <c r="F3416" s="3984" t="str">
        <f>$E$1784</f>
        <v>ASHP-SEER18-Replace_CAC_ElectricHeat_ER1_SF</v>
      </c>
      <c r="G3416" s="3984"/>
      <c r="H3416" s="3984"/>
      <c r="I3416" s="3984"/>
      <c r="J3416" s="3501" t="str">
        <f>$C$1784</f>
        <v>354250_2021_12_</v>
      </c>
      <c r="K3416" s="3050">
        <v>18.023684210526316</v>
      </c>
      <c r="L3416" s="704"/>
      <c r="M3416" s="2819" t="s">
        <v>4360</v>
      </c>
      <c r="N3416" s="106"/>
      <c r="O3416" s="106"/>
      <c r="P3416" s="106"/>
      <c r="Q3416" s="106"/>
      <c r="R3416" s="106"/>
      <c r="S3416" s="106"/>
      <c r="T3416" s="106"/>
      <c r="U3416" s="106"/>
      <c r="V3416" s="3980"/>
      <c r="W3416" s="3421">
        <v>18</v>
      </c>
      <c r="X3416" s="3421">
        <v>18</v>
      </c>
      <c r="Y3416" s="3425">
        <v>18</v>
      </c>
      <c r="Z3416" s="3425">
        <v>18</v>
      </c>
      <c r="AA3416" s="3425">
        <v>18</v>
      </c>
      <c r="AB3416" s="584">
        <v>18.582558139534882</v>
      </c>
      <c r="AC3416" s="2919">
        <v>17.967652173913041</v>
      </c>
      <c r="AD3416" s="3050">
        <v>18.023684210526316</v>
      </c>
      <c r="AE3416" s="3429"/>
      <c r="AF3416" s="3421"/>
      <c r="AG3416" s="3421"/>
      <c r="AH3416" s="156"/>
      <c r="AI3416" s="156"/>
      <c r="AJ3416" s="156"/>
      <c r="AK3416" s="156"/>
      <c r="AL3416" s="156"/>
      <c r="AM3416" s="156"/>
      <c r="AN3416" s="156"/>
      <c r="AO3416" s="156"/>
      <c r="AP3416" s="156"/>
      <c r="AQ3416" s="156"/>
      <c r="AR3416" s="156"/>
      <c r="AS3416" s="156"/>
      <c r="AT3416" s="156"/>
      <c r="AU3416" s="156"/>
      <c r="AV3416" s="156"/>
      <c r="AW3416" s="156"/>
      <c r="AX3416" s="156"/>
      <c r="AY3416" s="156"/>
      <c r="AZ3416" s="156"/>
      <c r="BA3416" s="156"/>
      <c r="BB3416" s="2828"/>
      <c r="BC3416" s="452"/>
      <c r="BD3416" s="2829"/>
      <c r="BE3416" s="2837"/>
      <c r="BF3416" s="156"/>
    </row>
    <row r="3417" spans="1:58" ht="15" customHeight="1" outlineLevel="1" x14ac:dyDescent="0.35">
      <c r="A3417" s="1071"/>
      <c r="B3417" s="2812"/>
      <c r="C3417" s="3077"/>
      <c r="D3417" s="3980"/>
      <c r="E3417" s="3883"/>
      <c r="F3417" s="3984" t="str">
        <f>$E$1786</f>
        <v>ASHP-SEER18-Replace_CAC_ElectricHeat_ER2_SF</v>
      </c>
      <c r="G3417" s="3984"/>
      <c r="H3417" s="3984"/>
      <c r="I3417" s="3984"/>
      <c r="J3417" s="3501" t="str">
        <f>$C$1786</f>
        <v>354250_2021_12_</v>
      </c>
      <c r="K3417" s="3050">
        <v>18.023684210526316</v>
      </c>
      <c r="L3417" s="704"/>
      <c r="M3417" s="2819" t="s">
        <v>4360</v>
      </c>
      <c r="N3417" s="106"/>
      <c r="O3417" s="106"/>
      <c r="P3417" s="106"/>
      <c r="Q3417" s="106"/>
      <c r="R3417" s="106"/>
      <c r="S3417" s="106"/>
      <c r="T3417" s="106"/>
      <c r="U3417" s="106"/>
      <c r="V3417" s="3980"/>
      <c r="W3417" s="3421">
        <v>18</v>
      </c>
      <c r="X3417" s="3421">
        <v>18</v>
      </c>
      <c r="Y3417" s="3425">
        <v>18</v>
      </c>
      <c r="Z3417" s="3425">
        <v>18</v>
      </c>
      <c r="AA3417" s="3425">
        <v>18</v>
      </c>
      <c r="AB3417" s="584">
        <v>18.582558139534882</v>
      </c>
      <c r="AC3417" s="2919">
        <f>AC3416</f>
        <v>17.967652173913041</v>
      </c>
      <c r="AD3417" s="3050">
        <v>18.023684210526316</v>
      </c>
      <c r="AE3417" s="3429"/>
      <c r="AF3417" s="3421"/>
      <c r="AG3417" s="3421"/>
      <c r="AH3417" s="156"/>
      <c r="AI3417" s="156"/>
      <c r="AJ3417" s="156"/>
      <c r="AK3417" s="156"/>
      <c r="AL3417" s="156"/>
      <c r="AM3417" s="156"/>
      <c r="AN3417" s="156"/>
      <c r="AO3417" s="156"/>
      <c r="AP3417" s="156"/>
      <c r="AQ3417" s="156"/>
      <c r="AR3417" s="156"/>
      <c r="AS3417" s="156"/>
      <c r="AT3417" s="156"/>
      <c r="AU3417" s="156"/>
      <c r="AV3417" s="156"/>
      <c r="AW3417" s="156"/>
      <c r="AX3417" s="156"/>
      <c r="AY3417" s="156"/>
      <c r="AZ3417" s="156"/>
      <c r="BA3417" s="156"/>
      <c r="BB3417" s="2828"/>
      <c r="BC3417" s="452"/>
      <c r="BD3417" s="2829"/>
      <c r="BE3417" s="2837"/>
      <c r="BF3417" s="156"/>
    </row>
    <row r="3418" spans="1:58" ht="15" customHeight="1" outlineLevel="1" x14ac:dyDescent="0.35">
      <c r="A3418" s="1071"/>
      <c r="B3418" s="2812"/>
      <c r="C3418" s="3077"/>
      <c r="D3418" s="3980"/>
      <c r="E3418" s="3883"/>
      <c r="F3418" s="3984" t="str">
        <f>$E$1788</f>
        <v>ASHP-SEER18-Replace_CAC_NonElectricHeat_ER1_SF</v>
      </c>
      <c r="G3418" s="3984"/>
      <c r="H3418" s="3984"/>
      <c r="I3418" s="3984"/>
      <c r="J3418" s="3501" t="str">
        <f>$C$1788</f>
        <v>354260_2021_12_</v>
      </c>
      <c r="K3418" s="3050">
        <v>18.023684210526316</v>
      </c>
      <c r="L3418" s="704"/>
      <c r="M3418" s="3025" t="s">
        <v>1083</v>
      </c>
      <c r="N3418" s="106"/>
      <c r="O3418" s="106"/>
      <c r="P3418" s="106"/>
      <c r="Q3418" s="106"/>
      <c r="R3418" s="106"/>
      <c r="S3418" s="106"/>
      <c r="T3418" s="106"/>
      <c r="U3418" s="106"/>
      <c r="V3418" s="3980"/>
      <c r="W3418" s="3421"/>
      <c r="X3418" s="3421"/>
      <c r="Y3418" s="3425"/>
      <c r="Z3418" s="3425"/>
      <c r="AA3418" s="3425"/>
      <c r="AB3418" s="584"/>
      <c r="AC3418" s="2919">
        <v>17.967652173913041</v>
      </c>
      <c r="AD3418" s="3050">
        <v>18.023684210526316</v>
      </c>
      <c r="AE3418" s="3429"/>
      <c r="AF3418" s="3421"/>
      <c r="AG3418" s="3421"/>
      <c r="AH3418" s="156"/>
      <c r="AI3418" s="156"/>
      <c r="AJ3418" s="156"/>
      <c r="AK3418" s="156"/>
      <c r="AL3418" s="156"/>
      <c r="AM3418" s="156"/>
      <c r="AN3418" s="156"/>
      <c r="AO3418" s="156"/>
      <c r="AP3418" s="156"/>
      <c r="AQ3418" s="156"/>
      <c r="AR3418" s="156"/>
      <c r="AS3418" s="156"/>
      <c r="AT3418" s="156"/>
      <c r="AU3418" s="156"/>
      <c r="AV3418" s="156"/>
      <c r="AW3418" s="156"/>
      <c r="AX3418" s="156"/>
      <c r="AY3418" s="156"/>
      <c r="AZ3418" s="156"/>
      <c r="BA3418" s="156"/>
      <c r="BB3418" s="2828"/>
      <c r="BC3418" s="452"/>
      <c r="BD3418" s="2829"/>
      <c r="BE3418" s="2837"/>
      <c r="BF3418" s="156"/>
    </row>
    <row r="3419" spans="1:58" ht="15" customHeight="1" outlineLevel="1" x14ac:dyDescent="0.35">
      <c r="A3419" s="1071"/>
      <c r="B3419" s="2812"/>
      <c r="C3419" s="3077"/>
      <c r="D3419" s="3980"/>
      <c r="E3419" s="3883"/>
      <c r="F3419" s="3984" t="str">
        <f>$E$1790</f>
        <v>ASHP-SEER18-Replace_CAC_NonElectricHeat_ER2_SF</v>
      </c>
      <c r="G3419" s="3984"/>
      <c r="H3419" s="3984"/>
      <c r="I3419" s="3984"/>
      <c r="J3419" s="3501" t="str">
        <f>$C$1790</f>
        <v>354260_2021_12_</v>
      </c>
      <c r="K3419" s="3050">
        <v>18.023684210526316</v>
      </c>
      <c r="L3419" s="704"/>
      <c r="M3419" s="3025" t="s">
        <v>1083</v>
      </c>
      <c r="N3419" s="106"/>
      <c r="O3419" s="106"/>
      <c r="P3419" s="106"/>
      <c r="Q3419" s="106"/>
      <c r="R3419" s="106"/>
      <c r="S3419" s="106"/>
      <c r="T3419" s="106"/>
      <c r="U3419" s="106"/>
      <c r="V3419" s="3980"/>
      <c r="W3419" s="3421"/>
      <c r="X3419" s="3421"/>
      <c r="Y3419" s="3425"/>
      <c r="Z3419" s="3425"/>
      <c r="AA3419" s="3425"/>
      <c r="AB3419" s="584"/>
      <c r="AC3419" s="2919">
        <f>AC3418</f>
        <v>17.967652173913041</v>
      </c>
      <c r="AD3419" s="3050">
        <v>18.023684210526316</v>
      </c>
      <c r="AE3419" s="3429"/>
      <c r="AF3419" s="3421"/>
      <c r="AG3419" s="3421"/>
      <c r="AH3419" s="156"/>
      <c r="AI3419" s="156"/>
      <c r="AJ3419" s="156"/>
      <c r="AK3419" s="156"/>
      <c r="AL3419" s="156"/>
      <c r="AM3419" s="156"/>
      <c r="AN3419" s="156"/>
      <c r="AO3419" s="156"/>
      <c r="AP3419" s="156"/>
      <c r="AQ3419" s="156"/>
      <c r="AR3419" s="156"/>
      <c r="AS3419" s="156"/>
      <c r="AT3419" s="156"/>
      <c r="AU3419" s="156"/>
      <c r="AV3419" s="156"/>
      <c r="AW3419" s="156"/>
      <c r="AX3419" s="156"/>
      <c r="AY3419" s="156"/>
      <c r="AZ3419" s="156"/>
      <c r="BA3419" s="156"/>
      <c r="BB3419" s="2828"/>
      <c r="BC3419" s="452"/>
      <c r="BD3419" s="2829"/>
      <c r="BE3419" s="2837"/>
      <c r="BF3419" s="156"/>
    </row>
    <row r="3420" spans="1:58" ht="15" customHeight="1" outlineLevel="1" x14ac:dyDescent="0.35">
      <c r="A3420" s="1071"/>
      <c r="B3420" s="2812"/>
      <c r="C3420" s="3077"/>
      <c r="D3420" s="3980"/>
      <c r="E3420" s="3883"/>
      <c r="F3420" s="3984" t="str">
        <f>$E$1792</f>
        <v>ASHP-SEER18-Replace_CAC_ElectricHeat_ER1_MF</v>
      </c>
      <c r="G3420" s="3984"/>
      <c r="H3420" s="3984"/>
      <c r="I3420" s="3984"/>
      <c r="J3420" s="3501" t="str">
        <f>$C$1792</f>
        <v>354300_2021_12_</v>
      </c>
      <c r="K3420" s="583">
        <v>18</v>
      </c>
      <c r="L3420" s="704"/>
      <c r="M3420" s="3025" t="s">
        <v>974</v>
      </c>
      <c r="N3420" s="106"/>
      <c r="O3420" s="106"/>
      <c r="P3420" s="106"/>
      <c r="Q3420" s="106"/>
      <c r="R3420" s="106"/>
      <c r="S3420" s="106"/>
      <c r="T3420" s="106"/>
      <c r="U3420" s="106"/>
      <c r="V3420" s="3980"/>
      <c r="W3420" s="3421">
        <v>18</v>
      </c>
      <c r="X3420" s="3421">
        <v>18</v>
      </c>
      <c r="Y3420" s="3425">
        <v>18</v>
      </c>
      <c r="Z3420" s="3425">
        <v>18</v>
      </c>
      <c r="AA3420" s="3425">
        <v>18</v>
      </c>
      <c r="AB3420" s="584">
        <v>18</v>
      </c>
      <c r="AC3420" s="2919">
        <v>18</v>
      </c>
      <c r="AD3420" s="583">
        <v>18</v>
      </c>
      <c r="AE3420" s="3429"/>
      <c r="AF3420" s="3421"/>
      <c r="AG3420" s="3421"/>
      <c r="AH3420" s="156"/>
      <c r="AI3420" s="156"/>
      <c r="AJ3420" s="156"/>
      <c r="AK3420" s="156"/>
      <c r="AL3420" s="156"/>
      <c r="AM3420" s="156"/>
      <c r="AN3420" s="156"/>
      <c r="AO3420" s="156"/>
      <c r="AP3420" s="156"/>
      <c r="AQ3420" s="156"/>
      <c r="AR3420" s="156"/>
      <c r="AS3420" s="156"/>
      <c r="AT3420" s="156"/>
      <c r="AU3420" s="156"/>
      <c r="AV3420" s="156"/>
      <c r="AW3420" s="156"/>
      <c r="AX3420" s="156"/>
      <c r="AY3420" s="156"/>
      <c r="AZ3420" s="156"/>
      <c r="BA3420" s="156"/>
      <c r="BB3420" s="2828"/>
      <c r="BC3420" s="452"/>
      <c r="BD3420" s="2829"/>
      <c r="BE3420" s="2837"/>
      <c r="BF3420" s="156"/>
    </row>
    <row r="3421" spans="1:58" ht="15" customHeight="1" outlineLevel="1" x14ac:dyDescent="0.35">
      <c r="A3421" s="1071"/>
      <c r="B3421" s="2812"/>
      <c r="C3421" s="3077"/>
      <c r="D3421" s="3980"/>
      <c r="E3421" s="3883"/>
      <c r="F3421" s="3984" t="str">
        <f>$E$1794</f>
        <v>ASHP-SEER18-Replace_CAC_ElectricHeat_ER2_MF</v>
      </c>
      <c r="G3421" s="3984"/>
      <c r="H3421" s="3984"/>
      <c r="I3421" s="3984"/>
      <c r="J3421" s="3501" t="str">
        <f>$C$1794</f>
        <v>354300_2021_12_</v>
      </c>
      <c r="K3421" s="583">
        <v>18</v>
      </c>
      <c r="L3421" s="704"/>
      <c r="M3421" s="3025" t="s">
        <v>974</v>
      </c>
      <c r="N3421" s="106"/>
      <c r="O3421" s="106"/>
      <c r="P3421" s="106"/>
      <c r="Q3421" s="106"/>
      <c r="R3421" s="106"/>
      <c r="S3421" s="106"/>
      <c r="T3421" s="106"/>
      <c r="U3421" s="106"/>
      <c r="V3421" s="3980"/>
      <c r="W3421" s="3421">
        <v>18</v>
      </c>
      <c r="X3421" s="3421">
        <v>18</v>
      </c>
      <c r="Y3421" s="3425">
        <v>18</v>
      </c>
      <c r="Z3421" s="3425">
        <v>18</v>
      </c>
      <c r="AA3421" s="3425">
        <v>18</v>
      </c>
      <c r="AB3421" s="584">
        <v>18</v>
      </c>
      <c r="AC3421" s="2919">
        <f>AC3420</f>
        <v>18</v>
      </c>
      <c r="AD3421" s="583">
        <v>18</v>
      </c>
      <c r="AE3421" s="3429"/>
      <c r="AF3421" s="3421"/>
      <c r="AG3421" s="3421"/>
      <c r="AH3421" s="156"/>
      <c r="AI3421" s="156"/>
      <c r="AJ3421" s="156"/>
      <c r="AK3421" s="156"/>
      <c r="AL3421" s="156"/>
      <c r="AM3421" s="156"/>
      <c r="AN3421" s="156"/>
      <c r="AO3421" s="156"/>
      <c r="AP3421" s="156"/>
      <c r="AQ3421" s="156"/>
      <c r="AR3421" s="156"/>
      <c r="AS3421" s="156"/>
      <c r="AT3421" s="156"/>
      <c r="AU3421" s="156"/>
      <c r="AV3421" s="156"/>
      <c r="AW3421" s="156"/>
      <c r="AX3421" s="156"/>
      <c r="AY3421" s="156"/>
      <c r="AZ3421" s="156"/>
      <c r="BA3421" s="156"/>
      <c r="BB3421" s="2828"/>
      <c r="BC3421" s="452"/>
      <c r="BD3421" s="2829"/>
      <c r="BE3421" s="2837"/>
      <c r="BF3421" s="156"/>
    </row>
    <row r="3422" spans="1:58" ht="15" customHeight="1" outlineLevel="1" x14ac:dyDescent="0.35">
      <c r="A3422" s="1071"/>
      <c r="B3422" s="2812"/>
      <c r="C3422" s="3077"/>
      <c r="D3422" s="3980"/>
      <c r="E3422" s="3883"/>
      <c r="F3422" s="3984" t="str">
        <f>$E$1796</f>
        <v>ASHP-SEER18-Replace_CAC_ElectricHeat_ER1_MF_CompE</v>
      </c>
      <c r="G3422" s="3984"/>
      <c r="H3422" s="3984"/>
      <c r="I3422" s="3984"/>
      <c r="J3422" s="3501" t="str">
        <f>$C$1796</f>
        <v>354301_2021_12_</v>
      </c>
      <c r="K3422" s="583">
        <v>18</v>
      </c>
      <c r="L3422" s="704"/>
      <c r="M3422" s="3025" t="s">
        <v>1083</v>
      </c>
      <c r="N3422" s="106"/>
      <c r="O3422" s="106"/>
      <c r="P3422" s="106"/>
      <c r="Q3422" s="106"/>
      <c r="R3422" s="106"/>
      <c r="S3422" s="106"/>
      <c r="T3422" s="106"/>
      <c r="U3422" s="106"/>
      <c r="V3422" s="3980"/>
      <c r="W3422" s="3421"/>
      <c r="X3422" s="3421"/>
      <c r="Y3422" s="2377">
        <v>18</v>
      </c>
      <c r="Z3422" s="3425">
        <v>18</v>
      </c>
      <c r="AA3422" s="3425">
        <v>18</v>
      </c>
      <c r="AB3422" s="584">
        <v>18</v>
      </c>
      <c r="AC3422" s="2920">
        <f>AC3421</f>
        <v>18</v>
      </c>
      <c r="AD3422" s="583">
        <v>18</v>
      </c>
      <c r="AE3422" s="3429"/>
      <c r="AF3422" s="3421"/>
      <c r="AG3422" s="3421"/>
      <c r="AH3422" s="156"/>
      <c r="AI3422" s="156"/>
      <c r="AJ3422" s="156"/>
      <c r="AK3422" s="156"/>
      <c r="AL3422" s="156"/>
      <c r="AM3422" s="156"/>
      <c r="AN3422" s="156"/>
      <c r="AO3422" s="156"/>
      <c r="AP3422" s="156"/>
      <c r="AQ3422" s="156"/>
      <c r="AR3422" s="156"/>
      <c r="AS3422" s="156"/>
      <c r="AT3422" s="156"/>
      <c r="AU3422" s="156"/>
      <c r="AV3422" s="156"/>
      <c r="AW3422" s="156"/>
      <c r="AX3422" s="156"/>
      <c r="AY3422" s="156"/>
      <c r="AZ3422" s="156"/>
      <c r="BA3422" s="156"/>
      <c r="BB3422" s="2828"/>
      <c r="BC3422" s="452"/>
      <c r="BD3422" s="2829"/>
      <c r="BE3422" s="2837"/>
      <c r="BF3422" s="156"/>
    </row>
    <row r="3423" spans="1:58" ht="15" customHeight="1" outlineLevel="1" x14ac:dyDescent="0.35">
      <c r="A3423" s="1071"/>
      <c r="B3423" s="2812"/>
      <c r="C3423" s="3077"/>
      <c r="D3423" s="3980"/>
      <c r="E3423" s="3883"/>
      <c r="F3423" s="3984" t="str">
        <f>$E$1798</f>
        <v>ASHP-SEER18-Replace_CAC_ElectricHeat_ER2_MF_CompE</v>
      </c>
      <c r="G3423" s="3984"/>
      <c r="H3423" s="3984"/>
      <c r="I3423" s="3984"/>
      <c r="J3423" s="3501" t="str">
        <f>$C$1798</f>
        <v>354301_2021_12_</v>
      </c>
      <c r="K3423" s="583">
        <v>18</v>
      </c>
      <c r="L3423" s="704"/>
      <c r="M3423" s="3025" t="s">
        <v>1083</v>
      </c>
      <c r="N3423" s="106"/>
      <c r="O3423" s="106"/>
      <c r="P3423" s="106"/>
      <c r="Q3423" s="106"/>
      <c r="R3423" s="106"/>
      <c r="S3423" s="106"/>
      <c r="T3423" s="106"/>
      <c r="U3423" s="106"/>
      <c r="V3423" s="3980"/>
      <c r="W3423" s="3421"/>
      <c r="X3423" s="3421"/>
      <c r="Y3423" s="2377">
        <v>18</v>
      </c>
      <c r="Z3423" s="3425">
        <v>18</v>
      </c>
      <c r="AA3423" s="3425">
        <v>18</v>
      </c>
      <c r="AB3423" s="584">
        <v>18</v>
      </c>
      <c r="AC3423" s="2920">
        <f>AC3422</f>
        <v>18</v>
      </c>
      <c r="AD3423" s="583">
        <v>18</v>
      </c>
      <c r="AE3423" s="3429"/>
      <c r="AF3423" s="3421"/>
      <c r="AG3423" s="3421"/>
      <c r="AH3423" s="156"/>
      <c r="AI3423" s="156"/>
      <c r="AJ3423" s="156"/>
      <c r="AK3423" s="156"/>
      <c r="AL3423" s="156"/>
      <c r="AM3423" s="156"/>
      <c r="AN3423" s="156"/>
      <c r="AO3423" s="156"/>
      <c r="AP3423" s="156"/>
      <c r="AQ3423" s="156"/>
      <c r="AR3423" s="156"/>
      <c r="AS3423" s="156"/>
      <c r="AT3423" s="156"/>
      <c r="AU3423" s="156"/>
      <c r="AV3423" s="156"/>
      <c r="AW3423" s="156"/>
      <c r="AX3423" s="156"/>
      <c r="AY3423" s="156"/>
      <c r="AZ3423" s="156"/>
      <c r="BA3423" s="156"/>
      <c r="BB3423" s="2828"/>
      <c r="BC3423" s="452"/>
      <c r="BD3423" s="2829"/>
      <c r="BE3423" s="2837"/>
      <c r="BF3423" s="156"/>
    </row>
    <row r="3424" spans="1:58" ht="15" customHeight="1" outlineLevel="1" x14ac:dyDescent="0.35">
      <c r="A3424" s="1071"/>
      <c r="B3424" s="2812"/>
      <c r="C3424" s="3077"/>
      <c r="D3424" s="3980"/>
      <c r="E3424" s="3883"/>
      <c r="F3424" s="3984" t="str">
        <f>$E$1800</f>
        <v>ASHP-SEER18-Replace_CAC_NonElectricHeat_ER1_MF</v>
      </c>
      <c r="G3424" s="3984"/>
      <c r="H3424" s="3984"/>
      <c r="I3424" s="3984"/>
      <c r="J3424" s="3501" t="str">
        <f>$C$1800</f>
        <v>354310_2021_12_</v>
      </c>
      <c r="K3424" s="583">
        <v>18</v>
      </c>
      <c r="L3424" s="704"/>
      <c r="M3424" s="3025" t="s">
        <v>1083</v>
      </c>
      <c r="N3424" s="106"/>
      <c r="O3424" s="106"/>
      <c r="P3424" s="106"/>
      <c r="Q3424" s="106"/>
      <c r="R3424" s="106"/>
      <c r="S3424" s="106"/>
      <c r="T3424" s="106"/>
      <c r="U3424" s="106"/>
      <c r="V3424" s="3980"/>
      <c r="W3424" s="3421"/>
      <c r="X3424" s="3421"/>
      <c r="Y3424" s="2377"/>
      <c r="Z3424" s="3425"/>
      <c r="AA3424" s="3425"/>
      <c r="AB3424" s="584"/>
      <c r="AC3424" s="2919">
        <v>18</v>
      </c>
      <c r="AD3424" s="583">
        <v>18</v>
      </c>
      <c r="AE3424" s="3429"/>
      <c r="AF3424" s="3421"/>
      <c r="AG3424" s="3421"/>
      <c r="AH3424" s="156"/>
      <c r="AI3424" s="156"/>
      <c r="AJ3424" s="156"/>
      <c r="AK3424" s="156"/>
      <c r="AL3424" s="156"/>
      <c r="AM3424" s="156"/>
      <c r="AN3424" s="156"/>
      <c r="AO3424" s="156"/>
      <c r="AP3424" s="156"/>
      <c r="AQ3424" s="156"/>
      <c r="AR3424" s="156"/>
      <c r="AS3424" s="156"/>
      <c r="AT3424" s="156"/>
      <c r="AU3424" s="156"/>
      <c r="AV3424" s="156"/>
      <c r="AW3424" s="156"/>
      <c r="AX3424" s="156"/>
      <c r="AY3424" s="156"/>
      <c r="AZ3424" s="156"/>
      <c r="BA3424" s="156"/>
      <c r="BB3424" s="2828"/>
      <c r="BC3424" s="452"/>
      <c r="BD3424" s="2829"/>
      <c r="BE3424" s="2837"/>
      <c r="BF3424" s="156"/>
    </row>
    <row r="3425" spans="1:58" ht="15" customHeight="1" outlineLevel="1" x14ac:dyDescent="0.35">
      <c r="A3425" s="1071"/>
      <c r="B3425" s="2812"/>
      <c r="C3425" s="3077"/>
      <c r="D3425" s="3980"/>
      <c r="E3425" s="3883"/>
      <c r="F3425" s="3984" t="str">
        <f>$E$1802</f>
        <v>ASHP-SEER18-Replace_CAC_NonElectricHeat_ER2_MF</v>
      </c>
      <c r="G3425" s="3984"/>
      <c r="H3425" s="3984"/>
      <c r="I3425" s="3984"/>
      <c r="J3425" s="3501" t="str">
        <f>$C$1802</f>
        <v>354310_2021_12_</v>
      </c>
      <c r="K3425" s="583">
        <v>18</v>
      </c>
      <c r="L3425" s="704"/>
      <c r="M3425" s="3025" t="s">
        <v>1083</v>
      </c>
      <c r="N3425" s="106"/>
      <c r="O3425" s="106"/>
      <c r="P3425" s="106"/>
      <c r="Q3425" s="106"/>
      <c r="R3425" s="106"/>
      <c r="S3425" s="106"/>
      <c r="T3425" s="106"/>
      <c r="U3425" s="106"/>
      <c r="V3425" s="3980"/>
      <c r="W3425" s="3421"/>
      <c r="X3425" s="3421"/>
      <c r="Y3425" s="2377"/>
      <c r="Z3425" s="3425"/>
      <c r="AA3425" s="3425"/>
      <c r="AB3425" s="584"/>
      <c r="AC3425" s="2919">
        <f>AC3424</f>
        <v>18</v>
      </c>
      <c r="AD3425" s="583">
        <v>18</v>
      </c>
      <c r="AE3425" s="3429"/>
      <c r="AF3425" s="3421"/>
      <c r="AG3425" s="3421"/>
      <c r="AH3425" s="156"/>
      <c r="AI3425" s="156"/>
      <c r="AJ3425" s="156"/>
      <c r="AK3425" s="156"/>
      <c r="AL3425" s="156"/>
      <c r="AM3425" s="156"/>
      <c r="AN3425" s="156"/>
      <c r="AO3425" s="156"/>
      <c r="AP3425" s="156"/>
      <c r="AQ3425" s="156"/>
      <c r="AR3425" s="156"/>
      <c r="AS3425" s="156"/>
      <c r="AT3425" s="156"/>
      <c r="AU3425" s="156"/>
      <c r="AV3425" s="156"/>
      <c r="AW3425" s="156"/>
      <c r="AX3425" s="156"/>
      <c r="AY3425" s="156"/>
      <c r="AZ3425" s="156"/>
      <c r="BA3425" s="156"/>
      <c r="BB3425" s="2828"/>
      <c r="BC3425" s="452"/>
      <c r="BD3425" s="2829"/>
      <c r="BE3425" s="2837"/>
      <c r="BF3425" s="156"/>
    </row>
    <row r="3426" spans="1:58" ht="15" customHeight="1" outlineLevel="1" x14ac:dyDescent="0.35">
      <c r="A3426" s="1071"/>
      <c r="B3426" s="2812"/>
      <c r="C3426" s="3077"/>
      <c r="D3426" s="3980"/>
      <c r="E3426" s="3883"/>
      <c r="F3426" s="3984" t="str">
        <f>$E$1804</f>
        <v>ASHP-SEER18-Replace_CAC_NonElectricHeat_ER1_MF_CompE</v>
      </c>
      <c r="G3426" s="3984"/>
      <c r="H3426" s="3984"/>
      <c r="I3426" s="3984"/>
      <c r="J3426" s="3501" t="str">
        <f>$C$1804</f>
        <v>354311_2021_12_</v>
      </c>
      <c r="K3426" s="583">
        <v>18</v>
      </c>
      <c r="L3426" s="704"/>
      <c r="M3426" s="3025" t="s">
        <v>1083</v>
      </c>
      <c r="N3426" s="106"/>
      <c r="O3426" s="106"/>
      <c r="P3426" s="106"/>
      <c r="Q3426" s="106"/>
      <c r="R3426" s="106"/>
      <c r="S3426" s="106"/>
      <c r="T3426" s="106"/>
      <c r="U3426" s="106"/>
      <c r="V3426" s="3980"/>
      <c r="W3426" s="3421"/>
      <c r="X3426" s="3421"/>
      <c r="Y3426" s="2377"/>
      <c r="Z3426" s="3425"/>
      <c r="AA3426" s="3425"/>
      <c r="AB3426" s="584"/>
      <c r="AC3426" s="2919">
        <f>AC3425</f>
        <v>18</v>
      </c>
      <c r="AD3426" s="583">
        <v>18</v>
      </c>
      <c r="AE3426" s="3429"/>
      <c r="AF3426" s="3421"/>
      <c r="AG3426" s="3421"/>
      <c r="AH3426" s="156"/>
      <c r="AI3426" s="156"/>
      <c r="AJ3426" s="156"/>
      <c r="AK3426" s="156"/>
      <c r="AL3426" s="156"/>
      <c r="AM3426" s="156"/>
      <c r="AN3426" s="156"/>
      <c r="AO3426" s="156"/>
      <c r="AP3426" s="156"/>
      <c r="AQ3426" s="156"/>
      <c r="AR3426" s="156"/>
      <c r="AS3426" s="156"/>
      <c r="AT3426" s="156"/>
      <c r="AU3426" s="156"/>
      <c r="AV3426" s="156"/>
      <c r="AW3426" s="156"/>
      <c r="AX3426" s="156"/>
      <c r="AY3426" s="156"/>
      <c r="AZ3426" s="156"/>
      <c r="BA3426" s="156"/>
      <c r="BB3426" s="2828"/>
      <c r="BC3426" s="452"/>
      <c r="BD3426" s="2829"/>
      <c r="BE3426" s="2837"/>
      <c r="BF3426" s="156"/>
    </row>
    <row r="3427" spans="1:58" ht="15" customHeight="1" outlineLevel="1" x14ac:dyDescent="0.35">
      <c r="A3427" s="1071"/>
      <c r="B3427" s="2812"/>
      <c r="C3427" s="3077"/>
      <c r="D3427" s="3980"/>
      <c r="E3427" s="3883"/>
      <c r="F3427" s="3984" t="str">
        <f>$E$1806</f>
        <v>ASHP-SEER18-Replace_CAC_NonElectricHeat_ER2_MF_CompE</v>
      </c>
      <c r="G3427" s="3984"/>
      <c r="H3427" s="3984"/>
      <c r="I3427" s="3984"/>
      <c r="J3427" s="3501" t="str">
        <f>$C$1806</f>
        <v>354311_2021_12_</v>
      </c>
      <c r="K3427" s="583">
        <v>18</v>
      </c>
      <c r="L3427" s="704"/>
      <c r="M3427" s="3025" t="s">
        <v>1083</v>
      </c>
      <c r="N3427" s="106"/>
      <c r="O3427" s="106"/>
      <c r="P3427" s="106"/>
      <c r="Q3427" s="106"/>
      <c r="R3427" s="106"/>
      <c r="S3427" s="106"/>
      <c r="T3427" s="106"/>
      <c r="U3427" s="106"/>
      <c r="V3427" s="3980"/>
      <c r="W3427" s="3421"/>
      <c r="X3427" s="3421"/>
      <c r="Y3427" s="2377"/>
      <c r="Z3427" s="3425"/>
      <c r="AA3427" s="3425"/>
      <c r="AB3427" s="584"/>
      <c r="AC3427" s="2919">
        <f>AC3426</f>
        <v>18</v>
      </c>
      <c r="AD3427" s="583">
        <v>18</v>
      </c>
      <c r="AE3427" s="3429"/>
      <c r="AF3427" s="3421"/>
      <c r="AG3427" s="3421"/>
      <c r="AH3427" s="156"/>
      <c r="AI3427" s="156"/>
      <c r="AJ3427" s="156"/>
      <c r="AK3427" s="156"/>
      <c r="AL3427" s="156"/>
      <c r="AM3427" s="156"/>
      <c r="AN3427" s="156"/>
      <c r="AO3427" s="156"/>
      <c r="AP3427" s="156"/>
      <c r="AQ3427" s="156"/>
      <c r="AR3427" s="156"/>
      <c r="AS3427" s="156"/>
      <c r="AT3427" s="156"/>
      <c r="AU3427" s="156"/>
      <c r="AV3427" s="156"/>
      <c r="AW3427" s="156"/>
      <c r="AX3427" s="156"/>
      <c r="AY3427" s="156"/>
      <c r="AZ3427" s="156"/>
      <c r="BA3427" s="156"/>
      <c r="BB3427" s="2828"/>
      <c r="BC3427" s="452"/>
      <c r="BD3427" s="2829"/>
      <c r="BE3427" s="2837"/>
      <c r="BF3427" s="156"/>
    </row>
    <row r="3428" spans="1:58" ht="15" customHeight="1" outlineLevel="1" x14ac:dyDescent="0.35">
      <c r="A3428" s="1071"/>
      <c r="B3428" s="2812"/>
      <c r="C3428" s="3077"/>
      <c r="D3428" s="3980"/>
      <c r="E3428" s="3883"/>
      <c r="F3428" s="3984" t="str">
        <f>$E$1808</f>
        <v>ASHP-SEER18_ER1_MF</v>
      </c>
      <c r="G3428" s="3984"/>
      <c r="H3428" s="3984"/>
      <c r="I3428" s="3984"/>
      <c r="J3428" s="3501" t="str">
        <f>$C$1808</f>
        <v>354350_2021_12_</v>
      </c>
      <c r="K3428" s="3050">
        <v>18</v>
      </c>
      <c r="L3428" s="704"/>
      <c r="M3428" s="2819" t="s">
        <v>4360</v>
      </c>
      <c r="N3428" s="106"/>
      <c r="O3428" s="106"/>
      <c r="P3428" s="106"/>
      <c r="Q3428" s="106"/>
      <c r="R3428" s="106"/>
      <c r="S3428" s="106"/>
      <c r="T3428" s="106"/>
      <c r="U3428" s="106"/>
      <c r="V3428" s="3980"/>
      <c r="W3428" s="3421">
        <v>18</v>
      </c>
      <c r="X3428" s="3421">
        <v>18</v>
      </c>
      <c r="Y3428" s="3425">
        <v>18</v>
      </c>
      <c r="Z3428" s="3425">
        <v>18</v>
      </c>
      <c r="AA3428" s="3425">
        <v>18</v>
      </c>
      <c r="AB3428" s="3421">
        <v>18</v>
      </c>
      <c r="AC3428" s="2919">
        <v>18.5</v>
      </c>
      <c r="AD3428" s="3050">
        <v>18</v>
      </c>
      <c r="AE3428" s="3429"/>
      <c r="AF3428" s="3421"/>
      <c r="AG3428" s="3421"/>
      <c r="AH3428" s="156"/>
      <c r="AI3428" s="156"/>
      <c r="AJ3428" s="156"/>
      <c r="AK3428" s="156"/>
      <c r="AL3428" s="156"/>
      <c r="AM3428" s="156"/>
      <c r="AN3428" s="156"/>
      <c r="AO3428" s="156"/>
      <c r="AP3428" s="156"/>
      <c r="AQ3428" s="156"/>
      <c r="AR3428" s="156"/>
      <c r="AS3428" s="156"/>
      <c r="AT3428" s="156"/>
      <c r="AU3428" s="156"/>
      <c r="AV3428" s="156"/>
      <c r="AW3428" s="156"/>
      <c r="AX3428" s="156"/>
      <c r="AY3428" s="156"/>
      <c r="AZ3428" s="156"/>
      <c r="BA3428" s="156"/>
      <c r="BB3428" s="2828"/>
      <c r="BC3428" s="452"/>
      <c r="BD3428" s="2829"/>
      <c r="BE3428" s="2837"/>
      <c r="BF3428" s="156"/>
    </row>
    <row r="3429" spans="1:58" ht="15" customHeight="1" outlineLevel="1" x14ac:dyDescent="0.35">
      <c r="A3429" s="1071"/>
      <c r="B3429" s="2812"/>
      <c r="C3429" s="3077"/>
      <c r="D3429" s="3980"/>
      <c r="E3429" s="3883"/>
      <c r="F3429" s="3984" t="str">
        <f>$E$1810</f>
        <v>ASHP-SEER18_ER2_MF</v>
      </c>
      <c r="G3429" s="3984"/>
      <c r="H3429" s="3984"/>
      <c r="I3429" s="3984"/>
      <c r="J3429" s="3501" t="str">
        <f>$C$1810</f>
        <v>354350_2021_12_</v>
      </c>
      <c r="K3429" s="3050">
        <v>18</v>
      </c>
      <c r="L3429" s="704"/>
      <c r="M3429" s="2819" t="s">
        <v>4360</v>
      </c>
      <c r="N3429" s="106"/>
      <c r="O3429" s="106"/>
      <c r="P3429" s="106"/>
      <c r="Q3429" s="106"/>
      <c r="R3429" s="106"/>
      <c r="S3429" s="106"/>
      <c r="T3429" s="106"/>
      <c r="U3429" s="106"/>
      <c r="V3429" s="3980"/>
      <c r="W3429" s="3421">
        <v>18</v>
      </c>
      <c r="X3429" s="3421">
        <v>18</v>
      </c>
      <c r="Y3429" s="3425">
        <v>18</v>
      </c>
      <c r="Z3429" s="3425">
        <v>18</v>
      </c>
      <c r="AA3429" s="3425">
        <v>18</v>
      </c>
      <c r="AB3429" s="3421">
        <v>18</v>
      </c>
      <c r="AC3429" s="2919">
        <f>AC3428</f>
        <v>18.5</v>
      </c>
      <c r="AD3429" s="3050">
        <v>18</v>
      </c>
      <c r="AE3429" s="3429"/>
      <c r="AF3429" s="3421"/>
      <c r="AG3429" s="3421"/>
      <c r="AH3429" s="156"/>
      <c r="AI3429" s="156"/>
      <c r="AJ3429" s="156"/>
      <c r="AK3429" s="156"/>
      <c r="AL3429" s="156"/>
      <c r="AM3429" s="156"/>
      <c r="AN3429" s="156"/>
      <c r="AO3429" s="156"/>
      <c r="AP3429" s="156"/>
      <c r="AQ3429" s="156"/>
      <c r="AR3429" s="156"/>
      <c r="AS3429" s="156"/>
      <c r="AT3429" s="156"/>
      <c r="AU3429" s="156"/>
      <c r="AV3429" s="156"/>
      <c r="AW3429" s="156"/>
      <c r="AX3429" s="156"/>
      <c r="AY3429" s="156"/>
      <c r="AZ3429" s="156"/>
      <c r="BA3429" s="156"/>
      <c r="BB3429" s="2828"/>
      <c r="BC3429" s="452"/>
      <c r="BD3429" s="2829"/>
      <c r="BE3429" s="2837"/>
      <c r="BF3429" s="156"/>
    </row>
    <row r="3430" spans="1:58" ht="15" customHeight="1" outlineLevel="1" x14ac:dyDescent="0.35">
      <c r="A3430" s="1071"/>
      <c r="B3430" s="2812"/>
      <c r="C3430" s="3077"/>
      <c r="D3430" s="3980"/>
      <c r="E3430" s="3883"/>
      <c r="F3430" s="3984" t="str">
        <f>$E$1812</f>
        <v>ASHP-SEER18_ER1_MF_CompE</v>
      </c>
      <c r="G3430" s="3984"/>
      <c r="H3430" s="3984"/>
      <c r="I3430" s="3984"/>
      <c r="J3430" s="3501" t="str">
        <f>$C$1812</f>
        <v>354351_2021_12_</v>
      </c>
      <c r="K3430" s="583">
        <v>18</v>
      </c>
      <c r="L3430" s="704"/>
      <c r="M3430" s="3025" t="s">
        <v>1083</v>
      </c>
      <c r="N3430" s="106"/>
      <c r="O3430" s="106"/>
      <c r="P3430" s="106"/>
      <c r="Q3430" s="106"/>
      <c r="R3430" s="106"/>
      <c r="S3430" s="106"/>
      <c r="T3430" s="106"/>
      <c r="U3430" s="106"/>
      <c r="V3430" s="3980"/>
      <c r="W3430" s="3421"/>
      <c r="X3430" s="3421"/>
      <c r="Y3430" s="2377">
        <v>18</v>
      </c>
      <c r="Z3430" s="3425">
        <v>18</v>
      </c>
      <c r="AA3430" s="3425">
        <v>18</v>
      </c>
      <c r="AB3430" s="3421">
        <v>18</v>
      </c>
      <c r="AC3430" s="2920">
        <v>18</v>
      </c>
      <c r="AD3430" s="583">
        <v>18</v>
      </c>
      <c r="AE3430" s="3429"/>
      <c r="AF3430" s="3421"/>
      <c r="AG3430" s="3421"/>
      <c r="AH3430" s="156"/>
      <c r="AI3430" s="156"/>
      <c r="AJ3430" s="156"/>
      <c r="AK3430" s="156"/>
      <c r="AL3430" s="156"/>
      <c r="AM3430" s="156"/>
      <c r="AN3430" s="156"/>
      <c r="AO3430" s="156"/>
      <c r="AP3430" s="156"/>
      <c r="AQ3430" s="156"/>
      <c r="AR3430" s="156"/>
      <c r="AS3430" s="156"/>
      <c r="AT3430" s="156"/>
      <c r="AU3430" s="156"/>
      <c r="AV3430" s="156"/>
      <c r="AW3430" s="156"/>
      <c r="AX3430" s="156"/>
      <c r="AY3430" s="156"/>
      <c r="AZ3430" s="156"/>
      <c r="BA3430" s="156"/>
      <c r="BB3430" s="2828"/>
      <c r="BC3430" s="452"/>
      <c r="BD3430" s="2829"/>
      <c r="BE3430" s="2837"/>
      <c r="BF3430" s="156"/>
    </row>
    <row r="3431" spans="1:58" ht="15" customHeight="1" outlineLevel="1" x14ac:dyDescent="0.35">
      <c r="A3431" s="1071"/>
      <c r="B3431" s="2812"/>
      <c r="C3431" s="3077"/>
      <c r="D3431" s="3980"/>
      <c r="E3431" s="3883"/>
      <c r="F3431" s="3984" t="str">
        <f>$E$1814</f>
        <v>ASHP-SEER18_ER2_MF_CompE</v>
      </c>
      <c r="G3431" s="3984"/>
      <c r="H3431" s="3984"/>
      <c r="I3431" s="3984"/>
      <c r="J3431" s="3501" t="str">
        <f>$C$1814</f>
        <v>354351_2021_12_</v>
      </c>
      <c r="K3431" s="583">
        <v>18</v>
      </c>
      <c r="L3431" s="704"/>
      <c r="M3431" s="3025" t="s">
        <v>1083</v>
      </c>
      <c r="N3431" s="106"/>
      <c r="O3431" s="106"/>
      <c r="P3431" s="106"/>
      <c r="Q3431" s="106"/>
      <c r="R3431" s="106"/>
      <c r="S3431" s="106"/>
      <c r="T3431" s="106"/>
      <c r="U3431" s="106"/>
      <c r="V3431" s="3980"/>
      <c r="W3431" s="3421"/>
      <c r="X3431" s="3421"/>
      <c r="Y3431" s="2377">
        <v>18</v>
      </c>
      <c r="Z3431" s="3425">
        <v>18</v>
      </c>
      <c r="AA3431" s="3425">
        <v>18</v>
      </c>
      <c r="AB3431" s="3421">
        <v>18</v>
      </c>
      <c r="AC3431" s="2920">
        <f>AC3430</f>
        <v>18</v>
      </c>
      <c r="AD3431" s="583">
        <v>18</v>
      </c>
      <c r="AE3431" s="3429"/>
      <c r="AF3431" s="3421"/>
      <c r="AG3431" s="3421"/>
      <c r="AH3431" s="156"/>
      <c r="AI3431" s="156"/>
      <c r="AJ3431" s="156"/>
      <c r="AK3431" s="156"/>
      <c r="AL3431" s="156"/>
      <c r="AM3431" s="156"/>
      <c r="AN3431" s="156"/>
      <c r="AO3431" s="156"/>
      <c r="AP3431" s="156"/>
      <c r="AQ3431" s="156"/>
      <c r="AR3431" s="156"/>
      <c r="AS3431" s="156"/>
      <c r="AT3431" s="156"/>
      <c r="AU3431" s="156"/>
      <c r="AV3431" s="156"/>
      <c r="AW3431" s="156"/>
      <c r="AX3431" s="156"/>
      <c r="AY3431" s="156"/>
      <c r="AZ3431" s="156"/>
      <c r="BA3431" s="156"/>
      <c r="BB3431" s="2828"/>
      <c r="BC3431" s="452"/>
      <c r="BD3431" s="2829"/>
      <c r="BE3431" s="2837"/>
      <c r="BF3431" s="156"/>
    </row>
    <row r="3432" spans="1:58" ht="15" customHeight="1" outlineLevel="1" x14ac:dyDescent="0.35">
      <c r="A3432" s="1071"/>
      <c r="B3432" s="2812"/>
      <c r="C3432" s="3077"/>
      <c r="D3432" s="3980"/>
      <c r="E3432" s="3883"/>
      <c r="F3432" s="3984" t="str">
        <f>$E$1816</f>
        <v>ASHP-SEER19-Replace_CAC_ElectricHeat_ER1_SF</v>
      </c>
      <c r="G3432" s="3984"/>
      <c r="H3432" s="3984"/>
      <c r="I3432" s="3984"/>
      <c r="J3432" s="3501" t="str">
        <f>$C$1816</f>
        <v>354400_2021_12_</v>
      </c>
      <c r="K3432" s="3050">
        <v>19.132352941176471</v>
      </c>
      <c r="L3432" s="704"/>
      <c r="M3432" s="2819" t="s">
        <v>4360</v>
      </c>
      <c r="N3432" s="106"/>
      <c r="O3432" s="106"/>
      <c r="P3432" s="106"/>
      <c r="Q3432" s="106"/>
      <c r="R3432" s="106"/>
      <c r="S3432" s="106"/>
      <c r="T3432" s="106"/>
      <c r="U3432" s="106"/>
      <c r="V3432" s="3980"/>
      <c r="W3432" s="3421">
        <v>19</v>
      </c>
      <c r="X3432" s="3421">
        <v>19</v>
      </c>
      <c r="Y3432" s="3425">
        <v>19</v>
      </c>
      <c r="Z3432" s="3425">
        <v>19</v>
      </c>
      <c r="AA3432" s="3425">
        <v>19</v>
      </c>
      <c r="AB3432" s="3421">
        <v>19</v>
      </c>
      <c r="AC3432" s="2919">
        <v>19.125</v>
      </c>
      <c r="AD3432" s="3050">
        <v>19.132352941176471</v>
      </c>
      <c r="AE3432" s="3429"/>
      <c r="AF3432" s="3421"/>
      <c r="AG3432" s="3421"/>
      <c r="AH3432" s="156"/>
      <c r="AI3432" s="156"/>
      <c r="AJ3432" s="156"/>
      <c r="AK3432" s="156"/>
      <c r="AL3432" s="156"/>
      <c r="AM3432" s="156"/>
      <c r="AN3432" s="156"/>
      <c r="AO3432" s="156"/>
      <c r="AP3432" s="156"/>
      <c r="AQ3432" s="156"/>
      <c r="AR3432" s="156"/>
      <c r="AS3432" s="156"/>
      <c r="AT3432" s="156"/>
      <c r="AU3432" s="156"/>
      <c r="AV3432" s="156"/>
      <c r="AW3432" s="156"/>
      <c r="AX3432" s="156"/>
      <c r="AY3432" s="156"/>
      <c r="AZ3432" s="156"/>
      <c r="BA3432" s="156"/>
      <c r="BB3432" s="2828"/>
      <c r="BC3432" s="452"/>
      <c r="BD3432" s="2829"/>
      <c r="BE3432" s="2837"/>
      <c r="BF3432" s="156"/>
    </row>
    <row r="3433" spans="1:58" ht="15" customHeight="1" outlineLevel="1" x14ac:dyDescent="0.35">
      <c r="A3433" s="1071"/>
      <c r="B3433" s="2812"/>
      <c r="C3433" s="3077"/>
      <c r="D3433" s="3980"/>
      <c r="E3433" s="3883"/>
      <c r="F3433" s="3984" t="str">
        <f>$E$1818</f>
        <v>ASHP-SEER19-Replace_CAC_ElectricHeat_ER2_SF</v>
      </c>
      <c r="G3433" s="3984"/>
      <c r="H3433" s="3984"/>
      <c r="I3433" s="3984"/>
      <c r="J3433" s="3501" t="str">
        <f>$C$1818</f>
        <v>354400_2021_12_</v>
      </c>
      <c r="K3433" s="3050">
        <v>19.132352941176471</v>
      </c>
      <c r="L3433" s="704"/>
      <c r="M3433" s="2819" t="s">
        <v>4360</v>
      </c>
      <c r="N3433" s="106"/>
      <c r="O3433" s="106"/>
      <c r="P3433" s="106"/>
      <c r="Q3433" s="106"/>
      <c r="R3433" s="106"/>
      <c r="S3433" s="106"/>
      <c r="T3433" s="106"/>
      <c r="U3433" s="106"/>
      <c r="V3433" s="3980"/>
      <c r="W3433" s="3421">
        <v>19</v>
      </c>
      <c r="X3433" s="3421">
        <v>19</v>
      </c>
      <c r="Y3433" s="3425">
        <v>19</v>
      </c>
      <c r="Z3433" s="3425">
        <v>19</v>
      </c>
      <c r="AA3433" s="3425">
        <v>19</v>
      </c>
      <c r="AB3433" s="3421">
        <v>19</v>
      </c>
      <c r="AC3433" s="2919">
        <f>AC3432</f>
        <v>19.125</v>
      </c>
      <c r="AD3433" s="3050">
        <v>19.132352941176471</v>
      </c>
      <c r="AE3433" s="3429"/>
      <c r="AF3433" s="3421"/>
      <c r="AG3433" s="3421"/>
      <c r="AH3433" s="156"/>
      <c r="AI3433" s="156"/>
      <c r="AJ3433" s="156"/>
      <c r="AK3433" s="156"/>
      <c r="AL3433" s="156"/>
      <c r="AM3433" s="156"/>
      <c r="AN3433" s="156"/>
      <c r="AO3433" s="156"/>
      <c r="AP3433" s="156"/>
      <c r="AQ3433" s="156"/>
      <c r="AR3433" s="156"/>
      <c r="AS3433" s="156"/>
      <c r="AT3433" s="156"/>
      <c r="AU3433" s="156"/>
      <c r="AV3433" s="156"/>
      <c r="AW3433" s="156"/>
      <c r="AX3433" s="156"/>
      <c r="AY3433" s="156"/>
      <c r="AZ3433" s="156"/>
      <c r="BA3433" s="156"/>
      <c r="BB3433" s="2828"/>
      <c r="BC3433" s="452"/>
      <c r="BD3433" s="2829"/>
      <c r="BE3433" s="2837"/>
      <c r="BF3433" s="156"/>
    </row>
    <row r="3434" spans="1:58" ht="15" customHeight="1" outlineLevel="1" x14ac:dyDescent="0.35">
      <c r="A3434" s="1071"/>
      <c r="B3434" s="2812"/>
      <c r="C3434" s="3077"/>
      <c r="D3434" s="3980"/>
      <c r="E3434" s="3883"/>
      <c r="F3434" s="3984" t="str">
        <f>$E$1820</f>
        <v>ASHP-SEER19-Replace_CAC_NonElectricHeat_ER1_SF</v>
      </c>
      <c r="G3434" s="3984"/>
      <c r="H3434" s="3984"/>
      <c r="I3434" s="3984"/>
      <c r="J3434" s="3501" t="str">
        <f>$C$1820</f>
        <v>354410_2021_12_</v>
      </c>
      <c r="K3434" s="583">
        <v>19.125</v>
      </c>
      <c r="L3434" s="704"/>
      <c r="M3434" s="3025" t="s">
        <v>1083</v>
      </c>
      <c r="N3434" s="106"/>
      <c r="O3434" s="106"/>
      <c r="P3434" s="106"/>
      <c r="Q3434" s="106"/>
      <c r="R3434" s="106"/>
      <c r="S3434" s="106"/>
      <c r="T3434" s="106"/>
      <c r="U3434" s="106"/>
      <c r="V3434" s="3980"/>
      <c r="W3434" s="3421"/>
      <c r="X3434" s="3421"/>
      <c r="Y3434" s="3425"/>
      <c r="Z3434" s="3425"/>
      <c r="AA3434" s="3425"/>
      <c r="AB3434" s="3421"/>
      <c r="AC3434" s="2919">
        <v>19.125</v>
      </c>
      <c r="AD3434" s="583">
        <v>19.125</v>
      </c>
      <c r="AE3434" s="3429"/>
      <c r="AF3434" s="3421"/>
      <c r="AG3434" s="3421"/>
      <c r="AH3434" s="156"/>
      <c r="AI3434" s="156"/>
      <c r="AJ3434" s="156"/>
      <c r="AK3434" s="156"/>
      <c r="AL3434" s="156"/>
      <c r="AM3434" s="156"/>
      <c r="AN3434" s="156"/>
      <c r="AO3434" s="156"/>
      <c r="AP3434" s="156"/>
      <c r="AQ3434" s="156"/>
      <c r="AR3434" s="156"/>
      <c r="AS3434" s="156"/>
      <c r="AT3434" s="156"/>
      <c r="AU3434" s="156"/>
      <c r="AV3434" s="156"/>
      <c r="AW3434" s="156"/>
      <c r="AX3434" s="156"/>
      <c r="AY3434" s="156"/>
      <c r="AZ3434" s="156"/>
      <c r="BA3434" s="156"/>
      <c r="BB3434" s="2828"/>
      <c r="BC3434" s="452"/>
      <c r="BD3434" s="2829"/>
      <c r="BE3434" s="2837"/>
      <c r="BF3434" s="156"/>
    </row>
    <row r="3435" spans="1:58" ht="15" customHeight="1" outlineLevel="1" x14ac:dyDescent="0.35">
      <c r="A3435" s="1071"/>
      <c r="B3435" s="2812"/>
      <c r="C3435" s="3077"/>
      <c r="D3435" s="3980"/>
      <c r="E3435" s="3883"/>
      <c r="F3435" s="3984" t="str">
        <f>$E$1822</f>
        <v>ASHP-SEER19-Replace_CAC_NonElectricHeat_ER2_SF</v>
      </c>
      <c r="G3435" s="3984"/>
      <c r="H3435" s="3984"/>
      <c r="I3435" s="3984"/>
      <c r="J3435" s="3501" t="str">
        <f>$C$1822</f>
        <v>354410_2021_12_</v>
      </c>
      <c r="K3435" s="583">
        <v>19.125</v>
      </c>
      <c r="L3435" s="704"/>
      <c r="M3435" s="3025" t="s">
        <v>1083</v>
      </c>
      <c r="N3435" s="106"/>
      <c r="O3435" s="106"/>
      <c r="P3435" s="106"/>
      <c r="Q3435" s="106"/>
      <c r="R3435" s="106"/>
      <c r="S3435" s="106"/>
      <c r="T3435" s="106"/>
      <c r="U3435" s="106"/>
      <c r="V3435" s="3980"/>
      <c r="W3435" s="3421"/>
      <c r="X3435" s="3421"/>
      <c r="Y3435" s="3425"/>
      <c r="Z3435" s="3425"/>
      <c r="AA3435" s="3425"/>
      <c r="AB3435" s="3421"/>
      <c r="AC3435" s="2919">
        <f>AC3434</f>
        <v>19.125</v>
      </c>
      <c r="AD3435" s="583">
        <v>19.125</v>
      </c>
      <c r="AE3435" s="3429"/>
      <c r="AF3435" s="3421"/>
      <c r="AG3435" s="3421"/>
      <c r="AH3435" s="156"/>
      <c r="AI3435" s="156"/>
      <c r="AJ3435" s="156"/>
      <c r="AK3435" s="156"/>
      <c r="AL3435" s="156"/>
      <c r="AM3435" s="156"/>
      <c r="AN3435" s="156"/>
      <c r="AO3435" s="156"/>
      <c r="AP3435" s="156"/>
      <c r="AQ3435" s="156"/>
      <c r="AR3435" s="156"/>
      <c r="AS3435" s="156"/>
      <c r="AT3435" s="156"/>
      <c r="AU3435" s="156"/>
      <c r="AV3435" s="156"/>
      <c r="AW3435" s="156"/>
      <c r="AX3435" s="156"/>
      <c r="AY3435" s="156"/>
      <c r="AZ3435" s="156"/>
      <c r="BA3435" s="156"/>
      <c r="BB3435" s="2828"/>
      <c r="BC3435" s="452"/>
      <c r="BD3435" s="2829"/>
      <c r="BE3435" s="2837"/>
      <c r="BF3435" s="156"/>
    </row>
    <row r="3436" spans="1:58" ht="15" customHeight="1" outlineLevel="1" x14ac:dyDescent="0.35">
      <c r="A3436" s="1071"/>
      <c r="B3436" s="2812"/>
      <c r="C3436" s="3077"/>
      <c r="D3436" s="3980"/>
      <c r="E3436" s="3883"/>
      <c r="F3436" s="3984" t="str">
        <f>$E$1824</f>
        <v>ASHP-SEER19-Replace_CAC_ElectricHeat_ER1_MF</v>
      </c>
      <c r="G3436" s="3984"/>
      <c r="H3436" s="3984"/>
      <c r="I3436" s="3984"/>
      <c r="J3436" s="3501" t="str">
        <f>$C$1824</f>
        <v>354450_2019_12_</v>
      </c>
      <c r="K3436" s="583">
        <v>19</v>
      </c>
      <c r="L3436" s="704"/>
      <c r="M3436" s="3025" t="s">
        <v>1514</v>
      </c>
      <c r="N3436" s="106"/>
      <c r="O3436" s="106"/>
      <c r="P3436" s="106"/>
      <c r="Q3436" s="106"/>
      <c r="R3436" s="106"/>
      <c r="S3436" s="106"/>
      <c r="T3436" s="106"/>
      <c r="U3436" s="106"/>
      <c r="V3436" s="3980"/>
      <c r="W3436" s="3421">
        <v>19</v>
      </c>
      <c r="X3436" s="3421">
        <v>19</v>
      </c>
      <c r="Y3436" s="3425">
        <v>19</v>
      </c>
      <c r="Z3436" s="3425">
        <v>19</v>
      </c>
      <c r="AA3436" s="3425">
        <v>19</v>
      </c>
      <c r="AB3436" s="3421">
        <v>19</v>
      </c>
      <c r="AC3436" s="2920">
        <v>19</v>
      </c>
      <c r="AD3436" s="583">
        <v>19</v>
      </c>
      <c r="AE3436" s="3429"/>
      <c r="AF3436" s="3421"/>
      <c r="AG3436" s="3421"/>
      <c r="AH3436" s="156"/>
      <c r="AI3436" s="156"/>
      <c r="AJ3436" s="156"/>
      <c r="AK3436" s="156"/>
      <c r="AL3436" s="156"/>
      <c r="AM3436" s="156"/>
      <c r="AN3436" s="156"/>
      <c r="AO3436" s="156"/>
      <c r="AP3436" s="156"/>
      <c r="AQ3436" s="156"/>
      <c r="AR3436" s="156"/>
      <c r="AS3436" s="156"/>
      <c r="AT3436" s="156"/>
      <c r="AU3436" s="156"/>
      <c r="AV3436" s="156"/>
      <c r="AW3436" s="156"/>
      <c r="AX3436" s="156"/>
      <c r="AY3436" s="156"/>
      <c r="AZ3436" s="156"/>
      <c r="BA3436" s="156"/>
      <c r="BB3436" s="2828"/>
      <c r="BC3436" s="452"/>
      <c r="BD3436" s="2829"/>
      <c r="BE3436" s="2837"/>
      <c r="BF3436" s="156"/>
    </row>
    <row r="3437" spans="1:58" ht="15" customHeight="1" outlineLevel="1" x14ac:dyDescent="0.35">
      <c r="A3437" s="1071"/>
      <c r="B3437" s="2812"/>
      <c r="C3437" s="3077"/>
      <c r="D3437" s="3980"/>
      <c r="E3437" s="3883"/>
      <c r="F3437" s="3984" t="str">
        <f>$E$1826</f>
        <v>ASHP-SEER19-Replace_CAC_ElectricHeat_ER2_MF</v>
      </c>
      <c r="G3437" s="3984"/>
      <c r="H3437" s="3984"/>
      <c r="I3437" s="3984"/>
      <c r="J3437" s="3501" t="str">
        <f>$C$1826</f>
        <v>354450_2019_12_</v>
      </c>
      <c r="K3437" s="583">
        <v>19</v>
      </c>
      <c r="L3437" s="704"/>
      <c r="M3437" s="3025" t="s">
        <v>1514</v>
      </c>
      <c r="N3437" s="106"/>
      <c r="O3437" s="106"/>
      <c r="P3437" s="106"/>
      <c r="Q3437" s="106"/>
      <c r="R3437" s="106"/>
      <c r="S3437" s="106"/>
      <c r="T3437" s="106"/>
      <c r="U3437" s="106"/>
      <c r="V3437" s="3980"/>
      <c r="W3437" s="3421">
        <v>19</v>
      </c>
      <c r="X3437" s="3421">
        <v>19</v>
      </c>
      <c r="Y3437" s="3425">
        <v>19</v>
      </c>
      <c r="Z3437" s="3425">
        <v>19</v>
      </c>
      <c r="AA3437" s="3425">
        <v>19</v>
      </c>
      <c r="AB3437" s="3421">
        <v>19</v>
      </c>
      <c r="AC3437" s="2920">
        <v>19</v>
      </c>
      <c r="AD3437" s="583">
        <v>19</v>
      </c>
      <c r="AE3437" s="3429"/>
      <c r="AF3437" s="3421"/>
      <c r="AG3437" s="3421"/>
      <c r="AH3437" s="156"/>
      <c r="AI3437" s="156"/>
      <c r="AJ3437" s="156"/>
      <c r="AK3437" s="156"/>
      <c r="AL3437" s="156"/>
      <c r="AM3437" s="156"/>
      <c r="AN3437" s="156"/>
      <c r="AO3437" s="156"/>
      <c r="AP3437" s="156"/>
      <c r="AQ3437" s="156"/>
      <c r="AR3437" s="156"/>
      <c r="AS3437" s="156"/>
      <c r="AT3437" s="156"/>
      <c r="AU3437" s="156"/>
      <c r="AV3437" s="156"/>
      <c r="AW3437" s="156"/>
      <c r="AX3437" s="156"/>
      <c r="AY3437" s="156"/>
      <c r="AZ3437" s="156"/>
      <c r="BA3437" s="156"/>
      <c r="BB3437" s="2828"/>
      <c r="BC3437" s="452"/>
      <c r="BD3437" s="2829"/>
      <c r="BE3437" s="2837"/>
      <c r="BF3437" s="156"/>
    </row>
    <row r="3438" spans="1:58" ht="15" customHeight="1" outlineLevel="1" x14ac:dyDescent="0.35">
      <c r="A3438" s="1071"/>
      <c r="B3438" s="2812"/>
      <c r="C3438" s="3077"/>
      <c r="D3438" s="3980"/>
      <c r="E3438" s="3883"/>
      <c r="F3438" s="3984" t="str">
        <f>$E$1828</f>
        <v>ASHP-SEER19-Replace_CAC_ElectricHeat_ER1_MF_CompE</v>
      </c>
      <c r="G3438" s="3984"/>
      <c r="H3438" s="3984"/>
      <c r="I3438" s="3984"/>
      <c r="J3438" s="3501" t="str">
        <f>$C$1828</f>
        <v>354451_2019_12_</v>
      </c>
      <c r="K3438" s="583">
        <v>19</v>
      </c>
      <c r="L3438" s="704"/>
      <c r="M3438" s="3025" t="s">
        <v>1083</v>
      </c>
      <c r="N3438" s="106"/>
      <c r="O3438" s="106"/>
      <c r="P3438" s="106"/>
      <c r="Q3438" s="106"/>
      <c r="R3438" s="106"/>
      <c r="S3438" s="106"/>
      <c r="T3438" s="106"/>
      <c r="U3438" s="106"/>
      <c r="V3438" s="3980"/>
      <c r="W3438" s="3421"/>
      <c r="X3438" s="3421"/>
      <c r="Y3438" s="2377">
        <v>19</v>
      </c>
      <c r="Z3438" s="3425">
        <v>19</v>
      </c>
      <c r="AA3438" s="3425">
        <v>19</v>
      </c>
      <c r="AB3438" s="3421">
        <v>19</v>
      </c>
      <c r="AC3438" s="2920">
        <v>19</v>
      </c>
      <c r="AD3438" s="583">
        <v>19</v>
      </c>
      <c r="AE3438" s="3429"/>
      <c r="AF3438" s="3421"/>
      <c r="AG3438" s="3421"/>
      <c r="AH3438" s="156"/>
      <c r="AI3438" s="156"/>
      <c r="AJ3438" s="156"/>
      <c r="AK3438" s="156"/>
      <c r="AL3438" s="156"/>
      <c r="AM3438" s="156"/>
      <c r="AN3438" s="156"/>
      <c r="AO3438" s="156"/>
      <c r="AP3438" s="156"/>
      <c r="AQ3438" s="156"/>
      <c r="AR3438" s="156"/>
      <c r="AS3438" s="156"/>
      <c r="AT3438" s="156"/>
      <c r="AU3438" s="156"/>
      <c r="AV3438" s="156"/>
      <c r="AW3438" s="156"/>
      <c r="AX3438" s="156"/>
      <c r="AY3438" s="156"/>
      <c r="AZ3438" s="156"/>
      <c r="BA3438" s="156"/>
      <c r="BB3438" s="2828"/>
      <c r="BC3438" s="452"/>
      <c r="BD3438" s="2829"/>
      <c r="BE3438" s="2837"/>
      <c r="BF3438" s="156"/>
    </row>
    <row r="3439" spans="1:58" ht="15" customHeight="1" outlineLevel="1" x14ac:dyDescent="0.35">
      <c r="A3439" s="1071"/>
      <c r="B3439" s="2812"/>
      <c r="C3439" s="3077"/>
      <c r="D3439" s="3980"/>
      <c r="E3439" s="3883"/>
      <c r="F3439" s="3984" t="str">
        <f>$E$1830</f>
        <v>ASHP-SEER19-Replace_CAC_ElectricHeat_ER2_MF_CompE</v>
      </c>
      <c r="G3439" s="3984"/>
      <c r="H3439" s="3984"/>
      <c r="I3439" s="3984"/>
      <c r="J3439" s="3501" t="str">
        <f>$C$1830</f>
        <v>354451_2019_12_</v>
      </c>
      <c r="K3439" s="583">
        <v>19</v>
      </c>
      <c r="L3439" s="704"/>
      <c r="M3439" s="3025" t="s">
        <v>1083</v>
      </c>
      <c r="N3439" s="106"/>
      <c r="O3439" s="106"/>
      <c r="P3439" s="106"/>
      <c r="Q3439" s="106"/>
      <c r="R3439" s="106"/>
      <c r="S3439" s="106"/>
      <c r="T3439" s="106"/>
      <c r="U3439" s="106"/>
      <c r="V3439" s="3980"/>
      <c r="W3439" s="3421"/>
      <c r="X3439" s="3421"/>
      <c r="Y3439" s="2377">
        <v>19</v>
      </c>
      <c r="Z3439" s="3425">
        <v>19</v>
      </c>
      <c r="AA3439" s="3425">
        <v>19</v>
      </c>
      <c r="AB3439" s="3421">
        <v>19</v>
      </c>
      <c r="AC3439" s="2920">
        <v>19</v>
      </c>
      <c r="AD3439" s="583">
        <v>19</v>
      </c>
      <c r="AE3439" s="3429"/>
      <c r="AF3439" s="3421"/>
      <c r="AG3439" s="3421"/>
      <c r="AH3439" s="156"/>
      <c r="AI3439" s="156"/>
      <c r="AJ3439" s="156"/>
      <c r="AK3439" s="156"/>
      <c r="AL3439" s="156"/>
      <c r="AM3439" s="156"/>
      <c r="AN3439" s="156"/>
      <c r="AO3439" s="156"/>
      <c r="AP3439" s="156"/>
      <c r="AQ3439" s="156"/>
      <c r="AR3439" s="156"/>
      <c r="AS3439" s="156"/>
      <c r="AT3439" s="156"/>
      <c r="AU3439" s="156"/>
      <c r="AV3439" s="156"/>
      <c r="AW3439" s="156"/>
      <c r="AX3439" s="156"/>
      <c r="AY3439" s="156"/>
      <c r="AZ3439" s="156"/>
      <c r="BA3439" s="156"/>
      <c r="BB3439" s="2828"/>
      <c r="BC3439" s="452"/>
      <c r="BD3439" s="2829"/>
      <c r="BE3439" s="2837"/>
      <c r="BF3439" s="156"/>
    </row>
    <row r="3440" spans="1:58" ht="15" customHeight="1" outlineLevel="1" x14ac:dyDescent="0.35">
      <c r="A3440" s="1071"/>
      <c r="B3440" s="2812"/>
      <c r="C3440" s="3077"/>
      <c r="D3440" s="3980"/>
      <c r="E3440" s="3883"/>
      <c r="F3440" s="3984" t="str">
        <f>$E$1832</f>
        <v>ASHP-SEER19-Replace_CAC_NonElectricHeat_ER1_MF</v>
      </c>
      <c r="G3440" s="3984"/>
      <c r="H3440" s="3984"/>
      <c r="I3440" s="3984"/>
      <c r="J3440" s="3501" t="str">
        <f>$C$1832</f>
        <v>354460_2021_12_</v>
      </c>
      <c r="K3440" s="583">
        <v>19</v>
      </c>
      <c r="L3440" s="704"/>
      <c r="M3440" s="3025" t="s">
        <v>1083</v>
      </c>
      <c r="N3440" s="106"/>
      <c r="O3440" s="106"/>
      <c r="P3440" s="106"/>
      <c r="Q3440" s="106"/>
      <c r="R3440" s="106"/>
      <c r="S3440" s="106"/>
      <c r="T3440" s="106"/>
      <c r="U3440" s="106"/>
      <c r="V3440" s="3980"/>
      <c r="W3440" s="3421"/>
      <c r="X3440" s="3421"/>
      <c r="Y3440" s="2377"/>
      <c r="Z3440" s="3425"/>
      <c r="AA3440" s="3425"/>
      <c r="AB3440" s="3421"/>
      <c r="AC3440" s="2919">
        <v>19</v>
      </c>
      <c r="AD3440" s="583">
        <v>19</v>
      </c>
      <c r="AE3440" s="3429"/>
      <c r="AF3440" s="3421"/>
      <c r="AG3440" s="3421"/>
      <c r="AH3440" s="156"/>
      <c r="AI3440" s="156"/>
      <c r="AJ3440" s="156"/>
      <c r="AK3440" s="156"/>
      <c r="AL3440" s="156"/>
      <c r="AM3440" s="156"/>
      <c r="AN3440" s="156"/>
      <c r="AO3440" s="156"/>
      <c r="AP3440" s="156"/>
      <c r="AQ3440" s="156"/>
      <c r="AR3440" s="156"/>
      <c r="AS3440" s="156"/>
      <c r="AT3440" s="156"/>
      <c r="AU3440" s="156"/>
      <c r="AV3440" s="156"/>
      <c r="AW3440" s="156"/>
      <c r="AX3440" s="156"/>
      <c r="AY3440" s="156"/>
      <c r="AZ3440" s="156"/>
      <c r="BA3440" s="156"/>
      <c r="BB3440" s="2828"/>
      <c r="BC3440" s="452"/>
      <c r="BD3440" s="2829"/>
      <c r="BE3440" s="2837"/>
      <c r="BF3440" s="156"/>
    </row>
    <row r="3441" spans="1:58" ht="15" customHeight="1" outlineLevel="1" x14ac:dyDescent="0.35">
      <c r="A3441" s="1071"/>
      <c r="B3441" s="2812"/>
      <c r="C3441" s="3077"/>
      <c r="D3441" s="3980"/>
      <c r="E3441" s="3883"/>
      <c r="F3441" s="3984" t="str">
        <f>$E$1834</f>
        <v>ASHP-SEER19-Replace_CAC_NonElectricHeat_ER2_MF</v>
      </c>
      <c r="G3441" s="3984"/>
      <c r="H3441" s="3984"/>
      <c r="I3441" s="3984"/>
      <c r="J3441" s="3501" t="str">
        <f>$C$1834</f>
        <v>354460_2021_12_</v>
      </c>
      <c r="K3441" s="583">
        <v>19</v>
      </c>
      <c r="L3441" s="704"/>
      <c r="M3441" s="3025" t="s">
        <v>1083</v>
      </c>
      <c r="N3441" s="106"/>
      <c r="O3441" s="106"/>
      <c r="P3441" s="106"/>
      <c r="Q3441" s="106"/>
      <c r="R3441" s="106"/>
      <c r="S3441" s="106"/>
      <c r="T3441" s="106"/>
      <c r="U3441" s="106"/>
      <c r="V3441" s="3980"/>
      <c r="W3441" s="3421"/>
      <c r="X3441" s="3421"/>
      <c r="Y3441" s="2377"/>
      <c r="Z3441" s="3425"/>
      <c r="AA3441" s="3425"/>
      <c r="AB3441" s="3421"/>
      <c r="AC3441" s="2919">
        <v>19</v>
      </c>
      <c r="AD3441" s="583">
        <v>19</v>
      </c>
      <c r="AE3441" s="3429"/>
      <c r="AF3441" s="3421"/>
      <c r="AG3441" s="3421"/>
      <c r="AH3441" s="156"/>
      <c r="AI3441" s="156"/>
      <c r="AJ3441" s="156"/>
      <c r="AK3441" s="156"/>
      <c r="AL3441" s="156"/>
      <c r="AM3441" s="156"/>
      <c r="AN3441" s="156"/>
      <c r="AO3441" s="156"/>
      <c r="AP3441" s="156"/>
      <c r="AQ3441" s="156"/>
      <c r="AR3441" s="156"/>
      <c r="AS3441" s="156"/>
      <c r="AT3441" s="156"/>
      <c r="AU3441" s="156"/>
      <c r="AV3441" s="156"/>
      <c r="AW3441" s="156"/>
      <c r="AX3441" s="156"/>
      <c r="AY3441" s="156"/>
      <c r="AZ3441" s="156"/>
      <c r="BA3441" s="156"/>
      <c r="BB3441" s="2828"/>
      <c r="BC3441" s="452"/>
      <c r="BD3441" s="2829"/>
      <c r="BE3441" s="2837"/>
      <c r="BF3441" s="156"/>
    </row>
    <row r="3442" spans="1:58" ht="15" customHeight="1" outlineLevel="1" x14ac:dyDescent="0.35">
      <c r="A3442" s="1071"/>
      <c r="B3442" s="2812"/>
      <c r="C3442" s="3077"/>
      <c r="D3442" s="3980"/>
      <c r="E3442" s="3883"/>
      <c r="F3442" s="3984" t="str">
        <f>$E$1836</f>
        <v>ASHP-SEER19-Replace_CAC_NonElectricHeat_ER1_MF_CompE</v>
      </c>
      <c r="G3442" s="3984"/>
      <c r="H3442" s="3984"/>
      <c r="I3442" s="3984"/>
      <c r="J3442" s="3501" t="str">
        <f>$C$1836</f>
        <v>354461_2021_12_</v>
      </c>
      <c r="K3442" s="583">
        <v>19</v>
      </c>
      <c r="L3442" s="704"/>
      <c r="M3442" s="3025" t="s">
        <v>1083</v>
      </c>
      <c r="N3442" s="106"/>
      <c r="O3442" s="106"/>
      <c r="P3442" s="106"/>
      <c r="Q3442" s="106"/>
      <c r="R3442" s="106"/>
      <c r="S3442" s="106"/>
      <c r="T3442" s="106"/>
      <c r="U3442" s="106"/>
      <c r="V3442" s="3980"/>
      <c r="W3442" s="3421"/>
      <c r="X3442" s="3421"/>
      <c r="Y3442" s="2377"/>
      <c r="Z3442" s="3425"/>
      <c r="AA3442" s="3425"/>
      <c r="AB3442" s="3421"/>
      <c r="AC3442" s="2919">
        <v>19</v>
      </c>
      <c r="AD3442" s="583">
        <v>19</v>
      </c>
      <c r="AE3442" s="3429"/>
      <c r="AF3442" s="3421"/>
      <c r="AG3442" s="3421"/>
      <c r="AH3442" s="156"/>
      <c r="AI3442" s="156"/>
      <c r="AJ3442" s="156"/>
      <c r="AK3442" s="156"/>
      <c r="AL3442" s="156"/>
      <c r="AM3442" s="156"/>
      <c r="AN3442" s="156"/>
      <c r="AO3442" s="156"/>
      <c r="AP3442" s="156"/>
      <c r="AQ3442" s="156"/>
      <c r="AR3442" s="156"/>
      <c r="AS3442" s="156"/>
      <c r="AT3442" s="156"/>
      <c r="AU3442" s="156"/>
      <c r="AV3442" s="156"/>
      <c r="AW3442" s="156"/>
      <c r="AX3442" s="156"/>
      <c r="AY3442" s="156"/>
      <c r="AZ3442" s="156"/>
      <c r="BA3442" s="156"/>
      <c r="BB3442" s="2828"/>
      <c r="BC3442" s="452"/>
      <c r="BD3442" s="2829"/>
      <c r="BE3442" s="2837"/>
      <c r="BF3442" s="156"/>
    </row>
    <row r="3443" spans="1:58" ht="15" customHeight="1" outlineLevel="1" x14ac:dyDescent="0.35">
      <c r="A3443" s="1071"/>
      <c r="B3443" s="2812"/>
      <c r="C3443" s="3077"/>
      <c r="D3443" s="3980"/>
      <c r="E3443" s="3883"/>
      <c r="F3443" s="3984" t="str">
        <f>$E$1838</f>
        <v>ASHP-SEER19-Replace_CAC_NonElectricHeat_ER2_MF_CompE</v>
      </c>
      <c r="G3443" s="3984"/>
      <c r="H3443" s="3984"/>
      <c r="I3443" s="3984"/>
      <c r="J3443" s="3501" t="str">
        <f>$C$1838</f>
        <v>354461_2021_12_</v>
      </c>
      <c r="K3443" s="583">
        <v>19</v>
      </c>
      <c r="L3443" s="704"/>
      <c r="M3443" s="3025" t="s">
        <v>1083</v>
      </c>
      <c r="N3443" s="106"/>
      <c r="O3443" s="106"/>
      <c r="P3443" s="106"/>
      <c r="Q3443" s="106"/>
      <c r="R3443" s="106"/>
      <c r="S3443" s="106"/>
      <c r="T3443" s="106"/>
      <c r="U3443" s="106"/>
      <c r="V3443" s="3980"/>
      <c r="W3443" s="3421"/>
      <c r="X3443" s="3421"/>
      <c r="Y3443" s="2377"/>
      <c r="Z3443" s="3425"/>
      <c r="AA3443" s="3425"/>
      <c r="AB3443" s="3421"/>
      <c r="AC3443" s="2919">
        <v>19</v>
      </c>
      <c r="AD3443" s="583">
        <v>19</v>
      </c>
      <c r="AE3443" s="3429"/>
      <c r="AF3443" s="3421"/>
      <c r="AG3443" s="3421"/>
      <c r="AH3443" s="156"/>
      <c r="AI3443" s="156"/>
      <c r="AJ3443" s="156"/>
      <c r="AK3443" s="156"/>
      <c r="AL3443" s="156"/>
      <c r="AM3443" s="156"/>
      <c r="AN3443" s="156"/>
      <c r="AO3443" s="156"/>
      <c r="AP3443" s="156"/>
      <c r="AQ3443" s="156"/>
      <c r="AR3443" s="156"/>
      <c r="AS3443" s="156"/>
      <c r="AT3443" s="156"/>
      <c r="AU3443" s="156"/>
      <c r="AV3443" s="156"/>
      <c r="AW3443" s="156"/>
      <c r="AX3443" s="156"/>
      <c r="AY3443" s="156"/>
      <c r="AZ3443" s="156"/>
      <c r="BA3443" s="156"/>
      <c r="BB3443" s="2828"/>
      <c r="BC3443" s="452"/>
      <c r="BD3443" s="2829"/>
      <c r="BE3443" s="2837"/>
      <c r="BF3443" s="156"/>
    </row>
    <row r="3444" spans="1:58" ht="15" customHeight="1" outlineLevel="1" x14ac:dyDescent="0.35">
      <c r="A3444" s="1071"/>
      <c r="B3444" s="2812"/>
      <c r="C3444" s="3077"/>
      <c r="D3444" s="3980"/>
      <c r="E3444" s="3883"/>
      <c r="F3444" s="3984" t="str">
        <f>$E$1840</f>
        <v>ASHP-SEER19_ER1_MF</v>
      </c>
      <c r="G3444" s="3984"/>
      <c r="H3444" s="3984"/>
      <c r="I3444" s="3984"/>
      <c r="J3444" s="3501" t="str">
        <f>$C$1840</f>
        <v>354500_2019_12_</v>
      </c>
      <c r="K3444" s="583">
        <v>19</v>
      </c>
      <c r="L3444" s="704"/>
      <c r="M3444" s="3025" t="s">
        <v>1514</v>
      </c>
      <c r="N3444" s="106"/>
      <c r="O3444" s="106"/>
      <c r="P3444" s="106"/>
      <c r="Q3444" s="106"/>
      <c r="R3444" s="106"/>
      <c r="S3444" s="106"/>
      <c r="T3444" s="106"/>
      <c r="U3444" s="106"/>
      <c r="V3444" s="3980"/>
      <c r="W3444" s="3421">
        <v>19</v>
      </c>
      <c r="X3444" s="3421">
        <v>19</v>
      </c>
      <c r="Y3444" s="3425">
        <v>19</v>
      </c>
      <c r="Z3444" s="3425">
        <v>19</v>
      </c>
      <c r="AA3444" s="3425">
        <v>19</v>
      </c>
      <c r="AB3444" s="3421">
        <v>19</v>
      </c>
      <c r="AC3444" s="2920">
        <v>19</v>
      </c>
      <c r="AD3444" s="583">
        <v>19</v>
      </c>
      <c r="AE3444" s="3429"/>
      <c r="AF3444" s="3421"/>
      <c r="AG3444" s="3421"/>
      <c r="AH3444" s="156"/>
      <c r="AI3444" s="156"/>
      <c r="AJ3444" s="156"/>
      <c r="AK3444" s="156"/>
      <c r="AL3444" s="156"/>
      <c r="AM3444" s="156"/>
      <c r="AN3444" s="156"/>
      <c r="AO3444" s="156"/>
      <c r="AP3444" s="156"/>
      <c r="AQ3444" s="156"/>
      <c r="AR3444" s="156"/>
      <c r="AS3444" s="156"/>
      <c r="AT3444" s="156"/>
      <c r="AU3444" s="156"/>
      <c r="AV3444" s="156"/>
      <c r="AW3444" s="156"/>
      <c r="AX3444" s="156"/>
      <c r="AY3444" s="156"/>
      <c r="AZ3444" s="156"/>
      <c r="BA3444" s="156"/>
      <c r="BB3444" s="2828"/>
      <c r="BC3444" s="452"/>
      <c r="BD3444" s="2829"/>
      <c r="BE3444" s="2837"/>
      <c r="BF3444" s="156"/>
    </row>
    <row r="3445" spans="1:58" ht="15" customHeight="1" outlineLevel="1" x14ac:dyDescent="0.35">
      <c r="A3445" s="1071"/>
      <c r="B3445" s="2812"/>
      <c r="C3445" s="3077"/>
      <c r="D3445" s="3980"/>
      <c r="E3445" s="3883"/>
      <c r="F3445" s="3984" t="str">
        <f>$E$1842</f>
        <v>ASHP-SEER19_ER2_MF</v>
      </c>
      <c r="G3445" s="3984"/>
      <c r="H3445" s="3984"/>
      <c r="I3445" s="3984"/>
      <c r="J3445" s="3501" t="str">
        <f>$C$1842</f>
        <v>354500_2019_12_</v>
      </c>
      <c r="K3445" s="583">
        <v>19</v>
      </c>
      <c r="L3445" s="704"/>
      <c r="M3445" s="3025" t="s">
        <v>1514</v>
      </c>
      <c r="N3445" s="106"/>
      <c r="O3445" s="106"/>
      <c r="P3445" s="106"/>
      <c r="Q3445" s="106"/>
      <c r="R3445" s="106"/>
      <c r="S3445" s="106"/>
      <c r="T3445" s="106"/>
      <c r="U3445" s="106"/>
      <c r="V3445" s="3980"/>
      <c r="W3445" s="3421">
        <v>19</v>
      </c>
      <c r="X3445" s="3421">
        <v>19</v>
      </c>
      <c r="Y3445" s="3425">
        <v>19</v>
      </c>
      <c r="Z3445" s="3425">
        <v>19</v>
      </c>
      <c r="AA3445" s="3425">
        <v>19</v>
      </c>
      <c r="AB3445" s="3421">
        <v>19</v>
      </c>
      <c r="AC3445" s="2920">
        <v>19</v>
      </c>
      <c r="AD3445" s="583">
        <v>19</v>
      </c>
      <c r="AE3445" s="3429"/>
      <c r="AF3445" s="3421"/>
      <c r="AG3445" s="3421"/>
      <c r="AH3445" s="156"/>
      <c r="AI3445" s="156"/>
      <c r="AJ3445" s="156"/>
      <c r="AK3445" s="156"/>
      <c r="AL3445" s="156"/>
      <c r="AM3445" s="156"/>
      <c r="AN3445" s="156"/>
      <c r="AO3445" s="156"/>
      <c r="AP3445" s="156"/>
      <c r="AQ3445" s="156"/>
      <c r="AR3445" s="156"/>
      <c r="AS3445" s="156"/>
      <c r="AT3445" s="156"/>
      <c r="AU3445" s="156"/>
      <c r="AV3445" s="156"/>
      <c r="AW3445" s="156"/>
      <c r="AX3445" s="156"/>
      <c r="AY3445" s="156"/>
      <c r="AZ3445" s="156"/>
      <c r="BA3445" s="156"/>
      <c r="BB3445" s="2828"/>
      <c r="BC3445" s="452"/>
      <c r="BD3445" s="2829"/>
      <c r="BE3445" s="2837"/>
      <c r="BF3445" s="156"/>
    </row>
    <row r="3446" spans="1:58" ht="15" customHeight="1" outlineLevel="1" x14ac:dyDescent="0.35">
      <c r="A3446" s="1071"/>
      <c r="B3446" s="2812"/>
      <c r="C3446" s="3077"/>
      <c r="D3446" s="3980"/>
      <c r="E3446" s="3883"/>
      <c r="F3446" s="3984" t="str">
        <f>$E$1844</f>
        <v>ASHP-SEER19_ER1_MF_CompE</v>
      </c>
      <c r="G3446" s="3984"/>
      <c r="H3446" s="3984"/>
      <c r="I3446" s="3984"/>
      <c r="J3446" s="3501" t="str">
        <f>$C$1844</f>
        <v>354501_2019_12_</v>
      </c>
      <c r="K3446" s="583">
        <v>19</v>
      </c>
      <c r="L3446" s="704"/>
      <c r="M3446" s="3025" t="s">
        <v>1083</v>
      </c>
      <c r="N3446" s="106"/>
      <c r="O3446" s="106"/>
      <c r="P3446" s="106"/>
      <c r="Q3446" s="106"/>
      <c r="R3446" s="106"/>
      <c r="S3446" s="106"/>
      <c r="T3446" s="106"/>
      <c r="U3446" s="106"/>
      <c r="V3446" s="3980"/>
      <c r="W3446" s="3421"/>
      <c r="X3446" s="3421"/>
      <c r="Y3446" s="2377">
        <v>19</v>
      </c>
      <c r="Z3446" s="3425">
        <v>19</v>
      </c>
      <c r="AA3446" s="3425">
        <v>19</v>
      </c>
      <c r="AB3446" s="3421">
        <v>19</v>
      </c>
      <c r="AC3446" s="2920">
        <v>19</v>
      </c>
      <c r="AD3446" s="583">
        <v>19</v>
      </c>
      <c r="AE3446" s="3429"/>
      <c r="AF3446" s="3421"/>
      <c r="AG3446" s="3421"/>
      <c r="AH3446" s="156"/>
      <c r="AI3446" s="156"/>
      <c r="AJ3446" s="156"/>
      <c r="AK3446" s="156"/>
      <c r="AL3446" s="156"/>
      <c r="AM3446" s="156"/>
      <c r="AN3446" s="156"/>
      <c r="AO3446" s="156"/>
      <c r="AP3446" s="156"/>
      <c r="AQ3446" s="156"/>
      <c r="AR3446" s="156"/>
      <c r="AS3446" s="156"/>
      <c r="AT3446" s="156"/>
      <c r="AU3446" s="156"/>
      <c r="AV3446" s="156"/>
      <c r="AW3446" s="156"/>
      <c r="AX3446" s="156"/>
      <c r="AY3446" s="156"/>
      <c r="AZ3446" s="156"/>
      <c r="BA3446" s="156"/>
      <c r="BB3446" s="2828"/>
      <c r="BC3446" s="452"/>
      <c r="BD3446" s="2829"/>
      <c r="BE3446" s="2837"/>
      <c r="BF3446" s="156"/>
    </row>
    <row r="3447" spans="1:58" ht="15" customHeight="1" outlineLevel="1" x14ac:dyDescent="0.35">
      <c r="A3447" s="1071"/>
      <c r="B3447" s="2812"/>
      <c r="C3447" s="3077"/>
      <c r="D3447" s="3980"/>
      <c r="E3447" s="3883"/>
      <c r="F3447" s="3984" t="str">
        <f>$E$1846</f>
        <v>ASHP-SEER19_ER2_MF_CompE</v>
      </c>
      <c r="G3447" s="3984"/>
      <c r="H3447" s="3984"/>
      <c r="I3447" s="3984"/>
      <c r="J3447" s="3501" t="str">
        <f>$C$1846</f>
        <v>354501_2019_12_</v>
      </c>
      <c r="K3447" s="583">
        <v>19</v>
      </c>
      <c r="L3447" s="704"/>
      <c r="M3447" s="3025" t="s">
        <v>1083</v>
      </c>
      <c r="N3447" s="106"/>
      <c r="O3447" s="106"/>
      <c r="P3447" s="106"/>
      <c r="Q3447" s="106"/>
      <c r="R3447" s="106"/>
      <c r="S3447" s="106"/>
      <c r="T3447" s="106"/>
      <c r="U3447" s="106"/>
      <c r="V3447" s="3980"/>
      <c r="W3447" s="3421"/>
      <c r="X3447" s="3421"/>
      <c r="Y3447" s="2377">
        <v>19</v>
      </c>
      <c r="Z3447" s="3425">
        <v>19</v>
      </c>
      <c r="AA3447" s="3425">
        <v>19</v>
      </c>
      <c r="AB3447" s="3421">
        <v>19</v>
      </c>
      <c r="AC3447" s="2920">
        <v>19</v>
      </c>
      <c r="AD3447" s="583">
        <v>19</v>
      </c>
      <c r="AE3447" s="3429"/>
      <c r="AF3447" s="3421"/>
      <c r="AG3447" s="3421"/>
      <c r="AH3447" s="156"/>
      <c r="AI3447" s="156"/>
      <c r="AJ3447" s="156"/>
      <c r="AK3447" s="156"/>
      <c r="AL3447" s="156"/>
      <c r="AM3447" s="156"/>
      <c r="AN3447" s="156"/>
      <c r="AO3447" s="156"/>
      <c r="AP3447" s="156"/>
      <c r="AQ3447" s="156"/>
      <c r="AR3447" s="156"/>
      <c r="AS3447" s="156"/>
      <c r="AT3447" s="156"/>
      <c r="AU3447" s="156"/>
      <c r="AV3447" s="156"/>
      <c r="AW3447" s="156"/>
      <c r="AX3447" s="156"/>
      <c r="AY3447" s="156"/>
      <c r="AZ3447" s="156"/>
      <c r="BA3447" s="156"/>
      <c r="BB3447" s="2828"/>
      <c r="BC3447" s="452"/>
      <c r="BD3447" s="2829"/>
      <c r="BE3447" s="2837"/>
      <c r="BF3447" s="156"/>
    </row>
    <row r="3448" spans="1:58" ht="15" customHeight="1" outlineLevel="1" x14ac:dyDescent="0.35">
      <c r="A3448" s="1071"/>
      <c r="B3448" s="2812"/>
      <c r="C3448" s="3077"/>
      <c r="D3448" s="3980"/>
      <c r="E3448" s="3883"/>
      <c r="F3448" s="3984" t="str">
        <f>$E$1848</f>
        <v>ASHP-SEER20_ER1_SF</v>
      </c>
      <c r="G3448" s="3984"/>
      <c r="H3448" s="3984"/>
      <c r="I3448" s="3984"/>
      <c r="J3448" s="3501" t="str">
        <f>$C$1848</f>
        <v>354550_2021_12_</v>
      </c>
      <c r="K3448" s="584">
        <v>20.033333333333335</v>
      </c>
      <c r="L3448" s="704"/>
      <c r="M3448" s="2819" t="s">
        <v>4360</v>
      </c>
      <c r="N3448" s="106"/>
      <c r="O3448" s="106"/>
      <c r="P3448" s="106"/>
      <c r="Q3448" s="106"/>
      <c r="R3448" s="106"/>
      <c r="S3448" s="106"/>
      <c r="T3448" s="106"/>
      <c r="U3448" s="106"/>
      <c r="V3448" s="3980"/>
      <c r="W3448" s="3421">
        <v>20</v>
      </c>
      <c r="X3448" s="3421">
        <v>20</v>
      </c>
      <c r="Y3448" s="3425">
        <v>20</v>
      </c>
      <c r="Z3448" s="3425">
        <v>20</v>
      </c>
      <c r="AA3448" s="3425">
        <v>20</v>
      </c>
      <c r="AB3448" s="3421">
        <v>20</v>
      </c>
      <c r="AC3448" s="2920">
        <v>20</v>
      </c>
      <c r="AD3448" s="584">
        <v>20.033333333333335</v>
      </c>
      <c r="AE3448" s="3429"/>
      <c r="AF3448" s="3421"/>
      <c r="AG3448" s="3421"/>
      <c r="AH3448" s="156"/>
      <c r="AI3448" s="156"/>
      <c r="AJ3448" s="156"/>
      <c r="AK3448" s="156"/>
      <c r="AL3448" s="156"/>
      <c r="AM3448" s="156"/>
      <c r="AN3448" s="156"/>
      <c r="AO3448" s="156"/>
      <c r="AP3448" s="156"/>
      <c r="AQ3448" s="156"/>
      <c r="AR3448" s="156"/>
      <c r="AS3448" s="156"/>
      <c r="AT3448" s="156"/>
      <c r="AU3448" s="156"/>
      <c r="AV3448" s="156"/>
      <c r="AW3448" s="156"/>
      <c r="AX3448" s="156"/>
      <c r="AY3448" s="156"/>
      <c r="AZ3448" s="156"/>
      <c r="BA3448" s="156"/>
      <c r="BB3448" s="2828"/>
      <c r="BC3448" s="452"/>
      <c r="BD3448" s="2829"/>
      <c r="BE3448" s="2837"/>
      <c r="BF3448" s="156"/>
    </row>
    <row r="3449" spans="1:58" ht="15" customHeight="1" outlineLevel="1" x14ac:dyDescent="0.35">
      <c r="A3449" s="1071"/>
      <c r="B3449" s="2812"/>
      <c r="C3449" s="3077"/>
      <c r="D3449" s="3980"/>
      <c r="E3449" s="3883"/>
      <c r="F3449" s="3984" t="str">
        <f>$E$1850</f>
        <v>ASHP-SEER20_ER2_SF</v>
      </c>
      <c r="G3449" s="3984"/>
      <c r="H3449" s="3984"/>
      <c r="I3449" s="3984"/>
      <c r="J3449" s="3501" t="str">
        <f>$C$1850</f>
        <v>354550_2021_12_</v>
      </c>
      <c r="K3449" s="584">
        <v>20.033333333333335</v>
      </c>
      <c r="L3449" s="704"/>
      <c r="M3449" s="2819" t="s">
        <v>4360</v>
      </c>
      <c r="N3449" s="106"/>
      <c r="O3449" s="106"/>
      <c r="P3449" s="106"/>
      <c r="Q3449" s="106"/>
      <c r="R3449" s="106"/>
      <c r="S3449" s="106"/>
      <c r="T3449" s="106"/>
      <c r="U3449" s="106"/>
      <c r="V3449" s="3980"/>
      <c r="W3449" s="3421">
        <v>20</v>
      </c>
      <c r="X3449" s="3421">
        <v>20</v>
      </c>
      <c r="Y3449" s="3425">
        <v>20</v>
      </c>
      <c r="Z3449" s="3425">
        <v>20</v>
      </c>
      <c r="AA3449" s="3425">
        <v>20</v>
      </c>
      <c r="AB3449" s="3421">
        <v>20</v>
      </c>
      <c r="AC3449" s="2920">
        <f>AC3448</f>
        <v>20</v>
      </c>
      <c r="AD3449" s="584">
        <v>20.033333333333335</v>
      </c>
      <c r="AE3449" s="3429"/>
      <c r="AF3449" s="3421"/>
      <c r="AG3449" s="3421"/>
      <c r="AH3449" s="156"/>
      <c r="AI3449" s="156"/>
      <c r="AJ3449" s="156"/>
      <c r="AK3449" s="156"/>
      <c r="AL3449" s="156"/>
      <c r="AM3449" s="156"/>
      <c r="AN3449" s="156"/>
      <c r="AO3449" s="156"/>
      <c r="AP3449" s="156"/>
      <c r="AQ3449" s="156"/>
      <c r="AR3449" s="156"/>
      <c r="AS3449" s="156"/>
      <c r="AT3449" s="156"/>
      <c r="AU3449" s="156"/>
      <c r="AV3449" s="156"/>
      <c r="AW3449" s="156"/>
      <c r="AX3449" s="156"/>
      <c r="AY3449" s="156"/>
      <c r="AZ3449" s="156"/>
      <c r="BA3449" s="156"/>
      <c r="BB3449" s="2828"/>
      <c r="BC3449" s="452"/>
      <c r="BD3449" s="2829"/>
      <c r="BE3449" s="2837"/>
      <c r="BF3449" s="156"/>
    </row>
    <row r="3450" spans="1:58" ht="15" customHeight="1" outlineLevel="1" x14ac:dyDescent="0.35">
      <c r="A3450" s="1071"/>
      <c r="B3450" s="2812"/>
      <c r="C3450" s="3077"/>
      <c r="D3450" s="3980"/>
      <c r="E3450" s="3883"/>
      <c r="F3450" s="3984" t="str">
        <f>$E$1852</f>
        <v>ASHP-SEER20_ROF_SF</v>
      </c>
      <c r="G3450" s="3984"/>
      <c r="H3450" s="3984"/>
      <c r="I3450" s="3984"/>
      <c r="J3450" s="3501" t="str">
        <f>$C$1852</f>
        <v>354600_2021_12_</v>
      </c>
      <c r="K3450" s="584">
        <v>20.089285714285715</v>
      </c>
      <c r="L3450" s="704"/>
      <c r="M3450" s="2819" t="s">
        <v>4360</v>
      </c>
      <c r="N3450" s="106"/>
      <c r="O3450" s="106"/>
      <c r="P3450" s="106"/>
      <c r="Q3450" s="106"/>
      <c r="R3450" s="106"/>
      <c r="S3450" s="106"/>
      <c r="T3450" s="106"/>
      <c r="U3450" s="106"/>
      <c r="V3450" s="3980"/>
      <c r="W3450" s="3421">
        <v>20</v>
      </c>
      <c r="X3450" s="3421">
        <v>20</v>
      </c>
      <c r="Y3450" s="3425">
        <v>20</v>
      </c>
      <c r="Z3450" s="3425">
        <v>20</v>
      </c>
      <c r="AA3450" s="3425">
        <v>20</v>
      </c>
      <c r="AB3450" s="3421">
        <v>20</v>
      </c>
      <c r="AC3450" s="2919">
        <v>20.066666666666666</v>
      </c>
      <c r="AD3450" s="584">
        <v>20.089285714285715</v>
      </c>
      <c r="AE3450" s="3429"/>
      <c r="AF3450" s="3421"/>
      <c r="AG3450" s="3421"/>
      <c r="AH3450" s="156"/>
      <c r="AI3450" s="156"/>
      <c r="AJ3450" s="156"/>
      <c r="AK3450" s="156"/>
      <c r="AL3450" s="156"/>
      <c r="AM3450" s="156"/>
      <c r="AN3450" s="156"/>
      <c r="AO3450" s="156"/>
      <c r="AP3450" s="156"/>
      <c r="AQ3450" s="156"/>
      <c r="AR3450" s="156"/>
      <c r="AS3450" s="156"/>
      <c r="AT3450" s="156"/>
      <c r="AU3450" s="156"/>
      <c r="AV3450" s="156"/>
      <c r="AW3450" s="156"/>
      <c r="AX3450" s="156"/>
      <c r="AY3450" s="156"/>
      <c r="AZ3450" s="156"/>
      <c r="BA3450" s="156"/>
      <c r="BB3450" s="2828"/>
      <c r="BC3450" s="452"/>
      <c r="BD3450" s="2829"/>
      <c r="BE3450" s="2837"/>
      <c r="BF3450" s="156"/>
    </row>
    <row r="3451" spans="1:58" ht="15" customHeight="1" outlineLevel="1" x14ac:dyDescent="0.35">
      <c r="A3451" s="1071"/>
      <c r="B3451" s="2812"/>
      <c r="C3451" s="3077"/>
      <c r="D3451" s="3980"/>
      <c r="E3451" s="3883"/>
      <c r="F3451" s="3984" t="str">
        <f>$E$1854</f>
        <v>ASHP-SEER20-Replace_CAC_ElectricHeat_ER1_MF</v>
      </c>
      <c r="G3451" s="3984"/>
      <c r="H3451" s="3984"/>
      <c r="I3451" s="3984"/>
      <c r="J3451" s="3501" t="str">
        <f>$C$1854</f>
        <v>354650_2019_12_</v>
      </c>
      <c r="K3451" s="583">
        <v>20</v>
      </c>
      <c r="L3451" s="704"/>
      <c r="M3451" s="3025" t="s">
        <v>1514</v>
      </c>
      <c r="N3451" s="106"/>
      <c r="O3451" s="106"/>
      <c r="P3451" s="106"/>
      <c r="Q3451" s="106"/>
      <c r="R3451" s="106"/>
      <c r="S3451" s="106"/>
      <c r="T3451" s="106"/>
      <c r="U3451" s="106"/>
      <c r="V3451" s="3980"/>
      <c r="W3451" s="3421">
        <v>20</v>
      </c>
      <c r="X3451" s="3421">
        <v>20</v>
      </c>
      <c r="Y3451" s="3425">
        <v>20</v>
      </c>
      <c r="Z3451" s="3425">
        <v>20</v>
      </c>
      <c r="AA3451" s="3425">
        <v>20</v>
      </c>
      <c r="AB3451" s="3421">
        <v>20</v>
      </c>
      <c r="AC3451" s="2920">
        <v>20</v>
      </c>
      <c r="AD3451" s="583">
        <v>20</v>
      </c>
      <c r="AE3451" s="3429"/>
      <c r="AF3451" s="3421"/>
      <c r="AG3451" s="3421"/>
      <c r="AH3451" s="156"/>
      <c r="AI3451" s="156"/>
      <c r="AJ3451" s="156"/>
      <c r="AK3451" s="156"/>
      <c r="AL3451" s="156"/>
      <c r="AM3451" s="156"/>
      <c r="AN3451" s="156"/>
      <c r="AO3451" s="156"/>
      <c r="AP3451" s="156"/>
      <c r="AQ3451" s="156"/>
      <c r="AR3451" s="156"/>
      <c r="AS3451" s="156"/>
      <c r="AT3451" s="156"/>
      <c r="AU3451" s="156"/>
      <c r="AV3451" s="156"/>
      <c r="AW3451" s="156"/>
      <c r="AX3451" s="156"/>
      <c r="AY3451" s="156"/>
      <c r="AZ3451" s="156"/>
      <c r="BA3451" s="156"/>
      <c r="BB3451" s="2828"/>
      <c r="BC3451" s="452"/>
      <c r="BD3451" s="2829"/>
      <c r="BE3451" s="2837"/>
      <c r="BF3451" s="156"/>
    </row>
    <row r="3452" spans="1:58" ht="15" customHeight="1" outlineLevel="1" x14ac:dyDescent="0.35">
      <c r="A3452" s="1071"/>
      <c r="B3452" s="2812"/>
      <c r="C3452" s="3077"/>
      <c r="D3452" s="3980"/>
      <c r="E3452" s="3883"/>
      <c r="F3452" s="3984" t="str">
        <f>$E$1856</f>
        <v>ASHP-SEER20-Replace_CAC_ElectricHeat_ER2_MF</v>
      </c>
      <c r="G3452" s="3984"/>
      <c r="H3452" s="3984"/>
      <c r="I3452" s="3984"/>
      <c r="J3452" s="3501" t="str">
        <f>$C$1856</f>
        <v>354650_2019_12_</v>
      </c>
      <c r="K3452" s="583">
        <v>20</v>
      </c>
      <c r="L3452" s="704"/>
      <c r="M3452" s="3041" t="s">
        <v>1514</v>
      </c>
      <c r="N3452" s="106"/>
      <c r="O3452" s="106"/>
      <c r="P3452" s="106"/>
      <c r="Q3452" s="106"/>
      <c r="R3452" s="106"/>
      <c r="S3452" s="106"/>
      <c r="T3452" s="106"/>
      <c r="U3452" s="106"/>
      <c r="V3452" s="3980"/>
      <c r="W3452" s="3421">
        <v>20</v>
      </c>
      <c r="X3452" s="3421">
        <v>20</v>
      </c>
      <c r="Y3452" s="3425">
        <v>20</v>
      </c>
      <c r="Z3452" s="3425">
        <v>20</v>
      </c>
      <c r="AA3452" s="3425">
        <v>20</v>
      </c>
      <c r="AB3452" s="3421">
        <v>20</v>
      </c>
      <c r="AC3452" s="2920">
        <v>20</v>
      </c>
      <c r="AD3452" s="583">
        <v>20</v>
      </c>
      <c r="AE3452" s="3429"/>
      <c r="AF3452" s="3421"/>
      <c r="AG3452" s="3421"/>
      <c r="AH3452" s="156"/>
      <c r="AI3452" s="156"/>
      <c r="AJ3452" s="156"/>
      <c r="AK3452" s="156"/>
      <c r="AL3452" s="156"/>
      <c r="AM3452" s="156"/>
      <c r="AN3452" s="156"/>
      <c r="AO3452" s="156"/>
      <c r="AP3452" s="156"/>
      <c r="AQ3452" s="156"/>
      <c r="AR3452" s="156"/>
      <c r="AS3452" s="156"/>
      <c r="AT3452" s="156"/>
      <c r="AU3452" s="156"/>
      <c r="AV3452" s="156"/>
      <c r="AW3452" s="156"/>
      <c r="AX3452" s="156"/>
      <c r="AY3452" s="156"/>
      <c r="AZ3452" s="156"/>
      <c r="BA3452" s="156"/>
      <c r="BB3452" s="2828"/>
      <c r="BC3452" s="452"/>
      <c r="BD3452" s="2829"/>
      <c r="BE3452" s="2837"/>
      <c r="BF3452" s="156"/>
    </row>
    <row r="3453" spans="1:58" ht="15" customHeight="1" outlineLevel="1" x14ac:dyDescent="0.35">
      <c r="A3453" s="1071"/>
      <c r="B3453" s="2812"/>
      <c r="C3453" s="3077"/>
      <c r="D3453" s="3980"/>
      <c r="E3453" s="3883"/>
      <c r="F3453" s="3984" t="str">
        <f>$E$1858</f>
        <v>ASHP-SEER20-Replace_CAC_ElectricHeat_ER1_MF_CompE</v>
      </c>
      <c r="G3453" s="3984"/>
      <c r="H3453" s="3984"/>
      <c r="I3453" s="3984"/>
      <c r="J3453" s="3501" t="str">
        <f>$C$1858</f>
        <v>354651_2019_12_</v>
      </c>
      <c r="K3453" s="583">
        <v>20</v>
      </c>
      <c r="L3453" s="704"/>
      <c r="M3453" s="3025" t="s">
        <v>1083</v>
      </c>
      <c r="N3453" s="106"/>
      <c r="O3453" s="106"/>
      <c r="P3453" s="106"/>
      <c r="Q3453" s="106"/>
      <c r="R3453" s="106"/>
      <c r="S3453" s="106"/>
      <c r="T3453" s="106"/>
      <c r="U3453" s="106"/>
      <c r="V3453" s="3980"/>
      <c r="W3453" s="3421"/>
      <c r="X3453" s="3421"/>
      <c r="Y3453" s="2377">
        <v>20</v>
      </c>
      <c r="Z3453" s="3425">
        <v>20</v>
      </c>
      <c r="AA3453" s="3425">
        <v>20</v>
      </c>
      <c r="AB3453" s="3421">
        <v>20</v>
      </c>
      <c r="AC3453" s="2920">
        <v>20</v>
      </c>
      <c r="AD3453" s="583">
        <v>20</v>
      </c>
      <c r="AE3453" s="3429"/>
      <c r="AF3453" s="3421"/>
      <c r="AG3453" s="3421"/>
      <c r="AH3453" s="156"/>
      <c r="AI3453" s="156"/>
      <c r="AJ3453" s="156"/>
      <c r="AK3453" s="156"/>
      <c r="AL3453" s="156"/>
      <c r="AM3453" s="156"/>
      <c r="AN3453" s="156"/>
      <c r="AO3453" s="156"/>
      <c r="AP3453" s="156"/>
      <c r="AQ3453" s="156"/>
      <c r="AR3453" s="156"/>
      <c r="AS3453" s="156"/>
      <c r="AT3453" s="156"/>
      <c r="AU3453" s="156"/>
      <c r="AV3453" s="156"/>
      <c r="AW3453" s="156"/>
      <c r="AX3453" s="156"/>
      <c r="AY3453" s="156"/>
      <c r="AZ3453" s="156"/>
      <c r="BA3453" s="156"/>
      <c r="BB3453" s="2828"/>
      <c r="BC3453" s="452"/>
      <c r="BD3453" s="2829"/>
      <c r="BE3453" s="2837"/>
      <c r="BF3453" s="156"/>
    </row>
    <row r="3454" spans="1:58" ht="15" customHeight="1" outlineLevel="1" x14ac:dyDescent="0.35">
      <c r="A3454" s="1071"/>
      <c r="B3454" s="2812"/>
      <c r="C3454" s="3077"/>
      <c r="D3454" s="3980"/>
      <c r="E3454" s="3883"/>
      <c r="F3454" s="3984" t="str">
        <f>$E$1860</f>
        <v>ASHP-SEER20-Replace_CAC_ElectricHeat_ER2_MF_CompE</v>
      </c>
      <c r="G3454" s="3984"/>
      <c r="H3454" s="3984"/>
      <c r="I3454" s="3984"/>
      <c r="J3454" s="3501" t="str">
        <f>$C$1860</f>
        <v>354651_2019_12_</v>
      </c>
      <c r="K3454" s="583">
        <v>20</v>
      </c>
      <c r="L3454" s="704"/>
      <c r="M3454" s="3025" t="s">
        <v>1083</v>
      </c>
      <c r="N3454" s="106"/>
      <c r="O3454" s="106"/>
      <c r="P3454" s="106"/>
      <c r="Q3454" s="106"/>
      <c r="R3454" s="106"/>
      <c r="S3454" s="106"/>
      <c r="T3454" s="106"/>
      <c r="U3454" s="106"/>
      <c r="V3454" s="3980"/>
      <c r="W3454" s="3421"/>
      <c r="X3454" s="3421"/>
      <c r="Y3454" s="2377">
        <v>20</v>
      </c>
      <c r="Z3454" s="3425">
        <v>20</v>
      </c>
      <c r="AA3454" s="3425">
        <v>20</v>
      </c>
      <c r="AB3454" s="3421">
        <v>20</v>
      </c>
      <c r="AC3454" s="2920">
        <v>20</v>
      </c>
      <c r="AD3454" s="583">
        <v>20</v>
      </c>
      <c r="AE3454" s="3429"/>
      <c r="AF3454" s="3421"/>
      <c r="AG3454" s="3421"/>
      <c r="AH3454" s="156"/>
      <c r="AI3454" s="156"/>
      <c r="AJ3454" s="156"/>
      <c r="AK3454" s="156"/>
      <c r="AL3454" s="156"/>
      <c r="AM3454" s="156"/>
      <c r="AN3454" s="156"/>
      <c r="AO3454" s="156"/>
      <c r="AP3454" s="156"/>
      <c r="AQ3454" s="156"/>
      <c r="AR3454" s="156"/>
      <c r="AS3454" s="156"/>
      <c r="AT3454" s="156"/>
      <c r="AU3454" s="156"/>
      <c r="AV3454" s="156"/>
      <c r="AW3454" s="156"/>
      <c r="AX3454" s="156"/>
      <c r="AY3454" s="156"/>
      <c r="AZ3454" s="156"/>
      <c r="BA3454" s="156"/>
      <c r="BB3454" s="2828"/>
      <c r="BC3454" s="452"/>
      <c r="BD3454" s="2829"/>
      <c r="BE3454" s="2837"/>
      <c r="BF3454" s="156"/>
    </row>
    <row r="3455" spans="1:58" ht="15" customHeight="1" outlineLevel="1" x14ac:dyDescent="0.35">
      <c r="A3455" s="1071"/>
      <c r="B3455" s="2812"/>
      <c r="C3455" s="3077"/>
      <c r="D3455" s="3980"/>
      <c r="E3455" s="3883"/>
      <c r="F3455" s="3984" t="str">
        <f>$E$1862</f>
        <v>ASHP-SEER20-Replace_CAC_NonElectricHeat_ER1_MF</v>
      </c>
      <c r="G3455" s="3984"/>
      <c r="H3455" s="3984"/>
      <c r="I3455" s="3984"/>
      <c r="J3455" s="3501" t="str">
        <f>$C$1862</f>
        <v>354660_2021_12_</v>
      </c>
      <c r="K3455" s="583">
        <v>20</v>
      </c>
      <c r="L3455" s="704"/>
      <c r="M3455" s="3025" t="s">
        <v>1083</v>
      </c>
      <c r="N3455" s="106"/>
      <c r="O3455" s="106"/>
      <c r="P3455" s="106"/>
      <c r="Q3455" s="106"/>
      <c r="R3455" s="106"/>
      <c r="S3455" s="106"/>
      <c r="T3455" s="106"/>
      <c r="U3455" s="106"/>
      <c r="V3455" s="3980"/>
      <c r="W3455" s="3421"/>
      <c r="X3455" s="3421"/>
      <c r="Y3455" s="2377"/>
      <c r="Z3455" s="3425"/>
      <c r="AA3455" s="3425"/>
      <c r="AB3455" s="3421"/>
      <c r="AC3455" s="2919">
        <v>20</v>
      </c>
      <c r="AD3455" s="583">
        <v>20</v>
      </c>
      <c r="AE3455" s="3429"/>
      <c r="AF3455" s="3421"/>
      <c r="AG3455" s="3421"/>
      <c r="AH3455" s="156"/>
      <c r="AI3455" s="156"/>
      <c r="AJ3455" s="156"/>
      <c r="AK3455" s="156"/>
      <c r="AL3455" s="156"/>
      <c r="AM3455" s="156"/>
      <c r="AN3455" s="156"/>
      <c r="AO3455" s="156"/>
      <c r="AP3455" s="156"/>
      <c r="AQ3455" s="156"/>
      <c r="AR3455" s="156"/>
      <c r="AS3455" s="156"/>
      <c r="AT3455" s="156"/>
      <c r="AU3455" s="156"/>
      <c r="AV3455" s="156"/>
      <c r="AW3455" s="156"/>
      <c r="AX3455" s="156"/>
      <c r="AY3455" s="156"/>
      <c r="AZ3455" s="156"/>
      <c r="BA3455" s="156"/>
      <c r="BB3455" s="2828"/>
      <c r="BC3455" s="452"/>
      <c r="BD3455" s="2829"/>
      <c r="BE3455" s="2837"/>
      <c r="BF3455" s="156"/>
    </row>
    <row r="3456" spans="1:58" ht="15" customHeight="1" outlineLevel="1" x14ac:dyDescent="0.35">
      <c r="A3456" s="1071"/>
      <c r="B3456" s="2812"/>
      <c r="C3456" s="3077"/>
      <c r="D3456" s="3980"/>
      <c r="E3456" s="3883"/>
      <c r="F3456" s="3984" t="str">
        <f>$E$1864</f>
        <v>ASHP-SEER20-Replace_CAC_NonElectricHeat_ER2_MF</v>
      </c>
      <c r="G3456" s="3984"/>
      <c r="H3456" s="3984"/>
      <c r="I3456" s="3984"/>
      <c r="J3456" s="3501" t="str">
        <f>$C$1864</f>
        <v>354660_2021_12_</v>
      </c>
      <c r="K3456" s="583">
        <v>20</v>
      </c>
      <c r="L3456" s="704"/>
      <c r="M3456" s="3025" t="s">
        <v>1083</v>
      </c>
      <c r="N3456" s="106"/>
      <c r="O3456" s="106"/>
      <c r="P3456" s="106"/>
      <c r="Q3456" s="106"/>
      <c r="R3456" s="106"/>
      <c r="S3456" s="106"/>
      <c r="T3456" s="106"/>
      <c r="U3456" s="106"/>
      <c r="V3456" s="3980"/>
      <c r="W3456" s="3421"/>
      <c r="X3456" s="3421"/>
      <c r="Y3456" s="2377"/>
      <c r="Z3456" s="3425"/>
      <c r="AA3456" s="3425"/>
      <c r="AB3456" s="3421"/>
      <c r="AC3456" s="2919">
        <v>20</v>
      </c>
      <c r="AD3456" s="583">
        <v>20</v>
      </c>
      <c r="AE3456" s="3429"/>
      <c r="AF3456" s="3421"/>
      <c r="AG3456" s="3421"/>
      <c r="AH3456" s="156"/>
      <c r="AI3456" s="156"/>
      <c r="AJ3456" s="156"/>
      <c r="AK3456" s="156"/>
      <c r="AL3456" s="156"/>
      <c r="AM3456" s="156"/>
      <c r="AN3456" s="156"/>
      <c r="AO3456" s="156"/>
      <c r="AP3456" s="156"/>
      <c r="AQ3456" s="156"/>
      <c r="AR3456" s="156"/>
      <c r="AS3456" s="156"/>
      <c r="AT3456" s="156"/>
      <c r="AU3456" s="156"/>
      <c r="AV3456" s="156"/>
      <c r="AW3456" s="156"/>
      <c r="AX3456" s="156"/>
      <c r="AY3456" s="156"/>
      <c r="AZ3456" s="156"/>
      <c r="BA3456" s="156"/>
      <c r="BB3456" s="2828"/>
      <c r="BC3456" s="452"/>
      <c r="BD3456" s="2829"/>
      <c r="BE3456" s="2837"/>
      <c r="BF3456" s="156"/>
    </row>
    <row r="3457" spans="1:58" ht="15" customHeight="1" outlineLevel="1" x14ac:dyDescent="0.35">
      <c r="A3457" s="1071"/>
      <c r="B3457" s="2812"/>
      <c r="C3457" s="3077"/>
      <c r="D3457" s="3980"/>
      <c r="E3457" s="3883"/>
      <c r="F3457" s="3984" t="str">
        <f>$E$1866</f>
        <v>ASHP-SEER20-Replace_CAC_NonElectricHeat_ER1_MF_CompE</v>
      </c>
      <c r="G3457" s="3984"/>
      <c r="H3457" s="3984"/>
      <c r="I3457" s="3984"/>
      <c r="J3457" s="3501" t="str">
        <f>$C$1866</f>
        <v>354661_2021_12_</v>
      </c>
      <c r="K3457" s="583">
        <v>20</v>
      </c>
      <c r="L3457" s="704"/>
      <c r="M3457" s="3025" t="s">
        <v>1083</v>
      </c>
      <c r="N3457" s="106"/>
      <c r="O3457" s="106"/>
      <c r="P3457" s="106"/>
      <c r="Q3457" s="106"/>
      <c r="R3457" s="106"/>
      <c r="S3457" s="106"/>
      <c r="T3457" s="106"/>
      <c r="U3457" s="106"/>
      <c r="V3457" s="3980"/>
      <c r="W3457" s="3421"/>
      <c r="X3457" s="3421"/>
      <c r="Y3457" s="2377"/>
      <c r="Z3457" s="3425"/>
      <c r="AA3457" s="3425"/>
      <c r="AB3457" s="3421"/>
      <c r="AC3457" s="2919">
        <v>20</v>
      </c>
      <c r="AD3457" s="583">
        <v>20</v>
      </c>
      <c r="AE3457" s="3429"/>
      <c r="AF3457" s="3421"/>
      <c r="AG3457" s="3421"/>
      <c r="AH3457" s="156"/>
      <c r="AI3457" s="156"/>
      <c r="AJ3457" s="156"/>
      <c r="AK3457" s="156"/>
      <c r="AL3457" s="156"/>
      <c r="AM3457" s="156"/>
      <c r="AN3457" s="156"/>
      <c r="AO3457" s="156"/>
      <c r="AP3457" s="156"/>
      <c r="AQ3457" s="156"/>
      <c r="AR3457" s="156"/>
      <c r="AS3457" s="156"/>
      <c r="AT3457" s="156"/>
      <c r="AU3457" s="156"/>
      <c r="AV3457" s="156"/>
      <c r="AW3457" s="156"/>
      <c r="AX3457" s="156"/>
      <c r="AY3457" s="156"/>
      <c r="AZ3457" s="156"/>
      <c r="BA3457" s="156"/>
      <c r="BB3457" s="2828"/>
      <c r="BC3457" s="452"/>
      <c r="BD3457" s="2829"/>
      <c r="BE3457" s="2837"/>
      <c r="BF3457" s="156"/>
    </row>
    <row r="3458" spans="1:58" ht="15" customHeight="1" outlineLevel="1" x14ac:dyDescent="0.35">
      <c r="A3458" s="1071"/>
      <c r="B3458" s="2812"/>
      <c r="C3458" s="3077"/>
      <c r="D3458" s="3980"/>
      <c r="E3458" s="3883"/>
      <c r="F3458" s="3984" t="str">
        <f>$E$1868</f>
        <v>ASHP-SEER20-Replace_CAC_NonElectricHeat_ER2_MF_CompE</v>
      </c>
      <c r="G3458" s="3984"/>
      <c r="H3458" s="3984"/>
      <c r="I3458" s="3984"/>
      <c r="J3458" s="3501" t="str">
        <f>$C$1868</f>
        <v>354661_2021_12_</v>
      </c>
      <c r="K3458" s="583">
        <v>20</v>
      </c>
      <c r="L3458" s="704"/>
      <c r="M3458" s="3025" t="s">
        <v>1083</v>
      </c>
      <c r="N3458" s="106"/>
      <c r="O3458" s="106"/>
      <c r="P3458" s="106"/>
      <c r="Q3458" s="106"/>
      <c r="R3458" s="106"/>
      <c r="S3458" s="106"/>
      <c r="T3458" s="106"/>
      <c r="U3458" s="106"/>
      <c r="V3458" s="3980"/>
      <c r="W3458" s="3421"/>
      <c r="X3458" s="3421"/>
      <c r="Y3458" s="2377"/>
      <c r="Z3458" s="3425"/>
      <c r="AA3458" s="3425"/>
      <c r="AB3458" s="3421"/>
      <c r="AC3458" s="2919">
        <v>20</v>
      </c>
      <c r="AD3458" s="583">
        <v>20</v>
      </c>
      <c r="AE3458" s="3429"/>
      <c r="AF3458" s="3421"/>
      <c r="AG3458" s="3421"/>
      <c r="AH3458" s="156"/>
      <c r="AI3458" s="156"/>
      <c r="AJ3458" s="156"/>
      <c r="AK3458" s="156"/>
      <c r="AL3458" s="156"/>
      <c r="AM3458" s="156"/>
      <c r="AN3458" s="156"/>
      <c r="AO3458" s="156"/>
      <c r="AP3458" s="156"/>
      <c r="AQ3458" s="156"/>
      <c r="AR3458" s="156"/>
      <c r="AS3458" s="156"/>
      <c r="AT3458" s="156"/>
      <c r="AU3458" s="156"/>
      <c r="AV3458" s="156"/>
      <c r="AW3458" s="156"/>
      <c r="AX3458" s="156"/>
      <c r="AY3458" s="156"/>
      <c r="AZ3458" s="156"/>
      <c r="BA3458" s="156"/>
      <c r="BB3458" s="2828"/>
      <c r="BC3458" s="452"/>
      <c r="BD3458" s="2829"/>
      <c r="BE3458" s="2837"/>
      <c r="BF3458" s="156"/>
    </row>
    <row r="3459" spans="1:58" ht="15" customHeight="1" outlineLevel="1" x14ac:dyDescent="0.35">
      <c r="A3459" s="1071"/>
      <c r="B3459" s="2812"/>
      <c r="C3459" s="3077"/>
      <c r="D3459" s="3980"/>
      <c r="E3459" s="3883"/>
      <c r="F3459" s="3984" t="str">
        <f>$E$1870</f>
        <v>ASHP-SEER20_ER1_MF</v>
      </c>
      <c r="G3459" s="3984"/>
      <c r="H3459" s="3984"/>
      <c r="I3459" s="3984"/>
      <c r="J3459" s="3501" t="str">
        <f>$C$1870</f>
        <v>354700_2019_12_</v>
      </c>
      <c r="K3459" s="583">
        <v>20</v>
      </c>
      <c r="L3459" s="704"/>
      <c r="M3459" s="3041" t="s">
        <v>1514</v>
      </c>
      <c r="N3459" s="106"/>
      <c r="O3459" s="106"/>
      <c r="P3459" s="106"/>
      <c r="Q3459" s="106"/>
      <c r="R3459" s="106"/>
      <c r="S3459" s="106"/>
      <c r="T3459" s="106"/>
      <c r="U3459" s="106"/>
      <c r="V3459" s="3980"/>
      <c r="W3459" s="3421">
        <v>20</v>
      </c>
      <c r="X3459" s="3421">
        <v>20</v>
      </c>
      <c r="Y3459" s="3425">
        <v>20</v>
      </c>
      <c r="Z3459" s="3425">
        <v>20</v>
      </c>
      <c r="AA3459" s="3425">
        <v>20</v>
      </c>
      <c r="AB3459" s="3421">
        <v>20</v>
      </c>
      <c r="AC3459" s="2920">
        <v>20</v>
      </c>
      <c r="AD3459" s="583">
        <v>20</v>
      </c>
      <c r="AE3459" s="3429"/>
      <c r="AF3459" s="3421"/>
      <c r="AG3459" s="3421"/>
      <c r="AH3459" s="156"/>
      <c r="AI3459" s="156"/>
      <c r="AJ3459" s="156"/>
      <c r="AK3459" s="156"/>
      <c r="AL3459" s="156"/>
      <c r="AM3459" s="156"/>
      <c r="AN3459" s="156"/>
      <c r="AO3459" s="156"/>
      <c r="AP3459" s="156"/>
      <c r="AQ3459" s="156"/>
      <c r="AR3459" s="156"/>
      <c r="AS3459" s="156"/>
      <c r="AT3459" s="156"/>
      <c r="AU3459" s="156"/>
      <c r="AV3459" s="156"/>
      <c r="AW3459" s="156"/>
      <c r="AX3459" s="156"/>
      <c r="AY3459" s="156"/>
      <c r="AZ3459" s="156"/>
      <c r="BA3459" s="156"/>
      <c r="BB3459" s="2828"/>
      <c r="BC3459" s="452"/>
      <c r="BD3459" s="2829"/>
      <c r="BE3459" s="2837"/>
      <c r="BF3459" s="156"/>
    </row>
    <row r="3460" spans="1:58" ht="15" customHeight="1" outlineLevel="1" x14ac:dyDescent="0.35">
      <c r="A3460" s="1071"/>
      <c r="B3460" s="2812"/>
      <c r="C3460" s="3077"/>
      <c r="D3460" s="3980"/>
      <c r="E3460" s="3883"/>
      <c r="F3460" s="3984" t="str">
        <f>$E$1872</f>
        <v>ASHP-SEER20_ER2_MF</v>
      </c>
      <c r="G3460" s="3984"/>
      <c r="H3460" s="3984"/>
      <c r="I3460" s="3984"/>
      <c r="J3460" s="3501" t="str">
        <f>$C$1872</f>
        <v>354700_2019_12_</v>
      </c>
      <c r="K3460" s="583">
        <v>20</v>
      </c>
      <c r="L3460" s="704"/>
      <c r="M3460" s="3041" t="s">
        <v>1514</v>
      </c>
      <c r="N3460" s="106"/>
      <c r="O3460" s="106"/>
      <c r="P3460" s="106"/>
      <c r="Q3460" s="106"/>
      <c r="R3460" s="106"/>
      <c r="S3460" s="106"/>
      <c r="T3460" s="106"/>
      <c r="U3460" s="106"/>
      <c r="V3460" s="3980"/>
      <c r="W3460" s="3421">
        <v>20</v>
      </c>
      <c r="X3460" s="3421">
        <v>20</v>
      </c>
      <c r="Y3460" s="3425">
        <v>20</v>
      </c>
      <c r="Z3460" s="3425">
        <v>20</v>
      </c>
      <c r="AA3460" s="3425">
        <v>20</v>
      </c>
      <c r="AB3460" s="3421">
        <v>20</v>
      </c>
      <c r="AC3460" s="2920">
        <v>20</v>
      </c>
      <c r="AD3460" s="583">
        <v>20</v>
      </c>
      <c r="AE3460" s="3429"/>
      <c r="AF3460" s="3421"/>
      <c r="AG3460" s="3421"/>
      <c r="AH3460" s="156"/>
      <c r="AI3460" s="156"/>
      <c r="AJ3460" s="156"/>
      <c r="AK3460" s="156"/>
      <c r="AL3460" s="156"/>
      <c r="AM3460" s="156"/>
      <c r="AN3460" s="156"/>
      <c r="AO3460" s="156"/>
      <c r="AP3460" s="156"/>
      <c r="AQ3460" s="156"/>
      <c r="AR3460" s="156"/>
      <c r="AS3460" s="156"/>
      <c r="AT3460" s="156"/>
      <c r="AU3460" s="156"/>
      <c r="AV3460" s="156"/>
      <c r="AW3460" s="156"/>
      <c r="AX3460" s="156"/>
      <c r="AY3460" s="156"/>
      <c r="AZ3460" s="156"/>
      <c r="BA3460" s="156"/>
      <c r="BB3460" s="2828"/>
      <c r="BC3460" s="452"/>
      <c r="BD3460" s="2829"/>
      <c r="BE3460" s="2837"/>
      <c r="BF3460" s="156"/>
    </row>
    <row r="3461" spans="1:58" ht="15" customHeight="1" outlineLevel="1" x14ac:dyDescent="0.35">
      <c r="A3461" s="1071"/>
      <c r="B3461" s="2812"/>
      <c r="C3461" s="3077"/>
      <c r="D3461" s="3980"/>
      <c r="E3461" s="3883"/>
      <c r="F3461" s="3984" t="str">
        <f>$E$1874</f>
        <v>ASHP-SEER20_ER1_MF_CompE</v>
      </c>
      <c r="G3461" s="3984"/>
      <c r="H3461" s="3984"/>
      <c r="I3461" s="3984"/>
      <c r="J3461" s="3501" t="str">
        <f>$C$1874</f>
        <v>354701_2019_12_</v>
      </c>
      <c r="K3461" s="583">
        <v>20</v>
      </c>
      <c r="L3461" s="704"/>
      <c r="M3461" s="3025" t="s">
        <v>1083</v>
      </c>
      <c r="N3461" s="106"/>
      <c r="O3461" s="106"/>
      <c r="P3461" s="106"/>
      <c r="Q3461" s="106"/>
      <c r="R3461" s="106"/>
      <c r="S3461" s="106"/>
      <c r="T3461" s="106"/>
      <c r="U3461" s="106"/>
      <c r="V3461" s="3980"/>
      <c r="W3461" s="3421"/>
      <c r="X3461" s="3421"/>
      <c r="Y3461" s="2377">
        <v>20</v>
      </c>
      <c r="Z3461" s="3425">
        <v>20</v>
      </c>
      <c r="AA3461" s="3425">
        <v>20</v>
      </c>
      <c r="AB3461" s="3421">
        <v>20</v>
      </c>
      <c r="AC3461" s="2920">
        <v>20</v>
      </c>
      <c r="AD3461" s="583">
        <v>20</v>
      </c>
      <c r="AE3461" s="3429"/>
      <c r="AF3461" s="3421"/>
      <c r="AG3461" s="3421"/>
      <c r="AH3461" s="156"/>
      <c r="AI3461" s="156"/>
      <c r="AJ3461" s="156"/>
      <c r="AK3461" s="156"/>
      <c r="AL3461" s="156"/>
      <c r="AM3461" s="156"/>
      <c r="AN3461" s="156"/>
      <c r="AO3461" s="156"/>
      <c r="AP3461" s="156"/>
      <c r="AQ3461" s="156"/>
      <c r="AR3461" s="156"/>
      <c r="AS3461" s="156"/>
      <c r="AT3461" s="156"/>
      <c r="AU3461" s="156"/>
      <c r="AV3461" s="156"/>
      <c r="AW3461" s="156"/>
      <c r="AX3461" s="156"/>
      <c r="AY3461" s="156"/>
      <c r="AZ3461" s="156"/>
      <c r="BA3461" s="156"/>
      <c r="BB3461" s="2828"/>
      <c r="BC3461" s="452"/>
      <c r="BD3461" s="2829"/>
      <c r="BE3461" s="2837"/>
      <c r="BF3461" s="156"/>
    </row>
    <row r="3462" spans="1:58" ht="15" customHeight="1" outlineLevel="1" x14ac:dyDescent="0.35">
      <c r="A3462" s="1071"/>
      <c r="B3462" s="2812"/>
      <c r="C3462" s="3077"/>
      <c r="D3462" s="3980"/>
      <c r="E3462" s="3883"/>
      <c r="F3462" s="3984" t="str">
        <f>$E$1876</f>
        <v>ASHP-SEER20_ER2_MF_CompE</v>
      </c>
      <c r="G3462" s="3984"/>
      <c r="H3462" s="3984"/>
      <c r="I3462" s="3984"/>
      <c r="J3462" s="3501" t="str">
        <f>$C$1876</f>
        <v>354701_2019_12_</v>
      </c>
      <c r="K3462" s="583">
        <v>20</v>
      </c>
      <c r="L3462" s="704"/>
      <c r="M3462" s="3025" t="s">
        <v>1083</v>
      </c>
      <c r="N3462" s="106"/>
      <c r="O3462" s="106"/>
      <c r="P3462" s="106"/>
      <c r="Q3462" s="106"/>
      <c r="R3462" s="106"/>
      <c r="S3462" s="106"/>
      <c r="T3462" s="106"/>
      <c r="U3462" s="106"/>
      <c r="V3462" s="3980"/>
      <c r="W3462" s="3421"/>
      <c r="X3462" s="3421"/>
      <c r="Y3462" s="2377">
        <v>20</v>
      </c>
      <c r="Z3462" s="3425">
        <v>20</v>
      </c>
      <c r="AA3462" s="3425">
        <v>20</v>
      </c>
      <c r="AB3462" s="3421">
        <v>20</v>
      </c>
      <c r="AC3462" s="2920">
        <v>20</v>
      </c>
      <c r="AD3462" s="583">
        <v>20</v>
      </c>
      <c r="AE3462" s="3429"/>
      <c r="AF3462" s="3421"/>
      <c r="AG3462" s="3421"/>
      <c r="AH3462" s="156"/>
      <c r="AI3462" s="156"/>
      <c r="AJ3462" s="156"/>
      <c r="AK3462" s="156"/>
      <c r="AL3462" s="156"/>
      <c r="AM3462" s="156"/>
      <c r="AN3462" s="156"/>
      <c r="AO3462" s="156"/>
      <c r="AP3462" s="156"/>
      <c r="AQ3462" s="156"/>
      <c r="AR3462" s="156"/>
      <c r="AS3462" s="156"/>
      <c r="AT3462" s="156"/>
      <c r="AU3462" s="156"/>
      <c r="AV3462" s="156"/>
      <c r="AW3462" s="156"/>
      <c r="AX3462" s="156"/>
      <c r="AY3462" s="156"/>
      <c r="AZ3462" s="156"/>
      <c r="BA3462" s="156"/>
      <c r="BB3462" s="2828"/>
      <c r="BC3462" s="452"/>
      <c r="BD3462" s="2829"/>
      <c r="BE3462" s="2837"/>
      <c r="BF3462" s="156"/>
    </row>
    <row r="3463" spans="1:58" ht="15" customHeight="1" outlineLevel="1" x14ac:dyDescent="0.35">
      <c r="A3463" s="1071"/>
      <c r="B3463" s="2812"/>
      <c r="C3463" s="3077"/>
      <c r="D3463" s="3980"/>
      <c r="E3463" s="3883"/>
      <c r="F3463" s="3984" t="str">
        <f>$E$1878</f>
        <v>ASHP-SEER21_ER1_SF</v>
      </c>
      <c r="G3463" s="3984"/>
      <c r="H3463" s="3984"/>
      <c r="I3463" s="3984"/>
      <c r="J3463" s="3501" t="str">
        <f>$C$1878</f>
        <v>354750_2021_12_</v>
      </c>
      <c r="K3463" s="3050">
        <v>21.551136363636363</v>
      </c>
      <c r="L3463" s="704"/>
      <c r="M3463" s="2819" t="s">
        <v>4360</v>
      </c>
      <c r="N3463" s="106"/>
      <c r="O3463" s="106"/>
      <c r="P3463" s="106"/>
      <c r="Q3463" s="106"/>
      <c r="R3463" s="106"/>
      <c r="S3463" s="106"/>
      <c r="T3463" s="106"/>
      <c r="U3463" s="106"/>
      <c r="V3463" s="3980"/>
      <c r="W3463" s="3421">
        <v>21</v>
      </c>
      <c r="X3463" s="3421">
        <v>21</v>
      </c>
      <c r="Y3463" s="3425">
        <v>21</v>
      </c>
      <c r="Z3463" s="3425">
        <v>21</v>
      </c>
      <c r="AA3463" s="3425">
        <v>21</v>
      </c>
      <c r="AB3463" s="3421">
        <v>21</v>
      </c>
      <c r="AC3463" s="2919">
        <v>21.846153846153847</v>
      </c>
      <c r="AD3463" s="3050">
        <v>21.551136363636363</v>
      </c>
      <c r="AE3463" s="3429"/>
      <c r="AF3463" s="3421"/>
      <c r="AG3463" s="3421"/>
      <c r="AH3463" s="156"/>
      <c r="AI3463" s="156"/>
      <c r="AJ3463" s="156"/>
      <c r="AK3463" s="156"/>
      <c r="AL3463" s="156"/>
      <c r="AM3463" s="156"/>
      <c r="AN3463" s="156"/>
      <c r="AO3463" s="156"/>
      <c r="AP3463" s="156"/>
      <c r="AQ3463" s="156"/>
      <c r="AR3463" s="156"/>
      <c r="AS3463" s="156"/>
      <c r="AT3463" s="156"/>
      <c r="AU3463" s="156"/>
      <c r="AV3463" s="156"/>
      <c r="AW3463" s="156"/>
      <c r="AX3463" s="156"/>
      <c r="AY3463" s="156"/>
      <c r="AZ3463" s="156"/>
      <c r="BA3463" s="156"/>
      <c r="BB3463" s="2828"/>
      <c r="BC3463" s="452"/>
      <c r="BD3463" s="2829"/>
      <c r="BE3463" s="2837"/>
      <c r="BF3463" s="156"/>
    </row>
    <row r="3464" spans="1:58" ht="15" customHeight="1" outlineLevel="1" x14ac:dyDescent="0.35">
      <c r="A3464" s="1071"/>
      <c r="B3464" s="2812"/>
      <c r="C3464" s="3077"/>
      <c r="D3464" s="3980"/>
      <c r="E3464" s="3883"/>
      <c r="F3464" s="3984" t="str">
        <f>$E$1880</f>
        <v>ASHP-SEER21_ER2_SF</v>
      </c>
      <c r="G3464" s="3984"/>
      <c r="H3464" s="3984"/>
      <c r="I3464" s="3984"/>
      <c r="J3464" s="3501" t="str">
        <f>$C$1880</f>
        <v>354750_2021_12_</v>
      </c>
      <c r="K3464" s="3050">
        <v>21.551136363636363</v>
      </c>
      <c r="L3464" s="704"/>
      <c r="M3464" s="2819" t="s">
        <v>4360</v>
      </c>
      <c r="N3464" s="106"/>
      <c r="O3464" s="106"/>
      <c r="P3464" s="106"/>
      <c r="Q3464" s="106"/>
      <c r="R3464" s="106"/>
      <c r="S3464" s="106"/>
      <c r="T3464" s="106"/>
      <c r="U3464" s="106"/>
      <c r="V3464" s="3980"/>
      <c r="W3464" s="3421">
        <v>21</v>
      </c>
      <c r="X3464" s="3421">
        <v>21</v>
      </c>
      <c r="Y3464" s="3425">
        <v>21</v>
      </c>
      <c r="Z3464" s="3425">
        <v>21</v>
      </c>
      <c r="AA3464" s="3425">
        <v>21</v>
      </c>
      <c r="AB3464" s="3421">
        <v>21</v>
      </c>
      <c r="AC3464" s="2919">
        <f>AC3463</f>
        <v>21.846153846153847</v>
      </c>
      <c r="AD3464" s="3050">
        <v>21.551136363636363</v>
      </c>
      <c r="AE3464" s="3429"/>
      <c r="AF3464" s="3421"/>
      <c r="AG3464" s="3421"/>
      <c r="AH3464" s="156"/>
      <c r="AI3464" s="156"/>
      <c r="AJ3464" s="156"/>
      <c r="AK3464" s="156"/>
      <c r="AL3464" s="156"/>
      <c r="AM3464" s="156"/>
      <c r="AN3464" s="156"/>
      <c r="AO3464" s="156"/>
      <c r="AP3464" s="156"/>
      <c r="AQ3464" s="156"/>
      <c r="AR3464" s="156"/>
      <c r="AS3464" s="156"/>
      <c r="AT3464" s="156"/>
      <c r="AU3464" s="156"/>
      <c r="AV3464" s="156"/>
      <c r="AW3464" s="156"/>
      <c r="AX3464" s="156"/>
      <c r="AY3464" s="156"/>
      <c r="AZ3464" s="156"/>
      <c r="BA3464" s="156"/>
      <c r="BB3464" s="2828"/>
      <c r="BC3464" s="452"/>
      <c r="BD3464" s="2829"/>
      <c r="BE3464" s="2837"/>
      <c r="BF3464" s="156"/>
    </row>
    <row r="3465" spans="1:58" ht="15" customHeight="1" outlineLevel="1" x14ac:dyDescent="0.35">
      <c r="A3465" s="1071"/>
      <c r="B3465" s="2812"/>
      <c r="C3465" s="3077"/>
      <c r="D3465" s="3980"/>
      <c r="E3465" s="3883"/>
      <c r="F3465" s="3984" t="str">
        <f>$E$1882</f>
        <v>ASHP-SEER21_ROF_SF</v>
      </c>
      <c r="G3465" s="3984"/>
      <c r="H3465" s="3984"/>
      <c r="I3465" s="3984"/>
      <c r="J3465" s="3501" t="str">
        <f>$C$1882</f>
        <v>354800_2021_12_</v>
      </c>
      <c r="K3465" s="3050">
        <v>21.59375</v>
      </c>
      <c r="L3465" s="704"/>
      <c r="M3465" s="2819" t="s">
        <v>4360</v>
      </c>
      <c r="N3465" s="106"/>
      <c r="O3465" s="106"/>
      <c r="P3465" s="106"/>
      <c r="Q3465" s="106"/>
      <c r="R3465" s="106"/>
      <c r="S3465" s="106"/>
      <c r="T3465" s="106"/>
      <c r="U3465" s="106"/>
      <c r="V3465" s="3980"/>
      <c r="W3465" s="3421">
        <v>21</v>
      </c>
      <c r="X3465" s="3421">
        <v>21</v>
      </c>
      <c r="Y3465" s="3425">
        <v>21</v>
      </c>
      <c r="Z3465" s="3425">
        <v>21</v>
      </c>
      <c r="AA3465" s="3425">
        <v>21</v>
      </c>
      <c r="AB3465" s="3421">
        <v>21</v>
      </c>
      <c r="AC3465" s="2919">
        <v>21.375</v>
      </c>
      <c r="AD3465" s="3050">
        <v>21.59375</v>
      </c>
      <c r="AE3465" s="3429"/>
      <c r="AF3465" s="3421"/>
      <c r="AG3465" s="3421"/>
      <c r="AH3465" s="156"/>
      <c r="AI3465" s="156"/>
      <c r="AJ3465" s="156"/>
      <c r="AK3465" s="156"/>
      <c r="AL3465" s="156"/>
      <c r="AM3465" s="156"/>
      <c r="AN3465" s="156"/>
      <c r="AO3465" s="156"/>
      <c r="AP3465" s="156"/>
      <c r="AQ3465" s="156"/>
      <c r="AR3465" s="156"/>
      <c r="AS3465" s="156"/>
      <c r="AT3465" s="156"/>
      <c r="AU3465" s="156"/>
      <c r="AV3465" s="156"/>
      <c r="AW3465" s="156"/>
      <c r="AX3465" s="156"/>
      <c r="AY3465" s="156"/>
      <c r="AZ3465" s="156"/>
      <c r="BA3465" s="156"/>
      <c r="BB3465" s="2828"/>
      <c r="BC3465" s="452"/>
      <c r="BD3465" s="2829"/>
      <c r="BE3465" s="2837"/>
      <c r="BF3465" s="156"/>
    </row>
    <row r="3466" spans="1:58" ht="15" customHeight="1" outlineLevel="1" x14ac:dyDescent="0.35">
      <c r="A3466" s="1071"/>
      <c r="B3466" s="2812"/>
      <c r="C3466" s="3077"/>
      <c r="D3466" s="3980"/>
      <c r="E3466" s="3883"/>
      <c r="F3466" s="3984" t="str">
        <f>$E$1884</f>
        <v>ASHP-SEER21-Replace_CAC_ElectricHeat_ROF_MF</v>
      </c>
      <c r="G3466" s="3984"/>
      <c r="H3466" s="3984"/>
      <c r="I3466" s="3984"/>
      <c r="J3466" s="3501" t="str">
        <f>$C$1884</f>
        <v>354850_2019_12_</v>
      </c>
      <c r="K3466" s="583">
        <v>21</v>
      </c>
      <c r="L3466" s="704"/>
      <c r="M3466" s="3041" t="s">
        <v>1514</v>
      </c>
      <c r="N3466" s="106"/>
      <c r="O3466" s="106"/>
      <c r="P3466" s="106"/>
      <c r="Q3466" s="106"/>
      <c r="R3466" s="106"/>
      <c r="S3466" s="106"/>
      <c r="T3466" s="106"/>
      <c r="U3466" s="106"/>
      <c r="V3466" s="3980"/>
      <c r="W3466" s="3421">
        <v>21</v>
      </c>
      <c r="X3466" s="3421">
        <v>21</v>
      </c>
      <c r="Y3466" s="3425">
        <v>21</v>
      </c>
      <c r="Z3466" s="3425">
        <v>21</v>
      </c>
      <c r="AA3466" s="3425">
        <v>21</v>
      </c>
      <c r="AB3466" s="3421">
        <v>21</v>
      </c>
      <c r="AC3466" s="2920">
        <v>21</v>
      </c>
      <c r="AD3466" s="583">
        <v>21</v>
      </c>
      <c r="AE3466" s="3429"/>
      <c r="AF3466" s="3421"/>
      <c r="AG3466" s="3421"/>
      <c r="AH3466" s="156"/>
      <c r="AI3466" s="156"/>
      <c r="AJ3466" s="156"/>
      <c r="AK3466" s="156"/>
      <c r="AL3466" s="156"/>
      <c r="AM3466" s="156"/>
      <c r="AN3466" s="156"/>
      <c r="AO3466" s="156"/>
      <c r="AP3466" s="156"/>
      <c r="AQ3466" s="156"/>
      <c r="AR3466" s="156"/>
      <c r="AS3466" s="156"/>
      <c r="AT3466" s="156"/>
      <c r="AU3466" s="156"/>
      <c r="AV3466" s="156"/>
      <c r="AW3466" s="156"/>
      <c r="AX3466" s="156"/>
      <c r="AY3466" s="156"/>
      <c r="AZ3466" s="156"/>
      <c r="BA3466" s="156"/>
      <c r="BB3466" s="2828"/>
      <c r="BC3466" s="452"/>
      <c r="BD3466" s="2829"/>
      <c r="BE3466" s="2837"/>
      <c r="BF3466" s="156"/>
    </row>
    <row r="3467" spans="1:58" ht="15" customHeight="1" outlineLevel="1" x14ac:dyDescent="0.35">
      <c r="A3467" s="1071"/>
      <c r="B3467" s="2812"/>
      <c r="C3467" s="3077"/>
      <c r="D3467" s="3980"/>
      <c r="E3467" s="3883"/>
      <c r="F3467" s="3984" t="str">
        <f>$E$1886</f>
        <v>ASHP-SEER21-Replace_CAC_ElectricHeat_ROF_MF_CompE</v>
      </c>
      <c r="G3467" s="3984"/>
      <c r="H3467" s="3984"/>
      <c r="I3467" s="3984"/>
      <c r="J3467" s="3501" t="str">
        <f>$C$1886</f>
        <v>354851_2019_12_</v>
      </c>
      <c r="K3467" s="583">
        <v>21</v>
      </c>
      <c r="L3467" s="704"/>
      <c r="M3467" s="3025" t="s">
        <v>1083</v>
      </c>
      <c r="N3467" s="106"/>
      <c r="O3467" s="106"/>
      <c r="P3467" s="106"/>
      <c r="Q3467" s="106"/>
      <c r="R3467" s="106"/>
      <c r="S3467" s="106"/>
      <c r="T3467" s="106"/>
      <c r="U3467" s="106"/>
      <c r="V3467" s="3980"/>
      <c r="W3467" s="3421"/>
      <c r="X3467" s="3421"/>
      <c r="Y3467" s="2377">
        <v>21</v>
      </c>
      <c r="Z3467" s="3425">
        <v>21</v>
      </c>
      <c r="AA3467" s="3425">
        <v>21</v>
      </c>
      <c r="AB3467" s="3421">
        <v>21</v>
      </c>
      <c r="AC3467" s="2920">
        <v>21</v>
      </c>
      <c r="AD3467" s="583">
        <v>21</v>
      </c>
      <c r="AE3467" s="3429"/>
      <c r="AF3467" s="3421"/>
      <c r="AG3467" s="3421"/>
      <c r="AH3467" s="156"/>
      <c r="AI3467" s="156"/>
      <c r="AJ3467" s="156"/>
      <c r="AK3467" s="156"/>
      <c r="AL3467" s="156"/>
      <c r="AM3467" s="156"/>
      <c r="AN3467" s="156"/>
      <c r="AO3467" s="156"/>
      <c r="AP3467" s="156"/>
      <c r="AQ3467" s="156"/>
      <c r="AR3467" s="156"/>
      <c r="AS3467" s="156"/>
      <c r="AT3467" s="156"/>
      <c r="AU3467" s="156"/>
      <c r="AV3467" s="156"/>
      <c r="AW3467" s="156"/>
      <c r="AX3467" s="156"/>
      <c r="AY3467" s="156"/>
      <c r="AZ3467" s="156"/>
      <c r="BA3467" s="156"/>
      <c r="BB3467" s="2828"/>
      <c r="BC3467" s="452"/>
      <c r="BD3467" s="2829"/>
      <c r="BE3467" s="2837"/>
      <c r="BF3467" s="156"/>
    </row>
    <row r="3468" spans="1:58" ht="15" customHeight="1" outlineLevel="1" x14ac:dyDescent="0.35">
      <c r="A3468" s="1071"/>
      <c r="B3468" s="2812"/>
      <c r="C3468" s="3077"/>
      <c r="D3468" s="3980"/>
      <c r="E3468" s="3883"/>
      <c r="F3468" s="3984" t="str">
        <f>$E$1888</f>
        <v>ASHP-SEER21-Replace_CAC_NonElectricHeat_ROF_MF</v>
      </c>
      <c r="G3468" s="3984"/>
      <c r="H3468" s="3984"/>
      <c r="I3468" s="3984"/>
      <c r="J3468" s="3501" t="str">
        <f>$C$1888</f>
        <v>354860_2021_12_</v>
      </c>
      <c r="K3468" s="583">
        <v>21</v>
      </c>
      <c r="L3468" s="704"/>
      <c r="M3468" s="3025" t="s">
        <v>1083</v>
      </c>
      <c r="N3468" s="106"/>
      <c r="O3468" s="106"/>
      <c r="P3468" s="106"/>
      <c r="Q3468" s="106"/>
      <c r="R3468" s="106"/>
      <c r="S3468" s="106"/>
      <c r="T3468" s="106"/>
      <c r="U3468" s="106"/>
      <c r="V3468" s="3980"/>
      <c r="W3468" s="3421"/>
      <c r="X3468" s="3421"/>
      <c r="Y3468" s="2377"/>
      <c r="Z3468" s="3425"/>
      <c r="AA3468" s="3425"/>
      <c r="AB3468" s="3421"/>
      <c r="AC3468" s="2919">
        <v>21</v>
      </c>
      <c r="AD3468" s="583">
        <v>21</v>
      </c>
      <c r="AE3468" s="3429"/>
      <c r="AF3468" s="3421"/>
      <c r="AG3468" s="3421"/>
      <c r="AH3468" s="156"/>
      <c r="AI3468" s="156"/>
      <c r="AJ3468" s="156"/>
      <c r="AK3468" s="156"/>
      <c r="AL3468" s="156"/>
      <c r="AM3468" s="156"/>
      <c r="AN3468" s="156"/>
      <c r="AO3468" s="156"/>
      <c r="AP3468" s="156"/>
      <c r="AQ3468" s="156"/>
      <c r="AR3468" s="156"/>
      <c r="AS3468" s="156"/>
      <c r="AT3468" s="156"/>
      <c r="AU3468" s="156"/>
      <c r="AV3468" s="156"/>
      <c r="AW3468" s="156"/>
      <c r="AX3468" s="156"/>
      <c r="AY3468" s="156"/>
      <c r="AZ3468" s="156"/>
      <c r="BA3468" s="156"/>
      <c r="BB3468" s="2828"/>
      <c r="BC3468" s="452"/>
      <c r="BD3468" s="2829"/>
      <c r="BE3468" s="2837"/>
      <c r="BF3468" s="156"/>
    </row>
    <row r="3469" spans="1:58" ht="15" customHeight="1" outlineLevel="1" x14ac:dyDescent="0.35">
      <c r="A3469" s="1071"/>
      <c r="B3469" s="2812"/>
      <c r="C3469" s="3077"/>
      <c r="D3469" s="3980"/>
      <c r="E3469" s="3883"/>
      <c r="F3469" s="3984" t="str">
        <f>$E$1890</f>
        <v>ASHP-SEER21-Replace_CAC_NonElectricHeat_ROF_MF_CompE</v>
      </c>
      <c r="G3469" s="3984"/>
      <c r="H3469" s="3984"/>
      <c r="I3469" s="3984"/>
      <c r="J3469" s="3501" t="str">
        <f>$C$1890</f>
        <v>354861_2021_12_</v>
      </c>
      <c r="K3469" s="583">
        <v>21</v>
      </c>
      <c r="L3469" s="704"/>
      <c r="M3469" s="3025" t="s">
        <v>1083</v>
      </c>
      <c r="N3469" s="106"/>
      <c r="O3469" s="106"/>
      <c r="P3469" s="106"/>
      <c r="Q3469" s="106"/>
      <c r="R3469" s="106"/>
      <c r="S3469" s="106"/>
      <c r="T3469" s="106"/>
      <c r="U3469" s="106"/>
      <c r="V3469" s="3980"/>
      <c r="W3469" s="3421"/>
      <c r="X3469" s="3421"/>
      <c r="Y3469" s="2377"/>
      <c r="Z3469" s="3425"/>
      <c r="AA3469" s="3425"/>
      <c r="AB3469" s="3421"/>
      <c r="AC3469" s="2919">
        <v>21</v>
      </c>
      <c r="AD3469" s="583">
        <v>21</v>
      </c>
      <c r="AE3469" s="3429"/>
      <c r="AF3469" s="3421"/>
      <c r="AG3469" s="3421"/>
      <c r="AH3469" s="156"/>
      <c r="AI3469" s="156"/>
      <c r="AJ3469" s="156"/>
      <c r="AK3469" s="156"/>
      <c r="AL3469" s="156"/>
      <c r="AM3469" s="156"/>
      <c r="AN3469" s="156"/>
      <c r="AO3469" s="156"/>
      <c r="AP3469" s="156"/>
      <c r="AQ3469" s="156"/>
      <c r="AR3469" s="156"/>
      <c r="AS3469" s="156"/>
      <c r="AT3469" s="156"/>
      <c r="AU3469" s="156"/>
      <c r="AV3469" s="156"/>
      <c r="AW3469" s="156"/>
      <c r="AX3469" s="156"/>
      <c r="AY3469" s="156"/>
      <c r="AZ3469" s="156"/>
      <c r="BA3469" s="156"/>
      <c r="BB3469" s="2828"/>
      <c r="BC3469" s="452"/>
      <c r="BD3469" s="2829"/>
      <c r="BE3469" s="2837"/>
      <c r="BF3469" s="156"/>
    </row>
    <row r="3470" spans="1:58" ht="15" customHeight="1" outlineLevel="1" x14ac:dyDescent="0.35">
      <c r="A3470" s="1071"/>
      <c r="B3470" s="2812"/>
      <c r="C3470" s="3077"/>
      <c r="D3470" s="3980"/>
      <c r="E3470" s="3883"/>
      <c r="F3470" s="3984" t="str">
        <f>$E$1892</f>
        <v>ASHP-SEER21_ER1_MF</v>
      </c>
      <c r="G3470" s="3984"/>
      <c r="H3470" s="3984"/>
      <c r="I3470" s="3984"/>
      <c r="J3470" s="3501" t="str">
        <f>$C$1892</f>
        <v>354900_2019_12_</v>
      </c>
      <c r="K3470" s="583">
        <v>21</v>
      </c>
      <c r="L3470" s="704"/>
      <c r="M3470" s="3041" t="s">
        <v>1514</v>
      </c>
      <c r="N3470" s="106"/>
      <c r="O3470" s="106"/>
      <c r="P3470" s="106"/>
      <c r="Q3470" s="106"/>
      <c r="R3470" s="106"/>
      <c r="S3470" s="106"/>
      <c r="T3470" s="106"/>
      <c r="U3470" s="106"/>
      <c r="V3470" s="3980"/>
      <c r="W3470" s="3421">
        <v>21</v>
      </c>
      <c r="X3470" s="3421">
        <v>21</v>
      </c>
      <c r="Y3470" s="3425">
        <v>21</v>
      </c>
      <c r="Z3470" s="3425">
        <v>21</v>
      </c>
      <c r="AA3470" s="3425">
        <v>21</v>
      </c>
      <c r="AB3470" s="3421">
        <v>21</v>
      </c>
      <c r="AC3470" s="2920">
        <v>21</v>
      </c>
      <c r="AD3470" s="583">
        <v>21</v>
      </c>
      <c r="AE3470" s="3429"/>
      <c r="AF3470" s="3421"/>
      <c r="AG3470" s="3421"/>
      <c r="AH3470" s="156"/>
      <c r="AI3470" s="156"/>
      <c r="AJ3470" s="156"/>
      <c r="AK3470" s="156"/>
      <c r="AL3470" s="156"/>
      <c r="AM3470" s="156"/>
      <c r="AN3470" s="156"/>
      <c r="AO3470" s="156"/>
      <c r="AP3470" s="156"/>
      <c r="AQ3470" s="156"/>
      <c r="AR3470" s="156"/>
      <c r="AS3470" s="156"/>
      <c r="AT3470" s="156"/>
      <c r="AU3470" s="156"/>
      <c r="AV3470" s="156"/>
      <c r="AW3470" s="156"/>
      <c r="AX3470" s="156"/>
      <c r="AY3470" s="156"/>
      <c r="AZ3470" s="156"/>
      <c r="BA3470" s="156"/>
      <c r="BB3470" s="2828"/>
      <c r="BC3470" s="452"/>
      <c r="BD3470" s="2829"/>
      <c r="BE3470" s="2837"/>
      <c r="BF3470" s="156"/>
    </row>
    <row r="3471" spans="1:58" ht="15" customHeight="1" outlineLevel="1" x14ac:dyDescent="0.35">
      <c r="A3471" s="1071"/>
      <c r="B3471" s="2812"/>
      <c r="C3471" s="3077"/>
      <c r="D3471" s="3980"/>
      <c r="E3471" s="3883"/>
      <c r="F3471" s="3984" t="str">
        <f>$E$1894</f>
        <v>ASHP-SEER21_ER2_MF</v>
      </c>
      <c r="G3471" s="3984"/>
      <c r="H3471" s="3984"/>
      <c r="I3471" s="3984"/>
      <c r="J3471" s="3501" t="str">
        <f>$C$1894</f>
        <v>354900_2019_12_</v>
      </c>
      <c r="K3471" s="583">
        <v>21</v>
      </c>
      <c r="L3471" s="704"/>
      <c r="M3471" s="3041" t="s">
        <v>1514</v>
      </c>
      <c r="N3471" s="106"/>
      <c r="O3471" s="106"/>
      <c r="P3471" s="106"/>
      <c r="Q3471" s="106"/>
      <c r="R3471" s="106"/>
      <c r="S3471" s="106"/>
      <c r="T3471" s="106"/>
      <c r="U3471" s="106"/>
      <c r="V3471" s="3980"/>
      <c r="W3471" s="3421">
        <v>21</v>
      </c>
      <c r="X3471" s="3421">
        <v>21</v>
      </c>
      <c r="Y3471" s="3425">
        <v>21</v>
      </c>
      <c r="Z3471" s="3425">
        <v>21</v>
      </c>
      <c r="AA3471" s="3425">
        <v>21</v>
      </c>
      <c r="AB3471" s="3421">
        <v>21</v>
      </c>
      <c r="AC3471" s="2920">
        <v>21</v>
      </c>
      <c r="AD3471" s="583">
        <v>21</v>
      </c>
      <c r="AE3471" s="3429"/>
      <c r="AF3471" s="3421"/>
      <c r="AG3471" s="3421"/>
      <c r="AH3471" s="156"/>
      <c r="AI3471" s="156"/>
      <c r="AJ3471" s="156"/>
      <c r="AK3471" s="156"/>
      <c r="AL3471" s="156"/>
      <c r="AM3471" s="156"/>
      <c r="AN3471" s="156"/>
      <c r="AO3471" s="156"/>
      <c r="AP3471" s="156"/>
      <c r="AQ3471" s="156"/>
      <c r="AR3471" s="156"/>
      <c r="AS3471" s="156"/>
      <c r="AT3471" s="156"/>
      <c r="AU3471" s="156"/>
      <c r="AV3471" s="156"/>
      <c r="AW3471" s="156"/>
      <c r="AX3471" s="156"/>
      <c r="AY3471" s="156"/>
      <c r="AZ3471" s="156"/>
      <c r="BA3471" s="156"/>
      <c r="BB3471" s="2828"/>
      <c r="BC3471" s="452"/>
      <c r="BD3471" s="2829"/>
      <c r="BE3471" s="2837"/>
      <c r="BF3471" s="156"/>
    </row>
    <row r="3472" spans="1:58" ht="15" customHeight="1" outlineLevel="1" x14ac:dyDescent="0.35">
      <c r="A3472" s="1071"/>
      <c r="B3472" s="2812"/>
      <c r="C3472" s="3077"/>
      <c r="D3472" s="3980"/>
      <c r="E3472" s="3883"/>
      <c r="F3472" s="3984" t="str">
        <f>$E$1896</f>
        <v>ASHP-SEER21_ER1_MF_CompE</v>
      </c>
      <c r="G3472" s="3984"/>
      <c r="H3472" s="3984"/>
      <c r="I3472" s="3984"/>
      <c r="J3472" s="3501" t="str">
        <f>$C$1896</f>
        <v>354901_2019_12_</v>
      </c>
      <c r="K3472" s="583">
        <v>21</v>
      </c>
      <c r="L3472" s="704"/>
      <c r="M3472" s="3025" t="s">
        <v>1083</v>
      </c>
      <c r="N3472" s="106"/>
      <c r="O3472" s="106"/>
      <c r="P3472" s="106"/>
      <c r="Q3472" s="106"/>
      <c r="R3472" s="106"/>
      <c r="S3472" s="106"/>
      <c r="T3472" s="106"/>
      <c r="U3472" s="106"/>
      <c r="V3472" s="3980"/>
      <c r="W3472" s="3421"/>
      <c r="X3472" s="3421"/>
      <c r="Y3472" s="2377">
        <v>21</v>
      </c>
      <c r="Z3472" s="3425">
        <v>21</v>
      </c>
      <c r="AA3472" s="3425">
        <v>21</v>
      </c>
      <c r="AB3472" s="3421">
        <v>21</v>
      </c>
      <c r="AC3472" s="2920">
        <v>21</v>
      </c>
      <c r="AD3472" s="583">
        <v>21</v>
      </c>
      <c r="AE3472" s="3429"/>
      <c r="AF3472" s="3421"/>
      <c r="AG3472" s="3421"/>
      <c r="AH3472" s="156"/>
      <c r="AI3472" s="156"/>
      <c r="AJ3472" s="156"/>
      <c r="AK3472" s="156"/>
      <c r="AL3472" s="156"/>
      <c r="AM3472" s="156"/>
      <c r="AN3472" s="156"/>
      <c r="AO3472" s="156"/>
      <c r="AP3472" s="156"/>
      <c r="AQ3472" s="156"/>
      <c r="AR3472" s="156"/>
      <c r="AS3472" s="156"/>
      <c r="AT3472" s="156"/>
      <c r="AU3472" s="156"/>
      <c r="AV3472" s="156"/>
      <c r="AW3472" s="156"/>
      <c r="AX3472" s="156"/>
      <c r="AY3472" s="156"/>
      <c r="AZ3472" s="156"/>
      <c r="BA3472" s="156"/>
      <c r="BB3472" s="2828"/>
      <c r="BC3472" s="452"/>
      <c r="BD3472" s="2829"/>
      <c r="BE3472" s="2837"/>
      <c r="BF3472" s="156"/>
    </row>
    <row r="3473" spans="1:58" ht="15" customHeight="1" outlineLevel="1" x14ac:dyDescent="0.35">
      <c r="A3473" s="1071"/>
      <c r="B3473" s="2812"/>
      <c r="C3473" s="3077"/>
      <c r="D3473" s="3980"/>
      <c r="E3473" s="3883"/>
      <c r="F3473" s="3984" t="str">
        <f>$E$1898</f>
        <v>ASHP-SEER21_ER2_MF_CompE</v>
      </c>
      <c r="G3473" s="3984"/>
      <c r="H3473" s="3984"/>
      <c r="I3473" s="3984"/>
      <c r="J3473" s="3501" t="str">
        <f>$C$1898</f>
        <v>354901_2019_12_</v>
      </c>
      <c r="K3473" s="583">
        <v>21</v>
      </c>
      <c r="L3473" s="704"/>
      <c r="M3473" s="3025" t="s">
        <v>1083</v>
      </c>
      <c r="N3473" s="106"/>
      <c r="O3473" s="106"/>
      <c r="P3473" s="106"/>
      <c r="Q3473" s="106"/>
      <c r="R3473" s="106"/>
      <c r="S3473" s="106"/>
      <c r="T3473" s="106"/>
      <c r="U3473" s="106"/>
      <c r="V3473" s="3980"/>
      <c r="W3473" s="3421"/>
      <c r="X3473" s="3421"/>
      <c r="Y3473" s="2377">
        <v>21</v>
      </c>
      <c r="Z3473" s="3425">
        <v>21</v>
      </c>
      <c r="AA3473" s="3425">
        <v>21</v>
      </c>
      <c r="AB3473" s="3421">
        <v>21</v>
      </c>
      <c r="AC3473" s="2920">
        <v>21</v>
      </c>
      <c r="AD3473" s="583">
        <v>21</v>
      </c>
      <c r="AE3473" s="3429"/>
      <c r="AF3473" s="3421"/>
      <c r="AG3473" s="3421"/>
      <c r="AH3473" s="156"/>
      <c r="AI3473" s="156"/>
      <c r="AJ3473" s="156"/>
      <c r="AK3473" s="156"/>
      <c r="AL3473" s="156"/>
      <c r="AM3473" s="156"/>
      <c r="AN3473" s="156"/>
      <c r="AO3473" s="156"/>
      <c r="AP3473" s="156"/>
      <c r="AQ3473" s="156"/>
      <c r="AR3473" s="156"/>
      <c r="AS3473" s="156"/>
      <c r="AT3473" s="156"/>
      <c r="AU3473" s="156"/>
      <c r="AV3473" s="156"/>
      <c r="AW3473" s="156"/>
      <c r="AX3473" s="156"/>
      <c r="AY3473" s="156"/>
      <c r="AZ3473" s="156"/>
      <c r="BA3473" s="156"/>
      <c r="BB3473" s="2828"/>
      <c r="BC3473" s="452"/>
      <c r="BD3473" s="2829"/>
      <c r="BE3473" s="2837"/>
      <c r="BF3473" s="156"/>
    </row>
    <row r="3474" spans="1:58" ht="15" customHeight="1" outlineLevel="1" x14ac:dyDescent="0.35">
      <c r="A3474" s="1664"/>
      <c r="B3474" s="2812"/>
      <c r="C3474" s="3077"/>
      <c r="D3474" s="3980"/>
      <c r="E3474" s="3883"/>
      <c r="F3474" s="3984" t="str">
        <f>$E$1900</f>
        <v>ASHP-SEER17_ROF_MF</v>
      </c>
      <c r="G3474" s="3984"/>
      <c r="H3474" s="3984"/>
      <c r="I3474" s="3984"/>
      <c r="J3474" s="3501" t="str">
        <f>$C$1900</f>
        <v>354950_2019_12_</v>
      </c>
      <c r="K3474" s="583">
        <v>17</v>
      </c>
      <c r="L3474" s="704"/>
      <c r="M3474" s="3041" t="s">
        <v>1514</v>
      </c>
      <c r="N3474" s="106"/>
      <c r="O3474" s="106"/>
      <c r="P3474" s="702"/>
      <c r="Q3474" s="574"/>
      <c r="R3474" s="702"/>
      <c r="S3474" s="106"/>
      <c r="T3474" s="486"/>
      <c r="U3474" s="106"/>
      <c r="V3474" s="3980"/>
      <c r="W3474" s="3421">
        <v>17</v>
      </c>
      <c r="X3474" s="3421">
        <v>17</v>
      </c>
      <c r="Y3474" s="3425">
        <v>17</v>
      </c>
      <c r="Z3474" s="3425">
        <v>17</v>
      </c>
      <c r="AA3474" s="3425">
        <v>17</v>
      </c>
      <c r="AB3474" s="3421">
        <v>17</v>
      </c>
      <c r="AC3474" s="2920">
        <v>17</v>
      </c>
      <c r="AD3474" s="583">
        <v>17</v>
      </c>
      <c r="AE3474" s="3429"/>
      <c r="AF3474" s="3421"/>
      <c r="AG3474" s="3421"/>
      <c r="AH3474" s="156"/>
      <c r="AI3474" s="156"/>
      <c r="AJ3474" s="156"/>
      <c r="AK3474" s="156"/>
      <c r="AL3474" s="156"/>
      <c r="AM3474" s="156"/>
      <c r="AN3474" s="156"/>
      <c r="AO3474" s="156"/>
      <c r="AP3474" s="156"/>
      <c r="AQ3474" s="156"/>
      <c r="AR3474" s="156"/>
      <c r="AS3474" s="156"/>
      <c r="AT3474" s="156"/>
      <c r="AU3474" s="156"/>
      <c r="AV3474" s="156"/>
      <c r="AW3474" s="156"/>
      <c r="AX3474" s="156"/>
      <c r="AY3474" s="156"/>
      <c r="AZ3474" s="156"/>
      <c r="BA3474" s="156"/>
      <c r="BB3474" s="2828"/>
      <c r="BC3474" s="452"/>
      <c r="BD3474" s="2829"/>
      <c r="BE3474" s="2837"/>
      <c r="BF3474" s="156"/>
    </row>
    <row r="3475" spans="1:58" ht="15" customHeight="1" outlineLevel="1" x14ac:dyDescent="0.35">
      <c r="A3475" s="1664"/>
      <c r="B3475" s="2812"/>
      <c r="C3475" s="3077"/>
      <c r="D3475" s="3980"/>
      <c r="E3475" s="3883"/>
      <c r="F3475" s="3984" t="str">
        <f>$E$1902</f>
        <v>ASHP-SEER17_ROF_MF_CompE</v>
      </c>
      <c r="G3475" s="3984"/>
      <c r="H3475" s="3984"/>
      <c r="I3475" s="3984"/>
      <c r="J3475" s="3501" t="str">
        <f>$C$1902</f>
        <v>354951_2019_12_</v>
      </c>
      <c r="K3475" s="583">
        <v>17</v>
      </c>
      <c r="L3475" s="704"/>
      <c r="M3475" s="3025" t="s">
        <v>1083</v>
      </c>
      <c r="N3475" s="106"/>
      <c r="O3475" s="106"/>
      <c r="P3475" s="702"/>
      <c r="Q3475" s="574"/>
      <c r="R3475" s="702"/>
      <c r="S3475" s="106"/>
      <c r="T3475" s="486"/>
      <c r="U3475" s="106"/>
      <c r="V3475" s="3980"/>
      <c r="W3475" s="3421"/>
      <c r="X3475" s="3421"/>
      <c r="Y3475" s="2377">
        <v>17</v>
      </c>
      <c r="Z3475" s="3425">
        <v>17</v>
      </c>
      <c r="AA3475" s="3425">
        <v>17</v>
      </c>
      <c r="AB3475" s="3421">
        <v>17</v>
      </c>
      <c r="AC3475" s="2920">
        <v>17</v>
      </c>
      <c r="AD3475" s="583">
        <v>17</v>
      </c>
      <c r="AE3475" s="3429"/>
      <c r="AF3475" s="3421"/>
      <c r="AG3475" s="3421"/>
      <c r="AH3475" s="156"/>
      <c r="AI3475" s="156"/>
      <c r="AJ3475" s="156"/>
      <c r="AK3475" s="156"/>
      <c r="AL3475" s="156"/>
      <c r="AM3475" s="156"/>
      <c r="AN3475" s="156"/>
      <c r="AO3475" s="156"/>
      <c r="AP3475" s="156"/>
      <c r="AQ3475" s="156"/>
      <c r="AR3475" s="156"/>
      <c r="AS3475" s="156"/>
      <c r="AT3475" s="156"/>
      <c r="AU3475" s="156"/>
      <c r="AV3475" s="156"/>
      <c r="AW3475" s="156"/>
      <c r="AX3475" s="156"/>
      <c r="AY3475" s="156"/>
      <c r="AZ3475" s="156"/>
      <c r="BA3475" s="156"/>
      <c r="BB3475" s="2828"/>
      <c r="BC3475" s="452"/>
      <c r="BD3475" s="2829"/>
      <c r="BE3475" s="2837"/>
      <c r="BF3475" s="156"/>
    </row>
    <row r="3476" spans="1:58" ht="15" customHeight="1" outlineLevel="1" x14ac:dyDescent="0.35">
      <c r="A3476" s="1664"/>
      <c r="B3476" s="2812"/>
      <c r="C3476" s="3077"/>
      <c r="D3476" s="3980"/>
      <c r="E3476" s="3883"/>
      <c r="F3476" s="3984" t="str">
        <f>$E$1904</f>
        <v>ASHP-SEER18_ROF_MF</v>
      </c>
      <c r="G3476" s="3984"/>
      <c r="H3476" s="3984"/>
      <c r="I3476" s="3984"/>
      <c r="J3476" s="3501" t="str">
        <f>$C$1904</f>
        <v>355000_2019_12_</v>
      </c>
      <c r="K3476" s="583">
        <v>18</v>
      </c>
      <c r="L3476" s="704"/>
      <c r="M3476" s="3041" t="s">
        <v>1514</v>
      </c>
      <c r="N3476" s="106"/>
      <c r="O3476" s="106"/>
      <c r="P3476" s="702"/>
      <c r="Q3476" s="574"/>
      <c r="R3476" s="702"/>
      <c r="S3476" s="106"/>
      <c r="T3476" s="486"/>
      <c r="U3476" s="106"/>
      <c r="V3476" s="3980"/>
      <c r="W3476" s="3421">
        <v>18</v>
      </c>
      <c r="X3476" s="3421">
        <v>18</v>
      </c>
      <c r="Y3476" s="3425">
        <v>18</v>
      </c>
      <c r="Z3476" s="3425">
        <v>18</v>
      </c>
      <c r="AA3476" s="3425">
        <v>18</v>
      </c>
      <c r="AB3476" s="3421">
        <v>18</v>
      </c>
      <c r="AC3476" s="2920">
        <v>18</v>
      </c>
      <c r="AD3476" s="583">
        <v>18</v>
      </c>
      <c r="AE3476" s="3429"/>
      <c r="AF3476" s="3421"/>
      <c r="AG3476" s="3421"/>
      <c r="AH3476" s="156"/>
      <c r="AI3476" s="156"/>
      <c r="AJ3476" s="156"/>
      <c r="AK3476" s="156"/>
      <c r="AL3476" s="156"/>
      <c r="AM3476" s="156"/>
      <c r="AN3476" s="156"/>
      <c r="AO3476" s="156"/>
      <c r="AP3476" s="156"/>
      <c r="AQ3476" s="156"/>
      <c r="AR3476" s="156"/>
      <c r="AS3476" s="156"/>
      <c r="AT3476" s="156"/>
      <c r="AU3476" s="156"/>
      <c r="AV3476" s="156"/>
      <c r="AW3476" s="156"/>
      <c r="AX3476" s="156"/>
      <c r="AY3476" s="156"/>
      <c r="AZ3476" s="156"/>
      <c r="BA3476" s="156"/>
      <c r="BB3476" s="2828"/>
      <c r="BC3476" s="452"/>
      <c r="BD3476" s="2829"/>
      <c r="BE3476" s="2837"/>
      <c r="BF3476" s="156"/>
    </row>
    <row r="3477" spans="1:58" ht="15" customHeight="1" outlineLevel="1" x14ac:dyDescent="0.35">
      <c r="A3477" s="1664"/>
      <c r="B3477" s="2812"/>
      <c r="C3477" s="3077"/>
      <c r="D3477" s="3980"/>
      <c r="E3477" s="3883"/>
      <c r="F3477" s="3984" t="str">
        <f>$E$1906</f>
        <v>ASHP-SEER18_ROF_MF_CompE</v>
      </c>
      <c r="G3477" s="3984"/>
      <c r="H3477" s="3984"/>
      <c r="I3477" s="3984"/>
      <c r="J3477" s="3501" t="str">
        <f>$C$1906</f>
        <v>355001_2021_12_</v>
      </c>
      <c r="K3477" s="583">
        <v>18</v>
      </c>
      <c r="L3477" s="704"/>
      <c r="M3477" s="3025" t="s">
        <v>1083</v>
      </c>
      <c r="N3477" s="106"/>
      <c r="O3477" s="106"/>
      <c r="P3477" s="702"/>
      <c r="Q3477" s="574"/>
      <c r="R3477" s="702"/>
      <c r="S3477" s="106"/>
      <c r="T3477" s="486"/>
      <c r="U3477" s="106"/>
      <c r="V3477" s="3980"/>
      <c r="W3477" s="3421"/>
      <c r="X3477" s="3421"/>
      <c r="Y3477" s="2377">
        <v>18</v>
      </c>
      <c r="Z3477" s="3425">
        <v>18</v>
      </c>
      <c r="AA3477" s="3425">
        <v>18</v>
      </c>
      <c r="AB3477" s="3421">
        <v>18</v>
      </c>
      <c r="AC3477" s="2920">
        <v>18</v>
      </c>
      <c r="AD3477" s="583">
        <v>18</v>
      </c>
      <c r="AE3477" s="3429"/>
      <c r="AF3477" s="3421"/>
      <c r="AG3477" s="3421"/>
      <c r="AH3477" s="156"/>
      <c r="AI3477" s="156"/>
      <c r="AJ3477" s="156"/>
      <c r="AK3477" s="156"/>
      <c r="AL3477" s="156"/>
      <c r="AM3477" s="156"/>
      <c r="AN3477" s="156"/>
      <c r="AO3477" s="156"/>
      <c r="AP3477" s="156"/>
      <c r="AQ3477" s="156"/>
      <c r="AR3477" s="156"/>
      <c r="AS3477" s="156"/>
      <c r="AT3477" s="156"/>
      <c r="AU3477" s="156"/>
      <c r="AV3477" s="156"/>
      <c r="AW3477" s="156"/>
      <c r="AX3477" s="156"/>
      <c r="AY3477" s="156"/>
      <c r="AZ3477" s="156"/>
      <c r="BA3477" s="156"/>
      <c r="BB3477" s="2828"/>
      <c r="BC3477" s="452"/>
      <c r="BD3477" s="2829"/>
      <c r="BE3477" s="2837"/>
      <c r="BF3477" s="156"/>
    </row>
    <row r="3478" spans="1:58" ht="15" customHeight="1" outlineLevel="1" x14ac:dyDescent="0.35">
      <c r="A3478" s="1071"/>
      <c r="B3478" s="2812"/>
      <c r="C3478" s="3077"/>
      <c r="D3478" s="3980"/>
      <c r="E3478" s="3883"/>
      <c r="F3478" s="3984" t="str">
        <f>$E$1908</f>
        <v>ASHP-SEER19_ROF_MF</v>
      </c>
      <c r="G3478" s="3984"/>
      <c r="H3478" s="3984"/>
      <c r="I3478" s="3984"/>
      <c r="J3478" s="3501" t="str">
        <f>$C$1908</f>
        <v>355050_2019_12_</v>
      </c>
      <c r="K3478" s="583">
        <v>19</v>
      </c>
      <c r="L3478" s="704"/>
      <c r="M3478" s="3041" t="s">
        <v>1514</v>
      </c>
      <c r="N3478" s="106"/>
      <c r="O3478" s="106"/>
      <c r="P3478" s="106"/>
      <c r="Q3478" s="106"/>
      <c r="R3478" s="106"/>
      <c r="S3478" s="106"/>
      <c r="T3478" s="106"/>
      <c r="U3478" s="106"/>
      <c r="V3478" s="3980"/>
      <c r="W3478" s="3421">
        <v>19</v>
      </c>
      <c r="X3478" s="3421">
        <v>19</v>
      </c>
      <c r="Y3478" s="3425">
        <v>19</v>
      </c>
      <c r="Z3478" s="3425">
        <v>19</v>
      </c>
      <c r="AA3478" s="3425">
        <v>19</v>
      </c>
      <c r="AB3478" s="3421">
        <v>19</v>
      </c>
      <c r="AC3478" s="2920">
        <v>19</v>
      </c>
      <c r="AD3478" s="583">
        <v>19</v>
      </c>
      <c r="AE3478" s="3429"/>
      <c r="AF3478" s="3421"/>
      <c r="AG3478" s="3421"/>
      <c r="AH3478" s="156"/>
      <c r="AI3478" s="156"/>
      <c r="AJ3478" s="156"/>
      <c r="AK3478" s="156"/>
      <c r="AL3478" s="156"/>
      <c r="AM3478" s="156"/>
      <c r="AN3478" s="156"/>
      <c r="AO3478" s="156"/>
      <c r="AP3478" s="156"/>
      <c r="AQ3478" s="156"/>
      <c r="AR3478" s="156"/>
      <c r="AS3478" s="156"/>
      <c r="AT3478" s="156"/>
      <c r="AU3478" s="156"/>
      <c r="AV3478" s="156"/>
      <c r="AW3478" s="156"/>
      <c r="AX3478" s="156"/>
      <c r="AY3478" s="156"/>
      <c r="AZ3478" s="156"/>
      <c r="BA3478" s="156"/>
      <c r="BB3478" s="2828"/>
      <c r="BC3478" s="452"/>
      <c r="BD3478" s="2829"/>
      <c r="BE3478" s="2837"/>
      <c r="BF3478" s="156"/>
    </row>
    <row r="3479" spans="1:58" ht="15" customHeight="1" outlineLevel="1" x14ac:dyDescent="0.35">
      <c r="A3479" s="1071"/>
      <c r="B3479" s="2812"/>
      <c r="C3479" s="3077"/>
      <c r="D3479" s="3980"/>
      <c r="E3479" s="3883"/>
      <c r="F3479" s="3984" t="str">
        <f>$E$1910</f>
        <v>ASHP-SEER19_ROF_MF_CompE</v>
      </c>
      <c r="G3479" s="3984"/>
      <c r="H3479" s="3984"/>
      <c r="I3479" s="3984"/>
      <c r="J3479" s="3501" t="str">
        <f>$C$1910</f>
        <v>355051_2019_12_</v>
      </c>
      <c r="K3479" s="583">
        <v>19</v>
      </c>
      <c r="L3479" s="704"/>
      <c r="M3479" s="3025" t="s">
        <v>1083</v>
      </c>
      <c r="N3479" s="106"/>
      <c r="O3479" s="106"/>
      <c r="P3479" s="106"/>
      <c r="Q3479" s="106"/>
      <c r="R3479" s="106"/>
      <c r="S3479" s="106"/>
      <c r="T3479" s="106"/>
      <c r="U3479" s="106"/>
      <c r="V3479" s="3980"/>
      <c r="W3479" s="3421"/>
      <c r="X3479" s="3421"/>
      <c r="Y3479" s="2377">
        <v>19</v>
      </c>
      <c r="Z3479" s="3425">
        <v>19</v>
      </c>
      <c r="AA3479" s="3425">
        <v>19</v>
      </c>
      <c r="AB3479" s="3421">
        <v>19</v>
      </c>
      <c r="AC3479" s="2920">
        <v>19</v>
      </c>
      <c r="AD3479" s="583">
        <v>19</v>
      </c>
      <c r="AE3479" s="3429"/>
      <c r="AF3479" s="3421"/>
      <c r="AG3479" s="3421"/>
      <c r="AH3479" s="156"/>
      <c r="AI3479" s="156"/>
      <c r="AJ3479" s="156"/>
      <c r="AK3479" s="156"/>
      <c r="AL3479" s="156"/>
      <c r="AM3479" s="156"/>
      <c r="AN3479" s="156"/>
      <c r="AO3479" s="156"/>
      <c r="AP3479" s="156"/>
      <c r="AQ3479" s="156"/>
      <c r="AR3479" s="156"/>
      <c r="AS3479" s="156"/>
      <c r="AT3479" s="156"/>
      <c r="AU3479" s="156"/>
      <c r="AV3479" s="156"/>
      <c r="AW3479" s="156"/>
      <c r="AX3479" s="156"/>
      <c r="AY3479" s="156"/>
      <c r="AZ3479" s="156"/>
      <c r="BA3479" s="156"/>
      <c r="BB3479" s="2828"/>
      <c r="BC3479" s="452"/>
      <c r="BD3479" s="2829"/>
      <c r="BE3479" s="2837"/>
      <c r="BF3479" s="156"/>
    </row>
    <row r="3480" spans="1:58" ht="15" customHeight="1" outlineLevel="1" x14ac:dyDescent="0.35">
      <c r="A3480" s="1071"/>
      <c r="B3480" s="2812"/>
      <c r="C3480" s="3077"/>
      <c r="D3480" s="3980"/>
      <c r="E3480" s="3883"/>
      <c r="F3480" s="3984" t="str">
        <f>$E$1912</f>
        <v>ASHP-SEER20_ROF_MF</v>
      </c>
      <c r="G3480" s="3984"/>
      <c r="H3480" s="3984"/>
      <c r="I3480" s="3984"/>
      <c r="J3480" s="3501" t="str">
        <f>$C$1912</f>
        <v>355100_2019_12_</v>
      </c>
      <c r="K3480" s="583">
        <v>20</v>
      </c>
      <c r="L3480" s="704"/>
      <c r="M3480" s="3041" t="s">
        <v>1514</v>
      </c>
      <c r="N3480" s="106"/>
      <c r="O3480" s="106"/>
      <c r="P3480" s="106"/>
      <c r="Q3480" s="106"/>
      <c r="R3480" s="106"/>
      <c r="S3480" s="106"/>
      <c r="T3480" s="106"/>
      <c r="U3480" s="106"/>
      <c r="V3480" s="3980"/>
      <c r="W3480" s="3421">
        <v>20</v>
      </c>
      <c r="X3480" s="3421">
        <v>20</v>
      </c>
      <c r="Y3480" s="3425">
        <v>20</v>
      </c>
      <c r="Z3480" s="3425">
        <v>20</v>
      </c>
      <c r="AA3480" s="3425">
        <v>20</v>
      </c>
      <c r="AB3480" s="3421">
        <v>20</v>
      </c>
      <c r="AC3480" s="2920">
        <v>20</v>
      </c>
      <c r="AD3480" s="583">
        <v>20</v>
      </c>
      <c r="AE3480" s="3429"/>
      <c r="AF3480" s="3421"/>
      <c r="AG3480" s="3421"/>
      <c r="AH3480" s="156"/>
      <c r="AI3480" s="156"/>
      <c r="AJ3480" s="156"/>
      <c r="AK3480" s="156"/>
      <c r="AL3480" s="156"/>
      <c r="AM3480" s="156"/>
      <c r="AN3480" s="156"/>
      <c r="AO3480" s="156"/>
      <c r="AP3480" s="156"/>
      <c r="AQ3480" s="156"/>
      <c r="AR3480" s="156"/>
      <c r="AS3480" s="156"/>
      <c r="AT3480" s="156"/>
      <c r="AU3480" s="156"/>
      <c r="AV3480" s="156"/>
      <c r="AW3480" s="156"/>
      <c r="AX3480" s="156"/>
      <c r="AY3480" s="156"/>
      <c r="AZ3480" s="156"/>
      <c r="BA3480" s="156"/>
      <c r="BB3480" s="2828"/>
      <c r="BC3480" s="452"/>
      <c r="BD3480" s="2829"/>
      <c r="BE3480" s="2837"/>
      <c r="BF3480" s="156"/>
    </row>
    <row r="3481" spans="1:58" ht="15" customHeight="1" outlineLevel="1" x14ac:dyDescent="0.35">
      <c r="A3481" s="1071"/>
      <c r="B3481" s="2812"/>
      <c r="C3481" s="3077"/>
      <c r="D3481" s="3980"/>
      <c r="E3481" s="3883"/>
      <c r="F3481" s="3984" t="str">
        <f>$E$1914</f>
        <v>ASHP-SEER20_ROF_MF_CompE</v>
      </c>
      <c r="G3481" s="3984"/>
      <c r="H3481" s="3984"/>
      <c r="I3481" s="3984"/>
      <c r="J3481" s="3501" t="str">
        <f>$C$1914</f>
        <v>355101_2019_12_</v>
      </c>
      <c r="K3481" s="583">
        <v>20</v>
      </c>
      <c r="L3481" s="705"/>
      <c r="M3481" s="3025" t="s">
        <v>1083</v>
      </c>
      <c r="N3481" s="106"/>
      <c r="O3481" s="106"/>
      <c r="P3481" s="106"/>
      <c r="Q3481" s="106"/>
      <c r="R3481" s="106"/>
      <c r="S3481" s="106"/>
      <c r="T3481" s="106"/>
      <c r="U3481" s="106"/>
      <c r="V3481" s="3980"/>
      <c r="W3481" s="576"/>
      <c r="X3481" s="576"/>
      <c r="Y3481" s="2377">
        <v>20</v>
      </c>
      <c r="Z3481" s="3425">
        <v>20</v>
      </c>
      <c r="AA3481" s="3425">
        <v>20</v>
      </c>
      <c r="AB3481" s="3421">
        <v>20</v>
      </c>
      <c r="AC3481" s="2920">
        <v>20</v>
      </c>
      <c r="AD3481" s="583">
        <v>20</v>
      </c>
      <c r="AE3481" s="2935"/>
      <c r="AF3481" s="576"/>
      <c r="AG3481" s="576"/>
      <c r="AH3481" s="156"/>
      <c r="AI3481" s="156"/>
      <c r="AJ3481" s="156"/>
      <c r="AK3481" s="156"/>
      <c r="AL3481" s="156"/>
      <c r="AM3481" s="156"/>
      <c r="AN3481" s="156"/>
      <c r="AO3481" s="156"/>
      <c r="AP3481" s="156"/>
      <c r="AQ3481" s="156"/>
      <c r="AR3481" s="156"/>
      <c r="AS3481" s="156"/>
      <c r="AT3481" s="156"/>
      <c r="AU3481" s="156"/>
      <c r="AV3481" s="156"/>
      <c r="AW3481" s="156"/>
      <c r="AX3481" s="156"/>
      <c r="AY3481" s="156"/>
      <c r="AZ3481" s="156"/>
      <c r="BA3481" s="156"/>
      <c r="BB3481" s="2828"/>
      <c r="BC3481" s="452"/>
      <c r="BD3481" s="2829"/>
      <c r="BE3481" s="2837"/>
      <c r="BF3481" s="156"/>
    </row>
    <row r="3482" spans="1:58" ht="15.75" customHeight="1" outlineLevel="1" x14ac:dyDescent="0.35">
      <c r="A3482" s="1664"/>
      <c r="B3482" s="2812"/>
      <c r="C3482" s="3077"/>
      <c r="D3482" s="3980"/>
      <c r="E3482" s="3883"/>
      <c r="F3482" s="3984" t="str">
        <f>$E$1916</f>
        <v>ASHP-SEER21_ROF_MF</v>
      </c>
      <c r="G3482" s="3984"/>
      <c r="H3482" s="3984"/>
      <c r="I3482" s="3984"/>
      <c r="J3482" s="3501" t="str">
        <f>$C$1916</f>
        <v>355150_2019_12_</v>
      </c>
      <c r="K3482" s="583">
        <v>21</v>
      </c>
      <c r="L3482" s="704"/>
      <c r="M3482" s="3041" t="s">
        <v>1514</v>
      </c>
      <c r="N3482" s="106"/>
      <c r="O3482" s="106"/>
      <c r="P3482" s="702"/>
      <c r="Q3482" s="574"/>
      <c r="R3482" s="702"/>
      <c r="S3482" s="106"/>
      <c r="T3482" s="486"/>
      <c r="U3482" s="106"/>
      <c r="V3482" s="3980"/>
      <c r="W3482" s="3421">
        <v>21</v>
      </c>
      <c r="X3482" s="3421">
        <v>21</v>
      </c>
      <c r="Y3482" s="576">
        <v>21</v>
      </c>
      <c r="Z3482" s="576">
        <v>21</v>
      </c>
      <c r="AA3482" s="576">
        <v>21</v>
      </c>
      <c r="AB3482" s="3421">
        <v>21</v>
      </c>
      <c r="AC3482" s="2920">
        <v>21</v>
      </c>
      <c r="AD3482" s="583">
        <v>21</v>
      </c>
      <c r="AE3482" s="3429"/>
      <c r="AF3482" s="3421"/>
      <c r="AG3482" s="3421"/>
      <c r="AH3482" s="156"/>
      <c r="AI3482" s="156"/>
      <c r="AJ3482" s="156"/>
      <c r="AK3482" s="156"/>
      <c r="AL3482" s="156"/>
      <c r="AM3482" s="156"/>
      <c r="AN3482" s="156"/>
      <c r="AO3482" s="156"/>
      <c r="AP3482" s="156"/>
      <c r="AQ3482" s="156"/>
      <c r="AR3482" s="156"/>
      <c r="AS3482" s="156"/>
      <c r="AT3482" s="156"/>
      <c r="AU3482" s="156"/>
      <c r="AV3482" s="156"/>
      <c r="AW3482" s="156"/>
      <c r="AX3482" s="156"/>
      <c r="AY3482" s="156"/>
      <c r="AZ3482" s="156"/>
      <c r="BA3482" s="156"/>
      <c r="BB3482" s="2828"/>
      <c r="BC3482" s="452"/>
      <c r="BD3482" s="2829"/>
      <c r="BE3482" s="2837"/>
      <c r="BF3482" s="156"/>
    </row>
    <row r="3483" spans="1:58" ht="15.75" customHeight="1" outlineLevel="1" thickBot="1" x14ac:dyDescent="0.4">
      <c r="A3483" s="1664"/>
      <c r="B3483" s="2812"/>
      <c r="C3483" s="3077"/>
      <c r="D3483" s="3981"/>
      <c r="E3483" s="3983"/>
      <c r="F3483" s="4106" t="str">
        <f>$E$1918</f>
        <v>ASHP-SEER21_ROF_MF_CompE</v>
      </c>
      <c r="G3483" s="4106"/>
      <c r="H3483" s="4106"/>
      <c r="I3483" s="4106"/>
      <c r="J3483" s="3503" t="str">
        <f>$C$1918</f>
        <v>355151_2019_12_</v>
      </c>
      <c r="K3483" s="2137">
        <v>21</v>
      </c>
      <c r="L3483" s="707"/>
      <c r="M3483" s="3028" t="s">
        <v>1083</v>
      </c>
      <c r="N3483" s="106"/>
      <c r="O3483" s="106"/>
      <c r="P3483" s="702"/>
      <c r="Q3483" s="574"/>
      <c r="R3483" s="702"/>
      <c r="S3483" s="106"/>
      <c r="T3483" s="486"/>
      <c r="U3483" s="106"/>
      <c r="V3483" s="3981"/>
      <c r="W3483" s="578"/>
      <c r="X3483" s="578"/>
      <c r="Y3483" s="2375">
        <v>21</v>
      </c>
      <c r="Z3483" s="3422">
        <v>21</v>
      </c>
      <c r="AA3483" s="3422">
        <v>21</v>
      </c>
      <c r="AB3483" s="708">
        <v>21</v>
      </c>
      <c r="AC3483" s="2921">
        <v>21</v>
      </c>
      <c r="AD3483" s="2137">
        <v>21</v>
      </c>
      <c r="AE3483" s="2936"/>
      <c r="AF3483" s="578"/>
      <c r="AG3483" s="578"/>
      <c r="AH3483" s="156"/>
      <c r="AI3483" s="156"/>
      <c r="AJ3483" s="156"/>
      <c r="AK3483" s="156"/>
      <c r="AL3483" s="156"/>
      <c r="AM3483" s="156"/>
      <c r="AN3483" s="156"/>
      <c r="AO3483" s="156"/>
      <c r="AP3483" s="156"/>
      <c r="AQ3483" s="156"/>
      <c r="AR3483" s="156"/>
      <c r="AS3483" s="156"/>
      <c r="AT3483" s="156"/>
      <c r="AU3483" s="156"/>
      <c r="AV3483" s="156"/>
      <c r="AW3483" s="156"/>
      <c r="AX3483" s="156"/>
      <c r="AY3483" s="156"/>
      <c r="AZ3483" s="156"/>
      <c r="BA3483" s="156"/>
      <c r="BB3483" s="2828"/>
      <c r="BC3483" s="452"/>
      <c r="BD3483" s="2829"/>
      <c r="BE3483" s="2837"/>
      <c r="BF3483" s="156"/>
    </row>
    <row r="3484" spans="1:58" ht="15" customHeight="1" outlineLevel="1" x14ac:dyDescent="0.35">
      <c r="A3484" s="1664"/>
      <c r="B3484" s="3641"/>
      <c r="C3484" s="3077"/>
      <c r="D3484" s="3979" t="s">
        <v>293</v>
      </c>
      <c r="E3484" s="3982" t="s">
        <v>1085</v>
      </c>
      <c r="F3484" s="4133" t="str">
        <f>$E$1534</f>
        <v>ASHP-SEER15-Replace_CAC_ElectricHeat_ER1_SF</v>
      </c>
      <c r="G3484" s="4134"/>
      <c r="H3484" s="4134"/>
      <c r="I3484" s="4135"/>
      <c r="J3484" s="3500" t="str">
        <f>$C$1534</f>
        <v>352300_2021_12_</v>
      </c>
      <c r="K3484" s="659">
        <v>1</v>
      </c>
      <c r="L3484" s="620"/>
      <c r="M3484" s="3029"/>
      <c r="N3484" s="106"/>
      <c r="O3484" s="106"/>
      <c r="P3484" s="702"/>
      <c r="Q3484" s="702"/>
      <c r="R3484" s="702"/>
      <c r="S3484" s="106"/>
      <c r="T3484" s="486"/>
      <c r="U3484" s="106"/>
      <c r="V3484" s="3979" t="s">
        <v>293</v>
      </c>
      <c r="W3484" s="659">
        <v>1</v>
      </c>
      <c r="X3484" s="659">
        <v>1</v>
      </c>
      <c r="Y3484" s="659">
        <v>1</v>
      </c>
      <c r="Z3484" s="659">
        <v>1</v>
      </c>
      <c r="AA3484" s="659">
        <v>1</v>
      </c>
      <c r="AB3484" s="659">
        <v>1</v>
      </c>
      <c r="AC3484" s="3562">
        <v>1</v>
      </c>
      <c r="AD3484" s="662">
        <v>1</v>
      </c>
      <c r="AE3484" s="2938"/>
      <c r="AF3484" s="659"/>
      <c r="AG3484" s="659"/>
      <c r="AH3484" s="156"/>
      <c r="AI3484" s="156"/>
      <c r="AJ3484" s="156"/>
      <c r="AK3484" s="156"/>
      <c r="AL3484" s="156"/>
      <c r="AM3484" s="156"/>
      <c r="AN3484" s="156"/>
      <c r="AO3484" s="156"/>
      <c r="AP3484" s="156"/>
      <c r="AQ3484" s="156"/>
      <c r="AR3484" s="156"/>
      <c r="AS3484" s="156"/>
      <c r="AT3484" s="156"/>
      <c r="AU3484" s="156"/>
      <c r="AV3484" s="156"/>
      <c r="AW3484" s="156"/>
      <c r="AX3484" s="156"/>
      <c r="AY3484" s="156"/>
      <c r="AZ3484" s="156"/>
      <c r="BA3484" s="156"/>
      <c r="BB3484" s="2828"/>
      <c r="BC3484" s="452"/>
      <c r="BD3484" s="2829"/>
      <c r="BE3484" s="2837"/>
      <c r="BF3484" s="156"/>
    </row>
    <row r="3485" spans="1:58" ht="15" customHeight="1" outlineLevel="1" x14ac:dyDescent="0.35">
      <c r="A3485" s="1664"/>
      <c r="B3485" s="3641"/>
      <c r="C3485" s="3077"/>
      <c r="D3485" s="3980"/>
      <c r="E3485" s="3883"/>
      <c r="F3485" s="3984" t="str">
        <f>$E$1536</f>
        <v>ASHP-SEER15-Replace_CAC_ElectricHeat_ER2_SF</v>
      </c>
      <c r="G3485" s="3984"/>
      <c r="H3485" s="3984"/>
      <c r="I3485" s="3984"/>
      <c r="J3485" s="3501" t="str">
        <f>$C$1536</f>
        <v>352300_2021_12_</v>
      </c>
      <c r="K3485" s="663">
        <v>1</v>
      </c>
      <c r="L3485" s="703"/>
      <c r="M3485" s="3022"/>
      <c r="N3485" s="106"/>
      <c r="O3485" s="106"/>
      <c r="P3485" s="702"/>
      <c r="Q3485" s="702"/>
      <c r="R3485" s="702"/>
      <c r="S3485" s="106"/>
      <c r="T3485" s="486"/>
      <c r="U3485" s="106"/>
      <c r="V3485" s="3980"/>
      <c r="W3485" s="663">
        <v>1</v>
      </c>
      <c r="X3485" s="663">
        <v>1</v>
      </c>
      <c r="Y3485" s="663">
        <v>1</v>
      </c>
      <c r="Z3485" s="663">
        <v>1</v>
      </c>
      <c r="AA3485" s="663">
        <v>1</v>
      </c>
      <c r="AB3485" s="663">
        <v>1</v>
      </c>
      <c r="AC3485" s="2923">
        <v>1</v>
      </c>
      <c r="AD3485" s="663">
        <v>1</v>
      </c>
      <c r="AE3485" s="2939"/>
      <c r="AF3485" s="663"/>
      <c r="AG3485" s="663"/>
      <c r="AH3485" s="156"/>
      <c r="AI3485" s="156"/>
      <c r="AJ3485" s="156"/>
      <c r="AK3485" s="156"/>
      <c r="AL3485" s="156"/>
      <c r="AM3485" s="156"/>
      <c r="AN3485" s="156"/>
      <c r="AO3485" s="156"/>
      <c r="AP3485" s="156"/>
      <c r="AQ3485" s="156"/>
      <c r="AR3485" s="156"/>
      <c r="AS3485" s="156"/>
      <c r="AT3485" s="156"/>
      <c r="AU3485" s="156"/>
      <c r="AV3485" s="156"/>
      <c r="AW3485" s="156"/>
      <c r="AX3485" s="156"/>
      <c r="AY3485" s="156"/>
      <c r="AZ3485" s="156"/>
      <c r="BA3485" s="156"/>
      <c r="BB3485" s="2828"/>
      <c r="BC3485" s="452"/>
      <c r="BD3485" s="2829"/>
      <c r="BE3485" s="2837"/>
      <c r="BF3485" s="156"/>
    </row>
    <row r="3486" spans="1:58" ht="15" customHeight="1" outlineLevel="1" x14ac:dyDescent="0.35">
      <c r="A3486" s="1664"/>
      <c r="B3486" s="3641"/>
      <c r="C3486" s="3077"/>
      <c r="D3486" s="3980"/>
      <c r="E3486" s="3883"/>
      <c r="F3486" s="3984" t="str">
        <f>$E$1538</f>
        <v>ASHP-SEER15-Replace_CAC_NonElectricHeat_ER1_SF</v>
      </c>
      <c r="G3486" s="3984"/>
      <c r="H3486" s="3984"/>
      <c r="I3486" s="3984"/>
      <c r="J3486" s="3501" t="str">
        <f>$C$1538</f>
        <v>352310_2021_12_</v>
      </c>
      <c r="K3486" s="662">
        <v>1</v>
      </c>
      <c r="L3486" s="703"/>
      <c r="M3486" s="3022"/>
      <c r="N3486" s="106"/>
      <c r="O3486" s="106"/>
      <c r="P3486" s="702"/>
      <c r="Q3486" s="702"/>
      <c r="R3486" s="702"/>
      <c r="S3486" s="106"/>
      <c r="T3486" s="486"/>
      <c r="U3486" s="106"/>
      <c r="V3486" s="3980"/>
      <c r="W3486" s="663"/>
      <c r="X3486" s="663"/>
      <c r="Y3486" s="663"/>
      <c r="Z3486" s="663"/>
      <c r="AA3486" s="663"/>
      <c r="AB3486" s="663"/>
      <c r="AC3486" s="3563">
        <v>1</v>
      </c>
      <c r="AD3486" s="663">
        <v>1</v>
      </c>
      <c r="AE3486" s="2939"/>
      <c r="AF3486" s="663"/>
      <c r="AG3486" s="663"/>
      <c r="AH3486" s="156"/>
      <c r="AI3486" s="156"/>
      <c r="AJ3486" s="156"/>
      <c r="AK3486" s="156"/>
      <c r="AL3486" s="156"/>
      <c r="AM3486" s="156"/>
      <c r="AN3486" s="156"/>
      <c r="AO3486" s="156"/>
      <c r="AP3486" s="156"/>
      <c r="AQ3486" s="156"/>
      <c r="AR3486" s="156"/>
      <c r="AS3486" s="156"/>
      <c r="AT3486" s="156"/>
      <c r="AU3486" s="156"/>
      <c r="AV3486" s="156"/>
      <c r="AW3486" s="156"/>
      <c r="AX3486" s="156"/>
      <c r="AY3486" s="156"/>
      <c r="AZ3486" s="156"/>
      <c r="BA3486" s="156"/>
      <c r="BB3486" s="2828"/>
      <c r="BC3486" s="452"/>
      <c r="BD3486" s="2829"/>
      <c r="BE3486" s="2837"/>
      <c r="BF3486" s="156"/>
    </row>
    <row r="3487" spans="1:58" ht="15" customHeight="1" outlineLevel="1" x14ac:dyDescent="0.35">
      <c r="A3487" s="1664"/>
      <c r="B3487" s="3641"/>
      <c r="C3487" s="3077"/>
      <c r="D3487" s="3980"/>
      <c r="E3487" s="3883"/>
      <c r="F3487" s="3984" t="str">
        <f>$E$1540</f>
        <v>ASHP-SEER15-Replace_CAC_NonElectricHeat_ER2_SF</v>
      </c>
      <c r="G3487" s="3984"/>
      <c r="H3487" s="3984"/>
      <c r="I3487" s="3984"/>
      <c r="J3487" s="3501" t="str">
        <f>$C$1540</f>
        <v>352310_2021_12_</v>
      </c>
      <c r="K3487" s="663">
        <v>1</v>
      </c>
      <c r="L3487" s="703"/>
      <c r="M3487" s="3022"/>
      <c r="N3487" s="106"/>
      <c r="O3487" s="106"/>
      <c r="P3487" s="702"/>
      <c r="Q3487" s="702"/>
      <c r="R3487" s="702"/>
      <c r="S3487" s="106"/>
      <c r="T3487" s="486"/>
      <c r="U3487" s="106"/>
      <c r="V3487" s="3980"/>
      <c r="W3487" s="663"/>
      <c r="X3487" s="663"/>
      <c r="Y3487" s="663"/>
      <c r="Z3487" s="663"/>
      <c r="AA3487" s="663"/>
      <c r="AB3487" s="663"/>
      <c r="AC3487" s="2924">
        <v>1</v>
      </c>
      <c r="AD3487" s="663">
        <v>1</v>
      </c>
      <c r="AE3487" s="2939"/>
      <c r="AF3487" s="663"/>
      <c r="AG3487" s="663"/>
      <c r="AH3487" s="156"/>
      <c r="AI3487" s="156"/>
      <c r="AJ3487" s="156"/>
      <c r="AK3487" s="156"/>
      <c r="AL3487" s="156"/>
      <c r="AM3487" s="156"/>
      <c r="AN3487" s="156"/>
      <c r="AO3487" s="156"/>
      <c r="AP3487" s="156"/>
      <c r="AQ3487" s="156"/>
      <c r="AR3487" s="156"/>
      <c r="AS3487" s="156"/>
      <c r="AT3487" s="156"/>
      <c r="AU3487" s="156"/>
      <c r="AV3487" s="156"/>
      <c r="AW3487" s="156"/>
      <c r="AX3487" s="156"/>
      <c r="AY3487" s="156"/>
      <c r="AZ3487" s="156"/>
      <c r="BA3487" s="156"/>
      <c r="BB3487" s="2828"/>
      <c r="BC3487" s="452"/>
      <c r="BD3487" s="2829"/>
      <c r="BE3487" s="2837"/>
      <c r="BF3487" s="156"/>
    </row>
    <row r="3488" spans="1:58" ht="15" customHeight="1" outlineLevel="1" x14ac:dyDescent="0.35">
      <c r="A3488" s="1664"/>
      <c r="B3488" s="3641"/>
      <c r="C3488" s="3077"/>
      <c r="D3488" s="3980"/>
      <c r="E3488" s="3883"/>
      <c r="F3488" s="3984" t="str">
        <f>$E$1542</f>
        <v>ASHP-SEER15_ER1_SF</v>
      </c>
      <c r="G3488" s="3984"/>
      <c r="H3488" s="3984"/>
      <c r="I3488" s="3984"/>
      <c r="J3488" s="3501" t="str">
        <f>$C$1542</f>
        <v>352350_2021_12_</v>
      </c>
      <c r="K3488" s="663">
        <v>1</v>
      </c>
      <c r="L3488" s="703"/>
      <c r="M3488" s="3022"/>
      <c r="N3488" s="106"/>
      <c r="O3488" s="106"/>
      <c r="P3488" s="702"/>
      <c r="Q3488" s="702"/>
      <c r="R3488" s="702"/>
      <c r="S3488" s="106"/>
      <c r="T3488" s="486"/>
      <c r="U3488" s="106"/>
      <c r="V3488" s="3980"/>
      <c r="W3488" s="663">
        <v>1</v>
      </c>
      <c r="X3488" s="663">
        <v>1</v>
      </c>
      <c r="Y3488" s="663">
        <v>1</v>
      </c>
      <c r="Z3488" s="663">
        <v>1</v>
      </c>
      <c r="AA3488" s="663">
        <v>1</v>
      </c>
      <c r="AB3488" s="663">
        <v>1</v>
      </c>
      <c r="AC3488" s="2923">
        <v>1</v>
      </c>
      <c r="AD3488" s="663">
        <v>1</v>
      </c>
      <c r="AE3488" s="2939"/>
      <c r="AF3488" s="663"/>
      <c r="AG3488" s="663"/>
      <c r="AH3488" s="156"/>
      <c r="AI3488" s="156"/>
      <c r="AJ3488" s="156"/>
      <c r="AK3488" s="156"/>
      <c r="AL3488" s="156"/>
      <c r="AM3488" s="156"/>
      <c r="AN3488" s="156"/>
      <c r="AO3488" s="156"/>
      <c r="AP3488" s="156"/>
      <c r="AQ3488" s="156"/>
      <c r="AR3488" s="156"/>
      <c r="AS3488" s="156"/>
      <c r="AT3488" s="156"/>
      <c r="AU3488" s="156"/>
      <c r="AV3488" s="156"/>
      <c r="AW3488" s="156"/>
      <c r="AX3488" s="156"/>
      <c r="AY3488" s="156"/>
      <c r="AZ3488" s="156"/>
      <c r="BA3488" s="156"/>
      <c r="BB3488" s="2828"/>
      <c r="BC3488" s="452"/>
      <c r="BD3488" s="2829"/>
      <c r="BE3488" s="2837"/>
      <c r="BF3488" s="156"/>
    </row>
    <row r="3489" spans="1:58" ht="15" customHeight="1" outlineLevel="1" x14ac:dyDescent="0.35">
      <c r="A3489" s="1664"/>
      <c r="B3489" s="3641"/>
      <c r="C3489" s="3077"/>
      <c r="D3489" s="3980"/>
      <c r="E3489" s="3883"/>
      <c r="F3489" s="3984" t="str">
        <f>$E$1544</f>
        <v>ASHP-SEER15_ER2_SF</v>
      </c>
      <c r="G3489" s="3984"/>
      <c r="H3489" s="3984"/>
      <c r="I3489" s="3984"/>
      <c r="J3489" s="3501" t="str">
        <f>$C$1544</f>
        <v>352350_2021_12_</v>
      </c>
      <c r="K3489" s="663">
        <v>1</v>
      </c>
      <c r="L3489" s="703"/>
      <c r="M3489" s="3022"/>
      <c r="N3489" s="106"/>
      <c r="O3489" s="106"/>
      <c r="P3489" s="702"/>
      <c r="Q3489" s="702"/>
      <c r="R3489" s="702"/>
      <c r="S3489" s="106"/>
      <c r="T3489" s="486"/>
      <c r="U3489" s="106"/>
      <c r="V3489" s="3980"/>
      <c r="W3489" s="663">
        <v>1</v>
      </c>
      <c r="X3489" s="663">
        <v>1</v>
      </c>
      <c r="Y3489" s="663">
        <v>1</v>
      </c>
      <c r="Z3489" s="663">
        <v>1</v>
      </c>
      <c r="AA3489" s="663">
        <v>1</v>
      </c>
      <c r="AB3489" s="663">
        <v>1</v>
      </c>
      <c r="AC3489" s="2923">
        <v>1</v>
      </c>
      <c r="AD3489" s="663">
        <v>1</v>
      </c>
      <c r="AE3489" s="2939"/>
      <c r="AF3489" s="663"/>
      <c r="AG3489" s="663"/>
      <c r="AH3489" s="156"/>
      <c r="AI3489" s="156"/>
      <c r="AJ3489" s="156"/>
      <c r="AK3489" s="156"/>
      <c r="AL3489" s="156"/>
      <c r="AM3489" s="156"/>
      <c r="AN3489" s="156"/>
      <c r="AO3489" s="156"/>
      <c r="AP3489" s="156"/>
      <c r="AQ3489" s="156"/>
      <c r="AR3489" s="156"/>
      <c r="AS3489" s="156"/>
      <c r="AT3489" s="156"/>
      <c r="AU3489" s="156"/>
      <c r="AV3489" s="156"/>
      <c r="AW3489" s="156"/>
      <c r="AX3489" s="156"/>
      <c r="AY3489" s="156"/>
      <c r="AZ3489" s="156"/>
      <c r="BA3489" s="156"/>
      <c r="BB3489" s="2828"/>
      <c r="BC3489" s="452"/>
      <c r="BD3489" s="2829"/>
      <c r="BE3489" s="2837"/>
      <c r="BF3489" s="156"/>
    </row>
    <row r="3490" spans="1:58" ht="15" customHeight="1" outlineLevel="1" x14ac:dyDescent="0.35">
      <c r="A3490" s="1664"/>
      <c r="B3490" s="3641"/>
      <c r="C3490" s="3077"/>
      <c r="D3490" s="3980"/>
      <c r="E3490" s="3883"/>
      <c r="F3490" s="3984" t="str">
        <f>$E$1546</f>
        <v>ASHP-SEER15-Replace_CAC_ElectricHeat_ROF_SF</v>
      </c>
      <c r="G3490" s="3984"/>
      <c r="H3490" s="3984"/>
      <c r="I3490" s="3984"/>
      <c r="J3490" s="3501" t="str">
        <f>$C$1546</f>
        <v>352400_2021_12_</v>
      </c>
      <c r="K3490" s="715">
        <v>1</v>
      </c>
      <c r="L3490" s="703"/>
      <c r="M3490" s="3022"/>
      <c r="N3490" s="106"/>
      <c r="O3490" s="106"/>
      <c r="P3490" s="702"/>
      <c r="Q3490" s="702"/>
      <c r="R3490" s="702"/>
      <c r="S3490" s="106"/>
      <c r="T3490" s="486"/>
      <c r="U3490" s="106"/>
      <c r="V3490" s="3980"/>
      <c r="W3490" s="663">
        <v>1</v>
      </c>
      <c r="X3490" s="663">
        <v>1</v>
      </c>
      <c r="Y3490" s="663">
        <v>1</v>
      </c>
      <c r="Z3490" s="663">
        <v>1</v>
      </c>
      <c r="AA3490" s="663">
        <v>1</v>
      </c>
      <c r="AB3490" s="663">
        <v>1</v>
      </c>
      <c r="AC3490" s="2925">
        <v>1</v>
      </c>
      <c r="AD3490" s="663">
        <v>1</v>
      </c>
      <c r="AE3490" s="2939"/>
      <c r="AF3490" s="663"/>
      <c r="AG3490" s="663"/>
      <c r="AH3490" s="156"/>
      <c r="AI3490" s="156"/>
      <c r="AJ3490" s="156"/>
      <c r="AK3490" s="156"/>
      <c r="AL3490" s="156"/>
      <c r="AM3490" s="156"/>
      <c r="AN3490" s="156"/>
      <c r="AO3490" s="156"/>
      <c r="AP3490" s="156"/>
      <c r="AQ3490" s="156"/>
      <c r="AR3490" s="156"/>
      <c r="AS3490" s="156"/>
      <c r="AT3490" s="156"/>
      <c r="AU3490" s="156"/>
      <c r="AV3490" s="156"/>
      <c r="AW3490" s="156"/>
      <c r="AX3490" s="156"/>
      <c r="AY3490" s="156"/>
      <c r="AZ3490" s="156"/>
      <c r="BA3490" s="156"/>
      <c r="BB3490" s="2828"/>
      <c r="BC3490" s="452"/>
      <c r="BD3490" s="2829"/>
      <c r="BE3490" s="2837"/>
      <c r="BF3490" s="156"/>
    </row>
    <row r="3491" spans="1:58" ht="15" customHeight="1" outlineLevel="1" x14ac:dyDescent="0.35">
      <c r="A3491" s="1664"/>
      <c r="B3491" s="3641"/>
      <c r="C3491" s="3077"/>
      <c r="D3491" s="3980"/>
      <c r="E3491" s="3883"/>
      <c r="F3491" s="3984" t="str">
        <f>$E$1548</f>
        <v>ASHP-SEER15-Replace_CAC_NonElectricHeat_ROF_SF</v>
      </c>
      <c r="G3491" s="3984"/>
      <c r="H3491" s="3984"/>
      <c r="I3491" s="3984"/>
      <c r="J3491" s="3501" t="str">
        <f>$C$1548</f>
        <v>352410_2021_12_</v>
      </c>
      <c r="K3491" s="663">
        <v>1</v>
      </c>
      <c r="L3491" s="703"/>
      <c r="M3491" s="3022"/>
      <c r="N3491" s="106"/>
      <c r="O3491" s="106"/>
      <c r="P3491" s="702"/>
      <c r="Q3491" s="702"/>
      <c r="R3491" s="702"/>
      <c r="S3491" s="106"/>
      <c r="T3491" s="486"/>
      <c r="U3491" s="106"/>
      <c r="V3491" s="3980"/>
      <c r="W3491" s="663"/>
      <c r="X3491" s="663"/>
      <c r="Y3491" s="663"/>
      <c r="Z3491" s="663"/>
      <c r="AA3491" s="663"/>
      <c r="AB3491" s="663"/>
      <c r="AC3491" s="2924">
        <v>1</v>
      </c>
      <c r="AD3491" s="663">
        <v>1</v>
      </c>
      <c r="AE3491" s="2939"/>
      <c r="AF3491" s="663"/>
      <c r="AG3491" s="663"/>
      <c r="AH3491" s="156"/>
      <c r="AI3491" s="156"/>
      <c r="AJ3491" s="156"/>
      <c r="AK3491" s="156"/>
      <c r="AL3491" s="156"/>
      <c r="AM3491" s="156"/>
      <c r="AN3491" s="156"/>
      <c r="AO3491" s="156"/>
      <c r="AP3491" s="156"/>
      <c r="AQ3491" s="156"/>
      <c r="AR3491" s="156"/>
      <c r="AS3491" s="156"/>
      <c r="AT3491" s="156"/>
      <c r="AU3491" s="156"/>
      <c r="AV3491" s="156"/>
      <c r="AW3491" s="156"/>
      <c r="AX3491" s="156"/>
      <c r="AY3491" s="156"/>
      <c r="AZ3491" s="156"/>
      <c r="BA3491" s="156"/>
      <c r="BB3491" s="2828"/>
      <c r="BC3491" s="452"/>
      <c r="BD3491" s="2829"/>
      <c r="BE3491" s="2837"/>
      <c r="BF3491" s="156"/>
    </row>
    <row r="3492" spans="1:58" ht="15" customHeight="1" outlineLevel="1" x14ac:dyDescent="0.35">
      <c r="A3492" s="1664"/>
      <c r="B3492" s="3641"/>
      <c r="C3492" s="3077"/>
      <c r="D3492" s="3980"/>
      <c r="E3492" s="3883"/>
      <c r="F3492" s="3984" t="str">
        <f>$E$1550</f>
        <v>ASHP-SEER15_ROF_SF</v>
      </c>
      <c r="G3492" s="3984"/>
      <c r="H3492" s="3984"/>
      <c r="I3492" s="3984"/>
      <c r="J3492" s="3501" t="str">
        <f>$C$1550</f>
        <v>352450_2021_12_</v>
      </c>
      <c r="K3492" s="663">
        <v>1</v>
      </c>
      <c r="L3492" s="703"/>
      <c r="M3492" s="3022"/>
      <c r="N3492" s="106"/>
      <c r="O3492" s="106"/>
      <c r="P3492" s="702"/>
      <c r="Q3492" s="702"/>
      <c r="R3492" s="702"/>
      <c r="S3492" s="106"/>
      <c r="T3492" s="486"/>
      <c r="U3492" s="106"/>
      <c r="V3492" s="3980"/>
      <c r="W3492" s="663">
        <v>1</v>
      </c>
      <c r="X3492" s="663">
        <v>1</v>
      </c>
      <c r="Y3492" s="663">
        <v>1</v>
      </c>
      <c r="Z3492" s="663">
        <v>1</v>
      </c>
      <c r="AA3492" s="663">
        <v>1</v>
      </c>
      <c r="AB3492" s="663">
        <v>1</v>
      </c>
      <c r="AC3492" s="2923">
        <v>1</v>
      </c>
      <c r="AD3492" s="663">
        <v>1</v>
      </c>
      <c r="AE3492" s="2939"/>
      <c r="AF3492" s="663"/>
      <c r="AG3492" s="663"/>
      <c r="AH3492" s="156"/>
      <c r="AI3492" s="156"/>
      <c r="AJ3492" s="156"/>
      <c r="AK3492" s="156"/>
      <c r="AL3492" s="156"/>
      <c r="AM3492" s="156"/>
      <c r="AN3492" s="156"/>
      <c r="AO3492" s="156"/>
      <c r="AP3492" s="156"/>
      <c r="AQ3492" s="156"/>
      <c r="AR3492" s="156"/>
      <c r="AS3492" s="156"/>
      <c r="AT3492" s="156"/>
      <c r="AU3492" s="156"/>
      <c r="AV3492" s="156"/>
      <c r="AW3492" s="156"/>
      <c r="AX3492" s="156"/>
      <c r="AY3492" s="156"/>
      <c r="AZ3492" s="156"/>
      <c r="BA3492" s="156"/>
      <c r="BB3492" s="2828"/>
      <c r="BC3492" s="452"/>
      <c r="BD3492" s="2829"/>
      <c r="BE3492" s="2837"/>
      <c r="BF3492" s="156"/>
    </row>
    <row r="3493" spans="1:58" ht="15" customHeight="1" outlineLevel="1" x14ac:dyDescent="0.35">
      <c r="A3493" s="1664"/>
      <c r="B3493" s="3641"/>
      <c r="C3493" s="3077"/>
      <c r="D3493" s="3980"/>
      <c r="E3493" s="3883"/>
      <c r="F3493" s="3984" t="str">
        <f>$E$1552</f>
        <v>ASHP-SEER16-Replace_CAC_ElectricHeat_ER1_SF</v>
      </c>
      <c r="G3493" s="3984"/>
      <c r="H3493" s="3984"/>
      <c r="I3493" s="3984"/>
      <c r="J3493" s="3501" t="str">
        <f>$C$1552</f>
        <v>352500_2021_12_</v>
      </c>
      <c r="K3493" s="663">
        <v>1</v>
      </c>
      <c r="L3493" s="703"/>
      <c r="M3493" s="3022"/>
      <c r="N3493" s="106"/>
      <c r="O3493" s="106"/>
      <c r="P3493" s="702"/>
      <c r="Q3493" s="702"/>
      <c r="R3493" s="702"/>
      <c r="S3493" s="106"/>
      <c r="T3493" s="486"/>
      <c r="U3493" s="106"/>
      <c r="V3493" s="3980"/>
      <c r="W3493" s="663">
        <v>1</v>
      </c>
      <c r="X3493" s="663">
        <v>1</v>
      </c>
      <c r="Y3493" s="663">
        <v>1</v>
      </c>
      <c r="Z3493" s="663">
        <v>1</v>
      </c>
      <c r="AA3493" s="663">
        <v>1</v>
      </c>
      <c r="AB3493" s="663">
        <v>1</v>
      </c>
      <c r="AC3493" s="2923">
        <v>1</v>
      </c>
      <c r="AD3493" s="663">
        <v>1</v>
      </c>
      <c r="AE3493" s="2939"/>
      <c r="AF3493" s="663"/>
      <c r="AG3493" s="663"/>
      <c r="AH3493" s="156"/>
      <c r="AI3493" s="156"/>
      <c r="AJ3493" s="156"/>
      <c r="AK3493" s="156"/>
      <c r="AL3493" s="156"/>
      <c r="AM3493" s="156"/>
      <c r="AN3493" s="156"/>
      <c r="AO3493" s="156"/>
      <c r="AP3493" s="156"/>
      <c r="AQ3493" s="156"/>
      <c r="AR3493" s="156"/>
      <c r="AS3493" s="156"/>
      <c r="AT3493" s="156"/>
      <c r="AU3493" s="156"/>
      <c r="AV3493" s="156"/>
      <c r="AW3493" s="156"/>
      <c r="AX3493" s="156"/>
      <c r="AY3493" s="156"/>
      <c r="AZ3493" s="156"/>
      <c r="BA3493" s="156"/>
      <c r="BB3493" s="2828"/>
      <c r="BC3493" s="452"/>
      <c r="BD3493" s="2829"/>
      <c r="BE3493" s="2837"/>
      <c r="BF3493" s="156"/>
    </row>
    <row r="3494" spans="1:58" ht="15" customHeight="1" outlineLevel="1" x14ac:dyDescent="0.35">
      <c r="A3494" s="1664"/>
      <c r="B3494" s="3641"/>
      <c r="C3494" s="3077"/>
      <c r="D3494" s="3980"/>
      <c r="E3494" s="3883"/>
      <c r="F3494" s="3984" t="str">
        <f>$E$1554</f>
        <v>ASHP-SEER16-Replace_CAC_ElectricHeat_ER2_SF</v>
      </c>
      <c r="G3494" s="3984"/>
      <c r="H3494" s="3984"/>
      <c r="I3494" s="3984"/>
      <c r="J3494" s="3501" t="str">
        <f>$C$1554</f>
        <v>352500_2021_12_</v>
      </c>
      <c r="K3494" s="715">
        <v>1</v>
      </c>
      <c r="L3494" s="703"/>
      <c r="M3494" s="3022"/>
      <c r="N3494" s="106"/>
      <c r="O3494" s="106"/>
      <c r="P3494" s="702"/>
      <c r="Q3494" s="702"/>
      <c r="R3494" s="702"/>
      <c r="S3494" s="106"/>
      <c r="T3494" s="486"/>
      <c r="U3494" s="106"/>
      <c r="V3494" s="3980"/>
      <c r="W3494" s="663">
        <v>1</v>
      </c>
      <c r="X3494" s="663">
        <v>1</v>
      </c>
      <c r="Y3494" s="663">
        <v>1</v>
      </c>
      <c r="Z3494" s="663">
        <v>1</v>
      </c>
      <c r="AA3494" s="663">
        <v>1</v>
      </c>
      <c r="AB3494" s="663">
        <v>1</v>
      </c>
      <c r="AC3494" s="2925">
        <v>1</v>
      </c>
      <c r="AD3494" s="663">
        <v>1</v>
      </c>
      <c r="AE3494" s="2939"/>
      <c r="AF3494" s="663"/>
      <c r="AG3494" s="663"/>
      <c r="AH3494" s="156"/>
      <c r="AI3494" s="156"/>
      <c r="AJ3494" s="156"/>
      <c r="AK3494" s="156"/>
      <c r="AL3494" s="156"/>
      <c r="AM3494" s="156"/>
      <c r="AN3494" s="156"/>
      <c r="AO3494" s="156"/>
      <c r="AP3494" s="156"/>
      <c r="AQ3494" s="156"/>
      <c r="AR3494" s="156"/>
      <c r="AS3494" s="156"/>
      <c r="AT3494" s="156"/>
      <c r="AU3494" s="156"/>
      <c r="AV3494" s="156"/>
      <c r="AW3494" s="156"/>
      <c r="AX3494" s="156"/>
      <c r="AY3494" s="156"/>
      <c r="AZ3494" s="156"/>
      <c r="BA3494" s="156"/>
      <c r="BB3494" s="2828"/>
      <c r="BC3494" s="452"/>
      <c r="BD3494" s="2829"/>
      <c r="BE3494" s="2837"/>
      <c r="BF3494" s="156"/>
    </row>
    <row r="3495" spans="1:58" ht="15" customHeight="1" outlineLevel="1" x14ac:dyDescent="0.35">
      <c r="A3495" s="1664"/>
      <c r="B3495" s="3641"/>
      <c r="C3495" s="3077"/>
      <c r="D3495" s="3980"/>
      <c r="E3495" s="3883"/>
      <c r="F3495" s="3984" t="str">
        <f>$E$1556</f>
        <v>ASHP-SEER16-Replace_CAC_NonElectricHeat_ER1_SF</v>
      </c>
      <c r="G3495" s="3984"/>
      <c r="H3495" s="3984"/>
      <c r="I3495" s="3984"/>
      <c r="J3495" s="3501" t="str">
        <f>$C$1556</f>
        <v>352510_2021_12_</v>
      </c>
      <c r="K3495" s="663">
        <v>1</v>
      </c>
      <c r="L3495" s="703"/>
      <c r="M3495" s="3022"/>
      <c r="N3495" s="106"/>
      <c r="O3495" s="106"/>
      <c r="P3495" s="702"/>
      <c r="Q3495" s="702"/>
      <c r="R3495" s="702"/>
      <c r="S3495" s="106"/>
      <c r="T3495" s="486"/>
      <c r="U3495" s="106"/>
      <c r="V3495" s="3980"/>
      <c r="W3495" s="663"/>
      <c r="X3495" s="663"/>
      <c r="Y3495" s="663"/>
      <c r="Z3495" s="663"/>
      <c r="AA3495" s="663"/>
      <c r="AB3495" s="663"/>
      <c r="AC3495" s="2924">
        <v>1</v>
      </c>
      <c r="AD3495" s="663">
        <v>1</v>
      </c>
      <c r="AE3495" s="2939"/>
      <c r="AF3495" s="663"/>
      <c r="AG3495" s="663"/>
      <c r="AH3495" s="156"/>
      <c r="AI3495" s="156"/>
      <c r="AJ3495" s="156"/>
      <c r="AK3495" s="156"/>
      <c r="AL3495" s="156"/>
      <c r="AM3495" s="156"/>
      <c r="AN3495" s="156"/>
      <c r="AO3495" s="156"/>
      <c r="AP3495" s="156"/>
      <c r="AQ3495" s="156"/>
      <c r="AR3495" s="156"/>
      <c r="AS3495" s="156"/>
      <c r="AT3495" s="156"/>
      <c r="AU3495" s="156"/>
      <c r="AV3495" s="156"/>
      <c r="AW3495" s="156"/>
      <c r="AX3495" s="156"/>
      <c r="AY3495" s="156"/>
      <c r="AZ3495" s="156"/>
      <c r="BA3495" s="156"/>
      <c r="BB3495" s="2828"/>
      <c r="BC3495" s="452"/>
      <c r="BD3495" s="2829"/>
      <c r="BE3495" s="2837"/>
      <c r="BF3495" s="156"/>
    </row>
    <row r="3496" spans="1:58" ht="15" customHeight="1" outlineLevel="1" x14ac:dyDescent="0.35">
      <c r="A3496" s="1664"/>
      <c r="B3496" s="3641"/>
      <c r="C3496" s="3077"/>
      <c r="D3496" s="3980"/>
      <c r="E3496" s="3883"/>
      <c r="F3496" s="3984" t="str">
        <f>$E$1558</f>
        <v>ASHP-SEER16-Replace_CAC_NonElectricHeat_ER2_SF</v>
      </c>
      <c r="G3496" s="3984"/>
      <c r="H3496" s="3984"/>
      <c r="I3496" s="3984"/>
      <c r="J3496" s="3501" t="str">
        <f>$C$1558</f>
        <v>352510_2021_12_</v>
      </c>
      <c r="K3496" s="663">
        <v>1</v>
      </c>
      <c r="L3496" s="703"/>
      <c r="M3496" s="3022"/>
      <c r="N3496" s="106"/>
      <c r="O3496" s="106"/>
      <c r="P3496" s="702"/>
      <c r="Q3496" s="702"/>
      <c r="R3496" s="702"/>
      <c r="S3496" s="106"/>
      <c r="T3496" s="486"/>
      <c r="U3496" s="106"/>
      <c r="V3496" s="3980"/>
      <c r="W3496" s="663"/>
      <c r="X3496" s="663"/>
      <c r="Y3496" s="663"/>
      <c r="Z3496" s="663"/>
      <c r="AA3496" s="663"/>
      <c r="AB3496" s="663"/>
      <c r="AC3496" s="2924">
        <v>1</v>
      </c>
      <c r="AD3496" s="663">
        <v>1</v>
      </c>
      <c r="AE3496" s="2939"/>
      <c r="AF3496" s="663"/>
      <c r="AG3496" s="663"/>
      <c r="AH3496" s="156"/>
      <c r="AI3496" s="156"/>
      <c r="AJ3496" s="156"/>
      <c r="AK3496" s="156"/>
      <c r="AL3496" s="156"/>
      <c r="AM3496" s="156"/>
      <c r="AN3496" s="156"/>
      <c r="AO3496" s="156"/>
      <c r="AP3496" s="156"/>
      <c r="AQ3496" s="156"/>
      <c r="AR3496" s="156"/>
      <c r="AS3496" s="156"/>
      <c r="AT3496" s="156"/>
      <c r="AU3496" s="156"/>
      <c r="AV3496" s="156"/>
      <c r="AW3496" s="156"/>
      <c r="AX3496" s="156"/>
      <c r="AY3496" s="156"/>
      <c r="AZ3496" s="156"/>
      <c r="BA3496" s="156"/>
      <c r="BB3496" s="2828"/>
      <c r="BC3496" s="452"/>
      <c r="BD3496" s="2829"/>
      <c r="BE3496" s="2837"/>
      <c r="BF3496" s="156"/>
    </row>
    <row r="3497" spans="1:58" ht="15" customHeight="1" outlineLevel="1" x14ac:dyDescent="0.35">
      <c r="A3497" s="1664"/>
      <c r="B3497" s="3641"/>
      <c r="C3497" s="3077"/>
      <c r="D3497" s="3980"/>
      <c r="E3497" s="3883"/>
      <c r="F3497" s="3984" t="str">
        <f>$E$1560</f>
        <v>ASHP-SEER16_ER1_SF</v>
      </c>
      <c r="G3497" s="3984"/>
      <c r="H3497" s="3984"/>
      <c r="I3497" s="3984"/>
      <c r="J3497" s="3501" t="str">
        <f>$C$1560</f>
        <v>352550_2021_12_</v>
      </c>
      <c r="K3497" s="663">
        <v>1</v>
      </c>
      <c r="L3497" s="703"/>
      <c r="M3497" s="3022"/>
      <c r="N3497" s="106"/>
      <c r="O3497" s="106"/>
      <c r="P3497" s="702"/>
      <c r="Q3497" s="702"/>
      <c r="R3497" s="702"/>
      <c r="S3497" s="106"/>
      <c r="T3497" s="486"/>
      <c r="U3497" s="106"/>
      <c r="V3497" s="3980"/>
      <c r="W3497" s="663">
        <v>1</v>
      </c>
      <c r="X3497" s="663">
        <v>1</v>
      </c>
      <c r="Y3497" s="663">
        <v>1</v>
      </c>
      <c r="Z3497" s="663">
        <v>1</v>
      </c>
      <c r="AA3497" s="663">
        <v>1</v>
      </c>
      <c r="AB3497" s="663">
        <v>1</v>
      </c>
      <c r="AC3497" s="2923">
        <v>1</v>
      </c>
      <c r="AD3497" s="663">
        <v>1</v>
      </c>
      <c r="AE3497" s="2939"/>
      <c r="AF3497" s="663"/>
      <c r="AG3497" s="663"/>
      <c r="AH3497" s="156"/>
      <c r="AI3497" s="156"/>
      <c r="AJ3497" s="156"/>
      <c r="AK3497" s="156"/>
      <c r="AL3497" s="156"/>
      <c r="AM3497" s="156"/>
      <c r="AN3497" s="156"/>
      <c r="AO3497" s="156"/>
      <c r="AP3497" s="156"/>
      <c r="AQ3497" s="156"/>
      <c r="AR3497" s="156"/>
      <c r="AS3497" s="156"/>
      <c r="AT3497" s="156"/>
      <c r="AU3497" s="156"/>
      <c r="AV3497" s="156"/>
      <c r="AW3497" s="156"/>
      <c r="AX3497" s="156"/>
      <c r="AY3497" s="156"/>
      <c r="AZ3497" s="156"/>
      <c r="BA3497" s="156"/>
      <c r="BB3497" s="2828"/>
      <c r="BC3497" s="452"/>
      <c r="BD3497" s="2829"/>
      <c r="BE3497" s="2837"/>
      <c r="BF3497" s="156"/>
    </row>
    <row r="3498" spans="1:58" ht="15" customHeight="1" outlineLevel="1" x14ac:dyDescent="0.35">
      <c r="A3498" s="1664"/>
      <c r="B3498" s="3641"/>
      <c r="C3498" s="3077"/>
      <c r="D3498" s="3980"/>
      <c r="E3498" s="3883"/>
      <c r="F3498" s="3984" t="str">
        <f>$E$1562</f>
        <v>ASHP-SEER16_ER2_SF</v>
      </c>
      <c r="G3498" s="3984"/>
      <c r="H3498" s="3984"/>
      <c r="I3498" s="3984"/>
      <c r="J3498" s="3501" t="str">
        <f>$C$1562</f>
        <v>352550_2021_12_</v>
      </c>
      <c r="K3498" s="663">
        <v>1</v>
      </c>
      <c r="L3498" s="704"/>
      <c r="M3498" s="3022"/>
      <c r="N3498" s="106"/>
      <c r="O3498" s="106"/>
      <c r="P3498" s="702"/>
      <c r="Q3498" s="702"/>
      <c r="R3498" s="702"/>
      <c r="S3498" s="106"/>
      <c r="T3498" s="486"/>
      <c r="U3498" s="106"/>
      <c r="V3498" s="3980"/>
      <c r="W3498" s="663">
        <v>1</v>
      </c>
      <c r="X3498" s="663">
        <v>1</v>
      </c>
      <c r="Y3498" s="663">
        <v>1</v>
      </c>
      <c r="Z3498" s="663">
        <v>1</v>
      </c>
      <c r="AA3498" s="663">
        <v>1</v>
      </c>
      <c r="AB3498" s="663">
        <v>1</v>
      </c>
      <c r="AC3498" s="2923">
        <v>1</v>
      </c>
      <c r="AD3498" s="663">
        <v>1</v>
      </c>
      <c r="AE3498" s="2939"/>
      <c r="AF3498" s="663"/>
      <c r="AG3498" s="663"/>
      <c r="AH3498" s="156"/>
      <c r="AI3498" s="156"/>
      <c r="AJ3498" s="156"/>
      <c r="AK3498" s="156"/>
      <c r="AL3498" s="156"/>
      <c r="AM3498" s="156"/>
      <c r="AN3498" s="156"/>
      <c r="AO3498" s="156"/>
      <c r="AP3498" s="156"/>
      <c r="AQ3498" s="156"/>
      <c r="AR3498" s="156"/>
      <c r="AS3498" s="156"/>
      <c r="AT3498" s="156"/>
      <c r="AU3498" s="156"/>
      <c r="AV3498" s="156"/>
      <c r="AW3498" s="156"/>
      <c r="AX3498" s="156"/>
      <c r="AY3498" s="156"/>
      <c r="AZ3498" s="156"/>
      <c r="BA3498" s="156"/>
      <c r="BB3498" s="2828"/>
      <c r="BC3498" s="452"/>
      <c r="BD3498" s="2829"/>
      <c r="BE3498" s="2837"/>
      <c r="BF3498" s="156"/>
    </row>
    <row r="3499" spans="1:58" ht="15" customHeight="1" outlineLevel="1" x14ac:dyDescent="0.35">
      <c r="A3499" s="1664"/>
      <c r="B3499" s="3641"/>
      <c r="C3499" s="3077"/>
      <c r="D3499" s="3980"/>
      <c r="E3499" s="3883"/>
      <c r="F3499" s="3984" t="str">
        <f>$E$1564</f>
        <v>ASHP-SEER16-Replace_CAC_ElectricHeat_ROF_SF</v>
      </c>
      <c r="G3499" s="3984"/>
      <c r="H3499" s="3984"/>
      <c r="I3499" s="3984"/>
      <c r="J3499" s="3501" t="str">
        <f>$C$1564</f>
        <v>352600_2021_12_</v>
      </c>
      <c r="K3499" s="663">
        <v>1</v>
      </c>
      <c r="L3499" s="704"/>
      <c r="M3499" s="3022"/>
      <c r="N3499" s="106"/>
      <c r="O3499" s="106"/>
      <c r="P3499" s="702"/>
      <c r="Q3499" s="702"/>
      <c r="R3499" s="702"/>
      <c r="S3499" s="106"/>
      <c r="T3499" s="486"/>
      <c r="U3499" s="106"/>
      <c r="V3499" s="3980"/>
      <c r="W3499" s="663">
        <v>1</v>
      </c>
      <c r="X3499" s="663">
        <v>1</v>
      </c>
      <c r="Y3499" s="663">
        <v>1</v>
      </c>
      <c r="Z3499" s="663">
        <v>1</v>
      </c>
      <c r="AA3499" s="663">
        <v>1</v>
      </c>
      <c r="AB3499" s="663">
        <v>1</v>
      </c>
      <c r="AC3499" s="2923">
        <v>1</v>
      </c>
      <c r="AD3499" s="663">
        <v>1</v>
      </c>
      <c r="AE3499" s="2939"/>
      <c r="AF3499" s="663"/>
      <c r="AG3499" s="663"/>
      <c r="AH3499" s="156"/>
      <c r="AI3499" s="156"/>
      <c r="AJ3499" s="156"/>
      <c r="AK3499" s="156"/>
      <c r="AL3499" s="156"/>
      <c r="AM3499" s="156"/>
      <c r="AN3499" s="156"/>
      <c r="AO3499" s="156"/>
      <c r="AP3499" s="156"/>
      <c r="AQ3499" s="156"/>
      <c r="AR3499" s="156"/>
      <c r="AS3499" s="156"/>
      <c r="AT3499" s="156"/>
      <c r="AU3499" s="156"/>
      <c r="AV3499" s="156"/>
      <c r="AW3499" s="156"/>
      <c r="AX3499" s="156"/>
      <c r="AY3499" s="156"/>
      <c r="AZ3499" s="156"/>
      <c r="BA3499" s="156"/>
      <c r="BB3499" s="2828"/>
      <c r="BC3499" s="452"/>
      <c r="BD3499" s="2829"/>
      <c r="BE3499" s="2837"/>
      <c r="BF3499" s="156"/>
    </row>
    <row r="3500" spans="1:58" ht="15" customHeight="1" outlineLevel="1" x14ac:dyDescent="0.35">
      <c r="A3500" s="1664"/>
      <c r="B3500" s="3641"/>
      <c r="C3500" s="3077"/>
      <c r="D3500" s="3980"/>
      <c r="E3500" s="3883"/>
      <c r="F3500" s="4136" t="str">
        <f>$E$1566</f>
        <v>ASHP-SEER16-Replace_CAC_NonElectricHeat_ROF_SF</v>
      </c>
      <c r="G3500" s="4136"/>
      <c r="H3500" s="4136"/>
      <c r="I3500" s="4136"/>
      <c r="J3500" s="3502" t="str">
        <f>$C$1566</f>
        <v>352610_2022_12_</v>
      </c>
      <c r="K3500" s="661">
        <v>1</v>
      </c>
      <c r="L3500" s="704"/>
      <c r="M3500" s="3022"/>
      <c r="N3500" s="3391"/>
      <c r="O3500" s="3391"/>
      <c r="P3500" s="702"/>
      <c r="Q3500" s="702"/>
      <c r="R3500" s="702"/>
      <c r="S3500" s="3391"/>
      <c r="T3500" s="3389"/>
      <c r="U3500" s="3391"/>
      <c r="V3500" s="3980"/>
      <c r="W3500" s="663"/>
      <c r="X3500" s="663"/>
      <c r="Y3500" s="663"/>
      <c r="Z3500" s="663"/>
      <c r="AA3500" s="663"/>
      <c r="AB3500" s="663"/>
      <c r="AC3500" s="2923"/>
      <c r="AD3500" s="661">
        <v>1</v>
      </c>
      <c r="AE3500" s="2939"/>
      <c r="AF3500" s="663"/>
      <c r="AG3500" s="663"/>
      <c r="AH3500" s="156"/>
      <c r="AI3500" s="156"/>
      <c r="AJ3500" s="156"/>
      <c r="AK3500" s="156"/>
      <c r="AL3500" s="156"/>
      <c r="AM3500" s="156"/>
      <c r="AN3500" s="156"/>
      <c r="AO3500" s="156"/>
      <c r="AP3500" s="156"/>
      <c r="AQ3500" s="156"/>
      <c r="AR3500" s="156"/>
      <c r="AS3500" s="156"/>
      <c r="AT3500" s="156"/>
      <c r="AU3500" s="156"/>
      <c r="AV3500" s="156"/>
      <c r="AW3500" s="156"/>
      <c r="AX3500" s="156"/>
      <c r="AY3500" s="156"/>
      <c r="AZ3500" s="156"/>
      <c r="BA3500" s="156"/>
      <c r="BB3500" s="2828"/>
      <c r="BC3500" s="452"/>
      <c r="BD3500" s="2829"/>
      <c r="BE3500" s="2837"/>
      <c r="BF3500" s="156"/>
    </row>
    <row r="3501" spans="1:58" ht="15" customHeight="1" outlineLevel="1" x14ac:dyDescent="0.35">
      <c r="A3501" s="1664"/>
      <c r="B3501" s="3641"/>
      <c r="C3501" s="3077"/>
      <c r="D3501" s="3980"/>
      <c r="E3501" s="3883"/>
      <c r="F3501" s="3984" t="str">
        <f>$E$1568</f>
        <v>ASHP-SEER16_ROF_SF</v>
      </c>
      <c r="G3501" s="3984"/>
      <c r="H3501" s="3984"/>
      <c r="I3501" s="3984"/>
      <c r="J3501" s="3501" t="str">
        <f>$C$1568</f>
        <v>352650_2021_12_</v>
      </c>
      <c r="K3501" s="663">
        <v>1</v>
      </c>
      <c r="L3501" s="704"/>
      <c r="M3501" s="3022"/>
      <c r="N3501" s="106"/>
      <c r="O3501" s="106"/>
      <c r="P3501" s="702"/>
      <c r="Q3501" s="702"/>
      <c r="R3501" s="702"/>
      <c r="S3501" s="106"/>
      <c r="T3501" s="486"/>
      <c r="U3501" s="106"/>
      <c r="V3501" s="3980"/>
      <c r="W3501" s="663">
        <v>1</v>
      </c>
      <c r="X3501" s="663">
        <v>1</v>
      </c>
      <c r="Y3501" s="663">
        <v>1</v>
      </c>
      <c r="Z3501" s="663">
        <v>1</v>
      </c>
      <c r="AA3501" s="663">
        <v>1</v>
      </c>
      <c r="AB3501" s="663">
        <v>1</v>
      </c>
      <c r="AC3501" s="2923">
        <v>1</v>
      </c>
      <c r="AD3501" s="663">
        <v>1</v>
      </c>
      <c r="AE3501" s="2939"/>
      <c r="AF3501" s="663"/>
      <c r="AG3501" s="663"/>
      <c r="AH3501" s="156"/>
      <c r="AI3501" s="156"/>
      <c r="AJ3501" s="156"/>
      <c r="AK3501" s="156"/>
      <c r="AL3501" s="156"/>
      <c r="AM3501" s="156"/>
      <c r="AN3501" s="156"/>
      <c r="AO3501" s="156"/>
      <c r="AP3501" s="156"/>
      <c r="AQ3501" s="156"/>
      <c r="AR3501" s="156"/>
      <c r="AS3501" s="156"/>
      <c r="AT3501" s="156"/>
      <c r="AU3501" s="156"/>
      <c r="AV3501" s="156"/>
      <c r="AW3501" s="156"/>
      <c r="AX3501" s="156"/>
      <c r="AY3501" s="156"/>
      <c r="AZ3501" s="156"/>
      <c r="BA3501" s="156"/>
      <c r="BB3501" s="2828"/>
      <c r="BC3501" s="452"/>
      <c r="BD3501" s="2829"/>
      <c r="BE3501" s="2837"/>
      <c r="BF3501" s="156"/>
    </row>
    <row r="3502" spans="1:58" ht="15" customHeight="1" outlineLevel="1" x14ac:dyDescent="0.35">
      <c r="A3502" s="1664"/>
      <c r="B3502" s="3641"/>
      <c r="C3502" s="3077"/>
      <c r="D3502" s="3980"/>
      <c r="E3502" s="3883"/>
      <c r="F3502" s="3984" t="str">
        <f>$E$1570</f>
        <v>ASHP-SEER15_ER1_MF</v>
      </c>
      <c r="G3502" s="3984"/>
      <c r="H3502" s="3984"/>
      <c r="I3502" s="3984"/>
      <c r="J3502" s="3501" t="str">
        <f>$C$1570</f>
        <v>352700_2021_12_</v>
      </c>
      <c r="K3502" s="3643">
        <v>1</v>
      </c>
      <c r="L3502" s="704"/>
      <c r="M3502" s="3020" t="s">
        <v>977</v>
      </c>
      <c r="N3502" s="106"/>
      <c r="O3502" s="106"/>
      <c r="P3502" s="702"/>
      <c r="Q3502" s="702"/>
      <c r="R3502" s="702"/>
      <c r="S3502" s="106"/>
      <c r="T3502" s="486"/>
      <c r="U3502" s="106"/>
      <c r="V3502" s="3980"/>
      <c r="W3502" s="663">
        <v>0.65</v>
      </c>
      <c r="X3502" s="663">
        <v>0.65</v>
      </c>
      <c r="Y3502" s="663">
        <v>0.65</v>
      </c>
      <c r="Z3502" s="663">
        <v>0.65</v>
      </c>
      <c r="AA3502" s="663">
        <v>0.65</v>
      </c>
      <c r="AB3502" s="663">
        <v>0.65</v>
      </c>
      <c r="AC3502" s="2923">
        <v>0.65</v>
      </c>
      <c r="AD3502" s="3643">
        <v>1</v>
      </c>
      <c r="AE3502" s="2939"/>
      <c r="AF3502" s="663"/>
      <c r="AG3502" s="663"/>
      <c r="AH3502" s="156"/>
      <c r="AI3502" s="156"/>
      <c r="AJ3502" s="156"/>
      <c r="AK3502" s="156"/>
      <c r="AL3502" s="156"/>
      <c r="AM3502" s="156"/>
      <c r="AN3502" s="156"/>
      <c r="AO3502" s="156"/>
      <c r="AP3502" s="156"/>
      <c r="AQ3502" s="156"/>
      <c r="AR3502" s="156"/>
      <c r="AS3502" s="156"/>
      <c r="AT3502" s="156"/>
      <c r="AU3502" s="156"/>
      <c r="AV3502" s="156"/>
      <c r="AW3502" s="156"/>
      <c r="AX3502" s="156"/>
      <c r="AY3502" s="156"/>
      <c r="AZ3502" s="156"/>
      <c r="BA3502" s="156"/>
      <c r="BB3502" s="2828"/>
      <c r="BC3502" s="452"/>
      <c r="BD3502" s="2829"/>
      <c r="BE3502" s="2837"/>
      <c r="BF3502" s="156"/>
    </row>
    <row r="3503" spans="1:58" ht="15" customHeight="1" outlineLevel="1" x14ac:dyDescent="0.35">
      <c r="A3503" s="1664"/>
      <c r="B3503" s="3641"/>
      <c r="C3503" s="3077"/>
      <c r="D3503" s="3980"/>
      <c r="E3503" s="3883"/>
      <c r="F3503" s="3984" t="str">
        <f>$E$1572</f>
        <v>ASHP-SEER15_ER2_MF</v>
      </c>
      <c r="G3503" s="3984"/>
      <c r="H3503" s="3984"/>
      <c r="I3503" s="3984"/>
      <c r="J3503" s="3501" t="str">
        <f>$C$1572</f>
        <v>352700_2021_12_</v>
      </c>
      <c r="K3503" s="3643">
        <v>1</v>
      </c>
      <c r="L3503" s="704"/>
      <c r="M3503" s="3020" t="s">
        <v>977</v>
      </c>
      <c r="N3503" s="106"/>
      <c r="O3503" s="106"/>
      <c r="P3503" s="702"/>
      <c r="Q3503" s="702"/>
      <c r="R3503" s="702"/>
      <c r="S3503" s="106"/>
      <c r="T3503" s="486"/>
      <c r="U3503" s="106"/>
      <c r="V3503" s="3980"/>
      <c r="W3503" s="663">
        <v>0.65</v>
      </c>
      <c r="X3503" s="663">
        <v>0.65</v>
      </c>
      <c r="Y3503" s="663">
        <v>0.65</v>
      </c>
      <c r="Z3503" s="663">
        <v>0.65</v>
      </c>
      <c r="AA3503" s="663">
        <v>0.65</v>
      </c>
      <c r="AB3503" s="663">
        <v>0.65</v>
      </c>
      <c r="AC3503" s="2923">
        <v>0.65</v>
      </c>
      <c r="AD3503" s="3643">
        <v>1</v>
      </c>
      <c r="AE3503" s="2939"/>
      <c r="AF3503" s="663"/>
      <c r="AG3503" s="663"/>
      <c r="AH3503" s="156"/>
      <c r="AI3503" s="156"/>
      <c r="AJ3503" s="156"/>
      <c r="AK3503" s="156"/>
      <c r="AL3503" s="156"/>
      <c r="AM3503" s="156"/>
      <c r="AN3503" s="156"/>
      <c r="AO3503" s="156"/>
      <c r="AP3503" s="156"/>
      <c r="AQ3503" s="156"/>
      <c r="AR3503" s="156"/>
      <c r="AS3503" s="156"/>
      <c r="AT3503" s="156"/>
      <c r="AU3503" s="156"/>
      <c r="AV3503" s="156"/>
      <c r="AW3503" s="156"/>
      <c r="AX3503" s="156"/>
      <c r="AY3503" s="156"/>
      <c r="AZ3503" s="156"/>
      <c r="BA3503" s="156"/>
      <c r="BB3503" s="2828"/>
      <c r="BC3503" s="452"/>
      <c r="BD3503" s="2829"/>
      <c r="BE3503" s="2837"/>
      <c r="BF3503" s="156"/>
    </row>
    <row r="3504" spans="1:58" ht="15" customHeight="1" outlineLevel="1" x14ac:dyDescent="0.35">
      <c r="A3504" s="1664"/>
      <c r="B3504" s="3641"/>
      <c r="C3504" s="3077"/>
      <c r="D3504" s="3980"/>
      <c r="E3504" s="3883"/>
      <c r="F3504" s="3984" t="str">
        <f>$E$1574</f>
        <v>ASHP-SEER15_ER1_MF_CompE</v>
      </c>
      <c r="G3504" s="3984"/>
      <c r="H3504" s="3984"/>
      <c r="I3504" s="3984"/>
      <c r="J3504" s="3501" t="str">
        <f>$C$1574</f>
        <v>352701_2021_12_</v>
      </c>
      <c r="K3504" s="3644">
        <v>0.65</v>
      </c>
      <c r="L3504" s="704"/>
      <c r="M3504" s="3020"/>
      <c r="N3504" s="106"/>
      <c r="O3504" s="106"/>
      <c r="P3504" s="702"/>
      <c r="Q3504" s="702"/>
      <c r="R3504" s="702"/>
      <c r="S3504" s="106"/>
      <c r="T3504" s="486"/>
      <c r="U3504" s="106"/>
      <c r="V3504" s="3980"/>
      <c r="W3504" s="663"/>
      <c r="X3504" s="663"/>
      <c r="Y3504" s="661">
        <v>0.65</v>
      </c>
      <c r="Z3504" s="663">
        <v>0.65</v>
      </c>
      <c r="AA3504" s="663">
        <v>0.65</v>
      </c>
      <c r="AB3504" s="663">
        <v>0.65</v>
      </c>
      <c r="AC3504" s="2923">
        <f>AC3502</f>
        <v>0.65</v>
      </c>
      <c r="AD3504" s="663">
        <v>0.65</v>
      </c>
      <c r="AE3504" s="2939"/>
      <c r="AF3504" s="663"/>
      <c r="AG3504" s="663"/>
      <c r="AH3504" s="156"/>
      <c r="AI3504" s="156"/>
      <c r="AJ3504" s="156"/>
      <c r="AK3504" s="156"/>
      <c r="AL3504" s="156"/>
      <c r="AM3504" s="156"/>
      <c r="AN3504" s="156"/>
      <c r="AO3504" s="156"/>
      <c r="AP3504" s="156"/>
      <c r="AQ3504" s="156"/>
      <c r="AR3504" s="156"/>
      <c r="AS3504" s="156"/>
      <c r="AT3504" s="156"/>
      <c r="AU3504" s="156"/>
      <c r="AV3504" s="156"/>
      <c r="AW3504" s="156"/>
      <c r="AX3504" s="156"/>
      <c r="AY3504" s="156"/>
      <c r="AZ3504" s="156"/>
      <c r="BA3504" s="156"/>
      <c r="BB3504" s="2828"/>
      <c r="BC3504" s="452"/>
      <c r="BD3504" s="2829"/>
      <c r="BE3504" s="2837"/>
      <c r="BF3504" s="156"/>
    </row>
    <row r="3505" spans="1:58" ht="15" customHeight="1" outlineLevel="1" x14ac:dyDescent="0.35">
      <c r="A3505" s="1664"/>
      <c r="B3505" s="3641"/>
      <c r="C3505" s="3077"/>
      <c r="D3505" s="3980"/>
      <c r="E3505" s="3883"/>
      <c r="F3505" s="3984" t="str">
        <f>$E$1576</f>
        <v>ASHP-SEER15_ER2_MF_CompE</v>
      </c>
      <c r="G3505" s="3984"/>
      <c r="H3505" s="3984"/>
      <c r="I3505" s="3984"/>
      <c r="J3505" s="3501" t="str">
        <f>$C$1576</f>
        <v>352701_2021_12_</v>
      </c>
      <c r="K3505" s="663">
        <v>0.65</v>
      </c>
      <c r="L3505" s="704"/>
      <c r="M3505" s="3020"/>
      <c r="N3505" s="106"/>
      <c r="O3505" s="106"/>
      <c r="P3505" s="702"/>
      <c r="Q3505" s="702"/>
      <c r="R3505" s="702"/>
      <c r="S3505" s="106"/>
      <c r="T3505" s="486"/>
      <c r="U3505" s="106"/>
      <c r="V3505" s="3980"/>
      <c r="W3505" s="663"/>
      <c r="X3505" s="663"/>
      <c r="Y3505" s="661">
        <v>0.65</v>
      </c>
      <c r="Z3505" s="663">
        <v>0.65</v>
      </c>
      <c r="AA3505" s="663">
        <v>0.65</v>
      </c>
      <c r="AB3505" s="663">
        <v>0.65</v>
      </c>
      <c r="AC3505" s="2923">
        <f>AC3503</f>
        <v>0.65</v>
      </c>
      <c r="AD3505" s="663">
        <v>0.65</v>
      </c>
      <c r="AE3505" s="2939"/>
      <c r="AF3505" s="663"/>
      <c r="AG3505" s="663"/>
      <c r="AH3505" s="156"/>
      <c r="AI3505" s="156"/>
      <c r="AJ3505" s="156"/>
      <c r="AK3505" s="156"/>
      <c r="AL3505" s="156"/>
      <c r="AM3505" s="156"/>
      <c r="AN3505" s="156"/>
      <c r="AO3505" s="156"/>
      <c r="AP3505" s="156"/>
      <c r="AQ3505" s="156"/>
      <c r="AR3505" s="156"/>
      <c r="AS3505" s="156"/>
      <c r="AT3505" s="156"/>
      <c r="AU3505" s="156"/>
      <c r="AV3505" s="156"/>
      <c r="AW3505" s="156"/>
      <c r="AX3505" s="156"/>
      <c r="AY3505" s="156"/>
      <c r="AZ3505" s="156"/>
      <c r="BA3505" s="156"/>
      <c r="BB3505" s="2828"/>
      <c r="BC3505" s="452"/>
      <c r="BD3505" s="2829"/>
      <c r="BE3505" s="2837"/>
      <c r="BF3505" s="156"/>
    </row>
    <row r="3506" spans="1:58" ht="15" customHeight="1" outlineLevel="1" x14ac:dyDescent="0.35">
      <c r="A3506" s="1664"/>
      <c r="B3506" s="3641"/>
      <c r="C3506" s="3077"/>
      <c r="D3506" s="3980"/>
      <c r="E3506" s="3883"/>
      <c r="F3506" s="3984" t="str">
        <f>$E$1578</f>
        <v>ASHP-SEER15-Replace_CAC_ElectricHeat_ER1_MF</v>
      </c>
      <c r="G3506" s="3984"/>
      <c r="H3506" s="3984"/>
      <c r="I3506" s="3984"/>
      <c r="J3506" s="3501" t="str">
        <f>$C$1578</f>
        <v>352750_2021_12_</v>
      </c>
      <c r="K3506" s="3643">
        <v>1</v>
      </c>
      <c r="L3506" s="704"/>
      <c r="M3506" s="3020" t="s">
        <v>977</v>
      </c>
      <c r="N3506" s="106"/>
      <c r="O3506" s="106"/>
      <c r="P3506" s="702"/>
      <c r="Q3506" s="702"/>
      <c r="R3506" s="702"/>
      <c r="S3506" s="106"/>
      <c r="T3506" s="486"/>
      <c r="U3506" s="106"/>
      <c r="V3506" s="3980"/>
      <c r="W3506" s="663">
        <v>0.65</v>
      </c>
      <c r="X3506" s="663">
        <v>0.65</v>
      </c>
      <c r="Y3506" s="663">
        <v>0.65</v>
      </c>
      <c r="Z3506" s="663">
        <v>0.65</v>
      </c>
      <c r="AA3506" s="663">
        <v>0.65</v>
      </c>
      <c r="AB3506" s="663">
        <v>0.65</v>
      </c>
      <c r="AC3506" s="2923">
        <v>0.65</v>
      </c>
      <c r="AD3506" s="3643">
        <v>1</v>
      </c>
      <c r="AE3506" s="2939"/>
      <c r="AF3506" s="663"/>
      <c r="AG3506" s="663"/>
      <c r="AH3506" s="156"/>
      <c r="AI3506" s="156"/>
      <c r="AJ3506" s="156"/>
      <c r="AK3506" s="156"/>
      <c r="AL3506" s="156"/>
      <c r="AM3506" s="156"/>
      <c r="AN3506" s="156"/>
      <c r="AO3506" s="156"/>
      <c r="AP3506" s="156"/>
      <c r="AQ3506" s="156"/>
      <c r="AR3506" s="156"/>
      <c r="AS3506" s="156"/>
      <c r="AT3506" s="156"/>
      <c r="AU3506" s="156"/>
      <c r="AV3506" s="156"/>
      <c r="AW3506" s="156"/>
      <c r="AX3506" s="156"/>
      <c r="AY3506" s="156"/>
      <c r="AZ3506" s="156"/>
      <c r="BA3506" s="156"/>
      <c r="BB3506" s="2828"/>
      <c r="BC3506" s="452"/>
      <c r="BD3506" s="2829"/>
      <c r="BE3506" s="2837"/>
      <c r="BF3506" s="156"/>
    </row>
    <row r="3507" spans="1:58" ht="15" customHeight="1" outlineLevel="1" x14ac:dyDescent="0.35">
      <c r="A3507" s="1664"/>
      <c r="B3507" s="3641"/>
      <c r="C3507" s="3077"/>
      <c r="D3507" s="3980"/>
      <c r="E3507" s="3883"/>
      <c r="F3507" s="3984" t="str">
        <f>$E$1580</f>
        <v>ASHP-SEER15-Replace_CAC_ElectricHeat_ER2_MF</v>
      </c>
      <c r="G3507" s="3984"/>
      <c r="H3507" s="3984"/>
      <c r="I3507" s="3984"/>
      <c r="J3507" s="3501" t="str">
        <f>$C$1580</f>
        <v>352750_2021_12_</v>
      </c>
      <c r="K3507" s="3643">
        <v>1</v>
      </c>
      <c r="L3507" s="704"/>
      <c r="M3507" s="3020" t="s">
        <v>977</v>
      </c>
      <c r="N3507" s="106"/>
      <c r="O3507" s="106"/>
      <c r="P3507" s="702"/>
      <c r="Q3507" s="702"/>
      <c r="R3507" s="702"/>
      <c r="S3507" s="106"/>
      <c r="T3507" s="486"/>
      <c r="U3507" s="106"/>
      <c r="V3507" s="3980"/>
      <c r="W3507" s="663">
        <v>0.65</v>
      </c>
      <c r="X3507" s="663">
        <v>0.65</v>
      </c>
      <c r="Y3507" s="663">
        <v>0.65</v>
      </c>
      <c r="Z3507" s="663">
        <v>0.65</v>
      </c>
      <c r="AA3507" s="663">
        <v>0.65</v>
      </c>
      <c r="AB3507" s="663">
        <v>0.65</v>
      </c>
      <c r="AC3507" s="2923">
        <v>0.65</v>
      </c>
      <c r="AD3507" s="3643">
        <v>1</v>
      </c>
      <c r="AE3507" s="2939"/>
      <c r="AF3507" s="663"/>
      <c r="AG3507" s="663"/>
      <c r="AH3507" s="156"/>
      <c r="AI3507" s="156"/>
      <c r="AJ3507" s="156"/>
      <c r="AK3507" s="156"/>
      <c r="AL3507" s="156"/>
      <c r="AM3507" s="156"/>
      <c r="AN3507" s="156"/>
      <c r="AO3507" s="156"/>
      <c r="AP3507" s="156"/>
      <c r="AQ3507" s="156"/>
      <c r="AR3507" s="156"/>
      <c r="AS3507" s="156"/>
      <c r="AT3507" s="156"/>
      <c r="AU3507" s="156"/>
      <c r="AV3507" s="156"/>
      <c r="AW3507" s="156"/>
      <c r="AX3507" s="156"/>
      <c r="AY3507" s="156"/>
      <c r="AZ3507" s="156"/>
      <c r="BA3507" s="156"/>
      <c r="BB3507" s="2828"/>
      <c r="BC3507" s="452"/>
      <c r="BD3507" s="2829"/>
      <c r="BE3507" s="2837"/>
      <c r="BF3507" s="156"/>
    </row>
    <row r="3508" spans="1:58" ht="15" customHeight="1" outlineLevel="1" x14ac:dyDescent="0.35">
      <c r="A3508" s="1664"/>
      <c r="B3508" s="3641"/>
      <c r="C3508" s="3077"/>
      <c r="D3508" s="3980"/>
      <c r="E3508" s="3883"/>
      <c r="F3508" s="3984" t="str">
        <f>$E$1582</f>
        <v>ASHP-SEER15-Replace_CAC_ElectricHeat_ER1_MF_CompE</v>
      </c>
      <c r="G3508" s="3984"/>
      <c r="H3508" s="3984"/>
      <c r="I3508" s="3984"/>
      <c r="J3508" s="3501" t="str">
        <f>$C$1582</f>
        <v>352751_2021_12_</v>
      </c>
      <c r="K3508" s="3643">
        <v>1</v>
      </c>
      <c r="L3508" s="704"/>
      <c r="M3508" s="3020"/>
      <c r="N3508" s="106"/>
      <c r="O3508" s="106"/>
      <c r="P3508" s="702"/>
      <c r="Q3508" s="702"/>
      <c r="R3508" s="702"/>
      <c r="S3508" s="106"/>
      <c r="T3508" s="486"/>
      <c r="U3508" s="106"/>
      <c r="V3508" s="3980"/>
      <c r="W3508" s="663"/>
      <c r="X3508" s="663"/>
      <c r="Y3508" s="661">
        <v>0.65</v>
      </c>
      <c r="Z3508" s="663">
        <v>0.65</v>
      </c>
      <c r="AA3508" s="663">
        <v>0.65</v>
      </c>
      <c r="AB3508" s="663">
        <v>0.65</v>
      </c>
      <c r="AC3508" s="2923">
        <f>AC3506</f>
        <v>0.65</v>
      </c>
      <c r="AD3508" s="3643">
        <v>1</v>
      </c>
      <c r="AE3508" s="2939"/>
      <c r="AF3508" s="663"/>
      <c r="AG3508" s="663"/>
      <c r="AH3508" s="156"/>
      <c r="AI3508" s="156"/>
      <c r="AJ3508" s="156"/>
      <c r="AK3508" s="156"/>
      <c r="AL3508" s="156"/>
      <c r="AM3508" s="156"/>
      <c r="AN3508" s="156"/>
      <c r="AO3508" s="156"/>
      <c r="AP3508" s="156"/>
      <c r="AQ3508" s="156"/>
      <c r="AR3508" s="156"/>
      <c r="AS3508" s="156"/>
      <c r="AT3508" s="156"/>
      <c r="AU3508" s="156"/>
      <c r="AV3508" s="156"/>
      <c r="AW3508" s="156"/>
      <c r="AX3508" s="156"/>
      <c r="AY3508" s="156"/>
      <c r="AZ3508" s="156"/>
      <c r="BA3508" s="156"/>
      <c r="BB3508" s="2828"/>
      <c r="BC3508" s="452"/>
      <c r="BD3508" s="2829"/>
      <c r="BE3508" s="2837"/>
      <c r="BF3508" s="156"/>
    </row>
    <row r="3509" spans="1:58" ht="15" customHeight="1" outlineLevel="1" x14ac:dyDescent="0.35">
      <c r="A3509" s="1664"/>
      <c r="B3509" s="3641"/>
      <c r="C3509" s="3077"/>
      <c r="D3509" s="3980"/>
      <c r="E3509" s="3883"/>
      <c r="F3509" s="3984" t="str">
        <f>$E$1584</f>
        <v>ASHP-SEER15-Replace_CAC_ElectricHeat_ER2_MF_CompE</v>
      </c>
      <c r="G3509" s="3984"/>
      <c r="H3509" s="3984"/>
      <c r="I3509" s="3984"/>
      <c r="J3509" s="3501" t="str">
        <f>$C$1584</f>
        <v>352751_2021_12_</v>
      </c>
      <c r="K3509" s="3643">
        <v>1</v>
      </c>
      <c r="L3509" s="704"/>
      <c r="M3509" s="3020"/>
      <c r="N3509" s="106"/>
      <c r="O3509" s="106"/>
      <c r="P3509" s="702"/>
      <c r="Q3509" s="702"/>
      <c r="R3509" s="702"/>
      <c r="S3509" s="106"/>
      <c r="T3509" s="486"/>
      <c r="U3509" s="106"/>
      <c r="V3509" s="3980"/>
      <c r="W3509" s="663"/>
      <c r="X3509" s="663"/>
      <c r="Y3509" s="661">
        <v>0.65</v>
      </c>
      <c r="Z3509" s="663">
        <v>0.65</v>
      </c>
      <c r="AA3509" s="663">
        <v>0.65</v>
      </c>
      <c r="AB3509" s="663">
        <v>0.65</v>
      </c>
      <c r="AC3509" s="2925">
        <f>AC3507</f>
        <v>0.65</v>
      </c>
      <c r="AD3509" s="3643">
        <v>1</v>
      </c>
      <c r="AE3509" s="2939"/>
      <c r="AF3509" s="663"/>
      <c r="AG3509" s="663"/>
      <c r="AH3509" s="156"/>
      <c r="AI3509" s="156"/>
      <c r="AJ3509" s="156"/>
      <c r="AK3509" s="156"/>
      <c r="AL3509" s="156"/>
      <c r="AM3509" s="156"/>
      <c r="AN3509" s="156"/>
      <c r="AO3509" s="156"/>
      <c r="AP3509" s="156"/>
      <c r="AQ3509" s="156"/>
      <c r="AR3509" s="156"/>
      <c r="AS3509" s="156"/>
      <c r="AT3509" s="156"/>
      <c r="AU3509" s="156"/>
      <c r="AV3509" s="156"/>
      <c r="AW3509" s="156"/>
      <c r="AX3509" s="156"/>
      <c r="AY3509" s="156"/>
      <c r="AZ3509" s="156"/>
      <c r="BA3509" s="156"/>
      <c r="BB3509" s="2828"/>
      <c r="BC3509" s="452"/>
      <c r="BD3509" s="2829"/>
      <c r="BE3509" s="2837"/>
      <c r="BF3509" s="156"/>
    </row>
    <row r="3510" spans="1:58" ht="15" customHeight="1" outlineLevel="1" x14ac:dyDescent="0.35">
      <c r="A3510" s="1664"/>
      <c r="B3510" s="3641"/>
      <c r="C3510" s="3077"/>
      <c r="D3510" s="3980"/>
      <c r="E3510" s="3883"/>
      <c r="F3510" s="3984" t="str">
        <f>$E$1586</f>
        <v>ASHP-SEER15-Replace_CAC_NonElectricHeat_ER1_MF</v>
      </c>
      <c r="G3510" s="3984"/>
      <c r="H3510" s="3984"/>
      <c r="I3510" s="3984"/>
      <c r="J3510" s="3501" t="str">
        <f>$C$1586</f>
        <v>352760_2021_12_</v>
      </c>
      <c r="K3510" s="3643">
        <v>1</v>
      </c>
      <c r="L3510" s="704"/>
      <c r="M3510" s="3020"/>
      <c r="N3510" s="106"/>
      <c r="O3510" s="106"/>
      <c r="P3510" s="702"/>
      <c r="Q3510" s="702"/>
      <c r="R3510" s="702"/>
      <c r="S3510" s="106"/>
      <c r="T3510" s="486"/>
      <c r="U3510" s="106"/>
      <c r="V3510" s="3980"/>
      <c r="W3510" s="663"/>
      <c r="X3510" s="663"/>
      <c r="Y3510" s="661"/>
      <c r="Z3510" s="663"/>
      <c r="AA3510" s="663"/>
      <c r="AB3510" s="663"/>
      <c r="AC3510" s="2924">
        <v>0.65</v>
      </c>
      <c r="AD3510" s="3643">
        <v>1</v>
      </c>
      <c r="AE3510" s="2939"/>
      <c r="AF3510" s="663"/>
      <c r="AG3510" s="663"/>
      <c r="AH3510" s="156"/>
      <c r="AI3510" s="156"/>
      <c r="AJ3510" s="156"/>
      <c r="AK3510" s="156"/>
      <c r="AL3510" s="156"/>
      <c r="AM3510" s="156"/>
      <c r="AN3510" s="156"/>
      <c r="AO3510" s="156"/>
      <c r="AP3510" s="156"/>
      <c r="AQ3510" s="156"/>
      <c r="AR3510" s="156"/>
      <c r="AS3510" s="156"/>
      <c r="AT3510" s="156"/>
      <c r="AU3510" s="156"/>
      <c r="AV3510" s="156"/>
      <c r="AW3510" s="156"/>
      <c r="AX3510" s="156"/>
      <c r="AY3510" s="156"/>
      <c r="AZ3510" s="156"/>
      <c r="BA3510" s="156"/>
      <c r="BB3510" s="2828"/>
      <c r="BC3510" s="452"/>
      <c r="BD3510" s="2829"/>
      <c r="BE3510" s="2837"/>
      <c r="BF3510" s="156"/>
    </row>
    <row r="3511" spans="1:58" ht="15" customHeight="1" outlineLevel="1" x14ac:dyDescent="0.35">
      <c r="A3511" s="1664"/>
      <c r="B3511" s="3641"/>
      <c r="C3511" s="3077"/>
      <c r="D3511" s="3980"/>
      <c r="E3511" s="3883"/>
      <c r="F3511" s="3984" t="str">
        <f>$E$1588</f>
        <v>ASHP-SEER15-Replace_CAC_NonElectricHeat_ER2_MF</v>
      </c>
      <c r="G3511" s="3984"/>
      <c r="H3511" s="3984"/>
      <c r="I3511" s="3984"/>
      <c r="J3511" s="3501" t="str">
        <f>$C$1588</f>
        <v>352760_2021_12_</v>
      </c>
      <c r="K3511" s="3643">
        <v>1</v>
      </c>
      <c r="L3511" s="704"/>
      <c r="M3511" s="3020"/>
      <c r="N3511" s="106"/>
      <c r="O3511" s="106"/>
      <c r="P3511" s="702"/>
      <c r="Q3511" s="702"/>
      <c r="R3511" s="702"/>
      <c r="S3511" s="106"/>
      <c r="T3511" s="486"/>
      <c r="U3511" s="106"/>
      <c r="V3511" s="3980"/>
      <c r="W3511" s="663"/>
      <c r="X3511" s="663"/>
      <c r="Y3511" s="661"/>
      <c r="Z3511" s="663"/>
      <c r="AA3511" s="663"/>
      <c r="AB3511" s="663"/>
      <c r="AC3511" s="2924">
        <v>0.65</v>
      </c>
      <c r="AD3511" s="3643">
        <v>1</v>
      </c>
      <c r="AE3511" s="2939"/>
      <c r="AF3511" s="663"/>
      <c r="AG3511" s="663"/>
      <c r="AH3511" s="156"/>
      <c r="AI3511" s="156"/>
      <c r="AJ3511" s="156"/>
      <c r="AK3511" s="156"/>
      <c r="AL3511" s="156"/>
      <c r="AM3511" s="156"/>
      <c r="AN3511" s="156"/>
      <c r="AO3511" s="156"/>
      <c r="AP3511" s="156"/>
      <c r="AQ3511" s="156"/>
      <c r="AR3511" s="156"/>
      <c r="AS3511" s="156"/>
      <c r="AT3511" s="156"/>
      <c r="AU3511" s="156"/>
      <c r="AV3511" s="156"/>
      <c r="AW3511" s="156"/>
      <c r="AX3511" s="156"/>
      <c r="AY3511" s="156"/>
      <c r="AZ3511" s="156"/>
      <c r="BA3511" s="156"/>
      <c r="BB3511" s="2828"/>
      <c r="BC3511" s="452"/>
      <c r="BD3511" s="2829"/>
      <c r="BE3511" s="2837"/>
      <c r="BF3511" s="156"/>
    </row>
    <row r="3512" spans="1:58" ht="15" customHeight="1" outlineLevel="1" x14ac:dyDescent="0.35">
      <c r="A3512" s="1664"/>
      <c r="B3512" s="3641"/>
      <c r="C3512" s="3077"/>
      <c r="D3512" s="3980"/>
      <c r="E3512" s="3883"/>
      <c r="F3512" s="3984" t="str">
        <f>$E$1590</f>
        <v>ASHP-SEER15-Replace_CAC_NonElectricHeat_ER1_MF_CompE</v>
      </c>
      <c r="G3512" s="3984"/>
      <c r="H3512" s="3984"/>
      <c r="I3512" s="3984"/>
      <c r="J3512" s="3501" t="str">
        <f>$C$1590</f>
        <v>352761_2021_12_</v>
      </c>
      <c r="K3512" s="3643">
        <v>1</v>
      </c>
      <c r="L3512" s="704"/>
      <c r="M3512" s="3020"/>
      <c r="N3512" s="106"/>
      <c r="O3512" s="106"/>
      <c r="P3512" s="702"/>
      <c r="Q3512" s="702"/>
      <c r="R3512" s="702"/>
      <c r="S3512" s="106"/>
      <c r="T3512" s="486"/>
      <c r="U3512" s="106"/>
      <c r="V3512" s="3980"/>
      <c r="W3512" s="663"/>
      <c r="X3512" s="663"/>
      <c r="Y3512" s="661"/>
      <c r="Z3512" s="663"/>
      <c r="AA3512" s="663"/>
      <c r="AB3512" s="663"/>
      <c r="AC3512" s="2924">
        <f>AC3510</f>
        <v>0.65</v>
      </c>
      <c r="AD3512" s="3643">
        <v>1</v>
      </c>
      <c r="AE3512" s="2939"/>
      <c r="AF3512" s="663"/>
      <c r="AG3512" s="663"/>
      <c r="AH3512" s="156"/>
      <c r="AI3512" s="156"/>
      <c r="AJ3512" s="156"/>
      <c r="AK3512" s="156"/>
      <c r="AL3512" s="156"/>
      <c r="AM3512" s="156"/>
      <c r="AN3512" s="156"/>
      <c r="AO3512" s="156"/>
      <c r="AP3512" s="156"/>
      <c r="AQ3512" s="156"/>
      <c r="AR3512" s="156"/>
      <c r="AS3512" s="156"/>
      <c r="AT3512" s="156"/>
      <c r="AU3512" s="156"/>
      <c r="AV3512" s="156"/>
      <c r="AW3512" s="156"/>
      <c r="AX3512" s="156"/>
      <c r="AY3512" s="156"/>
      <c r="AZ3512" s="156"/>
      <c r="BA3512" s="156"/>
      <c r="BB3512" s="2828"/>
      <c r="BC3512" s="452"/>
      <c r="BD3512" s="2829"/>
      <c r="BE3512" s="2837"/>
      <c r="BF3512" s="156"/>
    </row>
    <row r="3513" spans="1:58" ht="15" customHeight="1" outlineLevel="1" x14ac:dyDescent="0.35">
      <c r="A3513" s="1664"/>
      <c r="B3513" s="3641"/>
      <c r="C3513" s="3077"/>
      <c r="D3513" s="3980"/>
      <c r="E3513" s="3883"/>
      <c r="F3513" s="3984" t="str">
        <f>$E$1592</f>
        <v>ASHP-SEER15-Replace_CAC_NonElectricHeat_ER2_MF_CompE</v>
      </c>
      <c r="G3513" s="3984"/>
      <c r="H3513" s="3984"/>
      <c r="I3513" s="3984"/>
      <c r="J3513" s="3501" t="str">
        <f>$C$1592</f>
        <v>352761_2021_12_</v>
      </c>
      <c r="K3513" s="3643">
        <v>1</v>
      </c>
      <c r="L3513" s="704"/>
      <c r="M3513" s="3020"/>
      <c r="N3513" s="106"/>
      <c r="O3513" s="106"/>
      <c r="P3513" s="702"/>
      <c r="Q3513" s="702"/>
      <c r="R3513" s="702"/>
      <c r="S3513" s="106"/>
      <c r="T3513" s="486"/>
      <c r="U3513" s="106"/>
      <c r="V3513" s="3980"/>
      <c r="W3513" s="663"/>
      <c r="X3513" s="663"/>
      <c r="Y3513" s="661"/>
      <c r="Z3513" s="663"/>
      <c r="AA3513" s="663"/>
      <c r="AB3513" s="663"/>
      <c r="AC3513" s="2926">
        <f>AC3511</f>
        <v>0.65</v>
      </c>
      <c r="AD3513" s="3643">
        <v>1</v>
      </c>
      <c r="AE3513" s="2939"/>
      <c r="AF3513" s="663"/>
      <c r="AG3513" s="663"/>
      <c r="AH3513" s="156"/>
      <c r="AI3513" s="156"/>
      <c r="AJ3513" s="156"/>
      <c r="AK3513" s="156"/>
      <c r="AL3513" s="156"/>
      <c r="AM3513" s="156"/>
      <c r="AN3513" s="156"/>
      <c r="AO3513" s="156"/>
      <c r="AP3513" s="156"/>
      <c r="AQ3513" s="156"/>
      <c r="AR3513" s="156"/>
      <c r="AS3513" s="156"/>
      <c r="AT3513" s="156"/>
      <c r="AU3513" s="156"/>
      <c r="AV3513" s="156"/>
      <c r="AW3513" s="156"/>
      <c r="AX3513" s="156"/>
      <c r="AY3513" s="156"/>
      <c r="AZ3513" s="156"/>
      <c r="BA3513" s="156"/>
      <c r="BB3513" s="2828"/>
      <c r="BC3513" s="452"/>
      <c r="BD3513" s="2829"/>
      <c r="BE3513" s="2837"/>
      <c r="BF3513" s="156"/>
    </row>
    <row r="3514" spans="1:58" ht="15" customHeight="1" outlineLevel="1" x14ac:dyDescent="0.35">
      <c r="A3514" s="1664"/>
      <c r="B3514" s="3641"/>
      <c r="C3514" s="3077"/>
      <c r="D3514" s="3980"/>
      <c r="E3514" s="3883"/>
      <c r="F3514" s="3984" t="str">
        <f>$E$1594</f>
        <v>ASHP-SEER15-Replace_CAC_ElectricHeat_ROF_MF</v>
      </c>
      <c r="G3514" s="3984"/>
      <c r="H3514" s="3984"/>
      <c r="I3514" s="3984"/>
      <c r="J3514" s="3501" t="str">
        <f>$C$1594</f>
        <v>352800_2019_12_</v>
      </c>
      <c r="K3514" s="3643">
        <v>1</v>
      </c>
      <c r="L3514" s="704"/>
      <c r="M3514" s="3020" t="s">
        <v>977</v>
      </c>
      <c r="N3514" s="106"/>
      <c r="O3514" s="106"/>
      <c r="P3514" s="702"/>
      <c r="Q3514" s="702"/>
      <c r="R3514" s="702"/>
      <c r="S3514" s="106"/>
      <c r="T3514" s="486"/>
      <c r="U3514" s="106"/>
      <c r="V3514" s="3980"/>
      <c r="W3514" s="663">
        <v>0.65</v>
      </c>
      <c r="X3514" s="663">
        <v>0.65</v>
      </c>
      <c r="Y3514" s="663">
        <v>0.65</v>
      </c>
      <c r="Z3514" s="663">
        <v>0.65</v>
      </c>
      <c r="AA3514" s="663">
        <v>0.65</v>
      </c>
      <c r="AB3514" s="663">
        <v>0.65</v>
      </c>
      <c r="AC3514" s="2923">
        <v>0.65</v>
      </c>
      <c r="AD3514" s="3643">
        <v>1</v>
      </c>
      <c r="AE3514" s="2939"/>
      <c r="AF3514" s="663"/>
      <c r="AG3514" s="663"/>
      <c r="AH3514" s="156"/>
      <c r="AI3514" s="156"/>
      <c r="AJ3514" s="156"/>
      <c r="AK3514" s="156"/>
      <c r="AL3514" s="156"/>
      <c r="AM3514" s="156"/>
      <c r="AN3514" s="156"/>
      <c r="AO3514" s="156"/>
      <c r="AP3514" s="156"/>
      <c r="AQ3514" s="156"/>
      <c r="AR3514" s="156"/>
      <c r="AS3514" s="156"/>
      <c r="AT3514" s="156"/>
      <c r="AU3514" s="156"/>
      <c r="AV3514" s="156"/>
      <c r="AW3514" s="156"/>
      <c r="AX3514" s="156"/>
      <c r="AY3514" s="156"/>
      <c r="AZ3514" s="156"/>
      <c r="BA3514" s="156"/>
      <c r="BB3514" s="2828"/>
      <c r="BC3514" s="452"/>
      <c r="BD3514" s="2829"/>
      <c r="BE3514" s="2837"/>
      <c r="BF3514" s="156"/>
    </row>
    <row r="3515" spans="1:58" ht="15" customHeight="1" outlineLevel="1" x14ac:dyDescent="0.35">
      <c r="A3515" s="1664"/>
      <c r="B3515" s="3641"/>
      <c r="C3515" s="3077"/>
      <c r="D3515" s="3980"/>
      <c r="E3515" s="3883"/>
      <c r="F3515" s="3984" t="str">
        <f>$E$1596</f>
        <v>ASHP-SEER15-Replace_CAC_ElectricHeat_ROF_MF_CompE</v>
      </c>
      <c r="G3515" s="3984"/>
      <c r="H3515" s="3984"/>
      <c r="I3515" s="3984"/>
      <c r="J3515" s="3501" t="str">
        <f>$C$1596</f>
        <v>352801_2021_12_</v>
      </c>
      <c r="K3515" s="3643">
        <v>1</v>
      </c>
      <c r="L3515" s="704"/>
      <c r="M3515" s="3020"/>
      <c r="N3515" s="106"/>
      <c r="O3515" s="106"/>
      <c r="P3515" s="702"/>
      <c r="Q3515" s="702"/>
      <c r="R3515" s="702"/>
      <c r="S3515" s="106"/>
      <c r="T3515" s="486"/>
      <c r="U3515" s="106"/>
      <c r="V3515" s="3980"/>
      <c r="W3515" s="663"/>
      <c r="X3515" s="663"/>
      <c r="Y3515" s="661">
        <v>1</v>
      </c>
      <c r="Z3515" s="663">
        <v>1</v>
      </c>
      <c r="AA3515" s="663">
        <v>1</v>
      </c>
      <c r="AB3515" s="663">
        <v>1</v>
      </c>
      <c r="AC3515" s="2924">
        <v>0.65</v>
      </c>
      <c r="AD3515" s="3643">
        <v>1</v>
      </c>
      <c r="AE3515" s="2939"/>
      <c r="AF3515" s="663"/>
      <c r="AG3515" s="663"/>
      <c r="AH3515" s="156"/>
      <c r="AI3515" s="156"/>
      <c r="AJ3515" s="156"/>
      <c r="AK3515" s="156"/>
      <c r="AL3515" s="156"/>
      <c r="AM3515" s="156"/>
      <c r="AN3515" s="156"/>
      <c r="AO3515" s="156"/>
      <c r="AP3515" s="156"/>
      <c r="AQ3515" s="156"/>
      <c r="AR3515" s="156"/>
      <c r="AS3515" s="156"/>
      <c r="AT3515" s="156"/>
      <c r="AU3515" s="156"/>
      <c r="AV3515" s="156"/>
      <c r="AW3515" s="156"/>
      <c r="AX3515" s="156"/>
      <c r="AY3515" s="156"/>
      <c r="AZ3515" s="156"/>
      <c r="BA3515" s="156"/>
      <c r="BB3515" s="2828"/>
      <c r="BC3515" s="452"/>
      <c r="BD3515" s="2829"/>
      <c r="BE3515" s="2837"/>
      <c r="BF3515" s="156"/>
    </row>
    <row r="3516" spans="1:58" ht="15" customHeight="1" outlineLevel="1" x14ac:dyDescent="0.35">
      <c r="A3516" s="1664"/>
      <c r="B3516" s="3641"/>
      <c r="C3516" s="3077"/>
      <c r="D3516" s="3980"/>
      <c r="E3516" s="3883"/>
      <c r="F3516" s="3984" t="str">
        <f>$E$1598</f>
        <v>ASHP-SEER15-Replace_CAC_NonElectricHeat_ROF_MF</v>
      </c>
      <c r="G3516" s="3984"/>
      <c r="H3516" s="3984"/>
      <c r="I3516" s="3984"/>
      <c r="J3516" s="3501" t="str">
        <f>$C$1598</f>
        <v>352810_2021_12_</v>
      </c>
      <c r="K3516" s="3643">
        <v>1</v>
      </c>
      <c r="L3516" s="704"/>
      <c r="M3516" s="3020"/>
      <c r="N3516" s="106"/>
      <c r="O3516" s="106"/>
      <c r="P3516" s="702"/>
      <c r="Q3516" s="702"/>
      <c r="R3516" s="702"/>
      <c r="S3516" s="106"/>
      <c r="T3516" s="486"/>
      <c r="U3516" s="106"/>
      <c r="V3516" s="3980"/>
      <c r="W3516" s="663"/>
      <c r="X3516" s="663"/>
      <c r="Y3516" s="661"/>
      <c r="Z3516" s="663"/>
      <c r="AA3516" s="663"/>
      <c r="AB3516" s="663"/>
      <c r="AC3516" s="2924">
        <v>0.65</v>
      </c>
      <c r="AD3516" s="3643">
        <v>1</v>
      </c>
      <c r="AE3516" s="2939"/>
      <c r="AF3516" s="663"/>
      <c r="AG3516" s="663"/>
      <c r="AH3516" s="156"/>
      <c r="AI3516" s="156"/>
      <c r="AJ3516" s="156"/>
      <c r="AK3516" s="156"/>
      <c r="AL3516" s="156"/>
      <c r="AM3516" s="156"/>
      <c r="AN3516" s="156"/>
      <c r="AO3516" s="156"/>
      <c r="AP3516" s="156"/>
      <c r="AQ3516" s="156"/>
      <c r="AR3516" s="156"/>
      <c r="AS3516" s="156"/>
      <c r="AT3516" s="156"/>
      <c r="AU3516" s="156"/>
      <c r="AV3516" s="156"/>
      <c r="AW3516" s="156"/>
      <c r="AX3516" s="156"/>
      <c r="AY3516" s="156"/>
      <c r="AZ3516" s="156"/>
      <c r="BA3516" s="156"/>
      <c r="BB3516" s="2828"/>
      <c r="BC3516" s="452"/>
      <c r="BD3516" s="2829"/>
      <c r="BE3516" s="2837"/>
      <c r="BF3516" s="156"/>
    </row>
    <row r="3517" spans="1:58" ht="15" customHeight="1" outlineLevel="1" x14ac:dyDescent="0.35">
      <c r="A3517" s="1664"/>
      <c r="B3517" s="3641"/>
      <c r="C3517" s="3077"/>
      <c r="D3517" s="3980"/>
      <c r="E3517" s="3883"/>
      <c r="F3517" s="3984" t="str">
        <f>$E$1600</f>
        <v>ASHP-SEER15-Replace_CAC_NonElectricHeat_ROF_MF_CompE</v>
      </c>
      <c r="G3517" s="3984"/>
      <c r="H3517" s="3984"/>
      <c r="I3517" s="3984"/>
      <c r="J3517" s="3501" t="str">
        <f>$C$1600</f>
        <v>352811_2021_12_</v>
      </c>
      <c r="K3517" s="3643">
        <v>1</v>
      </c>
      <c r="L3517" s="704"/>
      <c r="M3517" s="3020"/>
      <c r="N3517" s="106"/>
      <c r="O3517" s="106"/>
      <c r="P3517" s="702"/>
      <c r="Q3517" s="702"/>
      <c r="R3517" s="702"/>
      <c r="S3517" s="106"/>
      <c r="T3517" s="486"/>
      <c r="U3517" s="106"/>
      <c r="V3517" s="3980"/>
      <c r="W3517" s="663"/>
      <c r="X3517" s="663"/>
      <c r="Y3517" s="661"/>
      <c r="Z3517" s="663"/>
      <c r="AA3517" s="663"/>
      <c r="AB3517" s="663"/>
      <c r="AC3517" s="2924">
        <v>0.65</v>
      </c>
      <c r="AD3517" s="3643">
        <v>1</v>
      </c>
      <c r="AE3517" s="2939"/>
      <c r="AF3517" s="663"/>
      <c r="AG3517" s="663"/>
      <c r="AH3517" s="156"/>
      <c r="AI3517" s="156"/>
      <c r="AJ3517" s="156"/>
      <c r="AK3517" s="156"/>
      <c r="AL3517" s="156"/>
      <c r="AM3517" s="156"/>
      <c r="AN3517" s="156"/>
      <c r="AO3517" s="156"/>
      <c r="AP3517" s="156"/>
      <c r="AQ3517" s="156"/>
      <c r="AR3517" s="156"/>
      <c r="AS3517" s="156"/>
      <c r="AT3517" s="156"/>
      <c r="AU3517" s="156"/>
      <c r="AV3517" s="156"/>
      <c r="AW3517" s="156"/>
      <c r="AX3517" s="156"/>
      <c r="AY3517" s="156"/>
      <c r="AZ3517" s="156"/>
      <c r="BA3517" s="156"/>
      <c r="BB3517" s="2828"/>
      <c r="BC3517" s="452"/>
      <c r="BD3517" s="2829"/>
      <c r="BE3517" s="2837"/>
      <c r="BF3517" s="156"/>
    </row>
    <row r="3518" spans="1:58" ht="15" customHeight="1" outlineLevel="1" x14ac:dyDescent="0.35">
      <c r="A3518" s="1664"/>
      <c r="B3518" s="3641"/>
      <c r="C3518" s="3077"/>
      <c r="D3518" s="3980"/>
      <c r="E3518" s="3883"/>
      <c r="F3518" s="3984" t="str">
        <f>$E$1602</f>
        <v>ASHP-SEER16_ER1_MF</v>
      </c>
      <c r="G3518" s="3984"/>
      <c r="H3518" s="3984"/>
      <c r="I3518" s="3984"/>
      <c r="J3518" s="3501" t="str">
        <f>$C$1602</f>
        <v>352850_2021_12_</v>
      </c>
      <c r="K3518" s="3643">
        <v>1</v>
      </c>
      <c r="L3518" s="704"/>
      <c r="M3518" s="3020" t="s">
        <v>977</v>
      </c>
      <c r="N3518" s="106"/>
      <c r="O3518" s="106"/>
      <c r="P3518" s="702"/>
      <c r="Q3518" s="702"/>
      <c r="R3518" s="702"/>
      <c r="S3518" s="106"/>
      <c r="T3518" s="486"/>
      <c r="U3518" s="106"/>
      <c r="V3518" s="3980"/>
      <c r="W3518" s="663">
        <v>0.65</v>
      </c>
      <c r="X3518" s="663">
        <v>0.65</v>
      </c>
      <c r="Y3518" s="663">
        <v>0.65</v>
      </c>
      <c r="Z3518" s="663">
        <v>0.65</v>
      </c>
      <c r="AA3518" s="663">
        <v>0.65</v>
      </c>
      <c r="AB3518" s="663">
        <v>0.65</v>
      </c>
      <c r="AC3518" s="2923">
        <v>0.65</v>
      </c>
      <c r="AD3518" s="3643">
        <v>1</v>
      </c>
      <c r="AE3518" s="2939"/>
      <c r="AF3518" s="663"/>
      <c r="AG3518" s="663"/>
      <c r="AH3518" s="156"/>
      <c r="AI3518" s="156"/>
      <c r="AJ3518" s="156"/>
      <c r="AK3518" s="156"/>
      <c r="AL3518" s="156"/>
      <c r="AM3518" s="156"/>
      <c r="AN3518" s="156"/>
      <c r="AO3518" s="156"/>
      <c r="AP3518" s="156"/>
      <c r="AQ3518" s="156"/>
      <c r="AR3518" s="156"/>
      <c r="AS3518" s="156"/>
      <c r="AT3518" s="156"/>
      <c r="AU3518" s="156"/>
      <c r="AV3518" s="156"/>
      <c r="AW3518" s="156"/>
      <c r="AX3518" s="156"/>
      <c r="AY3518" s="156"/>
      <c r="AZ3518" s="156"/>
      <c r="BA3518" s="156"/>
      <c r="BB3518" s="2828"/>
      <c r="BC3518" s="452"/>
      <c r="BD3518" s="2829"/>
      <c r="BE3518" s="2837"/>
      <c r="BF3518" s="156"/>
    </row>
    <row r="3519" spans="1:58" ht="15" customHeight="1" outlineLevel="1" x14ac:dyDescent="0.35">
      <c r="A3519" s="1664"/>
      <c r="B3519" s="3641"/>
      <c r="C3519" s="3077"/>
      <c r="D3519" s="3980"/>
      <c r="E3519" s="3883"/>
      <c r="F3519" s="3984" t="str">
        <f>$E$1604</f>
        <v>ASHP-SEER16_ER2_MF</v>
      </c>
      <c r="G3519" s="3984"/>
      <c r="H3519" s="3984"/>
      <c r="I3519" s="3984"/>
      <c r="J3519" s="3501" t="str">
        <f>$C$1604</f>
        <v>352850_2021_12_</v>
      </c>
      <c r="K3519" s="3643">
        <v>1</v>
      </c>
      <c r="L3519" s="704"/>
      <c r="M3519" s="3020" t="s">
        <v>977</v>
      </c>
      <c r="N3519" s="106"/>
      <c r="O3519" s="106"/>
      <c r="P3519" s="702"/>
      <c r="Q3519" s="702"/>
      <c r="R3519" s="702"/>
      <c r="S3519" s="106"/>
      <c r="T3519" s="486"/>
      <c r="U3519" s="106"/>
      <c r="V3519" s="3980"/>
      <c r="W3519" s="663">
        <v>0.65</v>
      </c>
      <c r="X3519" s="663">
        <v>0.65</v>
      </c>
      <c r="Y3519" s="663">
        <v>0.65</v>
      </c>
      <c r="Z3519" s="663">
        <v>0.65</v>
      </c>
      <c r="AA3519" s="663">
        <v>0.65</v>
      </c>
      <c r="AB3519" s="663">
        <v>0.65</v>
      </c>
      <c r="AC3519" s="2923">
        <v>0.65</v>
      </c>
      <c r="AD3519" s="3643">
        <v>1</v>
      </c>
      <c r="AE3519" s="2939"/>
      <c r="AF3519" s="663"/>
      <c r="AG3519" s="663"/>
      <c r="AH3519" s="156"/>
      <c r="AI3519" s="156"/>
      <c r="AJ3519" s="156"/>
      <c r="AK3519" s="156"/>
      <c r="AL3519" s="156"/>
      <c r="AM3519" s="156"/>
      <c r="AN3519" s="156"/>
      <c r="AO3519" s="156"/>
      <c r="AP3519" s="156"/>
      <c r="AQ3519" s="156"/>
      <c r="AR3519" s="156"/>
      <c r="AS3519" s="156"/>
      <c r="AT3519" s="156"/>
      <c r="AU3519" s="156"/>
      <c r="AV3519" s="156"/>
      <c r="AW3519" s="156"/>
      <c r="AX3519" s="156"/>
      <c r="AY3519" s="156"/>
      <c r="AZ3519" s="156"/>
      <c r="BA3519" s="156"/>
      <c r="BB3519" s="2828"/>
      <c r="BC3519" s="452"/>
      <c r="BD3519" s="2829"/>
      <c r="BE3519" s="2837"/>
      <c r="BF3519" s="156"/>
    </row>
    <row r="3520" spans="1:58" ht="15" customHeight="1" outlineLevel="1" x14ac:dyDescent="0.35">
      <c r="A3520" s="1664"/>
      <c r="B3520" s="3641"/>
      <c r="C3520" s="3077"/>
      <c r="D3520" s="3980"/>
      <c r="E3520" s="3883"/>
      <c r="F3520" s="3984" t="str">
        <f>$E$1606</f>
        <v>ASHP-SEER16_ER1_MF_CompE</v>
      </c>
      <c r="G3520" s="3984"/>
      <c r="H3520" s="3984"/>
      <c r="I3520" s="3984"/>
      <c r="J3520" s="3501" t="str">
        <f>$C$1606</f>
        <v>352851_2021_12_</v>
      </c>
      <c r="K3520" s="3643">
        <v>1</v>
      </c>
      <c r="L3520" s="704"/>
      <c r="M3520" s="3020"/>
      <c r="N3520" s="106"/>
      <c r="O3520" s="106"/>
      <c r="P3520" s="702"/>
      <c r="Q3520" s="702"/>
      <c r="R3520" s="702"/>
      <c r="S3520" s="106"/>
      <c r="T3520" s="486"/>
      <c r="U3520" s="106"/>
      <c r="V3520" s="3980"/>
      <c r="W3520" s="663"/>
      <c r="X3520" s="663"/>
      <c r="Y3520" s="661">
        <v>0.65</v>
      </c>
      <c r="Z3520" s="663">
        <v>0.65</v>
      </c>
      <c r="AA3520" s="663">
        <v>0.65</v>
      </c>
      <c r="AB3520" s="663">
        <v>0.65</v>
      </c>
      <c r="AC3520" s="2923">
        <f>AC3518</f>
        <v>0.65</v>
      </c>
      <c r="AD3520" s="3643">
        <v>1</v>
      </c>
      <c r="AE3520" s="2939"/>
      <c r="AF3520" s="663"/>
      <c r="AG3520" s="663"/>
      <c r="AH3520" s="156"/>
      <c r="AI3520" s="156"/>
      <c r="AJ3520" s="156"/>
      <c r="AK3520" s="156"/>
      <c r="AL3520" s="156"/>
      <c r="AM3520" s="156"/>
      <c r="AN3520" s="156"/>
      <c r="AO3520" s="156"/>
      <c r="AP3520" s="156"/>
      <c r="AQ3520" s="156"/>
      <c r="AR3520" s="156"/>
      <c r="AS3520" s="156"/>
      <c r="AT3520" s="156"/>
      <c r="AU3520" s="156"/>
      <c r="AV3520" s="156"/>
      <c r="AW3520" s="156"/>
      <c r="AX3520" s="156"/>
      <c r="AY3520" s="156"/>
      <c r="AZ3520" s="156"/>
      <c r="BA3520" s="156"/>
      <c r="BB3520" s="2828"/>
      <c r="BC3520" s="452"/>
      <c r="BD3520" s="2829"/>
      <c r="BE3520" s="2837"/>
      <c r="BF3520" s="156"/>
    </row>
    <row r="3521" spans="1:58" ht="15" customHeight="1" outlineLevel="1" x14ac:dyDescent="0.35">
      <c r="A3521" s="1664"/>
      <c r="B3521" s="3641"/>
      <c r="C3521" s="3077"/>
      <c r="D3521" s="3980"/>
      <c r="E3521" s="3883"/>
      <c r="F3521" s="3984" t="str">
        <f>$E$1608</f>
        <v>ASHP-SEER16_ER2_MF_CompE</v>
      </c>
      <c r="G3521" s="3984"/>
      <c r="H3521" s="3984"/>
      <c r="I3521" s="3984"/>
      <c r="J3521" s="3501" t="str">
        <f>$C$1608</f>
        <v>352851_2021_12_</v>
      </c>
      <c r="K3521" s="3643">
        <v>1</v>
      </c>
      <c r="L3521" s="704"/>
      <c r="M3521" s="3020"/>
      <c r="N3521" s="106"/>
      <c r="O3521" s="106"/>
      <c r="P3521" s="702"/>
      <c r="Q3521" s="702"/>
      <c r="R3521" s="702"/>
      <c r="S3521" s="106"/>
      <c r="T3521" s="486"/>
      <c r="U3521" s="106"/>
      <c r="V3521" s="3980"/>
      <c r="W3521" s="663"/>
      <c r="X3521" s="663"/>
      <c r="Y3521" s="661">
        <v>0.65</v>
      </c>
      <c r="Z3521" s="663">
        <v>0.65</v>
      </c>
      <c r="AA3521" s="663">
        <v>0.65</v>
      </c>
      <c r="AB3521" s="663">
        <v>0.65</v>
      </c>
      <c r="AC3521" s="2923">
        <f>AC3519</f>
        <v>0.65</v>
      </c>
      <c r="AD3521" s="3643">
        <v>1</v>
      </c>
      <c r="AE3521" s="2939"/>
      <c r="AF3521" s="663"/>
      <c r="AG3521" s="663"/>
      <c r="AH3521" s="156"/>
      <c r="AI3521" s="156"/>
      <c r="AJ3521" s="156"/>
      <c r="AK3521" s="156"/>
      <c r="AL3521" s="156"/>
      <c r="AM3521" s="156"/>
      <c r="AN3521" s="156"/>
      <c r="AO3521" s="156"/>
      <c r="AP3521" s="156"/>
      <c r="AQ3521" s="156"/>
      <c r="AR3521" s="156"/>
      <c r="AS3521" s="156"/>
      <c r="AT3521" s="156"/>
      <c r="AU3521" s="156"/>
      <c r="AV3521" s="156"/>
      <c r="AW3521" s="156"/>
      <c r="AX3521" s="156"/>
      <c r="AY3521" s="156"/>
      <c r="AZ3521" s="156"/>
      <c r="BA3521" s="156"/>
      <c r="BB3521" s="2828"/>
      <c r="BC3521" s="452"/>
      <c r="BD3521" s="2829"/>
      <c r="BE3521" s="2837"/>
      <c r="BF3521" s="156"/>
    </row>
    <row r="3522" spans="1:58" ht="15" customHeight="1" outlineLevel="1" x14ac:dyDescent="0.35">
      <c r="A3522" s="1664"/>
      <c r="B3522" s="3641"/>
      <c r="C3522" s="3077"/>
      <c r="D3522" s="3980"/>
      <c r="E3522" s="3883"/>
      <c r="F3522" s="3984" t="str">
        <f>$E$1610</f>
        <v>ASHP-SEER16_ROF_MF</v>
      </c>
      <c r="G3522" s="3984"/>
      <c r="H3522" s="3984"/>
      <c r="I3522" s="3984"/>
      <c r="J3522" s="3501" t="str">
        <f>$C$1610</f>
        <v>352900_2021_12_</v>
      </c>
      <c r="K3522" s="3643">
        <v>1</v>
      </c>
      <c r="L3522" s="704"/>
      <c r="M3522" s="3020" t="s">
        <v>977</v>
      </c>
      <c r="N3522" s="106"/>
      <c r="O3522" s="106"/>
      <c r="P3522" s="702"/>
      <c r="Q3522" s="702"/>
      <c r="R3522" s="702"/>
      <c r="S3522" s="106"/>
      <c r="T3522" s="486"/>
      <c r="U3522" s="106"/>
      <c r="V3522" s="3980"/>
      <c r="W3522" s="663">
        <v>0.65</v>
      </c>
      <c r="X3522" s="663">
        <v>0.65</v>
      </c>
      <c r="Y3522" s="663">
        <v>0.65</v>
      </c>
      <c r="Z3522" s="663">
        <v>0.65</v>
      </c>
      <c r="AA3522" s="663">
        <v>0.65</v>
      </c>
      <c r="AB3522" s="663">
        <v>0.65</v>
      </c>
      <c r="AC3522" s="2923">
        <v>0.65</v>
      </c>
      <c r="AD3522" s="3643">
        <v>1</v>
      </c>
      <c r="AE3522" s="2939"/>
      <c r="AF3522" s="663"/>
      <c r="AG3522" s="663"/>
      <c r="AH3522" s="156"/>
      <c r="AI3522" s="156"/>
      <c r="AJ3522" s="156"/>
      <c r="AK3522" s="156"/>
      <c r="AL3522" s="156"/>
      <c r="AM3522" s="156"/>
      <c r="AN3522" s="156"/>
      <c r="AO3522" s="156"/>
      <c r="AP3522" s="156"/>
      <c r="AQ3522" s="156"/>
      <c r="AR3522" s="156"/>
      <c r="AS3522" s="156"/>
      <c r="AT3522" s="156"/>
      <c r="AU3522" s="156"/>
      <c r="AV3522" s="156"/>
      <c r="AW3522" s="156"/>
      <c r="AX3522" s="156"/>
      <c r="AY3522" s="156"/>
      <c r="AZ3522" s="156"/>
      <c r="BA3522" s="156"/>
      <c r="BB3522" s="2828"/>
      <c r="BC3522" s="452"/>
      <c r="BD3522" s="2829"/>
      <c r="BE3522" s="2837"/>
      <c r="BF3522" s="156"/>
    </row>
    <row r="3523" spans="1:58" ht="15" customHeight="1" outlineLevel="1" x14ac:dyDescent="0.35">
      <c r="A3523" s="1664"/>
      <c r="B3523" s="3641"/>
      <c r="C3523" s="3077"/>
      <c r="D3523" s="3980"/>
      <c r="E3523" s="3883"/>
      <c r="F3523" s="3984" t="str">
        <f>$E$1612</f>
        <v>ASHP-SEER16_ROF_MF_CompE</v>
      </c>
      <c r="G3523" s="3984"/>
      <c r="H3523" s="3984"/>
      <c r="I3523" s="3984"/>
      <c r="J3523" s="3501" t="str">
        <f>$C$1612</f>
        <v>352901_2021_12_</v>
      </c>
      <c r="K3523" s="3643">
        <v>1</v>
      </c>
      <c r="L3523" s="704"/>
      <c r="M3523" s="3020"/>
      <c r="N3523" s="106"/>
      <c r="O3523" s="106"/>
      <c r="P3523" s="702"/>
      <c r="Q3523" s="702"/>
      <c r="R3523" s="702"/>
      <c r="S3523" s="106"/>
      <c r="T3523" s="486"/>
      <c r="U3523" s="106"/>
      <c r="V3523" s="3980"/>
      <c r="W3523" s="663"/>
      <c r="X3523" s="663"/>
      <c r="Y3523" s="661">
        <v>0.65</v>
      </c>
      <c r="Z3523" s="663">
        <v>0.65</v>
      </c>
      <c r="AA3523" s="663">
        <v>0.65</v>
      </c>
      <c r="AB3523" s="663">
        <v>0.65</v>
      </c>
      <c r="AC3523" s="2923">
        <f>AC3522</f>
        <v>0.65</v>
      </c>
      <c r="AD3523" s="3643">
        <v>1</v>
      </c>
      <c r="AE3523" s="2939"/>
      <c r="AF3523" s="663"/>
      <c r="AG3523" s="663"/>
      <c r="AH3523" s="156"/>
      <c r="AI3523" s="156"/>
      <c r="AJ3523" s="156"/>
      <c r="AK3523" s="156"/>
      <c r="AL3523" s="156"/>
      <c r="AM3523" s="156"/>
      <c r="AN3523" s="156"/>
      <c r="AO3523" s="156"/>
      <c r="AP3523" s="156"/>
      <c r="AQ3523" s="156"/>
      <c r="AR3523" s="156"/>
      <c r="AS3523" s="156"/>
      <c r="AT3523" s="156"/>
      <c r="AU3523" s="156"/>
      <c r="AV3523" s="156"/>
      <c r="AW3523" s="156"/>
      <c r="AX3523" s="156"/>
      <c r="AY3523" s="156"/>
      <c r="AZ3523" s="156"/>
      <c r="BA3523" s="156"/>
      <c r="BB3523" s="2828"/>
      <c r="BC3523" s="452"/>
      <c r="BD3523" s="2829"/>
      <c r="BE3523" s="2837"/>
      <c r="BF3523" s="156"/>
    </row>
    <row r="3524" spans="1:58" ht="15" customHeight="1" outlineLevel="1" x14ac:dyDescent="0.35">
      <c r="A3524" s="1664"/>
      <c r="B3524" s="3641"/>
      <c r="C3524" s="3077"/>
      <c r="D3524" s="3980"/>
      <c r="E3524" s="3883"/>
      <c r="F3524" s="3984" t="str">
        <f>$E$1614</f>
        <v>ASHP-SEER16-Replace_CAC_ElectricHeat_ROF_MF</v>
      </c>
      <c r="G3524" s="3984"/>
      <c r="H3524" s="3984"/>
      <c r="I3524" s="3984"/>
      <c r="J3524" s="3501" t="str">
        <f>$C$1614</f>
        <v>352950_2019_12_</v>
      </c>
      <c r="K3524" s="3643">
        <v>1</v>
      </c>
      <c r="L3524" s="704"/>
      <c r="M3524" s="3020" t="s">
        <v>977</v>
      </c>
      <c r="N3524" s="106"/>
      <c r="O3524" s="106"/>
      <c r="P3524" s="702"/>
      <c r="Q3524" s="702"/>
      <c r="R3524" s="702"/>
      <c r="S3524" s="106"/>
      <c r="T3524" s="486"/>
      <c r="U3524" s="106"/>
      <c r="V3524" s="3980"/>
      <c r="W3524" s="663">
        <v>0.65</v>
      </c>
      <c r="X3524" s="663">
        <v>0.65</v>
      </c>
      <c r="Y3524" s="663">
        <v>0.65</v>
      </c>
      <c r="Z3524" s="663">
        <v>0.65</v>
      </c>
      <c r="AA3524" s="663">
        <v>0.65</v>
      </c>
      <c r="AB3524" s="663">
        <v>0.65</v>
      </c>
      <c r="AC3524" s="2923">
        <v>0.65</v>
      </c>
      <c r="AD3524" s="3643">
        <v>1</v>
      </c>
      <c r="AE3524" s="2939"/>
      <c r="AF3524" s="663"/>
      <c r="AG3524" s="663"/>
      <c r="AH3524" s="156"/>
      <c r="AI3524" s="156"/>
      <c r="AJ3524" s="156"/>
      <c r="AK3524" s="156"/>
      <c r="AL3524" s="156"/>
      <c r="AM3524" s="156"/>
      <c r="AN3524" s="156"/>
      <c r="AO3524" s="156"/>
      <c r="AP3524" s="156"/>
      <c r="AQ3524" s="156"/>
      <c r="AR3524" s="156"/>
      <c r="AS3524" s="156"/>
      <c r="AT3524" s="156"/>
      <c r="AU3524" s="156"/>
      <c r="AV3524" s="156"/>
      <c r="AW3524" s="156"/>
      <c r="AX3524" s="156"/>
      <c r="AY3524" s="156"/>
      <c r="AZ3524" s="156"/>
      <c r="BA3524" s="156"/>
      <c r="BB3524" s="2828"/>
      <c r="BC3524" s="452"/>
      <c r="BD3524" s="2829"/>
      <c r="BE3524" s="2837"/>
      <c r="BF3524" s="156"/>
    </row>
    <row r="3525" spans="1:58" ht="15" customHeight="1" outlineLevel="1" x14ac:dyDescent="0.35">
      <c r="A3525" s="1664"/>
      <c r="B3525" s="3641"/>
      <c r="C3525" s="3077"/>
      <c r="D3525" s="3980"/>
      <c r="E3525" s="3883"/>
      <c r="F3525" s="3984" t="str">
        <f>$E$1616</f>
        <v>ASHP-SEER16-Replace_CAC_ElectricHeat_ROF_MF_CompE</v>
      </c>
      <c r="G3525" s="3984"/>
      <c r="H3525" s="3984"/>
      <c r="I3525" s="3984"/>
      <c r="J3525" s="3501" t="str">
        <f>$C$1616</f>
        <v>352951_2019_12_</v>
      </c>
      <c r="K3525" s="3643">
        <v>1</v>
      </c>
      <c r="L3525" s="704"/>
      <c r="M3525" s="3020"/>
      <c r="N3525" s="106"/>
      <c r="O3525" s="106"/>
      <c r="P3525" s="702"/>
      <c r="Q3525" s="702"/>
      <c r="R3525" s="702"/>
      <c r="S3525" s="106"/>
      <c r="T3525" s="486"/>
      <c r="U3525" s="106"/>
      <c r="V3525" s="3980"/>
      <c r="W3525" s="663"/>
      <c r="X3525" s="663"/>
      <c r="Y3525" s="661">
        <v>0.65</v>
      </c>
      <c r="Z3525" s="663">
        <v>0.65</v>
      </c>
      <c r="AA3525" s="663">
        <v>0.65</v>
      </c>
      <c r="AB3525" s="663">
        <v>0.65</v>
      </c>
      <c r="AC3525" s="2925">
        <f>AC3524</f>
        <v>0.65</v>
      </c>
      <c r="AD3525" s="3643">
        <v>1</v>
      </c>
      <c r="AE3525" s="2939"/>
      <c r="AF3525" s="663"/>
      <c r="AG3525" s="663"/>
      <c r="AH3525" s="156"/>
      <c r="AI3525" s="156"/>
      <c r="AJ3525" s="156"/>
      <c r="AK3525" s="156"/>
      <c r="AL3525" s="156"/>
      <c r="AM3525" s="156"/>
      <c r="AN3525" s="156"/>
      <c r="AO3525" s="156"/>
      <c r="AP3525" s="156"/>
      <c r="AQ3525" s="156"/>
      <c r="AR3525" s="156"/>
      <c r="AS3525" s="156"/>
      <c r="AT3525" s="156"/>
      <c r="AU3525" s="156"/>
      <c r="AV3525" s="156"/>
      <c r="AW3525" s="156"/>
      <c r="AX3525" s="156"/>
      <c r="AY3525" s="156"/>
      <c r="AZ3525" s="156"/>
      <c r="BA3525" s="156"/>
      <c r="BB3525" s="2828"/>
      <c r="BC3525" s="452"/>
      <c r="BD3525" s="2829"/>
      <c r="BE3525" s="2837"/>
      <c r="BF3525" s="156"/>
    </row>
    <row r="3526" spans="1:58" ht="15" customHeight="1" outlineLevel="1" x14ac:dyDescent="0.35">
      <c r="A3526" s="1664"/>
      <c r="B3526" s="3641"/>
      <c r="C3526" s="3077"/>
      <c r="D3526" s="3980"/>
      <c r="E3526" s="3883"/>
      <c r="F3526" s="3984" t="str">
        <f>$E$1618</f>
        <v>ASHP-SEER16-Replace_CAC_NonElectricHeat_ROF_MF</v>
      </c>
      <c r="G3526" s="3984"/>
      <c r="H3526" s="3984"/>
      <c r="I3526" s="3984"/>
      <c r="J3526" s="3501" t="str">
        <f>$C$1618</f>
        <v>352960_2021_12_</v>
      </c>
      <c r="K3526" s="3643">
        <v>1</v>
      </c>
      <c r="L3526" s="704"/>
      <c r="M3526" s="3020"/>
      <c r="N3526" s="106"/>
      <c r="O3526" s="106"/>
      <c r="P3526" s="702"/>
      <c r="Q3526" s="702"/>
      <c r="R3526" s="702"/>
      <c r="S3526" s="106"/>
      <c r="T3526" s="486"/>
      <c r="U3526" s="106"/>
      <c r="V3526" s="3980"/>
      <c r="W3526" s="663"/>
      <c r="X3526" s="663"/>
      <c r="Y3526" s="661"/>
      <c r="Z3526" s="663"/>
      <c r="AA3526" s="663"/>
      <c r="AB3526" s="663"/>
      <c r="AC3526" s="2924">
        <v>0.65</v>
      </c>
      <c r="AD3526" s="3643">
        <v>1</v>
      </c>
      <c r="AE3526" s="2939"/>
      <c r="AF3526" s="663"/>
      <c r="AG3526" s="663"/>
      <c r="AH3526" s="156"/>
      <c r="AI3526" s="156"/>
      <c r="AJ3526" s="156"/>
      <c r="AK3526" s="156"/>
      <c r="AL3526" s="156"/>
      <c r="AM3526" s="156"/>
      <c r="AN3526" s="156"/>
      <c r="AO3526" s="156"/>
      <c r="AP3526" s="156"/>
      <c r="AQ3526" s="156"/>
      <c r="AR3526" s="156"/>
      <c r="AS3526" s="156"/>
      <c r="AT3526" s="156"/>
      <c r="AU3526" s="156"/>
      <c r="AV3526" s="156"/>
      <c r="AW3526" s="156"/>
      <c r="AX3526" s="156"/>
      <c r="AY3526" s="156"/>
      <c r="AZ3526" s="156"/>
      <c r="BA3526" s="156"/>
      <c r="BB3526" s="2828"/>
      <c r="BC3526" s="452"/>
      <c r="BD3526" s="2829"/>
      <c r="BE3526" s="2837"/>
      <c r="BF3526" s="156"/>
    </row>
    <row r="3527" spans="1:58" ht="15" customHeight="1" outlineLevel="1" x14ac:dyDescent="0.35">
      <c r="A3527" s="1664"/>
      <c r="B3527" s="3641"/>
      <c r="C3527" s="3077"/>
      <c r="D3527" s="3980"/>
      <c r="E3527" s="3883"/>
      <c r="F3527" s="3984" t="str">
        <f>$E$1620</f>
        <v>ASHP-SEER16-Replace_CAC_NonElectricHeat_ROF_MF_CompE</v>
      </c>
      <c r="G3527" s="3984"/>
      <c r="H3527" s="3984"/>
      <c r="I3527" s="3984"/>
      <c r="J3527" s="3501" t="str">
        <f>$C$1620</f>
        <v>352961_2021_12_</v>
      </c>
      <c r="K3527" s="3643">
        <v>1</v>
      </c>
      <c r="L3527" s="704"/>
      <c r="M3527" s="3020"/>
      <c r="N3527" s="106"/>
      <c r="O3527" s="106"/>
      <c r="P3527" s="702"/>
      <c r="Q3527" s="702"/>
      <c r="R3527" s="702"/>
      <c r="S3527" s="106"/>
      <c r="T3527" s="486"/>
      <c r="U3527" s="106"/>
      <c r="V3527" s="3980"/>
      <c r="W3527" s="663"/>
      <c r="X3527" s="663"/>
      <c r="Y3527" s="661"/>
      <c r="Z3527" s="663"/>
      <c r="AA3527" s="663"/>
      <c r="AB3527" s="663"/>
      <c r="AC3527" s="2926">
        <f>AC3526</f>
        <v>0.65</v>
      </c>
      <c r="AD3527" s="3643">
        <v>1</v>
      </c>
      <c r="AE3527" s="2939"/>
      <c r="AF3527" s="663"/>
      <c r="AG3527" s="663"/>
      <c r="AH3527" s="156"/>
      <c r="AI3527" s="156"/>
      <c r="AJ3527" s="156"/>
      <c r="AK3527" s="156"/>
      <c r="AL3527" s="156"/>
      <c r="AM3527" s="156"/>
      <c r="AN3527" s="156"/>
      <c r="AO3527" s="156"/>
      <c r="AP3527" s="156"/>
      <c r="AQ3527" s="156"/>
      <c r="AR3527" s="156"/>
      <c r="AS3527" s="156"/>
      <c r="AT3527" s="156"/>
      <c r="AU3527" s="156"/>
      <c r="AV3527" s="156"/>
      <c r="AW3527" s="156"/>
      <c r="AX3527" s="156"/>
      <c r="AY3527" s="156"/>
      <c r="AZ3527" s="156"/>
      <c r="BA3527" s="156"/>
      <c r="BB3527" s="2828"/>
      <c r="BC3527" s="452"/>
      <c r="BD3527" s="2829"/>
      <c r="BE3527" s="2837"/>
      <c r="BF3527" s="156"/>
    </row>
    <row r="3528" spans="1:58" ht="15" customHeight="1" outlineLevel="1" x14ac:dyDescent="0.35">
      <c r="A3528" s="1664"/>
      <c r="B3528" s="3641"/>
      <c r="C3528" s="3077"/>
      <c r="D3528" s="3980"/>
      <c r="E3528" s="3883"/>
      <c r="F3528" s="3984" t="str">
        <f>$E$1622</f>
        <v>ASHP-SEER16-Replace_CAC_ElectricHeat_ER1_MF</v>
      </c>
      <c r="G3528" s="3984"/>
      <c r="H3528" s="3984"/>
      <c r="I3528" s="3984"/>
      <c r="J3528" s="3501" t="str">
        <f>$C$1622</f>
        <v>353000_2021_12_</v>
      </c>
      <c r="K3528" s="3643">
        <v>1</v>
      </c>
      <c r="L3528" s="704"/>
      <c r="M3528" s="3020" t="s">
        <v>977</v>
      </c>
      <c r="N3528" s="106"/>
      <c r="O3528" s="106"/>
      <c r="P3528" s="702"/>
      <c r="Q3528" s="702"/>
      <c r="R3528" s="702"/>
      <c r="S3528" s="106"/>
      <c r="T3528" s="486"/>
      <c r="U3528" s="106"/>
      <c r="V3528" s="3980"/>
      <c r="W3528" s="663">
        <v>0.65</v>
      </c>
      <c r="X3528" s="663">
        <v>0.65</v>
      </c>
      <c r="Y3528" s="663">
        <v>0.65</v>
      </c>
      <c r="Z3528" s="663">
        <v>0.65</v>
      </c>
      <c r="AA3528" s="663">
        <v>0.65</v>
      </c>
      <c r="AB3528" s="663">
        <v>0.65</v>
      </c>
      <c r="AC3528" s="2923">
        <v>0.65</v>
      </c>
      <c r="AD3528" s="3643">
        <v>1</v>
      </c>
      <c r="AE3528" s="2939"/>
      <c r="AF3528" s="663"/>
      <c r="AG3528" s="663"/>
      <c r="AH3528" s="156"/>
      <c r="AI3528" s="156"/>
      <c r="AJ3528" s="156"/>
      <c r="AK3528" s="156"/>
      <c r="AL3528" s="156"/>
      <c r="AM3528" s="156"/>
      <c r="AN3528" s="156"/>
      <c r="AO3528" s="156"/>
      <c r="AP3528" s="156"/>
      <c r="AQ3528" s="156"/>
      <c r="AR3528" s="156"/>
      <c r="AS3528" s="156"/>
      <c r="AT3528" s="156"/>
      <c r="AU3528" s="156"/>
      <c r="AV3528" s="156"/>
      <c r="AW3528" s="156"/>
      <c r="AX3528" s="156"/>
      <c r="AY3528" s="156"/>
      <c r="AZ3528" s="156"/>
      <c r="BA3528" s="156"/>
      <c r="BB3528" s="2828"/>
      <c r="BC3528" s="452"/>
      <c r="BD3528" s="2829"/>
      <c r="BE3528" s="2837"/>
      <c r="BF3528" s="156"/>
    </row>
    <row r="3529" spans="1:58" ht="15" customHeight="1" outlineLevel="1" x14ac:dyDescent="0.35">
      <c r="A3529" s="1664"/>
      <c r="B3529" s="3641"/>
      <c r="C3529" s="3077"/>
      <c r="D3529" s="3980"/>
      <c r="E3529" s="3883"/>
      <c r="F3529" s="3984" t="str">
        <f>$E$1624</f>
        <v>ASHP-SEER16-Replace_CAC_ElectricHeat_ER2_MF</v>
      </c>
      <c r="G3529" s="3984"/>
      <c r="H3529" s="3984"/>
      <c r="I3529" s="3984"/>
      <c r="J3529" s="3501" t="str">
        <f>$C$1624</f>
        <v>353000_2021_12_</v>
      </c>
      <c r="K3529" s="3643">
        <v>1</v>
      </c>
      <c r="L3529" s="704"/>
      <c r="M3529" s="3020" t="s">
        <v>977</v>
      </c>
      <c r="N3529" s="106"/>
      <c r="O3529" s="106"/>
      <c r="P3529" s="702"/>
      <c r="Q3529" s="702"/>
      <c r="R3529" s="702"/>
      <c r="S3529" s="106"/>
      <c r="T3529" s="486"/>
      <c r="U3529" s="106"/>
      <c r="V3529" s="3980"/>
      <c r="W3529" s="663">
        <v>0.65</v>
      </c>
      <c r="X3529" s="663">
        <v>0.65</v>
      </c>
      <c r="Y3529" s="663">
        <v>0.65</v>
      </c>
      <c r="Z3529" s="663">
        <v>0.65</v>
      </c>
      <c r="AA3529" s="663">
        <v>0.65</v>
      </c>
      <c r="AB3529" s="663">
        <v>0.65</v>
      </c>
      <c r="AC3529" s="2923">
        <v>0.65</v>
      </c>
      <c r="AD3529" s="3643">
        <v>1</v>
      </c>
      <c r="AE3529" s="2939"/>
      <c r="AF3529" s="663"/>
      <c r="AG3529" s="663"/>
      <c r="AH3529" s="156"/>
      <c r="AI3529" s="156"/>
      <c r="AJ3529" s="156"/>
      <c r="AK3529" s="156"/>
      <c r="AL3529" s="156"/>
      <c r="AM3529" s="156"/>
      <c r="AN3529" s="156"/>
      <c r="AO3529" s="156"/>
      <c r="AP3529" s="156"/>
      <c r="AQ3529" s="156"/>
      <c r="AR3529" s="156"/>
      <c r="AS3529" s="156"/>
      <c r="AT3529" s="156"/>
      <c r="AU3529" s="156"/>
      <c r="AV3529" s="156"/>
      <c r="AW3529" s="156"/>
      <c r="AX3529" s="156"/>
      <c r="AY3529" s="156"/>
      <c r="AZ3529" s="156"/>
      <c r="BA3529" s="156"/>
      <c r="BB3529" s="2828"/>
      <c r="BC3529" s="452"/>
      <c r="BD3529" s="2829"/>
      <c r="BE3529" s="2837"/>
      <c r="BF3529" s="156"/>
    </row>
    <row r="3530" spans="1:58" ht="15" customHeight="1" outlineLevel="1" x14ac:dyDescent="0.35">
      <c r="A3530" s="1664"/>
      <c r="B3530" s="3641"/>
      <c r="C3530" s="3077"/>
      <c r="D3530" s="3980"/>
      <c r="E3530" s="3883"/>
      <c r="F3530" s="3984" t="str">
        <f>$E$1626</f>
        <v>ASHP-SEER16-Replace_CAC_ElectricHeat_ER1_MF_CompE</v>
      </c>
      <c r="G3530" s="3984"/>
      <c r="H3530" s="3984"/>
      <c r="I3530" s="3984"/>
      <c r="J3530" s="3501" t="str">
        <f>$C$1626</f>
        <v>353001_2021_12_</v>
      </c>
      <c r="K3530" s="663">
        <v>0.65</v>
      </c>
      <c r="L3530" s="704"/>
      <c r="M3530" s="3020"/>
      <c r="N3530" s="106"/>
      <c r="O3530" s="106"/>
      <c r="P3530" s="702"/>
      <c r="Q3530" s="702"/>
      <c r="R3530" s="702"/>
      <c r="S3530" s="106"/>
      <c r="T3530" s="486"/>
      <c r="U3530" s="106"/>
      <c r="V3530" s="3980"/>
      <c r="W3530" s="663"/>
      <c r="X3530" s="663"/>
      <c r="Y3530" s="661">
        <v>0.65</v>
      </c>
      <c r="Z3530" s="663">
        <v>0.65</v>
      </c>
      <c r="AA3530" s="663">
        <v>0.65</v>
      </c>
      <c r="AB3530" s="663">
        <v>0.65</v>
      </c>
      <c r="AC3530" s="2923">
        <f>AC3528</f>
        <v>0.65</v>
      </c>
      <c r="AD3530" s="663">
        <v>0.65</v>
      </c>
      <c r="AE3530" s="2939"/>
      <c r="AF3530" s="663"/>
      <c r="AG3530" s="663"/>
      <c r="AH3530" s="156"/>
      <c r="AI3530" s="156"/>
      <c r="AJ3530" s="156"/>
      <c r="AK3530" s="156"/>
      <c r="AL3530" s="156"/>
      <c r="AM3530" s="156"/>
      <c r="AN3530" s="156"/>
      <c r="AO3530" s="156"/>
      <c r="AP3530" s="156"/>
      <c r="AQ3530" s="156"/>
      <c r="AR3530" s="156"/>
      <c r="AS3530" s="156"/>
      <c r="AT3530" s="156"/>
      <c r="AU3530" s="156"/>
      <c r="AV3530" s="156"/>
      <c r="AW3530" s="156"/>
      <c r="AX3530" s="156"/>
      <c r="AY3530" s="156"/>
      <c r="AZ3530" s="156"/>
      <c r="BA3530" s="156"/>
      <c r="BB3530" s="2828"/>
      <c r="BC3530" s="452"/>
      <c r="BD3530" s="2829"/>
      <c r="BE3530" s="2837"/>
      <c r="BF3530" s="156"/>
    </row>
    <row r="3531" spans="1:58" ht="15" customHeight="1" outlineLevel="1" x14ac:dyDescent="0.35">
      <c r="A3531" s="1664"/>
      <c r="B3531" s="3641"/>
      <c r="C3531" s="3077"/>
      <c r="D3531" s="3980"/>
      <c r="E3531" s="3883"/>
      <c r="F3531" s="3984" t="str">
        <f>$E$1628</f>
        <v>ASHP-SEER16-Replace_CAC_ElectricHeat_ER2_MF_CompE</v>
      </c>
      <c r="G3531" s="3984"/>
      <c r="H3531" s="3984"/>
      <c r="I3531" s="3984"/>
      <c r="J3531" s="3501" t="str">
        <f>$C$1628</f>
        <v>353001_2021_12_</v>
      </c>
      <c r="K3531" s="715">
        <v>0.65</v>
      </c>
      <c r="L3531" s="704"/>
      <c r="M3531" s="3020"/>
      <c r="N3531" s="106"/>
      <c r="O3531" s="106"/>
      <c r="P3531" s="702"/>
      <c r="Q3531" s="702"/>
      <c r="R3531" s="702"/>
      <c r="S3531" s="106"/>
      <c r="T3531" s="486"/>
      <c r="U3531" s="106"/>
      <c r="V3531" s="3980"/>
      <c r="W3531" s="663"/>
      <c r="X3531" s="663"/>
      <c r="Y3531" s="661">
        <v>0.65</v>
      </c>
      <c r="Z3531" s="663">
        <v>0.65</v>
      </c>
      <c r="AA3531" s="663">
        <v>0.65</v>
      </c>
      <c r="AB3531" s="663">
        <v>0.65</v>
      </c>
      <c r="AC3531" s="2925">
        <f>AC3529</f>
        <v>0.65</v>
      </c>
      <c r="AD3531" s="663">
        <v>0.65</v>
      </c>
      <c r="AE3531" s="2939"/>
      <c r="AF3531" s="663"/>
      <c r="AG3531" s="663"/>
      <c r="AH3531" s="156"/>
      <c r="AI3531" s="156"/>
      <c r="AJ3531" s="156"/>
      <c r="AK3531" s="156"/>
      <c r="AL3531" s="156"/>
      <c r="AM3531" s="156"/>
      <c r="AN3531" s="156"/>
      <c r="AO3531" s="156"/>
      <c r="AP3531" s="156"/>
      <c r="AQ3531" s="156"/>
      <c r="AR3531" s="156"/>
      <c r="AS3531" s="156"/>
      <c r="AT3531" s="156"/>
      <c r="AU3531" s="156"/>
      <c r="AV3531" s="156"/>
      <c r="AW3531" s="156"/>
      <c r="AX3531" s="156"/>
      <c r="AY3531" s="156"/>
      <c r="AZ3531" s="156"/>
      <c r="BA3531" s="156"/>
      <c r="BB3531" s="2828"/>
      <c r="BC3531" s="452"/>
      <c r="BD3531" s="2829"/>
      <c r="BE3531" s="2837"/>
      <c r="BF3531" s="156"/>
    </row>
    <row r="3532" spans="1:58" ht="15" customHeight="1" outlineLevel="1" x14ac:dyDescent="0.35">
      <c r="A3532" s="1664"/>
      <c r="B3532" s="3641"/>
      <c r="C3532" s="3077"/>
      <c r="D3532" s="3980"/>
      <c r="E3532" s="3883"/>
      <c r="F3532" s="3984" t="str">
        <f>$E$1630</f>
        <v>ASHP-SEER16-Replace_CAC_NonElectricHeat_ER1_MF</v>
      </c>
      <c r="G3532" s="3984"/>
      <c r="H3532" s="3984"/>
      <c r="I3532" s="3984"/>
      <c r="J3532" s="3501" t="str">
        <f>$C$1630</f>
        <v>353010_2021_12_</v>
      </c>
      <c r="K3532" s="715">
        <v>0.65</v>
      </c>
      <c r="L3532" s="704"/>
      <c r="M3532" s="3020"/>
      <c r="N3532" s="106"/>
      <c r="O3532" s="106"/>
      <c r="P3532" s="702"/>
      <c r="Q3532" s="702"/>
      <c r="R3532" s="702"/>
      <c r="S3532" s="106"/>
      <c r="T3532" s="486"/>
      <c r="U3532" s="106"/>
      <c r="V3532" s="3980"/>
      <c r="W3532" s="663"/>
      <c r="X3532" s="663"/>
      <c r="Y3532" s="661"/>
      <c r="Z3532" s="663"/>
      <c r="AA3532" s="663"/>
      <c r="AB3532" s="663"/>
      <c r="AC3532" s="2926">
        <f t="shared" ref="AC3532:AC3535" si="400">AC3531</f>
        <v>0.65</v>
      </c>
      <c r="AD3532" s="663">
        <v>0.65</v>
      </c>
      <c r="AE3532" s="2939"/>
      <c r="AF3532" s="663"/>
      <c r="AG3532" s="663"/>
      <c r="AH3532" s="156"/>
      <c r="AI3532" s="156"/>
      <c r="AJ3532" s="156"/>
      <c r="AK3532" s="156"/>
      <c r="AL3532" s="156"/>
      <c r="AM3532" s="156"/>
      <c r="AN3532" s="156"/>
      <c r="AO3532" s="156"/>
      <c r="AP3532" s="156"/>
      <c r="AQ3532" s="156"/>
      <c r="AR3532" s="156"/>
      <c r="AS3532" s="156"/>
      <c r="AT3532" s="156"/>
      <c r="AU3532" s="156"/>
      <c r="AV3532" s="156"/>
      <c r="AW3532" s="156"/>
      <c r="AX3532" s="156"/>
      <c r="AY3532" s="156"/>
      <c r="AZ3532" s="156"/>
      <c r="BA3532" s="156"/>
      <c r="BB3532" s="2828"/>
      <c r="BC3532" s="452"/>
      <c r="BD3532" s="2829"/>
      <c r="BE3532" s="2837"/>
      <c r="BF3532" s="156"/>
    </row>
    <row r="3533" spans="1:58" ht="15" customHeight="1" outlineLevel="1" x14ac:dyDescent="0.35">
      <c r="A3533" s="1664"/>
      <c r="B3533" s="3641"/>
      <c r="C3533" s="3077"/>
      <c r="D3533" s="3980"/>
      <c r="E3533" s="3883"/>
      <c r="F3533" s="3984" t="str">
        <f>$E$1632</f>
        <v>ASHP-SEER16-Replace_CAC_NonElectricHeat_ER2_MF</v>
      </c>
      <c r="G3533" s="3984"/>
      <c r="H3533" s="3984"/>
      <c r="I3533" s="3984"/>
      <c r="J3533" s="3501" t="str">
        <f>$C$1632</f>
        <v>353010_2021_12_</v>
      </c>
      <c r="K3533" s="715">
        <v>0.65</v>
      </c>
      <c r="L3533" s="704"/>
      <c r="M3533" s="3020"/>
      <c r="N3533" s="106"/>
      <c r="O3533" s="106"/>
      <c r="P3533" s="702"/>
      <c r="Q3533" s="702"/>
      <c r="R3533" s="702"/>
      <c r="S3533" s="106"/>
      <c r="T3533" s="486"/>
      <c r="U3533" s="106"/>
      <c r="V3533" s="3980"/>
      <c r="W3533" s="663"/>
      <c r="X3533" s="663"/>
      <c r="Y3533" s="661"/>
      <c r="Z3533" s="663"/>
      <c r="AA3533" s="663"/>
      <c r="AB3533" s="663"/>
      <c r="AC3533" s="2926">
        <f t="shared" si="400"/>
        <v>0.65</v>
      </c>
      <c r="AD3533" s="663">
        <v>0.65</v>
      </c>
      <c r="AE3533" s="2939"/>
      <c r="AF3533" s="663"/>
      <c r="AG3533" s="663"/>
      <c r="AH3533" s="156"/>
      <c r="AI3533" s="156"/>
      <c r="AJ3533" s="156"/>
      <c r="AK3533" s="156"/>
      <c r="AL3533" s="156"/>
      <c r="AM3533" s="156"/>
      <c r="AN3533" s="156"/>
      <c r="AO3533" s="156"/>
      <c r="AP3533" s="156"/>
      <c r="AQ3533" s="156"/>
      <c r="AR3533" s="156"/>
      <c r="AS3533" s="156"/>
      <c r="AT3533" s="156"/>
      <c r="AU3533" s="156"/>
      <c r="AV3533" s="156"/>
      <c r="AW3533" s="156"/>
      <c r="AX3533" s="156"/>
      <c r="AY3533" s="156"/>
      <c r="AZ3533" s="156"/>
      <c r="BA3533" s="156"/>
      <c r="BB3533" s="2828"/>
      <c r="BC3533" s="452"/>
      <c r="BD3533" s="2829"/>
      <c r="BE3533" s="2837"/>
      <c r="BF3533" s="156"/>
    </row>
    <row r="3534" spans="1:58" ht="15" customHeight="1" outlineLevel="1" x14ac:dyDescent="0.35">
      <c r="A3534" s="1664"/>
      <c r="B3534" s="3641"/>
      <c r="C3534" s="3077"/>
      <c r="D3534" s="3980"/>
      <c r="E3534" s="3883"/>
      <c r="F3534" s="3984" t="str">
        <f>$E$1634</f>
        <v>ASHP-SEER16-Replace_CAC_NonElectricHeat_ER1_MF_CompE</v>
      </c>
      <c r="G3534" s="3984"/>
      <c r="H3534" s="3984"/>
      <c r="I3534" s="3984"/>
      <c r="J3534" s="3501" t="str">
        <f>$C$1634</f>
        <v>353011_2021_12_</v>
      </c>
      <c r="K3534" s="715">
        <v>0.65</v>
      </c>
      <c r="L3534" s="704"/>
      <c r="M3534" s="3020"/>
      <c r="N3534" s="106"/>
      <c r="O3534" s="106"/>
      <c r="P3534" s="702"/>
      <c r="Q3534" s="702"/>
      <c r="R3534" s="702"/>
      <c r="S3534" s="106"/>
      <c r="T3534" s="486"/>
      <c r="U3534" s="106"/>
      <c r="V3534" s="3980"/>
      <c r="W3534" s="663"/>
      <c r="X3534" s="663"/>
      <c r="Y3534" s="661"/>
      <c r="Z3534" s="663"/>
      <c r="AA3534" s="663"/>
      <c r="AB3534" s="663"/>
      <c r="AC3534" s="2926">
        <f t="shared" si="400"/>
        <v>0.65</v>
      </c>
      <c r="AD3534" s="663">
        <v>0.65</v>
      </c>
      <c r="AE3534" s="2939"/>
      <c r="AF3534" s="663"/>
      <c r="AG3534" s="663"/>
      <c r="AH3534" s="156"/>
      <c r="AI3534" s="156"/>
      <c r="AJ3534" s="156"/>
      <c r="AK3534" s="156"/>
      <c r="AL3534" s="156"/>
      <c r="AM3534" s="156"/>
      <c r="AN3534" s="156"/>
      <c r="AO3534" s="156"/>
      <c r="AP3534" s="156"/>
      <c r="AQ3534" s="156"/>
      <c r="AR3534" s="156"/>
      <c r="AS3534" s="156"/>
      <c r="AT3534" s="156"/>
      <c r="AU3534" s="156"/>
      <c r="AV3534" s="156"/>
      <c r="AW3534" s="156"/>
      <c r="AX3534" s="156"/>
      <c r="AY3534" s="156"/>
      <c r="AZ3534" s="156"/>
      <c r="BA3534" s="156"/>
      <c r="BB3534" s="2828"/>
      <c r="BC3534" s="452"/>
      <c r="BD3534" s="2829"/>
      <c r="BE3534" s="2837"/>
      <c r="BF3534" s="156"/>
    </row>
    <row r="3535" spans="1:58" ht="15" customHeight="1" outlineLevel="1" x14ac:dyDescent="0.35">
      <c r="A3535" s="1664"/>
      <c r="B3535" s="3641"/>
      <c r="C3535" s="3077"/>
      <c r="D3535" s="3980"/>
      <c r="E3535" s="3883"/>
      <c r="F3535" s="3984" t="str">
        <f>$E$1636</f>
        <v>ASHP-SEER16-Replace_CAC_NonElectricHeat_ER2_MF_CompE</v>
      </c>
      <c r="G3535" s="3984"/>
      <c r="H3535" s="3984"/>
      <c r="I3535" s="3984"/>
      <c r="J3535" s="3501" t="str">
        <f>$C$1636</f>
        <v>353011_2021_12_</v>
      </c>
      <c r="K3535" s="715">
        <v>0.65</v>
      </c>
      <c r="L3535" s="704"/>
      <c r="M3535" s="3020"/>
      <c r="N3535" s="106"/>
      <c r="O3535" s="106"/>
      <c r="P3535" s="702"/>
      <c r="Q3535" s="702"/>
      <c r="R3535" s="702"/>
      <c r="S3535" s="106"/>
      <c r="T3535" s="486"/>
      <c r="U3535" s="106"/>
      <c r="V3535" s="3980"/>
      <c r="W3535" s="663"/>
      <c r="X3535" s="663"/>
      <c r="Y3535" s="661"/>
      <c r="Z3535" s="663"/>
      <c r="AA3535" s="663"/>
      <c r="AB3535" s="663"/>
      <c r="AC3535" s="2926">
        <f t="shared" si="400"/>
        <v>0.65</v>
      </c>
      <c r="AD3535" s="663">
        <v>0.65</v>
      </c>
      <c r="AE3535" s="2939"/>
      <c r="AF3535" s="663"/>
      <c r="AG3535" s="663"/>
      <c r="AH3535" s="156"/>
      <c r="AI3535" s="156"/>
      <c r="AJ3535" s="156"/>
      <c r="AK3535" s="156"/>
      <c r="AL3535" s="156"/>
      <c r="AM3535" s="156"/>
      <c r="AN3535" s="156"/>
      <c r="AO3535" s="156"/>
      <c r="AP3535" s="156"/>
      <c r="AQ3535" s="156"/>
      <c r="AR3535" s="156"/>
      <c r="AS3535" s="156"/>
      <c r="AT3535" s="156"/>
      <c r="AU3535" s="156"/>
      <c r="AV3535" s="156"/>
      <c r="AW3535" s="156"/>
      <c r="AX3535" s="156"/>
      <c r="AY3535" s="156"/>
      <c r="AZ3535" s="156"/>
      <c r="BA3535" s="156"/>
      <c r="BB3535" s="2828"/>
      <c r="BC3535" s="452"/>
      <c r="BD3535" s="2829"/>
      <c r="BE3535" s="2837"/>
      <c r="BF3535" s="156"/>
    </row>
    <row r="3536" spans="1:58" ht="15" customHeight="1" outlineLevel="1" x14ac:dyDescent="0.35">
      <c r="A3536" s="1664"/>
      <c r="B3536" s="3641"/>
      <c r="C3536" s="3077"/>
      <c r="D3536" s="3980"/>
      <c r="E3536" s="3883"/>
      <c r="F3536" s="3984" t="str">
        <f>$E$1638</f>
        <v>ASHP-SEER15_ROF_MF</v>
      </c>
      <c r="G3536" s="3984"/>
      <c r="H3536" s="3984"/>
      <c r="I3536" s="3984"/>
      <c r="J3536" s="3501" t="str">
        <f>$C$1638</f>
        <v>353050_2021_12_</v>
      </c>
      <c r="K3536" s="3643">
        <v>1</v>
      </c>
      <c r="L3536" s="704"/>
      <c r="M3536" s="3020" t="s">
        <v>977</v>
      </c>
      <c r="N3536" s="106"/>
      <c r="O3536" s="106"/>
      <c r="P3536" s="702"/>
      <c r="Q3536" s="702"/>
      <c r="R3536" s="702"/>
      <c r="S3536" s="106"/>
      <c r="T3536" s="486"/>
      <c r="U3536" s="106"/>
      <c r="V3536" s="3980"/>
      <c r="W3536" s="663">
        <v>0.65</v>
      </c>
      <c r="X3536" s="663">
        <v>0.65</v>
      </c>
      <c r="Y3536" s="663">
        <v>0.65</v>
      </c>
      <c r="Z3536" s="663">
        <v>0.65</v>
      </c>
      <c r="AA3536" s="663">
        <v>0.65</v>
      </c>
      <c r="AB3536" s="663">
        <v>0.65</v>
      </c>
      <c r="AC3536" s="2923">
        <v>0.65</v>
      </c>
      <c r="AD3536" s="3643">
        <v>1</v>
      </c>
      <c r="AE3536" s="2939"/>
      <c r="AF3536" s="663"/>
      <c r="AG3536" s="663"/>
      <c r="AH3536" s="156"/>
      <c r="AI3536" s="156"/>
      <c r="AJ3536" s="156"/>
      <c r="AK3536" s="156"/>
      <c r="AL3536" s="156"/>
      <c r="AM3536" s="156"/>
      <c r="AN3536" s="156"/>
      <c r="AO3536" s="156"/>
      <c r="AP3536" s="156"/>
      <c r="AQ3536" s="156"/>
      <c r="AR3536" s="156"/>
      <c r="AS3536" s="156"/>
      <c r="AT3536" s="156"/>
      <c r="AU3536" s="156"/>
      <c r="AV3536" s="156"/>
      <c r="AW3536" s="156"/>
      <c r="AX3536" s="156"/>
      <c r="AY3536" s="156"/>
      <c r="AZ3536" s="156"/>
      <c r="BA3536" s="156"/>
      <c r="BB3536" s="2828"/>
      <c r="BC3536" s="452"/>
      <c r="BD3536" s="2829"/>
      <c r="BE3536" s="2837"/>
      <c r="BF3536" s="156"/>
    </row>
    <row r="3537" spans="1:58" ht="15" customHeight="1" outlineLevel="1" x14ac:dyDescent="0.35">
      <c r="A3537" s="1664"/>
      <c r="B3537" s="3641"/>
      <c r="C3537" s="3077"/>
      <c r="D3537" s="3980"/>
      <c r="E3537" s="3883"/>
      <c r="F3537" s="3984" t="str">
        <f>$E$1640</f>
        <v>ASHP-SEER15_ROF_MF_CompE</v>
      </c>
      <c r="G3537" s="3984"/>
      <c r="H3537" s="3984"/>
      <c r="I3537" s="3984"/>
      <c r="J3537" s="3501" t="str">
        <f>$C$1640</f>
        <v>353051_2021_12_</v>
      </c>
      <c r="K3537" s="3643">
        <v>1</v>
      </c>
      <c r="L3537" s="704"/>
      <c r="M3537" s="3020"/>
      <c r="N3537" s="106"/>
      <c r="O3537" s="106"/>
      <c r="P3537" s="702"/>
      <c r="Q3537" s="702"/>
      <c r="R3537" s="702"/>
      <c r="S3537" s="106"/>
      <c r="T3537" s="486"/>
      <c r="U3537" s="106"/>
      <c r="V3537" s="3980"/>
      <c r="W3537" s="663"/>
      <c r="X3537" s="663"/>
      <c r="Y3537" s="661">
        <v>0.65</v>
      </c>
      <c r="Z3537" s="663">
        <v>0.65</v>
      </c>
      <c r="AA3537" s="663">
        <v>0.65</v>
      </c>
      <c r="AB3537" s="663">
        <v>0.65</v>
      </c>
      <c r="AC3537" s="2923">
        <f>AC3536</f>
        <v>0.65</v>
      </c>
      <c r="AD3537" s="3643">
        <v>1</v>
      </c>
      <c r="AE3537" s="2939"/>
      <c r="AF3537" s="663"/>
      <c r="AG3537" s="663"/>
      <c r="AH3537" s="156"/>
      <c r="AI3537" s="156"/>
      <c r="AJ3537" s="156"/>
      <c r="AK3537" s="156"/>
      <c r="AL3537" s="156"/>
      <c r="AM3537" s="156"/>
      <c r="AN3537" s="156"/>
      <c r="AO3537" s="156"/>
      <c r="AP3537" s="156"/>
      <c r="AQ3537" s="156"/>
      <c r="AR3537" s="156"/>
      <c r="AS3537" s="156"/>
      <c r="AT3537" s="156"/>
      <c r="AU3537" s="156"/>
      <c r="AV3537" s="156"/>
      <c r="AW3537" s="156"/>
      <c r="AX3537" s="156"/>
      <c r="AY3537" s="156"/>
      <c r="AZ3537" s="156"/>
      <c r="BA3537" s="156"/>
      <c r="BB3537" s="2828"/>
      <c r="BC3537" s="452"/>
      <c r="BD3537" s="2829"/>
      <c r="BE3537" s="2837"/>
      <c r="BF3537" s="156"/>
    </row>
    <row r="3538" spans="1:58" ht="15" customHeight="1" outlineLevel="1" x14ac:dyDescent="0.35">
      <c r="A3538" s="1664"/>
      <c r="B3538" s="3641"/>
      <c r="C3538" s="3077"/>
      <c r="D3538" s="3980"/>
      <c r="E3538" s="3883"/>
      <c r="F3538" s="3984" t="str">
        <f>$E$1642</f>
        <v>ASHP-SEER17-Replace_CAC_ElectricHeat_ROF_SF</v>
      </c>
      <c r="G3538" s="3984"/>
      <c r="H3538" s="3984"/>
      <c r="I3538" s="3984"/>
      <c r="J3538" s="3501" t="str">
        <f>$C$1642</f>
        <v>353100_2021_12_</v>
      </c>
      <c r="K3538" s="663">
        <v>1</v>
      </c>
      <c r="L3538" s="704"/>
      <c r="M3538" s="3020"/>
      <c r="N3538" s="106"/>
      <c r="O3538" s="106"/>
      <c r="P3538" s="702"/>
      <c r="Q3538" s="702"/>
      <c r="R3538" s="702"/>
      <c r="S3538" s="106"/>
      <c r="T3538" s="486"/>
      <c r="U3538" s="106"/>
      <c r="V3538" s="3980"/>
      <c r="W3538" s="663">
        <v>1</v>
      </c>
      <c r="X3538" s="663">
        <v>1</v>
      </c>
      <c r="Y3538" s="663">
        <v>1</v>
      </c>
      <c r="Z3538" s="663">
        <v>1</v>
      </c>
      <c r="AA3538" s="663">
        <v>1</v>
      </c>
      <c r="AB3538" s="663">
        <v>1</v>
      </c>
      <c r="AC3538" s="2923">
        <v>1</v>
      </c>
      <c r="AD3538" s="663">
        <v>1</v>
      </c>
      <c r="AE3538" s="2939"/>
      <c r="AF3538" s="663"/>
      <c r="AG3538" s="663"/>
      <c r="AH3538" s="156"/>
      <c r="AI3538" s="156"/>
      <c r="AJ3538" s="156"/>
      <c r="AK3538" s="156"/>
      <c r="AL3538" s="156"/>
      <c r="AM3538" s="156"/>
      <c r="AN3538" s="156"/>
      <c r="AO3538" s="156"/>
      <c r="AP3538" s="156"/>
      <c r="AQ3538" s="156"/>
      <c r="AR3538" s="156"/>
      <c r="AS3538" s="156"/>
      <c r="AT3538" s="156"/>
      <c r="AU3538" s="156"/>
      <c r="AV3538" s="156"/>
      <c r="AW3538" s="156"/>
      <c r="AX3538" s="156"/>
      <c r="AY3538" s="156"/>
      <c r="AZ3538" s="156"/>
      <c r="BA3538" s="156"/>
      <c r="BB3538" s="2828"/>
      <c r="BC3538" s="452"/>
      <c r="BD3538" s="2829"/>
      <c r="BE3538" s="2837"/>
      <c r="BF3538" s="156"/>
    </row>
    <row r="3539" spans="1:58" s="3398" customFormat="1" ht="15" customHeight="1" outlineLevel="1" x14ac:dyDescent="0.35">
      <c r="A3539" s="1664"/>
      <c r="B3539" s="3641"/>
      <c r="C3539" s="3077"/>
      <c r="D3539" s="3980"/>
      <c r="E3539" s="3883"/>
      <c r="F3539" s="4136" t="str">
        <f>$E$1644</f>
        <v>ASHP-SEER17-Replace_CAC_NonElectricHeat_ROF_SF</v>
      </c>
      <c r="G3539" s="4136"/>
      <c r="H3539" s="4136"/>
      <c r="I3539" s="4136"/>
      <c r="J3539" s="3502" t="str">
        <f>$C$1644</f>
        <v>353110_2022_12_</v>
      </c>
      <c r="K3539" s="661">
        <v>1</v>
      </c>
      <c r="L3539" s="704"/>
      <c r="M3539" s="3022"/>
      <c r="P3539" s="702"/>
      <c r="Q3539" s="702"/>
      <c r="R3539" s="702"/>
      <c r="T3539" s="3397"/>
      <c r="V3539" s="3980"/>
      <c r="W3539" s="663"/>
      <c r="X3539" s="663"/>
      <c r="Y3539" s="663"/>
      <c r="Z3539" s="663"/>
      <c r="AA3539" s="663"/>
      <c r="AB3539" s="663"/>
      <c r="AC3539" s="2923"/>
      <c r="AD3539" s="661">
        <v>1</v>
      </c>
      <c r="AE3539" s="2939"/>
      <c r="AF3539" s="663"/>
      <c r="AG3539" s="663"/>
      <c r="AH3539" s="156"/>
      <c r="AI3539" s="156"/>
      <c r="AJ3539" s="156"/>
      <c r="AK3539" s="156"/>
      <c r="AL3539" s="156"/>
      <c r="AM3539" s="156"/>
      <c r="AN3539" s="156"/>
      <c r="AO3539" s="156"/>
      <c r="AP3539" s="156"/>
      <c r="AQ3539" s="156"/>
      <c r="AR3539" s="156"/>
      <c r="AS3539" s="156"/>
      <c r="AT3539" s="156"/>
      <c r="AU3539" s="156"/>
      <c r="AV3539" s="156"/>
      <c r="AW3539" s="156"/>
      <c r="AX3539" s="156"/>
      <c r="AY3539" s="156"/>
      <c r="AZ3539" s="156"/>
      <c r="BA3539" s="156"/>
      <c r="BB3539" s="2828"/>
      <c r="BC3539" s="452"/>
      <c r="BD3539" s="2829"/>
      <c r="BE3539" s="2837"/>
      <c r="BF3539" s="156"/>
    </row>
    <row r="3540" spans="1:58" ht="15" customHeight="1" outlineLevel="1" x14ac:dyDescent="0.35">
      <c r="A3540" s="1664"/>
      <c r="B3540" s="3641"/>
      <c r="C3540" s="3077"/>
      <c r="D3540" s="3980"/>
      <c r="E3540" s="3883"/>
      <c r="F3540" s="3984" t="str">
        <f>$E$1646</f>
        <v>ASHP-SEER17-Replace_CAC_ElectricHeat_ROF_MF</v>
      </c>
      <c r="G3540" s="3984"/>
      <c r="H3540" s="3984"/>
      <c r="I3540" s="3984"/>
      <c r="J3540" s="3501" t="str">
        <f>$C$1646</f>
        <v>353150_2019_12_</v>
      </c>
      <c r="K3540" s="663">
        <v>0.65</v>
      </c>
      <c r="L3540" s="704"/>
      <c r="M3540" s="3020" t="s">
        <v>977</v>
      </c>
      <c r="N3540" s="106"/>
      <c r="O3540" s="106"/>
      <c r="P3540" s="702"/>
      <c r="Q3540" s="702"/>
      <c r="R3540" s="702"/>
      <c r="S3540" s="106"/>
      <c r="T3540" s="486"/>
      <c r="U3540" s="106"/>
      <c r="V3540" s="3980"/>
      <c r="W3540" s="663">
        <v>0.65</v>
      </c>
      <c r="X3540" s="663">
        <v>0.65</v>
      </c>
      <c r="Y3540" s="663">
        <v>0.65</v>
      </c>
      <c r="Z3540" s="663">
        <v>0.65</v>
      </c>
      <c r="AA3540" s="663">
        <v>0.65</v>
      </c>
      <c r="AB3540" s="663">
        <v>0.65</v>
      </c>
      <c r="AC3540" s="2923">
        <v>0.65</v>
      </c>
      <c r="AD3540" s="663">
        <v>0.65</v>
      </c>
      <c r="AE3540" s="2939"/>
      <c r="AF3540" s="663"/>
      <c r="AG3540" s="663"/>
      <c r="AH3540" s="156"/>
      <c r="AI3540" s="156"/>
      <c r="AJ3540" s="156"/>
      <c r="AK3540" s="156"/>
      <c r="AL3540" s="156"/>
      <c r="AM3540" s="156"/>
      <c r="AN3540" s="156"/>
      <c r="AO3540" s="156"/>
      <c r="AP3540" s="156"/>
      <c r="AQ3540" s="156"/>
      <c r="AR3540" s="156"/>
      <c r="AS3540" s="156"/>
      <c r="AT3540" s="156"/>
      <c r="AU3540" s="156"/>
      <c r="AV3540" s="156"/>
      <c r="AW3540" s="156"/>
      <c r="AX3540" s="156"/>
      <c r="AY3540" s="156"/>
      <c r="AZ3540" s="156"/>
      <c r="BA3540" s="156"/>
      <c r="BB3540" s="2828"/>
      <c r="BC3540" s="452"/>
      <c r="BD3540" s="2829"/>
      <c r="BE3540" s="2837"/>
      <c r="BF3540" s="156"/>
    </row>
    <row r="3541" spans="1:58" ht="15" customHeight="1" outlineLevel="1" x14ac:dyDescent="0.35">
      <c r="A3541" s="1664"/>
      <c r="B3541" s="3641"/>
      <c r="C3541" s="3077"/>
      <c r="D3541" s="3980"/>
      <c r="E3541" s="3883"/>
      <c r="F3541" s="3984" t="str">
        <f>$E$1648</f>
        <v>ASHP-SEER17-Replace_CAC_ElectricHeat_ROF_MF_CompE</v>
      </c>
      <c r="G3541" s="3984"/>
      <c r="H3541" s="3984"/>
      <c r="I3541" s="3984"/>
      <c r="J3541" s="3501" t="str">
        <f>$C$1648</f>
        <v>353151_2019_12_</v>
      </c>
      <c r="K3541" s="663">
        <v>0.65</v>
      </c>
      <c r="L3541" s="704"/>
      <c r="M3541" s="3020"/>
      <c r="N3541" s="106"/>
      <c r="O3541" s="106"/>
      <c r="P3541" s="702"/>
      <c r="Q3541" s="702"/>
      <c r="R3541" s="702"/>
      <c r="S3541" s="106"/>
      <c r="T3541" s="486"/>
      <c r="U3541" s="106"/>
      <c r="V3541" s="3980"/>
      <c r="W3541" s="663"/>
      <c r="X3541" s="663"/>
      <c r="Y3541" s="661">
        <v>0.65</v>
      </c>
      <c r="Z3541" s="663">
        <v>0.65</v>
      </c>
      <c r="AA3541" s="663">
        <v>0.65</v>
      </c>
      <c r="AB3541" s="663">
        <v>0.65</v>
      </c>
      <c r="AC3541" s="2923">
        <f>AC3540</f>
        <v>0.65</v>
      </c>
      <c r="AD3541" s="663">
        <v>0.65</v>
      </c>
      <c r="AE3541" s="2939"/>
      <c r="AF3541" s="663"/>
      <c r="AG3541" s="663"/>
      <c r="AH3541" s="156"/>
      <c r="AI3541" s="156"/>
      <c r="AJ3541" s="156"/>
      <c r="AK3541" s="156"/>
      <c r="AL3541" s="156"/>
      <c r="AM3541" s="156"/>
      <c r="AN3541" s="156"/>
      <c r="AO3541" s="156"/>
      <c r="AP3541" s="156"/>
      <c r="AQ3541" s="156"/>
      <c r="AR3541" s="156"/>
      <c r="AS3541" s="156"/>
      <c r="AT3541" s="156"/>
      <c r="AU3541" s="156"/>
      <c r="AV3541" s="156"/>
      <c r="AW3541" s="156"/>
      <c r="AX3541" s="156"/>
      <c r="AY3541" s="156"/>
      <c r="AZ3541" s="156"/>
      <c r="BA3541" s="156"/>
      <c r="BB3541" s="2828"/>
      <c r="BC3541" s="452"/>
      <c r="BD3541" s="2829"/>
      <c r="BE3541" s="2837"/>
      <c r="BF3541" s="156"/>
    </row>
    <row r="3542" spans="1:58" ht="15" customHeight="1" outlineLevel="1" x14ac:dyDescent="0.35">
      <c r="A3542" s="1664"/>
      <c r="B3542" s="3641"/>
      <c r="C3542" s="3077"/>
      <c r="D3542" s="3980"/>
      <c r="E3542" s="3883"/>
      <c r="F3542" s="3984" t="str">
        <f>$E$1650</f>
        <v>ASHP-SEER17-Replace_CAC_NonElectricHeat_ROF_MF</v>
      </c>
      <c r="G3542" s="3984"/>
      <c r="H3542" s="3984"/>
      <c r="I3542" s="3984"/>
      <c r="J3542" s="3501" t="str">
        <f>$C$1650</f>
        <v>353160_2021_12_</v>
      </c>
      <c r="K3542" s="715">
        <v>0.65</v>
      </c>
      <c r="L3542" s="704"/>
      <c r="M3542" s="3020"/>
      <c r="N3542" s="106"/>
      <c r="O3542" s="106"/>
      <c r="P3542" s="702"/>
      <c r="Q3542" s="702"/>
      <c r="R3542" s="702"/>
      <c r="S3542" s="106"/>
      <c r="T3542" s="486"/>
      <c r="U3542" s="106"/>
      <c r="V3542" s="3980"/>
      <c r="W3542" s="663"/>
      <c r="X3542" s="663"/>
      <c r="Y3542" s="661"/>
      <c r="Z3542" s="663"/>
      <c r="AA3542" s="663"/>
      <c r="AB3542" s="663"/>
      <c r="AC3542" s="2926">
        <f t="shared" ref="AC3542:AC3543" si="401">AC3541</f>
        <v>0.65</v>
      </c>
      <c r="AD3542" s="663">
        <v>0.65</v>
      </c>
      <c r="AE3542" s="2939"/>
      <c r="AF3542" s="663"/>
      <c r="AG3542" s="663"/>
      <c r="AH3542" s="156"/>
      <c r="AI3542" s="156"/>
      <c r="AJ3542" s="156"/>
      <c r="AK3542" s="156"/>
      <c r="AL3542" s="156"/>
      <c r="AM3542" s="156"/>
      <c r="AN3542" s="156"/>
      <c r="AO3542" s="156"/>
      <c r="AP3542" s="156"/>
      <c r="AQ3542" s="156"/>
      <c r="AR3542" s="156"/>
      <c r="AS3542" s="156"/>
      <c r="AT3542" s="156"/>
      <c r="AU3542" s="156"/>
      <c r="AV3542" s="156"/>
      <c r="AW3542" s="156"/>
      <c r="AX3542" s="156"/>
      <c r="AY3542" s="156"/>
      <c r="AZ3542" s="156"/>
      <c r="BA3542" s="156"/>
      <c r="BB3542" s="2828"/>
      <c r="BC3542" s="452"/>
      <c r="BD3542" s="2829"/>
      <c r="BE3542" s="2837"/>
      <c r="BF3542" s="156"/>
    </row>
    <row r="3543" spans="1:58" ht="15" customHeight="1" outlineLevel="1" x14ac:dyDescent="0.35">
      <c r="A3543" s="1664"/>
      <c r="B3543" s="3641"/>
      <c r="C3543" s="3077"/>
      <c r="D3543" s="3980"/>
      <c r="E3543" s="3883"/>
      <c r="F3543" s="3984" t="str">
        <f>$E$1652</f>
        <v>ASHP-SEER17-Replace_CAC_NonElectricHeat_ROF_MF_CompE</v>
      </c>
      <c r="G3543" s="3984"/>
      <c r="H3543" s="3984"/>
      <c r="I3543" s="3984"/>
      <c r="J3543" s="3501" t="str">
        <f>$C$1652</f>
        <v>353161_2021_12_</v>
      </c>
      <c r="K3543" s="715">
        <v>0.65</v>
      </c>
      <c r="L3543" s="704"/>
      <c r="M3543" s="3020"/>
      <c r="N3543" s="106"/>
      <c r="O3543" s="106"/>
      <c r="P3543" s="702"/>
      <c r="Q3543" s="702"/>
      <c r="R3543" s="702"/>
      <c r="S3543" s="106"/>
      <c r="T3543" s="486"/>
      <c r="U3543" s="106"/>
      <c r="V3543" s="3980"/>
      <c r="W3543" s="663"/>
      <c r="X3543" s="663"/>
      <c r="Y3543" s="661"/>
      <c r="Z3543" s="663"/>
      <c r="AA3543" s="663"/>
      <c r="AB3543" s="663"/>
      <c r="AC3543" s="2926">
        <f t="shared" si="401"/>
        <v>0.65</v>
      </c>
      <c r="AD3543" s="663">
        <v>0.65</v>
      </c>
      <c r="AE3543" s="2939"/>
      <c r="AF3543" s="663"/>
      <c r="AG3543" s="663"/>
      <c r="AH3543" s="156"/>
      <c r="AI3543" s="156"/>
      <c r="AJ3543" s="156"/>
      <c r="AK3543" s="156"/>
      <c r="AL3543" s="156"/>
      <c r="AM3543" s="156"/>
      <c r="AN3543" s="156"/>
      <c r="AO3543" s="156"/>
      <c r="AP3543" s="156"/>
      <c r="AQ3543" s="156"/>
      <c r="AR3543" s="156"/>
      <c r="AS3543" s="156"/>
      <c r="AT3543" s="156"/>
      <c r="AU3543" s="156"/>
      <c r="AV3543" s="156"/>
      <c r="AW3543" s="156"/>
      <c r="AX3543" s="156"/>
      <c r="AY3543" s="156"/>
      <c r="AZ3543" s="156"/>
      <c r="BA3543" s="156"/>
      <c r="BB3543" s="2828"/>
      <c r="BC3543" s="452"/>
      <c r="BD3543" s="2829"/>
      <c r="BE3543" s="2837"/>
      <c r="BF3543" s="156"/>
    </row>
    <row r="3544" spans="1:58" ht="15" customHeight="1" outlineLevel="1" x14ac:dyDescent="0.35">
      <c r="A3544" s="1664"/>
      <c r="B3544" s="3641"/>
      <c r="C3544" s="3077"/>
      <c r="D3544" s="3980"/>
      <c r="E3544" s="3883"/>
      <c r="F3544" s="3984" t="str">
        <f>$E$1654</f>
        <v>ASHP-SEER18-Replace_CAC_ElectricHeat_ROF_SF</v>
      </c>
      <c r="G3544" s="3984"/>
      <c r="H3544" s="3984"/>
      <c r="I3544" s="3984"/>
      <c r="J3544" s="3501" t="str">
        <f>$C$1654</f>
        <v>353200_2021_12_</v>
      </c>
      <c r="K3544" s="663">
        <v>1</v>
      </c>
      <c r="L3544" s="704"/>
      <c r="M3544" s="3020"/>
      <c r="N3544" s="106"/>
      <c r="O3544" s="106"/>
      <c r="P3544" s="702"/>
      <c r="Q3544" s="702"/>
      <c r="R3544" s="702"/>
      <c r="S3544" s="106"/>
      <c r="T3544" s="486"/>
      <c r="U3544" s="106"/>
      <c r="V3544" s="3980"/>
      <c r="W3544" s="663">
        <v>1</v>
      </c>
      <c r="X3544" s="663">
        <v>1</v>
      </c>
      <c r="Y3544" s="663">
        <v>1</v>
      </c>
      <c r="Z3544" s="663">
        <v>1</v>
      </c>
      <c r="AA3544" s="663">
        <v>1</v>
      </c>
      <c r="AB3544" s="663">
        <v>1</v>
      </c>
      <c r="AC3544" s="2923">
        <v>1</v>
      </c>
      <c r="AD3544" s="663">
        <v>1</v>
      </c>
      <c r="AE3544" s="2939"/>
      <c r="AF3544" s="663"/>
      <c r="AG3544" s="663"/>
      <c r="AH3544" s="156"/>
      <c r="AI3544" s="156"/>
      <c r="AJ3544" s="156"/>
      <c r="AK3544" s="156"/>
      <c r="AL3544" s="156"/>
      <c r="AM3544" s="156"/>
      <c r="AN3544" s="156"/>
      <c r="AO3544" s="156"/>
      <c r="AP3544" s="156"/>
      <c r="AQ3544" s="156"/>
      <c r="AR3544" s="156"/>
      <c r="AS3544" s="156"/>
      <c r="AT3544" s="156"/>
      <c r="AU3544" s="156"/>
      <c r="AV3544" s="156"/>
      <c r="AW3544" s="156"/>
      <c r="AX3544" s="156"/>
      <c r="AY3544" s="156"/>
      <c r="AZ3544" s="156"/>
      <c r="BA3544" s="156"/>
      <c r="BB3544" s="2828"/>
      <c r="BC3544" s="452"/>
      <c r="BD3544" s="2829"/>
      <c r="BE3544" s="2837"/>
      <c r="BF3544" s="156"/>
    </row>
    <row r="3545" spans="1:58" s="3398" customFormat="1" ht="15" customHeight="1" outlineLevel="1" x14ac:dyDescent="0.35">
      <c r="A3545" s="1664"/>
      <c r="B3545" s="3641"/>
      <c r="C3545" s="3077"/>
      <c r="D3545" s="3980"/>
      <c r="E3545" s="3883"/>
      <c r="F3545" s="4136" t="str">
        <f>$E$1656</f>
        <v>ASHP-SEER18-Replace_CAC_NonElectricHeat_ROF_SF</v>
      </c>
      <c r="G3545" s="4136"/>
      <c r="H3545" s="4136"/>
      <c r="I3545" s="4136"/>
      <c r="J3545" s="3502" t="str">
        <f>$C$1656</f>
        <v>353210_2022_12_</v>
      </c>
      <c r="K3545" s="661">
        <v>1</v>
      </c>
      <c r="L3545" s="704"/>
      <c r="M3545" s="3022"/>
      <c r="P3545" s="702"/>
      <c r="Q3545" s="702"/>
      <c r="R3545" s="702"/>
      <c r="T3545" s="3397"/>
      <c r="V3545" s="3980"/>
      <c r="W3545" s="663"/>
      <c r="X3545" s="663"/>
      <c r="Y3545" s="663"/>
      <c r="Z3545" s="663"/>
      <c r="AA3545" s="663"/>
      <c r="AB3545" s="663"/>
      <c r="AC3545" s="2923"/>
      <c r="AD3545" s="661">
        <v>1</v>
      </c>
      <c r="AE3545" s="2939"/>
      <c r="AF3545" s="663"/>
      <c r="AG3545" s="663"/>
      <c r="AH3545" s="156"/>
      <c r="AI3545" s="156"/>
      <c r="AJ3545" s="156"/>
      <c r="AK3545" s="156"/>
      <c r="AL3545" s="156"/>
      <c r="AM3545" s="156"/>
      <c r="AN3545" s="156"/>
      <c r="AO3545" s="156"/>
      <c r="AP3545" s="156"/>
      <c r="AQ3545" s="156"/>
      <c r="AR3545" s="156"/>
      <c r="AS3545" s="156"/>
      <c r="AT3545" s="156"/>
      <c r="AU3545" s="156"/>
      <c r="AV3545" s="156"/>
      <c r="AW3545" s="156"/>
      <c r="AX3545" s="156"/>
      <c r="AY3545" s="156"/>
      <c r="AZ3545" s="156"/>
      <c r="BA3545" s="156"/>
      <c r="BB3545" s="2828"/>
      <c r="BC3545" s="452"/>
      <c r="BD3545" s="2829"/>
      <c r="BE3545" s="2837"/>
      <c r="BF3545" s="156"/>
    </row>
    <row r="3546" spans="1:58" ht="15" customHeight="1" outlineLevel="1" x14ac:dyDescent="0.35">
      <c r="A3546" s="1664"/>
      <c r="B3546" s="3641"/>
      <c r="C3546" s="3077"/>
      <c r="D3546" s="3980"/>
      <c r="E3546" s="3883"/>
      <c r="F3546" s="3984" t="str">
        <f>$E$1658</f>
        <v>ASHP-SEER18-Replace_CAC_ElectricHeat_ROF_MF</v>
      </c>
      <c r="G3546" s="3984"/>
      <c r="H3546" s="3984"/>
      <c r="I3546" s="3984"/>
      <c r="J3546" s="3501" t="str">
        <f>$C$1658</f>
        <v>353250_2021_12_</v>
      </c>
      <c r="K3546" s="3643">
        <v>1</v>
      </c>
      <c r="L3546" s="704"/>
      <c r="M3546" s="3020" t="s">
        <v>977</v>
      </c>
      <c r="N3546" s="106"/>
      <c r="O3546" s="106"/>
      <c r="P3546" s="702"/>
      <c r="Q3546" s="702"/>
      <c r="R3546" s="702"/>
      <c r="S3546" s="106"/>
      <c r="T3546" s="486"/>
      <c r="U3546" s="106"/>
      <c r="V3546" s="3980"/>
      <c r="W3546" s="663">
        <v>0.65</v>
      </c>
      <c r="X3546" s="663">
        <v>0.65</v>
      </c>
      <c r="Y3546" s="663">
        <v>0.65</v>
      </c>
      <c r="Z3546" s="663">
        <v>0.65</v>
      </c>
      <c r="AA3546" s="663">
        <v>0.65</v>
      </c>
      <c r="AB3546" s="663">
        <v>0.65</v>
      </c>
      <c r="AC3546" s="2923">
        <v>0.65</v>
      </c>
      <c r="AD3546" s="3643">
        <v>1</v>
      </c>
      <c r="AE3546" s="2939"/>
      <c r="AF3546" s="663"/>
      <c r="AG3546" s="663"/>
      <c r="AH3546" s="156"/>
      <c r="AI3546" s="156"/>
      <c r="AJ3546" s="156"/>
      <c r="AK3546" s="156"/>
      <c r="AL3546" s="156"/>
      <c r="AM3546" s="156"/>
      <c r="AN3546" s="156"/>
      <c r="AO3546" s="156"/>
      <c r="AP3546" s="156"/>
      <c r="AQ3546" s="156"/>
      <c r="AR3546" s="156"/>
      <c r="AS3546" s="156"/>
      <c r="AT3546" s="156"/>
      <c r="AU3546" s="156"/>
      <c r="AV3546" s="156"/>
      <c r="AW3546" s="156"/>
      <c r="AX3546" s="156"/>
      <c r="AY3546" s="156"/>
      <c r="AZ3546" s="156"/>
      <c r="BA3546" s="156"/>
      <c r="BB3546" s="2828"/>
      <c r="BC3546" s="452"/>
      <c r="BD3546" s="2829"/>
      <c r="BE3546" s="2837"/>
      <c r="BF3546" s="156"/>
    </row>
    <row r="3547" spans="1:58" ht="15" customHeight="1" outlineLevel="1" x14ac:dyDescent="0.35">
      <c r="A3547" s="1664"/>
      <c r="B3547" s="3641"/>
      <c r="C3547" s="3077"/>
      <c r="D3547" s="3980"/>
      <c r="E3547" s="3883"/>
      <c r="F3547" s="3984" t="str">
        <f>$E$1660</f>
        <v>ASHP-SEER18-Replace_CAC_ElectricHeat_ROF_MF_CompE</v>
      </c>
      <c r="G3547" s="3984"/>
      <c r="H3547" s="3984"/>
      <c r="I3547" s="3984"/>
      <c r="J3547" s="3501" t="str">
        <f>$C$1660</f>
        <v>353251_2021_12_</v>
      </c>
      <c r="K3547" s="3643">
        <v>1</v>
      </c>
      <c r="L3547" s="704"/>
      <c r="M3547" s="3020"/>
      <c r="N3547" s="106"/>
      <c r="O3547" s="106"/>
      <c r="P3547" s="702"/>
      <c r="Q3547" s="702"/>
      <c r="R3547" s="702"/>
      <c r="S3547" s="106"/>
      <c r="T3547" s="486"/>
      <c r="U3547" s="106"/>
      <c r="V3547" s="3980"/>
      <c r="W3547" s="663"/>
      <c r="X3547" s="663"/>
      <c r="Y3547" s="661">
        <v>0.65</v>
      </c>
      <c r="Z3547" s="663">
        <v>0.65</v>
      </c>
      <c r="AA3547" s="663">
        <v>0.65</v>
      </c>
      <c r="AB3547" s="663">
        <v>0.65</v>
      </c>
      <c r="AC3547" s="2923">
        <f>AC3546</f>
        <v>0.65</v>
      </c>
      <c r="AD3547" s="3643">
        <v>1</v>
      </c>
      <c r="AE3547" s="2939"/>
      <c r="AF3547" s="663"/>
      <c r="AG3547" s="663"/>
      <c r="AH3547" s="156"/>
      <c r="AI3547" s="156"/>
      <c r="AJ3547" s="156"/>
      <c r="AK3547" s="156"/>
      <c r="AL3547" s="156"/>
      <c r="AM3547" s="156"/>
      <c r="AN3547" s="156"/>
      <c r="AO3547" s="156"/>
      <c r="AP3547" s="156"/>
      <c r="AQ3547" s="156"/>
      <c r="AR3547" s="156"/>
      <c r="AS3547" s="156"/>
      <c r="AT3547" s="156"/>
      <c r="AU3547" s="156"/>
      <c r="AV3547" s="156"/>
      <c r="AW3547" s="156"/>
      <c r="AX3547" s="156"/>
      <c r="AY3547" s="156"/>
      <c r="AZ3547" s="156"/>
      <c r="BA3547" s="156"/>
      <c r="BB3547" s="2828"/>
      <c r="BC3547" s="452"/>
      <c r="BD3547" s="2829"/>
      <c r="BE3547" s="2837"/>
      <c r="BF3547" s="156"/>
    </row>
    <row r="3548" spans="1:58" ht="15" customHeight="1" outlineLevel="1" x14ac:dyDescent="0.35">
      <c r="A3548" s="1664"/>
      <c r="B3548" s="3641"/>
      <c r="C3548" s="3077"/>
      <c r="D3548" s="3980"/>
      <c r="E3548" s="3883"/>
      <c r="F3548" s="3984" t="str">
        <f>$E$1662</f>
        <v>ASHP-SEER18-Replace_CAC_NonElectricHeat_ROF_MF</v>
      </c>
      <c r="G3548" s="3984"/>
      <c r="H3548" s="3984"/>
      <c r="I3548" s="3984"/>
      <c r="J3548" s="3501" t="str">
        <f>$C$1662</f>
        <v>353260_2021_12_</v>
      </c>
      <c r="K3548" s="3643">
        <v>1</v>
      </c>
      <c r="L3548" s="704"/>
      <c r="M3548" s="3020"/>
      <c r="N3548" s="106"/>
      <c r="O3548" s="106"/>
      <c r="P3548" s="702"/>
      <c r="Q3548" s="702"/>
      <c r="R3548" s="702"/>
      <c r="S3548" s="106"/>
      <c r="T3548" s="486"/>
      <c r="U3548" s="106"/>
      <c r="V3548" s="3980"/>
      <c r="W3548" s="663"/>
      <c r="X3548" s="663"/>
      <c r="Y3548" s="661"/>
      <c r="Z3548" s="663"/>
      <c r="AA3548" s="663"/>
      <c r="AB3548" s="663"/>
      <c r="AC3548" s="2926">
        <f t="shared" ref="AC3548:AC3549" si="402">AC3547</f>
        <v>0.65</v>
      </c>
      <c r="AD3548" s="3643">
        <v>1</v>
      </c>
      <c r="AE3548" s="2939"/>
      <c r="AF3548" s="663"/>
      <c r="AG3548" s="663"/>
      <c r="AH3548" s="156"/>
      <c r="AI3548" s="156"/>
      <c r="AJ3548" s="156"/>
      <c r="AK3548" s="156"/>
      <c r="AL3548" s="156"/>
      <c r="AM3548" s="156"/>
      <c r="AN3548" s="156"/>
      <c r="AO3548" s="156"/>
      <c r="AP3548" s="156"/>
      <c r="AQ3548" s="156"/>
      <c r="AR3548" s="156"/>
      <c r="AS3548" s="156"/>
      <c r="AT3548" s="156"/>
      <c r="AU3548" s="156"/>
      <c r="AV3548" s="156"/>
      <c r="AW3548" s="156"/>
      <c r="AX3548" s="156"/>
      <c r="AY3548" s="156"/>
      <c r="AZ3548" s="156"/>
      <c r="BA3548" s="156"/>
      <c r="BB3548" s="2828"/>
      <c r="BC3548" s="452"/>
      <c r="BD3548" s="2829"/>
      <c r="BE3548" s="2837"/>
      <c r="BF3548" s="156"/>
    </row>
    <row r="3549" spans="1:58" ht="15" customHeight="1" outlineLevel="1" x14ac:dyDescent="0.35">
      <c r="A3549" s="1664"/>
      <c r="B3549" s="3641"/>
      <c r="C3549" s="3077"/>
      <c r="D3549" s="3980"/>
      <c r="E3549" s="3883"/>
      <c r="F3549" s="3984" t="str">
        <f>$E$1664</f>
        <v>ASHP-SEER18-Replace_CAC_NonElectricHeat_ROF_MF_CompE</v>
      </c>
      <c r="G3549" s="3984"/>
      <c r="H3549" s="3984"/>
      <c r="I3549" s="3984"/>
      <c r="J3549" s="3501" t="str">
        <f>$C$1664</f>
        <v>353261_2021_12_</v>
      </c>
      <c r="K3549" s="3643">
        <v>1</v>
      </c>
      <c r="L3549" s="704"/>
      <c r="M3549" s="3020"/>
      <c r="N3549" s="106"/>
      <c r="O3549" s="106"/>
      <c r="P3549" s="702"/>
      <c r="Q3549" s="702"/>
      <c r="R3549" s="702"/>
      <c r="S3549" s="106"/>
      <c r="T3549" s="486"/>
      <c r="U3549" s="106"/>
      <c r="V3549" s="3980"/>
      <c r="W3549" s="663"/>
      <c r="X3549" s="663"/>
      <c r="Y3549" s="661"/>
      <c r="Z3549" s="663"/>
      <c r="AA3549" s="663"/>
      <c r="AB3549" s="663"/>
      <c r="AC3549" s="2926">
        <f t="shared" si="402"/>
        <v>0.65</v>
      </c>
      <c r="AD3549" s="3643">
        <v>1</v>
      </c>
      <c r="AE3549" s="2939"/>
      <c r="AF3549" s="663"/>
      <c r="AG3549" s="663"/>
      <c r="AH3549" s="156"/>
      <c r="AI3549" s="156"/>
      <c r="AJ3549" s="156"/>
      <c r="AK3549" s="156"/>
      <c r="AL3549" s="156"/>
      <c r="AM3549" s="156"/>
      <c r="AN3549" s="156"/>
      <c r="AO3549" s="156"/>
      <c r="AP3549" s="156"/>
      <c r="AQ3549" s="156"/>
      <c r="AR3549" s="156"/>
      <c r="AS3549" s="156"/>
      <c r="AT3549" s="156"/>
      <c r="AU3549" s="156"/>
      <c r="AV3549" s="156"/>
      <c r="AW3549" s="156"/>
      <c r="AX3549" s="156"/>
      <c r="AY3549" s="156"/>
      <c r="AZ3549" s="156"/>
      <c r="BA3549" s="156"/>
      <c r="BB3549" s="2828"/>
      <c r="BC3549" s="452"/>
      <c r="BD3549" s="2829"/>
      <c r="BE3549" s="2837"/>
      <c r="BF3549" s="156"/>
    </row>
    <row r="3550" spans="1:58" ht="15" customHeight="1" outlineLevel="1" x14ac:dyDescent="0.35">
      <c r="A3550" s="1664"/>
      <c r="B3550" s="3641"/>
      <c r="C3550" s="3077"/>
      <c r="D3550" s="3980"/>
      <c r="E3550" s="3883"/>
      <c r="F3550" s="3984" t="str">
        <f>$E$1666</f>
        <v>ASHP-SEER19-Replace_CAC_ElectricHeat_ROF_SF</v>
      </c>
      <c r="G3550" s="3984"/>
      <c r="H3550" s="3984"/>
      <c r="I3550" s="3984"/>
      <c r="J3550" s="3501" t="str">
        <f>$C$1666</f>
        <v>353300_2021_12_</v>
      </c>
      <c r="K3550" s="663">
        <v>1</v>
      </c>
      <c r="L3550" s="704"/>
      <c r="M3550" s="3020"/>
      <c r="N3550" s="106"/>
      <c r="O3550" s="106"/>
      <c r="P3550" s="702"/>
      <c r="Q3550" s="702"/>
      <c r="R3550" s="702"/>
      <c r="S3550" s="106"/>
      <c r="T3550" s="486"/>
      <c r="U3550" s="106"/>
      <c r="V3550" s="3980"/>
      <c r="W3550" s="663">
        <v>1</v>
      </c>
      <c r="X3550" s="663">
        <v>1</v>
      </c>
      <c r="Y3550" s="663">
        <v>1</v>
      </c>
      <c r="Z3550" s="663">
        <v>1</v>
      </c>
      <c r="AA3550" s="663">
        <v>1</v>
      </c>
      <c r="AB3550" s="663">
        <v>1</v>
      </c>
      <c r="AC3550" s="2923">
        <v>1</v>
      </c>
      <c r="AD3550" s="663">
        <v>1</v>
      </c>
      <c r="AE3550" s="2939"/>
      <c r="AF3550" s="663"/>
      <c r="AG3550" s="663"/>
      <c r="AH3550" s="156"/>
      <c r="AI3550" s="156"/>
      <c r="AJ3550" s="156"/>
      <c r="AK3550" s="156"/>
      <c r="AL3550" s="156"/>
      <c r="AM3550" s="156"/>
      <c r="AN3550" s="156"/>
      <c r="AO3550" s="156"/>
      <c r="AP3550" s="156"/>
      <c r="AQ3550" s="156"/>
      <c r="AR3550" s="156"/>
      <c r="AS3550" s="156"/>
      <c r="AT3550" s="156"/>
      <c r="AU3550" s="156"/>
      <c r="AV3550" s="156"/>
      <c r="AW3550" s="156"/>
      <c r="AX3550" s="156"/>
      <c r="AY3550" s="156"/>
      <c r="AZ3550" s="156"/>
      <c r="BA3550" s="156"/>
      <c r="BB3550" s="2828"/>
      <c r="BC3550" s="452"/>
      <c r="BD3550" s="2829"/>
      <c r="BE3550" s="2837"/>
      <c r="BF3550" s="156"/>
    </row>
    <row r="3551" spans="1:58" s="3398" customFormat="1" ht="15" customHeight="1" outlineLevel="1" x14ac:dyDescent="0.35">
      <c r="A3551" s="1664"/>
      <c r="B3551" s="3641"/>
      <c r="C3551" s="3077"/>
      <c r="D3551" s="3980"/>
      <c r="E3551" s="3883"/>
      <c r="F3551" s="4136" t="str">
        <f>$E$1668</f>
        <v>ASHP-SEER19-Replace_CAC_NonElectricHeat_ROF_SF</v>
      </c>
      <c r="G3551" s="4136"/>
      <c r="H3551" s="4136"/>
      <c r="I3551" s="4136"/>
      <c r="J3551" s="3502" t="str">
        <f>$C$1668</f>
        <v>353310_2022_12_</v>
      </c>
      <c r="K3551" s="661">
        <v>1</v>
      </c>
      <c r="L3551" s="704"/>
      <c r="M3551" s="3022"/>
      <c r="P3551" s="702"/>
      <c r="Q3551" s="702"/>
      <c r="R3551" s="702"/>
      <c r="T3551" s="3397"/>
      <c r="V3551" s="3980"/>
      <c r="W3551" s="663"/>
      <c r="X3551" s="663"/>
      <c r="Y3551" s="663"/>
      <c r="Z3551" s="663"/>
      <c r="AA3551" s="663"/>
      <c r="AB3551" s="663"/>
      <c r="AC3551" s="2923"/>
      <c r="AD3551" s="661">
        <v>1</v>
      </c>
      <c r="AE3551" s="2939"/>
      <c r="AF3551" s="663"/>
      <c r="AG3551" s="663"/>
      <c r="AH3551" s="156"/>
      <c r="AI3551" s="156"/>
      <c r="AJ3551" s="156"/>
      <c r="AK3551" s="156"/>
      <c r="AL3551" s="156"/>
      <c r="AM3551" s="156"/>
      <c r="AN3551" s="156"/>
      <c r="AO3551" s="156"/>
      <c r="AP3551" s="156"/>
      <c r="AQ3551" s="156"/>
      <c r="AR3551" s="156"/>
      <c r="AS3551" s="156"/>
      <c r="AT3551" s="156"/>
      <c r="AU3551" s="156"/>
      <c r="AV3551" s="156"/>
      <c r="AW3551" s="156"/>
      <c r="AX3551" s="156"/>
      <c r="AY3551" s="156"/>
      <c r="AZ3551" s="156"/>
      <c r="BA3551" s="156"/>
      <c r="BB3551" s="2828"/>
      <c r="BC3551" s="452"/>
      <c r="BD3551" s="2829"/>
      <c r="BE3551" s="2837"/>
      <c r="BF3551" s="156"/>
    </row>
    <row r="3552" spans="1:58" ht="15" customHeight="1" outlineLevel="1" x14ac:dyDescent="0.35">
      <c r="A3552" s="1664"/>
      <c r="B3552" s="3641"/>
      <c r="C3552" s="3077"/>
      <c r="D3552" s="3980"/>
      <c r="E3552" s="3883"/>
      <c r="F3552" s="3984" t="str">
        <f>$E$1670</f>
        <v>ASHP-SEER19-Replace_CAC_ElectricHeat_ROF_MF</v>
      </c>
      <c r="G3552" s="3984"/>
      <c r="H3552" s="3984"/>
      <c r="I3552" s="3984"/>
      <c r="J3552" s="3501" t="str">
        <f>$C$1670</f>
        <v>353350_2021_12_</v>
      </c>
      <c r="K3552" s="663">
        <v>0.65</v>
      </c>
      <c r="L3552" s="704"/>
      <c r="M3552" s="3020" t="s">
        <v>977</v>
      </c>
      <c r="N3552" s="106"/>
      <c r="O3552" s="106"/>
      <c r="P3552" s="702"/>
      <c r="Q3552" s="702"/>
      <c r="R3552" s="702"/>
      <c r="S3552" s="106"/>
      <c r="T3552" s="486"/>
      <c r="U3552" s="106"/>
      <c r="V3552" s="3980"/>
      <c r="W3552" s="663">
        <v>0.65</v>
      </c>
      <c r="X3552" s="663">
        <v>0.65</v>
      </c>
      <c r="Y3552" s="663">
        <v>0.65</v>
      </c>
      <c r="Z3552" s="663">
        <v>0.65</v>
      </c>
      <c r="AA3552" s="663">
        <v>0.65</v>
      </c>
      <c r="AB3552" s="663">
        <v>0.65</v>
      </c>
      <c r="AC3552" s="2923">
        <v>0.65</v>
      </c>
      <c r="AD3552" s="663">
        <v>0.65</v>
      </c>
      <c r="AE3552" s="2939"/>
      <c r="AF3552" s="663"/>
      <c r="AG3552" s="663"/>
      <c r="AH3552" s="156"/>
      <c r="AI3552" s="156"/>
      <c r="AJ3552" s="156"/>
      <c r="AK3552" s="156"/>
      <c r="AL3552" s="156"/>
      <c r="AM3552" s="156"/>
      <c r="AN3552" s="156"/>
      <c r="AO3552" s="156"/>
      <c r="AP3552" s="156"/>
      <c r="AQ3552" s="156"/>
      <c r="AR3552" s="156"/>
      <c r="AS3552" s="156"/>
      <c r="AT3552" s="156"/>
      <c r="AU3552" s="156"/>
      <c r="AV3552" s="156"/>
      <c r="AW3552" s="156"/>
      <c r="AX3552" s="156"/>
      <c r="AY3552" s="156"/>
      <c r="AZ3552" s="156"/>
      <c r="BA3552" s="156"/>
      <c r="BB3552" s="2828"/>
      <c r="BC3552" s="452"/>
      <c r="BD3552" s="2829"/>
      <c r="BE3552" s="2837"/>
      <c r="BF3552" s="156"/>
    </row>
    <row r="3553" spans="1:58" ht="15" customHeight="1" outlineLevel="1" x14ac:dyDescent="0.35">
      <c r="A3553" s="1664"/>
      <c r="B3553" s="3641"/>
      <c r="C3553" s="3077"/>
      <c r="D3553" s="3980"/>
      <c r="E3553" s="3883"/>
      <c r="F3553" s="3984" t="str">
        <f>$E$1672</f>
        <v>ASHP-SEER19-Replace_CAC_ElectricHeat_ROF_MF_CompE</v>
      </c>
      <c r="G3553" s="3984"/>
      <c r="H3553" s="3984"/>
      <c r="I3553" s="3984"/>
      <c r="J3553" s="3501" t="str">
        <f>$C$1672</f>
        <v>353351_2019_12_</v>
      </c>
      <c r="K3553" s="663">
        <v>0.65</v>
      </c>
      <c r="L3553" s="704"/>
      <c r="M3553" s="3020"/>
      <c r="N3553" s="106"/>
      <c r="O3553" s="106"/>
      <c r="P3553" s="702"/>
      <c r="Q3553" s="702"/>
      <c r="R3553" s="702"/>
      <c r="S3553" s="106"/>
      <c r="T3553" s="486"/>
      <c r="U3553" s="106"/>
      <c r="V3553" s="3980"/>
      <c r="W3553" s="663"/>
      <c r="X3553" s="663"/>
      <c r="Y3553" s="661">
        <v>0.65</v>
      </c>
      <c r="Z3553" s="663">
        <v>0.65</v>
      </c>
      <c r="AA3553" s="663">
        <v>0.65</v>
      </c>
      <c r="AB3553" s="663">
        <v>0.65</v>
      </c>
      <c r="AC3553" s="2923">
        <f>AC3552</f>
        <v>0.65</v>
      </c>
      <c r="AD3553" s="663">
        <v>0.65</v>
      </c>
      <c r="AE3553" s="2939"/>
      <c r="AF3553" s="663"/>
      <c r="AG3553" s="663"/>
      <c r="AH3553" s="156"/>
      <c r="AI3553" s="156"/>
      <c r="AJ3553" s="156"/>
      <c r="AK3553" s="156"/>
      <c r="AL3553" s="156"/>
      <c r="AM3553" s="156"/>
      <c r="AN3553" s="156"/>
      <c r="AO3553" s="156"/>
      <c r="AP3553" s="156"/>
      <c r="AQ3553" s="156"/>
      <c r="AR3553" s="156"/>
      <c r="AS3553" s="156"/>
      <c r="AT3553" s="156"/>
      <c r="AU3553" s="156"/>
      <c r="AV3553" s="156"/>
      <c r="AW3553" s="156"/>
      <c r="AX3553" s="156"/>
      <c r="AY3553" s="156"/>
      <c r="AZ3553" s="156"/>
      <c r="BA3553" s="156"/>
      <c r="BB3553" s="2828"/>
      <c r="BC3553" s="452"/>
      <c r="BD3553" s="2829"/>
      <c r="BE3553" s="2837"/>
      <c r="BF3553" s="156"/>
    </row>
    <row r="3554" spans="1:58" ht="15" customHeight="1" outlineLevel="1" x14ac:dyDescent="0.35">
      <c r="A3554" s="1664"/>
      <c r="B3554" s="3641"/>
      <c r="C3554" s="3077"/>
      <c r="D3554" s="3980"/>
      <c r="E3554" s="3883"/>
      <c r="F3554" s="3984" t="str">
        <f>$E$1674</f>
        <v>ASHP-SEER19-Replace_CAC_NonElectricHeat_ROF_MF</v>
      </c>
      <c r="G3554" s="3984"/>
      <c r="H3554" s="3984"/>
      <c r="I3554" s="3984"/>
      <c r="J3554" s="3501" t="str">
        <f>$C$1674</f>
        <v>353360_2021_12_</v>
      </c>
      <c r="K3554" s="715">
        <v>0.65</v>
      </c>
      <c r="L3554" s="704"/>
      <c r="M3554" s="3020"/>
      <c r="N3554" s="106"/>
      <c r="O3554" s="106"/>
      <c r="P3554" s="702"/>
      <c r="Q3554" s="702"/>
      <c r="R3554" s="702"/>
      <c r="S3554" s="106"/>
      <c r="T3554" s="486"/>
      <c r="U3554" s="106"/>
      <c r="V3554" s="3980"/>
      <c r="W3554" s="663"/>
      <c r="X3554" s="663"/>
      <c r="Y3554" s="661"/>
      <c r="Z3554" s="663"/>
      <c r="AA3554" s="663"/>
      <c r="AB3554" s="663"/>
      <c r="AC3554" s="2926">
        <f t="shared" ref="AC3554:AC3555" si="403">AC3553</f>
        <v>0.65</v>
      </c>
      <c r="AD3554" s="663">
        <v>0.65</v>
      </c>
      <c r="AE3554" s="2939"/>
      <c r="AF3554" s="663"/>
      <c r="AG3554" s="663"/>
      <c r="AH3554" s="156"/>
      <c r="AI3554" s="156"/>
      <c r="AJ3554" s="156"/>
      <c r="AK3554" s="156"/>
      <c r="AL3554" s="156"/>
      <c r="AM3554" s="156"/>
      <c r="AN3554" s="156"/>
      <c r="AO3554" s="156"/>
      <c r="AP3554" s="156"/>
      <c r="AQ3554" s="156"/>
      <c r="AR3554" s="156"/>
      <c r="AS3554" s="156"/>
      <c r="AT3554" s="156"/>
      <c r="AU3554" s="156"/>
      <c r="AV3554" s="156"/>
      <c r="AW3554" s="156"/>
      <c r="AX3554" s="156"/>
      <c r="AY3554" s="156"/>
      <c r="AZ3554" s="156"/>
      <c r="BA3554" s="156"/>
      <c r="BB3554" s="2828"/>
      <c r="BC3554" s="452"/>
      <c r="BD3554" s="2829"/>
      <c r="BE3554" s="2837"/>
      <c r="BF3554" s="156"/>
    </row>
    <row r="3555" spans="1:58" ht="15" customHeight="1" outlineLevel="1" x14ac:dyDescent="0.35">
      <c r="A3555" s="1664"/>
      <c r="B3555" s="3641"/>
      <c r="C3555" s="3077"/>
      <c r="D3555" s="3980"/>
      <c r="E3555" s="3883"/>
      <c r="F3555" s="3984" t="str">
        <f>$E$1676</f>
        <v>ASHP-SEER19-Replace_CAC_NonElectricHeat_ROF_MF_CompE</v>
      </c>
      <c r="G3555" s="3984"/>
      <c r="H3555" s="3984"/>
      <c r="I3555" s="3984"/>
      <c r="J3555" s="3501" t="str">
        <f>$C$1676</f>
        <v>353361_2021_12_</v>
      </c>
      <c r="K3555" s="715">
        <v>0.65</v>
      </c>
      <c r="L3555" s="704"/>
      <c r="M3555" s="3020"/>
      <c r="N3555" s="106"/>
      <c r="O3555" s="106"/>
      <c r="P3555" s="702"/>
      <c r="Q3555" s="702"/>
      <c r="R3555" s="702"/>
      <c r="S3555" s="106"/>
      <c r="T3555" s="486"/>
      <c r="U3555" s="106"/>
      <c r="V3555" s="3980"/>
      <c r="W3555" s="663"/>
      <c r="X3555" s="663"/>
      <c r="Y3555" s="661"/>
      <c r="Z3555" s="663"/>
      <c r="AA3555" s="663"/>
      <c r="AB3555" s="663"/>
      <c r="AC3555" s="2926">
        <f t="shared" si="403"/>
        <v>0.65</v>
      </c>
      <c r="AD3555" s="663">
        <v>0.65</v>
      </c>
      <c r="AE3555" s="2939"/>
      <c r="AF3555" s="663"/>
      <c r="AG3555" s="663"/>
      <c r="AH3555" s="156"/>
      <c r="AI3555" s="156"/>
      <c r="AJ3555" s="156"/>
      <c r="AK3555" s="156"/>
      <c r="AL3555" s="156"/>
      <c r="AM3555" s="156"/>
      <c r="AN3555" s="156"/>
      <c r="AO3555" s="156"/>
      <c r="AP3555" s="156"/>
      <c r="AQ3555" s="156"/>
      <c r="AR3555" s="156"/>
      <c r="AS3555" s="156"/>
      <c r="AT3555" s="156"/>
      <c r="AU3555" s="156"/>
      <c r="AV3555" s="156"/>
      <c r="AW3555" s="156"/>
      <c r="AX3555" s="156"/>
      <c r="AY3555" s="156"/>
      <c r="AZ3555" s="156"/>
      <c r="BA3555" s="156"/>
      <c r="BB3555" s="2828"/>
      <c r="BC3555" s="452"/>
      <c r="BD3555" s="2829"/>
      <c r="BE3555" s="2837"/>
      <c r="BF3555" s="156"/>
    </row>
    <row r="3556" spans="1:58" ht="15" customHeight="1" outlineLevel="1" x14ac:dyDescent="0.35">
      <c r="A3556" s="1664"/>
      <c r="B3556" s="3641"/>
      <c r="C3556" s="3077"/>
      <c r="D3556" s="3980"/>
      <c r="E3556" s="3883"/>
      <c r="F3556" s="3984" t="str">
        <f>$E$1678</f>
        <v>ASHP-SEER20-Replace_CAC_ElectricHeat_ER1_SF</v>
      </c>
      <c r="G3556" s="3984"/>
      <c r="H3556" s="3984"/>
      <c r="I3556" s="3984"/>
      <c r="J3556" s="3501" t="str">
        <f>$C$1678</f>
        <v>353400_2021_12_</v>
      </c>
      <c r="K3556" s="663">
        <v>1</v>
      </c>
      <c r="L3556" s="704"/>
      <c r="M3556" s="3020"/>
      <c r="N3556" s="106"/>
      <c r="O3556" s="106"/>
      <c r="P3556" s="702"/>
      <c r="Q3556" s="702"/>
      <c r="R3556" s="702"/>
      <c r="S3556" s="106"/>
      <c r="T3556" s="486"/>
      <c r="U3556" s="106"/>
      <c r="V3556" s="3980"/>
      <c r="W3556" s="663">
        <v>1</v>
      </c>
      <c r="X3556" s="663">
        <v>1</v>
      </c>
      <c r="Y3556" s="663">
        <v>1</v>
      </c>
      <c r="Z3556" s="663">
        <v>1</v>
      </c>
      <c r="AA3556" s="663">
        <v>1</v>
      </c>
      <c r="AB3556" s="663">
        <v>1</v>
      </c>
      <c r="AC3556" s="2923">
        <v>1</v>
      </c>
      <c r="AD3556" s="663">
        <v>1</v>
      </c>
      <c r="AE3556" s="2939"/>
      <c r="AF3556" s="663"/>
      <c r="AG3556" s="663"/>
      <c r="AH3556" s="156"/>
      <c r="AI3556" s="156"/>
      <c r="AJ3556" s="156"/>
      <c r="AK3556" s="156"/>
      <c r="AL3556" s="156"/>
      <c r="AM3556" s="156"/>
      <c r="AN3556" s="156"/>
      <c r="AO3556" s="156"/>
      <c r="AP3556" s="156"/>
      <c r="AQ3556" s="156"/>
      <c r="AR3556" s="156"/>
      <c r="AS3556" s="156"/>
      <c r="AT3556" s="156"/>
      <c r="AU3556" s="156"/>
      <c r="AV3556" s="156"/>
      <c r="AW3556" s="156"/>
      <c r="AX3556" s="156"/>
      <c r="AY3556" s="156"/>
      <c r="AZ3556" s="156"/>
      <c r="BA3556" s="156"/>
      <c r="BB3556" s="2828"/>
      <c r="BC3556" s="452"/>
      <c r="BD3556" s="2829"/>
      <c r="BE3556" s="2837"/>
      <c r="BF3556" s="156"/>
    </row>
    <row r="3557" spans="1:58" ht="15" customHeight="1" outlineLevel="1" x14ac:dyDescent="0.35">
      <c r="A3557" s="1664"/>
      <c r="B3557" s="3641"/>
      <c r="C3557" s="3077"/>
      <c r="D3557" s="3980"/>
      <c r="E3557" s="3883"/>
      <c r="F3557" s="3984" t="str">
        <f>$E$1680</f>
        <v>ASHP-SEER20-Replace_CAC_ElectricHeat_ER2_SF</v>
      </c>
      <c r="G3557" s="3984"/>
      <c r="H3557" s="3984"/>
      <c r="I3557" s="3984"/>
      <c r="J3557" s="3501" t="str">
        <f>$C$1680</f>
        <v>353400_2021_12_</v>
      </c>
      <c r="K3557" s="663">
        <v>1</v>
      </c>
      <c r="L3557" s="704"/>
      <c r="M3557" s="3020"/>
      <c r="N3557" s="106"/>
      <c r="O3557" s="106"/>
      <c r="P3557" s="702"/>
      <c r="Q3557" s="702"/>
      <c r="R3557" s="702"/>
      <c r="S3557" s="106"/>
      <c r="T3557" s="486"/>
      <c r="U3557" s="106"/>
      <c r="V3557" s="3980"/>
      <c r="W3557" s="663">
        <v>1</v>
      </c>
      <c r="X3557" s="663">
        <v>1</v>
      </c>
      <c r="Y3557" s="663">
        <v>1</v>
      </c>
      <c r="Z3557" s="663">
        <v>1</v>
      </c>
      <c r="AA3557" s="663">
        <v>1</v>
      </c>
      <c r="AB3557" s="663">
        <v>1</v>
      </c>
      <c r="AC3557" s="2923">
        <v>1</v>
      </c>
      <c r="AD3557" s="663">
        <v>1</v>
      </c>
      <c r="AE3557" s="2939"/>
      <c r="AF3557" s="663"/>
      <c r="AG3557" s="663"/>
      <c r="AH3557" s="156"/>
      <c r="AI3557" s="156"/>
      <c r="AJ3557" s="156"/>
      <c r="AK3557" s="156"/>
      <c r="AL3557" s="156"/>
      <c r="AM3557" s="156"/>
      <c r="AN3557" s="156"/>
      <c r="AO3557" s="156"/>
      <c r="AP3557" s="156"/>
      <c r="AQ3557" s="156"/>
      <c r="AR3557" s="156"/>
      <c r="AS3557" s="156"/>
      <c r="AT3557" s="156"/>
      <c r="AU3557" s="156"/>
      <c r="AV3557" s="156"/>
      <c r="AW3557" s="156"/>
      <c r="AX3557" s="156"/>
      <c r="AY3557" s="156"/>
      <c r="AZ3557" s="156"/>
      <c r="BA3557" s="156"/>
      <c r="BB3557" s="2828"/>
      <c r="BC3557" s="452"/>
      <c r="BD3557" s="2829"/>
      <c r="BE3557" s="2837"/>
      <c r="BF3557" s="156"/>
    </row>
    <row r="3558" spans="1:58" ht="15" customHeight="1" outlineLevel="1" x14ac:dyDescent="0.35">
      <c r="A3558" s="1664"/>
      <c r="B3558" s="3641"/>
      <c r="C3558" s="3077"/>
      <c r="D3558" s="3980"/>
      <c r="E3558" s="3883"/>
      <c r="F3558" s="3984" t="str">
        <f>$E$1682</f>
        <v>ASHP-SEER20-Replace_CAC_NonElectricHeat_ER1_SF</v>
      </c>
      <c r="G3558" s="3984"/>
      <c r="H3558" s="3984"/>
      <c r="I3558" s="3984"/>
      <c r="J3558" s="3501" t="str">
        <f>$C$1682</f>
        <v>353410_2021_12_</v>
      </c>
      <c r="K3558" s="663">
        <v>1</v>
      </c>
      <c r="L3558" s="704"/>
      <c r="M3558" s="3020"/>
      <c r="N3558" s="106"/>
      <c r="O3558" s="106"/>
      <c r="P3558" s="702"/>
      <c r="Q3558" s="702"/>
      <c r="R3558" s="702"/>
      <c r="S3558" s="106"/>
      <c r="T3558" s="486"/>
      <c r="U3558" s="106"/>
      <c r="V3558" s="3980"/>
      <c r="W3558" s="663"/>
      <c r="X3558" s="663"/>
      <c r="Y3558" s="663"/>
      <c r="Z3558" s="663"/>
      <c r="AA3558" s="663"/>
      <c r="AB3558" s="663"/>
      <c r="AC3558" s="2924">
        <v>1</v>
      </c>
      <c r="AD3558" s="663">
        <v>1</v>
      </c>
      <c r="AE3558" s="2939"/>
      <c r="AF3558" s="663"/>
      <c r="AG3558" s="663"/>
      <c r="AH3558" s="156"/>
      <c r="AI3558" s="156"/>
      <c r="AJ3558" s="156"/>
      <c r="AK3558" s="156"/>
      <c r="AL3558" s="156"/>
      <c r="AM3558" s="156"/>
      <c r="AN3558" s="156"/>
      <c r="AO3558" s="156"/>
      <c r="AP3558" s="156"/>
      <c r="AQ3558" s="156"/>
      <c r="AR3558" s="156"/>
      <c r="AS3558" s="156"/>
      <c r="AT3558" s="156"/>
      <c r="AU3558" s="156"/>
      <c r="AV3558" s="156"/>
      <c r="AW3558" s="156"/>
      <c r="AX3558" s="156"/>
      <c r="AY3558" s="156"/>
      <c r="AZ3558" s="156"/>
      <c r="BA3558" s="156"/>
      <c r="BB3558" s="2828"/>
      <c r="BC3558" s="452"/>
      <c r="BD3558" s="2829"/>
      <c r="BE3558" s="2837"/>
      <c r="BF3558" s="156"/>
    </row>
    <row r="3559" spans="1:58" ht="15" customHeight="1" outlineLevel="1" x14ac:dyDescent="0.35">
      <c r="A3559" s="1664"/>
      <c r="B3559" s="3641"/>
      <c r="C3559" s="3077"/>
      <c r="D3559" s="3980"/>
      <c r="E3559" s="3883"/>
      <c r="F3559" s="3984" t="str">
        <f>$E$1684</f>
        <v>ASHP-SEER20-Replace_CAC_NonElectricHeat_ER2_SF</v>
      </c>
      <c r="G3559" s="3984"/>
      <c r="H3559" s="3984"/>
      <c r="I3559" s="3984"/>
      <c r="J3559" s="3501" t="str">
        <f>$C$1684</f>
        <v>353410_2021_12_</v>
      </c>
      <c r="K3559" s="663">
        <v>1</v>
      </c>
      <c r="L3559" s="704"/>
      <c r="M3559" s="3020"/>
      <c r="N3559" s="106"/>
      <c r="O3559" s="106"/>
      <c r="P3559" s="702"/>
      <c r="Q3559" s="702"/>
      <c r="R3559" s="702"/>
      <c r="S3559" s="106"/>
      <c r="T3559" s="486"/>
      <c r="U3559" s="106"/>
      <c r="V3559" s="3980"/>
      <c r="W3559" s="663"/>
      <c r="X3559" s="663"/>
      <c r="Y3559" s="663"/>
      <c r="Z3559" s="663"/>
      <c r="AA3559" s="663"/>
      <c r="AB3559" s="663"/>
      <c r="AC3559" s="2924">
        <v>1</v>
      </c>
      <c r="AD3559" s="663">
        <v>1</v>
      </c>
      <c r="AE3559" s="2939"/>
      <c r="AF3559" s="663"/>
      <c r="AG3559" s="663"/>
      <c r="AH3559" s="156"/>
      <c r="AI3559" s="156"/>
      <c r="AJ3559" s="156"/>
      <c r="AK3559" s="156"/>
      <c r="AL3559" s="156"/>
      <c r="AM3559" s="156"/>
      <c r="AN3559" s="156"/>
      <c r="AO3559" s="156"/>
      <c r="AP3559" s="156"/>
      <c r="AQ3559" s="156"/>
      <c r="AR3559" s="156"/>
      <c r="AS3559" s="156"/>
      <c r="AT3559" s="156"/>
      <c r="AU3559" s="156"/>
      <c r="AV3559" s="156"/>
      <c r="AW3559" s="156"/>
      <c r="AX3559" s="156"/>
      <c r="AY3559" s="156"/>
      <c r="AZ3559" s="156"/>
      <c r="BA3559" s="156"/>
      <c r="BB3559" s="2828"/>
      <c r="BC3559" s="452"/>
      <c r="BD3559" s="2829"/>
      <c r="BE3559" s="2837"/>
      <c r="BF3559" s="156"/>
    </row>
    <row r="3560" spans="1:58" ht="15" customHeight="1" outlineLevel="1" x14ac:dyDescent="0.35">
      <c r="A3560" s="1664"/>
      <c r="B3560" s="3641"/>
      <c r="C3560" s="3077"/>
      <c r="D3560" s="3980"/>
      <c r="E3560" s="3883"/>
      <c r="F3560" s="3984" t="str">
        <f>$E$1686</f>
        <v>ASHP-SEER20-Replace_CAC_ElectricHeat_ROF_SF</v>
      </c>
      <c r="G3560" s="3984"/>
      <c r="H3560" s="3984"/>
      <c r="I3560" s="3984"/>
      <c r="J3560" s="3501" t="str">
        <f>$C$1686</f>
        <v>353450_2021_12_</v>
      </c>
      <c r="K3560" s="663">
        <v>1</v>
      </c>
      <c r="L3560" s="704"/>
      <c r="M3560" s="3020"/>
      <c r="N3560" s="106"/>
      <c r="O3560" s="106"/>
      <c r="P3560" s="702"/>
      <c r="Q3560" s="702"/>
      <c r="R3560" s="702"/>
      <c r="S3560" s="106"/>
      <c r="T3560" s="486"/>
      <c r="U3560" s="106"/>
      <c r="V3560" s="3980"/>
      <c r="W3560" s="663">
        <v>1</v>
      </c>
      <c r="X3560" s="663">
        <v>1</v>
      </c>
      <c r="Y3560" s="663">
        <v>1</v>
      </c>
      <c r="Z3560" s="663">
        <v>1</v>
      </c>
      <c r="AA3560" s="663">
        <v>1</v>
      </c>
      <c r="AB3560" s="663">
        <v>1</v>
      </c>
      <c r="AC3560" s="2923">
        <v>1</v>
      </c>
      <c r="AD3560" s="663">
        <v>1</v>
      </c>
      <c r="AE3560" s="2939"/>
      <c r="AF3560" s="663"/>
      <c r="AG3560" s="663"/>
      <c r="AH3560" s="156"/>
      <c r="AI3560" s="156"/>
      <c r="AJ3560" s="156"/>
      <c r="AK3560" s="156"/>
      <c r="AL3560" s="156"/>
      <c r="AM3560" s="156"/>
      <c r="AN3560" s="156"/>
      <c r="AO3560" s="156"/>
      <c r="AP3560" s="156"/>
      <c r="AQ3560" s="156"/>
      <c r="AR3560" s="156"/>
      <c r="AS3560" s="156"/>
      <c r="AT3560" s="156"/>
      <c r="AU3560" s="156"/>
      <c r="AV3560" s="156"/>
      <c r="AW3560" s="156"/>
      <c r="AX3560" s="156"/>
      <c r="AY3560" s="156"/>
      <c r="AZ3560" s="156"/>
      <c r="BA3560" s="156"/>
      <c r="BB3560" s="2828"/>
      <c r="BC3560" s="452"/>
      <c r="BD3560" s="2829"/>
      <c r="BE3560" s="2837"/>
      <c r="BF3560" s="156"/>
    </row>
    <row r="3561" spans="1:58" s="3398" customFormat="1" ht="15" customHeight="1" outlineLevel="1" x14ac:dyDescent="0.35">
      <c r="A3561" s="1664"/>
      <c r="B3561" s="3641"/>
      <c r="C3561" s="3077"/>
      <c r="D3561" s="3980"/>
      <c r="E3561" s="3883"/>
      <c r="F3561" s="4136" t="str">
        <f>$E$1688</f>
        <v>ASHP-SEER20-Replace_CAC_NonElectricHeat_ROF_SF</v>
      </c>
      <c r="G3561" s="4136"/>
      <c r="H3561" s="4136"/>
      <c r="I3561" s="4136"/>
      <c r="J3561" s="3502" t="str">
        <f>$C$1688</f>
        <v>353460_2022_12_</v>
      </c>
      <c r="K3561" s="661">
        <v>1</v>
      </c>
      <c r="L3561" s="704"/>
      <c r="M3561" s="3022"/>
      <c r="P3561" s="702"/>
      <c r="Q3561" s="702"/>
      <c r="R3561" s="702"/>
      <c r="T3561" s="3397"/>
      <c r="V3561" s="3980"/>
      <c r="W3561" s="663"/>
      <c r="X3561" s="663"/>
      <c r="Y3561" s="663"/>
      <c r="Z3561" s="663"/>
      <c r="AA3561" s="663"/>
      <c r="AB3561" s="663"/>
      <c r="AC3561" s="2923"/>
      <c r="AD3561" s="661">
        <v>1</v>
      </c>
      <c r="AE3561" s="2939"/>
      <c r="AF3561" s="663"/>
      <c r="AG3561" s="663"/>
      <c r="AH3561" s="156"/>
      <c r="AI3561" s="156"/>
      <c r="AJ3561" s="156"/>
      <c r="AK3561" s="156"/>
      <c r="AL3561" s="156"/>
      <c r="AM3561" s="156"/>
      <c r="AN3561" s="156"/>
      <c r="AO3561" s="156"/>
      <c r="AP3561" s="156"/>
      <c r="AQ3561" s="156"/>
      <c r="AR3561" s="156"/>
      <c r="AS3561" s="156"/>
      <c r="AT3561" s="156"/>
      <c r="AU3561" s="156"/>
      <c r="AV3561" s="156"/>
      <c r="AW3561" s="156"/>
      <c r="AX3561" s="156"/>
      <c r="AY3561" s="156"/>
      <c r="AZ3561" s="156"/>
      <c r="BA3561" s="156"/>
      <c r="BB3561" s="2828"/>
      <c r="BC3561" s="452"/>
      <c r="BD3561" s="2829"/>
      <c r="BE3561" s="2837"/>
      <c r="BF3561" s="156"/>
    </row>
    <row r="3562" spans="1:58" ht="15" customHeight="1" outlineLevel="1" x14ac:dyDescent="0.35">
      <c r="A3562" s="1664"/>
      <c r="B3562" s="3641"/>
      <c r="C3562" s="3077"/>
      <c r="D3562" s="3980"/>
      <c r="E3562" s="3883"/>
      <c r="F3562" s="3984" t="str">
        <f>$E$1690</f>
        <v>ASHP-SEER20-Replace_CAC_ElectricHeat_ROF_MF</v>
      </c>
      <c r="G3562" s="3984"/>
      <c r="H3562" s="3984"/>
      <c r="I3562" s="3984"/>
      <c r="J3562" s="3501" t="str">
        <f>$C$1690</f>
        <v>353500_2019_12_</v>
      </c>
      <c r="K3562" s="663">
        <v>0.65</v>
      </c>
      <c r="L3562" s="704"/>
      <c r="M3562" s="3020" t="s">
        <v>977</v>
      </c>
      <c r="N3562" s="106"/>
      <c r="O3562" s="106"/>
      <c r="P3562" s="702"/>
      <c r="Q3562" s="574"/>
      <c r="R3562" s="702"/>
      <c r="S3562" s="106"/>
      <c r="T3562" s="486"/>
      <c r="U3562" s="106"/>
      <c r="V3562" s="3980"/>
      <c r="W3562" s="663">
        <v>0.65</v>
      </c>
      <c r="X3562" s="663">
        <v>0.65</v>
      </c>
      <c r="Y3562" s="663">
        <v>0.65</v>
      </c>
      <c r="Z3562" s="663">
        <v>0.65</v>
      </c>
      <c r="AA3562" s="663">
        <v>0.65</v>
      </c>
      <c r="AB3562" s="663">
        <v>0.65</v>
      </c>
      <c r="AC3562" s="2923">
        <v>0.65</v>
      </c>
      <c r="AD3562" s="663">
        <v>0.65</v>
      </c>
      <c r="AE3562" s="2939"/>
      <c r="AF3562" s="663"/>
      <c r="AG3562" s="663"/>
      <c r="AH3562" s="156"/>
      <c r="AI3562" s="156"/>
      <c r="AJ3562" s="156"/>
      <c r="AK3562" s="156"/>
      <c r="AL3562" s="156"/>
      <c r="AM3562" s="156"/>
      <c r="AN3562" s="156"/>
      <c r="AO3562" s="156"/>
      <c r="AP3562" s="156"/>
      <c r="AQ3562" s="156"/>
      <c r="AR3562" s="156"/>
      <c r="AS3562" s="156"/>
      <c r="AT3562" s="156"/>
      <c r="AU3562" s="156"/>
      <c r="AV3562" s="156"/>
      <c r="AW3562" s="156"/>
      <c r="AX3562" s="156"/>
      <c r="AY3562" s="156"/>
      <c r="AZ3562" s="156"/>
      <c r="BA3562" s="156"/>
      <c r="BB3562" s="2828"/>
      <c r="BC3562" s="452"/>
      <c r="BD3562" s="2829"/>
      <c r="BE3562" s="2837"/>
      <c r="BF3562" s="156"/>
    </row>
    <row r="3563" spans="1:58" ht="15" customHeight="1" outlineLevel="1" x14ac:dyDescent="0.35">
      <c r="A3563" s="1664"/>
      <c r="B3563" s="3641"/>
      <c r="C3563" s="3077"/>
      <c r="D3563" s="3980"/>
      <c r="E3563" s="3883"/>
      <c r="F3563" s="3984" t="str">
        <f>$E$1692</f>
        <v>ASHP-SEER20-Replace_CAC_ElectricHeat_ROF_MF_CompE</v>
      </c>
      <c r="G3563" s="3984"/>
      <c r="H3563" s="3984"/>
      <c r="I3563" s="3984"/>
      <c r="J3563" s="3501" t="str">
        <f>$C$1692</f>
        <v>353501_2019_12_</v>
      </c>
      <c r="K3563" s="663">
        <v>0.65</v>
      </c>
      <c r="L3563" s="704"/>
      <c r="M3563" s="3020"/>
      <c r="N3563" s="106"/>
      <c r="O3563" s="106"/>
      <c r="P3563" s="702"/>
      <c r="Q3563" s="574"/>
      <c r="R3563" s="702"/>
      <c r="S3563" s="106"/>
      <c r="T3563" s="486"/>
      <c r="U3563" s="106"/>
      <c r="V3563" s="3980"/>
      <c r="W3563" s="663"/>
      <c r="X3563" s="663"/>
      <c r="Y3563" s="661">
        <v>0.65</v>
      </c>
      <c r="Z3563" s="663">
        <v>0.65</v>
      </c>
      <c r="AA3563" s="663">
        <v>0.65</v>
      </c>
      <c r="AB3563" s="663">
        <v>0.65</v>
      </c>
      <c r="AC3563" s="2923">
        <f>AC3562</f>
        <v>0.65</v>
      </c>
      <c r="AD3563" s="663">
        <v>0.65</v>
      </c>
      <c r="AE3563" s="2939"/>
      <c r="AF3563" s="663"/>
      <c r="AG3563" s="663"/>
      <c r="AH3563" s="156"/>
      <c r="AI3563" s="156"/>
      <c r="AJ3563" s="156"/>
      <c r="AK3563" s="156"/>
      <c r="AL3563" s="156"/>
      <c r="AM3563" s="156"/>
      <c r="AN3563" s="156"/>
      <c r="AO3563" s="156"/>
      <c r="AP3563" s="156"/>
      <c r="AQ3563" s="156"/>
      <c r="AR3563" s="156"/>
      <c r="AS3563" s="156"/>
      <c r="AT3563" s="156"/>
      <c r="AU3563" s="156"/>
      <c r="AV3563" s="156"/>
      <c r="AW3563" s="156"/>
      <c r="AX3563" s="156"/>
      <c r="AY3563" s="156"/>
      <c r="AZ3563" s="156"/>
      <c r="BA3563" s="156"/>
      <c r="BB3563" s="2828"/>
      <c r="BC3563" s="452"/>
      <c r="BD3563" s="2829"/>
      <c r="BE3563" s="2837"/>
      <c r="BF3563" s="156"/>
    </row>
    <row r="3564" spans="1:58" ht="15" customHeight="1" outlineLevel="1" x14ac:dyDescent="0.35">
      <c r="A3564" s="1664"/>
      <c r="B3564" s="3641"/>
      <c r="C3564" s="3077"/>
      <c r="D3564" s="3980"/>
      <c r="E3564" s="3883"/>
      <c r="F3564" s="3984" t="str">
        <f>$E$1694</f>
        <v>ASHP-SEER20-Replace_CAC_NonElectricHeat_ROF_MF</v>
      </c>
      <c r="G3564" s="3984"/>
      <c r="H3564" s="3984"/>
      <c r="I3564" s="3984"/>
      <c r="J3564" s="3501" t="str">
        <f>$C$1694</f>
        <v>353510_2021_12_</v>
      </c>
      <c r="K3564" s="715">
        <v>0.65</v>
      </c>
      <c r="L3564" s="704"/>
      <c r="M3564" s="3020"/>
      <c r="N3564" s="106"/>
      <c r="O3564" s="106"/>
      <c r="P3564" s="702"/>
      <c r="Q3564" s="574"/>
      <c r="R3564" s="702"/>
      <c r="S3564" s="106"/>
      <c r="T3564" s="486"/>
      <c r="U3564" s="106"/>
      <c r="V3564" s="3980"/>
      <c r="W3564" s="663"/>
      <c r="X3564" s="663"/>
      <c r="Y3564" s="661"/>
      <c r="Z3564" s="663"/>
      <c r="AA3564" s="663"/>
      <c r="AB3564" s="663"/>
      <c r="AC3564" s="2926">
        <f t="shared" ref="AC3564:AC3565" si="404">AC3563</f>
        <v>0.65</v>
      </c>
      <c r="AD3564" s="663">
        <v>0.65</v>
      </c>
      <c r="AE3564" s="2939"/>
      <c r="AF3564" s="663"/>
      <c r="AG3564" s="663"/>
      <c r="AH3564" s="156"/>
      <c r="AI3564" s="156"/>
      <c r="AJ3564" s="156"/>
      <c r="AK3564" s="156"/>
      <c r="AL3564" s="156"/>
      <c r="AM3564" s="156"/>
      <c r="AN3564" s="156"/>
      <c r="AO3564" s="156"/>
      <c r="AP3564" s="156"/>
      <c r="AQ3564" s="156"/>
      <c r="AR3564" s="156"/>
      <c r="AS3564" s="156"/>
      <c r="AT3564" s="156"/>
      <c r="AU3564" s="156"/>
      <c r="AV3564" s="156"/>
      <c r="AW3564" s="156"/>
      <c r="AX3564" s="156"/>
      <c r="AY3564" s="156"/>
      <c r="AZ3564" s="156"/>
      <c r="BA3564" s="156"/>
      <c r="BB3564" s="2828"/>
      <c r="BC3564" s="452"/>
      <c r="BD3564" s="2829"/>
      <c r="BE3564" s="2837"/>
      <c r="BF3564" s="156"/>
    </row>
    <row r="3565" spans="1:58" ht="15" customHeight="1" outlineLevel="1" x14ac:dyDescent="0.35">
      <c r="A3565" s="1664"/>
      <c r="B3565" s="3641"/>
      <c r="C3565" s="3077"/>
      <c r="D3565" s="3980"/>
      <c r="E3565" s="3883"/>
      <c r="F3565" s="3984" t="str">
        <f>$E$1696</f>
        <v>ASHP-SEER20-Replace_CAC_NonElectricHeat_ROF_MF_CompE</v>
      </c>
      <c r="G3565" s="3984"/>
      <c r="H3565" s="3984"/>
      <c r="I3565" s="3984"/>
      <c r="J3565" s="3501" t="str">
        <f>$C$1696</f>
        <v>353511_2021_12_</v>
      </c>
      <c r="K3565" s="715">
        <v>0.65</v>
      </c>
      <c r="L3565" s="704"/>
      <c r="M3565" s="3020"/>
      <c r="N3565" s="106"/>
      <c r="O3565" s="106"/>
      <c r="P3565" s="702"/>
      <c r="Q3565" s="574"/>
      <c r="R3565" s="702"/>
      <c r="S3565" s="106"/>
      <c r="T3565" s="486"/>
      <c r="U3565" s="106"/>
      <c r="V3565" s="3980"/>
      <c r="W3565" s="663"/>
      <c r="X3565" s="663"/>
      <c r="Y3565" s="661"/>
      <c r="Z3565" s="663"/>
      <c r="AA3565" s="663"/>
      <c r="AB3565" s="663"/>
      <c r="AC3565" s="2926">
        <f t="shared" si="404"/>
        <v>0.65</v>
      </c>
      <c r="AD3565" s="663">
        <v>0.65</v>
      </c>
      <c r="AE3565" s="2939"/>
      <c r="AF3565" s="663"/>
      <c r="AG3565" s="663"/>
      <c r="AH3565" s="156"/>
      <c r="AI3565" s="156"/>
      <c r="AJ3565" s="156"/>
      <c r="AK3565" s="156"/>
      <c r="AL3565" s="156"/>
      <c r="AM3565" s="156"/>
      <c r="AN3565" s="156"/>
      <c r="AO3565" s="156"/>
      <c r="AP3565" s="156"/>
      <c r="AQ3565" s="156"/>
      <c r="AR3565" s="156"/>
      <c r="AS3565" s="156"/>
      <c r="AT3565" s="156"/>
      <c r="AU3565" s="156"/>
      <c r="AV3565" s="156"/>
      <c r="AW3565" s="156"/>
      <c r="AX3565" s="156"/>
      <c r="AY3565" s="156"/>
      <c r="AZ3565" s="156"/>
      <c r="BA3565" s="156"/>
      <c r="BB3565" s="2828"/>
      <c r="BC3565" s="452"/>
      <c r="BD3565" s="2829"/>
      <c r="BE3565" s="2837"/>
      <c r="BF3565" s="156"/>
    </row>
    <row r="3566" spans="1:58" ht="15" customHeight="1" outlineLevel="1" x14ac:dyDescent="0.35">
      <c r="A3566" s="1664"/>
      <c r="B3566" s="3641"/>
      <c r="C3566" s="3077"/>
      <c r="D3566" s="3980"/>
      <c r="E3566" s="3883"/>
      <c r="F3566" s="3984" t="str">
        <f>$E$1698</f>
        <v>ASHP-SEER21-Replace_CAC_ElectricHeat_ER1_SF</v>
      </c>
      <c r="G3566" s="3984"/>
      <c r="H3566" s="3984"/>
      <c r="I3566" s="3984"/>
      <c r="J3566" s="3501" t="str">
        <f>$C$1698</f>
        <v>353550_2021_12_</v>
      </c>
      <c r="K3566" s="663">
        <v>1</v>
      </c>
      <c r="L3566" s="704"/>
      <c r="M3566" s="3020"/>
      <c r="N3566" s="106"/>
      <c r="O3566" s="106"/>
      <c r="P3566" s="702"/>
      <c r="Q3566" s="574"/>
      <c r="R3566" s="702"/>
      <c r="S3566" s="106"/>
      <c r="T3566" s="486"/>
      <c r="U3566" s="106"/>
      <c r="V3566" s="3980"/>
      <c r="W3566" s="663">
        <v>1</v>
      </c>
      <c r="X3566" s="663">
        <v>1</v>
      </c>
      <c r="Y3566" s="663">
        <v>1</v>
      </c>
      <c r="Z3566" s="663">
        <v>1</v>
      </c>
      <c r="AA3566" s="663">
        <v>1</v>
      </c>
      <c r="AB3566" s="663">
        <v>1</v>
      </c>
      <c r="AC3566" s="2923">
        <v>1</v>
      </c>
      <c r="AD3566" s="663">
        <v>1</v>
      </c>
      <c r="AE3566" s="2939"/>
      <c r="AF3566" s="663"/>
      <c r="AG3566" s="663"/>
      <c r="AH3566" s="156"/>
      <c r="AI3566" s="156"/>
      <c r="AJ3566" s="156"/>
      <c r="AK3566" s="156"/>
      <c r="AL3566" s="156"/>
      <c r="AM3566" s="156"/>
      <c r="AN3566" s="156"/>
      <c r="AO3566" s="156"/>
      <c r="AP3566" s="156"/>
      <c r="AQ3566" s="156"/>
      <c r="AR3566" s="156"/>
      <c r="AS3566" s="156"/>
      <c r="AT3566" s="156"/>
      <c r="AU3566" s="156"/>
      <c r="AV3566" s="156"/>
      <c r="AW3566" s="156"/>
      <c r="AX3566" s="156"/>
      <c r="AY3566" s="156"/>
      <c r="AZ3566" s="156"/>
      <c r="BA3566" s="156"/>
      <c r="BB3566" s="2828"/>
      <c r="BC3566" s="452"/>
      <c r="BD3566" s="2829"/>
      <c r="BE3566" s="2837"/>
      <c r="BF3566" s="156"/>
    </row>
    <row r="3567" spans="1:58" ht="15" customHeight="1" outlineLevel="1" x14ac:dyDescent="0.35">
      <c r="A3567" s="1664"/>
      <c r="B3567" s="3641"/>
      <c r="C3567" s="3077"/>
      <c r="D3567" s="3980"/>
      <c r="E3567" s="3883"/>
      <c r="F3567" s="3984" t="str">
        <f>$E$1700</f>
        <v>ASHP-SEER21-Replace_CAC_ElectricHeat_ER2_SF</v>
      </c>
      <c r="G3567" s="3984"/>
      <c r="H3567" s="3984"/>
      <c r="I3567" s="3984"/>
      <c r="J3567" s="3501" t="str">
        <f>$C$1700</f>
        <v>353550_2021_12_</v>
      </c>
      <c r="K3567" s="663">
        <v>1</v>
      </c>
      <c r="L3567" s="704"/>
      <c r="M3567" s="3020"/>
      <c r="N3567" s="106"/>
      <c r="O3567" s="106"/>
      <c r="P3567" s="702"/>
      <c r="Q3567" s="574"/>
      <c r="R3567" s="702"/>
      <c r="S3567" s="106"/>
      <c r="T3567" s="486"/>
      <c r="U3567" s="106"/>
      <c r="V3567" s="3980"/>
      <c r="W3567" s="663">
        <v>1</v>
      </c>
      <c r="X3567" s="663">
        <v>1</v>
      </c>
      <c r="Y3567" s="663">
        <v>1</v>
      </c>
      <c r="Z3567" s="663">
        <v>1</v>
      </c>
      <c r="AA3567" s="663">
        <v>1</v>
      </c>
      <c r="AB3567" s="663">
        <v>1</v>
      </c>
      <c r="AC3567" s="2923">
        <v>1</v>
      </c>
      <c r="AD3567" s="663">
        <v>1</v>
      </c>
      <c r="AE3567" s="2939"/>
      <c r="AF3567" s="663"/>
      <c r="AG3567" s="663"/>
      <c r="AH3567" s="156"/>
      <c r="AI3567" s="156"/>
      <c r="AJ3567" s="156"/>
      <c r="AK3567" s="156"/>
      <c r="AL3567" s="156"/>
      <c r="AM3567" s="156"/>
      <c r="AN3567" s="156"/>
      <c r="AO3567" s="156"/>
      <c r="AP3567" s="156"/>
      <c r="AQ3567" s="156"/>
      <c r="AR3567" s="156"/>
      <c r="AS3567" s="156"/>
      <c r="AT3567" s="156"/>
      <c r="AU3567" s="156"/>
      <c r="AV3567" s="156"/>
      <c r="AW3567" s="156"/>
      <c r="AX3567" s="156"/>
      <c r="AY3567" s="156"/>
      <c r="AZ3567" s="156"/>
      <c r="BA3567" s="156"/>
      <c r="BB3567" s="2828"/>
      <c r="BC3567" s="452"/>
      <c r="BD3567" s="2829"/>
      <c r="BE3567" s="2837"/>
      <c r="BF3567" s="156"/>
    </row>
    <row r="3568" spans="1:58" ht="15" customHeight="1" outlineLevel="1" x14ac:dyDescent="0.35">
      <c r="A3568" s="1664"/>
      <c r="B3568" s="3641"/>
      <c r="C3568" s="3077"/>
      <c r="D3568" s="3980"/>
      <c r="E3568" s="3883"/>
      <c r="F3568" s="3984" t="str">
        <f>$E$1702</f>
        <v>ASHP-SEER21-Replace_CAC_NonElectricHeat_ER1_SF</v>
      </c>
      <c r="G3568" s="3984"/>
      <c r="H3568" s="3984"/>
      <c r="I3568" s="3984"/>
      <c r="J3568" s="3501" t="str">
        <f>$C$1702</f>
        <v>353560_2021_12_</v>
      </c>
      <c r="K3568" s="663">
        <v>1</v>
      </c>
      <c r="L3568" s="704"/>
      <c r="M3568" s="3020"/>
      <c r="N3568" s="106"/>
      <c r="O3568" s="106"/>
      <c r="P3568" s="702"/>
      <c r="Q3568" s="574"/>
      <c r="R3568" s="702"/>
      <c r="S3568" s="106"/>
      <c r="T3568" s="486"/>
      <c r="U3568" s="106"/>
      <c r="V3568" s="3980"/>
      <c r="W3568" s="663"/>
      <c r="X3568" s="663"/>
      <c r="Y3568" s="663"/>
      <c r="Z3568" s="663"/>
      <c r="AA3568" s="663"/>
      <c r="AB3568" s="663"/>
      <c r="AC3568" s="2924">
        <v>1</v>
      </c>
      <c r="AD3568" s="663">
        <v>1</v>
      </c>
      <c r="AE3568" s="2939"/>
      <c r="AF3568" s="663"/>
      <c r="AG3568" s="663"/>
      <c r="AH3568" s="156"/>
      <c r="AI3568" s="156"/>
      <c r="AJ3568" s="156"/>
      <c r="AK3568" s="156"/>
      <c r="AL3568" s="156"/>
      <c r="AM3568" s="156"/>
      <c r="AN3568" s="156"/>
      <c r="AO3568" s="156"/>
      <c r="AP3568" s="156"/>
      <c r="AQ3568" s="156"/>
      <c r="AR3568" s="156"/>
      <c r="AS3568" s="156"/>
      <c r="AT3568" s="156"/>
      <c r="AU3568" s="156"/>
      <c r="AV3568" s="156"/>
      <c r="AW3568" s="156"/>
      <c r="AX3568" s="156"/>
      <c r="AY3568" s="156"/>
      <c r="AZ3568" s="156"/>
      <c r="BA3568" s="156"/>
      <c r="BB3568" s="2828"/>
      <c r="BC3568" s="452"/>
      <c r="BD3568" s="2829"/>
      <c r="BE3568" s="2837"/>
      <c r="BF3568" s="156"/>
    </row>
    <row r="3569" spans="1:58" ht="15" customHeight="1" outlineLevel="1" x14ac:dyDescent="0.35">
      <c r="A3569" s="1664"/>
      <c r="B3569" s="3641"/>
      <c r="C3569" s="3077"/>
      <c r="D3569" s="3980"/>
      <c r="E3569" s="3883"/>
      <c r="F3569" s="3984" t="str">
        <f>$E$1704</f>
        <v>ASHP-SEER21-Replace_CAC_NonElectricHeat_ER2_SF</v>
      </c>
      <c r="G3569" s="3984"/>
      <c r="H3569" s="3984"/>
      <c r="I3569" s="3984"/>
      <c r="J3569" s="3501" t="str">
        <f>$C$1704</f>
        <v>353560_2021_12_</v>
      </c>
      <c r="K3569" s="663">
        <v>1</v>
      </c>
      <c r="L3569" s="704"/>
      <c r="M3569" s="3020"/>
      <c r="N3569" s="106"/>
      <c r="O3569" s="106"/>
      <c r="P3569" s="702"/>
      <c r="Q3569" s="574"/>
      <c r="R3569" s="702"/>
      <c r="S3569" s="106"/>
      <c r="T3569" s="486"/>
      <c r="U3569" s="106"/>
      <c r="V3569" s="3980"/>
      <c r="W3569" s="663"/>
      <c r="X3569" s="663"/>
      <c r="Y3569" s="663"/>
      <c r="Z3569" s="663"/>
      <c r="AA3569" s="663"/>
      <c r="AB3569" s="663"/>
      <c r="AC3569" s="2924">
        <v>1</v>
      </c>
      <c r="AD3569" s="663">
        <v>1</v>
      </c>
      <c r="AE3569" s="2939"/>
      <c r="AF3569" s="663"/>
      <c r="AG3569" s="663"/>
      <c r="AH3569" s="156"/>
      <c r="AI3569" s="156"/>
      <c r="AJ3569" s="156"/>
      <c r="AK3569" s="156"/>
      <c r="AL3569" s="156"/>
      <c r="AM3569" s="156"/>
      <c r="AN3569" s="156"/>
      <c r="AO3569" s="156"/>
      <c r="AP3569" s="156"/>
      <c r="AQ3569" s="156"/>
      <c r="AR3569" s="156"/>
      <c r="AS3569" s="156"/>
      <c r="AT3569" s="156"/>
      <c r="AU3569" s="156"/>
      <c r="AV3569" s="156"/>
      <c r="AW3569" s="156"/>
      <c r="AX3569" s="156"/>
      <c r="AY3569" s="156"/>
      <c r="AZ3569" s="156"/>
      <c r="BA3569" s="156"/>
      <c r="BB3569" s="2828"/>
      <c r="BC3569" s="452"/>
      <c r="BD3569" s="2829"/>
      <c r="BE3569" s="2837"/>
      <c r="BF3569" s="156"/>
    </row>
    <row r="3570" spans="1:58" ht="15" customHeight="1" outlineLevel="1" x14ac:dyDescent="0.35">
      <c r="A3570" s="1664"/>
      <c r="B3570" s="3641"/>
      <c r="C3570" s="3077"/>
      <c r="D3570" s="3980"/>
      <c r="E3570" s="3883"/>
      <c r="F3570" s="3984" t="str">
        <f>$E$1706</f>
        <v>ASHP-SEER21-Replace_CAC_ElectricHeat_ER1_MF</v>
      </c>
      <c r="G3570" s="3984"/>
      <c r="H3570" s="3984"/>
      <c r="I3570" s="3984"/>
      <c r="J3570" s="3501" t="str">
        <f>$C$1706</f>
        <v>353600_2019_12_</v>
      </c>
      <c r="K3570" s="663">
        <v>0.65</v>
      </c>
      <c r="L3570" s="704"/>
      <c r="M3570" s="3020" t="s">
        <v>977</v>
      </c>
      <c r="N3570" s="106"/>
      <c r="O3570" s="106"/>
      <c r="P3570" s="702"/>
      <c r="Q3570" s="574"/>
      <c r="R3570" s="702"/>
      <c r="S3570" s="106"/>
      <c r="T3570" s="486"/>
      <c r="U3570" s="106"/>
      <c r="V3570" s="3980"/>
      <c r="W3570" s="663">
        <v>0.65</v>
      </c>
      <c r="X3570" s="663">
        <v>0.65</v>
      </c>
      <c r="Y3570" s="663">
        <v>0.65</v>
      </c>
      <c r="Z3570" s="663">
        <v>0.65</v>
      </c>
      <c r="AA3570" s="663">
        <v>0.65</v>
      </c>
      <c r="AB3570" s="663">
        <v>0.65</v>
      </c>
      <c r="AC3570" s="2923">
        <v>0.65</v>
      </c>
      <c r="AD3570" s="663">
        <v>0.65</v>
      </c>
      <c r="AE3570" s="2939"/>
      <c r="AF3570" s="663"/>
      <c r="AG3570" s="663"/>
      <c r="AH3570" s="156"/>
      <c r="AI3570" s="156"/>
      <c r="AJ3570" s="156"/>
      <c r="AK3570" s="156"/>
      <c r="AL3570" s="156"/>
      <c r="AM3570" s="156"/>
      <c r="AN3570" s="156"/>
      <c r="AO3570" s="156"/>
      <c r="AP3570" s="156"/>
      <c r="AQ3570" s="156"/>
      <c r="AR3570" s="156"/>
      <c r="AS3570" s="156"/>
      <c r="AT3570" s="156"/>
      <c r="AU3570" s="156"/>
      <c r="AV3570" s="156"/>
      <c r="AW3570" s="156"/>
      <c r="AX3570" s="156"/>
      <c r="AY3570" s="156"/>
      <c r="AZ3570" s="156"/>
      <c r="BA3570" s="156"/>
      <c r="BB3570" s="2828"/>
      <c r="BC3570" s="452"/>
      <c r="BD3570" s="2829"/>
      <c r="BE3570" s="2837"/>
      <c r="BF3570" s="156"/>
    </row>
    <row r="3571" spans="1:58" ht="15" customHeight="1" outlineLevel="1" x14ac:dyDescent="0.35">
      <c r="A3571" s="1664"/>
      <c r="B3571" s="3641"/>
      <c r="C3571" s="3077"/>
      <c r="D3571" s="3980"/>
      <c r="E3571" s="3883"/>
      <c r="F3571" s="3984" t="str">
        <f>$E$1708</f>
        <v>ASHP-SEER21-Replace_CAC_ElectricHeat_ER2_MF</v>
      </c>
      <c r="G3571" s="3984"/>
      <c r="H3571" s="3984"/>
      <c r="I3571" s="3984"/>
      <c r="J3571" s="3501" t="str">
        <f>$C$1708</f>
        <v>353600_2019_12_</v>
      </c>
      <c r="K3571" s="663">
        <v>0.65</v>
      </c>
      <c r="L3571" s="704"/>
      <c r="M3571" s="3020" t="s">
        <v>977</v>
      </c>
      <c r="N3571" s="106"/>
      <c r="O3571" s="106"/>
      <c r="P3571" s="702"/>
      <c r="Q3571" s="574"/>
      <c r="R3571" s="702"/>
      <c r="S3571" s="106"/>
      <c r="T3571" s="486"/>
      <c r="U3571" s="106"/>
      <c r="V3571" s="3980"/>
      <c r="W3571" s="663">
        <v>0.65</v>
      </c>
      <c r="X3571" s="663">
        <v>0.65</v>
      </c>
      <c r="Y3571" s="663">
        <v>0.65</v>
      </c>
      <c r="Z3571" s="663">
        <v>0.65</v>
      </c>
      <c r="AA3571" s="663">
        <v>0.65</v>
      </c>
      <c r="AB3571" s="663">
        <v>0.65</v>
      </c>
      <c r="AC3571" s="2923">
        <v>0.65</v>
      </c>
      <c r="AD3571" s="663">
        <v>0.65</v>
      </c>
      <c r="AE3571" s="2939"/>
      <c r="AF3571" s="663"/>
      <c r="AG3571" s="663"/>
      <c r="AH3571" s="156"/>
      <c r="AI3571" s="156"/>
      <c r="AJ3571" s="156"/>
      <c r="AK3571" s="156"/>
      <c r="AL3571" s="156"/>
      <c r="AM3571" s="156"/>
      <c r="AN3571" s="156"/>
      <c r="AO3571" s="156"/>
      <c r="AP3571" s="156"/>
      <c r="AQ3571" s="156"/>
      <c r="AR3571" s="156"/>
      <c r="AS3571" s="156"/>
      <c r="AT3571" s="156"/>
      <c r="AU3571" s="156"/>
      <c r="AV3571" s="156"/>
      <c r="AW3571" s="156"/>
      <c r="AX3571" s="156"/>
      <c r="AY3571" s="156"/>
      <c r="AZ3571" s="156"/>
      <c r="BA3571" s="156"/>
      <c r="BB3571" s="2828"/>
      <c r="BC3571" s="452"/>
      <c r="BD3571" s="2829"/>
      <c r="BE3571" s="2837"/>
      <c r="BF3571" s="156"/>
    </row>
    <row r="3572" spans="1:58" ht="15" customHeight="1" outlineLevel="1" x14ac:dyDescent="0.35">
      <c r="A3572" s="1664"/>
      <c r="B3572" s="3641"/>
      <c r="C3572" s="3077"/>
      <c r="D3572" s="3980"/>
      <c r="E3572" s="3883"/>
      <c r="F3572" s="3984" t="str">
        <f>$E$1710</f>
        <v>ASHP-SEER21-Replace_CAC_ElectricHeat_ER1_MF_CompE</v>
      </c>
      <c r="G3572" s="3984"/>
      <c r="H3572" s="3984"/>
      <c r="I3572" s="3984"/>
      <c r="J3572" s="3501" t="str">
        <f>$C$1710</f>
        <v>353601_2019_12_</v>
      </c>
      <c r="K3572" s="663">
        <v>0.65</v>
      </c>
      <c r="L3572" s="704"/>
      <c r="M3572" s="3020"/>
      <c r="N3572" s="106"/>
      <c r="O3572" s="106"/>
      <c r="P3572" s="702"/>
      <c r="Q3572" s="574"/>
      <c r="R3572" s="702"/>
      <c r="S3572" s="106"/>
      <c r="T3572" s="486"/>
      <c r="U3572" s="106"/>
      <c r="V3572" s="3980"/>
      <c r="W3572" s="663"/>
      <c r="X3572" s="663"/>
      <c r="Y3572" s="661">
        <v>0.65</v>
      </c>
      <c r="Z3572" s="663">
        <v>0.65</v>
      </c>
      <c r="AA3572" s="663">
        <v>0.65</v>
      </c>
      <c r="AB3572" s="663">
        <v>0.65</v>
      </c>
      <c r="AC3572" s="2923">
        <f>AC3570</f>
        <v>0.65</v>
      </c>
      <c r="AD3572" s="663">
        <v>0.65</v>
      </c>
      <c r="AE3572" s="2939"/>
      <c r="AF3572" s="663"/>
      <c r="AG3572" s="663"/>
      <c r="AH3572" s="156"/>
      <c r="AI3572" s="156"/>
      <c r="AJ3572" s="156"/>
      <c r="AK3572" s="156"/>
      <c r="AL3572" s="156"/>
      <c r="AM3572" s="156"/>
      <c r="AN3572" s="156"/>
      <c r="AO3572" s="156"/>
      <c r="AP3572" s="156"/>
      <c r="AQ3572" s="156"/>
      <c r="AR3572" s="156"/>
      <c r="AS3572" s="156"/>
      <c r="AT3572" s="156"/>
      <c r="AU3572" s="156"/>
      <c r="AV3572" s="156"/>
      <c r="AW3572" s="156"/>
      <c r="AX3572" s="156"/>
      <c r="AY3572" s="156"/>
      <c r="AZ3572" s="156"/>
      <c r="BA3572" s="156"/>
      <c r="BB3572" s="2828"/>
      <c r="BC3572" s="452"/>
      <c r="BD3572" s="2829"/>
      <c r="BE3572" s="2837"/>
      <c r="BF3572" s="156"/>
    </row>
    <row r="3573" spans="1:58" ht="15" customHeight="1" outlineLevel="1" x14ac:dyDescent="0.35">
      <c r="A3573" s="1664"/>
      <c r="B3573" s="3641"/>
      <c r="C3573" s="3077"/>
      <c r="D3573" s="3980"/>
      <c r="E3573" s="3883"/>
      <c r="F3573" s="3984" t="str">
        <f>$E$1712</f>
        <v>ASHP-SEER21-Replace_CAC_ElectricHeat_ER2_MF_CompE</v>
      </c>
      <c r="G3573" s="3984"/>
      <c r="H3573" s="3984"/>
      <c r="I3573" s="3984"/>
      <c r="J3573" s="3501" t="str">
        <f>$C$1712</f>
        <v>353601_2019_12_</v>
      </c>
      <c r="K3573" s="663">
        <v>0.65</v>
      </c>
      <c r="L3573" s="704"/>
      <c r="M3573" s="3020"/>
      <c r="N3573" s="106"/>
      <c r="O3573" s="106"/>
      <c r="P3573" s="702"/>
      <c r="Q3573" s="574"/>
      <c r="R3573" s="702"/>
      <c r="S3573" s="106"/>
      <c r="T3573" s="486"/>
      <c r="U3573" s="106"/>
      <c r="V3573" s="3980"/>
      <c r="W3573" s="663"/>
      <c r="X3573" s="663"/>
      <c r="Y3573" s="661">
        <v>0.65</v>
      </c>
      <c r="Z3573" s="663">
        <v>0.65</v>
      </c>
      <c r="AA3573" s="663">
        <v>0.65</v>
      </c>
      <c r="AB3573" s="663">
        <v>0.65</v>
      </c>
      <c r="AC3573" s="2923">
        <f>AC3571</f>
        <v>0.65</v>
      </c>
      <c r="AD3573" s="663">
        <v>0.65</v>
      </c>
      <c r="AE3573" s="2939"/>
      <c r="AF3573" s="663"/>
      <c r="AG3573" s="663"/>
      <c r="AH3573" s="156"/>
      <c r="AI3573" s="156"/>
      <c r="AJ3573" s="156"/>
      <c r="AK3573" s="156"/>
      <c r="AL3573" s="156"/>
      <c r="AM3573" s="156"/>
      <c r="AN3573" s="156"/>
      <c r="AO3573" s="156"/>
      <c r="AP3573" s="156"/>
      <c r="AQ3573" s="156"/>
      <c r="AR3573" s="156"/>
      <c r="AS3573" s="156"/>
      <c r="AT3573" s="156"/>
      <c r="AU3573" s="156"/>
      <c r="AV3573" s="156"/>
      <c r="AW3573" s="156"/>
      <c r="AX3573" s="156"/>
      <c r="AY3573" s="156"/>
      <c r="AZ3573" s="156"/>
      <c r="BA3573" s="156"/>
      <c r="BB3573" s="2828"/>
      <c r="BC3573" s="452"/>
      <c r="BD3573" s="2829"/>
      <c r="BE3573" s="2837"/>
      <c r="BF3573" s="156"/>
    </row>
    <row r="3574" spans="1:58" ht="15" customHeight="1" outlineLevel="1" x14ac:dyDescent="0.35">
      <c r="A3574" s="1664"/>
      <c r="B3574" s="3641"/>
      <c r="C3574" s="3077"/>
      <c r="D3574" s="3980"/>
      <c r="E3574" s="3883"/>
      <c r="F3574" s="3984" t="str">
        <f>$E$1714</f>
        <v>ASHP-SEER21-Replace_CAC_NonElectricHeat_ER1_MF</v>
      </c>
      <c r="G3574" s="3984"/>
      <c r="H3574" s="3984"/>
      <c r="I3574" s="3984"/>
      <c r="J3574" s="3501" t="str">
        <f>$C$1714</f>
        <v>353610_2021_12_</v>
      </c>
      <c r="K3574" s="715">
        <v>0.65</v>
      </c>
      <c r="L3574" s="704"/>
      <c r="M3574" s="3020"/>
      <c r="N3574" s="106"/>
      <c r="O3574" s="106"/>
      <c r="P3574" s="702"/>
      <c r="Q3574" s="574"/>
      <c r="R3574" s="702"/>
      <c r="S3574" s="106"/>
      <c r="T3574" s="486"/>
      <c r="U3574" s="106"/>
      <c r="V3574" s="3980"/>
      <c r="W3574" s="663"/>
      <c r="X3574" s="663"/>
      <c r="Y3574" s="661"/>
      <c r="Z3574" s="663"/>
      <c r="AA3574" s="663"/>
      <c r="AB3574" s="663"/>
      <c r="AC3574" s="2926">
        <f t="shared" ref="AC3574:AC3577" si="405">AC3573</f>
        <v>0.65</v>
      </c>
      <c r="AD3574" s="663">
        <v>0.65</v>
      </c>
      <c r="AE3574" s="2939"/>
      <c r="AF3574" s="663"/>
      <c r="AG3574" s="663"/>
      <c r="AH3574" s="156"/>
      <c r="AI3574" s="156"/>
      <c r="AJ3574" s="156"/>
      <c r="AK3574" s="156"/>
      <c r="AL3574" s="156"/>
      <c r="AM3574" s="156"/>
      <c r="AN3574" s="156"/>
      <c r="AO3574" s="156"/>
      <c r="AP3574" s="156"/>
      <c r="AQ3574" s="156"/>
      <c r="AR3574" s="156"/>
      <c r="AS3574" s="156"/>
      <c r="AT3574" s="156"/>
      <c r="AU3574" s="156"/>
      <c r="AV3574" s="156"/>
      <c r="AW3574" s="156"/>
      <c r="AX3574" s="156"/>
      <c r="AY3574" s="156"/>
      <c r="AZ3574" s="156"/>
      <c r="BA3574" s="156"/>
      <c r="BB3574" s="2828"/>
      <c r="BC3574" s="452"/>
      <c r="BD3574" s="2829"/>
      <c r="BE3574" s="2837"/>
      <c r="BF3574" s="156"/>
    </row>
    <row r="3575" spans="1:58" ht="15" customHeight="1" outlineLevel="1" x14ac:dyDescent="0.35">
      <c r="A3575" s="1664"/>
      <c r="B3575" s="3641"/>
      <c r="C3575" s="3077"/>
      <c r="D3575" s="3980"/>
      <c r="E3575" s="3883"/>
      <c r="F3575" s="3984" t="str">
        <f>$E$1716</f>
        <v>ASHP-SEER21-Replace_CAC_NonElectricHeat_ER2_MF</v>
      </c>
      <c r="G3575" s="3984"/>
      <c r="H3575" s="3984"/>
      <c r="I3575" s="3984"/>
      <c r="J3575" s="3501" t="str">
        <f>$C$1716</f>
        <v>353610_2021_12_</v>
      </c>
      <c r="K3575" s="715">
        <v>0.65</v>
      </c>
      <c r="L3575" s="704"/>
      <c r="M3575" s="3020"/>
      <c r="N3575" s="106"/>
      <c r="O3575" s="106"/>
      <c r="P3575" s="702"/>
      <c r="Q3575" s="574"/>
      <c r="R3575" s="702"/>
      <c r="S3575" s="106"/>
      <c r="T3575" s="486"/>
      <c r="U3575" s="106"/>
      <c r="V3575" s="3980"/>
      <c r="W3575" s="663"/>
      <c r="X3575" s="663"/>
      <c r="Y3575" s="661"/>
      <c r="Z3575" s="663"/>
      <c r="AA3575" s="663"/>
      <c r="AB3575" s="663"/>
      <c r="AC3575" s="2926">
        <f t="shared" si="405"/>
        <v>0.65</v>
      </c>
      <c r="AD3575" s="663">
        <v>0.65</v>
      </c>
      <c r="AE3575" s="2939"/>
      <c r="AF3575" s="663"/>
      <c r="AG3575" s="663"/>
      <c r="AH3575" s="156"/>
      <c r="AI3575" s="156"/>
      <c r="AJ3575" s="156"/>
      <c r="AK3575" s="156"/>
      <c r="AL3575" s="156"/>
      <c r="AM3575" s="156"/>
      <c r="AN3575" s="156"/>
      <c r="AO3575" s="156"/>
      <c r="AP3575" s="156"/>
      <c r="AQ3575" s="156"/>
      <c r="AR3575" s="156"/>
      <c r="AS3575" s="156"/>
      <c r="AT3575" s="156"/>
      <c r="AU3575" s="156"/>
      <c r="AV3575" s="156"/>
      <c r="AW3575" s="156"/>
      <c r="AX3575" s="156"/>
      <c r="AY3575" s="156"/>
      <c r="AZ3575" s="156"/>
      <c r="BA3575" s="156"/>
      <c r="BB3575" s="2828"/>
      <c r="BC3575" s="452"/>
      <c r="BD3575" s="2829"/>
      <c r="BE3575" s="2837"/>
      <c r="BF3575" s="156"/>
    </row>
    <row r="3576" spans="1:58" ht="15" customHeight="1" outlineLevel="1" x14ac:dyDescent="0.35">
      <c r="A3576" s="1664"/>
      <c r="B3576" s="3641"/>
      <c r="C3576" s="3077"/>
      <c r="D3576" s="3980"/>
      <c r="E3576" s="3883"/>
      <c r="F3576" s="3984" t="str">
        <f>$E$1718</f>
        <v>ASHP-SEER21-Replace_CAC_NonElectricHeat_ER1_MF_CompE</v>
      </c>
      <c r="G3576" s="3984"/>
      <c r="H3576" s="3984"/>
      <c r="I3576" s="3984"/>
      <c r="J3576" s="3501" t="str">
        <f>$C$1718</f>
        <v>353611_2021_12_</v>
      </c>
      <c r="K3576" s="715">
        <v>0.65</v>
      </c>
      <c r="L3576" s="704"/>
      <c r="M3576" s="3020"/>
      <c r="N3576" s="106"/>
      <c r="O3576" s="106"/>
      <c r="P3576" s="702"/>
      <c r="Q3576" s="574"/>
      <c r="R3576" s="702"/>
      <c r="S3576" s="106"/>
      <c r="T3576" s="486"/>
      <c r="U3576" s="106"/>
      <c r="V3576" s="3980"/>
      <c r="W3576" s="663"/>
      <c r="X3576" s="663"/>
      <c r="Y3576" s="661"/>
      <c r="Z3576" s="663"/>
      <c r="AA3576" s="663"/>
      <c r="AB3576" s="663"/>
      <c r="AC3576" s="2926">
        <f t="shared" si="405"/>
        <v>0.65</v>
      </c>
      <c r="AD3576" s="663">
        <v>0.65</v>
      </c>
      <c r="AE3576" s="2939"/>
      <c r="AF3576" s="663"/>
      <c r="AG3576" s="663"/>
      <c r="AH3576" s="156"/>
      <c r="AI3576" s="156"/>
      <c r="AJ3576" s="156"/>
      <c r="AK3576" s="156"/>
      <c r="AL3576" s="156"/>
      <c r="AM3576" s="156"/>
      <c r="AN3576" s="156"/>
      <c r="AO3576" s="156"/>
      <c r="AP3576" s="156"/>
      <c r="AQ3576" s="156"/>
      <c r="AR3576" s="156"/>
      <c r="AS3576" s="156"/>
      <c r="AT3576" s="156"/>
      <c r="AU3576" s="156"/>
      <c r="AV3576" s="156"/>
      <c r="AW3576" s="156"/>
      <c r="AX3576" s="156"/>
      <c r="AY3576" s="156"/>
      <c r="AZ3576" s="156"/>
      <c r="BA3576" s="156"/>
      <c r="BB3576" s="2828"/>
      <c r="BC3576" s="452"/>
      <c r="BD3576" s="2829"/>
      <c r="BE3576" s="2837"/>
      <c r="BF3576" s="156"/>
    </row>
    <row r="3577" spans="1:58" ht="15" customHeight="1" outlineLevel="1" x14ac:dyDescent="0.35">
      <c r="A3577" s="1664"/>
      <c r="B3577" s="3641"/>
      <c r="C3577" s="3077"/>
      <c r="D3577" s="3980"/>
      <c r="E3577" s="3883"/>
      <c r="F3577" s="3984" t="str">
        <f>$E$1720</f>
        <v>ASHP-SEER21-Replace_CAC_NonElectricHeat_ER2_MF_CompE</v>
      </c>
      <c r="G3577" s="3984"/>
      <c r="H3577" s="3984"/>
      <c r="I3577" s="3984"/>
      <c r="J3577" s="3501" t="str">
        <f>$C$1720</f>
        <v>353611_2021_12_</v>
      </c>
      <c r="K3577" s="715">
        <v>0.65</v>
      </c>
      <c r="L3577" s="704"/>
      <c r="M3577" s="3020"/>
      <c r="N3577" s="106"/>
      <c r="O3577" s="106"/>
      <c r="P3577" s="702"/>
      <c r="Q3577" s="574"/>
      <c r="R3577" s="702"/>
      <c r="S3577" s="106"/>
      <c r="T3577" s="486"/>
      <c r="U3577" s="106"/>
      <c r="V3577" s="3980"/>
      <c r="W3577" s="663"/>
      <c r="X3577" s="663"/>
      <c r="Y3577" s="661"/>
      <c r="Z3577" s="663"/>
      <c r="AA3577" s="663"/>
      <c r="AB3577" s="663"/>
      <c r="AC3577" s="2926">
        <f t="shared" si="405"/>
        <v>0.65</v>
      </c>
      <c r="AD3577" s="663">
        <v>0.65</v>
      </c>
      <c r="AE3577" s="2939"/>
      <c r="AF3577" s="663"/>
      <c r="AG3577" s="663"/>
      <c r="AH3577" s="156"/>
      <c r="AI3577" s="156"/>
      <c r="AJ3577" s="156"/>
      <c r="AK3577" s="156"/>
      <c r="AL3577" s="156"/>
      <c r="AM3577" s="156"/>
      <c r="AN3577" s="156"/>
      <c r="AO3577" s="156"/>
      <c r="AP3577" s="156"/>
      <c r="AQ3577" s="156"/>
      <c r="AR3577" s="156"/>
      <c r="AS3577" s="156"/>
      <c r="AT3577" s="156"/>
      <c r="AU3577" s="156"/>
      <c r="AV3577" s="156"/>
      <c r="AW3577" s="156"/>
      <c r="AX3577" s="156"/>
      <c r="AY3577" s="156"/>
      <c r="AZ3577" s="156"/>
      <c r="BA3577" s="156"/>
      <c r="BB3577" s="2828"/>
      <c r="BC3577" s="452"/>
      <c r="BD3577" s="2829"/>
      <c r="BE3577" s="2837"/>
      <c r="BF3577" s="156"/>
    </row>
    <row r="3578" spans="1:58" ht="15" customHeight="1" outlineLevel="1" x14ac:dyDescent="0.35">
      <c r="A3578" s="1664"/>
      <c r="B3578" s="3641"/>
      <c r="C3578" s="3077"/>
      <c r="D3578" s="3980"/>
      <c r="E3578" s="3883"/>
      <c r="F3578" s="3984" t="str">
        <f>$E$1722</f>
        <v>ASHP-SEER21-Replace_CAC_ElectricHeat_ROF_SF</v>
      </c>
      <c r="G3578" s="3984"/>
      <c r="H3578" s="3984"/>
      <c r="I3578" s="3984"/>
      <c r="J3578" s="3501" t="str">
        <f>$C$1722</f>
        <v>353650_2021_12_</v>
      </c>
      <c r="K3578" s="663">
        <v>1</v>
      </c>
      <c r="L3578" s="704"/>
      <c r="M3578" s="3020"/>
      <c r="N3578" s="106"/>
      <c r="O3578" s="106"/>
      <c r="P3578" s="702"/>
      <c r="Q3578" s="574"/>
      <c r="R3578" s="702"/>
      <c r="S3578" s="106"/>
      <c r="T3578" s="486"/>
      <c r="U3578" s="106"/>
      <c r="V3578" s="3980"/>
      <c r="W3578" s="663">
        <v>1</v>
      </c>
      <c r="X3578" s="663">
        <v>1</v>
      </c>
      <c r="Y3578" s="663">
        <v>1</v>
      </c>
      <c r="Z3578" s="663">
        <v>1</v>
      </c>
      <c r="AA3578" s="663">
        <v>1</v>
      </c>
      <c r="AB3578" s="663">
        <v>1</v>
      </c>
      <c r="AC3578" s="2923">
        <v>1</v>
      </c>
      <c r="AD3578" s="663">
        <v>1</v>
      </c>
      <c r="AE3578" s="2939"/>
      <c r="AF3578" s="663"/>
      <c r="AG3578" s="663"/>
      <c r="AH3578" s="156"/>
      <c r="AI3578" s="156"/>
      <c r="AJ3578" s="156"/>
      <c r="AK3578" s="156"/>
      <c r="AL3578" s="156"/>
      <c r="AM3578" s="156"/>
      <c r="AN3578" s="156"/>
      <c r="AO3578" s="156"/>
      <c r="AP3578" s="156"/>
      <c r="AQ3578" s="156"/>
      <c r="AR3578" s="156"/>
      <c r="AS3578" s="156"/>
      <c r="AT3578" s="156"/>
      <c r="AU3578" s="156"/>
      <c r="AV3578" s="156"/>
      <c r="AW3578" s="156"/>
      <c r="AX3578" s="156"/>
      <c r="AY3578" s="156"/>
      <c r="AZ3578" s="156"/>
      <c r="BA3578" s="156"/>
      <c r="BB3578" s="2828"/>
      <c r="BC3578" s="452"/>
      <c r="BD3578" s="2829"/>
      <c r="BE3578" s="2837"/>
      <c r="BF3578" s="156"/>
    </row>
    <row r="3579" spans="1:58" s="3398" customFormat="1" ht="15" customHeight="1" outlineLevel="1" x14ac:dyDescent="0.35">
      <c r="A3579" s="1664"/>
      <c r="B3579" s="3641"/>
      <c r="C3579" s="3077"/>
      <c r="D3579" s="3980"/>
      <c r="E3579" s="3883"/>
      <c r="F3579" s="4136" t="str">
        <f>$E$1724</f>
        <v>ASHP-SEER21-Replace_CAC_NonElectricHeat_ROF_SF</v>
      </c>
      <c r="G3579" s="4136"/>
      <c r="H3579" s="4136"/>
      <c r="I3579" s="4136"/>
      <c r="J3579" s="3502" t="str">
        <f>$C$1724</f>
        <v>353660_2022_12_</v>
      </c>
      <c r="K3579" s="661">
        <v>1</v>
      </c>
      <c r="L3579" s="704"/>
      <c r="M3579" s="3022"/>
      <c r="P3579" s="702"/>
      <c r="Q3579" s="574"/>
      <c r="R3579" s="702"/>
      <c r="T3579" s="3397"/>
      <c r="V3579" s="3980"/>
      <c r="W3579" s="663"/>
      <c r="X3579" s="663"/>
      <c r="Y3579" s="663"/>
      <c r="Z3579" s="663"/>
      <c r="AA3579" s="663"/>
      <c r="AB3579" s="663"/>
      <c r="AC3579" s="2923"/>
      <c r="AD3579" s="661">
        <v>1</v>
      </c>
      <c r="AE3579" s="2939"/>
      <c r="AF3579" s="663"/>
      <c r="AG3579" s="663"/>
      <c r="AH3579" s="156"/>
      <c r="AI3579" s="156"/>
      <c r="AJ3579" s="156"/>
      <c r="AK3579" s="156"/>
      <c r="AL3579" s="156"/>
      <c r="AM3579" s="156"/>
      <c r="AN3579" s="156"/>
      <c r="AO3579" s="156"/>
      <c r="AP3579" s="156"/>
      <c r="AQ3579" s="156"/>
      <c r="AR3579" s="156"/>
      <c r="AS3579" s="156"/>
      <c r="AT3579" s="156"/>
      <c r="AU3579" s="156"/>
      <c r="AV3579" s="156"/>
      <c r="AW3579" s="156"/>
      <c r="AX3579" s="156"/>
      <c r="AY3579" s="156"/>
      <c r="AZ3579" s="156"/>
      <c r="BA3579" s="156"/>
      <c r="BB3579" s="2828"/>
      <c r="BC3579" s="452"/>
      <c r="BD3579" s="2829"/>
      <c r="BE3579" s="2837"/>
      <c r="BF3579" s="156"/>
    </row>
    <row r="3580" spans="1:58" ht="15" customHeight="1" outlineLevel="1" x14ac:dyDescent="0.35">
      <c r="A3580" s="1071"/>
      <c r="B3580" s="3641"/>
      <c r="C3580" s="3077"/>
      <c r="D3580" s="3980"/>
      <c r="E3580" s="3883"/>
      <c r="F3580" s="3984" t="str">
        <f>$E$1726</f>
        <v>ASHP-SEER21+-Replace_CAC_ElectricHeat_ROF_MF</v>
      </c>
      <c r="G3580" s="3984"/>
      <c r="H3580" s="3984"/>
      <c r="I3580" s="3984"/>
      <c r="J3580" s="3501" t="str">
        <f>$C$1726</f>
        <v>353700_2019_12_</v>
      </c>
      <c r="K3580" s="663">
        <v>0.65</v>
      </c>
      <c r="L3580" s="704"/>
      <c r="M3580" s="3020" t="s">
        <v>977</v>
      </c>
      <c r="N3580" s="106"/>
      <c r="O3580" s="106"/>
      <c r="P3580" s="106"/>
      <c r="Q3580" s="106"/>
      <c r="R3580" s="106"/>
      <c r="S3580" s="106"/>
      <c r="T3580" s="106"/>
      <c r="U3580" s="106"/>
      <c r="V3580" s="3980"/>
      <c r="W3580" s="663">
        <v>0.65</v>
      </c>
      <c r="X3580" s="663">
        <v>0.65</v>
      </c>
      <c r="Y3580" s="663">
        <v>0.65</v>
      </c>
      <c r="Z3580" s="663">
        <v>0.65</v>
      </c>
      <c r="AA3580" s="663">
        <v>0.65</v>
      </c>
      <c r="AB3580" s="663">
        <v>0.65</v>
      </c>
      <c r="AC3580" s="2923">
        <v>0.65</v>
      </c>
      <c r="AD3580" s="663">
        <v>0.65</v>
      </c>
      <c r="AE3580" s="2939"/>
      <c r="AF3580" s="663"/>
      <c r="AG3580" s="663"/>
      <c r="AH3580" s="156"/>
      <c r="AI3580" s="156"/>
      <c r="AJ3580" s="156"/>
      <c r="AK3580" s="156"/>
      <c r="AL3580" s="156"/>
      <c r="AM3580" s="156"/>
      <c r="AN3580" s="156"/>
      <c r="AO3580" s="156"/>
      <c r="AP3580" s="156"/>
      <c r="AQ3580" s="156"/>
      <c r="AR3580" s="156"/>
      <c r="AS3580" s="156"/>
      <c r="AT3580" s="156"/>
      <c r="AU3580" s="156"/>
      <c r="AV3580" s="156"/>
      <c r="AW3580" s="156"/>
      <c r="AX3580" s="156"/>
      <c r="AY3580" s="156"/>
      <c r="AZ3580" s="156"/>
      <c r="BA3580" s="156"/>
      <c r="BB3580" s="2828"/>
      <c r="BC3580" s="452"/>
      <c r="BD3580" s="2829"/>
      <c r="BE3580" s="2837"/>
      <c r="BF3580" s="156"/>
    </row>
    <row r="3581" spans="1:58" ht="15" customHeight="1" outlineLevel="1" x14ac:dyDescent="0.35">
      <c r="A3581" s="1071"/>
      <c r="B3581" s="3641"/>
      <c r="C3581" s="3077"/>
      <c r="D3581" s="3980"/>
      <c r="E3581" s="3883"/>
      <c r="F3581" s="3984" t="str">
        <f>$E$1728</f>
        <v>ASHP-SEER21+-Replace_CAC_ElectricHeat_ROF_MF_CompE</v>
      </c>
      <c r="G3581" s="3984"/>
      <c r="H3581" s="3984"/>
      <c r="I3581" s="3984"/>
      <c r="J3581" s="3501" t="str">
        <f>$C$1728</f>
        <v>353701_2019_12_</v>
      </c>
      <c r="K3581" s="663">
        <v>0.65</v>
      </c>
      <c r="L3581" s="704"/>
      <c r="M3581" s="3020"/>
      <c r="N3581" s="106"/>
      <c r="O3581" s="106"/>
      <c r="P3581" s="106"/>
      <c r="Q3581" s="106"/>
      <c r="R3581" s="106"/>
      <c r="S3581" s="106"/>
      <c r="T3581" s="106"/>
      <c r="U3581" s="106"/>
      <c r="V3581" s="3980"/>
      <c r="W3581" s="663"/>
      <c r="X3581" s="663"/>
      <c r="Y3581" s="661">
        <v>0.65</v>
      </c>
      <c r="Z3581" s="663">
        <v>0.65</v>
      </c>
      <c r="AA3581" s="663">
        <v>0.65</v>
      </c>
      <c r="AB3581" s="663">
        <v>0.65</v>
      </c>
      <c r="AC3581" s="2923">
        <v>0.65</v>
      </c>
      <c r="AD3581" s="663">
        <v>0.65</v>
      </c>
      <c r="AE3581" s="2939"/>
      <c r="AF3581" s="663"/>
      <c r="AG3581" s="663"/>
      <c r="AH3581" s="156"/>
      <c r="AI3581" s="156"/>
      <c r="AJ3581" s="156"/>
      <c r="AK3581" s="156"/>
      <c r="AL3581" s="156"/>
      <c r="AM3581" s="156"/>
      <c r="AN3581" s="156"/>
      <c r="AO3581" s="156"/>
      <c r="AP3581" s="156"/>
      <c r="AQ3581" s="156"/>
      <c r="AR3581" s="156"/>
      <c r="AS3581" s="156"/>
      <c r="AT3581" s="156"/>
      <c r="AU3581" s="156"/>
      <c r="AV3581" s="156"/>
      <c r="AW3581" s="156"/>
      <c r="AX3581" s="156"/>
      <c r="AY3581" s="156"/>
      <c r="AZ3581" s="156"/>
      <c r="BA3581" s="156"/>
      <c r="BB3581" s="2828"/>
      <c r="BC3581" s="452"/>
      <c r="BD3581" s="2829"/>
      <c r="BE3581" s="2837"/>
      <c r="BF3581" s="156"/>
    </row>
    <row r="3582" spans="1:58" ht="15" customHeight="1" outlineLevel="1" x14ac:dyDescent="0.35">
      <c r="A3582" s="1071"/>
      <c r="B3582" s="3641"/>
      <c r="C3582" s="3077"/>
      <c r="D3582" s="3980"/>
      <c r="E3582" s="3883"/>
      <c r="F3582" s="3984" t="str">
        <f>$E$1730</f>
        <v>ASHP-SEER21+-Replace_CAC_NonElectricHeat_ROF_MF</v>
      </c>
      <c r="G3582" s="3984"/>
      <c r="H3582" s="3984"/>
      <c r="I3582" s="3984"/>
      <c r="J3582" s="3501" t="str">
        <f>$C$1730</f>
        <v>353710_2021_12_</v>
      </c>
      <c r="K3582" s="715">
        <v>0.65</v>
      </c>
      <c r="L3582" s="704"/>
      <c r="M3582" s="3020"/>
      <c r="N3582" s="106"/>
      <c r="O3582" s="106"/>
      <c r="P3582" s="106"/>
      <c r="Q3582" s="106"/>
      <c r="R3582" s="106"/>
      <c r="S3582" s="106"/>
      <c r="T3582" s="106"/>
      <c r="U3582" s="106"/>
      <c r="V3582" s="3980"/>
      <c r="W3582" s="663"/>
      <c r="X3582" s="663"/>
      <c r="Y3582" s="661"/>
      <c r="Z3582" s="663"/>
      <c r="AA3582" s="663"/>
      <c r="AB3582" s="663"/>
      <c r="AC3582" s="2926">
        <f t="shared" ref="AC3582:AC3583" si="406">AC3581</f>
        <v>0.65</v>
      </c>
      <c r="AD3582" s="663">
        <v>0.65</v>
      </c>
      <c r="AE3582" s="2939"/>
      <c r="AF3582" s="663"/>
      <c r="AG3582" s="663"/>
      <c r="AH3582" s="156"/>
      <c r="AI3582" s="156"/>
      <c r="AJ3582" s="156"/>
      <c r="AK3582" s="156"/>
      <c r="AL3582" s="156"/>
      <c r="AM3582" s="156"/>
      <c r="AN3582" s="156"/>
      <c r="AO3582" s="156"/>
      <c r="AP3582" s="156"/>
      <c r="AQ3582" s="156"/>
      <c r="AR3582" s="156"/>
      <c r="AS3582" s="156"/>
      <c r="AT3582" s="156"/>
      <c r="AU3582" s="156"/>
      <c r="AV3582" s="156"/>
      <c r="AW3582" s="156"/>
      <c r="AX3582" s="156"/>
      <c r="AY3582" s="156"/>
      <c r="AZ3582" s="156"/>
      <c r="BA3582" s="156"/>
      <c r="BB3582" s="2828"/>
      <c r="BC3582" s="452"/>
      <c r="BD3582" s="2829"/>
      <c r="BE3582" s="2837"/>
      <c r="BF3582" s="156"/>
    </row>
    <row r="3583" spans="1:58" ht="15" customHeight="1" outlineLevel="1" x14ac:dyDescent="0.35">
      <c r="A3583" s="1071"/>
      <c r="B3583" s="3641"/>
      <c r="C3583" s="3077"/>
      <c r="D3583" s="3980"/>
      <c r="E3583" s="3883"/>
      <c r="F3583" s="3984" t="str">
        <f>$E$1732</f>
        <v>ASHP-SEER21+-Replace_CAC_NonElectricHeat_ROF_MF_CompE</v>
      </c>
      <c r="G3583" s="3984"/>
      <c r="H3583" s="3984"/>
      <c r="I3583" s="3984"/>
      <c r="J3583" s="3501" t="str">
        <f>$C$1732</f>
        <v>353711_2021_12_</v>
      </c>
      <c r="K3583" s="715">
        <v>0.65</v>
      </c>
      <c r="L3583" s="704"/>
      <c r="M3583" s="3020"/>
      <c r="N3583" s="106"/>
      <c r="O3583" s="106"/>
      <c r="P3583" s="106"/>
      <c r="Q3583" s="106"/>
      <c r="R3583" s="106"/>
      <c r="S3583" s="106"/>
      <c r="T3583" s="106"/>
      <c r="U3583" s="106"/>
      <c r="V3583" s="3980"/>
      <c r="W3583" s="663"/>
      <c r="X3583" s="663"/>
      <c r="Y3583" s="661"/>
      <c r="Z3583" s="663"/>
      <c r="AA3583" s="663"/>
      <c r="AB3583" s="663"/>
      <c r="AC3583" s="2926">
        <f t="shared" si="406"/>
        <v>0.65</v>
      </c>
      <c r="AD3583" s="663">
        <v>0.65</v>
      </c>
      <c r="AE3583" s="2939"/>
      <c r="AF3583" s="663"/>
      <c r="AG3583" s="663"/>
      <c r="AH3583" s="156"/>
      <c r="AI3583" s="156"/>
      <c r="AJ3583" s="156"/>
      <c r="AK3583" s="156"/>
      <c r="AL3583" s="156"/>
      <c r="AM3583" s="156"/>
      <c r="AN3583" s="156"/>
      <c r="AO3583" s="156"/>
      <c r="AP3583" s="156"/>
      <c r="AQ3583" s="156"/>
      <c r="AR3583" s="156"/>
      <c r="AS3583" s="156"/>
      <c r="AT3583" s="156"/>
      <c r="AU3583" s="156"/>
      <c r="AV3583" s="156"/>
      <c r="AW3583" s="156"/>
      <c r="AX3583" s="156"/>
      <c r="AY3583" s="156"/>
      <c r="AZ3583" s="156"/>
      <c r="BA3583" s="156"/>
      <c r="BB3583" s="2828"/>
      <c r="BC3583" s="452"/>
      <c r="BD3583" s="2829"/>
      <c r="BE3583" s="2837"/>
      <c r="BF3583" s="156"/>
    </row>
    <row r="3584" spans="1:58" ht="15" customHeight="1" outlineLevel="1" x14ac:dyDescent="0.35">
      <c r="A3584" s="1664"/>
      <c r="B3584" s="3641"/>
      <c r="C3584" s="3077"/>
      <c r="D3584" s="3980"/>
      <c r="E3584" s="3883"/>
      <c r="F3584" s="3984" t="str">
        <f>$E$1734</f>
        <v>ASHP-SEER17_ER1_SF</v>
      </c>
      <c r="G3584" s="3984"/>
      <c r="H3584" s="3984"/>
      <c r="I3584" s="3984"/>
      <c r="J3584" s="3501" t="str">
        <f>$C$1734</f>
        <v>353750_2021_12_</v>
      </c>
      <c r="K3584" s="663">
        <v>1</v>
      </c>
      <c r="L3584" s="704"/>
      <c r="M3584" s="3022"/>
      <c r="N3584" s="106"/>
      <c r="O3584" s="106"/>
      <c r="P3584" s="702"/>
      <c r="Q3584" s="574"/>
      <c r="R3584" s="702"/>
      <c r="S3584" s="106"/>
      <c r="T3584" s="486"/>
      <c r="U3584" s="106"/>
      <c r="V3584" s="3980"/>
      <c r="W3584" s="663">
        <v>1</v>
      </c>
      <c r="X3584" s="663">
        <v>1</v>
      </c>
      <c r="Y3584" s="663">
        <v>1</v>
      </c>
      <c r="Z3584" s="663">
        <v>1</v>
      </c>
      <c r="AA3584" s="663">
        <v>1</v>
      </c>
      <c r="AB3584" s="663">
        <v>1</v>
      </c>
      <c r="AC3584" s="2923">
        <v>1</v>
      </c>
      <c r="AD3584" s="663">
        <v>1</v>
      </c>
      <c r="AE3584" s="2939"/>
      <c r="AF3584" s="663"/>
      <c r="AG3584" s="663"/>
      <c r="AH3584" s="156"/>
      <c r="AI3584" s="156"/>
      <c r="AJ3584" s="156"/>
      <c r="AK3584" s="156"/>
      <c r="AL3584" s="156"/>
      <c r="AM3584" s="156"/>
      <c r="AN3584" s="156"/>
      <c r="AO3584" s="156"/>
      <c r="AP3584" s="156"/>
      <c r="AQ3584" s="156"/>
      <c r="AR3584" s="156"/>
      <c r="AS3584" s="156"/>
      <c r="AT3584" s="156"/>
      <c r="AU3584" s="156"/>
      <c r="AV3584" s="156"/>
      <c r="AW3584" s="156"/>
      <c r="AX3584" s="156"/>
      <c r="AY3584" s="156"/>
      <c r="AZ3584" s="156"/>
      <c r="BA3584" s="156"/>
      <c r="BB3584" s="2828"/>
      <c r="BC3584" s="452"/>
      <c r="BD3584" s="2829"/>
      <c r="BE3584" s="2837"/>
      <c r="BF3584" s="156"/>
    </row>
    <row r="3585" spans="1:58" ht="15" customHeight="1" outlineLevel="1" x14ac:dyDescent="0.35">
      <c r="A3585" s="1071"/>
      <c r="B3585" s="3641"/>
      <c r="C3585" s="3077"/>
      <c r="D3585" s="3980"/>
      <c r="E3585" s="3883"/>
      <c r="F3585" s="3984" t="str">
        <f>$E$1736</f>
        <v>ASHP-SEER17_ER2_SF</v>
      </c>
      <c r="G3585" s="3984"/>
      <c r="H3585" s="3984"/>
      <c r="I3585" s="3984"/>
      <c r="J3585" s="3501" t="str">
        <f>$C$1736</f>
        <v>353750_2021_12_</v>
      </c>
      <c r="K3585" s="663">
        <v>1</v>
      </c>
      <c r="L3585" s="704"/>
      <c r="M3585" s="3022"/>
      <c r="N3585" s="106"/>
      <c r="O3585" s="106"/>
      <c r="P3585" s="106"/>
      <c r="Q3585" s="106"/>
      <c r="R3585" s="106"/>
      <c r="S3585" s="106"/>
      <c r="T3585" s="106"/>
      <c r="U3585" s="106"/>
      <c r="V3585" s="3980"/>
      <c r="W3585" s="663">
        <v>1</v>
      </c>
      <c r="X3585" s="663">
        <v>1</v>
      </c>
      <c r="Y3585" s="663">
        <v>1</v>
      </c>
      <c r="Z3585" s="663">
        <v>1</v>
      </c>
      <c r="AA3585" s="663">
        <v>1</v>
      </c>
      <c r="AB3585" s="663">
        <v>1</v>
      </c>
      <c r="AC3585" s="2923">
        <v>1</v>
      </c>
      <c r="AD3585" s="663">
        <v>1</v>
      </c>
      <c r="AE3585" s="2939"/>
      <c r="AF3585" s="663"/>
      <c r="AG3585" s="663"/>
      <c r="AH3585" s="156"/>
      <c r="AI3585" s="156"/>
      <c r="AJ3585" s="156"/>
      <c r="AK3585" s="156"/>
      <c r="AL3585" s="156"/>
      <c r="AM3585" s="156"/>
      <c r="AN3585" s="156"/>
      <c r="AO3585" s="156"/>
      <c r="AP3585" s="156"/>
      <c r="AQ3585" s="156"/>
      <c r="AR3585" s="156"/>
      <c r="AS3585" s="156"/>
      <c r="AT3585" s="156"/>
      <c r="AU3585" s="156"/>
      <c r="AV3585" s="156"/>
      <c r="AW3585" s="156"/>
      <c r="AX3585" s="156"/>
      <c r="AY3585" s="156"/>
      <c r="AZ3585" s="156"/>
      <c r="BA3585" s="156"/>
      <c r="BB3585" s="2828"/>
      <c r="BC3585" s="452"/>
      <c r="BD3585" s="2829"/>
      <c r="BE3585" s="2837"/>
      <c r="BF3585" s="156"/>
    </row>
    <row r="3586" spans="1:58" ht="15" customHeight="1" outlineLevel="1" x14ac:dyDescent="0.35">
      <c r="A3586" s="1664"/>
      <c r="B3586" s="3641"/>
      <c r="C3586" s="3077"/>
      <c r="D3586" s="3980"/>
      <c r="E3586" s="3883"/>
      <c r="F3586" s="3984" t="str">
        <f>$E$1738</f>
        <v>ASHP-SEER17_ROF_SF</v>
      </c>
      <c r="G3586" s="3984"/>
      <c r="H3586" s="3984"/>
      <c r="I3586" s="3984"/>
      <c r="J3586" s="3501" t="str">
        <f>$C$1738</f>
        <v>353800_2021_12_</v>
      </c>
      <c r="K3586" s="663">
        <v>1</v>
      </c>
      <c r="L3586" s="704"/>
      <c r="M3586" s="3022"/>
      <c r="N3586" s="106"/>
      <c r="O3586" s="106"/>
      <c r="P3586" s="702"/>
      <c r="Q3586" s="574"/>
      <c r="R3586" s="702"/>
      <c r="S3586" s="106"/>
      <c r="T3586" s="486"/>
      <c r="U3586" s="106"/>
      <c r="V3586" s="3980"/>
      <c r="W3586" s="663">
        <v>1</v>
      </c>
      <c r="X3586" s="663">
        <v>1</v>
      </c>
      <c r="Y3586" s="663">
        <v>1</v>
      </c>
      <c r="Z3586" s="663">
        <v>1</v>
      </c>
      <c r="AA3586" s="663">
        <v>1</v>
      </c>
      <c r="AB3586" s="663">
        <v>1</v>
      </c>
      <c r="AC3586" s="2923">
        <v>1</v>
      </c>
      <c r="AD3586" s="663">
        <v>1</v>
      </c>
      <c r="AE3586" s="2939"/>
      <c r="AF3586" s="663"/>
      <c r="AG3586" s="663"/>
      <c r="AH3586" s="156"/>
      <c r="AI3586" s="156"/>
      <c r="AJ3586" s="156"/>
      <c r="AK3586" s="156"/>
      <c r="AL3586" s="156"/>
      <c r="AM3586" s="156"/>
      <c r="AN3586" s="156"/>
      <c r="AO3586" s="156"/>
      <c r="AP3586" s="156"/>
      <c r="AQ3586" s="156"/>
      <c r="AR3586" s="156"/>
      <c r="AS3586" s="156"/>
      <c r="AT3586" s="156"/>
      <c r="AU3586" s="156"/>
      <c r="AV3586" s="156"/>
      <c r="AW3586" s="156"/>
      <c r="AX3586" s="156"/>
      <c r="AY3586" s="156"/>
      <c r="AZ3586" s="156"/>
      <c r="BA3586" s="156"/>
      <c r="BB3586" s="2828"/>
      <c r="BC3586" s="452"/>
      <c r="BD3586" s="2829"/>
      <c r="BE3586" s="2837"/>
      <c r="BF3586" s="156"/>
    </row>
    <row r="3587" spans="1:58" ht="15" customHeight="1" outlineLevel="1" x14ac:dyDescent="0.35">
      <c r="A3587" s="1071"/>
      <c r="B3587" s="3641"/>
      <c r="C3587" s="3077"/>
      <c r="D3587" s="3980"/>
      <c r="E3587" s="3883"/>
      <c r="F3587" s="3984" t="str">
        <f>$E$1740</f>
        <v>ASHP-SEER18_ER1_SF</v>
      </c>
      <c r="G3587" s="3984"/>
      <c r="H3587" s="3984"/>
      <c r="I3587" s="3984"/>
      <c r="J3587" s="3501" t="str">
        <f>$C$1740</f>
        <v>353850_2021_12_</v>
      </c>
      <c r="K3587" s="663">
        <v>1</v>
      </c>
      <c r="L3587" s="704"/>
      <c r="M3587" s="3022"/>
      <c r="N3587" s="106"/>
      <c r="O3587" s="106"/>
      <c r="P3587" s="106"/>
      <c r="Q3587" s="106"/>
      <c r="R3587" s="106"/>
      <c r="S3587" s="106"/>
      <c r="T3587" s="106"/>
      <c r="U3587" s="106"/>
      <c r="V3587" s="3980"/>
      <c r="W3587" s="663">
        <v>1</v>
      </c>
      <c r="X3587" s="663">
        <v>1</v>
      </c>
      <c r="Y3587" s="663">
        <v>1</v>
      </c>
      <c r="Z3587" s="663">
        <v>1</v>
      </c>
      <c r="AA3587" s="663">
        <v>1</v>
      </c>
      <c r="AB3587" s="663">
        <v>1</v>
      </c>
      <c r="AC3587" s="2923">
        <v>1</v>
      </c>
      <c r="AD3587" s="663">
        <v>1</v>
      </c>
      <c r="AE3587" s="2939"/>
      <c r="AF3587" s="663"/>
      <c r="AG3587" s="663"/>
      <c r="AH3587" s="156"/>
      <c r="AI3587" s="156"/>
      <c r="AJ3587" s="156"/>
      <c r="AK3587" s="156"/>
      <c r="AL3587" s="156"/>
      <c r="AM3587" s="156"/>
      <c r="AN3587" s="156"/>
      <c r="AO3587" s="156"/>
      <c r="AP3587" s="156"/>
      <c r="AQ3587" s="156"/>
      <c r="AR3587" s="156"/>
      <c r="AS3587" s="156"/>
      <c r="AT3587" s="156"/>
      <c r="AU3587" s="156"/>
      <c r="AV3587" s="156"/>
      <c r="AW3587" s="156"/>
      <c r="AX3587" s="156"/>
      <c r="AY3587" s="156"/>
      <c r="AZ3587" s="156"/>
      <c r="BA3587" s="156"/>
      <c r="BB3587" s="2828"/>
      <c r="BC3587" s="452"/>
      <c r="BD3587" s="2829"/>
      <c r="BE3587" s="2837"/>
      <c r="BF3587" s="156"/>
    </row>
    <row r="3588" spans="1:58" ht="15" customHeight="1" outlineLevel="1" x14ac:dyDescent="0.35">
      <c r="A3588" s="1071"/>
      <c r="B3588" s="3641"/>
      <c r="C3588" s="3077"/>
      <c r="D3588" s="3980"/>
      <c r="E3588" s="3883"/>
      <c r="F3588" s="3984" t="str">
        <f>$E$1742</f>
        <v>ASHP-SEER18_ER2_SF</v>
      </c>
      <c r="G3588" s="3984"/>
      <c r="H3588" s="3984"/>
      <c r="I3588" s="3984"/>
      <c r="J3588" s="3501" t="str">
        <f>$C$1742</f>
        <v>353850_2021_12_</v>
      </c>
      <c r="K3588" s="663">
        <v>1</v>
      </c>
      <c r="L3588" s="704"/>
      <c r="M3588" s="3022"/>
      <c r="N3588" s="106"/>
      <c r="O3588" s="106"/>
      <c r="P3588" s="106"/>
      <c r="Q3588" s="106"/>
      <c r="R3588" s="106"/>
      <c r="S3588" s="106"/>
      <c r="T3588" s="106"/>
      <c r="U3588" s="106"/>
      <c r="V3588" s="3980"/>
      <c r="W3588" s="663">
        <v>1</v>
      </c>
      <c r="X3588" s="663">
        <v>1</v>
      </c>
      <c r="Y3588" s="663">
        <v>1</v>
      </c>
      <c r="Z3588" s="663">
        <v>1</v>
      </c>
      <c r="AA3588" s="663">
        <v>1</v>
      </c>
      <c r="AB3588" s="663">
        <v>1</v>
      </c>
      <c r="AC3588" s="2923">
        <v>1</v>
      </c>
      <c r="AD3588" s="663">
        <v>1</v>
      </c>
      <c r="AE3588" s="2939"/>
      <c r="AF3588" s="663"/>
      <c r="AG3588" s="663"/>
      <c r="AH3588" s="156"/>
      <c r="AI3588" s="156"/>
      <c r="AJ3588" s="156"/>
      <c r="AK3588" s="156"/>
      <c r="AL3588" s="156"/>
      <c r="AM3588" s="156"/>
      <c r="AN3588" s="156"/>
      <c r="AO3588" s="156"/>
      <c r="AP3588" s="156"/>
      <c r="AQ3588" s="156"/>
      <c r="AR3588" s="156"/>
      <c r="AS3588" s="156"/>
      <c r="AT3588" s="156"/>
      <c r="AU3588" s="156"/>
      <c r="AV3588" s="156"/>
      <c r="AW3588" s="156"/>
      <c r="AX3588" s="156"/>
      <c r="AY3588" s="156"/>
      <c r="AZ3588" s="156"/>
      <c r="BA3588" s="156"/>
      <c r="BB3588" s="2828"/>
      <c r="BC3588" s="452"/>
      <c r="BD3588" s="2829"/>
      <c r="BE3588" s="2837"/>
      <c r="BF3588" s="156"/>
    </row>
    <row r="3589" spans="1:58" ht="15" customHeight="1" outlineLevel="1" x14ac:dyDescent="0.35">
      <c r="A3589" s="1664"/>
      <c r="B3589" s="3641"/>
      <c r="C3589" s="3077"/>
      <c r="D3589" s="3980"/>
      <c r="E3589" s="3883"/>
      <c r="F3589" s="3984" t="str">
        <f>$E$1744</f>
        <v>ASHP-SEER18_ROF_SF</v>
      </c>
      <c r="G3589" s="3984"/>
      <c r="H3589" s="3984"/>
      <c r="I3589" s="3984"/>
      <c r="J3589" s="3501" t="str">
        <f>$C$1744</f>
        <v>353950_2021_12_</v>
      </c>
      <c r="K3589" s="663">
        <v>1</v>
      </c>
      <c r="L3589" s="704"/>
      <c r="M3589" s="3022"/>
      <c r="N3589" s="106"/>
      <c r="O3589" s="106"/>
      <c r="P3589" s="702"/>
      <c r="Q3589" s="574"/>
      <c r="R3589" s="702"/>
      <c r="S3589" s="106"/>
      <c r="T3589" s="486"/>
      <c r="U3589" s="106"/>
      <c r="V3589" s="3980"/>
      <c r="W3589" s="663">
        <v>1</v>
      </c>
      <c r="X3589" s="663">
        <v>1</v>
      </c>
      <c r="Y3589" s="663">
        <v>1</v>
      </c>
      <c r="Z3589" s="663">
        <v>1</v>
      </c>
      <c r="AA3589" s="663">
        <v>1</v>
      </c>
      <c r="AB3589" s="663">
        <v>1</v>
      </c>
      <c r="AC3589" s="2923">
        <v>1</v>
      </c>
      <c r="AD3589" s="663">
        <v>1</v>
      </c>
      <c r="AE3589" s="2939"/>
      <c r="AF3589" s="663"/>
      <c r="AG3589" s="663"/>
      <c r="AH3589" s="156"/>
      <c r="AI3589" s="156"/>
      <c r="AJ3589" s="156"/>
      <c r="AK3589" s="156"/>
      <c r="AL3589" s="156"/>
      <c r="AM3589" s="156"/>
      <c r="AN3589" s="156"/>
      <c r="AO3589" s="156"/>
      <c r="AP3589" s="156"/>
      <c r="AQ3589" s="156"/>
      <c r="AR3589" s="156"/>
      <c r="AS3589" s="156"/>
      <c r="AT3589" s="156"/>
      <c r="AU3589" s="156"/>
      <c r="AV3589" s="156"/>
      <c r="AW3589" s="156"/>
      <c r="AX3589" s="156"/>
      <c r="AY3589" s="156"/>
      <c r="AZ3589" s="156"/>
      <c r="BA3589" s="156"/>
      <c r="BB3589" s="2828"/>
      <c r="BC3589" s="452"/>
      <c r="BD3589" s="2829"/>
      <c r="BE3589" s="2837"/>
      <c r="BF3589" s="156"/>
    </row>
    <row r="3590" spans="1:58" ht="15" customHeight="1" outlineLevel="1" x14ac:dyDescent="0.35">
      <c r="A3590" s="1071"/>
      <c r="B3590" s="3641"/>
      <c r="C3590" s="3077"/>
      <c r="D3590" s="3980"/>
      <c r="E3590" s="3883"/>
      <c r="F3590" s="3984" t="str">
        <f>$E$1746</f>
        <v>ASHP-SEER19_ER1_SF</v>
      </c>
      <c r="G3590" s="3984"/>
      <c r="H3590" s="3984"/>
      <c r="I3590" s="3984"/>
      <c r="J3590" s="3501" t="str">
        <f>$C$1746</f>
        <v>354000_2021_12_</v>
      </c>
      <c r="K3590" s="663">
        <v>1</v>
      </c>
      <c r="L3590" s="704"/>
      <c r="M3590" s="3022"/>
      <c r="N3590" s="106"/>
      <c r="O3590" s="106"/>
      <c r="P3590" s="106"/>
      <c r="Q3590" s="106"/>
      <c r="R3590" s="106"/>
      <c r="S3590" s="106"/>
      <c r="T3590" s="106"/>
      <c r="U3590" s="106"/>
      <c r="V3590" s="3980"/>
      <c r="W3590" s="663">
        <v>1</v>
      </c>
      <c r="X3590" s="663">
        <v>1</v>
      </c>
      <c r="Y3590" s="663">
        <v>1</v>
      </c>
      <c r="Z3590" s="663">
        <v>1</v>
      </c>
      <c r="AA3590" s="663">
        <v>1</v>
      </c>
      <c r="AB3590" s="663">
        <v>1</v>
      </c>
      <c r="AC3590" s="2923">
        <v>1</v>
      </c>
      <c r="AD3590" s="663">
        <v>1</v>
      </c>
      <c r="AE3590" s="2939"/>
      <c r="AF3590" s="663"/>
      <c r="AG3590" s="663"/>
      <c r="AH3590" s="156"/>
      <c r="AI3590" s="156"/>
      <c r="AJ3590" s="156"/>
      <c r="AK3590" s="156"/>
      <c r="AL3590" s="156"/>
      <c r="AM3590" s="156"/>
      <c r="AN3590" s="156"/>
      <c r="AO3590" s="156"/>
      <c r="AP3590" s="156"/>
      <c r="AQ3590" s="156"/>
      <c r="AR3590" s="156"/>
      <c r="AS3590" s="156"/>
      <c r="AT3590" s="156"/>
      <c r="AU3590" s="156"/>
      <c r="AV3590" s="156"/>
      <c r="AW3590" s="156"/>
      <c r="AX3590" s="156"/>
      <c r="AY3590" s="156"/>
      <c r="AZ3590" s="156"/>
      <c r="BA3590" s="156"/>
      <c r="BB3590" s="2828"/>
      <c r="BC3590" s="452"/>
      <c r="BD3590" s="2829"/>
      <c r="BE3590" s="2837"/>
      <c r="BF3590" s="156"/>
    </row>
    <row r="3591" spans="1:58" ht="15" customHeight="1" outlineLevel="1" x14ac:dyDescent="0.35">
      <c r="A3591" s="1071"/>
      <c r="B3591" s="3641"/>
      <c r="C3591" s="3077"/>
      <c r="D3591" s="3980"/>
      <c r="E3591" s="3883"/>
      <c r="F3591" s="3984" t="str">
        <f>$E$1748</f>
        <v>ASHP-SEER19_ER2_SF</v>
      </c>
      <c r="G3591" s="3984"/>
      <c r="H3591" s="3984"/>
      <c r="I3591" s="3984"/>
      <c r="J3591" s="3501" t="str">
        <f>$C$1748</f>
        <v>354000_2021_12_</v>
      </c>
      <c r="K3591" s="663">
        <v>1</v>
      </c>
      <c r="L3591" s="704"/>
      <c r="M3591" s="3022"/>
      <c r="N3591" s="106"/>
      <c r="O3591" s="106"/>
      <c r="P3591" s="106"/>
      <c r="Q3591" s="106"/>
      <c r="R3591" s="106"/>
      <c r="S3591" s="106"/>
      <c r="T3591" s="106"/>
      <c r="U3591" s="106"/>
      <c r="V3591" s="3980"/>
      <c r="W3591" s="663">
        <v>1</v>
      </c>
      <c r="X3591" s="663">
        <v>1</v>
      </c>
      <c r="Y3591" s="663">
        <v>1</v>
      </c>
      <c r="Z3591" s="663">
        <v>1</v>
      </c>
      <c r="AA3591" s="663">
        <v>1</v>
      </c>
      <c r="AB3591" s="663">
        <v>1</v>
      </c>
      <c r="AC3591" s="2923">
        <v>1</v>
      </c>
      <c r="AD3591" s="663">
        <v>1</v>
      </c>
      <c r="AE3591" s="2939"/>
      <c r="AF3591" s="663"/>
      <c r="AG3591" s="663"/>
      <c r="AH3591" s="156"/>
      <c r="AI3591" s="156"/>
      <c r="AJ3591" s="156"/>
      <c r="AK3591" s="156"/>
      <c r="AL3591" s="156"/>
      <c r="AM3591" s="156"/>
      <c r="AN3591" s="156"/>
      <c r="AO3591" s="156"/>
      <c r="AP3591" s="156"/>
      <c r="AQ3591" s="156"/>
      <c r="AR3591" s="156"/>
      <c r="AS3591" s="156"/>
      <c r="AT3591" s="156"/>
      <c r="AU3591" s="156"/>
      <c r="AV3591" s="156"/>
      <c r="AW3591" s="156"/>
      <c r="AX3591" s="156"/>
      <c r="AY3591" s="156"/>
      <c r="AZ3591" s="156"/>
      <c r="BA3591" s="156"/>
      <c r="BB3591" s="2828"/>
      <c r="BC3591" s="452"/>
      <c r="BD3591" s="2829"/>
      <c r="BE3591" s="2837"/>
      <c r="BF3591" s="156"/>
    </row>
    <row r="3592" spans="1:58" ht="15" customHeight="1" outlineLevel="1" x14ac:dyDescent="0.35">
      <c r="A3592" s="1664"/>
      <c r="B3592" s="3641"/>
      <c r="C3592" s="3077"/>
      <c r="D3592" s="3980"/>
      <c r="E3592" s="3883"/>
      <c r="F3592" s="3984" t="str">
        <f>$E$1750</f>
        <v>ASHP-SEER19_ROF_SF</v>
      </c>
      <c r="G3592" s="3984"/>
      <c r="H3592" s="3984"/>
      <c r="I3592" s="3984"/>
      <c r="J3592" s="3501" t="str">
        <f>$C$1750</f>
        <v>354050_2021_12_</v>
      </c>
      <c r="K3592" s="663">
        <v>1</v>
      </c>
      <c r="L3592" s="704"/>
      <c r="M3592" s="3022"/>
      <c r="N3592" s="106"/>
      <c r="O3592" s="106"/>
      <c r="P3592" s="702"/>
      <c r="Q3592" s="574"/>
      <c r="R3592" s="702"/>
      <c r="S3592" s="106"/>
      <c r="T3592" s="486"/>
      <c r="U3592" s="106"/>
      <c r="V3592" s="3980"/>
      <c r="W3592" s="663">
        <v>1</v>
      </c>
      <c r="X3592" s="663">
        <v>1</v>
      </c>
      <c r="Y3592" s="663">
        <v>1</v>
      </c>
      <c r="Z3592" s="663">
        <v>1</v>
      </c>
      <c r="AA3592" s="663">
        <v>1</v>
      </c>
      <c r="AB3592" s="663">
        <v>1</v>
      </c>
      <c r="AC3592" s="2923">
        <v>1</v>
      </c>
      <c r="AD3592" s="663">
        <v>1</v>
      </c>
      <c r="AE3592" s="2939"/>
      <c r="AF3592" s="663"/>
      <c r="AG3592" s="663"/>
      <c r="AH3592" s="156"/>
      <c r="AI3592" s="156"/>
      <c r="AJ3592" s="156"/>
      <c r="AK3592" s="156"/>
      <c r="AL3592" s="156"/>
      <c r="AM3592" s="156"/>
      <c r="AN3592" s="156"/>
      <c r="AO3592" s="156"/>
      <c r="AP3592" s="156"/>
      <c r="AQ3592" s="156"/>
      <c r="AR3592" s="156"/>
      <c r="AS3592" s="156"/>
      <c r="AT3592" s="156"/>
      <c r="AU3592" s="156"/>
      <c r="AV3592" s="156"/>
      <c r="AW3592" s="156"/>
      <c r="AX3592" s="156"/>
      <c r="AY3592" s="156"/>
      <c r="AZ3592" s="156"/>
      <c r="BA3592" s="156"/>
      <c r="BB3592" s="2828"/>
      <c r="BC3592" s="452"/>
      <c r="BD3592" s="2829"/>
      <c r="BE3592" s="2837"/>
      <c r="BF3592" s="156"/>
    </row>
    <row r="3593" spans="1:58" ht="15" customHeight="1" outlineLevel="1" x14ac:dyDescent="0.35">
      <c r="A3593" s="1664"/>
      <c r="B3593" s="3641"/>
      <c r="C3593" s="3077"/>
      <c r="D3593" s="3980"/>
      <c r="E3593" s="3883"/>
      <c r="F3593" s="3984" t="str">
        <f>$E$1752</f>
        <v>ASHP-SEER17-Replace_CAC_ElectricHeat_ER1_SF</v>
      </c>
      <c r="G3593" s="3984"/>
      <c r="H3593" s="3984"/>
      <c r="I3593" s="3984"/>
      <c r="J3593" s="3501" t="str">
        <f>$C$1752</f>
        <v>354100_2021_12_</v>
      </c>
      <c r="K3593" s="663">
        <v>1</v>
      </c>
      <c r="L3593" s="704"/>
      <c r="M3593" s="3022"/>
      <c r="N3593" s="106"/>
      <c r="O3593" s="106"/>
      <c r="P3593" s="702"/>
      <c r="Q3593" s="574"/>
      <c r="R3593" s="702"/>
      <c r="S3593" s="106"/>
      <c r="T3593" s="486"/>
      <c r="U3593" s="106"/>
      <c r="V3593" s="3980"/>
      <c r="W3593" s="663">
        <v>1</v>
      </c>
      <c r="X3593" s="663">
        <v>1</v>
      </c>
      <c r="Y3593" s="663">
        <v>1</v>
      </c>
      <c r="Z3593" s="663">
        <v>1</v>
      </c>
      <c r="AA3593" s="663">
        <v>1</v>
      </c>
      <c r="AB3593" s="663">
        <v>1</v>
      </c>
      <c r="AC3593" s="2923">
        <v>1</v>
      </c>
      <c r="AD3593" s="663">
        <v>1</v>
      </c>
      <c r="AE3593" s="2939"/>
      <c r="AF3593" s="663"/>
      <c r="AG3593" s="663"/>
      <c r="AH3593" s="156"/>
      <c r="AI3593" s="156"/>
      <c r="AJ3593" s="156"/>
      <c r="AK3593" s="156"/>
      <c r="AL3593" s="156"/>
      <c r="AM3593" s="156"/>
      <c r="AN3593" s="156"/>
      <c r="AO3593" s="156"/>
      <c r="AP3593" s="156"/>
      <c r="AQ3593" s="156"/>
      <c r="AR3593" s="156"/>
      <c r="AS3593" s="156"/>
      <c r="AT3593" s="156"/>
      <c r="AU3593" s="156"/>
      <c r="AV3593" s="156"/>
      <c r="AW3593" s="156"/>
      <c r="AX3593" s="156"/>
      <c r="AY3593" s="156"/>
      <c r="AZ3593" s="156"/>
      <c r="BA3593" s="156"/>
      <c r="BB3593" s="2828"/>
      <c r="BC3593" s="452"/>
      <c r="BD3593" s="2829"/>
      <c r="BE3593" s="2837"/>
      <c r="BF3593" s="156"/>
    </row>
    <row r="3594" spans="1:58" ht="15" customHeight="1" outlineLevel="1" x14ac:dyDescent="0.35">
      <c r="A3594" s="1664"/>
      <c r="B3594" s="3641"/>
      <c r="C3594" s="3077"/>
      <c r="D3594" s="3980"/>
      <c r="E3594" s="3883"/>
      <c r="F3594" s="3984" t="str">
        <f>$E$1754</f>
        <v>ASHP-SEER17-Replace_CAC_ElectricHeat_ER2_SF</v>
      </c>
      <c r="G3594" s="3984"/>
      <c r="H3594" s="3984"/>
      <c r="I3594" s="3984"/>
      <c r="J3594" s="3501" t="str">
        <f>$C$1754</f>
        <v>354100_2021_12_</v>
      </c>
      <c r="K3594" s="663">
        <v>1</v>
      </c>
      <c r="L3594" s="704"/>
      <c r="M3594" s="3022"/>
      <c r="N3594" s="106"/>
      <c r="O3594" s="106"/>
      <c r="P3594" s="702"/>
      <c r="Q3594" s="574"/>
      <c r="R3594" s="702"/>
      <c r="S3594" s="106"/>
      <c r="T3594" s="486"/>
      <c r="U3594" s="106"/>
      <c r="V3594" s="3980"/>
      <c r="W3594" s="663">
        <v>1</v>
      </c>
      <c r="X3594" s="663">
        <v>1</v>
      </c>
      <c r="Y3594" s="663">
        <v>1</v>
      </c>
      <c r="Z3594" s="663">
        <v>1</v>
      </c>
      <c r="AA3594" s="663">
        <v>1</v>
      </c>
      <c r="AB3594" s="663">
        <v>1</v>
      </c>
      <c r="AC3594" s="2923">
        <v>1</v>
      </c>
      <c r="AD3594" s="663">
        <v>1</v>
      </c>
      <c r="AE3594" s="2939"/>
      <c r="AF3594" s="663"/>
      <c r="AG3594" s="663"/>
      <c r="AH3594" s="156"/>
      <c r="AI3594" s="156"/>
      <c r="AJ3594" s="156"/>
      <c r="AK3594" s="156"/>
      <c r="AL3594" s="156"/>
      <c r="AM3594" s="156"/>
      <c r="AN3594" s="156"/>
      <c r="AO3594" s="156"/>
      <c r="AP3594" s="156"/>
      <c r="AQ3594" s="156"/>
      <c r="AR3594" s="156"/>
      <c r="AS3594" s="156"/>
      <c r="AT3594" s="156"/>
      <c r="AU3594" s="156"/>
      <c r="AV3594" s="156"/>
      <c r="AW3594" s="156"/>
      <c r="AX3594" s="156"/>
      <c r="AY3594" s="156"/>
      <c r="AZ3594" s="156"/>
      <c r="BA3594" s="156"/>
      <c r="BB3594" s="2828"/>
      <c r="BC3594" s="452"/>
      <c r="BD3594" s="2829"/>
      <c r="BE3594" s="2837"/>
      <c r="BF3594" s="156"/>
    </row>
    <row r="3595" spans="1:58" ht="15" customHeight="1" outlineLevel="1" x14ac:dyDescent="0.35">
      <c r="A3595" s="1664"/>
      <c r="B3595" s="3641"/>
      <c r="C3595" s="3077"/>
      <c r="D3595" s="3980"/>
      <c r="E3595" s="3883"/>
      <c r="F3595" s="3984" t="str">
        <f>$E$1756</f>
        <v>ASHP-SEER17-Replace_CAC_NonElectricHeat_ER1_SF</v>
      </c>
      <c r="G3595" s="3984"/>
      <c r="H3595" s="3984"/>
      <c r="I3595" s="3984"/>
      <c r="J3595" s="3501" t="str">
        <f>$C$1756</f>
        <v>354110_2021_12_</v>
      </c>
      <c r="K3595" s="663">
        <v>1</v>
      </c>
      <c r="L3595" s="704"/>
      <c r="M3595" s="3022"/>
      <c r="N3595" s="106"/>
      <c r="O3595" s="106"/>
      <c r="P3595" s="702"/>
      <c r="Q3595" s="574"/>
      <c r="R3595" s="702"/>
      <c r="S3595" s="106"/>
      <c r="T3595" s="486"/>
      <c r="U3595" s="106"/>
      <c r="V3595" s="3980"/>
      <c r="W3595" s="663"/>
      <c r="X3595" s="663"/>
      <c r="Y3595" s="663"/>
      <c r="Z3595" s="663"/>
      <c r="AA3595" s="663"/>
      <c r="AB3595" s="663"/>
      <c r="AC3595" s="2924">
        <v>1</v>
      </c>
      <c r="AD3595" s="663">
        <v>1</v>
      </c>
      <c r="AE3595" s="2939"/>
      <c r="AF3595" s="663"/>
      <c r="AG3595" s="663"/>
      <c r="AH3595" s="156"/>
      <c r="AI3595" s="156"/>
      <c r="AJ3595" s="156"/>
      <c r="AK3595" s="156"/>
      <c r="AL3595" s="156"/>
      <c r="AM3595" s="156"/>
      <c r="AN3595" s="156"/>
      <c r="AO3595" s="156"/>
      <c r="AP3595" s="156"/>
      <c r="AQ3595" s="156"/>
      <c r="AR3595" s="156"/>
      <c r="AS3595" s="156"/>
      <c r="AT3595" s="156"/>
      <c r="AU3595" s="156"/>
      <c r="AV3595" s="156"/>
      <c r="AW3595" s="156"/>
      <c r="AX3595" s="156"/>
      <c r="AY3595" s="156"/>
      <c r="AZ3595" s="156"/>
      <c r="BA3595" s="156"/>
      <c r="BB3595" s="2828"/>
      <c r="BC3595" s="452"/>
      <c r="BD3595" s="2829"/>
      <c r="BE3595" s="2837"/>
      <c r="BF3595" s="156"/>
    </row>
    <row r="3596" spans="1:58" ht="15" customHeight="1" outlineLevel="1" x14ac:dyDescent="0.35">
      <c r="A3596" s="1664"/>
      <c r="B3596" s="3641"/>
      <c r="C3596" s="3077"/>
      <c r="D3596" s="3980"/>
      <c r="E3596" s="3883"/>
      <c r="F3596" s="3984" t="str">
        <f>$E$1758</f>
        <v>ASHP-SEER17-Replace_CAC_NonElectricHeat_ER2_SF</v>
      </c>
      <c r="G3596" s="3984"/>
      <c r="H3596" s="3984"/>
      <c r="I3596" s="3984"/>
      <c r="J3596" s="3501" t="str">
        <f>$C$1758</f>
        <v>354110_2021_12_</v>
      </c>
      <c r="K3596" s="663">
        <v>1</v>
      </c>
      <c r="L3596" s="704"/>
      <c r="M3596" s="3022"/>
      <c r="N3596" s="106"/>
      <c r="O3596" s="106"/>
      <c r="P3596" s="702"/>
      <c r="Q3596" s="574"/>
      <c r="R3596" s="702"/>
      <c r="S3596" s="106"/>
      <c r="T3596" s="486"/>
      <c r="U3596" s="106"/>
      <c r="V3596" s="3980"/>
      <c r="W3596" s="663"/>
      <c r="X3596" s="663"/>
      <c r="Y3596" s="663"/>
      <c r="Z3596" s="663"/>
      <c r="AA3596" s="663"/>
      <c r="AB3596" s="663"/>
      <c r="AC3596" s="2924">
        <v>1</v>
      </c>
      <c r="AD3596" s="663">
        <v>1</v>
      </c>
      <c r="AE3596" s="2939"/>
      <c r="AF3596" s="663"/>
      <c r="AG3596" s="663"/>
      <c r="AH3596" s="156"/>
      <c r="AI3596" s="156"/>
      <c r="AJ3596" s="156"/>
      <c r="AK3596" s="156"/>
      <c r="AL3596" s="156"/>
      <c r="AM3596" s="156"/>
      <c r="AN3596" s="156"/>
      <c r="AO3596" s="156"/>
      <c r="AP3596" s="156"/>
      <c r="AQ3596" s="156"/>
      <c r="AR3596" s="156"/>
      <c r="AS3596" s="156"/>
      <c r="AT3596" s="156"/>
      <c r="AU3596" s="156"/>
      <c r="AV3596" s="156"/>
      <c r="AW3596" s="156"/>
      <c r="AX3596" s="156"/>
      <c r="AY3596" s="156"/>
      <c r="AZ3596" s="156"/>
      <c r="BA3596" s="156"/>
      <c r="BB3596" s="2828"/>
      <c r="BC3596" s="452"/>
      <c r="BD3596" s="2829"/>
      <c r="BE3596" s="2837"/>
      <c r="BF3596" s="156"/>
    </row>
    <row r="3597" spans="1:58" ht="15" customHeight="1" outlineLevel="1" x14ac:dyDescent="0.35">
      <c r="A3597" s="1664"/>
      <c r="B3597" s="3641"/>
      <c r="C3597" s="3077"/>
      <c r="D3597" s="3980"/>
      <c r="E3597" s="3883"/>
      <c r="F3597" s="3984" t="str">
        <f>$E$1760</f>
        <v>ASHP-SEER17-Replace_CAC_ElectricHeat_ER1_MF</v>
      </c>
      <c r="G3597" s="3984"/>
      <c r="H3597" s="3984"/>
      <c r="I3597" s="3984"/>
      <c r="J3597" s="3501" t="str">
        <f>$C$1760</f>
        <v>354150_2019_12_</v>
      </c>
      <c r="K3597" s="663">
        <v>0.65</v>
      </c>
      <c r="L3597" s="704"/>
      <c r="M3597" s="3022"/>
      <c r="N3597" s="106"/>
      <c r="O3597" s="106"/>
      <c r="P3597" s="702"/>
      <c r="Q3597" s="574"/>
      <c r="R3597" s="702"/>
      <c r="S3597" s="106"/>
      <c r="T3597" s="486"/>
      <c r="U3597" s="106"/>
      <c r="V3597" s="3980"/>
      <c r="W3597" s="663">
        <v>0.65</v>
      </c>
      <c r="X3597" s="663">
        <v>0.65</v>
      </c>
      <c r="Y3597" s="663">
        <v>0.65</v>
      </c>
      <c r="Z3597" s="663">
        <v>0.65</v>
      </c>
      <c r="AA3597" s="663">
        <v>0.65</v>
      </c>
      <c r="AB3597" s="663">
        <v>0.65</v>
      </c>
      <c r="AC3597" s="2923">
        <v>0.65</v>
      </c>
      <c r="AD3597" s="663">
        <v>0.65</v>
      </c>
      <c r="AE3597" s="2939"/>
      <c r="AF3597" s="663"/>
      <c r="AG3597" s="663"/>
      <c r="AH3597" s="156"/>
      <c r="AI3597" s="156"/>
      <c r="AJ3597" s="156"/>
      <c r="AK3597" s="156"/>
      <c r="AL3597" s="156"/>
      <c r="AM3597" s="156"/>
      <c r="AN3597" s="156"/>
      <c r="AO3597" s="156"/>
      <c r="AP3597" s="156"/>
      <c r="AQ3597" s="156"/>
      <c r="AR3597" s="156"/>
      <c r="AS3597" s="156"/>
      <c r="AT3597" s="156"/>
      <c r="AU3597" s="156"/>
      <c r="AV3597" s="156"/>
      <c r="AW3597" s="156"/>
      <c r="AX3597" s="156"/>
      <c r="AY3597" s="156"/>
      <c r="AZ3597" s="156"/>
      <c r="BA3597" s="156"/>
      <c r="BB3597" s="2828"/>
      <c r="BC3597" s="452"/>
      <c r="BD3597" s="2829"/>
      <c r="BE3597" s="2837"/>
      <c r="BF3597" s="156"/>
    </row>
    <row r="3598" spans="1:58" ht="15" customHeight="1" outlineLevel="1" x14ac:dyDescent="0.35">
      <c r="A3598" s="1664"/>
      <c r="B3598" s="3641"/>
      <c r="C3598" s="3077"/>
      <c r="D3598" s="3980"/>
      <c r="E3598" s="3883"/>
      <c r="F3598" s="3984" t="str">
        <f>$E$1762</f>
        <v>ASHP-SEER17-Replace_CAC_ElectricHeat_ER2_MF</v>
      </c>
      <c r="G3598" s="3984"/>
      <c r="H3598" s="3984"/>
      <c r="I3598" s="3984"/>
      <c r="J3598" s="3501" t="str">
        <f>$C$1762</f>
        <v>354150_2019_12_</v>
      </c>
      <c r="K3598" s="663">
        <v>0.65</v>
      </c>
      <c r="L3598" s="704"/>
      <c r="M3598" s="3022"/>
      <c r="N3598" s="106"/>
      <c r="O3598" s="106"/>
      <c r="P3598" s="702"/>
      <c r="Q3598" s="574"/>
      <c r="R3598" s="702"/>
      <c r="S3598" s="106"/>
      <c r="T3598" s="486"/>
      <c r="U3598" s="106"/>
      <c r="V3598" s="3980"/>
      <c r="W3598" s="663">
        <v>0.65</v>
      </c>
      <c r="X3598" s="663">
        <v>0.65</v>
      </c>
      <c r="Y3598" s="663">
        <v>0.65</v>
      </c>
      <c r="Z3598" s="663">
        <v>0.65</v>
      </c>
      <c r="AA3598" s="663">
        <v>0.65</v>
      </c>
      <c r="AB3598" s="663">
        <v>0.65</v>
      </c>
      <c r="AC3598" s="2923">
        <v>0.65</v>
      </c>
      <c r="AD3598" s="663">
        <v>0.65</v>
      </c>
      <c r="AE3598" s="2939"/>
      <c r="AF3598" s="663"/>
      <c r="AG3598" s="663"/>
      <c r="AH3598" s="156"/>
      <c r="AI3598" s="156"/>
      <c r="AJ3598" s="156"/>
      <c r="AK3598" s="156"/>
      <c r="AL3598" s="156"/>
      <c r="AM3598" s="156"/>
      <c r="AN3598" s="156"/>
      <c r="AO3598" s="156"/>
      <c r="AP3598" s="156"/>
      <c r="AQ3598" s="156"/>
      <c r="AR3598" s="156"/>
      <c r="AS3598" s="156"/>
      <c r="AT3598" s="156"/>
      <c r="AU3598" s="156"/>
      <c r="AV3598" s="156"/>
      <c r="AW3598" s="156"/>
      <c r="AX3598" s="156"/>
      <c r="AY3598" s="156"/>
      <c r="AZ3598" s="156"/>
      <c r="BA3598" s="156"/>
      <c r="BB3598" s="2828"/>
      <c r="BC3598" s="452"/>
      <c r="BD3598" s="2829"/>
      <c r="BE3598" s="2837"/>
      <c r="BF3598" s="156"/>
    </row>
    <row r="3599" spans="1:58" ht="15" customHeight="1" outlineLevel="1" x14ac:dyDescent="0.35">
      <c r="A3599" s="1664"/>
      <c r="B3599" s="3641"/>
      <c r="C3599" s="3077"/>
      <c r="D3599" s="3980"/>
      <c r="E3599" s="3883"/>
      <c r="F3599" s="3984" t="str">
        <f>$E$1764</f>
        <v>ASHP-SEER17-Replace_CAC_ElectricHeat_ER1_MF_CompE</v>
      </c>
      <c r="G3599" s="3984"/>
      <c r="H3599" s="3984"/>
      <c r="I3599" s="3984"/>
      <c r="J3599" s="3501" t="str">
        <f>$C$1764</f>
        <v>354151_2019_12_</v>
      </c>
      <c r="K3599" s="663">
        <v>0.65</v>
      </c>
      <c r="L3599" s="704"/>
      <c r="M3599" s="3022"/>
      <c r="N3599" s="106"/>
      <c r="O3599" s="106"/>
      <c r="P3599" s="702"/>
      <c r="Q3599" s="574"/>
      <c r="R3599" s="702"/>
      <c r="S3599" s="106"/>
      <c r="T3599" s="486"/>
      <c r="U3599" s="106"/>
      <c r="V3599" s="3980"/>
      <c r="W3599" s="663"/>
      <c r="X3599" s="663"/>
      <c r="Y3599" s="661">
        <v>0.65</v>
      </c>
      <c r="Z3599" s="663">
        <v>0.65</v>
      </c>
      <c r="AA3599" s="663">
        <v>0.65</v>
      </c>
      <c r="AB3599" s="663">
        <v>0.65</v>
      </c>
      <c r="AC3599" s="2923">
        <f>AC3597</f>
        <v>0.65</v>
      </c>
      <c r="AD3599" s="663">
        <v>0.65</v>
      </c>
      <c r="AE3599" s="2939"/>
      <c r="AF3599" s="663"/>
      <c r="AG3599" s="663"/>
      <c r="AH3599" s="156"/>
      <c r="AI3599" s="156"/>
      <c r="AJ3599" s="156"/>
      <c r="AK3599" s="156"/>
      <c r="AL3599" s="156"/>
      <c r="AM3599" s="156"/>
      <c r="AN3599" s="156"/>
      <c r="AO3599" s="156"/>
      <c r="AP3599" s="156"/>
      <c r="AQ3599" s="156"/>
      <c r="AR3599" s="156"/>
      <c r="AS3599" s="156"/>
      <c r="AT3599" s="156"/>
      <c r="AU3599" s="156"/>
      <c r="AV3599" s="156"/>
      <c r="AW3599" s="156"/>
      <c r="AX3599" s="156"/>
      <c r="AY3599" s="156"/>
      <c r="AZ3599" s="156"/>
      <c r="BA3599" s="156"/>
      <c r="BB3599" s="2828"/>
      <c r="BC3599" s="452"/>
      <c r="BD3599" s="2829"/>
      <c r="BE3599" s="2837"/>
      <c r="BF3599" s="156"/>
    </row>
    <row r="3600" spans="1:58" ht="15" customHeight="1" outlineLevel="1" x14ac:dyDescent="0.35">
      <c r="A3600" s="1664"/>
      <c r="B3600" s="3641"/>
      <c r="C3600" s="3077"/>
      <c r="D3600" s="3980"/>
      <c r="E3600" s="3883"/>
      <c r="F3600" s="3984" t="str">
        <f>$E$1766</f>
        <v>ASHP-SEER17-Replace_CAC_ElectricHeat_ER2_MF_CompE</v>
      </c>
      <c r="G3600" s="3984"/>
      <c r="H3600" s="3984"/>
      <c r="I3600" s="3984"/>
      <c r="J3600" s="3501" t="str">
        <f>$C$1766</f>
        <v>354151_2019_12_</v>
      </c>
      <c r="K3600" s="663">
        <v>0.65</v>
      </c>
      <c r="L3600" s="704"/>
      <c r="M3600" s="3022"/>
      <c r="N3600" s="106"/>
      <c r="O3600" s="106"/>
      <c r="P3600" s="702"/>
      <c r="Q3600" s="574"/>
      <c r="R3600" s="702"/>
      <c r="S3600" s="106"/>
      <c r="T3600" s="486"/>
      <c r="U3600" s="106"/>
      <c r="V3600" s="3980"/>
      <c r="W3600" s="663"/>
      <c r="X3600" s="663"/>
      <c r="Y3600" s="661">
        <v>0.65</v>
      </c>
      <c r="Z3600" s="663">
        <v>0.65</v>
      </c>
      <c r="AA3600" s="663">
        <v>0.65</v>
      </c>
      <c r="AB3600" s="663">
        <v>0.65</v>
      </c>
      <c r="AC3600" s="2923">
        <f>AC3598</f>
        <v>0.65</v>
      </c>
      <c r="AD3600" s="663">
        <v>0.65</v>
      </c>
      <c r="AE3600" s="2939"/>
      <c r="AF3600" s="663"/>
      <c r="AG3600" s="663"/>
      <c r="AH3600" s="156"/>
      <c r="AI3600" s="156"/>
      <c r="AJ3600" s="156"/>
      <c r="AK3600" s="156"/>
      <c r="AL3600" s="156"/>
      <c r="AM3600" s="156"/>
      <c r="AN3600" s="156"/>
      <c r="AO3600" s="156"/>
      <c r="AP3600" s="156"/>
      <c r="AQ3600" s="156"/>
      <c r="AR3600" s="156"/>
      <c r="AS3600" s="156"/>
      <c r="AT3600" s="156"/>
      <c r="AU3600" s="156"/>
      <c r="AV3600" s="156"/>
      <c r="AW3600" s="156"/>
      <c r="AX3600" s="156"/>
      <c r="AY3600" s="156"/>
      <c r="AZ3600" s="156"/>
      <c r="BA3600" s="156"/>
      <c r="BB3600" s="2828"/>
      <c r="BC3600" s="452"/>
      <c r="BD3600" s="2829"/>
      <c r="BE3600" s="2837"/>
      <c r="BF3600" s="156"/>
    </row>
    <row r="3601" spans="1:58" ht="15" customHeight="1" outlineLevel="1" x14ac:dyDescent="0.35">
      <c r="A3601" s="1664"/>
      <c r="B3601" s="3641"/>
      <c r="C3601" s="3077"/>
      <c r="D3601" s="3980"/>
      <c r="E3601" s="3883"/>
      <c r="F3601" s="3984" t="str">
        <f>$E$1768</f>
        <v>ASHP-SEER17-Replace_CAC_NonElectricHeat_ER1_MF</v>
      </c>
      <c r="G3601" s="3984"/>
      <c r="H3601" s="3984"/>
      <c r="I3601" s="3984"/>
      <c r="J3601" s="3501" t="str">
        <f>$C$1768</f>
        <v>354160_2021_12_</v>
      </c>
      <c r="K3601" s="663">
        <v>0.65</v>
      </c>
      <c r="L3601" s="704"/>
      <c r="M3601" s="3022"/>
      <c r="N3601" s="106"/>
      <c r="O3601" s="106"/>
      <c r="P3601" s="702"/>
      <c r="Q3601" s="574"/>
      <c r="R3601" s="702"/>
      <c r="S3601" s="106"/>
      <c r="T3601" s="486"/>
      <c r="U3601" s="106"/>
      <c r="V3601" s="3980"/>
      <c r="W3601" s="663"/>
      <c r="X3601" s="663"/>
      <c r="Y3601" s="661"/>
      <c r="Z3601" s="663"/>
      <c r="AA3601" s="663"/>
      <c r="AB3601" s="663"/>
      <c r="AC3601" s="2924">
        <v>0.65</v>
      </c>
      <c r="AD3601" s="663">
        <v>0.65</v>
      </c>
      <c r="AE3601" s="2939"/>
      <c r="AF3601" s="663"/>
      <c r="AG3601" s="663"/>
      <c r="AH3601" s="156"/>
      <c r="AI3601" s="156"/>
      <c r="AJ3601" s="156"/>
      <c r="AK3601" s="156"/>
      <c r="AL3601" s="156"/>
      <c r="AM3601" s="156"/>
      <c r="AN3601" s="156"/>
      <c r="AO3601" s="156"/>
      <c r="AP3601" s="156"/>
      <c r="AQ3601" s="156"/>
      <c r="AR3601" s="156"/>
      <c r="AS3601" s="156"/>
      <c r="AT3601" s="156"/>
      <c r="AU3601" s="156"/>
      <c r="AV3601" s="156"/>
      <c r="AW3601" s="156"/>
      <c r="AX3601" s="156"/>
      <c r="AY3601" s="156"/>
      <c r="AZ3601" s="156"/>
      <c r="BA3601" s="156"/>
      <c r="BB3601" s="2828"/>
      <c r="BC3601" s="452"/>
      <c r="BD3601" s="2829"/>
      <c r="BE3601" s="2837"/>
      <c r="BF3601" s="156"/>
    </row>
    <row r="3602" spans="1:58" ht="15" customHeight="1" outlineLevel="1" x14ac:dyDescent="0.35">
      <c r="A3602" s="1664"/>
      <c r="B3602" s="3641"/>
      <c r="C3602" s="3077"/>
      <c r="D3602" s="3980"/>
      <c r="E3602" s="3883"/>
      <c r="F3602" s="3984" t="str">
        <f>$E$1770</f>
        <v>ASHP-SEER17-Replace_CAC_NonElectricHeat_ER2_MF</v>
      </c>
      <c r="G3602" s="3984"/>
      <c r="H3602" s="3984"/>
      <c r="I3602" s="3984"/>
      <c r="J3602" s="3501" t="str">
        <f>$C$1770</f>
        <v>354160_2021_12_</v>
      </c>
      <c r="K3602" s="663">
        <v>0.65</v>
      </c>
      <c r="L3602" s="704"/>
      <c r="M3602" s="3022"/>
      <c r="N3602" s="106"/>
      <c r="O3602" s="106"/>
      <c r="P3602" s="702"/>
      <c r="Q3602" s="574"/>
      <c r="R3602" s="702"/>
      <c r="S3602" s="106"/>
      <c r="T3602" s="486"/>
      <c r="U3602" s="106"/>
      <c r="V3602" s="3980"/>
      <c r="W3602" s="663"/>
      <c r="X3602" s="663"/>
      <c r="Y3602" s="661"/>
      <c r="Z3602" s="663"/>
      <c r="AA3602" s="663"/>
      <c r="AB3602" s="663"/>
      <c r="AC3602" s="2924">
        <v>0.65</v>
      </c>
      <c r="AD3602" s="663">
        <v>0.65</v>
      </c>
      <c r="AE3602" s="2939"/>
      <c r="AF3602" s="663"/>
      <c r="AG3602" s="663"/>
      <c r="AH3602" s="156"/>
      <c r="AI3602" s="156"/>
      <c r="AJ3602" s="156"/>
      <c r="AK3602" s="156"/>
      <c r="AL3602" s="156"/>
      <c r="AM3602" s="156"/>
      <c r="AN3602" s="156"/>
      <c r="AO3602" s="156"/>
      <c r="AP3602" s="156"/>
      <c r="AQ3602" s="156"/>
      <c r="AR3602" s="156"/>
      <c r="AS3602" s="156"/>
      <c r="AT3602" s="156"/>
      <c r="AU3602" s="156"/>
      <c r="AV3602" s="156"/>
      <c r="AW3602" s="156"/>
      <c r="AX3602" s="156"/>
      <c r="AY3602" s="156"/>
      <c r="AZ3602" s="156"/>
      <c r="BA3602" s="156"/>
      <c r="BB3602" s="2828"/>
      <c r="BC3602" s="452"/>
      <c r="BD3602" s="2829"/>
      <c r="BE3602" s="2837"/>
      <c r="BF3602" s="156"/>
    </row>
    <row r="3603" spans="1:58" ht="15" customHeight="1" outlineLevel="1" x14ac:dyDescent="0.35">
      <c r="A3603" s="1664"/>
      <c r="B3603" s="3641"/>
      <c r="C3603" s="3077"/>
      <c r="D3603" s="3980"/>
      <c r="E3603" s="3883"/>
      <c r="F3603" s="3984" t="str">
        <f>$E$1772</f>
        <v>ASHP-SEER17-Replace_CAC_NonElectricHeat_ER1_MF_CompE</v>
      </c>
      <c r="G3603" s="3984"/>
      <c r="H3603" s="3984"/>
      <c r="I3603" s="3984"/>
      <c r="J3603" s="3501" t="str">
        <f>$C$1772</f>
        <v>354161_2021_12_</v>
      </c>
      <c r="K3603" s="663">
        <v>0.65</v>
      </c>
      <c r="L3603" s="704"/>
      <c r="M3603" s="3022"/>
      <c r="N3603" s="106"/>
      <c r="O3603" s="106"/>
      <c r="P3603" s="702"/>
      <c r="Q3603" s="574"/>
      <c r="R3603" s="702"/>
      <c r="S3603" s="106"/>
      <c r="T3603" s="486"/>
      <c r="U3603" s="106"/>
      <c r="V3603" s="3980"/>
      <c r="W3603" s="663"/>
      <c r="X3603" s="663"/>
      <c r="Y3603" s="661"/>
      <c r="Z3603" s="663"/>
      <c r="AA3603" s="663"/>
      <c r="AB3603" s="663"/>
      <c r="AC3603" s="2924">
        <f>AC3601</f>
        <v>0.65</v>
      </c>
      <c r="AD3603" s="663">
        <v>0.65</v>
      </c>
      <c r="AE3603" s="2939"/>
      <c r="AF3603" s="663"/>
      <c r="AG3603" s="663"/>
      <c r="AH3603" s="156"/>
      <c r="AI3603" s="156"/>
      <c r="AJ3603" s="156"/>
      <c r="AK3603" s="156"/>
      <c r="AL3603" s="156"/>
      <c r="AM3603" s="156"/>
      <c r="AN3603" s="156"/>
      <c r="AO3603" s="156"/>
      <c r="AP3603" s="156"/>
      <c r="AQ3603" s="156"/>
      <c r="AR3603" s="156"/>
      <c r="AS3603" s="156"/>
      <c r="AT3603" s="156"/>
      <c r="AU3603" s="156"/>
      <c r="AV3603" s="156"/>
      <c r="AW3603" s="156"/>
      <c r="AX3603" s="156"/>
      <c r="AY3603" s="156"/>
      <c r="AZ3603" s="156"/>
      <c r="BA3603" s="156"/>
      <c r="BB3603" s="2828"/>
      <c r="BC3603" s="452"/>
      <c r="BD3603" s="2829"/>
      <c r="BE3603" s="2837"/>
      <c r="BF3603" s="156"/>
    </row>
    <row r="3604" spans="1:58" ht="15" customHeight="1" outlineLevel="1" x14ac:dyDescent="0.35">
      <c r="A3604" s="1664"/>
      <c r="B3604" s="3641"/>
      <c r="C3604" s="3077"/>
      <c r="D3604" s="3980"/>
      <c r="E3604" s="3883"/>
      <c r="F3604" s="3984" t="str">
        <f>$E$1774</f>
        <v>ASHP-SEER17-Replace_CAC_NonElectricHeat_ER2_MF_CompE</v>
      </c>
      <c r="G3604" s="3984"/>
      <c r="H3604" s="3984"/>
      <c r="I3604" s="3984"/>
      <c r="J3604" s="3501" t="str">
        <f>$C$1774</f>
        <v>354161_2021_12_</v>
      </c>
      <c r="K3604" s="663">
        <v>0.65</v>
      </c>
      <c r="L3604" s="704"/>
      <c r="M3604" s="3022"/>
      <c r="N3604" s="106"/>
      <c r="O3604" s="106"/>
      <c r="P3604" s="702"/>
      <c r="Q3604" s="574"/>
      <c r="R3604" s="702"/>
      <c r="S3604" s="106"/>
      <c r="T3604" s="486"/>
      <c r="U3604" s="106"/>
      <c r="V3604" s="3980"/>
      <c r="W3604" s="663"/>
      <c r="X3604" s="663"/>
      <c r="Y3604" s="661"/>
      <c r="Z3604" s="663"/>
      <c r="AA3604" s="663"/>
      <c r="AB3604" s="663"/>
      <c r="AC3604" s="2924">
        <f>AC3602</f>
        <v>0.65</v>
      </c>
      <c r="AD3604" s="663">
        <v>0.65</v>
      </c>
      <c r="AE3604" s="2939"/>
      <c r="AF3604" s="663"/>
      <c r="AG3604" s="663"/>
      <c r="AH3604" s="156"/>
      <c r="AI3604" s="156"/>
      <c r="AJ3604" s="156"/>
      <c r="AK3604" s="156"/>
      <c r="AL3604" s="156"/>
      <c r="AM3604" s="156"/>
      <c r="AN3604" s="156"/>
      <c r="AO3604" s="156"/>
      <c r="AP3604" s="156"/>
      <c r="AQ3604" s="156"/>
      <c r="AR3604" s="156"/>
      <c r="AS3604" s="156"/>
      <c r="AT3604" s="156"/>
      <c r="AU3604" s="156"/>
      <c r="AV3604" s="156"/>
      <c r="AW3604" s="156"/>
      <c r="AX3604" s="156"/>
      <c r="AY3604" s="156"/>
      <c r="AZ3604" s="156"/>
      <c r="BA3604" s="156"/>
      <c r="BB3604" s="2828"/>
      <c r="BC3604" s="452"/>
      <c r="BD3604" s="2829"/>
      <c r="BE3604" s="2837"/>
      <c r="BF3604" s="156"/>
    </row>
    <row r="3605" spans="1:58" ht="15" customHeight="1" outlineLevel="1" x14ac:dyDescent="0.35">
      <c r="A3605" s="1664"/>
      <c r="B3605" s="3641"/>
      <c r="C3605" s="3077"/>
      <c r="D3605" s="3980"/>
      <c r="E3605" s="3883"/>
      <c r="F3605" s="3984" t="str">
        <f>$E$1776</f>
        <v>ASHP-SEER17_ER1_MF</v>
      </c>
      <c r="G3605" s="3984"/>
      <c r="H3605" s="3984"/>
      <c r="I3605" s="3984"/>
      <c r="J3605" s="3501" t="str">
        <f>$C$1776</f>
        <v>354200_2019_12_</v>
      </c>
      <c r="K3605" s="663">
        <v>0.65</v>
      </c>
      <c r="L3605" s="704"/>
      <c r="M3605" s="3022"/>
      <c r="N3605" s="106"/>
      <c r="O3605" s="106"/>
      <c r="P3605" s="702"/>
      <c r="Q3605" s="574"/>
      <c r="R3605" s="702"/>
      <c r="S3605" s="106"/>
      <c r="T3605" s="486"/>
      <c r="U3605" s="106"/>
      <c r="V3605" s="3980"/>
      <c r="W3605" s="663">
        <v>0.65</v>
      </c>
      <c r="X3605" s="663">
        <v>0.65</v>
      </c>
      <c r="Y3605" s="663">
        <v>0.65</v>
      </c>
      <c r="Z3605" s="663">
        <v>0.65</v>
      </c>
      <c r="AA3605" s="663">
        <v>0.65</v>
      </c>
      <c r="AB3605" s="663">
        <v>0.65</v>
      </c>
      <c r="AC3605" s="2923">
        <v>0.65</v>
      </c>
      <c r="AD3605" s="663">
        <v>0.65</v>
      </c>
      <c r="AE3605" s="2939"/>
      <c r="AF3605" s="663"/>
      <c r="AG3605" s="663"/>
      <c r="AH3605" s="156"/>
      <c r="AI3605" s="156"/>
      <c r="AJ3605" s="156"/>
      <c r="AK3605" s="156"/>
      <c r="AL3605" s="156"/>
      <c r="AM3605" s="156"/>
      <c r="AN3605" s="156"/>
      <c r="AO3605" s="156"/>
      <c r="AP3605" s="156"/>
      <c r="AQ3605" s="156"/>
      <c r="AR3605" s="156"/>
      <c r="AS3605" s="156"/>
      <c r="AT3605" s="156"/>
      <c r="AU3605" s="156"/>
      <c r="AV3605" s="156"/>
      <c r="AW3605" s="156"/>
      <c r="AX3605" s="156"/>
      <c r="AY3605" s="156"/>
      <c r="AZ3605" s="156"/>
      <c r="BA3605" s="156"/>
      <c r="BB3605" s="2828"/>
      <c r="BC3605" s="452"/>
      <c r="BD3605" s="2829"/>
      <c r="BE3605" s="2837"/>
      <c r="BF3605" s="156"/>
    </row>
    <row r="3606" spans="1:58" ht="15" customHeight="1" outlineLevel="1" x14ac:dyDescent="0.35">
      <c r="A3606" s="1664"/>
      <c r="B3606" s="3641"/>
      <c r="C3606" s="3077"/>
      <c r="D3606" s="3980"/>
      <c r="E3606" s="3883"/>
      <c r="F3606" s="3984" t="str">
        <f>$E$1778</f>
        <v>ASHP-SEER17_ER2_MF</v>
      </c>
      <c r="G3606" s="3984"/>
      <c r="H3606" s="3984"/>
      <c r="I3606" s="3984"/>
      <c r="J3606" s="3501" t="str">
        <f>$C$1778</f>
        <v>354200_2019_12_</v>
      </c>
      <c r="K3606" s="662">
        <v>0.65</v>
      </c>
      <c r="L3606" s="704"/>
      <c r="M3606" s="3022"/>
      <c r="N3606" s="106"/>
      <c r="O3606" s="106"/>
      <c r="P3606" s="702"/>
      <c r="Q3606" s="574"/>
      <c r="R3606" s="702"/>
      <c r="S3606" s="106"/>
      <c r="T3606" s="486"/>
      <c r="U3606" s="106"/>
      <c r="V3606" s="3980"/>
      <c r="W3606" s="662">
        <v>0.65</v>
      </c>
      <c r="X3606" s="662">
        <v>0.65</v>
      </c>
      <c r="Y3606" s="662">
        <v>0.65</v>
      </c>
      <c r="Z3606" s="662">
        <v>0.65</v>
      </c>
      <c r="AA3606" s="662">
        <v>0.65</v>
      </c>
      <c r="AB3606" s="662">
        <v>0.65</v>
      </c>
      <c r="AC3606" s="2927">
        <v>0.65</v>
      </c>
      <c r="AD3606" s="663">
        <v>0.65</v>
      </c>
      <c r="AE3606" s="2940"/>
      <c r="AF3606" s="662"/>
      <c r="AG3606" s="662"/>
      <c r="AH3606" s="156"/>
      <c r="AI3606" s="156"/>
      <c r="AJ3606" s="156"/>
      <c r="AK3606" s="156"/>
      <c r="AL3606" s="156"/>
      <c r="AM3606" s="156"/>
      <c r="AN3606" s="156"/>
      <c r="AO3606" s="156"/>
      <c r="AP3606" s="156"/>
      <c r="AQ3606" s="156"/>
      <c r="AR3606" s="156"/>
      <c r="AS3606" s="156"/>
      <c r="AT3606" s="156"/>
      <c r="AU3606" s="156"/>
      <c r="AV3606" s="156"/>
      <c r="AW3606" s="156"/>
      <c r="AX3606" s="156"/>
      <c r="AY3606" s="156"/>
      <c r="AZ3606" s="156"/>
      <c r="BA3606" s="156"/>
      <c r="BB3606" s="2828"/>
      <c r="BC3606" s="452"/>
      <c r="BD3606" s="2829"/>
      <c r="BE3606" s="2837"/>
      <c r="BF3606" s="156"/>
    </row>
    <row r="3607" spans="1:58" ht="15" customHeight="1" outlineLevel="1" x14ac:dyDescent="0.35">
      <c r="A3607" s="1664"/>
      <c r="B3607" s="3641"/>
      <c r="C3607" s="3077"/>
      <c r="D3607" s="3980"/>
      <c r="E3607" s="3883"/>
      <c r="F3607" s="3984" t="str">
        <f>$E$1780</f>
        <v>ASHP-SEER17_ER1_MF_CompE</v>
      </c>
      <c r="G3607" s="3984"/>
      <c r="H3607" s="3984"/>
      <c r="I3607" s="3984"/>
      <c r="J3607" s="3501" t="str">
        <f>$C$1780</f>
        <v>354201_2019_12_</v>
      </c>
      <c r="K3607" s="663">
        <v>0.65</v>
      </c>
      <c r="L3607" s="704"/>
      <c r="M3607" s="3022"/>
      <c r="N3607" s="106"/>
      <c r="O3607" s="106"/>
      <c r="P3607" s="702"/>
      <c r="Q3607" s="574"/>
      <c r="R3607" s="702"/>
      <c r="S3607" s="106"/>
      <c r="T3607" s="486"/>
      <c r="U3607" s="106"/>
      <c r="V3607" s="3980"/>
      <c r="W3607" s="662"/>
      <c r="X3607" s="662"/>
      <c r="Y3607" s="661">
        <v>0.65</v>
      </c>
      <c r="Z3607" s="663">
        <v>0.65</v>
      </c>
      <c r="AA3607" s="663">
        <v>0.65</v>
      </c>
      <c r="AB3607" s="663">
        <v>0.65</v>
      </c>
      <c r="AC3607" s="2923">
        <f>AC3605</f>
        <v>0.65</v>
      </c>
      <c r="AD3607" s="663">
        <v>0.65</v>
      </c>
      <c r="AE3607" s="2940"/>
      <c r="AF3607" s="662"/>
      <c r="AG3607" s="662"/>
      <c r="AH3607" s="156"/>
      <c r="AI3607" s="156"/>
      <c r="AJ3607" s="156"/>
      <c r="AK3607" s="156"/>
      <c r="AL3607" s="156"/>
      <c r="AM3607" s="156"/>
      <c r="AN3607" s="156"/>
      <c r="AO3607" s="156"/>
      <c r="AP3607" s="156"/>
      <c r="AQ3607" s="156"/>
      <c r="AR3607" s="156"/>
      <c r="AS3607" s="156"/>
      <c r="AT3607" s="156"/>
      <c r="AU3607" s="156"/>
      <c r="AV3607" s="156"/>
      <c r="AW3607" s="156"/>
      <c r="AX3607" s="156"/>
      <c r="AY3607" s="156"/>
      <c r="AZ3607" s="156"/>
      <c r="BA3607" s="156"/>
      <c r="BB3607" s="2828"/>
      <c r="BC3607" s="452"/>
      <c r="BD3607" s="2829"/>
      <c r="BE3607" s="2837"/>
      <c r="BF3607" s="156"/>
    </row>
    <row r="3608" spans="1:58" ht="15" customHeight="1" outlineLevel="1" x14ac:dyDescent="0.35">
      <c r="A3608" s="1664"/>
      <c r="B3608" s="3641"/>
      <c r="C3608" s="3077"/>
      <c r="D3608" s="3980"/>
      <c r="E3608" s="3883"/>
      <c r="F3608" s="3984" t="str">
        <f>$E$1782</f>
        <v>ASHP-SEER17_ER2_MF_CompE</v>
      </c>
      <c r="G3608" s="3984"/>
      <c r="H3608" s="3984"/>
      <c r="I3608" s="3984"/>
      <c r="J3608" s="3501" t="str">
        <f>$C$1782</f>
        <v>354201_2019_12_</v>
      </c>
      <c r="K3608" s="663">
        <v>0.65</v>
      </c>
      <c r="L3608" s="704"/>
      <c r="M3608" s="3022"/>
      <c r="N3608" s="106"/>
      <c r="O3608" s="106"/>
      <c r="P3608" s="702"/>
      <c r="Q3608" s="574"/>
      <c r="R3608" s="702"/>
      <c r="S3608" s="106"/>
      <c r="T3608" s="486"/>
      <c r="U3608" s="106"/>
      <c r="V3608" s="3980"/>
      <c r="W3608" s="662"/>
      <c r="X3608" s="662"/>
      <c r="Y3608" s="661">
        <v>0.65</v>
      </c>
      <c r="Z3608" s="663">
        <v>0.65</v>
      </c>
      <c r="AA3608" s="663">
        <v>0.65</v>
      </c>
      <c r="AB3608" s="663">
        <v>0.65</v>
      </c>
      <c r="AC3608" s="2923">
        <f>AC3606</f>
        <v>0.65</v>
      </c>
      <c r="AD3608" s="663">
        <v>0.65</v>
      </c>
      <c r="AE3608" s="2940"/>
      <c r="AF3608" s="662"/>
      <c r="AG3608" s="662"/>
      <c r="AH3608" s="156"/>
      <c r="AI3608" s="156"/>
      <c r="AJ3608" s="156"/>
      <c r="AK3608" s="156"/>
      <c r="AL3608" s="156"/>
      <c r="AM3608" s="156"/>
      <c r="AN3608" s="156"/>
      <c r="AO3608" s="156"/>
      <c r="AP3608" s="156"/>
      <c r="AQ3608" s="156"/>
      <c r="AR3608" s="156"/>
      <c r="AS3608" s="156"/>
      <c r="AT3608" s="156"/>
      <c r="AU3608" s="156"/>
      <c r="AV3608" s="156"/>
      <c r="AW3608" s="156"/>
      <c r="AX3608" s="156"/>
      <c r="AY3608" s="156"/>
      <c r="AZ3608" s="156"/>
      <c r="BA3608" s="156"/>
      <c r="BB3608" s="2828"/>
      <c r="BC3608" s="452"/>
      <c r="BD3608" s="2829"/>
      <c r="BE3608" s="2837"/>
      <c r="BF3608" s="156"/>
    </row>
    <row r="3609" spans="1:58" ht="15" customHeight="1" outlineLevel="1" x14ac:dyDescent="0.35">
      <c r="A3609" s="1664"/>
      <c r="B3609" s="3641"/>
      <c r="C3609" s="3077"/>
      <c r="D3609" s="3980"/>
      <c r="E3609" s="3883"/>
      <c r="F3609" s="3984" t="str">
        <f>$E$1784</f>
        <v>ASHP-SEER18-Replace_CAC_ElectricHeat_ER1_SF</v>
      </c>
      <c r="G3609" s="3984"/>
      <c r="H3609" s="3984"/>
      <c r="I3609" s="3984"/>
      <c r="J3609" s="3501" t="str">
        <f>$C$1784</f>
        <v>354250_2021_12_</v>
      </c>
      <c r="K3609" s="663">
        <v>1</v>
      </c>
      <c r="L3609" s="713"/>
      <c r="M3609" s="3022"/>
      <c r="N3609" s="106"/>
      <c r="O3609" s="106"/>
      <c r="P3609" s="702"/>
      <c r="Q3609" s="574"/>
      <c r="R3609" s="702"/>
      <c r="S3609" s="106"/>
      <c r="T3609" s="486"/>
      <c r="U3609" s="106"/>
      <c r="V3609" s="3980"/>
      <c r="W3609" s="663">
        <v>1</v>
      </c>
      <c r="X3609" s="663">
        <v>1</v>
      </c>
      <c r="Y3609" s="663">
        <v>1</v>
      </c>
      <c r="Z3609" s="663">
        <v>1</v>
      </c>
      <c r="AA3609" s="663">
        <v>1</v>
      </c>
      <c r="AB3609" s="663">
        <v>1</v>
      </c>
      <c r="AC3609" s="2923">
        <v>1</v>
      </c>
      <c r="AD3609" s="663">
        <v>1</v>
      </c>
      <c r="AE3609" s="2939"/>
      <c r="AF3609" s="663"/>
      <c r="AG3609" s="663"/>
      <c r="AH3609" s="156"/>
      <c r="AI3609" s="156"/>
      <c r="AJ3609" s="156"/>
      <c r="AK3609" s="156"/>
      <c r="AL3609" s="156"/>
      <c r="AM3609" s="156"/>
      <c r="AN3609" s="156"/>
      <c r="AO3609" s="156"/>
      <c r="AP3609" s="156"/>
      <c r="AQ3609" s="156"/>
      <c r="AR3609" s="156"/>
      <c r="AS3609" s="156"/>
      <c r="AT3609" s="156"/>
      <c r="AU3609" s="156"/>
      <c r="AV3609" s="156"/>
      <c r="AW3609" s="156"/>
      <c r="AX3609" s="156"/>
      <c r="AY3609" s="156"/>
      <c r="AZ3609" s="156"/>
      <c r="BA3609" s="156"/>
      <c r="BB3609" s="2828"/>
      <c r="BC3609" s="452"/>
      <c r="BD3609" s="2829"/>
      <c r="BE3609" s="2837"/>
      <c r="BF3609" s="156"/>
    </row>
    <row r="3610" spans="1:58" ht="15" customHeight="1" outlineLevel="1" x14ac:dyDescent="0.35">
      <c r="A3610" s="1664"/>
      <c r="B3610" s="3641"/>
      <c r="C3610" s="3077"/>
      <c r="D3610" s="3980"/>
      <c r="E3610" s="3883"/>
      <c r="F3610" s="3984" t="str">
        <f>$E$1786</f>
        <v>ASHP-SEER18-Replace_CAC_ElectricHeat_ER2_SF</v>
      </c>
      <c r="G3610" s="3984"/>
      <c r="H3610" s="3984"/>
      <c r="I3610" s="3984"/>
      <c r="J3610" s="3501" t="str">
        <f>$C$1786</f>
        <v>354250_2021_12_</v>
      </c>
      <c r="K3610" s="663">
        <v>1</v>
      </c>
      <c r="L3610" s="713"/>
      <c r="M3610" s="3022"/>
      <c r="N3610" s="106"/>
      <c r="O3610" s="106"/>
      <c r="P3610" s="702"/>
      <c r="Q3610" s="574"/>
      <c r="R3610" s="702"/>
      <c r="S3610" s="106"/>
      <c r="T3610" s="486"/>
      <c r="U3610" s="106"/>
      <c r="V3610" s="3980"/>
      <c r="W3610" s="663">
        <v>1</v>
      </c>
      <c r="X3610" s="663">
        <v>1</v>
      </c>
      <c r="Y3610" s="663">
        <v>1</v>
      </c>
      <c r="Z3610" s="663">
        <v>1</v>
      </c>
      <c r="AA3610" s="663">
        <v>1</v>
      </c>
      <c r="AB3610" s="663">
        <v>1</v>
      </c>
      <c r="AC3610" s="2923">
        <v>1</v>
      </c>
      <c r="AD3610" s="663">
        <v>1</v>
      </c>
      <c r="AE3610" s="2939"/>
      <c r="AF3610" s="663"/>
      <c r="AG3610" s="663"/>
      <c r="AH3610" s="156"/>
      <c r="AI3610" s="156"/>
      <c r="AJ3610" s="156"/>
      <c r="AK3610" s="156"/>
      <c r="AL3610" s="156"/>
      <c r="AM3610" s="156"/>
      <c r="AN3610" s="156"/>
      <c r="AO3610" s="156"/>
      <c r="AP3610" s="156"/>
      <c r="AQ3610" s="156"/>
      <c r="AR3610" s="156"/>
      <c r="AS3610" s="156"/>
      <c r="AT3610" s="156"/>
      <c r="AU3610" s="156"/>
      <c r="AV3610" s="156"/>
      <c r="AW3610" s="156"/>
      <c r="AX3610" s="156"/>
      <c r="AY3610" s="156"/>
      <c r="AZ3610" s="156"/>
      <c r="BA3610" s="156"/>
      <c r="BB3610" s="2828"/>
      <c r="BC3610" s="452"/>
      <c r="BD3610" s="2829"/>
      <c r="BE3610" s="2837"/>
      <c r="BF3610" s="156"/>
    </row>
    <row r="3611" spans="1:58" ht="15" customHeight="1" outlineLevel="1" x14ac:dyDescent="0.35">
      <c r="A3611" s="1664"/>
      <c r="B3611" s="3641"/>
      <c r="C3611" s="3077"/>
      <c r="D3611" s="3980"/>
      <c r="E3611" s="3883"/>
      <c r="F3611" s="3984" t="str">
        <f>$E$1788</f>
        <v>ASHP-SEER18-Replace_CAC_NonElectricHeat_ER1_SF</v>
      </c>
      <c r="G3611" s="3984"/>
      <c r="H3611" s="3984"/>
      <c r="I3611" s="3984"/>
      <c r="J3611" s="3501" t="str">
        <f>$C$1788</f>
        <v>354260_2021_12_</v>
      </c>
      <c r="K3611" s="663">
        <v>1</v>
      </c>
      <c r="L3611" s="713"/>
      <c r="M3611" s="3022"/>
      <c r="N3611" s="106"/>
      <c r="O3611" s="106"/>
      <c r="P3611" s="702"/>
      <c r="Q3611" s="574"/>
      <c r="R3611" s="702"/>
      <c r="S3611" s="106"/>
      <c r="T3611" s="486"/>
      <c r="U3611" s="106"/>
      <c r="V3611" s="3980"/>
      <c r="W3611" s="663"/>
      <c r="X3611" s="663"/>
      <c r="Y3611" s="663"/>
      <c r="Z3611" s="663"/>
      <c r="AA3611" s="663"/>
      <c r="AB3611" s="663"/>
      <c r="AC3611" s="2924">
        <v>1</v>
      </c>
      <c r="AD3611" s="663">
        <v>1</v>
      </c>
      <c r="AE3611" s="2939"/>
      <c r="AF3611" s="663"/>
      <c r="AG3611" s="663"/>
      <c r="AH3611" s="156"/>
      <c r="AI3611" s="156"/>
      <c r="AJ3611" s="156"/>
      <c r="AK3611" s="156"/>
      <c r="AL3611" s="156"/>
      <c r="AM3611" s="156"/>
      <c r="AN3611" s="156"/>
      <c r="AO3611" s="156"/>
      <c r="AP3611" s="156"/>
      <c r="AQ3611" s="156"/>
      <c r="AR3611" s="156"/>
      <c r="AS3611" s="156"/>
      <c r="AT3611" s="156"/>
      <c r="AU3611" s="156"/>
      <c r="AV3611" s="156"/>
      <c r="AW3611" s="156"/>
      <c r="AX3611" s="156"/>
      <c r="AY3611" s="156"/>
      <c r="AZ3611" s="156"/>
      <c r="BA3611" s="156"/>
      <c r="BB3611" s="2828"/>
      <c r="BC3611" s="452"/>
      <c r="BD3611" s="2829"/>
      <c r="BE3611" s="2837"/>
      <c r="BF3611" s="156"/>
    </row>
    <row r="3612" spans="1:58" ht="15" customHeight="1" outlineLevel="1" x14ac:dyDescent="0.35">
      <c r="A3612" s="1664"/>
      <c r="B3612" s="3641"/>
      <c r="C3612" s="3077"/>
      <c r="D3612" s="3980"/>
      <c r="E3612" s="3883"/>
      <c r="F3612" s="3984" t="str">
        <f>$E$1790</f>
        <v>ASHP-SEER18-Replace_CAC_NonElectricHeat_ER2_SF</v>
      </c>
      <c r="G3612" s="3984"/>
      <c r="H3612" s="3984"/>
      <c r="I3612" s="3984"/>
      <c r="J3612" s="3501" t="str">
        <f>$C$1790</f>
        <v>354260_2021_12_</v>
      </c>
      <c r="K3612" s="663">
        <v>1</v>
      </c>
      <c r="L3612" s="713"/>
      <c r="M3612" s="3022"/>
      <c r="N3612" s="106"/>
      <c r="O3612" s="106"/>
      <c r="P3612" s="702"/>
      <c r="Q3612" s="574"/>
      <c r="R3612" s="702"/>
      <c r="S3612" s="106"/>
      <c r="T3612" s="486"/>
      <c r="U3612" s="106"/>
      <c r="V3612" s="3980"/>
      <c r="W3612" s="663"/>
      <c r="X3612" s="663"/>
      <c r="Y3612" s="663"/>
      <c r="Z3612" s="663"/>
      <c r="AA3612" s="663"/>
      <c r="AB3612" s="663"/>
      <c r="AC3612" s="2924">
        <v>1</v>
      </c>
      <c r="AD3612" s="663">
        <v>1</v>
      </c>
      <c r="AE3612" s="2939"/>
      <c r="AF3612" s="663"/>
      <c r="AG3612" s="663"/>
      <c r="AH3612" s="156"/>
      <c r="AI3612" s="156"/>
      <c r="AJ3612" s="156"/>
      <c r="AK3612" s="156"/>
      <c r="AL3612" s="156"/>
      <c r="AM3612" s="156"/>
      <c r="AN3612" s="156"/>
      <c r="AO3612" s="156"/>
      <c r="AP3612" s="156"/>
      <c r="AQ3612" s="156"/>
      <c r="AR3612" s="156"/>
      <c r="AS3612" s="156"/>
      <c r="AT3612" s="156"/>
      <c r="AU3612" s="156"/>
      <c r="AV3612" s="156"/>
      <c r="AW3612" s="156"/>
      <c r="AX3612" s="156"/>
      <c r="AY3612" s="156"/>
      <c r="AZ3612" s="156"/>
      <c r="BA3612" s="156"/>
      <c r="BB3612" s="2828"/>
      <c r="BC3612" s="452"/>
      <c r="BD3612" s="2829"/>
      <c r="BE3612" s="2837"/>
      <c r="BF3612" s="156"/>
    </row>
    <row r="3613" spans="1:58" ht="15" customHeight="1" outlineLevel="1" x14ac:dyDescent="0.35">
      <c r="A3613" s="1664"/>
      <c r="B3613" s="3641"/>
      <c r="C3613" s="3077"/>
      <c r="D3613" s="3980"/>
      <c r="E3613" s="3883"/>
      <c r="F3613" s="3984" t="str">
        <f>$E$1792</f>
        <v>ASHP-SEER18-Replace_CAC_ElectricHeat_ER1_MF</v>
      </c>
      <c r="G3613" s="3984"/>
      <c r="H3613" s="3984"/>
      <c r="I3613" s="3984"/>
      <c r="J3613" s="3501" t="str">
        <f>$C$1792</f>
        <v>354300_2021_12_</v>
      </c>
      <c r="K3613" s="3643">
        <v>1</v>
      </c>
      <c r="L3613" s="713"/>
      <c r="M3613" s="3022"/>
      <c r="N3613" s="106"/>
      <c r="O3613" s="106"/>
      <c r="P3613" s="702"/>
      <c r="Q3613" s="574"/>
      <c r="R3613" s="702"/>
      <c r="S3613" s="106"/>
      <c r="T3613" s="486"/>
      <c r="U3613" s="106"/>
      <c r="V3613" s="3980"/>
      <c r="W3613" s="663">
        <v>0.65</v>
      </c>
      <c r="X3613" s="663">
        <v>0.65</v>
      </c>
      <c r="Y3613" s="663">
        <v>0.65</v>
      </c>
      <c r="Z3613" s="663">
        <v>0.65</v>
      </c>
      <c r="AA3613" s="663">
        <v>0.65</v>
      </c>
      <c r="AB3613" s="663">
        <v>0.65</v>
      </c>
      <c r="AC3613" s="2923">
        <v>0.65</v>
      </c>
      <c r="AD3613" s="3643">
        <v>1</v>
      </c>
      <c r="AE3613" s="2939"/>
      <c r="AF3613" s="663"/>
      <c r="AG3613" s="663"/>
      <c r="AH3613" s="156"/>
      <c r="AI3613" s="156"/>
      <c r="AJ3613" s="156"/>
      <c r="AK3613" s="156"/>
      <c r="AL3613" s="156"/>
      <c r="AM3613" s="156"/>
      <c r="AN3613" s="156"/>
      <c r="AO3613" s="156"/>
      <c r="AP3613" s="156"/>
      <c r="AQ3613" s="156"/>
      <c r="AR3613" s="156"/>
      <c r="AS3613" s="156"/>
      <c r="AT3613" s="156"/>
      <c r="AU3613" s="156"/>
      <c r="AV3613" s="156"/>
      <c r="AW3613" s="156"/>
      <c r="AX3613" s="156"/>
      <c r="AY3613" s="156"/>
      <c r="AZ3613" s="156"/>
      <c r="BA3613" s="156"/>
      <c r="BB3613" s="2828"/>
      <c r="BC3613" s="452"/>
      <c r="BD3613" s="2829"/>
      <c r="BE3613" s="2837"/>
      <c r="BF3613" s="156"/>
    </row>
    <row r="3614" spans="1:58" ht="15" customHeight="1" outlineLevel="1" x14ac:dyDescent="0.35">
      <c r="A3614" s="1664"/>
      <c r="B3614" s="3641"/>
      <c r="C3614" s="3077"/>
      <c r="D3614" s="3980"/>
      <c r="E3614" s="3883"/>
      <c r="F3614" s="3984" t="str">
        <f>$E$1794</f>
        <v>ASHP-SEER18-Replace_CAC_ElectricHeat_ER2_MF</v>
      </c>
      <c r="G3614" s="3984"/>
      <c r="H3614" s="3984"/>
      <c r="I3614" s="3984"/>
      <c r="J3614" s="3501" t="str">
        <f>$C$1794</f>
        <v>354300_2021_12_</v>
      </c>
      <c r="K3614" s="3643">
        <v>1</v>
      </c>
      <c r="L3614" s="713"/>
      <c r="M3614" s="3022"/>
      <c r="N3614" s="106"/>
      <c r="O3614" s="106"/>
      <c r="P3614" s="702"/>
      <c r="Q3614" s="574"/>
      <c r="R3614" s="702"/>
      <c r="S3614" s="106"/>
      <c r="T3614" s="486"/>
      <c r="U3614" s="106"/>
      <c r="V3614" s="3980"/>
      <c r="W3614" s="663">
        <v>0.65</v>
      </c>
      <c r="X3614" s="663">
        <v>0.65</v>
      </c>
      <c r="Y3614" s="663">
        <v>0.65</v>
      </c>
      <c r="Z3614" s="663">
        <v>0.65</v>
      </c>
      <c r="AA3614" s="663">
        <v>0.65</v>
      </c>
      <c r="AB3614" s="663">
        <v>0.65</v>
      </c>
      <c r="AC3614" s="2923">
        <v>0.65</v>
      </c>
      <c r="AD3614" s="3643">
        <v>1</v>
      </c>
      <c r="AE3614" s="2939"/>
      <c r="AF3614" s="663"/>
      <c r="AG3614" s="663"/>
      <c r="AH3614" s="156"/>
      <c r="AI3614" s="156"/>
      <c r="AJ3614" s="156"/>
      <c r="AK3614" s="156"/>
      <c r="AL3614" s="156"/>
      <c r="AM3614" s="156"/>
      <c r="AN3614" s="156"/>
      <c r="AO3614" s="156"/>
      <c r="AP3614" s="156"/>
      <c r="AQ3614" s="156"/>
      <c r="AR3614" s="156"/>
      <c r="AS3614" s="156"/>
      <c r="AT3614" s="156"/>
      <c r="AU3614" s="156"/>
      <c r="AV3614" s="156"/>
      <c r="AW3614" s="156"/>
      <c r="AX3614" s="156"/>
      <c r="AY3614" s="156"/>
      <c r="AZ3614" s="156"/>
      <c r="BA3614" s="156"/>
      <c r="BB3614" s="2828"/>
      <c r="BC3614" s="452"/>
      <c r="BD3614" s="2829"/>
      <c r="BE3614" s="2837"/>
      <c r="BF3614" s="156"/>
    </row>
    <row r="3615" spans="1:58" ht="15" customHeight="1" outlineLevel="1" x14ac:dyDescent="0.35">
      <c r="A3615" s="1664"/>
      <c r="B3615" s="3641"/>
      <c r="C3615" s="3077"/>
      <c r="D3615" s="3980"/>
      <c r="E3615" s="3883"/>
      <c r="F3615" s="3984" t="str">
        <f>$E$1796</f>
        <v>ASHP-SEER18-Replace_CAC_ElectricHeat_ER1_MF_CompE</v>
      </c>
      <c r="G3615" s="3984"/>
      <c r="H3615" s="3984"/>
      <c r="I3615" s="3984"/>
      <c r="J3615" s="3501" t="str">
        <f>$C$1796</f>
        <v>354301_2021_12_</v>
      </c>
      <c r="K3615" s="663">
        <v>0.65</v>
      </c>
      <c r="L3615" s="713"/>
      <c r="M3615" s="3022"/>
      <c r="N3615" s="106"/>
      <c r="O3615" s="106"/>
      <c r="P3615" s="702"/>
      <c r="Q3615" s="574"/>
      <c r="R3615" s="702"/>
      <c r="S3615" s="106"/>
      <c r="T3615" s="486"/>
      <c r="U3615" s="106"/>
      <c r="V3615" s="3980"/>
      <c r="W3615" s="663"/>
      <c r="X3615" s="663"/>
      <c r="Y3615" s="661">
        <v>0.65</v>
      </c>
      <c r="Z3615" s="663">
        <v>0.65</v>
      </c>
      <c r="AA3615" s="663">
        <v>0.65</v>
      </c>
      <c r="AB3615" s="663">
        <v>0.65</v>
      </c>
      <c r="AC3615" s="2923">
        <f>AC3613</f>
        <v>0.65</v>
      </c>
      <c r="AD3615" s="663">
        <v>0.65</v>
      </c>
      <c r="AE3615" s="2939"/>
      <c r="AF3615" s="663"/>
      <c r="AG3615" s="663"/>
      <c r="AH3615" s="156"/>
      <c r="AI3615" s="156"/>
      <c r="AJ3615" s="156"/>
      <c r="AK3615" s="156"/>
      <c r="AL3615" s="156"/>
      <c r="AM3615" s="156"/>
      <c r="AN3615" s="156"/>
      <c r="AO3615" s="156"/>
      <c r="AP3615" s="156"/>
      <c r="AQ3615" s="156"/>
      <c r="AR3615" s="156"/>
      <c r="AS3615" s="156"/>
      <c r="AT3615" s="156"/>
      <c r="AU3615" s="156"/>
      <c r="AV3615" s="156"/>
      <c r="AW3615" s="156"/>
      <c r="AX3615" s="156"/>
      <c r="AY3615" s="156"/>
      <c r="AZ3615" s="156"/>
      <c r="BA3615" s="156"/>
      <c r="BB3615" s="2828"/>
      <c r="BC3615" s="452"/>
      <c r="BD3615" s="2829"/>
      <c r="BE3615" s="2837"/>
      <c r="BF3615" s="156"/>
    </row>
    <row r="3616" spans="1:58" ht="15" customHeight="1" outlineLevel="1" x14ac:dyDescent="0.35">
      <c r="A3616" s="1664"/>
      <c r="B3616" s="3641"/>
      <c r="C3616" s="3077"/>
      <c r="D3616" s="3980"/>
      <c r="E3616" s="3883"/>
      <c r="F3616" s="3984" t="str">
        <f>$E$1798</f>
        <v>ASHP-SEER18-Replace_CAC_ElectricHeat_ER2_MF_CompE</v>
      </c>
      <c r="G3616" s="3984"/>
      <c r="H3616" s="3984"/>
      <c r="I3616" s="3984"/>
      <c r="J3616" s="3501" t="str">
        <f>$C$1798</f>
        <v>354301_2021_12_</v>
      </c>
      <c r="K3616" s="663">
        <v>0.65</v>
      </c>
      <c r="L3616" s="713"/>
      <c r="M3616" s="3022"/>
      <c r="N3616" s="106"/>
      <c r="O3616" s="106"/>
      <c r="P3616" s="702"/>
      <c r="Q3616" s="574"/>
      <c r="R3616" s="702"/>
      <c r="S3616" s="106"/>
      <c r="T3616" s="486"/>
      <c r="U3616" s="106"/>
      <c r="V3616" s="3980"/>
      <c r="W3616" s="663"/>
      <c r="X3616" s="663"/>
      <c r="Y3616" s="661">
        <v>0.65</v>
      </c>
      <c r="Z3616" s="663">
        <v>0.65</v>
      </c>
      <c r="AA3616" s="663">
        <v>0.65</v>
      </c>
      <c r="AB3616" s="663">
        <v>0.65</v>
      </c>
      <c r="AC3616" s="2923">
        <f>AC3614</f>
        <v>0.65</v>
      </c>
      <c r="AD3616" s="663">
        <v>0.65</v>
      </c>
      <c r="AE3616" s="2939"/>
      <c r="AF3616" s="663"/>
      <c r="AG3616" s="663"/>
      <c r="AH3616" s="156"/>
      <c r="AI3616" s="156"/>
      <c r="AJ3616" s="156"/>
      <c r="AK3616" s="156"/>
      <c r="AL3616" s="156"/>
      <c r="AM3616" s="156"/>
      <c r="AN3616" s="156"/>
      <c r="AO3616" s="156"/>
      <c r="AP3616" s="156"/>
      <c r="AQ3616" s="156"/>
      <c r="AR3616" s="156"/>
      <c r="AS3616" s="156"/>
      <c r="AT3616" s="156"/>
      <c r="AU3616" s="156"/>
      <c r="AV3616" s="156"/>
      <c r="AW3616" s="156"/>
      <c r="AX3616" s="156"/>
      <c r="AY3616" s="156"/>
      <c r="AZ3616" s="156"/>
      <c r="BA3616" s="156"/>
      <c r="BB3616" s="2828"/>
      <c r="BC3616" s="452"/>
      <c r="BD3616" s="2829"/>
      <c r="BE3616" s="2837"/>
      <c r="BF3616" s="156"/>
    </row>
    <row r="3617" spans="1:58" ht="15" customHeight="1" outlineLevel="1" x14ac:dyDescent="0.35">
      <c r="A3617" s="1664"/>
      <c r="B3617" s="3641"/>
      <c r="C3617" s="3077"/>
      <c r="D3617" s="3980"/>
      <c r="E3617" s="3883"/>
      <c r="F3617" s="3984" t="str">
        <f>$E$1800</f>
        <v>ASHP-SEER18-Replace_CAC_NonElectricHeat_ER1_MF</v>
      </c>
      <c r="G3617" s="3984"/>
      <c r="H3617" s="3984"/>
      <c r="I3617" s="3984"/>
      <c r="J3617" s="3501" t="str">
        <f>$C$1800</f>
        <v>354310_2021_12_</v>
      </c>
      <c r="K3617" s="663">
        <v>0.65</v>
      </c>
      <c r="L3617" s="713"/>
      <c r="M3617" s="3022"/>
      <c r="N3617" s="106"/>
      <c r="O3617" s="106"/>
      <c r="P3617" s="702"/>
      <c r="Q3617" s="574"/>
      <c r="R3617" s="702"/>
      <c r="S3617" s="106"/>
      <c r="T3617" s="486"/>
      <c r="U3617" s="106"/>
      <c r="V3617" s="3980"/>
      <c r="W3617" s="663"/>
      <c r="X3617" s="663"/>
      <c r="Y3617" s="661"/>
      <c r="Z3617" s="663"/>
      <c r="AA3617" s="663"/>
      <c r="AB3617" s="663"/>
      <c r="AC3617" s="2924">
        <f t="shared" ref="AC3617:AC3620" si="407">AC3615</f>
        <v>0.65</v>
      </c>
      <c r="AD3617" s="663">
        <v>0.65</v>
      </c>
      <c r="AE3617" s="2939"/>
      <c r="AF3617" s="663"/>
      <c r="AG3617" s="663"/>
      <c r="AH3617" s="156"/>
      <c r="AI3617" s="156"/>
      <c r="AJ3617" s="156"/>
      <c r="AK3617" s="156"/>
      <c r="AL3617" s="156"/>
      <c r="AM3617" s="156"/>
      <c r="AN3617" s="156"/>
      <c r="AO3617" s="156"/>
      <c r="AP3617" s="156"/>
      <c r="AQ3617" s="156"/>
      <c r="AR3617" s="156"/>
      <c r="AS3617" s="156"/>
      <c r="AT3617" s="156"/>
      <c r="AU3617" s="156"/>
      <c r="AV3617" s="156"/>
      <c r="AW3617" s="156"/>
      <c r="AX3617" s="156"/>
      <c r="AY3617" s="156"/>
      <c r="AZ3617" s="156"/>
      <c r="BA3617" s="156"/>
      <c r="BB3617" s="2828"/>
      <c r="BC3617" s="452"/>
      <c r="BD3617" s="2829"/>
      <c r="BE3617" s="2837"/>
      <c r="BF3617" s="156"/>
    </row>
    <row r="3618" spans="1:58" ht="15" customHeight="1" outlineLevel="1" x14ac:dyDescent="0.35">
      <c r="A3618" s="1664"/>
      <c r="B3618" s="3641"/>
      <c r="C3618" s="3077"/>
      <c r="D3618" s="3980"/>
      <c r="E3618" s="3883"/>
      <c r="F3618" s="3984" t="str">
        <f>$E$1802</f>
        <v>ASHP-SEER18-Replace_CAC_NonElectricHeat_ER2_MF</v>
      </c>
      <c r="G3618" s="3984"/>
      <c r="H3618" s="3984"/>
      <c r="I3618" s="3984"/>
      <c r="J3618" s="3501" t="str">
        <f>$C$1802</f>
        <v>354310_2021_12_</v>
      </c>
      <c r="K3618" s="663">
        <v>0.65</v>
      </c>
      <c r="L3618" s="713"/>
      <c r="M3618" s="3022"/>
      <c r="N3618" s="106"/>
      <c r="O3618" s="106"/>
      <c r="P3618" s="702"/>
      <c r="Q3618" s="574"/>
      <c r="R3618" s="702"/>
      <c r="S3618" s="106"/>
      <c r="T3618" s="486"/>
      <c r="U3618" s="106"/>
      <c r="V3618" s="3980"/>
      <c r="W3618" s="663"/>
      <c r="X3618" s="663"/>
      <c r="Y3618" s="661"/>
      <c r="Z3618" s="663"/>
      <c r="AA3618" s="663"/>
      <c r="AB3618" s="663"/>
      <c r="AC3618" s="2924">
        <f t="shared" si="407"/>
        <v>0.65</v>
      </c>
      <c r="AD3618" s="663">
        <v>0.65</v>
      </c>
      <c r="AE3618" s="2939"/>
      <c r="AF3618" s="663"/>
      <c r="AG3618" s="663"/>
      <c r="AH3618" s="156"/>
      <c r="AI3618" s="156"/>
      <c r="AJ3618" s="156"/>
      <c r="AK3618" s="156"/>
      <c r="AL3618" s="156"/>
      <c r="AM3618" s="156"/>
      <c r="AN3618" s="156"/>
      <c r="AO3618" s="156"/>
      <c r="AP3618" s="156"/>
      <c r="AQ3618" s="156"/>
      <c r="AR3618" s="156"/>
      <c r="AS3618" s="156"/>
      <c r="AT3618" s="156"/>
      <c r="AU3618" s="156"/>
      <c r="AV3618" s="156"/>
      <c r="AW3618" s="156"/>
      <c r="AX3618" s="156"/>
      <c r="AY3618" s="156"/>
      <c r="AZ3618" s="156"/>
      <c r="BA3618" s="156"/>
      <c r="BB3618" s="2828"/>
      <c r="BC3618" s="452"/>
      <c r="BD3618" s="2829"/>
      <c r="BE3618" s="2837"/>
      <c r="BF3618" s="156"/>
    </row>
    <row r="3619" spans="1:58" ht="15" customHeight="1" outlineLevel="1" x14ac:dyDescent="0.35">
      <c r="A3619" s="1664"/>
      <c r="B3619" s="3641"/>
      <c r="C3619" s="3077"/>
      <c r="D3619" s="3980"/>
      <c r="E3619" s="3883"/>
      <c r="F3619" s="3984" t="str">
        <f>$E$1804</f>
        <v>ASHP-SEER18-Replace_CAC_NonElectricHeat_ER1_MF_CompE</v>
      </c>
      <c r="G3619" s="3984"/>
      <c r="H3619" s="3984"/>
      <c r="I3619" s="3984"/>
      <c r="J3619" s="3501" t="str">
        <f>$C$1804</f>
        <v>354311_2021_12_</v>
      </c>
      <c r="K3619" s="663">
        <v>0.65</v>
      </c>
      <c r="L3619" s="713"/>
      <c r="M3619" s="3022"/>
      <c r="N3619" s="106"/>
      <c r="O3619" s="106"/>
      <c r="P3619" s="702"/>
      <c r="Q3619" s="574"/>
      <c r="R3619" s="702"/>
      <c r="S3619" s="106"/>
      <c r="T3619" s="486"/>
      <c r="U3619" s="106"/>
      <c r="V3619" s="3980"/>
      <c r="W3619" s="663"/>
      <c r="X3619" s="663"/>
      <c r="Y3619" s="661"/>
      <c r="Z3619" s="663"/>
      <c r="AA3619" s="663"/>
      <c r="AB3619" s="663"/>
      <c r="AC3619" s="2924">
        <f t="shared" si="407"/>
        <v>0.65</v>
      </c>
      <c r="AD3619" s="663">
        <v>0.65</v>
      </c>
      <c r="AE3619" s="2939"/>
      <c r="AF3619" s="663"/>
      <c r="AG3619" s="663"/>
      <c r="AH3619" s="156"/>
      <c r="AI3619" s="156"/>
      <c r="AJ3619" s="156"/>
      <c r="AK3619" s="156"/>
      <c r="AL3619" s="156"/>
      <c r="AM3619" s="156"/>
      <c r="AN3619" s="156"/>
      <c r="AO3619" s="156"/>
      <c r="AP3619" s="156"/>
      <c r="AQ3619" s="156"/>
      <c r="AR3619" s="156"/>
      <c r="AS3619" s="156"/>
      <c r="AT3619" s="156"/>
      <c r="AU3619" s="156"/>
      <c r="AV3619" s="156"/>
      <c r="AW3619" s="156"/>
      <c r="AX3619" s="156"/>
      <c r="AY3619" s="156"/>
      <c r="AZ3619" s="156"/>
      <c r="BA3619" s="156"/>
      <c r="BB3619" s="2828"/>
      <c r="BC3619" s="452"/>
      <c r="BD3619" s="2829"/>
      <c r="BE3619" s="2837"/>
      <c r="BF3619" s="156"/>
    </row>
    <row r="3620" spans="1:58" ht="15" customHeight="1" outlineLevel="1" x14ac:dyDescent="0.35">
      <c r="A3620" s="1664"/>
      <c r="B3620" s="3641"/>
      <c r="C3620" s="3077"/>
      <c r="D3620" s="3980"/>
      <c r="E3620" s="3883"/>
      <c r="F3620" s="3984" t="str">
        <f>$E$1806</f>
        <v>ASHP-SEER18-Replace_CAC_NonElectricHeat_ER2_MF_CompE</v>
      </c>
      <c r="G3620" s="3984"/>
      <c r="H3620" s="3984"/>
      <c r="I3620" s="3984"/>
      <c r="J3620" s="3501" t="str">
        <f>$C$1806</f>
        <v>354311_2021_12_</v>
      </c>
      <c r="K3620" s="663">
        <v>0.65</v>
      </c>
      <c r="L3620" s="713"/>
      <c r="M3620" s="3022"/>
      <c r="N3620" s="106"/>
      <c r="O3620" s="106"/>
      <c r="P3620" s="702"/>
      <c r="Q3620" s="574"/>
      <c r="R3620" s="702"/>
      <c r="S3620" s="106"/>
      <c r="T3620" s="486"/>
      <c r="U3620" s="106"/>
      <c r="V3620" s="3980"/>
      <c r="W3620" s="663"/>
      <c r="X3620" s="663"/>
      <c r="Y3620" s="661"/>
      <c r="Z3620" s="663"/>
      <c r="AA3620" s="663"/>
      <c r="AB3620" s="663"/>
      <c r="AC3620" s="2924">
        <f t="shared" si="407"/>
        <v>0.65</v>
      </c>
      <c r="AD3620" s="663">
        <v>0.65</v>
      </c>
      <c r="AE3620" s="2939"/>
      <c r="AF3620" s="663"/>
      <c r="AG3620" s="663"/>
      <c r="AH3620" s="156"/>
      <c r="AI3620" s="156"/>
      <c r="AJ3620" s="156"/>
      <c r="AK3620" s="156"/>
      <c r="AL3620" s="156"/>
      <c r="AM3620" s="156"/>
      <c r="AN3620" s="156"/>
      <c r="AO3620" s="156"/>
      <c r="AP3620" s="156"/>
      <c r="AQ3620" s="156"/>
      <c r="AR3620" s="156"/>
      <c r="AS3620" s="156"/>
      <c r="AT3620" s="156"/>
      <c r="AU3620" s="156"/>
      <c r="AV3620" s="156"/>
      <c r="AW3620" s="156"/>
      <c r="AX3620" s="156"/>
      <c r="AY3620" s="156"/>
      <c r="AZ3620" s="156"/>
      <c r="BA3620" s="156"/>
      <c r="BB3620" s="2828"/>
      <c r="BC3620" s="452"/>
      <c r="BD3620" s="2829"/>
      <c r="BE3620" s="2837"/>
      <c r="BF3620" s="156"/>
    </row>
    <row r="3621" spans="1:58" ht="15" customHeight="1" outlineLevel="1" x14ac:dyDescent="0.35">
      <c r="A3621" s="1664"/>
      <c r="B3621" s="3641"/>
      <c r="C3621" s="3077"/>
      <c r="D3621" s="3980"/>
      <c r="E3621" s="3883"/>
      <c r="F3621" s="3984" t="str">
        <f>$E$1808</f>
        <v>ASHP-SEER18_ER1_MF</v>
      </c>
      <c r="G3621" s="3984"/>
      <c r="H3621" s="3984"/>
      <c r="I3621" s="3984"/>
      <c r="J3621" s="3501" t="str">
        <f>$C$1808</f>
        <v>354350_2021_12_</v>
      </c>
      <c r="K3621" s="3643">
        <v>1</v>
      </c>
      <c r="L3621" s="713"/>
      <c r="M3621" s="3022"/>
      <c r="N3621" s="106"/>
      <c r="O3621" s="106"/>
      <c r="P3621" s="702"/>
      <c r="Q3621" s="574"/>
      <c r="R3621" s="702"/>
      <c r="S3621" s="106"/>
      <c r="T3621" s="486"/>
      <c r="U3621" s="106"/>
      <c r="V3621" s="3980"/>
      <c r="W3621" s="663">
        <v>0.65</v>
      </c>
      <c r="X3621" s="663">
        <v>0.65</v>
      </c>
      <c r="Y3621" s="663">
        <v>0.65</v>
      </c>
      <c r="Z3621" s="663">
        <v>0.65</v>
      </c>
      <c r="AA3621" s="663">
        <v>0.65</v>
      </c>
      <c r="AB3621" s="663">
        <v>0.65</v>
      </c>
      <c r="AC3621" s="2923">
        <v>0.65</v>
      </c>
      <c r="AD3621" s="3643">
        <v>1</v>
      </c>
      <c r="AE3621" s="2939"/>
      <c r="AF3621" s="663"/>
      <c r="AG3621" s="663"/>
      <c r="AH3621" s="156"/>
      <c r="AI3621" s="156"/>
      <c r="AJ3621" s="156"/>
      <c r="AK3621" s="156"/>
      <c r="AL3621" s="156"/>
      <c r="AM3621" s="156"/>
      <c r="AN3621" s="156"/>
      <c r="AO3621" s="156"/>
      <c r="AP3621" s="156"/>
      <c r="AQ3621" s="156"/>
      <c r="AR3621" s="156"/>
      <c r="AS3621" s="156"/>
      <c r="AT3621" s="156"/>
      <c r="AU3621" s="156"/>
      <c r="AV3621" s="156"/>
      <c r="AW3621" s="156"/>
      <c r="AX3621" s="156"/>
      <c r="AY3621" s="156"/>
      <c r="AZ3621" s="156"/>
      <c r="BA3621" s="156"/>
      <c r="BB3621" s="2828"/>
      <c r="BC3621" s="452"/>
      <c r="BD3621" s="2829"/>
      <c r="BE3621" s="2837"/>
      <c r="BF3621" s="156"/>
    </row>
    <row r="3622" spans="1:58" ht="15" customHeight="1" outlineLevel="1" x14ac:dyDescent="0.35">
      <c r="A3622" s="1664"/>
      <c r="B3622" s="3641"/>
      <c r="C3622" s="3077"/>
      <c r="D3622" s="3980"/>
      <c r="E3622" s="3883"/>
      <c r="F3622" s="3984" t="str">
        <f>$E$1810</f>
        <v>ASHP-SEER18_ER2_MF</v>
      </c>
      <c r="G3622" s="3984"/>
      <c r="H3622" s="3984"/>
      <c r="I3622" s="3984"/>
      <c r="J3622" s="3501" t="str">
        <f>$C$1810</f>
        <v>354350_2021_12_</v>
      </c>
      <c r="K3622" s="3643">
        <v>1</v>
      </c>
      <c r="L3622" s="713"/>
      <c r="M3622" s="3022"/>
      <c r="N3622" s="106"/>
      <c r="O3622" s="106"/>
      <c r="P3622" s="702"/>
      <c r="Q3622" s="574"/>
      <c r="R3622" s="702"/>
      <c r="S3622" s="106"/>
      <c r="T3622" s="486"/>
      <c r="U3622" s="106"/>
      <c r="V3622" s="3980"/>
      <c r="W3622" s="663">
        <v>0.65</v>
      </c>
      <c r="X3622" s="663">
        <v>0.65</v>
      </c>
      <c r="Y3622" s="663">
        <v>0.65</v>
      </c>
      <c r="Z3622" s="663">
        <v>0.65</v>
      </c>
      <c r="AA3622" s="663">
        <v>0.65</v>
      </c>
      <c r="AB3622" s="663">
        <v>0.65</v>
      </c>
      <c r="AC3622" s="2923">
        <v>0.65</v>
      </c>
      <c r="AD3622" s="3643">
        <v>1</v>
      </c>
      <c r="AE3622" s="2939"/>
      <c r="AF3622" s="663"/>
      <c r="AG3622" s="663"/>
      <c r="AH3622" s="156"/>
      <c r="AI3622" s="156"/>
      <c r="AJ3622" s="156"/>
      <c r="AK3622" s="156"/>
      <c r="AL3622" s="156"/>
      <c r="AM3622" s="156"/>
      <c r="AN3622" s="156"/>
      <c r="AO3622" s="156"/>
      <c r="AP3622" s="156"/>
      <c r="AQ3622" s="156"/>
      <c r="AR3622" s="156"/>
      <c r="AS3622" s="156"/>
      <c r="AT3622" s="156"/>
      <c r="AU3622" s="156"/>
      <c r="AV3622" s="156"/>
      <c r="AW3622" s="156"/>
      <c r="AX3622" s="156"/>
      <c r="AY3622" s="156"/>
      <c r="AZ3622" s="156"/>
      <c r="BA3622" s="156"/>
      <c r="BB3622" s="2828"/>
      <c r="BC3622" s="452"/>
      <c r="BD3622" s="2829"/>
      <c r="BE3622" s="2837"/>
      <c r="BF3622" s="156"/>
    </row>
    <row r="3623" spans="1:58" ht="15" customHeight="1" outlineLevel="1" x14ac:dyDescent="0.35">
      <c r="A3623" s="1664"/>
      <c r="B3623" s="3641"/>
      <c r="C3623" s="3077"/>
      <c r="D3623" s="3980"/>
      <c r="E3623" s="3883"/>
      <c r="F3623" s="3984" t="str">
        <f>$E$1812</f>
        <v>ASHP-SEER18_ER1_MF_CompE</v>
      </c>
      <c r="G3623" s="3984"/>
      <c r="H3623" s="3984"/>
      <c r="I3623" s="3984"/>
      <c r="J3623" s="3501" t="str">
        <f>$C$1812</f>
        <v>354351_2021_12_</v>
      </c>
      <c r="K3623" s="3643">
        <v>1</v>
      </c>
      <c r="L3623" s="713"/>
      <c r="M3623" s="3022"/>
      <c r="N3623" s="106"/>
      <c r="O3623" s="106"/>
      <c r="P3623" s="702"/>
      <c r="Q3623" s="574"/>
      <c r="R3623" s="702"/>
      <c r="S3623" s="106"/>
      <c r="T3623" s="486"/>
      <c r="U3623" s="106"/>
      <c r="V3623" s="3980"/>
      <c r="W3623" s="663"/>
      <c r="X3623" s="663"/>
      <c r="Y3623" s="661">
        <v>0.65</v>
      </c>
      <c r="Z3623" s="663">
        <v>0.65</v>
      </c>
      <c r="AA3623" s="663">
        <v>0.65</v>
      </c>
      <c r="AB3623" s="663">
        <v>0.65</v>
      </c>
      <c r="AC3623" s="2923">
        <f>AC3621</f>
        <v>0.65</v>
      </c>
      <c r="AD3623" s="3643">
        <v>1</v>
      </c>
      <c r="AE3623" s="2939"/>
      <c r="AF3623" s="663"/>
      <c r="AG3623" s="663"/>
      <c r="AH3623" s="156"/>
      <c r="AI3623" s="156"/>
      <c r="AJ3623" s="156"/>
      <c r="AK3623" s="156"/>
      <c r="AL3623" s="156"/>
      <c r="AM3623" s="156"/>
      <c r="AN3623" s="156"/>
      <c r="AO3623" s="156"/>
      <c r="AP3623" s="156"/>
      <c r="AQ3623" s="156"/>
      <c r="AR3623" s="156"/>
      <c r="AS3623" s="156"/>
      <c r="AT3623" s="156"/>
      <c r="AU3623" s="156"/>
      <c r="AV3623" s="156"/>
      <c r="AW3623" s="156"/>
      <c r="AX3623" s="156"/>
      <c r="AY3623" s="156"/>
      <c r="AZ3623" s="156"/>
      <c r="BA3623" s="156"/>
      <c r="BB3623" s="2828"/>
      <c r="BC3623" s="452"/>
      <c r="BD3623" s="2829"/>
      <c r="BE3623" s="2837"/>
      <c r="BF3623" s="156"/>
    </row>
    <row r="3624" spans="1:58" ht="15" customHeight="1" outlineLevel="1" x14ac:dyDescent="0.35">
      <c r="A3624" s="1664"/>
      <c r="B3624" s="3641"/>
      <c r="C3624" s="3077"/>
      <c r="D3624" s="3980"/>
      <c r="E3624" s="3883"/>
      <c r="F3624" s="3984" t="str">
        <f>$E$1814</f>
        <v>ASHP-SEER18_ER2_MF_CompE</v>
      </c>
      <c r="G3624" s="3984"/>
      <c r="H3624" s="3984"/>
      <c r="I3624" s="3984"/>
      <c r="J3624" s="3501" t="str">
        <f>$C$1814</f>
        <v>354351_2021_12_</v>
      </c>
      <c r="K3624" s="3643">
        <v>1</v>
      </c>
      <c r="L3624" s="713"/>
      <c r="M3624" s="3022"/>
      <c r="N3624" s="106"/>
      <c r="O3624" s="106"/>
      <c r="P3624" s="702"/>
      <c r="Q3624" s="574"/>
      <c r="R3624" s="702"/>
      <c r="S3624" s="106"/>
      <c r="T3624" s="486"/>
      <c r="U3624" s="106"/>
      <c r="V3624" s="3980"/>
      <c r="W3624" s="663"/>
      <c r="X3624" s="663"/>
      <c r="Y3624" s="661">
        <v>0.65</v>
      </c>
      <c r="Z3624" s="663">
        <v>0.65</v>
      </c>
      <c r="AA3624" s="663">
        <v>0.65</v>
      </c>
      <c r="AB3624" s="663">
        <v>0.65</v>
      </c>
      <c r="AC3624" s="2923">
        <f>AC3622</f>
        <v>0.65</v>
      </c>
      <c r="AD3624" s="3643">
        <v>1</v>
      </c>
      <c r="AE3624" s="2939"/>
      <c r="AF3624" s="663"/>
      <c r="AG3624" s="663"/>
      <c r="AH3624" s="156"/>
      <c r="AI3624" s="156"/>
      <c r="AJ3624" s="156"/>
      <c r="AK3624" s="156"/>
      <c r="AL3624" s="156"/>
      <c r="AM3624" s="156"/>
      <c r="AN3624" s="156"/>
      <c r="AO3624" s="156"/>
      <c r="AP3624" s="156"/>
      <c r="AQ3624" s="156"/>
      <c r="AR3624" s="156"/>
      <c r="AS3624" s="156"/>
      <c r="AT3624" s="156"/>
      <c r="AU3624" s="156"/>
      <c r="AV3624" s="156"/>
      <c r="AW3624" s="156"/>
      <c r="AX3624" s="156"/>
      <c r="AY3624" s="156"/>
      <c r="AZ3624" s="156"/>
      <c r="BA3624" s="156"/>
      <c r="BB3624" s="2828"/>
      <c r="BC3624" s="452"/>
      <c r="BD3624" s="2829"/>
      <c r="BE3624" s="2837"/>
      <c r="BF3624" s="156"/>
    </row>
    <row r="3625" spans="1:58" ht="15" customHeight="1" outlineLevel="1" x14ac:dyDescent="0.35">
      <c r="A3625" s="1664"/>
      <c r="B3625" s="3641"/>
      <c r="C3625" s="3077"/>
      <c r="D3625" s="3980"/>
      <c r="E3625" s="3883"/>
      <c r="F3625" s="3984" t="str">
        <f>$E$1816</f>
        <v>ASHP-SEER19-Replace_CAC_ElectricHeat_ER1_SF</v>
      </c>
      <c r="G3625" s="3984"/>
      <c r="H3625" s="3984"/>
      <c r="I3625" s="3984"/>
      <c r="J3625" s="3501" t="str">
        <f>$C$1816</f>
        <v>354400_2021_12_</v>
      </c>
      <c r="K3625" s="663">
        <v>1</v>
      </c>
      <c r="L3625" s="713"/>
      <c r="M3625" s="3022"/>
      <c r="N3625" s="106"/>
      <c r="O3625" s="106"/>
      <c r="P3625" s="702"/>
      <c r="Q3625" s="574"/>
      <c r="R3625" s="702"/>
      <c r="S3625" s="106"/>
      <c r="T3625" s="486"/>
      <c r="U3625" s="106"/>
      <c r="V3625" s="3980"/>
      <c r="W3625" s="663">
        <v>1</v>
      </c>
      <c r="X3625" s="663">
        <v>1</v>
      </c>
      <c r="Y3625" s="663">
        <v>1</v>
      </c>
      <c r="Z3625" s="663">
        <v>1</v>
      </c>
      <c r="AA3625" s="663">
        <v>1</v>
      </c>
      <c r="AB3625" s="663">
        <v>1</v>
      </c>
      <c r="AC3625" s="2923">
        <v>1</v>
      </c>
      <c r="AD3625" s="663">
        <v>1</v>
      </c>
      <c r="AE3625" s="2939"/>
      <c r="AF3625" s="663"/>
      <c r="AG3625" s="663"/>
      <c r="AH3625" s="156"/>
      <c r="AI3625" s="156"/>
      <c r="AJ3625" s="156"/>
      <c r="AK3625" s="156"/>
      <c r="AL3625" s="156"/>
      <c r="AM3625" s="156"/>
      <c r="AN3625" s="156"/>
      <c r="AO3625" s="156"/>
      <c r="AP3625" s="156"/>
      <c r="AQ3625" s="156"/>
      <c r="AR3625" s="156"/>
      <c r="AS3625" s="156"/>
      <c r="AT3625" s="156"/>
      <c r="AU3625" s="156"/>
      <c r="AV3625" s="156"/>
      <c r="AW3625" s="156"/>
      <c r="AX3625" s="156"/>
      <c r="AY3625" s="156"/>
      <c r="AZ3625" s="156"/>
      <c r="BA3625" s="156"/>
      <c r="BB3625" s="2828"/>
      <c r="BC3625" s="452"/>
      <c r="BD3625" s="2829"/>
      <c r="BE3625" s="2837"/>
      <c r="BF3625" s="156"/>
    </row>
    <row r="3626" spans="1:58" ht="15" customHeight="1" outlineLevel="1" x14ac:dyDescent="0.35">
      <c r="A3626" s="1664"/>
      <c r="B3626" s="3641"/>
      <c r="C3626" s="3077"/>
      <c r="D3626" s="3980"/>
      <c r="E3626" s="3883"/>
      <c r="F3626" s="3984" t="str">
        <f>$E$1818</f>
        <v>ASHP-SEER19-Replace_CAC_ElectricHeat_ER2_SF</v>
      </c>
      <c r="G3626" s="3984"/>
      <c r="H3626" s="3984"/>
      <c r="I3626" s="3984"/>
      <c r="J3626" s="3501" t="str">
        <f>$C$1818</f>
        <v>354400_2021_12_</v>
      </c>
      <c r="K3626" s="663">
        <v>1</v>
      </c>
      <c r="L3626" s="713"/>
      <c r="M3626" s="3022"/>
      <c r="N3626" s="106"/>
      <c r="O3626" s="106"/>
      <c r="P3626" s="702"/>
      <c r="Q3626" s="574"/>
      <c r="R3626" s="702"/>
      <c r="S3626" s="106"/>
      <c r="T3626" s="486"/>
      <c r="U3626" s="106"/>
      <c r="V3626" s="3980"/>
      <c r="W3626" s="663">
        <v>1</v>
      </c>
      <c r="X3626" s="663">
        <v>1</v>
      </c>
      <c r="Y3626" s="663">
        <v>1</v>
      </c>
      <c r="Z3626" s="663">
        <v>1</v>
      </c>
      <c r="AA3626" s="663">
        <v>1</v>
      </c>
      <c r="AB3626" s="663">
        <v>1</v>
      </c>
      <c r="AC3626" s="2923">
        <v>1</v>
      </c>
      <c r="AD3626" s="663">
        <v>1</v>
      </c>
      <c r="AE3626" s="2939"/>
      <c r="AF3626" s="663"/>
      <c r="AG3626" s="663"/>
      <c r="AH3626" s="156"/>
      <c r="AI3626" s="156"/>
      <c r="AJ3626" s="156"/>
      <c r="AK3626" s="156"/>
      <c r="AL3626" s="156"/>
      <c r="AM3626" s="156"/>
      <c r="AN3626" s="156"/>
      <c r="AO3626" s="156"/>
      <c r="AP3626" s="156"/>
      <c r="AQ3626" s="156"/>
      <c r="AR3626" s="156"/>
      <c r="AS3626" s="156"/>
      <c r="AT3626" s="156"/>
      <c r="AU3626" s="156"/>
      <c r="AV3626" s="156"/>
      <c r="AW3626" s="156"/>
      <c r="AX3626" s="156"/>
      <c r="AY3626" s="156"/>
      <c r="AZ3626" s="156"/>
      <c r="BA3626" s="156"/>
      <c r="BB3626" s="2828"/>
      <c r="BC3626" s="452"/>
      <c r="BD3626" s="2829"/>
      <c r="BE3626" s="2837"/>
      <c r="BF3626" s="156"/>
    </row>
    <row r="3627" spans="1:58" ht="15" customHeight="1" outlineLevel="1" x14ac:dyDescent="0.35">
      <c r="A3627" s="1664"/>
      <c r="B3627" s="3641"/>
      <c r="C3627" s="3077"/>
      <c r="D3627" s="3980"/>
      <c r="E3627" s="3883"/>
      <c r="F3627" s="3984" t="str">
        <f>$E$1820</f>
        <v>ASHP-SEER19-Replace_CAC_NonElectricHeat_ER1_SF</v>
      </c>
      <c r="G3627" s="3984"/>
      <c r="H3627" s="3984"/>
      <c r="I3627" s="3984"/>
      <c r="J3627" s="3501" t="str">
        <f>$C$1820</f>
        <v>354410_2021_12_</v>
      </c>
      <c r="K3627" s="663">
        <v>1</v>
      </c>
      <c r="L3627" s="713"/>
      <c r="M3627" s="3022"/>
      <c r="N3627" s="106"/>
      <c r="O3627" s="106"/>
      <c r="P3627" s="702"/>
      <c r="Q3627" s="574"/>
      <c r="R3627" s="702"/>
      <c r="S3627" s="106"/>
      <c r="T3627" s="486"/>
      <c r="U3627" s="106"/>
      <c r="V3627" s="3980"/>
      <c r="W3627" s="663"/>
      <c r="X3627" s="663"/>
      <c r="Y3627" s="663"/>
      <c r="Z3627" s="663"/>
      <c r="AA3627" s="663"/>
      <c r="AB3627" s="663"/>
      <c r="AC3627" s="2924">
        <v>1</v>
      </c>
      <c r="AD3627" s="663">
        <v>1</v>
      </c>
      <c r="AE3627" s="2939"/>
      <c r="AF3627" s="663"/>
      <c r="AG3627" s="663"/>
      <c r="AH3627" s="156"/>
      <c r="AI3627" s="156"/>
      <c r="AJ3627" s="156"/>
      <c r="AK3627" s="156"/>
      <c r="AL3627" s="156"/>
      <c r="AM3627" s="156"/>
      <c r="AN3627" s="156"/>
      <c r="AO3627" s="156"/>
      <c r="AP3627" s="156"/>
      <c r="AQ3627" s="156"/>
      <c r="AR3627" s="156"/>
      <c r="AS3627" s="156"/>
      <c r="AT3627" s="156"/>
      <c r="AU3627" s="156"/>
      <c r="AV3627" s="156"/>
      <c r="AW3627" s="156"/>
      <c r="AX3627" s="156"/>
      <c r="AY3627" s="156"/>
      <c r="AZ3627" s="156"/>
      <c r="BA3627" s="156"/>
      <c r="BB3627" s="2828"/>
      <c r="BC3627" s="452"/>
      <c r="BD3627" s="2829"/>
      <c r="BE3627" s="2837"/>
      <c r="BF3627" s="156"/>
    </row>
    <row r="3628" spans="1:58" ht="15" customHeight="1" outlineLevel="1" x14ac:dyDescent="0.35">
      <c r="A3628" s="1664"/>
      <c r="B3628" s="3641"/>
      <c r="C3628" s="3077"/>
      <c r="D3628" s="3980"/>
      <c r="E3628" s="3883"/>
      <c r="F3628" s="3984" t="str">
        <f>$E$1822</f>
        <v>ASHP-SEER19-Replace_CAC_NonElectricHeat_ER2_SF</v>
      </c>
      <c r="G3628" s="3984"/>
      <c r="H3628" s="3984"/>
      <c r="I3628" s="3984"/>
      <c r="J3628" s="3501" t="str">
        <f>$C$1822</f>
        <v>354410_2021_12_</v>
      </c>
      <c r="K3628" s="663">
        <v>1</v>
      </c>
      <c r="L3628" s="713"/>
      <c r="M3628" s="3022"/>
      <c r="N3628" s="106"/>
      <c r="O3628" s="106"/>
      <c r="P3628" s="702"/>
      <c r="Q3628" s="574"/>
      <c r="R3628" s="702"/>
      <c r="S3628" s="106"/>
      <c r="T3628" s="486"/>
      <c r="U3628" s="106"/>
      <c r="V3628" s="3980"/>
      <c r="W3628" s="663"/>
      <c r="X3628" s="663"/>
      <c r="Y3628" s="663"/>
      <c r="Z3628" s="663"/>
      <c r="AA3628" s="663"/>
      <c r="AB3628" s="663"/>
      <c r="AC3628" s="2924">
        <v>1</v>
      </c>
      <c r="AD3628" s="663">
        <v>1</v>
      </c>
      <c r="AE3628" s="2939"/>
      <c r="AF3628" s="663"/>
      <c r="AG3628" s="663"/>
      <c r="AH3628" s="156"/>
      <c r="AI3628" s="156"/>
      <c r="AJ3628" s="156"/>
      <c r="AK3628" s="156"/>
      <c r="AL3628" s="156"/>
      <c r="AM3628" s="156"/>
      <c r="AN3628" s="156"/>
      <c r="AO3628" s="156"/>
      <c r="AP3628" s="156"/>
      <c r="AQ3628" s="156"/>
      <c r="AR3628" s="156"/>
      <c r="AS3628" s="156"/>
      <c r="AT3628" s="156"/>
      <c r="AU3628" s="156"/>
      <c r="AV3628" s="156"/>
      <c r="AW3628" s="156"/>
      <c r="AX3628" s="156"/>
      <c r="AY3628" s="156"/>
      <c r="AZ3628" s="156"/>
      <c r="BA3628" s="156"/>
      <c r="BB3628" s="2828"/>
      <c r="BC3628" s="452"/>
      <c r="BD3628" s="2829"/>
      <c r="BE3628" s="2837"/>
      <c r="BF3628" s="156"/>
    </row>
    <row r="3629" spans="1:58" ht="15" customHeight="1" outlineLevel="1" x14ac:dyDescent="0.35">
      <c r="A3629" s="1664"/>
      <c r="B3629" s="3641"/>
      <c r="C3629" s="3077"/>
      <c r="D3629" s="3980"/>
      <c r="E3629" s="3883"/>
      <c r="F3629" s="3984" t="str">
        <f>$E$1824</f>
        <v>ASHP-SEER19-Replace_CAC_ElectricHeat_ER1_MF</v>
      </c>
      <c r="G3629" s="3984"/>
      <c r="H3629" s="3984"/>
      <c r="I3629" s="3984"/>
      <c r="J3629" s="3501" t="str">
        <f>$C$1824</f>
        <v>354450_2019_12_</v>
      </c>
      <c r="K3629" s="663">
        <v>0.65</v>
      </c>
      <c r="L3629" s="713"/>
      <c r="M3629" s="3022"/>
      <c r="N3629" s="106"/>
      <c r="O3629" s="106"/>
      <c r="P3629" s="702"/>
      <c r="Q3629" s="574"/>
      <c r="R3629" s="702"/>
      <c r="S3629" s="106"/>
      <c r="T3629" s="486"/>
      <c r="U3629" s="106"/>
      <c r="V3629" s="3980"/>
      <c r="W3629" s="663">
        <v>0.65</v>
      </c>
      <c r="X3629" s="663">
        <v>0.65</v>
      </c>
      <c r="Y3629" s="663">
        <v>0.65</v>
      </c>
      <c r="Z3629" s="663">
        <v>0.65</v>
      </c>
      <c r="AA3629" s="663">
        <v>0.65</v>
      </c>
      <c r="AB3629" s="663">
        <v>0.65</v>
      </c>
      <c r="AC3629" s="2923">
        <v>0.65</v>
      </c>
      <c r="AD3629" s="663">
        <v>0.65</v>
      </c>
      <c r="AE3629" s="2939"/>
      <c r="AF3629" s="663"/>
      <c r="AG3629" s="663"/>
      <c r="AH3629" s="156"/>
      <c r="AI3629" s="156"/>
      <c r="AJ3629" s="156"/>
      <c r="AK3629" s="156"/>
      <c r="AL3629" s="156"/>
      <c r="AM3629" s="156"/>
      <c r="AN3629" s="156"/>
      <c r="AO3629" s="156"/>
      <c r="AP3629" s="156"/>
      <c r="AQ3629" s="156"/>
      <c r="AR3629" s="156"/>
      <c r="AS3629" s="156"/>
      <c r="AT3629" s="156"/>
      <c r="AU3629" s="156"/>
      <c r="AV3629" s="156"/>
      <c r="AW3629" s="156"/>
      <c r="AX3629" s="156"/>
      <c r="AY3629" s="156"/>
      <c r="AZ3629" s="156"/>
      <c r="BA3629" s="156"/>
      <c r="BB3629" s="2828"/>
      <c r="BC3629" s="452"/>
      <c r="BD3629" s="2829"/>
      <c r="BE3629" s="2837"/>
      <c r="BF3629" s="156"/>
    </row>
    <row r="3630" spans="1:58" ht="15" customHeight="1" outlineLevel="1" x14ac:dyDescent="0.35">
      <c r="A3630" s="1664"/>
      <c r="B3630" s="3641"/>
      <c r="C3630" s="3077"/>
      <c r="D3630" s="3980"/>
      <c r="E3630" s="3883"/>
      <c r="F3630" s="3984" t="str">
        <f>$E$1826</f>
        <v>ASHP-SEER19-Replace_CAC_ElectricHeat_ER2_MF</v>
      </c>
      <c r="G3630" s="3984"/>
      <c r="H3630" s="3984"/>
      <c r="I3630" s="3984"/>
      <c r="J3630" s="3501" t="str">
        <f>$C$1826</f>
        <v>354450_2019_12_</v>
      </c>
      <c r="K3630" s="663">
        <v>0.65</v>
      </c>
      <c r="L3630" s="713"/>
      <c r="M3630" s="3022"/>
      <c r="N3630" s="106"/>
      <c r="O3630" s="106"/>
      <c r="P3630" s="702"/>
      <c r="Q3630" s="574"/>
      <c r="R3630" s="702"/>
      <c r="S3630" s="106"/>
      <c r="T3630" s="486"/>
      <c r="U3630" s="106"/>
      <c r="V3630" s="3980"/>
      <c r="W3630" s="663">
        <v>0.65</v>
      </c>
      <c r="X3630" s="663">
        <v>0.65</v>
      </c>
      <c r="Y3630" s="663">
        <v>0.65</v>
      </c>
      <c r="Z3630" s="663">
        <v>0.65</v>
      </c>
      <c r="AA3630" s="663">
        <v>0.65</v>
      </c>
      <c r="AB3630" s="663">
        <v>0.65</v>
      </c>
      <c r="AC3630" s="2923">
        <v>0.65</v>
      </c>
      <c r="AD3630" s="663">
        <v>0.65</v>
      </c>
      <c r="AE3630" s="2939"/>
      <c r="AF3630" s="663"/>
      <c r="AG3630" s="663"/>
      <c r="AH3630" s="156"/>
      <c r="AI3630" s="156"/>
      <c r="AJ3630" s="156"/>
      <c r="AK3630" s="156"/>
      <c r="AL3630" s="156"/>
      <c r="AM3630" s="156"/>
      <c r="AN3630" s="156"/>
      <c r="AO3630" s="156"/>
      <c r="AP3630" s="156"/>
      <c r="AQ3630" s="156"/>
      <c r="AR3630" s="156"/>
      <c r="AS3630" s="156"/>
      <c r="AT3630" s="156"/>
      <c r="AU3630" s="156"/>
      <c r="AV3630" s="156"/>
      <c r="AW3630" s="156"/>
      <c r="AX3630" s="156"/>
      <c r="AY3630" s="156"/>
      <c r="AZ3630" s="156"/>
      <c r="BA3630" s="156"/>
      <c r="BB3630" s="2828"/>
      <c r="BC3630" s="452"/>
      <c r="BD3630" s="2829"/>
      <c r="BE3630" s="2837"/>
      <c r="BF3630" s="156"/>
    </row>
    <row r="3631" spans="1:58" ht="15" customHeight="1" outlineLevel="1" x14ac:dyDescent="0.35">
      <c r="A3631" s="1664"/>
      <c r="B3631" s="3641"/>
      <c r="C3631" s="3077"/>
      <c r="D3631" s="3980"/>
      <c r="E3631" s="3883"/>
      <c r="F3631" s="3984" t="str">
        <f>$E$1828</f>
        <v>ASHP-SEER19-Replace_CAC_ElectricHeat_ER1_MF_CompE</v>
      </c>
      <c r="G3631" s="3984"/>
      <c r="H3631" s="3984"/>
      <c r="I3631" s="3984"/>
      <c r="J3631" s="3501" t="str">
        <f>$C$1828</f>
        <v>354451_2019_12_</v>
      </c>
      <c r="K3631" s="663">
        <v>0.65</v>
      </c>
      <c r="L3631" s="713"/>
      <c r="M3631" s="3022"/>
      <c r="N3631" s="106"/>
      <c r="O3631" s="106"/>
      <c r="P3631" s="702"/>
      <c r="Q3631" s="574"/>
      <c r="R3631" s="702"/>
      <c r="S3631" s="106"/>
      <c r="T3631" s="486"/>
      <c r="U3631" s="106"/>
      <c r="V3631" s="3980"/>
      <c r="W3631" s="663"/>
      <c r="X3631" s="663"/>
      <c r="Y3631" s="661">
        <v>0.65</v>
      </c>
      <c r="Z3631" s="663">
        <v>0.65</v>
      </c>
      <c r="AA3631" s="663">
        <v>0.65</v>
      </c>
      <c r="AB3631" s="663">
        <v>0.65</v>
      </c>
      <c r="AC3631" s="2923">
        <f>AC3629</f>
        <v>0.65</v>
      </c>
      <c r="AD3631" s="663">
        <v>0.65</v>
      </c>
      <c r="AE3631" s="2939"/>
      <c r="AF3631" s="663"/>
      <c r="AG3631" s="663"/>
      <c r="AH3631" s="156"/>
      <c r="AI3631" s="156"/>
      <c r="AJ3631" s="156"/>
      <c r="AK3631" s="156"/>
      <c r="AL3631" s="156"/>
      <c r="AM3631" s="156"/>
      <c r="AN3631" s="156"/>
      <c r="AO3631" s="156"/>
      <c r="AP3631" s="156"/>
      <c r="AQ3631" s="156"/>
      <c r="AR3631" s="156"/>
      <c r="AS3631" s="156"/>
      <c r="AT3631" s="156"/>
      <c r="AU3631" s="156"/>
      <c r="AV3631" s="156"/>
      <c r="AW3631" s="156"/>
      <c r="AX3631" s="156"/>
      <c r="AY3631" s="156"/>
      <c r="AZ3631" s="156"/>
      <c r="BA3631" s="156"/>
      <c r="BB3631" s="2828"/>
      <c r="BC3631" s="452"/>
      <c r="BD3631" s="2829"/>
      <c r="BE3631" s="2837"/>
      <c r="BF3631" s="156"/>
    </row>
    <row r="3632" spans="1:58" ht="15" customHeight="1" outlineLevel="1" x14ac:dyDescent="0.35">
      <c r="A3632" s="1664"/>
      <c r="B3632" s="3641"/>
      <c r="C3632" s="3077"/>
      <c r="D3632" s="3980"/>
      <c r="E3632" s="3883"/>
      <c r="F3632" s="3984" t="str">
        <f>$E$1830</f>
        <v>ASHP-SEER19-Replace_CAC_ElectricHeat_ER2_MF_CompE</v>
      </c>
      <c r="G3632" s="3984"/>
      <c r="H3632" s="3984"/>
      <c r="I3632" s="3984"/>
      <c r="J3632" s="3501" t="str">
        <f>$C$1830</f>
        <v>354451_2019_12_</v>
      </c>
      <c r="K3632" s="663">
        <v>0.65</v>
      </c>
      <c r="L3632" s="713"/>
      <c r="M3632" s="3022"/>
      <c r="N3632" s="106"/>
      <c r="O3632" s="106"/>
      <c r="P3632" s="702"/>
      <c r="Q3632" s="574"/>
      <c r="R3632" s="702"/>
      <c r="S3632" s="106"/>
      <c r="T3632" s="486"/>
      <c r="U3632" s="106"/>
      <c r="V3632" s="3980"/>
      <c r="W3632" s="663"/>
      <c r="X3632" s="663"/>
      <c r="Y3632" s="661">
        <v>0.65</v>
      </c>
      <c r="Z3632" s="663">
        <v>0.65</v>
      </c>
      <c r="AA3632" s="663">
        <v>0.65</v>
      </c>
      <c r="AB3632" s="663">
        <v>0.65</v>
      </c>
      <c r="AC3632" s="2923">
        <f>AC3630</f>
        <v>0.65</v>
      </c>
      <c r="AD3632" s="663">
        <v>0.65</v>
      </c>
      <c r="AE3632" s="2939"/>
      <c r="AF3632" s="663"/>
      <c r="AG3632" s="663"/>
      <c r="AH3632" s="156"/>
      <c r="AI3632" s="156"/>
      <c r="AJ3632" s="156"/>
      <c r="AK3632" s="156"/>
      <c r="AL3632" s="156"/>
      <c r="AM3632" s="156"/>
      <c r="AN3632" s="156"/>
      <c r="AO3632" s="156"/>
      <c r="AP3632" s="156"/>
      <c r="AQ3632" s="156"/>
      <c r="AR3632" s="156"/>
      <c r="AS3632" s="156"/>
      <c r="AT3632" s="156"/>
      <c r="AU3632" s="156"/>
      <c r="AV3632" s="156"/>
      <c r="AW3632" s="156"/>
      <c r="AX3632" s="156"/>
      <c r="AY3632" s="156"/>
      <c r="AZ3632" s="156"/>
      <c r="BA3632" s="156"/>
      <c r="BB3632" s="2828"/>
      <c r="BC3632" s="452"/>
      <c r="BD3632" s="2829"/>
      <c r="BE3632" s="2837"/>
      <c r="BF3632" s="156"/>
    </row>
    <row r="3633" spans="1:58" ht="15" customHeight="1" outlineLevel="1" x14ac:dyDescent="0.35">
      <c r="A3633" s="1664"/>
      <c r="B3633" s="3641"/>
      <c r="C3633" s="3077"/>
      <c r="D3633" s="3980"/>
      <c r="E3633" s="3883"/>
      <c r="F3633" s="3984" t="str">
        <f>$E$1832</f>
        <v>ASHP-SEER19-Replace_CAC_NonElectricHeat_ER1_MF</v>
      </c>
      <c r="G3633" s="3984"/>
      <c r="H3633" s="3984"/>
      <c r="I3633" s="3984"/>
      <c r="J3633" s="3501" t="str">
        <f>$C$1832</f>
        <v>354460_2021_12_</v>
      </c>
      <c r="K3633" s="663">
        <v>0.65</v>
      </c>
      <c r="L3633" s="713"/>
      <c r="M3633" s="3022"/>
      <c r="N3633" s="106"/>
      <c r="O3633" s="106"/>
      <c r="P3633" s="702"/>
      <c r="Q3633" s="574"/>
      <c r="R3633" s="702"/>
      <c r="S3633" s="106"/>
      <c r="T3633" s="486"/>
      <c r="U3633" s="106"/>
      <c r="V3633" s="3980"/>
      <c r="W3633" s="663"/>
      <c r="X3633" s="663"/>
      <c r="Y3633" s="661"/>
      <c r="Z3633" s="663"/>
      <c r="AA3633" s="663"/>
      <c r="AB3633" s="663"/>
      <c r="AC3633" s="2924">
        <f t="shared" ref="AC3633:AC3636" si="408">AC3631</f>
        <v>0.65</v>
      </c>
      <c r="AD3633" s="663">
        <v>0.65</v>
      </c>
      <c r="AE3633" s="2939"/>
      <c r="AF3633" s="663"/>
      <c r="AG3633" s="663"/>
      <c r="AH3633" s="156"/>
      <c r="AI3633" s="156"/>
      <c r="AJ3633" s="156"/>
      <c r="AK3633" s="156"/>
      <c r="AL3633" s="156"/>
      <c r="AM3633" s="156"/>
      <c r="AN3633" s="156"/>
      <c r="AO3633" s="156"/>
      <c r="AP3633" s="156"/>
      <c r="AQ3633" s="156"/>
      <c r="AR3633" s="156"/>
      <c r="AS3633" s="156"/>
      <c r="AT3633" s="156"/>
      <c r="AU3633" s="156"/>
      <c r="AV3633" s="156"/>
      <c r="AW3633" s="156"/>
      <c r="AX3633" s="156"/>
      <c r="AY3633" s="156"/>
      <c r="AZ3633" s="156"/>
      <c r="BA3633" s="156"/>
      <c r="BB3633" s="2828"/>
      <c r="BC3633" s="452"/>
      <c r="BD3633" s="2829"/>
      <c r="BE3633" s="2837"/>
      <c r="BF3633" s="156"/>
    </row>
    <row r="3634" spans="1:58" ht="15" customHeight="1" outlineLevel="1" x14ac:dyDescent="0.35">
      <c r="A3634" s="1664"/>
      <c r="B3634" s="3641"/>
      <c r="C3634" s="3077"/>
      <c r="D3634" s="3980"/>
      <c r="E3634" s="3883"/>
      <c r="F3634" s="3984" t="str">
        <f>$E$1834</f>
        <v>ASHP-SEER19-Replace_CAC_NonElectricHeat_ER2_MF</v>
      </c>
      <c r="G3634" s="3984"/>
      <c r="H3634" s="3984"/>
      <c r="I3634" s="3984"/>
      <c r="J3634" s="3501" t="str">
        <f>$C$1834</f>
        <v>354460_2021_12_</v>
      </c>
      <c r="K3634" s="663">
        <v>0.65</v>
      </c>
      <c r="L3634" s="713"/>
      <c r="M3634" s="3022"/>
      <c r="N3634" s="106"/>
      <c r="O3634" s="106"/>
      <c r="P3634" s="702"/>
      <c r="Q3634" s="574"/>
      <c r="R3634" s="702"/>
      <c r="S3634" s="106"/>
      <c r="T3634" s="486"/>
      <c r="U3634" s="106"/>
      <c r="V3634" s="3980"/>
      <c r="W3634" s="663"/>
      <c r="X3634" s="663"/>
      <c r="Y3634" s="661"/>
      <c r="Z3634" s="663"/>
      <c r="AA3634" s="663"/>
      <c r="AB3634" s="663"/>
      <c r="AC3634" s="2924">
        <f t="shared" si="408"/>
        <v>0.65</v>
      </c>
      <c r="AD3634" s="663">
        <v>0.65</v>
      </c>
      <c r="AE3634" s="2939"/>
      <c r="AF3634" s="663"/>
      <c r="AG3634" s="663"/>
      <c r="AH3634" s="156"/>
      <c r="AI3634" s="156"/>
      <c r="AJ3634" s="156"/>
      <c r="AK3634" s="156"/>
      <c r="AL3634" s="156"/>
      <c r="AM3634" s="156"/>
      <c r="AN3634" s="156"/>
      <c r="AO3634" s="156"/>
      <c r="AP3634" s="156"/>
      <c r="AQ3634" s="156"/>
      <c r="AR3634" s="156"/>
      <c r="AS3634" s="156"/>
      <c r="AT3634" s="156"/>
      <c r="AU3634" s="156"/>
      <c r="AV3634" s="156"/>
      <c r="AW3634" s="156"/>
      <c r="AX3634" s="156"/>
      <c r="AY3634" s="156"/>
      <c r="AZ3634" s="156"/>
      <c r="BA3634" s="156"/>
      <c r="BB3634" s="2828"/>
      <c r="BC3634" s="452"/>
      <c r="BD3634" s="2829"/>
      <c r="BE3634" s="2837"/>
      <c r="BF3634" s="156"/>
    </row>
    <row r="3635" spans="1:58" ht="15" customHeight="1" outlineLevel="1" x14ac:dyDescent="0.35">
      <c r="A3635" s="1664"/>
      <c r="B3635" s="3641"/>
      <c r="C3635" s="3077"/>
      <c r="D3635" s="3980"/>
      <c r="E3635" s="3883"/>
      <c r="F3635" s="3984" t="str">
        <f>$E$1836</f>
        <v>ASHP-SEER19-Replace_CAC_NonElectricHeat_ER1_MF_CompE</v>
      </c>
      <c r="G3635" s="3984"/>
      <c r="H3635" s="3984"/>
      <c r="I3635" s="3984"/>
      <c r="J3635" s="3501" t="str">
        <f>$C$1836</f>
        <v>354461_2021_12_</v>
      </c>
      <c r="K3635" s="663">
        <v>0.65</v>
      </c>
      <c r="L3635" s="713"/>
      <c r="M3635" s="3022"/>
      <c r="N3635" s="106"/>
      <c r="O3635" s="106"/>
      <c r="P3635" s="702"/>
      <c r="Q3635" s="574"/>
      <c r="R3635" s="702"/>
      <c r="S3635" s="106"/>
      <c r="T3635" s="486"/>
      <c r="U3635" s="106"/>
      <c r="V3635" s="3980"/>
      <c r="W3635" s="663"/>
      <c r="X3635" s="663"/>
      <c r="Y3635" s="661"/>
      <c r="Z3635" s="663"/>
      <c r="AA3635" s="663"/>
      <c r="AB3635" s="663"/>
      <c r="AC3635" s="2924">
        <f t="shared" si="408"/>
        <v>0.65</v>
      </c>
      <c r="AD3635" s="663">
        <v>0.65</v>
      </c>
      <c r="AE3635" s="2939"/>
      <c r="AF3635" s="663"/>
      <c r="AG3635" s="663"/>
      <c r="AH3635" s="156"/>
      <c r="AI3635" s="156"/>
      <c r="AJ3635" s="156"/>
      <c r="AK3635" s="156"/>
      <c r="AL3635" s="156"/>
      <c r="AM3635" s="156"/>
      <c r="AN3635" s="156"/>
      <c r="AO3635" s="156"/>
      <c r="AP3635" s="156"/>
      <c r="AQ3635" s="156"/>
      <c r="AR3635" s="156"/>
      <c r="AS3635" s="156"/>
      <c r="AT3635" s="156"/>
      <c r="AU3635" s="156"/>
      <c r="AV3635" s="156"/>
      <c r="AW3635" s="156"/>
      <c r="AX3635" s="156"/>
      <c r="AY3635" s="156"/>
      <c r="AZ3635" s="156"/>
      <c r="BA3635" s="156"/>
      <c r="BB3635" s="2828"/>
      <c r="BC3635" s="452"/>
      <c r="BD3635" s="2829"/>
      <c r="BE3635" s="2837"/>
      <c r="BF3635" s="156"/>
    </row>
    <row r="3636" spans="1:58" ht="15" customHeight="1" outlineLevel="1" x14ac:dyDescent="0.35">
      <c r="A3636" s="1664"/>
      <c r="B3636" s="3641"/>
      <c r="C3636" s="3077"/>
      <c r="D3636" s="3980"/>
      <c r="E3636" s="3883"/>
      <c r="F3636" s="3984" t="str">
        <f>$E$1838</f>
        <v>ASHP-SEER19-Replace_CAC_NonElectricHeat_ER2_MF_CompE</v>
      </c>
      <c r="G3636" s="3984"/>
      <c r="H3636" s="3984"/>
      <c r="I3636" s="3984"/>
      <c r="J3636" s="3501" t="str">
        <f>$C$1838</f>
        <v>354461_2021_12_</v>
      </c>
      <c r="K3636" s="663">
        <v>0.65</v>
      </c>
      <c r="L3636" s="713"/>
      <c r="M3636" s="3022"/>
      <c r="N3636" s="106"/>
      <c r="O3636" s="106"/>
      <c r="P3636" s="702"/>
      <c r="Q3636" s="574"/>
      <c r="R3636" s="702"/>
      <c r="S3636" s="106"/>
      <c r="T3636" s="486"/>
      <c r="U3636" s="106"/>
      <c r="V3636" s="3980"/>
      <c r="W3636" s="663"/>
      <c r="X3636" s="663"/>
      <c r="Y3636" s="661"/>
      <c r="Z3636" s="663"/>
      <c r="AA3636" s="663"/>
      <c r="AB3636" s="663"/>
      <c r="AC3636" s="2924">
        <f t="shared" si="408"/>
        <v>0.65</v>
      </c>
      <c r="AD3636" s="663">
        <v>0.65</v>
      </c>
      <c r="AE3636" s="2939"/>
      <c r="AF3636" s="663"/>
      <c r="AG3636" s="663"/>
      <c r="AH3636" s="156"/>
      <c r="AI3636" s="156"/>
      <c r="AJ3636" s="156"/>
      <c r="AK3636" s="156"/>
      <c r="AL3636" s="156"/>
      <c r="AM3636" s="156"/>
      <c r="AN3636" s="156"/>
      <c r="AO3636" s="156"/>
      <c r="AP3636" s="156"/>
      <c r="AQ3636" s="156"/>
      <c r="AR3636" s="156"/>
      <c r="AS3636" s="156"/>
      <c r="AT3636" s="156"/>
      <c r="AU3636" s="156"/>
      <c r="AV3636" s="156"/>
      <c r="AW3636" s="156"/>
      <c r="AX3636" s="156"/>
      <c r="AY3636" s="156"/>
      <c r="AZ3636" s="156"/>
      <c r="BA3636" s="156"/>
      <c r="BB3636" s="2828"/>
      <c r="BC3636" s="452"/>
      <c r="BD3636" s="2829"/>
      <c r="BE3636" s="2837"/>
      <c r="BF3636" s="156"/>
    </row>
    <row r="3637" spans="1:58" ht="15" customHeight="1" outlineLevel="1" x14ac:dyDescent="0.35">
      <c r="A3637" s="1664"/>
      <c r="B3637" s="3641"/>
      <c r="C3637" s="3077"/>
      <c r="D3637" s="3980"/>
      <c r="E3637" s="3883"/>
      <c r="F3637" s="3984" t="str">
        <f>$E$1840</f>
        <v>ASHP-SEER19_ER1_MF</v>
      </c>
      <c r="G3637" s="3984"/>
      <c r="H3637" s="3984"/>
      <c r="I3637" s="3984"/>
      <c r="J3637" s="3501" t="str">
        <f>$C$1840</f>
        <v>354500_2019_12_</v>
      </c>
      <c r="K3637" s="663">
        <v>0.65</v>
      </c>
      <c r="L3637" s="713"/>
      <c r="M3637" s="3022"/>
      <c r="N3637" s="106"/>
      <c r="O3637" s="106"/>
      <c r="P3637" s="702"/>
      <c r="Q3637" s="574"/>
      <c r="R3637" s="702"/>
      <c r="S3637" s="106"/>
      <c r="T3637" s="486"/>
      <c r="U3637" s="106"/>
      <c r="V3637" s="3980"/>
      <c r="W3637" s="663">
        <v>0.65</v>
      </c>
      <c r="X3637" s="663">
        <v>0.65</v>
      </c>
      <c r="Y3637" s="663">
        <v>0.65</v>
      </c>
      <c r="Z3637" s="663">
        <v>0.65</v>
      </c>
      <c r="AA3637" s="663">
        <v>0.65</v>
      </c>
      <c r="AB3637" s="663">
        <v>0.65</v>
      </c>
      <c r="AC3637" s="2923">
        <v>0.65</v>
      </c>
      <c r="AD3637" s="663">
        <v>0.65</v>
      </c>
      <c r="AE3637" s="2939"/>
      <c r="AF3637" s="663"/>
      <c r="AG3637" s="663"/>
      <c r="AH3637" s="156"/>
      <c r="AI3637" s="156"/>
      <c r="AJ3637" s="156"/>
      <c r="AK3637" s="156"/>
      <c r="AL3637" s="156"/>
      <c r="AM3637" s="156"/>
      <c r="AN3637" s="156"/>
      <c r="AO3637" s="156"/>
      <c r="AP3637" s="156"/>
      <c r="AQ3637" s="156"/>
      <c r="AR3637" s="156"/>
      <c r="AS3637" s="156"/>
      <c r="AT3637" s="156"/>
      <c r="AU3637" s="156"/>
      <c r="AV3637" s="156"/>
      <c r="AW3637" s="156"/>
      <c r="AX3637" s="156"/>
      <c r="AY3637" s="156"/>
      <c r="AZ3637" s="156"/>
      <c r="BA3637" s="156"/>
      <c r="BB3637" s="2828"/>
      <c r="BC3637" s="452"/>
      <c r="BD3637" s="2829"/>
      <c r="BE3637" s="2837"/>
      <c r="BF3637" s="156"/>
    </row>
    <row r="3638" spans="1:58" ht="15" customHeight="1" outlineLevel="1" x14ac:dyDescent="0.35">
      <c r="A3638" s="1664"/>
      <c r="B3638" s="3641"/>
      <c r="C3638" s="3077"/>
      <c r="D3638" s="3980"/>
      <c r="E3638" s="3883"/>
      <c r="F3638" s="3984" t="str">
        <f>$E$1842</f>
        <v>ASHP-SEER19_ER2_MF</v>
      </c>
      <c r="G3638" s="3984"/>
      <c r="H3638" s="3984"/>
      <c r="I3638" s="3984"/>
      <c r="J3638" s="3501" t="str">
        <f>$C$1842</f>
        <v>354500_2019_12_</v>
      </c>
      <c r="K3638" s="663">
        <v>0.65</v>
      </c>
      <c r="L3638" s="713"/>
      <c r="M3638" s="3022"/>
      <c r="N3638" s="106"/>
      <c r="O3638" s="106"/>
      <c r="P3638" s="702"/>
      <c r="Q3638" s="574"/>
      <c r="R3638" s="702"/>
      <c r="S3638" s="106"/>
      <c r="T3638" s="486"/>
      <c r="U3638" s="106"/>
      <c r="V3638" s="3980"/>
      <c r="W3638" s="663">
        <v>0.65</v>
      </c>
      <c r="X3638" s="663">
        <v>0.65</v>
      </c>
      <c r="Y3638" s="663">
        <v>0.65</v>
      </c>
      <c r="Z3638" s="663">
        <v>0.65</v>
      </c>
      <c r="AA3638" s="663">
        <v>0.65</v>
      </c>
      <c r="AB3638" s="663">
        <v>0.65</v>
      </c>
      <c r="AC3638" s="2923">
        <v>0.65</v>
      </c>
      <c r="AD3638" s="663">
        <v>0.65</v>
      </c>
      <c r="AE3638" s="2939"/>
      <c r="AF3638" s="663"/>
      <c r="AG3638" s="663"/>
      <c r="AH3638" s="156"/>
      <c r="AI3638" s="156"/>
      <c r="AJ3638" s="156"/>
      <c r="AK3638" s="156"/>
      <c r="AL3638" s="156"/>
      <c r="AM3638" s="156"/>
      <c r="AN3638" s="156"/>
      <c r="AO3638" s="156"/>
      <c r="AP3638" s="156"/>
      <c r="AQ3638" s="156"/>
      <c r="AR3638" s="156"/>
      <c r="AS3638" s="156"/>
      <c r="AT3638" s="156"/>
      <c r="AU3638" s="156"/>
      <c r="AV3638" s="156"/>
      <c r="AW3638" s="156"/>
      <c r="AX3638" s="156"/>
      <c r="AY3638" s="156"/>
      <c r="AZ3638" s="156"/>
      <c r="BA3638" s="156"/>
      <c r="BB3638" s="2828"/>
      <c r="BC3638" s="452"/>
      <c r="BD3638" s="2829"/>
      <c r="BE3638" s="2837"/>
      <c r="BF3638" s="156"/>
    </row>
    <row r="3639" spans="1:58" ht="15" customHeight="1" outlineLevel="1" x14ac:dyDescent="0.35">
      <c r="A3639" s="1664"/>
      <c r="B3639" s="3641"/>
      <c r="C3639" s="3077"/>
      <c r="D3639" s="3980"/>
      <c r="E3639" s="3883"/>
      <c r="F3639" s="3984" t="str">
        <f>$E$1844</f>
        <v>ASHP-SEER19_ER1_MF_CompE</v>
      </c>
      <c r="G3639" s="3984"/>
      <c r="H3639" s="3984"/>
      <c r="I3639" s="3984"/>
      <c r="J3639" s="3501" t="str">
        <f>$C$1844</f>
        <v>354501_2019_12_</v>
      </c>
      <c r="K3639" s="663">
        <v>0.65</v>
      </c>
      <c r="L3639" s="713"/>
      <c r="M3639" s="3022"/>
      <c r="N3639" s="106"/>
      <c r="O3639" s="106"/>
      <c r="P3639" s="702"/>
      <c r="Q3639" s="574"/>
      <c r="R3639" s="702"/>
      <c r="S3639" s="106"/>
      <c r="T3639" s="486"/>
      <c r="U3639" s="106"/>
      <c r="V3639" s="3980"/>
      <c r="W3639" s="663"/>
      <c r="X3639" s="663"/>
      <c r="Y3639" s="661">
        <v>0.65</v>
      </c>
      <c r="Z3639" s="663">
        <v>0.65</v>
      </c>
      <c r="AA3639" s="663">
        <v>0.65</v>
      </c>
      <c r="AB3639" s="663">
        <v>0.65</v>
      </c>
      <c r="AC3639" s="2923">
        <f>AC3637</f>
        <v>0.65</v>
      </c>
      <c r="AD3639" s="663">
        <v>0.65</v>
      </c>
      <c r="AE3639" s="2939"/>
      <c r="AF3639" s="663"/>
      <c r="AG3639" s="663"/>
      <c r="AH3639" s="156"/>
      <c r="AI3639" s="156"/>
      <c r="AJ3639" s="156"/>
      <c r="AK3639" s="156"/>
      <c r="AL3639" s="156"/>
      <c r="AM3639" s="156"/>
      <c r="AN3639" s="156"/>
      <c r="AO3639" s="156"/>
      <c r="AP3639" s="156"/>
      <c r="AQ3639" s="156"/>
      <c r="AR3639" s="156"/>
      <c r="AS3639" s="156"/>
      <c r="AT3639" s="156"/>
      <c r="AU3639" s="156"/>
      <c r="AV3639" s="156"/>
      <c r="AW3639" s="156"/>
      <c r="AX3639" s="156"/>
      <c r="AY3639" s="156"/>
      <c r="AZ3639" s="156"/>
      <c r="BA3639" s="156"/>
      <c r="BB3639" s="2828"/>
      <c r="BC3639" s="452"/>
      <c r="BD3639" s="2829"/>
      <c r="BE3639" s="2837"/>
      <c r="BF3639" s="156"/>
    </row>
    <row r="3640" spans="1:58" ht="15" customHeight="1" outlineLevel="1" x14ac:dyDescent="0.35">
      <c r="A3640" s="1664"/>
      <c r="B3640" s="3641"/>
      <c r="C3640" s="3077"/>
      <c r="D3640" s="3980"/>
      <c r="E3640" s="3883"/>
      <c r="F3640" s="3984" t="str">
        <f>$E$1846</f>
        <v>ASHP-SEER19_ER2_MF_CompE</v>
      </c>
      <c r="G3640" s="3984"/>
      <c r="H3640" s="3984"/>
      <c r="I3640" s="3984"/>
      <c r="J3640" s="3501" t="str">
        <f>$C$1846</f>
        <v>354501_2019_12_</v>
      </c>
      <c r="K3640" s="663">
        <v>0.65</v>
      </c>
      <c r="L3640" s="713"/>
      <c r="M3640" s="3022"/>
      <c r="N3640" s="106"/>
      <c r="O3640" s="106"/>
      <c r="P3640" s="702"/>
      <c r="Q3640" s="574"/>
      <c r="R3640" s="702"/>
      <c r="S3640" s="106"/>
      <c r="T3640" s="486"/>
      <c r="U3640" s="106"/>
      <c r="V3640" s="3980"/>
      <c r="W3640" s="663"/>
      <c r="X3640" s="663"/>
      <c r="Y3640" s="661">
        <v>0.65</v>
      </c>
      <c r="Z3640" s="663">
        <v>0.65</v>
      </c>
      <c r="AA3640" s="663">
        <v>0.65</v>
      </c>
      <c r="AB3640" s="663">
        <v>0.65</v>
      </c>
      <c r="AC3640" s="2923">
        <f>AC3638</f>
        <v>0.65</v>
      </c>
      <c r="AD3640" s="663">
        <v>0.65</v>
      </c>
      <c r="AE3640" s="2939"/>
      <c r="AF3640" s="663"/>
      <c r="AG3640" s="663"/>
      <c r="AH3640" s="156"/>
      <c r="AI3640" s="156"/>
      <c r="AJ3640" s="156"/>
      <c r="AK3640" s="156"/>
      <c r="AL3640" s="156"/>
      <c r="AM3640" s="156"/>
      <c r="AN3640" s="156"/>
      <c r="AO3640" s="156"/>
      <c r="AP3640" s="156"/>
      <c r="AQ3640" s="156"/>
      <c r="AR3640" s="156"/>
      <c r="AS3640" s="156"/>
      <c r="AT3640" s="156"/>
      <c r="AU3640" s="156"/>
      <c r="AV3640" s="156"/>
      <c r="AW3640" s="156"/>
      <c r="AX3640" s="156"/>
      <c r="AY3640" s="156"/>
      <c r="AZ3640" s="156"/>
      <c r="BA3640" s="156"/>
      <c r="BB3640" s="2828"/>
      <c r="BC3640" s="452"/>
      <c r="BD3640" s="2829"/>
      <c r="BE3640" s="2837"/>
      <c r="BF3640" s="156"/>
    </row>
    <row r="3641" spans="1:58" ht="15" customHeight="1" outlineLevel="1" x14ac:dyDescent="0.35">
      <c r="A3641" s="1664"/>
      <c r="B3641" s="3641"/>
      <c r="C3641" s="3077"/>
      <c r="D3641" s="3980"/>
      <c r="E3641" s="3883"/>
      <c r="F3641" s="3984" t="str">
        <f>$E$1848</f>
        <v>ASHP-SEER20_ER1_SF</v>
      </c>
      <c r="G3641" s="3984"/>
      <c r="H3641" s="3984"/>
      <c r="I3641" s="3984"/>
      <c r="J3641" s="3501" t="str">
        <f>$C$1848</f>
        <v>354550_2021_12_</v>
      </c>
      <c r="K3641" s="663">
        <v>1</v>
      </c>
      <c r="L3641" s="713"/>
      <c r="M3641" s="3022"/>
      <c r="N3641" s="106"/>
      <c r="O3641" s="106"/>
      <c r="P3641" s="702"/>
      <c r="Q3641" s="574"/>
      <c r="R3641" s="702"/>
      <c r="S3641" s="106"/>
      <c r="T3641" s="486"/>
      <c r="U3641" s="106"/>
      <c r="V3641" s="3980"/>
      <c r="W3641" s="663">
        <v>1</v>
      </c>
      <c r="X3641" s="663">
        <v>1</v>
      </c>
      <c r="Y3641" s="663">
        <v>1</v>
      </c>
      <c r="Z3641" s="663">
        <v>1</v>
      </c>
      <c r="AA3641" s="663">
        <v>1</v>
      </c>
      <c r="AB3641" s="663">
        <v>1</v>
      </c>
      <c r="AC3641" s="2923">
        <v>1</v>
      </c>
      <c r="AD3641" s="663">
        <v>1</v>
      </c>
      <c r="AE3641" s="2939"/>
      <c r="AF3641" s="663"/>
      <c r="AG3641" s="663"/>
      <c r="AH3641" s="156"/>
      <c r="AI3641" s="156"/>
      <c r="AJ3641" s="156"/>
      <c r="AK3641" s="156"/>
      <c r="AL3641" s="156"/>
      <c r="AM3641" s="156"/>
      <c r="AN3641" s="156"/>
      <c r="AO3641" s="156"/>
      <c r="AP3641" s="156"/>
      <c r="AQ3641" s="156"/>
      <c r="AR3641" s="156"/>
      <c r="AS3641" s="156"/>
      <c r="AT3641" s="156"/>
      <c r="AU3641" s="156"/>
      <c r="AV3641" s="156"/>
      <c r="AW3641" s="156"/>
      <c r="AX3641" s="156"/>
      <c r="AY3641" s="156"/>
      <c r="AZ3641" s="156"/>
      <c r="BA3641" s="156"/>
      <c r="BB3641" s="2828"/>
      <c r="BC3641" s="452"/>
      <c r="BD3641" s="2829"/>
      <c r="BE3641" s="2837"/>
      <c r="BF3641" s="156"/>
    </row>
    <row r="3642" spans="1:58" ht="15" customHeight="1" outlineLevel="1" x14ac:dyDescent="0.35">
      <c r="A3642" s="1664"/>
      <c r="B3642" s="3641"/>
      <c r="C3642" s="3077"/>
      <c r="D3642" s="3980"/>
      <c r="E3642" s="3883"/>
      <c r="F3642" s="3984" t="str">
        <f>$E$1850</f>
        <v>ASHP-SEER20_ER2_SF</v>
      </c>
      <c r="G3642" s="3984"/>
      <c r="H3642" s="3984"/>
      <c r="I3642" s="3984"/>
      <c r="J3642" s="3501" t="str">
        <f>$C$1850</f>
        <v>354550_2021_12_</v>
      </c>
      <c r="K3642" s="663">
        <v>1</v>
      </c>
      <c r="L3642" s="713"/>
      <c r="M3642" s="3022"/>
      <c r="N3642" s="106"/>
      <c r="O3642" s="106"/>
      <c r="P3642" s="702"/>
      <c r="Q3642" s="574"/>
      <c r="R3642" s="702"/>
      <c r="S3642" s="106"/>
      <c r="T3642" s="486"/>
      <c r="U3642" s="106"/>
      <c r="V3642" s="3980"/>
      <c r="W3642" s="663">
        <v>1</v>
      </c>
      <c r="X3642" s="663">
        <v>1</v>
      </c>
      <c r="Y3642" s="663">
        <v>1</v>
      </c>
      <c r="Z3642" s="663">
        <v>1</v>
      </c>
      <c r="AA3642" s="663">
        <v>1</v>
      </c>
      <c r="AB3642" s="663">
        <v>1</v>
      </c>
      <c r="AC3642" s="2923">
        <v>1</v>
      </c>
      <c r="AD3642" s="663">
        <v>1</v>
      </c>
      <c r="AE3642" s="2939"/>
      <c r="AF3642" s="663"/>
      <c r="AG3642" s="663"/>
      <c r="AH3642" s="156"/>
      <c r="AI3642" s="156"/>
      <c r="AJ3642" s="156"/>
      <c r="AK3642" s="156"/>
      <c r="AL3642" s="156"/>
      <c r="AM3642" s="156"/>
      <c r="AN3642" s="156"/>
      <c r="AO3642" s="156"/>
      <c r="AP3642" s="156"/>
      <c r="AQ3642" s="156"/>
      <c r="AR3642" s="156"/>
      <c r="AS3642" s="156"/>
      <c r="AT3642" s="156"/>
      <c r="AU3642" s="156"/>
      <c r="AV3642" s="156"/>
      <c r="AW3642" s="156"/>
      <c r="AX3642" s="156"/>
      <c r="AY3642" s="156"/>
      <c r="AZ3642" s="156"/>
      <c r="BA3642" s="156"/>
      <c r="BB3642" s="2828"/>
      <c r="BC3642" s="452"/>
      <c r="BD3642" s="2829"/>
      <c r="BE3642" s="2837"/>
      <c r="BF3642" s="156"/>
    </row>
    <row r="3643" spans="1:58" ht="15" customHeight="1" outlineLevel="1" x14ac:dyDescent="0.35">
      <c r="A3643" s="1664"/>
      <c r="B3643" s="3641"/>
      <c r="C3643" s="3077"/>
      <c r="D3643" s="3980"/>
      <c r="E3643" s="3883"/>
      <c r="F3643" s="3984" t="str">
        <f>$E$1852</f>
        <v>ASHP-SEER20_ROF_SF</v>
      </c>
      <c r="G3643" s="3984"/>
      <c r="H3643" s="3984"/>
      <c r="I3643" s="3984"/>
      <c r="J3643" s="3501" t="str">
        <f>$C$1852</f>
        <v>354600_2021_12_</v>
      </c>
      <c r="K3643" s="663">
        <v>1</v>
      </c>
      <c r="L3643" s="713"/>
      <c r="M3643" s="3022"/>
      <c r="N3643" s="106"/>
      <c r="O3643" s="106"/>
      <c r="P3643" s="702"/>
      <c r="Q3643" s="574"/>
      <c r="R3643" s="702"/>
      <c r="S3643" s="106"/>
      <c r="T3643" s="486"/>
      <c r="U3643" s="106"/>
      <c r="V3643" s="3980"/>
      <c r="W3643" s="663">
        <v>1</v>
      </c>
      <c r="X3643" s="663">
        <v>1</v>
      </c>
      <c r="Y3643" s="663">
        <v>1</v>
      </c>
      <c r="Z3643" s="663">
        <v>1</v>
      </c>
      <c r="AA3643" s="663">
        <v>1</v>
      </c>
      <c r="AB3643" s="663">
        <v>1</v>
      </c>
      <c r="AC3643" s="2923">
        <v>1</v>
      </c>
      <c r="AD3643" s="663">
        <v>1</v>
      </c>
      <c r="AE3643" s="2939"/>
      <c r="AF3643" s="663"/>
      <c r="AG3643" s="663"/>
      <c r="AH3643" s="156"/>
      <c r="AI3643" s="156"/>
      <c r="AJ3643" s="156"/>
      <c r="AK3643" s="156"/>
      <c r="AL3643" s="156"/>
      <c r="AM3643" s="156"/>
      <c r="AN3643" s="156"/>
      <c r="AO3643" s="156"/>
      <c r="AP3643" s="156"/>
      <c r="AQ3643" s="156"/>
      <c r="AR3643" s="156"/>
      <c r="AS3643" s="156"/>
      <c r="AT3643" s="156"/>
      <c r="AU3643" s="156"/>
      <c r="AV3643" s="156"/>
      <c r="AW3643" s="156"/>
      <c r="AX3643" s="156"/>
      <c r="AY3643" s="156"/>
      <c r="AZ3643" s="156"/>
      <c r="BA3643" s="156"/>
      <c r="BB3643" s="2828"/>
      <c r="BC3643" s="452"/>
      <c r="BD3643" s="2829"/>
      <c r="BE3643" s="2837"/>
      <c r="BF3643" s="156"/>
    </row>
    <row r="3644" spans="1:58" ht="15" customHeight="1" outlineLevel="1" x14ac:dyDescent="0.35">
      <c r="A3644" s="1664"/>
      <c r="B3644" s="3641"/>
      <c r="C3644" s="3077"/>
      <c r="D3644" s="3980"/>
      <c r="E3644" s="3883"/>
      <c r="F3644" s="3984" t="str">
        <f>$E$1854</f>
        <v>ASHP-SEER20-Replace_CAC_ElectricHeat_ER1_MF</v>
      </c>
      <c r="G3644" s="3984"/>
      <c r="H3644" s="3984"/>
      <c r="I3644" s="3984"/>
      <c r="J3644" s="3501" t="str">
        <f>$C$1854</f>
        <v>354650_2019_12_</v>
      </c>
      <c r="K3644" s="663">
        <v>0.65</v>
      </c>
      <c r="L3644" s="713"/>
      <c r="M3644" s="3022"/>
      <c r="N3644" s="106"/>
      <c r="O3644" s="106"/>
      <c r="P3644" s="702"/>
      <c r="Q3644" s="574"/>
      <c r="R3644" s="702"/>
      <c r="S3644" s="106"/>
      <c r="T3644" s="486"/>
      <c r="U3644" s="106"/>
      <c r="V3644" s="3980"/>
      <c r="W3644" s="663">
        <v>0.65</v>
      </c>
      <c r="X3644" s="663">
        <v>0.65</v>
      </c>
      <c r="Y3644" s="663">
        <v>0.65</v>
      </c>
      <c r="Z3644" s="663">
        <v>0.65</v>
      </c>
      <c r="AA3644" s="663">
        <v>0.65</v>
      </c>
      <c r="AB3644" s="663">
        <v>0.65</v>
      </c>
      <c r="AC3644" s="2923">
        <v>0.65</v>
      </c>
      <c r="AD3644" s="663">
        <v>0.65</v>
      </c>
      <c r="AE3644" s="2939"/>
      <c r="AF3644" s="663"/>
      <c r="AG3644" s="663"/>
      <c r="AH3644" s="156"/>
      <c r="AI3644" s="156"/>
      <c r="AJ3644" s="156"/>
      <c r="AK3644" s="156"/>
      <c r="AL3644" s="156"/>
      <c r="AM3644" s="156"/>
      <c r="AN3644" s="156"/>
      <c r="AO3644" s="156"/>
      <c r="AP3644" s="156"/>
      <c r="AQ3644" s="156"/>
      <c r="AR3644" s="156"/>
      <c r="AS3644" s="156"/>
      <c r="AT3644" s="156"/>
      <c r="AU3644" s="156"/>
      <c r="AV3644" s="156"/>
      <c r="AW3644" s="156"/>
      <c r="AX3644" s="156"/>
      <c r="AY3644" s="156"/>
      <c r="AZ3644" s="156"/>
      <c r="BA3644" s="156"/>
      <c r="BB3644" s="2828"/>
      <c r="BC3644" s="452"/>
      <c r="BD3644" s="2829"/>
      <c r="BE3644" s="2837"/>
      <c r="BF3644" s="156"/>
    </row>
    <row r="3645" spans="1:58" ht="15" customHeight="1" outlineLevel="1" x14ac:dyDescent="0.35">
      <c r="A3645" s="1664"/>
      <c r="B3645" s="3641"/>
      <c r="C3645" s="3077"/>
      <c r="D3645" s="3980"/>
      <c r="E3645" s="3883"/>
      <c r="F3645" s="3984" t="str">
        <f>$E$1856</f>
        <v>ASHP-SEER20-Replace_CAC_ElectricHeat_ER2_MF</v>
      </c>
      <c r="G3645" s="3984"/>
      <c r="H3645" s="3984"/>
      <c r="I3645" s="3984"/>
      <c r="J3645" s="3501" t="str">
        <f>$C$1856</f>
        <v>354650_2019_12_</v>
      </c>
      <c r="K3645" s="663">
        <v>0.65</v>
      </c>
      <c r="L3645" s="713"/>
      <c r="M3645" s="3022"/>
      <c r="N3645" s="106"/>
      <c r="O3645" s="106"/>
      <c r="P3645" s="702"/>
      <c r="Q3645" s="574"/>
      <c r="R3645" s="702"/>
      <c r="S3645" s="106"/>
      <c r="T3645" s="486"/>
      <c r="U3645" s="106"/>
      <c r="V3645" s="3980"/>
      <c r="W3645" s="663">
        <v>0.65</v>
      </c>
      <c r="X3645" s="663">
        <v>0.65</v>
      </c>
      <c r="Y3645" s="663">
        <v>0.65</v>
      </c>
      <c r="Z3645" s="663">
        <v>0.65</v>
      </c>
      <c r="AA3645" s="663">
        <v>0.65</v>
      </c>
      <c r="AB3645" s="663">
        <v>0.65</v>
      </c>
      <c r="AC3645" s="2923">
        <v>0.65</v>
      </c>
      <c r="AD3645" s="663">
        <v>0.65</v>
      </c>
      <c r="AE3645" s="2939"/>
      <c r="AF3645" s="663"/>
      <c r="AG3645" s="663"/>
      <c r="AH3645" s="156"/>
      <c r="AI3645" s="156"/>
      <c r="AJ3645" s="156"/>
      <c r="AK3645" s="156"/>
      <c r="AL3645" s="156"/>
      <c r="AM3645" s="156"/>
      <c r="AN3645" s="156"/>
      <c r="AO3645" s="156"/>
      <c r="AP3645" s="156"/>
      <c r="AQ3645" s="156"/>
      <c r="AR3645" s="156"/>
      <c r="AS3645" s="156"/>
      <c r="AT3645" s="156"/>
      <c r="AU3645" s="156"/>
      <c r="AV3645" s="156"/>
      <c r="AW3645" s="156"/>
      <c r="AX3645" s="156"/>
      <c r="AY3645" s="156"/>
      <c r="AZ3645" s="156"/>
      <c r="BA3645" s="156"/>
      <c r="BB3645" s="2828"/>
      <c r="BC3645" s="452"/>
      <c r="BD3645" s="2829"/>
      <c r="BE3645" s="2837"/>
      <c r="BF3645" s="156"/>
    </row>
    <row r="3646" spans="1:58" ht="15" customHeight="1" outlineLevel="1" x14ac:dyDescent="0.35">
      <c r="A3646" s="1664"/>
      <c r="B3646" s="3641"/>
      <c r="C3646" s="3077"/>
      <c r="D3646" s="3980"/>
      <c r="E3646" s="3883"/>
      <c r="F3646" s="3984" t="str">
        <f>$E$1858</f>
        <v>ASHP-SEER20-Replace_CAC_ElectricHeat_ER1_MF_CompE</v>
      </c>
      <c r="G3646" s="3984"/>
      <c r="H3646" s="3984"/>
      <c r="I3646" s="3984"/>
      <c r="J3646" s="3501" t="str">
        <f>$C$1858</f>
        <v>354651_2019_12_</v>
      </c>
      <c r="K3646" s="663">
        <v>0.65</v>
      </c>
      <c r="L3646" s="713"/>
      <c r="M3646" s="3022"/>
      <c r="N3646" s="106"/>
      <c r="O3646" s="106"/>
      <c r="P3646" s="702"/>
      <c r="Q3646" s="574"/>
      <c r="R3646" s="702"/>
      <c r="S3646" s="106"/>
      <c r="T3646" s="486"/>
      <c r="U3646" s="106"/>
      <c r="V3646" s="3980"/>
      <c r="W3646" s="663"/>
      <c r="X3646" s="663"/>
      <c r="Y3646" s="661">
        <v>0.65</v>
      </c>
      <c r="Z3646" s="663">
        <v>0.65</v>
      </c>
      <c r="AA3646" s="663">
        <v>0.65</v>
      </c>
      <c r="AB3646" s="663">
        <v>0.65</v>
      </c>
      <c r="AC3646" s="2923">
        <f>AC3644</f>
        <v>0.65</v>
      </c>
      <c r="AD3646" s="663">
        <v>0.65</v>
      </c>
      <c r="AE3646" s="2939"/>
      <c r="AF3646" s="663"/>
      <c r="AG3646" s="663"/>
      <c r="AH3646" s="156"/>
      <c r="AI3646" s="156"/>
      <c r="AJ3646" s="156"/>
      <c r="AK3646" s="156"/>
      <c r="AL3646" s="156"/>
      <c r="AM3646" s="156"/>
      <c r="AN3646" s="156"/>
      <c r="AO3646" s="156"/>
      <c r="AP3646" s="156"/>
      <c r="AQ3646" s="156"/>
      <c r="AR3646" s="156"/>
      <c r="AS3646" s="156"/>
      <c r="AT3646" s="156"/>
      <c r="AU3646" s="156"/>
      <c r="AV3646" s="156"/>
      <c r="AW3646" s="156"/>
      <c r="AX3646" s="156"/>
      <c r="AY3646" s="156"/>
      <c r="AZ3646" s="156"/>
      <c r="BA3646" s="156"/>
      <c r="BB3646" s="2828"/>
      <c r="BC3646" s="452"/>
      <c r="BD3646" s="2829"/>
      <c r="BE3646" s="2837"/>
      <c r="BF3646" s="156"/>
    </row>
    <row r="3647" spans="1:58" ht="15" customHeight="1" outlineLevel="1" x14ac:dyDescent="0.35">
      <c r="A3647" s="1664"/>
      <c r="B3647" s="3641"/>
      <c r="C3647" s="3077"/>
      <c r="D3647" s="3980"/>
      <c r="E3647" s="3883"/>
      <c r="F3647" s="3984" t="str">
        <f>$E$1860</f>
        <v>ASHP-SEER20-Replace_CAC_ElectricHeat_ER2_MF_CompE</v>
      </c>
      <c r="G3647" s="3984"/>
      <c r="H3647" s="3984"/>
      <c r="I3647" s="3984"/>
      <c r="J3647" s="3501" t="str">
        <f>$C$1860</f>
        <v>354651_2019_12_</v>
      </c>
      <c r="K3647" s="663">
        <v>0.65</v>
      </c>
      <c r="L3647" s="713"/>
      <c r="M3647" s="3022"/>
      <c r="N3647" s="106"/>
      <c r="O3647" s="106"/>
      <c r="P3647" s="702"/>
      <c r="Q3647" s="574"/>
      <c r="R3647" s="702"/>
      <c r="S3647" s="106"/>
      <c r="T3647" s="486"/>
      <c r="U3647" s="106"/>
      <c r="V3647" s="3980"/>
      <c r="W3647" s="663"/>
      <c r="X3647" s="663"/>
      <c r="Y3647" s="661">
        <v>0.65</v>
      </c>
      <c r="Z3647" s="663">
        <v>0.65</v>
      </c>
      <c r="AA3647" s="663">
        <v>0.65</v>
      </c>
      <c r="AB3647" s="663">
        <v>0.65</v>
      </c>
      <c r="AC3647" s="2923">
        <f>AC3645</f>
        <v>0.65</v>
      </c>
      <c r="AD3647" s="663">
        <v>0.65</v>
      </c>
      <c r="AE3647" s="2939"/>
      <c r="AF3647" s="663"/>
      <c r="AG3647" s="663"/>
      <c r="AH3647" s="156"/>
      <c r="AI3647" s="156"/>
      <c r="AJ3647" s="156"/>
      <c r="AK3647" s="156"/>
      <c r="AL3647" s="156"/>
      <c r="AM3647" s="156"/>
      <c r="AN3647" s="156"/>
      <c r="AO3647" s="156"/>
      <c r="AP3647" s="156"/>
      <c r="AQ3647" s="156"/>
      <c r="AR3647" s="156"/>
      <c r="AS3647" s="156"/>
      <c r="AT3647" s="156"/>
      <c r="AU3647" s="156"/>
      <c r="AV3647" s="156"/>
      <c r="AW3647" s="156"/>
      <c r="AX3647" s="156"/>
      <c r="AY3647" s="156"/>
      <c r="AZ3647" s="156"/>
      <c r="BA3647" s="156"/>
      <c r="BB3647" s="2828"/>
      <c r="BC3647" s="452"/>
      <c r="BD3647" s="2829"/>
      <c r="BE3647" s="2837"/>
      <c r="BF3647" s="156"/>
    </row>
    <row r="3648" spans="1:58" ht="15" customHeight="1" outlineLevel="1" x14ac:dyDescent="0.35">
      <c r="A3648" s="1664"/>
      <c r="B3648" s="3641"/>
      <c r="C3648" s="3077"/>
      <c r="D3648" s="3980"/>
      <c r="E3648" s="3883"/>
      <c r="F3648" s="3984" t="str">
        <f>$E$1862</f>
        <v>ASHP-SEER20-Replace_CAC_NonElectricHeat_ER1_MF</v>
      </c>
      <c r="G3648" s="3984"/>
      <c r="H3648" s="3984"/>
      <c r="I3648" s="3984"/>
      <c r="J3648" s="3501" t="str">
        <f>$C$1862</f>
        <v>354660_2021_12_</v>
      </c>
      <c r="K3648" s="663">
        <v>0.65</v>
      </c>
      <c r="L3648" s="713"/>
      <c r="M3648" s="3022"/>
      <c r="N3648" s="106"/>
      <c r="O3648" s="106"/>
      <c r="P3648" s="702"/>
      <c r="Q3648" s="574"/>
      <c r="R3648" s="702"/>
      <c r="S3648" s="106"/>
      <c r="T3648" s="486"/>
      <c r="U3648" s="106"/>
      <c r="V3648" s="3980"/>
      <c r="W3648" s="663"/>
      <c r="X3648" s="663"/>
      <c r="Y3648" s="661"/>
      <c r="Z3648" s="663"/>
      <c r="AA3648" s="663"/>
      <c r="AB3648" s="663"/>
      <c r="AC3648" s="2924">
        <f t="shared" ref="AC3648:AC3651" si="409">AC3646</f>
        <v>0.65</v>
      </c>
      <c r="AD3648" s="663">
        <v>0.65</v>
      </c>
      <c r="AE3648" s="2939"/>
      <c r="AF3648" s="663"/>
      <c r="AG3648" s="663"/>
      <c r="AH3648" s="156"/>
      <c r="AI3648" s="156"/>
      <c r="AJ3648" s="156"/>
      <c r="AK3648" s="156"/>
      <c r="AL3648" s="156"/>
      <c r="AM3648" s="156"/>
      <c r="AN3648" s="156"/>
      <c r="AO3648" s="156"/>
      <c r="AP3648" s="156"/>
      <c r="AQ3648" s="156"/>
      <c r="AR3648" s="156"/>
      <c r="AS3648" s="156"/>
      <c r="AT3648" s="156"/>
      <c r="AU3648" s="156"/>
      <c r="AV3648" s="156"/>
      <c r="AW3648" s="156"/>
      <c r="AX3648" s="156"/>
      <c r="AY3648" s="156"/>
      <c r="AZ3648" s="156"/>
      <c r="BA3648" s="156"/>
      <c r="BB3648" s="2828"/>
      <c r="BC3648" s="452"/>
      <c r="BD3648" s="2829"/>
      <c r="BE3648" s="2837"/>
      <c r="BF3648" s="156"/>
    </row>
    <row r="3649" spans="1:58" ht="15" customHeight="1" outlineLevel="1" x14ac:dyDescent="0.35">
      <c r="A3649" s="1664"/>
      <c r="B3649" s="3641"/>
      <c r="C3649" s="3077"/>
      <c r="D3649" s="3980"/>
      <c r="E3649" s="3883"/>
      <c r="F3649" s="3984" t="str">
        <f>$E$1864</f>
        <v>ASHP-SEER20-Replace_CAC_NonElectricHeat_ER2_MF</v>
      </c>
      <c r="G3649" s="3984"/>
      <c r="H3649" s="3984"/>
      <c r="I3649" s="3984"/>
      <c r="J3649" s="3501" t="str">
        <f>$C$1864</f>
        <v>354660_2021_12_</v>
      </c>
      <c r="K3649" s="663">
        <v>0.65</v>
      </c>
      <c r="L3649" s="713"/>
      <c r="M3649" s="3022"/>
      <c r="N3649" s="106"/>
      <c r="O3649" s="106"/>
      <c r="P3649" s="702"/>
      <c r="Q3649" s="574"/>
      <c r="R3649" s="702"/>
      <c r="S3649" s="106"/>
      <c r="T3649" s="486"/>
      <c r="U3649" s="106"/>
      <c r="V3649" s="3980"/>
      <c r="W3649" s="663"/>
      <c r="X3649" s="663"/>
      <c r="Y3649" s="661"/>
      <c r="Z3649" s="663"/>
      <c r="AA3649" s="663"/>
      <c r="AB3649" s="663"/>
      <c r="AC3649" s="2924">
        <f t="shared" si="409"/>
        <v>0.65</v>
      </c>
      <c r="AD3649" s="663">
        <v>0.65</v>
      </c>
      <c r="AE3649" s="2939"/>
      <c r="AF3649" s="663"/>
      <c r="AG3649" s="663"/>
      <c r="AH3649" s="156"/>
      <c r="AI3649" s="156"/>
      <c r="AJ3649" s="156"/>
      <c r="AK3649" s="156"/>
      <c r="AL3649" s="156"/>
      <c r="AM3649" s="156"/>
      <c r="AN3649" s="156"/>
      <c r="AO3649" s="156"/>
      <c r="AP3649" s="156"/>
      <c r="AQ3649" s="156"/>
      <c r="AR3649" s="156"/>
      <c r="AS3649" s="156"/>
      <c r="AT3649" s="156"/>
      <c r="AU3649" s="156"/>
      <c r="AV3649" s="156"/>
      <c r="AW3649" s="156"/>
      <c r="AX3649" s="156"/>
      <c r="AY3649" s="156"/>
      <c r="AZ3649" s="156"/>
      <c r="BA3649" s="156"/>
      <c r="BB3649" s="2828"/>
      <c r="BC3649" s="452"/>
      <c r="BD3649" s="2829"/>
      <c r="BE3649" s="2837"/>
      <c r="BF3649" s="156"/>
    </row>
    <row r="3650" spans="1:58" ht="15" customHeight="1" outlineLevel="1" x14ac:dyDescent="0.35">
      <c r="A3650" s="1664"/>
      <c r="B3650" s="3641"/>
      <c r="C3650" s="3077"/>
      <c r="D3650" s="3980"/>
      <c r="E3650" s="3883"/>
      <c r="F3650" s="3984" t="str">
        <f>$E$1866</f>
        <v>ASHP-SEER20-Replace_CAC_NonElectricHeat_ER1_MF_CompE</v>
      </c>
      <c r="G3650" s="3984"/>
      <c r="H3650" s="3984"/>
      <c r="I3650" s="3984"/>
      <c r="J3650" s="3501" t="str">
        <f>$C$1866</f>
        <v>354661_2021_12_</v>
      </c>
      <c r="K3650" s="663">
        <v>0.65</v>
      </c>
      <c r="L3650" s="713"/>
      <c r="M3650" s="3022"/>
      <c r="N3650" s="106"/>
      <c r="O3650" s="106"/>
      <c r="P3650" s="702"/>
      <c r="Q3650" s="574"/>
      <c r="R3650" s="702"/>
      <c r="S3650" s="106"/>
      <c r="T3650" s="486"/>
      <c r="U3650" s="106"/>
      <c r="V3650" s="3980"/>
      <c r="W3650" s="663"/>
      <c r="X3650" s="663"/>
      <c r="Y3650" s="661"/>
      <c r="Z3650" s="663"/>
      <c r="AA3650" s="663"/>
      <c r="AB3650" s="663"/>
      <c r="AC3650" s="2924">
        <f t="shared" si="409"/>
        <v>0.65</v>
      </c>
      <c r="AD3650" s="663">
        <v>0.65</v>
      </c>
      <c r="AE3650" s="2939"/>
      <c r="AF3650" s="663"/>
      <c r="AG3650" s="663"/>
      <c r="AH3650" s="156"/>
      <c r="AI3650" s="156"/>
      <c r="AJ3650" s="156"/>
      <c r="AK3650" s="156"/>
      <c r="AL3650" s="156"/>
      <c r="AM3650" s="156"/>
      <c r="AN3650" s="156"/>
      <c r="AO3650" s="156"/>
      <c r="AP3650" s="156"/>
      <c r="AQ3650" s="156"/>
      <c r="AR3650" s="156"/>
      <c r="AS3650" s="156"/>
      <c r="AT3650" s="156"/>
      <c r="AU3650" s="156"/>
      <c r="AV3650" s="156"/>
      <c r="AW3650" s="156"/>
      <c r="AX3650" s="156"/>
      <c r="AY3650" s="156"/>
      <c r="AZ3650" s="156"/>
      <c r="BA3650" s="156"/>
      <c r="BB3650" s="2828"/>
      <c r="BC3650" s="452"/>
      <c r="BD3650" s="2829"/>
      <c r="BE3650" s="2837"/>
      <c r="BF3650" s="156"/>
    </row>
    <row r="3651" spans="1:58" ht="15" customHeight="1" outlineLevel="1" x14ac:dyDescent="0.35">
      <c r="A3651" s="1664"/>
      <c r="B3651" s="3641"/>
      <c r="C3651" s="3077"/>
      <c r="D3651" s="3980"/>
      <c r="E3651" s="3883"/>
      <c r="F3651" s="3984" t="str">
        <f>$E$1868</f>
        <v>ASHP-SEER20-Replace_CAC_NonElectricHeat_ER2_MF_CompE</v>
      </c>
      <c r="G3651" s="3984"/>
      <c r="H3651" s="3984"/>
      <c r="I3651" s="3984"/>
      <c r="J3651" s="3501" t="str">
        <f>$C$1868</f>
        <v>354661_2021_12_</v>
      </c>
      <c r="K3651" s="663">
        <v>0.65</v>
      </c>
      <c r="L3651" s="713"/>
      <c r="M3651" s="3022"/>
      <c r="N3651" s="106"/>
      <c r="O3651" s="106"/>
      <c r="P3651" s="702"/>
      <c r="Q3651" s="574"/>
      <c r="R3651" s="702"/>
      <c r="S3651" s="106"/>
      <c r="T3651" s="486"/>
      <c r="U3651" s="106"/>
      <c r="V3651" s="3980"/>
      <c r="W3651" s="663"/>
      <c r="X3651" s="663"/>
      <c r="Y3651" s="661"/>
      <c r="Z3651" s="663"/>
      <c r="AA3651" s="663"/>
      <c r="AB3651" s="663"/>
      <c r="AC3651" s="2924">
        <f t="shared" si="409"/>
        <v>0.65</v>
      </c>
      <c r="AD3651" s="663">
        <v>0.65</v>
      </c>
      <c r="AE3651" s="2939"/>
      <c r="AF3651" s="663"/>
      <c r="AG3651" s="663"/>
      <c r="AH3651" s="156"/>
      <c r="AI3651" s="156"/>
      <c r="AJ3651" s="156"/>
      <c r="AK3651" s="156"/>
      <c r="AL3651" s="156"/>
      <c r="AM3651" s="156"/>
      <c r="AN3651" s="156"/>
      <c r="AO3651" s="156"/>
      <c r="AP3651" s="156"/>
      <c r="AQ3651" s="156"/>
      <c r="AR3651" s="156"/>
      <c r="AS3651" s="156"/>
      <c r="AT3651" s="156"/>
      <c r="AU3651" s="156"/>
      <c r="AV3651" s="156"/>
      <c r="AW3651" s="156"/>
      <c r="AX3651" s="156"/>
      <c r="AY3651" s="156"/>
      <c r="AZ3651" s="156"/>
      <c r="BA3651" s="156"/>
      <c r="BB3651" s="2828"/>
      <c r="BC3651" s="452"/>
      <c r="BD3651" s="2829"/>
      <c r="BE3651" s="2837"/>
      <c r="BF3651" s="156"/>
    </row>
    <row r="3652" spans="1:58" ht="15" customHeight="1" outlineLevel="1" x14ac:dyDescent="0.35">
      <c r="A3652" s="1664"/>
      <c r="B3652" s="3641"/>
      <c r="C3652" s="3077"/>
      <c r="D3652" s="3980"/>
      <c r="E3652" s="3883"/>
      <c r="F3652" s="3984" t="str">
        <f>$E$1870</f>
        <v>ASHP-SEER20_ER1_MF</v>
      </c>
      <c r="G3652" s="3984"/>
      <c r="H3652" s="3984"/>
      <c r="I3652" s="3984"/>
      <c r="J3652" s="3501" t="str">
        <f>$C$1870</f>
        <v>354700_2019_12_</v>
      </c>
      <c r="K3652" s="663">
        <v>0.65</v>
      </c>
      <c r="L3652" s="713"/>
      <c r="M3652" s="3022"/>
      <c r="N3652" s="106"/>
      <c r="O3652" s="106"/>
      <c r="P3652" s="702"/>
      <c r="Q3652" s="574"/>
      <c r="R3652" s="702"/>
      <c r="S3652" s="106"/>
      <c r="T3652" s="486"/>
      <c r="U3652" s="106"/>
      <c r="V3652" s="3980"/>
      <c r="W3652" s="663">
        <v>0.65</v>
      </c>
      <c r="X3652" s="663">
        <v>0.65</v>
      </c>
      <c r="Y3652" s="663">
        <v>0.65</v>
      </c>
      <c r="Z3652" s="663">
        <v>0.65</v>
      </c>
      <c r="AA3652" s="663">
        <v>0.65</v>
      </c>
      <c r="AB3652" s="663">
        <v>0.65</v>
      </c>
      <c r="AC3652" s="2923">
        <v>0.65</v>
      </c>
      <c r="AD3652" s="663">
        <v>0.65</v>
      </c>
      <c r="AE3652" s="2939"/>
      <c r="AF3652" s="663"/>
      <c r="AG3652" s="663"/>
      <c r="AH3652" s="156"/>
      <c r="AI3652" s="156"/>
      <c r="AJ3652" s="156"/>
      <c r="AK3652" s="156"/>
      <c r="AL3652" s="156"/>
      <c r="AM3652" s="156"/>
      <c r="AN3652" s="156"/>
      <c r="AO3652" s="156"/>
      <c r="AP3652" s="156"/>
      <c r="AQ3652" s="156"/>
      <c r="AR3652" s="156"/>
      <c r="AS3652" s="156"/>
      <c r="AT3652" s="156"/>
      <c r="AU3652" s="156"/>
      <c r="AV3652" s="156"/>
      <c r="AW3652" s="156"/>
      <c r="AX3652" s="156"/>
      <c r="AY3652" s="156"/>
      <c r="AZ3652" s="156"/>
      <c r="BA3652" s="156"/>
      <c r="BB3652" s="2828"/>
      <c r="BC3652" s="452"/>
      <c r="BD3652" s="2829"/>
      <c r="BE3652" s="2837"/>
      <c r="BF3652" s="156"/>
    </row>
    <row r="3653" spans="1:58" ht="15" customHeight="1" outlineLevel="1" x14ac:dyDescent="0.35">
      <c r="A3653" s="1664"/>
      <c r="B3653" s="3641"/>
      <c r="C3653" s="3077"/>
      <c r="D3653" s="3980"/>
      <c r="E3653" s="3883"/>
      <c r="F3653" s="3984" t="str">
        <f>$E$1872</f>
        <v>ASHP-SEER20_ER2_MF</v>
      </c>
      <c r="G3653" s="3984"/>
      <c r="H3653" s="3984"/>
      <c r="I3653" s="3984"/>
      <c r="J3653" s="3501" t="str">
        <f>$C$1872</f>
        <v>354700_2019_12_</v>
      </c>
      <c r="K3653" s="663">
        <v>0.65</v>
      </c>
      <c r="L3653" s="713"/>
      <c r="M3653" s="3022"/>
      <c r="N3653" s="106"/>
      <c r="O3653" s="106"/>
      <c r="P3653" s="702"/>
      <c r="Q3653" s="574"/>
      <c r="R3653" s="702"/>
      <c r="S3653" s="106"/>
      <c r="T3653" s="486"/>
      <c r="U3653" s="106"/>
      <c r="V3653" s="3980"/>
      <c r="W3653" s="663">
        <v>0.65</v>
      </c>
      <c r="X3653" s="663">
        <v>0.65</v>
      </c>
      <c r="Y3653" s="663">
        <v>0.65</v>
      </c>
      <c r="Z3653" s="663">
        <v>0.65</v>
      </c>
      <c r="AA3653" s="663">
        <v>0.65</v>
      </c>
      <c r="AB3653" s="663">
        <v>0.65</v>
      </c>
      <c r="AC3653" s="2923">
        <v>0.65</v>
      </c>
      <c r="AD3653" s="663">
        <v>0.65</v>
      </c>
      <c r="AE3653" s="2939"/>
      <c r="AF3653" s="663"/>
      <c r="AG3653" s="663"/>
      <c r="AH3653" s="156"/>
      <c r="AI3653" s="156"/>
      <c r="AJ3653" s="156"/>
      <c r="AK3653" s="156"/>
      <c r="AL3653" s="156"/>
      <c r="AM3653" s="156"/>
      <c r="AN3653" s="156"/>
      <c r="AO3653" s="156"/>
      <c r="AP3653" s="156"/>
      <c r="AQ3653" s="156"/>
      <c r="AR3653" s="156"/>
      <c r="AS3653" s="156"/>
      <c r="AT3653" s="156"/>
      <c r="AU3653" s="156"/>
      <c r="AV3653" s="156"/>
      <c r="AW3653" s="156"/>
      <c r="AX3653" s="156"/>
      <c r="AY3653" s="156"/>
      <c r="AZ3653" s="156"/>
      <c r="BA3653" s="156"/>
      <c r="BB3653" s="2828"/>
      <c r="BC3653" s="452"/>
      <c r="BD3653" s="2829"/>
      <c r="BE3653" s="2837"/>
      <c r="BF3653" s="156"/>
    </row>
    <row r="3654" spans="1:58" ht="15" customHeight="1" outlineLevel="1" x14ac:dyDescent="0.35">
      <c r="A3654" s="1664"/>
      <c r="B3654" s="3641"/>
      <c r="C3654" s="3077"/>
      <c r="D3654" s="3980"/>
      <c r="E3654" s="3883"/>
      <c r="F3654" s="3984" t="str">
        <f>$E$1874</f>
        <v>ASHP-SEER20_ER1_MF_CompE</v>
      </c>
      <c r="G3654" s="3984"/>
      <c r="H3654" s="3984"/>
      <c r="I3654" s="3984"/>
      <c r="J3654" s="3501" t="str">
        <f>$C$1874</f>
        <v>354701_2019_12_</v>
      </c>
      <c r="K3654" s="663">
        <v>0.65</v>
      </c>
      <c r="L3654" s="713"/>
      <c r="M3654" s="3022"/>
      <c r="N3654" s="106"/>
      <c r="O3654" s="106"/>
      <c r="P3654" s="702"/>
      <c r="Q3654" s="574"/>
      <c r="R3654" s="702"/>
      <c r="S3654" s="106"/>
      <c r="T3654" s="486"/>
      <c r="U3654" s="106"/>
      <c r="V3654" s="3980"/>
      <c r="W3654" s="663"/>
      <c r="X3654" s="663"/>
      <c r="Y3654" s="661">
        <v>0.65</v>
      </c>
      <c r="Z3654" s="663">
        <v>0.65</v>
      </c>
      <c r="AA3654" s="663">
        <v>0.65</v>
      </c>
      <c r="AB3654" s="663">
        <v>0.65</v>
      </c>
      <c r="AC3654" s="2923">
        <f>AC3652</f>
        <v>0.65</v>
      </c>
      <c r="AD3654" s="663">
        <v>0.65</v>
      </c>
      <c r="AE3654" s="2939"/>
      <c r="AF3654" s="663"/>
      <c r="AG3654" s="663"/>
      <c r="AH3654" s="156"/>
      <c r="AI3654" s="156"/>
      <c r="AJ3654" s="156"/>
      <c r="AK3654" s="156"/>
      <c r="AL3654" s="156"/>
      <c r="AM3654" s="156"/>
      <c r="AN3654" s="156"/>
      <c r="AO3654" s="156"/>
      <c r="AP3654" s="156"/>
      <c r="AQ3654" s="156"/>
      <c r="AR3654" s="156"/>
      <c r="AS3654" s="156"/>
      <c r="AT3654" s="156"/>
      <c r="AU3654" s="156"/>
      <c r="AV3654" s="156"/>
      <c r="AW3654" s="156"/>
      <c r="AX3654" s="156"/>
      <c r="AY3654" s="156"/>
      <c r="AZ3654" s="156"/>
      <c r="BA3654" s="156"/>
      <c r="BB3654" s="2828"/>
      <c r="BC3654" s="452"/>
      <c r="BD3654" s="2829"/>
      <c r="BE3654" s="2837"/>
      <c r="BF3654" s="156"/>
    </row>
    <row r="3655" spans="1:58" ht="15" customHeight="1" outlineLevel="1" x14ac:dyDescent="0.35">
      <c r="A3655" s="1664"/>
      <c r="B3655" s="3641"/>
      <c r="C3655" s="3077"/>
      <c r="D3655" s="3980"/>
      <c r="E3655" s="3883"/>
      <c r="F3655" s="3984" t="str">
        <f>$E$1876</f>
        <v>ASHP-SEER20_ER2_MF_CompE</v>
      </c>
      <c r="G3655" s="3984"/>
      <c r="H3655" s="3984"/>
      <c r="I3655" s="3984"/>
      <c r="J3655" s="3501" t="str">
        <f>$C$1876</f>
        <v>354701_2019_12_</v>
      </c>
      <c r="K3655" s="663">
        <v>0.65</v>
      </c>
      <c r="L3655" s="713"/>
      <c r="M3655" s="3022"/>
      <c r="N3655" s="106"/>
      <c r="O3655" s="106"/>
      <c r="P3655" s="702"/>
      <c r="Q3655" s="574"/>
      <c r="R3655" s="702"/>
      <c r="S3655" s="106"/>
      <c r="T3655" s="486"/>
      <c r="U3655" s="106"/>
      <c r="V3655" s="3980"/>
      <c r="W3655" s="663"/>
      <c r="X3655" s="663"/>
      <c r="Y3655" s="661">
        <v>0.65</v>
      </c>
      <c r="Z3655" s="663">
        <v>0.65</v>
      </c>
      <c r="AA3655" s="663">
        <v>0.65</v>
      </c>
      <c r="AB3655" s="663">
        <v>0.65</v>
      </c>
      <c r="AC3655" s="2923">
        <f>AC3653</f>
        <v>0.65</v>
      </c>
      <c r="AD3655" s="663">
        <v>0.65</v>
      </c>
      <c r="AE3655" s="2939"/>
      <c r="AF3655" s="663"/>
      <c r="AG3655" s="663"/>
      <c r="AH3655" s="156"/>
      <c r="AI3655" s="156"/>
      <c r="AJ3655" s="156"/>
      <c r="AK3655" s="156"/>
      <c r="AL3655" s="156"/>
      <c r="AM3655" s="156"/>
      <c r="AN3655" s="156"/>
      <c r="AO3655" s="156"/>
      <c r="AP3655" s="156"/>
      <c r="AQ3655" s="156"/>
      <c r="AR3655" s="156"/>
      <c r="AS3655" s="156"/>
      <c r="AT3655" s="156"/>
      <c r="AU3655" s="156"/>
      <c r="AV3655" s="156"/>
      <c r="AW3655" s="156"/>
      <c r="AX3655" s="156"/>
      <c r="AY3655" s="156"/>
      <c r="AZ3655" s="156"/>
      <c r="BA3655" s="156"/>
      <c r="BB3655" s="2828"/>
      <c r="BC3655" s="452"/>
      <c r="BD3655" s="2829"/>
      <c r="BE3655" s="2837"/>
      <c r="BF3655" s="156"/>
    </row>
    <row r="3656" spans="1:58" ht="15" customHeight="1" outlineLevel="1" x14ac:dyDescent="0.35">
      <c r="A3656" s="1664"/>
      <c r="B3656" s="3641"/>
      <c r="C3656" s="3077"/>
      <c r="D3656" s="3980"/>
      <c r="E3656" s="3883"/>
      <c r="F3656" s="3984" t="str">
        <f>$E$1878</f>
        <v>ASHP-SEER21_ER1_SF</v>
      </c>
      <c r="G3656" s="3984"/>
      <c r="H3656" s="3984"/>
      <c r="I3656" s="3984"/>
      <c r="J3656" s="3501" t="str">
        <f>$C$1878</f>
        <v>354750_2021_12_</v>
      </c>
      <c r="K3656" s="663">
        <v>1</v>
      </c>
      <c r="L3656" s="713"/>
      <c r="M3656" s="3022"/>
      <c r="N3656" s="106"/>
      <c r="O3656" s="106"/>
      <c r="P3656" s="702"/>
      <c r="Q3656" s="574"/>
      <c r="R3656" s="702"/>
      <c r="S3656" s="106"/>
      <c r="T3656" s="486"/>
      <c r="U3656" s="106"/>
      <c r="V3656" s="3980"/>
      <c r="W3656" s="663">
        <v>1</v>
      </c>
      <c r="X3656" s="663">
        <v>1</v>
      </c>
      <c r="Y3656" s="663">
        <v>1</v>
      </c>
      <c r="Z3656" s="663">
        <v>1</v>
      </c>
      <c r="AA3656" s="663">
        <v>1</v>
      </c>
      <c r="AB3656" s="663">
        <v>1</v>
      </c>
      <c r="AC3656" s="2923">
        <v>1</v>
      </c>
      <c r="AD3656" s="663">
        <v>1</v>
      </c>
      <c r="AE3656" s="2939"/>
      <c r="AF3656" s="663"/>
      <c r="AG3656" s="663"/>
      <c r="AH3656" s="156"/>
      <c r="AI3656" s="156"/>
      <c r="AJ3656" s="156"/>
      <c r="AK3656" s="156"/>
      <c r="AL3656" s="156"/>
      <c r="AM3656" s="156"/>
      <c r="AN3656" s="156"/>
      <c r="AO3656" s="156"/>
      <c r="AP3656" s="156"/>
      <c r="AQ3656" s="156"/>
      <c r="AR3656" s="156"/>
      <c r="AS3656" s="156"/>
      <c r="AT3656" s="156"/>
      <c r="AU3656" s="156"/>
      <c r="AV3656" s="156"/>
      <c r="AW3656" s="156"/>
      <c r="AX3656" s="156"/>
      <c r="AY3656" s="156"/>
      <c r="AZ3656" s="156"/>
      <c r="BA3656" s="156"/>
      <c r="BB3656" s="2828"/>
      <c r="BC3656" s="452"/>
      <c r="BD3656" s="2829"/>
      <c r="BE3656" s="2837"/>
      <c r="BF3656" s="156"/>
    </row>
    <row r="3657" spans="1:58" ht="15" customHeight="1" outlineLevel="1" x14ac:dyDescent="0.35">
      <c r="A3657" s="1664"/>
      <c r="B3657" s="3641"/>
      <c r="C3657" s="3077"/>
      <c r="D3657" s="3980"/>
      <c r="E3657" s="3883"/>
      <c r="F3657" s="3984" t="str">
        <f>$E$1880</f>
        <v>ASHP-SEER21_ER2_SF</v>
      </c>
      <c r="G3657" s="3984"/>
      <c r="H3657" s="3984"/>
      <c r="I3657" s="3984"/>
      <c r="J3657" s="3501" t="str">
        <f>$C$1880</f>
        <v>354750_2021_12_</v>
      </c>
      <c r="K3657" s="663">
        <v>1</v>
      </c>
      <c r="L3657" s="713"/>
      <c r="M3657" s="3022"/>
      <c r="N3657" s="106"/>
      <c r="O3657" s="106"/>
      <c r="P3657" s="702"/>
      <c r="Q3657" s="574"/>
      <c r="R3657" s="702"/>
      <c r="S3657" s="106"/>
      <c r="T3657" s="486"/>
      <c r="U3657" s="106"/>
      <c r="V3657" s="3980"/>
      <c r="W3657" s="663">
        <v>1</v>
      </c>
      <c r="X3657" s="663">
        <v>1</v>
      </c>
      <c r="Y3657" s="663">
        <v>1</v>
      </c>
      <c r="Z3657" s="663">
        <v>1</v>
      </c>
      <c r="AA3657" s="663">
        <v>1</v>
      </c>
      <c r="AB3657" s="663">
        <v>1</v>
      </c>
      <c r="AC3657" s="2923">
        <v>1</v>
      </c>
      <c r="AD3657" s="663">
        <v>1</v>
      </c>
      <c r="AE3657" s="2939"/>
      <c r="AF3657" s="663"/>
      <c r="AG3657" s="663"/>
      <c r="AH3657" s="156"/>
      <c r="AI3657" s="156"/>
      <c r="AJ3657" s="156"/>
      <c r="AK3657" s="156"/>
      <c r="AL3657" s="156"/>
      <c r="AM3657" s="156"/>
      <c r="AN3657" s="156"/>
      <c r="AO3657" s="156"/>
      <c r="AP3657" s="156"/>
      <c r="AQ3657" s="156"/>
      <c r="AR3657" s="156"/>
      <c r="AS3657" s="156"/>
      <c r="AT3657" s="156"/>
      <c r="AU3657" s="156"/>
      <c r="AV3657" s="156"/>
      <c r="AW3657" s="156"/>
      <c r="AX3657" s="156"/>
      <c r="AY3657" s="156"/>
      <c r="AZ3657" s="156"/>
      <c r="BA3657" s="156"/>
      <c r="BB3657" s="2828"/>
      <c r="BC3657" s="452"/>
      <c r="BD3657" s="2829"/>
      <c r="BE3657" s="2837"/>
      <c r="BF3657" s="156"/>
    </row>
    <row r="3658" spans="1:58" ht="15" customHeight="1" outlineLevel="1" x14ac:dyDescent="0.35">
      <c r="A3658" s="1664"/>
      <c r="B3658" s="3641"/>
      <c r="C3658" s="3077"/>
      <c r="D3658" s="3980"/>
      <c r="E3658" s="3883"/>
      <c r="F3658" s="3984" t="str">
        <f>$E$1882</f>
        <v>ASHP-SEER21_ROF_SF</v>
      </c>
      <c r="G3658" s="3984"/>
      <c r="H3658" s="3984"/>
      <c r="I3658" s="3984"/>
      <c r="J3658" s="3501" t="str">
        <f>$C$1882</f>
        <v>354800_2021_12_</v>
      </c>
      <c r="K3658" s="663">
        <v>1</v>
      </c>
      <c r="L3658" s="713"/>
      <c r="M3658" s="3022"/>
      <c r="N3658" s="106"/>
      <c r="O3658" s="106"/>
      <c r="P3658" s="702"/>
      <c r="Q3658" s="574"/>
      <c r="R3658" s="702"/>
      <c r="S3658" s="106"/>
      <c r="T3658" s="486"/>
      <c r="U3658" s="106"/>
      <c r="V3658" s="3980"/>
      <c r="W3658" s="663">
        <v>1</v>
      </c>
      <c r="X3658" s="663">
        <v>1</v>
      </c>
      <c r="Y3658" s="663">
        <v>1</v>
      </c>
      <c r="Z3658" s="663">
        <v>1</v>
      </c>
      <c r="AA3658" s="663">
        <v>1</v>
      </c>
      <c r="AB3658" s="663">
        <v>1</v>
      </c>
      <c r="AC3658" s="2923">
        <v>1</v>
      </c>
      <c r="AD3658" s="663">
        <v>1</v>
      </c>
      <c r="AE3658" s="2939"/>
      <c r="AF3658" s="663"/>
      <c r="AG3658" s="663"/>
      <c r="AH3658" s="156"/>
      <c r="AI3658" s="156"/>
      <c r="AJ3658" s="156"/>
      <c r="AK3658" s="156"/>
      <c r="AL3658" s="156"/>
      <c r="AM3658" s="156"/>
      <c r="AN3658" s="156"/>
      <c r="AO3658" s="156"/>
      <c r="AP3658" s="156"/>
      <c r="AQ3658" s="156"/>
      <c r="AR3658" s="156"/>
      <c r="AS3658" s="156"/>
      <c r="AT3658" s="156"/>
      <c r="AU3658" s="156"/>
      <c r="AV3658" s="156"/>
      <c r="AW3658" s="156"/>
      <c r="AX3658" s="156"/>
      <c r="AY3658" s="156"/>
      <c r="AZ3658" s="156"/>
      <c r="BA3658" s="156"/>
      <c r="BB3658" s="2828"/>
      <c r="BC3658" s="452"/>
      <c r="BD3658" s="2829"/>
      <c r="BE3658" s="2837"/>
      <c r="BF3658" s="156"/>
    </row>
    <row r="3659" spans="1:58" ht="15" customHeight="1" outlineLevel="1" x14ac:dyDescent="0.35">
      <c r="A3659" s="1664"/>
      <c r="B3659" s="3641"/>
      <c r="C3659" s="3077"/>
      <c r="D3659" s="3980"/>
      <c r="E3659" s="3883"/>
      <c r="F3659" s="3984" t="str">
        <f>$E$1884</f>
        <v>ASHP-SEER21-Replace_CAC_ElectricHeat_ROF_MF</v>
      </c>
      <c r="G3659" s="3984"/>
      <c r="H3659" s="3984"/>
      <c r="I3659" s="3984"/>
      <c r="J3659" s="3501" t="str">
        <f>$C$1884</f>
        <v>354850_2019_12_</v>
      </c>
      <c r="K3659" s="663">
        <v>0.65</v>
      </c>
      <c r="L3659" s="713"/>
      <c r="M3659" s="3022"/>
      <c r="N3659" s="106"/>
      <c r="O3659" s="106"/>
      <c r="P3659" s="702"/>
      <c r="Q3659" s="574"/>
      <c r="R3659" s="702"/>
      <c r="S3659" s="106"/>
      <c r="T3659" s="486"/>
      <c r="U3659" s="106"/>
      <c r="V3659" s="3980"/>
      <c r="W3659" s="663">
        <v>0.65</v>
      </c>
      <c r="X3659" s="663">
        <v>0.65</v>
      </c>
      <c r="Y3659" s="663">
        <v>0.65</v>
      </c>
      <c r="Z3659" s="663">
        <v>0.65</v>
      </c>
      <c r="AA3659" s="663">
        <v>0.65</v>
      </c>
      <c r="AB3659" s="663">
        <v>0.65</v>
      </c>
      <c r="AC3659" s="2923">
        <v>0.65</v>
      </c>
      <c r="AD3659" s="663">
        <v>0.65</v>
      </c>
      <c r="AE3659" s="2939"/>
      <c r="AF3659" s="663"/>
      <c r="AG3659" s="663"/>
      <c r="AH3659" s="156"/>
      <c r="AI3659" s="156"/>
      <c r="AJ3659" s="156"/>
      <c r="AK3659" s="156"/>
      <c r="AL3659" s="156"/>
      <c r="AM3659" s="156"/>
      <c r="AN3659" s="156"/>
      <c r="AO3659" s="156"/>
      <c r="AP3659" s="156"/>
      <c r="AQ3659" s="156"/>
      <c r="AR3659" s="156"/>
      <c r="AS3659" s="156"/>
      <c r="AT3659" s="156"/>
      <c r="AU3659" s="156"/>
      <c r="AV3659" s="156"/>
      <c r="AW3659" s="156"/>
      <c r="AX3659" s="156"/>
      <c r="AY3659" s="156"/>
      <c r="AZ3659" s="156"/>
      <c r="BA3659" s="156"/>
      <c r="BB3659" s="2828"/>
      <c r="BC3659" s="452"/>
      <c r="BD3659" s="2829"/>
      <c r="BE3659" s="2837"/>
      <c r="BF3659" s="156"/>
    </row>
    <row r="3660" spans="1:58" ht="15" customHeight="1" outlineLevel="1" x14ac:dyDescent="0.35">
      <c r="A3660" s="1664"/>
      <c r="B3660" s="3641"/>
      <c r="C3660" s="3077"/>
      <c r="D3660" s="3980"/>
      <c r="E3660" s="3883"/>
      <c r="F3660" s="3984" t="str">
        <f>$E$1886</f>
        <v>ASHP-SEER21-Replace_CAC_ElectricHeat_ROF_MF_CompE</v>
      </c>
      <c r="G3660" s="3984"/>
      <c r="H3660" s="3984"/>
      <c r="I3660" s="3984"/>
      <c r="J3660" s="3501" t="str">
        <f>$C$1886</f>
        <v>354851_2019_12_</v>
      </c>
      <c r="K3660" s="663">
        <v>0.65</v>
      </c>
      <c r="L3660" s="713"/>
      <c r="M3660" s="3022"/>
      <c r="N3660" s="106"/>
      <c r="O3660" s="106"/>
      <c r="P3660" s="702"/>
      <c r="Q3660" s="574"/>
      <c r="R3660" s="702"/>
      <c r="S3660" s="106"/>
      <c r="T3660" s="486"/>
      <c r="U3660" s="106"/>
      <c r="V3660" s="3980"/>
      <c r="W3660" s="663"/>
      <c r="X3660" s="663"/>
      <c r="Y3660" s="661">
        <v>0.65</v>
      </c>
      <c r="Z3660" s="663">
        <v>0.65</v>
      </c>
      <c r="AA3660" s="663">
        <v>0.65</v>
      </c>
      <c r="AB3660" s="663">
        <v>0.65</v>
      </c>
      <c r="AC3660" s="2923">
        <f>AC3659</f>
        <v>0.65</v>
      </c>
      <c r="AD3660" s="663">
        <v>0.65</v>
      </c>
      <c r="AE3660" s="2939"/>
      <c r="AF3660" s="663"/>
      <c r="AG3660" s="663"/>
      <c r="AH3660" s="156"/>
      <c r="AI3660" s="156"/>
      <c r="AJ3660" s="156"/>
      <c r="AK3660" s="156"/>
      <c r="AL3660" s="156"/>
      <c r="AM3660" s="156"/>
      <c r="AN3660" s="156"/>
      <c r="AO3660" s="156"/>
      <c r="AP3660" s="156"/>
      <c r="AQ3660" s="156"/>
      <c r="AR3660" s="156"/>
      <c r="AS3660" s="156"/>
      <c r="AT3660" s="156"/>
      <c r="AU3660" s="156"/>
      <c r="AV3660" s="156"/>
      <c r="AW3660" s="156"/>
      <c r="AX3660" s="156"/>
      <c r="AY3660" s="156"/>
      <c r="AZ3660" s="156"/>
      <c r="BA3660" s="156"/>
      <c r="BB3660" s="2828"/>
      <c r="BC3660" s="452"/>
      <c r="BD3660" s="2829"/>
      <c r="BE3660" s="2837"/>
      <c r="BF3660" s="156"/>
    </row>
    <row r="3661" spans="1:58" ht="15" customHeight="1" outlineLevel="1" x14ac:dyDescent="0.35">
      <c r="A3661" s="1664"/>
      <c r="B3661" s="3641"/>
      <c r="C3661" s="3077"/>
      <c r="D3661" s="3980"/>
      <c r="E3661" s="3883"/>
      <c r="F3661" s="3984" t="str">
        <f>$E$1888</f>
        <v>ASHP-SEER21-Replace_CAC_NonElectricHeat_ROF_MF</v>
      </c>
      <c r="G3661" s="3984"/>
      <c r="H3661" s="3984"/>
      <c r="I3661" s="3984"/>
      <c r="J3661" s="3501" t="str">
        <f>$C$1888</f>
        <v>354860_2021_12_</v>
      </c>
      <c r="K3661" s="663">
        <v>0.65</v>
      </c>
      <c r="L3661" s="713"/>
      <c r="M3661" s="3022"/>
      <c r="N3661" s="106"/>
      <c r="O3661" s="106"/>
      <c r="P3661" s="702"/>
      <c r="Q3661" s="574"/>
      <c r="R3661" s="702"/>
      <c r="S3661" s="106"/>
      <c r="T3661" s="486"/>
      <c r="U3661" s="106"/>
      <c r="V3661" s="3980"/>
      <c r="W3661" s="663"/>
      <c r="X3661" s="663"/>
      <c r="Y3661" s="661"/>
      <c r="Z3661" s="663"/>
      <c r="AA3661" s="663"/>
      <c r="AB3661" s="663"/>
      <c r="AC3661" s="2924">
        <f t="shared" ref="AC3661:AC3662" si="410">AC3659</f>
        <v>0.65</v>
      </c>
      <c r="AD3661" s="663">
        <v>0.65</v>
      </c>
      <c r="AE3661" s="2939"/>
      <c r="AF3661" s="663"/>
      <c r="AG3661" s="663"/>
      <c r="AH3661" s="156"/>
      <c r="AI3661" s="156"/>
      <c r="AJ3661" s="156"/>
      <c r="AK3661" s="156"/>
      <c r="AL3661" s="156"/>
      <c r="AM3661" s="156"/>
      <c r="AN3661" s="156"/>
      <c r="AO3661" s="156"/>
      <c r="AP3661" s="156"/>
      <c r="AQ3661" s="156"/>
      <c r="AR3661" s="156"/>
      <c r="AS3661" s="156"/>
      <c r="AT3661" s="156"/>
      <c r="AU3661" s="156"/>
      <c r="AV3661" s="156"/>
      <c r="AW3661" s="156"/>
      <c r="AX3661" s="156"/>
      <c r="AY3661" s="156"/>
      <c r="AZ3661" s="156"/>
      <c r="BA3661" s="156"/>
      <c r="BB3661" s="2828"/>
      <c r="BC3661" s="452"/>
      <c r="BD3661" s="2829"/>
      <c r="BE3661" s="2837"/>
      <c r="BF3661" s="156"/>
    </row>
    <row r="3662" spans="1:58" ht="15" customHeight="1" outlineLevel="1" x14ac:dyDescent="0.35">
      <c r="A3662" s="1664"/>
      <c r="B3662" s="3641"/>
      <c r="C3662" s="3077"/>
      <c r="D3662" s="3980"/>
      <c r="E3662" s="3883"/>
      <c r="F3662" s="3984" t="str">
        <f>$E$1890</f>
        <v>ASHP-SEER21-Replace_CAC_NonElectricHeat_ROF_MF_CompE</v>
      </c>
      <c r="G3662" s="3984"/>
      <c r="H3662" s="3984"/>
      <c r="I3662" s="3984"/>
      <c r="J3662" s="3501" t="str">
        <f>$C$1890</f>
        <v>354861_2021_12_</v>
      </c>
      <c r="K3662" s="663">
        <v>0.65</v>
      </c>
      <c r="L3662" s="713"/>
      <c r="M3662" s="3022"/>
      <c r="N3662" s="106"/>
      <c r="O3662" s="106"/>
      <c r="P3662" s="702"/>
      <c r="Q3662" s="574"/>
      <c r="R3662" s="702"/>
      <c r="S3662" s="106"/>
      <c r="T3662" s="486"/>
      <c r="U3662" s="106"/>
      <c r="V3662" s="3980"/>
      <c r="W3662" s="663"/>
      <c r="X3662" s="663"/>
      <c r="Y3662" s="661"/>
      <c r="Z3662" s="663"/>
      <c r="AA3662" s="663"/>
      <c r="AB3662" s="663"/>
      <c r="AC3662" s="2924">
        <f t="shared" si="410"/>
        <v>0.65</v>
      </c>
      <c r="AD3662" s="663">
        <v>0.65</v>
      </c>
      <c r="AE3662" s="2939"/>
      <c r="AF3662" s="663"/>
      <c r="AG3662" s="663"/>
      <c r="AH3662" s="156"/>
      <c r="AI3662" s="156"/>
      <c r="AJ3662" s="156"/>
      <c r="AK3662" s="156"/>
      <c r="AL3662" s="156"/>
      <c r="AM3662" s="156"/>
      <c r="AN3662" s="156"/>
      <c r="AO3662" s="156"/>
      <c r="AP3662" s="156"/>
      <c r="AQ3662" s="156"/>
      <c r="AR3662" s="156"/>
      <c r="AS3662" s="156"/>
      <c r="AT3662" s="156"/>
      <c r="AU3662" s="156"/>
      <c r="AV3662" s="156"/>
      <c r="AW3662" s="156"/>
      <c r="AX3662" s="156"/>
      <c r="AY3662" s="156"/>
      <c r="AZ3662" s="156"/>
      <c r="BA3662" s="156"/>
      <c r="BB3662" s="2828"/>
      <c r="BC3662" s="452"/>
      <c r="BD3662" s="2829"/>
      <c r="BE3662" s="2837"/>
      <c r="BF3662" s="156"/>
    </row>
    <row r="3663" spans="1:58" ht="15" customHeight="1" outlineLevel="1" x14ac:dyDescent="0.35">
      <c r="A3663" s="1664"/>
      <c r="B3663" s="3641"/>
      <c r="C3663" s="3077"/>
      <c r="D3663" s="3980"/>
      <c r="E3663" s="3883"/>
      <c r="F3663" s="3984" t="str">
        <f>$E$1892</f>
        <v>ASHP-SEER21_ER1_MF</v>
      </c>
      <c r="G3663" s="3984"/>
      <c r="H3663" s="3984"/>
      <c r="I3663" s="3984"/>
      <c r="J3663" s="3501" t="str">
        <f>$C$1892</f>
        <v>354900_2019_12_</v>
      </c>
      <c r="K3663" s="663">
        <v>0.65</v>
      </c>
      <c r="L3663" s="713"/>
      <c r="M3663" s="3022"/>
      <c r="N3663" s="106"/>
      <c r="O3663" s="106"/>
      <c r="P3663" s="702"/>
      <c r="Q3663" s="574"/>
      <c r="R3663" s="702"/>
      <c r="S3663" s="106"/>
      <c r="T3663" s="486"/>
      <c r="U3663" s="106"/>
      <c r="V3663" s="3980"/>
      <c r="W3663" s="663">
        <v>0.65</v>
      </c>
      <c r="X3663" s="663">
        <v>0.65</v>
      </c>
      <c r="Y3663" s="663">
        <v>0.65</v>
      </c>
      <c r="Z3663" s="663">
        <v>0.65</v>
      </c>
      <c r="AA3663" s="663">
        <v>0.65</v>
      </c>
      <c r="AB3663" s="663">
        <v>0.65</v>
      </c>
      <c r="AC3663" s="2923">
        <v>0.65</v>
      </c>
      <c r="AD3663" s="663">
        <v>0.65</v>
      </c>
      <c r="AE3663" s="2939"/>
      <c r="AF3663" s="663"/>
      <c r="AG3663" s="663"/>
      <c r="AH3663" s="156"/>
      <c r="AI3663" s="156"/>
      <c r="AJ3663" s="156"/>
      <c r="AK3663" s="156"/>
      <c r="AL3663" s="156"/>
      <c r="AM3663" s="156"/>
      <c r="AN3663" s="156"/>
      <c r="AO3663" s="156"/>
      <c r="AP3663" s="156"/>
      <c r="AQ3663" s="156"/>
      <c r="AR3663" s="156"/>
      <c r="AS3663" s="156"/>
      <c r="AT3663" s="156"/>
      <c r="AU3663" s="156"/>
      <c r="AV3663" s="156"/>
      <c r="AW3663" s="156"/>
      <c r="AX3663" s="156"/>
      <c r="AY3663" s="156"/>
      <c r="AZ3663" s="156"/>
      <c r="BA3663" s="156"/>
      <c r="BB3663" s="2828"/>
      <c r="BC3663" s="452"/>
      <c r="BD3663" s="2829"/>
      <c r="BE3663" s="2837"/>
      <c r="BF3663" s="156"/>
    </row>
    <row r="3664" spans="1:58" ht="15" customHeight="1" outlineLevel="1" x14ac:dyDescent="0.35">
      <c r="A3664" s="1664"/>
      <c r="B3664" s="3641"/>
      <c r="C3664" s="3077"/>
      <c r="D3664" s="3980"/>
      <c r="E3664" s="3883"/>
      <c r="F3664" s="3984" t="str">
        <f>$E$1894</f>
        <v>ASHP-SEER21_ER2_MF</v>
      </c>
      <c r="G3664" s="3984"/>
      <c r="H3664" s="3984"/>
      <c r="I3664" s="3984"/>
      <c r="J3664" s="3501" t="str">
        <f>$C$1894</f>
        <v>354900_2019_12_</v>
      </c>
      <c r="K3664" s="663">
        <v>0.65</v>
      </c>
      <c r="L3664" s="713"/>
      <c r="M3664" s="3022"/>
      <c r="N3664" s="106"/>
      <c r="O3664" s="106"/>
      <c r="P3664" s="702"/>
      <c r="Q3664" s="574"/>
      <c r="R3664" s="702"/>
      <c r="S3664" s="106"/>
      <c r="T3664" s="486"/>
      <c r="U3664" s="106"/>
      <c r="V3664" s="3980"/>
      <c r="W3664" s="663">
        <v>0.65</v>
      </c>
      <c r="X3664" s="663">
        <v>0.65</v>
      </c>
      <c r="Y3664" s="663">
        <v>0.65</v>
      </c>
      <c r="Z3664" s="663">
        <v>0.65</v>
      </c>
      <c r="AA3664" s="663">
        <v>0.65</v>
      </c>
      <c r="AB3664" s="663">
        <v>0.65</v>
      </c>
      <c r="AC3664" s="2923">
        <v>0.65</v>
      </c>
      <c r="AD3664" s="663">
        <v>0.65</v>
      </c>
      <c r="AE3664" s="2939"/>
      <c r="AF3664" s="663"/>
      <c r="AG3664" s="663"/>
      <c r="AH3664" s="156"/>
      <c r="AI3664" s="156"/>
      <c r="AJ3664" s="156"/>
      <c r="AK3664" s="156"/>
      <c r="AL3664" s="156"/>
      <c r="AM3664" s="156"/>
      <c r="AN3664" s="156"/>
      <c r="AO3664" s="156"/>
      <c r="AP3664" s="156"/>
      <c r="AQ3664" s="156"/>
      <c r="AR3664" s="156"/>
      <c r="AS3664" s="156"/>
      <c r="AT3664" s="156"/>
      <c r="AU3664" s="156"/>
      <c r="AV3664" s="156"/>
      <c r="AW3664" s="156"/>
      <c r="AX3664" s="156"/>
      <c r="AY3664" s="156"/>
      <c r="AZ3664" s="156"/>
      <c r="BA3664" s="156"/>
      <c r="BB3664" s="2828"/>
      <c r="BC3664" s="452"/>
      <c r="BD3664" s="2829"/>
      <c r="BE3664" s="2837"/>
      <c r="BF3664" s="156"/>
    </row>
    <row r="3665" spans="1:58" ht="15" customHeight="1" outlineLevel="1" x14ac:dyDescent="0.35">
      <c r="A3665" s="1664"/>
      <c r="B3665" s="3641"/>
      <c r="C3665" s="3077"/>
      <c r="D3665" s="3980"/>
      <c r="E3665" s="3883"/>
      <c r="F3665" s="3984" t="str">
        <f>$E$1896</f>
        <v>ASHP-SEER21_ER1_MF_CompE</v>
      </c>
      <c r="G3665" s="3984"/>
      <c r="H3665" s="3984"/>
      <c r="I3665" s="3984"/>
      <c r="J3665" s="3501" t="str">
        <f>$C$1896</f>
        <v>354901_2019_12_</v>
      </c>
      <c r="K3665" s="663">
        <v>0.65</v>
      </c>
      <c r="L3665" s="704"/>
      <c r="M3665" s="3022"/>
      <c r="N3665" s="106"/>
      <c r="O3665" s="106"/>
      <c r="P3665" s="702"/>
      <c r="Q3665" s="574"/>
      <c r="R3665" s="702"/>
      <c r="S3665" s="106"/>
      <c r="T3665" s="486"/>
      <c r="U3665" s="106"/>
      <c r="V3665" s="3980"/>
      <c r="W3665" s="663"/>
      <c r="X3665" s="663"/>
      <c r="Y3665" s="661">
        <v>0.65</v>
      </c>
      <c r="Z3665" s="663">
        <v>0.65</v>
      </c>
      <c r="AA3665" s="663">
        <v>0.65</v>
      </c>
      <c r="AB3665" s="663">
        <v>0.65</v>
      </c>
      <c r="AC3665" s="2923">
        <f>AC3663</f>
        <v>0.65</v>
      </c>
      <c r="AD3665" s="663">
        <v>0.65</v>
      </c>
      <c r="AE3665" s="2939"/>
      <c r="AF3665" s="663"/>
      <c r="AG3665" s="663"/>
      <c r="AH3665" s="156"/>
      <c r="AI3665" s="156"/>
      <c r="AJ3665" s="156"/>
      <c r="AK3665" s="156"/>
      <c r="AL3665" s="156"/>
      <c r="AM3665" s="156"/>
      <c r="AN3665" s="156"/>
      <c r="AO3665" s="156"/>
      <c r="AP3665" s="156"/>
      <c r="AQ3665" s="156"/>
      <c r="AR3665" s="156"/>
      <c r="AS3665" s="156"/>
      <c r="AT3665" s="156"/>
      <c r="AU3665" s="156"/>
      <c r="AV3665" s="156"/>
      <c r="AW3665" s="156"/>
      <c r="AX3665" s="156"/>
      <c r="AY3665" s="156"/>
      <c r="AZ3665" s="156"/>
      <c r="BA3665" s="156"/>
      <c r="BB3665" s="2828"/>
      <c r="BC3665" s="452"/>
      <c r="BD3665" s="2829"/>
      <c r="BE3665" s="2837"/>
      <c r="BF3665" s="156"/>
    </row>
    <row r="3666" spans="1:58" ht="15" customHeight="1" outlineLevel="1" x14ac:dyDescent="0.35">
      <c r="A3666" s="1664"/>
      <c r="B3666" s="3641"/>
      <c r="C3666" s="3077"/>
      <c r="D3666" s="3980"/>
      <c r="E3666" s="3883"/>
      <c r="F3666" s="3984" t="str">
        <f>$E$1898</f>
        <v>ASHP-SEER21_ER2_MF_CompE</v>
      </c>
      <c r="G3666" s="3984"/>
      <c r="H3666" s="3984"/>
      <c r="I3666" s="3984"/>
      <c r="J3666" s="3501" t="str">
        <f>$C$1898</f>
        <v>354901_2019_12_</v>
      </c>
      <c r="K3666" s="663">
        <v>0.65</v>
      </c>
      <c r="L3666" s="704"/>
      <c r="M3666" s="3022"/>
      <c r="N3666" s="106"/>
      <c r="O3666" s="106"/>
      <c r="P3666" s="702"/>
      <c r="Q3666" s="574"/>
      <c r="R3666" s="702"/>
      <c r="S3666" s="106"/>
      <c r="T3666" s="486"/>
      <c r="U3666" s="106"/>
      <c r="V3666" s="3980"/>
      <c r="W3666" s="663"/>
      <c r="X3666" s="663"/>
      <c r="Y3666" s="661">
        <v>0.65</v>
      </c>
      <c r="Z3666" s="663">
        <v>0.65</v>
      </c>
      <c r="AA3666" s="663">
        <v>0.65</v>
      </c>
      <c r="AB3666" s="663">
        <v>0.65</v>
      </c>
      <c r="AC3666" s="2923">
        <f>AC3664</f>
        <v>0.65</v>
      </c>
      <c r="AD3666" s="663">
        <v>0.65</v>
      </c>
      <c r="AE3666" s="2939"/>
      <c r="AF3666" s="663"/>
      <c r="AG3666" s="663"/>
      <c r="AH3666" s="156"/>
      <c r="AI3666" s="156"/>
      <c r="AJ3666" s="156"/>
      <c r="AK3666" s="156"/>
      <c r="AL3666" s="156"/>
      <c r="AM3666" s="156"/>
      <c r="AN3666" s="156"/>
      <c r="AO3666" s="156"/>
      <c r="AP3666" s="156"/>
      <c r="AQ3666" s="156"/>
      <c r="AR3666" s="156"/>
      <c r="AS3666" s="156"/>
      <c r="AT3666" s="156"/>
      <c r="AU3666" s="156"/>
      <c r="AV3666" s="156"/>
      <c r="AW3666" s="156"/>
      <c r="AX3666" s="156"/>
      <c r="AY3666" s="156"/>
      <c r="AZ3666" s="156"/>
      <c r="BA3666" s="156"/>
      <c r="BB3666" s="2828"/>
      <c r="BC3666" s="452"/>
      <c r="BD3666" s="2829"/>
      <c r="BE3666" s="2837"/>
      <c r="BF3666" s="156"/>
    </row>
    <row r="3667" spans="1:58" ht="15" customHeight="1" outlineLevel="1" x14ac:dyDescent="0.35">
      <c r="A3667" s="1664"/>
      <c r="B3667" s="3641"/>
      <c r="C3667" s="3077"/>
      <c r="D3667" s="3980"/>
      <c r="E3667" s="3883"/>
      <c r="F3667" s="3984" t="str">
        <f>$E$1900</f>
        <v>ASHP-SEER17_ROF_MF</v>
      </c>
      <c r="G3667" s="3984"/>
      <c r="H3667" s="3984"/>
      <c r="I3667" s="3984"/>
      <c r="J3667" s="3501" t="str">
        <f>$C$1900</f>
        <v>354950_2019_12_</v>
      </c>
      <c r="K3667" s="663">
        <v>0.65</v>
      </c>
      <c r="L3667" s="704"/>
      <c r="M3667" s="3020" t="s">
        <v>977</v>
      </c>
      <c r="N3667" s="106"/>
      <c r="O3667" s="106"/>
      <c r="P3667" s="702"/>
      <c r="Q3667" s="574"/>
      <c r="R3667" s="702"/>
      <c r="S3667" s="106"/>
      <c r="T3667" s="486"/>
      <c r="U3667" s="106"/>
      <c r="V3667" s="3980"/>
      <c r="W3667" s="663">
        <v>0.65</v>
      </c>
      <c r="X3667" s="663">
        <v>0.65</v>
      </c>
      <c r="Y3667" s="663">
        <v>0.65</v>
      </c>
      <c r="Z3667" s="663">
        <v>0.65</v>
      </c>
      <c r="AA3667" s="663">
        <v>0.65</v>
      </c>
      <c r="AB3667" s="663">
        <v>0.65</v>
      </c>
      <c r="AC3667" s="2923">
        <v>0.65</v>
      </c>
      <c r="AD3667" s="663">
        <v>0.65</v>
      </c>
      <c r="AE3667" s="2939"/>
      <c r="AF3667" s="663"/>
      <c r="AG3667" s="663"/>
      <c r="AH3667" s="156"/>
      <c r="AI3667" s="156"/>
      <c r="AJ3667" s="156"/>
      <c r="AK3667" s="156"/>
      <c r="AL3667" s="156"/>
      <c r="AM3667" s="156"/>
      <c r="AN3667" s="156"/>
      <c r="AO3667" s="156"/>
      <c r="AP3667" s="156"/>
      <c r="AQ3667" s="156"/>
      <c r="AR3667" s="156"/>
      <c r="AS3667" s="156"/>
      <c r="AT3667" s="156"/>
      <c r="AU3667" s="156"/>
      <c r="AV3667" s="156"/>
      <c r="AW3667" s="156"/>
      <c r="AX3667" s="156"/>
      <c r="AY3667" s="156"/>
      <c r="AZ3667" s="156"/>
      <c r="BA3667" s="156"/>
      <c r="BB3667" s="2828"/>
      <c r="BC3667" s="452"/>
      <c r="BD3667" s="2829"/>
      <c r="BE3667" s="2837"/>
      <c r="BF3667" s="156"/>
    </row>
    <row r="3668" spans="1:58" ht="15" customHeight="1" outlineLevel="1" x14ac:dyDescent="0.35">
      <c r="A3668" s="1664"/>
      <c r="B3668" s="3641"/>
      <c r="C3668" s="3077"/>
      <c r="D3668" s="3980"/>
      <c r="E3668" s="3883"/>
      <c r="F3668" s="3984" t="str">
        <f>$E$1902</f>
        <v>ASHP-SEER17_ROF_MF_CompE</v>
      </c>
      <c r="G3668" s="3984"/>
      <c r="H3668" s="3984"/>
      <c r="I3668" s="3984"/>
      <c r="J3668" s="3501" t="str">
        <f>$C$1902</f>
        <v>354951_2019_12_</v>
      </c>
      <c r="K3668" s="663">
        <v>0.65</v>
      </c>
      <c r="L3668" s="704"/>
      <c r="M3668" s="3020"/>
      <c r="N3668" s="106"/>
      <c r="O3668" s="106"/>
      <c r="P3668" s="702"/>
      <c r="Q3668" s="574"/>
      <c r="R3668" s="702"/>
      <c r="S3668" s="106"/>
      <c r="T3668" s="486"/>
      <c r="U3668" s="106"/>
      <c r="V3668" s="3980"/>
      <c r="W3668" s="663"/>
      <c r="X3668" s="663"/>
      <c r="Y3668" s="661">
        <v>0.65</v>
      </c>
      <c r="Z3668" s="663">
        <v>0.65</v>
      </c>
      <c r="AA3668" s="663">
        <v>0.65</v>
      </c>
      <c r="AB3668" s="663">
        <v>0.65</v>
      </c>
      <c r="AC3668" s="2923">
        <f>AC3667</f>
        <v>0.65</v>
      </c>
      <c r="AD3668" s="663">
        <v>0.65</v>
      </c>
      <c r="AE3668" s="2939"/>
      <c r="AF3668" s="663"/>
      <c r="AG3668" s="663"/>
      <c r="AH3668" s="156"/>
      <c r="AI3668" s="156"/>
      <c r="AJ3668" s="156"/>
      <c r="AK3668" s="156"/>
      <c r="AL3668" s="156"/>
      <c r="AM3668" s="156"/>
      <c r="AN3668" s="156"/>
      <c r="AO3668" s="156"/>
      <c r="AP3668" s="156"/>
      <c r="AQ3668" s="156"/>
      <c r="AR3668" s="156"/>
      <c r="AS3668" s="156"/>
      <c r="AT3668" s="156"/>
      <c r="AU3668" s="156"/>
      <c r="AV3668" s="156"/>
      <c r="AW3668" s="156"/>
      <c r="AX3668" s="156"/>
      <c r="AY3668" s="156"/>
      <c r="AZ3668" s="156"/>
      <c r="BA3668" s="156"/>
      <c r="BB3668" s="2828"/>
      <c r="BC3668" s="452"/>
      <c r="BD3668" s="2829"/>
      <c r="BE3668" s="2837"/>
      <c r="BF3668" s="156"/>
    </row>
    <row r="3669" spans="1:58" ht="15" customHeight="1" outlineLevel="1" x14ac:dyDescent="0.35">
      <c r="A3669" s="1664"/>
      <c r="B3669" s="3641"/>
      <c r="C3669" s="3077"/>
      <c r="D3669" s="3980"/>
      <c r="E3669" s="3883"/>
      <c r="F3669" s="3984" t="str">
        <f>$E$1904</f>
        <v>ASHP-SEER18_ROF_MF</v>
      </c>
      <c r="G3669" s="3984"/>
      <c r="H3669" s="3984"/>
      <c r="I3669" s="3984"/>
      <c r="J3669" s="3501" t="str">
        <f>$C$1904</f>
        <v>355000_2019_12_</v>
      </c>
      <c r="K3669" s="663">
        <v>0.65</v>
      </c>
      <c r="L3669" s="704"/>
      <c r="M3669" s="3020" t="s">
        <v>977</v>
      </c>
      <c r="N3669" s="106"/>
      <c r="O3669" s="106"/>
      <c r="P3669" s="702"/>
      <c r="Q3669" s="574"/>
      <c r="R3669" s="702"/>
      <c r="S3669" s="106"/>
      <c r="T3669" s="486"/>
      <c r="U3669" s="106"/>
      <c r="V3669" s="3980"/>
      <c r="W3669" s="663">
        <v>0.65</v>
      </c>
      <c r="X3669" s="663">
        <v>0.65</v>
      </c>
      <c r="Y3669" s="663">
        <v>0.65</v>
      </c>
      <c r="Z3669" s="663">
        <v>0.65</v>
      </c>
      <c r="AA3669" s="663">
        <v>0.65</v>
      </c>
      <c r="AB3669" s="663">
        <v>0.65</v>
      </c>
      <c r="AC3669" s="2923">
        <v>0.65</v>
      </c>
      <c r="AD3669" s="663">
        <v>0.65</v>
      </c>
      <c r="AE3669" s="2939"/>
      <c r="AF3669" s="663"/>
      <c r="AG3669" s="663"/>
      <c r="AH3669" s="156"/>
      <c r="AI3669" s="156"/>
      <c r="AJ3669" s="156"/>
      <c r="AK3669" s="156"/>
      <c r="AL3669" s="156"/>
      <c r="AM3669" s="156"/>
      <c r="AN3669" s="156"/>
      <c r="AO3669" s="156"/>
      <c r="AP3669" s="156"/>
      <c r="AQ3669" s="156"/>
      <c r="AR3669" s="156"/>
      <c r="AS3669" s="156"/>
      <c r="AT3669" s="156"/>
      <c r="AU3669" s="156"/>
      <c r="AV3669" s="156"/>
      <c r="AW3669" s="156"/>
      <c r="AX3669" s="156"/>
      <c r="AY3669" s="156"/>
      <c r="AZ3669" s="156"/>
      <c r="BA3669" s="156"/>
      <c r="BB3669" s="2828"/>
      <c r="BC3669" s="452"/>
      <c r="BD3669" s="2829"/>
      <c r="BE3669" s="2837"/>
      <c r="BF3669" s="156"/>
    </row>
    <row r="3670" spans="1:58" ht="15" customHeight="1" outlineLevel="1" x14ac:dyDescent="0.35">
      <c r="A3670" s="1664"/>
      <c r="B3670" s="3641"/>
      <c r="C3670" s="3077"/>
      <c r="D3670" s="3980"/>
      <c r="E3670" s="3883"/>
      <c r="F3670" s="3984" t="str">
        <f>$E$1906</f>
        <v>ASHP-SEER18_ROF_MF_CompE</v>
      </c>
      <c r="G3670" s="3984"/>
      <c r="H3670" s="3984"/>
      <c r="I3670" s="3984"/>
      <c r="J3670" s="3501" t="str">
        <f>$C$1906</f>
        <v>355001_2021_12_</v>
      </c>
      <c r="K3670" s="663">
        <v>0.65</v>
      </c>
      <c r="L3670" s="704"/>
      <c r="M3670" s="3020"/>
      <c r="N3670" s="106"/>
      <c r="O3670" s="106"/>
      <c r="P3670" s="702"/>
      <c r="Q3670" s="574"/>
      <c r="R3670" s="702"/>
      <c r="S3670" s="106"/>
      <c r="T3670" s="486"/>
      <c r="U3670" s="106"/>
      <c r="V3670" s="3980"/>
      <c r="W3670" s="663"/>
      <c r="X3670" s="663"/>
      <c r="Y3670" s="661">
        <v>1</v>
      </c>
      <c r="Z3670" s="663">
        <v>1</v>
      </c>
      <c r="AA3670" s="663">
        <v>1</v>
      </c>
      <c r="AB3670" s="663">
        <v>1</v>
      </c>
      <c r="AC3670" s="2923">
        <v>1</v>
      </c>
      <c r="AD3670" s="663">
        <v>0.65</v>
      </c>
      <c r="AE3670" s="2939"/>
      <c r="AF3670" s="663"/>
      <c r="AG3670" s="663"/>
      <c r="AH3670" s="156"/>
      <c r="AI3670" s="156"/>
      <c r="AJ3670" s="156"/>
      <c r="AK3670" s="156"/>
      <c r="AL3670" s="156"/>
      <c r="AM3670" s="156"/>
      <c r="AN3670" s="156"/>
      <c r="AO3670" s="156"/>
      <c r="AP3670" s="156"/>
      <c r="AQ3670" s="156"/>
      <c r="AR3670" s="156"/>
      <c r="AS3670" s="156"/>
      <c r="AT3670" s="156"/>
      <c r="AU3670" s="156"/>
      <c r="AV3670" s="156"/>
      <c r="AW3670" s="156"/>
      <c r="AX3670" s="156"/>
      <c r="AY3670" s="156"/>
      <c r="AZ3670" s="156"/>
      <c r="BA3670" s="156"/>
      <c r="BB3670" s="2828"/>
      <c r="BC3670" s="452"/>
      <c r="BD3670" s="2829"/>
      <c r="BE3670" s="2837"/>
      <c r="BF3670" s="156"/>
    </row>
    <row r="3671" spans="1:58" ht="15" customHeight="1" outlineLevel="1" x14ac:dyDescent="0.35">
      <c r="A3671" s="1664"/>
      <c r="B3671" s="3641"/>
      <c r="C3671" s="3077"/>
      <c r="D3671" s="3980"/>
      <c r="E3671" s="3883"/>
      <c r="F3671" s="3984" t="str">
        <f>$E$1908</f>
        <v>ASHP-SEER19_ROF_MF</v>
      </c>
      <c r="G3671" s="3984"/>
      <c r="H3671" s="3984"/>
      <c r="I3671" s="3984"/>
      <c r="J3671" s="3501" t="str">
        <f>$C$1908</f>
        <v>355050_2019_12_</v>
      </c>
      <c r="K3671" s="663">
        <v>0.65</v>
      </c>
      <c r="L3671" s="704"/>
      <c r="M3671" s="3020" t="s">
        <v>977</v>
      </c>
      <c r="N3671" s="106"/>
      <c r="O3671" s="106"/>
      <c r="P3671" s="702"/>
      <c r="Q3671" s="574"/>
      <c r="R3671" s="702"/>
      <c r="S3671" s="106"/>
      <c r="T3671" s="486"/>
      <c r="U3671" s="106"/>
      <c r="V3671" s="3980"/>
      <c r="W3671" s="663">
        <v>0.65</v>
      </c>
      <c r="X3671" s="663">
        <v>0.65</v>
      </c>
      <c r="Y3671" s="663">
        <v>0.65</v>
      </c>
      <c r="Z3671" s="663">
        <v>0.65</v>
      </c>
      <c r="AA3671" s="663">
        <v>0.65</v>
      </c>
      <c r="AB3671" s="663">
        <v>0.65</v>
      </c>
      <c r="AC3671" s="2923">
        <v>0.65</v>
      </c>
      <c r="AD3671" s="663">
        <v>0.65</v>
      </c>
      <c r="AE3671" s="2939"/>
      <c r="AF3671" s="663"/>
      <c r="AG3671" s="663"/>
      <c r="AH3671" s="156"/>
      <c r="AI3671" s="156"/>
      <c r="AJ3671" s="156"/>
      <c r="AK3671" s="156"/>
      <c r="AL3671" s="156"/>
      <c r="AM3671" s="156"/>
      <c r="AN3671" s="156"/>
      <c r="AO3671" s="156"/>
      <c r="AP3671" s="156"/>
      <c r="AQ3671" s="156"/>
      <c r="AR3671" s="156"/>
      <c r="AS3671" s="156"/>
      <c r="AT3671" s="156"/>
      <c r="AU3671" s="156"/>
      <c r="AV3671" s="156"/>
      <c r="AW3671" s="156"/>
      <c r="AX3671" s="156"/>
      <c r="AY3671" s="156"/>
      <c r="AZ3671" s="156"/>
      <c r="BA3671" s="156"/>
      <c r="BB3671" s="2828"/>
      <c r="BC3671" s="452"/>
      <c r="BD3671" s="2829"/>
      <c r="BE3671" s="2837"/>
      <c r="BF3671" s="156"/>
    </row>
    <row r="3672" spans="1:58" ht="15" customHeight="1" outlineLevel="1" x14ac:dyDescent="0.35">
      <c r="A3672" s="1664"/>
      <c r="B3672" s="3641"/>
      <c r="C3672" s="3077"/>
      <c r="D3672" s="3980"/>
      <c r="E3672" s="3883"/>
      <c r="F3672" s="3984" t="str">
        <f>$E$1910</f>
        <v>ASHP-SEER19_ROF_MF_CompE</v>
      </c>
      <c r="G3672" s="3984"/>
      <c r="H3672" s="3984"/>
      <c r="I3672" s="3984"/>
      <c r="J3672" s="3501" t="str">
        <f>$C$1910</f>
        <v>355051_2019_12_</v>
      </c>
      <c r="K3672" s="663">
        <v>0.65</v>
      </c>
      <c r="L3672" s="704"/>
      <c r="M3672" s="3020"/>
      <c r="N3672" s="106"/>
      <c r="O3672" s="106"/>
      <c r="P3672" s="702"/>
      <c r="Q3672" s="574"/>
      <c r="R3672" s="702"/>
      <c r="S3672" s="106"/>
      <c r="T3672" s="486"/>
      <c r="U3672" s="106"/>
      <c r="V3672" s="3980"/>
      <c r="W3672" s="663"/>
      <c r="X3672" s="663"/>
      <c r="Y3672" s="661">
        <v>0.65</v>
      </c>
      <c r="Z3672" s="663">
        <v>0.65</v>
      </c>
      <c r="AA3672" s="663">
        <v>0.65</v>
      </c>
      <c r="AB3672" s="663">
        <v>0.65</v>
      </c>
      <c r="AC3672" s="2923">
        <f>AC3671</f>
        <v>0.65</v>
      </c>
      <c r="AD3672" s="663">
        <v>0.65</v>
      </c>
      <c r="AE3672" s="2939"/>
      <c r="AF3672" s="663"/>
      <c r="AG3672" s="663"/>
      <c r="AH3672" s="156"/>
      <c r="AI3672" s="156"/>
      <c r="AJ3672" s="156"/>
      <c r="AK3672" s="156"/>
      <c r="AL3672" s="156"/>
      <c r="AM3672" s="156"/>
      <c r="AN3672" s="156"/>
      <c r="AO3672" s="156"/>
      <c r="AP3672" s="156"/>
      <c r="AQ3672" s="156"/>
      <c r="AR3672" s="156"/>
      <c r="AS3672" s="156"/>
      <c r="AT3672" s="156"/>
      <c r="AU3672" s="156"/>
      <c r="AV3672" s="156"/>
      <c r="AW3672" s="156"/>
      <c r="AX3672" s="156"/>
      <c r="AY3672" s="156"/>
      <c r="AZ3672" s="156"/>
      <c r="BA3672" s="156"/>
      <c r="BB3672" s="2828"/>
      <c r="BC3672" s="452"/>
      <c r="BD3672" s="2829"/>
      <c r="BE3672" s="2837"/>
      <c r="BF3672" s="156"/>
    </row>
    <row r="3673" spans="1:58" ht="15" customHeight="1" outlineLevel="1" x14ac:dyDescent="0.35">
      <c r="A3673" s="1664"/>
      <c r="B3673" s="3641"/>
      <c r="C3673" s="3077"/>
      <c r="D3673" s="3980"/>
      <c r="E3673" s="3883"/>
      <c r="F3673" s="3984" t="str">
        <f>$E$1912</f>
        <v>ASHP-SEER20_ROF_MF</v>
      </c>
      <c r="G3673" s="3984"/>
      <c r="H3673" s="3984"/>
      <c r="I3673" s="3984"/>
      <c r="J3673" s="3501" t="str">
        <f>$C$1912</f>
        <v>355100_2019_12_</v>
      </c>
      <c r="K3673" s="663">
        <v>0.65</v>
      </c>
      <c r="L3673" s="713"/>
      <c r="M3673" s="3020" t="s">
        <v>977</v>
      </c>
      <c r="N3673" s="106"/>
      <c r="O3673" s="106"/>
      <c r="P3673" s="702"/>
      <c r="Q3673" s="574"/>
      <c r="R3673" s="702"/>
      <c r="S3673" s="106"/>
      <c r="T3673" s="486"/>
      <c r="U3673" s="106"/>
      <c r="V3673" s="3980"/>
      <c r="W3673" s="663">
        <v>0.65</v>
      </c>
      <c r="X3673" s="663">
        <v>0.65</v>
      </c>
      <c r="Y3673" s="663">
        <v>0.65</v>
      </c>
      <c r="Z3673" s="663">
        <v>0.65</v>
      </c>
      <c r="AA3673" s="663">
        <v>0.65</v>
      </c>
      <c r="AB3673" s="663">
        <v>0.65</v>
      </c>
      <c r="AC3673" s="2923">
        <v>0.65</v>
      </c>
      <c r="AD3673" s="663">
        <v>0.65</v>
      </c>
      <c r="AE3673" s="2939"/>
      <c r="AF3673" s="663"/>
      <c r="AG3673" s="663"/>
      <c r="AH3673" s="156"/>
      <c r="AI3673" s="156"/>
      <c r="AJ3673" s="156"/>
      <c r="AK3673" s="156"/>
      <c r="AL3673" s="156"/>
      <c r="AM3673" s="156"/>
      <c r="AN3673" s="156"/>
      <c r="AO3673" s="156"/>
      <c r="AP3673" s="156"/>
      <c r="AQ3673" s="156"/>
      <c r="AR3673" s="156"/>
      <c r="AS3673" s="156"/>
      <c r="AT3673" s="156"/>
      <c r="AU3673" s="156"/>
      <c r="AV3673" s="156"/>
      <c r="AW3673" s="156"/>
      <c r="AX3673" s="156"/>
      <c r="AY3673" s="156"/>
      <c r="AZ3673" s="156"/>
      <c r="BA3673" s="156"/>
      <c r="BB3673" s="2828"/>
      <c r="BC3673" s="452"/>
      <c r="BD3673" s="2829"/>
      <c r="BE3673" s="2837"/>
      <c r="BF3673" s="156"/>
    </row>
    <row r="3674" spans="1:58" ht="15" customHeight="1" outlineLevel="1" x14ac:dyDescent="0.35">
      <c r="A3674" s="1664"/>
      <c r="B3674" s="3641"/>
      <c r="C3674" s="3077"/>
      <c r="D3674" s="3980"/>
      <c r="E3674" s="3883"/>
      <c r="F3674" s="3984" t="str">
        <f>$E$1914</f>
        <v>ASHP-SEER20_ROF_MF_CompE</v>
      </c>
      <c r="G3674" s="3984"/>
      <c r="H3674" s="3984"/>
      <c r="I3674" s="3984"/>
      <c r="J3674" s="3501" t="str">
        <f>$C$1914</f>
        <v>355101_2019_12_</v>
      </c>
      <c r="K3674" s="663">
        <v>0.65</v>
      </c>
      <c r="L3674" s="714"/>
      <c r="M3674" s="3020"/>
      <c r="N3674" s="106"/>
      <c r="O3674" s="106"/>
      <c r="P3674" s="702"/>
      <c r="Q3674" s="574"/>
      <c r="R3674" s="702"/>
      <c r="S3674" s="106"/>
      <c r="T3674" s="486"/>
      <c r="U3674" s="106"/>
      <c r="V3674" s="3980"/>
      <c r="W3674" s="715"/>
      <c r="X3674" s="715"/>
      <c r="Y3674" s="661">
        <v>0.65</v>
      </c>
      <c r="Z3674" s="663">
        <v>0.65</v>
      </c>
      <c r="AA3674" s="663">
        <v>0.65</v>
      </c>
      <c r="AB3674" s="663">
        <v>0.65</v>
      </c>
      <c r="AC3674" s="2923">
        <f>AC3673</f>
        <v>0.65</v>
      </c>
      <c r="AD3674" s="663">
        <v>0.65</v>
      </c>
      <c r="AE3674" s="2941"/>
      <c r="AF3674" s="715"/>
      <c r="AG3674" s="715"/>
      <c r="AH3674" s="156"/>
      <c r="AI3674" s="156"/>
      <c r="AJ3674" s="156"/>
      <c r="AK3674" s="156"/>
      <c r="AL3674" s="156"/>
      <c r="AM3674" s="156"/>
      <c r="AN3674" s="156"/>
      <c r="AO3674" s="156"/>
      <c r="AP3674" s="156"/>
      <c r="AQ3674" s="156"/>
      <c r="AR3674" s="156"/>
      <c r="AS3674" s="156"/>
      <c r="AT3674" s="156"/>
      <c r="AU3674" s="156"/>
      <c r="AV3674" s="156"/>
      <c r="AW3674" s="156"/>
      <c r="AX3674" s="156"/>
      <c r="AY3674" s="156"/>
      <c r="AZ3674" s="156"/>
      <c r="BA3674" s="156"/>
      <c r="BB3674" s="2828"/>
      <c r="BC3674" s="452"/>
      <c r="BD3674" s="2829"/>
      <c r="BE3674" s="2837"/>
      <c r="BF3674" s="156"/>
    </row>
    <row r="3675" spans="1:58" ht="15.75" customHeight="1" outlineLevel="1" x14ac:dyDescent="0.35">
      <c r="A3675" s="1664"/>
      <c r="B3675" s="3641"/>
      <c r="C3675" s="3077"/>
      <c r="D3675" s="3980"/>
      <c r="E3675" s="3883"/>
      <c r="F3675" s="3984" t="str">
        <f>$E$1916</f>
        <v>ASHP-SEER21_ROF_MF</v>
      </c>
      <c r="G3675" s="3984"/>
      <c r="H3675" s="3984"/>
      <c r="I3675" s="3984"/>
      <c r="J3675" s="3501" t="str">
        <f>$C$1916</f>
        <v>355150_2019_12_</v>
      </c>
      <c r="K3675" s="663">
        <v>0.65</v>
      </c>
      <c r="L3675" s="713"/>
      <c r="M3675" s="3020" t="s">
        <v>977</v>
      </c>
      <c r="N3675" s="106"/>
      <c r="O3675" s="106"/>
      <c r="P3675" s="702"/>
      <c r="Q3675" s="574"/>
      <c r="R3675" s="702"/>
      <c r="S3675" s="106"/>
      <c r="T3675" s="486"/>
      <c r="U3675" s="106"/>
      <c r="V3675" s="3980"/>
      <c r="W3675" s="663">
        <v>0.65</v>
      </c>
      <c r="X3675" s="663">
        <v>0.65</v>
      </c>
      <c r="Y3675" s="663">
        <v>0.65</v>
      </c>
      <c r="Z3675" s="663">
        <v>0.65</v>
      </c>
      <c r="AA3675" s="663">
        <v>0.65</v>
      </c>
      <c r="AB3675" s="663">
        <v>0.65</v>
      </c>
      <c r="AC3675" s="2923">
        <v>0.65</v>
      </c>
      <c r="AD3675" s="663">
        <v>0.65</v>
      </c>
      <c r="AE3675" s="2939"/>
      <c r="AF3675" s="663"/>
      <c r="AG3675" s="663"/>
      <c r="AH3675" s="156"/>
      <c r="AI3675" s="156"/>
      <c r="AJ3675" s="156"/>
      <c r="AK3675" s="156"/>
      <c r="AL3675" s="156"/>
      <c r="AM3675" s="156"/>
      <c r="AN3675" s="156"/>
      <c r="AO3675" s="156"/>
      <c r="AP3675" s="156"/>
      <c r="AQ3675" s="156"/>
      <c r="AR3675" s="156"/>
      <c r="AS3675" s="156"/>
      <c r="AT3675" s="156"/>
      <c r="AU3675" s="156"/>
      <c r="AV3675" s="156"/>
      <c r="AW3675" s="156"/>
      <c r="AX3675" s="156"/>
      <c r="AY3675" s="156"/>
      <c r="AZ3675" s="156"/>
      <c r="BA3675" s="156"/>
      <c r="BB3675" s="2828"/>
      <c r="BC3675" s="452"/>
      <c r="BD3675" s="2829"/>
      <c r="BE3675" s="2837"/>
      <c r="BF3675" s="156"/>
    </row>
    <row r="3676" spans="1:58" ht="15.75" customHeight="1" outlineLevel="1" thickBot="1" x14ac:dyDescent="0.4">
      <c r="A3676" s="1664"/>
      <c r="B3676" s="3641"/>
      <c r="C3676" s="3077"/>
      <c r="D3676" s="3981"/>
      <c r="E3676" s="3983"/>
      <c r="F3676" s="4106" t="str">
        <f>$E$1918</f>
        <v>ASHP-SEER21_ROF_MF_CompE</v>
      </c>
      <c r="G3676" s="4106"/>
      <c r="H3676" s="4106"/>
      <c r="I3676" s="4106"/>
      <c r="J3676" s="3503" t="str">
        <f>$C$1918</f>
        <v>355151_2019_12_</v>
      </c>
      <c r="K3676" s="722">
        <v>0.65</v>
      </c>
      <c r="L3676" s="707"/>
      <c r="M3676" s="3021"/>
      <c r="N3676" s="106"/>
      <c r="O3676" s="106"/>
      <c r="P3676" s="702"/>
      <c r="Q3676" s="574"/>
      <c r="R3676" s="702"/>
      <c r="S3676" s="106"/>
      <c r="T3676" s="486"/>
      <c r="U3676" s="106"/>
      <c r="V3676" s="3981"/>
      <c r="W3676" s="1843"/>
      <c r="X3676" s="1843"/>
      <c r="Y3676" s="1844">
        <v>0.65</v>
      </c>
      <c r="Z3676" s="722">
        <v>0.65</v>
      </c>
      <c r="AA3676" s="722">
        <v>0.65</v>
      </c>
      <c r="AB3676" s="722">
        <v>0.65</v>
      </c>
      <c r="AC3676" s="2928">
        <f>AC3675</f>
        <v>0.65</v>
      </c>
      <c r="AD3676" s="722">
        <v>0.65</v>
      </c>
      <c r="AE3676" s="2942"/>
      <c r="AF3676" s="1843"/>
      <c r="AG3676" s="1843"/>
      <c r="AH3676" s="156"/>
      <c r="AI3676" s="156"/>
      <c r="AJ3676" s="156"/>
      <c r="AK3676" s="156"/>
      <c r="AL3676" s="156"/>
      <c r="AM3676" s="156"/>
      <c r="AN3676" s="156"/>
      <c r="AO3676" s="156"/>
      <c r="AP3676" s="156"/>
      <c r="AQ3676" s="156"/>
      <c r="AR3676" s="156"/>
      <c r="AS3676" s="156"/>
      <c r="AT3676" s="156"/>
      <c r="AU3676" s="156"/>
      <c r="AV3676" s="156"/>
      <c r="AW3676" s="156"/>
      <c r="AX3676" s="156"/>
      <c r="AY3676" s="156"/>
      <c r="AZ3676" s="156"/>
      <c r="BA3676" s="156"/>
      <c r="BB3676" s="2828"/>
      <c r="BC3676" s="452"/>
      <c r="BD3676" s="2829"/>
      <c r="BE3676" s="2837"/>
      <c r="BF3676" s="156"/>
    </row>
    <row r="3677" spans="1:58" ht="15" outlineLevel="1" thickBot="1" x14ac:dyDescent="0.4">
      <c r="A3677" s="417"/>
      <c r="B3677" s="3641"/>
      <c r="C3677" s="3077"/>
      <c r="D3677" s="3427" t="s">
        <v>132</v>
      </c>
      <c r="E3677" s="3420" t="s">
        <v>832</v>
      </c>
      <c r="F3677" s="4179" t="s">
        <v>134</v>
      </c>
      <c r="G3677" s="4180"/>
      <c r="H3677" s="4180"/>
      <c r="I3677" s="4181"/>
      <c r="J3677" s="3507"/>
      <c r="K3677" s="662">
        <v>1</v>
      </c>
      <c r="L3677" s="711"/>
      <c r="M3677" s="3018" t="s">
        <v>4248</v>
      </c>
      <c r="N3677" s="84"/>
      <c r="O3677" s="84"/>
      <c r="P3677" s="1819"/>
      <c r="Q3677" s="1818"/>
      <c r="R3677" s="1819"/>
      <c r="S3677" s="84"/>
      <c r="T3677" s="417"/>
      <c r="U3677" s="84"/>
      <c r="V3677" s="3427" t="s">
        <v>132</v>
      </c>
      <c r="W3677" s="3564"/>
      <c r="X3677" s="3564"/>
      <c r="Y3677" s="3565"/>
      <c r="Z3677" s="3564"/>
      <c r="AA3677" s="3565"/>
      <c r="AB3677" s="3565">
        <v>1</v>
      </c>
      <c r="AC3677" s="2927">
        <v>1</v>
      </c>
      <c r="AD3677" s="722">
        <v>1</v>
      </c>
      <c r="AE3677" s="3566"/>
      <c r="AF3677" s="3564"/>
      <c r="AG3677" s="3564"/>
      <c r="AH3677" s="84"/>
      <c r="AI3677" s="84"/>
      <c r="AJ3677" s="84"/>
      <c r="AK3677" s="84"/>
      <c r="AL3677" s="84"/>
      <c r="AM3677" s="84"/>
      <c r="AN3677" s="84"/>
      <c r="AO3677" s="84"/>
      <c r="AP3677" s="84"/>
      <c r="AQ3677" s="84"/>
      <c r="AR3677" s="84"/>
      <c r="AS3677" s="84"/>
      <c r="AT3677" s="84"/>
      <c r="AU3677" s="84"/>
      <c r="AV3677" s="84"/>
      <c r="AW3677" s="84"/>
      <c r="AX3677" s="84"/>
      <c r="AY3677" s="84"/>
      <c r="AZ3677" s="84"/>
      <c r="BA3677" s="84"/>
      <c r="BB3677" s="1804"/>
      <c r="BC3677" s="84"/>
      <c r="BD3677" s="1841"/>
      <c r="BE3677" s="1842"/>
      <c r="BF3677" s="84"/>
    </row>
    <row r="3678" spans="1:58" ht="14.5" customHeight="1" outlineLevel="1" x14ac:dyDescent="0.35">
      <c r="A3678" s="1664"/>
      <c r="B3678" s="3641"/>
      <c r="C3678" s="3077"/>
      <c r="D3678" s="3979" t="s">
        <v>180</v>
      </c>
      <c r="E3678" s="3982" t="s">
        <v>166</v>
      </c>
      <c r="F3678" s="4117" t="str">
        <f t="shared" ref="F3678:F3709" si="411">E1534</f>
        <v>ASHP-SEER15-Replace_CAC_ElectricHeat_ER1_SF</v>
      </c>
      <c r="G3678" s="4118"/>
      <c r="H3678" s="4118"/>
      <c r="I3678" s="4119"/>
      <c r="J3678" s="3500" t="str">
        <f t="shared" ref="J3678:J3709" si="412">C1534</f>
        <v>352300_2021_12_</v>
      </c>
      <c r="K3678" s="716">
        <v>6</v>
      </c>
      <c r="L3678" s="620"/>
      <c r="M3678" s="3029"/>
      <c r="N3678" s="106"/>
      <c r="O3678" s="106"/>
      <c r="P3678" s="702"/>
      <c r="Q3678" s="702"/>
      <c r="R3678" s="702"/>
      <c r="S3678" s="106"/>
      <c r="T3678" s="486"/>
      <c r="U3678" s="106"/>
      <c r="V3678" s="4128" t="s">
        <v>180</v>
      </c>
      <c r="W3678" s="716">
        <v>6</v>
      </c>
      <c r="X3678" s="716">
        <v>6</v>
      </c>
      <c r="Y3678" s="716">
        <v>6</v>
      </c>
      <c r="Z3678" s="716">
        <v>6</v>
      </c>
      <c r="AA3678" s="716">
        <v>6</v>
      </c>
      <c r="AB3678" s="716">
        <v>6</v>
      </c>
      <c r="AC3678" s="2929">
        <v>6</v>
      </c>
      <c r="AD3678" s="718">
        <v>6</v>
      </c>
      <c r="AE3678" s="2943"/>
      <c r="AF3678" s="716"/>
      <c r="AG3678" s="716"/>
      <c r="AH3678" s="156"/>
      <c r="AI3678" s="156"/>
      <c r="AJ3678" s="156"/>
      <c r="AK3678" s="156"/>
      <c r="AL3678" s="156"/>
      <c r="AM3678" s="156"/>
      <c r="AN3678" s="156"/>
      <c r="AO3678" s="156"/>
      <c r="AP3678" s="156"/>
      <c r="AQ3678" s="156"/>
      <c r="AR3678" s="156"/>
      <c r="AS3678" s="156"/>
      <c r="AT3678" s="156"/>
      <c r="AU3678" s="156"/>
      <c r="AV3678" s="156"/>
      <c r="AW3678" s="156"/>
      <c r="AX3678" s="156"/>
      <c r="AY3678" s="156"/>
      <c r="AZ3678" s="156"/>
      <c r="BA3678" s="156"/>
      <c r="BB3678" s="2828"/>
      <c r="BC3678" s="452"/>
      <c r="BD3678" s="2829"/>
      <c r="BE3678" s="2837"/>
      <c r="BF3678" s="156"/>
    </row>
    <row r="3679" spans="1:58" ht="15" customHeight="1" outlineLevel="1" x14ac:dyDescent="0.35">
      <c r="A3679" s="1664"/>
      <c r="B3679" s="3641"/>
      <c r="C3679" s="3077"/>
      <c r="D3679" s="3980"/>
      <c r="E3679" s="3883"/>
      <c r="F3679" s="4120" t="str">
        <f t="shared" si="411"/>
        <v>ASHP-SEER15-Replace_CAC_ElectricHeat_ER1_SF</v>
      </c>
      <c r="G3679" s="4121"/>
      <c r="H3679" s="4121"/>
      <c r="I3679" s="4122"/>
      <c r="J3679" s="3508" t="str">
        <f t="shared" si="412"/>
        <v>352300_2021_12_</v>
      </c>
      <c r="K3679" s="717">
        <v>6</v>
      </c>
      <c r="L3679" s="703"/>
      <c r="M3679" s="3022"/>
      <c r="N3679" s="106"/>
      <c r="O3679" s="106"/>
      <c r="P3679" s="702"/>
      <c r="Q3679" s="702"/>
      <c r="R3679" s="702"/>
      <c r="S3679" s="106"/>
      <c r="T3679" s="486"/>
      <c r="U3679" s="106"/>
      <c r="V3679" s="4129"/>
      <c r="W3679" s="717">
        <v>6</v>
      </c>
      <c r="X3679" s="717">
        <v>6</v>
      </c>
      <c r="Y3679" s="717">
        <v>6</v>
      </c>
      <c r="Z3679" s="717">
        <v>6</v>
      </c>
      <c r="AA3679" s="717">
        <v>6</v>
      </c>
      <c r="AB3679" s="717">
        <v>6</v>
      </c>
      <c r="AC3679" s="2930">
        <v>6</v>
      </c>
      <c r="AD3679" s="717">
        <v>6</v>
      </c>
      <c r="AE3679" s="2944"/>
      <c r="AF3679" s="717"/>
      <c r="AG3679" s="717"/>
      <c r="AH3679" s="156"/>
      <c r="AI3679" s="156"/>
      <c r="AJ3679" s="156"/>
      <c r="AK3679" s="156"/>
      <c r="AL3679" s="156"/>
      <c r="AM3679" s="156"/>
      <c r="AN3679" s="156"/>
      <c r="AO3679" s="156"/>
      <c r="AP3679" s="156"/>
      <c r="AQ3679" s="156"/>
      <c r="AR3679" s="156"/>
      <c r="AS3679" s="156"/>
      <c r="AT3679" s="156"/>
      <c r="AU3679" s="156"/>
      <c r="AV3679" s="156"/>
      <c r="AW3679" s="156"/>
      <c r="AX3679" s="156"/>
      <c r="AY3679" s="156"/>
      <c r="AZ3679" s="156"/>
      <c r="BA3679" s="156"/>
      <c r="BB3679" s="2828"/>
      <c r="BC3679" s="452"/>
      <c r="BD3679" s="2829"/>
      <c r="BE3679" s="2837"/>
      <c r="BF3679" s="156"/>
    </row>
    <row r="3680" spans="1:58" ht="15" customHeight="1" outlineLevel="1" x14ac:dyDescent="0.35">
      <c r="A3680" s="1664"/>
      <c r="B3680" s="3641"/>
      <c r="C3680" s="3077"/>
      <c r="D3680" s="3980"/>
      <c r="E3680" s="3883"/>
      <c r="F3680" s="4120" t="str">
        <f t="shared" si="411"/>
        <v>ASHP-SEER15-Replace_CAC_ElectricHeat_ER2_SF</v>
      </c>
      <c r="G3680" s="4121"/>
      <c r="H3680" s="4121"/>
      <c r="I3680" s="4122"/>
      <c r="J3680" s="3508" t="str">
        <f t="shared" si="412"/>
        <v>352300_2021_12_</v>
      </c>
      <c r="K3680" s="717">
        <v>12</v>
      </c>
      <c r="L3680" s="703"/>
      <c r="M3680" s="3022"/>
      <c r="N3680" s="106"/>
      <c r="O3680" s="106"/>
      <c r="P3680" s="702"/>
      <c r="Q3680" s="702"/>
      <c r="R3680" s="702"/>
      <c r="S3680" s="106"/>
      <c r="T3680" s="486"/>
      <c r="U3680" s="106"/>
      <c r="V3680" s="4129"/>
      <c r="W3680" s="717">
        <v>12</v>
      </c>
      <c r="X3680" s="717">
        <v>12</v>
      </c>
      <c r="Y3680" s="717">
        <v>12</v>
      </c>
      <c r="Z3680" s="717">
        <v>12</v>
      </c>
      <c r="AA3680" s="717">
        <v>12</v>
      </c>
      <c r="AB3680" s="717">
        <v>12</v>
      </c>
      <c r="AC3680" s="2930">
        <v>12</v>
      </c>
      <c r="AD3680" s="717">
        <v>12</v>
      </c>
      <c r="AE3680" s="2944"/>
      <c r="AF3680" s="717"/>
      <c r="AG3680" s="717"/>
      <c r="AH3680" s="156"/>
      <c r="AI3680" s="156"/>
      <c r="AJ3680" s="156"/>
      <c r="AK3680" s="156"/>
      <c r="AL3680" s="156"/>
      <c r="AM3680" s="156"/>
      <c r="AN3680" s="156"/>
      <c r="AO3680" s="156"/>
      <c r="AP3680" s="156"/>
      <c r="AQ3680" s="156"/>
      <c r="AR3680" s="156"/>
      <c r="AS3680" s="156"/>
      <c r="AT3680" s="156"/>
      <c r="AU3680" s="156"/>
      <c r="AV3680" s="156"/>
      <c r="AW3680" s="156"/>
      <c r="AX3680" s="156"/>
      <c r="AY3680" s="156"/>
      <c r="AZ3680" s="156"/>
      <c r="BA3680" s="156"/>
      <c r="BB3680" s="2828"/>
      <c r="BC3680" s="452"/>
      <c r="BD3680" s="2829"/>
      <c r="BE3680" s="2837"/>
      <c r="BF3680" s="156"/>
    </row>
    <row r="3681" spans="1:58" ht="15" customHeight="1" outlineLevel="1" x14ac:dyDescent="0.35">
      <c r="A3681" s="1664"/>
      <c r="B3681" s="2812"/>
      <c r="C3681" s="3077"/>
      <c r="D3681" s="3980"/>
      <c r="E3681" s="3883"/>
      <c r="F3681" s="4120" t="str">
        <f t="shared" si="411"/>
        <v>ASHP-SEER15-Replace_CAC_ElectricHeat_ER2_SF</v>
      </c>
      <c r="G3681" s="4121"/>
      <c r="H3681" s="4121"/>
      <c r="I3681" s="4122"/>
      <c r="J3681" s="3508" t="str">
        <f t="shared" si="412"/>
        <v>352300_2021_12_</v>
      </c>
      <c r="K3681" s="717">
        <v>12</v>
      </c>
      <c r="L3681" s="703"/>
      <c r="M3681" s="3022"/>
      <c r="N3681" s="106"/>
      <c r="O3681" s="106"/>
      <c r="P3681" s="702"/>
      <c r="Q3681" s="702"/>
      <c r="R3681" s="702"/>
      <c r="S3681" s="106"/>
      <c r="T3681" s="486"/>
      <c r="U3681" s="106"/>
      <c r="V3681" s="4129"/>
      <c r="W3681" s="717">
        <v>12</v>
      </c>
      <c r="X3681" s="717">
        <v>12</v>
      </c>
      <c r="Y3681" s="717">
        <v>12</v>
      </c>
      <c r="Z3681" s="717">
        <v>12</v>
      </c>
      <c r="AA3681" s="717">
        <v>12</v>
      </c>
      <c r="AB3681" s="717">
        <v>12</v>
      </c>
      <c r="AC3681" s="2930">
        <v>12</v>
      </c>
      <c r="AD3681" s="717">
        <v>12</v>
      </c>
      <c r="AE3681" s="2944"/>
      <c r="AF3681" s="717"/>
      <c r="AG3681" s="717"/>
      <c r="AH3681" s="156"/>
      <c r="AI3681" s="156"/>
      <c r="AJ3681" s="156"/>
      <c r="AK3681" s="156"/>
      <c r="AL3681" s="156"/>
      <c r="AM3681" s="156"/>
      <c r="AN3681" s="156"/>
      <c r="AO3681" s="156"/>
      <c r="AP3681" s="156"/>
      <c r="AQ3681" s="156"/>
      <c r="AR3681" s="156"/>
      <c r="AS3681" s="156"/>
      <c r="AT3681" s="156"/>
      <c r="AU3681" s="156"/>
      <c r="AV3681" s="156"/>
      <c r="AW3681" s="156"/>
      <c r="AX3681" s="156"/>
      <c r="AY3681" s="156"/>
      <c r="AZ3681" s="156"/>
      <c r="BA3681" s="156"/>
      <c r="BB3681" s="2828"/>
      <c r="BC3681" s="452"/>
      <c r="BD3681" s="2829"/>
      <c r="BE3681" s="2837"/>
      <c r="BF3681" s="156"/>
    </row>
    <row r="3682" spans="1:58" ht="15" customHeight="1" outlineLevel="1" x14ac:dyDescent="0.35">
      <c r="A3682" s="1664"/>
      <c r="B3682" s="2812"/>
      <c r="C3682" s="3077"/>
      <c r="D3682" s="3980"/>
      <c r="E3682" s="3883"/>
      <c r="F3682" s="4120" t="str">
        <f t="shared" si="411"/>
        <v>ASHP-SEER15-Replace_CAC_NonElectricHeat_ER1_SF</v>
      </c>
      <c r="G3682" s="4121"/>
      <c r="H3682" s="4121"/>
      <c r="I3682" s="4122"/>
      <c r="J3682" s="3508" t="str">
        <f t="shared" si="412"/>
        <v>352310_2021_12_</v>
      </c>
      <c r="K3682" s="718">
        <v>6</v>
      </c>
      <c r="L3682" s="703"/>
      <c r="M3682" s="3022"/>
      <c r="N3682" s="106"/>
      <c r="O3682" s="106"/>
      <c r="P3682" s="702"/>
      <c r="Q3682" s="702"/>
      <c r="R3682" s="702"/>
      <c r="S3682" s="106"/>
      <c r="T3682" s="486"/>
      <c r="U3682" s="106"/>
      <c r="V3682" s="4129"/>
      <c r="W3682" s="717"/>
      <c r="X3682" s="717"/>
      <c r="Y3682" s="717"/>
      <c r="Z3682" s="717"/>
      <c r="AA3682" s="717"/>
      <c r="AB3682" s="717"/>
      <c r="AC3682" s="2931">
        <v>6</v>
      </c>
      <c r="AD3682" s="717">
        <v>6</v>
      </c>
      <c r="AE3682" s="2944"/>
      <c r="AF3682" s="717"/>
      <c r="AG3682" s="717"/>
      <c r="AH3682" s="156"/>
      <c r="AI3682" s="156"/>
      <c r="AJ3682" s="156"/>
      <c r="AK3682" s="156"/>
      <c r="AL3682" s="156"/>
      <c r="AM3682" s="156"/>
      <c r="AN3682" s="156"/>
      <c r="AO3682" s="156"/>
      <c r="AP3682" s="156"/>
      <c r="AQ3682" s="156"/>
      <c r="AR3682" s="156"/>
      <c r="AS3682" s="156"/>
      <c r="AT3682" s="156"/>
      <c r="AU3682" s="156"/>
      <c r="AV3682" s="156"/>
      <c r="AW3682" s="156"/>
      <c r="AX3682" s="156"/>
      <c r="AY3682" s="156"/>
      <c r="AZ3682" s="156"/>
      <c r="BA3682" s="156"/>
      <c r="BB3682" s="2828"/>
      <c r="BC3682" s="452"/>
      <c r="BD3682" s="2829"/>
      <c r="BE3682" s="2837"/>
      <c r="BF3682" s="156"/>
    </row>
    <row r="3683" spans="1:58" ht="15" customHeight="1" outlineLevel="1" x14ac:dyDescent="0.35">
      <c r="A3683" s="1664"/>
      <c r="B3683" s="2812"/>
      <c r="C3683" s="3077"/>
      <c r="D3683" s="3980"/>
      <c r="E3683" s="3883"/>
      <c r="F3683" s="4120" t="str">
        <f t="shared" si="411"/>
        <v>ASHP-SEER15-Replace_CAC_NonElectricHeat_ER1_SF</v>
      </c>
      <c r="G3683" s="4121"/>
      <c r="H3683" s="4121"/>
      <c r="I3683" s="4122"/>
      <c r="J3683" s="3508" t="str">
        <f t="shared" si="412"/>
        <v>352310_2021_12_</v>
      </c>
      <c r="K3683" s="717">
        <v>6</v>
      </c>
      <c r="L3683" s="703"/>
      <c r="M3683" s="3022"/>
      <c r="N3683" s="106"/>
      <c r="O3683" s="106"/>
      <c r="P3683" s="702"/>
      <c r="Q3683" s="702"/>
      <c r="R3683" s="702"/>
      <c r="S3683" s="106"/>
      <c r="T3683" s="486"/>
      <c r="U3683" s="106"/>
      <c r="V3683" s="4129"/>
      <c r="W3683" s="717"/>
      <c r="X3683" s="717"/>
      <c r="Y3683" s="717"/>
      <c r="Z3683" s="717"/>
      <c r="AA3683" s="717"/>
      <c r="AB3683" s="717"/>
      <c r="AC3683" s="2932">
        <v>6</v>
      </c>
      <c r="AD3683" s="717">
        <v>6</v>
      </c>
      <c r="AE3683" s="2944"/>
      <c r="AF3683" s="717"/>
      <c r="AG3683" s="717"/>
      <c r="AH3683" s="156"/>
      <c r="AI3683" s="156"/>
      <c r="AJ3683" s="156"/>
      <c r="AK3683" s="156"/>
      <c r="AL3683" s="156"/>
      <c r="AM3683" s="156"/>
      <c r="AN3683" s="156"/>
      <c r="AO3683" s="156"/>
      <c r="AP3683" s="156"/>
      <c r="AQ3683" s="156"/>
      <c r="AR3683" s="156"/>
      <c r="AS3683" s="156"/>
      <c r="AT3683" s="156"/>
      <c r="AU3683" s="156"/>
      <c r="AV3683" s="156"/>
      <c r="AW3683" s="156"/>
      <c r="AX3683" s="156"/>
      <c r="AY3683" s="156"/>
      <c r="AZ3683" s="156"/>
      <c r="BA3683" s="156"/>
      <c r="BB3683" s="2828"/>
      <c r="BC3683" s="452"/>
      <c r="BD3683" s="2829"/>
      <c r="BE3683" s="2837"/>
      <c r="BF3683" s="156"/>
    </row>
    <row r="3684" spans="1:58" ht="15" customHeight="1" outlineLevel="1" x14ac:dyDescent="0.35">
      <c r="A3684" s="1664"/>
      <c r="B3684" s="2812"/>
      <c r="C3684" s="3077"/>
      <c r="D3684" s="3980"/>
      <c r="E3684" s="3883"/>
      <c r="F3684" s="4120" t="str">
        <f t="shared" si="411"/>
        <v>ASHP-SEER15-Replace_CAC_NonElectricHeat_ER2_SF</v>
      </c>
      <c r="G3684" s="4121"/>
      <c r="H3684" s="4121"/>
      <c r="I3684" s="4122"/>
      <c r="J3684" s="3508" t="str">
        <f t="shared" si="412"/>
        <v>352310_2021_12_</v>
      </c>
      <c r="K3684" s="717">
        <v>12</v>
      </c>
      <c r="L3684" s="703"/>
      <c r="M3684" s="3022"/>
      <c r="N3684" s="106"/>
      <c r="O3684" s="106"/>
      <c r="P3684" s="702"/>
      <c r="Q3684" s="702"/>
      <c r="R3684" s="702"/>
      <c r="S3684" s="106"/>
      <c r="T3684" s="486"/>
      <c r="U3684" s="106"/>
      <c r="V3684" s="4129"/>
      <c r="W3684" s="717"/>
      <c r="X3684" s="717"/>
      <c r="Y3684" s="717"/>
      <c r="Z3684" s="717"/>
      <c r="AA3684" s="717"/>
      <c r="AB3684" s="717"/>
      <c r="AC3684" s="2932">
        <v>12</v>
      </c>
      <c r="AD3684" s="717">
        <v>12</v>
      </c>
      <c r="AE3684" s="2944"/>
      <c r="AF3684" s="717"/>
      <c r="AG3684" s="717"/>
      <c r="AH3684" s="156"/>
      <c r="AI3684" s="156"/>
      <c r="AJ3684" s="156"/>
      <c r="AK3684" s="156"/>
      <c r="AL3684" s="156"/>
      <c r="AM3684" s="156"/>
      <c r="AN3684" s="156"/>
      <c r="AO3684" s="156"/>
      <c r="AP3684" s="156"/>
      <c r="AQ3684" s="156"/>
      <c r="AR3684" s="156"/>
      <c r="AS3684" s="156"/>
      <c r="AT3684" s="156"/>
      <c r="AU3684" s="156"/>
      <c r="AV3684" s="156"/>
      <c r="AW3684" s="156"/>
      <c r="AX3684" s="156"/>
      <c r="AY3684" s="156"/>
      <c r="AZ3684" s="156"/>
      <c r="BA3684" s="156"/>
      <c r="BB3684" s="2828"/>
      <c r="BC3684" s="452"/>
      <c r="BD3684" s="2829"/>
      <c r="BE3684" s="2837"/>
      <c r="BF3684" s="156"/>
    </row>
    <row r="3685" spans="1:58" ht="15" customHeight="1" outlineLevel="1" x14ac:dyDescent="0.35">
      <c r="A3685" s="1664"/>
      <c r="B3685" s="2812"/>
      <c r="C3685" s="3077"/>
      <c r="D3685" s="3980"/>
      <c r="E3685" s="3883"/>
      <c r="F3685" s="4120" t="str">
        <f t="shared" si="411"/>
        <v>ASHP-SEER15-Replace_CAC_NonElectricHeat_ER2_SF</v>
      </c>
      <c r="G3685" s="4121"/>
      <c r="H3685" s="4121"/>
      <c r="I3685" s="4122"/>
      <c r="J3685" s="3508" t="str">
        <f t="shared" si="412"/>
        <v>352310_2021_12_</v>
      </c>
      <c r="K3685" s="717">
        <v>12</v>
      </c>
      <c r="L3685" s="703"/>
      <c r="M3685" s="3022"/>
      <c r="N3685" s="106"/>
      <c r="O3685" s="106"/>
      <c r="P3685" s="702"/>
      <c r="Q3685" s="702"/>
      <c r="R3685" s="702"/>
      <c r="S3685" s="106"/>
      <c r="T3685" s="486"/>
      <c r="U3685" s="106"/>
      <c r="V3685" s="4129"/>
      <c r="W3685" s="717"/>
      <c r="X3685" s="717"/>
      <c r="Y3685" s="717"/>
      <c r="Z3685" s="717"/>
      <c r="AA3685" s="717"/>
      <c r="AB3685" s="717"/>
      <c r="AC3685" s="2932">
        <v>12</v>
      </c>
      <c r="AD3685" s="717">
        <v>12</v>
      </c>
      <c r="AE3685" s="2944"/>
      <c r="AF3685" s="717"/>
      <c r="AG3685" s="717"/>
      <c r="AH3685" s="156"/>
      <c r="AI3685" s="156"/>
      <c r="AJ3685" s="156"/>
      <c r="AK3685" s="156"/>
      <c r="AL3685" s="156"/>
      <c r="AM3685" s="156"/>
      <c r="AN3685" s="156"/>
      <c r="AO3685" s="156"/>
      <c r="AP3685" s="156"/>
      <c r="AQ3685" s="156"/>
      <c r="AR3685" s="156"/>
      <c r="AS3685" s="156"/>
      <c r="AT3685" s="156"/>
      <c r="AU3685" s="156"/>
      <c r="AV3685" s="156"/>
      <c r="AW3685" s="156"/>
      <c r="AX3685" s="156"/>
      <c r="AY3685" s="156"/>
      <c r="AZ3685" s="156"/>
      <c r="BA3685" s="156"/>
      <c r="BB3685" s="2828"/>
      <c r="BC3685" s="452"/>
      <c r="BD3685" s="2829"/>
      <c r="BE3685" s="2837"/>
      <c r="BF3685" s="156"/>
    </row>
    <row r="3686" spans="1:58" ht="15" customHeight="1" outlineLevel="1" x14ac:dyDescent="0.35">
      <c r="A3686" s="1664"/>
      <c r="B3686" s="2812"/>
      <c r="C3686" s="3077"/>
      <c r="D3686" s="3980"/>
      <c r="E3686" s="3883"/>
      <c r="F3686" s="4120" t="str">
        <f t="shared" si="411"/>
        <v>ASHP-SEER15_ER1_SF</v>
      </c>
      <c r="G3686" s="4121"/>
      <c r="H3686" s="4121"/>
      <c r="I3686" s="4122"/>
      <c r="J3686" s="3508" t="str">
        <f t="shared" si="412"/>
        <v>352350_2021_12_</v>
      </c>
      <c r="K3686" s="717">
        <v>6</v>
      </c>
      <c r="L3686" s="703"/>
      <c r="M3686" s="3022"/>
      <c r="N3686" s="106"/>
      <c r="O3686" s="106"/>
      <c r="P3686" s="702"/>
      <c r="Q3686" s="702"/>
      <c r="R3686" s="702"/>
      <c r="S3686" s="106"/>
      <c r="T3686" s="486"/>
      <c r="U3686" s="106"/>
      <c r="V3686" s="4129"/>
      <c r="W3686" s="717">
        <v>6</v>
      </c>
      <c r="X3686" s="717">
        <v>6</v>
      </c>
      <c r="Y3686" s="717">
        <v>6</v>
      </c>
      <c r="Z3686" s="717">
        <v>6</v>
      </c>
      <c r="AA3686" s="717">
        <v>6</v>
      </c>
      <c r="AB3686" s="717">
        <v>6</v>
      </c>
      <c r="AC3686" s="2930">
        <v>6</v>
      </c>
      <c r="AD3686" s="717">
        <v>6</v>
      </c>
      <c r="AE3686" s="2944"/>
      <c r="AF3686" s="717"/>
      <c r="AG3686" s="717"/>
      <c r="AH3686" s="156"/>
      <c r="AI3686" s="156"/>
      <c r="AJ3686" s="156"/>
      <c r="AK3686" s="156"/>
      <c r="AL3686" s="156"/>
      <c r="AM3686" s="156"/>
      <c r="AN3686" s="156"/>
      <c r="AO3686" s="156"/>
      <c r="AP3686" s="156"/>
      <c r="AQ3686" s="156"/>
      <c r="AR3686" s="156"/>
      <c r="AS3686" s="156"/>
      <c r="AT3686" s="156"/>
      <c r="AU3686" s="156"/>
      <c r="AV3686" s="156"/>
      <c r="AW3686" s="156"/>
      <c r="AX3686" s="156"/>
      <c r="AY3686" s="156"/>
      <c r="AZ3686" s="156"/>
      <c r="BA3686" s="156"/>
      <c r="BB3686" s="2828"/>
      <c r="BC3686" s="452"/>
      <c r="BD3686" s="2829"/>
      <c r="BE3686" s="2837"/>
      <c r="BF3686" s="156"/>
    </row>
    <row r="3687" spans="1:58" ht="15" customHeight="1" outlineLevel="1" x14ac:dyDescent="0.35">
      <c r="A3687" s="1664"/>
      <c r="B3687" s="2812"/>
      <c r="C3687" s="3077"/>
      <c r="D3687" s="3980"/>
      <c r="E3687" s="3883"/>
      <c r="F3687" s="4120" t="str">
        <f t="shared" si="411"/>
        <v>ASHP-SEER15_ER1_SF</v>
      </c>
      <c r="G3687" s="4121"/>
      <c r="H3687" s="4121"/>
      <c r="I3687" s="4122"/>
      <c r="J3687" s="3508" t="str">
        <f t="shared" si="412"/>
        <v>352350_2021_12_</v>
      </c>
      <c r="K3687" s="717">
        <v>6</v>
      </c>
      <c r="L3687" s="703"/>
      <c r="M3687" s="3022"/>
      <c r="N3687" s="106"/>
      <c r="O3687" s="106"/>
      <c r="P3687" s="702"/>
      <c r="Q3687" s="702"/>
      <c r="R3687" s="702"/>
      <c r="S3687" s="106"/>
      <c r="T3687" s="486"/>
      <c r="U3687" s="106"/>
      <c r="V3687" s="4129"/>
      <c r="W3687" s="717">
        <v>6</v>
      </c>
      <c r="X3687" s="717">
        <v>6</v>
      </c>
      <c r="Y3687" s="717">
        <v>6</v>
      </c>
      <c r="Z3687" s="717">
        <v>6</v>
      </c>
      <c r="AA3687" s="717">
        <v>6</v>
      </c>
      <c r="AB3687" s="717">
        <v>6</v>
      </c>
      <c r="AC3687" s="2930">
        <v>6</v>
      </c>
      <c r="AD3687" s="717">
        <v>6</v>
      </c>
      <c r="AE3687" s="2944"/>
      <c r="AF3687" s="717"/>
      <c r="AG3687" s="717"/>
      <c r="AH3687" s="156"/>
      <c r="AI3687" s="156"/>
      <c r="AJ3687" s="156"/>
      <c r="AK3687" s="156"/>
      <c r="AL3687" s="156"/>
      <c r="AM3687" s="156"/>
      <c r="AN3687" s="156"/>
      <c r="AO3687" s="156"/>
      <c r="AP3687" s="156"/>
      <c r="AQ3687" s="156"/>
      <c r="AR3687" s="156"/>
      <c r="AS3687" s="156"/>
      <c r="AT3687" s="156"/>
      <c r="AU3687" s="156"/>
      <c r="AV3687" s="156"/>
      <c r="AW3687" s="156"/>
      <c r="AX3687" s="156"/>
      <c r="AY3687" s="156"/>
      <c r="AZ3687" s="156"/>
      <c r="BA3687" s="156"/>
      <c r="BB3687" s="2828"/>
      <c r="BC3687" s="452"/>
      <c r="BD3687" s="2829"/>
      <c r="BE3687" s="2837"/>
      <c r="BF3687" s="156"/>
    </row>
    <row r="3688" spans="1:58" ht="15" customHeight="1" outlineLevel="1" x14ac:dyDescent="0.35">
      <c r="A3688" s="1664"/>
      <c r="B3688" s="2812"/>
      <c r="C3688" s="3077"/>
      <c r="D3688" s="3980"/>
      <c r="E3688" s="3883"/>
      <c r="F3688" s="4120" t="str">
        <f t="shared" si="411"/>
        <v>ASHP-SEER15_ER2_SF</v>
      </c>
      <c r="G3688" s="4121"/>
      <c r="H3688" s="4121"/>
      <c r="I3688" s="4122"/>
      <c r="J3688" s="3508" t="str">
        <f t="shared" si="412"/>
        <v>352350_2021_12_</v>
      </c>
      <c r="K3688" s="717">
        <v>12</v>
      </c>
      <c r="L3688" s="703"/>
      <c r="M3688" s="3022"/>
      <c r="N3688" s="106"/>
      <c r="O3688" s="106"/>
      <c r="P3688" s="702"/>
      <c r="Q3688" s="702"/>
      <c r="R3688" s="702"/>
      <c r="S3688" s="106"/>
      <c r="T3688" s="486"/>
      <c r="U3688" s="106"/>
      <c r="V3688" s="4129"/>
      <c r="W3688" s="717">
        <v>12</v>
      </c>
      <c r="X3688" s="717">
        <v>12</v>
      </c>
      <c r="Y3688" s="717">
        <v>12</v>
      </c>
      <c r="Z3688" s="717">
        <v>12</v>
      </c>
      <c r="AA3688" s="717">
        <v>12</v>
      </c>
      <c r="AB3688" s="717">
        <v>12</v>
      </c>
      <c r="AC3688" s="2930">
        <v>12</v>
      </c>
      <c r="AD3688" s="717">
        <v>12</v>
      </c>
      <c r="AE3688" s="2944"/>
      <c r="AF3688" s="717"/>
      <c r="AG3688" s="717"/>
      <c r="AH3688" s="156"/>
      <c r="AI3688" s="156"/>
      <c r="AJ3688" s="156"/>
      <c r="AK3688" s="156"/>
      <c r="AL3688" s="156"/>
      <c r="AM3688" s="156"/>
      <c r="AN3688" s="156"/>
      <c r="AO3688" s="156"/>
      <c r="AP3688" s="156"/>
      <c r="AQ3688" s="156"/>
      <c r="AR3688" s="156"/>
      <c r="AS3688" s="156"/>
      <c r="AT3688" s="156"/>
      <c r="AU3688" s="156"/>
      <c r="AV3688" s="156"/>
      <c r="AW3688" s="156"/>
      <c r="AX3688" s="156"/>
      <c r="AY3688" s="156"/>
      <c r="AZ3688" s="156"/>
      <c r="BA3688" s="156"/>
      <c r="BB3688" s="2828"/>
      <c r="BC3688" s="452"/>
      <c r="BD3688" s="2829"/>
      <c r="BE3688" s="2837"/>
      <c r="BF3688" s="156"/>
    </row>
    <row r="3689" spans="1:58" ht="15" customHeight="1" outlineLevel="1" x14ac:dyDescent="0.35">
      <c r="A3689" s="1664"/>
      <c r="B3689" s="2812"/>
      <c r="C3689" s="3077"/>
      <c r="D3689" s="3980"/>
      <c r="E3689" s="3883"/>
      <c r="F3689" s="4120" t="str">
        <f t="shared" si="411"/>
        <v>ASHP-SEER15_ER2_SF</v>
      </c>
      <c r="G3689" s="4121"/>
      <c r="H3689" s="4121"/>
      <c r="I3689" s="4122"/>
      <c r="J3689" s="3508" t="str">
        <f t="shared" si="412"/>
        <v>352350_2021_12_</v>
      </c>
      <c r="K3689" s="717">
        <v>12</v>
      </c>
      <c r="L3689" s="703"/>
      <c r="M3689" s="3022"/>
      <c r="N3689" s="106"/>
      <c r="O3689" s="106"/>
      <c r="P3689" s="702"/>
      <c r="Q3689" s="702"/>
      <c r="R3689" s="702"/>
      <c r="S3689" s="106"/>
      <c r="T3689" s="486"/>
      <c r="U3689" s="106"/>
      <c r="V3689" s="4129"/>
      <c r="W3689" s="717">
        <v>12</v>
      </c>
      <c r="X3689" s="717">
        <v>12</v>
      </c>
      <c r="Y3689" s="717">
        <v>12</v>
      </c>
      <c r="Z3689" s="717">
        <v>12</v>
      </c>
      <c r="AA3689" s="717">
        <v>12</v>
      </c>
      <c r="AB3689" s="717">
        <v>12</v>
      </c>
      <c r="AC3689" s="2930">
        <v>12</v>
      </c>
      <c r="AD3689" s="717">
        <v>12</v>
      </c>
      <c r="AE3689" s="2944"/>
      <c r="AF3689" s="717"/>
      <c r="AG3689" s="717"/>
      <c r="AH3689" s="156"/>
      <c r="AI3689" s="156"/>
      <c r="AJ3689" s="156"/>
      <c r="AK3689" s="156"/>
      <c r="AL3689" s="156"/>
      <c r="AM3689" s="156"/>
      <c r="AN3689" s="156"/>
      <c r="AO3689" s="156"/>
      <c r="AP3689" s="156"/>
      <c r="AQ3689" s="156"/>
      <c r="AR3689" s="156"/>
      <c r="AS3689" s="156"/>
      <c r="AT3689" s="156"/>
      <c r="AU3689" s="156"/>
      <c r="AV3689" s="156"/>
      <c r="AW3689" s="156"/>
      <c r="AX3689" s="156"/>
      <c r="AY3689" s="156"/>
      <c r="AZ3689" s="156"/>
      <c r="BA3689" s="156"/>
      <c r="BB3689" s="2828"/>
      <c r="BC3689" s="452"/>
      <c r="BD3689" s="2829"/>
      <c r="BE3689" s="2837"/>
      <c r="BF3689" s="156"/>
    </row>
    <row r="3690" spans="1:58" ht="15" customHeight="1" outlineLevel="1" x14ac:dyDescent="0.35">
      <c r="A3690" s="1664"/>
      <c r="B3690" s="2812"/>
      <c r="C3690" s="3077"/>
      <c r="D3690" s="3980"/>
      <c r="E3690" s="3883"/>
      <c r="F3690" s="4120" t="str">
        <f t="shared" si="411"/>
        <v>ASHP-SEER15-Replace_CAC_ElectricHeat_ROF_SF</v>
      </c>
      <c r="G3690" s="4121"/>
      <c r="H3690" s="4121"/>
      <c r="I3690" s="4122"/>
      <c r="J3690" s="3508" t="str">
        <f t="shared" si="412"/>
        <v>352400_2021_12_</v>
      </c>
      <c r="K3690" s="717">
        <v>18</v>
      </c>
      <c r="L3690" s="703"/>
      <c r="M3690" s="3022"/>
      <c r="N3690" s="106"/>
      <c r="O3690" s="106"/>
      <c r="P3690" s="702"/>
      <c r="Q3690" s="702"/>
      <c r="R3690" s="702"/>
      <c r="S3690" s="106"/>
      <c r="T3690" s="486"/>
      <c r="U3690" s="106"/>
      <c r="V3690" s="4129"/>
      <c r="W3690" s="717">
        <v>18</v>
      </c>
      <c r="X3690" s="717">
        <v>18</v>
      </c>
      <c r="Y3690" s="717">
        <v>18</v>
      </c>
      <c r="Z3690" s="717">
        <v>18</v>
      </c>
      <c r="AA3690" s="717">
        <v>18</v>
      </c>
      <c r="AB3690" s="717">
        <v>18</v>
      </c>
      <c r="AC3690" s="2930">
        <v>18</v>
      </c>
      <c r="AD3690" s="717">
        <v>18</v>
      </c>
      <c r="AE3690" s="2944"/>
      <c r="AF3690" s="717"/>
      <c r="AG3690" s="717"/>
      <c r="AH3690" s="156"/>
      <c r="AI3690" s="156"/>
      <c r="AJ3690" s="156"/>
      <c r="AK3690" s="156"/>
      <c r="AL3690" s="156"/>
      <c r="AM3690" s="156"/>
      <c r="AN3690" s="156"/>
      <c r="AO3690" s="156"/>
      <c r="AP3690" s="156"/>
      <c r="AQ3690" s="156"/>
      <c r="AR3690" s="156"/>
      <c r="AS3690" s="156"/>
      <c r="AT3690" s="156"/>
      <c r="AU3690" s="156"/>
      <c r="AV3690" s="156"/>
      <c r="AW3690" s="156"/>
      <c r="AX3690" s="156"/>
      <c r="AY3690" s="156"/>
      <c r="AZ3690" s="156"/>
      <c r="BA3690" s="156"/>
      <c r="BB3690" s="2828"/>
      <c r="BC3690" s="452"/>
      <c r="BD3690" s="2829"/>
      <c r="BE3690" s="2837"/>
      <c r="BF3690" s="156"/>
    </row>
    <row r="3691" spans="1:58" ht="15" customHeight="1" outlineLevel="1" x14ac:dyDescent="0.35">
      <c r="A3691" s="1664"/>
      <c r="B3691" s="2812"/>
      <c r="C3691" s="3077"/>
      <c r="D3691" s="3980"/>
      <c r="E3691" s="3883"/>
      <c r="F3691" s="4120" t="str">
        <f t="shared" si="411"/>
        <v>ASHP-SEER15-Replace_CAC_ElectricHeat_ROF_SF</v>
      </c>
      <c r="G3691" s="4121"/>
      <c r="H3691" s="4121"/>
      <c r="I3691" s="4122"/>
      <c r="J3691" s="3508" t="str">
        <f t="shared" si="412"/>
        <v>352400_2021_12_</v>
      </c>
      <c r="K3691" s="717">
        <v>18</v>
      </c>
      <c r="L3691" s="704"/>
      <c r="M3691" s="3022"/>
      <c r="N3691" s="106"/>
      <c r="O3691" s="106"/>
      <c r="P3691" s="702"/>
      <c r="Q3691" s="702"/>
      <c r="R3691" s="702"/>
      <c r="S3691" s="106"/>
      <c r="T3691" s="486"/>
      <c r="U3691" s="106"/>
      <c r="V3691" s="4129"/>
      <c r="W3691" s="717">
        <v>18</v>
      </c>
      <c r="X3691" s="717">
        <v>18</v>
      </c>
      <c r="Y3691" s="717">
        <v>18</v>
      </c>
      <c r="Z3691" s="717">
        <v>18</v>
      </c>
      <c r="AA3691" s="717">
        <v>18</v>
      </c>
      <c r="AB3691" s="717">
        <v>18</v>
      </c>
      <c r="AC3691" s="2930">
        <v>18</v>
      </c>
      <c r="AD3691" s="717">
        <v>18</v>
      </c>
      <c r="AE3691" s="2944"/>
      <c r="AF3691" s="717"/>
      <c r="AG3691" s="717"/>
      <c r="AH3691" s="156"/>
      <c r="AI3691" s="156"/>
      <c r="AJ3691" s="156"/>
      <c r="AK3691" s="156"/>
      <c r="AL3691" s="156"/>
      <c r="AM3691" s="156"/>
      <c r="AN3691" s="156"/>
      <c r="AO3691" s="156"/>
      <c r="AP3691" s="156"/>
      <c r="AQ3691" s="156"/>
      <c r="AR3691" s="156"/>
      <c r="AS3691" s="156"/>
      <c r="AT3691" s="156"/>
      <c r="AU3691" s="156"/>
      <c r="AV3691" s="156"/>
      <c r="AW3691" s="156"/>
      <c r="AX3691" s="156"/>
      <c r="AY3691" s="156"/>
      <c r="AZ3691" s="156"/>
      <c r="BA3691" s="156"/>
      <c r="BB3691" s="2828"/>
      <c r="BC3691" s="452"/>
      <c r="BD3691" s="2829"/>
      <c r="BE3691" s="2837"/>
      <c r="BF3691" s="156"/>
    </row>
    <row r="3692" spans="1:58" ht="15" customHeight="1" outlineLevel="1" x14ac:dyDescent="0.35">
      <c r="A3692" s="1664"/>
      <c r="B3692" s="2812"/>
      <c r="C3692" s="3077"/>
      <c r="D3692" s="3980"/>
      <c r="E3692" s="3883"/>
      <c r="F3692" s="4120" t="str">
        <f t="shared" si="411"/>
        <v>ASHP-SEER15-Replace_CAC_NonElectricHeat_ROF_SF</v>
      </c>
      <c r="G3692" s="4121"/>
      <c r="H3692" s="4121"/>
      <c r="I3692" s="4122"/>
      <c r="J3692" s="3508" t="str">
        <f t="shared" si="412"/>
        <v>352410_2021_12_</v>
      </c>
      <c r="K3692" s="717">
        <v>18</v>
      </c>
      <c r="L3692" s="704"/>
      <c r="M3692" s="3022"/>
      <c r="N3692" s="106"/>
      <c r="O3692" s="106"/>
      <c r="P3692" s="702"/>
      <c r="Q3692" s="702"/>
      <c r="R3692" s="702"/>
      <c r="S3692" s="106"/>
      <c r="T3692" s="486"/>
      <c r="U3692" s="106"/>
      <c r="V3692" s="4129"/>
      <c r="W3692" s="717"/>
      <c r="X3692" s="717"/>
      <c r="Y3692" s="717"/>
      <c r="Z3692" s="717"/>
      <c r="AA3692" s="717"/>
      <c r="AB3692" s="717"/>
      <c r="AC3692" s="2932">
        <v>18</v>
      </c>
      <c r="AD3692" s="717">
        <v>18</v>
      </c>
      <c r="AE3692" s="2944"/>
      <c r="AF3692" s="717"/>
      <c r="AG3692" s="717"/>
      <c r="AH3692" s="156"/>
      <c r="AI3692" s="156"/>
      <c r="AJ3692" s="156"/>
      <c r="AK3692" s="156"/>
      <c r="AL3692" s="156"/>
      <c r="AM3692" s="156"/>
      <c r="AN3692" s="156"/>
      <c r="AO3692" s="156"/>
      <c r="AP3692" s="156"/>
      <c r="AQ3692" s="156"/>
      <c r="AR3692" s="156"/>
      <c r="AS3692" s="156"/>
      <c r="AT3692" s="156"/>
      <c r="AU3692" s="156"/>
      <c r="AV3692" s="156"/>
      <c r="AW3692" s="156"/>
      <c r="AX3692" s="156"/>
      <c r="AY3692" s="156"/>
      <c r="AZ3692" s="156"/>
      <c r="BA3692" s="156"/>
      <c r="BB3692" s="2828"/>
      <c r="BC3692" s="452"/>
      <c r="BD3692" s="2829"/>
      <c r="BE3692" s="2837"/>
      <c r="BF3692" s="156"/>
    </row>
    <row r="3693" spans="1:58" ht="15" customHeight="1" outlineLevel="1" x14ac:dyDescent="0.35">
      <c r="A3693" s="1664"/>
      <c r="B3693" s="2812"/>
      <c r="C3693" s="3077"/>
      <c r="D3693" s="3980"/>
      <c r="E3693" s="3883"/>
      <c r="F3693" s="4120" t="str">
        <f t="shared" si="411"/>
        <v>ASHP-SEER15-Replace_CAC_NonElectricHeat_ROF_SF</v>
      </c>
      <c r="G3693" s="4121"/>
      <c r="H3693" s="4121"/>
      <c r="I3693" s="4122"/>
      <c r="J3693" s="3508" t="str">
        <f t="shared" si="412"/>
        <v>352410_2021_12_</v>
      </c>
      <c r="K3693" s="717">
        <v>18</v>
      </c>
      <c r="L3693" s="704"/>
      <c r="M3693" s="3022"/>
      <c r="N3693" s="106"/>
      <c r="O3693" s="106"/>
      <c r="P3693" s="702"/>
      <c r="Q3693" s="702"/>
      <c r="R3693" s="702"/>
      <c r="S3693" s="106"/>
      <c r="T3693" s="486"/>
      <c r="U3693" s="106"/>
      <c r="V3693" s="4129"/>
      <c r="W3693" s="717"/>
      <c r="X3693" s="717"/>
      <c r="Y3693" s="717"/>
      <c r="Z3693" s="717"/>
      <c r="AA3693" s="717"/>
      <c r="AB3693" s="717"/>
      <c r="AC3693" s="2932">
        <v>18</v>
      </c>
      <c r="AD3693" s="717">
        <v>18</v>
      </c>
      <c r="AE3693" s="2944"/>
      <c r="AF3693" s="717"/>
      <c r="AG3693" s="717"/>
      <c r="AH3693" s="156"/>
      <c r="AI3693" s="156"/>
      <c r="AJ3693" s="156"/>
      <c r="AK3693" s="156"/>
      <c r="AL3693" s="156"/>
      <c r="AM3693" s="156"/>
      <c r="AN3693" s="156"/>
      <c r="AO3693" s="156"/>
      <c r="AP3693" s="156"/>
      <c r="AQ3693" s="156"/>
      <c r="AR3693" s="156"/>
      <c r="AS3693" s="156"/>
      <c r="AT3693" s="156"/>
      <c r="AU3693" s="156"/>
      <c r="AV3693" s="156"/>
      <c r="AW3693" s="156"/>
      <c r="AX3693" s="156"/>
      <c r="AY3693" s="156"/>
      <c r="AZ3693" s="156"/>
      <c r="BA3693" s="156"/>
      <c r="BB3693" s="2828"/>
      <c r="BC3693" s="452"/>
      <c r="BD3693" s="2829"/>
      <c r="BE3693" s="2837"/>
      <c r="BF3693" s="156"/>
    </row>
    <row r="3694" spans="1:58" ht="15" customHeight="1" outlineLevel="1" x14ac:dyDescent="0.35">
      <c r="A3694" s="1664"/>
      <c r="B3694" s="2812"/>
      <c r="C3694" s="3077"/>
      <c r="D3694" s="3980"/>
      <c r="E3694" s="3883"/>
      <c r="F3694" s="4120" t="str">
        <f t="shared" si="411"/>
        <v>ASHP-SEER15_ROF_SF</v>
      </c>
      <c r="G3694" s="4121"/>
      <c r="H3694" s="4121"/>
      <c r="I3694" s="4122"/>
      <c r="J3694" s="3508" t="str">
        <f t="shared" si="412"/>
        <v>352450_2021_12_</v>
      </c>
      <c r="K3694" s="717">
        <v>18</v>
      </c>
      <c r="L3694" s="704"/>
      <c r="M3694" s="3022"/>
      <c r="N3694" s="106"/>
      <c r="O3694" s="106"/>
      <c r="P3694" s="702"/>
      <c r="Q3694" s="702"/>
      <c r="R3694" s="702"/>
      <c r="S3694" s="106"/>
      <c r="T3694" s="486"/>
      <c r="U3694" s="106"/>
      <c r="V3694" s="4129"/>
      <c r="W3694" s="717">
        <v>18</v>
      </c>
      <c r="X3694" s="717">
        <v>18</v>
      </c>
      <c r="Y3694" s="717">
        <v>18</v>
      </c>
      <c r="Z3694" s="717">
        <v>18</v>
      </c>
      <c r="AA3694" s="717">
        <v>18</v>
      </c>
      <c r="AB3694" s="717">
        <v>18</v>
      </c>
      <c r="AC3694" s="2930">
        <v>18</v>
      </c>
      <c r="AD3694" s="717">
        <v>18</v>
      </c>
      <c r="AE3694" s="2944"/>
      <c r="AF3694" s="717"/>
      <c r="AG3694" s="717"/>
      <c r="AH3694" s="156"/>
      <c r="AI3694" s="156"/>
      <c r="AJ3694" s="156"/>
      <c r="AK3694" s="156"/>
      <c r="AL3694" s="156"/>
      <c r="AM3694" s="156"/>
      <c r="AN3694" s="156"/>
      <c r="AO3694" s="156"/>
      <c r="AP3694" s="156"/>
      <c r="AQ3694" s="156"/>
      <c r="AR3694" s="156"/>
      <c r="AS3694" s="156"/>
      <c r="AT3694" s="156"/>
      <c r="AU3694" s="156"/>
      <c r="AV3694" s="156"/>
      <c r="AW3694" s="156"/>
      <c r="AX3694" s="156"/>
      <c r="AY3694" s="156"/>
      <c r="AZ3694" s="156"/>
      <c r="BA3694" s="156"/>
      <c r="BB3694" s="2828"/>
      <c r="BC3694" s="452"/>
      <c r="BD3694" s="2829"/>
      <c r="BE3694" s="2837"/>
      <c r="BF3694" s="156"/>
    </row>
    <row r="3695" spans="1:58" ht="15" customHeight="1" outlineLevel="1" x14ac:dyDescent="0.35">
      <c r="A3695" s="1664"/>
      <c r="B3695" s="2812"/>
      <c r="C3695" s="3077"/>
      <c r="D3695" s="3980"/>
      <c r="E3695" s="3883"/>
      <c r="F3695" s="4120" t="str">
        <f t="shared" si="411"/>
        <v>ASHP-SEER15_ROF_SF</v>
      </c>
      <c r="G3695" s="4121"/>
      <c r="H3695" s="4121"/>
      <c r="I3695" s="4122"/>
      <c r="J3695" s="3508" t="str">
        <f t="shared" si="412"/>
        <v>352450_2021_12_</v>
      </c>
      <c r="K3695" s="717">
        <v>18</v>
      </c>
      <c r="L3695" s="704"/>
      <c r="M3695" s="3022"/>
      <c r="N3695" s="106"/>
      <c r="O3695" s="106"/>
      <c r="P3695" s="702"/>
      <c r="Q3695" s="702"/>
      <c r="R3695" s="702"/>
      <c r="S3695" s="106"/>
      <c r="T3695" s="486"/>
      <c r="U3695" s="106"/>
      <c r="V3695" s="4129"/>
      <c r="W3695" s="717">
        <v>18</v>
      </c>
      <c r="X3695" s="717">
        <v>18</v>
      </c>
      <c r="Y3695" s="717">
        <v>18</v>
      </c>
      <c r="Z3695" s="717">
        <v>18</v>
      </c>
      <c r="AA3695" s="717">
        <v>18</v>
      </c>
      <c r="AB3695" s="717">
        <v>18</v>
      </c>
      <c r="AC3695" s="2930">
        <v>18</v>
      </c>
      <c r="AD3695" s="717">
        <v>18</v>
      </c>
      <c r="AE3695" s="2944"/>
      <c r="AF3695" s="717"/>
      <c r="AG3695" s="717"/>
      <c r="AH3695" s="156"/>
      <c r="AI3695" s="156"/>
      <c r="AJ3695" s="156"/>
      <c r="AK3695" s="156"/>
      <c r="AL3695" s="156"/>
      <c r="AM3695" s="156"/>
      <c r="AN3695" s="156"/>
      <c r="AO3695" s="156"/>
      <c r="AP3695" s="156"/>
      <c r="AQ3695" s="156"/>
      <c r="AR3695" s="156"/>
      <c r="AS3695" s="156"/>
      <c r="AT3695" s="156"/>
      <c r="AU3695" s="156"/>
      <c r="AV3695" s="156"/>
      <c r="AW3695" s="156"/>
      <c r="AX3695" s="156"/>
      <c r="AY3695" s="156"/>
      <c r="AZ3695" s="156"/>
      <c r="BA3695" s="156"/>
      <c r="BB3695" s="2828"/>
      <c r="BC3695" s="452"/>
      <c r="BD3695" s="2829"/>
      <c r="BE3695" s="2837"/>
      <c r="BF3695" s="156"/>
    </row>
    <row r="3696" spans="1:58" ht="15" customHeight="1" outlineLevel="1" x14ac:dyDescent="0.35">
      <c r="A3696" s="1664"/>
      <c r="B3696" s="2812"/>
      <c r="C3696" s="3077"/>
      <c r="D3696" s="3980"/>
      <c r="E3696" s="3883"/>
      <c r="F3696" s="4120" t="str">
        <f t="shared" si="411"/>
        <v>ASHP-SEER16-Replace_CAC_ElectricHeat_ER1_SF</v>
      </c>
      <c r="G3696" s="4121"/>
      <c r="H3696" s="4121"/>
      <c r="I3696" s="4122"/>
      <c r="J3696" s="3508" t="str">
        <f t="shared" si="412"/>
        <v>352500_2021_12_</v>
      </c>
      <c r="K3696" s="717">
        <v>6</v>
      </c>
      <c r="L3696" s="704"/>
      <c r="M3696" s="3020"/>
      <c r="N3696" s="106"/>
      <c r="O3696" s="106"/>
      <c r="P3696" s="702"/>
      <c r="Q3696" s="702"/>
      <c r="R3696" s="702"/>
      <c r="S3696" s="106"/>
      <c r="T3696" s="486"/>
      <c r="U3696" s="106"/>
      <c r="V3696" s="4129"/>
      <c r="W3696" s="717">
        <v>6</v>
      </c>
      <c r="X3696" s="717">
        <v>6</v>
      </c>
      <c r="Y3696" s="717">
        <v>6</v>
      </c>
      <c r="Z3696" s="717">
        <v>6</v>
      </c>
      <c r="AA3696" s="717">
        <v>6</v>
      </c>
      <c r="AB3696" s="717">
        <v>6</v>
      </c>
      <c r="AC3696" s="2930">
        <v>6</v>
      </c>
      <c r="AD3696" s="717">
        <v>6</v>
      </c>
      <c r="AE3696" s="2944"/>
      <c r="AF3696" s="717"/>
      <c r="AG3696" s="717"/>
      <c r="AH3696" s="156"/>
      <c r="AI3696" s="156"/>
      <c r="AJ3696" s="156"/>
      <c r="AK3696" s="156"/>
      <c r="AL3696" s="156"/>
      <c r="AM3696" s="156"/>
      <c r="AN3696" s="156"/>
      <c r="AO3696" s="156"/>
      <c r="AP3696" s="156"/>
      <c r="AQ3696" s="156"/>
      <c r="AR3696" s="156"/>
      <c r="AS3696" s="156"/>
      <c r="AT3696" s="156"/>
      <c r="AU3696" s="156"/>
      <c r="AV3696" s="156"/>
      <c r="AW3696" s="156"/>
      <c r="AX3696" s="156"/>
      <c r="AY3696" s="156"/>
      <c r="AZ3696" s="156"/>
      <c r="BA3696" s="156"/>
      <c r="BB3696" s="2828"/>
      <c r="BC3696" s="452"/>
      <c r="BD3696" s="2829"/>
      <c r="BE3696" s="2837"/>
      <c r="BF3696" s="156"/>
    </row>
    <row r="3697" spans="1:58" ht="15" customHeight="1" outlineLevel="1" x14ac:dyDescent="0.35">
      <c r="A3697" s="1664"/>
      <c r="B3697" s="2812"/>
      <c r="C3697" s="3077"/>
      <c r="D3697" s="3980"/>
      <c r="E3697" s="3883"/>
      <c r="F3697" s="4120" t="str">
        <f t="shared" si="411"/>
        <v>ASHP-SEER16-Replace_CAC_ElectricHeat_ER1_SF</v>
      </c>
      <c r="G3697" s="4121"/>
      <c r="H3697" s="4121"/>
      <c r="I3697" s="4122"/>
      <c r="J3697" s="3508" t="str">
        <f t="shared" si="412"/>
        <v>352500_2021_12_</v>
      </c>
      <c r="K3697" s="717">
        <v>6</v>
      </c>
      <c r="L3697" s="704"/>
      <c r="M3697" s="3020"/>
      <c r="N3697" s="106"/>
      <c r="O3697" s="106"/>
      <c r="P3697" s="702"/>
      <c r="Q3697" s="702"/>
      <c r="R3697" s="702"/>
      <c r="S3697" s="106"/>
      <c r="T3697" s="486"/>
      <c r="U3697" s="106"/>
      <c r="V3697" s="4129"/>
      <c r="W3697" s="717">
        <v>6</v>
      </c>
      <c r="X3697" s="717">
        <v>6</v>
      </c>
      <c r="Y3697" s="717">
        <v>6</v>
      </c>
      <c r="Z3697" s="717">
        <v>6</v>
      </c>
      <c r="AA3697" s="717">
        <v>6</v>
      </c>
      <c r="AB3697" s="717">
        <v>6</v>
      </c>
      <c r="AC3697" s="2930">
        <v>6</v>
      </c>
      <c r="AD3697" s="717">
        <v>6</v>
      </c>
      <c r="AE3697" s="2944"/>
      <c r="AF3697" s="717"/>
      <c r="AG3697" s="717"/>
      <c r="AH3697" s="156"/>
      <c r="AI3697" s="156"/>
      <c r="AJ3697" s="156"/>
      <c r="AK3697" s="156"/>
      <c r="AL3697" s="156"/>
      <c r="AM3697" s="156"/>
      <c r="AN3697" s="156"/>
      <c r="AO3697" s="156"/>
      <c r="AP3697" s="156"/>
      <c r="AQ3697" s="156"/>
      <c r="AR3697" s="156"/>
      <c r="AS3697" s="156"/>
      <c r="AT3697" s="156"/>
      <c r="AU3697" s="156"/>
      <c r="AV3697" s="156"/>
      <c r="AW3697" s="156"/>
      <c r="AX3697" s="156"/>
      <c r="AY3697" s="156"/>
      <c r="AZ3697" s="156"/>
      <c r="BA3697" s="156"/>
      <c r="BB3697" s="2828"/>
      <c r="BC3697" s="452"/>
      <c r="BD3697" s="2829"/>
      <c r="BE3697" s="2837"/>
      <c r="BF3697" s="156"/>
    </row>
    <row r="3698" spans="1:58" ht="15" customHeight="1" outlineLevel="1" x14ac:dyDescent="0.35">
      <c r="A3698" s="1664"/>
      <c r="B3698" s="2812"/>
      <c r="C3698" s="3077"/>
      <c r="D3698" s="3980"/>
      <c r="E3698" s="3883"/>
      <c r="F3698" s="4120" t="str">
        <f t="shared" si="411"/>
        <v>ASHP-SEER16-Replace_CAC_ElectricHeat_ER2_SF</v>
      </c>
      <c r="G3698" s="4121"/>
      <c r="H3698" s="4121"/>
      <c r="I3698" s="4122"/>
      <c r="J3698" s="3508" t="str">
        <f t="shared" si="412"/>
        <v>352500_2021_12_</v>
      </c>
      <c r="K3698" s="717">
        <v>12</v>
      </c>
      <c r="L3698" s="704"/>
      <c r="M3698" s="3020"/>
      <c r="N3698" s="106"/>
      <c r="O3698" s="106"/>
      <c r="P3698" s="702"/>
      <c r="Q3698" s="702"/>
      <c r="R3698" s="702"/>
      <c r="S3698" s="106"/>
      <c r="T3698" s="486"/>
      <c r="U3698" s="106"/>
      <c r="V3698" s="4129"/>
      <c r="W3698" s="717">
        <v>12</v>
      </c>
      <c r="X3698" s="717">
        <v>12</v>
      </c>
      <c r="Y3698" s="717">
        <v>12</v>
      </c>
      <c r="Z3698" s="717">
        <v>12</v>
      </c>
      <c r="AA3698" s="717">
        <v>12</v>
      </c>
      <c r="AB3698" s="717">
        <v>12</v>
      </c>
      <c r="AC3698" s="2930">
        <v>12</v>
      </c>
      <c r="AD3698" s="717">
        <v>12</v>
      </c>
      <c r="AE3698" s="2944"/>
      <c r="AF3698" s="717"/>
      <c r="AG3698" s="717"/>
      <c r="AH3698" s="156"/>
      <c r="AI3698" s="156"/>
      <c r="AJ3698" s="156"/>
      <c r="AK3698" s="156"/>
      <c r="AL3698" s="156"/>
      <c r="AM3698" s="156"/>
      <c r="AN3698" s="156"/>
      <c r="AO3698" s="156"/>
      <c r="AP3698" s="156"/>
      <c r="AQ3698" s="156"/>
      <c r="AR3698" s="156"/>
      <c r="AS3698" s="156"/>
      <c r="AT3698" s="156"/>
      <c r="AU3698" s="156"/>
      <c r="AV3698" s="156"/>
      <c r="AW3698" s="156"/>
      <c r="AX3698" s="156"/>
      <c r="AY3698" s="156"/>
      <c r="AZ3698" s="156"/>
      <c r="BA3698" s="156"/>
      <c r="BB3698" s="2828"/>
      <c r="BC3698" s="452"/>
      <c r="BD3698" s="2829"/>
      <c r="BE3698" s="2837"/>
      <c r="BF3698" s="156"/>
    </row>
    <row r="3699" spans="1:58" ht="15" customHeight="1" outlineLevel="1" x14ac:dyDescent="0.35">
      <c r="A3699" s="1664"/>
      <c r="B3699" s="2812"/>
      <c r="C3699" s="3077"/>
      <c r="D3699" s="3980"/>
      <c r="E3699" s="3883"/>
      <c r="F3699" s="4120" t="str">
        <f t="shared" si="411"/>
        <v>ASHP-SEER16-Replace_CAC_ElectricHeat_ER2_SF</v>
      </c>
      <c r="G3699" s="4121"/>
      <c r="H3699" s="4121"/>
      <c r="I3699" s="4122"/>
      <c r="J3699" s="3508" t="str">
        <f t="shared" si="412"/>
        <v>352500_2021_12_</v>
      </c>
      <c r="K3699" s="717">
        <v>12</v>
      </c>
      <c r="L3699" s="704"/>
      <c r="M3699" s="3020"/>
      <c r="N3699" s="106"/>
      <c r="O3699" s="106"/>
      <c r="P3699" s="702"/>
      <c r="Q3699" s="702"/>
      <c r="R3699" s="702"/>
      <c r="S3699" s="106"/>
      <c r="T3699" s="486"/>
      <c r="U3699" s="106"/>
      <c r="V3699" s="4129"/>
      <c r="W3699" s="717">
        <v>12</v>
      </c>
      <c r="X3699" s="717">
        <v>12</v>
      </c>
      <c r="Y3699" s="717">
        <v>12</v>
      </c>
      <c r="Z3699" s="717">
        <v>12</v>
      </c>
      <c r="AA3699" s="717">
        <v>12</v>
      </c>
      <c r="AB3699" s="717">
        <v>12</v>
      </c>
      <c r="AC3699" s="2930">
        <v>12</v>
      </c>
      <c r="AD3699" s="717">
        <v>12</v>
      </c>
      <c r="AE3699" s="2944"/>
      <c r="AF3699" s="717"/>
      <c r="AG3699" s="717"/>
      <c r="AH3699" s="156"/>
      <c r="AI3699" s="156"/>
      <c r="AJ3699" s="156"/>
      <c r="AK3699" s="156"/>
      <c r="AL3699" s="156"/>
      <c r="AM3699" s="156"/>
      <c r="AN3699" s="156"/>
      <c r="AO3699" s="156"/>
      <c r="AP3699" s="156"/>
      <c r="AQ3699" s="156"/>
      <c r="AR3699" s="156"/>
      <c r="AS3699" s="156"/>
      <c r="AT3699" s="156"/>
      <c r="AU3699" s="156"/>
      <c r="AV3699" s="156"/>
      <c r="AW3699" s="156"/>
      <c r="AX3699" s="156"/>
      <c r="AY3699" s="156"/>
      <c r="AZ3699" s="156"/>
      <c r="BA3699" s="156"/>
      <c r="BB3699" s="2828"/>
      <c r="BC3699" s="452"/>
      <c r="BD3699" s="2829"/>
      <c r="BE3699" s="2837"/>
      <c r="BF3699" s="156"/>
    </row>
    <row r="3700" spans="1:58" ht="15" customHeight="1" outlineLevel="1" x14ac:dyDescent="0.35">
      <c r="A3700" s="1664"/>
      <c r="B3700" s="2812"/>
      <c r="C3700" s="3077"/>
      <c r="D3700" s="3980"/>
      <c r="E3700" s="3883"/>
      <c r="F3700" s="4120" t="str">
        <f t="shared" si="411"/>
        <v>ASHP-SEER16-Replace_CAC_NonElectricHeat_ER1_SF</v>
      </c>
      <c r="G3700" s="4121"/>
      <c r="H3700" s="4121"/>
      <c r="I3700" s="4122"/>
      <c r="J3700" s="3508" t="str">
        <f t="shared" si="412"/>
        <v>352510_2021_12_</v>
      </c>
      <c r="K3700" s="717">
        <v>6</v>
      </c>
      <c r="L3700" s="704"/>
      <c r="M3700" s="3020"/>
      <c r="N3700" s="106"/>
      <c r="O3700" s="106"/>
      <c r="P3700" s="702"/>
      <c r="Q3700" s="702"/>
      <c r="R3700" s="702"/>
      <c r="S3700" s="106"/>
      <c r="T3700" s="486"/>
      <c r="U3700" s="106"/>
      <c r="V3700" s="4129"/>
      <c r="W3700" s="717"/>
      <c r="X3700" s="717"/>
      <c r="Y3700" s="717"/>
      <c r="Z3700" s="717"/>
      <c r="AA3700" s="717"/>
      <c r="AB3700" s="717"/>
      <c r="AC3700" s="2932">
        <v>6</v>
      </c>
      <c r="AD3700" s="717">
        <v>6</v>
      </c>
      <c r="AE3700" s="2944"/>
      <c r="AF3700" s="717"/>
      <c r="AG3700" s="717"/>
      <c r="AH3700" s="156"/>
      <c r="AI3700" s="156"/>
      <c r="AJ3700" s="156"/>
      <c r="AK3700" s="156"/>
      <c r="AL3700" s="156"/>
      <c r="AM3700" s="156"/>
      <c r="AN3700" s="156"/>
      <c r="AO3700" s="156"/>
      <c r="AP3700" s="156"/>
      <c r="AQ3700" s="156"/>
      <c r="AR3700" s="156"/>
      <c r="AS3700" s="156"/>
      <c r="AT3700" s="156"/>
      <c r="AU3700" s="156"/>
      <c r="AV3700" s="156"/>
      <c r="AW3700" s="156"/>
      <c r="AX3700" s="156"/>
      <c r="AY3700" s="156"/>
      <c r="AZ3700" s="156"/>
      <c r="BA3700" s="156"/>
      <c r="BB3700" s="2828"/>
      <c r="BC3700" s="452"/>
      <c r="BD3700" s="2829"/>
      <c r="BE3700" s="2837"/>
      <c r="BF3700" s="156"/>
    </row>
    <row r="3701" spans="1:58" ht="15" customHeight="1" outlineLevel="1" x14ac:dyDescent="0.35">
      <c r="A3701" s="1664"/>
      <c r="B3701" s="2812"/>
      <c r="C3701" s="3077"/>
      <c r="D3701" s="3980"/>
      <c r="E3701" s="3883"/>
      <c r="F3701" s="4120" t="str">
        <f t="shared" si="411"/>
        <v>ASHP-SEER16-Replace_CAC_NonElectricHeat_ER1_SF</v>
      </c>
      <c r="G3701" s="4121"/>
      <c r="H3701" s="4121"/>
      <c r="I3701" s="4122"/>
      <c r="J3701" s="3508" t="str">
        <f t="shared" si="412"/>
        <v>352510_2021_12_</v>
      </c>
      <c r="K3701" s="717">
        <v>6</v>
      </c>
      <c r="L3701" s="704"/>
      <c r="M3701" s="3020"/>
      <c r="N3701" s="106"/>
      <c r="O3701" s="106"/>
      <c r="P3701" s="702"/>
      <c r="Q3701" s="702"/>
      <c r="R3701" s="702"/>
      <c r="S3701" s="106"/>
      <c r="T3701" s="486"/>
      <c r="U3701" s="106"/>
      <c r="V3701" s="4129"/>
      <c r="W3701" s="717"/>
      <c r="X3701" s="717"/>
      <c r="Y3701" s="717"/>
      <c r="Z3701" s="717"/>
      <c r="AA3701" s="717"/>
      <c r="AB3701" s="717"/>
      <c r="AC3701" s="2932">
        <v>6</v>
      </c>
      <c r="AD3701" s="717">
        <v>6</v>
      </c>
      <c r="AE3701" s="2944"/>
      <c r="AF3701" s="717"/>
      <c r="AG3701" s="717"/>
      <c r="AH3701" s="156"/>
      <c r="AI3701" s="156"/>
      <c r="AJ3701" s="156"/>
      <c r="AK3701" s="156"/>
      <c r="AL3701" s="156"/>
      <c r="AM3701" s="156"/>
      <c r="AN3701" s="156"/>
      <c r="AO3701" s="156"/>
      <c r="AP3701" s="156"/>
      <c r="AQ3701" s="156"/>
      <c r="AR3701" s="156"/>
      <c r="AS3701" s="156"/>
      <c r="AT3701" s="156"/>
      <c r="AU3701" s="156"/>
      <c r="AV3701" s="156"/>
      <c r="AW3701" s="156"/>
      <c r="AX3701" s="156"/>
      <c r="AY3701" s="156"/>
      <c r="AZ3701" s="156"/>
      <c r="BA3701" s="156"/>
      <c r="BB3701" s="2828"/>
      <c r="BC3701" s="452"/>
      <c r="BD3701" s="2829"/>
      <c r="BE3701" s="2837"/>
      <c r="BF3701" s="156"/>
    </row>
    <row r="3702" spans="1:58" ht="15" customHeight="1" outlineLevel="1" x14ac:dyDescent="0.35">
      <c r="A3702" s="1664"/>
      <c r="B3702" s="2812"/>
      <c r="C3702" s="3077"/>
      <c r="D3702" s="3980"/>
      <c r="E3702" s="3883"/>
      <c r="F3702" s="4120" t="str">
        <f t="shared" si="411"/>
        <v>ASHP-SEER16-Replace_CAC_NonElectricHeat_ER2_SF</v>
      </c>
      <c r="G3702" s="4121"/>
      <c r="H3702" s="4121"/>
      <c r="I3702" s="4122"/>
      <c r="J3702" s="3508" t="str">
        <f t="shared" si="412"/>
        <v>352510_2021_12_</v>
      </c>
      <c r="K3702" s="717">
        <v>12</v>
      </c>
      <c r="L3702" s="704"/>
      <c r="M3702" s="3020"/>
      <c r="N3702" s="106"/>
      <c r="O3702" s="106"/>
      <c r="P3702" s="702"/>
      <c r="Q3702" s="702"/>
      <c r="R3702" s="702"/>
      <c r="S3702" s="106"/>
      <c r="T3702" s="486"/>
      <c r="U3702" s="106"/>
      <c r="V3702" s="4129"/>
      <c r="W3702" s="717"/>
      <c r="X3702" s="717"/>
      <c r="Y3702" s="717"/>
      <c r="Z3702" s="717"/>
      <c r="AA3702" s="717"/>
      <c r="AB3702" s="717"/>
      <c r="AC3702" s="2932">
        <v>12</v>
      </c>
      <c r="AD3702" s="717">
        <v>12</v>
      </c>
      <c r="AE3702" s="2944"/>
      <c r="AF3702" s="717"/>
      <c r="AG3702" s="717"/>
      <c r="AH3702" s="156"/>
      <c r="AI3702" s="156"/>
      <c r="AJ3702" s="156"/>
      <c r="AK3702" s="156"/>
      <c r="AL3702" s="156"/>
      <c r="AM3702" s="156"/>
      <c r="AN3702" s="156"/>
      <c r="AO3702" s="156"/>
      <c r="AP3702" s="156"/>
      <c r="AQ3702" s="156"/>
      <c r="AR3702" s="156"/>
      <c r="AS3702" s="156"/>
      <c r="AT3702" s="156"/>
      <c r="AU3702" s="156"/>
      <c r="AV3702" s="156"/>
      <c r="AW3702" s="156"/>
      <c r="AX3702" s="156"/>
      <c r="AY3702" s="156"/>
      <c r="AZ3702" s="156"/>
      <c r="BA3702" s="156"/>
      <c r="BB3702" s="2828"/>
      <c r="BC3702" s="452"/>
      <c r="BD3702" s="2829"/>
      <c r="BE3702" s="2837"/>
      <c r="BF3702" s="156"/>
    </row>
    <row r="3703" spans="1:58" ht="15" customHeight="1" outlineLevel="1" x14ac:dyDescent="0.35">
      <c r="A3703" s="1664"/>
      <c r="B3703" s="2812"/>
      <c r="C3703" s="3077"/>
      <c r="D3703" s="3980"/>
      <c r="E3703" s="3883"/>
      <c r="F3703" s="4120" t="str">
        <f t="shared" si="411"/>
        <v>ASHP-SEER16-Replace_CAC_NonElectricHeat_ER2_SF</v>
      </c>
      <c r="G3703" s="4121"/>
      <c r="H3703" s="4121"/>
      <c r="I3703" s="4122"/>
      <c r="J3703" s="3508" t="str">
        <f t="shared" si="412"/>
        <v>352510_2021_12_</v>
      </c>
      <c r="K3703" s="717">
        <v>12</v>
      </c>
      <c r="L3703" s="704"/>
      <c r="M3703" s="3020"/>
      <c r="N3703" s="106"/>
      <c r="O3703" s="106"/>
      <c r="P3703" s="702"/>
      <c r="Q3703" s="702"/>
      <c r="R3703" s="702"/>
      <c r="S3703" s="106"/>
      <c r="T3703" s="486"/>
      <c r="U3703" s="106"/>
      <c r="V3703" s="4129"/>
      <c r="W3703" s="717"/>
      <c r="X3703" s="717"/>
      <c r="Y3703" s="717"/>
      <c r="Z3703" s="717"/>
      <c r="AA3703" s="717"/>
      <c r="AB3703" s="717"/>
      <c r="AC3703" s="2932">
        <v>12</v>
      </c>
      <c r="AD3703" s="717">
        <v>12</v>
      </c>
      <c r="AE3703" s="2944"/>
      <c r="AF3703" s="717"/>
      <c r="AG3703" s="717"/>
      <c r="AH3703" s="156"/>
      <c r="AI3703" s="156"/>
      <c r="AJ3703" s="156"/>
      <c r="AK3703" s="156"/>
      <c r="AL3703" s="156"/>
      <c r="AM3703" s="156"/>
      <c r="AN3703" s="156"/>
      <c r="AO3703" s="156"/>
      <c r="AP3703" s="156"/>
      <c r="AQ3703" s="156"/>
      <c r="AR3703" s="156"/>
      <c r="AS3703" s="156"/>
      <c r="AT3703" s="156"/>
      <c r="AU3703" s="156"/>
      <c r="AV3703" s="156"/>
      <c r="AW3703" s="156"/>
      <c r="AX3703" s="156"/>
      <c r="AY3703" s="156"/>
      <c r="AZ3703" s="156"/>
      <c r="BA3703" s="156"/>
      <c r="BB3703" s="2828"/>
      <c r="BC3703" s="452"/>
      <c r="BD3703" s="2829"/>
      <c r="BE3703" s="2837"/>
      <c r="BF3703" s="156"/>
    </row>
    <row r="3704" spans="1:58" ht="15" customHeight="1" outlineLevel="1" x14ac:dyDescent="0.35">
      <c r="A3704" s="1664"/>
      <c r="B3704" s="2812"/>
      <c r="C3704" s="3077"/>
      <c r="D3704" s="3980"/>
      <c r="E3704" s="3883"/>
      <c r="F3704" s="4120" t="str">
        <f t="shared" si="411"/>
        <v>ASHP-SEER16_ER1_SF</v>
      </c>
      <c r="G3704" s="4121"/>
      <c r="H3704" s="4121"/>
      <c r="I3704" s="4122"/>
      <c r="J3704" s="3508" t="str">
        <f t="shared" si="412"/>
        <v>352550_2021_12_</v>
      </c>
      <c r="K3704" s="717">
        <v>6</v>
      </c>
      <c r="L3704" s="704"/>
      <c r="M3704" s="3020"/>
      <c r="N3704" s="106"/>
      <c r="O3704" s="106"/>
      <c r="P3704" s="702"/>
      <c r="Q3704" s="702"/>
      <c r="R3704" s="702"/>
      <c r="S3704" s="106"/>
      <c r="T3704" s="486"/>
      <c r="U3704" s="106"/>
      <c r="V3704" s="4129"/>
      <c r="W3704" s="717">
        <v>6</v>
      </c>
      <c r="X3704" s="717">
        <v>6</v>
      </c>
      <c r="Y3704" s="717">
        <v>6</v>
      </c>
      <c r="Z3704" s="717">
        <v>6</v>
      </c>
      <c r="AA3704" s="717">
        <v>6</v>
      </c>
      <c r="AB3704" s="717">
        <v>6</v>
      </c>
      <c r="AC3704" s="2930">
        <v>6</v>
      </c>
      <c r="AD3704" s="717">
        <v>6</v>
      </c>
      <c r="AE3704" s="2944"/>
      <c r="AF3704" s="717"/>
      <c r="AG3704" s="717"/>
      <c r="AH3704" s="156"/>
      <c r="AI3704" s="156"/>
      <c r="AJ3704" s="156"/>
      <c r="AK3704" s="156"/>
      <c r="AL3704" s="156"/>
      <c r="AM3704" s="156"/>
      <c r="AN3704" s="156"/>
      <c r="AO3704" s="156"/>
      <c r="AP3704" s="156"/>
      <c r="AQ3704" s="156"/>
      <c r="AR3704" s="156"/>
      <c r="AS3704" s="156"/>
      <c r="AT3704" s="156"/>
      <c r="AU3704" s="156"/>
      <c r="AV3704" s="156"/>
      <c r="AW3704" s="156"/>
      <c r="AX3704" s="156"/>
      <c r="AY3704" s="156"/>
      <c r="AZ3704" s="156"/>
      <c r="BA3704" s="156"/>
      <c r="BB3704" s="2828"/>
      <c r="BC3704" s="452"/>
      <c r="BD3704" s="2829"/>
      <c r="BE3704" s="2837"/>
      <c r="BF3704" s="156"/>
    </row>
    <row r="3705" spans="1:58" ht="15" customHeight="1" outlineLevel="1" x14ac:dyDescent="0.35">
      <c r="A3705" s="1664"/>
      <c r="B3705" s="2812"/>
      <c r="C3705" s="3077"/>
      <c r="D3705" s="3980"/>
      <c r="E3705" s="3883"/>
      <c r="F3705" s="4120" t="str">
        <f t="shared" si="411"/>
        <v>ASHP-SEER16_ER1_SF</v>
      </c>
      <c r="G3705" s="4121"/>
      <c r="H3705" s="4121"/>
      <c r="I3705" s="4122"/>
      <c r="J3705" s="3508" t="str">
        <f t="shared" si="412"/>
        <v>352550_2021_12_</v>
      </c>
      <c r="K3705" s="717">
        <v>6</v>
      </c>
      <c r="L3705" s="704"/>
      <c r="M3705" s="3020"/>
      <c r="N3705" s="106"/>
      <c r="O3705" s="106"/>
      <c r="P3705" s="702"/>
      <c r="Q3705" s="702"/>
      <c r="R3705" s="702"/>
      <c r="S3705" s="106"/>
      <c r="T3705" s="486"/>
      <c r="U3705" s="106"/>
      <c r="V3705" s="4129"/>
      <c r="W3705" s="717">
        <v>6</v>
      </c>
      <c r="X3705" s="717">
        <v>6</v>
      </c>
      <c r="Y3705" s="717">
        <v>6</v>
      </c>
      <c r="Z3705" s="717">
        <v>6</v>
      </c>
      <c r="AA3705" s="717">
        <v>6</v>
      </c>
      <c r="AB3705" s="717">
        <v>6</v>
      </c>
      <c r="AC3705" s="2930">
        <v>6</v>
      </c>
      <c r="AD3705" s="717">
        <v>6</v>
      </c>
      <c r="AE3705" s="2944"/>
      <c r="AF3705" s="717"/>
      <c r="AG3705" s="717"/>
      <c r="AH3705" s="156"/>
      <c r="AI3705" s="156"/>
      <c r="AJ3705" s="156"/>
      <c r="AK3705" s="156"/>
      <c r="AL3705" s="156"/>
      <c r="AM3705" s="156"/>
      <c r="AN3705" s="156"/>
      <c r="AO3705" s="156"/>
      <c r="AP3705" s="156"/>
      <c r="AQ3705" s="156"/>
      <c r="AR3705" s="156"/>
      <c r="AS3705" s="156"/>
      <c r="AT3705" s="156"/>
      <c r="AU3705" s="156"/>
      <c r="AV3705" s="156"/>
      <c r="AW3705" s="156"/>
      <c r="AX3705" s="156"/>
      <c r="AY3705" s="156"/>
      <c r="AZ3705" s="156"/>
      <c r="BA3705" s="156"/>
      <c r="BB3705" s="2828"/>
      <c r="BC3705" s="452"/>
      <c r="BD3705" s="2829"/>
      <c r="BE3705" s="2837"/>
      <c r="BF3705" s="156"/>
    </row>
    <row r="3706" spans="1:58" ht="15" customHeight="1" outlineLevel="1" x14ac:dyDescent="0.35">
      <c r="A3706" s="1664"/>
      <c r="B3706" s="2812"/>
      <c r="C3706" s="3077"/>
      <c r="D3706" s="3980"/>
      <c r="E3706" s="3883"/>
      <c r="F3706" s="4120" t="str">
        <f t="shared" si="411"/>
        <v>ASHP-SEER16_ER2_SF</v>
      </c>
      <c r="G3706" s="4121"/>
      <c r="H3706" s="4121"/>
      <c r="I3706" s="4122"/>
      <c r="J3706" s="3508" t="str">
        <f t="shared" si="412"/>
        <v>352550_2021_12_</v>
      </c>
      <c r="K3706" s="717">
        <v>12</v>
      </c>
      <c r="L3706" s="704"/>
      <c r="M3706" s="3020"/>
      <c r="N3706" s="106"/>
      <c r="O3706" s="106"/>
      <c r="P3706" s="702"/>
      <c r="Q3706" s="702"/>
      <c r="R3706" s="702"/>
      <c r="S3706" s="106"/>
      <c r="T3706" s="486"/>
      <c r="U3706" s="106"/>
      <c r="V3706" s="4129"/>
      <c r="W3706" s="717">
        <v>12</v>
      </c>
      <c r="X3706" s="717">
        <v>12</v>
      </c>
      <c r="Y3706" s="717">
        <v>12</v>
      </c>
      <c r="Z3706" s="717">
        <v>12</v>
      </c>
      <c r="AA3706" s="717">
        <v>12</v>
      </c>
      <c r="AB3706" s="717">
        <v>12</v>
      </c>
      <c r="AC3706" s="2930">
        <v>12</v>
      </c>
      <c r="AD3706" s="717">
        <v>12</v>
      </c>
      <c r="AE3706" s="2944"/>
      <c r="AF3706" s="717"/>
      <c r="AG3706" s="717"/>
      <c r="AH3706" s="156"/>
      <c r="AI3706" s="156"/>
      <c r="AJ3706" s="156"/>
      <c r="AK3706" s="156"/>
      <c r="AL3706" s="156"/>
      <c r="AM3706" s="156"/>
      <c r="AN3706" s="156"/>
      <c r="AO3706" s="156"/>
      <c r="AP3706" s="156"/>
      <c r="AQ3706" s="156"/>
      <c r="AR3706" s="156"/>
      <c r="AS3706" s="156"/>
      <c r="AT3706" s="156"/>
      <c r="AU3706" s="156"/>
      <c r="AV3706" s="156"/>
      <c r="AW3706" s="156"/>
      <c r="AX3706" s="156"/>
      <c r="AY3706" s="156"/>
      <c r="AZ3706" s="156"/>
      <c r="BA3706" s="156"/>
      <c r="BB3706" s="2828"/>
      <c r="BC3706" s="452"/>
      <c r="BD3706" s="2829"/>
      <c r="BE3706" s="2837"/>
      <c r="BF3706" s="156"/>
    </row>
    <row r="3707" spans="1:58" ht="15" customHeight="1" outlineLevel="1" x14ac:dyDescent="0.35">
      <c r="A3707" s="1664"/>
      <c r="B3707" s="2812"/>
      <c r="C3707" s="3077"/>
      <c r="D3707" s="3980"/>
      <c r="E3707" s="3883"/>
      <c r="F3707" s="4120" t="str">
        <f t="shared" si="411"/>
        <v>ASHP-SEER16_ER2_SF</v>
      </c>
      <c r="G3707" s="4121"/>
      <c r="H3707" s="4121"/>
      <c r="I3707" s="4122"/>
      <c r="J3707" s="3508" t="str">
        <f t="shared" si="412"/>
        <v>352550_2021_12_</v>
      </c>
      <c r="K3707" s="717">
        <v>12</v>
      </c>
      <c r="L3707" s="704"/>
      <c r="M3707" s="3020"/>
      <c r="N3707" s="106"/>
      <c r="O3707" s="106"/>
      <c r="P3707" s="702"/>
      <c r="Q3707" s="702"/>
      <c r="R3707" s="702"/>
      <c r="S3707" s="106"/>
      <c r="T3707" s="486"/>
      <c r="U3707" s="106"/>
      <c r="V3707" s="4129"/>
      <c r="W3707" s="717">
        <v>12</v>
      </c>
      <c r="X3707" s="717">
        <v>12</v>
      </c>
      <c r="Y3707" s="717">
        <v>12</v>
      </c>
      <c r="Z3707" s="717">
        <v>12</v>
      </c>
      <c r="AA3707" s="717">
        <v>12</v>
      </c>
      <c r="AB3707" s="717">
        <v>12</v>
      </c>
      <c r="AC3707" s="2930">
        <v>12</v>
      </c>
      <c r="AD3707" s="717">
        <v>12</v>
      </c>
      <c r="AE3707" s="2944"/>
      <c r="AF3707" s="717"/>
      <c r="AG3707" s="717"/>
      <c r="AH3707" s="156"/>
      <c r="AI3707" s="156"/>
      <c r="AJ3707" s="156"/>
      <c r="AK3707" s="156"/>
      <c r="AL3707" s="156"/>
      <c r="AM3707" s="156"/>
      <c r="AN3707" s="156"/>
      <c r="AO3707" s="156"/>
      <c r="AP3707" s="156"/>
      <c r="AQ3707" s="156"/>
      <c r="AR3707" s="156"/>
      <c r="AS3707" s="156"/>
      <c r="AT3707" s="156"/>
      <c r="AU3707" s="156"/>
      <c r="AV3707" s="156"/>
      <c r="AW3707" s="156"/>
      <c r="AX3707" s="156"/>
      <c r="AY3707" s="156"/>
      <c r="AZ3707" s="156"/>
      <c r="BA3707" s="156"/>
      <c r="BB3707" s="2828"/>
      <c r="BC3707" s="452"/>
      <c r="BD3707" s="2829"/>
      <c r="BE3707" s="2837"/>
      <c r="BF3707" s="156"/>
    </row>
    <row r="3708" spans="1:58" ht="15" customHeight="1" outlineLevel="1" x14ac:dyDescent="0.35">
      <c r="A3708" s="1664"/>
      <c r="B3708" s="2812"/>
      <c r="C3708" s="3077"/>
      <c r="D3708" s="3980"/>
      <c r="E3708" s="3883"/>
      <c r="F3708" s="4120" t="str">
        <f t="shared" si="411"/>
        <v>ASHP-SEER16-Replace_CAC_ElectricHeat_ROF_SF</v>
      </c>
      <c r="G3708" s="4121"/>
      <c r="H3708" s="4121"/>
      <c r="I3708" s="4122"/>
      <c r="J3708" s="3508" t="str">
        <f t="shared" si="412"/>
        <v>352600_2021_12_</v>
      </c>
      <c r="K3708" s="717">
        <v>18</v>
      </c>
      <c r="L3708" s="704"/>
      <c r="M3708" s="3020"/>
      <c r="N3708" s="106"/>
      <c r="O3708" s="106"/>
      <c r="P3708" s="702"/>
      <c r="Q3708" s="702"/>
      <c r="R3708" s="702"/>
      <c r="S3708" s="106"/>
      <c r="T3708" s="486"/>
      <c r="U3708" s="106"/>
      <c r="V3708" s="4129"/>
      <c r="W3708" s="717">
        <v>18</v>
      </c>
      <c r="X3708" s="717">
        <v>18</v>
      </c>
      <c r="Y3708" s="717">
        <v>18</v>
      </c>
      <c r="Z3708" s="717">
        <v>18</v>
      </c>
      <c r="AA3708" s="717">
        <v>18</v>
      </c>
      <c r="AB3708" s="717">
        <v>18</v>
      </c>
      <c r="AC3708" s="2930">
        <v>18</v>
      </c>
      <c r="AD3708" s="717">
        <v>18</v>
      </c>
      <c r="AE3708" s="2944"/>
      <c r="AF3708" s="717"/>
      <c r="AG3708" s="717"/>
      <c r="AH3708" s="156"/>
      <c r="AI3708" s="156"/>
      <c r="AJ3708" s="156"/>
      <c r="AK3708" s="156"/>
      <c r="AL3708" s="156"/>
      <c r="AM3708" s="156"/>
      <c r="AN3708" s="156"/>
      <c r="AO3708" s="156"/>
      <c r="AP3708" s="156"/>
      <c r="AQ3708" s="156"/>
      <c r="AR3708" s="156"/>
      <c r="AS3708" s="156"/>
      <c r="AT3708" s="156"/>
      <c r="AU3708" s="156"/>
      <c r="AV3708" s="156"/>
      <c r="AW3708" s="156"/>
      <c r="AX3708" s="156"/>
      <c r="AY3708" s="156"/>
      <c r="AZ3708" s="156"/>
      <c r="BA3708" s="156"/>
      <c r="BB3708" s="2828"/>
      <c r="BC3708" s="452"/>
      <c r="BD3708" s="2829"/>
      <c r="BE3708" s="2837"/>
      <c r="BF3708" s="156"/>
    </row>
    <row r="3709" spans="1:58" ht="15" customHeight="1" outlineLevel="1" x14ac:dyDescent="0.35">
      <c r="A3709" s="1664"/>
      <c r="B3709" s="2812"/>
      <c r="C3709" s="3077"/>
      <c r="D3709" s="3980"/>
      <c r="E3709" s="3883"/>
      <c r="F3709" s="4120" t="str">
        <f t="shared" si="411"/>
        <v>ASHP-SEER16-Replace_CAC_ElectricHeat_ROF_SF</v>
      </c>
      <c r="G3709" s="4121"/>
      <c r="H3709" s="4121"/>
      <c r="I3709" s="4122"/>
      <c r="J3709" s="3508" t="str">
        <f t="shared" si="412"/>
        <v>352600_2021_12_</v>
      </c>
      <c r="K3709" s="717">
        <v>18</v>
      </c>
      <c r="L3709" s="704"/>
      <c r="M3709" s="3020"/>
      <c r="N3709" s="106"/>
      <c r="O3709" s="106"/>
      <c r="P3709" s="702"/>
      <c r="Q3709" s="702"/>
      <c r="R3709" s="702"/>
      <c r="S3709" s="106"/>
      <c r="T3709" s="486"/>
      <c r="U3709" s="106"/>
      <c r="V3709" s="4129"/>
      <c r="W3709" s="717">
        <v>18</v>
      </c>
      <c r="X3709" s="717">
        <v>18</v>
      </c>
      <c r="Y3709" s="717">
        <v>18</v>
      </c>
      <c r="Z3709" s="717">
        <v>18</v>
      </c>
      <c r="AA3709" s="717">
        <v>18</v>
      </c>
      <c r="AB3709" s="717">
        <v>18</v>
      </c>
      <c r="AC3709" s="2930">
        <v>18</v>
      </c>
      <c r="AD3709" s="717">
        <v>18</v>
      </c>
      <c r="AE3709" s="2944"/>
      <c r="AF3709" s="717"/>
      <c r="AG3709" s="717"/>
      <c r="AH3709" s="156"/>
      <c r="AI3709" s="156"/>
      <c r="AJ3709" s="156"/>
      <c r="AK3709" s="156"/>
      <c r="AL3709" s="156"/>
      <c r="AM3709" s="156"/>
      <c r="AN3709" s="156"/>
      <c r="AO3709" s="156"/>
      <c r="AP3709" s="156"/>
      <c r="AQ3709" s="156"/>
      <c r="AR3709" s="156"/>
      <c r="AS3709" s="156"/>
      <c r="AT3709" s="156"/>
      <c r="AU3709" s="156"/>
      <c r="AV3709" s="156"/>
      <c r="AW3709" s="156"/>
      <c r="AX3709" s="156"/>
      <c r="AY3709" s="156"/>
      <c r="AZ3709" s="156"/>
      <c r="BA3709" s="156"/>
      <c r="BB3709" s="2828"/>
      <c r="BC3709" s="452"/>
      <c r="BD3709" s="2829"/>
      <c r="BE3709" s="2837"/>
      <c r="BF3709" s="156"/>
    </row>
    <row r="3710" spans="1:58" ht="15" customHeight="1" outlineLevel="1" x14ac:dyDescent="0.35">
      <c r="A3710" s="1664"/>
      <c r="B3710" s="3499"/>
      <c r="C3710" s="3077"/>
      <c r="D3710" s="3980"/>
      <c r="E3710" s="3883"/>
      <c r="F3710" s="4182" t="str">
        <f t="shared" ref="F3710:F3741" si="413">E1566</f>
        <v>ASHP-SEER16-Replace_CAC_NonElectricHeat_ROF_SF</v>
      </c>
      <c r="G3710" s="3989"/>
      <c r="H3710" s="3989"/>
      <c r="I3710" s="3990"/>
      <c r="J3710" s="3509" t="str">
        <f t="shared" ref="J3710:J3741" si="414">C1566</f>
        <v>352610_2022_12_</v>
      </c>
      <c r="K3710" s="3510">
        <v>18</v>
      </c>
      <c r="L3710" s="704"/>
      <c r="M3710" s="3020"/>
      <c r="N3710" s="3391"/>
      <c r="O3710" s="3391"/>
      <c r="P3710" s="702"/>
      <c r="Q3710" s="702"/>
      <c r="R3710" s="702"/>
      <c r="S3710" s="3391"/>
      <c r="T3710" s="3389"/>
      <c r="U3710" s="3391"/>
      <c r="V3710" s="4129"/>
      <c r="W3710" s="717"/>
      <c r="X3710" s="717"/>
      <c r="Y3710" s="717"/>
      <c r="Z3710" s="717"/>
      <c r="AA3710" s="717"/>
      <c r="AB3710" s="717"/>
      <c r="AC3710" s="2930"/>
      <c r="AD3710" s="3510">
        <v>18</v>
      </c>
      <c r="AE3710" s="2944"/>
      <c r="AF3710" s="717"/>
      <c r="AG3710" s="717"/>
      <c r="AH3710" s="156"/>
      <c r="AI3710" s="156"/>
      <c r="AJ3710" s="156"/>
      <c r="AK3710" s="156"/>
      <c r="AL3710" s="156"/>
      <c r="AM3710" s="156"/>
      <c r="AN3710" s="156"/>
      <c r="AO3710" s="156"/>
      <c r="AP3710" s="156"/>
      <c r="AQ3710" s="156"/>
      <c r="AR3710" s="156"/>
      <c r="AS3710" s="156"/>
      <c r="AT3710" s="156"/>
      <c r="AU3710" s="156"/>
      <c r="AV3710" s="156"/>
      <c r="AW3710" s="156"/>
      <c r="AX3710" s="156"/>
      <c r="AY3710" s="156"/>
      <c r="AZ3710" s="156"/>
      <c r="BA3710" s="156"/>
      <c r="BB3710" s="2828"/>
      <c r="BC3710" s="452"/>
      <c r="BD3710" s="2829"/>
      <c r="BE3710" s="2837"/>
      <c r="BF3710" s="156"/>
    </row>
    <row r="3711" spans="1:58" ht="15" customHeight="1" outlineLevel="1" x14ac:dyDescent="0.35">
      <c r="A3711" s="1664"/>
      <c r="B3711" s="3499"/>
      <c r="C3711" s="3077"/>
      <c r="D3711" s="3980"/>
      <c r="E3711" s="3883"/>
      <c r="F3711" s="4182" t="str">
        <f t="shared" si="413"/>
        <v>ASHP-SEER16-Replace_CAC_NonElectricHeat_ROF_SF</v>
      </c>
      <c r="G3711" s="3989"/>
      <c r="H3711" s="3989"/>
      <c r="I3711" s="3990"/>
      <c r="J3711" s="3509" t="str">
        <f t="shared" si="414"/>
        <v>352610_2022_12_</v>
      </c>
      <c r="K3711" s="3510">
        <v>18</v>
      </c>
      <c r="L3711" s="704"/>
      <c r="M3711" s="3020"/>
      <c r="N3711" s="3391"/>
      <c r="O3711" s="3391"/>
      <c r="P3711" s="702"/>
      <c r="Q3711" s="702"/>
      <c r="R3711" s="702"/>
      <c r="S3711" s="3391"/>
      <c r="T3711" s="3389"/>
      <c r="U3711" s="3391"/>
      <c r="V3711" s="4129"/>
      <c r="W3711" s="717"/>
      <c r="X3711" s="717"/>
      <c r="Y3711" s="717"/>
      <c r="Z3711" s="717"/>
      <c r="AA3711" s="717"/>
      <c r="AB3711" s="717"/>
      <c r="AC3711" s="2930"/>
      <c r="AD3711" s="3510">
        <v>18</v>
      </c>
      <c r="AE3711" s="2944"/>
      <c r="AF3711" s="717"/>
      <c r="AG3711" s="717"/>
      <c r="AH3711" s="156"/>
      <c r="AI3711" s="156"/>
      <c r="AJ3711" s="156"/>
      <c r="AK3711" s="156"/>
      <c r="AL3711" s="156"/>
      <c r="AM3711" s="156"/>
      <c r="AN3711" s="156"/>
      <c r="AO3711" s="156"/>
      <c r="AP3711" s="156"/>
      <c r="AQ3711" s="156"/>
      <c r="AR3711" s="156"/>
      <c r="AS3711" s="156"/>
      <c r="AT3711" s="156"/>
      <c r="AU3711" s="156"/>
      <c r="AV3711" s="156"/>
      <c r="AW3711" s="156"/>
      <c r="AX3711" s="156"/>
      <c r="AY3711" s="156"/>
      <c r="AZ3711" s="156"/>
      <c r="BA3711" s="156"/>
      <c r="BB3711" s="2828"/>
      <c r="BC3711" s="452"/>
      <c r="BD3711" s="2829"/>
      <c r="BE3711" s="2837"/>
      <c r="BF3711" s="156"/>
    </row>
    <row r="3712" spans="1:58" ht="15" customHeight="1" outlineLevel="1" x14ac:dyDescent="0.35">
      <c r="A3712" s="1664"/>
      <c r="B3712" s="2812"/>
      <c r="C3712" s="3077"/>
      <c r="D3712" s="3980"/>
      <c r="E3712" s="3883"/>
      <c r="F3712" s="4120" t="str">
        <f t="shared" si="413"/>
        <v>ASHP-SEER16_ROF_SF</v>
      </c>
      <c r="G3712" s="4121"/>
      <c r="H3712" s="4121"/>
      <c r="I3712" s="4122"/>
      <c r="J3712" s="3508" t="str">
        <f t="shared" si="414"/>
        <v>352650_2021_12_</v>
      </c>
      <c r="K3712" s="717">
        <v>18</v>
      </c>
      <c r="L3712" s="704"/>
      <c r="M3712" s="3020"/>
      <c r="N3712" s="106"/>
      <c r="O3712" s="106"/>
      <c r="P3712" s="702"/>
      <c r="Q3712" s="702"/>
      <c r="R3712" s="702"/>
      <c r="S3712" s="106"/>
      <c r="T3712" s="486"/>
      <c r="U3712" s="106"/>
      <c r="V3712" s="4129"/>
      <c r="W3712" s="717">
        <v>18</v>
      </c>
      <c r="X3712" s="717">
        <v>18</v>
      </c>
      <c r="Y3712" s="717">
        <v>18</v>
      </c>
      <c r="Z3712" s="717">
        <v>18</v>
      </c>
      <c r="AA3712" s="717">
        <v>18</v>
      </c>
      <c r="AB3712" s="717">
        <v>18</v>
      </c>
      <c r="AC3712" s="2930">
        <v>18</v>
      </c>
      <c r="AD3712" s="717">
        <v>18</v>
      </c>
      <c r="AE3712" s="2944"/>
      <c r="AF3712" s="717"/>
      <c r="AG3712" s="717"/>
      <c r="AH3712" s="156"/>
      <c r="AI3712" s="156"/>
      <c r="AJ3712" s="156"/>
      <c r="AK3712" s="156"/>
      <c r="AL3712" s="156"/>
      <c r="AM3712" s="156"/>
      <c r="AN3712" s="156"/>
      <c r="AO3712" s="156"/>
      <c r="AP3712" s="156"/>
      <c r="AQ3712" s="156"/>
      <c r="AR3712" s="156"/>
      <c r="AS3712" s="156"/>
      <c r="AT3712" s="156"/>
      <c r="AU3712" s="156"/>
      <c r="AV3712" s="156"/>
      <c r="AW3712" s="156"/>
      <c r="AX3712" s="156"/>
      <c r="AY3712" s="156"/>
      <c r="AZ3712" s="156"/>
      <c r="BA3712" s="156"/>
      <c r="BB3712" s="2828"/>
      <c r="BC3712" s="452"/>
      <c r="BD3712" s="2829"/>
      <c r="BE3712" s="2837"/>
      <c r="BF3712" s="156"/>
    </row>
    <row r="3713" spans="1:58" ht="15" customHeight="1" outlineLevel="1" x14ac:dyDescent="0.35">
      <c r="A3713" s="1664"/>
      <c r="B3713" s="2812"/>
      <c r="C3713" s="3077"/>
      <c r="D3713" s="3980"/>
      <c r="E3713" s="3883"/>
      <c r="F3713" s="4120" t="str">
        <f t="shared" si="413"/>
        <v>ASHP-SEER16_ROF_SF</v>
      </c>
      <c r="G3713" s="4121"/>
      <c r="H3713" s="4121"/>
      <c r="I3713" s="4122"/>
      <c r="J3713" s="3508" t="str">
        <f t="shared" si="414"/>
        <v>352650_2021_12_</v>
      </c>
      <c r="K3713" s="717">
        <v>18</v>
      </c>
      <c r="L3713" s="704"/>
      <c r="M3713" s="3020"/>
      <c r="N3713" s="106"/>
      <c r="O3713" s="106"/>
      <c r="P3713" s="702"/>
      <c r="Q3713" s="702"/>
      <c r="R3713" s="702"/>
      <c r="S3713" s="106"/>
      <c r="T3713" s="486"/>
      <c r="U3713" s="106"/>
      <c r="V3713" s="4129"/>
      <c r="W3713" s="717">
        <v>18</v>
      </c>
      <c r="X3713" s="717">
        <v>18</v>
      </c>
      <c r="Y3713" s="717">
        <v>18</v>
      </c>
      <c r="Z3713" s="717">
        <v>18</v>
      </c>
      <c r="AA3713" s="717">
        <v>18</v>
      </c>
      <c r="AB3713" s="717">
        <v>18</v>
      </c>
      <c r="AC3713" s="2930">
        <v>18</v>
      </c>
      <c r="AD3713" s="717">
        <v>18</v>
      </c>
      <c r="AE3713" s="2944"/>
      <c r="AF3713" s="717"/>
      <c r="AG3713" s="717"/>
      <c r="AH3713" s="156"/>
      <c r="AI3713" s="156"/>
      <c r="AJ3713" s="156"/>
      <c r="AK3713" s="156"/>
      <c r="AL3713" s="156"/>
      <c r="AM3713" s="156"/>
      <c r="AN3713" s="156"/>
      <c r="AO3713" s="156"/>
      <c r="AP3713" s="156"/>
      <c r="AQ3713" s="156"/>
      <c r="AR3713" s="156"/>
      <c r="AS3713" s="156"/>
      <c r="AT3713" s="156"/>
      <c r="AU3713" s="156"/>
      <c r="AV3713" s="156"/>
      <c r="AW3713" s="156"/>
      <c r="AX3713" s="156"/>
      <c r="AY3713" s="156"/>
      <c r="AZ3713" s="156"/>
      <c r="BA3713" s="156"/>
      <c r="BB3713" s="2828"/>
      <c r="BC3713" s="452"/>
      <c r="BD3713" s="2829"/>
      <c r="BE3713" s="2837"/>
      <c r="BF3713" s="156"/>
    </row>
    <row r="3714" spans="1:58" ht="15" customHeight="1" outlineLevel="1" x14ac:dyDescent="0.35">
      <c r="A3714" s="1664"/>
      <c r="B3714" s="2812"/>
      <c r="C3714" s="3077"/>
      <c r="D3714" s="3980"/>
      <c r="E3714" s="3883"/>
      <c r="F3714" s="4120" t="str">
        <f t="shared" si="413"/>
        <v>ASHP-SEER15_ER1_MF</v>
      </c>
      <c r="G3714" s="4121"/>
      <c r="H3714" s="4121"/>
      <c r="I3714" s="4122"/>
      <c r="J3714" s="3508" t="str">
        <f t="shared" si="414"/>
        <v>352700_2021_12_</v>
      </c>
      <c r="K3714" s="717">
        <v>6</v>
      </c>
      <c r="L3714" s="704"/>
      <c r="M3714" s="3020"/>
      <c r="N3714" s="106"/>
      <c r="O3714" s="106"/>
      <c r="P3714" s="702"/>
      <c r="Q3714" s="702"/>
      <c r="R3714" s="702"/>
      <c r="S3714" s="106"/>
      <c r="T3714" s="486"/>
      <c r="U3714" s="106"/>
      <c r="V3714" s="4129"/>
      <c r="W3714" s="717">
        <v>6</v>
      </c>
      <c r="X3714" s="717">
        <v>6</v>
      </c>
      <c r="Y3714" s="717">
        <v>6</v>
      </c>
      <c r="Z3714" s="717">
        <v>6</v>
      </c>
      <c r="AA3714" s="717">
        <v>6</v>
      </c>
      <c r="AB3714" s="717">
        <v>6</v>
      </c>
      <c r="AC3714" s="2930">
        <v>6</v>
      </c>
      <c r="AD3714" s="717">
        <v>6</v>
      </c>
      <c r="AE3714" s="2944"/>
      <c r="AF3714" s="717"/>
      <c r="AG3714" s="717"/>
      <c r="AH3714" s="156"/>
      <c r="AI3714" s="156"/>
      <c r="AJ3714" s="156"/>
      <c r="AK3714" s="156"/>
      <c r="AL3714" s="156"/>
      <c r="AM3714" s="156"/>
      <c r="AN3714" s="156"/>
      <c r="AO3714" s="156"/>
      <c r="AP3714" s="156"/>
      <c r="AQ3714" s="156"/>
      <c r="AR3714" s="156"/>
      <c r="AS3714" s="156"/>
      <c r="AT3714" s="156"/>
      <c r="AU3714" s="156"/>
      <c r="AV3714" s="156"/>
      <c r="AW3714" s="156"/>
      <c r="AX3714" s="156"/>
      <c r="AY3714" s="156"/>
      <c r="AZ3714" s="156"/>
      <c r="BA3714" s="156"/>
      <c r="BB3714" s="2828"/>
      <c r="BC3714" s="452"/>
      <c r="BD3714" s="2829"/>
      <c r="BE3714" s="2837"/>
      <c r="BF3714" s="156"/>
    </row>
    <row r="3715" spans="1:58" ht="15" customHeight="1" outlineLevel="1" x14ac:dyDescent="0.35">
      <c r="A3715" s="1664"/>
      <c r="B3715" s="2812"/>
      <c r="C3715" s="3077"/>
      <c r="D3715" s="3980"/>
      <c r="E3715" s="3883"/>
      <c r="F3715" s="4120" t="str">
        <f t="shared" si="413"/>
        <v>ASHP-SEER15_ER1_MF</v>
      </c>
      <c r="G3715" s="4121"/>
      <c r="H3715" s="4121"/>
      <c r="I3715" s="4122"/>
      <c r="J3715" s="3508" t="str">
        <f t="shared" si="414"/>
        <v>352700_2021_12_</v>
      </c>
      <c r="K3715" s="717">
        <v>6</v>
      </c>
      <c r="L3715" s="704"/>
      <c r="M3715" s="3020"/>
      <c r="N3715" s="106"/>
      <c r="O3715" s="106"/>
      <c r="P3715" s="702"/>
      <c r="Q3715" s="702"/>
      <c r="R3715" s="702"/>
      <c r="S3715" s="106"/>
      <c r="T3715" s="486"/>
      <c r="U3715" s="106"/>
      <c r="V3715" s="4129"/>
      <c r="W3715" s="717">
        <v>6</v>
      </c>
      <c r="X3715" s="717">
        <v>6</v>
      </c>
      <c r="Y3715" s="717">
        <v>6</v>
      </c>
      <c r="Z3715" s="717">
        <v>6</v>
      </c>
      <c r="AA3715" s="717">
        <v>6</v>
      </c>
      <c r="AB3715" s="717">
        <v>6</v>
      </c>
      <c r="AC3715" s="2930">
        <v>6</v>
      </c>
      <c r="AD3715" s="717">
        <v>6</v>
      </c>
      <c r="AE3715" s="2944"/>
      <c r="AF3715" s="717"/>
      <c r="AG3715" s="717"/>
      <c r="AH3715" s="156"/>
      <c r="AI3715" s="156"/>
      <c r="AJ3715" s="156"/>
      <c r="AK3715" s="156"/>
      <c r="AL3715" s="156"/>
      <c r="AM3715" s="156"/>
      <c r="AN3715" s="156"/>
      <c r="AO3715" s="156"/>
      <c r="AP3715" s="156"/>
      <c r="AQ3715" s="156"/>
      <c r="AR3715" s="156"/>
      <c r="AS3715" s="156"/>
      <c r="AT3715" s="156"/>
      <c r="AU3715" s="156"/>
      <c r="AV3715" s="156"/>
      <c r="AW3715" s="156"/>
      <c r="AX3715" s="156"/>
      <c r="AY3715" s="156"/>
      <c r="AZ3715" s="156"/>
      <c r="BA3715" s="156"/>
      <c r="BB3715" s="2828"/>
      <c r="BC3715" s="452"/>
      <c r="BD3715" s="2829"/>
      <c r="BE3715" s="2837"/>
      <c r="BF3715" s="156"/>
    </row>
    <row r="3716" spans="1:58" ht="15" customHeight="1" outlineLevel="1" x14ac:dyDescent="0.35">
      <c r="A3716" s="1664"/>
      <c r="B3716" s="2812"/>
      <c r="C3716" s="3077"/>
      <c r="D3716" s="3980"/>
      <c r="E3716" s="3883"/>
      <c r="F3716" s="4120" t="str">
        <f t="shared" si="413"/>
        <v>ASHP-SEER15_ER2_MF</v>
      </c>
      <c r="G3716" s="4121"/>
      <c r="H3716" s="4121"/>
      <c r="I3716" s="4122"/>
      <c r="J3716" s="3508" t="str">
        <f t="shared" si="414"/>
        <v>352700_2021_12_</v>
      </c>
      <c r="K3716" s="717">
        <v>12</v>
      </c>
      <c r="L3716" s="704"/>
      <c r="M3716" s="3020"/>
      <c r="N3716" s="106"/>
      <c r="O3716" s="106"/>
      <c r="P3716" s="702"/>
      <c r="Q3716" s="702"/>
      <c r="R3716" s="702"/>
      <c r="S3716" s="106"/>
      <c r="T3716" s="486"/>
      <c r="U3716" s="106"/>
      <c r="V3716" s="4129"/>
      <c r="W3716" s="717">
        <v>12</v>
      </c>
      <c r="X3716" s="717">
        <v>12</v>
      </c>
      <c r="Y3716" s="717">
        <v>12</v>
      </c>
      <c r="Z3716" s="717">
        <v>12</v>
      </c>
      <c r="AA3716" s="717">
        <v>12</v>
      </c>
      <c r="AB3716" s="717">
        <v>12</v>
      </c>
      <c r="AC3716" s="2930">
        <v>12</v>
      </c>
      <c r="AD3716" s="717">
        <v>12</v>
      </c>
      <c r="AE3716" s="2944"/>
      <c r="AF3716" s="717"/>
      <c r="AG3716" s="717"/>
      <c r="AH3716" s="156"/>
      <c r="AI3716" s="156"/>
      <c r="AJ3716" s="156"/>
      <c r="AK3716" s="156"/>
      <c r="AL3716" s="156"/>
      <c r="AM3716" s="156"/>
      <c r="AN3716" s="156"/>
      <c r="AO3716" s="156"/>
      <c r="AP3716" s="156"/>
      <c r="AQ3716" s="156"/>
      <c r="AR3716" s="156"/>
      <c r="AS3716" s="156"/>
      <c r="AT3716" s="156"/>
      <c r="AU3716" s="156"/>
      <c r="AV3716" s="156"/>
      <c r="AW3716" s="156"/>
      <c r="AX3716" s="156"/>
      <c r="AY3716" s="156"/>
      <c r="AZ3716" s="156"/>
      <c r="BA3716" s="156"/>
      <c r="BB3716" s="2828"/>
      <c r="BC3716" s="452"/>
      <c r="BD3716" s="2829"/>
      <c r="BE3716" s="2837"/>
      <c r="BF3716" s="156"/>
    </row>
    <row r="3717" spans="1:58" ht="15" customHeight="1" outlineLevel="1" x14ac:dyDescent="0.35">
      <c r="A3717" s="1664"/>
      <c r="B3717" s="2812"/>
      <c r="C3717" s="3077"/>
      <c r="D3717" s="3980"/>
      <c r="E3717" s="3883"/>
      <c r="F3717" s="4120" t="str">
        <f t="shared" si="413"/>
        <v>ASHP-SEER15_ER2_MF</v>
      </c>
      <c r="G3717" s="4121"/>
      <c r="H3717" s="4121"/>
      <c r="I3717" s="4122"/>
      <c r="J3717" s="3508" t="str">
        <f t="shared" si="414"/>
        <v>352700_2021_12_</v>
      </c>
      <c r="K3717" s="717">
        <v>12</v>
      </c>
      <c r="L3717" s="704"/>
      <c r="M3717" s="3020"/>
      <c r="N3717" s="106"/>
      <c r="O3717" s="106"/>
      <c r="P3717" s="702"/>
      <c r="Q3717" s="702"/>
      <c r="R3717" s="702"/>
      <c r="S3717" s="106"/>
      <c r="T3717" s="486"/>
      <c r="U3717" s="106"/>
      <c r="V3717" s="4129"/>
      <c r="W3717" s="717">
        <v>12</v>
      </c>
      <c r="X3717" s="717">
        <v>12</v>
      </c>
      <c r="Y3717" s="717">
        <v>12</v>
      </c>
      <c r="Z3717" s="717">
        <v>12</v>
      </c>
      <c r="AA3717" s="717">
        <v>12</v>
      </c>
      <c r="AB3717" s="717">
        <v>12</v>
      </c>
      <c r="AC3717" s="2930">
        <v>12</v>
      </c>
      <c r="AD3717" s="717">
        <v>12</v>
      </c>
      <c r="AE3717" s="2944"/>
      <c r="AF3717" s="717"/>
      <c r="AG3717" s="717"/>
      <c r="AH3717" s="156"/>
      <c r="AI3717" s="156"/>
      <c r="AJ3717" s="156"/>
      <c r="AK3717" s="156"/>
      <c r="AL3717" s="156"/>
      <c r="AM3717" s="156"/>
      <c r="AN3717" s="156"/>
      <c r="AO3717" s="156"/>
      <c r="AP3717" s="156"/>
      <c r="AQ3717" s="156"/>
      <c r="AR3717" s="156"/>
      <c r="AS3717" s="156"/>
      <c r="AT3717" s="156"/>
      <c r="AU3717" s="156"/>
      <c r="AV3717" s="156"/>
      <c r="AW3717" s="156"/>
      <c r="AX3717" s="156"/>
      <c r="AY3717" s="156"/>
      <c r="AZ3717" s="156"/>
      <c r="BA3717" s="156"/>
      <c r="BB3717" s="2828"/>
      <c r="BC3717" s="452"/>
      <c r="BD3717" s="2829"/>
      <c r="BE3717" s="2837"/>
      <c r="BF3717" s="156"/>
    </row>
    <row r="3718" spans="1:58" ht="15" customHeight="1" outlineLevel="1" x14ac:dyDescent="0.35">
      <c r="A3718" s="1664"/>
      <c r="B3718" s="2812"/>
      <c r="C3718" s="3077"/>
      <c r="D3718" s="3980"/>
      <c r="E3718" s="3883"/>
      <c r="F3718" s="4120" t="str">
        <f t="shared" si="413"/>
        <v>ASHP-SEER15_ER1_MF_CompE</v>
      </c>
      <c r="G3718" s="4121"/>
      <c r="H3718" s="4121"/>
      <c r="I3718" s="4122"/>
      <c r="J3718" s="3508" t="str">
        <f t="shared" si="414"/>
        <v>352701_2021_12_</v>
      </c>
      <c r="K3718" s="717">
        <v>6</v>
      </c>
      <c r="L3718" s="704"/>
      <c r="M3718" s="3020"/>
      <c r="N3718" s="106"/>
      <c r="O3718" s="106"/>
      <c r="P3718" s="702"/>
      <c r="Q3718" s="702"/>
      <c r="R3718" s="702"/>
      <c r="S3718" s="106"/>
      <c r="T3718" s="486"/>
      <c r="U3718" s="106"/>
      <c r="V3718" s="4129"/>
      <c r="W3718" s="717"/>
      <c r="X3718" s="717"/>
      <c r="Y3718" s="717"/>
      <c r="Z3718" s="717"/>
      <c r="AA3718" s="717"/>
      <c r="AB3718" s="717"/>
      <c r="AC3718" s="2932">
        <v>6</v>
      </c>
      <c r="AD3718" s="717">
        <v>6</v>
      </c>
      <c r="AE3718" s="2944"/>
      <c r="AF3718" s="717"/>
      <c r="AG3718" s="717"/>
      <c r="AH3718" s="156"/>
      <c r="AI3718" s="156"/>
      <c r="AJ3718" s="156"/>
      <c r="AK3718" s="156"/>
      <c r="AL3718" s="156"/>
      <c r="AM3718" s="156"/>
      <c r="AN3718" s="156"/>
      <c r="AO3718" s="156"/>
      <c r="AP3718" s="156"/>
      <c r="AQ3718" s="156"/>
      <c r="AR3718" s="156"/>
      <c r="AS3718" s="156"/>
      <c r="AT3718" s="156"/>
      <c r="AU3718" s="156"/>
      <c r="AV3718" s="156"/>
      <c r="AW3718" s="156"/>
      <c r="AX3718" s="156"/>
      <c r="AY3718" s="156"/>
      <c r="AZ3718" s="156"/>
      <c r="BA3718" s="156"/>
      <c r="BB3718" s="2828"/>
      <c r="BC3718" s="452"/>
      <c r="BD3718" s="2829"/>
      <c r="BE3718" s="2837"/>
      <c r="BF3718" s="156"/>
    </row>
    <row r="3719" spans="1:58" ht="15" customHeight="1" outlineLevel="1" x14ac:dyDescent="0.35">
      <c r="A3719" s="1664"/>
      <c r="B3719" s="2812"/>
      <c r="C3719" s="3077"/>
      <c r="D3719" s="3980"/>
      <c r="E3719" s="3883"/>
      <c r="F3719" s="4120" t="str">
        <f t="shared" si="413"/>
        <v>ASHP-SEER15_ER1_MF_CompE</v>
      </c>
      <c r="G3719" s="4121"/>
      <c r="H3719" s="4121"/>
      <c r="I3719" s="4122"/>
      <c r="J3719" s="3508" t="str">
        <f t="shared" si="414"/>
        <v>352701_2021_12_</v>
      </c>
      <c r="K3719" s="717">
        <v>6</v>
      </c>
      <c r="L3719" s="704"/>
      <c r="M3719" s="3020"/>
      <c r="N3719" s="106"/>
      <c r="O3719" s="106"/>
      <c r="P3719" s="702"/>
      <c r="Q3719" s="702"/>
      <c r="R3719" s="702"/>
      <c r="S3719" s="106"/>
      <c r="T3719" s="486"/>
      <c r="U3719" s="106"/>
      <c r="V3719" s="4129"/>
      <c r="W3719" s="717"/>
      <c r="X3719" s="717"/>
      <c r="Y3719" s="717"/>
      <c r="Z3719" s="717"/>
      <c r="AA3719" s="717"/>
      <c r="AB3719" s="717"/>
      <c r="AC3719" s="2932">
        <v>6</v>
      </c>
      <c r="AD3719" s="717">
        <v>6</v>
      </c>
      <c r="AE3719" s="2944"/>
      <c r="AF3719" s="717"/>
      <c r="AG3719" s="717"/>
      <c r="AH3719" s="156"/>
      <c r="AI3719" s="156"/>
      <c r="AJ3719" s="156"/>
      <c r="AK3719" s="156"/>
      <c r="AL3719" s="156"/>
      <c r="AM3719" s="156"/>
      <c r="AN3719" s="156"/>
      <c r="AO3719" s="156"/>
      <c r="AP3719" s="156"/>
      <c r="AQ3719" s="156"/>
      <c r="AR3719" s="156"/>
      <c r="AS3719" s="156"/>
      <c r="AT3719" s="156"/>
      <c r="AU3719" s="156"/>
      <c r="AV3719" s="156"/>
      <c r="AW3719" s="156"/>
      <c r="AX3719" s="156"/>
      <c r="AY3719" s="156"/>
      <c r="AZ3719" s="156"/>
      <c r="BA3719" s="156"/>
      <c r="BB3719" s="2828"/>
      <c r="BC3719" s="452"/>
      <c r="BD3719" s="2829"/>
      <c r="BE3719" s="2837"/>
      <c r="BF3719" s="156"/>
    </row>
    <row r="3720" spans="1:58" ht="15" customHeight="1" outlineLevel="1" x14ac:dyDescent="0.35">
      <c r="A3720" s="1664"/>
      <c r="B3720" s="2812"/>
      <c r="C3720" s="3077"/>
      <c r="D3720" s="3980"/>
      <c r="E3720" s="3883"/>
      <c r="F3720" s="4120" t="str">
        <f t="shared" si="413"/>
        <v>ASHP-SEER15_ER2_MF_CompE</v>
      </c>
      <c r="G3720" s="4121"/>
      <c r="H3720" s="4121"/>
      <c r="I3720" s="4122"/>
      <c r="J3720" s="3508" t="str">
        <f t="shared" si="414"/>
        <v>352701_2021_12_</v>
      </c>
      <c r="K3720" s="717">
        <v>12</v>
      </c>
      <c r="L3720" s="704"/>
      <c r="M3720" s="3020"/>
      <c r="N3720" s="106"/>
      <c r="O3720" s="106"/>
      <c r="P3720" s="702"/>
      <c r="Q3720" s="702"/>
      <c r="R3720" s="702"/>
      <c r="S3720" s="106"/>
      <c r="T3720" s="486"/>
      <c r="U3720" s="106"/>
      <c r="V3720" s="4129"/>
      <c r="W3720" s="717"/>
      <c r="X3720" s="717"/>
      <c r="Y3720" s="717"/>
      <c r="Z3720" s="717"/>
      <c r="AA3720" s="717"/>
      <c r="AB3720" s="717"/>
      <c r="AC3720" s="2932">
        <v>12</v>
      </c>
      <c r="AD3720" s="717">
        <v>12</v>
      </c>
      <c r="AE3720" s="2944"/>
      <c r="AF3720" s="717"/>
      <c r="AG3720" s="717"/>
      <c r="AH3720" s="156"/>
      <c r="AI3720" s="156"/>
      <c r="AJ3720" s="156"/>
      <c r="AK3720" s="156"/>
      <c r="AL3720" s="156"/>
      <c r="AM3720" s="156"/>
      <c r="AN3720" s="156"/>
      <c r="AO3720" s="156"/>
      <c r="AP3720" s="156"/>
      <c r="AQ3720" s="156"/>
      <c r="AR3720" s="156"/>
      <c r="AS3720" s="156"/>
      <c r="AT3720" s="156"/>
      <c r="AU3720" s="156"/>
      <c r="AV3720" s="156"/>
      <c r="AW3720" s="156"/>
      <c r="AX3720" s="156"/>
      <c r="AY3720" s="156"/>
      <c r="AZ3720" s="156"/>
      <c r="BA3720" s="156"/>
      <c r="BB3720" s="2828"/>
      <c r="BC3720" s="452"/>
      <c r="BD3720" s="2829"/>
      <c r="BE3720" s="2837"/>
      <c r="BF3720" s="156"/>
    </row>
    <row r="3721" spans="1:58" ht="15" customHeight="1" outlineLevel="1" x14ac:dyDescent="0.35">
      <c r="A3721" s="1664"/>
      <c r="B3721" s="2812"/>
      <c r="C3721" s="3077"/>
      <c r="D3721" s="3980"/>
      <c r="E3721" s="3883"/>
      <c r="F3721" s="4120" t="str">
        <f t="shared" si="413"/>
        <v>ASHP-SEER15_ER2_MF_CompE</v>
      </c>
      <c r="G3721" s="4121"/>
      <c r="H3721" s="4121"/>
      <c r="I3721" s="4122"/>
      <c r="J3721" s="3508" t="str">
        <f t="shared" si="414"/>
        <v>352701_2021_12_</v>
      </c>
      <c r="K3721" s="717">
        <v>12</v>
      </c>
      <c r="L3721" s="704"/>
      <c r="M3721" s="3020"/>
      <c r="N3721" s="106"/>
      <c r="O3721" s="106"/>
      <c r="P3721" s="702"/>
      <c r="Q3721" s="702"/>
      <c r="R3721" s="702"/>
      <c r="S3721" s="106"/>
      <c r="T3721" s="486"/>
      <c r="U3721" s="106"/>
      <c r="V3721" s="4129"/>
      <c r="W3721" s="717"/>
      <c r="X3721" s="717"/>
      <c r="Y3721" s="717"/>
      <c r="Z3721" s="717"/>
      <c r="AA3721" s="717"/>
      <c r="AB3721" s="717"/>
      <c r="AC3721" s="2932">
        <v>12</v>
      </c>
      <c r="AD3721" s="717">
        <v>12</v>
      </c>
      <c r="AE3721" s="2944"/>
      <c r="AF3721" s="717"/>
      <c r="AG3721" s="717"/>
      <c r="AH3721" s="156"/>
      <c r="AI3721" s="156"/>
      <c r="AJ3721" s="156"/>
      <c r="AK3721" s="156"/>
      <c r="AL3721" s="156"/>
      <c r="AM3721" s="156"/>
      <c r="AN3721" s="156"/>
      <c r="AO3721" s="156"/>
      <c r="AP3721" s="156"/>
      <c r="AQ3721" s="156"/>
      <c r="AR3721" s="156"/>
      <c r="AS3721" s="156"/>
      <c r="AT3721" s="156"/>
      <c r="AU3721" s="156"/>
      <c r="AV3721" s="156"/>
      <c r="AW3721" s="156"/>
      <c r="AX3721" s="156"/>
      <c r="AY3721" s="156"/>
      <c r="AZ3721" s="156"/>
      <c r="BA3721" s="156"/>
      <c r="BB3721" s="2828"/>
      <c r="BC3721" s="452"/>
      <c r="BD3721" s="2829"/>
      <c r="BE3721" s="2837"/>
      <c r="BF3721" s="156"/>
    </row>
    <row r="3722" spans="1:58" ht="15" customHeight="1" outlineLevel="1" x14ac:dyDescent="0.35">
      <c r="A3722" s="1664"/>
      <c r="B3722" s="2812"/>
      <c r="C3722" s="3077"/>
      <c r="D3722" s="3980"/>
      <c r="E3722" s="3883"/>
      <c r="F3722" s="4120" t="str">
        <f t="shared" si="413"/>
        <v>ASHP-SEER15-Replace_CAC_ElectricHeat_ER1_MF</v>
      </c>
      <c r="G3722" s="4121"/>
      <c r="H3722" s="4121"/>
      <c r="I3722" s="4122"/>
      <c r="J3722" s="3508" t="str">
        <f t="shared" si="414"/>
        <v>352750_2021_12_</v>
      </c>
      <c r="K3722" s="717">
        <v>6</v>
      </c>
      <c r="L3722" s="704"/>
      <c r="M3722" s="3020"/>
      <c r="N3722" s="106"/>
      <c r="O3722" s="106"/>
      <c r="P3722" s="702"/>
      <c r="Q3722" s="702"/>
      <c r="R3722" s="702"/>
      <c r="S3722" s="106"/>
      <c r="T3722" s="486"/>
      <c r="U3722" s="106"/>
      <c r="V3722" s="4129"/>
      <c r="W3722" s="717">
        <v>6</v>
      </c>
      <c r="X3722" s="717">
        <v>6</v>
      </c>
      <c r="Y3722" s="717">
        <v>6</v>
      </c>
      <c r="Z3722" s="717">
        <v>6</v>
      </c>
      <c r="AA3722" s="717">
        <v>6</v>
      </c>
      <c r="AB3722" s="717">
        <v>6</v>
      </c>
      <c r="AC3722" s="2930">
        <v>6</v>
      </c>
      <c r="AD3722" s="717">
        <v>6</v>
      </c>
      <c r="AE3722" s="2944"/>
      <c r="AF3722" s="717"/>
      <c r="AG3722" s="717"/>
      <c r="AH3722" s="156"/>
      <c r="AI3722" s="156"/>
      <c r="AJ3722" s="156"/>
      <c r="AK3722" s="156"/>
      <c r="AL3722" s="156"/>
      <c r="AM3722" s="156"/>
      <c r="AN3722" s="156"/>
      <c r="AO3722" s="156"/>
      <c r="AP3722" s="156"/>
      <c r="AQ3722" s="156"/>
      <c r="AR3722" s="156"/>
      <c r="AS3722" s="156"/>
      <c r="AT3722" s="156"/>
      <c r="AU3722" s="156"/>
      <c r="AV3722" s="156"/>
      <c r="AW3722" s="156"/>
      <c r="AX3722" s="156"/>
      <c r="AY3722" s="156"/>
      <c r="AZ3722" s="156"/>
      <c r="BA3722" s="156"/>
      <c r="BB3722" s="2828"/>
      <c r="BC3722" s="452"/>
      <c r="BD3722" s="2829"/>
      <c r="BE3722" s="2837"/>
      <c r="BF3722" s="156"/>
    </row>
    <row r="3723" spans="1:58" ht="15" customHeight="1" outlineLevel="1" x14ac:dyDescent="0.35">
      <c r="A3723" s="1664"/>
      <c r="B3723" s="2812"/>
      <c r="C3723" s="3077"/>
      <c r="D3723" s="3980"/>
      <c r="E3723" s="3883"/>
      <c r="F3723" s="4120" t="str">
        <f t="shared" si="413"/>
        <v>ASHP-SEER15-Replace_CAC_ElectricHeat_ER1_MF</v>
      </c>
      <c r="G3723" s="4121"/>
      <c r="H3723" s="4121"/>
      <c r="I3723" s="4122"/>
      <c r="J3723" s="3508" t="str">
        <f t="shared" si="414"/>
        <v>352750_2021_12_</v>
      </c>
      <c r="K3723" s="717">
        <v>6</v>
      </c>
      <c r="L3723" s="704"/>
      <c r="M3723" s="3020"/>
      <c r="N3723" s="106"/>
      <c r="O3723" s="106"/>
      <c r="P3723" s="702"/>
      <c r="Q3723" s="702"/>
      <c r="R3723" s="702"/>
      <c r="S3723" s="106"/>
      <c r="T3723" s="486"/>
      <c r="U3723" s="106"/>
      <c r="V3723" s="4129"/>
      <c r="W3723" s="717">
        <v>6</v>
      </c>
      <c r="X3723" s="717">
        <v>6</v>
      </c>
      <c r="Y3723" s="717">
        <v>6</v>
      </c>
      <c r="Z3723" s="717">
        <v>6</v>
      </c>
      <c r="AA3723" s="717">
        <v>6</v>
      </c>
      <c r="AB3723" s="717">
        <v>6</v>
      </c>
      <c r="AC3723" s="2930">
        <v>6</v>
      </c>
      <c r="AD3723" s="717">
        <v>6</v>
      </c>
      <c r="AE3723" s="2944"/>
      <c r="AF3723" s="717"/>
      <c r="AG3723" s="717"/>
      <c r="AH3723" s="156"/>
      <c r="AI3723" s="156"/>
      <c r="AJ3723" s="156"/>
      <c r="AK3723" s="156"/>
      <c r="AL3723" s="156"/>
      <c r="AM3723" s="156"/>
      <c r="AN3723" s="156"/>
      <c r="AO3723" s="156"/>
      <c r="AP3723" s="156"/>
      <c r="AQ3723" s="156"/>
      <c r="AR3723" s="156"/>
      <c r="AS3723" s="156"/>
      <c r="AT3723" s="156"/>
      <c r="AU3723" s="156"/>
      <c r="AV3723" s="156"/>
      <c r="AW3723" s="156"/>
      <c r="AX3723" s="156"/>
      <c r="AY3723" s="156"/>
      <c r="AZ3723" s="156"/>
      <c r="BA3723" s="156"/>
      <c r="BB3723" s="2828"/>
      <c r="BC3723" s="452"/>
      <c r="BD3723" s="2829"/>
      <c r="BE3723" s="2837"/>
      <c r="BF3723" s="156"/>
    </row>
    <row r="3724" spans="1:58" ht="15" customHeight="1" outlineLevel="1" x14ac:dyDescent="0.35">
      <c r="A3724" s="1664"/>
      <c r="B3724" s="2812"/>
      <c r="C3724" s="3077"/>
      <c r="D3724" s="3980"/>
      <c r="E3724" s="3883"/>
      <c r="F3724" s="4120" t="str">
        <f t="shared" si="413"/>
        <v>ASHP-SEER15-Replace_CAC_ElectricHeat_ER2_MF</v>
      </c>
      <c r="G3724" s="4121"/>
      <c r="H3724" s="4121"/>
      <c r="I3724" s="4122"/>
      <c r="J3724" s="3508" t="str">
        <f t="shared" si="414"/>
        <v>352750_2021_12_</v>
      </c>
      <c r="K3724" s="717">
        <v>12</v>
      </c>
      <c r="L3724" s="704"/>
      <c r="M3724" s="3020"/>
      <c r="N3724" s="106"/>
      <c r="O3724" s="106"/>
      <c r="P3724" s="702"/>
      <c r="Q3724" s="702"/>
      <c r="R3724" s="702"/>
      <c r="S3724" s="106"/>
      <c r="T3724" s="486"/>
      <c r="U3724" s="106"/>
      <c r="V3724" s="4129"/>
      <c r="W3724" s="717">
        <v>12</v>
      </c>
      <c r="X3724" s="717">
        <v>12</v>
      </c>
      <c r="Y3724" s="717">
        <v>12</v>
      </c>
      <c r="Z3724" s="717">
        <v>12</v>
      </c>
      <c r="AA3724" s="717">
        <v>12</v>
      </c>
      <c r="AB3724" s="717">
        <v>12</v>
      </c>
      <c r="AC3724" s="2930">
        <v>12</v>
      </c>
      <c r="AD3724" s="717">
        <v>12</v>
      </c>
      <c r="AE3724" s="2944"/>
      <c r="AF3724" s="717"/>
      <c r="AG3724" s="717"/>
      <c r="AH3724" s="156"/>
      <c r="AI3724" s="156"/>
      <c r="AJ3724" s="156"/>
      <c r="AK3724" s="156"/>
      <c r="AL3724" s="156"/>
      <c r="AM3724" s="156"/>
      <c r="AN3724" s="156"/>
      <c r="AO3724" s="156"/>
      <c r="AP3724" s="156"/>
      <c r="AQ3724" s="156"/>
      <c r="AR3724" s="156"/>
      <c r="AS3724" s="156"/>
      <c r="AT3724" s="156"/>
      <c r="AU3724" s="156"/>
      <c r="AV3724" s="156"/>
      <c r="AW3724" s="156"/>
      <c r="AX3724" s="156"/>
      <c r="AY3724" s="156"/>
      <c r="AZ3724" s="156"/>
      <c r="BA3724" s="156"/>
      <c r="BB3724" s="2828"/>
      <c r="BC3724" s="452"/>
      <c r="BD3724" s="2829"/>
      <c r="BE3724" s="2837"/>
      <c r="BF3724" s="156"/>
    </row>
    <row r="3725" spans="1:58" ht="15" customHeight="1" outlineLevel="1" x14ac:dyDescent="0.35">
      <c r="A3725" s="1664"/>
      <c r="B3725" s="2812"/>
      <c r="C3725" s="3077"/>
      <c r="D3725" s="3980"/>
      <c r="E3725" s="3883"/>
      <c r="F3725" s="4120" t="str">
        <f t="shared" si="413"/>
        <v>ASHP-SEER15-Replace_CAC_ElectricHeat_ER2_MF</v>
      </c>
      <c r="G3725" s="4121"/>
      <c r="H3725" s="4121"/>
      <c r="I3725" s="4122"/>
      <c r="J3725" s="3508" t="str">
        <f t="shared" si="414"/>
        <v>352750_2021_12_</v>
      </c>
      <c r="K3725" s="717">
        <v>12</v>
      </c>
      <c r="L3725" s="704"/>
      <c r="M3725" s="3020"/>
      <c r="N3725" s="106"/>
      <c r="O3725" s="106"/>
      <c r="P3725" s="702"/>
      <c r="Q3725" s="702"/>
      <c r="R3725" s="702"/>
      <c r="S3725" s="106"/>
      <c r="T3725" s="486"/>
      <c r="U3725" s="106"/>
      <c r="V3725" s="4129"/>
      <c r="W3725" s="717">
        <v>12</v>
      </c>
      <c r="X3725" s="717">
        <v>12</v>
      </c>
      <c r="Y3725" s="717">
        <v>12</v>
      </c>
      <c r="Z3725" s="717">
        <v>12</v>
      </c>
      <c r="AA3725" s="717">
        <v>12</v>
      </c>
      <c r="AB3725" s="717">
        <v>12</v>
      </c>
      <c r="AC3725" s="2930">
        <v>12</v>
      </c>
      <c r="AD3725" s="717">
        <v>12</v>
      </c>
      <c r="AE3725" s="2944"/>
      <c r="AF3725" s="717"/>
      <c r="AG3725" s="717"/>
      <c r="AH3725" s="156"/>
      <c r="AI3725" s="156"/>
      <c r="AJ3725" s="156"/>
      <c r="AK3725" s="156"/>
      <c r="AL3725" s="156"/>
      <c r="AM3725" s="156"/>
      <c r="AN3725" s="156"/>
      <c r="AO3725" s="156"/>
      <c r="AP3725" s="156"/>
      <c r="AQ3725" s="156"/>
      <c r="AR3725" s="156"/>
      <c r="AS3725" s="156"/>
      <c r="AT3725" s="156"/>
      <c r="AU3725" s="156"/>
      <c r="AV3725" s="156"/>
      <c r="AW3725" s="156"/>
      <c r="AX3725" s="156"/>
      <c r="AY3725" s="156"/>
      <c r="AZ3725" s="156"/>
      <c r="BA3725" s="156"/>
      <c r="BB3725" s="2828"/>
      <c r="BC3725" s="452"/>
      <c r="BD3725" s="2829"/>
      <c r="BE3725" s="2837"/>
      <c r="BF3725" s="156"/>
    </row>
    <row r="3726" spans="1:58" ht="15" customHeight="1" outlineLevel="1" x14ac:dyDescent="0.35">
      <c r="A3726" s="1664"/>
      <c r="B3726" s="2812"/>
      <c r="C3726" s="3077"/>
      <c r="D3726" s="3980"/>
      <c r="E3726" s="3883"/>
      <c r="F3726" s="4120" t="str">
        <f t="shared" si="413"/>
        <v>ASHP-SEER15-Replace_CAC_ElectricHeat_ER1_MF_CompE</v>
      </c>
      <c r="G3726" s="4121"/>
      <c r="H3726" s="4121"/>
      <c r="I3726" s="4122"/>
      <c r="J3726" s="3508" t="str">
        <f t="shared" si="414"/>
        <v>352751_2021_12_</v>
      </c>
      <c r="K3726" s="717">
        <v>6</v>
      </c>
      <c r="L3726" s="704"/>
      <c r="M3726" s="3020"/>
      <c r="N3726" s="106"/>
      <c r="O3726" s="106"/>
      <c r="P3726" s="702"/>
      <c r="Q3726" s="702"/>
      <c r="R3726" s="702"/>
      <c r="S3726" s="106"/>
      <c r="T3726" s="486"/>
      <c r="U3726" s="106"/>
      <c r="V3726" s="4129"/>
      <c r="W3726" s="717"/>
      <c r="X3726" s="717"/>
      <c r="Y3726" s="717"/>
      <c r="Z3726" s="717"/>
      <c r="AA3726" s="717"/>
      <c r="AB3726" s="717"/>
      <c r="AC3726" s="2932">
        <v>6</v>
      </c>
      <c r="AD3726" s="717">
        <v>6</v>
      </c>
      <c r="AE3726" s="2944"/>
      <c r="AF3726" s="717"/>
      <c r="AG3726" s="717"/>
      <c r="AH3726" s="156"/>
      <c r="AI3726" s="156"/>
      <c r="AJ3726" s="156"/>
      <c r="AK3726" s="156"/>
      <c r="AL3726" s="156"/>
      <c r="AM3726" s="156"/>
      <c r="AN3726" s="156"/>
      <c r="AO3726" s="156"/>
      <c r="AP3726" s="156"/>
      <c r="AQ3726" s="156"/>
      <c r="AR3726" s="156"/>
      <c r="AS3726" s="156"/>
      <c r="AT3726" s="156"/>
      <c r="AU3726" s="156"/>
      <c r="AV3726" s="156"/>
      <c r="AW3726" s="156"/>
      <c r="AX3726" s="156"/>
      <c r="AY3726" s="156"/>
      <c r="AZ3726" s="156"/>
      <c r="BA3726" s="156"/>
      <c r="BB3726" s="2828"/>
      <c r="BC3726" s="452"/>
      <c r="BD3726" s="2829"/>
      <c r="BE3726" s="2837"/>
      <c r="BF3726" s="156"/>
    </row>
    <row r="3727" spans="1:58" ht="15" customHeight="1" outlineLevel="1" x14ac:dyDescent="0.35">
      <c r="A3727" s="1664"/>
      <c r="B3727" s="2812"/>
      <c r="C3727" s="3077"/>
      <c r="D3727" s="3980"/>
      <c r="E3727" s="3883"/>
      <c r="F3727" s="4120" t="str">
        <f t="shared" si="413"/>
        <v>ASHP-SEER15-Replace_CAC_ElectricHeat_ER1_MF_CompE</v>
      </c>
      <c r="G3727" s="4121"/>
      <c r="H3727" s="4121"/>
      <c r="I3727" s="4122"/>
      <c r="J3727" s="3508" t="str">
        <f t="shared" si="414"/>
        <v>352751_2021_12_</v>
      </c>
      <c r="K3727" s="717">
        <v>6</v>
      </c>
      <c r="L3727" s="704"/>
      <c r="M3727" s="3020"/>
      <c r="N3727" s="106"/>
      <c r="O3727" s="106"/>
      <c r="P3727" s="702"/>
      <c r="Q3727" s="702"/>
      <c r="R3727" s="702"/>
      <c r="S3727" s="106"/>
      <c r="T3727" s="486"/>
      <c r="U3727" s="106"/>
      <c r="V3727" s="4129"/>
      <c r="W3727" s="717"/>
      <c r="X3727" s="717"/>
      <c r="Y3727" s="717"/>
      <c r="Z3727" s="717"/>
      <c r="AA3727" s="717"/>
      <c r="AB3727" s="717"/>
      <c r="AC3727" s="2932">
        <v>6</v>
      </c>
      <c r="AD3727" s="717">
        <v>6</v>
      </c>
      <c r="AE3727" s="2944"/>
      <c r="AF3727" s="717"/>
      <c r="AG3727" s="717"/>
      <c r="AH3727" s="156"/>
      <c r="AI3727" s="156"/>
      <c r="AJ3727" s="156"/>
      <c r="AK3727" s="156"/>
      <c r="AL3727" s="156"/>
      <c r="AM3727" s="156"/>
      <c r="AN3727" s="156"/>
      <c r="AO3727" s="156"/>
      <c r="AP3727" s="156"/>
      <c r="AQ3727" s="156"/>
      <c r="AR3727" s="156"/>
      <c r="AS3727" s="156"/>
      <c r="AT3727" s="156"/>
      <c r="AU3727" s="156"/>
      <c r="AV3727" s="156"/>
      <c r="AW3727" s="156"/>
      <c r="AX3727" s="156"/>
      <c r="AY3727" s="156"/>
      <c r="AZ3727" s="156"/>
      <c r="BA3727" s="156"/>
      <c r="BB3727" s="2828"/>
      <c r="BC3727" s="452"/>
      <c r="BD3727" s="2829"/>
      <c r="BE3727" s="2837"/>
      <c r="BF3727" s="156"/>
    </row>
    <row r="3728" spans="1:58" ht="15" customHeight="1" outlineLevel="1" x14ac:dyDescent="0.35">
      <c r="A3728" s="1664"/>
      <c r="B3728" s="2812"/>
      <c r="C3728" s="3077"/>
      <c r="D3728" s="3980"/>
      <c r="E3728" s="3883"/>
      <c r="F3728" s="4120" t="str">
        <f t="shared" si="413"/>
        <v>ASHP-SEER15-Replace_CAC_ElectricHeat_ER2_MF_CompE</v>
      </c>
      <c r="G3728" s="4121"/>
      <c r="H3728" s="4121"/>
      <c r="I3728" s="4122"/>
      <c r="J3728" s="3508" t="str">
        <f t="shared" si="414"/>
        <v>352751_2021_12_</v>
      </c>
      <c r="K3728" s="717">
        <v>12</v>
      </c>
      <c r="L3728" s="704"/>
      <c r="M3728" s="3020"/>
      <c r="N3728" s="106"/>
      <c r="O3728" s="106"/>
      <c r="P3728" s="702"/>
      <c r="Q3728" s="702"/>
      <c r="R3728" s="702"/>
      <c r="S3728" s="106"/>
      <c r="T3728" s="486"/>
      <c r="U3728" s="106"/>
      <c r="V3728" s="4129"/>
      <c r="W3728" s="717"/>
      <c r="X3728" s="717"/>
      <c r="Y3728" s="717"/>
      <c r="Z3728" s="717"/>
      <c r="AA3728" s="717"/>
      <c r="AB3728" s="717"/>
      <c r="AC3728" s="2932">
        <v>12</v>
      </c>
      <c r="AD3728" s="717">
        <v>12</v>
      </c>
      <c r="AE3728" s="2944"/>
      <c r="AF3728" s="717"/>
      <c r="AG3728" s="717"/>
      <c r="AH3728" s="156"/>
      <c r="AI3728" s="156"/>
      <c r="AJ3728" s="156"/>
      <c r="AK3728" s="156"/>
      <c r="AL3728" s="156"/>
      <c r="AM3728" s="156"/>
      <c r="AN3728" s="156"/>
      <c r="AO3728" s="156"/>
      <c r="AP3728" s="156"/>
      <c r="AQ3728" s="156"/>
      <c r="AR3728" s="156"/>
      <c r="AS3728" s="156"/>
      <c r="AT3728" s="156"/>
      <c r="AU3728" s="156"/>
      <c r="AV3728" s="156"/>
      <c r="AW3728" s="156"/>
      <c r="AX3728" s="156"/>
      <c r="AY3728" s="156"/>
      <c r="AZ3728" s="156"/>
      <c r="BA3728" s="156"/>
      <c r="BB3728" s="2828"/>
      <c r="BC3728" s="452"/>
      <c r="BD3728" s="2829"/>
      <c r="BE3728" s="2837"/>
      <c r="BF3728" s="156"/>
    </row>
    <row r="3729" spans="1:58" ht="15" customHeight="1" outlineLevel="1" x14ac:dyDescent="0.35">
      <c r="A3729" s="1664"/>
      <c r="B3729" s="2812"/>
      <c r="C3729" s="3077"/>
      <c r="D3729" s="3980"/>
      <c r="E3729" s="3883"/>
      <c r="F3729" s="4120" t="str">
        <f t="shared" si="413"/>
        <v>ASHP-SEER15-Replace_CAC_ElectricHeat_ER2_MF_CompE</v>
      </c>
      <c r="G3729" s="4121"/>
      <c r="H3729" s="4121"/>
      <c r="I3729" s="4122"/>
      <c r="J3729" s="3508" t="str">
        <f t="shared" si="414"/>
        <v>352751_2021_12_</v>
      </c>
      <c r="K3729" s="717">
        <v>12</v>
      </c>
      <c r="L3729" s="704"/>
      <c r="M3729" s="3020"/>
      <c r="N3729" s="106"/>
      <c r="O3729" s="106"/>
      <c r="P3729" s="702"/>
      <c r="Q3729" s="702"/>
      <c r="R3729" s="702"/>
      <c r="S3729" s="106"/>
      <c r="T3729" s="486"/>
      <c r="U3729" s="106"/>
      <c r="V3729" s="4129"/>
      <c r="W3729" s="717"/>
      <c r="X3729" s="717"/>
      <c r="Y3729" s="717"/>
      <c r="Z3729" s="717"/>
      <c r="AA3729" s="717"/>
      <c r="AB3729" s="717"/>
      <c r="AC3729" s="2932">
        <v>12</v>
      </c>
      <c r="AD3729" s="717">
        <v>12</v>
      </c>
      <c r="AE3729" s="2944"/>
      <c r="AF3729" s="717"/>
      <c r="AG3729" s="717"/>
      <c r="AH3729" s="156"/>
      <c r="AI3729" s="156"/>
      <c r="AJ3729" s="156"/>
      <c r="AK3729" s="156"/>
      <c r="AL3729" s="156"/>
      <c r="AM3729" s="156"/>
      <c r="AN3729" s="156"/>
      <c r="AO3729" s="156"/>
      <c r="AP3729" s="156"/>
      <c r="AQ3729" s="156"/>
      <c r="AR3729" s="156"/>
      <c r="AS3729" s="156"/>
      <c r="AT3729" s="156"/>
      <c r="AU3729" s="156"/>
      <c r="AV3729" s="156"/>
      <c r="AW3729" s="156"/>
      <c r="AX3729" s="156"/>
      <c r="AY3729" s="156"/>
      <c r="AZ3729" s="156"/>
      <c r="BA3729" s="156"/>
      <c r="BB3729" s="2828"/>
      <c r="BC3729" s="452"/>
      <c r="BD3729" s="2829"/>
      <c r="BE3729" s="2837"/>
      <c r="BF3729" s="156"/>
    </row>
    <row r="3730" spans="1:58" ht="15" customHeight="1" outlineLevel="1" x14ac:dyDescent="0.35">
      <c r="A3730" s="1664"/>
      <c r="B3730" s="2812"/>
      <c r="C3730" s="3077"/>
      <c r="D3730" s="3980"/>
      <c r="E3730" s="3883"/>
      <c r="F3730" s="4120" t="str">
        <f t="shared" si="413"/>
        <v>ASHP-SEER15-Replace_CAC_NonElectricHeat_ER1_MF</v>
      </c>
      <c r="G3730" s="4121"/>
      <c r="H3730" s="4121"/>
      <c r="I3730" s="4122"/>
      <c r="J3730" s="3508" t="str">
        <f t="shared" si="414"/>
        <v>352760_2021_12_</v>
      </c>
      <c r="K3730" s="717">
        <v>6</v>
      </c>
      <c r="L3730" s="704"/>
      <c r="M3730" s="3020"/>
      <c r="N3730" s="106"/>
      <c r="O3730" s="106"/>
      <c r="P3730" s="702"/>
      <c r="Q3730" s="702"/>
      <c r="R3730" s="702"/>
      <c r="S3730" s="106"/>
      <c r="T3730" s="486"/>
      <c r="U3730" s="106"/>
      <c r="V3730" s="4129"/>
      <c r="W3730" s="717"/>
      <c r="X3730" s="717"/>
      <c r="Y3730" s="717"/>
      <c r="Z3730" s="717"/>
      <c r="AA3730" s="717"/>
      <c r="AB3730" s="717"/>
      <c r="AC3730" s="2932">
        <v>6</v>
      </c>
      <c r="AD3730" s="717">
        <v>6</v>
      </c>
      <c r="AE3730" s="2944"/>
      <c r="AF3730" s="717"/>
      <c r="AG3730" s="717"/>
      <c r="AH3730" s="156"/>
      <c r="AI3730" s="156"/>
      <c r="AJ3730" s="156"/>
      <c r="AK3730" s="156"/>
      <c r="AL3730" s="156"/>
      <c r="AM3730" s="156"/>
      <c r="AN3730" s="156"/>
      <c r="AO3730" s="156"/>
      <c r="AP3730" s="156"/>
      <c r="AQ3730" s="156"/>
      <c r="AR3730" s="156"/>
      <c r="AS3730" s="156"/>
      <c r="AT3730" s="156"/>
      <c r="AU3730" s="156"/>
      <c r="AV3730" s="156"/>
      <c r="AW3730" s="156"/>
      <c r="AX3730" s="156"/>
      <c r="AY3730" s="156"/>
      <c r="AZ3730" s="156"/>
      <c r="BA3730" s="156"/>
      <c r="BB3730" s="2828"/>
      <c r="BC3730" s="452"/>
      <c r="BD3730" s="2829"/>
      <c r="BE3730" s="2837"/>
      <c r="BF3730" s="156"/>
    </row>
    <row r="3731" spans="1:58" ht="15" customHeight="1" outlineLevel="1" x14ac:dyDescent="0.35">
      <c r="A3731" s="1664"/>
      <c r="B3731" s="2812"/>
      <c r="C3731" s="3077"/>
      <c r="D3731" s="3980"/>
      <c r="E3731" s="3883"/>
      <c r="F3731" s="4120" t="str">
        <f t="shared" si="413"/>
        <v>ASHP-SEER15-Replace_CAC_NonElectricHeat_ER1_MF</v>
      </c>
      <c r="G3731" s="4121"/>
      <c r="H3731" s="4121"/>
      <c r="I3731" s="4122"/>
      <c r="J3731" s="3508" t="str">
        <f t="shared" si="414"/>
        <v>352760_2021_12_</v>
      </c>
      <c r="K3731" s="717">
        <v>6</v>
      </c>
      <c r="L3731" s="704"/>
      <c r="M3731" s="3020"/>
      <c r="N3731" s="106"/>
      <c r="O3731" s="106"/>
      <c r="P3731" s="702"/>
      <c r="Q3731" s="702"/>
      <c r="R3731" s="702"/>
      <c r="S3731" s="106"/>
      <c r="T3731" s="486"/>
      <c r="U3731" s="106"/>
      <c r="V3731" s="4129"/>
      <c r="W3731" s="717"/>
      <c r="X3731" s="717"/>
      <c r="Y3731" s="717"/>
      <c r="Z3731" s="717"/>
      <c r="AA3731" s="717"/>
      <c r="AB3731" s="717"/>
      <c r="AC3731" s="2932">
        <v>6</v>
      </c>
      <c r="AD3731" s="717">
        <v>6</v>
      </c>
      <c r="AE3731" s="2944"/>
      <c r="AF3731" s="717"/>
      <c r="AG3731" s="717"/>
      <c r="AH3731" s="156"/>
      <c r="AI3731" s="156"/>
      <c r="AJ3731" s="156"/>
      <c r="AK3731" s="156"/>
      <c r="AL3731" s="156"/>
      <c r="AM3731" s="156"/>
      <c r="AN3731" s="156"/>
      <c r="AO3731" s="156"/>
      <c r="AP3731" s="156"/>
      <c r="AQ3731" s="156"/>
      <c r="AR3731" s="156"/>
      <c r="AS3731" s="156"/>
      <c r="AT3731" s="156"/>
      <c r="AU3731" s="156"/>
      <c r="AV3731" s="156"/>
      <c r="AW3731" s="156"/>
      <c r="AX3731" s="156"/>
      <c r="AY3731" s="156"/>
      <c r="AZ3731" s="156"/>
      <c r="BA3731" s="156"/>
      <c r="BB3731" s="2828"/>
      <c r="BC3731" s="452"/>
      <c r="BD3731" s="2829"/>
      <c r="BE3731" s="2837"/>
      <c r="BF3731" s="156"/>
    </row>
    <row r="3732" spans="1:58" ht="15" customHeight="1" outlineLevel="1" x14ac:dyDescent="0.35">
      <c r="A3732" s="1664"/>
      <c r="B3732" s="2812"/>
      <c r="C3732" s="3077"/>
      <c r="D3732" s="3980"/>
      <c r="E3732" s="3883"/>
      <c r="F3732" s="4120" t="str">
        <f t="shared" si="413"/>
        <v>ASHP-SEER15-Replace_CAC_NonElectricHeat_ER2_MF</v>
      </c>
      <c r="G3732" s="4121"/>
      <c r="H3732" s="4121"/>
      <c r="I3732" s="4122"/>
      <c r="J3732" s="3508" t="str">
        <f t="shared" si="414"/>
        <v>352760_2021_12_</v>
      </c>
      <c r="K3732" s="717">
        <v>12</v>
      </c>
      <c r="L3732" s="704"/>
      <c r="M3732" s="3020"/>
      <c r="N3732" s="106"/>
      <c r="O3732" s="106"/>
      <c r="P3732" s="702"/>
      <c r="Q3732" s="702"/>
      <c r="R3732" s="702"/>
      <c r="S3732" s="106"/>
      <c r="T3732" s="486"/>
      <c r="U3732" s="106"/>
      <c r="V3732" s="4129"/>
      <c r="W3732" s="717"/>
      <c r="X3732" s="717"/>
      <c r="Y3732" s="717"/>
      <c r="Z3732" s="717"/>
      <c r="AA3732" s="717"/>
      <c r="AB3732" s="717"/>
      <c r="AC3732" s="2932">
        <v>12</v>
      </c>
      <c r="AD3732" s="717">
        <v>12</v>
      </c>
      <c r="AE3732" s="2944"/>
      <c r="AF3732" s="717"/>
      <c r="AG3732" s="717"/>
      <c r="AH3732" s="156"/>
      <c r="AI3732" s="156"/>
      <c r="AJ3732" s="156"/>
      <c r="AK3732" s="156"/>
      <c r="AL3732" s="156"/>
      <c r="AM3732" s="156"/>
      <c r="AN3732" s="156"/>
      <c r="AO3732" s="156"/>
      <c r="AP3732" s="156"/>
      <c r="AQ3732" s="156"/>
      <c r="AR3732" s="156"/>
      <c r="AS3732" s="156"/>
      <c r="AT3732" s="156"/>
      <c r="AU3732" s="156"/>
      <c r="AV3732" s="156"/>
      <c r="AW3732" s="156"/>
      <c r="AX3732" s="156"/>
      <c r="AY3732" s="156"/>
      <c r="AZ3732" s="156"/>
      <c r="BA3732" s="156"/>
      <c r="BB3732" s="2828"/>
      <c r="BC3732" s="452"/>
      <c r="BD3732" s="2829"/>
      <c r="BE3732" s="2837"/>
      <c r="BF3732" s="156"/>
    </row>
    <row r="3733" spans="1:58" ht="15" customHeight="1" outlineLevel="1" x14ac:dyDescent="0.35">
      <c r="A3733" s="1664"/>
      <c r="B3733" s="2812"/>
      <c r="C3733" s="3077"/>
      <c r="D3733" s="3980"/>
      <c r="E3733" s="3883"/>
      <c r="F3733" s="4120" t="str">
        <f t="shared" si="413"/>
        <v>ASHP-SEER15-Replace_CAC_NonElectricHeat_ER2_MF</v>
      </c>
      <c r="G3733" s="4121"/>
      <c r="H3733" s="4121"/>
      <c r="I3733" s="4122"/>
      <c r="J3733" s="3508" t="str">
        <f t="shared" si="414"/>
        <v>352760_2021_12_</v>
      </c>
      <c r="K3733" s="717">
        <v>12</v>
      </c>
      <c r="L3733" s="704"/>
      <c r="M3733" s="3020"/>
      <c r="N3733" s="106"/>
      <c r="O3733" s="106"/>
      <c r="P3733" s="702"/>
      <c r="Q3733" s="702"/>
      <c r="R3733" s="702"/>
      <c r="S3733" s="106"/>
      <c r="T3733" s="486"/>
      <c r="U3733" s="106"/>
      <c r="V3733" s="4129"/>
      <c r="W3733" s="717"/>
      <c r="X3733" s="717"/>
      <c r="Y3733" s="717"/>
      <c r="Z3733" s="717"/>
      <c r="AA3733" s="717"/>
      <c r="AB3733" s="717"/>
      <c r="AC3733" s="2932">
        <v>12</v>
      </c>
      <c r="AD3733" s="717">
        <v>12</v>
      </c>
      <c r="AE3733" s="2944"/>
      <c r="AF3733" s="717"/>
      <c r="AG3733" s="717"/>
      <c r="AH3733" s="156"/>
      <c r="AI3733" s="156"/>
      <c r="AJ3733" s="156"/>
      <c r="AK3733" s="156"/>
      <c r="AL3733" s="156"/>
      <c r="AM3733" s="156"/>
      <c r="AN3733" s="156"/>
      <c r="AO3733" s="156"/>
      <c r="AP3733" s="156"/>
      <c r="AQ3733" s="156"/>
      <c r="AR3733" s="156"/>
      <c r="AS3733" s="156"/>
      <c r="AT3733" s="156"/>
      <c r="AU3733" s="156"/>
      <c r="AV3733" s="156"/>
      <c r="AW3733" s="156"/>
      <c r="AX3733" s="156"/>
      <c r="AY3733" s="156"/>
      <c r="AZ3733" s="156"/>
      <c r="BA3733" s="156"/>
      <c r="BB3733" s="2828"/>
      <c r="BC3733" s="452"/>
      <c r="BD3733" s="2829"/>
      <c r="BE3733" s="2837"/>
      <c r="BF3733" s="156"/>
    </row>
    <row r="3734" spans="1:58" ht="15" customHeight="1" outlineLevel="1" x14ac:dyDescent="0.35">
      <c r="A3734" s="1664"/>
      <c r="B3734" s="2812"/>
      <c r="C3734" s="3077"/>
      <c r="D3734" s="3980"/>
      <c r="E3734" s="3883"/>
      <c r="F3734" s="4120" t="str">
        <f t="shared" si="413"/>
        <v>ASHP-SEER15-Replace_CAC_NonElectricHeat_ER1_MF_CompE</v>
      </c>
      <c r="G3734" s="4121"/>
      <c r="H3734" s="4121"/>
      <c r="I3734" s="4122"/>
      <c r="J3734" s="3508" t="str">
        <f t="shared" si="414"/>
        <v>352761_2021_12_</v>
      </c>
      <c r="K3734" s="717">
        <v>6</v>
      </c>
      <c r="L3734" s="704"/>
      <c r="M3734" s="3020"/>
      <c r="N3734" s="106"/>
      <c r="O3734" s="106"/>
      <c r="P3734" s="702"/>
      <c r="Q3734" s="702"/>
      <c r="R3734" s="702"/>
      <c r="S3734" s="106"/>
      <c r="T3734" s="486"/>
      <c r="U3734" s="106"/>
      <c r="V3734" s="4129"/>
      <c r="W3734" s="717"/>
      <c r="X3734" s="717"/>
      <c r="Y3734" s="717"/>
      <c r="Z3734" s="717"/>
      <c r="AA3734" s="717"/>
      <c r="AB3734" s="717"/>
      <c r="AC3734" s="2932">
        <v>6</v>
      </c>
      <c r="AD3734" s="717">
        <v>6</v>
      </c>
      <c r="AE3734" s="2944"/>
      <c r="AF3734" s="717"/>
      <c r="AG3734" s="717"/>
      <c r="AH3734" s="156"/>
      <c r="AI3734" s="156"/>
      <c r="AJ3734" s="156"/>
      <c r="AK3734" s="156"/>
      <c r="AL3734" s="156"/>
      <c r="AM3734" s="156"/>
      <c r="AN3734" s="156"/>
      <c r="AO3734" s="156"/>
      <c r="AP3734" s="156"/>
      <c r="AQ3734" s="156"/>
      <c r="AR3734" s="156"/>
      <c r="AS3734" s="156"/>
      <c r="AT3734" s="156"/>
      <c r="AU3734" s="156"/>
      <c r="AV3734" s="156"/>
      <c r="AW3734" s="156"/>
      <c r="AX3734" s="156"/>
      <c r="AY3734" s="156"/>
      <c r="AZ3734" s="156"/>
      <c r="BA3734" s="156"/>
      <c r="BB3734" s="2828"/>
      <c r="BC3734" s="452"/>
      <c r="BD3734" s="2829"/>
      <c r="BE3734" s="2837"/>
      <c r="BF3734" s="156"/>
    </row>
    <row r="3735" spans="1:58" ht="15" customHeight="1" outlineLevel="1" x14ac:dyDescent="0.35">
      <c r="A3735" s="1664"/>
      <c r="B3735" s="2812"/>
      <c r="C3735" s="3077"/>
      <c r="D3735" s="3980"/>
      <c r="E3735" s="3883"/>
      <c r="F3735" s="4120" t="str">
        <f t="shared" si="413"/>
        <v>ASHP-SEER15-Replace_CAC_NonElectricHeat_ER1_MF_CompE</v>
      </c>
      <c r="G3735" s="4121"/>
      <c r="H3735" s="4121"/>
      <c r="I3735" s="4122"/>
      <c r="J3735" s="3508" t="str">
        <f t="shared" si="414"/>
        <v>352761_2021_12_</v>
      </c>
      <c r="K3735" s="717">
        <v>6</v>
      </c>
      <c r="L3735" s="704"/>
      <c r="M3735" s="3020"/>
      <c r="N3735" s="106"/>
      <c r="O3735" s="106"/>
      <c r="P3735" s="702"/>
      <c r="Q3735" s="702"/>
      <c r="R3735" s="702"/>
      <c r="S3735" s="106"/>
      <c r="T3735" s="486"/>
      <c r="U3735" s="106"/>
      <c r="V3735" s="4129"/>
      <c r="W3735" s="717"/>
      <c r="X3735" s="717"/>
      <c r="Y3735" s="717"/>
      <c r="Z3735" s="717"/>
      <c r="AA3735" s="717"/>
      <c r="AB3735" s="717"/>
      <c r="AC3735" s="2932">
        <v>6</v>
      </c>
      <c r="AD3735" s="717">
        <v>6</v>
      </c>
      <c r="AE3735" s="2944"/>
      <c r="AF3735" s="717"/>
      <c r="AG3735" s="717"/>
      <c r="AH3735" s="156"/>
      <c r="AI3735" s="156"/>
      <c r="AJ3735" s="156"/>
      <c r="AK3735" s="156"/>
      <c r="AL3735" s="156"/>
      <c r="AM3735" s="156"/>
      <c r="AN3735" s="156"/>
      <c r="AO3735" s="156"/>
      <c r="AP3735" s="156"/>
      <c r="AQ3735" s="156"/>
      <c r="AR3735" s="156"/>
      <c r="AS3735" s="156"/>
      <c r="AT3735" s="156"/>
      <c r="AU3735" s="156"/>
      <c r="AV3735" s="156"/>
      <c r="AW3735" s="156"/>
      <c r="AX3735" s="156"/>
      <c r="AY3735" s="156"/>
      <c r="AZ3735" s="156"/>
      <c r="BA3735" s="156"/>
      <c r="BB3735" s="2828"/>
      <c r="BC3735" s="452"/>
      <c r="BD3735" s="2829"/>
      <c r="BE3735" s="2837"/>
      <c r="BF3735" s="156"/>
    </row>
    <row r="3736" spans="1:58" ht="15" customHeight="1" outlineLevel="1" x14ac:dyDescent="0.35">
      <c r="A3736" s="1664"/>
      <c r="B3736" s="2812"/>
      <c r="C3736" s="3077"/>
      <c r="D3736" s="3980"/>
      <c r="E3736" s="3883"/>
      <c r="F3736" s="4120" t="str">
        <f t="shared" si="413"/>
        <v>ASHP-SEER15-Replace_CAC_NonElectricHeat_ER2_MF_CompE</v>
      </c>
      <c r="G3736" s="4121"/>
      <c r="H3736" s="4121"/>
      <c r="I3736" s="4122"/>
      <c r="J3736" s="3508" t="str">
        <f t="shared" si="414"/>
        <v>352761_2021_12_</v>
      </c>
      <c r="K3736" s="717">
        <v>12</v>
      </c>
      <c r="L3736" s="704"/>
      <c r="M3736" s="3020"/>
      <c r="N3736" s="106"/>
      <c r="O3736" s="106"/>
      <c r="P3736" s="702"/>
      <c r="Q3736" s="702"/>
      <c r="R3736" s="702"/>
      <c r="S3736" s="106"/>
      <c r="T3736" s="486"/>
      <c r="U3736" s="106"/>
      <c r="V3736" s="4129"/>
      <c r="W3736" s="717"/>
      <c r="X3736" s="717"/>
      <c r="Y3736" s="717"/>
      <c r="Z3736" s="717"/>
      <c r="AA3736" s="717"/>
      <c r="AB3736" s="717"/>
      <c r="AC3736" s="2932">
        <v>12</v>
      </c>
      <c r="AD3736" s="717">
        <v>12</v>
      </c>
      <c r="AE3736" s="2944"/>
      <c r="AF3736" s="717"/>
      <c r="AG3736" s="717"/>
      <c r="AH3736" s="156"/>
      <c r="AI3736" s="156"/>
      <c r="AJ3736" s="156"/>
      <c r="AK3736" s="156"/>
      <c r="AL3736" s="156"/>
      <c r="AM3736" s="156"/>
      <c r="AN3736" s="156"/>
      <c r="AO3736" s="156"/>
      <c r="AP3736" s="156"/>
      <c r="AQ3736" s="156"/>
      <c r="AR3736" s="156"/>
      <c r="AS3736" s="156"/>
      <c r="AT3736" s="156"/>
      <c r="AU3736" s="156"/>
      <c r="AV3736" s="156"/>
      <c r="AW3736" s="156"/>
      <c r="AX3736" s="156"/>
      <c r="AY3736" s="156"/>
      <c r="AZ3736" s="156"/>
      <c r="BA3736" s="156"/>
      <c r="BB3736" s="2828"/>
      <c r="BC3736" s="452"/>
      <c r="BD3736" s="2829"/>
      <c r="BE3736" s="2837"/>
      <c r="BF3736" s="156"/>
    </row>
    <row r="3737" spans="1:58" ht="15" customHeight="1" outlineLevel="1" x14ac:dyDescent="0.35">
      <c r="A3737" s="1664"/>
      <c r="B3737" s="2812"/>
      <c r="C3737" s="3077"/>
      <c r="D3737" s="3980"/>
      <c r="E3737" s="3883"/>
      <c r="F3737" s="4120" t="str">
        <f t="shared" si="413"/>
        <v>ASHP-SEER15-Replace_CAC_NonElectricHeat_ER2_MF_CompE</v>
      </c>
      <c r="G3737" s="4121"/>
      <c r="H3737" s="4121"/>
      <c r="I3737" s="4122"/>
      <c r="J3737" s="3508" t="str">
        <f t="shared" si="414"/>
        <v>352761_2021_12_</v>
      </c>
      <c r="K3737" s="717">
        <v>12</v>
      </c>
      <c r="L3737" s="704"/>
      <c r="M3737" s="3020"/>
      <c r="N3737" s="106"/>
      <c r="O3737" s="106"/>
      <c r="P3737" s="702"/>
      <c r="Q3737" s="702"/>
      <c r="R3737" s="702"/>
      <c r="S3737" s="106"/>
      <c r="T3737" s="486"/>
      <c r="U3737" s="106"/>
      <c r="V3737" s="4129"/>
      <c r="W3737" s="717"/>
      <c r="X3737" s="717"/>
      <c r="Y3737" s="717"/>
      <c r="Z3737" s="717"/>
      <c r="AA3737" s="717"/>
      <c r="AB3737" s="717"/>
      <c r="AC3737" s="2932">
        <v>12</v>
      </c>
      <c r="AD3737" s="717">
        <v>12</v>
      </c>
      <c r="AE3737" s="2944"/>
      <c r="AF3737" s="717"/>
      <c r="AG3737" s="717"/>
      <c r="AH3737" s="156"/>
      <c r="AI3737" s="156"/>
      <c r="AJ3737" s="156"/>
      <c r="AK3737" s="156"/>
      <c r="AL3737" s="156"/>
      <c r="AM3737" s="156"/>
      <c r="AN3737" s="156"/>
      <c r="AO3737" s="156"/>
      <c r="AP3737" s="156"/>
      <c r="AQ3737" s="156"/>
      <c r="AR3737" s="156"/>
      <c r="AS3737" s="156"/>
      <c r="AT3737" s="156"/>
      <c r="AU3737" s="156"/>
      <c r="AV3737" s="156"/>
      <c r="AW3737" s="156"/>
      <c r="AX3737" s="156"/>
      <c r="AY3737" s="156"/>
      <c r="AZ3737" s="156"/>
      <c r="BA3737" s="156"/>
      <c r="BB3737" s="2828"/>
      <c r="BC3737" s="452"/>
      <c r="BD3737" s="2829"/>
      <c r="BE3737" s="2837"/>
      <c r="BF3737" s="156"/>
    </row>
    <row r="3738" spans="1:58" ht="15" customHeight="1" outlineLevel="1" x14ac:dyDescent="0.35">
      <c r="A3738" s="1664"/>
      <c r="B3738" s="2812"/>
      <c r="C3738" s="3077"/>
      <c r="D3738" s="3980"/>
      <c r="E3738" s="3883"/>
      <c r="F3738" s="4120" t="str">
        <f t="shared" si="413"/>
        <v>ASHP-SEER15-Replace_CAC_ElectricHeat_ROF_MF</v>
      </c>
      <c r="G3738" s="4121"/>
      <c r="H3738" s="4121"/>
      <c r="I3738" s="4122"/>
      <c r="J3738" s="3508" t="str">
        <f t="shared" si="414"/>
        <v>352800_2019_12_</v>
      </c>
      <c r="K3738" s="717">
        <v>18</v>
      </c>
      <c r="L3738" s="704"/>
      <c r="M3738" s="3020"/>
      <c r="N3738" s="106"/>
      <c r="O3738" s="106"/>
      <c r="P3738" s="702"/>
      <c r="Q3738" s="702"/>
      <c r="R3738" s="702"/>
      <c r="S3738" s="106"/>
      <c r="T3738" s="486"/>
      <c r="U3738" s="106"/>
      <c r="V3738" s="4129"/>
      <c r="W3738" s="717">
        <v>18</v>
      </c>
      <c r="X3738" s="717">
        <v>18</v>
      </c>
      <c r="Y3738" s="717">
        <v>18</v>
      </c>
      <c r="Z3738" s="717">
        <v>18</v>
      </c>
      <c r="AA3738" s="717">
        <v>18</v>
      </c>
      <c r="AB3738" s="717">
        <v>18</v>
      </c>
      <c r="AC3738" s="2930">
        <v>18</v>
      </c>
      <c r="AD3738" s="717">
        <v>18</v>
      </c>
      <c r="AE3738" s="2944"/>
      <c r="AF3738" s="717"/>
      <c r="AG3738" s="717"/>
      <c r="AH3738" s="156"/>
      <c r="AI3738" s="156"/>
      <c r="AJ3738" s="156"/>
      <c r="AK3738" s="156"/>
      <c r="AL3738" s="156"/>
      <c r="AM3738" s="156"/>
      <c r="AN3738" s="156"/>
      <c r="AO3738" s="156"/>
      <c r="AP3738" s="156"/>
      <c r="AQ3738" s="156"/>
      <c r="AR3738" s="156"/>
      <c r="AS3738" s="156"/>
      <c r="AT3738" s="156"/>
      <c r="AU3738" s="156"/>
      <c r="AV3738" s="156"/>
      <c r="AW3738" s="156"/>
      <c r="AX3738" s="156"/>
      <c r="AY3738" s="156"/>
      <c r="AZ3738" s="156"/>
      <c r="BA3738" s="156"/>
      <c r="BB3738" s="2828"/>
      <c r="BC3738" s="452"/>
      <c r="BD3738" s="2829"/>
      <c r="BE3738" s="2837"/>
      <c r="BF3738" s="156"/>
    </row>
    <row r="3739" spans="1:58" ht="15" customHeight="1" outlineLevel="1" x14ac:dyDescent="0.35">
      <c r="A3739" s="1664"/>
      <c r="B3739" s="2812"/>
      <c r="C3739" s="3077"/>
      <c r="D3739" s="3980"/>
      <c r="E3739" s="3883"/>
      <c r="F3739" s="4120" t="str">
        <f t="shared" si="413"/>
        <v>ASHP-SEER15-Replace_CAC_ElectricHeat_ROF_MF</v>
      </c>
      <c r="G3739" s="4121"/>
      <c r="H3739" s="4121"/>
      <c r="I3739" s="4122"/>
      <c r="J3739" s="3508" t="str">
        <f t="shared" si="414"/>
        <v>352800_2019_12_</v>
      </c>
      <c r="K3739" s="717">
        <v>18</v>
      </c>
      <c r="L3739" s="704"/>
      <c r="M3739" s="3020"/>
      <c r="N3739" s="106"/>
      <c r="O3739" s="106"/>
      <c r="P3739" s="702"/>
      <c r="Q3739" s="574"/>
      <c r="R3739" s="702"/>
      <c r="S3739" s="106"/>
      <c r="T3739" s="486"/>
      <c r="U3739" s="106"/>
      <c r="V3739" s="4129"/>
      <c r="W3739" s="717">
        <v>18</v>
      </c>
      <c r="X3739" s="717">
        <v>18</v>
      </c>
      <c r="Y3739" s="717">
        <v>18</v>
      </c>
      <c r="Z3739" s="717">
        <v>18</v>
      </c>
      <c r="AA3739" s="717">
        <v>18</v>
      </c>
      <c r="AB3739" s="717">
        <v>18</v>
      </c>
      <c r="AC3739" s="2930">
        <v>18</v>
      </c>
      <c r="AD3739" s="717">
        <v>18</v>
      </c>
      <c r="AE3739" s="2944"/>
      <c r="AF3739" s="717"/>
      <c r="AG3739" s="717"/>
      <c r="AH3739" s="156"/>
      <c r="AI3739" s="156"/>
      <c r="AJ3739" s="156"/>
      <c r="AK3739" s="156"/>
      <c r="AL3739" s="156"/>
      <c r="AM3739" s="156"/>
      <c r="AN3739" s="156"/>
      <c r="AO3739" s="156"/>
      <c r="AP3739" s="156"/>
      <c r="AQ3739" s="156"/>
      <c r="AR3739" s="156"/>
      <c r="AS3739" s="156"/>
      <c r="AT3739" s="156"/>
      <c r="AU3739" s="156"/>
      <c r="AV3739" s="156"/>
      <c r="AW3739" s="156"/>
      <c r="AX3739" s="156"/>
      <c r="AY3739" s="156"/>
      <c r="AZ3739" s="156"/>
      <c r="BA3739" s="156"/>
      <c r="BB3739" s="2828"/>
      <c r="BC3739" s="452"/>
      <c r="BD3739" s="2829"/>
      <c r="BE3739" s="2837"/>
      <c r="BF3739" s="156"/>
    </row>
    <row r="3740" spans="1:58" ht="15" customHeight="1" outlineLevel="1" x14ac:dyDescent="0.35">
      <c r="A3740" s="1664"/>
      <c r="B3740" s="2812"/>
      <c r="C3740" s="3077"/>
      <c r="D3740" s="3980"/>
      <c r="E3740" s="3883"/>
      <c r="F3740" s="4120" t="str">
        <f t="shared" si="413"/>
        <v>ASHP-SEER15-Replace_CAC_ElectricHeat_ROF_MF_CompE</v>
      </c>
      <c r="G3740" s="4121"/>
      <c r="H3740" s="4121"/>
      <c r="I3740" s="4122"/>
      <c r="J3740" s="3508" t="str">
        <f t="shared" si="414"/>
        <v>352801_2021_12_</v>
      </c>
      <c r="K3740" s="717">
        <v>18</v>
      </c>
      <c r="L3740" s="704"/>
      <c r="M3740" s="3020"/>
      <c r="N3740" s="106"/>
      <c r="O3740" s="106"/>
      <c r="P3740" s="702"/>
      <c r="Q3740" s="574"/>
      <c r="R3740" s="702"/>
      <c r="S3740" s="106"/>
      <c r="T3740" s="486"/>
      <c r="U3740" s="106"/>
      <c r="V3740" s="4129"/>
      <c r="W3740" s="717"/>
      <c r="X3740" s="717"/>
      <c r="Y3740" s="717"/>
      <c r="Z3740" s="717"/>
      <c r="AA3740" s="717"/>
      <c r="AB3740" s="717"/>
      <c r="AC3740" s="2932">
        <v>18</v>
      </c>
      <c r="AD3740" s="717">
        <v>18</v>
      </c>
      <c r="AE3740" s="2944"/>
      <c r="AF3740" s="717"/>
      <c r="AG3740" s="717"/>
      <c r="AH3740" s="156"/>
      <c r="AI3740" s="156"/>
      <c r="AJ3740" s="156"/>
      <c r="AK3740" s="156"/>
      <c r="AL3740" s="156"/>
      <c r="AM3740" s="156"/>
      <c r="AN3740" s="156"/>
      <c r="AO3740" s="156"/>
      <c r="AP3740" s="156"/>
      <c r="AQ3740" s="156"/>
      <c r="AR3740" s="156"/>
      <c r="AS3740" s="156"/>
      <c r="AT3740" s="156"/>
      <c r="AU3740" s="156"/>
      <c r="AV3740" s="156"/>
      <c r="AW3740" s="156"/>
      <c r="AX3740" s="156"/>
      <c r="AY3740" s="156"/>
      <c r="AZ3740" s="156"/>
      <c r="BA3740" s="156"/>
      <c r="BB3740" s="2828"/>
      <c r="BC3740" s="452"/>
      <c r="BD3740" s="2829"/>
      <c r="BE3740" s="2837"/>
      <c r="BF3740" s="156"/>
    </row>
    <row r="3741" spans="1:58" ht="15" customHeight="1" outlineLevel="1" x14ac:dyDescent="0.35">
      <c r="A3741" s="1664"/>
      <c r="B3741" s="2812"/>
      <c r="C3741" s="3077"/>
      <c r="D3741" s="3980"/>
      <c r="E3741" s="3883"/>
      <c r="F3741" s="4120" t="str">
        <f t="shared" si="413"/>
        <v>ASHP-SEER15-Replace_CAC_ElectricHeat_ROF_MF_CompE</v>
      </c>
      <c r="G3741" s="4121"/>
      <c r="H3741" s="4121"/>
      <c r="I3741" s="4122"/>
      <c r="J3741" s="3508" t="str">
        <f t="shared" si="414"/>
        <v>352801_2021_12_</v>
      </c>
      <c r="K3741" s="717">
        <v>18</v>
      </c>
      <c r="L3741" s="704"/>
      <c r="M3741" s="3020"/>
      <c r="N3741" s="106"/>
      <c r="O3741" s="106"/>
      <c r="P3741" s="702"/>
      <c r="Q3741" s="574"/>
      <c r="R3741" s="702"/>
      <c r="S3741" s="106"/>
      <c r="T3741" s="486"/>
      <c r="U3741" s="106"/>
      <c r="V3741" s="4129"/>
      <c r="W3741" s="717"/>
      <c r="X3741" s="717"/>
      <c r="Y3741" s="717"/>
      <c r="Z3741" s="717"/>
      <c r="AA3741" s="717"/>
      <c r="AB3741" s="717"/>
      <c r="AC3741" s="2932">
        <v>18</v>
      </c>
      <c r="AD3741" s="717">
        <v>18</v>
      </c>
      <c r="AE3741" s="2944"/>
      <c r="AF3741" s="717"/>
      <c r="AG3741" s="717"/>
      <c r="AH3741" s="156"/>
      <c r="AI3741" s="156"/>
      <c r="AJ3741" s="156"/>
      <c r="AK3741" s="156"/>
      <c r="AL3741" s="156"/>
      <c r="AM3741" s="156"/>
      <c r="AN3741" s="156"/>
      <c r="AO3741" s="156"/>
      <c r="AP3741" s="156"/>
      <c r="AQ3741" s="156"/>
      <c r="AR3741" s="156"/>
      <c r="AS3741" s="156"/>
      <c r="AT3741" s="156"/>
      <c r="AU3741" s="156"/>
      <c r="AV3741" s="156"/>
      <c r="AW3741" s="156"/>
      <c r="AX3741" s="156"/>
      <c r="AY3741" s="156"/>
      <c r="AZ3741" s="156"/>
      <c r="BA3741" s="156"/>
      <c r="BB3741" s="2828"/>
      <c r="BC3741" s="452"/>
      <c r="BD3741" s="2829"/>
      <c r="BE3741" s="2837"/>
      <c r="BF3741" s="156"/>
    </row>
    <row r="3742" spans="1:58" ht="15" customHeight="1" outlineLevel="1" x14ac:dyDescent="0.35">
      <c r="A3742" s="1664"/>
      <c r="B3742" s="2812"/>
      <c r="C3742" s="3077"/>
      <c r="D3742" s="3980"/>
      <c r="E3742" s="3883"/>
      <c r="F3742" s="4120" t="str">
        <f t="shared" ref="F3742:F3773" si="415">E1598</f>
        <v>ASHP-SEER15-Replace_CAC_NonElectricHeat_ROF_MF</v>
      </c>
      <c r="G3742" s="4121"/>
      <c r="H3742" s="4121"/>
      <c r="I3742" s="4122"/>
      <c r="J3742" s="3508" t="str">
        <f t="shared" ref="J3742:J3773" si="416">C1598</f>
        <v>352810_2021_12_</v>
      </c>
      <c r="K3742" s="717">
        <v>18</v>
      </c>
      <c r="L3742" s="704"/>
      <c r="M3742" s="3020"/>
      <c r="N3742" s="106"/>
      <c r="O3742" s="106"/>
      <c r="P3742" s="702"/>
      <c r="Q3742" s="574"/>
      <c r="R3742" s="702"/>
      <c r="S3742" s="106"/>
      <c r="T3742" s="486"/>
      <c r="U3742" s="106"/>
      <c r="V3742" s="4129"/>
      <c r="W3742" s="717"/>
      <c r="X3742" s="717"/>
      <c r="Y3742" s="717"/>
      <c r="Z3742" s="717"/>
      <c r="AA3742" s="717"/>
      <c r="AB3742" s="717"/>
      <c r="AC3742" s="2932">
        <v>18</v>
      </c>
      <c r="AD3742" s="717">
        <v>18</v>
      </c>
      <c r="AE3742" s="2944"/>
      <c r="AF3742" s="717"/>
      <c r="AG3742" s="717"/>
      <c r="AH3742" s="156"/>
      <c r="AI3742" s="156"/>
      <c r="AJ3742" s="156"/>
      <c r="AK3742" s="156"/>
      <c r="AL3742" s="156"/>
      <c r="AM3742" s="156"/>
      <c r="AN3742" s="156"/>
      <c r="AO3742" s="156"/>
      <c r="AP3742" s="156"/>
      <c r="AQ3742" s="156"/>
      <c r="AR3742" s="156"/>
      <c r="AS3742" s="156"/>
      <c r="AT3742" s="156"/>
      <c r="AU3742" s="156"/>
      <c r="AV3742" s="156"/>
      <c r="AW3742" s="156"/>
      <c r="AX3742" s="156"/>
      <c r="AY3742" s="156"/>
      <c r="AZ3742" s="156"/>
      <c r="BA3742" s="156"/>
      <c r="BB3742" s="2828"/>
      <c r="BC3742" s="452"/>
      <c r="BD3742" s="2829"/>
      <c r="BE3742" s="2837"/>
      <c r="BF3742" s="156"/>
    </row>
    <row r="3743" spans="1:58" ht="15" customHeight="1" outlineLevel="1" x14ac:dyDescent="0.35">
      <c r="A3743" s="1664"/>
      <c r="B3743" s="2812"/>
      <c r="C3743" s="3077"/>
      <c r="D3743" s="3980"/>
      <c r="E3743" s="3883"/>
      <c r="F3743" s="4120" t="str">
        <f t="shared" si="415"/>
        <v>ASHP-SEER15-Replace_CAC_NonElectricHeat_ROF_MF</v>
      </c>
      <c r="G3743" s="4121"/>
      <c r="H3743" s="4121"/>
      <c r="I3743" s="4122"/>
      <c r="J3743" s="3508" t="str">
        <f t="shared" si="416"/>
        <v>352810_2021_12_</v>
      </c>
      <c r="K3743" s="717">
        <v>18</v>
      </c>
      <c r="L3743" s="704"/>
      <c r="M3743" s="3020"/>
      <c r="N3743" s="106"/>
      <c r="O3743" s="106"/>
      <c r="P3743" s="702"/>
      <c r="Q3743" s="574"/>
      <c r="R3743" s="702"/>
      <c r="S3743" s="106"/>
      <c r="T3743" s="486"/>
      <c r="U3743" s="106"/>
      <c r="V3743" s="4129"/>
      <c r="W3743" s="717"/>
      <c r="X3743" s="717"/>
      <c r="Y3743" s="717"/>
      <c r="Z3743" s="717"/>
      <c r="AA3743" s="717"/>
      <c r="AB3743" s="717"/>
      <c r="AC3743" s="2932">
        <v>18</v>
      </c>
      <c r="AD3743" s="717">
        <v>18</v>
      </c>
      <c r="AE3743" s="2944"/>
      <c r="AF3743" s="717"/>
      <c r="AG3743" s="717"/>
      <c r="AH3743" s="156"/>
      <c r="AI3743" s="156"/>
      <c r="AJ3743" s="156"/>
      <c r="AK3743" s="156"/>
      <c r="AL3743" s="156"/>
      <c r="AM3743" s="156"/>
      <c r="AN3743" s="156"/>
      <c r="AO3743" s="156"/>
      <c r="AP3743" s="156"/>
      <c r="AQ3743" s="156"/>
      <c r="AR3743" s="156"/>
      <c r="AS3743" s="156"/>
      <c r="AT3743" s="156"/>
      <c r="AU3743" s="156"/>
      <c r="AV3743" s="156"/>
      <c r="AW3743" s="156"/>
      <c r="AX3743" s="156"/>
      <c r="AY3743" s="156"/>
      <c r="AZ3743" s="156"/>
      <c r="BA3743" s="156"/>
      <c r="BB3743" s="2828"/>
      <c r="BC3743" s="452"/>
      <c r="BD3743" s="2829"/>
      <c r="BE3743" s="2837"/>
      <c r="BF3743" s="156"/>
    </row>
    <row r="3744" spans="1:58" ht="15" customHeight="1" outlineLevel="1" x14ac:dyDescent="0.35">
      <c r="A3744" s="1664"/>
      <c r="B3744" s="2812"/>
      <c r="C3744" s="3077"/>
      <c r="D3744" s="3980"/>
      <c r="E3744" s="3883"/>
      <c r="F3744" s="4120" t="str">
        <f t="shared" si="415"/>
        <v>ASHP-SEER15-Replace_CAC_NonElectricHeat_ROF_MF_CompE</v>
      </c>
      <c r="G3744" s="4121"/>
      <c r="H3744" s="4121"/>
      <c r="I3744" s="4122"/>
      <c r="J3744" s="3508" t="str">
        <f t="shared" si="416"/>
        <v>352811_2021_12_</v>
      </c>
      <c r="K3744" s="717">
        <v>18</v>
      </c>
      <c r="L3744" s="704"/>
      <c r="M3744" s="3020"/>
      <c r="N3744" s="106"/>
      <c r="O3744" s="106"/>
      <c r="P3744" s="702"/>
      <c r="Q3744" s="574"/>
      <c r="R3744" s="702"/>
      <c r="S3744" s="106"/>
      <c r="T3744" s="486"/>
      <c r="U3744" s="106"/>
      <c r="V3744" s="4129"/>
      <c r="W3744" s="717"/>
      <c r="X3744" s="717"/>
      <c r="Y3744" s="717"/>
      <c r="Z3744" s="717"/>
      <c r="AA3744" s="717"/>
      <c r="AB3744" s="717"/>
      <c r="AC3744" s="2932">
        <v>18</v>
      </c>
      <c r="AD3744" s="717">
        <v>18</v>
      </c>
      <c r="AE3744" s="2944"/>
      <c r="AF3744" s="717"/>
      <c r="AG3744" s="717"/>
      <c r="AH3744" s="156"/>
      <c r="AI3744" s="156"/>
      <c r="AJ3744" s="156"/>
      <c r="AK3744" s="156"/>
      <c r="AL3744" s="156"/>
      <c r="AM3744" s="156"/>
      <c r="AN3744" s="156"/>
      <c r="AO3744" s="156"/>
      <c r="AP3744" s="156"/>
      <c r="AQ3744" s="156"/>
      <c r="AR3744" s="156"/>
      <c r="AS3744" s="156"/>
      <c r="AT3744" s="156"/>
      <c r="AU3744" s="156"/>
      <c r="AV3744" s="156"/>
      <c r="AW3744" s="156"/>
      <c r="AX3744" s="156"/>
      <c r="AY3744" s="156"/>
      <c r="AZ3744" s="156"/>
      <c r="BA3744" s="156"/>
      <c r="BB3744" s="2828"/>
      <c r="BC3744" s="452"/>
      <c r="BD3744" s="2829"/>
      <c r="BE3744" s="2837"/>
      <c r="BF3744" s="156"/>
    </row>
    <row r="3745" spans="1:58" ht="15" customHeight="1" outlineLevel="1" x14ac:dyDescent="0.35">
      <c r="A3745" s="1664"/>
      <c r="B3745" s="2812"/>
      <c r="C3745" s="3077"/>
      <c r="D3745" s="3980"/>
      <c r="E3745" s="3883"/>
      <c r="F3745" s="4120" t="str">
        <f t="shared" si="415"/>
        <v>ASHP-SEER15-Replace_CAC_NonElectricHeat_ROF_MF_CompE</v>
      </c>
      <c r="G3745" s="4121"/>
      <c r="H3745" s="4121"/>
      <c r="I3745" s="4122"/>
      <c r="J3745" s="3508" t="str">
        <f t="shared" si="416"/>
        <v>352811_2021_12_</v>
      </c>
      <c r="K3745" s="717">
        <v>18</v>
      </c>
      <c r="L3745" s="704"/>
      <c r="M3745" s="3020"/>
      <c r="N3745" s="106"/>
      <c r="O3745" s="106"/>
      <c r="P3745" s="702"/>
      <c r="Q3745" s="574"/>
      <c r="R3745" s="702"/>
      <c r="S3745" s="106"/>
      <c r="T3745" s="486"/>
      <c r="U3745" s="106"/>
      <c r="V3745" s="4129"/>
      <c r="W3745" s="717"/>
      <c r="X3745" s="717"/>
      <c r="Y3745" s="717"/>
      <c r="Z3745" s="717"/>
      <c r="AA3745" s="717"/>
      <c r="AB3745" s="717"/>
      <c r="AC3745" s="2932">
        <v>18</v>
      </c>
      <c r="AD3745" s="717">
        <v>18</v>
      </c>
      <c r="AE3745" s="2944"/>
      <c r="AF3745" s="717"/>
      <c r="AG3745" s="717"/>
      <c r="AH3745" s="156"/>
      <c r="AI3745" s="156"/>
      <c r="AJ3745" s="156"/>
      <c r="AK3745" s="156"/>
      <c r="AL3745" s="156"/>
      <c r="AM3745" s="156"/>
      <c r="AN3745" s="156"/>
      <c r="AO3745" s="156"/>
      <c r="AP3745" s="156"/>
      <c r="AQ3745" s="156"/>
      <c r="AR3745" s="156"/>
      <c r="AS3745" s="156"/>
      <c r="AT3745" s="156"/>
      <c r="AU3745" s="156"/>
      <c r="AV3745" s="156"/>
      <c r="AW3745" s="156"/>
      <c r="AX3745" s="156"/>
      <c r="AY3745" s="156"/>
      <c r="AZ3745" s="156"/>
      <c r="BA3745" s="156"/>
      <c r="BB3745" s="2828"/>
      <c r="BC3745" s="452"/>
      <c r="BD3745" s="2829"/>
      <c r="BE3745" s="2837"/>
      <c r="BF3745" s="156"/>
    </row>
    <row r="3746" spans="1:58" ht="15" customHeight="1" outlineLevel="1" x14ac:dyDescent="0.35">
      <c r="A3746" s="1664"/>
      <c r="B3746" s="2812"/>
      <c r="C3746" s="3077"/>
      <c r="D3746" s="3980"/>
      <c r="E3746" s="3883"/>
      <c r="F3746" s="4120" t="str">
        <f t="shared" si="415"/>
        <v>ASHP-SEER16_ER1_MF</v>
      </c>
      <c r="G3746" s="4121"/>
      <c r="H3746" s="4121"/>
      <c r="I3746" s="4122"/>
      <c r="J3746" s="3508" t="str">
        <f t="shared" si="416"/>
        <v>352850_2021_12_</v>
      </c>
      <c r="K3746" s="717">
        <v>6</v>
      </c>
      <c r="L3746" s="704"/>
      <c r="M3746" s="3020"/>
      <c r="N3746" s="106"/>
      <c r="O3746" s="106"/>
      <c r="P3746" s="702"/>
      <c r="Q3746" s="574"/>
      <c r="R3746" s="702"/>
      <c r="S3746" s="106"/>
      <c r="T3746" s="486"/>
      <c r="U3746" s="106"/>
      <c r="V3746" s="4129"/>
      <c r="W3746" s="717">
        <v>6</v>
      </c>
      <c r="X3746" s="717">
        <v>6</v>
      </c>
      <c r="Y3746" s="717">
        <v>6</v>
      </c>
      <c r="Z3746" s="717">
        <v>6</v>
      </c>
      <c r="AA3746" s="717">
        <v>6</v>
      </c>
      <c r="AB3746" s="717">
        <v>6</v>
      </c>
      <c r="AC3746" s="2930">
        <v>6</v>
      </c>
      <c r="AD3746" s="717">
        <v>6</v>
      </c>
      <c r="AE3746" s="2944"/>
      <c r="AF3746" s="717"/>
      <c r="AG3746" s="717"/>
      <c r="AH3746" s="156"/>
      <c r="AI3746" s="156"/>
      <c r="AJ3746" s="156"/>
      <c r="AK3746" s="156"/>
      <c r="AL3746" s="156"/>
      <c r="AM3746" s="156"/>
      <c r="AN3746" s="156"/>
      <c r="AO3746" s="156"/>
      <c r="AP3746" s="156"/>
      <c r="AQ3746" s="156"/>
      <c r="AR3746" s="156"/>
      <c r="AS3746" s="156"/>
      <c r="AT3746" s="156"/>
      <c r="AU3746" s="156"/>
      <c r="AV3746" s="156"/>
      <c r="AW3746" s="156"/>
      <c r="AX3746" s="156"/>
      <c r="AY3746" s="156"/>
      <c r="AZ3746" s="156"/>
      <c r="BA3746" s="156"/>
      <c r="BB3746" s="2828"/>
      <c r="BC3746" s="452"/>
      <c r="BD3746" s="2829"/>
      <c r="BE3746" s="2837"/>
      <c r="BF3746" s="156"/>
    </row>
    <row r="3747" spans="1:58" ht="15" customHeight="1" outlineLevel="1" x14ac:dyDescent="0.35">
      <c r="A3747" s="1664"/>
      <c r="B3747" s="2812"/>
      <c r="C3747" s="3077"/>
      <c r="D3747" s="3980"/>
      <c r="E3747" s="3883"/>
      <c r="F3747" s="4120" t="str">
        <f t="shared" si="415"/>
        <v>ASHP-SEER16_ER1_MF</v>
      </c>
      <c r="G3747" s="4121"/>
      <c r="H3747" s="4121"/>
      <c r="I3747" s="4122"/>
      <c r="J3747" s="3508" t="str">
        <f t="shared" si="416"/>
        <v>352850_2021_12_</v>
      </c>
      <c r="K3747" s="717">
        <v>6</v>
      </c>
      <c r="L3747" s="704"/>
      <c r="M3747" s="3020"/>
      <c r="N3747" s="106"/>
      <c r="O3747" s="106"/>
      <c r="P3747" s="702"/>
      <c r="Q3747" s="574"/>
      <c r="R3747" s="702"/>
      <c r="S3747" s="106"/>
      <c r="T3747" s="486"/>
      <c r="U3747" s="106"/>
      <c r="V3747" s="4129"/>
      <c r="W3747" s="717">
        <v>6</v>
      </c>
      <c r="X3747" s="717">
        <v>6</v>
      </c>
      <c r="Y3747" s="717">
        <v>6</v>
      </c>
      <c r="Z3747" s="717">
        <v>6</v>
      </c>
      <c r="AA3747" s="717">
        <v>6</v>
      </c>
      <c r="AB3747" s="717">
        <v>6</v>
      </c>
      <c r="AC3747" s="2930">
        <v>6</v>
      </c>
      <c r="AD3747" s="717">
        <v>6</v>
      </c>
      <c r="AE3747" s="2944"/>
      <c r="AF3747" s="717"/>
      <c r="AG3747" s="717"/>
      <c r="AH3747" s="156"/>
      <c r="AI3747" s="156"/>
      <c r="AJ3747" s="156"/>
      <c r="AK3747" s="156"/>
      <c r="AL3747" s="156"/>
      <c r="AM3747" s="156"/>
      <c r="AN3747" s="156"/>
      <c r="AO3747" s="156"/>
      <c r="AP3747" s="156"/>
      <c r="AQ3747" s="156"/>
      <c r="AR3747" s="156"/>
      <c r="AS3747" s="156"/>
      <c r="AT3747" s="156"/>
      <c r="AU3747" s="156"/>
      <c r="AV3747" s="156"/>
      <c r="AW3747" s="156"/>
      <c r="AX3747" s="156"/>
      <c r="AY3747" s="156"/>
      <c r="AZ3747" s="156"/>
      <c r="BA3747" s="156"/>
      <c r="BB3747" s="2828"/>
      <c r="BC3747" s="452"/>
      <c r="BD3747" s="2829"/>
      <c r="BE3747" s="2837"/>
      <c r="BF3747" s="156"/>
    </row>
    <row r="3748" spans="1:58" ht="15" customHeight="1" outlineLevel="1" x14ac:dyDescent="0.35">
      <c r="A3748" s="1664"/>
      <c r="B3748" s="2812"/>
      <c r="C3748" s="3077"/>
      <c r="D3748" s="3980"/>
      <c r="E3748" s="3883"/>
      <c r="F3748" s="4120" t="str">
        <f t="shared" si="415"/>
        <v>ASHP-SEER16_ER2_MF</v>
      </c>
      <c r="G3748" s="4121"/>
      <c r="H3748" s="4121"/>
      <c r="I3748" s="4122"/>
      <c r="J3748" s="3508" t="str">
        <f t="shared" si="416"/>
        <v>352850_2021_12_</v>
      </c>
      <c r="K3748" s="717">
        <v>12</v>
      </c>
      <c r="L3748" s="704"/>
      <c r="M3748" s="3020"/>
      <c r="N3748" s="106"/>
      <c r="O3748" s="106"/>
      <c r="P3748" s="702"/>
      <c r="Q3748" s="574"/>
      <c r="R3748" s="702"/>
      <c r="S3748" s="106"/>
      <c r="T3748" s="486"/>
      <c r="U3748" s="106"/>
      <c r="V3748" s="4129"/>
      <c r="W3748" s="717">
        <v>12</v>
      </c>
      <c r="X3748" s="717">
        <v>12</v>
      </c>
      <c r="Y3748" s="717">
        <v>12</v>
      </c>
      <c r="Z3748" s="717">
        <v>12</v>
      </c>
      <c r="AA3748" s="717">
        <v>12</v>
      </c>
      <c r="AB3748" s="717">
        <v>12</v>
      </c>
      <c r="AC3748" s="2930">
        <v>12</v>
      </c>
      <c r="AD3748" s="717">
        <v>12</v>
      </c>
      <c r="AE3748" s="2944"/>
      <c r="AF3748" s="717"/>
      <c r="AG3748" s="717"/>
      <c r="AH3748" s="156"/>
      <c r="AI3748" s="156"/>
      <c r="AJ3748" s="156"/>
      <c r="AK3748" s="156"/>
      <c r="AL3748" s="156"/>
      <c r="AM3748" s="156"/>
      <c r="AN3748" s="156"/>
      <c r="AO3748" s="156"/>
      <c r="AP3748" s="156"/>
      <c r="AQ3748" s="156"/>
      <c r="AR3748" s="156"/>
      <c r="AS3748" s="156"/>
      <c r="AT3748" s="156"/>
      <c r="AU3748" s="156"/>
      <c r="AV3748" s="156"/>
      <c r="AW3748" s="156"/>
      <c r="AX3748" s="156"/>
      <c r="AY3748" s="156"/>
      <c r="AZ3748" s="156"/>
      <c r="BA3748" s="156"/>
      <c r="BB3748" s="2828"/>
      <c r="BC3748" s="452"/>
      <c r="BD3748" s="2829"/>
      <c r="BE3748" s="2837"/>
      <c r="BF3748" s="156"/>
    </row>
    <row r="3749" spans="1:58" ht="15" customHeight="1" outlineLevel="1" x14ac:dyDescent="0.35">
      <c r="A3749" s="1664"/>
      <c r="B3749" s="2812"/>
      <c r="C3749" s="3077"/>
      <c r="D3749" s="3980"/>
      <c r="E3749" s="3883"/>
      <c r="F3749" s="4120" t="str">
        <f t="shared" si="415"/>
        <v>ASHP-SEER16_ER2_MF</v>
      </c>
      <c r="G3749" s="4121"/>
      <c r="H3749" s="4121"/>
      <c r="I3749" s="4122"/>
      <c r="J3749" s="3508" t="str">
        <f t="shared" si="416"/>
        <v>352850_2021_12_</v>
      </c>
      <c r="K3749" s="717">
        <v>12</v>
      </c>
      <c r="L3749" s="704"/>
      <c r="M3749" s="3020"/>
      <c r="N3749" s="106"/>
      <c r="O3749" s="106"/>
      <c r="P3749" s="702"/>
      <c r="Q3749" s="574"/>
      <c r="R3749" s="702"/>
      <c r="S3749" s="106"/>
      <c r="T3749" s="486"/>
      <c r="U3749" s="106"/>
      <c r="V3749" s="4129"/>
      <c r="W3749" s="717">
        <v>12</v>
      </c>
      <c r="X3749" s="717">
        <v>12</v>
      </c>
      <c r="Y3749" s="717">
        <v>12</v>
      </c>
      <c r="Z3749" s="717">
        <v>12</v>
      </c>
      <c r="AA3749" s="717">
        <v>12</v>
      </c>
      <c r="AB3749" s="717">
        <v>12</v>
      </c>
      <c r="AC3749" s="2930">
        <v>12</v>
      </c>
      <c r="AD3749" s="717">
        <v>12</v>
      </c>
      <c r="AE3749" s="2944"/>
      <c r="AF3749" s="717"/>
      <c r="AG3749" s="717"/>
      <c r="AH3749" s="156"/>
      <c r="AI3749" s="156"/>
      <c r="AJ3749" s="156"/>
      <c r="AK3749" s="156"/>
      <c r="AL3749" s="156"/>
      <c r="AM3749" s="156"/>
      <c r="AN3749" s="156"/>
      <c r="AO3749" s="156"/>
      <c r="AP3749" s="156"/>
      <c r="AQ3749" s="156"/>
      <c r="AR3749" s="156"/>
      <c r="AS3749" s="156"/>
      <c r="AT3749" s="156"/>
      <c r="AU3749" s="156"/>
      <c r="AV3749" s="156"/>
      <c r="AW3749" s="156"/>
      <c r="AX3749" s="156"/>
      <c r="AY3749" s="156"/>
      <c r="AZ3749" s="156"/>
      <c r="BA3749" s="156"/>
      <c r="BB3749" s="2828"/>
      <c r="BC3749" s="452"/>
      <c r="BD3749" s="2829"/>
      <c r="BE3749" s="2837"/>
      <c r="BF3749" s="156"/>
    </row>
    <row r="3750" spans="1:58" ht="15" customHeight="1" outlineLevel="1" x14ac:dyDescent="0.35">
      <c r="A3750" s="1664"/>
      <c r="B3750" s="2812"/>
      <c r="C3750" s="3077"/>
      <c r="D3750" s="3980"/>
      <c r="E3750" s="3883"/>
      <c r="F3750" s="4120" t="str">
        <f t="shared" si="415"/>
        <v>ASHP-SEER16_ER1_MF_CompE</v>
      </c>
      <c r="G3750" s="4121"/>
      <c r="H3750" s="4121"/>
      <c r="I3750" s="4122"/>
      <c r="J3750" s="3508" t="str">
        <f t="shared" si="416"/>
        <v>352851_2021_12_</v>
      </c>
      <c r="K3750" s="717">
        <v>6</v>
      </c>
      <c r="L3750" s="704"/>
      <c r="M3750" s="3020"/>
      <c r="N3750" s="106"/>
      <c r="O3750" s="106"/>
      <c r="P3750" s="702"/>
      <c r="Q3750" s="574"/>
      <c r="R3750" s="702"/>
      <c r="S3750" s="106"/>
      <c r="T3750" s="486"/>
      <c r="U3750" s="106"/>
      <c r="V3750" s="4129"/>
      <c r="W3750" s="717"/>
      <c r="X3750" s="717"/>
      <c r="Y3750" s="717"/>
      <c r="Z3750" s="717"/>
      <c r="AA3750" s="717"/>
      <c r="AB3750" s="717"/>
      <c r="AC3750" s="2932">
        <v>6</v>
      </c>
      <c r="AD3750" s="717">
        <v>6</v>
      </c>
      <c r="AE3750" s="2944"/>
      <c r="AF3750" s="717"/>
      <c r="AG3750" s="717"/>
      <c r="AH3750" s="156"/>
      <c r="AI3750" s="156"/>
      <c r="AJ3750" s="156"/>
      <c r="AK3750" s="156"/>
      <c r="AL3750" s="156"/>
      <c r="AM3750" s="156"/>
      <c r="AN3750" s="156"/>
      <c r="AO3750" s="156"/>
      <c r="AP3750" s="156"/>
      <c r="AQ3750" s="156"/>
      <c r="AR3750" s="156"/>
      <c r="AS3750" s="156"/>
      <c r="AT3750" s="156"/>
      <c r="AU3750" s="156"/>
      <c r="AV3750" s="156"/>
      <c r="AW3750" s="156"/>
      <c r="AX3750" s="156"/>
      <c r="AY3750" s="156"/>
      <c r="AZ3750" s="156"/>
      <c r="BA3750" s="156"/>
      <c r="BB3750" s="2828"/>
      <c r="BC3750" s="452"/>
      <c r="BD3750" s="2829"/>
      <c r="BE3750" s="2837"/>
      <c r="BF3750" s="156"/>
    </row>
    <row r="3751" spans="1:58" ht="15" customHeight="1" outlineLevel="1" x14ac:dyDescent="0.35">
      <c r="A3751" s="1664"/>
      <c r="B3751" s="2812"/>
      <c r="C3751" s="3077"/>
      <c r="D3751" s="3980"/>
      <c r="E3751" s="3883"/>
      <c r="F3751" s="4120" t="str">
        <f t="shared" si="415"/>
        <v>ASHP-SEER16_ER1_MF_CompE</v>
      </c>
      <c r="G3751" s="4121"/>
      <c r="H3751" s="4121"/>
      <c r="I3751" s="4122"/>
      <c r="J3751" s="3508" t="str">
        <f t="shared" si="416"/>
        <v>352851_2021_12_</v>
      </c>
      <c r="K3751" s="717">
        <v>6</v>
      </c>
      <c r="L3751" s="704"/>
      <c r="M3751" s="3020"/>
      <c r="N3751" s="106"/>
      <c r="O3751" s="106"/>
      <c r="P3751" s="702"/>
      <c r="Q3751" s="574"/>
      <c r="R3751" s="702"/>
      <c r="S3751" s="106"/>
      <c r="T3751" s="486"/>
      <c r="U3751" s="106"/>
      <c r="V3751" s="4129"/>
      <c r="W3751" s="717"/>
      <c r="X3751" s="717"/>
      <c r="Y3751" s="717"/>
      <c r="Z3751" s="717"/>
      <c r="AA3751" s="717"/>
      <c r="AB3751" s="717"/>
      <c r="AC3751" s="2932">
        <v>6</v>
      </c>
      <c r="AD3751" s="717">
        <v>6</v>
      </c>
      <c r="AE3751" s="2944"/>
      <c r="AF3751" s="717"/>
      <c r="AG3751" s="717"/>
      <c r="AH3751" s="156"/>
      <c r="AI3751" s="156"/>
      <c r="AJ3751" s="156"/>
      <c r="AK3751" s="156"/>
      <c r="AL3751" s="156"/>
      <c r="AM3751" s="156"/>
      <c r="AN3751" s="156"/>
      <c r="AO3751" s="156"/>
      <c r="AP3751" s="156"/>
      <c r="AQ3751" s="156"/>
      <c r="AR3751" s="156"/>
      <c r="AS3751" s="156"/>
      <c r="AT3751" s="156"/>
      <c r="AU3751" s="156"/>
      <c r="AV3751" s="156"/>
      <c r="AW3751" s="156"/>
      <c r="AX3751" s="156"/>
      <c r="AY3751" s="156"/>
      <c r="AZ3751" s="156"/>
      <c r="BA3751" s="156"/>
      <c r="BB3751" s="2828"/>
      <c r="BC3751" s="452"/>
      <c r="BD3751" s="2829"/>
      <c r="BE3751" s="2837"/>
      <c r="BF3751" s="156"/>
    </row>
    <row r="3752" spans="1:58" ht="15" customHeight="1" outlineLevel="1" x14ac:dyDescent="0.35">
      <c r="A3752" s="1664"/>
      <c r="B3752" s="2812"/>
      <c r="C3752" s="3077"/>
      <c r="D3752" s="3980"/>
      <c r="E3752" s="3883"/>
      <c r="F3752" s="4120" t="str">
        <f t="shared" si="415"/>
        <v>ASHP-SEER16_ER2_MF_CompE</v>
      </c>
      <c r="G3752" s="4121"/>
      <c r="H3752" s="4121"/>
      <c r="I3752" s="4122"/>
      <c r="J3752" s="3508" t="str">
        <f t="shared" si="416"/>
        <v>352851_2021_12_</v>
      </c>
      <c r="K3752" s="717">
        <v>12</v>
      </c>
      <c r="L3752" s="704"/>
      <c r="M3752" s="3020"/>
      <c r="N3752" s="106"/>
      <c r="O3752" s="106"/>
      <c r="P3752" s="702"/>
      <c r="Q3752" s="574"/>
      <c r="R3752" s="702"/>
      <c r="S3752" s="106"/>
      <c r="T3752" s="486"/>
      <c r="U3752" s="106"/>
      <c r="V3752" s="4129"/>
      <c r="W3752" s="717"/>
      <c r="X3752" s="717"/>
      <c r="Y3752" s="717"/>
      <c r="Z3752" s="717"/>
      <c r="AA3752" s="717"/>
      <c r="AB3752" s="717"/>
      <c r="AC3752" s="2932">
        <v>12</v>
      </c>
      <c r="AD3752" s="717">
        <v>12</v>
      </c>
      <c r="AE3752" s="2944"/>
      <c r="AF3752" s="717"/>
      <c r="AG3752" s="717"/>
      <c r="AH3752" s="156"/>
      <c r="AI3752" s="156"/>
      <c r="AJ3752" s="156"/>
      <c r="AK3752" s="156"/>
      <c r="AL3752" s="156"/>
      <c r="AM3752" s="156"/>
      <c r="AN3752" s="156"/>
      <c r="AO3752" s="156"/>
      <c r="AP3752" s="156"/>
      <c r="AQ3752" s="156"/>
      <c r="AR3752" s="156"/>
      <c r="AS3752" s="156"/>
      <c r="AT3752" s="156"/>
      <c r="AU3752" s="156"/>
      <c r="AV3752" s="156"/>
      <c r="AW3752" s="156"/>
      <c r="AX3752" s="156"/>
      <c r="AY3752" s="156"/>
      <c r="AZ3752" s="156"/>
      <c r="BA3752" s="156"/>
      <c r="BB3752" s="2828"/>
      <c r="BC3752" s="452"/>
      <c r="BD3752" s="2829"/>
      <c r="BE3752" s="2837"/>
      <c r="BF3752" s="156"/>
    </row>
    <row r="3753" spans="1:58" ht="15" customHeight="1" outlineLevel="1" x14ac:dyDescent="0.35">
      <c r="A3753" s="1664"/>
      <c r="B3753" s="2812"/>
      <c r="C3753" s="3077"/>
      <c r="D3753" s="3980"/>
      <c r="E3753" s="3883"/>
      <c r="F3753" s="4120" t="str">
        <f t="shared" si="415"/>
        <v>ASHP-SEER16_ER2_MF_CompE</v>
      </c>
      <c r="G3753" s="4121"/>
      <c r="H3753" s="4121"/>
      <c r="I3753" s="4122"/>
      <c r="J3753" s="3508" t="str">
        <f t="shared" si="416"/>
        <v>352851_2021_12_</v>
      </c>
      <c r="K3753" s="717">
        <v>12</v>
      </c>
      <c r="L3753" s="704"/>
      <c r="M3753" s="3020"/>
      <c r="N3753" s="106"/>
      <c r="O3753" s="106"/>
      <c r="P3753" s="702"/>
      <c r="Q3753" s="574"/>
      <c r="R3753" s="702"/>
      <c r="S3753" s="106"/>
      <c r="T3753" s="486"/>
      <c r="U3753" s="106"/>
      <c r="V3753" s="4129"/>
      <c r="W3753" s="717"/>
      <c r="X3753" s="717"/>
      <c r="Y3753" s="717"/>
      <c r="Z3753" s="717"/>
      <c r="AA3753" s="717"/>
      <c r="AB3753" s="717"/>
      <c r="AC3753" s="2932">
        <v>12</v>
      </c>
      <c r="AD3753" s="717">
        <v>12</v>
      </c>
      <c r="AE3753" s="2944"/>
      <c r="AF3753" s="717"/>
      <c r="AG3753" s="717"/>
      <c r="AH3753" s="156"/>
      <c r="AI3753" s="156"/>
      <c r="AJ3753" s="156"/>
      <c r="AK3753" s="156"/>
      <c r="AL3753" s="156"/>
      <c r="AM3753" s="156"/>
      <c r="AN3753" s="156"/>
      <c r="AO3753" s="156"/>
      <c r="AP3753" s="156"/>
      <c r="AQ3753" s="156"/>
      <c r="AR3753" s="156"/>
      <c r="AS3753" s="156"/>
      <c r="AT3753" s="156"/>
      <c r="AU3753" s="156"/>
      <c r="AV3753" s="156"/>
      <c r="AW3753" s="156"/>
      <c r="AX3753" s="156"/>
      <c r="AY3753" s="156"/>
      <c r="AZ3753" s="156"/>
      <c r="BA3753" s="156"/>
      <c r="BB3753" s="2828"/>
      <c r="BC3753" s="452"/>
      <c r="BD3753" s="2829"/>
      <c r="BE3753" s="2837"/>
      <c r="BF3753" s="156"/>
    </row>
    <row r="3754" spans="1:58" ht="15" customHeight="1" outlineLevel="1" x14ac:dyDescent="0.35">
      <c r="A3754" s="1664"/>
      <c r="B3754" s="2812"/>
      <c r="C3754" s="3077"/>
      <c r="D3754" s="3980"/>
      <c r="E3754" s="3883"/>
      <c r="F3754" s="4120" t="str">
        <f t="shared" si="415"/>
        <v>ASHP-SEER16_ROF_MF</v>
      </c>
      <c r="G3754" s="4121"/>
      <c r="H3754" s="4121"/>
      <c r="I3754" s="4122"/>
      <c r="J3754" s="3508" t="str">
        <f t="shared" si="416"/>
        <v>352900_2021_12_</v>
      </c>
      <c r="K3754" s="717">
        <v>18</v>
      </c>
      <c r="L3754" s="704"/>
      <c r="M3754" s="3020"/>
      <c r="N3754" s="106"/>
      <c r="O3754" s="106"/>
      <c r="P3754" s="702"/>
      <c r="Q3754" s="574"/>
      <c r="R3754" s="702"/>
      <c r="S3754" s="106"/>
      <c r="T3754" s="486"/>
      <c r="U3754" s="106"/>
      <c r="V3754" s="4129"/>
      <c r="W3754" s="717">
        <v>18</v>
      </c>
      <c r="X3754" s="717">
        <v>18</v>
      </c>
      <c r="Y3754" s="717">
        <v>18</v>
      </c>
      <c r="Z3754" s="717">
        <v>18</v>
      </c>
      <c r="AA3754" s="717">
        <v>18</v>
      </c>
      <c r="AB3754" s="717">
        <v>18</v>
      </c>
      <c r="AC3754" s="2930">
        <v>18</v>
      </c>
      <c r="AD3754" s="717">
        <v>18</v>
      </c>
      <c r="AE3754" s="2944"/>
      <c r="AF3754" s="717"/>
      <c r="AG3754" s="717"/>
      <c r="AH3754" s="156"/>
      <c r="AI3754" s="156"/>
      <c r="AJ3754" s="156"/>
      <c r="AK3754" s="156"/>
      <c r="AL3754" s="156"/>
      <c r="AM3754" s="156"/>
      <c r="AN3754" s="156"/>
      <c r="AO3754" s="156"/>
      <c r="AP3754" s="156"/>
      <c r="AQ3754" s="156"/>
      <c r="AR3754" s="156"/>
      <c r="AS3754" s="156"/>
      <c r="AT3754" s="156"/>
      <c r="AU3754" s="156"/>
      <c r="AV3754" s="156"/>
      <c r="AW3754" s="156"/>
      <c r="AX3754" s="156"/>
      <c r="AY3754" s="156"/>
      <c r="AZ3754" s="156"/>
      <c r="BA3754" s="156"/>
      <c r="BB3754" s="2828"/>
      <c r="BC3754" s="452"/>
      <c r="BD3754" s="2829"/>
      <c r="BE3754" s="2837"/>
      <c r="BF3754" s="156"/>
    </row>
    <row r="3755" spans="1:58" ht="15" customHeight="1" outlineLevel="1" x14ac:dyDescent="0.35">
      <c r="A3755" s="1071"/>
      <c r="B3755" s="2812"/>
      <c r="C3755" s="3077"/>
      <c r="D3755" s="3980"/>
      <c r="E3755" s="3883"/>
      <c r="F3755" s="4120" t="str">
        <f t="shared" si="415"/>
        <v>ASHP-SEER16_ROF_MF</v>
      </c>
      <c r="G3755" s="4121"/>
      <c r="H3755" s="4121"/>
      <c r="I3755" s="4122"/>
      <c r="J3755" s="3508" t="str">
        <f t="shared" si="416"/>
        <v>352900_2021_12_</v>
      </c>
      <c r="K3755" s="717">
        <v>18</v>
      </c>
      <c r="L3755" s="704"/>
      <c r="M3755" s="3020"/>
      <c r="N3755" s="106"/>
      <c r="O3755" s="106"/>
      <c r="P3755" s="106"/>
      <c r="Q3755" s="106"/>
      <c r="R3755" s="106"/>
      <c r="S3755" s="106"/>
      <c r="T3755" s="106"/>
      <c r="U3755" s="106"/>
      <c r="V3755" s="4129"/>
      <c r="W3755" s="717">
        <v>18</v>
      </c>
      <c r="X3755" s="717">
        <v>18</v>
      </c>
      <c r="Y3755" s="717">
        <v>18</v>
      </c>
      <c r="Z3755" s="717">
        <v>18</v>
      </c>
      <c r="AA3755" s="717">
        <v>18</v>
      </c>
      <c r="AB3755" s="717">
        <v>18</v>
      </c>
      <c r="AC3755" s="2930">
        <v>18</v>
      </c>
      <c r="AD3755" s="717">
        <v>18</v>
      </c>
      <c r="AE3755" s="2944"/>
      <c r="AF3755" s="717"/>
      <c r="AG3755" s="717"/>
      <c r="AH3755" s="156"/>
      <c r="AI3755" s="156"/>
      <c r="AJ3755" s="156"/>
      <c r="AK3755" s="156"/>
      <c r="AL3755" s="156"/>
      <c r="AM3755" s="156"/>
      <c r="AN3755" s="156"/>
      <c r="AO3755" s="156"/>
      <c r="AP3755" s="156"/>
      <c r="AQ3755" s="156"/>
      <c r="AR3755" s="156"/>
      <c r="AS3755" s="156"/>
      <c r="AT3755" s="156"/>
      <c r="AU3755" s="156"/>
      <c r="AV3755" s="156"/>
      <c r="AW3755" s="156"/>
      <c r="AX3755" s="156"/>
      <c r="AY3755" s="156"/>
      <c r="AZ3755" s="156"/>
      <c r="BA3755" s="156"/>
      <c r="BB3755" s="2828"/>
      <c r="BC3755" s="452"/>
      <c r="BD3755" s="2829"/>
      <c r="BE3755" s="2837"/>
      <c r="BF3755" s="156"/>
    </row>
    <row r="3756" spans="1:58" ht="15" customHeight="1" outlineLevel="1" x14ac:dyDescent="0.35">
      <c r="A3756" s="1071"/>
      <c r="B3756" s="2812"/>
      <c r="C3756" s="3077"/>
      <c r="D3756" s="3980"/>
      <c r="E3756" s="3883"/>
      <c r="F3756" s="4120" t="str">
        <f t="shared" si="415"/>
        <v>ASHP-SEER16_ROF_MF_CompE</v>
      </c>
      <c r="G3756" s="4121"/>
      <c r="H3756" s="4121"/>
      <c r="I3756" s="4122"/>
      <c r="J3756" s="3508" t="str">
        <f t="shared" si="416"/>
        <v>352901_2021_12_</v>
      </c>
      <c r="K3756" s="717">
        <v>18</v>
      </c>
      <c r="L3756" s="704"/>
      <c r="M3756" s="3020"/>
      <c r="N3756" s="106"/>
      <c r="O3756" s="106"/>
      <c r="P3756" s="106"/>
      <c r="Q3756" s="106"/>
      <c r="R3756" s="106"/>
      <c r="S3756" s="106"/>
      <c r="T3756" s="106"/>
      <c r="U3756" s="106"/>
      <c r="V3756" s="4129"/>
      <c r="W3756" s="717"/>
      <c r="X3756" s="717"/>
      <c r="Y3756" s="717"/>
      <c r="Z3756" s="717"/>
      <c r="AA3756" s="717"/>
      <c r="AB3756" s="717"/>
      <c r="AC3756" s="2932">
        <v>18</v>
      </c>
      <c r="AD3756" s="717">
        <v>18</v>
      </c>
      <c r="AE3756" s="2944"/>
      <c r="AF3756" s="717"/>
      <c r="AG3756" s="717"/>
      <c r="AH3756" s="156"/>
      <c r="AI3756" s="156"/>
      <c r="AJ3756" s="156"/>
      <c r="AK3756" s="156"/>
      <c r="AL3756" s="156"/>
      <c r="AM3756" s="156"/>
      <c r="AN3756" s="156"/>
      <c r="AO3756" s="156"/>
      <c r="AP3756" s="156"/>
      <c r="AQ3756" s="156"/>
      <c r="AR3756" s="156"/>
      <c r="AS3756" s="156"/>
      <c r="AT3756" s="156"/>
      <c r="AU3756" s="156"/>
      <c r="AV3756" s="156"/>
      <c r="AW3756" s="156"/>
      <c r="AX3756" s="156"/>
      <c r="AY3756" s="156"/>
      <c r="AZ3756" s="156"/>
      <c r="BA3756" s="156"/>
      <c r="BB3756" s="2828"/>
      <c r="BC3756" s="452"/>
      <c r="BD3756" s="2829"/>
      <c r="BE3756" s="2837"/>
      <c r="BF3756" s="156"/>
    </row>
    <row r="3757" spans="1:58" ht="15" customHeight="1" outlineLevel="1" x14ac:dyDescent="0.35">
      <c r="A3757" s="1071"/>
      <c r="B3757" s="2812"/>
      <c r="C3757" s="3077"/>
      <c r="D3757" s="3980"/>
      <c r="E3757" s="3883"/>
      <c r="F3757" s="4120" t="str">
        <f t="shared" si="415"/>
        <v>ASHP-SEER16_ROF_MF_CompE</v>
      </c>
      <c r="G3757" s="4121"/>
      <c r="H3757" s="4121"/>
      <c r="I3757" s="4122"/>
      <c r="J3757" s="3508" t="str">
        <f t="shared" si="416"/>
        <v>352901_2021_12_</v>
      </c>
      <c r="K3757" s="717">
        <v>18</v>
      </c>
      <c r="L3757" s="704"/>
      <c r="M3757" s="3020"/>
      <c r="N3757" s="106"/>
      <c r="O3757" s="106"/>
      <c r="P3757" s="106"/>
      <c r="Q3757" s="106"/>
      <c r="R3757" s="106"/>
      <c r="S3757" s="106"/>
      <c r="T3757" s="106"/>
      <c r="U3757" s="106"/>
      <c r="V3757" s="4129"/>
      <c r="W3757" s="717"/>
      <c r="X3757" s="717"/>
      <c r="Y3757" s="717"/>
      <c r="Z3757" s="717"/>
      <c r="AA3757" s="717"/>
      <c r="AB3757" s="717"/>
      <c r="AC3757" s="2932">
        <v>18</v>
      </c>
      <c r="AD3757" s="717">
        <v>18</v>
      </c>
      <c r="AE3757" s="2944"/>
      <c r="AF3757" s="717"/>
      <c r="AG3757" s="717"/>
      <c r="AH3757" s="156"/>
      <c r="AI3757" s="156"/>
      <c r="AJ3757" s="156"/>
      <c r="AK3757" s="156"/>
      <c r="AL3757" s="156"/>
      <c r="AM3757" s="156"/>
      <c r="AN3757" s="156"/>
      <c r="AO3757" s="156"/>
      <c r="AP3757" s="156"/>
      <c r="AQ3757" s="156"/>
      <c r="AR3757" s="156"/>
      <c r="AS3757" s="156"/>
      <c r="AT3757" s="156"/>
      <c r="AU3757" s="156"/>
      <c r="AV3757" s="156"/>
      <c r="AW3757" s="156"/>
      <c r="AX3757" s="156"/>
      <c r="AY3757" s="156"/>
      <c r="AZ3757" s="156"/>
      <c r="BA3757" s="156"/>
      <c r="BB3757" s="2828"/>
      <c r="BC3757" s="452"/>
      <c r="BD3757" s="2829"/>
      <c r="BE3757" s="2837"/>
      <c r="BF3757" s="156"/>
    </row>
    <row r="3758" spans="1:58" ht="15" customHeight="1" outlineLevel="1" x14ac:dyDescent="0.35">
      <c r="A3758" s="1664"/>
      <c r="B3758" s="2812"/>
      <c r="C3758" s="3077"/>
      <c r="D3758" s="3980"/>
      <c r="E3758" s="3883"/>
      <c r="F3758" s="4120" t="str">
        <f t="shared" si="415"/>
        <v>ASHP-SEER16-Replace_CAC_ElectricHeat_ROF_MF</v>
      </c>
      <c r="G3758" s="4121"/>
      <c r="H3758" s="4121"/>
      <c r="I3758" s="4122"/>
      <c r="J3758" s="3508" t="str">
        <f t="shared" si="416"/>
        <v>352950_2019_12_</v>
      </c>
      <c r="K3758" s="717">
        <v>18</v>
      </c>
      <c r="L3758" s="704"/>
      <c r="M3758" s="3020"/>
      <c r="N3758" s="106"/>
      <c r="O3758" s="106"/>
      <c r="P3758" s="702"/>
      <c r="Q3758" s="574"/>
      <c r="R3758" s="702"/>
      <c r="S3758" s="106"/>
      <c r="T3758" s="486"/>
      <c r="U3758" s="106"/>
      <c r="V3758" s="4129"/>
      <c r="W3758" s="717">
        <v>18</v>
      </c>
      <c r="X3758" s="717">
        <v>18</v>
      </c>
      <c r="Y3758" s="717">
        <v>18</v>
      </c>
      <c r="Z3758" s="717">
        <v>18</v>
      </c>
      <c r="AA3758" s="717">
        <v>18</v>
      </c>
      <c r="AB3758" s="717">
        <v>18</v>
      </c>
      <c r="AC3758" s="2930">
        <v>18</v>
      </c>
      <c r="AD3758" s="717">
        <v>18</v>
      </c>
      <c r="AE3758" s="2944"/>
      <c r="AF3758" s="717"/>
      <c r="AG3758" s="717"/>
      <c r="AH3758" s="156"/>
      <c r="AI3758" s="156"/>
      <c r="AJ3758" s="156"/>
      <c r="AK3758" s="156"/>
      <c r="AL3758" s="156"/>
      <c r="AM3758" s="156"/>
      <c r="AN3758" s="156"/>
      <c r="AO3758" s="156"/>
      <c r="AP3758" s="156"/>
      <c r="AQ3758" s="156"/>
      <c r="AR3758" s="156"/>
      <c r="AS3758" s="156"/>
      <c r="AT3758" s="156"/>
      <c r="AU3758" s="156"/>
      <c r="AV3758" s="156"/>
      <c r="AW3758" s="156"/>
      <c r="AX3758" s="156"/>
      <c r="AY3758" s="156"/>
      <c r="AZ3758" s="156"/>
      <c r="BA3758" s="156"/>
      <c r="BB3758" s="2828"/>
      <c r="BC3758" s="452"/>
      <c r="BD3758" s="2829"/>
      <c r="BE3758" s="2837"/>
      <c r="BF3758" s="156"/>
    </row>
    <row r="3759" spans="1:58" ht="15" customHeight="1" outlineLevel="1" x14ac:dyDescent="0.35">
      <c r="A3759" s="1071"/>
      <c r="B3759" s="2812"/>
      <c r="C3759" s="3077"/>
      <c r="D3759" s="3980"/>
      <c r="E3759" s="3883"/>
      <c r="F3759" s="4120" t="str">
        <f t="shared" si="415"/>
        <v>ASHP-SEER16-Replace_CAC_ElectricHeat_ROF_MF</v>
      </c>
      <c r="G3759" s="4121"/>
      <c r="H3759" s="4121"/>
      <c r="I3759" s="4122"/>
      <c r="J3759" s="3508" t="str">
        <f t="shared" si="416"/>
        <v>352950_2019_12_</v>
      </c>
      <c r="K3759" s="717">
        <v>18</v>
      </c>
      <c r="L3759" s="704"/>
      <c r="M3759" s="3020"/>
      <c r="N3759" s="106"/>
      <c r="O3759" s="106"/>
      <c r="P3759" s="106"/>
      <c r="Q3759" s="106"/>
      <c r="R3759" s="106"/>
      <c r="S3759" s="106"/>
      <c r="T3759" s="106"/>
      <c r="U3759" s="106"/>
      <c r="V3759" s="4129"/>
      <c r="W3759" s="717">
        <v>18</v>
      </c>
      <c r="X3759" s="717">
        <v>18</v>
      </c>
      <c r="Y3759" s="717">
        <v>18</v>
      </c>
      <c r="Z3759" s="717">
        <v>18</v>
      </c>
      <c r="AA3759" s="717">
        <v>18</v>
      </c>
      <c r="AB3759" s="717">
        <v>18</v>
      </c>
      <c r="AC3759" s="2930">
        <v>18</v>
      </c>
      <c r="AD3759" s="717">
        <v>18</v>
      </c>
      <c r="AE3759" s="2944"/>
      <c r="AF3759" s="717"/>
      <c r="AG3759" s="717"/>
      <c r="AH3759" s="156"/>
      <c r="AI3759" s="156"/>
      <c r="AJ3759" s="156"/>
      <c r="AK3759" s="156"/>
      <c r="AL3759" s="156"/>
      <c r="AM3759" s="156"/>
      <c r="AN3759" s="156"/>
      <c r="AO3759" s="156"/>
      <c r="AP3759" s="156"/>
      <c r="AQ3759" s="156"/>
      <c r="AR3759" s="156"/>
      <c r="AS3759" s="156"/>
      <c r="AT3759" s="156"/>
      <c r="AU3759" s="156"/>
      <c r="AV3759" s="156"/>
      <c r="AW3759" s="156"/>
      <c r="AX3759" s="156"/>
      <c r="AY3759" s="156"/>
      <c r="AZ3759" s="156"/>
      <c r="BA3759" s="156"/>
      <c r="BB3759" s="2828"/>
      <c r="BC3759" s="452"/>
      <c r="BD3759" s="2829"/>
      <c r="BE3759" s="2837"/>
      <c r="BF3759" s="156"/>
    </row>
    <row r="3760" spans="1:58" ht="15" customHeight="1" outlineLevel="1" x14ac:dyDescent="0.35">
      <c r="A3760" s="1071"/>
      <c r="B3760" s="2812"/>
      <c r="C3760" s="3077"/>
      <c r="D3760" s="3980"/>
      <c r="E3760" s="3883"/>
      <c r="F3760" s="4120" t="str">
        <f t="shared" si="415"/>
        <v>ASHP-SEER16-Replace_CAC_ElectricHeat_ROF_MF_CompE</v>
      </c>
      <c r="G3760" s="4121"/>
      <c r="H3760" s="4121"/>
      <c r="I3760" s="4122"/>
      <c r="J3760" s="3508" t="str">
        <f t="shared" si="416"/>
        <v>352951_2019_12_</v>
      </c>
      <c r="K3760" s="717">
        <v>18</v>
      </c>
      <c r="L3760" s="704"/>
      <c r="M3760" s="3020"/>
      <c r="N3760" s="106"/>
      <c r="O3760" s="106"/>
      <c r="P3760" s="106"/>
      <c r="Q3760" s="106"/>
      <c r="R3760" s="106"/>
      <c r="S3760" s="106"/>
      <c r="T3760" s="106"/>
      <c r="U3760" s="106"/>
      <c r="V3760" s="4129"/>
      <c r="W3760" s="717"/>
      <c r="X3760" s="717"/>
      <c r="Y3760" s="717"/>
      <c r="Z3760" s="717"/>
      <c r="AA3760" s="717"/>
      <c r="AB3760" s="717"/>
      <c r="AC3760" s="2932">
        <v>18</v>
      </c>
      <c r="AD3760" s="717">
        <v>18</v>
      </c>
      <c r="AE3760" s="2944"/>
      <c r="AF3760" s="717"/>
      <c r="AG3760" s="717"/>
      <c r="AH3760" s="156"/>
      <c r="AI3760" s="156"/>
      <c r="AJ3760" s="156"/>
      <c r="AK3760" s="156"/>
      <c r="AL3760" s="156"/>
      <c r="AM3760" s="156"/>
      <c r="AN3760" s="156"/>
      <c r="AO3760" s="156"/>
      <c r="AP3760" s="156"/>
      <c r="AQ3760" s="156"/>
      <c r="AR3760" s="156"/>
      <c r="AS3760" s="156"/>
      <c r="AT3760" s="156"/>
      <c r="AU3760" s="156"/>
      <c r="AV3760" s="156"/>
      <c r="AW3760" s="156"/>
      <c r="AX3760" s="156"/>
      <c r="AY3760" s="156"/>
      <c r="AZ3760" s="156"/>
      <c r="BA3760" s="156"/>
      <c r="BB3760" s="2828"/>
      <c r="BC3760" s="452"/>
      <c r="BD3760" s="2829"/>
      <c r="BE3760" s="2837"/>
      <c r="BF3760" s="156"/>
    </row>
    <row r="3761" spans="1:58" ht="15" customHeight="1" outlineLevel="1" x14ac:dyDescent="0.35">
      <c r="A3761" s="1071"/>
      <c r="B3761" s="2812"/>
      <c r="C3761" s="3077"/>
      <c r="D3761" s="3980"/>
      <c r="E3761" s="3883"/>
      <c r="F3761" s="4120" t="str">
        <f t="shared" si="415"/>
        <v>ASHP-SEER16-Replace_CAC_ElectricHeat_ROF_MF_CompE</v>
      </c>
      <c r="G3761" s="4121"/>
      <c r="H3761" s="4121"/>
      <c r="I3761" s="4122"/>
      <c r="J3761" s="3508" t="str">
        <f t="shared" si="416"/>
        <v>352951_2019_12_</v>
      </c>
      <c r="K3761" s="717">
        <v>18</v>
      </c>
      <c r="L3761" s="704"/>
      <c r="M3761" s="3020"/>
      <c r="N3761" s="106"/>
      <c r="O3761" s="106"/>
      <c r="P3761" s="106"/>
      <c r="Q3761" s="106"/>
      <c r="R3761" s="106"/>
      <c r="S3761" s="106"/>
      <c r="T3761" s="106"/>
      <c r="U3761" s="106"/>
      <c r="V3761" s="4129"/>
      <c r="W3761" s="717"/>
      <c r="X3761" s="717"/>
      <c r="Y3761" s="717"/>
      <c r="Z3761" s="717"/>
      <c r="AA3761" s="717"/>
      <c r="AB3761" s="717"/>
      <c r="AC3761" s="2932">
        <v>18</v>
      </c>
      <c r="AD3761" s="717">
        <v>18</v>
      </c>
      <c r="AE3761" s="2944"/>
      <c r="AF3761" s="717"/>
      <c r="AG3761" s="717"/>
      <c r="AH3761" s="156"/>
      <c r="AI3761" s="156"/>
      <c r="AJ3761" s="156"/>
      <c r="AK3761" s="156"/>
      <c r="AL3761" s="156"/>
      <c r="AM3761" s="156"/>
      <c r="AN3761" s="156"/>
      <c r="AO3761" s="156"/>
      <c r="AP3761" s="156"/>
      <c r="AQ3761" s="156"/>
      <c r="AR3761" s="156"/>
      <c r="AS3761" s="156"/>
      <c r="AT3761" s="156"/>
      <c r="AU3761" s="156"/>
      <c r="AV3761" s="156"/>
      <c r="AW3761" s="156"/>
      <c r="AX3761" s="156"/>
      <c r="AY3761" s="156"/>
      <c r="AZ3761" s="156"/>
      <c r="BA3761" s="156"/>
      <c r="BB3761" s="2828"/>
      <c r="BC3761" s="452"/>
      <c r="BD3761" s="2829"/>
      <c r="BE3761" s="2837"/>
      <c r="BF3761" s="156"/>
    </row>
    <row r="3762" spans="1:58" ht="15" customHeight="1" outlineLevel="1" x14ac:dyDescent="0.35">
      <c r="A3762" s="1071"/>
      <c r="B3762" s="2812"/>
      <c r="C3762" s="3077"/>
      <c r="D3762" s="3980"/>
      <c r="E3762" s="3883"/>
      <c r="F3762" s="4120" t="str">
        <f t="shared" si="415"/>
        <v>ASHP-SEER16-Replace_CAC_NonElectricHeat_ROF_MF</v>
      </c>
      <c r="G3762" s="4121"/>
      <c r="H3762" s="4121"/>
      <c r="I3762" s="4122"/>
      <c r="J3762" s="3508" t="str">
        <f t="shared" si="416"/>
        <v>352960_2021_12_</v>
      </c>
      <c r="K3762" s="717">
        <v>18</v>
      </c>
      <c r="L3762" s="704"/>
      <c r="M3762" s="3020"/>
      <c r="N3762" s="106"/>
      <c r="O3762" s="106"/>
      <c r="P3762" s="106"/>
      <c r="Q3762" s="106"/>
      <c r="R3762" s="106"/>
      <c r="S3762" s="106"/>
      <c r="T3762" s="106"/>
      <c r="U3762" s="106"/>
      <c r="V3762" s="4129"/>
      <c r="W3762" s="717"/>
      <c r="X3762" s="717"/>
      <c r="Y3762" s="717"/>
      <c r="Z3762" s="717"/>
      <c r="AA3762" s="717"/>
      <c r="AB3762" s="717"/>
      <c r="AC3762" s="2932">
        <v>18</v>
      </c>
      <c r="AD3762" s="717">
        <v>18</v>
      </c>
      <c r="AE3762" s="2944"/>
      <c r="AF3762" s="717"/>
      <c r="AG3762" s="717"/>
      <c r="AH3762" s="156"/>
      <c r="AI3762" s="156"/>
      <c r="AJ3762" s="156"/>
      <c r="AK3762" s="156"/>
      <c r="AL3762" s="156"/>
      <c r="AM3762" s="156"/>
      <c r="AN3762" s="156"/>
      <c r="AO3762" s="156"/>
      <c r="AP3762" s="156"/>
      <c r="AQ3762" s="156"/>
      <c r="AR3762" s="156"/>
      <c r="AS3762" s="156"/>
      <c r="AT3762" s="156"/>
      <c r="AU3762" s="156"/>
      <c r="AV3762" s="156"/>
      <c r="AW3762" s="156"/>
      <c r="AX3762" s="156"/>
      <c r="AY3762" s="156"/>
      <c r="AZ3762" s="156"/>
      <c r="BA3762" s="156"/>
      <c r="BB3762" s="2828"/>
      <c r="BC3762" s="452"/>
      <c r="BD3762" s="2829"/>
      <c r="BE3762" s="2837"/>
      <c r="BF3762" s="156"/>
    </row>
    <row r="3763" spans="1:58" ht="15" customHeight="1" outlineLevel="1" x14ac:dyDescent="0.35">
      <c r="A3763" s="1071"/>
      <c r="B3763" s="2812"/>
      <c r="C3763" s="3077"/>
      <c r="D3763" s="3980"/>
      <c r="E3763" s="3883"/>
      <c r="F3763" s="4120" t="str">
        <f t="shared" si="415"/>
        <v>ASHP-SEER16-Replace_CAC_NonElectricHeat_ROF_MF</v>
      </c>
      <c r="G3763" s="4121"/>
      <c r="H3763" s="4121"/>
      <c r="I3763" s="4122"/>
      <c r="J3763" s="3508" t="str">
        <f t="shared" si="416"/>
        <v>352960_2021_12_</v>
      </c>
      <c r="K3763" s="717">
        <v>18</v>
      </c>
      <c r="L3763" s="704"/>
      <c r="M3763" s="3020"/>
      <c r="N3763" s="106"/>
      <c r="O3763" s="106"/>
      <c r="P3763" s="106"/>
      <c r="Q3763" s="106"/>
      <c r="R3763" s="106"/>
      <c r="S3763" s="106"/>
      <c r="T3763" s="106"/>
      <c r="U3763" s="106"/>
      <c r="V3763" s="4129"/>
      <c r="W3763" s="717"/>
      <c r="X3763" s="717"/>
      <c r="Y3763" s="717"/>
      <c r="Z3763" s="717"/>
      <c r="AA3763" s="717"/>
      <c r="AB3763" s="717"/>
      <c r="AC3763" s="2932">
        <v>18</v>
      </c>
      <c r="AD3763" s="717">
        <v>18</v>
      </c>
      <c r="AE3763" s="2944"/>
      <c r="AF3763" s="717"/>
      <c r="AG3763" s="717"/>
      <c r="AH3763" s="156"/>
      <c r="AI3763" s="156"/>
      <c r="AJ3763" s="156"/>
      <c r="AK3763" s="156"/>
      <c r="AL3763" s="156"/>
      <c r="AM3763" s="156"/>
      <c r="AN3763" s="156"/>
      <c r="AO3763" s="156"/>
      <c r="AP3763" s="156"/>
      <c r="AQ3763" s="156"/>
      <c r="AR3763" s="156"/>
      <c r="AS3763" s="156"/>
      <c r="AT3763" s="156"/>
      <c r="AU3763" s="156"/>
      <c r="AV3763" s="156"/>
      <c r="AW3763" s="156"/>
      <c r="AX3763" s="156"/>
      <c r="AY3763" s="156"/>
      <c r="AZ3763" s="156"/>
      <c r="BA3763" s="156"/>
      <c r="BB3763" s="2828"/>
      <c r="BC3763" s="452"/>
      <c r="BD3763" s="2829"/>
      <c r="BE3763" s="2837"/>
      <c r="BF3763" s="156"/>
    </row>
    <row r="3764" spans="1:58" ht="15" customHeight="1" outlineLevel="1" x14ac:dyDescent="0.35">
      <c r="A3764" s="1071"/>
      <c r="B3764" s="2812"/>
      <c r="C3764" s="3077"/>
      <c r="D3764" s="3980"/>
      <c r="E3764" s="3883"/>
      <c r="F3764" s="4120" t="str">
        <f t="shared" si="415"/>
        <v>ASHP-SEER16-Replace_CAC_NonElectricHeat_ROF_MF_CompE</v>
      </c>
      <c r="G3764" s="4121"/>
      <c r="H3764" s="4121"/>
      <c r="I3764" s="4122"/>
      <c r="J3764" s="3508" t="str">
        <f t="shared" si="416"/>
        <v>352961_2021_12_</v>
      </c>
      <c r="K3764" s="717">
        <v>18</v>
      </c>
      <c r="L3764" s="704"/>
      <c r="M3764" s="3020"/>
      <c r="N3764" s="106"/>
      <c r="O3764" s="106"/>
      <c r="P3764" s="106"/>
      <c r="Q3764" s="106"/>
      <c r="R3764" s="106"/>
      <c r="S3764" s="106"/>
      <c r="T3764" s="106"/>
      <c r="U3764" s="106"/>
      <c r="V3764" s="4129"/>
      <c r="W3764" s="717"/>
      <c r="X3764" s="717"/>
      <c r="Y3764" s="717"/>
      <c r="Z3764" s="717"/>
      <c r="AA3764" s="717"/>
      <c r="AB3764" s="717"/>
      <c r="AC3764" s="2932">
        <v>18</v>
      </c>
      <c r="AD3764" s="717">
        <v>18</v>
      </c>
      <c r="AE3764" s="2944"/>
      <c r="AF3764" s="717"/>
      <c r="AG3764" s="717"/>
      <c r="AH3764" s="156"/>
      <c r="AI3764" s="156"/>
      <c r="AJ3764" s="156"/>
      <c r="AK3764" s="156"/>
      <c r="AL3764" s="156"/>
      <c r="AM3764" s="156"/>
      <c r="AN3764" s="156"/>
      <c r="AO3764" s="156"/>
      <c r="AP3764" s="156"/>
      <c r="AQ3764" s="156"/>
      <c r="AR3764" s="156"/>
      <c r="AS3764" s="156"/>
      <c r="AT3764" s="156"/>
      <c r="AU3764" s="156"/>
      <c r="AV3764" s="156"/>
      <c r="AW3764" s="156"/>
      <c r="AX3764" s="156"/>
      <c r="AY3764" s="156"/>
      <c r="AZ3764" s="156"/>
      <c r="BA3764" s="156"/>
      <c r="BB3764" s="2828"/>
      <c r="BC3764" s="452"/>
      <c r="BD3764" s="2829"/>
      <c r="BE3764" s="2837"/>
      <c r="BF3764" s="156"/>
    </row>
    <row r="3765" spans="1:58" ht="15" customHeight="1" outlineLevel="1" x14ac:dyDescent="0.35">
      <c r="A3765" s="1071"/>
      <c r="B3765" s="2812"/>
      <c r="C3765" s="3077"/>
      <c r="D3765" s="3980"/>
      <c r="E3765" s="3883"/>
      <c r="F3765" s="4120" t="str">
        <f t="shared" si="415"/>
        <v>ASHP-SEER16-Replace_CAC_NonElectricHeat_ROF_MF_CompE</v>
      </c>
      <c r="G3765" s="4121"/>
      <c r="H3765" s="4121"/>
      <c r="I3765" s="4122"/>
      <c r="J3765" s="3508" t="str">
        <f t="shared" si="416"/>
        <v>352961_2021_12_</v>
      </c>
      <c r="K3765" s="717">
        <v>18</v>
      </c>
      <c r="L3765" s="704"/>
      <c r="M3765" s="3020"/>
      <c r="N3765" s="106"/>
      <c r="O3765" s="106"/>
      <c r="P3765" s="106"/>
      <c r="Q3765" s="106"/>
      <c r="R3765" s="106"/>
      <c r="S3765" s="106"/>
      <c r="T3765" s="106"/>
      <c r="U3765" s="106"/>
      <c r="V3765" s="4129"/>
      <c r="W3765" s="717"/>
      <c r="X3765" s="717"/>
      <c r="Y3765" s="717"/>
      <c r="Z3765" s="717"/>
      <c r="AA3765" s="717"/>
      <c r="AB3765" s="717"/>
      <c r="AC3765" s="2932">
        <v>18</v>
      </c>
      <c r="AD3765" s="717">
        <v>18</v>
      </c>
      <c r="AE3765" s="2944"/>
      <c r="AF3765" s="717"/>
      <c r="AG3765" s="717"/>
      <c r="AH3765" s="156"/>
      <c r="AI3765" s="156"/>
      <c r="AJ3765" s="156"/>
      <c r="AK3765" s="156"/>
      <c r="AL3765" s="156"/>
      <c r="AM3765" s="156"/>
      <c r="AN3765" s="156"/>
      <c r="AO3765" s="156"/>
      <c r="AP3765" s="156"/>
      <c r="AQ3765" s="156"/>
      <c r="AR3765" s="156"/>
      <c r="AS3765" s="156"/>
      <c r="AT3765" s="156"/>
      <c r="AU3765" s="156"/>
      <c r="AV3765" s="156"/>
      <c r="AW3765" s="156"/>
      <c r="AX3765" s="156"/>
      <c r="AY3765" s="156"/>
      <c r="AZ3765" s="156"/>
      <c r="BA3765" s="156"/>
      <c r="BB3765" s="2828"/>
      <c r="BC3765" s="452"/>
      <c r="BD3765" s="2829"/>
      <c r="BE3765" s="2837"/>
      <c r="BF3765" s="156"/>
    </row>
    <row r="3766" spans="1:58" ht="15" customHeight="1" outlineLevel="1" x14ac:dyDescent="0.35">
      <c r="A3766" s="1664"/>
      <c r="B3766" s="2812"/>
      <c r="C3766" s="3077"/>
      <c r="D3766" s="3980"/>
      <c r="E3766" s="3883"/>
      <c r="F3766" s="4120" t="str">
        <f t="shared" si="415"/>
        <v>ASHP-SEER16-Replace_CAC_ElectricHeat_ER1_MF</v>
      </c>
      <c r="G3766" s="4121"/>
      <c r="H3766" s="4121"/>
      <c r="I3766" s="4122"/>
      <c r="J3766" s="3508" t="str">
        <f t="shared" si="416"/>
        <v>353000_2021_12_</v>
      </c>
      <c r="K3766" s="717">
        <v>6</v>
      </c>
      <c r="L3766" s="704"/>
      <c r="M3766" s="3020"/>
      <c r="N3766" s="106"/>
      <c r="O3766" s="106"/>
      <c r="P3766" s="702"/>
      <c r="Q3766" s="574"/>
      <c r="R3766" s="702"/>
      <c r="S3766" s="106"/>
      <c r="T3766" s="486"/>
      <c r="U3766" s="106"/>
      <c r="V3766" s="4129"/>
      <c r="W3766" s="717">
        <v>6</v>
      </c>
      <c r="X3766" s="717">
        <v>6</v>
      </c>
      <c r="Y3766" s="717">
        <v>6</v>
      </c>
      <c r="Z3766" s="717">
        <v>6</v>
      </c>
      <c r="AA3766" s="717">
        <v>6</v>
      </c>
      <c r="AB3766" s="717">
        <v>6</v>
      </c>
      <c r="AC3766" s="2930">
        <v>6</v>
      </c>
      <c r="AD3766" s="717">
        <v>6</v>
      </c>
      <c r="AE3766" s="2944"/>
      <c r="AF3766" s="717"/>
      <c r="AG3766" s="717"/>
      <c r="AH3766" s="156"/>
      <c r="AI3766" s="156"/>
      <c r="AJ3766" s="156"/>
      <c r="AK3766" s="156"/>
      <c r="AL3766" s="156"/>
      <c r="AM3766" s="156"/>
      <c r="AN3766" s="156"/>
      <c r="AO3766" s="156"/>
      <c r="AP3766" s="156"/>
      <c r="AQ3766" s="156"/>
      <c r="AR3766" s="156"/>
      <c r="AS3766" s="156"/>
      <c r="AT3766" s="156"/>
      <c r="AU3766" s="156"/>
      <c r="AV3766" s="156"/>
      <c r="AW3766" s="156"/>
      <c r="AX3766" s="156"/>
      <c r="AY3766" s="156"/>
      <c r="AZ3766" s="156"/>
      <c r="BA3766" s="156"/>
      <c r="BB3766" s="2828"/>
      <c r="BC3766" s="452"/>
      <c r="BD3766" s="2829"/>
      <c r="BE3766" s="2837"/>
      <c r="BF3766" s="156"/>
    </row>
    <row r="3767" spans="1:58" ht="15" customHeight="1" outlineLevel="1" x14ac:dyDescent="0.35">
      <c r="A3767" s="1071"/>
      <c r="B3767" s="2812"/>
      <c r="C3767" s="3077"/>
      <c r="D3767" s="3980"/>
      <c r="E3767" s="3883"/>
      <c r="F3767" s="4120" t="str">
        <f t="shared" si="415"/>
        <v>ASHP-SEER16-Replace_CAC_ElectricHeat_ER1_MF</v>
      </c>
      <c r="G3767" s="4121"/>
      <c r="H3767" s="4121"/>
      <c r="I3767" s="4122"/>
      <c r="J3767" s="3508" t="str">
        <f t="shared" si="416"/>
        <v>353000_2021_12_</v>
      </c>
      <c r="K3767" s="717">
        <v>6</v>
      </c>
      <c r="L3767" s="704"/>
      <c r="M3767" s="3020"/>
      <c r="N3767" s="106"/>
      <c r="O3767" s="106"/>
      <c r="P3767" s="106"/>
      <c r="Q3767" s="106"/>
      <c r="R3767" s="106"/>
      <c r="S3767" s="106"/>
      <c r="T3767" s="106"/>
      <c r="U3767" s="106"/>
      <c r="V3767" s="4129"/>
      <c r="W3767" s="717">
        <v>6</v>
      </c>
      <c r="X3767" s="717">
        <v>6</v>
      </c>
      <c r="Y3767" s="717">
        <v>6</v>
      </c>
      <c r="Z3767" s="717">
        <v>6</v>
      </c>
      <c r="AA3767" s="717">
        <v>6</v>
      </c>
      <c r="AB3767" s="717">
        <v>6</v>
      </c>
      <c r="AC3767" s="2930">
        <v>6</v>
      </c>
      <c r="AD3767" s="717">
        <v>6</v>
      </c>
      <c r="AE3767" s="2944"/>
      <c r="AF3767" s="717"/>
      <c r="AG3767" s="717"/>
      <c r="AH3767" s="156"/>
      <c r="AI3767" s="156"/>
      <c r="AJ3767" s="156"/>
      <c r="AK3767" s="156"/>
      <c r="AL3767" s="156"/>
      <c r="AM3767" s="156"/>
      <c r="AN3767" s="156"/>
      <c r="AO3767" s="156"/>
      <c r="AP3767" s="156"/>
      <c r="AQ3767" s="156"/>
      <c r="AR3767" s="156"/>
      <c r="AS3767" s="156"/>
      <c r="AT3767" s="156"/>
      <c r="AU3767" s="156"/>
      <c r="AV3767" s="156"/>
      <c r="AW3767" s="156"/>
      <c r="AX3767" s="156"/>
      <c r="AY3767" s="156"/>
      <c r="AZ3767" s="156"/>
      <c r="BA3767" s="156"/>
      <c r="BB3767" s="2828"/>
      <c r="BC3767" s="452"/>
      <c r="BD3767" s="2829"/>
      <c r="BE3767" s="2837"/>
      <c r="BF3767" s="156"/>
    </row>
    <row r="3768" spans="1:58" ht="15" customHeight="1" outlineLevel="1" x14ac:dyDescent="0.35">
      <c r="A3768" s="1071"/>
      <c r="B3768" s="2812"/>
      <c r="C3768" s="3077"/>
      <c r="D3768" s="3980"/>
      <c r="E3768" s="3883"/>
      <c r="F3768" s="4120" t="str">
        <f t="shared" si="415"/>
        <v>ASHP-SEER16-Replace_CAC_ElectricHeat_ER2_MF</v>
      </c>
      <c r="G3768" s="4121"/>
      <c r="H3768" s="4121"/>
      <c r="I3768" s="4122"/>
      <c r="J3768" s="3508" t="str">
        <f t="shared" si="416"/>
        <v>353000_2021_12_</v>
      </c>
      <c r="K3768" s="717">
        <v>12</v>
      </c>
      <c r="L3768" s="704"/>
      <c r="M3768" s="3020"/>
      <c r="N3768" s="106"/>
      <c r="O3768" s="106"/>
      <c r="P3768" s="106"/>
      <c r="Q3768" s="106"/>
      <c r="R3768" s="106"/>
      <c r="S3768" s="106"/>
      <c r="T3768" s="106"/>
      <c r="U3768" s="106"/>
      <c r="V3768" s="4129"/>
      <c r="W3768" s="717">
        <v>12</v>
      </c>
      <c r="X3768" s="717">
        <v>12</v>
      </c>
      <c r="Y3768" s="717">
        <v>12</v>
      </c>
      <c r="Z3768" s="717">
        <v>12</v>
      </c>
      <c r="AA3768" s="717">
        <v>12</v>
      </c>
      <c r="AB3768" s="717">
        <v>12</v>
      </c>
      <c r="AC3768" s="2930">
        <v>12</v>
      </c>
      <c r="AD3768" s="717">
        <v>12</v>
      </c>
      <c r="AE3768" s="2944"/>
      <c r="AF3768" s="717"/>
      <c r="AG3768" s="717"/>
      <c r="AH3768" s="156"/>
      <c r="AI3768" s="156"/>
      <c r="AJ3768" s="156"/>
      <c r="AK3768" s="156"/>
      <c r="AL3768" s="156"/>
      <c r="AM3768" s="156"/>
      <c r="AN3768" s="156"/>
      <c r="AO3768" s="156"/>
      <c r="AP3768" s="156"/>
      <c r="AQ3768" s="156"/>
      <c r="AR3768" s="156"/>
      <c r="AS3768" s="156"/>
      <c r="AT3768" s="156"/>
      <c r="AU3768" s="156"/>
      <c r="AV3768" s="156"/>
      <c r="AW3768" s="156"/>
      <c r="AX3768" s="156"/>
      <c r="AY3768" s="156"/>
      <c r="AZ3768" s="156"/>
      <c r="BA3768" s="156"/>
      <c r="BB3768" s="2828"/>
      <c r="BC3768" s="452"/>
      <c r="BD3768" s="2829"/>
      <c r="BE3768" s="2837"/>
      <c r="BF3768" s="156"/>
    </row>
    <row r="3769" spans="1:58" ht="15" customHeight="1" outlineLevel="1" x14ac:dyDescent="0.35">
      <c r="A3769" s="1664"/>
      <c r="B3769" s="2812"/>
      <c r="C3769" s="3077"/>
      <c r="D3769" s="3980"/>
      <c r="E3769" s="3883"/>
      <c r="F3769" s="4120" t="str">
        <f t="shared" si="415"/>
        <v>ASHP-SEER16-Replace_CAC_ElectricHeat_ER2_MF</v>
      </c>
      <c r="G3769" s="4121"/>
      <c r="H3769" s="4121"/>
      <c r="I3769" s="4122"/>
      <c r="J3769" s="3508" t="str">
        <f t="shared" si="416"/>
        <v>353000_2021_12_</v>
      </c>
      <c r="K3769" s="717">
        <v>12</v>
      </c>
      <c r="L3769" s="704"/>
      <c r="M3769" s="3020"/>
      <c r="N3769" s="106"/>
      <c r="O3769" s="106"/>
      <c r="P3769" s="702"/>
      <c r="Q3769" s="574"/>
      <c r="R3769" s="702"/>
      <c r="S3769" s="106"/>
      <c r="T3769" s="486"/>
      <c r="U3769" s="106"/>
      <c r="V3769" s="4129"/>
      <c r="W3769" s="717">
        <v>12</v>
      </c>
      <c r="X3769" s="717">
        <v>12</v>
      </c>
      <c r="Y3769" s="717">
        <v>12</v>
      </c>
      <c r="Z3769" s="717">
        <v>12</v>
      </c>
      <c r="AA3769" s="717">
        <v>12</v>
      </c>
      <c r="AB3769" s="717">
        <v>12</v>
      </c>
      <c r="AC3769" s="2930">
        <v>12</v>
      </c>
      <c r="AD3769" s="717">
        <v>12</v>
      </c>
      <c r="AE3769" s="2944"/>
      <c r="AF3769" s="717"/>
      <c r="AG3769" s="717"/>
      <c r="AH3769" s="156"/>
      <c r="AI3769" s="156"/>
      <c r="AJ3769" s="156"/>
      <c r="AK3769" s="156"/>
      <c r="AL3769" s="156"/>
      <c r="AM3769" s="156"/>
      <c r="AN3769" s="156"/>
      <c r="AO3769" s="156"/>
      <c r="AP3769" s="156"/>
      <c r="AQ3769" s="156"/>
      <c r="AR3769" s="156"/>
      <c r="AS3769" s="156"/>
      <c r="AT3769" s="156"/>
      <c r="AU3769" s="156"/>
      <c r="AV3769" s="156"/>
      <c r="AW3769" s="156"/>
      <c r="AX3769" s="156"/>
      <c r="AY3769" s="156"/>
      <c r="AZ3769" s="156"/>
      <c r="BA3769" s="156"/>
      <c r="BB3769" s="2828"/>
      <c r="BC3769" s="452"/>
      <c r="BD3769" s="2829"/>
      <c r="BE3769" s="2837"/>
      <c r="BF3769" s="156"/>
    </row>
    <row r="3770" spans="1:58" ht="15" customHeight="1" outlineLevel="1" x14ac:dyDescent="0.35">
      <c r="A3770" s="1664"/>
      <c r="B3770" s="2812"/>
      <c r="C3770" s="3077"/>
      <c r="D3770" s="3980"/>
      <c r="E3770" s="3883"/>
      <c r="F3770" s="4120" t="str">
        <f t="shared" si="415"/>
        <v>ASHP-SEER16-Replace_CAC_ElectricHeat_ER1_MF_CompE</v>
      </c>
      <c r="G3770" s="4121"/>
      <c r="H3770" s="4121"/>
      <c r="I3770" s="4122"/>
      <c r="J3770" s="3508" t="str">
        <f t="shared" si="416"/>
        <v>353001_2021_12_</v>
      </c>
      <c r="K3770" s="717">
        <v>6</v>
      </c>
      <c r="L3770" s="704"/>
      <c r="M3770" s="3020"/>
      <c r="N3770" s="106"/>
      <c r="O3770" s="106"/>
      <c r="P3770" s="702"/>
      <c r="Q3770" s="574"/>
      <c r="R3770" s="702"/>
      <c r="S3770" s="106"/>
      <c r="T3770" s="486"/>
      <c r="U3770" s="106"/>
      <c r="V3770" s="4129"/>
      <c r="W3770" s="717"/>
      <c r="X3770" s="717"/>
      <c r="Y3770" s="717"/>
      <c r="Z3770" s="717"/>
      <c r="AA3770" s="717"/>
      <c r="AB3770" s="717"/>
      <c r="AC3770" s="2932">
        <v>6</v>
      </c>
      <c r="AD3770" s="717">
        <v>6</v>
      </c>
      <c r="AE3770" s="2944"/>
      <c r="AF3770" s="717"/>
      <c r="AG3770" s="717"/>
      <c r="AH3770" s="156"/>
      <c r="AI3770" s="156"/>
      <c r="AJ3770" s="156"/>
      <c r="AK3770" s="156"/>
      <c r="AL3770" s="156"/>
      <c r="AM3770" s="156"/>
      <c r="AN3770" s="156"/>
      <c r="AO3770" s="156"/>
      <c r="AP3770" s="156"/>
      <c r="AQ3770" s="156"/>
      <c r="AR3770" s="156"/>
      <c r="AS3770" s="156"/>
      <c r="AT3770" s="156"/>
      <c r="AU3770" s="156"/>
      <c r="AV3770" s="156"/>
      <c r="AW3770" s="156"/>
      <c r="AX3770" s="156"/>
      <c r="AY3770" s="156"/>
      <c r="AZ3770" s="156"/>
      <c r="BA3770" s="156"/>
      <c r="BB3770" s="2828"/>
      <c r="BC3770" s="452"/>
      <c r="BD3770" s="2829"/>
      <c r="BE3770" s="2837"/>
      <c r="BF3770" s="156"/>
    </row>
    <row r="3771" spans="1:58" ht="15" customHeight="1" outlineLevel="1" x14ac:dyDescent="0.35">
      <c r="A3771" s="1664"/>
      <c r="B3771" s="2812"/>
      <c r="C3771" s="3077"/>
      <c r="D3771" s="3980"/>
      <c r="E3771" s="3883"/>
      <c r="F3771" s="4120" t="str">
        <f t="shared" si="415"/>
        <v>ASHP-SEER16-Replace_CAC_ElectricHeat_ER1_MF_CompE</v>
      </c>
      <c r="G3771" s="4121"/>
      <c r="H3771" s="4121"/>
      <c r="I3771" s="4122"/>
      <c r="J3771" s="3508" t="str">
        <f t="shared" si="416"/>
        <v>353001_2021_12_</v>
      </c>
      <c r="K3771" s="717">
        <v>6</v>
      </c>
      <c r="L3771" s="704"/>
      <c r="M3771" s="3020"/>
      <c r="N3771" s="106"/>
      <c r="O3771" s="106"/>
      <c r="P3771" s="702"/>
      <c r="Q3771" s="574"/>
      <c r="R3771" s="702"/>
      <c r="S3771" s="106"/>
      <c r="T3771" s="486"/>
      <c r="U3771" s="106"/>
      <c r="V3771" s="4129"/>
      <c r="W3771" s="717"/>
      <c r="X3771" s="717"/>
      <c r="Y3771" s="717"/>
      <c r="Z3771" s="717"/>
      <c r="AA3771" s="717"/>
      <c r="AB3771" s="717"/>
      <c r="AC3771" s="2932">
        <v>6</v>
      </c>
      <c r="AD3771" s="717">
        <v>6</v>
      </c>
      <c r="AE3771" s="2944"/>
      <c r="AF3771" s="717"/>
      <c r="AG3771" s="717"/>
      <c r="AH3771" s="156"/>
      <c r="AI3771" s="156"/>
      <c r="AJ3771" s="156"/>
      <c r="AK3771" s="156"/>
      <c r="AL3771" s="156"/>
      <c r="AM3771" s="156"/>
      <c r="AN3771" s="156"/>
      <c r="AO3771" s="156"/>
      <c r="AP3771" s="156"/>
      <c r="AQ3771" s="156"/>
      <c r="AR3771" s="156"/>
      <c r="AS3771" s="156"/>
      <c r="AT3771" s="156"/>
      <c r="AU3771" s="156"/>
      <c r="AV3771" s="156"/>
      <c r="AW3771" s="156"/>
      <c r="AX3771" s="156"/>
      <c r="AY3771" s="156"/>
      <c r="AZ3771" s="156"/>
      <c r="BA3771" s="156"/>
      <c r="BB3771" s="2828"/>
      <c r="BC3771" s="452"/>
      <c r="BD3771" s="2829"/>
      <c r="BE3771" s="2837"/>
      <c r="BF3771" s="156"/>
    </row>
    <row r="3772" spans="1:58" ht="15" customHeight="1" outlineLevel="1" x14ac:dyDescent="0.35">
      <c r="A3772" s="1664"/>
      <c r="B3772" s="2812"/>
      <c r="C3772" s="3077"/>
      <c r="D3772" s="3980"/>
      <c r="E3772" s="3883"/>
      <c r="F3772" s="4120" t="str">
        <f t="shared" si="415"/>
        <v>ASHP-SEER16-Replace_CAC_ElectricHeat_ER2_MF_CompE</v>
      </c>
      <c r="G3772" s="4121"/>
      <c r="H3772" s="4121"/>
      <c r="I3772" s="4122"/>
      <c r="J3772" s="3508" t="str">
        <f t="shared" si="416"/>
        <v>353001_2021_12_</v>
      </c>
      <c r="K3772" s="717">
        <v>12</v>
      </c>
      <c r="L3772" s="704"/>
      <c r="M3772" s="3020"/>
      <c r="N3772" s="106"/>
      <c r="O3772" s="106"/>
      <c r="P3772" s="702"/>
      <c r="Q3772" s="574"/>
      <c r="R3772" s="702"/>
      <c r="S3772" s="106"/>
      <c r="T3772" s="486"/>
      <c r="U3772" s="106"/>
      <c r="V3772" s="4129"/>
      <c r="W3772" s="717"/>
      <c r="X3772" s="717"/>
      <c r="Y3772" s="717"/>
      <c r="Z3772" s="717"/>
      <c r="AA3772" s="717"/>
      <c r="AB3772" s="717"/>
      <c r="AC3772" s="2932">
        <v>12</v>
      </c>
      <c r="AD3772" s="717">
        <v>12</v>
      </c>
      <c r="AE3772" s="2944"/>
      <c r="AF3772" s="717"/>
      <c r="AG3772" s="717"/>
      <c r="AH3772" s="156"/>
      <c r="AI3772" s="156"/>
      <c r="AJ3772" s="156"/>
      <c r="AK3772" s="156"/>
      <c r="AL3772" s="156"/>
      <c r="AM3772" s="156"/>
      <c r="AN3772" s="156"/>
      <c r="AO3772" s="156"/>
      <c r="AP3772" s="156"/>
      <c r="AQ3772" s="156"/>
      <c r="AR3772" s="156"/>
      <c r="AS3772" s="156"/>
      <c r="AT3772" s="156"/>
      <c r="AU3772" s="156"/>
      <c r="AV3772" s="156"/>
      <c r="AW3772" s="156"/>
      <c r="AX3772" s="156"/>
      <c r="AY3772" s="156"/>
      <c r="AZ3772" s="156"/>
      <c r="BA3772" s="156"/>
      <c r="BB3772" s="2828"/>
      <c r="BC3772" s="452"/>
      <c r="BD3772" s="2829"/>
      <c r="BE3772" s="2837"/>
      <c r="BF3772" s="156"/>
    </row>
    <row r="3773" spans="1:58" ht="15" customHeight="1" outlineLevel="1" x14ac:dyDescent="0.35">
      <c r="A3773" s="1664"/>
      <c r="B3773" s="2812"/>
      <c r="C3773" s="3077"/>
      <c r="D3773" s="3980"/>
      <c r="E3773" s="3883"/>
      <c r="F3773" s="4120" t="str">
        <f t="shared" si="415"/>
        <v>ASHP-SEER16-Replace_CAC_ElectricHeat_ER2_MF_CompE</v>
      </c>
      <c r="G3773" s="4121"/>
      <c r="H3773" s="4121"/>
      <c r="I3773" s="4122"/>
      <c r="J3773" s="3508" t="str">
        <f t="shared" si="416"/>
        <v>353001_2021_12_</v>
      </c>
      <c r="K3773" s="717">
        <v>12</v>
      </c>
      <c r="L3773" s="704"/>
      <c r="M3773" s="3020"/>
      <c r="N3773" s="106"/>
      <c r="O3773" s="106"/>
      <c r="P3773" s="702"/>
      <c r="Q3773" s="574"/>
      <c r="R3773" s="702"/>
      <c r="S3773" s="106"/>
      <c r="T3773" s="486"/>
      <c r="U3773" s="106"/>
      <c r="V3773" s="4129"/>
      <c r="W3773" s="717"/>
      <c r="X3773" s="717"/>
      <c r="Y3773" s="717"/>
      <c r="Z3773" s="717"/>
      <c r="AA3773" s="717"/>
      <c r="AB3773" s="717"/>
      <c r="AC3773" s="2932">
        <v>12</v>
      </c>
      <c r="AD3773" s="717">
        <v>12</v>
      </c>
      <c r="AE3773" s="2944"/>
      <c r="AF3773" s="717"/>
      <c r="AG3773" s="717"/>
      <c r="AH3773" s="156"/>
      <c r="AI3773" s="156"/>
      <c r="AJ3773" s="156"/>
      <c r="AK3773" s="156"/>
      <c r="AL3773" s="156"/>
      <c r="AM3773" s="156"/>
      <c r="AN3773" s="156"/>
      <c r="AO3773" s="156"/>
      <c r="AP3773" s="156"/>
      <c r="AQ3773" s="156"/>
      <c r="AR3773" s="156"/>
      <c r="AS3773" s="156"/>
      <c r="AT3773" s="156"/>
      <c r="AU3773" s="156"/>
      <c r="AV3773" s="156"/>
      <c r="AW3773" s="156"/>
      <c r="AX3773" s="156"/>
      <c r="AY3773" s="156"/>
      <c r="AZ3773" s="156"/>
      <c r="BA3773" s="156"/>
      <c r="BB3773" s="2828"/>
      <c r="BC3773" s="452"/>
      <c r="BD3773" s="2829"/>
      <c r="BE3773" s="2837"/>
      <c r="BF3773" s="156"/>
    </row>
    <row r="3774" spans="1:58" ht="15" customHeight="1" outlineLevel="1" x14ac:dyDescent="0.35">
      <c r="A3774" s="1664"/>
      <c r="B3774" s="2812"/>
      <c r="C3774" s="3077"/>
      <c r="D3774" s="3980"/>
      <c r="E3774" s="3883"/>
      <c r="F3774" s="4120" t="str">
        <f t="shared" ref="F3774:F3787" si="417">E1630</f>
        <v>ASHP-SEER16-Replace_CAC_NonElectricHeat_ER1_MF</v>
      </c>
      <c r="G3774" s="4121"/>
      <c r="H3774" s="4121"/>
      <c r="I3774" s="4122"/>
      <c r="J3774" s="3508" t="str">
        <f t="shared" ref="J3774:J3787" si="418">C1630</f>
        <v>353010_2021_12_</v>
      </c>
      <c r="K3774" s="717">
        <v>6</v>
      </c>
      <c r="L3774" s="704"/>
      <c r="M3774" s="3020"/>
      <c r="N3774" s="106"/>
      <c r="O3774" s="106"/>
      <c r="P3774" s="702"/>
      <c r="Q3774" s="574"/>
      <c r="R3774" s="702"/>
      <c r="S3774" s="106"/>
      <c r="T3774" s="486"/>
      <c r="U3774" s="106"/>
      <c r="V3774" s="4129"/>
      <c r="W3774" s="717"/>
      <c r="X3774" s="717"/>
      <c r="Y3774" s="717"/>
      <c r="Z3774" s="717"/>
      <c r="AA3774" s="717"/>
      <c r="AB3774" s="717"/>
      <c r="AC3774" s="2932">
        <v>6</v>
      </c>
      <c r="AD3774" s="717">
        <v>6</v>
      </c>
      <c r="AE3774" s="2944"/>
      <c r="AF3774" s="717"/>
      <c r="AG3774" s="717"/>
      <c r="AH3774" s="156"/>
      <c r="AI3774" s="156"/>
      <c r="AJ3774" s="156"/>
      <c r="AK3774" s="156"/>
      <c r="AL3774" s="156"/>
      <c r="AM3774" s="156"/>
      <c r="AN3774" s="156"/>
      <c r="AO3774" s="156"/>
      <c r="AP3774" s="156"/>
      <c r="AQ3774" s="156"/>
      <c r="AR3774" s="156"/>
      <c r="AS3774" s="156"/>
      <c r="AT3774" s="156"/>
      <c r="AU3774" s="156"/>
      <c r="AV3774" s="156"/>
      <c r="AW3774" s="156"/>
      <c r="AX3774" s="156"/>
      <c r="AY3774" s="156"/>
      <c r="AZ3774" s="156"/>
      <c r="BA3774" s="156"/>
      <c r="BB3774" s="2828"/>
      <c r="BC3774" s="452"/>
      <c r="BD3774" s="2829"/>
      <c r="BE3774" s="2837"/>
      <c r="BF3774" s="156"/>
    </row>
    <row r="3775" spans="1:58" ht="15" customHeight="1" outlineLevel="1" x14ac:dyDescent="0.35">
      <c r="A3775" s="1664"/>
      <c r="B3775" s="2812"/>
      <c r="C3775" s="3077"/>
      <c r="D3775" s="3980"/>
      <c r="E3775" s="3883"/>
      <c r="F3775" s="4120" t="str">
        <f t="shared" si="417"/>
        <v>ASHP-SEER16-Replace_CAC_NonElectricHeat_ER1_MF</v>
      </c>
      <c r="G3775" s="4121"/>
      <c r="H3775" s="4121"/>
      <c r="I3775" s="4122"/>
      <c r="J3775" s="3508" t="str">
        <f t="shared" si="418"/>
        <v>353010_2021_12_</v>
      </c>
      <c r="K3775" s="717">
        <v>6</v>
      </c>
      <c r="L3775" s="704"/>
      <c r="M3775" s="3020"/>
      <c r="N3775" s="106"/>
      <c r="O3775" s="106"/>
      <c r="P3775" s="702"/>
      <c r="Q3775" s="574"/>
      <c r="R3775" s="702"/>
      <c r="S3775" s="106"/>
      <c r="T3775" s="486"/>
      <c r="U3775" s="106"/>
      <c r="V3775" s="4129"/>
      <c r="W3775" s="717"/>
      <c r="X3775" s="717"/>
      <c r="Y3775" s="717"/>
      <c r="Z3775" s="717"/>
      <c r="AA3775" s="717"/>
      <c r="AB3775" s="717"/>
      <c r="AC3775" s="2932">
        <v>6</v>
      </c>
      <c r="AD3775" s="717">
        <v>6</v>
      </c>
      <c r="AE3775" s="2944"/>
      <c r="AF3775" s="717"/>
      <c r="AG3775" s="717"/>
      <c r="AH3775" s="156"/>
      <c r="AI3775" s="156"/>
      <c r="AJ3775" s="156"/>
      <c r="AK3775" s="156"/>
      <c r="AL3775" s="156"/>
      <c r="AM3775" s="156"/>
      <c r="AN3775" s="156"/>
      <c r="AO3775" s="156"/>
      <c r="AP3775" s="156"/>
      <c r="AQ3775" s="156"/>
      <c r="AR3775" s="156"/>
      <c r="AS3775" s="156"/>
      <c r="AT3775" s="156"/>
      <c r="AU3775" s="156"/>
      <c r="AV3775" s="156"/>
      <c r="AW3775" s="156"/>
      <c r="AX3775" s="156"/>
      <c r="AY3775" s="156"/>
      <c r="AZ3775" s="156"/>
      <c r="BA3775" s="156"/>
      <c r="BB3775" s="2828"/>
      <c r="BC3775" s="452"/>
      <c r="BD3775" s="2829"/>
      <c r="BE3775" s="2837"/>
      <c r="BF3775" s="156"/>
    </row>
    <row r="3776" spans="1:58" ht="15" customHeight="1" outlineLevel="1" x14ac:dyDescent="0.35">
      <c r="A3776" s="1664"/>
      <c r="B3776" s="2812"/>
      <c r="C3776" s="3077"/>
      <c r="D3776" s="3980"/>
      <c r="E3776" s="3883"/>
      <c r="F3776" s="4120" t="str">
        <f t="shared" si="417"/>
        <v>ASHP-SEER16-Replace_CAC_NonElectricHeat_ER2_MF</v>
      </c>
      <c r="G3776" s="4121"/>
      <c r="H3776" s="4121"/>
      <c r="I3776" s="4122"/>
      <c r="J3776" s="3508" t="str">
        <f t="shared" si="418"/>
        <v>353010_2021_12_</v>
      </c>
      <c r="K3776" s="717">
        <v>12</v>
      </c>
      <c r="L3776" s="704"/>
      <c r="M3776" s="3020"/>
      <c r="N3776" s="106"/>
      <c r="O3776" s="106"/>
      <c r="P3776" s="702"/>
      <c r="Q3776" s="574"/>
      <c r="R3776" s="702"/>
      <c r="S3776" s="106"/>
      <c r="T3776" s="486"/>
      <c r="U3776" s="106"/>
      <c r="V3776" s="4129"/>
      <c r="W3776" s="717"/>
      <c r="X3776" s="717"/>
      <c r="Y3776" s="717"/>
      <c r="Z3776" s="717"/>
      <c r="AA3776" s="717"/>
      <c r="AB3776" s="717"/>
      <c r="AC3776" s="2932">
        <v>12</v>
      </c>
      <c r="AD3776" s="717">
        <v>12</v>
      </c>
      <c r="AE3776" s="2944"/>
      <c r="AF3776" s="717"/>
      <c r="AG3776" s="717"/>
      <c r="AH3776" s="156"/>
      <c r="AI3776" s="156"/>
      <c r="AJ3776" s="156"/>
      <c r="AK3776" s="156"/>
      <c r="AL3776" s="156"/>
      <c r="AM3776" s="156"/>
      <c r="AN3776" s="156"/>
      <c r="AO3776" s="156"/>
      <c r="AP3776" s="156"/>
      <c r="AQ3776" s="156"/>
      <c r="AR3776" s="156"/>
      <c r="AS3776" s="156"/>
      <c r="AT3776" s="156"/>
      <c r="AU3776" s="156"/>
      <c r="AV3776" s="156"/>
      <c r="AW3776" s="156"/>
      <c r="AX3776" s="156"/>
      <c r="AY3776" s="156"/>
      <c r="AZ3776" s="156"/>
      <c r="BA3776" s="156"/>
      <c r="BB3776" s="2828"/>
      <c r="BC3776" s="452"/>
      <c r="BD3776" s="2829"/>
      <c r="BE3776" s="2837"/>
      <c r="BF3776" s="156"/>
    </row>
    <row r="3777" spans="1:58" ht="15" customHeight="1" outlineLevel="1" x14ac:dyDescent="0.35">
      <c r="A3777" s="1664"/>
      <c r="B3777" s="2812"/>
      <c r="C3777" s="3077"/>
      <c r="D3777" s="3980"/>
      <c r="E3777" s="3883"/>
      <c r="F3777" s="4120" t="str">
        <f t="shared" si="417"/>
        <v>ASHP-SEER16-Replace_CAC_NonElectricHeat_ER2_MF</v>
      </c>
      <c r="G3777" s="4121"/>
      <c r="H3777" s="4121"/>
      <c r="I3777" s="4122"/>
      <c r="J3777" s="3508" t="str">
        <f t="shared" si="418"/>
        <v>353010_2021_12_</v>
      </c>
      <c r="K3777" s="717">
        <v>12</v>
      </c>
      <c r="L3777" s="704"/>
      <c r="M3777" s="3020"/>
      <c r="N3777" s="106"/>
      <c r="O3777" s="106"/>
      <c r="P3777" s="702"/>
      <c r="Q3777" s="574"/>
      <c r="R3777" s="702"/>
      <c r="S3777" s="106"/>
      <c r="T3777" s="486"/>
      <c r="U3777" s="106"/>
      <c r="V3777" s="4129"/>
      <c r="W3777" s="717"/>
      <c r="X3777" s="717"/>
      <c r="Y3777" s="717"/>
      <c r="Z3777" s="717"/>
      <c r="AA3777" s="717"/>
      <c r="AB3777" s="717"/>
      <c r="AC3777" s="2932">
        <v>12</v>
      </c>
      <c r="AD3777" s="717">
        <v>12</v>
      </c>
      <c r="AE3777" s="2944"/>
      <c r="AF3777" s="717"/>
      <c r="AG3777" s="717"/>
      <c r="AH3777" s="156"/>
      <c r="AI3777" s="156"/>
      <c r="AJ3777" s="156"/>
      <c r="AK3777" s="156"/>
      <c r="AL3777" s="156"/>
      <c r="AM3777" s="156"/>
      <c r="AN3777" s="156"/>
      <c r="AO3777" s="156"/>
      <c r="AP3777" s="156"/>
      <c r="AQ3777" s="156"/>
      <c r="AR3777" s="156"/>
      <c r="AS3777" s="156"/>
      <c r="AT3777" s="156"/>
      <c r="AU3777" s="156"/>
      <c r="AV3777" s="156"/>
      <c r="AW3777" s="156"/>
      <c r="AX3777" s="156"/>
      <c r="AY3777" s="156"/>
      <c r="AZ3777" s="156"/>
      <c r="BA3777" s="156"/>
      <c r="BB3777" s="2828"/>
      <c r="BC3777" s="452"/>
      <c r="BD3777" s="2829"/>
      <c r="BE3777" s="2837"/>
      <c r="BF3777" s="156"/>
    </row>
    <row r="3778" spans="1:58" ht="15" customHeight="1" outlineLevel="1" x14ac:dyDescent="0.35">
      <c r="A3778" s="1664"/>
      <c r="B3778" s="2812"/>
      <c r="C3778" s="3077"/>
      <c r="D3778" s="3980"/>
      <c r="E3778" s="3883"/>
      <c r="F3778" s="4120" t="str">
        <f t="shared" si="417"/>
        <v>ASHP-SEER16-Replace_CAC_NonElectricHeat_ER1_MF_CompE</v>
      </c>
      <c r="G3778" s="4121"/>
      <c r="H3778" s="4121"/>
      <c r="I3778" s="4122"/>
      <c r="J3778" s="3508" t="str">
        <f t="shared" si="418"/>
        <v>353011_2021_12_</v>
      </c>
      <c r="K3778" s="717">
        <v>6</v>
      </c>
      <c r="L3778" s="704"/>
      <c r="M3778" s="3020"/>
      <c r="N3778" s="106"/>
      <c r="O3778" s="106"/>
      <c r="P3778" s="702"/>
      <c r="Q3778" s="574"/>
      <c r="R3778" s="702"/>
      <c r="S3778" s="106"/>
      <c r="T3778" s="486"/>
      <c r="U3778" s="106"/>
      <c r="V3778" s="4129"/>
      <c r="W3778" s="717"/>
      <c r="X3778" s="717"/>
      <c r="Y3778" s="717"/>
      <c r="Z3778" s="717"/>
      <c r="AA3778" s="717"/>
      <c r="AB3778" s="717"/>
      <c r="AC3778" s="2932">
        <v>6</v>
      </c>
      <c r="AD3778" s="717">
        <v>6</v>
      </c>
      <c r="AE3778" s="2944"/>
      <c r="AF3778" s="717"/>
      <c r="AG3778" s="717"/>
      <c r="AH3778" s="156"/>
      <c r="AI3778" s="156"/>
      <c r="AJ3778" s="156"/>
      <c r="AK3778" s="156"/>
      <c r="AL3778" s="156"/>
      <c r="AM3778" s="156"/>
      <c r="AN3778" s="156"/>
      <c r="AO3778" s="156"/>
      <c r="AP3778" s="156"/>
      <c r="AQ3778" s="156"/>
      <c r="AR3778" s="156"/>
      <c r="AS3778" s="156"/>
      <c r="AT3778" s="156"/>
      <c r="AU3778" s="156"/>
      <c r="AV3778" s="156"/>
      <c r="AW3778" s="156"/>
      <c r="AX3778" s="156"/>
      <c r="AY3778" s="156"/>
      <c r="AZ3778" s="156"/>
      <c r="BA3778" s="156"/>
      <c r="BB3778" s="2828"/>
      <c r="BC3778" s="452"/>
      <c r="BD3778" s="2829"/>
      <c r="BE3778" s="2837"/>
      <c r="BF3778" s="156"/>
    </row>
    <row r="3779" spans="1:58" ht="15" customHeight="1" outlineLevel="1" x14ac:dyDescent="0.35">
      <c r="A3779" s="1664"/>
      <c r="B3779" s="2812"/>
      <c r="C3779" s="3077"/>
      <c r="D3779" s="3980"/>
      <c r="E3779" s="3883"/>
      <c r="F3779" s="4120" t="str">
        <f t="shared" si="417"/>
        <v>ASHP-SEER16-Replace_CAC_NonElectricHeat_ER1_MF_CompE</v>
      </c>
      <c r="G3779" s="4121"/>
      <c r="H3779" s="4121"/>
      <c r="I3779" s="4122"/>
      <c r="J3779" s="3508" t="str">
        <f t="shared" si="418"/>
        <v>353011_2021_12_</v>
      </c>
      <c r="K3779" s="717">
        <v>6</v>
      </c>
      <c r="L3779" s="704"/>
      <c r="M3779" s="3020"/>
      <c r="N3779" s="106"/>
      <c r="O3779" s="106"/>
      <c r="P3779" s="702"/>
      <c r="Q3779" s="574"/>
      <c r="R3779" s="702"/>
      <c r="S3779" s="106"/>
      <c r="T3779" s="486"/>
      <c r="U3779" s="106"/>
      <c r="V3779" s="4129"/>
      <c r="W3779" s="717"/>
      <c r="X3779" s="717"/>
      <c r="Y3779" s="717"/>
      <c r="Z3779" s="717"/>
      <c r="AA3779" s="717"/>
      <c r="AB3779" s="717"/>
      <c r="AC3779" s="2932">
        <v>6</v>
      </c>
      <c r="AD3779" s="717">
        <v>6</v>
      </c>
      <c r="AE3779" s="2944"/>
      <c r="AF3779" s="717"/>
      <c r="AG3779" s="717"/>
      <c r="AH3779" s="156"/>
      <c r="AI3779" s="156"/>
      <c r="AJ3779" s="156"/>
      <c r="AK3779" s="156"/>
      <c r="AL3779" s="156"/>
      <c r="AM3779" s="156"/>
      <c r="AN3779" s="156"/>
      <c r="AO3779" s="156"/>
      <c r="AP3779" s="156"/>
      <c r="AQ3779" s="156"/>
      <c r="AR3779" s="156"/>
      <c r="AS3779" s="156"/>
      <c r="AT3779" s="156"/>
      <c r="AU3779" s="156"/>
      <c r="AV3779" s="156"/>
      <c r="AW3779" s="156"/>
      <c r="AX3779" s="156"/>
      <c r="AY3779" s="156"/>
      <c r="AZ3779" s="156"/>
      <c r="BA3779" s="156"/>
      <c r="BB3779" s="2828"/>
      <c r="BC3779" s="452"/>
      <c r="BD3779" s="2829"/>
      <c r="BE3779" s="2837"/>
      <c r="BF3779" s="156"/>
    </row>
    <row r="3780" spans="1:58" ht="15" customHeight="1" outlineLevel="1" x14ac:dyDescent="0.35">
      <c r="A3780" s="1664"/>
      <c r="B3780" s="2812"/>
      <c r="C3780" s="3077"/>
      <c r="D3780" s="3980"/>
      <c r="E3780" s="3883"/>
      <c r="F3780" s="4120" t="str">
        <f t="shared" si="417"/>
        <v>ASHP-SEER16-Replace_CAC_NonElectricHeat_ER2_MF_CompE</v>
      </c>
      <c r="G3780" s="4121"/>
      <c r="H3780" s="4121"/>
      <c r="I3780" s="4122"/>
      <c r="J3780" s="3508" t="str">
        <f t="shared" si="418"/>
        <v>353011_2021_12_</v>
      </c>
      <c r="K3780" s="717">
        <v>12</v>
      </c>
      <c r="L3780" s="704"/>
      <c r="M3780" s="3020"/>
      <c r="N3780" s="106"/>
      <c r="O3780" s="106"/>
      <c r="P3780" s="702"/>
      <c r="Q3780" s="574"/>
      <c r="R3780" s="702"/>
      <c r="S3780" s="106"/>
      <c r="T3780" s="486"/>
      <c r="U3780" s="106"/>
      <c r="V3780" s="4129"/>
      <c r="W3780" s="717"/>
      <c r="X3780" s="717"/>
      <c r="Y3780" s="717"/>
      <c r="Z3780" s="717"/>
      <c r="AA3780" s="717"/>
      <c r="AB3780" s="717"/>
      <c r="AC3780" s="2932">
        <v>12</v>
      </c>
      <c r="AD3780" s="717">
        <v>12</v>
      </c>
      <c r="AE3780" s="2944"/>
      <c r="AF3780" s="717"/>
      <c r="AG3780" s="717"/>
      <c r="AH3780" s="156"/>
      <c r="AI3780" s="156"/>
      <c r="AJ3780" s="156"/>
      <c r="AK3780" s="156"/>
      <c r="AL3780" s="156"/>
      <c r="AM3780" s="156"/>
      <c r="AN3780" s="156"/>
      <c r="AO3780" s="156"/>
      <c r="AP3780" s="156"/>
      <c r="AQ3780" s="156"/>
      <c r="AR3780" s="156"/>
      <c r="AS3780" s="156"/>
      <c r="AT3780" s="156"/>
      <c r="AU3780" s="156"/>
      <c r="AV3780" s="156"/>
      <c r="AW3780" s="156"/>
      <c r="AX3780" s="156"/>
      <c r="AY3780" s="156"/>
      <c r="AZ3780" s="156"/>
      <c r="BA3780" s="156"/>
      <c r="BB3780" s="2828"/>
      <c r="BC3780" s="452"/>
      <c r="BD3780" s="2829"/>
      <c r="BE3780" s="2837"/>
      <c r="BF3780" s="156"/>
    </row>
    <row r="3781" spans="1:58" ht="15" customHeight="1" outlineLevel="1" x14ac:dyDescent="0.35">
      <c r="A3781" s="1664"/>
      <c r="B3781" s="2812"/>
      <c r="C3781" s="3077"/>
      <c r="D3781" s="3980"/>
      <c r="E3781" s="3883"/>
      <c r="F3781" s="4120" t="str">
        <f t="shared" si="417"/>
        <v>ASHP-SEER16-Replace_CAC_NonElectricHeat_ER2_MF_CompE</v>
      </c>
      <c r="G3781" s="4121"/>
      <c r="H3781" s="4121"/>
      <c r="I3781" s="4122"/>
      <c r="J3781" s="3508" t="str">
        <f t="shared" si="418"/>
        <v>353011_2021_12_</v>
      </c>
      <c r="K3781" s="717">
        <v>12</v>
      </c>
      <c r="L3781" s="704"/>
      <c r="M3781" s="3020"/>
      <c r="N3781" s="106"/>
      <c r="O3781" s="106"/>
      <c r="P3781" s="702"/>
      <c r="Q3781" s="574"/>
      <c r="R3781" s="702"/>
      <c r="S3781" s="106"/>
      <c r="T3781" s="486"/>
      <c r="U3781" s="106"/>
      <c r="V3781" s="4129"/>
      <c r="W3781" s="717"/>
      <c r="X3781" s="717"/>
      <c r="Y3781" s="717"/>
      <c r="Z3781" s="717"/>
      <c r="AA3781" s="717"/>
      <c r="AB3781" s="717"/>
      <c r="AC3781" s="2932">
        <v>12</v>
      </c>
      <c r="AD3781" s="717">
        <v>12</v>
      </c>
      <c r="AE3781" s="2944"/>
      <c r="AF3781" s="717"/>
      <c r="AG3781" s="717"/>
      <c r="AH3781" s="156"/>
      <c r="AI3781" s="156"/>
      <c r="AJ3781" s="156"/>
      <c r="AK3781" s="156"/>
      <c r="AL3781" s="156"/>
      <c r="AM3781" s="156"/>
      <c r="AN3781" s="156"/>
      <c r="AO3781" s="156"/>
      <c r="AP3781" s="156"/>
      <c r="AQ3781" s="156"/>
      <c r="AR3781" s="156"/>
      <c r="AS3781" s="156"/>
      <c r="AT3781" s="156"/>
      <c r="AU3781" s="156"/>
      <c r="AV3781" s="156"/>
      <c r="AW3781" s="156"/>
      <c r="AX3781" s="156"/>
      <c r="AY3781" s="156"/>
      <c r="AZ3781" s="156"/>
      <c r="BA3781" s="156"/>
      <c r="BB3781" s="2828"/>
      <c r="BC3781" s="452"/>
      <c r="BD3781" s="2829"/>
      <c r="BE3781" s="2837"/>
      <c r="BF3781" s="156"/>
    </row>
    <row r="3782" spans="1:58" ht="15" customHeight="1" outlineLevel="1" x14ac:dyDescent="0.35">
      <c r="A3782" s="1664"/>
      <c r="B3782" s="2812"/>
      <c r="C3782" s="3077"/>
      <c r="D3782" s="3980"/>
      <c r="E3782" s="3883"/>
      <c r="F3782" s="4120" t="str">
        <f t="shared" si="417"/>
        <v>ASHP-SEER15_ROF_MF</v>
      </c>
      <c r="G3782" s="4121"/>
      <c r="H3782" s="4121"/>
      <c r="I3782" s="4122"/>
      <c r="J3782" s="3508" t="str">
        <f t="shared" si="418"/>
        <v>353050_2021_12_</v>
      </c>
      <c r="K3782" s="717">
        <v>18</v>
      </c>
      <c r="L3782" s="704"/>
      <c r="M3782" s="3020"/>
      <c r="N3782" s="106"/>
      <c r="O3782" s="106"/>
      <c r="P3782" s="702"/>
      <c r="Q3782" s="574"/>
      <c r="R3782" s="702"/>
      <c r="S3782" s="106"/>
      <c r="T3782" s="486"/>
      <c r="U3782" s="106"/>
      <c r="V3782" s="4129"/>
      <c r="W3782" s="717">
        <v>18</v>
      </c>
      <c r="X3782" s="717">
        <v>18</v>
      </c>
      <c r="Y3782" s="717">
        <v>18</v>
      </c>
      <c r="Z3782" s="717">
        <v>18</v>
      </c>
      <c r="AA3782" s="717">
        <v>18</v>
      </c>
      <c r="AB3782" s="717">
        <v>18</v>
      </c>
      <c r="AC3782" s="2930">
        <v>18</v>
      </c>
      <c r="AD3782" s="717">
        <v>18</v>
      </c>
      <c r="AE3782" s="2944"/>
      <c r="AF3782" s="717"/>
      <c r="AG3782" s="717"/>
      <c r="AH3782" s="156"/>
      <c r="AI3782" s="156"/>
      <c r="AJ3782" s="156"/>
      <c r="AK3782" s="156"/>
      <c r="AL3782" s="156"/>
      <c r="AM3782" s="156"/>
      <c r="AN3782" s="156"/>
      <c r="AO3782" s="156"/>
      <c r="AP3782" s="156"/>
      <c r="AQ3782" s="156"/>
      <c r="AR3782" s="156"/>
      <c r="AS3782" s="156"/>
      <c r="AT3782" s="156"/>
      <c r="AU3782" s="156"/>
      <c r="AV3782" s="156"/>
      <c r="AW3782" s="156"/>
      <c r="AX3782" s="156"/>
      <c r="AY3782" s="156"/>
      <c r="AZ3782" s="156"/>
      <c r="BA3782" s="156"/>
      <c r="BB3782" s="2828"/>
      <c r="BC3782" s="452"/>
      <c r="BD3782" s="2829"/>
      <c r="BE3782" s="2837"/>
      <c r="BF3782" s="156"/>
    </row>
    <row r="3783" spans="1:58" ht="15" customHeight="1" outlineLevel="1" x14ac:dyDescent="0.35">
      <c r="A3783" s="1071"/>
      <c r="B3783" s="2812"/>
      <c r="C3783" s="3077"/>
      <c r="D3783" s="3980"/>
      <c r="E3783" s="3883"/>
      <c r="F3783" s="4120" t="str">
        <f t="shared" si="417"/>
        <v>ASHP-SEER15_ROF_MF</v>
      </c>
      <c r="G3783" s="4121"/>
      <c r="H3783" s="4121"/>
      <c r="I3783" s="4122"/>
      <c r="J3783" s="3508" t="str">
        <f t="shared" si="418"/>
        <v>353050_2021_12_</v>
      </c>
      <c r="K3783" s="717">
        <v>18</v>
      </c>
      <c r="L3783" s="704"/>
      <c r="M3783" s="3020"/>
      <c r="N3783" s="106"/>
      <c r="O3783" s="106"/>
      <c r="P3783" s="106"/>
      <c r="Q3783" s="106"/>
      <c r="R3783" s="106"/>
      <c r="S3783" s="106"/>
      <c r="T3783" s="106"/>
      <c r="U3783" s="106"/>
      <c r="V3783" s="4129"/>
      <c r="W3783" s="717">
        <v>18</v>
      </c>
      <c r="X3783" s="717">
        <v>18</v>
      </c>
      <c r="Y3783" s="717">
        <v>18</v>
      </c>
      <c r="Z3783" s="717">
        <v>18</v>
      </c>
      <c r="AA3783" s="717">
        <v>18</v>
      </c>
      <c r="AB3783" s="717">
        <v>18</v>
      </c>
      <c r="AC3783" s="2930">
        <v>18</v>
      </c>
      <c r="AD3783" s="717">
        <v>18</v>
      </c>
      <c r="AE3783" s="2944"/>
      <c r="AF3783" s="717"/>
      <c r="AG3783" s="717"/>
      <c r="AH3783" s="156"/>
      <c r="AI3783" s="156"/>
      <c r="AJ3783" s="156"/>
      <c r="AK3783" s="156"/>
      <c r="AL3783" s="156"/>
      <c r="AM3783" s="156"/>
      <c r="AN3783" s="156"/>
      <c r="AO3783" s="156"/>
      <c r="AP3783" s="156"/>
      <c r="AQ3783" s="156"/>
      <c r="AR3783" s="156"/>
      <c r="AS3783" s="156"/>
      <c r="AT3783" s="156"/>
      <c r="AU3783" s="156"/>
      <c r="AV3783" s="156"/>
      <c r="AW3783" s="156"/>
      <c r="AX3783" s="156"/>
      <c r="AY3783" s="156"/>
      <c r="AZ3783" s="156"/>
      <c r="BA3783" s="156"/>
      <c r="BB3783" s="2828"/>
      <c r="BC3783" s="452"/>
      <c r="BD3783" s="2829"/>
      <c r="BE3783" s="2837"/>
      <c r="BF3783" s="156"/>
    </row>
    <row r="3784" spans="1:58" ht="15" customHeight="1" outlineLevel="1" x14ac:dyDescent="0.35">
      <c r="A3784" s="1071"/>
      <c r="B3784" s="2812"/>
      <c r="C3784" s="3077"/>
      <c r="D3784" s="3980"/>
      <c r="E3784" s="3883"/>
      <c r="F3784" s="4120" t="str">
        <f t="shared" si="417"/>
        <v>ASHP-SEER15_ROF_MF_CompE</v>
      </c>
      <c r="G3784" s="4121"/>
      <c r="H3784" s="4121"/>
      <c r="I3784" s="4122"/>
      <c r="J3784" s="3508" t="str">
        <f t="shared" si="418"/>
        <v>353051_2021_12_</v>
      </c>
      <c r="K3784" s="717">
        <v>18</v>
      </c>
      <c r="L3784" s="704"/>
      <c r="M3784" s="3020"/>
      <c r="N3784" s="106"/>
      <c r="O3784" s="106"/>
      <c r="P3784" s="106"/>
      <c r="Q3784" s="106"/>
      <c r="R3784" s="106"/>
      <c r="S3784" s="106"/>
      <c r="T3784" s="106"/>
      <c r="U3784" s="106"/>
      <c r="V3784" s="4129"/>
      <c r="W3784" s="717"/>
      <c r="X3784" s="717"/>
      <c r="Y3784" s="717"/>
      <c r="Z3784" s="717"/>
      <c r="AA3784" s="717"/>
      <c r="AB3784" s="717"/>
      <c r="AC3784" s="2932">
        <v>18</v>
      </c>
      <c r="AD3784" s="717">
        <v>18</v>
      </c>
      <c r="AE3784" s="2944"/>
      <c r="AF3784" s="717"/>
      <c r="AG3784" s="717"/>
      <c r="AH3784" s="156"/>
      <c r="AI3784" s="156"/>
      <c r="AJ3784" s="156"/>
      <c r="AK3784" s="156"/>
      <c r="AL3784" s="156"/>
      <c r="AM3784" s="156"/>
      <c r="AN3784" s="156"/>
      <c r="AO3784" s="156"/>
      <c r="AP3784" s="156"/>
      <c r="AQ3784" s="156"/>
      <c r="AR3784" s="156"/>
      <c r="AS3784" s="156"/>
      <c r="AT3784" s="156"/>
      <c r="AU3784" s="156"/>
      <c r="AV3784" s="156"/>
      <c r="AW3784" s="156"/>
      <c r="AX3784" s="156"/>
      <c r="AY3784" s="156"/>
      <c r="AZ3784" s="156"/>
      <c r="BA3784" s="156"/>
      <c r="BB3784" s="2828"/>
      <c r="BC3784" s="452"/>
      <c r="BD3784" s="2829"/>
      <c r="BE3784" s="2837"/>
      <c r="BF3784" s="156"/>
    </row>
    <row r="3785" spans="1:58" ht="15" customHeight="1" outlineLevel="1" x14ac:dyDescent="0.35">
      <c r="A3785" s="1071"/>
      <c r="B3785" s="2812"/>
      <c r="C3785" s="3077"/>
      <c r="D3785" s="3980"/>
      <c r="E3785" s="3883"/>
      <c r="F3785" s="4120" t="str">
        <f t="shared" si="417"/>
        <v>ASHP-SEER15_ROF_MF_CompE</v>
      </c>
      <c r="G3785" s="4121"/>
      <c r="H3785" s="4121"/>
      <c r="I3785" s="4122"/>
      <c r="J3785" s="3508" t="str">
        <f t="shared" si="418"/>
        <v>353051_2021_12_</v>
      </c>
      <c r="K3785" s="717">
        <v>18</v>
      </c>
      <c r="L3785" s="704"/>
      <c r="M3785" s="3020"/>
      <c r="N3785" s="106"/>
      <c r="O3785" s="106"/>
      <c r="P3785" s="106"/>
      <c r="Q3785" s="106"/>
      <c r="R3785" s="106"/>
      <c r="S3785" s="106"/>
      <c r="T3785" s="106"/>
      <c r="U3785" s="106"/>
      <c r="V3785" s="4129"/>
      <c r="W3785" s="717"/>
      <c r="X3785" s="717"/>
      <c r="Y3785" s="717"/>
      <c r="Z3785" s="717"/>
      <c r="AA3785" s="717"/>
      <c r="AB3785" s="717"/>
      <c r="AC3785" s="2932">
        <v>18</v>
      </c>
      <c r="AD3785" s="717">
        <v>18</v>
      </c>
      <c r="AE3785" s="2944"/>
      <c r="AF3785" s="717"/>
      <c r="AG3785" s="717"/>
      <c r="AH3785" s="156"/>
      <c r="AI3785" s="156"/>
      <c r="AJ3785" s="156"/>
      <c r="AK3785" s="156"/>
      <c r="AL3785" s="156"/>
      <c r="AM3785" s="156"/>
      <c r="AN3785" s="156"/>
      <c r="AO3785" s="156"/>
      <c r="AP3785" s="156"/>
      <c r="AQ3785" s="156"/>
      <c r="AR3785" s="156"/>
      <c r="AS3785" s="156"/>
      <c r="AT3785" s="156"/>
      <c r="AU3785" s="156"/>
      <c r="AV3785" s="156"/>
      <c r="AW3785" s="156"/>
      <c r="AX3785" s="156"/>
      <c r="AY3785" s="156"/>
      <c r="AZ3785" s="156"/>
      <c r="BA3785" s="156"/>
      <c r="BB3785" s="2828"/>
      <c r="BC3785" s="452"/>
      <c r="BD3785" s="2829"/>
      <c r="BE3785" s="2837"/>
      <c r="BF3785" s="156"/>
    </row>
    <row r="3786" spans="1:58" ht="15" customHeight="1" outlineLevel="1" x14ac:dyDescent="0.35">
      <c r="A3786" s="1071"/>
      <c r="B3786" s="2812"/>
      <c r="C3786" s="3077"/>
      <c r="D3786" s="3980"/>
      <c r="E3786" s="3883"/>
      <c r="F3786" s="4120" t="str">
        <f t="shared" si="417"/>
        <v>ASHP-SEER17-Replace_CAC_ElectricHeat_ROF_SF</v>
      </c>
      <c r="G3786" s="4121"/>
      <c r="H3786" s="4121"/>
      <c r="I3786" s="4122"/>
      <c r="J3786" s="3508" t="str">
        <f t="shared" si="418"/>
        <v>353100_2021_12_</v>
      </c>
      <c r="K3786" s="717">
        <v>18</v>
      </c>
      <c r="L3786" s="704"/>
      <c r="M3786" s="3020"/>
      <c r="N3786" s="106"/>
      <c r="O3786" s="106"/>
      <c r="P3786" s="106"/>
      <c r="Q3786" s="106"/>
      <c r="R3786" s="106"/>
      <c r="S3786" s="106"/>
      <c r="T3786" s="106"/>
      <c r="U3786" s="106"/>
      <c r="V3786" s="4129"/>
      <c r="W3786" s="717">
        <v>18</v>
      </c>
      <c r="X3786" s="717">
        <v>18</v>
      </c>
      <c r="Y3786" s="717">
        <v>18</v>
      </c>
      <c r="Z3786" s="717">
        <v>18</v>
      </c>
      <c r="AA3786" s="717">
        <v>18</v>
      </c>
      <c r="AB3786" s="717">
        <v>18</v>
      </c>
      <c r="AC3786" s="2930">
        <v>18</v>
      </c>
      <c r="AD3786" s="717">
        <v>18</v>
      </c>
      <c r="AE3786" s="2944"/>
      <c r="AF3786" s="717"/>
      <c r="AG3786" s="717"/>
      <c r="AH3786" s="156"/>
      <c r="AI3786" s="156"/>
      <c r="AJ3786" s="156"/>
      <c r="AK3786" s="156"/>
      <c r="AL3786" s="156"/>
      <c r="AM3786" s="156"/>
      <c r="AN3786" s="156"/>
      <c r="AO3786" s="156"/>
      <c r="AP3786" s="156"/>
      <c r="AQ3786" s="156"/>
      <c r="AR3786" s="156"/>
      <c r="AS3786" s="156"/>
      <c r="AT3786" s="156"/>
      <c r="AU3786" s="156"/>
      <c r="AV3786" s="156"/>
      <c r="AW3786" s="156"/>
      <c r="AX3786" s="156"/>
      <c r="AY3786" s="156"/>
      <c r="AZ3786" s="156"/>
      <c r="BA3786" s="156"/>
      <c r="BB3786" s="2828"/>
      <c r="BC3786" s="452"/>
      <c r="BD3786" s="2829"/>
      <c r="BE3786" s="2837"/>
      <c r="BF3786" s="156"/>
    </row>
    <row r="3787" spans="1:58" ht="15" customHeight="1" outlineLevel="1" x14ac:dyDescent="0.35">
      <c r="A3787" s="1664"/>
      <c r="B3787" s="2812"/>
      <c r="C3787" s="3077"/>
      <c r="D3787" s="3980"/>
      <c r="E3787" s="3883"/>
      <c r="F3787" s="4120" t="str">
        <f t="shared" si="417"/>
        <v>ASHP-SEER17-Replace_CAC_ElectricHeat_ROF_SF</v>
      </c>
      <c r="G3787" s="4121"/>
      <c r="H3787" s="4121"/>
      <c r="I3787" s="4122"/>
      <c r="J3787" s="3508" t="str">
        <f t="shared" si="418"/>
        <v>353100_2021_12_</v>
      </c>
      <c r="K3787" s="717">
        <v>18</v>
      </c>
      <c r="L3787" s="704"/>
      <c r="M3787" s="3020"/>
      <c r="N3787" s="106"/>
      <c r="O3787" s="106"/>
      <c r="P3787" s="702"/>
      <c r="Q3787" s="574"/>
      <c r="R3787" s="702"/>
      <c r="S3787" s="106"/>
      <c r="T3787" s="486"/>
      <c r="U3787" s="106"/>
      <c r="V3787" s="4129"/>
      <c r="W3787" s="717">
        <v>18</v>
      </c>
      <c r="X3787" s="717">
        <v>18</v>
      </c>
      <c r="Y3787" s="717">
        <v>18</v>
      </c>
      <c r="Z3787" s="717">
        <v>18</v>
      </c>
      <c r="AA3787" s="717">
        <v>18</v>
      </c>
      <c r="AB3787" s="717">
        <v>18</v>
      </c>
      <c r="AC3787" s="2930">
        <v>18</v>
      </c>
      <c r="AD3787" s="717">
        <v>18</v>
      </c>
      <c r="AE3787" s="2944"/>
      <c r="AF3787" s="717"/>
      <c r="AG3787" s="717"/>
      <c r="AH3787" s="156"/>
      <c r="AI3787" s="156"/>
      <c r="AJ3787" s="156"/>
      <c r="AK3787" s="156"/>
      <c r="AL3787" s="156"/>
      <c r="AM3787" s="156"/>
      <c r="AN3787" s="156"/>
      <c r="AO3787" s="156"/>
      <c r="AP3787" s="156"/>
      <c r="AQ3787" s="156"/>
      <c r="AR3787" s="156"/>
      <c r="AS3787" s="156"/>
      <c r="AT3787" s="156"/>
      <c r="AU3787" s="156"/>
      <c r="AV3787" s="156"/>
      <c r="AW3787" s="156"/>
      <c r="AX3787" s="156"/>
      <c r="AY3787" s="156"/>
      <c r="AZ3787" s="156"/>
      <c r="BA3787" s="156"/>
      <c r="BB3787" s="2828"/>
      <c r="BC3787" s="452"/>
      <c r="BD3787" s="2829"/>
      <c r="BE3787" s="2837"/>
      <c r="BF3787" s="156"/>
    </row>
    <row r="3788" spans="1:58" s="3398" customFormat="1" ht="15" customHeight="1" outlineLevel="1" x14ac:dyDescent="0.35">
      <c r="A3788" s="1664"/>
      <c r="B3788" s="3499"/>
      <c r="C3788" s="3077"/>
      <c r="D3788" s="3980"/>
      <c r="E3788" s="3883"/>
      <c r="F3788" s="4182" t="str">
        <f t="shared" ref="F3788:F3789" si="419">E1644</f>
        <v>ASHP-SEER17-Replace_CAC_NonElectricHeat_ROF_SF</v>
      </c>
      <c r="G3788" s="3989"/>
      <c r="H3788" s="3989"/>
      <c r="I3788" s="3990"/>
      <c r="J3788" s="3509" t="str">
        <f t="shared" ref="J3788:J3789" si="420">C1644</f>
        <v>353110_2022_12_</v>
      </c>
      <c r="K3788" s="3510">
        <v>18</v>
      </c>
      <c r="L3788" s="704"/>
      <c r="M3788" s="3020"/>
      <c r="P3788" s="702"/>
      <c r="Q3788" s="574"/>
      <c r="R3788" s="702"/>
      <c r="T3788" s="3397"/>
      <c r="V3788" s="4129"/>
      <c r="W3788" s="717"/>
      <c r="X3788" s="717"/>
      <c r="Y3788" s="717"/>
      <c r="Z3788" s="717"/>
      <c r="AA3788" s="717"/>
      <c r="AB3788" s="717"/>
      <c r="AC3788" s="2930"/>
      <c r="AD3788" s="3510">
        <v>18</v>
      </c>
      <c r="AE3788" s="2944"/>
      <c r="AF3788" s="717"/>
      <c r="AG3788" s="717"/>
      <c r="AH3788" s="156"/>
      <c r="AI3788" s="156"/>
      <c r="AJ3788" s="156"/>
      <c r="AK3788" s="156"/>
      <c r="AL3788" s="156"/>
      <c r="AM3788" s="156"/>
      <c r="AN3788" s="156"/>
      <c r="AO3788" s="156"/>
      <c r="AP3788" s="156"/>
      <c r="AQ3788" s="156"/>
      <c r="AR3788" s="156"/>
      <c r="AS3788" s="156"/>
      <c r="AT3788" s="156"/>
      <c r="AU3788" s="156"/>
      <c r="AV3788" s="156"/>
      <c r="AW3788" s="156"/>
      <c r="AX3788" s="156"/>
      <c r="AY3788" s="156"/>
      <c r="AZ3788" s="156"/>
      <c r="BA3788" s="156"/>
      <c r="BB3788" s="2828"/>
      <c r="BC3788" s="452"/>
      <c r="BD3788" s="2829"/>
      <c r="BE3788" s="2837"/>
      <c r="BF3788" s="156"/>
    </row>
    <row r="3789" spans="1:58" s="3398" customFormat="1" ht="15" customHeight="1" outlineLevel="1" x14ac:dyDescent="0.35">
      <c r="A3789" s="1664"/>
      <c r="B3789" s="3499"/>
      <c r="C3789" s="3077"/>
      <c r="D3789" s="3980"/>
      <c r="E3789" s="3883"/>
      <c r="F3789" s="4182" t="str">
        <f t="shared" si="419"/>
        <v>ASHP-SEER17-Replace_CAC_NonElectricHeat_ROF_SF</v>
      </c>
      <c r="G3789" s="3989"/>
      <c r="H3789" s="3989"/>
      <c r="I3789" s="3990"/>
      <c r="J3789" s="3509" t="str">
        <f t="shared" si="420"/>
        <v>353110_2022_12_</v>
      </c>
      <c r="K3789" s="3510">
        <v>18</v>
      </c>
      <c r="L3789" s="704"/>
      <c r="M3789" s="3020"/>
      <c r="P3789" s="702"/>
      <c r="Q3789" s="574"/>
      <c r="R3789" s="702"/>
      <c r="T3789" s="3397"/>
      <c r="V3789" s="4129"/>
      <c r="W3789" s="717"/>
      <c r="X3789" s="717"/>
      <c r="Y3789" s="717"/>
      <c r="Z3789" s="717"/>
      <c r="AA3789" s="717"/>
      <c r="AB3789" s="717"/>
      <c r="AC3789" s="2930"/>
      <c r="AD3789" s="3510">
        <v>18</v>
      </c>
      <c r="AE3789" s="2944"/>
      <c r="AF3789" s="717"/>
      <c r="AG3789" s="717"/>
      <c r="AH3789" s="156"/>
      <c r="AI3789" s="156"/>
      <c r="AJ3789" s="156"/>
      <c r="AK3789" s="156"/>
      <c r="AL3789" s="156"/>
      <c r="AM3789" s="156"/>
      <c r="AN3789" s="156"/>
      <c r="AO3789" s="156"/>
      <c r="AP3789" s="156"/>
      <c r="AQ3789" s="156"/>
      <c r="AR3789" s="156"/>
      <c r="AS3789" s="156"/>
      <c r="AT3789" s="156"/>
      <c r="AU3789" s="156"/>
      <c r="AV3789" s="156"/>
      <c r="AW3789" s="156"/>
      <c r="AX3789" s="156"/>
      <c r="AY3789" s="156"/>
      <c r="AZ3789" s="156"/>
      <c r="BA3789" s="156"/>
      <c r="BB3789" s="2828"/>
      <c r="BC3789" s="452"/>
      <c r="BD3789" s="2829"/>
      <c r="BE3789" s="2837"/>
      <c r="BF3789" s="156"/>
    </row>
    <row r="3790" spans="1:58" ht="15" customHeight="1" outlineLevel="1" x14ac:dyDescent="0.35">
      <c r="A3790" s="1664"/>
      <c r="B3790" s="2812"/>
      <c r="C3790" s="3077"/>
      <c r="D3790" s="3980"/>
      <c r="E3790" s="3883"/>
      <c r="F3790" s="4120" t="str">
        <f t="shared" ref="F3790:F3799" si="421">E1646</f>
        <v>ASHP-SEER17-Replace_CAC_ElectricHeat_ROF_MF</v>
      </c>
      <c r="G3790" s="4121"/>
      <c r="H3790" s="4121"/>
      <c r="I3790" s="4122"/>
      <c r="J3790" s="3508" t="str">
        <f t="shared" ref="J3790:J3799" si="422">C1646</f>
        <v>353150_2019_12_</v>
      </c>
      <c r="K3790" s="717">
        <v>18</v>
      </c>
      <c r="L3790" s="704"/>
      <c r="M3790" s="3020"/>
      <c r="N3790" s="106"/>
      <c r="O3790" s="106"/>
      <c r="P3790" s="702"/>
      <c r="Q3790" s="574"/>
      <c r="R3790" s="702"/>
      <c r="S3790" s="106"/>
      <c r="T3790" s="486"/>
      <c r="U3790" s="106"/>
      <c r="V3790" s="4129"/>
      <c r="W3790" s="717">
        <v>18</v>
      </c>
      <c r="X3790" s="717">
        <v>18</v>
      </c>
      <c r="Y3790" s="717">
        <v>18</v>
      </c>
      <c r="Z3790" s="717">
        <v>18</v>
      </c>
      <c r="AA3790" s="717">
        <v>18</v>
      </c>
      <c r="AB3790" s="717">
        <v>18</v>
      </c>
      <c r="AC3790" s="2930">
        <v>18</v>
      </c>
      <c r="AD3790" s="717">
        <v>18</v>
      </c>
      <c r="AE3790" s="2944"/>
      <c r="AF3790" s="717"/>
      <c r="AG3790" s="717"/>
      <c r="AH3790" s="156"/>
      <c r="AI3790" s="156"/>
      <c r="AJ3790" s="156"/>
      <c r="AK3790" s="156"/>
      <c r="AL3790" s="156"/>
      <c r="AM3790" s="156"/>
      <c r="AN3790" s="156"/>
      <c r="AO3790" s="156"/>
      <c r="AP3790" s="156"/>
      <c r="AQ3790" s="156"/>
      <c r="AR3790" s="156"/>
      <c r="AS3790" s="156"/>
      <c r="AT3790" s="156"/>
      <c r="AU3790" s="156"/>
      <c r="AV3790" s="156"/>
      <c r="AW3790" s="156"/>
      <c r="AX3790" s="156"/>
      <c r="AY3790" s="156"/>
      <c r="AZ3790" s="156"/>
      <c r="BA3790" s="156"/>
      <c r="BB3790" s="2828"/>
      <c r="BC3790" s="452"/>
      <c r="BD3790" s="2829"/>
      <c r="BE3790" s="2837"/>
      <c r="BF3790" s="156"/>
    </row>
    <row r="3791" spans="1:58" ht="15" customHeight="1" outlineLevel="1" x14ac:dyDescent="0.35">
      <c r="A3791" s="1664"/>
      <c r="B3791" s="2812"/>
      <c r="C3791" s="3077"/>
      <c r="D3791" s="3980"/>
      <c r="E3791" s="3883"/>
      <c r="F3791" s="4120" t="str">
        <f t="shared" si="421"/>
        <v>ASHP-SEER17-Replace_CAC_ElectricHeat_ROF_MF</v>
      </c>
      <c r="G3791" s="4121"/>
      <c r="H3791" s="4121"/>
      <c r="I3791" s="4122"/>
      <c r="J3791" s="3508" t="str">
        <f t="shared" si="422"/>
        <v>353150_2019_12_</v>
      </c>
      <c r="K3791" s="717">
        <v>18</v>
      </c>
      <c r="L3791" s="704"/>
      <c r="M3791" s="3020"/>
      <c r="N3791" s="106"/>
      <c r="O3791" s="106"/>
      <c r="P3791" s="702"/>
      <c r="Q3791" s="574"/>
      <c r="R3791" s="702"/>
      <c r="S3791" s="106"/>
      <c r="T3791" s="486"/>
      <c r="U3791" s="106"/>
      <c r="V3791" s="4129"/>
      <c r="W3791" s="717">
        <v>18</v>
      </c>
      <c r="X3791" s="717">
        <v>18</v>
      </c>
      <c r="Y3791" s="717">
        <v>18</v>
      </c>
      <c r="Z3791" s="717">
        <v>18</v>
      </c>
      <c r="AA3791" s="717">
        <v>18</v>
      </c>
      <c r="AB3791" s="717">
        <v>18</v>
      </c>
      <c r="AC3791" s="2930">
        <v>18</v>
      </c>
      <c r="AD3791" s="717">
        <v>18</v>
      </c>
      <c r="AE3791" s="2944"/>
      <c r="AF3791" s="717"/>
      <c r="AG3791" s="717"/>
      <c r="AH3791" s="156"/>
      <c r="AI3791" s="156"/>
      <c r="AJ3791" s="156"/>
      <c r="AK3791" s="156"/>
      <c r="AL3791" s="156"/>
      <c r="AM3791" s="156"/>
      <c r="AN3791" s="156"/>
      <c r="AO3791" s="156"/>
      <c r="AP3791" s="156"/>
      <c r="AQ3791" s="156"/>
      <c r="AR3791" s="156"/>
      <c r="AS3791" s="156"/>
      <c r="AT3791" s="156"/>
      <c r="AU3791" s="156"/>
      <c r="AV3791" s="156"/>
      <c r="AW3791" s="156"/>
      <c r="AX3791" s="156"/>
      <c r="AY3791" s="156"/>
      <c r="AZ3791" s="156"/>
      <c r="BA3791" s="156"/>
      <c r="BB3791" s="2828"/>
      <c r="BC3791" s="452"/>
      <c r="BD3791" s="2829"/>
      <c r="BE3791" s="2837"/>
      <c r="BF3791" s="156"/>
    </row>
    <row r="3792" spans="1:58" ht="15" customHeight="1" outlineLevel="1" x14ac:dyDescent="0.35">
      <c r="A3792" s="1664"/>
      <c r="B3792" s="2812"/>
      <c r="C3792" s="3077"/>
      <c r="D3792" s="3980"/>
      <c r="E3792" s="3883"/>
      <c r="F3792" s="4120" t="str">
        <f t="shared" si="421"/>
        <v>ASHP-SEER17-Replace_CAC_ElectricHeat_ROF_MF_CompE</v>
      </c>
      <c r="G3792" s="4121"/>
      <c r="H3792" s="4121"/>
      <c r="I3792" s="4122"/>
      <c r="J3792" s="3508" t="str">
        <f t="shared" si="422"/>
        <v>353151_2019_12_</v>
      </c>
      <c r="K3792" s="717">
        <v>18</v>
      </c>
      <c r="L3792" s="704"/>
      <c r="M3792" s="3020"/>
      <c r="N3792" s="106"/>
      <c r="O3792" s="106"/>
      <c r="P3792" s="702"/>
      <c r="Q3792" s="574"/>
      <c r="R3792" s="702"/>
      <c r="S3792" s="106"/>
      <c r="T3792" s="486"/>
      <c r="U3792" s="106"/>
      <c r="V3792" s="4129"/>
      <c r="W3792" s="717"/>
      <c r="X3792" s="717"/>
      <c r="Y3792" s="717"/>
      <c r="Z3792" s="717"/>
      <c r="AA3792" s="717"/>
      <c r="AB3792" s="717"/>
      <c r="AC3792" s="2932">
        <v>18</v>
      </c>
      <c r="AD3792" s="717">
        <v>18</v>
      </c>
      <c r="AE3792" s="2944"/>
      <c r="AF3792" s="717"/>
      <c r="AG3792" s="717"/>
      <c r="AH3792" s="156"/>
      <c r="AI3792" s="156"/>
      <c r="AJ3792" s="156"/>
      <c r="AK3792" s="156"/>
      <c r="AL3792" s="156"/>
      <c r="AM3792" s="156"/>
      <c r="AN3792" s="156"/>
      <c r="AO3792" s="156"/>
      <c r="AP3792" s="156"/>
      <c r="AQ3792" s="156"/>
      <c r="AR3792" s="156"/>
      <c r="AS3792" s="156"/>
      <c r="AT3792" s="156"/>
      <c r="AU3792" s="156"/>
      <c r="AV3792" s="156"/>
      <c r="AW3792" s="156"/>
      <c r="AX3792" s="156"/>
      <c r="AY3792" s="156"/>
      <c r="AZ3792" s="156"/>
      <c r="BA3792" s="156"/>
      <c r="BB3792" s="2828"/>
      <c r="BC3792" s="452"/>
      <c r="BD3792" s="2829"/>
      <c r="BE3792" s="2837"/>
      <c r="BF3792" s="156"/>
    </row>
    <row r="3793" spans="1:58" ht="15" customHeight="1" outlineLevel="1" x14ac:dyDescent="0.35">
      <c r="A3793" s="1664"/>
      <c r="B3793" s="2812"/>
      <c r="C3793" s="3077"/>
      <c r="D3793" s="3980"/>
      <c r="E3793" s="3883"/>
      <c r="F3793" s="4120" t="str">
        <f t="shared" si="421"/>
        <v>ASHP-SEER17-Replace_CAC_ElectricHeat_ROF_MF_CompE</v>
      </c>
      <c r="G3793" s="4121"/>
      <c r="H3793" s="4121"/>
      <c r="I3793" s="4122"/>
      <c r="J3793" s="3508" t="str">
        <f t="shared" si="422"/>
        <v>353151_2019_12_</v>
      </c>
      <c r="K3793" s="717">
        <v>18</v>
      </c>
      <c r="L3793" s="704"/>
      <c r="M3793" s="3020"/>
      <c r="N3793" s="106"/>
      <c r="O3793" s="106"/>
      <c r="P3793" s="702"/>
      <c r="Q3793" s="574"/>
      <c r="R3793" s="702"/>
      <c r="S3793" s="106"/>
      <c r="T3793" s="486"/>
      <c r="U3793" s="106"/>
      <c r="V3793" s="4129"/>
      <c r="W3793" s="717"/>
      <c r="X3793" s="717"/>
      <c r="Y3793" s="717"/>
      <c r="Z3793" s="717"/>
      <c r="AA3793" s="717"/>
      <c r="AB3793" s="717"/>
      <c r="AC3793" s="2932">
        <v>18</v>
      </c>
      <c r="AD3793" s="717">
        <v>18</v>
      </c>
      <c r="AE3793" s="2944"/>
      <c r="AF3793" s="717"/>
      <c r="AG3793" s="717"/>
      <c r="AH3793" s="156"/>
      <c r="AI3793" s="156"/>
      <c r="AJ3793" s="156"/>
      <c r="AK3793" s="156"/>
      <c r="AL3793" s="156"/>
      <c r="AM3793" s="156"/>
      <c r="AN3793" s="156"/>
      <c r="AO3793" s="156"/>
      <c r="AP3793" s="156"/>
      <c r="AQ3793" s="156"/>
      <c r="AR3793" s="156"/>
      <c r="AS3793" s="156"/>
      <c r="AT3793" s="156"/>
      <c r="AU3793" s="156"/>
      <c r="AV3793" s="156"/>
      <c r="AW3793" s="156"/>
      <c r="AX3793" s="156"/>
      <c r="AY3793" s="156"/>
      <c r="AZ3793" s="156"/>
      <c r="BA3793" s="156"/>
      <c r="BB3793" s="2828"/>
      <c r="BC3793" s="452"/>
      <c r="BD3793" s="2829"/>
      <c r="BE3793" s="2837"/>
      <c r="BF3793" s="156"/>
    </row>
    <row r="3794" spans="1:58" ht="15" customHeight="1" outlineLevel="1" x14ac:dyDescent="0.35">
      <c r="A3794" s="1664"/>
      <c r="B3794" s="2812"/>
      <c r="C3794" s="3077"/>
      <c r="D3794" s="3980"/>
      <c r="E3794" s="3883"/>
      <c r="F3794" s="4120" t="str">
        <f t="shared" si="421"/>
        <v>ASHP-SEER17-Replace_CAC_NonElectricHeat_ROF_MF</v>
      </c>
      <c r="G3794" s="4121"/>
      <c r="H3794" s="4121"/>
      <c r="I3794" s="4122"/>
      <c r="J3794" s="3508" t="str">
        <f t="shared" si="422"/>
        <v>353160_2021_12_</v>
      </c>
      <c r="K3794" s="717">
        <v>18</v>
      </c>
      <c r="L3794" s="704"/>
      <c r="M3794" s="3020"/>
      <c r="N3794" s="106"/>
      <c r="O3794" s="106"/>
      <c r="P3794" s="702"/>
      <c r="Q3794" s="574"/>
      <c r="R3794" s="702"/>
      <c r="S3794" s="106"/>
      <c r="T3794" s="486"/>
      <c r="U3794" s="106"/>
      <c r="V3794" s="4129"/>
      <c r="W3794" s="717"/>
      <c r="X3794" s="717"/>
      <c r="Y3794" s="717"/>
      <c r="Z3794" s="717"/>
      <c r="AA3794" s="717"/>
      <c r="AB3794" s="717"/>
      <c r="AC3794" s="2932">
        <v>18</v>
      </c>
      <c r="AD3794" s="717">
        <v>18</v>
      </c>
      <c r="AE3794" s="2944"/>
      <c r="AF3794" s="717"/>
      <c r="AG3794" s="717"/>
      <c r="AH3794" s="156"/>
      <c r="AI3794" s="156"/>
      <c r="AJ3794" s="156"/>
      <c r="AK3794" s="156"/>
      <c r="AL3794" s="156"/>
      <c r="AM3794" s="156"/>
      <c r="AN3794" s="156"/>
      <c r="AO3794" s="156"/>
      <c r="AP3794" s="156"/>
      <c r="AQ3794" s="156"/>
      <c r="AR3794" s="156"/>
      <c r="AS3794" s="156"/>
      <c r="AT3794" s="156"/>
      <c r="AU3794" s="156"/>
      <c r="AV3794" s="156"/>
      <c r="AW3794" s="156"/>
      <c r="AX3794" s="156"/>
      <c r="AY3794" s="156"/>
      <c r="AZ3794" s="156"/>
      <c r="BA3794" s="156"/>
      <c r="BB3794" s="2828"/>
      <c r="BC3794" s="452"/>
      <c r="BD3794" s="2829"/>
      <c r="BE3794" s="2837"/>
      <c r="BF3794" s="156"/>
    </row>
    <row r="3795" spans="1:58" ht="15" customHeight="1" outlineLevel="1" x14ac:dyDescent="0.35">
      <c r="A3795" s="1664"/>
      <c r="B3795" s="2812"/>
      <c r="C3795" s="3077"/>
      <c r="D3795" s="3980"/>
      <c r="E3795" s="3883"/>
      <c r="F3795" s="4120" t="str">
        <f t="shared" si="421"/>
        <v>ASHP-SEER17-Replace_CAC_NonElectricHeat_ROF_MF</v>
      </c>
      <c r="G3795" s="4121"/>
      <c r="H3795" s="4121"/>
      <c r="I3795" s="4122"/>
      <c r="J3795" s="3508" t="str">
        <f t="shared" si="422"/>
        <v>353160_2021_12_</v>
      </c>
      <c r="K3795" s="717">
        <v>18</v>
      </c>
      <c r="L3795" s="704"/>
      <c r="M3795" s="3020"/>
      <c r="N3795" s="106"/>
      <c r="O3795" s="106"/>
      <c r="P3795" s="702"/>
      <c r="Q3795" s="574"/>
      <c r="R3795" s="702"/>
      <c r="S3795" s="106"/>
      <c r="T3795" s="486"/>
      <c r="U3795" s="106"/>
      <c r="V3795" s="4129"/>
      <c r="W3795" s="717"/>
      <c r="X3795" s="717"/>
      <c r="Y3795" s="717"/>
      <c r="Z3795" s="717"/>
      <c r="AA3795" s="717"/>
      <c r="AB3795" s="717"/>
      <c r="AC3795" s="2932">
        <v>18</v>
      </c>
      <c r="AD3795" s="717">
        <v>18</v>
      </c>
      <c r="AE3795" s="2944"/>
      <c r="AF3795" s="717"/>
      <c r="AG3795" s="717"/>
      <c r="AH3795" s="156"/>
      <c r="AI3795" s="156"/>
      <c r="AJ3795" s="156"/>
      <c r="AK3795" s="156"/>
      <c r="AL3795" s="156"/>
      <c r="AM3795" s="156"/>
      <c r="AN3795" s="156"/>
      <c r="AO3795" s="156"/>
      <c r="AP3795" s="156"/>
      <c r="AQ3795" s="156"/>
      <c r="AR3795" s="156"/>
      <c r="AS3795" s="156"/>
      <c r="AT3795" s="156"/>
      <c r="AU3795" s="156"/>
      <c r="AV3795" s="156"/>
      <c r="AW3795" s="156"/>
      <c r="AX3795" s="156"/>
      <c r="AY3795" s="156"/>
      <c r="AZ3795" s="156"/>
      <c r="BA3795" s="156"/>
      <c r="BB3795" s="2828"/>
      <c r="BC3795" s="452"/>
      <c r="BD3795" s="2829"/>
      <c r="BE3795" s="2837"/>
      <c r="BF3795" s="156"/>
    </row>
    <row r="3796" spans="1:58" ht="15" customHeight="1" outlineLevel="1" x14ac:dyDescent="0.35">
      <c r="A3796" s="1664"/>
      <c r="B3796" s="2812"/>
      <c r="C3796" s="3077"/>
      <c r="D3796" s="3980"/>
      <c r="E3796" s="3883"/>
      <c r="F3796" s="4120" t="str">
        <f t="shared" si="421"/>
        <v>ASHP-SEER17-Replace_CAC_NonElectricHeat_ROF_MF_CompE</v>
      </c>
      <c r="G3796" s="4121"/>
      <c r="H3796" s="4121"/>
      <c r="I3796" s="4122"/>
      <c r="J3796" s="3508" t="str">
        <f t="shared" si="422"/>
        <v>353161_2021_12_</v>
      </c>
      <c r="K3796" s="717">
        <v>18</v>
      </c>
      <c r="L3796" s="704"/>
      <c r="M3796" s="3020"/>
      <c r="N3796" s="106"/>
      <c r="O3796" s="106"/>
      <c r="P3796" s="702"/>
      <c r="Q3796" s="574"/>
      <c r="R3796" s="702"/>
      <c r="S3796" s="106"/>
      <c r="T3796" s="486"/>
      <c r="U3796" s="106"/>
      <c r="V3796" s="4129"/>
      <c r="W3796" s="717"/>
      <c r="X3796" s="717"/>
      <c r="Y3796" s="717"/>
      <c r="Z3796" s="717"/>
      <c r="AA3796" s="717"/>
      <c r="AB3796" s="717"/>
      <c r="AC3796" s="2932">
        <v>18</v>
      </c>
      <c r="AD3796" s="717">
        <v>18</v>
      </c>
      <c r="AE3796" s="2944"/>
      <c r="AF3796" s="717"/>
      <c r="AG3796" s="717"/>
      <c r="AH3796" s="156"/>
      <c r="AI3796" s="156"/>
      <c r="AJ3796" s="156"/>
      <c r="AK3796" s="156"/>
      <c r="AL3796" s="156"/>
      <c r="AM3796" s="156"/>
      <c r="AN3796" s="156"/>
      <c r="AO3796" s="156"/>
      <c r="AP3796" s="156"/>
      <c r="AQ3796" s="156"/>
      <c r="AR3796" s="156"/>
      <c r="AS3796" s="156"/>
      <c r="AT3796" s="156"/>
      <c r="AU3796" s="156"/>
      <c r="AV3796" s="156"/>
      <c r="AW3796" s="156"/>
      <c r="AX3796" s="156"/>
      <c r="AY3796" s="156"/>
      <c r="AZ3796" s="156"/>
      <c r="BA3796" s="156"/>
      <c r="BB3796" s="2828"/>
      <c r="BC3796" s="452"/>
      <c r="BD3796" s="2829"/>
      <c r="BE3796" s="2837"/>
      <c r="BF3796" s="156"/>
    </row>
    <row r="3797" spans="1:58" ht="15" customHeight="1" outlineLevel="1" x14ac:dyDescent="0.35">
      <c r="A3797" s="1664"/>
      <c r="B3797" s="2812"/>
      <c r="C3797" s="3077"/>
      <c r="D3797" s="3980"/>
      <c r="E3797" s="3883"/>
      <c r="F3797" s="4120" t="str">
        <f t="shared" si="421"/>
        <v>ASHP-SEER17-Replace_CAC_NonElectricHeat_ROF_MF_CompE</v>
      </c>
      <c r="G3797" s="4121"/>
      <c r="H3797" s="4121"/>
      <c r="I3797" s="4122"/>
      <c r="J3797" s="3508" t="str">
        <f t="shared" si="422"/>
        <v>353161_2021_12_</v>
      </c>
      <c r="K3797" s="717">
        <v>18</v>
      </c>
      <c r="L3797" s="704"/>
      <c r="M3797" s="3020"/>
      <c r="N3797" s="106"/>
      <c r="O3797" s="106"/>
      <c r="P3797" s="702"/>
      <c r="Q3797" s="574"/>
      <c r="R3797" s="702"/>
      <c r="S3797" s="106"/>
      <c r="T3797" s="486"/>
      <c r="U3797" s="106"/>
      <c r="V3797" s="4129"/>
      <c r="W3797" s="717"/>
      <c r="X3797" s="717"/>
      <c r="Y3797" s="717"/>
      <c r="Z3797" s="717"/>
      <c r="AA3797" s="717"/>
      <c r="AB3797" s="717"/>
      <c r="AC3797" s="2932">
        <v>18</v>
      </c>
      <c r="AD3797" s="717">
        <v>18</v>
      </c>
      <c r="AE3797" s="2944"/>
      <c r="AF3797" s="717"/>
      <c r="AG3797" s="717"/>
      <c r="AH3797" s="156"/>
      <c r="AI3797" s="156"/>
      <c r="AJ3797" s="156"/>
      <c r="AK3797" s="156"/>
      <c r="AL3797" s="156"/>
      <c r="AM3797" s="156"/>
      <c r="AN3797" s="156"/>
      <c r="AO3797" s="156"/>
      <c r="AP3797" s="156"/>
      <c r="AQ3797" s="156"/>
      <c r="AR3797" s="156"/>
      <c r="AS3797" s="156"/>
      <c r="AT3797" s="156"/>
      <c r="AU3797" s="156"/>
      <c r="AV3797" s="156"/>
      <c r="AW3797" s="156"/>
      <c r="AX3797" s="156"/>
      <c r="AY3797" s="156"/>
      <c r="AZ3797" s="156"/>
      <c r="BA3797" s="156"/>
      <c r="BB3797" s="2828"/>
      <c r="BC3797" s="452"/>
      <c r="BD3797" s="2829"/>
      <c r="BE3797" s="2837"/>
      <c r="BF3797" s="156"/>
    </row>
    <row r="3798" spans="1:58" ht="15" customHeight="1" outlineLevel="1" x14ac:dyDescent="0.35">
      <c r="A3798" s="1664"/>
      <c r="B3798" s="2812"/>
      <c r="C3798" s="3077"/>
      <c r="D3798" s="3980"/>
      <c r="E3798" s="3883"/>
      <c r="F3798" s="4120" t="str">
        <f t="shared" si="421"/>
        <v>ASHP-SEER18-Replace_CAC_ElectricHeat_ROF_SF</v>
      </c>
      <c r="G3798" s="4121"/>
      <c r="H3798" s="4121"/>
      <c r="I3798" s="4122"/>
      <c r="J3798" s="3508" t="str">
        <f t="shared" si="422"/>
        <v>353200_2021_12_</v>
      </c>
      <c r="K3798" s="717">
        <v>18</v>
      </c>
      <c r="L3798" s="704"/>
      <c r="M3798" s="3020"/>
      <c r="N3798" s="106"/>
      <c r="O3798" s="106"/>
      <c r="P3798" s="702"/>
      <c r="Q3798" s="574"/>
      <c r="R3798" s="702"/>
      <c r="S3798" s="106"/>
      <c r="T3798" s="486"/>
      <c r="U3798" s="106"/>
      <c r="V3798" s="4129"/>
      <c r="W3798" s="717">
        <v>18</v>
      </c>
      <c r="X3798" s="717">
        <v>18</v>
      </c>
      <c r="Y3798" s="717">
        <v>18</v>
      </c>
      <c r="Z3798" s="717">
        <v>18</v>
      </c>
      <c r="AA3798" s="717">
        <v>18</v>
      </c>
      <c r="AB3798" s="717">
        <v>18</v>
      </c>
      <c r="AC3798" s="2930">
        <v>18</v>
      </c>
      <c r="AD3798" s="717">
        <v>18</v>
      </c>
      <c r="AE3798" s="2944"/>
      <c r="AF3798" s="717"/>
      <c r="AG3798" s="717"/>
      <c r="AH3798" s="156"/>
      <c r="AI3798" s="156"/>
      <c r="AJ3798" s="156"/>
      <c r="AK3798" s="156"/>
      <c r="AL3798" s="156"/>
      <c r="AM3798" s="156"/>
      <c r="AN3798" s="156"/>
      <c r="AO3798" s="156"/>
      <c r="AP3798" s="156"/>
      <c r="AQ3798" s="156"/>
      <c r="AR3798" s="156"/>
      <c r="AS3798" s="156"/>
      <c r="AT3798" s="156"/>
      <c r="AU3798" s="156"/>
      <c r="AV3798" s="156"/>
      <c r="AW3798" s="156"/>
      <c r="AX3798" s="156"/>
      <c r="AY3798" s="156"/>
      <c r="AZ3798" s="156"/>
      <c r="BA3798" s="156"/>
      <c r="BB3798" s="2828"/>
      <c r="BC3798" s="452"/>
      <c r="BD3798" s="2829"/>
      <c r="BE3798" s="2837"/>
      <c r="BF3798" s="156"/>
    </row>
    <row r="3799" spans="1:58" ht="15" customHeight="1" outlineLevel="1" x14ac:dyDescent="0.35">
      <c r="A3799" s="1664"/>
      <c r="B3799" s="2812"/>
      <c r="C3799" s="3077"/>
      <c r="D3799" s="3980"/>
      <c r="E3799" s="3883"/>
      <c r="F3799" s="4120" t="str">
        <f t="shared" si="421"/>
        <v>ASHP-SEER18-Replace_CAC_ElectricHeat_ROF_SF</v>
      </c>
      <c r="G3799" s="4121"/>
      <c r="H3799" s="4121"/>
      <c r="I3799" s="4122"/>
      <c r="J3799" s="3508" t="str">
        <f t="shared" si="422"/>
        <v>353200_2021_12_</v>
      </c>
      <c r="K3799" s="717">
        <v>18</v>
      </c>
      <c r="L3799" s="704"/>
      <c r="M3799" s="3020"/>
      <c r="N3799" s="106"/>
      <c r="O3799" s="106"/>
      <c r="P3799" s="702"/>
      <c r="Q3799" s="574"/>
      <c r="R3799" s="702"/>
      <c r="S3799" s="106"/>
      <c r="T3799" s="486"/>
      <c r="U3799" s="106"/>
      <c r="V3799" s="4129"/>
      <c r="W3799" s="717">
        <v>18</v>
      </c>
      <c r="X3799" s="717">
        <v>18</v>
      </c>
      <c r="Y3799" s="717">
        <v>18</v>
      </c>
      <c r="Z3799" s="717">
        <v>18</v>
      </c>
      <c r="AA3799" s="717">
        <v>18</v>
      </c>
      <c r="AB3799" s="717">
        <v>18</v>
      </c>
      <c r="AC3799" s="2930">
        <v>18</v>
      </c>
      <c r="AD3799" s="717">
        <v>18</v>
      </c>
      <c r="AE3799" s="2944"/>
      <c r="AF3799" s="717"/>
      <c r="AG3799" s="717"/>
      <c r="AH3799" s="156"/>
      <c r="AI3799" s="156"/>
      <c r="AJ3799" s="156"/>
      <c r="AK3799" s="156"/>
      <c r="AL3799" s="156"/>
      <c r="AM3799" s="156"/>
      <c r="AN3799" s="156"/>
      <c r="AO3799" s="156"/>
      <c r="AP3799" s="156"/>
      <c r="AQ3799" s="156"/>
      <c r="AR3799" s="156"/>
      <c r="AS3799" s="156"/>
      <c r="AT3799" s="156"/>
      <c r="AU3799" s="156"/>
      <c r="AV3799" s="156"/>
      <c r="AW3799" s="156"/>
      <c r="AX3799" s="156"/>
      <c r="AY3799" s="156"/>
      <c r="AZ3799" s="156"/>
      <c r="BA3799" s="156"/>
      <c r="BB3799" s="2828"/>
      <c r="BC3799" s="452"/>
      <c r="BD3799" s="2829"/>
      <c r="BE3799" s="2837"/>
      <c r="BF3799" s="156"/>
    </row>
    <row r="3800" spans="1:58" s="3398" customFormat="1" ht="15" customHeight="1" outlineLevel="1" x14ac:dyDescent="0.35">
      <c r="A3800" s="1664"/>
      <c r="B3800" s="3499"/>
      <c r="C3800" s="3077"/>
      <c r="D3800" s="3980"/>
      <c r="E3800" s="3883"/>
      <c r="F3800" s="4182" t="str">
        <f t="shared" ref="F3800:F3801" si="423">E1656</f>
        <v>ASHP-SEER18-Replace_CAC_NonElectricHeat_ROF_SF</v>
      </c>
      <c r="G3800" s="3989"/>
      <c r="H3800" s="3989"/>
      <c r="I3800" s="3990"/>
      <c r="J3800" s="3509" t="str">
        <f t="shared" ref="J3800:J3801" si="424">C1656</f>
        <v>353210_2022_12_</v>
      </c>
      <c r="K3800" s="3510">
        <v>18</v>
      </c>
      <c r="L3800" s="704"/>
      <c r="M3800" s="3020"/>
      <c r="P3800" s="702"/>
      <c r="Q3800" s="574"/>
      <c r="R3800" s="702"/>
      <c r="T3800" s="3397"/>
      <c r="V3800" s="4129"/>
      <c r="W3800" s="717"/>
      <c r="X3800" s="717"/>
      <c r="Y3800" s="717"/>
      <c r="Z3800" s="717"/>
      <c r="AA3800" s="717"/>
      <c r="AB3800" s="717"/>
      <c r="AC3800" s="2930"/>
      <c r="AD3800" s="3510">
        <v>18</v>
      </c>
      <c r="AE3800" s="2944"/>
      <c r="AF3800" s="717"/>
      <c r="AG3800" s="717"/>
      <c r="AH3800" s="156"/>
      <c r="AI3800" s="156"/>
      <c r="AJ3800" s="156"/>
      <c r="AK3800" s="156"/>
      <c r="AL3800" s="156"/>
      <c r="AM3800" s="156"/>
      <c r="AN3800" s="156"/>
      <c r="AO3800" s="156"/>
      <c r="AP3800" s="156"/>
      <c r="AQ3800" s="156"/>
      <c r="AR3800" s="156"/>
      <c r="AS3800" s="156"/>
      <c r="AT3800" s="156"/>
      <c r="AU3800" s="156"/>
      <c r="AV3800" s="156"/>
      <c r="AW3800" s="156"/>
      <c r="AX3800" s="156"/>
      <c r="AY3800" s="156"/>
      <c r="AZ3800" s="156"/>
      <c r="BA3800" s="156"/>
      <c r="BB3800" s="2828"/>
      <c r="BC3800" s="452"/>
      <c r="BD3800" s="2829"/>
      <c r="BE3800" s="2837"/>
      <c r="BF3800" s="156"/>
    </row>
    <row r="3801" spans="1:58" s="3398" customFormat="1" ht="15" customHeight="1" outlineLevel="1" x14ac:dyDescent="0.35">
      <c r="A3801" s="1664"/>
      <c r="B3801" s="3499"/>
      <c r="C3801" s="3077"/>
      <c r="D3801" s="3980"/>
      <c r="E3801" s="3883"/>
      <c r="F3801" s="4182" t="str">
        <f t="shared" si="423"/>
        <v>ASHP-SEER18-Replace_CAC_NonElectricHeat_ROF_SF</v>
      </c>
      <c r="G3801" s="3989"/>
      <c r="H3801" s="3989"/>
      <c r="I3801" s="3990"/>
      <c r="J3801" s="3509" t="str">
        <f t="shared" si="424"/>
        <v>353210_2022_12_</v>
      </c>
      <c r="K3801" s="3510">
        <v>18</v>
      </c>
      <c r="L3801" s="704"/>
      <c r="M3801" s="3020"/>
      <c r="P3801" s="702"/>
      <c r="Q3801" s="574"/>
      <c r="R3801" s="702"/>
      <c r="T3801" s="3397"/>
      <c r="V3801" s="4129"/>
      <c r="W3801" s="717"/>
      <c r="X3801" s="717"/>
      <c r="Y3801" s="717"/>
      <c r="Z3801" s="717"/>
      <c r="AA3801" s="717"/>
      <c r="AB3801" s="717"/>
      <c r="AC3801" s="2930"/>
      <c r="AD3801" s="3510">
        <v>18</v>
      </c>
      <c r="AE3801" s="2944"/>
      <c r="AF3801" s="717"/>
      <c r="AG3801" s="717"/>
      <c r="AH3801" s="156"/>
      <c r="AI3801" s="156"/>
      <c r="AJ3801" s="156"/>
      <c r="AK3801" s="156"/>
      <c r="AL3801" s="156"/>
      <c r="AM3801" s="156"/>
      <c r="AN3801" s="156"/>
      <c r="AO3801" s="156"/>
      <c r="AP3801" s="156"/>
      <c r="AQ3801" s="156"/>
      <c r="AR3801" s="156"/>
      <c r="AS3801" s="156"/>
      <c r="AT3801" s="156"/>
      <c r="AU3801" s="156"/>
      <c r="AV3801" s="156"/>
      <c r="AW3801" s="156"/>
      <c r="AX3801" s="156"/>
      <c r="AY3801" s="156"/>
      <c r="AZ3801" s="156"/>
      <c r="BA3801" s="156"/>
      <c r="BB3801" s="2828"/>
      <c r="BC3801" s="452"/>
      <c r="BD3801" s="2829"/>
      <c r="BE3801" s="2837"/>
      <c r="BF3801" s="156"/>
    </row>
    <row r="3802" spans="1:58" ht="15" customHeight="1" outlineLevel="1" x14ac:dyDescent="0.35">
      <c r="A3802" s="1664"/>
      <c r="B3802" s="2812"/>
      <c r="C3802" s="3077"/>
      <c r="D3802" s="3980"/>
      <c r="E3802" s="3883"/>
      <c r="F3802" s="4120" t="str">
        <f t="shared" ref="F3802:F3811" si="425">E1658</f>
        <v>ASHP-SEER18-Replace_CAC_ElectricHeat_ROF_MF</v>
      </c>
      <c r="G3802" s="4121"/>
      <c r="H3802" s="4121"/>
      <c r="I3802" s="4122"/>
      <c r="J3802" s="3508" t="str">
        <f t="shared" ref="J3802:J3811" si="426">C1658</f>
        <v>353250_2021_12_</v>
      </c>
      <c r="K3802" s="717">
        <v>18</v>
      </c>
      <c r="L3802" s="704"/>
      <c r="M3802" s="3020"/>
      <c r="N3802" s="106"/>
      <c r="O3802" s="106"/>
      <c r="P3802" s="702"/>
      <c r="Q3802" s="574"/>
      <c r="R3802" s="702"/>
      <c r="S3802" s="106"/>
      <c r="T3802" s="486"/>
      <c r="U3802" s="106"/>
      <c r="V3802" s="4129"/>
      <c r="W3802" s="717">
        <v>18</v>
      </c>
      <c r="X3802" s="717">
        <v>18</v>
      </c>
      <c r="Y3802" s="717">
        <v>18</v>
      </c>
      <c r="Z3802" s="717">
        <v>18</v>
      </c>
      <c r="AA3802" s="717">
        <v>18</v>
      </c>
      <c r="AB3802" s="717">
        <v>18</v>
      </c>
      <c r="AC3802" s="2930">
        <v>18</v>
      </c>
      <c r="AD3802" s="717">
        <v>18</v>
      </c>
      <c r="AE3802" s="2944"/>
      <c r="AF3802" s="717"/>
      <c r="AG3802" s="717"/>
      <c r="AH3802" s="156"/>
      <c r="AI3802" s="156"/>
      <c r="AJ3802" s="156"/>
      <c r="AK3802" s="156"/>
      <c r="AL3802" s="156"/>
      <c r="AM3802" s="156"/>
      <c r="AN3802" s="156"/>
      <c r="AO3802" s="156"/>
      <c r="AP3802" s="156"/>
      <c r="AQ3802" s="156"/>
      <c r="AR3802" s="156"/>
      <c r="AS3802" s="156"/>
      <c r="AT3802" s="156"/>
      <c r="AU3802" s="156"/>
      <c r="AV3802" s="156"/>
      <c r="AW3802" s="156"/>
      <c r="AX3802" s="156"/>
      <c r="AY3802" s="156"/>
      <c r="AZ3802" s="156"/>
      <c r="BA3802" s="156"/>
      <c r="BB3802" s="2828"/>
      <c r="BC3802" s="452"/>
      <c r="BD3802" s="2829"/>
      <c r="BE3802" s="2837"/>
      <c r="BF3802" s="156"/>
    </row>
    <row r="3803" spans="1:58" ht="15" customHeight="1" outlineLevel="1" x14ac:dyDescent="0.35">
      <c r="A3803" s="1664"/>
      <c r="B3803" s="2812"/>
      <c r="C3803" s="3077"/>
      <c r="D3803" s="3980"/>
      <c r="E3803" s="3883"/>
      <c r="F3803" s="4120" t="str">
        <f t="shared" si="425"/>
        <v>ASHP-SEER18-Replace_CAC_ElectricHeat_ROF_MF</v>
      </c>
      <c r="G3803" s="4121"/>
      <c r="H3803" s="4121"/>
      <c r="I3803" s="4122"/>
      <c r="J3803" s="3508" t="str">
        <f t="shared" si="426"/>
        <v>353250_2021_12_</v>
      </c>
      <c r="K3803" s="718">
        <v>18</v>
      </c>
      <c r="L3803" s="704"/>
      <c r="M3803" s="3020"/>
      <c r="N3803" s="106"/>
      <c r="O3803" s="106"/>
      <c r="P3803" s="702"/>
      <c r="Q3803" s="574"/>
      <c r="R3803" s="702"/>
      <c r="S3803" s="106"/>
      <c r="T3803" s="486"/>
      <c r="U3803" s="106"/>
      <c r="V3803" s="4129"/>
      <c r="W3803" s="718">
        <v>18</v>
      </c>
      <c r="X3803" s="718">
        <v>18</v>
      </c>
      <c r="Y3803" s="718">
        <v>18</v>
      </c>
      <c r="Z3803" s="718">
        <v>18</v>
      </c>
      <c r="AA3803" s="718">
        <v>18</v>
      </c>
      <c r="AB3803" s="718">
        <v>18</v>
      </c>
      <c r="AC3803" s="2933">
        <v>18</v>
      </c>
      <c r="AD3803" s="717">
        <v>18</v>
      </c>
      <c r="AE3803" s="2945"/>
      <c r="AF3803" s="718"/>
      <c r="AG3803" s="718"/>
      <c r="AH3803" s="156"/>
      <c r="AI3803" s="156"/>
      <c r="AJ3803" s="156"/>
      <c r="AK3803" s="156"/>
      <c r="AL3803" s="156"/>
      <c r="AM3803" s="156"/>
      <c r="AN3803" s="156"/>
      <c r="AO3803" s="156"/>
      <c r="AP3803" s="156"/>
      <c r="AQ3803" s="156"/>
      <c r="AR3803" s="156"/>
      <c r="AS3803" s="156"/>
      <c r="AT3803" s="156"/>
      <c r="AU3803" s="156"/>
      <c r="AV3803" s="156"/>
      <c r="AW3803" s="156"/>
      <c r="AX3803" s="156"/>
      <c r="AY3803" s="156"/>
      <c r="AZ3803" s="156"/>
      <c r="BA3803" s="156"/>
      <c r="BB3803" s="2828"/>
      <c r="BC3803" s="452"/>
      <c r="BD3803" s="2829"/>
      <c r="BE3803" s="2837"/>
      <c r="BF3803" s="156"/>
    </row>
    <row r="3804" spans="1:58" ht="15" customHeight="1" outlineLevel="1" x14ac:dyDescent="0.35">
      <c r="A3804" s="1664"/>
      <c r="B3804" s="2812"/>
      <c r="C3804" s="3077"/>
      <c r="D3804" s="3980"/>
      <c r="E3804" s="3883"/>
      <c r="F3804" s="4120" t="str">
        <f t="shared" si="425"/>
        <v>ASHP-SEER18-Replace_CAC_ElectricHeat_ROF_MF_CompE</v>
      </c>
      <c r="G3804" s="4121"/>
      <c r="H3804" s="4121"/>
      <c r="I3804" s="4122"/>
      <c r="J3804" s="3508" t="str">
        <f t="shared" si="426"/>
        <v>353251_2021_12_</v>
      </c>
      <c r="K3804" s="717">
        <v>18</v>
      </c>
      <c r="L3804" s="704"/>
      <c r="M3804" s="3020"/>
      <c r="N3804" s="106"/>
      <c r="O3804" s="106"/>
      <c r="P3804" s="702"/>
      <c r="Q3804" s="574"/>
      <c r="R3804" s="702"/>
      <c r="S3804" s="106"/>
      <c r="T3804" s="486"/>
      <c r="U3804" s="106"/>
      <c r="V3804" s="4129"/>
      <c r="W3804" s="718"/>
      <c r="X3804" s="718"/>
      <c r="Y3804" s="718"/>
      <c r="Z3804" s="718"/>
      <c r="AA3804" s="718"/>
      <c r="AB3804" s="718"/>
      <c r="AC3804" s="2932">
        <v>18</v>
      </c>
      <c r="AD3804" s="717">
        <v>18</v>
      </c>
      <c r="AE3804" s="2945"/>
      <c r="AF3804" s="718"/>
      <c r="AG3804" s="718"/>
      <c r="AH3804" s="156"/>
      <c r="AI3804" s="156"/>
      <c r="AJ3804" s="156"/>
      <c r="AK3804" s="156"/>
      <c r="AL3804" s="156"/>
      <c r="AM3804" s="156"/>
      <c r="AN3804" s="156"/>
      <c r="AO3804" s="156"/>
      <c r="AP3804" s="156"/>
      <c r="AQ3804" s="156"/>
      <c r="AR3804" s="156"/>
      <c r="AS3804" s="156"/>
      <c r="AT3804" s="156"/>
      <c r="AU3804" s="156"/>
      <c r="AV3804" s="156"/>
      <c r="AW3804" s="156"/>
      <c r="AX3804" s="156"/>
      <c r="AY3804" s="156"/>
      <c r="AZ3804" s="156"/>
      <c r="BA3804" s="156"/>
      <c r="BB3804" s="2828"/>
      <c r="BC3804" s="452"/>
      <c r="BD3804" s="2829"/>
      <c r="BE3804" s="2837"/>
      <c r="BF3804" s="156"/>
    </row>
    <row r="3805" spans="1:58" ht="15" customHeight="1" outlineLevel="1" x14ac:dyDescent="0.35">
      <c r="A3805" s="1664"/>
      <c r="B3805" s="2812"/>
      <c r="C3805" s="3077"/>
      <c r="D3805" s="3980"/>
      <c r="E3805" s="3883"/>
      <c r="F3805" s="4120" t="str">
        <f t="shared" si="425"/>
        <v>ASHP-SEER18-Replace_CAC_ElectricHeat_ROF_MF_CompE</v>
      </c>
      <c r="G3805" s="4121"/>
      <c r="H3805" s="4121"/>
      <c r="I3805" s="4122"/>
      <c r="J3805" s="3508" t="str">
        <f t="shared" si="426"/>
        <v>353251_2021_12_</v>
      </c>
      <c r="K3805" s="718">
        <v>18</v>
      </c>
      <c r="L3805" s="704"/>
      <c r="M3805" s="3020"/>
      <c r="N3805" s="106"/>
      <c r="O3805" s="106"/>
      <c r="P3805" s="702"/>
      <c r="Q3805" s="574"/>
      <c r="R3805" s="702"/>
      <c r="S3805" s="106"/>
      <c r="T3805" s="486"/>
      <c r="U3805" s="106"/>
      <c r="V3805" s="4129"/>
      <c r="W3805" s="718"/>
      <c r="X3805" s="718"/>
      <c r="Y3805" s="718"/>
      <c r="Z3805" s="718"/>
      <c r="AA3805" s="718"/>
      <c r="AB3805" s="718"/>
      <c r="AC3805" s="2931">
        <v>18</v>
      </c>
      <c r="AD3805" s="717">
        <v>18</v>
      </c>
      <c r="AE3805" s="2945"/>
      <c r="AF3805" s="718"/>
      <c r="AG3805" s="718"/>
      <c r="AH3805" s="156"/>
      <c r="AI3805" s="156"/>
      <c r="AJ3805" s="156"/>
      <c r="AK3805" s="156"/>
      <c r="AL3805" s="156"/>
      <c r="AM3805" s="156"/>
      <c r="AN3805" s="156"/>
      <c r="AO3805" s="156"/>
      <c r="AP3805" s="156"/>
      <c r="AQ3805" s="156"/>
      <c r="AR3805" s="156"/>
      <c r="AS3805" s="156"/>
      <c r="AT3805" s="156"/>
      <c r="AU3805" s="156"/>
      <c r="AV3805" s="156"/>
      <c r="AW3805" s="156"/>
      <c r="AX3805" s="156"/>
      <c r="AY3805" s="156"/>
      <c r="AZ3805" s="156"/>
      <c r="BA3805" s="156"/>
      <c r="BB3805" s="2828"/>
      <c r="BC3805" s="452"/>
      <c r="BD3805" s="2829"/>
      <c r="BE3805" s="2837"/>
      <c r="BF3805" s="156"/>
    </row>
    <row r="3806" spans="1:58" ht="15" customHeight="1" outlineLevel="1" x14ac:dyDescent="0.35">
      <c r="A3806" s="1664"/>
      <c r="B3806" s="2812"/>
      <c r="C3806" s="3077"/>
      <c r="D3806" s="3980"/>
      <c r="E3806" s="3883"/>
      <c r="F3806" s="4120" t="str">
        <f t="shared" si="425"/>
        <v>ASHP-SEER18-Replace_CAC_NonElectricHeat_ROF_MF</v>
      </c>
      <c r="G3806" s="4121"/>
      <c r="H3806" s="4121"/>
      <c r="I3806" s="4122"/>
      <c r="J3806" s="3508" t="str">
        <f t="shared" si="426"/>
        <v>353260_2021_12_</v>
      </c>
      <c r="K3806" s="718">
        <v>18</v>
      </c>
      <c r="L3806" s="704"/>
      <c r="M3806" s="3020"/>
      <c r="N3806" s="106"/>
      <c r="O3806" s="106"/>
      <c r="P3806" s="702"/>
      <c r="Q3806" s="574"/>
      <c r="R3806" s="702"/>
      <c r="S3806" s="106"/>
      <c r="T3806" s="486"/>
      <c r="U3806" s="106"/>
      <c r="V3806" s="4129"/>
      <c r="W3806" s="718"/>
      <c r="X3806" s="718"/>
      <c r="Y3806" s="718"/>
      <c r="Z3806" s="718"/>
      <c r="AA3806" s="718"/>
      <c r="AB3806" s="718"/>
      <c r="AC3806" s="2931">
        <v>18</v>
      </c>
      <c r="AD3806" s="717">
        <v>18</v>
      </c>
      <c r="AE3806" s="2945"/>
      <c r="AF3806" s="718"/>
      <c r="AG3806" s="718"/>
      <c r="AH3806" s="156"/>
      <c r="AI3806" s="156"/>
      <c r="AJ3806" s="156"/>
      <c r="AK3806" s="156"/>
      <c r="AL3806" s="156"/>
      <c r="AM3806" s="156"/>
      <c r="AN3806" s="156"/>
      <c r="AO3806" s="156"/>
      <c r="AP3806" s="156"/>
      <c r="AQ3806" s="156"/>
      <c r="AR3806" s="156"/>
      <c r="AS3806" s="156"/>
      <c r="AT3806" s="156"/>
      <c r="AU3806" s="156"/>
      <c r="AV3806" s="156"/>
      <c r="AW3806" s="156"/>
      <c r="AX3806" s="156"/>
      <c r="AY3806" s="156"/>
      <c r="AZ3806" s="156"/>
      <c r="BA3806" s="156"/>
      <c r="BB3806" s="2828"/>
      <c r="BC3806" s="452"/>
      <c r="BD3806" s="2829"/>
      <c r="BE3806" s="2837"/>
      <c r="BF3806" s="156"/>
    </row>
    <row r="3807" spans="1:58" ht="15" customHeight="1" outlineLevel="1" x14ac:dyDescent="0.35">
      <c r="A3807" s="1664"/>
      <c r="B3807" s="2812"/>
      <c r="C3807" s="3077"/>
      <c r="D3807" s="3980"/>
      <c r="E3807" s="3883"/>
      <c r="F3807" s="4120" t="str">
        <f t="shared" si="425"/>
        <v>ASHP-SEER18-Replace_CAC_NonElectricHeat_ROF_MF</v>
      </c>
      <c r="G3807" s="4121"/>
      <c r="H3807" s="4121"/>
      <c r="I3807" s="4122"/>
      <c r="J3807" s="3508" t="str">
        <f t="shared" si="426"/>
        <v>353260_2021_12_</v>
      </c>
      <c r="K3807" s="718">
        <v>18</v>
      </c>
      <c r="L3807" s="704"/>
      <c r="M3807" s="3020"/>
      <c r="N3807" s="106"/>
      <c r="O3807" s="106"/>
      <c r="P3807" s="702"/>
      <c r="Q3807" s="574"/>
      <c r="R3807" s="702"/>
      <c r="S3807" s="106"/>
      <c r="T3807" s="486"/>
      <c r="U3807" s="106"/>
      <c r="V3807" s="4129"/>
      <c r="W3807" s="718"/>
      <c r="X3807" s="718"/>
      <c r="Y3807" s="718"/>
      <c r="Z3807" s="718"/>
      <c r="AA3807" s="718"/>
      <c r="AB3807" s="718"/>
      <c r="AC3807" s="2931">
        <v>18</v>
      </c>
      <c r="AD3807" s="717">
        <v>18</v>
      </c>
      <c r="AE3807" s="2945"/>
      <c r="AF3807" s="718"/>
      <c r="AG3807" s="718"/>
      <c r="AH3807" s="156"/>
      <c r="AI3807" s="156"/>
      <c r="AJ3807" s="156"/>
      <c r="AK3807" s="156"/>
      <c r="AL3807" s="156"/>
      <c r="AM3807" s="156"/>
      <c r="AN3807" s="156"/>
      <c r="AO3807" s="156"/>
      <c r="AP3807" s="156"/>
      <c r="AQ3807" s="156"/>
      <c r="AR3807" s="156"/>
      <c r="AS3807" s="156"/>
      <c r="AT3807" s="156"/>
      <c r="AU3807" s="156"/>
      <c r="AV3807" s="156"/>
      <c r="AW3807" s="156"/>
      <c r="AX3807" s="156"/>
      <c r="AY3807" s="156"/>
      <c r="AZ3807" s="156"/>
      <c r="BA3807" s="156"/>
      <c r="BB3807" s="2828"/>
      <c r="BC3807" s="452"/>
      <c r="BD3807" s="2829"/>
      <c r="BE3807" s="2837"/>
      <c r="BF3807" s="156"/>
    </row>
    <row r="3808" spans="1:58" ht="15" customHeight="1" outlineLevel="1" x14ac:dyDescent="0.35">
      <c r="A3808" s="1664"/>
      <c r="B3808" s="2812"/>
      <c r="C3808" s="3077"/>
      <c r="D3808" s="3980"/>
      <c r="E3808" s="3883"/>
      <c r="F3808" s="4120" t="str">
        <f t="shared" si="425"/>
        <v>ASHP-SEER18-Replace_CAC_NonElectricHeat_ROF_MF_CompE</v>
      </c>
      <c r="G3808" s="4121"/>
      <c r="H3808" s="4121"/>
      <c r="I3808" s="4122"/>
      <c r="J3808" s="3508" t="str">
        <f t="shared" si="426"/>
        <v>353261_2021_12_</v>
      </c>
      <c r="K3808" s="718">
        <v>18</v>
      </c>
      <c r="L3808" s="704"/>
      <c r="M3808" s="3020"/>
      <c r="N3808" s="106"/>
      <c r="O3808" s="106"/>
      <c r="P3808" s="702"/>
      <c r="Q3808" s="574"/>
      <c r="R3808" s="702"/>
      <c r="S3808" s="106"/>
      <c r="T3808" s="486"/>
      <c r="U3808" s="106"/>
      <c r="V3808" s="4129"/>
      <c r="W3808" s="718"/>
      <c r="X3808" s="718"/>
      <c r="Y3808" s="718"/>
      <c r="Z3808" s="718"/>
      <c r="AA3808" s="718"/>
      <c r="AB3808" s="718"/>
      <c r="AC3808" s="2931">
        <v>18</v>
      </c>
      <c r="AD3808" s="717">
        <v>18</v>
      </c>
      <c r="AE3808" s="2945"/>
      <c r="AF3808" s="718"/>
      <c r="AG3808" s="718"/>
      <c r="AH3808" s="156"/>
      <c r="AI3808" s="156"/>
      <c r="AJ3808" s="156"/>
      <c r="AK3808" s="156"/>
      <c r="AL3808" s="156"/>
      <c r="AM3808" s="156"/>
      <c r="AN3808" s="156"/>
      <c r="AO3808" s="156"/>
      <c r="AP3808" s="156"/>
      <c r="AQ3808" s="156"/>
      <c r="AR3808" s="156"/>
      <c r="AS3808" s="156"/>
      <c r="AT3808" s="156"/>
      <c r="AU3808" s="156"/>
      <c r="AV3808" s="156"/>
      <c r="AW3808" s="156"/>
      <c r="AX3808" s="156"/>
      <c r="AY3808" s="156"/>
      <c r="AZ3808" s="156"/>
      <c r="BA3808" s="156"/>
      <c r="BB3808" s="2828"/>
      <c r="BC3808" s="452"/>
      <c r="BD3808" s="2829"/>
      <c r="BE3808" s="2837"/>
      <c r="BF3808" s="156"/>
    </row>
    <row r="3809" spans="1:58" ht="15" customHeight="1" outlineLevel="1" x14ac:dyDescent="0.35">
      <c r="A3809" s="1664"/>
      <c r="B3809" s="2812"/>
      <c r="C3809" s="3077"/>
      <c r="D3809" s="3980"/>
      <c r="E3809" s="3883"/>
      <c r="F3809" s="4120" t="str">
        <f t="shared" si="425"/>
        <v>ASHP-SEER18-Replace_CAC_NonElectricHeat_ROF_MF_CompE</v>
      </c>
      <c r="G3809" s="4121"/>
      <c r="H3809" s="4121"/>
      <c r="I3809" s="4122"/>
      <c r="J3809" s="3508" t="str">
        <f t="shared" si="426"/>
        <v>353261_2021_12_</v>
      </c>
      <c r="K3809" s="718">
        <v>18</v>
      </c>
      <c r="L3809" s="704"/>
      <c r="M3809" s="3020"/>
      <c r="N3809" s="106"/>
      <c r="O3809" s="106"/>
      <c r="P3809" s="702"/>
      <c r="Q3809" s="574"/>
      <c r="R3809" s="702"/>
      <c r="S3809" s="106"/>
      <c r="T3809" s="486"/>
      <c r="U3809" s="106"/>
      <c r="V3809" s="4129"/>
      <c r="W3809" s="718"/>
      <c r="X3809" s="718"/>
      <c r="Y3809" s="718"/>
      <c r="Z3809" s="718"/>
      <c r="AA3809" s="718"/>
      <c r="AB3809" s="718"/>
      <c r="AC3809" s="2931">
        <v>18</v>
      </c>
      <c r="AD3809" s="717">
        <v>18</v>
      </c>
      <c r="AE3809" s="2945"/>
      <c r="AF3809" s="718"/>
      <c r="AG3809" s="718"/>
      <c r="AH3809" s="156"/>
      <c r="AI3809" s="156"/>
      <c r="AJ3809" s="156"/>
      <c r="AK3809" s="156"/>
      <c r="AL3809" s="156"/>
      <c r="AM3809" s="156"/>
      <c r="AN3809" s="156"/>
      <c r="AO3809" s="156"/>
      <c r="AP3809" s="156"/>
      <c r="AQ3809" s="156"/>
      <c r="AR3809" s="156"/>
      <c r="AS3809" s="156"/>
      <c r="AT3809" s="156"/>
      <c r="AU3809" s="156"/>
      <c r="AV3809" s="156"/>
      <c r="AW3809" s="156"/>
      <c r="AX3809" s="156"/>
      <c r="AY3809" s="156"/>
      <c r="AZ3809" s="156"/>
      <c r="BA3809" s="156"/>
      <c r="BB3809" s="2828"/>
      <c r="BC3809" s="452"/>
      <c r="BD3809" s="2829"/>
      <c r="BE3809" s="2837"/>
      <c r="BF3809" s="156"/>
    </row>
    <row r="3810" spans="1:58" ht="14.5" customHeight="1" outlineLevel="1" x14ac:dyDescent="0.35">
      <c r="A3810" s="1664"/>
      <c r="B3810" s="2812"/>
      <c r="C3810" s="3077"/>
      <c r="D3810" s="3980"/>
      <c r="E3810" s="3883"/>
      <c r="F3810" s="4120" t="str">
        <f t="shared" si="425"/>
        <v>ASHP-SEER19-Replace_CAC_ElectricHeat_ROF_SF</v>
      </c>
      <c r="G3810" s="4121"/>
      <c r="H3810" s="4121"/>
      <c r="I3810" s="4122"/>
      <c r="J3810" s="3508" t="str">
        <f t="shared" si="426"/>
        <v>353300_2021_12_</v>
      </c>
      <c r="K3810" s="717">
        <v>18</v>
      </c>
      <c r="L3810" s="704"/>
      <c r="M3810" s="3020"/>
      <c r="N3810" s="106"/>
      <c r="O3810" s="106"/>
      <c r="P3810" s="702"/>
      <c r="Q3810" s="574"/>
      <c r="R3810" s="702"/>
      <c r="S3810" s="106"/>
      <c r="T3810" s="486"/>
      <c r="U3810" s="106"/>
      <c r="V3810" s="4129"/>
      <c r="W3810" s="717">
        <v>18</v>
      </c>
      <c r="X3810" s="717">
        <v>18</v>
      </c>
      <c r="Y3810" s="717">
        <v>18</v>
      </c>
      <c r="Z3810" s="717">
        <v>18</v>
      </c>
      <c r="AA3810" s="717">
        <v>18</v>
      </c>
      <c r="AB3810" s="717">
        <v>18</v>
      </c>
      <c r="AC3810" s="2930">
        <v>18</v>
      </c>
      <c r="AD3810" s="717">
        <v>18</v>
      </c>
      <c r="AE3810" s="2944"/>
      <c r="AF3810" s="717"/>
      <c r="AG3810" s="717"/>
      <c r="AH3810" s="156"/>
      <c r="AI3810" s="156"/>
      <c r="AJ3810" s="156"/>
      <c r="AK3810" s="156"/>
      <c r="AL3810" s="156"/>
      <c r="AM3810" s="156"/>
      <c r="AN3810" s="156"/>
      <c r="AO3810" s="156"/>
      <c r="AP3810" s="156"/>
      <c r="AQ3810" s="156"/>
      <c r="AR3810" s="156"/>
      <c r="AS3810" s="156"/>
      <c r="AT3810" s="156"/>
      <c r="AU3810" s="156"/>
      <c r="AV3810" s="156"/>
      <c r="AW3810" s="156"/>
      <c r="AX3810" s="156"/>
      <c r="AY3810" s="156"/>
      <c r="AZ3810" s="156"/>
      <c r="BA3810" s="156"/>
      <c r="BB3810" s="2828"/>
      <c r="BC3810" s="452"/>
      <c r="BD3810" s="2829"/>
      <c r="BE3810" s="2837"/>
      <c r="BF3810" s="156"/>
    </row>
    <row r="3811" spans="1:58" ht="14.5" customHeight="1" outlineLevel="1" x14ac:dyDescent="0.35">
      <c r="A3811" s="1664"/>
      <c r="B3811" s="2812"/>
      <c r="C3811" s="3077"/>
      <c r="D3811" s="3980"/>
      <c r="E3811" s="3883"/>
      <c r="F3811" s="4120" t="str">
        <f t="shared" si="425"/>
        <v>ASHP-SEER19-Replace_CAC_ElectricHeat_ROF_SF</v>
      </c>
      <c r="G3811" s="4121"/>
      <c r="H3811" s="4121"/>
      <c r="I3811" s="4122"/>
      <c r="J3811" s="3508" t="str">
        <f t="shared" si="426"/>
        <v>353300_2021_12_</v>
      </c>
      <c r="K3811" s="717">
        <v>18</v>
      </c>
      <c r="L3811" s="704"/>
      <c r="M3811" s="3020"/>
      <c r="N3811" s="106"/>
      <c r="O3811" s="106"/>
      <c r="P3811" s="702"/>
      <c r="Q3811" s="574"/>
      <c r="R3811" s="702"/>
      <c r="S3811" s="106"/>
      <c r="T3811" s="486"/>
      <c r="U3811" s="106"/>
      <c r="V3811" s="4129"/>
      <c r="W3811" s="717">
        <v>18</v>
      </c>
      <c r="X3811" s="717">
        <v>18</v>
      </c>
      <c r="Y3811" s="717">
        <v>18</v>
      </c>
      <c r="Z3811" s="717">
        <v>18</v>
      </c>
      <c r="AA3811" s="717">
        <v>18</v>
      </c>
      <c r="AB3811" s="717">
        <v>18</v>
      </c>
      <c r="AC3811" s="2930">
        <v>18</v>
      </c>
      <c r="AD3811" s="717">
        <v>18</v>
      </c>
      <c r="AE3811" s="2944"/>
      <c r="AF3811" s="717"/>
      <c r="AG3811" s="717"/>
      <c r="AH3811" s="156"/>
      <c r="AI3811" s="156"/>
      <c r="AJ3811" s="156"/>
      <c r="AK3811" s="156"/>
      <c r="AL3811" s="156"/>
      <c r="AM3811" s="156"/>
      <c r="AN3811" s="156"/>
      <c r="AO3811" s="156"/>
      <c r="AP3811" s="156"/>
      <c r="AQ3811" s="156"/>
      <c r="AR3811" s="156"/>
      <c r="AS3811" s="156"/>
      <c r="AT3811" s="156"/>
      <c r="AU3811" s="156"/>
      <c r="AV3811" s="156"/>
      <c r="AW3811" s="156"/>
      <c r="AX3811" s="156"/>
      <c r="AY3811" s="156"/>
      <c r="AZ3811" s="156"/>
      <c r="BA3811" s="156"/>
      <c r="BB3811" s="2828"/>
      <c r="BC3811" s="452"/>
      <c r="BD3811" s="2829"/>
      <c r="BE3811" s="2837"/>
      <c r="BF3811" s="156"/>
    </row>
    <row r="3812" spans="1:58" s="3398" customFormat="1" ht="14.5" customHeight="1" outlineLevel="1" x14ac:dyDescent="0.35">
      <c r="A3812" s="1664"/>
      <c r="B3812" s="3499"/>
      <c r="C3812" s="3077"/>
      <c r="D3812" s="3980"/>
      <c r="E3812" s="3883"/>
      <c r="F3812" s="4182" t="str">
        <f t="shared" ref="F3812:F3813" si="427">E1668</f>
        <v>ASHP-SEER19-Replace_CAC_NonElectricHeat_ROF_SF</v>
      </c>
      <c r="G3812" s="3989"/>
      <c r="H3812" s="3989"/>
      <c r="I3812" s="3990"/>
      <c r="J3812" s="3509" t="str">
        <f t="shared" ref="J3812:J3813" si="428">C1668</f>
        <v>353310_2022_12_</v>
      </c>
      <c r="K3812" s="3510">
        <v>18</v>
      </c>
      <c r="L3812" s="704"/>
      <c r="M3812" s="3020"/>
      <c r="P3812" s="702"/>
      <c r="Q3812" s="574"/>
      <c r="R3812" s="702"/>
      <c r="T3812" s="3397"/>
      <c r="V3812" s="4129"/>
      <c r="W3812" s="717"/>
      <c r="X3812" s="717"/>
      <c r="Y3812" s="717"/>
      <c r="Z3812" s="717"/>
      <c r="AA3812" s="717"/>
      <c r="AB3812" s="717"/>
      <c r="AC3812" s="2930"/>
      <c r="AD3812" s="3510">
        <v>18</v>
      </c>
      <c r="AE3812" s="2944"/>
      <c r="AF3812" s="717"/>
      <c r="AG3812" s="717"/>
      <c r="AH3812" s="156"/>
      <c r="AI3812" s="156"/>
      <c r="AJ3812" s="156"/>
      <c r="AK3812" s="156"/>
      <c r="AL3812" s="156"/>
      <c r="AM3812" s="156"/>
      <c r="AN3812" s="156"/>
      <c r="AO3812" s="156"/>
      <c r="AP3812" s="156"/>
      <c r="AQ3812" s="156"/>
      <c r="AR3812" s="156"/>
      <c r="AS3812" s="156"/>
      <c r="AT3812" s="156"/>
      <c r="AU3812" s="156"/>
      <c r="AV3812" s="156"/>
      <c r="AW3812" s="156"/>
      <c r="AX3812" s="156"/>
      <c r="AY3812" s="156"/>
      <c r="AZ3812" s="156"/>
      <c r="BA3812" s="156"/>
      <c r="BB3812" s="2828"/>
      <c r="BC3812" s="452"/>
      <c r="BD3812" s="2829"/>
      <c r="BE3812" s="2837"/>
      <c r="BF3812" s="156"/>
    </row>
    <row r="3813" spans="1:58" s="3398" customFormat="1" ht="14.5" customHeight="1" outlineLevel="1" x14ac:dyDescent="0.35">
      <c r="A3813" s="1664"/>
      <c r="B3813" s="3499"/>
      <c r="C3813" s="3077"/>
      <c r="D3813" s="3980"/>
      <c r="E3813" s="3883"/>
      <c r="F3813" s="4182" t="str">
        <f t="shared" si="427"/>
        <v>ASHP-SEER19-Replace_CAC_NonElectricHeat_ROF_SF</v>
      </c>
      <c r="G3813" s="3989"/>
      <c r="H3813" s="3989"/>
      <c r="I3813" s="3990"/>
      <c r="J3813" s="3509" t="str">
        <f t="shared" si="428"/>
        <v>353310_2022_12_</v>
      </c>
      <c r="K3813" s="3510">
        <v>18</v>
      </c>
      <c r="L3813" s="704"/>
      <c r="M3813" s="3020"/>
      <c r="P3813" s="702"/>
      <c r="Q3813" s="574"/>
      <c r="R3813" s="702"/>
      <c r="T3813" s="3397"/>
      <c r="V3813" s="4129"/>
      <c r="W3813" s="717"/>
      <c r="X3813" s="717"/>
      <c r="Y3813" s="717"/>
      <c r="Z3813" s="717"/>
      <c r="AA3813" s="717"/>
      <c r="AB3813" s="717"/>
      <c r="AC3813" s="2930"/>
      <c r="AD3813" s="3510">
        <v>18</v>
      </c>
      <c r="AE3813" s="2944"/>
      <c r="AF3813" s="717"/>
      <c r="AG3813" s="717"/>
      <c r="AH3813" s="156"/>
      <c r="AI3813" s="156"/>
      <c r="AJ3813" s="156"/>
      <c r="AK3813" s="156"/>
      <c r="AL3813" s="156"/>
      <c r="AM3813" s="156"/>
      <c r="AN3813" s="156"/>
      <c r="AO3813" s="156"/>
      <c r="AP3813" s="156"/>
      <c r="AQ3813" s="156"/>
      <c r="AR3813" s="156"/>
      <c r="AS3813" s="156"/>
      <c r="AT3813" s="156"/>
      <c r="AU3813" s="156"/>
      <c r="AV3813" s="156"/>
      <c r="AW3813" s="156"/>
      <c r="AX3813" s="156"/>
      <c r="AY3813" s="156"/>
      <c r="AZ3813" s="156"/>
      <c r="BA3813" s="156"/>
      <c r="BB3813" s="2828"/>
      <c r="BC3813" s="452"/>
      <c r="BD3813" s="2829"/>
      <c r="BE3813" s="2837"/>
      <c r="BF3813" s="156"/>
    </row>
    <row r="3814" spans="1:58" ht="14.5" customHeight="1" outlineLevel="1" x14ac:dyDescent="0.35">
      <c r="A3814" s="1664"/>
      <c r="B3814" s="2812"/>
      <c r="C3814" s="3077"/>
      <c r="D3814" s="3980"/>
      <c r="E3814" s="3883"/>
      <c r="F3814" s="4120" t="str">
        <f t="shared" ref="F3814:F3831" si="429">E1670</f>
        <v>ASHP-SEER19-Replace_CAC_ElectricHeat_ROF_MF</v>
      </c>
      <c r="G3814" s="4121"/>
      <c r="H3814" s="4121"/>
      <c r="I3814" s="4122"/>
      <c r="J3814" s="3508" t="str">
        <f t="shared" ref="J3814:J3831" si="430">C1670</f>
        <v>353350_2021_12_</v>
      </c>
      <c r="K3814" s="717">
        <v>18</v>
      </c>
      <c r="L3814" s="704"/>
      <c r="M3814" s="3020"/>
      <c r="N3814" s="106"/>
      <c r="O3814" s="106"/>
      <c r="P3814" s="702"/>
      <c r="Q3814" s="574"/>
      <c r="R3814" s="702"/>
      <c r="S3814" s="106"/>
      <c r="T3814" s="486"/>
      <c r="U3814" s="106"/>
      <c r="V3814" s="4129"/>
      <c r="W3814" s="717">
        <v>18</v>
      </c>
      <c r="X3814" s="717">
        <v>18</v>
      </c>
      <c r="Y3814" s="717">
        <v>18</v>
      </c>
      <c r="Z3814" s="717">
        <v>18</v>
      </c>
      <c r="AA3814" s="717">
        <v>18</v>
      </c>
      <c r="AB3814" s="717">
        <v>18</v>
      </c>
      <c r="AC3814" s="2930">
        <v>18</v>
      </c>
      <c r="AD3814" s="717">
        <v>18</v>
      </c>
      <c r="AE3814" s="2944"/>
      <c r="AF3814" s="717"/>
      <c r="AG3814" s="717"/>
      <c r="AH3814" s="156"/>
      <c r="AI3814" s="156"/>
      <c r="AJ3814" s="156"/>
      <c r="AK3814" s="156"/>
      <c r="AL3814" s="156"/>
      <c r="AM3814" s="156"/>
      <c r="AN3814" s="156"/>
      <c r="AO3814" s="156"/>
      <c r="AP3814" s="156"/>
      <c r="AQ3814" s="156"/>
      <c r="AR3814" s="156"/>
      <c r="AS3814" s="156"/>
      <c r="AT3814" s="156"/>
      <c r="AU3814" s="156"/>
      <c r="AV3814" s="156"/>
      <c r="AW3814" s="156"/>
      <c r="AX3814" s="156"/>
      <c r="AY3814" s="156"/>
      <c r="AZ3814" s="156"/>
      <c r="BA3814" s="156"/>
      <c r="BB3814" s="2828"/>
      <c r="BC3814" s="452"/>
      <c r="BD3814" s="2829"/>
      <c r="BE3814" s="2837"/>
      <c r="BF3814" s="156"/>
    </row>
    <row r="3815" spans="1:58" ht="14.5" customHeight="1" outlineLevel="1" x14ac:dyDescent="0.35">
      <c r="A3815" s="1664"/>
      <c r="B3815" s="2812"/>
      <c r="C3815" s="3077"/>
      <c r="D3815" s="3980"/>
      <c r="E3815" s="3883"/>
      <c r="F3815" s="4120" t="str">
        <f t="shared" si="429"/>
        <v>ASHP-SEER19-Replace_CAC_ElectricHeat_ROF_MF</v>
      </c>
      <c r="G3815" s="4121"/>
      <c r="H3815" s="4121"/>
      <c r="I3815" s="4122"/>
      <c r="J3815" s="3508" t="str">
        <f t="shared" si="430"/>
        <v>353350_2021_12_</v>
      </c>
      <c r="K3815" s="717">
        <v>18</v>
      </c>
      <c r="L3815" s="704"/>
      <c r="M3815" s="3020"/>
      <c r="N3815" s="106"/>
      <c r="O3815" s="106"/>
      <c r="P3815" s="702"/>
      <c r="Q3815" s="574"/>
      <c r="R3815" s="702"/>
      <c r="S3815" s="106"/>
      <c r="T3815" s="486"/>
      <c r="U3815" s="106"/>
      <c r="V3815" s="4129"/>
      <c r="W3815" s="717">
        <v>18</v>
      </c>
      <c r="X3815" s="717">
        <v>18</v>
      </c>
      <c r="Y3815" s="717">
        <v>18</v>
      </c>
      <c r="Z3815" s="717">
        <v>18</v>
      </c>
      <c r="AA3815" s="717">
        <v>18</v>
      </c>
      <c r="AB3815" s="717">
        <v>18</v>
      </c>
      <c r="AC3815" s="2930">
        <v>18</v>
      </c>
      <c r="AD3815" s="717">
        <v>18</v>
      </c>
      <c r="AE3815" s="2944"/>
      <c r="AF3815" s="717"/>
      <c r="AG3815" s="717"/>
      <c r="AH3815" s="156"/>
      <c r="AI3815" s="156"/>
      <c r="AJ3815" s="156"/>
      <c r="AK3815" s="156"/>
      <c r="AL3815" s="156"/>
      <c r="AM3815" s="156"/>
      <c r="AN3815" s="156"/>
      <c r="AO3815" s="156"/>
      <c r="AP3815" s="156"/>
      <c r="AQ3815" s="156"/>
      <c r="AR3815" s="156"/>
      <c r="AS3815" s="156"/>
      <c r="AT3815" s="156"/>
      <c r="AU3815" s="156"/>
      <c r="AV3815" s="156"/>
      <c r="AW3815" s="156"/>
      <c r="AX3815" s="156"/>
      <c r="AY3815" s="156"/>
      <c r="AZ3815" s="156"/>
      <c r="BA3815" s="156"/>
      <c r="BB3815" s="2828"/>
      <c r="BC3815" s="452"/>
      <c r="BD3815" s="2829"/>
      <c r="BE3815" s="2837"/>
      <c r="BF3815" s="156"/>
    </row>
    <row r="3816" spans="1:58" ht="14.5" customHeight="1" outlineLevel="1" x14ac:dyDescent="0.35">
      <c r="A3816" s="1664"/>
      <c r="B3816" s="2812"/>
      <c r="C3816" s="3077"/>
      <c r="D3816" s="3980"/>
      <c r="E3816" s="3883"/>
      <c r="F3816" s="4120" t="str">
        <f t="shared" si="429"/>
        <v>ASHP-SEER19-Replace_CAC_ElectricHeat_ROF_MF_CompE</v>
      </c>
      <c r="G3816" s="4121"/>
      <c r="H3816" s="4121"/>
      <c r="I3816" s="4122"/>
      <c r="J3816" s="3508" t="str">
        <f t="shared" si="430"/>
        <v>353351_2019_12_</v>
      </c>
      <c r="K3816" s="717">
        <v>18</v>
      </c>
      <c r="L3816" s="704"/>
      <c r="M3816" s="3020"/>
      <c r="N3816" s="106"/>
      <c r="O3816" s="106"/>
      <c r="P3816" s="702"/>
      <c r="Q3816" s="574"/>
      <c r="R3816" s="702"/>
      <c r="S3816" s="106"/>
      <c r="T3816" s="486"/>
      <c r="U3816" s="106"/>
      <c r="V3816" s="4129"/>
      <c r="W3816" s="717"/>
      <c r="X3816" s="717"/>
      <c r="Y3816" s="717"/>
      <c r="Z3816" s="717"/>
      <c r="AA3816" s="717"/>
      <c r="AB3816" s="717"/>
      <c r="AC3816" s="2932">
        <v>18</v>
      </c>
      <c r="AD3816" s="717">
        <v>18</v>
      </c>
      <c r="AE3816" s="2944"/>
      <c r="AF3816" s="717"/>
      <c r="AG3816" s="717"/>
      <c r="AH3816" s="156"/>
      <c r="AI3816" s="156"/>
      <c r="AJ3816" s="156"/>
      <c r="AK3816" s="156"/>
      <c r="AL3816" s="156"/>
      <c r="AM3816" s="156"/>
      <c r="AN3816" s="156"/>
      <c r="AO3816" s="156"/>
      <c r="AP3816" s="156"/>
      <c r="AQ3816" s="156"/>
      <c r="AR3816" s="156"/>
      <c r="AS3816" s="156"/>
      <c r="AT3816" s="156"/>
      <c r="AU3816" s="156"/>
      <c r="AV3816" s="156"/>
      <c r="AW3816" s="156"/>
      <c r="AX3816" s="156"/>
      <c r="AY3816" s="156"/>
      <c r="AZ3816" s="156"/>
      <c r="BA3816" s="156"/>
      <c r="BB3816" s="2828"/>
      <c r="BC3816" s="452"/>
      <c r="BD3816" s="2829"/>
      <c r="BE3816" s="2837"/>
      <c r="BF3816" s="156"/>
    </row>
    <row r="3817" spans="1:58" ht="14.5" customHeight="1" outlineLevel="1" x14ac:dyDescent="0.35">
      <c r="A3817" s="1664"/>
      <c r="B3817" s="2812"/>
      <c r="C3817" s="3077"/>
      <c r="D3817" s="3980"/>
      <c r="E3817" s="3883"/>
      <c r="F3817" s="4120" t="str">
        <f t="shared" si="429"/>
        <v>ASHP-SEER19-Replace_CAC_ElectricHeat_ROF_MF_CompE</v>
      </c>
      <c r="G3817" s="4121"/>
      <c r="H3817" s="4121"/>
      <c r="I3817" s="4122"/>
      <c r="J3817" s="3508" t="str">
        <f t="shared" si="430"/>
        <v>353351_2019_12_</v>
      </c>
      <c r="K3817" s="717">
        <v>18</v>
      </c>
      <c r="L3817" s="704"/>
      <c r="M3817" s="3020"/>
      <c r="N3817" s="106"/>
      <c r="O3817" s="106"/>
      <c r="P3817" s="702"/>
      <c r="Q3817" s="574"/>
      <c r="R3817" s="702"/>
      <c r="S3817" s="106"/>
      <c r="T3817" s="486"/>
      <c r="U3817" s="106"/>
      <c r="V3817" s="4129"/>
      <c r="W3817" s="717"/>
      <c r="X3817" s="717"/>
      <c r="Y3817" s="717"/>
      <c r="Z3817" s="717"/>
      <c r="AA3817" s="717"/>
      <c r="AB3817" s="717"/>
      <c r="AC3817" s="2932">
        <v>18</v>
      </c>
      <c r="AD3817" s="717">
        <v>18</v>
      </c>
      <c r="AE3817" s="2944"/>
      <c r="AF3817" s="717"/>
      <c r="AG3817" s="717"/>
      <c r="AH3817" s="156"/>
      <c r="AI3817" s="156"/>
      <c r="AJ3817" s="156"/>
      <c r="AK3817" s="156"/>
      <c r="AL3817" s="156"/>
      <c r="AM3817" s="156"/>
      <c r="AN3817" s="156"/>
      <c r="AO3817" s="156"/>
      <c r="AP3817" s="156"/>
      <c r="AQ3817" s="156"/>
      <c r="AR3817" s="156"/>
      <c r="AS3817" s="156"/>
      <c r="AT3817" s="156"/>
      <c r="AU3817" s="156"/>
      <c r="AV3817" s="156"/>
      <c r="AW3817" s="156"/>
      <c r="AX3817" s="156"/>
      <c r="AY3817" s="156"/>
      <c r="AZ3817" s="156"/>
      <c r="BA3817" s="156"/>
      <c r="BB3817" s="2828"/>
      <c r="BC3817" s="452"/>
      <c r="BD3817" s="2829"/>
      <c r="BE3817" s="2837"/>
      <c r="BF3817" s="156"/>
    </row>
    <row r="3818" spans="1:58" ht="14.5" customHeight="1" outlineLevel="1" x14ac:dyDescent="0.35">
      <c r="A3818" s="1664"/>
      <c r="B3818" s="2812"/>
      <c r="C3818" s="3077"/>
      <c r="D3818" s="3980"/>
      <c r="E3818" s="3883"/>
      <c r="F3818" s="4120" t="str">
        <f t="shared" si="429"/>
        <v>ASHP-SEER19-Replace_CAC_NonElectricHeat_ROF_MF</v>
      </c>
      <c r="G3818" s="4121"/>
      <c r="H3818" s="4121"/>
      <c r="I3818" s="4122"/>
      <c r="J3818" s="3508" t="str">
        <f t="shared" si="430"/>
        <v>353360_2021_12_</v>
      </c>
      <c r="K3818" s="717">
        <v>18</v>
      </c>
      <c r="L3818" s="704"/>
      <c r="M3818" s="3020"/>
      <c r="N3818" s="106"/>
      <c r="O3818" s="106"/>
      <c r="P3818" s="702"/>
      <c r="Q3818" s="574"/>
      <c r="R3818" s="702"/>
      <c r="S3818" s="106"/>
      <c r="T3818" s="486"/>
      <c r="U3818" s="106"/>
      <c r="V3818" s="4129"/>
      <c r="W3818" s="717"/>
      <c r="X3818" s="717"/>
      <c r="Y3818" s="717"/>
      <c r="Z3818" s="717"/>
      <c r="AA3818" s="717"/>
      <c r="AB3818" s="717"/>
      <c r="AC3818" s="2932">
        <v>18</v>
      </c>
      <c r="AD3818" s="717">
        <v>18</v>
      </c>
      <c r="AE3818" s="2944"/>
      <c r="AF3818" s="717"/>
      <c r="AG3818" s="717"/>
      <c r="AH3818" s="156"/>
      <c r="AI3818" s="156"/>
      <c r="AJ3818" s="156"/>
      <c r="AK3818" s="156"/>
      <c r="AL3818" s="156"/>
      <c r="AM3818" s="156"/>
      <c r="AN3818" s="156"/>
      <c r="AO3818" s="156"/>
      <c r="AP3818" s="156"/>
      <c r="AQ3818" s="156"/>
      <c r="AR3818" s="156"/>
      <c r="AS3818" s="156"/>
      <c r="AT3818" s="156"/>
      <c r="AU3818" s="156"/>
      <c r="AV3818" s="156"/>
      <c r="AW3818" s="156"/>
      <c r="AX3818" s="156"/>
      <c r="AY3818" s="156"/>
      <c r="AZ3818" s="156"/>
      <c r="BA3818" s="156"/>
      <c r="BB3818" s="2828"/>
      <c r="BC3818" s="452"/>
      <c r="BD3818" s="2829"/>
      <c r="BE3818" s="2837"/>
      <c r="BF3818" s="156"/>
    </row>
    <row r="3819" spans="1:58" ht="14.5" customHeight="1" outlineLevel="1" x14ac:dyDescent="0.35">
      <c r="A3819" s="1664"/>
      <c r="B3819" s="2812"/>
      <c r="C3819" s="3077"/>
      <c r="D3819" s="3980"/>
      <c r="E3819" s="3883"/>
      <c r="F3819" s="4120" t="str">
        <f t="shared" si="429"/>
        <v>ASHP-SEER19-Replace_CAC_NonElectricHeat_ROF_MF</v>
      </c>
      <c r="G3819" s="4121"/>
      <c r="H3819" s="4121"/>
      <c r="I3819" s="4122"/>
      <c r="J3819" s="3508" t="str">
        <f t="shared" si="430"/>
        <v>353360_2021_12_</v>
      </c>
      <c r="K3819" s="717">
        <v>18</v>
      </c>
      <c r="L3819" s="704"/>
      <c r="M3819" s="3020"/>
      <c r="N3819" s="106"/>
      <c r="O3819" s="106"/>
      <c r="P3819" s="702"/>
      <c r="Q3819" s="574"/>
      <c r="R3819" s="702"/>
      <c r="S3819" s="106"/>
      <c r="T3819" s="486"/>
      <c r="U3819" s="106"/>
      <c r="V3819" s="4129"/>
      <c r="W3819" s="717"/>
      <c r="X3819" s="717"/>
      <c r="Y3819" s="717"/>
      <c r="Z3819" s="717"/>
      <c r="AA3819" s="717"/>
      <c r="AB3819" s="717"/>
      <c r="AC3819" s="2932">
        <v>18</v>
      </c>
      <c r="AD3819" s="717">
        <v>18</v>
      </c>
      <c r="AE3819" s="2944"/>
      <c r="AF3819" s="717"/>
      <c r="AG3819" s="717"/>
      <c r="AH3819" s="156"/>
      <c r="AI3819" s="156"/>
      <c r="AJ3819" s="156"/>
      <c r="AK3819" s="156"/>
      <c r="AL3819" s="156"/>
      <c r="AM3819" s="156"/>
      <c r="AN3819" s="156"/>
      <c r="AO3819" s="156"/>
      <c r="AP3819" s="156"/>
      <c r="AQ3819" s="156"/>
      <c r="AR3819" s="156"/>
      <c r="AS3819" s="156"/>
      <c r="AT3819" s="156"/>
      <c r="AU3819" s="156"/>
      <c r="AV3819" s="156"/>
      <c r="AW3819" s="156"/>
      <c r="AX3819" s="156"/>
      <c r="AY3819" s="156"/>
      <c r="AZ3819" s="156"/>
      <c r="BA3819" s="156"/>
      <c r="BB3819" s="2828"/>
      <c r="BC3819" s="452"/>
      <c r="BD3819" s="2829"/>
      <c r="BE3819" s="2837"/>
      <c r="BF3819" s="156"/>
    </row>
    <row r="3820" spans="1:58" ht="14.5" customHeight="1" outlineLevel="1" x14ac:dyDescent="0.35">
      <c r="A3820" s="1664"/>
      <c r="B3820" s="2812"/>
      <c r="C3820" s="3077"/>
      <c r="D3820" s="3980"/>
      <c r="E3820" s="3883"/>
      <c r="F3820" s="4120" t="str">
        <f t="shared" si="429"/>
        <v>ASHP-SEER19-Replace_CAC_NonElectricHeat_ROF_MF_CompE</v>
      </c>
      <c r="G3820" s="4121"/>
      <c r="H3820" s="4121"/>
      <c r="I3820" s="4122"/>
      <c r="J3820" s="3508" t="str">
        <f t="shared" si="430"/>
        <v>353361_2021_12_</v>
      </c>
      <c r="K3820" s="717">
        <v>18</v>
      </c>
      <c r="L3820" s="704"/>
      <c r="M3820" s="3020"/>
      <c r="N3820" s="106"/>
      <c r="O3820" s="106"/>
      <c r="P3820" s="702"/>
      <c r="Q3820" s="574"/>
      <c r="R3820" s="702"/>
      <c r="S3820" s="106"/>
      <c r="T3820" s="486"/>
      <c r="U3820" s="106"/>
      <c r="V3820" s="4129"/>
      <c r="W3820" s="717"/>
      <c r="X3820" s="717"/>
      <c r="Y3820" s="717"/>
      <c r="Z3820" s="717"/>
      <c r="AA3820" s="717"/>
      <c r="AB3820" s="717"/>
      <c r="AC3820" s="2932">
        <v>18</v>
      </c>
      <c r="AD3820" s="717">
        <v>18</v>
      </c>
      <c r="AE3820" s="2944"/>
      <c r="AF3820" s="717"/>
      <c r="AG3820" s="717"/>
      <c r="AH3820" s="156"/>
      <c r="AI3820" s="156"/>
      <c r="AJ3820" s="156"/>
      <c r="AK3820" s="156"/>
      <c r="AL3820" s="156"/>
      <c r="AM3820" s="156"/>
      <c r="AN3820" s="156"/>
      <c r="AO3820" s="156"/>
      <c r="AP3820" s="156"/>
      <c r="AQ3820" s="156"/>
      <c r="AR3820" s="156"/>
      <c r="AS3820" s="156"/>
      <c r="AT3820" s="156"/>
      <c r="AU3820" s="156"/>
      <c r="AV3820" s="156"/>
      <c r="AW3820" s="156"/>
      <c r="AX3820" s="156"/>
      <c r="AY3820" s="156"/>
      <c r="AZ3820" s="156"/>
      <c r="BA3820" s="156"/>
      <c r="BB3820" s="2828"/>
      <c r="BC3820" s="452"/>
      <c r="BD3820" s="2829"/>
      <c r="BE3820" s="2837"/>
      <c r="BF3820" s="156"/>
    </row>
    <row r="3821" spans="1:58" ht="14.5" customHeight="1" outlineLevel="1" x14ac:dyDescent="0.35">
      <c r="A3821" s="1664"/>
      <c r="B3821" s="2812"/>
      <c r="C3821" s="3077"/>
      <c r="D3821" s="3980"/>
      <c r="E3821" s="3883"/>
      <c r="F3821" s="4120" t="str">
        <f t="shared" si="429"/>
        <v>ASHP-SEER19-Replace_CAC_NonElectricHeat_ROF_MF_CompE</v>
      </c>
      <c r="G3821" s="4121"/>
      <c r="H3821" s="4121"/>
      <c r="I3821" s="4122"/>
      <c r="J3821" s="3508" t="str">
        <f t="shared" si="430"/>
        <v>353361_2021_12_</v>
      </c>
      <c r="K3821" s="717">
        <v>18</v>
      </c>
      <c r="L3821" s="704"/>
      <c r="M3821" s="3020"/>
      <c r="N3821" s="106"/>
      <c r="O3821" s="106"/>
      <c r="P3821" s="702"/>
      <c r="Q3821" s="574"/>
      <c r="R3821" s="702"/>
      <c r="S3821" s="106"/>
      <c r="T3821" s="486"/>
      <c r="U3821" s="106"/>
      <c r="V3821" s="4129"/>
      <c r="W3821" s="717"/>
      <c r="X3821" s="717"/>
      <c r="Y3821" s="717"/>
      <c r="Z3821" s="717"/>
      <c r="AA3821" s="717"/>
      <c r="AB3821" s="717"/>
      <c r="AC3821" s="2932">
        <v>18</v>
      </c>
      <c r="AD3821" s="717">
        <v>18</v>
      </c>
      <c r="AE3821" s="2944"/>
      <c r="AF3821" s="717"/>
      <c r="AG3821" s="717"/>
      <c r="AH3821" s="156"/>
      <c r="AI3821" s="156"/>
      <c r="AJ3821" s="156"/>
      <c r="AK3821" s="156"/>
      <c r="AL3821" s="156"/>
      <c r="AM3821" s="156"/>
      <c r="AN3821" s="156"/>
      <c r="AO3821" s="156"/>
      <c r="AP3821" s="156"/>
      <c r="AQ3821" s="156"/>
      <c r="AR3821" s="156"/>
      <c r="AS3821" s="156"/>
      <c r="AT3821" s="156"/>
      <c r="AU3821" s="156"/>
      <c r="AV3821" s="156"/>
      <c r="AW3821" s="156"/>
      <c r="AX3821" s="156"/>
      <c r="AY3821" s="156"/>
      <c r="AZ3821" s="156"/>
      <c r="BA3821" s="156"/>
      <c r="BB3821" s="2828"/>
      <c r="BC3821" s="452"/>
      <c r="BD3821" s="2829"/>
      <c r="BE3821" s="2837"/>
      <c r="BF3821" s="156"/>
    </row>
    <row r="3822" spans="1:58" ht="14.5" customHeight="1" outlineLevel="1" x14ac:dyDescent="0.35">
      <c r="A3822" s="1664"/>
      <c r="B3822" s="2812"/>
      <c r="C3822" s="3077"/>
      <c r="D3822" s="3980"/>
      <c r="E3822" s="3883"/>
      <c r="F3822" s="4120" t="str">
        <f t="shared" si="429"/>
        <v>ASHP-SEER20-Replace_CAC_ElectricHeat_ER1_SF</v>
      </c>
      <c r="G3822" s="4121"/>
      <c r="H3822" s="4121"/>
      <c r="I3822" s="4122"/>
      <c r="J3822" s="3508" t="str">
        <f t="shared" si="430"/>
        <v>353400_2021_12_</v>
      </c>
      <c r="K3822" s="717">
        <v>6</v>
      </c>
      <c r="L3822" s="704"/>
      <c r="M3822" s="3020"/>
      <c r="N3822" s="106"/>
      <c r="O3822" s="106"/>
      <c r="P3822" s="702"/>
      <c r="Q3822" s="574"/>
      <c r="R3822" s="702"/>
      <c r="S3822" s="106"/>
      <c r="T3822" s="486"/>
      <c r="U3822" s="106"/>
      <c r="V3822" s="4129"/>
      <c r="W3822" s="717">
        <v>6</v>
      </c>
      <c r="X3822" s="717">
        <v>6</v>
      </c>
      <c r="Y3822" s="717">
        <v>6</v>
      </c>
      <c r="Z3822" s="717">
        <v>6</v>
      </c>
      <c r="AA3822" s="717">
        <v>6</v>
      </c>
      <c r="AB3822" s="717">
        <v>6</v>
      </c>
      <c r="AC3822" s="2930">
        <v>6</v>
      </c>
      <c r="AD3822" s="717">
        <v>6</v>
      </c>
      <c r="AE3822" s="2944"/>
      <c r="AF3822" s="717"/>
      <c r="AG3822" s="717"/>
      <c r="AH3822" s="156"/>
      <c r="AI3822" s="156"/>
      <c r="AJ3822" s="156"/>
      <c r="AK3822" s="156"/>
      <c r="AL3822" s="156"/>
      <c r="AM3822" s="156"/>
      <c r="AN3822" s="156"/>
      <c r="AO3822" s="156"/>
      <c r="AP3822" s="156"/>
      <c r="AQ3822" s="156"/>
      <c r="AR3822" s="156"/>
      <c r="AS3822" s="156"/>
      <c r="AT3822" s="156"/>
      <c r="AU3822" s="156"/>
      <c r="AV3822" s="156"/>
      <c r="AW3822" s="156"/>
      <c r="AX3822" s="156"/>
      <c r="AY3822" s="156"/>
      <c r="AZ3822" s="156"/>
      <c r="BA3822" s="156"/>
      <c r="BB3822" s="2828"/>
      <c r="BC3822" s="452"/>
      <c r="BD3822" s="2829"/>
      <c r="BE3822" s="2837"/>
      <c r="BF3822" s="156"/>
    </row>
    <row r="3823" spans="1:58" ht="14.5" customHeight="1" outlineLevel="1" x14ac:dyDescent="0.35">
      <c r="A3823" s="1664"/>
      <c r="B3823" s="2812"/>
      <c r="C3823" s="3077"/>
      <c r="D3823" s="3980"/>
      <c r="E3823" s="3883"/>
      <c r="F3823" s="4120" t="str">
        <f t="shared" si="429"/>
        <v>ASHP-SEER20-Replace_CAC_ElectricHeat_ER1_SF</v>
      </c>
      <c r="G3823" s="4121"/>
      <c r="H3823" s="4121"/>
      <c r="I3823" s="4122"/>
      <c r="J3823" s="3508" t="str">
        <f t="shared" si="430"/>
        <v>353400_2021_12_</v>
      </c>
      <c r="K3823" s="717">
        <v>6</v>
      </c>
      <c r="L3823" s="704"/>
      <c r="M3823" s="3020"/>
      <c r="N3823" s="106"/>
      <c r="O3823" s="106"/>
      <c r="P3823" s="702"/>
      <c r="Q3823" s="574"/>
      <c r="R3823" s="702"/>
      <c r="S3823" s="106"/>
      <c r="T3823" s="486"/>
      <c r="U3823" s="106"/>
      <c r="V3823" s="4129"/>
      <c r="W3823" s="717">
        <v>6</v>
      </c>
      <c r="X3823" s="717">
        <v>6</v>
      </c>
      <c r="Y3823" s="717">
        <v>6</v>
      </c>
      <c r="Z3823" s="717">
        <v>6</v>
      </c>
      <c r="AA3823" s="717">
        <v>6</v>
      </c>
      <c r="AB3823" s="717">
        <v>6</v>
      </c>
      <c r="AC3823" s="2930">
        <v>6</v>
      </c>
      <c r="AD3823" s="717">
        <v>6</v>
      </c>
      <c r="AE3823" s="2944"/>
      <c r="AF3823" s="717"/>
      <c r="AG3823" s="717"/>
      <c r="AH3823" s="156"/>
      <c r="AI3823" s="156"/>
      <c r="AJ3823" s="156"/>
      <c r="AK3823" s="156"/>
      <c r="AL3823" s="156"/>
      <c r="AM3823" s="156"/>
      <c r="AN3823" s="156"/>
      <c r="AO3823" s="156"/>
      <c r="AP3823" s="156"/>
      <c r="AQ3823" s="156"/>
      <c r="AR3823" s="156"/>
      <c r="AS3823" s="156"/>
      <c r="AT3823" s="156"/>
      <c r="AU3823" s="156"/>
      <c r="AV3823" s="156"/>
      <c r="AW3823" s="156"/>
      <c r="AX3823" s="156"/>
      <c r="AY3823" s="156"/>
      <c r="AZ3823" s="156"/>
      <c r="BA3823" s="156"/>
      <c r="BB3823" s="2828"/>
      <c r="BC3823" s="452"/>
      <c r="BD3823" s="2829"/>
      <c r="BE3823" s="2837"/>
      <c r="BF3823" s="156"/>
    </row>
    <row r="3824" spans="1:58" ht="14.5" customHeight="1" outlineLevel="1" x14ac:dyDescent="0.35">
      <c r="A3824" s="1664"/>
      <c r="B3824" s="2812"/>
      <c r="C3824" s="3077"/>
      <c r="D3824" s="3980"/>
      <c r="E3824" s="3883"/>
      <c r="F3824" s="4120" t="str">
        <f t="shared" si="429"/>
        <v>ASHP-SEER20-Replace_CAC_ElectricHeat_ER2_SF</v>
      </c>
      <c r="G3824" s="4121"/>
      <c r="H3824" s="4121"/>
      <c r="I3824" s="4122"/>
      <c r="J3824" s="3508" t="str">
        <f t="shared" si="430"/>
        <v>353400_2021_12_</v>
      </c>
      <c r="K3824" s="717">
        <v>12</v>
      </c>
      <c r="L3824" s="704"/>
      <c r="M3824" s="3020"/>
      <c r="N3824" s="106"/>
      <c r="O3824" s="106"/>
      <c r="P3824" s="702"/>
      <c r="Q3824" s="574"/>
      <c r="R3824" s="702"/>
      <c r="S3824" s="106"/>
      <c r="T3824" s="486"/>
      <c r="U3824" s="106"/>
      <c r="V3824" s="4129"/>
      <c r="W3824" s="717">
        <v>12</v>
      </c>
      <c r="X3824" s="717">
        <v>12</v>
      </c>
      <c r="Y3824" s="717">
        <v>12</v>
      </c>
      <c r="Z3824" s="717">
        <v>12</v>
      </c>
      <c r="AA3824" s="717">
        <v>12</v>
      </c>
      <c r="AB3824" s="717">
        <v>12</v>
      </c>
      <c r="AC3824" s="2930">
        <v>12</v>
      </c>
      <c r="AD3824" s="717">
        <v>12</v>
      </c>
      <c r="AE3824" s="2944"/>
      <c r="AF3824" s="717"/>
      <c r="AG3824" s="717"/>
      <c r="AH3824" s="156"/>
      <c r="AI3824" s="156"/>
      <c r="AJ3824" s="156"/>
      <c r="AK3824" s="156"/>
      <c r="AL3824" s="156"/>
      <c r="AM3824" s="156"/>
      <c r="AN3824" s="156"/>
      <c r="AO3824" s="156"/>
      <c r="AP3824" s="156"/>
      <c r="AQ3824" s="156"/>
      <c r="AR3824" s="156"/>
      <c r="AS3824" s="156"/>
      <c r="AT3824" s="156"/>
      <c r="AU3824" s="156"/>
      <c r="AV3824" s="156"/>
      <c r="AW3824" s="156"/>
      <c r="AX3824" s="156"/>
      <c r="AY3824" s="156"/>
      <c r="AZ3824" s="156"/>
      <c r="BA3824" s="156"/>
      <c r="BB3824" s="2828"/>
      <c r="BC3824" s="452"/>
      <c r="BD3824" s="2829"/>
      <c r="BE3824" s="2837"/>
      <c r="BF3824" s="156"/>
    </row>
    <row r="3825" spans="1:58" ht="14.5" customHeight="1" outlineLevel="1" x14ac:dyDescent="0.35">
      <c r="A3825" s="1664"/>
      <c r="B3825" s="2812"/>
      <c r="C3825" s="3077"/>
      <c r="D3825" s="3980"/>
      <c r="E3825" s="3883"/>
      <c r="F3825" s="4120" t="str">
        <f t="shared" si="429"/>
        <v>ASHP-SEER20-Replace_CAC_ElectricHeat_ER2_SF</v>
      </c>
      <c r="G3825" s="4121"/>
      <c r="H3825" s="4121"/>
      <c r="I3825" s="4122"/>
      <c r="J3825" s="3508" t="str">
        <f t="shared" si="430"/>
        <v>353400_2021_12_</v>
      </c>
      <c r="K3825" s="717">
        <v>12</v>
      </c>
      <c r="L3825" s="704"/>
      <c r="M3825" s="3020"/>
      <c r="N3825" s="106"/>
      <c r="O3825" s="106"/>
      <c r="P3825" s="702"/>
      <c r="Q3825" s="574"/>
      <c r="R3825" s="702"/>
      <c r="S3825" s="106"/>
      <c r="T3825" s="486"/>
      <c r="U3825" s="106"/>
      <c r="V3825" s="4129"/>
      <c r="W3825" s="717">
        <v>12</v>
      </c>
      <c r="X3825" s="717">
        <v>12</v>
      </c>
      <c r="Y3825" s="717">
        <v>12</v>
      </c>
      <c r="Z3825" s="717">
        <v>12</v>
      </c>
      <c r="AA3825" s="717">
        <v>12</v>
      </c>
      <c r="AB3825" s="717">
        <v>12</v>
      </c>
      <c r="AC3825" s="2930">
        <v>12</v>
      </c>
      <c r="AD3825" s="717">
        <v>12</v>
      </c>
      <c r="AE3825" s="2944"/>
      <c r="AF3825" s="717"/>
      <c r="AG3825" s="717"/>
      <c r="AH3825" s="156"/>
      <c r="AI3825" s="156"/>
      <c r="AJ3825" s="156"/>
      <c r="AK3825" s="156"/>
      <c r="AL3825" s="156"/>
      <c r="AM3825" s="156"/>
      <c r="AN3825" s="156"/>
      <c r="AO3825" s="156"/>
      <c r="AP3825" s="156"/>
      <c r="AQ3825" s="156"/>
      <c r="AR3825" s="156"/>
      <c r="AS3825" s="156"/>
      <c r="AT3825" s="156"/>
      <c r="AU3825" s="156"/>
      <c r="AV3825" s="156"/>
      <c r="AW3825" s="156"/>
      <c r="AX3825" s="156"/>
      <c r="AY3825" s="156"/>
      <c r="AZ3825" s="156"/>
      <c r="BA3825" s="156"/>
      <c r="BB3825" s="2828"/>
      <c r="BC3825" s="452"/>
      <c r="BD3825" s="2829"/>
      <c r="BE3825" s="2837"/>
      <c r="BF3825" s="156"/>
    </row>
    <row r="3826" spans="1:58" ht="14.5" customHeight="1" outlineLevel="1" x14ac:dyDescent="0.35">
      <c r="A3826" s="1664"/>
      <c r="B3826" s="2812"/>
      <c r="C3826" s="3077"/>
      <c r="D3826" s="3980"/>
      <c r="E3826" s="3883"/>
      <c r="F3826" s="4120" t="str">
        <f t="shared" si="429"/>
        <v>ASHP-SEER20-Replace_CAC_NonElectricHeat_ER1_SF</v>
      </c>
      <c r="G3826" s="4121"/>
      <c r="H3826" s="4121"/>
      <c r="I3826" s="4122"/>
      <c r="J3826" s="3508" t="str">
        <f t="shared" si="430"/>
        <v>353410_2021_12_</v>
      </c>
      <c r="K3826" s="717">
        <v>6</v>
      </c>
      <c r="L3826" s="704"/>
      <c r="M3826" s="3020"/>
      <c r="N3826" s="106"/>
      <c r="O3826" s="106"/>
      <c r="P3826" s="702"/>
      <c r="Q3826" s="574"/>
      <c r="R3826" s="702"/>
      <c r="S3826" s="106"/>
      <c r="T3826" s="486"/>
      <c r="U3826" s="106"/>
      <c r="V3826" s="4129"/>
      <c r="W3826" s="717"/>
      <c r="X3826" s="717"/>
      <c r="Y3826" s="717"/>
      <c r="Z3826" s="717"/>
      <c r="AA3826" s="717"/>
      <c r="AB3826" s="717"/>
      <c r="AC3826" s="2932">
        <v>6</v>
      </c>
      <c r="AD3826" s="717">
        <v>6</v>
      </c>
      <c r="AE3826" s="2944"/>
      <c r="AF3826" s="717"/>
      <c r="AG3826" s="717"/>
      <c r="AH3826" s="156"/>
      <c r="AI3826" s="156"/>
      <c r="AJ3826" s="156"/>
      <c r="AK3826" s="156"/>
      <c r="AL3826" s="156"/>
      <c r="AM3826" s="156"/>
      <c r="AN3826" s="156"/>
      <c r="AO3826" s="156"/>
      <c r="AP3826" s="156"/>
      <c r="AQ3826" s="156"/>
      <c r="AR3826" s="156"/>
      <c r="AS3826" s="156"/>
      <c r="AT3826" s="156"/>
      <c r="AU3826" s="156"/>
      <c r="AV3826" s="156"/>
      <c r="AW3826" s="156"/>
      <c r="AX3826" s="156"/>
      <c r="AY3826" s="156"/>
      <c r="AZ3826" s="156"/>
      <c r="BA3826" s="156"/>
      <c r="BB3826" s="2828"/>
      <c r="BC3826" s="452"/>
      <c r="BD3826" s="2829"/>
      <c r="BE3826" s="2837"/>
      <c r="BF3826" s="156"/>
    </row>
    <row r="3827" spans="1:58" ht="14.5" customHeight="1" outlineLevel="1" x14ac:dyDescent="0.35">
      <c r="A3827" s="1664"/>
      <c r="B3827" s="2812"/>
      <c r="C3827" s="3077"/>
      <c r="D3827" s="3980"/>
      <c r="E3827" s="3883"/>
      <c r="F3827" s="4120" t="str">
        <f t="shared" si="429"/>
        <v>ASHP-SEER20-Replace_CAC_NonElectricHeat_ER1_SF</v>
      </c>
      <c r="G3827" s="4121"/>
      <c r="H3827" s="4121"/>
      <c r="I3827" s="4122"/>
      <c r="J3827" s="3508" t="str">
        <f t="shared" si="430"/>
        <v>353410_2021_12_</v>
      </c>
      <c r="K3827" s="717">
        <v>6</v>
      </c>
      <c r="L3827" s="704"/>
      <c r="M3827" s="3020"/>
      <c r="N3827" s="106"/>
      <c r="O3827" s="106"/>
      <c r="P3827" s="702"/>
      <c r="Q3827" s="574"/>
      <c r="R3827" s="702"/>
      <c r="S3827" s="106"/>
      <c r="T3827" s="486"/>
      <c r="U3827" s="106"/>
      <c r="V3827" s="4129"/>
      <c r="W3827" s="717"/>
      <c r="X3827" s="717"/>
      <c r="Y3827" s="717"/>
      <c r="Z3827" s="717"/>
      <c r="AA3827" s="717"/>
      <c r="AB3827" s="717"/>
      <c r="AC3827" s="2932">
        <v>6</v>
      </c>
      <c r="AD3827" s="717">
        <v>6</v>
      </c>
      <c r="AE3827" s="2944"/>
      <c r="AF3827" s="717"/>
      <c r="AG3827" s="717"/>
      <c r="AH3827" s="156"/>
      <c r="AI3827" s="156"/>
      <c r="AJ3827" s="156"/>
      <c r="AK3827" s="156"/>
      <c r="AL3827" s="156"/>
      <c r="AM3827" s="156"/>
      <c r="AN3827" s="156"/>
      <c r="AO3827" s="156"/>
      <c r="AP3827" s="156"/>
      <c r="AQ3827" s="156"/>
      <c r="AR3827" s="156"/>
      <c r="AS3827" s="156"/>
      <c r="AT3827" s="156"/>
      <c r="AU3827" s="156"/>
      <c r="AV3827" s="156"/>
      <c r="AW3827" s="156"/>
      <c r="AX3827" s="156"/>
      <c r="AY3827" s="156"/>
      <c r="AZ3827" s="156"/>
      <c r="BA3827" s="156"/>
      <c r="BB3827" s="2828"/>
      <c r="BC3827" s="452"/>
      <c r="BD3827" s="2829"/>
      <c r="BE3827" s="2837"/>
      <c r="BF3827" s="156"/>
    </row>
    <row r="3828" spans="1:58" ht="14.5" customHeight="1" outlineLevel="1" x14ac:dyDescent="0.35">
      <c r="A3828" s="1664"/>
      <c r="B3828" s="2812"/>
      <c r="C3828" s="3077"/>
      <c r="D3828" s="3980"/>
      <c r="E3828" s="3883"/>
      <c r="F3828" s="4120" t="str">
        <f t="shared" si="429"/>
        <v>ASHP-SEER20-Replace_CAC_NonElectricHeat_ER2_SF</v>
      </c>
      <c r="G3828" s="4121"/>
      <c r="H3828" s="4121"/>
      <c r="I3828" s="4122"/>
      <c r="J3828" s="3508" t="str">
        <f t="shared" si="430"/>
        <v>353410_2021_12_</v>
      </c>
      <c r="K3828" s="717">
        <v>12</v>
      </c>
      <c r="L3828" s="704"/>
      <c r="M3828" s="3020"/>
      <c r="N3828" s="106"/>
      <c r="O3828" s="106"/>
      <c r="P3828" s="702"/>
      <c r="Q3828" s="574"/>
      <c r="R3828" s="702"/>
      <c r="S3828" s="106"/>
      <c r="T3828" s="486"/>
      <c r="U3828" s="106"/>
      <c r="V3828" s="4129"/>
      <c r="W3828" s="717"/>
      <c r="X3828" s="717"/>
      <c r="Y3828" s="717"/>
      <c r="Z3828" s="717"/>
      <c r="AA3828" s="717"/>
      <c r="AB3828" s="717"/>
      <c r="AC3828" s="2932">
        <v>12</v>
      </c>
      <c r="AD3828" s="717">
        <v>12</v>
      </c>
      <c r="AE3828" s="2944"/>
      <c r="AF3828" s="717"/>
      <c r="AG3828" s="717"/>
      <c r="AH3828" s="156"/>
      <c r="AI3828" s="156"/>
      <c r="AJ3828" s="156"/>
      <c r="AK3828" s="156"/>
      <c r="AL3828" s="156"/>
      <c r="AM3828" s="156"/>
      <c r="AN3828" s="156"/>
      <c r="AO3828" s="156"/>
      <c r="AP3828" s="156"/>
      <c r="AQ3828" s="156"/>
      <c r="AR3828" s="156"/>
      <c r="AS3828" s="156"/>
      <c r="AT3828" s="156"/>
      <c r="AU3828" s="156"/>
      <c r="AV3828" s="156"/>
      <c r="AW3828" s="156"/>
      <c r="AX3828" s="156"/>
      <c r="AY3828" s="156"/>
      <c r="AZ3828" s="156"/>
      <c r="BA3828" s="156"/>
      <c r="BB3828" s="2828"/>
      <c r="BC3828" s="452"/>
      <c r="BD3828" s="2829"/>
      <c r="BE3828" s="2837"/>
      <c r="BF3828" s="156"/>
    </row>
    <row r="3829" spans="1:58" ht="14.5" customHeight="1" outlineLevel="1" x14ac:dyDescent="0.35">
      <c r="A3829" s="1664"/>
      <c r="B3829" s="2812"/>
      <c r="C3829" s="3077"/>
      <c r="D3829" s="3980"/>
      <c r="E3829" s="3883"/>
      <c r="F3829" s="4120" t="str">
        <f t="shared" si="429"/>
        <v>ASHP-SEER20-Replace_CAC_NonElectricHeat_ER2_SF</v>
      </c>
      <c r="G3829" s="4121"/>
      <c r="H3829" s="4121"/>
      <c r="I3829" s="4122"/>
      <c r="J3829" s="3508" t="str">
        <f t="shared" si="430"/>
        <v>353410_2021_12_</v>
      </c>
      <c r="K3829" s="717">
        <v>12</v>
      </c>
      <c r="L3829" s="704"/>
      <c r="M3829" s="3020"/>
      <c r="N3829" s="106"/>
      <c r="O3829" s="106"/>
      <c r="P3829" s="702"/>
      <c r="Q3829" s="574"/>
      <c r="R3829" s="702"/>
      <c r="S3829" s="106"/>
      <c r="T3829" s="486"/>
      <c r="U3829" s="106"/>
      <c r="V3829" s="4129"/>
      <c r="W3829" s="717"/>
      <c r="X3829" s="717"/>
      <c r="Y3829" s="717"/>
      <c r="Z3829" s="717"/>
      <c r="AA3829" s="717"/>
      <c r="AB3829" s="717"/>
      <c r="AC3829" s="2932">
        <v>12</v>
      </c>
      <c r="AD3829" s="717">
        <v>12</v>
      </c>
      <c r="AE3829" s="2944"/>
      <c r="AF3829" s="717"/>
      <c r="AG3829" s="717"/>
      <c r="AH3829" s="156"/>
      <c r="AI3829" s="156"/>
      <c r="AJ3829" s="156"/>
      <c r="AK3829" s="156"/>
      <c r="AL3829" s="156"/>
      <c r="AM3829" s="156"/>
      <c r="AN3829" s="156"/>
      <c r="AO3829" s="156"/>
      <c r="AP3829" s="156"/>
      <c r="AQ3829" s="156"/>
      <c r="AR3829" s="156"/>
      <c r="AS3829" s="156"/>
      <c r="AT3829" s="156"/>
      <c r="AU3829" s="156"/>
      <c r="AV3829" s="156"/>
      <c r="AW3829" s="156"/>
      <c r="AX3829" s="156"/>
      <c r="AY3829" s="156"/>
      <c r="AZ3829" s="156"/>
      <c r="BA3829" s="156"/>
      <c r="BB3829" s="2828"/>
      <c r="BC3829" s="452"/>
      <c r="BD3829" s="2829"/>
      <c r="BE3829" s="2837"/>
      <c r="BF3829" s="156"/>
    </row>
    <row r="3830" spans="1:58" ht="14.5" customHeight="1" outlineLevel="1" x14ac:dyDescent="0.35">
      <c r="A3830" s="1664"/>
      <c r="B3830" s="2812"/>
      <c r="C3830" s="3077"/>
      <c r="D3830" s="3980"/>
      <c r="E3830" s="3883"/>
      <c r="F3830" s="4120" t="str">
        <f t="shared" si="429"/>
        <v>ASHP-SEER20-Replace_CAC_ElectricHeat_ROF_SF</v>
      </c>
      <c r="G3830" s="4121"/>
      <c r="H3830" s="4121"/>
      <c r="I3830" s="4122"/>
      <c r="J3830" s="3508" t="str">
        <f t="shared" si="430"/>
        <v>353450_2021_12_</v>
      </c>
      <c r="K3830" s="717">
        <v>18</v>
      </c>
      <c r="L3830" s="704"/>
      <c r="M3830" s="3020"/>
      <c r="N3830" s="106"/>
      <c r="O3830" s="106"/>
      <c r="P3830" s="702"/>
      <c r="Q3830" s="574"/>
      <c r="R3830" s="702"/>
      <c r="S3830" s="106"/>
      <c r="T3830" s="486"/>
      <c r="U3830" s="106"/>
      <c r="V3830" s="4129"/>
      <c r="W3830" s="717">
        <v>18</v>
      </c>
      <c r="X3830" s="717">
        <v>18</v>
      </c>
      <c r="Y3830" s="717">
        <v>18</v>
      </c>
      <c r="Z3830" s="717">
        <v>18</v>
      </c>
      <c r="AA3830" s="717">
        <v>18</v>
      </c>
      <c r="AB3830" s="717">
        <v>18</v>
      </c>
      <c r="AC3830" s="2930">
        <v>18</v>
      </c>
      <c r="AD3830" s="717">
        <v>18</v>
      </c>
      <c r="AE3830" s="2944"/>
      <c r="AF3830" s="717"/>
      <c r="AG3830" s="717"/>
      <c r="AH3830" s="156"/>
      <c r="AI3830" s="156"/>
      <c r="AJ3830" s="156"/>
      <c r="AK3830" s="156"/>
      <c r="AL3830" s="156"/>
      <c r="AM3830" s="156"/>
      <c r="AN3830" s="156"/>
      <c r="AO3830" s="156"/>
      <c r="AP3830" s="156"/>
      <c r="AQ3830" s="156"/>
      <c r="AR3830" s="156"/>
      <c r="AS3830" s="156"/>
      <c r="AT3830" s="156"/>
      <c r="AU3830" s="156"/>
      <c r="AV3830" s="156"/>
      <c r="AW3830" s="156"/>
      <c r="AX3830" s="156"/>
      <c r="AY3830" s="156"/>
      <c r="AZ3830" s="156"/>
      <c r="BA3830" s="156"/>
      <c r="BB3830" s="2828"/>
      <c r="BC3830" s="452"/>
      <c r="BD3830" s="2829"/>
      <c r="BE3830" s="2837"/>
      <c r="BF3830" s="156"/>
    </row>
    <row r="3831" spans="1:58" ht="14.5" customHeight="1" outlineLevel="1" x14ac:dyDescent="0.35">
      <c r="A3831" s="1664"/>
      <c r="B3831" s="2812"/>
      <c r="C3831" s="3077"/>
      <c r="D3831" s="3980"/>
      <c r="E3831" s="3883"/>
      <c r="F3831" s="4120" t="str">
        <f t="shared" si="429"/>
        <v>ASHP-SEER20-Replace_CAC_ElectricHeat_ROF_SF</v>
      </c>
      <c r="G3831" s="4121"/>
      <c r="H3831" s="4121"/>
      <c r="I3831" s="4122"/>
      <c r="J3831" s="3508" t="str">
        <f t="shared" si="430"/>
        <v>353450_2021_12_</v>
      </c>
      <c r="K3831" s="717">
        <v>18</v>
      </c>
      <c r="L3831" s="704"/>
      <c r="M3831" s="3020"/>
      <c r="N3831" s="106"/>
      <c r="O3831" s="106"/>
      <c r="P3831" s="702"/>
      <c r="Q3831" s="574"/>
      <c r="R3831" s="702"/>
      <c r="S3831" s="106"/>
      <c r="T3831" s="486"/>
      <c r="U3831" s="106"/>
      <c r="V3831" s="4129"/>
      <c r="W3831" s="717">
        <v>18</v>
      </c>
      <c r="X3831" s="717">
        <v>18</v>
      </c>
      <c r="Y3831" s="717">
        <v>18</v>
      </c>
      <c r="Z3831" s="717">
        <v>18</v>
      </c>
      <c r="AA3831" s="717">
        <v>18</v>
      </c>
      <c r="AB3831" s="717">
        <v>18</v>
      </c>
      <c r="AC3831" s="2930">
        <v>18</v>
      </c>
      <c r="AD3831" s="717">
        <v>18</v>
      </c>
      <c r="AE3831" s="2944"/>
      <c r="AF3831" s="717"/>
      <c r="AG3831" s="717"/>
      <c r="AH3831" s="156"/>
      <c r="AI3831" s="156"/>
      <c r="AJ3831" s="156"/>
      <c r="AK3831" s="156"/>
      <c r="AL3831" s="156"/>
      <c r="AM3831" s="156"/>
      <c r="AN3831" s="156"/>
      <c r="AO3831" s="156"/>
      <c r="AP3831" s="156"/>
      <c r="AQ3831" s="156"/>
      <c r="AR3831" s="156"/>
      <c r="AS3831" s="156"/>
      <c r="AT3831" s="156"/>
      <c r="AU3831" s="156"/>
      <c r="AV3831" s="156"/>
      <c r="AW3831" s="156"/>
      <c r="AX3831" s="156"/>
      <c r="AY3831" s="156"/>
      <c r="AZ3831" s="156"/>
      <c r="BA3831" s="156"/>
      <c r="BB3831" s="2828"/>
      <c r="BC3831" s="452"/>
      <c r="BD3831" s="2829"/>
      <c r="BE3831" s="2837"/>
      <c r="BF3831" s="156"/>
    </row>
    <row r="3832" spans="1:58" s="3398" customFormat="1" ht="14.5" customHeight="1" outlineLevel="1" x14ac:dyDescent="0.35">
      <c r="A3832" s="1664"/>
      <c r="B3832" s="3499"/>
      <c r="C3832" s="3077"/>
      <c r="D3832" s="3980"/>
      <c r="E3832" s="3883"/>
      <c r="F3832" s="4182" t="str">
        <f t="shared" ref="F3832:F3833" si="431">E1688</f>
        <v>ASHP-SEER20-Replace_CAC_NonElectricHeat_ROF_SF</v>
      </c>
      <c r="G3832" s="3989"/>
      <c r="H3832" s="3989"/>
      <c r="I3832" s="3990"/>
      <c r="J3832" s="3509" t="str">
        <f t="shared" ref="J3832:J3833" si="432">C1688</f>
        <v>353460_2022_12_</v>
      </c>
      <c r="K3832" s="3510">
        <v>18</v>
      </c>
      <c r="L3832" s="704"/>
      <c r="M3832" s="3020"/>
      <c r="P3832" s="702"/>
      <c r="Q3832" s="574"/>
      <c r="R3832" s="702"/>
      <c r="T3832" s="3397"/>
      <c r="V3832" s="4129"/>
      <c r="W3832" s="717"/>
      <c r="X3832" s="717"/>
      <c r="Y3832" s="717"/>
      <c r="Z3832" s="717"/>
      <c r="AA3832" s="717"/>
      <c r="AB3832" s="717"/>
      <c r="AC3832" s="2930"/>
      <c r="AD3832" s="3510">
        <v>18</v>
      </c>
      <c r="AE3832" s="2944"/>
      <c r="AF3832" s="717"/>
      <c r="AG3832" s="717"/>
      <c r="AH3832" s="156"/>
      <c r="AI3832" s="156"/>
      <c r="AJ3832" s="156"/>
      <c r="AK3832" s="156"/>
      <c r="AL3832" s="156"/>
      <c r="AM3832" s="156"/>
      <c r="AN3832" s="156"/>
      <c r="AO3832" s="156"/>
      <c r="AP3832" s="156"/>
      <c r="AQ3832" s="156"/>
      <c r="AR3832" s="156"/>
      <c r="AS3832" s="156"/>
      <c r="AT3832" s="156"/>
      <c r="AU3832" s="156"/>
      <c r="AV3832" s="156"/>
      <c r="AW3832" s="156"/>
      <c r="AX3832" s="156"/>
      <c r="AY3832" s="156"/>
      <c r="AZ3832" s="156"/>
      <c r="BA3832" s="156"/>
      <c r="BB3832" s="2828"/>
      <c r="BC3832" s="452"/>
      <c r="BD3832" s="2829"/>
      <c r="BE3832" s="2837"/>
      <c r="BF3832" s="156"/>
    </row>
    <row r="3833" spans="1:58" s="3398" customFormat="1" ht="14.5" customHeight="1" outlineLevel="1" x14ac:dyDescent="0.35">
      <c r="A3833" s="1664"/>
      <c r="B3833" s="3499"/>
      <c r="C3833" s="3077"/>
      <c r="D3833" s="3980"/>
      <c r="E3833" s="3883"/>
      <c r="F3833" s="4182" t="str">
        <f t="shared" si="431"/>
        <v>ASHP-SEER20-Replace_CAC_NonElectricHeat_ROF_SF</v>
      </c>
      <c r="G3833" s="3989"/>
      <c r="H3833" s="3989"/>
      <c r="I3833" s="3990"/>
      <c r="J3833" s="3509" t="str">
        <f t="shared" si="432"/>
        <v>353460_2022_12_</v>
      </c>
      <c r="K3833" s="3510">
        <v>18</v>
      </c>
      <c r="L3833" s="704"/>
      <c r="M3833" s="3020"/>
      <c r="P3833" s="702"/>
      <c r="Q3833" s="574"/>
      <c r="R3833" s="702"/>
      <c r="T3833" s="3397"/>
      <c r="V3833" s="4129"/>
      <c r="W3833" s="717"/>
      <c r="X3833" s="717"/>
      <c r="Y3833" s="717"/>
      <c r="Z3833" s="717"/>
      <c r="AA3833" s="717"/>
      <c r="AB3833" s="717"/>
      <c r="AC3833" s="2930"/>
      <c r="AD3833" s="3510">
        <v>18</v>
      </c>
      <c r="AE3833" s="2944"/>
      <c r="AF3833" s="717"/>
      <c r="AG3833" s="717"/>
      <c r="AH3833" s="156"/>
      <c r="AI3833" s="156"/>
      <c r="AJ3833" s="156"/>
      <c r="AK3833" s="156"/>
      <c r="AL3833" s="156"/>
      <c r="AM3833" s="156"/>
      <c r="AN3833" s="156"/>
      <c r="AO3833" s="156"/>
      <c r="AP3833" s="156"/>
      <c r="AQ3833" s="156"/>
      <c r="AR3833" s="156"/>
      <c r="AS3833" s="156"/>
      <c r="AT3833" s="156"/>
      <c r="AU3833" s="156"/>
      <c r="AV3833" s="156"/>
      <c r="AW3833" s="156"/>
      <c r="AX3833" s="156"/>
      <c r="AY3833" s="156"/>
      <c r="AZ3833" s="156"/>
      <c r="BA3833" s="156"/>
      <c r="BB3833" s="2828"/>
      <c r="BC3833" s="452"/>
      <c r="BD3833" s="2829"/>
      <c r="BE3833" s="2837"/>
      <c r="BF3833" s="156"/>
    </row>
    <row r="3834" spans="1:58" ht="14.5" customHeight="1" outlineLevel="1" x14ac:dyDescent="0.35">
      <c r="A3834" s="1664"/>
      <c r="B3834" s="2812"/>
      <c r="C3834" s="3077"/>
      <c r="D3834" s="3980"/>
      <c r="E3834" s="3883"/>
      <c r="F3834" s="4120" t="str">
        <f t="shared" ref="F3834:F3867" si="433">E1690</f>
        <v>ASHP-SEER20-Replace_CAC_ElectricHeat_ROF_MF</v>
      </c>
      <c r="G3834" s="4121"/>
      <c r="H3834" s="4121"/>
      <c r="I3834" s="4122"/>
      <c r="J3834" s="3508" t="str">
        <f t="shared" ref="J3834:J3867" si="434">C1690</f>
        <v>353500_2019_12_</v>
      </c>
      <c r="K3834" s="717">
        <v>18</v>
      </c>
      <c r="L3834" s="704"/>
      <c r="M3834" s="3020"/>
      <c r="N3834" s="106"/>
      <c r="O3834" s="106"/>
      <c r="P3834" s="702"/>
      <c r="Q3834" s="574"/>
      <c r="R3834" s="702"/>
      <c r="S3834" s="106"/>
      <c r="T3834" s="486"/>
      <c r="U3834" s="106"/>
      <c r="V3834" s="4129"/>
      <c r="W3834" s="717">
        <v>18</v>
      </c>
      <c r="X3834" s="717">
        <v>18</v>
      </c>
      <c r="Y3834" s="717">
        <v>18</v>
      </c>
      <c r="Z3834" s="717">
        <v>18</v>
      </c>
      <c r="AA3834" s="717">
        <v>18</v>
      </c>
      <c r="AB3834" s="717">
        <v>18</v>
      </c>
      <c r="AC3834" s="2930">
        <v>18</v>
      </c>
      <c r="AD3834" s="717">
        <v>18</v>
      </c>
      <c r="AE3834" s="2944"/>
      <c r="AF3834" s="717"/>
      <c r="AG3834" s="717"/>
      <c r="AH3834" s="156"/>
      <c r="AI3834" s="156"/>
      <c r="AJ3834" s="156"/>
      <c r="AK3834" s="156"/>
      <c r="AL3834" s="156"/>
      <c r="AM3834" s="156"/>
      <c r="AN3834" s="156"/>
      <c r="AO3834" s="156"/>
      <c r="AP3834" s="156"/>
      <c r="AQ3834" s="156"/>
      <c r="AR3834" s="156"/>
      <c r="AS3834" s="156"/>
      <c r="AT3834" s="156"/>
      <c r="AU3834" s="156"/>
      <c r="AV3834" s="156"/>
      <c r="AW3834" s="156"/>
      <c r="AX3834" s="156"/>
      <c r="AY3834" s="156"/>
      <c r="AZ3834" s="156"/>
      <c r="BA3834" s="156"/>
      <c r="BB3834" s="2828"/>
      <c r="BC3834" s="452"/>
      <c r="BD3834" s="2829"/>
      <c r="BE3834" s="2837"/>
      <c r="BF3834" s="156"/>
    </row>
    <row r="3835" spans="1:58" ht="14.5" customHeight="1" outlineLevel="1" x14ac:dyDescent="0.35">
      <c r="A3835" s="1664"/>
      <c r="B3835" s="2812"/>
      <c r="C3835" s="3077"/>
      <c r="D3835" s="3980"/>
      <c r="E3835" s="3883"/>
      <c r="F3835" s="4120" t="str">
        <f t="shared" si="433"/>
        <v>ASHP-SEER20-Replace_CAC_ElectricHeat_ROF_MF</v>
      </c>
      <c r="G3835" s="4121"/>
      <c r="H3835" s="4121"/>
      <c r="I3835" s="4122"/>
      <c r="J3835" s="3508" t="str">
        <f t="shared" si="434"/>
        <v>353500_2019_12_</v>
      </c>
      <c r="K3835" s="717">
        <v>18</v>
      </c>
      <c r="L3835" s="704"/>
      <c r="M3835" s="3020"/>
      <c r="N3835" s="106"/>
      <c r="O3835" s="106"/>
      <c r="P3835" s="702"/>
      <c r="Q3835" s="574"/>
      <c r="R3835" s="702"/>
      <c r="S3835" s="106"/>
      <c r="T3835" s="486"/>
      <c r="U3835" s="106"/>
      <c r="V3835" s="4129"/>
      <c r="W3835" s="717">
        <v>18</v>
      </c>
      <c r="X3835" s="717">
        <v>18</v>
      </c>
      <c r="Y3835" s="717">
        <v>18</v>
      </c>
      <c r="Z3835" s="717">
        <v>18</v>
      </c>
      <c r="AA3835" s="717">
        <v>18</v>
      </c>
      <c r="AB3835" s="717">
        <v>18</v>
      </c>
      <c r="AC3835" s="2930">
        <v>18</v>
      </c>
      <c r="AD3835" s="717">
        <v>18</v>
      </c>
      <c r="AE3835" s="2944"/>
      <c r="AF3835" s="717"/>
      <c r="AG3835" s="717"/>
      <c r="AH3835" s="156"/>
      <c r="AI3835" s="156"/>
      <c r="AJ3835" s="156"/>
      <c r="AK3835" s="156"/>
      <c r="AL3835" s="156"/>
      <c r="AM3835" s="156"/>
      <c r="AN3835" s="156"/>
      <c r="AO3835" s="156"/>
      <c r="AP3835" s="156"/>
      <c r="AQ3835" s="156"/>
      <c r="AR3835" s="156"/>
      <c r="AS3835" s="156"/>
      <c r="AT3835" s="156"/>
      <c r="AU3835" s="156"/>
      <c r="AV3835" s="156"/>
      <c r="AW3835" s="156"/>
      <c r="AX3835" s="156"/>
      <c r="AY3835" s="156"/>
      <c r="AZ3835" s="156"/>
      <c r="BA3835" s="156"/>
      <c r="BB3835" s="2828"/>
      <c r="BC3835" s="452"/>
      <c r="BD3835" s="2829"/>
      <c r="BE3835" s="2837"/>
      <c r="BF3835" s="156"/>
    </row>
    <row r="3836" spans="1:58" ht="14.5" customHeight="1" outlineLevel="1" x14ac:dyDescent="0.35">
      <c r="A3836" s="1664"/>
      <c r="B3836" s="2812"/>
      <c r="C3836" s="3077"/>
      <c r="D3836" s="3980"/>
      <c r="E3836" s="3883"/>
      <c r="F3836" s="4120" t="str">
        <f t="shared" si="433"/>
        <v>ASHP-SEER20-Replace_CAC_ElectricHeat_ROF_MF_CompE</v>
      </c>
      <c r="G3836" s="4121"/>
      <c r="H3836" s="4121"/>
      <c r="I3836" s="4122"/>
      <c r="J3836" s="3508" t="str">
        <f t="shared" si="434"/>
        <v>353501_2019_12_</v>
      </c>
      <c r="K3836" s="717">
        <v>18</v>
      </c>
      <c r="L3836" s="704"/>
      <c r="M3836" s="3020"/>
      <c r="N3836" s="106"/>
      <c r="O3836" s="106"/>
      <c r="P3836" s="702"/>
      <c r="Q3836" s="574"/>
      <c r="R3836" s="702"/>
      <c r="S3836" s="106"/>
      <c r="T3836" s="486"/>
      <c r="U3836" s="106"/>
      <c r="V3836" s="4129"/>
      <c r="W3836" s="717"/>
      <c r="X3836" s="717"/>
      <c r="Y3836" s="717"/>
      <c r="Z3836" s="717"/>
      <c r="AA3836" s="717"/>
      <c r="AB3836" s="717"/>
      <c r="AC3836" s="2932">
        <v>18</v>
      </c>
      <c r="AD3836" s="717">
        <v>18</v>
      </c>
      <c r="AE3836" s="2944"/>
      <c r="AF3836" s="717"/>
      <c r="AG3836" s="717"/>
      <c r="AH3836" s="156"/>
      <c r="AI3836" s="156"/>
      <c r="AJ3836" s="156"/>
      <c r="AK3836" s="156"/>
      <c r="AL3836" s="156"/>
      <c r="AM3836" s="156"/>
      <c r="AN3836" s="156"/>
      <c r="AO3836" s="156"/>
      <c r="AP3836" s="156"/>
      <c r="AQ3836" s="156"/>
      <c r="AR3836" s="156"/>
      <c r="AS3836" s="156"/>
      <c r="AT3836" s="156"/>
      <c r="AU3836" s="156"/>
      <c r="AV3836" s="156"/>
      <c r="AW3836" s="156"/>
      <c r="AX3836" s="156"/>
      <c r="AY3836" s="156"/>
      <c r="AZ3836" s="156"/>
      <c r="BA3836" s="156"/>
      <c r="BB3836" s="2828"/>
      <c r="BC3836" s="452"/>
      <c r="BD3836" s="2829"/>
      <c r="BE3836" s="2837"/>
      <c r="BF3836" s="156"/>
    </row>
    <row r="3837" spans="1:58" ht="14.5" customHeight="1" outlineLevel="1" x14ac:dyDescent="0.35">
      <c r="A3837" s="1664"/>
      <c r="B3837" s="2812"/>
      <c r="C3837" s="3077"/>
      <c r="D3837" s="3980"/>
      <c r="E3837" s="3883"/>
      <c r="F3837" s="4120" t="str">
        <f t="shared" si="433"/>
        <v>ASHP-SEER20-Replace_CAC_ElectricHeat_ROF_MF_CompE</v>
      </c>
      <c r="G3837" s="4121"/>
      <c r="H3837" s="4121"/>
      <c r="I3837" s="4122"/>
      <c r="J3837" s="3508" t="str">
        <f t="shared" si="434"/>
        <v>353501_2019_12_</v>
      </c>
      <c r="K3837" s="717">
        <v>18</v>
      </c>
      <c r="L3837" s="704"/>
      <c r="M3837" s="3020"/>
      <c r="N3837" s="106"/>
      <c r="O3837" s="106"/>
      <c r="P3837" s="702"/>
      <c r="Q3837" s="574"/>
      <c r="R3837" s="702"/>
      <c r="S3837" s="106"/>
      <c r="T3837" s="486"/>
      <c r="U3837" s="106"/>
      <c r="V3837" s="4129"/>
      <c r="W3837" s="717"/>
      <c r="X3837" s="717"/>
      <c r="Y3837" s="717"/>
      <c r="Z3837" s="717"/>
      <c r="AA3837" s="717"/>
      <c r="AB3837" s="717"/>
      <c r="AC3837" s="2932">
        <v>18</v>
      </c>
      <c r="AD3837" s="717">
        <v>18</v>
      </c>
      <c r="AE3837" s="2944"/>
      <c r="AF3837" s="717"/>
      <c r="AG3837" s="717"/>
      <c r="AH3837" s="156"/>
      <c r="AI3837" s="156"/>
      <c r="AJ3837" s="156"/>
      <c r="AK3837" s="156"/>
      <c r="AL3837" s="156"/>
      <c r="AM3837" s="156"/>
      <c r="AN3837" s="156"/>
      <c r="AO3837" s="156"/>
      <c r="AP3837" s="156"/>
      <c r="AQ3837" s="156"/>
      <c r="AR3837" s="156"/>
      <c r="AS3837" s="156"/>
      <c r="AT3837" s="156"/>
      <c r="AU3837" s="156"/>
      <c r="AV3837" s="156"/>
      <c r="AW3837" s="156"/>
      <c r="AX3837" s="156"/>
      <c r="AY3837" s="156"/>
      <c r="AZ3837" s="156"/>
      <c r="BA3837" s="156"/>
      <c r="BB3837" s="2828"/>
      <c r="BC3837" s="452"/>
      <c r="BD3837" s="2829"/>
      <c r="BE3837" s="2837"/>
      <c r="BF3837" s="156"/>
    </row>
    <row r="3838" spans="1:58" ht="14.5" customHeight="1" outlineLevel="1" x14ac:dyDescent="0.35">
      <c r="A3838" s="1664"/>
      <c r="B3838" s="2812"/>
      <c r="C3838" s="3077"/>
      <c r="D3838" s="3980"/>
      <c r="E3838" s="3883"/>
      <c r="F3838" s="4120" t="str">
        <f t="shared" si="433"/>
        <v>ASHP-SEER20-Replace_CAC_NonElectricHeat_ROF_MF</v>
      </c>
      <c r="G3838" s="4121"/>
      <c r="H3838" s="4121"/>
      <c r="I3838" s="4122"/>
      <c r="J3838" s="3508" t="str">
        <f t="shared" si="434"/>
        <v>353510_2021_12_</v>
      </c>
      <c r="K3838" s="717">
        <v>18</v>
      </c>
      <c r="L3838" s="704"/>
      <c r="M3838" s="3020"/>
      <c r="N3838" s="106"/>
      <c r="O3838" s="106"/>
      <c r="P3838" s="702"/>
      <c r="Q3838" s="574"/>
      <c r="R3838" s="702"/>
      <c r="S3838" s="106"/>
      <c r="T3838" s="486"/>
      <c r="U3838" s="106"/>
      <c r="V3838" s="4129"/>
      <c r="W3838" s="717"/>
      <c r="X3838" s="717"/>
      <c r="Y3838" s="717"/>
      <c r="Z3838" s="717"/>
      <c r="AA3838" s="717"/>
      <c r="AB3838" s="717"/>
      <c r="AC3838" s="2932">
        <v>18</v>
      </c>
      <c r="AD3838" s="717">
        <v>18</v>
      </c>
      <c r="AE3838" s="2944"/>
      <c r="AF3838" s="717"/>
      <c r="AG3838" s="717"/>
      <c r="AH3838" s="156"/>
      <c r="AI3838" s="156"/>
      <c r="AJ3838" s="156"/>
      <c r="AK3838" s="156"/>
      <c r="AL3838" s="156"/>
      <c r="AM3838" s="156"/>
      <c r="AN3838" s="156"/>
      <c r="AO3838" s="156"/>
      <c r="AP3838" s="156"/>
      <c r="AQ3838" s="156"/>
      <c r="AR3838" s="156"/>
      <c r="AS3838" s="156"/>
      <c r="AT3838" s="156"/>
      <c r="AU3838" s="156"/>
      <c r="AV3838" s="156"/>
      <c r="AW3838" s="156"/>
      <c r="AX3838" s="156"/>
      <c r="AY3838" s="156"/>
      <c r="AZ3838" s="156"/>
      <c r="BA3838" s="156"/>
      <c r="BB3838" s="2828"/>
      <c r="BC3838" s="452"/>
      <c r="BD3838" s="2829"/>
      <c r="BE3838" s="2837"/>
      <c r="BF3838" s="156"/>
    </row>
    <row r="3839" spans="1:58" ht="14.5" customHeight="1" outlineLevel="1" x14ac:dyDescent="0.35">
      <c r="A3839" s="1664"/>
      <c r="B3839" s="2812"/>
      <c r="C3839" s="3077"/>
      <c r="D3839" s="3980"/>
      <c r="E3839" s="3883"/>
      <c r="F3839" s="4120" t="str">
        <f t="shared" si="433"/>
        <v>ASHP-SEER20-Replace_CAC_NonElectricHeat_ROF_MF</v>
      </c>
      <c r="G3839" s="4121"/>
      <c r="H3839" s="4121"/>
      <c r="I3839" s="4122"/>
      <c r="J3839" s="3508" t="str">
        <f t="shared" si="434"/>
        <v>353510_2021_12_</v>
      </c>
      <c r="K3839" s="717">
        <v>18</v>
      </c>
      <c r="L3839" s="704"/>
      <c r="M3839" s="3020"/>
      <c r="N3839" s="106"/>
      <c r="O3839" s="106"/>
      <c r="P3839" s="702"/>
      <c r="Q3839" s="574"/>
      <c r="R3839" s="702"/>
      <c r="S3839" s="106"/>
      <c r="T3839" s="486"/>
      <c r="U3839" s="106"/>
      <c r="V3839" s="4129"/>
      <c r="W3839" s="717"/>
      <c r="X3839" s="717"/>
      <c r="Y3839" s="717"/>
      <c r="Z3839" s="717"/>
      <c r="AA3839" s="717"/>
      <c r="AB3839" s="717"/>
      <c r="AC3839" s="2932">
        <v>18</v>
      </c>
      <c r="AD3839" s="717">
        <v>18</v>
      </c>
      <c r="AE3839" s="2944"/>
      <c r="AF3839" s="717"/>
      <c r="AG3839" s="717"/>
      <c r="AH3839" s="156"/>
      <c r="AI3839" s="156"/>
      <c r="AJ3839" s="156"/>
      <c r="AK3839" s="156"/>
      <c r="AL3839" s="156"/>
      <c r="AM3839" s="156"/>
      <c r="AN3839" s="156"/>
      <c r="AO3839" s="156"/>
      <c r="AP3839" s="156"/>
      <c r="AQ3839" s="156"/>
      <c r="AR3839" s="156"/>
      <c r="AS3839" s="156"/>
      <c r="AT3839" s="156"/>
      <c r="AU3839" s="156"/>
      <c r="AV3839" s="156"/>
      <c r="AW3839" s="156"/>
      <c r="AX3839" s="156"/>
      <c r="AY3839" s="156"/>
      <c r="AZ3839" s="156"/>
      <c r="BA3839" s="156"/>
      <c r="BB3839" s="2828"/>
      <c r="BC3839" s="452"/>
      <c r="BD3839" s="2829"/>
      <c r="BE3839" s="2837"/>
      <c r="BF3839" s="156"/>
    </row>
    <row r="3840" spans="1:58" ht="14.5" customHeight="1" outlineLevel="1" x14ac:dyDescent="0.35">
      <c r="A3840" s="1664"/>
      <c r="B3840" s="2812"/>
      <c r="C3840" s="3077"/>
      <c r="D3840" s="3980"/>
      <c r="E3840" s="3883"/>
      <c r="F3840" s="4120" t="str">
        <f t="shared" si="433"/>
        <v>ASHP-SEER20-Replace_CAC_NonElectricHeat_ROF_MF_CompE</v>
      </c>
      <c r="G3840" s="4121"/>
      <c r="H3840" s="4121"/>
      <c r="I3840" s="4122"/>
      <c r="J3840" s="3508" t="str">
        <f t="shared" si="434"/>
        <v>353511_2021_12_</v>
      </c>
      <c r="K3840" s="717">
        <v>18</v>
      </c>
      <c r="L3840" s="704"/>
      <c r="M3840" s="3020"/>
      <c r="N3840" s="106"/>
      <c r="O3840" s="106"/>
      <c r="P3840" s="702"/>
      <c r="Q3840" s="574"/>
      <c r="R3840" s="702"/>
      <c r="S3840" s="106"/>
      <c r="T3840" s="486"/>
      <c r="U3840" s="106"/>
      <c r="V3840" s="4129"/>
      <c r="W3840" s="717"/>
      <c r="X3840" s="717"/>
      <c r="Y3840" s="717"/>
      <c r="Z3840" s="717"/>
      <c r="AA3840" s="717"/>
      <c r="AB3840" s="717"/>
      <c r="AC3840" s="2932">
        <v>18</v>
      </c>
      <c r="AD3840" s="717">
        <v>18</v>
      </c>
      <c r="AE3840" s="2944"/>
      <c r="AF3840" s="717"/>
      <c r="AG3840" s="717"/>
      <c r="AH3840" s="156"/>
      <c r="AI3840" s="156"/>
      <c r="AJ3840" s="156"/>
      <c r="AK3840" s="156"/>
      <c r="AL3840" s="156"/>
      <c r="AM3840" s="156"/>
      <c r="AN3840" s="156"/>
      <c r="AO3840" s="156"/>
      <c r="AP3840" s="156"/>
      <c r="AQ3840" s="156"/>
      <c r="AR3840" s="156"/>
      <c r="AS3840" s="156"/>
      <c r="AT3840" s="156"/>
      <c r="AU3840" s="156"/>
      <c r="AV3840" s="156"/>
      <c r="AW3840" s="156"/>
      <c r="AX3840" s="156"/>
      <c r="AY3840" s="156"/>
      <c r="AZ3840" s="156"/>
      <c r="BA3840" s="156"/>
      <c r="BB3840" s="2828"/>
      <c r="BC3840" s="452"/>
      <c r="BD3840" s="2829"/>
      <c r="BE3840" s="2837"/>
      <c r="BF3840" s="156"/>
    </row>
    <row r="3841" spans="1:58" ht="14.5" customHeight="1" outlineLevel="1" x14ac:dyDescent="0.35">
      <c r="A3841" s="1664"/>
      <c r="B3841" s="2812"/>
      <c r="C3841" s="3077"/>
      <c r="D3841" s="3980"/>
      <c r="E3841" s="3883"/>
      <c r="F3841" s="4120" t="str">
        <f t="shared" si="433"/>
        <v>ASHP-SEER20-Replace_CAC_NonElectricHeat_ROF_MF_CompE</v>
      </c>
      <c r="G3841" s="4121"/>
      <c r="H3841" s="4121"/>
      <c r="I3841" s="4122"/>
      <c r="J3841" s="3508" t="str">
        <f t="shared" si="434"/>
        <v>353511_2021_12_</v>
      </c>
      <c r="K3841" s="717">
        <v>18</v>
      </c>
      <c r="L3841" s="704"/>
      <c r="M3841" s="3020"/>
      <c r="N3841" s="106"/>
      <c r="O3841" s="106"/>
      <c r="P3841" s="702"/>
      <c r="Q3841" s="574"/>
      <c r="R3841" s="702"/>
      <c r="S3841" s="106"/>
      <c r="T3841" s="486"/>
      <c r="U3841" s="106"/>
      <c r="V3841" s="4129"/>
      <c r="W3841" s="717"/>
      <c r="X3841" s="717"/>
      <c r="Y3841" s="717"/>
      <c r="Z3841" s="717"/>
      <c r="AA3841" s="717"/>
      <c r="AB3841" s="717"/>
      <c r="AC3841" s="2932">
        <v>18</v>
      </c>
      <c r="AD3841" s="717">
        <v>18</v>
      </c>
      <c r="AE3841" s="2944"/>
      <c r="AF3841" s="717"/>
      <c r="AG3841" s="717"/>
      <c r="AH3841" s="156"/>
      <c r="AI3841" s="156"/>
      <c r="AJ3841" s="156"/>
      <c r="AK3841" s="156"/>
      <c r="AL3841" s="156"/>
      <c r="AM3841" s="156"/>
      <c r="AN3841" s="156"/>
      <c r="AO3841" s="156"/>
      <c r="AP3841" s="156"/>
      <c r="AQ3841" s="156"/>
      <c r="AR3841" s="156"/>
      <c r="AS3841" s="156"/>
      <c r="AT3841" s="156"/>
      <c r="AU3841" s="156"/>
      <c r="AV3841" s="156"/>
      <c r="AW3841" s="156"/>
      <c r="AX3841" s="156"/>
      <c r="AY3841" s="156"/>
      <c r="AZ3841" s="156"/>
      <c r="BA3841" s="156"/>
      <c r="BB3841" s="2828"/>
      <c r="BC3841" s="452"/>
      <c r="BD3841" s="2829"/>
      <c r="BE3841" s="2837"/>
      <c r="BF3841" s="156"/>
    </row>
    <row r="3842" spans="1:58" ht="14.5" customHeight="1" outlineLevel="1" x14ac:dyDescent="0.35">
      <c r="A3842" s="1664"/>
      <c r="B3842" s="2812"/>
      <c r="C3842" s="3077"/>
      <c r="D3842" s="3980"/>
      <c r="E3842" s="3883"/>
      <c r="F3842" s="4120" t="str">
        <f t="shared" si="433"/>
        <v>ASHP-SEER21-Replace_CAC_ElectricHeat_ER1_SF</v>
      </c>
      <c r="G3842" s="4121"/>
      <c r="H3842" s="4121"/>
      <c r="I3842" s="4122"/>
      <c r="J3842" s="3508" t="str">
        <f t="shared" si="434"/>
        <v>353550_2021_12_</v>
      </c>
      <c r="K3842" s="717">
        <v>6</v>
      </c>
      <c r="L3842" s="704"/>
      <c r="M3842" s="3020"/>
      <c r="N3842" s="106"/>
      <c r="O3842" s="106"/>
      <c r="P3842" s="702"/>
      <c r="Q3842" s="574"/>
      <c r="R3842" s="702"/>
      <c r="S3842" s="106"/>
      <c r="T3842" s="486"/>
      <c r="U3842" s="106"/>
      <c r="V3842" s="4129"/>
      <c r="W3842" s="717">
        <v>6</v>
      </c>
      <c r="X3842" s="717">
        <v>6</v>
      </c>
      <c r="Y3842" s="717">
        <v>6</v>
      </c>
      <c r="Z3842" s="717">
        <v>6</v>
      </c>
      <c r="AA3842" s="717">
        <v>6</v>
      </c>
      <c r="AB3842" s="717">
        <v>6</v>
      </c>
      <c r="AC3842" s="2930">
        <v>6</v>
      </c>
      <c r="AD3842" s="717">
        <v>6</v>
      </c>
      <c r="AE3842" s="2944"/>
      <c r="AF3842" s="717"/>
      <c r="AG3842" s="717"/>
      <c r="AH3842" s="156"/>
      <c r="AI3842" s="156"/>
      <c r="AJ3842" s="156"/>
      <c r="AK3842" s="156"/>
      <c r="AL3842" s="156"/>
      <c r="AM3842" s="156"/>
      <c r="AN3842" s="156"/>
      <c r="AO3842" s="156"/>
      <c r="AP3842" s="156"/>
      <c r="AQ3842" s="156"/>
      <c r="AR3842" s="156"/>
      <c r="AS3842" s="156"/>
      <c r="AT3842" s="156"/>
      <c r="AU3842" s="156"/>
      <c r="AV3842" s="156"/>
      <c r="AW3842" s="156"/>
      <c r="AX3842" s="156"/>
      <c r="AY3842" s="156"/>
      <c r="AZ3842" s="156"/>
      <c r="BA3842" s="156"/>
      <c r="BB3842" s="2828"/>
      <c r="BC3842" s="452"/>
      <c r="BD3842" s="2829"/>
      <c r="BE3842" s="2837"/>
      <c r="BF3842" s="156"/>
    </row>
    <row r="3843" spans="1:58" ht="14.5" customHeight="1" outlineLevel="1" x14ac:dyDescent="0.35">
      <c r="A3843" s="1664"/>
      <c r="B3843" s="2812"/>
      <c r="C3843" s="3077"/>
      <c r="D3843" s="3980"/>
      <c r="E3843" s="3883"/>
      <c r="F3843" s="4120" t="str">
        <f t="shared" si="433"/>
        <v>ASHP-SEER21-Replace_CAC_ElectricHeat_ER1_SF</v>
      </c>
      <c r="G3843" s="4121"/>
      <c r="H3843" s="4121"/>
      <c r="I3843" s="4122"/>
      <c r="J3843" s="3508" t="str">
        <f t="shared" si="434"/>
        <v>353550_2021_12_</v>
      </c>
      <c r="K3843" s="717">
        <v>6</v>
      </c>
      <c r="L3843" s="704"/>
      <c r="M3843" s="3020"/>
      <c r="N3843" s="106"/>
      <c r="O3843" s="106"/>
      <c r="P3843" s="702"/>
      <c r="Q3843" s="574"/>
      <c r="R3843" s="702"/>
      <c r="S3843" s="106"/>
      <c r="T3843" s="486"/>
      <c r="U3843" s="106"/>
      <c r="V3843" s="4129"/>
      <c r="W3843" s="717">
        <v>6</v>
      </c>
      <c r="X3843" s="717">
        <v>6</v>
      </c>
      <c r="Y3843" s="717">
        <v>6</v>
      </c>
      <c r="Z3843" s="717">
        <v>6</v>
      </c>
      <c r="AA3843" s="717">
        <v>6</v>
      </c>
      <c r="AB3843" s="717">
        <v>6</v>
      </c>
      <c r="AC3843" s="2930">
        <v>6</v>
      </c>
      <c r="AD3843" s="717">
        <v>6</v>
      </c>
      <c r="AE3843" s="2944"/>
      <c r="AF3843" s="717"/>
      <c r="AG3843" s="717"/>
      <c r="AH3843" s="156"/>
      <c r="AI3843" s="156"/>
      <c r="AJ3843" s="156"/>
      <c r="AK3843" s="156"/>
      <c r="AL3843" s="156"/>
      <c r="AM3843" s="156"/>
      <c r="AN3843" s="156"/>
      <c r="AO3843" s="156"/>
      <c r="AP3843" s="156"/>
      <c r="AQ3843" s="156"/>
      <c r="AR3843" s="156"/>
      <c r="AS3843" s="156"/>
      <c r="AT3843" s="156"/>
      <c r="AU3843" s="156"/>
      <c r="AV3843" s="156"/>
      <c r="AW3843" s="156"/>
      <c r="AX3843" s="156"/>
      <c r="AY3843" s="156"/>
      <c r="AZ3843" s="156"/>
      <c r="BA3843" s="156"/>
      <c r="BB3843" s="2828"/>
      <c r="BC3843" s="452"/>
      <c r="BD3843" s="2829"/>
      <c r="BE3843" s="2837"/>
      <c r="BF3843" s="156"/>
    </row>
    <row r="3844" spans="1:58" ht="14.5" customHeight="1" outlineLevel="1" x14ac:dyDescent="0.35">
      <c r="A3844" s="1664"/>
      <c r="B3844" s="2812"/>
      <c r="C3844" s="3077"/>
      <c r="D3844" s="3980"/>
      <c r="E3844" s="3883"/>
      <c r="F3844" s="4120" t="str">
        <f t="shared" si="433"/>
        <v>ASHP-SEER21-Replace_CAC_ElectricHeat_ER2_SF</v>
      </c>
      <c r="G3844" s="4121"/>
      <c r="H3844" s="4121"/>
      <c r="I3844" s="4122"/>
      <c r="J3844" s="3508" t="str">
        <f t="shared" si="434"/>
        <v>353550_2021_12_</v>
      </c>
      <c r="K3844" s="717">
        <v>12</v>
      </c>
      <c r="L3844" s="704"/>
      <c r="M3844" s="3020"/>
      <c r="N3844" s="106"/>
      <c r="O3844" s="106"/>
      <c r="P3844" s="702"/>
      <c r="Q3844" s="574"/>
      <c r="R3844" s="702"/>
      <c r="S3844" s="106"/>
      <c r="T3844" s="486"/>
      <c r="U3844" s="106"/>
      <c r="V3844" s="4129"/>
      <c r="W3844" s="717">
        <v>12</v>
      </c>
      <c r="X3844" s="717">
        <v>12</v>
      </c>
      <c r="Y3844" s="717">
        <v>12</v>
      </c>
      <c r="Z3844" s="717">
        <v>12</v>
      </c>
      <c r="AA3844" s="717">
        <v>12</v>
      </c>
      <c r="AB3844" s="717">
        <v>12</v>
      </c>
      <c r="AC3844" s="2930">
        <v>12</v>
      </c>
      <c r="AD3844" s="717">
        <v>12</v>
      </c>
      <c r="AE3844" s="2944"/>
      <c r="AF3844" s="717"/>
      <c r="AG3844" s="717"/>
      <c r="AH3844" s="156"/>
      <c r="AI3844" s="156"/>
      <c r="AJ3844" s="156"/>
      <c r="AK3844" s="156"/>
      <c r="AL3844" s="156"/>
      <c r="AM3844" s="156"/>
      <c r="AN3844" s="156"/>
      <c r="AO3844" s="156"/>
      <c r="AP3844" s="156"/>
      <c r="AQ3844" s="156"/>
      <c r="AR3844" s="156"/>
      <c r="AS3844" s="156"/>
      <c r="AT3844" s="156"/>
      <c r="AU3844" s="156"/>
      <c r="AV3844" s="156"/>
      <c r="AW3844" s="156"/>
      <c r="AX3844" s="156"/>
      <c r="AY3844" s="156"/>
      <c r="AZ3844" s="156"/>
      <c r="BA3844" s="156"/>
      <c r="BB3844" s="2828"/>
      <c r="BC3844" s="452"/>
      <c r="BD3844" s="2829"/>
      <c r="BE3844" s="2837"/>
      <c r="BF3844" s="156"/>
    </row>
    <row r="3845" spans="1:58" ht="14.5" customHeight="1" outlineLevel="1" x14ac:dyDescent="0.35">
      <c r="A3845" s="1664"/>
      <c r="B3845" s="2812"/>
      <c r="C3845" s="3077"/>
      <c r="D3845" s="3980"/>
      <c r="E3845" s="3883"/>
      <c r="F3845" s="4120" t="str">
        <f t="shared" si="433"/>
        <v>ASHP-SEER21-Replace_CAC_ElectricHeat_ER2_SF</v>
      </c>
      <c r="G3845" s="4121"/>
      <c r="H3845" s="4121"/>
      <c r="I3845" s="4122"/>
      <c r="J3845" s="3508" t="str">
        <f t="shared" si="434"/>
        <v>353550_2021_12_</v>
      </c>
      <c r="K3845" s="717">
        <v>12</v>
      </c>
      <c r="L3845" s="704"/>
      <c r="M3845" s="3020"/>
      <c r="N3845" s="106"/>
      <c r="O3845" s="106"/>
      <c r="P3845" s="702"/>
      <c r="Q3845" s="574"/>
      <c r="R3845" s="702"/>
      <c r="S3845" s="106"/>
      <c r="T3845" s="486"/>
      <c r="U3845" s="106"/>
      <c r="V3845" s="4129"/>
      <c r="W3845" s="717">
        <v>12</v>
      </c>
      <c r="X3845" s="717">
        <v>12</v>
      </c>
      <c r="Y3845" s="717">
        <v>12</v>
      </c>
      <c r="Z3845" s="717">
        <v>12</v>
      </c>
      <c r="AA3845" s="717">
        <v>12</v>
      </c>
      <c r="AB3845" s="717">
        <v>12</v>
      </c>
      <c r="AC3845" s="2930">
        <v>12</v>
      </c>
      <c r="AD3845" s="717">
        <v>12</v>
      </c>
      <c r="AE3845" s="2944"/>
      <c r="AF3845" s="717"/>
      <c r="AG3845" s="717"/>
      <c r="AH3845" s="156"/>
      <c r="AI3845" s="156"/>
      <c r="AJ3845" s="156"/>
      <c r="AK3845" s="156"/>
      <c r="AL3845" s="156"/>
      <c r="AM3845" s="156"/>
      <c r="AN3845" s="156"/>
      <c r="AO3845" s="156"/>
      <c r="AP3845" s="156"/>
      <c r="AQ3845" s="156"/>
      <c r="AR3845" s="156"/>
      <c r="AS3845" s="156"/>
      <c r="AT3845" s="156"/>
      <c r="AU3845" s="156"/>
      <c r="AV3845" s="156"/>
      <c r="AW3845" s="156"/>
      <c r="AX3845" s="156"/>
      <c r="AY3845" s="156"/>
      <c r="AZ3845" s="156"/>
      <c r="BA3845" s="156"/>
      <c r="BB3845" s="2828"/>
      <c r="BC3845" s="452"/>
      <c r="BD3845" s="2829"/>
      <c r="BE3845" s="2837"/>
      <c r="BF3845" s="156"/>
    </row>
    <row r="3846" spans="1:58" ht="14.5" customHeight="1" outlineLevel="1" x14ac:dyDescent="0.35">
      <c r="A3846" s="1664"/>
      <c r="B3846" s="2812"/>
      <c r="C3846" s="3077"/>
      <c r="D3846" s="3980"/>
      <c r="E3846" s="3883"/>
      <c r="F3846" s="4120" t="str">
        <f t="shared" si="433"/>
        <v>ASHP-SEER21-Replace_CAC_NonElectricHeat_ER1_SF</v>
      </c>
      <c r="G3846" s="4121"/>
      <c r="H3846" s="4121"/>
      <c r="I3846" s="4122"/>
      <c r="J3846" s="3508" t="str">
        <f t="shared" si="434"/>
        <v>353560_2021_12_</v>
      </c>
      <c r="K3846" s="717">
        <v>6</v>
      </c>
      <c r="L3846" s="704"/>
      <c r="M3846" s="3020"/>
      <c r="N3846" s="106"/>
      <c r="O3846" s="106"/>
      <c r="P3846" s="702"/>
      <c r="Q3846" s="574"/>
      <c r="R3846" s="702"/>
      <c r="S3846" s="106"/>
      <c r="T3846" s="486"/>
      <c r="U3846" s="106"/>
      <c r="V3846" s="4129"/>
      <c r="W3846" s="717"/>
      <c r="X3846" s="717"/>
      <c r="Y3846" s="717"/>
      <c r="Z3846" s="717"/>
      <c r="AA3846" s="717"/>
      <c r="AB3846" s="717"/>
      <c r="AC3846" s="2932">
        <v>6</v>
      </c>
      <c r="AD3846" s="717">
        <v>6</v>
      </c>
      <c r="AE3846" s="2944"/>
      <c r="AF3846" s="717"/>
      <c r="AG3846" s="717"/>
      <c r="AH3846" s="156"/>
      <c r="AI3846" s="156"/>
      <c r="AJ3846" s="156"/>
      <c r="AK3846" s="156"/>
      <c r="AL3846" s="156"/>
      <c r="AM3846" s="156"/>
      <c r="AN3846" s="156"/>
      <c r="AO3846" s="156"/>
      <c r="AP3846" s="156"/>
      <c r="AQ3846" s="156"/>
      <c r="AR3846" s="156"/>
      <c r="AS3846" s="156"/>
      <c r="AT3846" s="156"/>
      <c r="AU3846" s="156"/>
      <c r="AV3846" s="156"/>
      <c r="AW3846" s="156"/>
      <c r="AX3846" s="156"/>
      <c r="AY3846" s="156"/>
      <c r="AZ3846" s="156"/>
      <c r="BA3846" s="156"/>
      <c r="BB3846" s="2828"/>
      <c r="BC3846" s="452"/>
      <c r="BD3846" s="2829"/>
      <c r="BE3846" s="2837"/>
      <c r="BF3846" s="156"/>
    </row>
    <row r="3847" spans="1:58" ht="14.5" customHeight="1" outlineLevel="1" x14ac:dyDescent="0.35">
      <c r="A3847" s="1664"/>
      <c r="B3847" s="2812"/>
      <c r="C3847" s="3077"/>
      <c r="D3847" s="3980"/>
      <c r="E3847" s="3883"/>
      <c r="F3847" s="4120" t="str">
        <f t="shared" si="433"/>
        <v>ASHP-SEER21-Replace_CAC_NonElectricHeat_ER1_SF</v>
      </c>
      <c r="G3847" s="4121"/>
      <c r="H3847" s="4121"/>
      <c r="I3847" s="4122"/>
      <c r="J3847" s="3508" t="str">
        <f t="shared" si="434"/>
        <v>353560_2021_12_</v>
      </c>
      <c r="K3847" s="717">
        <v>6</v>
      </c>
      <c r="L3847" s="704"/>
      <c r="M3847" s="3020"/>
      <c r="N3847" s="106"/>
      <c r="O3847" s="106"/>
      <c r="P3847" s="702"/>
      <c r="Q3847" s="574"/>
      <c r="R3847" s="702"/>
      <c r="S3847" s="106"/>
      <c r="T3847" s="486"/>
      <c r="U3847" s="106"/>
      <c r="V3847" s="4129"/>
      <c r="W3847" s="717"/>
      <c r="X3847" s="717"/>
      <c r="Y3847" s="717"/>
      <c r="Z3847" s="717"/>
      <c r="AA3847" s="717"/>
      <c r="AB3847" s="717"/>
      <c r="AC3847" s="2932">
        <v>6</v>
      </c>
      <c r="AD3847" s="717">
        <v>6</v>
      </c>
      <c r="AE3847" s="2944"/>
      <c r="AF3847" s="717"/>
      <c r="AG3847" s="717"/>
      <c r="AH3847" s="156"/>
      <c r="AI3847" s="156"/>
      <c r="AJ3847" s="156"/>
      <c r="AK3847" s="156"/>
      <c r="AL3847" s="156"/>
      <c r="AM3847" s="156"/>
      <c r="AN3847" s="156"/>
      <c r="AO3847" s="156"/>
      <c r="AP3847" s="156"/>
      <c r="AQ3847" s="156"/>
      <c r="AR3847" s="156"/>
      <c r="AS3847" s="156"/>
      <c r="AT3847" s="156"/>
      <c r="AU3847" s="156"/>
      <c r="AV3847" s="156"/>
      <c r="AW3847" s="156"/>
      <c r="AX3847" s="156"/>
      <c r="AY3847" s="156"/>
      <c r="AZ3847" s="156"/>
      <c r="BA3847" s="156"/>
      <c r="BB3847" s="2828"/>
      <c r="BC3847" s="452"/>
      <c r="BD3847" s="2829"/>
      <c r="BE3847" s="2837"/>
      <c r="BF3847" s="156"/>
    </row>
    <row r="3848" spans="1:58" ht="14.5" customHeight="1" outlineLevel="1" x14ac:dyDescent="0.35">
      <c r="A3848" s="1664"/>
      <c r="B3848" s="2812"/>
      <c r="C3848" s="3077"/>
      <c r="D3848" s="3980"/>
      <c r="E3848" s="3883"/>
      <c r="F3848" s="4120" t="str">
        <f t="shared" si="433"/>
        <v>ASHP-SEER21-Replace_CAC_NonElectricHeat_ER2_SF</v>
      </c>
      <c r="G3848" s="4121"/>
      <c r="H3848" s="4121"/>
      <c r="I3848" s="4122"/>
      <c r="J3848" s="3508" t="str">
        <f t="shared" si="434"/>
        <v>353560_2021_12_</v>
      </c>
      <c r="K3848" s="717">
        <v>12</v>
      </c>
      <c r="L3848" s="704"/>
      <c r="M3848" s="3020"/>
      <c r="N3848" s="106"/>
      <c r="O3848" s="106"/>
      <c r="P3848" s="702"/>
      <c r="Q3848" s="574"/>
      <c r="R3848" s="702"/>
      <c r="S3848" s="106"/>
      <c r="T3848" s="486"/>
      <c r="U3848" s="106"/>
      <c r="V3848" s="4129"/>
      <c r="W3848" s="717"/>
      <c r="X3848" s="717"/>
      <c r="Y3848" s="717"/>
      <c r="Z3848" s="717"/>
      <c r="AA3848" s="717"/>
      <c r="AB3848" s="717"/>
      <c r="AC3848" s="2932">
        <v>12</v>
      </c>
      <c r="AD3848" s="717">
        <v>12</v>
      </c>
      <c r="AE3848" s="2944"/>
      <c r="AF3848" s="717"/>
      <c r="AG3848" s="717"/>
      <c r="AH3848" s="156"/>
      <c r="AI3848" s="156"/>
      <c r="AJ3848" s="156"/>
      <c r="AK3848" s="156"/>
      <c r="AL3848" s="156"/>
      <c r="AM3848" s="156"/>
      <c r="AN3848" s="156"/>
      <c r="AO3848" s="156"/>
      <c r="AP3848" s="156"/>
      <c r="AQ3848" s="156"/>
      <c r="AR3848" s="156"/>
      <c r="AS3848" s="156"/>
      <c r="AT3848" s="156"/>
      <c r="AU3848" s="156"/>
      <c r="AV3848" s="156"/>
      <c r="AW3848" s="156"/>
      <c r="AX3848" s="156"/>
      <c r="AY3848" s="156"/>
      <c r="AZ3848" s="156"/>
      <c r="BA3848" s="156"/>
      <c r="BB3848" s="2828"/>
      <c r="BC3848" s="452"/>
      <c r="BD3848" s="2829"/>
      <c r="BE3848" s="2837"/>
      <c r="BF3848" s="156"/>
    </row>
    <row r="3849" spans="1:58" ht="14.5" customHeight="1" outlineLevel="1" x14ac:dyDescent="0.35">
      <c r="A3849" s="1664"/>
      <c r="B3849" s="2812"/>
      <c r="C3849" s="3077"/>
      <c r="D3849" s="3980"/>
      <c r="E3849" s="3883"/>
      <c r="F3849" s="4120" t="str">
        <f t="shared" si="433"/>
        <v>ASHP-SEER21-Replace_CAC_NonElectricHeat_ER2_SF</v>
      </c>
      <c r="G3849" s="4121"/>
      <c r="H3849" s="4121"/>
      <c r="I3849" s="4122"/>
      <c r="J3849" s="3508" t="str">
        <f t="shared" si="434"/>
        <v>353560_2021_12_</v>
      </c>
      <c r="K3849" s="717">
        <v>12</v>
      </c>
      <c r="L3849" s="704"/>
      <c r="M3849" s="3020"/>
      <c r="N3849" s="106"/>
      <c r="O3849" s="106"/>
      <c r="P3849" s="702"/>
      <c r="Q3849" s="574"/>
      <c r="R3849" s="702"/>
      <c r="S3849" s="106"/>
      <c r="T3849" s="486"/>
      <c r="U3849" s="106"/>
      <c r="V3849" s="4129"/>
      <c r="W3849" s="717"/>
      <c r="X3849" s="717"/>
      <c r="Y3849" s="717"/>
      <c r="Z3849" s="717"/>
      <c r="AA3849" s="717"/>
      <c r="AB3849" s="717"/>
      <c r="AC3849" s="2932">
        <v>12</v>
      </c>
      <c r="AD3849" s="717">
        <v>12</v>
      </c>
      <c r="AE3849" s="2944"/>
      <c r="AF3849" s="717"/>
      <c r="AG3849" s="717"/>
      <c r="AH3849" s="156"/>
      <c r="AI3849" s="156"/>
      <c r="AJ3849" s="156"/>
      <c r="AK3849" s="156"/>
      <c r="AL3849" s="156"/>
      <c r="AM3849" s="156"/>
      <c r="AN3849" s="156"/>
      <c r="AO3849" s="156"/>
      <c r="AP3849" s="156"/>
      <c r="AQ3849" s="156"/>
      <c r="AR3849" s="156"/>
      <c r="AS3849" s="156"/>
      <c r="AT3849" s="156"/>
      <c r="AU3849" s="156"/>
      <c r="AV3849" s="156"/>
      <c r="AW3849" s="156"/>
      <c r="AX3849" s="156"/>
      <c r="AY3849" s="156"/>
      <c r="AZ3849" s="156"/>
      <c r="BA3849" s="156"/>
      <c r="BB3849" s="2828"/>
      <c r="BC3849" s="452"/>
      <c r="BD3849" s="2829"/>
      <c r="BE3849" s="2837"/>
      <c r="BF3849" s="156"/>
    </row>
    <row r="3850" spans="1:58" ht="14.5" customHeight="1" outlineLevel="1" x14ac:dyDescent="0.35">
      <c r="A3850" s="1664"/>
      <c r="B3850" s="2812"/>
      <c r="C3850" s="3077"/>
      <c r="D3850" s="3980"/>
      <c r="E3850" s="3883"/>
      <c r="F3850" s="4120" t="str">
        <f t="shared" si="433"/>
        <v>ASHP-SEER21-Replace_CAC_ElectricHeat_ER1_MF</v>
      </c>
      <c r="G3850" s="4121"/>
      <c r="H3850" s="4121"/>
      <c r="I3850" s="4122"/>
      <c r="J3850" s="3508" t="str">
        <f t="shared" si="434"/>
        <v>353600_2019_12_</v>
      </c>
      <c r="K3850" s="717">
        <v>6</v>
      </c>
      <c r="L3850" s="704"/>
      <c r="M3850" s="3020"/>
      <c r="N3850" s="106"/>
      <c r="O3850" s="106"/>
      <c r="P3850" s="702"/>
      <c r="Q3850" s="574"/>
      <c r="R3850" s="702"/>
      <c r="S3850" s="106"/>
      <c r="T3850" s="486"/>
      <c r="U3850" s="106"/>
      <c r="V3850" s="4129"/>
      <c r="W3850" s="717">
        <v>6</v>
      </c>
      <c r="X3850" s="717">
        <v>6</v>
      </c>
      <c r="Y3850" s="717">
        <v>6</v>
      </c>
      <c r="Z3850" s="717">
        <v>6</v>
      </c>
      <c r="AA3850" s="717">
        <v>6</v>
      </c>
      <c r="AB3850" s="717">
        <v>6</v>
      </c>
      <c r="AC3850" s="2930">
        <v>6</v>
      </c>
      <c r="AD3850" s="717">
        <v>6</v>
      </c>
      <c r="AE3850" s="2944"/>
      <c r="AF3850" s="717"/>
      <c r="AG3850" s="717"/>
      <c r="AH3850" s="156"/>
      <c r="AI3850" s="156"/>
      <c r="AJ3850" s="156"/>
      <c r="AK3850" s="156"/>
      <c r="AL3850" s="156"/>
      <c r="AM3850" s="156"/>
      <c r="AN3850" s="156"/>
      <c r="AO3850" s="156"/>
      <c r="AP3850" s="156"/>
      <c r="AQ3850" s="156"/>
      <c r="AR3850" s="156"/>
      <c r="AS3850" s="156"/>
      <c r="AT3850" s="156"/>
      <c r="AU3850" s="156"/>
      <c r="AV3850" s="156"/>
      <c r="AW3850" s="156"/>
      <c r="AX3850" s="156"/>
      <c r="AY3850" s="156"/>
      <c r="AZ3850" s="156"/>
      <c r="BA3850" s="156"/>
      <c r="BB3850" s="2828"/>
      <c r="BC3850" s="452"/>
      <c r="BD3850" s="2829"/>
      <c r="BE3850" s="2837"/>
      <c r="BF3850" s="156"/>
    </row>
    <row r="3851" spans="1:58" ht="14.5" customHeight="1" outlineLevel="1" x14ac:dyDescent="0.35">
      <c r="A3851" s="1664"/>
      <c r="B3851" s="2812"/>
      <c r="C3851" s="3077"/>
      <c r="D3851" s="3980"/>
      <c r="E3851" s="3883"/>
      <c r="F3851" s="4120" t="str">
        <f t="shared" si="433"/>
        <v>ASHP-SEER21-Replace_CAC_ElectricHeat_ER1_MF</v>
      </c>
      <c r="G3851" s="4121"/>
      <c r="H3851" s="4121"/>
      <c r="I3851" s="4122"/>
      <c r="J3851" s="3508" t="str">
        <f t="shared" si="434"/>
        <v>353600_2019_12_</v>
      </c>
      <c r="K3851" s="717">
        <v>6</v>
      </c>
      <c r="L3851" s="704"/>
      <c r="M3851" s="3020"/>
      <c r="N3851" s="106"/>
      <c r="O3851" s="106"/>
      <c r="P3851" s="702"/>
      <c r="Q3851" s="574"/>
      <c r="R3851" s="702"/>
      <c r="S3851" s="106"/>
      <c r="T3851" s="486"/>
      <c r="U3851" s="106"/>
      <c r="V3851" s="4129"/>
      <c r="W3851" s="717">
        <v>6</v>
      </c>
      <c r="X3851" s="717">
        <v>6</v>
      </c>
      <c r="Y3851" s="717">
        <v>6</v>
      </c>
      <c r="Z3851" s="717">
        <v>6</v>
      </c>
      <c r="AA3851" s="717">
        <v>6</v>
      </c>
      <c r="AB3851" s="717">
        <v>6</v>
      </c>
      <c r="AC3851" s="2930">
        <v>6</v>
      </c>
      <c r="AD3851" s="717">
        <v>6</v>
      </c>
      <c r="AE3851" s="2944"/>
      <c r="AF3851" s="717"/>
      <c r="AG3851" s="717"/>
      <c r="AH3851" s="156"/>
      <c r="AI3851" s="156"/>
      <c r="AJ3851" s="156"/>
      <c r="AK3851" s="156"/>
      <c r="AL3851" s="156"/>
      <c r="AM3851" s="156"/>
      <c r="AN3851" s="156"/>
      <c r="AO3851" s="156"/>
      <c r="AP3851" s="156"/>
      <c r="AQ3851" s="156"/>
      <c r="AR3851" s="156"/>
      <c r="AS3851" s="156"/>
      <c r="AT3851" s="156"/>
      <c r="AU3851" s="156"/>
      <c r="AV3851" s="156"/>
      <c r="AW3851" s="156"/>
      <c r="AX3851" s="156"/>
      <c r="AY3851" s="156"/>
      <c r="AZ3851" s="156"/>
      <c r="BA3851" s="156"/>
      <c r="BB3851" s="2828"/>
      <c r="BC3851" s="452"/>
      <c r="BD3851" s="2829"/>
      <c r="BE3851" s="2837"/>
      <c r="BF3851" s="156"/>
    </row>
    <row r="3852" spans="1:58" ht="14.5" customHeight="1" outlineLevel="1" x14ac:dyDescent="0.35">
      <c r="A3852" s="1664"/>
      <c r="B3852" s="2812"/>
      <c r="C3852" s="3077"/>
      <c r="D3852" s="3980"/>
      <c r="E3852" s="3883"/>
      <c r="F3852" s="4120" t="str">
        <f t="shared" si="433"/>
        <v>ASHP-SEER21-Replace_CAC_ElectricHeat_ER2_MF</v>
      </c>
      <c r="G3852" s="4121"/>
      <c r="H3852" s="4121"/>
      <c r="I3852" s="4122"/>
      <c r="J3852" s="3508" t="str">
        <f t="shared" si="434"/>
        <v>353600_2019_12_</v>
      </c>
      <c r="K3852" s="717">
        <v>12</v>
      </c>
      <c r="L3852" s="704"/>
      <c r="M3852" s="3020"/>
      <c r="N3852" s="106"/>
      <c r="O3852" s="106"/>
      <c r="P3852" s="702"/>
      <c r="Q3852" s="574"/>
      <c r="R3852" s="702"/>
      <c r="S3852" s="106"/>
      <c r="T3852" s="486"/>
      <c r="U3852" s="106"/>
      <c r="V3852" s="4129"/>
      <c r="W3852" s="717">
        <v>12</v>
      </c>
      <c r="X3852" s="717">
        <v>12</v>
      </c>
      <c r="Y3852" s="717">
        <v>12</v>
      </c>
      <c r="Z3852" s="717">
        <v>12</v>
      </c>
      <c r="AA3852" s="717">
        <v>12</v>
      </c>
      <c r="AB3852" s="717">
        <v>12</v>
      </c>
      <c r="AC3852" s="2930">
        <v>12</v>
      </c>
      <c r="AD3852" s="717">
        <v>12</v>
      </c>
      <c r="AE3852" s="2944"/>
      <c r="AF3852" s="717"/>
      <c r="AG3852" s="717"/>
      <c r="AH3852" s="156"/>
      <c r="AI3852" s="156"/>
      <c r="AJ3852" s="156"/>
      <c r="AK3852" s="156"/>
      <c r="AL3852" s="156"/>
      <c r="AM3852" s="156"/>
      <c r="AN3852" s="156"/>
      <c r="AO3852" s="156"/>
      <c r="AP3852" s="156"/>
      <c r="AQ3852" s="156"/>
      <c r="AR3852" s="156"/>
      <c r="AS3852" s="156"/>
      <c r="AT3852" s="156"/>
      <c r="AU3852" s="156"/>
      <c r="AV3852" s="156"/>
      <c r="AW3852" s="156"/>
      <c r="AX3852" s="156"/>
      <c r="AY3852" s="156"/>
      <c r="AZ3852" s="156"/>
      <c r="BA3852" s="156"/>
      <c r="BB3852" s="2828"/>
      <c r="BC3852" s="452"/>
      <c r="BD3852" s="2829"/>
      <c r="BE3852" s="2837"/>
      <c r="BF3852" s="156"/>
    </row>
    <row r="3853" spans="1:58" ht="14.5" customHeight="1" outlineLevel="1" x14ac:dyDescent="0.35">
      <c r="A3853" s="1664"/>
      <c r="B3853" s="2812"/>
      <c r="C3853" s="3077"/>
      <c r="D3853" s="3980"/>
      <c r="E3853" s="3883"/>
      <c r="F3853" s="4120" t="str">
        <f t="shared" si="433"/>
        <v>ASHP-SEER21-Replace_CAC_ElectricHeat_ER2_MF</v>
      </c>
      <c r="G3853" s="4121"/>
      <c r="H3853" s="4121"/>
      <c r="I3853" s="4122"/>
      <c r="J3853" s="3508" t="str">
        <f t="shared" si="434"/>
        <v>353600_2019_12_</v>
      </c>
      <c r="K3853" s="717">
        <v>12</v>
      </c>
      <c r="L3853" s="704"/>
      <c r="M3853" s="3020"/>
      <c r="N3853" s="106"/>
      <c r="O3853" s="106"/>
      <c r="P3853" s="702"/>
      <c r="Q3853" s="574"/>
      <c r="R3853" s="702"/>
      <c r="S3853" s="106"/>
      <c r="T3853" s="486"/>
      <c r="U3853" s="106"/>
      <c r="V3853" s="4129"/>
      <c r="W3853" s="717">
        <v>12</v>
      </c>
      <c r="X3853" s="717">
        <v>12</v>
      </c>
      <c r="Y3853" s="717">
        <v>12</v>
      </c>
      <c r="Z3853" s="717">
        <v>12</v>
      </c>
      <c r="AA3853" s="717">
        <v>12</v>
      </c>
      <c r="AB3853" s="717">
        <v>12</v>
      </c>
      <c r="AC3853" s="2930">
        <v>12</v>
      </c>
      <c r="AD3853" s="717">
        <v>12</v>
      </c>
      <c r="AE3853" s="2944"/>
      <c r="AF3853" s="717"/>
      <c r="AG3853" s="717"/>
      <c r="AH3853" s="156"/>
      <c r="AI3853" s="156"/>
      <c r="AJ3853" s="156"/>
      <c r="AK3853" s="156"/>
      <c r="AL3853" s="156"/>
      <c r="AM3853" s="156"/>
      <c r="AN3853" s="156"/>
      <c r="AO3853" s="156"/>
      <c r="AP3853" s="156"/>
      <c r="AQ3853" s="156"/>
      <c r="AR3853" s="156"/>
      <c r="AS3853" s="156"/>
      <c r="AT3853" s="156"/>
      <c r="AU3853" s="156"/>
      <c r="AV3853" s="156"/>
      <c r="AW3853" s="156"/>
      <c r="AX3853" s="156"/>
      <c r="AY3853" s="156"/>
      <c r="AZ3853" s="156"/>
      <c r="BA3853" s="156"/>
      <c r="BB3853" s="2828"/>
      <c r="BC3853" s="452"/>
      <c r="BD3853" s="2829"/>
      <c r="BE3853" s="2837"/>
      <c r="BF3853" s="156"/>
    </row>
    <row r="3854" spans="1:58" ht="14.5" customHeight="1" outlineLevel="1" x14ac:dyDescent="0.35">
      <c r="A3854" s="1664"/>
      <c r="B3854" s="2812"/>
      <c r="C3854" s="3077"/>
      <c r="D3854" s="3980"/>
      <c r="E3854" s="3883"/>
      <c r="F3854" s="4120" t="str">
        <f t="shared" si="433"/>
        <v>ASHP-SEER21-Replace_CAC_ElectricHeat_ER1_MF_CompE</v>
      </c>
      <c r="G3854" s="4121"/>
      <c r="H3854" s="4121"/>
      <c r="I3854" s="4122"/>
      <c r="J3854" s="3508" t="str">
        <f t="shared" si="434"/>
        <v>353601_2019_12_</v>
      </c>
      <c r="K3854" s="717">
        <v>6</v>
      </c>
      <c r="L3854" s="704"/>
      <c r="M3854" s="3020"/>
      <c r="N3854" s="106"/>
      <c r="O3854" s="106"/>
      <c r="P3854" s="702"/>
      <c r="Q3854" s="574"/>
      <c r="R3854" s="702"/>
      <c r="S3854" s="106"/>
      <c r="T3854" s="486"/>
      <c r="U3854" s="106"/>
      <c r="V3854" s="4129"/>
      <c r="W3854" s="717"/>
      <c r="X3854" s="717"/>
      <c r="Y3854" s="717"/>
      <c r="Z3854" s="717"/>
      <c r="AA3854" s="717"/>
      <c r="AB3854" s="717"/>
      <c r="AC3854" s="2932">
        <v>6</v>
      </c>
      <c r="AD3854" s="717">
        <v>6</v>
      </c>
      <c r="AE3854" s="2944"/>
      <c r="AF3854" s="717"/>
      <c r="AG3854" s="717"/>
      <c r="AH3854" s="156"/>
      <c r="AI3854" s="156"/>
      <c r="AJ3854" s="156"/>
      <c r="AK3854" s="156"/>
      <c r="AL3854" s="156"/>
      <c r="AM3854" s="156"/>
      <c r="AN3854" s="156"/>
      <c r="AO3854" s="156"/>
      <c r="AP3854" s="156"/>
      <c r="AQ3854" s="156"/>
      <c r="AR3854" s="156"/>
      <c r="AS3854" s="156"/>
      <c r="AT3854" s="156"/>
      <c r="AU3854" s="156"/>
      <c r="AV3854" s="156"/>
      <c r="AW3854" s="156"/>
      <c r="AX3854" s="156"/>
      <c r="AY3854" s="156"/>
      <c r="AZ3854" s="156"/>
      <c r="BA3854" s="156"/>
      <c r="BB3854" s="2828"/>
      <c r="BC3854" s="452"/>
      <c r="BD3854" s="2829"/>
      <c r="BE3854" s="2837"/>
      <c r="BF3854" s="156"/>
    </row>
    <row r="3855" spans="1:58" ht="14.5" customHeight="1" outlineLevel="1" x14ac:dyDescent="0.35">
      <c r="A3855" s="1664"/>
      <c r="B3855" s="2812"/>
      <c r="C3855" s="3077"/>
      <c r="D3855" s="3980"/>
      <c r="E3855" s="3883"/>
      <c r="F3855" s="4120" t="str">
        <f t="shared" si="433"/>
        <v>ASHP-SEER21-Replace_CAC_ElectricHeat_ER1_MF_CompE</v>
      </c>
      <c r="G3855" s="4121"/>
      <c r="H3855" s="4121"/>
      <c r="I3855" s="4122"/>
      <c r="J3855" s="3508" t="str">
        <f t="shared" si="434"/>
        <v>353601_2019_12_</v>
      </c>
      <c r="K3855" s="717">
        <v>6</v>
      </c>
      <c r="L3855" s="704"/>
      <c r="M3855" s="3020"/>
      <c r="N3855" s="106"/>
      <c r="O3855" s="106"/>
      <c r="P3855" s="702"/>
      <c r="Q3855" s="574"/>
      <c r="R3855" s="702"/>
      <c r="S3855" s="106"/>
      <c r="T3855" s="486"/>
      <c r="U3855" s="106"/>
      <c r="V3855" s="4129"/>
      <c r="W3855" s="717"/>
      <c r="X3855" s="717"/>
      <c r="Y3855" s="717"/>
      <c r="Z3855" s="717"/>
      <c r="AA3855" s="717"/>
      <c r="AB3855" s="717"/>
      <c r="AC3855" s="2932">
        <v>6</v>
      </c>
      <c r="AD3855" s="717">
        <v>6</v>
      </c>
      <c r="AE3855" s="2944"/>
      <c r="AF3855" s="717"/>
      <c r="AG3855" s="717"/>
      <c r="AH3855" s="156"/>
      <c r="AI3855" s="156"/>
      <c r="AJ3855" s="156"/>
      <c r="AK3855" s="156"/>
      <c r="AL3855" s="156"/>
      <c r="AM3855" s="156"/>
      <c r="AN3855" s="156"/>
      <c r="AO3855" s="156"/>
      <c r="AP3855" s="156"/>
      <c r="AQ3855" s="156"/>
      <c r="AR3855" s="156"/>
      <c r="AS3855" s="156"/>
      <c r="AT3855" s="156"/>
      <c r="AU3855" s="156"/>
      <c r="AV3855" s="156"/>
      <c r="AW3855" s="156"/>
      <c r="AX3855" s="156"/>
      <c r="AY3855" s="156"/>
      <c r="AZ3855" s="156"/>
      <c r="BA3855" s="156"/>
      <c r="BB3855" s="2828"/>
      <c r="BC3855" s="452"/>
      <c r="BD3855" s="2829"/>
      <c r="BE3855" s="2837"/>
      <c r="BF3855" s="156"/>
    </row>
    <row r="3856" spans="1:58" ht="14.5" customHeight="1" outlineLevel="1" x14ac:dyDescent="0.35">
      <c r="A3856" s="1664"/>
      <c r="B3856" s="2812"/>
      <c r="C3856" s="3077"/>
      <c r="D3856" s="3980"/>
      <c r="E3856" s="3883"/>
      <c r="F3856" s="4120" t="str">
        <f t="shared" si="433"/>
        <v>ASHP-SEER21-Replace_CAC_ElectricHeat_ER2_MF_CompE</v>
      </c>
      <c r="G3856" s="4121"/>
      <c r="H3856" s="4121"/>
      <c r="I3856" s="4122"/>
      <c r="J3856" s="3508" t="str">
        <f t="shared" si="434"/>
        <v>353601_2019_12_</v>
      </c>
      <c r="K3856" s="717">
        <v>12</v>
      </c>
      <c r="L3856" s="704"/>
      <c r="M3856" s="3020"/>
      <c r="N3856" s="106"/>
      <c r="O3856" s="106"/>
      <c r="P3856" s="702"/>
      <c r="Q3856" s="574"/>
      <c r="R3856" s="702"/>
      <c r="S3856" s="106"/>
      <c r="T3856" s="486"/>
      <c r="U3856" s="106"/>
      <c r="V3856" s="4129"/>
      <c r="W3856" s="717"/>
      <c r="X3856" s="717"/>
      <c r="Y3856" s="717"/>
      <c r="Z3856" s="717"/>
      <c r="AA3856" s="717"/>
      <c r="AB3856" s="717"/>
      <c r="AC3856" s="2932">
        <v>12</v>
      </c>
      <c r="AD3856" s="717">
        <v>12</v>
      </c>
      <c r="AE3856" s="2944"/>
      <c r="AF3856" s="717"/>
      <c r="AG3856" s="717"/>
      <c r="AH3856" s="156"/>
      <c r="AI3856" s="156"/>
      <c r="AJ3856" s="156"/>
      <c r="AK3856" s="156"/>
      <c r="AL3856" s="156"/>
      <c r="AM3856" s="156"/>
      <c r="AN3856" s="156"/>
      <c r="AO3856" s="156"/>
      <c r="AP3856" s="156"/>
      <c r="AQ3856" s="156"/>
      <c r="AR3856" s="156"/>
      <c r="AS3856" s="156"/>
      <c r="AT3856" s="156"/>
      <c r="AU3856" s="156"/>
      <c r="AV3856" s="156"/>
      <c r="AW3856" s="156"/>
      <c r="AX3856" s="156"/>
      <c r="AY3856" s="156"/>
      <c r="AZ3856" s="156"/>
      <c r="BA3856" s="156"/>
      <c r="BB3856" s="2828"/>
      <c r="BC3856" s="452"/>
      <c r="BD3856" s="2829"/>
      <c r="BE3856" s="2837"/>
      <c r="BF3856" s="156"/>
    </row>
    <row r="3857" spans="1:58" ht="14.5" customHeight="1" outlineLevel="1" x14ac:dyDescent="0.35">
      <c r="A3857" s="1664"/>
      <c r="B3857" s="2812"/>
      <c r="C3857" s="3077"/>
      <c r="D3857" s="3980"/>
      <c r="E3857" s="3883"/>
      <c r="F3857" s="4120" t="str">
        <f t="shared" si="433"/>
        <v>ASHP-SEER21-Replace_CAC_ElectricHeat_ER2_MF_CompE</v>
      </c>
      <c r="G3857" s="4121"/>
      <c r="H3857" s="4121"/>
      <c r="I3857" s="4122"/>
      <c r="J3857" s="3508" t="str">
        <f t="shared" si="434"/>
        <v>353601_2019_12_</v>
      </c>
      <c r="K3857" s="717">
        <v>12</v>
      </c>
      <c r="L3857" s="704"/>
      <c r="M3857" s="3020"/>
      <c r="N3857" s="106"/>
      <c r="O3857" s="106"/>
      <c r="P3857" s="702"/>
      <c r="Q3857" s="574"/>
      <c r="R3857" s="702"/>
      <c r="S3857" s="106"/>
      <c r="T3857" s="486"/>
      <c r="U3857" s="106"/>
      <c r="V3857" s="4129"/>
      <c r="W3857" s="717"/>
      <c r="X3857" s="717"/>
      <c r="Y3857" s="717"/>
      <c r="Z3857" s="717"/>
      <c r="AA3857" s="717"/>
      <c r="AB3857" s="717"/>
      <c r="AC3857" s="2932">
        <v>12</v>
      </c>
      <c r="AD3857" s="717">
        <v>12</v>
      </c>
      <c r="AE3857" s="2944"/>
      <c r="AF3857" s="717"/>
      <c r="AG3857" s="717"/>
      <c r="AH3857" s="156"/>
      <c r="AI3857" s="156"/>
      <c r="AJ3857" s="156"/>
      <c r="AK3857" s="156"/>
      <c r="AL3857" s="156"/>
      <c r="AM3857" s="156"/>
      <c r="AN3857" s="156"/>
      <c r="AO3857" s="156"/>
      <c r="AP3857" s="156"/>
      <c r="AQ3857" s="156"/>
      <c r="AR3857" s="156"/>
      <c r="AS3857" s="156"/>
      <c r="AT3857" s="156"/>
      <c r="AU3857" s="156"/>
      <c r="AV3857" s="156"/>
      <c r="AW3857" s="156"/>
      <c r="AX3857" s="156"/>
      <c r="AY3857" s="156"/>
      <c r="AZ3857" s="156"/>
      <c r="BA3857" s="156"/>
      <c r="BB3857" s="2828"/>
      <c r="BC3857" s="452"/>
      <c r="BD3857" s="2829"/>
      <c r="BE3857" s="2837"/>
      <c r="BF3857" s="156"/>
    </row>
    <row r="3858" spans="1:58" ht="14.5" customHeight="1" outlineLevel="1" x14ac:dyDescent="0.35">
      <c r="A3858" s="1664"/>
      <c r="B3858" s="2812"/>
      <c r="C3858" s="3077"/>
      <c r="D3858" s="3980"/>
      <c r="E3858" s="3883"/>
      <c r="F3858" s="4120" t="str">
        <f t="shared" si="433"/>
        <v>ASHP-SEER21-Replace_CAC_NonElectricHeat_ER1_MF</v>
      </c>
      <c r="G3858" s="4121"/>
      <c r="H3858" s="4121"/>
      <c r="I3858" s="4122"/>
      <c r="J3858" s="3508" t="str">
        <f t="shared" si="434"/>
        <v>353610_2021_12_</v>
      </c>
      <c r="K3858" s="717">
        <v>6</v>
      </c>
      <c r="L3858" s="704"/>
      <c r="M3858" s="3020"/>
      <c r="N3858" s="106"/>
      <c r="O3858" s="106"/>
      <c r="P3858" s="702"/>
      <c r="Q3858" s="574"/>
      <c r="R3858" s="702"/>
      <c r="S3858" s="106"/>
      <c r="T3858" s="486"/>
      <c r="U3858" s="106"/>
      <c r="V3858" s="4129"/>
      <c r="W3858" s="717"/>
      <c r="X3858" s="717"/>
      <c r="Y3858" s="717"/>
      <c r="Z3858" s="717"/>
      <c r="AA3858" s="717"/>
      <c r="AB3858" s="717"/>
      <c r="AC3858" s="2932">
        <v>6</v>
      </c>
      <c r="AD3858" s="717">
        <v>6</v>
      </c>
      <c r="AE3858" s="2944"/>
      <c r="AF3858" s="717"/>
      <c r="AG3858" s="717"/>
      <c r="AH3858" s="156"/>
      <c r="AI3858" s="156"/>
      <c r="AJ3858" s="156"/>
      <c r="AK3858" s="156"/>
      <c r="AL3858" s="156"/>
      <c r="AM3858" s="156"/>
      <c r="AN3858" s="156"/>
      <c r="AO3858" s="156"/>
      <c r="AP3858" s="156"/>
      <c r="AQ3858" s="156"/>
      <c r="AR3858" s="156"/>
      <c r="AS3858" s="156"/>
      <c r="AT3858" s="156"/>
      <c r="AU3858" s="156"/>
      <c r="AV3858" s="156"/>
      <c r="AW3858" s="156"/>
      <c r="AX3858" s="156"/>
      <c r="AY3858" s="156"/>
      <c r="AZ3858" s="156"/>
      <c r="BA3858" s="156"/>
      <c r="BB3858" s="2828"/>
      <c r="BC3858" s="452"/>
      <c r="BD3858" s="2829"/>
      <c r="BE3858" s="2837"/>
      <c r="BF3858" s="156"/>
    </row>
    <row r="3859" spans="1:58" ht="14.5" customHeight="1" outlineLevel="1" x14ac:dyDescent="0.35">
      <c r="A3859" s="1664"/>
      <c r="B3859" s="2812"/>
      <c r="C3859" s="3077"/>
      <c r="D3859" s="3980"/>
      <c r="E3859" s="3883"/>
      <c r="F3859" s="4120" t="str">
        <f t="shared" si="433"/>
        <v>ASHP-SEER21-Replace_CAC_NonElectricHeat_ER1_MF</v>
      </c>
      <c r="G3859" s="4121"/>
      <c r="H3859" s="4121"/>
      <c r="I3859" s="4122"/>
      <c r="J3859" s="3508" t="str">
        <f t="shared" si="434"/>
        <v>353610_2021_12_</v>
      </c>
      <c r="K3859" s="717">
        <v>6</v>
      </c>
      <c r="L3859" s="704"/>
      <c r="M3859" s="3020"/>
      <c r="N3859" s="106"/>
      <c r="O3859" s="106"/>
      <c r="P3859" s="702"/>
      <c r="Q3859" s="574"/>
      <c r="R3859" s="702"/>
      <c r="S3859" s="106"/>
      <c r="T3859" s="486"/>
      <c r="U3859" s="106"/>
      <c r="V3859" s="4129"/>
      <c r="W3859" s="717"/>
      <c r="X3859" s="717"/>
      <c r="Y3859" s="717"/>
      <c r="Z3859" s="717"/>
      <c r="AA3859" s="717"/>
      <c r="AB3859" s="717"/>
      <c r="AC3859" s="2932">
        <v>6</v>
      </c>
      <c r="AD3859" s="717">
        <v>6</v>
      </c>
      <c r="AE3859" s="2944"/>
      <c r="AF3859" s="717"/>
      <c r="AG3859" s="717"/>
      <c r="AH3859" s="156"/>
      <c r="AI3859" s="156"/>
      <c r="AJ3859" s="156"/>
      <c r="AK3859" s="156"/>
      <c r="AL3859" s="156"/>
      <c r="AM3859" s="156"/>
      <c r="AN3859" s="156"/>
      <c r="AO3859" s="156"/>
      <c r="AP3859" s="156"/>
      <c r="AQ3859" s="156"/>
      <c r="AR3859" s="156"/>
      <c r="AS3859" s="156"/>
      <c r="AT3859" s="156"/>
      <c r="AU3859" s="156"/>
      <c r="AV3859" s="156"/>
      <c r="AW3859" s="156"/>
      <c r="AX3859" s="156"/>
      <c r="AY3859" s="156"/>
      <c r="AZ3859" s="156"/>
      <c r="BA3859" s="156"/>
      <c r="BB3859" s="2828"/>
      <c r="BC3859" s="452"/>
      <c r="BD3859" s="2829"/>
      <c r="BE3859" s="2837"/>
      <c r="BF3859" s="156"/>
    </row>
    <row r="3860" spans="1:58" ht="14.5" customHeight="1" outlineLevel="1" x14ac:dyDescent="0.35">
      <c r="A3860" s="1664"/>
      <c r="B3860" s="2812"/>
      <c r="C3860" s="3077"/>
      <c r="D3860" s="3980"/>
      <c r="E3860" s="3883"/>
      <c r="F3860" s="4120" t="str">
        <f t="shared" si="433"/>
        <v>ASHP-SEER21-Replace_CAC_NonElectricHeat_ER2_MF</v>
      </c>
      <c r="G3860" s="4121"/>
      <c r="H3860" s="4121"/>
      <c r="I3860" s="4122"/>
      <c r="J3860" s="3508" t="str">
        <f t="shared" si="434"/>
        <v>353610_2021_12_</v>
      </c>
      <c r="K3860" s="717">
        <v>12</v>
      </c>
      <c r="L3860" s="704"/>
      <c r="M3860" s="3020"/>
      <c r="N3860" s="106"/>
      <c r="O3860" s="106"/>
      <c r="P3860" s="702"/>
      <c r="Q3860" s="574"/>
      <c r="R3860" s="702"/>
      <c r="S3860" s="106"/>
      <c r="T3860" s="486"/>
      <c r="U3860" s="106"/>
      <c r="V3860" s="4129"/>
      <c r="W3860" s="717"/>
      <c r="X3860" s="717"/>
      <c r="Y3860" s="717"/>
      <c r="Z3860" s="717"/>
      <c r="AA3860" s="717"/>
      <c r="AB3860" s="717"/>
      <c r="AC3860" s="2932">
        <v>12</v>
      </c>
      <c r="AD3860" s="717">
        <v>12</v>
      </c>
      <c r="AE3860" s="2944"/>
      <c r="AF3860" s="717"/>
      <c r="AG3860" s="717"/>
      <c r="AH3860" s="156"/>
      <c r="AI3860" s="156"/>
      <c r="AJ3860" s="156"/>
      <c r="AK3860" s="156"/>
      <c r="AL3860" s="156"/>
      <c r="AM3860" s="156"/>
      <c r="AN3860" s="156"/>
      <c r="AO3860" s="156"/>
      <c r="AP3860" s="156"/>
      <c r="AQ3860" s="156"/>
      <c r="AR3860" s="156"/>
      <c r="AS3860" s="156"/>
      <c r="AT3860" s="156"/>
      <c r="AU3860" s="156"/>
      <c r="AV3860" s="156"/>
      <c r="AW3860" s="156"/>
      <c r="AX3860" s="156"/>
      <c r="AY3860" s="156"/>
      <c r="AZ3860" s="156"/>
      <c r="BA3860" s="156"/>
      <c r="BB3860" s="2828"/>
      <c r="BC3860" s="452"/>
      <c r="BD3860" s="2829"/>
      <c r="BE3860" s="2837"/>
      <c r="BF3860" s="156"/>
    </row>
    <row r="3861" spans="1:58" ht="14.5" customHeight="1" outlineLevel="1" x14ac:dyDescent="0.35">
      <c r="A3861" s="1664"/>
      <c r="B3861" s="2812"/>
      <c r="C3861" s="3077"/>
      <c r="D3861" s="3980"/>
      <c r="E3861" s="3883"/>
      <c r="F3861" s="4120" t="str">
        <f t="shared" si="433"/>
        <v>ASHP-SEER21-Replace_CAC_NonElectricHeat_ER2_MF</v>
      </c>
      <c r="G3861" s="4121"/>
      <c r="H3861" s="4121"/>
      <c r="I3861" s="4122"/>
      <c r="J3861" s="3508" t="str">
        <f t="shared" si="434"/>
        <v>353610_2021_12_</v>
      </c>
      <c r="K3861" s="717">
        <v>12</v>
      </c>
      <c r="L3861" s="704"/>
      <c r="M3861" s="3020"/>
      <c r="N3861" s="106"/>
      <c r="O3861" s="106"/>
      <c r="P3861" s="702"/>
      <c r="Q3861" s="574"/>
      <c r="R3861" s="702"/>
      <c r="S3861" s="106"/>
      <c r="T3861" s="486"/>
      <c r="U3861" s="106"/>
      <c r="V3861" s="4129"/>
      <c r="W3861" s="717"/>
      <c r="X3861" s="717"/>
      <c r="Y3861" s="717"/>
      <c r="Z3861" s="717"/>
      <c r="AA3861" s="717"/>
      <c r="AB3861" s="717"/>
      <c r="AC3861" s="2932">
        <v>12</v>
      </c>
      <c r="AD3861" s="717">
        <v>12</v>
      </c>
      <c r="AE3861" s="2944"/>
      <c r="AF3861" s="717"/>
      <c r="AG3861" s="717"/>
      <c r="AH3861" s="156"/>
      <c r="AI3861" s="156"/>
      <c r="AJ3861" s="156"/>
      <c r="AK3861" s="156"/>
      <c r="AL3861" s="156"/>
      <c r="AM3861" s="156"/>
      <c r="AN3861" s="156"/>
      <c r="AO3861" s="156"/>
      <c r="AP3861" s="156"/>
      <c r="AQ3861" s="156"/>
      <c r="AR3861" s="156"/>
      <c r="AS3861" s="156"/>
      <c r="AT3861" s="156"/>
      <c r="AU3861" s="156"/>
      <c r="AV3861" s="156"/>
      <c r="AW3861" s="156"/>
      <c r="AX3861" s="156"/>
      <c r="AY3861" s="156"/>
      <c r="AZ3861" s="156"/>
      <c r="BA3861" s="156"/>
      <c r="BB3861" s="2828"/>
      <c r="BC3861" s="452"/>
      <c r="BD3861" s="2829"/>
      <c r="BE3861" s="2837"/>
      <c r="BF3861" s="156"/>
    </row>
    <row r="3862" spans="1:58" ht="14.5" customHeight="1" outlineLevel="1" x14ac:dyDescent="0.35">
      <c r="A3862" s="1664"/>
      <c r="B3862" s="2812"/>
      <c r="C3862" s="3077"/>
      <c r="D3862" s="3980"/>
      <c r="E3862" s="3883"/>
      <c r="F3862" s="4120" t="str">
        <f t="shared" si="433"/>
        <v>ASHP-SEER21-Replace_CAC_NonElectricHeat_ER1_MF_CompE</v>
      </c>
      <c r="G3862" s="4121"/>
      <c r="H3862" s="4121"/>
      <c r="I3862" s="4122"/>
      <c r="J3862" s="3508" t="str">
        <f t="shared" si="434"/>
        <v>353611_2021_12_</v>
      </c>
      <c r="K3862" s="717">
        <v>6</v>
      </c>
      <c r="L3862" s="704"/>
      <c r="M3862" s="3020"/>
      <c r="N3862" s="106"/>
      <c r="O3862" s="106"/>
      <c r="P3862" s="702"/>
      <c r="Q3862" s="574"/>
      <c r="R3862" s="702"/>
      <c r="S3862" s="106"/>
      <c r="T3862" s="486"/>
      <c r="U3862" s="106"/>
      <c r="V3862" s="4129"/>
      <c r="W3862" s="717"/>
      <c r="X3862" s="717"/>
      <c r="Y3862" s="717"/>
      <c r="Z3862" s="717"/>
      <c r="AA3862" s="717"/>
      <c r="AB3862" s="717"/>
      <c r="AC3862" s="2932">
        <v>6</v>
      </c>
      <c r="AD3862" s="717">
        <v>6</v>
      </c>
      <c r="AE3862" s="2944"/>
      <c r="AF3862" s="717"/>
      <c r="AG3862" s="717"/>
      <c r="AH3862" s="156"/>
      <c r="AI3862" s="156"/>
      <c r="AJ3862" s="156"/>
      <c r="AK3862" s="156"/>
      <c r="AL3862" s="156"/>
      <c r="AM3862" s="156"/>
      <c r="AN3862" s="156"/>
      <c r="AO3862" s="156"/>
      <c r="AP3862" s="156"/>
      <c r="AQ3862" s="156"/>
      <c r="AR3862" s="156"/>
      <c r="AS3862" s="156"/>
      <c r="AT3862" s="156"/>
      <c r="AU3862" s="156"/>
      <c r="AV3862" s="156"/>
      <c r="AW3862" s="156"/>
      <c r="AX3862" s="156"/>
      <c r="AY3862" s="156"/>
      <c r="AZ3862" s="156"/>
      <c r="BA3862" s="156"/>
      <c r="BB3862" s="2828"/>
      <c r="BC3862" s="452"/>
      <c r="BD3862" s="2829"/>
      <c r="BE3862" s="2837"/>
      <c r="BF3862" s="156"/>
    </row>
    <row r="3863" spans="1:58" ht="14.5" customHeight="1" outlineLevel="1" x14ac:dyDescent="0.35">
      <c r="A3863" s="1664"/>
      <c r="B3863" s="2812"/>
      <c r="C3863" s="3077"/>
      <c r="D3863" s="3980"/>
      <c r="E3863" s="3883"/>
      <c r="F3863" s="4120" t="str">
        <f t="shared" si="433"/>
        <v>ASHP-SEER21-Replace_CAC_NonElectricHeat_ER1_MF_CompE</v>
      </c>
      <c r="G3863" s="4121"/>
      <c r="H3863" s="4121"/>
      <c r="I3863" s="4122"/>
      <c r="J3863" s="3508" t="str">
        <f t="shared" si="434"/>
        <v>353611_2021_12_</v>
      </c>
      <c r="K3863" s="717">
        <v>6</v>
      </c>
      <c r="L3863" s="704"/>
      <c r="M3863" s="3020"/>
      <c r="N3863" s="106"/>
      <c r="O3863" s="106"/>
      <c r="P3863" s="702"/>
      <c r="Q3863" s="574"/>
      <c r="R3863" s="702"/>
      <c r="S3863" s="106"/>
      <c r="T3863" s="486"/>
      <c r="U3863" s="106"/>
      <c r="V3863" s="4129"/>
      <c r="W3863" s="717"/>
      <c r="X3863" s="717"/>
      <c r="Y3863" s="717"/>
      <c r="Z3863" s="717"/>
      <c r="AA3863" s="717"/>
      <c r="AB3863" s="717"/>
      <c r="AC3863" s="2932">
        <v>6</v>
      </c>
      <c r="AD3863" s="717">
        <v>6</v>
      </c>
      <c r="AE3863" s="2944"/>
      <c r="AF3863" s="717"/>
      <c r="AG3863" s="717"/>
      <c r="AH3863" s="156"/>
      <c r="AI3863" s="156"/>
      <c r="AJ3863" s="156"/>
      <c r="AK3863" s="156"/>
      <c r="AL3863" s="156"/>
      <c r="AM3863" s="156"/>
      <c r="AN3863" s="156"/>
      <c r="AO3863" s="156"/>
      <c r="AP3863" s="156"/>
      <c r="AQ3863" s="156"/>
      <c r="AR3863" s="156"/>
      <c r="AS3863" s="156"/>
      <c r="AT3863" s="156"/>
      <c r="AU3863" s="156"/>
      <c r="AV3863" s="156"/>
      <c r="AW3863" s="156"/>
      <c r="AX3863" s="156"/>
      <c r="AY3863" s="156"/>
      <c r="AZ3863" s="156"/>
      <c r="BA3863" s="156"/>
      <c r="BB3863" s="2828"/>
      <c r="BC3863" s="452"/>
      <c r="BD3863" s="2829"/>
      <c r="BE3863" s="2837"/>
      <c r="BF3863" s="156"/>
    </row>
    <row r="3864" spans="1:58" ht="14.5" customHeight="1" outlineLevel="1" x14ac:dyDescent="0.35">
      <c r="A3864" s="1664"/>
      <c r="B3864" s="2812"/>
      <c r="C3864" s="3077"/>
      <c r="D3864" s="3980"/>
      <c r="E3864" s="3883"/>
      <c r="F3864" s="4120" t="str">
        <f t="shared" si="433"/>
        <v>ASHP-SEER21-Replace_CAC_NonElectricHeat_ER2_MF_CompE</v>
      </c>
      <c r="G3864" s="4121"/>
      <c r="H3864" s="4121"/>
      <c r="I3864" s="4122"/>
      <c r="J3864" s="3508" t="str">
        <f t="shared" si="434"/>
        <v>353611_2021_12_</v>
      </c>
      <c r="K3864" s="717">
        <v>12</v>
      </c>
      <c r="L3864" s="704"/>
      <c r="M3864" s="3020"/>
      <c r="N3864" s="106"/>
      <c r="O3864" s="106"/>
      <c r="P3864" s="702"/>
      <c r="Q3864" s="574"/>
      <c r="R3864" s="702"/>
      <c r="S3864" s="106"/>
      <c r="T3864" s="486"/>
      <c r="U3864" s="106"/>
      <c r="V3864" s="4129"/>
      <c r="W3864" s="717"/>
      <c r="X3864" s="717"/>
      <c r="Y3864" s="717"/>
      <c r="Z3864" s="717"/>
      <c r="AA3864" s="717"/>
      <c r="AB3864" s="717"/>
      <c r="AC3864" s="2932">
        <v>12</v>
      </c>
      <c r="AD3864" s="717">
        <v>12</v>
      </c>
      <c r="AE3864" s="2944"/>
      <c r="AF3864" s="717"/>
      <c r="AG3864" s="717"/>
      <c r="AH3864" s="156"/>
      <c r="AI3864" s="156"/>
      <c r="AJ3864" s="156"/>
      <c r="AK3864" s="156"/>
      <c r="AL3864" s="156"/>
      <c r="AM3864" s="156"/>
      <c r="AN3864" s="156"/>
      <c r="AO3864" s="156"/>
      <c r="AP3864" s="156"/>
      <c r="AQ3864" s="156"/>
      <c r="AR3864" s="156"/>
      <c r="AS3864" s="156"/>
      <c r="AT3864" s="156"/>
      <c r="AU3864" s="156"/>
      <c r="AV3864" s="156"/>
      <c r="AW3864" s="156"/>
      <c r="AX3864" s="156"/>
      <c r="AY3864" s="156"/>
      <c r="AZ3864" s="156"/>
      <c r="BA3864" s="156"/>
      <c r="BB3864" s="2828"/>
      <c r="BC3864" s="452"/>
      <c r="BD3864" s="2829"/>
      <c r="BE3864" s="2837"/>
      <c r="BF3864" s="156"/>
    </row>
    <row r="3865" spans="1:58" ht="14.5" customHeight="1" outlineLevel="1" x14ac:dyDescent="0.35">
      <c r="A3865" s="1664"/>
      <c r="B3865" s="2812"/>
      <c r="C3865" s="3077"/>
      <c r="D3865" s="3980"/>
      <c r="E3865" s="3883"/>
      <c r="F3865" s="4120" t="str">
        <f t="shared" si="433"/>
        <v>ASHP-SEER21-Replace_CAC_NonElectricHeat_ER2_MF_CompE</v>
      </c>
      <c r="G3865" s="4121"/>
      <c r="H3865" s="4121"/>
      <c r="I3865" s="4122"/>
      <c r="J3865" s="3508" t="str">
        <f t="shared" si="434"/>
        <v>353611_2021_12_</v>
      </c>
      <c r="K3865" s="717">
        <v>12</v>
      </c>
      <c r="L3865" s="704"/>
      <c r="M3865" s="3020"/>
      <c r="N3865" s="106"/>
      <c r="O3865" s="106"/>
      <c r="P3865" s="702"/>
      <c r="Q3865" s="574"/>
      <c r="R3865" s="702"/>
      <c r="S3865" s="106"/>
      <c r="T3865" s="486"/>
      <c r="U3865" s="106"/>
      <c r="V3865" s="4129"/>
      <c r="W3865" s="717"/>
      <c r="X3865" s="717"/>
      <c r="Y3865" s="717"/>
      <c r="Z3865" s="717"/>
      <c r="AA3865" s="717"/>
      <c r="AB3865" s="717"/>
      <c r="AC3865" s="2932">
        <v>12</v>
      </c>
      <c r="AD3865" s="717">
        <v>12</v>
      </c>
      <c r="AE3865" s="2944"/>
      <c r="AF3865" s="717"/>
      <c r="AG3865" s="717"/>
      <c r="AH3865" s="156"/>
      <c r="AI3865" s="156"/>
      <c r="AJ3865" s="156"/>
      <c r="AK3865" s="156"/>
      <c r="AL3865" s="156"/>
      <c r="AM3865" s="156"/>
      <c r="AN3865" s="156"/>
      <c r="AO3865" s="156"/>
      <c r="AP3865" s="156"/>
      <c r="AQ3865" s="156"/>
      <c r="AR3865" s="156"/>
      <c r="AS3865" s="156"/>
      <c r="AT3865" s="156"/>
      <c r="AU3865" s="156"/>
      <c r="AV3865" s="156"/>
      <c r="AW3865" s="156"/>
      <c r="AX3865" s="156"/>
      <c r="AY3865" s="156"/>
      <c r="AZ3865" s="156"/>
      <c r="BA3865" s="156"/>
      <c r="BB3865" s="2828"/>
      <c r="BC3865" s="452"/>
      <c r="BD3865" s="2829"/>
      <c r="BE3865" s="2837"/>
      <c r="BF3865" s="156"/>
    </row>
    <row r="3866" spans="1:58" ht="14.5" customHeight="1" outlineLevel="1" x14ac:dyDescent="0.35">
      <c r="A3866" s="1664"/>
      <c r="B3866" s="2812"/>
      <c r="C3866" s="3077"/>
      <c r="D3866" s="3980"/>
      <c r="E3866" s="3883"/>
      <c r="F3866" s="4120" t="str">
        <f t="shared" si="433"/>
        <v>ASHP-SEER21-Replace_CAC_ElectricHeat_ROF_SF</v>
      </c>
      <c r="G3866" s="4121"/>
      <c r="H3866" s="4121"/>
      <c r="I3866" s="4122"/>
      <c r="J3866" s="3508" t="str">
        <f t="shared" si="434"/>
        <v>353650_2021_12_</v>
      </c>
      <c r="K3866" s="717">
        <v>18</v>
      </c>
      <c r="L3866" s="704"/>
      <c r="M3866" s="3020"/>
      <c r="N3866" s="106"/>
      <c r="O3866" s="106"/>
      <c r="P3866" s="702"/>
      <c r="Q3866" s="574"/>
      <c r="R3866" s="702"/>
      <c r="S3866" s="106"/>
      <c r="T3866" s="486"/>
      <c r="U3866" s="106"/>
      <c r="V3866" s="4129"/>
      <c r="W3866" s="717">
        <v>18</v>
      </c>
      <c r="X3866" s="717">
        <v>18</v>
      </c>
      <c r="Y3866" s="717">
        <v>18</v>
      </c>
      <c r="Z3866" s="717">
        <v>18</v>
      </c>
      <c r="AA3866" s="717">
        <v>18</v>
      </c>
      <c r="AB3866" s="717">
        <v>18</v>
      </c>
      <c r="AC3866" s="2930">
        <v>18</v>
      </c>
      <c r="AD3866" s="717">
        <v>18</v>
      </c>
      <c r="AE3866" s="2944"/>
      <c r="AF3866" s="717"/>
      <c r="AG3866" s="717"/>
      <c r="AH3866" s="156"/>
      <c r="AI3866" s="156"/>
      <c r="AJ3866" s="156"/>
      <c r="AK3866" s="156"/>
      <c r="AL3866" s="156"/>
      <c r="AM3866" s="156"/>
      <c r="AN3866" s="156"/>
      <c r="AO3866" s="156"/>
      <c r="AP3866" s="156"/>
      <c r="AQ3866" s="156"/>
      <c r="AR3866" s="156"/>
      <c r="AS3866" s="156"/>
      <c r="AT3866" s="156"/>
      <c r="AU3866" s="156"/>
      <c r="AV3866" s="156"/>
      <c r="AW3866" s="156"/>
      <c r="AX3866" s="156"/>
      <c r="AY3866" s="156"/>
      <c r="AZ3866" s="156"/>
      <c r="BA3866" s="156"/>
      <c r="BB3866" s="2828"/>
      <c r="BC3866" s="452"/>
      <c r="BD3866" s="2829"/>
      <c r="BE3866" s="2837"/>
      <c r="BF3866" s="156"/>
    </row>
    <row r="3867" spans="1:58" ht="14.5" customHeight="1" outlineLevel="1" x14ac:dyDescent="0.35">
      <c r="A3867" s="1664"/>
      <c r="B3867" s="2812"/>
      <c r="C3867" s="3077"/>
      <c r="D3867" s="3980"/>
      <c r="E3867" s="3883"/>
      <c r="F3867" s="4120" t="str">
        <f t="shared" si="433"/>
        <v>ASHP-SEER21-Replace_CAC_ElectricHeat_ROF_SF</v>
      </c>
      <c r="G3867" s="4121"/>
      <c r="H3867" s="4121"/>
      <c r="I3867" s="4122"/>
      <c r="J3867" s="3508" t="str">
        <f t="shared" si="434"/>
        <v>353650_2021_12_</v>
      </c>
      <c r="K3867" s="717">
        <v>18</v>
      </c>
      <c r="L3867" s="704"/>
      <c r="M3867" s="3020"/>
      <c r="N3867" s="106"/>
      <c r="O3867" s="106"/>
      <c r="P3867" s="702"/>
      <c r="Q3867" s="574"/>
      <c r="R3867" s="702"/>
      <c r="S3867" s="106"/>
      <c r="T3867" s="486"/>
      <c r="U3867" s="106"/>
      <c r="V3867" s="4129"/>
      <c r="W3867" s="717">
        <v>18</v>
      </c>
      <c r="X3867" s="717">
        <v>18</v>
      </c>
      <c r="Y3867" s="717">
        <v>18</v>
      </c>
      <c r="Z3867" s="717">
        <v>18</v>
      </c>
      <c r="AA3867" s="717">
        <v>18</v>
      </c>
      <c r="AB3867" s="717">
        <v>18</v>
      </c>
      <c r="AC3867" s="2930">
        <v>18</v>
      </c>
      <c r="AD3867" s="717">
        <v>18</v>
      </c>
      <c r="AE3867" s="2944"/>
      <c r="AF3867" s="717"/>
      <c r="AG3867" s="717"/>
      <c r="AH3867" s="156"/>
      <c r="AI3867" s="156"/>
      <c r="AJ3867" s="156"/>
      <c r="AK3867" s="156"/>
      <c r="AL3867" s="156"/>
      <c r="AM3867" s="156"/>
      <c r="AN3867" s="156"/>
      <c r="AO3867" s="156"/>
      <c r="AP3867" s="156"/>
      <c r="AQ3867" s="156"/>
      <c r="AR3867" s="156"/>
      <c r="AS3867" s="156"/>
      <c r="AT3867" s="156"/>
      <c r="AU3867" s="156"/>
      <c r="AV3867" s="156"/>
      <c r="AW3867" s="156"/>
      <c r="AX3867" s="156"/>
      <c r="AY3867" s="156"/>
      <c r="AZ3867" s="156"/>
      <c r="BA3867" s="156"/>
      <c r="BB3867" s="2828"/>
      <c r="BC3867" s="452"/>
      <c r="BD3867" s="2829"/>
      <c r="BE3867" s="2837"/>
      <c r="BF3867" s="156"/>
    </row>
    <row r="3868" spans="1:58" s="3398" customFormat="1" ht="14.5" customHeight="1" outlineLevel="1" x14ac:dyDescent="0.35">
      <c r="A3868" s="1664"/>
      <c r="B3868" s="3499"/>
      <c r="C3868" s="3077"/>
      <c r="D3868" s="3980"/>
      <c r="E3868" s="3883"/>
      <c r="F3868" s="4182" t="str">
        <f t="shared" ref="F3868:F3869" si="435">E1724</f>
        <v>ASHP-SEER21-Replace_CAC_NonElectricHeat_ROF_SF</v>
      </c>
      <c r="G3868" s="3989"/>
      <c r="H3868" s="3989"/>
      <c r="I3868" s="3990"/>
      <c r="J3868" s="3509" t="str">
        <f t="shared" ref="J3868:J3869" si="436">C1724</f>
        <v>353660_2022_12_</v>
      </c>
      <c r="K3868" s="3510">
        <v>18</v>
      </c>
      <c r="L3868" s="704"/>
      <c r="M3868" s="3020"/>
      <c r="P3868" s="702"/>
      <c r="Q3868" s="574"/>
      <c r="R3868" s="702"/>
      <c r="T3868" s="3397"/>
      <c r="V3868" s="4129"/>
      <c r="W3868" s="717"/>
      <c r="X3868" s="717"/>
      <c r="Y3868" s="717"/>
      <c r="Z3868" s="717"/>
      <c r="AA3868" s="717"/>
      <c r="AB3868" s="717"/>
      <c r="AC3868" s="2930"/>
      <c r="AD3868" s="3510">
        <v>18</v>
      </c>
      <c r="AE3868" s="2944"/>
      <c r="AF3868" s="717"/>
      <c r="AG3868" s="717"/>
      <c r="AH3868" s="156"/>
      <c r="AI3868" s="156"/>
      <c r="AJ3868" s="156"/>
      <c r="AK3868" s="156"/>
      <c r="AL3868" s="156"/>
      <c r="AM3868" s="156"/>
      <c r="AN3868" s="156"/>
      <c r="AO3868" s="156"/>
      <c r="AP3868" s="156"/>
      <c r="AQ3868" s="156"/>
      <c r="AR3868" s="156"/>
      <c r="AS3868" s="156"/>
      <c r="AT3868" s="156"/>
      <c r="AU3868" s="156"/>
      <c r="AV3868" s="156"/>
      <c r="AW3868" s="156"/>
      <c r="AX3868" s="156"/>
      <c r="AY3868" s="156"/>
      <c r="AZ3868" s="156"/>
      <c r="BA3868" s="156"/>
      <c r="BB3868" s="2828"/>
      <c r="BC3868" s="452"/>
      <c r="BD3868" s="2829"/>
      <c r="BE3868" s="2837"/>
      <c r="BF3868" s="156"/>
    </row>
    <row r="3869" spans="1:58" s="3398" customFormat="1" ht="14.5" customHeight="1" outlineLevel="1" x14ac:dyDescent="0.35">
      <c r="A3869" s="1664"/>
      <c r="B3869" s="3499"/>
      <c r="C3869" s="3077"/>
      <c r="D3869" s="3980"/>
      <c r="E3869" s="3883"/>
      <c r="F3869" s="4182" t="str">
        <f t="shared" si="435"/>
        <v>ASHP-SEER21-Replace_CAC_NonElectricHeat_ROF_SF</v>
      </c>
      <c r="G3869" s="3989"/>
      <c r="H3869" s="3989"/>
      <c r="I3869" s="3990"/>
      <c r="J3869" s="3509" t="str">
        <f t="shared" si="436"/>
        <v>353660_2022_12_</v>
      </c>
      <c r="K3869" s="3510">
        <v>18</v>
      </c>
      <c r="L3869" s="704"/>
      <c r="M3869" s="3020"/>
      <c r="P3869" s="702"/>
      <c r="Q3869" s="574"/>
      <c r="R3869" s="702"/>
      <c r="T3869" s="3397"/>
      <c r="V3869" s="4129"/>
      <c r="W3869" s="717"/>
      <c r="X3869" s="717"/>
      <c r="Y3869" s="717"/>
      <c r="Z3869" s="717"/>
      <c r="AA3869" s="717"/>
      <c r="AB3869" s="717"/>
      <c r="AC3869" s="2930"/>
      <c r="AD3869" s="3510">
        <v>18</v>
      </c>
      <c r="AE3869" s="2944"/>
      <c r="AF3869" s="717"/>
      <c r="AG3869" s="717"/>
      <c r="AH3869" s="156"/>
      <c r="AI3869" s="156"/>
      <c r="AJ3869" s="156"/>
      <c r="AK3869" s="156"/>
      <c r="AL3869" s="156"/>
      <c r="AM3869" s="156"/>
      <c r="AN3869" s="156"/>
      <c r="AO3869" s="156"/>
      <c r="AP3869" s="156"/>
      <c r="AQ3869" s="156"/>
      <c r="AR3869" s="156"/>
      <c r="AS3869" s="156"/>
      <c r="AT3869" s="156"/>
      <c r="AU3869" s="156"/>
      <c r="AV3869" s="156"/>
      <c r="AW3869" s="156"/>
      <c r="AX3869" s="156"/>
      <c r="AY3869" s="156"/>
      <c r="AZ3869" s="156"/>
      <c r="BA3869" s="156"/>
      <c r="BB3869" s="2828"/>
      <c r="BC3869" s="452"/>
      <c r="BD3869" s="2829"/>
      <c r="BE3869" s="2837"/>
      <c r="BF3869" s="156"/>
    </row>
    <row r="3870" spans="1:58" ht="14.5" customHeight="1" outlineLevel="1" x14ac:dyDescent="0.35">
      <c r="A3870" s="1664"/>
      <c r="B3870" s="2812"/>
      <c r="C3870" s="3077"/>
      <c r="D3870" s="3980"/>
      <c r="E3870" s="3883"/>
      <c r="F3870" s="4120" t="str">
        <f t="shared" ref="F3870:F3901" si="437">E1726</f>
        <v>ASHP-SEER21+-Replace_CAC_ElectricHeat_ROF_MF</v>
      </c>
      <c r="G3870" s="4121"/>
      <c r="H3870" s="4121"/>
      <c r="I3870" s="4122"/>
      <c r="J3870" s="3508" t="str">
        <f t="shared" ref="J3870:J3901" si="438">C1726</f>
        <v>353700_2019_12_</v>
      </c>
      <c r="K3870" s="717">
        <v>18</v>
      </c>
      <c r="L3870" s="704"/>
      <c r="M3870" s="3020"/>
      <c r="N3870" s="106"/>
      <c r="O3870" s="106"/>
      <c r="P3870" s="702"/>
      <c r="Q3870" s="574"/>
      <c r="R3870" s="702"/>
      <c r="S3870" s="106"/>
      <c r="T3870" s="486"/>
      <c r="U3870" s="106"/>
      <c r="V3870" s="4129"/>
      <c r="W3870" s="717">
        <v>18</v>
      </c>
      <c r="X3870" s="717">
        <v>18</v>
      </c>
      <c r="Y3870" s="717">
        <v>18</v>
      </c>
      <c r="Z3870" s="717">
        <v>18</v>
      </c>
      <c r="AA3870" s="717">
        <v>18</v>
      </c>
      <c r="AB3870" s="717">
        <v>18</v>
      </c>
      <c r="AC3870" s="2930">
        <v>18</v>
      </c>
      <c r="AD3870" s="717">
        <v>18</v>
      </c>
      <c r="AE3870" s="2944"/>
      <c r="AF3870" s="717"/>
      <c r="AG3870" s="717"/>
      <c r="AH3870" s="156"/>
      <c r="AI3870" s="156"/>
      <c r="AJ3870" s="156"/>
      <c r="AK3870" s="156"/>
      <c r="AL3870" s="156"/>
      <c r="AM3870" s="156"/>
      <c r="AN3870" s="156"/>
      <c r="AO3870" s="156"/>
      <c r="AP3870" s="156"/>
      <c r="AQ3870" s="156"/>
      <c r="AR3870" s="156"/>
      <c r="AS3870" s="156"/>
      <c r="AT3870" s="156"/>
      <c r="AU3870" s="156"/>
      <c r="AV3870" s="156"/>
      <c r="AW3870" s="156"/>
      <c r="AX3870" s="156"/>
      <c r="AY3870" s="156"/>
      <c r="AZ3870" s="156"/>
      <c r="BA3870" s="156"/>
      <c r="BB3870" s="2828"/>
      <c r="BC3870" s="452"/>
      <c r="BD3870" s="2829"/>
      <c r="BE3870" s="2837"/>
      <c r="BF3870" s="156"/>
    </row>
    <row r="3871" spans="1:58" ht="14.5" customHeight="1" outlineLevel="1" x14ac:dyDescent="0.35">
      <c r="A3871" s="1664"/>
      <c r="B3871" s="2812"/>
      <c r="C3871" s="3077"/>
      <c r="D3871" s="3980"/>
      <c r="E3871" s="3883"/>
      <c r="F3871" s="3984" t="str">
        <f t="shared" si="437"/>
        <v>ASHP-SEER21+-Replace_CAC_ElectricHeat_ROF_MF</v>
      </c>
      <c r="G3871" s="3984"/>
      <c r="H3871" s="3984"/>
      <c r="I3871" s="3984"/>
      <c r="J3871" s="3508" t="str">
        <f t="shared" si="438"/>
        <v>353700_2019_12_</v>
      </c>
      <c r="K3871" s="717">
        <v>18</v>
      </c>
      <c r="L3871" s="713"/>
      <c r="M3871" s="3022"/>
      <c r="N3871" s="106"/>
      <c r="O3871" s="106"/>
      <c r="P3871" s="702"/>
      <c r="Q3871" s="574"/>
      <c r="R3871" s="702"/>
      <c r="S3871" s="106"/>
      <c r="T3871" s="486"/>
      <c r="U3871" s="106"/>
      <c r="V3871" s="4129"/>
      <c r="W3871" s="717">
        <v>18</v>
      </c>
      <c r="X3871" s="717">
        <v>18</v>
      </c>
      <c r="Y3871" s="717">
        <v>18</v>
      </c>
      <c r="Z3871" s="717">
        <v>18</v>
      </c>
      <c r="AA3871" s="717">
        <v>18</v>
      </c>
      <c r="AB3871" s="717">
        <v>18</v>
      </c>
      <c r="AC3871" s="2930">
        <v>18</v>
      </c>
      <c r="AD3871" s="717">
        <v>18</v>
      </c>
      <c r="AE3871" s="2944"/>
      <c r="AF3871" s="717"/>
      <c r="AG3871" s="717"/>
      <c r="AH3871" s="156"/>
      <c r="AI3871" s="156"/>
      <c r="AJ3871" s="156"/>
      <c r="AK3871" s="156"/>
      <c r="AL3871" s="156"/>
      <c r="AM3871" s="156"/>
      <c r="AN3871" s="156"/>
      <c r="AO3871" s="156"/>
      <c r="AP3871" s="156"/>
      <c r="AQ3871" s="156"/>
      <c r="AR3871" s="156"/>
      <c r="AS3871" s="156"/>
      <c r="AT3871" s="156"/>
      <c r="AU3871" s="156"/>
      <c r="AV3871" s="156"/>
      <c r="AW3871" s="156"/>
      <c r="AX3871" s="156"/>
      <c r="AY3871" s="156"/>
      <c r="AZ3871" s="156"/>
      <c r="BA3871" s="156"/>
      <c r="BB3871" s="2828"/>
      <c r="BC3871" s="452"/>
      <c r="BD3871" s="2829"/>
      <c r="BE3871" s="2837"/>
      <c r="BF3871" s="156"/>
    </row>
    <row r="3872" spans="1:58" ht="14.5" customHeight="1" outlineLevel="1" x14ac:dyDescent="0.35">
      <c r="A3872" s="1664"/>
      <c r="B3872" s="2812"/>
      <c r="C3872" s="3077"/>
      <c r="D3872" s="3980"/>
      <c r="E3872" s="3883"/>
      <c r="F3872" s="3984" t="str">
        <f t="shared" si="437"/>
        <v>ASHP-SEER21+-Replace_CAC_ElectricHeat_ROF_MF_CompE</v>
      </c>
      <c r="G3872" s="3984"/>
      <c r="H3872" s="3984"/>
      <c r="I3872" s="3984"/>
      <c r="J3872" s="3508" t="str">
        <f t="shared" si="438"/>
        <v>353701_2019_12_</v>
      </c>
      <c r="K3872" s="717">
        <v>18</v>
      </c>
      <c r="L3872" s="713"/>
      <c r="M3872" s="3022"/>
      <c r="N3872" s="106"/>
      <c r="O3872" s="106"/>
      <c r="P3872" s="702"/>
      <c r="Q3872" s="574"/>
      <c r="R3872" s="702"/>
      <c r="S3872" s="106"/>
      <c r="T3872" s="486"/>
      <c r="U3872" s="106"/>
      <c r="V3872" s="4129"/>
      <c r="W3872" s="717"/>
      <c r="X3872" s="717"/>
      <c r="Y3872" s="717"/>
      <c r="Z3872" s="717"/>
      <c r="AA3872" s="717"/>
      <c r="AB3872" s="717"/>
      <c r="AC3872" s="2932">
        <v>18</v>
      </c>
      <c r="AD3872" s="717">
        <v>18</v>
      </c>
      <c r="AE3872" s="2944"/>
      <c r="AF3872" s="717"/>
      <c r="AG3872" s="717"/>
      <c r="AH3872" s="156"/>
      <c r="AI3872" s="156"/>
      <c r="AJ3872" s="156"/>
      <c r="AK3872" s="156"/>
      <c r="AL3872" s="156"/>
      <c r="AM3872" s="156"/>
      <c r="AN3872" s="156"/>
      <c r="AO3872" s="156"/>
      <c r="AP3872" s="156"/>
      <c r="AQ3872" s="156"/>
      <c r="AR3872" s="156"/>
      <c r="AS3872" s="156"/>
      <c r="AT3872" s="156"/>
      <c r="AU3872" s="156"/>
      <c r="AV3872" s="156"/>
      <c r="AW3872" s="156"/>
      <c r="AX3872" s="156"/>
      <c r="AY3872" s="156"/>
      <c r="AZ3872" s="156"/>
      <c r="BA3872" s="156"/>
      <c r="BB3872" s="2828"/>
      <c r="BC3872" s="452"/>
      <c r="BD3872" s="2829"/>
      <c r="BE3872" s="2837"/>
      <c r="BF3872" s="156"/>
    </row>
    <row r="3873" spans="1:58" ht="14.5" customHeight="1" outlineLevel="1" x14ac:dyDescent="0.35">
      <c r="A3873" s="1664"/>
      <c r="B3873" s="2812"/>
      <c r="C3873" s="3077"/>
      <c r="D3873" s="3980"/>
      <c r="E3873" s="3883"/>
      <c r="F3873" s="3984" t="str">
        <f t="shared" si="437"/>
        <v>ASHP-SEER21+-Replace_CAC_ElectricHeat_ROF_MF_CompE</v>
      </c>
      <c r="G3873" s="3984"/>
      <c r="H3873" s="3984"/>
      <c r="I3873" s="3984"/>
      <c r="J3873" s="3508" t="str">
        <f t="shared" si="438"/>
        <v>353701_2019_12_</v>
      </c>
      <c r="K3873" s="717">
        <v>18</v>
      </c>
      <c r="L3873" s="713"/>
      <c r="M3873" s="3022"/>
      <c r="N3873" s="106"/>
      <c r="O3873" s="106"/>
      <c r="P3873" s="702"/>
      <c r="Q3873" s="574"/>
      <c r="R3873" s="702"/>
      <c r="S3873" s="106"/>
      <c r="T3873" s="486"/>
      <c r="U3873" s="106"/>
      <c r="V3873" s="4129"/>
      <c r="W3873" s="717"/>
      <c r="X3873" s="717"/>
      <c r="Y3873" s="717"/>
      <c r="Z3873" s="717"/>
      <c r="AA3873" s="717"/>
      <c r="AB3873" s="717"/>
      <c r="AC3873" s="2932">
        <v>18</v>
      </c>
      <c r="AD3873" s="717">
        <v>18</v>
      </c>
      <c r="AE3873" s="2944"/>
      <c r="AF3873" s="717"/>
      <c r="AG3873" s="717"/>
      <c r="AH3873" s="156"/>
      <c r="AI3873" s="156"/>
      <c r="AJ3873" s="156"/>
      <c r="AK3873" s="156"/>
      <c r="AL3873" s="156"/>
      <c r="AM3873" s="156"/>
      <c r="AN3873" s="156"/>
      <c r="AO3873" s="156"/>
      <c r="AP3873" s="156"/>
      <c r="AQ3873" s="156"/>
      <c r="AR3873" s="156"/>
      <c r="AS3873" s="156"/>
      <c r="AT3873" s="156"/>
      <c r="AU3873" s="156"/>
      <c r="AV3873" s="156"/>
      <c r="AW3873" s="156"/>
      <c r="AX3873" s="156"/>
      <c r="AY3873" s="156"/>
      <c r="AZ3873" s="156"/>
      <c r="BA3873" s="156"/>
      <c r="BB3873" s="2828"/>
      <c r="BC3873" s="452"/>
      <c r="BD3873" s="2829"/>
      <c r="BE3873" s="2837"/>
      <c r="BF3873" s="156"/>
    </row>
    <row r="3874" spans="1:58" ht="14.5" customHeight="1" outlineLevel="1" x14ac:dyDescent="0.35">
      <c r="A3874" s="1664"/>
      <c r="B3874" s="2812"/>
      <c r="C3874" s="3077"/>
      <c r="D3874" s="3980"/>
      <c r="E3874" s="3883"/>
      <c r="F3874" s="3984" t="str">
        <f t="shared" si="437"/>
        <v>ASHP-SEER21+-Replace_CAC_NonElectricHeat_ROF_MF</v>
      </c>
      <c r="G3874" s="3984"/>
      <c r="H3874" s="3984"/>
      <c r="I3874" s="3984"/>
      <c r="J3874" s="3508" t="str">
        <f t="shared" si="438"/>
        <v>353710_2021_12_</v>
      </c>
      <c r="K3874" s="717">
        <v>18</v>
      </c>
      <c r="L3874" s="713"/>
      <c r="M3874" s="3022"/>
      <c r="N3874" s="106"/>
      <c r="O3874" s="106"/>
      <c r="P3874" s="702"/>
      <c r="Q3874" s="574"/>
      <c r="R3874" s="702"/>
      <c r="S3874" s="106"/>
      <c r="T3874" s="486"/>
      <c r="U3874" s="106"/>
      <c r="V3874" s="4129"/>
      <c r="W3874" s="717"/>
      <c r="X3874" s="717"/>
      <c r="Y3874" s="717"/>
      <c r="Z3874" s="717"/>
      <c r="AA3874" s="717"/>
      <c r="AB3874" s="717"/>
      <c r="AC3874" s="2932">
        <v>18</v>
      </c>
      <c r="AD3874" s="717">
        <v>18</v>
      </c>
      <c r="AE3874" s="2944"/>
      <c r="AF3874" s="717"/>
      <c r="AG3874" s="717"/>
      <c r="AH3874" s="156"/>
      <c r="AI3874" s="156"/>
      <c r="AJ3874" s="156"/>
      <c r="AK3874" s="156"/>
      <c r="AL3874" s="156"/>
      <c r="AM3874" s="156"/>
      <c r="AN3874" s="156"/>
      <c r="AO3874" s="156"/>
      <c r="AP3874" s="156"/>
      <c r="AQ3874" s="156"/>
      <c r="AR3874" s="156"/>
      <c r="AS3874" s="156"/>
      <c r="AT3874" s="156"/>
      <c r="AU3874" s="156"/>
      <c r="AV3874" s="156"/>
      <c r="AW3874" s="156"/>
      <c r="AX3874" s="156"/>
      <c r="AY3874" s="156"/>
      <c r="AZ3874" s="156"/>
      <c r="BA3874" s="156"/>
      <c r="BB3874" s="2828"/>
      <c r="BC3874" s="452"/>
      <c r="BD3874" s="2829"/>
      <c r="BE3874" s="2837"/>
      <c r="BF3874" s="156"/>
    </row>
    <row r="3875" spans="1:58" ht="14.5" customHeight="1" outlineLevel="1" x14ac:dyDescent="0.35">
      <c r="A3875" s="1664"/>
      <c r="B3875" s="2812"/>
      <c r="C3875" s="3077"/>
      <c r="D3875" s="3980"/>
      <c r="E3875" s="3883"/>
      <c r="F3875" s="3984" t="str">
        <f t="shared" si="437"/>
        <v>ASHP-SEER21+-Replace_CAC_NonElectricHeat_ROF_MF</v>
      </c>
      <c r="G3875" s="3984"/>
      <c r="H3875" s="3984"/>
      <c r="I3875" s="3984"/>
      <c r="J3875" s="3508" t="str">
        <f t="shared" si="438"/>
        <v>353710_2021_12_</v>
      </c>
      <c r="K3875" s="717">
        <v>18</v>
      </c>
      <c r="L3875" s="713"/>
      <c r="M3875" s="3022"/>
      <c r="N3875" s="106"/>
      <c r="O3875" s="106"/>
      <c r="P3875" s="702"/>
      <c r="Q3875" s="574"/>
      <c r="R3875" s="702"/>
      <c r="S3875" s="106"/>
      <c r="T3875" s="486"/>
      <c r="U3875" s="106"/>
      <c r="V3875" s="4129"/>
      <c r="W3875" s="717"/>
      <c r="X3875" s="717"/>
      <c r="Y3875" s="717"/>
      <c r="Z3875" s="717"/>
      <c r="AA3875" s="717"/>
      <c r="AB3875" s="717"/>
      <c r="AC3875" s="2932">
        <v>18</v>
      </c>
      <c r="AD3875" s="717">
        <v>18</v>
      </c>
      <c r="AE3875" s="2944"/>
      <c r="AF3875" s="717"/>
      <c r="AG3875" s="717"/>
      <c r="AH3875" s="156"/>
      <c r="AI3875" s="156"/>
      <c r="AJ3875" s="156"/>
      <c r="AK3875" s="156"/>
      <c r="AL3875" s="156"/>
      <c r="AM3875" s="156"/>
      <c r="AN3875" s="156"/>
      <c r="AO3875" s="156"/>
      <c r="AP3875" s="156"/>
      <c r="AQ3875" s="156"/>
      <c r="AR3875" s="156"/>
      <c r="AS3875" s="156"/>
      <c r="AT3875" s="156"/>
      <c r="AU3875" s="156"/>
      <c r="AV3875" s="156"/>
      <c r="AW3875" s="156"/>
      <c r="AX3875" s="156"/>
      <c r="AY3875" s="156"/>
      <c r="AZ3875" s="156"/>
      <c r="BA3875" s="156"/>
      <c r="BB3875" s="2828"/>
      <c r="BC3875" s="452"/>
      <c r="BD3875" s="2829"/>
      <c r="BE3875" s="2837"/>
      <c r="BF3875" s="156"/>
    </row>
    <row r="3876" spans="1:58" ht="14.5" customHeight="1" outlineLevel="1" x14ac:dyDescent="0.35">
      <c r="A3876" s="1664"/>
      <c r="B3876" s="2812"/>
      <c r="C3876" s="3077"/>
      <c r="D3876" s="3980"/>
      <c r="E3876" s="3883"/>
      <c r="F3876" s="3984" t="str">
        <f t="shared" si="437"/>
        <v>ASHP-SEER21+-Replace_CAC_NonElectricHeat_ROF_MF_CompE</v>
      </c>
      <c r="G3876" s="3984"/>
      <c r="H3876" s="3984"/>
      <c r="I3876" s="3984"/>
      <c r="J3876" s="3508" t="str">
        <f t="shared" si="438"/>
        <v>353711_2021_12_</v>
      </c>
      <c r="K3876" s="717">
        <v>18</v>
      </c>
      <c r="L3876" s="713"/>
      <c r="M3876" s="3022"/>
      <c r="N3876" s="106"/>
      <c r="O3876" s="106"/>
      <c r="P3876" s="702"/>
      <c r="Q3876" s="574"/>
      <c r="R3876" s="702"/>
      <c r="S3876" s="106"/>
      <c r="T3876" s="486"/>
      <c r="U3876" s="106"/>
      <c r="V3876" s="4129"/>
      <c r="W3876" s="717"/>
      <c r="X3876" s="717"/>
      <c r="Y3876" s="717"/>
      <c r="Z3876" s="717"/>
      <c r="AA3876" s="717"/>
      <c r="AB3876" s="717"/>
      <c r="AC3876" s="2932">
        <v>18</v>
      </c>
      <c r="AD3876" s="717">
        <v>18</v>
      </c>
      <c r="AE3876" s="2944"/>
      <c r="AF3876" s="717"/>
      <c r="AG3876" s="717"/>
      <c r="AH3876" s="156"/>
      <c r="AI3876" s="156"/>
      <c r="AJ3876" s="156"/>
      <c r="AK3876" s="156"/>
      <c r="AL3876" s="156"/>
      <c r="AM3876" s="156"/>
      <c r="AN3876" s="156"/>
      <c r="AO3876" s="156"/>
      <c r="AP3876" s="156"/>
      <c r="AQ3876" s="156"/>
      <c r="AR3876" s="156"/>
      <c r="AS3876" s="156"/>
      <c r="AT3876" s="156"/>
      <c r="AU3876" s="156"/>
      <c r="AV3876" s="156"/>
      <c r="AW3876" s="156"/>
      <c r="AX3876" s="156"/>
      <c r="AY3876" s="156"/>
      <c r="AZ3876" s="156"/>
      <c r="BA3876" s="156"/>
      <c r="BB3876" s="2828"/>
      <c r="BC3876" s="452"/>
      <c r="BD3876" s="2829"/>
      <c r="BE3876" s="2837"/>
      <c r="BF3876" s="156"/>
    </row>
    <row r="3877" spans="1:58" ht="14.5" customHeight="1" outlineLevel="1" x14ac:dyDescent="0.35">
      <c r="A3877" s="1664"/>
      <c r="B3877" s="2812"/>
      <c r="C3877" s="3077"/>
      <c r="D3877" s="3980"/>
      <c r="E3877" s="3883"/>
      <c r="F3877" s="3984" t="str">
        <f t="shared" si="437"/>
        <v>ASHP-SEER21+-Replace_CAC_NonElectricHeat_ROF_MF_CompE</v>
      </c>
      <c r="G3877" s="3984"/>
      <c r="H3877" s="3984"/>
      <c r="I3877" s="3984"/>
      <c r="J3877" s="3508" t="str">
        <f t="shared" si="438"/>
        <v>353711_2021_12_</v>
      </c>
      <c r="K3877" s="717">
        <v>18</v>
      </c>
      <c r="L3877" s="713"/>
      <c r="M3877" s="3022"/>
      <c r="N3877" s="106"/>
      <c r="O3877" s="106"/>
      <c r="P3877" s="702"/>
      <c r="Q3877" s="574"/>
      <c r="R3877" s="702"/>
      <c r="S3877" s="106"/>
      <c r="T3877" s="486"/>
      <c r="U3877" s="106"/>
      <c r="V3877" s="4129"/>
      <c r="W3877" s="717"/>
      <c r="X3877" s="717"/>
      <c r="Y3877" s="717"/>
      <c r="Z3877" s="717"/>
      <c r="AA3877" s="717"/>
      <c r="AB3877" s="717"/>
      <c r="AC3877" s="2932">
        <v>18</v>
      </c>
      <c r="AD3877" s="717">
        <v>18</v>
      </c>
      <c r="AE3877" s="2944"/>
      <c r="AF3877" s="717"/>
      <c r="AG3877" s="717"/>
      <c r="AH3877" s="156"/>
      <c r="AI3877" s="156"/>
      <c r="AJ3877" s="156"/>
      <c r="AK3877" s="156"/>
      <c r="AL3877" s="156"/>
      <c r="AM3877" s="156"/>
      <c r="AN3877" s="156"/>
      <c r="AO3877" s="156"/>
      <c r="AP3877" s="156"/>
      <c r="AQ3877" s="156"/>
      <c r="AR3877" s="156"/>
      <c r="AS3877" s="156"/>
      <c r="AT3877" s="156"/>
      <c r="AU3877" s="156"/>
      <c r="AV3877" s="156"/>
      <c r="AW3877" s="156"/>
      <c r="AX3877" s="156"/>
      <c r="AY3877" s="156"/>
      <c r="AZ3877" s="156"/>
      <c r="BA3877" s="156"/>
      <c r="BB3877" s="2828"/>
      <c r="BC3877" s="452"/>
      <c r="BD3877" s="2829"/>
      <c r="BE3877" s="2837"/>
      <c r="BF3877" s="156"/>
    </row>
    <row r="3878" spans="1:58" ht="14.5" customHeight="1" outlineLevel="1" x14ac:dyDescent="0.35">
      <c r="A3878" s="1664"/>
      <c r="B3878" s="2812"/>
      <c r="C3878" s="3077"/>
      <c r="D3878" s="3980"/>
      <c r="E3878" s="3883"/>
      <c r="F3878" s="3984" t="str">
        <f t="shared" si="437"/>
        <v>ASHP-SEER17_ER1_SF</v>
      </c>
      <c r="G3878" s="3984"/>
      <c r="H3878" s="3984"/>
      <c r="I3878" s="3984"/>
      <c r="J3878" s="3508" t="str">
        <f t="shared" si="438"/>
        <v>353750_2021_12_</v>
      </c>
      <c r="K3878" s="717">
        <v>6</v>
      </c>
      <c r="L3878" s="713"/>
      <c r="M3878" s="3022"/>
      <c r="N3878" s="106"/>
      <c r="O3878" s="106"/>
      <c r="P3878" s="702"/>
      <c r="Q3878" s="574"/>
      <c r="R3878" s="702"/>
      <c r="S3878" s="106"/>
      <c r="T3878" s="486"/>
      <c r="U3878" s="106"/>
      <c r="V3878" s="4129"/>
      <c r="W3878" s="717">
        <v>6</v>
      </c>
      <c r="X3878" s="717">
        <v>6</v>
      </c>
      <c r="Y3878" s="717">
        <v>6</v>
      </c>
      <c r="Z3878" s="717">
        <v>6</v>
      </c>
      <c r="AA3878" s="717">
        <v>6</v>
      </c>
      <c r="AB3878" s="717">
        <v>6</v>
      </c>
      <c r="AC3878" s="2930">
        <v>6</v>
      </c>
      <c r="AD3878" s="717">
        <v>6</v>
      </c>
      <c r="AE3878" s="2944"/>
      <c r="AF3878" s="717"/>
      <c r="AG3878" s="717"/>
      <c r="AH3878" s="156"/>
      <c r="AI3878" s="156"/>
      <c r="AJ3878" s="156"/>
      <c r="AK3878" s="156"/>
      <c r="AL3878" s="156"/>
      <c r="AM3878" s="156"/>
      <c r="AN3878" s="156"/>
      <c r="AO3878" s="156"/>
      <c r="AP3878" s="156"/>
      <c r="AQ3878" s="156"/>
      <c r="AR3878" s="156"/>
      <c r="AS3878" s="156"/>
      <c r="AT3878" s="156"/>
      <c r="AU3878" s="156"/>
      <c r="AV3878" s="156"/>
      <c r="AW3878" s="156"/>
      <c r="AX3878" s="156"/>
      <c r="AY3878" s="156"/>
      <c r="AZ3878" s="156"/>
      <c r="BA3878" s="156"/>
      <c r="BB3878" s="2828"/>
      <c r="BC3878" s="452"/>
      <c r="BD3878" s="2829"/>
      <c r="BE3878" s="2837"/>
      <c r="BF3878" s="156"/>
    </row>
    <row r="3879" spans="1:58" ht="15" customHeight="1" outlineLevel="1" x14ac:dyDescent="0.35">
      <c r="A3879" s="1664"/>
      <c r="B3879" s="2812"/>
      <c r="C3879" s="3077"/>
      <c r="D3879" s="3980"/>
      <c r="E3879" s="3883"/>
      <c r="F3879" s="3984" t="str">
        <f t="shared" si="437"/>
        <v>ASHP-SEER17_ER1_SF</v>
      </c>
      <c r="G3879" s="3984"/>
      <c r="H3879" s="3984"/>
      <c r="I3879" s="3984"/>
      <c r="J3879" s="3508" t="str">
        <f t="shared" si="438"/>
        <v>353750_2021_12_</v>
      </c>
      <c r="K3879" s="717">
        <v>6</v>
      </c>
      <c r="L3879" s="704"/>
      <c r="M3879" s="3020"/>
      <c r="N3879" s="106"/>
      <c r="O3879" s="106"/>
      <c r="P3879" s="702"/>
      <c r="Q3879" s="574"/>
      <c r="R3879" s="702"/>
      <c r="S3879" s="106"/>
      <c r="T3879" s="486"/>
      <c r="U3879" s="106"/>
      <c r="V3879" s="4129"/>
      <c r="W3879" s="717">
        <v>6</v>
      </c>
      <c r="X3879" s="717">
        <v>6</v>
      </c>
      <c r="Y3879" s="717">
        <v>6</v>
      </c>
      <c r="Z3879" s="717">
        <v>6</v>
      </c>
      <c r="AA3879" s="717">
        <v>6</v>
      </c>
      <c r="AB3879" s="717">
        <v>6</v>
      </c>
      <c r="AC3879" s="2930">
        <v>6</v>
      </c>
      <c r="AD3879" s="717">
        <v>6</v>
      </c>
      <c r="AE3879" s="2944"/>
      <c r="AF3879" s="717"/>
      <c r="AG3879" s="717"/>
      <c r="AH3879" s="156"/>
      <c r="AI3879" s="156"/>
      <c r="AJ3879" s="156"/>
      <c r="AK3879" s="156"/>
      <c r="AL3879" s="156"/>
      <c r="AM3879" s="156"/>
      <c r="AN3879" s="156"/>
      <c r="AO3879" s="156"/>
      <c r="AP3879" s="156"/>
      <c r="AQ3879" s="156"/>
      <c r="AR3879" s="156"/>
      <c r="AS3879" s="156"/>
      <c r="AT3879" s="156"/>
      <c r="AU3879" s="156"/>
      <c r="AV3879" s="156"/>
      <c r="AW3879" s="156"/>
      <c r="AX3879" s="156"/>
      <c r="AY3879" s="156"/>
      <c r="AZ3879" s="156"/>
      <c r="BA3879" s="156"/>
      <c r="BB3879" s="2828"/>
      <c r="BC3879" s="452"/>
      <c r="BD3879" s="2829"/>
      <c r="BE3879" s="2837"/>
      <c r="BF3879" s="156"/>
    </row>
    <row r="3880" spans="1:58" ht="15" customHeight="1" outlineLevel="1" x14ac:dyDescent="0.35">
      <c r="A3880" s="1664"/>
      <c r="B3880" s="2812"/>
      <c r="C3880" s="3077"/>
      <c r="D3880" s="3980"/>
      <c r="E3880" s="3883"/>
      <c r="F3880" s="3984" t="str">
        <f t="shared" si="437"/>
        <v>ASHP-SEER17_ER2_SF</v>
      </c>
      <c r="G3880" s="3984"/>
      <c r="H3880" s="3984"/>
      <c r="I3880" s="3984"/>
      <c r="J3880" s="3508" t="str">
        <f t="shared" si="438"/>
        <v>353750_2021_12_</v>
      </c>
      <c r="K3880" s="717">
        <v>12</v>
      </c>
      <c r="L3880" s="704"/>
      <c r="M3880" s="3020"/>
      <c r="N3880" s="106"/>
      <c r="O3880" s="106"/>
      <c r="P3880" s="702"/>
      <c r="Q3880" s="574"/>
      <c r="R3880" s="702"/>
      <c r="S3880" s="106"/>
      <c r="T3880" s="486"/>
      <c r="U3880" s="106"/>
      <c r="V3880" s="4129"/>
      <c r="W3880" s="717">
        <v>12</v>
      </c>
      <c r="X3880" s="717">
        <v>12</v>
      </c>
      <c r="Y3880" s="717">
        <v>12</v>
      </c>
      <c r="Z3880" s="717">
        <v>12</v>
      </c>
      <c r="AA3880" s="717">
        <v>12</v>
      </c>
      <c r="AB3880" s="717">
        <v>12</v>
      </c>
      <c r="AC3880" s="2930">
        <v>12</v>
      </c>
      <c r="AD3880" s="717">
        <v>12</v>
      </c>
      <c r="AE3880" s="2944"/>
      <c r="AF3880" s="717"/>
      <c r="AG3880" s="717"/>
      <c r="AH3880" s="156"/>
      <c r="AI3880" s="156"/>
      <c r="AJ3880" s="156"/>
      <c r="AK3880" s="156"/>
      <c r="AL3880" s="156"/>
      <c r="AM3880" s="156"/>
      <c r="AN3880" s="156"/>
      <c r="AO3880" s="156"/>
      <c r="AP3880" s="156"/>
      <c r="AQ3880" s="156"/>
      <c r="AR3880" s="156"/>
      <c r="AS3880" s="156"/>
      <c r="AT3880" s="156"/>
      <c r="AU3880" s="156"/>
      <c r="AV3880" s="156"/>
      <c r="AW3880" s="156"/>
      <c r="AX3880" s="156"/>
      <c r="AY3880" s="156"/>
      <c r="AZ3880" s="156"/>
      <c r="BA3880" s="156"/>
      <c r="BB3880" s="2828"/>
      <c r="BC3880" s="452"/>
      <c r="BD3880" s="2829"/>
      <c r="BE3880" s="2837"/>
      <c r="BF3880" s="156"/>
    </row>
    <row r="3881" spans="1:58" ht="15" customHeight="1" outlineLevel="1" x14ac:dyDescent="0.35">
      <c r="A3881" s="1664"/>
      <c r="B3881" s="2812"/>
      <c r="C3881" s="3077"/>
      <c r="D3881" s="3980"/>
      <c r="E3881" s="3883"/>
      <c r="F3881" s="3984" t="str">
        <f t="shared" si="437"/>
        <v>ASHP-SEER17_ER2_SF</v>
      </c>
      <c r="G3881" s="3984"/>
      <c r="H3881" s="3984"/>
      <c r="I3881" s="3984"/>
      <c r="J3881" s="3508" t="str">
        <f t="shared" si="438"/>
        <v>353750_2021_12_</v>
      </c>
      <c r="K3881" s="717">
        <v>12</v>
      </c>
      <c r="L3881" s="704"/>
      <c r="M3881" s="3020"/>
      <c r="N3881" s="106"/>
      <c r="O3881" s="106"/>
      <c r="P3881" s="702"/>
      <c r="Q3881" s="574"/>
      <c r="R3881" s="702"/>
      <c r="S3881" s="106"/>
      <c r="T3881" s="486"/>
      <c r="U3881" s="106"/>
      <c r="V3881" s="4129"/>
      <c r="W3881" s="717">
        <v>12</v>
      </c>
      <c r="X3881" s="717">
        <v>12</v>
      </c>
      <c r="Y3881" s="717">
        <v>12</v>
      </c>
      <c r="Z3881" s="717">
        <v>12</v>
      </c>
      <c r="AA3881" s="717">
        <v>12</v>
      </c>
      <c r="AB3881" s="717">
        <v>12</v>
      </c>
      <c r="AC3881" s="2930">
        <v>12</v>
      </c>
      <c r="AD3881" s="717">
        <v>12</v>
      </c>
      <c r="AE3881" s="2944"/>
      <c r="AF3881" s="717"/>
      <c r="AG3881" s="717"/>
      <c r="AH3881" s="156"/>
      <c r="AI3881" s="156"/>
      <c r="AJ3881" s="156"/>
      <c r="AK3881" s="156"/>
      <c r="AL3881" s="156"/>
      <c r="AM3881" s="156"/>
      <c r="AN3881" s="156"/>
      <c r="AO3881" s="156"/>
      <c r="AP3881" s="156"/>
      <c r="AQ3881" s="156"/>
      <c r="AR3881" s="156"/>
      <c r="AS3881" s="156"/>
      <c r="AT3881" s="156"/>
      <c r="AU3881" s="156"/>
      <c r="AV3881" s="156"/>
      <c r="AW3881" s="156"/>
      <c r="AX3881" s="156"/>
      <c r="AY3881" s="156"/>
      <c r="AZ3881" s="156"/>
      <c r="BA3881" s="156"/>
      <c r="BB3881" s="2828"/>
      <c r="BC3881" s="452"/>
      <c r="BD3881" s="2829"/>
      <c r="BE3881" s="2837"/>
      <c r="BF3881" s="156"/>
    </row>
    <row r="3882" spans="1:58" ht="15" customHeight="1" outlineLevel="1" x14ac:dyDescent="0.35">
      <c r="A3882" s="1664"/>
      <c r="B3882" s="2812"/>
      <c r="C3882" s="3077"/>
      <c r="D3882" s="3980"/>
      <c r="E3882" s="3883"/>
      <c r="F3882" s="3984" t="str">
        <f t="shared" si="437"/>
        <v>ASHP-SEER17_ROF_SF</v>
      </c>
      <c r="G3882" s="3984"/>
      <c r="H3882" s="3984"/>
      <c r="I3882" s="3984"/>
      <c r="J3882" s="3508" t="str">
        <f t="shared" si="438"/>
        <v>353800_2021_12_</v>
      </c>
      <c r="K3882" s="717">
        <v>18</v>
      </c>
      <c r="L3882" s="713"/>
      <c r="M3882" s="3020"/>
      <c r="N3882" s="106"/>
      <c r="O3882" s="106"/>
      <c r="P3882" s="702"/>
      <c r="Q3882" s="574"/>
      <c r="R3882" s="702"/>
      <c r="S3882" s="106"/>
      <c r="T3882" s="486"/>
      <c r="U3882" s="106"/>
      <c r="V3882" s="4129"/>
      <c r="W3882" s="717">
        <v>18</v>
      </c>
      <c r="X3882" s="717">
        <v>18</v>
      </c>
      <c r="Y3882" s="717">
        <v>18</v>
      </c>
      <c r="Z3882" s="717">
        <v>18</v>
      </c>
      <c r="AA3882" s="717">
        <v>18</v>
      </c>
      <c r="AB3882" s="717">
        <v>18</v>
      </c>
      <c r="AC3882" s="2930">
        <v>18</v>
      </c>
      <c r="AD3882" s="717">
        <v>18</v>
      </c>
      <c r="AE3882" s="2944"/>
      <c r="AF3882" s="717"/>
      <c r="AG3882" s="717"/>
      <c r="AH3882" s="156"/>
      <c r="AI3882" s="156"/>
      <c r="AJ3882" s="156"/>
      <c r="AK3882" s="156"/>
      <c r="AL3882" s="156"/>
      <c r="AM3882" s="156"/>
      <c r="AN3882" s="156"/>
      <c r="AO3882" s="156"/>
      <c r="AP3882" s="156"/>
      <c r="AQ3882" s="156"/>
      <c r="AR3882" s="156"/>
      <c r="AS3882" s="156"/>
      <c r="AT3882" s="156"/>
      <c r="AU3882" s="156"/>
      <c r="AV3882" s="156"/>
      <c r="AW3882" s="156"/>
      <c r="AX3882" s="156"/>
      <c r="AY3882" s="156"/>
      <c r="AZ3882" s="156"/>
      <c r="BA3882" s="156"/>
      <c r="BB3882" s="2828"/>
      <c r="BC3882" s="452"/>
      <c r="BD3882" s="2829"/>
      <c r="BE3882" s="2837"/>
      <c r="BF3882" s="156"/>
    </row>
    <row r="3883" spans="1:58" ht="15" customHeight="1" outlineLevel="1" x14ac:dyDescent="0.35">
      <c r="A3883" s="1664"/>
      <c r="B3883" s="2812"/>
      <c r="C3883" s="3077"/>
      <c r="D3883" s="3980"/>
      <c r="E3883" s="3883"/>
      <c r="F3883" s="3984" t="str">
        <f t="shared" si="437"/>
        <v>ASHP-SEER17_ROF_SF</v>
      </c>
      <c r="G3883" s="3984"/>
      <c r="H3883" s="3984"/>
      <c r="I3883" s="3984"/>
      <c r="J3883" s="3508" t="str">
        <f t="shared" si="438"/>
        <v>353800_2021_12_</v>
      </c>
      <c r="K3883" s="717">
        <v>18</v>
      </c>
      <c r="L3883" s="703"/>
      <c r="M3883" s="3022"/>
      <c r="N3883" s="106"/>
      <c r="O3883" s="106"/>
      <c r="P3883" s="702"/>
      <c r="Q3883" s="702"/>
      <c r="R3883" s="702"/>
      <c r="S3883" s="106"/>
      <c r="T3883" s="486"/>
      <c r="U3883" s="106"/>
      <c r="V3883" s="4129"/>
      <c r="W3883" s="717">
        <v>18</v>
      </c>
      <c r="X3883" s="717">
        <v>18</v>
      </c>
      <c r="Y3883" s="717">
        <v>18</v>
      </c>
      <c r="Z3883" s="717">
        <v>18</v>
      </c>
      <c r="AA3883" s="717">
        <v>18</v>
      </c>
      <c r="AB3883" s="717">
        <v>18</v>
      </c>
      <c r="AC3883" s="2930">
        <v>18</v>
      </c>
      <c r="AD3883" s="717">
        <v>18</v>
      </c>
      <c r="AE3883" s="2944"/>
      <c r="AF3883" s="717"/>
      <c r="AG3883" s="717"/>
      <c r="AH3883" s="156"/>
      <c r="AI3883" s="156"/>
      <c r="AJ3883" s="156"/>
      <c r="AK3883" s="156"/>
      <c r="AL3883" s="156"/>
      <c r="AM3883" s="156"/>
      <c r="AN3883" s="156"/>
      <c r="AO3883" s="156"/>
      <c r="AP3883" s="156"/>
      <c r="AQ3883" s="156"/>
      <c r="AR3883" s="156"/>
      <c r="AS3883" s="156"/>
      <c r="AT3883" s="156"/>
      <c r="AU3883" s="156"/>
      <c r="AV3883" s="156"/>
      <c r="AW3883" s="156"/>
      <c r="AX3883" s="156"/>
      <c r="AY3883" s="156"/>
      <c r="AZ3883" s="156"/>
      <c r="BA3883" s="156"/>
      <c r="BB3883" s="2828"/>
      <c r="BC3883" s="452"/>
      <c r="BD3883" s="2829"/>
      <c r="BE3883" s="2837"/>
      <c r="BF3883" s="156"/>
    </row>
    <row r="3884" spans="1:58" ht="15" customHeight="1" outlineLevel="1" x14ac:dyDescent="0.35">
      <c r="A3884" s="1664"/>
      <c r="B3884" s="2812"/>
      <c r="C3884" s="3077"/>
      <c r="D3884" s="3980"/>
      <c r="E3884" s="3883"/>
      <c r="F3884" s="3984" t="str">
        <f t="shared" si="437"/>
        <v>ASHP-SEER18_ER1_SF</v>
      </c>
      <c r="G3884" s="3984"/>
      <c r="H3884" s="3984"/>
      <c r="I3884" s="3984"/>
      <c r="J3884" s="3508" t="str">
        <f t="shared" si="438"/>
        <v>353850_2021_12_</v>
      </c>
      <c r="K3884" s="717">
        <v>6</v>
      </c>
      <c r="L3884" s="703"/>
      <c r="M3884" s="3022"/>
      <c r="N3884" s="106"/>
      <c r="O3884" s="106"/>
      <c r="P3884" s="702"/>
      <c r="Q3884" s="702"/>
      <c r="R3884" s="702"/>
      <c r="S3884" s="106"/>
      <c r="T3884" s="486"/>
      <c r="U3884" s="106"/>
      <c r="V3884" s="4129"/>
      <c r="W3884" s="717">
        <v>6</v>
      </c>
      <c r="X3884" s="717">
        <v>6</v>
      </c>
      <c r="Y3884" s="717">
        <v>6</v>
      </c>
      <c r="Z3884" s="717">
        <v>6</v>
      </c>
      <c r="AA3884" s="717">
        <v>6</v>
      </c>
      <c r="AB3884" s="717">
        <v>6</v>
      </c>
      <c r="AC3884" s="2930">
        <v>6</v>
      </c>
      <c r="AD3884" s="717">
        <v>6</v>
      </c>
      <c r="AE3884" s="2944"/>
      <c r="AF3884" s="717"/>
      <c r="AG3884" s="717"/>
      <c r="AH3884" s="156"/>
      <c r="AI3884" s="156"/>
      <c r="AJ3884" s="156"/>
      <c r="AK3884" s="156"/>
      <c r="AL3884" s="156"/>
      <c r="AM3884" s="156"/>
      <c r="AN3884" s="156"/>
      <c r="AO3884" s="156"/>
      <c r="AP3884" s="156"/>
      <c r="AQ3884" s="156"/>
      <c r="AR3884" s="156"/>
      <c r="AS3884" s="156"/>
      <c r="AT3884" s="156"/>
      <c r="AU3884" s="156"/>
      <c r="AV3884" s="156"/>
      <c r="AW3884" s="156"/>
      <c r="AX3884" s="156"/>
      <c r="AY3884" s="156"/>
      <c r="AZ3884" s="156"/>
      <c r="BA3884" s="156"/>
      <c r="BB3884" s="2828"/>
      <c r="BC3884" s="452"/>
      <c r="BD3884" s="2829"/>
      <c r="BE3884" s="2837"/>
      <c r="BF3884" s="156"/>
    </row>
    <row r="3885" spans="1:58" ht="15" customHeight="1" outlineLevel="1" x14ac:dyDescent="0.35">
      <c r="A3885" s="1664"/>
      <c r="B3885" s="2812"/>
      <c r="C3885" s="3077"/>
      <c r="D3885" s="3980"/>
      <c r="E3885" s="3883"/>
      <c r="F3885" s="3984" t="str">
        <f t="shared" si="437"/>
        <v>ASHP-SEER18_ER1_SF</v>
      </c>
      <c r="G3885" s="3984"/>
      <c r="H3885" s="3984"/>
      <c r="I3885" s="3984"/>
      <c r="J3885" s="3508" t="str">
        <f t="shared" si="438"/>
        <v>353850_2021_12_</v>
      </c>
      <c r="K3885" s="717">
        <v>6</v>
      </c>
      <c r="L3885" s="703"/>
      <c r="M3885" s="3022"/>
      <c r="N3885" s="106"/>
      <c r="O3885" s="106"/>
      <c r="P3885" s="702"/>
      <c r="Q3885" s="702"/>
      <c r="R3885" s="702"/>
      <c r="S3885" s="106"/>
      <c r="T3885" s="486"/>
      <c r="U3885" s="106"/>
      <c r="V3885" s="4129"/>
      <c r="W3885" s="717">
        <v>6</v>
      </c>
      <c r="X3885" s="717">
        <v>6</v>
      </c>
      <c r="Y3885" s="717">
        <v>6</v>
      </c>
      <c r="Z3885" s="717">
        <v>6</v>
      </c>
      <c r="AA3885" s="717">
        <v>6</v>
      </c>
      <c r="AB3885" s="717">
        <v>6</v>
      </c>
      <c r="AC3885" s="2930">
        <v>6</v>
      </c>
      <c r="AD3885" s="717">
        <v>6</v>
      </c>
      <c r="AE3885" s="2944"/>
      <c r="AF3885" s="717"/>
      <c r="AG3885" s="717"/>
      <c r="AH3885" s="156"/>
      <c r="AI3885" s="156"/>
      <c r="AJ3885" s="156"/>
      <c r="AK3885" s="156"/>
      <c r="AL3885" s="156"/>
      <c r="AM3885" s="156"/>
      <c r="AN3885" s="156"/>
      <c r="AO3885" s="156"/>
      <c r="AP3885" s="156"/>
      <c r="AQ3885" s="156"/>
      <c r="AR3885" s="156"/>
      <c r="AS3885" s="156"/>
      <c r="AT3885" s="156"/>
      <c r="AU3885" s="156"/>
      <c r="AV3885" s="156"/>
      <c r="AW3885" s="156"/>
      <c r="AX3885" s="156"/>
      <c r="AY3885" s="156"/>
      <c r="AZ3885" s="156"/>
      <c r="BA3885" s="156"/>
      <c r="BB3885" s="2828"/>
      <c r="BC3885" s="452"/>
      <c r="BD3885" s="2829"/>
      <c r="BE3885" s="2837"/>
      <c r="BF3885" s="156"/>
    </row>
    <row r="3886" spans="1:58" ht="15" customHeight="1" outlineLevel="1" x14ac:dyDescent="0.35">
      <c r="A3886" s="1664"/>
      <c r="B3886" s="2812"/>
      <c r="C3886" s="3077"/>
      <c r="D3886" s="3980"/>
      <c r="E3886" s="3883"/>
      <c r="F3886" s="3984" t="str">
        <f t="shared" si="437"/>
        <v>ASHP-SEER18_ER2_SF</v>
      </c>
      <c r="G3886" s="3984"/>
      <c r="H3886" s="3984"/>
      <c r="I3886" s="3984"/>
      <c r="J3886" s="3508" t="str">
        <f t="shared" si="438"/>
        <v>353850_2021_12_</v>
      </c>
      <c r="K3886" s="717">
        <v>12</v>
      </c>
      <c r="L3886" s="703"/>
      <c r="M3886" s="3022"/>
      <c r="N3886" s="106"/>
      <c r="O3886" s="106"/>
      <c r="P3886" s="702"/>
      <c r="Q3886" s="702"/>
      <c r="R3886" s="702"/>
      <c r="S3886" s="106"/>
      <c r="T3886" s="486"/>
      <c r="U3886" s="106"/>
      <c r="V3886" s="4129"/>
      <c r="W3886" s="717">
        <v>12</v>
      </c>
      <c r="X3886" s="717">
        <v>12</v>
      </c>
      <c r="Y3886" s="717">
        <v>12</v>
      </c>
      <c r="Z3886" s="717">
        <v>12</v>
      </c>
      <c r="AA3886" s="717">
        <v>12</v>
      </c>
      <c r="AB3886" s="717">
        <v>12</v>
      </c>
      <c r="AC3886" s="2930">
        <v>12</v>
      </c>
      <c r="AD3886" s="717">
        <v>12</v>
      </c>
      <c r="AE3886" s="2944"/>
      <c r="AF3886" s="717"/>
      <c r="AG3886" s="717"/>
      <c r="AH3886" s="156"/>
      <c r="AI3886" s="156"/>
      <c r="AJ3886" s="156"/>
      <c r="AK3886" s="156"/>
      <c r="AL3886" s="156"/>
      <c r="AM3886" s="156"/>
      <c r="AN3886" s="156"/>
      <c r="AO3886" s="156"/>
      <c r="AP3886" s="156"/>
      <c r="AQ3886" s="156"/>
      <c r="AR3886" s="156"/>
      <c r="AS3886" s="156"/>
      <c r="AT3886" s="156"/>
      <c r="AU3886" s="156"/>
      <c r="AV3886" s="156"/>
      <c r="AW3886" s="156"/>
      <c r="AX3886" s="156"/>
      <c r="AY3886" s="156"/>
      <c r="AZ3886" s="156"/>
      <c r="BA3886" s="156"/>
      <c r="BB3886" s="2828"/>
      <c r="BC3886" s="452"/>
      <c r="BD3886" s="2829"/>
      <c r="BE3886" s="2837"/>
      <c r="BF3886" s="156"/>
    </row>
    <row r="3887" spans="1:58" ht="15" customHeight="1" outlineLevel="1" x14ac:dyDescent="0.35">
      <c r="A3887" s="1664"/>
      <c r="B3887" s="2812"/>
      <c r="C3887" s="3077"/>
      <c r="D3887" s="3980"/>
      <c r="E3887" s="3883"/>
      <c r="F3887" s="3984" t="str">
        <f t="shared" si="437"/>
        <v>ASHP-SEER18_ER2_SF</v>
      </c>
      <c r="G3887" s="3984"/>
      <c r="H3887" s="3984"/>
      <c r="I3887" s="3984"/>
      <c r="J3887" s="3508" t="str">
        <f t="shared" si="438"/>
        <v>353850_2021_12_</v>
      </c>
      <c r="K3887" s="717">
        <v>12</v>
      </c>
      <c r="L3887" s="703"/>
      <c r="M3887" s="3022"/>
      <c r="N3887" s="106"/>
      <c r="O3887" s="106"/>
      <c r="P3887" s="702"/>
      <c r="Q3887" s="702"/>
      <c r="R3887" s="702"/>
      <c r="S3887" s="106"/>
      <c r="T3887" s="486"/>
      <c r="U3887" s="106"/>
      <c r="V3887" s="4129"/>
      <c r="W3887" s="717">
        <v>12</v>
      </c>
      <c r="X3887" s="717">
        <v>12</v>
      </c>
      <c r="Y3887" s="717">
        <v>12</v>
      </c>
      <c r="Z3887" s="717">
        <v>12</v>
      </c>
      <c r="AA3887" s="717">
        <v>12</v>
      </c>
      <c r="AB3887" s="717">
        <v>12</v>
      </c>
      <c r="AC3887" s="2930">
        <v>12</v>
      </c>
      <c r="AD3887" s="717">
        <v>12</v>
      </c>
      <c r="AE3887" s="2944"/>
      <c r="AF3887" s="717"/>
      <c r="AG3887" s="717"/>
      <c r="AH3887" s="156"/>
      <c r="AI3887" s="156"/>
      <c r="AJ3887" s="156"/>
      <c r="AK3887" s="156"/>
      <c r="AL3887" s="156"/>
      <c r="AM3887" s="156"/>
      <c r="AN3887" s="156"/>
      <c r="AO3887" s="156"/>
      <c r="AP3887" s="156"/>
      <c r="AQ3887" s="156"/>
      <c r="AR3887" s="156"/>
      <c r="AS3887" s="156"/>
      <c r="AT3887" s="156"/>
      <c r="AU3887" s="156"/>
      <c r="AV3887" s="156"/>
      <c r="AW3887" s="156"/>
      <c r="AX3887" s="156"/>
      <c r="AY3887" s="156"/>
      <c r="AZ3887" s="156"/>
      <c r="BA3887" s="156"/>
      <c r="BB3887" s="2828"/>
      <c r="BC3887" s="452"/>
      <c r="BD3887" s="2829"/>
      <c r="BE3887" s="2837"/>
      <c r="BF3887" s="156"/>
    </row>
    <row r="3888" spans="1:58" ht="15" customHeight="1" outlineLevel="1" x14ac:dyDescent="0.35">
      <c r="A3888" s="1664"/>
      <c r="B3888" s="2812"/>
      <c r="C3888" s="3077"/>
      <c r="D3888" s="3980"/>
      <c r="E3888" s="3883"/>
      <c r="F3888" s="3984" t="str">
        <f t="shared" si="437"/>
        <v>ASHP-SEER18_ROF_SF</v>
      </c>
      <c r="G3888" s="3984"/>
      <c r="H3888" s="3984"/>
      <c r="I3888" s="3984"/>
      <c r="J3888" s="3508" t="str">
        <f t="shared" si="438"/>
        <v>353950_2021_12_</v>
      </c>
      <c r="K3888" s="717">
        <v>18</v>
      </c>
      <c r="L3888" s="703"/>
      <c r="M3888" s="3022"/>
      <c r="N3888" s="106"/>
      <c r="O3888" s="106"/>
      <c r="P3888" s="702"/>
      <c r="Q3888" s="702"/>
      <c r="R3888" s="702"/>
      <c r="S3888" s="106"/>
      <c r="T3888" s="486"/>
      <c r="U3888" s="106"/>
      <c r="V3888" s="4129"/>
      <c r="W3888" s="717">
        <v>18</v>
      </c>
      <c r="X3888" s="717">
        <v>18</v>
      </c>
      <c r="Y3888" s="717">
        <v>18</v>
      </c>
      <c r="Z3888" s="717">
        <v>18</v>
      </c>
      <c r="AA3888" s="717">
        <v>18</v>
      </c>
      <c r="AB3888" s="717">
        <v>18</v>
      </c>
      <c r="AC3888" s="2930">
        <v>18</v>
      </c>
      <c r="AD3888" s="717">
        <v>18</v>
      </c>
      <c r="AE3888" s="2944"/>
      <c r="AF3888" s="717"/>
      <c r="AG3888" s="717"/>
      <c r="AH3888" s="156"/>
      <c r="AI3888" s="156"/>
      <c r="AJ3888" s="156"/>
      <c r="AK3888" s="156"/>
      <c r="AL3888" s="156"/>
      <c r="AM3888" s="156"/>
      <c r="AN3888" s="156"/>
      <c r="AO3888" s="156"/>
      <c r="AP3888" s="156"/>
      <c r="AQ3888" s="156"/>
      <c r="AR3888" s="156"/>
      <c r="AS3888" s="156"/>
      <c r="AT3888" s="156"/>
      <c r="AU3888" s="156"/>
      <c r="AV3888" s="156"/>
      <c r="AW3888" s="156"/>
      <c r="AX3888" s="156"/>
      <c r="AY3888" s="156"/>
      <c r="AZ3888" s="156"/>
      <c r="BA3888" s="156"/>
      <c r="BB3888" s="2828"/>
      <c r="BC3888" s="452"/>
      <c r="BD3888" s="2829"/>
      <c r="BE3888" s="2837"/>
      <c r="BF3888" s="156"/>
    </row>
    <row r="3889" spans="1:58" ht="15" customHeight="1" outlineLevel="1" x14ac:dyDescent="0.35">
      <c r="A3889" s="1664"/>
      <c r="B3889" s="2812"/>
      <c r="C3889" s="3077"/>
      <c r="D3889" s="3980"/>
      <c r="E3889" s="3883"/>
      <c r="F3889" s="3984" t="str">
        <f t="shared" si="437"/>
        <v>ASHP-SEER18_ROF_SF</v>
      </c>
      <c r="G3889" s="3984"/>
      <c r="H3889" s="3984"/>
      <c r="I3889" s="3984"/>
      <c r="J3889" s="3508" t="str">
        <f t="shared" si="438"/>
        <v>353950_2021_12_</v>
      </c>
      <c r="K3889" s="717">
        <v>18</v>
      </c>
      <c r="L3889" s="704"/>
      <c r="M3889" s="3022"/>
      <c r="N3889" s="106"/>
      <c r="O3889" s="106"/>
      <c r="P3889" s="702"/>
      <c r="Q3889" s="702"/>
      <c r="R3889" s="702"/>
      <c r="S3889" s="106"/>
      <c r="T3889" s="486"/>
      <c r="U3889" s="106"/>
      <c r="V3889" s="4129"/>
      <c r="W3889" s="717">
        <v>18</v>
      </c>
      <c r="X3889" s="717">
        <v>18</v>
      </c>
      <c r="Y3889" s="717">
        <v>18</v>
      </c>
      <c r="Z3889" s="717">
        <v>18</v>
      </c>
      <c r="AA3889" s="717">
        <v>18</v>
      </c>
      <c r="AB3889" s="717">
        <v>18</v>
      </c>
      <c r="AC3889" s="2930">
        <v>18</v>
      </c>
      <c r="AD3889" s="717">
        <v>18</v>
      </c>
      <c r="AE3889" s="2944"/>
      <c r="AF3889" s="717"/>
      <c r="AG3889" s="717"/>
      <c r="AH3889" s="156"/>
      <c r="AI3889" s="156"/>
      <c r="AJ3889" s="156"/>
      <c r="AK3889" s="156"/>
      <c r="AL3889" s="156"/>
      <c r="AM3889" s="156"/>
      <c r="AN3889" s="156"/>
      <c r="AO3889" s="156"/>
      <c r="AP3889" s="156"/>
      <c r="AQ3889" s="156"/>
      <c r="AR3889" s="156"/>
      <c r="AS3889" s="156"/>
      <c r="AT3889" s="156"/>
      <c r="AU3889" s="156"/>
      <c r="AV3889" s="156"/>
      <c r="AW3889" s="156"/>
      <c r="AX3889" s="156"/>
      <c r="AY3889" s="156"/>
      <c r="AZ3889" s="156"/>
      <c r="BA3889" s="156"/>
      <c r="BB3889" s="2828"/>
      <c r="BC3889" s="452"/>
      <c r="BD3889" s="2829"/>
      <c r="BE3889" s="2837"/>
      <c r="BF3889" s="156"/>
    </row>
    <row r="3890" spans="1:58" ht="15" customHeight="1" outlineLevel="1" x14ac:dyDescent="0.35">
      <c r="A3890" s="1664"/>
      <c r="B3890" s="2812"/>
      <c r="C3890" s="3077"/>
      <c r="D3890" s="3980"/>
      <c r="E3890" s="3883"/>
      <c r="F3890" s="3984" t="str">
        <f t="shared" si="437"/>
        <v>ASHP-SEER19_ER1_SF</v>
      </c>
      <c r="G3890" s="3984"/>
      <c r="H3890" s="3984"/>
      <c r="I3890" s="3984"/>
      <c r="J3890" s="3508" t="str">
        <f t="shared" si="438"/>
        <v>354000_2021_12_</v>
      </c>
      <c r="K3890" s="717">
        <v>6</v>
      </c>
      <c r="L3890" s="704"/>
      <c r="M3890" s="3022"/>
      <c r="N3890" s="106"/>
      <c r="O3890" s="106"/>
      <c r="P3890" s="702"/>
      <c r="Q3890" s="702"/>
      <c r="R3890" s="702"/>
      <c r="S3890" s="106"/>
      <c r="T3890" s="486"/>
      <c r="U3890" s="106"/>
      <c r="V3890" s="4129"/>
      <c r="W3890" s="717">
        <v>6</v>
      </c>
      <c r="X3890" s="717">
        <v>6</v>
      </c>
      <c r="Y3890" s="717">
        <v>6</v>
      </c>
      <c r="Z3890" s="717">
        <v>6</v>
      </c>
      <c r="AA3890" s="717">
        <v>6</v>
      </c>
      <c r="AB3890" s="717">
        <v>6</v>
      </c>
      <c r="AC3890" s="2930">
        <v>6</v>
      </c>
      <c r="AD3890" s="717">
        <v>6</v>
      </c>
      <c r="AE3890" s="2944"/>
      <c r="AF3890" s="717"/>
      <c r="AG3890" s="717"/>
      <c r="AH3890" s="156"/>
      <c r="AI3890" s="156"/>
      <c r="AJ3890" s="156"/>
      <c r="AK3890" s="156"/>
      <c r="AL3890" s="156"/>
      <c r="AM3890" s="156"/>
      <c r="AN3890" s="156"/>
      <c r="AO3890" s="156"/>
      <c r="AP3890" s="156"/>
      <c r="AQ3890" s="156"/>
      <c r="AR3890" s="156"/>
      <c r="AS3890" s="156"/>
      <c r="AT3890" s="156"/>
      <c r="AU3890" s="156"/>
      <c r="AV3890" s="156"/>
      <c r="AW3890" s="156"/>
      <c r="AX3890" s="156"/>
      <c r="AY3890" s="156"/>
      <c r="AZ3890" s="156"/>
      <c r="BA3890" s="156"/>
      <c r="BB3890" s="2828"/>
      <c r="BC3890" s="452"/>
      <c r="BD3890" s="2829"/>
      <c r="BE3890" s="2837"/>
      <c r="BF3890" s="156"/>
    </row>
    <row r="3891" spans="1:58" ht="15" customHeight="1" outlineLevel="1" x14ac:dyDescent="0.35">
      <c r="A3891" s="1664"/>
      <c r="B3891" s="2812"/>
      <c r="C3891" s="3077"/>
      <c r="D3891" s="3980"/>
      <c r="E3891" s="3883"/>
      <c r="F3891" s="3984" t="str">
        <f t="shared" si="437"/>
        <v>ASHP-SEER19_ER1_SF</v>
      </c>
      <c r="G3891" s="3984"/>
      <c r="H3891" s="3984"/>
      <c r="I3891" s="3984"/>
      <c r="J3891" s="3508" t="str">
        <f t="shared" si="438"/>
        <v>354000_2021_12_</v>
      </c>
      <c r="K3891" s="717">
        <v>6</v>
      </c>
      <c r="L3891" s="704"/>
      <c r="M3891" s="3022"/>
      <c r="N3891" s="106"/>
      <c r="O3891" s="106"/>
      <c r="P3891" s="702"/>
      <c r="Q3891" s="702"/>
      <c r="R3891" s="702"/>
      <c r="S3891" s="106"/>
      <c r="T3891" s="486"/>
      <c r="U3891" s="106"/>
      <c r="V3891" s="4129"/>
      <c r="W3891" s="717">
        <v>6</v>
      </c>
      <c r="X3891" s="717">
        <v>6</v>
      </c>
      <c r="Y3891" s="717">
        <v>6</v>
      </c>
      <c r="Z3891" s="717">
        <v>6</v>
      </c>
      <c r="AA3891" s="717">
        <v>6</v>
      </c>
      <c r="AB3891" s="717">
        <v>6</v>
      </c>
      <c r="AC3891" s="2930">
        <v>6</v>
      </c>
      <c r="AD3891" s="717">
        <v>6</v>
      </c>
      <c r="AE3891" s="2944"/>
      <c r="AF3891" s="717"/>
      <c r="AG3891" s="717"/>
      <c r="AH3891" s="156"/>
      <c r="AI3891" s="156"/>
      <c r="AJ3891" s="156"/>
      <c r="AK3891" s="156"/>
      <c r="AL3891" s="156"/>
      <c r="AM3891" s="156"/>
      <c r="AN3891" s="156"/>
      <c r="AO3891" s="156"/>
      <c r="AP3891" s="156"/>
      <c r="AQ3891" s="156"/>
      <c r="AR3891" s="156"/>
      <c r="AS3891" s="156"/>
      <c r="AT3891" s="156"/>
      <c r="AU3891" s="156"/>
      <c r="AV3891" s="156"/>
      <c r="AW3891" s="156"/>
      <c r="AX3891" s="156"/>
      <c r="AY3891" s="156"/>
      <c r="AZ3891" s="156"/>
      <c r="BA3891" s="156"/>
      <c r="BB3891" s="2828"/>
      <c r="BC3891" s="452"/>
      <c r="BD3891" s="2829"/>
      <c r="BE3891" s="2837"/>
      <c r="BF3891" s="156"/>
    </row>
    <row r="3892" spans="1:58" ht="15" customHeight="1" outlineLevel="1" x14ac:dyDescent="0.35">
      <c r="A3892" s="1664"/>
      <c r="B3892" s="2812"/>
      <c r="C3892" s="3077"/>
      <c r="D3892" s="3980"/>
      <c r="E3892" s="3883"/>
      <c r="F3892" s="3984" t="str">
        <f t="shared" si="437"/>
        <v>ASHP-SEER19_ER2_SF</v>
      </c>
      <c r="G3892" s="3984"/>
      <c r="H3892" s="3984"/>
      <c r="I3892" s="3984"/>
      <c r="J3892" s="3508" t="str">
        <f t="shared" si="438"/>
        <v>354000_2021_12_</v>
      </c>
      <c r="K3892" s="717">
        <v>12</v>
      </c>
      <c r="L3892" s="704"/>
      <c r="M3892" s="3020"/>
      <c r="N3892" s="106"/>
      <c r="O3892" s="106"/>
      <c r="P3892" s="702"/>
      <c r="Q3892" s="702"/>
      <c r="R3892" s="702"/>
      <c r="S3892" s="106"/>
      <c r="T3892" s="486"/>
      <c r="U3892" s="106"/>
      <c r="V3892" s="4129"/>
      <c r="W3892" s="717">
        <v>12</v>
      </c>
      <c r="X3892" s="717">
        <v>12</v>
      </c>
      <c r="Y3892" s="717">
        <v>12</v>
      </c>
      <c r="Z3892" s="717">
        <v>12</v>
      </c>
      <c r="AA3892" s="717">
        <v>12</v>
      </c>
      <c r="AB3892" s="717">
        <v>12</v>
      </c>
      <c r="AC3892" s="2930">
        <v>12</v>
      </c>
      <c r="AD3892" s="717">
        <v>12</v>
      </c>
      <c r="AE3892" s="2944"/>
      <c r="AF3892" s="717"/>
      <c r="AG3892" s="717"/>
      <c r="AH3892" s="156"/>
      <c r="AI3892" s="156"/>
      <c r="AJ3892" s="156"/>
      <c r="AK3892" s="156"/>
      <c r="AL3892" s="156"/>
      <c r="AM3892" s="156"/>
      <c r="AN3892" s="156"/>
      <c r="AO3892" s="156"/>
      <c r="AP3892" s="156"/>
      <c r="AQ3892" s="156"/>
      <c r="AR3892" s="156"/>
      <c r="AS3892" s="156"/>
      <c r="AT3892" s="156"/>
      <c r="AU3892" s="156"/>
      <c r="AV3892" s="156"/>
      <c r="AW3892" s="156"/>
      <c r="AX3892" s="156"/>
      <c r="AY3892" s="156"/>
      <c r="AZ3892" s="156"/>
      <c r="BA3892" s="156"/>
      <c r="BB3892" s="2828"/>
      <c r="BC3892" s="452"/>
      <c r="BD3892" s="2829"/>
      <c r="BE3892" s="2837"/>
      <c r="BF3892" s="156"/>
    </row>
    <row r="3893" spans="1:58" ht="15" customHeight="1" outlineLevel="1" x14ac:dyDescent="0.35">
      <c r="A3893" s="1664"/>
      <c r="B3893" s="2812"/>
      <c r="C3893" s="3077"/>
      <c r="D3893" s="3980"/>
      <c r="E3893" s="3883"/>
      <c r="F3893" s="3984" t="str">
        <f t="shared" si="437"/>
        <v>ASHP-SEER19_ER2_SF</v>
      </c>
      <c r="G3893" s="3984"/>
      <c r="H3893" s="3984"/>
      <c r="I3893" s="3984"/>
      <c r="J3893" s="3508" t="str">
        <f t="shared" si="438"/>
        <v>354000_2021_12_</v>
      </c>
      <c r="K3893" s="717">
        <v>12</v>
      </c>
      <c r="L3893" s="704"/>
      <c r="M3893" s="3020"/>
      <c r="N3893" s="106"/>
      <c r="O3893" s="106"/>
      <c r="P3893" s="702"/>
      <c r="Q3893" s="702"/>
      <c r="R3893" s="702"/>
      <c r="S3893" s="106"/>
      <c r="T3893" s="486"/>
      <c r="U3893" s="106"/>
      <c r="V3893" s="4129"/>
      <c r="W3893" s="717">
        <v>12</v>
      </c>
      <c r="X3893" s="717">
        <v>12</v>
      </c>
      <c r="Y3893" s="717">
        <v>12</v>
      </c>
      <c r="Z3893" s="717">
        <v>12</v>
      </c>
      <c r="AA3893" s="717">
        <v>12</v>
      </c>
      <c r="AB3893" s="717">
        <v>12</v>
      </c>
      <c r="AC3893" s="2930">
        <v>12</v>
      </c>
      <c r="AD3893" s="717">
        <v>12</v>
      </c>
      <c r="AE3893" s="2944"/>
      <c r="AF3893" s="717"/>
      <c r="AG3893" s="717"/>
      <c r="AH3893" s="156"/>
      <c r="AI3893" s="156"/>
      <c r="AJ3893" s="156"/>
      <c r="AK3893" s="156"/>
      <c r="AL3893" s="156"/>
      <c r="AM3893" s="156"/>
      <c r="AN3893" s="156"/>
      <c r="AO3893" s="156"/>
      <c r="AP3893" s="156"/>
      <c r="AQ3893" s="156"/>
      <c r="AR3893" s="156"/>
      <c r="AS3893" s="156"/>
      <c r="AT3893" s="156"/>
      <c r="AU3893" s="156"/>
      <c r="AV3893" s="156"/>
      <c r="AW3893" s="156"/>
      <c r="AX3893" s="156"/>
      <c r="AY3893" s="156"/>
      <c r="AZ3893" s="156"/>
      <c r="BA3893" s="156"/>
      <c r="BB3893" s="2828"/>
      <c r="BC3893" s="452"/>
      <c r="BD3893" s="2829"/>
      <c r="BE3893" s="2837"/>
      <c r="BF3893" s="156"/>
    </row>
    <row r="3894" spans="1:58" ht="15" customHeight="1" outlineLevel="1" x14ac:dyDescent="0.35">
      <c r="A3894" s="1664"/>
      <c r="B3894" s="2812"/>
      <c r="C3894" s="3077"/>
      <c r="D3894" s="3980"/>
      <c r="E3894" s="3883"/>
      <c r="F3894" s="3984" t="str">
        <f t="shared" si="437"/>
        <v>ASHP-SEER19_ROF_SF</v>
      </c>
      <c r="G3894" s="3984"/>
      <c r="H3894" s="3984"/>
      <c r="I3894" s="3984"/>
      <c r="J3894" s="3508" t="str">
        <f t="shared" si="438"/>
        <v>354050_2021_12_</v>
      </c>
      <c r="K3894" s="717">
        <v>18</v>
      </c>
      <c r="L3894" s="704"/>
      <c r="M3894" s="3020"/>
      <c r="N3894" s="106"/>
      <c r="O3894" s="106"/>
      <c r="P3894" s="702"/>
      <c r="Q3894" s="702"/>
      <c r="R3894" s="702"/>
      <c r="S3894" s="106"/>
      <c r="T3894" s="486"/>
      <c r="U3894" s="106"/>
      <c r="V3894" s="4129"/>
      <c r="W3894" s="717">
        <v>18</v>
      </c>
      <c r="X3894" s="717">
        <v>18</v>
      </c>
      <c r="Y3894" s="717">
        <v>18</v>
      </c>
      <c r="Z3894" s="717">
        <v>18</v>
      </c>
      <c r="AA3894" s="717">
        <v>18</v>
      </c>
      <c r="AB3894" s="717">
        <v>18</v>
      </c>
      <c r="AC3894" s="2930">
        <v>18</v>
      </c>
      <c r="AD3894" s="717">
        <v>18</v>
      </c>
      <c r="AE3894" s="2944"/>
      <c r="AF3894" s="717"/>
      <c r="AG3894" s="717"/>
      <c r="AH3894" s="156"/>
      <c r="AI3894" s="156"/>
      <c r="AJ3894" s="156"/>
      <c r="AK3894" s="156"/>
      <c r="AL3894" s="156"/>
      <c r="AM3894" s="156"/>
      <c r="AN3894" s="156"/>
      <c r="AO3894" s="156"/>
      <c r="AP3894" s="156"/>
      <c r="AQ3894" s="156"/>
      <c r="AR3894" s="156"/>
      <c r="AS3894" s="156"/>
      <c r="AT3894" s="156"/>
      <c r="AU3894" s="156"/>
      <c r="AV3894" s="156"/>
      <c r="AW3894" s="156"/>
      <c r="AX3894" s="156"/>
      <c r="AY3894" s="156"/>
      <c r="AZ3894" s="156"/>
      <c r="BA3894" s="156"/>
      <c r="BB3894" s="2828"/>
      <c r="BC3894" s="452"/>
      <c r="BD3894" s="2829"/>
      <c r="BE3894" s="2837"/>
      <c r="BF3894" s="156"/>
    </row>
    <row r="3895" spans="1:58" ht="15" customHeight="1" outlineLevel="1" x14ac:dyDescent="0.35">
      <c r="A3895" s="1664"/>
      <c r="B3895" s="2812"/>
      <c r="C3895" s="3077"/>
      <c r="D3895" s="3980"/>
      <c r="E3895" s="3883"/>
      <c r="F3895" s="3984" t="str">
        <f t="shared" si="437"/>
        <v>ASHP-SEER19_ROF_SF</v>
      </c>
      <c r="G3895" s="3984"/>
      <c r="H3895" s="3984"/>
      <c r="I3895" s="3984"/>
      <c r="J3895" s="3508" t="str">
        <f t="shared" si="438"/>
        <v>354050_2021_12_</v>
      </c>
      <c r="K3895" s="717">
        <v>18</v>
      </c>
      <c r="L3895" s="704"/>
      <c r="M3895" s="3020"/>
      <c r="N3895" s="106"/>
      <c r="O3895" s="106"/>
      <c r="P3895" s="702"/>
      <c r="Q3895" s="702"/>
      <c r="R3895" s="702"/>
      <c r="S3895" s="106"/>
      <c r="T3895" s="486"/>
      <c r="U3895" s="106"/>
      <c r="V3895" s="4129"/>
      <c r="W3895" s="717">
        <v>18</v>
      </c>
      <c r="X3895" s="717">
        <v>18</v>
      </c>
      <c r="Y3895" s="717">
        <v>18</v>
      </c>
      <c r="Z3895" s="717">
        <v>18</v>
      </c>
      <c r="AA3895" s="717">
        <v>18</v>
      </c>
      <c r="AB3895" s="717">
        <v>18</v>
      </c>
      <c r="AC3895" s="2930">
        <v>18</v>
      </c>
      <c r="AD3895" s="717">
        <v>18</v>
      </c>
      <c r="AE3895" s="2944"/>
      <c r="AF3895" s="717"/>
      <c r="AG3895" s="717"/>
      <c r="AH3895" s="156"/>
      <c r="AI3895" s="156"/>
      <c r="AJ3895" s="156"/>
      <c r="AK3895" s="156"/>
      <c r="AL3895" s="156"/>
      <c r="AM3895" s="156"/>
      <c r="AN3895" s="156"/>
      <c r="AO3895" s="156"/>
      <c r="AP3895" s="156"/>
      <c r="AQ3895" s="156"/>
      <c r="AR3895" s="156"/>
      <c r="AS3895" s="156"/>
      <c r="AT3895" s="156"/>
      <c r="AU3895" s="156"/>
      <c r="AV3895" s="156"/>
      <c r="AW3895" s="156"/>
      <c r="AX3895" s="156"/>
      <c r="AY3895" s="156"/>
      <c r="AZ3895" s="156"/>
      <c r="BA3895" s="156"/>
      <c r="BB3895" s="2828"/>
      <c r="BC3895" s="452"/>
      <c r="BD3895" s="2829"/>
      <c r="BE3895" s="2837"/>
      <c r="BF3895" s="156"/>
    </row>
    <row r="3896" spans="1:58" ht="15" customHeight="1" outlineLevel="1" x14ac:dyDescent="0.35">
      <c r="A3896" s="1664"/>
      <c r="B3896" s="2812"/>
      <c r="C3896" s="3077"/>
      <c r="D3896" s="3980"/>
      <c r="E3896" s="3883"/>
      <c r="F3896" s="3984" t="str">
        <f t="shared" si="437"/>
        <v>ASHP-SEER17-Replace_CAC_ElectricHeat_ER1_SF</v>
      </c>
      <c r="G3896" s="3984"/>
      <c r="H3896" s="3984"/>
      <c r="I3896" s="3984"/>
      <c r="J3896" s="3508" t="str">
        <f t="shared" si="438"/>
        <v>354100_2021_12_</v>
      </c>
      <c r="K3896" s="717">
        <v>6</v>
      </c>
      <c r="L3896" s="704"/>
      <c r="M3896" s="3020"/>
      <c r="N3896" s="106"/>
      <c r="O3896" s="106"/>
      <c r="P3896" s="702"/>
      <c r="Q3896" s="702"/>
      <c r="R3896" s="702"/>
      <c r="S3896" s="106"/>
      <c r="T3896" s="486"/>
      <c r="U3896" s="106"/>
      <c r="V3896" s="4129"/>
      <c r="W3896" s="717">
        <v>6</v>
      </c>
      <c r="X3896" s="717">
        <v>6</v>
      </c>
      <c r="Y3896" s="717">
        <v>6</v>
      </c>
      <c r="Z3896" s="717">
        <v>6</v>
      </c>
      <c r="AA3896" s="717">
        <v>6</v>
      </c>
      <c r="AB3896" s="717">
        <v>6</v>
      </c>
      <c r="AC3896" s="2930">
        <v>6</v>
      </c>
      <c r="AD3896" s="717">
        <v>6</v>
      </c>
      <c r="AE3896" s="2944"/>
      <c r="AF3896" s="717"/>
      <c r="AG3896" s="717"/>
      <c r="AH3896" s="156"/>
      <c r="AI3896" s="156"/>
      <c r="AJ3896" s="156"/>
      <c r="AK3896" s="156"/>
      <c r="AL3896" s="156"/>
      <c r="AM3896" s="156"/>
      <c r="AN3896" s="156"/>
      <c r="AO3896" s="156"/>
      <c r="AP3896" s="156"/>
      <c r="AQ3896" s="156"/>
      <c r="AR3896" s="156"/>
      <c r="AS3896" s="156"/>
      <c r="AT3896" s="156"/>
      <c r="AU3896" s="156"/>
      <c r="AV3896" s="156"/>
      <c r="AW3896" s="156"/>
      <c r="AX3896" s="156"/>
      <c r="AY3896" s="156"/>
      <c r="AZ3896" s="156"/>
      <c r="BA3896" s="156"/>
      <c r="BB3896" s="2828"/>
      <c r="BC3896" s="452"/>
      <c r="BD3896" s="2829"/>
      <c r="BE3896" s="2837"/>
      <c r="BF3896" s="156"/>
    </row>
    <row r="3897" spans="1:58" ht="15" customHeight="1" outlineLevel="1" x14ac:dyDescent="0.35">
      <c r="A3897" s="1664"/>
      <c r="B3897" s="2812"/>
      <c r="C3897" s="3077"/>
      <c r="D3897" s="3980"/>
      <c r="E3897" s="3883"/>
      <c r="F3897" s="3984" t="str">
        <f t="shared" si="437"/>
        <v>ASHP-SEER17-Replace_CAC_ElectricHeat_ER1_SF</v>
      </c>
      <c r="G3897" s="3984"/>
      <c r="H3897" s="3984"/>
      <c r="I3897" s="3984"/>
      <c r="J3897" s="3508" t="str">
        <f t="shared" si="438"/>
        <v>354100_2021_12_</v>
      </c>
      <c r="K3897" s="717">
        <v>6</v>
      </c>
      <c r="L3897" s="704"/>
      <c r="M3897" s="3020"/>
      <c r="N3897" s="106"/>
      <c r="O3897" s="106"/>
      <c r="P3897" s="702"/>
      <c r="Q3897" s="702"/>
      <c r="R3897" s="702"/>
      <c r="S3897" s="106"/>
      <c r="T3897" s="486"/>
      <c r="U3897" s="106"/>
      <c r="V3897" s="4129"/>
      <c r="W3897" s="717">
        <v>6</v>
      </c>
      <c r="X3897" s="717">
        <v>6</v>
      </c>
      <c r="Y3897" s="717">
        <v>6</v>
      </c>
      <c r="Z3897" s="717">
        <v>6</v>
      </c>
      <c r="AA3897" s="717">
        <v>6</v>
      </c>
      <c r="AB3897" s="717">
        <v>6</v>
      </c>
      <c r="AC3897" s="2930">
        <v>6</v>
      </c>
      <c r="AD3897" s="717">
        <v>6</v>
      </c>
      <c r="AE3897" s="2944"/>
      <c r="AF3897" s="717"/>
      <c r="AG3897" s="717"/>
      <c r="AH3897" s="156"/>
      <c r="AI3897" s="156"/>
      <c r="AJ3897" s="156"/>
      <c r="AK3897" s="156"/>
      <c r="AL3897" s="156"/>
      <c r="AM3897" s="156"/>
      <c r="AN3897" s="156"/>
      <c r="AO3897" s="156"/>
      <c r="AP3897" s="156"/>
      <c r="AQ3897" s="156"/>
      <c r="AR3897" s="156"/>
      <c r="AS3897" s="156"/>
      <c r="AT3897" s="156"/>
      <c r="AU3897" s="156"/>
      <c r="AV3897" s="156"/>
      <c r="AW3897" s="156"/>
      <c r="AX3897" s="156"/>
      <c r="AY3897" s="156"/>
      <c r="AZ3897" s="156"/>
      <c r="BA3897" s="156"/>
      <c r="BB3897" s="2828"/>
      <c r="BC3897" s="452"/>
      <c r="BD3897" s="2829"/>
      <c r="BE3897" s="2837"/>
      <c r="BF3897" s="156"/>
    </row>
    <row r="3898" spans="1:58" ht="15" customHeight="1" outlineLevel="1" x14ac:dyDescent="0.35">
      <c r="A3898" s="1664"/>
      <c r="B3898" s="2812"/>
      <c r="C3898" s="3077"/>
      <c r="D3898" s="3980"/>
      <c r="E3898" s="3883"/>
      <c r="F3898" s="3984" t="str">
        <f t="shared" si="437"/>
        <v>ASHP-SEER17-Replace_CAC_ElectricHeat_ER2_SF</v>
      </c>
      <c r="G3898" s="3984"/>
      <c r="H3898" s="3984"/>
      <c r="I3898" s="3984"/>
      <c r="J3898" s="3508" t="str">
        <f t="shared" si="438"/>
        <v>354100_2021_12_</v>
      </c>
      <c r="K3898" s="717">
        <v>12</v>
      </c>
      <c r="L3898" s="704"/>
      <c r="M3898" s="3020"/>
      <c r="N3898" s="106"/>
      <c r="O3898" s="106"/>
      <c r="P3898" s="702"/>
      <c r="Q3898" s="702"/>
      <c r="R3898" s="702"/>
      <c r="S3898" s="106"/>
      <c r="T3898" s="486"/>
      <c r="U3898" s="106"/>
      <c r="V3898" s="4129"/>
      <c r="W3898" s="717">
        <v>12</v>
      </c>
      <c r="X3898" s="717">
        <v>12</v>
      </c>
      <c r="Y3898" s="717">
        <v>12</v>
      </c>
      <c r="Z3898" s="717">
        <v>12</v>
      </c>
      <c r="AA3898" s="717">
        <v>12</v>
      </c>
      <c r="AB3898" s="717">
        <v>12</v>
      </c>
      <c r="AC3898" s="2930">
        <v>12</v>
      </c>
      <c r="AD3898" s="717">
        <v>12</v>
      </c>
      <c r="AE3898" s="2944"/>
      <c r="AF3898" s="717"/>
      <c r="AG3898" s="717"/>
      <c r="AH3898" s="156"/>
      <c r="AI3898" s="156"/>
      <c r="AJ3898" s="156"/>
      <c r="AK3898" s="156"/>
      <c r="AL3898" s="156"/>
      <c r="AM3898" s="156"/>
      <c r="AN3898" s="156"/>
      <c r="AO3898" s="156"/>
      <c r="AP3898" s="156"/>
      <c r="AQ3898" s="156"/>
      <c r="AR3898" s="156"/>
      <c r="AS3898" s="156"/>
      <c r="AT3898" s="156"/>
      <c r="AU3898" s="156"/>
      <c r="AV3898" s="156"/>
      <c r="AW3898" s="156"/>
      <c r="AX3898" s="156"/>
      <c r="AY3898" s="156"/>
      <c r="AZ3898" s="156"/>
      <c r="BA3898" s="156"/>
      <c r="BB3898" s="2828"/>
      <c r="BC3898" s="452"/>
      <c r="BD3898" s="2829"/>
      <c r="BE3898" s="2837"/>
      <c r="BF3898" s="156"/>
    </row>
    <row r="3899" spans="1:58" ht="15" customHeight="1" outlineLevel="1" x14ac:dyDescent="0.35">
      <c r="A3899" s="1664"/>
      <c r="B3899" s="2812"/>
      <c r="C3899" s="3077"/>
      <c r="D3899" s="3980"/>
      <c r="E3899" s="3883"/>
      <c r="F3899" s="3984" t="str">
        <f t="shared" si="437"/>
        <v>ASHP-SEER17-Replace_CAC_ElectricHeat_ER2_SF</v>
      </c>
      <c r="G3899" s="3984"/>
      <c r="H3899" s="3984"/>
      <c r="I3899" s="3984"/>
      <c r="J3899" s="3508" t="str">
        <f t="shared" si="438"/>
        <v>354100_2021_12_</v>
      </c>
      <c r="K3899" s="717">
        <v>12</v>
      </c>
      <c r="L3899" s="704"/>
      <c r="M3899" s="3020"/>
      <c r="N3899" s="106"/>
      <c r="O3899" s="106"/>
      <c r="P3899" s="702"/>
      <c r="Q3899" s="702"/>
      <c r="R3899" s="702"/>
      <c r="S3899" s="106"/>
      <c r="T3899" s="486"/>
      <c r="U3899" s="106"/>
      <c r="V3899" s="4129"/>
      <c r="W3899" s="717">
        <v>12</v>
      </c>
      <c r="X3899" s="717">
        <v>12</v>
      </c>
      <c r="Y3899" s="717">
        <v>12</v>
      </c>
      <c r="Z3899" s="717">
        <v>12</v>
      </c>
      <c r="AA3899" s="717">
        <v>12</v>
      </c>
      <c r="AB3899" s="717">
        <v>12</v>
      </c>
      <c r="AC3899" s="2930">
        <v>12</v>
      </c>
      <c r="AD3899" s="717">
        <v>12</v>
      </c>
      <c r="AE3899" s="2944"/>
      <c r="AF3899" s="717"/>
      <c r="AG3899" s="717"/>
      <c r="AH3899" s="156"/>
      <c r="AI3899" s="156"/>
      <c r="AJ3899" s="156"/>
      <c r="AK3899" s="156"/>
      <c r="AL3899" s="156"/>
      <c r="AM3899" s="156"/>
      <c r="AN3899" s="156"/>
      <c r="AO3899" s="156"/>
      <c r="AP3899" s="156"/>
      <c r="AQ3899" s="156"/>
      <c r="AR3899" s="156"/>
      <c r="AS3899" s="156"/>
      <c r="AT3899" s="156"/>
      <c r="AU3899" s="156"/>
      <c r="AV3899" s="156"/>
      <c r="AW3899" s="156"/>
      <c r="AX3899" s="156"/>
      <c r="AY3899" s="156"/>
      <c r="AZ3899" s="156"/>
      <c r="BA3899" s="156"/>
      <c r="BB3899" s="2828"/>
      <c r="BC3899" s="452"/>
      <c r="BD3899" s="2829"/>
      <c r="BE3899" s="2837"/>
      <c r="BF3899" s="156"/>
    </row>
    <row r="3900" spans="1:58" ht="15" customHeight="1" outlineLevel="1" x14ac:dyDescent="0.35">
      <c r="A3900" s="1664"/>
      <c r="B3900" s="2812"/>
      <c r="C3900" s="3077"/>
      <c r="D3900" s="3980"/>
      <c r="E3900" s="3883"/>
      <c r="F3900" s="3984" t="str">
        <f t="shared" si="437"/>
        <v>ASHP-SEER17-Replace_CAC_NonElectricHeat_ER1_SF</v>
      </c>
      <c r="G3900" s="3984"/>
      <c r="H3900" s="3984"/>
      <c r="I3900" s="3984"/>
      <c r="J3900" s="3508" t="str">
        <f t="shared" si="438"/>
        <v>354110_2021_12_</v>
      </c>
      <c r="K3900" s="717">
        <v>6</v>
      </c>
      <c r="L3900" s="704"/>
      <c r="M3900" s="3020"/>
      <c r="N3900" s="106"/>
      <c r="O3900" s="106"/>
      <c r="P3900" s="702"/>
      <c r="Q3900" s="702"/>
      <c r="R3900" s="702"/>
      <c r="S3900" s="106"/>
      <c r="T3900" s="486"/>
      <c r="U3900" s="106"/>
      <c r="V3900" s="4129"/>
      <c r="W3900" s="717"/>
      <c r="X3900" s="717"/>
      <c r="Y3900" s="717"/>
      <c r="Z3900" s="717"/>
      <c r="AA3900" s="717"/>
      <c r="AB3900" s="717"/>
      <c r="AC3900" s="2932">
        <v>6</v>
      </c>
      <c r="AD3900" s="717">
        <v>6</v>
      </c>
      <c r="AE3900" s="2944"/>
      <c r="AF3900" s="717"/>
      <c r="AG3900" s="717"/>
      <c r="AH3900" s="156"/>
      <c r="AI3900" s="156"/>
      <c r="AJ3900" s="156"/>
      <c r="AK3900" s="156"/>
      <c r="AL3900" s="156"/>
      <c r="AM3900" s="156"/>
      <c r="AN3900" s="156"/>
      <c r="AO3900" s="156"/>
      <c r="AP3900" s="156"/>
      <c r="AQ3900" s="156"/>
      <c r="AR3900" s="156"/>
      <c r="AS3900" s="156"/>
      <c r="AT3900" s="156"/>
      <c r="AU3900" s="156"/>
      <c r="AV3900" s="156"/>
      <c r="AW3900" s="156"/>
      <c r="AX3900" s="156"/>
      <c r="AY3900" s="156"/>
      <c r="AZ3900" s="156"/>
      <c r="BA3900" s="156"/>
      <c r="BB3900" s="2828"/>
      <c r="BC3900" s="452"/>
      <c r="BD3900" s="2829"/>
      <c r="BE3900" s="2837"/>
      <c r="BF3900" s="156"/>
    </row>
    <row r="3901" spans="1:58" ht="15" customHeight="1" outlineLevel="1" x14ac:dyDescent="0.35">
      <c r="A3901" s="1664"/>
      <c r="B3901" s="2812"/>
      <c r="C3901" s="3077"/>
      <c r="D3901" s="3980"/>
      <c r="E3901" s="3883"/>
      <c r="F3901" s="3984" t="str">
        <f t="shared" si="437"/>
        <v>ASHP-SEER17-Replace_CAC_NonElectricHeat_ER1_SF</v>
      </c>
      <c r="G3901" s="3984"/>
      <c r="H3901" s="3984"/>
      <c r="I3901" s="3984"/>
      <c r="J3901" s="3508" t="str">
        <f t="shared" si="438"/>
        <v>354110_2021_12_</v>
      </c>
      <c r="K3901" s="717">
        <v>6</v>
      </c>
      <c r="L3901" s="704"/>
      <c r="M3901" s="3020"/>
      <c r="N3901" s="106"/>
      <c r="O3901" s="106"/>
      <c r="P3901" s="702"/>
      <c r="Q3901" s="702"/>
      <c r="R3901" s="702"/>
      <c r="S3901" s="106"/>
      <c r="T3901" s="486"/>
      <c r="U3901" s="106"/>
      <c r="V3901" s="4129"/>
      <c r="W3901" s="717"/>
      <c r="X3901" s="717"/>
      <c r="Y3901" s="717"/>
      <c r="Z3901" s="717"/>
      <c r="AA3901" s="717"/>
      <c r="AB3901" s="717"/>
      <c r="AC3901" s="2932">
        <v>6</v>
      </c>
      <c r="AD3901" s="717">
        <v>6</v>
      </c>
      <c r="AE3901" s="2944"/>
      <c r="AF3901" s="717"/>
      <c r="AG3901" s="717"/>
      <c r="AH3901" s="156"/>
      <c r="AI3901" s="156"/>
      <c r="AJ3901" s="156"/>
      <c r="AK3901" s="156"/>
      <c r="AL3901" s="156"/>
      <c r="AM3901" s="156"/>
      <c r="AN3901" s="156"/>
      <c r="AO3901" s="156"/>
      <c r="AP3901" s="156"/>
      <c r="AQ3901" s="156"/>
      <c r="AR3901" s="156"/>
      <c r="AS3901" s="156"/>
      <c r="AT3901" s="156"/>
      <c r="AU3901" s="156"/>
      <c r="AV3901" s="156"/>
      <c r="AW3901" s="156"/>
      <c r="AX3901" s="156"/>
      <c r="AY3901" s="156"/>
      <c r="AZ3901" s="156"/>
      <c r="BA3901" s="156"/>
      <c r="BB3901" s="2828"/>
      <c r="BC3901" s="452"/>
      <c r="BD3901" s="2829"/>
      <c r="BE3901" s="2837"/>
      <c r="BF3901" s="156"/>
    </row>
    <row r="3902" spans="1:58" ht="15" customHeight="1" outlineLevel="1" x14ac:dyDescent="0.35">
      <c r="A3902" s="1664"/>
      <c r="B3902" s="2812"/>
      <c r="C3902" s="3077"/>
      <c r="D3902" s="3980"/>
      <c r="E3902" s="3883"/>
      <c r="F3902" s="3984" t="str">
        <f t="shared" ref="F3902:F3933" si="439">E1758</f>
        <v>ASHP-SEER17-Replace_CAC_NonElectricHeat_ER2_SF</v>
      </c>
      <c r="G3902" s="3984"/>
      <c r="H3902" s="3984"/>
      <c r="I3902" s="3984"/>
      <c r="J3902" s="3508" t="str">
        <f t="shared" ref="J3902:J3933" si="440">C1758</f>
        <v>354110_2021_12_</v>
      </c>
      <c r="K3902" s="717">
        <v>12</v>
      </c>
      <c r="L3902" s="704"/>
      <c r="M3902" s="3020"/>
      <c r="N3902" s="106"/>
      <c r="O3902" s="106"/>
      <c r="P3902" s="702"/>
      <c r="Q3902" s="702"/>
      <c r="R3902" s="702"/>
      <c r="S3902" s="106"/>
      <c r="T3902" s="486"/>
      <c r="U3902" s="106"/>
      <c r="V3902" s="4129"/>
      <c r="W3902" s="717"/>
      <c r="X3902" s="717"/>
      <c r="Y3902" s="717"/>
      <c r="Z3902" s="717"/>
      <c r="AA3902" s="717"/>
      <c r="AB3902" s="717"/>
      <c r="AC3902" s="2932">
        <v>12</v>
      </c>
      <c r="AD3902" s="717">
        <v>12</v>
      </c>
      <c r="AE3902" s="2944"/>
      <c r="AF3902" s="717"/>
      <c r="AG3902" s="717"/>
      <c r="AH3902" s="156"/>
      <c r="AI3902" s="156"/>
      <c r="AJ3902" s="156"/>
      <c r="AK3902" s="156"/>
      <c r="AL3902" s="156"/>
      <c r="AM3902" s="156"/>
      <c r="AN3902" s="156"/>
      <c r="AO3902" s="156"/>
      <c r="AP3902" s="156"/>
      <c r="AQ3902" s="156"/>
      <c r="AR3902" s="156"/>
      <c r="AS3902" s="156"/>
      <c r="AT3902" s="156"/>
      <c r="AU3902" s="156"/>
      <c r="AV3902" s="156"/>
      <c r="AW3902" s="156"/>
      <c r="AX3902" s="156"/>
      <c r="AY3902" s="156"/>
      <c r="AZ3902" s="156"/>
      <c r="BA3902" s="156"/>
      <c r="BB3902" s="2828"/>
      <c r="BC3902" s="452"/>
      <c r="BD3902" s="2829"/>
      <c r="BE3902" s="2837"/>
      <c r="BF3902" s="156"/>
    </row>
    <row r="3903" spans="1:58" ht="15" customHeight="1" outlineLevel="1" x14ac:dyDescent="0.35">
      <c r="A3903" s="1664"/>
      <c r="B3903" s="2812"/>
      <c r="C3903" s="3077"/>
      <c r="D3903" s="3980"/>
      <c r="E3903" s="3883"/>
      <c r="F3903" s="3984" t="str">
        <f t="shared" si="439"/>
        <v>ASHP-SEER17-Replace_CAC_NonElectricHeat_ER2_SF</v>
      </c>
      <c r="G3903" s="3984"/>
      <c r="H3903" s="3984"/>
      <c r="I3903" s="3984"/>
      <c r="J3903" s="3508" t="str">
        <f t="shared" si="440"/>
        <v>354110_2021_12_</v>
      </c>
      <c r="K3903" s="717">
        <v>12</v>
      </c>
      <c r="L3903" s="704"/>
      <c r="M3903" s="3020"/>
      <c r="N3903" s="106"/>
      <c r="O3903" s="106"/>
      <c r="P3903" s="702"/>
      <c r="Q3903" s="702"/>
      <c r="R3903" s="702"/>
      <c r="S3903" s="106"/>
      <c r="T3903" s="486"/>
      <c r="U3903" s="106"/>
      <c r="V3903" s="4129"/>
      <c r="W3903" s="717"/>
      <c r="X3903" s="717"/>
      <c r="Y3903" s="717"/>
      <c r="Z3903" s="717"/>
      <c r="AA3903" s="717"/>
      <c r="AB3903" s="717"/>
      <c r="AC3903" s="2932">
        <v>12</v>
      </c>
      <c r="AD3903" s="717">
        <v>12</v>
      </c>
      <c r="AE3903" s="2944"/>
      <c r="AF3903" s="717"/>
      <c r="AG3903" s="717"/>
      <c r="AH3903" s="156"/>
      <c r="AI3903" s="156"/>
      <c r="AJ3903" s="156"/>
      <c r="AK3903" s="156"/>
      <c r="AL3903" s="156"/>
      <c r="AM3903" s="156"/>
      <c r="AN3903" s="156"/>
      <c r="AO3903" s="156"/>
      <c r="AP3903" s="156"/>
      <c r="AQ3903" s="156"/>
      <c r="AR3903" s="156"/>
      <c r="AS3903" s="156"/>
      <c r="AT3903" s="156"/>
      <c r="AU3903" s="156"/>
      <c r="AV3903" s="156"/>
      <c r="AW3903" s="156"/>
      <c r="AX3903" s="156"/>
      <c r="AY3903" s="156"/>
      <c r="AZ3903" s="156"/>
      <c r="BA3903" s="156"/>
      <c r="BB3903" s="2828"/>
      <c r="BC3903" s="452"/>
      <c r="BD3903" s="2829"/>
      <c r="BE3903" s="2837"/>
      <c r="BF3903" s="156"/>
    </row>
    <row r="3904" spans="1:58" ht="15" customHeight="1" outlineLevel="1" x14ac:dyDescent="0.35">
      <c r="A3904" s="1664"/>
      <c r="B3904" s="2812"/>
      <c r="C3904" s="3077"/>
      <c r="D3904" s="3980"/>
      <c r="E3904" s="3883"/>
      <c r="F3904" s="3984" t="str">
        <f t="shared" si="439"/>
        <v>ASHP-SEER17-Replace_CAC_ElectricHeat_ER1_MF</v>
      </c>
      <c r="G3904" s="3984"/>
      <c r="H3904" s="3984"/>
      <c r="I3904" s="3984"/>
      <c r="J3904" s="3508" t="str">
        <f t="shared" si="440"/>
        <v>354150_2019_12_</v>
      </c>
      <c r="K3904" s="717">
        <v>6</v>
      </c>
      <c r="L3904" s="704"/>
      <c r="M3904" s="3020"/>
      <c r="N3904" s="106"/>
      <c r="O3904" s="106"/>
      <c r="P3904" s="702"/>
      <c r="Q3904" s="702"/>
      <c r="R3904" s="702"/>
      <c r="S3904" s="106"/>
      <c r="T3904" s="486"/>
      <c r="U3904" s="106"/>
      <c r="V3904" s="4129"/>
      <c r="W3904" s="717">
        <v>6</v>
      </c>
      <c r="X3904" s="717">
        <v>6</v>
      </c>
      <c r="Y3904" s="717">
        <v>6</v>
      </c>
      <c r="Z3904" s="717">
        <v>6</v>
      </c>
      <c r="AA3904" s="717">
        <v>6</v>
      </c>
      <c r="AB3904" s="717">
        <v>6</v>
      </c>
      <c r="AC3904" s="2930">
        <v>6</v>
      </c>
      <c r="AD3904" s="717">
        <v>6</v>
      </c>
      <c r="AE3904" s="2944"/>
      <c r="AF3904" s="717"/>
      <c r="AG3904" s="717"/>
      <c r="AH3904" s="156"/>
      <c r="AI3904" s="156"/>
      <c r="AJ3904" s="156"/>
      <c r="AK3904" s="156"/>
      <c r="AL3904" s="156"/>
      <c r="AM3904" s="156"/>
      <c r="AN3904" s="156"/>
      <c r="AO3904" s="156"/>
      <c r="AP3904" s="156"/>
      <c r="AQ3904" s="156"/>
      <c r="AR3904" s="156"/>
      <c r="AS3904" s="156"/>
      <c r="AT3904" s="156"/>
      <c r="AU3904" s="156"/>
      <c r="AV3904" s="156"/>
      <c r="AW3904" s="156"/>
      <c r="AX3904" s="156"/>
      <c r="AY3904" s="156"/>
      <c r="AZ3904" s="156"/>
      <c r="BA3904" s="156"/>
      <c r="BB3904" s="2828"/>
      <c r="BC3904" s="452"/>
      <c r="BD3904" s="2829"/>
      <c r="BE3904" s="2837"/>
      <c r="BF3904" s="156"/>
    </row>
    <row r="3905" spans="1:58" ht="15" customHeight="1" outlineLevel="1" x14ac:dyDescent="0.35">
      <c r="A3905" s="1664"/>
      <c r="B3905" s="2812"/>
      <c r="C3905" s="3077"/>
      <c r="D3905" s="3980"/>
      <c r="E3905" s="3883"/>
      <c r="F3905" s="3984" t="str">
        <f t="shared" si="439"/>
        <v>ASHP-SEER17-Replace_CAC_ElectricHeat_ER1_MF</v>
      </c>
      <c r="G3905" s="3984"/>
      <c r="H3905" s="3984"/>
      <c r="I3905" s="3984"/>
      <c r="J3905" s="3508" t="str">
        <f t="shared" si="440"/>
        <v>354150_2019_12_</v>
      </c>
      <c r="K3905" s="717">
        <v>6</v>
      </c>
      <c r="L3905" s="704"/>
      <c r="M3905" s="3020"/>
      <c r="N3905" s="106"/>
      <c r="O3905" s="106"/>
      <c r="P3905" s="702"/>
      <c r="Q3905" s="702"/>
      <c r="R3905" s="702"/>
      <c r="S3905" s="106"/>
      <c r="T3905" s="486"/>
      <c r="U3905" s="106"/>
      <c r="V3905" s="4129"/>
      <c r="W3905" s="717">
        <v>6</v>
      </c>
      <c r="X3905" s="717">
        <v>6</v>
      </c>
      <c r="Y3905" s="717">
        <v>6</v>
      </c>
      <c r="Z3905" s="717">
        <v>6</v>
      </c>
      <c r="AA3905" s="717">
        <v>6</v>
      </c>
      <c r="AB3905" s="717">
        <v>6</v>
      </c>
      <c r="AC3905" s="2930">
        <v>6</v>
      </c>
      <c r="AD3905" s="717">
        <v>6</v>
      </c>
      <c r="AE3905" s="2944"/>
      <c r="AF3905" s="717"/>
      <c r="AG3905" s="717"/>
      <c r="AH3905" s="156"/>
      <c r="AI3905" s="156"/>
      <c r="AJ3905" s="156"/>
      <c r="AK3905" s="156"/>
      <c r="AL3905" s="156"/>
      <c r="AM3905" s="156"/>
      <c r="AN3905" s="156"/>
      <c r="AO3905" s="156"/>
      <c r="AP3905" s="156"/>
      <c r="AQ3905" s="156"/>
      <c r="AR3905" s="156"/>
      <c r="AS3905" s="156"/>
      <c r="AT3905" s="156"/>
      <c r="AU3905" s="156"/>
      <c r="AV3905" s="156"/>
      <c r="AW3905" s="156"/>
      <c r="AX3905" s="156"/>
      <c r="AY3905" s="156"/>
      <c r="AZ3905" s="156"/>
      <c r="BA3905" s="156"/>
      <c r="BB3905" s="2828"/>
      <c r="BC3905" s="452"/>
      <c r="BD3905" s="2829"/>
      <c r="BE3905" s="2837"/>
      <c r="BF3905" s="156"/>
    </row>
    <row r="3906" spans="1:58" ht="15" customHeight="1" outlineLevel="1" x14ac:dyDescent="0.35">
      <c r="A3906" s="1664"/>
      <c r="B3906" s="2812"/>
      <c r="C3906" s="3077"/>
      <c r="D3906" s="3980"/>
      <c r="E3906" s="3883"/>
      <c r="F3906" s="3984" t="str">
        <f t="shared" si="439"/>
        <v>ASHP-SEER17-Replace_CAC_ElectricHeat_ER2_MF</v>
      </c>
      <c r="G3906" s="3984"/>
      <c r="H3906" s="3984"/>
      <c r="I3906" s="3984"/>
      <c r="J3906" s="3508" t="str">
        <f t="shared" si="440"/>
        <v>354150_2019_12_</v>
      </c>
      <c r="K3906" s="717">
        <v>12</v>
      </c>
      <c r="L3906" s="704"/>
      <c r="M3906" s="3020"/>
      <c r="N3906" s="106"/>
      <c r="O3906" s="106"/>
      <c r="P3906" s="702"/>
      <c r="Q3906" s="702"/>
      <c r="R3906" s="702"/>
      <c r="S3906" s="106"/>
      <c r="T3906" s="486"/>
      <c r="U3906" s="106"/>
      <c r="V3906" s="4129"/>
      <c r="W3906" s="717">
        <v>12</v>
      </c>
      <c r="X3906" s="717">
        <v>12</v>
      </c>
      <c r="Y3906" s="717">
        <v>12</v>
      </c>
      <c r="Z3906" s="717">
        <v>12</v>
      </c>
      <c r="AA3906" s="717">
        <v>12</v>
      </c>
      <c r="AB3906" s="717">
        <v>12</v>
      </c>
      <c r="AC3906" s="2930">
        <v>12</v>
      </c>
      <c r="AD3906" s="717">
        <v>12</v>
      </c>
      <c r="AE3906" s="2944"/>
      <c r="AF3906" s="717"/>
      <c r="AG3906" s="717"/>
      <c r="AH3906" s="156"/>
      <c r="AI3906" s="156"/>
      <c r="AJ3906" s="156"/>
      <c r="AK3906" s="156"/>
      <c r="AL3906" s="156"/>
      <c r="AM3906" s="156"/>
      <c r="AN3906" s="156"/>
      <c r="AO3906" s="156"/>
      <c r="AP3906" s="156"/>
      <c r="AQ3906" s="156"/>
      <c r="AR3906" s="156"/>
      <c r="AS3906" s="156"/>
      <c r="AT3906" s="156"/>
      <c r="AU3906" s="156"/>
      <c r="AV3906" s="156"/>
      <c r="AW3906" s="156"/>
      <c r="AX3906" s="156"/>
      <c r="AY3906" s="156"/>
      <c r="AZ3906" s="156"/>
      <c r="BA3906" s="156"/>
      <c r="BB3906" s="2828"/>
      <c r="BC3906" s="452"/>
      <c r="BD3906" s="2829"/>
      <c r="BE3906" s="2837"/>
      <c r="BF3906" s="156"/>
    </row>
    <row r="3907" spans="1:58" ht="15" customHeight="1" outlineLevel="1" x14ac:dyDescent="0.35">
      <c r="A3907" s="1664"/>
      <c r="B3907" s="2812"/>
      <c r="C3907" s="3077"/>
      <c r="D3907" s="3980"/>
      <c r="E3907" s="3883"/>
      <c r="F3907" s="3984" t="str">
        <f t="shared" si="439"/>
        <v>ASHP-SEER17-Replace_CAC_ElectricHeat_ER2_MF</v>
      </c>
      <c r="G3907" s="3984"/>
      <c r="H3907" s="3984"/>
      <c r="I3907" s="3984"/>
      <c r="J3907" s="3508" t="str">
        <f t="shared" si="440"/>
        <v>354150_2019_12_</v>
      </c>
      <c r="K3907" s="717">
        <v>12</v>
      </c>
      <c r="L3907" s="704"/>
      <c r="M3907" s="3020"/>
      <c r="N3907" s="106"/>
      <c r="O3907" s="106"/>
      <c r="P3907" s="702"/>
      <c r="Q3907" s="702"/>
      <c r="R3907" s="702"/>
      <c r="S3907" s="106"/>
      <c r="T3907" s="486"/>
      <c r="U3907" s="106"/>
      <c r="V3907" s="4129"/>
      <c r="W3907" s="717">
        <v>12</v>
      </c>
      <c r="X3907" s="717">
        <v>12</v>
      </c>
      <c r="Y3907" s="717">
        <v>12</v>
      </c>
      <c r="Z3907" s="717">
        <v>12</v>
      </c>
      <c r="AA3907" s="717">
        <v>12</v>
      </c>
      <c r="AB3907" s="717">
        <v>12</v>
      </c>
      <c r="AC3907" s="2930">
        <v>12</v>
      </c>
      <c r="AD3907" s="717">
        <v>12</v>
      </c>
      <c r="AE3907" s="2944"/>
      <c r="AF3907" s="717"/>
      <c r="AG3907" s="717"/>
      <c r="AH3907" s="156"/>
      <c r="AI3907" s="156"/>
      <c r="AJ3907" s="156"/>
      <c r="AK3907" s="156"/>
      <c r="AL3907" s="156"/>
      <c r="AM3907" s="156"/>
      <c r="AN3907" s="156"/>
      <c r="AO3907" s="156"/>
      <c r="AP3907" s="156"/>
      <c r="AQ3907" s="156"/>
      <c r="AR3907" s="156"/>
      <c r="AS3907" s="156"/>
      <c r="AT3907" s="156"/>
      <c r="AU3907" s="156"/>
      <c r="AV3907" s="156"/>
      <c r="AW3907" s="156"/>
      <c r="AX3907" s="156"/>
      <c r="AY3907" s="156"/>
      <c r="AZ3907" s="156"/>
      <c r="BA3907" s="156"/>
      <c r="BB3907" s="2828"/>
      <c r="BC3907" s="452"/>
      <c r="BD3907" s="2829"/>
      <c r="BE3907" s="2837"/>
      <c r="BF3907" s="156"/>
    </row>
    <row r="3908" spans="1:58" ht="15" customHeight="1" outlineLevel="1" x14ac:dyDescent="0.35">
      <c r="A3908" s="1664"/>
      <c r="B3908" s="2812"/>
      <c r="C3908" s="3077"/>
      <c r="D3908" s="3980"/>
      <c r="E3908" s="3883"/>
      <c r="F3908" s="3984" t="str">
        <f t="shared" si="439"/>
        <v>ASHP-SEER17-Replace_CAC_ElectricHeat_ER1_MF_CompE</v>
      </c>
      <c r="G3908" s="3984"/>
      <c r="H3908" s="3984"/>
      <c r="I3908" s="3984"/>
      <c r="J3908" s="3508" t="str">
        <f t="shared" si="440"/>
        <v>354151_2019_12_</v>
      </c>
      <c r="K3908" s="717">
        <v>6</v>
      </c>
      <c r="L3908" s="704"/>
      <c r="M3908" s="3020"/>
      <c r="N3908" s="106"/>
      <c r="O3908" s="106"/>
      <c r="P3908" s="702"/>
      <c r="Q3908" s="702"/>
      <c r="R3908" s="702"/>
      <c r="S3908" s="106"/>
      <c r="T3908" s="486"/>
      <c r="U3908" s="106"/>
      <c r="V3908" s="4129"/>
      <c r="W3908" s="717"/>
      <c r="X3908" s="717"/>
      <c r="Y3908" s="717"/>
      <c r="Z3908" s="717"/>
      <c r="AA3908" s="717"/>
      <c r="AB3908" s="717"/>
      <c r="AC3908" s="2932">
        <v>6</v>
      </c>
      <c r="AD3908" s="717">
        <v>6</v>
      </c>
      <c r="AE3908" s="2944"/>
      <c r="AF3908" s="717"/>
      <c r="AG3908" s="717"/>
      <c r="AH3908" s="156"/>
      <c r="AI3908" s="156"/>
      <c r="AJ3908" s="156"/>
      <c r="AK3908" s="156"/>
      <c r="AL3908" s="156"/>
      <c r="AM3908" s="156"/>
      <c r="AN3908" s="156"/>
      <c r="AO3908" s="156"/>
      <c r="AP3908" s="156"/>
      <c r="AQ3908" s="156"/>
      <c r="AR3908" s="156"/>
      <c r="AS3908" s="156"/>
      <c r="AT3908" s="156"/>
      <c r="AU3908" s="156"/>
      <c r="AV3908" s="156"/>
      <c r="AW3908" s="156"/>
      <c r="AX3908" s="156"/>
      <c r="AY3908" s="156"/>
      <c r="AZ3908" s="156"/>
      <c r="BA3908" s="156"/>
      <c r="BB3908" s="2828"/>
      <c r="BC3908" s="452"/>
      <c r="BD3908" s="2829"/>
      <c r="BE3908" s="2837"/>
      <c r="BF3908" s="156"/>
    </row>
    <row r="3909" spans="1:58" ht="15" customHeight="1" outlineLevel="1" x14ac:dyDescent="0.35">
      <c r="A3909" s="1664"/>
      <c r="B3909" s="2812"/>
      <c r="C3909" s="3077"/>
      <c r="D3909" s="3980"/>
      <c r="E3909" s="3883"/>
      <c r="F3909" s="3984" t="str">
        <f t="shared" si="439"/>
        <v>ASHP-SEER17-Replace_CAC_ElectricHeat_ER1_MF_CompE</v>
      </c>
      <c r="G3909" s="3984"/>
      <c r="H3909" s="3984"/>
      <c r="I3909" s="3984"/>
      <c r="J3909" s="3508" t="str">
        <f t="shared" si="440"/>
        <v>354151_2019_12_</v>
      </c>
      <c r="K3909" s="717">
        <v>6</v>
      </c>
      <c r="L3909" s="704"/>
      <c r="M3909" s="3020"/>
      <c r="N3909" s="106"/>
      <c r="O3909" s="106"/>
      <c r="P3909" s="702"/>
      <c r="Q3909" s="702"/>
      <c r="R3909" s="702"/>
      <c r="S3909" s="106"/>
      <c r="T3909" s="486"/>
      <c r="U3909" s="106"/>
      <c r="V3909" s="4129"/>
      <c r="W3909" s="717"/>
      <c r="X3909" s="717"/>
      <c r="Y3909" s="717"/>
      <c r="Z3909" s="717"/>
      <c r="AA3909" s="717"/>
      <c r="AB3909" s="717"/>
      <c r="AC3909" s="2932">
        <v>6</v>
      </c>
      <c r="AD3909" s="717">
        <v>6</v>
      </c>
      <c r="AE3909" s="2944"/>
      <c r="AF3909" s="717"/>
      <c r="AG3909" s="717"/>
      <c r="AH3909" s="156"/>
      <c r="AI3909" s="156"/>
      <c r="AJ3909" s="156"/>
      <c r="AK3909" s="156"/>
      <c r="AL3909" s="156"/>
      <c r="AM3909" s="156"/>
      <c r="AN3909" s="156"/>
      <c r="AO3909" s="156"/>
      <c r="AP3909" s="156"/>
      <c r="AQ3909" s="156"/>
      <c r="AR3909" s="156"/>
      <c r="AS3909" s="156"/>
      <c r="AT3909" s="156"/>
      <c r="AU3909" s="156"/>
      <c r="AV3909" s="156"/>
      <c r="AW3909" s="156"/>
      <c r="AX3909" s="156"/>
      <c r="AY3909" s="156"/>
      <c r="AZ3909" s="156"/>
      <c r="BA3909" s="156"/>
      <c r="BB3909" s="2828"/>
      <c r="BC3909" s="452"/>
      <c r="BD3909" s="2829"/>
      <c r="BE3909" s="2837"/>
      <c r="BF3909" s="156"/>
    </row>
    <row r="3910" spans="1:58" ht="15" customHeight="1" outlineLevel="1" x14ac:dyDescent="0.35">
      <c r="A3910" s="1664"/>
      <c r="B3910" s="2812"/>
      <c r="C3910" s="3077"/>
      <c r="D3910" s="3980"/>
      <c r="E3910" s="3883"/>
      <c r="F3910" s="3984" t="str">
        <f t="shared" si="439"/>
        <v>ASHP-SEER17-Replace_CAC_ElectricHeat_ER2_MF_CompE</v>
      </c>
      <c r="G3910" s="3984"/>
      <c r="H3910" s="3984"/>
      <c r="I3910" s="3984"/>
      <c r="J3910" s="3508" t="str">
        <f t="shared" si="440"/>
        <v>354151_2019_12_</v>
      </c>
      <c r="K3910" s="717">
        <v>12</v>
      </c>
      <c r="L3910" s="704"/>
      <c r="M3910" s="3020"/>
      <c r="N3910" s="106"/>
      <c r="O3910" s="106"/>
      <c r="P3910" s="702"/>
      <c r="Q3910" s="702"/>
      <c r="R3910" s="702"/>
      <c r="S3910" s="106"/>
      <c r="T3910" s="486"/>
      <c r="U3910" s="106"/>
      <c r="V3910" s="4129"/>
      <c r="W3910" s="717"/>
      <c r="X3910" s="717"/>
      <c r="Y3910" s="717"/>
      <c r="Z3910" s="717"/>
      <c r="AA3910" s="717"/>
      <c r="AB3910" s="717"/>
      <c r="AC3910" s="2932">
        <v>12</v>
      </c>
      <c r="AD3910" s="717">
        <v>12</v>
      </c>
      <c r="AE3910" s="2944"/>
      <c r="AF3910" s="717"/>
      <c r="AG3910" s="717"/>
      <c r="AH3910" s="156"/>
      <c r="AI3910" s="156"/>
      <c r="AJ3910" s="156"/>
      <c r="AK3910" s="156"/>
      <c r="AL3910" s="156"/>
      <c r="AM3910" s="156"/>
      <c r="AN3910" s="156"/>
      <c r="AO3910" s="156"/>
      <c r="AP3910" s="156"/>
      <c r="AQ3910" s="156"/>
      <c r="AR3910" s="156"/>
      <c r="AS3910" s="156"/>
      <c r="AT3910" s="156"/>
      <c r="AU3910" s="156"/>
      <c r="AV3910" s="156"/>
      <c r="AW3910" s="156"/>
      <c r="AX3910" s="156"/>
      <c r="AY3910" s="156"/>
      <c r="AZ3910" s="156"/>
      <c r="BA3910" s="156"/>
      <c r="BB3910" s="2828"/>
      <c r="BC3910" s="452"/>
      <c r="BD3910" s="2829"/>
      <c r="BE3910" s="2837"/>
      <c r="BF3910" s="156"/>
    </row>
    <row r="3911" spans="1:58" ht="15" customHeight="1" outlineLevel="1" x14ac:dyDescent="0.35">
      <c r="A3911" s="1664"/>
      <c r="B3911" s="2812"/>
      <c r="C3911" s="3077"/>
      <c r="D3911" s="3980"/>
      <c r="E3911" s="3883"/>
      <c r="F3911" s="3984" t="str">
        <f t="shared" si="439"/>
        <v>ASHP-SEER17-Replace_CAC_ElectricHeat_ER2_MF_CompE</v>
      </c>
      <c r="G3911" s="3984"/>
      <c r="H3911" s="3984"/>
      <c r="I3911" s="3984"/>
      <c r="J3911" s="3508" t="str">
        <f t="shared" si="440"/>
        <v>354151_2019_12_</v>
      </c>
      <c r="K3911" s="717">
        <v>12</v>
      </c>
      <c r="L3911" s="704"/>
      <c r="M3911" s="3020"/>
      <c r="N3911" s="106"/>
      <c r="O3911" s="106"/>
      <c r="P3911" s="702"/>
      <c r="Q3911" s="702"/>
      <c r="R3911" s="702"/>
      <c r="S3911" s="106"/>
      <c r="T3911" s="486"/>
      <c r="U3911" s="106"/>
      <c r="V3911" s="4129"/>
      <c r="W3911" s="717"/>
      <c r="X3911" s="717"/>
      <c r="Y3911" s="717"/>
      <c r="Z3911" s="717"/>
      <c r="AA3911" s="717"/>
      <c r="AB3911" s="717"/>
      <c r="AC3911" s="2932">
        <v>12</v>
      </c>
      <c r="AD3911" s="717">
        <v>12</v>
      </c>
      <c r="AE3911" s="2944"/>
      <c r="AF3911" s="717"/>
      <c r="AG3911" s="717"/>
      <c r="AH3911" s="156"/>
      <c r="AI3911" s="156"/>
      <c r="AJ3911" s="156"/>
      <c r="AK3911" s="156"/>
      <c r="AL3911" s="156"/>
      <c r="AM3911" s="156"/>
      <c r="AN3911" s="156"/>
      <c r="AO3911" s="156"/>
      <c r="AP3911" s="156"/>
      <c r="AQ3911" s="156"/>
      <c r="AR3911" s="156"/>
      <c r="AS3911" s="156"/>
      <c r="AT3911" s="156"/>
      <c r="AU3911" s="156"/>
      <c r="AV3911" s="156"/>
      <c r="AW3911" s="156"/>
      <c r="AX3911" s="156"/>
      <c r="AY3911" s="156"/>
      <c r="AZ3911" s="156"/>
      <c r="BA3911" s="156"/>
      <c r="BB3911" s="2828"/>
      <c r="BC3911" s="452"/>
      <c r="BD3911" s="2829"/>
      <c r="BE3911" s="2837"/>
      <c r="BF3911" s="156"/>
    </row>
    <row r="3912" spans="1:58" ht="15" customHeight="1" outlineLevel="1" x14ac:dyDescent="0.35">
      <c r="A3912" s="1664"/>
      <c r="B3912" s="2812"/>
      <c r="C3912" s="3077"/>
      <c r="D3912" s="3980"/>
      <c r="E3912" s="3883"/>
      <c r="F3912" s="3984" t="str">
        <f t="shared" si="439"/>
        <v>ASHP-SEER17-Replace_CAC_NonElectricHeat_ER1_MF</v>
      </c>
      <c r="G3912" s="3984"/>
      <c r="H3912" s="3984"/>
      <c r="I3912" s="3984"/>
      <c r="J3912" s="3508" t="str">
        <f t="shared" si="440"/>
        <v>354160_2021_12_</v>
      </c>
      <c r="K3912" s="717">
        <v>6</v>
      </c>
      <c r="L3912" s="704"/>
      <c r="M3912" s="3020"/>
      <c r="N3912" s="106"/>
      <c r="O3912" s="106"/>
      <c r="P3912" s="702"/>
      <c r="Q3912" s="702"/>
      <c r="R3912" s="702"/>
      <c r="S3912" s="106"/>
      <c r="T3912" s="486"/>
      <c r="U3912" s="106"/>
      <c r="V3912" s="4129"/>
      <c r="W3912" s="717"/>
      <c r="X3912" s="717"/>
      <c r="Y3912" s="717"/>
      <c r="Z3912" s="717"/>
      <c r="AA3912" s="717"/>
      <c r="AB3912" s="717"/>
      <c r="AC3912" s="2932">
        <v>6</v>
      </c>
      <c r="AD3912" s="717">
        <v>6</v>
      </c>
      <c r="AE3912" s="2944"/>
      <c r="AF3912" s="717"/>
      <c r="AG3912" s="717"/>
      <c r="AH3912" s="156"/>
      <c r="AI3912" s="156"/>
      <c r="AJ3912" s="156"/>
      <c r="AK3912" s="156"/>
      <c r="AL3912" s="156"/>
      <c r="AM3912" s="156"/>
      <c r="AN3912" s="156"/>
      <c r="AO3912" s="156"/>
      <c r="AP3912" s="156"/>
      <c r="AQ3912" s="156"/>
      <c r="AR3912" s="156"/>
      <c r="AS3912" s="156"/>
      <c r="AT3912" s="156"/>
      <c r="AU3912" s="156"/>
      <c r="AV3912" s="156"/>
      <c r="AW3912" s="156"/>
      <c r="AX3912" s="156"/>
      <c r="AY3912" s="156"/>
      <c r="AZ3912" s="156"/>
      <c r="BA3912" s="156"/>
      <c r="BB3912" s="2828"/>
      <c r="BC3912" s="452"/>
      <c r="BD3912" s="2829"/>
      <c r="BE3912" s="2837"/>
      <c r="BF3912" s="156"/>
    </row>
    <row r="3913" spans="1:58" ht="15" customHeight="1" outlineLevel="1" x14ac:dyDescent="0.35">
      <c r="A3913" s="1664"/>
      <c r="B3913" s="2812"/>
      <c r="C3913" s="3077"/>
      <c r="D3913" s="3980"/>
      <c r="E3913" s="3883"/>
      <c r="F3913" s="3984" t="str">
        <f t="shared" si="439"/>
        <v>ASHP-SEER17-Replace_CAC_NonElectricHeat_ER1_MF</v>
      </c>
      <c r="G3913" s="3984"/>
      <c r="H3913" s="3984"/>
      <c r="I3913" s="3984"/>
      <c r="J3913" s="3508" t="str">
        <f t="shared" si="440"/>
        <v>354160_2021_12_</v>
      </c>
      <c r="K3913" s="717">
        <v>6</v>
      </c>
      <c r="L3913" s="704"/>
      <c r="M3913" s="3020"/>
      <c r="N3913" s="106"/>
      <c r="O3913" s="106"/>
      <c r="P3913" s="702"/>
      <c r="Q3913" s="702"/>
      <c r="R3913" s="702"/>
      <c r="S3913" s="106"/>
      <c r="T3913" s="486"/>
      <c r="U3913" s="106"/>
      <c r="V3913" s="4129"/>
      <c r="W3913" s="717"/>
      <c r="X3913" s="717"/>
      <c r="Y3913" s="717"/>
      <c r="Z3913" s="717"/>
      <c r="AA3913" s="717"/>
      <c r="AB3913" s="717"/>
      <c r="AC3913" s="2932">
        <v>6</v>
      </c>
      <c r="AD3913" s="717">
        <v>6</v>
      </c>
      <c r="AE3913" s="2944"/>
      <c r="AF3913" s="717"/>
      <c r="AG3913" s="717"/>
      <c r="AH3913" s="156"/>
      <c r="AI3913" s="156"/>
      <c r="AJ3913" s="156"/>
      <c r="AK3913" s="156"/>
      <c r="AL3913" s="156"/>
      <c r="AM3913" s="156"/>
      <c r="AN3913" s="156"/>
      <c r="AO3913" s="156"/>
      <c r="AP3913" s="156"/>
      <c r="AQ3913" s="156"/>
      <c r="AR3913" s="156"/>
      <c r="AS3913" s="156"/>
      <c r="AT3913" s="156"/>
      <c r="AU3913" s="156"/>
      <c r="AV3913" s="156"/>
      <c r="AW3913" s="156"/>
      <c r="AX3913" s="156"/>
      <c r="AY3913" s="156"/>
      <c r="AZ3913" s="156"/>
      <c r="BA3913" s="156"/>
      <c r="BB3913" s="2828"/>
      <c r="BC3913" s="452"/>
      <c r="BD3913" s="2829"/>
      <c r="BE3913" s="2837"/>
      <c r="BF3913" s="156"/>
    </row>
    <row r="3914" spans="1:58" ht="15" customHeight="1" outlineLevel="1" x14ac:dyDescent="0.35">
      <c r="A3914" s="1664"/>
      <c r="B3914" s="2812"/>
      <c r="C3914" s="3077"/>
      <c r="D3914" s="3980"/>
      <c r="E3914" s="3883"/>
      <c r="F3914" s="3984" t="str">
        <f t="shared" si="439"/>
        <v>ASHP-SEER17-Replace_CAC_NonElectricHeat_ER2_MF</v>
      </c>
      <c r="G3914" s="3984"/>
      <c r="H3914" s="3984"/>
      <c r="I3914" s="3984"/>
      <c r="J3914" s="3508" t="str">
        <f t="shared" si="440"/>
        <v>354160_2021_12_</v>
      </c>
      <c r="K3914" s="717">
        <v>12</v>
      </c>
      <c r="L3914" s="704"/>
      <c r="M3914" s="3020"/>
      <c r="N3914" s="106"/>
      <c r="O3914" s="106"/>
      <c r="P3914" s="702"/>
      <c r="Q3914" s="702"/>
      <c r="R3914" s="702"/>
      <c r="S3914" s="106"/>
      <c r="T3914" s="486"/>
      <c r="U3914" s="106"/>
      <c r="V3914" s="4129"/>
      <c r="W3914" s="717"/>
      <c r="X3914" s="717"/>
      <c r="Y3914" s="717"/>
      <c r="Z3914" s="717"/>
      <c r="AA3914" s="717"/>
      <c r="AB3914" s="717"/>
      <c r="AC3914" s="2932">
        <v>12</v>
      </c>
      <c r="AD3914" s="717">
        <v>12</v>
      </c>
      <c r="AE3914" s="2944"/>
      <c r="AF3914" s="717"/>
      <c r="AG3914" s="717"/>
      <c r="AH3914" s="156"/>
      <c r="AI3914" s="156"/>
      <c r="AJ3914" s="156"/>
      <c r="AK3914" s="156"/>
      <c r="AL3914" s="156"/>
      <c r="AM3914" s="156"/>
      <c r="AN3914" s="156"/>
      <c r="AO3914" s="156"/>
      <c r="AP3914" s="156"/>
      <c r="AQ3914" s="156"/>
      <c r="AR3914" s="156"/>
      <c r="AS3914" s="156"/>
      <c r="AT3914" s="156"/>
      <c r="AU3914" s="156"/>
      <c r="AV3914" s="156"/>
      <c r="AW3914" s="156"/>
      <c r="AX3914" s="156"/>
      <c r="AY3914" s="156"/>
      <c r="AZ3914" s="156"/>
      <c r="BA3914" s="156"/>
      <c r="BB3914" s="2828"/>
      <c r="BC3914" s="452"/>
      <c r="BD3914" s="2829"/>
      <c r="BE3914" s="2837"/>
      <c r="BF3914" s="156"/>
    </row>
    <row r="3915" spans="1:58" ht="15" customHeight="1" outlineLevel="1" x14ac:dyDescent="0.35">
      <c r="A3915" s="1664"/>
      <c r="B3915" s="2812"/>
      <c r="C3915" s="3077"/>
      <c r="D3915" s="3980"/>
      <c r="E3915" s="3883"/>
      <c r="F3915" s="3984" t="str">
        <f t="shared" si="439"/>
        <v>ASHP-SEER17-Replace_CAC_NonElectricHeat_ER2_MF</v>
      </c>
      <c r="G3915" s="3984"/>
      <c r="H3915" s="3984"/>
      <c r="I3915" s="3984"/>
      <c r="J3915" s="3508" t="str">
        <f t="shared" si="440"/>
        <v>354160_2021_12_</v>
      </c>
      <c r="K3915" s="717">
        <v>12</v>
      </c>
      <c r="L3915" s="704"/>
      <c r="M3915" s="3020"/>
      <c r="N3915" s="106"/>
      <c r="O3915" s="106"/>
      <c r="P3915" s="702"/>
      <c r="Q3915" s="702"/>
      <c r="R3915" s="702"/>
      <c r="S3915" s="106"/>
      <c r="T3915" s="486"/>
      <c r="U3915" s="106"/>
      <c r="V3915" s="4129"/>
      <c r="W3915" s="717"/>
      <c r="X3915" s="717"/>
      <c r="Y3915" s="717"/>
      <c r="Z3915" s="717"/>
      <c r="AA3915" s="717"/>
      <c r="AB3915" s="717"/>
      <c r="AC3915" s="2932">
        <v>12</v>
      </c>
      <c r="AD3915" s="717">
        <v>12</v>
      </c>
      <c r="AE3915" s="2944"/>
      <c r="AF3915" s="717"/>
      <c r="AG3915" s="717"/>
      <c r="AH3915" s="156"/>
      <c r="AI3915" s="156"/>
      <c r="AJ3915" s="156"/>
      <c r="AK3915" s="156"/>
      <c r="AL3915" s="156"/>
      <c r="AM3915" s="156"/>
      <c r="AN3915" s="156"/>
      <c r="AO3915" s="156"/>
      <c r="AP3915" s="156"/>
      <c r="AQ3915" s="156"/>
      <c r="AR3915" s="156"/>
      <c r="AS3915" s="156"/>
      <c r="AT3915" s="156"/>
      <c r="AU3915" s="156"/>
      <c r="AV3915" s="156"/>
      <c r="AW3915" s="156"/>
      <c r="AX3915" s="156"/>
      <c r="AY3915" s="156"/>
      <c r="AZ3915" s="156"/>
      <c r="BA3915" s="156"/>
      <c r="BB3915" s="2828"/>
      <c r="BC3915" s="452"/>
      <c r="BD3915" s="2829"/>
      <c r="BE3915" s="2837"/>
      <c r="BF3915" s="156"/>
    </row>
    <row r="3916" spans="1:58" ht="15" customHeight="1" outlineLevel="1" x14ac:dyDescent="0.35">
      <c r="A3916" s="1664"/>
      <c r="B3916" s="2812"/>
      <c r="C3916" s="3077"/>
      <c r="D3916" s="3980"/>
      <c r="E3916" s="3883"/>
      <c r="F3916" s="3984" t="str">
        <f t="shared" si="439"/>
        <v>ASHP-SEER17-Replace_CAC_NonElectricHeat_ER1_MF_CompE</v>
      </c>
      <c r="G3916" s="3984"/>
      <c r="H3916" s="3984"/>
      <c r="I3916" s="3984"/>
      <c r="J3916" s="3508" t="str">
        <f t="shared" si="440"/>
        <v>354161_2021_12_</v>
      </c>
      <c r="K3916" s="717">
        <v>6</v>
      </c>
      <c r="L3916" s="704"/>
      <c r="M3916" s="3020"/>
      <c r="N3916" s="106"/>
      <c r="O3916" s="106"/>
      <c r="P3916" s="702"/>
      <c r="Q3916" s="702"/>
      <c r="R3916" s="702"/>
      <c r="S3916" s="106"/>
      <c r="T3916" s="486"/>
      <c r="U3916" s="106"/>
      <c r="V3916" s="4129"/>
      <c r="W3916" s="717"/>
      <c r="X3916" s="717"/>
      <c r="Y3916" s="717"/>
      <c r="Z3916" s="717"/>
      <c r="AA3916" s="717"/>
      <c r="AB3916" s="717"/>
      <c r="AC3916" s="2932">
        <v>6</v>
      </c>
      <c r="AD3916" s="717">
        <v>6</v>
      </c>
      <c r="AE3916" s="2944"/>
      <c r="AF3916" s="717"/>
      <c r="AG3916" s="717"/>
      <c r="AH3916" s="156"/>
      <c r="AI3916" s="156"/>
      <c r="AJ3916" s="156"/>
      <c r="AK3916" s="156"/>
      <c r="AL3916" s="156"/>
      <c r="AM3916" s="156"/>
      <c r="AN3916" s="156"/>
      <c r="AO3916" s="156"/>
      <c r="AP3916" s="156"/>
      <c r="AQ3916" s="156"/>
      <c r="AR3916" s="156"/>
      <c r="AS3916" s="156"/>
      <c r="AT3916" s="156"/>
      <c r="AU3916" s="156"/>
      <c r="AV3916" s="156"/>
      <c r="AW3916" s="156"/>
      <c r="AX3916" s="156"/>
      <c r="AY3916" s="156"/>
      <c r="AZ3916" s="156"/>
      <c r="BA3916" s="156"/>
      <c r="BB3916" s="2828"/>
      <c r="BC3916" s="452"/>
      <c r="BD3916" s="2829"/>
      <c r="BE3916" s="2837"/>
      <c r="BF3916" s="156"/>
    </row>
    <row r="3917" spans="1:58" ht="15" customHeight="1" outlineLevel="1" x14ac:dyDescent="0.35">
      <c r="A3917" s="1664"/>
      <c r="B3917" s="2812"/>
      <c r="C3917" s="3077"/>
      <c r="D3917" s="3980"/>
      <c r="E3917" s="3883"/>
      <c r="F3917" s="3984" t="str">
        <f t="shared" si="439"/>
        <v>ASHP-SEER17-Replace_CAC_NonElectricHeat_ER1_MF_CompE</v>
      </c>
      <c r="G3917" s="3984"/>
      <c r="H3917" s="3984"/>
      <c r="I3917" s="3984"/>
      <c r="J3917" s="3508" t="str">
        <f t="shared" si="440"/>
        <v>354161_2021_12_</v>
      </c>
      <c r="K3917" s="717">
        <v>6</v>
      </c>
      <c r="L3917" s="704"/>
      <c r="M3917" s="3020"/>
      <c r="N3917" s="106"/>
      <c r="O3917" s="106"/>
      <c r="P3917" s="702"/>
      <c r="Q3917" s="702"/>
      <c r="R3917" s="702"/>
      <c r="S3917" s="106"/>
      <c r="T3917" s="486"/>
      <c r="U3917" s="106"/>
      <c r="V3917" s="4129"/>
      <c r="W3917" s="717"/>
      <c r="X3917" s="717"/>
      <c r="Y3917" s="717"/>
      <c r="Z3917" s="717"/>
      <c r="AA3917" s="717"/>
      <c r="AB3917" s="717"/>
      <c r="AC3917" s="2932">
        <v>6</v>
      </c>
      <c r="AD3917" s="717">
        <v>6</v>
      </c>
      <c r="AE3917" s="2944"/>
      <c r="AF3917" s="717"/>
      <c r="AG3917" s="717"/>
      <c r="AH3917" s="156"/>
      <c r="AI3917" s="156"/>
      <c r="AJ3917" s="156"/>
      <c r="AK3917" s="156"/>
      <c r="AL3917" s="156"/>
      <c r="AM3917" s="156"/>
      <c r="AN3917" s="156"/>
      <c r="AO3917" s="156"/>
      <c r="AP3917" s="156"/>
      <c r="AQ3917" s="156"/>
      <c r="AR3917" s="156"/>
      <c r="AS3917" s="156"/>
      <c r="AT3917" s="156"/>
      <c r="AU3917" s="156"/>
      <c r="AV3917" s="156"/>
      <c r="AW3917" s="156"/>
      <c r="AX3917" s="156"/>
      <c r="AY3917" s="156"/>
      <c r="AZ3917" s="156"/>
      <c r="BA3917" s="156"/>
      <c r="BB3917" s="2828"/>
      <c r="BC3917" s="452"/>
      <c r="BD3917" s="2829"/>
      <c r="BE3917" s="2837"/>
      <c r="BF3917" s="156"/>
    </row>
    <row r="3918" spans="1:58" ht="15" customHeight="1" outlineLevel="1" x14ac:dyDescent="0.35">
      <c r="A3918" s="1664"/>
      <c r="B3918" s="2812"/>
      <c r="C3918" s="3077"/>
      <c r="D3918" s="3980"/>
      <c r="E3918" s="3883"/>
      <c r="F3918" s="3984" t="str">
        <f t="shared" si="439"/>
        <v>ASHP-SEER17-Replace_CAC_NonElectricHeat_ER2_MF_CompE</v>
      </c>
      <c r="G3918" s="3984"/>
      <c r="H3918" s="3984"/>
      <c r="I3918" s="3984"/>
      <c r="J3918" s="3508" t="str">
        <f t="shared" si="440"/>
        <v>354161_2021_12_</v>
      </c>
      <c r="K3918" s="717">
        <v>12</v>
      </c>
      <c r="L3918" s="704"/>
      <c r="M3918" s="3020"/>
      <c r="N3918" s="106"/>
      <c r="O3918" s="106"/>
      <c r="P3918" s="702"/>
      <c r="Q3918" s="702"/>
      <c r="R3918" s="702"/>
      <c r="S3918" s="106"/>
      <c r="T3918" s="486"/>
      <c r="U3918" s="106"/>
      <c r="V3918" s="4129"/>
      <c r="W3918" s="717"/>
      <c r="X3918" s="717"/>
      <c r="Y3918" s="717"/>
      <c r="Z3918" s="717"/>
      <c r="AA3918" s="717"/>
      <c r="AB3918" s="717"/>
      <c r="AC3918" s="2932">
        <v>12</v>
      </c>
      <c r="AD3918" s="717">
        <v>12</v>
      </c>
      <c r="AE3918" s="2944"/>
      <c r="AF3918" s="717"/>
      <c r="AG3918" s="717"/>
      <c r="AH3918" s="156"/>
      <c r="AI3918" s="156"/>
      <c r="AJ3918" s="156"/>
      <c r="AK3918" s="156"/>
      <c r="AL3918" s="156"/>
      <c r="AM3918" s="156"/>
      <c r="AN3918" s="156"/>
      <c r="AO3918" s="156"/>
      <c r="AP3918" s="156"/>
      <c r="AQ3918" s="156"/>
      <c r="AR3918" s="156"/>
      <c r="AS3918" s="156"/>
      <c r="AT3918" s="156"/>
      <c r="AU3918" s="156"/>
      <c r="AV3918" s="156"/>
      <c r="AW3918" s="156"/>
      <c r="AX3918" s="156"/>
      <c r="AY3918" s="156"/>
      <c r="AZ3918" s="156"/>
      <c r="BA3918" s="156"/>
      <c r="BB3918" s="2828"/>
      <c r="BC3918" s="452"/>
      <c r="BD3918" s="2829"/>
      <c r="BE3918" s="2837"/>
      <c r="BF3918" s="156"/>
    </row>
    <row r="3919" spans="1:58" ht="15" customHeight="1" outlineLevel="1" x14ac:dyDescent="0.35">
      <c r="A3919" s="1664"/>
      <c r="B3919" s="2812"/>
      <c r="C3919" s="3077"/>
      <c r="D3919" s="3980"/>
      <c r="E3919" s="3883"/>
      <c r="F3919" s="3984" t="str">
        <f t="shared" si="439"/>
        <v>ASHP-SEER17-Replace_CAC_NonElectricHeat_ER2_MF_CompE</v>
      </c>
      <c r="G3919" s="3984"/>
      <c r="H3919" s="3984"/>
      <c r="I3919" s="3984"/>
      <c r="J3919" s="3508" t="str">
        <f t="shared" si="440"/>
        <v>354161_2021_12_</v>
      </c>
      <c r="K3919" s="717">
        <v>12</v>
      </c>
      <c r="L3919" s="704"/>
      <c r="M3919" s="3020"/>
      <c r="N3919" s="106"/>
      <c r="O3919" s="106"/>
      <c r="P3919" s="702"/>
      <c r="Q3919" s="702"/>
      <c r="R3919" s="702"/>
      <c r="S3919" s="106"/>
      <c r="T3919" s="486"/>
      <c r="U3919" s="106"/>
      <c r="V3919" s="4129"/>
      <c r="W3919" s="717"/>
      <c r="X3919" s="717"/>
      <c r="Y3919" s="717"/>
      <c r="Z3919" s="717"/>
      <c r="AA3919" s="717"/>
      <c r="AB3919" s="717"/>
      <c r="AC3919" s="2932">
        <v>12</v>
      </c>
      <c r="AD3919" s="717">
        <v>12</v>
      </c>
      <c r="AE3919" s="2944"/>
      <c r="AF3919" s="717"/>
      <c r="AG3919" s="717"/>
      <c r="AH3919" s="156"/>
      <c r="AI3919" s="156"/>
      <c r="AJ3919" s="156"/>
      <c r="AK3919" s="156"/>
      <c r="AL3919" s="156"/>
      <c r="AM3919" s="156"/>
      <c r="AN3919" s="156"/>
      <c r="AO3919" s="156"/>
      <c r="AP3919" s="156"/>
      <c r="AQ3919" s="156"/>
      <c r="AR3919" s="156"/>
      <c r="AS3919" s="156"/>
      <c r="AT3919" s="156"/>
      <c r="AU3919" s="156"/>
      <c r="AV3919" s="156"/>
      <c r="AW3919" s="156"/>
      <c r="AX3919" s="156"/>
      <c r="AY3919" s="156"/>
      <c r="AZ3919" s="156"/>
      <c r="BA3919" s="156"/>
      <c r="BB3919" s="2828"/>
      <c r="BC3919" s="452"/>
      <c r="BD3919" s="2829"/>
      <c r="BE3919" s="2837"/>
      <c r="BF3919" s="156"/>
    </row>
    <row r="3920" spans="1:58" ht="15" customHeight="1" outlineLevel="1" x14ac:dyDescent="0.35">
      <c r="A3920" s="1664"/>
      <c r="B3920" s="2812"/>
      <c r="C3920" s="3077"/>
      <c r="D3920" s="3980"/>
      <c r="E3920" s="3883"/>
      <c r="F3920" s="3984" t="str">
        <f t="shared" si="439"/>
        <v>ASHP-SEER17_ER1_MF</v>
      </c>
      <c r="G3920" s="3984"/>
      <c r="H3920" s="3984"/>
      <c r="I3920" s="3984"/>
      <c r="J3920" s="3508" t="str">
        <f t="shared" si="440"/>
        <v>354200_2019_12_</v>
      </c>
      <c r="K3920" s="717">
        <v>6</v>
      </c>
      <c r="L3920" s="704"/>
      <c r="M3920" s="3020"/>
      <c r="N3920" s="106"/>
      <c r="O3920" s="106"/>
      <c r="P3920" s="702"/>
      <c r="Q3920" s="702"/>
      <c r="R3920" s="702"/>
      <c r="S3920" s="106"/>
      <c r="T3920" s="486"/>
      <c r="U3920" s="106"/>
      <c r="V3920" s="4129"/>
      <c r="W3920" s="717">
        <v>6</v>
      </c>
      <c r="X3920" s="717">
        <v>6</v>
      </c>
      <c r="Y3920" s="717">
        <v>6</v>
      </c>
      <c r="Z3920" s="717">
        <v>6</v>
      </c>
      <c r="AA3920" s="717">
        <v>6</v>
      </c>
      <c r="AB3920" s="717">
        <v>6</v>
      </c>
      <c r="AC3920" s="2930">
        <v>6</v>
      </c>
      <c r="AD3920" s="717">
        <v>6</v>
      </c>
      <c r="AE3920" s="2944"/>
      <c r="AF3920" s="717"/>
      <c r="AG3920" s="717"/>
      <c r="AH3920" s="156"/>
      <c r="AI3920" s="156"/>
      <c r="AJ3920" s="156"/>
      <c r="AK3920" s="156"/>
      <c r="AL3920" s="156"/>
      <c r="AM3920" s="156"/>
      <c r="AN3920" s="156"/>
      <c r="AO3920" s="156"/>
      <c r="AP3920" s="156"/>
      <c r="AQ3920" s="156"/>
      <c r="AR3920" s="156"/>
      <c r="AS3920" s="156"/>
      <c r="AT3920" s="156"/>
      <c r="AU3920" s="156"/>
      <c r="AV3920" s="156"/>
      <c r="AW3920" s="156"/>
      <c r="AX3920" s="156"/>
      <c r="AY3920" s="156"/>
      <c r="AZ3920" s="156"/>
      <c r="BA3920" s="156"/>
      <c r="BB3920" s="2828"/>
      <c r="BC3920" s="452"/>
      <c r="BD3920" s="2829"/>
      <c r="BE3920" s="2837"/>
      <c r="BF3920" s="156"/>
    </row>
    <row r="3921" spans="1:58" ht="15" customHeight="1" outlineLevel="1" x14ac:dyDescent="0.35">
      <c r="A3921" s="1664"/>
      <c r="B3921" s="2812"/>
      <c r="C3921" s="3077"/>
      <c r="D3921" s="3980"/>
      <c r="E3921" s="3883"/>
      <c r="F3921" s="3984" t="str">
        <f t="shared" si="439"/>
        <v>ASHP-SEER17_ER1_MF</v>
      </c>
      <c r="G3921" s="3984"/>
      <c r="H3921" s="3984"/>
      <c r="I3921" s="3984"/>
      <c r="J3921" s="3508" t="str">
        <f t="shared" si="440"/>
        <v>354200_2019_12_</v>
      </c>
      <c r="K3921" s="717">
        <v>6</v>
      </c>
      <c r="L3921" s="704"/>
      <c r="M3921" s="3020"/>
      <c r="N3921" s="106"/>
      <c r="O3921" s="106"/>
      <c r="P3921" s="702"/>
      <c r="Q3921" s="702"/>
      <c r="R3921" s="702"/>
      <c r="S3921" s="106"/>
      <c r="T3921" s="486"/>
      <c r="U3921" s="106"/>
      <c r="V3921" s="4129"/>
      <c r="W3921" s="717">
        <v>6</v>
      </c>
      <c r="X3921" s="717">
        <v>6</v>
      </c>
      <c r="Y3921" s="717">
        <v>6</v>
      </c>
      <c r="Z3921" s="717">
        <v>6</v>
      </c>
      <c r="AA3921" s="717">
        <v>6</v>
      </c>
      <c r="AB3921" s="717">
        <v>6</v>
      </c>
      <c r="AC3921" s="2930">
        <v>6</v>
      </c>
      <c r="AD3921" s="717">
        <v>6</v>
      </c>
      <c r="AE3921" s="2944"/>
      <c r="AF3921" s="717"/>
      <c r="AG3921" s="717"/>
      <c r="AH3921" s="156"/>
      <c r="AI3921" s="156"/>
      <c r="AJ3921" s="156"/>
      <c r="AK3921" s="156"/>
      <c r="AL3921" s="156"/>
      <c r="AM3921" s="156"/>
      <c r="AN3921" s="156"/>
      <c r="AO3921" s="156"/>
      <c r="AP3921" s="156"/>
      <c r="AQ3921" s="156"/>
      <c r="AR3921" s="156"/>
      <c r="AS3921" s="156"/>
      <c r="AT3921" s="156"/>
      <c r="AU3921" s="156"/>
      <c r="AV3921" s="156"/>
      <c r="AW3921" s="156"/>
      <c r="AX3921" s="156"/>
      <c r="AY3921" s="156"/>
      <c r="AZ3921" s="156"/>
      <c r="BA3921" s="156"/>
      <c r="BB3921" s="2828"/>
      <c r="BC3921" s="452"/>
      <c r="BD3921" s="2829"/>
      <c r="BE3921" s="2837"/>
      <c r="BF3921" s="156"/>
    </row>
    <row r="3922" spans="1:58" ht="15" customHeight="1" outlineLevel="1" x14ac:dyDescent="0.35">
      <c r="A3922" s="1664"/>
      <c r="B3922" s="2812"/>
      <c r="C3922" s="3077"/>
      <c r="D3922" s="3980"/>
      <c r="E3922" s="3883"/>
      <c r="F3922" s="3984" t="str">
        <f t="shared" si="439"/>
        <v>ASHP-SEER17_ER2_MF</v>
      </c>
      <c r="G3922" s="3984"/>
      <c r="H3922" s="3984"/>
      <c r="I3922" s="3984"/>
      <c r="J3922" s="3508" t="str">
        <f t="shared" si="440"/>
        <v>354200_2019_12_</v>
      </c>
      <c r="K3922" s="717">
        <v>12</v>
      </c>
      <c r="L3922" s="704"/>
      <c r="M3922" s="3020"/>
      <c r="N3922" s="106"/>
      <c r="O3922" s="106"/>
      <c r="P3922" s="702"/>
      <c r="Q3922" s="702"/>
      <c r="R3922" s="702"/>
      <c r="S3922" s="106"/>
      <c r="T3922" s="486"/>
      <c r="U3922" s="106"/>
      <c r="V3922" s="4129"/>
      <c r="W3922" s="717">
        <v>12</v>
      </c>
      <c r="X3922" s="717">
        <v>12</v>
      </c>
      <c r="Y3922" s="717">
        <v>12</v>
      </c>
      <c r="Z3922" s="717">
        <v>12</v>
      </c>
      <c r="AA3922" s="717">
        <v>12</v>
      </c>
      <c r="AB3922" s="717">
        <v>12</v>
      </c>
      <c r="AC3922" s="2930">
        <v>12</v>
      </c>
      <c r="AD3922" s="717">
        <v>12</v>
      </c>
      <c r="AE3922" s="2944"/>
      <c r="AF3922" s="717"/>
      <c r="AG3922" s="717"/>
      <c r="AH3922" s="156"/>
      <c r="AI3922" s="156"/>
      <c r="AJ3922" s="156"/>
      <c r="AK3922" s="156"/>
      <c r="AL3922" s="156"/>
      <c r="AM3922" s="156"/>
      <c r="AN3922" s="156"/>
      <c r="AO3922" s="156"/>
      <c r="AP3922" s="156"/>
      <c r="AQ3922" s="156"/>
      <c r="AR3922" s="156"/>
      <c r="AS3922" s="156"/>
      <c r="AT3922" s="156"/>
      <c r="AU3922" s="156"/>
      <c r="AV3922" s="156"/>
      <c r="AW3922" s="156"/>
      <c r="AX3922" s="156"/>
      <c r="AY3922" s="156"/>
      <c r="AZ3922" s="156"/>
      <c r="BA3922" s="156"/>
      <c r="BB3922" s="2828"/>
      <c r="BC3922" s="452"/>
      <c r="BD3922" s="2829"/>
      <c r="BE3922" s="2837"/>
      <c r="BF3922" s="156"/>
    </row>
    <row r="3923" spans="1:58" ht="15" customHeight="1" outlineLevel="1" x14ac:dyDescent="0.35">
      <c r="A3923" s="1664"/>
      <c r="B3923" s="2812"/>
      <c r="C3923" s="3077"/>
      <c r="D3923" s="3980"/>
      <c r="E3923" s="3883"/>
      <c r="F3923" s="3984" t="str">
        <f t="shared" si="439"/>
        <v>ASHP-SEER17_ER2_MF</v>
      </c>
      <c r="G3923" s="3984"/>
      <c r="H3923" s="3984"/>
      <c r="I3923" s="3984"/>
      <c r="J3923" s="3508" t="str">
        <f t="shared" si="440"/>
        <v>354200_2019_12_</v>
      </c>
      <c r="K3923" s="717">
        <v>12</v>
      </c>
      <c r="L3923" s="704"/>
      <c r="M3923" s="3020"/>
      <c r="N3923" s="106"/>
      <c r="O3923" s="106"/>
      <c r="P3923" s="702"/>
      <c r="Q3923" s="702"/>
      <c r="R3923" s="702"/>
      <c r="S3923" s="106"/>
      <c r="T3923" s="486"/>
      <c r="U3923" s="106"/>
      <c r="V3923" s="4129"/>
      <c r="W3923" s="717">
        <v>12</v>
      </c>
      <c r="X3923" s="717">
        <v>12</v>
      </c>
      <c r="Y3923" s="717">
        <v>12</v>
      </c>
      <c r="Z3923" s="717">
        <v>12</v>
      </c>
      <c r="AA3923" s="717">
        <v>12</v>
      </c>
      <c r="AB3923" s="717">
        <v>12</v>
      </c>
      <c r="AC3923" s="2930">
        <v>12</v>
      </c>
      <c r="AD3923" s="717">
        <v>12</v>
      </c>
      <c r="AE3923" s="2944"/>
      <c r="AF3923" s="717"/>
      <c r="AG3923" s="717"/>
      <c r="AH3923" s="156"/>
      <c r="AI3923" s="156"/>
      <c r="AJ3923" s="156"/>
      <c r="AK3923" s="156"/>
      <c r="AL3923" s="156"/>
      <c r="AM3923" s="156"/>
      <c r="AN3923" s="156"/>
      <c r="AO3923" s="156"/>
      <c r="AP3923" s="156"/>
      <c r="AQ3923" s="156"/>
      <c r="AR3923" s="156"/>
      <c r="AS3923" s="156"/>
      <c r="AT3923" s="156"/>
      <c r="AU3923" s="156"/>
      <c r="AV3923" s="156"/>
      <c r="AW3923" s="156"/>
      <c r="AX3923" s="156"/>
      <c r="AY3923" s="156"/>
      <c r="AZ3923" s="156"/>
      <c r="BA3923" s="156"/>
      <c r="BB3923" s="2828"/>
      <c r="BC3923" s="452"/>
      <c r="BD3923" s="2829"/>
      <c r="BE3923" s="2837"/>
      <c r="BF3923" s="156"/>
    </row>
    <row r="3924" spans="1:58" ht="15" customHeight="1" outlineLevel="1" x14ac:dyDescent="0.35">
      <c r="A3924" s="1664"/>
      <c r="B3924" s="2812"/>
      <c r="C3924" s="3077"/>
      <c r="D3924" s="3980"/>
      <c r="E3924" s="3883"/>
      <c r="F3924" s="3984" t="str">
        <f t="shared" si="439"/>
        <v>ASHP-SEER17_ER1_MF_CompE</v>
      </c>
      <c r="G3924" s="3984"/>
      <c r="H3924" s="3984"/>
      <c r="I3924" s="3984"/>
      <c r="J3924" s="3508" t="str">
        <f t="shared" si="440"/>
        <v>354201_2019_12_</v>
      </c>
      <c r="K3924" s="717">
        <v>6</v>
      </c>
      <c r="L3924" s="704"/>
      <c r="M3924" s="3020"/>
      <c r="N3924" s="106"/>
      <c r="O3924" s="106"/>
      <c r="P3924" s="702"/>
      <c r="Q3924" s="702"/>
      <c r="R3924" s="702"/>
      <c r="S3924" s="106"/>
      <c r="T3924" s="486"/>
      <c r="U3924" s="106"/>
      <c r="V3924" s="4129"/>
      <c r="W3924" s="717"/>
      <c r="X3924" s="717"/>
      <c r="Y3924" s="717"/>
      <c r="Z3924" s="717"/>
      <c r="AA3924" s="717"/>
      <c r="AB3924" s="717"/>
      <c r="AC3924" s="2932">
        <v>6</v>
      </c>
      <c r="AD3924" s="717">
        <v>6</v>
      </c>
      <c r="AE3924" s="2944"/>
      <c r="AF3924" s="717"/>
      <c r="AG3924" s="717"/>
      <c r="AH3924" s="156"/>
      <c r="AI3924" s="156"/>
      <c r="AJ3924" s="156"/>
      <c r="AK3924" s="156"/>
      <c r="AL3924" s="156"/>
      <c r="AM3924" s="156"/>
      <c r="AN3924" s="156"/>
      <c r="AO3924" s="156"/>
      <c r="AP3924" s="156"/>
      <c r="AQ3924" s="156"/>
      <c r="AR3924" s="156"/>
      <c r="AS3924" s="156"/>
      <c r="AT3924" s="156"/>
      <c r="AU3924" s="156"/>
      <c r="AV3924" s="156"/>
      <c r="AW3924" s="156"/>
      <c r="AX3924" s="156"/>
      <c r="AY3924" s="156"/>
      <c r="AZ3924" s="156"/>
      <c r="BA3924" s="156"/>
      <c r="BB3924" s="2828"/>
      <c r="BC3924" s="452"/>
      <c r="BD3924" s="2829"/>
      <c r="BE3924" s="2837"/>
      <c r="BF3924" s="156"/>
    </row>
    <row r="3925" spans="1:58" ht="15" customHeight="1" outlineLevel="1" x14ac:dyDescent="0.35">
      <c r="A3925" s="1664"/>
      <c r="B3925" s="2812"/>
      <c r="C3925" s="3077"/>
      <c r="D3925" s="3980"/>
      <c r="E3925" s="3883"/>
      <c r="F3925" s="3984" t="str">
        <f t="shared" si="439"/>
        <v>ASHP-SEER17_ER1_MF_CompE</v>
      </c>
      <c r="G3925" s="3984"/>
      <c r="H3925" s="3984"/>
      <c r="I3925" s="3984"/>
      <c r="J3925" s="3508" t="str">
        <f t="shared" si="440"/>
        <v>354201_2019_12_</v>
      </c>
      <c r="K3925" s="717">
        <v>6</v>
      </c>
      <c r="L3925" s="704"/>
      <c r="M3925" s="3020"/>
      <c r="N3925" s="106"/>
      <c r="O3925" s="106"/>
      <c r="P3925" s="702"/>
      <c r="Q3925" s="702"/>
      <c r="R3925" s="702"/>
      <c r="S3925" s="106"/>
      <c r="T3925" s="486"/>
      <c r="U3925" s="106"/>
      <c r="V3925" s="4129"/>
      <c r="W3925" s="717"/>
      <c r="X3925" s="717"/>
      <c r="Y3925" s="717"/>
      <c r="Z3925" s="717"/>
      <c r="AA3925" s="717"/>
      <c r="AB3925" s="717"/>
      <c r="AC3925" s="2932">
        <v>6</v>
      </c>
      <c r="AD3925" s="717">
        <v>6</v>
      </c>
      <c r="AE3925" s="2944"/>
      <c r="AF3925" s="717"/>
      <c r="AG3925" s="717"/>
      <c r="AH3925" s="156"/>
      <c r="AI3925" s="156"/>
      <c r="AJ3925" s="156"/>
      <c r="AK3925" s="156"/>
      <c r="AL3925" s="156"/>
      <c r="AM3925" s="156"/>
      <c r="AN3925" s="156"/>
      <c r="AO3925" s="156"/>
      <c r="AP3925" s="156"/>
      <c r="AQ3925" s="156"/>
      <c r="AR3925" s="156"/>
      <c r="AS3925" s="156"/>
      <c r="AT3925" s="156"/>
      <c r="AU3925" s="156"/>
      <c r="AV3925" s="156"/>
      <c r="AW3925" s="156"/>
      <c r="AX3925" s="156"/>
      <c r="AY3925" s="156"/>
      <c r="AZ3925" s="156"/>
      <c r="BA3925" s="156"/>
      <c r="BB3925" s="2828"/>
      <c r="BC3925" s="452"/>
      <c r="BD3925" s="2829"/>
      <c r="BE3925" s="2837"/>
      <c r="BF3925" s="156"/>
    </row>
    <row r="3926" spans="1:58" ht="15" customHeight="1" outlineLevel="1" x14ac:dyDescent="0.35">
      <c r="A3926" s="1664"/>
      <c r="B3926" s="2812"/>
      <c r="C3926" s="3077"/>
      <c r="D3926" s="3980"/>
      <c r="E3926" s="3883"/>
      <c r="F3926" s="3984" t="str">
        <f t="shared" si="439"/>
        <v>ASHP-SEER17_ER2_MF_CompE</v>
      </c>
      <c r="G3926" s="3984"/>
      <c r="H3926" s="3984"/>
      <c r="I3926" s="3984"/>
      <c r="J3926" s="3508" t="str">
        <f t="shared" si="440"/>
        <v>354201_2019_12_</v>
      </c>
      <c r="K3926" s="717">
        <v>12</v>
      </c>
      <c r="L3926" s="704"/>
      <c r="M3926" s="3020"/>
      <c r="N3926" s="106"/>
      <c r="O3926" s="106"/>
      <c r="P3926" s="702"/>
      <c r="Q3926" s="702"/>
      <c r="R3926" s="702"/>
      <c r="S3926" s="106"/>
      <c r="T3926" s="486"/>
      <c r="U3926" s="106"/>
      <c r="V3926" s="4129"/>
      <c r="W3926" s="717"/>
      <c r="X3926" s="717"/>
      <c r="Y3926" s="717"/>
      <c r="Z3926" s="717"/>
      <c r="AA3926" s="717"/>
      <c r="AB3926" s="717"/>
      <c r="AC3926" s="2932">
        <v>12</v>
      </c>
      <c r="AD3926" s="717">
        <v>12</v>
      </c>
      <c r="AE3926" s="2944"/>
      <c r="AF3926" s="717"/>
      <c r="AG3926" s="717"/>
      <c r="AH3926" s="156"/>
      <c r="AI3926" s="156"/>
      <c r="AJ3926" s="156"/>
      <c r="AK3926" s="156"/>
      <c r="AL3926" s="156"/>
      <c r="AM3926" s="156"/>
      <c r="AN3926" s="156"/>
      <c r="AO3926" s="156"/>
      <c r="AP3926" s="156"/>
      <c r="AQ3926" s="156"/>
      <c r="AR3926" s="156"/>
      <c r="AS3926" s="156"/>
      <c r="AT3926" s="156"/>
      <c r="AU3926" s="156"/>
      <c r="AV3926" s="156"/>
      <c r="AW3926" s="156"/>
      <c r="AX3926" s="156"/>
      <c r="AY3926" s="156"/>
      <c r="AZ3926" s="156"/>
      <c r="BA3926" s="156"/>
      <c r="BB3926" s="2828"/>
      <c r="BC3926" s="452"/>
      <c r="BD3926" s="2829"/>
      <c r="BE3926" s="2837"/>
      <c r="BF3926" s="156"/>
    </row>
    <row r="3927" spans="1:58" ht="15" customHeight="1" outlineLevel="1" x14ac:dyDescent="0.35">
      <c r="A3927" s="1664"/>
      <c r="B3927" s="2812"/>
      <c r="C3927" s="3077"/>
      <c r="D3927" s="3980"/>
      <c r="E3927" s="3883"/>
      <c r="F3927" s="3984" t="str">
        <f t="shared" si="439"/>
        <v>ASHP-SEER17_ER2_MF_CompE</v>
      </c>
      <c r="G3927" s="3984"/>
      <c r="H3927" s="3984"/>
      <c r="I3927" s="3984"/>
      <c r="J3927" s="3508" t="str">
        <f t="shared" si="440"/>
        <v>354201_2019_12_</v>
      </c>
      <c r="K3927" s="717">
        <v>12</v>
      </c>
      <c r="L3927" s="704"/>
      <c r="M3927" s="3020"/>
      <c r="N3927" s="106"/>
      <c r="O3927" s="106"/>
      <c r="P3927" s="702"/>
      <c r="Q3927" s="702"/>
      <c r="R3927" s="702"/>
      <c r="S3927" s="106"/>
      <c r="T3927" s="486"/>
      <c r="U3927" s="106"/>
      <c r="V3927" s="4129"/>
      <c r="W3927" s="717"/>
      <c r="X3927" s="717"/>
      <c r="Y3927" s="717"/>
      <c r="Z3927" s="717"/>
      <c r="AA3927" s="717"/>
      <c r="AB3927" s="717"/>
      <c r="AC3927" s="2932">
        <v>12</v>
      </c>
      <c r="AD3927" s="717">
        <v>12</v>
      </c>
      <c r="AE3927" s="2944"/>
      <c r="AF3927" s="717"/>
      <c r="AG3927" s="717"/>
      <c r="AH3927" s="156"/>
      <c r="AI3927" s="156"/>
      <c r="AJ3927" s="156"/>
      <c r="AK3927" s="156"/>
      <c r="AL3927" s="156"/>
      <c r="AM3927" s="156"/>
      <c r="AN3927" s="156"/>
      <c r="AO3927" s="156"/>
      <c r="AP3927" s="156"/>
      <c r="AQ3927" s="156"/>
      <c r="AR3927" s="156"/>
      <c r="AS3927" s="156"/>
      <c r="AT3927" s="156"/>
      <c r="AU3927" s="156"/>
      <c r="AV3927" s="156"/>
      <c r="AW3927" s="156"/>
      <c r="AX3927" s="156"/>
      <c r="AY3927" s="156"/>
      <c r="AZ3927" s="156"/>
      <c r="BA3927" s="156"/>
      <c r="BB3927" s="2828"/>
      <c r="BC3927" s="452"/>
      <c r="BD3927" s="2829"/>
      <c r="BE3927" s="2837"/>
      <c r="BF3927" s="156"/>
    </row>
    <row r="3928" spans="1:58" ht="15" customHeight="1" outlineLevel="1" x14ac:dyDescent="0.35">
      <c r="A3928" s="1664"/>
      <c r="B3928" s="2812"/>
      <c r="C3928" s="3077"/>
      <c r="D3928" s="3980"/>
      <c r="E3928" s="3883"/>
      <c r="F3928" s="3984" t="str">
        <f t="shared" si="439"/>
        <v>ASHP-SEER18-Replace_CAC_ElectricHeat_ER1_SF</v>
      </c>
      <c r="G3928" s="3984"/>
      <c r="H3928" s="3984"/>
      <c r="I3928" s="3984"/>
      <c r="J3928" s="3508" t="str">
        <f t="shared" si="440"/>
        <v>354250_2021_12_</v>
      </c>
      <c r="K3928" s="717">
        <v>6</v>
      </c>
      <c r="L3928" s="704"/>
      <c r="M3928" s="3020"/>
      <c r="N3928" s="106"/>
      <c r="O3928" s="106"/>
      <c r="P3928" s="702"/>
      <c r="Q3928" s="702"/>
      <c r="R3928" s="702"/>
      <c r="S3928" s="106"/>
      <c r="T3928" s="486"/>
      <c r="U3928" s="106"/>
      <c r="V3928" s="4129"/>
      <c r="W3928" s="717">
        <v>6</v>
      </c>
      <c r="X3928" s="717">
        <v>6</v>
      </c>
      <c r="Y3928" s="717">
        <v>6</v>
      </c>
      <c r="Z3928" s="717">
        <v>6</v>
      </c>
      <c r="AA3928" s="717">
        <v>6</v>
      </c>
      <c r="AB3928" s="717">
        <v>6</v>
      </c>
      <c r="AC3928" s="2930">
        <v>6</v>
      </c>
      <c r="AD3928" s="717">
        <v>6</v>
      </c>
      <c r="AE3928" s="2944"/>
      <c r="AF3928" s="717"/>
      <c r="AG3928" s="717"/>
      <c r="AH3928" s="156"/>
      <c r="AI3928" s="156"/>
      <c r="AJ3928" s="156"/>
      <c r="AK3928" s="156"/>
      <c r="AL3928" s="156"/>
      <c r="AM3928" s="156"/>
      <c r="AN3928" s="156"/>
      <c r="AO3928" s="156"/>
      <c r="AP3928" s="156"/>
      <c r="AQ3928" s="156"/>
      <c r="AR3928" s="156"/>
      <c r="AS3928" s="156"/>
      <c r="AT3928" s="156"/>
      <c r="AU3928" s="156"/>
      <c r="AV3928" s="156"/>
      <c r="AW3928" s="156"/>
      <c r="AX3928" s="156"/>
      <c r="AY3928" s="156"/>
      <c r="AZ3928" s="156"/>
      <c r="BA3928" s="156"/>
      <c r="BB3928" s="2828"/>
      <c r="BC3928" s="452"/>
      <c r="BD3928" s="2829"/>
      <c r="BE3928" s="2837"/>
      <c r="BF3928" s="156"/>
    </row>
    <row r="3929" spans="1:58" ht="15" customHeight="1" outlineLevel="1" x14ac:dyDescent="0.35">
      <c r="A3929" s="1664"/>
      <c r="B3929" s="2812"/>
      <c r="C3929" s="3077"/>
      <c r="D3929" s="3980"/>
      <c r="E3929" s="3883"/>
      <c r="F3929" s="3984" t="str">
        <f t="shared" si="439"/>
        <v>ASHP-SEER18-Replace_CAC_ElectricHeat_ER1_SF</v>
      </c>
      <c r="G3929" s="3984"/>
      <c r="H3929" s="3984"/>
      <c r="I3929" s="3984"/>
      <c r="J3929" s="3508" t="str">
        <f t="shared" si="440"/>
        <v>354250_2021_12_</v>
      </c>
      <c r="K3929" s="717">
        <v>6</v>
      </c>
      <c r="L3929" s="704"/>
      <c r="M3929" s="3020"/>
      <c r="N3929" s="106"/>
      <c r="O3929" s="106"/>
      <c r="P3929" s="702"/>
      <c r="Q3929" s="702"/>
      <c r="R3929" s="702"/>
      <c r="S3929" s="106"/>
      <c r="T3929" s="486"/>
      <c r="U3929" s="106"/>
      <c r="V3929" s="4129"/>
      <c r="W3929" s="717">
        <v>6</v>
      </c>
      <c r="X3929" s="717">
        <v>6</v>
      </c>
      <c r="Y3929" s="717">
        <v>6</v>
      </c>
      <c r="Z3929" s="717">
        <v>6</v>
      </c>
      <c r="AA3929" s="717">
        <v>6</v>
      </c>
      <c r="AB3929" s="717">
        <v>6</v>
      </c>
      <c r="AC3929" s="2930">
        <v>6</v>
      </c>
      <c r="AD3929" s="717">
        <v>6</v>
      </c>
      <c r="AE3929" s="2944"/>
      <c r="AF3929" s="717"/>
      <c r="AG3929" s="717"/>
      <c r="AH3929" s="156"/>
      <c r="AI3929" s="156"/>
      <c r="AJ3929" s="156"/>
      <c r="AK3929" s="156"/>
      <c r="AL3929" s="156"/>
      <c r="AM3929" s="156"/>
      <c r="AN3929" s="156"/>
      <c r="AO3929" s="156"/>
      <c r="AP3929" s="156"/>
      <c r="AQ3929" s="156"/>
      <c r="AR3929" s="156"/>
      <c r="AS3929" s="156"/>
      <c r="AT3929" s="156"/>
      <c r="AU3929" s="156"/>
      <c r="AV3929" s="156"/>
      <c r="AW3929" s="156"/>
      <c r="AX3929" s="156"/>
      <c r="AY3929" s="156"/>
      <c r="AZ3929" s="156"/>
      <c r="BA3929" s="156"/>
      <c r="BB3929" s="2828"/>
      <c r="BC3929" s="452"/>
      <c r="BD3929" s="2829"/>
      <c r="BE3929" s="2837"/>
      <c r="BF3929" s="156"/>
    </row>
    <row r="3930" spans="1:58" ht="15" customHeight="1" outlineLevel="1" x14ac:dyDescent="0.35">
      <c r="A3930" s="1664"/>
      <c r="B3930" s="2812"/>
      <c r="C3930" s="3077"/>
      <c r="D3930" s="3980"/>
      <c r="E3930" s="3883"/>
      <c r="F3930" s="3984" t="str">
        <f t="shared" si="439"/>
        <v>ASHP-SEER18-Replace_CAC_ElectricHeat_ER2_SF</v>
      </c>
      <c r="G3930" s="3984"/>
      <c r="H3930" s="3984"/>
      <c r="I3930" s="3984"/>
      <c r="J3930" s="3508" t="str">
        <f t="shared" si="440"/>
        <v>354250_2021_12_</v>
      </c>
      <c r="K3930" s="717">
        <v>12</v>
      </c>
      <c r="L3930" s="704"/>
      <c r="M3930" s="3020"/>
      <c r="N3930" s="106"/>
      <c r="O3930" s="106"/>
      <c r="P3930" s="702"/>
      <c r="Q3930" s="702"/>
      <c r="R3930" s="702"/>
      <c r="S3930" s="106"/>
      <c r="T3930" s="486"/>
      <c r="U3930" s="106"/>
      <c r="V3930" s="4129"/>
      <c r="W3930" s="717">
        <v>12</v>
      </c>
      <c r="X3930" s="717">
        <v>12</v>
      </c>
      <c r="Y3930" s="717">
        <v>12</v>
      </c>
      <c r="Z3930" s="717">
        <v>12</v>
      </c>
      <c r="AA3930" s="717">
        <v>12</v>
      </c>
      <c r="AB3930" s="717">
        <v>12</v>
      </c>
      <c r="AC3930" s="2930">
        <v>12</v>
      </c>
      <c r="AD3930" s="717">
        <v>12</v>
      </c>
      <c r="AE3930" s="2944"/>
      <c r="AF3930" s="717"/>
      <c r="AG3930" s="717"/>
      <c r="AH3930" s="156"/>
      <c r="AI3930" s="156"/>
      <c r="AJ3930" s="156"/>
      <c r="AK3930" s="156"/>
      <c r="AL3930" s="156"/>
      <c r="AM3930" s="156"/>
      <c r="AN3930" s="156"/>
      <c r="AO3930" s="156"/>
      <c r="AP3930" s="156"/>
      <c r="AQ3930" s="156"/>
      <c r="AR3930" s="156"/>
      <c r="AS3930" s="156"/>
      <c r="AT3930" s="156"/>
      <c r="AU3930" s="156"/>
      <c r="AV3930" s="156"/>
      <c r="AW3930" s="156"/>
      <c r="AX3930" s="156"/>
      <c r="AY3930" s="156"/>
      <c r="AZ3930" s="156"/>
      <c r="BA3930" s="156"/>
      <c r="BB3930" s="2828"/>
      <c r="BC3930" s="452"/>
      <c r="BD3930" s="2829"/>
      <c r="BE3930" s="2837"/>
      <c r="BF3930" s="156"/>
    </row>
    <row r="3931" spans="1:58" ht="15" customHeight="1" outlineLevel="1" x14ac:dyDescent="0.35">
      <c r="A3931" s="1664"/>
      <c r="B3931" s="2812"/>
      <c r="C3931" s="3077"/>
      <c r="D3931" s="3980"/>
      <c r="E3931" s="3883"/>
      <c r="F3931" s="3984" t="str">
        <f t="shared" si="439"/>
        <v>ASHP-SEER18-Replace_CAC_ElectricHeat_ER2_SF</v>
      </c>
      <c r="G3931" s="3984"/>
      <c r="H3931" s="3984"/>
      <c r="I3931" s="3984"/>
      <c r="J3931" s="3508" t="str">
        <f t="shared" si="440"/>
        <v>354250_2021_12_</v>
      </c>
      <c r="K3931" s="717">
        <v>12</v>
      </c>
      <c r="L3931" s="704"/>
      <c r="M3931" s="3020"/>
      <c r="N3931" s="106"/>
      <c r="O3931" s="106"/>
      <c r="P3931" s="702"/>
      <c r="Q3931" s="702"/>
      <c r="R3931" s="702"/>
      <c r="S3931" s="106"/>
      <c r="T3931" s="486"/>
      <c r="U3931" s="106"/>
      <c r="V3931" s="4129"/>
      <c r="W3931" s="717">
        <v>12</v>
      </c>
      <c r="X3931" s="717">
        <v>12</v>
      </c>
      <c r="Y3931" s="717">
        <v>12</v>
      </c>
      <c r="Z3931" s="717">
        <v>12</v>
      </c>
      <c r="AA3931" s="717">
        <v>12</v>
      </c>
      <c r="AB3931" s="717">
        <v>12</v>
      </c>
      <c r="AC3931" s="2930">
        <v>12</v>
      </c>
      <c r="AD3931" s="717">
        <v>12</v>
      </c>
      <c r="AE3931" s="2944"/>
      <c r="AF3931" s="717"/>
      <c r="AG3931" s="717"/>
      <c r="AH3931" s="156"/>
      <c r="AI3931" s="156"/>
      <c r="AJ3931" s="156"/>
      <c r="AK3931" s="156"/>
      <c r="AL3931" s="156"/>
      <c r="AM3931" s="156"/>
      <c r="AN3931" s="156"/>
      <c r="AO3931" s="156"/>
      <c r="AP3931" s="156"/>
      <c r="AQ3931" s="156"/>
      <c r="AR3931" s="156"/>
      <c r="AS3931" s="156"/>
      <c r="AT3931" s="156"/>
      <c r="AU3931" s="156"/>
      <c r="AV3931" s="156"/>
      <c r="AW3931" s="156"/>
      <c r="AX3931" s="156"/>
      <c r="AY3931" s="156"/>
      <c r="AZ3931" s="156"/>
      <c r="BA3931" s="156"/>
      <c r="BB3931" s="2828"/>
      <c r="BC3931" s="452"/>
      <c r="BD3931" s="2829"/>
      <c r="BE3931" s="2837"/>
      <c r="BF3931" s="156"/>
    </row>
    <row r="3932" spans="1:58" ht="15" customHeight="1" outlineLevel="1" x14ac:dyDescent="0.35">
      <c r="A3932" s="1664"/>
      <c r="B3932" s="2812"/>
      <c r="C3932" s="3077"/>
      <c r="D3932" s="3980"/>
      <c r="E3932" s="3883"/>
      <c r="F3932" s="3984" t="str">
        <f t="shared" si="439"/>
        <v>ASHP-SEER18-Replace_CAC_NonElectricHeat_ER1_SF</v>
      </c>
      <c r="G3932" s="3984"/>
      <c r="H3932" s="3984"/>
      <c r="I3932" s="3984"/>
      <c r="J3932" s="3508" t="str">
        <f t="shared" si="440"/>
        <v>354260_2021_12_</v>
      </c>
      <c r="K3932" s="717">
        <v>6</v>
      </c>
      <c r="L3932" s="704"/>
      <c r="M3932" s="3020"/>
      <c r="N3932" s="106"/>
      <c r="O3932" s="106"/>
      <c r="P3932" s="702"/>
      <c r="Q3932" s="702"/>
      <c r="R3932" s="702"/>
      <c r="S3932" s="106"/>
      <c r="T3932" s="486"/>
      <c r="U3932" s="106"/>
      <c r="V3932" s="4129"/>
      <c r="W3932" s="717"/>
      <c r="X3932" s="717"/>
      <c r="Y3932" s="717"/>
      <c r="Z3932" s="717"/>
      <c r="AA3932" s="717"/>
      <c r="AB3932" s="717"/>
      <c r="AC3932" s="2932">
        <v>6</v>
      </c>
      <c r="AD3932" s="717">
        <v>6</v>
      </c>
      <c r="AE3932" s="2944"/>
      <c r="AF3932" s="717"/>
      <c r="AG3932" s="717"/>
      <c r="AH3932" s="156"/>
      <c r="AI3932" s="156"/>
      <c r="AJ3932" s="156"/>
      <c r="AK3932" s="156"/>
      <c r="AL3932" s="156"/>
      <c r="AM3932" s="156"/>
      <c r="AN3932" s="156"/>
      <c r="AO3932" s="156"/>
      <c r="AP3932" s="156"/>
      <c r="AQ3932" s="156"/>
      <c r="AR3932" s="156"/>
      <c r="AS3932" s="156"/>
      <c r="AT3932" s="156"/>
      <c r="AU3932" s="156"/>
      <c r="AV3932" s="156"/>
      <c r="AW3932" s="156"/>
      <c r="AX3932" s="156"/>
      <c r="AY3932" s="156"/>
      <c r="AZ3932" s="156"/>
      <c r="BA3932" s="156"/>
      <c r="BB3932" s="2828"/>
      <c r="BC3932" s="452"/>
      <c r="BD3932" s="2829"/>
      <c r="BE3932" s="2837"/>
      <c r="BF3932" s="156"/>
    </row>
    <row r="3933" spans="1:58" ht="15" customHeight="1" outlineLevel="1" x14ac:dyDescent="0.35">
      <c r="A3933" s="1664"/>
      <c r="B3933" s="2812"/>
      <c r="C3933" s="3077"/>
      <c r="D3933" s="3980"/>
      <c r="E3933" s="3883"/>
      <c r="F3933" s="3984" t="str">
        <f t="shared" si="439"/>
        <v>ASHP-SEER18-Replace_CAC_NonElectricHeat_ER1_SF</v>
      </c>
      <c r="G3933" s="3984"/>
      <c r="H3933" s="3984"/>
      <c r="I3933" s="3984"/>
      <c r="J3933" s="3508" t="str">
        <f t="shared" si="440"/>
        <v>354260_2021_12_</v>
      </c>
      <c r="K3933" s="717">
        <v>6</v>
      </c>
      <c r="L3933" s="704"/>
      <c r="M3933" s="3020"/>
      <c r="N3933" s="106"/>
      <c r="O3933" s="106"/>
      <c r="P3933" s="702"/>
      <c r="Q3933" s="702"/>
      <c r="R3933" s="702"/>
      <c r="S3933" s="106"/>
      <c r="T3933" s="486"/>
      <c r="U3933" s="106"/>
      <c r="V3933" s="4129"/>
      <c r="W3933" s="717"/>
      <c r="X3933" s="717"/>
      <c r="Y3933" s="717"/>
      <c r="Z3933" s="717"/>
      <c r="AA3933" s="717"/>
      <c r="AB3933" s="717"/>
      <c r="AC3933" s="2932">
        <v>6</v>
      </c>
      <c r="AD3933" s="717">
        <v>6</v>
      </c>
      <c r="AE3933" s="2944"/>
      <c r="AF3933" s="717"/>
      <c r="AG3933" s="717"/>
      <c r="AH3933" s="156"/>
      <c r="AI3933" s="156"/>
      <c r="AJ3933" s="156"/>
      <c r="AK3933" s="156"/>
      <c r="AL3933" s="156"/>
      <c r="AM3933" s="156"/>
      <c r="AN3933" s="156"/>
      <c r="AO3933" s="156"/>
      <c r="AP3933" s="156"/>
      <c r="AQ3933" s="156"/>
      <c r="AR3933" s="156"/>
      <c r="AS3933" s="156"/>
      <c r="AT3933" s="156"/>
      <c r="AU3933" s="156"/>
      <c r="AV3933" s="156"/>
      <c r="AW3933" s="156"/>
      <c r="AX3933" s="156"/>
      <c r="AY3933" s="156"/>
      <c r="AZ3933" s="156"/>
      <c r="BA3933" s="156"/>
      <c r="BB3933" s="2828"/>
      <c r="BC3933" s="452"/>
      <c r="BD3933" s="2829"/>
      <c r="BE3933" s="2837"/>
      <c r="BF3933" s="156"/>
    </row>
    <row r="3934" spans="1:58" ht="15" customHeight="1" outlineLevel="1" x14ac:dyDescent="0.35">
      <c r="A3934" s="1664"/>
      <c r="B3934" s="2812"/>
      <c r="C3934" s="3077"/>
      <c r="D3934" s="3980"/>
      <c r="E3934" s="3883"/>
      <c r="F3934" s="3984" t="str">
        <f t="shared" ref="F3934:F3965" si="441">E1790</f>
        <v>ASHP-SEER18-Replace_CAC_NonElectricHeat_ER2_SF</v>
      </c>
      <c r="G3934" s="3984"/>
      <c r="H3934" s="3984"/>
      <c r="I3934" s="3984"/>
      <c r="J3934" s="3508" t="str">
        <f t="shared" ref="J3934:J3965" si="442">C1790</f>
        <v>354260_2021_12_</v>
      </c>
      <c r="K3934" s="717">
        <v>12</v>
      </c>
      <c r="L3934" s="704"/>
      <c r="M3934" s="3020"/>
      <c r="N3934" s="106"/>
      <c r="O3934" s="106"/>
      <c r="P3934" s="702"/>
      <c r="Q3934" s="702"/>
      <c r="R3934" s="702"/>
      <c r="S3934" s="106"/>
      <c r="T3934" s="486"/>
      <c r="U3934" s="106"/>
      <c r="V3934" s="4129"/>
      <c r="W3934" s="717"/>
      <c r="X3934" s="717"/>
      <c r="Y3934" s="717"/>
      <c r="Z3934" s="717"/>
      <c r="AA3934" s="717"/>
      <c r="AB3934" s="717"/>
      <c r="AC3934" s="2932">
        <v>12</v>
      </c>
      <c r="AD3934" s="717">
        <v>12</v>
      </c>
      <c r="AE3934" s="2944"/>
      <c r="AF3934" s="717"/>
      <c r="AG3934" s="717"/>
      <c r="AH3934" s="156"/>
      <c r="AI3934" s="156"/>
      <c r="AJ3934" s="156"/>
      <c r="AK3934" s="156"/>
      <c r="AL3934" s="156"/>
      <c r="AM3934" s="156"/>
      <c r="AN3934" s="156"/>
      <c r="AO3934" s="156"/>
      <c r="AP3934" s="156"/>
      <c r="AQ3934" s="156"/>
      <c r="AR3934" s="156"/>
      <c r="AS3934" s="156"/>
      <c r="AT3934" s="156"/>
      <c r="AU3934" s="156"/>
      <c r="AV3934" s="156"/>
      <c r="AW3934" s="156"/>
      <c r="AX3934" s="156"/>
      <c r="AY3934" s="156"/>
      <c r="AZ3934" s="156"/>
      <c r="BA3934" s="156"/>
      <c r="BB3934" s="2828"/>
      <c r="BC3934" s="452"/>
      <c r="BD3934" s="2829"/>
      <c r="BE3934" s="2837"/>
      <c r="BF3934" s="156"/>
    </row>
    <row r="3935" spans="1:58" ht="15" customHeight="1" outlineLevel="1" x14ac:dyDescent="0.35">
      <c r="A3935" s="1664"/>
      <c r="B3935" s="2812"/>
      <c r="C3935" s="3077"/>
      <c r="D3935" s="3980"/>
      <c r="E3935" s="3883"/>
      <c r="F3935" s="3984" t="str">
        <f t="shared" si="441"/>
        <v>ASHP-SEER18-Replace_CAC_NonElectricHeat_ER2_SF</v>
      </c>
      <c r="G3935" s="3984"/>
      <c r="H3935" s="3984"/>
      <c r="I3935" s="3984"/>
      <c r="J3935" s="3508" t="str">
        <f t="shared" si="442"/>
        <v>354260_2021_12_</v>
      </c>
      <c r="K3935" s="717">
        <v>12</v>
      </c>
      <c r="L3935" s="704"/>
      <c r="M3935" s="3020"/>
      <c r="N3935" s="106"/>
      <c r="O3935" s="106"/>
      <c r="P3935" s="702"/>
      <c r="Q3935" s="702"/>
      <c r="R3935" s="702"/>
      <c r="S3935" s="106"/>
      <c r="T3935" s="486"/>
      <c r="U3935" s="106"/>
      <c r="V3935" s="4129"/>
      <c r="W3935" s="717"/>
      <c r="X3935" s="717"/>
      <c r="Y3935" s="717"/>
      <c r="Z3935" s="717"/>
      <c r="AA3935" s="717"/>
      <c r="AB3935" s="717"/>
      <c r="AC3935" s="2932">
        <v>12</v>
      </c>
      <c r="AD3935" s="717">
        <v>12</v>
      </c>
      <c r="AE3935" s="2944"/>
      <c r="AF3935" s="717"/>
      <c r="AG3935" s="717"/>
      <c r="AH3935" s="156"/>
      <c r="AI3935" s="156"/>
      <c r="AJ3935" s="156"/>
      <c r="AK3935" s="156"/>
      <c r="AL3935" s="156"/>
      <c r="AM3935" s="156"/>
      <c r="AN3935" s="156"/>
      <c r="AO3935" s="156"/>
      <c r="AP3935" s="156"/>
      <c r="AQ3935" s="156"/>
      <c r="AR3935" s="156"/>
      <c r="AS3935" s="156"/>
      <c r="AT3935" s="156"/>
      <c r="AU3935" s="156"/>
      <c r="AV3935" s="156"/>
      <c r="AW3935" s="156"/>
      <c r="AX3935" s="156"/>
      <c r="AY3935" s="156"/>
      <c r="AZ3935" s="156"/>
      <c r="BA3935" s="156"/>
      <c r="BB3935" s="2828"/>
      <c r="BC3935" s="452"/>
      <c r="BD3935" s="2829"/>
      <c r="BE3935" s="2837"/>
      <c r="BF3935" s="156"/>
    </row>
    <row r="3936" spans="1:58" ht="15" customHeight="1" outlineLevel="1" x14ac:dyDescent="0.35">
      <c r="A3936" s="1664"/>
      <c r="B3936" s="2812"/>
      <c r="C3936" s="3077"/>
      <c r="D3936" s="3980"/>
      <c r="E3936" s="3883"/>
      <c r="F3936" s="3984" t="str">
        <f t="shared" si="441"/>
        <v>ASHP-SEER18-Replace_CAC_ElectricHeat_ER1_MF</v>
      </c>
      <c r="G3936" s="3984"/>
      <c r="H3936" s="3984"/>
      <c r="I3936" s="3984"/>
      <c r="J3936" s="3508" t="str">
        <f t="shared" si="442"/>
        <v>354300_2021_12_</v>
      </c>
      <c r="K3936" s="717">
        <v>6</v>
      </c>
      <c r="L3936" s="704"/>
      <c r="M3936" s="3020"/>
      <c r="N3936" s="106"/>
      <c r="O3936" s="106"/>
      <c r="P3936" s="702"/>
      <c r="Q3936" s="702"/>
      <c r="R3936" s="702"/>
      <c r="S3936" s="106"/>
      <c r="T3936" s="486"/>
      <c r="U3936" s="106"/>
      <c r="V3936" s="4129"/>
      <c r="W3936" s="717">
        <v>6</v>
      </c>
      <c r="X3936" s="717">
        <v>6</v>
      </c>
      <c r="Y3936" s="717">
        <v>6</v>
      </c>
      <c r="Z3936" s="717">
        <v>6</v>
      </c>
      <c r="AA3936" s="717">
        <v>6</v>
      </c>
      <c r="AB3936" s="717">
        <v>6</v>
      </c>
      <c r="AC3936" s="2930">
        <v>6</v>
      </c>
      <c r="AD3936" s="717">
        <v>6</v>
      </c>
      <c r="AE3936" s="2944"/>
      <c r="AF3936" s="717"/>
      <c r="AG3936" s="717"/>
      <c r="AH3936" s="156"/>
      <c r="AI3936" s="156"/>
      <c r="AJ3936" s="156"/>
      <c r="AK3936" s="156"/>
      <c r="AL3936" s="156"/>
      <c r="AM3936" s="156"/>
      <c r="AN3936" s="156"/>
      <c r="AO3936" s="156"/>
      <c r="AP3936" s="156"/>
      <c r="AQ3936" s="156"/>
      <c r="AR3936" s="156"/>
      <c r="AS3936" s="156"/>
      <c r="AT3936" s="156"/>
      <c r="AU3936" s="156"/>
      <c r="AV3936" s="156"/>
      <c r="AW3936" s="156"/>
      <c r="AX3936" s="156"/>
      <c r="AY3936" s="156"/>
      <c r="AZ3936" s="156"/>
      <c r="BA3936" s="156"/>
      <c r="BB3936" s="2828"/>
      <c r="BC3936" s="452"/>
      <c r="BD3936" s="2829"/>
      <c r="BE3936" s="2837"/>
      <c r="BF3936" s="156"/>
    </row>
    <row r="3937" spans="1:58" ht="15" customHeight="1" outlineLevel="1" x14ac:dyDescent="0.35">
      <c r="A3937" s="1664"/>
      <c r="B3937" s="2812"/>
      <c r="C3937" s="3077"/>
      <c r="D3937" s="3980"/>
      <c r="E3937" s="3883"/>
      <c r="F3937" s="3984" t="str">
        <f t="shared" si="441"/>
        <v>ASHP-SEER18-Replace_CAC_ElectricHeat_ER1_MF</v>
      </c>
      <c r="G3937" s="3984"/>
      <c r="H3937" s="3984"/>
      <c r="I3937" s="3984"/>
      <c r="J3937" s="3508" t="str">
        <f t="shared" si="442"/>
        <v>354300_2021_12_</v>
      </c>
      <c r="K3937" s="717">
        <v>6</v>
      </c>
      <c r="L3937" s="704"/>
      <c r="M3937" s="3020"/>
      <c r="N3937" s="106"/>
      <c r="O3937" s="106"/>
      <c r="P3937" s="702"/>
      <c r="Q3937" s="702"/>
      <c r="R3937" s="702"/>
      <c r="S3937" s="106"/>
      <c r="T3937" s="486"/>
      <c r="U3937" s="106"/>
      <c r="V3937" s="4129"/>
      <c r="W3937" s="717">
        <v>6</v>
      </c>
      <c r="X3937" s="717">
        <v>6</v>
      </c>
      <c r="Y3937" s="717">
        <v>6</v>
      </c>
      <c r="Z3937" s="717">
        <v>6</v>
      </c>
      <c r="AA3937" s="717">
        <v>6</v>
      </c>
      <c r="AB3937" s="717">
        <v>6</v>
      </c>
      <c r="AC3937" s="2930">
        <v>6</v>
      </c>
      <c r="AD3937" s="717">
        <v>6</v>
      </c>
      <c r="AE3937" s="2944"/>
      <c r="AF3937" s="717"/>
      <c r="AG3937" s="717"/>
      <c r="AH3937" s="156"/>
      <c r="AI3937" s="156"/>
      <c r="AJ3937" s="156"/>
      <c r="AK3937" s="156"/>
      <c r="AL3937" s="156"/>
      <c r="AM3937" s="156"/>
      <c r="AN3937" s="156"/>
      <c r="AO3937" s="156"/>
      <c r="AP3937" s="156"/>
      <c r="AQ3937" s="156"/>
      <c r="AR3937" s="156"/>
      <c r="AS3937" s="156"/>
      <c r="AT3937" s="156"/>
      <c r="AU3937" s="156"/>
      <c r="AV3937" s="156"/>
      <c r="AW3937" s="156"/>
      <c r="AX3937" s="156"/>
      <c r="AY3937" s="156"/>
      <c r="AZ3937" s="156"/>
      <c r="BA3937" s="156"/>
      <c r="BB3937" s="2828"/>
      <c r="BC3937" s="452"/>
      <c r="BD3937" s="2829"/>
      <c r="BE3937" s="2837"/>
      <c r="BF3937" s="156"/>
    </row>
    <row r="3938" spans="1:58" ht="15" customHeight="1" outlineLevel="1" x14ac:dyDescent="0.35">
      <c r="A3938" s="1664"/>
      <c r="B3938" s="2812"/>
      <c r="C3938" s="3077"/>
      <c r="D3938" s="3980"/>
      <c r="E3938" s="3883"/>
      <c r="F3938" s="3984" t="str">
        <f t="shared" si="441"/>
        <v>ASHP-SEER18-Replace_CAC_ElectricHeat_ER2_MF</v>
      </c>
      <c r="G3938" s="3984"/>
      <c r="H3938" s="3984"/>
      <c r="I3938" s="3984"/>
      <c r="J3938" s="3508" t="str">
        <f t="shared" si="442"/>
        <v>354300_2021_12_</v>
      </c>
      <c r="K3938" s="717">
        <v>12</v>
      </c>
      <c r="L3938" s="704"/>
      <c r="M3938" s="3020"/>
      <c r="N3938" s="106"/>
      <c r="O3938" s="106"/>
      <c r="P3938" s="702"/>
      <c r="Q3938" s="702"/>
      <c r="R3938" s="702"/>
      <c r="S3938" s="106"/>
      <c r="T3938" s="486"/>
      <c r="U3938" s="106"/>
      <c r="V3938" s="4129"/>
      <c r="W3938" s="717">
        <v>12</v>
      </c>
      <c r="X3938" s="717">
        <v>12</v>
      </c>
      <c r="Y3938" s="717">
        <v>12</v>
      </c>
      <c r="Z3938" s="717">
        <v>12</v>
      </c>
      <c r="AA3938" s="717">
        <v>12</v>
      </c>
      <c r="AB3938" s="717">
        <v>12</v>
      </c>
      <c r="AC3938" s="2930">
        <v>12</v>
      </c>
      <c r="AD3938" s="717">
        <v>12</v>
      </c>
      <c r="AE3938" s="2944"/>
      <c r="AF3938" s="717"/>
      <c r="AG3938" s="717"/>
      <c r="AH3938" s="156"/>
      <c r="AI3938" s="156"/>
      <c r="AJ3938" s="156"/>
      <c r="AK3938" s="156"/>
      <c r="AL3938" s="156"/>
      <c r="AM3938" s="156"/>
      <c r="AN3938" s="156"/>
      <c r="AO3938" s="156"/>
      <c r="AP3938" s="156"/>
      <c r="AQ3938" s="156"/>
      <c r="AR3938" s="156"/>
      <c r="AS3938" s="156"/>
      <c r="AT3938" s="156"/>
      <c r="AU3938" s="156"/>
      <c r="AV3938" s="156"/>
      <c r="AW3938" s="156"/>
      <c r="AX3938" s="156"/>
      <c r="AY3938" s="156"/>
      <c r="AZ3938" s="156"/>
      <c r="BA3938" s="156"/>
      <c r="BB3938" s="2828"/>
      <c r="BC3938" s="452"/>
      <c r="BD3938" s="2829"/>
      <c r="BE3938" s="2837"/>
      <c r="BF3938" s="156"/>
    </row>
    <row r="3939" spans="1:58" ht="15" customHeight="1" outlineLevel="1" x14ac:dyDescent="0.35">
      <c r="A3939" s="1664"/>
      <c r="B3939" s="2812"/>
      <c r="C3939" s="3077"/>
      <c r="D3939" s="3980"/>
      <c r="E3939" s="3883"/>
      <c r="F3939" s="3984" t="str">
        <f t="shared" si="441"/>
        <v>ASHP-SEER18-Replace_CAC_ElectricHeat_ER2_MF</v>
      </c>
      <c r="G3939" s="3984"/>
      <c r="H3939" s="3984"/>
      <c r="I3939" s="3984"/>
      <c r="J3939" s="3508" t="str">
        <f t="shared" si="442"/>
        <v>354300_2021_12_</v>
      </c>
      <c r="K3939" s="717">
        <v>12</v>
      </c>
      <c r="L3939" s="704"/>
      <c r="M3939" s="3020"/>
      <c r="N3939" s="106"/>
      <c r="O3939" s="106"/>
      <c r="P3939" s="702"/>
      <c r="Q3939" s="574"/>
      <c r="R3939" s="702"/>
      <c r="S3939" s="106"/>
      <c r="T3939" s="486"/>
      <c r="U3939" s="106"/>
      <c r="V3939" s="4129"/>
      <c r="W3939" s="717">
        <v>12</v>
      </c>
      <c r="X3939" s="717">
        <v>12</v>
      </c>
      <c r="Y3939" s="717">
        <v>12</v>
      </c>
      <c r="Z3939" s="717">
        <v>12</v>
      </c>
      <c r="AA3939" s="717">
        <v>12</v>
      </c>
      <c r="AB3939" s="717">
        <v>12</v>
      </c>
      <c r="AC3939" s="2930">
        <v>12</v>
      </c>
      <c r="AD3939" s="717">
        <v>12</v>
      </c>
      <c r="AE3939" s="2944"/>
      <c r="AF3939" s="717"/>
      <c r="AG3939" s="717"/>
      <c r="AH3939" s="156"/>
      <c r="AI3939" s="156"/>
      <c r="AJ3939" s="156"/>
      <c r="AK3939" s="156"/>
      <c r="AL3939" s="156"/>
      <c r="AM3939" s="156"/>
      <c r="AN3939" s="156"/>
      <c r="AO3939" s="156"/>
      <c r="AP3939" s="156"/>
      <c r="AQ3939" s="156"/>
      <c r="AR3939" s="156"/>
      <c r="AS3939" s="156"/>
      <c r="AT3939" s="156"/>
      <c r="AU3939" s="156"/>
      <c r="AV3939" s="156"/>
      <c r="AW3939" s="156"/>
      <c r="AX3939" s="156"/>
      <c r="AY3939" s="156"/>
      <c r="AZ3939" s="156"/>
      <c r="BA3939" s="156"/>
      <c r="BB3939" s="2828"/>
      <c r="BC3939" s="452"/>
      <c r="BD3939" s="2829"/>
      <c r="BE3939" s="2837"/>
      <c r="BF3939" s="156"/>
    </row>
    <row r="3940" spans="1:58" ht="15" customHeight="1" outlineLevel="1" x14ac:dyDescent="0.35">
      <c r="A3940" s="1664"/>
      <c r="B3940" s="2812"/>
      <c r="C3940" s="3077"/>
      <c r="D3940" s="3980"/>
      <c r="E3940" s="3883"/>
      <c r="F3940" s="3984" t="str">
        <f t="shared" si="441"/>
        <v>ASHP-SEER18-Replace_CAC_ElectricHeat_ER1_MF_CompE</v>
      </c>
      <c r="G3940" s="3984"/>
      <c r="H3940" s="3984"/>
      <c r="I3940" s="3984"/>
      <c r="J3940" s="3508" t="str">
        <f t="shared" si="442"/>
        <v>354301_2021_12_</v>
      </c>
      <c r="K3940" s="717">
        <v>6</v>
      </c>
      <c r="L3940" s="704"/>
      <c r="M3940" s="3020"/>
      <c r="N3940" s="106"/>
      <c r="O3940" s="106"/>
      <c r="P3940" s="702"/>
      <c r="Q3940" s="574"/>
      <c r="R3940" s="702"/>
      <c r="S3940" s="106"/>
      <c r="T3940" s="486"/>
      <c r="U3940" s="106"/>
      <c r="V3940" s="4129"/>
      <c r="W3940" s="717"/>
      <c r="X3940" s="717"/>
      <c r="Y3940" s="717"/>
      <c r="Z3940" s="717"/>
      <c r="AA3940" s="717"/>
      <c r="AB3940" s="717"/>
      <c r="AC3940" s="2932">
        <v>6</v>
      </c>
      <c r="AD3940" s="717">
        <v>6</v>
      </c>
      <c r="AE3940" s="2944"/>
      <c r="AF3940" s="717"/>
      <c r="AG3940" s="717"/>
      <c r="AH3940" s="156"/>
      <c r="AI3940" s="156"/>
      <c r="AJ3940" s="156"/>
      <c r="AK3940" s="156"/>
      <c r="AL3940" s="156"/>
      <c r="AM3940" s="156"/>
      <c r="AN3940" s="156"/>
      <c r="AO3940" s="156"/>
      <c r="AP3940" s="156"/>
      <c r="AQ3940" s="156"/>
      <c r="AR3940" s="156"/>
      <c r="AS3940" s="156"/>
      <c r="AT3940" s="156"/>
      <c r="AU3940" s="156"/>
      <c r="AV3940" s="156"/>
      <c r="AW3940" s="156"/>
      <c r="AX3940" s="156"/>
      <c r="AY3940" s="156"/>
      <c r="AZ3940" s="156"/>
      <c r="BA3940" s="156"/>
      <c r="BB3940" s="2828"/>
      <c r="BC3940" s="452"/>
      <c r="BD3940" s="2829"/>
      <c r="BE3940" s="2837"/>
      <c r="BF3940" s="156"/>
    </row>
    <row r="3941" spans="1:58" ht="15" customHeight="1" outlineLevel="1" x14ac:dyDescent="0.35">
      <c r="A3941" s="1664"/>
      <c r="B3941" s="2812"/>
      <c r="C3941" s="3077"/>
      <c r="D3941" s="3980"/>
      <c r="E3941" s="3883"/>
      <c r="F3941" s="3984" t="str">
        <f t="shared" si="441"/>
        <v>ASHP-SEER18-Replace_CAC_ElectricHeat_ER1_MF_CompE</v>
      </c>
      <c r="G3941" s="3984"/>
      <c r="H3941" s="3984"/>
      <c r="I3941" s="3984"/>
      <c r="J3941" s="3508" t="str">
        <f t="shared" si="442"/>
        <v>354301_2021_12_</v>
      </c>
      <c r="K3941" s="717">
        <v>6</v>
      </c>
      <c r="L3941" s="704"/>
      <c r="M3941" s="3020"/>
      <c r="N3941" s="106"/>
      <c r="O3941" s="106"/>
      <c r="P3941" s="702"/>
      <c r="Q3941" s="574"/>
      <c r="R3941" s="702"/>
      <c r="S3941" s="106"/>
      <c r="T3941" s="486"/>
      <c r="U3941" s="106"/>
      <c r="V3941" s="4129"/>
      <c r="W3941" s="717"/>
      <c r="X3941" s="717"/>
      <c r="Y3941" s="717"/>
      <c r="Z3941" s="717"/>
      <c r="AA3941" s="717"/>
      <c r="AB3941" s="717"/>
      <c r="AC3941" s="2932">
        <v>6</v>
      </c>
      <c r="AD3941" s="717">
        <v>6</v>
      </c>
      <c r="AE3941" s="2944"/>
      <c r="AF3941" s="717"/>
      <c r="AG3941" s="717"/>
      <c r="AH3941" s="156"/>
      <c r="AI3941" s="156"/>
      <c r="AJ3941" s="156"/>
      <c r="AK3941" s="156"/>
      <c r="AL3941" s="156"/>
      <c r="AM3941" s="156"/>
      <c r="AN3941" s="156"/>
      <c r="AO3941" s="156"/>
      <c r="AP3941" s="156"/>
      <c r="AQ3941" s="156"/>
      <c r="AR3941" s="156"/>
      <c r="AS3941" s="156"/>
      <c r="AT3941" s="156"/>
      <c r="AU3941" s="156"/>
      <c r="AV3941" s="156"/>
      <c r="AW3941" s="156"/>
      <c r="AX3941" s="156"/>
      <c r="AY3941" s="156"/>
      <c r="AZ3941" s="156"/>
      <c r="BA3941" s="156"/>
      <c r="BB3941" s="2828"/>
      <c r="BC3941" s="452"/>
      <c r="BD3941" s="2829"/>
      <c r="BE3941" s="2837"/>
      <c r="BF3941" s="156"/>
    </row>
    <row r="3942" spans="1:58" ht="15" customHeight="1" outlineLevel="1" x14ac:dyDescent="0.35">
      <c r="A3942" s="1664"/>
      <c r="B3942" s="2812"/>
      <c r="C3942" s="3077"/>
      <c r="D3942" s="3980"/>
      <c r="E3942" s="3883"/>
      <c r="F3942" s="3984" t="str">
        <f t="shared" si="441"/>
        <v>ASHP-SEER18-Replace_CAC_ElectricHeat_ER2_MF_CompE</v>
      </c>
      <c r="G3942" s="3984"/>
      <c r="H3942" s="3984"/>
      <c r="I3942" s="3984"/>
      <c r="J3942" s="3508" t="str">
        <f t="shared" si="442"/>
        <v>354301_2021_12_</v>
      </c>
      <c r="K3942" s="717">
        <v>12</v>
      </c>
      <c r="L3942" s="704"/>
      <c r="M3942" s="3020"/>
      <c r="N3942" s="106"/>
      <c r="O3942" s="106"/>
      <c r="P3942" s="702"/>
      <c r="Q3942" s="574"/>
      <c r="R3942" s="702"/>
      <c r="S3942" s="106"/>
      <c r="T3942" s="486"/>
      <c r="U3942" s="106"/>
      <c r="V3942" s="4129"/>
      <c r="W3942" s="717"/>
      <c r="X3942" s="717"/>
      <c r="Y3942" s="717"/>
      <c r="Z3942" s="717"/>
      <c r="AA3942" s="717"/>
      <c r="AB3942" s="717"/>
      <c r="AC3942" s="2932">
        <v>12</v>
      </c>
      <c r="AD3942" s="717">
        <v>12</v>
      </c>
      <c r="AE3942" s="2944"/>
      <c r="AF3942" s="717"/>
      <c r="AG3942" s="717"/>
      <c r="AH3942" s="156"/>
      <c r="AI3942" s="156"/>
      <c r="AJ3942" s="156"/>
      <c r="AK3942" s="156"/>
      <c r="AL3942" s="156"/>
      <c r="AM3942" s="156"/>
      <c r="AN3942" s="156"/>
      <c r="AO3942" s="156"/>
      <c r="AP3942" s="156"/>
      <c r="AQ3942" s="156"/>
      <c r="AR3942" s="156"/>
      <c r="AS3942" s="156"/>
      <c r="AT3942" s="156"/>
      <c r="AU3942" s="156"/>
      <c r="AV3942" s="156"/>
      <c r="AW3942" s="156"/>
      <c r="AX3942" s="156"/>
      <c r="AY3942" s="156"/>
      <c r="AZ3942" s="156"/>
      <c r="BA3942" s="156"/>
      <c r="BB3942" s="2828"/>
      <c r="BC3942" s="452"/>
      <c r="BD3942" s="2829"/>
      <c r="BE3942" s="2837"/>
      <c r="BF3942" s="156"/>
    </row>
    <row r="3943" spans="1:58" ht="15" customHeight="1" outlineLevel="1" x14ac:dyDescent="0.35">
      <c r="A3943" s="1664"/>
      <c r="B3943" s="2812"/>
      <c r="C3943" s="3077"/>
      <c r="D3943" s="3980"/>
      <c r="E3943" s="3883"/>
      <c r="F3943" s="3984" t="str">
        <f t="shared" si="441"/>
        <v>ASHP-SEER18-Replace_CAC_ElectricHeat_ER2_MF_CompE</v>
      </c>
      <c r="G3943" s="3984"/>
      <c r="H3943" s="3984"/>
      <c r="I3943" s="3984"/>
      <c r="J3943" s="3508" t="str">
        <f t="shared" si="442"/>
        <v>354301_2021_12_</v>
      </c>
      <c r="K3943" s="717">
        <v>12</v>
      </c>
      <c r="L3943" s="704"/>
      <c r="M3943" s="3020"/>
      <c r="N3943" s="106"/>
      <c r="O3943" s="106"/>
      <c r="P3943" s="702"/>
      <c r="Q3943" s="574"/>
      <c r="R3943" s="702"/>
      <c r="S3943" s="106"/>
      <c r="T3943" s="486"/>
      <c r="U3943" s="106"/>
      <c r="V3943" s="4129"/>
      <c r="W3943" s="717"/>
      <c r="X3943" s="717"/>
      <c r="Y3943" s="717"/>
      <c r="Z3943" s="717"/>
      <c r="AA3943" s="717"/>
      <c r="AB3943" s="717"/>
      <c r="AC3943" s="2932">
        <v>12</v>
      </c>
      <c r="AD3943" s="717">
        <v>12</v>
      </c>
      <c r="AE3943" s="2944"/>
      <c r="AF3943" s="717"/>
      <c r="AG3943" s="717"/>
      <c r="AH3943" s="156"/>
      <c r="AI3943" s="156"/>
      <c r="AJ3943" s="156"/>
      <c r="AK3943" s="156"/>
      <c r="AL3943" s="156"/>
      <c r="AM3943" s="156"/>
      <c r="AN3943" s="156"/>
      <c r="AO3943" s="156"/>
      <c r="AP3943" s="156"/>
      <c r="AQ3943" s="156"/>
      <c r="AR3943" s="156"/>
      <c r="AS3943" s="156"/>
      <c r="AT3943" s="156"/>
      <c r="AU3943" s="156"/>
      <c r="AV3943" s="156"/>
      <c r="AW3943" s="156"/>
      <c r="AX3943" s="156"/>
      <c r="AY3943" s="156"/>
      <c r="AZ3943" s="156"/>
      <c r="BA3943" s="156"/>
      <c r="BB3943" s="2828"/>
      <c r="BC3943" s="452"/>
      <c r="BD3943" s="2829"/>
      <c r="BE3943" s="2837"/>
      <c r="BF3943" s="156"/>
    </row>
    <row r="3944" spans="1:58" ht="15" customHeight="1" outlineLevel="1" x14ac:dyDescent="0.35">
      <c r="A3944" s="1664"/>
      <c r="B3944" s="2812"/>
      <c r="C3944" s="3077"/>
      <c r="D3944" s="3980"/>
      <c r="E3944" s="3883"/>
      <c r="F3944" s="3984" t="str">
        <f t="shared" si="441"/>
        <v>ASHP-SEER18-Replace_CAC_NonElectricHeat_ER1_MF</v>
      </c>
      <c r="G3944" s="3984"/>
      <c r="H3944" s="3984"/>
      <c r="I3944" s="3984"/>
      <c r="J3944" s="3508" t="str">
        <f t="shared" si="442"/>
        <v>354310_2021_12_</v>
      </c>
      <c r="K3944" s="717">
        <v>6</v>
      </c>
      <c r="L3944" s="704"/>
      <c r="M3944" s="3020"/>
      <c r="N3944" s="106"/>
      <c r="O3944" s="106"/>
      <c r="P3944" s="702"/>
      <c r="Q3944" s="574"/>
      <c r="R3944" s="702"/>
      <c r="S3944" s="106"/>
      <c r="T3944" s="486"/>
      <c r="U3944" s="106"/>
      <c r="V3944" s="4129"/>
      <c r="W3944" s="717"/>
      <c r="X3944" s="717"/>
      <c r="Y3944" s="717"/>
      <c r="Z3944" s="717"/>
      <c r="AA3944" s="717"/>
      <c r="AB3944" s="717"/>
      <c r="AC3944" s="2932">
        <v>6</v>
      </c>
      <c r="AD3944" s="717">
        <v>6</v>
      </c>
      <c r="AE3944" s="2944"/>
      <c r="AF3944" s="717"/>
      <c r="AG3944" s="717"/>
      <c r="AH3944" s="156"/>
      <c r="AI3944" s="156"/>
      <c r="AJ3944" s="156"/>
      <c r="AK3944" s="156"/>
      <c r="AL3944" s="156"/>
      <c r="AM3944" s="156"/>
      <c r="AN3944" s="156"/>
      <c r="AO3944" s="156"/>
      <c r="AP3944" s="156"/>
      <c r="AQ3944" s="156"/>
      <c r="AR3944" s="156"/>
      <c r="AS3944" s="156"/>
      <c r="AT3944" s="156"/>
      <c r="AU3944" s="156"/>
      <c r="AV3944" s="156"/>
      <c r="AW3944" s="156"/>
      <c r="AX3944" s="156"/>
      <c r="AY3944" s="156"/>
      <c r="AZ3944" s="156"/>
      <c r="BA3944" s="156"/>
      <c r="BB3944" s="2828"/>
      <c r="BC3944" s="452"/>
      <c r="BD3944" s="2829"/>
      <c r="BE3944" s="2837"/>
      <c r="BF3944" s="156"/>
    </row>
    <row r="3945" spans="1:58" ht="15" customHeight="1" outlineLevel="1" x14ac:dyDescent="0.35">
      <c r="A3945" s="1664"/>
      <c r="B3945" s="2812"/>
      <c r="C3945" s="3077"/>
      <c r="D3945" s="3980"/>
      <c r="E3945" s="3883"/>
      <c r="F3945" s="3984" t="str">
        <f t="shared" si="441"/>
        <v>ASHP-SEER18-Replace_CAC_NonElectricHeat_ER1_MF</v>
      </c>
      <c r="G3945" s="3984"/>
      <c r="H3945" s="3984"/>
      <c r="I3945" s="3984"/>
      <c r="J3945" s="3508" t="str">
        <f t="shared" si="442"/>
        <v>354310_2021_12_</v>
      </c>
      <c r="K3945" s="717">
        <v>6</v>
      </c>
      <c r="L3945" s="704"/>
      <c r="M3945" s="3020"/>
      <c r="N3945" s="106"/>
      <c r="O3945" s="106"/>
      <c r="P3945" s="702"/>
      <c r="Q3945" s="574"/>
      <c r="R3945" s="702"/>
      <c r="S3945" s="106"/>
      <c r="T3945" s="486"/>
      <c r="U3945" s="106"/>
      <c r="V3945" s="4129"/>
      <c r="W3945" s="717"/>
      <c r="X3945" s="717"/>
      <c r="Y3945" s="717"/>
      <c r="Z3945" s="717"/>
      <c r="AA3945" s="717"/>
      <c r="AB3945" s="717"/>
      <c r="AC3945" s="2932">
        <v>6</v>
      </c>
      <c r="AD3945" s="717">
        <v>6</v>
      </c>
      <c r="AE3945" s="2944"/>
      <c r="AF3945" s="717"/>
      <c r="AG3945" s="717"/>
      <c r="AH3945" s="156"/>
      <c r="AI3945" s="156"/>
      <c r="AJ3945" s="156"/>
      <c r="AK3945" s="156"/>
      <c r="AL3945" s="156"/>
      <c r="AM3945" s="156"/>
      <c r="AN3945" s="156"/>
      <c r="AO3945" s="156"/>
      <c r="AP3945" s="156"/>
      <c r="AQ3945" s="156"/>
      <c r="AR3945" s="156"/>
      <c r="AS3945" s="156"/>
      <c r="AT3945" s="156"/>
      <c r="AU3945" s="156"/>
      <c r="AV3945" s="156"/>
      <c r="AW3945" s="156"/>
      <c r="AX3945" s="156"/>
      <c r="AY3945" s="156"/>
      <c r="AZ3945" s="156"/>
      <c r="BA3945" s="156"/>
      <c r="BB3945" s="2828"/>
      <c r="BC3945" s="452"/>
      <c r="BD3945" s="2829"/>
      <c r="BE3945" s="2837"/>
      <c r="BF3945" s="156"/>
    </row>
    <row r="3946" spans="1:58" ht="15" customHeight="1" outlineLevel="1" x14ac:dyDescent="0.35">
      <c r="A3946" s="1664"/>
      <c r="B3946" s="2812"/>
      <c r="C3946" s="3077"/>
      <c r="D3946" s="3980"/>
      <c r="E3946" s="3883"/>
      <c r="F3946" s="3984" t="str">
        <f t="shared" si="441"/>
        <v>ASHP-SEER18-Replace_CAC_NonElectricHeat_ER2_MF</v>
      </c>
      <c r="G3946" s="3984"/>
      <c r="H3946" s="3984"/>
      <c r="I3946" s="3984"/>
      <c r="J3946" s="3508" t="str">
        <f t="shared" si="442"/>
        <v>354310_2021_12_</v>
      </c>
      <c r="K3946" s="717">
        <v>12</v>
      </c>
      <c r="L3946" s="704"/>
      <c r="M3946" s="3020"/>
      <c r="N3946" s="106"/>
      <c r="O3946" s="106"/>
      <c r="P3946" s="702"/>
      <c r="Q3946" s="574"/>
      <c r="R3946" s="702"/>
      <c r="S3946" s="106"/>
      <c r="T3946" s="486"/>
      <c r="U3946" s="106"/>
      <c r="V3946" s="4129"/>
      <c r="W3946" s="717"/>
      <c r="X3946" s="717"/>
      <c r="Y3946" s="717"/>
      <c r="Z3946" s="717"/>
      <c r="AA3946" s="717"/>
      <c r="AB3946" s="717"/>
      <c r="AC3946" s="2932">
        <v>12</v>
      </c>
      <c r="AD3946" s="717">
        <v>12</v>
      </c>
      <c r="AE3946" s="2944"/>
      <c r="AF3946" s="717"/>
      <c r="AG3946" s="717"/>
      <c r="AH3946" s="156"/>
      <c r="AI3946" s="156"/>
      <c r="AJ3946" s="156"/>
      <c r="AK3946" s="156"/>
      <c r="AL3946" s="156"/>
      <c r="AM3946" s="156"/>
      <c r="AN3946" s="156"/>
      <c r="AO3946" s="156"/>
      <c r="AP3946" s="156"/>
      <c r="AQ3946" s="156"/>
      <c r="AR3946" s="156"/>
      <c r="AS3946" s="156"/>
      <c r="AT3946" s="156"/>
      <c r="AU3946" s="156"/>
      <c r="AV3946" s="156"/>
      <c r="AW3946" s="156"/>
      <c r="AX3946" s="156"/>
      <c r="AY3946" s="156"/>
      <c r="AZ3946" s="156"/>
      <c r="BA3946" s="156"/>
      <c r="BB3946" s="2828"/>
      <c r="BC3946" s="452"/>
      <c r="BD3946" s="2829"/>
      <c r="BE3946" s="2837"/>
      <c r="BF3946" s="156"/>
    </row>
    <row r="3947" spans="1:58" ht="15" customHeight="1" outlineLevel="1" x14ac:dyDescent="0.35">
      <c r="A3947" s="1664"/>
      <c r="B3947" s="2812"/>
      <c r="C3947" s="3077"/>
      <c r="D3947" s="3980"/>
      <c r="E3947" s="3883"/>
      <c r="F3947" s="3984" t="str">
        <f t="shared" si="441"/>
        <v>ASHP-SEER18-Replace_CAC_NonElectricHeat_ER2_MF</v>
      </c>
      <c r="G3947" s="3984"/>
      <c r="H3947" s="3984"/>
      <c r="I3947" s="3984"/>
      <c r="J3947" s="3508" t="str">
        <f t="shared" si="442"/>
        <v>354310_2021_12_</v>
      </c>
      <c r="K3947" s="717">
        <v>12</v>
      </c>
      <c r="L3947" s="704"/>
      <c r="M3947" s="3020"/>
      <c r="N3947" s="106"/>
      <c r="O3947" s="106"/>
      <c r="P3947" s="702"/>
      <c r="Q3947" s="574"/>
      <c r="R3947" s="702"/>
      <c r="S3947" s="106"/>
      <c r="T3947" s="486"/>
      <c r="U3947" s="106"/>
      <c r="V3947" s="4129"/>
      <c r="W3947" s="717"/>
      <c r="X3947" s="717"/>
      <c r="Y3947" s="717"/>
      <c r="Z3947" s="717"/>
      <c r="AA3947" s="717"/>
      <c r="AB3947" s="717"/>
      <c r="AC3947" s="2932">
        <v>12</v>
      </c>
      <c r="AD3947" s="717">
        <v>12</v>
      </c>
      <c r="AE3947" s="2944"/>
      <c r="AF3947" s="717"/>
      <c r="AG3947" s="717"/>
      <c r="AH3947" s="156"/>
      <c r="AI3947" s="156"/>
      <c r="AJ3947" s="156"/>
      <c r="AK3947" s="156"/>
      <c r="AL3947" s="156"/>
      <c r="AM3947" s="156"/>
      <c r="AN3947" s="156"/>
      <c r="AO3947" s="156"/>
      <c r="AP3947" s="156"/>
      <c r="AQ3947" s="156"/>
      <c r="AR3947" s="156"/>
      <c r="AS3947" s="156"/>
      <c r="AT3947" s="156"/>
      <c r="AU3947" s="156"/>
      <c r="AV3947" s="156"/>
      <c r="AW3947" s="156"/>
      <c r="AX3947" s="156"/>
      <c r="AY3947" s="156"/>
      <c r="AZ3947" s="156"/>
      <c r="BA3947" s="156"/>
      <c r="BB3947" s="2828"/>
      <c r="BC3947" s="452"/>
      <c r="BD3947" s="2829"/>
      <c r="BE3947" s="2837"/>
      <c r="BF3947" s="156"/>
    </row>
    <row r="3948" spans="1:58" ht="15" customHeight="1" outlineLevel="1" x14ac:dyDescent="0.35">
      <c r="A3948" s="1664"/>
      <c r="B3948" s="2812"/>
      <c r="C3948" s="3077"/>
      <c r="D3948" s="3980"/>
      <c r="E3948" s="3883"/>
      <c r="F3948" s="3984" t="str">
        <f t="shared" si="441"/>
        <v>ASHP-SEER18-Replace_CAC_NonElectricHeat_ER1_MF_CompE</v>
      </c>
      <c r="G3948" s="3984"/>
      <c r="H3948" s="3984"/>
      <c r="I3948" s="3984"/>
      <c r="J3948" s="3508" t="str">
        <f t="shared" si="442"/>
        <v>354311_2021_12_</v>
      </c>
      <c r="K3948" s="717">
        <v>6</v>
      </c>
      <c r="L3948" s="704"/>
      <c r="M3948" s="3020"/>
      <c r="N3948" s="106"/>
      <c r="O3948" s="106"/>
      <c r="P3948" s="702"/>
      <c r="Q3948" s="574"/>
      <c r="R3948" s="702"/>
      <c r="S3948" s="106"/>
      <c r="T3948" s="486"/>
      <c r="U3948" s="106"/>
      <c r="V3948" s="4129"/>
      <c r="W3948" s="717"/>
      <c r="X3948" s="717"/>
      <c r="Y3948" s="717"/>
      <c r="Z3948" s="717"/>
      <c r="AA3948" s="717"/>
      <c r="AB3948" s="717"/>
      <c r="AC3948" s="2932">
        <v>6</v>
      </c>
      <c r="AD3948" s="717">
        <v>6</v>
      </c>
      <c r="AE3948" s="2944"/>
      <c r="AF3948" s="717"/>
      <c r="AG3948" s="717"/>
      <c r="AH3948" s="156"/>
      <c r="AI3948" s="156"/>
      <c r="AJ3948" s="156"/>
      <c r="AK3948" s="156"/>
      <c r="AL3948" s="156"/>
      <c r="AM3948" s="156"/>
      <c r="AN3948" s="156"/>
      <c r="AO3948" s="156"/>
      <c r="AP3948" s="156"/>
      <c r="AQ3948" s="156"/>
      <c r="AR3948" s="156"/>
      <c r="AS3948" s="156"/>
      <c r="AT3948" s="156"/>
      <c r="AU3948" s="156"/>
      <c r="AV3948" s="156"/>
      <c r="AW3948" s="156"/>
      <c r="AX3948" s="156"/>
      <c r="AY3948" s="156"/>
      <c r="AZ3948" s="156"/>
      <c r="BA3948" s="156"/>
      <c r="BB3948" s="2828"/>
      <c r="BC3948" s="452"/>
      <c r="BD3948" s="2829"/>
      <c r="BE3948" s="2837"/>
      <c r="BF3948" s="156"/>
    </row>
    <row r="3949" spans="1:58" ht="15" customHeight="1" outlineLevel="1" x14ac:dyDescent="0.35">
      <c r="A3949" s="1664"/>
      <c r="B3949" s="2812"/>
      <c r="C3949" s="3077"/>
      <c r="D3949" s="3980"/>
      <c r="E3949" s="3883"/>
      <c r="F3949" s="3984" t="str">
        <f t="shared" si="441"/>
        <v>ASHP-SEER18-Replace_CAC_NonElectricHeat_ER1_MF_CompE</v>
      </c>
      <c r="G3949" s="3984"/>
      <c r="H3949" s="3984"/>
      <c r="I3949" s="3984"/>
      <c r="J3949" s="3508" t="str">
        <f t="shared" si="442"/>
        <v>354311_2021_12_</v>
      </c>
      <c r="K3949" s="717">
        <v>6</v>
      </c>
      <c r="L3949" s="704"/>
      <c r="M3949" s="3020"/>
      <c r="N3949" s="106"/>
      <c r="O3949" s="106"/>
      <c r="P3949" s="702"/>
      <c r="Q3949" s="574"/>
      <c r="R3949" s="702"/>
      <c r="S3949" s="106"/>
      <c r="T3949" s="486"/>
      <c r="U3949" s="106"/>
      <c r="V3949" s="4129"/>
      <c r="W3949" s="717"/>
      <c r="X3949" s="717"/>
      <c r="Y3949" s="717"/>
      <c r="Z3949" s="717"/>
      <c r="AA3949" s="717"/>
      <c r="AB3949" s="717"/>
      <c r="AC3949" s="2932">
        <v>6</v>
      </c>
      <c r="AD3949" s="717">
        <v>6</v>
      </c>
      <c r="AE3949" s="2944"/>
      <c r="AF3949" s="717"/>
      <c r="AG3949" s="717"/>
      <c r="AH3949" s="156"/>
      <c r="AI3949" s="156"/>
      <c r="AJ3949" s="156"/>
      <c r="AK3949" s="156"/>
      <c r="AL3949" s="156"/>
      <c r="AM3949" s="156"/>
      <c r="AN3949" s="156"/>
      <c r="AO3949" s="156"/>
      <c r="AP3949" s="156"/>
      <c r="AQ3949" s="156"/>
      <c r="AR3949" s="156"/>
      <c r="AS3949" s="156"/>
      <c r="AT3949" s="156"/>
      <c r="AU3949" s="156"/>
      <c r="AV3949" s="156"/>
      <c r="AW3949" s="156"/>
      <c r="AX3949" s="156"/>
      <c r="AY3949" s="156"/>
      <c r="AZ3949" s="156"/>
      <c r="BA3949" s="156"/>
      <c r="BB3949" s="2828"/>
      <c r="BC3949" s="452"/>
      <c r="BD3949" s="2829"/>
      <c r="BE3949" s="2837"/>
      <c r="BF3949" s="156"/>
    </row>
    <row r="3950" spans="1:58" ht="15" customHeight="1" outlineLevel="1" x14ac:dyDescent="0.35">
      <c r="A3950" s="1664"/>
      <c r="B3950" s="2812"/>
      <c r="C3950" s="3077"/>
      <c r="D3950" s="3980"/>
      <c r="E3950" s="3883"/>
      <c r="F3950" s="3984" t="str">
        <f t="shared" si="441"/>
        <v>ASHP-SEER18-Replace_CAC_NonElectricHeat_ER2_MF_CompE</v>
      </c>
      <c r="G3950" s="3984"/>
      <c r="H3950" s="3984"/>
      <c r="I3950" s="3984"/>
      <c r="J3950" s="3508" t="str">
        <f t="shared" si="442"/>
        <v>354311_2021_12_</v>
      </c>
      <c r="K3950" s="717">
        <v>12</v>
      </c>
      <c r="L3950" s="704"/>
      <c r="M3950" s="3020"/>
      <c r="N3950" s="106"/>
      <c r="O3950" s="106"/>
      <c r="P3950" s="702"/>
      <c r="Q3950" s="574"/>
      <c r="R3950" s="702"/>
      <c r="S3950" s="106"/>
      <c r="T3950" s="486"/>
      <c r="U3950" s="106"/>
      <c r="V3950" s="4129"/>
      <c r="W3950" s="717"/>
      <c r="X3950" s="717"/>
      <c r="Y3950" s="717"/>
      <c r="Z3950" s="717"/>
      <c r="AA3950" s="717"/>
      <c r="AB3950" s="717"/>
      <c r="AC3950" s="2932">
        <v>12</v>
      </c>
      <c r="AD3950" s="717">
        <v>12</v>
      </c>
      <c r="AE3950" s="2944"/>
      <c r="AF3950" s="717"/>
      <c r="AG3950" s="717"/>
      <c r="AH3950" s="156"/>
      <c r="AI3950" s="156"/>
      <c r="AJ3950" s="156"/>
      <c r="AK3950" s="156"/>
      <c r="AL3950" s="156"/>
      <c r="AM3950" s="156"/>
      <c r="AN3950" s="156"/>
      <c r="AO3950" s="156"/>
      <c r="AP3950" s="156"/>
      <c r="AQ3950" s="156"/>
      <c r="AR3950" s="156"/>
      <c r="AS3950" s="156"/>
      <c r="AT3950" s="156"/>
      <c r="AU3950" s="156"/>
      <c r="AV3950" s="156"/>
      <c r="AW3950" s="156"/>
      <c r="AX3950" s="156"/>
      <c r="AY3950" s="156"/>
      <c r="AZ3950" s="156"/>
      <c r="BA3950" s="156"/>
      <c r="BB3950" s="2828"/>
      <c r="BC3950" s="452"/>
      <c r="BD3950" s="2829"/>
      <c r="BE3950" s="2837"/>
      <c r="BF3950" s="156"/>
    </row>
    <row r="3951" spans="1:58" ht="15" customHeight="1" outlineLevel="1" x14ac:dyDescent="0.35">
      <c r="A3951" s="1664"/>
      <c r="B3951" s="2812"/>
      <c r="C3951" s="3077"/>
      <c r="D3951" s="3980"/>
      <c r="E3951" s="3883"/>
      <c r="F3951" s="3984" t="str">
        <f t="shared" si="441"/>
        <v>ASHP-SEER18-Replace_CAC_NonElectricHeat_ER2_MF_CompE</v>
      </c>
      <c r="G3951" s="3984"/>
      <c r="H3951" s="3984"/>
      <c r="I3951" s="3984"/>
      <c r="J3951" s="3508" t="str">
        <f t="shared" si="442"/>
        <v>354311_2021_12_</v>
      </c>
      <c r="K3951" s="717">
        <v>12</v>
      </c>
      <c r="L3951" s="704"/>
      <c r="M3951" s="3020"/>
      <c r="N3951" s="106"/>
      <c r="O3951" s="106"/>
      <c r="P3951" s="702"/>
      <c r="Q3951" s="574"/>
      <c r="R3951" s="702"/>
      <c r="S3951" s="106"/>
      <c r="T3951" s="486"/>
      <c r="U3951" s="106"/>
      <c r="V3951" s="4129"/>
      <c r="W3951" s="717"/>
      <c r="X3951" s="717"/>
      <c r="Y3951" s="717"/>
      <c r="Z3951" s="717"/>
      <c r="AA3951" s="717"/>
      <c r="AB3951" s="717"/>
      <c r="AC3951" s="2932">
        <v>12</v>
      </c>
      <c r="AD3951" s="717">
        <v>12</v>
      </c>
      <c r="AE3951" s="2944"/>
      <c r="AF3951" s="717"/>
      <c r="AG3951" s="717"/>
      <c r="AH3951" s="156"/>
      <c r="AI3951" s="156"/>
      <c r="AJ3951" s="156"/>
      <c r="AK3951" s="156"/>
      <c r="AL3951" s="156"/>
      <c r="AM3951" s="156"/>
      <c r="AN3951" s="156"/>
      <c r="AO3951" s="156"/>
      <c r="AP3951" s="156"/>
      <c r="AQ3951" s="156"/>
      <c r="AR3951" s="156"/>
      <c r="AS3951" s="156"/>
      <c r="AT3951" s="156"/>
      <c r="AU3951" s="156"/>
      <c r="AV3951" s="156"/>
      <c r="AW3951" s="156"/>
      <c r="AX3951" s="156"/>
      <c r="AY3951" s="156"/>
      <c r="AZ3951" s="156"/>
      <c r="BA3951" s="156"/>
      <c r="BB3951" s="2828"/>
      <c r="BC3951" s="452"/>
      <c r="BD3951" s="2829"/>
      <c r="BE3951" s="2837"/>
      <c r="BF3951" s="156"/>
    </row>
    <row r="3952" spans="1:58" ht="15" customHeight="1" outlineLevel="1" x14ac:dyDescent="0.35">
      <c r="A3952" s="1664"/>
      <c r="B3952" s="2812"/>
      <c r="C3952" s="3077"/>
      <c r="D3952" s="3980"/>
      <c r="E3952" s="3883"/>
      <c r="F3952" s="3984" t="str">
        <f t="shared" si="441"/>
        <v>ASHP-SEER18_ER1_MF</v>
      </c>
      <c r="G3952" s="3984"/>
      <c r="H3952" s="3984"/>
      <c r="I3952" s="3984"/>
      <c r="J3952" s="3508" t="str">
        <f t="shared" si="442"/>
        <v>354350_2021_12_</v>
      </c>
      <c r="K3952" s="717">
        <v>6</v>
      </c>
      <c r="L3952" s="704"/>
      <c r="M3952" s="3020"/>
      <c r="N3952" s="106"/>
      <c r="O3952" s="106"/>
      <c r="P3952" s="702"/>
      <c r="Q3952" s="574"/>
      <c r="R3952" s="702"/>
      <c r="S3952" s="106"/>
      <c r="T3952" s="486"/>
      <c r="U3952" s="106"/>
      <c r="V3952" s="4129"/>
      <c r="W3952" s="717">
        <v>6</v>
      </c>
      <c r="X3952" s="717">
        <v>6</v>
      </c>
      <c r="Y3952" s="717">
        <v>6</v>
      </c>
      <c r="Z3952" s="717">
        <v>6</v>
      </c>
      <c r="AA3952" s="717">
        <v>6</v>
      </c>
      <c r="AB3952" s="717">
        <v>6</v>
      </c>
      <c r="AC3952" s="2930">
        <v>6</v>
      </c>
      <c r="AD3952" s="717">
        <v>6</v>
      </c>
      <c r="AE3952" s="2944"/>
      <c r="AF3952" s="717"/>
      <c r="AG3952" s="717"/>
      <c r="AH3952" s="156"/>
      <c r="AI3952" s="156"/>
      <c r="AJ3952" s="156"/>
      <c r="AK3952" s="156"/>
      <c r="AL3952" s="156"/>
      <c r="AM3952" s="156"/>
      <c r="AN3952" s="156"/>
      <c r="AO3952" s="156"/>
      <c r="AP3952" s="156"/>
      <c r="AQ3952" s="156"/>
      <c r="AR3952" s="156"/>
      <c r="AS3952" s="156"/>
      <c r="AT3952" s="156"/>
      <c r="AU3952" s="156"/>
      <c r="AV3952" s="156"/>
      <c r="AW3952" s="156"/>
      <c r="AX3952" s="156"/>
      <c r="AY3952" s="156"/>
      <c r="AZ3952" s="156"/>
      <c r="BA3952" s="156"/>
      <c r="BB3952" s="2828"/>
      <c r="BC3952" s="452"/>
      <c r="BD3952" s="2829"/>
      <c r="BE3952" s="2837"/>
      <c r="BF3952" s="156"/>
    </row>
    <row r="3953" spans="1:58" ht="15" customHeight="1" outlineLevel="1" x14ac:dyDescent="0.35">
      <c r="A3953" s="1664"/>
      <c r="B3953" s="2812"/>
      <c r="C3953" s="3077"/>
      <c r="D3953" s="3980"/>
      <c r="E3953" s="3883"/>
      <c r="F3953" s="3984" t="str">
        <f t="shared" si="441"/>
        <v>ASHP-SEER18_ER1_MF</v>
      </c>
      <c r="G3953" s="3984"/>
      <c r="H3953" s="3984"/>
      <c r="I3953" s="3984"/>
      <c r="J3953" s="3508" t="str">
        <f t="shared" si="442"/>
        <v>354350_2021_12_</v>
      </c>
      <c r="K3953" s="717">
        <v>6</v>
      </c>
      <c r="L3953" s="704"/>
      <c r="M3953" s="3020"/>
      <c r="N3953" s="106"/>
      <c r="O3953" s="106"/>
      <c r="P3953" s="702"/>
      <c r="Q3953" s="574"/>
      <c r="R3953" s="702"/>
      <c r="S3953" s="106"/>
      <c r="T3953" s="486"/>
      <c r="U3953" s="106"/>
      <c r="V3953" s="4129"/>
      <c r="W3953" s="717">
        <v>6</v>
      </c>
      <c r="X3953" s="717">
        <v>6</v>
      </c>
      <c r="Y3953" s="717">
        <v>6</v>
      </c>
      <c r="Z3953" s="717">
        <v>6</v>
      </c>
      <c r="AA3953" s="717">
        <v>6</v>
      </c>
      <c r="AB3953" s="717">
        <v>6</v>
      </c>
      <c r="AC3953" s="2930">
        <v>6</v>
      </c>
      <c r="AD3953" s="717">
        <v>6</v>
      </c>
      <c r="AE3953" s="2944"/>
      <c r="AF3953" s="717"/>
      <c r="AG3953" s="717"/>
      <c r="AH3953" s="156"/>
      <c r="AI3953" s="156"/>
      <c r="AJ3953" s="156"/>
      <c r="AK3953" s="156"/>
      <c r="AL3953" s="156"/>
      <c r="AM3953" s="156"/>
      <c r="AN3953" s="156"/>
      <c r="AO3953" s="156"/>
      <c r="AP3953" s="156"/>
      <c r="AQ3953" s="156"/>
      <c r="AR3953" s="156"/>
      <c r="AS3953" s="156"/>
      <c r="AT3953" s="156"/>
      <c r="AU3953" s="156"/>
      <c r="AV3953" s="156"/>
      <c r="AW3953" s="156"/>
      <c r="AX3953" s="156"/>
      <c r="AY3953" s="156"/>
      <c r="AZ3953" s="156"/>
      <c r="BA3953" s="156"/>
      <c r="BB3953" s="2828"/>
      <c r="BC3953" s="452"/>
      <c r="BD3953" s="2829"/>
      <c r="BE3953" s="2837"/>
      <c r="BF3953" s="156"/>
    </row>
    <row r="3954" spans="1:58" ht="15" customHeight="1" outlineLevel="1" x14ac:dyDescent="0.35">
      <c r="A3954" s="1664"/>
      <c r="B3954" s="2812"/>
      <c r="C3954" s="3077"/>
      <c r="D3954" s="3980"/>
      <c r="E3954" s="3883"/>
      <c r="F3954" s="3984" t="str">
        <f t="shared" si="441"/>
        <v>ASHP-SEER18_ER2_MF</v>
      </c>
      <c r="G3954" s="3984"/>
      <c r="H3954" s="3984"/>
      <c r="I3954" s="3984"/>
      <c r="J3954" s="3508" t="str">
        <f t="shared" si="442"/>
        <v>354350_2021_12_</v>
      </c>
      <c r="K3954" s="717">
        <v>12</v>
      </c>
      <c r="L3954" s="704"/>
      <c r="M3954" s="3020"/>
      <c r="N3954" s="106"/>
      <c r="O3954" s="106"/>
      <c r="P3954" s="702"/>
      <c r="Q3954" s="574"/>
      <c r="R3954" s="702"/>
      <c r="S3954" s="106"/>
      <c r="T3954" s="486"/>
      <c r="U3954" s="106"/>
      <c r="V3954" s="4129"/>
      <c r="W3954" s="717">
        <v>12</v>
      </c>
      <c r="X3954" s="717">
        <v>12</v>
      </c>
      <c r="Y3954" s="717">
        <v>12</v>
      </c>
      <c r="Z3954" s="717">
        <v>12</v>
      </c>
      <c r="AA3954" s="717">
        <v>12</v>
      </c>
      <c r="AB3954" s="717">
        <v>12</v>
      </c>
      <c r="AC3954" s="2930">
        <v>12</v>
      </c>
      <c r="AD3954" s="717">
        <v>12</v>
      </c>
      <c r="AE3954" s="2944"/>
      <c r="AF3954" s="717"/>
      <c r="AG3954" s="717"/>
      <c r="AH3954" s="156"/>
      <c r="AI3954" s="156"/>
      <c r="AJ3954" s="156"/>
      <c r="AK3954" s="156"/>
      <c r="AL3954" s="156"/>
      <c r="AM3954" s="156"/>
      <c r="AN3954" s="156"/>
      <c r="AO3954" s="156"/>
      <c r="AP3954" s="156"/>
      <c r="AQ3954" s="156"/>
      <c r="AR3954" s="156"/>
      <c r="AS3954" s="156"/>
      <c r="AT3954" s="156"/>
      <c r="AU3954" s="156"/>
      <c r="AV3954" s="156"/>
      <c r="AW3954" s="156"/>
      <c r="AX3954" s="156"/>
      <c r="AY3954" s="156"/>
      <c r="AZ3954" s="156"/>
      <c r="BA3954" s="156"/>
      <c r="BB3954" s="2828"/>
      <c r="BC3954" s="452"/>
      <c r="BD3954" s="2829"/>
      <c r="BE3954" s="2837"/>
      <c r="BF3954" s="156"/>
    </row>
    <row r="3955" spans="1:58" ht="15" customHeight="1" outlineLevel="1" x14ac:dyDescent="0.35">
      <c r="A3955" s="1664"/>
      <c r="B3955" s="2812"/>
      <c r="C3955" s="3077"/>
      <c r="D3955" s="3980"/>
      <c r="E3955" s="3883"/>
      <c r="F3955" s="3984" t="str">
        <f t="shared" si="441"/>
        <v>ASHP-SEER18_ER2_MF</v>
      </c>
      <c r="G3955" s="3984"/>
      <c r="H3955" s="3984"/>
      <c r="I3955" s="3984"/>
      <c r="J3955" s="3508" t="str">
        <f t="shared" si="442"/>
        <v>354350_2021_12_</v>
      </c>
      <c r="K3955" s="717">
        <v>12</v>
      </c>
      <c r="L3955" s="704"/>
      <c r="M3955" s="3020"/>
      <c r="N3955" s="106"/>
      <c r="O3955" s="106"/>
      <c r="P3955" s="702"/>
      <c r="Q3955" s="574"/>
      <c r="R3955" s="702"/>
      <c r="S3955" s="106"/>
      <c r="T3955" s="486"/>
      <c r="U3955" s="106"/>
      <c r="V3955" s="4129"/>
      <c r="W3955" s="717">
        <v>12</v>
      </c>
      <c r="X3955" s="717">
        <v>12</v>
      </c>
      <c r="Y3955" s="717">
        <v>12</v>
      </c>
      <c r="Z3955" s="717">
        <v>12</v>
      </c>
      <c r="AA3955" s="717">
        <v>12</v>
      </c>
      <c r="AB3955" s="717">
        <v>12</v>
      </c>
      <c r="AC3955" s="2930">
        <v>12</v>
      </c>
      <c r="AD3955" s="717">
        <v>12</v>
      </c>
      <c r="AE3955" s="2944"/>
      <c r="AF3955" s="717"/>
      <c r="AG3955" s="717"/>
      <c r="AH3955" s="156"/>
      <c r="AI3955" s="156"/>
      <c r="AJ3955" s="156"/>
      <c r="AK3955" s="156"/>
      <c r="AL3955" s="156"/>
      <c r="AM3955" s="156"/>
      <c r="AN3955" s="156"/>
      <c r="AO3955" s="156"/>
      <c r="AP3955" s="156"/>
      <c r="AQ3955" s="156"/>
      <c r="AR3955" s="156"/>
      <c r="AS3955" s="156"/>
      <c r="AT3955" s="156"/>
      <c r="AU3955" s="156"/>
      <c r="AV3955" s="156"/>
      <c r="AW3955" s="156"/>
      <c r="AX3955" s="156"/>
      <c r="AY3955" s="156"/>
      <c r="AZ3955" s="156"/>
      <c r="BA3955" s="156"/>
      <c r="BB3955" s="2828"/>
      <c r="BC3955" s="452"/>
      <c r="BD3955" s="2829"/>
      <c r="BE3955" s="2837"/>
      <c r="BF3955" s="156"/>
    </row>
    <row r="3956" spans="1:58" ht="15" customHeight="1" outlineLevel="1" x14ac:dyDescent="0.35">
      <c r="A3956" s="1664"/>
      <c r="B3956" s="2812"/>
      <c r="C3956" s="3077"/>
      <c r="D3956" s="3980"/>
      <c r="E3956" s="3883"/>
      <c r="F3956" s="3984" t="str">
        <f t="shared" si="441"/>
        <v>ASHP-SEER18_ER1_MF_CompE</v>
      </c>
      <c r="G3956" s="3984"/>
      <c r="H3956" s="3984"/>
      <c r="I3956" s="3984"/>
      <c r="J3956" s="3508" t="str">
        <f t="shared" si="442"/>
        <v>354351_2021_12_</v>
      </c>
      <c r="K3956" s="717">
        <v>6</v>
      </c>
      <c r="L3956" s="704"/>
      <c r="M3956" s="3020"/>
      <c r="N3956" s="106"/>
      <c r="O3956" s="106"/>
      <c r="P3956" s="702"/>
      <c r="Q3956" s="574"/>
      <c r="R3956" s="702"/>
      <c r="S3956" s="106"/>
      <c r="T3956" s="486"/>
      <c r="U3956" s="106"/>
      <c r="V3956" s="4129"/>
      <c r="W3956" s="717"/>
      <c r="X3956" s="717"/>
      <c r="Y3956" s="717"/>
      <c r="Z3956" s="717"/>
      <c r="AA3956" s="717"/>
      <c r="AB3956" s="717"/>
      <c r="AC3956" s="2932">
        <v>6</v>
      </c>
      <c r="AD3956" s="717">
        <v>6</v>
      </c>
      <c r="AE3956" s="2944"/>
      <c r="AF3956" s="717"/>
      <c r="AG3956" s="717"/>
      <c r="AH3956" s="156"/>
      <c r="AI3956" s="156"/>
      <c r="AJ3956" s="156"/>
      <c r="AK3956" s="156"/>
      <c r="AL3956" s="156"/>
      <c r="AM3956" s="156"/>
      <c r="AN3956" s="156"/>
      <c r="AO3956" s="156"/>
      <c r="AP3956" s="156"/>
      <c r="AQ3956" s="156"/>
      <c r="AR3956" s="156"/>
      <c r="AS3956" s="156"/>
      <c r="AT3956" s="156"/>
      <c r="AU3956" s="156"/>
      <c r="AV3956" s="156"/>
      <c r="AW3956" s="156"/>
      <c r="AX3956" s="156"/>
      <c r="AY3956" s="156"/>
      <c r="AZ3956" s="156"/>
      <c r="BA3956" s="156"/>
      <c r="BB3956" s="2828"/>
      <c r="BC3956" s="452"/>
      <c r="BD3956" s="2829"/>
      <c r="BE3956" s="2837"/>
      <c r="BF3956" s="156"/>
    </row>
    <row r="3957" spans="1:58" ht="15" customHeight="1" outlineLevel="1" x14ac:dyDescent="0.35">
      <c r="A3957" s="1664"/>
      <c r="B3957" s="2812"/>
      <c r="C3957" s="3077"/>
      <c r="D3957" s="3980"/>
      <c r="E3957" s="3883"/>
      <c r="F3957" s="3984" t="str">
        <f t="shared" si="441"/>
        <v>ASHP-SEER18_ER1_MF_CompE</v>
      </c>
      <c r="G3957" s="3984"/>
      <c r="H3957" s="3984"/>
      <c r="I3957" s="3984"/>
      <c r="J3957" s="3508" t="str">
        <f t="shared" si="442"/>
        <v>354351_2021_12_</v>
      </c>
      <c r="K3957" s="717">
        <v>6</v>
      </c>
      <c r="L3957" s="704"/>
      <c r="M3957" s="3020"/>
      <c r="N3957" s="106"/>
      <c r="O3957" s="106"/>
      <c r="P3957" s="702"/>
      <c r="Q3957" s="574"/>
      <c r="R3957" s="702"/>
      <c r="S3957" s="106"/>
      <c r="T3957" s="486"/>
      <c r="U3957" s="106"/>
      <c r="V3957" s="4129"/>
      <c r="W3957" s="717"/>
      <c r="X3957" s="717"/>
      <c r="Y3957" s="717"/>
      <c r="Z3957" s="717"/>
      <c r="AA3957" s="717"/>
      <c r="AB3957" s="717"/>
      <c r="AC3957" s="2932">
        <v>6</v>
      </c>
      <c r="AD3957" s="717">
        <v>6</v>
      </c>
      <c r="AE3957" s="2944"/>
      <c r="AF3957" s="717"/>
      <c r="AG3957" s="717"/>
      <c r="AH3957" s="156"/>
      <c r="AI3957" s="156"/>
      <c r="AJ3957" s="156"/>
      <c r="AK3957" s="156"/>
      <c r="AL3957" s="156"/>
      <c r="AM3957" s="156"/>
      <c r="AN3957" s="156"/>
      <c r="AO3957" s="156"/>
      <c r="AP3957" s="156"/>
      <c r="AQ3957" s="156"/>
      <c r="AR3957" s="156"/>
      <c r="AS3957" s="156"/>
      <c r="AT3957" s="156"/>
      <c r="AU3957" s="156"/>
      <c r="AV3957" s="156"/>
      <c r="AW3957" s="156"/>
      <c r="AX3957" s="156"/>
      <c r="AY3957" s="156"/>
      <c r="AZ3957" s="156"/>
      <c r="BA3957" s="156"/>
      <c r="BB3957" s="2828"/>
      <c r="BC3957" s="452"/>
      <c r="BD3957" s="2829"/>
      <c r="BE3957" s="2837"/>
      <c r="BF3957" s="156"/>
    </row>
    <row r="3958" spans="1:58" ht="15" customHeight="1" outlineLevel="1" x14ac:dyDescent="0.35">
      <c r="A3958" s="1664"/>
      <c r="B3958" s="2812"/>
      <c r="C3958" s="3077"/>
      <c r="D3958" s="3980"/>
      <c r="E3958" s="3883"/>
      <c r="F3958" s="3984" t="str">
        <f t="shared" si="441"/>
        <v>ASHP-SEER18_ER2_MF_CompE</v>
      </c>
      <c r="G3958" s="3984"/>
      <c r="H3958" s="3984"/>
      <c r="I3958" s="3984"/>
      <c r="J3958" s="3508" t="str">
        <f t="shared" si="442"/>
        <v>354351_2021_12_</v>
      </c>
      <c r="K3958" s="717">
        <v>12</v>
      </c>
      <c r="L3958" s="704"/>
      <c r="M3958" s="3020"/>
      <c r="N3958" s="106"/>
      <c r="O3958" s="106"/>
      <c r="P3958" s="702"/>
      <c r="Q3958" s="574"/>
      <c r="R3958" s="702"/>
      <c r="S3958" s="106"/>
      <c r="T3958" s="486"/>
      <c r="U3958" s="106"/>
      <c r="V3958" s="4129"/>
      <c r="W3958" s="717"/>
      <c r="X3958" s="717"/>
      <c r="Y3958" s="717"/>
      <c r="Z3958" s="717"/>
      <c r="AA3958" s="717"/>
      <c r="AB3958" s="717"/>
      <c r="AC3958" s="2932">
        <v>12</v>
      </c>
      <c r="AD3958" s="717">
        <v>12</v>
      </c>
      <c r="AE3958" s="2944"/>
      <c r="AF3958" s="717"/>
      <c r="AG3958" s="717"/>
      <c r="AH3958" s="156"/>
      <c r="AI3958" s="156"/>
      <c r="AJ3958" s="156"/>
      <c r="AK3958" s="156"/>
      <c r="AL3958" s="156"/>
      <c r="AM3958" s="156"/>
      <c r="AN3958" s="156"/>
      <c r="AO3958" s="156"/>
      <c r="AP3958" s="156"/>
      <c r="AQ3958" s="156"/>
      <c r="AR3958" s="156"/>
      <c r="AS3958" s="156"/>
      <c r="AT3958" s="156"/>
      <c r="AU3958" s="156"/>
      <c r="AV3958" s="156"/>
      <c r="AW3958" s="156"/>
      <c r="AX3958" s="156"/>
      <c r="AY3958" s="156"/>
      <c r="AZ3958" s="156"/>
      <c r="BA3958" s="156"/>
      <c r="BB3958" s="2828"/>
      <c r="BC3958" s="452"/>
      <c r="BD3958" s="2829"/>
      <c r="BE3958" s="2837"/>
      <c r="BF3958" s="156"/>
    </row>
    <row r="3959" spans="1:58" ht="15" customHeight="1" outlineLevel="1" x14ac:dyDescent="0.35">
      <c r="A3959" s="1664"/>
      <c r="B3959" s="2812"/>
      <c r="C3959" s="3077"/>
      <c r="D3959" s="3980"/>
      <c r="E3959" s="3883"/>
      <c r="F3959" s="3984" t="str">
        <f t="shared" si="441"/>
        <v>ASHP-SEER18_ER2_MF_CompE</v>
      </c>
      <c r="G3959" s="3984"/>
      <c r="H3959" s="3984"/>
      <c r="I3959" s="3984"/>
      <c r="J3959" s="3508" t="str">
        <f t="shared" si="442"/>
        <v>354351_2021_12_</v>
      </c>
      <c r="K3959" s="717">
        <v>12</v>
      </c>
      <c r="L3959" s="704"/>
      <c r="M3959" s="3020"/>
      <c r="N3959" s="106"/>
      <c r="O3959" s="106"/>
      <c r="P3959" s="702"/>
      <c r="Q3959" s="574"/>
      <c r="R3959" s="702"/>
      <c r="S3959" s="106"/>
      <c r="T3959" s="486"/>
      <c r="U3959" s="106"/>
      <c r="V3959" s="4129"/>
      <c r="W3959" s="717"/>
      <c r="X3959" s="717"/>
      <c r="Y3959" s="717"/>
      <c r="Z3959" s="717"/>
      <c r="AA3959" s="717"/>
      <c r="AB3959" s="717"/>
      <c r="AC3959" s="2932">
        <v>12</v>
      </c>
      <c r="AD3959" s="717">
        <v>12</v>
      </c>
      <c r="AE3959" s="2944"/>
      <c r="AF3959" s="717"/>
      <c r="AG3959" s="717"/>
      <c r="AH3959" s="156"/>
      <c r="AI3959" s="156"/>
      <c r="AJ3959" s="156"/>
      <c r="AK3959" s="156"/>
      <c r="AL3959" s="156"/>
      <c r="AM3959" s="156"/>
      <c r="AN3959" s="156"/>
      <c r="AO3959" s="156"/>
      <c r="AP3959" s="156"/>
      <c r="AQ3959" s="156"/>
      <c r="AR3959" s="156"/>
      <c r="AS3959" s="156"/>
      <c r="AT3959" s="156"/>
      <c r="AU3959" s="156"/>
      <c r="AV3959" s="156"/>
      <c r="AW3959" s="156"/>
      <c r="AX3959" s="156"/>
      <c r="AY3959" s="156"/>
      <c r="AZ3959" s="156"/>
      <c r="BA3959" s="156"/>
      <c r="BB3959" s="2828"/>
      <c r="BC3959" s="452"/>
      <c r="BD3959" s="2829"/>
      <c r="BE3959" s="2837"/>
      <c r="BF3959" s="156"/>
    </row>
    <row r="3960" spans="1:58" ht="15" customHeight="1" outlineLevel="1" x14ac:dyDescent="0.35">
      <c r="A3960" s="1664"/>
      <c r="B3960" s="2812"/>
      <c r="C3960" s="3077"/>
      <c r="D3960" s="3980"/>
      <c r="E3960" s="3883"/>
      <c r="F3960" s="3984" t="str">
        <f t="shared" si="441"/>
        <v>ASHP-SEER19-Replace_CAC_ElectricHeat_ER1_SF</v>
      </c>
      <c r="G3960" s="3984"/>
      <c r="H3960" s="3984"/>
      <c r="I3960" s="3984"/>
      <c r="J3960" s="3508" t="str">
        <f t="shared" si="442"/>
        <v>354400_2021_12_</v>
      </c>
      <c r="K3960" s="717">
        <v>6</v>
      </c>
      <c r="L3960" s="704"/>
      <c r="M3960" s="3020"/>
      <c r="N3960" s="106"/>
      <c r="O3960" s="106"/>
      <c r="P3960" s="702"/>
      <c r="Q3960" s="574"/>
      <c r="R3960" s="702"/>
      <c r="S3960" s="106"/>
      <c r="T3960" s="486"/>
      <c r="U3960" s="106"/>
      <c r="V3960" s="4129"/>
      <c r="W3960" s="717">
        <v>6</v>
      </c>
      <c r="X3960" s="717">
        <v>6</v>
      </c>
      <c r="Y3960" s="717">
        <v>6</v>
      </c>
      <c r="Z3960" s="717">
        <v>6</v>
      </c>
      <c r="AA3960" s="717">
        <v>6</v>
      </c>
      <c r="AB3960" s="717">
        <v>6</v>
      </c>
      <c r="AC3960" s="2930">
        <v>6</v>
      </c>
      <c r="AD3960" s="717">
        <v>6</v>
      </c>
      <c r="AE3960" s="2944"/>
      <c r="AF3960" s="717"/>
      <c r="AG3960" s="717"/>
      <c r="AH3960" s="156"/>
      <c r="AI3960" s="156"/>
      <c r="AJ3960" s="156"/>
      <c r="AK3960" s="156"/>
      <c r="AL3960" s="156"/>
      <c r="AM3960" s="156"/>
      <c r="AN3960" s="156"/>
      <c r="AO3960" s="156"/>
      <c r="AP3960" s="156"/>
      <c r="AQ3960" s="156"/>
      <c r="AR3960" s="156"/>
      <c r="AS3960" s="156"/>
      <c r="AT3960" s="156"/>
      <c r="AU3960" s="156"/>
      <c r="AV3960" s="156"/>
      <c r="AW3960" s="156"/>
      <c r="AX3960" s="156"/>
      <c r="AY3960" s="156"/>
      <c r="AZ3960" s="156"/>
      <c r="BA3960" s="156"/>
      <c r="BB3960" s="2828"/>
      <c r="BC3960" s="452"/>
      <c r="BD3960" s="2829"/>
      <c r="BE3960" s="2837"/>
      <c r="BF3960" s="156"/>
    </row>
    <row r="3961" spans="1:58" ht="15" customHeight="1" outlineLevel="1" x14ac:dyDescent="0.35">
      <c r="A3961" s="1071"/>
      <c r="B3961" s="2812"/>
      <c r="C3961" s="3077"/>
      <c r="D3961" s="3980"/>
      <c r="E3961" s="3883"/>
      <c r="F3961" s="3984" t="str">
        <f t="shared" si="441"/>
        <v>ASHP-SEER19-Replace_CAC_ElectricHeat_ER1_SF</v>
      </c>
      <c r="G3961" s="3984"/>
      <c r="H3961" s="3984"/>
      <c r="I3961" s="3984"/>
      <c r="J3961" s="3508" t="str">
        <f t="shared" si="442"/>
        <v>354400_2021_12_</v>
      </c>
      <c r="K3961" s="717">
        <v>6</v>
      </c>
      <c r="L3961" s="704"/>
      <c r="M3961" s="3020"/>
      <c r="N3961" s="106"/>
      <c r="O3961" s="106"/>
      <c r="P3961" s="106"/>
      <c r="Q3961" s="106"/>
      <c r="R3961" s="106"/>
      <c r="S3961" s="106"/>
      <c r="T3961" s="106"/>
      <c r="U3961" s="106"/>
      <c r="V3961" s="4129"/>
      <c r="W3961" s="717">
        <v>6</v>
      </c>
      <c r="X3961" s="717">
        <v>6</v>
      </c>
      <c r="Y3961" s="717">
        <v>6</v>
      </c>
      <c r="Z3961" s="717">
        <v>6</v>
      </c>
      <c r="AA3961" s="717">
        <v>6</v>
      </c>
      <c r="AB3961" s="717">
        <v>6</v>
      </c>
      <c r="AC3961" s="2930">
        <v>6</v>
      </c>
      <c r="AD3961" s="717">
        <v>6</v>
      </c>
      <c r="AE3961" s="2944"/>
      <c r="AF3961" s="717"/>
      <c r="AG3961" s="717"/>
      <c r="AH3961" s="156"/>
      <c r="AI3961" s="156"/>
      <c r="AJ3961" s="156"/>
      <c r="AK3961" s="156"/>
      <c r="AL3961" s="156"/>
      <c r="AM3961" s="156"/>
      <c r="AN3961" s="156"/>
      <c r="AO3961" s="156"/>
      <c r="AP3961" s="156"/>
      <c r="AQ3961" s="156"/>
      <c r="AR3961" s="156"/>
      <c r="AS3961" s="156"/>
      <c r="AT3961" s="156"/>
      <c r="AU3961" s="156"/>
      <c r="AV3961" s="156"/>
      <c r="AW3961" s="156"/>
      <c r="AX3961" s="156"/>
      <c r="AY3961" s="156"/>
      <c r="AZ3961" s="156"/>
      <c r="BA3961" s="156"/>
      <c r="BB3961" s="2828"/>
      <c r="BC3961" s="452"/>
      <c r="BD3961" s="2829"/>
      <c r="BE3961" s="2837"/>
      <c r="BF3961" s="156"/>
    </row>
    <row r="3962" spans="1:58" ht="15" customHeight="1" outlineLevel="1" x14ac:dyDescent="0.35">
      <c r="A3962" s="1664"/>
      <c r="B3962" s="2812"/>
      <c r="C3962" s="3077"/>
      <c r="D3962" s="3980"/>
      <c r="E3962" s="3883"/>
      <c r="F3962" s="3984" t="str">
        <f t="shared" si="441"/>
        <v>ASHP-SEER19-Replace_CAC_ElectricHeat_ER2_SF</v>
      </c>
      <c r="G3962" s="3984"/>
      <c r="H3962" s="3984"/>
      <c r="I3962" s="3984"/>
      <c r="J3962" s="3508" t="str">
        <f t="shared" si="442"/>
        <v>354400_2021_12_</v>
      </c>
      <c r="K3962" s="717">
        <v>12</v>
      </c>
      <c r="L3962" s="704"/>
      <c r="M3962" s="3022"/>
      <c r="N3962" s="106"/>
      <c r="O3962" s="106"/>
      <c r="P3962" s="702"/>
      <c r="Q3962" s="574"/>
      <c r="R3962" s="702"/>
      <c r="S3962" s="106"/>
      <c r="T3962" s="486"/>
      <c r="U3962" s="106"/>
      <c r="V3962" s="4129"/>
      <c r="W3962" s="717">
        <v>12</v>
      </c>
      <c r="X3962" s="717">
        <v>12</v>
      </c>
      <c r="Y3962" s="717">
        <v>12</v>
      </c>
      <c r="Z3962" s="717">
        <v>12</v>
      </c>
      <c r="AA3962" s="717">
        <v>12</v>
      </c>
      <c r="AB3962" s="717">
        <v>12</v>
      </c>
      <c r="AC3962" s="2930">
        <v>12</v>
      </c>
      <c r="AD3962" s="717">
        <v>12</v>
      </c>
      <c r="AE3962" s="2944"/>
      <c r="AF3962" s="717"/>
      <c r="AG3962" s="717"/>
      <c r="AH3962" s="156"/>
      <c r="AI3962" s="156"/>
      <c r="AJ3962" s="156"/>
      <c r="AK3962" s="156"/>
      <c r="AL3962" s="156"/>
      <c r="AM3962" s="156"/>
      <c r="AN3962" s="156"/>
      <c r="AO3962" s="156"/>
      <c r="AP3962" s="156"/>
      <c r="AQ3962" s="156"/>
      <c r="AR3962" s="156"/>
      <c r="AS3962" s="156"/>
      <c r="AT3962" s="156"/>
      <c r="AU3962" s="156"/>
      <c r="AV3962" s="156"/>
      <c r="AW3962" s="156"/>
      <c r="AX3962" s="156"/>
      <c r="AY3962" s="156"/>
      <c r="AZ3962" s="156"/>
      <c r="BA3962" s="156"/>
      <c r="BB3962" s="2828"/>
      <c r="BC3962" s="452"/>
      <c r="BD3962" s="2829"/>
      <c r="BE3962" s="2837"/>
      <c r="BF3962" s="156"/>
    </row>
    <row r="3963" spans="1:58" ht="15" customHeight="1" outlineLevel="1" x14ac:dyDescent="0.35">
      <c r="A3963" s="1071"/>
      <c r="B3963" s="2812"/>
      <c r="C3963" s="3077"/>
      <c r="D3963" s="3980"/>
      <c r="E3963" s="3883"/>
      <c r="F3963" s="3984" t="str">
        <f t="shared" si="441"/>
        <v>ASHP-SEER19-Replace_CAC_ElectricHeat_ER2_SF</v>
      </c>
      <c r="G3963" s="3984"/>
      <c r="H3963" s="3984"/>
      <c r="I3963" s="3984"/>
      <c r="J3963" s="3508" t="str">
        <f t="shared" si="442"/>
        <v>354400_2021_12_</v>
      </c>
      <c r="K3963" s="717">
        <v>12</v>
      </c>
      <c r="L3963" s="704"/>
      <c r="M3963" s="3022"/>
      <c r="N3963" s="106"/>
      <c r="O3963" s="106"/>
      <c r="P3963" s="106"/>
      <c r="Q3963" s="106"/>
      <c r="R3963" s="106"/>
      <c r="S3963" s="106"/>
      <c r="T3963" s="106"/>
      <c r="U3963" s="106"/>
      <c r="V3963" s="4129"/>
      <c r="W3963" s="717">
        <v>12</v>
      </c>
      <c r="X3963" s="717">
        <v>12</v>
      </c>
      <c r="Y3963" s="717">
        <v>12</v>
      </c>
      <c r="Z3963" s="717">
        <v>12</v>
      </c>
      <c r="AA3963" s="717">
        <v>12</v>
      </c>
      <c r="AB3963" s="717">
        <v>12</v>
      </c>
      <c r="AC3963" s="2930">
        <v>12</v>
      </c>
      <c r="AD3963" s="717">
        <v>12</v>
      </c>
      <c r="AE3963" s="2944"/>
      <c r="AF3963" s="717"/>
      <c r="AG3963" s="717"/>
      <c r="AH3963" s="156"/>
      <c r="AI3963" s="156"/>
      <c r="AJ3963" s="156"/>
      <c r="AK3963" s="156"/>
      <c r="AL3963" s="156"/>
      <c r="AM3963" s="156"/>
      <c r="AN3963" s="156"/>
      <c r="AO3963" s="156"/>
      <c r="AP3963" s="156"/>
      <c r="AQ3963" s="156"/>
      <c r="AR3963" s="156"/>
      <c r="AS3963" s="156"/>
      <c r="AT3963" s="156"/>
      <c r="AU3963" s="156"/>
      <c r="AV3963" s="156"/>
      <c r="AW3963" s="156"/>
      <c r="AX3963" s="156"/>
      <c r="AY3963" s="156"/>
      <c r="AZ3963" s="156"/>
      <c r="BA3963" s="156"/>
      <c r="BB3963" s="2828"/>
      <c r="BC3963" s="452"/>
      <c r="BD3963" s="2829"/>
      <c r="BE3963" s="2837"/>
      <c r="BF3963" s="156"/>
    </row>
    <row r="3964" spans="1:58" ht="15" customHeight="1" outlineLevel="1" x14ac:dyDescent="0.35">
      <c r="A3964" s="1071"/>
      <c r="B3964" s="2812"/>
      <c r="C3964" s="3077"/>
      <c r="D3964" s="3980"/>
      <c r="E3964" s="3883"/>
      <c r="F3964" s="3984" t="str">
        <f t="shared" si="441"/>
        <v>ASHP-SEER19-Replace_CAC_NonElectricHeat_ER1_SF</v>
      </c>
      <c r="G3964" s="3984"/>
      <c r="H3964" s="3984"/>
      <c r="I3964" s="3984"/>
      <c r="J3964" s="3508" t="str">
        <f t="shared" si="442"/>
        <v>354410_2021_12_</v>
      </c>
      <c r="K3964" s="717">
        <v>6</v>
      </c>
      <c r="L3964" s="704"/>
      <c r="M3964" s="3022"/>
      <c r="N3964" s="106"/>
      <c r="O3964" s="106"/>
      <c r="P3964" s="106"/>
      <c r="Q3964" s="106"/>
      <c r="R3964" s="106"/>
      <c r="S3964" s="106"/>
      <c r="T3964" s="106"/>
      <c r="U3964" s="106"/>
      <c r="V3964" s="4129"/>
      <c r="W3964" s="717"/>
      <c r="X3964" s="717"/>
      <c r="Y3964" s="717"/>
      <c r="Z3964" s="717"/>
      <c r="AA3964" s="717"/>
      <c r="AB3964" s="717"/>
      <c r="AC3964" s="2932">
        <v>6</v>
      </c>
      <c r="AD3964" s="717">
        <v>6</v>
      </c>
      <c r="AE3964" s="2944"/>
      <c r="AF3964" s="717"/>
      <c r="AG3964" s="717"/>
      <c r="AH3964" s="156"/>
      <c r="AI3964" s="156"/>
      <c r="AJ3964" s="156"/>
      <c r="AK3964" s="156"/>
      <c r="AL3964" s="156"/>
      <c r="AM3964" s="156"/>
      <c r="AN3964" s="156"/>
      <c r="AO3964" s="156"/>
      <c r="AP3964" s="156"/>
      <c r="AQ3964" s="156"/>
      <c r="AR3964" s="156"/>
      <c r="AS3964" s="156"/>
      <c r="AT3964" s="156"/>
      <c r="AU3964" s="156"/>
      <c r="AV3964" s="156"/>
      <c r="AW3964" s="156"/>
      <c r="AX3964" s="156"/>
      <c r="AY3964" s="156"/>
      <c r="AZ3964" s="156"/>
      <c r="BA3964" s="156"/>
      <c r="BB3964" s="2828"/>
      <c r="BC3964" s="452"/>
      <c r="BD3964" s="2829"/>
      <c r="BE3964" s="2837"/>
      <c r="BF3964" s="156"/>
    </row>
    <row r="3965" spans="1:58" ht="15" customHeight="1" outlineLevel="1" x14ac:dyDescent="0.35">
      <c r="A3965" s="1071"/>
      <c r="B3965" s="2812"/>
      <c r="C3965" s="3077"/>
      <c r="D3965" s="3980"/>
      <c r="E3965" s="3883"/>
      <c r="F3965" s="3984" t="str">
        <f t="shared" si="441"/>
        <v>ASHP-SEER19-Replace_CAC_NonElectricHeat_ER1_SF</v>
      </c>
      <c r="G3965" s="3984"/>
      <c r="H3965" s="3984"/>
      <c r="I3965" s="3984"/>
      <c r="J3965" s="3508" t="str">
        <f t="shared" si="442"/>
        <v>354410_2021_12_</v>
      </c>
      <c r="K3965" s="717">
        <v>6</v>
      </c>
      <c r="L3965" s="704"/>
      <c r="M3965" s="3022"/>
      <c r="N3965" s="106"/>
      <c r="O3965" s="106"/>
      <c r="P3965" s="106"/>
      <c r="Q3965" s="106"/>
      <c r="R3965" s="106"/>
      <c r="S3965" s="106"/>
      <c r="T3965" s="106"/>
      <c r="U3965" s="106"/>
      <c r="V3965" s="4129"/>
      <c r="W3965" s="717"/>
      <c r="X3965" s="717"/>
      <c r="Y3965" s="717"/>
      <c r="Z3965" s="717"/>
      <c r="AA3965" s="717"/>
      <c r="AB3965" s="717"/>
      <c r="AC3965" s="2932">
        <v>6</v>
      </c>
      <c r="AD3965" s="717">
        <v>6</v>
      </c>
      <c r="AE3965" s="2944"/>
      <c r="AF3965" s="717"/>
      <c r="AG3965" s="717"/>
      <c r="AH3965" s="156"/>
      <c r="AI3965" s="156"/>
      <c r="AJ3965" s="156"/>
      <c r="AK3965" s="156"/>
      <c r="AL3965" s="156"/>
      <c r="AM3965" s="156"/>
      <c r="AN3965" s="156"/>
      <c r="AO3965" s="156"/>
      <c r="AP3965" s="156"/>
      <c r="AQ3965" s="156"/>
      <c r="AR3965" s="156"/>
      <c r="AS3965" s="156"/>
      <c r="AT3965" s="156"/>
      <c r="AU3965" s="156"/>
      <c r="AV3965" s="156"/>
      <c r="AW3965" s="156"/>
      <c r="AX3965" s="156"/>
      <c r="AY3965" s="156"/>
      <c r="AZ3965" s="156"/>
      <c r="BA3965" s="156"/>
      <c r="BB3965" s="2828"/>
      <c r="BC3965" s="452"/>
      <c r="BD3965" s="2829"/>
      <c r="BE3965" s="2837"/>
      <c r="BF3965" s="156"/>
    </row>
    <row r="3966" spans="1:58" ht="15" customHeight="1" outlineLevel="1" x14ac:dyDescent="0.35">
      <c r="A3966" s="1071"/>
      <c r="B3966" s="2812"/>
      <c r="C3966" s="3077"/>
      <c r="D3966" s="3980"/>
      <c r="E3966" s="3883"/>
      <c r="F3966" s="3984" t="str">
        <f t="shared" ref="F3966:F3997" si="443">E1822</f>
        <v>ASHP-SEER19-Replace_CAC_NonElectricHeat_ER2_SF</v>
      </c>
      <c r="G3966" s="3984"/>
      <c r="H3966" s="3984"/>
      <c r="I3966" s="3984"/>
      <c r="J3966" s="3508" t="str">
        <f t="shared" ref="J3966:J3997" si="444">C1822</f>
        <v>354410_2021_12_</v>
      </c>
      <c r="K3966" s="717">
        <v>12</v>
      </c>
      <c r="L3966" s="704"/>
      <c r="M3966" s="3022"/>
      <c r="N3966" s="106"/>
      <c r="O3966" s="106"/>
      <c r="P3966" s="106"/>
      <c r="Q3966" s="106"/>
      <c r="R3966" s="106"/>
      <c r="S3966" s="106"/>
      <c r="T3966" s="106"/>
      <c r="U3966" s="106"/>
      <c r="V3966" s="4129"/>
      <c r="W3966" s="717"/>
      <c r="X3966" s="717"/>
      <c r="Y3966" s="717"/>
      <c r="Z3966" s="717"/>
      <c r="AA3966" s="717"/>
      <c r="AB3966" s="717"/>
      <c r="AC3966" s="2932">
        <v>12</v>
      </c>
      <c r="AD3966" s="717">
        <v>12</v>
      </c>
      <c r="AE3966" s="2944"/>
      <c r="AF3966" s="717"/>
      <c r="AG3966" s="717"/>
      <c r="AH3966" s="156"/>
      <c r="AI3966" s="156"/>
      <c r="AJ3966" s="156"/>
      <c r="AK3966" s="156"/>
      <c r="AL3966" s="156"/>
      <c r="AM3966" s="156"/>
      <c r="AN3966" s="156"/>
      <c r="AO3966" s="156"/>
      <c r="AP3966" s="156"/>
      <c r="AQ3966" s="156"/>
      <c r="AR3966" s="156"/>
      <c r="AS3966" s="156"/>
      <c r="AT3966" s="156"/>
      <c r="AU3966" s="156"/>
      <c r="AV3966" s="156"/>
      <c r="AW3966" s="156"/>
      <c r="AX3966" s="156"/>
      <c r="AY3966" s="156"/>
      <c r="AZ3966" s="156"/>
      <c r="BA3966" s="156"/>
      <c r="BB3966" s="2828"/>
      <c r="BC3966" s="452"/>
      <c r="BD3966" s="2829"/>
      <c r="BE3966" s="2837"/>
      <c r="BF3966" s="156"/>
    </row>
    <row r="3967" spans="1:58" ht="15" customHeight="1" outlineLevel="1" x14ac:dyDescent="0.35">
      <c r="A3967" s="1071"/>
      <c r="B3967" s="2812"/>
      <c r="C3967" s="3077"/>
      <c r="D3967" s="3980"/>
      <c r="E3967" s="3883"/>
      <c r="F3967" s="3984" t="str">
        <f t="shared" si="443"/>
        <v>ASHP-SEER19-Replace_CAC_NonElectricHeat_ER2_SF</v>
      </c>
      <c r="G3967" s="3984"/>
      <c r="H3967" s="3984"/>
      <c r="I3967" s="3984"/>
      <c r="J3967" s="3508" t="str">
        <f t="shared" si="444"/>
        <v>354410_2021_12_</v>
      </c>
      <c r="K3967" s="717">
        <v>12</v>
      </c>
      <c r="L3967" s="704"/>
      <c r="M3967" s="3022"/>
      <c r="N3967" s="106"/>
      <c r="O3967" s="106"/>
      <c r="P3967" s="106"/>
      <c r="Q3967" s="106"/>
      <c r="R3967" s="106"/>
      <c r="S3967" s="106"/>
      <c r="T3967" s="106"/>
      <c r="U3967" s="106"/>
      <c r="V3967" s="4129"/>
      <c r="W3967" s="717"/>
      <c r="X3967" s="717"/>
      <c r="Y3967" s="717"/>
      <c r="Z3967" s="717"/>
      <c r="AA3967" s="717"/>
      <c r="AB3967" s="717"/>
      <c r="AC3967" s="2932">
        <v>12</v>
      </c>
      <c r="AD3967" s="717">
        <v>12</v>
      </c>
      <c r="AE3967" s="2944"/>
      <c r="AF3967" s="717"/>
      <c r="AG3967" s="717"/>
      <c r="AH3967" s="156"/>
      <c r="AI3967" s="156"/>
      <c r="AJ3967" s="156"/>
      <c r="AK3967" s="156"/>
      <c r="AL3967" s="156"/>
      <c r="AM3967" s="156"/>
      <c r="AN3967" s="156"/>
      <c r="AO3967" s="156"/>
      <c r="AP3967" s="156"/>
      <c r="AQ3967" s="156"/>
      <c r="AR3967" s="156"/>
      <c r="AS3967" s="156"/>
      <c r="AT3967" s="156"/>
      <c r="AU3967" s="156"/>
      <c r="AV3967" s="156"/>
      <c r="AW3967" s="156"/>
      <c r="AX3967" s="156"/>
      <c r="AY3967" s="156"/>
      <c r="AZ3967" s="156"/>
      <c r="BA3967" s="156"/>
      <c r="BB3967" s="2828"/>
      <c r="BC3967" s="452"/>
      <c r="BD3967" s="2829"/>
      <c r="BE3967" s="2837"/>
      <c r="BF3967" s="156"/>
    </row>
    <row r="3968" spans="1:58" ht="15" customHeight="1" outlineLevel="1" x14ac:dyDescent="0.35">
      <c r="A3968" s="1664"/>
      <c r="B3968" s="2812"/>
      <c r="C3968" s="3077"/>
      <c r="D3968" s="3980"/>
      <c r="E3968" s="3883"/>
      <c r="F3968" s="3984" t="str">
        <f t="shared" si="443"/>
        <v>ASHP-SEER19-Replace_CAC_ElectricHeat_ER1_MF</v>
      </c>
      <c r="G3968" s="3984"/>
      <c r="H3968" s="3984"/>
      <c r="I3968" s="3984"/>
      <c r="J3968" s="3508" t="str">
        <f t="shared" si="444"/>
        <v>354450_2019_12_</v>
      </c>
      <c r="K3968" s="717">
        <v>6</v>
      </c>
      <c r="L3968" s="704"/>
      <c r="M3968" s="3022"/>
      <c r="N3968" s="106"/>
      <c r="O3968" s="106"/>
      <c r="P3968" s="702"/>
      <c r="Q3968" s="574"/>
      <c r="R3968" s="702"/>
      <c r="S3968" s="106"/>
      <c r="T3968" s="486"/>
      <c r="U3968" s="106"/>
      <c r="V3968" s="4129"/>
      <c r="W3968" s="717">
        <v>6</v>
      </c>
      <c r="X3968" s="717">
        <v>6</v>
      </c>
      <c r="Y3968" s="717">
        <v>6</v>
      </c>
      <c r="Z3968" s="717">
        <v>6</v>
      </c>
      <c r="AA3968" s="717">
        <v>6</v>
      </c>
      <c r="AB3968" s="717">
        <v>6</v>
      </c>
      <c r="AC3968" s="2930">
        <v>6</v>
      </c>
      <c r="AD3968" s="717">
        <v>6</v>
      </c>
      <c r="AE3968" s="2944"/>
      <c r="AF3968" s="717"/>
      <c r="AG3968" s="717"/>
      <c r="AH3968" s="156"/>
      <c r="AI3968" s="156"/>
      <c r="AJ3968" s="156"/>
      <c r="AK3968" s="156"/>
      <c r="AL3968" s="156"/>
      <c r="AM3968" s="156"/>
      <c r="AN3968" s="156"/>
      <c r="AO3968" s="156"/>
      <c r="AP3968" s="156"/>
      <c r="AQ3968" s="156"/>
      <c r="AR3968" s="156"/>
      <c r="AS3968" s="156"/>
      <c r="AT3968" s="156"/>
      <c r="AU3968" s="156"/>
      <c r="AV3968" s="156"/>
      <c r="AW3968" s="156"/>
      <c r="AX3968" s="156"/>
      <c r="AY3968" s="156"/>
      <c r="AZ3968" s="156"/>
      <c r="BA3968" s="156"/>
      <c r="BB3968" s="2828"/>
      <c r="BC3968" s="452"/>
      <c r="BD3968" s="2829"/>
      <c r="BE3968" s="2837"/>
      <c r="BF3968" s="156"/>
    </row>
    <row r="3969" spans="1:58" ht="15" customHeight="1" outlineLevel="1" x14ac:dyDescent="0.35">
      <c r="A3969" s="1071"/>
      <c r="B3969" s="2812"/>
      <c r="C3969" s="3077"/>
      <c r="D3969" s="3980"/>
      <c r="E3969" s="3883"/>
      <c r="F3969" s="3984" t="str">
        <f t="shared" si="443"/>
        <v>ASHP-SEER19-Replace_CAC_ElectricHeat_ER1_MF</v>
      </c>
      <c r="G3969" s="3984"/>
      <c r="H3969" s="3984"/>
      <c r="I3969" s="3984"/>
      <c r="J3969" s="3508" t="str">
        <f t="shared" si="444"/>
        <v>354450_2019_12_</v>
      </c>
      <c r="K3969" s="717">
        <v>6</v>
      </c>
      <c r="L3969" s="704"/>
      <c r="M3969" s="3022"/>
      <c r="N3969" s="106"/>
      <c r="O3969" s="106"/>
      <c r="P3969" s="106"/>
      <c r="Q3969" s="106"/>
      <c r="R3969" s="106"/>
      <c r="S3969" s="106"/>
      <c r="T3969" s="106"/>
      <c r="U3969" s="106"/>
      <c r="V3969" s="4129"/>
      <c r="W3969" s="717">
        <v>6</v>
      </c>
      <c r="X3969" s="717">
        <v>6</v>
      </c>
      <c r="Y3969" s="717">
        <v>6</v>
      </c>
      <c r="Z3969" s="717">
        <v>6</v>
      </c>
      <c r="AA3969" s="717">
        <v>6</v>
      </c>
      <c r="AB3969" s="717">
        <v>6</v>
      </c>
      <c r="AC3969" s="2930">
        <v>6</v>
      </c>
      <c r="AD3969" s="717">
        <v>6</v>
      </c>
      <c r="AE3969" s="2944"/>
      <c r="AF3969" s="717"/>
      <c r="AG3969" s="717"/>
      <c r="AH3969" s="156"/>
      <c r="AI3969" s="156"/>
      <c r="AJ3969" s="156"/>
      <c r="AK3969" s="156"/>
      <c r="AL3969" s="156"/>
      <c r="AM3969" s="156"/>
      <c r="AN3969" s="156"/>
      <c r="AO3969" s="156"/>
      <c r="AP3969" s="156"/>
      <c r="AQ3969" s="156"/>
      <c r="AR3969" s="156"/>
      <c r="AS3969" s="156"/>
      <c r="AT3969" s="156"/>
      <c r="AU3969" s="156"/>
      <c r="AV3969" s="156"/>
      <c r="AW3969" s="156"/>
      <c r="AX3969" s="156"/>
      <c r="AY3969" s="156"/>
      <c r="AZ3969" s="156"/>
      <c r="BA3969" s="156"/>
      <c r="BB3969" s="2828"/>
      <c r="BC3969" s="452"/>
      <c r="BD3969" s="2829"/>
      <c r="BE3969" s="2837"/>
      <c r="BF3969" s="156"/>
    </row>
    <row r="3970" spans="1:58" ht="15" customHeight="1" outlineLevel="1" x14ac:dyDescent="0.35">
      <c r="A3970" s="1071"/>
      <c r="B3970" s="2812"/>
      <c r="C3970" s="3077"/>
      <c r="D3970" s="3980"/>
      <c r="E3970" s="3883"/>
      <c r="F3970" s="3984" t="str">
        <f t="shared" si="443"/>
        <v>ASHP-SEER19-Replace_CAC_ElectricHeat_ER2_MF</v>
      </c>
      <c r="G3970" s="3984"/>
      <c r="H3970" s="3984"/>
      <c r="I3970" s="3984"/>
      <c r="J3970" s="3508" t="str">
        <f t="shared" si="444"/>
        <v>354450_2019_12_</v>
      </c>
      <c r="K3970" s="717">
        <v>12</v>
      </c>
      <c r="L3970" s="704"/>
      <c r="M3970" s="3022"/>
      <c r="N3970" s="106"/>
      <c r="O3970" s="106"/>
      <c r="P3970" s="106"/>
      <c r="Q3970" s="106"/>
      <c r="R3970" s="106"/>
      <c r="S3970" s="106"/>
      <c r="T3970" s="106"/>
      <c r="U3970" s="106"/>
      <c r="V3970" s="4129"/>
      <c r="W3970" s="717">
        <v>12</v>
      </c>
      <c r="X3970" s="717">
        <v>12</v>
      </c>
      <c r="Y3970" s="717">
        <v>12</v>
      </c>
      <c r="Z3970" s="717">
        <v>12</v>
      </c>
      <c r="AA3970" s="717">
        <v>12</v>
      </c>
      <c r="AB3970" s="717">
        <v>12</v>
      </c>
      <c r="AC3970" s="2930">
        <v>12</v>
      </c>
      <c r="AD3970" s="717">
        <v>12</v>
      </c>
      <c r="AE3970" s="2944"/>
      <c r="AF3970" s="717"/>
      <c r="AG3970" s="717"/>
      <c r="AH3970" s="156"/>
      <c r="AI3970" s="156"/>
      <c r="AJ3970" s="156"/>
      <c r="AK3970" s="156"/>
      <c r="AL3970" s="156"/>
      <c r="AM3970" s="156"/>
      <c r="AN3970" s="156"/>
      <c r="AO3970" s="156"/>
      <c r="AP3970" s="156"/>
      <c r="AQ3970" s="156"/>
      <c r="AR3970" s="156"/>
      <c r="AS3970" s="156"/>
      <c r="AT3970" s="156"/>
      <c r="AU3970" s="156"/>
      <c r="AV3970" s="156"/>
      <c r="AW3970" s="156"/>
      <c r="AX3970" s="156"/>
      <c r="AY3970" s="156"/>
      <c r="AZ3970" s="156"/>
      <c r="BA3970" s="156"/>
      <c r="BB3970" s="2828"/>
      <c r="BC3970" s="452"/>
      <c r="BD3970" s="2829"/>
      <c r="BE3970" s="2837"/>
      <c r="BF3970" s="156"/>
    </row>
    <row r="3971" spans="1:58" ht="15" customHeight="1" outlineLevel="1" x14ac:dyDescent="0.35">
      <c r="A3971" s="1664"/>
      <c r="B3971" s="2812"/>
      <c r="C3971" s="3077"/>
      <c r="D3971" s="3980"/>
      <c r="E3971" s="3883"/>
      <c r="F3971" s="3984" t="str">
        <f t="shared" si="443"/>
        <v>ASHP-SEER19-Replace_CAC_ElectricHeat_ER2_MF</v>
      </c>
      <c r="G3971" s="3984"/>
      <c r="H3971" s="3984"/>
      <c r="I3971" s="3984"/>
      <c r="J3971" s="3508" t="str">
        <f t="shared" si="444"/>
        <v>354450_2019_12_</v>
      </c>
      <c r="K3971" s="717">
        <v>12</v>
      </c>
      <c r="L3971" s="704"/>
      <c r="M3971" s="3022"/>
      <c r="N3971" s="106"/>
      <c r="O3971" s="106"/>
      <c r="P3971" s="702"/>
      <c r="Q3971" s="574"/>
      <c r="R3971" s="702"/>
      <c r="S3971" s="106"/>
      <c r="T3971" s="486"/>
      <c r="U3971" s="106"/>
      <c r="V3971" s="4129"/>
      <c r="W3971" s="717">
        <v>12</v>
      </c>
      <c r="X3971" s="717">
        <v>12</v>
      </c>
      <c r="Y3971" s="717">
        <v>12</v>
      </c>
      <c r="Z3971" s="717">
        <v>12</v>
      </c>
      <c r="AA3971" s="717">
        <v>12</v>
      </c>
      <c r="AB3971" s="717">
        <v>12</v>
      </c>
      <c r="AC3971" s="2930">
        <v>12</v>
      </c>
      <c r="AD3971" s="717">
        <v>12</v>
      </c>
      <c r="AE3971" s="2944"/>
      <c r="AF3971" s="717"/>
      <c r="AG3971" s="717"/>
      <c r="AH3971" s="156"/>
      <c r="AI3971" s="156"/>
      <c r="AJ3971" s="156"/>
      <c r="AK3971" s="156"/>
      <c r="AL3971" s="156"/>
      <c r="AM3971" s="156"/>
      <c r="AN3971" s="156"/>
      <c r="AO3971" s="156"/>
      <c r="AP3971" s="156"/>
      <c r="AQ3971" s="156"/>
      <c r="AR3971" s="156"/>
      <c r="AS3971" s="156"/>
      <c r="AT3971" s="156"/>
      <c r="AU3971" s="156"/>
      <c r="AV3971" s="156"/>
      <c r="AW3971" s="156"/>
      <c r="AX3971" s="156"/>
      <c r="AY3971" s="156"/>
      <c r="AZ3971" s="156"/>
      <c r="BA3971" s="156"/>
      <c r="BB3971" s="2828"/>
      <c r="BC3971" s="452"/>
      <c r="BD3971" s="2829"/>
      <c r="BE3971" s="2837"/>
      <c r="BF3971" s="156"/>
    </row>
    <row r="3972" spans="1:58" ht="15" customHeight="1" outlineLevel="1" x14ac:dyDescent="0.35">
      <c r="A3972" s="1664"/>
      <c r="B3972" s="2812"/>
      <c r="C3972" s="3077"/>
      <c r="D3972" s="3980"/>
      <c r="E3972" s="3883"/>
      <c r="F3972" s="3984" t="str">
        <f t="shared" si="443"/>
        <v>ASHP-SEER19-Replace_CAC_ElectricHeat_ER1_MF_CompE</v>
      </c>
      <c r="G3972" s="3984"/>
      <c r="H3972" s="3984"/>
      <c r="I3972" s="3984"/>
      <c r="J3972" s="3508" t="str">
        <f t="shared" si="444"/>
        <v>354451_2019_12_</v>
      </c>
      <c r="K3972" s="717">
        <v>6</v>
      </c>
      <c r="L3972" s="704"/>
      <c r="M3972" s="3022"/>
      <c r="N3972" s="106"/>
      <c r="O3972" s="106"/>
      <c r="P3972" s="702"/>
      <c r="Q3972" s="574"/>
      <c r="R3972" s="702"/>
      <c r="S3972" s="106"/>
      <c r="T3972" s="486"/>
      <c r="U3972" s="106"/>
      <c r="V3972" s="4129"/>
      <c r="W3972" s="717"/>
      <c r="X3972" s="717"/>
      <c r="Y3972" s="717"/>
      <c r="Z3972" s="717"/>
      <c r="AA3972" s="717"/>
      <c r="AB3972" s="717"/>
      <c r="AC3972" s="2932">
        <v>6</v>
      </c>
      <c r="AD3972" s="717">
        <v>6</v>
      </c>
      <c r="AE3972" s="2944"/>
      <c r="AF3972" s="717"/>
      <c r="AG3972" s="717"/>
      <c r="AH3972" s="156"/>
      <c r="AI3972" s="156"/>
      <c r="AJ3972" s="156"/>
      <c r="AK3972" s="156"/>
      <c r="AL3972" s="156"/>
      <c r="AM3972" s="156"/>
      <c r="AN3972" s="156"/>
      <c r="AO3972" s="156"/>
      <c r="AP3972" s="156"/>
      <c r="AQ3972" s="156"/>
      <c r="AR3972" s="156"/>
      <c r="AS3972" s="156"/>
      <c r="AT3972" s="156"/>
      <c r="AU3972" s="156"/>
      <c r="AV3972" s="156"/>
      <c r="AW3972" s="156"/>
      <c r="AX3972" s="156"/>
      <c r="AY3972" s="156"/>
      <c r="AZ3972" s="156"/>
      <c r="BA3972" s="156"/>
      <c r="BB3972" s="2828"/>
      <c r="BC3972" s="452"/>
      <c r="BD3972" s="2829"/>
      <c r="BE3972" s="2837"/>
      <c r="BF3972" s="156"/>
    </row>
    <row r="3973" spans="1:58" ht="15" customHeight="1" outlineLevel="1" x14ac:dyDescent="0.35">
      <c r="A3973" s="1664"/>
      <c r="B3973" s="2812"/>
      <c r="C3973" s="3077"/>
      <c r="D3973" s="3980"/>
      <c r="E3973" s="3883"/>
      <c r="F3973" s="3984" t="str">
        <f t="shared" si="443"/>
        <v>ASHP-SEER19-Replace_CAC_ElectricHeat_ER1_MF_CompE</v>
      </c>
      <c r="G3973" s="3984"/>
      <c r="H3973" s="3984"/>
      <c r="I3973" s="3984"/>
      <c r="J3973" s="3508" t="str">
        <f t="shared" si="444"/>
        <v>354451_2019_12_</v>
      </c>
      <c r="K3973" s="717">
        <v>6</v>
      </c>
      <c r="L3973" s="704"/>
      <c r="M3973" s="3022"/>
      <c r="N3973" s="106"/>
      <c r="O3973" s="106"/>
      <c r="P3973" s="702"/>
      <c r="Q3973" s="574"/>
      <c r="R3973" s="702"/>
      <c r="S3973" s="106"/>
      <c r="T3973" s="486"/>
      <c r="U3973" s="106"/>
      <c r="V3973" s="4129"/>
      <c r="W3973" s="717"/>
      <c r="X3973" s="717"/>
      <c r="Y3973" s="717"/>
      <c r="Z3973" s="717"/>
      <c r="AA3973" s="717"/>
      <c r="AB3973" s="717"/>
      <c r="AC3973" s="2932">
        <v>6</v>
      </c>
      <c r="AD3973" s="717">
        <v>6</v>
      </c>
      <c r="AE3973" s="2944"/>
      <c r="AF3973" s="717"/>
      <c r="AG3973" s="717"/>
      <c r="AH3973" s="156"/>
      <c r="AI3973" s="156"/>
      <c r="AJ3973" s="156"/>
      <c r="AK3973" s="156"/>
      <c r="AL3973" s="156"/>
      <c r="AM3973" s="156"/>
      <c r="AN3973" s="156"/>
      <c r="AO3973" s="156"/>
      <c r="AP3973" s="156"/>
      <c r="AQ3973" s="156"/>
      <c r="AR3973" s="156"/>
      <c r="AS3973" s="156"/>
      <c r="AT3973" s="156"/>
      <c r="AU3973" s="156"/>
      <c r="AV3973" s="156"/>
      <c r="AW3973" s="156"/>
      <c r="AX3973" s="156"/>
      <c r="AY3973" s="156"/>
      <c r="AZ3973" s="156"/>
      <c r="BA3973" s="156"/>
      <c r="BB3973" s="2828"/>
      <c r="BC3973" s="452"/>
      <c r="BD3973" s="2829"/>
      <c r="BE3973" s="2837"/>
      <c r="BF3973" s="156"/>
    </row>
    <row r="3974" spans="1:58" ht="15" customHeight="1" outlineLevel="1" x14ac:dyDescent="0.35">
      <c r="A3974" s="1664"/>
      <c r="B3974" s="2812"/>
      <c r="C3974" s="3077"/>
      <c r="D3974" s="3980"/>
      <c r="E3974" s="3883"/>
      <c r="F3974" s="3984" t="str">
        <f t="shared" si="443"/>
        <v>ASHP-SEER19-Replace_CAC_ElectricHeat_ER2_MF_CompE</v>
      </c>
      <c r="G3974" s="3984"/>
      <c r="H3974" s="3984"/>
      <c r="I3974" s="3984"/>
      <c r="J3974" s="3508" t="str">
        <f t="shared" si="444"/>
        <v>354451_2019_12_</v>
      </c>
      <c r="K3974" s="717">
        <v>12</v>
      </c>
      <c r="L3974" s="704"/>
      <c r="M3974" s="3022"/>
      <c r="N3974" s="106"/>
      <c r="O3974" s="106"/>
      <c r="P3974" s="702"/>
      <c r="Q3974" s="574"/>
      <c r="R3974" s="702"/>
      <c r="S3974" s="106"/>
      <c r="T3974" s="486"/>
      <c r="U3974" s="106"/>
      <c r="V3974" s="4129"/>
      <c r="W3974" s="717"/>
      <c r="X3974" s="717"/>
      <c r="Y3974" s="717"/>
      <c r="Z3974" s="717"/>
      <c r="AA3974" s="717"/>
      <c r="AB3974" s="717"/>
      <c r="AC3974" s="2932">
        <v>12</v>
      </c>
      <c r="AD3974" s="717">
        <v>12</v>
      </c>
      <c r="AE3974" s="2944"/>
      <c r="AF3974" s="717"/>
      <c r="AG3974" s="717"/>
      <c r="AH3974" s="156"/>
      <c r="AI3974" s="156"/>
      <c r="AJ3974" s="156"/>
      <c r="AK3974" s="156"/>
      <c r="AL3974" s="156"/>
      <c r="AM3974" s="156"/>
      <c r="AN3974" s="156"/>
      <c r="AO3974" s="156"/>
      <c r="AP3974" s="156"/>
      <c r="AQ3974" s="156"/>
      <c r="AR3974" s="156"/>
      <c r="AS3974" s="156"/>
      <c r="AT3974" s="156"/>
      <c r="AU3974" s="156"/>
      <c r="AV3974" s="156"/>
      <c r="AW3974" s="156"/>
      <c r="AX3974" s="156"/>
      <c r="AY3974" s="156"/>
      <c r="AZ3974" s="156"/>
      <c r="BA3974" s="156"/>
      <c r="BB3974" s="2828"/>
      <c r="BC3974" s="452"/>
      <c r="BD3974" s="2829"/>
      <c r="BE3974" s="2837"/>
      <c r="BF3974" s="156"/>
    </row>
    <row r="3975" spans="1:58" ht="15" customHeight="1" outlineLevel="1" x14ac:dyDescent="0.35">
      <c r="A3975" s="1664"/>
      <c r="B3975" s="2812"/>
      <c r="C3975" s="3077"/>
      <c r="D3975" s="3980"/>
      <c r="E3975" s="3883"/>
      <c r="F3975" s="3984" t="str">
        <f t="shared" si="443"/>
        <v>ASHP-SEER19-Replace_CAC_ElectricHeat_ER2_MF_CompE</v>
      </c>
      <c r="G3975" s="3984"/>
      <c r="H3975" s="3984"/>
      <c r="I3975" s="3984"/>
      <c r="J3975" s="3508" t="str">
        <f t="shared" si="444"/>
        <v>354451_2019_12_</v>
      </c>
      <c r="K3975" s="717">
        <v>12</v>
      </c>
      <c r="L3975" s="704"/>
      <c r="M3975" s="3022"/>
      <c r="N3975" s="106"/>
      <c r="O3975" s="106"/>
      <c r="P3975" s="702"/>
      <c r="Q3975" s="574"/>
      <c r="R3975" s="702"/>
      <c r="S3975" s="106"/>
      <c r="T3975" s="486"/>
      <c r="U3975" s="106"/>
      <c r="V3975" s="4129"/>
      <c r="W3975" s="717"/>
      <c r="X3975" s="717"/>
      <c r="Y3975" s="717"/>
      <c r="Z3975" s="717"/>
      <c r="AA3975" s="717"/>
      <c r="AB3975" s="717"/>
      <c r="AC3975" s="2932">
        <v>12</v>
      </c>
      <c r="AD3975" s="717">
        <v>12</v>
      </c>
      <c r="AE3975" s="2944"/>
      <c r="AF3975" s="717"/>
      <c r="AG3975" s="717"/>
      <c r="AH3975" s="156"/>
      <c r="AI3975" s="156"/>
      <c r="AJ3975" s="156"/>
      <c r="AK3975" s="156"/>
      <c r="AL3975" s="156"/>
      <c r="AM3975" s="156"/>
      <c r="AN3975" s="156"/>
      <c r="AO3975" s="156"/>
      <c r="AP3975" s="156"/>
      <c r="AQ3975" s="156"/>
      <c r="AR3975" s="156"/>
      <c r="AS3975" s="156"/>
      <c r="AT3975" s="156"/>
      <c r="AU3975" s="156"/>
      <c r="AV3975" s="156"/>
      <c r="AW3975" s="156"/>
      <c r="AX3975" s="156"/>
      <c r="AY3975" s="156"/>
      <c r="AZ3975" s="156"/>
      <c r="BA3975" s="156"/>
      <c r="BB3975" s="2828"/>
      <c r="BC3975" s="452"/>
      <c r="BD3975" s="2829"/>
      <c r="BE3975" s="2837"/>
      <c r="BF3975" s="156"/>
    </row>
    <row r="3976" spans="1:58" ht="15" customHeight="1" outlineLevel="1" x14ac:dyDescent="0.35">
      <c r="A3976" s="1664"/>
      <c r="B3976" s="2812"/>
      <c r="C3976" s="3077"/>
      <c r="D3976" s="3980"/>
      <c r="E3976" s="3883"/>
      <c r="F3976" s="3984" t="str">
        <f t="shared" si="443"/>
        <v>ASHP-SEER19-Replace_CAC_NonElectricHeat_ER1_MF</v>
      </c>
      <c r="G3976" s="3984"/>
      <c r="H3976" s="3984"/>
      <c r="I3976" s="3984"/>
      <c r="J3976" s="3508" t="str">
        <f t="shared" si="444"/>
        <v>354460_2021_12_</v>
      </c>
      <c r="K3976" s="717">
        <v>6</v>
      </c>
      <c r="L3976" s="704"/>
      <c r="M3976" s="3022"/>
      <c r="N3976" s="106"/>
      <c r="O3976" s="106"/>
      <c r="P3976" s="702"/>
      <c r="Q3976" s="574"/>
      <c r="R3976" s="702"/>
      <c r="S3976" s="106"/>
      <c r="T3976" s="486"/>
      <c r="U3976" s="106"/>
      <c r="V3976" s="4129"/>
      <c r="W3976" s="717"/>
      <c r="X3976" s="717"/>
      <c r="Y3976" s="717"/>
      <c r="Z3976" s="717"/>
      <c r="AA3976" s="717"/>
      <c r="AB3976" s="717"/>
      <c r="AC3976" s="2932">
        <v>6</v>
      </c>
      <c r="AD3976" s="717">
        <v>6</v>
      </c>
      <c r="AE3976" s="2944"/>
      <c r="AF3976" s="717"/>
      <c r="AG3976" s="717"/>
      <c r="AH3976" s="156"/>
      <c r="AI3976" s="156"/>
      <c r="AJ3976" s="156"/>
      <c r="AK3976" s="156"/>
      <c r="AL3976" s="156"/>
      <c r="AM3976" s="156"/>
      <c r="AN3976" s="156"/>
      <c r="AO3976" s="156"/>
      <c r="AP3976" s="156"/>
      <c r="AQ3976" s="156"/>
      <c r="AR3976" s="156"/>
      <c r="AS3976" s="156"/>
      <c r="AT3976" s="156"/>
      <c r="AU3976" s="156"/>
      <c r="AV3976" s="156"/>
      <c r="AW3976" s="156"/>
      <c r="AX3976" s="156"/>
      <c r="AY3976" s="156"/>
      <c r="AZ3976" s="156"/>
      <c r="BA3976" s="156"/>
      <c r="BB3976" s="2828"/>
      <c r="BC3976" s="452"/>
      <c r="BD3976" s="2829"/>
      <c r="BE3976" s="2837"/>
      <c r="BF3976" s="156"/>
    </row>
    <row r="3977" spans="1:58" ht="15" customHeight="1" outlineLevel="1" x14ac:dyDescent="0.35">
      <c r="A3977" s="1664"/>
      <c r="B3977" s="2812"/>
      <c r="C3977" s="3077"/>
      <c r="D3977" s="3980"/>
      <c r="E3977" s="3883"/>
      <c r="F3977" s="3984" t="str">
        <f t="shared" si="443"/>
        <v>ASHP-SEER19-Replace_CAC_NonElectricHeat_ER1_MF</v>
      </c>
      <c r="G3977" s="3984"/>
      <c r="H3977" s="3984"/>
      <c r="I3977" s="3984"/>
      <c r="J3977" s="3508" t="str">
        <f t="shared" si="444"/>
        <v>354460_2021_12_</v>
      </c>
      <c r="K3977" s="717">
        <v>6</v>
      </c>
      <c r="L3977" s="704"/>
      <c r="M3977" s="3022"/>
      <c r="N3977" s="106"/>
      <c r="O3977" s="106"/>
      <c r="P3977" s="702"/>
      <c r="Q3977" s="574"/>
      <c r="R3977" s="702"/>
      <c r="S3977" s="106"/>
      <c r="T3977" s="486"/>
      <c r="U3977" s="106"/>
      <c r="V3977" s="4129"/>
      <c r="W3977" s="717"/>
      <c r="X3977" s="717"/>
      <c r="Y3977" s="717"/>
      <c r="Z3977" s="717"/>
      <c r="AA3977" s="717"/>
      <c r="AB3977" s="717"/>
      <c r="AC3977" s="2932">
        <v>6</v>
      </c>
      <c r="AD3977" s="717">
        <v>6</v>
      </c>
      <c r="AE3977" s="2944"/>
      <c r="AF3977" s="717"/>
      <c r="AG3977" s="717"/>
      <c r="AH3977" s="156"/>
      <c r="AI3977" s="156"/>
      <c r="AJ3977" s="156"/>
      <c r="AK3977" s="156"/>
      <c r="AL3977" s="156"/>
      <c r="AM3977" s="156"/>
      <c r="AN3977" s="156"/>
      <c r="AO3977" s="156"/>
      <c r="AP3977" s="156"/>
      <c r="AQ3977" s="156"/>
      <c r="AR3977" s="156"/>
      <c r="AS3977" s="156"/>
      <c r="AT3977" s="156"/>
      <c r="AU3977" s="156"/>
      <c r="AV3977" s="156"/>
      <c r="AW3977" s="156"/>
      <c r="AX3977" s="156"/>
      <c r="AY3977" s="156"/>
      <c r="AZ3977" s="156"/>
      <c r="BA3977" s="156"/>
      <c r="BB3977" s="2828"/>
      <c r="BC3977" s="452"/>
      <c r="BD3977" s="2829"/>
      <c r="BE3977" s="2837"/>
      <c r="BF3977" s="156"/>
    </row>
    <row r="3978" spans="1:58" ht="15" customHeight="1" outlineLevel="1" x14ac:dyDescent="0.35">
      <c r="A3978" s="1664"/>
      <c r="B3978" s="2812"/>
      <c r="C3978" s="3077"/>
      <c r="D3978" s="3980"/>
      <c r="E3978" s="3883"/>
      <c r="F3978" s="3984" t="str">
        <f t="shared" si="443"/>
        <v>ASHP-SEER19-Replace_CAC_NonElectricHeat_ER2_MF</v>
      </c>
      <c r="G3978" s="3984"/>
      <c r="H3978" s="3984"/>
      <c r="I3978" s="3984"/>
      <c r="J3978" s="3508" t="str">
        <f t="shared" si="444"/>
        <v>354460_2021_12_</v>
      </c>
      <c r="K3978" s="717">
        <v>12</v>
      </c>
      <c r="L3978" s="704"/>
      <c r="M3978" s="3022"/>
      <c r="N3978" s="106"/>
      <c r="O3978" s="106"/>
      <c r="P3978" s="702"/>
      <c r="Q3978" s="574"/>
      <c r="R3978" s="702"/>
      <c r="S3978" s="106"/>
      <c r="T3978" s="486"/>
      <c r="U3978" s="106"/>
      <c r="V3978" s="4129"/>
      <c r="W3978" s="717"/>
      <c r="X3978" s="717"/>
      <c r="Y3978" s="717"/>
      <c r="Z3978" s="717"/>
      <c r="AA3978" s="717"/>
      <c r="AB3978" s="717"/>
      <c r="AC3978" s="2932">
        <v>12</v>
      </c>
      <c r="AD3978" s="717">
        <v>12</v>
      </c>
      <c r="AE3978" s="2944"/>
      <c r="AF3978" s="717"/>
      <c r="AG3978" s="717"/>
      <c r="AH3978" s="156"/>
      <c r="AI3978" s="156"/>
      <c r="AJ3978" s="156"/>
      <c r="AK3978" s="156"/>
      <c r="AL3978" s="156"/>
      <c r="AM3978" s="156"/>
      <c r="AN3978" s="156"/>
      <c r="AO3978" s="156"/>
      <c r="AP3978" s="156"/>
      <c r="AQ3978" s="156"/>
      <c r="AR3978" s="156"/>
      <c r="AS3978" s="156"/>
      <c r="AT3978" s="156"/>
      <c r="AU3978" s="156"/>
      <c r="AV3978" s="156"/>
      <c r="AW3978" s="156"/>
      <c r="AX3978" s="156"/>
      <c r="AY3978" s="156"/>
      <c r="AZ3978" s="156"/>
      <c r="BA3978" s="156"/>
      <c r="BB3978" s="2828"/>
      <c r="BC3978" s="452"/>
      <c r="BD3978" s="2829"/>
      <c r="BE3978" s="2837"/>
      <c r="BF3978" s="156"/>
    </row>
    <row r="3979" spans="1:58" ht="15" customHeight="1" outlineLevel="1" x14ac:dyDescent="0.35">
      <c r="A3979" s="1664"/>
      <c r="B3979" s="2812"/>
      <c r="C3979" s="3077"/>
      <c r="D3979" s="3980"/>
      <c r="E3979" s="3883"/>
      <c r="F3979" s="3984" t="str">
        <f t="shared" si="443"/>
        <v>ASHP-SEER19-Replace_CAC_NonElectricHeat_ER2_MF</v>
      </c>
      <c r="G3979" s="3984"/>
      <c r="H3979" s="3984"/>
      <c r="I3979" s="3984"/>
      <c r="J3979" s="3508" t="str">
        <f t="shared" si="444"/>
        <v>354460_2021_12_</v>
      </c>
      <c r="K3979" s="717">
        <v>12</v>
      </c>
      <c r="L3979" s="704"/>
      <c r="M3979" s="3022"/>
      <c r="N3979" s="106"/>
      <c r="O3979" s="106"/>
      <c r="P3979" s="702"/>
      <c r="Q3979" s="574"/>
      <c r="R3979" s="702"/>
      <c r="S3979" s="106"/>
      <c r="T3979" s="486"/>
      <c r="U3979" s="106"/>
      <c r="V3979" s="4129"/>
      <c r="W3979" s="717"/>
      <c r="X3979" s="717"/>
      <c r="Y3979" s="717"/>
      <c r="Z3979" s="717"/>
      <c r="AA3979" s="717"/>
      <c r="AB3979" s="717"/>
      <c r="AC3979" s="2932">
        <v>12</v>
      </c>
      <c r="AD3979" s="717">
        <v>12</v>
      </c>
      <c r="AE3979" s="2944"/>
      <c r="AF3979" s="717"/>
      <c r="AG3979" s="717"/>
      <c r="AH3979" s="156"/>
      <c r="AI3979" s="156"/>
      <c r="AJ3979" s="156"/>
      <c r="AK3979" s="156"/>
      <c r="AL3979" s="156"/>
      <c r="AM3979" s="156"/>
      <c r="AN3979" s="156"/>
      <c r="AO3979" s="156"/>
      <c r="AP3979" s="156"/>
      <c r="AQ3979" s="156"/>
      <c r="AR3979" s="156"/>
      <c r="AS3979" s="156"/>
      <c r="AT3979" s="156"/>
      <c r="AU3979" s="156"/>
      <c r="AV3979" s="156"/>
      <c r="AW3979" s="156"/>
      <c r="AX3979" s="156"/>
      <c r="AY3979" s="156"/>
      <c r="AZ3979" s="156"/>
      <c r="BA3979" s="156"/>
      <c r="BB3979" s="2828"/>
      <c r="BC3979" s="452"/>
      <c r="BD3979" s="2829"/>
      <c r="BE3979" s="2837"/>
      <c r="BF3979" s="156"/>
    </row>
    <row r="3980" spans="1:58" ht="15" customHeight="1" outlineLevel="1" x14ac:dyDescent="0.35">
      <c r="A3980" s="1664"/>
      <c r="B3980" s="2812"/>
      <c r="C3980" s="3077"/>
      <c r="D3980" s="3980"/>
      <c r="E3980" s="3883"/>
      <c r="F3980" s="3984" t="str">
        <f t="shared" si="443"/>
        <v>ASHP-SEER19-Replace_CAC_NonElectricHeat_ER1_MF_CompE</v>
      </c>
      <c r="G3980" s="3984"/>
      <c r="H3980" s="3984"/>
      <c r="I3980" s="3984"/>
      <c r="J3980" s="3508" t="str">
        <f t="shared" si="444"/>
        <v>354461_2021_12_</v>
      </c>
      <c r="K3980" s="717">
        <v>6</v>
      </c>
      <c r="L3980" s="704"/>
      <c r="M3980" s="3022"/>
      <c r="N3980" s="106"/>
      <c r="O3980" s="106"/>
      <c r="P3980" s="702"/>
      <c r="Q3980" s="574"/>
      <c r="R3980" s="702"/>
      <c r="S3980" s="106"/>
      <c r="T3980" s="486"/>
      <c r="U3980" s="106"/>
      <c r="V3980" s="4129"/>
      <c r="W3980" s="717"/>
      <c r="X3980" s="717"/>
      <c r="Y3980" s="717"/>
      <c r="Z3980" s="717"/>
      <c r="AA3980" s="717"/>
      <c r="AB3980" s="717"/>
      <c r="AC3980" s="2932">
        <v>6</v>
      </c>
      <c r="AD3980" s="717">
        <v>6</v>
      </c>
      <c r="AE3980" s="2944"/>
      <c r="AF3980" s="717"/>
      <c r="AG3980" s="717"/>
      <c r="AH3980" s="156"/>
      <c r="AI3980" s="156"/>
      <c r="AJ3980" s="156"/>
      <c r="AK3980" s="156"/>
      <c r="AL3980" s="156"/>
      <c r="AM3980" s="156"/>
      <c r="AN3980" s="156"/>
      <c r="AO3980" s="156"/>
      <c r="AP3980" s="156"/>
      <c r="AQ3980" s="156"/>
      <c r="AR3980" s="156"/>
      <c r="AS3980" s="156"/>
      <c r="AT3980" s="156"/>
      <c r="AU3980" s="156"/>
      <c r="AV3980" s="156"/>
      <c r="AW3980" s="156"/>
      <c r="AX3980" s="156"/>
      <c r="AY3980" s="156"/>
      <c r="AZ3980" s="156"/>
      <c r="BA3980" s="156"/>
      <c r="BB3980" s="2828"/>
      <c r="BC3980" s="452"/>
      <c r="BD3980" s="2829"/>
      <c r="BE3980" s="2837"/>
      <c r="BF3980" s="156"/>
    </row>
    <row r="3981" spans="1:58" ht="15" customHeight="1" outlineLevel="1" x14ac:dyDescent="0.35">
      <c r="A3981" s="1664"/>
      <c r="B3981" s="2812"/>
      <c r="C3981" s="3077"/>
      <c r="D3981" s="3980"/>
      <c r="E3981" s="3883"/>
      <c r="F3981" s="3984" t="str">
        <f t="shared" si="443"/>
        <v>ASHP-SEER19-Replace_CAC_NonElectricHeat_ER1_MF_CompE</v>
      </c>
      <c r="G3981" s="3984"/>
      <c r="H3981" s="3984"/>
      <c r="I3981" s="3984"/>
      <c r="J3981" s="3508" t="str">
        <f t="shared" si="444"/>
        <v>354461_2021_12_</v>
      </c>
      <c r="K3981" s="717">
        <v>6</v>
      </c>
      <c r="L3981" s="704"/>
      <c r="M3981" s="3022"/>
      <c r="N3981" s="106"/>
      <c r="O3981" s="106"/>
      <c r="P3981" s="702"/>
      <c r="Q3981" s="574"/>
      <c r="R3981" s="702"/>
      <c r="S3981" s="106"/>
      <c r="T3981" s="486"/>
      <c r="U3981" s="106"/>
      <c r="V3981" s="4129"/>
      <c r="W3981" s="717"/>
      <c r="X3981" s="717"/>
      <c r="Y3981" s="717"/>
      <c r="Z3981" s="717"/>
      <c r="AA3981" s="717"/>
      <c r="AB3981" s="717"/>
      <c r="AC3981" s="2932">
        <v>6</v>
      </c>
      <c r="AD3981" s="717">
        <v>6</v>
      </c>
      <c r="AE3981" s="2944"/>
      <c r="AF3981" s="717"/>
      <c r="AG3981" s="717"/>
      <c r="AH3981" s="156"/>
      <c r="AI3981" s="156"/>
      <c r="AJ3981" s="156"/>
      <c r="AK3981" s="156"/>
      <c r="AL3981" s="156"/>
      <c r="AM3981" s="156"/>
      <c r="AN3981" s="156"/>
      <c r="AO3981" s="156"/>
      <c r="AP3981" s="156"/>
      <c r="AQ3981" s="156"/>
      <c r="AR3981" s="156"/>
      <c r="AS3981" s="156"/>
      <c r="AT3981" s="156"/>
      <c r="AU3981" s="156"/>
      <c r="AV3981" s="156"/>
      <c r="AW3981" s="156"/>
      <c r="AX3981" s="156"/>
      <c r="AY3981" s="156"/>
      <c r="AZ3981" s="156"/>
      <c r="BA3981" s="156"/>
      <c r="BB3981" s="2828"/>
      <c r="BC3981" s="452"/>
      <c r="BD3981" s="2829"/>
      <c r="BE3981" s="2837"/>
      <c r="BF3981" s="156"/>
    </row>
    <row r="3982" spans="1:58" ht="15" customHeight="1" outlineLevel="1" x14ac:dyDescent="0.35">
      <c r="A3982" s="1664"/>
      <c r="B3982" s="2812"/>
      <c r="C3982" s="3077"/>
      <c r="D3982" s="3980"/>
      <c r="E3982" s="3883"/>
      <c r="F3982" s="3984" t="str">
        <f t="shared" si="443"/>
        <v>ASHP-SEER19-Replace_CAC_NonElectricHeat_ER2_MF_CompE</v>
      </c>
      <c r="G3982" s="3984"/>
      <c r="H3982" s="3984"/>
      <c r="I3982" s="3984"/>
      <c r="J3982" s="3508" t="str">
        <f t="shared" si="444"/>
        <v>354461_2021_12_</v>
      </c>
      <c r="K3982" s="717">
        <v>12</v>
      </c>
      <c r="L3982" s="704"/>
      <c r="M3982" s="3022"/>
      <c r="N3982" s="106"/>
      <c r="O3982" s="106"/>
      <c r="P3982" s="702"/>
      <c r="Q3982" s="574"/>
      <c r="R3982" s="702"/>
      <c r="S3982" s="106"/>
      <c r="T3982" s="486"/>
      <c r="U3982" s="106"/>
      <c r="V3982" s="4129"/>
      <c r="W3982" s="717"/>
      <c r="X3982" s="717"/>
      <c r="Y3982" s="717"/>
      <c r="Z3982" s="717"/>
      <c r="AA3982" s="717"/>
      <c r="AB3982" s="717"/>
      <c r="AC3982" s="2932">
        <v>12</v>
      </c>
      <c r="AD3982" s="717">
        <v>12</v>
      </c>
      <c r="AE3982" s="2944"/>
      <c r="AF3982" s="717"/>
      <c r="AG3982" s="717"/>
      <c r="AH3982" s="156"/>
      <c r="AI3982" s="156"/>
      <c r="AJ3982" s="156"/>
      <c r="AK3982" s="156"/>
      <c r="AL3982" s="156"/>
      <c r="AM3982" s="156"/>
      <c r="AN3982" s="156"/>
      <c r="AO3982" s="156"/>
      <c r="AP3982" s="156"/>
      <c r="AQ3982" s="156"/>
      <c r="AR3982" s="156"/>
      <c r="AS3982" s="156"/>
      <c r="AT3982" s="156"/>
      <c r="AU3982" s="156"/>
      <c r="AV3982" s="156"/>
      <c r="AW3982" s="156"/>
      <c r="AX3982" s="156"/>
      <c r="AY3982" s="156"/>
      <c r="AZ3982" s="156"/>
      <c r="BA3982" s="156"/>
      <c r="BB3982" s="2828"/>
      <c r="BC3982" s="452"/>
      <c r="BD3982" s="2829"/>
      <c r="BE3982" s="2837"/>
      <c r="BF3982" s="156"/>
    </row>
    <row r="3983" spans="1:58" ht="15" customHeight="1" outlineLevel="1" x14ac:dyDescent="0.35">
      <c r="A3983" s="1664"/>
      <c r="B3983" s="2812"/>
      <c r="C3983" s="3077"/>
      <c r="D3983" s="3980"/>
      <c r="E3983" s="3883"/>
      <c r="F3983" s="3984" t="str">
        <f t="shared" si="443"/>
        <v>ASHP-SEER19-Replace_CAC_NonElectricHeat_ER2_MF_CompE</v>
      </c>
      <c r="G3983" s="3984"/>
      <c r="H3983" s="3984"/>
      <c r="I3983" s="3984"/>
      <c r="J3983" s="3508" t="str">
        <f t="shared" si="444"/>
        <v>354461_2021_12_</v>
      </c>
      <c r="K3983" s="717">
        <v>12</v>
      </c>
      <c r="L3983" s="704"/>
      <c r="M3983" s="3022"/>
      <c r="N3983" s="106"/>
      <c r="O3983" s="106"/>
      <c r="P3983" s="702"/>
      <c r="Q3983" s="574"/>
      <c r="R3983" s="702"/>
      <c r="S3983" s="106"/>
      <c r="T3983" s="486"/>
      <c r="U3983" s="106"/>
      <c r="V3983" s="4129"/>
      <c r="W3983" s="717"/>
      <c r="X3983" s="717"/>
      <c r="Y3983" s="717"/>
      <c r="Z3983" s="717"/>
      <c r="AA3983" s="717"/>
      <c r="AB3983" s="717"/>
      <c r="AC3983" s="2932">
        <v>12</v>
      </c>
      <c r="AD3983" s="717">
        <v>12</v>
      </c>
      <c r="AE3983" s="2944"/>
      <c r="AF3983" s="717"/>
      <c r="AG3983" s="717"/>
      <c r="AH3983" s="156"/>
      <c r="AI3983" s="156"/>
      <c r="AJ3983" s="156"/>
      <c r="AK3983" s="156"/>
      <c r="AL3983" s="156"/>
      <c r="AM3983" s="156"/>
      <c r="AN3983" s="156"/>
      <c r="AO3983" s="156"/>
      <c r="AP3983" s="156"/>
      <c r="AQ3983" s="156"/>
      <c r="AR3983" s="156"/>
      <c r="AS3983" s="156"/>
      <c r="AT3983" s="156"/>
      <c r="AU3983" s="156"/>
      <c r="AV3983" s="156"/>
      <c r="AW3983" s="156"/>
      <c r="AX3983" s="156"/>
      <c r="AY3983" s="156"/>
      <c r="AZ3983" s="156"/>
      <c r="BA3983" s="156"/>
      <c r="BB3983" s="2828"/>
      <c r="BC3983" s="452"/>
      <c r="BD3983" s="2829"/>
      <c r="BE3983" s="2837"/>
      <c r="BF3983" s="156"/>
    </row>
    <row r="3984" spans="1:58" ht="15" customHeight="1" outlineLevel="1" x14ac:dyDescent="0.35">
      <c r="A3984" s="1664"/>
      <c r="B3984" s="2812"/>
      <c r="C3984" s="3077"/>
      <c r="D3984" s="3980"/>
      <c r="E3984" s="3883"/>
      <c r="F3984" s="3984" t="str">
        <f t="shared" si="443"/>
        <v>ASHP-SEER19_ER1_MF</v>
      </c>
      <c r="G3984" s="3984"/>
      <c r="H3984" s="3984"/>
      <c r="I3984" s="3984"/>
      <c r="J3984" s="3508" t="str">
        <f t="shared" si="444"/>
        <v>354500_2019_12_</v>
      </c>
      <c r="K3984" s="717">
        <v>6</v>
      </c>
      <c r="L3984" s="704"/>
      <c r="M3984" s="3022"/>
      <c r="N3984" s="106"/>
      <c r="O3984" s="106"/>
      <c r="P3984" s="702"/>
      <c r="Q3984" s="574"/>
      <c r="R3984" s="702"/>
      <c r="S3984" s="106"/>
      <c r="T3984" s="486"/>
      <c r="U3984" s="106"/>
      <c r="V3984" s="4129"/>
      <c r="W3984" s="717">
        <v>6</v>
      </c>
      <c r="X3984" s="717">
        <v>6</v>
      </c>
      <c r="Y3984" s="717">
        <v>6</v>
      </c>
      <c r="Z3984" s="717">
        <v>6</v>
      </c>
      <c r="AA3984" s="717">
        <v>6</v>
      </c>
      <c r="AB3984" s="717">
        <v>6</v>
      </c>
      <c r="AC3984" s="2930">
        <v>6</v>
      </c>
      <c r="AD3984" s="717">
        <v>6</v>
      </c>
      <c r="AE3984" s="2944"/>
      <c r="AF3984" s="717"/>
      <c r="AG3984" s="717"/>
      <c r="AH3984" s="156"/>
      <c r="AI3984" s="156"/>
      <c r="AJ3984" s="156"/>
      <c r="AK3984" s="156"/>
      <c r="AL3984" s="156"/>
      <c r="AM3984" s="156"/>
      <c r="AN3984" s="156"/>
      <c r="AO3984" s="156"/>
      <c r="AP3984" s="156"/>
      <c r="AQ3984" s="156"/>
      <c r="AR3984" s="156"/>
      <c r="AS3984" s="156"/>
      <c r="AT3984" s="156"/>
      <c r="AU3984" s="156"/>
      <c r="AV3984" s="156"/>
      <c r="AW3984" s="156"/>
      <c r="AX3984" s="156"/>
      <c r="AY3984" s="156"/>
      <c r="AZ3984" s="156"/>
      <c r="BA3984" s="156"/>
      <c r="BB3984" s="2828"/>
      <c r="BC3984" s="452"/>
      <c r="BD3984" s="2829"/>
      <c r="BE3984" s="2837"/>
      <c r="BF3984" s="156"/>
    </row>
    <row r="3985" spans="1:58" ht="15" customHeight="1" outlineLevel="1" x14ac:dyDescent="0.35">
      <c r="A3985" s="1071"/>
      <c r="B3985" s="2812"/>
      <c r="C3985" s="3077"/>
      <c r="D3985" s="3980"/>
      <c r="E3985" s="3883"/>
      <c r="F3985" s="3984" t="str">
        <f t="shared" si="443"/>
        <v>ASHP-SEER19_ER1_MF</v>
      </c>
      <c r="G3985" s="3984"/>
      <c r="H3985" s="3984"/>
      <c r="I3985" s="3984"/>
      <c r="J3985" s="3508" t="str">
        <f t="shared" si="444"/>
        <v>354500_2019_12_</v>
      </c>
      <c r="K3985" s="717">
        <v>6</v>
      </c>
      <c r="L3985" s="704"/>
      <c r="M3985" s="3022"/>
      <c r="N3985" s="106"/>
      <c r="O3985" s="106"/>
      <c r="P3985" s="106"/>
      <c r="Q3985" s="106"/>
      <c r="R3985" s="106"/>
      <c r="S3985" s="106"/>
      <c r="T3985" s="106"/>
      <c r="U3985" s="106"/>
      <c r="V3985" s="4129"/>
      <c r="W3985" s="717">
        <v>6</v>
      </c>
      <c r="X3985" s="717">
        <v>6</v>
      </c>
      <c r="Y3985" s="717">
        <v>6</v>
      </c>
      <c r="Z3985" s="717">
        <v>6</v>
      </c>
      <c r="AA3985" s="717">
        <v>6</v>
      </c>
      <c r="AB3985" s="717">
        <v>6</v>
      </c>
      <c r="AC3985" s="2930">
        <v>6</v>
      </c>
      <c r="AD3985" s="717">
        <v>6</v>
      </c>
      <c r="AE3985" s="2944"/>
      <c r="AF3985" s="717"/>
      <c r="AG3985" s="717"/>
      <c r="AH3985" s="156"/>
      <c r="AI3985" s="156"/>
      <c r="AJ3985" s="156"/>
      <c r="AK3985" s="156"/>
      <c r="AL3985" s="156"/>
      <c r="AM3985" s="156"/>
      <c r="AN3985" s="156"/>
      <c r="AO3985" s="156"/>
      <c r="AP3985" s="156"/>
      <c r="AQ3985" s="156"/>
      <c r="AR3985" s="156"/>
      <c r="AS3985" s="156"/>
      <c r="AT3985" s="156"/>
      <c r="AU3985" s="156"/>
      <c r="AV3985" s="156"/>
      <c r="AW3985" s="156"/>
      <c r="AX3985" s="156"/>
      <c r="AY3985" s="156"/>
      <c r="AZ3985" s="156"/>
      <c r="BA3985" s="156"/>
      <c r="BB3985" s="2828"/>
      <c r="BC3985" s="452"/>
      <c r="BD3985" s="2829"/>
      <c r="BE3985" s="2837"/>
      <c r="BF3985" s="156"/>
    </row>
    <row r="3986" spans="1:58" ht="15" customHeight="1" outlineLevel="1" x14ac:dyDescent="0.35">
      <c r="A3986" s="1071"/>
      <c r="B3986" s="2812"/>
      <c r="C3986" s="3077"/>
      <c r="D3986" s="3980"/>
      <c r="E3986" s="3883"/>
      <c r="F3986" s="3984" t="str">
        <f t="shared" si="443"/>
        <v>ASHP-SEER19_ER2_MF</v>
      </c>
      <c r="G3986" s="3984"/>
      <c r="H3986" s="3984"/>
      <c r="I3986" s="3984"/>
      <c r="J3986" s="3508" t="str">
        <f t="shared" si="444"/>
        <v>354500_2019_12_</v>
      </c>
      <c r="K3986" s="717">
        <v>12</v>
      </c>
      <c r="L3986" s="704"/>
      <c r="M3986" s="3022"/>
      <c r="N3986" s="106"/>
      <c r="O3986" s="106"/>
      <c r="P3986" s="106"/>
      <c r="Q3986" s="106"/>
      <c r="R3986" s="106"/>
      <c r="S3986" s="106"/>
      <c r="T3986" s="106"/>
      <c r="U3986" s="106"/>
      <c r="V3986" s="4129"/>
      <c r="W3986" s="717">
        <v>12</v>
      </c>
      <c r="X3986" s="717">
        <v>12</v>
      </c>
      <c r="Y3986" s="717">
        <v>12</v>
      </c>
      <c r="Z3986" s="717">
        <v>12</v>
      </c>
      <c r="AA3986" s="717">
        <v>12</v>
      </c>
      <c r="AB3986" s="717">
        <v>12</v>
      </c>
      <c r="AC3986" s="2930">
        <v>12</v>
      </c>
      <c r="AD3986" s="717">
        <v>12</v>
      </c>
      <c r="AE3986" s="2944"/>
      <c r="AF3986" s="717"/>
      <c r="AG3986" s="717"/>
      <c r="AH3986" s="156"/>
      <c r="AI3986" s="156"/>
      <c r="AJ3986" s="156"/>
      <c r="AK3986" s="156"/>
      <c r="AL3986" s="156"/>
      <c r="AM3986" s="156"/>
      <c r="AN3986" s="156"/>
      <c r="AO3986" s="156"/>
      <c r="AP3986" s="156"/>
      <c r="AQ3986" s="156"/>
      <c r="AR3986" s="156"/>
      <c r="AS3986" s="156"/>
      <c r="AT3986" s="156"/>
      <c r="AU3986" s="156"/>
      <c r="AV3986" s="156"/>
      <c r="AW3986" s="156"/>
      <c r="AX3986" s="156"/>
      <c r="AY3986" s="156"/>
      <c r="AZ3986" s="156"/>
      <c r="BA3986" s="156"/>
      <c r="BB3986" s="2828"/>
      <c r="BC3986" s="452"/>
      <c r="BD3986" s="2829"/>
      <c r="BE3986" s="2837"/>
      <c r="BF3986" s="156"/>
    </row>
    <row r="3987" spans="1:58" ht="15" customHeight="1" outlineLevel="1" x14ac:dyDescent="0.35">
      <c r="A3987" s="1664"/>
      <c r="B3987" s="2812"/>
      <c r="C3987" s="3077"/>
      <c r="D3987" s="3980"/>
      <c r="E3987" s="3883"/>
      <c r="F3987" s="3984" t="str">
        <f t="shared" si="443"/>
        <v>ASHP-SEER19_ER2_MF</v>
      </c>
      <c r="G3987" s="3984"/>
      <c r="H3987" s="3984"/>
      <c r="I3987" s="3984"/>
      <c r="J3987" s="3508" t="str">
        <f t="shared" si="444"/>
        <v>354500_2019_12_</v>
      </c>
      <c r="K3987" s="717">
        <v>12</v>
      </c>
      <c r="L3987" s="704"/>
      <c r="M3987" s="3022"/>
      <c r="N3987" s="106"/>
      <c r="O3987" s="106"/>
      <c r="P3987" s="702"/>
      <c r="Q3987" s="574"/>
      <c r="R3987" s="702"/>
      <c r="S3987" s="106"/>
      <c r="T3987" s="486"/>
      <c r="U3987" s="106"/>
      <c r="V3987" s="4129"/>
      <c r="W3987" s="717">
        <v>12</v>
      </c>
      <c r="X3987" s="717">
        <v>12</v>
      </c>
      <c r="Y3987" s="717">
        <v>12</v>
      </c>
      <c r="Z3987" s="717">
        <v>12</v>
      </c>
      <c r="AA3987" s="717">
        <v>12</v>
      </c>
      <c r="AB3987" s="717">
        <v>12</v>
      </c>
      <c r="AC3987" s="2930">
        <v>12</v>
      </c>
      <c r="AD3987" s="717">
        <v>12</v>
      </c>
      <c r="AE3987" s="2944"/>
      <c r="AF3987" s="717"/>
      <c r="AG3987" s="717"/>
      <c r="AH3987" s="156"/>
      <c r="AI3987" s="156"/>
      <c r="AJ3987" s="156"/>
      <c r="AK3987" s="156"/>
      <c r="AL3987" s="156"/>
      <c r="AM3987" s="156"/>
      <c r="AN3987" s="156"/>
      <c r="AO3987" s="156"/>
      <c r="AP3987" s="156"/>
      <c r="AQ3987" s="156"/>
      <c r="AR3987" s="156"/>
      <c r="AS3987" s="156"/>
      <c r="AT3987" s="156"/>
      <c r="AU3987" s="156"/>
      <c r="AV3987" s="156"/>
      <c r="AW3987" s="156"/>
      <c r="AX3987" s="156"/>
      <c r="AY3987" s="156"/>
      <c r="AZ3987" s="156"/>
      <c r="BA3987" s="156"/>
      <c r="BB3987" s="2828"/>
      <c r="BC3987" s="452"/>
      <c r="BD3987" s="2829"/>
      <c r="BE3987" s="2837"/>
      <c r="BF3987" s="156"/>
    </row>
    <row r="3988" spans="1:58" ht="15" customHeight="1" outlineLevel="1" x14ac:dyDescent="0.35">
      <c r="A3988" s="1664"/>
      <c r="B3988" s="2812"/>
      <c r="C3988" s="3077"/>
      <c r="D3988" s="3980"/>
      <c r="E3988" s="3883"/>
      <c r="F3988" s="3984" t="str">
        <f t="shared" si="443"/>
        <v>ASHP-SEER19_ER1_MF_CompE</v>
      </c>
      <c r="G3988" s="3984"/>
      <c r="H3988" s="3984"/>
      <c r="I3988" s="3984"/>
      <c r="J3988" s="3508" t="str">
        <f t="shared" si="444"/>
        <v>354501_2019_12_</v>
      </c>
      <c r="K3988" s="717">
        <v>6</v>
      </c>
      <c r="L3988" s="704"/>
      <c r="M3988" s="3022"/>
      <c r="N3988" s="106"/>
      <c r="O3988" s="106"/>
      <c r="P3988" s="702"/>
      <c r="Q3988" s="574"/>
      <c r="R3988" s="702"/>
      <c r="S3988" s="106"/>
      <c r="T3988" s="486"/>
      <c r="U3988" s="106"/>
      <c r="V3988" s="4129"/>
      <c r="W3988" s="717"/>
      <c r="X3988" s="717"/>
      <c r="Y3988" s="717"/>
      <c r="Z3988" s="717"/>
      <c r="AA3988" s="717"/>
      <c r="AB3988" s="717"/>
      <c r="AC3988" s="2932">
        <v>6</v>
      </c>
      <c r="AD3988" s="717">
        <v>6</v>
      </c>
      <c r="AE3988" s="2944"/>
      <c r="AF3988" s="717"/>
      <c r="AG3988" s="717"/>
      <c r="AH3988" s="156"/>
      <c r="AI3988" s="156"/>
      <c r="AJ3988" s="156"/>
      <c r="AK3988" s="156"/>
      <c r="AL3988" s="156"/>
      <c r="AM3988" s="156"/>
      <c r="AN3988" s="156"/>
      <c r="AO3988" s="156"/>
      <c r="AP3988" s="156"/>
      <c r="AQ3988" s="156"/>
      <c r="AR3988" s="156"/>
      <c r="AS3988" s="156"/>
      <c r="AT3988" s="156"/>
      <c r="AU3988" s="156"/>
      <c r="AV3988" s="156"/>
      <c r="AW3988" s="156"/>
      <c r="AX3988" s="156"/>
      <c r="AY3988" s="156"/>
      <c r="AZ3988" s="156"/>
      <c r="BA3988" s="156"/>
      <c r="BB3988" s="2828"/>
      <c r="BC3988" s="452"/>
      <c r="BD3988" s="2829"/>
      <c r="BE3988" s="2837"/>
      <c r="BF3988" s="156"/>
    </row>
    <row r="3989" spans="1:58" ht="15" customHeight="1" outlineLevel="1" x14ac:dyDescent="0.35">
      <c r="A3989" s="1664"/>
      <c r="B3989" s="2812"/>
      <c r="C3989" s="3077"/>
      <c r="D3989" s="3980"/>
      <c r="E3989" s="3883"/>
      <c r="F3989" s="3984" t="str">
        <f t="shared" si="443"/>
        <v>ASHP-SEER19_ER1_MF_CompE</v>
      </c>
      <c r="G3989" s="3984"/>
      <c r="H3989" s="3984"/>
      <c r="I3989" s="3984"/>
      <c r="J3989" s="3508" t="str">
        <f t="shared" si="444"/>
        <v>354501_2019_12_</v>
      </c>
      <c r="K3989" s="717">
        <v>6</v>
      </c>
      <c r="L3989" s="704"/>
      <c r="M3989" s="3022"/>
      <c r="N3989" s="106"/>
      <c r="O3989" s="106"/>
      <c r="P3989" s="702"/>
      <c r="Q3989" s="574"/>
      <c r="R3989" s="702"/>
      <c r="S3989" s="106"/>
      <c r="T3989" s="486"/>
      <c r="U3989" s="106"/>
      <c r="V3989" s="4129"/>
      <c r="W3989" s="717"/>
      <c r="X3989" s="717"/>
      <c r="Y3989" s="717"/>
      <c r="Z3989" s="717"/>
      <c r="AA3989" s="717"/>
      <c r="AB3989" s="717"/>
      <c r="AC3989" s="2932">
        <v>6</v>
      </c>
      <c r="AD3989" s="717">
        <v>6</v>
      </c>
      <c r="AE3989" s="2944"/>
      <c r="AF3989" s="717"/>
      <c r="AG3989" s="717"/>
      <c r="AH3989" s="156"/>
      <c r="AI3989" s="156"/>
      <c r="AJ3989" s="156"/>
      <c r="AK3989" s="156"/>
      <c r="AL3989" s="156"/>
      <c r="AM3989" s="156"/>
      <c r="AN3989" s="156"/>
      <c r="AO3989" s="156"/>
      <c r="AP3989" s="156"/>
      <c r="AQ3989" s="156"/>
      <c r="AR3989" s="156"/>
      <c r="AS3989" s="156"/>
      <c r="AT3989" s="156"/>
      <c r="AU3989" s="156"/>
      <c r="AV3989" s="156"/>
      <c r="AW3989" s="156"/>
      <c r="AX3989" s="156"/>
      <c r="AY3989" s="156"/>
      <c r="AZ3989" s="156"/>
      <c r="BA3989" s="156"/>
      <c r="BB3989" s="2828"/>
      <c r="BC3989" s="452"/>
      <c r="BD3989" s="2829"/>
      <c r="BE3989" s="2837"/>
      <c r="BF3989" s="156"/>
    </row>
    <row r="3990" spans="1:58" ht="15" customHeight="1" outlineLevel="1" x14ac:dyDescent="0.35">
      <c r="A3990" s="1664"/>
      <c r="B3990" s="2812"/>
      <c r="C3990" s="3077"/>
      <c r="D3990" s="3980"/>
      <c r="E3990" s="3883"/>
      <c r="F3990" s="3984" t="str">
        <f t="shared" si="443"/>
        <v>ASHP-SEER19_ER2_MF_CompE</v>
      </c>
      <c r="G3990" s="3984"/>
      <c r="H3990" s="3984"/>
      <c r="I3990" s="3984"/>
      <c r="J3990" s="3508" t="str">
        <f t="shared" si="444"/>
        <v>354501_2019_12_</v>
      </c>
      <c r="K3990" s="717">
        <v>12</v>
      </c>
      <c r="L3990" s="704"/>
      <c r="M3990" s="3022"/>
      <c r="N3990" s="106"/>
      <c r="O3990" s="106"/>
      <c r="P3990" s="702"/>
      <c r="Q3990" s="574"/>
      <c r="R3990" s="702"/>
      <c r="S3990" s="106"/>
      <c r="T3990" s="486"/>
      <c r="U3990" s="106"/>
      <c r="V3990" s="4129"/>
      <c r="W3990" s="717"/>
      <c r="X3990" s="717"/>
      <c r="Y3990" s="717"/>
      <c r="Z3990" s="717"/>
      <c r="AA3990" s="717"/>
      <c r="AB3990" s="717"/>
      <c r="AC3990" s="2932">
        <v>12</v>
      </c>
      <c r="AD3990" s="717">
        <v>12</v>
      </c>
      <c r="AE3990" s="2944"/>
      <c r="AF3990" s="717"/>
      <c r="AG3990" s="717"/>
      <c r="AH3990" s="156"/>
      <c r="AI3990" s="156"/>
      <c r="AJ3990" s="156"/>
      <c r="AK3990" s="156"/>
      <c r="AL3990" s="156"/>
      <c r="AM3990" s="156"/>
      <c r="AN3990" s="156"/>
      <c r="AO3990" s="156"/>
      <c r="AP3990" s="156"/>
      <c r="AQ3990" s="156"/>
      <c r="AR3990" s="156"/>
      <c r="AS3990" s="156"/>
      <c r="AT3990" s="156"/>
      <c r="AU3990" s="156"/>
      <c r="AV3990" s="156"/>
      <c r="AW3990" s="156"/>
      <c r="AX3990" s="156"/>
      <c r="AY3990" s="156"/>
      <c r="AZ3990" s="156"/>
      <c r="BA3990" s="156"/>
      <c r="BB3990" s="2828"/>
      <c r="BC3990" s="452"/>
      <c r="BD3990" s="2829"/>
      <c r="BE3990" s="2837"/>
      <c r="BF3990" s="156"/>
    </row>
    <row r="3991" spans="1:58" ht="15" customHeight="1" outlineLevel="1" x14ac:dyDescent="0.35">
      <c r="A3991" s="1664"/>
      <c r="B3991" s="2812"/>
      <c r="C3991" s="3077"/>
      <c r="D3991" s="3980"/>
      <c r="E3991" s="3883"/>
      <c r="F3991" s="3984" t="str">
        <f t="shared" si="443"/>
        <v>ASHP-SEER19_ER2_MF_CompE</v>
      </c>
      <c r="G3991" s="3984"/>
      <c r="H3991" s="3984"/>
      <c r="I3991" s="3984"/>
      <c r="J3991" s="3508" t="str">
        <f t="shared" si="444"/>
        <v>354501_2019_12_</v>
      </c>
      <c r="K3991" s="717">
        <v>12</v>
      </c>
      <c r="L3991" s="704"/>
      <c r="M3991" s="3022"/>
      <c r="N3991" s="106"/>
      <c r="O3991" s="106"/>
      <c r="P3991" s="702"/>
      <c r="Q3991" s="574"/>
      <c r="R3991" s="702"/>
      <c r="S3991" s="106"/>
      <c r="T3991" s="486"/>
      <c r="U3991" s="106"/>
      <c r="V3991" s="4129"/>
      <c r="W3991" s="717"/>
      <c r="X3991" s="717"/>
      <c r="Y3991" s="717"/>
      <c r="Z3991" s="717"/>
      <c r="AA3991" s="717"/>
      <c r="AB3991" s="717"/>
      <c r="AC3991" s="2932">
        <v>12</v>
      </c>
      <c r="AD3991" s="717">
        <v>12</v>
      </c>
      <c r="AE3991" s="2944"/>
      <c r="AF3991" s="717"/>
      <c r="AG3991" s="717"/>
      <c r="AH3991" s="156"/>
      <c r="AI3991" s="156"/>
      <c r="AJ3991" s="156"/>
      <c r="AK3991" s="156"/>
      <c r="AL3991" s="156"/>
      <c r="AM3991" s="156"/>
      <c r="AN3991" s="156"/>
      <c r="AO3991" s="156"/>
      <c r="AP3991" s="156"/>
      <c r="AQ3991" s="156"/>
      <c r="AR3991" s="156"/>
      <c r="AS3991" s="156"/>
      <c r="AT3991" s="156"/>
      <c r="AU3991" s="156"/>
      <c r="AV3991" s="156"/>
      <c r="AW3991" s="156"/>
      <c r="AX3991" s="156"/>
      <c r="AY3991" s="156"/>
      <c r="AZ3991" s="156"/>
      <c r="BA3991" s="156"/>
      <c r="BB3991" s="2828"/>
      <c r="BC3991" s="452"/>
      <c r="BD3991" s="2829"/>
      <c r="BE3991" s="2837"/>
      <c r="BF3991" s="156"/>
    </row>
    <row r="3992" spans="1:58" ht="15" customHeight="1" outlineLevel="1" x14ac:dyDescent="0.35">
      <c r="A3992" s="1664"/>
      <c r="B3992" s="2812"/>
      <c r="C3992" s="3077"/>
      <c r="D3992" s="3980"/>
      <c r="E3992" s="3883"/>
      <c r="F3992" s="3984" t="str">
        <f t="shared" si="443"/>
        <v>ASHP-SEER20_ER1_SF</v>
      </c>
      <c r="G3992" s="3984"/>
      <c r="H3992" s="3984"/>
      <c r="I3992" s="3984"/>
      <c r="J3992" s="3508" t="str">
        <f t="shared" si="444"/>
        <v>354550_2021_12_</v>
      </c>
      <c r="K3992" s="717">
        <v>6</v>
      </c>
      <c r="L3992" s="704"/>
      <c r="M3992" s="3022"/>
      <c r="N3992" s="106"/>
      <c r="O3992" s="106"/>
      <c r="P3992" s="702"/>
      <c r="Q3992" s="574"/>
      <c r="R3992" s="702"/>
      <c r="S3992" s="106"/>
      <c r="T3992" s="486"/>
      <c r="U3992" s="106"/>
      <c r="V3992" s="4129"/>
      <c r="W3992" s="717">
        <v>6</v>
      </c>
      <c r="X3992" s="717">
        <v>6</v>
      </c>
      <c r="Y3992" s="717">
        <v>6</v>
      </c>
      <c r="Z3992" s="717">
        <v>6</v>
      </c>
      <c r="AA3992" s="717">
        <v>6</v>
      </c>
      <c r="AB3992" s="717">
        <v>6</v>
      </c>
      <c r="AC3992" s="2930">
        <v>6</v>
      </c>
      <c r="AD3992" s="717">
        <v>6</v>
      </c>
      <c r="AE3992" s="2944"/>
      <c r="AF3992" s="717"/>
      <c r="AG3992" s="717"/>
      <c r="AH3992" s="156"/>
      <c r="AI3992" s="156"/>
      <c r="AJ3992" s="156"/>
      <c r="AK3992" s="156"/>
      <c r="AL3992" s="156"/>
      <c r="AM3992" s="156"/>
      <c r="AN3992" s="156"/>
      <c r="AO3992" s="156"/>
      <c r="AP3992" s="156"/>
      <c r="AQ3992" s="156"/>
      <c r="AR3992" s="156"/>
      <c r="AS3992" s="156"/>
      <c r="AT3992" s="156"/>
      <c r="AU3992" s="156"/>
      <c r="AV3992" s="156"/>
      <c r="AW3992" s="156"/>
      <c r="AX3992" s="156"/>
      <c r="AY3992" s="156"/>
      <c r="AZ3992" s="156"/>
      <c r="BA3992" s="156"/>
      <c r="BB3992" s="2828"/>
      <c r="BC3992" s="452"/>
      <c r="BD3992" s="2829"/>
      <c r="BE3992" s="2837"/>
      <c r="BF3992" s="156"/>
    </row>
    <row r="3993" spans="1:58" ht="15" customHeight="1" outlineLevel="1" x14ac:dyDescent="0.35">
      <c r="A3993" s="1664"/>
      <c r="B3993" s="2812"/>
      <c r="C3993" s="3077"/>
      <c r="D3993" s="3980"/>
      <c r="E3993" s="3883"/>
      <c r="F3993" s="3984" t="str">
        <f t="shared" si="443"/>
        <v>ASHP-SEER20_ER1_SF</v>
      </c>
      <c r="G3993" s="3984"/>
      <c r="H3993" s="3984"/>
      <c r="I3993" s="3984"/>
      <c r="J3993" s="3508" t="str">
        <f t="shared" si="444"/>
        <v>354550_2021_12_</v>
      </c>
      <c r="K3993" s="717">
        <v>6</v>
      </c>
      <c r="L3993" s="704"/>
      <c r="M3993" s="3022"/>
      <c r="N3993" s="106"/>
      <c r="O3993" s="106"/>
      <c r="P3993" s="702"/>
      <c r="Q3993" s="574"/>
      <c r="R3993" s="702"/>
      <c r="S3993" s="106"/>
      <c r="T3993" s="486"/>
      <c r="U3993" s="106"/>
      <c r="V3993" s="4129"/>
      <c r="W3993" s="717">
        <v>6</v>
      </c>
      <c r="X3993" s="717">
        <v>6</v>
      </c>
      <c r="Y3993" s="717">
        <v>6</v>
      </c>
      <c r="Z3993" s="717">
        <v>6</v>
      </c>
      <c r="AA3993" s="717">
        <v>6</v>
      </c>
      <c r="AB3993" s="717">
        <v>6</v>
      </c>
      <c r="AC3993" s="2930">
        <v>6</v>
      </c>
      <c r="AD3993" s="717">
        <v>6</v>
      </c>
      <c r="AE3993" s="2944"/>
      <c r="AF3993" s="717"/>
      <c r="AG3993" s="717"/>
      <c r="AH3993" s="156"/>
      <c r="AI3993" s="156"/>
      <c r="AJ3993" s="156"/>
      <c r="AK3993" s="156"/>
      <c r="AL3993" s="156"/>
      <c r="AM3993" s="156"/>
      <c r="AN3993" s="156"/>
      <c r="AO3993" s="156"/>
      <c r="AP3993" s="156"/>
      <c r="AQ3993" s="156"/>
      <c r="AR3993" s="156"/>
      <c r="AS3993" s="156"/>
      <c r="AT3993" s="156"/>
      <c r="AU3993" s="156"/>
      <c r="AV3993" s="156"/>
      <c r="AW3993" s="156"/>
      <c r="AX3993" s="156"/>
      <c r="AY3993" s="156"/>
      <c r="AZ3993" s="156"/>
      <c r="BA3993" s="156"/>
      <c r="BB3993" s="2828"/>
      <c r="BC3993" s="452"/>
      <c r="BD3993" s="2829"/>
      <c r="BE3993" s="2837"/>
      <c r="BF3993" s="156"/>
    </row>
    <row r="3994" spans="1:58" ht="15" customHeight="1" outlineLevel="1" x14ac:dyDescent="0.35">
      <c r="A3994" s="1664"/>
      <c r="B3994" s="2812"/>
      <c r="C3994" s="3077"/>
      <c r="D3994" s="3980"/>
      <c r="E3994" s="3883"/>
      <c r="F3994" s="3984" t="str">
        <f t="shared" si="443"/>
        <v>ASHP-SEER20_ER2_SF</v>
      </c>
      <c r="G3994" s="3984"/>
      <c r="H3994" s="3984"/>
      <c r="I3994" s="3984"/>
      <c r="J3994" s="3508" t="str">
        <f t="shared" si="444"/>
        <v>354550_2021_12_</v>
      </c>
      <c r="K3994" s="717">
        <v>12</v>
      </c>
      <c r="L3994" s="704"/>
      <c r="M3994" s="3022"/>
      <c r="N3994" s="106"/>
      <c r="O3994" s="106"/>
      <c r="P3994" s="702"/>
      <c r="Q3994" s="574"/>
      <c r="R3994" s="702"/>
      <c r="S3994" s="106"/>
      <c r="T3994" s="486"/>
      <c r="U3994" s="106"/>
      <c r="V3994" s="4129"/>
      <c r="W3994" s="717">
        <v>12</v>
      </c>
      <c r="X3994" s="717">
        <v>12</v>
      </c>
      <c r="Y3994" s="717">
        <v>12</v>
      </c>
      <c r="Z3994" s="717">
        <v>12</v>
      </c>
      <c r="AA3994" s="717">
        <v>12</v>
      </c>
      <c r="AB3994" s="717">
        <v>12</v>
      </c>
      <c r="AC3994" s="2930">
        <v>12</v>
      </c>
      <c r="AD3994" s="717">
        <v>12</v>
      </c>
      <c r="AE3994" s="2944"/>
      <c r="AF3994" s="717"/>
      <c r="AG3994" s="717"/>
      <c r="AH3994" s="156"/>
      <c r="AI3994" s="156"/>
      <c r="AJ3994" s="156"/>
      <c r="AK3994" s="156"/>
      <c r="AL3994" s="156"/>
      <c r="AM3994" s="156"/>
      <c r="AN3994" s="156"/>
      <c r="AO3994" s="156"/>
      <c r="AP3994" s="156"/>
      <c r="AQ3994" s="156"/>
      <c r="AR3994" s="156"/>
      <c r="AS3994" s="156"/>
      <c r="AT3994" s="156"/>
      <c r="AU3994" s="156"/>
      <c r="AV3994" s="156"/>
      <c r="AW3994" s="156"/>
      <c r="AX3994" s="156"/>
      <c r="AY3994" s="156"/>
      <c r="AZ3994" s="156"/>
      <c r="BA3994" s="156"/>
      <c r="BB3994" s="2828"/>
      <c r="BC3994" s="452"/>
      <c r="BD3994" s="2829"/>
      <c r="BE3994" s="2837"/>
      <c r="BF3994" s="156"/>
    </row>
    <row r="3995" spans="1:58" ht="15" customHeight="1" outlineLevel="1" x14ac:dyDescent="0.35">
      <c r="A3995" s="1664"/>
      <c r="B3995" s="2812"/>
      <c r="C3995" s="3077"/>
      <c r="D3995" s="3980"/>
      <c r="E3995" s="3883"/>
      <c r="F3995" s="3984" t="str">
        <f t="shared" si="443"/>
        <v>ASHP-SEER20_ER2_SF</v>
      </c>
      <c r="G3995" s="3984"/>
      <c r="H3995" s="3984"/>
      <c r="I3995" s="3984"/>
      <c r="J3995" s="3508" t="str">
        <f t="shared" si="444"/>
        <v>354550_2021_12_</v>
      </c>
      <c r="K3995" s="717">
        <v>12</v>
      </c>
      <c r="L3995" s="704"/>
      <c r="M3995" s="3022"/>
      <c r="N3995" s="106"/>
      <c r="O3995" s="106"/>
      <c r="P3995" s="702"/>
      <c r="Q3995" s="574"/>
      <c r="R3995" s="702"/>
      <c r="S3995" s="106"/>
      <c r="T3995" s="486"/>
      <c r="U3995" s="106"/>
      <c r="V3995" s="4129"/>
      <c r="W3995" s="717">
        <v>12</v>
      </c>
      <c r="X3995" s="717">
        <v>12</v>
      </c>
      <c r="Y3995" s="717">
        <v>12</v>
      </c>
      <c r="Z3995" s="717">
        <v>12</v>
      </c>
      <c r="AA3995" s="717">
        <v>12</v>
      </c>
      <c r="AB3995" s="717">
        <v>12</v>
      </c>
      <c r="AC3995" s="2930">
        <v>12</v>
      </c>
      <c r="AD3995" s="717">
        <v>12</v>
      </c>
      <c r="AE3995" s="2944"/>
      <c r="AF3995" s="717"/>
      <c r="AG3995" s="717"/>
      <c r="AH3995" s="156"/>
      <c r="AI3995" s="156"/>
      <c r="AJ3995" s="156"/>
      <c r="AK3995" s="156"/>
      <c r="AL3995" s="156"/>
      <c r="AM3995" s="156"/>
      <c r="AN3995" s="156"/>
      <c r="AO3995" s="156"/>
      <c r="AP3995" s="156"/>
      <c r="AQ3995" s="156"/>
      <c r="AR3995" s="156"/>
      <c r="AS3995" s="156"/>
      <c r="AT3995" s="156"/>
      <c r="AU3995" s="156"/>
      <c r="AV3995" s="156"/>
      <c r="AW3995" s="156"/>
      <c r="AX3995" s="156"/>
      <c r="AY3995" s="156"/>
      <c r="AZ3995" s="156"/>
      <c r="BA3995" s="156"/>
      <c r="BB3995" s="2828"/>
      <c r="BC3995" s="452"/>
      <c r="BD3995" s="2829"/>
      <c r="BE3995" s="2837"/>
      <c r="BF3995" s="156"/>
    </row>
    <row r="3996" spans="1:58" ht="15" customHeight="1" outlineLevel="1" x14ac:dyDescent="0.35">
      <c r="A3996" s="1664"/>
      <c r="B3996" s="2812"/>
      <c r="C3996" s="3077"/>
      <c r="D3996" s="3980"/>
      <c r="E3996" s="3883"/>
      <c r="F3996" s="3984" t="str">
        <f t="shared" si="443"/>
        <v>ASHP-SEER20_ROF_SF</v>
      </c>
      <c r="G3996" s="3984"/>
      <c r="H3996" s="3984"/>
      <c r="I3996" s="3984"/>
      <c r="J3996" s="3508" t="str">
        <f t="shared" si="444"/>
        <v>354600_2021_12_</v>
      </c>
      <c r="K3996" s="717">
        <v>18</v>
      </c>
      <c r="L3996" s="704"/>
      <c r="M3996" s="3022"/>
      <c r="N3996" s="106"/>
      <c r="O3996" s="106"/>
      <c r="P3996" s="702"/>
      <c r="Q3996" s="574"/>
      <c r="R3996" s="702"/>
      <c r="S3996" s="106"/>
      <c r="T3996" s="486"/>
      <c r="U3996" s="106"/>
      <c r="V3996" s="4129"/>
      <c r="W3996" s="717">
        <v>18</v>
      </c>
      <c r="X3996" s="717">
        <v>18</v>
      </c>
      <c r="Y3996" s="717">
        <v>18</v>
      </c>
      <c r="Z3996" s="717">
        <v>18</v>
      </c>
      <c r="AA3996" s="717">
        <v>18</v>
      </c>
      <c r="AB3996" s="717">
        <v>18</v>
      </c>
      <c r="AC3996" s="2930">
        <v>18</v>
      </c>
      <c r="AD3996" s="717">
        <v>18</v>
      </c>
      <c r="AE3996" s="2944"/>
      <c r="AF3996" s="717"/>
      <c r="AG3996" s="717"/>
      <c r="AH3996" s="156"/>
      <c r="AI3996" s="156"/>
      <c r="AJ3996" s="156"/>
      <c r="AK3996" s="156"/>
      <c r="AL3996" s="156"/>
      <c r="AM3996" s="156"/>
      <c r="AN3996" s="156"/>
      <c r="AO3996" s="156"/>
      <c r="AP3996" s="156"/>
      <c r="AQ3996" s="156"/>
      <c r="AR3996" s="156"/>
      <c r="AS3996" s="156"/>
      <c r="AT3996" s="156"/>
      <c r="AU3996" s="156"/>
      <c r="AV3996" s="156"/>
      <c r="AW3996" s="156"/>
      <c r="AX3996" s="156"/>
      <c r="AY3996" s="156"/>
      <c r="AZ3996" s="156"/>
      <c r="BA3996" s="156"/>
      <c r="BB3996" s="2828"/>
      <c r="BC3996" s="452"/>
      <c r="BD3996" s="2829"/>
      <c r="BE3996" s="2837"/>
      <c r="BF3996" s="156"/>
    </row>
    <row r="3997" spans="1:58" ht="15" customHeight="1" outlineLevel="1" x14ac:dyDescent="0.35">
      <c r="A3997" s="1664"/>
      <c r="B3997" s="2812"/>
      <c r="C3997" s="3077"/>
      <c r="D3997" s="3980"/>
      <c r="E3997" s="3883"/>
      <c r="F3997" s="3984" t="str">
        <f t="shared" si="443"/>
        <v>ASHP-SEER20_ROF_SF</v>
      </c>
      <c r="G3997" s="3984"/>
      <c r="H3997" s="3984"/>
      <c r="I3997" s="3984"/>
      <c r="J3997" s="3508" t="str">
        <f t="shared" si="444"/>
        <v>354600_2021_12_</v>
      </c>
      <c r="K3997" s="718">
        <v>18</v>
      </c>
      <c r="L3997" s="704"/>
      <c r="M3997" s="3022"/>
      <c r="N3997" s="106"/>
      <c r="O3997" s="106"/>
      <c r="P3997" s="702"/>
      <c r="Q3997" s="574"/>
      <c r="R3997" s="702"/>
      <c r="S3997" s="106"/>
      <c r="T3997" s="486"/>
      <c r="U3997" s="106"/>
      <c r="V3997" s="4129"/>
      <c r="W3997" s="718">
        <v>18</v>
      </c>
      <c r="X3997" s="718">
        <v>18</v>
      </c>
      <c r="Y3997" s="718">
        <v>18</v>
      </c>
      <c r="Z3997" s="718">
        <v>18</v>
      </c>
      <c r="AA3997" s="718">
        <v>18</v>
      </c>
      <c r="AB3997" s="718">
        <v>18</v>
      </c>
      <c r="AC3997" s="2933">
        <v>18</v>
      </c>
      <c r="AD3997" s="717">
        <v>18</v>
      </c>
      <c r="AE3997" s="2945"/>
      <c r="AF3997" s="718"/>
      <c r="AG3997" s="718"/>
      <c r="AH3997" s="156"/>
      <c r="AI3997" s="156"/>
      <c r="AJ3997" s="156"/>
      <c r="AK3997" s="156"/>
      <c r="AL3997" s="156"/>
      <c r="AM3997" s="156"/>
      <c r="AN3997" s="156"/>
      <c r="AO3997" s="156"/>
      <c r="AP3997" s="156"/>
      <c r="AQ3997" s="156"/>
      <c r="AR3997" s="156"/>
      <c r="AS3997" s="156"/>
      <c r="AT3997" s="156"/>
      <c r="AU3997" s="156"/>
      <c r="AV3997" s="156"/>
      <c r="AW3997" s="156"/>
      <c r="AX3997" s="156"/>
      <c r="AY3997" s="156"/>
      <c r="AZ3997" s="156"/>
      <c r="BA3997" s="156"/>
      <c r="BB3997" s="2828"/>
      <c r="BC3997" s="452"/>
      <c r="BD3997" s="2829"/>
      <c r="BE3997" s="2837"/>
      <c r="BF3997" s="156"/>
    </row>
    <row r="3998" spans="1:58" ht="14.5" customHeight="1" outlineLevel="1" x14ac:dyDescent="0.35">
      <c r="A3998" s="1664"/>
      <c r="B3998" s="2812"/>
      <c r="C3998" s="3077"/>
      <c r="D3998" s="3980"/>
      <c r="E3998" s="3883"/>
      <c r="F3998" s="3984" t="str">
        <f t="shared" ref="F3998:F4029" si="445">E1854</f>
        <v>ASHP-SEER20-Replace_CAC_ElectricHeat_ER1_MF</v>
      </c>
      <c r="G3998" s="3984"/>
      <c r="H3998" s="3984"/>
      <c r="I3998" s="3984"/>
      <c r="J3998" s="3508" t="str">
        <f t="shared" ref="J3998:J4029" si="446">C1854</f>
        <v>354650_2019_12_</v>
      </c>
      <c r="K3998" s="717">
        <v>6</v>
      </c>
      <c r="L3998" s="713"/>
      <c r="M3998" s="3022"/>
      <c r="N3998" s="106"/>
      <c r="O3998" s="106"/>
      <c r="P3998" s="702"/>
      <c r="Q3998" s="574"/>
      <c r="R3998" s="702"/>
      <c r="S3998" s="106"/>
      <c r="T3998" s="486"/>
      <c r="U3998" s="106"/>
      <c r="V3998" s="4129"/>
      <c r="W3998" s="717">
        <v>6</v>
      </c>
      <c r="X3998" s="717">
        <v>6</v>
      </c>
      <c r="Y3998" s="717">
        <v>6</v>
      </c>
      <c r="Z3998" s="717">
        <v>6</v>
      </c>
      <c r="AA3998" s="717">
        <v>6</v>
      </c>
      <c r="AB3998" s="717">
        <v>6</v>
      </c>
      <c r="AC3998" s="2930">
        <v>6</v>
      </c>
      <c r="AD3998" s="717">
        <v>6</v>
      </c>
      <c r="AE3998" s="2944"/>
      <c r="AF3998" s="717"/>
      <c r="AG3998" s="717"/>
      <c r="AH3998" s="156"/>
      <c r="AI3998" s="156"/>
      <c r="AJ3998" s="156"/>
      <c r="AK3998" s="156"/>
      <c r="AL3998" s="156"/>
      <c r="AM3998" s="156"/>
      <c r="AN3998" s="156"/>
      <c r="AO3998" s="156"/>
      <c r="AP3998" s="156"/>
      <c r="AQ3998" s="156"/>
      <c r="AR3998" s="156"/>
      <c r="AS3998" s="156"/>
      <c r="AT3998" s="156"/>
      <c r="AU3998" s="156"/>
      <c r="AV3998" s="156"/>
      <c r="AW3998" s="156"/>
      <c r="AX3998" s="156"/>
      <c r="AY3998" s="156"/>
      <c r="AZ3998" s="156"/>
      <c r="BA3998" s="156"/>
      <c r="BB3998" s="2828"/>
      <c r="BC3998" s="452"/>
      <c r="BD3998" s="2829"/>
      <c r="BE3998" s="2837"/>
      <c r="BF3998" s="156"/>
    </row>
    <row r="3999" spans="1:58" ht="14.5" customHeight="1" outlineLevel="1" x14ac:dyDescent="0.35">
      <c r="A3999" s="1664"/>
      <c r="B3999" s="2812"/>
      <c r="C3999" s="3077"/>
      <c r="D3999" s="3980"/>
      <c r="E3999" s="3883"/>
      <c r="F3999" s="3984" t="str">
        <f t="shared" si="445"/>
        <v>ASHP-SEER20-Replace_CAC_ElectricHeat_ER1_MF</v>
      </c>
      <c r="G3999" s="3984"/>
      <c r="H3999" s="3984"/>
      <c r="I3999" s="3984"/>
      <c r="J3999" s="3508" t="str">
        <f t="shared" si="446"/>
        <v>354650_2019_12_</v>
      </c>
      <c r="K3999" s="717">
        <v>6</v>
      </c>
      <c r="L3999" s="713"/>
      <c r="M3999" s="3022"/>
      <c r="N3999" s="106"/>
      <c r="O3999" s="106"/>
      <c r="P3999" s="702"/>
      <c r="Q3999" s="574"/>
      <c r="R3999" s="702"/>
      <c r="S3999" s="106"/>
      <c r="T3999" s="486"/>
      <c r="U3999" s="106"/>
      <c r="V3999" s="4129"/>
      <c r="W3999" s="717">
        <v>6</v>
      </c>
      <c r="X3999" s="717">
        <v>6</v>
      </c>
      <c r="Y3999" s="717">
        <v>6</v>
      </c>
      <c r="Z3999" s="717">
        <v>6</v>
      </c>
      <c r="AA3999" s="717">
        <v>6</v>
      </c>
      <c r="AB3999" s="717">
        <v>6</v>
      </c>
      <c r="AC3999" s="2930">
        <v>6</v>
      </c>
      <c r="AD3999" s="717">
        <v>6</v>
      </c>
      <c r="AE3999" s="2944"/>
      <c r="AF3999" s="717"/>
      <c r="AG3999" s="717"/>
      <c r="AH3999" s="156"/>
      <c r="AI3999" s="156"/>
      <c r="AJ3999" s="156"/>
      <c r="AK3999" s="156"/>
      <c r="AL3999" s="156"/>
      <c r="AM3999" s="156"/>
      <c r="AN3999" s="156"/>
      <c r="AO3999" s="156"/>
      <c r="AP3999" s="156"/>
      <c r="AQ3999" s="156"/>
      <c r="AR3999" s="156"/>
      <c r="AS3999" s="156"/>
      <c r="AT3999" s="156"/>
      <c r="AU3999" s="156"/>
      <c r="AV3999" s="156"/>
      <c r="AW3999" s="156"/>
      <c r="AX3999" s="156"/>
      <c r="AY3999" s="156"/>
      <c r="AZ3999" s="156"/>
      <c r="BA3999" s="156"/>
      <c r="BB3999" s="2828"/>
      <c r="BC3999" s="452"/>
      <c r="BD3999" s="2829"/>
      <c r="BE3999" s="2837"/>
      <c r="BF3999" s="156"/>
    </row>
    <row r="4000" spans="1:58" ht="14.5" customHeight="1" outlineLevel="1" x14ac:dyDescent="0.35">
      <c r="A4000" s="1664"/>
      <c r="B4000" s="2812"/>
      <c r="C4000" s="3077"/>
      <c r="D4000" s="3980"/>
      <c r="E4000" s="3883"/>
      <c r="F4000" s="3984" t="str">
        <f t="shared" si="445"/>
        <v>ASHP-SEER20-Replace_CAC_ElectricHeat_ER2_MF</v>
      </c>
      <c r="G4000" s="3984"/>
      <c r="H4000" s="3984"/>
      <c r="I4000" s="3984"/>
      <c r="J4000" s="3508" t="str">
        <f t="shared" si="446"/>
        <v>354650_2019_12_</v>
      </c>
      <c r="K4000" s="717">
        <v>12</v>
      </c>
      <c r="L4000" s="713"/>
      <c r="M4000" s="3022"/>
      <c r="N4000" s="106"/>
      <c r="O4000" s="106"/>
      <c r="P4000" s="702"/>
      <c r="Q4000" s="574"/>
      <c r="R4000" s="702"/>
      <c r="S4000" s="106"/>
      <c r="T4000" s="486"/>
      <c r="U4000" s="106"/>
      <c r="V4000" s="4129"/>
      <c r="W4000" s="717">
        <v>12</v>
      </c>
      <c r="X4000" s="717">
        <v>12</v>
      </c>
      <c r="Y4000" s="717">
        <v>12</v>
      </c>
      <c r="Z4000" s="717">
        <v>12</v>
      </c>
      <c r="AA4000" s="717">
        <v>12</v>
      </c>
      <c r="AB4000" s="717">
        <v>12</v>
      </c>
      <c r="AC4000" s="2930">
        <v>12</v>
      </c>
      <c r="AD4000" s="717">
        <v>12</v>
      </c>
      <c r="AE4000" s="2944"/>
      <c r="AF4000" s="717"/>
      <c r="AG4000" s="717"/>
      <c r="AH4000" s="156"/>
      <c r="AI4000" s="156"/>
      <c r="AJ4000" s="156"/>
      <c r="AK4000" s="156"/>
      <c r="AL4000" s="156"/>
      <c r="AM4000" s="156"/>
      <c r="AN4000" s="156"/>
      <c r="AO4000" s="156"/>
      <c r="AP4000" s="156"/>
      <c r="AQ4000" s="156"/>
      <c r="AR4000" s="156"/>
      <c r="AS4000" s="156"/>
      <c r="AT4000" s="156"/>
      <c r="AU4000" s="156"/>
      <c r="AV4000" s="156"/>
      <c r="AW4000" s="156"/>
      <c r="AX4000" s="156"/>
      <c r="AY4000" s="156"/>
      <c r="AZ4000" s="156"/>
      <c r="BA4000" s="156"/>
      <c r="BB4000" s="2828"/>
      <c r="BC4000" s="452"/>
      <c r="BD4000" s="2829"/>
      <c r="BE4000" s="2837"/>
      <c r="BF4000" s="156"/>
    </row>
    <row r="4001" spans="1:58" ht="14.5" customHeight="1" outlineLevel="1" x14ac:dyDescent="0.35">
      <c r="A4001" s="1664"/>
      <c r="B4001" s="2812"/>
      <c r="C4001" s="3077"/>
      <c r="D4001" s="3980"/>
      <c r="E4001" s="3883"/>
      <c r="F4001" s="3984" t="str">
        <f t="shared" si="445"/>
        <v>ASHP-SEER20-Replace_CAC_ElectricHeat_ER2_MF</v>
      </c>
      <c r="G4001" s="3984"/>
      <c r="H4001" s="3984"/>
      <c r="I4001" s="3984"/>
      <c r="J4001" s="3508" t="str">
        <f t="shared" si="446"/>
        <v>354650_2019_12_</v>
      </c>
      <c r="K4001" s="717">
        <v>12</v>
      </c>
      <c r="L4001" s="713"/>
      <c r="M4001" s="3022"/>
      <c r="N4001" s="106"/>
      <c r="O4001" s="106"/>
      <c r="P4001" s="702"/>
      <c r="Q4001" s="574"/>
      <c r="R4001" s="702"/>
      <c r="S4001" s="106"/>
      <c r="T4001" s="486"/>
      <c r="U4001" s="106"/>
      <c r="V4001" s="4129"/>
      <c r="W4001" s="717">
        <v>12</v>
      </c>
      <c r="X4001" s="717">
        <v>12</v>
      </c>
      <c r="Y4001" s="717">
        <v>12</v>
      </c>
      <c r="Z4001" s="717">
        <v>12</v>
      </c>
      <c r="AA4001" s="717">
        <v>12</v>
      </c>
      <c r="AB4001" s="717">
        <v>12</v>
      </c>
      <c r="AC4001" s="2930">
        <v>12</v>
      </c>
      <c r="AD4001" s="717">
        <v>12</v>
      </c>
      <c r="AE4001" s="2944"/>
      <c r="AF4001" s="717"/>
      <c r="AG4001" s="717"/>
      <c r="AH4001" s="156"/>
      <c r="AI4001" s="156"/>
      <c r="AJ4001" s="156"/>
      <c r="AK4001" s="156"/>
      <c r="AL4001" s="156"/>
      <c r="AM4001" s="156"/>
      <c r="AN4001" s="156"/>
      <c r="AO4001" s="156"/>
      <c r="AP4001" s="156"/>
      <c r="AQ4001" s="156"/>
      <c r="AR4001" s="156"/>
      <c r="AS4001" s="156"/>
      <c r="AT4001" s="156"/>
      <c r="AU4001" s="156"/>
      <c r="AV4001" s="156"/>
      <c r="AW4001" s="156"/>
      <c r="AX4001" s="156"/>
      <c r="AY4001" s="156"/>
      <c r="AZ4001" s="156"/>
      <c r="BA4001" s="156"/>
      <c r="BB4001" s="2828"/>
      <c r="BC4001" s="452"/>
      <c r="BD4001" s="2829"/>
      <c r="BE4001" s="2837"/>
      <c r="BF4001" s="156"/>
    </row>
    <row r="4002" spans="1:58" ht="14.5" customHeight="1" outlineLevel="1" x14ac:dyDescent="0.35">
      <c r="A4002" s="1664"/>
      <c r="B4002" s="2812"/>
      <c r="C4002" s="3077"/>
      <c r="D4002" s="3980"/>
      <c r="E4002" s="3883"/>
      <c r="F4002" s="3984" t="str">
        <f t="shared" si="445"/>
        <v>ASHP-SEER20-Replace_CAC_ElectricHeat_ER1_MF_CompE</v>
      </c>
      <c r="G4002" s="3984"/>
      <c r="H4002" s="3984"/>
      <c r="I4002" s="3984"/>
      <c r="J4002" s="3508" t="str">
        <f t="shared" si="446"/>
        <v>354651_2019_12_</v>
      </c>
      <c r="K4002" s="717">
        <v>6</v>
      </c>
      <c r="L4002" s="713"/>
      <c r="M4002" s="3022"/>
      <c r="N4002" s="106"/>
      <c r="O4002" s="106"/>
      <c r="P4002" s="702"/>
      <c r="Q4002" s="574"/>
      <c r="R4002" s="702"/>
      <c r="S4002" s="106"/>
      <c r="T4002" s="486"/>
      <c r="U4002" s="106"/>
      <c r="V4002" s="4129"/>
      <c r="W4002" s="717"/>
      <c r="X4002" s="717"/>
      <c r="Y4002" s="717"/>
      <c r="Z4002" s="717"/>
      <c r="AA4002" s="717"/>
      <c r="AB4002" s="717"/>
      <c r="AC4002" s="2932">
        <v>6</v>
      </c>
      <c r="AD4002" s="717">
        <v>6</v>
      </c>
      <c r="AE4002" s="2944"/>
      <c r="AF4002" s="717"/>
      <c r="AG4002" s="717"/>
      <c r="AH4002" s="156"/>
      <c r="AI4002" s="156"/>
      <c r="AJ4002" s="156"/>
      <c r="AK4002" s="156"/>
      <c r="AL4002" s="156"/>
      <c r="AM4002" s="156"/>
      <c r="AN4002" s="156"/>
      <c r="AO4002" s="156"/>
      <c r="AP4002" s="156"/>
      <c r="AQ4002" s="156"/>
      <c r="AR4002" s="156"/>
      <c r="AS4002" s="156"/>
      <c r="AT4002" s="156"/>
      <c r="AU4002" s="156"/>
      <c r="AV4002" s="156"/>
      <c r="AW4002" s="156"/>
      <c r="AX4002" s="156"/>
      <c r="AY4002" s="156"/>
      <c r="AZ4002" s="156"/>
      <c r="BA4002" s="156"/>
      <c r="BB4002" s="2828"/>
      <c r="BC4002" s="452"/>
      <c r="BD4002" s="2829"/>
      <c r="BE4002" s="2837"/>
      <c r="BF4002" s="156"/>
    </row>
    <row r="4003" spans="1:58" ht="14.5" customHeight="1" outlineLevel="1" x14ac:dyDescent="0.35">
      <c r="A4003" s="1664"/>
      <c r="B4003" s="2812"/>
      <c r="C4003" s="3077"/>
      <c r="D4003" s="3980"/>
      <c r="E4003" s="3883"/>
      <c r="F4003" s="3984" t="str">
        <f t="shared" si="445"/>
        <v>ASHP-SEER20-Replace_CAC_ElectricHeat_ER1_MF_CompE</v>
      </c>
      <c r="G4003" s="3984"/>
      <c r="H4003" s="3984"/>
      <c r="I4003" s="3984"/>
      <c r="J4003" s="3508" t="str">
        <f t="shared" si="446"/>
        <v>354651_2019_12_</v>
      </c>
      <c r="K4003" s="717">
        <v>6</v>
      </c>
      <c r="L4003" s="713"/>
      <c r="M4003" s="3022"/>
      <c r="N4003" s="106"/>
      <c r="O4003" s="106"/>
      <c r="P4003" s="702"/>
      <c r="Q4003" s="574"/>
      <c r="R4003" s="702"/>
      <c r="S4003" s="106"/>
      <c r="T4003" s="486"/>
      <c r="U4003" s="106"/>
      <c r="V4003" s="4129"/>
      <c r="W4003" s="717"/>
      <c r="X4003" s="717"/>
      <c r="Y4003" s="717"/>
      <c r="Z4003" s="717"/>
      <c r="AA4003" s="717"/>
      <c r="AB4003" s="717"/>
      <c r="AC4003" s="2932">
        <v>6</v>
      </c>
      <c r="AD4003" s="717">
        <v>6</v>
      </c>
      <c r="AE4003" s="2944"/>
      <c r="AF4003" s="717"/>
      <c r="AG4003" s="717"/>
      <c r="AH4003" s="156"/>
      <c r="AI4003" s="156"/>
      <c r="AJ4003" s="156"/>
      <c r="AK4003" s="156"/>
      <c r="AL4003" s="156"/>
      <c r="AM4003" s="156"/>
      <c r="AN4003" s="156"/>
      <c r="AO4003" s="156"/>
      <c r="AP4003" s="156"/>
      <c r="AQ4003" s="156"/>
      <c r="AR4003" s="156"/>
      <c r="AS4003" s="156"/>
      <c r="AT4003" s="156"/>
      <c r="AU4003" s="156"/>
      <c r="AV4003" s="156"/>
      <c r="AW4003" s="156"/>
      <c r="AX4003" s="156"/>
      <c r="AY4003" s="156"/>
      <c r="AZ4003" s="156"/>
      <c r="BA4003" s="156"/>
      <c r="BB4003" s="2828"/>
      <c r="BC4003" s="452"/>
      <c r="BD4003" s="2829"/>
      <c r="BE4003" s="2837"/>
      <c r="BF4003" s="156"/>
    </row>
    <row r="4004" spans="1:58" ht="14.5" customHeight="1" outlineLevel="1" x14ac:dyDescent="0.35">
      <c r="A4004" s="1664"/>
      <c r="B4004" s="2812"/>
      <c r="C4004" s="3077"/>
      <c r="D4004" s="3980"/>
      <c r="E4004" s="3883"/>
      <c r="F4004" s="3984" t="str">
        <f t="shared" si="445"/>
        <v>ASHP-SEER20-Replace_CAC_ElectricHeat_ER2_MF_CompE</v>
      </c>
      <c r="G4004" s="3984"/>
      <c r="H4004" s="3984"/>
      <c r="I4004" s="3984"/>
      <c r="J4004" s="3508" t="str">
        <f t="shared" si="446"/>
        <v>354651_2019_12_</v>
      </c>
      <c r="K4004" s="717">
        <v>12</v>
      </c>
      <c r="L4004" s="713"/>
      <c r="M4004" s="3022"/>
      <c r="N4004" s="106"/>
      <c r="O4004" s="106"/>
      <c r="P4004" s="702"/>
      <c r="Q4004" s="574"/>
      <c r="R4004" s="702"/>
      <c r="S4004" s="106"/>
      <c r="T4004" s="486"/>
      <c r="U4004" s="106"/>
      <c r="V4004" s="4129"/>
      <c r="W4004" s="717"/>
      <c r="X4004" s="717"/>
      <c r="Y4004" s="717"/>
      <c r="Z4004" s="717"/>
      <c r="AA4004" s="717"/>
      <c r="AB4004" s="717"/>
      <c r="AC4004" s="2932">
        <v>12</v>
      </c>
      <c r="AD4004" s="717">
        <v>12</v>
      </c>
      <c r="AE4004" s="2944"/>
      <c r="AF4004" s="717"/>
      <c r="AG4004" s="717"/>
      <c r="AH4004" s="156"/>
      <c r="AI4004" s="156"/>
      <c r="AJ4004" s="156"/>
      <c r="AK4004" s="156"/>
      <c r="AL4004" s="156"/>
      <c r="AM4004" s="156"/>
      <c r="AN4004" s="156"/>
      <c r="AO4004" s="156"/>
      <c r="AP4004" s="156"/>
      <c r="AQ4004" s="156"/>
      <c r="AR4004" s="156"/>
      <c r="AS4004" s="156"/>
      <c r="AT4004" s="156"/>
      <c r="AU4004" s="156"/>
      <c r="AV4004" s="156"/>
      <c r="AW4004" s="156"/>
      <c r="AX4004" s="156"/>
      <c r="AY4004" s="156"/>
      <c r="AZ4004" s="156"/>
      <c r="BA4004" s="156"/>
      <c r="BB4004" s="2828"/>
      <c r="BC4004" s="452"/>
      <c r="BD4004" s="2829"/>
      <c r="BE4004" s="2837"/>
      <c r="BF4004" s="156"/>
    </row>
    <row r="4005" spans="1:58" ht="14.5" customHeight="1" outlineLevel="1" x14ac:dyDescent="0.35">
      <c r="A4005" s="1664"/>
      <c r="B4005" s="2812"/>
      <c r="C4005" s="3077"/>
      <c r="D4005" s="3980"/>
      <c r="E4005" s="3883"/>
      <c r="F4005" s="3984" t="str">
        <f t="shared" si="445"/>
        <v>ASHP-SEER20-Replace_CAC_ElectricHeat_ER2_MF_CompE</v>
      </c>
      <c r="G4005" s="3984"/>
      <c r="H4005" s="3984"/>
      <c r="I4005" s="3984"/>
      <c r="J4005" s="3508" t="str">
        <f t="shared" si="446"/>
        <v>354651_2019_12_</v>
      </c>
      <c r="K4005" s="717">
        <v>12</v>
      </c>
      <c r="L4005" s="713"/>
      <c r="M4005" s="3022"/>
      <c r="N4005" s="106"/>
      <c r="O4005" s="106"/>
      <c r="P4005" s="702"/>
      <c r="Q4005" s="574"/>
      <c r="R4005" s="702"/>
      <c r="S4005" s="106"/>
      <c r="T4005" s="486"/>
      <c r="U4005" s="106"/>
      <c r="V4005" s="4129"/>
      <c r="W4005" s="717"/>
      <c r="X4005" s="717"/>
      <c r="Y4005" s="717"/>
      <c r="Z4005" s="717"/>
      <c r="AA4005" s="717"/>
      <c r="AB4005" s="717"/>
      <c r="AC4005" s="2932">
        <v>12</v>
      </c>
      <c r="AD4005" s="717">
        <v>12</v>
      </c>
      <c r="AE4005" s="2944"/>
      <c r="AF4005" s="717"/>
      <c r="AG4005" s="717"/>
      <c r="AH4005" s="156"/>
      <c r="AI4005" s="156"/>
      <c r="AJ4005" s="156"/>
      <c r="AK4005" s="156"/>
      <c r="AL4005" s="156"/>
      <c r="AM4005" s="156"/>
      <c r="AN4005" s="156"/>
      <c r="AO4005" s="156"/>
      <c r="AP4005" s="156"/>
      <c r="AQ4005" s="156"/>
      <c r="AR4005" s="156"/>
      <c r="AS4005" s="156"/>
      <c r="AT4005" s="156"/>
      <c r="AU4005" s="156"/>
      <c r="AV4005" s="156"/>
      <c r="AW4005" s="156"/>
      <c r="AX4005" s="156"/>
      <c r="AY4005" s="156"/>
      <c r="AZ4005" s="156"/>
      <c r="BA4005" s="156"/>
      <c r="BB4005" s="2828"/>
      <c r="BC4005" s="452"/>
      <c r="BD4005" s="2829"/>
      <c r="BE4005" s="2837"/>
      <c r="BF4005" s="156"/>
    </row>
    <row r="4006" spans="1:58" ht="14.5" customHeight="1" outlineLevel="1" x14ac:dyDescent="0.35">
      <c r="A4006" s="1664"/>
      <c r="B4006" s="2812"/>
      <c r="C4006" s="3077"/>
      <c r="D4006" s="3980"/>
      <c r="E4006" s="3883"/>
      <c r="F4006" s="3984" t="str">
        <f t="shared" si="445"/>
        <v>ASHP-SEER20-Replace_CAC_NonElectricHeat_ER1_MF</v>
      </c>
      <c r="G4006" s="3984"/>
      <c r="H4006" s="3984"/>
      <c r="I4006" s="3984"/>
      <c r="J4006" s="3508" t="str">
        <f t="shared" si="446"/>
        <v>354660_2021_12_</v>
      </c>
      <c r="K4006" s="717">
        <v>6</v>
      </c>
      <c r="L4006" s="713"/>
      <c r="M4006" s="3022"/>
      <c r="N4006" s="106"/>
      <c r="O4006" s="106"/>
      <c r="P4006" s="702"/>
      <c r="Q4006" s="574"/>
      <c r="R4006" s="702"/>
      <c r="S4006" s="106"/>
      <c r="T4006" s="486"/>
      <c r="U4006" s="106"/>
      <c r="V4006" s="4129"/>
      <c r="W4006" s="717"/>
      <c r="X4006" s="717"/>
      <c r="Y4006" s="717"/>
      <c r="Z4006" s="717"/>
      <c r="AA4006" s="717"/>
      <c r="AB4006" s="717"/>
      <c r="AC4006" s="2932">
        <v>6</v>
      </c>
      <c r="AD4006" s="717">
        <v>6</v>
      </c>
      <c r="AE4006" s="2944"/>
      <c r="AF4006" s="717"/>
      <c r="AG4006" s="717"/>
      <c r="AH4006" s="156"/>
      <c r="AI4006" s="156"/>
      <c r="AJ4006" s="156"/>
      <c r="AK4006" s="156"/>
      <c r="AL4006" s="156"/>
      <c r="AM4006" s="156"/>
      <c r="AN4006" s="156"/>
      <c r="AO4006" s="156"/>
      <c r="AP4006" s="156"/>
      <c r="AQ4006" s="156"/>
      <c r="AR4006" s="156"/>
      <c r="AS4006" s="156"/>
      <c r="AT4006" s="156"/>
      <c r="AU4006" s="156"/>
      <c r="AV4006" s="156"/>
      <c r="AW4006" s="156"/>
      <c r="AX4006" s="156"/>
      <c r="AY4006" s="156"/>
      <c r="AZ4006" s="156"/>
      <c r="BA4006" s="156"/>
      <c r="BB4006" s="2828"/>
      <c r="BC4006" s="452"/>
      <c r="BD4006" s="2829"/>
      <c r="BE4006" s="2837"/>
      <c r="BF4006" s="156"/>
    </row>
    <row r="4007" spans="1:58" ht="14.5" customHeight="1" outlineLevel="1" x14ac:dyDescent="0.35">
      <c r="A4007" s="1664"/>
      <c r="B4007" s="2812"/>
      <c r="C4007" s="3077"/>
      <c r="D4007" s="3980"/>
      <c r="E4007" s="3883"/>
      <c r="F4007" s="3984" t="str">
        <f t="shared" si="445"/>
        <v>ASHP-SEER20-Replace_CAC_NonElectricHeat_ER1_MF</v>
      </c>
      <c r="G4007" s="3984"/>
      <c r="H4007" s="3984"/>
      <c r="I4007" s="3984"/>
      <c r="J4007" s="3508" t="str">
        <f t="shared" si="446"/>
        <v>354660_2021_12_</v>
      </c>
      <c r="K4007" s="717">
        <v>6</v>
      </c>
      <c r="L4007" s="713"/>
      <c r="M4007" s="3022"/>
      <c r="N4007" s="106"/>
      <c r="O4007" s="106"/>
      <c r="P4007" s="702"/>
      <c r="Q4007" s="574"/>
      <c r="R4007" s="702"/>
      <c r="S4007" s="106"/>
      <c r="T4007" s="486"/>
      <c r="U4007" s="106"/>
      <c r="V4007" s="4129"/>
      <c r="W4007" s="717"/>
      <c r="X4007" s="717"/>
      <c r="Y4007" s="717"/>
      <c r="Z4007" s="717"/>
      <c r="AA4007" s="717"/>
      <c r="AB4007" s="717"/>
      <c r="AC4007" s="2932">
        <v>6</v>
      </c>
      <c r="AD4007" s="717">
        <v>6</v>
      </c>
      <c r="AE4007" s="2944"/>
      <c r="AF4007" s="717"/>
      <c r="AG4007" s="717"/>
      <c r="AH4007" s="156"/>
      <c r="AI4007" s="156"/>
      <c r="AJ4007" s="156"/>
      <c r="AK4007" s="156"/>
      <c r="AL4007" s="156"/>
      <c r="AM4007" s="156"/>
      <c r="AN4007" s="156"/>
      <c r="AO4007" s="156"/>
      <c r="AP4007" s="156"/>
      <c r="AQ4007" s="156"/>
      <c r="AR4007" s="156"/>
      <c r="AS4007" s="156"/>
      <c r="AT4007" s="156"/>
      <c r="AU4007" s="156"/>
      <c r="AV4007" s="156"/>
      <c r="AW4007" s="156"/>
      <c r="AX4007" s="156"/>
      <c r="AY4007" s="156"/>
      <c r="AZ4007" s="156"/>
      <c r="BA4007" s="156"/>
      <c r="BB4007" s="2828"/>
      <c r="BC4007" s="452"/>
      <c r="BD4007" s="2829"/>
      <c r="BE4007" s="2837"/>
      <c r="BF4007" s="156"/>
    </row>
    <row r="4008" spans="1:58" ht="14.5" customHeight="1" outlineLevel="1" x14ac:dyDescent="0.35">
      <c r="A4008" s="1664"/>
      <c r="B4008" s="2812"/>
      <c r="C4008" s="3077"/>
      <c r="D4008" s="3980"/>
      <c r="E4008" s="3883"/>
      <c r="F4008" s="3984" t="str">
        <f t="shared" si="445"/>
        <v>ASHP-SEER20-Replace_CAC_NonElectricHeat_ER2_MF</v>
      </c>
      <c r="G4008" s="3984"/>
      <c r="H4008" s="3984"/>
      <c r="I4008" s="3984"/>
      <c r="J4008" s="3508" t="str">
        <f t="shared" si="446"/>
        <v>354660_2021_12_</v>
      </c>
      <c r="K4008" s="717">
        <v>12</v>
      </c>
      <c r="L4008" s="713"/>
      <c r="M4008" s="3022"/>
      <c r="N4008" s="106"/>
      <c r="O4008" s="106"/>
      <c r="P4008" s="702"/>
      <c r="Q4008" s="574"/>
      <c r="R4008" s="702"/>
      <c r="S4008" s="106"/>
      <c r="T4008" s="486"/>
      <c r="U4008" s="106"/>
      <c r="V4008" s="4129"/>
      <c r="W4008" s="717"/>
      <c r="X4008" s="717"/>
      <c r="Y4008" s="717"/>
      <c r="Z4008" s="717"/>
      <c r="AA4008" s="717"/>
      <c r="AB4008" s="717"/>
      <c r="AC4008" s="2932">
        <v>12</v>
      </c>
      <c r="AD4008" s="717">
        <v>12</v>
      </c>
      <c r="AE4008" s="2944"/>
      <c r="AF4008" s="717"/>
      <c r="AG4008" s="717"/>
      <c r="AH4008" s="156"/>
      <c r="AI4008" s="156"/>
      <c r="AJ4008" s="156"/>
      <c r="AK4008" s="156"/>
      <c r="AL4008" s="156"/>
      <c r="AM4008" s="156"/>
      <c r="AN4008" s="156"/>
      <c r="AO4008" s="156"/>
      <c r="AP4008" s="156"/>
      <c r="AQ4008" s="156"/>
      <c r="AR4008" s="156"/>
      <c r="AS4008" s="156"/>
      <c r="AT4008" s="156"/>
      <c r="AU4008" s="156"/>
      <c r="AV4008" s="156"/>
      <c r="AW4008" s="156"/>
      <c r="AX4008" s="156"/>
      <c r="AY4008" s="156"/>
      <c r="AZ4008" s="156"/>
      <c r="BA4008" s="156"/>
      <c r="BB4008" s="2828"/>
      <c r="BC4008" s="452"/>
      <c r="BD4008" s="2829"/>
      <c r="BE4008" s="2837"/>
      <c r="BF4008" s="156"/>
    </row>
    <row r="4009" spans="1:58" ht="14.5" customHeight="1" outlineLevel="1" x14ac:dyDescent="0.35">
      <c r="A4009" s="1664"/>
      <c r="B4009" s="2812"/>
      <c r="C4009" s="3077"/>
      <c r="D4009" s="3980"/>
      <c r="E4009" s="3883"/>
      <c r="F4009" s="3984" t="str">
        <f t="shared" si="445"/>
        <v>ASHP-SEER20-Replace_CAC_NonElectricHeat_ER2_MF</v>
      </c>
      <c r="G4009" s="3984"/>
      <c r="H4009" s="3984"/>
      <c r="I4009" s="3984"/>
      <c r="J4009" s="3508" t="str">
        <f t="shared" si="446"/>
        <v>354660_2021_12_</v>
      </c>
      <c r="K4009" s="717">
        <v>12</v>
      </c>
      <c r="L4009" s="713"/>
      <c r="M4009" s="3022"/>
      <c r="N4009" s="106"/>
      <c r="O4009" s="106"/>
      <c r="P4009" s="702"/>
      <c r="Q4009" s="574"/>
      <c r="R4009" s="702"/>
      <c r="S4009" s="106"/>
      <c r="T4009" s="486"/>
      <c r="U4009" s="106"/>
      <c r="V4009" s="4129"/>
      <c r="W4009" s="717"/>
      <c r="X4009" s="717"/>
      <c r="Y4009" s="717"/>
      <c r="Z4009" s="717"/>
      <c r="AA4009" s="717"/>
      <c r="AB4009" s="717"/>
      <c r="AC4009" s="2932">
        <v>12</v>
      </c>
      <c r="AD4009" s="717">
        <v>12</v>
      </c>
      <c r="AE4009" s="2944"/>
      <c r="AF4009" s="717"/>
      <c r="AG4009" s="717"/>
      <c r="AH4009" s="156"/>
      <c r="AI4009" s="156"/>
      <c r="AJ4009" s="156"/>
      <c r="AK4009" s="156"/>
      <c r="AL4009" s="156"/>
      <c r="AM4009" s="156"/>
      <c r="AN4009" s="156"/>
      <c r="AO4009" s="156"/>
      <c r="AP4009" s="156"/>
      <c r="AQ4009" s="156"/>
      <c r="AR4009" s="156"/>
      <c r="AS4009" s="156"/>
      <c r="AT4009" s="156"/>
      <c r="AU4009" s="156"/>
      <c r="AV4009" s="156"/>
      <c r="AW4009" s="156"/>
      <c r="AX4009" s="156"/>
      <c r="AY4009" s="156"/>
      <c r="AZ4009" s="156"/>
      <c r="BA4009" s="156"/>
      <c r="BB4009" s="2828"/>
      <c r="BC4009" s="452"/>
      <c r="BD4009" s="2829"/>
      <c r="BE4009" s="2837"/>
      <c r="BF4009" s="156"/>
    </row>
    <row r="4010" spans="1:58" ht="14.5" customHeight="1" outlineLevel="1" x14ac:dyDescent="0.35">
      <c r="A4010" s="1664"/>
      <c r="B4010" s="2812"/>
      <c r="C4010" s="3077"/>
      <c r="D4010" s="3980"/>
      <c r="E4010" s="3883"/>
      <c r="F4010" s="3984" t="str">
        <f t="shared" si="445"/>
        <v>ASHP-SEER20-Replace_CAC_NonElectricHeat_ER1_MF_CompE</v>
      </c>
      <c r="G4010" s="3984"/>
      <c r="H4010" s="3984"/>
      <c r="I4010" s="3984"/>
      <c r="J4010" s="3508" t="str">
        <f t="shared" si="446"/>
        <v>354661_2021_12_</v>
      </c>
      <c r="K4010" s="717">
        <v>6</v>
      </c>
      <c r="L4010" s="713"/>
      <c r="M4010" s="3022"/>
      <c r="N4010" s="106"/>
      <c r="O4010" s="106"/>
      <c r="P4010" s="702"/>
      <c r="Q4010" s="574"/>
      <c r="R4010" s="702"/>
      <c r="S4010" s="106"/>
      <c r="T4010" s="486"/>
      <c r="U4010" s="106"/>
      <c r="V4010" s="4129"/>
      <c r="W4010" s="717"/>
      <c r="X4010" s="717"/>
      <c r="Y4010" s="717"/>
      <c r="Z4010" s="717"/>
      <c r="AA4010" s="717"/>
      <c r="AB4010" s="717"/>
      <c r="AC4010" s="2932">
        <v>6</v>
      </c>
      <c r="AD4010" s="717">
        <v>6</v>
      </c>
      <c r="AE4010" s="2944"/>
      <c r="AF4010" s="717"/>
      <c r="AG4010" s="717"/>
      <c r="AH4010" s="156"/>
      <c r="AI4010" s="156"/>
      <c r="AJ4010" s="156"/>
      <c r="AK4010" s="156"/>
      <c r="AL4010" s="156"/>
      <c r="AM4010" s="156"/>
      <c r="AN4010" s="156"/>
      <c r="AO4010" s="156"/>
      <c r="AP4010" s="156"/>
      <c r="AQ4010" s="156"/>
      <c r="AR4010" s="156"/>
      <c r="AS4010" s="156"/>
      <c r="AT4010" s="156"/>
      <c r="AU4010" s="156"/>
      <c r="AV4010" s="156"/>
      <c r="AW4010" s="156"/>
      <c r="AX4010" s="156"/>
      <c r="AY4010" s="156"/>
      <c r="AZ4010" s="156"/>
      <c r="BA4010" s="156"/>
      <c r="BB4010" s="2828"/>
      <c r="BC4010" s="452"/>
      <c r="BD4010" s="2829"/>
      <c r="BE4010" s="2837"/>
      <c r="BF4010" s="156"/>
    </row>
    <row r="4011" spans="1:58" ht="14.5" customHeight="1" outlineLevel="1" x14ac:dyDescent="0.35">
      <c r="A4011" s="1664"/>
      <c r="B4011" s="2812"/>
      <c r="C4011" s="3077"/>
      <c r="D4011" s="3980"/>
      <c r="E4011" s="3883"/>
      <c r="F4011" s="3984" t="str">
        <f t="shared" si="445"/>
        <v>ASHP-SEER20-Replace_CAC_NonElectricHeat_ER1_MF_CompE</v>
      </c>
      <c r="G4011" s="3984"/>
      <c r="H4011" s="3984"/>
      <c r="I4011" s="3984"/>
      <c r="J4011" s="3508" t="str">
        <f t="shared" si="446"/>
        <v>354661_2021_12_</v>
      </c>
      <c r="K4011" s="717">
        <v>6</v>
      </c>
      <c r="L4011" s="713"/>
      <c r="M4011" s="3022"/>
      <c r="N4011" s="106"/>
      <c r="O4011" s="106"/>
      <c r="P4011" s="702"/>
      <c r="Q4011" s="574"/>
      <c r="R4011" s="702"/>
      <c r="S4011" s="106"/>
      <c r="T4011" s="486"/>
      <c r="U4011" s="106"/>
      <c r="V4011" s="4129"/>
      <c r="W4011" s="717"/>
      <c r="X4011" s="717"/>
      <c r="Y4011" s="717"/>
      <c r="Z4011" s="717"/>
      <c r="AA4011" s="717"/>
      <c r="AB4011" s="717"/>
      <c r="AC4011" s="2932">
        <v>6</v>
      </c>
      <c r="AD4011" s="717">
        <v>6</v>
      </c>
      <c r="AE4011" s="2944"/>
      <c r="AF4011" s="717"/>
      <c r="AG4011" s="717"/>
      <c r="AH4011" s="156"/>
      <c r="AI4011" s="156"/>
      <c r="AJ4011" s="156"/>
      <c r="AK4011" s="156"/>
      <c r="AL4011" s="156"/>
      <c r="AM4011" s="156"/>
      <c r="AN4011" s="156"/>
      <c r="AO4011" s="156"/>
      <c r="AP4011" s="156"/>
      <c r="AQ4011" s="156"/>
      <c r="AR4011" s="156"/>
      <c r="AS4011" s="156"/>
      <c r="AT4011" s="156"/>
      <c r="AU4011" s="156"/>
      <c r="AV4011" s="156"/>
      <c r="AW4011" s="156"/>
      <c r="AX4011" s="156"/>
      <c r="AY4011" s="156"/>
      <c r="AZ4011" s="156"/>
      <c r="BA4011" s="156"/>
      <c r="BB4011" s="2828"/>
      <c r="BC4011" s="452"/>
      <c r="BD4011" s="2829"/>
      <c r="BE4011" s="2837"/>
      <c r="BF4011" s="156"/>
    </row>
    <row r="4012" spans="1:58" ht="14.5" customHeight="1" outlineLevel="1" x14ac:dyDescent="0.35">
      <c r="A4012" s="1664"/>
      <c r="B4012" s="2812"/>
      <c r="C4012" s="3077"/>
      <c r="D4012" s="3980"/>
      <c r="E4012" s="3883"/>
      <c r="F4012" s="3984" t="str">
        <f t="shared" si="445"/>
        <v>ASHP-SEER20-Replace_CAC_NonElectricHeat_ER2_MF_CompE</v>
      </c>
      <c r="G4012" s="3984"/>
      <c r="H4012" s="3984"/>
      <c r="I4012" s="3984"/>
      <c r="J4012" s="3508" t="str">
        <f t="shared" si="446"/>
        <v>354661_2021_12_</v>
      </c>
      <c r="K4012" s="717">
        <v>12</v>
      </c>
      <c r="L4012" s="713"/>
      <c r="M4012" s="3022"/>
      <c r="N4012" s="106"/>
      <c r="O4012" s="106"/>
      <c r="P4012" s="702"/>
      <c r="Q4012" s="574"/>
      <c r="R4012" s="702"/>
      <c r="S4012" s="106"/>
      <c r="T4012" s="486"/>
      <c r="U4012" s="106"/>
      <c r="V4012" s="4129"/>
      <c r="W4012" s="717"/>
      <c r="X4012" s="717"/>
      <c r="Y4012" s="717"/>
      <c r="Z4012" s="717"/>
      <c r="AA4012" s="717"/>
      <c r="AB4012" s="717"/>
      <c r="AC4012" s="2932">
        <v>12</v>
      </c>
      <c r="AD4012" s="717">
        <v>12</v>
      </c>
      <c r="AE4012" s="2944"/>
      <c r="AF4012" s="717"/>
      <c r="AG4012" s="717"/>
      <c r="AH4012" s="156"/>
      <c r="AI4012" s="156"/>
      <c r="AJ4012" s="156"/>
      <c r="AK4012" s="156"/>
      <c r="AL4012" s="156"/>
      <c r="AM4012" s="156"/>
      <c r="AN4012" s="156"/>
      <c r="AO4012" s="156"/>
      <c r="AP4012" s="156"/>
      <c r="AQ4012" s="156"/>
      <c r="AR4012" s="156"/>
      <c r="AS4012" s="156"/>
      <c r="AT4012" s="156"/>
      <c r="AU4012" s="156"/>
      <c r="AV4012" s="156"/>
      <c r="AW4012" s="156"/>
      <c r="AX4012" s="156"/>
      <c r="AY4012" s="156"/>
      <c r="AZ4012" s="156"/>
      <c r="BA4012" s="156"/>
      <c r="BB4012" s="2828"/>
      <c r="BC4012" s="452"/>
      <c r="BD4012" s="2829"/>
      <c r="BE4012" s="2837"/>
      <c r="BF4012" s="156"/>
    </row>
    <row r="4013" spans="1:58" ht="14.5" customHeight="1" outlineLevel="1" x14ac:dyDescent="0.35">
      <c r="A4013" s="1664"/>
      <c r="B4013" s="2812"/>
      <c r="C4013" s="3077"/>
      <c r="D4013" s="3980"/>
      <c r="E4013" s="3883"/>
      <c r="F4013" s="3984" t="str">
        <f t="shared" si="445"/>
        <v>ASHP-SEER20-Replace_CAC_NonElectricHeat_ER2_MF_CompE</v>
      </c>
      <c r="G4013" s="3984"/>
      <c r="H4013" s="3984"/>
      <c r="I4013" s="3984"/>
      <c r="J4013" s="3508" t="str">
        <f t="shared" si="446"/>
        <v>354661_2021_12_</v>
      </c>
      <c r="K4013" s="717">
        <v>12</v>
      </c>
      <c r="L4013" s="713"/>
      <c r="M4013" s="3022"/>
      <c r="N4013" s="106"/>
      <c r="O4013" s="106"/>
      <c r="P4013" s="702"/>
      <c r="Q4013" s="574"/>
      <c r="R4013" s="702"/>
      <c r="S4013" s="106"/>
      <c r="T4013" s="486"/>
      <c r="U4013" s="106"/>
      <c r="V4013" s="4129"/>
      <c r="W4013" s="717"/>
      <c r="X4013" s="717"/>
      <c r="Y4013" s="717"/>
      <c r="Z4013" s="717"/>
      <c r="AA4013" s="717"/>
      <c r="AB4013" s="717"/>
      <c r="AC4013" s="2932">
        <v>12</v>
      </c>
      <c r="AD4013" s="717">
        <v>12</v>
      </c>
      <c r="AE4013" s="2944"/>
      <c r="AF4013" s="717"/>
      <c r="AG4013" s="717"/>
      <c r="AH4013" s="156"/>
      <c r="AI4013" s="156"/>
      <c r="AJ4013" s="156"/>
      <c r="AK4013" s="156"/>
      <c r="AL4013" s="156"/>
      <c r="AM4013" s="156"/>
      <c r="AN4013" s="156"/>
      <c r="AO4013" s="156"/>
      <c r="AP4013" s="156"/>
      <c r="AQ4013" s="156"/>
      <c r="AR4013" s="156"/>
      <c r="AS4013" s="156"/>
      <c r="AT4013" s="156"/>
      <c r="AU4013" s="156"/>
      <c r="AV4013" s="156"/>
      <c r="AW4013" s="156"/>
      <c r="AX4013" s="156"/>
      <c r="AY4013" s="156"/>
      <c r="AZ4013" s="156"/>
      <c r="BA4013" s="156"/>
      <c r="BB4013" s="2828"/>
      <c r="BC4013" s="452"/>
      <c r="BD4013" s="2829"/>
      <c r="BE4013" s="2837"/>
      <c r="BF4013" s="156"/>
    </row>
    <row r="4014" spans="1:58" ht="14.5" customHeight="1" outlineLevel="1" x14ac:dyDescent="0.35">
      <c r="A4014" s="1664"/>
      <c r="B4014" s="2812"/>
      <c r="C4014" s="3077"/>
      <c r="D4014" s="3980"/>
      <c r="E4014" s="3883"/>
      <c r="F4014" s="3984" t="str">
        <f t="shared" si="445"/>
        <v>ASHP-SEER20_ER1_MF</v>
      </c>
      <c r="G4014" s="3984"/>
      <c r="H4014" s="3984"/>
      <c r="I4014" s="3984"/>
      <c r="J4014" s="3508" t="str">
        <f t="shared" si="446"/>
        <v>354700_2019_12_</v>
      </c>
      <c r="K4014" s="717">
        <v>6</v>
      </c>
      <c r="L4014" s="713"/>
      <c r="M4014" s="3022"/>
      <c r="N4014" s="106"/>
      <c r="O4014" s="106"/>
      <c r="P4014" s="702"/>
      <c r="Q4014" s="574"/>
      <c r="R4014" s="702"/>
      <c r="S4014" s="106"/>
      <c r="T4014" s="486"/>
      <c r="U4014" s="106"/>
      <c r="V4014" s="4129"/>
      <c r="W4014" s="717">
        <v>6</v>
      </c>
      <c r="X4014" s="717">
        <v>6</v>
      </c>
      <c r="Y4014" s="717">
        <v>6</v>
      </c>
      <c r="Z4014" s="717">
        <v>6</v>
      </c>
      <c r="AA4014" s="717">
        <v>6</v>
      </c>
      <c r="AB4014" s="717">
        <v>6</v>
      </c>
      <c r="AC4014" s="2930">
        <v>6</v>
      </c>
      <c r="AD4014" s="717">
        <v>6</v>
      </c>
      <c r="AE4014" s="2944"/>
      <c r="AF4014" s="717"/>
      <c r="AG4014" s="717"/>
      <c r="AH4014" s="156"/>
      <c r="AI4014" s="156"/>
      <c r="AJ4014" s="156"/>
      <c r="AK4014" s="156"/>
      <c r="AL4014" s="156"/>
      <c r="AM4014" s="156"/>
      <c r="AN4014" s="156"/>
      <c r="AO4014" s="156"/>
      <c r="AP4014" s="156"/>
      <c r="AQ4014" s="156"/>
      <c r="AR4014" s="156"/>
      <c r="AS4014" s="156"/>
      <c r="AT4014" s="156"/>
      <c r="AU4014" s="156"/>
      <c r="AV4014" s="156"/>
      <c r="AW4014" s="156"/>
      <c r="AX4014" s="156"/>
      <c r="AY4014" s="156"/>
      <c r="AZ4014" s="156"/>
      <c r="BA4014" s="156"/>
      <c r="BB4014" s="2828"/>
      <c r="BC4014" s="452"/>
      <c r="BD4014" s="2829"/>
      <c r="BE4014" s="2837"/>
      <c r="BF4014" s="156"/>
    </row>
    <row r="4015" spans="1:58" ht="14.5" customHeight="1" outlineLevel="1" x14ac:dyDescent="0.35">
      <c r="A4015" s="1664"/>
      <c r="B4015" s="2812"/>
      <c r="C4015" s="3077"/>
      <c r="D4015" s="3980"/>
      <c r="E4015" s="3883"/>
      <c r="F4015" s="3984" t="str">
        <f t="shared" si="445"/>
        <v>ASHP-SEER20_ER1_MF</v>
      </c>
      <c r="G4015" s="3984"/>
      <c r="H4015" s="3984"/>
      <c r="I4015" s="3984"/>
      <c r="J4015" s="3508" t="str">
        <f t="shared" si="446"/>
        <v>354700_2019_12_</v>
      </c>
      <c r="K4015" s="717">
        <v>6</v>
      </c>
      <c r="L4015" s="713"/>
      <c r="M4015" s="3022"/>
      <c r="N4015" s="106"/>
      <c r="O4015" s="106"/>
      <c r="P4015" s="702"/>
      <c r="Q4015" s="574"/>
      <c r="R4015" s="702"/>
      <c r="S4015" s="106"/>
      <c r="T4015" s="486"/>
      <c r="U4015" s="106"/>
      <c r="V4015" s="4129"/>
      <c r="W4015" s="717">
        <v>6</v>
      </c>
      <c r="X4015" s="717">
        <v>6</v>
      </c>
      <c r="Y4015" s="717">
        <v>6</v>
      </c>
      <c r="Z4015" s="717">
        <v>6</v>
      </c>
      <c r="AA4015" s="717">
        <v>6</v>
      </c>
      <c r="AB4015" s="717">
        <v>6</v>
      </c>
      <c r="AC4015" s="2930">
        <v>6</v>
      </c>
      <c r="AD4015" s="717">
        <v>6</v>
      </c>
      <c r="AE4015" s="2944"/>
      <c r="AF4015" s="717"/>
      <c r="AG4015" s="717"/>
      <c r="AH4015" s="156"/>
      <c r="AI4015" s="156"/>
      <c r="AJ4015" s="156"/>
      <c r="AK4015" s="156"/>
      <c r="AL4015" s="156"/>
      <c r="AM4015" s="156"/>
      <c r="AN4015" s="156"/>
      <c r="AO4015" s="156"/>
      <c r="AP4015" s="156"/>
      <c r="AQ4015" s="156"/>
      <c r="AR4015" s="156"/>
      <c r="AS4015" s="156"/>
      <c r="AT4015" s="156"/>
      <c r="AU4015" s="156"/>
      <c r="AV4015" s="156"/>
      <c r="AW4015" s="156"/>
      <c r="AX4015" s="156"/>
      <c r="AY4015" s="156"/>
      <c r="AZ4015" s="156"/>
      <c r="BA4015" s="156"/>
      <c r="BB4015" s="2828"/>
      <c r="BC4015" s="452"/>
      <c r="BD4015" s="2829"/>
      <c r="BE4015" s="2837"/>
      <c r="BF4015" s="156"/>
    </row>
    <row r="4016" spans="1:58" ht="14.5" customHeight="1" outlineLevel="1" x14ac:dyDescent="0.35">
      <c r="A4016" s="1664"/>
      <c r="B4016" s="2812"/>
      <c r="C4016" s="3077"/>
      <c r="D4016" s="3980"/>
      <c r="E4016" s="3883"/>
      <c r="F4016" s="3984" t="str">
        <f t="shared" si="445"/>
        <v>ASHP-SEER20_ER2_MF</v>
      </c>
      <c r="G4016" s="3984"/>
      <c r="H4016" s="3984"/>
      <c r="I4016" s="3984"/>
      <c r="J4016" s="3508" t="str">
        <f t="shared" si="446"/>
        <v>354700_2019_12_</v>
      </c>
      <c r="K4016" s="717">
        <v>12</v>
      </c>
      <c r="L4016" s="713"/>
      <c r="M4016" s="3022"/>
      <c r="N4016" s="106"/>
      <c r="O4016" s="106"/>
      <c r="P4016" s="702"/>
      <c r="Q4016" s="574"/>
      <c r="R4016" s="702"/>
      <c r="S4016" s="106"/>
      <c r="T4016" s="486"/>
      <c r="U4016" s="106"/>
      <c r="V4016" s="4129"/>
      <c r="W4016" s="717">
        <v>12</v>
      </c>
      <c r="X4016" s="717">
        <v>12</v>
      </c>
      <c r="Y4016" s="717">
        <v>12</v>
      </c>
      <c r="Z4016" s="717">
        <v>12</v>
      </c>
      <c r="AA4016" s="717">
        <v>12</v>
      </c>
      <c r="AB4016" s="717">
        <v>12</v>
      </c>
      <c r="AC4016" s="2930">
        <v>12</v>
      </c>
      <c r="AD4016" s="717">
        <v>12</v>
      </c>
      <c r="AE4016" s="2944"/>
      <c r="AF4016" s="717"/>
      <c r="AG4016" s="717"/>
      <c r="AH4016" s="156"/>
      <c r="AI4016" s="156"/>
      <c r="AJ4016" s="156"/>
      <c r="AK4016" s="156"/>
      <c r="AL4016" s="156"/>
      <c r="AM4016" s="156"/>
      <c r="AN4016" s="156"/>
      <c r="AO4016" s="156"/>
      <c r="AP4016" s="156"/>
      <c r="AQ4016" s="156"/>
      <c r="AR4016" s="156"/>
      <c r="AS4016" s="156"/>
      <c r="AT4016" s="156"/>
      <c r="AU4016" s="156"/>
      <c r="AV4016" s="156"/>
      <c r="AW4016" s="156"/>
      <c r="AX4016" s="156"/>
      <c r="AY4016" s="156"/>
      <c r="AZ4016" s="156"/>
      <c r="BA4016" s="156"/>
      <c r="BB4016" s="2828"/>
      <c r="BC4016" s="452"/>
      <c r="BD4016" s="2829"/>
      <c r="BE4016" s="2837"/>
      <c r="BF4016" s="156"/>
    </row>
    <row r="4017" spans="1:58" ht="14.5" customHeight="1" outlineLevel="1" x14ac:dyDescent="0.35">
      <c r="A4017" s="1664"/>
      <c r="B4017" s="2812"/>
      <c r="C4017" s="3077"/>
      <c r="D4017" s="3980"/>
      <c r="E4017" s="3883"/>
      <c r="F4017" s="3984" t="str">
        <f t="shared" si="445"/>
        <v>ASHP-SEER20_ER2_MF</v>
      </c>
      <c r="G4017" s="3984"/>
      <c r="H4017" s="3984"/>
      <c r="I4017" s="3984"/>
      <c r="J4017" s="3508" t="str">
        <f t="shared" si="446"/>
        <v>354700_2019_12_</v>
      </c>
      <c r="K4017" s="717">
        <v>12</v>
      </c>
      <c r="L4017" s="713"/>
      <c r="M4017" s="3022"/>
      <c r="N4017" s="106"/>
      <c r="O4017" s="106"/>
      <c r="P4017" s="702"/>
      <c r="Q4017" s="574"/>
      <c r="R4017" s="702"/>
      <c r="S4017" s="106"/>
      <c r="T4017" s="486"/>
      <c r="U4017" s="106"/>
      <c r="V4017" s="4129"/>
      <c r="W4017" s="717">
        <v>12</v>
      </c>
      <c r="X4017" s="717">
        <v>12</v>
      </c>
      <c r="Y4017" s="717">
        <v>12</v>
      </c>
      <c r="Z4017" s="717">
        <v>12</v>
      </c>
      <c r="AA4017" s="717">
        <v>12</v>
      </c>
      <c r="AB4017" s="717">
        <v>12</v>
      </c>
      <c r="AC4017" s="2930">
        <v>12</v>
      </c>
      <c r="AD4017" s="717">
        <v>12</v>
      </c>
      <c r="AE4017" s="2944"/>
      <c r="AF4017" s="717"/>
      <c r="AG4017" s="717"/>
      <c r="AH4017" s="156"/>
      <c r="AI4017" s="156"/>
      <c r="AJ4017" s="156"/>
      <c r="AK4017" s="156"/>
      <c r="AL4017" s="156"/>
      <c r="AM4017" s="156"/>
      <c r="AN4017" s="156"/>
      <c r="AO4017" s="156"/>
      <c r="AP4017" s="156"/>
      <c r="AQ4017" s="156"/>
      <c r="AR4017" s="156"/>
      <c r="AS4017" s="156"/>
      <c r="AT4017" s="156"/>
      <c r="AU4017" s="156"/>
      <c r="AV4017" s="156"/>
      <c r="AW4017" s="156"/>
      <c r="AX4017" s="156"/>
      <c r="AY4017" s="156"/>
      <c r="AZ4017" s="156"/>
      <c r="BA4017" s="156"/>
      <c r="BB4017" s="2828"/>
      <c r="BC4017" s="452"/>
      <c r="BD4017" s="2829"/>
      <c r="BE4017" s="2837"/>
      <c r="BF4017" s="156"/>
    </row>
    <row r="4018" spans="1:58" ht="14.5" customHeight="1" outlineLevel="1" x14ac:dyDescent="0.35">
      <c r="A4018" s="1664"/>
      <c r="B4018" s="2812"/>
      <c r="C4018" s="3077"/>
      <c r="D4018" s="3980"/>
      <c r="E4018" s="3883"/>
      <c r="F4018" s="3984" t="str">
        <f t="shared" si="445"/>
        <v>ASHP-SEER20_ER1_MF_CompE</v>
      </c>
      <c r="G4018" s="3984"/>
      <c r="H4018" s="3984"/>
      <c r="I4018" s="3984"/>
      <c r="J4018" s="3508" t="str">
        <f t="shared" si="446"/>
        <v>354701_2019_12_</v>
      </c>
      <c r="K4018" s="717">
        <v>6</v>
      </c>
      <c r="L4018" s="713"/>
      <c r="M4018" s="3022"/>
      <c r="N4018" s="106"/>
      <c r="O4018" s="106"/>
      <c r="P4018" s="702"/>
      <c r="Q4018" s="574"/>
      <c r="R4018" s="702"/>
      <c r="S4018" s="106"/>
      <c r="T4018" s="486"/>
      <c r="U4018" s="106"/>
      <c r="V4018" s="4129"/>
      <c r="W4018" s="717"/>
      <c r="X4018" s="717"/>
      <c r="Y4018" s="717"/>
      <c r="Z4018" s="717"/>
      <c r="AA4018" s="717"/>
      <c r="AB4018" s="717"/>
      <c r="AC4018" s="2932">
        <v>6</v>
      </c>
      <c r="AD4018" s="717">
        <v>6</v>
      </c>
      <c r="AE4018" s="2944"/>
      <c r="AF4018" s="717"/>
      <c r="AG4018" s="717"/>
      <c r="AH4018" s="156"/>
      <c r="AI4018" s="156"/>
      <c r="AJ4018" s="156"/>
      <c r="AK4018" s="156"/>
      <c r="AL4018" s="156"/>
      <c r="AM4018" s="156"/>
      <c r="AN4018" s="156"/>
      <c r="AO4018" s="156"/>
      <c r="AP4018" s="156"/>
      <c r="AQ4018" s="156"/>
      <c r="AR4018" s="156"/>
      <c r="AS4018" s="156"/>
      <c r="AT4018" s="156"/>
      <c r="AU4018" s="156"/>
      <c r="AV4018" s="156"/>
      <c r="AW4018" s="156"/>
      <c r="AX4018" s="156"/>
      <c r="AY4018" s="156"/>
      <c r="AZ4018" s="156"/>
      <c r="BA4018" s="156"/>
      <c r="BB4018" s="2828"/>
      <c r="BC4018" s="452"/>
      <c r="BD4018" s="2829"/>
      <c r="BE4018" s="2837"/>
      <c r="BF4018" s="156"/>
    </row>
    <row r="4019" spans="1:58" ht="14.5" customHeight="1" outlineLevel="1" x14ac:dyDescent="0.35">
      <c r="A4019" s="1664"/>
      <c r="B4019" s="2812"/>
      <c r="C4019" s="3077"/>
      <c r="D4019" s="3980"/>
      <c r="E4019" s="3883"/>
      <c r="F4019" s="3984" t="str">
        <f t="shared" si="445"/>
        <v>ASHP-SEER20_ER1_MF_CompE</v>
      </c>
      <c r="G4019" s="3984"/>
      <c r="H4019" s="3984"/>
      <c r="I4019" s="3984"/>
      <c r="J4019" s="3508" t="str">
        <f t="shared" si="446"/>
        <v>354701_2019_12_</v>
      </c>
      <c r="K4019" s="717">
        <v>6</v>
      </c>
      <c r="L4019" s="713"/>
      <c r="M4019" s="3022"/>
      <c r="N4019" s="106"/>
      <c r="O4019" s="106"/>
      <c r="P4019" s="702"/>
      <c r="Q4019" s="574"/>
      <c r="R4019" s="702"/>
      <c r="S4019" s="106"/>
      <c r="T4019" s="486"/>
      <c r="U4019" s="106"/>
      <c r="V4019" s="4129"/>
      <c r="W4019" s="717"/>
      <c r="X4019" s="717"/>
      <c r="Y4019" s="717"/>
      <c r="Z4019" s="717"/>
      <c r="AA4019" s="717"/>
      <c r="AB4019" s="717"/>
      <c r="AC4019" s="2932">
        <v>6</v>
      </c>
      <c r="AD4019" s="717">
        <v>6</v>
      </c>
      <c r="AE4019" s="2944"/>
      <c r="AF4019" s="717"/>
      <c r="AG4019" s="717"/>
      <c r="AH4019" s="156"/>
      <c r="AI4019" s="156"/>
      <c r="AJ4019" s="156"/>
      <c r="AK4019" s="156"/>
      <c r="AL4019" s="156"/>
      <c r="AM4019" s="156"/>
      <c r="AN4019" s="156"/>
      <c r="AO4019" s="156"/>
      <c r="AP4019" s="156"/>
      <c r="AQ4019" s="156"/>
      <c r="AR4019" s="156"/>
      <c r="AS4019" s="156"/>
      <c r="AT4019" s="156"/>
      <c r="AU4019" s="156"/>
      <c r="AV4019" s="156"/>
      <c r="AW4019" s="156"/>
      <c r="AX4019" s="156"/>
      <c r="AY4019" s="156"/>
      <c r="AZ4019" s="156"/>
      <c r="BA4019" s="156"/>
      <c r="BB4019" s="2828"/>
      <c r="BC4019" s="452"/>
      <c r="BD4019" s="2829"/>
      <c r="BE4019" s="2837"/>
      <c r="BF4019" s="156"/>
    </row>
    <row r="4020" spans="1:58" ht="14.5" customHeight="1" outlineLevel="1" x14ac:dyDescent="0.35">
      <c r="A4020" s="1664"/>
      <c r="B4020" s="2812"/>
      <c r="C4020" s="3077"/>
      <c r="D4020" s="3980"/>
      <c r="E4020" s="3883"/>
      <c r="F4020" s="3984" t="str">
        <f t="shared" si="445"/>
        <v>ASHP-SEER20_ER2_MF_CompE</v>
      </c>
      <c r="G4020" s="3984"/>
      <c r="H4020" s="3984"/>
      <c r="I4020" s="3984"/>
      <c r="J4020" s="3508" t="str">
        <f t="shared" si="446"/>
        <v>354701_2019_12_</v>
      </c>
      <c r="K4020" s="717">
        <v>12</v>
      </c>
      <c r="L4020" s="713"/>
      <c r="M4020" s="3022"/>
      <c r="N4020" s="106"/>
      <c r="O4020" s="106"/>
      <c r="P4020" s="702"/>
      <c r="Q4020" s="574"/>
      <c r="R4020" s="702"/>
      <c r="S4020" s="106"/>
      <c r="T4020" s="486"/>
      <c r="U4020" s="106"/>
      <c r="V4020" s="4129"/>
      <c r="W4020" s="717"/>
      <c r="X4020" s="717"/>
      <c r="Y4020" s="717"/>
      <c r="Z4020" s="717"/>
      <c r="AA4020" s="717"/>
      <c r="AB4020" s="717"/>
      <c r="AC4020" s="2932">
        <v>12</v>
      </c>
      <c r="AD4020" s="717">
        <v>12</v>
      </c>
      <c r="AE4020" s="2944"/>
      <c r="AF4020" s="717"/>
      <c r="AG4020" s="717"/>
      <c r="AH4020" s="156"/>
      <c r="AI4020" s="156"/>
      <c r="AJ4020" s="156"/>
      <c r="AK4020" s="156"/>
      <c r="AL4020" s="156"/>
      <c r="AM4020" s="156"/>
      <c r="AN4020" s="156"/>
      <c r="AO4020" s="156"/>
      <c r="AP4020" s="156"/>
      <c r="AQ4020" s="156"/>
      <c r="AR4020" s="156"/>
      <c r="AS4020" s="156"/>
      <c r="AT4020" s="156"/>
      <c r="AU4020" s="156"/>
      <c r="AV4020" s="156"/>
      <c r="AW4020" s="156"/>
      <c r="AX4020" s="156"/>
      <c r="AY4020" s="156"/>
      <c r="AZ4020" s="156"/>
      <c r="BA4020" s="156"/>
      <c r="BB4020" s="2828"/>
      <c r="BC4020" s="452"/>
      <c r="BD4020" s="2829"/>
      <c r="BE4020" s="2837"/>
      <c r="BF4020" s="156"/>
    </row>
    <row r="4021" spans="1:58" ht="14.5" customHeight="1" outlineLevel="1" x14ac:dyDescent="0.35">
      <c r="A4021" s="1664"/>
      <c r="B4021" s="2812"/>
      <c r="C4021" s="3077"/>
      <c r="D4021" s="3980"/>
      <c r="E4021" s="3883"/>
      <c r="F4021" s="3984" t="str">
        <f t="shared" si="445"/>
        <v>ASHP-SEER20_ER2_MF_CompE</v>
      </c>
      <c r="G4021" s="3984"/>
      <c r="H4021" s="3984"/>
      <c r="I4021" s="3984"/>
      <c r="J4021" s="3508" t="str">
        <f t="shared" si="446"/>
        <v>354701_2019_12_</v>
      </c>
      <c r="K4021" s="717">
        <v>12</v>
      </c>
      <c r="L4021" s="713"/>
      <c r="M4021" s="3022"/>
      <c r="N4021" s="106"/>
      <c r="O4021" s="106"/>
      <c r="P4021" s="702"/>
      <c r="Q4021" s="574"/>
      <c r="R4021" s="702"/>
      <c r="S4021" s="106"/>
      <c r="T4021" s="486"/>
      <c r="U4021" s="106"/>
      <c r="V4021" s="4129"/>
      <c r="W4021" s="717"/>
      <c r="X4021" s="717"/>
      <c r="Y4021" s="717"/>
      <c r="Z4021" s="717"/>
      <c r="AA4021" s="717"/>
      <c r="AB4021" s="717"/>
      <c r="AC4021" s="2932">
        <v>12</v>
      </c>
      <c r="AD4021" s="717">
        <v>12</v>
      </c>
      <c r="AE4021" s="2944"/>
      <c r="AF4021" s="717"/>
      <c r="AG4021" s="717"/>
      <c r="AH4021" s="156"/>
      <c r="AI4021" s="156"/>
      <c r="AJ4021" s="156"/>
      <c r="AK4021" s="156"/>
      <c r="AL4021" s="156"/>
      <c r="AM4021" s="156"/>
      <c r="AN4021" s="156"/>
      <c r="AO4021" s="156"/>
      <c r="AP4021" s="156"/>
      <c r="AQ4021" s="156"/>
      <c r="AR4021" s="156"/>
      <c r="AS4021" s="156"/>
      <c r="AT4021" s="156"/>
      <c r="AU4021" s="156"/>
      <c r="AV4021" s="156"/>
      <c r="AW4021" s="156"/>
      <c r="AX4021" s="156"/>
      <c r="AY4021" s="156"/>
      <c r="AZ4021" s="156"/>
      <c r="BA4021" s="156"/>
      <c r="BB4021" s="2828"/>
      <c r="BC4021" s="452"/>
      <c r="BD4021" s="2829"/>
      <c r="BE4021" s="2837"/>
      <c r="BF4021" s="156"/>
    </row>
    <row r="4022" spans="1:58" ht="14.5" customHeight="1" outlineLevel="1" x14ac:dyDescent="0.35">
      <c r="A4022" s="1664"/>
      <c r="B4022" s="2812"/>
      <c r="C4022" s="3077"/>
      <c r="D4022" s="3980"/>
      <c r="E4022" s="3883"/>
      <c r="F4022" s="3984" t="str">
        <f t="shared" si="445"/>
        <v>ASHP-SEER21_ER1_SF</v>
      </c>
      <c r="G4022" s="3984"/>
      <c r="H4022" s="3984"/>
      <c r="I4022" s="3984"/>
      <c r="J4022" s="3508" t="str">
        <f t="shared" si="446"/>
        <v>354750_2021_12_</v>
      </c>
      <c r="K4022" s="717">
        <v>6</v>
      </c>
      <c r="L4022" s="713"/>
      <c r="M4022" s="3022"/>
      <c r="N4022" s="106"/>
      <c r="O4022" s="106"/>
      <c r="P4022" s="702"/>
      <c r="Q4022" s="574"/>
      <c r="R4022" s="702"/>
      <c r="S4022" s="106"/>
      <c r="T4022" s="486"/>
      <c r="U4022" s="106"/>
      <c r="V4022" s="4129"/>
      <c r="W4022" s="717">
        <v>6</v>
      </c>
      <c r="X4022" s="717">
        <v>6</v>
      </c>
      <c r="Y4022" s="717">
        <v>6</v>
      </c>
      <c r="Z4022" s="717">
        <v>6</v>
      </c>
      <c r="AA4022" s="717">
        <v>6</v>
      </c>
      <c r="AB4022" s="717">
        <v>6</v>
      </c>
      <c r="AC4022" s="2930">
        <v>6</v>
      </c>
      <c r="AD4022" s="717">
        <v>6</v>
      </c>
      <c r="AE4022" s="2944"/>
      <c r="AF4022" s="717"/>
      <c r="AG4022" s="717"/>
      <c r="AH4022" s="156"/>
      <c r="AI4022" s="156"/>
      <c r="AJ4022" s="156"/>
      <c r="AK4022" s="156"/>
      <c r="AL4022" s="156"/>
      <c r="AM4022" s="156"/>
      <c r="AN4022" s="156"/>
      <c r="AO4022" s="156"/>
      <c r="AP4022" s="156"/>
      <c r="AQ4022" s="156"/>
      <c r="AR4022" s="156"/>
      <c r="AS4022" s="156"/>
      <c r="AT4022" s="156"/>
      <c r="AU4022" s="156"/>
      <c r="AV4022" s="156"/>
      <c r="AW4022" s="156"/>
      <c r="AX4022" s="156"/>
      <c r="AY4022" s="156"/>
      <c r="AZ4022" s="156"/>
      <c r="BA4022" s="156"/>
      <c r="BB4022" s="2828"/>
      <c r="BC4022" s="452"/>
      <c r="BD4022" s="2829"/>
      <c r="BE4022" s="2837"/>
      <c r="BF4022" s="156"/>
    </row>
    <row r="4023" spans="1:58" ht="14.5" customHeight="1" outlineLevel="1" x14ac:dyDescent="0.35">
      <c r="A4023" s="1664"/>
      <c r="B4023" s="2812"/>
      <c r="C4023" s="3077"/>
      <c r="D4023" s="3980"/>
      <c r="E4023" s="3883"/>
      <c r="F4023" s="3984" t="str">
        <f t="shared" si="445"/>
        <v>ASHP-SEER21_ER1_SF</v>
      </c>
      <c r="G4023" s="3984"/>
      <c r="H4023" s="3984"/>
      <c r="I4023" s="3984"/>
      <c r="J4023" s="3508" t="str">
        <f t="shared" si="446"/>
        <v>354750_2021_12_</v>
      </c>
      <c r="K4023" s="717">
        <v>6</v>
      </c>
      <c r="L4023" s="713"/>
      <c r="M4023" s="3022"/>
      <c r="N4023" s="106"/>
      <c r="O4023" s="106"/>
      <c r="P4023" s="702"/>
      <c r="Q4023" s="574"/>
      <c r="R4023" s="702"/>
      <c r="S4023" s="106"/>
      <c r="T4023" s="486"/>
      <c r="U4023" s="106"/>
      <c r="V4023" s="4129"/>
      <c r="W4023" s="717">
        <v>6</v>
      </c>
      <c r="X4023" s="717">
        <v>6</v>
      </c>
      <c r="Y4023" s="717">
        <v>6</v>
      </c>
      <c r="Z4023" s="717">
        <v>6</v>
      </c>
      <c r="AA4023" s="717">
        <v>6</v>
      </c>
      <c r="AB4023" s="717">
        <v>6</v>
      </c>
      <c r="AC4023" s="2930">
        <v>6</v>
      </c>
      <c r="AD4023" s="717">
        <v>6</v>
      </c>
      <c r="AE4023" s="2944"/>
      <c r="AF4023" s="717"/>
      <c r="AG4023" s="717"/>
      <c r="AH4023" s="156"/>
      <c r="AI4023" s="156"/>
      <c r="AJ4023" s="156"/>
      <c r="AK4023" s="156"/>
      <c r="AL4023" s="156"/>
      <c r="AM4023" s="156"/>
      <c r="AN4023" s="156"/>
      <c r="AO4023" s="156"/>
      <c r="AP4023" s="156"/>
      <c r="AQ4023" s="156"/>
      <c r="AR4023" s="156"/>
      <c r="AS4023" s="156"/>
      <c r="AT4023" s="156"/>
      <c r="AU4023" s="156"/>
      <c r="AV4023" s="156"/>
      <c r="AW4023" s="156"/>
      <c r="AX4023" s="156"/>
      <c r="AY4023" s="156"/>
      <c r="AZ4023" s="156"/>
      <c r="BA4023" s="156"/>
      <c r="BB4023" s="2828"/>
      <c r="BC4023" s="452"/>
      <c r="BD4023" s="2829"/>
      <c r="BE4023" s="2837"/>
      <c r="BF4023" s="156"/>
    </row>
    <row r="4024" spans="1:58" ht="14.5" customHeight="1" outlineLevel="1" x14ac:dyDescent="0.35">
      <c r="A4024" s="1664"/>
      <c r="B4024" s="2812"/>
      <c r="C4024" s="3077"/>
      <c r="D4024" s="3980"/>
      <c r="E4024" s="3883"/>
      <c r="F4024" s="3984" t="str">
        <f t="shared" si="445"/>
        <v>ASHP-SEER21_ER2_SF</v>
      </c>
      <c r="G4024" s="3984"/>
      <c r="H4024" s="3984"/>
      <c r="I4024" s="3984"/>
      <c r="J4024" s="3508" t="str">
        <f t="shared" si="446"/>
        <v>354750_2021_12_</v>
      </c>
      <c r="K4024" s="717">
        <v>12</v>
      </c>
      <c r="L4024" s="713"/>
      <c r="M4024" s="3022"/>
      <c r="N4024" s="106"/>
      <c r="O4024" s="106"/>
      <c r="P4024" s="702"/>
      <c r="Q4024" s="574"/>
      <c r="R4024" s="702"/>
      <c r="S4024" s="106"/>
      <c r="T4024" s="486"/>
      <c r="U4024" s="106"/>
      <c r="V4024" s="4129"/>
      <c r="W4024" s="717">
        <v>12</v>
      </c>
      <c r="X4024" s="717">
        <v>12</v>
      </c>
      <c r="Y4024" s="717">
        <v>12</v>
      </c>
      <c r="Z4024" s="717">
        <v>12</v>
      </c>
      <c r="AA4024" s="717">
        <v>12</v>
      </c>
      <c r="AB4024" s="717">
        <v>12</v>
      </c>
      <c r="AC4024" s="2930">
        <v>12</v>
      </c>
      <c r="AD4024" s="717">
        <v>12</v>
      </c>
      <c r="AE4024" s="2944"/>
      <c r="AF4024" s="717"/>
      <c r="AG4024" s="717"/>
      <c r="AH4024" s="156"/>
      <c r="AI4024" s="156"/>
      <c r="AJ4024" s="156"/>
      <c r="AK4024" s="156"/>
      <c r="AL4024" s="156"/>
      <c r="AM4024" s="156"/>
      <c r="AN4024" s="156"/>
      <c r="AO4024" s="156"/>
      <c r="AP4024" s="156"/>
      <c r="AQ4024" s="156"/>
      <c r="AR4024" s="156"/>
      <c r="AS4024" s="156"/>
      <c r="AT4024" s="156"/>
      <c r="AU4024" s="156"/>
      <c r="AV4024" s="156"/>
      <c r="AW4024" s="156"/>
      <c r="AX4024" s="156"/>
      <c r="AY4024" s="156"/>
      <c r="AZ4024" s="156"/>
      <c r="BA4024" s="156"/>
      <c r="BB4024" s="2828"/>
      <c r="BC4024" s="452"/>
      <c r="BD4024" s="2829"/>
      <c r="BE4024" s="2837"/>
      <c r="BF4024" s="156"/>
    </row>
    <row r="4025" spans="1:58" ht="14.5" customHeight="1" outlineLevel="1" x14ac:dyDescent="0.35">
      <c r="A4025" s="1664"/>
      <c r="B4025" s="2812"/>
      <c r="C4025" s="3077"/>
      <c r="D4025" s="3980"/>
      <c r="E4025" s="3883"/>
      <c r="F4025" s="3984" t="str">
        <f t="shared" si="445"/>
        <v>ASHP-SEER21_ER2_SF</v>
      </c>
      <c r="G4025" s="3984"/>
      <c r="H4025" s="3984"/>
      <c r="I4025" s="3984"/>
      <c r="J4025" s="3508" t="str">
        <f t="shared" si="446"/>
        <v>354750_2021_12_</v>
      </c>
      <c r="K4025" s="717">
        <v>12</v>
      </c>
      <c r="L4025" s="713"/>
      <c r="M4025" s="3022"/>
      <c r="N4025" s="106"/>
      <c r="O4025" s="106"/>
      <c r="P4025" s="702"/>
      <c r="Q4025" s="574"/>
      <c r="R4025" s="702"/>
      <c r="S4025" s="106"/>
      <c r="T4025" s="486"/>
      <c r="U4025" s="106"/>
      <c r="V4025" s="4129"/>
      <c r="W4025" s="717">
        <v>12</v>
      </c>
      <c r="X4025" s="717">
        <v>12</v>
      </c>
      <c r="Y4025" s="717">
        <v>12</v>
      </c>
      <c r="Z4025" s="717">
        <v>12</v>
      </c>
      <c r="AA4025" s="717">
        <v>12</v>
      </c>
      <c r="AB4025" s="717">
        <v>12</v>
      </c>
      <c r="AC4025" s="2930">
        <v>12</v>
      </c>
      <c r="AD4025" s="717">
        <v>12</v>
      </c>
      <c r="AE4025" s="2944"/>
      <c r="AF4025" s="717"/>
      <c r="AG4025" s="717"/>
      <c r="AH4025" s="156"/>
      <c r="AI4025" s="156"/>
      <c r="AJ4025" s="156"/>
      <c r="AK4025" s="156"/>
      <c r="AL4025" s="156"/>
      <c r="AM4025" s="156"/>
      <c r="AN4025" s="156"/>
      <c r="AO4025" s="156"/>
      <c r="AP4025" s="156"/>
      <c r="AQ4025" s="156"/>
      <c r="AR4025" s="156"/>
      <c r="AS4025" s="156"/>
      <c r="AT4025" s="156"/>
      <c r="AU4025" s="156"/>
      <c r="AV4025" s="156"/>
      <c r="AW4025" s="156"/>
      <c r="AX4025" s="156"/>
      <c r="AY4025" s="156"/>
      <c r="AZ4025" s="156"/>
      <c r="BA4025" s="156"/>
      <c r="BB4025" s="2828"/>
      <c r="BC4025" s="452"/>
      <c r="BD4025" s="2829"/>
      <c r="BE4025" s="2837"/>
      <c r="BF4025" s="156"/>
    </row>
    <row r="4026" spans="1:58" ht="14.5" customHeight="1" outlineLevel="1" x14ac:dyDescent="0.35">
      <c r="A4026" s="1664"/>
      <c r="B4026" s="2812"/>
      <c r="C4026" s="3077"/>
      <c r="D4026" s="3980"/>
      <c r="E4026" s="3883"/>
      <c r="F4026" s="3984" t="str">
        <f t="shared" si="445"/>
        <v>ASHP-SEER21_ROF_SF</v>
      </c>
      <c r="G4026" s="3984"/>
      <c r="H4026" s="3984"/>
      <c r="I4026" s="3984"/>
      <c r="J4026" s="3508" t="str">
        <f t="shared" si="446"/>
        <v>354800_2021_12_</v>
      </c>
      <c r="K4026" s="717">
        <v>18</v>
      </c>
      <c r="L4026" s="713"/>
      <c r="M4026" s="3022"/>
      <c r="N4026" s="106"/>
      <c r="O4026" s="106"/>
      <c r="P4026" s="702"/>
      <c r="Q4026" s="574"/>
      <c r="R4026" s="702"/>
      <c r="S4026" s="106"/>
      <c r="T4026" s="486"/>
      <c r="U4026" s="106"/>
      <c r="V4026" s="4129"/>
      <c r="W4026" s="717">
        <v>18</v>
      </c>
      <c r="X4026" s="717">
        <v>18</v>
      </c>
      <c r="Y4026" s="717">
        <v>18</v>
      </c>
      <c r="Z4026" s="717">
        <v>18</v>
      </c>
      <c r="AA4026" s="717">
        <v>18</v>
      </c>
      <c r="AB4026" s="717">
        <v>18</v>
      </c>
      <c r="AC4026" s="2930">
        <v>18</v>
      </c>
      <c r="AD4026" s="717">
        <v>18</v>
      </c>
      <c r="AE4026" s="2944"/>
      <c r="AF4026" s="717"/>
      <c r="AG4026" s="717"/>
      <c r="AH4026" s="156"/>
      <c r="AI4026" s="156"/>
      <c r="AJ4026" s="156"/>
      <c r="AK4026" s="156"/>
      <c r="AL4026" s="156"/>
      <c r="AM4026" s="156"/>
      <c r="AN4026" s="156"/>
      <c r="AO4026" s="156"/>
      <c r="AP4026" s="156"/>
      <c r="AQ4026" s="156"/>
      <c r="AR4026" s="156"/>
      <c r="AS4026" s="156"/>
      <c r="AT4026" s="156"/>
      <c r="AU4026" s="156"/>
      <c r="AV4026" s="156"/>
      <c r="AW4026" s="156"/>
      <c r="AX4026" s="156"/>
      <c r="AY4026" s="156"/>
      <c r="AZ4026" s="156"/>
      <c r="BA4026" s="156"/>
      <c r="BB4026" s="2828"/>
      <c r="BC4026" s="452"/>
      <c r="BD4026" s="2829"/>
      <c r="BE4026" s="2837"/>
      <c r="BF4026" s="156"/>
    </row>
    <row r="4027" spans="1:58" ht="14.5" customHeight="1" outlineLevel="1" x14ac:dyDescent="0.35">
      <c r="A4027" s="1664"/>
      <c r="B4027" s="2812"/>
      <c r="C4027" s="3077"/>
      <c r="D4027" s="3980"/>
      <c r="E4027" s="3883"/>
      <c r="F4027" s="3984" t="str">
        <f t="shared" si="445"/>
        <v>ASHP-SEER21_ROF_SF</v>
      </c>
      <c r="G4027" s="3984"/>
      <c r="H4027" s="3984"/>
      <c r="I4027" s="3984"/>
      <c r="J4027" s="3508" t="str">
        <f t="shared" si="446"/>
        <v>354800_2021_12_</v>
      </c>
      <c r="K4027" s="717">
        <v>18</v>
      </c>
      <c r="L4027" s="713"/>
      <c r="M4027" s="3022"/>
      <c r="N4027" s="106"/>
      <c r="O4027" s="106"/>
      <c r="P4027" s="702"/>
      <c r="Q4027" s="574"/>
      <c r="R4027" s="702"/>
      <c r="S4027" s="106"/>
      <c r="T4027" s="486"/>
      <c r="U4027" s="106"/>
      <c r="V4027" s="4129"/>
      <c r="W4027" s="717">
        <v>18</v>
      </c>
      <c r="X4027" s="717">
        <v>18</v>
      </c>
      <c r="Y4027" s="717">
        <v>18</v>
      </c>
      <c r="Z4027" s="717">
        <v>18</v>
      </c>
      <c r="AA4027" s="717">
        <v>18</v>
      </c>
      <c r="AB4027" s="717">
        <v>18</v>
      </c>
      <c r="AC4027" s="2930">
        <v>18</v>
      </c>
      <c r="AD4027" s="717">
        <v>18</v>
      </c>
      <c r="AE4027" s="2944"/>
      <c r="AF4027" s="717"/>
      <c r="AG4027" s="717"/>
      <c r="AH4027" s="156"/>
      <c r="AI4027" s="156"/>
      <c r="AJ4027" s="156"/>
      <c r="AK4027" s="156"/>
      <c r="AL4027" s="156"/>
      <c r="AM4027" s="156"/>
      <c r="AN4027" s="156"/>
      <c r="AO4027" s="156"/>
      <c r="AP4027" s="156"/>
      <c r="AQ4027" s="156"/>
      <c r="AR4027" s="156"/>
      <c r="AS4027" s="156"/>
      <c r="AT4027" s="156"/>
      <c r="AU4027" s="156"/>
      <c r="AV4027" s="156"/>
      <c r="AW4027" s="156"/>
      <c r="AX4027" s="156"/>
      <c r="AY4027" s="156"/>
      <c r="AZ4027" s="156"/>
      <c r="BA4027" s="156"/>
      <c r="BB4027" s="2828"/>
      <c r="BC4027" s="452"/>
      <c r="BD4027" s="2829"/>
      <c r="BE4027" s="2837"/>
      <c r="BF4027" s="156"/>
    </row>
    <row r="4028" spans="1:58" ht="14.5" customHeight="1" outlineLevel="1" x14ac:dyDescent="0.35">
      <c r="A4028" s="1664"/>
      <c r="B4028" s="2812"/>
      <c r="C4028" s="3077"/>
      <c r="D4028" s="3980"/>
      <c r="E4028" s="3883"/>
      <c r="F4028" s="3984" t="str">
        <f t="shared" si="445"/>
        <v>ASHP-SEER21-Replace_CAC_ElectricHeat_ROF_MF</v>
      </c>
      <c r="G4028" s="3984"/>
      <c r="H4028" s="3984"/>
      <c r="I4028" s="3984"/>
      <c r="J4028" s="3508" t="str">
        <f t="shared" si="446"/>
        <v>354850_2019_12_</v>
      </c>
      <c r="K4028" s="717">
        <v>18</v>
      </c>
      <c r="L4028" s="713"/>
      <c r="M4028" s="3022"/>
      <c r="N4028" s="106"/>
      <c r="O4028" s="106"/>
      <c r="P4028" s="702"/>
      <c r="Q4028" s="574"/>
      <c r="R4028" s="702"/>
      <c r="S4028" s="106"/>
      <c r="T4028" s="486"/>
      <c r="U4028" s="106"/>
      <c r="V4028" s="4129"/>
      <c r="W4028" s="717">
        <v>18</v>
      </c>
      <c r="X4028" s="717">
        <v>18</v>
      </c>
      <c r="Y4028" s="717">
        <v>18</v>
      </c>
      <c r="Z4028" s="717">
        <v>18</v>
      </c>
      <c r="AA4028" s="717">
        <v>18</v>
      </c>
      <c r="AB4028" s="717">
        <v>18</v>
      </c>
      <c r="AC4028" s="2930">
        <v>18</v>
      </c>
      <c r="AD4028" s="717">
        <v>18</v>
      </c>
      <c r="AE4028" s="2944"/>
      <c r="AF4028" s="717"/>
      <c r="AG4028" s="717"/>
      <c r="AH4028" s="156"/>
      <c r="AI4028" s="156"/>
      <c r="AJ4028" s="156"/>
      <c r="AK4028" s="156"/>
      <c r="AL4028" s="156"/>
      <c r="AM4028" s="156"/>
      <c r="AN4028" s="156"/>
      <c r="AO4028" s="156"/>
      <c r="AP4028" s="156"/>
      <c r="AQ4028" s="156"/>
      <c r="AR4028" s="156"/>
      <c r="AS4028" s="156"/>
      <c r="AT4028" s="156"/>
      <c r="AU4028" s="156"/>
      <c r="AV4028" s="156"/>
      <c r="AW4028" s="156"/>
      <c r="AX4028" s="156"/>
      <c r="AY4028" s="156"/>
      <c r="AZ4028" s="156"/>
      <c r="BA4028" s="156"/>
      <c r="BB4028" s="2828"/>
      <c r="BC4028" s="452"/>
      <c r="BD4028" s="2829"/>
      <c r="BE4028" s="2837"/>
      <c r="BF4028" s="156"/>
    </row>
    <row r="4029" spans="1:58" ht="14.5" customHeight="1" outlineLevel="1" x14ac:dyDescent="0.35">
      <c r="A4029" s="1664"/>
      <c r="B4029" s="2812"/>
      <c r="C4029" s="3077"/>
      <c r="D4029" s="3980"/>
      <c r="E4029" s="3883"/>
      <c r="F4029" s="3984" t="str">
        <f t="shared" si="445"/>
        <v>ASHP-SEER21-Replace_CAC_ElectricHeat_ROF_MF</v>
      </c>
      <c r="G4029" s="3984"/>
      <c r="H4029" s="3984"/>
      <c r="I4029" s="3984"/>
      <c r="J4029" s="3508" t="str">
        <f t="shared" si="446"/>
        <v>354850_2019_12_</v>
      </c>
      <c r="K4029" s="717">
        <v>18</v>
      </c>
      <c r="L4029" s="713"/>
      <c r="M4029" s="3022"/>
      <c r="N4029" s="106"/>
      <c r="O4029" s="106"/>
      <c r="P4029" s="702"/>
      <c r="Q4029" s="574"/>
      <c r="R4029" s="702"/>
      <c r="S4029" s="106"/>
      <c r="T4029" s="486"/>
      <c r="U4029" s="106"/>
      <c r="V4029" s="4129"/>
      <c r="W4029" s="717">
        <v>18</v>
      </c>
      <c r="X4029" s="717">
        <v>18</v>
      </c>
      <c r="Y4029" s="717">
        <v>18</v>
      </c>
      <c r="Z4029" s="717">
        <v>18</v>
      </c>
      <c r="AA4029" s="717">
        <v>18</v>
      </c>
      <c r="AB4029" s="717">
        <v>18</v>
      </c>
      <c r="AC4029" s="2930">
        <v>18</v>
      </c>
      <c r="AD4029" s="717">
        <v>18</v>
      </c>
      <c r="AE4029" s="2944"/>
      <c r="AF4029" s="717"/>
      <c r="AG4029" s="717"/>
      <c r="AH4029" s="156"/>
      <c r="AI4029" s="156"/>
      <c r="AJ4029" s="156"/>
      <c r="AK4029" s="156"/>
      <c r="AL4029" s="156"/>
      <c r="AM4029" s="156"/>
      <c r="AN4029" s="156"/>
      <c r="AO4029" s="156"/>
      <c r="AP4029" s="156"/>
      <c r="AQ4029" s="156"/>
      <c r="AR4029" s="156"/>
      <c r="AS4029" s="156"/>
      <c r="AT4029" s="156"/>
      <c r="AU4029" s="156"/>
      <c r="AV4029" s="156"/>
      <c r="AW4029" s="156"/>
      <c r="AX4029" s="156"/>
      <c r="AY4029" s="156"/>
      <c r="AZ4029" s="156"/>
      <c r="BA4029" s="156"/>
      <c r="BB4029" s="2828"/>
      <c r="BC4029" s="452"/>
      <c r="BD4029" s="2829"/>
      <c r="BE4029" s="2837"/>
      <c r="BF4029" s="156"/>
    </row>
    <row r="4030" spans="1:58" ht="14.5" customHeight="1" outlineLevel="1" x14ac:dyDescent="0.35">
      <c r="A4030" s="1664"/>
      <c r="B4030" s="2812"/>
      <c r="C4030" s="3077"/>
      <c r="D4030" s="3980"/>
      <c r="E4030" s="3883"/>
      <c r="F4030" s="3984" t="str">
        <f t="shared" ref="F4030:F4061" si="447">E1886</f>
        <v>ASHP-SEER21-Replace_CAC_ElectricHeat_ROF_MF_CompE</v>
      </c>
      <c r="G4030" s="3984"/>
      <c r="H4030" s="3984"/>
      <c r="I4030" s="3984"/>
      <c r="J4030" s="3508" t="str">
        <f t="shared" ref="J4030:J4061" si="448">C1886</f>
        <v>354851_2019_12_</v>
      </c>
      <c r="K4030" s="717">
        <v>18</v>
      </c>
      <c r="L4030" s="713"/>
      <c r="M4030" s="3022"/>
      <c r="N4030" s="106"/>
      <c r="O4030" s="106"/>
      <c r="P4030" s="702"/>
      <c r="Q4030" s="574"/>
      <c r="R4030" s="702"/>
      <c r="S4030" s="106"/>
      <c r="T4030" s="486"/>
      <c r="U4030" s="106"/>
      <c r="V4030" s="4129"/>
      <c r="W4030" s="717"/>
      <c r="X4030" s="717"/>
      <c r="Y4030" s="717"/>
      <c r="Z4030" s="717"/>
      <c r="AA4030" s="717"/>
      <c r="AB4030" s="717"/>
      <c r="AC4030" s="2932">
        <v>18</v>
      </c>
      <c r="AD4030" s="717">
        <v>18</v>
      </c>
      <c r="AE4030" s="2944"/>
      <c r="AF4030" s="717"/>
      <c r="AG4030" s="717"/>
      <c r="AH4030" s="156"/>
      <c r="AI4030" s="156"/>
      <c r="AJ4030" s="156"/>
      <c r="AK4030" s="156"/>
      <c r="AL4030" s="156"/>
      <c r="AM4030" s="156"/>
      <c r="AN4030" s="156"/>
      <c r="AO4030" s="156"/>
      <c r="AP4030" s="156"/>
      <c r="AQ4030" s="156"/>
      <c r="AR4030" s="156"/>
      <c r="AS4030" s="156"/>
      <c r="AT4030" s="156"/>
      <c r="AU4030" s="156"/>
      <c r="AV4030" s="156"/>
      <c r="AW4030" s="156"/>
      <c r="AX4030" s="156"/>
      <c r="AY4030" s="156"/>
      <c r="AZ4030" s="156"/>
      <c r="BA4030" s="156"/>
      <c r="BB4030" s="2828"/>
      <c r="BC4030" s="452"/>
      <c r="BD4030" s="2829"/>
      <c r="BE4030" s="2837"/>
      <c r="BF4030" s="156"/>
    </row>
    <row r="4031" spans="1:58" ht="14.5" customHeight="1" outlineLevel="1" x14ac:dyDescent="0.35">
      <c r="A4031" s="1664"/>
      <c r="B4031" s="2812"/>
      <c r="C4031" s="3077"/>
      <c r="D4031" s="3980"/>
      <c r="E4031" s="3883"/>
      <c r="F4031" s="3984" t="str">
        <f t="shared" si="447"/>
        <v>ASHP-SEER21-Replace_CAC_ElectricHeat_ROF_MF_CompE</v>
      </c>
      <c r="G4031" s="3984"/>
      <c r="H4031" s="3984"/>
      <c r="I4031" s="3984"/>
      <c r="J4031" s="3508" t="str">
        <f t="shared" si="448"/>
        <v>354851_2019_12_</v>
      </c>
      <c r="K4031" s="717">
        <v>18</v>
      </c>
      <c r="L4031" s="713"/>
      <c r="M4031" s="3022"/>
      <c r="N4031" s="106"/>
      <c r="O4031" s="106"/>
      <c r="P4031" s="702"/>
      <c r="Q4031" s="574"/>
      <c r="R4031" s="702"/>
      <c r="S4031" s="106"/>
      <c r="T4031" s="486"/>
      <c r="U4031" s="106"/>
      <c r="V4031" s="4129"/>
      <c r="W4031" s="717"/>
      <c r="X4031" s="717"/>
      <c r="Y4031" s="717"/>
      <c r="Z4031" s="717"/>
      <c r="AA4031" s="717"/>
      <c r="AB4031" s="717"/>
      <c r="AC4031" s="2932">
        <v>18</v>
      </c>
      <c r="AD4031" s="717">
        <v>18</v>
      </c>
      <c r="AE4031" s="2944"/>
      <c r="AF4031" s="717"/>
      <c r="AG4031" s="717"/>
      <c r="AH4031" s="156"/>
      <c r="AI4031" s="156"/>
      <c r="AJ4031" s="156"/>
      <c r="AK4031" s="156"/>
      <c r="AL4031" s="156"/>
      <c r="AM4031" s="156"/>
      <c r="AN4031" s="156"/>
      <c r="AO4031" s="156"/>
      <c r="AP4031" s="156"/>
      <c r="AQ4031" s="156"/>
      <c r="AR4031" s="156"/>
      <c r="AS4031" s="156"/>
      <c r="AT4031" s="156"/>
      <c r="AU4031" s="156"/>
      <c r="AV4031" s="156"/>
      <c r="AW4031" s="156"/>
      <c r="AX4031" s="156"/>
      <c r="AY4031" s="156"/>
      <c r="AZ4031" s="156"/>
      <c r="BA4031" s="156"/>
      <c r="BB4031" s="2828"/>
      <c r="BC4031" s="452"/>
      <c r="BD4031" s="2829"/>
      <c r="BE4031" s="2837"/>
      <c r="BF4031" s="156"/>
    </row>
    <row r="4032" spans="1:58" ht="14.5" customHeight="1" outlineLevel="1" x14ac:dyDescent="0.35">
      <c r="A4032" s="1664"/>
      <c r="B4032" s="2812"/>
      <c r="C4032" s="3077"/>
      <c r="D4032" s="3980"/>
      <c r="E4032" s="3883"/>
      <c r="F4032" s="3984" t="str">
        <f t="shared" si="447"/>
        <v>ASHP-SEER21-Replace_CAC_NonElectricHeat_ROF_MF</v>
      </c>
      <c r="G4032" s="3984"/>
      <c r="H4032" s="3984"/>
      <c r="I4032" s="3984"/>
      <c r="J4032" s="3508" t="str">
        <f t="shared" si="448"/>
        <v>354860_2021_12_</v>
      </c>
      <c r="K4032" s="717">
        <v>18</v>
      </c>
      <c r="L4032" s="713"/>
      <c r="M4032" s="3022"/>
      <c r="N4032" s="106"/>
      <c r="O4032" s="106"/>
      <c r="P4032" s="702"/>
      <c r="Q4032" s="574"/>
      <c r="R4032" s="702"/>
      <c r="S4032" s="106"/>
      <c r="T4032" s="486"/>
      <c r="U4032" s="106"/>
      <c r="V4032" s="4129"/>
      <c r="W4032" s="717"/>
      <c r="X4032" s="717"/>
      <c r="Y4032" s="717"/>
      <c r="Z4032" s="717"/>
      <c r="AA4032" s="717"/>
      <c r="AB4032" s="717"/>
      <c r="AC4032" s="2932">
        <v>18</v>
      </c>
      <c r="AD4032" s="717">
        <v>18</v>
      </c>
      <c r="AE4032" s="2944"/>
      <c r="AF4032" s="717"/>
      <c r="AG4032" s="717"/>
      <c r="AH4032" s="156"/>
      <c r="AI4032" s="156"/>
      <c r="AJ4032" s="156"/>
      <c r="AK4032" s="156"/>
      <c r="AL4032" s="156"/>
      <c r="AM4032" s="156"/>
      <c r="AN4032" s="156"/>
      <c r="AO4032" s="156"/>
      <c r="AP4032" s="156"/>
      <c r="AQ4032" s="156"/>
      <c r="AR4032" s="156"/>
      <c r="AS4032" s="156"/>
      <c r="AT4032" s="156"/>
      <c r="AU4032" s="156"/>
      <c r="AV4032" s="156"/>
      <c r="AW4032" s="156"/>
      <c r="AX4032" s="156"/>
      <c r="AY4032" s="156"/>
      <c r="AZ4032" s="156"/>
      <c r="BA4032" s="156"/>
      <c r="BB4032" s="2828"/>
      <c r="BC4032" s="452"/>
      <c r="BD4032" s="2829"/>
      <c r="BE4032" s="2837"/>
      <c r="BF4032" s="156"/>
    </row>
    <row r="4033" spans="1:58" ht="14.5" customHeight="1" outlineLevel="1" x14ac:dyDescent="0.35">
      <c r="A4033" s="1664"/>
      <c r="B4033" s="2812"/>
      <c r="C4033" s="3077"/>
      <c r="D4033" s="3980"/>
      <c r="E4033" s="3883"/>
      <c r="F4033" s="3984" t="str">
        <f t="shared" si="447"/>
        <v>ASHP-SEER21-Replace_CAC_NonElectricHeat_ROF_MF</v>
      </c>
      <c r="G4033" s="3984"/>
      <c r="H4033" s="3984"/>
      <c r="I4033" s="3984"/>
      <c r="J4033" s="3508" t="str">
        <f t="shared" si="448"/>
        <v>354860_2021_12_</v>
      </c>
      <c r="K4033" s="717">
        <v>18</v>
      </c>
      <c r="L4033" s="713"/>
      <c r="M4033" s="3022"/>
      <c r="N4033" s="106"/>
      <c r="O4033" s="106"/>
      <c r="P4033" s="702"/>
      <c r="Q4033" s="574"/>
      <c r="R4033" s="702"/>
      <c r="S4033" s="106"/>
      <c r="T4033" s="486"/>
      <c r="U4033" s="106"/>
      <c r="V4033" s="4129"/>
      <c r="W4033" s="717"/>
      <c r="X4033" s="717"/>
      <c r="Y4033" s="717"/>
      <c r="Z4033" s="717"/>
      <c r="AA4033" s="717"/>
      <c r="AB4033" s="717"/>
      <c r="AC4033" s="2932">
        <v>18</v>
      </c>
      <c r="AD4033" s="717">
        <v>18</v>
      </c>
      <c r="AE4033" s="2944"/>
      <c r="AF4033" s="717"/>
      <c r="AG4033" s="717"/>
      <c r="AH4033" s="156"/>
      <c r="AI4033" s="156"/>
      <c r="AJ4033" s="156"/>
      <c r="AK4033" s="156"/>
      <c r="AL4033" s="156"/>
      <c r="AM4033" s="156"/>
      <c r="AN4033" s="156"/>
      <c r="AO4033" s="156"/>
      <c r="AP4033" s="156"/>
      <c r="AQ4033" s="156"/>
      <c r="AR4033" s="156"/>
      <c r="AS4033" s="156"/>
      <c r="AT4033" s="156"/>
      <c r="AU4033" s="156"/>
      <c r="AV4033" s="156"/>
      <c r="AW4033" s="156"/>
      <c r="AX4033" s="156"/>
      <c r="AY4033" s="156"/>
      <c r="AZ4033" s="156"/>
      <c r="BA4033" s="156"/>
      <c r="BB4033" s="2828"/>
      <c r="BC4033" s="452"/>
      <c r="BD4033" s="2829"/>
      <c r="BE4033" s="2837"/>
      <c r="BF4033" s="156"/>
    </row>
    <row r="4034" spans="1:58" ht="14.5" customHeight="1" outlineLevel="1" x14ac:dyDescent="0.35">
      <c r="A4034" s="1664"/>
      <c r="B4034" s="2812"/>
      <c r="C4034" s="3077"/>
      <c r="D4034" s="3980"/>
      <c r="E4034" s="3883"/>
      <c r="F4034" s="3984" t="str">
        <f t="shared" si="447"/>
        <v>ASHP-SEER21-Replace_CAC_NonElectricHeat_ROF_MF_CompE</v>
      </c>
      <c r="G4034" s="3984"/>
      <c r="H4034" s="3984"/>
      <c r="I4034" s="3984"/>
      <c r="J4034" s="3508" t="str">
        <f t="shared" si="448"/>
        <v>354861_2021_12_</v>
      </c>
      <c r="K4034" s="717">
        <v>18</v>
      </c>
      <c r="L4034" s="713"/>
      <c r="M4034" s="3022"/>
      <c r="N4034" s="106"/>
      <c r="O4034" s="106"/>
      <c r="P4034" s="702"/>
      <c r="Q4034" s="574"/>
      <c r="R4034" s="702"/>
      <c r="S4034" s="106"/>
      <c r="T4034" s="486"/>
      <c r="U4034" s="106"/>
      <c r="V4034" s="4129"/>
      <c r="W4034" s="717"/>
      <c r="X4034" s="717"/>
      <c r="Y4034" s="717"/>
      <c r="Z4034" s="717"/>
      <c r="AA4034" s="717"/>
      <c r="AB4034" s="717"/>
      <c r="AC4034" s="2932">
        <v>18</v>
      </c>
      <c r="AD4034" s="717">
        <v>18</v>
      </c>
      <c r="AE4034" s="2944"/>
      <c r="AF4034" s="717"/>
      <c r="AG4034" s="717"/>
      <c r="AH4034" s="156"/>
      <c r="AI4034" s="156"/>
      <c r="AJ4034" s="156"/>
      <c r="AK4034" s="156"/>
      <c r="AL4034" s="156"/>
      <c r="AM4034" s="156"/>
      <c r="AN4034" s="156"/>
      <c r="AO4034" s="156"/>
      <c r="AP4034" s="156"/>
      <c r="AQ4034" s="156"/>
      <c r="AR4034" s="156"/>
      <c r="AS4034" s="156"/>
      <c r="AT4034" s="156"/>
      <c r="AU4034" s="156"/>
      <c r="AV4034" s="156"/>
      <c r="AW4034" s="156"/>
      <c r="AX4034" s="156"/>
      <c r="AY4034" s="156"/>
      <c r="AZ4034" s="156"/>
      <c r="BA4034" s="156"/>
      <c r="BB4034" s="2828"/>
      <c r="BC4034" s="452"/>
      <c r="BD4034" s="2829"/>
      <c r="BE4034" s="2837"/>
      <c r="BF4034" s="156"/>
    </row>
    <row r="4035" spans="1:58" ht="14.5" customHeight="1" outlineLevel="1" x14ac:dyDescent="0.35">
      <c r="A4035" s="1664"/>
      <c r="B4035" s="2812"/>
      <c r="C4035" s="3077"/>
      <c r="D4035" s="3980"/>
      <c r="E4035" s="3883"/>
      <c r="F4035" s="3984" t="str">
        <f t="shared" si="447"/>
        <v>ASHP-SEER21-Replace_CAC_NonElectricHeat_ROF_MF_CompE</v>
      </c>
      <c r="G4035" s="3984"/>
      <c r="H4035" s="3984"/>
      <c r="I4035" s="3984"/>
      <c r="J4035" s="3508" t="str">
        <f t="shared" si="448"/>
        <v>354861_2021_12_</v>
      </c>
      <c r="K4035" s="717">
        <v>18</v>
      </c>
      <c r="L4035" s="713"/>
      <c r="M4035" s="3022"/>
      <c r="N4035" s="106"/>
      <c r="O4035" s="106"/>
      <c r="P4035" s="702"/>
      <c r="Q4035" s="574"/>
      <c r="R4035" s="702"/>
      <c r="S4035" s="106"/>
      <c r="T4035" s="486"/>
      <c r="U4035" s="106"/>
      <c r="V4035" s="4129"/>
      <c r="W4035" s="717"/>
      <c r="X4035" s="717"/>
      <c r="Y4035" s="717"/>
      <c r="Z4035" s="717"/>
      <c r="AA4035" s="717"/>
      <c r="AB4035" s="717"/>
      <c r="AC4035" s="2932">
        <v>18</v>
      </c>
      <c r="AD4035" s="717">
        <v>18</v>
      </c>
      <c r="AE4035" s="2944"/>
      <c r="AF4035" s="717"/>
      <c r="AG4035" s="717"/>
      <c r="AH4035" s="156"/>
      <c r="AI4035" s="156"/>
      <c r="AJ4035" s="156"/>
      <c r="AK4035" s="156"/>
      <c r="AL4035" s="156"/>
      <c r="AM4035" s="156"/>
      <c r="AN4035" s="156"/>
      <c r="AO4035" s="156"/>
      <c r="AP4035" s="156"/>
      <c r="AQ4035" s="156"/>
      <c r="AR4035" s="156"/>
      <c r="AS4035" s="156"/>
      <c r="AT4035" s="156"/>
      <c r="AU4035" s="156"/>
      <c r="AV4035" s="156"/>
      <c r="AW4035" s="156"/>
      <c r="AX4035" s="156"/>
      <c r="AY4035" s="156"/>
      <c r="AZ4035" s="156"/>
      <c r="BA4035" s="156"/>
      <c r="BB4035" s="2828"/>
      <c r="BC4035" s="452"/>
      <c r="BD4035" s="2829"/>
      <c r="BE4035" s="2837"/>
      <c r="BF4035" s="156"/>
    </row>
    <row r="4036" spans="1:58" ht="14.5" customHeight="1" outlineLevel="1" x14ac:dyDescent="0.35">
      <c r="A4036" s="1664"/>
      <c r="B4036" s="2812"/>
      <c r="C4036" s="3077"/>
      <c r="D4036" s="3980"/>
      <c r="E4036" s="3883"/>
      <c r="F4036" s="3984" t="str">
        <f t="shared" si="447"/>
        <v>ASHP-SEER21_ER1_MF</v>
      </c>
      <c r="G4036" s="3984"/>
      <c r="H4036" s="3984"/>
      <c r="I4036" s="3984"/>
      <c r="J4036" s="3508" t="str">
        <f t="shared" si="448"/>
        <v>354900_2019_12_</v>
      </c>
      <c r="K4036" s="717">
        <v>6</v>
      </c>
      <c r="L4036" s="713"/>
      <c r="M4036" s="3022"/>
      <c r="N4036" s="106"/>
      <c r="O4036" s="106"/>
      <c r="P4036" s="702"/>
      <c r="Q4036" s="574"/>
      <c r="R4036" s="702"/>
      <c r="S4036" s="106"/>
      <c r="T4036" s="486"/>
      <c r="U4036" s="106"/>
      <c r="V4036" s="4129"/>
      <c r="W4036" s="717">
        <v>6</v>
      </c>
      <c r="X4036" s="717">
        <v>6</v>
      </c>
      <c r="Y4036" s="717">
        <v>6</v>
      </c>
      <c r="Z4036" s="717">
        <v>6</v>
      </c>
      <c r="AA4036" s="717">
        <v>6</v>
      </c>
      <c r="AB4036" s="717">
        <v>6</v>
      </c>
      <c r="AC4036" s="2930">
        <v>6</v>
      </c>
      <c r="AD4036" s="717">
        <v>6</v>
      </c>
      <c r="AE4036" s="2944"/>
      <c r="AF4036" s="717"/>
      <c r="AG4036" s="717"/>
      <c r="AH4036" s="156"/>
      <c r="AI4036" s="156"/>
      <c r="AJ4036" s="156"/>
      <c r="AK4036" s="156"/>
      <c r="AL4036" s="156"/>
      <c r="AM4036" s="156"/>
      <c r="AN4036" s="156"/>
      <c r="AO4036" s="156"/>
      <c r="AP4036" s="156"/>
      <c r="AQ4036" s="156"/>
      <c r="AR4036" s="156"/>
      <c r="AS4036" s="156"/>
      <c r="AT4036" s="156"/>
      <c r="AU4036" s="156"/>
      <c r="AV4036" s="156"/>
      <c r="AW4036" s="156"/>
      <c r="AX4036" s="156"/>
      <c r="AY4036" s="156"/>
      <c r="AZ4036" s="156"/>
      <c r="BA4036" s="156"/>
      <c r="BB4036" s="2828"/>
      <c r="BC4036" s="452"/>
      <c r="BD4036" s="2829"/>
      <c r="BE4036" s="2837"/>
      <c r="BF4036" s="156"/>
    </row>
    <row r="4037" spans="1:58" ht="14.5" customHeight="1" outlineLevel="1" x14ac:dyDescent="0.35">
      <c r="A4037" s="1664"/>
      <c r="B4037" s="2812"/>
      <c r="C4037" s="3077"/>
      <c r="D4037" s="3980"/>
      <c r="E4037" s="3883"/>
      <c r="F4037" s="3984" t="str">
        <f t="shared" si="447"/>
        <v>ASHP-SEER21_ER1_MF</v>
      </c>
      <c r="G4037" s="3984"/>
      <c r="H4037" s="3984"/>
      <c r="I4037" s="3984"/>
      <c r="J4037" s="3508" t="str">
        <f t="shared" si="448"/>
        <v>354900_2019_12_</v>
      </c>
      <c r="K4037" s="717">
        <v>6</v>
      </c>
      <c r="L4037" s="713"/>
      <c r="M4037" s="3022"/>
      <c r="N4037" s="106"/>
      <c r="O4037" s="106"/>
      <c r="P4037" s="702"/>
      <c r="Q4037" s="574"/>
      <c r="R4037" s="702"/>
      <c r="S4037" s="106"/>
      <c r="T4037" s="486"/>
      <c r="U4037" s="106"/>
      <c r="V4037" s="4129"/>
      <c r="W4037" s="717">
        <v>6</v>
      </c>
      <c r="X4037" s="717">
        <v>6</v>
      </c>
      <c r="Y4037" s="717">
        <v>6</v>
      </c>
      <c r="Z4037" s="717">
        <v>6</v>
      </c>
      <c r="AA4037" s="717">
        <v>6</v>
      </c>
      <c r="AB4037" s="717">
        <v>6</v>
      </c>
      <c r="AC4037" s="2930">
        <v>6</v>
      </c>
      <c r="AD4037" s="717">
        <v>6</v>
      </c>
      <c r="AE4037" s="2944"/>
      <c r="AF4037" s="717"/>
      <c r="AG4037" s="717"/>
      <c r="AH4037" s="156"/>
      <c r="AI4037" s="156"/>
      <c r="AJ4037" s="156"/>
      <c r="AK4037" s="156"/>
      <c r="AL4037" s="156"/>
      <c r="AM4037" s="156"/>
      <c r="AN4037" s="156"/>
      <c r="AO4037" s="156"/>
      <c r="AP4037" s="156"/>
      <c r="AQ4037" s="156"/>
      <c r="AR4037" s="156"/>
      <c r="AS4037" s="156"/>
      <c r="AT4037" s="156"/>
      <c r="AU4037" s="156"/>
      <c r="AV4037" s="156"/>
      <c r="AW4037" s="156"/>
      <c r="AX4037" s="156"/>
      <c r="AY4037" s="156"/>
      <c r="AZ4037" s="156"/>
      <c r="BA4037" s="156"/>
      <c r="BB4037" s="2828"/>
      <c r="BC4037" s="452"/>
      <c r="BD4037" s="2829"/>
      <c r="BE4037" s="2837"/>
      <c r="BF4037" s="156"/>
    </row>
    <row r="4038" spans="1:58" ht="14.5" customHeight="1" outlineLevel="1" x14ac:dyDescent="0.35">
      <c r="A4038" s="1664"/>
      <c r="B4038" s="2812"/>
      <c r="C4038" s="3077"/>
      <c r="D4038" s="3980"/>
      <c r="E4038" s="3883"/>
      <c r="F4038" s="3984" t="str">
        <f t="shared" si="447"/>
        <v>ASHP-SEER21_ER2_MF</v>
      </c>
      <c r="G4038" s="3984"/>
      <c r="H4038" s="3984"/>
      <c r="I4038" s="3984"/>
      <c r="J4038" s="3508" t="str">
        <f t="shared" si="448"/>
        <v>354900_2019_12_</v>
      </c>
      <c r="K4038" s="717">
        <v>12</v>
      </c>
      <c r="L4038" s="713"/>
      <c r="M4038" s="3022"/>
      <c r="N4038" s="106"/>
      <c r="O4038" s="106"/>
      <c r="P4038" s="702"/>
      <c r="Q4038" s="574"/>
      <c r="R4038" s="702"/>
      <c r="S4038" s="106"/>
      <c r="T4038" s="486"/>
      <c r="U4038" s="106"/>
      <c r="V4038" s="4129"/>
      <c r="W4038" s="717">
        <v>12</v>
      </c>
      <c r="X4038" s="717">
        <v>12</v>
      </c>
      <c r="Y4038" s="717">
        <v>12</v>
      </c>
      <c r="Z4038" s="717">
        <v>12</v>
      </c>
      <c r="AA4038" s="717">
        <v>12</v>
      </c>
      <c r="AB4038" s="717">
        <v>12</v>
      </c>
      <c r="AC4038" s="2930">
        <v>12</v>
      </c>
      <c r="AD4038" s="717">
        <v>12</v>
      </c>
      <c r="AE4038" s="2944"/>
      <c r="AF4038" s="717"/>
      <c r="AG4038" s="717"/>
      <c r="AH4038" s="156"/>
      <c r="AI4038" s="156"/>
      <c r="AJ4038" s="156"/>
      <c r="AK4038" s="156"/>
      <c r="AL4038" s="156"/>
      <c r="AM4038" s="156"/>
      <c r="AN4038" s="156"/>
      <c r="AO4038" s="156"/>
      <c r="AP4038" s="156"/>
      <c r="AQ4038" s="156"/>
      <c r="AR4038" s="156"/>
      <c r="AS4038" s="156"/>
      <c r="AT4038" s="156"/>
      <c r="AU4038" s="156"/>
      <c r="AV4038" s="156"/>
      <c r="AW4038" s="156"/>
      <c r="AX4038" s="156"/>
      <c r="AY4038" s="156"/>
      <c r="AZ4038" s="156"/>
      <c r="BA4038" s="156"/>
      <c r="BB4038" s="2828"/>
      <c r="BC4038" s="452"/>
      <c r="BD4038" s="2829"/>
      <c r="BE4038" s="2837"/>
      <c r="BF4038" s="156"/>
    </row>
    <row r="4039" spans="1:58" ht="14.5" customHeight="1" outlineLevel="1" x14ac:dyDescent="0.35">
      <c r="A4039" s="1664"/>
      <c r="B4039" s="2812"/>
      <c r="C4039" s="3077"/>
      <c r="D4039" s="3980"/>
      <c r="E4039" s="3883"/>
      <c r="F4039" s="3984" t="str">
        <f t="shared" si="447"/>
        <v>ASHP-SEER21_ER2_MF</v>
      </c>
      <c r="G4039" s="3984"/>
      <c r="H4039" s="3984"/>
      <c r="I4039" s="3984"/>
      <c r="J4039" s="3508" t="str">
        <f t="shared" si="448"/>
        <v>354900_2019_12_</v>
      </c>
      <c r="K4039" s="717">
        <v>12</v>
      </c>
      <c r="L4039" s="713"/>
      <c r="M4039" s="3022"/>
      <c r="N4039" s="106"/>
      <c r="O4039" s="106"/>
      <c r="P4039" s="702"/>
      <c r="Q4039" s="574"/>
      <c r="R4039" s="702"/>
      <c r="S4039" s="106"/>
      <c r="T4039" s="486"/>
      <c r="U4039" s="106"/>
      <c r="V4039" s="4129"/>
      <c r="W4039" s="717">
        <v>12</v>
      </c>
      <c r="X4039" s="717">
        <v>12</v>
      </c>
      <c r="Y4039" s="717">
        <v>12</v>
      </c>
      <c r="Z4039" s="717">
        <v>12</v>
      </c>
      <c r="AA4039" s="717">
        <v>12</v>
      </c>
      <c r="AB4039" s="717">
        <v>12</v>
      </c>
      <c r="AC4039" s="2930">
        <v>12</v>
      </c>
      <c r="AD4039" s="717">
        <v>12</v>
      </c>
      <c r="AE4039" s="2944"/>
      <c r="AF4039" s="717"/>
      <c r="AG4039" s="717"/>
      <c r="AH4039" s="156"/>
      <c r="AI4039" s="156"/>
      <c r="AJ4039" s="156"/>
      <c r="AK4039" s="156"/>
      <c r="AL4039" s="156"/>
      <c r="AM4039" s="156"/>
      <c r="AN4039" s="156"/>
      <c r="AO4039" s="156"/>
      <c r="AP4039" s="156"/>
      <c r="AQ4039" s="156"/>
      <c r="AR4039" s="156"/>
      <c r="AS4039" s="156"/>
      <c r="AT4039" s="156"/>
      <c r="AU4039" s="156"/>
      <c r="AV4039" s="156"/>
      <c r="AW4039" s="156"/>
      <c r="AX4039" s="156"/>
      <c r="AY4039" s="156"/>
      <c r="AZ4039" s="156"/>
      <c r="BA4039" s="156"/>
      <c r="BB4039" s="2828"/>
      <c r="BC4039" s="452"/>
      <c r="BD4039" s="2829"/>
      <c r="BE4039" s="2837"/>
      <c r="BF4039" s="156"/>
    </row>
    <row r="4040" spans="1:58" ht="14.5" customHeight="1" outlineLevel="1" x14ac:dyDescent="0.35">
      <c r="A4040" s="1664"/>
      <c r="B4040" s="2812"/>
      <c r="C4040" s="3077"/>
      <c r="D4040" s="3980"/>
      <c r="E4040" s="3883"/>
      <c r="F4040" s="3984" t="str">
        <f t="shared" si="447"/>
        <v>ASHP-SEER21_ER1_MF_CompE</v>
      </c>
      <c r="G4040" s="3984"/>
      <c r="H4040" s="3984"/>
      <c r="I4040" s="3984"/>
      <c r="J4040" s="3508" t="str">
        <f t="shared" si="448"/>
        <v>354901_2019_12_</v>
      </c>
      <c r="K4040" s="717">
        <v>6</v>
      </c>
      <c r="L4040" s="713"/>
      <c r="M4040" s="3022"/>
      <c r="N4040" s="106"/>
      <c r="O4040" s="106"/>
      <c r="P4040" s="702"/>
      <c r="Q4040" s="574"/>
      <c r="R4040" s="702"/>
      <c r="S4040" s="106"/>
      <c r="T4040" s="486"/>
      <c r="U4040" s="106"/>
      <c r="V4040" s="4129"/>
      <c r="W4040" s="717"/>
      <c r="X4040" s="717"/>
      <c r="Y4040" s="717"/>
      <c r="Z4040" s="717"/>
      <c r="AA4040" s="717"/>
      <c r="AB4040" s="717"/>
      <c r="AC4040" s="2932">
        <v>6</v>
      </c>
      <c r="AD4040" s="717">
        <v>6</v>
      </c>
      <c r="AE4040" s="2944"/>
      <c r="AF4040" s="717"/>
      <c r="AG4040" s="717"/>
      <c r="AH4040" s="156"/>
      <c r="AI4040" s="156"/>
      <c r="AJ4040" s="156"/>
      <c r="AK4040" s="156"/>
      <c r="AL4040" s="156"/>
      <c r="AM4040" s="156"/>
      <c r="AN4040" s="156"/>
      <c r="AO4040" s="156"/>
      <c r="AP4040" s="156"/>
      <c r="AQ4040" s="156"/>
      <c r="AR4040" s="156"/>
      <c r="AS4040" s="156"/>
      <c r="AT4040" s="156"/>
      <c r="AU4040" s="156"/>
      <c r="AV4040" s="156"/>
      <c r="AW4040" s="156"/>
      <c r="AX4040" s="156"/>
      <c r="AY4040" s="156"/>
      <c r="AZ4040" s="156"/>
      <c r="BA4040" s="156"/>
      <c r="BB4040" s="2828"/>
      <c r="BC4040" s="452"/>
      <c r="BD4040" s="2829"/>
      <c r="BE4040" s="2837"/>
      <c r="BF4040" s="156"/>
    </row>
    <row r="4041" spans="1:58" ht="14.5" customHeight="1" outlineLevel="1" x14ac:dyDescent="0.35">
      <c r="A4041" s="1664"/>
      <c r="B4041" s="2812"/>
      <c r="C4041" s="3077"/>
      <c r="D4041" s="3980"/>
      <c r="E4041" s="3883"/>
      <c r="F4041" s="3984" t="str">
        <f t="shared" si="447"/>
        <v>ASHP-SEER21_ER1_MF_CompE</v>
      </c>
      <c r="G4041" s="3984"/>
      <c r="H4041" s="3984"/>
      <c r="I4041" s="3984"/>
      <c r="J4041" s="3508" t="str">
        <f t="shared" si="448"/>
        <v>354901_2019_12_</v>
      </c>
      <c r="K4041" s="717">
        <v>6</v>
      </c>
      <c r="L4041" s="713"/>
      <c r="M4041" s="3022"/>
      <c r="N4041" s="106"/>
      <c r="O4041" s="106"/>
      <c r="P4041" s="702"/>
      <c r="Q4041" s="574"/>
      <c r="R4041" s="702"/>
      <c r="S4041" s="106"/>
      <c r="T4041" s="486"/>
      <c r="U4041" s="106"/>
      <c r="V4041" s="4129"/>
      <c r="W4041" s="717"/>
      <c r="X4041" s="717"/>
      <c r="Y4041" s="717"/>
      <c r="Z4041" s="717"/>
      <c r="AA4041" s="717"/>
      <c r="AB4041" s="717"/>
      <c r="AC4041" s="2932">
        <v>6</v>
      </c>
      <c r="AD4041" s="717">
        <v>6</v>
      </c>
      <c r="AE4041" s="2944"/>
      <c r="AF4041" s="717"/>
      <c r="AG4041" s="717"/>
      <c r="AH4041" s="156"/>
      <c r="AI4041" s="156"/>
      <c r="AJ4041" s="156"/>
      <c r="AK4041" s="156"/>
      <c r="AL4041" s="156"/>
      <c r="AM4041" s="156"/>
      <c r="AN4041" s="156"/>
      <c r="AO4041" s="156"/>
      <c r="AP4041" s="156"/>
      <c r="AQ4041" s="156"/>
      <c r="AR4041" s="156"/>
      <c r="AS4041" s="156"/>
      <c r="AT4041" s="156"/>
      <c r="AU4041" s="156"/>
      <c r="AV4041" s="156"/>
      <c r="AW4041" s="156"/>
      <c r="AX4041" s="156"/>
      <c r="AY4041" s="156"/>
      <c r="AZ4041" s="156"/>
      <c r="BA4041" s="156"/>
      <c r="BB4041" s="2828"/>
      <c r="BC4041" s="452"/>
      <c r="BD4041" s="2829"/>
      <c r="BE4041" s="2837"/>
      <c r="BF4041" s="156"/>
    </row>
    <row r="4042" spans="1:58" ht="14.5" customHeight="1" outlineLevel="1" x14ac:dyDescent="0.35">
      <c r="A4042" s="1664"/>
      <c r="B4042" s="2812"/>
      <c r="C4042" s="3077"/>
      <c r="D4042" s="3980"/>
      <c r="E4042" s="3883"/>
      <c r="F4042" s="3984" t="str">
        <f t="shared" si="447"/>
        <v>ASHP-SEER21_ER2_MF_CompE</v>
      </c>
      <c r="G4042" s="3984"/>
      <c r="H4042" s="3984"/>
      <c r="I4042" s="3984"/>
      <c r="J4042" s="3508" t="str">
        <f t="shared" si="448"/>
        <v>354901_2019_12_</v>
      </c>
      <c r="K4042" s="717">
        <v>12</v>
      </c>
      <c r="L4042" s="713"/>
      <c r="M4042" s="3022"/>
      <c r="N4042" s="106"/>
      <c r="O4042" s="106"/>
      <c r="P4042" s="702"/>
      <c r="Q4042" s="574"/>
      <c r="R4042" s="702"/>
      <c r="S4042" s="106"/>
      <c r="T4042" s="486"/>
      <c r="U4042" s="106"/>
      <c r="V4042" s="4129"/>
      <c r="W4042" s="717"/>
      <c r="X4042" s="717"/>
      <c r="Y4042" s="717"/>
      <c r="Z4042" s="717"/>
      <c r="AA4042" s="717"/>
      <c r="AB4042" s="717"/>
      <c r="AC4042" s="2932">
        <v>12</v>
      </c>
      <c r="AD4042" s="717">
        <v>12</v>
      </c>
      <c r="AE4042" s="2944"/>
      <c r="AF4042" s="717"/>
      <c r="AG4042" s="717"/>
      <c r="AH4042" s="156"/>
      <c r="AI4042" s="156"/>
      <c r="AJ4042" s="156"/>
      <c r="AK4042" s="156"/>
      <c r="AL4042" s="156"/>
      <c r="AM4042" s="156"/>
      <c r="AN4042" s="156"/>
      <c r="AO4042" s="156"/>
      <c r="AP4042" s="156"/>
      <c r="AQ4042" s="156"/>
      <c r="AR4042" s="156"/>
      <c r="AS4042" s="156"/>
      <c r="AT4042" s="156"/>
      <c r="AU4042" s="156"/>
      <c r="AV4042" s="156"/>
      <c r="AW4042" s="156"/>
      <c r="AX4042" s="156"/>
      <c r="AY4042" s="156"/>
      <c r="AZ4042" s="156"/>
      <c r="BA4042" s="156"/>
      <c r="BB4042" s="2828"/>
      <c r="BC4042" s="452"/>
      <c r="BD4042" s="2829"/>
      <c r="BE4042" s="2837"/>
      <c r="BF4042" s="156"/>
    </row>
    <row r="4043" spans="1:58" ht="14.5" customHeight="1" outlineLevel="1" x14ac:dyDescent="0.35">
      <c r="A4043" s="1664"/>
      <c r="B4043" s="2812"/>
      <c r="C4043" s="3077"/>
      <c r="D4043" s="3980"/>
      <c r="E4043" s="3883"/>
      <c r="F4043" s="3984" t="str">
        <f t="shared" si="447"/>
        <v>ASHP-SEER21_ER2_MF_CompE</v>
      </c>
      <c r="G4043" s="3984"/>
      <c r="H4043" s="3984"/>
      <c r="I4043" s="3984"/>
      <c r="J4043" s="3508" t="str">
        <f t="shared" si="448"/>
        <v>354901_2019_12_</v>
      </c>
      <c r="K4043" s="717">
        <v>12</v>
      </c>
      <c r="L4043" s="713"/>
      <c r="M4043" s="3022"/>
      <c r="N4043" s="106"/>
      <c r="O4043" s="106"/>
      <c r="P4043" s="702"/>
      <c r="Q4043" s="574"/>
      <c r="R4043" s="702"/>
      <c r="S4043" s="106"/>
      <c r="T4043" s="486"/>
      <c r="U4043" s="106"/>
      <c r="V4043" s="4129"/>
      <c r="W4043" s="717"/>
      <c r="X4043" s="717"/>
      <c r="Y4043" s="717"/>
      <c r="Z4043" s="717"/>
      <c r="AA4043" s="717"/>
      <c r="AB4043" s="717"/>
      <c r="AC4043" s="2932">
        <v>12</v>
      </c>
      <c r="AD4043" s="717">
        <v>12</v>
      </c>
      <c r="AE4043" s="2944"/>
      <c r="AF4043" s="717"/>
      <c r="AG4043" s="717"/>
      <c r="AH4043" s="156"/>
      <c r="AI4043" s="156"/>
      <c r="AJ4043" s="156"/>
      <c r="AK4043" s="156"/>
      <c r="AL4043" s="156"/>
      <c r="AM4043" s="156"/>
      <c r="AN4043" s="156"/>
      <c r="AO4043" s="156"/>
      <c r="AP4043" s="156"/>
      <c r="AQ4043" s="156"/>
      <c r="AR4043" s="156"/>
      <c r="AS4043" s="156"/>
      <c r="AT4043" s="156"/>
      <c r="AU4043" s="156"/>
      <c r="AV4043" s="156"/>
      <c r="AW4043" s="156"/>
      <c r="AX4043" s="156"/>
      <c r="AY4043" s="156"/>
      <c r="AZ4043" s="156"/>
      <c r="BA4043" s="156"/>
      <c r="BB4043" s="2828"/>
      <c r="BC4043" s="452"/>
      <c r="BD4043" s="2829"/>
      <c r="BE4043" s="2837"/>
      <c r="BF4043" s="156"/>
    </row>
    <row r="4044" spans="1:58" ht="14.5" customHeight="1" outlineLevel="1" x14ac:dyDescent="0.35">
      <c r="A4044" s="1664"/>
      <c r="B4044" s="2812"/>
      <c r="C4044" s="3077"/>
      <c r="D4044" s="3980"/>
      <c r="E4044" s="3883"/>
      <c r="F4044" s="3984" t="str">
        <f t="shared" si="447"/>
        <v>ASHP-SEER17_ROF_MF</v>
      </c>
      <c r="G4044" s="3984"/>
      <c r="H4044" s="3984"/>
      <c r="I4044" s="3984"/>
      <c r="J4044" s="3508" t="str">
        <f t="shared" si="448"/>
        <v>354950_2019_12_</v>
      </c>
      <c r="K4044" s="717">
        <v>18</v>
      </c>
      <c r="L4044" s="713"/>
      <c r="M4044" s="3022"/>
      <c r="N4044" s="106"/>
      <c r="O4044" s="106"/>
      <c r="P4044" s="702"/>
      <c r="Q4044" s="574"/>
      <c r="R4044" s="702"/>
      <c r="S4044" s="106"/>
      <c r="T4044" s="486"/>
      <c r="U4044" s="106"/>
      <c r="V4044" s="4129"/>
      <c r="W4044" s="717">
        <v>18</v>
      </c>
      <c r="X4044" s="717">
        <v>18</v>
      </c>
      <c r="Y4044" s="717">
        <v>18</v>
      </c>
      <c r="Z4044" s="717">
        <v>18</v>
      </c>
      <c r="AA4044" s="717">
        <v>18</v>
      </c>
      <c r="AB4044" s="717">
        <v>18</v>
      </c>
      <c r="AC4044" s="2930">
        <v>18</v>
      </c>
      <c r="AD4044" s="717">
        <v>18</v>
      </c>
      <c r="AE4044" s="2944"/>
      <c r="AF4044" s="717"/>
      <c r="AG4044" s="717"/>
      <c r="AH4044" s="156"/>
      <c r="AI4044" s="156"/>
      <c r="AJ4044" s="156"/>
      <c r="AK4044" s="156"/>
      <c r="AL4044" s="156"/>
      <c r="AM4044" s="156"/>
      <c r="AN4044" s="156"/>
      <c r="AO4044" s="156"/>
      <c r="AP4044" s="156"/>
      <c r="AQ4044" s="156"/>
      <c r="AR4044" s="156"/>
      <c r="AS4044" s="156"/>
      <c r="AT4044" s="156"/>
      <c r="AU4044" s="156"/>
      <c r="AV4044" s="156"/>
      <c r="AW4044" s="156"/>
      <c r="AX4044" s="156"/>
      <c r="AY4044" s="156"/>
      <c r="AZ4044" s="156"/>
      <c r="BA4044" s="156"/>
      <c r="BB4044" s="2828"/>
      <c r="BC4044" s="452"/>
      <c r="BD4044" s="2829"/>
      <c r="BE4044" s="2837"/>
      <c r="BF4044" s="156"/>
    </row>
    <row r="4045" spans="1:58" ht="14.5" customHeight="1" outlineLevel="1" x14ac:dyDescent="0.35">
      <c r="A4045" s="1664"/>
      <c r="B4045" s="2812"/>
      <c r="C4045" s="3077"/>
      <c r="D4045" s="3980"/>
      <c r="E4045" s="3883"/>
      <c r="F4045" s="3984" t="str">
        <f t="shared" si="447"/>
        <v>ASHP-SEER17_ROF_MF</v>
      </c>
      <c r="G4045" s="3984"/>
      <c r="H4045" s="3984"/>
      <c r="I4045" s="3984"/>
      <c r="J4045" s="3508" t="str">
        <f t="shared" si="448"/>
        <v>354950_2019_12_</v>
      </c>
      <c r="K4045" s="717">
        <v>18</v>
      </c>
      <c r="L4045" s="713"/>
      <c r="M4045" s="3022"/>
      <c r="N4045" s="106"/>
      <c r="O4045" s="106"/>
      <c r="P4045" s="702"/>
      <c r="Q4045" s="574"/>
      <c r="R4045" s="702"/>
      <c r="S4045" s="106"/>
      <c r="T4045" s="486"/>
      <c r="U4045" s="106"/>
      <c r="V4045" s="4129"/>
      <c r="W4045" s="717">
        <v>18</v>
      </c>
      <c r="X4045" s="717">
        <v>18</v>
      </c>
      <c r="Y4045" s="717">
        <v>18</v>
      </c>
      <c r="Z4045" s="717">
        <v>18</v>
      </c>
      <c r="AA4045" s="717">
        <v>18</v>
      </c>
      <c r="AB4045" s="717">
        <v>18</v>
      </c>
      <c r="AC4045" s="2930">
        <v>18</v>
      </c>
      <c r="AD4045" s="717">
        <v>18</v>
      </c>
      <c r="AE4045" s="2944"/>
      <c r="AF4045" s="717"/>
      <c r="AG4045" s="717"/>
      <c r="AH4045" s="156"/>
      <c r="AI4045" s="156"/>
      <c r="AJ4045" s="156"/>
      <c r="AK4045" s="156"/>
      <c r="AL4045" s="156"/>
      <c r="AM4045" s="156"/>
      <c r="AN4045" s="156"/>
      <c r="AO4045" s="156"/>
      <c r="AP4045" s="156"/>
      <c r="AQ4045" s="156"/>
      <c r="AR4045" s="156"/>
      <c r="AS4045" s="156"/>
      <c r="AT4045" s="156"/>
      <c r="AU4045" s="156"/>
      <c r="AV4045" s="156"/>
      <c r="AW4045" s="156"/>
      <c r="AX4045" s="156"/>
      <c r="AY4045" s="156"/>
      <c r="AZ4045" s="156"/>
      <c r="BA4045" s="156"/>
      <c r="BB4045" s="2828"/>
      <c r="BC4045" s="452"/>
      <c r="BD4045" s="2829"/>
      <c r="BE4045" s="2837"/>
      <c r="BF4045" s="156"/>
    </row>
    <row r="4046" spans="1:58" ht="14.5" customHeight="1" outlineLevel="1" x14ac:dyDescent="0.35">
      <c r="A4046" s="1664"/>
      <c r="B4046" s="2812"/>
      <c r="C4046" s="3077"/>
      <c r="D4046" s="3980"/>
      <c r="E4046" s="3883"/>
      <c r="F4046" s="3984" t="str">
        <f t="shared" si="447"/>
        <v>ASHP-SEER17_ROF_MF_CompE</v>
      </c>
      <c r="G4046" s="3984"/>
      <c r="H4046" s="3984"/>
      <c r="I4046" s="3984"/>
      <c r="J4046" s="3508" t="str">
        <f t="shared" si="448"/>
        <v>354951_2019_12_</v>
      </c>
      <c r="K4046" s="717">
        <v>18</v>
      </c>
      <c r="L4046" s="713"/>
      <c r="M4046" s="3022"/>
      <c r="N4046" s="106"/>
      <c r="O4046" s="106"/>
      <c r="P4046" s="702"/>
      <c r="Q4046" s="574"/>
      <c r="R4046" s="702"/>
      <c r="S4046" s="106"/>
      <c r="T4046" s="486"/>
      <c r="U4046" s="106"/>
      <c r="V4046" s="4129"/>
      <c r="W4046" s="717"/>
      <c r="X4046" s="717"/>
      <c r="Y4046" s="717"/>
      <c r="Z4046" s="717"/>
      <c r="AA4046" s="717"/>
      <c r="AB4046" s="717"/>
      <c r="AC4046" s="2932">
        <v>18</v>
      </c>
      <c r="AD4046" s="717">
        <v>18</v>
      </c>
      <c r="AE4046" s="2944"/>
      <c r="AF4046" s="717"/>
      <c r="AG4046" s="717"/>
      <c r="AH4046" s="156"/>
      <c r="AI4046" s="156"/>
      <c r="AJ4046" s="156"/>
      <c r="AK4046" s="156"/>
      <c r="AL4046" s="156"/>
      <c r="AM4046" s="156"/>
      <c r="AN4046" s="156"/>
      <c r="AO4046" s="156"/>
      <c r="AP4046" s="156"/>
      <c r="AQ4046" s="156"/>
      <c r="AR4046" s="156"/>
      <c r="AS4046" s="156"/>
      <c r="AT4046" s="156"/>
      <c r="AU4046" s="156"/>
      <c r="AV4046" s="156"/>
      <c r="AW4046" s="156"/>
      <c r="AX4046" s="156"/>
      <c r="AY4046" s="156"/>
      <c r="AZ4046" s="156"/>
      <c r="BA4046" s="156"/>
      <c r="BB4046" s="2828"/>
      <c r="BC4046" s="452"/>
      <c r="BD4046" s="2829"/>
      <c r="BE4046" s="2837"/>
      <c r="BF4046" s="156"/>
    </row>
    <row r="4047" spans="1:58" ht="14.5" customHeight="1" outlineLevel="1" x14ac:dyDescent="0.35">
      <c r="A4047" s="1664"/>
      <c r="B4047" s="2812"/>
      <c r="C4047" s="3077"/>
      <c r="D4047" s="3980"/>
      <c r="E4047" s="3883"/>
      <c r="F4047" s="3984" t="str">
        <f t="shared" si="447"/>
        <v>ASHP-SEER17_ROF_MF_CompE</v>
      </c>
      <c r="G4047" s="3984"/>
      <c r="H4047" s="3984"/>
      <c r="I4047" s="3984"/>
      <c r="J4047" s="3508" t="str">
        <f t="shared" si="448"/>
        <v>354951_2019_12_</v>
      </c>
      <c r="K4047" s="717">
        <v>18</v>
      </c>
      <c r="L4047" s="713"/>
      <c r="M4047" s="3022"/>
      <c r="N4047" s="106"/>
      <c r="O4047" s="106"/>
      <c r="P4047" s="702"/>
      <c r="Q4047" s="574"/>
      <c r="R4047" s="702"/>
      <c r="S4047" s="106"/>
      <c r="T4047" s="486"/>
      <c r="U4047" s="106"/>
      <c r="V4047" s="4129"/>
      <c r="W4047" s="717"/>
      <c r="X4047" s="717"/>
      <c r="Y4047" s="717"/>
      <c r="Z4047" s="717"/>
      <c r="AA4047" s="717"/>
      <c r="AB4047" s="717"/>
      <c r="AC4047" s="2932">
        <v>18</v>
      </c>
      <c r="AD4047" s="717">
        <v>18</v>
      </c>
      <c r="AE4047" s="2944"/>
      <c r="AF4047" s="717"/>
      <c r="AG4047" s="717"/>
      <c r="AH4047" s="156"/>
      <c r="AI4047" s="156"/>
      <c r="AJ4047" s="156"/>
      <c r="AK4047" s="156"/>
      <c r="AL4047" s="156"/>
      <c r="AM4047" s="156"/>
      <c r="AN4047" s="156"/>
      <c r="AO4047" s="156"/>
      <c r="AP4047" s="156"/>
      <c r="AQ4047" s="156"/>
      <c r="AR4047" s="156"/>
      <c r="AS4047" s="156"/>
      <c r="AT4047" s="156"/>
      <c r="AU4047" s="156"/>
      <c r="AV4047" s="156"/>
      <c r="AW4047" s="156"/>
      <c r="AX4047" s="156"/>
      <c r="AY4047" s="156"/>
      <c r="AZ4047" s="156"/>
      <c r="BA4047" s="156"/>
      <c r="BB4047" s="2828"/>
      <c r="BC4047" s="452"/>
      <c r="BD4047" s="2829"/>
      <c r="BE4047" s="2837"/>
      <c r="BF4047" s="156"/>
    </row>
    <row r="4048" spans="1:58" ht="14.5" customHeight="1" outlineLevel="1" x14ac:dyDescent="0.35">
      <c r="A4048" s="1664"/>
      <c r="B4048" s="2812"/>
      <c r="C4048" s="3077"/>
      <c r="D4048" s="3980"/>
      <c r="E4048" s="3883"/>
      <c r="F4048" s="3984" t="str">
        <f t="shared" si="447"/>
        <v>ASHP-SEER18_ROF_MF</v>
      </c>
      <c r="G4048" s="3984"/>
      <c r="H4048" s="3984"/>
      <c r="I4048" s="3984"/>
      <c r="J4048" s="3508" t="str">
        <f t="shared" si="448"/>
        <v>355000_2019_12_</v>
      </c>
      <c r="K4048" s="717">
        <v>18</v>
      </c>
      <c r="L4048" s="713"/>
      <c r="M4048" s="3022"/>
      <c r="N4048" s="106"/>
      <c r="O4048" s="106"/>
      <c r="P4048" s="702"/>
      <c r="Q4048" s="574"/>
      <c r="R4048" s="702"/>
      <c r="S4048" s="106"/>
      <c r="T4048" s="486"/>
      <c r="U4048" s="106"/>
      <c r="V4048" s="4129"/>
      <c r="W4048" s="717">
        <v>18</v>
      </c>
      <c r="X4048" s="717">
        <v>18</v>
      </c>
      <c r="Y4048" s="717">
        <v>18</v>
      </c>
      <c r="Z4048" s="717">
        <v>18</v>
      </c>
      <c r="AA4048" s="717">
        <v>18</v>
      </c>
      <c r="AB4048" s="717">
        <v>18</v>
      </c>
      <c r="AC4048" s="2930">
        <v>18</v>
      </c>
      <c r="AD4048" s="717">
        <v>18</v>
      </c>
      <c r="AE4048" s="2944"/>
      <c r="AF4048" s="717"/>
      <c r="AG4048" s="717"/>
      <c r="AH4048" s="156"/>
      <c r="AI4048" s="156"/>
      <c r="AJ4048" s="156"/>
      <c r="AK4048" s="156"/>
      <c r="AL4048" s="156"/>
      <c r="AM4048" s="156"/>
      <c r="AN4048" s="156"/>
      <c r="AO4048" s="156"/>
      <c r="AP4048" s="156"/>
      <c r="AQ4048" s="156"/>
      <c r="AR4048" s="156"/>
      <c r="AS4048" s="156"/>
      <c r="AT4048" s="156"/>
      <c r="AU4048" s="156"/>
      <c r="AV4048" s="156"/>
      <c r="AW4048" s="156"/>
      <c r="AX4048" s="156"/>
      <c r="AY4048" s="156"/>
      <c r="AZ4048" s="156"/>
      <c r="BA4048" s="156"/>
      <c r="BB4048" s="2828"/>
      <c r="BC4048" s="452"/>
      <c r="BD4048" s="2829"/>
      <c r="BE4048" s="2837"/>
      <c r="BF4048" s="156"/>
    </row>
    <row r="4049" spans="1:58" ht="14.5" customHeight="1" outlineLevel="1" x14ac:dyDescent="0.35">
      <c r="A4049" s="1664"/>
      <c r="B4049" s="2812"/>
      <c r="C4049" s="3077"/>
      <c r="D4049" s="3980"/>
      <c r="E4049" s="3883"/>
      <c r="F4049" s="3984" t="str">
        <f t="shared" si="447"/>
        <v>ASHP-SEER18_ROF_MF</v>
      </c>
      <c r="G4049" s="3984"/>
      <c r="H4049" s="3984"/>
      <c r="I4049" s="3984"/>
      <c r="J4049" s="3508" t="str">
        <f t="shared" si="448"/>
        <v>355000_2019_12_</v>
      </c>
      <c r="K4049" s="717">
        <v>18</v>
      </c>
      <c r="L4049" s="713"/>
      <c r="M4049" s="3022"/>
      <c r="N4049" s="106"/>
      <c r="O4049" s="106"/>
      <c r="P4049" s="702"/>
      <c r="Q4049" s="574"/>
      <c r="R4049" s="702"/>
      <c r="S4049" s="106"/>
      <c r="T4049" s="486"/>
      <c r="U4049" s="106"/>
      <c r="V4049" s="4129"/>
      <c r="W4049" s="717">
        <v>18</v>
      </c>
      <c r="X4049" s="717">
        <v>18</v>
      </c>
      <c r="Y4049" s="717">
        <v>18</v>
      </c>
      <c r="Z4049" s="717">
        <v>18</v>
      </c>
      <c r="AA4049" s="717">
        <v>18</v>
      </c>
      <c r="AB4049" s="717">
        <v>18</v>
      </c>
      <c r="AC4049" s="2930">
        <v>18</v>
      </c>
      <c r="AD4049" s="717">
        <v>18</v>
      </c>
      <c r="AE4049" s="2944"/>
      <c r="AF4049" s="717"/>
      <c r="AG4049" s="717"/>
      <c r="AH4049" s="156"/>
      <c r="AI4049" s="156"/>
      <c r="AJ4049" s="156"/>
      <c r="AK4049" s="156"/>
      <c r="AL4049" s="156"/>
      <c r="AM4049" s="156"/>
      <c r="AN4049" s="156"/>
      <c r="AO4049" s="156"/>
      <c r="AP4049" s="156"/>
      <c r="AQ4049" s="156"/>
      <c r="AR4049" s="156"/>
      <c r="AS4049" s="156"/>
      <c r="AT4049" s="156"/>
      <c r="AU4049" s="156"/>
      <c r="AV4049" s="156"/>
      <c r="AW4049" s="156"/>
      <c r="AX4049" s="156"/>
      <c r="AY4049" s="156"/>
      <c r="AZ4049" s="156"/>
      <c r="BA4049" s="156"/>
      <c r="BB4049" s="2828"/>
      <c r="BC4049" s="452"/>
      <c r="BD4049" s="2829"/>
      <c r="BE4049" s="2837"/>
      <c r="BF4049" s="156"/>
    </row>
    <row r="4050" spans="1:58" ht="14.5" customHeight="1" outlineLevel="1" x14ac:dyDescent="0.35">
      <c r="A4050" s="1664"/>
      <c r="B4050" s="2812"/>
      <c r="C4050" s="3077"/>
      <c r="D4050" s="3980"/>
      <c r="E4050" s="3883"/>
      <c r="F4050" s="3984" t="str">
        <f t="shared" si="447"/>
        <v>ASHP-SEER18_ROF_MF_CompE</v>
      </c>
      <c r="G4050" s="3984"/>
      <c r="H4050" s="3984"/>
      <c r="I4050" s="3984"/>
      <c r="J4050" s="3508" t="str">
        <f t="shared" si="448"/>
        <v>355001_2021_12_</v>
      </c>
      <c r="K4050" s="717">
        <v>18</v>
      </c>
      <c r="L4050" s="713"/>
      <c r="M4050" s="3022"/>
      <c r="N4050" s="106"/>
      <c r="O4050" s="106"/>
      <c r="P4050" s="702"/>
      <c r="Q4050" s="574"/>
      <c r="R4050" s="702"/>
      <c r="S4050" s="106"/>
      <c r="T4050" s="486"/>
      <c r="U4050" s="106"/>
      <c r="V4050" s="4129"/>
      <c r="W4050" s="717"/>
      <c r="X4050" s="717"/>
      <c r="Y4050" s="717"/>
      <c r="Z4050" s="717"/>
      <c r="AA4050" s="717"/>
      <c r="AB4050" s="717"/>
      <c r="AC4050" s="2932">
        <v>18</v>
      </c>
      <c r="AD4050" s="717">
        <v>18</v>
      </c>
      <c r="AE4050" s="2944"/>
      <c r="AF4050" s="717"/>
      <c r="AG4050" s="717"/>
      <c r="AH4050" s="156"/>
      <c r="AI4050" s="156"/>
      <c r="AJ4050" s="156"/>
      <c r="AK4050" s="156"/>
      <c r="AL4050" s="156"/>
      <c r="AM4050" s="156"/>
      <c r="AN4050" s="156"/>
      <c r="AO4050" s="156"/>
      <c r="AP4050" s="156"/>
      <c r="AQ4050" s="156"/>
      <c r="AR4050" s="156"/>
      <c r="AS4050" s="156"/>
      <c r="AT4050" s="156"/>
      <c r="AU4050" s="156"/>
      <c r="AV4050" s="156"/>
      <c r="AW4050" s="156"/>
      <c r="AX4050" s="156"/>
      <c r="AY4050" s="156"/>
      <c r="AZ4050" s="156"/>
      <c r="BA4050" s="156"/>
      <c r="BB4050" s="2828"/>
      <c r="BC4050" s="452"/>
      <c r="BD4050" s="2829"/>
      <c r="BE4050" s="2837"/>
      <c r="BF4050" s="156"/>
    </row>
    <row r="4051" spans="1:58" ht="14.5" customHeight="1" outlineLevel="1" x14ac:dyDescent="0.35">
      <c r="A4051" s="1664"/>
      <c r="B4051" s="2812"/>
      <c r="C4051" s="3077"/>
      <c r="D4051" s="3980"/>
      <c r="E4051" s="3883"/>
      <c r="F4051" s="3984" t="str">
        <f t="shared" si="447"/>
        <v>ASHP-SEER18_ROF_MF_CompE</v>
      </c>
      <c r="G4051" s="3984"/>
      <c r="H4051" s="3984"/>
      <c r="I4051" s="3984"/>
      <c r="J4051" s="3508" t="str">
        <f t="shared" si="448"/>
        <v>355001_2021_12_</v>
      </c>
      <c r="K4051" s="717">
        <v>18</v>
      </c>
      <c r="L4051" s="713"/>
      <c r="M4051" s="3022"/>
      <c r="N4051" s="106"/>
      <c r="O4051" s="106"/>
      <c r="P4051" s="702"/>
      <c r="Q4051" s="574"/>
      <c r="R4051" s="702"/>
      <c r="S4051" s="106"/>
      <c r="T4051" s="486"/>
      <c r="U4051" s="106"/>
      <c r="V4051" s="4129"/>
      <c r="W4051" s="717"/>
      <c r="X4051" s="717"/>
      <c r="Y4051" s="717"/>
      <c r="Z4051" s="717"/>
      <c r="AA4051" s="717"/>
      <c r="AB4051" s="717"/>
      <c r="AC4051" s="2932">
        <v>18</v>
      </c>
      <c r="AD4051" s="717">
        <v>18</v>
      </c>
      <c r="AE4051" s="2944"/>
      <c r="AF4051" s="717"/>
      <c r="AG4051" s="717"/>
      <c r="AH4051" s="156"/>
      <c r="AI4051" s="156"/>
      <c r="AJ4051" s="156"/>
      <c r="AK4051" s="156"/>
      <c r="AL4051" s="156"/>
      <c r="AM4051" s="156"/>
      <c r="AN4051" s="156"/>
      <c r="AO4051" s="156"/>
      <c r="AP4051" s="156"/>
      <c r="AQ4051" s="156"/>
      <c r="AR4051" s="156"/>
      <c r="AS4051" s="156"/>
      <c r="AT4051" s="156"/>
      <c r="AU4051" s="156"/>
      <c r="AV4051" s="156"/>
      <c r="AW4051" s="156"/>
      <c r="AX4051" s="156"/>
      <c r="AY4051" s="156"/>
      <c r="AZ4051" s="156"/>
      <c r="BA4051" s="156"/>
      <c r="BB4051" s="2828"/>
      <c r="BC4051" s="452"/>
      <c r="BD4051" s="2829"/>
      <c r="BE4051" s="2837"/>
      <c r="BF4051" s="156"/>
    </row>
    <row r="4052" spans="1:58" ht="14.5" customHeight="1" outlineLevel="1" x14ac:dyDescent="0.35">
      <c r="A4052" s="1664"/>
      <c r="B4052" s="2812"/>
      <c r="C4052" s="3077"/>
      <c r="D4052" s="3980"/>
      <c r="E4052" s="3883"/>
      <c r="F4052" s="3984" t="str">
        <f t="shared" si="447"/>
        <v>ASHP-SEER19_ROF_MF</v>
      </c>
      <c r="G4052" s="3984"/>
      <c r="H4052" s="3984"/>
      <c r="I4052" s="3984"/>
      <c r="J4052" s="3508" t="str">
        <f t="shared" si="448"/>
        <v>355050_2019_12_</v>
      </c>
      <c r="K4052" s="717">
        <v>18</v>
      </c>
      <c r="L4052" s="713"/>
      <c r="M4052" s="3022"/>
      <c r="N4052" s="106"/>
      <c r="O4052" s="106"/>
      <c r="P4052" s="702"/>
      <c r="Q4052" s="574"/>
      <c r="R4052" s="702"/>
      <c r="S4052" s="106"/>
      <c r="T4052" s="486"/>
      <c r="U4052" s="106"/>
      <c r="V4052" s="4129"/>
      <c r="W4052" s="717">
        <v>18</v>
      </c>
      <c r="X4052" s="717">
        <v>18</v>
      </c>
      <c r="Y4052" s="717">
        <v>18</v>
      </c>
      <c r="Z4052" s="717">
        <v>18</v>
      </c>
      <c r="AA4052" s="717">
        <v>18</v>
      </c>
      <c r="AB4052" s="717">
        <v>18</v>
      </c>
      <c r="AC4052" s="2930">
        <v>18</v>
      </c>
      <c r="AD4052" s="717">
        <v>18</v>
      </c>
      <c r="AE4052" s="2944"/>
      <c r="AF4052" s="717"/>
      <c r="AG4052" s="717"/>
      <c r="AH4052" s="156"/>
      <c r="AI4052" s="156"/>
      <c r="AJ4052" s="156"/>
      <c r="AK4052" s="156"/>
      <c r="AL4052" s="156"/>
      <c r="AM4052" s="156"/>
      <c r="AN4052" s="156"/>
      <c r="AO4052" s="156"/>
      <c r="AP4052" s="156"/>
      <c r="AQ4052" s="156"/>
      <c r="AR4052" s="156"/>
      <c r="AS4052" s="156"/>
      <c r="AT4052" s="156"/>
      <c r="AU4052" s="156"/>
      <c r="AV4052" s="156"/>
      <c r="AW4052" s="156"/>
      <c r="AX4052" s="156"/>
      <c r="AY4052" s="156"/>
      <c r="AZ4052" s="156"/>
      <c r="BA4052" s="156"/>
      <c r="BB4052" s="2828"/>
      <c r="BC4052" s="452"/>
      <c r="BD4052" s="2829"/>
      <c r="BE4052" s="2837"/>
      <c r="BF4052" s="156"/>
    </row>
    <row r="4053" spans="1:58" ht="15" customHeight="1" outlineLevel="1" x14ac:dyDescent="0.35">
      <c r="A4053" s="1664"/>
      <c r="B4053" s="2812"/>
      <c r="C4053" s="3077"/>
      <c r="D4053" s="3980"/>
      <c r="E4053" s="3883"/>
      <c r="F4053" s="3984" t="str">
        <f t="shared" si="447"/>
        <v>ASHP-SEER19_ROF_MF</v>
      </c>
      <c r="G4053" s="3984"/>
      <c r="H4053" s="3984"/>
      <c r="I4053" s="3984"/>
      <c r="J4053" s="3508" t="str">
        <f t="shared" si="448"/>
        <v>355050_2019_12_</v>
      </c>
      <c r="K4053" s="717">
        <v>18</v>
      </c>
      <c r="L4053" s="704"/>
      <c r="M4053" s="3020"/>
      <c r="N4053" s="106"/>
      <c r="O4053" s="106"/>
      <c r="P4053" s="702"/>
      <c r="Q4053" s="574"/>
      <c r="R4053" s="702"/>
      <c r="S4053" s="106"/>
      <c r="T4053" s="486"/>
      <c r="U4053" s="106"/>
      <c r="V4053" s="4129"/>
      <c r="W4053" s="717">
        <v>18</v>
      </c>
      <c r="X4053" s="717">
        <v>18</v>
      </c>
      <c r="Y4053" s="717">
        <v>18</v>
      </c>
      <c r="Z4053" s="717">
        <v>18</v>
      </c>
      <c r="AA4053" s="717">
        <v>18</v>
      </c>
      <c r="AB4053" s="717">
        <v>18</v>
      </c>
      <c r="AC4053" s="2930">
        <v>18</v>
      </c>
      <c r="AD4053" s="717">
        <v>18</v>
      </c>
      <c r="AE4053" s="2944"/>
      <c r="AF4053" s="717"/>
      <c r="AG4053" s="717"/>
      <c r="AH4053" s="156"/>
      <c r="AI4053" s="156"/>
      <c r="AJ4053" s="156"/>
      <c r="AK4053" s="156"/>
      <c r="AL4053" s="156"/>
      <c r="AM4053" s="156"/>
      <c r="AN4053" s="156"/>
      <c r="AO4053" s="156"/>
      <c r="AP4053" s="156"/>
      <c r="AQ4053" s="156"/>
      <c r="AR4053" s="156"/>
      <c r="AS4053" s="156"/>
      <c r="AT4053" s="156"/>
      <c r="AU4053" s="156"/>
      <c r="AV4053" s="156"/>
      <c r="AW4053" s="156"/>
      <c r="AX4053" s="156"/>
      <c r="AY4053" s="156"/>
      <c r="AZ4053" s="156"/>
      <c r="BA4053" s="156"/>
      <c r="BB4053" s="2828"/>
      <c r="BC4053" s="452"/>
      <c r="BD4053" s="2829"/>
      <c r="BE4053" s="2837"/>
      <c r="BF4053" s="156"/>
    </row>
    <row r="4054" spans="1:58" ht="15" customHeight="1" outlineLevel="1" x14ac:dyDescent="0.35">
      <c r="A4054" s="1664"/>
      <c r="B4054" s="2812"/>
      <c r="C4054" s="3077"/>
      <c r="D4054" s="3980"/>
      <c r="E4054" s="3883"/>
      <c r="F4054" s="3984" t="str">
        <f t="shared" si="447"/>
        <v>ASHP-SEER19_ROF_MF_CompE</v>
      </c>
      <c r="G4054" s="3984"/>
      <c r="H4054" s="3984"/>
      <c r="I4054" s="3984"/>
      <c r="J4054" s="3508" t="str">
        <f t="shared" si="448"/>
        <v>355051_2019_12_</v>
      </c>
      <c r="K4054" s="717">
        <v>18</v>
      </c>
      <c r="L4054" s="704"/>
      <c r="M4054" s="3020"/>
      <c r="N4054" s="106"/>
      <c r="O4054" s="106"/>
      <c r="P4054" s="702"/>
      <c r="Q4054" s="574"/>
      <c r="R4054" s="702"/>
      <c r="S4054" s="106"/>
      <c r="T4054" s="486"/>
      <c r="U4054" s="106"/>
      <c r="V4054" s="4129"/>
      <c r="W4054" s="717"/>
      <c r="X4054" s="717"/>
      <c r="Y4054" s="717"/>
      <c r="Z4054" s="717"/>
      <c r="AA4054" s="717"/>
      <c r="AB4054" s="717"/>
      <c r="AC4054" s="2932">
        <v>18</v>
      </c>
      <c r="AD4054" s="717">
        <v>18</v>
      </c>
      <c r="AE4054" s="2944"/>
      <c r="AF4054" s="717"/>
      <c r="AG4054" s="717"/>
      <c r="AH4054" s="156"/>
      <c r="AI4054" s="156"/>
      <c r="AJ4054" s="156"/>
      <c r="AK4054" s="156"/>
      <c r="AL4054" s="156"/>
      <c r="AM4054" s="156"/>
      <c r="AN4054" s="156"/>
      <c r="AO4054" s="156"/>
      <c r="AP4054" s="156"/>
      <c r="AQ4054" s="156"/>
      <c r="AR4054" s="156"/>
      <c r="AS4054" s="156"/>
      <c r="AT4054" s="156"/>
      <c r="AU4054" s="156"/>
      <c r="AV4054" s="156"/>
      <c r="AW4054" s="156"/>
      <c r="AX4054" s="156"/>
      <c r="AY4054" s="156"/>
      <c r="AZ4054" s="156"/>
      <c r="BA4054" s="156"/>
      <c r="BB4054" s="2828"/>
      <c r="BC4054" s="452"/>
      <c r="BD4054" s="2829"/>
      <c r="BE4054" s="2837"/>
      <c r="BF4054" s="156"/>
    </row>
    <row r="4055" spans="1:58" ht="15" customHeight="1" outlineLevel="1" x14ac:dyDescent="0.35">
      <c r="A4055" s="1664"/>
      <c r="B4055" s="2812"/>
      <c r="C4055" s="3077"/>
      <c r="D4055" s="3980"/>
      <c r="E4055" s="3883"/>
      <c r="F4055" s="3984" t="str">
        <f t="shared" si="447"/>
        <v>ASHP-SEER19_ROF_MF_CompE</v>
      </c>
      <c r="G4055" s="3984"/>
      <c r="H4055" s="3984"/>
      <c r="I4055" s="3984"/>
      <c r="J4055" s="3508" t="str">
        <f t="shared" si="448"/>
        <v>355051_2019_12_</v>
      </c>
      <c r="K4055" s="717">
        <v>18</v>
      </c>
      <c r="L4055" s="704"/>
      <c r="M4055" s="3020"/>
      <c r="N4055" s="106"/>
      <c r="O4055" s="106"/>
      <c r="P4055" s="702"/>
      <c r="Q4055" s="574"/>
      <c r="R4055" s="702"/>
      <c r="S4055" s="106"/>
      <c r="T4055" s="486"/>
      <c r="U4055" s="106"/>
      <c r="V4055" s="4129"/>
      <c r="W4055" s="717"/>
      <c r="X4055" s="717"/>
      <c r="Y4055" s="717"/>
      <c r="Z4055" s="717"/>
      <c r="AA4055" s="717"/>
      <c r="AB4055" s="717"/>
      <c r="AC4055" s="2932">
        <v>18</v>
      </c>
      <c r="AD4055" s="717">
        <v>18</v>
      </c>
      <c r="AE4055" s="2944"/>
      <c r="AF4055" s="717"/>
      <c r="AG4055" s="717"/>
      <c r="AH4055" s="156"/>
      <c r="AI4055" s="156"/>
      <c r="AJ4055" s="156"/>
      <c r="AK4055" s="156"/>
      <c r="AL4055" s="156"/>
      <c r="AM4055" s="156"/>
      <c r="AN4055" s="156"/>
      <c r="AO4055" s="156"/>
      <c r="AP4055" s="156"/>
      <c r="AQ4055" s="156"/>
      <c r="AR4055" s="156"/>
      <c r="AS4055" s="156"/>
      <c r="AT4055" s="156"/>
      <c r="AU4055" s="156"/>
      <c r="AV4055" s="156"/>
      <c r="AW4055" s="156"/>
      <c r="AX4055" s="156"/>
      <c r="AY4055" s="156"/>
      <c r="AZ4055" s="156"/>
      <c r="BA4055" s="156"/>
      <c r="BB4055" s="2828"/>
      <c r="BC4055" s="452"/>
      <c r="BD4055" s="2829"/>
      <c r="BE4055" s="2837"/>
      <c r="BF4055" s="156"/>
    </row>
    <row r="4056" spans="1:58" ht="15" customHeight="1" outlineLevel="1" x14ac:dyDescent="0.35">
      <c r="A4056" s="1664"/>
      <c r="B4056" s="2812"/>
      <c r="C4056" s="3077"/>
      <c r="D4056" s="3980"/>
      <c r="E4056" s="3883"/>
      <c r="F4056" s="3984" t="str">
        <f t="shared" si="447"/>
        <v>ASHP-SEER20_ROF_MF</v>
      </c>
      <c r="G4056" s="3984"/>
      <c r="H4056" s="3984"/>
      <c r="I4056" s="3984"/>
      <c r="J4056" s="3508" t="str">
        <f t="shared" si="448"/>
        <v>355100_2019_12_</v>
      </c>
      <c r="K4056" s="717">
        <v>18</v>
      </c>
      <c r="L4056" s="704"/>
      <c r="M4056" s="3020"/>
      <c r="N4056" s="106"/>
      <c r="O4056" s="106"/>
      <c r="P4056" s="702"/>
      <c r="Q4056" s="574"/>
      <c r="R4056" s="702"/>
      <c r="S4056" s="106"/>
      <c r="T4056" s="486"/>
      <c r="U4056" s="106"/>
      <c r="V4056" s="4129"/>
      <c r="W4056" s="717">
        <v>18</v>
      </c>
      <c r="X4056" s="717">
        <v>18</v>
      </c>
      <c r="Y4056" s="717">
        <v>18</v>
      </c>
      <c r="Z4056" s="717">
        <v>18</v>
      </c>
      <c r="AA4056" s="717">
        <v>18</v>
      </c>
      <c r="AB4056" s="717">
        <v>18</v>
      </c>
      <c r="AC4056" s="2930">
        <v>18</v>
      </c>
      <c r="AD4056" s="717">
        <v>18</v>
      </c>
      <c r="AE4056" s="2944"/>
      <c r="AF4056" s="717"/>
      <c r="AG4056" s="717"/>
      <c r="AH4056" s="156"/>
      <c r="AI4056" s="156"/>
      <c r="AJ4056" s="156"/>
      <c r="AK4056" s="156"/>
      <c r="AL4056" s="156"/>
      <c r="AM4056" s="156"/>
      <c r="AN4056" s="156"/>
      <c r="AO4056" s="156"/>
      <c r="AP4056" s="156"/>
      <c r="AQ4056" s="156"/>
      <c r="AR4056" s="156"/>
      <c r="AS4056" s="156"/>
      <c r="AT4056" s="156"/>
      <c r="AU4056" s="156"/>
      <c r="AV4056" s="156"/>
      <c r="AW4056" s="156"/>
      <c r="AX4056" s="156"/>
      <c r="AY4056" s="156"/>
      <c r="AZ4056" s="156"/>
      <c r="BA4056" s="156"/>
      <c r="BB4056" s="2828"/>
      <c r="BC4056" s="452"/>
      <c r="BD4056" s="2829"/>
      <c r="BE4056" s="2837"/>
      <c r="BF4056" s="156"/>
    </row>
    <row r="4057" spans="1:58" ht="15" customHeight="1" outlineLevel="1" x14ac:dyDescent="0.35">
      <c r="A4057" s="1664"/>
      <c r="B4057" s="2812"/>
      <c r="C4057" s="3077"/>
      <c r="D4057" s="3980"/>
      <c r="E4057" s="3883"/>
      <c r="F4057" s="3984" t="str">
        <f t="shared" si="447"/>
        <v>ASHP-SEER20_ROF_MF</v>
      </c>
      <c r="G4057" s="3984"/>
      <c r="H4057" s="3984"/>
      <c r="I4057" s="3984"/>
      <c r="J4057" s="3508" t="str">
        <f t="shared" si="448"/>
        <v>355100_2019_12_</v>
      </c>
      <c r="K4057" s="717">
        <v>18</v>
      </c>
      <c r="L4057" s="704"/>
      <c r="M4057" s="3020"/>
      <c r="N4057" s="106"/>
      <c r="O4057" s="106"/>
      <c r="P4057" s="702"/>
      <c r="Q4057" s="574"/>
      <c r="R4057" s="702"/>
      <c r="S4057" s="106"/>
      <c r="T4057" s="486"/>
      <c r="U4057" s="106"/>
      <c r="V4057" s="4129"/>
      <c r="W4057" s="717">
        <v>18</v>
      </c>
      <c r="X4057" s="717">
        <v>18</v>
      </c>
      <c r="Y4057" s="717">
        <v>18</v>
      </c>
      <c r="Z4057" s="717">
        <v>18</v>
      </c>
      <c r="AA4057" s="717">
        <v>18</v>
      </c>
      <c r="AB4057" s="717">
        <v>18</v>
      </c>
      <c r="AC4057" s="2930">
        <v>18</v>
      </c>
      <c r="AD4057" s="717">
        <v>18</v>
      </c>
      <c r="AE4057" s="2944"/>
      <c r="AF4057" s="717"/>
      <c r="AG4057" s="717"/>
      <c r="AH4057" s="156"/>
      <c r="AI4057" s="156"/>
      <c r="AJ4057" s="156"/>
      <c r="AK4057" s="156"/>
      <c r="AL4057" s="156"/>
      <c r="AM4057" s="156"/>
      <c r="AN4057" s="156"/>
      <c r="AO4057" s="156"/>
      <c r="AP4057" s="156"/>
      <c r="AQ4057" s="156"/>
      <c r="AR4057" s="156"/>
      <c r="AS4057" s="156"/>
      <c r="AT4057" s="156"/>
      <c r="AU4057" s="156"/>
      <c r="AV4057" s="156"/>
      <c r="AW4057" s="156"/>
      <c r="AX4057" s="156"/>
      <c r="AY4057" s="156"/>
      <c r="AZ4057" s="156"/>
      <c r="BA4057" s="156"/>
      <c r="BB4057" s="2828"/>
      <c r="BC4057" s="452"/>
      <c r="BD4057" s="2829"/>
      <c r="BE4057" s="2837"/>
      <c r="BF4057" s="156"/>
    </row>
    <row r="4058" spans="1:58" ht="15" customHeight="1" outlineLevel="1" x14ac:dyDescent="0.35">
      <c r="A4058" s="1664"/>
      <c r="B4058" s="2812"/>
      <c r="C4058" s="3077"/>
      <c r="D4058" s="3980"/>
      <c r="E4058" s="3883"/>
      <c r="F4058" s="3984" t="str">
        <f t="shared" si="447"/>
        <v>ASHP-SEER20_ROF_MF_CompE</v>
      </c>
      <c r="G4058" s="3984"/>
      <c r="H4058" s="3984"/>
      <c r="I4058" s="3984"/>
      <c r="J4058" s="3508" t="str">
        <f t="shared" si="448"/>
        <v>355101_2019_12_</v>
      </c>
      <c r="K4058" s="717">
        <v>18</v>
      </c>
      <c r="L4058" s="704"/>
      <c r="M4058" s="3020"/>
      <c r="N4058" s="106"/>
      <c r="O4058" s="106"/>
      <c r="P4058" s="702"/>
      <c r="Q4058" s="574"/>
      <c r="R4058" s="702"/>
      <c r="S4058" s="106"/>
      <c r="T4058" s="486"/>
      <c r="U4058" s="106"/>
      <c r="V4058" s="4129"/>
      <c r="W4058" s="717"/>
      <c r="X4058" s="717"/>
      <c r="Y4058" s="717"/>
      <c r="Z4058" s="717"/>
      <c r="AA4058" s="717"/>
      <c r="AB4058" s="717"/>
      <c r="AC4058" s="2932">
        <v>18</v>
      </c>
      <c r="AD4058" s="717">
        <v>18</v>
      </c>
      <c r="AE4058" s="2944"/>
      <c r="AF4058" s="717"/>
      <c r="AG4058" s="717"/>
      <c r="AH4058" s="156"/>
      <c r="AI4058" s="156"/>
      <c r="AJ4058" s="156"/>
      <c r="AK4058" s="156"/>
      <c r="AL4058" s="156"/>
      <c r="AM4058" s="156"/>
      <c r="AN4058" s="156"/>
      <c r="AO4058" s="156"/>
      <c r="AP4058" s="156"/>
      <c r="AQ4058" s="156"/>
      <c r="AR4058" s="156"/>
      <c r="AS4058" s="156"/>
      <c r="AT4058" s="156"/>
      <c r="AU4058" s="156"/>
      <c r="AV4058" s="156"/>
      <c r="AW4058" s="156"/>
      <c r="AX4058" s="156"/>
      <c r="AY4058" s="156"/>
      <c r="AZ4058" s="156"/>
      <c r="BA4058" s="156"/>
      <c r="BB4058" s="2828"/>
      <c r="BC4058" s="452"/>
      <c r="BD4058" s="2829"/>
      <c r="BE4058" s="2837"/>
      <c r="BF4058" s="156"/>
    </row>
    <row r="4059" spans="1:58" ht="15" customHeight="1" outlineLevel="1" x14ac:dyDescent="0.35">
      <c r="A4059" s="1664"/>
      <c r="B4059" s="2812"/>
      <c r="C4059" s="3077"/>
      <c r="D4059" s="3980"/>
      <c r="E4059" s="3883"/>
      <c r="F4059" s="3984" t="str">
        <f t="shared" si="447"/>
        <v>ASHP-SEER20_ROF_MF_CompE</v>
      </c>
      <c r="G4059" s="3984"/>
      <c r="H4059" s="3984"/>
      <c r="I4059" s="3984"/>
      <c r="J4059" s="3508" t="str">
        <f t="shared" si="448"/>
        <v>355101_2019_12_</v>
      </c>
      <c r="K4059" s="717">
        <v>18</v>
      </c>
      <c r="L4059" s="704"/>
      <c r="M4059" s="3020"/>
      <c r="N4059" s="106"/>
      <c r="O4059" s="106"/>
      <c r="P4059" s="702"/>
      <c r="Q4059" s="574"/>
      <c r="R4059" s="702"/>
      <c r="S4059" s="106"/>
      <c r="T4059" s="486"/>
      <c r="U4059" s="106"/>
      <c r="V4059" s="4129"/>
      <c r="W4059" s="717"/>
      <c r="X4059" s="717"/>
      <c r="Y4059" s="717"/>
      <c r="Z4059" s="717"/>
      <c r="AA4059" s="717"/>
      <c r="AB4059" s="717"/>
      <c r="AC4059" s="2932">
        <v>18</v>
      </c>
      <c r="AD4059" s="717">
        <v>18</v>
      </c>
      <c r="AE4059" s="2944"/>
      <c r="AF4059" s="717"/>
      <c r="AG4059" s="717"/>
      <c r="AH4059" s="156"/>
      <c r="AI4059" s="156"/>
      <c r="AJ4059" s="156"/>
      <c r="AK4059" s="156"/>
      <c r="AL4059" s="156"/>
      <c r="AM4059" s="156"/>
      <c r="AN4059" s="156"/>
      <c r="AO4059" s="156"/>
      <c r="AP4059" s="156"/>
      <c r="AQ4059" s="156"/>
      <c r="AR4059" s="156"/>
      <c r="AS4059" s="156"/>
      <c r="AT4059" s="156"/>
      <c r="AU4059" s="156"/>
      <c r="AV4059" s="156"/>
      <c r="AW4059" s="156"/>
      <c r="AX4059" s="156"/>
      <c r="AY4059" s="156"/>
      <c r="AZ4059" s="156"/>
      <c r="BA4059" s="156"/>
      <c r="BB4059" s="2828"/>
      <c r="BC4059" s="452"/>
      <c r="BD4059" s="2829"/>
      <c r="BE4059" s="2837"/>
      <c r="BF4059" s="156"/>
    </row>
    <row r="4060" spans="1:58" ht="15" customHeight="1" outlineLevel="1" x14ac:dyDescent="0.35">
      <c r="A4060" s="1664"/>
      <c r="B4060" s="2812"/>
      <c r="C4060" s="3077"/>
      <c r="D4060" s="3980"/>
      <c r="E4060" s="3883"/>
      <c r="F4060" s="3984" t="str">
        <f t="shared" si="447"/>
        <v>ASHP-SEER21_ROF_MF</v>
      </c>
      <c r="G4060" s="3984"/>
      <c r="H4060" s="3984"/>
      <c r="I4060" s="3984"/>
      <c r="J4060" s="3508" t="str">
        <f t="shared" si="448"/>
        <v>355150_2019_12_</v>
      </c>
      <c r="K4060" s="717">
        <v>18</v>
      </c>
      <c r="L4060" s="713"/>
      <c r="M4060" s="3020"/>
      <c r="N4060" s="106"/>
      <c r="O4060" s="106"/>
      <c r="P4060" s="702"/>
      <c r="Q4060" s="574"/>
      <c r="R4060" s="702"/>
      <c r="S4060" s="106"/>
      <c r="T4060" s="486"/>
      <c r="U4060" s="106"/>
      <c r="V4060" s="4129"/>
      <c r="W4060" s="717">
        <v>18</v>
      </c>
      <c r="X4060" s="717">
        <v>18</v>
      </c>
      <c r="Y4060" s="717">
        <v>18</v>
      </c>
      <c r="Z4060" s="717">
        <v>18</v>
      </c>
      <c r="AA4060" s="717">
        <v>18</v>
      </c>
      <c r="AB4060" s="717">
        <v>18</v>
      </c>
      <c r="AC4060" s="2930">
        <v>18</v>
      </c>
      <c r="AD4060" s="717">
        <v>18</v>
      </c>
      <c r="AE4060" s="2944"/>
      <c r="AF4060" s="717"/>
      <c r="AG4060" s="717"/>
      <c r="AH4060" s="156"/>
      <c r="AI4060" s="156"/>
      <c r="AJ4060" s="156"/>
      <c r="AK4060" s="156"/>
      <c r="AL4060" s="156"/>
      <c r="AM4060" s="156"/>
      <c r="AN4060" s="156"/>
      <c r="AO4060" s="156"/>
      <c r="AP4060" s="156"/>
      <c r="AQ4060" s="156"/>
      <c r="AR4060" s="156"/>
      <c r="AS4060" s="156"/>
      <c r="AT4060" s="156"/>
      <c r="AU4060" s="156"/>
      <c r="AV4060" s="156"/>
      <c r="AW4060" s="156"/>
      <c r="AX4060" s="156"/>
      <c r="AY4060" s="156"/>
      <c r="AZ4060" s="156"/>
      <c r="BA4060" s="156"/>
      <c r="BB4060" s="2828"/>
      <c r="BC4060" s="452"/>
      <c r="BD4060" s="2829"/>
      <c r="BE4060" s="2837"/>
      <c r="BF4060" s="156"/>
    </row>
    <row r="4061" spans="1:58" ht="15.75" customHeight="1" outlineLevel="1" x14ac:dyDescent="0.35">
      <c r="A4061" s="1664"/>
      <c r="B4061" s="2812"/>
      <c r="C4061" s="3077"/>
      <c r="D4061" s="3980"/>
      <c r="E4061" s="3883"/>
      <c r="F4061" s="3984" t="str">
        <f t="shared" si="447"/>
        <v>ASHP-SEER21_ROF_MF</v>
      </c>
      <c r="G4061" s="3984"/>
      <c r="H4061" s="3984"/>
      <c r="I4061" s="3984"/>
      <c r="J4061" s="3508" t="str">
        <f t="shared" si="448"/>
        <v>355150_2019_12_</v>
      </c>
      <c r="K4061" s="717">
        <v>18</v>
      </c>
      <c r="L4061" s="713"/>
      <c r="M4061" s="3020"/>
      <c r="N4061" s="106"/>
      <c r="O4061" s="106"/>
      <c r="P4061" s="702"/>
      <c r="Q4061" s="574"/>
      <c r="R4061" s="702"/>
      <c r="S4061" s="106"/>
      <c r="T4061" s="486"/>
      <c r="U4061" s="106"/>
      <c r="V4061" s="4129"/>
      <c r="W4061" s="717">
        <v>18</v>
      </c>
      <c r="X4061" s="717">
        <v>18</v>
      </c>
      <c r="Y4061" s="717">
        <v>18</v>
      </c>
      <c r="Z4061" s="717">
        <v>18</v>
      </c>
      <c r="AA4061" s="717">
        <v>18</v>
      </c>
      <c r="AB4061" s="717">
        <v>18</v>
      </c>
      <c r="AC4061" s="2930">
        <v>18</v>
      </c>
      <c r="AD4061" s="717">
        <v>18</v>
      </c>
      <c r="AE4061" s="2944"/>
      <c r="AF4061" s="717"/>
      <c r="AG4061" s="717"/>
      <c r="AH4061" s="156"/>
      <c r="AI4061" s="156"/>
      <c r="AJ4061" s="156"/>
      <c r="AK4061" s="156"/>
      <c r="AL4061" s="156"/>
      <c r="AM4061" s="156"/>
      <c r="AN4061" s="156"/>
      <c r="AO4061" s="156"/>
      <c r="AP4061" s="156"/>
      <c r="AQ4061" s="156"/>
      <c r="AR4061" s="156"/>
      <c r="AS4061" s="156"/>
      <c r="AT4061" s="156"/>
      <c r="AU4061" s="156"/>
      <c r="AV4061" s="156"/>
      <c r="AW4061" s="156"/>
      <c r="AX4061" s="156"/>
      <c r="AY4061" s="156"/>
      <c r="AZ4061" s="156"/>
      <c r="BA4061" s="156"/>
      <c r="BB4061" s="2828"/>
      <c r="BC4061" s="452"/>
      <c r="BD4061" s="2829"/>
      <c r="BE4061" s="2837"/>
      <c r="BF4061" s="156"/>
    </row>
    <row r="4062" spans="1:58" ht="15.75" customHeight="1" outlineLevel="1" x14ac:dyDescent="0.35">
      <c r="A4062" s="1664"/>
      <c r="B4062" s="2812"/>
      <c r="C4062" s="3077"/>
      <c r="D4062" s="3980"/>
      <c r="E4062" s="3883"/>
      <c r="F4062" s="3984" t="str">
        <f t="shared" ref="F4062:F4063" si="449">E1918</f>
        <v>ASHP-SEER21_ROF_MF_CompE</v>
      </c>
      <c r="G4062" s="3984"/>
      <c r="H4062" s="3984"/>
      <c r="I4062" s="3984"/>
      <c r="J4062" s="3511" t="str">
        <f t="shared" ref="J4062:J4063" si="450">C1918</f>
        <v>355151_2019_12_</v>
      </c>
      <c r="K4062" s="717">
        <v>18</v>
      </c>
      <c r="L4062" s="713"/>
      <c r="M4062" s="3020"/>
      <c r="N4062" s="106"/>
      <c r="O4062" s="106"/>
      <c r="P4062" s="702"/>
      <c r="Q4062" s="574"/>
      <c r="R4062" s="702"/>
      <c r="S4062" s="106"/>
      <c r="T4062" s="486"/>
      <c r="U4062" s="106"/>
      <c r="V4062" s="4129"/>
      <c r="W4062" s="717"/>
      <c r="X4062" s="717"/>
      <c r="Y4062" s="717"/>
      <c r="Z4062" s="717"/>
      <c r="AA4062" s="717"/>
      <c r="AB4062" s="717"/>
      <c r="AC4062" s="2932">
        <v>18</v>
      </c>
      <c r="AD4062" s="717">
        <v>18</v>
      </c>
      <c r="AE4062" s="2944"/>
      <c r="AF4062" s="717"/>
      <c r="AG4062" s="717"/>
      <c r="AH4062" s="156"/>
      <c r="AI4062" s="156"/>
      <c r="AJ4062" s="156"/>
      <c r="AK4062" s="156"/>
      <c r="AL4062" s="156"/>
      <c r="AM4062" s="156"/>
      <c r="AN4062" s="156"/>
      <c r="AO4062" s="156"/>
      <c r="AP4062" s="156"/>
      <c r="AQ4062" s="156"/>
      <c r="AR4062" s="156"/>
      <c r="AS4062" s="156"/>
      <c r="AT4062" s="156"/>
      <c r="AU4062" s="156"/>
      <c r="AV4062" s="156"/>
      <c r="AW4062" s="156"/>
      <c r="AX4062" s="156"/>
      <c r="AY4062" s="156"/>
      <c r="AZ4062" s="156"/>
      <c r="BA4062" s="156"/>
      <c r="BB4062" s="2828"/>
      <c r="BC4062" s="452"/>
      <c r="BD4062" s="2829"/>
      <c r="BE4062" s="2837"/>
      <c r="BF4062" s="156"/>
    </row>
    <row r="4063" spans="1:58" ht="15.75" customHeight="1" outlineLevel="1" thickBot="1" x14ac:dyDescent="0.4">
      <c r="A4063" s="1664"/>
      <c r="B4063" s="2812"/>
      <c r="C4063" s="3077"/>
      <c r="D4063" s="3981"/>
      <c r="E4063" s="3983"/>
      <c r="F4063" s="4125" t="str">
        <f t="shared" si="449"/>
        <v>ASHP-SEER21_ROF_MF_CompE</v>
      </c>
      <c r="G4063" s="4126"/>
      <c r="H4063" s="4126"/>
      <c r="I4063" s="4127"/>
      <c r="J4063" s="3511" t="str">
        <f t="shared" si="450"/>
        <v>355151_2019_12_</v>
      </c>
      <c r="K4063" s="2678">
        <v>18</v>
      </c>
      <c r="L4063" s="2322"/>
      <c r="M4063" s="3020"/>
      <c r="N4063" s="106"/>
      <c r="O4063" s="106"/>
      <c r="P4063" s="702"/>
      <c r="Q4063" s="574"/>
      <c r="R4063" s="702"/>
      <c r="S4063" s="106"/>
      <c r="T4063" s="486"/>
      <c r="U4063" s="106"/>
      <c r="V4063" s="4130"/>
      <c r="W4063" s="719"/>
      <c r="X4063" s="719"/>
      <c r="Y4063" s="719"/>
      <c r="Z4063" s="719"/>
      <c r="AA4063" s="719"/>
      <c r="AB4063" s="719"/>
      <c r="AC4063" s="2934">
        <v>18</v>
      </c>
      <c r="AD4063" s="717">
        <v>18</v>
      </c>
      <c r="AE4063" s="2946"/>
      <c r="AF4063" s="719"/>
      <c r="AG4063" s="719"/>
      <c r="AH4063" s="156"/>
      <c r="AI4063" s="156"/>
      <c r="AJ4063" s="156"/>
      <c r="AK4063" s="156"/>
      <c r="AL4063" s="156"/>
      <c r="AM4063" s="156"/>
      <c r="AN4063" s="156"/>
      <c r="AO4063" s="156"/>
      <c r="AP4063" s="156"/>
      <c r="AQ4063" s="156"/>
      <c r="AR4063" s="156"/>
      <c r="AS4063" s="156"/>
      <c r="AT4063" s="156"/>
      <c r="AU4063" s="156"/>
      <c r="AV4063" s="156"/>
      <c r="AW4063" s="156"/>
      <c r="AX4063" s="156"/>
      <c r="AY4063" s="156"/>
      <c r="AZ4063" s="156"/>
      <c r="BA4063" s="156"/>
      <c r="BB4063" s="2828"/>
      <c r="BC4063" s="452"/>
      <c r="BD4063" s="2829"/>
      <c r="BE4063" s="2837"/>
      <c r="BF4063" s="156"/>
    </row>
    <row r="4064" spans="1:58" ht="14.5" customHeight="1" outlineLevel="1" x14ac:dyDescent="0.35">
      <c r="A4064" s="1664"/>
      <c r="B4064" s="2812"/>
      <c r="C4064" s="3077"/>
      <c r="D4064" s="3979" t="s">
        <v>169</v>
      </c>
      <c r="E4064" s="3982" t="s">
        <v>527</v>
      </c>
      <c r="F4064" s="3984" t="str">
        <f t="shared" ref="F4064:F4127" si="451">E1534</f>
        <v>ASHP-SEER15-Replace_CAC_ElectricHeat_ER1_SF</v>
      </c>
      <c r="G4064" s="3984"/>
      <c r="H4064" s="3984"/>
      <c r="I4064" s="3984"/>
      <c r="J4064" s="3500" t="str">
        <f t="shared" ref="J4064:J4127" si="452">C1534</f>
        <v>352300_2021_12_</v>
      </c>
      <c r="K4064" s="3512">
        <f>(($R$1960*L4064)+$R$1944)-(($Q$1960*L4064)/((1+$R$1962)^($R$1963-1)))</f>
        <v>952.43682540301188</v>
      </c>
      <c r="L4064" s="2948">
        <f>VLOOKUP(J4064,$J$1940:$L$2132,3,FALSE)*M4064</f>
        <v>2.7180155017750378</v>
      </c>
      <c r="M4064" s="3030">
        <f>VLOOKUP(J4064,$J$3484:$K$3676,2,FALSE)</f>
        <v>1</v>
      </c>
      <c r="N4064" s="963"/>
      <c r="O4064" s="106"/>
      <c r="P4064" s="702"/>
      <c r="Q4064" s="702"/>
      <c r="R4064" s="702"/>
      <c r="S4064" s="106"/>
      <c r="T4064" s="486"/>
      <c r="U4064" s="106"/>
      <c r="V4064" s="4128" t="s">
        <v>169</v>
      </c>
      <c r="W4064" s="2439">
        <v>2365.1309007383738</v>
      </c>
      <c r="X4064" s="2438">
        <f>$Q$1944*(X$1940/12000)*X$3484</f>
        <v>3120.6296154662073</v>
      </c>
      <c r="Y4064" s="2438">
        <v>1119.3961863407253</v>
      </c>
      <c r="Z4064" s="2437">
        <v>1119.3961863407253</v>
      </c>
      <c r="AA4064" s="2437">
        <v>1119.3961863407253</v>
      </c>
      <c r="AB4064" s="2438">
        <v>989.09301697589126</v>
      </c>
      <c r="AC4064" s="3567">
        <v>991.06005994555017</v>
      </c>
      <c r="AD4064" s="3512">
        <v>952.43682540301188</v>
      </c>
      <c r="AE4064" s="2940"/>
      <c r="AF4064" s="662"/>
      <c r="AG4064" s="662"/>
      <c r="AH4064" s="156"/>
      <c r="AI4064" s="156"/>
      <c r="AJ4064" s="156"/>
      <c r="AK4064" s="156"/>
      <c r="AL4064" s="156"/>
      <c r="AM4064" s="156"/>
      <c r="AN4064" s="156"/>
      <c r="AO4064" s="156"/>
      <c r="AP4064" s="156"/>
      <c r="AQ4064" s="156"/>
      <c r="AR4064" s="156"/>
      <c r="AS4064" s="156"/>
      <c r="AT4064" s="156"/>
      <c r="AU4064" s="156"/>
      <c r="AV4064" s="156"/>
      <c r="AW4064" s="156"/>
      <c r="AX4064" s="156"/>
      <c r="AY4064" s="156"/>
      <c r="AZ4064" s="156"/>
      <c r="BA4064" s="156"/>
      <c r="BB4064" s="2828"/>
      <c r="BC4064" s="452"/>
      <c r="BD4064" s="2829"/>
      <c r="BE4064" s="2837"/>
      <c r="BF4064" s="156"/>
    </row>
    <row r="4065" spans="1:58" ht="15" customHeight="1" outlineLevel="1" x14ac:dyDescent="0.35">
      <c r="A4065" s="1664"/>
      <c r="B4065" s="2812"/>
      <c r="C4065" s="3077"/>
      <c r="D4065" s="3980"/>
      <c r="E4065" s="3883"/>
      <c r="F4065" s="3984" t="str">
        <f t="shared" si="451"/>
        <v>ASHP-SEER15-Replace_CAC_ElectricHeat_ER1_SF</v>
      </c>
      <c r="G4065" s="3984"/>
      <c r="H4065" s="3984"/>
      <c r="I4065" s="3984"/>
      <c r="J4065" s="3508" t="str">
        <f t="shared" si="452"/>
        <v>352300_2021_12_</v>
      </c>
      <c r="K4065" s="462"/>
      <c r="L4065" s="93"/>
      <c r="M4065" s="3031" t="str">
        <f>IF(K4065&gt;0,VLOOKUP(J4065,$J$3484:$K$3676,2,FALSE),"")</f>
        <v/>
      </c>
      <c r="N4065" s="963"/>
      <c r="O4065" s="106"/>
      <c r="P4065" s="702"/>
      <c r="Q4065" s="702"/>
      <c r="R4065" s="702"/>
      <c r="S4065" s="106"/>
      <c r="T4065" s="486"/>
      <c r="U4065" s="106"/>
      <c r="V4065" s="4129"/>
      <c r="W4065" s="2440"/>
      <c r="X4065" s="465"/>
      <c r="Y4065" s="462"/>
      <c r="Z4065" s="462"/>
      <c r="AA4065" s="462"/>
      <c r="AB4065" s="465"/>
      <c r="AC4065" s="3568"/>
      <c r="AD4065" s="462"/>
      <c r="AE4065" s="2939"/>
      <c r="AF4065" s="663"/>
      <c r="AG4065" s="663"/>
      <c r="AH4065" s="156"/>
      <c r="AI4065" s="156"/>
      <c r="AJ4065" s="156"/>
      <c r="AK4065" s="156"/>
      <c r="AL4065" s="156"/>
      <c r="AM4065" s="156"/>
      <c r="AN4065" s="156"/>
      <c r="AO4065" s="156"/>
      <c r="AP4065" s="156"/>
      <c r="AQ4065" s="156"/>
      <c r="AR4065" s="156"/>
      <c r="AS4065" s="156"/>
      <c r="AT4065" s="156"/>
      <c r="AU4065" s="156"/>
      <c r="AV4065" s="156"/>
      <c r="AW4065" s="156"/>
      <c r="AX4065" s="156"/>
      <c r="AY4065" s="156"/>
      <c r="AZ4065" s="156"/>
      <c r="BA4065" s="156"/>
      <c r="BB4065" s="2828"/>
      <c r="BC4065" s="452"/>
      <c r="BD4065" s="2829"/>
      <c r="BE4065" s="2837"/>
      <c r="BF4065" s="156"/>
    </row>
    <row r="4066" spans="1:58" ht="15" customHeight="1" outlineLevel="1" x14ac:dyDescent="0.35">
      <c r="A4066" s="1664"/>
      <c r="B4066" s="2812"/>
      <c r="C4066" s="3077"/>
      <c r="D4066" s="3980"/>
      <c r="E4066" s="3883"/>
      <c r="F4066" s="3984" t="str">
        <f t="shared" si="451"/>
        <v>ASHP-SEER15-Replace_CAC_ElectricHeat_ER2_SF</v>
      </c>
      <c r="G4066" s="3984"/>
      <c r="H4066" s="3984"/>
      <c r="I4066" s="3984"/>
      <c r="J4066" s="3508" t="str">
        <f t="shared" si="452"/>
        <v>352300_2021_12_</v>
      </c>
      <c r="K4066" s="462"/>
      <c r="L4066" s="93"/>
      <c r="M4066" s="3031" t="str">
        <f>IF(K4066&gt;0,VLOOKUP(J4066,$J$3484:$K$3676,2,FALSE),"")</f>
        <v/>
      </c>
      <c r="N4066" s="963"/>
      <c r="O4066" s="106"/>
      <c r="P4066" s="702"/>
      <c r="Q4066" s="702"/>
      <c r="R4066" s="702"/>
      <c r="S4066" s="106"/>
      <c r="T4066" s="486"/>
      <c r="U4066" s="106"/>
      <c r="V4066" s="4129"/>
      <c r="W4066" s="2440"/>
      <c r="X4066" s="465"/>
      <c r="Y4066" s="462"/>
      <c r="Z4066" s="462"/>
      <c r="AA4066" s="462"/>
      <c r="AB4066" s="465"/>
      <c r="AC4066" s="3568"/>
      <c r="AD4066" s="462"/>
      <c r="AE4066" s="2939"/>
      <c r="AF4066" s="663"/>
      <c r="AG4066" s="663"/>
      <c r="AH4066" s="156"/>
      <c r="AI4066" s="156"/>
      <c r="AJ4066" s="156"/>
      <c r="AK4066" s="156"/>
      <c r="AL4066" s="156"/>
      <c r="AM4066" s="156"/>
      <c r="AN4066" s="156"/>
      <c r="AO4066" s="156"/>
      <c r="AP4066" s="156"/>
      <c r="AQ4066" s="156"/>
      <c r="AR4066" s="156"/>
      <c r="AS4066" s="156"/>
      <c r="AT4066" s="156"/>
      <c r="AU4066" s="156"/>
      <c r="AV4066" s="156"/>
      <c r="AW4066" s="156"/>
      <c r="AX4066" s="156"/>
      <c r="AY4066" s="156"/>
      <c r="AZ4066" s="156"/>
      <c r="BA4066" s="156"/>
      <c r="BB4066" s="2828"/>
      <c r="BC4066" s="452"/>
      <c r="BD4066" s="2829"/>
      <c r="BE4066" s="2837"/>
      <c r="BF4066" s="156"/>
    </row>
    <row r="4067" spans="1:58" ht="15" customHeight="1" outlineLevel="1" x14ac:dyDescent="0.35">
      <c r="A4067" s="1664"/>
      <c r="B4067" s="2812"/>
      <c r="C4067" s="3077"/>
      <c r="D4067" s="3980"/>
      <c r="E4067" s="3883"/>
      <c r="F4067" s="3984" t="str">
        <f t="shared" si="451"/>
        <v>ASHP-SEER15-Replace_CAC_ElectricHeat_ER2_SF</v>
      </c>
      <c r="G4067" s="3984"/>
      <c r="H4067" s="3984"/>
      <c r="I4067" s="3984"/>
      <c r="J4067" s="3508" t="str">
        <f t="shared" si="452"/>
        <v>352300_2021_12_</v>
      </c>
      <c r="K4067" s="462"/>
      <c r="L4067" s="93"/>
      <c r="M4067" s="3031" t="str">
        <f>IF(K4067&gt;0,VLOOKUP(J4067,$J$3484:$K$3676,2,FALSE),"")</f>
        <v/>
      </c>
      <c r="N4067" s="963"/>
      <c r="O4067" s="106"/>
      <c r="P4067" s="702"/>
      <c r="Q4067" s="702"/>
      <c r="R4067" s="702"/>
      <c r="S4067" s="106"/>
      <c r="T4067" s="486"/>
      <c r="U4067" s="106"/>
      <c r="V4067" s="4129"/>
      <c r="W4067" s="2440"/>
      <c r="X4067" s="465"/>
      <c r="Y4067" s="462"/>
      <c r="Z4067" s="462"/>
      <c r="AA4067" s="462"/>
      <c r="AB4067" s="465"/>
      <c r="AC4067" s="3568"/>
      <c r="AD4067" s="462"/>
      <c r="AE4067" s="2939"/>
      <c r="AF4067" s="663"/>
      <c r="AG4067" s="663"/>
      <c r="AH4067" s="156"/>
      <c r="AI4067" s="156"/>
      <c r="AJ4067" s="156"/>
      <c r="AK4067" s="156"/>
      <c r="AL4067" s="156"/>
      <c r="AM4067" s="156"/>
      <c r="AN4067" s="156"/>
      <c r="AO4067" s="156"/>
      <c r="AP4067" s="156"/>
      <c r="AQ4067" s="156"/>
      <c r="AR4067" s="156"/>
      <c r="AS4067" s="156"/>
      <c r="AT4067" s="156"/>
      <c r="AU4067" s="156"/>
      <c r="AV4067" s="156"/>
      <c r="AW4067" s="156"/>
      <c r="AX4067" s="156"/>
      <c r="AY4067" s="156"/>
      <c r="AZ4067" s="156"/>
      <c r="BA4067" s="156"/>
      <c r="BB4067" s="2828"/>
      <c r="BC4067" s="452"/>
      <c r="BD4067" s="2829"/>
      <c r="BE4067" s="2837"/>
      <c r="BF4067" s="156"/>
    </row>
    <row r="4068" spans="1:58" ht="15" customHeight="1" outlineLevel="1" x14ac:dyDescent="0.35">
      <c r="A4068" s="1664"/>
      <c r="B4068" s="2812"/>
      <c r="C4068" s="3077"/>
      <c r="D4068" s="3980"/>
      <c r="E4068" s="3883"/>
      <c r="F4068" s="3984" t="str">
        <f t="shared" si="451"/>
        <v>ASHP-SEER15-Replace_CAC_NonElectricHeat_ER1_SF</v>
      </c>
      <c r="G4068" s="3984"/>
      <c r="H4068" s="3984"/>
      <c r="I4068" s="3984"/>
      <c r="J4068" s="3508" t="str">
        <f t="shared" si="452"/>
        <v>352310_2021_12_</v>
      </c>
      <c r="K4068" s="465">
        <f>(($R$1960*L4068)+$R$1944)-(($Q$1960*L4068)/((1+$R$1962)^($R$1963-1)))</f>
        <v>952.43682540301188</v>
      </c>
      <c r="L4068" s="96">
        <f>VLOOKUP(J4068,$J$1940:$L$2132,3,FALSE)*M4068</f>
        <v>2.7180155017750378</v>
      </c>
      <c r="M4068" s="3032">
        <f>VLOOKUP(J4068,$J$3484:$K$3676,2,FALSE)</f>
        <v>1</v>
      </c>
      <c r="N4068" s="963"/>
      <c r="O4068" s="106"/>
      <c r="P4068" s="702"/>
      <c r="Q4068" s="702"/>
      <c r="R4068" s="702"/>
      <c r="S4068" s="106"/>
      <c r="T4068" s="486"/>
      <c r="U4068" s="106"/>
      <c r="V4068" s="4129"/>
      <c r="W4068" s="2440"/>
      <c r="X4068" s="465"/>
      <c r="Y4068" s="462"/>
      <c r="Z4068" s="462"/>
      <c r="AA4068" s="462"/>
      <c r="AB4068" s="465"/>
      <c r="AC4068" s="3569">
        <v>991.06005994555017</v>
      </c>
      <c r="AD4068" s="465">
        <v>952.43682540301188</v>
      </c>
      <c r="AE4068" s="2939"/>
      <c r="AF4068" s="663"/>
      <c r="AG4068" s="663"/>
      <c r="AH4068" s="156"/>
      <c r="AI4068" s="156"/>
      <c r="AJ4068" s="156"/>
      <c r="AK4068" s="156"/>
      <c r="AL4068" s="156"/>
      <c r="AM4068" s="156"/>
      <c r="AN4068" s="156"/>
      <c r="AO4068" s="156"/>
      <c r="AP4068" s="156"/>
      <c r="AQ4068" s="156"/>
      <c r="AR4068" s="156"/>
      <c r="AS4068" s="156"/>
      <c r="AT4068" s="156"/>
      <c r="AU4068" s="156"/>
      <c r="AV4068" s="156"/>
      <c r="AW4068" s="156"/>
      <c r="AX4068" s="156"/>
      <c r="AY4068" s="156"/>
      <c r="AZ4068" s="156"/>
      <c r="BA4068" s="156"/>
      <c r="BB4068" s="2828"/>
      <c r="BC4068" s="452"/>
      <c r="BD4068" s="2829"/>
      <c r="BE4068" s="2837"/>
      <c r="BF4068" s="156"/>
    </row>
    <row r="4069" spans="1:58" ht="15" customHeight="1" outlineLevel="1" x14ac:dyDescent="0.35">
      <c r="A4069" s="1664"/>
      <c r="B4069" s="2812"/>
      <c r="C4069" s="3077"/>
      <c r="D4069" s="3980"/>
      <c r="E4069" s="3883"/>
      <c r="F4069" s="3984" t="str">
        <f t="shared" si="451"/>
        <v>ASHP-SEER15-Replace_CAC_NonElectricHeat_ER1_SF</v>
      </c>
      <c r="G4069" s="3984"/>
      <c r="H4069" s="3984"/>
      <c r="I4069" s="3984"/>
      <c r="J4069" s="3508" t="str">
        <f t="shared" si="452"/>
        <v>352310_2021_12_</v>
      </c>
      <c r="K4069" s="462"/>
      <c r="L4069" s="93"/>
      <c r="M4069" s="3031"/>
      <c r="N4069" s="963"/>
      <c r="O4069" s="106"/>
      <c r="P4069" s="702"/>
      <c r="Q4069" s="702"/>
      <c r="R4069" s="702"/>
      <c r="S4069" s="106"/>
      <c r="T4069" s="486"/>
      <c r="U4069" s="106"/>
      <c r="V4069" s="4129"/>
      <c r="W4069" s="2440"/>
      <c r="X4069" s="465"/>
      <c r="Y4069" s="462"/>
      <c r="Z4069" s="462"/>
      <c r="AA4069" s="462"/>
      <c r="AB4069" s="465"/>
      <c r="AC4069" s="3568"/>
      <c r="AD4069" s="462"/>
      <c r="AE4069" s="2939"/>
      <c r="AF4069" s="663"/>
      <c r="AG4069" s="663"/>
      <c r="AH4069" s="156"/>
      <c r="AI4069" s="156"/>
      <c r="AJ4069" s="156"/>
      <c r="AK4069" s="156"/>
      <c r="AL4069" s="156"/>
      <c r="AM4069" s="156"/>
      <c r="AN4069" s="156"/>
      <c r="AO4069" s="156"/>
      <c r="AP4069" s="156"/>
      <c r="AQ4069" s="156"/>
      <c r="AR4069" s="156"/>
      <c r="AS4069" s="156"/>
      <c r="AT4069" s="156"/>
      <c r="AU4069" s="156"/>
      <c r="AV4069" s="156"/>
      <c r="AW4069" s="156"/>
      <c r="AX4069" s="156"/>
      <c r="AY4069" s="156"/>
      <c r="AZ4069" s="156"/>
      <c r="BA4069" s="156"/>
      <c r="BB4069" s="2828"/>
      <c r="BC4069" s="452"/>
      <c r="BD4069" s="2829"/>
      <c r="BE4069" s="2837"/>
      <c r="BF4069" s="156"/>
    </row>
    <row r="4070" spans="1:58" ht="15" customHeight="1" outlineLevel="1" x14ac:dyDescent="0.35">
      <c r="A4070" s="1664"/>
      <c r="B4070" s="2812"/>
      <c r="C4070" s="3077"/>
      <c r="D4070" s="3980"/>
      <c r="E4070" s="3883"/>
      <c r="F4070" s="3984" t="str">
        <f t="shared" si="451"/>
        <v>ASHP-SEER15-Replace_CAC_NonElectricHeat_ER2_SF</v>
      </c>
      <c r="G4070" s="3984"/>
      <c r="H4070" s="3984"/>
      <c r="I4070" s="3984"/>
      <c r="J4070" s="3508" t="str">
        <f t="shared" si="452"/>
        <v>352310_2021_12_</v>
      </c>
      <c r="K4070" s="462"/>
      <c r="L4070" s="93"/>
      <c r="M4070" s="3031"/>
      <c r="N4070" s="963"/>
      <c r="O4070" s="106"/>
      <c r="P4070" s="702"/>
      <c r="Q4070" s="702"/>
      <c r="R4070" s="702"/>
      <c r="S4070" s="106"/>
      <c r="T4070" s="486"/>
      <c r="U4070" s="106"/>
      <c r="V4070" s="4129"/>
      <c r="W4070" s="2440"/>
      <c r="X4070" s="465"/>
      <c r="Y4070" s="462"/>
      <c r="Z4070" s="462"/>
      <c r="AA4070" s="462"/>
      <c r="AB4070" s="465"/>
      <c r="AC4070" s="3568"/>
      <c r="AD4070" s="462"/>
      <c r="AE4070" s="2939"/>
      <c r="AF4070" s="663"/>
      <c r="AG4070" s="663"/>
      <c r="AH4070" s="156"/>
      <c r="AI4070" s="156"/>
      <c r="AJ4070" s="156"/>
      <c r="AK4070" s="156"/>
      <c r="AL4070" s="156"/>
      <c r="AM4070" s="156"/>
      <c r="AN4070" s="156"/>
      <c r="AO4070" s="156"/>
      <c r="AP4070" s="156"/>
      <c r="AQ4070" s="156"/>
      <c r="AR4070" s="156"/>
      <c r="AS4070" s="156"/>
      <c r="AT4070" s="156"/>
      <c r="AU4070" s="156"/>
      <c r="AV4070" s="156"/>
      <c r="AW4070" s="156"/>
      <c r="AX4070" s="156"/>
      <c r="AY4070" s="156"/>
      <c r="AZ4070" s="156"/>
      <c r="BA4070" s="156"/>
      <c r="BB4070" s="2828"/>
      <c r="BC4070" s="452"/>
      <c r="BD4070" s="2829"/>
      <c r="BE4070" s="2837"/>
      <c r="BF4070" s="156"/>
    </row>
    <row r="4071" spans="1:58" ht="15" customHeight="1" outlineLevel="1" x14ac:dyDescent="0.35">
      <c r="A4071" s="1664"/>
      <c r="B4071" s="2812"/>
      <c r="C4071" s="3077"/>
      <c r="D4071" s="3980"/>
      <c r="E4071" s="3883"/>
      <c r="F4071" s="3984" t="str">
        <f t="shared" si="451"/>
        <v>ASHP-SEER15-Replace_CAC_NonElectricHeat_ER2_SF</v>
      </c>
      <c r="G4071" s="3984"/>
      <c r="H4071" s="3984"/>
      <c r="I4071" s="3984"/>
      <c r="J4071" s="3508" t="str">
        <f t="shared" si="452"/>
        <v>352310_2021_12_</v>
      </c>
      <c r="K4071" s="462"/>
      <c r="L4071" s="93"/>
      <c r="M4071" s="3031"/>
      <c r="N4071" s="963"/>
      <c r="O4071" s="106"/>
      <c r="P4071" s="702"/>
      <c r="Q4071" s="702"/>
      <c r="R4071" s="702"/>
      <c r="S4071" s="106"/>
      <c r="T4071" s="486"/>
      <c r="U4071" s="106"/>
      <c r="V4071" s="4129"/>
      <c r="W4071" s="2440"/>
      <c r="X4071" s="465"/>
      <c r="Y4071" s="462"/>
      <c r="Z4071" s="462"/>
      <c r="AA4071" s="462"/>
      <c r="AB4071" s="465"/>
      <c r="AC4071" s="3568"/>
      <c r="AD4071" s="462"/>
      <c r="AE4071" s="2939"/>
      <c r="AF4071" s="663"/>
      <c r="AG4071" s="663"/>
      <c r="AH4071" s="156"/>
      <c r="AI4071" s="156"/>
      <c r="AJ4071" s="156"/>
      <c r="AK4071" s="156"/>
      <c r="AL4071" s="156"/>
      <c r="AM4071" s="156"/>
      <c r="AN4071" s="156"/>
      <c r="AO4071" s="156"/>
      <c r="AP4071" s="156"/>
      <c r="AQ4071" s="156"/>
      <c r="AR4071" s="156"/>
      <c r="AS4071" s="156"/>
      <c r="AT4071" s="156"/>
      <c r="AU4071" s="156"/>
      <c r="AV4071" s="156"/>
      <c r="AW4071" s="156"/>
      <c r="AX4071" s="156"/>
      <c r="AY4071" s="156"/>
      <c r="AZ4071" s="156"/>
      <c r="BA4071" s="156"/>
      <c r="BB4071" s="2828"/>
      <c r="BC4071" s="452"/>
      <c r="BD4071" s="2829"/>
      <c r="BE4071" s="2837"/>
      <c r="BF4071" s="156"/>
    </row>
    <row r="4072" spans="1:58" ht="15" customHeight="1" outlineLevel="1" x14ac:dyDescent="0.35">
      <c r="A4072" s="1664"/>
      <c r="B4072" s="2812"/>
      <c r="C4072" s="3077"/>
      <c r="D4072" s="3980"/>
      <c r="E4072" s="3883"/>
      <c r="F4072" s="3984" t="str">
        <f t="shared" si="451"/>
        <v>ASHP-SEER15_ER1_SF</v>
      </c>
      <c r="G4072" s="3984"/>
      <c r="H4072" s="3984"/>
      <c r="I4072" s="3984"/>
      <c r="J4072" s="3508" t="str">
        <f t="shared" si="452"/>
        <v>352350_2021_12_</v>
      </c>
      <c r="K4072" s="465">
        <f>(($R$1960*L4072)+$R$1944)-(($Q$1960*L4072)/((1+$R$1962)^($R$1963-1)))</f>
        <v>952.43682540301188</v>
      </c>
      <c r="L4072" s="96">
        <f>VLOOKUP(J4072,$J$1940:$L$2132,3,FALSE)*M4072</f>
        <v>2.7180155017750378</v>
      </c>
      <c r="M4072" s="3031">
        <f>VLOOKUP(J4072,$J$3484:$K$3676,2,FALSE)</f>
        <v>1</v>
      </c>
      <c r="N4072" s="963"/>
      <c r="O4072" s="106"/>
      <c r="P4072" s="702"/>
      <c r="Q4072" s="702"/>
      <c r="R4072" s="702"/>
      <c r="S4072" s="106"/>
      <c r="T4072" s="486"/>
      <c r="U4072" s="106"/>
      <c r="V4072" s="4129"/>
      <c r="W4072" s="2440">
        <v>2618.5377829603426</v>
      </c>
      <c r="X4072" s="465">
        <f>$Q$1944*(X$1944/12000)*X$3488</f>
        <v>3120.6296154662073</v>
      </c>
      <c r="Y4072" s="465">
        <v>1127.8416641304575</v>
      </c>
      <c r="Z4072" s="462">
        <v>1127.8416641304575</v>
      </c>
      <c r="AA4072" s="462">
        <v>1127.8416641304575</v>
      </c>
      <c r="AB4072" s="465">
        <v>1044.1498640171662</v>
      </c>
      <c r="AC4072" s="3569">
        <v>1049.2929470045315</v>
      </c>
      <c r="AD4072" s="465">
        <v>952.43682540301188</v>
      </c>
      <c r="AE4072" s="2939"/>
      <c r="AF4072" s="663"/>
      <c r="AG4072" s="663"/>
      <c r="AH4072" s="156"/>
      <c r="AI4072" s="156"/>
      <c r="AJ4072" s="156"/>
      <c r="AK4072" s="156"/>
      <c r="AL4072" s="156"/>
      <c r="AM4072" s="156"/>
      <c r="AN4072" s="156"/>
      <c r="AO4072" s="156"/>
      <c r="AP4072" s="156"/>
      <c r="AQ4072" s="156"/>
      <c r="AR4072" s="156"/>
      <c r="AS4072" s="156"/>
      <c r="AT4072" s="156"/>
      <c r="AU4072" s="156"/>
      <c r="AV4072" s="156"/>
      <c r="AW4072" s="156"/>
      <c r="AX4072" s="156"/>
      <c r="AY4072" s="156"/>
      <c r="AZ4072" s="156"/>
      <c r="BA4072" s="156"/>
      <c r="BB4072" s="2828"/>
      <c r="BC4072" s="452"/>
      <c r="BD4072" s="2829"/>
      <c r="BE4072" s="2837"/>
      <c r="BF4072" s="156"/>
    </row>
    <row r="4073" spans="1:58" ht="15" customHeight="1" outlineLevel="1" x14ac:dyDescent="0.35">
      <c r="A4073" s="1664"/>
      <c r="B4073" s="2812"/>
      <c r="C4073" s="3077"/>
      <c r="D4073" s="3980"/>
      <c r="E4073" s="3883"/>
      <c r="F4073" s="3984" t="str">
        <f t="shared" si="451"/>
        <v>ASHP-SEER15_ER1_SF</v>
      </c>
      <c r="G4073" s="3984"/>
      <c r="H4073" s="3984"/>
      <c r="I4073" s="3984"/>
      <c r="J4073" s="3508" t="str">
        <f t="shared" si="452"/>
        <v>352350_2021_12_</v>
      </c>
      <c r="K4073" s="462"/>
      <c r="L4073" s="93" t="str">
        <f>IF(K4073&gt;0,VLOOKUP(J4073,$J$1940:$L$2132,3,FALSE),"")</f>
        <v/>
      </c>
      <c r="M4073" s="3031" t="str">
        <f>IF(K4073&gt;0,VLOOKUP(J4073,$J$3484:$K$3676,2,FALSE),"")</f>
        <v/>
      </c>
      <c r="N4073" s="963"/>
      <c r="O4073" s="106"/>
      <c r="P4073" s="702"/>
      <c r="Q4073" s="702"/>
      <c r="R4073" s="702"/>
      <c r="S4073" s="106"/>
      <c r="T4073" s="486"/>
      <c r="U4073" s="106"/>
      <c r="V4073" s="4129"/>
      <c r="W4073" s="2440"/>
      <c r="X4073" s="465"/>
      <c r="Y4073" s="465"/>
      <c r="Z4073" s="462"/>
      <c r="AA4073" s="462"/>
      <c r="AB4073" s="462"/>
      <c r="AC4073" s="3568"/>
      <c r="AD4073" s="462"/>
      <c r="AE4073" s="2939"/>
      <c r="AF4073" s="663"/>
      <c r="AG4073" s="663"/>
      <c r="AH4073" s="156"/>
      <c r="AI4073" s="156"/>
      <c r="AJ4073" s="156"/>
      <c r="AK4073" s="156"/>
      <c r="AL4073" s="156"/>
      <c r="AM4073" s="156"/>
      <c r="AN4073" s="156"/>
      <c r="AO4073" s="156"/>
      <c r="AP4073" s="156"/>
      <c r="AQ4073" s="156"/>
      <c r="AR4073" s="156"/>
      <c r="AS4073" s="156"/>
      <c r="AT4073" s="156"/>
      <c r="AU4073" s="156"/>
      <c r="AV4073" s="156"/>
      <c r="AW4073" s="156"/>
      <c r="AX4073" s="156"/>
      <c r="AY4073" s="156"/>
      <c r="AZ4073" s="156"/>
      <c r="BA4073" s="156"/>
      <c r="BB4073" s="2828"/>
      <c r="BC4073" s="452"/>
      <c r="BD4073" s="2829"/>
      <c r="BE4073" s="2837"/>
      <c r="BF4073" s="156"/>
    </row>
    <row r="4074" spans="1:58" ht="15" customHeight="1" outlineLevel="1" x14ac:dyDescent="0.35">
      <c r="A4074" s="1664"/>
      <c r="B4074" s="2812"/>
      <c r="C4074" s="3077"/>
      <c r="D4074" s="3980"/>
      <c r="E4074" s="3883"/>
      <c r="F4074" s="3984" t="str">
        <f t="shared" si="451"/>
        <v>ASHP-SEER15_ER2_SF</v>
      </c>
      <c r="G4074" s="3984"/>
      <c r="H4074" s="3984"/>
      <c r="I4074" s="3984"/>
      <c r="J4074" s="3508" t="str">
        <f t="shared" si="452"/>
        <v>352350_2021_12_</v>
      </c>
      <c r="K4074" s="462"/>
      <c r="L4074" s="93" t="str">
        <f>IF(K4074&gt;0,VLOOKUP(J4074,$J$1940:$L$2132,3,FALSE),"")</f>
        <v/>
      </c>
      <c r="M4074" s="3031" t="str">
        <f>IF(K4074&gt;0,VLOOKUP(J4074,$J$3484:$K$3676,2,FALSE),"")</f>
        <v/>
      </c>
      <c r="N4074" s="963"/>
      <c r="O4074" s="106"/>
      <c r="P4074" s="702"/>
      <c r="Q4074" s="702"/>
      <c r="R4074" s="702"/>
      <c r="S4074" s="106"/>
      <c r="T4074" s="486"/>
      <c r="U4074" s="106"/>
      <c r="V4074" s="4129"/>
      <c r="W4074" s="2440"/>
      <c r="X4074" s="465"/>
      <c r="Y4074" s="465"/>
      <c r="Z4074" s="462"/>
      <c r="AA4074" s="462"/>
      <c r="AB4074" s="462"/>
      <c r="AC4074" s="3568"/>
      <c r="AD4074" s="462"/>
      <c r="AE4074" s="2939"/>
      <c r="AF4074" s="663"/>
      <c r="AG4074" s="663"/>
      <c r="AH4074" s="156"/>
      <c r="AI4074" s="156"/>
      <c r="AJ4074" s="156"/>
      <c r="AK4074" s="156"/>
      <c r="AL4074" s="156"/>
      <c r="AM4074" s="156"/>
      <c r="AN4074" s="156"/>
      <c r="AO4074" s="156"/>
      <c r="AP4074" s="156"/>
      <c r="AQ4074" s="156"/>
      <c r="AR4074" s="156"/>
      <c r="AS4074" s="156"/>
      <c r="AT4074" s="156"/>
      <c r="AU4074" s="156"/>
      <c r="AV4074" s="156"/>
      <c r="AW4074" s="156"/>
      <c r="AX4074" s="156"/>
      <c r="AY4074" s="156"/>
      <c r="AZ4074" s="156"/>
      <c r="BA4074" s="156"/>
      <c r="BB4074" s="2828"/>
      <c r="BC4074" s="452"/>
      <c r="BD4074" s="2829"/>
      <c r="BE4074" s="2837"/>
      <c r="BF4074" s="156"/>
    </row>
    <row r="4075" spans="1:58" ht="15" customHeight="1" outlineLevel="1" x14ac:dyDescent="0.35">
      <c r="A4075" s="1664"/>
      <c r="B4075" s="2812"/>
      <c r="C4075" s="3077"/>
      <c r="D4075" s="3980"/>
      <c r="E4075" s="3883"/>
      <c r="F4075" s="3984" t="str">
        <f t="shared" si="451"/>
        <v>ASHP-SEER15_ER2_SF</v>
      </c>
      <c r="G4075" s="3984"/>
      <c r="H4075" s="3984"/>
      <c r="I4075" s="3984"/>
      <c r="J4075" s="3508" t="str">
        <f t="shared" si="452"/>
        <v>352350_2021_12_</v>
      </c>
      <c r="K4075" s="462"/>
      <c r="L4075" s="93" t="str">
        <f>IF(K4075&gt;0,VLOOKUP(J4075,$J$1940:$L$2132,3,FALSE),"")</f>
        <v/>
      </c>
      <c r="M4075" s="3031" t="str">
        <f>IF(K4075&gt;0,VLOOKUP(J4075,$J$3484:$K$3676,2,FALSE),"")</f>
        <v/>
      </c>
      <c r="N4075" s="963"/>
      <c r="O4075" s="106"/>
      <c r="P4075" s="702"/>
      <c r="Q4075" s="702"/>
      <c r="R4075" s="702"/>
      <c r="S4075" s="106"/>
      <c r="T4075" s="486"/>
      <c r="U4075" s="106"/>
      <c r="V4075" s="4129"/>
      <c r="W4075" s="2440"/>
      <c r="X4075" s="465"/>
      <c r="Y4075" s="465"/>
      <c r="Z4075" s="462"/>
      <c r="AA4075" s="462"/>
      <c r="AB4075" s="462"/>
      <c r="AC4075" s="3568"/>
      <c r="AD4075" s="462"/>
      <c r="AE4075" s="2939"/>
      <c r="AF4075" s="663"/>
      <c r="AG4075" s="663"/>
      <c r="AH4075" s="156"/>
      <c r="AI4075" s="156"/>
      <c r="AJ4075" s="156"/>
      <c r="AK4075" s="156"/>
      <c r="AL4075" s="156"/>
      <c r="AM4075" s="156"/>
      <c r="AN4075" s="156"/>
      <c r="AO4075" s="156"/>
      <c r="AP4075" s="156"/>
      <c r="AQ4075" s="156"/>
      <c r="AR4075" s="156"/>
      <c r="AS4075" s="156"/>
      <c r="AT4075" s="156"/>
      <c r="AU4075" s="156"/>
      <c r="AV4075" s="156"/>
      <c r="AW4075" s="156"/>
      <c r="AX4075" s="156"/>
      <c r="AY4075" s="156"/>
      <c r="AZ4075" s="156"/>
      <c r="BA4075" s="156"/>
      <c r="BB4075" s="2828"/>
      <c r="BC4075" s="452"/>
      <c r="BD4075" s="2829"/>
      <c r="BE4075" s="2837"/>
      <c r="BF4075" s="156"/>
    </row>
    <row r="4076" spans="1:58" ht="15" customHeight="1" outlineLevel="1" x14ac:dyDescent="0.35">
      <c r="A4076" s="1664"/>
      <c r="B4076" s="2812"/>
      <c r="C4076" s="3077"/>
      <c r="D4076" s="3980"/>
      <c r="E4076" s="3883"/>
      <c r="F4076" s="3984" t="str">
        <f t="shared" si="451"/>
        <v>ASHP-SEER15-Replace_CAC_ElectricHeat_ROF_SF</v>
      </c>
      <c r="G4076" s="3984"/>
      <c r="H4076" s="3984"/>
      <c r="I4076" s="3984"/>
      <c r="J4076" s="3508" t="str">
        <f t="shared" si="452"/>
        <v>352400_2021_12_</v>
      </c>
      <c r="K4076" s="462">
        <f>$R$1944*K$3490</f>
        <v>303</v>
      </c>
      <c r="L4076" s="93">
        <f>VLOOKUP(J4076,$J$1940:$L$2132,3,FALSE)*M4076</f>
        <v>2.8136754587155961</v>
      </c>
      <c r="M4076" s="3031">
        <f>VLOOKUP(J4076,$J$3484:$K$3676,2,FALSE)</f>
        <v>1</v>
      </c>
      <c r="N4076" s="963"/>
      <c r="O4076" s="106"/>
      <c r="P4076" s="702"/>
      <c r="Q4076" s="702"/>
      <c r="R4076" s="702"/>
      <c r="S4076" s="106"/>
      <c r="T4076" s="486"/>
      <c r="U4076" s="106"/>
      <c r="V4076" s="4129"/>
      <c r="W4076" s="2440">
        <v>787.80000000000007</v>
      </c>
      <c r="X4076" s="465">
        <f>$R$1944*(X$1946/12000)*X$3490</f>
        <v>927.18000000000006</v>
      </c>
      <c r="Y4076" s="465">
        <v>303</v>
      </c>
      <c r="Z4076" s="462">
        <v>303</v>
      </c>
      <c r="AA4076" s="462">
        <v>303</v>
      </c>
      <c r="AB4076" s="462">
        <v>303</v>
      </c>
      <c r="AC4076" s="3568">
        <v>303</v>
      </c>
      <c r="AD4076" s="462">
        <v>303</v>
      </c>
      <c r="AE4076" s="2939"/>
      <c r="AF4076" s="663"/>
      <c r="AG4076" s="663"/>
      <c r="AH4076" s="156"/>
      <c r="AI4076" s="156"/>
      <c r="AJ4076" s="156"/>
      <c r="AK4076" s="156"/>
      <c r="AL4076" s="156"/>
      <c r="AM4076" s="156"/>
      <c r="AN4076" s="156"/>
      <c r="AO4076" s="156"/>
      <c r="AP4076" s="156"/>
      <c r="AQ4076" s="156"/>
      <c r="AR4076" s="156"/>
      <c r="AS4076" s="156"/>
      <c r="AT4076" s="156"/>
      <c r="AU4076" s="156"/>
      <c r="AV4076" s="156"/>
      <c r="AW4076" s="156"/>
      <c r="AX4076" s="156"/>
      <c r="AY4076" s="156"/>
      <c r="AZ4076" s="156"/>
      <c r="BA4076" s="156"/>
      <c r="BB4076" s="2828"/>
      <c r="BC4076" s="452"/>
      <c r="BD4076" s="2829"/>
      <c r="BE4076" s="2837"/>
      <c r="BF4076" s="156"/>
    </row>
    <row r="4077" spans="1:58" ht="15" customHeight="1" outlineLevel="1" x14ac:dyDescent="0.35">
      <c r="A4077" s="1664"/>
      <c r="B4077" s="2812"/>
      <c r="C4077" s="3077"/>
      <c r="D4077" s="3980"/>
      <c r="E4077" s="3883"/>
      <c r="F4077" s="3984" t="str">
        <f t="shared" si="451"/>
        <v>ASHP-SEER15-Replace_CAC_ElectricHeat_ROF_SF</v>
      </c>
      <c r="G4077" s="3984"/>
      <c r="H4077" s="3984"/>
      <c r="I4077" s="3984"/>
      <c r="J4077" s="3508" t="str">
        <f t="shared" si="452"/>
        <v>352400_2021_12_</v>
      </c>
      <c r="K4077" s="462"/>
      <c r="L4077" s="93" t="str">
        <f>IF(K4077&gt;0,VLOOKUP(J4077,$J$1940:$L$2132,3,FALSE),"")</f>
        <v/>
      </c>
      <c r="M4077" s="3031" t="str">
        <f>IF(K4077&gt;0,VLOOKUP(J4077,$J$3484:$K$3676,2,FALSE),"")</f>
        <v/>
      </c>
      <c r="N4077" s="963"/>
      <c r="O4077" s="106"/>
      <c r="P4077" s="702"/>
      <c r="Q4077" s="702"/>
      <c r="R4077" s="702"/>
      <c r="S4077" s="106"/>
      <c r="T4077" s="486"/>
      <c r="U4077" s="106"/>
      <c r="V4077" s="4129"/>
      <c r="W4077" s="2440"/>
      <c r="X4077" s="465"/>
      <c r="Y4077" s="465"/>
      <c r="Z4077" s="462"/>
      <c r="AA4077" s="462"/>
      <c r="AB4077" s="462"/>
      <c r="AC4077" s="3568"/>
      <c r="AD4077" s="462"/>
      <c r="AE4077" s="2939"/>
      <c r="AF4077" s="663"/>
      <c r="AG4077" s="663"/>
      <c r="AH4077" s="156"/>
      <c r="AI4077" s="156"/>
      <c r="AJ4077" s="156"/>
      <c r="AK4077" s="156"/>
      <c r="AL4077" s="156"/>
      <c r="AM4077" s="156"/>
      <c r="AN4077" s="156"/>
      <c r="AO4077" s="156"/>
      <c r="AP4077" s="156"/>
      <c r="AQ4077" s="156"/>
      <c r="AR4077" s="156"/>
      <c r="AS4077" s="156"/>
      <c r="AT4077" s="156"/>
      <c r="AU4077" s="156"/>
      <c r="AV4077" s="156"/>
      <c r="AW4077" s="156"/>
      <c r="AX4077" s="156"/>
      <c r="AY4077" s="156"/>
      <c r="AZ4077" s="156"/>
      <c r="BA4077" s="156"/>
      <c r="BB4077" s="2828"/>
      <c r="BC4077" s="452"/>
      <c r="BD4077" s="2829"/>
      <c r="BE4077" s="2837"/>
      <c r="BF4077" s="156"/>
    </row>
    <row r="4078" spans="1:58" ht="15" customHeight="1" outlineLevel="1" x14ac:dyDescent="0.35">
      <c r="A4078" s="1664"/>
      <c r="B4078" s="2812"/>
      <c r="C4078" s="3077"/>
      <c r="D4078" s="3980"/>
      <c r="E4078" s="3883"/>
      <c r="F4078" s="3984" t="str">
        <f t="shared" si="451"/>
        <v>ASHP-SEER15-Replace_CAC_NonElectricHeat_ROF_SF</v>
      </c>
      <c r="G4078" s="3984"/>
      <c r="H4078" s="3984"/>
      <c r="I4078" s="3984"/>
      <c r="J4078" s="3508" t="str">
        <f t="shared" si="452"/>
        <v>352410_2021_12_</v>
      </c>
      <c r="K4078" s="462">
        <f>$R$1944*K$3490</f>
        <v>303</v>
      </c>
      <c r="L4078" s="93">
        <f>VLOOKUP(J4078,$J$1940:$L$2132,3,FALSE)*M4078</f>
        <v>2.8136754587155961</v>
      </c>
      <c r="M4078" s="3031">
        <f>VLOOKUP(J4078,$J$3484:$K$3676,2,FALSE)</f>
        <v>1</v>
      </c>
      <c r="N4078" s="963"/>
      <c r="O4078" s="106"/>
      <c r="P4078" s="702"/>
      <c r="Q4078" s="702"/>
      <c r="R4078" s="702"/>
      <c r="S4078" s="106"/>
      <c r="T4078" s="486"/>
      <c r="U4078" s="106"/>
      <c r="V4078" s="4129"/>
      <c r="W4078" s="2440"/>
      <c r="X4078" s="465"/>
      <c r="Y4078" s="465"/>
      <c r="Z4078" s="462"/>
      <c r="AA4078" s="462"/>
      <c r="AB4078" s="462"/>
      <c r="AC4078" s="3569">
        <v>303</v>
      </c>
      <c r="AD4078" s="462">
        <v>303</v>
      </c>
      <c r="AE4078" s="2939"/>
      <c r="AF4078" s="663"/>
      <c r="AG4078" s="663"/>
      <c r="AH4078" s="156"/>
      <c r="AI4078" s="156"/>
      <c r="AJ4078" s="156"/>
      <c r="AK4078" s="156"/>
      <c r="AL4078" s="156"/>
      <c r="AM4078" s="156"/>
      <c r="AN4078" s="156"/>
      <c r="AO4078" s="156"/>
      <c r="AP4078" s="156"/>
      <c r="AQ4078" s="156"/>
      <c r="AR4078" s="156"/>
      <c r="AS4078" s="156"/>
      <c r="AT4078" s="156"/>
      <c r="AU4078" s="156"/>
      <c r="AV4078" s="156"/>
      <c r="AW4078" s="156"/>
      <c r="AX4078" s="156"/>
      <c r="AY4078" s="156"/>
      <c r="AZ4078" s="156"/>
      <c r="BA4078" s="156"/>
      <c r="BB4078" s="2828"/>
      <c r="BC4078" s="452"/>
      <c r="BD4078" s="2829"/>
      <c r="BE4078" s="2837"/>
      <c r="BF4078" s="156"/>
    </row>
    <row r="4079" spans="1:58" ht="15" customHeight="1" outlineLevel="1" x14ac:dyDescent="0.35">
      <c r="A4079" s="1664"/>
      <c r="B4079" s="2812"/>
      <c r="C4079" s="3077"/>
      <c r="D4079" s="3980"/>
      <c r="E4079" s="3883"/>
      <c r="F4079" s="3984" t="str">
        <f t="shared" si="451"/>
        <v>ASHP-SEER15-Replace_CAC_NonElectricHeat_ROF_SF</v>
      </c>
      <c r="G4079" s="3984"/>
      <c r="H4079" s="3984"/>
      <c r="I4079" s="3984"/>
      <c r="J4079" s="3508" t="str">
        <f t="shared" si="452"/>
        <v>352410_2021_12_</v>
      </c>
      <c r="K4079" s="462"/>
      <c r="L4079" s="93"/>
      <c r="M4079" s="3031"/>
      <c r="N4079" s="963"/>
      <c r="O4079" s="106"/>
      <c r="P4079" s="702"/>
      <c r="Q4079" s="702"/>
      <c r="R4079" s="702"/>
      <c r="S4079" s="106"/>
      <c r="T4079" s="486"/>
      <c r="U4079" s="106"/>
      <c r="V4079" s="4129"/>
      <c r="W4079" s="2440"/>
      <c r="X4079" s="465"/>
      <c r="Y4079" s="465"/>
      <c r="Z4079" s="462"/>
      <c r="AA4079" s="462"/>
      <c r="AB4079" s="462"/>
      <c r="AC4079" s="3568"/>
      <c r="AD4079" s="462"/>
      <c r="AE4079" s="2939"/>
      <c r="AF4079" s="663"/>
      <c r="AG4079" s="663"/>
      <c r="AH4079" s="156"/>
      <c r="AI4079" s="156"/>
      <c r="AJ4079" s="156"/>
      <c r="AK4079" s="156"/>
      <c r="AL4079" s="156"/>
      <c r="AM4079" s="156"/>
      <c r="AN4079" s="156"/>
      <c r="AO4079" s="156"/>
      <c r="AP4079" s="156"/>
      <c r="AQ4079" s="156"/>
      <c r="AR4079" s="156"/>
      <c r="AS4079" s="156"/>
      <c r="AT4079" s="156"/>
      <c r="AU4079" s="156"/>
      <c r="AV4079" s="156"/>
      <c r="AW4079" s="156"/>
      <c r="AX4079" s="156"/>
      <c r="AY4079" s="156"/>
      <c r="AZ4079" s="156"/>
      <c r="BA4079" s="156"/>
      <c r="BB4079" s="2828"/>
      <c r="BC4079" s="452"/>
      <c r="BD4079" s="2829"/>
      <c r="BE4079" s="2837"/>
      <c r="BF4079" s="156"/>
    </row>
    <row r="4080" spans="1:58" ht="15" customHeight="1" outlineLevel="1" x14ac:dyDescent="0.35">
      <c r="A4080" s="1664"/>
      <c r="B4080" s="2812"/>
      <c r="C4080" s="3077"/>
      <c r="D4080" s="3980"/>
      <c r="E4080" s="3883"/>
      <c r="F4080" s="3984" t="str">
        <f t="shared" si="451"/>
        <v>ASHP-SEER15_ROF_SF</v>
      </c>
      <c r="G4080" s="3984"/>
      <c r="H4080" s="3984"/>
      <c r="I4080" s="3984"/>
      <c r="J4080" s="3508" t="str">
        <f t="shared" si="452"/>
        <v>352450_2021_12_</v>
      </c>
      <c r="K4080" s="462">
        <f>$R$1944*K$3490</f>
        <v>303</v>
      </c>
      <c r="L4080" s="93">
        <f>VLOOKUP(J4080,$J$1940:$L$2132,3,FALSE)*M4080</f>
        <v>2.8136754587155961</v>
      </c>
      <c r="M4080" s="3031">
        <f>VLOOKUP(J4080,$J$3484:$K$3676,2,FALSE)</f>
        <v>1</v>
      </c>
      <c r="N4080" s="963"/>
      <c r="O4080" s="106"/>
      <c r="P4080" s="702"/>
      <c r="Q4080" s="702"/>
      <c r="R4080" s="702"/>
      <c r="S4080" s="106"/>
      <c r="T4080" s="486"/>
      <c r="U4080" s="106"/>
      <c r="V4080" s="4129"/>
      <c r="W4080" s="2440">
        <v>939.30000000000007</v>
      </c>
      <c r="X4080" s="465">
        <f>$R$1944*(X$1948/12000)*X$3492</f>
        <v>927.18000000000006</v>
      </c>
      <c r="Y4080" s="465">
        <v>303</v>
      </c>
      <c r="Z4080" s="462">
        <v>303</v>
      </c>
      <c r="AA4080" s="462">
        <v>303</v>
      </c>
      <c r="AB4080" s="462">
        <v>303</v>
      </c>
      <c r="AC4080" s="3568">
        <v>303</v>
      </c>
      <c r="AD4080" s="462">
        <v>303</v>
      </c>
      <c r="AE4080" s="2939"/>
      <c r="AF4080" s="663"/>
      <c r="AG4080" s="663"/>
      <c r="AH4080" s="156"/>
      <c r="AI4080" s="156"/>
      <c r="AJ4080" s="156"/>
      <c r="AK4080" s="156"/>
      <c r="AL4080" s="156"/>
      <c r="AM4080" s="156"/>
      <c r="AN4080" s="156"/>
      <c r="AO4080" s="156"/>
      <c r="AP4080" s="156"/>
      <c r="AQ4080" s="156"/>
      <c r="AR4080" s="156"/>
      <c r="AS4080" s="156"/>
      <c r="AT4080" s="156"/>
      <c r="AU4080" s="156"/>
      <c r="AV4080" s="156"/>
      <c r="AW4080" s="156"/>
      <c r="AX4080" s="156"/>
      <c r="AY4080" s="156"/>
      <c r="AZ4080" s="156"/>
      <c r="BA4080" s="156"/>
      <c r="BB4080" s="2828"/>
      <c r="BC4080" s="452"/>
      <c r="BD4080" s="2829"/>
      <c r="BE4080" s="2837"/>
      <c r="BF4080" s="156"/>
    </row>
    <row r="4081" spans="1:58" ht="15" customHeight="1" outlineLevel="1" x14ac:dyDescent="0.35">
      <c r="A4081" s="1664"/>
      <c r="B4081" s="2812"/>
      <c r="C4081" s="3077"/>
      <c r="D4081" s="3980"/>
      <c r="E4081" s="3883"/>
      <c r="F4081" s="3984" t="str">
        <f t="shared" si="451"/>
        <v>ASHP-SEER15_ROF_SF</v>
      </c>
      <c r="G4081" s="3984"/>
      <c r="H4081" s="3984"/>
      <c r="I4081" s="3984"/>
      <c r="J4081" s="3508" t="str">
        <f t="shared" si="452"/>
        <v>352450_2021_12_</v>
      </c>
      <c r="K4081" s="462"/>
      <c r="L4081" s="93" t="str">
        <f>IF(K4081&gt;0,VLOOKUP(J4081,$J$1940:$L$2132,3,FALSE),"")</f>
        <v/>
      </c>
      <c r="M4081" s="3031" t="str">
        <f>IF(K4081&gt;0,VLOOKUP(J4081,$J$3484:$K$3676,2,FALSE),"")</f>
        <v/>
      </c>
      <c r="N4081" s="963"/>
      <c r="O4081" s="106"/>
      <c r="P4081" s="702"/>
      <c r="Q4081" s="702"/>
      <c r="R4081" s="702"/>
      <c r="S4081" s="106"/>
      <c r="T4081" s="486"/>
      <c r="U4081" s="106"/>
      <c r="V4081" s="4129"/>
      <c r="W4081" s="2440"/>
      <c r="X4081" s="465"/>
      <c r="Y4081" s="465"/>
      <c r="Z4081" s="462"/>
      <c r="AA4081" s="462"/>
      <c r="AB4081" s="462"/>
      <c r="AC4081" s="3568"/>
      <c r="AD4081" s="462"/>
      <c r="AE4081" s="2939"/>
      <c r="AF4081" s="663"/>
      <c r="AG4081" s="663"/>
      <c r="AH4081" s="156"/>
      <c r="AI4081" s="156"/>
      <c r="AJ4081" s="156"/>
      <c r="AK4081" s="156"/>
      <c r="AL4081" s="156"/>
      <c r="AM4081" s="156"/>
      <c r="AN4081" s="156"/>
      <c r="AO4081" s="156"/>
      <c r="AP4081" s="156"/>
      <c r="AQ4081" s="156"/>
      <c r="AR4081" s="156"/>
      <c r="AS4081" s="156"/>
      <c r="AT4081" s="156"/>
      <c r="AU4081" s="156"/>
      <c r="AV4081" s="156"/>
      <c r="AW4081" s="156"/>
      <c r="AX4081" s="156"/>
      <c r="AY4081" s="156"/>
      <c r="AZ4081" s="156"/>
      <c r="BA4081" s="156"/>
      <c r="BB4081" s="2828"/>
      <c r="BC4081" s="452"/>
      <c r="BD4081" s="2829"/>
      <c r="BE4081" s="2837"/>
      <c r="BF4081" s="156"/>
    </row>
    <row r="4082" spans="1:58" ht="15" customHeight="1" outlineLevel="1" x14ac:dyDescent="0.35">
      <c r="A4082" s="1664"/>
      <c r="B4082" s="2812"/>
      <c r="C4082" s="3077"/>
      <c r="D4082" s="3980"/>
      <c r="E4082" s="3883"/>
      <c r="F4082" s="3984" t="str">
        <f t="shared" si="451"/>
        <v>ASHP-SEER16-Replace_CAC_ElectricHeat_ER1_SF</v>
      </c>
      <c r="G4082" s="3984"/>
      <c r="H4082" s="3984"/>
      <c r="I4082" s="3984"/>
      <c r="J4082" s="3508" t="str">
        <f t="shared" si="452"/>
        <v>352500_2021_12_</v>
      </c>
      <c r="K4082" s="465">
        <f>(($R$1960*L4082)+$R$1945)-(($Q$1960*L4082)/((1+$R$1962)^($R$1963-1)))</f>
        <v>1096.0970591411706</v>
      </c>
      <c r="L4082" s="96">
        <f>VLOOKUP(J4082,$J$1940:$L$2132,3,FALSE)*M4082</f>
        <v>2.754260212004862</v>
      </c>
      <c r="M4082" s="3031">
        <f>VLOOKUP(J4082,$J$3484:$K$3676,2,FALSE)</f>
        <v>1</v>
      </c>
      <c r="N4082" s="963"/>
      <c r="O4082" s="106"/>
      <c r="P4082" s="702"/>
      <c r="Q4082" s="702"/>
      <c r="R4082" s="702"/>
      <c r="S4082" s="106"/>
      <c r="T4082" s="486"/>
      <c r="U4082" s="106"/>
      <c r="V4082" s="4129"/>
      <c r="W4082" s="2440">
        <v>2896.6077829603428</v>
      </c>
      <c r="X4082" s="465">
        <f>$Q$1945*(X$1949/12000)*X$3493</f>
        <v>3533.7296154662076</v>
      </c>
      <c r="Y4082" s="465">
        <v>1287.9206457115542</v>
      </c>
      <c r="Z4082" s="462">
        <v>1287.9206457115542</v>
      </c>
      <c r="AA4082" s="462">
        <v>1287.9206457115542</v>
      </c>
      <c r="AB4082" s="465">
        <v>1142.384378503531</v>
      </c>
      <c r="AC4082" s="3569">
        <v>1136.2940995261133</v>
      </c>
      <c r="AD4082" s="465">
        <v>1096.0970591411706</v>
      </c>
      <c r="AE4082" s="2939"/>
      <c r="AF4082" s="663"/>
      <c r="AG4082" s="663"/>
      <c r="AH4082" s="156"/>
      <c r="AI4082" s="156"/>
      <c r="AJ4082" s="156"/>
      <c r="AK4082" s="156"/>
      <c r="AL4082" s="156"/>
      <c r="AM4082" s="156"/>
      <c r="AN4082" s="156"/>
      <c r="AO4082" s="156"/>
      <c r="AP4082" s="156"/>
      <c r="AQ4082" s="156"/>
      <c r="AR4082" s="156"/>
      <c r="AS4082" s="156"/>
      <c r="AT4082" s="156"/>
      <c r="AU4082" s="156"/>
      <c r="AV4082" s="156"/>
      <c r="AW4082" s="156"/>
      <c r="AX4082" s="156"/>
      <c r="AY4082" s="156"/>
      <c r="AZ4082" s="156"/>
      <c r="BA4082" s="156"/>
      <c r="BB4082" s="2828"/>
      <c r="BC4082" s="452"/>
      <c r="BD4082" s="2829"/>
      <c r="BE4082" s="2837"/>
      <c r="BF4082" s="156"/>
    </row>
    <row r="4083" spans="1:58" ht="15" customHeight="1" outlineLevel="1" x14ac:dyDescent="0.35">
      <c r="A4083" s="1664"/>
      <c r="B4083" s="2812"/>
      <c r="C4083" s="3077"/>
      <c r="D4083" s="3980"/>
      <c r="E4083" s="3883"/>
      <c r="F4083" s="3984" t="str">
        <f t="shared" si="451"/>
        <v>ASHP-SEER16-Replace_CAC_ElectricHeat_ER1_SF</v>
      </c>
      <c r="G4083" s="3984"/>
      <c r="H4083" s="3984"/>
      <c r="I4083" s="3984"/>
      <c r="J4083" s="3508" t="str">
        <f t="shared" si="452"/>
        <v>352500_2021_12_</v>
      </c>
      <c r="K4083" s="462"/>
      <c r="L4083" s="93" t="str">
        <f>IF(K4083&gt;0,VLOOKUP(J4083,$J$1940:$L$2132,3,FALSE),"")</f>
        <v/>
      </c>
      <c r="M4083" s="3031" t="str">
        <f>IF(K4083&gt;0,VLOOKUP(J4083,$J$3484:$K$3676,2,FALSE),"")</f>
        <v/>
      </c>
      <c r="N4083" s="963"/>
      <c r="O4083" s="106"/>
      <c r="P4083" s="702"/>
      <c r="Q4083" s="702"/>
      <c r="R4083" s="702"/>
      <c r="S4083" s="106"/>
      <c r="T4083" s="486"/>
      <c r="U4083" s="106"/>
      <c r="V4083" s="4129"/>
      <c r="W4083" s="2440"/>
      <c r="X4083" s="465"/>
      <c r="Y4083" s="465"/>
      <c r="Z4083" s="462"/>
      <c r="AA4083" s="462"/>
      <c r="AB4083" s="462"/>
      <c r="AC4083" s="3568"/>
      <c r="AD4083" s="462"/>
      <c r="AE4083" s="2939"/>
      <c r="AF4083" s="663"/>
      <c r="AG4083" s="663"/>
      <c r="AH4083" s="156"/>
      <c r="AI4083" s="156"/>
      <c r="AJ4083" s="156"/>
      <c r="AK4083" s="156"/>
      <c r="AL4083" s="156"/>
      <c r="AM4083" s="156"/>
      <c r="AN4083" s="156"/>
      <c r="AO4083" s="156"/>
      <c r="AP4083" s="156"/>
      <c r="AQ4083" s="156"/>
      <c r="AR4083" s="156"/>
      <c r="AS4083" s="156"/>
      <c r="AT4083" s="156"/>
      <c r="AU4083" s="156"/>
      <c r="AV4083" s="156"/>
      <c r="AW4083" s="156"/>
      <c r="AX4083" s="156"/>
      <c r="AY4083" s="156"/>
      <c r="AZ4083" s="156"/>
      <c r="BA4083" s="156"/>
      <c r="BB4083" s="2828"/>
      <c r="BC4083" s="452"/>
      <c r="BD4083" s="2829"/>
      <c r="BE4083" s="2837"/>
      <c r="BF4083" s="156"/>
    </row>
    <row r="4084" spans="1:58" ht="15" customHeight="1" outlineLevel="1" x14ac:dyDescent="0.35">
      <c r="A4084" s="1664"/>
      <c r="B4084" s="2812"/>
      <c r="C4084" s="3077"/>
      <c r="D4084" s="3980"/>
      <c r="E4084" s="3883"/>
      <c r="F4084" s="3984" t="str">
        <f t="shared" si="451"/>
        <v>ASHP-SEER16-Replace_CAC_ElectricHeat_ER2_SF</v>
      </c>
      <c r="G4084" s="3984"/>
      <c r="H4084" s="3984"/>
      <c r="I4084" s="3984"/>
      <c r="J4084" s="3508" t="str">
        <f t="shared" si="452"/>
        <v>352500_2021_12_</v>
      </c>
      <c r="K4084" s="462"/>
      <c r="L4084" s="93" t="str">
        <f>IF(K4084&gt;0,VLOOKUP(J4084,$J$1940:$L$2132,3,FALSE),"")</f>
        <v/>
      </c>
      <c r="M4084" s="3031" t="str">
        <f>IF(K4084&gt;0,VLOOKUP(J4084,$J$3484:$K$3676,2,FALSE),"")</f>
        <v/>
      </c>
      <c r="N4084" s="963"/>
      <c r="O4084" s="106"/>
      <c r="P4084" s="702"/>
      <c r="Q4084" s="702"/>
      <c r="R4084" s="702"/>
      <c r="S4084" s="106"/>
      <c r="T4084" s="486"/>
      <c r="U4084" s="106"/>
      <c r="V4084" s="4129"/>
      <c r="W4084" s="2440"/>
      <c r="X4084" s="465"/>
      <c r="Y4084" s="465"/>
      <c r="Z4084" s="462"/>
      <c r="AA4084" s="462"/>
      <c r="AB4084" s="462"/>
      <c r="AC4084" s="3568"/>
      <c r="AD4084" s="462"/>
      <c r="AE4084" s="2939"/>
      <c r="AF4084" s="663"/>
      <c r="AG4084" s="663"/>
      <c r="AH4084" s="156"/>
      <c r="AI4084" s="156"/>
      <c r="AJ4084" s="156"/>
      <c r="AK4084" s="156"/>
      <c r="AL4084" s="156"/>
      <c r="AM4084" s="156"/>
      <c r="AN4084" s="156"/>
      <c r="AO4084" s="156"/>
      <c r="AP4084" s="156"/>
      <c r="AQ4084" s="156"/>
      <c r="AR4084" s="156"/>
      <c r="AS4084" s="156"/>
      <c r="AT4084" s="156"/>
      <c r="AU4084" s="156"/>
      <c r="AV4084" s="156"/>
      <c r="AW4084" s="156"/>
      <c r="AX4084" s="156"/>
      <c r="AY4084" s="156"/>
      <c r="AZ4084" s="156"/>
      <c r="BA4084" s="156"/>
      <c r="BB4084" s="2828"/>
      <c r="BC4084" s="452"/>
      <c r="BD4084" s="2829"/>
      <c r="BE4084" s="2837"/>
      <c r="BF4084" s="156"/>
    </row>
    <row r="4085" spans="1:58" ht="15" customHeight="1" outlineLevel="1" x14ac:dyDescent="0.35">
      <c r="A4085" s="1664"/>
      <c r="B4085" s="2812"/>
      <c r="C4085" s="3077"/>
      <c r="D4085" s="3980"/>
      <c r="E4085" s="3883"/>
      <c r="F4085" s="3984" t="str">
        <f t="shared" si="451"/>
        <v>ASHP-SEER16-Replace_CAC_ElectricHeat_ER2_SF</v>
      </c>
      <c r="G4085" s="3984"/>
      <c r="H4085" s="3984"/>
      <c r="I4085" s="3984"/>
      <c r="J4085" s="3508" t="str">
        <f t="shared" si="452"/>
        <v>352500_2021_12_</v>
      </c>
      <c r="K4085" s="462"/>
      <c r="L4085" s="93" t="str">
        <f>IF(K4085&gt;0,VLOOKUP(J4085,$J$1940:$L$2132,3,FALSE),"")</f>
        <v/>
      </c>
      <c r="M4085" s="3031" t="str">
        <f>IF(K4085&gt;0,VLOOKUP(J4085,$J$3484:$K$3676,2,FALSE),"")</f>
        <v/>
      </c>
      <c r="N4085" s="963"/>
      <c r="O4085" s="106"/>
      <c r="P4085" s="702"/>
      <c r="Q4085" s="702"/>
      <c r="R4085" s="702"/>
      <c r="S4085" s="106"/>
      <c r="T4085" s="486"/>
      <c r="U4085" s="106"/>
      <c r="V4085" s="4129"/>
      <c r="W4085" s="2440"/>
      <c r="X4085" s="465"/>
      <c r="Y4085" s="465"/>
      <c r="Z4085" s="462"/>
      <c r="AA4085" s="462"/>
      <c r="AB4085" s="462"/>
      <c r="AC4085" s="3568"/>
      <c r="AD4085" s="462"/>
      <c r="AE4085" s="2939"/>
      <c r="AF4085" s="663"/>
      <c r="AG4085" s="663"/>
      <c r="AH4085" s="156"/>
      <c r="AI4085" s="156"/>
      <c r="AJ4085" s="156"/>
      <c r="AK4085" s="156"/>
      <c r="AL4085" s="156"/>
      <c r="AM4085" s="156"/>
      <c r="AN4085" s="156"/>
      <c r="AO4085" s="156"/>
      <c r="AP4085" s="156"/>
      <c r="AQ4085" s="156"/>
      <c r="AR4085" s="156"/>
      <c r="AS4085" s="156"/>
      <c r="AT4085" s="156"/>
      <c r="AU4085" s="156"/>
      <c r="AV4085" s="156"/>
      <c r="AW4085" s="156"/>
      <c r="AX4085" s="156"/>
      <c r="AY4085" s="156"/>
      <c r="AZ4085" s="156"/>
      <c r="BA4085" s="156"/>
      <c r="BB4085" s="2828"/>
      <c r="BC4085" s="452"/>
      <c r="BD4085" s="2829"/>
      <c r="BE4085" s="2837"/>
      <c r="BF4085" s="156"/>
    </row>
    <row r="4086" spans="1:58" ht="15" customHeight="1" outlineLevel="1" x14ac:dyDescent="0.35">
      <c r="A4086" s="1664"/>
      <c r="B4086" s="2812"/>
      <c r="C4086" s="3077"/>
      <c r="D4086" s="3980"/>
      <c r="E4086" s="3883"/>
      <c r="F4086" s="3984" t="str">
        <f t="shared" si="451"/>
        <v>ASHP-SEER16-Replace_CAC_NonElectricHeat_ER1_SF</v>
      </c>
      <c r="G4086" s="3984"/>
      <c r="H4086" s="3984"/>
      <c r="I4086" s="3984"/>
      <c r="J4086" s="3508" t="str">
        <f t="shared" si="452"/>
        <v>352510_2021_12_</v>
      </c>
      <c r="K4086" s="465">
        <f>(($R$1960*L4086)+$R$1945)-(($Q$1960*L4086)/((1+$R$1962)^($R$1963-1)))</f>
        <v>1096.0970591411706</v>
      </c>
      <c r="L4086" s="96">
        <f>VLOOKUP(J4086,$J$1940:$L$2132,3,FALSE)*M4086</f>
        <v>2.754260212004862</v>
      </c>
      <c r="M4086" s="3031">
        <f>VLOOKUP(J4086,$J$3484:$K$3676,2,FALSE)</f>
        <v>1</v>
      </c>
      <c r="N4086" s="963"/>
      <c r="O4086" s="106"/>
      <c r="P4086" s="702"/>
      <c r="Q4086" s="702"/>
      <c r="R4086" s="702"/>
      <c r="S4086" s="106"/>
      <c r="T4086" s="486"/>
      <c r="U4086" s="106"/>
      <c r="V4086" s="4129"/>
      <c r="W4086" s="2440"/>
      <c r="X4086" s="465"/>
      <c r="Y4086" s="465"/>
      <c r="Z4086" s="462"/>
      <c r="AA4086" s="462"/>
      <c r="AB4086" s="462"/>
      <c r="AC4086" s="3569">
        <v>1136.2940995261133</v>
      </c>
      <c r="AD4086" s="465">
        <v>1096.0970591411706</v>
      </c>
      <c r="AE4086" s="2939"/>
      <c r="AF4086" s="663"/>
      <c r="AG4086" s="663"/>
      <c r="AH4086" s="156"/>
      <c r="AI4086" s="156"/>
      <c r="AJ4086" s="156"/>
      <c r="AK4086" s="156"/>
      <c r="AL4086" s="156"/>
      <c r="AM4086" s="156"/>
      <c r="AN4086" s="156"/>
      <c r="AO4086" s="156"/>
      <c r="AP4086" s="156"/>
      <c r="AQ4086" s="156"/>
      <c r="AR4086" s="156"/>
      <c r="AS4086" s="156"/>
      <c r="AT4086" s="156"/>
      <c r="AU4086" s="156"/>
      <c r="AV4086" s="156"/>
      <c r="AW4086" s="156"/>
      <c r="AX4086" s="156"/>
      <c r="AY4086" s="156"/>
      <c r="AZ4086" s="156"/>
      <c r="BA4086" s="156"/>
      <c r="BB4086" s="2828"/>
      <c r="BC4086" s="452"/>
      <c r="BD4086" s="2829"/>
      <c r="BE4086" s="2837"/>
      <c r="BF4086" s="156"/>
    </row>
    <row r="4087" spans="1:58" ht="15" customHeight="1" outlineLevel="1" x14ac:dyDescent="0.35">
      <c r="A4087" s="1664"/>
      <c r="B4087" s="2812"/>
      <c r="C4087" s="3077"/>
      <c r="D4087" s="3980"/>
      <c r="E4087" s="3883"/>
      <c r="F4087" s="3984" t="str">
        <f t="shared" si="451"/>
        <v>ASHP-SEER16-Replace_CAC_NonElectricHeat_ER1_SF</v>
      </c>
      <c r="G4087" s="3984"/>
      <c r="H4087" s="3984"/>
      <c r="I4087" s="3984"/>
      <c r="J4087" s="3508" t="str">
        <f t="shared" si="452"/>
        <v>352510_2021_12_</v>
      </c>
      <c r="K4087" s="462"/>
      <c r="L4087" s="93"/>
      <c r="M4087" s="3031"/>
      <c r="N4087" s="963"/>
      <c r="O4087" s="106"/>
      <c r="P4087" s="702"/>
      <c r="Q4087" s="702"/>
      <c r="R4087" s="702"/>
      <c r="S4087" s="106"/>
      <c r="T4087" s="486"/>
      <c r="U4087" s="106"/>
      <c r="V4087" s="4129"/>
      <c r="W4087" s="2440"/>
      <c r="X4087" s="465"/>
      <c r="Y4087" s="465"/>
      <c r="Z4087" s="462"/>
      <c r="AA4087" s="462"/>
      <c r="AB4087" s="462"/>
      <c r="AC4087" s="3568"/>
      <c r="AD4087" s="462"/>
      <c r="AE4087" s="2939"/>
      <c r="AF4087" s="663"/>
      <c r="AG4087" s="663"/>
      <c r="AH4087" s="156"/>
      <c r="AI4087" s="156"/>
      <c r="AJ4087" s="156"/>
      <c r="AK4087" s="156"/>
      <c r="AL4087" s="156"/>
      <c r="AM4087" s="156"/>
      <c r="AN4087" s="156"/>
      <c r="AO4087" s="156"/>
      <c r="AP4087" s="156"/>
      <c r="AQ4087" s="156"/>
      <c r="AR4087" s="156"/>
      <c r="AS4087" s="156"/>
      <c r="AT4087" s="156"/>
      <c r="AU4087" s="156"/>
      <c r="AV4087" s="156"/>
      <c r="AW4087" s="156"/>
      <c r="AX4087" s="156"/>
      <c r="AY4087" s="156"/>
      <c r="AZ4087" s="156"/>
      <c r="BA4087" s="156"/>
      <c r="BB4087" s="2828"/>
      <c r="BC4087" s="452"/>
      <c r="BD4087" s="2829"/>
      <c r="BE4087" s="2837"/>
      <c r="BF4087" s="156"/>
    </row>
    <row r="4088" spans="1:58" ht="15" customHeight="1" outlineLevel="1" x14ac:dyDescent="0.35">
      <c r="A4088" s="1664"/>
      <c r="B4088" s="2812"/>
      <c r="C4088" s="3077"/>
      <c r="D4088" s="3980"/>
      <c r="E4088" s="3883"/>
      <c r="F4088" s="3984" t="str">
        <f t="shared" si="451"/>
        <v>ASHP-SEER16-Replace_CAC_NonElectricHeat_ER2_SF</v>
      </c>
      <c r="G4088" s="3984"/>
      <c r="H4088" s="3984"/>
      <c r="I4088" s="3984"/>
      <c r="J4088" s="3508" t="str">
        <f t="shared" si="452"/>
        <v>352510_2021_12_</v>
      </c>
      <c r="K4088" s="462"/>
      <c r="L4088" s="93"/>
      <c r="M4088" s="3031"/>
      <c r="N4088" s="963"/>
      <c r="O4088" s="106"/>
      <c r="P4088" s="702"/>
      <c r="Q4088" s="702"/>
      <c r="R4088" s="702"/>
      <c r="S4088" s="106"/>
      <c r="T4088" s="486"/>
      <c r="U4088" s="106"/>
      <c r="V4088" s="4129"/>
      <c r="W4088" s="2440"/>
      <c r="X4088" s="465"/>
      <c r="Y4088" s="465"/>
      <c r="Z4088" s="462"/>
      <c r="AA4088" s="462"/>
      <c r="AB4088" s="462"/>
      <c r="AC4088" s="3568"/>
      <c r="AD4088" s="462"/>
      <c r="AE4088" s="2939"/>
      <c r="AF4088" s="663"/>
      <c r="AG4088" s="663"/>
      <c r="AH4088" s="156"/>
      <c r="AI4088" s="156"/>
      <c r="AJ4088" s="156"/>
      <c r="AK4088" s="156"/>
      <c r="AL4088" s="156"/>
      <c r="AM4088" s="156"/>
      <c r="AN4088" s="156"/>
      <c r="AO4088" s="156"/>
      <c r="AP4088" s="156"/>
      <c r="AQ4088" s="156"/>
      <c r="AR4088" s="156"/>
      <c r="AS4088" s="156"/>
      <c r="AT4088" s="156"/>
      <c r="AU4088" s="156"/>
      <c r="AV4088" s="156"/>
      <c r="AW4088" s="156"/>
      <c r="AX4088" s="156"/>
      <c r="AY4088" s="156"/>
      <c r="AZ4088" s="156"/>
      <c r="BA4088" s="156"/>
      <c r="BB4088" s="2828"/>
      <c r="BC4088" s="452"/>
      <c r="BD4088" s="2829"/>
      <c r="BE4088" s="2837"/>
      <c r="BF4088" s="156"/>
    </row>
    <row r="4089" spans="1:58" ht="15" customHeight="1" outlineLevel="1" x14ac:dyDescent="0.35">
      <c r="A4089" s="1664"/>
      <c r="B4089" s="2812"/>
      <c r="C4089" s="3077"/>
      <c r="D4089" s="3980"/>
      <c r="E4089" s="3883"/>
      <c r="F4089" s="3984" t="str">
        <f t="shared" si="451"/>
        <v>ASHP-SEER16-Replace_CAC_NonElectricHeat_ER2_SF</v>
      </c>
      <c r="G4089" s="3984"/>
      <c r="H4089" s="3984"/>
      <c r="I4089" s="3984"/>
      <c r="J4089" s="3508" t="str">
        <f t="shared" si="452"/>
        <v>352510_2021_12_</v>
      </c>
      <c r="K4089" s="462"/>
      <c r="L4089" s="93"/>
      <c r="M4089" s="3031"/>
      <c r="N4089" s="963"/>
      <c r="O4089" s="106"/>
      <c r="P4089" s="702"/>
      <c r="Q4089" s="702"/>
      <c r="R4089" s="702"/>
      <c r="S4089" s="106"/>
      <c r="T4089" s="486"/>
      <c r="U4089" s="106"/>
      <c r="V4089" s="4129"/>
      <c r="W4089" s="2440"/>
      <c r="X4089" s="465"/>
      <c r="Y4089" s="465"/>
      <c r="Z4089" s="462"/>
      <c r="AA4089" s="462"/>
      <c r="AB4089" s="462"/>
      <c r="AC4089" s="3568"/>
      <c r="AD4089" s="462"/>
      <c r="AE4089" s="2939"/>
      <c r="AF4089" s="663"/>
      <c r="AG4089" s="663"/>
      <c r="AH4089" s="156"/>
      <c r="AI4089" s="156"/>
      <c r="AJ4089" s="156"/>
      <c r="AK4089" s="156"/>
      <c r="AL4089" s="156"/>
      <c r="AM4089" s="156"/>
      <c r="AN4089" s="156"/>
      <c r="AO4089" s="156"/>
      <c r="AP4089" s="156"/>
      <c r="AQ4089" s="156"/>
      <c r="AR4089" s="156"/>
      <c r="AS4089" s="156"/>
      <c r="AT4089" s="156"/>
      <c r="AU4089" s="156"/>
      <c r="AV4089" s="156"/>
      <c r="AW4089" s="156"/>
      <c r="AX4089" s="156"/>
      <c r="AY4089" s="156"/>
      <c r="AZ4089" s="156"/>
      <c r="BA4089" s="156"/>
      <c r="BB4089" s="2828"/>
      <c r="BC4089" s="452"/>
      <c r="BD4089" s="2829"/>
      <c r="BE4089" s="2837"/>
      <c r="BF4089" s="156"/>
    </row>
    <row r="4090" spans="1:58" ht="15" customHeight="1" outlineLevel="1" x14ac:dyDescent="0.35">
      <c r="A4090" s="1664"/>
      <c r="B4090" s="2812"/>
      <c r="C4090" s="3077"/>
      <c r="D4090" s="3980"/>
      <c r="E4090" s="3883"/>
      <c r="F4090" s="3984" t="str">
        <f t="shared" si="451"/>
        <v>ASHP-SEER16_ER1_SF</v>
      </c>
      <c r="G4090" s="3984"/>
      <c r="H4090" s="3984"/>
      <c r="I4090" s="3984"/>
      <c r="J4090" s="3508" t="str">
        <f t="shared" si="452"/>
        <v>352550_2021_12_</v>
      </c>
      <c r="K4090" s="465">
        <f>(($R$1960*L4090)+$R$1945)-(($Q$1960*L4090)/((1+$R$1962)^($R$1963-1)))</f>
        <v>1096.0970591411706</v>
      </c>
      <c r="L4090" s="96">
        <f>VLOOKUP(J4090,$J$1940:$L$2132,3,FALSE)*M4090</f>
        <v>2.754260212004862</v>
      </c>
      <c r="M4090" s="3031">
        <f>VLOOKUP(J4090,$J$3484:$K$3676,2,FALSE)</f>
        <v>1</v>
      </c>
      <c r="N4090" s="963"/>
      <c r="O4090" s="106"/>
      <c r="P4090" s="702"/>
      <c r="Q4090" s="702"/>
      <c r="R4090" s="702"/>
      <c r="S4090" s="106"/>
      <c r="T4090" s="486"/>
      <c r="U4090" s="106"/>
      <c r="V4090" s="4129"/>
      <c r="W4090" s="2440">
        <v>3083.4857044416549</v>
      </c>
      <c r="X4090" s="465">
        <f>$Q$1945*(X$1953/12000)*X$3497</f>
        <v>3533.7296154662076</v>
      </c>
      <c r="Y4090" s="465">
        <v>1279.4751679218225</v>
      </c>
      <c r="Z4090" s="462">
        <v>1279.4751679218225</v>
      </c>
      <c r="AA4090" s="462">
        <v>1279.4751679218225</v>
      </c>
      <c r="AB4090" s="465">
        <v>1181.0521038690172</v>
      </c>
      <c r="AC4090" s="3569">
        <v>1165.4895470570027</v>
      </c>
      <c r="AD4090" s="465">
        <v>1096.0970591411706</v>
      </c>
      <c r="AE4090" s="2939"/>
      <c r="AF4090" s="663"/>
      <c r="AG4090" s="663"/>
      <c r="AH4090" s="156"/>
      <c r="AI4090" s="156"/>
      <c r="AJ4090" s="156"/>
      <c r="AK4090" s="156"/>
      <c r="AL4090" s="156"/>
      <c r="AM4090" s="156"/>
      <c r="AN4090" s="156"/>
      <c r="AO4090" s="156"/>
      <c r="AP4090" s="156"/>
      <c r="AQ4090" s="156"/>
      <c r="AR4090" s="156"/>
      <c r="AS4090" s="156"/>
      <c r="AT4090" s="156"/>
      <c r="AU4090" s="156"/>
      <c r="AV4090" s="156"/>
      <c r="AW4090" s="156"/>
      <c r="AX4090" s="156"/>
      <c r="AY4090" s="156"/>
      <c r="AZ4090" s="156"/>
      <c r="BA4090" s="156"/>
      <c r="BB4090" s="2828"/>
      <c r="BC4090" s="452"/>
      <c r="BD4090" s="2829"/>
      <c r="BE4090" s="2837"/>
      <c r="BF4090" s="156"/>
    </row>
    <row r="4091" spans="1:58" ht="15" customHeight="1" outlineLevel="1" x14ac:dyDescent="0.35">
      <c r="A4091" s="1664"/>
      <c r="B4091" s="2812"/>
      <c r="C4091" s="3077"/>
      <c r="D4091" s="3980"/>
      <c r="E4091" s="3883"/>
      <c r="F4091" s="3984" t="str">
        <f t="shared" si="451"/>
        <v>ASHP-SEER16_ER1_SF</v>
      </c>
      <c r="G4091" s="3984"/>
      <c r="H4091" s="3984"/>
      <c r="I4091" s="3984"/>
      <c r="J4091" s="3508" t="str">
        <f t="shared" si="452"/>
        <v>352550_2021_12_</v>
      </c>
      <c r="K4091" s="462"/>
      <c r="L4091" s="93" t="str">
        <f>IF(K4091&gt;0,VLOOKUP(J4091,$J$1940:$L$2132,3,FALSE),"")</f>
        <v/>
      </c>
      <c r="M4091" s="3031" t="str">
        <f>IF(K4091&gt;0,VLOOKUP(J4091,$J$3484:$K$3676,2,FALSE),"")</f>
        <v/>
      </c>
      <c r="N4091" s="963"/>
      <c r="O4091" s="106"/>
      <c r="P4091" s="702"/>
      <c r="Q4091" s="702"/>
      <c r="R4091" s="702"/>
      <c r="S4091" s="106"/>
      <c r="T4091" s="486"/>
      <c r="U4091" s="106"/>
      <c r="V4091" s="4129"/>
      <c r="W4091" s="2440"/>
      <c r="X4091" s="465"/>
      <c r="Y4091" s="465"/>
      <c r="Z4091" s="462"/>
      <c r="AA4091" s="462"/>
      <c r="AB4091" s="465"/>
      <c r="AC4091" s="3568"/>
      <c r="AD4091" s="462"/>
      <c r="AE4091" s="2939"/>
      <c r="AF4091" s="663"/>
      <c r="AG4091" s="663"/>
      <c r="AH4091" s="156"/>
      <c r="AI4091" s="156"/>
      <c r="AJ4091" s="156"/>
      <c r="AK4091" s="156"/>
      <c r="AL4091" s="156"/>
      <c r="AM4091" s="156"/>
      <c r="AN4091" s="156"/>
      <c r="AO4091" s="156"/>
      <c r="AP4091" s="156"/>
      <c r="AQ4091" s="156"/>
      <c r="AR4091" s="156"/>
      <c r="AS4091" s="156"/>
      <c r="AT4091" s="156"/>
      <c r="AU4091" s="156"/>
      <c r="AV4091" s="156"/>
      <c r="AW4091" s="156"/>
      <c r="AX4091" s="156"/>
      <c r="AY4091" s="156"/>
      <c r="AZ4091" s="156"/>
      <c r="BA4091" s="156"/>
      <c r="BB4091" s="2828"/>
      <c r="BC4091" s="452"/>
      <c r="BD4091" s="2829"/>
      <c r="BE4091" s="2837"/>
      <c r="BF4091" s="156"/>
    </row>
    <row r="4092" spans="1:58" ht="15" customHeight="1" outlineLevel="1" x14ac:dyDescent="0.35">
      <c r="A4092" s="1664"/>
      <c r="B4092" s="2812"/>
      <c r="C4092" s="3077"/>
      <c r="D4092" s="3980"/>
      <c r="E4092" s="3883"/>
      <c r="F4092" s="3984" t="str">
        <f t="shared" si="451"/>
        <v>ASHP-SEER16_ER2_SF</v>
      </c>
      <c r="G4092" s="3984"/>
      <c r="H4092" s="3984"/>
      <c r="I4092" s="3984"/>
      <c r="J4092" s="3508" t="str">
        <f t="shared" si="452"/>
        <v>352550_2021_12_</v>
      </c>
      <c r="K4092" s="462"/>
      <c r="L4092" s="93" t="str">
        <f>IF(K4092&gt;0,VLOOKUP(J4092,$J$1940:$L$2132,3,FALSE),"")</f>
        <v/>
      </c>
      <c r="M4092" s="3031" t="str">
        <f>IF(K4092&gt;0,VLOOKUP(J4092,$J$3484:$K$3676,2,FALSE),"")</f>
        <v/>
      </c>
      <c r="N4092" s="963"/>
      <c r="O4092" s="106"/>
      <c r="P4092" s="702"/>
      <c r="Q4092" s="702"/>
      <c r="R4092" s="702"/>
      <c r="S4092" s="106"/>
      <c r="T4092" s="486"/>
      <c r="U4092" s="106"/>
      <c r="V4092" s="4129"/>
      <c r="W4092" s="2440"/>
      <c r="X4092" s="465"/>
      <c r="Y4092" s="465"/>
      <c r="Z4092" s="462"/>
      <c r="AA4092" s="462"/>
      <c r="AB4092" s="465"/>
      <c r="AC4092" s="3568"/>
      <c r="AD4092" s="462"/>
      <c r="AE4092" s="2939"/>
      <c r="AF4092" s="663"/>
      <c r="AG4092" s="663"/>
      <c r="AH4092" s="156"/>
      <c r="AI4092" s="156"/>
      <c r="AJ4092" s="156"/>
      <c r="AK4092" s="156"/>
      <c r="AL4092" s="156"/>
      <c r="AM4092" s="156"/>
      <c r="AN4092" s="156"/>
      <c r="AO4092" s="156"/>
      <c r="AP4092" s="156"/>
      <c r="AQ4092" s="156"/>
      <c r="AR4092" s="156"/>
      <c r="AS4092" s="156"/>
      <c r="AT4092" s="156"/>
      <c r="AU4092" s="156"/>
      <c r="AV4092" s="156"/>
      <c r="AW4092" s="156"/>
      <c r="AX4092" s="156"/>
      <c r="AY4092" s="156"/>
      <c r="AZ4092" s="156"/>
      <c r="BA4092" s="156"/>
      <c r="BB4092" s="2828"/>
      <c r="BC4092" s="452"/>
      <c r="BD4092" s="2829"/>
      <c r="BE4092" s="2837"/>
      <c r="BF4092" s="156"/>
    </row>
    <row r="4093" spans="1:58" ht="15" customHeight="1" outlineLevel="1" x14ac:dyDescent="0.35">
      <c r="A4093" s="1664"/>
      <c r="B4093" s="2812"/>
      <c r="C4093" s="3077"/>
      <c r="D4093" s="3980"/>
      <c r="E4093" s="3883"/>
      <c r="F4093" s="3984" t="str">
        <f t="shared" si="451"/>
        <v>ASHP-SEER16_ER2_SF</v>
      </c>
      <c r="G4093" s="3984"/>
      <c r="H4093" s="3984"/>
      <c r="I4093" s="3984"/>
      <c r="J4093" s="3508" t="str">
        <f t="shared" si="452"/>
        <v>352550_2021_12_</v>
      </c>
      <c r="K4093" s="462"/>
      <c r="L4093" s="93" t="str">
        <f>IF(K4093&gt;0,VLOOKUP(J4093,$J$1940:$L$2132,3,FALSE),"")</f>
        <v/>
      </c>
      <c r="M4093" s="3031" t="str">
        <f>IF(K4093&gt;0,VLOOKUP(J4093,$J$3484:$K$3676,2,FALSE),"")</f>
        <v/>
      </c>
      <c r="N4093" s="963"/>
      <c r="O4093" s="106"/>
      <c r="P4093" s="702"/>
      <c r="Q4093" s="702"/>
      <c r="R4093" s="702"/>
      <c r="S4093" s="106"/>
      <c r="T4093" s="486"/>
      <c r="U4093" s="106"/>
      <c r="V4093" s="4129"/>
      <c r="W4093" s="2440"/>
      <c r="X4093" s="465"/>
      <c r="Y4093" s="465"/>
      <c r="Z4093" s="462"/>
      <c r="AA4093" s="462"/>
      <c r="AB4093" s="465"/>
      <c r="AC4093" s="3568"/>
      <c r="AD4093" s="462"/>
      <c r="AE4093" s="2939"/>
      <c r="AF4093" s="663"/>
      <c r="AG4093" s="663"/>
      <c r="AH4093" s="156"/>
      <c r="AI4093" s="156"/>
      <c r="AJ4093" s="156"/>
      <c r="AK4093" s="156"/>
      <c r="AL4093" s="156"/>
      <c r="AM4093" s="156"/>
      <c r="AN4093" s="156"/>
      <c r="AO4093" s="156"/>
      <c r="AP4093" s="156"/>
      <c r="AQ4093" s="156"/>
      <c r="AR4093" s="156"/>
      <c r="AS4093" s="156"/>
      <c r="AT4093" s="156"/>
      <c r="AU4093" s="156"/>
      <c r="AV4093" s="156"/>
      <c r="AW4093" s="156"/>
      <c r="AX4093" s="156"/>
      <c r="AY4093" s="156"/>
      <c r="AZ4093" s="156"/>
      <c r="BA4093" s="156"/>
      <c r="BB4093" s="2828"/>
      <c r="BC4093" s="452"/>
      <c r="BD4093" s="2829"/>
      <c r="BE4093" s="2837"/>
      <c r="BF4093" s="156"/>
    </row>
    <row r="4094" spans="1:58" ht="15" customHeight="1" outlineLevel="1" x14ac:dyDescent="0.35">
      <c r="A4094" s="1664"/>
      <c r="B4094" s="2812"/>
      <c r="C4094" s="3077"/>
      <c r="D4094" s="3980"/>
      <c r="E4094" s="3883"/>
      <c r="F4094" s="3984" t="str">
        <f t="shared" si="451"/>
        <v>ASHP-SEER16-Replace_CAC_ElectricHeat_ROF_SF</v>
      </c>
      <c r="G4094" s="3984"/>
      <c r="H4094" s="3984"/>
      <c r="I4094" s="3984"/>
      <c r="J4094" s="3508" t="str">
        <f t="shared" si="452"/>
        <v>352600_2021_12_</v>
      </c>
      <c r="K4094" s="462">
        <f>$R$1945*K$3499</f>
        <v>438</v>
      </c>
      <c r="L4094" s="93">
        <f>VLOOKUP(J4094,$J$1940:$L$2132,3,FALSE)*M4094</f>
        <v>2.9702472838686789</v>
      </c>
      <c r="M4094" s="3031">
        <f>VLOOKUP(J4094,$J$3484:$K$3676,2,FALSE)</f>
        <v>1</v>
      </c>
      <c r="N4094" s="963"/>
      <c r="O4094" s="106"/>
      <c r="P4094" s="702"/>
      <c r="Q4094" s="702"/>
      <c r="R4094" s="702"/>
      <c r="S4094" s="106"/>
      <c r="T4094" s="486"/>
      <c r="U4094" s="106"/>
      <c r="V4094" s="4129"/>
      <c r="W4094" s="2440">
        <v>1256.6400000000001</v>
      </c>
      <c r="X4094" s="465">
        <f>$R$1945*(X$1955/12000)*X$3499</f>
        <v>1340.28</v>
      </c>
      <c r="Y4094" s="465">
        <v>392.7</v>
      </c>
      <c r="Z4094" s="462">
        <v>392.7</v>
      </c>
      <c r="AA4094" s="462">
        <v>392.7</v>
      </c>
      <c r="AB4094" s="465">
        <v>438</v>
      </c>
      <c r="AC4094" s="3568">
        <v>438</v>
      </c>
      <c r="AD4094" s="462">
        <v>438</v>
      </c>
      <c r="AE4094" s="2939"/>
      <c r="AF4094" s="663"/>
      <c r="AG4094" s="663"/>
      <c r="AH4094" s="156"/>
      <c r="AI4094" s="156"/>
      <c r="AJ4094" s="156"/>
      <c r="AK4094" s="156"/>
      <c r="AL4094" s="156"/>
      <c r="AM4094" s="156"/>
      <c r="AN4094" s="156"/>
      <c r="AO4094" s="156"/>
      <c r="AP4094" s="156"/>
      <c r="AQ4094" s="156"/>
      <c r="AR4094" s="156"/>
      <c r="AS4094" s="156"/>
      <c r="AT4094" s="156"/>
      <c r="AU4094" s="156"/>
      <c r="AV4094" s="156"/>
      <c r="AW4094" s="156"/>
      <c r="AX4094" s="156"/>
      <c r="AY4094" s="156"/>
      <c r="AZ4094" s="156"/>
      <c r="BA4094" s="156"/>
      <c r="BB4094" s="2828"/>
      <c r="BC4094" s="452"/>
      <c r="BD4094" s="2829"/>
      <c r="BE4094" s="2837"/>
      <c r="BF4094" s="156"/>
    </row>
    <row r="4095" spans="1:58" ht="15" customHeight="1" outlineLevel="1" x14ac:dyDescent="0.35">
      <c r="A4095" s="1664"/>
      <c r="B4095" s="2812"/>
      <c r="C4095" s="3077"/>
      <c r="D4095" s="3980"/>
      <c r="E4095" s="3883"/>
      <c r="F4095" s="3984" t="str">
        <f t="shared" si="451"/>
        <v>ASHP-SEER16-Replace_CAC_ElectricHeat_ROF_SF</v>
      </c>
      <c r="G4095" s="3984"/>
      <c r="H4095" s="3984"/>
      <c r="I4095" s="3984"/>
      <c r="J4095" s="3508" t="str">
        <f t="shared" si="452"/>
        <v>352600_2021_12_</v>
      </c>
      <c r="K4095" s="462"/>
      <c r="L4095" s="93" t="str">
        <f>IF(K4095&gt;0,VLOOKUP(J4095,$J$1940:$L$2132,3,FALSE),"")</f>
        <v/>
      </c>
      <c r="M4095" s="3031" t="str">
        <f>IF(K4095&gt;0,VLOOKUP(J4095,$J$3484:$K$3676,2,FALSE),"")</f>
        <v/>
      </c>
      <c r="N4095" s="963"/>
      <c r="O4095" s="106"/>
      <c r="P4095" s="702"/>
      <c r="Q4095" s="702"/>
      <c r="R4095" s="702"/>
      <c r="S4095" s="106"/>
      <c r="T4095" s="486"/>
      <c r="U4095" s="106"/>
      <c r="V4095" s="4129"/>
      <c r="W4095" s="2440"/>
      <c r="X4095" s="465"/>
      <c r="Y4095" s="465"/>
      <c r="Z4095" s="462"/>
      <c r="AA4095" s="462"/>
      <c r="AB4095" s="465"/>
      <c r="AC4095" s="3568"/>
      <c r="AD4095" s="462"/>
      <c r="AE4095" s="2939"/>
      <c r="AF4095" s="663"/>
      <c r="AG4095" s="663"/>
      <c r="AH4095" s="156"/>
      <c r="AI4095" s="156"/>
      <c r="AJ4095" s="156"/>
      <c r="AK4095" s="156"/>
      <c r="AL4095" s="156"/>
      <c r="AM4095" s="156"/>
      <c r="AN4095" s="156"/>
      <c r="AO4095" s="156"/>
      <c r="AP4095" s="156"/>
      <c r="AQ4095" s="156"/>
      <c r="AR4095" s="156"/>
      <c r="AS4095" s="156"/>
      <c r="AT4095" s="156"/>
      <c r="AU4095" s="156"/>
      <c r="AV4095" s="156"/>
      <c r="AW4095" s="156"/>
      <c r="AX4095" s="156"/>
      <c r="AY4095" s="156"/>
      <c r="AZ4095" s="156"/>
      <c r="BA4095" s="156"/>
      <c r="BB4095" s="2828"/>
      <c r="BC4095" s="452"/>
      <c r="BD4095" s="2829"/>
      <c r="BE4095" s="2837"/>
      <c r="BF4095" s="156"/>
    </row>
    <row r="4096" spans="1:58" ht="15" customHeight="1" outlineLevel="1" x14ac:dyDescent="0.35">
      <c r="A4096" s="1664"/>
      <c r="B4096" s="2812"/>
      <c r="C4096" s="3077"/>
      <c r="D4096" s="3980"/>
      <c r="E4096" s="3883"/>
      <c r="F4096" s="4182" t="str">
        <f t="shared" si="451"/>
        <v>ASHP-SEER16-Replace_CAC_NonElectricHeat_ROF_SF</v>
      </c>
      <c r="G4096" s="3989"/>
      <c r="H4096" s="3989"/>
      <c r="I4096" s="3990"/>
      <c r="J4096" s="3509" t="str">
        <f t="shared" si="452"/>
        <v>352610_2022_12_</v>
      </c>
      <c r="K4096" s="465">
        <f>$R$1945*K$3500</f>
        <v>438</v>
      </c>
      <c r="L4096" s="96">
        <f>VLOOKUP(J4096,$J$1940:$L$2132,3,FALSE)*M4096</f>
        <v>2.9702472838686789</v>
      </c>
      <c r="M4096" s="3526">
        <f>VLOOKUP(J4096,$J$3484:$K$3676,2,FALSE)</f>
        <v>1</v>
      </c>
      <c r="N4096" s="963"/>
      <c r="O4096" s="3391"/>
      <c r="P4096" s="702"/>
      <c r="Q4096" s="702"/>
      <c r="R4096" s="702"/>
      <c r="S4096" s="3391"/>
      <c r="T4096" s="3389"/>
      <c r="U4096" s="3391"/>
      <c r="V4096" s="4129"/>
      <c r="W4096" s="2440"/>
      <c r="X4096" s="465"/>
      <c r="Y4096" s="465"/>
      <c r="Z4096" s="462"/>
      <c r="AA4096" s="462"/>
      <c r="AB4096" s="465"/>
      <c r="AC4096" s="3568"/>
      <c r="AD4096" s="465">
        <v>438</v>
      </c>
      <c r="AE4096" s="2939"/>
      <c r="AF4096" s="663"/>
      <c r="AG4096" s="663"/>
      <c r="AH4096" s="156"/>
      <c r="AI4096" s="156"/>
      <c r="AJ4096" s="156"/>
      <c r="AK4096" s="156"/>
      <c r="AL4096" s="156"/>
      <c r="AM4096" s="156"/>
      <c r="AN4096" s="156"/>
      <c r="AO4096" s="156"/>
      <c r="AP4096" s="156"/>
      <c r="AQ4096" s="156"/>
      <c r="AR4096" s="156"/>
      <c r="AS4096" s="156"/>
      <c r="AT4096" s="156"/>
      <c r="AU4096" s="156"/>
      <c r="AV4096" s="156"/>
      <c r="AW4096" s="156"/>
      <c r="AX4096" s="156"/>
      <c r="AY4096" s="156"/>
      <c r="AZ4096" s="156"/>
      <c r="BA4096" s="156"/>
      <c r="BB4096" s="2828"/>
      <c r="BC4096" s="452"/>
      <c r="BD4096" s="2829"/>
      <c r="BE4096" s="2837"/>
      <c r="BF4096" s="156"/>
    </row>
    <row r="4097" spans="1:58" ht="15" customHeight="1" outlineLevel="1" x14ac:dyDescent="0.35">
      <c r="A4097" s="1664"/>
      <c r="B4097" s="2812"/>
      <c r="C4097" s="3077"/>
      <c r="D4097" s="3980"/>
      <c r="E4097" s="3883"/>
      <c r="F4097" s="4182" t="str">
        <f t="shared" si="451"/>
        <v>ASHP-SEER16-Replace_CAC_NonElectricHeat_ROF_SF</v>
      </c>
      <c r="G4097" s="3989"/>
      <c r="H4097" s="3989"/>
      <c r="I4097" s="3990"/>
      <c r="J4097" s="3509" t="str">
        <f t="shared" si="452"/>
        <v>352610_2022_12_</v>
      </c>
      <c r="K4097" s="465"/>
      <c r="L4097" s="96" t="str">
        <f>IF(K4097&gt;0,VLOOKUP(J4097,$J$1940:$L$2132,3,FALSE),"")</f>
        <v/>
      </c>
      <c r="M4097" s="3526" t="str">
        <f>IF(K4097&gt;0,VLOOKUP(J4097,$J$3484:$K$3676,2,FALSE),"")</f>
        <v/>
      </c>
      <c r="N4097" s="963"/>
      <c r="O4097" s="3391"/>
      <c r="P4097" s="702"/>
      <c r="Q4097" s="702"/>
      <c r="R4097" s="702"/>
      <c r="S4097" s="3391"/>
      <c r="T4097" s="3389"/>
      <c r="U4097" s="3391"/>
      <c r="V4097" s="4129"/>
      <c r="W4097" s="2440"/>
      <c r="X4097" s="465"/>
      <c r="Y4097" s="465"/>
      <c r="Z4097" s="462"/>
      <c r="AA4097" s="462"/>
      <c r="AB4097" s="465"/>
      <c r="AC4097" s="3568"/>
      <c r="AD4097" s="462"/>
      <c r="AE4097" s="2939"/>
      <c r="AF4097" s="663"/>
      <c r="AG4097" s="663"/>
      <c r="AH4097" s="156"/>
      <c r="AI4097" s="156"/>
      <c r="AJ4097" s="156"/>
      <c r="AK4097" s="156"/>
      <c r="AL4097" s="156"/>
      <c r="AM4097" s="156"/>
      <c r="AN4097" s="156"/>
      <c r="AO4097" s="156"/>
      <c r="AP4097" s="156"/>
      <c r="AQ4097" s="156"/>
      <c r="AR4097" s="156"/>
      <c r="AS4097" s="156"/>
      <c r="AT4097" s="156"/>
      <c r="AU4097" s="156"/>
      <c r="AV4097" s="156"/>
      <c r="AW4097" s="156"/>
      <c r="AX4097" s="156"/>
      <c r="AY4097" s="156"/>
      <c r="AZ4097" s="156"/>
      <c r="BA4097" s="156"/>
      <c r="BB4097" s="2828"/>
      <c r="BC4097" s="452"/>
      <c r="BD4097" s="2829"/>
      <c r="BE4097" s="2837"/>
      <c r="BF4097" s="156"/>
    </row>
    <row r="4098" spans="1:58" ht="15" customHeight="1" outlineLevel="1" x14ac:dyDescent="0.35">
      <c r="A4098" s="1664"/>
      <c r="B4098" s="2812"/>
      <c r="C4098" s="3077"/>
      <c r="D4098" s="3980"/>
      <c r="E4098" s="3883"/>
      <c r="F4098" s="3984" t="str">
        <f t="shared" si="451"/>
        <v>ASHP-SEER16_ROF_SF</v>
      </c>
      <c r="G4098" s="3984"/>
      <c r="H4098" s="3984"/>
      <c r="I4098" s="3984"/>
      <c r="J4098" s="3508" t="str">
        <f t="shared" si="452"/>
        <v>352650_2021_12_</v>
      </c>
      <c r="K4098" s="462">
        <f>$R$1945*K$3490</f>
        <v>438</v>
      </c>
      <c r="L4098" s="93">
        <f>VLOOKUP(J4098,$J$1940:$L$2132,3,FALSE)*M4098</f>
        <v>2.9702472838686789</v>
      </c>
      <c r="M4098" s="3031">
        <f>VLOOKUP(J4098,$J$3484:$K$3676,2,FALSE)</f>
        <v>1</v>
      </c>
      <c r="N4098" s="963"/>
      <c r="O4098" s="106"/>
      <c r="P4098" s="702"/>
      <c r="Q4098" s="702"/>
      <c r="R4098" s="702"/>
      <c r="S4098" s="106"/>
      <c r="T4098" s="486"/>
      <c r="U4098" s="106"/>
      <c r="V4098" s="4129"/>
      <c r="W4098" s="2440">
        <v>999.9</v>
      </c>
      <c r="X4098" s="465">
        <f>$R$1944*(X$1957/12000)*X$3501</f>
        <v>927.18000000000006</v>
      </c>
      <c r="Y4098" s="465">
        <v>392.7</v>
      </c>
      <c r="Z4098" s="462">
        <v>392.7</v>
      </c>
      <c r="AA4098" s="462">
        <v>392.7</v>
      </c>
      <c r="AB4098" s="465">
        <v>438</v>
      </c>
      <c r="AC4098" s="3568">
        <v>438</v>
      </c>
      <c r="AD4098" s="462">
        <v>438</v>
      </c>
      <c r="AE4098" s="2939"/>
      <c r="AF4098" s="663"/>
      <c r="AG4098" s="663"/>
      <c r="AH4098" s="156"/>
      <c r="AI4098" s="156"/>
      <c r="AJ4098" s="156"/>
      <c r="AK4098" s="156"/>
      <c r="AL4098" s="156"/>
      <c r="AM4098" s="156"/>
      <c r="AN4098" s="156"/>
      <c r="AO4098" s="156"/>
      <c r="AP4098" s="156"/>
      <c r="AQ4098" s="156"/>
      <c r="AR4098" s="156"/>
      <c r="AS4098" s="156"/>
      <c r="AT4098" s="156"/>
      <c r="AU4098" s="156"/>
      <c r="AV4098" s="156"/>
      <c r="AW4098" s="156"/>
      <c r="AX4098" s="156"/>
      <c r="AY4098" s="156"/>
      <c r="AZ4098" s="156"/>
      <c r="BA4098" s="156"/>
      <c r="BB4098" s="2828"/>
      <c r="BC4098" s="452"/>
      <c r="BD4098" s="2829"/>
      <c r="BE4098" s="2837"/>
      <c r="BF4098" s="156"/>
    </row>
    <row r="4099" spans="1:58" ht="15" customHeight="1" outlineLevel="1" x14ac:dyDescent="0.35">
      <c r="A4099" s="1664"/>
      <c r="B4099" s="2812"/>
      <c r="C4099" s="3077"/>
      <c r="D4099" s="3980"/>
      <c r="E4099" s="3883"/>
      <c r="F4099" s="3984" t="str">
        <f t="shared" si="451"/>
        <v>ASHP-SEER16_ROF_SF</v>
      </c>
      <c r="G4099" s="3984"/>
      <c r="H4099" s="3984"/>
      <c r="I4099" s="3984"/>
      <c r="J4099" s="3508" t="str">
        <f t="shared" si="452"/>
        <v>352650_2021_12_</v>
      </c>
      <c r="K4099" s="462"/>
      <c r="L4099" s="93" t="str">
        <f>IF(K4099&gt;0,VLOOKUP(J4099,$J$1940:$L$2132,3,FALSE),"")</f>
        <v/>
      </c>
      <c r="M4099" s="3031" t="str">
        <f>IF(K4099&gt;0,VLOOKUP(J4099,$J$3484:$K$3676,2,FALSE),"")</f>
        <v/>
      </c>
      <c r="N4099" s="963"/>
      <c r="O4099" s="106"/>
      <c r="P4099" s="702"/>
      <c r="Q4099" s="702"/>
      <c r="R4099" s="702"/>
      <c r="S4099" s="106"/>
      <c r="T4099" s="486"/>
      <c r="U4099" s="106"/>
      <c r="V4099" s="4129"/>
      <c r="W4099" s="2440"/>
      <c r="X4099" s="465"/>
      <c r="Y4099" s="465"/>
      <c r="Z4099" s="462"/>
      <c r="AA4099" s="462"/>
      <c r="AB4099" s="465"/>
      <c r="AC4099" s="3568"/>
      <c r="AD4099" s="462"/>
      <c r="AE4099" s="2939"/>
      <c r="AF4099" s="663"/>
      <c r="AG4099" s="663"/>
      <c r="AH4099" s="156"/>
      <c r="AI4099" s="156"/>
      <c r="AJ4099" s="156"/>
      <c r="AK4099" s="156"/>
      <c r="AL4099" s="156"/>
      <c r="AM4099" s="156"/>
      <c r="AN4099" s="156"/>
      <c r="AO4099" s="156"/>
      <c r="AP4099" s="156"/>
      <c r="AQ4099" s="156"/>
      <c r="AR4099" s="156"/>
      <c r="AS4099" s="156"/>
      <c r="AT4099" s="156"/>
      <c r="AU4099" s="156"/>
      <c r="AV4099" s="156"/>
      <c r="AW4099" s="156"/>
      <c r="AX4099" s="156"/>
      <c r="AY4099" s="156"/>
      <c r="AZ4099" s="156"/>
      <c r="BA4099" s="156"/>
      <c r="BB4099" s="2828"/>
      <c r="BC4099" s="452"/>
      <c r="BD4099" s="2829"/>
      <c r="BE4099" s="2837"/>
      <c r="BF4099" s="156"/>
    </row>
    <row r="4100" spans="1:58" ht="15" customHeight="1" outlineLevel="1" x14ac:dyDescent="0.35">
      <c r="A4100" s="1664"/>
      <c r="B4100" s="2812"/>
      <c r="C4100" s="3077"/>
      <c r="D4100" s="3980"/>
      <c r="E4100" s="3883"/>
      <c r="F4100" s="3984" t="str">
        <f t="shared" si="451"/>
        <v>ASHP-SEER15_ER1_MF</v>
      </c>
      <c r="G4100" s="3984"/>
      <c r="H4100" s="3984"/>
      <c r="I4100" s="3984"/>
      <c r="J4100" s="3508" t="str">
        <f t="shared" si="452"/>
        <v>352700_2021_12_</v>
      </c>
      <c r="K4100" s="465">
        <f>(($R$1960*L4100)+$R$1944)-(($Q$1960*L4100)/((1+$R$1962)^($R$1963-1)))</f>
        <v>1013.4419233826643</v>
      </c>
      <c r="L4100" s="96">
        <f>VLOOKUP(J4100,$J$1940:$L$2132,3,FALSE)*M4100</f>
        <v>2.9733333333333332</v>
      </c>
      <c r="M4100" s="3031">
        <f>VLOOKUP(J4100,$J$3484:$K$3676,2,FALSE)</f>
        <v>1</v>
      </c>
      <c r="N4100" s="963"/>
      <c r="O4100" s="106"/>
      <c r="P4100" s="702"/>
      <c r="Q4100" s="702"/>
      <c r="R4100" s="702"/>
      <c r="S4100" s="106"/>
      <c r="T4100" s="486"/>
      <c r="U4100" s="106"/>
      <c r="V4100" s="4129"/>
      <c r="W4100" s="2440">
        <v>2618.5377829603426</v>
      </c>
      <c r="X4100" s="465">
        <f>$Q$1944*(X$1958/12000)*X$3502</f>
        <v>2054.9244036484993</v>
      </c>
      <c r="Y4100" s="465">
        <v>870.25459154364216</v>
      </c>
      <c r="Z4100" s="462">
        <v>870.25459154364216</v>
      </c>
      <c r="AA4100" s="462">
        <v>870.25459154364216</v>
      </c>
      <c r="AB4100" s="465">
        <v>749.51513822467041</v>
      </c>
      <c r="AC4100" s="3569">
        <v>755.98637211198456</v>
      </c>
      <c r="AD4100" s="465">
        <v>764.78725019873173</v>
      </c>
      <c r="AE4100" s="2939"/>
      <c r="AF4100" s="663"/>
      <c r="AG4100" s="663"/>
      <c r="AH4100" s="156"/>
      <c r="AI4100" s="156"/>
      <c r="AJ4100" s="156"/>
      <c r="AK4100" s="156"/>
      <c r="AL4100" s="156"/>
      <c r="AM4100" s="156"/>
      <c r="AN4100" s="156"/>
      <c r="AO4100" s="156"/>
      <c r="AP4100" s="156"/>
      <c r="AQ4100" s="156"/>
      <c r="AR4100" s="156"/>
      <c r="AS4100" s="156"/>
      <c r="AT4100" s="156"/>
      <c r="AU4100" s="156"/>
      <c r="AV4100" s="156"/>
      <c r="AW4100" s="156"/>
      <c r="AX4100" s="156"/>
      <c r="AY4100" s="156"/>
      <c r="AZ4100" s="156"/>
      <c r="BA4100" s="156"/>
      <c r="BB4100" s="2828"/>
      <c r="BC4100" s="452"/>
      <c r="BD4100" s="2829"/>
      <c r="BE4100" s="2837"/>
      <c r="BF4100" s="156"/>
    </row>
    <row r="4101" spans="1:58" ht="15" customHeight="1" outlineLevel="1" x14ac:dyDescent="0.35">
      <c r="A4101" s="1664"/>
      <c r="B4101" s="2812"/>
      <c r="C4101" s="3077"/>
      <c r="D4101" s="3980"/>
      <c r="E4101" s="3883"/>
      <c r="F4101" s="3984" t="str">
        <f t="shared" si="451"/>
        <v>ASHP-SEER15_ER1_MF</v>
      </c>
      <c r="G4101" s="3984"/>
      <c r="H4101" s="3984"/>
      <c r="I4101" s="3984"/>
      <c r="J4101" s="3508" t="str">
        <f t="shared" si="452"/>
        <v>352700_2021_12_</v>
      </c>
      <c r="K4101" s="462"/>
      <c r="L4101" s="93" t="str">
        <f>IF(K4101&gt;0,VLOOKUP(J4101,$J$1940:$L$2132,3,FALSE),"")</f>
        <v/>
      </c>
      <c r="M4101" s="3031" t="str">
        <f>IF(K4101&gt;0,VLOOKUP(J4101,$J$3484:$K$3676,2,FALSE),"")</f>
        <v/>
      </c>
      <c r="N4101" s="963"/>
      <c r="O4101" s="106"/>
      <c r="P4101" s="702"/>
      <c r="Q4101" s="702"/>
      <c r="R4101" s="702"/>
      <c r="S4101" s="106"/>
      <c r="T4101" s="486"/>
      <c r="U4101" s="106"/>
      <c r="V4101" s="4129"/>
      <c r="W4101" s="2440"/>
      <c r="X4101" s="465"/>
      <c r="Y4101" s="465"/>
      <c r="Z4101" s="462"/>
      <c r="AA4101" s="462"/>
      <c r="AB4101" s="465"/>
      <c r="AC4101" s="3568"/>
      <c r="AD4101" s="462"/>
      <c r="AE4101" s="2939"/>
      <c r="AF4101" s="663"/>
      <c r="AG4101" s="663"/>
      <c r="AH4101" s="156"/>
      <c r="AI4101" s="156"/>
      <c r="AJ4101" s="156"/>
      <c r="AK4101" s="156"/>
      <c r="AL4101" s="156"/>
      <c r="AM4101" s="156"/>
      <c r="AN4101" s="156"/>
      <c r="AO4101" s="156"/>
      <c r="AP4101" s="156"/>
      <c r="AQ4101" s="156"/>
      <c r="AR4101" s="156"/>
      <c r="AS4101" s="156"/>
      <c r="AT4101" s="156"/>
      <c r="AU4101" s="156"/>
      <c r="AV4101" s="156"/>
      <c r="AW4101" s="156"/>
      <c r="AX4101" s="156"/>
      <c r="AY4101" s="156"/>
      <c r="AZ4101" s="156"/>
      <c r="BA4101" s="156"/>
      <c r="BB4101" s="2828"/>
      <c r="BC4101" s="452"/>
      <c r="BD4101" s="2829"/>
      <c r="BE4101" s="2837"/>
      <c r="BF4101" s="156"/>
    </row>
    <row r="4102" spans="1:58" ht="15" customHeight="1" outlineLevel="1" x14ac:dyDescent="0.35">
      <c r="A4102" s="1664"/>
      <c r="B4102" s="2812"/>
      <c r="C4102" s="3077"/>
      <c r="D4102" s="3980"/>
      <c r="E4102" s="3883"/>
      <c r="F4102" s="3984" t="str">
        <f t="shared" si="451"/>
        <v>ASHP-SEER15_ER2_MF</v>
      </c>
      <c r="G4102" s="3984"/>
      <c r="H4102" s="3984"/>
      <c r="I4102" s="3984"/>
      <c r="J4102" s="3508" t="str">
        <f t="shared" si="452"/>
        <v>352700_2021_12_</v>
      </c>
      <c r="K4102" s="462"/>
      <c r="L4102" s="93" t="str">
        <f>IF(K4102&gt;0,VLOOKUP(J4102,$J$1940:$L$2132,3,FALSE),"")</f>
        <v/>
      </c>
      <c r="M4102" s="3031" t="str">
        <f>IF(K4102&gt;0,VLOOKUP(J4102,$J$3484:$K$3676,2,FALSE),"")</f>
        <v/>
      </c>
      <c r="N4102" s="963"/>
      <c r="O4102" s="106"/>
      <c r="P4102" s="702"/>
      <c r="Q4102" s="702"/>
      <c r="R4102" s="702"/>
      <c r="S4102" s="106"/>
      <c r="T4102" s="486"/>
      <c r="U4102" s="106"/>
      <c r="V4102" s="4129"/>
      <c r="W4102" s="2440"/>
      <c r="X4102" s="465"/>
      <c r="Y4102" s="465"/>
      <c r="Z4102" s="462"/>
      <c r="AA4102" s="462"/>
      <c r="AB4102" s="465"/>
      <c r="AC4102" s="3568"/>
      <c r="AD4102" s="462"/>
      <c r="AE4102" s="2939"/>
      <c r="AF4102" s="663"/>
      <c r="AG4102" s="663"/>
      <c r="AH4102" s="156"/>
      <c r="AI4102" s="156"/>
      <c r="AJ4102" s="156"/>
      <c r="AK4102" s="156"/>
      <c r="AL4102" s="156"/>
      <c r="AM4102" s="156"/>
      <c r="AN4102" s="156"/>
      <c r="AO4102" s="156"/>
      <c r="AP4102" s="156"/>
      <c r="AQ4102" s="156"/>
      <c r="AR4102" s="156"/>
      <c r="AS4102" s="156"/>
      <c r="AT4102" s="156"/>
      <c r="AU4102" s="156"/>
      <c r="AV4102" s="156"/>
      <c r="AW4102" s="156"/>
      <c r="AX4102" s="156"/>
      <c r="AY4102" s="156"/>
      <c r="AZ4102" s="156"/>
      <c r="BA4102" s="156"/>
      <c r="BB4102" s="2828"/>
      <c r="BC4102" s="452"/>
      <c r="BD4102" s="2829"/>
      <c r="BE4102" s="2837"/>
      <c r="BF4102" s="156"/>
    </row>
    <row r="4103" spans="1:58" ht="15" customHeight="1" outlineLevel="1" x14ac:dyDescent="0.35">
      <c r="A4103" s="1664"/>
      <c r="B4103" s="2812"/>
      <c r="C4103" s="3077"/>
      <c r="D4103" s="3980"/>
      <c r="E4103" s="3883"/>
      <c r="F4103" s="3984" t="str">
        <f t="shared" si="451"/>
        <v>ASHP-SEER15_ER2_MF</v>
      </c>
      <c r="G4103" s="3984"/>
      <c r="H4103" s="3984"/>
      <c r="I4103" s="3984"/>
      <c r="J4103" s="3508" t="str">
        <f t="shared" si="452"/>
        <v>352700_2021_12_</v>
      </c>
      <c r="K4103" s="462"/>
      <c r="L4103" s="93" t="str">
        <f>IF(K4103&gt;0,VLOOKUP(J4103,$J$1940:$L$2132,3,FALSE),"")</f>
        <v/>
      </c>
      <c r="M4103" s="3031" t="str">
        <f>IF(K4103&gt;0,VLOOKUP(J4103,$J$3484:$K$3676,2,FALSE),"")</f>
        <v/>
      </c>
      <c r="N4103" s="963"/>
      <c r="O4103" s="106"/>
      <c r="P4103" s="702"/>
      <c r="Q4103" s="702"/>
      <c r="R4103" s="702"/>
      <c r="S4103" s="106"/>
      <c r="T4103" s="486"/>
      <c r="U4103" s="106"/>
      <c r="V4103" s="4129"/>
      <c r="W4103" s="2440"/>
      <c r="X4103" s="465"/>
      <c r="Y4103" s="465"/>
      <c r="Z4103" s="462"/>
      <c r="AA4103" s="462"/>
      <c r="AB4103" s="465"/>
      <c r="AC4103" s="3568"/>
      <c r="AD4103" s="462"/>
      <c r="AE4103" s="2939"/>
      <c r="AF4103" s="663"/>
      <c r="AG4103" s="663"/>
      <c r="AH4103" s="156"/>
      <c r="AI4103" s="156"/>
      <c r="AJ4103" s="156"/>
      <c r="AK4103" s="156"/>
      <c r="AL4103" s="156"/>
      <c r="AM4103" s="156"/>
      <c r="AN4103" s="156"/>
      <c r="AO4103" s="156"/>
      <c r="AP4103" s="156"/>
      <c r="AQ4103" s="156"/>
      <c r="AR4103" s="156"/>
      <c r="AS4103" s="156"/>
      <c r="AT4103" s="156"/>
      <c r="AU4103" s="156"/>
      <c r="AV4103" s="156"/>
      <c r="AW4103" s="156"/>
      <c r="AX4103" s="156"/>
      <c r="AY4103" s="156"/>
      <c r="AZ4103" s="156"/>
      <c r="BA4103" s="156"/>
      <c r="BB4103" s="2828"/>
      <c r="BC4103" s="452"/>
      <c r="BD4103" s="2829"/>
      <c r="BE4103" s="2837"/>
      <c r="BF4103" s="156"/>
    </row>
    <row r="4104" spans="1:58" ht="15" customHeight="1" outlineLevel="1" x14ac:dyDescent="0.35">
      <c r="A4104" s="1664"/>
      <c r="B4104" s="2812"/>
      <c r="C4104" s="3077"/>
      <c r="D4104" s="3980"/>
      <c r="E4104" s="3883"/>
      <c r="F4104" s="3984" t="str">
        <f t="shared" si="451"/>
        <v>ASHP-SEER15_ER1_MF_CompE</v>
      </c>
      <c r="G4104" s="3984"/>
      <c r="H4104" s="3984"/>
      <c r="I4104" s="3984"/>
      <c r="J4104" s="3508" t="str">
        <f t="shared" si="452"/>
        <v>352701_2021_12_</v>
      </c>
      <c r="K4104" s="465">
        <f>(($R$1960*L4104)+$R$1944)-(($Q$1960*L4104)/((1+$R$1962)^($R$1963-1)))</f>
        <v>764.78725019873173</v>
      </c>
      <c r="L4104" s="96">
        <f>VLOOKUP(J4104,$J$1940:$L$2132,3,FALSE)*M4104</f>
        <v>1.9326666666666665</v>
      </c>
      <c r="M4104" s="3031">
        <f>VLOOKUP(J4104,$J$3484:$K$3676,2,FALSE)</f>
        <v>0.65</v>
      </c>
      <c r="N4104" s="963"/>
      <c r="O4104" s="106"/>
      <c r="P4104" s="702"/>
      <c r="Q4104" s="702"/>
      <c r="R4104" s="702"/>
      <c r="S4104" s="106"/>
      <c r="T4104" s="486"/>
      <c r="U4104" s="106"/>
      <c r="V4104" s="4129"/>
      <c r="W4104" s="2440"/>
      <c r="X4104" s="465"/>
      <c r="Y4104" s="465"/>
      <c r="Z4104" s="462"/>
      <c r="AA4104" s="462"/>
      <c r="AB4104" s="465"/>
      <c r="AC4104" s="3569">
        <v>755.98637211198456</v>
      </c>
      <c r="AD4104" s="465">
        <v>764.78725019873173</v>
      </c>
      <c r="AE4104" s="2939"/>
      <c r="AF4104" s="663"/>
      <c r="AG4104" s="663"/>
      <c r="AH4104" s="156"/>
      <c r="AI4104" s="156"/>
      <c r="AJ4104" s="156"/>
      <c r="AK4104" s="156"/>
      <c r="AL4104" s="156"/>
      <c r="AM4104" s="156"/>
      <c r="AN4104" s="156"/>
      <c r="AO4104" s="156"/>
      <c r="AP4104" s="156"/>
      <c r="AQ4104" s="156"/>
      <c r="AR4104" s="156"/>
      <c r="AS4104" s="156"/>
      <c r="AT4104" s="156"/>
      <c r="AU4104" s="156"/>
      <c r="AV4104" s="156"/>
      <c r="AW4104" s="156"/>
      <c r="AX4104" s="156"/>
      <c r="AY4104" s="156"/>
      <c r="AZ4104" s="156"/>
      <c r="BA4104" s="156"/>
      <c r="BB4104" s="2828"/>
      <c r="BC4104" s="452"/>
      <c r="BD4104" s="2829"/>
      <c r="BE4104" s="2837"/>
      <c r="BF4104" s="156"/>
    </row>
    <row r="4105" spans="1:58" ht="15" customHeight="1" outlineLevel="1" x14ac:dyDescent="0.35">
      <c r="A4105" s="1664"/>
      <c r="B4105" s="2812"/>
      <c r="C4105" s="3077"/>
      <c r="D4105" s="3980"/>
      <c r="E4105" s="3883"/>
      <c r="F4105" s="3984" t="str">
        <f t="shared" si="451"/>
        <v>ASHP-SEER15_ER1_MF_CompE</v>
      </c>
      <c r="G4105" s="3984"/>
      <c r="H4105" s="3984"/>
      <c r="I4105" s="3984"/>
      <c r="J4105" s="3508" t="str">
        <f t="shared" si="452"/>
        <v>352701_2021_12_</v>
      </c>
      <c r="K4105" s="462"/>
      <c r="L4105" s="93"/>
      <c r="M4105" s="3031"/>
      <c r="N4105" s="963"/>
      <c r="O4105" s="106"/>
      <c r="P4105" s="702"/>
      <c r="Q4105" s="702"/>
      <c r="R4105" s="702"/>
      <c r="S4105" s="106"/>
      <c r="T4105" s="486"/>
      <c r="U4105" s="106"/>
      <c r="V4105" s="4129"/>
      <c r="W4105" s="2440"/>
      <c r="X4105" s="465"/>
      <c r="Y4105" s="465"/>
      <c r="Z4105" s="462"/>
      <c r="AA4105" s="462"/>
      <c r="AB4105" s="465"/>
      <c r="AC4105" s="3568"/>
      <c r="AD4105" s="462"/>
      <c r="AE4105" s="2939"/>
      <c r="AF4105" s="663"/>
      <c r="AG4105" s="663"/>
      <c r="AH4105" s="156"/>
      <c r="AI4105" s="156"/>
      <c r="AJ4105" s="156"/>
      <c r="AK4105" s="156"/>
      <c r="AL4105" s="156"/>
      <c r="AM4105" s="156"/>
      <c r="AN4105" s="156"/>
      <c r="AO4105" s="156"/>
      <c r="AP4105" s="156"/>
      <c r="AQ4105" s="156"/>
      <c r="AR4105" s="156"/>
      <c r="AS4105" s="156"/>
      <c r="AT4105" s="156"/>
      <c r="AU4105" s="156"/>
      <c r="AV4105" s="156"/>
      <c r="AW4105" s="156"/>
      <c r="AX4105" s="156"/>
      <c r="AY4105" s="156"/>
      <c r="AZ4105" s="156"/>
      <c r="BA4105" s="156"/>
      <c r="BB4105" s="2828"/>
      <c r="BC4105" s="452"/>
      <c r="BD4105" s="2829"/>
      <c r="BE4105" s="2837"/>
      <c r="BF4105" s="156"/>
    </row>
    <row r="4106" spans="1:58" ht="15" customHeight="1" outlineLevel="1" x14ac:dyDescent="0.35">
      <c r="A4106" s="1664"/>
      <c r="B4106" s="2812"/>
      <c r="C4106" s="3077"/>
      <c r="D4106" s="3980"/>
      <c r="E4106" s="3883"/>
      <c r="F4106" s="3984" t="str">
        <f t="shared" si="451"/>
        <v>ASHP-SEER15_ER2_MF_CompE</v>
      </c>
      <c r="G4106" s="3984"/>
      <c r="H4106" s="3984"/>
      <c r="I4106" s="3984"/>
      <c r="J4106" s="3508" t="str">
        <f t="shared" si="452"/>
        <v>352701_2021_12_</v>
      </c>
      <c r="K4106" s="462"/>
      <c r="L4106" s="93"/>
      <c r="M4106" s="3031"/>
      <c r="N4106" s="963"/>
      <c r="O4106" s="106"/>
      <c r="P4106" s="702"/>
      <c r="Q4106" s="702"/>
      <c r="R4106" s="702"/>
      <c r="S4106" s="106"/>
      <c r="T4106" s="486"/>
      <c r="U4106" s="106"/>
      <c r="V4106" s="4129"/>
      <c r="W4106" s="2440"/>
      <c r="X4106" s="465"/>
      <c r="Y4106" s="465"/>
      <c r="Z4106" s="462"/>
      <c r="AA4106" s="462"/>
      <c r="AB4106" s="465"/>
      <c r="AC4106" s="3568"/>
      <c r="AD4106" s="462"/>
      <c r="AE4106" s="2939"/>
      <c r="AF4106" s="663"/>
      <c r="AG4106" s="663"/>
      <c r="AH4106" s="156"/>
      <c r="AI4106" s="156"/>
      <c r="AJ4106" s="156"/>
      <c r="AK4106" s="156"/>
      <c r="AL4106" s="156"/>
      <c r="AM4106" s="156"/>
      <c r="AN4106" s="156"/>
      <c r="AO4106" s="156"/>
      <c r="AP4106" s="156"/>
      <c r="AQ4106" s="156"/>
      <c r="AR4106" s="156"/>
      <c r="AS4106" s="156"/>
      <c r="AT4106" s="156"/>
      <c r="AU4106" s="156"/>
      <c r="AV4106" s="156"/>
      <c r="AW4106" s="156"/>
      <c r="AX4106" s="156"/>
      <c r="AY4106" s="156"/>
      <c r="AZ4106" s="156"/>
      <c r="BA4106" s="156"/>
      <c r="BB4106" s="2828"/>
      <c r="BC4106" s="452"/>
      <c r="BD4106" s="2829"/>
      <c r="BE4106" s="2837"/>
      <c r="BF4106" s="156"/>
    </row>
    <row r="4107" spans="1:58" ht="15" customHeight="1" outlineLevel="1" x14ac:dyDescent="0.35">
      <c r="A4107" s="1664"/>
      <c r="B4107" s="2812"/>
      <c r="C4107" s="3077"/>
      <c r="D4107" s="3980"/>
      <c r="E4107" s="3883"/>
      <c r="F4107" s="3984" t="str">
        <f t="shared" si="451"/>
        <v>ASHP-SEER15_ER2_MF_CompE</v>
      </c>
      <c r="G4107" s="3984"/>
      <c r="H4107" s="3984"/>
      <c r="I4107" s="3984"/>
      <c r="J4107" s="3508" t="str">
        <f t="shared" si="452"/>
        <v>352701_2021_12_</v>
      </c>
      <c r="K4107" s="462"/>
      <c r="L4107" s="93"/>
      <c r="M4107" s="3031"/>
      <c r="N4107" s="963"/>
      <c r="O4107" s="106"/>
      <c r="P4107" s="702"/>
      <c r="Q4107" s="702"/>
      <c r="R4107" s="702"/>
      <c r="S4107" s="106"/>
      <c r="T4107" s="486"/>
      <c r="U4107" s="106"/>
      <c r="V4107" s="4129"/>
      <c r="W4107" s="2440"/>
      <c r="X4107" s="465"/>
      <c r="Y4107" s="465"/>
      <c r="Z4107" s="462"/>
      <c r="AA4107" s="462"/>
      <c r="AB4107" s="465"/>
      <c r="AC4107" s="3568"/>
      <c r="AD4107" s="462"/>
      <c r="AE4107" s="2939"/>
      <c r="AF4107" s="663"/>
      <c r="AG4107" s="663"/>
      <c r="AH4107" s="156"/>
      <c r="AI4107" s="156"/>
      <c r="AJ4107" s="156"/>
      <c r="AK4107" s="156"/>
      <c r="AL4107" s="156"/>
      <c r="AM4107" s="156"/>
      <c r="AN4107" s="156"/>
      <c r="AO4107" s="156"/>
      <c r="AP4107" s="156"/>
      <c r="AQ4107" s="156"/>
      <c r="AR4107" s="156"/>
      <c r="AS4107" s="156"/>
      <c r="AT4107" s="156"/>
      <c r="AU4107" s="156"/>
      <c r="AV4107" s="156"/>
      <c r="AW4107" s="156"/>
      <c r="AX4107" s="156"/>
      <c r="AY4107" s="156"/>
      <c r="AZ4107" s="156"/>
      <c r="BA4107" s="156"/>
      <c r="BB4107" s="2828"/>
      <c r="BC4107" s="452"/>
      <c r="BD4107" s="2829"/>
      <c r="BE4107" s="2837"/>
      <c r="BF4107" s="156"/>
    </row>
    <row r="4108" spans="1:58" ht="15" customHeight="1" outlineLevel="1" x14ac:dyDescent="0.35">
      <c r="A4108" s="1664"/>
      <c r="B4108" s="2812"/>
      <c r="C4108" s="3077"/>
      <c r="D4108" s="3980"/>
      <c r="E4108" s="3883"/>
      <c r="F4108" s="3984" t="str">
        <f t="shared" si="451"/>
        <v>ASHP-SEER15-Replace_CAC_ElectricHeat_ER1_MF</v>
      </c>
      <c r="G4108" s="3984"/>
      <c r="H4108" s="3984"/>
      <c r="I4108" s="3984"/>
      <c r="J4108" s="3508" t="str">
        <f t="shared" si="452"/>
        <v>352750_2021_12_</v>
      </c>
      <c r="K4108" s="465">
        <f>(($R$1960*L4108)+$R$1944)-(($Q$1960*L4108)/((1+$R$1962)^($R$1963-1)))</f>
        <v>1013.4419233826643</v>
      </c>
      <c r="L4108" s="96">
        <f>VLOOKUP(J4108,$J$1940:$L$2132,3,FALSE)*M4108</f>
        <v>2.9733333333333332</v>
      </c>
      <c r="M4108" s="3031">
        <f>VLOOKUP(J4108,$J$3484:$K$3676,2,FALSE)</f>
        <v>1</v>
      </c>
      <c r="N4108" s="963"/>
      <c r="O4108" s="106"/>
      <c r="P4108" s="702"/>
      <c r="Q4108" s="702"/>
      <c r="R4108" s="702"/>
      <c r="S4108" s="106"/>
      <c r="T4108" s="486"/>
      <c r="U4108" s="106"/>
      <c r="V4108" s="4129"/>
      <c r="W4108" s="2440">
        <v>2365.1309007383738</v>
      </c>
      <c r="X4108" s="465">
        <f>$Q$1944*(X$1962/12000)*X$3506</f>
        <v>1856.0607516825155</v>
      </c>
      <c r="Y4108" s="465">
        <v>815.35898591038654</v>
      </c>
      <c r="Z4108" s="462">
        <v>815.35898591038654</v>
      </c>
      <c r="AA4108" s="462">
        <v>815.35898591038654</v>
      </c>
      <c r="AB4108" s="465">
        <v>730.10143656272817</v>
      </c>
      <c r="AC4108" s="3569">
        <v>691.27403323884414</v>
      </c>
      <c r="AD4108" s="465">
        <v>764.78725019873173</v>
      </c>
      <c r="AE4108" s="2939"/>
      <c r="AF4108" s="663"/>
      <c r="AG4108" s="663"/>
      <c r="AH4108" s="156"/>
      <c r="AI4108" s="156"/>
      <c r="AJ4108" s="156"/>
      <c r="AK4108" s="156"/>
      <c r="AL4108" s="156"/>
      <c r="AM4108" s="156"/>
      <c r="AN4108" s="156"/>
      <c r="AO4108" s="156"/>
      <c r="AP4108" s="156"/>
      <c r="AQ4108" s="156"/>
      <c r="AR4108" s="156"/>
      <c r="AS4108" s="156"/>
      <c r="AT4108" s="156"/>
      <c r="AU4108" s="156"/>
      <c r="AV4108" s="156"/>
      <c r="AW4108" s="156"/>
      <c r="AX4108" s="156"/>
      <c r="AY4108" s="156"/>
      <c r="AZ4108" s="156"/>
      <c r="BA4108" s="156"/>
      <c r="BB4108" s="2828"/>
      <c r="BC4108" s="452"/>
      <c r="BD4108" s="2829"/>
      <c r="BE4108" s="2837"/>
      <c r="BF4108" s="156"/>
    </row>
    <row r="4109" spans="1:58" ht="15" customHeight="1" outlineLevel="1" x14ac:dyDescent="0.35">
      <c r="A4109" s="1664"/>
      <c r="B4109" s="2812"/>
      <c r="C4109" s="3077"/>
      <c r="D4109" s="3980"/>
      <c r="E4109" s="3883"/>
      <c r="F4109" s="3984" t="str">
        <f t="shared" si="451"/>
        <v>ASHP-SEER15-Replace_CAC_ElectricHeat_ER1_MF</v>
      </c>
      <c r="G4109" s="3984"/>
      <c r="H4109" s="3984"/>
      <c r="I4109" s="3984"/>
      <c r="J4109" s="3508" t="str">
        <f t="shared" si="452"/>
        <v>352750_2021_12_</v>
      </c>
      <c r="K4109" s="462"/>
      <c r="L4109" s="93" t="str">
        <f>IF(K4109&gt;0,VLOOKUP(J4109,$J$1940:$L$2132,3,FALSE),"")</f>
        <v/>
      </c>
      <c r="M4109" s="3031" t="str">
        <f>IF(K4109&gt;0,VLOOKUP(J4109,$J$3484:$K$3676,2,FALSE),"")</f>
        <v/>
      </c>
      <c r="N4109" s="963"/>
      <c r="O4109" s="106"/>
      <c r="P4109" s="702"/>
      <c r="Q4109" s="702"/>
      <c r="R4109" s="702"/>
      <c r="S4109" s="106"/>
      <c r="T4109" s="486"/>
      <c r="U4109" s="106"/>
      <c r="V4109" s="4129"/>
      <c r="W4109" s="2440"/>
      <c r="X4109" s="465"/>
      <c r="Y4109" s="465"/>
      <c r="Z4109" s="462"/>
      <c r="AA4109" s="462"/>
      <c r="AB4109" s="465"/>
      <c r="AC4109" s="3568"/>
      <c r="AD4109" s="462"/>
      <c r="AE4109" s="2939"/>
      <c r="AF4109" s="663"/>
      <c r="AG4109" s="663"/>
      <c r="AH4109" s="156"/>
      <c r="AI4109" s="156"/>
      <c r="AJ4109" s="156"/>
      <c r="AK4109" s="156"/>
      <c r="AL4109" s="156"/>
      <c r="AM4109" s="156"/>
      <c r="AN4109" s="156"/>
      <c r="AO4109" s="156"/>
      <c r="AP4109" s="156"/>
      <c r="AQ4109" s="156"/>
      <c r="AR4109" s="156"/>
      <c r="AS4109" s="156"/>
      <c r="AT4109" s="156"/>
      <c r="AU4109" s="156"/>
      <c r="AV4109" s="156"/>
      <c r="AW4109" s="156"/>
      <c r="AX4109" s="156"/>
      <c r="AY4109" s="156"/>
      <c r="AZ4109" s="156"/>
      <c r="BA4109" s="156"/>
      <c r="BB4109" s="2828"/>
      <c r="BC4109" s="452"/>
      <c r="BD4109" s="2829"/>
      <c r="BE4109" s="2837"/>
      <c r="BF4109" s="156"/>
    </row>
    <row r="4110" spans="1:58" ht="15" customHeight="1" outlineLevel="1" x14ac:dyDescent="0.35">
      <c r="A4110" s="1664"/>
      <c r="B4110" s="2812"/>
      <c r="C4110" s="3077"/>
      <c r="D4110" s="3980"/>
      <c r="E4110" s="3883"/>
      <c r="F4110" s="3984" t="str">
        <f t="shared" si="451"/>
        <v>ASHP-SEER15-Replace_CAC_ElectricHeat_ER2_MF</v>
      </c>
      <c r="G4110" s="3984"/>
      <c r="H4110" s="3984"/>
      <c r="I4110" s="3984"/>
      <c r="J4110" s="3508" t="str">
        <f t="shared" si="452"/>
        <v>352750_2021_12_</v>
      </c>
      <c r="K4110" s="462"/>
      <c r="L4110" s="93" t="str">
        <f>IF(K4110&gt;0,VLOOKUP(J4110,$J$1940:$L$2132,3,FALSE),"")</f>
        <v/>
      </c>
      <c r="M4110" s="3031" t="str">
        <f>IF(K4110&gt;0,VLOOKUP(J4110,$J$3484:$K$3676,2,FALSE),"")</f>
        <v/>
      </c>
      <c r="N4110" s="963"/>
      <c r="O4110" s="106"/>
      <c r="P4110" s="702"/>
      <c r="Q4110" s="702"/>
      <c r="R4110" s="702"/>
      <c r="S4110" s="106"/>
      <c r="T4110" s="486"/>
      <c r="U4110" s="106"/>
      <c r="V4110" s="4129"/>
      <c r="W4110" s="2440"/>
      <c r="X4110" s="465"/>
      <c r="Y4110" s="465"/>
      <c r="Z4110" s="462"/>
      <c r="AA4110" s="462"/>
      <c r="AB4110" s="462"/>
      <c r="AC4110" s="3568"/>
      <c r="AD4110" s="462"/>
      <c r="AE4110" s="2939"/>
      <c r="AF4110" s="663"/>
      <c r="AG4110" s="663"/>
      <c r="AH4110" s="156"/>
      <c r="AI4110" s="156"/>
      <c r="AJ4110" s="156"/>
      <c r="AK4110" s="156"/>
      <c r="AL4110" s="156"/>
      <c r="AM4110" s="156"/>
      <c r="AN4110" s="156"/>
      <c r="AO4110" s="156"/>
      <c r="AP4110" s="156"/>
      <c r="AQ4110" s="156"/>
      <c r="AR4110" s="156"/>
      <c r="AS4110" s="156"/>
      <c r="AT4110" s="156"/>
      <c r="AU4110" s="156"/>
      <c r="AV4110" s="156"/>
      <c r="AW4110" s="156"/>
      <c r="AX4110" s="156"/>
      <c r="AY4110" s="156"/>
      <c r="AZ4110" s="156"/>
      <c r="BA4110" s="156"/>
      <c r="BB4110" s="2828"/>
      <c r="BC4110" s="452"/>
      <c r="BD4110" s="2829"/>
      <c r="BE4110" s="2837"/>
      <c r="BF4110" s="156"/>
    </row>
    <row r="4111" spans="1:58" ht="15" customHeight="1" outlineLevel="1" x14ac:dyDescent="0.35">
      <c r="A4111" s="1664"/>
      <c r="B4111" s="2812"/>
      <c r="C4111" s="3077"/>
      <c r="D4111" s="3980"/>
      <c r="E4111" s="3883"/>
      <c r="F4111" s="3984" t="str">
        <f t="shared" si="451"/>
        <v>ASHP-SEER15-Replace_CAC_ElectricHeat_ER2_MF</v>
      </c>
      <c r="G4111" s="3984"/>
      <c r="H4111" s="3984"/>
      <c r="I4111" s="3984"/>
      <c r="J4111" s="3508" t="str">
        <f t="shared" si="452"/>
        <v>352750_2021_12_</v>
      </c>
      <c r="K4111" s="462"/>
      <c r="L4111" s="93" t="str">
        <f>IF(K4111&gt;0,VLOOKUP(J4111,$J$1940:$L$2132,3,FALSE),"")</f>
        <v/>
      </c>
      <c r="M4111" s="3031" t="str">
        <f>IF(K4111&gt;0,VLOOKUP(J4111,$J$3484:$K$3676,2,FALSE),"")</f>
        <v/>
      </c>
      <c r="N4111" s="963"/>
      <c r="O4111" s="106"/>
      <c r="P4111" s="702"/>
      <c r="Q4111" s="702"/>
      <c r="R4111" s="702"/>
      <c r="S4111" s="106"/>
      <c r="T4111" s="486"/>
      <c r="U4111" s="106"/>
      <c r="V4111" s="4129"/>
      <c r="W4111" s="2440"/>
      <c r="X4111" s="465"/>
      <c r="Y4111" s="465"/>
      <c r="Z4111" s="462"/>
      <c r="AA4111" s="462"/>
      <c r="AB4111" s="462"/>
      <c r="AC4111" s="3568"/>
      <c r="AD4111" s="462"/>
      <c r="AE4111" s="2939"/>
      <c r="AF4111" s="663"/>
      <c r="AG4111" s="663"/>
      <c r="AH4111" s="156"/>
      <c r="AI4111" s="156"/>
      <c r="AJ4111" s="156"/>
      <c r="AK4111" s="156"/>
      <c r="AL4111" s="156"/>
      <c r="AM4111" s="156"/>
      <c r="AN4111" s="156"/>
      <c r="AO4111" s="156"/>
      <c r="AP4111" s="156"/>
      <c r="AQ4111" s="156"/>
      <c r="AR4111" s="156"/>
      <c r="AS4111" s="156"/>
      <c r="AT4111" s="156"/>
      <c r="AU4111" s="156"/>
      <c r="AV4111" s="156"/>
      <c r="AW4111" s="156"/>
      <c r="AX4111" s="156"/>
      <c r="AY4111" s="156"/>
      <c r="AZ4111" s="156"/>
      <c r="BA4111" s="156"/>
      <c r="BB4111" s="2828"/>
      <c r="BC4111" s="452"/>
      <c r="BD4111" s="2829"/>
      <c r="BE4111" s="2837"/>
      <c r="BF4111" s="156"/>
    </row>
    <row r="4112" spans="1:58" ht="15" customHeight="1" outlineLevel="1" x14ac:dyDescent="0.35">
      <c r="A4112" s="1664"/>
      <c r="B4112" s="2812"/>
      <c r="C4112" s="3077"/>
      <c r="D4112" s="3980"/>
      <c r="E4112" s="3883"/>
      <c r="F4112" s="3984" t="str">
        <f t="shared" si="451"/>
        <v>ASHP-SEER15-Replace_CAC_ElectricHeat_ER1_MF_CompE</v>
      </c>
      <c r="G4112" s="3984"/>
      <c r="H4112" s="3984"/>
      <c r="I4112" s="3984"/>
      <c r="J4112" s="3508" t="str">
        <f t="shared" si="452"/>
        <v>352751_2021_12_</v>
      </c>
      <c r="K4112" s="465">
        <f>(($R$1960*L4112)+$R$1944)-(($Q$1960*L4112)/((1+$R$1962)^($R$1963-1)))</f>
        <v>1013.4419233826643</v>
      </c>
      <c r="L4112" s="96">
        <f>VLOOKUP(J4112,$J$1940:$L$2132,3,FALSE)*M4112</f>
        <v>2.9733333333333332</v>
      </c>
      <c r="M4112" s="3031">
        <f>VLOOKUP(J4112,$J$3484:$K$3676,2,FALSE)</f>
        <v>1</v>
      </c>
      <c r="N4112" s="963"/>
      <c r="O4112" s="106"/>
      <c r="P4112" s="702"/>
      <c r="Q4112" s="702"/>
      <c r="R4112" s="702"/>
      <c r="S4112" s="106"/>
      <c r="T4112" s="486"/>
      <c r="U4112" s="106"/>
      <c r="V4112" s="4129"/>
      <c r="W4112" s="2440"/>
      <c r="X4112" s="465"/>
      <c r="Y4112" s="465"/>
      <c r="Z4112" s="462"/>
      <c r="AA4112" s="462"/>
      <c r="AB4112" s="462"/>
      <c r="AC4112" s="3569">
        <v>691.27403323884414</v>
      </c>
      <c r="AD4112" s="465">
        <v>764.78725019873173</v>
      </c>
      <c r="AE4112" s="2939"/>
      <c r="AF4112" s="663"/>
      <c r="AG4112" s="663"/>
      <c r="AH4112" s="156"/>
      <c r="AI4112" s="156"/>
      <c r="AJ4112" s="156"/>
      <c r="AK4112" s="156"/>
      <c r="AL4112" s="156"/>
      <c r="AM4112" s="156"/>
      <c r="AN4112" s="156"/>
      <c r="AO4112" s="156"/>
      <c r="AP4112" s="156"/>
      <c r="AQ4112" s="156"/>
      <c r="AR4112" s="156"/>
      <c r="AS4112" s="156"/>
      <c r="AT4112" s="156"/>
      <c r="AU4112" s="156"/>
      <c r="AV4112" s="156"/>
      <c r="AW4112" s="156"/>
      <c r="AX4112" s="156"/>
      <c r="AY4112" s="156"/>
      <c r="AZ4112" s="156"/>
      <c r="BA4112" s="156"/>
      <c r="BB4112" s="2828"/>
      <c r="BC4112" s="452"/>
      <c r="BD4112" s="2829"/>
      <c r="BE4112" s="2837"/>
      <c r="BF4112" s="156"/>
    </row>
    <row r="4113" spans="1:58" ht="15" customHeight="1" outlineLevel="1" x14ac:dyDescent="0.35">
      <c r="A4113" s="1664"/>
      <c r="B4113" s="2812"/>
      <c r="C4113" s="3077"/>
      <c r="D4113" s="3980"/>
      <c r="E4113" s="3883"/>
      <c r="F4113" s="3984" t="str">
        <f t="shared" si="451"/>
        <v>ASHP-SEER15-Replace_CAC_ElectricHeat_ER1_MF_CompE</v>
      </c>
      <c r="G4113" s="3984"/>
      <c r="H4113" s="3984"/>
      <c r="I4113" s="3984"/>
      <c r="J4113" s="3508" t="str">
        <f t="shared" si="452"/>
        <v>352751_2021_12_</v>
      </c>
      <c r="K4113" s="462"/>
      <c r="L4113" s="93"/>
      <c r="M4113" s="3031"/>
      <c r="N4113" s="963"/>
      <c r="O4113" s="106"/>
      <c r="P4113" s="702"/>
      <c r="Q4113" s="702"/>
      <c r="R4113" s="702"/>
      <c r="S4113" s="106"/>
      <c r="T4113" s="486"/>
      <c r="U4113" s="106"/>
      <c r="V4113" s="4129"/>
      <c r="W4113" s="2440"/>
      <c r="X4113" s="465"/>
      <c r="Y4113" s="465"/>
      <c r="Z4113" s="462"/>
      <c r="AA4113" s="462"/>
      <c r="AB4113" s="462"/>
      <c r="AC4113" s="3568"/>
      <c r="AD4113" s="462"/>
      <c r="AE4113" s="2939"/>
      <c r="AF4113" s="663"/>
      <c r="AG4113" s="663"/>
      <c r="AH4113" s="156"/>
      <c r="AI4113" s="156"/>
      <c r="AJ4113" s="156"/>
      <c r="AK4113" s="156"/>
      <c r="AL4113" s="156"/>
      <c r="AM4113" s="156"/>
      <c r="AN4113" s="156"/>
      <c r="AO4113" s="156"/>
      <c r="AP4113" s="156"/>
      <c r="AQ4113" s="156"/>
      <c r="AR4113" s="156"/>
      <c r="AS4113" s="156"/>
      <c r="AT4113" s="156"/>
      <c r="AU4113" s="156"/>
      <c r="AV4113" s="156"/>
      <c r="AW4113" s="156"/>
      <c r="AX4113" s="156"/>
      <c r="AY4113" s="156"/>
      <c r="AZ4113" s="156"/>
      <c r="BA4113" s="156"/>
      <c r="BB4113" s="2828"/>
      <c r="BC4113" s="452"/>
      <c r="BD4113" s="2829"/>
      <c r="BE4113" s="2837"/>
      <c r="BF4113" s="156"/>
    </row>
    <row r="4114" spans="1:58" ht="15" customHeight="1" outlineLevel="1" x14ac:dyDescent="0.35">
      <c r="A4114" s="1664"/>
      <c r="B4114" s="2812"/>
      <c r="C4114" s="3077"/>
      <c r="D4114" s="3980"/>
      <c r="E4114" s="3883"/>
      <c r="F4114" s="3984" t="str">
        <f t="shared" si="451"/>
        <v>ASHP-SEER15-Replace_CAC_ElectricHeat_ER2_MF_CompE</v>
      </c>
      <c r="G4114" s="3984"/>
      <c r="H4114" s="3984"/>
      <c r="I4114" s="3984"/>
      <c r="J4114" s="3508" t="str">
        <f t="shared" si="452"/>
        <v>352751_2021_12_</v>
      </c>
      <c r="K4114" s="462"/>
      <c r="L4114" s="93"/>
      <c r="M4114" s="3031"/>
      <c r="N4114" s="963"/>
      <c r="O4114" s="106"/>
      <c r="P4114" s="702"/>
      <c r="Q4114" s="702"/>
      <c r="R4114" s="702"/>
      <c r="S4114" s="106"/>
      <c r="T4114" s="486"/>
      <c r="U4114" s="106"/>
      <c r="V4114" s="4129"/>
      <c r="W4114" s="2440"/>
      <c r="X4114" s="465"/>
      <c r="Y4114" s="465"/>
      <c r="Z4114" s="462"/>
      <c r="AA4114" s="462"/>
      <c r="AB4114" s="462"/>
      <c r="AC4114" s="3568"/>
      <c r="AD4114" s="462"/>
      <c r="AE4114" s="2939"/>
      <c r="AF4114" s="663"/>
      <c r="AG4114" s="663"/>
      <c r="AH4114" s="156"/>
      <c r="AI4114" s="156"/>
      <c r="AJ4114" s="156"/>
      <c r="AK4114" s="156"/>
      <c r="AL4114" s="156"/>
      <c r="AM4114" s="156"/>
      <c r="AN4114" s="156"/>
      <c r="AO4114" s="156"/>
      <c r="AP4114" s="156"/>
      <c r="AQ4114" s="156"/>
      <c r="AR4114" s="156"/>
      <c r="AS4114" s="156"/>
      <c r="AT4114" s="156"/>
      <c r="AU4114" s="156"/>
      <c r="AV4114" s="156"/>
      <c r="AW4114" s="156"/>
      <c r="AX4114" s="156"/>
      <c r="AY4114" s="156"/>
      <c r="AZ4114" s="156"/>
      <c r="BA4114" s="156"/>
      <c r="BB4114" s="2828"/>
      <c r="BC4114" s="452"/>
      <c r="BD4114" s="2829"/>
      <c r="BE4114" s="2837"/>
      <c r="BF4114" s="156"/>
    </row>
    <row r="4115" spans="1:58" ht="15" customHeight="1" outlineLevel="1" x14ac:dyDescent="0.35">
      <c r="A4115" s="1664"/>
      <c r="B4115" s="2812"/>
      <c r="C4115" s="3077"/>
      <c r="D4115" s="3980"/>
      <c r="E4115" s="3883"/>
      <c r="F4115" s="3984" t="str">
        <f t="shared" si="451"/>
        <v>ASHP-SEER15-Replace_CAC_ElectricHeat_ER2_MF_CompE</v>
      </c>
      <c r="G4115" s="3984"/>
      <c r="H4115" s="3984"/>
      <c r="I4115" s="3984"/>
      <c r="J4115" s="3508" t="str">
        <f t="shared" si="452"/>
        <v>352751_2021_12_</v>
      </c>
      <c r="K4115" s="462"/>
      <c r="L4115" s="93"/>
      <c r="M4115" s="3031"/>
      <c r="N4115" s="963"/>
      <c r="O4115" s="106"/>
      <c r="P4115" s="702"/>
      <c r="Q4115" s="702"/>
      <c r="R4115" s="702"/>
      <c r="S4115" s="106"/>
      <c r="T4115" s="486"/>
      <c r="U4115" s="106"/>
      <c r="V4115" s="4129"/>
      <c r="W4115" s="2440"/>
      <c r="X4115" s="465"/>
      <c r="Y4115" s="465"/>
      <c r="Z4115" s="462"/>
      <c r="AA4115" s="462"/>
      <c r="AB4115" s="462"/>
      <c r="AC4115" s="3568"/>
      <c r="AD4115" s="462"/>
      <c r="AE4115" s="2939"/>
      <c r="AF4115" s="663"/>
      <c r="AG4115" s="663"/>
      <c r="AH4115" s="156"/>
      <c r="AI4115" s="156"/>
      <c r="AJ4115" s="156"/>
      <c r="AK4115" s="156"/>
      <c r="AL4115" s="156"/>
      <c r="AM4115" s="156"/>
      <c r="AN4115" s="156"/>
      <c r="AO4115" s="156"/>
      <c r="AP4115" s="156"/>
      <c r="AQ4115" s="156"/>
      <c r="AR4115" s="156"/>
      <c r="AS4115" s="156"/>
      <c r="AT4115" s="156"/>
      <c r="AU4115" s="156"/>
      <c r="AV4115" s="156"/>
      <c r="AW4115" s="156"/>
      <c r="AX4115" s="156"/>
      <c r="AY4115" s="156"/>
      <c r="AZ4115" s="156"/>
      <c r="BA4115" s="156"/>
      <c r="BB4115" s="2828"/>
      <c r="BC4115" s="452"/>
      <c r="BD4115" s="2829"/>
      <c r="BE4115" s="2837"/>
      <c r="BF4115" s="156"/>
    </row>
    <row r="4116" spans="1:58" ht="15" customHeight="1" outlineLevel="1" x14ac:dyDescent="0.35">
      <c r="A4116" s="1664"/>
      <c r="B4116" s="2812"/>
      <c r="C4116" s="3077"/>
      <c r="D4116" s="3980"/>
      <c r="E4116" s="3883"/>
      <c r="F4116" s="3984" t="str">
        <f t="shared" si="451"/>
        <v>ASHP-SEER15-Replace_CAC_NonElectricHeat_ER1_MF</v>
      </c>
      <c r="G4116" s="3984"/>
      <c r="H4116" s="3984"/>
      <c r="I4116" s="3984"/>
      <c r="J4116" s="3508" t="str">
        <f t="shared" si="452"/>
        <v>352760_2021_12_</v>
      </c>
      <c r="K4116" s="465">
        <f>(($R$1960*L4116)+$R$1944)-(($Q$1960*L4116)/((1+$R$1962)^($R$1963-1)))</f>
        <v>1013.4419233826643</v>
      </c>
      <c r="L4116" s="96">
        <f>VLOOKUP(J4116,$J$1940:$L$2132,3,FALSE)*M4116</f>
        <v>2.9733333333333332</v>
      </c>
      <c r="M4116" s="3031">
        <f>VLOOKUP(J4116,$J$3484:$K$3676,2,FALSE)</f>
        <v>1</v>
      </c>
      <c r="N4116" s="963"/>
      <c r="O4116" s="106"/>
      <c r="P4116" s="702"/>
      <c r="Q4116" s="702"/>
      <c r="R4116" s="702"/>
      <c r="S4116" s="106"/>
      <c r="T4116" s="486"/>
      <c r="U4116" s="106"/>
      <c r="V4116" s="4129"/>
      <c r="W4116" s="2440"/>
      <c r="X4116" s="465"/>
      <c r="Y4116" s="465"/>
      <c r="Z4116" s="462"/>
      <c r="AA4116" s="462"/>
      <c r="AB4116" s="462"/>
      <c r="AC4116" s="3569">
        <v>691.27403323884414</v>
      </c>
      <c r="AD4116" s="465">
        <v>764.78725019873173</v>
      </c>
      <c r="AE4116" s="2939"/>
      <c r="AF4116" s="663"/>
      <c r="AG4116" s="663"/>
      <c r="AH4116" s="156"/>
      <c r="AI4116" s="156"/>
      <c r="AJ4116" s="156"/>
      <c r="AK4116" s="156"/>
      <c r="AL4116" s="156"/>
      <c r="AM4116" s="156"/>
      <c r="AN4116" s="156"/>
      <c r="AO4116" s="156"/>
      <c r="AP4116" s="156"/>
      <c r="AQ4116" s="156"/>
      <c r="AR4116" s="156"/>
      <c r="AS4116" s="156"/>
      <c r="AT4116" s="156"/>
      <c r="AU4116" s="156"/>
      <c r="AV4116" s="156"/>
      <c r="AW4116" s="156"/>
      <c r="AX4116" s="156"/>
      <c r="AY4116" s="156"/>
      <c r="AZ4116" s="156"/>
      <c r="BA4116" s="156"/>
      <c r="BB4116" s="2828"/>
      <c r="BC4116" s="452"/>
      <c r="BD4116" s="2829"/>
      <c r="BE4116" s="2837"/>
      <c r="BF4116" s="156"/>
    </row>
    <row r="4117" spans="1:58" ht="15" customHeight="1" outlineLevel="1" x14ac:dyDescent="0.35">
      <c r="A4117" s="1664"/>
      <c r="B4117" s="2812"/>
      <c r="C4117" s="3077"/>
      <c r="D4117" s="3980"/>
      <c r="E4117" s="3883"/>
      <c r="F4117" s="3984" t="str">
        <f t="shared" si="451"/>
        <v>ASHP-SEER15-Replace_CAC_NonElectricHeat_ER1_MF</v>
      </c>
      <c r="G4117" s="3984"/>
      <c r="H4117" s="3984"/>
      <c r="I4117" s="3984"/>
      <c r="J4117" s="3508" t="str">
        <f t="shared" si="452"/>
        <v>352760_2021_12_</v>
      </c>
      <c r="K4117" s="462"/>
      <c r="L4117" s="93"/>
      <c r="M4117" s="3031"/>
      <c r="N4117" s="963"/>
      <c r="O4117" s="106"/>
      <c r="P4117" s="702"/>
      <c r="Q4117" s="702"/>
      <c r="R4117" s="702"/>
      <c r="S4117" s="106"/>
      <c r="T4117" s="486"/>
      <c r="U4117" s="106"/>
      <c r="V4117" s="4129"/>
      <c r="W4117" s="2440"/>
      <c r="X4117" s="465"/>
      <c r="Y4117" s="465"/>
      <c r="Z4117" s="462"/>
      <c r="AA4117" s="462"/>
      <c r="AB4117" s="462"/>
      <c r="AC4117" s="3568"/>
      <c r="AD4117" s="462"/>
      <c r="AE4117" s="2939"/>
      <c r="AF4117" s="663"/>
      <c r="AG4117" s="663"/>
      <c r="AH4117" s="156"/>
      <c r="AI4117" s="156"/>
      <c r="AJ4117" s="156"/>
      <c r="AK4117" s="156"/>
      <c r="AL4117" s="156"/>
      <c r="AM4117" s="156"/>
      <c r="AN4117" s="156"/>
      <c r="AO4117" s="156"/>
      <c r="AP4117" s="156"/>
      <c r="AQ4117" s="156"/>
      <c r="AR4117" s="156"/>
      <c r="AS4117" s="156"/>
      <c r="AT4117" s="156"/>
      <c r="AU4117" s="156"/>
      <c r="AV4117" s="156"/>
      <c r="AW4117" s="156"/>
      <c r="AX4117" s="156"/>
      <c r="AY4117" s="156"/>
      <c r="AZ4117" s="156"/>
      <c r="BA4117" s="156"/>
      <c r="BB4117" s="2828"/>
      <c r="BC4117" s="452"/>
      <c r="BD4117" s="2829"/>
      <c r="BE4117" s="2837"/>
      <c r="BF4117" s="156"/>
    </row>
    <row r="4118" spans="1:58" ht="15" customHeight="1" outlineLevel="1" x14ac:dyDescent="0.35">
      <c r="A4118" s="1664"/>
      <c r="B4118" s="2812"/>
      <c r="C4118" s="3077"/>
      <c r="D4118" s="3980"/>
      <c r="E4118" s="3883"/>
      <c r="F4118" s="3984" t="str">
        <f t="shared" si="451"/>
        <v>ASHP-SEER15-Replace_CAC_NonElectricHeat_ER2_MF</v>
      </c>
      <c r="G4118" s="3984"/>
      <c r="H4118" s="3984"/>
      <c r="I4118" s="3984"/>
      <c r="J4118" s="3508" t="str">
        <f t="shared" si="452"/>
        <v>352760_2021_12_</v>
      </c>
      <c r="K4118" s="462"/>
      <c r="L4118" s="93"/>
      <c r="M4118" s="3031"/>
      <c r="N4118" s="963"/>
      <c r="O4118" s="106"/>
      <c r="P4118" s="702"/>
      <c r="Q4118" s="702"/>
      <c r="R4118" s="702"/>
      <c r="S4118" s="106"/>
      <c r="T4118" s="486"/>
      <c r="U4118" s="106"/>
      <c r="V4118" s="4129"/>
      <c r="W4118" s="2440"/>
      <c r="X4118" s="465"/>
      <c r="Y4118" s="465"/>
      <c r="Z4118" s="462"/>
      <c r="AA4118" s="462"/>
      <c r="AB4118" s="462"/>
      <c r="AC4118" s="3568"/>
      <c r="AD4118" s="462"/>
      <c r="AE4118" s="2939"/>
      <c r="AF4118" s="663"/>
      <c r="AG4118" s="663"/>
      <c r="AH4118" s="156"/>
      <c r="AI4118" s="156"/>
      <c r="AJ4118" s="156"/>
      <c r="AK4118" s="156"/>
      <c r="AL4118" s="156"/>
      <c r="AM4118" s="156"/>
      <c r="AN4118" s="156"/>
      <c r="AO4118" s="156"/>
      <c r="AP4118" s="156"/>
      <c r="AQ4118" s="156"/>
      <c r="AR4118" s="156"/>
      <c r="AS4118" s="156"/>
      <c r="AT4118" s="156"/>
      <c r="AU4118" s="156"/>
      <c r="AV4118" s="156"/>
      <c r="AW4118" s="156"/>
      <c r="AX4118" s="156"/>
      <c r="AY4118" s="156"/>
      <c r="AZ4118" s="156"/>
      <c r="BA4118" s="156"/>
      <c r="BB4118" s="2828"/>
      <c r="BC4118" s="452"/>
      <c r="BD4118" s="2829"/>
      <c r="BE4118" s="2837"/>
      <c r="BF4118" s="156"/>
    </row>
    <row r="4119" spans="1:58" ht="15" customHeight="1" outlineLevel="1" x14ac:dyDescent="0.35">
      <c r="A4119" s="1664"/>
      <c r="B4119" s="2812"/>
      <c r="C4119" s="3077"/>
      <c r="D4119" s="3980"/>
      <c r="E4119" s="3883"/>
      <c r="F4119" s="3984" t="str">
        <f t="shared" si="451"/>
        <v>ASHP-SEER15-Replace_CAC_NonElectricHeat_ER2_MF</v>
      </c>
      <c r="G4119" s="3984"/>
      <c r="H4119" s="3984"/>
      <c r="I4119" s="3984"/>
      <c r="J4119" s="3508" t="str">
        <f t="shared" si="452"/>
        <v>352760_2021_12_</v>
      </c>
      <c r="K4119" s="462"/>
      <c r="L4119" s="93"/>
      <c r="M4119" s="3031"/>
      <c r="N4119" s="963"/>
      <c r="O4119" s="106"/>
      <c r="P4119" s="702"/>
      <c r="Q4119" s="702"/>
      <c r="R4119" s="702"/>
      <c r="S4119" s="106"/>
      <c r="T4119" s="486"/>
      <c r="U4119" s="106"/>
      <c r="V4119" s="4129"/>
      <c r="W4119" s="2440"/>
      <c r="X4119" s="465"/>
      <c r="Y4119" s="465"/>
      <c r="Z4119" s="462"/>
      <c r="AA4119" s="462"/>
      <c r="AB4119" s="462"/>
      <c r="AC4119" s="3568"/>
      <c r="AD4119" s="462"/>
      <c r="AE4119" s="2939"/>
      <c r="AF4119" s="663"/>
      <c r="AG4119" s="663"/>
      <c r="AH4119" s="156"/>
      <c r="AI4119" s="156"/>
      <c r="AJ4119" s="156"/>
      <c r="AK4119" s="156"/>
      <c r="AL4119" s="156"/>
      <c r="AM4119" s="156"/>
      <c r="AN4119" s="156"/>
      <c r="AO4119" s="156"/>
      <c r="AP4119" s="156"/>
      <c r="AQ4119" s="156"/>
      <c r="AR4119" s="156"/>
      <c r="AS4119" s="156"/>
      <c r="AT4119" s="156"/>
      <c r="AU4119" s="156"/>
      <c r="AV4119" s="156"/>
      <c r="AW4119" s="156"/>
      <c r="AX4119" s="156"/>
      <c r="AY4119" s="156"/>
      <c r="AZ4119" s="156"/>
      <c r="BA4119" s="156"/>
      <c r="BB4119" s="2828"/>
      <c r="BC4119" s="452"/>
      <c r="BD4119" s="2829"/>
      <c r="BE4119" s="2837"/>
      <c r="BF4119" s="156"/>
    </row>
    <row r="4120" spans="1:58" ht="15" customHeight="1" outlineLevel="1" x14ac:dyDescent="0.35">
      <c r="A4120" s="1664"/>
      <c r="B4120" s="2812"/>
      <c r="C4120" s="3077"/>
      <c r="D4120" s="3980"/>
      <c r="E4120" s="3883"/>
      <c r="F4120" s="3984" t="str">
        <f t="shared" si="451"/>
        <v>ASHP-SEER15-Replace_CAC_NonElectricHeat_ER1_MF_CompE</v>
      </c>
      <c r="G4120" s="3984"/>
      <c r="H4120" s="3984"/>
      <c r="I4120" s="3984"/>
      <c r="J4120" s="3508" t="str">
        <f t="shared" si="452"/>
        <v>352761_2021_12_</v>
      </c>
      <c r="K4120" s="465">
        <f>(($R$1960*L4120)+$R$1944)-(($Q$1960*L4120)/((1+$R$1962)^($R$1963-1)))</f>
        <v>1013.4419233826643</v>
      </c>
      <c r="L4120" s="96">
        <f>VLOOKUP(J4120,$J$1940:$L$2132,3,FALSE)*M4120</f>
        <v>2.9733333333333332</v>
      </c>
      <c r="M4120" s="3031">
        <f>VLOOKUP(J4120,$J$3484:$K$3676,2,FALSE)</f>
        <v>1</v>
      </c>
      <c r="N4120" s="963"/>
      <c r="O4120" s="106"/>
      <c r="P4120" s="702"/>
      <c r="Q4120" s="702"/>
      <c r="R4120" s="702"/>
      <c r="S4120" s="106"/>
      <c r="T4120" s="486"/>
      <c r="U4120" s="106"/>
      <c r="V4120" s="4129"/>
      <c r="W4120" s="2440"/>
      <c r="X4120" s="465"/>
      <c r="Y4120" s="465"/>
      <c r="Z4120" s="462"/>
      <c r="AA4120" s="462"/>
      <c r="AB4120" s="462"/>
      <c r="AC4120" s="3569">
        <v>691.27403323884414</v>
      </c>
      <c r="AD4120" s="465">
        <v>764.78725019873173</v>
      </c>
      <c r="AE4120" s="2939"/>
      <c r="AF4120" s="663"/>
      <c r="AG4120" s="663"/>
      <c r="AH4120" s="156"/>
      <c r="AI4120" s="156"/>
      <c r="AJ4120" s="156"/>
      <c r="AK4120" s="156"/>
      <c r="AL4120" s="156"/>
      <c r="AM4120" s="156"/>
      <c r="AN4120" s="156"/>
      <c r="AO4120" s="156"/>
      <c r="AP4120" s="156"/>
      <c r="AQ4120" s="156"/>
      <c r="AR4120" s="156"/>
      <c r="AS4120" s="156"/>
      <c r="AT4120" s="156"/>
      <c r="AU4120" s="156"/>
      <c r="AV4120" s="156"/>
      <c r="AW4120" s="156"/>
      <c r="AX4120" s="156"/>
      <c r="AY4120" s="156"/>
      <c r="AZ4120" s="156"/>
      <c r="BA4120" s="156"/>
      <c r="BB4120" s="2828"/>
      <c r="BC4120" s="452"/>
      <c r="BD4120" s="2829"/>
      <c r="BE4120" s="2837"/>
      <c r="BF4120" s="156"/>
    </row>
    <row r="4121" spans="1:58" ht="15" customHeight="1" outlineLevel="1" x14ac:dyDescent="0.35">
      <c r="A4121" s="1664"/>
      <c r="B4121" s="2812"/>
      <c r="C4121" s="3077"/>
      <c r="D4121" s="3980"/>
      <c r="E4121" s="3883"/>
      <c r="F4121" s="3984" t="str">
        <f t="shared" si="451"/>
        <v>ASHP-SEER15-Replace_CAC_NonElectricHeat_ER1_MF_CompE</v>
      </c>
      <c r="G4121" s="3984"/>
      <c r="H4121" s="3984"/>
      <c r="I4121" s="3984"/>
      <c r="J4121" s="3508" t="str">
        <f t="shared" si="452"/>
        <v>352761_2021_12_</v>
      </c>
      <c r="K4121" s="462"/>
      <c r="L4121" s="93"/>
      <c r="M4121" s="3031"/>
      <c r="N4121" s="963"/>
      <c r="O4121" s="106"/>
      <c r="P4121" s="702"/>
      <c r="Q4121" s="702"/>
      <c r="R4121" s="702"/>
      <c r="S4121" s="106"/>
      <c r="T4121" s="486"/>
      <c r="U4121" s="106"/>
      <c r="V4121" s="4129"/>
      <c r="W4121" s="2440"/>
      <c r="X4121" s="465"/>
      <c r="Y4121" s="465"/>
      <c r="Z4121" s="462"/>
      <c r="AA4121" s="462"/>
      <c r="AB4121" s="462"/>
      <c r="AC4121" s="3568"/>
      <c r="AD4121" s="462"/>
      <c r="AE4121" s="2939"/>
      <c r="AF4121" s="663"/>
      <c r="AG4121" s="663"/>
      <c r="AH4121" s="156"/>
      <c r="AI4121" s="156"/>
      <c r="AJ4121" s="156"/>
      <c r="AK4121" s="156"/>
      <c r="AL4121" s="156"/>
      <c r="AM4121" s="156"/>
      <c r="AN4121" s="156"/>
      <c r="AO4121" s="156"/>
      <c r="AP4121" s="156"/>
      <c r="AQ4121" s="156"/>
      <c r="AR4121" s="156"/>
      <c r="AS4121" s="156"/>
      <c r="AT4121" s="156"/>
      <c r="AU4121" s="156"/>
      <c r="AV4121" s="156"/>
      <c r="AW4121" s="156"/>
      <c r="AX4121" s="156"/>
      <c r="AY4121" s="156"/>
      <c r="AZ4121" s="156"/>
      <c r="BA4121" s="156"/>
      <c r="BB4121" s="2828"/>
      <c r="BC4121" s="452"/>
      <c r="BD4121" s="2829"/>
      <c r="BE4121" s="2837"/>
      <c r="BF4121" s="156"/>
    </row>
    <row r="4122" spans="1:58" ht="15" customHeight="1" outlineLevel="1" x14ac:dyDescent="0.35">
      <c r="A4122" s="1664"/>
      <c r="B4122" s="2812"/>
      <c r="C4122" s="3077"/>
      <c r="D4122" s="3980"/>
      <c r="E4122" s="3883"/>
      <c r="F4122" s="3984" t="str">
        <f t="shared" si="451"/>
        <v>ASHP-SEER15-Replace_CAC_NonElectricHeat_ER2_MF_CompE</v>
      </c>
      <c r="G4122" s="3984"/>
      <c r="H4122" s="3984"/>
      <c r="I4122" s="3984"/>
      <c r="J4122" s="3508" t="str">
        <f t="shared" si="452"/>
        <v>352761_2021_12_</v>
      </c>
      <c r="K4122" s="462"/>
      <c r="L4122" s="93"/>
      <c r="M4122" s="3031"/>
      <c r="N4122" s="963"/>
      <c r="O4122" s="106"/>
      <c r="P4122" s="702"/>
      <c r="Q4122" s="702"/>
      <c r="R4122" s="702"/>
      <c r="S4122" s="106"/>
      <c r="T4122" s="486"/>
      <c r="U4122" s="106"/>
      <c r="V4122" s="4129"/>
      <c r="W4122" s="2440"/>
      <c r="X4122" s="465"/>
      <c r="Y4122" s="465"/>
      <c r="Z4122" s="462"/>
      <c r="AA4122" s="462"/>
      <c r="AB4122" s="462"/>
      <c r="AC4122" s="3568"/>
      <c r="AD4122" s="462"/>
      <c r="AE4122" s="2939"/>
      <c r="AF4122" s="663"/>
      <c r="AG4122" s="663"/>
      <c r="AH4122" s="156"/>
      <c r="AI4122" s="156"/>
      <c r="AJ4122" s="156"/>
      <c r="AK4122" s="156"/>
      <c r="AL4122" s="156"/>
      <c r="AM4122" s="156"/>
      <c r="AN4122" s="156"/>
      <c r="AO4122" s="156"/>
      <c r="AP4122" s="156"/>
      <c r="AQ4122" s="156"/>
      <c r="AR4122" s="156"/>
      <c r="AS4122" s="156"/>
      <c r="AT4122" s="156"/>
      <c r="AU4122" s="156"/>
      <c r="AV4122" s="156"/>
      <c r="AW4122" s="156"/>
      <c r="AX4122" s="156"/>
      <c r="AY4122" s="156"/>
      <c r="AZ4122" s="156"/>
      <c r="BA4122" s="156"/>
      <c r="BB4122" s="2828"/>
      <c r="BC4122" s="452"/>
      <c r="BD4122" s="2829"/>
      <c r="BE4122" s="2837"/>
      <c r="BF4122" s="156"/>
    </row>
    <row r="4123" spans="1:58" ht="15" customHeight="1" outlineLevel="1" x14ac:dyDescent="0.35">
      <c r="A4123" s="1664"/>
      <c r="B4123" s="2812"/>
      <c r="C4123" s="3077"/>
      <c r="D4123" s="3980"/>
      <c r="E4123" s="3883"/>
      <c r="F4123" s="3984" t="str">
        <f t="shared" si="451"/>
        <v>ASHP-SEER15-Replace_CAC_NonElectricHeat_ER2_MF_CompE</v>
      </c>
      <c r="G4123" s="3984"/>
      <c r="H4123" s="3984"/>
      <c r="I4123" s="3984"/>
      <c r="J4123" s="3508" t="str">
        <f t="shared" si="452"/>
        <v>352761_2021_12_</v>
      </c>
      <c r="K4123" s="462"/>
      <c r="L4123" s="93"/>
      <c r="M4123" s="3031"/>
      <c r="N4123" s="963"/>
      <c r="O4123" s="106"/>
      <c r="P4123" s="702"/>
      <c r="Q4123" s="702"/>
      <c r="R4123" s="702"/>
      <c r="S4123" s="106"/>
      <c r="T4123" s="486"/>
      <c r="U4123" s="106"/>
      <c r="V4123" s="4129"/>
      <c r="W4123" s="2440"/>
      <c r="X4123" s="465"/>
      <c r="Y4123" s="465"/>
      <c r="Z4123" s="462"/>
      <c r="AA4123" s="462"/>
      <c r="AB4123" s="462"/>
      <c r="AC4123" s="3568"/>
      <c r="AD4123" s="462"/>
      <c r="AE4123" s="2939"/>
      <c r="AF4123" s="663"/>
      <c r="AG4123" s="663"/>
      <c r="AH4123" s="156"/>
      <c r="AI4123" s="156"/>
      <c r="AJ4123" s="156"/>
      <c r="AK4123" s="156"/>
      <c r="AL4123" s="156"/>
      <c r="AM4123" s="156"/>
      <c r="AN4123" s="156"/>
      <c r="AO4123" s="156"/>
      <c r="AP4123" s="156"/>
      <c r="AQ4123" s="156"/>
      <c r="AR4123" s="156"/>
      <c r="AS4123" s="156"/>
      <c r="AT4123" s="156"/>
      <c r="AU4123" s="156"/>
      <c r="AV4123" s="156"/>
      <c r="AW4123" s="156"/>
      <c r="AX4123" s="156"/>
      <c r="AY4123" s="156"/>
      <c r="AZ4123" s="156"/>
      <c r="BA4123" s="156"/>
      <c r="BB4123" s="2828"/>
      <c r="BC4123" s="452"/>
      <c r="BD4123" s="2829"/>
      <c r="BE4123" s="2837"/>
      <c r="BF4123" s="156"/>
    </row>
    <row r="4124" spans="1:58" ht="15" customHeight="1" outlineLevel="1" x14ac:dyDescent="0.35">
      <c r="A4124" s="1664"/>
      <c r="B4124" s="2812"/>
      <c r="C4124" s="3077"/>
      <c r="D4124" s="3980"/>
      <c r="E4124" s="3883"/>
      <c r="F4124" s="3984" t="str">
        <f t="shared" si="451"/>
        <v>ASHP-SEER15-Replace_CAC_ElectricHeat_ROF_MF</v>
      </c>
      <c r="G4124" s="3984"/>
      <c r="H4124" s="3984"/>
      <c r="I4124" s="3984"/>
      <c r="J4124" s="3508" t="str">
        <f t="shared" si="452"/>
        <v>352800_2019_12_</v>
      </c>
      <c r="K4124" s="462">
        <f>$R$1944*K$3490</f>
        <v>303</v>
      </c>
      <c r="L4124" s="93">
        <f>VLOOKUP(J4124,$J$1940:$L$2132,3,FALSE)*M4124</f>
        <v>2.1833333333333331</v>
      </c>
      <c r="M4124" s="3031">
        <f>VLOOKUP(J4124,$J$3484:$K$3676,2,FALSE)</f>
        <v>1</v>
      </c>
      <c r="N4124" s="963"/>
      <c r="O4124" s="106"/>
      <c r="P4124" s="702"/>
      <c r="Q4124" s="702"/>
      <c r="R4124" s="702"/>
      <c r="S4124" s="106"/>
      <c r="T4124" s="486"/>
      <c r="U4124" s="106"/>
      <c r="V4124" s="4129"/>
      <c r="W4124" s="2440">
        <v>787.80000000000007</v>
      </c>
      <c r="X4124" s="465">
        <f>$R$1944*(X$1970/12000)*X$3514</f>
        <v>512.07000000000005</v>
      </c>
      <c r="Y4124" s="465">
        <v>303</v>
      </c>
      <c r="Z4124" s="462">
        <v>303</v>
      </c>
      <c r="AA4124" s="462">
        <v>303</v>
      </c>
      <c r="AB4124" s="462">
        <v>303</v>
      </c>
      <c r="AC4124" s="3568">
        <v>303</v>
      </c>
      <c r="AD4124" s="462">
        <v>303</v>
      </c>
      <c r="AE4124" s="2939"/>
      <c r="AF4124" s="663"/>
      <c r="AG4124" s="663"/>
      <c r="AH4124" s="156"/>
      <c r="AI4124" s="156"/>
      <c r="AJ4124" s="156"/>
      <c r="AK4124" s="156"/>
      <c r="AL4124" s="156"/>
      <c r="AM4124" s="156"/>
      <c r="AN4124" s="156"/>
      <c r="AO4124" s="156"/>
      <c r="AP4124" s="156"/>
      <c r="AQ4124" s="156"/>
      <c r="AR4124" s="156"/>
      <c r="AS4124" s="156"/>
      <c r="AT4124" s="156"/>
      <c r="AU4124" s="156"/>
      <c r="AV4124" s="156"/>
      <c r="AW4124" s="156"/>
      <c r="AX4124" s="156"/>
      <c r="AY4124" s="156"/>
      <c r="AZ4124" s="156"/>
      <c r="BA4124" s="156"/>
      <c r="BB4124" s="2828"/>
      <c r="BC4124" s="452"/>
      <c r="BD4124" s="2829"/>
      <c r="BE4124" s="2837"/>
      <c r="BF4124" s="156"/>
    </row>
    <row r="4125" spans="1:58" ht="15" customHeight="1" outlineLevel="1" x14ac:dyDescent="0.35">
      <c r="A4125" s="1664"/>
      <c r="B4125" s="2812"/>
      <c r="C4125" s="3077"/>
      <c r="D4125" s="3980"/>
      <c r="E4125" s="3883"/>
      <c r="F4125" s="3984" t="str">
        <f t="shared" si="451"/>
        <v>ASHP-SEER15-Replace_CAC_ElectricHeat_ROF_MF</v>
      </c>
      <c r="G4125" s="3984"/>
      <c r="H4125" s="3984"/>
      <c r="I4125" s="3984"/>
      <c r="J4125" s="3508" t="str">
        <f t="shared" si="452"/>
        <v>352800_2019_12_</v>
      </c>
      <c r="K4125" s="462"/>
      <c r="L4125" s="93" t="str">
        <f>IF(K4125&gt;0,VLOOKUP(J4125,$J$1940:$L$2132,3,FALSE),"")</f>
        <v/>
      </c>
      <c r="M4125" s="3031" t="str">
        <f>IF(K4125&gt;0,VLOOKUP(J4125,$J$3484:$K$3676,2,FALSE),"")</f>
        <v/>
      </c>
      <c r="N4125" s="963"/>
      <c r="O4125" s="106"/>
      <c r="P4125" s="702"/>
      <c r="Q4125" s="574"/>
      <c r="R4125" s="702"/>
      <c r="S4125" s="106"/>
      <c r="T4125" s="486"/>
      <c r="U4125" s="106"/>
      <c r="V4125" s="4129"/>
      <c r="W4125" s="2440"/>
      <c r="X4125" s="465"/>
      <c r="Y4125" s="465"/>
      <c r="Z4125" s="462"/>
      <c r="AA4125" s="462"/>
      <c r="AB4125" s="462"/>
      <c r="AC4125" s="3568"/>
      <c r="AD4125" s="462"/>
      <c r="AE4125" s="2939"/>
      <c r="AF4125" s="663"/>
      <c r="AG4125" s="663"/>
      <c r="AH4125" s="156"/>
      <c r="AI4125" s="156"/>
      <c r="AJ4125" s="156"/>
      <c r="AK4125" s="156"/>
      <c r="AL4125" s="156"/>
      <c r="AM4125" s="156"/>
      <c r="AN4125" s="156"/>
      <c r="AO4125" s="156"/>
      <c r="AP4125" s="156"/>
      <c r="AQ4125" s="156"/>
      <c r="AR4125" s="156"/>
      <c r="AS4125" s="156"/>
      <c r="AT4125" s="156"/>
      <c r="AU4125" s="156"/>
      <c r="AV4125" s="156"/>
      <c r="AW4125" s="156"/>
      <c r="AX4125" s="156"/>
      <c r="AY4125" s="156"/>
      <c r="AZ4125" s="156"/>
      <c r="BA4125" s="156"/>
      <c r="BB4125" s="2828"/>
      <c r="BC4125" s="452"/>
      <c r="BD4125" s="2829"/>
      <c r="BE4125" s="2837"/>
      <c r="BF4125" s="156"/>
    </row>
    <row r="4126" spans="1:58" ht="15" customHeight="1" outlineLevel="1" x14ac:dyDescent="0.35">
      <c r="A4126" s="1664"/>
      <c r="B4126" s="2812"/>
      <c r="C4126" s="3077"/>
      <c r="D4126" s="3980"/>
      <c r="E4126" s="3883"/>
      <c r="F4126" s="3984" t="str">
        <f t="shared" si="451"/>
        <v>ASHP-SEER15-Replace_CAC_ElectricHeat_ROF_MF_CompE</v>
      </c>
      <c r="G4126" s="3984"/>
      <c r="H4126" s="3984"/>
      <c r="I4126" s="3984"/>
      <c r="J4126" s="3508" t="str">
        <f t="shared" si="452"/>
        <v>352801_2021_12_</v>
      </c>
      <c r="K4126" s="462">
        <f>$R$1944*K$3490</f>
        <v>303</v>
      </c>
      <c r="L4126" s="93">
        <f>VLOOKUP(J4126,$J$1940:$L$2132,3,FALSE)*M4126</f>
        <v>2.1833333333333331</v>
      </c>
      <c r="M4126" s="3031">
        <f>VLOOKUP(J4126,$J$3484:$K$3676,2,FALSE)</f>
        <v>1</v>
      </c>
      <c r="N4126" s="963"/>
      <c r="O4126" s="106"/>
      <c r="P4126" s="702"/>
      <c r="Q4126" s="574"/>
      <c r="R4126" s="702"/>
      <c r="S4126" s="106"/>
      <c r="T4126" s="486"/>
      <c r="U4126" s="106"/>
      <c r="V4126" s="4129"/>
      <c r="W4126" s="2440"/>
      <c r="X4126" s="465"/>
      <c r="Y4126" s="465"/>
      <c r="Z4126" s="462"/>
      <c r="AA4126" s="462"/>
      <c r="AB4126" s="462"/>
      <c r="AC4126" s="3569">
        <v>303</v>
      </c>
      <c r="AD4126" s="462">
        <v>303</v>
      </c>
      <c r="AE4126" s="2939"/>
      <c r="AF4126" s="663"/>
      <c r="AG4126" s="663"/>
      <c r="AH4126" s="156"/>
      <c r="AI4126" s="156"/>
      <c r="AJ4126" s="156"/>
      <c r="AK4126" s="156"/>
      <c r="AL4126" s="156"/>
      <c r="AM4126" s="156"/>
      <c r="AN4126" s="156"/>
      <c r="AO4126" s="156"/>
      <c r="AP4126" s="156"/>
      <c r="AQ4126" s="156"/>
      <c r="AR4126" s="156"/>
      <c r="AS4126" s="156"/>
      <c r="AT4126" s="156"/>
      <c r="AU4126" s="156"/>
      <c r="AV4126" s="156"/>
      <c r="AW4126" s="156"/>
      <c r="AX4126" s="156"/>
      <c r="AY4126" s="156"/>
      <c r="AZ4126" s="156"/>
      <c r="BA4126" s="156"/>
      <c r="BB4126" s="2828"/>
      <c r="BC4126" s="452"/>
      <c r="BD4126" s="2829"/>
      <c r="BE4126" s="2837"/>
      <c r="BF4126" s="156"/>
    </row>
    <row r="4127" spans="1:58" ht="15" customHeight="1" outlineLevel="1" x14ac:dyDescent="0.35">
      <c r="A4127" s="1664"/>
      <c r="B4127" s="2812"/>
      <c r="C4127" s="3077"/>
      <c r="D4127" s="3980"/>
      <c r="E4127" s="3883"/>
      <c r="F4127" s="3984" t="str">
        <f t="shared" si="451"/>
        <v>ASHP-SEER15-Replace_CAC_ElectricHeat_ROF_MF_CompE</v>
      </c>
      <c r="G4127" s="3984"/>
      <c r="H4127" s="3984"/>
      <c r="I4127" s="3984"/>
      <c r="J4127" s="3508" t="str">
        <f t="shared" si="452"/>
        <v>352801_2021_12_</v>
      </c>
      <c r="K4127" s="462"/>
      <c r="L4127" s="93"/>
      <c r="M4127" s="3031"/>
      <c r="N4127" s="963"/>
      <c r="O4127" s="106"/>
      <c r="P4127" s="702"/>
      <c r="Q4127" s="574"/>
      <c r="R4127" s="702"/>
      <c r="S4127" s="106"/>
      <c r="T4127" s="486"/>
      <c r="U4127" s="106"/>
      <c r="V4127" s="4129"/>
      <c r="W4127" s="2440"/>
      <c r="X4127" s="465"/>
      <c r="Y4127" s="465"/>
      <c r="Z4127" s="462"/>
      <c r="AA4127" s="462"/>
      <c r="AB4127" s="462"/>
      <c r="AC4127" s="3568"/>
      <c r="AD4127" s="462"/>
      <c r="AE4127" s="2939"/>
      <c r="AF4127" s="663"/>
      <c r="AG4127" s="663"/>
      <c r="AH4127" s="156"/>
      <c r="AI4127" s="156"/>
      <c r="AJ4127" s="156"/>
      <c r="AK4127" s="156"/>
      <c r="AL4127" s="156"/>
      <c r="AM4127" s="156"/>
      <c r="AN4127" s="156"/>
      <c r="AO4127" s="156"/>
      <c r="AP4127" s="156"/>
      <c r="AQ4127" s="156"/>
      <c r="AR4127" s="156"/>
      <c r="AS4127" s="156"/>
      <c r="AT4127" s="156"/>
      <c r="AU4127" s="156"/>
      <c r="AV4127" s="156"/>
      <c r="AW4127" s="156"/>
      <c r="AX4127" s="156"/>
      <c r="AY4127" s="156"/>
      <c r="AZ4127" s="156"/>
      <c r="BA4127" s="156"/>
      <c r="BB4127" s="2828"/>
      <c r="BC4127" s="452"/>
      <c r="BD4127" s="2829"/>
      <c r="BE4127" s="2837"/>
      <c r="BF4127" s="156"/>
    </row>
    <row r="4128" spans="1:58" ht="15" customHeight="1" outlineLevel="1" x14ac:dyDescent="0.35">
      <c r="A4128" s="1664"/>
      <c r="B4128" s="2812"/>
      <c r="C4128" s="3077"/>
      <c r="D4128" s="3980"/>
      <c r="E4128" s="3883"/>
      <c r="F4128" s="3984" t="str">
        <f t="shared" ref="F4128:F4191" si="453">E1598</f>
        <v>ASHP-SEER15-Replace_CAC_NonElectricHeat_ROF_MF</v>
      </c>
      <c r="G4128" s="3984"/>
      <c r="H4128" s="3984"/>
      <c r="I4128" s="3984"/>
      <c r="J4128" s="3508" t="str">
        <f t="shared" ref="J4128:J4191" si="454">C1598</f>
        <v>352810_2021_12_</v>
      </c>
      <c r="K4128" s="462">
        <f>$R$1944*K$3490</f>
        <v>303</v>
      </c>
      <c r="L4128" s="93">
        <f>VLOOKUP(J4128,$J$1940:$L$2132,3,FALSE)*M4128</f>
        <v>2.1833333333333331</v>
      </c>
      <c r="M4128" s="3031">
        <f>VLOOKUP(J4128,$J$3484:$K$3676,2,FALSE)</f>
        <v>1</v>
      </c>
      <c r="N4128" s="963"/>
      <c r="O4128" s="106"/>
      <c r="P4128" s="702"/>
      <c r="Q4128" s="574"/>
      <c r="R4128" s="702"/>
      <c r="S4128" s="106"/>
      <c r="T4128" s="486"/>
      <c r="U4128" s="106"/>
      <c r="V4128" s="4129"/>
      <c r="W4128" s="2440"/>
      <c r="X4128" s="465"/>
      <c r="Y4128" s="465"/>
      <c r="Z4128" s="462"/>
      <c r="AA4128" s="462"/>
      <c r="AB4128" s="462"/>
      <c r="AC4128" s="3569">
        <v>303</v>
      </c>
      <c r="AD4128" s="462">
        <v>303</v>
      </c>
      <c r="AE4128" s="2939"/>
      <c r="AF4128" s="663"/>
      <c r="AG4128" s="663"/>
      <c r="AH4128" s="156"/>
      <c r="AI4128" s="156"/>
      <c r="AJ4128" s="156"/>
      <c r="AK4128" s="156"/>
      <c r="AL4128" s="156"/>
      <c r="AM4128" s="156"/>
      <c r="AN4128" s="156"/>
      <c r="AO4128" s="156"/>
      <c r="AP4128" s="156"/>
      <c r="AQ4128" s="156"/>
      <c r="AR4128" s="156"/>
      <c r="AS4128" s="156"/>
      <c r="AT4128" s="156"/>
      <c r="AU4128" s="156"/>
      <c r="AV4128" s="156"/>
      <c r="AW4128" s="156"/>
      <c r="AX4128" s="156"/>
      <c r="AY4128" s="156"/>
      <c r="AZ4128" s="156"/>
      <c r="BA4128" s="156"/>
      <c r="BB4128" s="2828"/>
      <c r="BC4128" s="452"/>
      <c r="BD4128" s="2829"/>
      <c r="BE4128" s="2837"/>
      <c r="BF4128" s="156"/>
    </row>
    <row r="4129" spans="1:58" ht="15" customHeight="1" outlineLevel="1" x14ac:dyDescent="0.35">
      <c r="A4129" s="1664"/>
      <c r="B4129" s="2812"/>
      <c r="C4129" s="3077"/>
      <c r="D4129" s="3980"/>
      <c r="E4129" s="3883"/>
      <c r="F4129" s="3984" t="str">
        <f t="shared" si="453"/>
        <v>ASHP-SEER15-Replace_CAC_NonElectricHeat_ROF_MF</v>
      </c>
      <c r="G4129" s="3984"/>
      <c r="H4129" s="3984"/>
      <c r="I4129" s="3984"/>
      <c r="J4129" s="3508" t="str">
        <f t="shared" si="454"/>
        <v>352810_2021_12_</v>
      </c>
      <c r="K4129" s="462"/>
      <c r="L4129" s="93"/>
      <c r="M4129" s="3031"/>
      <c r="N4129" s="963"/>
      <c r="O4129" s="106"/>
      <c r="P4129" s="702"/>
      <c r="Q4129" s="574"/>
      <c r="R4129" s="702"/>
      <c r="S4129" s="106"/>
      <c r="T4129" s="486"/>
      <c r="U4129" s="106"/>
      <c r="V4129" s="4129"/>
      <c r="W4129" s="2440"/>
      <c r="X4129" s="465"/>
      <c r="Y4129" s="465"/>
      <c r="Z4129" s="462"/>
      <c r="AA4129" s="462"/>
      <c r="AB4129" s="462"/>
      <c r="AC4129" s="3568"/>
      <c r="AD4129" s="462"/>
      <c r="AE4129" s="2939"/>
      <c r="AF4129" s="663"/>
      <c r="AG4129" s="663"/>
      <c r="AH4129" s="156"/>
      <c r="AI4129" s="156"/>
      <c r="AJ4129" s="156"/>
      <c r="AK4129" s="156"/>
      <c r="AL4129" s="156"/>
      <c r="AM4129" s="156"/>
      <c r="AN4129" s="156"/>
      <c r="AO4129" s="156"/>
      <c r="AP4129" s="156"/>
      <c r="AQ4129" s="156"/>
      <c r="AR4129" s="156"/>
      <c r="AS4129" s="156"/>
      <c r="AT4129" s="156"/>
      <c r="AU4129" s="156"/>
      <c r="AV4129" s="156"/>
      <c r="AW4129" s="156"/>
      <c r="AX4129" s="156"/>
      <c r="AY4129" s="156"/>
      <c r="AZ4129" s="156"/>
      <c r="BA4129" s="156"/>
      <c r="BB4129" s="2828"/>
      <c r="BC4129" s="452"/>
      <c r="BD4129" s="2829"/>
      <c r="BE4129" s="2837"/>
      <c r="BF4129" s="156"/>
    </row>
    <row r="4130" spans="1:58" ht="15" customHeight="1" outlineLevel="1" x14ac:dyDescent="0.35">
      <c r="A4130" s="1664"/>
      <c r="B4130" s="2812"/>
      <c r="C4130" s="3077"/>
      <c r="D4130" s="3980"/>
      <c r="E4130" s="3883"/>
      <c r="F4130" s="3984" t="str">
        <f t="shared" si="453"/>
        <v>ASHP-SEER15-Replace_CAC_NonElectricHeat_ROF_MF_CompE</v>
      </c>
      <c r="G4130" s="3984"/>
      <c r="H4130" s="3984"/>
      <c r="I4130" s="3984"/>
      <c r="J4130" s="3508" t="str">
        <f t="shared" si="454"/>
        <v>352811_2021_12_</v>
      </c>
      <c r="K4130" s="462">
        <f>$R$1944*K$3490</f>
        <v>303</v>
      </c>
      <c r="L4130" s="93">
        <f>VLOOKUP(J4130,$J$1940:$L$2132,3,FALSE)*M4130</f>
        <v>2.1833333333333331</v>
      </c>
      <c r="M4130" s="3031">
        <f>VLOOKUP(J4130,$J$3484:$K$3676,2,FALSE)</f>
        <v>1</v>
      </c>
      <c r="N4130" s="963"/>
      <c r="O4130" s="106"/>
      <c r="P4130" s="702"/>
      <c r="Q4130" s="574"/>
      <c r="R4130" s="702"/>
      <c r="S4130" s="106"/>
      <c r="T4130" s="486"/>
      <c r="U4130" s="106"/>
      <c r="V4130" s="4129"/>
      <c r="W4130" s="2440"/>
      <c r="X4130" s="465"/>
      <c r="Y4130" s="465"/>
      <c r="Z4130" s="462"/>
      <c r="AA4130" s="462"/>
      <c r="AB4130" s="462"/>
      <c r="AC4130" s="3569">
        <v>303</v>
      </c>
      <c r="AD4130" s="462">
        <v>303</v>
      </c>
      <c r="AE4130" s="2939"/>
      <c r="AF4130" s="663"/>
      <c r="AG4130" s="663"/>
      <c r="AH4130" s="156"/>
      <c r="AI4130" s="156"/>
      <c r="AJ4130" s="156"/>
      <c r="AK4130" s="156"/>
      <c r="AL4130" s="156"/>
      <c r="AM4130" s="156"/>
      <c r="AN4130" s="156"/>
      <c r="AO4130" s="156"/>
      <c r="AP4130" s="156"/>
      <c r="AQ4130" s="156"/>
      <c r="AR4130" s="156"/>
      <c r="AS4130" s="156"/>
      <c r="AT4130" s="156"/>
      <c r="AU4130" s="156"/>
      <c r="AV4130" s="156"/>
      <c r="AW4130" s="156"/>
      <c r="AX4130" s="156"/>
      <c r="AY4130" s="156"/>
      <c r="AZ4130" s="156"/>
      <c r="BA4130" s="156"/>
      <c r="BB4130" s="2828"/>
      <c r="BC4130" s="452"/>
      <c r="BD4130" s="2829"/>
      <c r="BE4130" s="2837"/>
      <c r="BF4130" s="156"/>
    </row>
    <row r="4131" spans="1:58" ht="15" customHeight="1" outlineLevel="1" x14ac:dyDescent="0.35">
      <c r="A4131" s="1664"/>
      <c r="B4131" s="2812"/>
      <c r="C4131" s="3077"/>
      <c r="D4131" s="3980"/>
      <c r="E4131" s="3883"/>
      <c r="F4131" s="3984" t="str">
        <f t="shared" si="453"/>
        <v>ASHP-SEER15-Replace_CAC_NonElectricHeat_ROF_MF_CompE</v>
      </c>
      <c r="G4131" s="3984"/>
      <c r="H4131" s="3984"/>
      <c r="I4131" s="3984"/>
      <c r="J4131" s="3508" t="str">
        <f t="shared" si="454"/>
        <v>352811_2021_12_</v>
      </c>
      <c r="K4131" s="462"/>
      <c r="L4131" s="93"/>
      <c r="M4131" s="3031"/>
      <c r="N4131" s="963"/>
      <c r="O4131" s="106"/>
      <c r="P4131" s="702"/>
      <c r="Q4131" s="574"/>
      <c r="R4131" s="702"/>
      <c r="S4131" s="106"/>
      <c r="T4131" s="486"/>
      <c r="U4131" s="106"/>
      <c r="V4131" s="4129"/>
      <c r="W4131" s="2440"/>
      <c r="X4131" s="465"/>
      <c r="Y4131" s="465"/>
      <c r="Z4131" s="462"/>
      <c r="AA4131" s="462"/>
      <c r="AB4131" s="462"/>
      <c r="AC4131" s="3568"/>
      <c r="AD4131" s="462"/>
      <c r="AE4131" s="2939"/>
      <c r="AF4131" s="663"/>
      <c r="AG4131" s="663"/>
      <c r="AH4131" s="156"/>
      <c r="AI4131" s="156"/>
      <c r="AJ4131" s="156"/>
      <c r="AK4131" s="156"/>
      <c r="AL4131" s="156"/>
      <c r="AM4131" s="156"/>
      <c r="AN4131" s="156"/>
      <c r="AO4131" s="156"/>
      <c r="AP4131" s="156"/>
      <c r="AQ4131" s="156"/>
      <c r="AR4131" s="156"/>
      <c r="AS4131" s="156"/>
      <c r="AT4131" s="156"/>
      <c r="AU4131" s="156"/>
      <c r="AV4131" s="156"/>
      <c r="AW4131" s="156"/>
      <c r="AX4131" s="156"/>
      <c r="AY4131" s="156"/>
      <c r="AZ4131" s="156"/>
      <c r="BA4131" s="156"/>
      <c r="BB4131" s="2828"/>
      <c r="BC4131" s="452"/>
      <c r="BD4131" s="2829"/>
      <c r="BE4131" s="2837"/>
      <c r="BF4131" s="156"/>
    </row>
    <row r="4132" spans="1:58" ht="15" customHeight="1" outlineLevel="1" x14ac:dyDescent="0.35">
      <c r="A4132" s="1664"/>
      <c r="B4132" s="2812"/>
      <c r="C4132" s="3077"/>
      <c r="D4132" s="3980"/>
      <c r="E4132" s="3883"/>
      <c r="F4132" s="3984" t="str">
        <f t="shared" si="453"/>
        <v>ASHP-SEER16_ER1_MF</v>
      </c>
      <c r="G4132" s="3984"/>
      <c r="H4132" s="3984"/>
      <c r="I4132" s="3984"/>
      <c r="J4132" s="3508" t="str">
        <f t="shared" si="454"/>
        <v>352850_2021_12_</v>
      </c>
      <c r="K4132" s="465">
        <f>(($R$1960*L4132)+$R$1945)-(($Q$1960*L4132)/((1+$R$1962)^($R$1963-1)))</f>
        <v>1116.318054649741</v>
      </c>
      <c r="L4132" s="96">
        <f>VLOOKUP(J4132,$J$1940:$L$2132,3,FALSE)*M4132</f>
        <v>2.8388888888888886</v>
      </c>
      <c r="M4132" s="3031">
        <f>VLOOKUP(J4132,$J$3484:$K$3676,2,FALSE)</f>
        <v>1</v>
      </c>
      <c r="N4132" s="963"/>
      <c r="O4132" s="106"/>
      <c r="P4132" s="702"/>
      <c r="Q4132" s="574"/>
      <c r="R4132" s="702"/>
      <c r="S4132" s="106"/>
      <c r="T4132" s="486"/>
      <c r="U4132" s="106"/>
      <c r="V4132" s="4129"/>
      <c r="W4132" s="2440">
        <v>3083.4857044416549</v>
      </c>
      <c r="X4132" s="465">
        <f>$Q$1945*(X$1974/12000)*X$3518</f>
        <v>2477.0751716258214</v>
      </c>
      <c r="Y4132" s="465">
        <v>996.5516619658124</v>
      </c>
      <c r="Z4132" s="462">
        <v>996.5516619658124</v>
      </c>
      <c r="AA4132" s="462">
        <v>996.5516619658124</v>
      </c>
      <c r="AB4132" s="465">
        <v>950.52172387527389</v>
      </c>
      <c r="AC4132" s="3569">
        <v>903.92883988661288</v>
      </c>
      <c r="AD4132" s="465">
        <v>878.90673552233147</v>
      </c>
      <c r="AE4132" s="2939"/>
      <c r="AF4132" s="663"/>
      <c r="AG4132" s="663"/>
      <c r="AH4132" s="156"/>
      <c r="AI4132" s="156"/>
      <c r="AJ4132" s="156"/>
      <c r="AK4132" s="156"/>
      <c r="AL4132" s="156"/>
      <c r="AM4132" s="156"/>
      <c r="AN4132" s="156"/>
      <c r="AO4132" s="156"/>
      <c r="AP4132" s="156"/>
      <c r="AQ4132" s="156"/>
      <c r="AR4132" s="156"/>
      <c r="AS4132" s="156"/>
      <c r="AT4132" s="156"/>
      <c r="AU4132" s="156"/>
      <c r="AV4132" s="156"/>
      <c r="AW4132" s="156"/>
      <c r="AX4132" s="156"/>
      <c r="AY4132" s="156"/>
      <c r="AZ4132" s="156"/>
      <c r="BA4132" s="156"/>
      <c r="BB4132" s="2828"/>
      <c r="BC4132" s="452"/>
      <c r="BD4132" s="2829"/>
      <c r="BE4132" s="2837"/>
      <c r="BF4132" s="156"/>
    </row>
    <row r="4133" spans="1:58" ht="15" customHeight="1" outlineLevel="1" x14ac:dyDescent="0.35">
      <c r="A4133" s="1664"/>
      <c r="B4133" s="2812"/>
      <c r="C4133" s="3077"/>
      <c r="D4133" s="3980"/>
      <c r="E4133" s="3883"/>
      <c r="F4133" s="3984" t="str">
        <f t="shared" si="453"/>
        <v>ASHP-SEER16_ER1_MF</v>
      </c>
      <c r="G4133" s="3984"/>
      <c r="H4133" s="3984"/>
      <c r="I4133" s="3984"/>
      <c r="J4133" s="3508" t="str">
        <f t="shared" si="454"/>
        <v>352850_2021_12_</v>
      </c>
      <c r="K4133" s="462"/>
      <c r="L4133" s="93" t="str">
        <f>IF(K4133&gt;0,VLOOKUP(J4133,$J$1940:$L$2132,3,FALSE),"")</f>
        <v/>
      </c>
      <c r="M4133" s="3031" t="str">
        <f>IF(K4133&gt;0,VLOOKUP(J4133,$J$3484:$K$3676,2,FALSE),"")</f>
        <v/>
      </c>
      <c r="N4133" s="963"/>
      <c r="O4133" s="106"/>
      <c r="P4133" s="702"/>
      <c r="Q4133" s="574"/>
      <c r="R4133" s="702"/>
      <c r="S4133" s="106"/>
      <c r="T4133" s="486"/>
      <c r="U4133" s="106"/>
      <c r="V4133" s="4129"/>
      <c r="W4133" s="2440"/>
      <c r="X4133" s="465"/>
      <c r="Y4133" s="465"/>
      <c r="Z4133" s="462"/>
      <c r="AA4133" s="462"/>
      <c r="AB4133" s="465"/>
      <c r="AC4133" s="3568"/>
      <c r="AD4133" s="462"/>
      <c r="AE4133" s="2939"/>
      <c r="AF4133" s="663"/>
      <c r="AG4133" s="663"/>
      <c r="AH4133" s="156"/>
      <c r="AI4133" s="156"/>
      <c r="AJ4133" s="156"/>
      <c r="AK4133" s="156"/>
      <c r="AL4133" s="156"/>
      <c r="AM4133" s="156"/>
      <c r="AN4133" s="156"/>
      <c r="AO4133" s="156"/>
      <c r="AP4133" s="156"/>
      <c r="AQ4133" s="156"/>
      <c r="AR4133" s="156"/>
      <c r="AS4133" s="156"/>
      <c r="AT4133" s="156"/>
      <c r="AU4133" s="156"/>
      <c r="AV4133" s="156"/>
      <c r="AW4133" s="156"/>
      <c r="AX4133" s="156"/>
      <c r="AY4133" s="156"/>
      <c r="AZ4133" s="156"/>
      <c r="BA4133" s="156"/>
      <c r="BB4133" s="2828"/>
      <c r="BC4133" s="452"/>
      <c r="BD4133" s="2829"/>
      <c r="BE4133" s="2837"/>
      <c r="BF4133" s="156"/>
    </row>
    <row r="4134" spans="1:58" ht="15" customHeight="1" outlineLevel="1" x14ac:dyDescent="0.35">
      <c r="A4134" s="1664"/>
      <c r="B4134" s="2812"/>
      <c r="C4134" s="3077"/>
      <c r="D4134" s="3980"/>
      <c r="E4134" s="3883"/>
      <c r="F4134" s="3984" t="str">
        <f t="shared" si="453"/>
        <v>ASHP-SEER16_ER2_MF</v>
      </c>
      <c r="G4134" s="3984"/>
      <c r="H4134" s="3984"/>
      <c r="I4134" s="3984"/>
      <c r="J4134" s="3508" t="str">
        <f t="shared" si="454"/>
        <v>352850_2021_12_</v>
      </c>
      <c r="K4134" s="462"/>
      <c r="L4134" s="93" t="str">
        <f>IF(K4134&gt;0,VLOOKUP(J4134,$J$1940:$L$2132,3,FALSE),"")</f>
        <v/>
      </c>
      <c r="M4134" s="3031" t="str">
        <f>IF(K4134&gt;0,VLOOKUP(J4134,$J$3484:$K$3676,2,FALSE),"")</f>
        <v/>
      </c>
      <c r="N4134" s="963"/>
      <c r="O4134" s="106"/>
      <c r="P4134" s="702"/>
      <c r="Q4134" s="574"/>
      <c r="R4134" s="702"/>
      <c r="S4134" s="106"/>
      <c r="T4134" s="486"/>
      <c r="U4134" s="106"/>
      <c r="V4134" s="4129"/>
      <c r="W4134" s="2440"/>
      <c r="X4134" s="465"/>
      <c r="Y4134" s="465"/>
      <c r="Z4134" s="462"/>
      <c r="AA4134" s="462"/>
      <c r="AB4134" s="465"/>
      <c r="AC4134" s="3568"/>
      <c r="AD4134" s="462"/>
      <c r="AE4134" s="2939"/>
      <c r="AF4134" s="663"/>
      <c r="AG4134" s="663"/>
      <c r="AH4134" s="156"/>
      <c r="AI4134" s="156"/>
      <c r="AJ4134" s="156"/>
      <c r="AK4134" s="156"/>
      <c r="AL4134" s="156"/>
      <c r="AM4134" s="156"/>
      <c r="AN4134" s="156"/>
      <c r="AO4134" s="156"/>
      <c r="AP4134" s="156"/>
      <c r="AQ4134" s="156"/>
      <c r="AR4134" s="156"/>
      <c r="AS4134" s="156"/>
      <c r="AT4134" s="156"/>
      <c r="AU4134" s="156"/>
      <c r="AV4134" s="156"/>
      <c r="AW4134" s="156"/>
      <c r="AX4134" s="156"/>
      <c r="AY4134" s="156"/>
      <c r="AZ4134" s="156"/>
      <c r="BA4134" s="156"/>
      <c r="BB4134" s="2828"/>
      <c r="BC4134" s="452"/>
      <c r="BD4134" s="2829"/>
      <c r="BE4134" s="2837"/>
      <c r="BF4134" s="156"/>
    </row>
    <row r="4135" spans="1:58" ht="15" customHeight="1" outlineLevel="1" x14ac:dyDescent="0.35">
      <c r="A4135" s="1664"/>
      <c r="B4135" s="2812"/>
      <c r="C4135" s="3077"/>
      <c r="D4135" s="3980"/>
      <c r="E4135" s="3883"/>
      <c r="F4135" s="3984" t="str">
        <f t="shared" si="453"/>
        <v>ASHP-SEER16_ER2_MF</v>
      </c>
      <c r="G4135" s="3984"/>
      <c r="H4135" s="3984"/>
      <c r="I4135" s="3984"/>
      <c r="J4135" s="3508" t="str">
        <f t="shared" si="454"/>
        <v>352850_2021_12_</v>
      </c>
      <c r="K4135" s="462"/>
      <c r="L4135" s="93" t="str">
        <f>IF(K4135&gt;0,VLOOKUP(J4135,$J$1940:$L$2132,3,FALSE),"")</f>
        <v/>
      </c>
      <c r="M4135" s="3031" t="str">
        <f>IF(K4135&gt;0,VLOOKUP(J4135,$J$3484:$K$3676,2,FALSE),"")</f>
        <v/>
      </c>
      <c r="N4135" s="963"/>
      <c r="O4135" s="106"/>
      <c r="P4135" s="702"/>
      <c r="Q4135" s="574"/>
      <c r="R4135" s="702"/>
      <c r="S4135" s="106"/>
      <c r="T4135" s="486"/>
      <c r="U4135" s="106"/>
      <c r="V4135" s="4129"/>
      <c r="W4135" s="2440"/>
      <c r="X4135" s="465"/>
      <c r="Y4135" s="465"/>
      <c r="Z4135" s="462"/>
      <c r="AA4135" s="462"/>
      <c r="AB4135" s="465"/>
      <c r="AC4135" s="3568"/>
      <c r="AD4135" s="462"/>
      <c r="AE4135" s="2939"/>
      <c r="AF4135" s="663"/>
      <c r="AG4135" s="663"/>
      <c r="AH4135" s="156"/>
      <c r="AI4135" s="156"/>
      <c r="AJ4135" s="156"/>
      <c r="AK4135" s="156"/>
      <c r="AL4135" s="156"/>
      <c r="AM4135" s="156"/>
      <c r="AN4135" s="156"/>
      <c r="AO4135" s="156"/>
      <c r="AP4135" s="156"/>
      <c r="AQ4135" s="156"/>
      <c r="AR4135" s="156"/>
      <c r="AS4135" s="156"/>
      <c r="AT4135" s="156"/>
      <c r="AU4135" s="156"/>
      <c r="AV4135" s="156"/>
      <c r="AW4135" s="156"/>
      <c r="AX4135" s="156"/>
      <c r="AY4135" s="156"/>
      <c r="AZ4135" s="156"/>
      <c r="BA4135" s="156"/>
      <c r="BB4135" s="2828"/>
      <c r="BC4135" s="452"/>
      <c r="BD4135" s="2829"/>
      <c r="BE4135" s="2837"/>
      <c r="BF4135" s="156"/>
    </row>
    <row r="4136" spans="1:58" ht="15" customHeight="1" outlineLevel="1" x14ac:dyDescent="0.35">
      <c r="A4136" s="1664"/>
      <c r="B4136" s="2812"/>
      <c r="C4136" s="3077"/>
      <c r="D4136" s="3980"/>
      <c r="E4136" s="3883"/>
      <c r="F4136" s="3984" t="str">
        <f t="shared" si="453"/>
        <v>ASHP-SEER16_ER1_MF_CompE</v>
      </c>
      <c r="G4136" s="3984"/>
      <c r="H4136" s="3984"/>
      <c r="I4136" s="3984"/>
      <c r="J4136" s="3508" t="str">
        <f t="shared" si="454"/>
        <v>352851_2021_12_</v>
      </c>
      <c r="K4136" s="465">
        <f>(($R$1960*L4136)+$R$1945)-(($Q$1960*L4136)/((1+$R$1962)^($R$1963-1)))</f>
        <v>1116.318054649741</v>
      </c>
      <c r="L4136" s="96">
        <f>VLOOKUP(J4136,$J$1940:$L$2132,3,FALSE)*M4136</f>
        <v>2.8388888888888886</v>
      </c>
      <c r="M4136" s="3031">
        <f>VLOOKUP(J4136,$J$3484:$K$3676,2,FALSE)</f>
        <v>1</v>
      </c>
      <c r="N4136" s="963"/>
      <c r="O4136" s="106"/>
      <c r="P4136" s="702"/>
      <c r="Q4136" s="574"/>
      <c r="R4136" s="702"/>
      <c r="S4136" s="106"/>
      <c r="T4136" s="486"/>
      <c r="U4136" s="106"/>
      <c r="V4136" s="4129"/>
      <c r="W4136" s="2440"/>
      <c r="X4136" s="465"/>
      <c r="Y4136" s="465"/>
      <c r="Z4136" s="462"/>
      <c r="AA4136" s="462"/>
      <c r="AB4136" s="465"/>
      <c r="AC4136" s="3569">
        <v>903.92883988661288</v>
      </c>
      <c r="AD4136" s="465">
        <v>878.90673552233147</v>
      </c>
      <c r="AE4136" s="2939"/>
      <c r="AF4136" s="663"/>
      <c r="AG4136" s="663"/>
      <c r="AH4136" s="156"/>
      <c r="AI4136" s="156"/>
      <c r="AJ4136" s="156"/>
      <c r="AK4136" s="156"/>
      <c r="AL4136" s="156"/>
      <c r="AM4136" s="156"/>
      <c r="AN4136" s="156"/>
      <c r="AO4136" s="156"/>
      <c r="AP4136" s="156"/>
      <c r="AQ4136" s="156"/>
      <c r="AR4136" s="156"/>
      <c r="AS4136" s="156"/>
      <c r="AT4136" s="156"/>
      <c r="AU4136" s="156"/>
      <c r="AV4136" s="156"/>
      <c r="AW4136" s="156"/>
      <c r="AX4136" s="156"/>
      <c r="AY4136" s="156"/>
      <c r="AZ4136" s="156"/>
      <c r="BA4136" s="156"/>
      <c r="BB4136" s="2828"/>
      <c r="BC4136" s="452"/>
      <c r="BD4136" s="2829"/>
      <c r="BE4136" s="2837"/>
      <c r="BF4136" s="156"/>
    </row>
    <row r="4137" spans="1:58" ht="15" customHeight="1" outlineLevel="1" x14ac:dyDescent="0.35">
      <c r="A4137" s="1664"/>
      <c r="B4137" s="2812"/>
      <c r="C4137" s="3077"/>
      <c r="D4137" s="3980"/>
      <c r="E4137" s="3883"/>
      <c r="F4137" s="3984" t="str">
        <f t="shared" si="453"/>
        <v>ASHP-SEER16_ER1_MF_CompE</v>
      </c>
      <c r="G4137" s="3984"/>
      <c r="H4137" s="3984"/>
      <c r="I4137" s="3984"/>
      <c r="J4137" s="3508" t="str">
        <f t="shared" si="454"/>
        <v>352851_2021_12_</v>
      </c>
      <c r="K4137" s="462"/>
      <c r="L4137" s="93"/>
      <c r="M4137" s="3031"/>
      <c r="N4137" s="963"/>
      <c r="O4137" s="106"/>
      <c r="P4137" s="702"/>
      <c r="Q4137" s="574"/>
      <c r="R4137" s="702"/>
      <c r="S4137" s="106"/>
      <c r="T4137" s="486"/>
      <c r="U4137" s="106"/>
      <c r="V4137" s="4129"/>
      <c r="W4137" s="2440"/>
      <c r="X4137" s="465"/>
      <c r="Y4137" s="465"/>
      <c r="Z4137" s="462"/>
      <c r="AA4137" s="462"/>
      <c r="AB4137" s="465"/>
      <c r="AC4137" s="3568"/>
      <c r="AD4137" s="462"/>
      <c r="AE4137" s="2939"/>
      <c r="AF4137" s="663"/>
      <c r="AG4137" s="663"/>
      <c r="AH4137" s="156"/>
      <c r="AI4137" s="156"/>
      <c r="AJ4137" s="156"/>
      <c r="AK4137" s="156"/>
      <c r="AL4137" s="156"/>
      <c r="AM4137" s="156"/>
      <c r="AN4137" s="156"/>
      <c r="AO4137" s="156"/>
      <c r="AP4137" s="156"/>
      <c r="AQ4137" s="156"/>
      <c r="AR4137" s="156"/>
      <c r="AS4137" s="156"/>
      <c r="AT4137" s="156"/>
      <c r="AU4137" s="156"/>
      <c r="AV4137" s="156"/>
      <c r="AW4137" s="156"/>
      <c r="AX4137" s="156"/>
      <c r="AY4137" s="156"/>
      <c r="AZ4137" s="156"/>
      <c r="BA4137" s="156"/>
      <c r="BB4137" s="2828"/>
      <c r="BC4137" s="452"/>
      <c r="BD4137" s="2829"/>
      <c r="BE4137" s="2837"/>
      <c r="BF4137" s="156"/>
    </row>
    <row r="4138" spans="1:58" ht="15" customHeight="1" outlineLevel="1" x14ac:dyDescent="0.35">
      <c r="A4138" s="1664"/>
      <c r="B4138" s="2812"/>
      <c r="C4138" s="3077"/>
      <c r="D4138" s="3980"/>
      <c r="E4138" s="3883"/>
      <c r="F4138" s="3984" t="str">
        <f t="shared" si="453"/>
        <v>ASHP-SEER16_ER2_MF_CompE</v>
      </c>
      <c r="G4138" s="3984"/>
      <c r="H4138" s="3984"/>
      <c r="I4138" s="3984"/>
      <c r="J4138" s="3508" t="str">
        <f t="shared" si="454"/>
        <v>352851_2021_12_</v>
      </c>
      <c r="K4138" s="462"/>
      <c r="L4138" s="93"/>
      <c r="M4138" s="3031"/>
      <c r="N4138" s="963"/>
      <c r="O4138" s="106"/>
      <c r="P4138" s="702"/>
      <c r="Q4138" s="574"/>
      <c r="R4138" s="702"/>
      <c r="S4138" s="106"/>
      <c r="T4138" s="486"/>
      <c r="U4138" s="106"/>
      <c r="V4138" s="4129"/>
      <c r="W4138" s="2440"/>
      <c r="X4138" s="465"/>
      <c r="Y4138" s="465"/>
      <c r="Z4138" s="462"/>
      <c r="AA4138" s="462"/>
      <c r="AB4138" s="465"/>
      <c r="AC4138" s="3568"/>
      <c r="AD4138" s="462"/>
      <c r="AE4138" s="2939"/>
      <c r="AF4138" s="663"/>
      <c r="AG4138" s="663"/>
      <c r="AH4138" s="156"/>
      <c r="AI4138" s="156"/>
      <c r="AJ4138" s="156"/>
      <c r="AK4138" s="156"/>
      <c r="AL4138" s="156"/>
      <c r="AM4138" s="156"/>
      <c r="AN4138" s="156"/>
      <c r="AO4138" s="156"/>
      <c r="AP4138" s="156"/>
      <c r="AQ4138" s="156"/>
      <c r="AR4138" s="156"/>
      <c r="AS4138" s="156"/>
      <c r="AT4138" s="156"/>
      <c r="AU4138" s="156"/>
      <c r="AV4138" s="156"/>
      <c r="AW4138" s="156"/>
      <c r="AX4138" s="156"/>
      <c r="AY4138" s="156"/>
      <c r="AZ4138" s="156"/>
      <c r="BA4138" s="156"/>
      <c r="BB4138" s="2828"/>
      <c r="BC4138" s="452"/>
      <c r="BD4138" s="2829"/>
      <c r="BE4138" s="2837"/>
      <c r="BF4138" s="156"/>
    </row>
    <row r="4139" spans="1:58" ht="15" customHeight="1" outlineLevel="1" x14ac:dyDescent="0.35">
      <c r="A4139" s="1664"/>
      <c r="B4139" s="2812"/>
      <c r="C4139" s="3077"/>
      <c r="D4139" s="3980"/>
      <c r="E4139" s="3883"/>
      <c r="F4139" s="3984" t="str">
        <f t="shared" si="453"/>
        <v>ASHP-SEER16_ER2_MF_CompE</v>
      </c>
      <c r="G4139" s="3984"/>
      <c r="H4139" s="3984"/>
      <c r="I4139" s="3984"/>
      <c r="J4139" s="3508" t="str">
        <f t="shared" si="454"/>
        <v>352851_2021_12_</v>
      </c>
      <c r="K4139" s="462"/>
      <c r="L4139" s="93"/>
      <c r="M4139" s="3031"/>
      <c r="N4139" s="963"/>
      <c r="O4139" s="106"/>
      <c r="P4139" s="702"/>
      <c r="Q4139" s="574"/>
      <c r="R4139" s="702"/>
      <c r="S4139" s="106"/>
      <c r="T4139" s="486"/>
      <c r="U4139" s="106"/>
      <c r="V4139" s="4129"/>
      <c r="W4139" s="2440"/>
      <c r="X4139" s="465"/>
      <c r="Y4139" s="465"/>
      <c r="Z4139" s="462"/>
      <c r="AA4139" s="462"/>
      <c r="AB4139" s="465"/>
      <c r="AC4139" s="3568"/>
      <c r="AD4139" s="462"/>
      <c r="AE4139" s="2939"/>
      <c r="AF4139" s="663"/>
      <c r="AG4139" s="663"/>
      <c r="AH4139" s="156"/>
      <c r="AI4139" s="156"/>
      <c r="AJ4139" s="156"/>
      <c r="AK4139" s="156"/>
      <c r="AL4139" s="156"/>
      <c r="AM4139" s="156"/>
      <c r="AN4139" s="156"/>
      <c r="AO4139" s="156"/>
      <c r="AP4139" s="156"/>
      <c r="AQ4139" s="156"/>
      <c r="AR4139" s="156"/>
      <c r="AS4139" s="156"/>
      <c r="AT4139" s="156"/>
      <c r="AU4139" s="156"/>
      <c r="AV4139" s="156"/>
      <c r="AW4139" s="156"/>
      <c r="AX4139" s="156"/>
      <c r="AY4139" s="156"/>
      <c r="AZ4139" s="156"/>
      <c r="BA4139" s="156"/>
      <c r="BB4139" s="2828"/>
      <c r="BC4139" s="452"/>
      <c r="BD4139" s="2829"/>
      <c r="BE4139" s="2837"/>
      <c r="BF4139" s="156"/>
    </row>
    <row r="4140" spans="1:58" ht="15" customHeight="1" outlineLevel="1" x14ac:dyDescent="0.35">
      <c r="A4140" s="1664"/>
      <c r="B4140" s="2812"/>
      <c r="C4140" s="3077"/>
      <c r="D4140" s="3980"/>
      <c r="E4140" s="3883"/>
      <c r="F4140" s="3984" t="str">
        <f t="shared" si="453"/>
        <v>ASHP-SEER16_ROF_MF</v>
      </c>
      <c r="G4140" s="3984"/>
      <c r="H4140" s="3984"/>
      <c r="I4140" s="3984"/>
      <c r="J4140" s="3508" t="str">
        <f t="shared" si="454"/>
        <v>352900_2021_12_</v>
      </c>
      <c r="K4140" s="462">
        <f>$R$1945*K$3490</f>
        <v>438</v>
      </c>
      <c r="L4140" s="93">
        <f>VLOOKUP(J4140,$J$1940:$L$2132,3,FALSE)*M4140</f>
        <v>2.2333333333333334</v>
      </c>
      <c r="M4140" s="3031">
        <f>VLOOKUP(J4140,$J$3484:$K$3676,2,FALSE)</f>
        <v>1</v>
      </c>
      <c r="N4140" s="963"/>
      <c r="O4140" s="106"/>
      <c r="P4140" s="702"/>
      <c r="Q4140" s="574"/>
      <c r="R4140" s="702"/>
      <c r="S4140" s="106"/>
      <c r="T4140" s="486"/>
      <c r="U4140" s="106"/>
      <c r="V4140" s="4129"/>
      <c r="W4140" s="2440">
        <v>1295.9099999999999</v>
      </c>
      <c r="X4140" s="465">
        <f>$R$1945*(X$1978/12000)*X$3522</f>
        <v>939.51</v>
      </c>
      <c r="Y4140" s="465">
        <v>392.7</v>
      </c>
      <c r="Z4140" s="462">
        <v>392.7</v>
      </c>
      <c r="AA4140" s="462">
        <v>392.7</v>
      </c>
      <c r="AB4140" s="465">
        <v>438</v>
      </c>
      <c r="AC4140" s="3568">
        <v>438</v>
      </c>
      <c r="AD4140" s="462">
        <v>438</v>
      </c>
      <c r="AE4140" s="2939"/>
      <c r="AF4140" s="663"/>
      <c r="AG4140" s="663"/>
      <c r="AH4140" s="156"/>
      <c r="AI4140" s="156"/>
      <c r="AJ4140" s="156"/>
      <c r="AK4140" s="156"/>
      <c r="AL4140" s="156"/>
      <c r="AM4140" s="156"/>
      <c r="AN4140" s="156"/>
      <c r="AO4140" s="156"/>
      <c r="AP4140" s="156"/>
      <c r="AQ4140" s="156"/>
      <c r="AR4140" s="156"/>
      <c r="AS4140" s="156"/>
      <c r="AT4140" s="156"/>
      <c r="AU4140" s="156"/>
      <c r="AV4140" s="156"/>
      <c r="AW4140" s="156"/>
      <c r="AX4140" s="156"/>
      <c r="AY4140" s="156"/>
      <c r="AZ4140" s="156"/>
      <c r="BA4140" s="156"/>
      <c r="BB4140" s="2828"/>
      <c r="BC4140" s="452"/>
      <c r="BD4140" s="2829"/>
      <c r="BE4140" s="2837"/>
      <c r="BF4140" s="156"/>
    </row>
    <row r="4141" spans="1:58" ht="15" customHeight="1" outlineLevel="1" x14ac:dyDescent="0.35">
      <c r="A4141" s="1071"/>
      <c r="B4141" s="2812"/>
      <c r="C4141" s="3077"/>
      <c r="D4141" s="3980"/>
      <c r="E4141" s="3883"/>
      <c r="F4141" s="3984" t="str">
        <f t="shared" si="453"/>
        <v>ASHP-SEER16_ROF_MF</v>
      </c>
      <c r="G4141" s="3984"/>
      <c r="H4141" s="3984"/>
      <c r="I4141" s="3984"/>
      <c r="J4141" s="3508" t="str">
        <f t="shared" si="454"/>
        <v>352900_2021_12_</v>
      </c>
      <c r="K4141" s="462"/>
      <c r="L4141" s="93" t="str">
        <f>IF(K4141&gt;0,VLOOKUP(J4141,$J$1940:$L$2132,3,FALSE),"")</f>
        <v/>
      </c>
      <c r="M4141" s="3031" t="str">
        <f>IF(K4141&gt;0,VLOOKUP(J4141,$J$3484:$K$3676,2,FALSE),"")</f>
        <v/>
      </c>
      <c r="N4141" s="963"/>
      <c r="O4141" s="106"/>
      <c r="P4141" s="702"/>
      <c r="Q4141" s="106"/>
      <c r="R4141" s="106"/>
      <c r="S4141" s="106"/>
      <c r="T4141" s="106"/>
      <c r="U4141" s="106"/>
      <c r="V4141" s="4129"/>
      <c r="W4141" s="2440"/>
      <c r="X4141" s="465"/>
      <c r="Y4141" s="465"/>
      <c r="Z4141" s="462"/>
      <c r="AA4141" s="462"/>
      <c r="AB4141" s="465"/>
      <c r="AC4141" s="3568"/>
      <c r="AD4141" s="462"/>
      <c r="AE4141" s="2939"/>
      <c r="AF4141" s="663"/>
      <c r="AG4141" s="663"/>
      <c r="AH4141" s="156"/>
      <c r="AI4141" s="156"/>
      <c r="AJ4141" s="156"/>
      <c r="AK4141" s="156"/>
      <c r="AL4141" s="156"/>
      <c r="AM4141" s="156"/>
      <c r="AN4141" s="156"/>
      <c r="AO4141" s="156"/>
      <c r="AP4141" s="156"/>
      <c r="AQ4141" s="156"/>
      <c r="AR4141" s="156"/>
      <c r="AS4141" s="156"/>
      <c r="AT4141" s="156"/>
      <c r="AU4141" s="156"/>
      <c r="AV4141" s="156"/>
      <c r="AW4141" s="156"/>
      <c r="AX4141" s="156"/>
      <c r="AY4141" s="156"/>
      <c r="AZ4141" s="156"/>
      <c r="BA4141" s="156"/>
      <c r="BB4141" s="2828"/>
      <c r="BC4141" s="452"/>
      <c r="BD4141" s="2829"/>
      <c r="BE4141" s="2837"/>
      <c r="BF4141" s="156"/>
    </row>
    <row r="4142" spans="1:58" ht="15" customHeight="1" outlineLevel="1" x14ac:dyDescent="0.35">
      <c r="A4142" s="1071"/>
      <c r="B4142" s="2812"/>
      <c r="C4142" s="3077"/>
      <c r="D4142" s="3980"/>
      <c r="E4142" s="3883"/>
      <c r="F4142" s="3984" t="str">
        <f t="shared" si="453"/>
        <v>ASHP-SEER16_ROF_MF_CompE</v>
      </c>
      <c r="G4142" s="3984"/>
      <c r="H4142" s="3984"/>
      <c r="I4142" s="3984"/>
      <c r="J4142" s="3508" t="str">
        <f t="shared" si="454"/>
        <v>352901_2021_12_</v>
      </c>
      <c r="K4142" s="462">
        <f>$R$1945*K$3490</f>
        <v>438</v>
      </c>
      <c r="L4142" s="93">
        <f>VLOOKUP(J4142,$J$1940:$L$2132,3,FALSE)*M4142</f>
        <v>2.2333333333333334</v>
      </c>
      <c r="M4142" s="3031">
        <f>VLOOKUP(J4142,$J$3484:$K$3676,2,FALSE)</f>
        <v>1</v>
      </c>
      <c r="N4142" s="963"/>
      <c r="O4142" s="106"/>
      <c r="P4142" s="702"/>
      <c r="Q4142" s="106"/>
      <c r="R4142" s="106"/>
      <c r="S4142" s="106"/>
      <c r="T4142" s="106"/>
      <c r="U4142" s="106"/>
      <c r="V4142" s="4129"/>
      <c r="W4142" s="2440"/>
      <c r="X4142" s="465"/>
      <c r="Y4142" s="465"/>
      <c r="Z4142" s="462"/>
      <c r="AA4142" s="462"/>
      <c r="AB4142" s="465"/>
      <c r="AC4142" s="3569">
        <v>438</v>
      </c>
      <c r="AD4142" s="462">
        <v>438</v>
      </c>
      <c r="AE4142" s="2939"/>
      <c r="AF4142" s="663"/>
      <c r="AG4142" s="663"/>
      <c r="AH4142" s="156"/>
      <c r="AI4142" s="156"/>
      <c r="AJ4142" s="156"/>
      <c r="AK4142" s="156"/>
      <c r="AL4142" s="156"/>
      <c r="AM4142" s="156"/>
      <c r="AN4142" s="156"/>
      <c r="AO4142" s="156"/>
      <c r="AP4142" s="156"/>
      <c r="AQ4142" s="156"/>
      <c r="AR4142" s="156"/>
      <c r="AS4142" s="156"/>
      <c r="AT4142" s="156"/>
      <c r="AU4142" s="156"/>
      <c r="AV4142" s="156"/>
      <c r="AW4142" s="156"/>
      <c r="AX4142" s="156"/>
      <c r="AY4142" s="156"/>
      <c r="AZ4142" s="156"/>
      <c r="BA4142" s="156"/>
      <c r="BB4142" s="2828"/>
      <c r="BC4142" s="452"/>
      <c r="BD4142" s="2829"/>
      <c r="BE4142" s="2837"/>
      <c r="BF4142" s="156"/>
    </row>
    <row r="4143" spans="1:58" ht="15" customHeight="1" outlineLevel="1" x14ac:dyDescent="0.35">
      <c r="A4143" s="1071"/>
      <c r="B4143" s="2812"/>
      <c r="C4143" s="3077"/>
      <c r="D4143" s="3980"/>
      <c r="E4143" s="3883"/>
      <c r="F4143" s="3984" t="str">
        <f t="shared" si="453"/>
        <v>ASHP-SEER16_ROF_MF_CompE</v>
      </c>
      <c r="G4143" s="3984"/>
      <c r="H4143" s="3984"/>
      <c r="I4143" s="3984"/>
      <c r="J4143" s="3508" t="str">
        <f t="shared" si="454"/>
        <v>352901_2021_12_</v>
      </c>
      <c r="K4143" s="462"/>
      <c r="L4143" s="93"/>
      <c r="M4143" s="3031"/>
      <c r="N4143" s="963"/>
      <c r="O4143" s="106"/>
      <c r="P4143" s="702"/>
      <c r="Q4143" s="106"/>
      <c r="R4143" s="106"/>
      <c r="S4143" s="106"/>
      <c r="T4143" s="106"/>
      <c r="U4143" s="106"/>
      <c r="V4143" s="4129"/>
      <c r="W4143" s="2440"/>
      <c r="X4143" s="465"/>
      <c r="Y4143" s="465"/>
      <c r="Z4143" s="462"/>
      <c r="AA4143" s="462"/>
      <c r="AB4143" s="465"/>
      <c r="AC4143" s="3568"/>
      <c r="AD4143" s="462"/>
      <c r="AE4143" s="2939"/>
      <c r="AF4143" s="663"/>
      <c r="AG4143" s="663"/>
      <c r="AH4143" s="156"/>
      <c r="AI4143" s="156"/>
      <c r="AJ4143" s="156"/>
      <c r="AK4143" s="156"/>
      <c r="AL4143" s="156"/>
      <c r="AM4143" s="156"/>
      <c r="AN4143" s="156"/>
      <c r="AO4143" s="156"/>
      <c r="AP4143" s="156"/>
      <c r="AQ4143" s="156"/>
      <c r="AR4143" s="156"/>
      <c r="AS4143" s="156"/>
      <c r="AT4143" s="156"/>
      <c r="AU4143" s="156"/>
      <c r="AV4143" s="156"/>
      <c r="AW4143" s="156"/>
      <c r="AX4143" s="156"/>
      <c r="AY4143" s="156"/>
      <c r="AZ4143" s="156"/>
      <c r="BA4143" s="156"/>
      <c r="BB4143" s="2828"/>
      <c r="BC4143" s="452"/>
      <c r="BD4143" s="2829"/>
      <c r="BE4143" s="2837"/>
      <c r="BF4143" s="156"/>
    </row>
    <row r="4144" spans="1:58" ht="15" customHeight="1" outlineLevel="1" x14ac:dyDescent="0.35">
      <c r="A4144" s="1664"/>
      <c r="B4144" s="2812"/>
      <c r="C4144" s="3077"/>
      <c r="D4144" s="3980"/>
      <c r="E4144" s="3883"/>
      <c r="F4144" s="3984" t="str">
        <f t="shared" si="453"/>
        <v>ASHP-SEER16-Replace_CAC_ElectricHeat_ROF_MF</v>
      </c>
      <c r="G4144" s="3984"/>
      <c r="H4144" s="3984"/>
      <c r="I4144" s="3984"/>
      <c r="J4144" s="3508" t="str">
        <f t="shared" si="454"/>
        <v>352950_2019_12_</v>
      </c>
      <c r="K4144" s="462">
        <f>$R$1945*K$3490</f>
        <v>438</v>
      </c>
      <c r="L4144" s="93">
        <f>VLOOKUP(J4144,$J$1940:$L$2132,3,FALSE)*M4144</f>
        <v>2.2333333333333334</v>
      </c>
      <c r="M4144" s="3031">
        <f>VLOOKUP(J4144,$J$3484:$K$3676,2,FALSE)</f>
        <v>1</v>
      </c>
      <c r="N4144" s="963"/>
      <c r="O4144" s="106"/>
      <c r="P4144" s="702"/>
      <c r="Q4144" s="574"/>
      <c r="R4144" s="702"/>
      <c r="S4144" s="106"/>
      <c r="T4144" s="486"/>
      <c r="U4144" s="106"/>
      <c r="V4144" s="4129"/>
      <c r="W4144" s="2440">
        <v>1256.6400000000001</v>
      </c>
      <c r="X4144" s="465">
        <f>$R$1945*(X$1980/12000)*X$3524</f>
        <v>911.04000000000008</v>
      </c>
      <c r="Y4144" s="465">
        <v>392.7</v>
      </c>
      <c r="Z4144" s="462">
        <v>392.7</v>
      </c>
      <c r="AA4144" s="462">
        <v>392.7</v>
      </c>
      <c r="AB4144" s="465">
        <v>438</v>
      </c>
      <c r="AC4144" s="3568">
        <v>438</v>
      </c>
      <c r="AD4144" s="462">
        <v>438</v>
      </c>
      <c r="AE4144" s="2939"/>
      <c r="AF4144" s="663"/>
      <c r="AG4144" s="663"/>
      <c r="AH4144" s="156"/>
      <c r="AI4144" s="156"/>
      <c r="AJ4144" s="156"/>
      <c r="AK4144" s="156"/>
      <c r="AL4144" s="156"/>
      <c r="AM4144" s="156"/>
      <c r="AN4144" s="156"/>
      <c r="AO4144" s="156"/>
      <c r="AP4144" s="156"/>
      <c r="AQ4144" s="156"/>
      <c r="AR4144" s="156"/>
      <c r="AS4144" s="156"/>
      <c r="AT4144" s="156"/>
      <c r="AU4144" s="156"/>
      <c r="AV4144" s="156"/>
      <c r="AW4144" s="156"/>
      <c r="AX4144" s="156"/>
      <c r="AY4144" s="156"/>
      <c r="AZ4144" s="156"/>
      <c r="BA4144" s="156"/>
      <c r="BB4144" s="2828"/>
      <c r="BC4144" s="452"/>
      <c r="BD4144" s="2829"/>
      <c r="BE4144" s="2837"/>
      <c r="BF4144" s="156"/>
    </row>
    <row r="4145" spans="1:58" ht="15" customHeight="1" outlineLevel="1" x14ac:dyDescent="0.35">
      <c r="A4145" s="1071"/>
      <c r="B4145" s="2812"/>
      <c r="C4145" s="3077"/>
      <c r="D4145" s="3980"/>
      <c r="E4145" s="3883"/>
      <c r="F4145" s="3984" t="str">
        <f t="shared" si="453"/>
        <v>ASHP-SEER16-Replace_CAC_ElectricHeat_ROF_MF</v>
      </c>
      <c r="G4145" s="3984"/>
      <c r="H4145" s="3984"/>
      <c r="I4145" s="3984"/>
      <c r="J4145" s="3508" t="str">
        <f t="shared" si="454"/>
        <v>352950_2019_12_</v>
      </c>
      <c r="K4145" s="462"/>
      <c r="L4145" s="93" t="str">
        <f>IF(K4145&gt;0,VLOOKUP(J4145,$J$1940:$L$2132,3,FALSE),"")</f>
        <v/>
      </c>
      <c r="M4145" s="3031" t="str">
        <f>IF(K4145&gt;0,VLOOKUP(J4145,$J$3484:$K$3676,2,FALSE),"")</f>
        <v/>
      </c>
      <c r="N4145" s="963"/>
      <c r="O4145" s="106"/>
      <c r="P4145" s="702"/>
      <c r="Q4145" s="106"/>
      <c r="R4145" s="106"/>
      <c r="S4145" s="106"/>
      <c r="T4145" s="106"/>
      <c r="U4145" s="106"/>
      <c r="V4145" s="4129"/>
      <c r="W4145" s="2440"/>
      <c r="X4145" s="465"/>
      <c r="Y4145" s="465"/>
      <c r="Z4145" s="462"/>
      <c r="AA4145" s="462"/>
      <c r="AB4145" s="465"/>
      <c r="AC4145" s="3568"/>
      <c r="AD4145" s="462"/>
      <c r="AE4145" s="2939"/>
      <c r="AF4145" s="663"/>
      <c r="AG4145" s="663"/>
      <c r="AH4145" s="156"/>
      <c r="AI4145" s="156"/>
      <c r="AJ4145" s="156"/>
      <c r="AK4145" s="156"/>
      <c r="AL4145" s="156"/>
      <c r="AM4145" s="156"/>
      <c r="AN4145" s="156"/>
      <c r="AO4145" s="156"/>
      <c r="AP4145" s="156"/>
      <c r="AQ4145" s="156"/>
      <c r="AR4145" s="156"/>
      <c r="AS4145" s="156"/>
      <c r="AT4145" s="156"/>
      <c r="AU4145" s="156"/>
      <c r="AV4145" s="156"/>
      <c r="AW4145" s="156"/>
      <c r="AX4145" s="156"/>
      <c r="AY4145" s="156"/>
      <c r="AZ4145" s="156"/>
      <c r="BA4145" s="156"/>
      <c r="BB4145" s="2828"/>
      <c r="BC4145" s="452"/>
      <c r="BD4145" s="2829"/>
      <c r="BE4145" s="2837"/>
      <c r="BF4145" s="156"/>
    </row>
    <row r="4146" spans="1:58" ht="15" customHeight="1" outlineLevel="1" x14ac:dyDescent="0.35">
      <c r="A4146" s="1071"/>
      <c r="B4146" s="2812"/>
      <c r="C4146" s="3077"/>
      <c r="D4146" s="3980"/>
      <c r="E4146" s="3883"/>
      <c r="F4146" s="3984" t="str">
        <f t="shared" si="453"/>
        <v>ASHP-SEER16-Replace_CAC_ElectricHeat_ROF_MF_CompE</v>
      </c>
      <c r="G4146" s="3984"/>
      <c r="H4146" s="3984"/>
      <c r="I4146" s="3984"/>
      <c r="J4146" s="3508" t="str">
        <f t="shared" si="454"/>
        <v>352951_2019_12_</v>
      </c>
      <c r="K4146" s="462">
        <f>$R$1945*K$3490</f>
        <v>438</v>
      </c>
      <c r="L4146" s="93">
        <f>VLOOKUP(J4146,$J$1940:$L$2132,3,FALSE)*M4146</f>
        <v>2.2333333333333334</v>
      </c>
      <c r="M4146" s="3031">
        <f>VLOOKUP(J4146,$J$3484:$K$3676,2,FALSE)</f>
        <v>1</v>
      </c>
      <c r="N4146" s="963"/>
      <c r="O4146" s="106"/>
      <c r="P4146" s="702"/>
      <c r="Q4146" s="106"/>
      <c r="R4146" s="106"/>
      <c r="S4146" s="106"/>
      <c r="T4146" s="106"/>
      <c r="U4146" s="106"/>
      <c r="V4146" s="4129"/>
      <c r="W4146" s="2440"/>
      <c r="X4146" s="465"/>
      <c r="Y4146" s="465"/>
      <c r="Z4146" s="462"/>
      <c r="AA4146" s="462"/>
      <c r="AB4146" s="465"/>
      <c r="AC4146" s="3569">
        <v>438</v>
      </c>
      <c r="AD4146" s="462">
        <v>438</v>
      </c>
      <c r="AE4146" s="2939"/>
      <c r="AF4146" s="663"/>
      <c r="AG4146" s="663"/>
      <c r="AH4146" s="156"/>
      <c r="AI4146" s="156"/>
      <c r="AJ4146" s="156"/>
      <c r="AK4146" s="156"/>
      <c r="AL4146" s="156"/>
      <c r="AM4146" s="156"/>
      <c r="AN4146" s="156"/>
      <c r="AO4146" s="156"/>
      <c r="AP4146" s="156"/>
      <c r="AQ4146" s="156"/>
      <c r="AR4146" s="156"/>
      <c r="AS4146" s="156"/>
      <c r="AT4146" s="156"/>
      <c r="AU4146" s="156"/>
      <c r="AV4146" s="156"/>
      <c r="AW4146" s="156"/>
      <c r="AX4146" s="156"/>
      <c r="AY4146" s="156"/>
      <c r="AZ4146" s="156"/>
      <c r="BA4146" s="156"/>
      <c r="BB4146" s="2828"/>
      <c r="BC4146" s="452"/>
      <c r="BD4146" s="2829"/>
      <c r="BE4146" s="2837"/>
      <c r="BF4146" s="156"/>
    </row>
    <row r="4147" spans="1:58" ht="15" customHeight="1" outlineLevel="1" x14ac:dyDescent="0.35">
      <c r="A4147" s="1071"/>
      <c r="B4147" s="2812"/>
      <c r="C4147" s="3077"/>
      <c r="D4147" s="3980"/>
      <c r="E4147" s="3883"/>
      <c r="F4147" s="3984" t="str">
        <f t="shared" si="453"/>
        <v>ASHP-SEER16-Replace_CAC_ElectricHeat_ROF_MF_CompE</v>
      </c>
      <c r="G4147" s="3984"/>
      <c r="H4147" s="3984"/>
      <c r="I4147" s="3984"/>
      <c r="J4147" s="3508" t="str">
        <f t="shared" si="454"/>
        <v>352951_2019_12_</v>
      </c>
      <c r="K4147" s="462"/>
      <c r="L4147" s="93"/>
      <c r="M4147" s="3031"/>
      <c r="N4147" s="963"/>
      <c r="O4147" s="106"/>
      <c r="P4147" s="702"/>
      <c r="Q4147" s="106"/>
      <c r="R4147" s="106"/>
      <c r="S4147" s="106"/>
      <c r="T4147" s="106"/>
      <c r="U4147" s="106"/>
      <c r="V4147" s="4129"/>
      <c r="W4147" s="2440"/>
      <c r="X4147" s="465"/>
      <c r="Y4147" s="465"/>
      <c r="Z4147" s="462"/>
      <c r="AA4147" s="462"/>
      <c r="AB4147" s="465"/>
      <c r="AC4147" s="3568"/>
      <c r="AD4147" s="462"/>
      <c r="AE4147" s="2939"/>
      <c r="AF4147" s="663"/>
      <c r="AG4147" s="663"/>
      <c r="AH4147" s="156"/>
      <c r="AI4147" s="156"/>
      <c r="AJ4147" s="156"/>
      <c r="AK4147" s="156"/>
      <c r="AL4147" s="156"/>
      <c r="AM4147" s="156"/>
      <c r="AN4147" s="156"/>
      <c r="AO4147" s="156"/>
      <c r="AP4147" s="156"/>
      <c r="AQ4147" s="156"/>
      <c r="AR4147" s="156"/>
      <c r="AS4147" s="156"/>
      <c r="AT4147" s="156"/>
      <c r="AU4147" s="156"/>
      <c r="AV4147" s="156"/>
      <c r="AW4147" s="156"/>
      <c r="AX4147" s="156"/>
      <c r="AY4147" s="156"/>
      <c r="AZ4147" s="156"/>
      <c r="BA4147" s="156"/>
      <c r="BB4147" s="2828"/>
      <c r="BC4147" s="452"/>
      <c r="BD4147" s="2829"/>
      <c r="BE4147" s="2837"/>
      <c r="BF4147" s="156"/>
    </row>
    <row r="4148" spans="1:58" ht="15" customHeight="1" outlineLevel="1" x14ac:dyDescent="0.35">
      <c r="A4148" s="1071"/>
      <c r="B4148" s="2812"/>
      <c r="C4148" s="3077"/>
      <c r="D4148" s="3980"/>
      <c r="E4148" s="3883"/>
      <c r="F4148" s="3984" t="str">
        <f t="shared" si="453"/>
        <v>ASHP-SEER16-Replace_CAC_NonElectricHeat_ROF_MF</v>
      </c>
      <c r="G4148" s="3984"/>
      <c r="H4148" s="3984"/>
      <c r="I4148" s="3984"/>
      <c r="J4148" s="3508" t="str">
        <f t="shared" si="454"/>
        <v>352960_2021_12_</v>
      </c>
      <c r="K4148" s="462">
        <f>$R$1945*K$3490</f>
        <v>438</v>
      </c>
      <c r="L4148" s="93">
        <f>VLOOKUP(J4148,$J$1940:$L$2132,3,FALSE)*M4148</f>
        <v>2.2333333333333334</v>
      </c>
      <c r="M4148" s="3031">
        <f>VLOOKUP(J4148,$J$3484:$K$3676,2,FALSE)</f>
        <v>1</v>
      </c>
      <c r="N4148" s="963"/>
      <c r="O4148" s="106"/>
      <c r="P4148" s="702"/>
      <c r="Q4148" s="106"/>
      <c r="R4148" s="106"/>
      <c r="S4148" s="106"/>
      <c r="T4148" s="106"/>
      <c r="U4148" s="106"/>
      <c r="V4148" s="4129"/>
      <c r="W4148" s="2440"/>
      <c r="X4148" s="465"/>
      <c r="Y4148" s="465"/>
      <c r="Z4148" s="462"/>
      <c r="AA4148" s="462"/>
      <c r="AB4148" s="465"/>
      <c r="AC4148" s="3569">
        <v>438</v>
      </c>
      <c r="AD4148" s="462">
        <v>438</v>
      </c>
      <c r="AE4148" s="2939"/>
      <c r="AF4148" s="663"/>
      <c r="AG4148" s="663"/>
      <c r="AH4148" s="156"/>
      <c r="AI4148" s="156"/>
      <c r="AJ4148" s="156"/>
      <c r="AK4148" s="156"/>
      <c r="AL4148" s="156"/>
      <c r="AM4148" s="156"/>
      <c r="AN4148" s="156"/>
      <c r="AO4148" s="156"/>
      <c r="AP4148" s="156"/>
      <c r="AQ4148" s="156"/>
      <c r="AR4148" s="156"/>
      <c r="AS4148" s="156"/>
      <c r="AT4148" s="156"/>
      <c r="AU4148" s="156"/>
      <c r="AV4148" s="156"/>
      <c r="AW4148" s="156"/>
      <c r="AX4148" s="156"/>
      <c r="AY4148" s="156"/>
      <c r="AZ4148" s="156"/>
      <c r="BA4148" s="156"/>
      <c r="BB4148" s="2828"/>
      <c r="BC4148" s="452"/>
      <c r="BD4148" s="2829"/>
      <c r="BE4148" s="2837"/>
      <c r="BF4148" s="156"/>
    </row>
    <row r="4149" spans="1:58" ht="15" customHeight="1" outlineLevel="1" x14ac:dyDescent="0.35">
      <c r="A4149" s="1071"/>
      <c r="B4149" s="2812"/>
      <c r="C4149" s="3077"/>
      <c r="D4149" s="3980"/>
      <c r="E4149" s="3883"/>
      <c r="F4149" s="3984" t="str">
        <f t="shared" si="453"/>
        <v>ASHP-SEER16-Replace_CAC_NonElectricHeat_ROF_MF</v>
      </c>
      <c r="G4149" s="3984"/>
      <c r="H4149" s="3984"/>
      <c r="I4149" s="3984"/>
      <c r="J4149" s="3508" t="str">
        <f t="shared" si="454"/>
        <v>352960_2021_12_</v>
      </c>
      <c r="K4149" s="462"/>
      <c r="L4149" s="93"/>
      <c r="M4149" s="3031"/>
      <c r="N4149" s="963"/>
      <c r="O4149" s="106"/>
      <c r="P4149" s="702"/>
      <c r="Q4149" s="106"/>
      <c r="R4149" s="106"/>
      <c r="S4149" s="106"/>
      <c r="T4149" s="106"/>
      <c r="U4149" s="106"/>
      <c r="V4149" s="4129"/>
      <c r="W4149" s="2440"/>
      <c r="X4149" s="465"/>
      <c r="Y4149" s="465"/>
      <c r="Z4149" s="462"/>
      <c r="AA4149" s="462"/>
      <c r="AB4149" s="465"/>
      <c r="AC4149" s="3568"/>
      <c r="AD4149" s="462"/>
      <c r="AE4149" s="2939"/>
      <c r="AF4149" s="663"/>
      <c r="AG4149" s="663"/>
      <c r="AH4149" s="156"/>
      <c r="AI4149" s="156"/>
      <c r="AJ4149" s="156"/>
      <c r="AK4149" s="156"/>
      <c r="AL4149" s="156"/>
      <c r="AM4149" s="156"/>
      <c r="AN4149" s="156"/>
      <c r="AO4149" s="156"/>
      <c r="AP4149" s="156"/>
      <c r="AQ4149" s="156"/>
      <c r="AR4149" s="156"/>
      <c r="AS4149" s="156"/>
      <c r="AT4149" s="156"/>
      <c r="AU4149" s="156"/>
      <c r="AV4149" s="156"/>
      <c r="AW4149" s="156"/>
      <c r="AX4149" s="156"/>
      <c r="AY4149" s="156"/>
      <c r="AZ4149" s="156"/>
      <c r="BA4149" s="156"/>
      <c r="BB4149" s="2828"/>
      <c r="BC4149" s="452"/>
      <c r="BD4149" s="2829"/>
      <c r="BE4149" s="2837"/>
      <c r="BF4149" s="156"/>
    </row>
    <row r="4150" spans="1:58" ht="15" customHeight="1" outlineLevel="1" x14ac:dyDescent="0.35">
      <c r="A4150" s="1071"/>
      <c r="B4150" s="2812"/>
      <c r="C4150" s="3077"/>
      <c r="D4150" s="3980"/>
      <c r="E4150" s="3883"/>
      <c r="F4150" s="3984" t="str">
        <f t="shared" si="453"/>
        <v>ASHP-SEER16-Replace_CAC_NonElectricHeat_ROF_MF_CompE</v>
      </c>
      <c r="G4150" s="3984"/>
      <c r="H4150" s="3984"/>
      <c r="I4150" s="3984"/>
      <c r="J4150" s="3508" t="str">
        <f t="shared" si="454"/>
        <v>352961_2021_12_</v>
      </c>
      <c r="K4150" s="462">
        <f>$R$1945*K$3490</f>
        <v>438</v>
      </c>
      <c r="L4150" s="93">
        <f>VLOOKUP(J4150,$J$1940:$L$2132,3,FALSE)*M4150</f>
        <v>2.2333333333333334</v>
      </c>
      <c r="M4150" s="3031">
        <f>VLOOKUP(J4150,$J$3484:$K$3676,2,FALSE)</f>
        <v>1</v>
      </c>
      <c r="N4150" s="963"/>
      <c r="O4150" s="106"/>
      <c r="P4150" s="702"/>
      <c r="Q4150" s="106"/>
      <c r="R4150" s="106"/>
      <c r="S4150" s="106"/>
      <c r="T4150" s="106"/>
      <c r="U4150" s="106"/>
      <c r="V4150" s="4129"/>
      <c r="W4150" s="2440"/>
      <c r="X4150" s="465"/>
      <c r="Y4150" s="465"/>
      <c r="Z4150" s="462"/>
      <c r="AA4150" s="462"/>
      <c r="AB4150" s="465"/>
      <c r="AC4150" s="3569">
        <v>438</v>
      </c>
      <c r="AD4150" s="462">
        <v>438</v>
      </c>
      <c r="AE4150" s="2939"/>
      <c r="AF4150" s="663"/>
      <c r="AG4150" s="663"/>
      <c r="AH4150" s="156"/>
      <c r="AI4150" s="156"/>
      <c r="AJ4150" s="156"/>
      <c r="AK4150" s="156"/>
      <c r="AL4150" s="156"/>
      <c r="AM4150" s="156"/>
      <c r="AN4150" s="156"/>
      <c r="AO4150" s="156"/>
      <c r="AP4150" s="156"/>
      <c r="AQ4150" s="156"/>
      <c r="AR4150" s="156"/>
      <c r="AS4150" s="156"/>
      <c r="AT4150" s="156"/>
      <c r="AU4150" s="156"/>
      <c r="AV4150" s="156"/>
      <c r="AW4150" s="156"/>
      <c r="AX4150" s="156"/>
      <c r="AY4150" s="156"/>
      <c r="AZ4150" s="156"/>
      <c r="BA4150" s="156"/>
      <c r="BB4150" s="2828"/>
      <c r="BC4150" s="452"/>
      <c r="BD4150" s="2829"/>
      <c r="BE4150" s="2837"/>
      <c r="BF4150" s="156"/>
    </row>
    <row r="4151" spans="1:58" ht="15" customHeight="1" outlineLevel="1" x14ac:dyDescent="0.35">
      <c r="A4151" s="1071"/>
      <c r="B4151" s="2812"/>
      <c r="C4151" s="3077"/>
      <c r="D4151" s="3980"/>
      <c r="E4151" s="3883"/>
      <c r="F4151" s="3984" t="str">
        <f t="shared" si="453"/>
        <v>ASHP-SEER16-Replace_CAC_NonElectricHeat_ROF_MF_CompE</v>
      </c>
      <c r="G4151" s="3984"/>
      <c r="H4151" s="3984"/>
      <c r="I4151" s="3984"/>
      <c r="J4151" s="3508" t="str">
        <f t="shared" si="454"/>
        <v>352961_2021_12_</v>
      </c>
      <c r="K4151" s="462"/>
      <c r="L4151" s="93"/>
      <c r="M4151" s="3031"/>
      <c r="N4151" s="963"/>
      <c r="O4151" s="106"/>
      <c r="P4151" s="702"/>
      <c r="Q4151" s="106"/>
      <c r="R4151" s="106"/>
      <c r="S4151" s="106"/>
      <c r="T4151" s="106"/>
      <c r="U4151" s="106"/>
      <c r="V4151" s="4129"/>
      <c r="W4151" s="2440"/>
      <c r="X4151" s="465"/>
      <c r="Y4151" s="465"/>
      <c r="Z4151" s="462"/>
      <c r="AA4151" s="462"/>
      <c r="AB4151" s="465"/>
      <c r="AC4151" s="3568"/>
      <c r="AD4151" s="462"/>
      <c r="AE4151" s="2939"/>
      <c r="AF4151" s="663"/>
      <c r="AG4151" s="663"/>
      <c r="AH4151" s="156"/>
      <c r="AI4151" s="156"/>
      <c r="AJ4151" s="156"/>
      <c r="AK4151" s="156"/>
      <c r="AL4151" s="156"/>
      <c r="AM4151" s="156"/>
      <c r="AN4151" s="156"/>
      <c r="AO4151" s="156"/>
      <c r="AP4151" s="156"/>
      <c r="AQ4151" s="156"/>
      <c r="AR4151" s="156"/>
      <c r="AS4151" s="156"/>
      <c r="AT4151" s="156"/>
      <c r="AU4151" s="156"/>
      <c r="AV4151" s="156"/>
      <c r="AW4151" s="156"/>
      <c r="AX4151" s="156"/>
      <c r="AY4151" s="156"/>
      <c r="AZ4151" s="156"/>
      <c r="BA4151" s="156"/>
      <c r="BB4151" s="2828"/>
      <c r="BC4151" s="452"/>
      <c r="BD4151" s="2829"/>
      <c r="BE4151" s="2837"/>
      <c r="BF4151" s="156"/>
    </row>
    <row r="4152" spans="1:58" ht="15" customHeight="1" outlineLevel="1" x14ac:dyDescent="0.35">
      <c r="A4152" s="1664"/>
      <c r="B4152" s="2812"/>
      <c r="C4152" s="3077"/>
      <c r="D4152" s="3980"/>
      <c r="E4152" s="3883"/>
      <c r="F4152" s="3984" t="str">
        <f t="shared" si="453"/>
        <v>ASHP-SEER16-Replace_CAC_ElectricHeat_ER1_MF</v>
      </c>
      <c r="G4152" s="3984"/>
      <c r="H4152" s="3984"/>
      <c r="I4152" s="3984"/>
      <c r="J4152" s="3508" t="str">
        <f t="shared" si="454"/>
        <v>353000_2021_12_</v>
      </c>
      <c r="K4152" s="465">
        <f>(($R$1960*L4152)+$R$1945)-(($Q$1960*L4152)/((1+$R$1962)^($R$1963-1)))</f>
        <v>1116.318054649741</v>
      </c>
      <c r="L4152" s="96">
        <f>VLOOKUP(J4152,$J$1940:$L$2132,3,FALSE)*M4152</f>
        <v>2.8388888888888886</v>
      </c>
      <c r="M4152" s="3031">
        <f>VLOOKUP(J4152,$J$3484:$K$3676,2,FALSE)</f>
        <v>1</v>
      </c>
      <c r="N4152" s="963"/>
      <c r="O4152" s="106"/>
      <c r="P4152" s="702"/>
      <c r="Q4152" s="574"/>
      <c r="R4152" s="702"/>
      <c r="S4152" s="106"/>
      <c r="T4152" s="486"/>
      <c r="U4152" s="106"/>
      <c r="V4152" s="4129"/>
      <c r="W4152" s="2440">
        <v>2896.6077829603428</v>
      </c>
      <c r="X4152" s="465">
        <f>$Q$1945*(X$1984/12000)*X$3528</f>
        <v>2326.9494036484994</v>
      </c>
      <c r="Y4152" s="465">
        <v>959.95459154364198</v>
      </c>
      <c r="Z4152" s="462">
        <v>959.95459154364198</v>
      </c>
      <c r="AA4152" s="462">
        <v>959.95459154364198</v>
      </c>
      <c r="AB4152" s="465">
        <v>950.52172387527389</v>
      </c>
      <c r="AC4152" s="3569">
        <v>748.6192265910754</v>
      </c>
      <c r="AD4152" s="465">
        <v>878.90673552233147</v>
      </c>
      <c r="AE4152" s="2939"/>
      <c r="AF4152" s="663"/>
      <c r="AG4152" s="663"/>
      <c r="AH4152" s="156"/>
      <c r="AI4152" s="156"/>
      <c r="AJ4152" s="156"/>
      <c r="AK4152" s="156"/>
      <c r="AL4152" s="156"/>
      <c r="AM4152" s="156"/>
      <c r="AN4152" s="156"/>
      <c r="AO4152" s="156"/>
      <c r="AP4152" s="156"/>
      <c r="AQ4152" s="156"/>
      <c r="AR4152" s="156"/>
      <c r="AS4152" s="156"/>
      <c r="AT4152" s="156"/>
      <c r="AU4152" s="156"/>
      <c r="AV4152" s="156"/>
      <c r="AW4152" s="156"/>
      <c r="AX4152" s="156"/>
      <c r="AY4152" s="156"/>
      <c r="AZ4152" s="156"/>
      <c r="BA4152" s="156"/>
      <c r="BB4152" s="2828"/>
      <c r="BC4152" s="452"/>
      <c r="BD4152" s="2829"/>
      <c r="BE4152" s="2837"/>
      <c r="BF4152" s="156"/>
    </row>
    <row r="4153" spans="1:58" ht="15" customHeight="1" outlineLevel="1" x14ac:dyDescent="0.35">
      <c r="A4153" s="1071"/>
      <c r="B4153" s="2812"/>
      <c r="C4153" s="3077"/>
      <c r="D4153" s="3980"/>
      <c r="E4153" s="3883"/>
      <c r="F4153" s="3984" t="str">
        <f t="shared" si="453"/>
        <v>ASHP-SEER16-Replace_CAC_ElectricHeat_ER1_MF</v>
      </c>
      <c r="G4153" s="3984"/>
      <c r="H4153" s="3984"/>
      <c r="I4153" s="3984"/>
      <c r="J4153" s="3508" t="str">
        <f t="shared" si="454"/>
        <v>353000_2021_12_</v>
      </c>
      <c r="K4153" s="462"/>
      <c r="L4153" s="93" t="str">
        <f>IF(K4153&gt;0,VLOOKUP(J4153,$J$1940:$L$2132,3,FALSE),"")</f>
        <v/>
      </c>
      <c r="M4153" s="3031" t="str">
        <f>IF(K4153&gt;0,VLOOKUP(J4153,$J$3484:$K$3676,2,FALSE),"")</f>
        <v/>
      </c>
      <c r="N4153" s="963"/>
      <c r="O4153" s="106"/>
      <c r="P4153" s="702"/>
      <c r="Q4153" s="106"/>
      <c r="R4153" s="106"/>
      <c r="S4153" s="106"/>
      <c r="T4153" s="106"/>
      <c r="U4153" s="106"/>
      <c r="V4153" s="4129"/>
      <c r="W4153" s="2440"/>
      <c r="X4153" s="465"/>
      <c r="Y4153" s="465"/>
      <c r="Z4153" s="462"/>
      <c r="AA4153" s="462"/>
      <c r="AB4153" s="465"/>
      <c r="AC4153" s="3568"/>
      <c r="AD4153" s="462"/>
      <c r="AE4153" s="2939"/>
      <c r="AF4153" s="663"/>
      <c r="AG4153" s="663"/>
      <c r="AH4153" s="156"/>
      <c r="AI4153" s="156"/>
      <c r="AJ4153" s="156"/>
      <c r="AK4153" s="156"/>
      <c r="AL4153" s="156"/>
      <c r="AM4153" s="156"/>
      <c r="AN4153" s="156"/>
      <c r="AO4153" s="156"/>
      <c r="AP4153" s="156"/>
      <c r="AQ4153" s="156"/>
      <c r="AR4153" s="156"/>
      <c r="AS4153" s="156"/>
      <c r="AT4153" s="156"/>
      <c r="AU4153" s="156"/>
      <c r="AV4153" s="156"/>
      <c r="AW4153" s="156"/>
      <c r="AX4153" s="156"/>
      <c r="AY4153" s="156"/>
      <c r="AZ4153" s="156"/>
      <c r="BA4153" s="156"/>
      <c r="BB4153" s="2828"/>
      <c r="BC4153" s="452"/>
      <c r="BD4153" s="2829"/>
      <c r="BE4153" s="2837"/>
      <c r="BF4153" s="156"/>
    </row>
    <row r="4154" spans="1:58" ht="15" customHeight="1" outlineLevel="1" x14ac:dyDescent="0.35">
      <c r="A4154" s="1071"/>
      <c r="B4154" s="2812"/>
      <c r="C4154" s="3077"/>
      <c r="D4154" s="3980"/>
      <c r="E4154" s="3883"/>
      <c r="F4154" s="3984" t="str">
        <f t="shared" si="453"/>
        <v>ASHP-SEER16-Replace_CAC_ElectricHeat_ER2_MF</v>
      </c>
      <c r="G4154" s="3984"/>
      <c r="H4154" s="3984"/>
      <c r="I4154" s="3984"/>
      <c r="J4154" s="3508" t="str">
        <f t="shared" si="454"/>
        <v>353000_2021_12_</v>
      </c>
      <c r="K4154" s="462"/>
      <c r="L4154" s="93" t="str">
        <f>IF(K4154&gt;0,VLOOKUP(J4154,$J$1940:$L$2132,3,FALSE),"")</f>
        <v/>
      </c>
      <c r="M4154" s="3031" t="str">
        <f>IF(K4154&gt;0,VLOOKUP(J4154,$J$3484:$K$3676,2,FALSE),"")</f>
        <v/>
      </c>
      <c r="N4154" s="963"/>
      <c r="O4154" s="106"/>
      <c r="P4154" s="702"/>
      <c r="Q4154" s="106"/>
      <c r="R4154" s="106"/>
      <c r="S4154" s="106"/>
      <c r="T4154" s="106"/>
      <c r="U4154" s="106"/>
      <c r="V4154" s="4129"/>
      <c r="W4154" s="2440"/>
      <c r="X4154" s="465"/>
      <c r="Y4154" s="465"/>
      <c r="Z4154" s="462"/>
      <c r="AA4154" s="462"/>
      <c r="AB4154" s="465"/>
      <c r="AC4154" s="3568"/>
      <c r="AD4154" s="462"/>
      <c r="AE4154" s="2939"/>
      <c r="AF4154" s="663"/>
      <c r="AG4154" s="663"/>
      <c r="AH4154" s="156"/>
      <c r="AI4154" s="156"/>
      <c r="AJ4154" s="156"/>
      <c r="AK4154" s="156"/>
      <c r="AL4154" s="156"/>
      <c r="AM4154" s="156"/>
      <c r="AN4154" s="156"/>
      <c r="AO4154" s="156"/>
      <c r="AP4154" s="156"/>
      <c r="AQ4154" s="156"/>
      <c r="AR4154" s="156"/>
      <c r="AS4154" s="156"/>
      <c r="AT4154" s="156"/>
      <c r="AU4154" s="156"/>
      <c r="AV4154" s="156"/>
      <c r="AW4154" s="156"/>
      <c r="AX4154" s="156"/>
      <c r="AY4154" s="156"/>
      <c r="AZ4154" s="156"/>
      <c r="BA4154" s="156"/>
      <c r="BB4154" s="2828"/>
      <c r="BC4154" s="452"/>
      <c r="BD4154" s="2829"/>
      <c r="BE4154" s="2837"/>
      <c r="BF4154" s="156"/>
    </row>
    <row r="4155" spans="1:58" ht="15" customHeight="1" outlineLevel="1" x14ac:dyDescent="0.35">
      <c r="A4155" s="1664"/>
      <c r="B4155" s="2812"/>
      <c r="C4155" s="3077"/>
      <c r="D4155" s="3980"/>
      <c r="E4155" s="3883"/>
      <c r="F4155" s="3984" t="str">
        <f t="shared" si="453"/>
        <v>ASHP-SEER16-Replace_CAC_ElectricHeat_ER2_MF</v>
      </c>
      <c r="G4155" s="3984"/>
      <c r="H4155" s="3984"/>
      <c r="I4155" s="3984"/>
      <c r="J4155" s="3508" t="str">
        <f t="shared" si="454"/>
        <v>353000_2021_12_</v>
      </c>
      <c r="K4155" s="462"/>
      <c r="L4155" s="93" t="str">
        <f>IF(K4155&gt;0,VLOOKUP(J4155,$J$1940:$L$2132,3,FALSE),"")</f>
        <v/>
      </c>
      <c r="M4155" s="3031" t="str">
        <f>IF(K4155&gt;0,VLOOKUP(J4155,$J$3484:$K$3676,2,FALSE),"")</f>
        <v/>
      </c>
      <c r="N4155" s="963"/>
      <c r="O4155" s="106"/>
      <c r="P4155" s="702"/>
      <c r="Q4155" s="574"/>
      <c r="R4155" s="702"/>
      <c r="S4155" s="106"/>
      <c r="T4155" s="486"/>
      <c r="U4155" s="106"/>
      <c r="V4155" s="4129"/>
      <c r="W4155" s="2440"/>
      <c r="X4155" s="465"/>
      <c r="Y4155" s="465"/>
      <c r="Z4155" s="462"/>
      <c r="AA4155" s="462"/>
      <c r="AB4155" s="462"/>
      <c r="AC4155" s="3568"/>
      <c r="AD4155" s="462"/>
      <c r="AE4155" s="2939"/>
      <c r="AF4155" s="663"/>
      <c r="AG4155" s="663"/>
      <c r="AH4155" s="156"/>
      <c r="AI4155" s="156"/>
      <c r="AJ4155" s="156"/>
      <c r="AK4155" s="156"/>
      <c r="AL4155" s="156"/>
      <c r="AM4155" s="156"/>
      <c r="AN4155" s="156"/>
      <c r="AO4155" s="156"/>
      <c r="AP4155" s="156"/>
      <c r="AQ4155" s="156"/>
      <c r="AR4155" s="156"/>
      <c r="AS4155" s="156"/>
      <c r="AT4155" s="156"/>
      <c r="AU4155" s="156"/>
      <c r="AV4155" s="156"/>
      <c r="AW4155" s="156"/>
      <c r="AX4155" s="156"/>
      <c r="AY4155" s="156"/>
      <c r="AZ4155" s="156"/>
      <c r="BA4155" s="156"/>
      <c r="BB4155" s="2828"/>
      <c r="BC4155" s="452"/>
      <c r="BD4155" s="2829"/>
      <c r="BE4155" s="2837"/>
      <c r="BF4155" s="156"/>
    </row>
    <row r="4156" spans="1:58" ht="15" customHeight="1" outlineLevel="1" x14ac:dyDescent="0.35">
      <c r="A4156" s="1664"/>
      <c r="B4156" s="2812"/>
      <c r="C4156" s="3077"/>
      <c r="D4156" s="3980"/>
      <c r="E4156" s="3883"/>
      <c r="F4156" s="3984" t="str">
        <f t="shared" si="453"/>
        <v>ASHP-SEER16-Replace_CAC_ElectricHeat_ER1_MF_CompE</v>
      </c>
      <c r="G4156" s="3984"/>
      <c r="H4156" s="3984"/>
      <c r="I4156" s="3984"/>
      <c r="J4156" s="3508" t="str">
        <f t="shared" si="454"/>
        <v>353001_2021_12_</v>
      </c>
      <c r="K4156" s="465">
        <f>(($R$1960*L4156)+$R$1945)-(($Q$1960*L4156)/((1+$R$1962)^($R$1963-1)))</f>
        <v>878.90673552233147</v>
      </c>
      <c r="L4156" s="96">
        <f>VLOOKUP(J4156,$J$1940:$L$2132,3,FALSE)*M4156</f>
        <v>1.8452777777777776</v>
      </c>
      <c r="M4156" s="3031">
        <f>VLOOKUP(J4156,$J$3484:$K$3676,2,FALSE)</f>
        <v>0.65</v>
      </c>
      <c r="N4156" s="963"/>
      <c r="O4156" s="106"/>
      <c r="P4156" s="702"/>
      <c r="Q4156" s="574"/>
      <c r="R4156" s="702"/>
      <c r="S4156" s="106"/>
      <c r="T4156" s="486"/>
      <c r="U4156" s="106"/>
      <c r="V4156" s="4129"/>
      <c r="W4156" s="2440"/>
      <c r="X4156" s="465"/>
      <c r="Y4156" s="465"/>
      <c r="Z4156" s="462"/>
      <c r="AA4156" s="462"/>
      <c r="AB4156" s="462"/>
      <c r="AC4156" s="3569">
        <v>748.6192265910754</v>
      </c>
      <c r="AD4156" s="465">
        <v>878.90673552233147</v>
      </c>
      <c r="AE4156" s="2939"/>
      <c r="AF4156" s="663"/>
      <c r="AG4156" s="663"/>
      <c r="AH4156" s="156"/>
      <c r="AI4156" s="156"/>
      <c r="AJ4156" s="156"/>
      <c r="AK4156" s="156"/>
      <c r="AL4156" s="156"/>
      <c r="AM4156" s="156"/>
      <c r="AN4156" s="156"/>
      <c r="AO4156" s="156"/>
      <c r="AP4156" s="156"/>
      <c r="AQ4156" s="156"/>
      <c r="AR4156" s="156"/>
      <c r="AS4156" s="156"/>
      <c r="AT4156" s="156"/>
      <c r="AU4156" s="156"/>
      <c r="AV4156" s="156"/>
      <c r="AW4156" s="156"/>
      <c r="AX4156" s="156"/>
      <c r="AY4156" s="156"/>
      <c r="AZ4156" s="156"/>
      <c r="BA4156" s="156"/>
      <c r="BB4156" s="2828"/>
      <c r="BC4156" s="452"/>
      <c r="BD4156" s="2829"/>
      <c r="BE4156" s="2837"/>
      <c r="BF4156" s="156"/>
    </row>
    <row r="4157" spans="1:58" ht="15" customHeight="1" outlineLevel="1" x14ac:dyDescent="0.35">
      <c r="A4157" s="1664"/>
      <c r="B4157" s="2812"/>
      <c r="C4157" s="3077"/>
      <c r="D4157" s="3980"/>
      <c r="E4157" s="3883"/>
      <c r="F4157" s="3984" t="str">
        <f t="shared" si="453"/>
        <v>ASHP-SEER16-Replace_CAC_ElectricHeat_ER1_MF_CompE</v>
      </c>
      <c r="G4157" s="3984"/>
      <c r="H4157" s="3984"/>
      <c r="I4157" s="3984"/>
      <c r="J4157" s="3508" t="str">
        <f t="shared" si="454"/>
        <v>353001_2021_12_</v>
      </c>
      <c r="K4157" s="462"/>
      <c r="L4157" s="93"/>
      <c r="M4157" s="3031"/>
      <c r="N4157" s="963"/>
      <c r="O4157" s="106"/>
      <c r="P4157" s="702"/>
      <c r="Q4157" s="574"/>
      <c r="R4157" s="702"/>
      <c r="S4157" s="106"/>
      <c r="T4157" s="486"/>
      <c r="U4157" s="106"/>
      <c r="V4157" s="4129"/>
      <c r="W4157" s="2440"/>
      <c r="X4157" s="465"/>
      <c r="Y4157" s="465"/>
      <c r="Z4157" s="462"/>
      <c r="AA4157" s="462"/>
      <c r="AB4157" s="462"/>
      <c r="AC4157" s="3568"/>
      <c r="AD4157" s="462"/>
      <c r="AE4157" s="2939"/>
      <c r="AF4157" s="663"/>
      <c r="AG4157" s="663"/>
      <c r="AH4157" s="156"/>
      <c r="AI4157" s="156"/>
      <c r="AJ4157" s="156"/>
      <c r="AK4157" s="156"/>
      <c r="AL4157" s="156"/>
      <c r="AM4157" s="156"/>
      <c r="AN4157" s="156"/>
      <c r="AO4157" s="156"/>
      <c r="AP4157" s="156"/>
      <c r="AQ4157" s="156"/>
      <c r="AR4157" s="156"/>
      <c r="AS4157" s="156"/>
      <c r="AT4157" s="156"/>
      <c r="AU4157" s="156"/>
      <c r="AV4157" s="156"/>
      <c r="AW4157" s="156"/>
      <c r="AX4157" s="156"/>
      <c r="AY4157" s="156"/>
      <c r="AZ4157" s="156"/>
      <c r="BA4157" s="156"/>
      <c r="BB4157" s="2828"/>
      <c r="BC4157" s="452"/>
      <c r="BD4157" s="2829"/>
      <c r="BE4157" s="2837"/>
      <c r="BF4157" s="156"/>
    </row>
    <row r="4158" spans="1:58" ht="15" customHeight="1" outlineLevel="1" x14ac:dyDescent="0.35">
      <c r="A4158" s="1664"/>
      <c r="B4158" s="2812"/>
      <c r="C4158" s="3077"/>
      <c r="D4158" s="3980"/>
      <c r="E4158" s="3883"/>
      <c r="F4158" s="3984" t="str">
        <f t="shared" si="453"/>
        <v>ASHP-SEER16-Replace_CAC_ElectricHeat_ER2_MF_CompE</v>
      </c>
      <c r="G4158" s="3984"/>
      <c r="H4158" s="3984"/>
      <c r="I4158" s="3984"/>
      <c r="J4158" s="3508" t="str">
        <f t="shared" si="454"/>
        <v>353001_2021_12_</v>
      </c>
      <c r="K4158" s="462"/>
      <c r="L4158" s="93"/>
      <c r="M4158" s="3031"/>
      <c r="N4158" s="963"/>
      <c r="O4158" s="106"/>
      <c r="P4158" s="702"/>
      <c r="Q4158" s="574"/>
      <c r="R4158" s="702"/>
      <c r="S4158" s="106"/>
      <c r="T4158" s="486"/>
      <c r="U4158" s="106"/>
      <c r="V4158" s="4129"/>
      <c r="W4158" s="2440"/>
      <c r="X4158" s="465"/>
      <c r="Y4158" s="465"/>
      <c r="Z4158" s="462"/>
      <c r="AA4158" s="462"/>
      <c r="AB4158" s="462"/>
      <c r="AC4158" s="3568"/>
      <c r="AD4158" s="462"/>
      <c r="AE4158" s="2939"/>
      <c r="AF4158" s="663"/>
      <c r="AG4158" s="663"/>
      <c r="AH4158" s="156"/>
      <c r="AI4158" s="156"/>
      <c r="AJ4158" s="156"/>
      <c r="AK4158" s="156"/>
      <c r="AL4158" s="156"/>
      <c r="AM4158" s="156"/>
      <c r="AN4158" s="156"/>
      <c r="AO4158" s="156"/>
      <c r="AP4158" s="156"/>
      <c r="AQ4158" s="156"/>
      <c r="AR4158" s="156"/>
      <c r="AS4158" s="156"/>
      <c r="AT4158" s="156"/>
      <c r="AU4158" s="156"/>
      <c r="AV4158" s="156"/>
      <c r="AW4158" s="156"/>
      <c r="AX4158" s="156"/>
      <c r="AY4158" s="156"/>
      <c r="AZ4158" s="156"/>
      <c r="BA4158" s="156"/>
      <c r="BB4158" s="2828"/>
      <c r="BC4158" s="452"/>
      <c r="BD4158" s="2829"/>
      <c r="BE4158" s="2837"/>
      <c r="BF4158" s="156"/>
    </row>
    <row r="4159" spans="1:58" ht="15" customHeight="1" outlineLevel="1" x14ac:dyDescent="0.35">
      <c r="A4159" s="1664"/>
      <c r="B4159" s="2812"/>
      <c r="C4159" s="3077"/>
      <c r="D4159" s="3980"/>
      <c r="E4159" s="3883"/>
      <c r="F4159" s="3984" t="str">
        <f t="shared" si="453"/>
        <v>ASHP-SEER16-Replace_CAC_ElectricHeat_ER2_MF_CompE</v>
      </c>
      <c r="G4159" s="3984"/>
      <c r="H4159" s="3984"/>
      <c r="I4159" s="3984"/>
      <c r="J4159" s="3508" t="str">
        <f t="shared" si="454"/>
        <v>353001_2021_12_</v>
      </c>
      <c r="K4159" s="462"/>
      <c r="L4159" s="93"/>
      <c r="M4159" s="3031"/>
      <c r="N4159" s="963"/>
      <c r="O4159" s="106"/>
      <c r="P4159" s="702"/>
      <c r="Q4159" s="574"/>
      <c r="R4159" s="702"/>
      <c r="S4159" s="106"/>
      <c r="T4159" s="486"/>
      <c r="U4159" s="106"/>
      <c r="V4159" s="4129"/>
      <c r="W4159" s="2440"/>
      <c r="X4159" s="465"/>
      <c r="Y4159" s="465"/>
      <c r="Z4159" s="462"/>
      <c r="AA4159" s="462"/>
      <c r="AB4159" s="462"/>
      <c r="AC4159" s="3568"/>
      <c r="AD4159" s="462"/>
      <c r="AE4159" s="2939"/>
      <c r="AF4159" s="663"/>
      <c r="AG4159" s="663"/>
      <c r="AH4159" s="156"/>
      <c r="AI4159" s="156"/>
      <c r="AJ4159" s="156"/>
      <c r="AK4159" s="156"/>
      <c r="AL4159" s="156"/>
      <c r="AM4159" s="156"/>
      <c r="AN4159" s="156"/>
      <c r="AO4159" s="156"/>
      <c r="AP4159" s="156"/>
      <c r="AQ4159" s="156"/>
      <c r="AR4159" s="156"/>
      <c r="AS4159" s="156"/>
      <c r="AT4159" s="156"/>
      <c r="AU4159" s="156"/>
      <c r="AV4159" s="156"/>
      <c r="AW4159" s="156"/>
      <c r="AX4159" s="156"/>
      <c r="AY4159" s="156"/>
      <c r="AZ4159" s="156"/>
      <c r="BA4159" s="156"/>
      <c r="BB4159" s="2828"/>
      <c r="BC4159" s="452"/>
      <c r="BD4159" s="2829"/>
      <c r="BE4159" s="2837"/>
      <c r="BF4159" s="156"/>
    </row>
    <row r="4160" spans="1:58" ht="15" customHeight="1" outlineLevel="1" x14ac:dyDescent="0.35">
      <c r="A4160" s="1664"/>
      <c r="B4160" s="2812"/>
      <c r="C4160" s="3077"/>
      <c r="D4160" s="3980"/>
      <c r="E4160" s="3883"/>
      <c r="F4160" s="3984" t="str">
        <f t="shared" si="453"/>
        <v>ASHP-SEER16-Replace_CAC_NonElectricHeat_ER1_MF</v>
      </c>
      <c r="G4160" s="3984"/>
      <c r="H4160" s="3984"/>
      <c r="I4160" s="3984"/>
      <c r="J4160" s="3508" t="str">
        <f t="shared" si="454"/>
        <v>353010_2021_12_</v>
      </c>
      <c r="K4160" s="465">
        <f>(($R$1960*L4160)+$R$1945)-(($Q$1960*L4160)/((1+$R$1962)^($R$1963-1)))</f>
        <v>878.90673552233147</v>
      </c>
      <c r="L4160" s="96">
        <f>VLOOKUP(J4160,$J$1940:$L$2132,3,FALSE)*M4160</f>
        <v>1.8452777777777776</v>
      </c>
      <c r="M4160" s="3031">
        <f>VLOOKUP(J4160,$J$3484:$K$3676,2,FALSE)</f>
        <v>0.65</v>
      </c>
      <c r="N4160" s="963"/>
      <c r="O4160" s="106"/>
      <c r="P4160" s="702"/>
      <c r="Q4160" s="574"/>
      <c r="R4160" s="702"/>
      <c r="S4160" s="106"/>
      <c r="T4160" s="486"/>
      <c r="U4160" s="106"/>
      <c r="V4160" s="4129"/>
      <c r="W4160" s="2440"/>
      <c r="X4160" s="465"/>
      <c r="Y4160" s="465"/>
      <c r="Z4160" s="462"/>
      <c r="AA4160" s="462"/>
      <c r="AB4160" s="462"/>
      <c r="AC4160" s="3569">
        <v>748.6192265910754</v>
      </c>
      <c r="AD4160" s="465">
        <v>878.90673552233147</v>
      </c>
      <c r="AE4160" s="2939"/>
      <c r="AF4160" s="663"/>
      <c r="AG4160" s="663"/>
      <c r="AH4160" s="156"/>
      <c r="AI4160" s="156"/>
      <c r="AJ4160" s="156"/>
      <c r="AK4160" s="156"/>
      <c r="AL4160" s="156"/>
      <c r="AM4160" s="156"/>
      <c r="AN4160" s="156"/>
      <c r="AO4160" s="156"/>
      <c r="AP4160" s="156"/>
      <c r="AQ4160" s="156"/>
      <c r="AR4160" s="156"/>
      <c r="AS4160" s="156"/>
      <c r="AT4160" s="156"/>
      <c r="AU4160" s="156"/>
      <c r="AV4160" s="156"/>
      <c r="AW4160" s="156"/>
      <c r="AX4160" s="156"/>
      <c r="AY4160" s="156"/>
      <c r="AZ4160" s="156"/>
      <c r="BA4160" s="156"/>
      <c r="BB4160" s="2828"/>
      <c r="BC4160" s="452"/>
      <c r="BD4160" s="2829"/>
      <c r="BE4160" s="2837"/>
      <c r="BF4160" s="156"/>
    </row>
    <row r="4161" spans="1:58" ht="15" customHeight="1" outlineLevel="1" x14ac:dyDescent="0.35">
      <c r="A4161" s="1664"/>
      <c r="B4161" s="2812"/>
      <c r="C4161" s="3077"/>
      <c r="D4161" s="3980"/>
      <c r="E4161" s="3883"/>
      <c r="F4161" s="3984" t="str">
        <f t="shared" si="453"/>
        <v>ASHP-SEER16-Replace_CAC_NonElectricHeat_ER1_MF</v>
      </c>
      <c r="G4161" s="3984"/>
      <c r="H4161" s="3984"/>
      <c r="I4161" s="3984"/>
      <c r="J4161" s="3508" t="str">
        <f t="shared" si="454"/>
        <v>353010_2021_12_</v>
      </c>
      <c r="K4161" s="462"/>
      <c r="L4161" s="93"/>
      <c r="M4161" s="3031"/>
      <c r="N4161" s="963"/>
      <c r="O4161" s="106"/>
      <c r="P4161" s="702"/>
      <c r="Q4161" s="574"/>
      <c r="R4161" s="702"/>
      <c r="S4161" s="106"/>
      <c r="T4161" s="486"/>
      <c r="U4161" s="106"/>
      <c r="V4161" s="4129"/>
      <c r="W4161" s="2440"/>
      <c r="X4161" s="465"/>
      <c r="Y4161" s="465"/>
      <c r="Z4161" s="462"/>
      <c r="AA4161" s="462"/>
      <c r="AB4161" s="462"/>
      <c r="AC4161" s="3568"/>
      <c r="AD4161" s="462"/>
      <c r="AE4161" s="2939"/>
      <c r="AF4161" s="663"/>
      <c r="AG4161" s="663"/>
      <c r="AH4161" s="156"/>
      <c r="AI4161" s="156"/>
      <c r="AJ4161" s="156"/>
      <c r="AK4161" s="156"/>
      <c r="AL4161" s="156"/>
      <c r="AM4161" s="156"/>
      <c r="AN4161" s="156"/>
      <c r="AO4161" s="156"/>
      <c r="AP4161" s="156"/>
      <c r="AQ4161" s="156"/>
      <c r="AR4161" s="156"/>
      <c r="AS4161" s="156"/>
      <c r="AT4161" s="156"/>
      <c r="AU4161" s="156"/>
      <c r="AV4161" s="156"/>
      <c r="AW4161" s="156"/>
      <c r="AX4161" s="156"/>
      <c r="AY4161" s="156"/>
      <c r="AZ4161" s="156"/>
      <c r="BA4161" s="156"/>
      <c r="BB4161" s="2828"/>
      <c r="BC4161" s="452"/>
      <c r="BD4161" s="2829"/>
      <c r="BE4161" s="2837"/>
      <c r="BF4161" s="156"/>
    </row>
    <row r="4162" spans="1:58" ht="15" customHeight="1" outlineLevel="1" x14ac:dyDescent="0.35">
      <c r="A4162" s="1664"/>
      <c r="B4162" s="2812"/>
      <c r="C4162" s="3077"/>
      <c r="D4162" s="3980"/>
      <c r="E4162" s="3883"/>
      <c r="F4162" s="3984" t="str">
        <f t="shared" si="453"/>
        <v>ASHP-SEER16-Replace_CAC_NonElectricHeat_ER2_MF</v>
      </c>
      <c r="G4162" s="3984"/>
      <c r="H4162" s="3984"/>
      <c r="I4162" s="3984"/>
      <c r="J4162" s="3508" t="str">
        <f t="shared" si="454"/>
        <v>353010_2021_12_</v>
      </c>
      <c r="K4162" s="462"/>
      <c r="L4162" s="93"/>
      <c r="M4162" s="3031"/>
      <c r="N4162" s="963"/>
      <c r="O4162" s="106"/>
      <c r="P4162" s="702"/>
      <c r="Q4162" s="574"/>
      <c r="R4162" s="702"/>
      <c r="S4162" s="106"/>
      <c r="T4162" s="486"/>
      <c r="U4162" s="106"/>
      <c r="V4162" s="4129"/>
      <c r="W4162" s="2440"/>
      <c r="X4162" s="465"/>
      <c r="Y4162" s="465"/>
      <c r="Z4162" s="462"/>
      <c r="AA4162" s="462"/>
      <c r="AB4162" s="462"/>
      <c r="AC4162" s="3568"/>
      <c r="AD4162" s="462"/>
      <c r="AE4162" s="2939"/>
      <c r="AF4162" s="663"/>
      <c r="AG4162" s="663"/>
      <c r="AH4162" s="156"/>
      <c r="AI4162" s="156"/>
      <c r="AJ4162" s="156"/>
      <c r="AK4162" s="156"/>
      <c r="AL4162" s="156"/>
      <c r="AM4162" s="156"/>
      <c r="AN4162" s="156"/>
      <c r="AO4162" s="156"/>
      <c r="AP4162" s="156"/>
      <c r="AQ4162" s="156"/>
      <c r="AR4162" s="156"/>
      <c r="AS4162" s="156"/>
      <c r="AT4162" s="156"/>
      <c r="AU4162" s="156"/>
      <c r="AV4162" s="156"/>
      <c r="AW4162" s="156"/>
      <c r="AX4162" s="156"/>
      <c r="AY4162" s="156"/>
      <c r="AZ4162" s="156"/>
      <c r="BA4162" s="156"/>
      <c r="BB4162" s="2828"/>
      <c r="BC4162" s="452"/>
      <c r="BD4162" s="2829"/>
      <c r="BE4162" s="2837"/>
      <c r="BF4162" s="156"/>
    </row>
    <row r="4163" spans="1:58" ht="15" customHeight="1" outlineLevel="1" x14ac:dyDescent="0.35">
      <c r="A4163" s="1664"/>
      <c r="B4163" s="2812"/>
      <c r="C4163" s="3077"/>
      <c r="D4163" s="3980"/>
      <c r="E4163" s="3883"/>
      <c r="F4163" s="3984" t="str">
        <f t="shared" si="453"/>
        <v>ASHP-SEER16-Replace_CAC_NonElectricHeat_ER2_MF</v>
      </c>
      <c r="G4163" s="3984"/>
      <c r="H4163" s="3984"/>
      <c r="I4163" s="3984"/>
      <c r="J4163" s="3508" t="str">
        <f t="shared" si="454"/>
        <v>353010_2021_12_</v>
      </c>
      <c r="K4163" s="462"/>
      <c r="L4163" s="93"/>
      <c r="M4163" s="3031"/>
      <c r="N4163" s="963"/>
      <c r="O4163" s="106"/>
      <c r="P4163" s="702"/>
      <c r="Q4163" s="574"/>
      <c r="R4163" s="702"/>
      <c r="S4163" s="106"/>
      <c r="T4163" s="486"/>
      <c r="U4163" s="106"/>
      <c r="V4163" s="4129"/>
      <c r="W4163" s="2440"/>
      <c r="X4163" s="465"/>
      <c r="Y4163" s="465"/>
      <c r="Z4163" s="462"/>
      <c r="AA4163" s="462"/>
      <c r="AB4163" s="462"/>
      <c r="AC4163" s="3568"/>
      <c r="AD4163" s="462"/>
      <c r="AE4163" s="2939"/>
      <c r="AF4163" s="663"/>
      <c r="AG4163" s="663"/>
      <c r="AH4163" s="156"/>
      <c r="AI4163" s="156"/>
      <c r="AJ4163" s="156"/>
      <c r="AK4163" s="156"/>
      <c r="AL4163" s="156"/>
      <c r="AM4163" s="156"/>
      <c r="AN4163" s="156"/>
      <c r="AO4163" s="156"/>
      <c r="AP4163" s="156"/>
      <c r="AQ4163" s="156"/>
      <c r="AR4163" s="156"/>
      <c r="AS4163" s="156"/>
      <c r="AT4163" s="156"/>
      <c r="AU4163" s="156"/>
      <c r="AV4163" s="156"/>
      <c r="AW4163" s="156"/>
      <c r="AX4163" s="156"/>
      <c r="AY4163" s="156"/>
      <c r="AZ4163" s="156"/>
      <c r="BA4163" s="156"/>
      <c r="BB4163" s="2828"/>
      <c r="BC4163" s="452"/>
      <c r="BD4163" s="2829"/>
      <c r="BE4163" s="2837"/>
      <c r="BF4163" s="156"/>
    </row>
    <row r="4164" spans="1:58" ht="15" customHeight="1" outlineLevel="1" x14ac:dyDescent="0.35">
      <c r="A4164" s="1664"/>
      <c r="B4164" s="2812"/>
      <c r="C4164" s="3077"/>
      <c r="D4164" s="3980"/>
      <c r="E4164" s="3883"/>
      <c r="F4164" s="3984" t="str">
        <f t="shared" si="453"/>
        <v>ASHP-SEER16-Replace_CAC_NonElectricHeat_ER1_MF_CompE</v>
      </c>
      <c r="G4164" s="3984"/>
      <c r="H4164" s="3984"/>
      <c r="I4164" s="3984"/>
      <c r="J4164" s="3508" t="str">
        <f t="shared" si="454"/>
        <v>353011_2021_12_</v>
      </c>
      <c r="K4164" s="465">
        <f>(($R$1960*L4164)+$R$1945)-(($Q$1960*L4164)/((1+$R$1962)^($R$1963-1)))</f>
        <v>878.90673552233147</v>
      </c>
      <c r="L4164" s="96">
        <f>VLOOKUP(J4164,$J$1940:$L$2132,3,FALSE)*M4164</f>
        <v>1.8452777777777776</v>
      </c>
      <c r="M4164" s="3031">
        <f>VLOOKUP(J4164,$J$3484:$K$3676,2,FALSE)</f>
        <v>0.65</v>
      </c>
      <c r="N4164" s="963"/>
      <c r="O4164" s="106"/>
      <c r="P4164" s="702"/>
      <c r="Q4164" s="574"/>
      <c r="R4164" s="702"/>
      <c r="S4164" s="106"/>
      <c r="T4164" s="486"/>
      <c r="U4164" s="106"/>
      <c r="V4164" s="4129"/>
      <c r="W4164" s="2440"/>
      <c r="X4164" s="465"/>
      <c r="Y4164" s="465"/>
      <c r="Z4164" s="462"/>
      <c r="AA4164" s="462"/>
      <c r="AB4164" s="462"/>
      <c r="AC4164" s="3569">
        <v>748.6192265910754</v>
      </c>
      <c r="AD4164" s="465">
        <v>878.90673552233147</v>
      </c>
      <c r="AE4164" s="2939"/>
      <c r="AF4164" s="663"/>
      <c r="AG4164" s="663"/>
      <c r="AH4164" s="156"/>
      <c r="AI4164" s="156"/>
      <c r="AJ4164" s="156"/>
      <c r="AK4164" s="156"/>
      <c r="AL4164" s="156"/>
      <c r="AM4164" s="156"/>
      <c r="AN4164" s="156"/>
      <c r="AO4164" s="156"/>
      <c r="AP4164" s="156"/>
      <c r="AQ4164" s="156"/>
      <c r="AR4164" s="156"/>
      <c r="AS4164" s="156"/>
      <c r="AT4164" s="156"/>
      <c r="AU4164" s="156"/>
      <c r="AV4164" s="156"/>
      <c r="AW4164" s="156"/>
      <c r="AX4164" s="156"/>
      <c r="AY4164" s="156"/>
      <c r="AZ4164" s="156"/>
      <c r="BA4164" s="156"/>
      <c r="BB4164" s="2828"/>
      <c r="BC4164" s="452"/>
      <c r="BD4164" s="2829"/>
      <c r="BE4164" s="2837"/>
      <c r="BF4164" s="156"/>
    </row>
    <row r="4165" spans="1:58" ht="15" customHeight="1" outlineLevel="1" x14ac:dyDescent="0.35">
      <c r="A4165" s="1664"/>
      <c r="B4165" s="2812"/>
      <c r="C4165" s="3077"/>
      <c r="D4165" s="3980"/>
      <c r="E4165" s="3883"/>
      <c r="F4165" s="3984" t="str">
        <f t="shared" si="453"/>
        <v>ASHP-SEER16-Replace_CAC_NonElectricHeat_ER1_MF_CompE</v>
      </c>
      <c r="G4165" s="3984"/>
      <c r="H4165" s="3984"/>
      <c r="I4165" s="3984"/>
      <c r="J4165" s="3508" t="str">
        <f t="shared" si="454"/>
        <v>353011_2021_12_</v>
      </c>
      <c r="K4165" s="462"/>
      <c r="L4165" s="93"/>
      <c r="M4165" s="3031"/>
      <c r="N4165" s="963"/>
      <c r="O4165" s="106"/>
      <c r="P4165" s="702"/>
      <c r="Q4165" s="574"/>
      <c r="R4165" s="702"/>
      <c r="S4165" s="106"/>
      <c r="T4165" s="486"/>
      <c r="U4165" s="106"/>
      <c r="V4165" s="4129"/>
      <c r="W4165" s="2440"/>
      <c r="X4165" s="465"/>
      <c r="Y4165" s="465"/>
      <c r="Z4165" s="462"/>
      <c r="AA4165" s="462"/>
      <c r="AB4165" s="462"/>
      <c r="AC4165" s="3568"/>
      <c r="AD4165" s="462"/>
      <c r="AE4165" s="2939"/>
      <c r="AF4165" s="663"/>
      <c r="AG4165" s="663"/>
      <c r="AH4165" s="156"/>
      <c r="AI4165" s="156"/>
      <c r="AJ4165" s="156"/>
      <c r="AK4165" s="156"/>
      <c r="AL4165" s="156"/>
      <c r="AM4165" s="156"/>
      <c r="AN4165" s="156"/>
      <c r="AO4165" s="156"/>
      <c r="AP4165" s="156"/>
      <c r="AQ4165" s="156"/>
      <c r="AR4165" s="156"/>
      <c r="AS4165" s="156"/>
      <c r="AT4165" s="156"/>
      <c r="AU4165" s="156"/>
      <c r="AV4165" s="156"/>
      <c r="AW4165" s="156"/>
      <c r="AX4165" s="156"/>
      <c r="AY4165" s="156"/>
      <c r="AZ4165" s="156"/>
      <c r="BA4165" s="156"/>
      <c r="BB4165" s="2828"/>
      <c r="BC4165" s="452"/>
      <c r="BD4165" s="2829"/>
      <c r="BE4165" s="2837"/>
      <c r="BF4165" s="156"/>
    </row>
    <row r="4166" spans="1:58" ht="15" customHeight="1" outlineLevel="1" x14ac:dyDescent="0.35">
      <c r="A4166" s="1664"/>
      <c r="B4166" s="2812"/>
      <c r="C4166" s="3077"/>
      <c r="D4166" s="3980"/>
      <c r="E4166" s="3883"/>
      <c r="F4166" s="3984" t="str">
        <f t="shared" si="453"/>
        <v>ASHP-SEER16-Replace_CAC_NonElectricHeat_ER2_MF_CompE</v>
      </c>
      <c r="G4166" s="3984"/>
      <c r="H4166" s="3984"/>
      <c r="I4166" s="3984"/>
      <c r="J4166" s="3508" t="str">
        <f t="shared" si="454"/>
        <v>353011_2021_12_</v>
      </c>
      <c r="K4166" s="462"/>
      <c r="L4166" s="93"/>
      <c r="M4166" s="3031"/>
      <c r="N4166" s="963"/>
      <c r="O4166" s="106"/>
      <c r="P4166" s="702"/>
      <c r="Q4166" s="574"/>
      <c r="R4166" s="702"/>
      <c r="S4166" s="106"/>
      <c r="T4166" s="486"/>
      <c r="U4166" s="106"/>
      <c r="V4166" s="4129"/>
      <c r="W4166" s="2440"/>
      <c r="X4166" s="465"/>
      <c r="Y4166" s="465"/>
      <c r="Z4166" s="462"/>
      <c r="AA4166" s="462"/>
      <c r="AB4166" s="462"/>
      <c r="AC4166" s="3568"/>
      <c r="AD4166" s="462"/>
      <c r="AE4166" s="2939"/>
      <c r="AF4166" s="663"/>
      <c r="AG4166" s="663"/>
      <c r="AH4166" s="156"/>
      <c r="AI4166" s="156"/>
      <c r="AJ4166" s="156"/>
      <c r="AK4166" s="156"/>
      <c r="AL4166" s="156"/>
      <c r="AM4166" s="156"/>
      <c r="AN4166" s="156"/>
      <c r="AO4166" s="156"/>
      <c r="AP4166" s="156"/>
      <c r="AQ4166" s="156"/>
      <c r="AR4166" s="156"/>
      <c r="AS4166" s="156"/>
      <c r="AT4166" s="156"/>
      <c r="AU4166" s="156"/>
      <c r="AV4166" s="156"/>
      <c r="AW4166" s="156"/>
      <c r="AX4166" s="156"/>
      <c r="AY4166" s="156"/>
      <c r="AZ4166" s="156"/>
      <c r="BA4166" s="156"/>
      <c r="BB4166" s="2828"/>
      <c r="BC4166" s="452"/>
      <c r="BD4166" s="2829"/>
      <c r="BE4166" s="2837"/>
      <c r="BF4166" s="156"/>
    </row>
    <row r="4167" spans="1:58" ht="15" customHeight="1" outlineLevel="1" x14ac:dyDescent="0.35">
      <c r="A4167" s="1664"/>
      <c r="B4167" s="2812"/>
      <c r="C4167" s="3077"/>
      <c r="D4167" s="3980"/>
      <c r="E4167" s="3883"/>
      <c r="F4167" s="3984" t="str">
        <f t="shared" si="453"/>
        <v>ASHP-SEER16-Replace_CAC_NonElectricHeat_ER2_MF_CompE</v>
      </c>
      <c r="G4167" s="3984"/>
      <c r="H4167" s="3984"/>
      <c r="I4167" s="3984"/>
      <c r="J4167" s="3508" t="str">
        <f t="shared" si="454"/>
        <v>353011_2021_12_</v>
      </c>
      <c r="K4167" s="462"/>
      <c r="L4167" s="93"/>
      <c r="M4167" s="3031"/>
      <c r="N4167" s="963"/>
      <c r="O4167" s="106"/>
      <c r="P4167" s="702"/>
      <c r="Q4167" s="574"/>
      <c r="R4167" s="702"/>
      <c r="S4167" s="106"/>
      <c r="T4167" s="486"/>
      <c r="U4167" s="106"/>
      <c r="V4167" s="4129"/>
      <c r="W4167" s="2440"/>
      <c r="X4167" s="465"/>
      <c r="Y4167" s="465"/>
      <c r="Z4167" s="462"/>
      <c r="AA4167" s="462"/>
      <c r="AB4167" s="462"/>
      <c r="AC4167" s="3568"/>
      <c r="AD4167" s="462"/>
      <c r="AE4167" s="2939"/>
      <c r="AF4167" s="663"/>
      <c r="AG4167" s="663"/>
      <c r="AH4167" s="156"/>
      <c r="AI4167" s="156"/>
      <c r="AJ4167" s="156"/>
      <c r="AK4167" s="156"/>
      <c r="AL4167" s="156"/>
      <c r="AM4167" s="156"/>
      <c r="AN4167" s="156"/>
      <c r="AO4167" s="156"/>
      <c r="AP4167" s="156"/>
      <c r="AQ4167" s="156"/>
      <c r="AR4167" s="156"/>
      <c r="AS4167" s="156"/>
      <c r="AT4167" s="156"/>
      <c r="AU4167" s="156"/>
      <c r="AV4167" s="156"/>
      <c r="AW4167" s="156"/>
      <c r="AX4167" s="156"/>
      <c r="AY4167" s="156"/>
      <c r="AZ4167" s="156"/>
      <c r="BA4167" s="156"/>
      <c r="BB4167" s="2828"/>
      <c r="BC4167" s="452"/>
      <c r="BD4167" s="2829"/>
      <c r="BE4167" s="2837"/>
      <c r="BF4167" s="156"/>
    </row>
    <row r="4168" spans="1:58" ht="15" customHeight="1" outlineLevel="1" x14ac:dyDescent="0.35">
      <c r="A4168" s="1664"/>
      <c r="B4168" s="2812"/>
      <c r="C4168" s="3077"/>
      <c r="D4168" s="3980"/>
      <c r="E4168" s="3883"/>
      <c r="F4168" s="3984" t="str">
        <f t="shared" si="453"/>
        <v>ASHP-SEER15_ROF_MF</v>
      </c>
      <c r="G4168" s="3984"/>
      <c r="H4168" s="3984"/>
      <c r="I4168" s="3984"/>
      <c r="J4168" s="3508" t="str">
        <f t="shared" si="454"/>
        <v>353050_2021_12_</v>
      </c>
      <c r="K4168" s="462">
        <f>$R$1944*K$3490</f>
        <v>303</v>
      </c>
      <c r="L4168" s="93">
        <f>VLOOKUP(J4168,$J$1940:$L$2132,3,FALSE)*M4168</f>
        <v>2.1833333333333331</v>
      </c>
      <c r="M4168" s="3031">
        <f>VLOOKUP(J4168,$J$3484:$K$3676,2,FALSE)</f>
        <v>1</v>
      </c>
      <c r="N4168" s="963"/>
      <c r="O4168" s="106"/>
      <c r="P4168" s="702"/>
      <c r="Q4168" s="574"/>
      <c r="R4168" s="702"/>
      <c r="S4168" s="106"/>
      <c r="T4168" s="486"/>
      <c r="U4168" s="106"/>
      <c r="V4168" s="4129"/>
      <c r="W4168" s="2440">
        <v>939.30000000000007</v>
      </c>
      <c r="X4168" s="465">
        <f>$R$1944*(X$1992/12000)*X$3536</f>
        <v>610.54500000000007</v>
      </c>
      <c r="Y4168" s="465">
        <v>303</v>
      </c>
      <c r="Z4168" s="462">
        <v>303</v>
      </c>
      <c r="AA4168" s="462">
        <v>303</v>
      </c>
      <c r="AB4168" s="462">
        <v>303</v>
      </c>
      <c r="AC4168" s="3568">
        <v>303</v>
      </c>
      <c r="AD4168" s="462">
        <v>303</v>
      </c>
      <c r="AE4168" s="2939"/>
      <c r="AF4168" s="663"/>
      <c r="AG4168" s="663"/>
      <c r="AH4168" s="156"/>
      <c r="AI4168" s="156"/>
      <c r="AJ4168" s="156"/>
      <c r="AK4168" s="156"/>
      <c r="AL4168" s="156"/>
      <c r="AM4168" s="156"/>
      <c r="AN4168" s="156"/>
      <c r="AO4168" s="156"/>
      <c r="AP4168" s="156"/>
      <c r="AQ4168" s="156"/>
      <c r="AR4168" s="156"/>
      <c r="AS4168" s="156"/>
      <c r="AT4168" s="156"/>
      <c r="AU4168" s="156"/>
      <c r="AV4168" s="156"/>
      <c r="AW4168" s="156"/>
      <c r="AX4168" s="156"/>
      <c r="AY4168" s="156"/>
      <c r="AZ4168" s="156"/>
      <c r="BA4168" s="156"/>
      <c r="BB4168" s="2828"/>
      <c r="BC4168" s="452"/>
      <c r="BD4168" s="2829"/>
      <c r="BE4168" s="2837"/>
      <c r="BF4168" s="156"/>
    </row>
    <row r="4169" spans="1:58" ht="15" customHeight="1" outlineLevel="1" x14ac:dyDescent="0.35">
      <c r="A4169" s="1071"/>
      <c r="B4169" s="2812"/>
      <c r="C4169" s="3077"/>
      <c r="D4169" s="3980"/>
      <c r="E4169" s="3883"/>
      <c r="F4169" s="3984" t="str">
        <f t="shared" si="453"/>
        <v>ASHP-SEER15_ROF_MF</v>
      </c>
      <c r="G4169" s="3984"/>
      <c r="H4169" s="3984"/>
      <c r="I4169" s="3984"/>
      <c r="J4169" s="3508" t="str">
        <f t="shared" si="454"/>
        <v>353050_2021_12_</v>
      </c>
      <c r="K4169" s="462"/>
      <c r="L4169" s="93" t="str">
        <f>IF(K4169&gt;0,VLOOKUP(J4169,$J$1940:$L$2132,3,FALSE),"")</f>
        <v/>
      </c>
      <c r="M4169" s="3031" t="str">
        <f>IF(K4169&gt;0,VLOOKUP(J4169,$J$3484:$K$3676,2,FALSE),"")</f>
        <v/>
      </c>
      <c r="N4169" s="963"/>
      <c r="O4169" s="106"/>
      <c r="P4169" s="702"/>
      <c r="Q4169" s="106"/>
      <c r="R4169" s="106"/>
      <c r="S4169" s="106"/>
      <c r="T4169" s="106"/>
      <c r="U4169" s="106"/>
      <c r="V4169" s="4129"/>
      <c r="W4169" s="2440"/>
      <c r="X4169" s="465"/>
      <c r="Y4169" s="465"/>
      <c r="Z4169" s="462"/>
      <c r="AA4169" s="462"/>
      <c r="AB4169" s="462"/>
      <c r="AC4169" s="3568"/>
      <c r="AD4169" s="462"/>
      <c r="AE4169" s="2939"/>
      <c r="AF4169" s="663"/>
      <c r="AG4169" s="663"/>
      <c r="AH4169" s="156"/>
      <c r="AI4169" s="156"/>
      <c r="AJ4169" s="156"/>
      <c r="AK4169" s="156"/>
      <c r="AL4169" s="156"/>
      <c r="AM4169" s="156"/>
      <c r="AN4169" s="156"/>
      <c r="AO4169" s="156"/>
      <c r="AP4169" s="156"/>
      <c r="AQ4169" s="156"/>
      <c r="AR4169" s="156"/>
      <c r="AS4169" s="156"/>
      <c r="AT4169" s="156"/>
      <c r="AU4169" s="156"/>
      <c r="AV4169" s="156"/>
      <c r="AW4169" s="156"/>
      <c r="AX4169" s="156"/>
      <c r="AY4169" s="156"/>
      <c r="AZ4169" s="156"/>
      <c r="BA4169" s="156"/>
      <c r="BB4169" s="2828"/>
      <c r="BC4169" s="452"/>
      <c r="BD4169" s="2829"/>
      <c r="BE4169" s="2837"/>
      <c r="BF4169" s="156"/>
    </row>
    <row r="4170" spans="1:58" ht="15" customHeight="1" outlineLevel="1" x14ac:dyDescent="0.35">
      <c r="A4170" s="1071"/>
      <c r="B4170" s="2812"/>
      <c r="C4170" s="3077"/>
      <c r="D4170" s="3980"/>
      <c r="E4170" s="3883"/>
      <c r="F4170" s="3984" t="str">
        <f t="shared" si="453"/>
        <v>ASHP-SEER15_ROF_MF_CompE</v>
      </c>
      <c r="G4170" s="3984"/>
      <c r="H4170" s="3984"/>
      <c r="I4170" s="3984"/>
      <c r="J4170" s="3508" t="str">
        <f t="shared" si="454"/>
        <v>353051_2021_12_</v>
      </c>
      <c r="K4170" s="462">
        <f>$R$1944*K$3490</f>
        <v>303</v>
      </c>
      <c r="L4170" s="93">
        <f>VLOOKUP(J4170,$J$1940:$L$2132,3,FALSE)*M4170</f>
        <v>2.1833333333333331</v>
      </c>
      <c r="M4170" s="3031">
        <f>VLOOKUP(J4170,$J$3484:$K$3676,2,FALSE)</f>
        <v>1</v>
      </c>
      <c r="N4170" s="963"/>
      <c r="O4170" s="106"/>
      <c r="P4170" s="702"/>
      <c r="Q4170" s="106"/>
      <c r="R4170" s="106"/>
      <c r="S4170" s="106"/>
      <c r="T4170" s="106"/>
      <c r="U4170" s="106"/>
      <c r="V4170" s="4129"/>
      <c r="W4170" s="2440"/>
      <c r="X4170" s="465"/>
      <c r="Y4170" s="465"/>
      <c r="Z4170" s="462"/>
      <c r="AA4170" s="462"/>
      <c r="AB4170" s="462"/>
      <c r="AC4170" s="3569">
        <v>303</v>
      </c>
      <c r="AD4170" s="462">
        <v>303</v>
      </c>
      <c r="AE4170" s="2939"/>
      <c r="AF4170" s="663"/>
      <c r="AG4170" s="663"/>
      <c r="AH4170" s="156"/>
      <c r="AI4170" s="156"/>
      <c r="AJ4170" s="156"/>
      <c r="AK4170" s="156"/>
      <c r="AL4170" s="156"/>
      <c r="AM4170" s="156"/>
      <c r="AN4170" s="156"/>
      <c r="AO4170" s="156"/>
      <c r="AP4170" s="156"/>
      <c r="AQ4170" s="156"/>
      <c r="AR4170" s="156"/>
      <c r="AS4170" s="156"/>
      <c r="AT4170" s="156"/>
      <c r="AU4170" s="156"/>
      <c r="AV4170" s="156"/>
      <c r="AW4170" s="156"/>
      <c r="AX4170" s="156"/>
      <c r="AY4170" s="156"/>
      <c r="AZ4170" s="156"/>
      <c r="BA4170" s="156"/>
      <c r="BB4170" s="2828"/>
      <c r="BC4170" s="452"/>
      <c r="BD4170" s="2829"/>
      <c r="BE4170" s="2837"/>
      <c r="BF4170" s="156"/>
    </row>
    <row r="4171" spans="1:58" ht="15" customHeight="1" outlineLevel="1" x14ac:dyDescent="0.35">
      <c r="A4171" s="1071"/>
      <c r="B4171" s="2812"/>
      <c r="C4171" s="3077"/>
      <c r="D4171" s="3980"/>
      <c r="E4171" s="3883"/>
      <c r="F4171" s="3984" t="str">
        <f t="shared" si="453"/>
        <v>ASHP-SEER15_ROF_MF_CompE</v>
      </c>
      <c r="G4171" s="3984"/>
      <c r="H4171" s="3984"/>
      <c r="I4171" s="3984"/>
      <c r="J4171" s="3508" t="str">
        <f t="shared" si="454"/>
        <v>353051_2021_12_</v>
      </c>
      <c r="K4171" s="462"/>
      <c r="L4171" s="93"/>
      <c r="M4171" s="3031"/>
      <c r="N4171" s="963"/>
      <c r="O4171" s="106"/>
      <c r="P4171" s="702"/>
      <c r="Q4171" s="106"/>
      <c r="R4171" s="106"/>
      <c r="S4171" s="106"/>
      <c r="T4171" s="106"/>
      <c r="U4171" s="106"/>
      <c r="V4171" s="4129"/>
      <c r="W4171" s="2440"/>
      <c r="X4171" s="465"/>
      <c r="Y4171" s="465"/>
      <c r="Z4171" s="462"/>
      <c r="AA4171" s="462"/>
      <c r="AB4171" s="462"/>
      <c r="AC4171" s="3568"/>
      <c r="AD4171" s="462"/>
      <c r="AE4171" s="2939"/>
      <c r="AF4171" s="663"/>
      <c r="AG4171" s="663"/>
      <c r="AH4171" s="156"/>
      <c r="AI4171" s="156"/>
      <c r="AJ4171" s="156"/>
      <c r="AK4171" s="156"/>
      <c r="AL4171" s="156"/>
      <c r="AM4171" s="156"/>
      <c r="AN4171" s="156"/>
      <c r="AO4171" s="156"/>
      <c r="AP4171" s="156"/>
      <c r="AQ4171" s="156"/>
      <c r="AR4171" s="156"/>
      <c r="AS4171" s="156"/>
      <c r="AT4171" s="156"/>
      <c r="AU4171" s="156"/>
      <c r="AV4171" s="156"/>
      <c r="AW4171" s="156"/>
      <c r="AX4171" s="156"/>
      <c r="AY4171" s="156"/>
      <c r="AZ4171" s="156"/>
      <c r="BA4171" s="156"/>
      <c r="BB4171" s="2828"/>
      <c r="BC4171" s="452"/>
      <c r="BD4171" s="2829"/>
      <c r="BE4171" s="2837"/>
      <c r="BF4171" s="156"/>
    </row>
    <row r="4172" spans="1:58" ht="15" customHeight="1" outlineLevel="1" x14ac:dyDescent="0.35">
      <c r="A4172" s="1071"/>
      <c r="B4172" s="2812"/>
      <c r="C4172" s="3077"/>
      <c r="D4172" s="3980"/>
      <c r="E4172" s="3883"/>
      <c r="F4172" s="3984" t="str">
        <f t="shared" si="453"/>
        <v>ASHP-SEER17-Replace_CAC_ElectricHeat_ROF_SF</v>
      </c>
      <c r="G4172" s="3984"/>
      <c r="H4172" s="3984"/>
      <c r="I4172" s="3984"/>
      <c r="J4172" s="3508" t="str">
        <f t="shared" si="454"/>
        <v>353100_2021_12_</v>
      </c>
      <c r="K4172" s="462">
        <f>$R$1946*K$3490</f>
        <v>724</v>
      </c>
      <c r="L4172" s="93">
        <f>VLOOKUP(J4172,$J$1940:$L$2132,3,FALSE)*M4172</f>
        <v>2.9502063491666668</v>
      </c>
      <c r="M4172" s="3031">
        <f>VLOOKUP(J4172,$J$3484:$K$3676,2,FALSE)</f>
        <v>1</v>
      </c>
      <c r="N4172" s="963"/>
      <c r="O4172" s="106"/>
      <c r="P4172" s="702"/>
      <c r="Q4172" s="106"/>
      <c r="R4172" s="106"/>
      <c r="S4172" s="106"/>
      <c r="T4172" s="106"/>
      <c r="U4172" s="106"/>
      <c r="V4172" s="4129"/>
      <c r="W4172" s="2440">
        <v>1624</v>
      </c>
      <c r="X4172" s="465">
        <f>$R$1946*(X$1994/12000)*X$3538</f>
        <v>2027.1999999999998</v>
      </c>
      <c r="Y4172" s="465">
        <v>580</v>
      </c>
      <c r="Z4172" s="462">
        <v>580</v>
      </c>
      <c r="AA4172" s="462">
        <v>580</v>
      </c>
      <c r="AB4172" s="465">
        <v>724</v>
      </c>
      <c r="AC4172" s="3568">
        <v>724</v>
      </c>
      <c r="AD4172" s="462">
        <v>724</v>
      </c>
      <c r="AE4172" s="2939"/>
      <c r="AF4172" s="663"/>
      <c r="AG4172" s="663"/>
      <c r="AH4172" s="156"/>
      <c r="AI4172" s="156"/>
      <c r="AJ4172" s="156"/>
      <c r="AK4172" s="156"/>
      <c r="AL4172" s="156"/>
      <c r="AM4172" s="156"/>
      <c r="AN4172" s="156"/>
      <c r="AO4172" s="156"/>
      <c r="AP4172" s="156"/>
      <c r="AQ4172" s="156"/>
      <c r="AR4172" s="156"/>
      <c r="AS4172" s="156"/>
      <c r="AT4172" s="156"/>
      <c r="AU4172" s="156"/>
      <c r="AV4172" s="156"/>
      <c r="AW4172" s="156"/>
      <c r="AX4172" s="156"/>
      <c r="AY4172" s="156"/>
      <c r="AZ4172" s="156"/>
      <c r="BA4172" s="156"/>
      <c r="BB4172" s="2828"/>
      <c r="BC4172" s="452"/>
      <c r="BD4172" s="2829"/>
      <c r="BE4172" s="2837"/>
      <c r="BF4172" s="156"/>
    </row>
    <row r="4173" spans="1:58" ht="15" customHeight="1" outlineLevel="1" x14ac:dyDescent="0.35">
      <c r="A4173" s="1664"/>
      <c r="B4173" s="2812"/>
      <c r="C4173" s="3077"/>
      <c r="D4173" s="3980"/>
      <c r="E4173" s="3883"/>
      <c r="F4173" s="3984" t="str">
        <f t="shared" si="453"/>
        <v>ASHP-SEER17-Replace_CAC_ElectricHeat_ROF_SF</v>
      </c>
      <c r="G4173" s="3984"/>
      <c r="H4173" s="3984"/>
      <c r="I4173" s="3984"/>
      <c r="J4173" s="3508" t="str">
        <f t="shared" si="454"/>
        <v>353100_2021_12_</v>
      </c>
      <c r="K4173" s="462"/>
      <c r="L4173" s="93" t="str">
        <f>IF(K4173&gt;0,VLOOKUP(J4173,$J$1940:$L$2132,3,FALSE),"")</f>
        <v/>
      </c>
      <c r="M4173" s="3031" t="str">
        <f>IF(K4173&gt;0,VLOOKUP(J4173,$J$3484:$K$3676,2,FALSE),"")</f>
        <v/>
      </c>
      <c r="N4173" s="963"/>
      <c r="O4173" s="106"/>
      <c r="P4173" s="702"/>
      <c r="Q4173" s="574"/>
      <c r="R4173" s="702"/>
      <c r="S4173" s="106"/>
      <c r="T4173" s="486"/>
      <c r="U4173" s="106"/>
      <c r="V4173" s="4129"/>
      <c r="W4173" s="2440"/>
      <c r="X4173" s="465"/>
      <c r="Y4173" s="465"/>
      <c r="Z4173" s="462"/>
      <c r="AA4173" s="462"/>
      <c r="AB4173" s="465"/>
      <c r="AC4173" s="3568"/>
      <c r="AD4173" s="462"/>
      <c r="AE4173" s="2939"/>
      <c r="AF4173" s="663"/>
      <c r="AG4173" s="663"/>
      <c r="AH4173" s="156"/>
      <c r="AI4173" s="156"/>
      <c r="AJ4173" s="156"/>
      <c r="AK4173" s="156"/>
      <c r="AL4173" s="156"/>
      <c r="AM4173" s="156"/>
      <c r="AN4173" s="156"/>
      <c r="AO4173" s="156"/>
      <c r="AP4173" s="156"/>
      <c r="AQ4173" s="156"/>
      <c r="AR4173" s="156"/>
      <c r="AS4173" s="156"/>
      <c r="AT4173" s="156"/>
      <c r="AU4173" s="156"/>
      <c r="AV4173" s="156"/>
      <c r="AW4173" s="156"/>
      <c r="AX4173" s="156"/>
      <c r="AY4173" s="156"/>
      <c r="AZ4173" s="156"/>
      <c r="BA4173" s="156"/>
      <c r="BB4173" s="2828"/>
      <c r="BC4173" s="452"/>
      <c r="BD4173" s="2829"/>
      <c r="BE4173" s="2837"/>
      <c r="BF4173" s="156"/>
    </row>
    <row r="4174" spans="1:58" s="3398" customFormat="1" ht="15" customHeight="1" outlineLevel="1" x14ac:dyDescent="0.35">
      <c r="A4174" s="1664"/>
      <c r="B4174" s="3499"/>
      <c r="C4174" s="3077"/>
      <c r="D4174" s="3980"/>
      <c r="E4174" s="3883"/>
      <c r="F4174" s="4182" t="str">
        <f t="shared" si="453"/>
        <v>ASHP-SEER17-Replace_CAC_NonElectricHeat_ROF_SF</v>
      </c>
      <c r="G4174" s="3989"/>
      <c r="H4174" s="3989"/>
      <c r="I4174" s="3990"/>
      <c r="J4174" s="3509" t="str">
        <f t="shared" si="454"/>
        <v>353110_2022_12_</v>
      </c>
      <c r="K4174" s="465">
        <f>$R$1946*K$3500</f>
        <v>724</v>
      </c>
      <c r="L4174" s="96">
        <f>VLOOKUP(J4174,$J$1940:$L$2132,3,FALSE)*M4174</f>
        <v>2.9502063491666668</v>
      </c>
      <c r="M4174" s="3526">
        <f>VLOOKUP(J4174,$J$3484:$K$3676,2,FALSE)</f>
        <v>1</v>
      </c>
      <c r="N4174" s="963"/>
      <c r="P4174" s="702"/>
      <c r="Q4174" s="574"/>
      <c r="R4174" s="702"/>
      <c r="T4174" s="3397"/>
      <c r="V4174" s="4129"/>
      <c r="W4174" s="2440"/>
      <c r="X4174" s="465"/>
      <c r="Y4174" s="465"/>
      <c r="Z4174" s="462"/>
      <c r="AA4174" s="462"/>
      <c r="AB4174" s="465"/>
      <c r="AC4174" s="3568"/>
      <c r="AD4174" s="465">
        <v>724</v>
      </c>
      <c r="AE4174" s="2939"/>
      <c r="AF4174" s="663"/>
      <c r="AG4174" s="663"/>
      <c r="AH4174" s="156"/>
      <c r="AI4174" s="156"/>
      <c r="AJ4174" s="156"/>
      <c r="AK4174" s="156"/>
      <c r="AL4174" s="156"/>
      <c r="AM4174" s="156"/>
      <c r="AN4174" s="156"/>
      <c r="AO4174" s="156"/>
      <c r="AP4174" s="156"/>
      <c r="AQ4174" s="156"/>
      <c r="AR4174" s="156"/>
      <c r="AS4174" s="156"/>
      <c r="AT4174" s="156"/>
      <c r="AU4174" s="156"/>
      <c r="AV4174" s="156"/>
      <c r="AW4174" s="156"/>
      <c r="AX4174" s="156"/>
      <c r="AY4174" s="156"/>
      <c r="AZ4174" s="156"/>
      <c r="BA4174" s="156"/>
      <c r="BB4174" s="2828"/>
      <c r="BC4174" s="452"/>
      <c r="BD4174" s="2829"/>
      <c r="BE4174" s="2837"/>
      <c r="BF4174" s="156"/>
    </row>
    <row r="4175" spans="1:58" s="3398" customFormat="1" ht="15" customHeight="1" outlineLevel="1" x14ac:dyDescent="0.35">
      <c r="A4175" s="1664"/>
      <c r="B4175" s="3499"/>
      <c r="C4175" s="3077"/>
      <c r="D4175" s="3980"/>
      <c r="E4175" s="3883"/>
      <c r="F4175" s="4182" t="str">
        <f t="shared" si="453"/>
        <v>ASHP-SEER17-Replace_CAC_NonElectricHeat_ROF_SF</v>
      </c>
      <c r="G4175" s="3989"/>
      <c r="H4175" s="3989"/>
      <c r="I4175" s="3990"/>
      <c r="J4175" s="3509" t="str">
        <f t="shared" si="454"/>
        <v>353110_2022_12_</v>
      </c>
      <c r="K4175" s="465"/>
      <c r="L4175" s="96" t="str">
        <f>IF(K4175&gt;0,VLOOKUP(J4175,$J$1940:$L$2132,3,FALSE),"")</f>
        <v/>
      </c>
      <c r="M4175" s="3526" t="str">
        <f>IF(K4175&gt;0,VLOOKUP(J4175,$J$3484:$K$3676,2,FALSE),"")</f>
        <v/>
      </c>
      <c r="N4175" s="963"/>
      <c r="P4175" s="702"/>
      <c r="Q4175" s="574"/>
      <c r="R4175" s="702"/>
      <c r="T4175" s="3397"/>
      <c r="V4175" s="4129"/>
      <c r="W4175" s="2440"/>
      <c r="X4175" s="465"/>
      <c r="Y4175" s="465"/>
      <c r="Z4175" s="462"/>
      <c r="AA4175" s="462"/>
      <c r="AB4175" s="465"/>
      <c r="AC4175" s="3568"/>
      <c r="AD4175" s="462"/>
      <c r="AE4175" s="2939"/>
      <c r="AF4175" s="663"/>
      <c r="AG4175" s="663"/>
      <c r="AH4175" s="156"/>
      <c r="AI4175" s="156"/>
      <c r="AJ4175" s="156"/>
      <c r="AK4175" s="156"/>
      <c r="AL4175" s="156"/>
      <c r="AM4175" s="156"/>
      <c r="AN4175" s="156"/>
      <c r="AO4175" s="156"/>
      <c r="AP4175" s="156"/>
      <c r="AQ4175" s="156"/>
      <c r="AR4175" s="156"/>
      <c r="AS4175" s="156"/>
      <c r="AT4175" s="156"/>
      <c r="AU4175" s="156"/>
      <c r="AV4175" s="156"/>
      <c r="AW4175" s="156"/>
      <c r="AX4175" s="156"/>
      <c r="AY4175" s="156"/>
      <c r="AZ4175" s="156"/>
      <c r="BA4175" s="156"/>
      <c r="BB4175" s="2828"/>
      <c r="BC4175" s="452"/>
      <c r="BD4175" s="2829"/>
      <c r="BE4175" s="2837"/>
      <c r="BF4175" s="156"/>
    </row>
    <row r="4176" spans="1:58" ht="15" customHeight="1" outlineLevel="1" x14ac:dyDescent="0.35">
      <c r="A4176" s="1664"/>
      <c r="B4176" s="2812"/>
      <c r="C4176" s="3077"/>
      <c r="D4176" s="3980"/>
      <c r="E4176" s="3883"/>
      <c r="F4176" s="3984" t="str">
        <f t="shared" si="453"/>
        <v>ASHP-SEER17-Replace_CAC_ElectricHeat_ROF_MF</v>
      </c>
      <c r="G4176" s="3984"/>
      <c r="H4176" s="3984"/>
      <c r="I4176" s="3984"/>
      <c r="J4176" s="3508" t="str">
        <f t="shared" si="454"/>
        <v>353150_2019_12_</v>
      </c>
      <c r="K4176" s="462">
        <f>$R$1946*K$3490</f>
        <v>724</v>
      </c>
      <c r="L4176" s="93">
        <f>VLOOKUP(J4176,$J$1940:$L$2132,3,FALSE)*M4176</f>
        <v>1.8199999999999998</v>
      </c>
      <c r="M4176" s="3031">
        <f>VLOOKUP(J4176,$J$3484:$K$3676,2,FALSE)</f>
        <v>0.65</v>
      </c>
      <c r="N4176" s="963"/>
      <c r="O4176" s="106"/>
      <c r="P4176" s="702"/>
      <c r="Q4176" s="574"/>
      <c r="R4176" s="702"/>
      <c r="S4176" s="106"/>
      <c r="T4176" s="486"/>
      <c r="U4176" s="106"/>
      <c r="V4176" s="4129"/>
      <c r="W4176" s="2440">
        <v>1624</v>
      </c>
      <c r="X4176" s="465">
        <f>$R$1946*(X$1996/12000)*X$3540</f>
        <v>1317.6799999999998</v>
      </c>
      <c r="Y4176" s="465">
        <v>580</v>
      </c>
      <c r="Z4176" s="462">
        <v>580</v>
      </c>
      <c r="AA4176" s="462">
        <v>580</v>
      </c>
      <c r="AB4176" s="465">
        <v>724</v>
      </c>
      <c r="AC4176" s="3568">
        <v>724</v>
      </c>
      <c r="AD4176" s="462">
        <v>724</v>
      </c>
      <c r="AE4176" s="2939"/>
      <c r="AF4176" s="663"/>
      <c r="AG4176" s="663"/>
      <c r="AH4176" s="156"/>
      <c r="AI4176" s="156"/>
      <c r="AJ4176" s="156"/>
      <c r="AK4176" s="156"/>
      <c r="AL4176" s="156"/>
      <c r="AM4176" s="156"/>
      <c r="AN4176" s="156"/>
      <c r="AO4176" s="156"/>
      <c r="AP4176" s="156"/>
      <c r="AQ4176" s="156"/>
      <c r="AR4176" s="156"/>
      <c r="AS4176" s="156"/>
      <c r="AT4176" s="156"/>
      <c r="AU4176" s="156"/>
      <c r="AV4176" s="156"/>
      <c r="AW4176" s="156"/>
      <c r="AX4176" s="156"/>
      <c r="AY4176" s="156"/>
      <c r="AZ4176" s="156"/>
      <c r="BA4176" s="156"/>
      <c r="BB4176" s="2828"/>
      <c r="BC4176" s="452"/>
      <c r="BD4176" s="2829"/>
      <c r="BE4176" s="2837"/>
      <c r="BF4176" s="156"/>
    </row>
    <row r="4177" spans="1:58" ht="15" customHeight="1" outlineLevel="1" x14ac:dyDescent="0.35">
      <c r="A4177" s="1664"/>
      <c r="B4177" s="2812"/>
      <c r="C4177" s="3077"/>
      <c r="D4177" s="3980"/>
      <c r="E4177" s="3883"/>
      <c r="F4177" s="3984" t="str">
        <f t="shared" si="453"/>
        <v>ASHP-SEER17-Replace_CAC_ElectricHeat_ROF_MF</v>
      </c>
      <c r="G4177" s="3984"/>
      <c r="H4177" s="3984"/>
      <c r="I4177" s="3984"/>
      <c r="J4177" s="3508" t="str">
        <f t="shared" si="454"/>
        <v>353150_2019_12_</v>
      </c>
      <c r="K4177" s="462"/>
      <c r="L4177" s="93" t="str">
        <f>IF(K4177&gt;0,VLOOKUP(J4177,$J$1940:$L$2132,3,FALSE),"")</f>
        <v/>
      </c>
      <c r="M4177" s="3031" t="str">
        <f>IF(K4177&gt;0,VLOOKUP(J4177,$J$3484:$K$3676,2,FALSE),"")</f>
        <v/>
      </c>
      <c r="N4177" s="963"/>
      <c r="O4177" s="106"/>
      <c r="P4177" s="702"/>
      <c r="Q4177" s="574"/>
      <c r="R4177" s="702"/>
      <c r="S4177" s="106"/>
      <c r="T4177" s="486"/>
      <c r="U4177" s="106"/>
      <c r="V4177" s="4129"/>
      <c r="W4177" s="2440"/>
      <c r="X4177" s="465"/>
      <c r="Y4177" s="465"/>
      <c r="Z4177" s="462"/>
      <c r="AA4177" s="462"/>
      <c r="AB4177" s="465"/>
      <c r="AC4177" s="3568"/>
      <c r="AD4177" s="462"/>
      <c r="AE4177" s="2939"/>
      <c r="AF4177" s="663"/>
      <c r="AG4177" s="663"/>
      <c r="AH4177" s="156"/>
      <c r="AI4177" s="156"/>
      <c r="AJ4177" s="156"/>
      <c r="AK4177" s="156"/>
      <c r="AL4177" s="156"/>
      <c r="AM4177" s="156"/>
      <c r="AN4177" s="156"/>
      <c r="AO4177" s="156"/>
      <c r="AP4177" s="156"/>
      <c r="AQ4177" s="156"/>
      <c r="AR4177" s="156"/>
      <c r="AS4177" s="156"/>
      <c r="AT4177" s="156"/>
      <c r="AU4177" s="156"/>
      <c r="AV4177" s="156"/>
      <c r="AW4177" s="156"/>
      <c r="AX4177" s="156"/>
      <c r="AY4177" s="156"/>
      <c r="AZ4177" s="156"/>
      <c r="BA4177" s="156"/>
      <c r="BB4177" s="2828"/>
      <c r="BC4177" s="452"/>
      <c r="BD4177" s="2829"/>
      <c r="BE4177" s="2837"/>
      <c r="BF4177" s="156"/>
    </row>
    <row r="4178" spans="1:58" ht="15" customHeight="1" outlineLevel="1" x14ac:dyDescent="0.35">
      <c r="A4178" s="1664"/>
      <c r="B4178" s="2812"/>
      <c r="C4178" s="3077"/>
      <c r="D4178" s="3980"/>
      <c r="E4178" s="3883"/>
      <c r="F4178" s="3984" t="str">
        <f t="shared" si="453"/>
        <v>ASHP-SEER17-Replace_CAC_ElectricHeat_ROF_MF_CompE</v>
      </c>
      <c r="G4178" s="3984"/>
      <c r="H4178" s="3984"/>
      <c r="I4178" s="3984"/>
      <c r="J4178" s="3508" t="str">
        <f t="shared" si="454"/>
        <v>353151_2019_12_</v>
      </c>
      <c r="K4178" s="462">
        <f>$R$1946*K$3490</f>
        <v>724</v>
      </c>
      <c r="L4178" s="93">
        <f>VLOOKUP(J4178,$J$1940:$L$2132,3,FALSE)*M4178</f>
        <v>1.8199999999999998</v>
      </c>
      <c r="M4178" s="3031">
        <f>VLOOKUP(J4178,$J$3484:$K$3676,2,FALSE)</f>
        <v>0.65</v>
      </c>
      <c r="N4178" s="963"/>
      <c r="O4178" s="106"/>
      <c r="P4178" s="702"/>
      <c r="Q4178" s="574"/>
      <c r="R4178" s="702"/>
      <c r="S4178" s="106"/>
      <c r="T4178" s="486"/>
      <c r="U4178" s="106"/>
      <c r="V4178" s="4129"/>
      <c r="W4178" s="2440"/>
      <c r="X4178" s="465"/>
      <c r="Y4178" s="465"/>
      <c r="Z4178" s="462"/>
      <c r="AA4178" s="462"/>
      <c r="AB4178" s="465"/>
      <c r="AC4178" s="3569">
        <v>724</v>
      </c>
      <c r="AD4178" s="462">
        <v>724</v>
      </c>
      <c r="AE4178" s="2939"/>
      <c r="AF4178" s="663"/>
      <c r="AG4178" s="663"/>
      <c r="AH4178" s="156"/>
      <c r="AI4178" s="156"/>
      <c r="AJ4178" s="156"/>
      <c r="AK4178" s="156"/>
      <c r="AL4178" s="156"/>
      <c r="AM4178" s="156"/>
      <c r="AN4178" s="156"/>
      <c r="AO4178" s="156"/>
      <c r="AP4178" s="156"/>
      <c r="AQ4178" s="156"/>
      <c r="AR4178" s="156"/>
      <c r="AS4178" s="156"/>
      <c r="AT4178" s="156"/>
      <c r="AU4178" s="156"/>
      <c r="AV4178" s="156"/>
      <c r="AW4178" s="156"/>
      <c r="AX4178" s="156"/>
      <c r="AY4178" s="156"/>
      <c r="AZ4178" s="156"/>
      <c r="BA4178" s="156"/>
      <c r="BB4178" s="2828"/>
      <c r="BC4178" s="452"/>
      <c r="BD4178" s="2829"/>
      <c r="BE4178" s="2837"/>
      <c r="BF4178" s="156"/>
    </row>
    <row r="4179" spans="1:58" ht="15" customHeight="1" outlineLevel="1" x14ac:dyDescent="0.35">
      <c r="A4179" s="1664"/>
      <c r="B4179" s="2812"/>
      <c r="C4179" s="3077"/>
      <c r="D4179" s="3980"/>
      <c r="E4179" s="3883"/>
      <c r="F4179" s="3984" t="str">
        <f t="shared" si="453"/>
        <v>ASHP-SEER17-Replace_CAC_ElectricHeat_ROF_MF_CompE</v>
      </c>
      <c r="G4179" s="3984"/>
      <c r="H4179" s="3984"/>
      <c r="I4179" s="3984"/>
      <c r="J4179" s="3508" t="str">
        <f t="shared" si="454"/>
        <v>353151_2019_12_</v>
      </c>
      <c r="K4179" s="462"/>
      <c r="L4179" s="93"/>
      <c r="M4179" s="3031"/>
      <c r="N4179" s="963"/>
      <c r="O4179" s="106"/>
      <c r="P4179" s="702"/>
      <c r="Q4179" s="574"/>
      <c r="R4179" s="702"/>
      <c r="S4179" s="106"/>
      <c r="T4179" s="486"/>
      <c r="U4179" s="106"/>
      <c r="V4179" s="4129"/>
      <c r="W4179" s="2440"/>
      <c r="X4179" s="465"/>
      <c r="Y4179" s="465"/>
      <c r="Z4179" s="462"/>
      <c r="AA4179" s="462"/>
      <c r="AB4179" s="465"/>
      <c r="AC4179" s="3568"/>
      <c r="AD4179" s="462"/>
      <c r="AE4179" s="2939"/>
      <c r="AF4179" s="663"/>
      <c r="AG4179" s="663"/>
      <c r="AH4179" s="156"/>
      <c r="AI4179" s="156"/>
      <c r="AJ4179" s="156"/>
      <c r="AK4179" s="156"/>
      <c r="AL4179" s="156"/>
      <c r="AM4179" s="156"/>
      <c r="AN4179" s="156"/>
      <c r="AO4179" s="156"/>
      <c r="AP4179" s="156"/>
      <c r="AQ4179" s="156"/>
      <c r="AR4179" s="156"/>
      <c r="AS4179" s="156"/>
      <c r="AT4179" s="156"/>
      <c r="AU4179" s="156"/>
      <c r="AV4179" s="156"/>
      <c r="AW4179" s="156"/>
      <c r="AX4179" s="156"/>
      <c r="AY4179" s="156"/>
      <c r="AZ4179" s="156"/>
      <c r="BA4179" s="156"/>
      <c r="BB4179" s="2828"/>
      <c r="BC4179" s="452"/>
      <c r="BD4179" s="2829"/>
      <c r="BE4179" s="2837"/>
      <c r="BF4179" s="156"/>
    </row>
    <row r="4180" spans="1:58" ht="15" customHeight="1" outlineLevel="1" x14ac:dyDescent="0.35">
      <c r="A4180" s="1664"/>
      <c r="B4180" s="2812"/>
      <c r="C4180" s="3077"/>
      <c r="D4180" s="3980"/>
      <c r="E4180" s="3883"/>
      <c r="F4180" s="3984" t="str">
        <f t="shared" si="453"/>
        <v>ASHP-SEER17-Replace_CAC_NonElectricHeat_ROF_MF</v>
      </c>
      <c r="G4180" s="3984"/>
      <c r="H4180" s="3984"/>
      <c r="I4180" s="3984"/>
      <c r="J4180" s="3508" t="str">
        <f t="shared" si="454"/>
        <v>353160_2021_12_</v>
      </c>
      <c r="K4180" s="462">
        <f>$R$1946*K$3490</f>
        <v>724</v>
      </c>
      <c r="L4180" s="93">
        <f>VLOOKUP(J4180,$J$1940:$L$2132,3,FALSE)*M4180</f>
        <v>1.8199999999999998</v>
      </c>
      <c r="M4180" s="3031">
        <f>VLOOKUP(J4180,$J$3484:$K$3676,2,FALSE)</f>
        <v>0.65</v>
      </c>
      <c r="N4180" s="963"/>
      <c r="O4180" s="106"/>
      <c r="P4180" s="702"/>
      <c r="Q4180" s="574"/>
      <c r="R4180" s="702"/>
      <c r="S4180" s="106"/>
      <c r="T4180" s="486"/>
      <c r="U4180" s="106"/>
      <c r="V4180" s="4129"/>
      <c r="W4180" s="2440"/>
      <c r="X4180" s="465"/>
      <c r="Y4180" s="465"/>
      <c r="Z4180" s="462"/>
      <c r="AA4180" s="462"/>
      <c r="AB4180" s="465"/>
      <c r="AC4180" s="3569">
        <v>724</v>
      </c>
      <c r="AD4180" s="462">
        <v>724</v>
      </c>
      <c r="AE4180" s="2939"/>
      <c r="AF4180" s="663"/>
      <c r="AG4180" s="663"/>
      <c r="AH4180" s="156"/>
      <c r="AI4180" s="156"/>
      <c r="AJ4180" s="156"/>
      <c r="AK4180" s="156"/>
      <c r="AL4180" s="156"/>
      <c r="AM4180" s="156"/>
      <c r="AN4180" s="156"/>
      <c r="AO4180" s="156"/>
      <c r="AP4180" s="156"/>
      <c r="AQ4180" s="156"/>
      <c r="AR4180" s="156"/>
      <c r="AS4180" s="156"/>
      <c r="AT4180" s="156"/>
      <c r="AU4180" s="156"/>
      <c r="AV4180" s="156"/>
      <c r="AW4180" s="156"/>
      <c r="AX4180" s="156"/>
      <c r="AY4180" s="156"/>
      <c r="AZ4180" s="156"/>
      <c r="BA4180" s="156"/>
      <c r="BB4180" s="2828"/>
      <c r="BC4180" s="452"/>
      <c r="BD4180" s="2829"/>
      <c r="BE4180" s="2837"/>
      <c r="BF4180" s="156"/>
    </row>
    <row r="4181" spans="1:58" ht="15" customHeight="1" outlineLevel="1" x14ac:dyDescent="0.35">
      <c r="A4181" s="1664"/>
      <c r="B4181" s="2812"/>
      <c r="C4181" s="3077"/>
      <c r="D4181" s="3980"/>
      <c r="E4181" s="3883"/>
      <c r="F4181" s="3984" t="str">
        <f t="shared" si="453"/>
        <v>ASHP-SEER17-Replace_CAC_NonElectricHeat_ROF_MF</v>
      </c>
      <c r="G4181" s="3984"/>
      <c r="H4181" s="3984"/>
      <c r="I4181" s="3984"/>
      <c r="J4181" s="3508" t="str">
        <f t="shared" si="454"/>
        <v>353160_2021_12_</v>
      </c>
      <c r="K4181" s="462"/>
      <c r="L4181" s="93"/>
      <c r="M4181" s="3031"/>
      <c r="N4181" s="963"/>
      <c r="O4181" s="106"/>
      <c r="P4181" s="702"/>
      <c r="Q4181" s="574"/>
      <c r="R4181" s="702"/>
      <c r="S4181" s="106"/>
      <c r="T4181" s="486"/>
      <c r="U4181" s="106"/>
      <c r="V4181" s="4129"/>
      <c r="W4181" s="2440"/>
      <c r="X4181" s="465"/>
      <c r="Y4181" s="465"/>
      <c r="Z4181" s="462"/>
      <c r="AA4181" s="462"/>
      <c r="AB4181" s="465"/>
      <c r="AC4181" s="3568"/>
      <c r="AD4181" s="462"/>
      <c r="AE4181" s="2939"/>
      <c r="AF4181" s="663"/>
      <c r="AG4181" s="663"/>
      <c r="AH4181" s="156"/>
      <c r="AI4181" s="156"/>
      <c r="AJ4181" s="156"/>
      <c r="AK4181" s="156"/>
      <c r="AL4181" s="156"/>
      <c r="AM4181" s="156"/>
      <c r="AN4181" s="156"/>
      <c r="AO4181" s="156"/>
      <c r="AP4181" s="156"/>
      <c r="AQ4181" s="156"/>
      <c r="AR4181" s="156"/>
      <c r="AS4181" s="156"/>
      <c r="AT4181" s="156"/>
      <c r="AU4181" s="156"/>
      <c r="AV4181" s="156"/>
      <c r="AW4181" s="156"/>
      <c r="AX4181" s="156"/>
      <c r="AY4181" s="156"/>
      <c r="AZ4181" s="156"/>
      <c r="BA4181" s="156"/>
      <c r="BB4181" s="2828"/>
      <c r="BC4181" s="452"/>
      <c r="BD4181" s="2829"/>
      <c r="BE4181" s="2837"/>
      <c r="BF4181" s="156"/>
    </row>
    <row r="4182" spans="1:58" ht="15" customHeight="1" outlineLevel="1" x14ac:dyDescent="0.35">
      <c r="A4182" s="1664"/>
      <c r="B4182" s="2812"/>
      <c r="C4182" s="3077"/>
      <c r="D4182" s="3980"/>
      <c r="E4182" s="3883"/>
      <c r="F4182" s="3984" t="str">
        <f t="shared" si="453"/>
        <v>ASHP-SEER17-Replace_CAC_NonElectricHeat_ROF_MF_CompE</v>
      </c>
      <c r="G4182" s="3984"/>
      <c r="H4182" s="3984"/>
      <c r="I4182" s="3984"/>
      <c r="J4182" s="3508" t="str">
        <f t="shared" si="454"/>
        <v>353161_2021_12_</v>
      </c>
      <c r="K4182" s="462">
        <f>$R$1946*K$3490</f>
        <v>724</v>
      </c>
      <c r="L4182" s="93">
        <f>VLOOKUP(J4182,$J$1940:$L$2132,3,FALSE)*M4182</f>
        <v>1.8199999999999998</v>
      </c>
      <c r="M4182" s="3031">
        <f>VLOOKUP(J4182,$J$3484:$K$3676,2,FALSE)</f>
        <v>0.65</v>
      </c>
      <c r="N4182" s="963"/>
      <c r="O4182" s="106"/>
      <c r="P4182" s="702"/>
      <c r="Q4182" s="574"/>
      <c r="R4182" s="702"/>
      <c r="S4182" s="106"/>
      <c r="T4182" s="486"/>
      <c r="U4182" s="106"/>
      <c r="V4182" s="4129"/>
      <c r="W4182" s="2440"/>
      <c r="X4182" s="465"/>
      <c r="Y4182" s="465"/>
      <c r="Z4182" s="462"/>
      <c r="AA4182" s="462"/>
      <c r="AB4182" s="465"/>
      <c r="AC4182" s="3569">
        <v>724</v>
      </c>
      <c r="AD4182" s="462">
        <v>724</v>
      </c>
      <c r="AE4182" s="2939"/>
      <c r="AF4182" s="663"/>
      <c r="AG4182" s="663"/>
      <c r="AH4182" s="156"/>
      <c r="AI4182" s="156"/>
      <c r="AJ4182" s="156"/>
      <c r="AK4182" s="156"/>
      <c r="AL4182" s="156"/>
      <c r="AM4182" s="156"/>
      <c r="AN4182" s="156"/>
      <c r="AO4182" s="156"/>
      <c r="AP4182" s="156"/>
      <c r="AQ4182" s="156"/>
      <c r="AR4182" s="156"/>
      <c r="AS4182" s="156"/>
      <c r="AT4182" s="156"/>
      <c r="AU4182" s="156"/>
      <c r="AV4182" s="156"/>
      <c r="AW4182" s="156"/>
      <c r="AX4182" s="156"/>
      <c r="AY4182" s="156"/>
      <c r="AZ4182" s="156"/>
      <c r="BA4182" s="156"/>
      <c r="BB4182" s="2828"/>
      <c r="BC4182" s="452"/>
      <c r="BD4182" s="2829"/>
      <c r="BE4182" s="2837"/>
      <c r="BF4182" s="156"/>
    </row>
    <row r="4183" spans="1:58" ht="15" customHeight="1" outlineLevel="1" x14ac:dyDescent="0.35">
      <c r="A4183" s="1664"/>
      <c r="B4183" s="2812"/>
      <c r="C4183" s="3077"/>
      <c r="D4183" s="3980"/>
      <c r="E4183" s="3883"/>
      <c r="F4183" s="3984" t="str">
        <f t="shared" si="453"/>
        <v>ASHP-SEER17-Replace_CAC_NonElectricHeat_ROF_MF_CompE</v>
      </c>
      <c r="G4183" s="3984"/>
      <c r="H4183" s="3984"/>
      <c r="I4183" s="3984"/>
      <c r="J4183" s="3508" t="str">
        <f t="shared" si="454"/>
        <v>353161_2021_12_</v>
      </c>
      <c r="K4183" s="462"/>
      <c r="L4183" s="93"/>
      <c r="M4183" s="3031"/>
      <c r="N4183" s="963"/>
      <c r="O4183" s="106"/>
      <c r="P4183" s="702"/>
      <c r="Q4183" s="574"/>
      <c r="R4183" s="702"/>
      <c r="S4183" s="106"/>
      <c r="T4183" s="486"/>
      <c r="U4183" s="106"/>
      <c r="V4183" s="4129"/>
      <c r="W4183" s="2440"/>
      <c r="X4183" s="465"/>
      <c r="Y4183" s="465"/>
      <c r="Z4183" s="462"/>
      <c r="AA4183" s="462"/>
      <c r="AB4183" s="465"/>
      <c r="AC4183" s="3568"/>
      <c r="AD4183" s="462"/>
      <c r="AE4183" s="2939"/>
      <c r="AF4183" s="663"/>
      <c r="AG4183" s="663"/>
      <c r="AH4183" s="156"/>
      <c r="AI4183" s="156"/>
      <c r="AJ4183" s="156"/>
      <c r="AK4183" s="156"/>
      <c r="AL4183" s="156"/>
      <c r="AM4183" s="156"/>
      <c r="AN4183" s="156"/>
      <c r="AO4183" s="156"/>
      <c r="AP4183" s="156"/>
      <c r="AQ4183" s="156"/>
      <c r="AR4183" s="156"/>
      <c r="AS4183" s="156"/>
      <c r="AT4183" s="156"/>
      <c r="AU4183" s="156"/>
      <c r="AV4183" s="156"/>
      <c r="AW4183" s="156"/>
      <c r="AX4183" s="156"/>
      <c r="AY4183" s="156"/>
      <c r="AZ4183" s="156"/>
      <c r="BA4183" s="156"/>
      <c r="BB4183" s="2828"/>
      <c r="BC4183" s="452"/>
      <c r="BD4183" s="2829"/>
      <c r="BE4183" s="2837"/>
      <c r="BF4183" s="156"/>
    </row>
    <row r="4184" spans="1:58" ht="15" customHeight="1" outlineLevel="1" x14ac:dyDescent="0.35">
      <c r="A4184" s="1664"/>
      <c r="B4184" s="2812"/>
      <c r="C4184" s="3077"/>
      <c r="D4184" s="3980"/>
      <c r="E4184" s="3883"/>
      <c r="F4184" s="3984" t="str">
        <f t="shared" si="453"/>
        <v>ASHP-SEER18-Replace_CAC_ElectricHeat_ROF_SF</v>
      </c>
      <c r="G4184" s="3984"/>
      <c r="H4184" s="3984"/>
      <c r="I4184" s="3984"/>
      <c r="J4184" s="3508" t="str">
        <f t="shared" si="454"/>
        <v>353200_2021_12_</v>
      </c>
      <c r="K4184" s="462">
        <f>$R$1947*K$3490</f>
        <v>962.92000000000007</v>
      </c>
      <c r="L4184" s="93">
        <f>VLOOKUP(J4184,$J$1940:$L$2132,3,FALSE)*M4184</f>
        <v>3.1232222977546749</v>
      </c>
      <c r="M4184" s="3031">
        <f>VLOOKUP(J4184,$J$3484:$K$3676,2,FALSE)</f>
        <v>1</v>
      </c>
      <c r="N4184" s="963"/>
      <c r="O4184" s="106"/>
      <c r="P4184" s="702"/>
      <c r="Q4184" s="574"/>
      <c r="R4184" s="702"/>
      <c r="S4184" s="106"/>
      <c r="T4184" s="486"/>
      <c r="U4184" s="106"/>
      <c r="V4184" s="4129"/>
      <c r="W4184" s="2440">
        <v>1997.3333333333333</v>
      </c>
      <c r="X4184" s="465">
        <f>$R$1947*(X$2000/12000)*X$3544</f>
        <v>2696.1759999999999</v>
      </c>
      <c r="Y4184" s="465">
        <v>713.33333333333337</v>
      </c>
      <c r="Z4184" s="462">
        <v>713.33333333333337</v>
      </c>
      <c r="AA4184" s="462">
        <v>713.33333333333337</v>
      </c>
      <c r="AB4184" s="465">
        <v>962.92000000000007</v>
      </c>
      <c r="AC4184" s="3568">
        <v>962.92000000000007</v>
      </c>
      <c r="AD4184" s="462">
        <v>962.92000000000007</v>
      </c>
      <c r="AE4184" s="2939"/>
      <c r="AF4184" s="663"/>
      <c r="AG4184" s="663"/>
      <c r="AH4184" s="156"/>
      <c r="AI4184" s="156"/>
      <c r="AJ4184" s="156"/>
      <c r="AK4184" s="156"/>
      <c r="AL4184" s="156"/>
      <c r="AM4184" s="156"/>
      <c r="AN4184" s="156"/>
      <c r="AO4184" s="156"/>
      <c r="AP4184" s="156"/>
      <c r="AQ4184" s="156"/>
      <c r="AR4184" s="156"/>
      <c r="AS4184" s="156"/>
      <c r="AT4184" s="156"/>
      <c r="AU4184" s="156"/>
      <c r="AV4184" s="156"/>
      <c r="AW4184" s="156"/>
      <c r="AX4184" s="156"/>
      <c r="AY4184" s="156"/>
      <c r="AZ4184" s="156"/>
      <c r="BA4184" s="156"/>
      <c r="BB4184" s="2828"/>
      <c r="BC4184" s="452"/>
      <c r="BD4184" s="2829"/>
      <c r="BE4184" s="2837"/>
      <c r="BF4184" s="156"/>
    </row>
    <row r="4185" spans="1:58" ht="15" customHeight="1" outlineLevel="1" x14ac:dyDescent="0.35">
      <c r="A4185" s="1664"/>
      <c r="B4185" s="2812"/>
      <c r="C4185" s="3077"/>
      <c r="D4185" s="3980"/>
      <c r="E4185" s="3883"/>
      <c r="F4185" s="3984" t="str">
        <f t="shared" si="453"/>
        <v>ASHP-SEER18-Replace_CAC_ElectricHeat_ROF_SF</v>
      </c>
      <c r="G4185" s="3984"/>
      <c r="H4185" s="3984"/>
      <c r="I4185" s="3984"/>
      <c r="J4185" s="3508" t="str">
        <f t="shared" si="454"/>
        <v>353200_2021_12_</v>
      </c>
      <c r="K4185" s="462"/>
      <c r="L4185" s="93" t="str">
        <f>IF(K4185&gt;0,VLOOKUP(J4185,$J$1940:$L$2132,3,FALSE),"")</f>
        <v/>
      </c>
      <c r="M4185" s="3031" t="str">
        <f>IF(K4185&gt;0,VLOOKUP(J4185,$J$3484:$K$3676,2,FALSE),"")</f>
        <v/>
      </c>
      <c r="N4185" s="963"/>
      <c r="O4185" s="106"/>
      <c r="P4185" s="702"/>
      <c r="Q4185" s="574"/>
      <c r="R4185" s="702"/>
      <c r="S4185" s="106"/>
      <c r="T4185" s="486"/>
      <c r="U4185" s="106"/>
      <c r="V4185" s="4129"/>
      <c r="W4185" s="2440"/>
      <c r="X4185" s="465"/>
      <c r="Y4185" s="465"/>
      <c r="Z4185" s="462"/>
      <c r="AA4185" s="462"/>
      <c r="AB4185" s="465"/>
      <c r="AC4185" s="3568"/>
      <c r="AD4185" s="462"/>
      <c r="AE4185" s="2939"/>
      <c r="AF4185" s="663"/>
      <c r="AG4185" s="663"/>
      <c r="AH4185" s="156"/>
      <c r="AI4185" s="156"/>
      <c r="AJ4185" s="156"/>
      <c r="AK4185" s="156"/>
      <c r="AL4185" s="156"/>
      <c r="AM4185" s="156"/>
      <c r="AN4185" s="156"/>
      <c r="AO4185" s="156"/>
      <c r="AP4185" s="156"/>
      <c r="AQ4185" s="156"/>
      <c r="AR4185" s="156"/>
      <c r="AS4185" s="156"/>
      <c r="AT4185" s="156"/>
      <c r="AU4185" s="156"/>
      <c r="AV4185" s="156"/>
      <c r="AW4185" s="156"/>
      <c r="AX4185" s="156"/>
      <c r="AY4185" s="156"/>
      <c r="AZ4185" s="156"/>
      <c r="BA4185" s="156"/>
      <c r="BB4185" s="2828"/>
      <c r="BC4185" s="452"/>
      <c r="BD4185" s="2829"/>
      <c r="BE4185" s="2837"/>
      <c r="BF4185" s="156"/>
    </row>
    <row r="4186" spans="1:58" s="3398" customFormat="1" ht="15" customHeight="1" outlineLevel="1" x14ac:dyDescent="0.35">
      <c r="A4186" s="1664"/>
      <c r="B4186" s="3499"/>
      <c r="C4186" s="3077"/>
      <c r="D4186" s="3980"/>
      <c r="E4186" s="3883"/>
      <c r="F4186" s="4182" t="str">
        <f t="shared" si="453"/>
        <v>ASHP-SEER18-Replace_CAC_NonElectricHeat_ROF_SF</v>
      </c>
      <c r="G4186" s="3989"/>
      <c r="H4186" s="3989"/>
      <c r="I4186" s="3990"/>
      <c r="J4186" s="3509" t="str">
        <f t="shared" si="454"/>
        <v>353210_2022_12_</v>
      </c>
      <c r="K4186" s="465">
        <f>$R$1947*K$3500</f>
        <v>962.92000000000007</v>
      </c>
      <c r="L4186" s="96">
        <f>VLOOKUP(J4186,$J$1940:$L$2132,3,FALSE)*M4186</f>
        <v>3.1232222977546749</v>
      </c>
      <c r="M4186" s="3526">
        <f>VLOOKUP(J4186,$J$3484:$K$3676,2,FALSE)</f>
        <v>1</v>
      </c>
      <c r="N4186" s="963"/>
      <c r="P4186" s="702"/>
      <c r="Q4186" s="574"/>
      <c r="R4186" s="702"/>
      <c r="T4186" s="3397"/>
      <c r="V4186" s="4129"/>
      <c r="W4186" s="2440"/>
      <c r="X4186" s="465"/>
      <c r="Y4186" s="465"/>
      <c r="Z4186" s="462"/>
      <c r="AA4186" s="462"/>
      <c r="AB4186" s="465"/>
      <c r="AC4186" s="3568"/>
      <c r="AD4186" s="465">
        <v>962.92000000000007</v>
      </c>
      <c r="AE4186" s="2939"/>
      <c r="AF4186" s="663"/>
      <c r="AG4186" s="663"/>
      <c r="AH4186" s="156"/>
      <c r="AI4186" s="156"/>
      <c r="AJ4186" s="156"/>
      <c r="AK4186" s="156"/>
      <c r="AL4186" s="156"/>
      <c r="AM4186" s="156"/>
      <c r="AN4186" s="156"/>
      <c r="AO4186" s="156"/>
      <c r="AP4186" s="156"/>
      <c r="AQ4186" s="156"/>
      <c r="AR4186" s="156"/>
      <c r="AS4186" s="156"/>
      <c r="AT4186" s="156"/>
      <c r="AU4186" s="156"/>
      <c r="AV4186" s="156"/>
      <c r="AW4186" s="156"/>
      <c r="AX4186" s="156"/>
      <c r="AY4186" s="156"/>
      <c r="AZ4186" s="156"/>
      <c r="BA4186" s="156"/>
      <c r="BB4186" s="2828"/>
      <c r="BC4186" s="452"/>
      <c r="BD4186" s="2829"/>
      <c r="BE4186" s="2837"/>
      <c r="BF4186" s="156"/>
    </row>
    <row r="4187" spans="1:58" s="3398" customFormat="1" ht="15" customHeight="1" outlineLevel="1" x14ac:dyDescent="0.35">
      <c r="A4187" s="1664"/>
      <c r="B4187" s="3499"/>
      <c r="C4187" s="3077"/>
      <c r="D4187" s="3980"/>
      <c r="E4187" s="3883"/>
      <c r="F4187" s="4182" t="str">
        <f t="shared" si="453"/>
        <v>ASHP-SEER18-Replace_CAC_NonElectricHeat_ROF_SF</v>
      </c>
      <c r="G4187" s="3989"/>
      <c r="H4187" s="3989"/>
      <c r="I4187" s="3990"/>
      <c r="J4187" s="3509" t="str">
        <f t="shared" si="454"/>
        <v>353210_2022_12_</v>
      </c>
      <c r="K4187" s="465"/>
      <c r="L4187" s="96" t="str">
        <f>IF(K4187&gt;0,VLOOKUP(J4187,$J$1940:$L$2132,3,FALSE),"")</f>
        <v/>
      </c>
      <c r="M4187" s="3526" t="str">
        <f>IF(K4187&gt;0,VLOOKUP(J4187,$J$3484:$K$3676,2,FALSE),"")</f>
        <v/>
      </c>
      <c r="N4187" s="963"/>
      <c r="P4187" s="702"/>
      <c r="Q4187" s="574"/>
      <c r="R4187" s="702"/>
      <c r="T4187" s="3397"/>
      <c r="V4187" s="4129"/>
      <c r="W4187" s="2440"/>
      <c r="X4187" s="465"/>
      <c r="Y4187" s="465"/>
      <c r="Z4187" s="462"/>
      <c r="AA4187" s="462"/>
      <c r="AB4187" s="465"/>
      <c r="AC4187" s="3568"/>
      <c r="AD4187" s="462"/>
      <c r="AE4187" s="2939"/>
      <c r="AF4187" s="663"/>
      <c r="AG4187" s="663"/>
      <c r="AH4187" s="156"/>
      <c r="AI4187" s="156"/>
      <c r="AJ4187" s="156"/>
      <c r="AK4187" s="156"/>
      <c r="AL4187" s="156"/>
      <c r="AM4187" s="156"/>
      <c r="AN4187" s="156"/>
      <c r="AO4187" s="156"/>
      <c r="AP4187" s="156"/>
      <c r="AQ4187" s="156"/>
      <c r="AR4187" s="156"/>
      <c r="AS4187" s="156"/>
      <c r="AT4187" s="156"/>
      <c r="AU4187" s="156"/>
      <c r="AV4187" s="156"/>
      <c r="AW4187" s="156"/>
      <c r="AX4187" s="156"/>
      <c r="AY4187" s="156"/>
      <c r="AZ4187" s="156"/>
      <c r="BA4187" s="156"/>
      <c r="BB4187" s="2828"/>
      <c r="BC4187" s="452"/>
      <c r="BD4187" s="2829"/>
      <c r="BE4187" s="2837"/>
      <c r="BF4187" s="156"/>
    </row>
    <row r="4188" spans="1:58" ht="15" customHeight="1" outlineLevel="1" x14ac:dyDescent="0.35">
      <c r="A4188" s="1664"/>
      <c r="B4188" s="2812"/>
      <c r="C4188" s="3077"/>
      <c r="D4188" s="3980"/>
      <c r="E4188" s="3883"/>
      <c r="F4188" s="3984" t="str">
        <f t="shared" si="453"/>
        <v>ASHP-SEER18-Replace_CAC_ElectricHeat_ROF_MF</v>
      </c>
      <c r="G4188" s="3984"/>
      <c r="H4188" s="3984"/>
      <c r="I4188" s="3984"/>
      <c r="J4188" s="3508" t="str">
        <f t="shared" si="454"/>
        <v>353250_2021_12_</v>
      </c>
      <c r="K4188" s="462">
        <f>$R$1947*K$3490</f>
        <v>962.92000000000007</v>
      </c>
      <c r="L4188" s="93">
        <f>VLOOKUP(J4188,$J$1940:$L$2132,3,FALSE)*M4188</f>
        <v>3</v>
      </c>
      <c r="M4188" s="3031">
        <f>VLOOKUP(J4188,$J$3484:$K$3676,2,FALSE)</f>
        <v>1</v>
      </c>
      <c r="N4188" s="963"/>
      <c r="O4188" s="106"/>
      <c r="P4188" s="702"/>
      <c r="Q4188" s="574"/>
      <c r="R4188" s="702"/>
      <c r="S4188" s="106"/>
      <c r="T4188" s="486"/>
      <c r="U4188" s="106"/>
      <c r="V4188" s="4129"/>
      <c r="W4188" s="2440">
        <v>1997.3333333333333</v>
      </c>
      <c r="X4188" s="465">
        <f>$R$1947*(X$2002/12000)*X$3546</f>
        <v>1752.5144</v>
      </c>
      <c r="Y4188" s="465">
        <v>713.33333333333337</v>
      </c>
      <c r="Z4188" s="462">
        <v>713.33333333333337</v>
      </c>
      <c r="AA4188" s="462">
        <v>713.33333333333337</v>
      </c>
      <c r="AB4188" s="465">
        <v>962.92000000000007</v>
      </c>
      <c r="AC4188" s="3568">
        <v>962.92000000000007</v>
      </c>
      <c r="AD4188" s="462">
        <v>962.92000000000007</v>
      </c>
      <c r="AE4188" s="2939"/>
      <c r="AF4188" s="663"/>
      <c r="AG4188" s="663"/>
      <c r="AH4188" s="156"/>
      <c r="AI4188" s="156"/>
      <c r="AJ4188" s="156"/>
      <c r="AK4188" s="156"/>
      <c r="AL4188" s="156"/>
      <c r="AM4188" s="156"/>
      <c r="AN4188" s="156"/>
      <c r="AO4188" s="156"/>
      <c r="AP4188" s="156"/>
      <c r="AQ4188" s="156"/>
      <c r="AR4188" s="156"/>
      <c r="AS4188" s="156"/>
      <c r="AT4188" s="156"/>
      <c r="AU4188" s="156"/>
      <c r="AV4188" s="156"/>
      <c r="AW4188" s="156"/>
      <c r="AX4188" s="156"/>
      <c r="AY4188" s="156"/>
      <c r="AZ4188" s="156"/>
      <c r="BA4188" s="156"/>
      <c r="BB4188" s="2828"/>
      <c r="BC4188" s="452"/>
      <c r="BD4188" s="2829"/>
      <c r="BE4188" s="2837"/>
      <c r="BF4188" s="156"/>
    </row>
    <row r="4189" spans="1:58" ht="15" customHeight="1" outlineLevel="1" x14ac:dyDescent="0.35">
      <c r="A4189" s="1664"/>
      <c r="B4189" s="2812"/>
      <c r="C4189" s="3077"/>
      <c r="D4189" s="3980"/>
      <c r="E4189" s="3883"/>
      <c r="F4189" s="3984" t="str">
        <f t="shared" si="453"/>
        <v>ASHP-SEER18-Replace_CAC_ElectricHeat_ROF_MF</v>
      </c>
      <c r="G4189" s="3984"/>
      <c r="H4189" s="3984"/>
      <c r="I4189" s="3984"/>
      <c r="J4189" s="3508" t="str">
        <f t="shared" si="454"/>
        <v>353250_2021_12_</v>
      </c>
      <c r="K4189" s="462"/>
      <c r="L4189" s="93" t="str">
        <f>IF(K4189&gt;0,VLOOKUP(J4189,$J$1940:$L$2132,3,FALSE),"")</f>
        <v/>
      </c>
      <c r="M4189" s="3031" t="str">
        <f>IF(K4189&gt;0,VLOOKUP(J4189,$J$3484:$K$3676,2,FALSE),"")</f>
        <v/>
      </c>
      <c r="N4189" s="963"/>
      <c r="O4189" s="106"/>
      <c r="P4189" s="702"/>
      <c r="Q4189" s="574"/>
      <c r="R4189" s="702"/>
      <c r="S4189" s="106"/>
      <c r="T4189" s="486"/>
      <c r="U4189" s="106"/>
      <c r="V4189" s="4129"/>
      <c r="W4189" s="2440"/>
      <c r="X4189" s="465"/>
      <c r="Y4189" s="465"/>
      <c r="Z4189" s="462"/>
      <c r="AA4189" s="462"/>
      <c r="AB4189" s="465"/>
      <c r="AC4189" s="3568"/>
      <c r="AD4189" s="462"/>
      <c r="AE4189" s="2940"/>
      <c r="AF4189" s="662"/>
      <c r="AG4189" s="662"/>
      <c r="AH4189" s="156"/>
      <c r="AI4189" s="156"/>
      <c r="AJ4189" s="156"/>
      <c r="AK4189" s="156"/>
      <c r="AL4189" s="156"/>
      <c r="AM4189" s="156"/>
      <c r="AN4189" s="156"/>
      <c r="AO4189" s="156"/>
      <c r="AP4189" s="156"/>
      <c r="AQ4189" s="156"/>
      <c r="AR4189" s="156"/>
      <c r="AS4189" s="156"/>
      <c r="AT4189" s="156"/>
      <c r="AU4189" s="156"/>
      <c r="AV4189" s="156"/>
      <c r="AW4189" s="156"/>
      <c r="AX4189" s="156"/>
      <c r="AY4189" s="156"/>
      <c r="AZ4189" s="156"/>
      <c r="BA4189" s="156"/>
      <c r="BB4189" s="2828"/>
      <c r="BC4189" s="452"/>
      <c r="BD4189" s="2829"/>
      <c r="BE4189" s="2837"/>
      <c r="BF4189" s="156"/>
    </row>
    <row r="4190" spans="1:58" ht="15" customHeight="1" outlineLevel="1" x14ac:dyDescent="0.35">
      <c r="A4190" s="1664"/>
      <c r="B4190" s="2812"/>
      <c r="C4190" s="3077"/>
      <c r="D4190" s="3980"/>
      <c r="E4190" s="3883"/>
      <c r="F4190" s="3984" t="str">
        <f t="shared" si="453"/>
        <v>ASHP-SEER18-Replace_CAC_ElectricHeat_ROF_MF_CompE</v>
      </c>
      <c r="G4190" s="3984"/>
      <c r="H4190" s="3984"/>
      <c r="I4190" s="3984"/>
      <c r="J4190" s="3508" t="str">
        <f t="shared" si="454"/>
        <v>353251_2021_12_</v>
      </c>
      <c r="K4190" s="462">
        <f>$R$1947*K$3490</f>
        <v>962.92000000000007</v>
      </c>
      <c r="L4190" s="93">
        <f>VLOOKUP(J4190,$J$1940:$L$2132,3,FALSE)*M4190</f>
        <v>3</v>
      </c>
      <c r="M4190" s="3031">
        <f>VLOOKUP(J4190,$J$3484:$K$3676,2,FALSE)</f>
        <v>1</v>
      </c>
      <c r="N4190" s="963"/>
      <c r="O4190" s="106"/>
      <c r="P4190" s="702"/>
      <c r="Q4190" s="574"/>
      <c r="R4190" s="702"/>
      <c r="S4190" s="106"/>
      <c r="T4190" s="486"/>
      <c r="U4190" s="106"/>
      <c r="V4190" s="4129"/>
      <c r="W4190" s="2440"/>
      <c r="X4190" s="465"/>
      <c r="Y4190" s="465"/>
      <c r="Z4190" s="462"/>
      <c r="AA4190" s="462"/>
      <c r="AB4190" s="465"/>
      <c r="AC4190" s="3569">
        <v>962.92000000000007</v>
      </c>
      <c r="AD4190" s="462">
        <v>962.92000000000007</v>
      </c>
      <c r="AE4190" s="2940"/>
      <c r="AF4190" s="662"/>
      <c r="AG4190" s="662"/>
      <c r="AH4190" s="156"/>
      <c r="AI4190" s="156"/>
      <c r="AJ4190" s="156"/>
      <c r="AK4190" s="156"/>
      <c r="AL4190" s="156"/>
      <c r="AM4190" s="156"/>
      <c r="AN4190" s="156"/>
      <c r="AO4190" s="156"/>
      <c r="AP4190" s="156"/>
      <c r="AQ4190" s="156"/>
      <c r="AR4190" s="156"/>
      <c r="AS4190" s="156"/>
      <c r="AT4190" s="156"/>
      <c r="AU4190" s="156"/>
      <c r="AV4190" s="156"/>
      <c r="AW4190" s="156"/>
      <c r="AX4190" s="156"/>
      <c r="AY4190" s="156"/>
      <c r="AZ4190" s="156"/>
      <c r="BA4190" s="156"/>
      <c r="BB4190" s="2828"/>
      <c r="BC4190" s="452"/>
      <c r="BD4190" s="2829"/>
      <c r="BE4190" s="2837"/>
      <c r="BF4190" s="156"/>
    </row>
    <row r="4191" spans="1:58" ht="15" customHeight="1" outlineLevel="1" x14ac:dyDescent="0.35">
      <c r="A4191" s="1664"/>
      <c r="B4191" s="2812"/>
      <c r="C4191" s="3077"/>
      <c r="D4191" s="3980"/>
      <c r="E4191" s="3883"/>
      <c r="F4191" s="3984" t="str">
        <f t="shared" si="453"/>
        <v>ASHP-SEER18-Replace_CAC_ElectricHeat_ROF_MF_CompE</v>
      </c>
      <c r="G4191" s="3984"/>
      <c r="H4191" s="3984"/>
      <c r="I4191" s="3984"/>
      <c r="J4191" s="3508" t="str">
        <f t="shared" si="454"/>
        <v>353251_2021_12_</v>
      </c>
      <c r="K4191" s="462"/>
      <c r="L4191" s="93"/>
      <c r="M4191" s="3031"/>
      <c r="N4191" s="963"/>
      <c r="O4191" s="106"/>
      <c r="P4191" s="702"/>
      <c r="Q4191" s="574"/>
      <c r="R4191" s="702"/>
      <c r="S4191" s="106"/>
      <c r="T4191" s="486"/>
      <c r="U4191" s="106"/>
      <c r="V4191" s="4129"/>
      <c r="W4191" s="2440"/>
      <c r="X4191" s="465"/>
      <c r="Y4191" s="465"/>
      <c r="Z4191" s="462"/>
      <c r="AA4191" s="462"/>
      <c r="AB4191" s="465"/>
      <c r="AC4191" s="3568"/>
      <c r="AD4191" s="462"/>
      <c r="AE4191" s="2940"/>
      <c r="AF4191" s="662"/>
      <c r="AG4191" s="662"/>
      <c r="AH4191" s="156"/>
      <c r="AI4191" s="156"/>
      <c r="AJ4191" s="156"/>
      <c r="AK4191" s="156"/>
      <c r="AL4191" s="156"/>
      <c r="AM4191" s="156"/>
      <c r="AN4191" s="156"/>
      <c r="AO4191" s="156"/>
      <c r="AP4191" s="156"/>
      <c r="AQ4191" s="156"/>
      <c r="AR4191" s="156"/>
      <c r="AS4191" s="156"/>
      <c r="AT4191" s="156"/>
      <c r="AU4191" s="156"/>
      <c r="AV4191" s="156"/>
      <c r="AW4191" s="156"/>
      <c r="AX4191" s="156"/>
      <c r="AY4191" s="156"/>
      <c r="AZ4191" s="156"/>
      <c r="BA4191" s="156"/>
      <c r="BB4191" s="2828"/>
      <c r="BC4191" s="452"/>
      <c r="BD4191" s="2829"/>
      <c r="BE4191" s="2837"/>
      <c r="BF4191" s="156"/>
    </row>
    <row r="4192" spans="1:58" ht="15" customHeight="1" outlineLevel="1" x14ac:dyDescent="0.35">
      <c r="A4192" s="1664"/>
      <c r="B4192" s="2812"/>
      <c r="C4192" s="3077"/>
      <c r="D4192" s="3980"/>
      <c r="E4192" s="3883"/>
      <c r="F4192" s="3984" t="str">
        <f t="shared" ref="F4192:F4255" si="455">E1662</f>
        <v>ASHP-SEER18-Replace_CAC_NonElectricHeat_ROF_MF</v>
      </c>
      <c r="G4192" s="3984"/>
      <c r="H4192" s="3984"/>
      <c r="I4192" s="3984"/>
      <c r="J4192" s="3508" t="str">
        <f t="shared" ref="J4192:J4255" si="456">C1662</f>
        <v>353260_2021_12_</v>
      </c>
      <c r="K4192" s="462">
        <f>$R$1947*K$3490</f>
        <v>962.92000000000007</v>
      </c>
      <c r="L4192" s="93">
        <f>VLOOKUP(J4192,$J$1940:$L$2132,3,FALSE)*M4192</f>
        <v>3</v>
      </c>
      <c r="M4192" s="3031">
        <f>VLOOKUP(J4192,$J$3484:$K$3676,2,FALSE)</f>
        <v>1</v>
      </c>
      <c r="N4192" s="963"/>
      <c r="O4192" s="106"/>
      <c r="P4192" s="702"/>
      <c r="Q4192" s="574"/>
      <c r="R4192" s="702"/>
      <c r="S4192" s="106"/>
      <c r="T4192" s="486"/>
      <c r="U4192" s="106"/>
      <c r="V4192" s="4129"/>
      <c r="W4192" s="2440"/>
      <c r="X4192" s="465"/>
      <c r="Y4192" s="465"/>
      <c r="Z4192" s="462"/>
      <c r="AA4192" s="462"/>
      <c r="AB4192" s="465"/>
      <c r="AC4192" s="3569">
        <v>962.92000000000007</v>
      </c>
      <c r="AD4192" s="462">
        <v>962.92000000000007</v>
      </c>
      <c r="AE4192" s="2940"/>
      <c r="AF4192" s="662"/>
      <c r="AG4192" s="662"/>
      <c r="AH4192" s="156"/>
      <c r="AI4192" s="156"/>
      <c r="AJ4192" s="156"/>
      <c r="AK4192" s="156"/>
      <c r="AL4192" s="156"/>
      <c r="AM4192" s="156"/>
      <c r="AN4192" s="156"/>
      <c r="AO4192" s="156"/>
      <c r="AP4192" s="156"/>
      <c r="AQ4192" s="156"/>
      <c r="AR4192" s="156"/>
      <c r="AS4192" s="156"/>
      <c r="AT4192" s="156"/>
      <c r="AU4192" s="156"/>
      <c r="AV4192" s="156"/>
      <c r="AW4192" s="156"/>
      <c r="AX4192" s="156"/>
      <c r="AY4192" s="156"/>
      <c r="AZ4192" s="156"/>
      <c r="BA4192" s="156"/>
      <c r="BB4192" s="2828"/>
      <c r="BC4192" s="452"/>
      <c r="BD4192" s="2829"/>
      <c r="BE4192" s="2837"/>
      <c r="BF4192" s="156"/>
    </row>
    <row r="4193" spans="1:58" ht="15" customHeight="1" outlineLevel="1" x14ac:dyDescent="0.35">
      <c r="A4193" s="1664"/>
      <c r="B4193" s="2812"/>
      <c r="C4193" s="3077"/>
      <c r="D4193" s="3980"/>
      <c r="E4193" s="3883"/>
      <c r="F4193" s="3984" t="str">
        <f t="shared" si="455"/>
        <v>ASHP-SEER18-Replace_CAC_NonElectricHeat_ROF_MF</v>
      </c>
      <c r="G4193" s="3984"/>
      <c r="H4193" s="3984"/>
      <c r="I4193" s="3984"/>
      <c r="J4193" s="3508" t="str">
        <f t="shared" si="456"/>
        <v>353260_2021_12_</v>
      </c>
      <c r="K4193" s="462"/>
      <c r="L4193" s="93"/>
      <c r="M4193" s="3031"/>
      <c r="N4193" s="963"/>
      <c r="O4193" s="106"/>
      <c r="P4193" s="702"/>
      <c r="Q4193" s="574"/>
      <c r="R4193" s="702"/>
      <c r="S4193" s="106"/>
      <c r="T4193" s="486"/>
      <c r="U4193" s="106"/>
      <c r="V4193" s="4129"/>
      <c r="W4193" s="2440"/>
      <c r="X4193" s="465"/>
      <c r="Y4193" s="465"/>
      <c r="Z4193" s="462"/>
      <c r="AA4193" s="462"/>
      <c r="AB4193" s="465"/>
      <c r="AC4193" s="3568"/>
      <c r="AD4193" s="462"/>
      <c r="AE4193" s="2940"/>
      <c r="AF4193" s="662"/>
      <c r="AG4193" s="662"/>
      <c r="AH4193" s="156"/>
      <c r="AI4193" s="156"/>
      <c r="AJ4193" s="156"/>
      <c r="AK4193" s="156"/>
      <c r="AL4193" s="156"/>
      <c r="AM4193" s="156"/>
      <c r="AN4193" s="156"/>
      <c r="AO4193" s="156"/>
      <c r="AP4193" s="156"/>
      <c r="AQ4193" s="156"/>
      <c r="AR4193" s="156"/>
      <c r="AS4193" s="156"/>
      <c r="AT4193" s="156"/>
      <c r="AU4193" s="156"/>
      <c r="AV4193" s="156"/>
      <c r="AW4193" s="156"/>
      <c r="AX4193" s="156"/>
      <c r="AY4193" s="156"/>
      <c r="AZ4193" s="156"/>
      <c r="BA4193" s="156"/>
      <c r="BB4193" s="2828"/>
      <c r="BC4193" s="452"/>
      <c r="BD4193" s="2829"/>
      <c r="BE4193" s="2837"/>
      <c r="BF4193" s="156"/>
    </row>
    <row r="4194" spans="1:58" ht="15" customHeight="1" outlineLevel="1" x14ac:dyDescent="0.35">
      <c r="A4194" s="1664"/>
      <c r="B4194" s="2812"/>
      <c r="C4194" s="3077"/>
      <c r="D4194" s="3980"/>
      <c r="E4194" s="3883"/>
      <c r="F4194" s="3984" t="str">
        <f t="shared" si="455"/>
        <v>ASHP-SEER18-Replace_CAC_NonElectricHeat_ROF_MF_CompE</v>
      </c>
      <c r="G4194" s="3984"/>
      <c r="H4194" s="3984"/>
      <c r="I4194" s="3984"/>
      <c r="J4194" s="3508" t="str">
        <f t="shared" si="456"/>
        <v>353261_2021_12_</v>
      </c>
      <c r="K4194" s="462">
        <f>$R$1947*K$3490</f>
        <v>962.92000000000007</v>
      </c>
      <c r="L4194" s="93">
        <f>VLOOKUP(J4194,$J$1940:$L$2132,3,FALSE)*M4194</f>
        <v>3</v>
      </c>
      <c r="M4194" s="3031">
        <f>VLOOKUP(J4194,$J$3484:$K$3676,2,FALSE)</f>
        <v>1</v>
      </c>
      <c r="N4194" s="963"/>
      <c r="O4194" s="106"/>
      <c r="P4194" s="702"/>
      <c r="Q4194" s="574"/>
      <c r="R4194" s="702"/>
      <c r="S4194" s="106"/>
      <c r="T4194" s="486"/>
      <c r="U4194" s="106"/>
      <c r="V4194" s="4129"/>
      <c r="W4194" s="2440"/>
      <c r="X4194" s="465"/>
      <c r="Y4194" s="465"/>
      <c r="Z4194" s="462"/>
      <c r="AA4194" s="462"/>
      <c r="AB4194" s="465"/>
      <c r="AC4194" s="3569">
        <v>962.92000000000007</v>
      </c>
      <c r="AD4194" s="462">
        <v>962.92000000000007</v>
      </c>
      <c r="AE4194" s="2940"/>
      <c r="AF4194" s="662"/>
      <c r="AG4194" s="662"/>
      <c r="AH4194" s="156"/>
      <c r="AI4194" s="156"/>
      <c r="AJ4194" s="156"/>
      <c r="AK4194" s="156"/>
      <c r="AL4194" s="156"/>
      <c r="AM4194" s="156"/>
      <c r="AN4194" s="156"/>
      <c r="AO4194" s="156"/>
      <c r="AP4194" s="156"/>
      <c r="AQ4194" s="156"/>
      <c r="AR4194" s="156"/>
      <c r="AS4194" s="156"/>
      <c r="AT4194" s="156"/>
      <c r="AU4194" s="156"/>
      <c r="AV4194" s="156"/>
      <c r="AW4194" s="156"/>
      <c r="AX4194" s="156"/>
      <c r="AY4194" s="156"/>
      <c r="AZ4194" s="156"/>
      <c r="BA4194" s="156"/>
      <c r="BB4194" s="2828"/>
      <c r="BC4194" s="452"/>
      <c r="BD4194" s="2829"/>
      <c r="BE4194" s="2837"/>
      <c r="BF4194" s="156"/>
    </row>
    <row r="4195" spans="1:58" ht="15" customHeight="1" outlineLevel="1" x14ac:dyDescent="0.35">
      <c r="A4195" s="1664"/>
      <c r="B4195" s="2812"/>
      <c r="C4195" s="3077"/>
      <c r="D4195" s="3980"/>
      <c r="E4195" s="3883"/>
      <c r="F4195" s="3984" t="str">
        <f t="shared" si="455"/>
        <v>ASHP-SEER18-Replace_CAC_NonElectricHeat_ROF_MF_CompE</v>
      </c>
      <c r="G4195" s="3984"/>
      <c r="H4195" s="3984"/>
      <c r="I4195" s="3984"/>
      <c r="J4195" s="3508" t="str">
        <f t="shared" si="456"/>
        <v>353261_2021_12_</v>
      </c>
      <c r="K4195" s="462"/>
      <c r="L4195" s="93"/>
      <c r="M4195" s="3031"/>
      <c r="N4195" s="963"/>
      <c r="O4195" s="106"/>
      <c r="P4195" s="702"/>
      <c r="Q4195" s="574"/>
      <c r="R4195" s="702"/>
      <c r="S4195" s="106"/>
      <c r="T4195" s="486"/>
      <c r="U4195" s="106"/>
      <c r="V4195" s="4129"/>
      <c r="W4195" s="2440"/>
      <c r="X4195" s="465"/>
      <c r="Y4195" s="465"/>
      <c r="Z4195" s="462"/>
      <c r="AA4195" s="462"/>
      <c r="AB4195" s="465"/>
      <c r="AC4195" s="3568"/>
      <c r="AD4195" s="462"/>
      <c r="AE4195" s="2940"/>
      <c r="AF4195" s="662"/>
      <c r="AG4195" s="662"/>
      <c r="AH4195" s="156"/>
      <c r="AI4195" s="156"/>
      <c r="AJ4195" s="156"/>
      <c r="AK4195" s="156"/>
      <c r="AL4195" s="156"/>
      <c r="AM4195" s="156"/>
      <c r="AN4195" s="156"/>
      <c r="AO4195" s="156"/>
      <c r="AP4195" s="156"/>
      <c r="AQ4195" s="156"/>
      <c r="AR4195" s="156"/>
      <c r="AS4195" s="156"/>
      <c r="AT4195" s="156"/>
      <c r="AU4195" s="156"/>
      <c r="AV4195" s="156"/>
      <c r="AW4195" s="156"/>
      <c r="AX4195" s="156"/>
      <c r="AY4195" s="156"/>
      <c r="AZ4195" s="156"/>
      <c r="BA4195" s="156"/>
      <c r="BB4195" s="2828"/>
      <c r="BC4195" s="452"/>
      <c r="BD4195" s="2829"/>
      <c r="BE4195" s="2837"/>
      <c r="BF4195" s="156"/>
    </row>
    <row r="4196" spans="1:58" ht="14.5" customHeight="1" outlineLevel="1" x14ac:dyDescent="0.35">
      <c r="A4196" s="1664"/>
      <c r="B4196" s="2812"/>
      <c r="C4196" s="3077"/>
      <c r="D4196" s="3980"/>
      <c r="E4196" s="3883"/>
      <c r="F4196" s="3984" t="str">
        <f t="shared" si="455"/>
        <v>ASHP-SEER19-Replace_CAC_ElectricHeat_ROF_SF</v>
      </c>
      <c r="G4196" s="3984"/>
      <c r="H4196" s="3984"/>
      <c r="I4196" s="3984"/>
      <c r="J4196" s="3508" t="str">
        <f t="shared" si="456"/>
        <v>353300_2021_12_</v>
      </c>
      <c r="K4196" s="462">
        <f>$R$1948*K$3490</f>
        <v>1203.6500000000003</v>
      </c>
      <c r="L4196" s="93">
        <f>VLOOKUP(J4196,$J$1940:$L$2132,3,FALSE)*M4196</f>
        <v>2.9920329673076922</v>
      </c>
      <c r="M4196" s="3031">
        <f>VLOOKUP(J4196,$J$3484:$K$3676,2,FALSE)</f>
        <v>1</v>
      </c>
      <c r="N4196" s="963"/>
      <c r="O4196" s="106"/>
      <c r="P4196" s="702"/>
      <c r="Q4196" s="574"/>
      <c r="R4196" s="702"/>
      <c r="S4196" s="106"/>
      <c r="T4196" s="486"/>
      <c r="U4196" s="106"/>
      <c r="V4196" s="4129"/>
      <c r="W4196" s="2440">
        <v>2277.3333333333335</v>
      </c>
      <c r="X4196" s="465">
        <f>$R$1948*(X$2006/12000)*X$3550</f>
        <v>3370.2200000000007</v>
      </c>
      <c r="Y4196" s="465">
        <v>813.33333333333337</v>
      </c>
      <c r="Z4196" s="462">
        <v>813.33333333333337</v>
      </c>
      <c r="AA4196" s="462">
        <v>813.33333333333337</v>
      </c>
      <c r="AB4196" s="465">
        <v>1203.6500000000003</v>
      </c>
      <c r="AC4196" s="3568">
        <v>1203.6500000000003</v>
      </c>
      <c r="AD4196" s="462">
        <v>1203.6500000000003</v>
      </c>
      <c r="AE4196" s="2939"/>
      <c r="AF4196" s="663"/>
      <c r="AG4196" s="663"/>
      <c r="AH4196" s="156"/>
      <c r="AI4196" s="156"/>
      <c r="AJ4196" s="156"/>
      <c r="AK4196" s="156"/>
      <c r="AL4196" s="156"/>
      <c r="AM4196" s="156"/>
      <c r="AN4196" s="156"/>
      <c r="AO4196" s="156"/>
      <c r="AP4196" s="156"/>
      <c r="AQ4196" s="156"/>
      <c r="AR4196" s="156"/>
      <c r="AS4196" s="156"/>
      <c r="AT4196" s="156"/>
      <c r="AU4196" s="156"/>
      <c r="AV4196" s="156"/>
      <c r="AW4196" s="156"/>
      <c r="AX4196" s="156"/>
      <c r="AY4196" s="156"/>
      <c r="AZ4196" s="156"/>
      <c r="BA4196" s="156"/>
      <c r="BB4196" s="2828"/>
      <c r="BC4196" s="452"/>
      <c r="BD4196" s="2829"/>
      <c r="BE4196" s="2837"/>
      <c r="BF4196" s="156"/>
    </row>
    <row r="4197" spans="1:58" ht="14.5" customHeight="1" outlineLevel="1" x14ac:dyDescent="0.35">
      <c r="A4197" s="1664"/>
      <c r="B4197" s="2812"/>
      <c r="C4197" s="3077"/>
      <c r="D4197" s="3980"/>
      <c r="E4197" s="3883"/>
      <c r="F4197" s="3984" t="str">
        <f t="shared" si="455"/>
        <v>ASHP-SEER19-Replace_CAC_ElectricHeat_ROF_SF</v>
      </c>
      <c r="G4197" s="3984"/>
      <c r="H4197" s="3984"/>
      <c r="I4197" s="3984"/>
      <c r="J4197" s="3508" t="str">
        <f t="shared" si="456"/>
        <v>353300_2021_12_</v>
      </c>
      <c r="K4197" s="462"/>
      <c r="L4197" s="93" t="str">
        <f>IF(K4197&gt;0,VLOOKUP(J4197,$J$1940:$L$2132,3,FALSE),"")</f>
        <v/>
      </c>
      <c r="M4197" s="3031" t="str">
        <f>IF(K4197&gt;0,VLOOKUP(J4197,$J$3484:$K$3676,2,FALSE),"")</f>
        <v/>
      </c>
      <c r="N4197" s="963"/>
      <c r="O4197" s="106"/>
      <c r="P4197" s="702"/>
      <c r="Q4197" s="574"/>
      <c r="R4197" s="702"/>
      <c r="S4197" s="106"/>
      <c r="T4197" s="486"/>
      <c r="U4197" s="106"/>
      <c r="V4197" s="4129"/>
      <c r="W4197" s="2440"/>
      <c r="X4197" s="465"/>
      <c r="Y4197" s="465"/>
      <c r="Z4197" s="462"/>
      <c r="AA4197" s="462"/>
      <c r="AB4197" s="465"/>
      <c r="AC4197" s="3568"/>
      <c r="AD4197" s="462"/>
      <c r="AE4197" s="2939"/>
      <c r="AF4197" s="663"/>
      <c r="AG4197" s="663"/>
      <c r="AH4197" s="156"/>
      <c r="AI4197" s="156"/>
      <c r="AJ4197" s="156"/>
      <c r="AK4197" s="156"/>
      <c r="AL4197" s="156"/>
      <c r="AM4197" s="156"/>
      <c r="AN4197" s="156"/>
      <c r="AO4197" s="156"/>
      <c r="AP4197" s="156"/>
      <c r="AQ4197" s="156"/>
      <c r="AR4197" s="156"/>
      <c r="AS4197" s="156"/>
      <c r="AT4197" s="156"/>
      <c r="AU4197" s="156"/>
      <c r="AV4197" s="156"/>
      <c r="AW4197" s="156"/>
      <c r="AX4197" s="156"/>
      <c r="AY4197" s="156"/>
      <c r="AZ4197" s="156"/>
      <c r="BA4197" s="156"/>
      <c r="BB4197" s="2828"/>
      <c r="BC4197" s="452"/>
      <c r="BD4197" s="2829"/>
      <c r="BE4197" s="2837"/>
      <c r="BF4197" s="156"/>
    </row>
    <row r="4198" spans="1:58" s="3398" customFormat="1" ht="14.5" customHeight="1" outlineLevel="1" x14ac:dyDescent="0.35">
      <c r="A4198" s="1664"/>
      <c r="B4198" s="3499"/>
      <c r="C4198" s="3077"/>
      <c r="D4198" s="3980"/>
      <c r="E4198" s="3883"/>
      <c r="F4198" s="4182" t="str">
        <f t="shared" si="455"/>
        <v>ASHP-SEER19-Replace_CAC_NonElectricHeat_ROF_SF</v>
      </c>
      <c r="G4198" s="3989"/>
      <c r="H4198" s="3989"/>
      <c r="I4198" s="3990"/>
      <c r="J4198" s="3509" t="str">
        <f t="shared" si="456"/>
        <v>353310_2022_12_</v>
      </c>
      <c r="K4198" s="465">
        <f>$R$1948*K$3490</f>
        <v>1203.6500000000003</v>
      </c>
      <c r="L4198" s="96">
        <f>VLOOKUP(J4198,$J$1940:$L$2132,3,FALSE)*M4198</f>
        <v>2.9920329673076922</v>
      </c>
      <c r="M4198" s="3526">
        <f>VLOOKUP(J4198,$J$3484:$K$3676,2,FALSE)</f>
        <v>1</v>
      </c>
      <c r="N4198" s="963"/>
      <c r="P4198" s="702"/>
      <c r="Q4198" s="574"/>
      <c r="R4198" s="702"/>
      <c r="T4198" s="3397"/>
      <c r="V4198" s="4129"/>
      <c r="W4198" s="2440"/>
      <c r="X4198" s="465"/>
      <c r="Y4198" s="465"/>
      <c r="Z4198" s="462"/>
      <c r="AA4198" s="462"/>
      <c r="AB4198" s="465"/>
      <c r="AC4198" s="3568"/>
      <c r="AD4198" s="465">
        <v>1203.6500000000003</v>
      </c>
      <c r="AE4198" s="2939"/>
      <c r="AF4198" s="663"/>
      <c r="AG4198" s="663"/>
      <c r="AH4198" s="156"/>
      <c r="AI4198" s="156"/>
      <c r="AJ4198" s="156"/>
      <c r="AK4198" s="156"/>
      <c r="AL4198" s="156"/>
      <c r="AM4198" s="156"/>
      <c r="AN4198" s="156"/>
      <c r="AO4198" s="156"/>
      <c r="AP4198" s="156"/>
      <c r="AQ4198" s="156"/>
      <c r="AR4198" s="156"/>
      <c r="AS4198" s="156"/>
      <c r="AT4198" s="156"/>
      <c r="AU4198" s="156"/>
      <c r="AV4198" s="156"/>
      <c r="AW4198" s="156"/>
      <c r="AX4198" s="156"/>
      <c r="AY4198" s="156"/>
      <c r="AZ4198" s="156"/>
      <c r="BA4198" s="156"/>
      <c r="BB4198" s="2828"/>
      <c r="BC4198" s="452"/>
      <c r="BD4198" s="2829"/>
      <c r="BE4198" s="2837"/>
      <c r="BF4198" s="156"/>
    </row>
    <row r="4199" spans="1:58" s="3398" customFormat="1" ht="14.5" customHeight="1" outlineLevel="1" x14ac:dyDescent="0.35">
      <c r="A4199" s="1664"/>
      <c r="B4199" s="3499"/>
      <c r="C4199" s="3077"/>
      <c r="D4199" s="3980"/>
      <c r="E4199" s="3883"/>
      <c r="F4199" s="4182" t="str">
        <f t="shared" si="455"/>
        <v>ASHP-SEER19-Replace_CAC_NonElectricHeat_ROF_SF</v>
      </c>
      <c r="G4199" s="3989"/>
      <c r="H4199" s="3989"/>
      <c r="I4199" s="3990"/>
      <c r="J4199" s="3509" t="str">
        <f t="shared" si="456"/>
        <v>353310_2022_12_</v>
      </c>
      <c r="K4199" s="465"/>
      <c r="L4199" s="96" t="str">
        <f>IF(K4199&gt;0,VLOOKUP(J4199,$J$1940:$L$2132,3,FALSE),"")</f>
        <v/>
      </c>
      <c r="M4199" s="3526" t="str">
        <f>IF(K4199&gt;0,VLOOKUP(J4199,$J$3484:$K$3676,2,FALSE),"")</f>
        <v/>
      </c>
      <c r="N4199" s="963"/>
      <c r="P4199" s="702"/>
      <c r="Q4199" s="574"/>
      <c r="R4199" s="702"/>
      <c r="T4199" s="3397"/>
      <c r="V4199" s="4129"/>
      <c r="W4199" s="2440"/>
      <c r="X4199" s="465"/>
      <c r="Y4199" s="465"/>
      <c r="Z4199" s="462"/>
      <c r="AA4199" s="462"/>
      <c r="AB4199" s="465"/>
      <c r="AC4199" s="3568"/>
      <c r="AD4199" s="462"/>
      <c r="AE4199" s="2939"/>
      <c r="AF4199" s="663"/>
      <c r="AG4199" s="663"/>
      <c r="AH4199" s="156"/>
      <c r="AI4199" s="156"/>
      <c r="AJ4199" s="156"/>
      <c r="AK4199" s="156"/>
      <c r="AL4199" s="156"/>
      <c r="AM4199" s="156"/>
      <c r="AN4199" s="156"/>
      <c r="AO4199" s="156"/>
      <c r="AP4199" s="156"/>
      <c r="AQ4199" s="156"/>
      <c r="AR4199" s="156"/>
      <c r="AS4199" s="156"/>
      <c r="AT4199" s="156"/>
      <c r="AU4199" s="156"/>
      <c r="AV4199" s="156"/>
      <c r="AW4199" s="156"/>
      <c r="AX4199" s="156"/>
      <c r="AY4199" s="156"/>
      <c r="AZ4199" s="156"/>
      <c r="BA4199" s="156"/>
      <c r="BB4199" s="2828"/>
      <c r="BC4199" s="452"/>
      <c r="BD4199" s="2829"/>
      <c r="BE4199" s="2837"/>
      <c r="BF4199" s="156"/>
    </row>
    <row r="4200" spans="1:58" ht="14.5" customHeight="1" outlineLevel="1" x14ac:dyDescent="0.35">
      <c r="A4200" s="1664"/>
      <c r="B4200" s="2812"/>
      <c r="C4200" s="3077"/>
      <c r="D4200" s="3980"/>
      <c r="E4200" s="3883"/>
      <c r="F4200" s="3984" t="str">
        <f t="shared" si="455"/>
        <v>ASHP-SEER19-Replace_CAC_ElectricHeat_ROF_MF</v>
      </c>
      <c r="G4200" s="3984"/>
      <c r="H4200" s="3984"/>
      <c r="I4200" s="3984"/>
      <c r="J4200" s="3508" t="str">
        <f t="shared" si="456"/>
        <v>353350_2021_12_</v>
      </c>
      <c r="K4200" s="462">
        <f>$R$1948*K$3490</f>
        <v>1203.6500000000003</v>
      </c>
      <c r="L4200" s="93">
        <f>VLOOKUP(J4200,$J$1940:$L$2132,3,FALSE)*M4200</f>
        <v>1.8199999999999998</v>
      </c>
      <c r="M4200" s="3031">
        <f>VLOOKUP(J4200,$J$3484:$K$3676,2,FALSE)</f>
        <v>0.65</v>
      </c>
      <c r="N4200" s="963"/>
      <c r="O4200" s="106"/>
      <c r="P4200" s="702"/>
      <c r="Q4200" s="574"/>
      <c r="R4200" s="702"/>
      <c r="S4200" s="106"/>
      <c r="T4200" s="486"/>
      <c r="U4200" s="106"/>
      <c r="V4200" s="4129"/>
      <c r="W4200" s="2440">
        <v>2277.3333333333335</v>
      </c>
      <c r="X4200" s="465">
        <f>$R$1948*(X$2008/12000)*X$3552</f>
        <v>2190.6430000000005</v>
      </c>
      <c r="Y4200" s="465">
        <v>813.33333333333337</v>
      </c>
      <c r="Z4200" s="462">
        <v>813.33333333333337</v>
      </c>
      <c r="AA4200" s="462">
        <v>813.33333333333337</v>
      </c>
      <c r="AB4200" s="465">
        <v>1203.6500000000003</v>
      </c>
      <c r="AC4200" s="3568">
        <v>1203.6500000000003</v>
      </c>
      <c r="AD4200" s="462">
        <v>1203.6500000000003</v>
      </c>
      <c r="AE4200" s="2939"/>
      <c r="AF4200" s="663"/>
      <c r="AG4200" s="663"/>
      <c r="AH4200" s="156"/>
      <c r="AI4200" s="156"/>
      <c r="AJ4200" s="156"/>
      <c r="AK4200" s="156"/>
      <c r="AL4200" s="156"/>
      <c r="AM4200" s="156"/>
      <c r="AN4200" s="156"/>
      <c r="AO4200" s="156"/>
      <c r="AP4200" s="156"/>
      <c r="AQ4200" s="156"/>
      <c r="AR4200" s="156"/>
      <c r="AS4200" s="156"/>
      <c r="AT4200" s="156"/>
      <c r="AU4200" s="156"/>
      <c r="AV4200" s="156"/>
      <c r="AW4200" s="156"/>
      <c r="AX4200" s="156"/>
      <c r="AY4200" s="156"/>
      <c r="AZ4200" s="156"/>
      <c r="BA4200" s="156"/>
      <c r="BB4200" s="2828"/>
      <c r="BC4200" s="452"/>
      <c r="BD4200" s="2829"/>
      <c r="BE4200" s="2837"/>
      <c r="BF4200" s="156"/>
    </row>
    <row r="4201" spans="1:58" ht="14.5" customHeight="1" outlineLevel="1" x14ac:dyDescent="0.35">
      <c r="A4201" s="1664"/>
      <c r="B4201" s="2812"/>
      <c r="C4201" s="3077"/>
      <c r="D4201" s="3980"/>
      <c r="E4201" s="3883"/>
      <c r="F4201" s="3984" t="str">
        <f t="shared" si="455"/>
        <v>ASHP-SEER19-Replace_CAC_ElectricHeat_ROF_MF</v>
      </c>
      <c r="G4201" s="3984"/>
      <c r="H4201" s="3984"/>
      <c r="I4201" s="3984"/>
      <c r="J4201" s="3508" t="str">
        <f t="shared" si="456"/>
        <v>353350_2021_12_</v>
      </c>
      <c r="K4201" s="462"/>
      <c r="L4201" s="93" t="str">
        <f>IF(K4201&gt;0,VLOOKUP(J4201,$J$1940:$L$2132,3,FALSE),"")</f>
        <v/>
      </c>
      <c r="M4201" s="3031" t="str">
        <f>IF(K4201&gt;0,VLOOKUP(J4201,$J$3484:$K$3676,2,FALSE),"")</f>
        <v/>
      </c>
      <c r="N4201" s="963"/>
      <c r="O4201" s="106"/>
      <c r="P4201" s="702"/>
      <c r="Q4201" s="574"/>
      <c r="R4201" s="702"/>
      <c r="S4201" s="106"/>
      <c r="T4201" s="486"/>
      <c r="U4201" s="106"/>
      <c r="V4201" s="4129"/>
      <c r="W4201" s="2440"/>
      <c r="X4201" s="465"/>
      <c r="Y4201" s="465"/>
      <c r="Z4201" s="462"/>
      <c r="AA4201" s="462"/>
      <c r="AB4201" s="465"/>
      <c r="AC4201" s="3568"/>
      <c r="AD4201" s="462"/>
      <c r="AE4201" s="2939"/>
      <c r="AF4201" s="663"/>
      <c r="AG4201" s="663"/>
      <c r="AH4201" s="156"/>
      <c r="AI4201" s="156"/>
      <c r="AJ4201" s="156"/>
      <c r="AK4201" s="156"/>
      <c r="AL4201" s="156"/>
      <c r="AM4201" s="156"/>
      <c r="AN4201" s="156"/>
      <c r="AO4201" s="156"/>
      <c r="AP4201" s="156"/>
      <c r="AQ4201" s="156"/>
      <c r="AR4201" s="156"/>
      <c r="AS4201" s="156"/>
      <c r="AT4201" s="156"/>
      <c r="AU4201" s="156"/>
      <c r="AV4201" s="156"/>
      <c r="AW4201" s="156"/>
      <c r="AX4201" s="156"/>
      <c r="AY4201" s="156"/>
      <c r="AZ4201" s="156"/>
      <c r="BA4201" s="156"/>
      <c r="BB4201" s="2828"/>
      <c r="BC4201" s="452"/>
      <c r="BD4201" s="2829"/>
      <c r="BE4201" s="2837"/>
      <c r="BF4201" s="156"/>
    </row>
    <row r="4202" spans="1:58" ht="14.5" customHeight="1" outlineLevel="1" x14ac:dyDescent="0.35">
      <c r="A4202" s="1664"/>
      <c r="B4202" s="2812"/>
      <c r="C4202" s="3077"/>
      <c r="D4202" s="3980"/>
      <c r="E4202" s="3883"/>
      <c r="F4202" s="3984" t="str">
        <f t="shared" si="455"/>
        <v>ASHP-SEER19-Replace_CAC_ElectricHeat_ROF_MF_CompE</v>
      </c>
      <c r="G4202" s="3984"/>
      <c r="H4202" s="3984"/>
      <c r="I4202" s="3984"/>
      <c r="J4202" s="3508" t="str">
        <f t="shared" si="456"/>
        <v>353351_2019_12_</v>
      </c>
      <c r="K4202" s="462">
        <f>$R$1948*K$3490</f>
        <v>1203.6500000000003</v>
      </c>
      <c r="L4202" s="93">
        <f>VLOOKUP(J4202,$J$1940:$L$2132,3,FALSE)*M4202</f>
        <v>1.8199999999999998</v>
      </c>
      <c r="M4202" s="3031">
        <f>VLOOKUP(J4202,$J$3484:$K$3676,2,FALSE)</f>
        <v>0.65</v>
      </c>
      <c r="N4202" s="963"/>
      <c r="O4202" s="106"/>
      <c r="P4202" s="702"/>
      <c r="Q4202" s="574"/>
      <c r="R4202" s="702"/>
      <c r="S4202" s="106"/>
      <c r="T4202" s="486"/>
      <c r="U4202" s="106"/>
      <c r="V4202" s="4129"/>
      <c r="W4202" s="2440"/>
      <c r="X4202" s="465"/>
      <c r="Y4202" s="465"/>
      <c r="Z4202" s="462"/>
      <c r="AA4202" s="462"/>
      <c r="AB4202" s="465"/>
      <c r="AC4202" s="3569">
        <v>1203.6500000000003</v>
      </c>
      <c r="AD4202" s="462">
        <v>1203.6500000000003</v>
      </c>
      <c r="AE4202" s="2939"/>
      <c r="AF4202" s="663"/>
      <c r="AG4202" s="663"/>
      <c r="AH4202" s="156"/>
      <c r="AI4202" s="156"/>
      <c r="AJ4202" s="156"/>
      <c r="AK4202" s="156"/>
      <c r="AL4202" s="156"/>
      <c r="AM4202" s="156"/>
      <c r="AN4202" s="156"/>
      <c r="AO4202" s="156"/>
      <c r="AP4202" s="156"/>
      <c r="AQ4202" s="156"/>
      <c r="AR4202" s="156"/>
      <c r="AS4202" s="156"/>
      <c r="AT4202" s="156"/>
      <c r="AU4202" s="156"/>
      <c r="AV4202" s="156"/>
      <c r="AW4202" s="156"/>
      <c r="AX4202" s="156"/>
      <c r="AY4202" s="156"/>
      <c r="AZ4202" s="156"/>
      <c r="BA4202" s="156"/>
      <c r="BB4202" s="2828"/>
      <c r="BC4202" s="452"/>
      <c r="BD4202" s="2829"/>
      <c r="BE4202" s="2837"/>
      <c r="BF4202" s="156"/>
    </row>
    <row r="4203" spans="1:58" ht="14.5" customHeight="1" outlineLevel="1" x14ac:dyDescent="0.35">
      <c r="A4203" s="1664"/>
      <c r="B4203" s="2812"/>
      <c r="C4203" s="3077"/>
      <c r="D4203" s="3980"/>
      <c r="E4203" s="3883"/>
      <c r="F4203" s="3984" t="str">
        <f t="shared" si="455"/>
        <v>ASHP-SEER19-Replace_CAC_ElectricHeat_ROF_MF_CompE</v>
      </c>
      <c r="G4203" s="3984"/>
      <c r="H4203" s="3984"/>
      <c r="I4203" s="3984"/>
      <c r="J4203" s="3508" t="str">
        <f t="shared" si="456"/>
        <v>353351_2019_12_</v>
      </c>
      <c r="K4203" s="462"/>
      <c r="L4203" s="93"/>
      <c r="M4203" s="3031"/>
      <c r="N4203" s="963"/>
      <c r="O4203" s="106"/>
      <c r="P4203" s="702"/>
      <c r="Q4203" s="574"/>
      <c r="R4203" s="702"/>
      <c r="S4203" s="106"/>
      <c r="T4203" s="486"/>
      <c r="U4203" s="106"/>
      <c r="V4203" s="4129"/>
      <c r="W4203" s="2440"/>
      <c r="X4203" s="465"/>
      <c r="Y4203" s="465"/>
      <c r="Z4203" s="462"/>
      <c r="AA4203" s="462"/>
      <c r="AB4203" s="465"/>
      <c r="AC4203" s="3568"/>
      <c r="AD4203" s="462"/>
      <c r="AE4203" s="2939"/>
      <c r="AF4203" s="663"/>
      <c r="AG4203" s="663"/>
      <c r="AH4203" s="156"/>
      <c r="AI4203" s="156"/>
      <c r="AJ4203" s="156"/>
      <c r="AK4203" s="156"/>
      <c r="AL4203" s="156"/>
      <c r="AM4203" s="156"/>
      <c r="AN4203" s="156"/>
      <c r="AO4203" s="156"/>
      <c r="AP4203" s="156"/>
      <c r="AQ4203" s="156"/>
      <c r="AR4203" s="156"/>
      <c r="AS4203" s="156"/>
      <c r="AT4203" s="156"/>
      <c r="AU4203" s="156"/>
      <c r="AV4203" s="156"/>
      <c r="AW4203" s="156"/>
      <c r="AX4203" s="156"/>
      <c r="AY4203" s="156"/>
      <c r="AZ4203" s="156"/>
      <c r="BA4203" s="156"/>
      <c r="BB4203" s="2828"/>
      <c r="BC4203" s="452"/>
      <c r="BD4203" s="2829"/>
      <c r="BE4203" s="2837"/>
      <c r="BF4203" s="156"/>
    </row>
    <row r="4204" spans="1:58" ht="14.5" customHeight="1" outlineLevel="1" x14ac:dyDescent="0.35">
      <c r="A4204" s="1664"/>
      <c r="B4204" s="2812"/>
      <c r="C4204" s="3077"/>
      <c r="D4204" s="3980"/>
      <c r="E4204" s="3883"/>
      <c r="F4204" s="3984" t="str">
        <f t="shared" si="455"/>
        <v>ASHP-SEER19-Replace_CAC_NonElectricHeat_ROF_MF</v>
      </c>
      <c r="G4204" s="3984"/>
      <c r="H4204" s="3984"/>
      <c r="I4204" s="3984"/>
      <c r="J4204" s="3508" t="str">
        <f t="shared" si="456"/>
        <v>353360_2021_12_</v>
      </c>
      <c r="K4204" s="462">
        <f>$R$1948*K$3490</f>
        <v>1203.6500000000003</v>
      </c>
      <c r="L4204" s="93">
        <f>VLOOKUP(J4204,$J$1940:$L$2132,3,FALSE)*M4204</f>
        <v>1.8199999999999998</v>
      </c>
      <c r="M4204" s="3031">
        <f>VLOOKUP(J4204,$J$3484:$K$3676,2,FALSE)</f>
        <v>0.65</v>
      </c>
      <c r="N4204" s="963"/>
      <c r="O4204" s="106"/>
      <c r="P4204" s="702"/>
      <c r="Q4204" s="574"/>
      <c r="R4204" s="702"/>
      <c r="S4204" s="106"/>
      <c r="T4204" s="486"/>
      <c r="U4204" s="106"/>
      <c r="V4204" s="4129"/>
      <c r="W4204" s="2440"/>
      <c r="X4204" s="465"/>
      <c r="Y4204" s="465"/>
      <c r="Z4204" s="462"/>
      <c r="AA4204" s="462"/>
      <c r="AB4204" s="465"/>
      <c r="AC4204" s="3569">
        <v>1203.6500000000003</v>
      </c>
      <c r="AD4204" s="462">
        <v>1203.6500000000003</v>
      </c>
      <c r="AE4204" s="2939"/>
      <c r="AF4204" s="663"/>
      <c r="AG4204" s="663"/>
      <c r="AH4204" s="156"/>
      <c r="AI4204" s="156"/>
      <c r="AJ4204" s="156"/>
      <c r="AK4204" s="156"/>
      <c r="AL4204" s="156"/>
      <c r="AM4204" s="156"/>
      <c r="AN4204" s="156"/>
      <c r="AO4204" s="156"/>
      <c r="AP4204" s="156"/>
      <c r="AQ4204" s="156"/>
      <c r="AR4204" s="156"/>
      <c r="AS4204" s="156"/>
      <c r="AT4204" s="156"/>
      <c r="AU4204" s="156"/>
      <c r="AV4204" s="156"/>
      <c r="AW4204" s="156"/>
      <c r="AX4204" s="156"/>
      <c r="AY4204" s="156"/>
      <c r="AZ4204" s="156"/>
      <c r="BA4204" s="156"/>
      <c r="BB4204" s="2828"/>
      <c r="BC4204" s="452"/>
      <c r="BD4204" s="2829"/>
      <c r="BE4204" s="2837"/>
      <c r="BF4204" s="156"/>
    </row>
    <row r="4205" spans="1:58" ht="14.5" customHeight="1" outlineLevel="1" x14ac:dyDescent="0.35">
      <c r="A4205" s="1664"/>
      <c r="B4205" s="2812"/>
      <c r="C4205" s="3077"/>
      <c r="D4205" s="3980"/>
      <c r="E4205" s="3883"/>
      <c r="F4205" s="3984" t="str">
        <f t="shared" si="455"/>
        <v>ASHP-SEER19-Replace_CAC_NonElectricHeat_ROF_MF</v>
      </c>
      <c r="G4205" s="3984"/>
      <c r="H4205" s="3984"/>
      <c r="I4205" s="3984"/>
      <c r="J4205" s="3508" t="str">
        <f t="shared" si="456"/>
        <v>353360_2021_12_</v>
      </c>
      <c r="K4205" s="462"/>
      <c r="L4205" s="93"/>
      <c r="M4205" s="3031"/>
      <c r="N4205" s="963"/>
      <c r="O4205" s="106"/>
      <c r="P4205" s="702"/>
      <c r="Q4205" s="574"/>
      <c r="R4205" s="702"/>
      <c r="S4205" s="106"/>
      <c r="T4205" s="486"/>
      <c r="U4205" s="106"/>
      <c r="V4205" s="4129"/>
      <c r="W4205" s="2440"/>
      <c r="X4205" s="465"/>
      <c r="Y4205" s="465"/>
      <c r="Z4205" s="462"/>
      <c r="AA4205" s="462"/>
      <c r="AB4205" s="465"/>
      <c r="AC4205" s="3568"/>
      <c r="AD4205" s="462"/>
      <c r="AE4205" s="2939"/>
      <c r="AF4205" s="663"/>
      <c r="AG4205" s="663"/>
      <c r="AH4205" s="156"/>
      <c r="AI4205" s="156"/>
      <c r="AJ4205" s="156"/>
      <c r="AK4205" s="156"/>
      <c r="AL4205" s="156"/>
      <c r="AM4205" s="156"/>
      <c r="AN4205" s="156"/>
      <c r="AO4205" s="156"/>
      <c r="AP4205" s="156"/>
      <c r="AQ4205" s="156"/>
      <c r="AR4205" s="156"/>
      <c r="AS4205" s="156"/>
      <c r="AT4205" s="156"/>
      <c r="AU4205" s="156"/>
      <c r="AV4205" s="156"/>
      <c r="AW4205" s="156"/>
      <c r="AX4205" s="156"/>
      <c r="AY4205" s="156"/>
      <c r="AZ4205" s="156"/>
      <c r="BA4205" s="156"/>
      <c r="BB4205" s="2828"/>
      <c r="BC4205" s="452"/>
      <c r="BD4205" s="2829"/>
      <c r="BE4205" s="2837"/>
      <c r="BF4205" s="156"/>
    </row>
    <row r="4206" spans="1:58" ht="14.5" customHeight="1" outlineLevel="1" x14ac:dyDescent="0.35">
      <c r="A4206" s="1664"/>
      <c r="B4206" s="2812"/>
      <c r="C4206" s="3077"/>
      <c r="D4206" s="3980"/>
      <c r="E4206" s="3883"/>
      <c r="F4206" s="3984" t="str">
        <f t="shared" si="455"/>
        <v>ASHP-SEER19-Replace_CAC_NonElectricHeat_ROF_MF_CompE</v>
      </c>
      <c r="G4206" s="3984"/>
      <c r="H4206" s="3984"/>
      <c r="I4206" s="3984"/>
      <c r="J4206" s="3508" t="str">
        <f t="shared" si="456"/>
        <v>353361_2021_12_</v>
      </c>
      <c r="K4206" s="462">
        <f>$R$1948*K$3490</f>
        <v>1203.6500000000003</v>
      </c>
      <c r="L4206" s="93">
        <f>VLOOKUP(J4206,$J$1940:$L$2132,3,FALSE)*M4206</f>
        <v>1.8199999999999998</v>
      </c>
      <c r="M4206" s="3031">
        <f>VLOOKUP(J4206,$J$3484:$K$3676,2,FALSE)</f>
        <v>0.65</v>
      </c>
      <c r="N4206" s="963"/>
      <c r="O4206" s="106"/>
      <c r="P4206" s="702"/>
      <c r="Q4206" s="574"/>
      <c r="R4206" s="702"/>
      <c r="S4206" s="106"/>
      <c r="T4206" s="486"/>
      <c r="U4206" s="106"/>
      <c r="V4206" s="4129"/>
      <c r="W4206" s="2440"/>
      <c r="X4206" s="465"/>
      <c r="Y4206" s="465"/>
      <c r="Z4206" s="462"/>
      <c r="AA4206" s="462"/>
      <c r="AB4206" s="465"/>
      <c r="AC4206" s="3569">
        <v>1203.6500000000003</v>
      </c>
      <c r="AD4206" s="462">
        <v>1203.6500000000003</v>
      </c>
      <c r="AE4206" s="2939"/>
      <c r="AF4206" s="663"/>
      <c r="AG4206" s="663"/>
      <c r="AH4206" s="156"/>
      <c r="AI4206" s="156"/>
      <c r="AJ4206" s="156"/>
      <c r="AK4206" s="156"/>
      <c r="AL4206" s="156"/>
      <c r="AM4206" s="156"/>
      <c r="AN4206" s="156"/>
      <c r="AO4206" s="156"/>
      <c r="AP4206" s="156"/>
      <c r="AQ4206" s="156"/>
      <c r="AR4206" s="156"/>
      <c r="AS4206" s="156"/>
      <c r="AT4206" s="156"/>
      <c r="AU4206" s="156"/>
      <c r="AV4206" s="156"/>
      <c r="AW4206" s="156"/>
      <c r="AX4206" s="156"/>
      <c r="AY4206" s="156"/>
      <c r="AZ4206" s="156"/>
      <c r="BA4206" s="156"/>
      <c r="BB4206" s="2828"/>
      <c r="BC4206" s="452"/>
      <c r="BD4206" s="2829"/>
      <c r="BE4206" s="2837"/>
      <c r="BF4206" s="156"/>
    </row>
    <row r="4207" spans="1:58" ht="14.5" customHeight="1" outlineLevel="1" x14ac:dyDescent="0.35">
      <c r="A4207" s="1664"/>
      <c r="B4207" s="2812"/>
      <c r="C4207" s="3077"/>
      <c r="D4207" s="3980"/>
      <c r="E4207" s="3883"/>
      <c r="F4207" s="3984" t="str">
        <f t="shared" si="455"/>
        <v>ASHP-SEER19-Replace_CAC_NonElectricHeat_ROF_MF_CompE</v>
      </c>
      <c r="G4207" s="3984"/>
      <c r="H4207" s="3984"/>
      <c r="I4207" s="3984"/>
      <c r="J4207" s="3508" t="str">
        <f t="shared" si="456"/>
        <v>353361_2021_12_</v>
      </c>
      <c r="K4207" s="462"/>
      <c r="L4207" s="93"/>
      <c r="M4207" s="3031"/>
      <c r="N4207" s="963"/>
      <c r="O4207" s="106"/>
      <c r="P4207" s="702"/>
      <c r="Q4207" s="574"/>
      <c r="R4207" s="702"/>
      <c r="S4207" s="106"/>
      <c r="T4207" s="486"/>
      <c r="U4207" s="106"/>
      <c r="V4207" s="4129"/>
      <c r="W4207" s="2440"/>
      <c r="X4207" s="465"/>
      <c r="Y4207" s="465"/>
      <c r="Z4207" s="462"/>
      <c r="AA4207" s="462"/>
      <c r="AB4207" s="465"/>
      <c r="AC4207" s="3568"/>
      <c r="AD4207" s="462"/>
      <c r="AE4207" s="2939"/>
      <c r="AF4207" s="663"/>
      <c r="AG4207" s="663"/>
      <c r="AH4207" s="156"/>
      <c r="AI4207" s="156"/>
      <c r="AJ4207" s="156"/>
      <c r="AK4207" s="156"/>
      <c r="AL4207" s="156"/>
      <c r="AM4207" s="156"/>
      <c r="AN4207" s="156"/>
      <c r="AO4207" s="156"/>
      <c r="AP4207" s="156"/>
      <c r="AQ4207" s="156"/>
      <c r="AR4207" s="156"/>
      <c r="AS4207" s="156"/>
      <c r="AT4207" s="156"/>
      <c r="AU4207" s="156"/>
      <c r="AV4207" s="156"/>
      <c r="AW4207" s="156"/>
      <c r="AX4207" s="156"/>
      <c r="AY4207" s="156"/>
      <c r="AZ4207" s="156"/>
      <c r="BA4207" s="156"/>
      <c r="BB4207" s="2828"/>
      <c r="BC4207" s="452"/>
      <c r="BD4207" s="2829"/>
      <c r="BE4207" s="2837"/>
      <c r="BF4207" s="156"/>
    </row>
    <row r="4208" spans="1:58" ht="14.5" customHeight="1" outlineLevel="1" x14ac:dyDescent="0.35">
      <c r="A4208" s="1664"/>
      <c r="B4208" s="2812"/>
      <c r="C4208" s="3077"/>
      <c r="D4208" s="3980"/>
      <c r="E4208" s="3883"/>
      <c r="F4208" s="3984" t="str">
        <f t="shared" si="455"/>
        <v>ASHP-SEER20-Replace_CAC_ElectricHeat_ER1_SF</v>
      </c>
      <c r="G4208" s="3984"/>
      <c r="H4208" s="3984"/>
      <c r="I4208" s="3984"/>
      <c r="J4208" s="3508" t="str">
        <f t="shared" si="456"/>
        <v>353400_2021_12_</v>
      </c>
      <c r="K4208" s="465">
        <f>(($R$1960*L4208)+$R$1949)-(($Q$1960*L4208)/((1+$R$1962)^($R$1963-1)))</f>
        <v>2109.0699962597669</v>
      </c>
      <c r="L4208" s="96">
        <f>VLOOKUP(J4208,$J$1940:$L$2132,3,FALSE)*M4208</f>
        <v>2.7818528962962961</v>
      </c>
      <c r="M4208" s="3031">
        <f>VLOOKUP(J4208,$J$3484:$K$3676,2,FALSE)</f>
        <v>1</v>
      </c>
      <c r="N4208" s="963"/>
      <c r="O4208" s="106"/>
      <c r="P4208" s="702"/>
      <c r="Q4208" s="574"/>
      <c r="R4208" s="702"/>
      <c r="S4208" s="106"/>
      <c r="T4208" s="486"/>
      <c r="U4208" s="106"/>
      <c r="V4208" s="4129"/>
      <c r="W4208" s="2440">
        <v>5275.2377829603429</v>
      </c>
      <c r="X4208" s="465">
        <f>$Q$1949*(X$2012/12000)*X$3556</f>
        <v>6699.7001594592275</v>
      </c>
      <c r="Y4208" s="465">
        <v>2032.6993716056036</v>
      </c>
      <c r="Z4208" s="462">
        <v>2032.6993716056036</v>
      </c>
      <c r="AA4208" s="462">
        <v>2032.6993716056036</v>
      </c>
      <c r="AB4208" s="465">
        <v>2185.0873864864097</v>
      </c>
      <c r="AC4208" s="3569">
        <v>2161.1935998255572</v>
      </c>
      <c r="AD4208" s="465">
        <v>2109.0699962597669</v>
      </c>
      <c r="AE4208" s="2939"/>
      <c r="AF4208" s="663"/>
      <c r="AG4208" s="663"/>
      <c r="AH4208" s="156"/>
      <c r="AI4208" s="156"/>
      <c r="AJ4208" s="156"/>
      <c r="AK4208" s="156"/>
      <c r="AL4208" s="156"/>
      <c r="AM4208" s="156"/>
      <c r="AN4208" s="156"/>
      <c r="AO4208" s="156"/>
      <c r="AP4208" s="156"/>
      <c r="AQ4208" s="156"/>
      <c r="AR4208" s="156"/>
      <c r="AS4208" s="156"/>
      <c r="AT4208" s="156"/>
      <c r="AU4208" s="156"/>
      <c r="AV4208" s="156"/>
      <c r="AW4208" s="156"/>
      <c r="AX4208" s="156"/>
      <c r="AY4208" s="156"/>
      <c r="AZ4208" s="156"/>
      <c r="BA4208" s="156"/>
      <c r="BB4208" s="2828"/>
      <c r="BC4208" s="452"/>
      <c r="BD4208" s="2829"/>
      <c r="BE4208" s="2837"/>
      <c r="BF4208" s="156"/>
    </row>
    <row r="4209" spans="1:58" ht="14.5" customHeight="1" outlineLevel="1" x14ac:dyDescent="0.35">
      <c r="A4209" s="1664"/>
      <c r="B4209" s="2812"/>
      <c r="C4209" s="3077"/>
      <c r="D4209" s="3980"/>
      <c r="E4209" s="3883"/>
      <c r="F4209" s="3984" t="str">
        <f t="shared" si="455"/>
        <v>ASHP-SEER20-Replace_CAC_ElectricHeat_ER1_SF</v>
      </c>
      <c r="G4209" s="3984"/>
      <c r="H4209" s="3984"/>
      <c r="I4209" s="3984"/>
      <c r="J4209" s="3508" t="str">
        <f t="shared" si="456"/>
        <v>353400_2021_12_</v>
      </c>
      <c r="K4209" s="462"/>
      <c r="L4209" s="93" t="str">
        <f>IF(K4209&gt;0,VLOOKUP(J4209,$J$1940:$L$2132,3,FALSE),"")</f>
        <v/>
      </c>
      <c r="M4209" s="3031" t="str">
        <f>IF(K4209&gt;0,VLOOKUP(J4209,$J$3484:$K$3676,2,FALSE),"")</f>
        <v/>
      </c>
      <c r="N4209" s="963"/>
      <c r="O4209" s="106"/>
      <c r="P4209" s="702"/>
      <c r="Q4209" s="574"/>
      <c r="R4209" s="702"/>
      <c r="S4209" s="106"/>
      <c r="T4209" s="486"/>
      <c r="U4209" s="106"/>
      <c r="V4209" s="4129"/>
      <c r="W4209" s="2440"/>
      <c r="X4209" s="465"/>
      <c r="Y4209" s="465"/>
      <c r="Z4209" s="462"/>
      <c r="AA4209" s="462"/>
      <c r="AB4209" s="465"/>
      <c r="AC4209" s="3568"/>
      <c r="AD4209" s="462"/>
      <c r="AE4209" s="2939"/>
      <c r="AF4209" s="663"/>
      <c r="AG4209" s="663"/>
      <c r="AH4209" s="156"/>
      <c r="AI4209" s="156"/>
      <c r="AJ4209" s="156"/>
      <c r="AK4209" s="156"/>
      <c r="AL4209" s="156"/>
      <c r="AM4209" s="156"/>
      <c r="AN4209" s="156"/>
      <c r="AO4209" s="156"/>
      <c r="AP4209" s="156"/>
      <c r="AQ4209" s="156"/>
      <c r="AR4209" s="156"/>
      <c r="AS4209" s="156"/>
      <c r="AT4209" s="156"/>
      <c r="AU4209" s="156"/>
      <c r="AV4209" s="156"/>
      <c r="AW4209" s="156"/>
      <c r="AX4209" s="156"/>
      <c r="AY4209" s="156"/>
      <c r="AZ4209" s="156"/>
      <c r="BA4209" s="156"/>
      <c r="BB4209" s="2828"/>
      <c r="BC4209" s="452"/>
      <c r="BD4209" s="2829"/>
      <c r="BE4209" s="2837"/>
      <c r="BF4209" s="156"/>
    </row>
    <row r="4210" spans="1:58" ht="14.5" customHeight="1" outlineLevel="1" x14ac:dyDescent="0.35">
      <c r="A4210" s="1664"/>
      <c r="B4210" s="2812"/>
      <c r="C4210" s="3077"/>
      <c r="D4210" s="3980"/>
      <c r="E4210" s="3883"/>
      <c r="F4210" s="3984" t="str">
        <f t="shared" si="455"/>
        <v>ASHP-SEER20-Replace_CAC_ElectricHeat_ER2_SF</v>
      </c>
      <c r="G4210" s="3984"/>
      <c r="H4210" s="3984"/>
      <c r="I4210" s="3984"/>
      <c r="J4210" s="3508" t="str">
        <f t="shared" si="456"/>
        <v>353400_2021_12_</v>
      </c>
      <c r="K4210" s="462"/>
      <c r="L4210" s="93" t="str">
        <f>IF(K4210&gt;0,VLOOKUP(J4210,$J$1940:$L$2132,3,FALSE),"")</f>
        <v/>
      </c>
      <c r="M4210" s="3031" t="str">
        <f>IF(K4210&gt;0,VLOOKUP(J4210,$J$3484:$K$3676,2,FALSE),"")</f>
        <v/>
      </c>
      <c r="N4210" s="963"/>
      <c r="O4210" s="106"/>
      <c r="P4210" s="702"/>
      <c r="Q4210" s="574"/>
      <c r="R4210" s="702"/>
      <c r="S4210" s="106"/>
      <c r="T4210" s="486"/>
      <c r="U4210" s="106"/>
      <c r="V4210" s="4129"/>
      <c r="W4210" s="2440"/>
      <c r="X4210" s="465"/>
      <c r="Y4210" s="465"/>
      <c r="Z4210" s="462"/>
      <c r="AA4210" s="462"/>
      <c r="AB4210" s="465"/>
      <c r="AC4210" s="3568"/>
      <c r="AD4210" s="462"/>
      <c r="AE4210" s="2939"/>
      <c r="AF4210" s="663"/>
      <c r="AG4210" s="663"/>
      <c r="AH4210" s="156"/>
      <c r="AI4210" s="156"/>
      <c r="AJ4210" s="156"/>
      <c r="AK4210" s="156"/>
      <c r="AL4210" s="156"/>
      <c r="AM4210" s="156"/>
      <c r="AN4210" s="156"/>
      <c r="AO4210" s="156"/>
      <c r="AP4210" s="156"/>
      <c r="AQ4210" s="156"/>
      <c r="AR4210" s="156"/>
      <c r="AS4210" s="156"/>
      <c r="AT4210" s="156"/>
      <c r="AU4210" s="156"/>
      <c r="AV4210" s="156"/>
      <c r="AW4210" s="156"/>
      <c r="AX4210" s="156"/>
      <c r="AY4210" s="156"/>
      <c r="AZ4210" s="156"/>
      <c r="BA4210" s="156"/>
      <c r="BB4210" s="2828"/>
      <c r="BC4210" s="452"/>
      <c r="BD4210" s="2829"/>
      <c r="BE4210" s="2837"/>
      <c r="BF4210" s="156"/>
    </row>
    <row r="4211" spans="1:58" ht="14.5" customHeight="1" outlineLevel="1" x14ac:dyDescent="0.35">
      <c r="A4211" s="1664"/>
      <c r="B4211" s="2812"/>
      <c r="C4211" s="3077"/>
      <c r="D4211" s="3980"/>
      <c r="E4211" s="3883"/>
      <c r="F4211" s="3984" t="str">
        <f t="shared" si="455"/>
        <v>ASHP-SEER20-Replace_CAC_ElectricHeat_ER2_SF</v>
      </c>
      <c r="G4211" s="3984"/>
      <c r="H4211" s="3984"/>
      <c r="I4211" s="3984"/>
      <c r="J4211" s="3508" t="str">
        <f t="shared" si="456"/>
        <v>353400_2021_12_</v>
      </c>
      <c r="K4211" s="462"/>
      <c r="L4211" s="93" t="str">
        <f>IF(K4211&gt;0,VLOOKUP(J4211,$J$1940:$L$2132,3,FALSE),"")</f>
        <v/>
      </c>
      <c r="M4211" s="3031" t="str">
        <f>IF(K4211&gt;0,VLOOKUP(J4211,$J$3484:$K$3676,2,FALSE),"")</f>
        <v/>
      </c>
      <c r="N4211" s="963"/>
      <c r="O4211" s="106"/>
      <c r="P4211" s="702"/>
      <c r="Q4211" s="574"/>
      <c r="R4211" s="702"/>
      <c r="S4211" s="106"/>
      <c r="T4211" s="486"/>
      <c r="U4211" s="106"/>
      <c r="V4211" s="4129"/>
      <c r="W4211" s="2440"/>
      <c r="X4211" s="465"/>
      <c r="Y4211" s="465"/>
      <c r="Z4211" s="462"/>
      <c r="AA4211" s="462"/>
      <c r="AB4211" s="465"/>
      <c r="AC4211" s="3568"/>
      <c r="AD4211" s="462"/>
      <c r="AE4211" s="2939"/>
      <c r="AF4211" s="663"/>
      <c r="AG4211" s="663"/>
      <c r="AH4211" s="156"/>
      <c r="AI4211" s="156"/>
      <c r="AJ4211" s="156"/>
      <c r="AK4211" s="156"/>
      <c r="AL4211" s="156"/>
      <c r="AM4211" s="156"/>
      <c r="AN4211" s="156"/>
      <c r="AO4211" s="156"/>
      <c r="AP4211" s="156"/>
      <c r="AQ4211" s="156"/>
      <c r="AR4211" s="156"/>
      <c r="AS4211" s="156"/>
      <c r="AT4211" s="156"/>
      <c r="AU4211" s="156"/>
      <c r="AV4211" s="156"/>
      <c r="AW4211" s="156"/>
      <c r="AX4211" s="156"/>
      <c r="AY4211" s="156"/>
      <c r="AZ4211" s="156"/>
      <c r="BA4211" s="156"/>
      <c r="BB4211" s="2828"/>
      <c r="BC4211" s="452"/>
      <c r="BD4211" s="2829"/>
      <c r="BE4211" s="2837"/>
      <c r="BF4211" s="156"/>
    </row>
    <row r="4212" spans="1:58" ht="14.5" customHeight="1" outlineLevel="1" x14ac:dyDescent="0.35">
      <c r="A4212" s="1664"/>
      <c r="B4212" s="2812"/>
      <c r="C4212" s="3077"/>
      <c r="D4212" s="3980"/>
      <c r="E4212" s="3883"/>
      <c r="F4212" s="3984" t="str">
        <f t="shared" si="455"/>
        <v>ASHP-SEER20-Replace_CAC_NonElectricHeat_ER1_SF</v>
      </c>
      <c r="G4212" s="3984"/>
      <c r="H4212" s="3984"/>
      <c r="I4212" s="3984"/>
      <c r="J4212" s="3508" t="str">
        <f t="shared" si="456"/>
        <v>353410_2021_12_</v>
      </c>
      <c r="K4212" s="465">
        <f>(($R$1960*L4212)+$R$1949)-(($Q$1960*L4212)/((1+$R$1962)^($R$1963-1)))</f>
        <v>2109.0699962597669</v>
      </c>
      <c r="L4212" s="96">
        <f>VLOOKUP(J4212,$J$1940:$L$2132,3,FALSE)*M4212</f>
        <v>2.7818528962962961</v>
      </c>
      <c r="M4212" s="3031">
        <f>VLOOKUP(J4212,$J$3484:$K$3676,2,FALSE)</f>
        <v>1</v>
      </c>
      <c r="N4212" s="963"/>
      <c r="O4212" s="106"/>
      <c r="P4212" s="702"/>
      <c r="Q4212" s="574"/>
      <c r="R4212" s="702"/>
      <c r="S4212" s="106"/>
      <c r="T4212" s="486"/>
      <c r="U4212" s="106"/>
      <c r="V4212" s="4129"/>
      <c r="W4212" s="2440"/>
      <c r="X4212" s="465"/>
      <c r="Y4212" s="465"/>
      <c r="Z4212" s="462"/>
      <c r="AA4212" s="462"/>
      <c r="AB4212" s="465"/>
      <c r="AC4212" s="3569">
        <v>2161.1935998255572</v>
      </c>
      <c r="AD4212" s="465">
        <v>2109.0699962597669</v>
      </c>
      <c r="AE4212" s="2939"/>
      <c r="AF4212" s="663"/>
      <c r="AG4212" s="663"/>
      <c r="AH4212" s="156"/>
      <c r="AI4212" s="156"/>
      <c r="AJ4212" s="156"/>
      <c r="AK4212" s="156"/>
      <c r="AL4212" s="156"/>
      <c r="AM4212" s="156"/>
      <c r="AN4212" s="156"/>
      <c r="AO4212" s="156"/>
      <c r="AP4212" s="156"/>
      <c r="AQ4212" s="156"/>
      <c r="AR4212" s="156"/>
      <c r="AS4212" s="156"/>
      <c r="AT4212" s="156"/>
      <c r="AU4212" s="156"/>
      <c r="AV4212" s="156"/>
      <c r="AW4212" s="156"/>
      <c r="AX4212" s="156"/>
      <c r="AY4212" s="156"/>
      <c r="AZ4212" s="156"/>
      <c r="BA4212" s="156"/>
      <c r="BB4212" s="2828"/>
      <c r="BC4212" s="452"/>
      <c r="BD4212" s="2829"/>
      <c r="BE4212" s="2837"/>
      <c r="BF4212" s="156"/>
    </row>
    <row r="4213" spans="1:58" ht="14.5" customHeight="1" outlineLevel="1" x14ac:dyDescent="0.35">
      <c r="A4213" s="1664"/>
      <c r="B4213" s="2812"/>
      <c r="C4213" s="3077"/>
      <c r="D4213" s="3980"/>
      <c r="E4213" s="3883"/>
      <c r="F4213" s="3984" t="str">
        <f t="shared" si="455"/>
        <v>ASHP-SEER20-Replace_CAC_NonElectricHeat_ER1_SF</v>
      </c>
      <c r="G4213" s="3984"/>
      <c r="H4213" s="3984"/>
      <c r="I4213" s="3984"/>
      <c r="J4213" s="3508" t="str">
        <f t="shared" si="456"/>
        <v>353410_2021_12_</v>
      </c>
      <c r="K4213" s="462"/>
      <c r="L4213" s="93"/>
      <c r="M4213" s="3031"/>
      <c r="N4213" s="963"/>
      <c r="O4213" s="106"/>
      <c r="P4213" s="702"/>
      <c r="Q4213" s="574"/>
      <c r="R4213" s="702"/>
      <c r="S4213" s="106"/>
      <c r="T4213" s="486"/>
      <c r="U4213" s="106"/>
      <c r="V4213" s="4129"/>
      <c r="W4213" s="2440"/>
      <c r="X4213" s="465"/>
      <c r="Y4213" s="465"/>
      <c r="Z4213" s="462"/>
      <c r="AA4213" s="462"/>
      <c r="AB4213" s="465"/>
      <c r="AC4213" s="3568"/>
      <c r="AD4213" s="462"/>
      <c r="AE4213" s="2939"/>
      <c r="AF4213" s="663"/>
      <c r="AG4213" s="663"/>
      <c r="AH4213" s="156"/>
      <c r="AI4213" s="156"/>
      <c r="AJ4213" s="156"/>
      <c r="AK4213" s="156"/>
      <c r="AL4213" s="156"/>
      <c r="AM4213" s="156"/>
      <c r="AN4213" s="156"/>
      <c r="AO4213" s="156"/>
      <c r="AP4213" s="156"/>
      <c r="AQ4213" s="156"/>
      <c r="AR4213" s="156"/>
      <c r="AS4213" s="156"/>
      <c r="AT4213" s="156"/>
      <c r="AU4213" s="156"/>
      <c r="AV4213" s="156"/>
      <c r="AW4213" s="156"/>
      <c r="AX4213" s="156"/>
      <c r="AY4213" s="156"/>
      <c r="AZ4213" s="156"/>
      <c r="BA4213" s="156"/>
      <c r="BB4213" s="2828"/>
      <c r="BC4213" s="452"/>
      <c r="BD4213" s="2829"/>
      <c r="BE4213" s="2837"/>
      <c r="BF4213" s="156"/>
    </row>
    <row r="4214" spans="1:58" ht="14.5" customHeight="1" outlineLevel="1" x14ac:dyDescent="0.35">
      <c r="A4214" s="1664"/>
      <c r="B4214" s="2812"/>
      <c r="C4214" s="3077"/>
      <c r="D4214" s="3980"/>
      <c r="E4214" s="3883"/>
      <c r="F4214" s="3984" t="str">
        <f t="shared" si="455"/>
        <v>ASHP-SEER20-Replace_CAC_NonElectricHeat_ER2_SF</v>
      </c>
      <c r="G4214" s="3984"/>
      <c r="H4214" s="3984"/>
      <c r="I4214" s="3984"/>
      <c r="J4214" s="3508" t="str">
        <f t="shared" si="456"/>
        <v>353410_2021_12_</v>
      </c>
      <c r="K4214" s="462"/>
      <c r="L4214" s="93"/>
      <c r="M4214" s="3031"/>
      <c r="N4214" s="963"/>
      <c r="O4214" s="106"/>
      <c r="P4214" s="702"/>
      <c r="Q4214" s="574"/>
      <c r="R4214" s="702"/>
      <c r="S4214" s="106"/>
      <c r="T4214" s="486"/>
      <c r="U4214" s="106"/>
      <c r="V4214" s="4129"/>
      <c r="W4214" s="2440"/>
      <c r="X4214" s="465"/>
      <c r="Y4214" s="465"/>
      <c r="Z4214" s="462"/>
      <c r="AA4214" s="462"/>
      <c r="AB4214" s="465"/>
      <c r="AC4214" s="3568"/>
      <c r="AD4214" s="462"/>
      <c r="AE4214" s="2939"/>
      <c r="AF4214" s="663"/>
      <c r="AG4214" s="663"/>
      <c r="AH4214" s="156"/>
      <c r="AI4214" s="156"/>
      <c r="AJ4214" s="156"/>
      <c r="AK4214" s="156"/>
      <c r="AL4214" s="156"/>
      <c r="AM4214" s="156"/>
      <c r="AN4214" s="156"/>
      <c r="AO4214" s="156"/>
      <c r="AP4214" s="156"/>
      <c r="AQ4214" s="156"/>
      <c r="AR4214" s="156"/>
      <c r="AS4214" s="156"/>
      <c r="AT4214" s="156"/>
      <c r="AU4214" s="156"/>
      <c r="AV4214" s="156"/>
      <c r="AW4214" s="156"/>
      <c r="AX4214" s="156"/>
      <c r="AY4214" s="156"/>
      <c r="AZ4214" s="156"/>
      <c r="BA4214" s="156"/>
      <c r="BB4214" s="2828"/>
      <c r="BC4214" s="452"/>
      <c r="BD4214" s="2829"/>
      <c r="BE4214" s="2837"/>
      <c r="BF4214" s="156"/>
    </row>
    <row r="4215" spans="1:58" ht="14.5" customHeight="1" outlineLevel="1" x14ac:dyDescent="0.35">
      <c r="A4215" s="1664"/>
      <c r="B4215" s="2812"/>
      <c r="C4215" s="3077"/>
      <c r="D4215" s="3980"/>
      <c r="E4215" s="3883"/>
      <c r="F4215" s="3984" t="str">
        <f t="shared" si="455"/>
        <v>ASHP-SEER20-Replace_CAC_NonElectricHeat_ER2_SF</v>
      </c>
      <c r="G4215" s="3984"/>
      <c r="H4215" s="3984"/>
      <c r="I4215" s="3984"/>
      <c r="J4215" s="3508" t="str">
        <f t="shared" si="456"/>
        <v>353410_2021_12_</v>
      </c>
      <c r="K4215" s="462"/>
      <c r="L4215" s="93"/>
      <c r="M4215" s="3031"/>
      <c r="N4215" s="963"/>
      <c r="O4215" s="106"/>
      <c r="P4215" s="702"/>
      <c r="Q4215" s="574"/>
      <c r="R4215" s="702"/>
      <c r="S4215" s="106"/>
      <c r="T4215" s="486"/>
      <c r="U4215" s="106"/>
      <c r="V4215" s="4129"/>
      <c r="W4215" s="2440"/>
      <c r="X4215" s="465"/>
      <c r="Y4215" s="465"/>
      <c r="Z4215" s="462"/>
      <c r="AA4215" s="462"/>
      <c r="AB4215" s="465"/>
      <c r="AC4215" s="3568"/>
      <c r="AD4215" s="462"/>
      <c r="AE4215" s="2939"/>
      <c r="AF4215" s="663"/>
      <c r="AG4215" s="663"/>
      <c r="AH4215" s="156"/>
      <c r="AI4215" s="156"/>
      <c r="AJ4215" s="156"/>
      <c r="AK4215" s="156"/>
      <c r="AL4215" s="156"/>
      <c r="AM4215" s="156"/>
      <c r="AN4215" s="156"/>
      <c r="AO4215" s="156"/>
      <c r="AP4215" s="156"/>
      <c r="AQ4215" s="156"/>
      <c r="AR4215" s="156"/>
      <c r="AS4215" s="156"/>
      <c r="AT4215" s="156"/>
      <c r="AU4215" s="156"/>
      <c r="AV4215" s="156"/>
      <c r="AW4215" s="156"/>
      <c r="AX4215" s="156"/>
      <c r="AY4215" s="156"/>
      <c r="AZ4215" s="156"/>
      <c r="BA4215" s="156"/>
      <c r="BB4215" s="2828"/>
      <c r="BC4215" s="452"/>
      <c r="BD4215" s="2829"/>
      <c r="BE4215" s="2837"/>
      <c r="BF4215" s="156"/>
    </row>
    <row r="4216" spans="1:58" ht="14.5" customHeight="1" outlineLevel="1" x14ac:dyDescent="0.35">
      <c r="A4216" s="1664"/>
      <c r="B4216" s="2812"/>
      <c r="C4216" s="3077"/>
      <c r="D4216" s="3980"/>
      <c r="E4216" s="3883"/>
      <c r="F4216" s="3984" t="str">
        <f t="shared" si="455"/>
        <v>ASHP-SEER20-Replace_CAC_ElectricHeat_ROF_SF</v>
      </c>
      <c r="G4216" s="3984"/>
      <c r="H4216" s="3984"/>
      <c r="I4216" s="3984"/>
      <c r="J4216" s="3508" t="str">
        <f t="shared" si="456"/>
        <v>353450_2021_12_</v>
      </c>
      <c r="K4216" s="462">
        <f>$R$1949*K$3490</f>
        <v>1444.3799999999994</v>
      </c>
      <c r="L4216" s="93">
        <f>VLOOKUP(J4216,$J$1940:$L$2132,3,FALSE)*M4216</f>
        <v>2.8870833333333334</v>
      </c>
      <c r="M4216" s="3031">
        <f>VLOOKUP(J4216,$J$3484:$K$3676,2,FALSE)</f>
        <v>1</v>
      </c>
      <c r="N4216" s="963"/>
      <c r="O4216" s="106"/>
      <c r="P4216" s="702"/>
      <c r="Q4216" s="574"/>
      <c r="R4216" s="702"/>
      <c r="S4216" s="106"/>
      <c r="T4216" s="486"/>
      <c r="U4216" s="106"/>
      <c r="V4216" s="4129"/>
      <c r="W4216" s="2440">
        <v>3712</v>
      </c>
      <c r="X4216" s="465">
        <f>$R$1949*(X$2016/12000)*X$3560</f>
        <v>4622.0159999999987</v>
      </c>
      <c r="Y4216" s="465">
        <v>1160</v>
      </c>
      <c r="Z4216" s="462">
        <v>1160</v>
      </c>
      <c r="AA4216" s="462">
        <v>1160</v>
      </c>
      <c r="AB4216" s="465">
        <v>1444.3799999999994</v>
      </c>
      <c r="AC4216" s="3568">
        <v>1444.3799999999994</v>
      </c>
      <c r="AD4216" s="462">
        <v>1444.3799999999994</v>
      </c>
      <c r="AE4216" s="2939"/>
      <c r="AF4216" s="663"/>
      <c r="AG4216" s="663"/>
      <c r="AH4216" s="156"/>
      <c r="AI4216" s="156"/>
      <c r="AJ4216" s="156"/>
      <c r="AK4216" s="156"/>
      <c r="AL4216" s="156"/>
      <c r="AM4216" s="156"/>
      <c r="AN4216" s="156"/>
      <c r="AO4216" s="156"/>
      <c r="AP4216" s="156"/>
      <c r="AQ4216" s="156"/>
      <c r="AR4216" s="156"/>
      <c r="AS4216" s="156"/>
      <c r="AT4216" s="156"/>
      <c r="AU4216" s="156"/>
      <c r="AV4216" s="156"/>
      <c r="AW4216" s="156"/>
      <c r="AX4216" s="156"/>
      <c r="AY4216" s="156"/>
      <c r="AZ4216" s="156"/>
      <c r="BA4216" s="156"/>
      <c r="BB4216" s="2828"/>
      <c r="BC4216" s="452"/>
      <c r="BD4216" s="2829"/>
      <c r="BE4216" s="2837"/>
      <c r="BF4216" s="156"/>
    </row>
    <row r="4217" spans="1:58" ht="14.5" customHeight="1" outlineLevel="1" x14ac:dyDescent="0.35">
      <c r="A4217" s="1664"/>
      <c r="B4217" s="2812"/>
      <c r="C4217" s="3077"/>
      <c r="D4217" s="3980"/>
      <c r="E4217" s="3883"/>
      <c r="F4217" s="3984" t="str">
        <f t="shared" si="455"/>
        <v>ASHP-SEER20-Replace_CAC_ElectricHeat_ROF_SF</v>
      </c>
      <c r="G4217" s="3984"/>
      <c r="H4217" s="3984"/>
      <c r="I4217" s="3984"/>
      <c r="J4217" s="3508" t="str">
        <f t="shared" si="456"/>
        <v>353450_2021_12_</v>
      </c>
      <c r="K4217" s="462"/>
      <c r="L4217" s="93" t="str">
        <f>IF(K4217&gt;0,VLOOKUP(J4217,$J$1940:$L$2132,3,FALSE),"")</f>
        <v/>
      </c>
      <c r="M4217" s="3031" t="str">
        <f>IF(K4217&gt;0,VLOOKUP(J4217,$J$3484:$K$3676,2,FALSE),"")</f>
        <v/>
      </c>
      <c r="N4217" s="963"/>
      <c r="O4217" s="106"/>
      <c r="P4217" s="702"/>
      <c r="Q4217" s="574"/>
      <c r="R4217" s="702"/>
      <c r="S4217" s="106"/>
      <c r="T4217" s="486"/>
      <c r="U4217" s="106"/>
      <c r="V4217" s="4129"/>
      <c r="W4217" s="2440"/>
      <c r="X4217" s="465"/>
      <c r="Y4217" s="465"/>
      <c r="Z4217" s="462"/>
      <c r="AA4217" s="462"/>
      <c r="AB4217" s="465"/>
      <c r="AC4217" s="3568"/>
      <c r="AD4217" s="462"/>
      <c r="AE4217" s="2939"/>
      <c r="AF4217" s="663"/>
      <c r="AG4217" s="663"/>
      <c r="AH4217" s="156"/>
      <c r="AI4217" s="156"/>
      <c r="AJ4217" s="156"/>
      <c r="AK4217" s="156"/>
      <c r="AL4217" s="156"/>
      <c r="AM4217" s="156"/>
      <c r="AN4217" s="156"/>
      <c r="AO4217" s="156"/>
      <c r="AP4217" s="156"/>
      <c r="AQ4217" s="156"/>
      <c r="AR4217" s="156"/>
      <c r="AS4217" s="156"/>
      <c r="AT4217" s="156"/>
      <c r="AU4217" s="156"/>
      <c r="AV4217" s="156"/>
      <c r="AW4217" s="156"/>
      <c r="AX4217" s="156"/>
      <c r="AY4217" s="156"/>
      <c r="AZ4217" s="156"/>
      <c r="BA4217" s="156"/>
      <c r="BB4217" s="2828"/>
      <c r="BC4217" s="452"/>
      <c r="BD4217" s="2829"/>
      <c r="BE4217" s="2837"/>
      <c r="BF4217" s="156"/>
    </row>
    <row r="4218" spans="1:58" s="3398" customFormat="1" ht="14.5" customHeight="1" outlineLevel="1" x14ac:dyDescent="0.35">
      <c r="A4218" s="1664"/>
      <c r="B4218" s="3499"/>
      <c r="C4218" s="3077"/>
      <c r="D4218" s="3980"/>
      <c r="E4218" s="3883"/>
      <c r="F4218" s="4182" t="str">
        <f t="shared" si="455"/>
        <v>ASHP-SEER20-Replace_CAC_NonElectricHeat_ROF_SF</v>
      </c>
      <c r="G4218" s="3989"/>
      <c r="H4218" s="3989"/>
      <c r="I4218" s="3990"/>
      <c r="J4218" s="3509" t="str">
        <f t="shared" si="456"/>
        <v>353460_2022_12_</v>
      </c>
      <c r="K4218" s="465">
        <f>$R$1949*K$3490</f>
        <v>1444.3799999999994</v>
      </c>
      <c r="L4218" s="96">
        <f>VLOOKUP(J4218,$J$1940:$L$2132,3,FALSE)*M4218</f>
        <v>2.8870833333333334</v>
      </c>
      <c r="M4218" s="3526">
        <f>VLOOKUP(J4218,$J$3484:$K$3676,2,FALSE)</f>
        <v>1</v>
      </c>
      <c r="N4218" s="963"/>
      <c r="P4218" s="702"/>
      <c r="Q4218" s="574"/>
      <c r="R4218" s="702"/>
      <c r="T4218" s="3397"/>
      <c r="V4218" s="4129"/>
      <c r="W4218" s="2440"/>
      <c r="X4218" s="465"/>
      <c r="Y4218" s="465"/>
      <c r="Z4218" s="462"/>
      <c r="AA4218" s="462"/>
      <c r="AB4218" s="465"/>
      <c r="AC4218" s="3568"/>
      <c r="AD4218" s="465">
        <v>1444.3799999999994</v>
      </c>
      <c r="AE4218" s="2939"/>
      <c r="AF4218" s="663"/>
      <c r="AG4218" s="663"/>
      <c r="AH4218" s="156"/>
      <c r="AI4218" s="156"/>
      <c r="AJ4218" s="156"/>
      <c r="AK4218" s="156"/>
      <c r="AL4218" s="156"/>
      <c r="AM4218" s="156"/>
      <c r="AN4218" s="156"/>
      <c r="AO4218" s="156"/>
      <c r="AP4218" s="156"/>
      <c r="AQ4218" s="156"/>
      <c r="AR4218" s="156"/>
      <c r="AS4218" s="156"/>
      <c r="AT4218" s="156"/>
      <c r="AU4218" s="156"/>
      <c r="AV4218" s="156"/>
      <c r="AW4218" s="156"/>
      <c r="AX4218" s="156"/>
      <c r="AY4218" s="156"/>
      <c r="AZ4218" s="156"/>
      <c r="BA4218" s="156"/>
      <c r="BB4218" s="2828"/>
      <c r="BC4218" s="452"/>
      <c r="BD4218" s="2829"/>
      <c r="BE4218" s="2837"/>
      <c r="BF4218" s="156"/>
    </row>
    <row r="4219" spans="1:58" s="3398" customFormat="1" ht="14.5" customHeight="1" outlineLevel="1" x14ac:dyDescent="0.35">
      <c r="A4219" s="1664"/>
      <c r="B4219" s="3499"/>
      <c r="C4219" s="3077"/>
      <c r="D4219" s="3980"/>
      <c r="E4219" s="3883"/>
      <c r="F4219" s="4182" t="str">
        <f t="shared" si="455"/>
        <v>ASHP-SEER20-Replace_CAC_NonElectricHeat_ROF_SF</v>
      </c>
      <c r="G4219" s="3989"/>
      <c r="H4219" s="3989"/>
      <c r="I4219" s="3990"/>
      <c r="J4219" s="3509" t="str">
        <f t="shared" si="456"/>
        <v>353460_2022_12_</v>
      </c>
      <c r="K4219" s="465"/>
      <c r="L4219" s="96" t="str">
        <f>IF(K4219&gt;0,VLOOKUP(J4219,$J$1940:$L$2132,3,FALSE),"")</f>
        <v/>
      </c>
      <c r="M4219" s="3526" t="str">
        <f>IF(K4219&gt;0,VLOOKUP(J4219,$J$3484:$K$3676,2,FALSE),"")</f>
        <v/>
      </c>
      <c r="N4219" s="963"/>
      <c r="P4219" s="702"/>
      <c r="Q4219" s="574"/>
      <c r="R4219" s="702"/>
      <c r="T4219" s="3397"/>
      <c r="V4219" s="4129"/>
      <c r="W4219" s="2440"/>
      <c r="X4219" s="465"/>
      <c r="Y4219" s="465"/>
      <c r="Z4219" s="462"/>
      <c r="AA4219" s="462"/>
      <c r="AB4219" s="465"/>
      <c r="AC4219" s="3568"/>
      <c r="AD4219" s="462"/>
      <c r="AE4219" s="2939"/>
      <c r="AF4219" s="663"/>
      <c r="AG4219" s="663"/>
      <c r="AH4219" s="156"/>
      <c r="AI4219" s="156"/>
      <c r="AJ4219" s="156"/>
      <c r="AK4219" s="156"/>
      <c r="AL4219" s="156"/>
      <c r="AM4219" s="156"/>
      <c r="AN4219" s="156"/>
      <c r="AO4219" s="156"/>
      <c r="AP4219" s="156"/>
      <c r="AQ4219" s="156"/>
      <c r="AR4219" s="156"/>
      <c r="AS4219" s="156"/>
      <c r="AT4219" s="156"/>
      <c r="AU4219" s="156"/>
      <c r="AV4219" s="156"/>
      <c r="AW4219" s="156"/>
      <c r="AX4219" s="156"/>
      <c r="AY4219" s="156"/>
      <c r="AZ4219" s="156"/>
      <c r="BA4219" s="156"/>
      <c r="BB4219" s="2828"/>
      <c r="BC4219" s="452"/>
      <c r="BD4219" s="2829"/>
      <c r="BE4219" s="2837"/>
      <c r="BF4219" s="156"/>
    </row>
    <row r="4220" spans="1:58" ht="14.5" customHeight="1" outlineLevel="1" x14ac:dyDescent="0.35">
      <c r="A4220" s="1664"/>
      <c r="B4220" s="2812"/>
      <c r="C4220" s="3077"/>
      <c r="D4220" s="3980"/>
      <c r="E4220" s="3883"/>
      <c r="F4220" s="3984" t="str">
        <f t="shared" si="455"/>
        <v>ASHP-SEER20-Replace_CAC_ElectricHeat_ROF_MF</v>
      </c>
      <c r="G4220" s="3984"/>
      <c r="H4220" s="3984"/>
      <c r="I4220" s="3984"/>
      <c r="J4220" s="3508" t="str">
        <f t="shared" si="456"/>
        <v>353500_2019_12_</v>
      </c>
      <c r="K4220" s="462">
        <f>$R$1949*K$3490</f>
        <v>1444.3799999999994</v>
      </c>
      <c r="L4220" s="93">
        <f>VLOOKUP(J4220,$J$1940:$L$2132,3,FALSE)*M4220</f>
        <v>2.08</v>
      </c>
      <c r="M4220" s="3031">
        <f>VLOOKUP(J4220,$J$3484:$K$3676,2,FALSE)</f>
        <v>0.65</v>
      </c>
      <c r="N4220" s="963"/>
      <c r="O4220" s="106"/>
      <c r="P4220" s="702"/>
      <c r="Q4220" s="574"/>
      <c r="R4220" s="702"/>
      <c r="S4220" s="106"/>
      <c r="T4220" s="486"/>
      <c r="U4220" s="106"/>
      <c r="V4220" s="4129"/>
      <c r="W4220" s="2440">
        <v>3596</v>
      </c>
      <c r="X4220" s="465">
        <f>$R$1949*(X$2018/12000)*X$3562</f>
        <v>3004.3103999999994</v>
      </c>
      <c r="Y4220" s="465">
        <v>1160</v>
      </c>
      <c r="Z4220" s="462">
        <v>1160</v>
      </c>
      <c r="AA4220" s="462">
        <v>1160</v>
      </c>
      <c r="AB4220" s="465">
        <v>1444.3799999999994</v>
      </c>
      <c r="AC4220" s="3568">
        <v>1444.3799999999994</v>
      </c>
      <c r="AD4220" s="462">
        <v>1444.3799999999994</v>
      </c>
      <c r="AE4220" s="2939"/>
      <c r="AF4220" s="663"/>
      <c r="AG4220" s="663"/>
      <c r="AH4220" s="156"/>
      <c r="AI4220" s="156"/>
      <c r="AJ4220" s="156"/>
      <c r="AK4220" s="156"/>
      <c r="AL4220" s="156"/>
      <c r="AM4220" s="156"/>
      <c r="AN4220" s="156"/>
      <c r="AO4220" s="156"/>
      <c r="AP4220" s="156"/>
      <c r="AQ4220" s="156"/>
      <c r="AR4220" s="156"/>
      <c r="AS4220" s="156"/>
      <c r="AT4220" s="156"/>
      <c r="AU4220" s="156"/>
      <c r="AV4220" s="156"/>
      <c r="AW4220" s="156"/>
      <c r="AX4220" s="156"/>
      <c r="AY4220" s="156"/>
      <c r="AZ4220" s="156"/>
      <c r="BA4220" s="156"/>
      <c r="BB4220" s="2828"/>
      <c r="BC4220" s="452"/>
      <c r="BD4220" s="2829"/>
      <c r="BE4220" s="2837"/>
      <c r="BF4220" s="156"/>
    </row>
    <row r="4221" spans="1:58" ht="14.5" customHeight="1" outlineLevel="1" x14ac:dyDescent="0.35">
      <c r="A4221" s="1664"/>
      <c r="B4221" s="2812"/>
      <c r="C4221" s="3077"/>
      <c r="D4221" s="3980"/>
      <c r="E4221" s="3883"/>
      <c r="F4221" s="3984" t="str">
        <f t="shared" si="455"/>
        <v>ASHP-SEER20-Replace_CAC_ElectricHeat_ROF_MF</v>
      </c>
      <c r="G4221" s="3984"/>
      <c r="H4221" s="3984"/>
      <c r="I4221" s="3984"/>
      <c r="J4221" s="3508" t="str">
        <f t="shared" si="456"/>
        <v>353500_2019_12_</v>
      </c>
      <c r="K4221" s="462"/>
      <c r="L4221" s="93" t="str">
        <f>IF(K4221&gt;0,VLOOKUP(J4221,$J$1940:$L$2132,3,FALSE),"")</f>
        <v/>
      </c>
      <c r="M4221" s="3031" t="str">
        <f>IF(K4221&gt;0,VLOOKUP(J4221,$J$3484:$K$3676,2,FALSE),"")</f>
        <v/>
      </c>
      <c r="N4221" s="963"/>
      <c r="O4221" s="106"/>
      <c r="P4221" s="702"/>
      <c r="Q4221" s="574"/>
      <c r="R4221" s="702"/>
      <c r="S4221" s="106"/>
      <c r="T4221" s="486"/>
      <c r="U4221" s="106"/>
      <c r="V4221" s="4129"/>
      <c r="W4221" s="2440"/>
      <c r="X4221" s="465"/>
      <c r="Y4221" s="465"/>
      <c r="Z4221" s="462"/>
      <c r="AA4221" s="462"/>
      <c r="AB4221" s="465"/>
      <c r="AC4221" s="3568"/>
      <c r="AD4221" s="462"/>
      <c r="AE4221" s="2939"/>
      <c r="AF4221" s="663"/>
      <c r="AG4221" s="663"/>
      <c r="AH4221" s="156"/>
      <c r="AI4221" s="156"/>
      <c r="AJ4221" s="156"/>
      <c r="AK4221" s="156"/>
      <c r="AL4221" s="156"/>
      <c r="AM4221" s="156"/>
      <c r="AN4221" s="156"/>
      <c r="AO4221" s="156"/>
      <c r="AP4221" s="156"/>
      <c r="AQ4221" s="156"/>
      <c r="AR4221" s="156"/>
      <c r="AS4221" s="156"/>
      <c r="AT4221" s="156"/>
      <c r="AU4221" s="156"/>
      <c r="AV4221" s="156"/>
      <c r="AW4221" s="156"/>
      <c r="AX4221" s="156"/>
      <c r="AY4221" s="156"/>
      <c r="AZ4221" s="156"/>
      <c r="BA4221" s="156"/>
      <c r="BB4221" s="2828"/>
      <c r="BC4221" s="452"/>
      <c r="BD4221" s="2829"/>
      <c r="BE4221" s="2837"/>
      <c r="BF4221" s="156"/>
    </row>
    <row r="4222" spans="1:58" ht="14.5" customHeight="1" outlineLevel="1" x14ac:dyDescent="0.35">
      <c r="A4222" s="1664"/>
      <c r="B4222" s="2812"/>
      <c r="C4222" s="3077"/>
      <c r="D4222" s="3980"/>
      <c r="E4222" s="3883"/>
      <c r="F4222" s="3984" t="str">
        <f t="shared" si="455"/>
        <v>ASHP-SEER20-Replace_CAC_ElectricHeat_ROF_MF_CompE</v>
      </c>
      <c r="G4222" s="3984"/>
      <c r="H4222" s="3984"/>
      <c r="I4222" s="3984"/>
      <c r="J4222" s="3508" t="str">
        <f t="shared" si="456"/>
        <v>353501_2019_12_</v>
      </c>
      <c r="K4222" s="462">
        <f>$R$1949*K$3490</f>
        <v>1444.3799999999994</v>
      </c>
      <c r="L4222" s="93">
        <f>VLOOKUP(J4222,$J$1940:$L$2132,3,FALSE)*M4222</f>
        <v>2.08</v>
      </c>
      <c r="M4222" s="3031">
        <f>VLOOKUP(J4222,$J$3484:$K$3676,2,FALSE)</f>
        <v>0.65</v>
      </c>
      <c r="N4222" s="963"/>
      <c r="O4222" s="106"/>
      <c r="P4222" s="702"/>
      <c r="Q4222" s="574"/>
      <c r="R4222" s="702"/>
      <c r="S4222" s="106"/>
      <c r="T4222" s="486"/>
      <c r="U4222" s="106"/>
      <c r="V4222" s="4129"/>
      <c r="W4222" s="2440"/>
      <c r="X4222" s="465"/>
      <c r="Y4222" s="465"/>
      <c r="Z4222" s="462"/>
      <c r="AA4222" s="462"/>
      <c r="AB4222" s="465"/>
      <c r="AC4222" s="3569">
        <v>1444.3799999999994</v>
      </c>
      <c r="AD4222" s="462">
        <v>1444.3799999999994</v>
      </c>
      <c r="AE4222" s="2939"/>
      <c r="AF4222" s="663"/>
      <c r="AG4222" s="663"/>
      <c r="AH4222" s="156"/>
      <c r="AI4222" s="156"/>
      <c r="AJ4222" s="156"/>
      <c r="AK4222" s="156"/>
      <c r="AL4222" s="156"/>
      <c r="AM4222" s="156"/>
      <c r="AN4222" s="156"/>
      <c r="AO4222" s="156"/>
      <c r="AP4222" s="156"/>
      <c r="AQ4222" s="156"/>
      <c r="AR4222" s="156"/>
      <c r="AS4222" s="156"/>
      <c r="AT4222" s="156"/>
      <c r="AU4222" s="156"/>
      <c r="AV4222" s="156"/>
      <c r="AW4222" s="156"/>
      <c r="AX4222" s="156"/>
      <c r="AY4222" s="156"/>
      <c r="AZ4222" s="156"/>
      <c r="BA4222" s="156"/>
      <c r="BB4222" s="2828"/>
      <c r="BC4222" s="452"/>
      <c r="BD4222" s="2829"/>
      <c r="BE4222" s="2837"/>
      <c r="BF4222" s="156"/>
    </row>
    <row r="4223" spans="1:58" ht="14.5" customHeight="1" outlineLevel="1" x14ac:dyDescent="0.35">
      <c r="A4223" s="1664"/>
      <c r="B4223" s="2812"/>
      <c r="C4223" s="3077"/>
      <c r="D4223" s="3980"/>
      <c r="E4223" s="3883"/>
      <c r="F4223" s="3984" t="str">
        <f t="shared" si="455"/>
        <v>ASHP-SEER20-Replace_CAC_ElectricHeat_ROF_MF_CompE</v>
      </c>
      <c r="G4223" s="3984"/>
      <c r="H4223" s="3984"/>
      <c r="I4223" s="3984"/>
      <c r="J4223" s="3508" t="str">
        <f t="shared" si="456"/>
        <v>353501_2019_12_</v>
      </c>
      <c r="K4223" s="462"/>
      <c r="L4223" s="93"/>
      <c r="M4223" s="3031"/>
      <c r="N4223" s="963"/>
      <c r="O4223" s="106"/>
      <c r="P4223" s="702"/>
      <c r="Q4223" s="574"/>
      <c r="R4223" s="702"/>
      <c r="S4223" s="106"/>
      <c r="T4223" s="486"/>
      <c r="U4223" s="106"/>
      <c r="V4223" s="4129"/>
      <c r="W4223" s="2440"/>
      <c r="X4223" s="465"/>
      <c r="Y4223" s="465"/>
      <c r="Z4223" s="462"/>
      <c r="AA4223" s="462"/>
      <c r="AB4223" s="465"/>
      <c r="AC4223" s="3568"/>
      <c r="AD4223" s="462"/>
      <c r="AE4223" s="2939"/>
      <c r="AF4223" s="663"/>
      <c r="AG4223" s="663"/>
      <c r="AH4223" s="156"/>
      <c r="AI4223" s="156"/>
      <c r="AJ4223" s="156"/>
      <c r="AK4223" s="156"/>
      <c r="AL4223" s="156"/>
      <c r="AM4223" s="156"/>
      <c r="AN4223" s="156"/>
      <c r="AO4223" s="156"/>
      <c r="AP4223" s="156"/>
      <c r="AQ4223" s="156"/>
      <c r="AR4223" s="156"/>
      <c r="AS4223" s="156"/>
      <c r="AT4223" s="156"/>
      <c r="AU4223" s="156"/>
      <c r="AV4223" s="156"/>
      <c r="AW4223" s="156"/>
      <c r="AX4223" s="156"/>
      <c r="AY4223" s="156"/>
      <c r="AZ4223" s="156"/>
      <c r="BA4223" s="156"/>
      <c r="BB4223" s="2828"/>
      <c r="BC4223" s="452"/>
      <c r="BD4223" s="2829"/>
      <c r="BE4223" s="2837"/>
      <c r="BF4223" s="156"/>
    </row>
    <row r="4224" spans="1:58" ht="14.5" customHeight="1" outlineLevel="1" x14ac:dyDescent="0.35">
      <c r="A4224" s="1664"/>
      <c r="B4224" s="2812"/>
      <c r="C4224" s="3077"/>
      <c r="D4224" s="3980"/>
      <c r="E4224" s="3883"/>
      <c r="F4224" s="3984" t="str">
        <f t="shared" si="455"/>
        <v>ASHP-SEER20-Replace_CAC_NonElectricHeat_ROF_MF</v>
      </c>
      <c r="G4224" s="3984"/>
      <c r="H4224" s="3984"/>
      <c r="I4224" s="3984"/>
      <c r="J4224" s="3508" t="str">
        <f t="shared" si="456"/>
        <v>353510_2021_12_</v>
      </c>
      <c r="K4224" s="462">
        <f>$R$1949*K$3490</f>
        <v>1444.3799999999994</v>
      </c>
      <c r="L4224" s="93">
        <f>VLOOKUP(J4224,$J$1940:$L$2132,3,FALSE)*M4224</f>
        <v>2.08</v>
      </c>
      <c r="M4224" s="3031">
        <f>VLOOKUP(J4224,$J$3484:$K$3676,2,FALSE)</f>
        <v>0.65</v>
      </c>
      <c r="N4224" s="963"/>
      <c r="O4224" s="106"/>
      <c r="P4224" s="702"/>
      <c r="Q4224" s="574"/>
      <c r="R4224" s="702"/>
      <c r="S4224" s="106"/>
      <c r="T4224" s="486"/>
      <c r="U4224" s="106"/>
      <c r="V4224" s="4129"/>
      <c r="W4224" s="2440"/>
      <c r="X4224" s="465"/>
      <c r="Y4224" s="465"/>
      <c r="Z4224" s="462"/>
      <c r="AA4224" s="462"/>
      <c r="AB4224" s="465"/>
      <c r="AC4224" s="3569">
        <v>1444.3799999999994</v>
      </c>
      <c r="AD4224" s="462">
        <v>1444.3799999999994</v>
      </c>
      <c r="AE4224" s="2939"/>
      <c r="AF4224" s="663"/>
      <c r="AG4224" s="663"/>
      <c r="AH4224" s="156"/>
      <c r="AI4224" s="156"/>
      <c r="AJ4224" s="156"/>
      <c r="AK4224" s="156"/>
      <c r="AL4224" s="156"/>
      <c r="AM4224" s="156"/>
      <c r="AN4224" s="156"/>
      <c r="AO4224" s="156"/>
      <c r="AP4224" s="156"/>
      <c r="AQ4224" s="156"/>
      <c r="AR4224" s="156"/>
      <c r="AS4224" s="156"/>
      <c r="AT4224" s="156"/>
      <c r="AU4224" s="156"/>
      <c r="AV4224" s="156"/>
      <c r="AW4224" s="156"/>
      <c r="AX4224" s="156"/>
      <c r="AY4224" s="156"/>
      <c r="AZ4224" s="156"/>
      <c r="BA4224" s="156"/>
      <c r="BB4224" s="2828"/>
      <c r="BC4224" s="452"/>
      <c r="BD4224" s="2829"/>
      <c r="BE4224" s="2837"/>
      <c r="BF4224" s="156"/>
    </row>
    <row r="4225" spans="1:58" ht="14.5" customHeight="1" outlineLevel="1" x14ac:dyDescent="0.35">
      <c r="A4225" s="1664"/>
      <c r="B4225" s="2812"/>
      <c r="C4225" s="3077"/>
      <c r="D4225" s="3980"/>
      <c r="E4225" s="3883"/>
      <c r="F4225" s="3984" t="str">
        <f t="shared" si="455"/>
        <v>ASHP-SEER20-Replace_CAC_NonElectricHeat_ROF_MF</v>
      </c>
      <c r="G4225" s="3984"/>
      <c r="H4225" s="3984"/>
      <c r="I4225" s="3984"/>
      <c r="J4225" s="3508" t="str">
        <f t="shared" si="456"/>
        <v>353510_2021_12_</v>
      </c>
      <c r="K4225" s="462"/>
      <c r="L4225" s="93"/>
      <c r="M4225" s="3031"/>
      <c r="N4225" s="963"/>
      <c r="O4225" s="106"/>
      <c r="P4225" s="702"/>
      <c r="Q4225" s="574"/>
      <c r="R4225" s="702"/>
      <c r="S4225" s="106"/>
      <c r="T4225" s="486"/>
      <c r="U4225" s="106"/>
      <c r="V4225" s="4129"/>
      <c r="W4225" s="2440"/>
      <c r="X4225" s="465"/>
      <c r="Y4225" s="465"/>
      <c r="Z4225" s="462"/>
      <c r="AA4225" s="462"/>
      <c r="AB4225" s="465"/>
      <c r="AC4225" s="3568"/>
      <c r="AD4225" s="462"/>
      <c r="AE4225" s="2939"/>
      <c r="AF4225" s="663"/>
      <c r="AG4225" s="663"/>
      <c r="AH4225" s="156"/>
      <c r="AI4225" s="156"/>
      <c r="AJ4225" s="156"/>
      <c r="AK4225" s="156"/>
      <c r="AL4225" s="156"/>
      <c r="AM4225" s="156"/>
      <c r="AN4225" s="156"/>
      <c r="AO4225" s="156"/>
      <c r="AP4225" s="156"/>
      <c r="AQ4225" s="156"/>
      <c r="AR4225" s="156"/>
      <c r="AS4225" s="156"/>
      <c r="AT4225" s="156"/>
      <c r="AU4225" s="156"/>
      <c r="AV4225" s="156"/>
      <c r="AW4225" s="156"/>
      <c r="AX4225" s="156"/>
      <c r="AY4225" s="156"/>
      <c r="AZ4225" s="156"/>
      <c r="BA4225" s="156"/>
      <c r="BB4225" s="2828"/>
      <c r="BC4225" s="452"/>
      <c r="BD4225" s="2829"/>
      <c r="BE4225" s="2837"/>
      <c r="BF4225" s="156"/>
    </row>
    <row r="4226" spans="1:58" ht="14.5" customHeight="1" outlineLevel="1" x14ac:dyDescent="0.35">
      <c r="A4226" s="1664"/>
      <c r="B4226" s="2812"/>
      <c r="C4226" s="3077"/>
      <c r="D4226" s="3980"/>
      <c r="E4226" s="3883"/>
      <c r="F4226" s="3984" t="str">
        <f t="shared" si="455"/>
        <v>ASHP-SEER20-Replace_CAC_NonElectricHeat_ROF_MF_CompE</v>
      </c>
      <c r="G4226" s="3984"/>
      <c r="H4226" s="3984"/>
      <c r="I4226" s="3984"/>
      <c r="J4226" s="3508" t="str">
        <f t="shared" si="456"/>
        <v>353511_2021_12_</v>
      </c>
      <c r="K4226" s="462">
        <f>$R$1949*K$3490</f>
        <v>1444.3799999999994</v>
      </c>
      <c r="L4226" s="93">
        <f>VLOOKUP(J4226,$J$1940:$L$2132,3,FALSE)*M4226</f>
        <v>2.08</v>
      </c>
      <c r="M4226" s="3031">
        <f>VLOOKUP(J4226,$J$3484:$K$3676,2,FALSE)</f>
        <v>0.65</v>
      </c>
      <c r="N4226" s="963"/>
      <c r="O4226" s="106"/>
      <c r="P4226" s="702"/>
      <c r="Q4226" s="574"/>
      <c r="R4226" s="702"/>
      <c r="S4226" s="106"/>
      <c r="T4226" s="486"/>
      <c r="U4226" s="106"/>
      <c r="V4226" s="4129"/>
      <c r="W4226" s="2440"/>
      <c r="X4226" s="465"/>
      <c r="Y4226" s="465"/>
      <c r="Z4226" s="462"/>
      <c r="AA4226" s="462"/>
      <c r="AB4226" s="465"/>
      <c r="AC4226" s="3569">
        <v>1444.3799999999994</v>
      </c>
      <c r="AD4226" s="462">
        <v>1444.3799999999994</v>
      </c>
      <c r="AE4226" s="2939"/>
      <c r="AF4226" s="663"/>
      <c r="AG4226" s="663"/>
      <c r="AH4226" s="156"/>
      <c r="AI4226" s="156"/>
      <c r="AJ4226" s="156"/>
      <c r="AK4226" s="156"/>
      <c r="AL4226" s="156"/>
      <c r="AM4226" s="156"/>
      <c r="AN4226" s="156"/>
      <c r="AO4226" s="156"/>
      <c r="AP4226" s="156"/>
      <c r="AQ4226" s="156"/>
      <c r="AR4226" s="156"/>
      <c r="AS4226" s="156"/>
      <c r="AT4226" s="156"/>
      <c r="AU4226" s="156"/>
      <c r="AV4226" s="156"/>
      <c r="AW4226" s="156"/>
      <c r="AX4226" s="156"/>
      <c r="AY4226" s="156"/>
      <c r="AZ4226" s="156"/>
      <c r="BA4226" s="156"/>
      <c r="BB4226" s="2828"/>
      <c r="BC4226" s="452"/>
      <c r="BD4226" s="2829"/>
      <c r="BE4226" s="2837"/>
      <c r="BF4226" s="156"/>
    </row>
    <row r="4227" spans="1:58" ht="14.5" customHeight="1" outlineLevel="1" x14ac:dyDescent="0.35">
      <c r="A4227" s="1664"/>
      <c r="B4227" s="2812"/>
      <c r="C4227" s="3077"/>
      <c r="D4227" s="3980"/>
      <c r="E4227" s="3883"/>
      <c r="F4227" s="3984" t="str">
        <f t="shared" si="455"/>
        <v>ASHP-SEER20-Replace_CAC_NonElectricHeat_ROF_MF_CompE</v>
      </c>
      <c r="G4227" s="3984"/>
      <c r="H4227" s="3984"/>
      <c r="I4227" s="3984"/>
      <c r="J4227" s="3508" t="str">
        <f t="shared" si="456"/>
        <v>353511_2021_12_</v>
      </c>
      <c r="K4227" s="462"/>
      <c r="L4227" s="93"/>
      <c r="M4227" s="3031"/>
      <c r="N4227" s="963"/>
      <c r="O4227" s="106"/>
      <c r="P4227" s="702"/>
      <c r="Q4227" s="574"/>
      <c r="R4227" s="702"/>
      <c r="S4227" s="106"/>
      <c r="T4227" s="486"/>
      <c r="U4227" s="106"/>
      <c r="V4227" s="4129"/>
      <c r="W4227" s="2440"/>
      <c r="X4227" s="465"/>
      <c r="Y4227" s="465"/>
      <c r="Z4227" s="462"/>
      <c r="AA4227" s="462"/>
      <c r="AB4227" s="465"/>
      <c r="AC4227" s="3568"/>
      <c r="AD4227" s="462"/>
      <c r="AE4227" s="2939"/>
      <c r="AF4227" s="663"/>
      <c r="AG4227" s="663"/>
      <c r="AH4227" s="156"/>
      <c r="AI4227" s="156"/>
      <c r="AJ4227" s="156"/>
      <c r="AK4227" s="156"/>
      <c r="AL4227" s="156"/>
      <c r="AM4227" s="156"/>
      <c r="AN4227" s="156"/>
      <c r="AO4227" s="156"/>
      <c r="AP4227" s="156"/>
      <c r="AQ4227" s="156"/>
      <c r="AR4227" s="156"/>
      <c r="AS4227" s="156"/>
      <c r="AT4227" s="156"/>
      <c r="AU4227" s="156"/>
      <c r="AV4227" s="156"/>
      <c r="AW4227" s="156"/>
      <c r="AX4227" s="156"/>
      <c r="AY4227" s="156"/>
      <c r="AZ4227" s="156"/>
      <c r="BA4227" s="156"/>
      <c r="BB4227" s="2828"/>
      <c r="BC4227" s="452"/>
      <c r="BD4227" s="2829"/>
      <c r="BE4227" s="2837"/>
      <c r="BF4227" s="156"/>
    </row>
    <row r="4228" spans="1:58" ht="14.5" customHeight="1" outlineLevel="1" x14ac:dyDescent="0.35">
      <c r="A4228" s="1664"/>
      <c r="B4228" s="2812"/>
      <c r="C4228" s="3077"/>
      <c r="D4228" s="3980"/>
      <c r="E4228" s="3883"/>
      <c r="F4228" s="3984" t="str">
        <f t="shared" si="455"/>
        <v>ASHP-SEER21-Replace_CAC_ElectricHeat_ER1_SF</v>
      </c>
      <c r="G4228" s="3984"/>
      <c r="H4228" s="3984"/>
      <c r="I4228" s="3984"/>
      <c r="J4228" s="3508" t="str">
        <f t="shared" si="456"/>
        <v>353550_2021_12_</v>
      </c>
      <c r="K4228" s="465">
        <f>(($R$1960*L4228)+$R$1950)-(($Q$1960*L4228)/((1+$R$1962)^($R$1963-1)))</f>
        <v>2490.8675578660959</v>
      </c>
      <c r="L4228" s="96">
        <f>VLOOKUP(J4228,$J$1940:$L$2132,3,FALSE)*M4228</f>
        <v>3.3520972177188546</v>
      </c>
      <c r="M4228" s="3031">
        <f>VLOOKUP(J4228,$J$3484:$K$3676,2,FALSE)</f>
        <v>1</v>
      </c>
      <c r="N4228" s="963"/>
      <c r="O4228" s="106"/>
      <c r="P4228" s="702"/>
      <c r="Q4228" s="574"/>
      <c r="R4228" s="702"/>
      <c r="S4228" s="106"/>
      <c r="T4228" s="486"/>
      <c r="U4228" s="106"/>
      <c r="V4228" s="4129"/>
      <c r="W4228" s="2440">
        <v>5275.2377829603429</v>
      </c>
      <c r="X4228" s="465">
        <f>$Q$1950*(X$2022/12000)*X$3566</f>
        <v>7460.8884194592283</v>
      </c>
      <c r="Y4228" s="465">
        <v>2032.6993716056036</v>
      </c>
      <c r="Z4228" s="462">
        <v>2032.6993716056036</v>
      </c>
      <c r="AA4228" s="462">
        <v>2032.6993716056036</v>
      </c>
      <c r="AB4228" s="465">
        <v>2430.6319864864099</v>
      </c>
      <c r="AC4228" s="3569">
        <v>2547.9287573669544</v>
      </c>
      <c r="AD4228" s="465">
        <v>2490.8675578660959</v>
      </c>
      <c r="AE4228" s="2939"/>
      <c r="AF4228" s="663"/>
      <c r="AG4228" s="663"/>
      <c r="AH4228" s="156"/>
      <c r="AI4228" s="156"/>
      <c r="AJ4228" s="156"/>
      <c r="AK4228" s="156"/>
      <c r="AL4228" s="156"/>
      <c r="AM4228" s="156"/>
      <c r="AN4228" s="156"/>
      <c r="AO4228" s="156"/>
      <c r="AP4228" s="156"/>
      <c r="AQ4228" s="156"/>
      <c r="AR4228" s="156"/>
      <c r="AS4228" s="156"/>
      <c r="AT4228" s="156"/>
      <c r="AU4228" s="156"/>
      <c r="AV4228" s="156"/>
      <c r="AW4228" s="156"/>
      <c r="AX4228" s="156"/>
      <c r="AY4228" s="156"/>
      <c r="AZ4228" s="156"/>
      <c r="BA4228" s="156"/>
      <c r="BB4228" s="2828"/>
      <c r="BC4228" s="452"/>
      <c r="BD4228" s="2829"/>
      <c r="BE4228" s="2837"/>
      <c r="BF4228" s="156"/>
    </row>
    <row r="4229" spans="1:58" ht="14.5" customHeight="1" outlineLevel="1" x14ac:dyDescent="0.35">
      <c r="A4229" s="1664"/>
      <c r="B4229" s="2812"/>
      <c r="C4229" s="3077"/>
      <c r="D4229" s="3980"/>
      <c r="E4229" s="3883"/>
      <c r="F4229" s="3984" t="str">
        <f t="shared" si="455"/>
        <v>ASHP-SEER21-Replace_CAC_ElectricHeat_ER1_SF</v>
      </c>
      <c r="G4229" s="3984"/>
      <c r="H4229" s="3984"/>
      <c r="I4229" s="3984"/>
      <c r="J4229" s="3508" t="str">
        <f t="shared" si="456"/>
        <v>353550_2021_12_</v>
      </c>
      <c r="K4229" s="462"/>
      <c r="L4229" s="93" t="str">
        <f>IF(K4229&gt;0,VLOOKUP(J4229,$J$1940:$L$2132,3,FALSE),"")</f>
        <v/>
      </c>
      <c r="M4229" s="3031" t="str">
        <f>IF(K4229&gt;0,VLOOKUP(J4229,$J$3484:$K$3676,2,FALSE),"")</f>
        <v/>
      </c>
      <c r="N4229" s="963"/>
      <c r="O4229" s="106"/>
      <c r="P4229" s="702"/>
      <c r="Q4229" s="574"/>
      <c r="R4229" s="702"/>
      <c r="S4229" s="106"/>
      <c r="T4229" s="486"/>
      <c r="U4229" s="106"/>
      <c r="V4229" s="4129"/>
      <c r="W4229" s="2440"/>
      <c r="X4229" s="465"/>
      <c r="Y4229" s="465"/>
      <c r="Z4229" s="462"/>
      <c r="AA4229" s="462"/>
      <c r="AB4229" s="465"/>
      <c r="AC4229" s="3568"/>
      <c r="AD4229" s="462"/>
      <c r="AE4229" s="2939"/>
      <c r="AF4229" s="663"/>
      <c r="AG4229" s="663"/>
      <c r="AH4229" s="156"/>
      <c r="AI4229" s="156"/>
      <c r="AJ4229" s="156"/>
      <c r="AK4229" s="156"/>
      <c r="AL4229" s="156"/>
      <c r="AM4229" s="156"/>
      <c r="AN4229" s="156"/>
      <c r="AO4229" s="156"/>
      <c r="AP4229" s="156"/>
      <c r="AQ4229" s="156"/>
      <c r="AR4229" s="156"/>
      <c r="AS4229" s="156"/>
      <c r="AT4229" s="156"/>
      <c r="AU4229" s="156"/>
      <c r="AV4229" s="156"/>
      <c r="AW4229" s="156"/>
      <c r="AX4229" s="156"/>
      <c r="AY4229" s="156"/>
      <c r="AZ4229" s="156"/>
      <c r="BA4229" s="156"/>
      <c r="BB4229" s="2828"/>
      <c r="BC4229" s="452"/>
      <c r="BD4229" s="2829"/>
      <c r="BE4229" s="2837"/>
      <c r="BF4229" s="156"/>
    </row>
    <row r="4230" spans="1:58" ht="14.5" customHeight="1" outlineLevel="1" x14ac:dyDescent="0.35">
      <c r="A4230" s="1664"/>
      <c r="B4230" s="2812"/>
      <c r="C4230" s="3077"/>
      <c r="D4230" s="3980"/>
      <c r="E4230" s="3883"/>
      <c r="F4230" s="3984" t="str">
        <f t="shared" si="455"/>
        <v>ASHP-SEER21-Replace_CAC_ElectricHeat_ER2_SF</v>
      </c>
      <c r="G4230" s="3984"/>
      <c r="H4230" s="3984"/>
      <c r="I4230" s="3984"/>
      <c r="J4230" s="3508" t="str">
        <f t="shared" si="456"/>
        <v>353550_2021_12_</v>
      </c>
      <c r="K4230" s="462"/>
      <c r="L4230" s="93" t="str">
        <f>IF(K4230&gt;0,VLOOKUP(J4230,$J$1940:$L$2132,3,FALSE),"")</f>
        <v/>
      </c>
      <c r="M4230" s="3031" t="str">
        <f>IF(K4230&gt;0,VLOOKUP(J4230,$J$3484:$K$3676,2,FALSE),"")</f>
        <v/>
      </c>
      <c r="N4230" s="963"/>
      <c r="O4230" s="106"/>
      <c r="P4230" s="702"/>
      <c r="Q4230" s="574"/>
      <c r="R4230" s="702"/>
      <c r="S4230" s="106"/>
      <c r="T4230" s="486"/>
      <c r="U4230" s="106"/>
      <c r="V4230" s="4129"/>
      <c r="W4230" s="2440"/>
      <c r="X4230" s="465"/>
      <c r="Y4230" s="465"/>
      <c r="Z4230" s="462"/>
      <c r="AA4230" s="462"/>
      <c r="AB4230" s="465"/>
      <c r="AC4230" s="3568"/>
      <c r="AD4230" s="462"/>
      <c r="AE4230" s="2939"/>
      <c r="AF4230" s="663"/>
      <c r="AG4230" s="663"/>
      <c r="AH4230" s="156"/>
      <c r="AI4230" s="156"/>
      <c r="AJ4230" s="156"/>
      <c r="AK4230" s="156"/>
      <c r="AL4230" s="156"/>
      <c r="AM4230" s="156"/>
      <c r="AN4230" s="156"/>
      <c r="AO4230" s="156"/>
      <c r="AP4230" s="156"/>
      <c r="AQ4230" s="156"/>
      <c r="AR4230" s="156"/>
      <c r="AS4230" s="156"/>
      <c r="AT4230" s="156"/>
      <c r="AU4230" s="156"/>
      <c r="AV4230" s="156"/>
      <c r="AW4230" s="156"/>
      <c r="AX4230" s="156"/>
      <c r="AY4230" s="156"/>
      <c r="AZ4230" s="156"/>
      <c r="BA4230" s="156"/>
      <c r="BB4230" s="2828"/>
      <c r="BC4230" s="452"/>
      <c r="BD4230" s="2829"/>
      <c r="BE4230" s="2837"/>
      <c r="BF4230" s="156"/>
    </row>
    <row r="4231" spans="1:58" ht="14.5" customHeight="1" outlineLevel="1" x14ac:dyDescent="0.35">
      <c r="A4231" s="1664"/>
      <c r="B4231" s="2812"/>
      <c r="C4231" s="3077"/>
      <c r="D4231" s="3980"/>
      <c r="E4231" s="3883"/>
      <c r="F4231" s="3984" t="str">
        <f t="shared" si="455"/>
        <v>ASHP-SEER21-Replace_CAC_ElectricHeat_ER2_SF</v>
      </c>
      <c r="G4231" s="3984"/>
      <c r="H4231" s="3984"/>
      <c r="I4231" s="3984"/>
      <c r="J4231" s="3508" t="str">
        <f t="shared" si="456"/>
        <v>353550_2021_12_</v>
      </c>
      <c r="K4231" s="462"/>
      <c r="L4231" s="93" t="str">
        <f>IF(K4231&gt;0,VLOOKUP(J4231,$J$1940:$L$2132,3,FALSE),"")</f>
        <v/>
      </c>
      <c r="M4231" s="3031" t="str">
        <f>IF(K4231&gt;0,VLOOKUP(J4231,$J$3484:$K$3676,2,FALSE),"")</f>
        <v/>
      </c>
      <c r="N4231" s="963"/>
      <c r="O4231" s="106"/>
      <c r="P4231" s="702"/>
      <c r="Q4231" s="574"/>
      <c r="R4231" s="702"/>
      <c r="S4231" s="106"/>
      <c r="T4231" s="486"/>
      <c r="U4231" s="106"/>
      <c r="V4231" s="4129"/>
      <c r="W4231" s="2440"/>
      <c r="X4231" s="465"/>
      <c r="Y4231" s="465"/>
      <c r="Z4231" s="462"/>
      <c r="AA4231" s="462"/>
      <c r="AB4231" s="465"/>
      <c r="AC4231" s="3568"/>
      <c r="AD4231" s="462"/>
      <c r="AE4231" s="2939"/>
      <c r="AF4231" s="663"/>
      <c r="AG4231" s="663"/>
      <c r="AH4231" s="156"/>
      <c r="AI4231" s="156"/>
      <c r="AJ4231" s="156"/>
      <c r="AK4231" s="156"/>
      <c r="AL4231" s="156"/>
      <c r="AM4231" s="156"/>
      <c r="AN4231" s="156"/>
      <c r="AO4231" s="156"/>
      <c r="AP4231" s="156"/>
      <c r="AQ4231" s="156"/>
      <c r="AR4231" s="156"/>
      <c r="AS4231" s="156"/>
      <c r="AT4231" s="156"/>
      <c r="AU4231" s="156"/>
      <c r="AV4231" s="156"/>
      <c r="AW4231" s="156"/>
      <c r="AX4231" s="156"/>
      <c r="AY4231" s="156"/>
      <c r="AZ4231" s="156"/>
      <c r="BA4231" s="156"/>
      <c r="BB4231" s="2828"/>
      <c r="BC4231" s="452"/>
      <c r="BD4231" s="2829"/>
      <c r="BE4231" s="2837"/>
      <c r="BF4231" s="156"/>
    </row>
    <row r="4232" spans="1:58" ht="14.5" customHeight="1" outlineLevel="1" x14ac:dyDescent="0.35">
      <c r="A4232" s="1664"/>
      <c r="B4232" s="2812"/>
      <c r="C4232" s="3077"/>
      <c r="D4232" s="3980"/>
      <c r="E4232" s="3883"/>
      <c r="F4232" s="3984" t="str">
        <f t="shared" si="455"/>
        <v>ASHP-SEER21-Replace_CAC_NonElectricHeat_ER1_SF</v>
      </c>
      <c r="G4232" s="3984"/>
      <c r="H4232" s="3984"/>
      <c r="I4232" s="3984"/>
      <c r="J4232" s="3508" t="str">
        <f t="shared" si="456"/>
        <v>353560_2021_12_</v>
      </c>
      <c r="K4232" s="465">
        <f>(($R$1960*L4232)+$R$1950)-(($Q$1960*L4232)/((1+$R$1962)^($R$1963-1)))</f>
        <v>2490.8675578660959</v>
      </c>
      <c r="L4232" s="96">
        <f>VLOOKUP(J4232,$J$1940:$L$2132,3,FALSE)*M4232</f>
        <v>3.3520972177188546</v>
      </c>
      <c r="M4232" s="3031">
        <f>VLOOKUP(J4232,$J$3484:$K$3676,2,FALSE)</f>
        <v>1</v>
      </c>
      <c r="N4232" s="963"/>
      <c r="O4232" s="106"/>
      <c r="P4232" s="702"/>
      <c r="Q4232" s="574"/>
      <c r="R4232" s="702"/>
      <c r="S4232" s="106"/>
      <c r="T4232" s="486"/>
      <c r="U4232" s="106"/>
      <c r="V4232" s="4129"/>
      <c r="W4232" s="2440"/>
      <c r="X4232" s="465"/>
      <c r="Y4232" s="465"/>
      <c r="Z4232" s="462"/>
      <c r="AA4232" s="462"/>
      <c r="AB4232" s="465"/>
      <c r="AC4232" s="3569">
        <v>2547.9287573669544</v>
      </c>
      <c r="AD4232" s="465">
        <v>2490.8675578660959</v>
      </c>
      <c r="AE4232" s="2939"/>
      <c r="AF4232" s="663"/>
      <c r="AG4232" s="663"/>
      <c r="AH4232" s="156"/>
      <c r="AI4232" s="156"/>
      <c r="AJ4232" s="156"/>
      <c r="AK4232" s="156"/>
      <c r="AL4232" s="156"/>
      <c r="AM4232" s="156"/>
      <c r="AN4232" s="156"/>
      <c r="AO4232" s="156"/>
      <c r="AP4232" s="156"/>
      <c r="AQ4232" s="156"/>
      <c r="AR4232" s="156"/>
      <c r="AS4232" s="156"/>
      <c r="AT4232" s="156"/>
      <c r="AU4232" s="156"/>
      <c r="AV4232" s="156"/>
      <c r="AW4232" s="156"/>
      <c r="AX4232" s="156"/>
      <c r="AY4232" s="156"/>
      <c r="AZ4232" s="156"/>
      <c r="BA4232" s="156"/>
      <c r="BB4232" s="2828"/>
      <c r="BC4232" s="452"/>
      <c r="BD4232" s="2829"/>
      <c r="BE4232" s="2837"/>
      <c r="BF4232" s="156"/>
    </row>
    <row r="4233" spans="1:58" ht="14.5" customHeight="1" outlineLevel="1" x14ac:dyDescent="0.35">
      <c r="A4233" s="1664"/>
      <c r="B4233" s="2812"/>
      <c r="C4233" s="3077"/>
      <c r="D4233" s="3980"/>
      <c r="E4233" s="3883"/>
      <c r="F4233" s="3984" t="str">
        <f t="shared" si="455"/>
        <v>ASHP-SEER21-Replace_CAC_NonElectricHeat_ER1_SF</v>
      </c>
      <c r="G4233" s="3984"/>
      <c r="H4233" s="3984"/>
      <c r="I4233" s="3984"/>
      <c r="J4233" s="3508" t="str">
        <f t="shared" si="456"/>
        <v>353560_2021_12_</v>
      </c>
      <c r="K4233" s="462"/>
      <c r="L4233" s="93"/>
      <c r="M4233" s="3031"/>
      <c r="N4233" s="963"/>
      <c r="O4233" s="106"/>
      <c r="P4233" s="702"/>
      <c r="Q4233" s="574"/>
      <c r="R4233" s="702"/>
      <c r="S4233" s="106"/>
      <c r="T4233" s="486"/>
      <c r="U4233" s="106"/>
      <c r="V4233" s="4129"/>
      <c r="W4233" s="2440"/>
      <c r="X4233" s="465"/>
      <c r="Y4233" s="465"/>
      <c r="Z4233" s="462"/>
      <c r="AA4233" s="462"/>
      <c r="AB4233" s="465"/>
      <c r="AC4233" s="3568"/>
      <c r="AD4233" s="462"/>
      <c r="AE4233" s="2939"/>
      <c r="AF4233" s="663"/>
      <c r="AG4233" s="663"/>
      <c r="AH4233" s="156"/>
      <c r="AI4233" s="156"/>
      <c r="AJ4233" s="156"/>
      <c r="AK4233" s="156"/>
      <c r="AL4233" s="156"/>
      <c r="AM4233" s="156"/>
      <c r="AN4233" s="156"/>
      <c r="AO4233" s="156"/>
      <c r="AP4233" s="156"/>
      <c r="AQ4233" s="156"/>
      <c r="AR4233" s="156"/>
      <c r="AS4233" s="156"/>
      <c r="AT4233" s="156"/>
      <c r="AU4233" s="156"/>
      <c r="AV4233" s="156"/>
      <c r="AW4233" s="156"/>
      <c r="AX4233" s="156"/>
      <c r="AY4233" s="156"/>
      <c r="AZ4233" s="156"/>
      <c r="BA4233" s="156"/>
      <c r="BB4233" s="2828"/>
      <c r="BC4233" s="452"/>
      <c r="BD4233" s="2829"/>
      <c r="BE4233" s="2837"/>
      <c r="BF4233" s="156"/>
    </row>
    <row r="4234" spans="1:58" ht="14.5" customHeight="1" outlineLevel="1" x14ac:dyDescent="0.35">
      <c r="A4234" s="1664"/>
      <c r="B4234" s="2812"/>
      <c r="C4234" s="3077"/>
      <c r="D4234" s="3980"/>
      <c r="E4234" s="3883"/>
      <c r="F4234" s="3984" t="str">
        <f t="shared" si="455"/>
        <v>ASHP-SEER21-Replace_CAC_NonElectricHeat_ER2_SF</v>
      </c>
      <c r="G4234" s="3984"/>
      <c r="H4234" s="3984"/>
      <c r="I4234" s="3984"/>
      <c r="J4234" s="3508" t="str">
        <f t="shared" si="456"/>
        <v>353560_2021_12_</v>
      </c>
      <c r="K4234" s="462"/>
      <c r="L4234" s="93"/>
      <c r="M4234" s="3031"/>
      <c r="N4234" s="963"/>
      <c r="O4234" s="106"/>
      <c r="P4234" s="702"/>
      <c r="Q4234" s="574"/>
      <c r="R4234" s="702"/>
      <c r="S4234" s="106"/>
      <c r="T4234" s="486"/>
      <c r="U4234" s="106"/>
      <c r="V4234" s="4129"/>
      <c r="W4234" s="2440"/>
      <c r="X4234" s="465"/>
      <c r="Y4234" s="465"/>
      <c r="Z4234" s="462"/>
      <c r="AA4234" s="462"/>
      <c r="AB4234" s="465"/>
      <c r="AC4234" s="3568"/>
      <c r="AD4234" s="462"/>
      <c r="AE4234" s="2939"/>
      <c r="AF4234" s="663"/>
      <c r="AG4234" s="663"/>
      <c r="AH4234" s="156"/>
      <c r="AI4234" s="156"/>
      <c r="AJ4234" s="156"/>
      <c r="AK4234" s="156"/>
      <c r="AL4234" s="156"/>
      <c r="AM4234" s="156"/>
      <c r="AN4234" s="156"/>
      <c r="AO4234" s="156"/>
      <c r="AP4234" s="156"/>
      <c r="AQ4234" s="156"/>
      <c r="AR4234" s="156"/>
      <c r="AS4234" s="156"/>
      <c r="AT4234" s="156"/>
      <c r="AU4234" s="156"/>
      <c r="AV4234" s="156"/>
      <c r="AW4234" s="156"/>
      <c r="AX4234" s="156"/>
      <c r="AY4234" s="156"/>
      <c r="AZ4234" s="156"/>
      <c r="BA4234" s="156"/>
      <c r="BB4234" s="2828"/>
      <c r="BC4234" s="452"/>
      <c r="BD4234" s="2829"/>
      <c r="BE4234" s="2837"/>
      <c r="BF4234" s="156"/>
    </row>
    <row r="4235" spans="1:58" ht="14.5" customHeight="1" outlineLevel="1" x14ac:dyDescent="0.35">
      <c r="A4235" s="1664"/>
      <c r="B4235" s="2812"/>
      <c r="C4235" s="3077"/>
      <c r="D4235" s="3980"/>
      <c r="E4235" s="3883"/>
      <c r="F4235" s="3984" t="str">
        <f t="shared" si="455"/>
        <v>ASHP-SEER21-Replace_CAC_NonElectricHeat_ER2_SF</v>
      </c>
      <c r="G4235" s="3984"/>
      <c r="H4235" s="3984"/>
      <c r="I4235" s="3984"/>
      <c r="J4235" s="3508" t="str">
        <f t="shared" si="456"/>
        <v>353560_2021_12_</v>
      </c>
      <c r="K4235" s="462"/>
      <c r="L4235" s="93"/>
      <c r="M4235" s="3031"/>
      <c r="N4235" s="963"/>
      <c r="O4235" s="106"/>
      <c r="P4235" s="702"/>
      <c r="Q4235" s="574"/>
      <c r="R4235" s="702"/>
      <c r="S4235" s="106"/>
      <c r="T4235" s="486"/>
      <c r="U4235" s="106"/>
      <c r="V4235" s="4129"/>
      <c r="W4235" s="2440"/>
      <c r="X4235" s="465"/>
      <c r="Y4235" s="465"/>
      <c r="Z4235" s="462"/>
      <c r="AA4235" s="462"/>
      <c r="AB4235" s="465"/>
      <c r="AC4235" s="3568"/>
      <c r="AD4235" s="462"/>
      <c r="AE4235" s="2939"/>
      <c r="AF4235" s="663"/>
      <c r="AG4235" s="663"/>
      <c r="AH4235" s="156"/>
      <c r="AI4235" s="156"/>
      <c r="AJ4235" s="156"/>
      <c r="AK4235" s="156"/>
      <c r="AL4235" s="156"/>
      <c r="AM4235" s="156"/>
      <c r="AN4235" s="156"/>
      <c r="AO4235" s="156"/>
      <c r="AP4235" s="156"/>
      <c r="AQ4235" s="156"/>
      <c r="AR4235" s="156"/>
      <c r="AS4235" s="156"/>
      <c r="AT4235" s="156"/>
      <c r="AU4235" s="156"/>
      <c r="AV4235" s="156"/>
      <c r="AW4235" s="156"/>
      <c r="AX4235" s="156"/>
      <c r="AY4235" s="156"/>
      <c r="AZ4235" s="156"/>
      <c r="BA4235" s="156"/>
      <c r="BB4235" s="2828"/>
      <c r="BC4235" s="452"/>
      <c r="BD4235" s="2829"/>
      <c r="BE4235" s="2837"/>
      <c r="BF4235" s="156"/>
    </row>
    <row r="4236" spans="1:58" ht="14.5" customHeight="1" outlineLevel="1" x14ac:dyDescent="0.35">
      <c r="A4236" s="1664"/>
      <c r="B4236" s="2812"/>
      <c r="C4236" s="3077"/>
      <c r="D4236" s="3980"/>
      <c r="E4236" s="3883"/>
      <c r="F4236" s="3984" t="str">
        <f t="shared" si="455"/>
        <v>ASHP-SEER21-Replace_CAC_ElectricHeat_ER1_MF</v>
      </c>
      <c r="G4236" s="3984"/>
      <c r="H4236" s="3984"/>
      <c r="I4236" s="3984"/>
      <c r="J4236" s="3508" t="str">
        <f t="shared" si="456"/>
        <v>353600_2019_12_</v>
      </c>
      <c r="K4236" s="462">
        <f>(($R$1960*L4236)+$R$1950)-(($Q$1960*L4236)/((1+$R$1962)^($R$1963-1)))</f>
        <v>2171.3844012161662</v>
      </c>
      <c r="L4236" s="93">
        <f>VLOOKUP(J4236,$J$1940:$L$2132,3,FALSE)*M4236</f>
        <v>2.0150000000000001</v>
      </c>
      <c r="M4236" s="3031">
        <f>VLOOKUP(J4236,$J$3484:$K$3676,2,FALSE)</f>
        <v>0.65</v>
      </c>
      <c r="N4236" s="963"/>
      <c r="O4236" s="106"/>
      <c r="P4236" s="702"/>
      <c r="Q4236" s="574"/>
      <c r="R4236" s="702"/>
      <c r="S4236" s="106"/>
      <c r="T4236" s="486"/>
      <c r="U4236" s="106"/>
      <c r="V4236" s="4129"/>
      <c r="W4236" s="2440">
        <v>5275.2377829603429</v>
      </c>
      <c r="X4236" s="465">
        <f>$Q$1950*(X$2026/12000)*X$3570</f>
        <v>4849.5774726484988</v>
      </c>
      <c r="Y4236" s="465">
        <v>1727.2545915436422</v>
      </c>
      <c r="Z4236" s="462">
        <v>1727.2545915436422</v>
      </c>
      <c r="AA4236" s="462">
        <v>1727.2545915436422</v>
      </c>
      <c r="AB4236" s="465">
        <v>2171.3844012161662</v>
      </c>
      <c r="AC4236" s="3568">
        <v>2171.3844012161662</v>
      </c>
      <c r="AD4236" s="462">
        <v>2171.3844012161662</v>
      </c>
      <c r="AE4236" s="2939"/>
      <c r="AF4236" s="663"/>
      <c r="AG4236" s="663"/>
      <c r="AH4236" s="156"/>
      <c r="AI4236" s="156"/>
      <c r="AJ4236" s="156"/>
      <c r="AK4236" s="156"/>
      <c r="AL4236" s="156"/>
      <c r="AM4236" s="156"/>
      <c r="AN4236" s="156"/>
      <c r="AO4236" s="156"/>
      <c r="AP4236" s="156"/>
      <c r="AQ4236" s="156"/>
      <c r="AR4236" s="156"/>
      <c r="AS4236" s="156"/>
      <c r="AT4236" s="156"/>
      <c r="AU4236" s="156"/>
      <c r="AV4236" s="156"/>
      <c r="AW4236" s="156"/>
      <c r="AX4236" s="156"/>
      <c r="AY4236" s="156"/>
      <c r="AZ4236" s="156"/>
      <c r="BA4236" s="156"/>
      <c r="BB4236" s="2828"/>
      <c r="BC4236" s="452"/>
      <c r="BD4236" s="2829"/>
      <c r="BE4236" s="2837"/>
      <c r="BF4236" s="156"/>
    </row>
    <row r="4237" spans="1:58" ht="14.5" customHeight="1" outlineLevel="1" x14ac:dyDescent="0.35">
      <c r="A4237" s="1664"/>
      <c r="B4237" s="2812"/>
      <c r="C4237" s="3077"/>
      <c r="D4237" s="3980"/>
      <c r="E4237" s="3883"/>
      <c r="F4237" s="3984" t="str">
        <f t="shared" si="455"/>
        <v>ASHP-SEER21-Replace_CAC_ElectricHeat_ER1_MF</v>
      </c>
      <c r="G4237" s="3984"/>
      <c r="H4237" s="3984"/>
      <c r="I4237" s="3984"/>
      <c r="J4237" s="3508" t="str">
        <f t="shared" si="456"/>
        <v>353600_2019_12_</v>
      </c>
      <c r="K4237" s="462"/>
      <c r="L4237" s="93" t="str">
        <f>IF(K4237&gt;0,VLOOKUP(J4237,$J$1940:$L$2132,3,FALSE),"")</f>
        <v/>
      </c>
      <c r="M4237" s="3031" t="str">
        <f>IF(K4237&gt;0,VLOOKUP(J4237,$J$3484:$K$3676,2,FALSE),"")</f>
        <v/>
      </c>
      <c r="N4237" s="963"/>
      <c r="O4237" s="106"/>
      <c r="P4237" s="702"/>
      <c r="Q4237" s="574"/>
      <c r="R4237" s="702"/>
      <c r="S4237" s="106"/>
      <c r="T4237" s="486"/>
      <c r="U4237" s="106"/>
      <c r="V4237" s="4129"/>
      <c r="W4237" s="2440"/>
      <c r="X4237" s="465"/>
      <c r="Y4237" s="465"/>
      <c r="Z4237" s="462"/>
      <c r="AA4237" s="462"/>
      <c r="AB4237" s="465"/>
      <c r="AC4237" s="3568"/>
      <c r="AD4237" s="462"/>
      <c r="AE4237" s="2939"/>
      <c r="AF4237" s="663"/>
      <c r="AG4237" s="663"/>
      <c r="AH4237" s="156"/>
      <c r="AI4237" s="156"/>
      <c r="AJ4237" s="156"/>
      <c r="AK4237" s="156"/>
      <c r="AL4237" s="156"/>
      <c r="AM4237" s="156"/>
      <c r="AN4237" s="156"/>
      <c r="AO4237" s="156"/>
      <c r="AP4237" s="156"/>
      <c r="AQ4237" s="156"/>
      <c r="AR4237" s="156"/>
      <c r="AS4237" s="156"/>
      <c r="AT4237" s="156"/>
      <c r="AU4237" s="156"/>
      <c r="AV4237" s="156"/>
      <c r="AW4237" s="156"/>
      <c r="AX4237" s="156"/>
      <c r="AY4237" s="156"/>
      <c r="AZ4237" s="156"/>
      <c r="BA4237" s="156"/>
      <c r="BB4237" s="2828"/>
      <c r="BC4237" s="452"/>
      <c r="BD4237" s="2829"/>
      <c r="BE4237" s="2837"/>
      <c r="BF4237" s="156"/>
    </row>
    <row r="4238" spans="1:58" ht="14.5" customHeight="1" outlineLevel="1" x14ac:dyDescent="0.35">
      <c r="A4238" s="1664"/>
      <c r="B4238" s="2812"/>
      <c r="C4238" s="3077"/>
      <c r="D4238" s="3980"/>
      <c r="E4238" s="3883"/>
      <c r="F4238" s="3984" t="str">
        <f t="shared" si="455"/>
        <v>ASHP-SEER21-Replace_CAC_ElectricHeat_ER2_MF</v>
      </c>
      <c r="G4238" s="3984"/>
      <c r="H4238" s="3984"/>
      <c r="I4238" s="3984"/>
      <c r="J4238" s="3508" t="str">
        <f t="shared" si="456"/>
        <v>353600_2019_12_</v>
      </c>
      <c r="K4238" s="462"/>
      <c r="L4238" s="93" t="str">
        <f>IF(K4238&gt;0,VLOOKUP(J4238,$J$1940:$L$2132,3,FALSE),"")</f>
        <v/>
      </c>
      <c r="M4238" s="3031" t="str">
        <f>IF(K4238&gt;0,VLOOKUP(J4238,$J$3484:$K$3676,2,FALSE),"")</f>
        <v/>
      </c>
      <c r="N4238" s="963"/>
      <c r="O4238" s="106"/>
      <c r="P4238" s="702"/>
      <c r="Q4238" s="574"/>
      <c r="R4238" s="702"/>
      <c r="S4238" s="106"/>
      <c r="T4238" s="486"/>
      <c r="U4238" s="106"/>
      <c r="V4238" s="4129"/>
      <c r="W4238" s="2440"/>
      <c r="X4238" s="465"/>
      <c r="Y4238" s="465"/>
      <c r="Z4238" s="462"/>
      <c r="AA4238" s="462"/>
      <c r="AB4238" s="465"/>
      <c r="AC4238" s="3568"/>
      <c r="AD4238" s="462"/>
      <c r="AE4238" s="2939"/>
      <c r="AF4238" s="663"/>
      <c r="AG4238" s="663"/>
      <c r="AH4238" s="156"/>
      <c r="AI4238" s="156"/>
      <c r="AJ4238" s="156"/>
      <c r="AK4238" s="156"/>
      <c r="AL4238" s="156"/>
      <c r="AM4238" s="156"/>
      <c r="AN4238" s="156"/>
      <c r="AO4238" s="156"/>
      <c r="AP4238" s="156"/>
      <c r="AQ4238" s="156"/>
      <c r="AR4238" s="156"/>
      <c r="AS4238" s="156"/>
      <c r="AT4238" s="156"/>
      <c r="AU4238" s="156"/>
      <c r="AV4238" s="156"/>
      <c r="AW4238" s="156"/>
      <c r="AX4238" s="156"/>
      <c r="AY4238" s="156"/>
      <c r="AZ4238" s="156"/>
      <c r="BA4238" s="156"/>
      <c r="BB4238" s="2828"/>
      <c r="BC4238" s="452"/>
      <c r="BD4238" s="2829"/>
      <c r="BE4238" s="2837"/>
      <c r="BF4238" s="156"/>
    </row>
    <row r="4239" spans="1:58" ht="14.5" customHeight="1" outlineLevel="1" x14ac:dyDescent="0.35">
      <c r="A4239" s="1664"/>
      <c r="B4239" s="2812"/>
      <c r="C4239" s="3077"/>
      <c r="D4239" s="3980"/>
      <c r="E4239" s="3883"/>
      <c r="F4239" s="3984" t="str">
        <f t="shared" si="455"/>
        <v>ASHP-SEER21-Replace_CAC_ElectricHeat_ER2_MF</v>
      </c>
      <c r="G4239" s="3984"/>
      <c r="H4239" s="3984"/>
      <c r="I4239" s="3984"/>
      <c r="J4239" s="3508" t="str">
        <f t="shared" si="456"/>
        <v>353600_2019_12_</v>
      </c>
      <c r="K4239" s="462"/>
      <c r="L4239" s="93" t="str">
        <f>IF(K4239&gt;0,VLOOKUP(J4239,$J$1940:$L$2132,3,FALSE),"")</f>
        <v/>
      </c>
      <c r="M4239" s="3031" t="str">
        <f>IF(K4239&gt;0,VLOOKUP(J4239,$J$3484:$K$3676,2,FALSE),"")</f>
        <v/>
      </c>
      <c r="N4239" s="963"/>
      <c r="O4239" s="106"/>
      <c r="P4239" s="702"/>
      <c r="Q4239" s="574"/>
      <c r="R4239" s="702"/>
      <c r="S4239" s="106"/>
      <c r="T4239" s="486"/>
      <c r="U4239" s="106"/>
      <c r="V4239" s="4129"/>
      <c r="W4239" s="2440"/>
      <c r="X4239" s="465"/>
      <c r="Y4239" s="465"/>
      <c r="Z4239" s="462"/>
      <c r="AA4239" s="462"/>
      <c r="AB4239" s="465"/>
      <c r="AC4239" s="3568"/>
      <c r="AD4239" s="462"/>
      <c r="AE4239" s="2939"/>
      <c r="AF4239" s="663"/>
      <c r="AG4239" s="663"/>
      <c r="AH4239" s="156"/>
      <c r="AI4239" s="156"/>
      <c r="AJ4239" s="156"/>
      <c r="AK4239" s="156"/>
      <c r="AL4239" s="156"/>
      <c r="AM4239" s="156"/>
      <c r="AN4239" s="156"/>
      <c r="AO4239" s="156"/>
      <c r="AP4239" s="156"/>
      <c r="AQ4239" s="156"/>
      <c r="AR4239" s="156"/>
      <c r="AS4239" s="156"/>
      <c r="AT4239" s="156"/>
      <c r="AU4239" s="156"/>
      <c r="AV4239" s="156"/>
      <c r="AW4239" s="156"/>
      <c r="AX4239" s="156"/>
      <c r="AY4239" s="156"/>
      <c r="AZ4239" s="156"/>
      <c r="BA4239" s="156"/>
      <c r="BB4239" s="2828"/>
      <c r="BC4239" s="452"/>
      <c r="BD4239" s="2829"/>
      <c r="BE4239" s="2837"/>
      <c r="BF4239" s="156"/>
    </row>
    <row r="4240" spans="1:58" ht="14.5" customHeight="1" outlineLevel="1" x14ac:dyDescent="0.35">
      <c r="A4240" s="1664"/>
      <c r="B4240" s="2812"/>
      <c r="C4240" s="3077"/>
      <c r="D4240" s="3980"/>
      <c r="E4240" s="3883"/>
      <c r="F4240" s="3984" t="str">
        <f t="shared" si="455"/>
        <v>ASHP-SEER21-Replace_CAC_ElectricHeat_ER1_MF_CompE</v>
      </c>
      <c r="G4240" s="3984"/>
      <c r="H4240" s="3984"/>
      <c r="I4240" s="3984"/>
      <c r="J4240" s="3508" t="str">
        <f t="shared" si="456"/>
        <v>353601_2019_12_</v>
      </c>
      <c r="K4240" s="462">
        <f>(($R$1960*L4240)+$R$1950)-(($Q$1960*L4240)/((1+$R$1962)^($R$1963-1)))</f>
        <v>2171.3844012161662</v>
      </c>
      <c r="L4240" s="93">
        <f>VLOOKUP(J4240,$J$1940:$L$2132,3,FALSE)*M4240</f>
        <v>2.0150000000000001</v>
      </c>
      <c r="M4240" s="3031">
        <f>VLOOKUP(J4240,$J$3484:$K$3676,2,FALSE)</f>
        <v>0.65</v>
      </c>
      <c r="N4240" s="963"/>
      <c r="O4240" s="106"/>
      <c r="P4240" s="702"/>
      <c r="Q4240" s="574"/>
      <c r="R4240" s="702"/>
      <c r="S4240" s="106"/>
      <c r="T4240" s="486"/>
      <c r="U4240" s="106"/>
      <c r="V4240" s="4129"/>
      <c r="W4240" s="2440"/>
      <c r="X4240" s="465"/>
      <c r="Y4240" s="465"/>
      <c r="Z4240" s="462"/>
      <c r="AA4240" s="462"/>
      <c r="AB4240" s="465"/>
      <c r="AC4240" s="3569">
        <v>2171.3844012161662</v>
      </c>
      <c r="AD4240" s="462">
        <v>2171.3844012161662</v>
      </c>
      <c r="AE4240" s="2939"/>
      <c r="AF4240" s="663"/>
      <c r="AG4240" s="663"/>
      <c r="AH4240" s="156"/>
      <c r="AI4240" s="156"/>
      <c r="AJ4240" s="156"/>
      <c r="AK4240" s="156"/>
      <c r="AL4240" s="156"/>
      <c r="AM4240" s="156"/>
      <c r="AN4240" s="156"/>
      <c r="AO4240" s="156"/>
      <c r="AP4240" s="156"/>
      <c r="AQ4240" s="156"/>
      <c r="AR4240" s="156"/>
      <c r="AS4240" s="156"/>
      <c r="AT4240" s="156"/>
      <c r="AU4240" s="156"/>
      <c r="AV4240" s="156"/>
      <c r="AW4240" s="156"/>
      <c r="AX4240" s="156"/>
      <c r="AY4240" s="156"/>
      <c r="AZ4240" s="156"/>
      <c r="BA4240" s="156"/>
      <c r="BB4240" s="2828"/>
      <c r="BC4240" s="452"/>
      <c r="BD4240" s="2829"/>
      <c r="BE4240" s="2837"/>
      <c r="BF4240" s="156"/>
    </row>
    <row r="4241" spans="1:58" ht="14.5" customHeight="1" outlineLevel="1" x14ac:dyDescent="0.35">
      <c r="A4241" s="1664"/>
      <c r="B4241" s="2812"/>
      <c r="C4241" s="3077"/>
      <c r="D4241" s="3980"/>
      <c r="E4241" s="3883"/>
      <c r="F4241" s="3984" t="str">
        <f t="shared" si="455"/>
        <v>ASHP-SEER21-Replace_CAC_ElectricHeat_ER1_MF_CompE</v>
      </c>
      <c r="G4241" s="3984"/>
      <c r="H4241" s="3984"/>
      <c r="I4241" s="3984"/>
      <c r="J4241" s="3508" t="str">
        <f t="shared" si="456"/>
        <v>353601_2019_12_</v>
      </c>
      <c r="K4241" s="462"/>
      <c r="L4241" s="93"/>
      <c r="M4241" s="3031"/>
      <c r="N4241" s="963"/>
      <c r="O4241" s="106"/>
      <c r="P4241" s="702"/>
      <c r="Q4241" s="574"/>
      <c r="R4241" s="702"/>
      <c r="S4241" s="106"/>
      <c r="T4241" s="486"/>
      <c r="U4241" s="106"/>
      <c r="V4241" s="4129"/>
      <c r="W4241" s="2440"/>
      <c r="X4241" s="465"/>
      <c r="Y4241" s="465"/>
      <c r="Z4241" s="462"/>
      <c r="AA4241" s="462"/>
      <c r="AB4241" s="465"/>
      <c r="AC4241" s="3568"/>
      <c r="AD4241" s="462"/>
      <c r="AE4241" s="2939"/>
      <c r="AF4241" s="663"/>
      <c r="AG4241" s="663"/>
      <c r="AH4241" s="156"/>
      <c r="AI4241" s="156"/>
      <c r="AJ4241" s="156"/>
      <c r="AK4241" s="156"/>
      <c r="AL4241" s="156"/>
      <c r="AM4241" s="156"/>
      <c r="AN4241" s="156"/>
      <c r="AO4241" s="156"/>
      <c r="AP4241" s="156"/>
      <c r="AQ4241" s="156"/>
      <c r="AR4241" s="156"/>
      <c r="AS4241" s="156"/>
      <c r="AT4241" s="156"/>
      <c r="AU4241" s="156"/>
      <c r="AV4241" s="156"/>
      <c r="AW4241" s="156"/>
      <c r="AX4241" s="156"/>
      <c r="AY4241" s="156"/>
      <c r="AZ4241" s="156"/>
      <c r="BA4241" s="156"/>
      <c r="BB4241" s="2828"/>
      <c r="BC4241" s="452"/>
      <c r="BD4241" s="2829"/>
      <c r="BE4241" s="2837"/>
      <c r="BF4241" s="156"/>
    </row>
    <row r="4242" spans="1:58" ht="14.5" customHeight="1" outlineLevel="1" x14ac:dyDescent="0.35">
      <c r="A4242" s="1664"/>
      <c r="B4242" s="2812"/>
      <c r="C4242" s="3077"/>
      <c r="D4242" s="3980"/>
      <c r="E4242" s="3883"/>
      <c r="F4242" s="3984" t="str">
        <f t="shared" si="455"/>
        <v>ASHP-SEER21-Replace_CAC_ElectricHeat_ER2_MF_CompE</v>
      </c>
      <c r="G4242" s="3984"/>
      <c r="H4242" s="3984"/>
      <c r="I4242" s="3984"/>
      <c r="J4242" s="3508" t="str">
        <f t="shared" si="456"/>
        <v>353601_2019_12_</v>
      </c>
      <c r="K4242" s="462"/>
      <c r="L4242" s="93"/>
      <c r="M4242" s="3031"/>
      <c r="N4242" s="963"/>
      <c r="O4242" s="106"/>
      <c r="P4242" s="702"/>
      <c r="Q4242" s="574"/>
      <c r="R4242" s="702"/>
      <c r="S4242" s="106"/>
      <c r="T4242" s="486"/>
      <c r="U4242" s="106"/>
      <c r="V4242" s="4129"/>
      <c r="W4242" s="2440"/>
      <c r="X4242" s="465"/>
      <c r="Y4242" s="465"/>
      <c r="Z4242" s="462"/>
      <c r="AA4242" s="462"/>
      <c r="AB4242" s="465"/>
      <c r="AC4242" s="3568"/>
      <c r="AD4242" s="462"/>
      <c r="AE4242" s="2939"/>
      <c r="AF4242" s="663"/>
      <c r="AG4242" s="663"/>
      <c r="AH4242" s="156"/>
      <c r="AI4242" s="156"/>
      <c r="AJ4242" s="156"/>
      <c r="AK4242" s="156"/>
      <c r="AL4242" s="156"/>
      <c r="AM4242" s="156"/>
      <c r="AN4242" s="156"/>
      <c r="AO4242" s="156"/>
      <c r="AP4242" s="156"/>
      <c r="AQ4242" s="156"/>
      <c r="AR4242" s="156"/>
      <c r="AS4242" s="156"/>
      <c r="AT4242" s="156"/>
      <c r="AU4242" s="156"/>
      <c r="AV4242" s="156"/>
      <c r="AW4242" s="156"/>
      <c r="AX4242" s="156"/>
      <c r="AY4242" s="156"/>
      <c r="AZ4242" s="156"/>
      <c r="BA4242" s="156"/>
      <c r="BB4242" s="2828"/>
      <c r="BC4242" s="452"/>
      <c r="BD4242" s="2829"/>
      <c r="BE4242" s="2837"/>
      <c r="BF4242" s="156"/>
    </row>
    <row r="4243" spans="1:58" ht="14.5" customHeight="1" outlineLevel="1" x14ac:dyDescent="0.35">
      <c r="A4243" s="1664"/>
      <c r="B4243" s="2812"/>
      <c r="C4243" s="3077"/>
      <c r="D4243" s="3980"/>
      <c r="E4243" s="3883"/>
      <c r="F4243" s="3984" t="str">
        <f t="shared" si="455"/>
        <v>ASHP-SEER21-Replace_CAC_ElectricHeat_ER2_MF_CompE</v>
      </c>
      <c r="G4243" s="3984"/>
      <c r="H4243" s="3984"/>
      <c r="I4243" s="3984"/>
      <c r="J4243" s="3508" t="str">
        <f t="shared" si="456"/>
        <v>353601_2019_12_</v>
      </c>
      <c r="K4243" s="462"/>
      <c r="L4243" s="93"/>
      <c r="M4243" s="3031"/>
      <c r="N4243" s="963"/>
      <c r="O4243" s="106"/>
      <c r="P4243" s="702"/>
      <c r="Q4243" s="574"/>
      <c r="R4243" s="702"/>
      <c r="S4243" s="106"/>
      <c r="T4243" s="486"/>
      <c r="U4243" s="106"/>
      <c r="V4243" s="4129"/>
      <c r="W4243" s="2440"/>
      <c r="X4243" s="465"/>
      <c r="Y4243" s="465"/>
      <c r="Z4243" s="462"/>
      <c r="AA4243" s="462"/>
      <c r="AB4243" s="465"/>
      <c r="AC4243" s="3568"/>
      <c r="AD4243" s="462"/>
      <c r="AE4243" s="2939"/>
      <c r="AF4243" s="663"/>
      <c r="AG4243" s="663"/>
      <c r="AH4243" s="156"/>
      <c r="AI4243" s="156"/>
      <c r="AJ4243" s="156"/>
      <c r="AK4243" s="156"/>
      <c r="AL4243" s="156"/>
      <c r="AM4243" s="156"/>
      <c r="AN4243" s="156"/>
      <c r="AO4243" s="156"/>
      <c r="AP4243" s="156"/>
      <c r="AQ4243" s="156"/>
      <c r="AR4243" s="156"/>
      <c r="AS4243" s="156"/>
      <c r="AT4243" s="156"/>
      <c r="AU4243" s="156"/>
      <c r="AV4243" s="156"/>
      <c r="AW4243" s="156"/>
      <c r="AX4243" s="156"/>
      <c r="AY4243" s="156"/>
      <c r="AZ4243" s="156"/>
      <c r="BA4243" s="156"/>
      <c r="BB4243" s="2828"/>
      <c r="BC4243" s="452"/>
      <c r="BD4243" s="2829"/>
      <c r="BE4243" s="2837"/>
      <c r="BF4243" s="156"/>
    </row>
    <row r="4244" spans="1:58" ht="14.5" customHeight="1" outlineLevel="1" x14ac:dyDescent="0.35">
      <c r="A4244" s="1664"/>
      <c r="B4244" s="2812"/>
      <c r="C4244" s="3077"/>
      <c r="D4244" s="3980"/>
      <c r="E4244" s="3883"/>
      <c r="F4244" s="3984" t="str">
        <f t="shared" si="455"/>
        <v>ASHP-SEER21-Replace_CAC_NonElectricHeat_ER1_MF</v>
      </c>
      <c r="G4244" s="3984"/>
      <c r="H4244" s="3984"/>
      <c r="I4244" s="3984"/>
      <c r="J4244" s="3508" t="str">
        <f t="shared" si="456"/>
        <v>353610_2021_12_</v>
      </c>
      <c r="K4244" s="462">
        <f>(($R$1960*L4244)+$R$1950)-(($Q$1960*L4244)/((1+$R$1962)^($R$1963-1)))</f>
        <v>2171.3844012161662</v>
      </c>
      <c r="L4244" s="93">
        <f>VLOOKUP(J4244,$J$1940:$L$2132,3,FALSE)*M4244</f>
        <v>2.0150000000000001</v>
      </c>
      <c r="M4244" s="3031">
        <f>VLOOKUP(J4244,$J$3484:$K$3676,2,FALSE)</f>
        <v>0.65</v>
      </c>
      <c r="N4244" s="963"/>
      <c r="O4244" s="106"/>
      <c r="P4244" s="702"/>
      <c r="Q4244" s="574"/>
      <c r="R4244" s="702"/>
      <c r="S4244" s="106"/>
      <c r="T4244" s="486"/>
      <c r="U4244" s="106"/>
      <c r="V4244" s="4129"/>
      <c r="W4244" s="2440"/>
      <c r="X4244" s="465"/>
      <c r="Y4244" s="465"/>
      <c r="Z4244" s="462"/>
      <c r="AA4244" s="462"/>
      <c r="AB4244" s="465"/>
      <c r="AC4244" s="3569">
        <v>2171.3844012161662</v>
      </c>
      <c r="AD4244" s="462">
        <v>2171.3844012161662</v>
      </c>
      <c r="AE4244" s="2939"/>
      <c r="AF4244" s="663"/>
      <c r="AG4244" s="663"/>
      <c r="AH4244" s="156"/>
      <c r="AI4244" s="156"/>
      <c r="AJ4244" s="156"/>
      <c r="AK4244" s="156"/>
      <c r="AL4244" s="156"/>
      <c r="AM4244" s="156"/>
      <c r="AN4244" s="156"/>
      <c r="AO4244" s="156"/>
      <c r="AP4244" s="156"/>
      <c r="AQ4244" s="156"/>
      <c r="AR4244" s="156"/>
      <c r="AS4244" s="156"/>
      <c r="AT4244" s="156"/>
      <c r="AU4244" s="156"/>
      <c r="AV4244" s="156"/>
      <c r="AW4244" s="156"/>
      <c r="AX4244" s="156"/>
      <c r="AY4244" s="156"/>
      <c r="AZ4244" s="156"/>
      <c r="BA4244" s="156"/>
      <c r="BB4244" s="2828"/>
      <c r="BC4244" s="452"/>
      <c r="BD4244" s="2829"/>
      <c r="BE4244" s="2837"/>
      <c r="BF4244" s="156"/>
    </row>
    <row r="4245" spans="1:58" ht="14.5" customHeight="1" outlineLevel="1" x14ac:dyDescent="0.35">
      <c r="A4245" s="1664"/>
      <c r="B4245" s="2812"/>
      <c r="C4245" s="3077"/>
      <c r="D4245" s="3980"/>
      <c r="E4245" s="3883"/>
      <c r="F4245" s="3984" t="str">
        <f t="shared" si="455"/>
        <v>ASHP-SEER21-Replace_CAC_NonElectricHeat_ER1_MF</v>
      </c>
      <c r="G4245" s="3984"/>
      <c r="H4245" s="3984"/>
      <c r="I4245" s="3984"/>
      <c r="J4245" s="3508" t="str">
        <f t="shared" si="456"/>
        <v>353610_2021_12_</v>
      </c>
      <c r="K4245" s="462"/>
      <c r="L4245" s="93"/>
      <c r="M4245" s="3031"/>
      <c r="N4245" s="963"/>
      <c r="O4245" s="106"/>
      <c r="P4245" s="702"/>
      <c r="Q4245" s="574"/>
      <c r="R4245" s="702"/>
      <c r="S4245" s="106"/>
      <c r="T4245" s="486"/>
      <c r="U4245" s="106"/>
      <c r="V4245" s="4129"/>
      <c r="W4245" s="2440"/>
      <c r="X4245" s="465"/>
      <c r="Y4245" s="465"/>
      <c r="Z4245" s="462"/>
      <c r="AA4245" s="462"/>
      <c r="AB4245" s="465"/>
      <c r="AC4245" s="3568"/>
      <c r="AD4245" s="462"/>
      <c r="AE4245" s="2939"/>
      <c r="AF4245" s="663"/>
      <c r="AG4245" s="663"/>
      <c r="AH4245" s="156"/>
      <c r="AI4245" s="156"/>
      <c r="AJ4245" s="156"/>
      <c r="AK4245" s="156"/>
      <c r="AL4245" s="156"/>
      <c r="AM4245" s="156"/>
      <c r="AN4245" s="156"/>
      <c r="AO4245" s="156"/>
      <c r="AP4245" s="156"/>
      <c r="AQ4245" s="156"/>
      <c r="AR4245" s="156"/>
      <c r="AS4245" s="156"/>
      <c r="AT4245" s="156"/>
      <c r="AU4245" s="156"/>
      <c r="AV4245" s="156"/>
      <c r="AW4245" s="156"/>
      <c r="AX4245" s="156"/>
      <c r="AY4245" s="156"/>
      <c r="AZ4245" s="156"/>
      <c r="BA4245" s="156"/>
      <c r="BB4245" s="2828"/>
      <c r="BC4245" s="452"/>
      <c r="BD4245" s="2829"/>
      <c r="BE4245" s="2837"/>
      <c r="BF4245" s="156"/>
    </row>
    <row r="4246" spans="1:58" ht="14.5" customHeight="1" outlineLevel="1" x14ac:dyDescent="0.35">
      <c r="A4246" s="1664"/>
      <c r="B4246" s="2812"/>
      <c r="C4246" s="3077"/>
      <c r="D4246" s="3980"/>
      <c r="E4246" s="3883"/>
      <c r="F4246" s="3984" t="str">
        <f t="shared" si="455"/>
        <v>ASHP-SEER21-Replace_CAC_NonElectricHeat_ER2_MF</v>
      </c>
      <c r="G4246" s="3984"/>
      <c r="H4246" s="3984"/>
      <c r="I4246" s="3984"/>
      <c r="J4246" s="3508" t="str">
        <f t="shared" si="456"/>
        <v>353610_2021_12_</v>
      </c>
      <c r="K4246" s="462"/>
      <c r="L4246" s="93"/>
      <c r="M4246" s="3031"/>
      <c r="N4246" s="963"/>
      <c r="O4246" s="106"/>
      <c r="P4246" s="702"/>
      <c r="Q4246" s="574"/>
      <c r="R4246" s="702"/>
      <c r="S4246" s="106"/>
      <c r="T4246" s="486"/>
      <c r="U4246" s="106"/>
      <c r="V4246" s="4129"/>
      <c r="W4246" s="2440"/>
      <c r="X4246" s="465"/>
      <c r="Y4246" s="465"/>
      <c r="Z4246" s="462"/>
      <c r="AA4246" s="462"/>
      <c r="AB4246" s="465"/>
      <c r="AC4246" s="3568"/>
      <c r="AD4246" s="462"/>
      <c r="AE4246" s="2939"/>
      <c r="AF4246" s="663"/>
      <c r="AG4246" s="663"/>
      <c r="AH4246" s="156"/>
      <c r="AI4246" s="156"/>
      <c r="AJ4246" s="156"/>
      <c r="AK4246" s="156"/>
      <c r="AL4246" s="156"/>
      <c r="AM4246" s="156"/>
      <c r="AN4246" s="156"/>
      <c r="AO4246" s="156"/>
      <c r="AP4246" s="156"/>
      <c r="AQ4246" s="156"/>
      <c r="AR4246" s="156"/>
      <c r="AS4246" s="156"/>
      <c r="AT4246" s="156"/>
      <c r="AU4246" s="156"/>
      <c r="AV4246" s="156"/>
      <c r="AW4246" s="156"/>
      <c r="AX4246" s="156"/>
      <c r="AY4246" s="156"/>
      <c r="AZ4246" s="156"/>
      <c r="BA4246" s="156"/>
      <c r="BB4246" s="2828"/>
      <c r="BC4246" s="452"/>
      <c r="BD4246" s="2829"/>
      <c r="BE4246" s="2837"/>
      <c r="BF4246" s="156"/>
    </row>
    <row r="4247" spans="1:58" ht="14.5" customHeight="1" outlineLevel="1" x14ac:dyDescent="0.35">
      <c r="A4247" s="1664"/>
      <c r="B4247" s="2812"/>
      <c r="C4247" s="3077"/>
      <c r="D4247" s="3980"/>
      <c r="E4247" s="3883"/>
      <c r="F4247" s="3984" t="str">
        <f t="shared" si="455"/>
        <v>ASHP-SEER21-Replace_CAC_NonElectricHeat_ER2_MF</v>
      </c>
      <c r="G4247" s="3984"/>
      <c r="H4247" s="3984"/>
      <c r="I4247" s="3984"/>
      <c r="J4247" s="3508" t="str">
        <f t="shared" si="456"/>
        <v>353610_2021_12_</v>
      </c>
      <c r="K4247" s="462"/>
      <c r="L4247" s="93"/>
      <c r="M4247" s="3031"/>
      <c r="N4247" s="963"/>
      <c r="O4247" s="106"/>
      <c r="P4247" s="702"/>
      <c r="Q4247" s="574"/>
      <c r="R4247" s="702"/>
      <c r="S4247" s="106"/>
      <c r="T4247" s="486"/>
      <c r="U4247" s="106"/>
      <c r="V4247" s="4129"/>
      <c r="W4247" s="2440"/>
      <c r="X4247" s="465"/>
      <c r="Y4247" s="465"/>
      <c r="Z4247" s="462"/>
      <c r="AA4247" s="462"/>
      <c r="AB4247" s="465"/>
      <c r="AC4247" s="3568"/>
      <c r="AD4247" s="462"/>
      <c r="AE4247" s="2939"/>
      <c r="AF4247" s="663"/>
      <c r="AG4247" s="663"/>
      <c r="AH4247" s="156"/>
      <c r="AI4247" s="156"/>
      <c r="AJ4247" s="156"/>
      <c r="AK4247" s="156"/>
      <c r="AL4247" s="156"/>
      <c r="AM4247" s="156"/>
      <c r="AN4247" s="156"/>
      <c r="AO4247" s="156"/>
      <c r="AP4247" s="156"/>
      <c r="AQ4247" s="156"/>
      <c r="AR4247" s="156"/>
      <c r="AS4247" s="156"/>
      <c r="AT4247" s="156"/>
      <c r="AU4247" s="156"/>
      <c r="AV4247" s="156"/>
      <c r="AW4247" s="156"/>
      <c r="AX4247" s="156"/>
      <c r="AY4247" s="156"/>
      <c r="AZ4247" s="156"/>
      <c r="BA4247" s="156"/>
      <c r="BB4247" s="2828"/>
      <c r="BC4247" s="452"/>
      <c r="BD4247" s="2829"/>
      <c r="BE4247" s="2837"/>
      <c r="BF4247" s="156"/>
    </row>
    <row r="4248" spans="1:58" ht="14.5" customHeight="1" outlineLevel="1" x14ac:dyDescent="0.35">
      <c r="A4248" s="1664"/>
      <c r="B4248" s="2812"/>
      <c r="C4248" s="3077"/>
      <c r="D4248" s="3980"/>
      <c r="E4248" s="3883"/>
      <c r="F4248" s="3984" t="str">
        <f t="shared" si="455"/>
        <v>ASHP-SEER21-Replace_CAC_NonElectricHeat_ER1_MF_CompE</v>
      </c>
      <c r="G4248" s="3984"/>
      <c r="H4248" s="3984"/>
      <c r="I4248" s="3984"/>
      <c r="J4248" s="3508" t="str">
        <f t="shared" si="456"/>
        <v>353611_2021_12_</v>
      </c>
      <c r="K4248" s="462">
        <f>(($R$1960*L4248)+$R$1950)-(($Q$1960*L4248)/((1+$R$1962)^($R$1963-1)))</f>
        <v>2171.3844012161662</v>
      </c>
      <c r="L4248" s="93">
        <f>VLOOKUP(J4248,$J$1940:$L$2132,3,FALSE)*M4248</f>
        <v>2.0150000000000001</v>
      </c>
      <c r="M4248" s="3031">
        <f>VLOOKUP(J4248,$J$3484:$K$3676,2,FALSE)</f>
        <v>0.65</v>
      </c>
      <c r="N4248" s="963"/>
      <c r="O4248" s="106"/>
      <c r="P4248" s="702"/>
      <c r="Q4248" s="574"/>
      <c r="R4248" s="702"/>
      <c r="S4248" s="106"/>
      <c r="T4248" s="486"/>
      <c r="U4248" s="106"/>
      <c r="V4248" s="4129"/>
      <c r="W4248" s="2440"/>
      <c r="X4248" s="465"/>
      <c r="Y4248" s="465"/>
      <c r="Z4248" s="462"/>
      <c r="AA4248" s="462"/>
      <c r="AB4248" s="465"/>
      <c r="AC4248" s="3569">
        <v>2171.3844012161662</v>
      </c>
      <c r="AD4248" s="462">
        <v>2171.3844012161662</v>
      </c>
      <c r="AE4248" s="2939"/>
      <c r="AF4248" s="663"/>
      <c r="AG4248" s="663"/>
      <c r="AH4248" s="156"/>
      <c r="AI4248" s="156"/>
      <c r="AJ4248" s="156"/>
      <c r="AK4248" s="156"/>
      <c r="AL4248" s="156"/>
      <c r="AM4248" s="156"/>
      <c r="AN4248" s="156"/>
      <c r="AO4248" s="156"/>
      <c r="AP4248" s="156"/>
      <c r="AQ4248" s="156"/>
      <c r="AR4248" s="156"/>
      <c r="AS4248" s="156"/>
      <c r="AT4248" s="156"/>
      <c r="AU4248" s="156"/>
      <c r="AV4248" s="156"/>
      <c r="AW4248" s="156"/>
      <c r="AX4248" s="156"/>
      <c r="AY4248" s="156"/>
      <c r="AZ4248" s="156"/>
      <c r="BA4248" s="156"/>
      <c r="BB4248" s="2828"/>
      <c r="BC4248" s="452"/>
      <c r="BD4248" s="2829"/>
      <c r="BE4248" s="2837"/>
      <c r="BF4248" s="156"/>
    </row>
    <row r="4249" spans="1:58" ht="14.5" customHeight="1" outlineLevel="1" x14ac:dyDescent="0.35">
      <c r="A4249" s="1664"/>
      <c r="B4249" s="2812"/>
      <c r="C4249" s="3077"/>
      <c r="D4249" s="3980"/>
      <c r="E4249" s="3883"/>
      <c r="F4249" s="3984" t="str">
        <f t="shared" si="455"/>
        <v>ASHP-SEER21-Replace_CAC_NonElectricHeat_ER1_MF_CompE</v>
      </c>
      <c r="G4249" s="3984"/>
      <c r="H4249" s="3984"/>
      <c r="I4249" s="3984"/>
      <c r="J4249" s="3508" t="str">
        <f t="shared" si="456"/>
        <v>353611_2021_12_</v>
      </c>
      <c r="K4249" s="462"/>
      <c r="L4249" s="93"/>
      <c r="M4249" s="3031"/>
      <c r="N4249" s="963"/>
      <c r="O4249" s="106"/>
      <c r="P4249" s="702"/>
      <c r="Q4249" s="574"/>
      <c r="R4249" s="702"/>
      <c r="S4249" s="106"/>
      <c r="T4249" s="486"/>
      <c r="U4249" s="106"/>
      <c r="V4249" s="4129"/>
      <c r="W4249" s="2440"/>
      <c r="X4249" s="465"/>
      <c r="Y4249" s="465"/>
      <c r="Z4249" s="462"/>
      <c r="AA4249" s="462"/>
      <c r="AB4249" s="465"/>
      <c r="AC4249" s="3568"/>
      <c r="AD4249" s="462"/>
      <c r="AE4249" s="2939"/>
      <c r="AF4249" s="663"/>
      <c r="AG4249" s="663"/>
      <c r="AH4249" s="156"/>
      <c r="AI4249" s="156"/>
      <c r="AJ4249" s="156"/>
      <c r="AK4249" s="156"/>
      <c r="AL4249" s="156"/>
      <c r="AM4249" s="156"/>
      <c r="AN4249" s="156"/>
      <c r="AO4249" s="156"/>
      <c r="AP4249" s="156"/>
      <c r="AQ4249" s="156"/>
      <c r="AR4249" s="156"/>
      <c r="AS4249" s="156"/>
      <c r="AT4249" s="156"/>
      <c r="AU4249" s="156"/>
      <c r="AV4249" s="156"/>
      <c r="AW4249" s="156"/>
      <c r="AX4249" s="156"/>
      <c r="AY4249" s="156"/>
      <c r="AZ4249" s="156"/>
      <c r="BA4249" s="156"/>
      <c r="BB4249" s="2828"/>
      <c r="BC4249" s="452"/>
      <c r="BD4249" s="2829"/>
      <c r="BE4249" s="2837"/>
      <c r="BF4249" s="156"/>
    </row>
    <row r="4250" spans="1:58" ht="14.5" customHeight="1" outlineLevel="1" x14ac:dyDescent="0.35">
      <c r="A4250" s="1664"/>
      <c r="B4250" s="2812"/>
      <c r="C4250" s="3077"/>
      <c r="D4250" s="3980"/>
      <c r="E4250" s="3883"/>
      <c r="F4250" s="3984" t="str">
        <f t="shared" si="455"/>
        <v>ASHP-SEER21-Replace_CAC_NonElectricHeat_ER2_MF_CompE</v>
      </c>
      <c r="G4250" s="3984"/>
      <c r="H4250" s="3984"/>
      <c r="I4250" s="3984"/>
      <c r="J4250" s="3508" t="str">
        <f t="shared" si="456"/>
        <v>353611_2021_12_</v>
      </c>
      <c r="K4250" s="462"/>
      <c r="L4250" s="93"/>
      <c r="M4250" s="3031"/>
      <c r="N4250" s="963"/>
      <c r="O4250" s="106"/>
      <c r="P4250" s="702"/>
      <c r="Q4250" s="574"/>
      <c r="R4250" s="702"/>
      <c r="S4250" s="106"/>
      <c r="T4250" s="486"/>
      <c r="U4250" s="106"/>
      <c r="V4250" s="4129"/>
      <c r="W4250" s="2440"/>
      <c r="X4250" s="465"/>
      <c r="Y4250" s="465"/>
      <c r="Z4250" s="462"/>
      <c r="AA4250" s="462"/>
      <c r="AB4250" s="465"/>
      <c r="AC4250" s="3568"/>
      <c r="AD4250" s="462"/>
      <c r="AE4250" s="2939"/>
      <c r="AF4250" s="663"/>
      <c r="AG4250" s="663"/>
      <c r="AH4250" s="156"/>
      <c r="AI4250" s="156"/>
      <c r="AJ4250" s="156"/>
      <c r="AK4250" s="156"/>
      <c r="AL4250" s="156"/>
      <c r="AM4250" s="156"/>
      <c r="AN4250" s="156"/>
      <c r="AO4250" s="156"/>
      <c r="AP4250" s="156"/>
      <c r="AQ4250" s="156"/>
      <c r="AR4250" s="156"/>
      <c r="AS4250" s="156"/>
      <c r="AT4250" s="156"/>
      <c r="AU4250" s="156"/>
      <c r="AV4250" s="156"/>
      <c r="AW4250" s="156"/>
      <c r="AX4250" s="156"/>
      <c r="AY4250" s="156"/>
      <c r="AZ4250" s="156"/>
      <c r="BA4250" s="156"/>
      <c r="BB4250" s="2828"/>
      <c r="BC4250" s="452"/>
      <c r="BD4250" s="2829"/>
      <c r="BE4250" s="2837"/>
      <c r="BF4250" s="156"/>
    </row>
    <row r="4251" spans="1:58" ht="14.5" customHeight="1" outlineLevel="1" x14ac:dyDescent="0.35">
      <c r="A4251" s="1664"/>
      <c r="B4251" s="2812"/>
      <c r="C4251" s="3077"/>
      <c r="D4251" s="3980"/>
      <c r="E4251" s="3883"/>
      <c r="F4251" s="3984" t="str">
        <f t="shared" si="455"/>
        <v>ASHP-SEER21-Replace_CAC_NonElectricHeat_ER2_MF_CompE</v>
      </c>
      <c r="G4251" s="3984"/>
      <c r="H4251" s="3984"/>
      <c r="I4251" s="3984"/>
      <c r="J4251" s="3508" t="str">
        <f t="shared" si="456"/>
        <v>353611_2021_12_</v>
      </c>
      <c r="K4251" s="462"/>
      <c r="L4251" s="93"/>
      <c r="M4251" s="3031"/>
      <c r="N4251" s="963"/>
      <c r="O4251" s="106"/>
      <c r="P4251" s="702"/>
      <c r="Q4251" s="574"/>
      <c r="R4251" s="702"/>
      <c r="S4251" s="106"/>
      <c r="T4251" s="486"/>
      <c r="U4251" s="106"/>
      <c r="V4251" s="4129"/>
      <c r="W4251" s="2440"/>
      <c r="X4251" s="465"/>
      <c r="Y4251" s="465"/>
      <c r="Z4251" s="462"/>
      <c r="AA4251" s="462"/>
      <c r="AB4251" s="465"/>
      <c r="AC4251" s="3568"/>
      <c r="AD4251" s="462"/>
      <c r="AE4251" s="2939"/>
      <c r="AF4251" s="663"/>
      <c r="AG4251" s="663"/>
      <c r="AH4251" s="156"/>
      <c r="AI4251" s="156"/>
      <c r="AJ4251" s="156"/>
      <c r="AK4251" s="156"/>
      <c r="AL4251" s="156"/>
      <c r="AM4251" s="156"/>
      <c r="AN4251" s="156"/>
      <c r="AO4251" s="156"/>
      <c r="AP4251" s="156"/>
      <c r="AQ4251" s="156"/>
      <c r="AR4251" s="156"/>
      <c r="AS4251" s="156"/>
      <c r="AT4251" s="156"/>
      <c r="AU4251" s="156"/>
      <c r="AV4251" s="156"/>
      <c r="AW4251" s="156"/>
      <c r="AX4251" s="156"/>
      <c r="AY4251" s="156"/>
      <c r="AZ4251" s="156"/>
      <c r="BA4251" s="156"/>
      <c r="BB4251" s="2828"/>
      <c r="BC4251" s="452"/>
      <c r="BD4251" s="2829"/>
      <c r="BE4251" s="2837"/>
      <c r="BF4251" s="156"/>
    </row>
    <row r="4252" spans="1:58" ht="14.5" customHeight="1" outlineLevel="1" x14ac:dyDescent="0.35">
      <c r="A4252" s="1664"/>
      <c r="B4252" s="2812"/>
      <c r="C4252" s="3077"/>
      <c r="D4252" s="3980"/>
      <c r="E4252" s="3883"/>
      <c r="F4252" s="3984" t="str">
        <f t="shared" si="455"/>
        <v>ASHP-SEER21-Replace_CAC_ElectricHeat_ROF_SF</v>
      </c>
      <c r="G4252" s="3984"/>
      <c r="H4252" s="3984"/>
      <c r="I4252" s="3984"/>
      <c r="J4252" s="3508" t="str">
        <f t="shared" si="456"/>
        <v>353650_2021_12_</v>
      </c>
      <c r="K4252" s="462">
        <f>$R$1950*K$3490</f>
        <v>1689.9245999999991</v>
      </c>
      <c r="L4252" s="93">
        <f>VLOOKUP(J4252,$J$1940:$L$2132,3,FALSE)*M4252</f>
        <v>3.4699494950520831</v>
      </c>
      <c r="M4252" s="3031">
        <f>VLOOKUP(J4252,$J$3484:$K$3676,2,FALSE)</f>
        <v>1</v>
      </c>
      <c r="N4252" s="963"/>
      <c r="O4252" s="106"/>
      <c r="P4252" s="702"/>
      <c r="Q4252" s="574"/>
      <c r="R4252" s="702"/>
      <c r="S4252" s="106"/>
      <c r="T4252" s="486"/>
      <c r="U4252" s="106"/>
      <c r="V4252" s="4129"/>
      <c r="W4252" s="2440">
        <v>3712</v>
      </c>
      <c r="X4252" s="465">
        <f>$R$1950*(X$2034/12000)*X$3578</f>
        <v>5407.758719999998</v>
      </c>
      <c r="Y4252" s="465">
        <v>1160</v>
      </c>
      <c r="Z4252" s="462">
        <v>1160</v>
      </c>
      <c r="AA4252" s="462">
        <v>1160</v>
      </c>
      <c r="AB4252" s="465">
        <v>1689.9245999999991</v>
      </c>
      <c r="AC4252" s="3568">
        <v>1689.9245999999991</v>
      </c>
      <c r="AD4252" s="462">
        <v>1689.9245999999991</v>
      </c>
      <c r="AE4252" s="2939"/>
      <c r="AF4252" s="663"/>
      <c r="AG4252" s="663"/>
      <c r="AH4252" s="156"/>
      <c r="AI4252" s="156"/>
      <c r="AJ4252" s="156"/>
      <c r="AK4252" s="156"/>
      <c r="AL4252" s="156"/>
      <c r="AM4252" s="156"/>
      <c r="AN4252" s="156"/>
      <c r="AO4252" s="156"/>
      <c r="AP4252" s="156"/>
      <c r="AQ4252" s="156"/>
      <c r="AR4252" s="156"/>
      <c r="AS4252" s="156"/>
      <c r="AT4252" s="156"/>
      <c r="AU4252" s="156"/>
      <c r="AV4252" s="156"/>
      <c r="AW4252" s="156"/>
      <c r="AX4252" s="156"/>
      <c r="AY4252" s="156"/>
      <c r="AZ4252" s="156"/>
      <c r="BA4252" s="156"/>
      <c r="BB4252" s="2828"/>
      <c r="BC4252" s="452"/>
      <c r="BD4252" s="2829"/>
      <c r="BE4252" s="2837"/>
      <c r="BF4252" s="156"/>
    </row>
    <row r="4253" spans="1:58" ht="14.5" customHeight="1" outlineLevel="1" x14ac:dyDescent="0.35">
      <c r="A4253" s="1664"/>
      <c r="B4253" s="2812"/>
      <c r="C4253" s="3077"/>
      <c r="D4253" s="3980"/>
      <c r="E4253" s="3883"/>
      <c r="F4253" s="3984" t="str">
        <f t="shared" si="455"/>
        <v>ASHP-SEER21-Replace_CAC_ElectricHeat_ROF_SF</v>
      </c>
      <c r="G4253" s="3984"/>
      <c r="H4253" s="3984"/>
      <c r="I4253" s="3984"/>
      <c r="J4253" s="3508" t="str">
        <f t="shared" si="456"/>
        <v>353650_2021_12_</v>
      </c>
      <c r="K4253" s="462"/>
      <c r="L4253" s="93" t="str">
        <f>IF(K4253&gt;0,VLOOKUP(J4253,$J$1940:$L$2132,3,FALSE),"")</f>
        <v/>
      </c>
      <c r="M4253" s="3031" t="str">
        <f>IF(K4253&gt;0,VLOOKUP(J4253,$J$3484:$K$3676,2,FALSE),"")</f>
        <v/>
      </c>
      <c r="N4253" s="963"/>
      <c r="O4253" s="106"/>
      <c r="P4253" s="702"/>
      <c r="Q4253" s="574"/>
      <c r="R4253" s="702"/>
      <c r="S4253" s="106"/>
      <c r="T4253" s="486"/>
      <c r="U4253" s="106"/>
      <c r="V4253" s="4129"/>
      <c r="W4253" s="2440"/>
      <c r="X4253" s="465"/>
      <c r="Y4253" s="465"/>
      <c r="Z4253" s="462"/>
      <c r="AA4253" s="462"/>
      <c r="AB4253" s="465"/>
      <c r="AC4253" s="3568"/>
      <c r="AD4253" s="462"/>
      <c r="AE4253" s="2939"/>
      <c r="AF4253" s="663"/>
      <c r="AG4253" s="663"/>
      <c r="AH4253" s="156"/>
      <c r="AI4253" s="156"/>
      <c r="AJ4253" s="156"/>
      <c r="AK4253" s="156"/>
      <c r="AL4253" s="156"/>
      <c r="AM4253" s="156"/>
      <c r="AN4253" s="156"/>
      <c r="AO4253" s="156"/>
      <c r="AP4253" s="156"/>
      <c r="AQ4253" s="156"/>
      <c r="AR4253" s="156"/>
      <c r="AS4253" s="156"/>
      <c r="AT4253" s="156"/>
      <c r="AU4253" s="156"/>
      <c r="AV4253" s="156"/>
      <c r="AW4253" s="156"/>
      <c r="AX4253" s="156"/>
      <c r="AY4253" s="156"/>
      <c r="AZ4253" s="156"/>
      <c r="BA4253" s="156"/>
      <c r="BB4253" s="2828"/>
      <c r="BC4253" s="452"/>
      <c r="BD4253" s="2829"/>
      <c r="BE4253" s="2837"/>
      <c r="BF4253" s="156"/>
    </row>
    <row r="4254" spans="1:58" s="3398" customFormat="1" ht="14.5" customHeight="1" outlineLevel="1" x14ac:dyDescent="0.35">
      <c r="A4254" s="1664"/>
      <c r="B4254" s="3499"/>
      <c r="C4254" s="3077"/>
      <c r="D4254" s="3980"/>
      <c r="E4254" s="3883"/>
      <c r="F4254" s="4182" t="str">
        <f t="shared" si="455"/>
        <v>ASHP-SEER21-Replace_CAC_NonElectricHeat_ROF_SF</v>
      </c>
      <c r="G4254" s="3989"/>
      <c r="H4254" s="3989"/>
      <c r="I4254" s="3990"/>
      <c r="J4254" s="3509" t="str">
        <f t="shared" si="456"/>
        <v>353660_2022_12_</v>
      </c>
      <c r="K4254" s="465">
        <f>$R$1950*K$3490</f>
        <v>1689.9245999999991</v>
      </c>
      <c r="L4254" s="96">
        <f>VLOOKUP(J4254,$J$1940:$L$2132,3,FALSE)*M4254</f>
        <v>3.4699494950520831</v>
      </c>
      <c r="M4254" s="3526">
        <f>VLOOKUP(J4254,$J$3484:$K$3676,2,FALSE)</f>
        <v>1</v>
      </c>
      <c r="N4254" s="963"/>
      <c r="P4254" s="702"/>
      <c r="Q4254" s="574"/>
      <c r="R4254" s="702"/>
      <c r="T4254" s="3397"/>
      <c r="V4254" s="4129"/>
      <c r="W4254" s="2440"/>
      <c r="X4254" s="465"/>
      <c r="Y4254" s="465"/>
      <c r="Z4254" s="462"/>
      <c r="AA4254" s="462"/>
      <c r="AB4254" s="465"/>
      <c r="AC4254" s="3568"/>
      <c r="AD4254" s="465">
        <v>1689.9245999999991</v>
      </c>
      <c r="AE4254" s="2939"/>
      <c r="AF4254" s="663"/>
      <c r="AG4254" s="663"/>
      <c r="AH4254" s="156"/>
      <c r="AI4254" s="156"/>
      <c r="AJ4254" s="156"/>
      <c r="AK4254" s="156"/>
      <c r="AL4254" s="156"/>
      <c r="AM4254" s="156"/>
      <c r="AN4254" s="156"/>
      <c r="AO4254" s="156"/>
      <c r="AP4254" s="156"/>
      <c r="AQ4254" s="156"/>
      <c r="AR4254" s="156"/>
      <c r="AS4254" s="156"/>
      <c r="AT4254" s="156"/>
      <c r="AU4254" s="156"/>
      <c r="AV4254" s="156"/>
      <c r="AW4254" s="156"/>
      <c r="AX4254" s="156"/>
      <c r="AY4254" s="156"/>
      <c r="AZ4254" s="156"/>
      <c r="BA4254" s="156"/>
      <c r="BB4254" s="2828"/>
      <c r="BC4254" s="452"/>
      <c r="BD4254" s="2829"/>
      <c r="BE4254" s="2837"/>
      <c r="BF4254" s="156"/>
    </row>
    <row r="4255" spans="1:58" s="3398" customFormat="1" ht="14.5" customHeight="1" outlineLevel="1" x14ac:dyDescent="0.35">
      <c r="A4255" s="1664"/>
      <c r="B4255" s="3499"/>
      <c r="C4255" s="3077"/>
      <c r="D4255" s="3980"/>
      <c r="E4255" s="3883"/>
      <c r="F4255" s="4182" t="str">
        <f t="shared" si="455"/>
        <v>ASHP-SEER21-Replace_CAC_NonElectricHeat_ROF_SF</v>
      </c>
      <c r="G4255" s="3989"/>
      <c r="H4255" s="3989"/>
      <c r="I4255" s="3990"/>
      <c r="J4255" s="3509" t="str">
        <f t="shared" si="456"/>
        <v>353660_2022_12_</v>
      </c>
      <c r="K4255" s="465"/>
      <c r="L4255" s="96" t="str">
        <f>IF(K4255&gt;0,VLOOKUP(J4255,$J$1940:$L$2132,3,FALSE),"")</f>
        <v/>
      </c>
      <c r="M4255" s="3526" t="str">
        <f>IF(K4255&gt;0,VLOOKUP(J4255,$J$3484:$K$3676,2,FALSE),"")</f>
        <v/>
      </c>
      <c r="N4255" s="963"/>
      <c r="P4255" s="702"/>
      <c r="Q4255" s="574"/>
      <c r="R4255" s="702"/>
      <c r="T4255" s="3397"/>
      <c r="V4255" s="4129"/>
      <c r="W4255" s="2440"/>
      <c r="X4255" s="465"/>
      <c r="Y4255" s="465"/>
      <c r="Z4255" s="462"/>
      <c r="AA4255" s="462"/>
      <c r="AB4255" s="465"/>
      <c r="AC4255" s="3568"/>
      <c r="AD4255" s="462"/>
      <c r="AE4255" s="2939"/>
      <c r="AF4255" s="663"/>
      <c r="AG4255" s="663"/>
      <c r="AH4255" s="156"/>
      <c r="AI4255" s="156"/>
      <c r="AJ4255" s="156"/>
      <c r="AK4255" s="156"/>
      <c r="AL4255" s="156"/>
      <c r="AM4255" s="156"/>
      <c r="AN4255" s="156"/>
      <c r="AO4255" s="156"/>
      <c r="AP4255" s="156"/>
      <c r="AQ4255" s="156"/>
      <c r="AR4255" s="156"/>
      <c r="AS4255" s="156"/>
      <c r="AT4255" s="156"/>
      <c r="AU4255" s="156"/>
      <c r="AV4255" s="156"/>
      <c r="AW4255" s="156"/>
      <c r="AX4255" s="156"/>
      <c r="AY4255" s="156"/>
      <c r="AZ4255" s="156"/>
      <c r="BA4255" s="156"/>
      <c r="BB4255" s="2828"/>
      <c r="BC4255" s="452"/>
      <c r="BD4255" s="2829"/>
      <c r="BE4255" s="2837"/>
      <c r="BF4255" s="156"/>
    </row>
    <row r="4256" spans="1:58" ht="14.5" customHeight="1" outlineLevel="1" x14ac:dyDescent="0.35">
      <c r="A4256" s="1664"/>
      <c r="B4256" s="2812"/>
      <c r="C4256" s="3077"/>
      <c r="D4256" s="3980"/>
      <c r="E4256" s="3883"/>
      <c r="F4256" s="3984" t="str">
        <f t="shared" ref="F4256:F4319" si="457">E1726</f>
        <v>ASHP-SEER21+-Replace_CAC_ElectricHeat_ROF_MF</v>
      </c>
      <c r="G4256" s="3984"/>
      <c r="H4256" s="3984"/>
      <c r="I4256" s="3984"/>
      <c r="J4256" s="3508" t="str">
        <f t="shared" ref="J4256:J4319" si="458">C1726</f>
        <v>353700_2019_12_</v>
      </c>
      <c r="K4256" s="462">
        <f>$R$1950*K$3490</f>
        <v>1689.9245999999991</v>
      </c>
      <c r="L4256" s="93">
        <f>VLOOKUP(J4256,$J$1940:$L$2132,3,FALSE)*M4256</f>
        <v>2.08</v>
      </c>
      <c r="M4256" s="3031">
        <f>VLOOKUP(J4256,$J$3484:$K$3676,2,FALSE)</f>
        <v>0.65</v>
      </c>
      <c r="N4256" s="963"/>
      <c r="O4256" s="106"/>
      <c r="P4256" s="702"/>
      <c r="Q4256" s="574"/>
      <c r="R4256" s="702"/>
      <c r="S4256" s="106"/>
      <c r="T4256" s="486"/>
      <c r="U4256" s="106"/>
      <c r="V4256" s="4129"/>
      <c r="W4256" s="2440">
        <v>3712</v>
      </c>
      <c r="X4256" s="465">
        <f>$R$1950*(X$2036/12000)*X$3580</f>
        <v>3515.0431679999988</v>
      </c>
      <c r="Y4256" s="465">
        <v>1160</v>
      </c>
      <c r="Z4256" s="462">
        <v>1160</v>
      </c>
      <c r="AA4256" s="462">
        <v>1160</v>
      </c>
      <c r="AB4256" s="465">
        <v>1689.9245999999991</v>
      </c>
      <c r="AC4256" s="3568">
        <v>1689.9245999999991</v>
      </c>
      <c r="AD4256" s="462">
        <v>1689.9245999999991</v>
      </c>
      <c r="AE4256" s="2939"/>
      <c r="AF4256" s="663"/>
      <c r="AG4256" s="663"/>
      <c r="AH4256" s="156"/>
      <c r="AI4256" s="156"/>
      <c r="AJ4256" s="156"/>
      <c r="AK4256" s="156"/>
      <c r="AL4256" s="156"/>
      <c r="AM4256" s="156"/>
      <c r="AN4256" s="156"/>
      <c r="AO4256" s="156"/>
      <c r="AP4256" s="156"/>
      <c r="AQ4256" s="156"/>
      <c r="AR4256" s="156"/>
      <c r="AS4256" s="156"/>
      <c r="AT4256" s="156"/>
      <c r="AU4256" s="156"/>
      <c r="AV4256" s="156"/>
      <c r="AW4256" s="156"/>
      <c r="AX4256" s="156"/>
      <c r="AY4256" s="156"/>
      <c r="AZ4256" s="156"/>
      <c r="BA4256" s="156"/>
      <c r="BB4256" s="2828"/>
      <c r="BC4256" s="452"/>
      <c r="BD4256" s="2829"/>
      <c r="BE4256" s="2837"/>
      <c r="BF4256" s="156"/>
    </row>
    <row r="4257" spans="1:58" ht="14.5" customHeight="1" outlineLevel="1" x14ac:dyDescent="0.35">
      <c r="A4257" s="1664"/>
      <c r="B4257" s="2812"/>
      <c r="C4257" s="3077"/>
      <c r="D4257" s="3980"/>
      <c r="E4257" s="3883"/>
      <c r="F4257" s="3984" t="str">
        <f t="shared" si="457"/>
        <v>ASHP-SEER21+-Replace_CAC_ElectricHeat_ROF_MF</v>
      </c>
      <c r="G4257" s="3984"/>
      <c r="H4257" s="3984"/>
      <c r="I4257" s="3984"/>
      <c r="J4257" s="3508" t="str">
        <f t="shared" si="458"/>
        <v>353700_2019_12_</v>
      </c>
      <c r="K4257" s="462"/>
      <c r="L4257" s="93" t="str">
        <f>IF(K4257&gt;0,VLOOKUP(J4257,$J$1940:$L$2132,3,FALSE),"")</f>
        <v/>
      </c>
      <c r="M4257" s="3031" t="str">
        <f>IF(K4257&gt;0,VLOOKUP(J4257,$J$3484:$K$3676,2,FALSE),"")</f>
        <v/>
      </c>
      <c r="N4257" s="963"/>
      <c r="O4257" s="106"/>
      <c r="P4257" s="702"/>
      <c r="Q4257" s="574"/>
      <c r="R4257" s="702"/>
      <c r="S4257" s="106"/>
      <c r="T4257" s="486"/>
      <c r="U4257" s="106"/>
      <c r="V4257" s="4129"/>
      <c r="W4257" s="2440"/>
      <c r="X4257" s="465"/>
      <c r="Y4257" s="465"/>
      <c r="Z4257" s="462"/>
      <c r="AA4257" s="462"/>
      <c r="AB4257" s="465"/>
      <c r="AC4257" s="3568"/>
      <c r="AD4257" s="462"/>
      <c r="AE4257" s="2939"/>
      <c r="AF4257" s="663"/>
      <c r="AG4257" s="663"/>
      <c r="AH4257" s="156"/>
      <c r="AI4257" s="156"/>
      <c r="AJ4257" s="156"/>
      <c r="AK4257" s="156"/>
      <c r="AL4257" s="156"/>
      <c r="AM4257" s="156"/>
      <c r="AN4257" s="156"/>
      <c r="AO4257" s="156"/>
      <c r="AP4257" s="156"/>
      <c r="AQ4257" s="156"/>
      <c r="AR4257" s="156"/>
      <c r="AS4257" s="156"/>
      <c r="AT4257" s="156"/>
      <c r="AU4257" s="156"/>
      <c r="AV4257" s="156"/>
      <c r="AW4257" s="156"/>
      <c r="AX4257" s="156"/>
      <c r="AY4257" s="156"/>
      <c r="AZ4257" s="156"/>
      <c r="BA4257" s="156"/>
      <c r="BB4257" s="2828"/>
      <c r="BC4257" s="452"/>
      <c r="BD4257" s="2829"/>
      <c r="BE4257" s="2837"/>
      <c r="BF4257" s="156"/>
    </row>
    <row r="4258" spans="1:58" ht="14.5" customHeight="1" outlineLevel="1" x14ac:dyDescent="0.35">
      <c r="A4258" s="1664"/>
      <c r="B4258" s="2812"/>
      <c r="C4258" s="3077"/>
      <c r="D4258" s="3980"/>
      <c r="E4258" s="3883"/>
      <c r="F4258" s="3984" t="str">
        <f t="shared" si="457"/>
        <v>ASHP-SEER21+-Replace_CAC_ElectricHeat_ROF_MF_CompE</v>
      </c>
      <c r="G4258" s="3984"/>
      <c r="H4258" s="3984"/>
      <c r="I4258" s="3984"/>
      <c r="J4258" s="3508" t="str">
        <f t="shared" si="458"/>
        <v>353701_2019_12_</v>
      </c>
      <c r="K4258" s="462">
        <f>$R$1950*K$3490</f>
        <v>1689.9245999999991</v>
      </c>
      <c r="L4258" s="93">
        <f>VLOOKUP(J4258,$J$1940:$L$2132,3,FALSE)*M4258</f>
        <v>2.08</v>
      </c>
      <c r="M4258" s="3031">
        <f>VLOOKUP(J4258,$J$3484:$K$3676,2,FALSE)</f>
        <v>0.65</v>
      </c>
      <c r="N4258" s="963"/>
      <c r="O4258" s="106"/>
      <c r="P4258" s="702"/>
      <c r="Q4258" s="574"/>
      <c r="R4258" s="702"/>
      <c r="S4258" s="106"/>
      <c r="T4258" s="486"/>
      <c r="U4258" s="106"/>
      <c r="V4258" s="4129"/>
      <c r="W4258" s="2440"/>
      <c r="X4258" s="465"/>
      <c r="Y4258" s="465"/>
      <c r="Z4258" s="462"/>
      <c r="AA4258" s="462"/>
      <c r="AB4258" s="465"/>
      <c r="AC4258" s="3569">
        <v>1689.9245999999991</v>
      </c>
      <c r="AD4258" s="462">
        <v>1689.9245999999991</v>
      </c>
      <c r="AE4258" s="2939"/>
      <c r="AF4258" s="663"/>
      <c r="AG4258" s="663"/>
      <c r="AH4258" s="156"/>
      <c r="AI4258" s="156"/>
      <c r="AJ4258" s="156"/>
      <c r="AK4258" s="156"/>
      <c r="AL4258" s="156"/>
      <c r="AM4258" s="156"/>
      <c r="AN4258" s="156"/>
      <c r="AO4258" s="156"/>
      <c r="AP4258" s="156"/>
      <c r="AQ4258" s="156"/>
      <c r="AR4258" s="156"/>
      <c r="AS4258" s="156"/>
      <c r="AT4258" s="156"/>
      <c r="AU4258" s="156"/>
      <c r="AV4258" s="156"/>
      <c r="AW4258" s="156"/>
      <c r="AX4258" s="156"/>
      <c r="AY4258" s="156"/>
      <c r="AZ4258" s="156"/>
      <c r="BA4258" s="156"/>
      <c r="BB4258" s="2828"/>
      <c r="BC4258" s="452"/>
      <c r="BD4258" s="2829"/>
      <c r="BE4258" s="2837"/>
      <c r="BF4258" s="156"/>
    </row>
    <row r="4259" spans="1:58" ht="14.5" customHeight="1" outlineLevel="1" x14ac:dyDescent="0.35">
      <c r="A4259" s="1664"/>
      <c r="B4259" s="2812"/>
      <c r="C4259" s="3077"/>
      <c r="D4259" s="3980"/>
      <c r="E4259" s="3883"/>
      <c r="F4259" s="3984" t="str">
        <f t="shared" si="457"/>
        <v>ASHP-SEER21+-Replace_CAC_ElectricHeat_ROF_MF_CompE</v>
      </c>
      <c r="G4259" s="3984"/>
      <c r="H4259" s="3984"/>
      <c r="I4259" s="3984"/>
      <c r="J4259" s="3508" t="str">
        <f t="shared" si="458"/>
        <v>353701_2019_12_</v>
      </c>
      <c r="K4259" s="462"/>
      <c r="L4259" s="93"/>
      <c r="M4259" s="3031"/>
      <c r="N4259" s="963"/>
      <c r="O4259" s="106"/>
      <c r="P4259" s="702"/>
      <c r="Q4259" s="574"/>
      <c r="R4259" s="702"/>
      <c r="S4259" s="106"/>
      <c r="T4259" s="486"/>
      <c r="U4259" s="106"/>
      <c r="V4259" s="4129"/>
      <c r="W4259" s="2440"/>
      <c r="X4259" s="465"/>
      <c r="Y4259" s="465"/>
      <c r="Z4259" s="462"/>
      <c r="AA4259" s="462"/>
      <c r="AB4259" s="465"/>
      <c r="AC4259" s="3568"/>
      <c r="AD4259" s="462"/>
      <c r="AE4259" s="2939"/>
      <c r="AF4259" s="663"/>
      <c r="AG4259" s="663"/>
      <c r="AH4259" s="156"/>
      <c r="AI4259" s="156"/>
      <c r="AJ4259" s="156"/>
      <c r="AK4259" s="156"/>
      <c r="AL4259" s="156"/>
      <c r="AM4259" s="156"/>
      <c r="AN4259" s="156"/>
      <c r="AO4259" s="156"/>
      <c r="AP4259" s="156"/>
      <c r="AQ4259" s="156"/>
      <c r="AR4259" s="156"/>
      <c r="AS4259" s="156"/>
      <c r="AT4259" s="156"/>
      <c r="AU4259" s="156"/>
      <c r="AV4259" s="156"/>
      <c r="AW4259" s="156"/>
      <c r="AX4259" s="156"/>
      <c r="AY4259" s="156"/>
      <c r="AZ4259" s="156"/>
      <c r="BA4259" s="156"/>
      <c r="BB4259" s="2828"/>
      <c r="BC4259" s="452"/>
      <c r="BD4259" s="2829"/>
      <c r="BE4259" s="2837"/>
      <c r="BF4259" s="156"/>
    </row>
    <row r="4260" spans="1:58" ht="14.5" customHeight="1" outlineLevel="1" x14ac:dyDescent="0.35">
      <c r="A4260" s="1664"/>
      <c r="B4260" s="2812"/>
      <c r="C4260" s="3077"/>
      <c r="D4260" s="3980"/>
      <c r="E4260" s="3883"/>
      <c r="F4260" s="3984" t="str">
        <f t="shared" si="457"/>
        <v>ASHP-SEER21+-Replace_CAC_NonElectricHeat_ROF_MF</v>
      </c>
      <c r="G4260" s="3984"/>
      <c r="H4260" s="3984"/>
      <c r="I4260" s="3984"/>
      <c r="J4260" s="3508" t="str">
        <f t="shared" si="458"/>
        <v>353710_2021_12_</v>
      </c>
      <c r="K4260" s="462">
        <f>$R$1950*K$3490</f>
        <v>1689.9245999999991</v>
      </c>
      <c r="L4260" s="93">
        <f>VLOOKUP(J4260,$J$1940:$L$2132,3,FALSE)*M4260</f>
        <v>2.08</v>
      </c>
      <c r="M4260" s="3031">
        <f>VLOOKUP(J4260,$J$3484:$K$3676,2,FALSE)</f>
        <v>0.65</v>
      </c>
      <c r="N4260" s="963"/>
      <c r="O4260" s="106"/>
      <c r="P4260" s="702"/>
      <c r="Q4260" s="574"/>
      <c r="R4260" s="702"/>
      <c r="S4260" s="106"/>
      <c r="T4260" s="486"/>
      <c r="U4260" s="106"/>
      <c r="V4260" s="4129"/>
      <c r="W4260" s="2440"/>
      <c r="X4260" s="465"/>
      <c r="Y4260" s="465"/>
      <c r="Z4260" s="462"/>
      <c r="AA4260" s="462"/>
      <c r="AB4260" s="465"/>
      <c r="AC4260" s="3569">
        <v>1689.9245999999991</v>
      </c>
      <c r="AD4260" s="462">
        <v>1689.9245999999991</v>
      </c>
      <c r="AE4260" s="2939"/>
      <c r="AF4260" s="663"/>
      <c r="AG4260" s="663"/>
      <c r="AH4260" s="156"/>
      <c r="AI4260" s="156"/>
      <c r="AJ4260" s="156"/>
      <c r="AK4260" s="156"/>
      <c r="AL4260" s="156"/>
      <c r="AM4260" s="156"/>
      <c r="AN4260" s="156"/>
      <c r="AO4260" s="156"/>
      <c r="AP4260" s="156"/>
      <c r="AQ4260" s="156"/>
      <c r="AR4260" s="156"/>
      <c r="AS4260" s="156"/>
      <c r="AT4260" s="156"/>
      <c r="AU4260" s="156"/>
      <c r="AV4260" s="156"/>
      <c r="AW4260" s="156"/>
      <c r="AX4260" s="156"/>
      <c r="AY4260" s="156"/>
      <c r="AZ4260" s="156"/>
      <c r="BA4260" s="156"/>
      <c r="BB4260" s="2828"/>
      <c r="BC4260" s="452"/>
      <c r="BD4260" s="2829"/>
      <c r="BE4260" s="2837"/>
      <c r="BF4260" s="156"/>
    </row>
    <row r="4261" spans="1:58" ht="14.5" customHeight="1" outlineLevel="1" x14ac:dyDescent="0.35">
      <c r="A4261" s="1664"/>
      <c r="B4261" s="2812"/>
      <c r="C4261" s="3077"/>
      <c r="D4261" s="3980"/>
      <c r="E4261" s="3883"/>
      <c r="F4261" s="3984" t="str">
        <f t="shared" si="457"/>
        <v>ASHP-SEER21+-Replace_CAC_NonElectricHeat_ROF_MF</v>
      </c>
      <c r="G4261" s="3984"/>
      <c r="H4261" s="3984"/>
      <c r="I4261" s="3984"/>
      <c r="J4261" s="3508" t="str">
        <f t="shared" si="458"/>
        <v>353710_2021_12_</v>
      </c>
      <c r="K4261" s="462"/>
      <c r="L4261" s="93"/>
      <c r="M4261" s="3031"/>
      <c r="N4261" s="963"/>
      <c r="O4261" s="106"/>
      <c r="P4261" s="702"/>
      <c r="Q4261" s="574"/>
      <c r="R4261" s="702"/>
      <c r="S4261" s="106"/>
      <c r="T4261" s="486"/>
      <c r="U4261" s="106"/>
      <c r="V4261" s="4129"/>
      <c r="W4261" s="2440"/>
      <c r="X4261" s="465"/>
      <c r="Y4261" s="465"/>
      <c r="Z4261" s="462"/>
      <c r="AA4261" s="462"/>
      <c r="AB4261" s="465"/>
      <c r="AC4261" s="3568"/>
      <c r="AD4261" s="462"/>
      <c r="AE4261" s="2939"/>
      <c r="AF4261" s="663"/>
      <c r="AG4261" s="663"/>
      <c r="AH4261" s="156"/>
      <c r="AI4261" s="156"/>
      <c r="AJ4261" s="156"/>
      <c r="AK4261" s="156"/>
      <c r="AL4261" s="156"/>
      <c r="AM4261" s="156"/>
      <c r="AN4261" s="156"/>
      <c r="AO4261" s="156"/>
      <c r="AP4261" s="156"/>
      <c r="AQ4261" s="156"/>
      <c r="AR4261" s="156"/>
      <c r="AS4261" s="156"/>
      <c r="AT4261" s="156"/>
      <c r="AU4261" s="156"/>
      <c r="AV4261" s="156"/>
      <c r="AW4261" s="156"/>
      <c r="AX4261" s="156"/>
      <c r="AY4261" s="156"/>
      <c r="AZ4261" s="156"/>
      <c r="BA4261" s="156"/>
      <c r="BB4261" s="2828"/>
      <c r="BC4261" s="452"/>
      <c r="BD4261" s="2829"/>
      <c r="BE4261" s="2837"/>
      <c r="BF4261" s="156"/>
    </row>
    <row r="4262" spans="1:58" ht="14.5" customHeight="1" outlineLevel="1" x14ac:dyDescent="0.35">
      <c r="A4262" s="1664"/>
      <c r="B4262" s="2812"/>
      <c r="C4262" s="3077"/>
      <c r="D4262" s="3980"/>
      <c r="E4262" s="3883"/>
      <c r="F4262" s="3984" t="str">
        <f t="shared" si="457"/>
        <v>ASHP-SEER21+-Replace_CAC_NonElectricHeat_ROF_MF_CompE</v>
      </c>
      <c r="G4262" s="3984"/>
      <c r="H4262" s="3984"/>
      <c r="I4262" s="3984"/>
      <c r="J4262" s="3508" t="str">
        <f t="shared" si="458"/>
        <v>353711_2021_12_</v>
      </c>
      <c r="K4262" s="462">
        <f>$R$1950*K$3490</f>
        <v>1689.9245999999991</v>
      </c>
      <c r="L4262" s="93">
        <f>VLOOKUP(J4262,$J$1940:$L$2132,3,FALSE)*M4262</f>
        <v>2.08</v>
      </c>
      <c r="M4262" s="3031">
        <f>VLOOKUP(J4262,$J$3484:$K$3676,2,FALSE)</f>
        <v>0.65</v>
      </c>
      <c r="N4262" s="963"/>
      <c r="O4262" s="106"/>
      <c r="P4262" s="702"/>
      <c r="Q4262" s="574"/>
      <c r="R4262" s="702"/>
      <c r="S4262" s="106"/>
      <c r="T4262" s="486"/>
      <c r="U4262" s="106"/>
      <c r="V4262" s="4129"/>
      <c r="W4262" s="2440"/>
      <c r="X4262" s="465"/>
      <c r="Y4262" s="465"/>
      <c r="Z4262" s="462"/>
      <c r="AA4262" s="462"/>
      <c r="AB4262" s="465"/>
      <c r="AC4262" s="3569">
        <v>1689.9245999999991</v>
      </c>
      <c r="AD4262" s="462">
        <v>1689.9245999999991</v>
      </c>
      <c r="AE4262" s="2939"/>
      <c r="AF4262" s="663"/>
      <c r="AG4262" s="663"/>
      <c r="AH4262" s="156"/>
      <c r="AI4262" s="156"/>
      <c r="AJ4262" s="156"/>
      <c r="AK4262" s="156"/>
      <c r="AL4262" s="156"/>
      <c r="AM4262" s="156"/>
      <c r="AN4262" s="156"/>
      <c r="AO4262" s="156"/>
      <c r="AP4262" s="156"/>
      <c r="AQ4262" s="156"/>
      <c r="AR4262" s="156"/>
      <c r="AS4262" s="156"/>
      <c r="AT4262" s="156"/>
      <c r="AU4262" s="156"/>
      <c r="AV4262" s="156"/>
      <c r="AW4262" s="156"/>
      <c r="AX4262" s="156"/>
      <c r="AY4262" s="156"/>
      <c r="AZ4262" s="156"/>
      <c r="BA4262" s="156"/>
      <c r="BB4262" s="2828"/>
      <c r="BC4262" s="452"/>
      <c r="BD4262" s="2829"/>
      <c r="BE4262" s="2837"/>
      <c r="BF4262" s="156"/>
    </row>
    <row r="4263" spans="1:58" ht="14.5" customHeight="1" outlineLevel="1" x14ac:dyDescent="0.35">
      <c r="A4263" s="1664"/>
      <c r="B4263" s="2812"/>
      <c r="C4263" s="3077"/>
      <c r="D4263" s="3980"/>
      <c r="E4263" s="3883"/>
      <c r="F4263" s="3984" t="str">
        <f t="shared" si="457"/>
        <v>ASHP-SEER21+-Replace_CAC_NonElectricHeat_ROF_MF_CompE</v>
      </c>
      <c r="G4263" s="3984"/>
      <c r="H4263" s="3984"/>
      <c r="I4263" s="3984"/>
      <c r="J4263" s="3508" t="str">
        <f t="shared" si="458"/>
        <v>353711_2021_12_</v>
      </c>
      <c r="K4263" s="462"/>
      <c r="L4263" s="93"/>
      <c r="M4263" s="3031"/>
      <c r="N4263" s="963"/>
      <c r="O4263" s="106"/>
      <c r="P4263" s="702"/>
      <c r="Q4263" s="574"/>
      <c r="R4263" s="702"/>
      <c r="S4263" s="106"/>
      <c r="T4263" s="486"/>
      <c r="U4263" s="106"/>
      <c r="V4263" s="4129"/>
      <c r="W4263" s="2440"/>
      <c r="X4263" s="465"/>
      <c r="Y4263" s="465"/>
      <c r="Z4263" s="462"/>
      <c r="AA4263" s="462"/>
      <c r="AB4263" s="465"/>
      <c r="AC4263" s="3568"/>
      <c r="AD4263" s="462"/>
      <c r="AE4263" s="2939"/>
      <c r="AF4263" s="663"/>
      <c r="AG4263" s="663"/>
      <c r="AH4263" s="156"/>
      <c r="AI4263" s="156"/>
      <c r="AJ4263" s="156"/>
      <c r="AK4263" s="156"/>
      <c r="AL4263" s="156"/>
      <c r="AM4263" s="156"/>
      <c r="AN4263" s="156"/>
      <c r="AO4263" s="156"/>
      <c r="AP4263" s="156"/>
      <c r="AQ4263" s="156"/>
      <c r="AR4263" s="156"/>
      <c r="AS4263" s="156"/>
      <c r="AT4263" s="156"/>
      <c r="AU4263" s="156"/>
      <c r="AV4263" s="156"/>
      <c r="AW4263" s="156"/>
      <c r="AX4263" s="156"/>
      <c r="AY4263" s="156"/>
      <c r="AZ4263" s="156"/>
      <c r="BA4263" s="156"/>
      <c r="BB4263" s="2828"/>
      <c r="BC4263" s="452"/>
      <c r="BD4263" s="2829"/>
      <c r="BE4263" s="2837"/>
      <c r="BF4263" s="156"/>
    </row>
    <row r="4264" spans="1:58" ht="14.5" customHeight="1" outlineLevel="1" x14ac:dyDescent="0.35">
      <c r="A4264" s="1664"/>
      <c r="B4264" s="2812"/>
      <c r="C4264" s="3077"/>
      <c r="D4264" s="3980"/>
      <c r="E4264" s="3883"/>
      <c r="F4264" s="3984" t="str">
        <f t="shared" si="457"/>
        <v>ASHP-SEER17_ER1_SF</v>
      </c>
      <c r="G4264" s="3984"/>
      <c r="H4264" s="3984"/>
      <c r="I4264" s="3984"/>
      <c r="J4264" s="3508" t="str">
        <f t="shared" si="458"/>
        <v>353750_2021_12_</v>
      </c>
      <c r="K4264" s="465">
        <f>(($R$1960*L4264)+$R$1946)-(($Q$1960*L4264)/((1+$R$1962)^($R$1963-1)))</f>
        <v>1425.2574866940254</v>
      </c>
      <c r="L4264" s="96">
        <f>VLOOKUP(J4264,$J$1940:$L$2132,3,FALSE)*M4264</f>
        <v>2.9348947349688164</v>
      </c>
      <c r="M4264" s="3031">
        <f>VLOOKUP(J4264,$J$3484:$K$3676,2,FALSE)</f>
        <v>1</v>
      </c>
      <c r="N4264" s="963"/>
      <c r="O4264" s="106"/>
      <c r="P4264" s="702"/>
      <c r="Q4264" s="574"/>
      <c r="R4264" s="702"/>
      <c r="S4264" s="106"/>
      <c r="T4264" s="486"/>
      <c r="U4264" s="106"/>
      <c r="V4264" s="4129"/>
      <c r="W4264" s="2440">
        <v>3701.5757044416546</v>
      </c>
      <c r="X4264" s="465">
        <f>$Q$1946*(X$2040/12000)*X$3584</f>
        <v>4754.6848794243406</v>
      </c>
      <c r="Y4264" s="465">
        <v>1509.0025568704818</v>
      </c>
      <c r="Z4264" s="462">
        <v>1509.0025568704818</v>
      </c>
      <c r="AA4264" s="462">
        <v>1509.0025568704818</v>
      </c>
      <c r="AB4264" s="465">
        <v>1512.4949598081143</v>
      </c>
      <c r="AC4264" s="3569">
        <v>1423.7466093535209</v>
      </c>
      <c r="AD4264" s="465">
        <v>1425.2574866940254</v>
      </c>
      <c r="AE4264" s="2939"/>
      <c r="AF4264" s="663"/>
      <c r="AG4264" s="663"/>
      <c r="AH4264" s="156"/>
      <c r="AI4264" s="156"/>
      <c r="AJ4264" s="156"/>
      <c r="AK4264" s="156"/>
      <c r="AL4264" s="156"/>
      <c r="AM4264" s="156"/>
      <c r="AN4264" s="156"/>
      <c r="AO4264" s="156"/>
      <c r="AP4264" s="156"/>
      <c r="AQ4264" s="156"/>
      <c r="AR4264" s="156"/>
      <c r="AS4264" s="156"/>
      <c r="AT4264" s="156"/>
      <c r="AU4264" s="156"/>
      <c r="AV4264" s="156"/>
      <c r="AW4264" s="156"/>
      <c r="AX4264" s="156"/>
      <c r="AY4264" s="156"/>
      <c r="AZ4264" s="156"/>
      <c r="BA4264" s="156"/>
      <c r="BB4264" s="2828"/>
      <c r="BC4264" s="452"/>
      <c r="BD4264" s="2829"/>
      <c r="BE4264" s="2837"/>
      <c r="BF4264" s="156"/>
    </row>
    <row r="4265" spans="1:58" ht="15" customHeight="1" outlineLevel="1" x14ac:dyDescent="0.35">
      <c r="A4265" s="1664"/>
      <c r="B4265" s="2812"/>
      <c r="C4265" s="3077"/>
      <c r="D4265" s="3980"/>
      <c r="E4265" s="3883"/>
      <c r="F4265" s="3984" t="str">
        <f t="shared" si="457"/>
        <v>ASHP-SEER17_ER1_SF</v>
      </c>
      <c r="G4265" s="3984"/>
      <c r="H4265" s="3984"/>
      <c r="I4265" s="3984"/>
      <c r="J4265" s="3508" t="str">
        <f t="shared" si="458"/>
        <v>353750_2021_12_</v>
      </c>
      <c r="K4265" s="462"/>
      <c r="L4265" s="93" t="str">
        <f>IF(K4265&gt;0,VLOOKUP(J4265,$J$1940:$L$2132,3,FALSE),"")</f>
        <v/>
      </c>
      <c r="M4265" s="3031" t="str">
        <f>IF(K4265&gt;0,VLOOKUP(J4265,$J$3484:$K$3676,2,FALSE),"")</f>
        <v/>
      </c>
      <c r="N4265" s="963"/>
      <c r="O4265" s="106"/>
      <c r="P4265" s="702"/>
      <c r="Q4265" s="574"/>
      <c r="R4265" s="702"/>
      <c r="S4265" s="106"/>
      <c r="T4265" s="486"/>
      <c r="U4265" s="106"/>
      <c r="V4265" s="4129"/>
      <c r="W4265" s="2440"/>
      <c r="X4265" s="465"/>
      <c r="Y4265" s="465"/>
      <c r="Z4265" s="462"/>
      <c r="AA4265" s="462"/>
      <c r="AB4265" s="465"/>
      <c r="AC4265" s="3568"/>
      <c r="AD4265" s="462"/>
      <c r="AE4265" s="2939"/>
      <c r="AF4265" s="663"/>
      <c r="AG4265" s="663"/>
      <c r="AH4265" s="156"/>
      <c r="AI4265" s="156"/>
      <c r="AJ4265" s="156"/>
      <c r="AK4265" s="156"/>
      <c r="AL4265" s="156"/>
      <c r="AM4265" s="156"/>
      <c r="AN4265" s="156"/>
      <c r="AO4265" s="156"/>
      <c r="AP4265" s="156"/>
      <c r="AQ4265" s="156"/>
      <c r="AR4265" s="156"/>
      <c r="AS4265" s="156"/>
      <c r="AT4265" s="156"/>
      <c r="AU4265" s="156"/>
      <c r="AV4265" s="156"/>
      <c r="AW4265" s="156"/>
      <c r="AX4265" s="156"/>
      <c r="AY4265" s="156"/>
      <c r="AZ4265" s="156"/>
      <c r="BA4265" s="156"/>
      <c r="BB4265" s="2828"/>
      <c r="BC4265" s="452"/>
      <c r="BD4265" s="2829"/>
      <c r="BE4265" s="2837"/>
      <c r="BF4265" s="156"/>
    </row>
    <row r="4266" spans="1:58" ht="15" customHeight="1" outlineLevel="1" x14ac:dyDescent="0.35">
      <c r="A4266" s="1664"/>
      <c r="B4266" s="2812"/>
      <c r="C4266" s="3077"/>
      <c r="D4266" s="3980"/>
      <c r="E4266" s="3883"/>
      <c r="F4266" s="3984" t="str">
        <f t="shared" si="457"/>
        <v>ASHP-SEER17_ER2_SF</v>
      </c>
      <c r="G4266" s="3984"/>
      <c r="H4266" s="3984"/>
      <c r="I4266" s="3984"/>
      <c r="J4266" s="3508" t="str">
        <f t="shared" si="458"/>
        <v>353750_2021_12_</v>
      </c>
      <c r="K4266" s="462"/>
      <c r="L4266" s="93" t="str">
        <f>IF(K4266&gt;0,VLOOKUP(J4266,$J$1940:$L$2132,3,FALSE),"")</f>
        <v/>
      </c>
      <c r="M4266" s="3031" t="str">
        <f>IF(K4266&gt;0,VLOOKUP(J4266,$J$3484:$K$3676,2,FALSE),"")</f>
        <v/>
      </c>
      <c r="N4266" s="963"/>
      <c r="O4266" s="106"/>
      <c r="P4266" s="702"/>
      <c r="Q4266" s="574"/>
      <c r="R4266" s="702"/>
      <c r="S4266" s="106"/>
      <c r="T4266" s="486"/>
      <c r="U4266" s="106"/>
      <c r="V4266" s="4129"/>
      <c r="W4266" s="2440"/>
      <c r="X4266" s="465"/>
      <c r="Y4266" s="465"/>
      <c r="Z4266" s="462"/>
      <c r="AA4266" s="462"/>
      <c r="AB4266" s="465"/>
      <c r="AC4266" s="3568"/>
      <c r="AD4266" s="462"/>
      <c r="AE4266" s="2939"/>
      <c r="AF4266" s="663"/>
      <c r="AG4266" s="663"/>
      <c r="AH4266" s="156"/>
      <c r="AI4266" s="156"/>
      <c r="AJ4266" s="156"/>
      <c r="AK4266" s="156"/>
      <c r="AL4266" s="156"/>
      <c r="AM4266" s="156"/>
      <c r="AN4266" s="156"/>
      <c r="AO4266" s="156"/>
      <c r="AP4266" s="156"/>
      <c r="AQ4266" s="156"/>
      <c r="AR4266" s="156"/>
      <c r="AS4266" s="156"/>
      <c r="AT4266" s="156"/>
      <c r="AU4266" s="156"/>
      <c r="AV4266" s="156"/>
      <c r="AW4266" s="156"/>
      <c r="AX4266" s="156"/>
      <c r="AY4266" s="156"/>
      <c r="AZ4266" s="156"/>
      <c r="BA4266" s="156"/>
      <c r="BB4266" s="2828"/>
      <c r="BC4266" s="452"/>
      <c r="BD4266" s="2829"/>
      <c r="BE4266" s="2837"/>
      <c r="BF4266" s="156"/>
    </row>
    <row r="4267" spans="1:58" ht="15" customHeight="1" outlineLevel="1" x14ac:dyDescent="0.35">
      <c r="A4267" s="1664"/>
      <c r="B4267" s="2812"/>
      <c r="C4267" s="3077"/>
      <c r="D4267" s="3980"/>
      <c r="E4267" s="3883"/>
      <c r="F4267" s="3984" t="str">
        <f t="shared" si="457"/>
        <v>ASHP-SEER17_ER2_SF</v>
      </c>
      <c r="G4267" s="3984"/>
      <c r="H4267" s="3984"/>
      <c r="I4267" s="3984"/>
      <c r="J4267" s="3508" t="str">
        <f t="shared" si="458"/>
        <v>353750_2021_12_</v>
      </c>
      <c r="K4267" s="462"/>
      <c r="L4267" s="93" t="str">
        <f>IF(K4267&gt;0,VLOOKUP(J4267,$J$1940:$L$2132,3,FALSE),"")</f>
        <v/>
      </c>
      <c r="M4267" s="3031" t="str">
        <f>IF(K4267&gt;0,VLOOKUP(J4267,$J$3484:$K$3676,2,FALSE),"")</f>
        <v/>
      </c>
      <c r="N4267" s="963"/>
      <c r="O4267" s="106"/>
      <c r="P4267" s="702"/>
      <c r="Q4267" s="574"/>
      <c r="R4267" s="702"/>
      <c r="S4267" s="106"/>
      <c r="T4267" s="486"/>
      <c r="U4267" s="106"/>
      <c r="V4267" s="4129"/>
      <c r="W4267" s="2440"/>
      <c r="X4267" s="465"/>
      <c r="Y4267" s="465"/>
      <c r="Z4267" s="462"/>
      <c r="AA4267" s="462"/>
      <c r="AB4267" s="465"/>
      <c r="AC4267" s="3568"/>
      <c r="AD4267" s="462"/>
      <c r="AE4267" s="2939"/>
      <c r="AF4267" s="663"/>
      <c r="AG4267" s="663"/>
      <c r="AH4267" s="156"/>
      <c r="AI4267" s="156"/>
      <c r="AJ4267" s="156"/>
      <c r="AK4267" s="156"/>
      <c r="AL4267" s="156"/>
      <c r="AM4267" s="156"/>
      <c r="AN4267" s="156"/>
      <c r="AO4267" s="156"/>
      <c r="AP4267" s="156"/>
      <c r="AQ4267" s="156"/>
      <c r="AR4267" s="156"/>
      <c r="AS4267" s="156"/>
      <c r="AT4267" s="156"/>
      <c r="AU4267" s="156"/>
      <c r="AV4267" s="156"/>
      <c r="AW4267" s="156"/>
      <c r="AX4267" s="156"/>
      <c r="AY4267" s="156"/>
      <c r="AZ4267" s="156"/>
      <c r="BA4267" s="156"/>
      <c r="BB4267" s="2828"/>
      <c r="BC4267" s="452"/>
      <c r="BD4267" s="2829"/>
      <c r="BE4267" s="2837"/>
      <c r="BF4267" s="156"/>
    </row>
    <row r="4268" spans="1:58" ht="15" customHeight="1" outlineLevel="1" x14ac:dyDescent="0.35">
      <c r="A4268" s="1664"/>
      <c r="B4268" s="2812"/>
      <c r="C4268" s="3077"/>
      <c r="D4268" s="3980"/>
      <c r="E4268" s="3883"/>
      <c r="F4268" s="3984" t="str">
        <f t="shared" si="457"/>
        <v>ASHP-SEER17_ROF_SF</v>
      </c>
      <c r="G4268" s="3984"/>
      <c r="H4268" s="3984"/>
      <c r="I4268" s="3984"/>
      <c r="J4268" s="3508" t="str">
        <f t="shared" si="458"/>
        <v>353800_2021_12_</v>
      </c>
      <c r="K4268" s="462">
        <f>$R$1946*K$3490</f>
        <v>724</v>
      </c>
      <c r="L4268" s="93">
        <f>VLOOKUP(J4268,$J$1940:$L$2132,3,FALSE)*M4268</f>
        <v>2.9502063491666668</v>
      </c>
      <c r="M4268" s="3031">
        <f>VLOOKUP(J4268,$J$3484:$K$3676,2,FALSE)</f>
        <v>1</v>
      </c>
      <c r="N4268" s="963"/>
      <c r="O4268" s="106"/>
      <c r="P4268" s="702"/>
      <c r="Q4268" s="574"/>
      <c r="R4268" s="702"/>
      <c r="S4268" s="106"/>
      <c r="T4268" s="486"/>
      <c r="U4268" s="106"/>
      <c r="V4268" s="4129"/>
      <c r="W4268" s="2440">
        <v>1914</v>
      </c>
      <c r="X4268" s="465">
        <f>$R$1946*(X$2042/12000)*X$3586</f>
        <v>2389.1999999999998</v>
      </c>
      <c r="Y4268" s="465">
        <v>580</v>
      </c>
      <c r="Z4268" s="462">
        <v>580</v>
      </c>
      <c r="AA4268" s="462">
        <v>580</v>
      </c>
      <c r="AB4268" s="465">
        <v>724</v>
      </c>
      <c r="AC4268" s="3568">
        <v>724</v>
      </c>
      <c r="AD4268" s="462">
        <v>724</v>
      </c>
      <c r="AE4268" s="2939"/>
      <c r="AF4268" s="663"/>
      <c r="AG4268" s="663"/>
      <c r="AH4268" s="156"/>
      <c r="AI4268" s="156"/>
      <c r="AJ4268" s="156"/>
      <c r="AK4268" s="156"/>
      <c r="AL4268" s="156"/>
      <c r="AM4268" s="156"/>
      <c r="AN4268" s="156"/>
      <c r="AO4268" s="156"/>
      <c r="AP4268" s="156"/>
      <c r="AQ4268" s="156"/>
      <c r="AR4268" s="156"/>
      <c r="AS4268" s="156"/>
      <c r="AT4268" s="156"/>
      <c r="AU4268" s="156"/>
      <c r="AV4268" s="156"/>
      <c r="AW4268" s="156"/>
      <c r="AX4268" s="156"/>
      <c r="AY4268" s="156"/>
      <c r="AZ4268" s="156"/>
      <c r="BA4268" s="156"/>
      <c r="BB4268" s="2828"/>
      <c r="BC4268" s="452"/>
      <c r="BD4268" s="2829"/>
      <c r="BE4268" s="2837"/>
      <c r="BF4268" s="156"/>
    </row>
    <row r="4269" spans="1:58" ht="15" customHeight="1" outlineLevel="1" x14ac:dyDescent="0.35">
      <c r="A4269" s="1664"/>
      <c r="B4269" s="2812"/>
      <c r="C4269" s="3077"/>
      <c r="D4269" s="3980"/>
      <c r="E4269" s="3883"/>
      <c r="F4269" s="3984" t="str">
        <f t="shared" si="457"/>
        <v>ASHP-SEER17_ROF_SF</v>
      </c>
      <c r="G4269" s="3984"/>
      <c r="H4269" s="3984"/>
      <c r="I4269" s="3984"/>
      <c r="J4269" s="3508" t="str">
        <f t="shared" si="458"/>
        <v>353800_2021_12_</v>
      </c>
      <c r="K4269" s="462"/>
      <c r="L4269" s="93" t="str">
        <f>IF(K4269&gt;0,VLOOKUP(J4269,$J$1940:$L$2132,3,FALSE),"")</f>
        <v/>
      </c>
      <c r="M4269" s="3031" t="str">
        <f>IF(K4269&gt;0,VLOOKUP(J4269,$J$3484:$K$3676,2,FALSE),"")</f>
        <v/>
      </c>
      <c r="N4269" s="963"/>
      <c r="O4269" s="106"/>
      <c r="P4269" s="702"/>
      <c r="Q4269" s="702"/>
      <c r="R4269" s="702"/>
      <c r="S4269" s="106"/>
      <c r="T4269" s="486"/>
      <c r="U4269" s="106"/>
      <c r="V4269" s="4129"/>
      <c r="W4269" s="2440"/>
      <c r="X4269" s="465"/>
      <c r="Y4269" s="465"/>
      <c r="Z4269" s="462"/>
      <c r="AA4269" s="462"/>
      <c r="AB4269" s="465"/>
      <c r="AC4269" s="3568"/>
      <c r="AD4269" s="462"/>
      <c r="AE4269" s="2939"/>
      <c r="AF4269" s="663"/>
      <c r="AG4269" s="663"/>
      <c r="AH4269" s="156"/>
      <c r="AI4269" s="156"/>
      <c r="AJ4269" s="156"/>
      <c r="AK4269" s="156"/>
      <c r="AL4269" s="156"/>
      <c r="AM4269" s="156"/>
      <c r="AN4269" s="156"/>
      <c r="AO4269" s="156"/>
      <c r="AP4269" s="156"/>
      <c r="AQ4269" s="156"/>
      <c r="AR4269" s="156"/>
      <c r="AS4269" s="156"/>
      <c r="AT4269" s="156"/>
      <c r="AU4269" s="156"/>
      <c r="AV4269" s="156"/>
      <c r="AW4269" s="156"/>
      <c r="AX4269" s="156"/>
      <c r="AY4269" s="156"/>
      <c r="AZ4269" s="156"/>
      <c r="BA4269" s="156"/>
      <c r="BB4269" s="2828"/>
      <c r="BC4269" s="452"/>
      <c r="BD4269" s="2829"/>
      <c r="BE4269" s="2837"/>
      <c r="BF4269" s="156"/>
    </row>
    <row r="4270" spans="1:58" ht="15" customHeight="1" outlineLevel="1" x14ac:dyDescent="0.35">
      <c r="A4270" s="1664"/>
      <c r="B4270" s="2812"/>
      <c r="C4270" s="3077"/>
      <c r="D4270" s="3980"/>
      <c r="E4270" s="3883"/>
      <c r="F4270" s="3984" t="str">
        <f t="shared" si="457"/>
        <v>ASHP-SEER18_ER1_SF</v>
      </c>
      <c r="G4270" s="3984"/>
      <c r="H4270" s="3984"/>
      <c r="I4270" s="3984"/>
      <c r="J4270" s="3508" t="str">
        <f t="shared" si="458"/>
        <v>353850_2021_12_</v>
      </c>
      <c r="K4270" s="465">
        <f>(($R$1960*L4270)+$R$1947)-(($Q$1960*L4270)/((1+$R$1962)^($R$1963-1)))</f>
        <v>1681.5237652002679</v>
      </c>
      <c r="L4270" s="96">
        <f>VLOOKUP(J4270,$J$1940:$L$2132,3,FALSE)*M4270</f>
        <v>3.0074921794528389</v>
      </c>
      <c r="M4270" s="3031">
        <f>VLOOKUP(J4270,$J$3484:$K$3676,2,FALSE)</f>
        <v>1</v>
      </c>
      <c r="N4270" s="963"/>
      <c r="O4270" s="106"/>
      <c r="P4270" s="702"/>
      <c r="Q4270" s="702"/>
      <c r="R4270" s="702"/>
      <c r="S4270" s="106"/>
      <c r="T4270" s="486"/>
      <c r="U4270" s="106"/>
      <c r="V4270" s="4129"/>
      <c r="W4270" s="2440">
        <v>4141.575704441655</v>
      </c>
      <c r="X4270" s="465">
        <f>$Q$1947*(X$2043/12000)*X$3587</f>
        <v>5543.1208794243412</v>
      </c>
      <c r="Y4270" s="465">
        <v>1642.3358902038149</v>
      </c>
      <c r="Z4270" s="462">
        <v>1642.3358902038149</v>
      </c>
      <c r="AA4270" s="462">
        <v>1642.3358902038149</v>
      </c>
      <c r="AB4270" s="465">
        <v>1811.1494264602443</v>
      </c>
      <c r="AC4270" s="3569">
        <v>1729.9451804896671</v>
      </c>
      <c r="AD4270" s="465">
        <v>1681.5237652002679</v>
      </c>
      <c r="AE4270" s="2939"/>
      <c r="AF4270" s="663"/>
      <c r="AG4270" s="663"/>
      <c r="AH4270" s="156"/>
      <c r="AI4270" s="156"/>
      <c r="AJ4270" s="156"/>
      <c r="AK4270" s="156"/>
      <c r="AL4270" s="156"/>
      <c r="AM4270" s="156"/>
      <c r="AN4270" s="156"/>
      <c r="AO4270" s="156"/>
      <c r="AP4270" s="156"/>
      <c r="AQ4270" s="156"/>
      <c r="AR4270" s="156"/>
      <c r="AS4270" s="156"/>
      <c r="AT4270" s="156"/>
      <c r="AU4270" s="156"/>
      <c r="AV4270" s="156"/>
      <c r="AW4270" s="156"/>
      <c r="AX4270" s="156"/>
      <c r="AY4270" s="156"/>
      <c r="AZ4270" s="156"/>
      <c r="BA4270" s="156"/>
      <c r="BB4270" s="2828"/>
      <c r="BC4270" s="452"/>
      <c r="BD4270" s="2829"/>
      <c r="BE4270" s="2837"/>
      <c r="BF4270" s="156"/>
    </row>
    <row r="4271" spans="1:58" ht="15" customHeight="1" outlineLevel="1" x14ac:dyDescent="0.35">
      <c r="A4271" s="1664"/>
      <c r="B4271" s="2812"/>
      <c r="C4271" s="3077"/>
      <c r="D4271" s="3980"/>
      <c r="E4271" s="3883"/>
      <c r="F4271" s="3984" t="str">
        <f t="shared" si="457"/>
        <v>ASHP-SEER18_ER1_SF</v>
      </c>
      <c r="G4271" s="3984"/>
      <c r="H4271" s="3984"/>
      <c r="I4271" s="3984"/>
      <c r="J4271" s="3508" t="str">
        <f t="shared" si="458"/>
        <v>353850_2021_12_</v>
      </c>
      <c r="K4271" s="462"/>
      <c r="L4271" s="93" t="str">
        <f>IF(K4271&gt;0,VLOOKUP(J4271,$J$1940:$L$2132,3,FALSE),"")</f>
        <v/>
      </c>
      <c r="M4271" s="3031" t="str">
        <f>IF(K4271&gt;0,VLOOKUP(J4271,$J$3484:$K$3676,2,FALSE),"")</f>
        <v/>
      </c>
      <c r="N4271" s="963"/>
      <c r="O4271" s="106"/>
      <c r="P4271" s="702"/>
      <c r="Q4271" s="702"/>
      <c r="R4271" s="702"/>
      <c r="S4271" s="106"/>
      <c r="T4271" s="486"/>
      <c r="U4271" s="106"/>
      <c r="V4271" s="4129"/>
      <c r="W4271" s="2440"/>
      <c r="X4271" s="465"/>
      <c r="Y4271" s="465"/>
      <c r="Z4271" s="462"/>
      <c r="AA4271" s="462"/>
      <c r="AB4271" s="465"/>
      <c r="AC4271" s="3568"/>
      <c r="AD4271" s="462"/>
      <c r="AE4271" s="2939"/>
      <c r="AF4271" s="663"/>
      <c r="AG4271" s="663"/>
      <c r="AH4271" s="156"/>
      <c r="AI4271" s="156"/>
      <c r="AJ4271" s="156"/>
      <c r="AK4271" s="156"/>
      <c r="AL4271" s="156"/>
      <c r="AM4271" s="156"/>
      <c r="AN4271" s="156"/>
      <c r="AO4271" s="156"/>
      <c r="AP4271" s="156"/>
      <c r="AQ4271" s="156"/>
      <c r="AR4271" s="156"/>
      <c r="AS4271" s="156"/>
      <c r="AT4271" s="156"/>
      <c r="AU4271" s="156"/>
      <c r="AV4271" s="156"/>
      <c r="AW4271" s="156"/>
      <c r="AX4271" s="156"/>
      <c r="AY4271" s="156"/>
      <c r="AZ4271" s="156"/>
      <c r="BA4271" s="156"/>
      <c r="BB4271" s="2828"/>
      <c r="BC4271" s="452"/>
      <c r="BD4271" s="2829"/>
      <c r="BE4271" s="2837"/>
      <c r="BF4271" s="156"/>
    </row>
    <row r="4272" spans="1:58" ht="15" customHeight="1" outlineLevel="1" x14ac:dyDescent="0.35">
      <c r="A4272" s="1664"/>
      <c r="B4272" s="2812"/>
      <c r="C4272" s="3077"/>
      <c r="D4272" s="3980"/>
      <c r="E4272" s="3883"/>
      <c r="F4272" s="3984" t="str">
        <f t="shared" si="457"/>
        <v>ASHP-SEER18_ER2_SF</v>
      </c>
      <c r="G4272" s="3984"/>
      <c r="H4272" s="3984"/>
      <c r="I4272" s="3984"/>
      <c r="J4272" s="3508" t="str">
        <f t="shared" si="458"/>
        <v>353850_2021_12_</v>
      </c>
      <c r="K4272" s="462"/>
      <c r="L4272" s="93" t="str">
        <f>IF(K4272&gt;0,VLOOKUP(J4272,$J$1940:$L$2132,3,FALSE),"")</f>
        <v/>
      </c>
      <c r="M4272" s="3031" t="str">
        <f>IF(K4272&gt;0,VLOOKUP(J4272,$J$3484:$K$3676,2,FALSE),"")</f>
        <v/>
      </c>
      <c r="N4272" s="963"/>
      <c r="O4272" s="106"/>
      <c r="P4272" s="702"/>
      <c r="Q4272" s="702"/>
      <c r="R4272" s="702"/>
      <c r="S4272" s="106"/>
      <c r="T4272" s="486"/>
      <c r="U4272" s="106"/>
      <c r="V4272" s="4129"/>
      <c r="W4272" s="2440"/>
      <c r="X4272" s="465"/>
      <c r="Y4272" s="465"/>
      <c r="Z4272" s="462"/>
      <c r="AA4272" s="462"/>
      <c r="AB4272" s="465"/>
      <c r="AC4272" s="3568"/>
      <c r="AD4272" s="462"/>
      <c r="AE4272" s="2939"/>
      <c r="AF4272" s="663"/>
      <c r="AG4272" s="663"/>
      <c r="AH4272" s="156"/>
      <c r="AI4272" s="156"/>
      <c r="AJ4272" s="156"/>
      <c r="AK4272" s="156"/>
      <c r="AL4272" s="156"/>
      <c r="AM4272" s="156"/>
      <c r="AN4272" s="156"/>
      <c r="AO4272" s="156"/>
      <c r="AP4272" s="156"/>
      <c r="AQ4272" s="156"/>
      <c r="AR4272" s="156"/>
      <c r="AS4272" s="156"/>
      <c r="AT4272" s="156"/>
      <c r="AU4272" s="156"/>
      <c r="AV4272" s="156"/>
      <c r="AW4272" s="156"/>
      <c r="AX4272" s="156"/>
      <c r="AY4272" s="156"/>
      <c r="AZ4272" s="156"/>
      <c r="BA4272" s="156"/>
      <c r="BB4272" s="2828"/>
      <c r="BC4272" s="452"/>
      <c r="BD4272" s="2829"/>
      <c r="BE4272" s="2837"/>
      <c r="BF4272" s="156"/>
    </row>
    <row r="4273" spans="1:58" ht="15" customHeight="1" outlineLevel="1" x14ac:dyDescent="0.35">
      <c r="A4273" s="1664"/>
      <c r="B4273" s="2812"/>
      <c r="C4273" s="3077"/>
      <c r="D4273" s="3980"/>
      <c r="E4273" s="3883"/>
      <c r="F4273" s="3984" t="str">
        <f t="shared" si="457"/>
        <v>ASHP-SEER18_ER2_SF</v>
      </c>
      <c r="G4273" s="3984"/>
      <c r="H4273" s="3984"/>
      <c r="I4273" s="3984"/>
      <c r="J4273" s="3508" t="str">
        <f t="shared" si="458"/>
        <v>353850_2021_12_</v>
      </c>
      <c r="K4273" s="462"/>
      <c r="L4273" s="93" t="str">
        <f>IF(K4273&gt;0,VLOOKUP(J4273,$J$1940:$L$2132,3,FALSE),"")</f>
        <v/>
      </c>
      <c r="M4273" s="3031" t="str">
        <f>IF(K4273&gt;0,VLOOKUP(J4273,$J$3484:$K$3676,2,FALSE),"")</f>
        <v/>
      </c>
      <c r="N4273" s="963"/>
      <c r="O4273" s="106"/>
      <c r="P4273" s="702"/>
      <c r="Q4273" s="702"/>
      <c r="R4273" s="702"/>
      <c r="S4273" s="106"/>
      <c r="T4273" s="486"/>
      <c r="U4273" s="106"/>
      <c r="V4273" s="4129"/>
      <c r="W4273" s="2440"/>
      <c r="X4273" s="465"/>
      <c r="Y4273" s="465"/>
      <c r="Z4273" s="462"/>
      <c r="AA4273" s="462"/>
      <c r="AB4273" s="465"/>
      <c r="AC4273" s="3568"/>
      <c r="AD4273" s="462"/>
      <c r="AE4273" s="2939"/>
      <c r="AF4273" s="663"/>
      <c r="AG4273" s="663"/>
      <c r="AH4273" s="156"/>
      <c r="AI4273" s="156"/>
      <c r="AJ4273" s="156"/>
      <c r="AK4273" s="156"/>
      <c r="AL4273" s="156"/>
      <c r="AM4273" s="156"/>
      <c r="AN4273" s="156"/>
      <c r="AO4273" s="156"/>
      <c r="AP4273" s="156"/>
      <c r="AQ4273" s="156"/>
      <c r="AR4273" s="156"/>
      <c r="AS4273" s="156"/>
      <c r="AT4273" s="156"/>
      <c r="AU4273" s="156"/>
      <c r="AV4273" s="156"/>
      <c r="AW4273" s="156"/>
      <c r="AX4273" s="156"/>
      <c r="AY4273" s="156"/>
      <c r="AZ4273" s="156"/>
      <c r="BA4273" s="156"/>
      <c r="BB4273" s="2828"/>
      <c r="BC4273" s="452"/>
      <c r="BD4273" s="2829"/>
      <c r="BE4273" s="2837"/>
      <c r="BF4273" s="156"/>
    </row>
    <row r="4274" spans="1:58" ht="15" customHeight="1" outlineLevel="1" x14ac:dyDescent="0.35">
      <c r="A4274" s="1664"/>
      <c r="B4274" s="2812"/>
      <c r="C4274" s="3077"/>
      <c r="D4274" s="3980"/>
      <c r="E4274" s="3883"/>
      <c r="F4274" s="3984" t="str">
        <f t="shared" si="457"/>
        <v>ASHP-SEER18_ROF_SF</v>
      </c>
      <c r="G4274" s="3984"/>
      <c r="H4274" s="3984"/>
      <c r="I4274" s="3984"/>
      <c r="J4274" s="3508" t="str">
        <f t="shared" si="458"/>
        <v>353950_2021_12_</v>
      </c>
      <c r="K4274" s="462">
        <f>$R$1947*K$3490</f>
        <v>962.92000000000007</v>
      </c>
      <c r="L4274" s="93">
        <f>VLOOKUP(J4274,$J$1940:$L$2132,3,FALSE)*M4274</f>
        <v>3.1232222977546749</v>
      </c>
      <c r="M4274" s="3031">
        <f>VLOOKUP(J4274,$J$3484:$K$3676,2,FALSE)</f>
        <v>1</v>
      </c>
      <c r="N4274" s="963"/>
      <c r="O4274" s="106"/>
      <c r="P4274" s="702"/>
      <c r="Q4274" s="702"/>
      <c r="R4274" s="702"/>
      <c r="S4274" s="106"/>
      <c r="T4274" s="486"/>
      <c r="U4274" s="106"/>
      <c r="V4274" s="4129"/>
      <c r="W4274" s="2440">
        <v>2354</v>
      </c>
      <c r="X4274" s="465">
        <f>$R$1947*(X$2045/12000)*X$3589</f>
        <v>3177.636</v>
      </c>
      <c r="Y4274" s="465">
        <v>713.33333333333337</v>
      </c>
      <c r="Z4274" s="462">
        <v>713.33333333333337</v>
      </c>
      <c r="AA4274" s="462">
        <v>713.33333333333337</v>
      </c>
      <c r="AB4274" s="465">
        <v>962.92000000000007</v>
      </c>
      <c r="AC4274" s="3568">
        <v>962.92000000000007</v>
      </c>
      <c r="AD4274" s="462">
        <v>962.92000000000007</v>
      </c>
      <c r="AE4274" s="2939"/>
      <c r="AF4274" s="663"/>
      <c r="AG4274" s="663"/>
      <c r="AH4274" s="156"/>
      <c r="AI4274" s="156"/>
      <c r="AJ4274" s="156"/>
      <c r="AK4274" s="156"/>
      <c r="AL4274" s="156"/>
      <c r="AM4274" s="156"/>
      <c r="AN4274" s="156"/>
      <c r="AO4274" s="156"/>
      <c r="AP4274" s="156"/>
      <c r="AQ4274" s="156"/>
      <c r="AR4274" s="156"/>
      <c r="AS4274" s="156"/>
      <c r="AT4274" s="156"/>
      <c r="AU4274" s="156"/>
      <c r="AV4274" s="156"/>
      <c r="AW4274" s="156"/>
      <c r="AX4274" s="156"/>
      <c r="AY4274" s="156"/>
      <c r="AZ4274" s="156"/>
      <c r="BA4274" s="156"/>
      <c r="BB4274" s="2828"/>
      <c r="BC4274" s="452"/>
      <c r="BD4274" s="2829"/>
      <c r="BE4274" s="2837"/>
      <c r="BF4274" s="156"/>
    </row>
    <row r="4275" spans="1:58" ht="15" customHeight="1" outlineLevel="1" x14ac:dyDescent="0.35">
      <c r="A4275" s="1664"/>
      <c r="B4275" s="2812"/>
      <c r="C4275" s="3077"/>
      <c r="D4275" s="3980"/>
      <c r="E4275" s="3883"/>
      <c r="F4275" s="3984" t="str">
        <f t="shared" si="457"/>
        <v>ASHP-SEER18_ROF_SF</v>
      </c>
      <c r="G4275" s="3984"/>
      <c r="H4275" s="3984"/>
      <c r="I4275" s="3984"/>
      <c r="J4275" s="3508" t="str">
        <f t="shared" si="458"/>
        <v>353950_2021_12_</v>
      </c>
      <c r="K4275" s="462"/>
      <c r="L4275" s="93" t="str">
        <f>IF(K4275&gt;0,VLOOKUP(J4275,$J$1940:$L$2132,3,FALSE),"")</f>
        <v/>
      </c>
      <c r="M4275" s="3031" t="str">
        <f>IF(K4275&gt;0,VLOOKUP(J4275,$J$3484:$K$3676,2,FALSE),"")</f>
        <v/>
      </c>
      <c r="N4275" s="963"/>
      <c r="O4275" s="106"/>
      <c r="P4275" s="702"/>
      <c r="Q4275" s="702"/>
      <c r="R4275" s="702"/>
      <c r="S4275" s="106"/>
      <c r="T4275" s="486"/>
      <c r="U4275" s="106"/>
      <c r="V4275" s="4129"/>
      <c r="W4275" s="2440"/>
      <c r="X4275" s="465"/>
      <c r="Y4275" s="465"/>
      <c r="Z4275" s="462"/>
      <c r="AA4275" s="462"/>
      <c r="AB4275" s="465"/>
      <c r="AC4275" s="3568"/>
      <c r="AD4275" s="462"/>
      <c r="AE4275" s="2939"/>
      <c r="AF4275" s="663"/>
      <c r="AG4275" s="663"/>
      <c r="AH4275" s="156"/>
      <c r="AI4275" s="156"/>
      <c r="AJ4275" s="156"/>
      <c r="AK4275" s="156"/>
      <c r="AL4275" s="156"/>
      <c r="AM4275" s="156"/>
      <c r="AN4275" s="156"/>
      <c r="AO4275" s="156"/>
      <c r="AP4275" s="156"/>
      <c r="AQ4275" s="156"/>
      <c r="AR4275" s="156"/>
      <c r="AS4275" s="156"/>
      <c r="AT4275" s="156"/>
      <c r="AU4275" s="156"/>
      <c r="AV4275" s="156"/>
      <c r="AW4275" s="156"/>
      <c r="AX4275" s="156"/>
      <c r="AY4275" s="156"/>
      <c r="AZ4275" s="156"/>
      <c r="BA4275" s="156"/>
      <c r="BB4275" s="2828"/>
      <c r="BC4275" s="452"/>
      <c r="BD4275" s="2829"/>
      <c r="BE4275" s="2837"/>
      <c r="BF4275" s="156"/>
    </row>
    <row r="4276" spans="1:58" ht="15" customHeight="1" outlineLevel="1" x14ac:dyDescent="0.35">
      <c r="A4276" s="1664"/>
      <c r="B4276" s="2812"/>
      <c r="C4276" s="3077"/>
      <c r="D4276" s="3980"/>
      <c r="E4276" s="3883"/>
      <c r="F4276" s="3984" t="str">
        <f t="shared" si="457"/>
        <v>ASHP-SEER19_ER1_SF</v>
      </c>
      <c r="G4276" s="3984"/>
      <c r="H4276" s="3984"/>
      <c r="I4276" s="3984"/>
      <c r="J4276" s="3508" t="str">
        <f t="shared" si="458"/>
        <v>354000_2021_12_</v>
      </c>
      <c r="K4276" s="465">
        <f>(($R$1960*L4276)+$R$1948)-(($Q$1960*L4276)/((1+$R$1962)^($R$1963-1)))</f>
        <v>2105.1914618743731</v>
      </c>
      <c r="L4276" s="96">
        <f>VLOOKUP(J4276,$J$1940:$L$2132,3,FALSE)*M4276</f>
        <v>3.7731209149509808</v>
      </c>
      <c r="M4276" s="3031">
        <f>VLOOKUP(J4276,$J$3484:$K$3676,2,FALSE)</f>
        <v>1</v>
      </c>
      <c r="N4276" s="963"/>
      <c r="O4276" s="106"/>
      <c r="P4276" s="702"/>
      <c r="Q4276" s="702"/>
      <c r="R4276" s="702"/>
      <c r="S4276" s="106"/>
      <c r="T4276" s="486"/>
      <c r="U4276" s="106"/>
      <c r="V4276" s="4129"/>
      <c r="W4276" s="2440">
        <v>4471.575704441655</v>
      </c>
      <c r="X4276" s="465">
        <f>$Q$1948*(X$2046/12000)*$K$3590</f>
        <v>6337.5298794243427</v>
      </c>
      <c r="Y4276" s="465">
        <v>1742.3358902038149</v>
      </c>
      <c r="Z4276" s="462">
        <v>1742.3358902038149</v>
      </c>
      <c r="AA4276" s="462">
        <v>1742.3358902038149</v>
      </c>
      <c r="AB4276" s="465">
        <v>1992.1449598081149</v>
      </c>
      <c r="AC4276" s="3569">
        <v>2159.4014664340775</v>
      </c>
      <c r="AD4276" s="465">
        <v>2105.1914618743731</v>
      </c>
      <c r="AE4276" s="2939"/>
      <c r="AF4276" s="663"/>
      <c r="AG4276" s="663"/>
      <c r="AH4276" s="156"/>
      <c r="AI4276" s="156"/>
      <c r="AJ4276" s="156"/>
      <c r="AK4276" s="156"/>
      <c r="AL4276" s="156"/>
      <c r="AM4276" s="156"/>
      <c r="AN4276" s="156"/>
      <c r="AO4276" s="156"/>
      <c r="AP4276" s="156"/>
      <c r="AQ4276" s="156"/>
      <c r="AR4276" s="156"/>
      <c r="AS4276" s="156"/>
      <c r="AT4276" s="156"/>
      <c r="AU4276" s="156"/>
      <c r="AV4276" s="156"/>
      <c r="AW4276" s="156"/>
      <c r="AX4276" s="156"/>
      <c r="AY4276" s="156"/>
      <c r="AZ4276" s="156"/>
      <c r="BA4276" s="156"/>
      <c r="BB4276" s="2828"/>
      <c r="BC4276" s="452"/>
      <c r="BD4276" s="2829"/>
      <c r="BE4276" s="2837"/>
      <c r="BF4276" s="156"/>
    </row>
    <row r="4277" spans="1:58" ht="15" customHeight="1" outlineLevel="1" x14ac:dyDescent="0.35">
      <c r="A4277" s="1664"/>
      <c r="B4277" s="2812"/>
      <c r="C4277" s="3077"/>
      <c r="D4277" s="3980"/>
      <c r="E4277" s="3883"/>
      <c r="F4277" s="3984" t="str">
        <f t="shared" si="457"/>
        <v>ASHP-SEER19_ER1_SF</v>
      </c>
      <c r="G4277" s="3984"/>
      <c r="H4277" s="3984"/>
      <c r="I4277" s="3984"/>
      <c r="J4277" s="3508" t="str">
        <f t="shared" si="458"/>
        <v>354000_2021_12_</v>
      </c>
      <c r="K4277" s="462"/>
      <c r="L4277" s="93" t="str">
        <f>IF(K4277&gt;0,VLOOKUP(J4277,$J$1940:$L$2132,3,FALSE),"")</f>
        <v/>
      </c>
      <c r="M4277" s="3031" t="str">
        <f>IF(K4277&gt;0,VLOOKUP(J4277,$J$3484:$K$3676,2,FALSE),"")</f>
        <v/>
      </c>
      <c r="N4277" s="963"/>
      <c r="O4277" s="106"/>
      <c r="P4277" s="702"/>
      <c r="Q4277" s="702"/>
      <c r="R4277" s="702"/>
      <c r="S4277" s="106"/>
      <c r="T4277" s="486"/>
      <c r="U4277" s="106"/>
      <c r="V4277" s="4129"/>
      <c r="W4277" s="2440"/>
      <c r="X4277" s="465"/>
      <c r="Y4277" s="465"/>
      <c r="Z4277" s="462"/>
      <c r="AA4277" s="462"/>
      <c r="AB4277" s="465"/>
      <c r="AC4277" s="3568"/>
      <c r="AD4277" s="462"/>
      <c r="AE4277" s="2939"/>
      <c r="AF4277" s="663"/>
      <c r="AG4277" s="663"/>
      <c r="AH4277" s="156"/>
      <c r="AI4277" s="156"/>
      <c r="AJ4277" s="156"/>
      <c r="AK4277" s="156"/>
      <c r="AL4277" s="156"/>
      <c r="AM4277" s="156"/>
      <c r="AN4277" s="156"/>
      <c r="AO4277" s="156"/>
      <c r="AP4277" s="156"/>
      <c r="AQ4277" s="156"/>
      <c r="AR4277" s="156"/>
      <c r="AS4277" s="156"/>
      <c r="AT4277" s="156"/>
      <c r="AU4277" s="156"/>
      <c r="AV4277" s="156"/>
      <c r="AW4277" s="156"/>
      <c r="AX4277" s="156"/>
      <c r="AY4277" s="156"/>
      <c r="AZ4277" s="156"/>
      <c r="BA4277" s="156"/>
      <c r="BB4277" s="2828"/>
      <c r="BC4277" s="452"/>
      <c r="BD4277" s="2829"/>
      <c r="BE4277" s="2837"/>
      <c r="BF4277" s="156"/>
    </row>
    <row r="4278" spans="1:58" ht="15" customHeight="1" outlineLevel="1" x14ac:dyDescent="0.35">
      <c r="A4278" s="1664"/>
      <c r="B4278" s="2812"/>
      <c r="C4278" s="3077"/>
      <c r="D4278" s="3980"/>
      <c r="E4278" s="3883"/>
      <c r="F4278" s="3984" t="str">
        <f t="shared" si="457"/>
        <v>ASHP-SEER19_ER2_SF</v>
      </c>
      <c r="G4278" s="3984"/>
      <c r="H4278" s="3984"/>
      <c r="I4278" s="3984"/>
      <c r="J4278" s="3508" t="str">
        <f t="shared" si="458"/>
        <v>354000_2021_12_</v>
      </c>
      <c r="K4278" s="462"/>
      <c r="L4278" s="93" t="str">
        <f>IF(K4278&gt;0,VLOOKUP(J4278,$J$1940:$L$2132,3,FALSE),"")</f>
        <v/>
      </c>
      <c r="M4278" s="3031" t="str">
        <f>IF(K4278&gt;0,VLOOKUP(J4278,$J$3484:$K$3676,2,FALSE),"")</f>
        <v/>
      </c>
      <c r="N4278" s="963"/>
      <c r="O4278" s="106"/>
      <c r="P4278" s="702"/>
      <c r="Q4278" s="702"/>
      <c r="R4278" s="702"/>
      <c r="S4278" s="106"/>
      <c r="T4278" s="486"/>
      <c r="U4278" s="106"/>
      <c r="V4278" s="4129"/>
      <c r="W4278" s="2440"/>
      <c r="X4278" s="465"/>
      <c r="Y4278" s="465"/>
      <c r="Z4278" s="462"/>
      <c r="AA4278" s="462"/>
      <c r="AB4278" s="465"/>
      <c r="AC4278" s="3568"/>
      <c r="AD4278" s="462"/>
      <c r="AE4278" s="2939"/>
      <c r="AF4278" s="663"/>
      <c r="AG4278" s="663"/>
      <c r="AH4278" s="156"/>
      <c r="AI4278" s="156"/>
      <c r="AJ4278" s="156"/>
      <c r="AK4278" s="156"/>
      <c r="AL4278" s="156"/>
      <c r="AM4278" s="156"/>
      <c r="AN4278" s="156"/>
      <c r="AO4278" s="156"/>
      <c r="AP4278" s="156"/>
      <c r="AQ4278" s="156"/>
      <c r="AR4278" s="156"/>
      <c r="AS4278" s="156"/>
      <c r="AT4278" s="156"/>
      <c r="AU4278" s="156"/>
      <c r="AV4278" s="156"/>
      <c r="AW4278" s="156"/>
      <c r="AX4278" s="156"/>
      <c r="AY4278" s="156"/>
      <c r="AZ4278" s="156"/>
      <c r="BA4278" s="156"/>
      <c r="BB4278" s="2828"/>
      <c r="BC4278" s="452"/>
      <c r="BD4278" s="2829"/>
      <c r="BE4278" s="2837"/>
      <c r="BF4278" s="156"/>
    </row>
    <row r="4279" spans="1:58" ht="15" customHeight="1" outlineLevel="1" x14ac:dyDescent="0.35">
      <c r="A4279" s="1664"/>
      <c r="B4279" s="2812"/>
      <c r="C4279" s="3077"/>
      <c r="D4279" s="3980"/>
      <c r="E4279" s="3883"/>
      <c r="F4279" s="3984" t="str">
        <f t="shared" si="457"/>
        <v>ASHP-SEER19_ER2_SF</v>
      </c>
      <c r="G4279" s="3984"/>
      <c r="H4279" s="3984"/>
      <c r="I4279" s="3984"/>
      <c r="J4279" s="3508" t="str">
        <f t="shared" si="458"/>
        <v>354000_2021_12_</v>
      </c>
      <c r="K4279" s="462"/>
      <c r="L4279" s="93" t="str">
        <f>IF(K4279&gt;0,VLOOKUP(J4279,$J$1940:$L$2132,3,FALSE),"")</f>
        <v/>
      </c>
      <c r="M4279" s="3031" t="str">
        <f>IF(K4279&gt;0,VLOOKUP(J4279,$J$3484:$K$3676,2,FALSE),"")</f>
        <v/>
      </c>
      <c r="N4279" s="963"/>
      <c r="O4279" s="106"/>
      <c r="P4279" s="702"/>
      <c r="Q4279" s="702"/>
      <c r="R4279" s="702"/>
      <c r="S4279" s="106"/>
      <c r="T4279" s="486"/>
      <c r="U4279" s="106"/>
      <c r="V4279" s="4129"/>
      <c r="W4279" s="2440"/>
      <c r="X4279" s="465"/>
      <c r="Y4279" s="465"/>
      <c r="Z4279" s="462"/>
      <c r="AA4279" s="462"/>
      <c r="AB4279" s="465"/>
      <c r="AC4279" s="3568"/>
      <c r="AD4279" s="462"/>
      <c r="AE4279" s="2939"/>
      <c r="AF4279" s="663"/>
      <c r="AG4279" s="663"/>
      <c r="AH4279" s="156"/>
      <c r="AI4279" s="156"/>
      <c r="AJ4279" s="156"/>
      <c r="AK4279" s="156"/>
      <c r="AL4279" s="156"/>
      <c r="AM4279" s="156"/>
      <c r="AN4279" s="156"/>
      <c r="AO4279" s="156"/>
      <c r="AP4279" s="156"/>
      <c r="AQ4279" s="156"/>
      <c r="AR4279" s="156"/>
      <c r="AS4279" s="156"/>
      <c r="AT4279" s="156"/>
      <c r="AU4279" s="156"/>
      <c r="AV4279" s="156"/>
      <c r="AW4279" s="156"/>
      <c r="AX4279" s="156"/>
      <c r="AY4279" s="156"/>
      <c r="AZ4279" s="156"/>
      <c r="BA4279" s="156"/>
      <c r="BB4279" s="2828"/>
      <c r="BC4279" s="452"/>
      <c r="BD4279" s="2829"/>
      <c r="BE4279" s="2837"/>
      <c r="BF4279" s="156"/>
    </row>
    <row r="4280" spans="1:58" ht="15" customHeight="1" outlineLevel="1" x14ac:dyDescent="0.35">
      <c r="A4280" s="1664"/>
      <c r="B4280" s="2812"/>
      <c r="C4280" s="3077"/>
      <c r="D4280" s="3980"/>
      <c r="E4280" s="3883"/>
      <c r="F4280" s="3984" t="str">
        <f t="shared" si="457"/>
        <v>ASHP-SEER19_ROF_SF</v>
      </c>
      <c r="G4280" s="3984"/>
      <c r="H4280" s="3984"/>
      <c r="I4280" s="3984"/>
      <c r="J4280" s="3508" t="str">
        <f t="shared" si="458"/>
        <v>354050_2021_12_</v>
      </c>
      <c r="K4280" s="465">
        <f>$R$1948*K$3490</f>
        <v>1203.6500000000003</v>
      </c>
      <c r="L4280" s="96">
        <f>VLOOKUP(J4280,$J$1940:$L$2132,3,FALSE)*M4280</f>
        <v>2.9920329673076922</v>
      </c>
      <c r="M4280" s="3031">
        <f>VLOOKUP(J4280,$J$3484:$K$3676,2,FALSE)</f>
        <v>1</v>
      </c>
      <c r="N4280" s="963"/>
      <c r="O4280" s="106"/>
      <c r="P4280" s="702"/>
      <c r="Q4280" s="702"/>
      <c r="R4280" s="702"/>
      <c r="S4280" s="106"/>
      <c r="T4280" s="486"/>
      <c r="U4280" s="106"/>
      <c r="V4280" s="4129"/>
      <c r="W4280" s="2440">
        <v>2684</v>
      </c>
      <c r="X4280" s="465">
        <f>$R$1948*(X$2048/12000)*X$3592</f>
        <v>3972.045000000001</v>
      </c>
      <c r="Y4280" s="465">
        <v>813.33333333333337</v>
      </c>
      <c r="Z4280" s="462">
        <v>813.33333333333337</v>
      </c>
      <c r="AA4280" s="462">
        <v>813.33333333333337</v>
      </c>
      <c r="AB4280" s="465">
        <v>1203.6500000000003</v>
      </c>
      <c r="AC4280" s="3568">
        <v>1203.6500000000003</v>
      </c>
      <c r="AD4280" s="465">
        <v>1203.6500000000003</v>
      </c>
      <c r="AE4280" s="2939"/>
      <c r="AF4280" s="663"/>
      <c r="AG4280" s="663"/>
      <c r="AH4280" s="156"/>
      <c r="AI4280" s="156"/>
      <c r="AJ4280" s="156"/>
      <c r="AK4280" s="156"/>
      <c r="AL4280" s="156"/>
      <c r="AM4280" s="156"/>
      <c r="AN4280" s="156"/>
      <c r="AO4280" s="156"/>
      <c r="AP4280" s="156"/>
      <c r="AQ4280" s="156"/>
      <c r="AR4280" s="156"/>
      <c r="AS4280" s="156"/>
      <c r="AT4280" s="156"/>
      <c r="AU4280" s="156"/>
      <c r="AV4280" s="156"/>
      <c r="AW4280" s="156"/>
      <c r="AX4280" s="156"/>
      <c r="AY4280" s="156"/>
      <c r="AZ4280" s="156"/>
      <c r="BA4280" s="156"/>
      <c r="BB4280" s="2828"/>
      <c r="BC4280" s="452"/>
      <c r="BD4280" s="2829"/>
      <c r="BE4280" s="2837"/>
      <c r="BF4280" s="156"/>
    </row>
    <row r="4281" spans="1:58" ht="15" customHeight="1" outlineLevel="1" x14ac:dyDescent="0.35">
      <c r="A4281" s="1664"/>
      <c r="B4281" s="2812"/>
      <c r="C4281" s="3077"/>
      <c r="D4281" s="3980"/>
      <c r="E4281" s="3883"/>
      <c r="F4281" s="3984" t="str">
        <f t="shared" si="457"/>
        <v>ASHP-SEER19_ROF_SF</v>
      </c>
      <c r="G4281" s="3984"/>
      <c r="H4281" s="3984"/>
      <c r="I4281" s="3984"/>
      <c r="J4281" s="3508" t="str">
        <f t="shared" si="458"/>
        <v>354050_2021_12_</v>
      </c>
      <c r="K4281" s="462"/>
      <c r="L4281" s="93" t="str">
        <f>IF(K4281&gt;0,VLOOKUP(J4281,$J$1940:$L$2132,3,FALSE),"")</f>
        <v/>
      </c>
      <c r="M4281" s="3031" t="str">
        <f>IF(K4281&gt;0,VLOOKUP(J4281,$J$3484:$K$3676,2,FALSE),"")</f>
        <v/>
      </c>
      <c r="N4281" s="963"/>
      <c r="O4281" s="106"/>
      <c r="P4281" s="702"/>
      <c r="Q4281" s="702"/>
      <c r="R4281" s="702"/>
      <c r="S4281" s="106"/>
      <c r="T4281" s="486"/>
      <c r="U4281" s="106"/>
      <c r="V4281" s="4129"/>
      <c r="W4281" s="2440"/>
      <c r="X4281" s="465"/>
      <c r="Y4281" s="465"/>
      <c r="Z4281" s="462"/>
      <c r="AA4281" s="462"/>
      <c r="AB4281" s="465"/>
      <c r="AC4281" s="3568"/>
      <c r="AD4281" s="462"/>
      <c r="AE4281" s="2939"/>
      <c r="AF4281" s="663"/>
      <c r="AG4281" s="663"/>
      <c r="AH4281" s="156"/>
      <c r="AI4281" s="156"/>
      <c r="AJ4281" s="156"/>
      <c r="AK4281" s="156"/>
      <c r="AL4281" s="156"/>
      <c r="AM4281" s="156"/>
      <c r="AN4281" s="156"/>
      <c r="AO4281" s="156"/>
      <c r="AP4281" s="156"/>
      <c r="AQ4281" s="156"/>
      <c r="AR4281" s="156"/>
      <c r="AS4281" s="156"/>
      <c r="AT4281" s="156"/>
      <c r="AU4281" s="156"/>
      <c r="AV4281" s="156"/>
      <c r="AW4281" s="156"/>
      <c r="AX4281" s="156"/>
      <c r="AY4281" s="156"/>
      <c r="AZ4281" s="156"/>
      <c r="BA4281" s="156"/>
      <c r="BB4281" s="2828"/>
      <c r="BC4281" s="452"/>
      <c r="BD4281" s="2829"/>
      <c r="BE4281" s="2837"/>
      <c r="BF4281" s="156"/>
    </row>
    <row r="4282" spans="1:58" ht="15" customHeight="1" outlineLevel="1" x14ac:dyDescent="0.35">
      <c r="A4282" s="1664"/>
      <c r="B4282" s="2812"/>
      <c r="C4282" s="3077"/>
      <c r="D4282" s="3980"/>
      <c r="E4282" s="3883"/>
      <c r="F4282" s="3984" t="str">
        <f t="shared" si="457"/>
        <v>ASHP-SEER17-Replace_CAC_ElectricHeat_ER1_SF</v>
      </c>
      <c r="G4282" s="3984"/>
      <c r="H4282" s="3984"/>
      <c r="I4282" s="3984"/>
      <c r="J4282" s="3508" t="str">
        <f t="shared" si="458"/>
        <v>354100_2021_12_</v>
      </c>
      <c r="K4282" s="465">
        <f>(($R$1960*L4282)+$R$1946)-(($Q$1960*L4282)/((1+$R$1962)^($R$1963-1)))</f>
        <v>1425.2574866940254</v>
      </c>
      <c r="L4282" s="96">
        <f>VLOOKUP(J4282,$J$1940:$L$2132,3,FALSE)*M4282</f>
        <v>2.9348947349688164</v>
      </c>
      <c r="M4282" s="3031">
        <f>VLOOKUP(J4282,$J$3484:$K$3676,2,FALSE)</f>
        <v>1</v>
      </c>
      <c r="N4282" s="963"/>
      <c r="O4282" s="106"/>
      <c r="P4282" s="702"/>
      <c r="Q4282" s="702"/>
      <c r="R4282" s="702"/>
      <c r="S4282" s="106"/>
      <c r="T4282" s="486"/>
      <c r="U4282" s="106"/>
      <c r="V4282" s="4129"/>
      <c r="W4282" s="2440">
        <v>3824.9615612563771</v>
      </c>
      <c r="X4282" s="465">
        <f>(X$2049/12000)*$Q$1946*X$3593</f>
        <v>4466.5221594592294</v>
      </c>
      <c r="Y4282" s="465">
        <v>1452.6993716056036</v>
      </c>
      <c r="Z4282" s="462">
        <v>1452.6993716056036</v>
      </c>
      <c r="AA4282" s="462">
        <v>1452.6993716056036</v>
      </c>
      <c r="AB4282" s="465">
        <v>1464.7073864864105</v>
      </c>
      <c r="AC4282" s="3569">
        <v>1402.8007574105659</v>
      </c>
      <c r="AD4282" s="465">
        <v>1425.2574866940254</v>
      </c>
      <c r="AE4282" s="2939"/>
      <c r="AF4282" s="663"/>
      <c r="AG4282" s="663"/>
      <c r="AH4282" s="156"/>
      <c r="AI4282" s="156"/>
      <c r="AJ4282" s="156"/>
      <c r="AK4282" s="156"/>
      <c r="AL4282" s="156"/>
      <c r="AM4282" s="156"/>
      <c r="AN4282" s="156"/>
      <c r="AO4282" s="156"/>
      <c r="AP4282" s="156"/>
      <c r="AQ4282" s="156"/>
      <c r="AR4282" s="156"/>
      <c r="AS4282" s="156"/>
      <c r="AT4282" s="156"/>
      <c r="AU4282" s="156"/>
      <c r="AV4282" s="156"/>
      <c r="AW4282" s="156"/>
      <c r="AX4282" s="156"/>
      <c r="AY4282" s="156"/>
      <c r="AZ4282" s="156"/>
      <c r="BA4282" s="156"/>
      <c r="BB4282" s="2828"/>
      <c r="BC4282" s="452"/>
      <c r="BD4282" s="2829"/>
      <c r="BE4282" s="2837"/>
      <c r="BF4282" s="156"/>
    </row>
    <row r="4283" spans="1:58" ht="15" customHeight="1" outlineLevel="1" x14ac:dyDescent="0.35">
      <c r="A4283" s="1664"/>
      <c r="B4283" s="2812"/>
      <c r="C4283" s="3077"/>
      <c r="D4283" s="3980"/>
      <c r="E4283" s="3883"/>
      <c r="F4283" s="3984" t="str">
        <f t="shared" si="457"/>
        <v>ASHP-SEER17-Replace_CAC_ElectricHeat_ER1_SF</v>
      </c>
      <c r="G4283" s="3984"/>
      <c r="H4283" s="3984"/>
      <c r="I4283" s="3984"/>
      <c r="J4283" s="3508" t="str">
        <f t="shared" si="458"/>
        <v>354100_2021_12_</v>
      </c>
      <c r="K4283" s="462"/>
      <c r="L4283" s="93" t="str">
        <f>IF(K4283&gt;0,VLOOKUP(J4283,$J$1940:$L$2132,3,FALSE),"")</f>
        <v/>
      </c>
      <c r="M4283" s="3031" t="str">
        <f>IF(K4283&gt;0,VLOOKUP(J4283,$J$3484:$K$3676,2,FALSE),"")</f>
        <v/>
      </c>
      <c r="N4283" s="963"/>
      <c r="O4283" s="106"/>
      <c r="P4283" s="702"/>
      <c r="Q4283" s="702"/>
      <c r="R4283" s="702"/>
      <c r="S4283" s="106"/>
      <c r="T4283" s="486"/>
      <c r="U4283" s="106"/>
      <c r="V4283" s="4129"/>
      <c r="W4283" s="2440"/>
      <c r="X4283" s="465"/>
      <c r="Y4283" s="465"/>
      <c r="Z4283" s="462"/>
      <c r="AA4283" s="462"/>
      <c r="AB4283" s="465"/>
      <c r="AC4283" s="3568"/>
      <c r="AD4283" s="462"/>
      <c r="AE4283" s="2939"/>
      <c r="AF4283" s="663"/>
      <c r="AG4283" s="663"/>
      <c r="AH4283" s="156"/>
      <c r="AI4283" s="156"/>
      <c r="AJ4283" s="156"/>
      <c r="AK4283" s="156"/>
      <c r="AL4283" s="156"/>
      <c r="AM4283" s="156"/>
      <c r="AN4283" s="156"/>
      <c r="AO4283" s="156"/>
      <c r="AP4283" s="156"/>
      <c r="AQ4283" s="156"/>
      <c r="AR4283" s="156"/>
      <c r="AS4283" s="156"/>
      <c r="AT4283" s="156"/>
      <c r="AU4283" s="156"/>
      <c r="AV4283" s="156"/>
      <c r="AW4283" s="156"/>
      <c r="AX4283" s="156"/>
      <c r="AY4283" s="156"/>
      <c r="AZ4283" s="156"/>
      <c r="BA4283" s="156"/>
      <c r="BB4283" s="2828"/>
      <c r="BC4283" s="452"/>
      <c r="BD4283" s="2829"/>
      <c r="BE4283" s="2837"/>
      <c r="BF4283" s="156"/>
    </row>
    <row r="4284" spans="1:58" ht="15" customHeight="1" outlineLevel="1" x14ac:dyDescent="0.35">
      <c r="A4284" s="1664"/>
      <c r="B4284" s="2812"/>
      <c r="C4284" s="3077"/>
      <c r="D4284" s="3980"/>
      <c r="E4284" s="3883"/>
      <c r="F4284" s="3984" t="str">
        <f t="shared" si="457"/>
        <v>ASHP-SEER17-Replace_CAC_ElectricHeat_ER2_SF</v>
      </c>
      <c r="G4284" s="3984"/>
      <c r="H4284" s="3984"/>
      <c r="I4284" s="3984"/>
      <c r="J4284" s="3508" t="str">
        <f t="shared" si="458"/>
        <v>354100_2021_12_</v>
      </c>
      <c r="K4284" s="462"/>
      <c r="L4284" s="93" t="str">
        <f>IF(K4284&gt;0,VLOOKUP(J4284,$J$1940:$L$2132,3,FALSE),"")</f>
        <v/>
      </c>
      <c r="M4284" s="3031" t="str">
        <f>IF(K4284&gt;0,VLOOKUP(J4284,$J$3484:$K$3676,2,FALSE),"")</f>
        <v/>
      </c>
      <c r="N4284" s="963"/>
      <c r="O4284" s="106"/>
      <c r="P4284" s="702"/>
      <c r="Q4284" s="702"/>
      <c r="R4284" s="702"/>
      <c r="S4284" s="106"/>
      <c r="T4284" s="486"/>
      <c r="U4284" s="106"/>
      <c r="V4284" s="4129"/>
      <c r="W4284" s="2440"/>
      <c r="X4284" s="465"/>
      <c r="Y4284" s="465"/>
      <c r="Z4284" s="462"/>
      <c r="AA4284" s="462"/>
      <c r="AB4284" s="465"/>
      <c r="AC4284" s="3568"/>
      <c r="AD4284" s="462"/>
      <c r="AE4284" s="2939"/>
      <c r="AF4284" s="663"/>
      <c r="AG4284" s="663"/>
      <c r="AH4284" s="156"/>
      <c r="AI4284" s="156"/>
      <c r="AJ4284" s="156"/>
      <c r="AK4284" s="156"/>
      <c r="AL4284" s="156"/>
      <c r="AM4284" s="156"/>
      <c r="AN4284" s="156"/>
      <c r="AO4284" s="156"/>
      <c r="AP4284" s="156"/>
      <c r="AQ4284" s="156"/>
      <c r="AR4284" s="156"/>
      <c r="AS4284" s="156"/>
      <c r="AT4284" s="156"/>
      <c r="AU4284" s="156"/>
      <c r="AV4284" s="156"/>
      <c r="AW4284" s="156"/>
      <c r="AX4284" s="156"/>
      <c r="AY4284" s="156"/>
      <c r="AZ4284" s="156"/>
      <c r="BA4284" s="156"/>
      <c r="BB4284" s="2828"/>
      <c r="BC4284" s="452"/>
      <c r="BD4284" s="2829"/>
      <c r="BE4284" s="2837"/>
      <c r="BF4284" s="156"/>
    </row>
    <row r="4285" spans="1:58" ht="15" customHeight="1" outlineLevel="1" x14ac:dyDescent="0.35">
      <c r="A4285" s="1664"/>
      <c r="B4285" s="2812"/>
      <c r="C4285" s="3077"/>
      <c r="D4285" s="3980"/>
      <c r="E4285" s="3883"/>
      <c r="F4285" s="3984" t="str">
        <f t="shared" si="457"/>
        <v>ASHP-SEER17-Replace_CAC_ElectricHeat_ER2_SF</v>
      </c>
      <c r="G4285" s="3984"/>
      <c r="H4285" s="3984"/>
      <c r="I4285" s="3984"/>
      <c r="J4285" s="3508" t="str">
        <f t="shared" si="458"/>
        <v>354100_2021_12_</v>
      </c>
      <c r="K4285" s="462"/>
      <c r="L4285" s="93" t="str">
        <f>IF(K4285&gt;0,VLOOKUP(J4285,$J$1940:$L$2132,3,FALSE),"")</f>
        <v/>
      </c>
      <c r="M4285" s="3031" t="str">
        <f>IF(K4285&gt;0,VLOOKUP(J4285,$J$3484:$K$3676,2,FALSE),"")</f>
        <v/>
      </c>
      <c r="N4285" s="963"/>
      <c r="O4285" s="106"/>
      <c r="P4285" s="702"/>
      <c r="Q4285" s="702"/>
      <c r="R4285" s="702"/>
      <c r="S4285" s="106"/>
      <c r="T4285" s="486"/>
      <c r="U4285" s="106"/>
      <c r="V4285" s="4129"/>
      <c r="W4285" s="2440"/>
      <c r="X4285" s="465"/>
      <c r="Y4285" s="465"/>
      <c r="Z4285" s="462"/>
      <c r="AA4285" s="462"/>
      <c r="AB4285" s="465"/>
      <c r="AC4285" s="3568"/>
      <c r="AD4285" s="462"/>
      <c r="AE4285" s="2939"/>
      <c r="AF4285" s="663"/>
      <c r="AG4285" s="663"/>
      <c r="AH4285" s="156"/>
      <c r="AI4285" s="156"/>
      <c r="AJ4285" s="156"/>
      <c r="AK4285" s="156"/>
      <c r="AL4285" s="156"/>
      <c r="AM4285" s="156"/>
      <c r="AN4285" s="156"/>
      <c r="AO4285" s="156"/>
      <c r="AP4285" s="156"/>
      <c r="AQ4285" s="156"/>
      <c r="AR4285" s="156"/>
      <c r="AS4285" s="156"/>
      <c r="AT4285" s="156"/>
      <c r="AU4285" s="156"/>
      <c r="AV4285" s="156"/>
      <c r="AW4285" s="156"/>
      <c r="AX4285" s="156"/>
      <c r="AY4285" s="156"/>
      <c r="AZ4285" s="156"/>
      <c r="BA4285" s="156"/>
      <c r="BB4285" s="2828"/>
      <c r="BC4285" s="452"/>
      <c r="BD4285" s="2829"/>
      <c r="BE4285" s="2837"/>
      <c r="BF4285" s="156"/>
    </row>
    <row r="4286" spans="1:58" ht="15" customHeight="1" outlineLevel="1" x14ac:dyDescent="0.35">
      <c r="A4286" s="1664"/>
      <c r="B4286" s="2812"/>
      <c r="C4286" s="3077"/>
      <c r="D4286" s="3980"/>
      <c r="E4286" s="3883"/>
      <c r="F4286" s="3984" t="str">
        <f t="shared" si="457"/>
        <v>ASHP-SEER17-Replace_CAC_NonElectricHeat_ER1_SF</v>
      </c>
      <c r="G4286" s="3984"/>
      <c r="H4286" s="3984"/>
      <c r="I4286" s="3984"/>
      <c r="J4286" s="3508" t="str">
        <f t="shared" si="458"/>
        <v>354110_2021_12_</v>
      </c>
      <c r="K4286" s="465">
        <f>(($R$1960*L4286)+$R$1946)-(($Q$1960*L4286)/((1+$R$1962)^($R$1963-1)))</f>
        <v>1425.2574866940254</v>
      </c>
      <c r="L4286" s="96">
        <f>VLOOKUP(J4286,$J$1940:$L$2132,3,FALSE)*M4286</f>
        <v>2.9348947349688164</v>
      </c>
      <c r="M4286" s="3031">
        <f>VLOOKUP(J4286,$J$3484:$K$3676,2,FALSE)</f>
        <v>1</v>
      </c>
      <c r="N4286" s="963"/>
      <c r="O4286" s="106"/>
      <c r="P4286" s="702"/>
      <c r="Q4286" s="702"/>
      <c r="R4286" s="702"/>
      <c r="S4286" s="106"/>
      <c r="T4286" s="486"/>
      <c r="U4286" s="106"/>
      <c r="V4286" s="4129"/>
      <c r="W4286" s="2440"/>
      <c r="X4286" s="465"/>
      <c r="Y4286" s="465"/>
      <c r="Z4286" s="462"/>
      <c r="AA4286" s="462"/>
      <c r="AB4286" s="465"/>
      <c r="AC4286" s="3569">
        <v>1402.8007574105659</v>
      </c>
      <c r="AD4286" s="465">
        <v>1425.2574866940254</v>
      </c>
      <c r="AE4286" s="2939"/>
      <c r="AF4286" s="663"/>
      <c r="AG4286" s="663"/>
      <c r="AH4286" s="156"/>
      <c r="AI4286" s="156"/>
      <c r="AJ4286" s="156"/>
      <c r="AK4286" s="156"/>
      <c r="AL4286" s="156"/>
      <c r="AM4286" s="156"/>
      <c r="AN4286" s="156"/>
      <c r="AO4286" s="156"/>
      <c r="AP4286" s="156"/>
      <c r="AQ4286" s="156"/>
      <c r="AR4286" s="156"/>
      <c r="AS4286" s="156"/>
      <c r="AT4286" s="156"/>
      <c r="AU4286" s="156"/>
      <c r="AV4286" s="156"/>
      <c r="AW4286" s="156"/>
      <c r="AX4286" s="156"/>
      <c r="AY4286" s="156"/>
      <c r="AZ4286" s="156"/>
      <c r="BA4286" s="156"/>
      <c r="BB4286" s="2828"/>
      <c r="BC4286" s="452"/>
      <c r="BD4286" s="2829"/>
      <c r="BE4286" s="2837"/>
      <c r="BF4286" s="156"/>
    </row>
    <row r="4287" spans="1:58" ht="15" customHeight="1" outlineLevel="1" x14ac:dyDescent="0.35">
      <c r="A4287" s="1664"/>
      <c r="B4287" s="2812"/>
      <c r="C4287" s="3077"/>
      <c r="D4287" s="3980"/>
      <c r="E4287" s="3883"/>
      <c r="F4287" s="3984" t="str">
        <f t="shared" si="457"/>
        <v>ASHP-SEER17-Replace_CAC_NonElectricHeat_ER1_SF</v>
      </c>
      <c r="G4287" s="3984"/>
      <c r="H4287" s="3984"/>
      <c r="I4287" s="3984"/>
      <c r="J4287" s="3508" t="str">
        <f t="shared" si="458"/>
        <v>354110_2021_12_</v>
      </c>
      <c r="K4287" s="462"/>
      <c r="L4287" s="93"/>
      <c r="M4287" s="3031"/>
      <c r="N4287" s="963"/>
      <c r="O4287" s="106"/>
      <c r="P4287" s="702"/>
      <c r="Q4287" s="702"/>
      <c r="R4287" s="702"/>
      <c r="S4287" s="106"/>
      <c r="T4287" s="486"/>
      <c r="U4287" s="106"/>
      <c r="V4287" s="4129"/>
      <c r="W4287" s="2440"/>
      <c r="X4287" s="465"/>
      <c r="Y4287" s="465"/>
      <c r="Z4287" s="462"/>
      <c r="AA4287" s="462"/>
      <c r="AB4287" s="465"/>
      <c r="AC4287" s="3568"/>
      <c r="AD4287" s="462"/>
      <c r="AE4287" s="2939"/>
      <c r="AF4287" s="663"/>
      <c r="AG4287" s="663"/>
      <c r="AH4287" s="156"/>
      <c r="AI4287" s="156"/>
      <c r="AJ4287" s="156"/>
      <c r="AK4287" s="156"/>
      <c r="AL4287" s="156"/>
      <c r="AM4287" s="156"/>
      <c r="AN4287" s="156"/>
      <c r="AO4287" s="156"/>
      <c r="AP4287" s="156"/>
      <c r="AQ4287" s="156"/>
      <c r="AR4287" s="156"/>
      <c r="AS4287" s="156"/>
      <c r="AT4287" s="156"/>
      <c r="AU4287" s="156"/>
      <c r="AV4287" s="156"/>
      <c r="AW4287" s="156"/>
      <c r="AX4287" s="156"/>
      <c r="AY4287" s="156"/>
      <c r="AZ4287" s="156"/>
      <c r="BA4287" s="156"/>
      <c r="BB4287" s="2828"/>
      <c r="BC4287" s="452"/>
      <c r="BD4287" s="2829"/>
      <c r="BE4287" s="2837"/>
      <c r="BF4287" s="156"/>
    </row>
    <row r="4288" spans="1:58" ht="15" customHeight="1" outlineLevel="1" x14ac:dyDescent="0.35">
      <c r="A4288" s="1664"/>
      <c r="B4288" s="2812"/>
      <c r="C4288" s="3077"/>
      <c r="D4288" s="3980"/>
      <c r="E4288" s="3883"/>
      <c r="F4288" s="3984" t="str">
        <f t="shared" si="457"/>
        <v>ASHP-SEER17-Replace_CAC_NonElectricHeat_ER2_SF</v>
      </c>
      <c r="G4288" s="3984"/>
      <c r="H4288" s="3984"/>
      <c r="I4288" s="3984"/>
      <c r="J4288" s="3508" t="str">
        <f t="shared" si="458"/>
        <v>354110_2021_12_</v>
      </c>
      <c r="K4288" s="462"/>
      <c r="L4288" s="93"/>
      <c r="M4288" s="3031"/>
      <c r="N4288" s="963"/>
      <c r="O4288" s="106"/>
      <c r="P4288" s="702"/>
      <c r="Q4288" s="702"/>
      <c r="R4288" s="702"/>
      <c r="S4288" s="106"/>
      <c r="T4288" s="486"/>
      <c r="U4288" s="106"/>
      <c r="V4288" s="4129"/>
      <c r="W4288" s="2440"/>
      <c r="X4288" s="465"/>
      <c r="Y4288" s="465"/>
      <c r="Z4288" s="462"/>
      <c r="AA4288" s="462"/>
      <c r="AB4288" s="465"/>
      <c r="AC4288" s="3568"/>
      <c r="AD4288" s="462"/>
      <c r="AE4288" s="2939"/>
      <c r="AF4288" s="663"/>
      <c r="AG4288" s="663"/>
      <c r="AH4288" s="156"/>
      <c r="AI4288" s="156"/>
      <c r="AJ4288" s="156"/>
      <c r="AK4288" s="156"/>
      <c r="AL4288" s="156"/>
      <c r="AM4288" s="156"/>
      <c r="AN4288" s="156"/>
      <c r="AO4288" s="156"/>
      <c r="AP4288" s="156"/>
      <c r="AQ4288" s="156"/>
      <c r="AR4288" s="156"/>
      <c r="AS4288" s="156"/>
      <c r="AT4288" s="156"/>
      <c r="AU4288" s="156"/>
      <c r="AV4288" s="156"/>
      <c r="AW4288" s="156"/>
      <c r="AX4288" s="156"/>
      <c r="AY4288" s="156"/>
      <c r="AZ4288" s="156"/>
      <c r="BA4288" s="156"/>
      <c r="BB4288" s="2828"/>
      <c r="BC4288" s="452"/>
      <c r="BD4288" s="2829"/>
      <c r="BE4288" s="2837"/>
      <c r="BF4288" s="156"/>
    </row>
    <row r="4289" spans="1:58" ht="15" customHeight="1" outlineLevel="1" x14ac:dyDescent="0.35">
      <c r="A4289" s="1664"/>
      <c r="B4289" s="2812"/>
      <c r="C4289" s="3077"/>
      <c r="D4289" s="3980"/>
      <c r="E4289" s="3883"/>
      <c r="F4289" s="3984" t="str">
        <f t="shared" si="457"/>
        <v>ASHP-SEER17-Replace_CAC_NonElectricHeat_ER2_SF</v>
      </c>
      <c r="G4289" s="3984"/>
      <c r="H4289" s="3984"/>
      <c r="I4289" s="3984"/>
      <c r="J4289" s="3508" t="str">
        <f t="shared" si="458"/>
        <v>354110_2021_12_</v>
      </c>
      <c r="K4289" s="462"/>
      <c r="L4289" s="93"/>
      <c r="M4289" s="3031"/>
      <c r="N4289" s="963"/>
      <c r="O4289" s="106"/>
      <c r="P4289" s="702"/>
      <c r="Q4289" s="702"/>
      <c r="R4289" s="702"/>
      <c r="S4289" s="106"/>
      <c r="T4289" s="486"/>
      <c r="U4289" s="106"/>
      <c r="V4289" s="4129"/>
      <c r="W4289" s="2440"/>
      <c r="X4289" s="465"/>
      <c r="Y4289" s="465"/>
      <c r="Z4289" s="462"/>
      <c r="AA4289" s="462"/>
      <c r="AB4289" s="465"/>
      <c r="AC4289" s="3568"/>
      <c r="AD4289" s="462"/>
      <c r="AE4289" s="2939"/>
      <c r="AF4289" s="663"/>
      <c r="AG4289" s="663"/>
      <c r="AH4289" s="156"/>
      <c r="AI4289" s="156"/>
      <c r="AJ4289" s="156"/>
      <c r="AK4289" s="156"/>
      <c r="AL4289" s="156"/>
      <c r="AM4289" s="156"/>
      <c r="AN4289" s="156"/>
      <c r="AO4289" s="156"/>
      <c r="AP4289" s="156"/>
      <c r="AQ4289" s="156"/>
      <c r="AR4289" s="156"/>
      <c r="AS4289" s="156"/>
      <c r="AT4289" s="156"/>
      <c r="AU4289" s="156"/>
      <c r="AV4289" s="156"/>
      <c r="AW4289" s="156"/>
      <c r="AX4289" s="156"/>
      <c r="AY4289" s="156"/>
      <c r="AZ4289" s="156"/>
      <c r="BA4289" s="156"/>
      <c r="BB4289" s="2828"/>
      <c r="BC4289" s="452"/>
      <c r="BD4289" s="2829"/>
      <c r="BE4289" s="2837"/>
      <c r="BF4289" s="156"/>
    </row>
    <row r="4290" spans="1:58" ht="15" customHeight="1" outlineLevel="1" x14ac:dyDescent="0.35">
      <c r="A4290" s="1664"/>
      <c r="B4290" s="2812"/>
      <c r="C4290" s="3077"/>
      <c r="D4290" s="3980"/>
      <c r="E4290" s="3883"/>
      <c r="F4290" s="3984" t="str">
        <f t="shared" si="457"/>
        <v>ASHP-SEER17-Replace_CAC_ElectricHeat_ER1_MF</v>
      </c>
      <c r="G4290" s="3984"/>
      <c r="H4290" s="3984"/>
      <c r="I4290" s="3984"/>
      <c r="J4290" s="3508" t="str">
        <f t="shared" si="458"/>
        <v>354150_2019_12_</v>
      </c>
      <c r="K4290" s="462">
        <f>(($R$1960*L4290)+$R$1946)-(($Q$1960*L4290)/((1+$R$1962)^($R$1963-1)))</f>
        <v>1205.4598012161669</v>
      </c>
      <c r="L4290" s="93">
        <f>VLOOKUP(J4290,$J$1940:$L$2132,3,FALSE)*M4290</f>
        <v>2.0150000000000001</v>
      </c>
      <c r="M4290" s="3031">
        <f>VLOOKUP(J4290,$J$3484:$K$3676,2,FALSE)</f>
        <v>0.65</v>
      </c>
      <c r="N4290" s="963"/>
      <c r="O4290" s="106"/>
      <c r="P4290" s="702"/>
      <c r="Q4290" s="702"/>
      <c r="R4290" s="702"/>
      <c r="S4290" s="106"/>
      <c r="T4290" s="486"/>
      <c r="U4290" s="106"/>
      <c r="V4290" s="4129"/>
      <c r="W4290" s="2440">
        <v>3824.9615612563771</v>
      </c>
      <c r="X4290" s="465">
        <f>(X$2053/12000)*$Q$1946*X$3597</f>
        <v>2903.2394036484993</v>
      </c>
      <c r="Y4290" s="465">
        <v>1147.2545915436422</v>
      </c>
      <c r="Z4290" s="462">
        <v>1147.2545915436422</v>
      </c>
      <c r="AA4290" s="462">
        <v>1147.2545915436422</v>
      </c>
      <c r="AB4290" s="465">
        <v>1205.4598012161669</v>
      </c>
      <c r="AC4290" s="3568">
        <v>1205.4598012161669</v>
      </c>
      <c r="AD4290" s="462">
        <v>1205.4598012161669</v>
      </c>
      <c r="AE4290" s="2939"/>
      <c r="AF4290" s="663"/>
      <c r="AG4290" s="663"/>
      <c r="AH4290" s="156"/>
      <c r="AI4290" s="156"/>
      <c r="AJ4290" s="156"/>
      <c r="AK4290" s="156"/>
      <c r="AL4290" s="156"/>
      <c r="AM4290" s="156"/>
      <c r="AN4290" s="156"/>
      <c r="AO4290" s="156"/>
      <c r="AP4290" s="156"/>
      <c r="AQ4290" s="156"/>
      <c r="AR4290" s="156"/>
      <c r="AS4290" s="156"/>
      <c r="AT4290" s="156"/>
      <c r="AU4290" s="156"/>
      <c r="AV4290" s="156"/>
      <c r="AW4290" s="156"/>
      <c r="AX4290" s="156"/>
      <c r="AY4290" s="156"/>
      <c r="AZ4290" s="156"/>
      <c r="BA4290" s="156"/>
      <c r="BB4290" s="2828"/>
      <c r="BC4290" s="452"/>
      <c r="BD4290" s="2829"/>
      <c r="BE4290" s="2837"/>
      <c r="BF4290" s="156"/>
    </row>
    <row r="4291" spans="1:58" ht="15" customHeight="1" outlineLevel="1" x14ac:dyDescent="0.35">
      <c r="A4291" s="1664"/>
      <c r="B4291" s="2812"/>
      <c r="C4291" s="3077"/>
      <c r="D4291" s="3980"/>
      <c r="E4291" s="3883"/>
      <c r="F4291" s="3984" t="str">
        <f t="shared" si="457"/>
        <v>ASHP-SEER17-Replace_CAC_ElectricHeat_ER1_MF</v>
      </c>
      <c r="G4291" s="3984"/>
      <c r="H4291" s="3984"/>
      <c r="I4291" s="3984"/>
      <c r="J4291" s="3508" t="str">
        <f t="shared" si="458"/>
        <v>354150_2019_12_</v>
      </c>
      <c r="K4291" s="462"/>
      <c r="L4291" s="93" t="str">
        <f>IF(K4291&gt;0,VLOOKUP(J4291,$J$1940:$L$2132,3,FALSE),"")</f>
        <v/>
      </c>
      <c r="M4291" s="3031" t="str">
        <f>IF(K4291&gt;0,VLOOKUP(J4291,$J$3484:$K$3676,2,FALSE),"")</f>
        <v/>
      </c>
      <c r="N4291" s="963"/>
      <c r="O4291" s="106"/>
      <c r="P4291" s="702"/>
      <c r="Q4291" s="702"/>
      <c r="R4291" s="702"/>
      <c r="S4291" s="106"/>
      <c r="T4291" s="486"/>
      <c r="U4291" s="106"/>
      <c r="V4291" s="4129"/>
      <c r="W4291" s="2440"/>
      <c r="X4291" s="465"/>
      <c r="Y4291" s="465"/>
      <c r="Z4291" s="462"/>
      <c r="AA4291" s="462"/>
      <c r="AB4291" s="465"/>
      <c r="AC4291" s="3568"/>
      <c r="AD4291" s="462"/>
      <c r="AE4291" s="2939"/>
      <c r="AF4291" s="663"/>
      <c r="AG4291" s="663"/>
      <c r="AH4291" s="156"/>
      <c r="AI4291" s="156"/>
      <c r="AJ4291" s="156"/>
      <c r="AK4291" s="156"/>
      <c r="AL4291" s="156"/>
      <c r="AM4291" s="156"/>
      <c r="AN4291" s="156"/>
      <c r="AO4291" s="156"/>
      <c r="AP4291" s="156"/>
      <c r="AQ4291" s="156"/>
      <c r="AR4291" s="156"/>
      <c r="AS4291" s="156"/>
      <c r="AT4291" s="156"/>
      <c r="AU4291" s="156"/>
      <c r="AV4291" s="156"/>
      <c r="AW4291" s="156"/>
      <c r="AX4291" s="156"/>
      <c r="AY4291" s="156"/>
      <c r="AZ4291" s="156"/>
      <c r="BA4291" s="156"/>
      <c r="BB4291" s="2828"/>
      <c r="BC4291" s="452"/>
      <c r="BD4291" s="2829"/>
      <c r="BE4291" s="2837"/>
      <c r="BF4291" s="156"/>
    </row>
    <row r="4292" spans="1:58" ht="15" customHeight="1" outlineLevel="1" x14ac:dyDescent="0.35">
      <c r="A4292" s="1664"/>
      <c r="B4292" s="2812"/>
      <c r="C4292" s="3077"/>
      <c r="D4292" s="3980"/>
      <c r="E4292" s="3883"/>
      <c r="F4292" s="3984" t="str">
        <f t="shared" si="457"/>
        <v>ASHP-SEER17-Replace_CAC_ElectricHeat_ER2_MF</v>
      </c>
      <c r="G4292" s="3984"/>
      <c r="H4292" s="3984"/>
      <c r="I4292" s="3984"/>
      <c r="J4292" s="3508" t="str">
        <f t="shared" si="458"/>
        <v>354150_2019_12_</v>
      </c>
      <c r="K4292" s="462"/>
      <c r="L4292" s="93" t="str">
        <f>IF(K4292&gt;0,VLOOKUP(J4292,$J$1940:$L$2132,3,FALSE),"")</f>
        <v/>
      </c>
      <c r="M4292" s="3031" t="str">
        <f>IF(K4292&gt;0,VLOOKUP(J4292,$J$3484:$K$3676,2,FALSE),"")</f>
        <v/>
      </c>
      <c r="N4292" s="963"/>
      <c r="O4292" s="106"/>
      <c r="P4292" s="702"/>
      <c r="Q4292" s="702"/>
      <c r="R4292" s="702"/>
      <c r="S4292" s="106"/>
      <c r="T4292" s="486"/>
      <c r="U4292" s="106"/>
      <c r="V4292" s="4129"/>
      <c r="W4292" s="2440"/>
      <c r="X4292" s="465"/>
      <c r="Y4292" s="465"/>
      <c r="Z4292" s="462"/>
      <c r="AA4292" s="462"/>
      <c r="AB4292" s="465"/>
      <c r="AC4292" s="3568"/>
      <c r="AD4292" s="462"/>
      <c r="AE4292" s="2939"/>
      <c r="AF4292" s="663"/>
      <c r="AG4292" s="663"/>
      <c r="AH4292" s="156"/>
      <c r="AI4292" s="156"/>
      <c r="AJ4292" s="156"/>
      <c r="AK4292" s="156"/>
      <c r="AL4292" s="156"/>
      <c r="AM4292" s="156"/>
      <c r="AN4292" s="156"/>
      <c r="AO4292" s="156"/>
      <c r="AP4292" s="156"/>
      <c r="AQ4292" s="156"/>
      <c r="AR4292" s="156"/>
      <c r="AS4292" s="156"/>
      <c r="AT4292" s="156"/>
      <c r="AU4292" s="156"/>
      <c r="AV4292" s="156"/>
      <c r="AW4292" s="156"/>
      <c r="AX4292" s="156"/>
      <c r="AY4292" s="156"/>
      <c r="AZ4292" s="156"/>
      <c r="BA4292" s="156"/>
      <c r="BB4292" s="2828"/>
      <c r="BC4292" s="452"/>
      <c r="BD4292" s="2829"/>
      <c r="BE4292" s="2837"/>
      <c r="BF4292" s="156"/>
    </row>
    <row r="4293" spans="1:58" ht="15" customHeight="1" outlineLevel="1" x14ac:dyDescent="0.35">
      <c r="A4293" s="1664"/>
      <c r="B4293" s="2812"/>
      <c r="C4293" s="3077"/>
      <c r="D4293" s="3980"/>
      <c r="E4293" s="3883"/>
      <c r="F4293" s="3984" t="str">
        <f t="shared" si="457"/>
        <v>ASHP-SEER17-Replace_CAC_ElectricHeat_ER2_MF</v>
      </c>
      <c r="G4293" s="3984"/>
      <c r="H4293" s="3984"/>
      <c r="I4293" s="3984"/>
      <c r="J4293" s="3508" t="str">
        <f t="shared" si="458"/>
        <v>354150_2019_12_</v>
      </c>
      <c r="K4293" s="462"/>
      <c r="L4293" s="93" t="str">
        <f>IF(K4293&gt;0,VLOOKUP(J4293,$J$1940:$L$2132,3,FALSE),"")</f>
        <v/>
      </c>
      <c r="M4293" s="3031" t="str">
        <f>IF(K4293&gt;0,VLOOKUP(J4293,$J$3484:$K$3676,2,FALSE),"")</f>
        <v/>
      </c>
      <c r="N4293" s="963"/>
      <c r="O4293" s="106"/>
      <c r="P4293" s="702"/>
      <c r="Q4293" s="702"/>
      <c r="R4293" s="702"/>
      <c r="S4293" s="106"/>
      <c r="T4293" s="486"/>
      <c r="U4293" s="106"/>
      <c r="V4293" s="4129"/>
      <c r="W4293" s="2440"/>
      <c r="X4293" s="465"/>
      <c r="Y4293" s="465"/>
      <c r="Z4293" s="462"/>
      <c r="AA4293" s="462"/>
      <c r="AB4293" s="465"/>
      <c r="AC4293" s="3568"/>
      <c r="AD4293" s="462"/>
      <c r="AE4293" s="2939"/>
      <c r="AF4293" s="663"/>
      <c r="AG4293" s="663"/>
      <c r="AH4293" s="156"/>
      <c r="AI4293" s="156"/>
      <c r="AJ4293" s="156"/>
      <c r="AK4293" s="156"/>
      <c r="AL4293" s="156"/>
      <c r="AM4293" s="156"/>
      <c r="AN4293" s="156"/>
      <c r="AO4293" s="156"/>
      <c r="AP4293" s="156"/>
      <c r="AQ4293" s="156"/>
      <c r="AR4293" s="156"/>
      <c r="AS4293" s="156"/>
      <c r="AT4293" s="156"/>
      <c r="AU4293" s="156"/>
      <c r="AV4293" s="156"/>
      <c r="AW4293" s="156"/>
      <c r="AX4293" s="156"/>
      <c r="AY4293" s="156"/>
      <c r="AZ4293" s="156"/>
      <c r="BA4293" s="156"/>
      <c r="BB4293" s="2828"/>
      <c r="BC4293" s="452"/>
      <c r="BD4293" s="2829"/>
      <c r="BE4293" s="2837"/>
      <c r="BF4293" s="156"/>
    </row>
    <row r="4294" spans="1:58" ht="15" customHeight="1" outlineLevel="1" x14ac:dyDescent="0.35">
      <c r="A4294" s="1664"/>
      <c r="B4294" s="2812"/>
      <c r="C4294" s="3077"/>
      <c r="D4294" s="3980"/>
      <c r="E4294" s="3883"/>
      <c r="F4294" s="3984" t="str">
        <f t="shared" si="457"/>
        <v>ASHP-SEER17-Replace_CAC_ElectricHeat_ER1_MF_CompE</v>
      </c>
      <c r="G4294" s="3984"/>
      <c r="H4294" s="3984"/>
      <c r="I4294" s="3984"/>
      <c r="J4294" s="3508" t="str">
        <f t="shared" si="458"/>
        <v>354151_2019_12_</v>
      </c>
      <c r="K4294" s="462">
        <f>(($R$1960*L4294)+$R$1946)-(($Q$1960*L4294)/((1+$R$1962)^($R$1963-1)))</f>
        <v>1205.4598012161669</v>
      </c>
      <c r="L4294" s="93">
        <f>VLOOKUP(J4294,$J$1940:$L$2132,3,FALSE)*M4294</f>
        <v>2.0150000000000001</v>
      </c>
      <c r="M4294" s="3031">
        <f>VLOOKUP(J4294,$J$3484:$K$3676,2,FALSE)</f>
        <v>0.65</v>
      </c>
      <c r="N4294" s="963"/>
      <c r="O4294" s="106"/>
      <c r="P4294" s="702"/>
      <c r="Q4294" s="702"/>
      <c r="R4294" s="702"/>
      <c r="S4294" s="106"/>
      <c r="T4294" s="486"/>
      <c r="U4294" s="106"/>
      <c r="V4294" s="4129"/>
      <c r="W4294" s="2440"/>
      <c r="X4294" s="465"/>
      <c r="Y4294" s="465"/>
      <c r="Z4294" s="462"/>
      <c r="AA4294" s="462"/>
      <c r="AB4294" s="465"/>
      <c r="AC4294" s="3569">
        <v>1205.4598012161669</v>
      </c>
      <c r="AD4294" s="462">
        <v>1205.4598012161669</v>
      </c>
      <c r="AE4294" s="2939"/>
      <c r="AF4294" s="663"/>
      <c r="AG4294" s="663"/>
      <c r="AH4294" s="156"/>
      <c r="AI4294" s="156"/>
      <c r="AJ4294" s="156"/>
      <c r="AK4294" s="156"/>
      <c r="AL4294" s="156"/>
      <c r="AM4294" s="156"/>
      <c r="AN4294" s="156"/>
      <c r="AO4294" s="156"/>
      <c r="AP4294" s="156"/>
      <c r="AQ4294" s="156"/>
      <c r="AR4294" s="156"/>
      <c r="AS4294" s="156"/>
      <c r="AT4294" s="156"/>
      <c r="AU4294" s="156"/>
      <c r="AV4294" s="156"/>
      <c r="AW4294" s="156"/>
      <c r="AX4294" s="156"/>
      <c r="AY4294" s="156"/>
      <c r="AZ4294" s="156"/>
      <c r="BA4294" s="156"/>
      <c r="BB4294" s="2828"/>
      <c r="BC4294" s="452"/>
      <c r="BD4294" s="2829"/>
      <c r="BE4294" s="2837"/>
      <c r="BF4294" s="156"/>
    </row>
    <row r="4295" spans="1:58" ht="15" customHeight="1" outlineLevel="1" x14ac:dyDescent="0.35">
      <c r="A4295" s="1664"/>
      <c r="B4295" s="2812"/>
      <c r="C4295" s="3077"/>
      <c r="D4295" s="3980"/>
      <c r="E4295" s="3883"/>
      <c r="F4295" s="3984" t="str">
        <f t="shared" si="457"/>
        <v>ASHP-SEER17-Replace_CAC_ElectricHeat_ER1_MF_CompE</v>
      </c>
      <c r="G4295" s="3984"/>
      <c r="H4295" s="3984"/>
      <c r="I4295" s="3984"/>
      <c r="J4295" s="3508" t="str">
        <f t="shared" si="458"/>
        <v>354151_2019_12_</v>
      </c>
      <c r="K4295" s="462"/>
      <c r="L4295" s="93"/>
      <c r="M4295" s="3031"/>
      <c r="N4295" s="963"/>
      <c r="O4295" s="106"/>
      <c r="P4295" s="702"/>
      <c r="Q4295" s="702"/>
      <c r="R4295" s="702"/>
      <c r="S4295" s="106"/>
      <c r="T4295" s="486"/>
      <c r="U4295" s="106"/>
      <c r="V4295" s="4129"/>
      <c r="W4295" s="2440"/>
      <c r="X4295" s="465"/>
      <c r="Y4295" s="465"/>
      <c r="Z4295" s="462"/>
      <c r="AA4295" s="462"/>
      <c r="AB4295" s="465"/>
      <c r="AC4295" s="3568"/>
      <c r="AD4295" s="462"/>
      <c r="AE4295" s="2939"/>
      <c r="AF4295" s="663"/>
      <c r="AG4295" s="663"/>
      <c r="AH4295" s="156"/>
      <c r="AI4295" s="156"/>
      <c r="AJ4295" s="156"/>
      <c r="AK4295" s="156"/>
      <c r="AL4295" s="156"/>
      <c r="AM4295" s="156"/>
      <c r="AN4295" s="156"/>
      <c r="AO4295" s="156"/>
      <c r="AP4295" s="156"/>
      <c r="AQ4295" s="156"/>
      <c r="AR4295" s="156"/>
      <c r="AS4295" s="156"/>
      <c r="AT4295" s="156"/>
      <c r="AU4295" s="156"/>
      <c r="AV4295" s="156"/>
      <c r="AW4295" s="156"/>
      <c r="AX4295" s="156"/>
      <c r="AY4295" s="156"/>
      <c r="AZ4295" s="156"/>
      <c r="BA4295" s="156"/>
      <c r="BB4295" s="2828"/>
      <c r="BC4295" s="452"/>
      <c r="BD4295" s="2829"/>
      <c r="BE4295" s="2837"/>
      <c r="BF4295" s="156"/>
    </row>
    <row r="4296" spans="1:58" ht="15" customHeight="1" outlineLevel="1" x14ac:dyDescent="0.35">
      <c r="A4296" s="1664"/>
      <c r="B4296" s="2812"/>
      <c r="C4296" s="3077"/>
      <c r="D4296" s="3980"/>
      <c r="E4296" s="3883"/>
      <c r="F4296" s="3984" t="str">
        <f t="shared" si="457"/>
        <v>ASHP-SEER17-Replace_CAC_ElectricHeat_ER2_MF_CompE</v>
      </c>
      <c r="G4296" s="3984"/>
      <c r="H4296" s="3984"/>
      <c r="I4296" s="3984"/>
      <c r="J4296" s="3508" t="str">
        <f t="shared" si="458"/>
        <v>354151_2019_12_</v>
      </c>
      <c r="K4296" s="462"/>
      <c r="L4296" s="93"/>
      <c r="M4296" s="3031"/>
      <c r="N4296" s="963"/>
      <c r="O4296" s="106"/>
      <c r="P4296" s="702"/>
      <c r="Q4296" s="702"/>
      <c r="R4296" s="702"/>
      <c r="S4296" s="106"/>
      <c r="T4296" s="486"/>
      <c r="U4296" s="106"/>
      <c r="V4296" s="4129"/>
      <c r="W4296" s="2440"/>
      <c r="X4296" s="465"/>
      <c r="Y4296" s="465"/>
      <c r="Z4296" s="462"/>
      <c r="AA4296" s="462"/>
      <c r="AB4296" s="465"/>
      <c r="AC4296" s="3568"/>
      <c r="AD4296" s="462"/>
      <c r="AE4296" s="2939"/>
      <c r="AF4296" s="663"/>
      <c r="AG4296" s="663"/>
      <c r="AH4296" s="156"/>
      <c r="AI4296" s="156"/>
      <c r="AJ4296" s="156"/>
      <c r="AK4296" s="156"/>
      <c r="AL4296" s="156"/>
      <c r="AM4296" s="156"/>
      <c r="AN4296" s="156"/>
      <c r="AO4296" s="156"/>
      <c r="AP4296" s="156"/>
      <c r="AQ4296" s="156"/>
      <c r="AR4296" s="156"/>
      <c r="AS4296" s="156"/>
      <c r="AT4296" s="156"/>
      <c r="AU4296" s="156"/>
      <c r="AV4296" s="156"/>
      <c r="AW4296" s="156"/>
      <c r="AX4296" s="156"/>
      <c r="AY4296" s="156"/>
      <c r="AZ4296" s="156"/>
      <c r="BA4296" s="156"/>
      <c r="BB4296" s="2828"/>
      <c r="BC4296" s="452"/>
      <c r="BD4296" s="2829"/>
      <c r="BE4296" s="2837"/>
      <c r="BF4296" s="156"/>
    </row>
    <row r="4297" spans="1:58" ht="15" customHeight="1" outlineLevel="1" x14ac:dyDescent="0.35">
      <c r="A4297" s="1664"/>
      <c r="B4297" s="2812"/>
      <c r="C4297" s="3077"/>
      <c r="D4297" s="3980"/>
      <c r="E4297" s="3883"/>
      <c r="F4297" s="3984" t="str">
        <f t="shared" si="457"/>
        <v>ASHP-SEER17-Replace_CAC_ElectricHeat_ER2_MF_CompE</v>
      </c>
      <c r="G4297" s="3984"/>
      <c r="H4297" s="3984"/>
      <c r="I4297" s="3984"/>
      <c r="J4297" s="3508" t="str">
        <f t="shared" si="458"/>
        <v>354151_2019_12_</v>
      </c>
      <c r="K4297" s="462"/>
      <c r="L4297" s="93"/>
      <c r="M4297" s="3031"/>
      <c r="N4297" s="963"/>
      <c r="O4297" s="106"/>
      <c r="P4297" s="702"/>
      <c r="Q4297" s="702"/>
      <c r="R4297" s="702"/>
      <c r="S4297" s="106"/>
      <c r="T4297" s="486"/>
      <c r="U4297" s="106"/>
      <c r="V4297" s="4129"/>
      <c r="W4297" s="2440"/>
      <c r="X4297" s="465"/>
      <c r="Y4297" s="465"/>
      <c r="Z4297" s="462"/>
      <c r="AA4297" s="462"/>
      <c r="AB4297" s="465"/>
      <c r="AC4297" s="3568"/>
      <c r="AD4297" s="462"/>
      <c r="AE4297" s="2939"/>
      <c r="AF4297" s="663"/>
      <c r="AG4297" s="663"/>
      <c r="AH4297" s="156"/>
      <c r="AI4297" s="156"/>
      <c r="AJ4297" s="156"/>
      <c r="AK4297" s="156"/>
      <c r="AL4297" s="156"/>
      <c r="AM4297" s="156"/>
      <c r="AN4297" s="156"/>
      <c r="AO4297" s="156"/>
      <c r="AP4297" s="156"/>
      <c r="AQ4297" s="156"/>
      <c r="AR4297" s="156"/>
      <c r="AS4297" s="156"/>
      <c r="AT4297" s="156"/>
      <c r="AU4297" s="156"/>
      <c r="AV4297" s="156"/>
      <c r="AW4297" s="156"/>
      <c r="AX4297" s="156"/>
      <c r="AY4297" s="156"/>
      <c r="AZ4297" s="156"/>
      <c r="BA4297" s="156"/>
      <c r="BB4297" s="2828"/>
      <c r="BC4297" s="452"/>
      <c r="BD4297" s="2829"/>
      <c r="BE4297" s="2837"/>
      <c r="BF4297" s="156"/>
    </row>
    <row r="4298" spans="1:58" ht="15" customHeight="1" outlineLevel="1" x14ac:dyDescent="0.35">
      <c r="A4298" s="1664"/>
      <c r="B4298" s="2812"/>
      <c r="C4298" s="3077"/>
      <c r="D4298" s="3980"/>
      <c r="E4298" s="3883"/>
      <c r="F4298" s="3984" t="str">
        <f t="shared" si="457"/>
        <v>ASHP-SEER17-Replace_CAC_NonElectricHeat_ER1_MF</v>
      </c>
      <c r="G4298" s="3984"/>
      <c r="H4298" s="3984"/>
      <c r="I4298" s="3984"/>
      <c r="J4298" s="3508" t="str">
        <f t="shared" si="458"/>
        <v>354160_2021_12_</v>
      </c>
      <c r="K4298" s="462">
        <f>(($R$1960*L4298)+$R$1946)-(($Q$1960*L4298)/((1+$R$1962)^($R$1963-1)))</f>
        <v>1205.4598012161669</v>
      </c>
      <c r="L4298" s="93">
        <f>VLOOKUP(J4298,$J$1940:$L$2132,3,FALSE)*M4298</f>
        <v>2.0150000000000001</v>
      </c>
      <c r="M4298" s="3031">
        <f>VLOOKUP(J4298,$J$3484:$K$3676,2,FALSE)</f>
        <v>0.65</v>
      </c>
      <c r="N4298" s="963"/>
      <c r="O4298" s="106"/>
      <c r="P4298" s="702"/>
      <c r="Q4298" s="702"/>
      <c r="R4298" s="702"/>
      <c r="S4298" s="106"/>
      <c r="T4298" s="486"/>
      <c r="U4298" s="106"/>
      <c r="V4298" s="4129"/>
      <c r="W4298" s="2440"/>
      <c r="X4298" s="465"/>
      <c r="Y4298" s="465"/>
      <c r="Z4298" s="462"/>
      <c r="AA4298" s="462"/>
      <c r="AB4298" s="465"/>
      <c r="AC4298" s="3569">
        <v>1205.4598012161669</v>
      </c>
      <c r="AD4298" s="462">
        <v>1205.4598012161669</v>
      </c>
      <c r="AE4298" s="2939"/>
      <c r="AF4298" s="663"/>
      <c r="AG4298" s="663"/>
      <c r="AH4298" s="156"/>
      <c r="AI4298" s="156"/>
      <c r="AJ4298" s="156"/>
      <c r="AK4298" s="156"/>
      <c r="AL4298" s="156"/>
      <c r="AM4298" s="156"/>
      <c r="AN4298" s="156"/>
      <c r="AO4298" s="156"/>
      <c r="AP4298" s="156"/>
      <c r="AQ4298" s="156"/>
      <c r="AR4298" s="156"/>
      <c r="AS4298" s="156"/>
      <c r="AT4298" s="156"/>
      <c r="AU4298" s="156"/>
      <c r="AV4298" s="156"/>
      <c r="AW4298" s="156"/>
      <c r="AX4298" s="156"/>
      <c r="AY4298" s="156"/>
      <c r="AZ4298" s="156"/>
      <c r="BA4298" s="156"/>
      <c r="BB4298" s="2828"/>
      <c r="BC4298" s="452"/>
      <c r="BD4298" s="2829"/>
      <c r="BE4298" s="2837"/>
      <c r="BF4298" s="156"/>
    </row>
    <row r="4299" spans="1:58" ht="15" customHeight="1" outlineLevel="1" x14ac:dyDescent="0.35">
      <c r="A4299" s="1664"/>
      <c r="B4299" s="2812"/>
      <c r="C4299" s="3077"/>
      <c r="D4299" s="3980"/>
      <c r="E4299" s="3883"/>
      <c r="F4299" s="3984" t="str">
        <f t="shared" si="457"/>
        <v>ASHP-SEER17-Replace_CAC_NonElectricHeat_ER1_MF</v>
      </c>
      <c r="G4299" s="3984"/>
      <c r="H4299" s="3984"/>
      <c r="I4299" s="3984"/>
      <c r="J4299" s="3508" t="str">
        <f t="shared" si="458"/>
        <v>354160_2021_12_</v>
      </c>
      <c r="K4299" s="462"/>
      <c r="L4299" s="93"/>
      <c r="M4299" s="3031"/>
      <c r="N4299" s="963"/>
      <c r="O4299" s="106"/>
      <c r="P4299" s="702"/>
      <c r="Q4299" s="702"/>
      <c r="R4299" s="702"/>
      <c r="S4299" s="106"/>
      <c r="T4299" s="486"/>
      <c r="U4299" s="106"/>
      <c r="V4299" s="4129"/>
      <c r="W4299" s="2440"/>
      <c r="X4299" s="465"/>
      <c r="Y4299" s="465"/>
      <c r="Z4299" s="462"/>
      <c r="AA4299" s="462"/>
      <c r="AB4299" s="465"/>
      <c r="AC4299" s="3568"/>
      <c r="AD4299" s="462"/>
      <c r="AE4299" s="2939"/>
      <c r="AF4299" s="663"/>
      <c r="AG4299" s="663"/>
      <c r="AH4299" s="156"/>
      <c r="AI4299" s="156"/>
      <c r="AJ4299" s="156"/>
      <c r="AK4299" s="156"/>
      <c r="AL4299" s="156"/>
      <c r="AM4299" s="156"/>
      <c r="AN4299" s="156"/>
      <c r="AO4299" s="156"/>
      <c r="AP4299" s="156"/>
      <c r="AQ4299" s="156"/>
      <c r="AR4299" s="156"/>
      <c r="AS4299" s="156"/>
      <c r="AT4299" s="156"/>
      <c r="AU4299" s="156"/>
      <c r="AV4299" s="156"/>
      <c r="AW4299" s="156"/>
      <c r="AX4299" s="156"/>
      <c r="AY4299" s="156"/>
      <c r="AZ4299" s="156"/>
      <c r="BA4299" s="156"/>
      <c r="BB4299" s="2828"/>
      <c r="BC4299" s="452"/>
      <c r="BD4299" s="2829"/>
      <c r="BE4299" s="2837"/>
      <c r="BF4299" s="156"/>
    </row>
    <row r="4300" spans="1:58" ht="15" customHeight="1" outlineLevel="1" x14ac:dyDescent="0.35">
      <c r="A4300" s="1664"/>
      <c r="B4300" s="2812"/>
      <c r="C4300" s="3077"/>
      <c r="D4300" s="3980"/>
      <c r="E4300" s="3883"/>
      <c r="F4300" s="3984" t="str">
        <f t="shared" si="457"/>
        <v>ASHP-SEER17-Replace_CAC_NonElectricHeat_ER2_MF</v>
      </c>
      <c r="G4300" s="3984"/>
      <c r="H4300" s="3984"/>
      <c r="I4300" s="3984"/>
      <c r="J4300" s="3508" t="str">
        <f t="shared" si="458"/>
        <v>354160_2021_12_</v>
      </c>
      <c r="K4300" s="462"/>
      <c r="L4300" s="93"/>
      <c r="M4300" s="3031"/>
      <c r="N4300" s="963"/>
      <c r="O4300" s="106"/>
      <c r="P4300" s="702"/>
      <c r="Q4300" s="702"/>
      <c r="R4300" s="702"/>
      <c r="S4300" s="106"/>
      <c r="T4300" s="486"/>
      <c r="U4300" s="106"/>
      <c r="V4300" s="4129"/>
      <c r="W4300" s="2440"/>
      <c r="X4300" s="465"/>
      <c r="Y4300" s="465"/>
      <c r="Z4300" s="462"/>
      <c r="AA4300" s="462"/>
      <c r="AB4300" s="465"/>
      <c r="AC4300" s="3568"/>
      <c r="AD4300" s="462"/>
      <c r="AE4300" s="2939"/>
      <c r="AF4300" s="663"/>
      <c r="AG4300" s="663"/>
      <c r="AH4300" s="156"/>
      <c r="AI4300" s="156"/>
      <c r="AJ4300" s="156"/>
      <c r="AK4300" s="156"/>
      <c r="AL4300" s="156"/>
      <c r="AM4300" s="156"/>
      <c r="AN4300" s="156"/>
      <c r="AO4300" s="156"/>
      <c r="AP4300" s="156"/>
      <c r="AQ4300" s="156"/>
      <c r="AR4300" s="156"/>
      <c r="AS4300" s="156"/>
      <c r="AT4300" s="156"/>
      <c r="AU4300" s="156"/>
      <c r="AV4300" s="156"/>
      <c r="AW4300" s="156"/>
      <c r="AX4300" s="156"/>
      <c r="AY4300" s="156"/>
      <c r="AZ4300" s="156"/>
      <c r="BA4300" s="156"/>
      <c r="BB4300" s="2828"/>
      <c r="BC4300" s="452"/>
      <c r="BD4300" s="2829"/>
      <c r="BE4300" s="2837"/>
      <c r="BF4300" s="156"/>
    </row>
    <row r="4301" spans="1:58" ht="15" customHeight="1" outlineLevel="1" x14ac:dyDescent="0.35">
      <c r="A4301" s="1664"/>
      <c r="B4301" s="2812"/>
      <c r="C4301" s="3077"/>
      <c r="D4301" s="3980"/>
      <c r="E4301" s="3883"/>
      <c r="F4301" s="3984" t="str">
        <f t="shared" si="457"/>
        <v>ASHP-SEER17-Replace_CAC_NonElectricHeat_ER2_MF</v>
      </c>
      <c r="G4301" s="3984"/>
      <c r="H4301" s="3984"/>
      <c r="I4301" s="3984"/>
      <c r="J4301" s="3508" t="str">
        <f t="shared" si="458"/>
        <v>354160_2021_12_</v>
      </c>
      <c r="K4301" s="462"/>
      <c r="L4301" s="93"/>
      <c r="M4301" s="3031"/>
      <c r="N4301" s="963"/>
      <c r="O4301" s="106"/>
      <c r="P4301" s="702"/>
      <c r="Q4301" s="702"/>
      <c r="R4301" s="702"/>
      <c r="S4301" s="106"/>
      <c r="T4301" s="486"/>
      <c r="U4301" s="106"/>
      <c r="V4301" s="4129"/>
      <c r="W4301" s="2440"/>
      <c r="X4301" s="465"/>
      <c r="Y4301" s="465"/>
      <c r="Z4301" s="462"/>
      <c r="AA4301" s="462"/>
      <c r="AB4301" s="465"/>
      <c r="AC4301" s="3568"/>
      <c r="AD4301" s="462"/>
      <c r="AE4301" s="2939"/>
      <c r="AF4301" s="663"/>
      <c r="AG4301" s="663"/>
      <c r="AH4301" s="156"/>
      <c r="AI4301" s="156"/>
      <c r="AJ4301" s="156"/>
      <c r="AK4301" s="156"/>
      <c r="AL4301" s="156"/>
      <c r="AM4301" s="156"/>
      <c r="AN4301" s="156"/>
      <c r="AO4301" s="156"/>
      <c r="AP4301" s="156"/>
      <c r="AQ4301" s="156"/>
      <c r="AR4301" s="156"/>
      <c r="AS4301" s="156"/>
      <c r="AT4301" s="156"/>
      <c r="AU4301" s="156"/>
      <c r="AV4301" s="156"/>
      <c r="AW4301" s="156"/>
      <c r="AX4301" s="156"/>
      <c r="AY4301" s="156"/>
      <c r="AZ4301" s="156"/>
      <c r="BA4301" s="156"/>
      <c r="BB4301" s="2828"/>
      <c r="BC4301" s="452"/>
      <c r="BD4301" s="2829"/>
      <c r="BE4301" s="2837"/>
      <c r="BF4301" s="156"/>
    </row>
    <row r="4302" spans="1:58" ht="15" customHeight="1" outlineLevel="1" x14ac:dyDescent="0.35">
      <c r="A4302" s="1664"/>
      <c r="B4302" s="2812"/>
      <c r="C4302" s="3077"/>
      <c r="D4302" s="3980"/>
      <c r="E4302" s="3883"/>
      <c r="F4302" s="3984" t="str">
        <f t="shared" si="457"/>
        <v>ASHP-SEER17-Replace_CAC_NonElectricHeat_ER1_MF_CompE</v>
      </c>
      <c r="G4302" s="3984"/>
      <c r="H4302" s="3984"/>
      <c r="I4302" s="3984"/>
      <c r="J4302" s="3508" t="str">
        <f t="shared" si="458"/>
        <v>354161_2021_12_</v>
      </c>
      <c r="K4302" s="462">
        <f>(($R$1960*L4302)+$R$1946)-(($Q$1960*L4302)/((1+$R$1962)^($R$1963-1)))</f>
        <v>1205.4598012161669</v>
      </c>
      <c r="L4302" s="93">
        <f>VLOOKUP(J4302,$J$1940:$L$2132,3,FALSE)*M4302</f>
        <v>2.0150000000000001</v>
      </c>
      <c r="M4302" s="3031">
        <f>VLOOKUP(J4302,$J$3484:$K$3676,2,FALSE)</f>
        <v>0.65</v>
      </c>
      <c r="N4302" s="963"/>
      <c r="O4302" s="106"/>
      <c r="P4302" s="702"/>
      <c r="Q4302" s="702"/>
      <c r="R4302" s="702"/>
      <c r="S4302" s="106"/>
      <c r="T4302" s="486"/>
      <c r="U4302" s="106"/>
      <c r="V4302" s="4129"/>
      <c r="W4302" s="2440"/>
      <c r="X4302" s="465"/>
      <c r="Y4302" s="465"/>
      <c r="Z4302" s="462"/>
      <c r="AA4302" s="462"/>
      <c r="AB4302" s="465"/>
      <c r="AC4302" s="3569">
        <v>1205.4598012161669</v>
      </c>
      <c r="AD4302" s="462">
        <v>1205.4598012161669</v>
      </c>
      <c r="AE4302" s="2939"/>
      <c r="AF4302" s="663"/>
      <c r="AG4302" s="663"/>
      <c r="AH4302" s="156"/>
      <c r="AI4302" s="156"/>
      <c r="AJ4302" s="156"/>
      <c r="AK4302" s="156"/>
      <c r="AL4302" s="156"/>
      <c r="AM4302" s="156"/>
      <c r="AN4302" s="156"/>
      <c r="AO4302" s="156"/>
      <c r="AP4302" s="156"/>
      <c r="AQ4302" s="156"/>
      <c r="AR4302" s="156"/>
      <c r="AS4302" s="156"/>
      <c r="AT4302" s="156"/>
      <c r="AU4302" s="156"/>
      <c r="AV4302" s="156"/>
      <c r="AW4302" s="156"/>
      <c r="AX4302" s="156"/>
      <c r="AY4302" s="156"/>
      <c r="AZ4302" s="156"/>
      <c r="BA4302" s="156"/>
      <c r="BB4302" s="2828"/>
      <c r="BC4302" s="452"/>
      <c r="BD4302" s="2829"/>
      <c r="BE4302" s="2837"/>
      <c r="BF4302" s="156"/>
    </row>
    <row r="4303" spans="1:58" ht="15" customHeight="1" outlineLevel="1" x14ac:dyDescent="0.35">
      <c r="A4303" s="1664"/>
      <c r="B4303" s="2812"/>
      <c r="C4303" s="3077"/>
      <c r="D4303" s="3980"/>
      <c r="E4303" s="3883"/>
      <c r="F4303" s="3984" t="str">
        <f t="shared" si="457"/>
        <v>ASHP-SEER17-Replace_CAC_NonElectricHeat_ER1_MF_CompE</v>
      </c>
      <c r="G4303" s="3984"/>
      <c r="H4303" s="3984"/>
      <c r="I4303" s="3984"/>
      <c r="J4303" s="3508" t="str">
        <f t="shared" si="458"/>
        <v>354161_2021_12_</v>
      </c>
      <c r="K4303" s="462"/>
      <c r="L4303" s="93"/>
      <c r="M4303" s="3031"/>
      <c r="N4303" s="963"/>
      <c r="O4303" s="106"/>
      <c r="P4303" s="702"/>
      <c r="Q4303" s="702"/>
      <c r="R4303" s="702"/>
      <c r="S4303" s="106"/>
      <c r="T4303" s="486"/>
      <c r="U4303" s="106"/>
      <c r="V4303" s="4129"/>
      <c r="W4303" s="2440"/>
      <c r="X4303" s="465"/>
      <c r="Y4303" s="465"/>
      <c r="Z4303" s="462"/>
      <c r="AA4303" s="462"/>
      <c r="AB4303" s="465"/>
      <c r="AC4303" s="3568"/>
      <c r="AD4303" s="462"/>
      <c r="AE4303" s="2939"/>
      <c r="AF4303" s="663"/>
      <c r="AG4303" s="663"/>
      <c r="AH4303" s="156"/>
      <c r="AI4303" s="156"/>
      <c r="AJ4303" s="156"/>
      <c r="AK4303" s="156"/>
      <c r="AL4303" s="156"/>
      <c r="AM4303" s="156"/>
      <c r="AN4303" s="156"/>
      <c r="AO4303" s="156"/>
      <c r="AP4303" s="156"/>
      <c r="AQ4303" s="156"/>
      <c r="AR4303" s="156"/>
      <c r="AS4303" s="156"/>
      <c r="AT4303" s="156"/>
      <c r="AU4303" s="156"/>
      <c r="AV4303" s="156"/>
      <c r="AW4303" s="156"/>
      <c r="AX4303" s="156"/>
      <c r="AY4303" s="156"/>
      <c r="AZ4303" s="156"/>
      <c r="BA4303" s="156"/>
      <c r="BB4303" s="2828"/>
      <c r="BC4303" s="452"/>
      <c r="BD4303" s="2829"/>
      <c r="BE4303" s="2837"/>
      <c r="BF4303" s="156"/>
    </row>
    <row r="4304" spans="1:58" ht="15" customHeight="1" outlineLevel="1" x14ac:dyDescent="0.35">
      <c r="A4304" s="1664"/>
      <c r="B4304" s="2812"/>
      <c r="C4304" s="3077"/>
      <c r="D4304" s="3980"/>
      <c r="E4304" s="3883"/>
      <c r="F4304" s="3984" t="str">
        <f t="shared" si="457"/>
        <v>ASHP-SEER17-Replace_CAC_NonElectricHeat_ER2_MF_CompE</v>
      </c>
      <c r="G4304" s="3984"/>
      <c r="H4304" s="3984"/>
      <c r="I4304" s="3984"/>
      <c r="J4304" s="3508" t="str">
        <f t="shared" si="458"/>
        <v>354161_2021_12_</v>
      </c>
      <c r="K4304" s="462"/>
      <c r="L4304" s="93"/>
      <c r="M4304" s="3031"/>
      <c r="N4304" s="963"/>
      <c r="O4304" s="106"/>
      <c r="P4304" s="702"/>
      <c r="Q4304" s="702"/>
      <c r="R4304" s="702"/>
      <c r="S4304" s="106"/>
      <c r="T4304" s="486"/>
      <c r="U4304" s="106"/>
      <c r="V4304" s="4129"/>
      <c r="W4304" s="2440"/>
      <c r="X4304" s="465"/>
      <c r="Y4304" s="465"/>
      <c r="Z4304" s="462"/>
      <c r="AA4304" s="462"/>
      <c r="AB4304" s="465"/>
      <c r="AC4304" s="3568"/>
      <c r="AD4304" s="462"/>
      <c r="AE4304" s="2939"/>
      <c r="AF4304" s="663"/>
      <c r="AG4304" s="663"/>
      <c r="AH4304" s="156"/>
      <c r="AI4304" s="156"/>
      <c r="AJ4304" s="156"/>
      <c r="AK4304" s="156"/>
      <c r="AL4304" s="156"/>
      <c r="AM4304" s="156"/>
      <c r="AN4304" s="156"/>
      <c r="AO4304" s="156"/>
      <c r="AP4304" s="156"/>
      <c r="AQ4304" s="156"/>
      <c r="AR4304" s="156"/>
      <c r="AS4304" s="156"/>
      <c r="AT4304" s="156"/>
      <c r="AU4304" s="156"/>
      <c r="AV4304" s="156"/>
      <c r="AW4304" s="156"/>
      <c r="AX4304" s="156"/>
      <c r="AY4304" s="156"/>
      <c r="AZ4304" s="156"/>
      <c r="BA4304" s="156"/>
      <c r="BB4304" s="2828"/>
      <c r="BC4304" s="452"/>
      <c r="BD4304" s="2829"/>
      <c r="BE4304" s="2837"/>
      <c r="BF4304" s="156"/>
    </row>
    <row r="4305" spans="1:58" ht="15" customHeight="1" outlineLevel="1" x14ac:dyDescent="0.35">
      <c r="A4305" s="1664"/>
      <c r="B4305" s="2812"/>
      <c r="C4305" s="3077"/>
      <c r="D4305" s="3980"/>
      <c r="E4305" s="3883"/>
      <c r="F4305" s="3984" t="str">
        <f t="shared" si="457"/>
        <v>ASHP-SEER17-Replace_CAC_NonElectricHeat_ER2_MF_CompE</v>
      </c>
      <c r="G4305" s="3984"/>
      <c r="H4305" s="3984"/>
      <c r="I4305" s="3984"/>
      <c r="J4305" s="3508" t="str">
        <f t="shared" si="458"/>
        <v>354161_2021_12_</v>
      </c>
      <c r="K4305" s="462"/>
      <c r="L4305" s="93"/>
      <c r="M4305" s="3031"/>
      <c r="N4305" s="963"/>
      <c r="O4305" s="106"/>
      <c r="P4305" s="702"/>
      <c r="Q4305" s="702"/>
      <c r="R4305" s="702"/>
      <c r="S4305" s="106"/>
      <c r="T4305" s="486"/>
      <c r="U4305" s="106"/>
      <c r="V4305" s="4129"/>
      <c r="W4305" s="2440"/>
      <c r="X4305" s="465"/>
      <c r="Y4305" s="465"/>
      <c r="Z4305" s="462"/>
      <c r="AA4305" s="462"/>
      <c r="AB4305" s="465"/>
      <c r="AC4305" s="3568"/>
      <c r="AD4305" s="462"/>
      <c r="AE4305" s="2939"/>
      <c r="AF4305" s="663"/>
      <c r="AG4305" s="663"/>
      <c r="AH4305" s="156"/>
      <c r="AI4305" s="156"/>
      <c r="AJ4305" s="156"/>
      <c r="AK4305" s="156"/>
      <c r="AL4305" s="156"/>
      <c r="AM4305" s="156"/>
      <c r="AN4305" s="156"/>
      <c r="AO4305" s="156"/>
      <c r="AP4305" s="156"/>
      <c r="AQ4305" s="156"/>
      <c r="AR4305" s="156"/>
      <c r="AS4305" s="156"/>
      <c r="AT4305" s="156"/>
      <c r="AU4305" s="156"/>
      <c r="AV4305" s="156"/>
      <c r="AW4305" s="156"/>
      <c r="AX4305" s="156"/>
      <c r="AY4305" s="156"/>
      <c r="AZ4305" s="156"/>
      <c r="BA4305" s="156"/>
      <c r="BB4305" s="2828"/>
      <c r="BC4305" s="452"/>
      <c r="BD4305" s="2829"/>
      <c r="BE4305" s="2837"/>
      <c r="BF4305" s="156"/>
    </row>
    <row r="4306" spans="1:58" ht="15" customHeight="1" outlineLevel="1" x14ac:dyDescent="0.35">
      <c r="A4306" s="1664"/>
      <c r="B4306" s="2812"/>
      <c r="C4306" s="3077"/>
      <c r="D4306" s="3980"/>
      <c r="E4306" s="3883"/>
      <c r="F4306" s="3984" t="str">
        <f t="shared" si="457"/>
        <v>ASHP-SEER17_ER1_MF</v>
      </c>
      <c r="G4306" s="3984"/>
      <c r="H4306" s="3984"/>
      <c r="I4306" s="3984"/>
      <c r="J4306" s="3508" t="str">
        <f t="shared" si="458"/>
        <v>354200_2019_12_</v>
      </c>
      <c r="K4306" s="462">
        <f>(($R$1960*L4306)+$R$1946)-(($Q$1960*L4306)/((1+$R$1962)^($R$1963-1)))</f>
        <v>1236.5217238752739</v>
      </c>
      <c r="L4306" s="93">
        <f>VLOOKUP(J4306,$J$1940:$L$2132,3,FALSE)*M4306</f>
        <v>2.145</v>
      </c>
      <c r="M4306" s="3031">
        <f>VLOOKUP(J4306,$J$3484:$K$3676,2,FALSE)</f>
        <v>0.65</v>
      </c>
      <c r="N4306" s="963"/>
      <c r="O4306" s="106"/>
      <c r="P4306" s="702"/>
      <c r="Q4306" s="702"/>
      <c r="R4306" s="702"/>
      <c r="S4306" s="106"/>
      <c r="T4306" s="486"/>
      <c r="U4306" s="106"/>
      <c r="V4306" s="4129"/>
      <c r="W4306" s="2440">
        <v>6101.9914642916983</v>
      </c>
      <c r="X4306" s="465">
        <f>(X$2061/12000)*$Q$1946*X$3605</f>
        <v>3090.5451716258217</v>
      </c>
      <c r="Y4306" s="465">
        <v>1183.8516619658126</v>
      </c>
      <c r="Z4306" s="462">
        <v>1183.8516619658126</v>
      </c>
      <c r="AA4306" s="462">
        <v>1183.8516619658126</v>
      </c>
      <c r="AB4306" s="465">
        <v>1236.5217238752739</v>
      </c>
      <c r="AC4306" s="3568">
        <v>1236.5217238752739</v>
      </c>
      <c r="AD4306" s="462">
        <v>1236.5217238752739</v>
      </c>
      <c r="AE4306" s="2939"/>
      <c r="AF4306" s="663"/>
      <c r="AG4306" s="663"/>
      <c r="AH4306" s="156"/>
      <c r="AI4306" s="156"/>
      <c r="AJ4306" s="156"/>
      <c r="AK4306" s="156"/>
      <c r="AL4306" s="156"/>
      <c r="AM4306" s="156"/>
      <c r="AN4306" s="156"/>
      <c r="AO4306" s="156"/>
      <c r="AP4306" s="156"/>
      <c r="AQ4306" s="156"/>
      <c r="AR4306" s="156"/>
      <c r="AS4306" s="156"/>
      <c r="AT4306" s="156"/>
      <c r="AU4306" s="156"/>
      <c r="AV4306" s="156"/>
      <c r="AW4306" s="156"/>
      <c r="AX4306" s="156"/>
      <c r="AY4306" s="156"/>
      <c r="AZ4306" s="156"/>
      <c r="BA4306" s="156"/>
      <c r="BB4306" s="2828"/>
      <c r="BC4306" s="452"/>
      <c r="BD4306" s="2829"/>
      <c r="BE4306" s="2837"/>
      <c r="BF4306" s="156"/>
    </row>
    <row r="4307" spans="1:58" ht="15" customHeight="1" outlineLevel="1" x14ac:dyDescent="0.35">
      <c r="A4307" s="1664"/>
      <c r="B4307" s="2812"/>
      <c r="C4307" s="3077"/>
      <c r="D4307" s="3980"/>
      <c r="E4307" s="3883"/>
      <c r="F4307" s="3984" t="str">
        <f t="shared" si="457"/>
        <v>ASHP-SEER17_ER1_MF</v>
      </c>
      <c r="G4307" s="3984"/>
      <c r="H4307" s="3984"/>
      <c r="I4307" s="3984"/>
      <c r="J4307" s="3508" t="str">
        <f t="shared" si="458"/>
        <v>354200_2019_12_</v>
      </c>
      <c r="K4307" s="462"/>
      <c r="L4307" s="93" t="str">
        <f>IF(K4307&gt;0,VLOOKUP(J4307,$J$1940:$L$2132,3,FALSE),"")</f>
        <v/>
      </c>
      <c r="M4307" s="3031" t="str">
        <f>IF(K4307&gt;0,VLOOKUP(J4307,$J$3484:$K$3676,2,FALSE),"")</f>
        <v/>
      </c>
      <c r="N4307" s="963"/>
      <c r="O4307" s="106"/>
      <c r="P4307" s="702"/>
      <c r="Q4307" s="702"/>
      <c r="R4307" s="702"/>
      <c r="S4307" s="106"/>
      <c r="T4307" s="486"/>
      <c r="U4307" s="106"/>
      <c r="V4307" s="4129"/>
      <c r="W4307" s="2440"/>
      <c r="X4307" s="465"/>
      <c r="Y4307" s="465"/>
      <c r="Z4307" s="462"/>
      <c r="AA4307" s="462"/>
      <c r="AB4307" s="465"/>
      <c r="AC4307" s="3568"/>
      <c r="AD4307" s="462"/>
      <c r="AE4307" s="2939"/>
      <c r="AF4307" s="663"/>
      <c r="AG4307" s="663"/>
      <c r="AH4307" s="156"/>
      <c r="AI4307" s="156"/>
      <c r="AJ4307" s="156"/>
      <c r="AK4307" s="156"/>
      <c r="AL4307" s="156"/>
      <c r="AM4307" s="156"/>
      <c r="AN4307" s="156"/>
      <c r="AO4307" s="156"/>
      <c r="AP4307" s="156"/>
      <c r="AQ4307" s="156"/>
      <c r="AR4307" s="156"/>
      <c r="AS4307" s="156"/>
      <c r="AT4307" s="156"/>
      <c r="AU4307" s="156"/>
      <c r="AV4307" s="156"/>
      <c r="AW4307" s="156"/>
      <c r="AX4307" s="156"/>
      <c r="AY4307" s="156"/>
      <c r="AZ4307" s="156"/>
      <c r="BA4307" s="156"/>
      <c r="BB4307" s="2828"/>
      <c r="BC4307" s="452"/>
      <c r="BD4307" s="2829"/>
      <c r="BE4307" s="2837"/>
      <c r="BF4307" s="156"/>
    </row>
    <row r="4308" spans="1:58" ht="15" customHeight="1" outlineLevel="1" x14ac:dyDescent="0.35">
      <c r="A4308" s="1664"/>
      <c r="B4308" s="2812"/>
      <c r="C4308" s="3077"/>
      <c r="D4308" s="3980"/>
      <c r="E4308" s="3883"/>
      <c r="F4308" s="3984" t="str">
        <f t="shared" si="457"/>
        <v>ASHP-SEER17_ER2_MF</v>
      </c>
      <c r="G4308" s="3984"/>
      <c r="H4308" s="3984"/>
      <c r="I4308" s="3984"/>
      <c r="J4308" s="3508" t="str">
        <f t="shared" si="458"/>
        <v>354200_2019_12_</v>
      </c>
      <c r="K4308" s="462"/>
      <c r="L4308" s="93" t="str">
        <f>IF(K4308&gt;0,VLOOKUP(J4308,$J$1940:$L$2132,3,FALSE),"")</f>
        <v/>
      </c>
      <c r="M4308" s="3031" t="str">
        <f>IF(K4308&gt;0,VLOOKUP(J4308,$J$3484:$K$3676,2,FALSE),"")</f>
        <v/>
      </c>
      <c r="N4308" s="963"/>
      <c r="O4308" s="106"/>
      <c r="P4308" s="702"/>
      <c r="Q4308" s="702"/>
      <c r="R4308" s="702"/>
      <c r="S4308" s="106"/>
      <c r="T4308" s="486"/>
      <c r="U4308" s="106"/>
      <c r="V4308" s="4129"/>
      <c r="W4308" s="2440"/>
      <c r="X4308" s="465"/>
      <c r="Y4308" s="465"/>
      <c r="Z4308" s="462"/>
      <c r="AA4308" s="462"/>
      <c r="AB4308" s="465"/>
      <c r="AC4308" s="3568"/>
      <c r="AD4308" s="462"/>
      <c r="AE4308" s="2939"/>
      <c r="AF4308" s="663"/>
      <c r="AG4308" s="663"/>
      <c r="AH4308" s="156"/>
      <c r="AI4308" s="156"/>
      <c r="AJ4308" s="156"/>
      <c r="AK4308" s="156"/>
      <c r="AL4308" s="156"/>
      <c r="AM4308" s="156"/>
      <c r="AN4308" s="156"/>
      <c r="AO4308" s="156"/>
      <c r="AP4308" s="156"/>
      <c r="AQ4308" s="156"/>
      <c r="AR4308" s="156"/>
      <c r="AS4308" s="156"/>
      <c r="AT4308" s="156"/>
      <c r="AU4308" s="156"/>
      <c r="AV4308" s="156"/>
      <c r="AW4308" s="156"/>
      <c r="AX4308" s="156"/>
      <c r="AY4308" s="156"/>
      <c r="AZ4308" s="156"/>
      <c r="BA4308" s="156"/>
      <c r="BB4308" s="2828"/>
      <c r="BC4308" s="452"/>
      <c r="BD4308" s="2829"/>
      <c r="BE4308" s="2837"/>
      <c r="BF4308" s="156"/>
    </row>
    <row r="4309" spans="1:58" ht="15" customHeight="1" outlineLevel="1" x14ac:dyDescent="0.35">
      <c r="A4309" s="1664"/>
      <c r="B4309" s="2812"/>
      <c r="C4309" s="3077"/>
      <c r="D4309" s="3980"/>
      <c r="E4309" s="3883"/>
      <c r="F4309" s="3984" t="str">
        <f t="shared" si="457"/>
        <v>ASHP-SEER17_ER2_MF</v>
      </c>
      <c r="G4309" s="3984"/>
      <c r="H4309" s="3984"/>
      <c r="I4309" s="3984"/>
      <c r="J4309" s="3508" t="str">
        <f t="shared" si="458"/>
        <v>354200_2019_12_</v>
      </c>
      <c r="K4309" s="462"/>
      <c r="L4309" s="93" t="str">
        <f>IF(K4309&gt;0,VLOOKUP(J4309,$J$1940:$L$2132,3,FALSE),"")</f>
        <v/>
      </c>
      <c r="M4309" s="3031" t="str">
        <f>IF(K4309&gt;0,VLOOKUP(J4309,$J$3484:$K$3676,2,FALSE),"")</f>
        <v/>
      </c>
      <c r="N4309" s="963"/>
      <c r="O4309" s="106"/>
      <c r="P4309" s="702"/>
      <c r="Q4309" s="702"/>
      <c r="R4309" s="702"/>
      <c r="S4309" s="106"/>
      <c r="T4309" s="486"/>
      <c r="U4309" s="106"/>
      <c r="V4309" s="4129"/>
      <c r="W4309" s="2440"/>
      <c r="X4309" s="465"/>
      <c r="Y4309" s="465"/>
      <c r="Z4309" s="462"/>
      <c r="AA4309" s="462"/>
      <c r="AB4309" s="465"/>
      <c r="AC4309" s="3568"/>
      <c r="AD4309" s="462"/>
      <c r="AE4309" s="2939"/>
      <c r="AF4309" s="663"/>
      <c r="AG4309" s="663"/>
      <c r="AH4309" s="156"/>
      <c r="AI4309" s="156"/>
      <c r="AJ4309" s="156"/>
      <c r="AK4309" s="156"/>
      <c r="AL4309" s="156"/>
      <c r="AM4309" s="156"/>
      <c r="AN4309" s="156"/>
      <c r="AO4309" s="156"/>
      <c r="AP4309" s="156"/>
      <c r="AQ4309" s="156"/>
      <c r="AR4309" s="156"/>
      <c r="AS4309" s="156"/>
      <c r="AT4309" s="156"/>
      <c r="AU4309" s="156"/>
      <c r="AV4309" s="156"/>
      <c r="AW4309" s="156"/>
      <c r="AX4309" s="156"/>
      <c r="AY4309" s="156"/>
      <c r="AZ4309" s="156"/>
      <c r="BA4309" s="156"/>
      <c r="BB4309" s="2828"/>
      <c r="BC4309" s="452"/>
      <c r="BD4309" s="2829"/>
      <c r="BE4309" s="2837"/>
      <c r="BF4309" s="156"/>
    </row>
    <row r="4310" spans="1:58" ht="15" customHeight="1" outlineLevel="1" x14ac:dyDescent="0.35">
      <c r="A4310" s="1664"/>
      <c r="B4310" s="2812"/>
      <c r="C4310" s="3077"/>
      <c r="D4310" s="3980"/>
      <c r="E4310" s="3883"/>
      <c r="F4310" s="3984" t="str">
        <f t="shared" si="457"/>
        <v>ASHP-SEER17_ER1_MF_CompE</v>
      </c>
      <c r="G4310" s="3984"/>
      <c r="H4310" s="3984"/>
      <c r="I4310" s="3984"/>
      <c r="J4310" s="3508" t="str">
        <f t="shared" si="458"/>
        <v>354201_2019_12_</v>
      </c>
      <c r="K4310" s="462">
        <f>(($R$1960*L4310)+$R$1946)-(($Q$1960*L4310)/((1+$R$1962)^($R$1963-1)))</f>
        <v>1236.5217238752739</v>
      </c>
      <c r="L4310" s="93">
        <f>VLOOKUP(J4310,$J$1940:$L$2132,3,FALSE)*M4310</f>
        <v>2.145</v>
      </c>
      <c r="M4310" s="3031">
        <f>VLOOKUP(J4310,$J$3484:$K$3676,2,FALSE)</f>
        <v>0.65</v>
      </c>
      <c r="N4310" s="963"/>
      <c r="O4310" s="106"/>
      <c r="P4310" s="702"/>
      <c r="Q4310" s="702"/>
      <c r="R4310" s="702"/>
      <c r="S4310" s="106"/>
      <c r="T4310" s="486"/>
      <c r="U4310" s="106"/>
      <c r="V4310" s="4129"/>
      <c r="W4310" s="2440"/>
      <c r="X4310" s="465"/>
      <c r="Y4310" s="465"/>
      <c r="Z4310" s="462"/>
      <c r="AA4310" s="462"/>
      <c r="AB4310" s="465"/>
      <c r="AC4310" s="3569">
        <v>1236.5217238752739</v>
      </c>
      <c r="AD4310" s="462">
        <v>1236.5217238752739</v>
      </c>
      <c r="AE4310" s="2939"/>
      <c r="AF4310" s="663"/>
      <c r="AG4310" s="663"/>
      <c r="AH4310" s="156"/>
      <c r="AI4310" s="156"/>
      <c r="AJ4310" s="156"/>
      <c r="AK4310" s="156"/>
      <c r="AL4310" s="156"/>
      <c r="AM4310" s="156"/>
      <c r="AN4310" s="156"/>
      <c r="AO4310" s="156"/>
      <c r="AP4310" s="156"/>
      <c r="AQ4310" s="156"/>
      <c r="AR4310" s="156"/>
      <c r="AS4310" s="156"/>
      <c r="AT4310" s="156"/>
      <c r="AU4310" s="156"/>
      <c r="AV4310" s="156"/>
      <c r="AW4310" s="156"/>
      <c r="AX4310" s="156"/>
      <c r="AY4310" s="156"/>
      <c r="AZ4310" s="156"/>
      <c r="BA4310" s="156"/>
      <c r="BB4310" s="2828"/>
      <c r="BC4310" s="452"/>
      <c r="BD4310" s="2829"/>
      <c r="BE4310" s="2837"/>
      <c r="BF4310" s="156"/>
    </row>
    <row r="4311" spans="1:58" ht="15" customHeight="1" outlineLevel="1" x14ac:dyDescent="0.35">
      <c r="A4311" s="1664"/>
      <c r="B4311" s="2812"/>
      <c r="C4311" s="3077"/>
      <c r="D4311" s="3980"/>
      <c r="E4311" s="3883"/>
      <c r="F4311" s="3984" t="str">
        <f t="shared" si="457"/>
        <v>ASHP-SEER17_ER1_MF_CompE</v>
      </c>
      <c r="G4311" s="3984"/>
      <c r="H4311" s="3984"/>
      <c r="I4311" s="3984"/>
      <c r="J4311" s="3508" t="str">
        <f t="shared" si="458"/>
        <v>354201_2019_12_</v>
      </c>
      <c r="K4311" s="462"/>
      <c r="L4311" s="93"/>
      <c r="M4311" s="3031"/>
      <c r="N4311" s="963"/>
      <c r="O4311" s="106"/>
      <c r="P4311" s="702"/>
      <c r="Q4311" s="702"/>
      <c r="R4311" s="702"/>
      <c r="S4311" s="106"/>
      <c r="T4311" s="486"/>
      <c r="U4311" s="106"/>
      <c r="V4311" s="4129"/>
      <c r="W4311" s="2440"/>
      <c r="X4311" s="465"/>
      <c r="Y4311" s="465"/>
      <c r="Z4311" s="462"/>
      <c r="AA4311" s="462"/>
      <c r="AB4311" s="465"/>
      <c r="AC4311" s="3568"/>
      <c r="AD4311" s="462"/>
      <c r="AE4311" s="2939"/>
      <c r="AF4311" s="663"/>
      <c r="AG4311" s="663"/>
      <c r="AH4311" s="156"/>
      <c r="AI4311" s="156"/>
      <c r="AJ4311" s="156"/>
      <c r="AK4311" s="156"/>
      <c r="AL4311" s="156"/>
      <c r="AM4311" s="156"/>
      <c r="AN4311" s="156"/>
      <c r="AO4311" s="156"/>
      <c r="AP4311" s="156"/>
      <c r="AQ4311" s="156"/>
      <c r="AR4311" s="156"/>
      <c r="AS4311" s="156"/>
      <c r="AT4311" s="156"/>
      <c r="AU4311" s="156"/>
      <c r="AV4311" s="156"/>
      <c r="AW4311" s="156"/>
      <c r="AX4311" s="156"/>
      <c r="AY4311" s="156"/>
      <c r="AZ4311" s="156"/>
      <c r="BA4311" s="156"/>
      <c r="BB4311" s="2828"/>
      <c r="BC4311" s="452"/>
      <c r="BD4311" s="2829"/>
      <c r="BE4311" s="2837"/>
      <c r="BF4311" s="156"/>
    </row>
    <row r="4312" spans="1:58" ht="15" customHeight="1" outlineLevel="1" x14ac:dyDescent="0.35">
      <c r="A4312" s="1664"/>
      <c r="B4312" s="2812"/>
      <c r="C4312" s="3077"/>
      <c r="D4312" s="3980"/>
      <c r="E4312" s="3883"/>
      <c r="F4312" s="3984" t="str">
        <f t="shared" si="457"/>
        <v>ASHP-SEER17_ER2_MF_CompE</v>
      </c>
      <c r="G4312" s="3984"/>
      <c r="H4312" s="3984"/>
      <c r="I4312" s="3984"/>
      <c r="J4312" s="3508" t="str">
        <f t="shared" si="458"/>
        <v>354201_2019_12_</v>
      </c>
      <c r="K4312" s="462"/>
      <c r="L4312" s="93"/>
      <c r="M4312" s="3031"/>
      <c r="N4312" s="963"/>
      <c r="O4312" s="106"/>
      <c r="P4312" s="702"/>
      <c r="Q4312" s="702"/>
      <c r="R4312" s="702"/>
      <c r="S4312" s="106"/>
      <c r="T4312" s="486"/>
      <c r="U4312" s="106"/>
      <c r="V4312" s="4129"/>
      <c r="W4312" s="2440"/>
      <c r="X4312" s="465"/>
      <c r="Y4312" s="465"/>
      <c r="Z4312" s="462"/>
      <c r="AA4312" s="462"/>
      <c r="AB4312" s="465"/>
      <c r="AC4312" s="3568"/>
      <c r="AD4312" s="462"/>
      <c r="AE4312" s="2939"/>
      <c r="AF4312" s="663"/>
      <c r="AG4312" s="663"/>
      <c r="AH4312" s="156"/>
      <c r="AI4312" s="156"/>
      <c r="AJ4312" s="156"/>
      <c r="AK4312" s="156"/>
      <c r="AL4312" s="156"/>
      <c r="AM4312" s="156"/>
      <c r="AN4312" s="156"/>
      <c r="AO4312" s="156"/>
      <c r="AP4312" s="156"/>
      <c r="AQ4312" s="156"/>
      <c r="AR4312" s="156"/>
      <c r="AS4312" s="156"/>
      <c r="AT4312" s="156"/>
      <c r="AU4312" s="156"/>
      <c r="AV4312" s="156"/>
      <c r="AW4312" s="156"/>
      <c r="AX4312" s="156"/>
      <c r="AY4312" s="156"/>
      <c r="AZ4312" s="156"/>
      <c r="BA4312" s="156"/>
      <c r="BB4312" s="2828"/>
      <c r="BC4312" s="452"/>
      <c r="BD4312" s="2829"/>
      <c r="BE4312" s="2837"/>
      <c r="BF4312" s="156"/>
    </row>
    <row r="4313" spans="1:58" ht="15" customHeight="1" outlineLevel="1" x14ac:dyDescent="0.35">
      <c r="A4313" s="1664"/>
      <c r="B4313" s="2812"/>
      <c r="C4313" s="3077"/>
      <c r="D4313" s="3980"/>
      <c r="E4313" s="3883"/>
      <c r="F4313" s="3984" t="str">
        <f t="shared" si="457"/>
        <v>ASHP-SEER17_ER2_MF_CompE</v>
      </c>
      <c r="G4313" s="3984"/>
      <c r="H4313" s="3984"/>
      <c r="I4313" s="3984"/>
      <c r="J4313" s="3508" t="str">
        <f t="shared" si="458"/>
        <v>354201_2019_12_</v>
      </c>
      <c r="K4313" s="462"/>
      <c r="L4313" s="93"/>
      <c r="M4313" s="3031"/>
      <c r="N4313" s="963"/>
      <c r="O4313" s="106"/>
      <c r="P4313" s="702"/>
      <c r="Q4313" s="702"/>
      <c r="R4313" s="702"/>
      <c r="S4313" s="106"/>
      <c r="T4313" s="486"/>
      <c r="U4313" s="106"/>
      <c r="V4313" s="4129"/>
      <c r="W4313" s="2440"/>
      <c r="X4313" s="465"/>
      <c r="Y4313" s="465"/>
      <c r="Z4313" s="462"/>
      <c r="AA4313" s="462"/>
      <c r="AB4313" s="465"/>
      <c r="AC4313" s="3568"/>
      <c r="AD4313" s="462"/>
      <c r="AE4313" s="2939"/>
      <c r="AF4313" s="663"/>
      <c r="AG4313" s="663"/>
      <c r="AH4313" s="156"/>
      <c r="AI4313" s="156"/>
      <c r="AJ4313" s="156"/>
      <c r="AK4313" s="156"/>
      <c r="AL4313" s="156"/>
      <c r="AM4313" s="156"/>
      <c r="AN4313" s="156"/>
      <c r="AO4313" s="156"/>
      <c r="AP4313" s="156"/>
      <c r="AQ4313" s="156"/>
      <c r="AR4313" s="156"/>
      <c r="AS4313" s="156"/>
      <c r="AT4313" s="156"/>
      <c r="AU4313" s="156"/>
      <c r="AV4313" s="156"/>
      <c r="AW4313" s="156"/>
      <c r="AX4313" s="156"/>
      <c r="AY4313" s="156"/>
      <c r="AZ4313" s="156"/>
      <c r="BA4313" s="156"/>
      <c r="BB4313" s="2828"/>
      <c r="BC4313" s="452"/>
      <c r="BD4313" s="2829"/>
      <c r="BE4313" s="2837"/>
      <c r="BF4313" s="156"/>
    </row>
    <row r="4314" spans="1:58" ht="15" customHeight="1" outlineLevel="1" x14ac:dyDescent="0.35">
      <c r="A4314" s="1664"/>
      <c r="B4314" s="2812"/>
      <c r="C4314" s="3077"/>
      <c r="D4314" s="3980"/>
      <c r="E4314" s="3883"/>
      <c r="F4314" s="3984" t="str">
        <f t="shared" si="457"/>
        <v>ASHP-SEER18-Replace_CAC_ElectricHeat_ER1_SF</v>
      </c>
      <c r="G4314" s="3984"/>
      <c r="H4314" s="3984"/>
      <c r="I4314" s="3984"/>
      <c r="J4314" s="3508" t="str">
        <f t="shared" si="458"/>
        <v>354250_2021_12_</v>
      </c>
      <c r="K4314" s="465">
        <f>(($R$1960*L4314)+$R$1947)-(($Q$1960*L4314)/((1+$R$1962)^($R$1963-1)))</f>
        <v>1681.5237652002679</v>
      </c>
      <c r="L4314" s="96">
        <f>VLOOKUP(J4314,$J$1940:$L$2132,3,FALSE)*M4314</f>
        <v>3.0074921794528389</v>
      </c>
      <c r="M4314" s="3031">
        <f>VLOOKUP(J4314,$J$3484:$K$3676,2,FALSE)</f>
        <v>1</v>
      </c>
      <c r="N4314" s="963"/>
      <c r="O4314" s="106"/>
      <c r="P4314" s="702"/>
      <c r="Q4314" s="702"/>
      <c r="R4314" s="702"/>
      <c r="S4314" s="106"/>
      <c r="T4314" s="486"/>
      <c r="U4314" s="106"/>
      <c r="V4314" s="4129"/>
      <c r="W4314" s="2440">
        <v>4279.6282279230445</v>
      </c>
      <c r="X4314" s="465">
        <f>(X$2065/12000)*$Q$1947*X$3609</f>
        <v>5207.1741594592304</v>
      </c>
      <c r="Y4314" s="465">
        <v>1586.0327049389366</v>
      </c>
      <c r="Z4314" s="462">
        <v>1586.0327049389366</v>
      </c>
      <c r="AA4314" s="462">
        <v>1586.0327049389366</v>
      </c>
      <c r="AB4314" s="465">
        <v>1778.604441180808</v>
      </c>
      <c r="AC4314" s="3569">
        <v>1714.015989382433</v>
      </c>
      <c r="AD4314" s="465">
        <v>1681.5237652002679</v>
      </c>
      <c r="AE4314" s="2939"/>
      <c r="AF4314" s="663"/>
      <c r="AG4314" s="663"/>
      <c r="AH4314" s="156"/>
      <c r="AI4314" s="156"/>
      <c r="AJ4314" s="156"/>
      <c r="AK4314" s="156"/>
      <c r="AL4314" s="156"/>
      <c r="AM4314" s="156"/>
      <c r="AN4314" s="156"/>
      <c r="AO4314" s="156"/>
      <c r="AP4314" s="156"/>
      <c r="AQ4314" s="156"/>
      <c r="AR4314" s="156"/>
      <c r="AS4314" s="156"/>
      <c r="AT4314" s="156"/>
      <c r="AU4314" s="156"/>
      <c r="AV4314" s="156"/>
      <c r="AW4314" s="156"/>
      <c r="AX4314" s="156"/>
      <c r="AY4314" s="156"/>
      <c r="AZ4314" s="156"/>
      <c r="BA4314" s="156"/>
      <c r="BB4314" s="2828"/>
      <c r="BC4314" s="452"/>
      <c r="BD4314" s="2829"/>
      <c r="BE4314" s="2837"/>
      <c r="BF4314" s="156"/>
    </row>
    <row r="4315" spans="1:58" ht="15" customHeight="1" outlineLevel="1" x14ac:dyDescent="0.35">
      <c r="A4315" s="1664"/>
      <c r="B4315" s="2812"/>
      <c r="C4315" s="3077"/>
      <c r="D4315" s="3980"/>
      <c r="E4315" s="3883"/>
      <c r="F4315" s="3984" t="str">
        <f t="shared" si="457"/>
        <v>ASHP-SEER18-Replace_CAC_ElectricHeat_ER1_SF</v>
      </c>
      <c r="G4315" s="3984"/>
      <c r="H4315" s="3984"/>
      <c r="I4315" s="3984"/>
      <c r="J4315" s="3508" t="str">
        <f t="shared" si="458"/>
        <v>354250_2021_12_</v>
      </c>
      <c r="K4315" s="462"/>
      <c r="L4315" s="93" t="str">
        <f>IF(K4315&gt;0,VLOOKUP(J4315,$J$1940:$L$2132,3,FALSE),"")</f>
        <v/>
      </c>
      <c r="M4315" s="3031" t="str">
        <f>IF(K4315&gt;0,VLOOKUP(J4315,$J$3484:$K$3676,2,FALSE),"")</f>
        <v/>
      </c>
      <c r="N4315" s="963"/>
      <c r="O4315" s="106"/>
      <c r="P4315" s="702"/>
      <c r="Q4315" s="702"/>
      <c r="R4315" s="702"/>
      <c r="S4315" s="106"/>
      <c r="T4315" s="486"/>
      <c r="U4315" s="106"/>
      <c r="V4315" s="4129"/>
      <c r="W4315" s="2440"/>
      <c r="X4315" s="465"/>
      <c r="Y4315" s="465"/>
      <c r="Z4315" s="462"/>
      <c r="AA4315" s="462"/>
      <c r="AB4315" s="465"/>
      <c r="AC4315" s="3568"/>
      <c r="AD4315" s="462"/>
      <c r="AE4315" s="2939"/>
      <c r="AF4315" s="663"/>
      <c r="AG4315" s="663"/>
      <c r="AH4315" s="156"/>
      <c r="AI4315" s="156"/>
      <c r="AJ4315" s="156"/>
      <c r="AK4315" s="156"/>
      <c r="AL4315" s="156"/>
      <c r="AM4315" s="156"/>
      <c r="AN4315" s="156"/>
      <c r="AO4315" s="156"/>
      <c r="AP4315" s="156"/>
      <c r="AQ4315" s="156"/>
      <c r="AR4315" s="156"/>
      <c r="AS4315" s="156"/>
      <c r="AT4315" s="156"/>
      <c r="AU4315" s="156"/>
      <c r="AV4315" s="156"/>
      <c r="AW4315" s="156"/>
      <c r="AX4315" s="156"/>
      <c r="AY4315" s="156"/>
      <c r="AZ4315" s="156"/>
      <c r="BA4315" s="156"/>
      <c r="BB4315" s="2828"/>
      <c r="BC4315" s="452"/>
      <c r="BD4315" s="2829"/>
      <c r="BE4315" s="2837"/>
      <c r="BF4315" s="156"/>
    </row>
    <row r="4316" spans="1:58" ht="15" customHeight="1" outlineLevel="1" x14ac:dyDescent="0.35">
      <c r="A4316" s="1664"/>
      <c r="B4316" s="2812"/>
      <c r="C4316" s="3077"/>
      <c r="D4316" s="3980"/>
      <c r="E4316" s="3883"/>
      <c r="F4316" s="3984" t="str">
        <f t="shared" si="457"/>
        <v>ASHP-SEER18-Replace_CAC_ElectricHeat_ER2_SF</v>
      </c>
      <c r="G4316" s="3984"/>
      <c r="H4316" s="3984"/>
      <c r="I4316" s="3984"/>
      <c r="J4316" s="3508" t="str">
        <f t="shared" si="458"/>
        <v>354250_2021_12_</v>
      </c>
      <c r="K4316" s="462"/>
      <c r="L4316" s="93" t="str">
        <f>IF(K4316&gt;0,VLOOKUP(J4316,$J$1940:$L$2132,3,FALSE),"")</f>
        <v/>
      </c>
      <c r="M4316" s="3031" t="str">
        <f>IF(K4316&gt;0,VLOOKUP(J4316,$J$3484:$K$3676,2,FALSE),"")</f>
        <v/>
      </c>
      <c r="N4316" s="963"/>
      <c r="O4316" s="106"/>
      <c r="P4316" s="702"/>
      <c r="Q4316" s="702"/>
      <c r="R4316" s="702"/>
      <c r="S4316" s="106"/>
      <c r="T4316" s="486"/>
      <c r="U4316" s="106"/>
      <c r="V4316" s="4129"/>
      <c r="W4316" s="2440"/>
      <c r="X4316" s="465"/>
      <c r="Y4316" s="465"/>
      <c r="Z4316" s="462"/>
      <c r="AA4316" s="462"/>
      <c r="AB4316" s="465"/>
      <c r="AC4316" s="3568"/>
      <c r="AD4316" s="462"/>
      <c r="AE4316" s="2939"/>
      <c r="AF4316" s="663"/>
      <c r="AG4316" s="663"/>
      <c r="AH4316" s="156"/>
      <c r="AI4316" s="156"/>
      <c r="AJ4316" s="156"/>
      <c r="AK4316" s="156"/>
      <c r="AL4316" s="156"/>
      <c r="AM4316" s="156"/>
      <c r="AN4316" s="156"/>
      <c r="AO4316" s="156"/>
      <c r="AP4316" s="156"/>
      <c r="AQ4316" s="156"/>
      <c r="AR4316" s="156"/>
      <c r="AS4316" s="156"/>
      <c r="AT4316" s="156"/>
      <c r="AU4316" s="156"/>
      <c r="AV4316" s="156"/>
      <c r="AW4316" s="156"/>
      <c r="AX4316" s="156"/>
      <c r="AY4316" s="156"/>
      <c r="AZ4316" s="156"/>
      <c r="BA4316" s="156"/>
      <c r="BB4316" s="2828"/>
      <c r="BC4316" s="452"/>
      <c r="BD4316" s="2829"/>
      <c r="BE4316" s="2837"/>
      <c r="BF4316" s="156"/>
    </row>
    <row r="4317" spans="1:58" ht="15" customHeight="1" outlineLevel="1" x14ac:dyDescent="0.35">
      <c r="A4317" s="1664"/>
      <c r="B4317" s="2812"/>
      <c r="C4317" s="3077"/>
      <c r="D4317" s="3980"/>
      <c r="E4317" s="3883"/>
      <c r="F4317" s="3984" t="str">
        <f t="shared" si="457"/>
        <v>ASHP-SEER18-Replace_CAC_ElectricHeat_ER2_SF</v>
      </c>
      <c r="G4317" s="3984"/>
      <c r="H4317" s="3984"/>
      <c r="I4317" s="3984"/>
      <c r="J4317" s="3508" t="str">
        <f t="shared" si="458"/>
        <v>354250_2021_12_</v>
      </c>
      <c r="K4317" s="462"/>
      <c r="L4317" s="93" t="str">
        <f>IF(K4317&gt;0,VLOOKUP(J4317,$J$1940:$L$2132,3,FALSE),"")</f>
        <v/>
      </c>
      <c r="M4317" s="3031" t="str">
        <f>IF(K4317&gt;0,VLOOKUP(J4317,$J$3484:$K$3676,2,FALSE),"")</f>
        <v/>
      </c>
      <c r="N4317" s="963"/>
      <c r="O4317" s="106"/>
      <c r="P4317" s="702"/>
      <c r="Q4317" s="702"/>
      <c r="R4317" s="702"/>
      <c r="S4317" s="106"/>
      <c r="T4317" s="486"/>
      <c r="U4317" s="106"/>
      <c r="V4317" s="4129"/>
      <c r="W4317" s="2440"/>
      <c r="X4317" s="465"/>
      <c r="Y4317" s="465"/>
      <c r="Z4317" s="462"/>
      <c r="AA4317" s="462"/>
      <c r="AB4317" s="465"/>
      <c r="AC4317" s="3568"/>
      <c r="AD4317" s="462"/>
      <c r="AE4317" s="2939"/>
      <c r="AF4317" s="663"/>
      <c r="AG4317" s="663"/>
      <c r="AH4317" s="156"/>
      <c r="AI4317" s="156"/>
      <c r="AJ4317" s="156"/>
      <c r="AK4317" s="156"/>
      <c r="AL4317" s="156"/>
      <c r="AM4317" s="156"/>
      <c r="AN4317" s="156"/>
      <c r="AO4317" s="156"/>
      <c r="AP4317" s="156"/>
      <c r="AQ4317" s="156"/>
      <c r="AR4317" s="156"/>
      <c r="AS4317" s="156"/>
      <c r="AT4317" s="156"/>
      <c r="AU4317" s="156"/>
      <c r="AV4317" s="156"/>
      <c r="AW4317" s="156"/>
      <c r="AX4317" s="156"/>
      <c r="AY4317" s="156"/>
      <c r="AZ4317" s="156"/>
      <c r="BA4317" s="156"/>
      <c r="BB4317" s="2828"/>
      <c r="BC4317" s="452"/>
      <c r="BD4317" s="2829"/>
      <c r="BE4317" s="2837"/>
      <c r="BF4317" s="156"/>
    </row>
    <row r="4318" spans="1:58" ht="15" customHeight="1" outlineLevel="1" x14ac:dyDescent="0.35">
      <c r="A4318" s="1664"/>
      <c r="B4318" s="2812"/>
      <c r="C4318" s="3077"/>
      <c r="D4318" s="3980"/>
      <c r="E4318" s="3883"/>
      <c r="F4318" s="3984" t="str">
        <f t="shared" si="457"/>
        <v>ASHP-SEER18-Replace_CAC_NonElectricHeat_ER1_SF</v>
      </c>
      <c r="G4318" s="3984"/>
      <c r="H4318" s="3984"/>
      <c r="I4318" s="3984"/>
      <c r="J4318" s="3508" t="str">
        <f t="shared" si="458"/>
        <v>354260_2021_12_</v>
      </c>
      <c r="K4318" s="465">
        <f>(($R$1960*L4318)+$R$1947)-(($Q$1960*L4318)/((1+$R$1962)^($R$1963-1)))</f>
        <v>1681.5237652002679</v>
      </c>
      <c r="L4318" s="96">
        <f>VLOOKUP(J4318,$J$1940:$L$2132,3,FALSE)*M4318</f>
        <v>3.0074921794528389</v>
      </c>
      <c r="M4318" s="3031">
        <f>VLOOKUP(J4318,$J$3484:$K$3676,2,FALSE)</f>
        <v>1</v>
      </c>
      <c r="N4318" s="963"/>
      <c r="O4318" s="106"/>
      <c r="P4318" s="702"/>
      <c r="Q4318" s="702"/>
      <c r="R4318" s="702"/>
      <c r="S4318" s="106"/>
      <c r="T4318" s="486"/>
      <c r="U4318" s="106"/>
      <c r="V4318" s="4129"/>
      <c r="W4318" s="2440"/>
      <c r="X4318" s="465"/>
      <c r="Y4318" s="465"/>
      <c r="Z4318" s="462"/>
      <c r="AA4318" s="462"/>
      <c r="AB4318" s="465"/>
      <c r="AC4318" s="3569">
        <v>1714.015989382433</v>
      </c>
      <c r="AD4318" s="465">
        <v>1681.5237652002679</v>
      </c>
      <c r="AE4318" s="2939"/>
      <c r="AF4318" s="663"/>
      <c r="AG4318" s="663"/>
      <c r="AH4318" s="156"/>
      <c r="AI4318" s="156"/>
      <c r="AJ4318" s="156"/>
      <c r="AK4318" s="156"/>
      <c r="AL4318" s="156"/>
      <c r="AM4318" s="156"/>
      <c r="AN4318" s="156"/>
      <c r="AO4318" s="156"/>
      <c r="AP4318" s="156"/>
      <c r="AQ4318" s="156"/>
      <c r="AR4318" s="156"/>
      <c r="AS4318" s="156"/>
      <c r="AT4318" s="156"/>
      <c r="AU4318" s="156"/>
      <c r="AV4318" s="156"/>
      <c r="AW4318" s="156"/>
      <c r="AX4318" s="156"/>
      <c r="AY4318" s="156"/>
      <c r="AZ4318" s="156"/>
      <c r="BA4318" s="156"/>
      <c r="BB4318" s="2828"/>
      <c r="BC4318" s="452"/>
      <c r="BD4318" s="2829"/>
      <c r="BE4318" s="2837"/>
      <c r="BF4318" s="156"/>
    </row>
    <row r="4319" spans="1:58" ht="15" customHeight="1" outlineLevel="1" x14ac:dyDescent="0.35">
      <c r="A4319" s="1664"/>
      <c r="B4319" s="2812"/>
      <c r="C4319" s="3077"/>
      <c r="D4319" s="3980"/>
      <c r="E4319" s="3883"/>
      <c r="F4319" s="3984" t="str">
        <f t="shared" si="457"/>
        <v>ASHP-SEER18-Replace_CAC_NonElectricHeat_ER1_SF</v>
      </c>
      <c r="G4319" s="3984"/>
      <c r="H4319" s="3984"/>
      <c r="I4319" s="3984"/>
      <c r="J4319" s="3508" t="str">
        <f t="shared" si="458"/>
        <v>354260_2021_12_</v>
      </c>
      <c r="K4319" s="462"/>
      <c r="L4319" s="93"/>
      <c r="M4319" s="3031"/>
      <c r="N4319" s="963"/>
      <c r="O4319" s="106"/>
      <c r="P4319" s="702"/>
      <c r="Q4319" s="702"/>
      <c r="R4319" s="702"/>
      <c r="S4319" s="106"/>
      <c r="T4319" s="486"/>
      <c r="U4319" s="106"/>
      <c r="V4319" s="4129"/>
      <c r="W4319" s="2440"/>
      <c r="X4319" s="465"/>
      <c r="Y4319" s="465"/>
      <c r="Z4319" s="462"/>
      <c r="AA4319" s="462"/>
      <c r="AB4319" s="465"/>
      <c r="AC4319" s="3568"/>
      <c r="AD4319" s="462"/>
      <c r="AE4319" s="2939"/>
      <c r="AF4319" s="663"/>
      <c r="AG4319" s="663"/>
      <c r="AH4319" s="156"/>
      <c r="AI4319" s="156"/>
      <c r="AJ4319" s="156"/>
      <c r="AK4319" s="156"/>
      <c r="AL4319" s="156"/>
      <c r="AM4319" s="156"/>
      <c r="AN4319" s="156"/>
      <c r="AO4319" s="156"/>
      <c r="AP4319" s="156"/>
      <c r="AQ4319" s="156"/>
      <c r="AR4319" s="156"/>
      <c r="AS4319" s="156"/>
      <c r="AT4319" s="156"/>
      <c r="AU4319" s="156"/>
      <c r="AV4319" s="156"/>
      <c r="AW4319" s="156"/>
      <c r="AX4319" s="156"/>
      <c r="AY4319" s="156"/>
      <c r="AZ4319" s="156"/>
      <c r="BA4319" s="156"/>
      <c r="BB4319" s="2828"/>
      <c r="BC4319" s="452"/>
      <c r="BD4319" s="2829"/>
      <c r="BE4319" s="2837"/>
      <c r="BF4319" s="156"/>
    </row>
    <row r="4320" spans="1:58" ht="15" customHeight="1" outlineLevel="1" x14ac:dyDescent="0.35">
      <c r="A4320" s="1664"/>
      <c r="B4320" s="2812"/>
      <c r="C4320" s="3077"/>
      <c r="D4320" s="3980"/>
      <c r="E4320" s="3883"/>
      <c r="F4320" s="3984" t="str">
        <f t="shared" ref="F4320:F4383" si="459">E1790</f>
        <v>ASHP-SEER18-Replace_CAC_NonElectricHeat_ER2_SF</v>
      </c>
      <c r="G4320" s="3984"/>
      <c r="H4320" s="3984"/>
      <c r="I4320" s="3984"/>
      <c r="J4320" s="3508" t="str">
        <f t="shared" ref="J4320:J4383" si="460">C1790</f>
        <v>354260_2021_12_</v>
      </c>
      <c r="K4320" s="462"/>
      <c r="L4320" s="93"/>
      <c r="M4320" s="3031"/>
      <c r="N4320" s="963"/>
      <c r="O4320" s="106"/>
      <c r="P4320" s="702"/>
      <c r="Q4320" s="702"/>
      <c r="R4320" s="702"/>
      <c r="S4320" s="106"/>
      <c r="T4320" s="486"/>
      <c r="U4320" s="106"/>
      <c r="V4320" s="4129"/>
      <c r="W4320" s="2440"/>
      <c r="X4320" s="465"/>
      <c r="Y4320" s="465"/>
      <c r="Z4320" s="462"/>
      <c r="AA4320" s="462"/>
      <c r="AB4320" s="465"/>
      <c r="AC4320" s="3568"/>
      <c r="AD4320" s="462"/>
      <c r="AE4320" s="2939"/>
      <c r="AF4320" s="663"/>
      <c r="AG4320" s="663"/>
      <c r="AH4320" s="156"/>
      <c r="AI4320" s="156"/>
      <c r="AJ4320" s="156"/>
      <c r="AK4320" s="156"/>
      <c r="AL4320" s="156"/>
      <c r="AM4320" s="156"/>
      <c r="AN4320" s="156"/>
      <c r="AO4320" s="156"/>
      <c r="AP4320" s="156"/>
      <c r="AQ4320" s="156"/>
      <c r="AR4320" s="156"/>
      <c r="AS4320" s="156"/>
      <c r="AT4320" s="156"/>
      <c r="AU4320" s="156"/>
      <c r="AV4320" s="156"/>
      <c r="AW4320" s="156"/>
      <c r="AX4320" s="156"/>
      <c r="AY4320" s="156"/>
      <c r="AZ4320" s="156"/>
      <c r="BA4320" s="156"/>
      <c r="BB4320" s="2828"/>
      <c r="BC4320" s="452"/>
      <c r="BD4320" s="2829"/>
      <c r="BE4320" s="2837"/>
      <c r="BF4320" s="156"/>
    </row>
    <row r="4321" spans="1:58" ht="15" customHeight="1" outlineLevel="1" x14ac:dyDescent="0.35">
      <c r="A4321" s="1664"/>
      <c r="B4321" s="2812"/>
      <c r="C4321" s="3077"/>
      <c r="D4321" s="3980"/>
      <c r="E4321" s="3883"/>
      <c r="F4321" s="3984" t="str">
        <f t="shared" si="459"/>
        <v>ASHP-SEER18-Replace_CAC_NonElectricHeat_ER2_SF</v>
      </c>
      <c r="G4321" s="3984"/>
      <c r="H4321" s="3984"/>
      <c r="I4321" s="3984"/>
      <c r="J4321" s="3508" t="str">
        <f t="shared" si="460"/>
        <v>354260_2021_12_</v>
      </c>
      <c r="K4321" s="462"/>
      <c r="L4321" s="93"/>
      <c r="M4321" s="3031"/>
      <c r="N4321" s="963"/>
      <c r="O4321" s="106"/>
      <c r="P4321" s="702"/>
      <c r="Q4321" s="702"/>
      <c r="R4321" s="702"/>
      <c r="S4321" s="106"/>
      <c r="T4321" s="486"/>
      <c r="U4321" s="106"/>
      <c r="V4321" s="4129"/>
      <c r="W4321" s="2440"/>
      <c r="X4321" s="465"/>
      <c r="Y4321" s="465"/>
      <c r="Z4321" s="462"/>
      <c r="AA4321" s="462"/>
      <c r="AB4321" s="465"/>
      <c r="AC4321" s="3568"/>
      <c r="AD4321" s="462"/>
      <c r="AE4321" s="2939"/>
      <c r="AF4321" s="663"/>
      <c r="AG4321" s="663"/>
      <c r="AH4321" s="156"/>
      <c r="AI4321" s="156"/>
      <c r="AJ4321" s="156"/>
      <c r="AK4321" s="156"/>
      <c r="AL4321" s="156"/>
      <c r="AM4321" s="156"/>
      <c r="AN4321" s="156"/>
      <c r="AO4321" s="156"/>
      <c r="AP4321" s="156"/>
      <c r="AQ4321" s="156"/>
      <c r="AR4321" s="156"/>
      <c r="AS4321" s="156"/>
      <c r="AT4321" s="156"/>
      <c r="AU4321" s="156"/>
      <c r="AV4321" s="156"/>
      <c r="AW4321" s="156"/>
      <c r="AX4321" s="156"/>
      <c r="AY4321" s="156"/>
      <c r="AZ4321" s="156"/>
      <c r="BA4321" s="156"/>
      <c r="BB4321" s="2828"/>
      <c r="BC4321" s="452"/>
      <c r="BD4321" s="2829"/>
      <c r="BE4321" s="2837"/>
      <c r="BF4321" s="156"/>
    </row>
    <row r="4322" spans="1:58" ht="15" customHeight="1" outlineLevel="1" x14ac:dyDescent="0.35">
      <c r="A4322" s="1664"/>
      <c r="B4322" s="2812"/>
      <c r="C4322" s="3077"/>
      <c r="D4322" s="3980"/>
      <c r="E4322" s="3883"/>
      <c r="F4322" s="3984" t="str">
        <f t="shared" si="459"/>
        <v>ASHP-SEER18-Replace_CAC_ElectricHeat_ER1_MF</v>
      </c>
      <c r="G4322" s="3984"/>
      <c r="H4322" s="3984"/>
      <c r="I4322" s="3984"/>
      <c r="J4322" s="3508" t="str">
        <f t="shared" si="460"/>
        <v>354300_2021_12_</v>
      </c>
      <c r="K4322" s="462">
        <f>(($R$1960*L4322)+$R$1947)-(($Q$1960*L4322)/((1+$R$1962)^($R$1963-1)))</f>
        <v>1321.3267999127791</v>
      </c>
      <c r="L4322" s="93">
        <f>VLOOKUP(J4322,$J$1940:$L$2132,3,FALSE)*M4322</f>
        <v>1.5</v>
      </c>
      <c r="M4322" s="3031">
        <f>VLOOKUP(J4322,$J$3484:$K$3676,2,FALSE)</f>
        <v>1</v>
      </c>
      <c r="N4322" s="963"/>
      <c r="O4322" s="106"/>
      <c r="P4322" s="702"/>
      <c r="Q4322" s="702"/>
      <c r="R4322" s="702"/>
      <c r="S4322" s="106"/>
      <c r="T4322" s="486"/>
      <c r="U4322" s="106"/>
      <c r="V4322" s="4129"/>
      <c r="W4322" s="2440">
        <v>4279.6282279230445</v>
      </c>
      <c r="X4322" s="465">
        <f>(X$2069/12000)*$Q$1947*X$3613</f>
        <v>3384.6632036484998</v>
      </c>
      <c r="Y4322" s="465">
        <v>1280.5879248769756</v>
      </c>
      <c r="Z4322" s="462">
        <v>1280.5879248769756</v>
      </c>
      <c r="AA4322" s="462">
        <v>1280.5879248769756</v>
      </c>
      <c r="AB4322" s="465">
        <v>1584.1584531821509</v>
      </c>
      <c r="AC4322" s="3569">
        <v>1195.8844199433067</v>
      </c>
      <c r="AD4322" s="462">
        <v>1195.8844199433067</v>
      </c>
      <c r="AE4322" s="2939"/>
      <c r="AF4322" s="663"/>
      <c r="AG4322" s="663"/>
      <c r="AH4322" s="156"/>
      <c r="AI4322" s="156"/>
      <c r="AJ4322" s="156"/>
      <c r="AK4322" s="156"/>
      <c r="AL4322" s="156"/>
      <c r="AM4322" s="156"/>
      <c r="AN4322" s="156"/>
      <c r="AO4322" s="156"/>
      <c r="AP4322" s="156"/>
      <c r="AQ4322" s="156"/>
      <c r="AR4322" s="156"/>
      <c r="AS4322" s="156"/>
      <c r="AT4322" s="156"/>
      <c r="AU4322" s="156"/>
      <c r="AV4322" s="156"/>
      <c r="AW4322" s="156"/>
      <c r="AX4322" s="156"/>
      <c r="AY4322" s="156"/>
      <c r="AZ4322" s="156"/>
      <c r="BA4322" s="156"/>
      <c r="BB4322" s="2828"/>
      <c r="BC4322" s="452"/>
      <c r="BD4322" s="2829"/>
      <c r="BE4322" s="2837"/>
      <c r="BF4322" s="156"/>
    </row>
    <row r="4323" spans="1:58" ht="15" customHeight="1" outlineLevel="1" x14ac:dyDescent="0.35">
      <c r="A4323" s="1664"/>
      <c r="B4323" s="2812"/>
      <c r="C4323" s="3077"/>
      <c r="D4323" s="3980"/>
      <c r="E4323" s="3883"/>
      <c r="F4323" s="3984" t="str">
        <f t="shared" si="459"/>
        <v>ASHP-SEER18-Replace_CAC_ElectricHeat_ER1_MF</v>
      </c>
      <c r="G4323" s="3984"/>
      <c r="H4323" s="3984"/>
      <c r="I4323" s="3984"/>
      <c r="J4323" s="3508" t="str">
        <f t="shared" si="460"/>
        <v>354300_2021_12_</v>
      </c>
      <c r="K4323" s="462"/>
      <c r="L4323" s="93" t="str">
        <f>IF(K4323&gt;0,VLOOKUP(J4323,$J$1940:$L$2132,3,FALSE),"")</f>
        <v/>
      </c>
      <c r="M4323" s="3031" t="str">
        <f>IF(K4323&gt;0,VLOOKUP(J4323,$J$3484:$K$3676,2,FALSE),"")</f>
        <v/>
      </c>
      <c r="N4323" s="963"/>
      <c r="O4323" s="106"/>
      <c r="P4323" s="702"/>
      <c r="Q4323" s="702"/>
      <c r="R4323" s="702"/>
      <c r="S4323" s="106"/>
      <c r="T4323" s="486"/>
      <c r="U4323" s="106"/>
      <c r="V4323" s="4129"/>
      <c r="W4323" s="2440"/>
      <c r="X4323" s="465"/>
      <c r="Y4323" s="465"/>
      <c r="Z4323" s="462"/>
      <c r="AA4323" s="462"/>
      <c r="AB4323" s="465"/>
      <c r="AC4323" s="3568"/>
      <c r="AD4323" s="462"/>
      <c r="AE4323" s="2939"/>
      <c r="AF4323" s="663"/>
      <c r="AG4323" s="663"/>
      <c r="AH4323" s="156"/>
      <c r="AI4323" s="156"/>
      <c r="AJ4323" s="156"/>
      <c r="AK4323" s="156"/>
      <c r="AL4323" s="156"/>
      <c r="AM4323" s="156"/>
      <c r="AN4323" s="156"/>
      <c r="AO4323" s="156"/>
      <c r="AP4323" s="156"/>
      <c r="AQ4323" s="156"/>
      <c r="AR4323" s="156"/>
      <c r="AS4323" s="156"/>
      <c r="AT4323" s="156"/>
      <c r="AU4323" s="156"/>
      <c r="AV4323" s="156"/>
      <c r="AW4323" s="156"/>
      <c r="AX4323" s="156"/>
      <c r="AY4323" s="156"/>
      <c r="AZ4323" s="156"/>
      <c r="BA4323" s="156"/>
      <c r="BB4323" s="2828"/>
      <c r="BC4323" s="452"/>
      <c r="BD4323" s="2829"/>
      <c r="BE4323" s="2837"/>
      <c r="BF4323" s="156"/>
    </row>
    <row r="4324" spans="1:58" ht="15" customHeight="1" outlineLevel="1" x14ac:dyDescent="0.35">
      <c r="A4324" s="1664"/>
      <c r="B4324" s="2812"/>
      <c r="C4324" s="3077"/>
      <c r="D4324" s="3980"/>
      <c r="E4324" s="3883"/>
      <c r="F4324" s="3984" t="str">
        <f t="shared" si="459"/>
        <v>ASHP-SEER18-Replace_CAC_ElectricHeat_ER2_MF</v>
      </c>
      <c r="G4324" s="3984"/>
      <c r="H4324" s="3984"/>
      <c r="I4324" s="3984"/>
      <c r="J4324" s="3508" t="str">
        <f t="shared" si="460"/>
        <v>354300_2021_12_</v>
      </c>
      <c r="K4324" s="462"/>
      <c r="L4324" s="93" t="str">
        <f>IF(K4324&gt;0,VLOOKUP(J4324,$J$1940:$L$2132,3,FALSE),"")</f>
        <v/>
      </c>
      <c r="M4324" s="3031" t="str">
        <f>IF(K4324&gt;0,VLOOKUP(J4324,$J$3484:$K$3676,2,FALSE),"")</f>
        <v/>
      </c>
      <c r="N4324" s="963"/>
      <c r="O4324" s="106"/>
      <c r="P4324" s="702"/>
      <c r="Q4324" s="702"/>
      <c r="R4324" s="702"/>
      <c r="S4324" s="106"/>
      <c r="T4324" s="486"/>
      <c r="U4324" s="106"/>
      <c r="V4324" s="4129"/>
      <c r="W4324" s="2440"/>
      <c r="X4324" s="465"/>
      <c r="Y4324" s="465"/>
      <c r="Z4324" s="462"/>
      <c r="AA4324" s="462"/>
      <c r="AB4324" s="465"/>
      <c r="AC4324" s="3568"/>
      <c r="AD4324" s="462"/>
      <c r="AE4324" s="2939"/>
      <c r="AF4324" s="663"/>
      <c r="AG4324" s="663"/>
      <c r="AH4324" s="156"/>
      <c r="AI4324" s="156"/>
      <c r="AJ4324" s="156"/>
      <c r="AK4324" s="156"/>
      <c r="AL4324" s="156"/>
      <c r="AM4324" s="156"/>
      <c r="AN4324" s="156"/>
      <c r="AO4324" s="156"/>
      <c r="AP4324" s="156"/>
      <c r="AQ4324" s="156"/>
      <c r="AR4324" s="156"/>
      <c r="AS4324" s="156"/>
      <c r="AT4324" s="156"/>
      <c r="AU4324" s="156"/>
      <c r="AV4324" s="156"/>
      <c r="AW4324" s="156"/>
      <c r="AX4324" s="156"/>
      <c r="AY4324" s="156"/>
      <c r="AZ4324" s="156"/>
      <c r="BA4324" s="156"/>
      <c r="BB4324" s="2828"/>
      <c r="BC4324" s="452"/>
      <c r="BD4324" s="2829"/>
      <c r="BE4324" s="2837"/>
      <c r="BF4324" s="156"/>
    </row>
    <row r="4325" spans="1:58" ht="15" customHeight="1" outlineLevel="1" x14ac:dyDescent="0.35">
      <c r="A4325" s="1664"/>
      <c r="B4325" s="2812"/>
      <c r="C4325" s="3077"/>
      <c r="D4325" s="3980"/>
      <c r="E4325" s="3883"/>
      <c r="F4325" s="3984" t="str">
        <f t="shared" si="459"/>
        <v>ASHP-SEER18-Replace_CAC_ElectricHeat_ER2_MF</v>
      </c>
      <c r="G4325" s="3984"/>
      <c r="H4325" s="3984"/>
      <c r="I4325" s="3984"/>
      <c r="J4325" s="3508" t="str">
        <f t="shared" si="460"/>
        <v>354300_2021_12_</v>
      </c>
      <c r="K4325" s="462"/>
      <c r="L4325" s="93" t="str">
        <f>IF(K4325&gt;0,VLOOKUP(J4325,$J$1940:$L$2132,3,FALSE),"")</f>
        <v/>
      </c>
      <c r="M4325" s="3031" t="str">
        <f>IF(K4325&gt;0,VLOOKUP(J4325,$J$3484:$K$3676,2,FALSE),"")</f>
        <v/>
      </c>
      <c r="N4325" s="963"/>
      <c r="O4325" s="106"/>
      <c r="P4325" s="702"/>
      <c r="Q4325" s="574"/>
      <c r="R4325" s="702"/>
      <c r="S4325" s="106"/>
      <c r="T4325" s="486"/>
      <c r="U4325" s="106"/>
      <c r="V4325" s="4129"/>
      <c r="W4325" s="2440"/>
      <c r="X4325" s="465"/>
      <c r="Y4325" s="465"/>
      <c r="Z4325" s="462"/>
      <c r="AA4325" s="462"/>
      <c r="AB4325" s="465"/>
      <c r="AC4325" s="3568"/>
      <c r="AD4325" s="462"/>
      <c r="AE4325" s="2939"/>
      <c r="AF4325" s="663"/>
      <c r="AG4325" s="663"/>
      <c r="AH4325" s="156"/>
      <c r="AI4325" s="156"/>
      <c r="AJ4325" s="156"/>
      <c r="AK4325" s="156"/>
      <c r="AL4325" s="156"/>
      <c r="AM4325" s="156"/>
      <c r="AN4325" s="156"/>
      <c r="AO4325" s="156"/>
      <c r="AP4325" s="156"/>
      <c r="AQ4325" s="156"/>
      <c r="AR4325" s="156"/>
      <c r="AS4325" s="156"/>
      <c r="AT4325" s="156"/>
      <c r="AU4325" s="156"/>
      <c r="AV4325" s="156"/>
      <c r="AW4325" s="156"/>
      <c r="AX4325" s="156"/>
      <c r="AY4325" s="156"/>
      <c r="AZ4325" s="156"/>
      <c r="BA4325" s="156"/>
      <c r="BB4325" s="2828"/>
      <c r="BC4325" s="452"/>
      <c r="BD4325" s="2829"/>
      <c r="BE4325" s="2837"/>
      <c r="BF4325" s="156"/>
    </row>
    <row r="4326" spans="1:58" ht="15" customHeight="1" outlineLevel="1" x14ac:dyDescent="0.35">
      <c r="A4326" s="1664"/>
      <c r="B4326" s="2812"/>
      <c r="C4326" s="3077"/>
      <c r="D4326" s="3980"/>
      <c r="E4326" s="3883"/>
      <c r="F4326" s="3984" t="str">
        <f t="shared" si="459"/>
        <v>ASHP-SEER18-Replace_CAC_ElectricHeat_ER1_MF_CompE</v>
      </c>
      <c r="G4326" s="3984"/>
      <c r="H4326" s="3984"/>
      <c r="I4326" s="3984"/>
      <c r="J4326" s="3508" t="str">
        <f t="shared" si="460"/>
        <v>354301_2021_12_</v>
      </c>
      <c r="K4326" s="462">
        <f>(($R$1960*L4326)+$R$1947)-(($Q$1960*L4326)/((1+$R$1962)^($R$1963-1)))</f>
        <v>1195.8844199433067</v>
      </c>
      <c r="L4326" s="93">
        <f>VLOOKUP(J4326,$J$1940:$L$2132,3,FALSE)*M4326</f>
        <v>0.97500000000000009</v>
      </c>
      <c r="M4326" s="3031">
        <f>VLOOKUP(J4326,$J$3484:$K$3676,2,FALSE)</f>
        <v>0.65</v>
      </c>
      <c r="N4326" s="963"/>
      <c r="O4326" s="106"/>
      <c r="P4326" s="702"/>
      <c r="Q4326" s="574"/>
      <c r="R4326" s="702"/>
      <c r="S4326" s="106"/>
      <c r="T4326" s="486"/>
      <c r="U4326" s="106"/>
      <c r="V4326" s="4129"/>
      <c r="W4326" s="2440"/>
      <c r="X4326" s="465"/>
      <c r="Y4326" s="465"/>
      <c r="Z4326" s="462"/>
      <c r="AA4326" s="462"/>
      <c r="AB4326" s="465"/>
      <c r="AC4326" s="3569">
        <v>1195.8844199433067</v>
      </c>
      <c r="AD4326" s="462">
        <v>1195.8844199433067</v>
      </c>
      <c r="AE4326" s="2939"/>
      <c r="AF4326" s="663"/>
      <c r="AG4326" s="663"/>
      <c r="AH4326" s="156"/>
      <c r="AI4326" s="156"/>
      <c r="AJ4326" s="156"/>
      <c r="AK4326" s="156"/>
      <c r="AL4326" s="156"/>
      <c r="AM4326" s="156"/>
      <c r="AN4326" s="156"/>
      <c r="AO4326" s="156"/>
      <c r="AP4326" s="156"/>
      <c r="AQ4326" s="156"/>
      <c r="AR4326" s="156"/>
      <c r="AS4326" s="156"/>
      <c r="AT4326" s="156"/>
      <c r="AU4326" s="156"/>
      <c r="AV4326" s="156"/>
      <c r="AW4326" s="156"/>
      <c r="AX4326" s="156"/>
      <c r="AY4326" s="156"/>
      <c r="AZ4326" s="156"/>
      <c r="BA4326" s="156"/>
      <c r="BB4326" s="2828"/>
      <c r="BC4326" s="452"/>
      <c r="BD4326" s="2829"/>
      <c r="BE4326" s="2837"/>
      <c r="BF4326" s="156"/>
    </row>
    <row r="4327" spans="1:58" ht="15" customHeight="1" outlineLevel="1" x14ac:dyDescent="0.35">
      <c r="A4327" s="1664"/>
      <c r="B4327" s="2812"/>
      <c r="C4327" s="3077"/>
      <c r="D4327" s="3980"/>
      <c r="E4327" s="3883"/>
      <c r="F4327" s="3984" t="str">
        <f t="shared" si="459"/>
        <v>ASHP-SEER18-Replace_CAC_ElectricHeat_ER1_MF_CompE</v>
      </c>
      <c r="G4327" s="3984"/>
      <c r="H4327" s="3984"/>
      <c r="I4327" s="3984"/>
      <c r="J4327" s="3508" t="str">
        <f t="shared" si="460"/>
        <v>354301_2021_12_</v>
      </c>
      <c r="K4327" s="462"/>
      <c r="L4327" s="93"/>
      <c r="M4327" s="3031"/>
      <c r="N4327" s="963"/>
      <c r="O4327" s="106"/>
      <c r="P4327" s="702"/>
      <c r="Q4327" s="574"/>
      <c r="R4327" s="702"/>
      <c r="S4327" s="106"/>
      <c r="T4327" s="486"/>
      <c r="U4327" s="106"/>
      <c r="V4327" s="4129"/>
      <c r="W4327" s="2440"/>
      <c r="X4327" s="465"/>
      <c r="Y4327" s="465"/>
      <c r="Z4327" s="462"/>
      <c r="AA4327" s="462"/>
      <c r="AB4327" s="465"/>
      <c r="AC4327" s="3568"/>
      <c r="AD4327" s="462"/>
      <c r="AE4327" s="2939"/>
      <c r="AF4327" s="663"/>
      <c r="AG4327" s="663"/>
      <c r="AH4327" s="156"/>
      <c r="AI4327" s="156"/>
      <c r="AJ4327" s="156"/>
      <c r="AK4327" s="156"/>
      <c r="AL4327" s="156"/>
      <c r="AM4327" s="156"/>
      <c r="AN4327" s="156"/>
      <c r="AO4327" s="156"/>
      <c r="AP4327" s="156"/>
      <c r="AQ4327" s="156"/>
      <c r="AR4327" s="156"/>
      <c r="AS4327" s="156"/>
      <c r="AT4327" s="156"/>
      <c r="AU4327" s="156"/>
      <c r="AV4327" s="156"/>
      <c r="AW4327" s="156"/>
      <c r="AX4327" s="156"/>
      <c r="AY4327" s="156"/>
      <c r="AZ4327" s="156"/>
      <c r="BA4327" s="156"/>
      <c r="BB4327" s="2828"/>
      <c r="BC4327" s="452"/>
      <c r="BD4327" s="2829"/>
      <c r="BE4327" s="2837"/>
      <c r="BF4327" s="156"/>
    </row>
    <row r="4328" spans="1:58" ht="15" customHeight="1" outlineLevel="1" x14ac:dyDescent="0.35">
      <c r="A4328" s="1664"/>
      <c r="B4328" s="2812"/>
      <c r="C4328" s="3077"/>
      <c r="D4328" s="3980"/>
      <c r="E4328" s="3883"/>
      <c r="F4328" s="3984" t="str">
        <f t="shared" si="459"/>
        <v>ASHP-SEER18-Replace_CAC_ElectricHeat_ER2_MF_CompE</v>
      </c>
      <c r="G4328" s="3984"/>
      <c r="H4328" s="3984"/>
      <c r="I4328" s="3984"/>
      <c r="J4328" s="3508" t="str">
        <f t="shared" si="460"/>
        <v>354301_2021_12_</v>
      </c>
      <c r="K4328" s="462"/>
      <c r="L4328" s="93"/>
      <c r="M4328" s="3031"/>
      <c r="N4328" s="963"/>
      <c r="O4328" s="106"/>
      <c r="P4328" s="702"/>
      <c r="Q4328" s="574"/>
      <c r="R4328" s="702"/>
      <c r="S4328" s="106"/>
      <c r="T4328" s="486"/>
      <c r="U4328" s="106"/>
      <c r="V4328" s="4129"/>
      <c r="W4328" s="2440"/>
      <c r="X4328" s="465"/>
      <c r="Y4328" s="465"/>
      <c r="Z4328" s="462"/>
      <c r="AA4328" s="462"/>
      <c r="AB4328" s="465"/>
      <c r="AC4328" s="3568"/>
      <c r="AD4328" s="462"/>
      <c r="AE4328" s="2939"/>
      <c r="AF4328" s="663"/>
      <c r="AG4328" s="663"/>
      <c r="AH4328" s="156"/>
      <c r="AI4328" s="156"/>
      <c r="AJ4328" s="156"/>
      <c r="AK4328" s="156"/>
      <c r="AL4328" s="156"/>
      <c r="AM4328" s="156"/>
      <c r="AN4328" s="156"/>
      <c r="AO4328" s="156"/>
      <c r="AP4328" s="156"/>
      <c r="AQ4328" s="156"/>
      <c r="AR4328" s="156"/>
      <c r="AS4328" s="156"/>
      <c r="AT4328" s="156"/>
      <c r="AU4328" s="156"/>
      <c r="AV4328" s="156"/>
      <c r="AW4328" s="156"/>
      <c r="AX4328" s="156"/>
      <c r="AY4328" s="156"/>
      <c r="AZ4328" s="156"/>
      <c r="BA4328" s="156"/>
      <c r="BB4328" s="2828"/>
      <c r="BC4328" s="452"/>
      <c r="BD4328" s="2829"/>
      <c r="BE4328" s="2837"/>
      <c r="BF4328" s="156"/>
    </row>
    <row r="4329" spans="1:58" ht="15" customHeight="1" outlineLevel="1" x14ac:dyDescent="0.35">
      <c r="A4329" s="1664"/>
      <c r="B4329" s="2812"/>
      <c r="C4329" s="3077"/>
      <c r="D4329" s="3980"/>
      <c r="E4329" s="3883"/>
      <c r="F4329" s="3984" t="str">
        <f t="shared" si="459"/>
        <v>ASHP-SEER18-Replace_CAC_ElectricHeat_ER2_MF_CompE</v>
      </c>
      <c r="G4329" s="3984"/>
      <c r="H4329" s="3984"/>
      <c r="I4329" s="3984"/>
      <c r="J4329" s="3508" t="str">
        <f t="shared" si="460"/>
        <v>354301_2021_12_</v>
      </c>
      <c r="K4329" s="462"/>
      <c r="L4329" s="93"/>
      <c r="M4329" s="3031"/>
      <c r="N4329" s="963"/>
      <c r="O4329" s="106"/>
      <c r="P4329" s="702"/>
      <c r="Q4329" s="574"/>
      <c r="R4329" s="702"/>
      <c r="S4329" s="106"/>
      <c r="T4329" s="486"/>
      <c r="U4329" s="106"/>
      <c r="V4329" s="4129"/>
      <c r="W4329" s="2440"/>
      <c r="X4329" s="465"/>
      <c r="Y4329" s="465"/>
      <c r="Z4329" s="462"/>
      <c r="AA4329" s="462"/>
      <c r="AB4329" s="465"/>
      <c r="AC4329" s="3568"/>
      <c r="AD4329" s="462"/>
      <c r="AE4329" s="2939"/>
      <c r="AF4329" s="663"/>
      <c r="AG4329" s="663"/>
      <c r="AH4329" s="156"/>
      <c r="AI4329" s="156"/>
      <c r="AJ4329" s="156"/>
      <c r="AK4329" s="156"/>
      <c r="AL4329" s="156"/>
      <c r="AM4329" s="156"/>
      <c r="AN4329" s="156"/>
      <c r="AO4329" s="156"/>
      <c r="AP4329" s="156"/>
      <c r="AQ4329" s="156"/>
      <c r="AR4329" s="156"/>
      <c r="AS4329" s="156"/>
      <c r="AT4329" s="156"/>
      <c r="AU4329" s="156"/>
      <c r="AV4329" s="156"/>
      <c r="AW4329" s="156"/>
      <c r="AX4329" s="156"/>
      <c r="AY4329" s="156"/>
      <c r="AZ4329" s="156"/>
      <c r="BA4329" s="156"/>
      <c r="BB4329" s="2828"/>
      <c r="BC4329" s="452"/>
      <c r="BD4329" s="2829"/>
      <c r="BE4329" s="2837"/>
      <c r="BF4329" s="156"/>
    </row>
    <row r="4330" spans="1:58" ht="15" customHeight="1" outlineLevel="1" x14ac:dyDescent="0.35">
      <c r="A4330" s="1664"/>
      <c r="B4330" s="2812"/>
      <c r="C4330" s="3077"/>
      <c r="D4330" s="3980"/>
      <c r="E4330" s="3883"/>
      <c r="F4330" s="3984" t="str">
        <f t="shared" si="459"/>
        <v>ASHP-SEER18-Replace_CAC_NonElectricHeat_ER1_MF</v>
      </c>
      <c r="G4330" s="3984"/>
      <c r="H4330" s="3984"/>
      <c r="I4330" s="3984"/>
      <c r="J4330" s="3508" t="str">
        <f t="shared" si="460"/>
        <v>354310_2021_12_</v>
      </c>
      <c r="K4330" s="462">
        <f>(($R$1960*L4330)+$R$1947)-(($Q$1960*L4330)/((1+$R$1962)^($R$1963-1)))</f>
        <v>1195.8844199433067</v>
      </c>
      <c r="L4330" s="93">
        <f>VLOOKUP(J4330,$J$1940:$L$2132,3,FALSE)*M4330</f>
        <v>0.97500000000000009</v>
      </c>
      <c r="M4330" s="3031">
        <f>VLOOKUP(J4330,$J$3484:$K$3676,2,FALSE)</f>
        <v>0.65</v>
      </c>
      <c r="N4330" s="963"/>
      <c r="O4330" s="106"/>
      <c r="P4330" s="702"/>
      <c r="Q4330" s="574"/>
      <c r="R4330" s="702"/>
      <c r="S4330" s="106"/>
      <c r="T4330" s="486"/>
      <c r="U4330" s="106"/>
      <c r="V4330" s="4129"/>
      <c r="W4330" s="2440"/>
      <c r="X4330" s="465"/>
      <c r="Y4330" s="465"/>
      <c r="Z4330" s="462"/>
      <c r="AA4330" s="462"/>
      <c r="AB4330" s="465"/>
      <c r="AC4330" s="3569">
        <v>1195.8844199433067</v>
      </c>
      <c r="AD4330" s="462">
        <v>1195.8844199433067</v>
      </c>
      <c r="AE4330" s="2939"/>
      <c r="AF4330" s="663"/>
      <c r="AG4330" s="663"/>
      <c r="AH4330" s="156"/>
      <c r="AI4330" s="156"/>
      <c r="AJ4330" s="156"/>
      <c r="AK4330" s="156"/>
      <c r="AL4330" s="156"/>
      <c r="AM4330" s="156"/>
      <c r="AN4330" s="156"/>
      <c r="AO4330" s="156"/>
      <c r="AP4330" s="156"/>
      <c r="AQ4330" s="156"/>
      <c r="AR4330" s="156"/>
      <c r="AS4330" s="156"/>
      <c r="AT4330" s="156"/>
      <c r="AU4330" s="156"/>
      <c r="AV4330" s="156"/>
      <c r="AW4330" s="156"/>
      <c r="AX4330" s="156"/>
      <c r="AY4330" s="156"/>
      <c r="AZ4330" s="156"/>
      <c r="BA4330" s="156"/>
      <c r="BB4330" s="2828"/>
      <c r="BC4330" s="452"/>
      <c r="BD4330" s="2829"/>
      <c r="BE4330" s="2837"/>
      <c r="BF4330" s="156"/>
    </row>
    <row r="4331" spans="1:58" ht="15" customHeight="1" outlineLevel="1" x14ac:dyDescent="0.35">
      <c r="A4331" s="1664"/>
      <c r="B4331" s="2812"/>
      <c r="C4331" s="3077"/>
      <c r="D4331" s="3980"/>
      <c r="E4331" s="3883"/>
      <c r="F4331" s="3984" t="str">
        <f t="shared" si="459"/>
        <v>ASHP-SEER18-Replace_CAC_NonElectricHeat_ER1_MF</v>
      </c>
      <c r="G4331" s="3984"/>
      <c r="H4331" s="3984"/>
      <c r="I4331" s="3984"/>
      <c r="J4331" s="3508" t="str">
        <f t="shared" si="460"/>
        <v>354310_2021_12_</v>
      </c>
      <c r="K4331" s="462"/>
      <c r="L4331" s="93"/>
      <c r="M4331" s="3031"/>
      <c r="N4331" s="963"/>
      <c r="O4331" s="106"/>
      <c r="P4331" s="702"/>
      <c r="Q4331" s="574"/>
      <c r="R4331" s="702"/>
      <c r="S4331" s="106"/>
      <c r="T4331" s="486"/>
      <c r="U4331" s="106"/>
      <c r="V4331" s="4129"/>
      <c r="W4331" s="2440"/>
      <c r="X4331" s="465"/>
      <c r="Y4331" s="465"/>
      <c r="Z4331" s="462"/>
      <c r="AA4331" s="462"/>
      <c r="AB4331" s="465"/>
      <c r="AC4331" s="3568"/>
      <c r="AD4331" s="462"/>
      <c r="AE4331" s="2939"/>
      <c r="AF4331" s="663"/>
      <c r="AG4331" s="663"/>
      <c r="AH4331" s="156"/>
      <c r="AI4331" s="156"/>
      <c r="AJ4331" s="156"/>
      <c r="AK4331" s="156"/>
      <c r="AL4331" s="156"/>
      <c r="AM4331" s="156"/>
      <c r="AN4331" s="156"/>
      <c r="AO4331" s="156"/>
      <c r="AP4331" s="156"/>
      <c r="AQ4331" s="156"/>
      <c r="AR4331" s="156"/>
      <c r="AS4331" s="156"/>
      <c r="AT4331" s="156"/>
      <c r="AU4331" s="156"/>
      <c r="AV4331" s="156"/>
      <c r="AW4331" s="156"/>
      <c r="AX4331" s="156"/>
      <c r="AY4331" s="156"/>
      <c r="AZ4331" s="156"/>
      <c r="BA4331" s="156"/>
      <c r="BB4331" s="2828"/>
      <c r="BC4331" s="452"/>
      <c r="BD4331" s="2829"/>
      <c r="BE4331" s="2837"/>
      <c r="BF4331" s="156"/>
    </row>
    <row r="4332" spans="1:58" ht="15" customHeight="1" outlineLevel="1" x14ac:dyDescent="0.35">
      <c r="A4332" s="1664"/>
      <c r="B4332" s="2812"/>
      <c r="C4332" s="3077"/>
      <c r="D4332" s="3980"/>
      <c r="E4332" s="3883"/>
      <c r="F4332" s="3984" t="str">
        <f t="shared" si="459"/>
        <v>ASHP-SEER18-Replace_CAC_NonElectricHeat_ER2_MF</v>
      </c>
      <c r="G4332" s="3984"/>
      <c r="H4332" s="3984"/>
      <c r="I4332" s="3984"/>
      <c r="J4332" s="3508" t="str">
        <f t="shared" si="460"/>
        <v>354310_2021_12_</v>
      </c>
      <c r="K4332" s="462"/>
      <c r="L4332" s="93"/>
      <c r="M4332" s="3031"/>
      <c r="N4332" s="963"/>
      <c r="O4332" s="106"/>
      <c r="P4332" s="702"/>
      <c r="Q4332" s="574"/>
      <c r="R4332" s="702"/>
      <c r="S4332" s="106"/>
      <c r="T4332" s="486"/>
      <c r="U4332" s="106"/>
      <c r="V4332" s="4129"/>
      <c r="W4332" s="2440"/>
      <c r="X4332" s="465"/>
      <c r="Y4332" s="465"/>
      <c r="Z4332" s="462"/>
      <c r="AA4332" s="462"/>
      <c r="AB4332" s="465"/>
      <c r="AC4332" s="3568"/>
      <c r="AD4332" s="462"/>
      <c r="AE4332" s="2939"/>
      <c r="AF4332" s="663"/>
      <c r="AG4332" s="663"/>
      <c r="AH4332" s="156"/>
      <c r="AI4332" s="156"/>
      <c r="AJ4332" s="156"/>
      <c r="AK4332" s="156"/>
      <c r="AL4332" s="156"/>
      <c r="AM4332" s="156"/>
      <c r="AN4332" s="156"/>
      <c r="AO4332" s="156"/>
      <c r="AP4332" s="156"/>
      <c r="AQ4332" s="156"/>
      <c r="AR4332" s="156"/>
      <c r="AS4332" s="156"/>
      <c r="AT4332" s="156"/>
      <c r="AU4332" s="156"/>
      <c r="AV4332" s="156"/>
      <c r="AW4332" s="156"/>
      <c r="AX4332" s="156"/>
      <c r="AY4332" s="156"/>
      <c r="AZ4332" s="156"/>
      <c r="BA4332" s="156"/>
      <c r="BB4332" s="2828"/>
      <c r="BC4332" s="452"/>
      <c r="BD4332" s="2829"/>
      <c r="BE4332" s="2837"/>
      <c r="BF4332" s="156"/>
    </row>
    <row r="4333" spans="1:58" ht="15" customHeight="1" outlineLevel="1" x14ac:dyDescent="0.35">
      <c r="A4333" s="1664"/>
      <c r="B4333" s="2812"/>
      <c r="C4333" s="3077"/>
      <c r="D4333" s="3980"/>
      <c r="E4333" s="3883"/>
      <c r="F4333" s="3984" t="str">
        <f t="shared" si="459"/>
        <v>ASHP-SEER18-Replace_CAC_NonElectricHeat_ER2_MF</v>
      </c>
      <c r="G4333" s="3984"/>
      <c r="H4333" s="3984"/>
      <c r="I4333" s="3984"/>
      <c r="J4333" s="3508" t="str">
        <f t="shared" si="460"/>
        <v>354310_2021_12_</v>
      </c>
      <c r="K4333" s="462"/>
      <c r="L4333" s="93"/>
      <c r="M4333" s="3031"/>
      <c r="N4333" s="963"/>
      <c r="O4333" s="106"/>
      <c r="P4333" s="702"/>
      <c r="Q4333" s="574"/>
      <c r="R4333" s="702"/>
      <c r="S4333" s="106"/>
      <c r="T4333" s="486"/>
      <c r="U4333" s="106"/>
      <c r="V4333" s="4129"/>
      <c r="W4333" s="2440"/>
      <c r="X4333" s="465"/>
      <c r="Y4333" s="465"/>
      <c r="Z4333" s="462"/>
      <c r="AA4333" s="462"/>
      <c r="AB4333" s="465"/>
      <c r="AC4333" s="3568"/>
      <c r="AD4333" s="462"/>
      <c r="AE4333" s="2939"/>
      <c r="AF4333" s="663"/>
      <c r="AG4333" s="663"/>
      <c r="AH4333" s="156"/>
      <c r="AI4333" s="156"/>
      <c r="AJ4333" s="156"/>
      <c r="AK4333" s="156"/>
      <c r="AL4333" s="156"/>
      <c r="AM4333" s="156"/>
      <c r="AN4333" s="156"/>
      <c r="AO4333" s="156"/>
      <c r="AP4333" s="156"/>
      <c r="AQ4333" s="156"/>
      <c r="AR4333" s="156"/>
      <c r="AS4333" s="156"/>
      <c r="AT4333" s="156"/>
      <c r="AU4333" s="156"/>
      <c r="AV4333" s="156"/>
      <c r="AW4333" s="156"/>
      <c r="AX4333" s="156"/>
      <c r="AY4333" s="156"/>
      <c r="AZ4333" s="156"/>
      <c r="BA4333" s="156"/>
      <c r="BB4333" s="2828"/>
      <c r="BC4333" s="452"/>
      <c r="BD4333" s="2829"/>
      <c r="BE4333" s="2837"/>
      <c r="BF4333" s="156"/>
    </row>
    <row r="4334" spans="1:58" ht="15" customHeight="1" outlineLevel="1" x14ac:dyDescent="0.35">
      <c r="A4334" s="1664"/>
      <c r="B4334" s="2812"/>
      <c r="C4334" s="3077"/>
      <c r="D4334" s="3980"/>
      <c r="E4334" s="3883"/>
      <c r="F4334" s="3984" t="str">
        <f t="shared" si="459"/>
        <v>ASHP-SEER18-Replace_CAC_NonElectricHeat_ER1_MF_CompE</v>
      </c>
      <c r="G4334" s="3984"/>
      <c r="H4334" s="3984"/>
      <c r="I4334" s="3984"/>
      <c r="J4334" s="3508" t="str">
        <f t="shared" si="460"/>
        <v>354311_2021_12_</v>
      </c>
      <c r="K4334" s="462">
        <f>(($R$1960*L4334)+$R$1947)-(($Q$1960*L4334)/((1+$R$1962)^($R$1963-1)))</f>
        <v>1195.8844199433067</v>
      </c>
      <c r="L4334" s="93">
        <f>VLOOKUP(J4334,$J$1940:$L$2132,3,FALSE)*M4334</f>
        <v>0.97500000000000009</v>
      </c>
      <c r="M4334" s="3031">
        <f>VLOOKUP(J4334,$J$3484:$K$3676,2,FALSE)</f>
        <v>0.65</v>
      </c>
      <c r="N4334" s="963"/>
      <c r="O4334" s="106"/>
      <c r="P4334" s="702"/>
      <c r="Q4334" s="574"/>
      <c r="R4334" s="702"/>
      <c r="S4334" s="106"/>
      <c r="T4334" s="486"/>
      <c r="U4334" s="106"/>
      <c r="V4334" s="4129"/>
      <c r="W4334" s="2440"/>
      <c r="X4334" s="465"/>
      <c r="Y4334" s="465"/>
      <c r="Z4334" s="462"/>
      <c r="AA4334" s="462"/>
      <c r="AB4334" s="465"/>
      <c r="AC4334" s="3569">
        <v>1195.8844199433067</v>
      </c>
      <c r="AD4334" s="462">
        <v>1195.8844199433067</v>
      </c>
      <c r="AE4334" s="2939"/>
      <c r="AF4334" s="663"/>
      <c r="AG4334" s="663"/>
      <c r="AH4334" s="156"/>
      <c r="AI4334" s="156"/>
      <c r="AJ4334" s="156"/>
      <c r="AK4334" s="156"/>
      <c r="AL4334" s="156"/>
      <c r="AM4334" s="156"/>
      <c r="AN4334" s="156"/>
      <c r="AO4334" s="156"/>
      <c r="AP4334" s="156"/>
      <c r="AQ4334" s="156"/>
      <c r="AR4334" s="156"/>
      <c r="AS4334" s="156"/>
      <c r="AT4334" s="156"/>
      <c r="AU4334" s="156"/>
      <c r="AV4334" s="156"/>
      <c r="AW4334" s="156"/>
      <c r="AX4334" s="156"/>
      <c r="AY4334" s="156"/>
      <c r="AZ4334" s="156"/>
      <c r="BA4334" s="156"/>
      <c r="BB4334" s="2828"/>
      <c r="BC4334" s="452"/>
      <c r="BD4334" s="2829"/>
      <c r="BE4334" s="2837"/>
      <c r="BF4334" s="156"/>
    </row>
    <row r="4335" spans="1:58" ht="15" customHeight="1" outlineLevel="1" x14ac:dyDescent="0.35">
      <c r="A4335" s="1664"/>
      <c r="B4335" s="2812"/>
      <c r="C4335" s="3077"/>
      <c r="D4335" s="3980"/>
      <c r="E4335" s="3883"/>
      <c r="F4335" s="3984" t="str">
        <f t="shared" si="459"/>
        <v>ASHP-SEER18-Replace_CAC_NonElectricHeat_ER1_MF_CompE</v>
      </c>
      <c r="G4335" s="3984"/>
      <c r="H4335" s="3984"/>
      <c r="I4335" s="3984"/>
      <c r="J4335" s="3508" t="str">
        <f t="shared" si="460"/>
        <v>354311_2021_12_</v>
      </c>
      <c r="K4335" s="462"/>
      <c r="L4335" s="93"/>
      <c r="M4335" s="3031"/>
      <c r="N4335" s="963"/>
      <c r="O4335" s="106"/>
      <c r="P4335" s="702"/>
      <c r="Q4335" s="574"/>
      <c r="R4335" s="702"/>
      <c r="S4335" s="106"/>
      <c r="T4335" s="486"/>
      <c r="U4335" s="106"/>
      <c r="V4335" s="4129"/>
      <c r="W4335" s="2440"/>
      <c r="X4335" s="465"/>
      <c r="Y4335" s="465"/>
      <c r="Z4335" s="462"/>
      <c r="AA4335" s="462"/>
      <c r="AB4335" s="465"/>
      <c r="AC4335" s="3568"/>
      <c r="AD4335" s="462"/>
      <c r="AE4335" s="2939"/>
      <c r="AF4335" s="663"/>
      <c r="AG4335" s="663"/>
      <c r="AH4335" s="156"/>
      <c r="AI4335" s="156"/>
      <c r="AJ4335" s="156"/>
      <c r="AK4335" s="156"/>
      <c r="AL4335" s="156"/>
      <c r="AM4335" s="156"/>
      <c r="AN4335" s="156"/>
      <c r="AO4335" s="156"/>
      <c r="AP4335" s="156"/>
      <c r="AQ4335" s="156"/>
      <c r="AR4335" s="156"/>
      <c r="AS4335" s="156"/>
      <c r="AT4335" s="156"/>
      <c r="AU4335" s="156"/>
      <c r="AV4335" s="156"/>
      <c r="AW4335" s="156"/>
      <c r="AX4335" s="156"/>
      <c r="AY4335" s="156"/>
      <c r="AZ4335" s="156"/>
      <c r="BA4335" s="156"/>
      <c r="BB4335" s="2828"/>
      <c r="BC4335" s="452"/>
      <c r="BD4335" s="2829"/>
      <c r="BE4335" s="2837"/>
      <c r="BF4335" s="156"/>
    </row>
    <row r="4336" spans="1:58" ht="15" customHeight="1" outlineLevel="1" x14ac:dyDescent="0.35">
      <c r="A4336" s="1664"/>
      <c r="B4336" s="2812"/>
      <c r="C4336" s="3077"/>
      <c r="D4336" s="3980"/>
      <c r="E4336" s="3883"/>
      <c r="F4336" s="3984" t="str">
        <f t="shared" si="459"/>
        <v>ASHP-SEER18-Replace_CAC_NonElectricHeat_ER2_MF_CompE</v>
      </c>
      <c r="G4336" s="3984"/>
      <c r="H4336" s="3984"/>
      <c r="I4336" s="3984"/>
      <c r="J4336" s="3508" t="str">
        <f t="shared" si="460"/>
        <v>354311_2021_12_</v>
      </c>
      <c r="K4336" s="462"/>
      <c r="L4336" s="93"/>
      <c r="M4336" s="3031"/>
      <c r="N4336" s="963"/>
      <c r="O4336" s="106"/>
      <c r="P4336" s="702"/>
      <c r="Q4336" s="574"/>
      <c r="R4336" s="702"/>
      <c r="S4336" s="106"/>
      <c r="T4336" s="486"/>
      <c r="U4336" s="106"/>
      <c r="V4336" s="4129"/>
      <c r="W4336" s="2440"/>
      <c r="X4336" s="465"/>
      <c r="Y4336" s="465"/>
      <c r="Z4336" s="462"/>
      <c r="AA4336" s="462"/>
      <c r="AB4336" s="465"/>
      <c r="AC4336" s="3568"/>
      <c r="AD4336" s="462"/>
      <c r="AE4336" s="2939"/>
      <c r="AF4336" s="663"/>
      <c r="AG4336" s="663"/>
      <c r="AH4336" s="156"/>
      <c r="AI4336" s="156"/>
      <c r="AJ4336" s="156"/>
      <c r="AK4336" s="156"/>
      <c r="AL4336" s="156"/>
      <c r="AM4336" s="156"/>
      <c r="AN4336" s="156"/>
      <c r="AO4336" s="156"/>
      <c r="AP4336" s="156"/>
      <c r="AQ4336" s="156"/>
      <c r="AR4336" s="156"/>
      <c r="AS4336" s="156"/>
      <c r="AT4336" s="156"/>
      <c r="AU4336" s="156"/>
      <c r="AV4336" s="156"/>
      <c r="AW4336" s="156"/>
      <c r="AX4336" s="156"/>
      <c r="AY4336" s="156"/>
      <c r="AZ4336" s="156"/>
      <c r="BA4336" s="156"/>
      <c r="BB4336" s="2828"/>
      <c r="BC4336" s="452"/>
      <c r="BD4336" s="2829"/>
      <c r="BE4336" s="2837"/>
      <c r="BF4336" s="156"/>
    </row>
    <row r="4337" spans="1:58" ht="15" customHeight="1" outlineLevel="1" x14ac:dyDescent="0.35">
      <c r="A4337" s="1664"/>
      <c r="B4337" s="2812"/>
      <c r="C4337" s="3077"/>
      <c r="D4337" s="3980"/>
      <c r="E4337" s="3883"/>
      <c r="F4337" s="3984" t="str">
        <f t="shared" si="459"/>
        <v>ASHP-SEER18-Replace_CAC_NonElectricHeat_ER2_MF_CompE</v>
      </c>
      <c r="G4337" s="3984"/>
      <c r="H4337" s="3984"/>
      <c r="I4337" s="3984"/>
      <c r="J4337" s="3508" t="str">
        <f t="shared" si="460"/>
        <v>354311_2021_12_</v>
      </c>
      <c r="K4337" s="462"/>
      <c r="L4337" s="93"/>
      <c r="M4337" s="3031"/>
      <c r="N4337" s="963"/>
      <c r="O4337" s="106"/>
      <c r="P4337" s="702"/>
      <c r="Q4337" s="574"/>
      <c r="R4337" s="702"/>
      <c r="S4337" s="106"/>
      <c r="T4337" s="486"/>
      <c r="U4337" s="106"/>
      <c r="V4337" s="4129"/>
      <c r="W4337" s="2440"/>
      <c r="X4337" s="465"/>
      <c r="Y4337" s="465"/>
      <c r="Z4337" s="462"/>
      <c r="AA4337" s="462"/>
      <c r="AB4337" s="465"/>
      <c r="AC4337" s="3568"/>
      <c r="AD4337" s="462"/>
      <c r="AE4337" s="2939"/>
      <c r="AF4337" s="663"/>
      <c r="AG4337" s="663"/>
      <c r="AH4337" s="156"/>
      <c r="AI4337" s="156"/>
      <c r="AJ4337" s="156"/>
      <c r="AK4337" s="156"/>
      <c r="AL4337" s="156"/>
      <c r="AM4337" s="156"/>
      <c r="AN4337" s="156"/>
      <c r="AO4337" s="156"/>
      <c r="AP4337" s="156"/>
      <c r="AQ4337" s="156"/>
      <c r="AR4337" s="156"/>
      <c r="AS4337" s="156"/>
      <c r="AT4337" s="156"/>
      <c r="AU4337" s="156"/>
      <c r="AV4337" s="156"/>
      <c r="AW4337" s="156"/>
      <c r="AX4337" s="156"/>
      <c r="AY4337" s="156"/>
      <c r="AZ4337" s="156"/>
      <c r="BA4337" s="156"/>
      <c r="BB4337" s="2828"/>
      <c r="BC4337" s="452"/>
      <c r="BD4337" s="2829"/>
      <c r="BE4337" s="2837"/>
      <c r="BF4337" s="156"/>
    </row>
    <row r="4338" spans="1:58" ht="15" customHeight="1" outlineLevel="1" x14ac:dyDescent="0.35">
      <c r="A4338" s="1664"/>
      <c r="B4338" s="2812"/>
      <c r="C4338" s="3077"/>
      <c r="D4338" s="3980"/>
      <c r="E4338" s="3883"/>
      <c r="F4338" s="3984" t="str">
        <f t="shared" si="459"/>
        <v>ASHP-SEER18_ER1_MF</v>
      </c>
      <c r="G4338" s="3984"/>
      <c r="H4338" s="3984"/>
      <c r="I4338" s="3984"/>
      <c r="J4338" s="3508" t="str">
        <f t="shared" si="460"/>
        <v>354350_2021_12_</v>
      </c>
      <c r="K4338" s="462">
        <f>(($R$1960*L4338)+$R$1947)-(($Q$1960*L4338)/((1+$R$1962)^($R$1963-1)))</f>
        <v>1560.2646665212983</v>
      </c>
      <c r="L4338" s="93">
        <f>VLOOKUP(J4338,$J$1940:$L$2132,3,FALSE)*M4338</f>
        <v>2.5</v>
      </c>
      <c r="M4338" s="3031">
        <f>VLOOKUP(J4338,$J$3484:$K$3676,2,FALSE)</f>
        <v>1</v>
      </c>
      <c r="N4338" s="963"/>
      <c r="O4338" s="106"/>
      <c r="P4338" s="702"/>
      <c r="Q4338" s="574"/>
      <c r="R4338" s="702"/>
      <c r="S4338" s="106"/>
      <c r="T4338" s="486"/>
      <c r="U4338" s="106"/>
      <c r="V4338" s="4129"/>
      <c r="W4338" s="2440">
        <v>6827.3247976250323</v>
      </c>
      <c r="X4338" s="465">
        <f>(X$2077/12000)*$Q$1947*X$3621</f>
        <v>3603.0285716258218</v>
      </c>
      <c r="Y4338" s="465">
        <v>1317.1849952991461</v>
      </c>
      <c r="Z4338" s="462">
        <v>1317.1849952991461</v>
      </c>
      <c r="AA4338" s="462">
        <v>1317.1849952991461</v>
      </c>
      <c r="AB4338" s="465">
        <v>1475.441723875274</v>
      </c>
      <c r="AC4338" s="3569">
        <v>1739.4680664776884</v>
      </c>
      <c r="AD4338" s="462">
        <v>1739.4680664776884</v>
      </c>
      <c r="AE4338" s="2939"/>
      <c r="AF4338" s="663"/>
      <c r="AG4338" s="663"/>
      <c r="AH4338" s="156"/>
      <c r="AI4338" s="156"/>
      <c r="AJ4338" s="156"/>
      <c r="AK4338" s="156"/>
      <c r="AL4338" s="156"/>
      <c r="AM4338" s="156"/>
      <c r="AN4338" s="156"/>
      <c r="AO4338" s="156"/>
      <c r="AP4338" s="156"/>
      <c r="AQ4338" s="156"/>
      <c r="AR4338" s="156"/>
      <c r="AS4338" s="156"/>
      <c r="AT4338" s="156"/>
      <c r="AU4338" s="156"/>
      <c r="AV4338" s="156"/>
      <c r="AW4338" s="156"/>
      <c r="AX4338" s="156"/>
      <c r="AY4338" s="156"/>
      <c r="AZ4338" s="156"/>
      <c r="BA4338" s="156"/>
      <c r="BB4338" s="2828"/>
      <c r="BC4338" s="452"/>
      <c r="BD4338" s="2829"/>
      <c r="BE4338" s="2837"/>
      <c r="BF4338" s="156"/>
    </row>
    <row r="4339" spans="1:58" ht="15" customHeight="1" outlineLevel="1" x14ac:dyDescent="0.35">
      <c r="A4339" s="1664"/>
      <c r="B4339" s="2812"/>
      <c r="C4339" s="3077"/>
      <c r="D4339" s="3980"/>
      <c r="E4339" s="3883"/>
      <c r="F4339" s="3984" t="str">
        <f t="shared" si="459"/>
        <v>ASHP-SEER18_ER1_MF</v>
      </c>
      <c r="G4339" s="3984"/>
      <c r="H4339" s="3984"/>
      <c r="I4339" s="3984"/>
      <c r="J4339" s="3508" t="str">
        <f t="shared" si="460"/>
        <v>354350_2021_12_</v>
      </c>
      <c r="K4339" s="462"/>
      <c r="L4339" s="93" t="str">
        <f>IF(K4339&gt;0,VLOOKUP(J4339,$J$1940:$L$2132,3,FALSE),"")</f>
        <v/>
      </c>
      <c r="M4339" s="3031" t="str">
        <f>IF(K4339&gt;0,VLOOKUP(J4339,$J$3484:$K$3676,2,FALSE),"")</f>
        <v/>
      </c>
      <c r="N4339" s="963"/>
      <c r="O4339" s="106"/>
      <c r="P4339" s="702"/>
      <c r="Q4339" s="574"/>
      <c r="R4339" s="702"/>
      <c r="S4339" s="106"/>
      <c r="T4339" s="486"/>
      <c r="U4339" s="106"/>
      <c r="V4339" s="4129"/>
      <c r="W4339" s="2440"/>
      <c r="X4339" s="465"/>
      <c r="Y4339" s="465"/>
      <c r="Z4339" s="462"/>
      <c r="AA4339" s="462"/>
      <c r="AB4339" s="465"/>
      <c r="AC4339" s="3568"/>
      <c r="AD4339" s="462"/>
      <c r="AE4339" s="2939"/>
      <c r="AF4339" s="663"/>
      <c r="AG4339" s="663"/>
      <c r="AH4339" s="156"/>
      <c r="AI4339" s="156"/>
      <c r="AJ4339" s="156"/>
      <c r="AK4339" s="156"/>
      <c r="AL4339" s="156"/>
      <c r="AM4339" s="156"/>
      <c r="AN4339" s="156"/>
      <c r="AO4339" s="156"/>
      <c r="AP4339" s="156"/>
      <c r="AQ4339" s="156"/>
      <c r="AR4339" s="156"/>
      <c r="AS4339" s="156"/>
      <c r="AT4339" s="156"/>
      <c r="AU4339" s="156"/>
      <c r="AV4339" s="156"/>
      <c r="AW4339" s="156"/>
      <c r="AX4339" s="156"/>
      <c r="AY4339" s="156"/>
      <c r="AZ4339" s="156"/>
      <c r="BA4339" s="156"/>
      <c r="BB4339" s="2828"/>
      <c r="BC4339" s="452"/>
      <c r="BD4339" s="2829"/>
      <c r="BE4339" s="2837"/>
      <c r="BF4339" s="156"/>
    </row>
    <row r="4340" spans="1:58" ht="15" customHeight="1" outlineLevel="1" x14ac:dyDescent="0.35">
      <c r="A4340" s="1664"/>
      <c r="B4340" s="2812"/>
      <c r="C4340" s="3077"/>
      <c r="D4340" s="3980"/>
      <c r="E4340" s="3883"/>
      <c r="F4340" s="3984" t="str">
        <f t="shared" si="459"/>
        <v>ASHP-SEER18_ER2_MF</v>
      </c>
      <c r="G4340" s="3984"/>
      <c r="H4340" s="3984"/>
      <c r="I4340" s="3984"/>
      <c r="J4340" s="3508" t="str">
        <f t="shared" si="460"/>
        <v>354350_2021_12_</v>
      </c>
      <c r="K4340" s="462"/>
      <c r="L4340" s="93" t="str">
        <f>IF(K4340&gt;0,VLOOKUP(J4340,$J$1940:$L$2132,3,FALSE),"")</f>
        <v/>
      </c>
      <c r="M4340" s="3031" t="str">
        <f>IF(K4340&gt;0,VLOOKUP(J4340,$J$3484:$K$3676,2,FALSE),"")</f>
        <v/>
      </c>
      <c r="N4340" s="963"/>
      <c r="O4340" s="106"/>
      <c r="P4340" s="702"/>
      <c r="Q4340" s="574"/>
      <c r="R4340" s="702"/>
      <c r="S4340" s="106"/>
      <c r="T4340" s="486"/>
      <c r="U4340" s="106"/>
      <c r="V4340" s="4129"/>
      <c r="W4340" s="2440"/>
      <c r="X4340" s="465"/>
      <c r="Y4340" s="465"/>
      <c r="Z4340" s="462"/>
      <c r="AA4340" s="462"/>
      <c r="AB4340" s="465"/>
      <c r="AC4340" s="3568"/>
      <c r="AD4340" s="462"/>
      <c r="AE4340" s="2939"/>
      <c r="AF4340" s="663"/>
      <c r="AG4340" s="663"/>
      <c r="AH4340" s="156"/>
      <c r="AI4340" s="156"/>
      <c r="AJ4340" s="156"/>
      <c r="AK4340" s="156"/>
      <c r="AL4340" s="156"/>
      <c r="AM4340" s="156"/>
      <c r="AN4340" s="156"/>
      <c r="AO4340" s="156"/>
      <c r="AP4340" s="156"/>
      <c r="AQ4340" s="156"/>
      <c r="AR4340" s="156"/>
      <c r="AS4340" s="156"/>
      <c r="AT4340" s="156"/>
      <c r="AU4340" s="156"/>
      <c r="AV4340" s="156"/>
      <c r="AW4340" s="156"/>
      <c r="AX4340" s="156"/>
      <c r="AY4340" s="156"/>
      <c r="AZ4340" s="156"/>
      <c r="BA4340" s="156"/>
      <c r="BB4340" s="2828"/>
      <c r="BC4340" s="452"/>
      <c r="BD4340" s="2829"/>
      <c r="BE4340" s="2837"/>
      <c r="BF4340" s="156"/>
    </row>
    <row r="4341" spans="1:58" ht="15" customHeight="1" outlineLevel="1" x14ac:dyDescent="0.35">
      <c r="A4341" s="1664"/>
      <c r="B4341" s="2812"/>
      <c r="C4341" s="3077"/>
      <c r="D4341" s="3980"/>
      <c r="E4341" s="3883"/>
      <c r="F4341" s="3984" t="str">
        <f t="shared" si="459"/>
        <v>ASHP-SEER18_ER2_MF</v>
      </c>
      <c r="G4341" s="3984"/>
      <c r="H4341" s="3984"/>
      <c r="I4341" s="3984"/>
      <c r="J4341" s="3508" t="str">
        <f t="shared" si="460"/>
        <v>354350_2021_12_</v>
      </c>
      <c r="K4341" s="462"/>
      <c r="L4341" s="93" t="str">
        <f>IF(K4341&gt;0,VLOOKUP(J4341,$J$1940:$L$2132,3,FALSE),"")</f>
        <v/>
      </c>
      <c r="M4341" s="3031" t="str">
        <f>IF(K4341&gt;0,VLOOKUP(J4341,$J$3484:$K$3676,2,FALSE),"")</f>
        <v/>
      </c>
      <c r="N4341" s="963"/>
      <c r="O4341" s="106"/>
      <c r="P4341" s="702"/>
      <c r="Q4341" s="574"/>
      <c r="R4341" s="702"/>
      <c r="S4341" s="106"/>
      <c r="T4341" s="486"/>
      <c r="U4341" s="106"/>
      <c r="V4341" s="4129"/>
      <c r="W4341" s="2440"/>
      <c r="X4341" s="465"/>
      <c r="Y4341" s="465"/>
      <c r="Z4341" s="462"/>
      <c r="AA4341" s="462"/>
      <c r="AB4341" s="465"/>
      <c r="AC4341" s="3568"/>
      <c r="AD4341" s="462"/>
      <c r="AE4341" s="2939"/>
      <c r="AF4341" s="663"/>
      <c r="AG4341" s="663"/>
      <c r="AH4341" s="156"/>
      <c r="AI4341" s="156"/>
      <c r="AJ4341" s="156"/>
      <c r="AK4341" s="156"/>
      <c r="AL4341" s="156"/>
      <c r="AM4341" s="156"/>
      <c r="AN4341" s="156"/>
      <c r="AO4341" s="156"/>
      <c r="AP4341" s="156"/>
      <c r="AQ4341" s="156"/>
      <c r="AR4341" s="156"/>
      <c r="AS4341" s="156"/>
      <c r="AT4341" s="156"/>
      <c r="AU4341" s="156"/>
      <c r="AV4341" s="156"/>
      <c r="AW4341" s="156"/>
      <c r="AX4341" s="156"/>
      <c r="AY4341" s="156"/>
      <c r="AZ4341" s="156"/>
      <c r="BA4341" s="156"/>
      <c r="BB4341" s="2828"/>
      <c r="BC4341" s="452"/>
      <c r="BD4341" s="2829"/>
      <c r="BE4341" s="2837"/>
      <c r="BF4341" s="156"/>
    </row>
    <row r="4342" spans="1:58" ht="15" customHeight="1" outlineLevel="1" x14ac:dyDescent="0.35">
      <c r="A4342" s="1664"/>
      <c r="B4342" s="2812"/>
      <c r="C4342" s="3077"/>
      <c r="D4342" s="3980"/>
      <c r="E4342" s="3883"/>
      <c r="F4342" s="3984" t="str">
        <f t="shared" si="459"/>
        <v>ASHP-SEER18_ER1_MF_CompE</v>
      </c>
      <c r="G4342" s="3984"/>
      <c r="H4342" s="3984"/>
      <c r="I4342" s="3984"/>
      <c r="J4342" s="3508" t="str">
        <f t="shared" si="460"/>
        <v>354351_2021_12_</v>
      </c>
      <c r="K4342" s="462">
        <f>(($R$1960*L4342)+$R$1947)-(($Q$1960*L4342)/((1+$R$1962)^($R$1963-1)))</f>
        <v>1560.2646665212983</v>
      </c>
      <c r="L4342" s="93">
        <f>VLOOKUP(J4342,$J$1940:$L$2132,3,FALSE)*M4342</f>
        <v>2.5</v>
      </c>
      <c r="M4342" s="3031">
        <f>VLOOKUP(J4342,$J$3484:$K$3676,2,FALSE)</f>
        <v>1</v>
      </c>
      <c r="N4342" s="963"/>
      <c r="O4342" s="106"/>
      <c r="P4342" s="702"/>
      <c r="Q4342" s="574"/>
      <c r="R4342" s="702"/>
      <c r="S4342" s="106"/>
      <c r="T4342" s="486"/>
      <c r="U4342" s="106"/>
      <c r="V4342" s="4129"/>
      <c r="W4342" s="2440"/>
      <c r="X4342" s="465"/>
      <c r="Y4342" s="465"/>
      <c r="Z4342" s="462"/>
      <c r="AA4342" s="462"/>
      <c r="AB4342" s="465"/>
      <c r="AC4342" s="3569">
        <v>1739.4680664776884</v>
      </c>
      <c r="AD4342" s="462">
        <v>1739.4680664776884</v>
      </c>
      <c r="AE4342" s="2939"/>
      <c r="AF4342" s="663"/>
      <c r="AG4342" s="663"/>
      <c r="AH4342" s="156"/>
      <c r="AI4342" s="156"/>
      <c r="AJ4342" s="156"/>
      <c r="AK4342" s="156"/>
      <c r="AL4342" s="156"/>
      <c r="AM4342" s="156"/>
      <c r="AN4342" s="156"/>
      <c r="AO4342" s="156"/>
      <c r="AP4342" s="156"/>
      <c r="AQ4342" s="156"/>
      <c r="AR4342" s="156"/>
      <c r="AS4342" s="156"/>
      <c r="AT4342" s="156"/>
      <c r="AU4342" s="156"/>
      <c r="AV4342" s="156"/>
      <c r="AW4342" s="156"/>
      <c r="AX4342" s="156"/>
      <c r="AY4342" s="156"/>
      <c r="AZ4342" s="156"/>
      <c r="BA4342" s="156"/>
      <c r="BB4342" s="2828"/>
      <c r="BC4342" s="452"/>
      <c r="BD4342" s="2829"/>
      <c r="BE4342" s="2837"/>
      <c r="BF4342" s="156"/>
    </row>
    <row r="4343" spans="1:58" ht="15" customHeight="1" outlineLevel="1" x14ac:dyDescent="0.35">
      <c r="A4343" s="1664"/>
      <c r="B4343" s="2812"/>
      <c r="C4343" s="3077"/>
      <c r="D4343" s="3980"/>
      <c r="E4343" s="3883"/>
      <c r="F4343" s="3984" t="str">
        <f t="shared" si="459"/>
        <v>ASHP-SEER18_ER1_MF_CompE</v>
      </c>
      <c r="G4343" s="3984"/>
      <c r="H4343" s="3984"/>
      <c r="I4343" s="3984"/>
      <c r="J4343" s="3508" t="str">
        <f t="shared" si="460"/>
        <v>354351_2021_12_</v>
      </c>
      <c r="K4343" s="462"/>
      <c r="L4343" s="93"/>
      <c r="M4343" s="3031"/>
      <c r="N4343" s="963"/>
      <c r="O4343" s="106"/>
      <c r="P4343" s="702"/>
      <c r="Q4343" s="574"/>
      <c r="R4343" s="702"/>
      <c r="S4343" s="106"/>
      <c r="T4343" s="486"/>
      <c r="U4343" s="106"/>
      <c r="V4343" s="4129"/>
      <c r="W4343" s="2440"/>
      <c r="X4343" s="465"/>
      <c r="Y4343" s="465"/>
      <c r="Z4343" s="462"/>
      <c r="AA4343" s="462"/>
      <c r="AB4343" s="465"/>
      <c r="AC4343" s="3568"/>
      <c r="AD4343" s="462"/>
      <c r="AE4343" s="2939"/>
      <c r="AF4343" s="663"/>
      <c r="AG4343" s="663"/>
      <c r="AH4343" s="156"/>
      <c r="AI4343" s="156"/>
      <c r="AJ4343" s="156"/>
      <c r="AK4343" s="156"/>
      <c r="AL4343" s="156"/>
      <c r="AM4343" s="156"/>
      <c r="AN4343" s="156"/>
      <c r="AO4343" s="156"/>
      <c r="AP4343" s="156"/>
      <c r="AQ4343" s="156"/>
      <c r="AR4343" s="156"/>
      <c r="AS4343" s="156"/>
      <c r="AT4343" s="156"/>
      <c r="AU4343" s="156"/>
      <c r="AV4343" s="156"/>
      <c r="AW4343" s="156"/>
      <c r="AX4343" s="156"/>
      <c r="AY4343" s="156"/>
      <c r="AZ4343" s="156"/>
      <c r="BA4343" s="156"/>
      <c r="BB4343" s="2828"/>
      <c r="BC4343" s="452"/>
      <c r="BD4343" s="2829"/>
      <c r="BE4343" s="2837"/>
      <c r="BF4343" s="156"/>
    </row>
    <row r="4344" spans="1:58" ht="15" customHeight="1" outlineLevel="1" x14ac:dyDescent="0.35">
      <c r="A4344" s="1664"/>
      <c r="B4344" s="2812"/>
      <c r="C4344" s="3077"/>
      <c r="D4344" s="3980"/>
      <c r="E4344" s="3883"/>
      <c r="F4344" s="3984" t="str">
        <f t="shared" si="459"/>
        <v>ASHP-SEER18_ER2_MF_CompE</v>
      </c>
      <c r="G4344" s="3984"/>
      <c r="H4344" s="3984"/>
      <c r="I4344" s="3984"/>
      <c r="J4344" s="3508" t="str">
        <f t="shared" si="460"/>
        <v>354351_2021_12_</v>
      </c>
      <c r="K4344" s="462"/>
      <c r="L4344" s="93"/>
      <c r="M4344" s="3031"/>
      <c r="N4344" s="963"/>
      <c r="O4344" s="106"/>
      <c r="P4344" s="702"/>
      <c r="Q4344" s="574"/>
      <c r="R4344" s="702"/>
      <c r="S4344" s="106"/>
      <c r="T4344" s="486"/>
      <c r="U4344" s="106"/>
      <c r="V4344" s="4129"/>
      <c r="W4344" s="2440"/>
      <c r="X4344" s="465"/>
      <c r="Y4344" s="465"/>
      <c r="Z4344" s="462"/>
      <c r="AA4344" s="462"/>
      <c r="AB4344" s="465"/>
      <c r="AC4344" s="3568"/>
      <c r="AD4344" s="462"/>
      <c r="AE4344" s="2939"/>
      <c r="AF4344" s="663"/>
      <c r="AG4344" s="663"/>
      <c r="AH4344" s="156"/>
      <c r="AI4344" s="156"/>
      <c r="AJ4344" s="156"/>
      <c r="AK4344" s="156"/>
      <c r="AL4344" s="156"/>
      <c r="AM4344" s="156"/>
      <c r="AN4344" s="156"/>
      <c r="AO4344" s="156"/>
      <c r="AP4344" s="156"/>
      <c r="AQ4344" s="156"/>
      <c r="AR4344" s="156"/>
      <c r="AS4344" s="156"/>
      <c r="AT4344" s="156"/>
      <c r="AU4344" s="156"/>
      <c r="AV4344" s="156"/>
      <c r="AW4344" s="156"/>
      <c r="AX4344" s="156"/>
      <c r="AY4344" s="156"/>
      <c r="AZ4344" s="156"/>
      <c r="BA4344" s="156"/>
      <c r="BB4344" s="2828"/>
      <c r="BC4344" s="452"/>
      <c r="BD4344" s="2829"/>
      <c r="BE4344" s="2837"/>
      <c r="BF4344" s="156"/>
    </row>
    <row r="4345" spans="1:58" ht="15" customHeight="1" outlineLevel="1" x14ac:dyDescent="0.35">
      <c r="A4345" s="1664"/>
      <c r="B4345" s="2812"/>
      <c r="C4345" s="3077"/>
      <c r="D4345" s="3980"/>
      <c r="E4345" s="3883"/>
      <c r="F4345" s="3984" t="str">
        <f t="shared" si="459"/>
        <v>ASHP-SEER18_ER2_MF_CompE</v>
      </c>
      <c r="G4345" s="3984"/>
      <c r="H4345" s="3984"/>
      <c r="I4345" s="3984"/>
      <c r="J4345" s="3508" t="str">
        <f t="shared" si="460"/>
        <v>354351_2021_12_</v>
      </c>
      <c r="K4345" s="462"/>
      <c r="L4345" s="93"/>
      <c r="M4345" s="3031"/>
      <c r="N4345" s="963"/>
      <c r="O4345" s="106"/>
      <c r="P4345" s="702"/>
      <c r="Q4345" s="574"/>
      <c r="R4345" s="702"/>
      <c r="S4345" s="106"/>
      <c r="T4345" s="486"/>
      <c r="U4345" s="106"/>
      <c r="V4345" s="4129"/>
      <c r="W4345" s="2440"/>
      <c r="X4345" s="465"/>
      <c r="Y4345" s="465"/>
      <c r="Z4345" s="462"/>
      <c r="AA4345" s="462"/>
      <c r="AB4345" s="465"/>
      <c r="AC4345" s="3568"/>
      <c r="AD4345" s="462"/>
      <c r="AE4345" s="2939"/>
      <c r="AF4345" s="663"/>
      <c r="AG4345" s="663"/>
      <c r="AH4345" s="156"/>
      <c r="AI4345" s="156"/>
      <c r="AJ4345" s="156"/>
      <c r="AK4345" s="156"/>
      <c r="AL4345" s="156"/>
      <c r="AM4345" s="156"/>
      <c r="AN4345" s="156"/>
      <c r="AO4345" s="156"/>
      <c r="AP4345" s="156"/>
      <c r="AQ4345" s="156"/>
      <c r="AR4345" s="156"/>
      <c r="AS4345" s="156"/>
      <c r="AT4345" s="156"/>
      <c r="AU4345" s="156"/>
      <c r="AV4345" s="156"/>
      <c r="AW4345" s="156"/>
      <c r="AX4345" s="156"/>
      <c r="AY4345" s="156"/>
      <c r="AZ4345" s="156"/>
      <c r="BA4345" s="156"/>
      <c r="BB4345" s="2828"/>
      <c r="BC4345" s="452"/>
      <c r="BD4345" s="2829"/>
      <c r="BE4345" s="2837"/>
      <c r="BF4345" s="156"/>
    </row>
    <row r="4346" spans="1:58" ht="15" customHeight="1" outlineLevel="1" x14ac:dyDescent="0.35">
      <c r="A4346" s="1664"/>
      <c r="B4346" s="2812"/>
      <c r="C4346" s="3077"/>
      <c r="D4346" s="3980"/>
      <c r="E4346" s="3883"/>
      <c r="F4346" s="3984" t="str">
        <f t="shared" si="459"/>
        <v>ASHP-SEER19-Replace_CAC_ElectricHeat_ER1_SF</v>
      </c>
      <c r="G4346" s="3984"/>
      <c r="H4346" s="3984"/>
      <c r="I4346" s="3984"/>
      <c r="J4346" s="3508" t="str">
        <f t="shared" si="460"/>
        <v>354400_2021_12_</v>
      </c>
      <c r="K4346" s="465">
        <f>(($R$1960*L4346)+$R$1948)-(($Q$1960*L4346)/((1+$R$1962)^($R$1963-1)))</f>
        <v>2105.1914618743731</v>
      </c>
      <c r="L4346" s="96">
        <f>VLOOKUP(J4346,$J$1940:$L$2132,3,FALSE)*M4346</f>
        <v>3.7731209149509808</v>
      </c>
      <c r="M4346" s="3031">
        <f>VLOOKUP(J4346,$J$3484:$K$3676,2,FALSE)</f>
        <v>1</v>
      </c>
      <c r="N4346" s="963"/>
      <c r="O4346" s="106"/>
      <c r="P4346" s="702"/>
      <c r="Q4346" s="574"/>
      <c r="R4346" s="702"/>
      <c r="S4346" s="106"/>
      <c r="T4346" s="486"/>
      <c r="U4346" s="106"/>
      <c r="V4346" s="4129"/>
      <c r="W4346" s="2440">
        <v>4620.6282279230445</v>
      </c>
      <c r="X4346" s="465">
        <f>(X$2081/12000)*$Q$1948*X$3625</f>
        <v>5953.4371594592312</v>
      </c>
      <c r="Y4346" s="465">
        <v>1686.0327049389366</v>
      </c>
      <c r="Z4346" s="462">
        <v>1686.0327049389366</v>
      </c>
      <c r="AA4346" s="462">
        <v>1686.0327049389366</v>
      </c>
      <c r="AB4346" s="465">
        <v>1944.3573864864111</v>
      </c>
      <c r="AC4346" s="3569">
        <v>2063.8263197906699</v>
      </c>
      <c r="AD4346" s="465">
        <v>2105.1914618743731</v>
      </c>
      <c r="AE4346" s="2939"/>
      <c r="AF4346" s="663"/>
      <c r="AG4346" s="663"/>
      <c r="AH4346" s="156"/>
      <c r="AI4346" s="156"/>
      <c r="AJ4346" s="156"/>
      <c r="AK4346" s="156"/>
      <c r="AL4346" s="156"/>
      <c r="AM4346" s="156"/>
      <c r="AN4346" s="156"/>
      <c r="AO4346" s="156"/>
      <c r="AP4346" s="156"/>
      <c r="AQ4346" s="156"/>
      <c r="AR4346" s="156"/>
      <c r="AS4346" s="156"/>
      <c r="AT4346" s="156"/>
      <c r="AU4346" s="156"/>
      <c r="AV4346" s="156"/>
      <c r="AW4346" s="156"/>
      <c r="AX4346" s="156"/>
      <c r="AY4346" s="156"/>
      <c r="AZ4346" s="156"/>
      <c r="BA4346" s="156"/>
      <c r="BB4346" s="2828"/>
      <c r="BC4346" s="452"/>
      <c r="BD4346" s="2829"/>
      <c r="BE4346" s="2837"/>
      <c r="BF4346" s="156"/>
    </row>
    <row r="4347" spans="1:58" ht="15" customHeight="1" outlineLevel="1" x14ac:dyDescent="0.35">
      <c r="A4347" s="1071"/>
      <c r="B4347" s="2812"/>
      <c r="C4347" s="3077"/>
      <c r="D4347" s="3980"/>
      <c r="E4347" s="3883"/>
      <c r="F4347" s="3984" t="str">
        <f t="shared" si="459"/>
        <v>ASHP-SEER19-Replace_CAC_ElectricHeat_ER1_SF</v>
      </c>
      <c r="G4347" s="3984"/>
      <c r="H4347" s="3984"/>
      <c r="I4347" s="3984"/>
      <c r="J4347" s="3508" t="str">
        <f t="shared" si="460"/>
        <v>354400_2021_12_</v>
      </c>
      <c r="K4347" s="462"/>
      <c r="L4347" s="93" t="str">
        <f>IF(K4347&gt;0,VLOOKUP(J4347,$J$1940:$L$2132,3,FALSE),"")</f>
        <v/>
      </c>
      <c r="M4347" s="3031" t="str">
        <f>IF(K4347&gt;0,VLOOKUP(J4347,$J$3484:$K$3676,2,FALSE),"")</f>
        <v/>
      </c>
      <c r="N4347" s="963"/>
      <c r="O4347" s="106"/>
      <c r="P4347" s="702"/>
      <c r="Q4347" s="106"/>
      <c r="R4347" s="106"/>
      <c r="S4347" s="106"/>
      <c r="T4347" s="106"/>
      <c r="U4347" s="106"/>
      <c r="V4347" s="4129"/>
      <c r="W4347" s="2440"/>
      <c r="X4347" s="465"/>
      <c r="Y4347" s="465"/>
      <c r="Z4347" s="462"/>
      <c r="AA4347" s="462"/>
      <c r="AB4347" s="465"/>
      <c r="AC4347" s="3568"/>
      <c r="AD4347" s="462"/>
      <c r="AE4347" s="2939"/>
      <c r="AF4347" s="663"/>
      <c r="AG4347" s="663"/>
      <c r="AH4347" s="156"/>
      <c r="AI4347" s="156"/>
      <c r="AJ4347" s="156"/>
      <c r="AK4347" s="156"/>
      <c r="AL4347" s="156"/>
      <c r="AM4347" s="156"/>
      <c r="AN4347" s="156"/>
      <c r="AO4347" s="156"/>
      <c r="AP4347" s="156"/>
      <c r="AQ4347" s="156"/>
      <c r="AR4347" s="156"/>
      <c r="AS4347" s="156"/>
      <c r="AT4347" s="156"/>
      <c r="AU4347" s="156"/>
      <c r="AV4347" s="156"/>
      <c r="AW4347" s="156"/>
      <c r="AX4347" s="156"/>
      <c r="AY4347" s="156"/>
      <c r="AZ4347" s="156"/>
      <c r="BA4347" s="156"/>
      <c r="BB4347" s="2828"/>
      <c r="BC4347" s="452"/>
      <c r="BD4347" s="2829"/>
      <c r="BE4347" s="2837"/>
      <c r="BF4347" s="156"/>
    </row>
    <row r="4348" spans="1:58" ht="15" customHeight="1" outlineLevel="1" x14ac:dyDescent="0.35">
      <c r="A4348" s="1664"/>
      <c r="B4348" s="2812"/>
      <c r="C4348" s="3077"/>
      <c r="D4348" s="3980"/>
      <c r="E4348" s="3883"/>
      <c r="F4348" s="3984" t="str">
        <f t="shared" si="459"/>
        <v>ASHP-SEER19-Replace_CAC_ElectricHeat_ER2_SF</v>
      </c>
      <c r="G4348" s="3984"/>
      <c r="H4348" s="3984"/>
      <c r="I4348" s="3984"/>
      <c r="J4348" s="3508" t="str">
        <f t="shared" si="460"/>
        <v>354400_2021_12_</v>
      </c>
      <c r="K4348" s="462"/>
      <c r="L4348" s="93" t="str">
        <f>IF(K4348&gt;0,VLOOKUP(J4348,$J$1940:$L$2132,3,FALSE),"")</f>
        <v/>
      </c>
      <c r="M4348" s="3031" t="str">
        <f>IF(K4348&gt;0,VLOOKUP(J4348,$J$3484:$K$3676,2,FALSE),"")</f>
        <v/>
      </c>
      <c r="N4348" s="963"/>
      <c r="O4348" s="106"/>
      <c r="P4348" s="702"/>
      <c r="Q4348" s="574"/>
      <c r="R4348" s="702"/>
      <c r="S4348" s="106"/>
      <c r="T4348" s="486"/>
      <c r="U4348" s="106"/>
      <c r="V4348" s="4129"/>
      <c r="W4348" s="2440"/>
      <c r="X4348" s="465"/>
      <c r="Y4348" s="465"/>
      <c r="Z4348" s="462"/>
      <c r="AA4348" s="462"/>
      <c r="AB4348" s="465"/>
      <c r="AC4348" s="3568"/>
      <c r="AD4348" s="462"/>
      <c r="AE4348" s="2939"/>
      <c r="AF4348" s="663"/>
      <c r="AG4348" s="663"/>
      <c r="AH4348" s="156"/>
      <c r="AI4348" s="156"/>
      <c r="AJ4348" s="156"/>
      <c r="AK4348" s="156"/>
      <c r="AL4348" s="156"/>
      <c r="AM4348" s="156"/>
      <c r="AN4348" s="156"/>
      <c r="AO4348" s="156"/>
      <c r="AP4348" s="156"/>
      <c r="AQ4348" s="156"/>
      <c r="AR4348" s="156"/>
      <c r="AS4348" s="156"/>
      <c r="AT4348" s="156"/>
      <c r="AU4348" s="156"/>
      <c r="AV4348" s="156"/>
      <c r="AW4348" s="156"/>
      <c r="AX4348" s="156"/>
      <c r="AY4348" s="156"/>
      <c r="AZ4348" s="156"/>
      <c r="BA4348" s="156"/>
      <c r="BB4348" s="2828"/>
      <c r="BC4348" s="452"/>
      <c r="BD4348" s="2829"/>
      <c r="BE4348" s="2837"/>
      <c r="BF4348" s="156"/>
    </row>
    <row r="4349" spans="1:58" ht="15" customHeight="1" outlineLevel="1" x14ac:dyDescent="0.35">
      <c r="A4349" s="1071"/>
      <c r="B4349" s="2812"/>
      <c r="C4349" s="3077"/>
      <c r="D4349" s="3980"/>
      <c r="E4349" s="3883"/>
      <c r="F4349" s="3984" t="str">
        <f t="shared" si="459"/>
        <v>ASHP-SEER19-Replace_CAC_ElectricHeat_ER2_SF</v>
      </c>
      <c r="G4349" s="3984"/>
      <c r="H4349" s="3984"/>
      <c r="I4349" s="3984"/>
      <c r="J4349" s="3508" t="str">
        <f t="shared" si="460"/>
        <v>354400_2021_12_</v>
      </c>
      <c r="K4349" s="462"/>
      <c r="L4349" s="93" t="str">
        <f>IF(K4349&gt;0,VLOOKUP(J4349,$J$1940:$L$2132,3,FALSE),"")</f>
        <v/>
      </c>
      <c r="M4349" s="3031" t="str">
        <f>IF(K4349&gt;0,VLOOKUP(J4349,$J$3484:$K$3676,2,FALSE),"")</f>
        <v/>
      </c>
      <c r="N4349" s="963"/>
      <c r="O4349" s="106"/>
      <c r="P4349" s="702"/>
      <c r="Q4349" s="106"/>
      <c r="R4349" s="106"/>
      <c r="S4349" s="106"/>
      <c r="T4349" s="106"/>
      <c r="U4349" s="106"/>
      <c r="V4349" s="4129"/>
      <c r="W4349" s="2440"/>
      <c r="X4349" s="465"/>
      <c r="Y4349" s="465"/>
      <c r="Z4349" s="462"/>
      <c r="AA4349" s="462"/>
      <c r="AB4349" s="465"/>
      <c r="AC4349" s="3568"/>
      <c r="AD4349" s="462"/>
      <c r="AE4349" s="2939"/>
      <c r="AF4349" s="663"/>
      <c r="AG4349" s="663"/>
      <c r="AH4349" s="156"/>
      <c r="AI4349" s="156"/>
      <c r="AJ4349" s="156"/>
      <c r="AK4349" s="156"/>
      <c r="AL4349" s="156"/>
      <c r="AM4349" s="156"/>
      <c r="AN4349" s="156"/>
      <c r="AO4349" s="156"/>
      <c r="AP4349" s="156"/>
      <c r="AQ4349" s="156"/>
      <c r="AR4349" s="156"/>
      <c r="AS4349" s="156"/>
      <c r="AT4349" s="156"/>
      <c r="AU4349" s="156"/>
      <c r="AV4349" s="156"/>
      <c r="AW4349" s="156"/>
      <c r="AX4349" s="156"/>
      <c r="AY4349" s="156"/>
      <c r="AZ4349" s="156"/>
      <c r="BA4349" s="156"/>
      <c r="BB4349" s="2828"/>
      <c r="BC4349" s="452"/>
      <c r="BD4349" s="2829"/>
      <c r="BE4349" s="2837"/>
      <c r="BF4349" s="156"/>
    </row>
    <row r="4350" spans="1:58" ht="15" customHeight="1" outlineLevel="1" x14ac:dyDescent="0.35">
      <c r="A4350" s="1071"/>
      <c r="B4350" s="2812"/>
      <c r="C4350" s="3077"/>
      <c r="D4350" s="3980"/>
      <c r="E4350" s="3883"/>
      <c r="F4350" s="3984" t="str">
        <f t="shared" si="459"/>
        <v>ASHP-SEER19-Replace_CAC_NonElectricHeat_ER1_SF</v>
      </c>
      <c r="G4350" s="3984"/>
      <c r="H4350" s="3984"/>
      <c r="I4350" s="3984"/>
      <c r="J4350" s="3508" t="str">
        <f t="shared" si="460"/>
        <v>354410_2021_12_</v>
      </c>
      <c r="K4350" s="462">
        <f>(($R$1960*L4350)+$R$1948)-(($Q$1960*L4350)/((1+$R$1962)^($R$1963-1)))</f>
        <v>2063.8263197906699</v>
      </c>
      <c r="L4350" s="93">
        <f>VLOOKUP(J4350,$J$1940:$L$2132,3,FALSE)*M4350</f>
        <v>3.6</v>
      </c>
      <c r="M4350" s="3031">
        <f>VLOOKUP(J4350,$J$3484:$K$3676,2,FALSE)</f>
        <v>1</v>
      </c>
      <c r="N4350" s="963"/>
      <c r="O4350" s="106"/>
      <c r="P4350" s="702"/>
      <c r="Q4350" s="106"/>
      <c r="R4350" s="106"/>
      <c r="S4350" s="106"/>
      <c r="T4350" s="106"/>
      <c r="U4350" s="106"/>
      <c r="V4350" s="4129"/>
      <c r="W4350" s="2440"/>
      <c r="X4350" s="465"/>
      <c r="Y4350" s="465"/>
      <c r="Z4350" s="462"/>
      <c r="AA4350" s="462"/>
      <c r="AB4350" s="465"/>
      <c r="AC4350" s="3569">
        <v>2063.8263197906699</v>
      </c>
      <c r="AD4350" s="462">
        <v>2063.8263197906699</v>
      </c>
      <c r="AE4350" s="2939"/>
      <c r="AF4350" s="663"/>
      <c r="AG4350" s="663"/>
      <c r="AH4350" s="156"/>
      <c r="AI4350" s="156"/>
      <c r="AJ4350" s="156"/>
      <c r="AK4350" s="156"/>
      <c r="AL4350" s="156"/>
      <c r="AM4350" s="156"/>
      <c r="AN4350" s="156"/>
      <c r="AO4350" s="156"/>
      <c r="AP4350" s="156"/>
      <c r="AQ4350" s="156"/>
      <c r="AR4350" s="156"/>
      <c r="AS4350" s="156"/>
      <c r="AT4350" s="156"/>
      <c r="AU4350" s="156"/>
      <c r="AV4350" s="156"/>
      <c r="AW4350" s="156"/>
      <c r="AX4350" s="156"/>
      <c r="AY4350" s="156"/>
      <c r="AZ4350" s="156"/>
      <c r="BA4350" s="156"/>
      <c r="BB4350" s="2828"/>
      <c r="BC4350" s="452"/>
      <c r="BD4350" s="2829"/>
      <c r="BE4350" s="2837"/>
      <c r="BF4350" s="156"/>
    </row>
    <row r="4351" spans="1:58" ht="15" customHeight="1" outlineLevel="1" x14ac:dyDescent="0.35">
      <c r="A4351" s="1071"/>
      <c r="B4351" s="2812"/>
      <c r="C4351" s="3077"/>
      <c r="D4351" s="3980"/>
      <c r="E4351" s="3883"/>
      <c r="F4351" s="3984" t="str">
        <f t="shared" si="459"/>
        <v>ASHP-SEER19-Replace_CAC_NonElectricHeat_ER1_SF</v>
      </c>
      <c r="G4351" s="3984"/>
      <c r="H4351" s="3984"/>
      <c r="I4351" s="3984"/>
      <c r="J4351" s="3508" t="str">
        <f t="shared" si="460"/>
        <v>354410_2021_12_</v>
      </c>
      <c r="K4351" s="462"/>
      <c r="L4351" s="93"/>
      <c r="M4351" s="3031"/>
      <c r="N4351" s="963"/>
      <c r="O4351" s="106"/>
      <c r="P4351" s="702"/>
      <c r="Q4351" s="106"/>
      <c r="R4351" s="106"/>
      <c r="S4351" s="106"/>
      <c r="T4351" s="106"/>
      <c r="U4351" s="106"/>
      <c r="V4351" s="4129"/>
      <c r="W4351" s="2440"/>
      <c r="X4351" s="465"/>
      <c r="Y4351" s="465"/>
      <c r="Z4351" s="462"/>
      <c r="AA4351" s="462"/>
      <c r="AB4351" s="465"/>
      <c r="AC4351" s="3568"/>
      <c r="AD4351" s="462"/>
      <c r="AE4351" s="2939"/>
      <c r="AF4351" s="663"/>
      <c r="AG4351" s="663"/>
      <c r="AH4351" s="156"/>
      <c r="AI4351" s="156"/>
      <c r="AJ4351" s="156"/>
      <c r="AK4351" s="156"/>
      <c r="AL4351" s="156"/>
      <c r="AM4351" s="156"/>
      <c r="AN4351" s="156"/>
      <c r="AO4351" s="156"/>
      <c r="AP4351" s="156"/>
      <c r="AQ4351" s="156"/>
      <c r="AR4351" s="156"/>
      <c r="AS4351" s="156"/>
      <c r="AT4351" s="156"/>
      <c r="AU4351" s="156"/>
      <c r="AV4351" s="156"/>
      <c r="AW4351" s="156"/>
      <c r="AX4351" s="156"/>
      <c r="AY4351" s="156"/>
      <c r="AZ4351" s="156"/>
      <c r="BA4351" s="156"/>
      <c r="BB4351" s="2828"/>
      <c r="BC4351" s="452"/>
      <c r="BD4351" s="2829"/>
      <c r="BE4351" s="2837"/>
      <c r="BF4351" s="156"/>
    </row>
    <row r="4352" spans="1:58" ht="15" customHeight="1" outlineLevel="1" x14ac:dyDescent="0.35">
      <c r="A4352" s="1071"/>
      <c r="B4352" s="2812"/>
      <c r="C4352" s="3077"/>
      <c r="D4352" s="3980"/>
      <c r="E4352" s="3883"/>
      <c r="F4352" s="3984" t="str">
        <f t="shared" si="459"/>
        <v>ASHP-SEER19-Replace_CAC_NonElectricHeat_ER2_SF</v>
      </c>
      <c r="G4352" s="3984"/>
      <c r="H4352" s="3984"/>
      <c r="I4352" s="3984"/>
      <c r="J4352" s="3508" t="str">
        <f t="shared" si="460"/>
        <v>354410_2021_12_</v>
      </c>
      <c r="K4352" s="462"/>
      <c r="L4352" s="93"/>
      <c r="M4352" s="3031"/>
      <c r="N4352" s="963"/>
      <c r="O4352" s="106"/>
      <c r="P4352" s="702"/>
      <c r="Q4352" s="106"/>
      <c r="R4352" s="106"/>
      <c r="S4352" s="106"/>
      <c r="T4352" s="106"/>
      <c r="U4352" s="106"/>
      <c r="V4352" s="4129"/>
      <c r="W4352" s="2440"/>
      <c r="X4352" s="465"/>
      <c r="Y4352" s="465"/>
      <c r="Z4352" s="462"/>
      <c r="AA4352" s="462"/>
      <c r="AB4352" s="465"/>
      <c r="AC4352" s="3568"/>
      <c r="AD4352" s="462"/>
      <c r="AE4352" s="2939"/>
      <c r="AF4352" s="663"/>
      <c r="AG4352" s="663"/>
      <c r="AH4352" s="156"/>
      <c r="AI4352" s="156"/>
      <c r="AJ4352" s="156"/>
      <c r="AK4352" s="156"/>
      <c r="AL4352" s="156"/>
      <c r="AM4352" s="156"/>
      <c r="AN4352" s="156"/>
      <c r="AO4352" s="156"/>
      <c r="AP4352" s="156"/>
      <c r="AQ4352" s="156"/>
      <c r="AR4352" s="156"/>
      <c r="AS4352" s="156"/>
      <c r="AT4352" s="156"/>
      <c r="AU4352" s="156"/>
      <c r="AV4352" s="156"/>
      <c r="AW4352" s="156"/>
      <c r="AX4352" s="156"/>
      <c r="AY4352" s="156"/>
      <c r="AZ4352" s="156"/>
      <c r="BA4352" s="156"/>
      <c r="BB4352" s="2828"/>
      <c r="BC4352" s="452"/>
      <c r="BD4352" s="2829"/>
      <c r="BE4352" s="2837"/>
      <c r="BF4352" s="156"/>
    </row>
    <row r="4353" spans="1:58" ht="15" customHeight="1" outlineLevel="1" x14ac:dyDescent="0.35">
      <c r="A4353" s="1071"/>
      <c r="B4353" s="2812"/>
      <c r="C4353" s="3077"/>
      <c r="D4353" s="3980"/>
      <c r="E4353" s="3883"/>
      <c r="F4353" s="3984" t="str">
        <f t="shared" si="459"/>
        <v>ASHP-SEER19-Replace_CAC_NonElectricHeat_ER2_SF</v>
      </c>
      <c r="G4353" s="3984"/>
      <c r="H4353" s="3984"/>
      <c r="I4353" s="3984"/>
      <c r="J4353" s="3508" t="str">
        <f t="shared" si="460"/>
        <v>354410_2021_12_</v>
      </c>
      <c r="K4353" s="462"/>
      <c r="L4353" s="93"/>
      <c r="M4353" s="3031"/>
      <c r="N4353" s="963"/>
      <c r="O4353" s="106"/>
      <c r="P4353" s="702"/>
      <c r="Q4353" s="106"/>
      <c r="R4353" s="106"/>
      <c r="S4353" s="106"/>
      <c r="T4353" s="106"/>
      <c r="U4353" s="106"/>
      <c r="V4353" s="4129"/>
      <c r="W4353" s="2440"/>
      <c r="X4353" s="465"/>
      <c r="Y4353" s="465"/>
      <c r="Z4353" s="462"/>
      <c r="AA4353" s="462"/>
      <c r="AB4353" s="465"/>
      <c r="AC4353" s="3568"/>
      <c r="AD4353" s="462"/>
      <c r="AE4353" s="2939"/>
      <c r="AF4353" s="663"/>
      <c r="AG4353" s="663"/>
      <c r="AH4353" s="156"/>
      <c r="AI4353" s="156"/>
      <c r="AJ4353" s="156"/>
      <c r="AK4353" s="156"/>
      <c r="AL4353" s="156"/>
      <c r="AM4353" s="156"/>
      <c r="AN4353" s="156"/>
      <c r="AO4353" s="156"/>
      <c r="AP4353" s="156"/>
      <c r="AQ4353" s="156"/>
      <c r="AR4353" s="156"/>
      <c r="AS4353" s="156"/>
      <c r="AT4353" s="156"/>
      <c r="AU4353" s="156"/>
      <c r="AV4353" s="156"/>
      <c r="AW4353" s="156"/>
      <c r="AX4353" s="156"/>
      <c r="AY4353" s="156"/>
      <c r="AZ4353" s="156"/>
      <c r="BA4353" s="156"/>
      <c r="BB4353" s="2828"/>
      <c r="BC4353" s="452"/>
      <c r="BD4353" s="2829"/>
      <c r="BE4353" s="2837"/>
      <c r="BF4353" s="156"/>
    </row>
    <row r="4354" spans="1:58" ht="15" customHeight="1" outlineLevel="1" x14ac:dyDescent="0.35">
      <c r="A4354" s="1664"/>
      <c r="B4354" s="2812"/>
      <c r="C4354" s="3077"/>
      <c r="D4354" s="3980"/>
      <c r="E4354" s="3883"/>
      <c r="F4354" s="3984" t="str">
        <f t="shared" si="459"/>
        <v>ASHP-SEER19-Replace_CAC_ElectricHeat_ER1_MF</v>
      </c>
      <c r="G4354" s="3984"/>
      <c r="H4354" s="3984"/>
      <c r="I4354" s="3984"/>
      <c r="J4354" s="3508" t="str">
        <f t="shared" si="460"/>
        <v>354450_2019_12_</v>
      </c>
      <c r="K4354" s="462">
        <f>(($R$1960*L4354)+$R$1948)-(($Q$1960*L4354)/((1+$R$1962)^($R$1963-1)))</f>
        <v>1685.1098012161674</v>
      </c>
      <c r="L4354" s="93">
        <f>VLOOKUP(J4354,$J$1940:$L$2132,3,FALSE)*M4354</f>
        <v>2.0150000000000001</v>
      </c>
      <c r="M4354" s="3031">
        <f>VLOOKUP(J4354,$J$3484:$K$3676,2,FALSE)</f>
        <v>0.65</v>
      </c>
      <c r="N4354" s="963"/>
      <c r="O4354" s="106"/>
      <c r="P4354" s="702"/>
      <c r="Q4354" s="574"/>
      <c r="R4354" s="702"/>
      <c r="S4354" s="106"/>
      <c r="T4354" s="486"/>
      <c r="U4354" s="106"/>
      <c r="V4354" s="4129"/>
      <c r="W4354" s="2440">
        <v>4620.6282279230445</v>
      </c>
      <c r="X4354" s="465">
        <f>(X$2085/12000)*$Q$1948*X$3629</f>
        <v>3869.7341536485005</v>
      </c>
      <c r="Y4354" s="465">
        <v>1380.5879248769756</v>
      </c>
      <c r="Z4354" s="462">
        <v>1380.5879248769756</v>
      </c>
      <c r="AA4354" s="462">
        <v>1380.5879248769756</v>
      </c>
      <c r="AB4354" s="465">
        <v>1685.1098012161674</v>
      </c>
      <c r="AC4354" s="3568">
        <v>1685.1098012161674</v>
      </c>
      <c r="AD4354" s="462">
        <v>1685.1098012161674</v>
      </c>
      <c r="AE4354" s="2939"/>
      <c r="AF4354" s="663"/>
      <c r="AG4354" s="663"/>
      <c r="AH4354" s="156"/>
      <c r="AI4354" s="156"/>
      <c r="AJ4354" s="156"/>
      <c r="AK4354" s="156"/>
      <c r="AL4354" s="156"/>
      <c r="AM4354" s="156"/>
      <c r="AN4354" s="156"/>
      <c r="AO4354" s="156"/>
      <c r="AP4354" s="156"/>
      <c r="AQ4354" s="156"/>
      <c r="AR4354" s="156"/>
      <c r="AS4354" s="156"/>
      <c r="AT4354" s="156"/>
      <c r="AU4354" s="156"/>
      <c r="AV4354" s="156"/>
      <c r="AW4354" s="156"/>
      <c r="AX4354" s="156"/>
      <c r="AY4354" s="156"/>
      <c r="AZ4354" s="156"/>
      <c r="BA4354" s="156"/>
      <c r="BB4354" s="2828"/>
      <c r="BC4354" s="452"/>
      <c r="BD4354" s="2829"/>
      <c r="BE4354" s="2837"/>
      <c r="BF4354" s="156"/>
    </row>
    <row r="4355" spans="1:58" ht="15" customHeight="1" outlineLevel="1" x14ac:dyDescent="0.35">
      <c r="A4355" s="1071"/>
      <c r="B4355" s="2812"/>
      <c r="C4355" s="3077"/>
      <c r="D4355" s="3980"/>
      <c r="E4355" s="3883"/>
      <c r="F4355" s="3984" t="str">
        <f t="shared" si="459"/>
        <v>ASHP-SEER19-Replace_CAC_ElectricHeat_ER1_MF</v>
      </c>
      <c r="G4355" s="3984"/>
      <c r="H4355" s="3984"/>
      <c r="I4355" s="3984"/>
      <c r="J4355" s="3508" t="str">
        <f t="shared" si="460"/>
        <v>354450_2019_12_</v>
      </c>
      <c r="K4355" s="462"/>
      <c r="L4355" s="93" t="str">
        <f>IF(K4355&gt;0,VLOOKUP(J4355,$J$1940:$L$2132,3,FALSE),"")</f>
        <v/>
      </c>
      <c r="M4355" s="3031" t="str">
        <f>IF(K4355&gt;0,VLOOKUP(J4355,$J$3484:$K$3676,2,FALSE),"")</f>
        <v/>
      </c>
      <c r="N4355" s="963"/>
      <c r="O4355" s="106"/>
      <c r="P4355" s="702"/>
      <c r="Q4355" s="106"/>
      <c r="R4355" s="106"/>
      <c r="S4355" s="106"/>
      <c r="T4355" s="106"/>
      <c r="U4355" s="106"/>
      <c r="V4355" s="4129"/>
      <c r="W4355" s="2440"/>
      <c r="X4355" s="465"/>
      <c r="Y4355" s="465"/>
      <c r="Z4355" s="462"/>
      <c r="AA4355" s="462"/>
      <c r="AB4355" s="465"/>
      <c r="AC4355" s="3568"/>
      <c r="AD4355" s="462"/>
      <c r="AE4355" s="2939"/>
      <c r="AF4355" s="663"/>
      <c r="AG4355" s="663"/>
      <c r="AH4355" s="156"/>
      <c r="AI4355" s="156"/>
      <c r="AJ4355" s="156"/>
      <c r="AK4355" s="156"/>
      <c r="AL4355" s="156"/>
      <c r="AM4355" s="156"/>
      <c r="AN4355" s="156"/>
      <c r="AO4355" s="156"/>
      <c r="AP4355" s="156"/>
      <c r="AQ4355" s="156"/>
      <c r="AR4355" s="156"/>
      <c r="AS4355" s="156"/>
      <c r="AT4355" s="156"/>
      <c r="AU4355" s="156"/>
      <c r="AV4355" s="156"/>
      <c r="AW4355" s="156"/>
      <c r="AX4355" s="156"/>
      <c r="AY4355" s="156"/>
      <c r="AZ4355" s="156"/>
      <c r="BA4355" s="156"/>
      <c r="BB4355" s="2828"/>
      <c r="BC4355" s="452"/>
      <c r="BD4355" s="2829"/>
      <c r="BE4355" s="2837"/>
      <c r="BF4355" s="156"/>
    </row>
    <row r="4356" spans="1:58" ht="15" customHeight="1" outlineLevel="1" x14ac:dyDescent="0.35">
      <c r="A4356" s="1071"/>
      <c r="B4356" s="2812"/>
      <c r="C4356" s="3077"/>
      <c r="D4356" s="3980"/>
      <c r="E4356" s="3883"/>
      <c r="F4356" s="3984" t="str">
        <f t="shared" si="459"/>
        <v>ASHP-SEER19-Replace_CAC_ElectricHeat_ER2_MF</v>
      </c>
      <c r="G4356" s="3984"/>
      <c r="H4356" s="3984"/>
      <c r="I4356" s="3984"/>
      <c r="J4356" s="3508" t="str">
        <f t="shared" si="460"/>
        <v>354450_2019_12_</v>
      </c>
      <c r="K4356" s="462"/>
      <c r="L4356" s="93" t="str">
        <f>IF(K4356&gt;0,VLOOKUP(J4356,$J$1940:$L$2132,3,FALSE),"")</f>
        <v/>
      </c>
      <c r="M4356" s="3031" t="str">
        <f>IF(K4356&gt;0,VLOOKUP(J4356,$J$3484:$K$3676,2,FALSE),"")</f>
        <v/>
      </c>
      <c r="N4356" s="963"/>
      <c r="O4356" s="106"/>
      <c r="P4356" s="702"/>
      <c r="Q4356" s="106"/>
      <c r="R4356" s="106"/>
      <c r="S4356" s="106"/>
      <c r="T4356" s="106"/>
      <c r="U4356" s="106"/>
      <c r="V4356" s="4129"/>
      <c r="W4356" s="2440"/>
      <c r="X4356" s="465"/>
      <c r="Y4356" s="465"/>
      <c r="Z4356" s="462"/>
      <c r="AA4356" s="462"/>
      <c r="AB4356" s="465"/>
      <c r="AC4356" s="3568"/>
      <c r="AD4356" s="462"/>
      <c r="AE4356" s="2939"/>
      <c r="AF4356" s="663"/>
      <c r="AG4356" s="663"/>
      <c r="AH4356" s="156"/>
      <c r="AI4356" s="156"/>
      <c r="AJ4356" s="156"/>
      <c r="AK4356" s="156"/>
      <c r="AL4356" s="156"/>
      <c r="AM4356" s="156"/>
      <c r="AN4356" s="156"/>
      <c r="AO4356" s="156"/>
      <c r="AP4356" s="156"/>
      <c r="AQ4356" s="156"/>
      <c r="AR4356" s="156"/>
      <c r="AS4356" s="156"/>
      <c r="AT4356" s="156"/>
      <c r="AU4356" s="156"/>
      <c r="AV4356" s="156"/>
      <c r="AW4356" s="156"/>
      <c r="AX4356" s="156"/>
      <c r="AY4356" s="156"/>
      <c r="AZ4356" s="156"/>
      <c r="BA4356" s="156"/>
      <c r="BB4356" s="2828"/>
      <c r="BC4356" s="452"/>
      <c r="BD4356" s="2829"/>
      <c r="BE4356" s="2837"/>
      <c r="BF4356" s="156"/>
    </row>
    <row r="4357" spans="1:58" ht="15" customHeight="1" outlineLevel="1" x14ac:dyDescent="0.35">
      <c r="A4357" s="1664"/>
      <c r="B4357" s="2812"/>
      <c r="C4357" s="3077"/>
      <c r="D4357" s="3980"/>
      <c r="E4357" s="3883"/>
      <c r="F4357" s="3984" t="str">
        <f t="shared" si="459"/>
        <v>ASHP-SEER19-Replace_CAC_ElectricHeat_ER2_MF</v>
      </c>
      <c r="G4357" s="3984"/>
      <c r="H4357" s="3984"/>
      <c r="I4357" s="3984"/>
      <c r="J4357" s="3508" t="str">
        <f t="shared" si="460"/>
        <v>354450_2019_12_</v>
      </c>
      <c r="K4357" s="462"/>
      <c r="L4357" s="93" t="str">
        <f>IF(K4357&gt;0,VLOOKUP(J4357,$J$1940:$L$2132,3,FALSE),"")</f>
        <v/>
      </c>
      <c r="M4357" s="3031" t="str">
        <f>IF(K4357&gt;0,VLOOKUP(J4357,$J$3484:$K$3676,2,FALSE),"")</f>
        <v/>
      </c>
      <c r="N4357" s="963"/>
      <c r="O4357" s="106"/>
      <c r="P4357" s="702"/>
      <c r="Q4357" s="574"/>
      <c r="R4357" s="702"/>
      <c r="S4357" s="106"/>
      <c r="T4357" s="486"/>
      <c r="U4357" s="106"/>
      <c r="V4357" s="4129"/>
      <c r="W4357" s="2440"/>
      <c r="X4357" s="465"/>
      <c r="Y4357" s="465"/>
      <c r="Z4357" s="462"/>
      <c r="AA4357" s="462"/>
      <c r="AB4357" s="465"/>
      <c r="AC4357" s="3568"/>
      <c r="AD4357" s="462"/>
      <c r="AE4357" s="2939"/>
      <c r="AF4357" s="663"/>
      <c r="AG4357" s="663"/>
      <c r="AH4357" s="156"/>
      <c r="AI4357" s="156"/>
      <c r="AJ4357" s="156"/>
      <c r="AK4357" s="156"/>
      <c r="AL4357" s="156"/>
      <c r="AM4357" s="156"/>
      <c r="AN4357" s="156"/>
      <c r="AO4357" s="156"/>
      <c r="AP4357" s="156"/>
      <c r="AQ4357" s="156"/>
      <c r="AR4357" s="156"/>
      <c r="AS4357" s="156"/>
      <c r="AT4357" s="156"/>
      <c r="AU4357" s="156"/>
      <c r="AV4357" s="156"/>
      <c r="AW4357" s="156"/>
      <c r="AX4357" s="156"/>
      <c r="AY4357" s="156"/>
      <c r="AZ4357" s="156"/>
      <c r="BA4357" s="156"/>
      <c r="BB4357" s="2828"/>
      <c r="BC4357" s="452"/>
      <c r="BD4357" s="2829"/>
      <c r="BE4357" s="2837"/>
      <c r="BF4357" s="156"/>
    </row>
    <row r="4358" spans="1:58" ht="15" customHeight="1" outlineLevel="1" x14ac:dyDescent="0.35">
      <c r="A4358" s="1664"/>
      <c r="B4358" s="2812"/>
      <c r="C4358" s="3077"/>
      <c r="D4358" s="3980"/>
      <c r="E4358" s="3883"/>
      <c r="F4358" s="3984" t="str">
        <f t="shared" si="459"/>
        <v>ASHP-SEER19-Replace_CAC_ElectricHeat_ER1_MF_CompE</v>
      </c>
      <c r="G4358" s="3984"/>
      <c r="H4358" s="3984"/>
      <c r="I4358" s="3984"/>
      <c r="J4358" s="3508" t="str">
        <f t="shared" si="460"/>
        <v>354451_2019_12_</v>
      </c>
      <c r="K4358" s="462">
        <f>(($R$1960*L4358)+$R$1948)-(($Q$1960*L4358)/((1+$R$1962)^($R$1963-1)))</f>
        <v>1685.1098012161674</v>
      </c>
      <c r="L4358" s="93">
        <f>VLOOKUP(J4358,$J$1940:$L$2132,3,FALSE)*M4358</f>
        <v>2.0150000000000001</v>
      </c>
      <c r="M4358" s="3031">
        <f>VLOOKUP(J4358,$J$3484:$K$3676,2,FALSE)</f>
        <v>0.65</v>
      </c>
      <c r="N4358" s="963"/>
      <c r="O4358" s="106"/>
      <c r="P4358" s="702"/>
      <c r="Q4358" s="574"/>
      <c r="R4358" s="702"/>
      <c r="S4358" s="106"/>
      <c r="T4358" s="486"/>
      <c r="U4358" s="106"/>
      <c r="V4358" s="4129"/>
      <c r="W4358" s="2440"/>
      <c r="X4358" s="465"/>
      <c r="Y4358" s="465"/>
      <c r="Z4358" s="462"/>
      <c r="AA4358" s="462"/>
      <c r="AB4358" s="465"/>
      <c r="AC4358" s="3569">
        <v>1685.1098012161674</v>
      </c>
      <c r="AD4358" s="462">
        <v>1685.1098012161674</v>
      </c>
      <c r="AE4358" s="2939"/>
      <c r="AF4358" s="663"/>
      <c r="AG4358" s="663"/>
      <c r="AH4358" s="156"/>
      <c r="AI4358" s="156"/>
      <c r="AJ4358" s="156"/>
      <c r="AK4358" s="156"/>
      <c r="AL4358" s="156"/>
      <c r="AM4358" s="156"/>
      <c r="AN4358" s="156"/>
      <c r="AO4358" s="156"/>
      <c r="AP4358" s="156"/>
      <c r="AQ4358" s="156"/>
      <c r="AR4358" s="156"/>
      <c r="AS4358" s="156"/>
      <c r="AT4358" s="156"/>
      <c r="AU4358" s="156"/>
      <c r="AV4358" s="156"/>
      <c r="AW4358" s="156"/>
      <c r="AX4358" s="156"/>
      <c r="AY4358" s="156"/>
      <c r="AZ4358" s="156"/>
      <c r="BA4358" s="156"/>
      <c r="BB4358" s="2828"/>
      <c r="BC4358" s="452"/>
      <c r="BD4358" s="2829"/>
      <c r="BE4358" s="2837"/>
      <c r="BF4358" s="156"/>
    </row>
    <row r="4359" spans="1:58" ht="15" customHeight="1" outlineLevel="1" x14ac:dyDescent="0.35">
      <c r="A4359" s="1664"/>
      <c r="B4359" s="2812"/>
      <c r="C4359" s="3077"/>
      <c r="D4359" s="3980"/>
      <c r="E4359" s="3883"/>
      <c r="F4359" s="3984" t="str">
        <f t="shared" si="459"/>
        <v>ASHP-SEER19-Replace_CAC_ElectricHeat_ER1_MF_CompE</v>
      </c>
      <c r="G4359" s="3984"/>
      <c r="H4359" s="3984"/>
      <c r="I4359" s="3984"/>
      <c r="J4359" s="3508" t="str">
        <f t="shared" si="460"/>
        <v>354451_2019_12_</v>
      </c>
      <c r="K4359" s="462"/>
      <c r="L4359" s="93"/>
      <c r="M4359" s="3031"/>
      <c r="N4359" s="963"/>
      <c r="O4359" s="106"/>
      <c r="P4359" s="702"/>
      <c r="Q4359" s="574"/>
      <c r="R4359" s="702"/>
      <c r="S4359" s="106"/>
      <c r="T4359" s="486"/>
      <c r="U4359" s="106"/>
      <c r="V4359" s="4129"/>
      <c r="W4359" s="2440"/>
      <c r="X4359" s="465"/>
      <c r="Y4359" s="465"/>
      <c r="Z4359" s="462"/>
      <c r="AA4359" s="462"/>
      <c r="AB4359" s="465"/>
      <c r="AC4359" s="3568"/>
      <c r="AD4359" s="462"/>
      <c r="AE4359" s="2939"/>
      <c r="AF4359" s="663"/>
      <c r="AG4359" s="663"/>
      <c r="AH4359" s="156"/>
      <c r="AI4359" s="156"/>
      <c r="AJ4359" s="156"/>
      <c r="AK4359" s="156"/>
      <c r="AL4359" s="156"/>
      <c r="AM4359" s="156"/>
      <c r="AN4359" s="156"/>
      <c r="AO4359" s="156"/>
      <c r="AP4359" s="156"/>
      <c r="AQ4359" s="156"/>
      <c r="AR4359" s="156"/>
      <c r="AS4359" s="156"/>
      <c r="AT4359" s="156"/>
      <c r="AU4359" s="156"/>
      <c r="AV4359" s="156"/>
      <c r="AW4359" s="156"/>
      <c r="AX4359" s="156"/>
      <c r="AY4359" s="156"/>
      <c r="AZ4359" s="156"/>
      <c r="BA4359" s="156"/>
      <c r="BB4359" s="2828"/>
      <c r="BC4359" s="452"/>
      <c r="BD4359" s="2829"/>
      <c r="BE4359" s="2837"/>
      <c r="BF4359" s="156"/>
    </row>
    <row r="4360" spans="1:58" ht="15" customHeight="1" outlineLevel="1" x14ac:dyDescent="0.35">
      <c r="A4360" s="1664"/>
      <c r="B4360" s="2812"/>
      <c r="C4360" s="3077"/>
      <c r="D4360" s="3980"/>
      <c r="E4360" s="3883"/>
      <c r="F4360" s="3984" t="str">
        <f t="shared" si="459"/>
        <v>ASHP-SEER19-Replace_CAC_ElectricHeat_ER2_MF_CompE</v>
      </c>
      <c r="G4360" s="3984"/>
      <c r="H4360" s="3984"/>
      <c r="I4360" s="3984"/>
      <c r="J4360" s="3508" t="str">
        <f t="shared" si="460"/>
        <v>354451_2019_12_</v>
      </c>
      <c r="K4360" s="462"/>
      <c r="L4360" s="93"/>
      <c r="M4360" s="3031"/>
      <c r="N4360" s="963"/>
      <c r="O4360" s="106"/>
      <c r="P4360" s="702"/>
      <c r="Q4360" s="574"/>
      <c r="R4360" s="702"/>
      <c r="S4360" s="106"/>
      <c r="T4360" s="486"/>
      <c r="U4360" s="106"/>
      <c r="V4360" s="4129"/>
      <c r="W4360" s="2440"/>
      <c r="X4360" s="465"/>
      <c r="Y4360" s="465"/>
      <c r="Z4360" s="462"/>
      <c r="AA4360" s="462"/>
      <c r="AB4360" s="465"/>
      <c r="AC4360" s="3568"/>
      <c r="AD4360" s="462"/>
      <c r="AE4360" s="2939"/>
      <c r="AF4360" s="663"/>
      <c r="AG4360" s="663"/>
      <c r="AH4360" s="156"/>
      <c r="AI4360" s="156"/>
      <c r="AJ4360" s="156"/>
      <c r="AK4360" s="156"/>
      <c r="AL4360" s="156"/>
      <c r="AM4360" s="156"/>
      <c r="AN4360" s="156"/>
      <c r="AO4360" s="156"/>
      <c r="AP4360" s="156"/>
      <c r="AQ4360" s="156"/>
      <c r="AR4360" s="156"/>
      <c r="AS4360" s="156"/>
      <c r="AT4360" s="156"/>
      <c r="AU4360" s="156"/>
      <c r="AV4360" s="156"/>
      <c r="AW4360" s="156"/>
      <c r="AX4360" s="156"/>
      <c r="AY4360" s="156"/>
      <c r="AZ4360" s="156"/>
      <c r="BA4360" s="156"/>
      <c r="BB4360" s="2828"/>
      <c r="BC4360" s="452"/>
      <c r="BD4360" s="2829"/>
      <c r="BE4360" s="2837"/>
      <c r="BF4360" s="156"/>
    </row>
    <row r="4361" spans="1:58" ht="15" customHeight="1" outlineLevel="1" x14ac:dyDescent="0.35">
      <c r="A4361" s="1664"/>
      <c r="B4361" s="2812"/>
      <c r="C4361" s="3077"/>
      <c r="D4361" s="3980"/>
      <c r="E4361" s="3883"/>
      <c r="F4361" s="3984" t="str">
        <f t="shared" si="459"/>
        <v>ASHP-SEER19-Replace_CAC_ElectricHeat_ER2_MF_CompE</v>
      </c>
      <c r="G4361" s="3984"/>
      <c r="H4361" s="3984"/>
      <c r="I4361" s="3984"/>
      <c r="J4361" s="3508" t="str">
        <f t="shared" si="460"/>
        <v>354451_2019_12_</v>
      </c>
      <c r="K4361" s="462"/>
      <c r="L4361" s="93"/>
      <c r="M4361" s="3031"/>
      <c r="N4361" s="963"/>
      <c r="O4361" s="106"/>
      <c r="P4361" s="702"/>
      <c r="Q4361" s="574"/>
      <c r="R4361" s="702"/>
      <c r="S4361" s="106"/>
      <c r="T4361" s="486"/>
      <c r="U4361" s="106"/>
      <c r="V4361" s="4129"/>
      <c r="W4361" s="2440"/>
      <c r="X4361" s="465"/>
      <c r="Y4361" s="465"/>
      <c r="Z4361" s="462"/>
      <c r="AA4361" s="462"/>
      <c r="AB4361" s="465"/>
      <c r="AC4361" s="3568"/>
      <c r="AD4361" s="462"/>
      <c r="AE4361" s="2939"/>
      <c r="AF4361" s="663"/>
      <c r="AG4361" s="663"/>
      <c r="AH4361" s="156"/>
      <c r="AI4361" s="156"/>
      <c r="AJ4361" s="156"/>
      <c r="AK4361" s="156"/>
      <c r="AL4361" s="156"/>
      <c r="AM4361" s="156"/>
      <c r="AN4361" s="156"/>
      <c r="AO4361" s="156"/>
      <c r="AP4361" s="156"/>
      <c r="AQ4361" s="156"/>
      <c r="AR4361" s="156"/>
      <c r="AS4361" s="156"/>
      <c r="AT4361" s="156"/>
      <c r="AU4361" s="156"/>
      <c r="AV4361" s="156"/>
      <c r="AW4361" s="156"/>
      <c r="AX4361" s="156"/>
      <c r="AY4361" s="156"/>
      <c r="AZ4361" s="156"/>
      <c r="BA4361" s="156"/>
      <c r="BB4361" s="2828"/>
      <c r="BC4361" s="452"/>
      <c r="BD4361" s="2829"/>
      <c r="BE4361" s="2837"/>
      <c r="BF4361" s="156"/>
    </row>
    <row r="4362" spans="1:58" ht="15" customHeight="1" outlineLevel="1" x14ac:dyDescent="0.35">
      <c r="A4362" s="1664"/>
      <c r="B4362" s="2812"/>
      <c r="C4362" s="3077"/>
      <c r="D4362" s="3980"/>
      <c r="E4362" s="3883"/>
      <c r="F4362" s="3984" t="str">
        <f t="shared" si="459"/>
        <v>ASHP-SEER19-Replace_CAC_NonElectricHeat_ER1_MF</v>
      </c>
      <c r="G4362" s="3984"/>
      <c r="H4362" s="3984"/>
      <c r="I4362" s="3984"/>
      <c r="J4362" s="3508" t="str">
        <f t="shared" si="460"/>
        <v>354460_2021_12_</v>
      </c>
      <c r="K4362" s="462">
        <f>(($R$1960*L4362)+$R$1948)-(($Q$1960*L4362)/((1+$R$1962)^($R$1963-1)))</f>
        <v>1685.1098012161674</v>
      </c>
      <c r="L4362" s="93">
        <f>VLOOKUP(J4362,$J$1940:$L$2132,3,FALSE)*M4362</f>
        <v>2.0150000000000001</v>
      </c>
      <c r="M4362" s="3031">
        <f>VLOOKUP(J4362,$J$3484:$K$3676,2,FALSE)</f>
        <v>0.65</v>
      </c>
      <c r="N4362" s="963"/>
      <c r="O4362" s="106"/>
      <c r="P4362" s="702"/>
      <c r="Q4362" s="574"/>
      <c r="R4362" s="702"/>
      <c r="S4362" s="106"/>
      <c r="T4362" s="486"/>
      <c r="U4362" s="106"/>
      <c r="V4362" s="4129"/>
      <c r="W4362" s="2440"/>
      <c r="X4362" s="465"/>
      <c r="Y4362" s="465"/>
      <c r="Z4362" s="462"/>
      <c r="AA4362" s="462"/>
      <c r="AB4362" s="465"/>
      <c r="AC4362" s="3569">
        <v>1685.1098012161674</v>
      </c>
      <c r="AD4362" s="462">
        <v>1685.1098012161674</v>
      </c>
      <c r="AE4362" s="2939"/>
      <c r="AF4362" s="663"/>
      <c r="AG4362" s="663"/>
      <c r="AH4362" s="156"/>
      <c r="AI4362" s="156"/>
      <c r="AJ4362" s="156"/>
      <c r="AK4362" s="156"/>
      <c r="AL4362" s="156"/>
      <c r="AM4362" s="156"/>
      <c r="AN4362" s="156"/>
      <c r="AO4362" s="156"/>
      <c r="AP4362" s="156"/>
      <c r="AQ4362" s="156"/>
      <c r="AR4362" s="156"/>
      <c r="AS4362" s="156"/>
      <c r="AT4362" s="156"/>
      <c r="AU4362" s="156"/>
      <c r="AV4362" s="156"/>
      <c r="AW4362" s="156"/>
      <c r="AX4362" s="156"/>
      <c r="AY4362" s="156"/>
      <c r="AZ4362" s="156"/>
      <c r="BA4362" s="156"/>
      <c r="BB4362" s="2828"/>
      <c r="BC4362" s="452"/>
      <c r="BD4362" s="2829"/>
      <c r="BE4362" s="2837"/>
      <c r="BF4362" s="156"/>
    </row>
    <row r="4363" spans="1:58" ht="15" customHeight="1" outlineLevel="1" x14ac:dyDescent="0.35">
      <c r="A4363" s="1664"/>
      <c r="B4363" s="2812"/>
      <c r="C4363" s="3077"/>
      <c r="D4363" s="3980"/>
      <c r="E4363" s="3883"/>
      <c r="F4363" s="3984" t="str">
        <f t="shared" si="459"/>
        <v>ASHP-SEER19-Replace_CAC_NonElectricHeat_ER1_MF</v>
      </c>
      <c r="G4363" s="3984"/>
      <c r="H4363" s="3984"/>
      <c r="I4363" s="3984"/>
      <c r="J4363" s="3508" t="str">
        <f t="shared" si="460"/>
        <v>354460_2021_12_</v>
      </c>
      <c r="K4363" s="462"/>
      <c r="L4363" s="93"/>
      <c r="M4363" s="3031"/>
      <c r="N4363" s="963"/>
      <c r="O4363" s="106"/>
      <c r="P4363" s="702"/>
      <c r="Q4363" s="574"/>
      <c r="R4363" s="702"/>
      <c r="S4363" s="106"/>
      <c r="T4363" s="486"/>
      <c r="U4363" s="106"/>
      <c r="V4363" s="4129"/>
      <c r="W4363" s="2440"/>
      <c r="X4363" s="465"/>
      <c r="Y4363" s="465"/>
      <c r="Z4363" s="462"/>
      <c r="AA4363" s="462"/>
      <c r="AB4363" s="465"/>
      <c r="AC4363" s="3568"/>
      <c r="AD4363" s="462"/>
      <c r="AE4363" s="2939"/>
      <c r="AF4363" s="663"/>
      <c r="AG4363" s="663"/>
      <c r="AH4363" s="156"/>
      <c r="AI4363" s="156"/>
      <c r="AJ4363" s="156"/>
      <c r="AK4363" s="156"/>
      <c r="AL4363" s="156"/>
      <c r="AM4363" s="156"/>
      <c r="AN4363" s="156"/>
      <c r="AO4363" s="156"/>
      <c r="AP4363" s="156"/>
      <c r="AQ4363" s="156"/>
      <c r="AR4363" s="156"/>
      <c r="AS4363" s="156"/>
      <c r="AT4363" s="156"/>
      <c r="AU4363" s="156"/>
      <c r="AV4363" s="156"/>
      <c r="AW4363" s="156"/>
      <c r="AX4363" s="156"/>
      <c r="AY4363" s="156"/>
      <c r="AZ4363" s="156"/>
      <c r="BA4363" s="156"/>
      <c r="BB4363" s="2828"/>
      <c r="BC4363" s="452"/>
      <c r="BD4363" s="2829"/>
      <c r="BE4363" s="2837"/>
      <c r="BF4363" s="156"/>
    </row>
    <row r="4364" spans="1:58" ht="15" customHeight="1" outlineLevel="1" x14ac:dyDescent="0.35">
      <c r="A4364" s="1664"/>
      <c r="B4364" s="2812"/>
      <c r="C4364" s="3077"/>
      <c r="D4364" s="3980"/>
      <c r="E4364" s="3883"/>
      <c r="F4364" s="3984" t="str">
        <f t="shared" si="459"/>
        <v>ASHP-SEER19-Replace_CAC_NonElectricHeat_ER2_MF</v>
      </c>
      <c r="G4364" s="3984"/>
      <c r="H4364" s="3984"/>
      <c r="I4364" s="3984"/>
      <c r="J4364" s="3508" t="str">
        <f t="shared" si="460"/>
        <v>354460_2021_12_</v>
      </c>
      <c r="K4364" s="462"/>
      <c r="L4364" s="93"/>
      <c r="M4364" s="3031"/>
      <c r="N4364" s="963"/>
      <c r="O4364" s="106"/>
      <c r="P4364" s="702"/>
      <c r="Q4364" s="574"/>
      <c r="R4364" s="702"/>
      <c r="S4364" s="106"/>
      <c r="T4364" s="486"/>
      <c r="U4364" s="106"/>
      <c r="V4364" s="4129"/>
      <c r="W4364" s="2440"/>
      <c r="X4364" s="465"/>
      <c r="Y4364" s="465"/>
      <c r="Z4364" s="462"/>
      <c r="AA4364" s="462"/>
      <c r="AB4364" s="465"/>
      <c r="AC4364" s="3568"/>
      <c r="AD4364" s="462"/>
      <c r="AE4364" s="2939"/>
      <c r="AF4364" s="663"/>
      <c r="AG4364" s="663"/>
      <c r="AH4364" s="156"/>
      <c r="AI4364" s="156"/>
      <c r="AJ4364" s="156"/>
      <c r="AK4364" s="156"/>
      <c r="AL4364" s="156"/>
      <c r="AM4364" s="156"/>
      <c r="AN4364" s="156"/>
      <c r="AO4364" s="156"/>
      <c r="AP4364" s="156"/>
      <c r="AQ4364" s="156"/>
      <c r="AR4364" s="156"/>
      <c r="AS4364" s="156"/>
      <c r="AT4364" s="156"/>
      <c r="AU4364" s="156"/>
      <c r="AV4364" s="156"/>
      <c r="AW4364" s="156"/>
      <c r="AX4364" s="156"/>
      <c r="AY4364" s="156"/>
      <c r="AZ4364" s="156"/>
      <c r="BA4364" s="156"/>
      <c r="BB4364" s="2828"/>
      <c r="BC4364" s="452"/>
      <c r="BD4364" s="2829"/>
      <c r="BE4364" s="2837"/>
      <c r="BF4364" s="156"/>
    </row>
    <row r="4365" spans="1:58" ht="15" customHeight="1" outlineLevel="1" x14ac:dyDescent="0.35">
      <c r="A4365" s="1664"/>
      <c r="B4365" s="2812"/>
      <c r="C4365" s="3077"/>
      <c r="D4365" s="3980"/>
      <c r="E4365" s="3883"/>
      <c r="F4365" s="3984" t="str">
        <f t="shared" si="459"/>
        <v>ASHP-SEER19-Replace_CAC_NonElectricHeat_ER2_MF</v>
      </c>
      <c r="G4365" s="3984"/>
      <c r="H4365" s="3984"/>
      <c r="I4365" s="3984"/>
      <c r="J4365" s="3508" t="str">
        <f t="shared" si="460"/>
        <v>354460_2021_12_</v>
      </c>
      <c r="K4365" s="462"/>
      <c r="L4365" s="93"/>
      <c r="M4365" s="3031"/>
      <c r="N4365" s="963"/>
      <c r="O4365" s="106"/>
      <c r="P4365" s="702"/>
      <c r="Q4365" s="574"/>
      <c r="R4365" s="702"/>
      <c r="S4365" s="106"/>
      <c r="T4365" s="486"/>
      <c r="U4365" s="106"/>
      <c r="V4365" s="4129"/>
      <c r="W4365" s="2440"/>
      <c r="X4365" s="465"/>
      <c r="Y4365" s="465"/>
      <c r="Z4365" s="462"/>
      <c r="AA4365" s="462"/>
      <c r="AB4365" s="465"/>
      <c r="AC4365" s="3568"/>
      <c r="AD4365" s="462"/>
      <c r="AE4365" s="2939"/>
      <c r="AF4365" s="663"/>
      <c r="AG4365" s="663"/>
      <c r="AH4365" s="156"/>
      <c r="AI4365" s="156"/>
      <c r="AJ4365" s="156"/>
      <c r="AK4365" s="156"/>
      <c r="AL4365" s="156"/>
      <c r="AM4365" s="156"/>
      <c r="AN4365" s="156"/>
      <c r="AO4365" s="156"/>
      <c r="AP4365" s="156"/>
      <c r="AQ4365" s="156"/>
      <c r="AR4365" s="156"/>
      <c r="AS4365" s="156"/>
      <c r="AT4365" s="156"/>
      <c r="AU4365" s="156"/>
      <c r="AV4365" s="156"/>
      <c r="AW4365" s="156"/>
      <c r="AX4365" s="156"/>
      <c r="AY4365" s="156"/>
      <c r="AZ4365" s="156"/>
      <c r="BA4365" s="156"/>
      <c r="BB4365" s="2828"/>
      <c r="BC4365" s="452"/>
      <c r="BD4365" s="2829"/>
      <c r="BE4365" s="2837"/>
      <c r="BF4365" s="156"/>
    </row>
    <row r="4366" spans="1:58" ht="15" customHeight="1" outlineLevel="1" x14ac:dyDescent="0.35">
      <c r="A4366" s="1664"/>
      <c r="B4366" s="2812"/>
      <c r="C4366" s="3077"/>
      <c r="D4366" s="3980"/>
      <c r="E4366" s="3883"/>
      <c r="F4366" s="3984" t="str">
        <f t="shared" si="459"/>
        <v>ASHP-SEER19-Replace_CAC_NonElectricHeat_ER1_MF_CompE</v>
      </c>
      <c r="G4366" s="3984"/>
      <c r="H4366" s="3984"/>
      <c r="I4366" s="3984"/>
      <c r="J4366" s="3508" t="str">
        <f t="shared" si="460"/>
        <v>354461_2021_12_</v>
      </c>
      <c r="K4366" s="462">
        <f>(($R$1960*L4366)+$R$1948)-(($Q$1960*L4366)/((1+$R$1962)^($R$1963-1)))</f>
        <v>1685.1098012161674</v>
      </c>
      <c r="L4366" s="93">
        <f>VLOOKUP(J4366,$J$1940:$L$2132,3,FALSE)*M4366</f>
        <v>2.0150000000000001</v>
      </c>
      <c r="M4366" s="3031">
        <f>VLOOKUP(J4366,$J$3484:$K$3676,2,FALSE)</f>
        <v>0.65</v>
      </c>
      <c r="N4366" s="963"/>
      <c r="O4366" s="106"/>
      <c r="P4366" s="702"/>
      <c r="Q4366" s="574"/>
      <c r="R4366" s="702"/>
      <c r="S4366" s="106"/>
      <c r="T4366" s="486"/>
      <c r="U4366" s="106"/>
      <c r="V4366" s="4129"/>
      <c r="W4366" s="2440"/>
      <c r="X4366" s="465"/>
      <c r="Y4366" s="465"/>
      <c r="Z4366" s="462"/>
      <c r="AA4366" s="462"/>
      <c r="AB4366" s="465"/>
      <c r="AC4366" s="3569">
        <v>1685.1098012161674</v>
      </c>
      <c r="AD4366" s="462">
        <v>1685.1098012161674</v>
      </c>
      <c r="AE4366" s="2939"/>
      <c r="AF4366" s="663"/>
      <c r="AG4366" s="663"/>
      <c r="AH4366" s="156"/>
      <c r="AI4366" s="156"/>
      <c r="AJ4366" s="156"/>
      <c r="AK4366" s="156"/>
      <c r="AL4366" s="156"/>
      <c r="AM4366" s="156"/>
      <c r="AN4366" s="156"/>
      <c r="AO4366" s="156"/>
      <c r="AP4366" s="156"/>
      <c r="AQ4366" s="156"/>
      <c r="AR4366" s="156"/>
      <c r="AS4366" s="156"/>
      <c r="AT4366" s="156"/>
      <c r="AU4366" s="156"/>
      <c r="AV4366" s="156"/>
      <c r="AW4366" s="156"/>
      <c r="AX4366" s="156"/>
      <c r="AY4366" s="156"/>
      <c r="AZ4366" s="156"/>
      <c r="BA4366" s="156"/>
      <c r="BB4366" s="2828"/>
      <c r="BC4366" s="452"/>
      <c r="BD4366" s="2829"/>
      <c r="BE4366" s="2837"/>
      <c r="BF4366" s="156"/>
    </row>
    <row r="4367" spans="1:58" ht="15" customHeight="1" outlineLevel="1" x14ac:dyDescent="0.35">
      <c r="A4367" s="1664"/>
      <c r="B4367" s="2812"/>
      <c r="C4367" s="3077"/>
      <c r="D4367" s="3980"/>
      <c r="E4367" s="3883"/>
      <c r="F4367" s="3984" t="str">
        <f t="shared" si="459"/>
        <v>ASHP-SEER19-Replace_CAC_NonElectricHeat_ER1_MF_CompE</v>
      </c>
      <c r="G4367" s="3984"/>
      <c r="H4367" s="3984"/>
      <c r="I4367" s="3984"/>
      <c r="J4367" s="3508" t="str">
        <f t="shared" si="460"/>
        <v>354461_2021_12_</v>
      </c>
      <c r="K4367" s="462"/>
      <c r="L4367" s="93"/>
      <c r="M4367" s="3031"/>
      <c r="N4367" s="963"/>
      <c r="O4367" s="106"/>
      <c r="P4367" s="702"/>
      <c r="Q4367" s="574"/>
      <c r="R4367" s="702"/>
      <c r="S4367" s="106"/>
      <c r="T4367" s="486"/>
      <c r="U4367" s="106"/>
      <c r="V4367" s="4129"/>
      <c r="W4367" s="2440"/>
      <c r="X4367" s="465"/>
      <c r="Y4367" s="465"/>
      <c r="Z4367" s="462"/>
      <c r="AA4367" s="462"/>
      <c r="AB4367" s="465"/>
      <c r="AC4367" s="3568"/>
      <c r="AD4367" s="462"/>
      <c r="AE4367" s="2939"/>
      <c r="AF4367" s="663"/>
      <c r="AG4367" s="663"/>
      <c r="AH4367" s="156"/>
      <c r="AI4367" s="156"/>
      <c r="AJ4367" s="156"/>
      <c r="AK4367" s="156"/>
      <c r="AL4367" s="156"/>
      <c r="AM4367" s="156"/>
      <c r="AN4367" s="156"/>
      <c r="AO4367" s="156"/>
      <c r="AP4367" s="156"/>
      <c r="AQ4367" s="156"/>
      <c r="AR4367" s="156"/>
      <c r="AS4367" s="156"/>
      <c r="AT4367" s="156"/>
      <c r="AU4367" s="156"/>
      <c r="AV4367" s="156"/>
      <c r="AW4367" s="156"/>
      <c r="AX4367" s="156"/>
      <c r="AY4367" s="156"/>
      <c r="AZ4367" s="156"/>
      <c r="BA4367" s="156"/>
      <c r="BB4367" s="2828"/>
      <c r="BC4367" s="452"/>
      <c r="BD4367" s="2829"/>
      <c r="BE4367" s="2837"/>
      <c r="BF4367" s="156"/>
    </row>
    <row r="4368" spans="1:58" ht="15" customHeight="1" outlineLevel="1" x14ac:dyDescent="0.35">
      <c r="A4368" s="1664"/>
      <c r="B4368" s="2812"/>
      <c r="C4368" s="3077"/>
      <c r="D4368" s="3980"/>
      <c r="E4368" s="3883"/>
      <c r="F4368" s="3984" t="str">
        <f t="shared" si="459"/>
        <v>ASHP-SEER19-Replace_CAC_NonElectricHeat_ER2_MF_CompE</v>
      </c>
      <c r="G4368" s="3984"/>
      <c r="H4368" s="3984"/>
      <c r="I4368" s="3984"/>
      <c r="J4368" s="3508" t="str">
        <f t="shared" si="460"/>
        <v>354461_2021_12_</v>
      </c>
      <c r="K4368" s="462"/>
      <c r="L4368" s="93"/>
      <c r="M4368" s="3031"/>
      <c r="N4368" s="963"/>
      <c r="O4368" s="106"/>
      <c r="P4368" s="702"/>
      <c r="Q4368" s="574"/>
      <c r="R4368" s="702"/>
      <c r="S4368" s="106"/>
      <c r="T4368" s="486"/>
      <c r="U4368" s="106"/>
      <c r="V4368" s="4129"/>
      <c r="W4368" s="2440"/>
      <c r="X4368" s="465"/>
      <c r="Y4368" s="465"/>
      <c r="Z4368" s="462"/>
      <c r="AA4368" s="462"/>
      <c r="AB4368" s="465"/>
      <c r="AC4368" s="3568"/>
      <c r="AD4368" s="462"/>
      <c r="AE4368" s="2939"/>
      <c r="AF4368" s="663"/>
      <c r="AG4368" s="663"/>
      <c r="AH4368" s="156"/>
      <c r="AI4368" s="156"/>
      <c r="AJ4368" s="156"/>
      <c r="AK4368" s="156"/>
      <c r="AL4368" s="156"/>
      <c r="AM4368" s="156"/>
      <c r="AN4368" s="156"/>
      <c r="AO4368" s="156"/>
      <c r="AP4368" s="156"/>
      <c r="AQ4368" s="156"/>
      <c r="AR4368" s="156"/>
      <c r="AS4368" s="156"/>
      <c r="AT4368" s="156"/>
      <c r="AU4368" s="156"/>
      <c r="AV4368" s="156"/>
      <c r="AW4368" s="156"/>
      <c r="AX4368" s="156"/>
      <c r="AY4368" s="156"/>
      <c r="AZ4368" s="156"/>
      <c r="BA4368" s="156"/>
      <c r="BB4368" s="2828"/>
      <c r="BC4368" s="452"/>
      <c r="BD4368" s="2829"/>
      <c r="BE4368" s="2837"/>
      <c r="BF4368" s="156"/>
    </row>
    <row r="4369" spans="1:58" ht="15" customHeight="1" outlineLevel="1" x14ac:dyDescent="0.35">
      <c r="A4369" s="1664"/>
      <c r="B4369" s="2812"/>
      <c r="C4369" s="3077"/>
      <c r="D4369" s="3980"/>
      <c r="E4369" s="3883"/>
      <c r="F4369" s="3984" t="str">
        <f t="shared" si="459"/>
        <v>ASHP-SEER19-Replace_CAC_NonElectricHeat_ER2_MF_CompE</v>
      </c>
      <c r="G4369" s="3984"/>
      <c r="H4369" s="3984"/>
      <c r="I4369" s="3984"/>
      <c r="J4369" s="3508" t="str">
        <f t="shared" si="460"/>
        <v>354461_2021_12_</v>
      </c>
      <c r="K4369" s="462"/>
      <c r="L4369" s="93"/>
      <c r="M4369" s="3031"/>
      <c r="N4369" s="963"/>
      <c r="O4369" s="106"/>
      <c r="P4369" s="702"/>
      <c r="Q4369" s="574"/>
      <c r="R4369" s="702"/>
      <c r="S4369" s="106"/>
      <c r="T4369" s="486"/>
      <c r="U4369" s="106"/>
      <c r="V4369" s="4129"/>
      <c r="W4369" s="2440"/>
      <c r="X4369" s="465"/>
      <c r="Y4369" s="465"/>
      <c r="Z4369" s="462"/>
      <c r="AA4369" s="462"/>
      <c r="AB4369" s="465"/>
      <c r="AC4369" s="3568"/>
      <c r="AD4369" s="462"/>
      <c r="AE4369" s="2939"/>
      <c r="AF4369" s="663"/>
      <c r="AG4369" s="663"/>
      <c r="AH4369" s="156"/>
      <c r="AI4369" s="156"/>
      <c r="AJ4369" s="156"/>
      <c r="AK4369" s="156"/>
      <c r="AL4369" s="156"/>
      <c r="AM4369" s="156"/>
      <c r="AN4369" s="156"/>
      <c r="AO4369" s="156"/>
      <c r="AP4369" s="156"/>
      <c r="AQ4369" s="156"/>
      <c r="AR4369" s="156"/>
      <c r="AS4369" s="156"/>
      <c r="AT4369" s="156"/>
      <c r="AU4369" s="156"/>
      <c r="AV4369" s="156"/>
      <c r="AW4369" s="156"/>
      <c r="AX4369" s="156"/>
      <c r="AY4369" s="156"/>
      <c r="AZ4369" s="156"/>
      <c r="BA4369" s="156"/>
      <c r="BB4369" s="2828"/>
      <c r="BC4369" s="452"/>
      <c r="BD4369" s="2829"/>
      <c r="BE4369" s="2837"/>
      <c r="BF4369" s="156"/>
    </row>
    <row r="4370" spans="1:58" ht="15" customHeight="1" outlineLevel="1" x14ac:dyDescent="0.35">
      <c r="A4370" s="1664"/>
      <c r="B4370" s="2812"/>
      <c r="C4370" s="3077"/>
      <c r="D4370" s="3980"/>
      <c r="E4370" s="3883"/>
      <c r="F4370" s="3984" t="str">
        <f t="shared" si="459"/>
        <v>ASHP-SEER19_ER1_MF</v>
      </c>
      <c r="G4370" s="3984"/>
      <c r="H4370" s="3984"/>
      <c r="I4370" s="3984"/>
      <c r="J4370" s="3508" t="str">
        <f t="shared" si="460"/>
        <v>354500_2019_12_</v>
      </c>
      <c r="K4370" s="462">
        <f>(($R$1960*L4370)+$R$1948)-(($Q$1960*L4370)/((1+$R$1962)^($R$1963-1)))</f>
        <v>1716.1717238752744</v>
      </c>
      <c r="L4370" s="93">
        <f>VLOOKUP(J4370,$J$1940:$L$2132,3,FALSE)*M4370</f>
        <v>2.145</v>
      </c>
      <c r="M4370" s="3031">
        <f>VLOOKUP(J4370,$J$3484:$K$3676,2,FALSE)</f>
        <v>0.65</v>
      </c>
      <c r="N4370" s="963"/>
      <c r="O4370" s="106"/>
      <c r="P4370" s="702"/>
      <c r="Q4370" s="574"/>
      <c r="R4370" s="702"/>
      <c r="S4370" s="106"/>
      <c r="T4370" s="486"/>
      <c r="U4370" s="106"/>
      <c r="V4370" s="4129"/>
      <c r="W4370" s="2440">
        <v>7371.3247976250323</v>
      </c>
      <c r="X4370" s="465">
        <f>(X$2093/12000)*$Q$1948*X$3637</f>
        <v>4119.3944216258233</v>
      </c>
      <c r="Y4370" s="465">
        <v>1417.1849952991461</v>
      </c>
      <c r="Z4370" s="462">
        <v>1417.1849952991461</v>
      </c>
      <c r="AA4370" s="462">
        <v>1417.1849952991461</v>
      </c>
      <c r="AB4370" s="465">
        <v>1716.1717238752744</v>
      </c>
      <c r="AC4370" s="3568">
        <v>1716.1717238752744</v>
      </c>
      <c r="AD4370" s="462">
        <v>1716.1717238752744</v>
      </c>
      <c r="AE4370" s="2939"/>
      <c r="AF4370" s="663"/>
      <c r="AG4370" s="663"/>
      <c r="AH4370" s="156"/>
      <c r="AI4370" s="156"/>
      <c r="AJ4370" s="156"/>
      <c r="AK4370" s="156"/>
      <c r="AL4370" s="156"/>
      <c r="AM4370" s="156"/>
      <c r="AN4370" s="156"/>
      <c r="AO4370" s="156"/>
      <c r="AP4370" s="156"/>
      <c r="AQ4370" s="156"/>
      <c r="AR4370" s="156"/>
      <c r="AS4370" s="156"/>
      <c r="AT4370" s="156"/>
      <c r="AU4370" s="156"/>
      <c r="AV4370" s="156"/>
      <c r="AW4370" s="156"/>
      <c r="AX4370" s="156"/>
      <c r="AY4370" s="156"/>
      <c r="AZ4370" s="156"/>
      <c r="BA4370" s="156"/>
      <c r="BB4370" s="2828"/>
      <c r="BC4370" s="452"/>
      <c r="BD4370" s="2829"/>
      <c r="BE4370" s="2837"/>
      <c r="BF4370" s="156"/>
    </row>
    <row r="4371" spans="1:58" ht="15" customHeight="1" outlineLevel="1" x14ac:dyDescent="0.35">
      <c r="A4371" s="1071"/>
      <c r="B4371" s="2812"/>
      <c r="C4371" s="3077"/>
      <c r="D4371" s="3980"/>
      <c r="E4371" s="3883"/>
      <c r="F4371" s="3984" t="str">
        <f t="shared" si="459"/>
        <v>ASHP-SEER19_ER1_MF</v>
      </c>
      <c r="G4371" s="3984"/>
      <c r="H4371" s="3984"/>
      <c r="I4371" s="3984"/>
      <c r="J4371" s="3508" t="str">
        <f t="shared" si="460"/>
        <v>354500_2019_12_</v>
      </c>
      <c r="K4371" s="462"/>
      <c r="L4371" s="93" t="str">
        <f>IF(K4371&gt;0,VLOOKUP(J4371,$J$1940:$L$2132,3,FALSE),"")</f>
        <v/>
      </c>
      <c r="M4371" s="3031" t="str">
        <f>IF(K4371&gt;0,VLOOKUP(J4371,$J$3484:$K$3676,2,FALSE),"")</f>
        <v/>
      </c>
      <c r="N4371" s="963"/>
      <c r="O4371" s="106"/>
      <c r="P4371" s="702"/>
      <c r="Q4371" s="106"/>
      <c r="R4371" s="106"/>
      <c r="S4371" s="106"/>
      <c r="T4371" s="106"/>
      <c r="U4371" s="106"/>
      <c r="V4371" s="4129"/>
      <c r="W4371" s="2440"/>
      <c r="X4371" s="465"/>
      <c r="Y4371" s="465"/>
      <c r="Z4371" s="462"/>
      <c r="AA4371" s="462"/>
      <c r="AB4371" s="465"/>
      <c r="AC4371" s="3568"/>
      <c r="AD4371" s="462"/>
      <c r="AE4371" s="2939"/>
      <c r="AF4371" s="663"/>
      <c r="AG4371" s="663"/>
      <c r="AH4371" s="156"/>
      <c r="AI4371" s="156"/>
      <c r="AJ4371" s="156"/>
      <c r="AK4371" s="156"/>
      <c r="AL4371" s="156"/>
      <c r="AM4371" s="156"/>
      <c r="AN4371" s="156"/>
      <c r="AO4371" s="156"/>
      <c r="AP4371" s="156"/>
      <c r="AQ4371" s="156"/>
      <c r="AR4371" s="156"/>
      <c r="AS4371" s="156"/>
      <c r="AT4371" s="156"/>
      <c r="AU4371" s="156"/>
      <c r="AV4371" s="156"/>
      <c r="AW4371" s="156"/>
      <c r="AX4371" s="156"/>
      <c r="AY4371" s="156"/>
      <c r="AZ4371" s="156"/>
      <c r="BA4371" s="156"/>
      <c r="BB4371" s="2828"/>
      <c r="BC4371" s="452"/>
      <c r="BD4371" s="2829"/>
      <c r="BE4371" s="2837"/>
      <c r="BF4371" s="156"/>
    </row>
    <row r="4372" spans="1:58" ht="15" customHeight="1" outlineLevel="1" x14ac:dyDescent="0.35">
      <c r="A4372" s="1071"/>
      <c r="B4372" s="2812"/>
      <c r="C4372" s="3077"/>
      <c r="D4372" s="3980"/>
      <c r="E4372" s="3883"/>
      <c r="F4372" s="3984" t="str">
        <f t="shared" si="459"/>
        <v>ASHP-SEER19_ER2_MF</v>
      </c>
      <c r="G4372" s="3984"/>
      <c r="H4372" s="3984"/>
      <c r="I4372" s="3984"/>
      <c r="J4372" s="3508" t="str">
        <f t="shared" si="460"/>
        <v>354500_2019_12_</v>
      </c>
      <c r="K4372" s="462"/>
      <c r="L4372" s="93" t="str">
        <f>IF(K4372&gt;0,VLOOKUP(J4372,$J$1940:$L$2132,3,FALSE),"")</f>
        <v/>
      </c>
      <c r="M4372" s="3031" t="str">
        <f>IF(K4372&gt;0,VLOOKUP(J4372,$J$3484:$K$3676,2,FALSE),"")</f>
        <v/>
      </c>
      <c r="N4372" s="963"/>
      <c r="O4372" s="106"/>
      <c r="P4372" s="702"/>
      <c r="Q4372" s="106"/>
      <c r="R4372" s="106"/>
      <c r="S4372" s="106"/>
      <c r="T4372" s="106"/>
      <c r="U4372" s="106"/>
      <c r="V4372" s="4129"/>
      <c r="W4372" s="2440"/>
      <c r="X4372" s="465"/>
      <c r="Y4372" s="465"/>
      <c r="Z4372" s="462"/>
      <c r="AA4372" s="462"/>
      <c r="AB4372" s="465"/>
      <c r="AC4372" s="3568"/>
      <c r="AD4372" s="462"/>
      <c r="AE4372" s="2939"/>
      <c r="AF4372" s="663"/>
      <c r="AG4372" s="663"/>
      <c r="AH4372" s="156"/>
      <c r="AI4372" s="156"/>
      <c r="AJ4372" s="156"/>
      <c r="AK4372" s="156"/>
      <c r="AL4372" s="156"/>
      <c r="AM4372" s="156"/>
      <c r="AN4372" s="156"/>
      <c r="AO4372" s="156"/>
      <c r="AP4372" s="156"/>
      <c r="AQ4372" s="156"/>
      <c r="AR4372" s="156"/>
      <c r="AS4372" s="156"/>
      <c r="AT4372" s="156"/>
      <c r="AU4372" s="156"/>
      <c r="AV4372" s="156"/>
      <c r="AW4372" s="156"/>
      <c r="AX4372" s="156"/>
      <c r="AY4372" s="156"/>
      <c r="AZ4372" s="156"/>
      <c r="BA4372" s="156"/>
      <c r="BB4372" s="2828"/>
      <c r="BC4372" s="452"/>
      <c r="BD4372" s="2829"/>
      <c r="BE4372" s="2837"/>
      <c r="BF4372" s="156"/>
    </row>
    <row r="4373" spans="1:58" ht="15" customHeight="1" outlineLevel="1" x14ac:dyDescent="0.35">
      <c r="A4373" s="1664"/>
      <c r="B4373" s="2812"/>
      <c r="C4373" s="3077"/>
      <c r="D4373" s="3980"/>
      <c r="E4373" s="3883"/>
      <c r="F4373" s="3984" t="str">
        <f t="shared" si="459"/>
        <v>ASHP-SEER19_ER2_MF</v>
      </c>
      <c r="G4373" s="3984"/>
      <c r="H4373" s="3984"/>
      <c r="I4373" s="3984"/>
      <c r="J4373" s="3508" t="str">
        <f t="shared" si="460"/>
        <v>354500_2019_12_</v>
      </c>
      <c r="K4373" s="462"/>
      <c r="L4373" s="93" t="str">
        <f>IF(K4373&gt;0,VLOOKUP(J4373,$J$1940:$L$2132,3,FALSE),"")</f>
        <v/>
      </c>
      <c r="M4373" s="3031" t="str">
        <f>IF(K4373&gt;0,VLOOKUP(J4373,$J$3484:$K$3676,2,FALSE),"")</f>
        <v/>
      </c>
      <c r="N4373" s="963"/>
      <c r="O4373" s="106"/>
      <c r="P4373" s="702"/>
      <c r="Q4373" s="574"/>
      <c r="R4373" s="702"/>
      <c r="S4373" s="106"/>
      <c r="T4373" s="486"/>
      <c r="U4373" s="106"/>
      <c r="V4373" s="4129"/>
      <c r="W4373" s="2440"/>
      <c r="X4373" s="465"/>
      <c r="Y4373" s="465"/>
      <c r="Z4373" s="462"/>
      <c r="AA4373" s="462"/>
      <c r="AB4373" s="465"/>
      <c r="AC4373" s="3568"/>
      <c r="AD4373" s="462"/>
      <c r="AE4373" s="2939"/>
      <c r="AF4373" s="663"/>
      <c r="AG4373" s="663"/>
      <c r="AH4373" s="156"/>
      <c r="AI4373" s="156"/>
      <c r="AJ4373" s="156"/>
      <c r="AK4373" s="156"/>
      <c r="AL4373" s="156"/>
      <c r="AM4373" s="156"/>
      <c r="AN4373" s="156"/>
      <c r="AO4373" s="156"/>
      <c r="AP4373" s="156"/>
      <c r="AQ4373" s="156"/>
      <c r="AR4373" s="156"/>
      <c r="AS4373" s="156"/>
      <c r="AT4373" s="156"/>
      <c r="AU4373" s="156"/>
      <c r="AV4373" s="156"/>
      <c r="AW4373" s="156"/>
      <c r="AX4373" s="156"/>
      <c r="AY4373" s="156"/>
      <c r="AZ4373" s="156"/>
      <c r="BA4373" s="156"/>
      <c r="BB4373" s="2828"/>
      <c r="BC4373" s="452"/>
      <c r="BD4373" s="2829"/>
      <c r="BE4373" s="2837"/>
      <c r="BF4373" s="156"/>
    </row>
    <row r="4374" spans="1:58" ht="15" customHeight="1" outlineLevel="1" x14ac:dyDescent="0.35">
      <c r="A4374" s="1664"/>
      <c r="B4374" s="2812"/>
      <c r="C4374" s="3077"/>
      <c r="D4374" s="3980"/>
      <c r="E4374" s="3883"/>
      <c r="F4374" s="3984" t="str">
        <f t="shared" si="459"/>
        <v>ASHP-SEER19_ER1_MF_CompE</v>
      </c>
      <c r="G4374" s="3984"/>
      <c r="H4374" s="3984"/>
      <c r="I4374" s="3984"/>
      <c r="J4374" s="3508" t="str">
        <f t="shared" si="460"/>
        <v>354501_2019_12_</v>
      </c>
      <c r="K4374" s="462">
        <f>(($R$1960*L4374)+$R$1948)-(($Q$1960*L4374)/((1+$R$1962)^($R$1963-1)))</f>
        <v>1716.1717238752744</v>
      </c>
      <c r="L4374" s="93">
        <f>VLOOKUP(J4374,$J$1940:$L$2132,3,FALSE)*M4374</f>
        <v>2.145</v>
      </c>
      <c r="M4374" s="3031">
        <f>VLOOKUP(J4374,$J$3484:$K$3676,2,FALSE)</f>
        <v>0.65</v>
      </c>
      <c r="N4374" s="963"/>
      <c r="O4374" s="106"/>
      <c r="P4374" s="702"/>
      <c r="Q4374" s="574"/>
      <c r="R4374" s="702"/>
      <c r="S4374" s="106"/>
      <c r="T4374" s="486"/>
      <c r="U4374" s="106"/>
      <c r="V4374" s="4129"/>
      <c r="W4374" s="2440"/>
      <c r="X4374" s="465"/>
      <c r="Y4374" s="465"/>
      <c r="Z4374" s="462"/>
      <c r="AA4374" s="462"/>
      <c r="AB4374" s="465"/>
      <c r="AC4374" s="3569">
        <v>1716.1717238752744</v>
      </c>
      <c r="AD4374" s="462">
        <v>1716.1717238752744</v>
      </c>
      <c r="AE4374" s="2939"/>
      <c r="AF4374" s="663"/>
      <c r="AG4374" s="663"/>
      <c r="AH4374" s="156"/>
      <c r="AI4374" s="156"/>
      <c r="AJ4374" s="156"/>
      <c r="AK4374" s="156"/>
      <c r="AL4374" s="156"/>
      <c r="AM4374" s="156"/>
      <c r="AN4374" s="156"/>
      <c r="AO4374" s="156"/>
      <c r="AP4374" s="156"/>
      <c r="AQ4374" s="156"/>
      <c r="AR4374" s="156"/>
      <c r="AS4374" s="156"/>
      <c r="AT4374" s="156"/>
      <c r="AU4374" s="156"/>
      <c r="AV4374" s="156"/>
      <c r="AW4374" s="156"/>
      <c r="AX4374" s="156"/>
      <c r="AY4374" s="156"/>
      <c r="AZ4374" s="156"/>
      <c r="BA4374" s="156"/>
      <c r="BB4374" s="2828"/>
      <c r="BC4374" s="452"/>
      <c r="BD4374" s="2829"/>
      <c r="BE4374" s="2837"/>
      <c r="BF4374" s="156"/>
    </row>
    <row r="4375" spans="1:58" ht="15" customHeight="1" outlineLevel="1" x14ac:dyDescent="0.35">
      <c r="A4375" s="1664"/>
      <c r="B4375" s="2812"/>
      <c r="C4375" s="3077"/>
      <c r="D4375" s="3980"/>
      <c r="E4375" s="3883"/>
      <c r="F4375" s="3984" t="str">
        <f t="shared" si="459"/>
        <v>ASHP-SEER19_ER1_MF_CompE</v>
      </c>
      <c r="G4375" s="3984"/>
      <c r="H4375" s="3984"/>
      <c r="I4375" s="3984"/>
      <c r="J4375" s="3508" t="str">
        <f t="shared" si="460"/>
        <v>354501_2019_12_</v>
      </c>
      <c r="K4375" s="462"/>
      <c r="L4375" s="93"/>
      <c r="M4375" s="3031"/>
      <c r="N4375" s="963"/>
      <c r="O4375" s="106"/>
      <c r="P4375" s="702"/>
      <c r="Q4375" s="574"/>
      <c r="R4375" s="702"/>
      <c r="S4375" s="106"/>
      <c r="T4375" s="486"/>
      <c r="U4375" s="106"/>
      <c r="V4375" s="4129"/>
      <c r="W4375" s="2440"/>
      <c r="X4375" s="465"/>
      <c r="Y4375" s="465"/>
      <c r="Z4375" s="462"/>
      <c r="AA4375" s="462"/>
      <c r="AB4375" s="465"/>
      <c r="AC4375" s="3568"/>
      <c r="AD4375" s="462"/>
      <c r="AE4375" s="2939"/>
      <c r="AF4375" s="663"/>
      <c r="AG4375" s="663"/>
      <c r="AH4375" s="156"/>
      <c r="AI4375" s="156"/>
      <c r="AJ4375" s="156"/>
      <c r="AK4375" s="156"/>
      <c r="AL4375" s="156"/>
      <c r="AM4375" s="156"/>
      <c r="AN4375" s="156"/>
      <c r="AO4375" s="156"/>
      <c r="AP4375" s="156"/>
      <c r="AQ4375" s="156"/>
      <c r="AR4375" s="156"/>
      <c r="AS4375" s="156"/>
      <c r="AT4375" s="156"/>
      <c r="AU4375" s="156"/>
      <c r="AV4375" s="156"/>
      <c r="AW4375" s="156"/>
      <c r="AX4375" s="156"/>
      <c r="AY4375" s="156"/>
      <c r="AZ4375" s="156"/>
      <c r="BA4375" s="156"/>
      <c r="BB4375" s="2828"/>
      <c r="BC4375" s="452"/>
      <c r="BD4375" s="2829"/>
      <c r="BE4375" s="2837"/>
      <c r="BF4375" s="156"/>
    </row>
    <row r="4376" spans="1:58" ht="15" customHeight="1" outlineLevel="1" x14ac:dyDescent="0.35">
      <c r="A4376" s="1664"/>
      <c r="B4376" s="2812"/>
      <c r="C4376" s="3077"/>
      <c r="D4376" s="3980"/>
      <c r="E4376" s="3883"/>
      <c r="F4376" s="3984" t="str">
        <f t="shared" si="459"/>
        <v>ASHP-SEER19_ER2_MF_CompE</v>
      </c>
      <c r="G4376" s="3984"/>
      <c r="H4376" s="3984"/>
      <c r="I4376" s="3984"/>
      <c r="J4376" s="3508" t="str">
        <f t="shared" si="460"/>
        <v>354501_2019_12_</v>
      </c>
      <c r="K4376" s="462"/>
      <c r="L4376" s="93"/>
      <c r="M4376" s="3031"/>
      <c r="N4376" s="963"/>
      <c r="O4376" s="106"/>
      <c r="P4376" s="702"/>
      <c r="Q4376" s="574"/>
      <c r="R4376" s="702"/>
      <c r="S4376" s="106"/>
      <c r="T4376" s="486"/>
      <c r="U4376" s="106"/>
      <c r="V4376" s="4129"/>
      <c r="W4376" s="2440"/>
      <c r="X4376" s="465"/>
      <c r="Y4376" s="465"/>
      <c r="Z4376" s="462"/>
      <c r="AA4376" s="462"/>
      <c r="AB4376" s="465"/>
      <c r="AC4376" s="3568"/>
      <c r="AD4376" s="462"/>
      <c r="AE4376" s="2939"/>
      <c r="AF4376" s="663"/>
      <c r="AG4376" s="663"/>
      <c r="AH4376" s="156"/>
      <c r="AI4376" s="156"/>
      <c r="AJ4376" s="156"/>
      <c r="AK4376" s="156"/>
      <c r="AL4376" s="156"/>
      <c r="AM4376" s="156"/>
      <c r="AN4376" s="156"/>
      <c r="AO4376" s="156"/>
      <c r="AP4376" s="156"/>
      <c r="AQ4376" s="156"/>
      <c r="AR4376" s="156"/>
      <c r="AS4376" s="156"/>
      <c r="AT4376" s="156"/>
      <c r="AU4376" s="156"/>
      <c r="AV4376" s="156"/>
      <c r="AW4376" s="156"/>
      <c r="AX4376" s="156"/>
      <c r="AY4376" s="156"/>
      <c r="AZ4376" s="156"/>
      <c r="BA4376" s="156"/>
      <c r="BB4376" s="2828"/>
      <c r="BC4376" s="452"/>
      <c r="BD4376" s="2829"/>
      <c r="BE4376" s="2837"/>
      <c r="BF4376" s="156"/>
    </row>
    <row r="4377" spans="1:58" ht="15" customHeight="1" outlineLevel="1" x14ac:dyDescent="0.35">
      <c r="A4377" s="1664"/>
      <c r="B4377" s="2812"/>
      <c r="C4377" s="3077"/>
      <c r="D4377" s="3980"/>
      <c r="E4377" s="3883"/>
      <c r="F4377" s="3984" t="str">
        <f t="shared" si="459"/>
        <v>ASHP-SEER19_ER2_MF_CompE</v>
      </c>
      <c r="G4377" s="3984"/>
      <c r="H4377" s="3984"/>
      <c r="I4377" s="3984"/>
      <c r="J4377" s="3508" t="str">
        <f t="shared" si="460"/>
        <v>354501_2019_12_</v>
      </c>
      <c r="K4377" s="462"/>
      <c r="L4377" s="93"/>
      <c r="M4377" s="3031"/>
      <c r="N4377" s="963"/>
      <c r="O4377" s="106"/>
      <c r="P4377" s="702"/>
      <c r="Q4377" s="574"/>
      <c r="R4377" s="702"/>
      <c r="S4377" s="106"/>
      <c r="T4377" s="486"/>
      <c r="U4377" s="106"/>
      <c r="V4377" s="4129"/>
      <c r="W4377" s="2440"/>
      <c r="X4377" s="465"/>
      <c r="Y4377" s="465"/>
      <c r="Z4377" s="462"/>
      <c r="AA4377" s="462"/>
      <c r="AB4377" s="465"/>
      <c r="AC4377" s="3568"/>
      <c r="AD4377" s="462"/>
      <c r="AE4377" s="2939"/>
      <c r="AF4377" s="663"/>
      <c r="AG4377" s="663"/>
      <c r="AH4377" s="156"/>
      <c r="AI4377" s="156"/>
      <c r="AJ4377" s="156"/>
      <c r="AK4377" s="156"/>
      <c r="AL4377" s="156"/>
      <c r="AM4377" s="156"/>
      <c r="AN4377" s="156"/>
      <c r="AO4377" s="156"/>
      <c r="AP4377" s="156"/>
      <c r="AQ4377" s="156"/>
      <c r="AR4377" s="156"/>
      <c r="AS4377" s="156"/>
      <c r="AT4377" s="156"/>
      <c r="AU4377" s="156"/>
      <c r="AV4377" s="156"/>
      <c r="AW4377" s="156"/>
      <c r="AX4377" s="156"/>
      <c r="AY4377" s="156"/>
      <c r="AZ4377" s="156"/>
      <c r="BA4377" s="156"/>
      <c r="BB4377" s="2828"/>
      <c r="BC4377" s="452"/>
      <c r="BD4377" s="2829"/>
      <c r="BE4377" s="2837"/>
      <c r="BF4377" s="156"/>
    </row>
    <row r="4378" spans="1:58" ht="15" customHeight="1" outlineLevel="1" x14ac:dyDescent="0.35">
      <c r="A4378" s="1664"/>
      <c r="B4378" s="2812"/>
      <c r="C4378" s="3077"/>
      <c r="D4378" s="3980"/>
      <c r="E4378" s="3883"/>
      <c r="F4378" s="3984" t="str">
        <f t="shared" si="459"/>
        <v>ASHP-SEER20_ER1_SF</v>
      </c>
      <c r="G4378" s="3984"/>
      <c r="H4378" s="3984"/>
      <c r="I4378" s="3984"/>
      <c r="J4378" s="3508" t="str">
        <f t="shared" si="460"/>
        <v>354550_2021_12_</v>
      </c>
      <c r="K4378" s="465">
        <f>(($R$1960*L4378)+$R$1949)-(($Q$1960*L4378)/((1+$R$1962)^($R$1963-1)))</f>
        <v>2109.0699962597669</v>
      </c>
      <c r="L4378" s="96">
        <f>VLOOKUP(J4378,$J$1940:$L$2132,3,FALSE)*M4378</f>
        <v>2.7818528962962961</v>
      </c>
      <c r="M4378" s="3031">
        <f>VLOOKUP(J4378,$J$3484:$K$3676,2,FALSE)</f>
        <v>1</v>
      </c>
      <c r="N4378" s="963"/>
      <c r="O4378" s="106"/>
      <c r="P4378" s="702"/>
      <c r="Q4378" s="574"/>
      <c r="R4378" s="702"/>
      <c r="S4378" s="106"/>
      <c r="T4378" s="486"/>
      <c r="U4378" s="106"/>
      <c r="V4378" s="4129"/>
      <c r="W4378" s="2440">
        <v>13953.854780733807</v>
      </c>
      <c r="X4378" s="465">
        <f>(X$2097/12000)*$Q$1949*X$3641</f>
        <v>7131.9388794243387</v>
      </c>
      <c r="Y4378" s="465">
        <v>2089.0025568704818</v>
      </c>
      <c r="Z4378" s="462">
        <v>2089.0025568704818</v>
      </c>
      <c r="AA4378" s="462">
        <v>2089.0025568704818</v>
      </c>
      <c r="AB4378" s="465">
        <v>2232.8749598081135</v>
      </c>
      <c r="AC4378" s="3569">
        <v>2639.0693330425956</v>
      </c>
      <c r="AD4378" s="465">
        <v>2109.0699962597669</v>
      </c>
      <c r="AE4378" s="2939"/>
      <c r="AF4378" s="663"/>
      <c r="AG4378" s="663"/>
      <c r="AH4378" s="156"/>
      <c r="AI4378" s="156"/>
      <c r="AJ4378" s="156"/>
      <c r="AK4378" s="156"/>
      <c r="AL4378" s="156"/>
      <c r="AM4378" s="156"/>
      <c r="AN4378" s="156"/>
      <c r="AO4378" s="156"/>
      <c r="AP4378" s="156"/>
      <c r="AQ4378" s="156"/>
      <c r="AR4378" s="156"/>
      <c r="AS4378" s="156"/>
      <c r="AT4378" s="156"/>
      <c r="AU4378" s="156"/>
      <c r="AV4378" s="156"/>
      <c r="AW4378" s="156"/>
      <c r="AX4378" s="156"/>
      <c r="AY4378" s="156"/>
      <c r="AZ4378" s="156"/>
      <c r="BA4378" s="156"/>
      <c r="BB4378" s="2828"/>
      <c r="BC4378" s="452"/>
      <c r="BD4378" s="2829"/>
      <c r="BE4378" s="2837"/>
      <c r="BF4378" s="156"/>
    </row>
    <row r="4379" spans="1:58" ht="15" customHeight="1" outlineLevel="1" x14ac:dyDescent="0.35">
      <c r="A4379" s="1664"/>
      <c r="B4379" s="2812"/>
      <c r="C4379" s="3077"/>
      <c r="D4379" s="3980"/>
      <c r="E4379" s="3883"/>
      <c r="F4379" s="3984" t="str">
        <f t="shared" si="459"/>
        <v>ASHP-SEER20_ER1_SF</v>
      </c>
      <c r="G4379" s="3984"/>
      <c r="H4379" s="3984"/>
      <c r="I4379" s="3984"/>
      <c r="J4379" s="3508" t="str">
        <f t="shared" si="460"/>
        <v>354550_2021_12_</v>
      </c>
      <c r="K4379" s="462"/>
      <c r="L4379" s="93" t="str">
        <f>IF(K4379&gt;0,VLOOKUP(J4379,$J$1940:$L$2132,3,FALSE),"")</f>
        <v/>
      </c>
      <c r="M4379" s="3031" t="str">
        <f>IF(K4379&gt;0,VLOOKUP(J4379,$J$3484:$K$3676,2,FALSE),"")</f>
        <v/>
      </c>
      <c r="N4379" s="963"/>
      <c r="O4379" s="106"/>
      <c r="P4379" s="702"/>
      <c r="Q4379" s="574"/>
      <c r="R4379" s="702"/>
      <c r="S4379" s="106"/>
      <c r="T4379" s="486"/>
      <c r="U4379" s="106"/>
      <c r="V4379" s="4129"/>
      <c r="W4379" s="2440"/>
      <c r="X4379" s="465"/>
      <c r="Y4379" s="465"/>
      <c r="Z4379" s="462"/>
      <c r="AA4379" s="462"/>
      <c r="AB4379" s="465"/>
      <c r="AC4379" s="3568"/>
      <c r="AD4379" s="462"/>
      <c r="AE4379" s="2939"/>
      <c r="AF4379" s="663"/>
      <c r="AG4379" s="663"/>
      <c r="AH4379" s="156"/>
      <c r="AI4379" s="156"/>
      <c r="AJ4379" s="156"/>
      <c r="AK4379" s="156"/>
      <c r="AL4379" s="156"/>
      <c r="AM4379" s="156"/>
      <c r="AN4379" s="156"/>
      <c r="AO4379" s="156"/>
      <c r="AP4379" s="156"/>
      <c r="AQ4379" s="156"/>
      <c r="AR4379" s="156"/>
      <c r="AS4379" s="156"/>
      <c r="AT4379" s="156"/>
      <c r="AU4379" s="156"/>
      <c r="AV4379" s="156"/>
      <c r="AW4379" s="156"/>
      <c r="AX4379" s="156"/>
      <c r="AY4379" s="156"/>
      <c r="AZ4379" s="156"/>
      <c r="BA4379" s="156"/>
      <c r="BB4379" s="2828"/>
      <c r="BC4379" s="452"/>
      <c r="BD4379" s="2829"/>
      <c r="BE4379" s="2837"/>
      <c r="BF4379" s="156"/>
    </row>
    <row r="4380" spans="1:58" ht="15" customHeight="1" outlineLevel="1" x14ac:dyDescent="0.35">
      <c r="A4380" s="1664"/>
      <c r="B4380" s="2812"/>
      <c r="C4380" s="3077"/>
      <c r="D4380" s="3980"/>
      <c r="E4380" s="3883"/>
      <c r="F4380" s="3984" t="str">
        <f t="shared" si="459"/>
        <v>ASHP-SEER20_ER2_SF</v>
      </c>
      <c r="G4380" s="3984"/>
      <c r="H4380" s="3984"/>
      <c r="I4380" s="3984"/>
      <c r="J4380" s="3508" t="str">
        <f t="shared" si="460"/>
        <v>354550_2021_12_</v>
      </c>
      <c r="K4380" s="462"/>
      <c r="L4380" s="93" t="str">
        <f>IF(K4380&gt;0,VLOOKUP(J4380,$J$1940:$L$2132,3,FALSE),"")</f>
        <v/>
      </c>
      <c r="M4380" s="3031" t="str">
        <f>IF(K4380&gt;0,VLOOKUP(J4380,$J$3484:$K$3676,2,FALSE),"")</f>
        <v/>
      </c>
      <c r="N4380" s="963"/>
      <c r="O4380" s="106"/>
      <c r="P4380" s="702"/>
      <c r="Q4380" s="574"/>
      <c r="R4380" s="702"/>
      <c r="S4380" s="106"/>
      <c r="T4380" s="486"/>
      <c r="U4380" s="106"/>
      <c r="V4380" s="4129"/>
      <c r="W4380" s="2440"/>
      <c r="X4380" s="465"/>
      <c r="Y4380" s="465"/>
      <c r="Z4380" s="462"/>
      <c r="AA4380" s="462"/>
      <c r="AB4380" s="465"/>
      <c r="AC4380" s="3568"/>
      <c r="AD4380" s="462"/>
      <c r="AE4380" s="2939"/>
      <c r="AF4380" s="663"/>
      <c r="AG4380" s="663"/>
      <c r="AH4380" s="156"/>
      <c r="AI4380" s="156"/>
      <c r="AJ4380" s="156"/>
      <c r="AK4380" s="156"/>
      <c r="AL4380" s="156"/>
      <c r="AM4380" s="156"/>
      <c r="AN4380" s="156"/>
      <c r="AO4380" s="156"/>
      <c r="AP4380" s="156"/>
      <c r="AQ4380" s="156"/>
      <c r="AR4380" s="156"/>
      <c r="AS4380" s="156"/>
      <c r="AT4380" s="156"/>
      <c r="AU4380" s="156"/>
      <c r="AV4380" s="156"/>
      <c r="AW4380" s="156"/>
      <c r="AX4380" s="156"/>
      <c r="AY4380" s="156"/>
      <c r="AZ4380" s="156"/>
      <c r="BA4380" s="156"/>
      <c r="BB4380" s="2828"/>
      <c r="BC4380" s="452"/>
      <c r="BD4380" s="2829"/>
      <c r="BE4380" s="2837"/>
      <c r="BF4380" s="156"/>
    </row>
    <row r="4381" spans="1:58" ht="15" customHeight="1" outlineLevel="1" x14ac:dyDescent="0.35">
      <c r="A4381" s="1664"/>
      <c r="B4381" s="2812"/>
      <c r="C4381" s="3077"/>
      <c r="D4381" s="3980"/>
      <c r="E4381" s="3883"/>
      <c r="F4381" s="3984" t="str">
        <f t="shared" si="459"/>
        <v>ASHP-SEER20_ER2_SF</v>
      </c>
      <c r="G4381" s="3984"/>
      <c r="H4381" s="3984"/>
      <c r="I4381" s="3984"/>
      <c r="J4381" s="3508" t="str">
        <f t="shared" si="460"/>
        <v>354550_2021_12_</v>
      </c>
      <c r="K4381" s="462"/>
      <c r="L4381" s="93" t="str">
        <f>IF(K4381&gt;0,VLOOKUP(J4381,$J$1940:$L$2132,3,FALSE),"")</f>
        <v/>
      </c>
      <c r="M4381" s="3031" t="str">
        <f>IF(K4381&gt;0,VLOOKUP(J4381,$J$3484:$K$3676,2,FALSE),"")</f>
        <v/>
      </c>
      <c r="N4381" s="963"/>
      <c r="O4381" s="106"/>
      <c r="P4381" s="702"/>
      <c r="Q4381" s="574"/>
      <c r="R4381" s="702"/>
      <c r="S4381" s="106"/>
      <c r="T4381" s="486"/>
      <c r="U4381" s="106"/>
      <c r="V4381" s="4129"/>
      <c r="W4381" s="2440"/>
      <c r="X4381" s="465"/>
      <c r="Y4381" s="465"/>
      <c r="Z4381" s="462"/>
      <c r="AA4381" s="462"/>
      <c r="AB4381" s="465"/>
      <c r="AC4381" s="3568"/>
      <c r="AD4381" s="462"/>
      <c r="AE4381" s="2939"/>
      <c r="AF4381" s="663"/>
      <c r="AG4381" s="663"/>
      <c r="AH4381" s="156"/>
      <c r="AI4381" s="156"/>
      <c r="AJ4381" s="156"/>
      <c r="AK4381" s="156"/>
      <c r="AL4381" s="156"/>
      <c r="AM4381" s="156"/>
      <c r="AN4381" s="156"/>
      <c r="AO4381" s="156"/>
      <c r="AP4381" s="156"/>
      <c r="AQ4381" s="156"/>
      <c r="AR4381" s="156"/>
      <c r="AS4381" s="156"/>
      <c r="AT4381" s="156"/>
      <c r="AU4381" s="156"/>
      <c r="AV4381" s="156"/>
      <c r="AW4381" s="156"/>
      <c r="AX4381" s="156"/>
      <c r="AY4381" s="156"/>
      <c r="AZ4381" s="156"/>
      <c r="BA4381" s="156"/>
      <c r="BB4381" s="2828"/>
      <c r="BC4381" s="452"/>
      <c r="BD4381" s="2829"/>
      <c r="BE4381" s="2837"/>
      <c r="BF4381" s="156"/>
    </row>
    <row r="4382" spans="1:58" ht="15" customHeight="1" outlineLevel="1" x14ac:dyDescent="0.35">
      <c r="A4382" s="1664"/>
      <c r="B4382" s="2812"/>
      <c r="C4382" s="3077"/>
      <c r="D4382" s="3980"/>
      <c r="E4382" s="3883"/>
      <c r="F4382" s="3984" t="str">
        <f t="shared" si="459"/>
        <v>ASHP-SEER20_ROF_SF</v>
      </c>
      <c r="G4382" s="3984"/>
      <c r="H4382" s="3984"/>
      <c r="I4382" s="3984"/>
      <c r="J4382" s="3508" t="str">
        <f t="shared" si="460"/>
        <v>354600_2021_12_</v>
      </c>
      <c r="K4382" s="462">
        <f>$R$1949*K$3490</f>
        <v>1444.3799999999994</v>
      </c>
      <c r="L4382" s="93">
        <f>VLOOKUP(J4382,$J$1940:$L$2132,3,FALSE)*M4382</f>
        <v>2.8870833333333334</v>
      </c>
      <c r="M4382" s="3031">
        <f>VLOOKUP(J4382,$J$3484:$K$3676,2,FALSE)</f>
        <v>1</v>
      </c>
      <c r="N4382" s="963"/>
      <c r="O4382" s="106"/>
      <c r="P4382" s="702"/>
      <c r="Q4382" s="574"/>
      <c r="R4382" s="702"/>
      <c r="S4382" s="106"/>
      <c r="T4382" s="486"/>
      <c r="U4382" s="106"/>
      <c r="V4382" s="4129"/>
      <c r="W4382" s="2440">
        <v>9512</v>
      </c>
      <c r="X4382" s="465">
        <f>(X$2099/12000)*$R$1949*X$3643</f>
        <v>4766.4539999999979</v>
      </c>
      <c r="Y4382" s="465">
        <v>1160</v>
      </c>
      <c r="Z4382" s="462">
        <v>1160</v>
      </c>
      <c r="AA4382" s="462">
        <v>1160</v>
      </c>
      <c r="AB4382" s="465">
        <v>1444.3799999999994</v>
      </c>
      <c r="AC4382" s="3568">
        <v>1444.3799999999994</v>
      </c>
      <c r="AD4382" s="462">
        <v>1444.3799999999994</v>
      </c>
      <c r="AE4382" s="2939"/>
      <c r="AF4382" s="663"/>
      <c r="AG4382" s="663"/>
      <c r="AH4382" s="156"/>
      <c r="AI4382" s="156"/>
      <c r="AJ4382" s="156"/>
      <c r="AK4382" s="156"/>
      <c r="AL4382" s="156"/>
      <c r="AM4382" s="156"/>
      <c r="AN4382" s="156"/>
      <c r="AO4382" s="156"/>
      <c r="AP4382" s="156"/>
      <c r="AQ4382" s="156"/>
      <c r="AR4382" s="156"/>
      <c r="AS4382" s="156"/>
      <c r="AT4382" s="156"/>
      <c r="AU4382" s="156"/>
      <c r="AV4382" s="156"/>
      <c r="AW4382" s="156"/>
      <c r="AX4382" s="156"/>
      <c r="AY4382" s="156"/>
      <c r="AZ4382" s="156"/>
      <c r="BA4382" s="156"/>
      <c r="BB4382" s="2828"/>
      <c r="BC4382" s="452"/>
      <c r="BD4382" s="2829"/>
      <c r="BE4382" s="2837"/>
      <c r="BF4382" s="156"/>
    </row>
    <row r="4383" spans="1:58" ht="15" customHeight="1" outlineLevel="1" x14ac:dyDescent="0.35">
      <c r="A4383" s="1664"/>
      <c r="B4383" s="2812"/>
      <c r="C4383" s="3077"/>
      <c r="D4383" s="3980"/>
      <c r="E4383" s="3883"/>
      <c r="F4383" s="3984" t="str">
        <f t="shared" si="459"/>
        <v>ASHP-SEER20_ROF_SF</v>
      </c>
      <c r="G4383" s="3984"/>
      <c r="H4383" s="3984"/>
      <c r="I4383" s="3984"/>
      <c r="J4383" s="3508" t="str">
        <f t="shared" si="460"/>
        <v>354600_2021_12_</v>
      </c>
      <c r="K4383" s="462"/>
      <c r="L4383" s="93" t="str">
        <f>IF(K4383&gt;0,VLOOKUP(J4383,$J$1940:$L$2132,3,FALSE),"")</f>
        <v/>
      </c>
      <c r="M4383" s="3031" t="str">
        <f>IF(K4383&gt;0,VLOOKUP(J4383,$J$3484:$K$3676,2,FALSE),"")</f>
        <v/>
      </c>
      <c r="N4383" s="963"/>
      <c r="O4383" s="106"/>
      <c r="P4383" s="702"/>
      <c r="Q4383" s="574"/>
      <c r="R4383" s="702"/>
      <c r="S4383" s="106"/>
      <c r="T4383" s="486"/>
      <c r="U4383" s="106"/>
      <c r="V4383" s="4129"/>
      <c r="W4383" s="2440"/>
      <c r="X4383" s="465"/>
      <c r="Y4383" s="465"/>
      <c r="Z4383" s="462"/>
      <c r="AA4383" s="462"/>
      <c r="AB4383" s="465"/>
      <c r="AC4383" s="3568"/>
      <c r="AD4383" s="462"/>
      <c r="AE4383" s="2940"/>
      <c r="AF4383" s="662"/>
      <c r="AG4383" s="662"/>
      <c r="AH4383" s="156"/>
      <c r="AI4383" s="156"/>
      <c r="AJ4383" s="156"/>
      <c r="AK4383" s="156"/>
      <c r="AL4383" s="156"/>
      <c r="AM4383" s="156"/>
      <c r="AN4383" s="156"/>
      <c r="AO4383" s="156"/>
      <c r="AP4383" s="156"/>
      <c r="AQ4383" s="156"/>
      <c r="AR4383" s="156"/>
      <c r="AS4383" s="156"/>
      <c r="AT4383" s="156"/>
      <c r="AU4383" s="156"/>
      <c r="AV4383" s="156"/>
      <c r="AW4383" s="156"/>
      <c r="AX4383" s="156"/>
      <c r="AY4383" s="156"/>
      <c r="AZ4383" s="156"/>
      <c r="BA4383" s="156"/>
      <c r="BB4383" s="2828"/>
      <c r="BC4383" s="452"/>
      <c r="BD4383" s="2829"/>
      <c r="BE4383" s="2837"/>
      <c r="BF4383" s="156"/>
    </row>
    <row r="4384" spans="1:58" ht="14.5" customHeight="1" outlineLevel="1" x14ac:dyDescent="0.35">
      <c r="A4384" s="1664"/>
      <c r="B4384" s="2812"/>
      <c r="C4384" s="3077"/>
      <c r="D4384" s="3980"/>
      <c r="E4384" s="3883"/>
      <c r="F4384" s="3984" t="str">
        <f t="shared" ref="F4384:F4447" si="461">E1854</f>
        <v>ASHP-SEER20-Replace_CAC_ElectricHeat_ER1_MF</v>
      </c>
      <c r="G4384" s="3984"/>
      <c r="H4384" s="3984"/>
      <c r="I4384" s="3984"/>
      <c r="J4384" s="3508" t="str">
        <f t="shared" ref="J4384:J4447" si="462">C1854</f>
        <v>354650_2019_12_</v>
      </c>
      <c r="K4384" s="462">
        <f>(($R$1960*L4384)+$R$1949)-(($Q$1960*L4384)/((1+$R$1962)^($R$1963-1)))</f>
        <v>1925.8398012161661</v>
      </c>
      <c r="L4384" s="93">
        <f>VLOOKUP(J4384,$J$1940:$L$2132,3,FALSE)*M4384</f>
        <v>2.0150000000000001</v>
      </c>
      <c r="M4384" s="3031">
        <f>VLOOKUP(J4384,$J$3484:$K$3676,2,FALSE)</f>
        <v>0.65</v>
      </c>
      <c r="N4384" s="963"/>
      <c r="O4384" s="106"/>
      <c r="P4384" s="702"/>
      <c r="Q4384" s="574"/>
      <c r="R4384" s="702"/>
      <c r="S4384" s="106"/>
      <c r="T4384" s="486"/>
      <c r="U4384" s="106"/>
      <c r="V4384" s="4129"/>
      <c r="W4384" s="2440">
        <v>13953.854780733807</v>
      </c>
      <c r="X4384" s="465">
        <f>(X$2100/12000)*$Q$1949*X$3644</f>
        <v>4354.8051036484976</v>
      </c>
      <c r="Y4384" s="465">
        <v>1727.2545915436422</v>
      </c>
      <c r="Z4384" s="462">
        <v>1727.2545915436422</v>
      </c>
      <c r="AA4384" s="462">
        <v>1727.2545915436422</v>
      </c>
      <c r="AB4384" s="465">
        <v>1925.8398012161661</v>
      </c>
      <c r="AC4384" s="3568">
        <v>1925.8398012161661</v>
      </c>
      <c r="AD4384" s="462">
        <v>1925.8398012161661</v>
      </c>
      <c r="AE4384" s="2939"/>
      <c r="AF4384" s="663"/>
      <c r="AG4384" s="663"/>
      <c r="AH4384" s="156"/>
      <c r="AI4384" s="156"/>
      <c r="AJ4384" s="156"/>
      <c r="AK4384" s="156"/>
      <c r="AL4384" s="156"/>
      <c r="AM4384" s="156"/>
      <c r="AN4384" s="156"/>
      <c r="AO4384" s="156"/>
      <c r="AP4384" s="156"/>
      <c r="AQ4384" s="156"/>
      <c r="AR4384" s="156"/>
      <c r="AS4384" s="156"/>
      <c r="AT4384" s="156"/>
      <c r="AU4384" s="156"/>
      <c r="AV4384" s="156"/>
      <c r="AW4384" s="156"/>
      <c r="AX4384" s="156"/>
      <c r="AY4384" s="156"/>
      <c r="AZ4384" s="156"/>
      <c r="BA4384" s="156"/>
      <c r="BB4384" s="2828"/>
      <c r="BC4384" s="452"/>
      <c r="BD4384" s="2829"/>
      <c r="BE4384" s="2837"/>
      <c r="BF4384" s="156"/>
    </row>
    <row r="4385" spans="1:58" ht="14.5" customHeight="1" outlineLevel="1" x14ac:dyDescent="0.35">
      <c r="A4385" s="1664"/>
      <c r="B4385" s="2812"/>
      <c r="C4385" s="3077"/>
      <c r="D4385" s="3980"/>
      <c r="E4385" s="3883"/>
      <c r="F4385" s="3984" t="str">
        <f t="shared" si="461"/>
        <v>ASHP-SEER20-Replace_CAC_ElectricHeat_ER1_MF</v>
      </c>
      <c r="G4385" s="3984"/>
      <c r="H4385" s="3984"/>
      <c r="I4385" s="3984"/>
      <c r="J4385" s="3508" t="str">
        <f t="shared" si="462"/>
        <v>354650_2019_12_</v>
      </c>
      <c r="K4385" s="462"/>
      <c r="L4385" s="93" t="str">
        <f>IF(K4385&gt;0,VLOOKUP(J4385,$J$1940:$L$2132,3,FALSE),"")</f>
        <v/>
      </c>
      <c r="M4385" s="3031" t="str">
        <f>IF(K4385&gt;0,VLOOKUP(J4385,$J$3484:$K$3676,2,FALSE),"")</f>
        <v/>
      </c>
      <c r="N4385" s="963"/>
      <c r="O4385" s="106"/>
      <c r="P4385" s="702"/>
      <c r="Q4385" s="574"/>
      <c r="R4385" s="702"/>
      <c r="S4385" s="106"/>
      <c r="T4385" s="486"/>
      <c r="U4385" s="106"/>
      <c r="V4385" s="4129"/>
      <c r="W4385" s="2440"/>
      <c r="X4385" s="465"/>
      <c r="Y4385" s="465"/>
      <c r="Z4385" s="462"/>
      <c r="AA4385" s="462"/>
      <c r="AB4385" s="465"/>
      <c r="AC4385" s="3568"/>
      <c r="AD4385" s="462"/>
      <c r="AE4385" s="2939"/>
      <c r="AF4385" s="663"/>
      <c r="AG4385" s="663"/>
      <c r="AH4385" s="156"/>
      <c r="AI4385" s="156"/>
      <c r="AJ4385" s="156"/>
      <c r="AK4385" s="156"/>
      <c r="AL4385" s="156"/>
      <c r="AM4385" s="156"/>
      <c r="AN4385" s="156"/>
      <c r="AO4385" s="156"/>
      <c r="AP4385" s="156"/>
      <c r="AQ4385" s="156"/>
      <c r="AR4385" s="156"/>
      <c r="AS4385" s="156"/>
      <c r="AT4385" s="156"/>
      <c r="AU4385" s="156"/>
      <c r="AV4385" s="156"/>
      <c r="AW4385" s="156"/>
      <c r="AX4385" s="156"/>
      <c r="AY4385" s="156"/>
      <c r="AZ4385" s="156"/>
      <c r="BA4385" s="156"/>
      <c r="BB4385" s="2828"/>
      <c r="BC4385" s="452"/>
      <c r="BD4385" s="2829"/>
      <c r="BE4385" s="2837"/>
      <c r="BF4385" s="156"/>
    </row>
    <row r="4386" spans="1:58" ht="14.5" customHeight="1" outlineLevel="1" x14ac:dyDescent="0.35">
      <c r="A4386" s="1664"/>
      <c r="B4386" s="2812"/>
      <c r="C4386" s="3077"/>
      <c r="D4386" s="3980"/>
      <c r="E4386" s="3883"/>
      <c r="F4386" s="3984" t="str">
        <f t="shared" si="461"/>
        <v>ASHP-SEER20-Replace_CAC_ElectricHeat_ER2_MF</v>
      </c>
      <c r="G4386" s="3984"/>
      <c r="H4386" s="3984"/>
      <c r="I4386" s="3984"/>
      <c r="J4386" s="3508" t="str">
        <f t="shared" si="462"/>
        <v>354650_2019_12_</v>
      </c>
      <c r="K4386" s="462"/>
      <c r="L4386" s="93" t="str">
        <f>IF(K4386&gt;0,VLOOKUP(J4386,$J$1940:$L$2132,3,FALSE),"")</f>
        <v/>
      </c>
      <c r="M4386" s="3031" t="str">
        <f>IF(K4386&gt;0,VLOOKUP(J4386,$J$3484:$K$3676,2,FALSE),"")</f>
        <v/>
      </c>
      <c r="N4386" s="963"/>
      <c r="O4386" s="106"/>
      <c r="P4386" s="702"/>
      <c r="Q4386" s="574"/>
      <c r="R4386" s="702"/>
      <c r="S4386" s="106"/>
      <c r="T4386" s="486"/>
      <c r="U4386" s="106"/>
      <c r="V4386" s="4129"/>
      <c r="W4386" s="2440"/>
      <c r="X4386" s="465"/>
      <c r="Y4386" s="465"/>
      <c r="Z4386" s="462"/>
      <c r="AA4386" s="462"/>
      <c r="AB4386" s="465"/>
      <c r="AC4386" s="3568"/>
      <c r="AD4386" s="462"/>
      <c r="AE4386" s="2939"/>
      <c r="AF4386" s="663"/>
      <c r="AG4386" s="663"/>
      <c r="AH4386" s="156"/>
      <c r="AI4386" s="156"/>
      <c r="AJ4386" s="156"/>
      <c r="AK4386" s="156"/>
      <c r="AL4386" s="156"/>
      <c r="AM4386" s="156"/>
      <c r="AN4386" s="156"/>
      <c r="AO4386" s="156"/>
      <c r="AP4386" s="156"/>
      <c r="AQ4386" s="156"/>
      <c r="AR4386" s="156"/>
      <c r="AS4386" s="156"/>
      <c r="AT4386" s="156"/>
      <c r="AU4386" s="156"/>
      <c r="AV4386" s="156"/>
      <c r="AW4386" s="156"/>
      <c r="AX4386" s="156"/>
      <c r="AY4386" s="156"/>
      <c r="AZ4386" s="156"/>
      <c r="BA4386" s="156"/>
      <c r="BB4386" s="2828"/>
      <c r="BC4386" s="452"/>
      <c r="BD4386" s="2829"/>
      <c r="BE4386" s="2837"/>
      <c r="BF4386" s="156"/>
    </row>
    <row r="4387" spans="1:58" ht="14.5" customHeight="1" outlineLevel="1" x14ac:dyDescent="0.35">
      <c r="A4387" s="1664"/>
      <c r="B4387" s="2812"/>
      <c r="C4387" s="3077"/>
      <c r="D4387" s="3980"/>
      <c r="E4387" s="3883"/>
      <c r="F4387" s="3984" t="str">
        <f t="shared" si="461"/>
        <v>ASHP-SEER20-Replace_CAC_ElectricHeat_ER2_MF</v>
      </c>
      <c r="G4387" s="3984"/>
      <c r="H4387" s="3984"/>
      <c r="I4387" s="3984"/>
      <c r="J4387" s="3508" t="str">
        <f t="shared" si="462"/>
        <v>354650_2019_12_</v>
      </c>
      <c r="K4387" s="462"/>
      <c r="L4387" s="93" t="str">
        <f>IF(K4387&gt;0,VLOOKUP(J4387,$J$1940:$L$2132,3,FALSE),"")</f>
        <v/>
      </c>
      <c r="M4387" s="3031" t="str">
        <f>IF(K4387&gt;0,VLOOKUP(J4387,$J$3484:$K$3676,2,FALSE),"")</f>
        <v/>
      </c>
      <c r="N4387" s="963"/>
      <c r="O4387" s="106"/>
      <c r="P4387" s="702"/>
      <c r="Q4387" s="574"/>
      <c r="R4387" s="702"/>
      <c r="S4387" s="106"/>
      <c r="T4387" s="486"/>
      <c r="U4387" s="106"/>
      <c r="V4387" s="4129"/>
      <c r="W4387" s="2440"/>
      <c r="X4387" s="465"/>
      <c r="Y4387" s="465"/>
      <c r="Z4387" s="462"/>
      <c r="AA4387" s="462"/>
      <c r="AB4387" s="465"/>
      <c r="AC4387" s="3568"/>
      <c r="AD4387" s="462"/>
      <c r="AE4387" s="2939"/>
      <c r="AF4387" s="663"/>
      <c r="AG4387" s="663"/>
      <c r="AH4387" s="156"/>
      <c r="AI4387" s="156"/>
      <c r="AJ4387" s="156"/>
      <c r="AK4387" s="156"/>
      <c r="AL4387" s="156"/>
      <c r="AM4387" s="156"/>
      <c r="AN4387" s="156"/>
      <c r="AO4387" s="156"/>
      <c r="AP4387" s="156"/>
      <c r="AQ4387" s="156"/>
      <c r="AR4387" s="156"/>
      <c r="AS4387" s="156"/>
      <c r="AT4387" s="156"/>
      <c r="AU4387" s="156"/>
      <c r="AV4387" s="156"/>
      <c r="AW4387" s="156"/>
      <c r="AX4387" s="156"/>
      <c r="AY4387" s="156"/>
      <c r="AZ4387" s="156"/>
      <c r="BA4387" s="156"/>
      <c r="BB4387" s="2828"/>
      <c r="BC4387" s="452"/>
      <c r="BD4387" s="2829"/>
      <c r="BE4387" s="2837"/>
      <c r="BF4387" s="156"/>
    </row>
    <row r="4388" spans="1:58" ht="14.5" customHeight="1" outlineLevel="1" x14ac:dyDescent="0.35">
      <c r="A4388" s="1664"/>
      <c r="B4388" s="2812"/>
      <c r="C4388" s="3077"/>
      <c r="D4388" s="3980"/>
      <c r="E4388" s="3883"/>
      <c r="F4388" s="3984" t="str">
        <f t="shared" si="461"/>
        <v>ASHP-SEER20-Replace_CAC_ElectricHeat_ER1_MF_CompE</v>
      </c>
      <c r="G4388" s="3984"/>
      <c r="H4388" s="3984"/>
      <c r="I4388" s="3984"/>
      <c r="J4388" s="3508" t="str">
        <f t="shared" si="462"/>
        <v>354651_2019_12_</v>
      </c>
      <c r="K4388" s="462">
        <f>(($R$1960*L4388)+$R$1949)-(($Q$1960*L4388)/((1+$R$1962)^($R$1963-1)))</f>
        <v>1925.8398012161661</v>
      </c>
      <c r="L4388" s="93">
        <f>VLOOKUP(J4388,$J$1940:$L$2132,3,FALSE)*M4388</f>
        <v>2.0150000000000001</v>
      </c>
      <c r="M4388" s="3031">
        <f>VLOOKUP(J4388,$J$3484:$K$3676,2,FALSE)</f>
        <v>0.65</v>
      </c>
      <c r="N4388" s="963"/>
      <c r="O4388" s="106"/>
      <c r="P4388" s="702"/>
      <c r="Q4388" s="574"/>
      <c r="R4388" s="702"/>
      <c r="S4388" s="106"/>
      <c r="T4388" s="486"/>
      <c r="U4388" s="106"/>
      <c r="V4388" s="4129"/>
      <c r="W4388" s="2440"/>
      <c r="X4388" s="465"/>
      <c r="Y4388" s="465"/>
      <c r="Z4388" s="462"/>
      <c r="AA4388" s="462"/>
      <c r="AB4388" s="465"/>
      <c r="AC4388" s="3569">
        <v>1925.8398012161661</v>
      </c>
      <c r="AD4388" s="462">
        <v>1925.8398012161661</v>
      </c>
      <c r="AE4388" s="2939"/>
      <c r="AF4388" s="663"/>
      <c r="AG4388" s="663"/>
      <c r="AH4388" s="156"/>
      <c r="AI4388" s="156"/>
      <c r="AJ4388" s="156"/>
      <c r="AK4388" s="156"/>
      <c r="AL4388" s="156"/>
      <c r="AM4388" s="156"/>
      <c r="AN4388" s="156"/>
      <c r="AO4388" s="156"/>
      <c r="AP4388" s="156"/>
      <c r="AQ4388" s="156"/>
      <c r="AR4388" s="156"/>
      <c r="AS4388" s="156"/>
      <c r="AT4388" s="156"/>
      <c r="AU4388" s="156"/>
      <c r="AV4388" s="156"/>
      <c r="AW4388" s="156"/>
      <c r="AX4388" s="156"/>
      <c r="AY4388" s="156"/>
      <c r="AZ4388" s="156"/>
      <c r="BA4388" s="156"/>
      <c r="BB4388" s="2828"/>
      <c r="BC4388" s="452"/>
      <c r="BD4388" s="2829"/>
      <c r="BE4388" s="2837"/>
      <c r="BF4388" s="156"/>
    </row>
    <row r="4389" spans="1:58" ht="14.5" customHeight="1" outlineLevel="1" x14ac:dyDescent="0.35">
      <c r="A4389" s="1664"/>
      <c r="B4389" s="2812"/>
      <c r="C4389" s="3077"/>
      <c r="D4389" s="3980"/>
      <c r="E4389" s="3883"/>
      <c r="F4389" s="3984" t="str">
        <f t="shared" si="461"/>
        <v>ASHP-SEER20-Replace_CAC_ElectricHeat_ER1_MF_CompE</v>
      </c>
      <c r="G4389" s="3984"/>
      <c r="H4389" s="3984"/>
      <c r="I4389" s="3984"/>
      <c r="J4389" s="3508" t="str">
        <f t="shared" si="462"/>
        <v>354651_2019_12_</v>
      </c>
      <c r="K4389" s="462"/>
      <c r="L4389" s="93"/>
      <c r="M4389" s="3031"/>
      <c r="N4389" s="963"/>
      <c r="O4389" s="106"/>
      <c r="P4389" s="702"/>
      <c r="Q4389" s="574"/>
      <c r="R4389" s="702"/>
      <c r="S4389" s="106"/>
      <c r="T4389" s="486"/>
      <c r="U4389" s="106"/>
      <c r="V4389" s="4129"/>
      <c r="W4389" s="2440"/>
      <c r="X4389" s="465"/>
      <c r="Y4389" s="465"/>
      <c r="Z4389" s="462"/>
      <c r="AA4389" s="462"/>
      <c r="AB4389" s="465"/>
      <c r="AC4389" s="3568"/>
      <c r="AD4389" s="462"/>
      <c r="AE4389" s="2939"/>
      <c r="AF4389" s="663"/>
      <c r="AG4389" s="663"/>
      <c r="AH4389" s="156"/>
      <c r="AI4389" s="156"/>
      <c r="AJ4389" s="156"/>
      <c r="AK4389" s="156"/>
      <c r="AL4389" s="156"/>
      <c r="AM4389" s="156"/>
      <c r="AN4389" s="156"/>
      <c r="AO4389" s="156"/>
      <c r="AP4389" s="156"/>
      <c r="AQ4389" s="156"/>
      <c r="AR4389" s="156"/>
      <c r="AS4389" s="156"/>
      <c r="AT4389" s="156"/>
      <c r="AU4389" s="156"/>
      <c r="AV4389" s="156"/>
      <c r="AW4389" s="156"/>
      <c r="AX4389" s="156"/>
      <c r="AY4389" s="156"/>
      <c r="AZ4389" s="156"/>
      <c r="BA4389" s="156"/>
      <c r="BB4389" s="2828"/>
      <c r="BC4389" s="452"/>
      <c r="BD4389" s="2829"/>
      <c r="BE4389" s="2837"/>
      <c r="BF4389" s="156"/>
    </row>
    <row r="4390" spans="1:58" ht="14.5" customHeight="1" outlineLevel="1" x14ac:dyDescent="0.35">
      <c r="A4390" s="1664"/>
      <c r="B4390" s="2812"/>
      <c r="C4390" s="3077"/>
      <c r="D4390" s="3980"/>
      <c r="E4390" s="3883"/>
      <c r="F4390" s="3984" t="str">
        <f t="shared" si="461"/>
        <v>ASHP-SEER20-Replace_CAC_ElectricHeat_ER2_MF_CompE</v>
      </c>
      <c r="G4390" s="3984"/>
      <c r="H4390" s="3984"/>
      <c r="I4390" s="3984"/>
      <c r="J4390" s="3508" t="str">
        <f t="shared" si="462"/>
        <v>354651_2019_12_</v>
      </c>
      <c r="K4390" s="462"/>
      <c r="L4390" s="93"/>
      <c r="M4390" s="3031"/>
      <c r="N4390" s="963"/>
      <c r="O4390" s="106"/>
      <c r="P4390" s="702"/>
      <c r="Q4390" s="574"/>
      <c r="R4390" s="702"/>
      <c r="S4390" s="106"/>
      <c r="T4390" s="486"/>
      <c r="U4390" s="106"/>
      <c r="V4390" s="4129"/>
      <c r="W4390" s="2440"/>
      <c r="X4390" s="465"/>
      <c r="Y4390" s="465"/>
      <c r="Z4390" s="462"/>
      <c r="AA4390" s="462"/>
      <c r="AB4390" s="465"/>
      <c r="AC4390" s="3568"/>
      <c r="AD4390" s="462"/>
      <c r="AE4390" s="2939"/>
      <c r="AF4390" s="663"/>
      <c r="AG4390" s="663"/>
      <c r="AH4390" s="156"/>
      <c r="AI4390" s="156"/>
      <c r="AJ4390" s="156"/>
      <c r="AK4390" s="156"/>
      <c r="AL4390" s="156"/>
      <c r="AM4390" s="156"/>
      <c r="AN4390" s="156"/>
      <c r="AO4390" s="156"/>
      <c r="AP4390" s="156"/>
      <c r="AQ4390" s="156"/>
      <c r="AR4390" s="156"/>
      <c r="AS4390" s="156"/>
      <c r="AT4390" s="156"/>
      <c r="AU4390" s="156"/>
      <c r="AV4390" s="156"/>
      <c r="AW4390" s="156"/>
      <c r="AX4390" s="156"/>
      <c r="AY4390" s="156"/>
      <c r="AZ4390" s="156"/>
      <c r="BA4390" s="156"/>
      <c r="BB4390" s="2828"/>
      <c r="BC4390" s="452"/>
      <c r="BD4390" s="2829"/>
      <c r="BE4390" s="2837"/>
      <c r="BF4390" s="156"/>
    </row>
    <row r="4391" spans="1:58" ht="14.5" customHeight="1" outlineLevel="1" x14ac:dyDescent="0.35">
      <c r="A4391" s="1664"/>
      <c r="B4391" s="2812"/>
      <c r="C4391" s="3077"/>
      <c r="D4391" s="3980"/>
      <c r="E4391" s="3883"/>
      <c r="F4391" s="3984" t="str">
        <f t="shared" si="461"/>
        <v>ASHP-SEER20-Replace_CAC_ElectricHeat_ER2_MF_CompE</v>
      </c>
      <c r="G4391" s="3984"/>
      <c r="H4391" s="3984"/>
      <c r="I4391" s="3984"/>
      <c r="J4391" s="3508" t="str">
        <f t="shared" si="462"/>
        <v>354651_2019_12_</v>
      </c>
      <c r="K4391" s="462"/>
      <c r="L4391" s="93"/>
      <c r="M4391" s="3031"/>
      <c r="N4391" s="963"/>
      <c r="O4391" s="106"/>
      <c r="P4391" s="702"/>
      <c r="Q4391" s="574"/>
      <c r="R4391" s="702"/>
      <c r="S4391" s="106"/>
      <c r="T4391" s="486"/>
      <c r="U4391" s="106"/>
      <c r="V4391" s="4129"/>
      <c r="W4391" s="2440"/>
      <c r="X4391" s="465"/>
      <c r="Y4391" s="465"/>
      <c r="Z4391" s="462"/>
      <c r="AA4391" s="462"/>
      <c r="AB4391" s="465"/>
      <c r="AC4391" s="3568"/>
      <c r="AD4391" s="462"/>
      <c r="AE4391" s="2939"/>
      <c r="AF4391" s="663"/>
      <c r="AG4391" s="663"/>
      <c r="AH4391" s="156"/>
      <c r="AI4391" s="156"/>
      <c r="AJ4391" s="156"/>
      <c r="AK4391" s="156"/>
      <c r="AL4391" s="156"/>
      <c r="AM4391" s="156"/>
      <c r="AN4391" s="156"/>
      <c r="AO4391" s="156"/>
      <c r="AP4391" s="156"/>
      <c r="AQ4391" s="156"/>
      <c r="AR4391" s="156"/>
      <c r="AS4391" s="156"/>
      <c r="AT4391" s="156"/>
      <c r="AU4391" s="156"/>
      <c r="AV4391" s="156"/>
      <c r="AW4391" s="156"/>
      <c r="AX4391" s="156"/>
      <c r="AY4391" s="156"/>
      <c r="AZ4391" s="156"/>
      <c r="BA4391" s="156"/>
      <c r="BB4391" s="2828"/>
      <c r="BC4391" s="452"/>
      <c r="BD4391" s="2829"/>
      <c r="BE4391" s="2837"/>
      <c r="BF4391" s="156"/>
    </row>
    <row r="4392" spans="1:58" ht="14.5" customHeight="1" outlineLevel="1" x14ac:dyDescent="0.35">
      <c r="A4392" s="1664"/>
      <c r="B4392" s="2812"/>
      <c r="C4392" s="3077"/>
      <c r="D4392" s="3980"/>
      <c r="E4392" s="3883"/>
      <c r="F4392" s="3984" t="str">
        <f t="shared" si="461"/>
        <v>ASHP-SEER20-Replace_CAC_NonElectricHeat_ER1_MF</v>
      </c>
      <c r="G4392" s="3984"/>
      <c r="H4392" s="3984"/>
      <c r="I4392" s="3984"/>
      <c r="J4392" s="3508" t="str">
        <f t="shared" si="462"/>
        <v>354660_2021_12_</v>
      </c>
      <c r="K4392" s="462">
        <f>(($R$1960*L4392)+$R$1949)-(($Q$1960*L4392)/((1+$R$1962)^($R$1963-1)))</f>
        <v>1925.8398012161661</v>
      </c>
      <c r="L4392" s="93">
        <f>VLOOKUP(J4392,$J$1940:$L$2132,3,FALSE)*M4392</f>
        <v>2.0150000000000001</v>
      </c>
      <c r="M4392" s="3031">
        <f>VLOOKUP(J4392,$J$3484:$K$3676,2,FALSE)</f>
        <v>0.65</v>
      </c>
      <c r="N4392" s="963"/>
      <c r="O4392" s="106"/>
      <c r="P4392" s="702"/>
      <c r="Q4392" s="574"/>
      <c r="R4392" s="702"/>
      <c r="S4392" s="106"/>
      <c r="T4392" s="486"/>
      <c r="U4392" s="106"/>
      <c r="V4392" s="4129"/>
      <c r="W4392" s="2440"/>
      <c r="X4392" s="465"/>
      <c r="Y4392" s="465"/>
      <c r="Z4392" s="462"/>
      <c r="AA4392" s="462"/>
      <c r="AB4392" s="465"/>
      <c r="AC4392" s="3569">
        <v>1925.8398012161661</v>
      </c>
      <c r="AD4392" s="462">
        <v>1925.8398012161661</v>
      </c>
      <c r="AE4392" s="2939"/>
      <c r="AF4392" s="663"/>
      <c r="AG4392" s="663"/>
      <c r="AH4392" s="156"/>
      <c r="AI4392" s="156"/>
      <c r="AJ4392" s="156"/>
      <c r="AK4392" s="156"/>
      <c r="AL4392" s="156"/>
      <c r="AM4392" s="156"/>
      <c r="AN4392" s="156"/>
      <c r="AO4392" s="156"/>
      <c r="AP4392" s="156"/>
      <c r="AQ4392" s="156"/>
      <c r="AR4392" s="156"/>
      <c r="AS4392" s="156"/>
      <c r="AT4392" s="156"/>
      <c r="AU4392" s="156"/>
      <c r="AV4392" s="156"/>
      <c r="AW4392" s="156"/>
      <c r="AX4392" s="156"/>
      <c r="AY4392" s="156"/>
      <c r="AZ4392" s="156"/>
      <c r="BA4392" s="156"/>
      <c r="BB4392" s="2828"/>
      <c r="BC4392" s="452"/>
      <c r="BD4392" s="2829"/>
      <c r="BE4392" s="2837"/>
      <c r="BF4392" s="156"/>
    </row>
    <row r="4393" spans="1:58" ht="14.5" customHeight="1" outlineLevel="1" x14ac:dyDescent="0.35">
      <c r="A4393" s="1664"/>
      <c r="B4393" s="2812"/>
      <c r="C4393" s="3077"/>
      <c r="D4393" s="3980"/>
      <c r="E4393" s="3883"/>
      <c r="F4393" s="3984" t="str">
        <f t="shared" si="461"/>
        <v>ASHP-SEER20-Replace_CAC_NonElectricHeat_ER1_MF</v>
      </c>
      <c r="G4393" s="3984"/>
      <c r="H4393" s="3984"/>
      <c r="I4393" s="3984"/>
      <c r="J4393" s="3508" t="str">
        <f t="shared" si="462"/>
        <v>354660_2021_12_</v>
      </c>
      <c r="K4393" s="462"/>
      <c r="L4393" s="93"/>
      <c r="M4393" s="3031"/>
      <c r="N4393" s="963"/>
      <c r="O4393" s="106"/>
      <c r="P4393" s="702"/>
      <c r="Q4393" s="574"/>
      <c r="R4393" s="702"/>
      <c r="S4393" s="106"/>
      <c r="T4393" s="486"/>
      <c r="U4393" s="106"/>
      <c r="V4393" s="4129"/>
      <c r="W4393" s="2440"/>
      <c r="X4393" s="465"/>
      <c r="Y4393" s="465"/>
      <c r="Z4393" s="462"/>
      <c r="AA4393" s="462"/>
      <c r="AB4393" s="465"/>
      <c r="AC4393" s="3568"/>
      <c r="AD4393" s="462"/>
      <c r="AE4393" s="2939"/>
      <c r="AF4393" s="663"/>
      <c r="AG4393" s="663"/>
      <c r="AH4393" s="156"/>
      <c r="AI4393" s="156"/>
      <c r="AJ4393" s="156"/>
      <c r="AK4393" s="156"/>
      <c r="AL4393" s="156"/>
      <c r="AM4393" s="156"/>
      <c r="AN4393" s="156"/>
      <c r="AO4393" s="156"/>
      <c r="AP4393" s="156"/>
      <c r="AQ4393" s="156"/>
      <c r="AR4393" s="156"/>
      <c r="AS4393" s="156"/>
      <c r="AT4393" s="156"/>
      <c r="AU4393" s="156"/>
      <c r="AV4393" s="156"/>
      <c r="AW4393" s="156"/>
      <c r="AX4393" s="156"/>
      <c r="AY4393" s="156"/>
      <c r="AZ4393" s="156"/>
      <c r="BA4393" s="156"/>
      <c r="BB4393" s="2828"/>
      <c r="BC4393" s="452"/>
      <c r="BD4393" s="2829"/>
      <c r="BE4393" s="2837"/>
      <c r="BF4393" s="156"/>
    </row>
    <row r="4394" spans="1:58" ht="14.5" customHeight="1" outlineLevel="1" x14ac:dyDescent="0.35">
      <c r="A4394" s="1664"/>
      <c r="B4394" s="2812"/>
      <c r="C4394" s="3077"/>
      <c r="D4394" s="3980"/>
      <c r="E4394" s="3883"/>
      <c r="F4394" s="3984" t="str">
        <f t="shared" si="461"/>
        <v>ASHP-SEER20-Replace_CAC_NonElectricHeat_ER2_MF</v>
      </c>
      <c r="G4394" s="3984"/>
      <c r="H4394" s="3984"/>
      <c r="I4394" s="3984"/>
      <c r="J4394" s="3508" t="str">
        <f t="shared" si="462"/>
        <v>354660_2021_12_</v>
      </c>
      <c r="K4394" s="462"/>
      <c r="L4394" s="93"/>
      <c r="M4394" s="3031"/>
      <c r="N4394" s="963"/>
      <c r="O4394" s="106"/>
      <c r="P4394" s="702"/>
      <c r="Q4394" s="574"/>
      <c r="R4394" s="702"/>
      <c r="S4394" s="106"/>
      <c r="T4394" s="486"/>
      <c r="U4394" s="106"/>
      <c r="V4394" s="4129"/>
      <c r="W4394" s="2440"/>
      <c r="X4394" s="465"/>
      <c r="Y4394" s="465"/>
      <c r="Z4394" s="462"/>
      <c r="AA4394" s="462"/>
      <c r="AB4394" s="465"/>
      <c r="AC4394" s="3568"/>
      <c r="AD4394" s="462"/>
      <c r="AE4394" s="2939"/>
      <c r="AF4394" s="663"/>
      <c r="AG4394" s="663"/>
      <c r="AH4394" s="156"/>
      <c r="AI4394" s="156"/>
      <c r="AJ4394" s="156"/>
      <c r="AK4394" s="156"/>
      <c r="AL4394" s="156"/>
      <c r="AM4394" s="156"/>
      <c r="AN4394" s="156"/>
      <c r="AO4394" s="156"/>
      <c r="AP4394" s="156"/>
      <c r="AQ4394" s="156"/>
      <c r="AR4394" s="156"/>
      <c r="AS4394" s="156"/>
      <c r="AT4394" s="156"/>
      <c r="AU4394" s="156"/>
      <c r="AV4394" s="156"/>
      <c r="AW4394" s="156"/>
      <c r="AX4394" s="156"/>
      <c r="AY4394" s="156"/>
      <c r="AZ4394" s="156"/>
      <c r="BA4394" s="156"/>
      <c r="BB4394" s="2828"/>
      <c r="BC4394" s="452"/>
      <c r="BD4394" s="2829"/>
      <c r="BE4394" s="2837"/>
      <c r="BF4394" s="156"/>
    </row>
    <row r="4395" spans="1:58" ht="14.5" customHeight="1" outlineLevel="1" x14ac:dyDescent="0.35">
      <c r="A4395" s="1664"/>
      <c r="B4395" s="2812"/>
      <c r="C4395" s="3077"/>
      <c r="D4395" s="3980"/>
      <c r="E4395" s="3883"/>
      <c r="F4395" s="3984" t="str">
        <f t="shared" si="461"/>
        <v>ASHP-SEER20-Replace_CAC_NonElectricHeat_ER2_MF</v>
      </c>
      <c r="G4395" s="3984"/>
      <c r="H4395" s="3984"/>
      <c r="I4395" s="3984"/>
      <c r="J4395" s="3508" t="str">
        <f t="shared" si="462"/>
        <v>354660_2021_12_</v>
      </c>
      <c r="K4395" s="462"/>
      <c r="L4395" s="93"/>
      <c r="M4395" s="3031"/>
      <c r="N4395" s="963"/>
      <c r="O4395" s="106"/>
      <c r="P4395" s="702"/>
      <c r="Q4395" s="574"/>
      <c r="R4395" s="702"/>
      <c r="S4395" s="106"/>
      <c r="T4395" s="486"/>
      <c r="U4395" s="106"/>
      <c r="V4395" s="4129"/>
      <c r="W4395" s="2440"/>
      <c r="X4395" s="465"/>
      <c r="Y4395" s="465"/>
      <c r="Z4395" s="462"/>
      <c r="AA4395" s="462"/>
      <c r="AB4395" s="465"/>
      <c r="AC4395" s="3568"/>
      <c r="AD4395" s="462"/>
      <c r="AE4395" s="2939"/>
      <c r="AF4395" s="663"/>
      <c r="AG4395" s="663"/>
      <c r="AH4395" s="156"/>
      <c r="AI4395" s="156"/>
      <c r="AJ4395" s="156"/>
      <c r="AK4395" s="156"/>
      <c r="AL4395" s="156"/>
      <c r="AM4395" s="156"/>
      <c r="AN4395" s="156"/>
      <c r="AO4395" s="156"/>
      <c r="AP4395" s="156"/>
      <c r="AQ4395" s="156"/>
      <c r="AR4395" s="156"/>
      <c r="AS4395" s="156"/>
      <c r="AT4395" s="156"/>
      <c r="AU4395" s="156"/>
      <c r="AV4395" s="156"/>
      <c r="AW4395" s="156"/>
      <c r="AX4395" s="156"/>
      <c r="AY4395" s="156"/>
      <c r="AZ4395" s="156"/>
      <c r="BA4395" s="156"/>
      <c r="BB4395" s="2828"/>
      <c r="BC4395" s="452"/>
      <c r="BD4395" s="2829"/>
      <c r="BE4395" s="2837"/>
      <c r="BF4395" s="156"/>
    </row>
    <row r="4396" spans="1:58" ht="14.5" customHeight="1" outlineLevel="1" x14ac:dyDescent="0.35">
      <c r="A4396" s="1664"/>
      <c r="B4396" s="2812"/>
      <c r="C4396" s="3077"/>
      <c r="D4396" s="3980"/>
      <c r="E4396" s="3883"/>
      <c r="F4396" s="3984" t="str">
        <f t="shared" si="461"/>
        <v>ASHP-SEER20-Replace_CAC_NonElectricHeat_ER1_MF_CompE</v>
      </c>
      <c r="G4396" s="3984"/>
      <c r="H4396" s="3984"/>
      <c r="I4396" s="3984"/>
      <c r="J4396" s="3508" t="str">
        <f t="shared" si="462"/>
        <v>354661_2021_12_</v>
      </c>
      <c r="K4396" s="462">
        <f>(($R$1960*L4396)+$R$1949)-(($Q$1960*L4396)/((1+$R$1962)^($R$1963-1)))</f>
        <v>1925.8398012161661</v>
      </c>
      <c r="L4396" s="93">
        <f>VLOOKUP(J4396,$J$1940:$L$2132,3,FALSE)*M4396</f>
        <v>2.0150000000000001</v>
      </c>
      <c r="M4396" s="3031">
        <f>VLOOKUP(J4396,$J$3484:$K$3676,2,FALSE)</f>
        <v>0.65</v>
      </c>
      <c r="N4396" s="963"/>
      <c r="O4396" s="106"/>
      <c r="P4396" s="702"/>
      <c r="Q4396" s="574"/>
      <c r="R4396" s="702"/>
      <c r="S4396" s="106"/>
      <c r="T4396" s="486"/>
      <c r="U4396" s="106"/>
      <c r="V4396" s="4129"/>
      <c r="W4396" s="2440"/>
      <c r="X4396" s="465"/>
      <c r="Y4396" s="465"/>
      <c r="Z4396" s="462"/>
      <c r="AA4396" s="462"/>
      <c r="AB4396" s="465"/>
      <c r="AC4396" s="3569">
        <v>1925.8398012161661</v>
      </c>
      <c r="AD4396" s="462">
        <v>1925.8398012161661</v>
      </c>
      <c r="AE4396" s="2939"/>
      <c r="AF4396" s="663"/>
      <c r="AG4396" s="663"/>
      <c r="AH4396" s="156"/>
      <c r="AI4396" s="156"/>
      <c r="AJ4396" s="156"/>
      <c r="AK4396" s="156"/>
      <c r="AL4396" s="156"/>
      <c r="AM4396" s="156"/>
      <c r="AN4396" s="156"/>
      <c r="AO4396" s="156"/>
      <c r="AP4396" s="156"/>
      <c r="AQ4396" s="156"/>
      <c r="AR4396" s="156"/>
      <c r="AS4396" s="156"/>
      <c r="AT4396" s="156"/>
      <c r="AU4396" s="156"/>
      <c r="AV4396" s="156"/>
      <c r="AW4396" s="156"/>
      <c r="AX4396" s="156"/>
      <c r="AY4396" s="156"/>
      <c r="AZ4396" s="156"/>
      <c r="BA4396" s="156"/>
      <c r="BB4396" s="2828"/>
      <c r="BC4396" s="452"/>
      <c r="BD4396" s="2829"/>
      <c r="BE4396" s="2837"/>
      <c r="BF4396" s="156"/>
    </row>
    <row r="4397" spans="1:58" ht="14.5" customHeight="1" outlineLevel="1" x14ac:dyDescent="0.35">
      <c r="A4397" s="1664"/>
      <c r="B4397" s="2812"/>
      <c r="C4397" s="3077"/>
      <c r="D4397" s="3980"/>
      <c r="E4397" s="3883"/>
      <c r="F4397" s="3984" t="str">
        <f t="shared" si="461"/>
        <v>ASHP-SEER20-Replace_CAC_NonElectricHeat_ER1_MF_CompE</v>
      </c>
      <c r="G4397" s="3984"/>
      <c r="H4397" s="3984"/>
      <c r="I4397" s="3984"/>
      <c r="J4397" s="3508" t="str">
        <f t="shared" si="462"/>
        <v>354661_2021_12_</v>
      </c>
      <c r="K4397" s="462"/>
      <c r="L4397" s="93"/>
      <c r="M4397" s="3031"/>
      <c r="N4397" s="963"/>
      <c r="O4397" s="106"/>
      <c r="P4397" s="702"/>
      <c r="Q4397" s="574"/>
      <c r="R4397" s="702"/>
      <c r="S4397" s="106"/>
      <c r="T4397" s="486"/>
      <c r="U4397" s="106"/>
      <c r="V4397" s="4129"/>
      <c r="W4397" s="2440"/>
      <c r="X4397" s="465"/>
      <c r="Y4397" s="465"/>
      <c r="Z4397" s="462"/>
      <c r="AA4397" s="462"/>
      <c r="AB4397" s="465"/>
      <c r="AC4397" s="3568"/>
      <c r="AD4397" s="462"/>
      <c r="AE4397" s="2939"/>
      <c r="AF4397" s="663"/>
      <c r="AG4397" s="663"/>
      <c r="AH4397" s="156"/>
      <c r="AI4397" s="156"/>
      <c r="AJ4397" s="156"/>
      <c r="AK4397" s="156"/>
      <c r="AL4397" s="156"/>
      <c r="AM4397" s="156"/>
      <c r="AN4397" s="156"/>
      <c r="AO4397" s="156"/>
      <c r="AP4397" s="156"/>
      <c r="AQ4397" s="156"/>
      <c r="AR4397" s="156"/>
      <c r="AS4397" s="156"/>
      <c r="AT4397" s="156"/>
      <c r="AU4397" s="156"/>
      <c r="AV4397" s="156"/>
      <c r="AW4397" s="156"/>
      <c r="AX4397" s="156"/>
      <c r="AY4397" s="156"/>
      <c r="AZ4397" s="156"/>
      <c r="BA4397" s="156"/>
      <c r="BB4397" s="2828"/>
      <c r="BC4397" s="452"/>
      <c r="BD4397" s="2829"/>
      <c r="BE4397" s="2837"/>
      <c r="BF4397" s="156"/>
    </row>
    <row r="4398" spans="1:58" ht="14.5" customHeight="1" outlineLevel="1" x14ac:dyDescent="0.35">
      <c r="A4398" s="1664"/>
      <c r="B4398" s="2812"/>
      <c r="C4398" s="3077"/>
      <c r="D4398" s="3980"/>
      <c r="E4398" s="3883"/>
      <c r="F4398" s="3984" t="str">
        <f t="shared" si="461"/>
        <v>ASHP-SEER20-Replace_CAC_NonElectricHeat_ER2_MF_CompE</v>
      </c>
      <c r="G4398" s="3984"/>
      <c r="H4398" s="3984"/>
      <c r="I4398" s="3984"/>
      <c r="J4398" s="3508" t="str">
        <f t="shared" si="462"/>
        <v>354661_2021_12_</v>
      </c>
      <c r="K4398" s="462"/>
      <c r="L4398" s="93"/>
      <c r="M4398" s="3031"/>
      <c r="N4398" s="963"/>
      <c r="O4398" s="106"/>
      <c r="P4398" s="702"/>
      <c r="Q4398" s="574"/>
      <c r="R4398" s="702"/>
      <c r="S4398" s="106"/>
      <c r="T4398" s="486"/>
      <c r="U4398" s="106"/>
      <c r="V4398" s="4129"/>
      <c r="W4398" s="2440"/>
      <c r="X4398" s="465"/>
      <c r="Y4398" s="465"/>
      <c r="Z4398" s="462"/>
      <c r="AA4398" s="462"/>
      <c r="AB4398" s="465"/>
      <c r="AC4398" s="3568"/>
      <c r="AD4398" s="462"/>
      <c r="AE4398" s="2939"/>
      <c r="AF4398" s="663"/>
      <c r="AG4398" s="663"/>
      <c r="AH4398" s="156"/>
      <c r="AI4398" s="156"/>
      <c r="AJ4398" s="156"/>
      <c r="AK4398" s="156"/>
      <c r="AL4398" s="156"/>
      <c r="AM4398" s="156"/>
      <c r="AN4398" s="156"/>
      <c r="AO4398" s="156"/>
      <c r="AP4398" s="156"/>
      <c r="AQ4398" s="156"/>
      <c r="AR4398" s="156"/>
      <c r="AS4398" s="156"/>
      <c r="AT4398" s="156"/>
      <c r="AU4398" s="156"/>
      <c r="AV4398" s="156"/>
      <c r="AW4398" s="156"/>
      <c r="AX4398" s="156"/>
      <c r="AY4398" s="156"/>
      <c r="AZ4398" s="156"/>
      <c r="BA4398" s="156"/>
      <c r="BB4398" s="2828"/>
      <c r="BC4398" s="452"/>
      <c r="BD4398" s="2829"/>
      <c r="BE4398" s="2837"/>
      <c r="BF4398" s="156"/>
    </row>
    <row r="4399" spans="1:58" ht="14.5" customHeight="1" outlineLevel="1" x14ac:dyDescent="0.35">
      <c r="A4399" s="1664"/>
      <c r="B4399" s="2812"/>
      <c r="C4399" s="3077"/>
      <c r="D4399" s="3980"/>
      <c r="E4399" s="3883"/>
      <c r="F4399" s="3984" t="str">
        <f t="shared" si="461"/>
        <v>ASHP-SEER20-Replace_CAC_NonElectricHeat_ER2_MF_CompE</v>
      </c>
      <c r="G4399" s="3984"/>
      <c r="H4399" s="3984"/>
      <c r="I4399" s="3984"/>
      <c r="J4399" s="3508" t="str">
        <f t="shared" si="462"/>
        <v>354661_2021_12_</v>
      </c>
      <c r="K4399" s="462"/>
      <c r="L4399" s="93"/>
      <c r="M4399" s="3031"/>
      <c r="N4399" s="963"/>
      <c r="O4399" s="106"/>
      <c r="P4399" s="702"/>
      <c r="Q4399" s="574"/>
      <c r="R4399" s="702"/>
      <c r="S4399" s="106"/>
      <c r="T4399" s="486"/>
      <c r="U4399" s="106"/>
      <c r="V4399" s="4129"/>
      <c r="W4399" s="2440"/>
      <c r="X4399" s="465"/>
      <c r="Y4399" s="465"/>
      <c r="Z4399" s="462"/>
      <c r="AA4399" s="462"/>
      <c r="AB4399" s="465"/>
      <c r="AC4399" s="3568"/>
      <c r="AD4399" s="462"/>
      <c r="AE4399" s="2939"/>
      <c r="AF4399" s="663"/>
      <c r="AG4399" s="663"/>
      <c r="AH4399" s="156"/>
      <c r="AI4399" s="156"/>
      <c r="AJ4399" s="156"/>
      <c r="AK4399" s="156"/>
      <c r="AL4399" s="156"/>
      <c r="AM4399" s="156"/>
      <c r="AN4399" s="156"/>
      <c r="AO4399" s="156"/>
      <c r="AP4399" s="156"/>
      <c r="AQ4399" s="156"/>
      <c r="AR4399" s="156"/>
      <c r="AS4399" s="156"/>
      <c r="AT4399" s="156"/>
      <c r="AU4399" s="156"/>
      <c r="AV4399" s="156"/>
      <c r="AW4399" s="156"/>
      <c r="AX4399" s="156"/>
      <c r="AY4399" s="156"/>
      <c r="AZ4399" s="156"/>
      <c r="BA4399" s="156"/>
      <c r="BB4399" s="2828"/>
      <c r="BC4399" s="452"/>
      <c r="BD4399" s="2829"/>
      <c r="BE4399" s="2837"/>
      <c r="BF4399" s="156"/>
    </row>
    <row r="4400" spans="1:58" ht="14.5" customHeight="1" outlineLevel="1" x14ac:dyDescent="0.35">
      <c r="A4400" s="1664"/>
      <c r="B4400" s="2812"/>
      <c r="C4400" s="3077"/>
      <c r="D4400" s="3980"/>
      <c r="E4400" s="3883"/>
      <c r="F4400" s="3984" t="str">
        <f t="shared" si="461"/>
        <v>ASHP-SEER20_ER1_MF</v>
      </c>
      <c r="G4400" s="3984"/>
      <c r="H4400" s="3984"/>
      <c r="I4400" s="3984"/>
      <c r="J4400" s="3508" t="str">
        <f t="shared" si="462"/>
        <v>354700_2019_12_</v>
      </c>
      <c r="K4400" s="462">
        <f>(($R$1960*L4400)+$R$1949)-(($Q$1960*L4400)/((1+$R$1962)^($R$1963-1)))</f>
        <v>1956.9017238752731</v>
      </c>
      <c r="L4400" s="93">
        <f>VLOOKUP(J4400,$J$1940:$L$2132,3,FALSE)*M4400</f>
        <v>2.145</v>
      </c>
      <c r="M4400" s="3031">
        <f>VLOOKUP(J4400,$J$3484:$K$3676,2,FALSE)</f>
        <v>0.65</v>
      </c>
      <c r="N4400" s="963"/>
      <c r="O4400" s="106"/>
      <c r="P4400" s="702"/>
      <c r="Q4400" s="574"/>
      <c r="R4400" s="702"/>
      <c r="S4400" s="106"/>
      <c r="T4400" s="486"/>
      <c r="U4400" s="106"/>
      <c r="V4400" s="4129"/>
      <c r="W4400" s="2440">
        <v>14804.699584437089</v>
      </c>
      <c r="X4400" s="465">
        <f>(X$2108/12000)*$Q$1949*X$3652</f>
        <v>4635.7602716258207</v>
      </c>
      <c r="Y4400" s="465">
        <v>1763.8516619658126</v>
      </c>
      <c r="Z4400" s="462">
        <v>1763.8516619658126</v>
      </c>
      <c r="AA4400" s="462">
        <v>1763.8516619658126</v>
      </c>
      <c r="AB4400" s="465">
        <v>1956.9017238752731</v>
      </c>
      <c r="AC4400" s="3568">
        <v>1956.9017238752731</v>
      </c>
      <c r="AD4400" s="462">
        <v>1956.9017238752731</v>
      </c>
      <c r="AE4400" s="2939"/>
      <c r="AF4400" s="663"/>
      <c r="AG4400" s="663"/>
      <c r="AH4400" s="156"/>
      <c r="AI4400" s="156"/>
      <c r="AJ4400" s="156"/>
      <c r="AK4400" s="156"/>
      <c r="AL4400" s="156"/>
      <c r="AM4400" s="156"/>
      <c r="AN4400" s="156"/>
      <c r="AO4400" s="156"/>
      <c r="AP4400" s="156"/>
      <c r="AQ4400" s="156"/>
      <c r="AR4400" s="156"/>
      <c r="AS4400" s="156"/>
      <c r="AT4400" s="156"/>
      <c r="AU4400" s="156"/>
      <c r="AV4400" s="156"/>
      <c r="AW4400" s="156"/>
      <c r="AX4400" s="156"/>
      <c r="AY4400" s="156"/>
      <c r="AZ4400" s="156"/>
      <c r="BA4400" s="156"/>
      <c r="BB4400" s="2828"/>
      <c r="BC4400" s="452"/>
      <c r="BD4400" s="2829"/>
      <c r="BE4400" s="2837"/>
      <c r="BF4400" s="156"/>
    </row>
    <row r="4401" spans="1:58" ht="14.5" customHeight="1" outlineLevel="1" x14ac:dyDescent="0.35">
      <c r="A4401" s="1664"/>
      <c r="B4401" s="2812"/>
      <c r="C4401" s="3077"/>
      <c r="D4401" s="3980"/>
      <c r="E4401" s="3883"/>
      <c r="F4401" s="3984" t="str">
        <f t="shared" si="461"/>
        <v>ASHP-SEER20_ER1_MF</v>
      </c>
      <c r="G4401" s="3984"/>
      <c r="H4401" s="3984"/>
      <c r="I4401" s="3984"/>
      <c r="J4401" s="3508" t="str">
        <f t="shared" si="462"/>
        <v>354700_2019_12_</v>
      </c>
      <c r="K4401" s="462"/>
      <c r="L4401" s="93" t="str">
        <f>IF(K4401&gt;0,VLOOKUP(J4401,$J$1940:$L$2132,3,FALSE),"")</f>
        <v/>
      </c>
      <c r="M4401" s="3031" t="str">
        <f>IF(K4401&gt;0,VLOOKUP(J4401,$J$3484:$K$3676,2,FALSE),"")</f>
        <v/>
      </c>
      <c r="N4401" s="963"/>
      <c r="O4401" s="106"/>
      <c r="P4401" s="702"/>
      <c r="Q4401" s="574"/>
      <c r="R4401" s="702"/>
      <c r="S4401" s="106"/>
      <c r="T4401" s="486"/>
      <c r="U4401" s="106"/>
      <c r="V4401" s="4129"/>
      <c r="W4401" s="2440"/>
      <c r="X4401" s="465"/>
      <c r="Y4401" s="465"/>
      <c r="Z4401" s="462"/>
      <c r="AA4401" s="462"/>
      <c r="AB4401" s="465"/>
      <c r="AC4401" s="3568"/>
      <c r="AD4401" s="462"/>
      <c r="AE4401" s="2939"/>
      <c r="AF4401" s="663"/>
      <c r="AG4401" s="663"/>
      <c r="AH4401" s="156"/>
      <c r="AI4401" s="156"/>
      <c r="AJ4401" s="156"/>
      <c r="AK4401" s="156"/>
      <c r="AL4401" s="156"/>
      <c r="AM4401" s="156"/>
      <c r="AN4401" s="156"/>
      <c r="AO4401" s="156"/>
      <c r="AP4401" s="156"/>
      <c r="AQ4401" s="156"/>
      <c r="AR4401" s="156"/>
      <c r="AS4401" s="156"/>
      <c r="AT4401" s="156"/>
      <c r="AU4401" s="156"/>
      <c r="AV4401" s="156"/>
      <c r="AW4401" s="156"/>
      <c r="AX4401" s="156"/>
      <c r="AY4401" s="156"/>
      <c r="AZ4401" s="156"/>
      <c r="BA4401" s="156"/>
      <c r="BB4401" s="2828"/>
      <c r="BC4401" s="452"/>
      <c r="BD4401" s="2829"/>
      <c r="BE4401" s="2837"/>
      <c r="BF4401" s="156"/>
    </row>
    <row r="4402" spans="1:58" ht="14.5" customHeight="1" outlineLevel="1" x14ac:dyDescent="0.35">
      <c r="A4402" s="1664"/>
      <c r="B4402" s="2812"/>
      <c r="C4402" s="3077"/>
      <c r="D4402" s="3980"/>
      <c r="E4402" s="3883"/>
      <c r="F4402" s="3984" t="str">
        <f t="shared" si="461"/>
        <v>ASHP-SEER20_ER2_MF</v>
      </c>
      <c r="G4402" s="3984"/>
      <c r="H4402" s="3984"/>
      <c r="I4402" s="3984"/>
      <c r="J4402" s="3508" t="str">
        <f t="shared" si="462"/>
        <v>354700_2019_12_</v>
      </c>
      <c r="K4402" s="462"/>
      <c r="L4402" s="93" t="str">
        <f>IF(K4402&gt;0,VLOOKUP(J4402,$J$1940:$L$2132,3,FALSE),"")</f>
        <v/>
      </c>
      <c r="M4402" s="3031" t="str">
        <f>IF(K4402&gt;0,VLOOKUP(J4402,$J$3484:$K$3676,2,FALSE),"")</f>
        <v/>
      </c>
      <c r="N4402" s="963"/>
      <c r="O4402" s="106"/>
      <c r="P4402" s="702"/>
      <c r="Q4402" s="574"/>
      <c r="R4402" s="702"/>
      <c r="S4402" s="106"/>
      <c r="T4402" s="486"/>
      <c r="U4402" s="106"/>
      <c r="V4402" s="4129"/>
      <c r="W4402" s="2440"/>
      <c r="X4402" s="465"/>
      <c r="Y4402" s="465"/>
      <c r="Z4402" s="462"/>
      <c r="AA4402" s="462"/>
      <c r="AB4402" s="465"/>
      <c r="AC4402" s="3568"/>
      <c r="AD4402" s="462"/>
      <c r="AE4402" s="2939"/>
      <c r="AF4402" s="663"/>
      <c r="AG4402" s="663"/>
      <c r="AH4402" s="156"/>
      <c r="AI4402" s="156"/>
      <c r="AJ4402" s="156"/>
      <c r="AK4402" s="156"/>
      <c r="AL4402" s="156"/>
      <c r="AM4402" s="156"/>
      <c r="AN4402" s="156"/>
      <c r="AO4402" s="156"/>
      <c r="AP4402" s="156"/>
      <c r="AQ4402" s="156"/>
      <c r="AR4402" s="156"/>
      <c r="AS4402" s="156"/>
      <c r="AT4402" s="156"/>
      <c r="AU4402" s="156"/>
      <c r="AV4402" s="156"/>
      <c r="AW4402" s="156"/>
      <c r="AX4402" s="156"/>
      <c r="AY4402" s="156"/>
      <c r="AZ4402" s="156"/>
      <c r="BA4402" s="156"/>
      <c r="BB4402" s="2828"/>
      <c r="BC4402" s="452"/>
      <c r="BD4402" s="2829"/>
      <c r="BE4402" s="2837"/>
      <c r="BF4402" s="156"/>
    </row>
    <row r="4403" spans="1:58" ht="14.5" customHeight="1" outlineLevel="1" x14ac:dyDescent="0.35">
      <c r="A4403" s="1664"/>
      <c r="B4403" s="2812"/>
      <c r="C4403" s="3077"/>
      <c r="D4403" s="3980"/>
      <c r="E4403" s="3883"/>
      <c r="F4403" s="3984" t="str">
        <f t="shared" si="461"/>
        <v>ASHP-SEER20_ER2_MF</v>
      </c>
      <c r="G4403" s="3984"/>
      <c r="H4403" s="3984"/>
      <c r="I4403" s="3984"/>
      <c r="J4403" s="3508" t="str">
        <f t="shared" si="462"/>
        <v>354700_2019_12_</v>
      </c>
      <c r="K4403" s="462"/>
      <c r="L4403" s="93" t="str">
        <f>IF(K4403&gt;0,VLOOKUP(J4403,$J$1940:$L$2132,3,FALSE),"")</f>
        <v/>
      </c>
      <c r="M4403" s="3031" t="str">
        <f>IF(K4403&gt;0,VLOOKUP(J4403,$J$3484:$K$3676,2,FALSE),"")</f>
        <v/>
      </c>
      <c r="N4403" s="963"/>
      <c r="O4403" s="106"/>
      <c r="P4403" s="702"/>
      <c r="Q4403" s="574"/>
      <c r="R4403" s="702"/>
      <c r="S4403" s="106"/>
      <c r="T4403" s="486"/>
      <c r="U4403" s="106"/>
      <c r="V4403" s="4129"/>
      <c r="W4403" s="2440"/>
      <c r="X4403" s="465"/>
      <c r="Y4403" s="465"/>
      <c r="Z4403" s="462"/>
      <c r="AA4403" s="462"/>
      <c r="AB4403" s="465"/>
      <c r="AC4403" s="3568"/>
      <c r="AD4403" s="462"/>
      <c r="AE4403" s="2939"/>
      <c r="AF4403" s="663"/>
      <c r="AG4403" s="663"/>
      <c r="AH4403" s="156"/>
      <c r="AI4403" s="156"/>
      <c r="AJ4403" s="156"/>
      <c r="AK4403" s="156"/>
      <c r="AL4403" s="156"/>
      <c r="AM4403" s="156"/>
      <c r="AN4403" s="156"/>
      <c r="AO4403" s="156"/>
      <c r="AP4403" s="156"/>
      <c r="AQ4403" s="156"/>
      <c r="AR4403" s="156"/>
      <c r="AS4403" s="156"/>
      <c r="AT4403" s="156"/>
      <c r="AU4403" s="156"/>
      <c r="AV4403" s="156"/>
      <c r="AW4403" s="156"/>
      <c r="AX4403" s="156"/>
      <c r="AY4403" s="156"/>
      <c r="AZ4403" s="156"/>
      <c r="BA4403" s="156"/>
      <c r="BB4403" s="2828"/>
      <c r="BC4403" s="452"/>
      <c r="BD4403" s="2829"/>
      <c r="BE4403" s="2837"/>
      <c r="BF4403" s="156"/>
    </row>
    <row r="4404" spans="1:58" ht="14.5" customHeight="1" outlineLevel="1" x14ac:dyDescent="0.35">
      <c r="A4404" s="1664"/>
      <c r="B4404" s="2812"/>
      <c r="C4404" s="3077"/>
      <c r="D4404" s="3980"/>
      <c r="E4404" s="3883"/>
      <c r="F4404" s="3984" t="str">
        <f t="shared" si="461"/>
        <v>ASHP-SEER20_ER1_MF_CompE</v>
      </c>
      <c r="G4404" s="3984"/>
      <c r="H4404" s="3984"/>
      <c r="I4404" s="3984"/>
      <c r="J4404" s="3508" t="str">
        <f t="shared" si="462"/>
        <v>354701_2019_12_</v>
      </c>
      <c r="K4404" s="462">
        <f>(($R$1960*L4404)+$R$1949)-(($Q$1960*L4404)/((1+$R$1962)^($R$1963-1)))</f>
        <v>1956.9017238752731</v>
      </c>
      <c r="L4404" s="93">
        <f>VLOOKUP(J4404,$J$1940:$L$2132,3,FALSE)*M4404</f>
        <v>2.145</v>
      </c>
      <c r="M4404" s="3031">
        <f>VLOOKUP(J4404,$J$3484:$K$3676,2,FALSE)</f>
        <v>0.65</v>
      </c>
      <c r="N4404" s="963"/>
      <c r="O4404" s="106"/>
      <c r="P4404" s="702"/>
      <c r="Q4404" s="574"/>
      <c r="R4404" s="702"/>
      <c r="S4404" s="106"/>
      <c r="T4404" s="486"/>
      <c r="U4404" s="106"/>
      <c r="V4404" s="4129"/>
      <c r="W4404" s="2440"/>
      <c r="X4404" s="465"/>
      <c r="Y4404" s="465"/>
      <c r="Z4404" s="462"/>
      <c r="AA4404" s="462"/>
      <c r="AB4404" s="465"/>
      <c r="AC4404" s="3569">
        <v>1956.9017238752731</v>
      </c>
      <c r="AD4404" s="462">
        <v>1956.9017238752731</v>
      </c>
      <c r="AE4404" s="2939"/>
      <c r="AF4404" s="663"/>
      <c r="AG4404" s="663"/>
      <c r="AH4404" s="156"/>
      <c r="AI4404" s="156"/>
      <c r="AJ4404" s="156"/>
      <c r="AK4404" s="156"/>
      <c r="AL4404" s="156"/>
      <c r="AM4404" s="156"/>
      <c r="AN4404" s="156"/>
      <c r="AO4404" s="156"/>
      <c r="AP4404" s="156"/>
      <c r="AQ4404" s="156"/>
      <c r="AR4404" s="156"/>
      <c r="AS4404" s="156"/>
      <c r="AT4404" s="156"/>
      <c r="AU4404" s="156"/>
      <c r="AV4404" s="156"/>
      <c r="AW4404" s="156"/>
      <c r="AX4404" s="156"/>
      <c r="AY4404" s="156"/>
      <c r="AZ4404" s="156"/>
      <c r="BA4404" s="156"/>
      <c r="BB4404" s="2828"/>
      <c r="BC4404" s="452"/>
      <c r="BD4404" s="2829"/>
      <c r="BE4404" s="2837"/>
      <c r="BF4404" s="156"/>
    </row>
    <row r="4405" spans="1:58" ht="14.5" customHeight="1" outlineLevel="1" x14ac:dyDescent="0.35">
      <c r="A4405" s="1664"/>
      <c r="B4405" s="2812"/>
      <c r="C4405" s="3077"/>
      <c r="D4405" s="3980"/>
      <c r="E4405" s="3883"/>
      <c r="F4405" s="3984" t="str">
        <f t="shared" si="461"/>
        <v>ASHP-SEER20_ER1_MF_CompE</v>
      </c>
      <c r="G4405" s="3984"/>
      <c r="H4405" s="3984"/>
      <c r="I4405" s="3984"/>
      <c r="J4405" s="3508" t="str">
        <f t="shared" si="462"/>
        <v>354701_2019_12_</v>
      </c>
      <c r="K4405" s="462"/>
      <c r="L4405" s="93"/>
      <c r="M4405" s="3031"/>
      <c r="N4405" s="963"/>
      <c r="O4405" s="106"/>
      <c r="P4405" s="702"/>
      <c r="Q4405" s="574"/>
      <c r="R4405" s="702"/>
      <c r="S4405" s="106"/>
      <c r="T4405" s="486"/>
      <c r="U4405" s="106"/>
      <c r="V4405" s="4129"/>
      <c r="W4405" s="2440"/>
      <c r="X4405" s="465"/>
      <c r="Y4405" s="465"/>
      <c r="Z4405" s="462"/>
      <c r="AA4405" s="462"/>
      <c r="AB4405" s="465"/>
      <c r="AC4405" s="3568"/>
      <c r="AD4405" s="462"/>
      <c r="AE4405" s="2939"/>
      <c r="AF4405" s="663"/>
      <c r="AG4405" s="663"/>
      <c r="AH4405" s="156"/>
      <c r="AI4405" s="156"/>
      <c r="AJ4405" s="156"/>
      <c r="AK4405" s="156"/>
      <c r="AL4405" s="156"/>
      <c r="AM4405" s="156"/>
      <c r="AN4405" s="156"/>
      <c r="AO4405" s="156"/>
      <c r="AP4405" s="156"/>
      <c r="AQ4405" s="156"/>
      <c r="AR4405" s="156"/>
      <c r="AS4405" s="156"/>
      <c r="AT4405" s="156"/>
      <c r="AU4405" s="156"/>
      <c r="AV4405" s="156"/>
      <c r="AW4405" s="156"/>
      <c r="AX4405" s="156"/>
      <c r="AY4405" s="156"/>
      <c r="AZ4405" s="156"/>
      <c r="BA4405" s="156"/>
      <c r="BB4405" s="2828"/>
      <c r="BC4405" s="452"/>
      <c r="BD4405" s="2829"/>
      <c r="BE4405" s="2837"/>
      <c r="BF4405" s="156"/>
    </row>
    <row r="4406" spans="1:58" ht="14.5" customHeight="1" outlineLevel="1" x14ac:dyDescent="0.35">
      <c r="A4406" s="1664"/>
      <c r="B4406" s="2812"/>
      <c r="C4406" s="3077"/>
      <c r="D4406" s="3980"/>
      <c r="E4406" s="3883"/>
      <c r="F4406" s="3984" t="str">
        <f t="shared" si="461"/>
        <v>ASHP-SEER20_ER2_MF_CompE</v>
      </c>
      <c r="G4406" s="3984"/>
      <c r="H4406" s="3984"/>
      <c r="I4406" s="3984"/>
      <c r="J4406" s="3508" t="str">
        <f t="shared" si="462"/>
        <v>354701_2019_12_</v>
      </c>
      <c r="K4406" s="462"/>
      <c r="L4406" s="93"/>
      <c r="M4406" s="3031"/>
      <c r="N4406" s="963"/>
      <c r="O4406" s="106"/>
      <c r="P4406" s="702"/>
      <c r="Q4406" s="574"/>
      <c r="R4406" s="702"/>
      <c r="S4406" s="106"/>
      <c r="T4406" s="486"/>
      <c r="U4406" s="106"/>
      <c r="V4406" s="4129"/>
      <c r="W4406" s="2440"/>
      <c r="X4406" s="465"/>
      <c r="Y4406" s="465"/>
      <c r="Z4406" s="462"/>
      <c r="AA4406" s="462"/>
      <c r="AB4406" s="465"/>
      <c r="AC4406" s="3568"/>
      <c r="AD4406" s="462"/>
      <c r="AE4406" s="2939"/>
      <c r="AF4406" s="663"/>
      <c r="AG4406" s="663"/>
      <c r="AH4406" s="156"/>
      <c r="AI4406" s="156"/>
      <c r="AJ4406" s="156"/>
      <c r="AK4406" s="156"/>
      <c r="AL4406" s="156"/>
      <c r="AM4406" s="156"/>
      <c r="AN4406" s="156"/>
      <c r="AO4406" s="156"/>
      <c r="AP4406" s="156"/>
      <c r="AQ4406" s="156"/>
      <c r="AR4406" s="156"/>
      <c r="AS4406" s="156"/>
      <c r="AT4406" s="156"/>
      <c r="AU4406" s="156"/>
      <c r="AV4406" s="156"/>
      <c r="AW4406" s="156"/>
      <c r="AX4406" s="156"/>
      <c r="AY4406" s="156"/>
      <c r="AZ4406" s="156"/>
      <c r="BA4406" s="156"/>
      <c r="BB4406" s="2828"/>
      <c r="BC4406" s="452"/>
      <c r="BD4406" s="2829"/>
      <c r="BE4406" s="2837"/>
      <c r="BF4406" s="156"/>
    </row>
    <row r="4407" spans="1:58" ht="14.5" customHeight="1" outlineLevel="1" x14ac:dyDescent="0.35">
      <c r="A4407" s="1664"/>
      <c r="B4407" s="2812"/>
      <c r="C4407" s="3077"/>
      <c r="D4407" s="3980"/>
      <c r="E4407" s="3883"/>
      <c r="F4407" s="3984" t="str">
        <f t="shared" si="461"/>
        <v>ASHP-SEER20_ER2_MF_CompE</v>
      </c>
      <c r="G4407" s="3984"/>
      <c r="H4407" s="3984"/>
      <c r="I4407" s="3984"/>
      <c r="J4407" s="3508" t="str">
        <f t="shared" si="462"/>
        <v>354701_2019_12_</v>
      </c>
      <c r="K4407" s="462"/>
      <c r="L4407" s="93"/>
      <c r="M4407" s="3031"/>
      <c r="N4407" s="963"/>
      <c r="O4407" s="106"/>
      <c r="P4407" s="702"/>
      <c r="Q4407" s="574"/>
      <c r="R4407" s="702"/>
      <c r="S4407" s="106"/>
      <c r="T4407" s="486"/>
      <c r="U4407" s="106"/>
      <c r="V4407" s="4129"/>
      <c r="W4407" s="2440"/>
      <c r="X4407" s="465"/>
      <c r="Y4407" s="465"/>
      <c r="Z4407" s="462"/>
      <c r="AA4407" s="462"/>
      <c r="AB4407" s="465"/>
      <c r="AC4407" s="3568"/>
      <c r="AD4407" s="462"/>
      <c r="AE4407" s="2939"/>
      <c r="AF4407" s="663"/>
      <c r="AG4407" s="663"/>
      <c r="AH4407" s="156"/>
      <c r="AI4407" s="156"/>
      <c r="AJ4407" s="156"/>
      <c r="AK4407" s="156"/>
      <c r="AL4407" s="156"/>
      <c r="AM4407" s="156"/>
      <c r="AN4407" s="156"/>
      <c r="AO4407" s="156"/>
      <c r="AP4407" s="156"/>
      <c r="AQ4407" s="156"/>
      <c r="AR4407" s="156"/>
      <c r="AS4407" s="156"/>
      <c r="AT4407" s="156"/>
      <c r="AU4407" s="156"/>
      <c r="AV4407" s="156"/>
      <c r="AW4407" s="156"/>
      <c r="AX4407" s="156"/>
      <c r="AY4407" s="156"/>
      <c r="AZ4407" s="156"/>
      <c r="BA4407" s="156"/>
      <c r="BB4407" s="2828"/>
      <c r="BC4407" s="452"/>
      <c r="BD4407" s="2829"/>
      <c r="BE4407" s="2837"/>
      <c r="BF4407" s="156"/>
    </row>
    <row r="4408" spans="1:58" ht="14.5" customHeight="1" outlineLevel="1" x14ac:dyDescent="0.35">
      <c r="A4408" s="1664"/>
      <c r="B4408" s="2812"/>
      <c r="C4408" s="3077"/>
      <c r="D4408" s="3980"/>
      <c r="E4408" s="3883"/>
      <c r="F4408" s="3984" t="str">
        <f t="shared" si="461"/>
        <v>ASHP-SEER21_ER1_SF</v>
      </c>
      <c r="G4408" s="3984"/>
      <c r="H4408" s="3984"/>
      <c r="I4408" s="3984"/>
      <c r="J4408" s="3508" t="str">
        <f t="shared" si="462"/>
        <v>354750_2021_12_</v>
      </c>
      <c r="K4408" s="465">
        <f>(($R$1960*L4408)+$R$1950)-(($Q$1960*L4408)/((1+$R$1962)^($R$1963-1)))</f>
        <v>2490.8675578660959</v>
      </c>
      <c r="L4408" s="96">
        <f>VLOOKUP(J4408,$J$1940:$L$2132,3,FALSE)*M4408</f>
        <v>3.3520972177188546</v>
      </c>
      <c r="M4408" s="3031">
        <f>VLOOKUP(J4408,$J$3484:$K$3676,2,FALSE)</f>
        <v>1</v>
      </c>
      <c r="N4408" s="963"/>
      <c r="O4408" s="106"/>
      <c r="P4408" s="702"/>
      <c r="Q4408" s="574"/>
      <c r="R4408" s="702"/>
      <c r="S4408" s="106"/>
      <c r="T4408" s="486"/>
      <c r="U4408" s="106"/>
      <c r="V4408" s="4129"/>
      <c r="W4408" s="2440">
        <v>14804.699584437089</v>
      </c>
      <c r="X4408" s="465">
        <f>(X$2112/12000)*$Q$1950*X$3656</f>
        <v>7942.2360594243391</v>
      </c>
      <c r="Y4408" s="465">
        <v>2089.0025568704818</v>
      </c>
      <c r="Z4408" s="462">
        <v>2089.0025568704818</v>
      </c>
      <c r="AA4408" s="462">
        <v>2089.0025568704818</v>
      </c>
      <c r="AB4408" s="465">
        <v>2478.4195598081137</v>
      </c>
      <c r="AC4408" s="3569">
        <v>2498.6373792903719</v>
      </c>
      <c r="AD4408" s="465">
        <v>2490.8675578660959</v>
      </c>
      <c r="AE4408" s="2939"/>
      <c r="AF4408" s="663"/>
      <c r="AG4408" s="663"/>
      <c r="AH4408" s="156"/>
      <c r="AI4408" s="156"/>
      <c r="AJ4408" s="156"/>
      <c r="AK4408" s="156"/>
      <c r="AL4408" s="156"/>
      <c r="AM4408" s="156"/>
      <c r="AN4408" s="156"/>
      <c r="AO4408" s="156"/>
      <c r="AP4408" s="156"/>
      <c r="AQ4408" s="156"/>
      <c r="AR4408" s="156"/>
      <c r="AS4408" s="156"/>
      <c r="AT4408" s="156"/>
      <c r="AU4408" s="156"/>
      <c r="AV4408" s="156"/>
      <c r="AW4408" s="156"/>
      <c r="AX4408" s="156"/>
      <c r="AY4408" s="156"/>
      <c r="AZ4408" s="156"/>
      <c r="BA4408" s="156"/>
      <c r="BB4408" s="2828"/>
      <c r="BC4408" s="452"/>
      <c r="BD4408" s="2829"/>
      <c r="BE4408" s="2837"/>
      <c r="BF4408" s="156"/>
    </row>
    <row r="4409" spans="1:58" ht="14.5" customHeight="1" outlineLevel="1" x14ac:dyDescent="0.35">
      <c r="A4409" s="1664"/>
      <c r="B4409" s="2812"/>
      <c r="C4409" s="3077"/>
      <c r="D4409" s="3980"/>
      <c r="E4409" s="3883"/>
      <c r="F4409" s="3984" t="str">
        <f t="shared" si="461"/>
        <v>ASHP-SEER21_ER1_SF</v>
      </c>
      <c r="G4409" s="3984"/>
      <c r="H4409" s="3984"/>
      <c r="I4409" s="3984"/>
      <c r="J4409" s="3508" t="str">
        <f t="shared" si="462"/>
        <v>354750_2021_12_</v>
      </c>
      <c r="K4409" s="462"/>
      <c r="L4409" s="93" t="str">
        <f>IF(K4409&gt;0,VLOOKUP(J4409,$J$1940:$L$2132,3,FALSE),"")</f>
        <v/>
      </c>
      <c r="M4409" s="3031" t="str">
        <f>IF(K4409&gt;0,VLOOKUP(J4409,$J$3484:$K$3676,2,FALSE),"")</f>
        <v/>
      </c>
      <c r="N4409" s="963"/>
      <c r="O4409" s="106"/>
      <c r="P4409" s="702"/>
      <c r="Q4409" s="574"/>
      <c r="R4409" s="702"/>
      <c r="S4409" s="106"/>
      <c r="T4409" s="486"/>
      <c r="U4409" s="106"/>
      <c r="V4409" s="4129"/>
      <c r="W4409" s="2440"/>
      <c r="X4409" s="465"/>
      <c r="Y4409" s="465"/>
      <c r="Z4409" s="462"/>
      <c r="AA4409" s="462"/>
      <c r="AB4409" s="465"/>
      <c r="AC4409" s="3568"/>
      <c r="AD4409" s="462"/>
      <c r="AE4409" s="2939"/>
      <c r="AF4409" s="663"/>
      <c r="AG4409" s="663"/>
      <c r="AH4409" s="156"/>
      <c r="AI4409" s="156"/>
      <c r="AJ4409" s="156"/>
      <c r="AK4409" s="156"/>
      <c r="AL4409" s="156"/>
      <c r="AM4409" s="156"/>
      <c r="AN4409" s="156"/>
      <c r="AO4409" s="156"/>
      <c r="AP4409" s="156"/>
      <c r="AQ4409" s="156"/>
      <c r="AR4409" s="156"/>
      <c r="AS4409" s="156"/>
      <c r="AT4409" s="156"/>
      <c r="AU4409" s="156"/>
      <c r="AV4409" s="156"/>
      <c r="AW4409" s="156"/>
      <c r="AX4409" s="156"/>
      <c r="AY4409" s="156"/>
      <c r="AZ4409" s="156"/>
      <c r="BA4409" s="156"/>
      <c r="BB4409" s="2828"/>
      <c r="BC4409" s="452"/>
      <c r="BD4409" s="2829"/>
      <c r="BE4409" s="2837"/>
      <c r="BF4409" s="156"/>
    </row>
    <row r="4410" spans="1:58" ht="14.5" customHeight="1" outlineLevel="1" x14ac:dyDescent="0.35">
      <c r="A4410" s="1664"/>
      <c r="B4410" s="2812"/>
      <c r="C4410" s="3077"/>
      <c r="D4410" s="3980"/>
      <c r="E4410" s="3883"/>
      <c r="F4410" s="3984" t="str">
        <f t="shared" si="461"/>
        <v>ASHP-SEER21_ER2_SF</v>
      </c>
      <c r="G4410" s="3984"/>
      <c r="H4410" s="3984"/>
      <c r="I4410" s="3984"/>
      <c r="J4410" s="3508" t="str">
        <f t="shared" si="462"/>
        <v>354750_2021_12_</v>
      </c>
      <c r="K4410" s="462"/>
      <c r="L4410" s="93" t="str">
        <f>IF(K4410&gt;0,VLOOKUP(J4410,$J$1940:$L$2132,3,FALSE),"")</f>
        <v/>
      </c>
      <c r="M4410" s="3031" t="str">
        <f>IF(K4410&gt;0,VLOOKUP(J4410,$J$3484:$K$3676,2,FALSE),"")</f>
        <v/>
      </c>
      <c r="N4410" s="963"/>
      <c r="O4410" s="106"/>
      <c r="P4410" s="702"/>
      <c r="Q4410" s="574"/>
      <c r="R4410" s="702"/>
      <c r="S4410" s="106"/>
      <c r="T4410" s="486"/>
      <c r="U4410" s="106"/>
      <c r="V4410" s="4129"/>
      <c r="W4410" s="2440"/>
      <c r="X4410" s="465"/>
      <c r="Y4410" s="465"/>
      <c r="Z4410" s="462"/>
      <c r="AA4410" s="462"/>
      <c r="AB4410" s="465"/>
      <c r="AC4410" s="3568"/>
      <c r="AD4410" s="462"/>
      <c r="AE4410" s="2939"/>
      <c r="AF4410" s="663"/>
      <c r="AG4410" s="663"/>
      <c r="AH4410" s="156"/>
      <c r="AI4410" s="156"/>
      <c r="AJ4410" s="156"/>
      <c r="AK4410" s="156"/>
      <c r="AL4410" s="156"/>
      <c r="AM4410" s="156"/>
      <c r="AN4410" s="156"/>
      <c r="AO4410" s="156"/>
      <c r="AP4410" s="156"/>
      <c r="AQ4410" s="156"/>
      <c r="AR4410" s="156"/>
      <c r="AS4410" s="156"/>
      <c r="AT4410" s="156"/>
      <c r="AU4410" s="156"/>
      <c r="AV4410" s="156"/>
      <c r="AW4410" s="156"/>
      <c r="AX4410" s="156"/>
      <c r="AY4410" s="156"/>
      <c r="AZ4410" s="156"/>
      <c r="BA4410" s="156"/>
      <c r="BB4410" s="2828"/>
      <c r="BC4410" s="452"/>
      <c r="BD4410" s="2829"/>
      <c r="BE4410" s="2837"/>
      <c r="BF4410" s="156"/>
    </row>
    <row r="4411" spans="1:58" ht="14.5" customHeight="1" outlineLevel="1" x14ac:dyDescent="0.35">
      <c r="A4411" s="1664"/>
      <c r="B4411" s="2812"/>
      <c r="C4411" s="3077"/>
      <c r="D4411" s="3980"/>
      <c r="E4411" s="3883"/>
      <c r="F4411" s="3984" t="str">
        <f t="shared" si="461"/>
        <v>ASHP-SEER21_ER2_SF</v>
      </c>
      <c r="G4411" s="3984"/>
      <c r="H4411" s="3984"/>
      <c r="I4411" s="3984"/>
      <c r="J4411" s="3508" t="str">
        <f t="shared" si="462"/>
        <v>354750_2021_12_</v>
      </c>
      <c r="K4411" s="462"/>
      <c r="L4411" s="93" t="str">
        <f>IF(K4411&gt;0,VLOOKUP(J4411,$J$1940:$L$2132,3,FALSE),"")</f>
        <v/>
      </c>
      <c r="M4411" s="3031" t="str">
        <f>IF(K4411&gt;0,VLOOKUP(J4411,$J$3484:$K$3676,2,FALSE),"")</f>
        <v/>
      </c>
      <c r="N4411" s="963"/>
      <c r="O4411" s="106"/>
      <c r="P4411" s="702"/>
      <c r="Q4411" s="574"/>
      <c r="R4411" s="702"/>
      <c r="S4411" s="106"/>
      <c r="T4411" s="486"/>
      <c r="U4411" s="106"/>
      <c r="V4411" s="4129"/>
      <c r="W4411" s="2440"/>
      <c r="X4411" s="465"/>
      <c r="Y4411" s="465"/>
      <c r="Z4411" s="462"/>
      <c r="AA4411" s="462"/>
      <c r="AB4411" s="465"/>
      <c r="AC4411" s="3568"/>
      <c r="AD4411" s="462"/>
      <c r="AE4411" s="2939"/>
      <c r="AF4411" s="663"/>
      <c r="AG4411" s="663"/>
      <c r="AH4411" s="156"/>
      <c r="AI4411" s="156"/>
      <c r="AJ4411" s="156"/>
      <c r="AK4411" s="156"/>
      <c r="AL4411" s="156"/>
      <c r="AM4411" s="156"/>
      <c r="AN4411" s="156"/>
      <c r="AO4411" s="156"/>
      <c r="AP4411" s="156"/>
      <c r="AQ4411" s="156"/>
      <c r="AR4411" s="156"/>
      <c r="AS4411" s="156"/>
      <c r="AT4411" s="156"/>
      <c r="AU4411" s="156"/>
      <c r="AV4411" s="156"/>
      <c r="AW4411" s="156"/>
      <c r="AX4411" s="156"/>
      <c r="AY4411" s="156"/>
      <c r="AZ4411" s="156"/>
      <c r="BA4411" s="156"/>
      <c r="BB4411" s="2828"/>
      <c r="BC4411" s="452"/>
      <c r="BD4411" s="2829"/>
      <c r="BE4411" s="2837"/>
      <c r="BF4411" s="156"/>
    </row>
    <row r="4412" spans="1:58" ht="14.5" customHeight="1" outlineLevel="1" x14ac:dyDescent="0.35">
      <c r="A4412" s="1664"/>
      <c r="B4412" s="2812"/>
      <c r="C4412" s="3077"/>
      <c r="D4412" s="3980"/>
      <c r="E4412" s="3883"/>
      <c r="F4412" s="3984" t="str">
        <f t="shared" si="461"/>
        <v>ASHP-SEER21_ROF_SF</v>
      </c>
      <c r="G4412" s="3984"/>
      <c r="H4412" s="3984"/>
      <c r="I4412" s="3984"/>
      <c r="J4412" s="3508" t="str">
        <f t="shared" si="462"/>
        <v>354800_2021_12_</v>
      </c>
      <c r="K4412" s="462">
        <f>$R$1950*K$3490</f>
        <v>1689.9245999999991</v>
      </c>
      <c r="L4412" s="93">
        <f>VLOOKUP(J4412,$J$1940:$L$2132,3,FALSE)*M4412</f>
        <v>3.4699494950520831</v>
      </c>
      <c r="M4412" s="3031">
        <f>VLOOKUP(J4412,$J$3484:$K$3676,2,FALSE)</f>
        <v>1</v>
      </c>
      <c r="N4412" s="963"/>
      <c r="O4412" s="106"/>
      <c r="P4412" s="702"/>
      <c r="Q4412" s="574"/>
      <c r="R4412" s="702"/>
      <c r="S4412" s="106"/>
      <c r="T4412" s="486"/>
      <c r="U4412" s="106"/>
      <c r="V4412" s="4129"/>
      <c r="W4412" s="2440">
        <v>9976</v>
      </c>
      <c r="X4412" s="465">
        <f>(X$2114/12000)*$R$1950*X$3658</f>
        <v>5576.7511799999966</v>
      </c>
      <c r="Y4412" s="465">
        <v>1160</v>
      </c>
      <c r="Z4412" s="462">
        <v>1160</v>
      </c>
      <c r="AA4412" s="462">
        <v>1160</v>
      </c>
      <c r="AB4412" s="465">
        <v>1689.9245999999991</v>
      </c>
      <c r="AC4412" s="3568">
        <v>1689.9245999999991</v>
      </c>
      <c r="AD4412" s="462">
        <v>1689.9245999999991</v>
      </c>
      <c r="AE4412" s="2939"/>
      <c r="AF4412" s="663"/>
      <c r="AG4412" s="663"/>
      <c r="AH4412" s="156"/>
      <c r="AI4412" s="156"/>
      <c r="AJ4412" s="156"/>
      <c r="AK4412" s="156"/>
      <c r="AL4412" s="156"/>
      <c r="AM4412" s="156"/>
      <c r="AN4412" s="156"/>
      <c r="AO4412" s="156"/>
      <c r="AP4412" s="156"/>
      <c r="AQ4412" s="156"/>
      <c r="AR4412" s="156"/>
      <c r="AS4412" s="156"/>
      <c r="AT4412" s="156"/>
      <c r="AU4412" s="156"/>
      <c r="AV4412" s="156"/>
      <c r="AW4412" s="156"/>
      <c r="AX4412" s="156"/>
      <c r="AY4412" s="156"/>
      <c r="AZ4412" s="156"/>
      <c r="BA4412" s="156"/>
      <c r="BB4412" s="2828"/>
      <c r="BC4412" s="452"/>
      <c r="BD4412" s="2829"/>
      <c r="BE4412" s="2837"/>
      <c r="BF4412" s="156"/>
    </row>
    <row r="4413" spans="1:58" ht="14.5" customHeight="1" outlineLevel="1" x14ac:dyDescent="0.35">
      <c r="A4413" s="1664"/>
      <c r="B4413" s="2812"/>
      <c r="C4413" s="3077"/>
      <c r="D4413" s="3980"/>
      <c r="E4413" s="3883"/>
      <c r="F4413" s="3984" t="str">
        <f t="shared" si="461"/>
        <v>ASHP-SEER21_ROF_SF</v>
      </c>
      <c r="G4413" s="3984"/>
      <c r="H4413" s="3984"/>
      <c r="I4413" s="3984"/>
      <c r="J4413" s="3508" t="str">
        <f t="shared" si="462"/>
        <v>354800_2021_12_</v>
      </c>
      <c r="K4413" s="462"/>
      <c r="L4413" s="93" t="str">
        <f>IF(K4413&gt;0,VLOOKUP(J4413,$J$1940:$L$2132,3,FALSE),"")</f>
        <v/>
      </c>
      <c r="M4413" s="3031" t="str">
        <f>IF(K4413&gt;0,VLOOKUP(J4413,$J$3484:$K$3676,2,FALSE),"")</f>
        <v/>
      </c>
      <c r="N4413" s="963"/>
      <c r="O4413" s="106"/>
      <c r="P4413" s="702"/>
      <c r="Q4413" s="574"/>
      <c r="R4413" s="702"/>
      <c r="S4413" s="106"/>
      <c r="T4413" s="486"/>
      <c r="U4413" s="106"/>
      <c r="V4413" s="4129"/>
      <c r="W4413" s="2440"/>
      <c r="X4413" s="465"/>
      <c r="Y4413" s="465"/>
      <c r="Z4413" s="462"/>
      <c r="AA4413" s="462"/>
      <c r="AB4413" s="465"/>
      <c r="AC4413" s="3568"/>
      <c r="AD4413" s="462"/>
      <c r="AE4413" s="2939"/>
      <c r="AF4413" s="663"/>
      <c r="AG4413" s="663"/>
      <c r="AH4413" s="156"/>
      <c r="AI4413" s="156"/>
      <c r="AJ4413" s="156"/>
      <c r="AK4413" s="156"/>
      <c r="AL4413" s="156"/>
      <c r="AM4413" s="156"/>
      <c r="AN4413" s="156"/>
      <c r="AO4413" s="156"/>
      <c r="AP4413" s="156"/>
      <c r="AQ4413" s="156"/>
      <c r="AR4413" s="156"/>
      <c r="AS4413" s="156"/>
      <c r="AT4413" s="156"/>
      <c r="AU4413" s="156"/>
      <c r="AV4413" s="156"/>
      <c r="AW4413" s="156"/>
      <c r="AX4413" s="156"/>
      <c r="AY4413" s="156"/>
      <c r="AZ4413" s="156"/>
      <c r="BA4413" s="156"/>
      <c r="BB4413" s="2828"/>
      <c r="BC4413" s="452"/>
      <c r="BD4413" s="2829"/>
      <c r="BE4413" s="2837"/>
      <c r="BF4413" s="156"/>
    </row>
    <row r="4414" spans="1:58" ht="14.5" customHeight="1" outlineLevel="1" x14ac:dyDescent="0.35">
      <c r="A4414" s="1664"/>
      <c r="B4414" s="2812"/>
      <c r="C4414" s="3077"/>
      <c r="D4414" s="3980"/>
      <c r="E4414" s="3883"/>
      <c r="F4414" s="3984" t="str">
        <f t="shared" si="461"/>
        <v>ASHP-SEER21-Replace_CAC_ElectricHeat_ROF_MF</v>
      </c>
      <c r="G4414" s="3984"/>
      <c r="H4414" s="3984"/>
      <c r="I4414" s="3984"/>
      <c r="J4414" s="3508" t="str">
        <f t="shared" si="462"/>
        <v>354850_2019_12_</v>
      </c>
      <c r="K4414" s="462">
        <f>$R$1950*K$3490</f>
        <v>1689.9245999999991</v>
      </c>
      <c r="L4414" s="93">
        <f>VLOOKUP(J4414,$J$1940:$L$2132,3,FALSE)*M4414</f>
        <v>1.8199999999999998</v>
      </c>
      <c r="M4414" s="3031">
        <f>VLOOKUP(J4414,$J$3484:$K$3676,2,FALSE)</f>
        <v>0.65</v>
      </c>
      <c r="N4414" s="963"/>
      <c r="O4414" s="106"/>
      <c r="P4414" s="702"/>
      <c r="Q4414" s="574"/>
      <c r="R4414" s="702"/>
      <c r="S4414" s="106"/>
      <c r="T4414" s="486"/>
      <c r="U4414" s="106"/>
      <c r="V4414" s="4129"/>
      <c r="W4414" s="2440">
        <v>10092</v>
      </c>
      <c r="X4414" s="465">
        <f>(X$2115/12000)*$R$1950*X$3659</f>
        <v>3075.6627719999983</v>
      </c>
      <c r="Y4414" s="465">
        <v>1160</v>
      </c>
      <c r="Z4414" s="462">
        <v>1160</v>
      </c>
      <c r="AA4414" s="462">
        <v>1160</v>
      </c>
      <c r="AB4414" s="465">
        <v>1689.9245999999991</v>
      </c>
      <c r="AC4414" s="3568">
        <v>1689.9245999999991</v>
      </c>
      <c r="AD4414" s="462">
        <v>1689.9245999999991</v>
      </c>
      <c r="AE4414" s="2939"/>
      <c r="AF4414" s="663"/>
      <c r="AG4414" s="663"/>
      <c r="AH4414" s="156"/>
      <c r="AI4414" s="156"/>
      <c r="AJ4414" s="156"/>
      <c r="AK4414" s="156"/>
      <c r="AL4414" s="156"/>
      <c r="AM4414" s="156"/>
      <c r="AN4414" s="156"/>
      <c r="AO4414" s="156"/>
      <c r="AP4414" s="156"/>
      <c r="AQ4414" s="156"/>
      <c r="AR4414" s="156"/>
      <c r="AS4414" s="156"/>
      <c r="AT4414" s="156"/>
      <c r="AU4414" s="156"/>
      <c r="AV4414" s="156"/>
      <c r="AW4414" s="156"/>
      <c r="AX4414" s="156"/>
      <c r="AY4414" s="156"/>
      <c r="AZ4414" s="156"/>
      <c r="BA4414" s="156"/>
      <c r="BB4414" s="2828"/>
      <c r="BC4414" s="452"/>
      <c r="BD4414" s="2829"/>
      <c r="BE4414" s="2837"/>
      <c r="BF4414" s="156"/>
    </row>
    <row r="4415" spans="1:58" ht="14.5" customHeight="1" outlineLevel="1" x14ac:dyDescent="0.35">
      <c r="A4415" s="1664"/>
      <c r="B4415" s="2812"/>
      <c r="C4415" s="3077"/>
      <c r="D4415" s="3980"/>
      <c r="E4415" s="3883"/>
      <c r="F4415" s="3984" t="str">
        <f t="shared" si="461"/>
        <v>ASHP-SEER21-Replace_CAC_ElectricHeat_ROF_MF</v>
      </c>
      <c r="G4415" s="3984"/>
      <c r="H4415" s="3984"/>
      <c r="I4415" s="3984"/>
      <c r="J4415" s="3508" t="str">
        <f t="shared" si="462"/>
        <v>354850_2019_12_</v>
      </c>
      <c r="K4415" s="462"/>
      <c r="L4415" s="93" t="str">
        <f>IF(K4415&gt;0,VLOOKUP(J4415,$J$1940:$L$2132,3,FALSE),"")</f>
        <v/>
      </c>
      <c r="M4415" s="3031" t="str">
        <f>IF(K4415&gt;0,VLOOKUP(J4415,$J$3484:$K$3676,2,FALSE),"")</f>
        <v/>
      </c>
      <c r="N4415" s="963"/>
      <c r="O4415" s="106"/>
      <c r="P4415" s="702"/>
      <c r="Q4415" s="574"/>
      <c r="R4415" s="702"/>
      <c r="S4415" s="106"/>
      <c r="T4415" s="486"/>
      <c r="U4415" s="106"/>
      <c r="V4415" s="4129"/>
      <c r="W4415" s="2440"/>
      <c r="X4415" s="465"/>
      <c r="Y4415" s="465"/>
      <c r="Z4415" s="462"/>
      <c r="AA4415" s="462"/>
      <c r="AB4415" s="465"/>
      <c r="AC4415" s="3568"/>
      <c r="AD4415" s="462"/>
      <c r="AE4415" s="2939"/>
      <c r="AF4415" s="663"/>
      <c r="AG4415" s="663"/>
      <c r="AH4415" s="156"/>
      <c r="AI4415" s="156"/>
      <c r="AJ4415" s="156"/>
      <c r="AK4415" s="156"/>
      <c r="AL4415" s="156"/>
      <c r="AM4415" s="156"/>
      <c r="AN4415" s="156"/>
      <c r="AO4415" s="156"/>
      <c r="AP4415" s="156"/>
      <c r="AQ4415" s="156"/>
      <c r="AR4415" s="156"/>
      <c r="AS4415" s="156"/>
      <c r="AT4415" s="156"/>
      <c r="AU4415" s="156"/>
      <c r="AV4415" s="156"/>
      <c r="AW4415" s="156"/>
      <c r="AX4415" s="156"/>
      <c r="AY4415" s="156"/>
      <c r="AZ4415" s="156"/>
      <c r="BA4415" s="156"/>
      <c r="BB4415" s="2828"/>
      <c r="BC4415" s="452"/>
      <c r="BD4415" s="2829"/>
      <c r="BE4415" s="2837"/>
      <c r="BF4415" s="156"/>
    </row>
    <row r="4416" spans="1:58" ht="14.5" customHeight="1" outlineLevel="1" x14ac:dyDescent="0.35">
      <c r="A4416" s="1664"/>
      <c r="B4416" s="2812"/>
      <c r="C4416" s="3077"/>
      <c r="D4416" s="3980"/>
      <c r="E4416" s="3883"/>
      <c r="F4416" s="3984" t="str">
        <f t="shared" si="461"/>
        <v>ASHP-SEER21-Replace_CAC_ElectricHeat_ROF_MF_CompE</v>
      </c>
      <c r="G4416" s="3984"/>
      <c r="H4416" s="3984"/>
      <c r="I4416" s="3984"/>
      <c r="J4416" s="3508" t="str">
        <f t="shared" si="462"/>
        <v>354851_2019_12_</v>
      </c>
      <c r="K4416" s="462">
        <f>$R$1950*K$3490</f>
        <v>1689.9245999999991</v>
      </c>
      <c r="L4416" s="93">
        <f>VLOOKUP(J4416,$J$1940:$L$2132,3,FALSE)*M4416</f>
        <v>1.8199999999999998</v>
      </c>
      <c r="M4416" s="3031">
        <f>VLOOKUP(J4416,$J$3484:$K$3676,2,FALSE)</f>
        <v>0.65</v>
      </c>
      <c r="N4416" s="963"/>
      <c r="O4416" s="106"/>
      <c r="P4416" s="702"/>
      <c r="Q4416" s="574"/>
      <c r="R4416" s="702"/>
      <c r="S4416" s="106"/>
      <c r="T4416" s="486"/>
      <c r="U4416" s="106"/>
      <c r="V4416" s="4129"/>
      <c r="W4416" s="2440"/>
      <c r="X4416" s="465"/>
      <c r="Y4416" s="465"/>
      <c r="Z4416" s="462"/>
      <c r="AA4416" s="462"/>
      <c r="AB4416" s="465"/>
      <c r="AC4416" s="3569">
        <v>1689.9245999999991</v>
      </c>
      <c r="AD4416" s="462">
        <v>1689.9245999999991</v>
      </c>
      <c r="AE4416" s="2939"/>
      <c r="AF4416" s="663"/>
      <c r="AG4416" s="663"/>
      <c r="AH4416" s="156"/>
      <c r="AI4416" s="156"/>
      <c r="AJ4416" s="156"/>
      <c r="AK4416" s="156"/>
      <c r="AL4416" s="156"/>
      <c r="AM4416" s="156"/>
      <c r="AN4416" s="156"/>
      <c r="AO4416" s="156"/>
      <c r="AP4416" s="156"/>
      <c r="AQ4416" s="156"/>
      <c r="AR4416" s="156"/>
      <c r="AS4416" s="156"/>
      <c r="AT4416" s="156"/>
      <c r="AU4416" s="156"/>
      <c r="AV4416" s="156"/>
      <c r="AW4416" s="156"/>
      <c r="AX4416" s="156"/>
      <c r="AY4416" s="156"/>
      <c r="AZ4416" s="156"/>
      <c r="BA4416" s="156"/>
      <c r="BB4416" s="2828"/>
      <c r="BC4416" s="452"/>
      <c r="BD4416" s="2829"/>
      <c r="BE4416" s="2837"/>
      <c r="BF4416" s="156"/>
    </row>
    <row r="4417" spans="1:58" ht="14.5" customHeight="1" outlineLevel="1" x14ac:dyDescent="0.35">
      <c r="A4417" s="1664"/>
      <c r="B4417" s="2812"/>
      <c r="C4417" s="3077"/>
      <c r="D4417" s="3980"/>
      <c r="E4417" s="3883"/>
      <c r="F4417" s="3984" t="str">
        <f t="shared" si="461"/>
        <v>ASHP-SEER21-Replace_CAC_ElectricHeat_ROF_MF_CompE</v>
      </c>
      <c r="G4417" s="3984"/>
      <c r="H4417" s="3984"/>
      <c r="I4417" s="3984"/>
      <c r="J4417" s="3508" t="str">
        <f t="shared" si="462"/>
        <v>354851_2019_12_</v>
      </c>
      <c r="K4417" s="462"/>
      <c r="L4417" s="93"/>
      <c r="M4417" s="3031"/>
      <c r="N4417" s="963"/>
      <c r="O4417" s="106"/>
      <c r="P4417" s="702"/>
      <c r="Q4417" s="574"/>
      <c r="R4417" s="702"/>
      <c r="S4417" s="106"/>
      <c r="T4417" s="486"/>
      <c r="U4417" s="106"/>
      <c r="V4417" s="4129"/>
      <c r="W4417" s="2440"/>
      <c r="X4417" s="465"/>
      <c r="Y4417" s="465"/>
      <c r="Z4417" s="462"/>
      <c r="AA4417" s="462"/>
      <c r="AB4417" s="465"/>
      <c r="AC4417" s="3568"/>
      <c r="AD4417" s="462"/>
      <c r="AE4417" s="2939"/>
      <c r="AF4417" s="663"/>
      <c r="AG4417" s="663"/>
      <c r="AH4417" s="156"/>
      <c r="AI4417" s="156"/>
      <c r="AJ4417" s="156"/>
      <c r="AK4417" s="156"/>
      <c r="AL4417" s="156"/>
      <c r="AM4417" s="156"/>
      <c r="AN4417" s="156"/>
      <c r="AO4417" s="156"/>
      <c r="AP4417" s="156"/>
      <c r="AQ4417" s="156"/>
      <c r="AR4417" s="156"/>
      <c r="AS4417" s="156"/>
      <c r="AT4417" s="156"/>
      <c r="AU4417" s="156"/>
      <c r="AV4417" s="156"/>
      <c r="AW4417" s="156"/>
      <c r="AX4417" s="156"/>
      <c r="AY4417" s="156"/>
      <c r="AZ4417" s="156"/>
      <c r="BA4417" s="156"/>
      <c r="BB4417" s="2828"/>
      <c r="BC4417" s="452"/>
      <c r="BD4417" s="2829"/>
      <c r="BE4417" s="2837"/>
      <c r="BF4417" s="156"/>
    </row>
    <row r="4418" spans="1:58" ht="14.5" customHeight="1" outlineLevel="1" x14ac:dyDescent="0.35">
      <c r="A4418" s="1664"/>
      <c r="B4418" s="2812"/>
      <c r="C4418" s="3077"/>
      <c r="D4418" s="3980"/>
      <c r="E4418" s="3883"/>
      <c r="F4418" s="3984" t="str">
        <f t="shared" si="461"/>
        <v>ASHP-SEER21-Replace_CAC_NonElectricHeat_ROF_MF</v>
      </c>
      <c r="G4418" s="3984"/>
      <c r="H4418" s="3984"/>
      <c r="I4418" s="3984"/>
      <c r="J4418" s="3508" t="str">
        <f t="shared" si="462"/>
        <v>354860_2021_12_</v>
      </c>
      <c r="K4418" s="462">
        <f>$R$1950*K$3490</f>
        <v>1689.9245999999991</v>
      </c>
      <c r="L4418" s="93">
        <f>VLOOKUP(J4418,$J$1940:$L$2132,3,FALSE)*M4418</f>
        <v>1.8199999999999998</v>
      </c>
      <c r="M4418" s="3031">
        <f>VLOOKUP(J4418,$J$3484:$K$3676,2,FALSE)</f>
        <v>0.65</v>
      </c>
      <c r="N4418" s="963"/>
      <c r="O4418" s="106"/>
      <c r="P4418" s="702"/>
      <c r="Q4418" s="574"/>
      <c r="R4418" s="702"/>
      <c r="S4418" s="106"/>
      <c r="T4418" s="486"/>
      <c r="U4418" s="106"/>
      <c r="V4418" s="4129"/>
      <c r="W4418" s="2440"/>
      <c r="X4418" s="465"/>
      <c r="Y4418" s="465"/>
      <c r="Z4418" s="462"/>
      <c r="AA4418" s="462"/>
      <c r="AB4418" s="465"/>
      <c r="AC4418" s="3569">
        <v>1689.9245999999991</v>
      </c>
      <c r="AD4418" s="462">
        <v>1689.9245999999991</v>
      </c>
      <c r="AE4418" s="2939"/>
      <c r="AF4418" s="663"/>
      <c r="AG4418" s="663"/>
      <c r="AH4418" s="156"/>
      <c r="AI4418" s="156"/>
      <c r="AJ4418" s="156"/>
      <c r="AK4418" s="156"/>
      <c r="AL4418" s="156"/>
      <c r="AM4418" s="156"/>
      <c r="AN4418" s="156"/>
      <c r="AO4418" s="156"/>
      <c r="AP4418" s="156"/>
      <c r="AQ4418" s="156"/>
      <c r="AR4418" s="156"/>
      <c r="AS4418" s="156"/>
      <c r="AT4418" s="156"/>
      <c r="AU4418" s="156"/>
      <c r="AV4418" s="156"/>
      <c r="AW4418" s="156"/>
      <c r="AX4418" s="156"/>
      <c r="AY4418" s="156"/>
      <c r="AZ4418" s="156"/>
      <c r="BA4418" s="156"/>
      <c r="BB4418" s="2828"/>
      <c r="BC4418" s="452"/>
      <c r="BD4418" s="2829"/>
      <c r="BE4418" s="2837"/>
      <c r="BF4418" s="156"/>
    </row>
    <row r="4419" spans="1:58" ht="14.5" customHeight="1" outlineLevel="1" x14ac:dyDescent="0.35">
      <c r="A4419" s="1664"/>
      <c r="B4419" s="2812"/>
      <c r="C4419" s="3077"/>
      <c r="D4419" s="3980"/>
      <c r="E4419" s="3883"/>
      <c r="F4419" s="3984" t="str">
        <f t="shared" si="461"/>
        <v>ASHP-SEER21-Replace_CAC_NonElectricHeat_ROF_MF</v>
      </c>
      <c r="G4419" s="3984"/>
      <c r="H4419" s="3984"/>
      <c r="I4419" s="3984"/>
      <c r="J4419" s="3508" t="str">
        <f t="shared" si="462"/>
        <v>354860_2021_12_</v>
      </c>
      <c r="K4419" s="462"/>
      <c r="L4419" s="93"/>
      <c r="M4419" s="3031"/>
      <c r="N4419" s="963"/>
      <c r="O4419" s="106"/>
      <c r="P4419" s="702"/>
      <c r="Q4419" s="574"/>
      <c r="R4419" s="702"/>
      <c r="S4419" s="106"/>
      <c r="T4419" s="486"/>
      <c r="U4419" s="106"/>
      <c r="V4419" s="4129"/>
      <c r="W4419" s="2440"/>
      <c r="X4419" s="465"/>
      <c r="Y4419" s="465"/>
      <c r="Z4419" s="462"/>
      <c r="AA4419" s="462"/>
      <c r="AB4419" s="465"/>
      <c r="AC4419" s="3568"/>
      <c r="AD4419" s="462"/>
      <c r="AE4419" s="2939"/>
      <c r="AF4419" s="663"/>
      <c r="AG4419" s="663"/>
      <c r="AH4419" s="156"/>
      <c r="AI4419" s="156"/>
      <c r="AJ4419" s="156"/>
      <c r="AK4419" s="156"/>
      <c r="AL4419" s="156"/>
      <c r="AM4419" s="156"/>
      <c r="AN4419" s="156"/>
      <c r="AO4419" s="156"/>
      <c r="AP4419" s="156"/>
      <c r="AQ4419" s="156"/>
      <c r="AR4419" s="156"/>
      <c r="AS4419" s="156"/>
      <c r="AT4419" s="156"/>
      <c r="AU4419" s="156"/>
      <c r="AV4419" s="156"/>
      <c r="AW4419" s="156"/>
      <c r="AX4419" s="156"/>
      <c r="AY4419" s="156"/>
      <c r="AZ4419" s="156"/>
      <c r="BA4419" s="156"/>
      <c r="BB4419" s="2828"/>
      <c r="BC4419" s="452"/>
      <c r="BD4419" s="2829"/>
      <c r="BE4419" s="2837"/>
      <c r="BF4419" s="156"/>
    </row>
    <row r="4420" spans="1:58" ht="14.5" customHeight="1" outlineLevel="1" x14ac:dyDescent="0.35">
      <c r="A4420" s="1664"/>
      <c r="B4420" s="2812"/>
      <c r="C4420" s="3077"/>
      <c r="D4420" s="3980"/>
      <c r="E4420" s="3883"/>
      <c r="F4420" s="3984" t="str">
        <f t="shared" si="461"/>
        <v>ASHP-SEER21-Replace_CAC_NonElectricHeat_ROF_MF_CompE</v>
      </c>
      <c r="G4420" s="3984"/>
      <c r="H4420" s="3984"/>
      <c r="I4420" s="3984"/>
      <c r="J4420" s="3508" t="str">
        <f t="shared" si="462"/>
        <v>354861_2021_12_</v>
      </c>
      <c r="K4420" s="462">
        <f>$R$1950*K$3490</f>
        <v>1689.9245999999991</v>
      </c>
      <c r="L4420" s="93">
        <f>VLOOKUP(J4420,$J$1940:$L$2132,3,FALSE)*M4420</f>
        <v>1.8199999999999998</v>
      </c>
      <c r="M4420" s="3031">
        <f>VLOOKUP(J4420,$J$3484:$K$3676,2,FALSE)</f>
        <v>0.65</v>
      </c>
      <c r="N4420" s="963"/>
      <c r="O4420" s="106"/>
      <c r="P4420" s="702"/>
      <c r="Q4420" s="574"/>
      <c r="R4420" s="702"/>
      <c r="S4420" s="106"/>
      <c r="T4420" s="486"/>
      <c r="U4420" s="106"/>
      <c r="V4420" s="4129"/>
      <c r="W4420" s="2440"/>
      <c r="X4420" s="465"/>
      <c r="Y4420" s="465"/>
      <c r="Z4420" s="462"/>
      <c r="AA4420" s="462"/>
      <c r="AB4420" s="465"/>
      <c r="AC4420" s="3569">
        <v>1689.9245999999991</v>
      </c>
      <c r="AD4420" s="462">
        <v>1689.9245999999991</v>
      </c>
      <c r="AE4420" s="2939"/>
      <c r="AF4420" s="663"/>
      <c r="AG4420" s="663"/>
      <c r="AH4420" s="156"/>
      <c r="AI4420" s="156"/>
      <c r="AJ4420" s="156"/>
      <c r="AK4420" s="156"/>
      <c r="AL4420" s="156"/>
      <c r="AM4420" s="156"/>
      <c r="AN4420" s="156"/>
      <c r="AO4420" s="156"/>
      <c r="AP4420" s="156"/>
      <c r="AQ4420" s="156"/>
      <c r="AR4420" s="156"/>
      <c r="AS4420" s="156"/>
      <c r="AT4420" s="156"/>
      <c r="AU4420" s="156"/>
      <c r="AV4420" s="156"/>
      <c r="AW4420" s="156"/>
      <c r="AX4420" s="156"/>
      <c r="AY4420" s="156"/>
      <c r="AZ4420" s="156"/>
      <c r="BA4420" s="156"/>
      <c r="BB4420" s="2828"/>
      <c r="BC4420" s="452"/>
      <c r="BD4420" s="2829"/>
      <c r="BE4420" s="2837"/>
      <c r="BF4420" s="156"/>
    </row>
    <row r="4421" spans="1:58" ht="14.5" customHeight="1" outlineLevel="1" x14ac:dyDescent="0.35">
      <c r="A4421" s="1664"/>
      <c r="B4421" s="2812"/>
      <c r="C4421" s="3077"/>
      <c r="D4421" s="3980"/>
      <c r="E4421" s="3883"/>
      <c r="F4421" s="3984" t="str">
        <f t="shared" si="461"/>
        <v>ASHP-SEER21-Replace_CAC_NonElectricHeat_ROF_MF_CompE</v>
      </c>
      <c r="G4421" s="3984"/>
      <c r="H4421" s="3984"/>
      <c r="I4421" s="3984"/>
      <c r="J4421" s="3508" t="str">
        <f t="shared" si="462"/>
        <v>354861_2021_12_</v>
      </c>
      <c r="K4421" s="462"/>
      <c r="L4421" s="93"/>
      <c r="M4421" s="3031"/>
      <c r="N4421" s="963"/>
      <c r="O4421" s="106"/>
      <c r="P4421" s="702"/>
      <c r="Q4421" s="574"/>
      <c r="R4421" s="702"/>
      <c r="S4421" s="106"/>
      <c r="T4421" s="486"/>
      <c r="U4421" s="106"/>
      <c r="V4421" s="4129"/>
      <c r="W4421" s="2440"/>
      <c r="X4421" s="465"/>
      <c r="Y4421" s="465"/>
      <c r="Z4421" s="462"/>
      <c r="AA4421" s="462"/>
      <c r="AB4421" s="465"/>
      <c r="AC4421" s="3568"/>
      <c r="AD4421" s="462"/>
      <c r="AE4421" s="2939"/>
      <c r="AF4421" s="663"/>
      <c r="AG4421" s="663"/>
      <c r="AH4421" s="156"/>
      <c r="AI4421" s="156"/>
      <c r="AJ4421" s="156"/>
      <c r="AK4421" s="156"/>
      <c r="AL4421" s="156"/>
      <c r="AM4421" s="156"/>
      <c r="AN4421" s="156"/>
      <c r="AO4421" s="156"/>
      <c r="AP4421" s="156"/>
      <c r="AQ4421" s="156"/>
      <c r="AR4421" s="156"/>
      <c r="AS4421" s="156"/>
      <c r="AT4421" s="156"/>
      <c r="AU4421" s="156"/>
      <c r="AV4421" s="156"/>
      <c r="AW4421" s="156"/>
      <c r="AX4421" s="156"/>
      <c r="AY4421" s="156"/>
      <c r="AZ4421" s="156"/>
      <c r="BA4421" s="156"/>
      <c r="BB4421" s="2828"/>
      <c r="BC4421" s="452"/>
      <c r="BD4421" s="2829"/>
      <c r="BE4421" s="2837"/>
      <c r="BF4421" s="156"/>
    </row>
    <row r="4422" spans="1:58" ht="14.5" customHeight="1" outlineLevel="1" x14ac:dyDescent="0.35">
      <c r="A4422" s="1664"/>
      <c r="B4422" s="2812"/>
      <c r="C4422" s="3077"/>
      <c r="D4422" s="3980"/>
      <c r="E4422" s="3883"/>
      <c r="F4422" s="3984" t="str">
        <f t="shared" si="461"/>
        <v>ASHP-SEER21_ER1_MF</v>
      </c>
      <c r="G4422" s="3984"/>
      <c r="H4422" s="3984"/>
      <c r="I4422" s="3984"/>
      <c r="J4422" s="3508" t="str">
        <f t="shared" si="462"/>
        <v>354900_2019_12_</v>
      </c>
      <c r="K4422" s="462">
        <f>(($R$1960*L4422)+$R$1950)-(($Q$1960*L4422)/((1+$R$1962)^($R$1963-1)))</f>
        <v>2202.4463238752733</v>
      </c>
      <c r="L4422" s="93">
        <f>VLOOKUP(J4422,$J$1940:$L$2132,3,FALSE)*M4422</f>
        <v>2.145</v>
      </c>
      <c r="M4422" s="3031">
        <f>VLOOKUP(J4422,$J$3484:$K$3676,2,FALSE)</f>
        <v>0.65</v>
      </c>
      <c r="N4422" s="963"/>
      <c r="O4422" s="106"/>
      <c r="P4422" s="702"/>
      <c r="Q4422" s="574"/>
      <c r="R4422" s="702"/>
      <c r="S4422" s="106"/>
      <c r="T4422" s="486"/>
      <c r="U4422" s="106"/>
      <c r="V4422" s="4129"/>
      <c r="W4422" s="2440">
        <v>15995.882309621684</v>
      </c>
      <c r="X4422" s="465">
        <f>(X$2119/12000)*$Q$1950*X$3663</f>
        <v>5162.453438625821</v>
      </c>
      <c r="Y4422" s="465">
        <v>1763.8516619658126</v>
      </c>
      <c r="Z4422" s="462">
        <v>1763.8516619658126</v>
      </c>
      <c r="AA4422" s="462">
        <v>1763.8516619658126</v>
      </c>
      <c r="AB4422" s="465">
        <v>2202.4463238752733</v>
      </c>
      <c r="AC4422" s="3568">
        <v>2202.4463238752733</v>
      </c>
      <c r="AD4422" s="462">
        <v>2202.4463238752733</v>
      </c>
      <c r="AE4422" s="2939"/>
      <c r="AF4422" s="663"/>
      <c r="AG4422" s="663"/>
      <c r="AH4422" s="156"/>
      <c r="AI4422" s="156"/>
      <c r="AJ4422" s="156"/>
      <c r="AK4422" s="156"/>
      <c r="AL4422" s="156"/>
      <c r="AM4422" s="156"/>
      <c r="AN4422" s="156"/>
      <c r="AO4422" s="156"/>
      <c r="AP4422" s="156"/>
      <c r="AQ4422" s="156"/>
      <c r="AR4422" s="156"/>
      <c r="AS4422" s="156"/>
      <c r="AT4422" s="156"/>
      <c r="AU4422" s="156"/>
      <c r="AV4422" s="156"/>
      <c r="AW4422" s="156"/>
      <c r="AX4422" s="156"/>
      <c r="AY4422" s="156"/>
      <c r="AZ4422" s="156"/>
      <c r="BA4422" s="156"/>
      <c r="BB4422" s="2828"/>
      <c r="BC4422" s="452"/>
      <c r="BD4422" s="2829"/>
      <c r="BE4422" s="2837"/>
      <c r="BF4422" s="156"/>
    </row>
    <row r="4423" spans="1:58" ht="14.5" customHeight="1" outlineLevel="1" x14ac:dyDescent="0.35">
      <c r="A4423" s="1664"/>
      <c r="B4423" s="2812"/>
      <c r="C4423" s="3077"/>
      <c r="D4423" s="3980"/>
      <c r="E4423" s="3883"/>
      <c r="F4423" s="3984" t="str">
        <f t="shared" si="461"/>
        <v>ASHP-SEER21_ER1_MF</v>
      </c>
      <c r="G4423" s="3984"/>
      <c r="H4423" s="3984"/>
      <c r="I4423" s="3984"/>
      <c r="J4423" s="3508" t="str">
        <f t="shared" si="462"/>
        <v>354900_2019_12_</v>
      </c>
      <c r="K4423" s="462"/>
      <c r="L4423" s="93" t="str">
        <f>IF(K4423&gt;0,VLOOKUP(J4423,$J$1940:$L$2132,3,FALSE),"")</f>
        <v/>
      </c>
      <c r="M4423" s="3031" t="str">
        <f>IF(K4423&gt;0,VLOOKUP(J4423,$J$3484:$K$3676,2,FALSE),"")</f>
        <v/>
      </c>
      <c r="N4423" s="963"/>
      <c r="O4423" s="106"/>
      <c r="P4423" s="702"/>
      <c r="Q4423" s="574"/>
      <c r="R4423" s="702"/>
      <c r="S4423" s="106"/>
      <c r="T4423" s="486"/>
      <c r="U4423" s="106"/>
      <c r="V4423" s="4129"/>
      <c r="W4423" s="2440"/>
      <c r="X4423" s="465"/>
      <c r="Y4423" s="465"/>
      <c r="Z4423" s="462"/>
      <c r="AA4423" s="462"/>
      <c r="AB4423" s="465"/>
      <c r="AC4423" s="3568"/>
      <c r="AD4423" s="462"/>
      <c r="AE4423" s="2939"/>
      <c r="AF4423" s="663"/>
      <c r="AG4423" s="663"/>
      <c r="AH4423" s="156"/>
      <c r="AI4423" s="156"/>
      <c r="AJ4423" s="156"/>
      <c r="AK4423" s="156"/>
      <c r="AL4423" s="156"/>
      <c r="AM4423" s="156"/>
      <c r="AN4423" s="156"/>
      <c r="AO4423" s="156"/>
      <c r="AP4423" s="156"/>
      <c r="AQ4423" s="156"/>
      <c r="AR4423" s="156"/>
      <c r="AS4423" s="156"/>
      <c r="AT4423" s="156"/>
      <c r="AU4423" s="156"/>
      <c r="AV4423" s="156"/>
      <c r="AW4423" s="156"/>
      <c r="AX4423" s="156"/>
      <c r="AY4423" s="156"/>
      <c r="AZ4423" s="156"/>
      <c r="BA4423" s="156"/>
      <c r="BB4423" s="2828"/>
      <c r="BC4423" s="452"/>
      <c r="BD4423" s="2829"/>
      <c r="BE4423" s="2837"/>
      <c r="BF4423" s="156"/>
    </row>
    <row r="4424" spans="1:58" ht="14.5" customHeight="1" outlineLevel="1" x14ac:dyDescent="0.35">
      <c r="A4424" s="1664"/>
      <c r="B4424" s="2812"/>
      <c r="C4424" s="3077"/>
      <c r="D4424" s="3980"/>
      <c r="E4424" s="3883"/>
      <c r="F4424" s="3984" t="str">
        <f t="shared" si="461"/>
        <v>ASHP-SEER21_ER2_MF</v>
      </c>
      <c r="G4424" s="3984"/>
      <c r="H4424" s="3984"/>
      <c r="I4424" s="3984"/>
      <c r="J4424" s="3508" t="str">
        <f t="shared" si="462"/>
        <v>354900_2019_12_</v>
      </c>
      <c r="K4424" s="462"/>
      <c r="L4424" s="93" t="str">
        <f>IF(K4424&gt;0,VLOOKUP(J4424,$J$1940:$L$2132,3,FALSE),"")</f>
        <v/>
      </c>
      <c r="M4424" s="3031" t="str">
        <f>IF(K4424&gt;0,VLOOKUP(J4424,$J$3484:$K$3676,2,FALSE),"")</f>
        <v/>
      </c>
      <c r="N4424" s="963"/>
      <c r="O4424" s="106"/>
      <c r="P4424" s="702"/>
      <c r="Q4424" s="574"/>
      <c r="R4424" s="702"/>
      <c r="S4424" s="106"/>
      <c r="T4424" s="486"/>
      <c r="U4424" s="106"/>
      <c r="V4424" s="4129"/>
      <c r="W4424" s="2440"/>
      <c r="X4424" s="465"/>
      <c r="Y4424" s="465"/>
      <c r="Z4424" s="462"/>
      <c r="AA4424" s="462"/>
      <c r="AB4424" s="465"/>
      <c r="AC4424" s="3568"/>
      <c r="AD4424" s="462"/>
      <c r="AE4424" s="2939"/>
      <c r="AF4424" s="663"/>
      <c r="AG4424" s="663"/>
      <c r="AH4424" s="156"/>
      <c r="AI4424" s="156"/>
      <c r="AJ4424" s="156"/>
      <c r="AK4424" s="156"/>
      <c r="AL4424" s="156"/>
      <c r="AM4424" s="156"/>
      <c r="AN4424" s="156"/>
      <c r="AO4424" s="156"/>
      <c r="AP4424" s="156"/>
      <c r="AQ4424" s="156"/>
      <c r="AR4424" s="156"/>
      <c r="AS4424" s="156"/>
      <c r="AT4424" s="156"/>
      <c r="AU4424" s="156"/>
      <c r="AV4424" s="156"/>
      <c r="AW4424" s="156"/>
      <c r="AX4424" s="156"/>
      <c r="AY4424" s="156"/>
      <c r="AZ4424" s="156"/>
      <c r="BA4424" s="156"/>
      <c r="BB4424" s="2828"/>
      <c r="BC4424" s="452"/>
      <c r="BD4424" s="2829"/>
      <c r="BE4424" s="2837"/>
      <c r="BF4424" s="156"/>
    </row>
    <row r="4425" spans="1:58" ht="14.5" customHeight="1" outlineLevel="1" x14ac:dyDescent="0.35">
      <c r="A4425" s="1664"/>
      <c r="B4425" s="2812"/>
      <c r="C4425" s="3077"/>
      <c r="D4425" s="3980"/>
      <c r="E4425" s="3883"/>
      <c r="F4425" s="3984" t="str">
        <f t="shared" si="461"/>
        <v>ASHP-SEER21_ER2_MF</v>
      </c>
      <c r="G4425" s="3984"/>
      <c r="H4425" s="3984"/>
      <c r="I4425" s="3984"/>
      <c r="J4425" s="3508" t="str">
        <f t="shared" si="462"/>
        <v>354900_2019_12_</v>
      </c>
      <c r="K4425" s="462"/>
      <c r="L4425" s="93" t="str">
        <f>IF(K4425&gt;0,VLOOKUP(J4425,$J$1940:$L$2132,3,FALSE),"")</f>
        <v/>
      </c>
      <c r="M4425" s="3031" t="str">
        <f>IF(K4425&gt;0,VLOOKUP(J4425,$J$3484:$K$3676,2,FALSE),"")</f>
        <v/>
      </c>
      <c r="N4425" s="963"/>
      <c r="O4425" s="106"/>
      <c r="P4425" s="702"/>
      <c r="Q4425" s="574"/>
      <c r="R4425" s="702"/>
      <c r="S4425" s="106"/>
      <c r="T4425" s="486"/>
      <c r="U4425" s="106"/>
      <c r="V4425" s="4129"/>
      <c r="W4425" s="2440"/>
      <c r="X4425" s="465"/>
      <c r="Y4425" s="465"/>
      <c r="Z4425" s="462"/>
      <c r="AA4425" s="462"/>
      <c r="AB4425" s="465"/>
      <c r="AC4425" s="3568"/>
      <c r="AD4425" s="462"/>
      <c r="AE4425" s="2939"/>
      <c r="AF4425" s="663"/>
      <c r="AG4425" s="663"/>
      <c r="AH4425" s="156"/>
      <c r="AI4425" s="156"/>
      <c r="AJ4425" s="156"/>
      <c r="AK4425" s="156"/>
      <c r="AL4425" s="156"/>
      <c r="AM4425" s="156"/>
      <c r="AN4425" s="156"/>
      <c r="AO4425" s="156"/>
      <c r="AP4425" s="156"/>
      <c r="AQ4425" s="156"/>
      <c r="AR4425" s="156"/>
      <c r="AS4425" s="156"/>
      <c r="AT4425" s="156"/>
      <c r="AU4425" s="156"/>
      <c r="AV4425" s="156"/>
      <c r="AW4425" s="156"/>
      <c r="AX4425" s="156"/>
      <c r="AY4425" s="156"/>
      <c r="AZ4425" s="156"/>
      <c r="BA4425" s="156"/>
      <c r="BB4425" s="2828"/>
      <c r="BC4425" s="452"/>
      <c r="BD4425" s="2829"/>
      <c r="BE4425" s="2837"/>
      <c r="BF4425" s="156"/>
    </row>
    <row r="4426" spans="1:58" ht="14.5" customHeight="1" outlineLevel="1" x14ac:dyDescent="0.35">
      <c r="A4426" s="1664"/>
      <c r="B4426" s="2812"/>
      <c r="C4426" s="3077"/>
      <c r="D4426" s="3980"/>
      <c r="E4426" s="3883"/>
      <c r="F4426" s="3984" t="str">
        <f t="shared" si="461"/>
        <v>ASHP-SEER21_ER1_MF_CompE</v>
      </c>
      <c r="G4426" s="3984"/>
      <c r="H4426" s="3984"/>
      <c r="I4426" s="3984"/>
      <c r="J4426" s="3508" t="str">
        <f t="shared" si="462"/>
        <v>354901_2019_12_</v>
      </c>
      <c r="K4426" s="462">
        <f>(($R$1960*L4426)+$R$1950)-(($Q$1960*L4426)/((1+$R$1962)^($R$1963-1)))</f>
        <v>2202.4463238752733</v>
      </c>
      <c r="L4426" s="93">
        <f>VLOOKUP(J4426,$J$1940:$L$2132,3,FALSE)*M4426</f>
        <v>2.145</v>
      </c>
      <c r="M4426" s="3031">
        <f>VLOOKUP(J4426,$J$3484:$K$3676,2,FALSE)</f>
        <v>0.65</v>
      </c>
      <c r="N4426" s="963"/>
      <c r="O4426" s="106"/>
      <c r="P4426" s="702"/>
      <c r="Q4426" s="574"/>
      <c r="R4426" s="702"/>
      <c r="S4426" s="106"/>
      <c r="T4426" s="486"/>
      <c r="U4426" s="106"/>
      <c r="V4426" s="4129"/>
      <c r="W4426" s="2440"/>
      <c r="X4426" s="465"/>
      <c r="Y4426" s="465"/>
      <c r="Z4426" s="462"/>
      <c r="AA4426" s="462"/>
      <c r="AB4426" s="465"/>
      <c r="AC4426" s="3569">
        <v>2202.4463238752733</v>
      </c>
      <c r="AD4426" s="462">
        <v>2202.4463238752733</v>
      </c>
      <c r="AE4426" s="2939"/>
      <c r="AF4426" s="663"/>
      <c r="AG4426" s="663"/>
      <c r="AH4426" s="156"/>
      <c r="AI4426" s="156"/>
      <c r="AJ4426" s="156"/>
      <c r="AK4426" s="156"/>
      <c r="AL4426" s="156"/>
      <c r="AM4426" s="156"/>
      <c r="AN4426" s="156"/>
      <c r="AO4426" s="156"/>
      <c r="AP4426" s="156"/>
      <c r="AQ4426" s="156"/>
      <c r="AR4426" s="156"/>
      <c r="AS4426" s="156"/>
      <c r="AT4426" s="156"/>
      <c r="AU4426" s="156"/>
      <c r="AV4426" s="156"/>
      <c r="AW4426" s="156"/>
      <c r="AX4426" s="156"/>
      <c r="AY4426" s="156"/>
      <c r="AZ4426" s="156"/>
      <c r="BA4426" s="156"/>
      <c r="BB4426" s="2828"/>
      <c r="BC4426" s="452"/>
      <c r="BD4426" s="2829"/>
      <c r="BE4426" s="2837"/>
      <c r="BF4426" s="156"/>
    </row>
    <row r="4427" spans="1:58" ht="14.5" customHeight="1" outlineLevel="1" x14ac:dyDescent="0.35">
      <c r="A4427" s="1664"/>
      <c r="B4427" s="2812"/>
      <c r="C4427" s="3077"/>
      <c r="D4427" s="3980"/>
      <c r="E4427" s="3883"/>
      <c r="F4427" s="3984" t="str">
        <f t="shared" si="461"/>
        <v>ASHP-SEER21_ER1_MF_CompE</v>
      </c>
      <c r="G4427" s="3984"/>
      <c r="H4427" s="3984"/>
      <c r="I4427" s="3984"/>
      <c r="J4427" s="3508" t="str">
        <f t="shared" si="462"/>
        <v>354901_2019_12_</v>
      </c>
      <c r="K4427" s="462"/>
      <c r="L4427" s="93"/>
      <c r="M4427" s="3031"/>
      <c r="N4427" s="963"/>
      <c r="O4427" s="106"/>
      <c r="P4427" s="702"/>
      <c r="Q4427" s="574"/>
      <c r="R4427" s="702"/>
      <c r="S4427" s="106"/>
      <c r="T4427" s="486"/>
      <c r="U4427" s="106"/>
      <c r="V4427" s="4129"/>
      <c r="W4427" s="2440"/>
      <c r="X4427" s="465"/>
      <c r="Y4427" s="465"/>
      <c r="Z4427" s="462"/>
      <c r="AA4427" s="462"/>
      <c r="AB4427" s="465"/>
      <c r="AC4427" s="3568"/>
      <c r="AD4427" s="462"/>
      <c r="AE4427" s="2939"/>
      <c r="AF4427" s="663"/>
      <c r="AG4427" s="663"/>
      <c r="AH4427" s="156"/>
      <c r="AI4427" s="156"/>
      <c r="AJ4427" s="156"/>
      <c r="AK4427" s="156"/>
      <c r="AL4427" s="156"/>
      <c r="AM4427" s="156"/>
      <c r="AN4427" s="156"/>
      <c r="AO4427" s="156"/>
      <c r="AP4427" s="156"/>
      <c r="AQ4427" s="156"/>
      <c r="AR4427" s="156"/>
      <c r="AS4427" s="156"/>
      <c r="AT4427" s="156"/>
      <c r="AU4427" s="156"/>
      <c r="AV4427" s="156"/>
      <c r="AW4427" s="156"/>
      <c r="AX4427" s="156"/>
      <c r="AY4427" s="156"/>
      <c r="AZ4427" s="156"/>
      <c r="BA4427" s="156"/>
      <c r="BB4427" s="2828"/>
      <c r="BC4427" s="452"/>
      <c r="BD4427" s="2829"/>
      <c r="BE4427" s="2837"/>
      <c r="BF4427" s="156"/>
    </row>
    <row r="4428" spans="1:58" ht="14.5" customHeight="1" outlineLevel="1" x14ac:dyDescent="0.35">
      <c r="A4428" s="1664"/>
      <c r="B4428" s="2812"/>
      <c r="C4428" s="3077"/>
      <c r="D4428" s="3980"/>
      <c r="E4428" s="3883"/>
      <c r="F4428" s="3984" t="str">
        <f t="shared" si="461"/>
        <v>ASHP-SEER21_ER2_MF_CompE</v>
      </c>
      <c r="G4428" s="3984"/>
      <c r="H4428" s="3984"/>
      <c r="I4428" s="3984"/>
      <c r="J4428" s="3508" t="str">
        <f t="shared" si="462"/>
        <v>354901_2019_12_</v>
      </c>
      <c r="K4428" s="462"/>
      <c r="L4428" s="93"/>
      <c r="M4428" s="3031"/>
      <c r="N4428" s="963"/>
      <c r="O4428" s="106"/>
      <c r="P4428" s="702"/>
      <c r="Q4428" s="574"/>
      <c r="R4428" s="702"/>
      <c r="S4428" s="106"/>
      <c r="T4428" s="486"/>
      <c r="U4428" s="106"/>
      <c r="V4428" s="4129"/>
      <c r="W4428" s="2440"/>
      <c r="X4428" s="465"/>
      <c r="Y4428" s="465"/>
      <c r="Z4428" s="462"/>
      <c r="AA4428" s="462"/>
      <c r="AB4428" s="465"/>
      <c r="AC4428" s="3568"/>
      <c r="AD4428" s="462"/>
      <c r="AE4428" s="2939"/>
      <c r="AF4428" s="663"/>
      <c r="AG4428" s="663"/>
      <c r="AH4428" s="156"/>
      <c r="AI4428" s="156"/>
      <c r="AJ4428" s="156"/>
      <c r="AK4428" s="156"/>
      <c r="AL4428" s="156"/>
      <c r="AM4428" s="156"/>
      <c r="AN4428" s="156"/>
      <c r="AO4428" s="156"/>
      <c r="AP4428" s="156"/>
      <c r="AQ4428" s="156"/>
      <c r="AR4428" s="156"/>
      <c r="AS4428" s="156"/>
      <c r="AT4428" s="156"/>
      <c r="AU4428" s="156"/>
      <c r="AV4428" s="156"/>
      <c r="AW4428" s="156"/>
      <c r="AX4428" s="156"/>
      <c r="AY4428" s="156"/>
      <c r="AZ4428" s="156"/>
      <c r="BA4428" s="156"/>
      <c r="BB4428" s="2828"/>
      <c r="BC4428" s="452"/>
      <c r="BD4428" s="2829"/>
      <c r="BE4428" s="2837"/>
      <c r="BF4428" s="156"/>
    </row>
    <row r="4429" spans="1:58" ht="14.5" customHeight="1" outlineLevel="1" x14ac:dyDescent="0.35">
      <c r="A4429" s="1664"/>
      <c r="B4429" s="2812"/>
      <c r="C4429" s="3077"/>
      <c r="D4429" s="3980"/>
      <c r="E4429" s="3883"/>
      <c r="F4429" s="3984" t="str">
        <f t="shared" si="461"/>
        <v>ASHP-SEER21_ER2_MF_CompE</v>
      </c>
      <c r="G4429" s="3984"/>
      <c r="H4429" s="3984"/>
      <c r="I4429" s="3984"/>
      <c r="J4429" s="3508" t="str">
        <f t="shared" si="462"/>
        <v>354901_2019_12_</v>
      </c>
      <c r="K4429" s="462"/>
      <c r="L4429" s="93"/>
      <c r="M4429" s="3031"/>
      <c r="N4429" s="963"/>
      <c r="O4429" s="106"/>
      <c r="P4429" s="702"/>
      <c r="Q4429" s="574"/>
      <c r="R4429" s="702"/>
      <c r="S4429" s="106"/>
      <c r="T4429" s="486"/>
      <c r="U4429" s="106"/>
      <c r="V4429" s="4129"/>
      <c r="W4429" s="2440"/>
      <c r="X4429" s="465"/>
      <c r="Y4429" s="465"/>
      <c r="Z4429" s="462"/>
      <c r="AA4429" s="462"/>
      <c r="AB4429" s="465"/>
      <c r="AC4429" s="3568"/>
      <c r="AD4429" s="462"/>
      <c r="AE4429" s="2939"/>
      <c r="AF4429" s="663"/>
      <c r="AG4429" s="663"/>
      <c r="AH4429" s="156"/>
      <c r="AI4429" s="156"/>
      <c r="AJ4429" s="156"/>
      <c r="AK4429" s="156"/>
      <c r="AL4429" s="156"/>
      <c r="AM4429" s="156"/>
      <c r="AN4429" s="156"/>
      <c r="AO4429" s="156"/>
      <c r="AP4429" s="156"/>
      <c r="AQ4429" s="156"/>
      <c r="AR4429" s="156"/>
      <c r="AS4429" s="156"/>
      <c r="AT4429" s="156"/>
      <c r="AU4429" s="156"/>
      <c r="AV4429" s="156"/>
      <c r="AW4429" s="156"/>
      <c r="AX4429" s="156"/>
      <c r="AY4429" s="156"/>
      <c r="AZ4429" s="156"/>
      <c r="BA4429" s="156"/>
      <c r="BB4429" s="2828"/>
      <c r="BC4429" s="452"/>
      <c r="BD4429" s="2829"/>
      <c r="BE4429" s="2837"/>
      <c r="BF4429" s="156"/>
    </row>
    <row r="4430" spans="1:58" ht="14.5" customHeight="1" outlineLevel="1" x14ac:dyDescent="0.35">
      <c r="A4430" s="1664"/>
      <c r="B4430" s="2812"/>
      <c r="C4430" s="3077"/>
      <c r="D4430" s="3980"/>
      <c r="E4430" s="3883"/>
      <c r="F4430" s="3984" t="str">
        <f t="shared" si="461"/>
        <v>ASHP-SEER17_ROF_MF</v>
      </c>
      <c r="G4430" s="3984"/>
      <c r="H4430" s="3984"/>
      <c r="I4430" s="3984"/>
      <c r="J4430" s="3508" t="str">
        <f t="shared" si="462"/>
        <v>354950_2019_12_</v>
      </c>
      <c r="K4430" s="462">
        <f>$R$1946*K$3490</f>
        <v>724</v>
      </c>
      <c r="L4430" s="93">
        <f>VLOOKUP(J4430,$J$1940:$L$2132,3,FALSE)*M4430</f>
        <v>2.145</v>
      </c>
      <c r="M4430" s="3031">
        <f>VLOOKUP(J4430,$J$3484:$K$3676,2,FALSE)</f>
        <v>0.65</v>
      </c>
      <c r="N4430" s="963"/>
      <c r="O4430" s="106"/>
      <c r="P4430" s="702"/>
      <c r="Q4430" s="574"/>
      <c r="R4430" s="702"/>
      <c r="S4430" s="106"/>
      <c r="T4430" s="486"/>
      <c r="U4430" s="106"/>
      <c r="V4430" s="4129"/>
      <c r="W4430" s="2440">
        <v>1914</v>
      </c>
      <c r="X4430" s="465">
        <f>$R$1946*(X$2123/12000)*X$3667</f>
        <v>1552.98</v>
      </c>
      <c r="Y4430" s="465">
        <v>580</v>
      </c>
      <c r="Z4430" s="462">
        <v>580</v>
      </c>
      <c r="AA4430" s="462">
        <v>580</v>
      </c>
      <c r="AB4430" s="465">
        <v>724</v>
      </c>
      <c r="AC4430" s="3568">
        <v>724</v>
      </c>
      <c r="AD4430" s="462">
        <v>724</v>
      </c>
      <c r="AE4430" s="2939"/>
      <c r="AF4430" s="663"/>
      <c r="AG4430" s="663"/>
      <c r="AH4430" s="156"/>
      <c r="AI4430" s="156"/>
      <c r="AJ4430" s="156"/>
      <c r="AK4430" s="156"/>
      <c r="AL4430" s="156"/>
      <c r="AM4430" s="156"/>
      <c r="AN4430" s="156"/>
      <c r="AO4430" s="156"/>
      <c r="AP4430" s="156"/>
      <c r="AQ4430" s="156"/>
      <c r="AR4430" s="156"/>
      <c r="AS4430" s="156"/>
      <c r="AT4430" s="156"/>
      <c r="AU4430" s="156"/>
      <c r="AV4430" s="156"/>
      <c r="AW4430" s="156"/>
      <c r="AX4430" s="156"/>
      <c r="AY4430" s="156"/>
      <c r="AZ4430" s="156"/>
      <c r="BA4430" s="156"/>
      <c r="BB4430" s="2828"/>
      <c r="BC4430" s="452"/>
      <c r="BD4430" s="2829"/>
      <c r="BE4430" s="2837"/>
      <c r="BF4430" s="156"/>
    </row>
    <row r="4431" spans="1:58" ht="14.5" customHeight="1" outlineLevel="1" x14ac:dyDescent="0.35">
      <c r="A4431" s="1664"/>
      <c r="B4431" s="2812"/>
      <c r="C4431" s="3077"/>
      <c r="D4431" s="3980"/>
      <c r="E4431" s="3883"/>
      <c r="F4431" s="3984" t="str">
        <f t="shared" si="461"/>
        <v>ASHP-SEER17_ROF_MF</v>
      </c>
      <c r="G4431" s="3984"/>
      <c r="H4431" s="3984"/>
      <c r="I4431" s="3984"/>
      <c r="J4431" s="3508" t="str">
        <f t="shared" si="462"/>
        <v>354950_2019_12_</v>
      </c>
      <c r="K4431" s="462"/>
      <c r="L4431" s="93" t="str">
        <f>IF(K4431&gt;0,VLOOKUP(J4431,$J$1940:$L$2132,3,FALSE),"")</f>
        <v/>
      </c>
      <c r="M4431" s="3031" t="str">
        <f>IF(K4431&gt;0,VLOOKUP(J4431,$J$3484:$K$3676,2,FALSE),"")</f>
        <v/>
      </c>
      <c r="N4431" s="963"/>
      <c r="O4431" s="106"/>
      <c r="P4431" s="702"/>
      <c r="Q4431" s="574"/>
      <c r="R4431" s="702"/>
      <c r="S4431" s="106"/>
      <c r="T4431" s="486"/>
      <c r="U4431" s="106"/>
      <c r="V4431" s="4129"/>
      <c r="W4431" s="2440"/>
      <c r="X4431" s="465"/>
      <c r="Y4431" s="465"/>
      <c r="Z4431" s="462"/>
      <c r="AA4431" s="462"/>
      <c r="AB4431" s="465"/>
      <c r="AC4431" s="3568"/>
      <c r="AD4431" s="462"/>
      <c r="AE4431" s="2939"/>
      <c r="AF4431" s="663"/>
      <c r="AG4431" s="663"/>
      <c r="AH4431" s="156"/>
      <c r="AI4431" s="156"/>
      <c r="AJ4431" s="156"/>
      <c r="AK4431" s="156"/>
      <c r="AL4431" s="156"/>
      <c r="AM4431" s="156"/>
      <c r="AN4431" s="156"/>
      <c r="AO4431" s="156"/>
      <c r="AP4431" s="156"/>
      <c r="AQ4431" s="156"/>
      <c r="AR4431" s="156"/>
      <c r="AS4431" s="156"/>
      <c r="AT4431" s="156"/>
      <c r="AU4431" s="156"/>
      <c r="AV4431" s="156"/>
      <c r="AW4431" s="156"/>
      <c r="AX4431" s="156"/>
      <c r="AY4431" s="156"/>
      <c r="AZ4431" s="156"/>
      <c r="BA4431" s="156"/>
      <c r="BB4431" s="2828"/>
      <c r="BC4431" s="452"/>
      <c r="BD4431" s="2829"/>
      <c r="BE4431" s="2837"/>
      <c r="BF4431" s="156"/>
    </row>
    <row r="4432" spans="1:58" ht="14.5" customHeight="1" outlineLevel="1" x14ac:dyDescent="0.35">
      <c r="A4432" s="1664"/>
      <c r="B4432" s="2812"/>
      <c r="C4432" s="3077"/>
      <c r="D4432" s="3980"/>
      <c r="E4432" s="3883"/>
      <c r="F4432" s="3984" t="str">
        <f t="shared" si="461"/>
        <v>ASHP-SEER17_ROF_MF_CompE</v>
      </c>
      <c r="G4432" s="3984"/>
      <c r="H4432" s="3984"/>
      <c r="I4432" s="3984"/>
      <c r="J4432" s="3508" t="str">
        <f t="shared" si="462"/>
        <v>354951_2019_12_</v>
      </c>
      <c r="K4432" s="462">
        <f>$R$1946*K$3490</f>
        <v>724</v>
      </c>
      <c r="L4432" s="93">
        <f>VLOOKUP(J4432,$J$1940:$L$2132,3,FALSE)*M4432</f>
        <v>2.145</v>
      </c>
      <c r="M4432" s="3031">
        <f>VLOOKUP(J4432,$J$3484:$K$3676,2,FALSE)</f>
        <v>0.65</v>
      </c>
      <c r="N4432" s="963"/>
      <c r="O4432" s="106"/>
      <c r="P4432" s="702"/>
      <c r="Q4432" s="574"/>
      <c r="R4432" s="702"/>
      <c r="S4432" s="106"/>
      <c r="T4432" s="486"/>
      <c r="U4432" s="106"/>
      <c r="V4432" s="4129"/>
      <c r="W4432" s="2440"/>
      <c r="X4432" s="465"/>
      <c r="Y4432" s="465"/>
      <c r="Z4432" s="462"/>
      <c r="AA4432" s="462"/>
      <c r="AB4432" s="465"/>
      <c r="AC4432" s="3569">
        <v>724</v>
      </c>
      <c r="AD4432" s="462">
        <v>724</v>
      </c>
      <c r="AE4432" s="2939"/>
      <c r="AF4432" s="663"/>
      <c r="AG4432" s="663"/>
      <c r="AH4432" s="156"/>
      <c r="AI4432" s="156"/>
      <c r="AJ4432" s="156"/>
      <c r="AK4432" s="156"/>
      <c r="AL4432" s="156"/>
      <c r="AM4432" s="156"/>
      <c r="AN4432" s="156"/>
      <c r="AO4432" s="156"/>
      <c r="AP4432" s="156"/>
      <c r="AQ4432" s="156"/>
      <c r="AR4432" s="156"/>
      <c r="AS4432" s="156"/>
      <c r="AT4432" s="156"/>
      <c r="AU4432" s="156"/>
      <c r="AV4432" s="156"/>
      <c r="AW4432" s="156"/>
      <c r="AX4432" s="156"/>
      <c r="AY4432" s="156"/>
      <c r="AZ4432" s="156"/>
      <c r="BA4432" s="156"/>
      <c r="BB4432" s="2828"/>
      <c r="BC4432" s="452"/>
      <c r="BD4432" s="2829"/>
      <c r="BE4432" s="2837"/>
      <c r="BF4432" s="156"/>
    </row>
    <row r="4433" spans="1:58" ht="14.5" customHeight="1" outlineLevel="1" x14ac:dyDescent="0.35">
      <c r="A4433" s="1664"/>
      <c r="B4433" s="2812"/>
      <c r="C4433" s="3077"/>
      <c r="D4433" s="3980"/>
      <c r="E4433" s="3883"/>
      <c r="F4433" s="3984" t="str">
        <f t="shared" si="461"/>
        <v>ASHP-SEER17_ROF_MF_CompE</v>
      </c>
      <c r="G4433" s="3984"/>
      <c r="H4433" s="3984"/>
      <c r="I4433" s="3984"/>
      <c r="J4433" s="3508" t="str">
        <f t="shared" si="462"/>
        <v>354951_2019_12_</v>
      </c>
      <c r="K4433" s="462"/>
      <c r="L4433" s="93"/>
      <c r="M4433" s="3031"/>
      <c r="N4433" s="963"/>
      <c r="O4433" s="106"/>
      <c r="P4433" s="702"/>
      <c r="Q4433" s="574"/>
      <c r="R4433" s="702"/>
      <c r="S4433" s="106"/>
      <c r="T4433" s="486"/>
      <c r="U4433" s="106"/>
      <c r="V4433" s="4129"/>
      <c r="W4433" s="2440"/>
      <c r="X4433" s="465"/>
      <c r="Y4433" s="465"/>
      <c r="Z4433" s="462"/>
      <c r="AA4433" s="462"/>
      <c r="AB4433" s="465"/>
      <c r="AC4433" s="3568"/>
      <c r="AD4433" s="462"/>
      <c r="AE4433" s="2939"/>
      <c r="AF4433" s="663"/>
      <c r="AG4433" s="663"/>
      <c r="AH4433" s="156"/>
      <c r="AI4433" s="156"/>
      <c r="AJ4433" s="156"/>
      <c r="AK4433" s="156"/>
      <c r="AL4433" s="156"/>
      <c r="AM4433" s="156"/>
      <c r="AN4433" s="156"/>
      <c r="AO4433" s="156"/>
      <c r="AP4433" s="156"/>
      <c r="AQ4433" s="156"/>
      <c r="AR4433" s="156"/>
      <c r="AS4433" s="156"/>
      <c r="AT4433" s="156"/>
      <c r="AU4433" s="156"/>
      <c r="AV4433" s="156"/>
      <c r="AW4433" s="156"/>
      <c r="AX4433" s="156"/>
      <c r="AY4433" s="156"/>
      <c r="AZ4433" s="156"/>
      <c r="BA4433" s="156"/>
      <c r="BB4433" s="2828"/>
      <c r="BC4433" s="452"/>
      <c r="BD4433" s="2829"/>
      <c r="BE4433" s="2837"/>
      <c r="BF4433" s="156"/>
    </row>
    <row r="4434" spans="1:58" ht="14.5" customHeight="1" outlineLevel="1" x14ac:dyDescent="0.35">
      <c r="A4434" s="1664"/>
      <c r="B4434" s="2812"/>
      <c r="C4434" s="3077"/>
      <c r="D4434" s="3980"/>
      <c r="E4434" s="3883"/>
      <c r="F4434" s="3984" t="str">
        <f t="shared" si="461"/>
        <v>ASHP-SEER18_ROF_MF</v>
      </c>
      <c r="G4434" s="3984"/>
      <c r="H4434" s="3984"/>
      <c r="I4434" s="3984"/>
      <c r="J4434" s="3508" t="str">
        <f t="shared" si="462"/>
        <v>355000_2019_12_</v>
      </c>
      <c r="K4434" s="462">
        <f>$R$1947*K$3490</f>
        <v>962.92000000000007</v>
      </c>
      <c r="L4434" s="93">
        <f>VLOOKUP(J4434,$J$1940:$L$2132,3,FALSE)*M4434</f>
        <v>2.145</v>
      </c>
      <c r="M4434" s="3031">
        <f>VLOOKUP(J4434,$J$3484:$K$3676,2,FALSE)</f>
        <v>0.65</v>
      </c>
      <c r="N4434" s="963"/>
      <c r="O4434" s="106"/>
      <c r="P4434" s="702"/>
      <c r="Q4434" s="574"/>
      <c r="R4434" s="702"/>
      <c r="S4434" s="106"/>
      <c r="T4434" s="486"/>
      <c r="U4434" s="106"/>
      <c r="V4434" s="4129"/>
      <c r="W4434" s="2440">
        <v>2354</v>
      </c>
      <c r="X4434" s="465">
        <f>$R$1947*(X$2125/12000)*X$3669</f>
        <v>2065.4634000000001</v>
      </c>
      <c r="Y4434" s="465">
        <v>713.33333333333337</v>
      </c>
      <c r="Z4434" s="462">
        <v>713.33333333333337</v>
      </c>
      <c r="AA4434" s="462">
        <v>713.33333333333337</v>
      </c>
      <c r="AB4434" s="465">
        <v>962.92000000000007</v>
      </c>
      <c r="AC4434" s="3568">
        <v>962.92000000000007</v>
      </c>
      <c r="AD4434" s="462">
        <v>962.92000000000007</v>
      </c>
      <c r="AE4434" s="2939"/>
      <c r="AF4434" s="663"/>
      <c r="AG4434" s="663"/>
      <c r="AH4434" s="156"/>
      <c r="AI4434" s="156"/>
      <c r="AJ4434" s="156"/>
      <c r="AK4434" s="156"/>
      <c r="AL4434" s="156"/>
      <c r="AM4434" s="156"/>
      <c r="AN4434" s="156"/>
      <c r="AO4434" s="156"/>
      <c r="AP4434" s="156"/>
      <c r="AQ4434" s="156"/>
      <c r="AR4434" s="156"/>
      <c r="AS4434" s="156"/>
      <c r="AT4434" s="156"/>
      <c r="AU4434" s="156"/>
      <c r="AV4434" s="156"/>
      <c r="AW4434" s="156"/>
      <c r="AX4434" s="156"/>
      <c r="AY4434" s="156"/>
      <c r="AZ4434" s="156"/>
      <c r="BA4434" s="156"/>
      <c r="BB4434" s="2828"/>
      <c r="BC4434" s="452"/>
      <c r="BD4434" s="2829"/>
      <c r="BE4434" s="2837"/>
      <c r="BF4434" s="156"/>
    </row>
    <row r="4435" spans="1:58" ht="14.5" customHeight="1" outlineLevel="1" x14ac:dyDescent="0.35">
      <c r="A4435" s="1664"/>
      <c r="B4435" s="2812"/>
      <c r="C4435" s="3077"/>
      <c r="D4435" s="3980"/>
      <c r="E4435" s="3883"/>
      <c r="F4435" s="3984" t="str">
        <f t="shared" si="461"/>
        <v>ASHP-SEER18_ROF_MF</v>
      </c>
      <c r="G4435" s="3984"/>
      <c r="H4435" s="3984"/>
      <c r="I4435" s="3984"/>
      <c r="J4435" s="3508" t="str">
        <f t="shared" si="462"/>
        <v>355000_2019_12_</v>
      </c>
      <c r="K4435" s="462"/>
      <c r="L4435" s="93" t="str">
        <f>IF(K4435&gt;0,VLOOKUP(J4435,$J$1940:$L$2132,3,FALSE),"")</f>
        <v/>
      </c>
      <c r="M4435" s="3031" t="str">
        <f>IF(K4435&gt;0,VLOOKUP(J4435,$J$3484:$K$3676,2,FALSE),"")</f>
        <v/>
      </c>
      <c r="N4435" s="963"/>
      <c r="O4435" s="106"/>
      <c r="P4435" s="702"/>
      <c r="Q4435" s="574"/>
      <c r="R4435" s="702"/>
      <c r="S4435" s="106"/>
      <c r="T4435" s="486"/>
      <c r="U4435" s="106"/>
      <c r="V4435" s="4129"/>
      <c r="W4435" s="2440"/>
      <c r="X4435" s="465"/>
      <c r="Y4435" s="465"/>
      <c r="Z4435" s="462"/>
      <c r="AA4435" s="462"/>
      <c r="AB4435" s="465"/>
      <c r="AC4435" s="3568"/>
      <c r="AD4435" s="462"/>
      <c r="AE4435" s="2939"/>
      <c r="AF4435" s="663"/>
      <c r="AG4435" s="663"/>
      <c r="AH4435" s="156"/>
      <c r="AI4435" s="156"/>
      <c r="AJ4435" s="156"/>
      <c r="AK4435" s="156"/>
      <c r="AL4435" s="156"/>
      <c r="AM4435" s="156"/>
      <c r="AN4435" s="156"/>
      <c r="AO4435" s="156"/>
      <c r="AP4435" s="156"/>
      <c r="AQ4435" s="156"/>
      <c r="AR4435" s="156"/>
      <c r="AS4435" s="156"/>
      <c r="AT4435" s="156"/>
      <c r="AU4435" s="156"/>
      <c r="AV4435" s="156"/>
      <c r="AW4435" s="156"/>
      <c r="AX4435" s="156"/>
      <c r="AY4435" s="156"/>
      <c r="AZ4435" s="156"/>
      <c r="BA4435" s="156"/>
      <c r="BB4435" s="2828"/>
      <c r="BC4435" s="452"/>
      <c r="BD4435" s="2829"/>
      <c r="BE4435" s="2837"/>
      <c r="BF4435" s="156"/>
    </row>
    <row r="4436" spans="1:58" ht="14.5" customHeight="1" outlineLevel="1" x14ac:dyDescent="0.35">
      <c r="A4436" s="1664"/>
      <c r="B4436" s="2812"/>
      <c r="C4436" s="3077"/>
      <c r="D4436" s="3980"/>
      <c r="E4436" s="3883"/>
      <c r="F4436" s="3984" t="str">
        <f t="shared" si="461"/>
        <v>ASHP-SEER18_ROF_MF_CompE</v>
      </c>
      <c r="G4436" s="3984"/>
      <c r="H4436" s="3984"/>
      <c r="I4436" s="3984"/>
      <c r="J4436" s="3508" t="str">
        <f t="shared" si="462"/>
        <v>355001_2021_12_</v>
      </c>
      <c r="K4436" s="462">
        <f>$R$1947*K$3490</f>
        <v>962.92000000000007</v>
      </c>
      <c r="L4436" s="93">
        <f>VLOOKUP(J4436,$J$1940:$L$2132,3,FALSE)*M4436</f>
        <v>2.145</v>
      </c>
      <c r="M4436" s="3031">
        <f>VLOOKUP(J4436,$J$3484:$K$3676,2,FALSE)</f>
        <v>0.65</v>
      </c>
      <c r="N4436" s="963"/>
      <c r="O4436" s="106"/>
      <c r="P4436" s="702"/>
      <c r="Q4436" s="574"/>
      <c r="R4436" s="702"/>
      <c r="S4436" s="106"/>
      <c r="T4436" s="486"/>
      <c r="U4436" s="106"/>
      <c r="V4436" s="4129"/>
      <c r="W4436" s="2440"/>
      <c r="X4436" s="465"/>
      <c r="Y4436" s="465"/>
      <c r="Z4436" s="462"/>
      <c r="AA4436" s="462"/>
      <c r="AB4436" s="465"/>
      <c r="AC4436" s="3569">
        <v>962.92000000000007</v>
      </c>
      <c r="AD4436" s="462">
        <v>962.92000000000007</v>
      </c>
      <c r="AE4436" s="2939"/>
      <c r="AF4436" s="663"/>
      <c r="AG4436" s="663"/>
      <c r="AH4436" s="156"/>
      <c r="AI4436" s="156"/>
      <c r="AJ4436" s="156"/>
      <c r="AK4436" s="156"/>
      <c r="AL4436" s="156"/>
      <c r="AM4436" s="156"/>
      <c r="AN4436" s="156"/>
      <c r="AO4436" s="156"/>
      <c r="AP4436" s="156"/>
      <c r="AQ4436" s="156"/>
      <c r="AR4436" s="156"/>
      <c r="AS4436" s="156"/>
      <c r="AT4436" s="156"/>
      <c r="AU4436" s="156"/>
      <c r="AV4436" s="156"/>
      <c r="AW4436" s="156"/>
      <c r="AX4436" s="156"/>
      <c r="AY4436" s="156"/>
      <c r="AZ4436" s="156"/>
      <c r="BA4436" s="156"/>
      <c r="BB4436" s="2828"/>
      <c r="BC4436" s="452"/>
      <c r="BD4436" s="2829"/>
      <c r="BE4436" s="2837"/>
      <c r="BF4436" s="156"/>
    </row>
    <row r="4437" spans="1:58" ht="14.5" customHeight="1" outlineLevel="1" x14ac:dyDescent="0.35">
      <c r="A4437" s="1664"/>
      <c r="B4437" s="2812"/>
      <c r="C4437" s="3077"/>
      <c r="D4437" s="3980"/>
      <c r="E4437" s="3883"/>
      <c r="F4437" s="3984" t="str">
        <f t="shared" si="461"/>
        <v>ASHP-SEER18_ROF_MF_CompE</v>
      </c>
      <c r="G4437" s="3984"/>
      <c r="H4437" s="3984"/>
      <c r="I4437" s="3984"/>
      <c r="J4437" s="3508" t="str">
        <f t="shared" si="462"/>
        <v>355001_2021_12_</v>
      </c>
      <c r="K4437" s="462"/>
      <c r="L4437" s="93"/>
      <c r="M4437" s="3031"/>
      <c r="N4437" s="963"/>
      <c r="O4437" s="106"/>
      <c r="P4437" s="702"/>
      <c r="Q4437" s="574"/>
      <c r="R4437" s="702"/>
      <c r="S4437" s="106"/>
      <c r="T4437" s="486"/>
      <c r="U4437" s="106"/>
      <c r="V4437" s="4129"/>
      <c r="W4437" s="2440"/>
      <c r="X4437" s="465"/>
      <c r="Y4437" s="465"/>
      <c r="Z4437" s="462"/>
      <c r="AA4437" s="462"/>
      <c r="AB4437" s="465"/>
      <c r="AC4437" s="3568"/>
      <c r="AD4437" s="462"/>
      <c r="AE4437" s="2939"/>
      <c r="AF4437" s="663"/>
      <c r="AG4437" s="663"/>
      <c r="AH4437" s="156"/>
      <c r="AI4437" s="156"/>
      <c r="AJ4437" s="156"/>
      <c r="AK4437" s="156"/>
      <c r="AL4437" s="156"/>
      <c r="AM4437" s="156"/>
      <c r="AN4437" s="156"/>
      <c r="AO4437" s="156"/>
      <c r="AP4437" s="156"/>
      <c r="AQ4437" s="156"/>
      <c r="AR4437" s="156"/>
      <c r="AS4437" s="156"/>
      <c r="AT4437" s="156"/>
      <c r="AU4437" s="156"/>
      <c r="AV4437" s="156"/>
      <c r="AW4437" s="156"/>
      <c r="AX4437" s="156"/>
      <c r="AY4437" s="156"/>
      <c r="AZ4437" s="156"/>
      <c r="BA4437" s="156"/>
      <c r="BB4437" s="2828"/>
      <c r="BC4437" s="452"/>
      <c r="BD4437" s="2829"/>
      <c r="BE4437" s="2837"/>
      <c r="BF4437" s="156"/>
    </row>
    <row r="4438" spans="1:58" ht="14.5" customHeight="1" outlineLevel="1" x14ac:dyDescent="0.35">
      <c r="A4438" s="1664"/>
      <c r="B4438" s="2812"/>
      <c r="C4438" s="3077"/>
      <c r="D4438" s="3980"/>
      <c r="E4438" s="3883"/>
      <c r="F4438" s="3984" t="str">
        <f t="shared" si="461"/>
        <v>ASHP-SEER19_ROF_MF</v>
      </c>
      <c r="G4438" s="3984"/>
      <c r="H4438" s="3984"/>
      <c r="I4438" s="3984"/>
      <c r="J4438" s="3508" t="str">
        <f t="shared" si="462"/>
        <v>355050_2019_12_</v>
      </c>
      <c r="K4438" s="462">
        <f>$R$1948*K$3490</f>
        <v>1203.6500000000003</v>
      </c>
      <c r="L4438" s="93">
        <f>VLOOKUP(J4438,$J$1940:$L$2132,3,FALSE)*M4438</f>
        <v>2.145</v>
      </c>
      <c r="M4438" s="3031">
        <f>VLOOKUP(J4438,$J$3484:$K$3676,2,FALSE)</f>
        <v>0.65</v>
      </c>
      <c r="N4438" s="963"/>
      <c r="O4438" s="106"/>
      <c r="P4438" s="702"/>
      <c r="Q4438" s="574"/>
      <c r="R4438" s="702"/>
      <c r="S4438" s="106"/>
      <c r="T4438" s="486"/>
      <c r="U4438" s="106"/>
      <c r="V4438" s="4129"/>
      <c r="W4438" s="2440">
        <v>2684</v>
      </c>
      <c r="X4438" s="465">
        <f>$R$1948*(X$2127/12000)*X$3671</f>
        <v>2581.8292500000007</v>
      </c>
      <c r="Y4438" s="465">
        <v>813.33333333333337</v>
      </c>
      <c r="Z4438" s="462">
        <v>813.33333333333337</v>
      </c>
      <c r="AA4438" s="462">
        <v>813.33333333333337</v>
      </c>
      <c r="AB4438" s="465">
        <v>1203.6500000000003</v>
      </c>
      <c r="AC4438" s="3568">
        <v>1203.6500000000003</v>
      </c>
      <c r="AD4438" s="462">
        <v>1203.6500000000003</v>
      </c>
      <c r="AE4438" s="2939"/>
      <c r="AF4438" s="663"/>
      <c r="AG4438" s="663"/>
      <c r="AH4438" s="156"/>
      <c r="AI4438" s="156"/>
      <c r="AJ4438" s="156"/>
      <c r="AK4438" s="156"/>
      <c r="AL4438" s="156"/>
      <c r="AM4438" s="156"/>
      <c r="AN4438" s="156"/>
      <c r="AO4438" s="156"/>
      <c r="AP4438" s="156"/>
      <c r="AQ4438" s="156"/>
      <c r="AR4438" s="156"/>
      <c r="AS4438" s="156"/>
      <c r="AT4438" s="156"/>
      <c r="AU4438" s="156"/>
      <c r="AV4438" s="156"/>
      <c r="AW4438" s="156"/>
      <c r="AX4438" s="156"/>
      <c r="AY4438" s="156"/>
      <c r="AZ4438" s="156"/>
      <c r="BA4438" s="156"/>
      <c r="BB4438" s="2828"/>
      <c r="BC4438" s="452"/>
      <c r="BD4438" s="2829"/>
      <c r="BE4438" s="2837"/>
      <c r="BF4438" s="156"/>
    </row>
    <row r="4439" spans="1:58" ht="15" customHeight="1" outlineLevel="1" x14ac:dyDescent="0.35">
      <c r="A4439" s="1664"/>
      <c r="B4439" s="2812"/>
      <c r="C4439" s="3077"/>
      <c r="D4439" s="3980"/>
      <c r="E4439" s="3883"/>
      <c r="F4439" s="3984" t="str">
        <f t="shared" si="461"/>
        <v>ASHP-SEER19_ROF_MF</v>
      </c>
      <c r="G4439" s="3984"/>
      <c r="H4439" s="3984"/>
      <c r="I4439" s="3984"/>
      <c r="J4439" s="3508" t="str">
        <f t="shared" si="462"/>
        <v>355050_2019_12_</v>
      </c>
      <c r="K4439" s="462"/>
      <c r="L4439" s="93" t="str">
        <f>IF(K4439&gt;0,VLOOKUP(J4439,$J$1940:$L$2132,3,FALSE),"")</f>
        <v/>
      </c>
      <c r="M4439" s="3031" t="str">
        <f>IF(K4439&gt;0,VLOOKUP(J4439,$J$3484:$K$3676,2,FALSE),"")</f>
        <v/>
      </c>
      <c r="N4439" s="963"/>
      <c r="O4439" s="106"/>
      <c r="P4439" s="702"/>
      <c r="Q4439" s="574"/>
      <c r="R4439" s="702"/>
      <c r="S4439" s="106"/>
      <c r="T4439" s="486"/>
      <c r="U4439" s="106"/>
      <c r="V4439" s="4129"/>
      <c r="W4439" s="2440"/>
      <c r="X4439" s="465"/>
      <c r="Y4439" s="465"/>
      <c r="Z4439" s="462"/>
      <c r="AA4439" s="462"/>
      <c r="AB4439" s="465"/>
      <c r="AC4439" s="3568"/>
      <c r="AD4439" s="462"/>
      <c r="AE4439" s="2939"/>
      <c r="AF4439" s="663"/>
      <c r="AG4439" s="663"/>
      <c r="AH4439" s="156"/>
      <c r="AI4439" s="156"/>
      <c r="AJ4439" s="156"/>
      <c r="AK4439" s="156"/>
      <c r="AL4439" s="156"/>
      <c r="AM4439" s="156"/>
      <c r="AN4439" s="156"/>
      <c r="AO4439" s="156"/>
      <c r="AP4439" s="156"/>
      <c r="AQ4439" s="156"/>
      <c r="AR4439" s="156"/>
      <c r="AS4439" s="156"/>
      <c r="AT4439" s="156"/>
      <c r="AU4439" s="156"/>
      <c r="AV4439" s="156"/>
      <c r="AW4439" s="156"/>
      <c r="AX4439" s="156"/>
      <c r="AY4439" s="156"/>
      <c r="AZ4439" s="156"/>
      <c r="BA4439" s="156"/>
      <c r="BB4439" s="2828"/>
      <c r="BC4439" s="452"/>
      <c r="BD4439" s="2829"/>
      <c r="BE4439" s="2837"/>
      <c r="BF4439" s="156"/>
    </row>
    <row r="4440" spans="1:58" ht="15" customHeight="1" outlineLevel="1" x14ac:dyDescent="0.35">
      <c r="A4440" s="1664"/>
      <c r="B4440" s="2812"/>
      <c r="C4440" s="3077"/>
      <c r="D4440" s="3980"/>
      <c r="E4440" s="3883"/>
      <c r="F4440" s="3984" t="str">
        <f t="shared" si="461"/>
        <v>ASHP-SEER19_ROF_MF_CompE</v>
      </c>
      <c r="G4440" s="3984"/>
      <c r="H4440" s="3984"/>
      <c r="I4440" s="3984"/>
      <c r="J4440" s="3508" t="str">
        <f t="shared" si="462"/>
        <v>355051_2019_12_</v>
      </c>
      <c r="K4440" s="462">
        <f>$R$1948*K$3490</f>
        <v>1203.6500000000003</v>
      </c>
      <c r="L4440" s="93">
        <f>VLOOKUP(J4440,$J$1940:$L$2132,3,FALSE)*M4440</f>
        <v>2.145</v>
      </c>
      <c r="M4440" s="3031">
        <f>VLOOKUP(J4440,$J$3484:$K$3676,2,FALSE)</f>
        <v>0.65</v>
      </c>
      <c r="N4440" s="963"/>
      <c r="O4440" s="106"/>
      <c r="P4440" s="702"/>
      <c r="Q4440" s="574"/>
      <c r="R4440" s="702"/>
      <c r="S4440" s="106"/>
      <c r="T4440" s="486"/>
      <c r="U4440" s="106"/>
      <c r="V4440" s="4129"/>
      <c r="W4440" s="2440"/>
      <c r="X4440" s="465"/>
      <c r="Y4440" s="465"/>
      <c r="Z4440" s="462"/>
      <c r="AA4440" s="462"/>
      <c r="AB4440" s="465"/>
      <c r="AC4440" s="3569">
        <v>1203.6500000000003</v>
      </c>
      <c r="AD4440" s="462">
        <v>1203.6500000000003</v>
      </c>
      <c r="AE4440" s="2939"/>
      <c r="AF4440" s="663"/>
      <c r="AG4440" s="663"/>
      <c r="AH4440" s="156"/>
      <c r="AI4440" s="156"/>
      <c r="AJ4440" s="156"/>
      <c r="AK4440" s="156"/>
      <c r="AL4440" s="156"/>
      <c r="AM4440" s="156"/>
      <c r="AN4440" s="156"/>
      <c r="AO4440" s="156"/>
      <c r="AP4440" s="156"/>
      <c r="AQ4440" s="156"/>
      <c r="AR4440" s="156"/>
      <c r="AS4440" s="156"/>
      <c r="AT4440" s="156"/>
      <c r="AU4440" s="156"/>
      <c r="AV4440" s="156"/>
      <c r="AW4440" s="156"/>
      <c r="AX4440" s="156"/>
      <c r="AY4440" s="156"/>
      <c r="AZ4440" s="156"/>
      <c r="BA4440" s="156"/>
      <c r="BB4440" s="2828"/>
      <c r="BC4440" s="452"/>
      <c r="BD4440" s="2829"/>
      <c r="BE4440" s="2837"/>
      <c r="BF4440" s="156"/>
    </row>
    <row r="4441" spans="1:58" ht="15" customHeight="1" outlineLevel="1" x14ac:dyDescent="0.35">
      <c r="A4441" s="1664"/>
      <c r="B4441" s="2812"/>
      <c r="C4441" s="3077"/>
      <c r="D4441" s="3980"/>
      <c r="E4441" s="3883"/>
      <c r="F4441" s="3984" t="str">
        <f t="shared" si="461"/>
        <v>ASHP-SEER19_ROF_MF_CompE</v>
      </c>
      <c r="G4441" s="3984"/>
      <c r="H4441" s="3984"/>
      <c r="I4441" s="3984"/>
      <c r="J4441" s="3508" t="str">
        <f t="shared" si="462"/>
        <v>355051_2019_12_</v>
      </c>
      <c r="K4441" s="462"/>
      <c r="L4441" s="93"/>
      <c r="M4441" s="3031"/>
      <c r="N4441" s="963"/>
      <c r="O4441" s="106"/>
      <c r="P4441" s="702"/>
      <c r="Q4441" s="574"/>
      <c r="R4441" s="702"/>
      <c r="S4441" s="106"/>
      <c r="T4441" s="486"/>
      <c r="U4441" s="106"/>
      <c r="V4441" s="4129"/>
      <c r="W4441" s="2440"/>
      <c r="X4441" s="465"/>
      <c r="Y4441" s="465"/>
      <c r="Z4441" s="462"/>
      <c r="AA4441" s="462"/>
      <c r="AB4441" s="465"/>
      <c r="AC4441" s="3568"/>
      <c r="AD4441" s="462"/>
      <c r="AE4441" s="2939"/>
      <c r="AF4441" s="663"/>
      <c r="AG4441" s="663"/>
      <c r="AH4441" s="156"/>
      <c r="AI4441" s="156"/>
      <c r="AJ4441" s="156"/>
      <c r="AK4441" s="156"/>
      <c r="AL4441" s="156"/>
      <c r="AM4441" s="156"/>
      <c r="AN4441" s="156"/>
      <c r="AO4441" s="156"/>
      <c r="AP4441" s="156"/>
      <c r="AQ4441" s="156"/>
      <c r="AR4441" s="156"/>
      <c r="AS4441" s="156"/>
      <c r="AT4441" s="156"/>
      <c r="AU4441" s="156"/>
      <c r="AV4441" s="156"/>
      <c r="AW4441" s="156"/>
      <c r="AX4441" s="156"/>
      <c r="AY4441" s="156"/>
      <c r="AZ4441" s="156"/>
      <c r="BA4441" s="156"/>
      <c r="BB4441" s="2828"/>
      <c r="BC4441" s="452"/>
      <c r="BD4441" s="2829"/>
      <c r="BE4441" s="2837"/>
      <c r="BF4441" s="156"/>
    </row>
    <row r="4442" spans="1:58" ht="15" customHeight="1" outlineLevel="1" x14ac:dyDescent="0.35">
      <c r="A4442" s="1664"/>
      <c r="B4442" s="2812"/>
      <c r="C4442" s="3077"/>
      <c r="D4442" s="3980"/>
      <c r="E4442" s="3883"/>
      <c r="F4442" s="3984" t="str">
        <f t="shared" si="461"/>
        <v>ASHP-SEER20_ROF_MF</v>
      </c>
      <c r="G4442" s="3984"/>
      <c r="H4442" s="3984"/>
      <c r="I4442" s="3984"/>
      <c r="J4442" s="3508" t="str">
        <f t="shared" si="462"/>
        <v>355100_2019_12_</v>
      </c>
      <c r="K4442" s="462">
        <f>$R$1949*K$3490</f>
        <v>1444.3799999999994</v>
      </c>
      <c r="L4442" s="93">
        <f>VLOOKUP(J4442,$J$1940:$L$2132,3,FALSE)*M4442</f>
        <v>2.145</v>
      </c>
      <c r="M4442" s="3031">
        <f>VLOOKUP(J4442,$J$3484:$K$3676,2,FALSE)</f>
        <v>0.65</v>
      </c>
      <c r="N4442" s="963"/>
      <c r="O4442" s="106"/>
      <c r="P4442" s="702"/>
      <c r="Q4442" s="574"/>
      <c r="R4442" s="702"/>
      <c r="S4442" s="106"/>
      <c r="T4442" s="486"/>
      <c r="U4442" s="106"/>
      <c r="V4442" s="4129"/>
      <c r="W4442" s="2440">
        <v>3828</v>
      </c>
      <c r="X4442" s="465">
        <f>$R$1949*(X$2129/12000)*X$3673</f>
        <v>3098.1950999999985</v>
      </c>
      <c r="Y4442" s="465">
        <v>1160</v>
      </c>
      <c r="Z4442" s="462">
        <v>1160</v>
      </c>
      <c r="AA4442" s="462">
        <v>1160</v>
      </c>
      <c r="AB4442" s="465">
        <v>1444.3799999999994</v>
      </c>
      <c r="AC4442" s="3568">
        <v>1444.3799999999994</v>
      </c>
      <c r="AD4442" s="462">
        <v>1444.3799999999994</v>
      </c>
      <c r="AE4442" s="2939"/>
      <c r="AF4442" s="663"/>
      <c r="AG4442" s="663"/>
      <c r="AH4442" s="156"/>
      <c r="AI4442" s="156"/>
      <c r="AJ4442" s="156"/>
      <c r="AK4442" s="156"/>
      <c r="AL4442" s="156"/>
      <c r="AM4442" s="156"/>
      <c r="AN4442" s="156"/>
      <c r="AO4442" s="156"/>
      <c r="AP4442" s="156"/>
      <c r="AQ4442" s="156"/>
      <c r="AR4442" s="156"/>
      <c r="AS4442" s="156"/>
      <c r="AT4442" s="156"/>
      <c r="AU4442" s="156"/>
      <c r="AV4442" s="156"/>
      <c r="AW4442" s="156"/>
      <c r="AX4442" s="156"/>
      <c r="AY4442" s="156"/>
      <c r="AZ4442" s="156"/>
      <c r="BA4442" s="156"/>
      <c r="BB4442" s="2828"/>
      <c r="BC4442" s="452"/>
      <c r="BD4442" s="2829"/>
      <c r="BE4442" s="2837"/>
      <c r="BF4442" s="156"/>
    </row>
    <row r="4443" spans="1:58" ht="15" customHeight="1" outlineLevel="1" x14ac:dyDescent="0.35">
      <c r="A4443" s="1664"/>
      <c r="B4443" s="2812"/>
      <c r="C4443" s="3077"/>
      <c r="D4443" s="3980"/>
      <c r="E4443" s="3883"/>
      <c r="F4443" s="3984" t="str">
        <f t="shared" si="461"/>
        <v>ASHP-SEER20_ROF_MF</v>
      </c>
      <c r="G4443" s="3984"/>
      <c r="H4443" s="3984"/>
      <c r="I4443" s="3984"/>
      <c r="J4443" s="3508" t="str">
        <f t="shared" si="462"/>
        <v>355100_2019_12_</v>
      </c>
      <c r="K4443" s="462"/>
      <c r="L4443" s="93" t="str">
        <f>IF(K4443&gt;0,VLOOKUP(J4443,$J$1940:$L$2132,3,FALSE),"")</f>
        <v/>
      </c>
      <c r="M4443" s="3031" t="str">
        <f>IF(K4443&gt;0,VLOOKUP(J4443,$J$3484:$K$3676,2,FALSE),"")</f>
        <v/>
      </c>
      <c r="N4443" s="963"/>
      <c r="O4443" s="106"/>
      <c r="P4443" s="702"/>
      <c r="Q4443" s="574"/>
      <c r="R4443" s="702"/>
      <c r="S4443" s="106"/>
      <c r="T4443" s="486"/>
      <c r="U4443" s="106"/>
      <c r="V4443" s="4129"/>
      <c r="W4443" s="2440"/>
      <c r="X4443" s="465"/>
      <c r="Y4443" s="465"/>
      <c r="Z4443" s="462"/>
      <c r="AA4443" s="462"/>
      <c r="AB4443" s="465"/>
      <c r="AC4443" s="3568"/>
      <c r="AD4443" s="462"/>
      <c r="AE4443" s="2939"/>
      <c r="AF4443" s="663"/>
      <c r="AG4443" s="663"/>
      <c r="AH4443" s="156"/>
      <c r="AI4443" s="156"/>
      <c r="AJ4443" s="156"/>
      <c r="AK4443" s="156"/>
      <c r="AL4443" s="156"/>
      <c r="AM4443" s="156"/>
      <c r="AN4443" s="156"/>
      <c r="AO4443" s="156"/>
      <c r="AP4443" s="156"/>
      <c r="AQ4443" s="156"/>
      <c r="AR4443" s="156"/>
      <c r="AS4443" s="156"/>
      <c r="AT4443" s="156"/>
      <c r="AU4443" s="156"/>
      <c r="AV4443" s="156"/>
      <c r="AW4443" s="156"/>
      <c r="AX4443" s="156"/>
      <c r="AY4443" s="156"/>
      <c r="AZ4443" s="156"/>
      <c r="BA4443" s="156"/>
      <c r="BB4443" s="2828"/>
      <c r="BC4443" s="452"/>
      <c r="BD4443" s="2829"/>
      <c r="BE4443" s="2837"/>
      <c r="BF4443" s="156"/>
    </row>
    <row r="4444" spans="1:58" ht="15" customHeight="1" outlineLevel="1" x14ac:dyDescent="0.35">
      <c r="A4444" s="1664"/>
      <c r="B4444" s="2812"/>
      <c r="C4444" s="3077"/>
      <c r="D4444" s="3980"/>
      <c r="E4444" s="3883"/>
      <c r="F4444" s="3984" t="str">
        <f t="shared" si="461"/>
        <v>ASHP-SEER20_ROF_MF_CompE</v>
      </c>
      <c r="G4444" s="3984"/>
      <c r="H4444" s="3984"/>
      <c r="I4444" s="3984"/>
      <c r="J4444" s="3508" t="str">
        <f t="shared" si="462"/>
        <v>355101_2019_12_</v>
      </c>
      <c r="K4444" s="462">
        <f>$R$1949*K$3490</f>
        <v>1444.3799999999994</v>
      </c>
      <c r="L4444" s="93">
        <f>VLOOKUP(J4444,$J$1940:$L$2132,3,FALSE)*M4444</f>
        <v>2.145</v>
      </c>
      <c r="M4444" s="3031">
        <f>VLOOKUP(J4444,$J$3484:$K$3676,2,FALSE)</f>
        <v>0.65</v>
      </c>
      <c r="N4444" s="963"/>
      <c r="O4444" s="106"/>
      <c r="P4444" s="702"/>
      <c r="Q4444" s="574"/>
      <c r="R4444" s="702"/>
      <c r="S4444" s="106"/>
      <c r="T4444" s="486"/>
      <c r="U4444" s="106"/>
      <c r="V4444" s="4129"/>
      <c r="W4444" s="2440"/>
      <c r="X4444" s="465"/>
      <c r="Y4444" s="465"/>
      <c r="Z4444" s="462"/>
      <c r="AA4444" s="462"/>
      <c r="AB4444" s="465"/>
      <c r="AC4444" s="3569">
        <v>1444.3799999999994</v>
      </c>
      <c r="AD4444" s="462">
        <v>1444.3799999999994</v>
      </c>
      <c r="AE4444" s="2939"/>
      <c r="AF4444" s="663"/>
      <c r="AG4444" s="663"/>
      <c r="AH4444" s="156"/>
      <c r="AI4444" s="156"/>
      <c r="AJ4444" s="156"/>
      <c r="AK4444" s="156"/>
      <c r="AL4444" s="156"/>
      <c r="AM4444" s="156"/>
      <c r="AN4444" s="156"/>
      <c r="AO4444" s="156"/>
      <c r="AP4444" s="156"/>
      <c r="AQ4444" s="156"/>
      <c r="AR4444" s="156"/>
      <c r="AS4444" s="156"/>
      <c r="AT4444" s="156"/>
      <c r="AU4444" s="156"/>
      <c r="AV4444" s="156"/>
      <c r="AW4444" s="156"/>
      <c r="AX4444" s="156"/>
      <c r="AY4444" s="156"/>
      <c r="AZ4444" s="156"/>
      <c r="BA4444" s="156"/>
      <c r="BB4444" s="2828"/>
      <c r="BC4444" s="452"/>
      <c r="BD4444" s="2829"/>
      <c r="BE4444" s="2837"/>
      <c r="BF4444" s="156"/>
    </row>
    <row r="4445" spans="1:58" ht="15" customHeight="1" outlineLevel="1" x14ac:dyDescent="0.35">
      <c r="A4445" s="1664"/>
      <c r="B4445" s="2812"/>
      <c r="C4445" s="3077"/>
      <c r="D4445" s="3980"/>
      <c r="E4445" s="3883"/>
      <c r="F4445" s="3984" t="str">
        <f t="shared" si="461"/>
        <v>ASHP-SEER20_ROF_MF_CompE</v>
      </c>
      <c r="G4445" s="3984"/>
      <c r="H4445" s="3984"/>
      <c r="I4445" s="3984"/>
      <c r="J4445" s="3508" t="str">
        <f t="shared" si="462"/>
        <v>355101_2019_12_</v>
      </c>
      <c r="K4445" s="462"/>
      <c r="L4445" s="93"/>
      <c r="M4445" s="3031"/>
      <c r="N4445" s="963"/>
      <c r="O4445" s="106"/>
      <c r="P4445" s="702"/>
      <c r="Q4445" s="574"/>
      <c r="R4445" s="702"/>
      <c r="S4445" s="106"/>
      <c r="T4445" s="486"/>
      <c r="U4445" s="106"/>
      <c r="V4445" s="4129"/>
      <c r="W4445" s="2440"/>
      <c r="X4445" s="465"/>
      <c r="Y4445" s="465"/>
      <c r="Z4445" s="462"/>
      <c r="AA4445" s="462"/>
      <c r="AB4445" s="465"/>
      <c r="AC4445" s="3568"/>
      <c r="AD4445" s="462"/>
      <c r="AE4445" s="2939"/>
      <c r="AF4445" s="663"/>
      <c r="AG4445" s="663"/>
      <c r="AH4445" s="156"/>
      <c r="AI4445" s="156"/>
      <c r="AJ4445" s="156"/>
      <c r="AK4445" s="156"/>
      <c r="AL4445" s="156"/>
      <c r="AM4445" s="156"/>
      <c r="AN4445" s="156"/>
      <c r="AO4445" s="156"/>
      <c r="AP4445" s="156"/>
      <c r="AQ4445" s="156"/>
      <c r="AR4445" s="156"/>
      <c r="AS4445" s="156"/>
      <c r="AT4445" s="156"/>
      <c r="AU4445" s="156"/>
      <c r="AV4445" s="156"/>
      <c r="AW4445" s="156"/>
      <c r="AX4445" s="156"/>
      <c r="AY4445" s="156"/>
      <c r="AZ4445" s="156"/>
      <c r="BA4445" s="156"/>
      <c r="BB4445" s="2828"/>
      <c r="BC4445" s="452"/>
      <c r="BD4445" s="2829"/>
      <c r="BE4445" s="2837"/>
      <c r="BF4445" s="156"/>
    </row>
    <row r="4446" spans="1:58" ht="15" customHeight="1" outlineLevel="1" x14ac:dyDescent="0.35">
      <c r="A4446" s="1664"/>
      <c r="B4446" s="2812"/>
      <c r="C4446" s="3077"/>
      <c r="D4446" s="3980"/>
      <c r="E4446" s="3883"/>
      <c r="F4446" s="3984" t="str">
        <f t="shared" si="461"/>
        <v>ASHP-SEER21_ROF_MF</v>
      </c>
      <c r="G4446" s="3984"/>
      <c r="H4446" s="3984"/>
      <c r="I4446" s="3984"/>
      <c r="J4446" s="3508" t="str">
        <f t="shared" si="462"/>
        <v>355150_2019_12_</v>
      </c>
      <c r="K4446" s="462">
        <f>$R$1950*K$3490</f>
        <v>1689.9245999999991</v>
      </c>
      <c r="L4446" s="93">
        <f>VLOOKUP(J4446,$J$1940:$L$2132,3,FALSE)*M4446</f>
        <v>2.145</v>
      </c>
      <c r="M4446" s="3031">
        <f>VLOOKUP(J4446,$J$3484:$K$3676,2,FALSE)</f>
        <v>0.65</v>
      </c>
      <c r="N4446" s="963"/>
      <c r="O4446" s="106"/>
      <c r="P4446" s="702"/>
      <c r="Q4446" s="574"/>
      <c r="R4446" s="702"/>
      <c r="S4446" s="106"/>
      <c r="T4446" s="486"/>
      <c r="U4446" s="106"/>
      <c r="V4446" s="4129"/>
      <c r="W4446" s="2441">
        <v>3828</v>
      </c>
      <c r="X4446" s="2442">
        <f>$R$1950*(X$2131/12000)*X$3675</f>
        <v>3624.888266999998</v>
      </c>
      <c r="Y4446" s="2442">
        <v>1160</v>
      </c>
      <c r="Z4446" s="2443">
        <v>1160</v>
      </c>
      <c r="AA4446" s="2443">
        <v>1160</v>
      </c>
      <c r="AB4446" s="2442">
        <v>1689.9245999999991</v>
      </c>
      <c r="AC4446" s="3570">
        <v>1689.9245999999991</v>
      </c>
      <c r="AD4446" s="462">
        <v>1689.9245999999991</v>
      </c>
      <c r="AE4446" s="2941"/>
      <c r="AF4446" s="715"/>
      <c r="AG4446" s="715"/>
      <c r="AH4446" s="156"/>
      <c r="AI4446" s="156"/>
      <c r="AJ4446" s="156"/>
      <c r="AK4446" s="156"/>
      <c r="AL4446" s="156"/>
      <c r="AM4446" s="156"/>
      <c r="AN4446" s="156"/>
      <c r="AO4446" s="156"/>
      <c r="AP4446" s="156"/>
      <c r="AQ4446" s="156"/>
      <c r="AR4446" s="156"/>
      <c r="AS4446" s="156"/>
      <c r="AT4446" s="156"/>
      <c r="AU4446" s="156"/>
      <c r="AV4446" s="156"/>
      <c r="AW4446" s="156"/>
      <c r="AX4446" s="156"/>
      <c r="AY4446" s="156"/>
      <c r="AZ4446" s="156"/>
      <c r="BA4446" s="156"/>
      <c r="BB4446" s="2828"/>
      <c r="BC4446" s="452"/>
      <c r="BD4446" s="2829"/>
      <c r="BE4446" s="2837"/>
      <c r="BF4446" s="156"/>
    </row>
    <row r="4447" spans="1:58" ht="15.75" customHeight="1" outlineLevel="1" x14ac:dyDescent="0.35">
      <c r="A4447" s="1664"/>
      <c r="B4447" s="2812"/>
      <c r="C4447" s="3077"/>
      <c r="D4447" s="3980"/>
      <c r="E4447" s="3883"/>
      <c r="F4447" s="3984" t="str">
        <f t="shared" si="461"/>
        <v>ASHP-SEER21_ROF_MF</v>
      </c>
      <c r="G4447" s="3984"/>
      <c r="H4447" s="3984"/>
      <c r="I4447" s="3984"/>
      <c r="J4447" s="3513" t="str">
        <f t="shared" si="462"/>
        <v>355150_2019_12_</v>
      </c>
      <c r="K4447" s="2443"/>
      <c r="L4447" s="2148" t="str">
        <f>IF(K4447&gt;0,VLOOKUP(J4447,$J$1940:$L$2132,3,FALSE),"")</f>
        <v/>
      </c>
      <c r="M4447" s="3033" t="str">
        <f>IF(K4447&gt;0,VLOOKUP(J4447,$J$3484:$K$3676,2,FALSE),"")</f>
        <v/>
      </c>
      <c r="N4447" s="106"/>
      <c r="O4447" s="106"/>
      <c r="P4447" s="702"/>
      <c r="Q4447" s="574"/>
      <c r="R4447" s="702"/>
      <c r="S4447" s="106"/>
      <c r="T4447" s="486"/>
      <c r="U4447" s="106"/>
      <c r="V4447" s="4131"/>
      <c r="W4447" s="462"/>
      <c r="X4447" s="465"/>
      <c r="Y4447" s="465"/>
      <c r="Z4447" s="462"/>
      <c r="AA4447" s="462"/>
      <c r="AB4447" s="465"/>
      <c r="AC4447" s="3568"/>
      <c r="AD4447" s="2443"/>
      <c r="AE4447" s="2939"/>
      <c r="AF4447" s="663"/>
      <c r="AG4447" s="663"/>
      <c r="AH4447" s="156"/>
      <c r="AI4447" s="156"/>
      <c r="AJ4447" s="156"/>
      <c r="AK4447" s="156"/>
      <c r="AL4447" s="156"/>
      <c r="AM4447" s="156"/>
      <c r="AN4447" s="156"/>
      <c r="AO4447" s="156"/>
      <c r="AP4447" s="156"/>
      <c r="AQ4447" s="156"/>
      <c r="AR4447" s="156"/>
      <c r="AS4447" s="156"/>
      <c r="AT4447" s="156"/>
      <c r="AU4447" s="156"/>
      <c r="AV4447" s="156"/>
      <c r="AW4447" s="156"/>
      <c r="AX4447" s="156"/>
      <c r="AY4447" s="156"/>
      <c r="AZ4447" s="156"/>
      <c r="BA4447" s="156"/>
      <c r="BB4447" s="2828"/>
      <c r="BC4447" s="452"/>
      <c r="BD4447" s="2829"/>
      <c r="BE4447" s="2837"/>
      <c r="BF4447" s="156"/>
    </row>
    <row r="4448" spans="1:58" ht="15.75" customHeight="1" outlineLevel="1" x14ac:dyDescent="0.35">
      <c r="A4448" s="1664"/>
      <c r="B4448" s="2812"/>
      <c r="C4448" s="3077"/>
      <c r="D4448" s="3980"/>
      <c r="E4448" s="3883"/>
      <c r="F4448" s="3984" t="str">
        <f t="shared" ref="F4448:F4449" si="463">E1918</f>
        <v>ASHP-SEER21_ROF_MF_CompE</v>
      </c>
      <c r="G4448" s="3984"/>
      <c r="H4448" s="3984"/>
      <c r="I4448" s="3984"/>
      <c r="J4448" s="3508" t="str">
        <f t="shared" ref="J4448:J4449" si="464">C1918</f>
        <v>355151_2019_12_</v>
      </c>
      <c r="K4448" s="462">
        <f>$R$1950*K$3490</f>
        <v>1689.9245999999991</v>
      </c>
      <c r="L4448" s="93">
        <f>VLOOKUP(J4448,$J$1940:$L$2132,3,FALSE)*M4448</f>
        <v>2.145</v>
      </c>
      <c r="M4448" s="3031">
        <f>VLOOKUP(J4448,$J$3484:$K$3676,2,FALSE)</f>
        <v>0.65</v>
      </c>
      <c r="N4448" s="106"/>
      <c r="O4448" s="106"/>
      <c r="P4448" s="702"/>
      <c r="Q4448" s="574"/>
      <c r="R4448" s="702"/>
      <c r="S4448" s="106"/>
      <c r="T4448" s="486"/>
      <c r="U4448" s="106"/>
      <c r="V4448" s="4131"/>
      <c r="W4448" s="462"/>
      <c r="X4448" s="465"/>
      <c r="Y4448" s="465"/>
      <c r="Z4448" s="462"/>
      <c r="AA4448" s="462"/>
      <c r="AB4448" s="465"/>
      <c r="AC4448" s="3569">
        <v>1689.9245999999991</v>
      </c>
      <c r="AD4448" s="462">
        <v>1689.9245999999991</v>
      </c>
      <c r="AE4448" s="2939"/>
      <c r="AF4448" s="663"/>
      <c r="AG4448" s="663"/>
      <c r="AH4448" s="156"/>
      <c r="AI4448" s="156"/>
      <c r="AJ4448" s="156"/>
      <c r="AK4448" s="156"/>
      <c r="AL4448" s="156"/>
      <c r="AM4448" s="156"/>
      <c r="AN4448" s="156"/>
      <c r="AO4448" s="156"/>
      <c r="AP4448" s="156"/>
      <c r="AQ4448" s="156"/>
      <c r="AR4448" s="156"/>
      <c r="AS4448" s="156"/>
      <c r="AT4448" s="156"/>
      <c r="AU4448" s="156"/>
      <c r="AV4448" s="156"/>
      <c r="AW4448" s="156"/>
      <c r="AX4448" s="156"/>
      <c r="AY4448" s="156"/>
      <c r="AZ4448" s="156"/>
      <c r="BA4448" s="156"/>
      <c r="BB4448" s="2828"/>
      <c r="BC4448" s="452"/>
      <c r="BD4448" s="2829"/>
      <c r="BE4448" s="2837"/>
      <c r="BF4448" s="156"/>
    </row>
    <row r="4449" spans="1:58" ht="15.75" customHeight="1" outlineLevel="1" thickBot="1" x14ac:dyDescent="0.4">
      <c r="A4449" s="1664"/>
      <c r="B4449" s="2812"/>
      <c r="C4449" s="3077"/>
      <c r="D4449" s="3981"/>
      <c r="E4449" s="3983"/>
      <c r="F4449" s="4125" t="str">
        <f t="shared" si="463"/>
        <v>ASHP-SEER21_ROF_MF_CompE</v>
      </c>
      <c r="G4449" s="4126"/>
      <c r="H4449" s="4126"/>
      <c r="I4449" s="4127"/>
      <c r="J4449" s="3514" t="str">
        <f t="shared" si="464"/>
        <v>355151_2019_12_</v>
      </c>
      <c r="K4449" s="721"/>
      <c r="L4449" s="2436"/>
      <c r="M4449" s="3034"/>
      <c r="N4449" s="106"/>
      <c r="O4449" s="106"/>
      <c r="P4449" s="702"/>
      <c r="Q4449" s="574"/>
      <c r="R4449" s="702"/>
      <c r="S4449" s="106"/>
      <c r="T4449" s="486"/>
      <c r="U4449" s="106"/>
      <c r="V4449" s="4132"/>
      <c r="W4449" s="721"/>
      <c r="X4449" s="720"/>
      <c r="Y4449" s="720"/>
      <c r="Z4449" s="721"/>
      <c r="AA4449" s="721"/>
      <c r="AB4449" s="720"/>
      <c r="AC4449" s="3571"/>
      <c r="AD4449" s="721"/>
      <c r="AE4449" s="2947"/>
      <c r="AF4449" s="722"/>
      <c r="AG4449" s="722"/>
      <c r="AH4449" s="156"/>
      <c r="AI4449" s="156"/>
      <c r="AJ4449" s="156"/>
      <c r="AK4449" s="156"/>
      <c r="AL4449" s="156"/>
      <c r="AM4449" s="156"/>
      <c r="AN4449" s="156"/>
      <c r="AO4449" s="156"/>
      <c r="AP4449" s="156"/>
      <c r="AQ4449" s="156"/>
      <c r="AR4449" s="156"/>
      <c r="AS4449" s="156"/>
      <c r="AT4449" s="156"/>
      <c r="AU4449" s="156"/>
      <c r="AV4449" s="156"/>
      <c r="AW4449" s="156"/>
      <c r="AX4449" s="156"/>
      <c r="AY4449" s="156"/>
      <c r="AZ4449" s="156"/>
      <c r="BA4449" s="156"/>
      <c r="BB4449" s="2828"/>
      <c r="BC4449" s="452"/>
      <c r="BD4449" s="2829"/>
      <c r="BE4449" s="2837"/>
      <c r="BF4449" s="156"/>
    </row>
    <row r="4450" spans="1:58" ht="15" customHeight="1" x14ac:dyDescent="0.35">
      <c r="A4450" s="1071"/>
      <c r="B4450" s="2812"/>
      <c r="C4450" s="3077"/>
      <c r="D4450" s="292"/>
      <c r="E4450" s="292"/>
      <c r="F4450" s="106"/>
      <c r="G4450" s="292"/>
      <c r="H4450" s="106"/>
      <c r="I4450" s="106"/>
      <c r="J4450" s="106"/>
      <c r="K4450" s="106"/>
      <c r="L4450" s="106"/>
      <c r="M4450" s="106"/>
      <c r="N4450" s="106"/>
      <c r="O4450" s="106"/>
      <c r="P4450" s="106"/>
      <c r="Q4450" s="106"/>
      <c r="R4450" s="106"/>
      <c r="S4450" s="106"/>
      <c r="T4450" s="106"/>
      <c r="U4450" s="106"/>
      <c r="V4450" s="106"/>
      <c r="W4450" s="156"/>
      <c r="X4450" s="156"/>
      <c r="Y4450" s="156"/>
      <c r="Z4450" s="156"/>
      <c r="AA4450" s="156"/>
      <c r="AB4450" s="156"/>
      <c r="AC4450" s="156"/>
      <c r="AD4450" s="156"/>
      <c r="AE4450" s="156"/>
      <c r="AF4450" s="156"/>
      <c r="AG4450" s="156"/>
      <c r="AH4450" s="156"/>
      <c r="AI4450" s="156"/>
      <c r="AJ4450" s="156"/>
      <c r="AK4450" s="156"/>
      <c r="AL4450" s="156"/>
      <c r="AM4450" s="156"/>
      <c r="AN4450" s="156"/>
      <c r="AO4450" s="156"/>
      <c r="AP4450" s="156"/>
      <c r="AQ4450" s="156"/>
      <c r="AR4450" s="156"/>
      <c r="AS4450" s="156"/>
      <c r="AT4450" s="156"/>
      <c r="AU4450" s="156"/>
      <c r="AV4450" s="156"/>
      <c r="AW4450" s="156"/>
      <c r="AX4450" s="156"/>
      <c r="AY4450" s="156"/>
      <c r="AZ4450" s="156"/>
      <c r="BA4450" s="156"/>
      <c r="BB4450" s="2828"/>
      <c r="BC4450" s="452"/>
      <c r="BD4450" s="2829"/>
      <c r="BE4450" s="156"/>
      <c r="BF4450" s="156"/>
    </row>
    <row r="4451" spans="1:58" x14ac:dyDescent="0.35">
      <c r="A4451" s="1071"/>
      <c r="B4451" s="106"/>
      <c r="C4451" s="103"/>
      <c r="D4451" s="292"/>
      <c r="E4451" s="292"/>
      <c r="F4451" s="106"/>
      <c r="G4451" s="292"/>
      <c r="H4451" s="106"/>
      <c r="I4451" s="106"/>
      <c r="J4451" s="106"/>
      <c r="K4451" s="106"/>
      <c r="L4451" s="106"/>
      <c r="M4451" s="106"/>
      <c r="N4451" s="106"/>
      <c r="O4451" s="106"/>
      <c r="P4451" s="106"/>
      <c r="Q4451" s="106"/>
      <c r="R4451" s="106"/>
      <c r="S4451" s="106"/>
      <c r="T4451" s="106"/>
      <c r="U4451" s="106"/>
      <c r="V4451" s="106"/>
      <c r="W4451" s="156"/>
      <c r="X4451" s="156"/>
      <c r="Y4451" s="156"/>
      <c r="Z4451" s="156"/>
      <c r="AA4451" s="156"/>
      <c r="AB4451" s="156"/>
      <c r="AC4451" s="156"/>
      <c r="AD4451" s="156"/>
      <c r="AE4451" s="156"/>
      <c r="AF4451" s="156"/>
      <c r="AG4451" s="156"/>
      <c r="AH4451" s="156"/>
      <c r="AI4451" s="156"/>
      <c r="AJ4451" s="156"/>
      <c r="AK4451" s="156"/>
      <c r="AL4451" s="156"/>
      <c r="AM4451" s="156"/>
      <c r="AN4451" s="156"/>
      <c r="AO4451" s="156"/>
      <c r="AP4451" s="156"/>
      <c r="AQ4451" s="156"/>
      <c r="AR4451" s="156"/>
      <c r="AS4451" s="156"/>
      <c r="AT4451" s="156"/>
      <c r="AU4451" s="156"/>
      <c r="AV4451" s="156"/>
      <c r="AW4451" s="156"/>
      <c r="AX4451" s="156"/>
      <c r="AY4451" s="156"/>
      <c r="AZ4451" s="156"/>
      <c r="BA4451" s="156"/>
      <c r="BB4451" s="2828"/>
      <c r="BC4451" s="452"/>
      <c r="BD4451" s="2829"/>
      <c r="BE4451" s="156"/>
      <c r="BF4451" s="156"/>
    </row>
    <row r="4452" spans="1:58" x14ac:dyDescent="0.35">
      <c r="A4452" s="1071"/>
      <c r="B4452" s="106"/>
      <c r="C4452" s="103"/>
      <c r="D4452" s="292"/>
      <c r="E4452" s="292"/>
      <c r="F4452" s="106"/>
      <c r="G4452" s="292"/>
      <c r="H4452" s="106"/>
      <c r="I4452" s="106"/>
      <c r="J4452" s="106"/>
      <c r="K4452" s="106"/>
      <c r="L4452" s="106"/>
      <c r="M4452" s="106"/>
      <c r="N4452" s="106"/>
      <c r="O4452" s="106"/>
      <c r="P4452" s="106"/>
      <c r="Q4452" s="106"/>
      <c r="R4452" s="106"/>
      <c r="S4452" s="106"/>
      <c r="T4452" s="106"/>
      <c r="U4452" s="106"/>
      <c r="V4452" s="106"/>
      <c r="W4452" s="156"/>
      <c r="X4452" s="156"/>
      <c r="Y4452" s="156"/>
      <c r="Z4452" s="156"/>
      <c r="AA4452" s="156"/>
      <c r="AB4452" s="156"/>
      <c r="AC4452" s="156"/>
      <c r="AD4452" s="156"/>
      <c r="AE4452" s="156"/>
      <c r="AF4452" s="156"/>
      <c r="AG4452" s="156"/>
      <c r="AH4452" s="156"/>
      <c r="AI4452" s="156"/>
      <c r="AJ4452" s="156"/>
      <c r="AK4452" s="156"/>
      <c r="AL4452" s="156"/>
      <c r="AM4452" s="156"/>
      <c r="AN4452" s="156"/>
      <c r="AO4452" s="156"/>
      <c r="AP4452" s="156"/>
      <c r="AQ4452" s="156"/>
      <c r="AR4452" s="156"/>
      <c r="AS4452" s="156"/>
      <c r="AT4452" s="156"/>
      <c r="AU4452" s="156"/>
      <c r="AV4452" s="156"/>
      <c r="AW4452" s="156"/>
      <c r="AX4452" s="156"/>
      <c r="AY4452" s="156"/>
      <c r="AZ4452" s="156"/>
      <c r="BA4452" s="156"/>
      <c r="BB4452" s="2828"/>
      <c r="BC4452" s="452"/>
      <c r="BD4452" s="2829"/>
      <c r="BE4452" s="156"/>
      <c r="BF4452" s="156"/>
    </row>
    <row r="4453" spans="1:58" x14ac:dyDescent="0.35">
      <c r="A4453" s="2784" t="str">
        <f t="shared" ref="A4453:A4520" si="465">C4453&amp;G4453</f>
        <v/>
      </c>
      <c r="B4453" s="2325" t="s">
        <v>4379</v>
      </c>
      <c r="C4453" s="609"/>
      <c r="D4453" s="2326"/>
      <c r="E4453" s="2326"/>
      <c r="F4453" s="2326"/>
      <c r="G4453" s="2326"/>
      <c r="H4453" s="2326"/>
      <c r="I4453" s="2326"/>
      <c r="J4453" s="2326"/>
      <c r="K4453" s="2326"/>
      <c r="L4453" s="2326"/>
      <c r="M4453" s="2326"/>
      <c r="N4453" s="2326"/>
      <c r="O4453" s="2326"/>
      <c r="P4453" s="2326"/>
      <c r="Q4453" s="2384"/>
      <c r="R4453" s="106"/>
      <c r="S4453" s="106"/>
      <c r="T4453" s="106"/>
      <c r="U4453" s="106"/>
      <c r="V4453" s="3664" t="str">
        <f>B4453</f>
        <v>Packaged Terminal Air Source Heat Pumps</v>
      </c>
      <c r="W4453" s="3665"/>
      <c r="X4453" s="3665"/>
      <c r="Y4453" s="3665"/>
      <c r="Z4453" s="3665"/>
      <c r="AA4453" s="3665"/>
      <c r="AB4453" s="3665"/>
      <c r="AC4453" s="4018"/>
      <c r="AD4453" s="4018"/>
      <c r="AE4453" s="4018"/>
      <c r="AF4453" s="4018"/>
      <c r="AG4453" s="4018"/>
      <c r="AH4453" s="4019"/>
      <c r="AI4453" s="156"/>
      <c r="AJ4453" s="156"/>
      <c r="AK4453" s="156"/>
      <c r="AL4453" s="156"/>
      <c r="AM4453" s="156"/>
      <c r="AN4453" s="156"/>
      <c r="AO4453" s="156"/>
      <c r="AP4453" s="156"/>
      <c r="AQ4453" s="156"/>
      <c r="AR4453" s="156"/>
      <c r="AS4453" s="156"/>
      <c r="AT4453" s="156"/>
      <c r="AU4453" s="156"/>
      <c r="AV4453" s="156"/>
      <c r="AW4453" s="156"/>
      <c r="AX4453" s="156"/>
      <c r="AY4453" s="156"/>
      <c r="AZ4453" s="156"/>
      <c r="BA4453" s="156"/>
      <c r="BB4453" s="2828"/>
      <c r="BC4453" s="452"/>
      <c r="BD4453" s="2829"/>
      <c r="BE4453" s="156"/>
      <c r="BF4453" s="156"/>
    </row>
    <row r="4454" spans="1:58" x14ac:dyDescent="0.35">
      <c r="A4454" s="2784" t="str">
        <f t="shared" si="465"/>
        <v/>
      </c>
      <c r="B4454" s="106"/>
      <c r="C4454" s="103"/>
      <c r="D4454" s="292"/>
      <c r="E4454" s="292"/>
      <c r="F4454" s="106"/>
      <c r="G4454" s="292"/>
      <c r="H4454" s="103"/>
      <c r="I4454" s="103"/>
      <c r="J4454" s="103"/>
      <c r="K4454" s="103"/>
      <c r="L4454" s="103"/>
      <c r="M4454" s="103"/>
      <c r="N4454" s="106"/>
      <c r="O4454" s="106"/>
      <c r="P4454" s="106"/>
      <c r="Q4454" s="292"/>
      <c r="R4454" s="106"/>
      <c r="S4454" s="156"/>
      <c r="T4454" s="106"/>
      <c r="U4454" s="106"/>
      <c r="V4454" s="106"/>
      <c r="W4454" s="156"/>
      <c r="X4454" s="156"/>
      <c r="Y4454" s="156"/>
      <c r="Z4454" s="156"/>
      <c r="AA4454" s="156"/>
      <c r="AB4454" s="156"/>
      <c r="AC4454" s="156"/>
      <c r="AD4454" s="156"/>
      <c r="AE4454" s="156"/>
      <c r="AF4454" s="156"/>
      <c r="AG4454" s="156"/>
      <c r="AH4454" s="156"/>
      <c r="AI4454" s="156"/>
      <c r="AJ4454" s="156"/>
      <c r="AK4454" s="156"/>
      <c r="AL4454" s="156"/>
      <c r="AM4454" s="156"/>
      <c r="AN4454" s="156"/>
      <c r="AO4454" s="156"/>
      <c r="AP4454" s="156"/>
      <c r="AQ4454" s="156"/>
      <c r="AR4454" s="156"/>
      <c r="AS4454" s="156"/>
      <c r="AT4454" s="156"/>
      <c r="AU4454" s="156"/>
      <c r="AV4454" s="156"/>
      <c r="AW4454" s="156"/>
      <c r="AX4454" s="156"/>
      <c r="AY4454" s="156"/>
      <c r="AZ4454" s="156"/>
      <c r="BA4454" s="156"/>
      <c r="BB4454" s="2828"/>
      <c r="BC4454" s="452"/>
      <c r="BD4454" s="2829"/>
      <c r="BE4454" s="156"/>
      <c r="BF4454" s="156"/>
    </row>
    <row r="4455" spans="1:58" x14ac:dyDescent="0.35">
      <c r="A4455" s="2784" t="str">
        <f t="shared" si="465"/>
        <v/>
      </c>
      <c r="B4455" s="106"/>
      <c r="C4455" s="103"/>
      <c r="D4455" s="292" t="s">
        <v>843</v>
      </c>
      <c r="E4455" s="292"/>
      <c r="F4455" s="106"/>
      <c r="G4455" s="292"/>
      <c r="H4455" s="106"/>
      <c r="I4455" s="103"/>
      <c r="J4455" s="103"/>
      <c r="K4455" s="103"/>
      <c r="L4455" s="103"/>
      <c r="M4455" s="103"/>
      <c r="N4455" s="106"/>
      <c r="O4455" s="106"/>
      <c r="P4455" s="106"/>
      <c r="Q4455" s="292"/>
      <c r="R4455" s="106"/>
      <c r="S4455" s="156"/>
      <c r="T4455" s="106"/>
      <c r="U4455" s="106"/>
      <c r="V4455" s="106"/>
      <c r="W4455" s="2804"/>
      <c r="X4455" s="156"/>
      <c r="Y4455" s="156"/>
      <c r="Z4455" s="156"/>
      <c r="AA4455" s="156"/>
      <c r="AB4455" s="156"/>
      <c r="AC4455" s="156"/>
      <c r="AD4455" s="156"/>
      <c r="AE4455" s="156"/>
      <c r="AF4455" s="156"/>
      <c r="AG4455" s="156"/>
      <c r="AH4455" s="156"/>
      <c r="AI4455" s="156"/>
      <c r="AJ4455" s="156"/>
      <c r="AK4455" s="156"/>
      <c r="AL4455" s="156"/>
      <c r="AM4455" s="156"/>
      <c r="AN4455" s="156"/>
      <c r="AO4455" s="156"/>
      <c r="AP4455" s="156"/>
      <c r="AQ4455" s="156"/>
      <c r="AR4455" s="156"/>
      <c r="AS4455" s="156"/>
      <c r="AT4455" s="156"/>
      <c r="AU4455" s="156"/>
      <c r="AV4455" s="156"/>
      <c r="AW4455" s="156"/>
      <c r="AX4455" s="156"/>
      <c r="AY4455" s="156"/>
      <c r="AZ4455" s="156"/>
      <c r="BA4455" s="156"/>
      <c r="BB4455" s="2828"/>
      <c r="BC4455" s="452"/>
      <c r="BD4455" s="2829"/>
      <c r="BE4455" s="156"/>
      <c r="BF4455" s="156"/>
    </row>
    <row r="4456" spans="1:58" ht="29" x14ac:dyDescent="0.35">
      <c r="A4456" s="1071" t="str">
        <f t="shared" si="465"/>
        <v>Measure Reference No.End Use</v>
      </c>
      <c r="B4456" s="106"/>
      <c r="C4456" s="2331" t="s">
        <v>27</v>
      </c>
      <c r="D4456" s="3417" t="s">
        <v>174</v>
      </c>
      <c r="E4456" s="3417" t="s">
        <v>29</v>
      </c>
      <c r="F4456" s="2331" t="s">
        <v>30</v>
      </c>
      <c r="G4456" s="2331" t="s">
        <v>175</v>
      </c>
      <c r="H4456" s="2331" t="s">
        <v>176</v>
      </c>
      <c r="I4456" s="2331" t="s">
        <v>31</v>
      </c>
      <c r="J4456" s="2363" t="s">
        <v>180</v>
      </c>
      <c r="K4456" s="2331" t="s">
        <v>169</v>
      </c>
      <c r="L4456" s="2331" t="s">
        <v>844</v>
      </c>
      <c r="M4456" s="106"/>
      <c r="N4456" s="106"/>
      <c r="O4456" s="106"/>
      <c r="P4456" s="106"/>
      <c r="Q4456" s="106"/>
      <c r="R4456" s="106"/>
      <c r="S4456" s="156"/>
      <c r="T4456" s="106"/>
      <c r="U4456" s="106"/>
      <c r="V4456" s="480" t="s">
        <v>44</v>
      </c>
      <c r="W4456" s="1573">
        <f>W$6</f>
        <v>43252</v>
      </c>
      <c r="X4456" s="1573">
        <f t="shared" ref="X4456:AG4456" si="466">X$6</f>
        <v>43465</v>
      </c>
      <c r="Y4456" s="1573">
        <f t="shared" si="466"/>
        <v>43800</v>
      </c>
      <c r="Z4456" s="1573">
        <f t="shared" si="466"/>
        <v>43862</v>
      </c>
      <c r="AA4456" s="1573">
        <f t="shared" si="466"/>
        <v>44013</v>
      </c>
      <c r="AB4456" s="1573">
        <f t="shared" si="466"/>
        <v>44166</v>
      </c>
      <c r="AC4456" s="1573">
        <f t="shared" si="466"/>
        <v>44531</v>
      </c>
      <c r="AD4456" s="1573">
        <f t="shared" si="466"/>
        <v>44774</v>
      </c>
      <c r="AE4456" s="1573" t="str">
        <f t="shared" si="466"/>
        <v>-</v>
      </c>
      <c r="AF4456" s="1573" t="str">
        <f t="shared" si="466"/>
        <v>-</v>
      </c>
      <c r="AG4456" s="1573" t="str">
        <f t="shared" si="466"/>
        <v>-</v>
      </c>
      <c r="AH4456" s="156"/>
      <c r="AI4456" s="156"/>
      <c r="AJ4456" s="156"/>
      <c r="AK4456" s="156"/>
      <c r="AL4456" s="156"/>
      <c r="AM4456" s="156"/>
      <c r="AN4456" s="156"/>
      <c r="AO4456" s="156"/>
      <c r="AP4456" s="156"/>
      <c r="AQ4456" s="156"/>
      <c r="AR4456" s="156"/>
      <c r="AS4456" s="156"/>
      <c r="AT4456" s="156"/>
      <c r="AU4456" s="156"/>
      <c r="AV4456" s="156"/>
      <c r="AW4456" s="156"/>
      <c r="AX4456" s="156"/>
      <c r="AY4456" s="156"/>
      <c r="AZ4456" s="156"/>
      <c r="BA4456" s="156"/>
      <c r="BB4456" s="3287" t="str">
        <f>$BB$6</f>
        <v>TRC (2022)</v>
      </c>
      <c r="BC4456" s="3290" t="str">
        <f>$BC$6</f>
        <v>Benefit Lookup</v>
      </c>
      <c r="BD4456" s="3311" t="str">
        <f>$BD$6</f>
        <v>Benefits (2019 $)</v>
      </c>
      <c r="BE4456" s="3291" t="str">
        <f>$BE$6</f>
        <v>Incremental Cost (2019 $)</v>
      </c>
      <c r="BF4456" s="156"/>
    </row>
    <row r="4457" spans="1:58" x14ac:dyDescent="0.35">
      <c r="A4457" s="1071" t="str">
        <f t="shared" si="465"/>
        <v>356200_2022_12_Cooling Res</v>
      </c>
      <c r="B4457" s="3395"/>
      <c r="C4457" s="3528" t="s">
        <v>4381</v>
      </c>
      <c r="D4457" s="3411" t="s">
        <v>320</v>
      </c>
      <c r="E4457" s="2742" t="s">
        <v>4496</v>
      </c>
      <c r="F4457" s="3007">
        <f>ROUND(((J$4584*J$4585*(1/J$4587-1/J$4590))/1000),2)</f>
        <v>415.9</v>
      </c>
      <c r="G4457" s="3008" t="s">
        <v>1091</v>
      </c>
      <c r="H4457" s="3412">
        <f>VLOOKUP(G4457,'CP FACTORS'!$A$3:$B$38, 2, FALSE)</f>
        <v>9.4741810000000004E-4</v>
      </c>
      <c r="I4457" s="3009">
        <f>ROUND(F4457*H4457,6)</f>
        <v>0.39403100000000002</v>
      </c>
      <c r="J4457" s="3010">
        <f>$J$4596</f>
        <v>5</v>
      </c>
      <c r="K4457" s="3011">
        <f>J$4598</f>
        <v>224.93182686576984</v>
      </c>
      <c r="L4457" s="3012">
        <f>K$4573</f>
        <v>1.0111111111111111</v>
      </c>
      <c r="M4457" s="657"/>
      <c r="N4457" s="106"/>
      <c r="O4457" s="106"/>
      <c r="P4457" s="106"/>
      <c r="Q4457" s="106"/>
      <c r="R4457" s="1214"/>
      <c r="S4457" s="156"/>
      <c r="T4457" s="106"/>
      <c r="U4457" s="106"/>
      <c r="V4457" s="3415" t="s">
        <v>30</v>
      </c>
      <c r="W4457" s="3010"/>
      <c r="X4457" s="3010"/>
      <c r="Y4457" s="3010"/>
      <c r="Z4457" s="3010"/>
      <c r="AA4457" s="3010"/>
      <c r="AB4457" s="3010"/>
      <c r="AC4457" s="3010"/>
      <c r="AD4457" s="3551">
        <v>415.9</v>
      </c>
      <c r="AE4457" s="3010"/>
      <c r="AF4457" s="3010"/>
      <c r="AG4457" s="3010"/>
      <c r="AH4457" s="156"/>
      <c r="AI4457" s="156"/>
      <c r="AJ4457" s="156"/>
      <c r="AK4457" s="156"/>
      <c r="AL4457" s="156"/>
      <c r="AM4457" s="156"/>
      <c r="AN4457" s="156"/>
      <c r="AO4457" s="156"/>
      <c r="AP4457" s="156"/>
      <c r="AQ4457" s="156"/>
      <c r="AR4457" s="156"/>
      <c r="AS4457" s="156"/>
      <c r="AT4457" s="156"/>
      <c r="AU4457" s="156"/>
      <c r="AV4457" s="156"/>
      <c r="AW4457" s="156"/>
      <c r="AX4457" s="156"/>
      <c r="AY4457" s="156"/>
      <c r="AZ4457" s="156"/>
      <c r="BA4457" s="156"/>
      <c r="BB4457" s="3312">
        <f>(BD4457+BD4458+BD4459+BD4460)/(BE4457+BE4458+BE4459+BE4460)</f>
        <v>2.018259346027595</v>
      </c>
      <c r="BC4457" s="2738" t="str">
        <f t="shared" ref="BC4457:BC4496" si="467">CONCATENATE(G4457," ",J4457," Year EUL")</f>
        <v>Cooling Res 5 Year EUL</v>
      </c>
      <c r="BD4457" s="3315">
        <f>(INDEX('Avoided Cost Benefits'!$E$4:$E$859,MATCH(BC4457,'Avoided Cost Benefits'!$A$4:$A$859,0)))*F4457</f>
        <v>217.00743449892764</v>
      </c>
      <c r="BE4457" s="3270">
        <f t="shared" ref="BE4457:BE4496" si="468">K4457/(1.0595^(2020-2019))</f>
        <v>212.29997816495498</v>
      </c>
      <c r="BF4457" s="156"/>
    </row>
    <row r="4458" spans="1:58" x14ac:dyDescent="0.35">
      <c r="A4458" s="1071" t="str">
        <f t="shared" si="465"/>
        <v>356200_2022_12_Heating Res</v>
      </c>
      <c r="B4458" s="3395"/>
      <c r="C4458" s="2753" t="s">
        <v>4381</v>
      </c>
      <c r="D4458" s="2998" t="s">
        <v>320</v>
      </c>
      <c r="E4458" s="2742" t="s">
        <v>4496</v>
      </c>
      <c r="F4458" s="618">
        <f>ROUND(((J$4573*J$4574*(1/J$4576-1/J$4580))/1000),2)</f>
        <v>1229.9100000000001</v>
      </c>
      <c r="G4458" s="1651" t="s">
        <v>1092</v>
      </c>
      <c r="H4458" s="2720">
        <f>VLOOKUP(G4458,'CP FACTORS'!$A$3:$B$38, 2, FALSE)</f>
        <v>0</v>
      </c>
      <c r="I4458" s="2995">
        <f t="shared" ref="I4458" si="469">ROUND(F4458*H4458,6)</f>
        <v>0</v>
      </c>
      <c r="J4458" s="464">
        <f>$J$4596</f>
        <v>5</v>
      </c>
      <c r="K4458" s="2996">
        <v>0</v>
      </c>
      <c r="L4458" s="2997"/>
      <c r="M4458" s="657"/>
      <c r="N4458" s="106"/>
      <c r="O4458" s="106"/>
      <c r="P4458" s="106"/>
      <c r="Q4458" s="106"/>
      <c r="R4458" s="1214"/>
      <c r="S4458" s="156"/>
      <c r="T4458" s="106"/>
      <c r="U4458" s="106"/>
      <c r="V4458" s="3414" t="s">
        <v>30</v>
      </c>
      <c r="W4458" s="464"/>
      <c r="X4458" s="464"/>
      <c r="Y4458" s="464"/>
      <c r="Z4458" s="464"/>
      <c r="AA4458" s="464"/>
      <c r="AB4458" s="464"/>
      <c r="AC4458" s="464"/>
      <c r="AD4458" s="99">
        <v>1229.9100000000001</v>
      </c>
      <c r="AE4458" s="464"/>
      <c r="AF4458" s="464"/>
      <c r="AG4458" s="464"/>
      <c r="AH4458" s="156"/>
      <c r="AI4458" s="156"/>
      <c r="AJ4458" s="156"/>
      <c r="AK4458" s="156"/>
      <c r="AL4458" s="156"/>
      <c r="AM4458" s="156"/>
      <c r="AN4458" s="156"/>
      <c r="AO4458" s="156"/>
      <c r="AP4458" s="156"/>
      <c r="AQ4458" s="156"/>
      <c r="AR4458" s="156"/>
      <c r="AS4458" s="156"/>
      <c r="AT4458" s="156"/>
      <c r="AU4458" s="156"/>
      <c r="AV4458" s="156"/>
      <c r="AW4458" s="156"/>
      <c r="AX4458" s="156"/>
      <c r="AY4458" s="156"/>
      <c r="AZ4458" s="156"/>
      <c r="BA4458" s="156"/>
      <c r="BB4458" s="3313"/>
      <c r="BC4458" s="2742" t="str">
        <f t="shared" si="467"/>
        <v>Heating Res 5 Year EUL</v>
      </c>
      <c r="BD4458" s="2627">
        <f>(INDEX('Avoided Cost Benefits'!$E$4:$E$859,MATCH(BC4458,'Avoided Cost Benefits'!$A$4:$A$859,0)))*F4458</f>
        <v>167.84492222035544</v>
      </c>
      <c r="BE4458" s="2507">
        <f t="shared" si="468"/>
        <v>0</v>
      </c>
      <c r="BF4458" s="156"/>
    </row>
    <row r="4459" spans="1:58" x14ac:dyDescent="0.35">
      <c r="A4459" s="1071" t="str">
        <f t="shared" si="465"/>
        <v>356200_2022_12_Cooling Res ER2</v>
      </c>
      <c r="B4459" s="3395"/>
      <c r="C4459" s="2753" t="s">
        <v>4381</v>
      </c>
      <c r="D4459" s="2998" t="s">
        <v>320</v>
      </c>
      <c r="E4459" s="2742" t="s">
        <v>4497</v>
      </c>
      <c r="F4459" s="3007">
        <f>ROUND(((J$4584*J$4585*(1/J$4589-1/J$4590))/1000),2)</f>
        <v>16</v>
      </c>
      <c r="G4459" s="1651" t="s">
        <v>1133</v>
      </c>
      <c r="H4459" s="2720">
        <f>VLOOKUP(G4459,'CP FACTORS'!$A$3:$B$38, 2, FALSE)</f>
        <v>9.4741810000000004E-4</v>
      </c>
      <c r="I4459" s="3009">
        <f>ROUND(F4459*H4459,6)</f>
        <v>1.5159000000000001E-2</v>
      </c>
      <c r="J4459" s="464">
        <f>$J$4597</f>
        <v>10</v>
      </c>
      <c r="K4459" s="2996">
        <v>0</v>
      </c>
      <c r="L4459" s="2997"/>
      <c r="M4459" s="657"/>
      <c r="N4459" s="2804"/>
      <c r="O4459" s="2804"/>
      <c r="P4459" s="2804"/>
      <c r="Q4459" s="2804"/>
      <c r="R4459" s="1214"/>
      <c r="S4459" s="156"/>
      <c r="T4459" s="2804"/>
      <c r="U4459" s="2804"/>
      <c r="V4459" s="3414" t="s">
        <v>30</v>
      </c>
      <c r="W4459" s="464"/>
      <c r="X4459" s="464"/>
      <c r="Y4459" s="464"/>
      <c r="Z4459" s="464"/>
      <c r="AA4459" s="464"/>
      <c r="AB4459" s="464"/>
      <c r="AC4459" s="464"/>
      <c r="AD4459" s="99">
        <v>16</v>
      </c>
      <c r="AE4459" s="464"/>
      <c r="AF4459" s="464"/>
      <c r="AG4459" s="464"/>
      <c r="AH4459" s="156"/>
      <c r="AI4459" s="156"/>
      <c r="AJ4459" s="156"/>
      <c r="AK4459" s="156"/>
      <c r="AL4459" s="156"/>
      <c r="AM4459" s="156"/>
      <c r="AN4459" s="156"/>
      <c r="AO4459" s="156"/>
      <c r="AP4459" s="156"/>
      <c r="AQ4459" s="156"/>
      <c r="AR4459" s="156"/>
      <c r="AS4459" s="156"/>
      <c r="AT4459" s="156"/>
      <c r="AU4459" s="156"/>
      <c r="AV4459" s="156"/>
      <c r="AW4459" s="156"/>
      <c r="AX4459" s="156"/>
      <c r="AY4459" s="156"/>
      <c r="AZ4459" s="156"/>
      <c r="BA4459" s="156"/>
      <c r="BB4459" s="3313"/>
      <c r="BC4459" s="2742" t="str">
        <f t="shared" si="467"/>
        <v>Cooling Res ER2 10 Year EUL</v>
      </c>
      <c r="BD4459" s="2627">
        <f>(INDEX('Avoided Cost Benefits'!$E$4:$E$859,MATCH(BC4459,'Avoided Cost Benefits'!$A$4:$A$859,0)))*F4459</f>
        <v>15.877494873617207</v>
      </c>
      <c r="BE4459" s="2507">
        <f t="shared" si="468"/>
        <v>0</v>
      </c>
      <c r="BF4459" s="156"/>
    </row>
    <row r="4460" spans="1:58" x14ac:dyDescent="0.35">
      <c r="A4460" s="1071" t="str">
        <f t="shared" si="465"/>
        <v>356200_2022_12_Heating Res ER2</v>
      </c>
      <c r="B4460" s="3395"/>
      <c r="C4460" s="2753" t="s">
        <v>4381</v>
      </c>
      <c r="D4460" s="2998" t="s">
        <v>320</v>
      </c>
      <c r="E4460" s="2744" t="s">
        <v>4497</v>
      </c>
      <c r="F4460" s="618">
        <f>ROUND(((J$4573*J$4574*(1/J$4577-1/J$4580))/1000),2)</f>
        <v>112.08</v>
      </c>
      <c r="G4460" s="1651" t="s">
        <v>1150</v>
      </c>
      <c r="H4460" s="2720">
        <f>VLOOKUP(G4460,'CP FACTORS'!$A$3:$B$38, 2, FALSE)</f>
        <v>0</v>
      </c>
      <c r="I4460" s="2995">
        <f t="shared" ref="I4460:I4462" si="470">ROUND(F4460*H4460,6)</f>
        <v>0</v>
      </c>
      <c r="J4460" s="464">
        <f>$J$4597</f>
        <v>10</v>
      </c>
      <c r="K4460" s="2996">
        <v>0</v>
      </c>
      <c r="L4460" s="2997"/>
      <c r="M4460" s="657"/>
      <c r="N4460" s="2804"/>
      <c r="O4460" s="2804"/>
      <c r="P4460" s="2804"/>
      <c r="Q4460" s="2804"/>
      <c r="R4460" s="1214"/>
      <c r="S4460" s="156"/>
      <c r="T4460" s="2804"/>
      <c r="U4460" s="2804"/>
      <c r="V4460" s="3414" t="s">
        <v>30</v>
      </c>
      <c r="W4460" s="464"/>
      <c r="X4460" s="464"/>
      <c r="Y4460" s="464"/>
      <c r="Z4460" s="464"/>
      <c r="AA4460" s="464"/>
      <c r="AB4460" s="464"/>
      <c r="AC4460" s="464"/>
      <c r="AD4460" s="99">
        <v>112.08</v>
      </c>
      <c r="AE4460" s="464"/>
      <c r="AF4460" s="464"/>
      <c r="AG4460" s="464"/>
      <c r="AH4460" s="156"/>
      <c r="AI4460" s="156"/>
      <c r="AJ4460" s="156"/>
      <c r="AK4460" s="156"/>
      <c r="AL4460" s="156"/>
      <c r="AM4460" s="156"/>
      <c r="AN4460" s="156"/>
      <c r="AO4460" s="156"/>
      <c r="AP4460" s="156"/>
      <c r="AQ4460" s="156"/>
      <c r="AR4460" s="156"/>
      <c r="AS4460" s="156"/>
      <c r="AT4460" s="156"/>
      <c r="AU4460" s="156"/>
      <c r="AV4460" s="156"/>
      <c r="AW4460" s="156"/>
      <c r="AX4460" s="156"/>
      <c r="AY4460" s="156"/>
      <c r="AZ4460" s="156"/>
      <c r="BA4460" s="156"/>
      <c r="BB4460" s="3314"/>
      <c r="BC4460" s="2744" t="str">
        <f t="shared" si="467"/>
        <v>Heating Res ER2 10 Year EUL</v>
      </c>
      <c r="BD4460" s="2628">
        <f>(INDEX('Avoided Cost Benefits'!$E$4:$E$859,MATCH(BC4460,'Avoided Cost Benefits'!$A$4:$A$859,0)))*F4460</f>
        <v>27.746563499974538</v>
      </c>
      <c r="BE4460" s="2509">
        <f t="shared" si="468"/>
        <v>0</v>
      </c>
      <c r="BF4460" s="156"/>
    </row>
    <row r="4461" spans="1:58" x14ac:dyDescent="0.35">
      <c r="A4461" s="1071" t="str">
        <f t="shared" si="465"/>
        <v>356225_2022_12_Cooling Res</v>
      </c>
      <c r="B4461" s="3395"/>
      <c r="C4461" s="2753" t="s">
        <v>4382</v>
      </c>
      <c r="D4461" s="2998" t="s">
        <v>315</v>
      </c>
      <c r="E4461" s="2738" t="s">
        <v>4498</v>
      </c>
      <c r="F4461" s="618">
        <f>ROUND(((J$4584*J$4586*(1/J$4587-1/J$4590))/1000),2)</f>
        <v>302.66000000000003</v>
      </c>
      <c r="G4461" s="1651" t="s">
        <v>1091</v>
      </c>
      <c r="H4461" s="2720">
        <f>VLOOKUP(G4461,'CP FACTORS'!$A$3:$B$38, 2, FALSE)</f>
        <v>9.4741810000000004E-4</v>
      </c>
      <c r="I4461" s="2995">
        <f t="shared" si="470"/>
        <v>0.286746</v>
      </c>
      <c r="J4461" s="3010">
        <f>$J$4596</f>
        <v>5</v>
      </c>
      <c r="K4461" s="3011">
        <f>J$4598</f>
        <v>224.93182686576984</v>
      </c>
      <c r="L4461" s="2997">
        <f>K$4573</f>
        <v>1.0111111111111111</v>
      </c>
      <c r="M4461" s="657"/>
      <c r="N4461" s="106"/>
      <c r="O4461" s="106"/>
      <c r="P4461" s="106"/>
      <c r="Q4461" s="106"/>
      <c r="R4461" s="1214"/>
      <c r="S4461" s="156"/>
      <c r="T4461" s="106"/>
      <c r="U4461" s="106"/>
      <c r="V4461" s="3415" t="s">
        <v>30</v>
      </c>
      <c r="W4461" s="3010"/>
      <c r="X4461" s="3010"/>
      <c r="Y4461" s="3010"/>
      <c r="Z4461" s="3010"/>
      <c r="AA4461" s="3010"/>
      <c r="AB4461" s="3010"/>
      <c r="AC4461" s="3010"/>
      <c r="AD4461" s="3551">
        <v>302.66000000000003</v>
      </c>
      <c r="AE4461" s="3010"/>
      <c r="AF4461" s="3010"/>
      <c r="AG4461" s="3010"/>
      <c r="AH4461" s="156"/>
      <c r="AI4461" s="156"/>
      <c r="AJ4461" s="156"/>
      <c r="AK4461" s="156"/>
      <c r="AL4461" s="156"/>
      <c r="AM4461" s="156"/>
      <c r="AN4461" s="156"/>
      <c r="AO4461" s="156"/>
      <c r="AP4461" s="156"/>
      <c r="AQ4461" s="156"/>
      <c r="AR4461" s="156"/>
      <c r="AS4461" s="156"/>
      <c r="AT4461" s="156"/>
      <c r="AU4461" s="156"/>
      <c r="AV4461" s="156"/>
      <c r="AW4461" s="156"/>
      <c r="AX4461" s="156"/>
      <c r="AY4461" s="156"/>
      <c r="AZ4461" s="156"/>
      <c r="BA4461" s="156"/>
      <c r="BB4461" s="3312">
        <f>(BD4461+BD4462)/(BE4461+BE4462)</f>
        <v>1.0137316065108126</v>
      </c>
      <c r="BC4461" s="2738" t="str">
        <f t="shared" si="467"/>
        <v>Cooling Res 5 Year EUL</v>
      </c>
      <c r="BD4461" s="3315">
        <f>(INDEX('Avoided Cost Benefits'!$E$4:$E$859,MATCH(BC4461,'Avoided Cost Benefits'!$A$4:$A$859,0)))*F4461</f>
        <v>157.92130349950818</v>
      </c>
      <c r="BE4461" s="3270">
        <f t="shared" si="468"/>
        <v>212.29997816495498</v>
      </c>
      <c r="BF4461" s="156"/>
    </row>
    <row r="4462" spans="1:58" x14ac:dyDescent="0.35">
      <c r="A4462" s="1071" t="str">
        <f t="shared" si="465"/>
        <v>356225_2022_12_Heating Res</v>
      </c>
      <c r="B4462" s="3395"/>
      <c r="C4462" s="2753" t="s">
        <v>4382</v>
      </c>
      <c r="D4462" s="2998" t="s">
        <v>315</v>
      </c>
      <c r="E4462" s="2742" t="s">
        <v>4498</v>
      </c>
      <c r="F4462" s="618">
        <f>ROUND(((J$4573*J$4575*(1/J$4576-1/J$4580))/1000),2)</f>
        <v>419.83</v>
      </c>
      <c r="G4462" s="1651" t="s">
        <v>1092</v>
      </c>
      <c r="H4462" s="2720">
        <f>VLOOKUP(G4462,'CP FACTORS'!$A$3:$B$38, 2, FALSE)</f>
        <v>0</v>
      </c>
      <c r="I4462" s="2995">
        <f t="shared" si="470"/>
        <v>0</v>
      </c>
      <c r="J4462" s="464">
        <f>$J$4596</f>
        <v>5</v>
      </c>
      <c r="K4462" s="2996">
        <v>0</v>
      </c>
      <c r="L4462" s="2997"/>
      <c r="M4462" s="657"/>
      <c r="N4462" s="106"/>
      <c r="O4462" s="106"/>
      <c r="P4462" s="106"/>
      <c r="Q4462" s="106"/>
      <c r="R4462" s="1214"/>
      <c r="S4462" s="156"/>
      <c r="T4462" s="106"/>
      <c r="U4462" s="106"/>
      <c r="V4462" s="3414" t="s">
        <v>30</v>
      </c>
      <c r="W4462" s="464"/>
      <c r="X4462" s="464"/>
      <c r="Y4462" s="464"/>
      <c r="Z4462" s="464"/>
      <c r="AA4462" s="464"/>
      <c r="AB4462" s="464"/>
      <c r="AC4462" s="464"/>
      <c r="AD4462" s="99">
        <v>419.83</v>
      </c>
      <c r="AE4462" s="464"/>
      <c r="AF4462" s="464"/>
      <c r="AG4462" s="464"/>
      <c r="AH4462" s="156"/>
      <c r="AI4462" s="156"/>
      <c r="AJ4462" s="156"/>
      <c r="AK4462" s="156"/>
      <c r="AL4462" s="156"/>
      <c r="AM4462" s="156"/>
      <c r="AN4462" s="156"/>
      <c r="AO4462" s="156"/>
      <c r="AP4462" s="156"/>
      <c r="AQ4462" s="156"/>
      <c r="AR4462" s="156"/>
      <c r="AS4462" s="156"/>
      <c r="AT4462" s="156"/>
      <c r="AU4462" s="156"/>
      <c r="AV4462" s="156"/>
      <c r="AW4462" s="156"/>
      <c r="AX4462" s="156"/>
      <c r="AY4462" s="156"/>
      <c r="AZ4462" s="156"/>
      <c r="BA4462" s="156"/>
      <c r="BB4462" s="3313"/>
      <c r="BC4462" s="2742" t="str">
        <f t="shared" si="467"/>
        <v>Heating Res 5 Year EUL</v>
      </c>
      <c r="BD4462" s="2627">
        <f>(INDEX('Avoided Cost Benefits'!$E$4:$E$859,MATCH(BC4462,'Avoided Cost Benefits'!$A$4:$A$859,0)))*F4462</f>
        <v>57.293894427862057</v>
      </c>
      <c r="BE4462" s="2507">
        <f t="shared" si="468"/>
        <v>0</v>
      </c>
      <c r="BF4462" s="156"/>
    </row>
    <row r="4463" spans="1:58" x14ac:dyDescent="0.35">
      <c r="A4463" s="1071" t="str">
        <f t="shared" si="465"/>
        <v>356225_2022_12_Cooling Res ER2</v>
      </c>
      <c r="B4463" s="3395"/>
      <c r="C4463" s="2753" t="s">
        <v>4382</v>
      </c>
      <c r="D4463" s="2998" t="s">
        <v>315</v>
      </c>
      <c r="E4463" s="2742" t="s">
        <v>4499</v>
      </c>
      <c r="F4463" s="618">
        <f>ROUND(((J$4584*J$4586*(1/J$4589-1/J$4590))/1000),2)</f>
        <v>11.64</v>
      </c>
      <c r="G4463" s="1651" t="s">
        <v>1133</v>
      </c>
      <c r="H4463" s="2720">
        <f>VLOOKUP(G4463,'CP FACTORS'!$A$3:$B$38, 2, FALSE)</f>
        <v>9.4741810000000004E-4</v>
      </c>
      <c r="I4463" s="3009">
        <f>ROUND(F4463*H4463,6)</f>
        <v>1.1028E-2</v>
      </c>
      <c r="J4463" s="464">
        <f>$J$4597</f>
        <v>10</v>
      </c>
      <c r="K4463" s="2996">
        <v>0</v>
      </c>
      <c r="L4463" s="2997"/>
      <c r="M4463" s="657"/>
      <c r="N4463" s="2804"/>
      <c r="O4463" s="2804"/>
      <c r="P4463" s="2804"/>
      <c r="Q4463" s="2804"/>
      <c r="R4463" s="1214"/>
      <c r="S4463" s="156"/>
      <c r="T4463" s="2804"/>
      <c r="U4463" s="2804"/>
      <c r="V4463" s="3414" t="s">
        <v>30</v>
      </c>
      <c r="W4463" s="464"/>
      <c r="X4463" s="464"/>
      <c r="Y4463" s="464"/>
      <c r="Z4463" s="464"/>
      <c r="AA4463" s="464"/>
      <c r="AB4463" s="464"/>
      <c r="AC4463" s="464"/>
      <c r="AD4463" s="99">
        <v>11.64</v>
      </c>
      <c r="AE4463" s="464"/>
      <c r="AF4463" s="464"/>
      <c r="AG4463" s="464"/>
      <c r="AH4463" s="156"/>
      <c r="AI4463" s="156"/>
      <c r="AJ4463" s="156"/>
      <c r="AK4463" s="156"/>
      <c r="AL4463" s="156"/>
      <c r="AM4463" s="156"/>
      <c r="AN4463" s="156"/>
      <c r="AO4463" s="156"/>
      <c r="AP4463" s="156"/>
      <c r="AQ4463" s="156"/>
      <c r="AR4463" s="156"/>
      <c r="AS4463" s="156"/>
      <c r="AT4463" s="156"/>
      <c r="AU4463" s="156"/>
      <c r="AV4463" s="156"/>
      <c r="AW4463" s="156"/>
      <c r="AX4463" s="156"/>
      <c r="AY4463" s="156"/>
      <c r="AZ4463" s="156"/>
      <c r="BA4463" s="156"/>
      <c r="BB4463" s="3313"/>
      <c r="BC4463" s="2742" t="str">
        <f t="shared" si="467"/>
        <v>Cooling Res ER2 10 Year EUL</v>
      </c>
      <c r="BD4463" s="2627">
        <f>(INDEX('Avoided Cost Benefits'!$E$4:$E$859,MATCH(BC4463,'Avoided Cost Benefits'!$A$4:$A$859,0)))*F4463</f>
        <v>11.550877520556519</v>
      </c>
      <c r="BE4463" s="2507">
        <f t="shared" si="468"/>
        <v>0</v>
      </c>
      <c r="BF4463" s="156"/>
    </row>
    <row r="4464" spans="1:58" x14ac:dyDescent="0.35">
      <c r="A4464" s="1071" t="str">
        <f t="shared" si="465"/>
        <v>356225_2022_12_Heating Res ER2</v>
      </c>
      <c r="B4464" s="3395"/>
      <c r="C4464" s="2753" t="s">
        <v>4382</v>
      </c>
      <c r="D4464" s="2998" t="s">
        <v>315</v>
      </c>
      <c r="E4464" s="2744" t="s">
        <v>4499</v>
      </c>
      <c r="F4464" s="618">
        <f>ROUND(((J$4573*J$4575*(1/J$4577-1/J$4580))/1000),2)</f>
        <v>38.26</v>
      </c>
      <c r="G4464" s="1651" t="s">
        <v>1150</v>
      </c>
      <c r="H4464" s="2720">
        <f>VLOOKUP(G4464,'CP FACTORS'!$A$3:$B$38, 2, FALSE)</f>
        <v>0</v>
      </c>
      <c r="I4464" s="2995">
        <f t="shared" ref="I4464:I4466" si="471">ROUND(F4464*H4464,6)</f>
        <v>0</v>
      </c>
      <c r="J4464" s="464">
        <f>$J$4597</f>
        <v>10</v>
      </c>
      <c r="K4464" s="2996">
        <v>0</v>
      </c>
      <c r="L4464" s="2997"/>
      <c r="M4464" s="657"/>
      <c r="N4464" s="2804"/>
      <c r="O4464" s="2804"/>
      <c r="P4464" s="2804"/>
      <c r="Q4464" s="2804"/>
      <c r="R4464" s="1214"/>
      <c r="S4464" s="156"/>
      <c r="T4464" s="2804"/>
      <c r="U4464" s="2804"/>
      <c r="V4464" s="3414" t="s">
        <v>30</v>
      </c>
      <c r="W4464" s="464"/>
      <c r="X4464" s="464"/>
      <c r="Y4464" s="464"/>
      <c r="Z4464" s="464"/>
      <c r="AA4464" s="464"/>
      <c r="AB4464" s="464"/>
      <c r="AC4464" s="464"/>
      <c r="AD4464" s="99">
        <v>38.26</v>
      </c>
      <c r="AE4464" s="464"/>
      <c r="AF4464" s="464"/>
      <c r="AG4464" s="464"/>
      <c r="AH4464" s="156"/>
      <c r="AI4464" s="156"/>
      <c r="AJ4464" s="156"/>
      <c r="AK4464" s="156"/>
      <c r="AL4464" s="156"/>
      <c r="AM4464" s="156"/>
      <c r="AN4464" s="156"/>
      <c r="AO4464" s="156"/>
      <c r="AP4464" s="156"/>
      <c r="AQ4464" s="156"/>
      <c r="AR4464" s="156"/>
      <c r="AS4464" s="156"/>
      <c r="AT4464" s="156"/>
      <c r="AU4464" s="156"/>
      <c r="AV4464" s="156"/>
      <c r="AW4464" s="156"/>
      <c r="AX4464" s="156"/>
      <c r="AY4464" s="156"/>
      <c r="AZ4464" s="156"/>
      <c r="BA4464" s="156"/>
      <c r="BB4464" s="3314"/>
      <c r="BC4464" s="2744" t="str">
        <f t="shared" si="467"/>
        <v>Heating Res ER2 10 Year EUL</v>
      </c>
      <c r="BD4464" s="2628">
        <f>(INDEX('Avoided Cost Benefits'!$E$4:$E$859,MATCH(BC4464,'Avoided Cost Benefits'!$A$4:$A$859,0)))*F4464</f>
        <v>9.4716588107514799</v>
      </c>
      <c r="BE4464" s="2509">
        <f t="shared" si="468"/>
        <v>0</v>
      </c>
      <c r="BF4464" s="156"/>
    </row>
    <row r="4465" spans="1:58" x14ac:dyDescent="0.35">
      <c r="A4465" s="1071" t="str">
        <f t="shared" si="465"/>
        <v>356250_2022_12_Cooling Res</v>
      </c>
      <c r="B4465" s="3395"/>
      <c r="C4465" s="2753" t="s">
        <v>4383</v>
      </c>
      <c r="D4465" s="2736" t="s">
        <v>320</v>
      </c>
      <c r="E4465" s="2738" t="s">
        <v>4500</v>
      </c>
      <c r="F4465" s="618">
        <f>ROUND(((J$4584*J$4585*(1/J$4588-1/J$4590))/1000),2)</f>
        <v>477.07</v>
      </c>
      <c r="G4465" s="1651" t="s">
        <v>1091</v>
      </c>
      <c r="H4465" s="2720">
        <f>VLOOKUP(G4465,'CP FACTORS'!$A$3:$B$38, 2, FALSE)</f>
        <v>9.4741810000000004E-4</v>
      </c>
      <c r="I4465" s="2995">
        <f t="shared" si="471"/>
        <v>0.45198500000000003</v>
      </c>
      <c r="J4465" s="3010">
        <f>$J$4596</f>
        <v>5</v>
      </c>
      <c r="K4465" s="3011">
        <f>J$4598</f>
        <v>224.93182686576984</v>
      </c>
      <c r="L4465" s="2997">
        <f>K$4573</f>
        <v>1.0111111111111111</v>
      </c>
      <c r="M4465" s="657"/>
      <c r="N4465" s="106"/>
      <c r="O4465" s="106"/>
      <c r="P4465" s="106"/>
      <c r="Q4465" s="106"/>
      <c r="R4465" s="1214"/>
      <c r="S4465" s="156"/>
      <c r="T4465" s="106"/>
      <c r="U4465" s="106"/>
      <c r="V4465" s="3415" t="s">
        <v>30</v>
      </c>
      <c r="W4465" s="3010"/>
      <c r="X4465" s="3010"/>
      <c r="Y4465" s="3010"/>
      <c r="Z4465" s="3010"/>
      <c r="AA4465" s="3010"/>
      <c r="AB4465" s="3010"/>
      <c r="AC4465" s="3010"/>
      <c r="AD4465" s="3551">
        <v>477.07</v>
      </c>
      <c r="AE4465" s="3010"/>
      <c r="AF4465" s="3010"/>
      <c r="AG4465" s="3010"/>
      <c r="AH4465" s="156"/>
      <c r="AI4465" s="156"/>
      <c r="AJ4465" s="156"/>
      <c r="AK4465" s="156"/>
      <c r="AL4465" s="156"/>
      <c r="AM4465" s="156"/>
      <c r="AN4465" s="156"/>
      <c r="AO4465" s="156"/>
      <c r="AP4465" s="156"/>
      <c r="AQ4465" s="156"/>
      <c r="AR4465" s="156"/>
      <c r="AS4465" s="156"/>
      <c r="AT4465" s="156"/>
      <c r="AU4465" s="156"/>
      <c r="AV4465" s="156"/>
      <c r="AW4465" s="156"/>
      <c r="AX4465" s="156"/>
      <c r="AY4465" s="156"/>
      <c r="AZ4465" s="156"/>
      <c r="BA4465" s="156"/>
      <c r="BB4465" s="3312">
        <f>(BD4465+BD4466+BD4467+BD4468)/(BE4465+BE4466+BE4467+BE4468)</f>
        <v>5.9699618418953841</v>
      </c>
      <c r="BC4465" s="2738" t="str">
        <f t="shared" si="467"/>
        <v>Cooling Res 5 Year EUL</v>
      </c>
      <c r="BD4465" s="3315">
        <f>(INDEX('Avoided Cost Benefits'!$E$4:$E$859,MATCH(BC4465,'Avoided Cost Benefits'!$A$4:$A$859,0)))*F4465</f>
        <v>248.92458950806304</v>
      </c>
      <c r="BE4465" s="3270">
        <f t="shared" si="468"/>
        <v>212.29997816495498</v>
      </c>
      <c r="BF4465" s="156"/>
    </row>
    <row r="4466" spans="1:58" x14ac:dyDescent="0.35">
      <c r="A4466" s="1071" t="str">
        <f t="shared" si="465"/>
        <v>356250_2022_12_Heating Res</v>
      </c>
      <c r="B4466" s="3395"/>
      <c r="C4466" s="2753" t="s">
        <v>4383</v>
      </c>
      <c r="D4466" s="2998" t="s">
        <v>320</v>
      </c>
      <c r="E4466" s="2742" t="s">
        <v>4500</v>
      </c>
      <c r="F4466" s="618">
        <f>ROUND(((J$4573*J$4574*(1/J$4578-1/J$4580))/1000),2)</f>
        <v>2610.79</v>
      </c>
      <c r="G4466" s="1651" t="s">
        <v>1092</v>
      </c>
      <c r="H4466" s="2720">
        <f>VLOOKUP(G4466,'CP FACTORS'!$A$3:$B$38, 2, FALSE)</f>
        <v>0</v>
      </c>
      <c r="I4466" s="2995">
        <f t="shared" si="471"/>
        <v>0</v>
      </c>
      <c r="J4466" s="464">
        <f>$J$4596</f>
        <v>5</v>
      </c>
      <c r="K4466" s="2996">
        <v>0</v>
      </c>
      <c r="L4466" s="2997"/>
      <c r="M4466" s="657"/>
      <c r="N4466" s="106"/>
      <c r="O4466" s="106"/>
      <c r="P4466" s="106"/>
      <c r="Q4466" s="106"/>
      <c r="R4466" s="1214"/>
      <c r="S4466" s="156"/>
      <c r="T4466" s="106"/>
      <c r="U4466" s="106"/>
      <c r="V4466" s="3414" t="s">
        <v>30</v>
      </c>
      <c r="W4466" s="464"/>
      <c r="X4466" s="464"/>
      <c r="Y4466" s="464"/>
      <c r="Z4466" s="464"/>
      <c r="AA4466" s="464"/>
      <c r="AB4466" s="464"/>
      <c r="AC4466" s="464"/>
      <c r="AD4466" s="99">
        <v>2610.79</v>
      </c>
      <c r="AE4466" s="464"/>
      <c r="AF4466" s="464"/>
      <c r="AG4466" s="464"/>
      <c r="AH4466" s="156"/>
      <c r="AI4466" s="156"/>
      <c r="AJ4466" s="156"/>
      <c r="AK4466" s="156"/>
      <c r="AL4466" s="156"/>
      <c r="AM4466" s="156"/>
      <c r="AN4466" s="156"/>
      <c r="AO4466" s="156"/>
      <c r="AP4466" s="156"/>
      <c r="AQ4466" s="156"/>
      <c r="AR4466" s="156"/>
      <c r="AS4466" s="156"/>
      <c r="AT4466" s="156"/>
      <c r="AU4466" s="156"/>
      <c r="AV4466" s="156"/>
      <c r="AW4466" s="156"/>
      <c r="AX4466" s="156"/>
      <c r="AY4466" s="156"/>
      <c r="AZ4466" s="156"/>
      <c r="BA4466" s="156"/>
      <c r="BB4466" s="3313"/>
      <c r="BC4466" s="2742" t="str">
        <f t="shared" si="467"/>
        <v>Heating Res 5 Year EUL</v>
      </c>
      <c r="BD4466" s="2627">
        <f>(INDEX('Avoided Cost Benefits'!$E$4:$E$859,MATCH(BC4466,'Avoided Cost Benefits'!$A$4:$A$859,0)))*F4466</f>
        <v>356.29261042164205</v>
      </c>
      <c r="BE4466" s="2507">
        <f t="shared" si="468"/>
        <v>0</v>
      </c>
      <c r="BF4466" s="156"/>
    </row>
    <row r="4467" spans="1:58" x14ac:dyDescent="0.35">
      <c r="A4467" s="1071" t="str">
        <f t="shared" si="465"/>
        <v>356250_2022_12_Cooling Res ER2</v>
      </c>
      <c r="B4467" s="3395"/>
      <c r="C4467" s="2753" t="s">
        <v>4383</v>
      </c>
      <c r="D4467" s="2998" t="s">
        <v>320</v>
      </c>
      <c r="E4467" s="2742" t="s">
        <v>4501</v>
      </c>
      <c r="F4467" s="618">
        <f>ROUND(((J$4584*J$4585*(1/J$4589-1/J$4590))/1000),2)</f>
        <v>16</v>
      </c>
      <c r="G4467" s="1651" t="s">
        <v>1133</v>
      </c>
      <c r="H4467" s="2720">
        <f>VLOOKUP(G4467,'CP FACTORS'!$A$3:$B$38, 2, FALSE)</f>
        <v>9.4741810000000004E-4</v>
      </c>
      <c r="I4467" s="3009">
        <f>ROUND(F4467*H4467,6)</f>
        <v>1.5159000000000001E-2</v>
      </c>
      <c r="J4467" s="464">
        <f>$J$4597</f>
        <v>10</v>
      </c>
      <c r="K4467" s="2996">
        <v>0</v>
      </c>
      <c r="L4467" s="2997"/>
      <c r="M4467" s="657"/>
      <c r="N4467" s="2804"/>
      <c r="O4467" s="2804"/>
      <c r="P4467" s="2804"/>
      <c r="Q4467" s="2804"/>
      <c r="R4467" s="1214"/>
      <c r="S4467" s="156"/>
      <c r="T4467" s="2804"/>
      <c r="U4467" s="2804"/>
      <c r="V4467" s="3414" t="s">
        <v>30</v>
      </c>
      <c r="W4467" s="464"/>
      <c r="X4467" s="464"/>
      <c r="Y4467" s="464"/>
      <c r="Z4467" s="464"/>
      <c r="AA4467" s="464"/>
      <c r="AB4467" s="464"/>
      <c r="AC4467" s="464"/>
      <c r="AD4467" s="99">
        <v>16</v>
      </c>
      <c r="AE4467" s="464"/>
      <c r="AF4467" s="464"/>
      <c r="AG4467" s="464"/>
      <c r="AH4467" s="156"/>
      <c r="AI4467" s="156"/>
      <c r="AJ4467" s="156"/>
      <c r="AK4467" s="156"/>
      <c r="AL4467" s="156"/>
      <c r="AM4467" s="156"/>
      <c r="AN4467" s="156"/>
      <c r="AO4467" s="156"/>
      <c r="AP4467" s="156"/>
      <c r="AQ4467" s="156"/>
      <c r="AR4467" s="156"/>
      <c r="AS4467" s="156"/>
      <c r="AT4467" s="156"/>
      <c r="AU4467" s="156"/>
      <c r="AV4467" s="156"/>
      <c r="AW4467" s="156"/>
      <c r="AX4467" s="156"/>
      <c r="AY4467" s="156"/>
      <c r="AZ4467" s="156"/>
      <c r="BA4467" s="156"/>
      <c r="BB4467" s="3313"/>
      <c r="BC4467" s="2742" t="str">
        <f t="shared" si="467"/>
        <v>Cooling Res ER2 10 Year EUL</v>
      </c>
      <c r="BD4467" s="2627">
        <f>(INDEX('Avoided Cost Benefits'!$E$4:$E$859,MATCH(BC4467,'Avoided Cost Benefits'!$A$4:$A$859,0)))*F4467</f>
        <v>15.877494873617207</v>
      </c>
      <c r="BE4467" s="2507">
        <f t="shared" si="468"/>
        <v>0</v>
      </c>
      <c r="BF4467" s="156"/>
    </row>
    <row r="4468" spans="1:58" x14ac:dyDescent="0.35">
      <c r="A4468" s="1071" t="str">
        <f t="shared" si="465"/>
        <v>356250_2022_12_Heating Res ER2</v>
      </c>
      <c r="B4468" s="3395"/>
      <c r="C4468" s="2753" t="s">
        <v>4383</v>
      </c>
      <c r="D4468" s="2998" t="s">
        <v>320</v>
      </c>
      <c r="E4468" s="2744" t="s">
        <v>4501</v>
      </c>
      <c r="F4468" s="618">
        <f>ROUND(((J$4573*J$4574*(1/J$4579-1/J$4580))/1000),2)</f>
        <v>2610.79</v>
      </c>
      <c r="G4468" s="1651" t="s">
        <v>1150</v>
      </c>
      <c r="H4468" s="2720">
        <f>VLOOKUP(G4468,'CP FACTORS'!$A$3:$B$38, 2, FALSE)</f>
        <v>0</v>
      </c>
      <c r="I4468" s="2995">
        <f t="shared" ref="I4468:I4470" si="472">ROUND(F4468*H4468,6)</f>
        <v>0</v>
      </c>
      <c r="J4468" s="464">
        <f>$J$4597</f>
        <v>10</v>
      </c>
      <c r="K4468" s="2996">
        <v>0</v>
      </c>
      <c r="L4468" s="2997"/>
      <c r="M4468" s="657"/>
      <c r="N4468" s="2804"/>
      <c r="O4468" s="2804"/>
      <c r="P4468" s="2804"/>
      <c r="Q4468" s="2804"/>
      <c r="R4468" s="1214"/>
      <c r="S4468" s="156"/>
      <c r="T4468" s="2804"/>
      <c r="U4468" s="2804"/>
      <c r="V4468" s="3414" t="s">
        <v>30</v>
      </c>
      <c r="W4468" s="464"/>
      <c r="X4468" s="464"/>
      <c r="Y4468" s="464"/>
      <c r="Z4468" s="464"/>
      <c r="AA4468" s="464"/>
      <c r="AB4468" s="464"/>
      <c r="AC4468" s="464"/>
      <c r="AD4468" s="99">
        <v>2610.79</v>
      </c>
      <c r="AE4468" s="464"/>
      <c r="AF4468" s="464"/>
      <c r="AG4468" s="464"/>
      <c r="AH4468" s="156"/>
      <c r="AI4468" s="156"/>
      <c r="AJ4468" s="156"/>
      <c r="AK4468" s="156"/>
      <c r="AL4468" s="156"/>
      <c r="AM4468" s="156"/>
      <c r="AN4468" s="156"/>
      <c r="AO4468" s="156"/>
      <c r="AP4468" s="156"/>
      <c r="AQ4468" s="156"/>
      <c r="AR4468" s="156"/>
      <c r="AS4468" s="156"/>
      <c r="AT4468" s="156"/>
      <c r="AU4468" s="156"/>
      <c r="AV4468" s="156"/>
      <c r="AW4468" s="156"/>
      <c r="AX4468" s="156"/>
      <c r="AY4468" s="156"/>
      <c r="AZ4468" s="156"/>
      <c r="BA4468" s="156"/>
      <c r="BB4468" s="3314"/>
      <c r="BC4468" s="2744" t="str">
        <f t="shared" si="467"/>
        <v>Heating Res ER2 10 Year EUL</v>
      </c>
      <c r="BD4468" s="2628">
        <f>(INDEX('Avoided Cost Benefits'!$E$4:$E$859,MATCH(BC4468,'Avoided Cost Benefits'!$A$4:$A$859,0)))*F4468</f>
        <v>646.32807387668208</v>
      </c>
      <c r="BE4468" s="2509">
        <f t="shared" si="468"/>
        <v>0</v>
      </c>
      <c r="BF4468" s="156"/>
    </row>
    <row r="4469" spans="1:58" x14ac:dyDescent="0.35">
      <c r="A4469" s="1071" t="str">
        <f t="shared" si="465"/>
        <v>356275_2022_12_Cooling Res</v>
      </c>
      <c r="B4469" s="3395"/>
      <c r="C4469" s="2753" t="s">
        <v>4384</v>
      </c>
      <c r="D4469" s="2998" t="s">
        <v>315</v>
      </c>
      <c r="E4469" s="2738" t="s">
        <v>4502</v>
      </c>
      <c r="F4469" s="618">
        <f>ROUND(((J$4584*J$4586*(1/J$4588-1/J$4590))/1000),2)</f>
        <v>347.17</v>
      </c>
      <c r="G4469" s="1651" t="s">
        <v>1091</v>
      </c>
      <c r="H4469" s="2720">
        <f>VLOOKUP(G4469,'CP FACTORS'!$A$3:$B$38, 2, FALSE)</f>
        <v>9.4741810000000004E-4</v>
      </c>
      <c r="I4469" s="2995">
        <f t="shared" si="472"/>
        <v>0.32891500000000001</v>
      </c>
      <c r="J4469" s="3010">
        <f>$J$4596</f>
        <v>5</v>
      </c>
      <c r="K4469" s="3011">
        <f>J$4598</f>
        <v>224.93182686576984</v>
      </c>
      <c r="L4469" s="2997">
        <f>K$4573</f>
        <v>1.0111111111111111</v>
      </c>
      <c r="M4469" s="657"/>
      <c r="N4469" s="106"/>
      <c r="O4469" s="106"/>
      <c r="P4469" s="106"/>
      <c r="Q4469" s="106"/>
      <c r="R4469" s="1214"/>
      <c r="S4469" s="156"/>
      <c r="T4469" s="106"/>
      <c r="U4469" s="106"/>
      <c r="V4469" s="3415" t="s">
        <v>30</v>
      </c>
      <c r="W4469" s="3010"/>
      <c r="X4469" s="3010"/>
      <c r="Y4469" s="3010"/>
      <c r="Z4469" s="3010"/>
      <c r="AA4469" s="3010"/>
      <c r="AB4469" s="3010"/>
      <c r="AC4469" s="3010"/>
      <c r="AD4469" s="3551">
        <v>347.17</v>
      </c>
      <c r="AE4469" s="3010"/>
      <c r="AF4469" s="3010"/>
      <c r="AG4469" s="3010"/>
      <c r="AH4469" s="156"/>
      <c r="AI4469" s="156"/>
      <c r="AJ4469" s="156"/>
      <c r="AK4469" s="156"/>
      <c r="AL4469" s="156"/>
      <c r="AM4469" s="156"/>
      <c r="AN4469" s="156"/>
      <c r="AO4469" s="156"/>
      <c r="AP4469" s="156"/>
      <c r="AQ4469" s="156"/>
      <c r="AR4469" s="156"/>
      <c r="AS4469" s="156"/>
      <c r="AT4469" s="156"/>
      <c r="AU4469" s="156"/>
      <c r="AV4469" s="156"/>
      <c r="AW4469" s="156"/>
      <c r="AX4469" s="156"/>
      <c r="AY4469" s="156"/>
      <c r="AZ4469" s="156"/>
      <c r="BA4469" s="156"/>
      <c r="BB4469" s="3312">
        <f>(BD4469+BD4470+BD4471+BD4472)/(BE4469+BE4470+BE4471+BE4472)</f>
        <v>2.5197177826506469</v>
      </c>
      <c r="BC4469" s="2738" t="str">
        <f t="shared" si="467"/>
        <v>Cooling Res 5 Year EUL</v>
      </c>
      <c r="BD4469" s="3315">
        <f>(INDEX('Avoided Cost Benefits'!$E$4:$E$859,MATCH(BC4469,'Avoided Cost Benefits'!$A$4:$A$859,0)))*F4469</f>
        <v>181.14563845874662</v>
      </c>
      <c r="BE4469" s="3270">
        <f t="shared" si="468"/>
        <v>212.29997816495498</v>
      </c>
      <c r="BF4469" s="156"/>
    </row>
    <row r="4470" spans="1:58" x14ac:dyDescent="0.35">
      <c r="A4470" s="1071" t="str">
        <f t="shared" si="465"/>
        <v>356275_2022_12_Heating Res</v>
      </c>
      <c r="B4470" s="3395"/>
      <c r="C4470" s="2753" t="s">
        <v>4384</v>
      </c>
      <c r="D4470" s="2998" t="s">
        <v>315</v>
      </c>
      <c r="E4470" s="2742" t="s">
        <v>4502</v>
      </c>
      <c r="F4470" s="618">
        <f>ROUND(((J$4573*J$4575*(1/J$4578-1/J$4580))/1000),2)</f>
        <v>891.18</v>
      </c>
      <c r="G4470" s="1651" t="s">
        <v>1092</v>
      </c>
      <c r="H4470" s="2720">
        <f>VLOOKUP(G4470,'CP FACTORS'!$A$3:$B$38, 2, FALSE)</f>
        <v>0</v>
      </c>
      <c r="I4470" s="2995">
        <f t="shared" si="472"/>
        <v>0</v>
      </c>
      <c r="J4470" s="464">
        <f>$J$4596</f>
        <v>5</v>
      </c>
      <c r="K4470" s="2996">
        <v>0</v>
      </c>
      <c r="L4470" s="2997"/>
      <c r="M4470" s="657"/>
      <c r="N4470" s="106"/>
      <c r="O4470" s="106"/>
      <c r="P4470" s="106"/>
      <c r="Q4470" s="106"/>
      <c r="R4470" s="1214"/>
      <c r="S4470" s="156"/>
      <c r="T4470" s="106"/>
      <c r="U4470" s="106"/>
      <c r="V4470" s="3414" t="s">
        <v>30</v>
      </c>
      <c r="W4470" s="464"/>
      <c r="X4470" s="464"/>
      <c r="Y4470" s="464"/>
      <c r="Z4470" s="464"/>
      <c r="AA4470" s="464"/>
      <c r="AB4470" s="464"/>
      <c r="AC4470" s="464"/>
      <c r="AD4470" s="99">
        <v>891.18</v>
      </c>
      <c r="AE4470" s="464"/>
      <c r="AF4470" s="464"/>
      <c r="AG4470" s="464"/>
      <c r="AH4470" s="156"/>
      <c r="AI4470" s="156"/>
      <c r="AJ4470" s="156"/>
      <c r="AK4470" s="156"/>
      <c r="AL4470" s="156"/>
      <c r="AM4470" s="156"/>
      <c r="AN4470" s="156"/>
      <c r="AO4470" s="156"/>
      <c r="AP4470" s="156"/>
      <c r="AQ4470" s="156"/>
      <c r="AR4470" s="156"/>
      <c r="AS4470" s="156"/>
      <c r="AT4470" s="156"/>
      <c r="AU4470" s="156"/>
      <c r="AV4470" s="156"/>
      <c r="AW4470" s="156"/>
      <c r="AX4470" s="156"/>
      <c r="AY4470" s="156"/>
      <c r="AZ4470" s="156"/>
      <c r="BA4470" s="156"/>
      <c r="BB4470" s="3313"/>
      <c r="BC4470" s="2742" t="str">
        <f t="shared" si="467"/>
        <v>Heating Res 5 Year EUL</v>
      </c>
      <c r="BD4470" s="2627">
        <f>(INDEX('Avoided Cost Benefits'!$E$4:$E$859,MATCH(BC4470,'Avoided Cost Benefits'!$A$4:$A$859,0)))*F4470</f>
        <v>121.61868574475884</v>
      </c>
      <c r="BE4470" s="2507">
        <f t="shared" si="468"/>
        <v>0</v>
      </c>
      <c r="BF4470" s="156"/>
    </row>
    <row r="4471" spans="1:58" x14ac:dyDescent="0.35">
      <c r="A4471" s="1071" t="str">
        <f t="shared" si="465"/>
        <v>356275_2022_12_Cooling Res ER2</v>
      </c>
      <c r="B4471" s="3395"/>
      <c r="C4471" s="2753" t="s">
        <v>4384</v>
      </c>
      <c r="D4471" s="2998" t="s">
        <v>315</v>
      </c>
      <c r="E4471" s="2742" t="s">
        <v>4503</v>
      </c>
      <c r="F4471" s="618">
        <f>ROUND(((J$4584*J$4586*(1/J$4589-1/J$4590))/1000),2)</f>
        <v>11.64</v>
      </c>
      <c r="G4471" s="1651" t="s">
        <v>1133</v>
      </c>
      <c r="H4471" s="2720">
        <f>VLOOKUP(G4471,'CP FACTORS'!$A$3:$B$38, 2, FALSE)</f>
        <v>9.4741810000000004E-4</v>
      </c>
      <c r="I4471" s="3009">
        <f>ROUND(F4471*H4471,6)</f>
        <v>1.1028E-2</v>
      </c>
      <c r="J4471" s="464">
        <f>$J$4597</f>
        <v>10</v>
      </c>
      <c r="K4471" s="2996">
        <v>0</v>
      </c>
      <c r="L4471" s="2997"/>
      <c r="M4471" s="657"/>
      <c r="N4471" s="2804"/>
      <c r="O4471" s="2804"/>
      <c r="P4471" s="2804"/>
      <c r="Q4471" s="2804"/>
      <c r="R4471" s="1214"/>
      <c r="S4471" s="156"/>
      <c r="T4471" s="2804"/>
      <c r="U4471" s="2804"/>
      <c r="V4471" s="3414" t="s">
        <v>30</v>
      </c>
      <c r="W4471" s="464"/>
      <c r="X4471" s="464"/>
      <c r="Y4471" s="464"/>
      <c r="Z4471" s="464"/>
      <c r="AA4471" s="464"/>
      <c r="AB4471" s="464"/>
      <c r="AC4471" s="464"/>
      <c r="AD4471" s="99">
        <v>11.64</v>
      </c>
      <c r="AE4471" s="464"/>
      <c r="AF4471" s="464"/>
      <c r="AG4471" s="464"/>
      <c r="AH4471" s="156"/>
      <c r="AI4471" s="156"/>
      <c r="AJ4471" s="156"/>
      <c r="AK4471" s="156"/>
      <c r="AL4471" s="156"/>
      <c r="AM4471" s="156"/>
      <c r="AN4471" s="156"/>
      <c r="AO4471" s="156"/>
      <c r="AP4471" s="156"/>
      <c r="AQ4471" s="156"/>
      <c r="AR4471" s="156"/>
      <c r="AS4471" s="156"/>
      <c r="AT4471" s="156"/>
      <c r="AU4471" s="156"/>
      <c r="AV4471" s="156"/>
      <c r="AW4471" s="156"/>
      <c r="AX4471" s="156"/>
      <c r="AY4471" s="156"/>
      <c r="AZ4471" s="156"/>
      <c r="BA4471" s="156"/>
      <c r="BB4471" s="3313"/>
      <c r="BC4471" s="2742" t="str">
        <f t="shared" si="467"/>
        <v>Cooling Res ER2 10 Year EUL</v>
      </c>
      <c r="BD4471" s="2627">
        <f>(INDEX('Avoided Cost Benefits'!$E$4:$E$859,MATCH(BC4471,'Avoided Cost Benefits'!$A$4:$A$859,0)))*F4471</f>
        <v>11.550877520556519</v>
      </c>
      <c r="BE4471" s="2507">
        <f t="shared" si="468"/>
        <v>0</v>
      </c>
      <c r="BF4471" s="156"/>
    </row>
    <row r="4472" spans="1:58" x14ac:dyDescent="0.35">
      <c r="A4472" s="1071" t="str">
        <f t="shared" si="465"/>
        <v>356275_2022_12_Heating Res ER2</v>
      </c>
      <c r="B4472" s="3395"/>
      <c r="C4472" s="2753" t="s">
        <v>4384</v>
      </c>
      <c r="D4472" s="2998" t="s">
        <v>315</v>
      </c>
      <c r="E4472" s="2744" t="s">
        <v>4503</v>
      </c>
      <c r="F4472" s="618">
        <f>ROUND(((J$4573*J$4575*(1/J$4579-1/J$4580))/1000),2)</f>
        <v>891.18</v>
      </c>
      <c r="G4472" s="1651" t="s">
        <v>1150</v>
      </c>
      <c r="H4472" s="2720">
        <f>VLOOKUP(G4472,'CP FACTORS'!$A$3:$B$38, 2, FALSE)</f>
        <v>0</v>
      </c>
      <c r="I4472" s="2995">
        <f t="shared" ref="I4472:I4476" si="473">ROUND(F4472*H4472,6)</f>
        <v>0</v>
      </c>
      <c r="J4472" s="464">
        <f>$J$4597</f>
        <v>10</v>
      </c>
      <c r="K4472" s="2996">
        <v>0</v>
      </c>
      <c r="L4472" s="2997"/>
      <c r="M4472" s="657"/>
      <c r="N4472" s="2804"/>
      <c r="O4472" s="2804"/>
      <c r="P4472" s="2804"/>
      <c r="Q4472" s="2804"/>
      <c r="R4472" s="1214"/>
      <c r="S4472" s="156"/>
      <c r="T4472" s="2804"/>
      <c r="U4472" s="2804"/>
      <c r="V4472" s="3414" t="s">
        <v>30</v>
      </c>
      <c r="W4472" s="464"/>
      <c r="X4472" s="464"/>
      <c r="Y4472" s="464"/>
      <c r="Z4472" s="464"/>
      <c r="AA4472" s="464"/>
      <c r="AB4472" s="464"/>
      <c r="AC4472" s="464"/>
      <c r="AD4472" s="99">
        <v>891.18</v>
      </c>
      <c r="AE4472" s="464"/>
      <c r="AF4472" s="464"/>
      <c r="AG4472" s="464"/>
      <c r="AH4472" s="156"/>
      <c r="AI4472" s="156"/>
      <c r="AJ4472" s="156"/>
      <c r="AK4472" s="156"/>
      <c r="AL4472" s="156"/>
      <c r="AM4472" s="156"/>
      <c r="AN4472" s="156"/>
      <c r="AO4472" s="156"/>
      <c r="AP4472" s="156"/>
      <c r="AQ4472" s="156"/>
      <c r="AR4472" s="156"/>
      <c r="AS4472" s="156"/>
      <c r="AT4472" s="156"/>
      <c r="AU4472" s="156"/>
      <c r="AV4472" s="156"/>
      <c r="AW4472" s="156"/>
      <c r="AX4472" s="156"/>
      <c r="AY4472" s="156"/>
      <c r="AZ4472" s="156"/>
      <c r="BA4472" s="156"/>
      <c r="BB4472" s="3314"/>
      <c r="BC4472" s="2744" t="str">
        <f t="shared" si="467"/>
        <v>Heating Res ER2 10 Year EUL</v>
      </c>
      <c r="BD4472" s="2628">
        <f>(INDEX('Avoided Cost Benefits'!$E$4:$E$859,MATCH(BC4472,'Avoided Cost Benefits'!$A$4:$A$859,0)))*F4472</f>
        <v>220.62082851451916</v>
      </c>
      <c r="BE4472" s="2509">
        <f t="shared" si="468"/>
        <v>0</v>
      </c>
      <c r="BF4472" s="156"/>
    </row>
    <row r="4473" spans="1:58" s="3423" customFormat="1" x14ac:dyDescent="0.35">
      <c r="A4473" s="1071" t="str">
        <f t="shared" si="465"/>
        <v>356300_2022_12_Cooling Res</v>
      </c>
      <c r="C4473" s="2753" t="s">
        <v>4385</v>
      </c>
      <c r="D4473" s="2998" t="s">
        <v>320</v>
      </c>
      <c r="E4473" s="2738" t="s">
        <v>4556</v>
      </c>
      <c r="F4473" s="618">
        <f>ROUND(((J$4584*J$4585*(1/J$4589-1/J$4590))/1000),2)</f>
        <v>16</v>
      </c>
      <c r="G4473" s="1651" t="s">
        <v>1091</v>
      </c>
      <c r="H4473" s="2720">
        <f>VLOOKUP(G4473,'CP FACTORS'!$A$3:$B$38, 2, FALSE)</f>
        <v>9.4741810000000004E-4</v>
      </c>
      <c r="I4473" s="2995">
        <f t="shared" si="473"/>
        <v>1.5159000000000001E-2</v>
      </c>
      <c r="J4473" s="464">
        <f t="shared" ref="J4473:J4476" si="474">$J$4595</f>
        <v>15</v>
      </c>
      <c r="K4473" s="2996">
        <f t="shared" ref="K4473" si="475">J$4599</f>
        <v>84.93</v>
      </c>
      <c r="L4473" s="2997">
        <f>K$4573</f>
        <v>1.0111111111111111</v>
      </c>
      <c r="M4473" s="657"/>
      <c r="R4473" s="1214"/>
      <c r="S4473" s="156"/>
      <c r="V4473" s="3414" t="s">
        <v>30</v>
      </c>
      <c r="W4473" s="464"/>
      <c r="X4473" s="464"/>
      <c r="Y4473" s="464"/>
      <c r="Z4473" s="464"/>
      <c r="AA4473" s="464"/>
      <c r="AB4473" s="464"/>
      <c r="AC4473" s="464"/>
      <c r="AD4473" s="99">
        <v>16</v>
      </c>
      <c r="AE4473" s="464"/>
      <c r="AF4473" s="464"/>
      <c r="AG4473" s="464"/>
      <c r="AH4473" s="156"/>
      <c r="AI4473" s="156"/>
      <c r="AJ4473" s="156"/>
      <c r="AK4473" s="156"/>
      <c r="AL4473" s="156"/>
      <c r="AM4473" s="156"/>
      <c r="AN4473" s="156"/>
      <c r="AO4473" s="156"/>
      <c r="AP4473" s="156"/>
      <c r="AQ4473" s="156"/>
      <c r="AR4473" s="156"/>
      <c r="AS4473" s="156"/>
      <c r="AT4473" s="156"/>
      <c r="AU4473" s="156"/>
      <c r="AV4473" s="156"/>
      <c r="AW4473" s="156"/>
      <c r="AX4473" s="156"/>
      <c r="AY4473" s="156"/>
      <c r="AZ4473" s="156"/>
      <c r="BA4473" s="156"/>
      <c r="BB4473" s="3312">
        <f t="shared" ref="BB4473" si="476">(BD4473+BD4474)/(BE4473+BE4474)</f>
        <v>0.83916667685858082</v>
      </c>
      <c r="BC4473" s="2738" t="str">
        <f t="shared" ref="BC4473:BC4476" si="477">CONCATENATE(G4473," ",J4473," Year EUL")</f>
        <v>Cooling Res 15 Year EUL</v>
      </c>
      <c r="BD4473" s="3315">
        <f>(INDEX('Avoided Cost Benefits'!$E$4:$E$859,MATCH(BC4473,'Avoided Cost Benefits'!$A$4:$A$859,0)))*F4473</f>
        <v>24.225941500177996</v>
      </c>
      <c r="BE4473" s="3270">
        <f t="shared" ref="BE4473:BE4476" si="478">K4473/(1.0595^(2020-2019))</f>
        <v>80.160453043888623</v>
      </c>
      <c r="BF4473" s="156"/>
    </row>
    <row r="4474" spans="1:58" s="3423" customFormat="1" x14ac:dyDescent="0.35">
      <c r="A4474" s="1071" t="str">
        <f t="shared" si="465"/>
        <v>356300_2022_12_Heating Res</v>
      </c>
      <c r="C4474" s="2753" t="s">
        <v>4385</v>
      </c>
      <c r="D4474" s="2998" t="s">
        <v>320</v>
      </c>
      <c r="E4474" s="2744" t="s">
        <v>4556</v>
      </c>
      <c r="F4474" s="618">
        <f>ROUND(((J$4573*J$4574*(1/J$4577-1/J$4580))/1000),2)</f>
        <v>112.08</v>
      </c>
      <c r="G4474" s="1651" t="s">
        <v>1092</v>
      </c>
      <c r="H4474" s="2720">
        <f>VLOOKUP(G4474,'CP FACTORS'!$A$3:$B$38, 2, FALSE)</f>
        <v>0</v>
      </c>
      <c r="I4474" s="2995">
        <f t="shared" si="473"/>
        <v>0</v>
      </c>
      <c r="J4474" s="464">
        <f t="shared" si="474"/>
        <v>15</v>
      </c>
      <c r="K4474" s="2996">
        <v>0</v>
      </c>
      <c r="L4474" s="2997"/>
      <c r="M4474" s="657"/>
      <c r="R4474" s="1214"/>
      <c r="S4474" s="156"/>
      <c r="V4474" s="3414" t="s">
        <v>30</v>
      </c>
      <c r="W4474" s="464"/>
      <c r="X4474" s="464"/>
      <c r="Y4474" s="464"/>
      <c r="Z4474" s="464"/>
      <c r="AA4474" s="464"/>
      <c r="AB4474" s="464"/>
      <c r="AC4474" s="464"/>
      <c r="AD4474" s="99">
        <v>112.08</v>
      </c>
      <c r="AE4474" s="464"/>
      <c r="AF4474" s="464"/>
      <c r="AG4474" s="464"/>
      <c r="AH4474" s="156"/>
      <c r="AI4474" s="156"/>
      <c r="AJ4474" s="156"/>
      <c r="AK4474" s="156"/>
      <c r="AL4474" s="156"/>
      <c r="AM4474" s="156"/>
      <c r="AN4474" s="156"/>
      <c r="AO4474" s="156"/>
      <c r="AP4474" s="156"/>
      <c r="AQ4474" s="156"/>
      <c r="AR4474" s="156"/>
      <c r="AS4474" s="156"/>
      <c r="AT4474" s="156"/>
      <c r="AU4474" s="156"/>
      <c r="AV4474" s="156"/>
      <c r="AW4474" s="156"/>
      <c r="AX4474" s="156"/>
      <c r="AY4474" s="156"/>
      <c r="AZ4474" s="156"/>
      <c r="BA4474" s="156"/>
      <c r="BB4474" s="3314"/>
      <c r="BC4474" s="2744" t="str">
        <f t="shared" si="477"/>
        <v>Heating Res 15 Year EUL</v>
      </c>
      <c r="BD4474" s="2628">
        <f>(INDEX('Avoided Cost Benefits'!$E$4:$E$859,MATCH(BC4474,'Avoided Cost Benefits'!$A$4:$A$859,0)))*F4474</f>
        <v>43.042039496140326</v>
      </c>
      <c r="BE4474" s="2509">
        <f t="shared" si="478"/>
        <v>0</v>
      </c>
      <c r="BF4474" s="156"/>
    </row>
    <row r="4475" spans="1:58" s="3423" customFormat="1" x14ac:dyDescent="0.35">
      <c r="A4475" s="1071" t="str">
        <f t="shared" si="465"/>
        <v>356325_2022_12_Cooling Res</v>
      </c>
      <c r="C4475" s="3528" t="s">
        <v>4559</v>
      </c>
      <c r="D4475" s="3623" t="s">
        <v>315</v>
      </c>
      <c r="E4475" s="2742" t="s">
        <v>4557</v>
      </c>
      <c r="F4475" s="3007">
        <f>ROUND(((J$4584*J$4586*(1/J$4589-1/J$4590))/1000),2)</f>
        <v>11.64</v>
      </c>
      <c r="G4475" s="3008" t="s">
        <v>1091</v>
      </c>
      <c r="H4475" s="3412">
        <f>VLOOKUP(G4475,'CP FACTORS'!$A$3:$B$38, 2, FALSE)</f>
        <v>9.4741810000000004E-4</v>
      </c>
      <c r="I4475" s="3009">
        <f t="shared" si="473"/>
        <v>1.1028E-2</v>
      </c>
      <c r="J4475" s="3010">
        <f t="shared" si="474"/>
        <v>15</v>
      </c>
      <c r="K4475" s="3011">
        <f t="shared" ref="K4475" si="479">J$4599</f>
        <v>84.93</v>
      </c>
      <c r="L4475" s="2997">
        <f>K$4573</f>
        <v>1.0111111111111111</v>
      </c>
      <c r="M4475" s="657"/>
      <c r="R4475" s="1214"/>
      <c r="S4475" s="156"/>
      <c r="V4475" s="3414" t="s">
        <v>30</v>
      </c>
      <c r="W4475" s="464"/>
      <c r="X4475" s="464"/>
      <c r="Y4475" s="464"/>
      <c r="Z4475" s="464"/>
      <c r="AA4475" s="464"/>
      <c r="AB4475" s="464"/>
      <c r="AC4475" s="464"/>
      <c r="AD4475" s="99">
        <v>11.64</v>
      </c>
      <c r="AE4475" s="464"/>
      <c r="AF4475" s="464"/>
      <c r="AG4475" s="464"/>
      <c r="AH4475" s="156"/>
      <c r="AI4475" s="156"/>
      <c r="AJ4475" s="156"/>
      <c r="AK4475" s="156"/>
      <c r="AL4475" s="156"/>
      <c r="AM4475" s="156"/>
      <c r="AN4475" s="156"/>
      <c r="AO4475" s="156"/>
      <c r="AP4475" s="156"/>
      <c r="AQ4475" s="156"/>
      <c r="AR4475" s="156"/>
      <c r="AS4475" s="156"/>
      <c r="AT4475" s="156"/>
      <c r="AU4475" s="156"/>
      <c r="AV4475" s="156"/>
      <c r="AW4475" s="156"/>
      <c r="AX4475" s="156"/>
      <c r="AY4475" s="156"/>
      <c r="AZ4475" s="156"/>
      <c r="BA4475" s="156"/>
      <c r="BB4475" s="3312">
        <f t="shared" ref="BB4475" si="480">(BD4475+BD4476)/(BE4475+BE4476)</f>
        <v>0.40315822039930088</v>
      </c>
      <c r="BC4475" s="2738" t="str">
        <f t="shared" si="477"/>
        <v>Cooling Res 15 Year EUL</v>
      </c>
      <c r="BD4475" s="3315">
        <f>(INDEX('Avoided Cost Benefits'!$E$4:$E$859,MATCH(BC4475,'Avoided Cost Benefits'!$A$4:$A$859,0)))*F4475</f>
        <v>17.624372441379492</v>
      </c>
      <c r="BE4475" s="3270">
        <f t="shared" si="478"/>
        <v>80.160453043888623</v>
      </c>
      <c r="BF4475" s="156"/>
    </row>
    <row r="4476" spans="1:58" s="3423" customFormat="1" x14ac:dyDescent="0.35">
      <c r="A4476" s="1071" t="str">
        <f t="shared" si="465"/>
        <v>356325_2022_12_Heating Res</v>
      </c>
      <c r="C4476" s="2753" t="s">
        <v>4559</v>
      </c>
      <c r="D4476" s="2998" t="s">
        <v>315</v>
      </c>
      <c r="E4476" s="2742" t="s">
        <v>4557</v>
      </c>
      <c r="F4476" s="618">
        <f>ROUND(((J$4573*J$4575*(1/J$4577-1/J$4580))/1000),2)</f>
        <v>38.26</v>
      </c>
      <c r="G4476" s="1651" t="s">
        <v>1092</v>
      </c>
      <c r="H4476" s="2720">
        <f>VLOOKUP(G4476,'CP FACTORS'!$A$3:$B$38, 2, FALSE)</f>
        <v>0</v>
      </c>
      <c r="I4476" s="2995">
        <f t="shared" si="473"/>
        <v>0</v>
      </c>
      <c r="J4476" s="464">
        <f t="shared" si="474"/>
        <v>15</v>
      </c>
      <c r="K4476" s="2996">
        <v>0</v>
      </c>
      <c r="L4476" s="2997"/>
      <c r="M4476" s="657"/>
      <c r="R4476" s="1214"/>
      <c r="S4476" s="156"/>
      <c r="V4476" s="3414" t="s">
        <v>30</v>
      </c>
      <c r="W4476" s="464"/>
      <c r="X4476" s="464"/>
      <c r="Y4476" s="464"/>
      <c r="Z4476" s="464"/>
      <c r="AA4476" s="464"/>
      <c r="AB4476" s="464"/>
      <c r="AC4476" s="464"/>
      <c r="AD4476" s="99">
        <v>38.26</v>
      </c>
      <c r="AE4476" s="464"/>
      <c r="AF4476" s="464"/>
      <c r="AG4476" s="464"/>
      <c r="AH4476" s="156"/>
      <c r="AI4476" s="156"/>
      <c r="AJ4476" s="156"/>
      <c r="AK4476" s="156"/>
      <c r="AL4476" s="156"/>
      <c r="AM4476" s="156"/>
      <c r="AN4476" s="156"/>
      <c r="AO4476" s="156"/>
      <c r="AP4476" s="156"/>
      <c r="AQ4476" s="156"/>
      <c r="AR4476" s="156"/>
      <c r="AS4476" s="156"/>
      <c r="AT4476" s="156"/>
      <c r="AU4476" s="156"/>
      <c r="AV4476" s="156"/>
      <c r="AW4476" s="156"/>
      <c r="AX4476" s="156"/>
      <c r="AY4476" s="156"/>
      <c r="AZ4476" s="156"/>
      <c r="BA4476" s="156"/>
      <c r="BB4476" s="3314"/>
      <c r="BC4476" s="2744" t="str">
        <f t="shared" si="477"/>
        <v>Heating Res 15 Year EUL</v>
      </c>
      <c r="BD4476" s="2628">
        <f>(INDEX('Avoided Cost Benefits'!$E$4:$E$859,MATCH(BC4476,'Avoided Cost Benefits'!$A$4:$A$859,0)))*F4476</f>
        <v>14.692973154196366</v>
      </c>
      <c r="BE4476" s="2509">
        <f t="shared" si="478"/>
        <v>0</v>
      </c>
      <c r="BF4476" s="156"/>
    </row>
    <row r="4477" spans="1:58" x14ac:dyDescent="0.35">
      <c r="A4477" s="1071" t="str">
        <f t="shared" si="465"/>
        <v>356350_2022_12_Cooling Res</v>
      </c>
      <c r="B4477" s="3395"/>
      <c r="C4477" s="2753" t="s">
        <v>4560</v>
      </c>
      <c r="D4477" s="2736" t="s">
        <v>320</v>
      </c>
      <c r="E4477" s="2738" t="s">
        <v>4504</v>
      </c>
      <c r="F4477" s="618">
        <f>ROUND(((J$4584*J$4585*(1/J$4589-1/J$4590))/1000),2)</f>
        <v>16</v>
      </c>
      <c r="G4477" s="1651" t="s">
        <v>1091</v>
      </c>
      <c r="H4477" s="2720">
        <f>VLOOKUP(G4477,'CP FACTORS'!$A$3:$B$38, 2, FALSE)</f>
        <v>9.4741810000000004E-4</v>
      </c>
      <c r="I4477" s="2995">
        <f t="shared" ref="I4477:I4526" si="481">ROUND(F4477*H4477,6)</f>
        <v>1.5159000000000001E-2</v>
      </c>
      <c r="J4477" s="464">
        <f>$J$4595</f>
        <v>15</v>
      </c>
      <c r="K4477" s="2996">
        <f>J$4599</f>
        <v>84.93</v>
      </c>
      <c r="L4477" s="2997">
        <f>K$4573</f>
        <v>1.0111111111111111</v>
      </c>
      <c r="M4477" s="657"/>
      <c r="N4477" s="106"/>
      <c r="O4477" s="106"/>
      <c r="P4477" s="106"/>
      <c r="Q4477" s="106"/>
      <c r="R4477" s="1214"/>
      <c r="S4477" s="156"/>
      <c r="T4477" s="106"/>
      <c r="U4477" s="106"/>
      <c r="V4477" s="3414" t="s">
        <v>30</v>
      </c>
      <c r="W4477" s="464"/>
      <c r="X4477" s="464"/>
      <c r="Y4477" s="464"/>
      <c r="Z4477" s="464"/>
      <c r="AA4477" s="464"/>
      <c r="AB4477" s="464"/>
      <c r="AC4477" s="464"/>
      <c r="AD4477" s="99">
        <v>16</v>
      </c>
      <c r="AE4477" s="464"/>
      <c r="AF4477" s="464"/>
      <c r="AG4477" s="464"/>
      <c r="AH4477" s="156"/>
      <c r="AI4477" s="156"/>
      <c r="AJ4477" s="156"/>
      <c r="AK4477" s="156"/>
      <c r="AL4477" s="156"/>
      <c r="AM4477" s="156"/>
      <c r="AN4477" s="156"/>
      <c r="AO4477" s="156"/>
      <c r="AP4477" s="156"/>
      <c r="AQ4477" s="156"/>
      <c r="AR4477" s="156"/>
      <c r="AS4477" s="156"/>
      <c r="AT4477" s="156"/>
      <c r="AU4477" s="156"/>
      <c r="AV4477" s="156"/>
      <c r="AW4477" s="156"/>
      <c r="AX4477" s="156"/>
      <c r="AY4477" s="156"/>
      <c r="AZ4477" s="156"/>
      <c r="BA4477" s="156"/>
      <c r="BB4477" s="3312">
        <f>(BD4477+BD4478)/(BE4477+BE4478)</f>
        <v>12.809890498448706</v>
      </c>
      <c r="BC4477" s="2738" t="str">
        <f t="shared" si="467"/>
        <v>Cooling Res 15 Year EUL</v>
      </c>
      <c r="BD4477" s="3315">
        <f>(INDEX('Avoided Cost Benefits'!$E$4:$E$859,MATCH(BC4477,'Avoided Cost Benefits'!$A$4:$A$859,0)))*F4477</f>
        <v>24.225941500177996</v>
      </c>
      <c r="BE4477" s="3270">
        <f t="shared" si="468"/>
        <v>80.160453043888623</v>
      </c>
      <c r="BF4477" s="156"/>
    </row>
    <row r="4478" spans="1:58" x14ac:dyDescent="0.35">
      <c r="A4478" s="1071" t="str">
        <f t="shared" si="465"/>
        <v>356350_2022_12_Heating Res</v>
      </c>
      <c r="B4478" s="3395"/>
      <c r="C4478" s="2753" t="s">
        <v>4560</v>
      </c>
      <c r="D4478" s="2998" t="s">
        <v>320</v>
      </c>
      <c r="E4478" s="2744" t="s">
        <v>4504</v>
      </c>
      <c r="F4478" s="618">
        <f>ROUND(((J$4573*J$4574*(1/J$4579-1/J$4580))/1000),2)</f>
        <v>2610.79</v>
      </c>
      <c r="G4478" s="1651" t="s">
        <v>1092</v>
      </c>
      <c r="H4478" s="2720">
        <f>VLOOKUP(G4478,'CP FACTORS'!$A$3:$B$38, 2, FALSE)</f>
        <v>0</v>
      </c>
      <c r="I4478" s="2995">
        <f t="shared" si="481"/>
        <v>0</v>
      </c>
      <c r="J4478" s="464">
        <f>$J$4595</f>
        <v>15</v>
      </c>
      <c r="K4478" s="2996">
        <v>0</v>
      </c>
      <c r="L4478" s="2997"/>
      <c r="M4478" s="657"/>
      <c r="N4478" s="106"/>
      <c r="O4478" s="106"/>
      <c r="P4478" s="106"/>
      <c r="Q4478" s="106"/>
      <c r="R4478" s="1214"/>
      <c r="S4478" s="156"/>
      <c r="T4478" s="106"/>
      <c r="U4478" s="106"/>
      <c r="V4478" s="3414" t="s">
        <v>30</v>
      </c>
      <c r="W4478" s="464"/>
      <c r="X4478" s="464"/>
      <c r="Y4478" s="464"/>
      <c r="Z4478" s="464"/>
      <c r="AA4478" s="464"/>
      <c r="AB4478" s="464"/>
      <c r="AC4478" s="464"/>
      <c r="AD4478" s="99">
        <v>2610.79</v>
      </c>
      <c r="AE4478" s="464"/>
      <c r="AF4478" s="464"/>
      <c r="AG4478" s="464"/>
      <c r="AH4478" s="156"/>
      <c r="AI4478" s="156"/>
      <c r="AJ4478" s="156"/>
      <c r="AK4478" s="156"/>
      <c r="AL4478" s="156"/>
      <c r="AM4478" s="156"/>
      <c r="AN4478" s="156"/>
      <c r="AO4478" s="156"/>
      <c r="AP4478" s="156"/>
      <c r="AQ4478" s="156"/>
      <c r="AR4478" s="156"/>
      <c r="AS4478" s="156"/>
      <c r="AT4478" s="156"/>
      <c r="AU4478" s="156"/>
      <c r="AV4478" s="156"/>
      <c r="AW4478" s="156"/>
      <c r="AX4478" s="156"/>
      <c r="AY4478" s="156"/>
      <c r="AZ4478" s="156"/>
      <c r="BA4478" s="156"/>
      <c r="BB4478" s="3314"/>
      <c r="BC4478" s="2744" t="str">
        <f t="shared" si="467"/>
        <v>Heating Res 15 Year EUL</v>
      </c>
      <c r="BD4478" s="2628">
        <f>(INDEX('Avoided Cost Benefits'!$E$4:$E$859,MATCH(BC4478,'Avoided Cost Benefits'!$A$4:$A$859,0)))*F4478</f>
        <v>1002.6206842980746</v>
      </c>
      <c r="BE4478" s="2509">
        <f t="shared" si="468"/>
        <v>0</v>
      </c>
      <c r="BF4478" s="156"/>
    </row>
    <row r="4479" spans="1:58" s="3423" customFormat="1" x14ac:dyDescent="0.35">
      <c r="A4479" s="1071" t="str">
        <f t="shared" si="465"/>
        <v>356375_2022_12_Cooling Res</v>
      </c>
      <c r="C4479" s="3528" t="s">
        <v>4561</v>
      </c>
      <c r="D4479" s="3411" t="s">
        <v>315</v>
      </c>
      <c r="E4479" s="2742" t="s">
        <v>4558</v>
      </c>
      <c r="F4479" s="3007">
        <f>ROUND(((J$4584*J$4586*(1/J$4589-1/J$4590))/1000),2)</f>
        <v>11.64</v>
      </c>
      <c r="G4479" s="3008" t="s">
        <v>1091</v>
      </c>
      <c r="H4479" s="3412">
        <f>VLOOKUP(G4479,'CP FACTORS'!$A$3:$B$38, 2, FALSE)</f>
        <v>9.4741810000000004E-4</v>
      </c>
      <c r="I4479" s="3009">
        <f t="shared" ref="I4479:I4480" si="482">ROUND(F4479*H4479,6)</f>
        <v>1.1028E-2</v>
      </c>
      <c r="J4479" s="3010">
        <f>$J$4595</f>
        <v>15</v>
      </c>
      <c r="K4479" s="3011">
        <f>J$4599</f>
        <v>84.93</v>
      </c>
      <c r="L4479" s="2997">
        <f>K$4573</f>
        <v>1.0111111111111111</v>
      </c>
      <c r="M4479" s="657"/>
      <c r="R4479" s="1214"/>
      <c r="S4479" s="156"/>
      <c r="V4479" s="3414" t="s">
        <v>30</v>
      </c>
      <c r="W4479" s="464"/>
      <c r="X4479" s="464"/>
      <c r="Y4479" s="464"/>
      <c r="Z4479" s="464"/>
      <c r="AA4479" s="464"/>
      <c r="AB4479" s="464"/>
      <c r="AC4479" s="464"/>
      <c r="AD4479" s="99">
        <v>11.64</v>
      </c>
      <c r="AE4479" s="464"/>
      <c r="AF4479" s="464"/>
      <c r="AG4479" s="464"/>
      <c r="AH4479" s="156"/>
      <c r="AI4479" s="156"/>
      <c r="AJ4479" s="156"/>
      <c r="AK4479" s="156"/>
      <c r="AL4479" s="156"/>
      <c r="AM4479" s="156"/>
      <c r="AN4479" s="156"/>
      <c r="AO4479" s="156"/>
      <c r="AP4479" s="156"/>
      <c r="AQ4479" s="156"/>
      <c r="AR4479" s="156"/>
      <c r="AS4479" s="156"/>
      <c r="AT4479" s="156"/>
      <c r="AU4479" s="156"/>
      <c r="AV4479" s="156"/>
      <c r="AW4479" s="156"/>
      <c r="AX4479" s="156"/>
      <c r="AY4479" s="156"/>
      <c r="AZ4479" s="156"/>
      <c r="BA4479" s="156"/>
      <c r="BB4479" s="3312">
        <f>(BD4479+BD4480)/(BE4479+BE4480)</f>
        <v>4.4892945715207393</v>
      </c>
      <c r="BC4479" s="2738" t="str">
        <f t="shared" ref="BC4479:BC4480" si="483">CONCATENATE(G4479," ",J4479," Year EUL")</f>
        <v>Cooling Res 15 Year EUL</v>
      </c>
      <c r="BD4479" s="3315">
        <f>(INDEX('Avoided Cost Benefits'!$E$4:$E$859,MATCH(BC4479,'Avoided Cost Benefits'!$A$4:$A$859,0)))*F4479</f>
        <v>17.624372441379492</v>
      </c>
      <c r="BE4479" s="3270">
        <f t="shared" ref="BE4479:BE4480" si="484">K4479/(1.0595^(2020-2019))</f>
        <v>80.160453043888623</v>
      </c>
      <c r="BF4479" s="156"/>
    </row>
    <row r="4480" spans="1:58" s="3423" customFormat="1" ht="15" thickBot="1" x14ac:dyDescent="0.4">
      <c r="A4480" s="1071" t="str">
        <f t="shared" si="465"/>
        <v>356375_2022_12_Heating Res</v>
      </c>
      <c r="C4480" s="3527" t="s">
        <v>4561</v>
      </c>
      <c r="D4480" s="2999" t="s">
        <v>315</v>
      </c>
      <c r="E4480" s="3000" t="s">
        <v>4558</v>
      </c>
      <c r="F4480" s="3001">
        <f>ROUND(((J$4573*J$4575*(1/J$4579-1/J$4580))/1000),2)</f>
        <v>891.18</v>
      </c>
      <c r="G4480" s="3002" t="s">
        <v>1092</v>
      </c>
      <c r="H4480" s="3413">
        <f>VLOOKUP(G4480,'CP FACTORS'!$A$3:$B$38, 2, FALSE)</f>
        <v>0</v>
      </c>
      <c r="I4480" s="3003">
        <f t="shared" si="482"/>
        <v>0</v>
      </c>
      <c r="J4480" s="3004">
        <f>$J$4595</f>
        <v>15</v>
      </c>
      <c r="K4480" s="3005">
        <v>0</v>
      </c>
      <c r="L4480" s="3006"/>
      <c r="M4480" s="657"/>
      <c r="R4480" s="1214"/>
      <c r="S4480" s="156"/>
      <c r="V4480" s="3416" t="s">
        <v>30</v>
      </c>
      <c r="W4480" s="3004"/>
      <c r="X4480" s="3004"/>
      <c r="Y4480" s="3004"/>
      <c r="Z4480" s="3004"/>
      <c r="AA4480" s="3004"/>
      <c r="AB4480" s="3004"/>
      <c r="AC4480" s="3004"/>
      <c r="AD4480" s="3552">
        <v>891.18</v>
      </c>
      <c r="AE4480" s="3004"/>
      <c r="AF4480" s="3004"/>
      <c r="AG4480" s="3004"/>
      <c r="AH4480" s="156"/>
      <c r="AI4480" s="156"/>
      <c r="AJ4480" s="156"/>
      <c r="AK4480" s="156"/>
      <c r="AL4480" s="156"/>
      <c r="AM4480" s="156"/>
      <c r="AN4480" s="156"/>
      <c r="AO4480" s="156"/>
      <c r="AP4480" s="156"/>
      <c r="AQ4480" s="156"/>
      <c r="AR4480" s="156"/>
      <c r="AS4480" s="156"/>
      <c r="AT4480" s="156"/>
      <c r="AU4480" s="156"/>
      <c r="AV4480" s="156"/>
      <c r="AW4480" s="156"/>
      <c r="AX4480" s="156"/>
      <c r="AY4480" s="156"/>
      <c r="AZ4480" s="156"/>
      <c r="BA4480" s="156"/>
      <c r="BB4480" s="3314"/>
      <c r="BC4480" s="2744" t="str">
        <f t="shared" si="483"/>
        <v>Heating Res 15 Year EUL</v>
      </c>
      <c r="BD4480" s="2628">
        <f>(INDEX('Avoided Cost Benefits'!$E$4:$E$859,MATCH(BC4480,'Avoided Cost Benefits'!$A$4:$A$859,0)))*F4480</f>
        <v>342.23951425919284</v>
      </c>
      <c r="BE4480" s="2509">
        <f t="shared" si="484"/>
        <v>0</v>
      </c>
      <c r="BF4480" s="156"/>
    </row>
    <row r="4481" spans="1:58" x14ac:dyDescent="0.35">
      <c r="A4481" s="1071" t="str">
        <f t="shared" si="465"/>
        <v>356400_2022_12_Cooling Res</v>
      </c>
      <c r="B4481" s="3395"/>
      <c r="C4481" s="3528" t="s">
        <v>4386</v>
      </c>
      <c r="D4481" s="3411" t="s">
        <v>320</v>
      </c>
      <c r="E4481" s="2742" t="s">
        <v>4505</v>
      </c>
      <c r="F4481" s="3007">
        <f>ROUND(((J$4584*J$4585*(1/J$4587-1/J$4591))/1000),2)</f>
        <v>463.89</v>
      </c>
      <c r="G4481" s="3008" t="s">
        <v>1091</v>
      </c>
      <c r="H4481" s="3412">
        <f>VLOOKUP(G4481,'CP FACTORS'!$A$3:$B$38, 2, FALSE)</f>
        <v>9.4741810000000004E-4</v>
      </c>
      <c r="I4481" s="3009">
        <f>ROUND(F4481*H4481,6)</f>
        <v>0.439498</v>
      </c>
      <c r="J4481" s="3010">
        <f>$J$4596</f>
        <v>5</v>
      </c>
      <c r="K4481" s="3011">
        <f>J$4598</f>
        <v>224.93182686576984</v>
      </c>
      <c r="L4481" s="3012">
        <f>K$4573</f>
        <v>1.0111111111111111</v>
      </c>
      <c r="M4481" s="657"/>
      <c r="N4481" s="106"/>
      <c r="O4481" s="106"/>
      <c r="P4481" s="106"/>
      <c r="Q4481" s="106"/>
      <c r="R4481" s="1214"/>
      <c r="S4481" s="156"/>
      <c r="T4481" s="106"/>
      <c r="U4481" s="106"/>
      <c r="V4481" s="3415" t="s">
        <v>30</v>
      </c>
      <c r="W4481" s="3010"/>
      <c r="X4481" s="3010"/>
      <c r="Y4481" s="3010"/>
      <c r="Z4481" s="3010"/>
      <c r="AA4481" s="3010"/>
      <c r="AB4481" s="3010"/>
      <c r="AC4481" s="3010"/>
      <c r="AD4481" s="3551">
        <v>463.89</v>
      </c>
      <c r="AE4481" s="3010"/>
      <c r="AF4481" s="3010"/>
      <c r="AG4481" s="3010"/>
      <c r="AH4481" s="156"/>
      <c r="AI4481" s="156"/>
      <c r="AJ4481" s="156"/>
      <c r="AK4481" s="156"/>
      <c r="AL4481" s="156"/>
      <c r="AM4481" s="156"/>
      <c r="AN4481" s="156"/>
      <c r="AO4481" s="156"/>
      <c r="AP4481" s="156"/>
      <c r="AQ4481" s="156"/>
      <c r="AR4481" s="156"/>
      <c r="AS4481" s="156"/>
      <c r="AT4481" s="156"/>
      <c r="AU4481" s="156"/>
      <c r="AV4481" s="156"/>
      <c r="AW4481" s="156"/>
      <c r="AX4481" s="156"/>
      <c r="AY4481" s="156"/>
      <c r="AZ4481" s="156"/>
      <c r="BA4481" s="156"/>
      <c r="BB4481" s="3312">
        <f>(BD4481+BD4482+BD4483+BD4484)/(BE4481+BE4482+BE4483+BE4484)</f>
        <v>2.3939882174801994</v>
      </c>
      <c r="BC4481" s="2738" t="str">
        <f t="shared" si="467"/>
        <v>Cooling Res 5 Year EUL</v>
      </c>
      <c r="BD4481" s="3315">
        <f>(INDEX('Avoided Cost Benefits'!$E$4:$E$859,MATCH(BC4481,'Avoided Cost Benefits'!$A$4:$A$859,0)))*F4481</f>
        <v>242.04755659944109</v>
      </c>
      <c r="BE4481" s="3270">
        <f t="shared" si="468"/>
        <v>212.29997816495498</v>
      </c>
      <c r="BF4481" s="156"/>
    </row>
    <row r="4482" spans="1:58" x14ac:dyDescent="0.35">
      <c r="A4482" s="1071" t="str">
        <f t="shared" si="465"/>
        <v>356400_2022_12_Heating Res</v>
      </c>
      <c r="B4482" s="3395"/>
      <c r="C4482" s="2753" t="s">
        <v>4386</v>
      </c>
      <c r="D4482" s="2998" t="s">
        <v>320</v>
      </c>
      <c r="E4482" s="2742" t="s">
        <v>4505</v>
      </c>
      <c r="F4482" s="618">
        <f>ROUND(((J$4573*J$4574*(1/J$4576-1/J$4581))/1000),2)</f>
        <v>1248.4100000000001</v>
      </c>
      <c r="G4482" s="1651" t="s">
        <v>1092</v>
      </c>
      <c r="H4482" s="2720">
        <f>VLOOKUP(G4482,'CP FACTORS'!$A$3:$B$38, 2, FALSE)</f>
        <v>0</v>
      </c>
      <c r="I4482" s="2995">
        <f t="shared" ref="I4482" si="485">ROUND(F4482*H4482,6)</f>
        <v>0</v>
      </c>
      <c r="J4482" s="464">
        <f>$J$4596</f>
        <v>5</v>
      </c>
      <c r="K4482" s="2996">
        <v>0</v>
      </c>
      <c r="L4482" s="2997"/>
      <c r="M4482" s="657"/>
      <c r="N4482" s="106"/>
      <c r="O4482" s="106"/>
      <c r="P4482" s="106"/>
      <c r="Q4482" s="106"/>
      <c r="R4482" s="1214"/>
      <c r="S4482" s="156"/>
      <c r="T4482" s="106"/>
      <c r="U4482" s="106"/>
      <c r="V4482" s="3414" t="s">
        <v>30</v>
      </c>
      <c r="W4482" s="464"/>
      <c r="X4482" s="464"/>
      <c r="Y4482" s="464"/>
      <c r="Z4482" s="464"/>
      <c r="AA4482" s="464"/>
      <c r="AB4482" s="464"/>
      <c r="AC4482" s="464"/>
      <c r="AD4482" s="99">
        <v>1248.4100000000001</v>
      </c>
      <c r="AE4482" s="464"/>
      <c r="AF4482" s="464"/>
      <c r="AG4482" s="464"/>
      <c r="AH4482" s="156"/>
      <c r="AI4482" s="156"/>
      <c r="AJ4482" s="156"/>
      <c r="AK4482" s="156"/>
      <c r="AL4482" s="156"/>
      <c r="AM4482" s="156"/>
      <c r="AN4482" s="156"/>
      <c r="AO4482" s="156"/>
      <c r="AP4482" s="156"/>
      <c r="AQ4482" s="156"/>
      <c r="AR4482" s="156"/>
      <c r="AS4482" s="156"/>
      <c r="AT4482" s="156"/>
      <c r="AU4482" s="156"/>
      <c r="AV4482" s="156"/>
      <c r="AW4482" s="156"/>
      <c r="AX4482" s="156"/>
      <c r="AY4482" s="156"/>
      <c r="AZ4482" s="156"/>
      <c r="BA4482" s="156"/>
      <c r="BB4482" s="3313"/>
      <c r="BC4482" s="2742" t="str">
        <f t="shared" si="467"/>
        <v>Heating Res 5 Year EUL</v>
      </c>
      <c r="BD4482" s="2627">
        <f>(INDEX('Avoided Cost Benefits'!$E$4:$E$859,MATCH(BC4482,'Avoided Cost Benefits'!$A$4:$A$859,0)))*F4482</f>
        <v>170.36960375077359</v>
      </c>
      <c r="BE4482" s="2507">
        <f t="shared" si="468"/>
        <v>0</v>
      </c>
      <c r="BF4482" s="156"/>
    </row>
    <row r="4483" spans="1:58" x14ac:dyDescent="0.35">
      <c r="A4483" s="1071" t="str">
        <f t="shared" si="465"/>
        <v>356400_2022_12_Cooling Res ER2</v>
      </c>
      <c r="B4483" s="3395"/>
      <c r="C4483" s="2753" t="s">
        <v>4386</v>
      </c>
      <c r="D4483" s="2998" t="s">
        <v>320</v>
      </c>
      <c r="E4483" s="2742" t="s">
        <v>4506</v>
      </c>
      <c r="F4483" s="3007">
        <f>ROUND(((J$4584*J$4585*(1/J$4589-1/J$4591))/1000),2)</f>
        <v>63.99</v>
      </c>
      <c r="G4483" s="1651" t="s">
        <v>1133</v>
      </c>
      <c r="H4483" s="2720">
        <f>VLOOKUP(G4483,'CP FACTORS'!$A$3:$B$38, 2, FALSE)</f>
        <v>9.4741810000000004E-4</v>
      </c>
      <c r="I4483" s="3009">
        <f>ROUND(F4483*H4483,6)</f>
        <v>6.0624999999999998E-2</v>
      </c>
      <c r="J4483" s="464">
        <f>$J$4597</f>
        <v>10</v>
      </c>
      <c r="K4483" s="2996">
        <v>0</v>
      </c>
      <c r="L4483" s="2997"/>
      <c r="M4483" s="657"/>
      <c r="N4483" s="2804"/>
      <c r="O4483" s="2804"/>
      <c r="P4483" s="2804"/>
      <c r="Q4483" s="2804"/>
      <c r="R4483" s="1214"/>
      <c r="S4483" s="156"/>
      <c r="T4483" s="2804"/>
      <c r="U4483" s="2804"/>
      <c r="V4483" s="3414" t="s">
        <v>30</v>
      </c>
      <c r="W4483" s="464"/>
      <c r="X4483" s="464"/>
      <c r="Y4483" s="464"/>
      <c r="Z4483" s="464"/>
      <c r="AA4483" s="464"/>
      <c r="AB4483" s="464"/>
      <c r="AC4483" s="464"/>
      <c r="AD4483" s="99">
        <v>63.99</v>
      </c>
      <c r="AE4483" s="464"/>
      <c r="AF4483" s="464"/>
      <c r="AG4483" s="464"/>
      <c r="AH4483" s="156"/>
      <c r="AI4483" s="156"/>
      <c r="AJ4483" s="156"/>
      <c r="AK4483" s="156"/>
      <c r="AL4483" s="156"/>
      <c r="AM4483" s="156"/>
      <c r="AN4483" s="156"/>
      <c r="AO4483" s="156"/>
      <c r="AP4483" s="156"/>
      <c r="AQ4483" s="156"/>
      <c r="AR4483" s="156"/>
      <c r="AS4483" s="156"/>
      <c r="AT4483" s="156"/>
      <c r="AU4483" s="156"/>
      <c r="AV4483" s="156"/>
      <c r="AW4483" s="156"/>
      <c r="AX4483" s="156"/>
      <c r="AY4483" s="156"/>
      <c r="AZ4483" s="156"/>
      <c r="BA4483" s="156"/>
      <c r="BB4483" s="3313"/>
      <c r="BC4483" s="2742" t="str">
        <f t="shared" si="467"/>
        <v>Cooling Res ER2 10 Year EUL</v>
      </c>
      <c r="BD4483" s="2627">
        <f>(INDEX('Avoided Cost Benefits'!$E$4:$E$859,MATCH(BC4483,'Avoided Cost Benefits'!$A$4:$A$859,0)))*F4483</f>
        <v>63.500056060172824</v>
      </c>
      <c r="BE4483" s="2507">
        <f t="shared" si="468"/>
        <v>0</v>
      </c>
      <c r="BF4483" s="156"/>
    </row>
    <row r="4484" spans="1:58" x14ac:dyDescent="0.35">
      <c r="A4484" s="1071" t="str">
        <f t="shared" si="465"/>
        <v>356400_2022_12_Heating Res ER2</v>
      </c>
      <c r="B4484" s="3395"/>
      <c r="C4484" s="2753" t="s">
        <v>4386</v>
      </c>
      <c r="D4484" s="2998" t="s">
        <v>320</v>
      </c>
      <c r="E4484" s="2744" t="s">
        <v>4506</v>
      </c>
      <c r="F4484" s="618">
        <f>ROUND(((J$4573*J$4574*(1/J$4577-1/J$4581))/1000),2)</f>
        <v>130.58000000000001</v>
      </c>
      <c r="G4484" s="1651" t="s">
        <v>1150</v>
      </c>
      <c r="H4484" s="2720">
        <f>VLOOKUP(G4484,'CP FACTORS'!$A$3:$B$38, 2, FALSE)</f>
        <v>0</v>
      </c>
      <c r="I4484" s="2995">
        <f t="shared" ref="I4484:I4486" si="486">ROUND(F4484*H4484,6)</f>
        <v>0</v>
      </c>
      <c r="J4484" s="464">
        <f>$J$4597</f>
        <v>10</v>
      </c>
      <c r="K4484" s="2996">
        <v>0</v>
      </c>
      <c r="L4484" s="2997"/>
      <c r="M4484" s="657"/>
      <c r="N4484" s="2804"/>
      <c r="O4484" s="2804"/>
      <c r="P4484" s="2804"/>
      <c r="Q4484" s="2804"/>
      <c r="R4484" s="1214"/>
      <c r="S4484" s="156"/>
      <c r="T4484" s="2804"/>
      <c r="U4484" s="2804"/>
      <c r="V4484" s="3414" t="s">
        <v>30</v>
      </c>
      <c r="W4484" s="464"/>
      <c r="X4484" s="464"/>
      <c r="Y4484" s="464"/>
      <c r="Z4484" s="464"/>
      <c r="AA4484" s="464"/>
      <c r="AB4484" s="464"/>
      <c r="AC4484" s="464"/>
      <c r="AD4484" s="99">
        <v>130.58000000000001</v>
      </c>
      <c r="AE4484" s="464"/>
      <c r="AF4484" s="464"/>
      <c r="AG4484" s="464"/>
      <c r="AH4484" s="156"/>
      <c r="AI4484" s="156"/>
      <c r="AJ4484" s="156"/>
      <c r="AK4484" s="156"/>
      <c r="AL4484" s="156"/>
      <c r="AM4484" s="156"/>
      <c r="AN4484" s="156"/>
      <c r="AO4484" s="156"/>
      <c r="AP4484" s="156"/>
      <c r="AQ4484" s="156"/>
      <c r="AR4484" s="156"/>
      <c r="AS4484" s="156"/>
      <c r="AT4484" s="156"/>
      <c r="AU4484" s="156"/>
      <c r="AV4484" s="156"/>
      <c r="AW4484" s="156"/>
      <c r="AX4484" s="156"/>
      <c r="AY4484" s="156"/>
      <c r="AZ4484" s="156"/>
      <c r="BA4484" s="156"/>
      <c r="BB4484" s="3314"/>
      <c r="BC4484" s="2744" t="str">
        <f t="shared" si="467"/>
        <v>Heating Res ER2 10 Year EUL</v>
      </c>
      <c r="BD4484" s="2628">
        <f>(INDEX('Avoided Cost Benefits'!$E$4:$E$859,MATCH(BC4484,'Avoided Cost Benefits'!$A$4:$A$859,0)))*F4484</f>
        <v>32.326429887818307</v>
      </c>
      <c r="BE4484" s="2509">
        <f t="shared" si="468"/>
        <v>0</v>
      </c>
      <c r="BF4484" s="156"/>
    </row>
    <row r="4485" spans="1:58" x14ac:dyDescent="0.35">
      <c r="A4485" s="1071" t="str">
        <f t="shared" si="465"/>
        <v>356425_2022_12_Cooling Res</v>
      </c>
      <c r="B4485" s="3395"/>
      <c r="C4485" s="2753" t="s">
        <v>4387</v>
      </c>
      <c r="D4485" s="2998" t="s">
        <v>315</v>
      </c>
      <c r="E4485" s="2738" t="s">
        <v>4507</v>
      </c>
      <c r="F4485" s="618">
        <f>ROUND(((J$4584*J$4586*(1/J$4587-1/J$4591))/1000),2)</f>
        <v>337.58</v>
      </c>
      <c r="G4485" s="1651" t="s">
        <v>1091</v>
      </c>
      <c r="H4485" s="2720">
        <f>VLOOKUP(G4485,'CP FACTORS'!$A$3:$B$38, 2, FALSE)</f>
        <v>9.4741810000000004E-4</v>
      </c>
      <c r="I4485" s="2995">
        <f t="shared" si="486"/>
        <v>0.31982899999999997</v>
      </c>
      <c r="J4485" s="3010">
        <f>$J$4596</f>
        <v>5</v>
      </c>
      <c r="K4485" s="3011">
        <f>J$4598</f>
        <v>224.93182686576984</v>
      </c>
      <c r="L4485" s="2997">
        <f>K$4573</f>
        <v>1.0111111111111111</v>
      </c>
      <c r="M4485" s="657"/>
      <c r="N4485" s="106"/>
      <c r="O4485" s="106"/>
      <c r="P4485" s="106"/>
      <c r="Q4485" s="106"/>
      <c r="R4485" s="1214"/>
      <c r="S4485" s="156"/>
      <c r="T4485" s="106"/>
      <c r="U4485" s="106"/>
      <c r="V4485" s="3415" t="s">
        <v>30</v>
      </c>
      <c r="W4485" s="3010"/>
      <c r="X4485" s="3010"/>
      <c r="Y4485" s="3010"/>
      <c r="Z4485" s="3010"/>
      <c r="AA4485" s="3010"/>
      <c r="AB4485" s="3010"/>
      <c r="AC4485" s="3010"/>
      <c r="AD4485" s="3551">
        <v>337.58</v>
      </c>
      <c r="AE4485" s="3010"/>
      <c r="AF4485" s="3010"/>
      <c r="AG4485" s="3010"/>
      <c r="AH4485" s="156"/>
      <c r="AI4485" s="156"/>
      <c r="AJ4485" s="156"/>
      <c r="AK4485" s="156"/>
      <c r="AL4485" s="156"/>
      <c r="AM4485" s="156"/>
      <c r="AN4485" s="156"/>
      <c r="AO4485" s="156"/>
      <c r="AP4485" s="156"/>
      <c r="AQ4485" s="156"/>
      <c r="AR4485" s="156"/>
      <c r="AS4485" s="156"/>
      <c r="AT4485" s="156"/>
      <c r="AU4485" s="156"/>
      <c r="AV4485" s="156"/>
      <c r="AW4485" s="156"/>
      <c r="AX4485" s="156"/>
      <c r="AY4485" s="156"/>
      <c r="AZ4485" s="156"/>
      <c r="BA4485" s="156"/>
      <c r="BB4485" s="3312">
        <f>(BD4485+BD4486+BD4487+BD4488)/(BE4485+BE4486+BE4487+BE4488)</f>
        <v>1.3732176563901048</v>
      </c>
      <c r="BC4485" s="2738" t="str">
        <f t="shared" si="467"/>
        <v>Cooling Res 5 Year EUL</v>
      </c>
      <c r="BD4485" s="3315">
        <f>(INDEX('Avoided Cost Benefits'!$E$4:$E$859,MATCH(BC4485,'Avoided Cost Benefits'!$A$4:$A$859,0)))*F4485</f>
        <v>176.1417882619572</v>
      </c>
      <c r="BE4485" s="3270">
        <f t="shared" si="468"/>
        <v>212.29997816495498</v>
      </c>
      <c r="BF4485" s="156"/>
    </row>
    <row r="4486" spans="1:58" x14ac:dyDescent="0.35">
      <c r="A4486" s="1071" t="str">
        <f t="shared" si="465"/>
        <v>356425_2022_12_Heating Res</v>
      </c>
      <c r="B4486" s="3395"/>
      <c r="C4486" s="2753" t="s">
        <v>4387</v>
      </c>
      <c r="D4486" s="2998" t="s">
        <v>315</v>
      </c>
      <c r="E4486" s="2742" t="s">
        <v>4507</v>
      </c>
      <c r="F4486" s="618">
        <f>ROUND(((J$4573*J$4575*(1/J$4576-1/J$4581))/1000),2)</f>
        <v>426.14</v>
      </c>
      <c r="G4486" s="1651" t="s">
        <v>1092</v>
      </c>
      <c r="H4486" s="2720">
        <f>VLOOKUP(G4486,'CP FACTORS'!$A$3:$B$38, 2, FALSE)</f>
        <v>0</v>
      </c>
      <c r="I4486" s="2995">
        <f t="shared" si="486"/>
        <v>0</v>
      </c>
      <c r="J4486" s="464">
        <f>$J$4596</f>
        <v>5</v>
      </c>
      <c r="K4486" s="2996">
        <v>0</v>
      </c>
      <c r="L4486" s="2997"/>
      <c r="M4486" s="657"/>
      <c r="N4486" s="106"/>
      <c r="O4486" s="106"/>
      <c r="P4486" s="106"/>
      <c r="Q4486" s="106"/>
      <c r="R4486" s="1214"/>
      <c r="S4486" s="156"/>
      <c r="T4486" s="106"/>
      <c r="U4486" s="106"/>
      <c r="V4486" s="3414" t="s">
        <v>30</v>
      </c>
      <c r="W4486" s="464"/>
      <c r="X4486" s="464"/>
      <c r="Y4486" s="464"/>
      <c r="Z4486" s="464"/>
      <c r="AA4486" s="464"/>
      <c r="AB4486" s="464"/>
      <c r="AC4486" s="464"/>
      <c r="AD4486" s="99">
        <v>426.14</v>
      </c>
      <c r="AE4486" s="464"/>
      <c r="AF4486" s="464"/>
      <c r="AG4486" s="464"/>
      <c r="AH4486" s="156"/>
      <c r="AI4486" s="156"/>
      <c r="AJ4486" s="156"/>
      <c r="AK4486" s="156"/>
      <c r="AL4486" s="156"/>
      <c r="AM4486" s="156"/>
      <c r="AN4486" s="156"/>
      <c r="AO4486" s="156"/>
      <c r="AP4486" s="156"/>
      <c r="AQ4486" s="156"/>
      <c r="AR4486" s="156"/>
      <c r="AS4486" s="156"/>
      <c r="AT4486" s="156"/>
      <c r="AU4486" s="156"/>
      <c r="AV4486" s="156"/>
      <c r="AW4486" s="156"/>
      <c r="AX4486" s="156"/>
      <c r="AY4486" s="156"/>
      <c r="AZ4486" s="156"/>
      <c r="BA4486" s="156"/>
      <c r="BB4486" s="3313"/>
      <c r="BC4486" s="2742" t="str">
        <f t="shared" si="467"/>
        <v>Heating Res 5 Year EUL</v>
      </c>
      <c r="BD4486" s="2627">
        <f>(INDEX('Avoided Cost Benefits'!$E$4:$E$859,MATCH(BC4486,'Avoided Cost Benefits'!$A$4:$A$859,0)))*F4486</f>
        <v>58.155015533642512</v>
      </c>
      <c r="BE4486" s="2507">
        <f t="shared" si="468"/>
        <v>0</v>
      </c>
      <c r="BF4486" s="156"/>
    </row>
    <row r="4487" spans="1:58" x14ac:dyDescent="0.35">
      <c r="A4487" s="1071" t="str">
        <f t="shared" si="465"/>
        <v>356425_2022_12_Cooling Res ER2</v>
      </c>
      <c r="B4487" s="3395"/>
      <c r="C4487" s="2753" t="s">
        <v>4387</v>
      </c>
      <c r="D4487" s="2998" t="s">
        <v>315</v>
      </c>
      <c r="E4487" s="2742" t="s">
        <v>4508</v>
      </c>
      <c r="F4487" s="618">
        <f>ROUND(((J$4584*J$4586*(1/J$4589-1/J$4591))/1000),2)</f>
        <v>46.56</v>
      </c>
      <c r="G4487" s="1651" t="s">
        <v>1133</v>
      </c>
      <c r="H4487" s="2720">
        <f>VLOOKUP(G4487,'CP FACTORS'!$A$3:$B$38, 2, FALSE)</f>
        <v>9.4741810000000004E-4</v>
      </c>
      <c r="I4487" s="3009">
        <f>ROUND(F4487*H4487,6)</f>
        <v>4.4111999999999998E-2</v>
      </c>
      <c r="J4487" s="464">
        <f>$J$4597</f>
        <v>10</v>
      </c>
      <c r="K4487" s="2996">
        <v>0</v>
      </c>
      <c r="L4487" s="2997"/>
      <c r="M4487" s="657"/>
      <c r="N4487" s="2804"/>
      <c r="O4487" s="2804"/>
      <c r="P4487" s="2804"/>
      <c r="Q4487" s="2804"/>
      <c r="R4487" s="1214"/>
      <c r="S4487" s="156"/>
      <c r="T4487" s="2804"/>
      <c r="U4487" s="2804"/>
      <c r="V4487" s="3414" t="s">
        <v>30</v>
      </c>
      <c r="W4487" s="464"/>
      <c r="X4487" s="464"/>
      <c r="Y4487" s="464"/>
      <c r="Z4487" s="464"/>
      <c r="AA4487" s="464"/>
      <c r="AB4487" s="464"/>
      <c r="AC4487" s="464"/>
      <c r="AD4487" s="99">
        <v>46.56</v>
      </c>
      <c r="AE4487" s="464"/>
      <c r="AF4487" s="464"/>
      <c r="AG4487" s="464"/>
      <c r="AH4487" s="156"/>
      <c r="AI4487" s="156"/>
      <c r="AJ4487" s="156"/>
      <c r="AK4487" s="156"/>
      <c r="AL4487" s="156"/>
      <c r="AM4487" s="156"/>
      <c r="AN4487" s="156"/>
      <c r="AO4487" s="156"/>
      <c r="AP4487" s="156"/>
      <c r="AQ4487" s="156"/>
      <c r="AR4487" s="156"/>
      <c r="AS4487" s="156"/>
      <c r="AT4487" s="156"/>
      <c r="AU4487" s="156"/>
      <c r="AV4487" s="156"/>
      <c r="AW4487" s="156"/>
      <c r="AX4487" s="156"/>
      <c r="AY4487" s="156"/>
      <c r="AZ4487" s="156"/>
      <c r="BA4487" s="156"/>
      <c r="BB4487" s="3313"/>
      <c r="BC4487" s="2742" t="str">
        <f t="shared" si="467"/>
        <v>Cooling Res ER2 10 Year EUL</v>
      </c>
      <c r="BD4487" s="2627">
        <f>(INDEX('Avoided Cost Benefits'!$E$4:$E$859,MATCH(BC4487,'Avoided Cost Benefits'!$A$4:$A$859,0)))*F4487</f>
        <v>46.203510082226074</v>
      </c>
      <c r="BE4487" s="2507">
        <f t="shared" si="468"/>
        <v>0</v>
      </c>
      <c r="BF4487" s="156"/>
    </row>
    <row r="4488" spans="1:58" x14ac:dyDescent="0.35">
      <c r="A4488" s="1071" t="str">
        <f t="shared" si="465"/>
        <v>356425_2022_12_Heating Res ER2</v>
      </c>
      <c r="B4488" s="3395"/>
      <c r="C4488" s="2753" t="s">
        <v>4387</v>
      </c>
      <c r="D4488" s="2998" t="s">
        <v>315</v>
      </c>
      <c r="E4488" s="2744" t="s">
        <v>4508</v>
      </c>
      <c r="F4488" s="618">
        <f>ROUND(((J$4573*J$4575*(1/J$4577-1/J$4581))/1000),2)</f>
        <v>44.57</v>
      </c>
      <c r="G4488" s="1651" t="s">
        <v>1150</v>
      </c>
      <c r="H4488" s="2720">
        <f>VLOOKUP(G4488,'CP FACTORS'!$A$3:$B$38, 2, FALSE)</f>
        <v>0</v>
      </c>
      <c r="I4488" s="2995">
        <f t="shared" ref="I4488:I4490" si="487">ROUND(F4488*H4488,6)</f>
        <v>0</v>
      </c>
      <c r="J4488" s="464">
        <f>$J$4597</f>
        <v>10</v>
      </c>
      <c r="K4488" s="2996">
        <v>0</v>
      </c>
      <c r="L4488" s="2997"/>
      <c r="M4488" s="657"/>
      <c r="N4488" s="2804"/>
      <c r="O4488" s="2804"/>
      <c r="P4488" s="2804"/>
      <c r="Q4488" s="2804"/>
      <c r="R4488" s="1214"/>
      <c r="S4488" s="156"/>
      <c r="T4488" s="2804"/>
      <c r="U4488" s="2804"/>
      <c r="V4488" s="3414" t="s">
        <v>30</v>
      </c>
      <c r="W4488" s="464"/>
      <c r="X4488" s="464"/>
      <c r="Y4488" s="464"/>
      <c r="Z4488" s="464"/>
      <c r="AA4488" s="464"/>
      <c r="AB4488" s="464"/>
      <c r="AC4488" s="464"/>
      <c r="AD4488" s="99">
        <v>44.57</v>
      </c>
      <c r="AE4488" s="464"/>
      <c r="AF4488" s="464"/>
      <c r="AG4488" s="464"/>
      <c r="AH4488" s="156"/>
      <c r="AI4488" s="156"/>
      <c r="AJ4488" s="156"/>
      <c r="AK4488" s="156"/>
      <c r="AL4488" s="156"/>
      <c r="AM4488" s="156"/>
      <c r="AN4488" s="156"/>
      <c r="AO4488" s="156"/>
      <c r="AP4488" s="156"/>
      <c r="AQ4488" s="156"/>
      <c r="AR4488" s="156"/>
      <c r="AS4488" s="156"/>
      <c r="AT4488" s="156"/>
      <c r="AU4488" s="156"/>
      <c r="AV4488" s="156"/>
      <c r="AW4488" s="156"/>
      <c r="AX4488" s="156"/>
      <c r="AY4488" s="156"/>
      <c r="AZ4488" s="156"/>
      <c r="BA4488" s="156"/>
      <c r="BB4488" s="3314"/>
      <c r="BC4488" s="2744" t="str">
        <f t="shared" si="467"/>
        <v>Heating Res ER2 10 Year EUL</v>
      </c>
      <c r="BD4488" s="2628">
        <f>(INDEX('Avoided Cost Benefits'!$E$4:$E$859,MATCH(BC4488,'Avoided Cost Benefits'!$A$4:$A$859,0)))*F4488</f>
        <v>11.033764589524138</v>
      </c>
      <c r="BE4488" s="2509">
        <f t="shared" si="468"/>
        <v>0</v>
      </c>
      <c r="BF4488" s="156"/>
    </row>
    <row r="4489" spans="1:58" x14ac:dyDescent="0.35">
      <c r="A4489" s="1071" t="str">
        <f t="shared" si="465"/>
        <v>356450_2022_12_Cooling Res</v>
      </c>
      <c r="B4489" s="3395"/>
      <c r="C4489" s="2753" t="s">
        <v>4388</v>
      </c>
      <c r="D4489" s="2736" t="s">
        <v>320</v>
      </c>
      <c r="E4489" s="2738" t="s">
        <v>4509</v>
      </c>
      <c r="F4489" s="618">
        <f>ROUND(((J$4584*J$4585*(1/J$4588-1/J$4591))/1000),2)</f>
        <v>525.04999999999995</v>
      </c>
      <c r="G4489" s="1651" t="s">
        <v>1091</v>
      </c>
      <c r="H4489" s="2720">
        <f>VLOOKUP(G4489,'CP FACTORS'!$A$3:$B$38, 2, FALSE)</f>
        <v>9.4741810000000004E-4</v>
      </c>
      <c r="I4489" s="2995">
        <f t="shared" si="487"/>
        <v>0.497442</v>
      </c>
      <c r="J4489" s="3010">
        <f>$J$4596</f>
        <v>5</v>
      </c>
      <c r="K4489" s="3011">
        <f>J$4598</f>
        <v>224.93182686576984</v>
      </c>
      <c r="L4489" s="2997">
        <f>K$4573</f>
        <v>1.0111111111111111</v>
      </c>
      <c r="M4489" s="657"/>
      <c r="N4489" s="106"/>
      <c r="O4489" s="106"/>
      <c r="P4489" s="106"/>
      <c r="Q4489" s="106"/>
      <c r="R4489" s="1214"/>
      <c r="S4489" s="156"/>
      <c r="T4489" s="106"/>
      <c r="U4489" s="106"/>
      <c r="V4489" s="3415" t="s">
        <v>30</v>
      </c>
      <c r="W4489" s="3010"/>
      <c r="X4489" s="3010"/>
      <c r="Y4489" s="3010"/>
      <c r="Z4489" s="3010"/>
      <c r="AA4489" s="3010"/>
      <c r="AB4489" s="3010"/>
      <c r="AC4489" s="3010"/>
      <c r="AD4489" s="3551">
        <v>525.04999999999995</v>
      </c>
      <c r="AE4489" s="3010"/>
      <c r="AF4489" s="3010"/>
      <c r="AG4489" s="3010"/>
      <c r="AH4489" s="156"/>
      <c r="AI4489" s="156"/>
      <c r="AJ4489" s="156"/>
      <c r="AK4489" s="156"/>
      <c r="AL4489" s="156"/>
      <c r="AM4489" s="156"/>
      <c r="AN4489" s="156"/>
      <c r="AO4489" s="156"/>
      <c r="AP4489" s="156"/>
      <c r="AQ4489" s="156"/>
      <c r="AR4489" s="156"/>
      <c r="AS4489" s="156"/>
      <c r="AT4489" s="156"/>
      <c r="AU4489" s="156"/>
      <c r="AV4489" s="156"/>
      <c r="AW4489" s="156"/>
      <c r="AX4489" s="156"/>
      <c r="AY4489" s="156"/>
      <c r="AZ4489" s="156"/>
      <c r="BA4489" s="156"/>
      <c r="BB4489" s="3312">
        <f>(BD4489+BD4490+BD4491+BD4492)/(BE4489+BE4490+BE4491+BE4492)</f>
        <v>6.345666135959017</v>
      </c>
      <c r="BC4489" s="2738" t="str">
        <f t="shared" si="467"/>
        <v>Cooling Res 5 Year EUL</v>
      </c>
      <c r="BD4489" s="3315">
        <f>(INDEX('Avoided Cost Benefits'!$E$4:$E$859,MATCH(BC4489,'Avoided Cost Benefits'!$A$4:$A$859,0)))*F4489</f>
        <v>273.95949382943485</v>
      </c>
      <c r="BE4489" s="3270">
        <f t="shared" si="468"/>
        <v>212.29997816495498</v>
      </c>
      <c r="BF4489" s="156"/>
    </row>
    <row r="4490" spans="1:58" x14ac:dyDescent="0.35">
      <c r="A4490" s="1071" t="str">
        <f t="shared" si="465"/>
        <v>356450_2022_12_Heating Res</v>
      </c>
      <c r="B4490" s="3395"/>
      <c r="C4490" s="2753" t="s">
        <v>4388</v>
      </c>
      <c r="D4490" s="2998" t="s">
        <v>320</v>
      </c>
      <c r="E4490" s="2742" t="s">
        <v>4509</v>
      </c>
      <c r="F4490" s="618">
        <f>ROUND(((J$4573*J$4574*(1/J$4578-1/J$4581))/1000),2)</f>
        <v>2629.29</v>
      </c>
      <c r="G4490" s="1651" t="s">
        <v>1092</v>
      </c>
      <c r="H4490" s="2720">
        <f>VLOOKUP(G4490,'CP FACTORS'!$A$3:$B$38, 2, FALSE)</f>
        <v>0</v>
      </c>
      <c r="I4490" s="2995">
        <f t="shared" si="487"/>
        <v>0</v>
      </c>
      <c r="J4490" s="464">
        <f>$J$4596</f>
        <v>5</v>
      </c>
      <c r="K4490" s="2996">
        <v>0</v>
      </c>
      <c r="L4490" s="2997"/>
      <c r="M4490" s="657"/>
      <c r="N4490" s="106"/>
      <c r="O4490" s="106"/>
      <c r="P4490" s="106"/>
      <c r="Q4490" s="106"/>
      <c r="R4490" s="1214"/>
      <c r="S4490" s="156"/>
      <c r="T4490" s="106"/>
      <c r="U4490" s="106"/>
      <c r="V4490" s="3414" t="s">
        <v>30</v>
      </c>
      <c r="W4490" s="464"/>
      <c r="X4490" s="464"/>
      <c r="Y4490" s="464"/>
      <c r="Z4490" s="464"/>
      <c r="AA4490" s="464"/>
      <c r="AB4490" s="464"/>
      <c r="AC4490" s="464"/>
      <c r="AD4490" s="99">
        <v>2629.29</v>
      </c>
      <c r="AE4490" s="464"/>
      <c r="AF4490" s="464"/>
      <c r="AG4490" s="464"/>
      <c r="AH4490" s="156"/>
      <c r="AI4490" s="156"/>
      <c r="AJ4490" s="156"/>
      <c r="AK4490" s="156"/>
      <c r="AL4490" s="156"/>
      <c r="AM4490" s="156"/>
      <c r="AN4490" s="156"/>
      <c r="AO4490" s="156"/>
      <c r="AP4490" s="156"/>
      <c r="AQ4490" s="156"/>
      <c r="AR4490" s="156"/>
      <c r="AS4490" s="156"/>
      <c r="AT4490" s="156"/>
      <c r="AU4490" s="156"/>
      <c r="AV4490" s="156"/>
      <c r="AW4490" s="156"/>
      <c r="AX4490" s="156"/>
      <c r="AY4490" s="156"/>
      <c r="AZ4490" s="156"/>
      <c r="BA4490" s="156"/>
      <c r="BB4490" s="3313"/>
      <c r="BC4490" s="2742" t="str">
        <f t="shared" si="467"/>
        <v>Heating Res 5 Year EUL</v>
      </c>
      <c r="BD4490" s="2627">
        <f>(INDEX('Avoided Cost Benefits'!$E$4:$E$859,MATCH(BC4490,'Avoided Cost Benefits'!$A$4:$A$859,0)))*F4490</f>
        <v>358.81729195206015</v>
      </c>
      <c r="BE4490" s="2507">
        <f t="shared" si="468"/>
        <v>0</v>
      </c>
      <c r="BF4490" s="156"/>
    </row>
    <row r="4491" spans="1:58" x14ac:dyDescent="0.35">
      <c r="A4491" s="1071" t="str">
        <f t="shared" si="465"/>
        <v>356450_2022_12_Cooling Res ER2</v>
      </c>
      <c r="B4491" s="3395"/>
      <c r="C4491" s="2753" t="s">
        <v>4388</v>
      </c>
      <c r="D4491" s="2998" t="s">
        <v>320</v>
      </c>
      <c r="E4491" s="2742" t="s">
        <v>4510</v>
      </c>
      <c r="F4491" s="618">
        <f>ROUND(((J$4584*J$4585*(1/J$4589-1/J$4591))/1000),2)</f>
        <v>63.99</v>
      </c>
      <c r="G4491" s="1651" t="s">
        <v>1133</v>
      </c>
      <c r="H4491" s="2720">
        <f>VLOOKUP(G4491,'CP FACTORS'!$A$3:$B$38, 2, FALSE)</f>
        <v>9.4741810000000004E-4</v>
      </c>
      <c r="I4491" s="3009">
        <f>ROUND(F4491*H4491,6)</f>
        <v>6.0624999999999998E-2</v>
      </c>
      <c r="J4491" s="464">
        <f>$J$4597</f>
        <v>10</v>
      </c>
      <c r="K4491" s="2996">
        <v>0</v>
      </c>
      <c r="L4491" s="2997"/>
      <c r="M4491" s="657"/>
      <c r="N4491" s="2804"/>
      <c r="O4491" s="2804"/>
      <c r="P4491" s="2804"/>
      <c r="Q4491" s="2804"/>
      <c r="R4491" s="1214"/>
      <c r="S4491" s="156"/>
      <c r="T4491" s="2804"/>
      <c r="U4491" s="2804"/>
      <c r="V4491" s="3414" t="s">
        <v>30</v>
      </c>
      <c r="W4491" s="464"/>
      <c r="X4491" s="464"/>
      <c r="Y4491" s="464"/>
      <c r="Z4491" s="464"/>
      <c r="AA4491" s="464"/>
      <c r="AB4491" s="464"/>
      <c r="AC4491" s="464"/>
      <c r="AD4491" s="99">
        <v>63.99</v>
      </c>
      <c r="AE4491" s="464"/>
      <c r="AF4491" s="464"/>
      <c r="AG4491" s="464"/>
      <c r="AH4491" s="156"/>
      <c r="AI4491" s="156"/>
      <c r="AJ4491" s="156"/>
      <c r="AK4491" s="156"/>
      <c r="AL4491" s="156"/>
      <c r="AM4491" s="156"/>
      <c r="AN4491" s="156"/>
      <c r="AO4491" s="156"/>
      <c r="AP4491" s="156"/>
      <c r="AQ4491" s="156"/>
      <c r="AR4491" s="156"/>
      <c r="AS4491" s="156"/>
      <c r="AT4491" s="156"/>
      <c r="AU4491" s="156"/>
      <c r="AV4491" s="156"/>
      <c r="AW4491" s="156"/>
      <c r="AX4491" s="156"/>
      <c r="AY4491" s="156"/>
      <c r="AZ4491" s="156"/>
      <c r="BA4491" s="156"/>
      <c r="BB4491" s="3313"/>
      <c r="BC4491" s="2742" t="str">
        <f t="shared" si="467"/>
        <v>Cooling Res ER2 10 Year EUL</v>
      </c>
      <c r="BD4491" s="2627">
        <f>(INDEX('Avoided Cost Benefits'!$E$4:$E$859,MATCH(BC4491,'Avoided Cost Benefits'!$A$4:$A$859,0)))*F4491</f>
        <v>63.500056060172824</v>
      </c>
      <c r="BE4491" s="2507">
        <f t="shared" si="468"/>
        <v>0</v>
      </c>
      <c r="BF4491" s="156"/>
    </row>
    <row r="4492" spans="1:58" x14ac:dyDescent="0.35">
      <c r="A4492" s="1071" t="str">
        <f t="shared" si="465"/>
        <v>356450_2022_12_Heating Res ER2</v>
      </c>
      <c r="B4492" s="3395"/>
      <c r="C4492" s="2753" t="s">
        <v>4388</v>
      </c>
      <c r="D4492" s="2998" t="s">
        <v>320</v>
      </c>
      <c r="E4492" s="2744" t="s">
        <v>4510</v>
      </c>
      <c r="F4492" s="618">
        <f>ROUND(((J$4573*J$4574*(1/J$4579-1/J$4581))/1000),2)</f>
        <v>2629.29</v>
      </c>
      <c r="G4492" s="1651" t="s">
        <v>1150</v>
      </c>
      <c r="H4492" s="2720">
        <f>VLOOKUP(G4492,'CP FACTORS'!$A$3:$B$38, 2, FALSE)</f>
        <v>0</v>
      </c>
      <c r="I4492" s="2995">
        <f t="shared" ref="I4492:I4494" si="488">ROUND(F4492*H4492,6)</f>
        <v>0</v>
      </c>
      <c r="J4492" s="464">
        <f>$J$4597</f>
        <v>10</v>
      </c>
      <c r="K4492" s="2996">
        <v>0</v>
      </c>
      <c r="L4492" s="2997"/>
      <c r="M4492" s="657"/>
      <c r="N4492" s="2804"/>
      <c r="O4492" s="2804"/>
      <c r="P4492" s="2804"/>
      <c r="Q4492" s="2804"/>
      <c r="R4492" s="1214"/>
      <c r="S4492" s="156"/>
      <c r="T4492" s="2804"/>
      <c r="U4492" s="2804"/>
      <c r="V4492" s="3414" t="s">
        <v>30</v>
      </c>
      <c r="W4492" s="464"/>
      <c r="X4492" s="464"/>
      <c r="Y4492" s="464"/>
      <c r="Z4492" s="464"/>
      <c r="AA4492" s="464"/>
      <c r="AB4492" s="464"/>
      <c r="AC4492" s="464"/>
      <c r="AD4492" s="99">
        <v>2629.29</v>
      </c>
      <c r="AE4492" s="464"/>
      <c r="AF4492" s="464"/>
      <c r="AG4492" s="464"/>
      <c r="AH4492" s="156"/>
      <c r="AI4492" s="156"/>
      <c r="AJ4492" s="156"/>
      <c r="AK4492" s="156"/>
      <c r="AL4492" s="156"/>
      <c r="AM4492" s="156"/>
      <c r="AN4492" s="156"/>
      <c r="AO4492" s="156"/>
      <c r="AP4492" s="156"/>
      <c r="AQ4492" s="156"/>
      <c r="AR4492" s="156"/>
      <c r="AS4492" s="156"/>
      <c r="AT4492" s="156"/>
      <c r="AU4492" s="156"/>
      <c r="AV4492" s="156"/>
      <c r="AW4492" s="156"/>
      <c r="AX4492" s="156"/>
      <c r="AY4492" s="156"/>
      <c r="AZ4492" s="156"/>
      <c r="BA4492" s="156"/>
      <c r="BB4492" s="3314"/>
      <c r="BC4492" s="2744" t="str">
        <f t="shared" si="467"/>
        <v>Heating Res ER2 10 Year EUL</v>
      </c>
      <c r="BD4492" s="2628">
        <f>(INDEX('Avoided Cost Benefits'!$E$4:$E$859,MATCH(BC4492,'Avoided Cost Benefits'!$A$4:$A$859,0)))*F4492</f>
        <v>650.90794026452579</v>
      </c>
      <c r="BE4492" s="2509">
        <f t="shared" si="468"/>
        <v>0</v>
      </c>
      <c r="BF4492" s="156"/>
    </row>
    <row r="4493" spans="1:58" x14ac:dyDescent="0.35">
      <c r="A4493" s="1071" t="str">
        <f t="shared" si="465"/>
        <v>356475_2022_12_Cooling Res</v>
      </c>
      <c r="B4493" s="3395"/>
      <c r="C4493" s="2753" t="s">
        <v>4389</v>
      </c>
      <c r="D4493" s="2998" t="s">
        <v>315</v>
      </c>
      <c r="E4493" s="2738" t="s">
        <v>4511</v>
      </c>
      <c r="F4493" s="618">
        <f>ROUND(((J$4584*J$4586*(1/J$4588-1/J$4591))/1000),2)</f>
        <v>382.09</v>
      </c>
      <c r="G4493" s="1651" t="s">
        <v>1091</v>
      </c>
      <c r="H4493" s="2720">
        <f>VLOOKUP(G4493,'CP FACTORS'!$A$3:$B$38, 2, FALSE)</f>
        <v>9.4741810000000004E-4</v>
      </c>
      <c r="I4493" s="2995">
        <f t="shared" si="488"/>
        <v>0.36199900000000002</v>
      </c>
      <c r="J4493" s="3010">
        <f>$J$4596</f>
        <v>5</v>
      </c>
      <c r="K4493" s="3011">
        <f>J$4598</f>
        <v>224.93182686576984</v>
      </c>
      <c r="L4493" s="2997">
        <f>K$4573</f>
        <v>1.0111111111111111</v>
      </c>
      <c r="M4493" s="657"/>
      <c r="N4493" s="106"/>
      <c r="O4493" s="106"/>
      <c r="P4493" s="106"/>
      <c r="Q4493" s="106"/>
      <c r="R4493" s="1214"/>
      <c r="S4493" s="156"/>
      <c r="T4493" s="106"/>
      <c r="U4493" s="106"/>
      <c r="V4493" s="3415" t="s">
        <v>30</v>
      </c>
      <c r="W4493" s="3010"/>
      <c r="X4493" s="3010"/>
      <c r="Y4493" s="3010"/>
      <c r="Z4493" s="3010"/>
      <c r="AA4493" s="3010"/>
      <c r="AB4493" s="3010"/>
      <c r="AC4493" s="3010"/>
      <c r="AD4493" s="3551">
        <v>382.09</v>
      </c>
      <c r="AE4493" s="3010"/>
      <c r="AF4493" s="3010"/>
      <c r="AG4493" s="3010"/>
      <c r="AH4493" s="156"/>
      <c r="AI4493" s="156"/>
      <c r="AJ4493" s="156"/>
      <c r="AK4493" s="156"/>
      <c r="AL4493" s="156"/>
      <c r="AM4493" s="156"/>
      <c r="AN4493" s="156"/>
      <c r="AO4493" s="156"/>
      <c r="AP4493" s="156"/>
      <c r="AQ4493" s="156"/>
      <c r="AR4493" s="156"/>
      <c r="AS4493" s="156"/>
      <c r="AT4493" s="156"/>
      <c r="AU4493" s="156"/>
      <c r="AV4493" s="156"/>
      <c r="AW4493" s="156"/>
      <c r="AX4493" s="156"/>
      <c r="AY4493" s="156"/>
      <c r="AZ4493" s="156"/>
      <c r="BA4493" s="156"/>
      <c r="BB4493" s="3312">
        <f>(BD4493+BD4494)/(BE4493+BE4494)</f>
        <v>1.5160024864175066</v>
      </c>
      <c r="BC4493" s="2738" t="str">
        <f t="shared" si="467"/>
        <v>Cooling Res 5 Year EUL</v>
      </c>
      <c r="BD4493" s="3315">
        <f>(INDEX('Avoided Cost Benefits'!$E$4:$E$859,MATCH(BC4493,'Avoided Cost Benefits'!$A$4:$A$859,0)))*F4493</f>
        <v>199.36612322119564</v>
      </c>
      <c r="BE4493" s="3270">
        <f t="shared" si="468"/>
        <v>212.29997816495498</v>
      </c>
      <c r="BF4493" s="156"/>
    </row>
    <row r="4494" spans="1:58" x14ac:dyDescent="0.35">
      <c r="A4494" s="1071" t="str">
        <f t="shared" si="465"/>
        <v>356475_2022_12_Heating Res</v>
      </c>
      <c r="B4494" s="3395"/>
      <c r="C4494" s="2753" t="s">
        <v>4389</v>
      </c>
      <c r="D4494" s="2998" t="s">
        <v>315</v>
      </c>
      <c r="E4494" s="2742" t="s">
        <v>4511</v>
      </c>
      <c r="F4494" s="618">
        <f>ROUND(((J$4573*J$4575*(1/J$4578-1/J$4581))/1000),2)</f>
        <v>897.5</v>
      </c>
      <c r="G4494" s="1651" t="s">
        <v>1092</v>
      </c>
      <c r="H4494" s="2720">
        <f>VLOOKUP(G4494,'CP FACTORS'!$A$3:$B$38, 2, FALSE)</f>
        <v>0</v>
      </c>
      <c r="I4494" s="2995">
        <f t="shared" si="488"/>
        <v>0</v>
      </c>
      <c r="J4494" s="464">
        <f>$J$4596</f>
        <v>5</v>
      </c>
      <c r="K4494" s="2996">
        <v>0</v>
      </c>
      <c r="L4494" s="2997"/>
      <c r="M4494" s="657"/>
      <c r="N4494" s="106"/>
      <c r="O4494" s="106"/>
      <c r="P4494" s="106"/>
      <c r="Q4494" s="106"/>
      <c r="R4494" s="1214"/>
      <c r="S4494" s="156"/>
      <c r="T4494" s="106"/>
      <c r="U4494" s="106"/>
      <c r="V4494" s="3414" t="s">
        <v>30</v>
      </c>
      <c r="W4494" s="464"/>
      <c r="X4494" s="464"/>
      <c r="Y4494" s="464"/>
      <c r="Z4494" s="464"/>
      <c r="AA4494" s="464"/>
      <c r="AB4494" s="464"/>
      <c r="AC4494" s="464"/>
      <c r="AD4494" s="99">
        <v>897.5</v>
      </c>
      <c r="AE4494" s="464"/>
      <c r="AF4494" s="464"/>
      <c r="AG4494" s="464"/>
      <c r="AH4494" s="156"/>
      <c r="AI4494" s="156"/>
      <c r="AJ4494" s="156"/>
      <c r="AK4494" s="156"/>
      <c r="AL4494" s="156"/>
      <c r="AM4494" s="156"/>
      <c r="AN4494" s="156"/>
      <c r="AO4494" s="156"/>
      <c r="AP4494" s="156"/>
      <c r="AQ4494" s="156"/>
      <c r="AR4494" s="156"/>
      <c r="AS4494" s="156"/>
      <c r="AT4494" s="156"/>
      <c r="AU4494" s="156"/>
      <c r="AV4494" s="156"/>
      <c r="AW4494" s="156"/>
      <c r="AX4494" s="156"/>
      <c r="AY4494" s="156"/>
      <c r="AZ4494" s="156"/>
      <c r="BA4494" s="156"/>
      <c r="BB4494" s="3313"/>
      <c r="BC4494" s="2742" t="str">
        <f t="shared" si="467"/>
        <v>Heating Res 5 Year EUL</v>
      </c>
      <c r="BD4494" s="2627">
        <f>(INDEX('Avoided Cost Benefits'!$E$4:$E$859,MATCH(BC4494,'Avoided Cost Benefits'!$A$4:$A$859,0)))*F4494</f>
        <v>122.48117154325845</v>
      </c>
      <c r="BE4494" s="2507">
        <f t="shared" si="468"/>
        <v>0</v>
      </c>
      <c r="BF4494" s="156"/>
    </row>
    <row r="4495" spans="1:58" x14ac:dyDescent="0.35">
      <c r="A4495" s="1071" t="str">
        <f t="shared" si="465"/>
        <v>356475_2022_12_Cooling Res ER2</v>
      </c>
      <c r="B4495" s="3395"/>
      <c r="C4495" s="2753" t="s">
        <v>4389</v>
      </c>
      <c r="D4495" s="2998" t="s">
        <v>315</v>
      </c>
      <c r="E4495" s="2742" t="s">
        <v>4512</v>
      </c>
      <c r="F4495" s="618">
        <f>ROUND(((J$4584*J$4586*(1/J$4589-1/J$4591))/1000),2)</f>
        <v>46.56</v>
      </c>
      <c r="G4495" s="1651" t="s">
        <v>1133</v>
      </c>
      <c r="H4495" s="2720">
        <f>VLOOKUP(G4495,'CP FACTORS'!$A$3:$B$38, 2, FALSE)</f>
        <v>9.4741810000000004E-4</v>
      </c>
      <c r="I4495" s="3009">
        <f>ROUND(F4495*H4495,6)</f>
        <v>4.4111999999999998E-2</v>
      </c>
      <c r="J4495" s="464">
        <f>$J$4597</f>
        <v>10</v>
      </c>
      <c r="K4495" s="2996">
        <v>0</v>
      </c>
      <c r="L4495" s="2997"/>
      <c r="M4495" s="657"/>
      <c r="N4495" s="2804"/>
      <c r="O4495" s="2804"/>
      <c r="P4495" s="2804"/>
      <c r="Q4495" s="2804"/>
      <c r="R4495" s="1214"/>
      <c r="S4495" s="156"/>
      <c r="T4495" s="2804"/>
      <c r="U4495" s="2804"/>
      <c r="V4495" s="3414" t="s">
        <v>30</v>
      </c>
      <c r="W4495" s="464"/>
      <c r="X4495" s="464"/>
      <c r="Y4495" s="464"/>
      <c r="Z4495" s="464"/>
      <c r="AA4495" s="464"/>
      <c r="AB4495" s="464"/>
      <c r="AC4495" s="464"/>
      <c r="AD4495" s="99">
        <v>46.56</v>
      </c>
      <c r="AE4495" s="464"/>
      <c r="AF4495" s="464"/>
      <c r="AG4495" s="464"/>
      <c r="AH4495" s="156"/>
      <c r="AI4495" s="156"/>
      <c r="AJ4495" s="156"/>
      <c r="AK4495" s="156"/>
      <c r="AL4495" s="156"/>
      <c r="AM4495" s="156"/>
      <c r="AN4495" s="156"/>
      <c r="AO4495" s="156"/>
      <c r="AP4495" s="156"/>
      <c r="AQ4495" s="156"/>
      <c r="AR4495" s="156"/>
      <c r="AS4495" s="156"/>
      <c r="AT4495" s="156"/>
      <c r="AU4495" s="156"/>
      <c r="AV4495" s="156"/>
      <c r="AW4495" s="156"/>
      <c r="AX4495" s="156"/>
      <c r="AY4495" s="156"/>
      <c r="AZ4495" s="156"/>
      <c r="BA4495" s="156"/>
      <c r="BB4495" s="3313"/>
      <c r="BC4495" s="2742" t="str">
        <f t="shared" si="467"/>
        <v>Cooling Res ER2 10 Year EUL</v>
      </c>
      <c r="BD4495" s="2627">
        <f>(INDEX('Avoided Cost Benefits'!$E$4:$E$859,MATCH(BC4495,'Avoided Cost Benefits'!$A$4:$A$859,0)))*F4495</f>
        <v>46.203510082226074</v>
      </c>
      <c r="BE4495" s="2507">
        <f t="shared" si="468"/>
        <v>0</v>
      </c>
      <c r="BF4495" s="156"/>
    </row>
    <row r="4496" spans="1:58" x14ac:dyDescent="0.35">
      <c r="A4496" s="1071" t="str">
        <f t="shared" si="465"/>
        <v>356475_2022_12_Heating Res ER2</v>
      </c>
      <c r="B4496" s="3395"/>
      <c r="C4496" s="2753" t="s">
        <v>4389</v>
      </c>
      <c r="D4496" s="2998" t="s">
        <v>315</v>
      </c>
      <c r="E4496" s="2744" t="s">
        <v>4512</v>
      </c>
      <c r="F4496" s="618">
        <f>ROUND(((J$4573*J$4575*(1/J$4579-1/J$4581))/1000),2)</f>
        <v>897.5</v>
      </c>
      <c r="G4496" s="1651" t="s">
        <v>1150</v>
      </c>
      <c r="H4496" s="2720">
        <f>VLOOKUP(G4496,'CP FACTORS'!$A$3:$B$38, 2, FALSE)</f>
        <v>0</v>
      </c>
      <c r="I4496" s="2995">
        <f t="shared" ref="I4496:I4500" si="489">ROUND(F4496*H4496,6)</f>
        <v>0</v>
      </c>
      <c r="J4496" s="464">
        <f>$J$4597</f>
        <v>10</v>
      </c>
      <c r="K4496" s="2996">
        <v>0</v>
      </c>
      <c r="L4496" s="2997"/>
      <c r="M4496" s="657"/>
      <c r="N4496" s="2804"/>
      <c r="O4496" s="2804"/>
      <c r="P4496" s="2804"/>
      <c r="Q4496" s="2804"/>
      <c r="R4496" s="1214"/>
      <c r="S4496" s="156"/>
      <c r="T4496" s="2804"/>
      <c r="U4496" s="2804"/>
      <c r="V4496" s="3414" t="s">
        <v>30</v>
      </c>
      <c r="W4496" s="464"/>
      <c r="X4496" s="464"/>
      <c r="Y4496" s="464"/>
      <c r="Z4496" s="464"/>
      <c r="AA4496" s="464"/>
      <c r="AB4496" s="464"/>
      <c r="AC4496" s="464"/>
      <c r="AD4496" s="99">
        <v>897.5</v>
      </c>
      <c r="AE4496" s="464"/>
      <c r="AF4496" s="464"/>
      <c r="AG4496" s="464"/>
      <c r="AH4496" s="156"/>
      <c r="AI4496" s="156"/>
      <c r="AJ4496" s="156"/>
      <c r="AK4496" s="156"/>
      <c r="AL4496" s="156"/>
      <c r="AM4496" s="156"/>
      <c r="AN4496" s="156"/>
      <c r="AO4496" s="156"/>
      <c r="AP4496" s="156"/>
      <c r="AQ4496" s="156"/>
      <c r="AR4496" s="156"/>
      <c r="AS4496" s="156"/>
      <c r="AT4496" s="156"/>
      <c r="AU4496" s="156"/>
      <c r="AV4496" s="156"/>
      <c r="AW4496" s="156"/>
      <c r="AX4496" s="156"/>
      <c r="AY4496" s="156"/>
      <c r="AZ4496" s="156"/>
      <c r="BA4496" s="156"/>
      <c r="BB4496" s="3314"/>
      <c r="BC4496" s="2744" t="str">
        <f t="shared" si="467"/>
        <v>Heating Res ER2 10 Year EUL</v>
      </c>
      <c r="BD4496" s="2628">
        <f>(INDEX('Avoided Cost Benefits'!$E$4:$E$859,MATCH(BC4496,'Avoided Cost Benefits'!$A$4:$A$859,0)))*F4496</f>
        <v>222.18540989674474</v>
      </c>
      <c r="BE4496" s="2509">
        <f t="shared" si="468"/>
        <v>0</v>
      </c>
      <c r="BF4496" s="156"/>
    </row>
    <row r="4497" spans="1:58" s="3423" customFormat="1" x14ac:dyDescent="0.35">
      <c r="A4497" s="1071" t="str">
        <f t="shared" si="465"/>
        <v>356500_2022_12_Cooling Res</v>
      </c>
      <c r="C4497" s="2753" t="s">
        <v>4390</v>
      </c>
      <c r="D4497" s="2998" t="s">
        <v>320</v>
      </c>
      <c r="E4497" s="2738" t="s">
        <v>4574</v>
      </c>
      <c r="F4497" s="618">
        <f>ROUND(((J$4584*J$4585*(1/J$4589-1/J$4591))/1000),2)</f>
        <v>63.99</v>
      </c>
      <c r="G4497" s="1651" t="s">
        <v>1091</v>
      </c>
      <c r="H4497" s="2720">
        <f>VLOOKUP(G4497,'CP FACTORS'!$A$3:$B$38, 2, FALSE)</f>
        <v>9.4741810000000004E-4</v>
      </c>
      <c r="I4497" s="2995">
        <f t="shared" si="489"/>
        <v>6.0624999999999998E-2</v>
      </c>
      <c r="J4497" s="464">
        <f t="shared" ref="J4497:J4500" si="490">$J$4595</f>
        <v>15</v>
      </c>
      <c r="K4497" s="2996">
        <f t="shared" ref="K4497" si="491">J$4599</f>
        <v>84.93</v>
      </c>
      <c r="L4497" s="2997">
        <f>K$4573</f>
        <v>1.0111111111111111</v>
      </c>
      <c r="M4497" s="657"/>
      <c r="R4497" s="1214"/>
      <c r="S4497" s="156"/>
      <c r="V4497" s="3414" t="s">
        <v>30</v>
      </c>
      <c r="W4497" s="464"/>
      <c r="X4497" s="464"/>
      <c r="Y4497" s="464"/>
      <c r="Z4497" s="464"/>
      <c r="AA4497" s="464"/>
      <c r="AB4497" s="464"/>
      <c r="AC4497" s="464"/>
      <c r="AD4497" s="99">
        <v>63.99</v>
      </c>
      <c r="AE4497" s="464"/>
      <c r="AF4497" s="464"/>
      <c r="AG4497" s="464"/>
      <c r="AH4497" s="156"/>
      <c r="AI4497" s="156"/>
      <c r="AJ4497" s="156"/>
      <c r="AK4497" s="156"/>
      <c r="AL4497" s="156"/>
      <c r="AM4497" s="156"/>
      <c r="AN4497" s="156"/>
      <c r="AO4497" s="156"/>
      <c r="AP4497" s="156"/>
      <c r="AQ4497" s="156"/>
      <c r="AR4497" s="156"/>
      <c r="AS4497" s="156"/>
      <c r="AT4497" s="156"/>
      <c r="AU4497" s="156"/>
      <c r="AV4497" s="156"/>
      <c r="AW4497" s="156"/>
      <c r="AX4497" s="156"/>
      <c r="AY4497" s="156"/>
      <c r="AZ4497" s="156"/>
      <c r="BA4497" s="156"/>
      <c r="BB4497" s="3312">
        <f>(BD4497+BD4498)/(BE4497+BE4498)</f>
        <v>1.8342612425253093</v>
      </c>
      <c r="BC4497" s="2738" t="str">
        <f t="shared" ref="BC4497:BC4500" si="492">CONCATENATE(G4497," ",J4497," Year EUL")</f>
        <v>Cooling Res 15 Year EUL</v>
      </c>
      <c r="BD4497" s="3315">
        <f>(INDEX('Avoided Cost Benefits'!$E$4:$E$859,MATCH(BC4497,'Avoided Cost Benefits'!$A$4:$A$859,0)))*F4497</f>
        <v>96.888624787274381</v>
      </c>
      <c r="BE4497" s="3270">
        <f t="shared" ref="BE4497:BE4500" si="493">K4497/(1.0595^(2020-2019))</f>
        <v>80.160453043888623</v>
      </c>
      <c r="BF4497" s="156"/>
    </row>
    <row r="4498" spans="1:58" s="3423" customFormat="1" x14ac:dyDescent="0.35">
      <c r="A4498" s="1071" t="str">
        <f t="shared" si="465"/>
        <v>356500_2022_12_Heating Res</v>
      </c>
      <c r="C4498" s="2753" t="s">
        <v>4390</v>
      </c>
      <c r="D4498" s="2998" t="s">
        <v>320</v>
      </c>
      <c r="E4498" s="2744" t="s">
        <v>4574</v>
      </c>
      <c r="F4498" s="618">
        <f>ROUND(((J$4573*J$4574*(1/J$4577-1/J$4581))/1000),2)</f>
        <v>130.58000000000001</v>
      </c>
      <c r="G4498" s="1651" t="s">
        <v>1092</v>
      </c>
      <c r="H4498" s="2720">
        <f>VLOOKUP(G4498,'CP FACTORS'!$A$3:$B$38, 2, FALSE)</f>
        <v>0</v>
      </c>
      <c r="I4498" s="2995">
        <f t="shared" si="489"/>
        <v>0</v>
      </c>
      <c r="J4498" s="464">
        <f t="shared" si="490"/>
        <v>15</v>
      </c>
      <c r="K4498" s="2996">
        <v>0</v>
      </c>
      <c r="L4498" s="2997"/>
      <c r="M4498" s="657"/>
      <c r="R4498" s="1214"/>
      <c r="S4498" s="156"/>
      <c r="V4498" s="3414" t="s">
        <v>30</v>
      </c>
      <c r="W4498" s="464"/>
      <c r="X4498" s="464"/>
      <c r="Y4498" s="464"/>
      <c r="Z4498" s="464"/>
      <c r="AA4498" s="464"/>
      <c r="AB4498" s="464"/>
      <c r="AC4498" s="464"/>
      <c r="AD4498" s="99">
        <v>130.58000000000001</v>
      </c>
      <c r="AE4498" s="464"/>
      <c r="AF4498" s="464"/>
      <c r="AG4498" s="464"/>
      <c r="AH4498" s="156"/>
      <c r="AI4498" s="156"/>
      <c r="AJ4498" s="156"/>
      <c r="AK4498" s="156"/>
      <c r="AL4498" s="156"/>
      <c r="AM4498" s="156"/>
      <c r="AN4498" s="156"/>
      <c r="AO4498" s="156"/>
      <c r="AP4498" s="156"/>
      <c r="AQ4498" s="156"/>
      <c r="AR4498" s="156"/>
      <c r="AS4498" s="156"/>
      <c r="AT4498" s="156"/>
      <c r="AU4498" s="156"/>
      <c r="AV4498" s="156"/>
      <c r="AW4498" s="156"/>
      <c r="AX4498" s="156"/>
      <c r="AY4498" s="156"/>
      <c r="AZ4498" s="156"/>
      <c r="BA4498" s="156"/>
      <c r="BB4498" s="3314"/>
      <c r="BC4498" s="2744" t="str">
        <f t="shared" si="492"/>
        <v>Heating Res 15 Year EUL</v>
      </c>
      <c r="BD4498" s="2628">
        <f>(INDEX('Avoided Cost Benefits'!$E$4:$E$859,MATCH(BC4498,'Avoided Cost Benefits'!$A$4:$A$859,0)))*F4498</f>
        <v>50.146587414400464</v>
      </c>
      <c r="BE4498" s="2509">
        <f t="shared" si="493"/>
        <v>0</v>
      </c>
      <c r="BF4498" s="156"/>
    </row>
    <row r="4499" spans="1:58" s="3423" customFormat="1" x14ac:dyDescent="0.35">
      <c r="A4499" s="1071" t="str">
        <f t="shared" si="465"/>
        <v>356525_2022_12_Cooling Res</v>
      </c>
      <c r="C4499" s="3528" t="s">
        <v>4562</v>
      </c>
      <c r="D4499" s="3623" t="s">
        <v>315</v>
      </c>
      <c r="E4499" s="2742" t="s">
        <v>4575</v>
      </c>
      <c r="F4499" s="3007">
        <f>ROUND(((J$4584*J$4586*(1/J$4589-1/J$4591))/1000),2)</f>
        <v>46.56</v>
      </c>
      <c r="G4499" s="3008" t="s">
        <v>1091</v>
      </c>
      <c r="H4499" s="3412">
        <f>VLOOKUP(G4499,'CP FACTORS'!$A$3:$B$38, 2, FALSE)</f>
        <v>9.4741810000000004E-4</v>
      </c>
      <c r="I4499" s="3009">
        <f t="shared" si="489"/>
        <v>4.4111999999999998E-2</v>
      </c>
      <c r="J4499" s="3010">
        <f t="shared" si="490"/>
        <v>15</v>
      </c>
      <c r="K4499" s="3011">
        <f t="shared" ref="K4499" si="494">J$4599</f>
        <v>84.93</v>
      </c>
      <c r="L4499" s="2997">
        <f>K$4573</f>
        <v>1.0111111111111111</v>
      </c>
      <c r="M4499" s="657"/>
      <c r="R4499" s="1214"/>
      <c r="S4499" s="156"/>
      <c r="V4499" s="3414" t="s">
        <v>30</v>
      </c>
      <c r="W4499" s="464"/>
      <c r="X4499" s="464"/>
      <c r="Y4499" s="464"/>
      <c r="Z4499" s="464"/>
      <c r="AA4499" s="464"/>
      <c r="AB4499" s="464"/>
      <c r="AC4499" s="464"/>
      <c r="AD4499" s="99">
        <v>46.56</v>
      </c>
      <c r="AE4499" s="464"/>
      <c r="AF4499" s="464"/>
      <c r="AG4499" s="464"/>
      <c r="AH4499" s="156"/>
      <c r="AI4499" s="156"/>
      <c r="AJ4499" s="156"/>
      <c r="AK4499" s="156"/>
      <c r="AL4499" s="156"/>
      <c r="AM4499" s="156"/>
      <c r="AN4499" s="156"/>
      <c r="AO4499" s="156"/>
      <c r="AP4499" s="156"/>
      <c r="AQ4499" s="156"/>
      <c r="AR4499" s="156"/>
      <c r="AS4499" s="156"/>
      <c r="AT4499" s="156"/>
      <c r="AU4499" s="156"/>
      <c r="AV4499" s="156"/>
      <c r="AW4499" s="156"/>
      <c r="AX4499" s="156"/>
      <c r="AY4499" s="156"/>
      <c r="AZ4499" s="156"/>
      <c r="BA4499" s="156"/>
      <c r="BB4499" s="3312">
        <f>(BD4499+BD4500)/(BE4499+BE4500)</f>
        <v>1.0929789750102523</v>
      </c>
      <c r="BC4499" s="2738" t="str">
        <f t="shared" si="492"/>
        <v>Cooling Res 15 Year EUL</v>
      </c>
      <c r="BD4499" s="3315">
        <f>(INDEX('Avoided Cost Benefits'!$E$4:$E$859,MATCH(BC4499,'Avoided Cost Benefits'!$A$4:$A$859,0)))*F4499</f>
        <v>70.497489765517969</v>
      </c>
      <c r="BE4499" s="3270">
        <f t="shared" si="493"/>
        <v>80.160453043888623</v>
      </c>
      <c r="BF4499" s="156"/>
    </row>
    <row r="4500" spans="1:58" s="3423" customFormat="1" x14ac:dyDescent="0.35">
      <c r="A4500" s="1071" t="str">
        <f t="shared" si="465"/>
        <v>356525_2022_12_Heating Res</v>
      </c>
      <c r="C4500" s="2753" t="s">
        <v>4562</v>
      </c>
      <c r="D4500" s="2998" t="s">
        <v>315</v>
      </c>
      <c r="E4500" s="2742" t="s">
        <v>4575</v>
      </c>
      <c r="F4500" s="618">
        <f>ROUND(((J$4573*J$4575*(1/J$4577-1/J$4581))/1000),2)</f>
        <v>44.57</v>
      </c>
      <c r="G4500" s="1651" t="s">
        <v>1092</v>
      </c>
      <c r="H4500" s="2720">
        <f>VLOOKUP(G4500,'CP FACTORS'!$A$3:$B$38, 2, FALSE)</f>
        <v>0</v>
      </c>
      <c r="I4500" s="2995">
        <f t="shared" si="489"/>
        <v>0</v>
      </c>
      <c r="J4500" s="464">
        <f t="shared" si="490"/>
        <v>15</v>
      </c>
      <c r="K4500" s="2996">
        <v>0</v>
      </c>
      <c r="L4500" s="2997"/>
      <c r="M4500" s="657"/>
      <c r="R4500" s="1214"/>
      <c r="S4500" s="156"/>
      <c r="V4500" s="3414" t="s">
        <v>30</v>
      </c>
      <c r="W4500" s="464"/>
      <c r="X4500" s="464"/>
      <c r="Y4500" s="464"/>
      <c r="Z4500" s="464"/>
      <c r="AA4500" s="464"/>
      <c r="AB4500" s="464"/>
      <c r="AC4500" s="464"/>
      <c r="AD4500" s="99">
        <v>44.57</v>
      </c>
      <c r="AE4500" s="464"/>
      <c r="AF4500" s="464"/>
      <c r="AG4500" s="464"/>
      <c r="AH4500" s="156"/>
      <c r="AI4500" s="156"/>
      <c r="AJ4500" s="156"/>
      <c r="AK4500" s="156"/>
      <c r="AL4500" s="156"/>
      <c r="AM4500" s="156"/>
      <c r="AN4500" s="156"/>
      <c r="AO4500" s="156"/>
      <c r="AP4500" s="156"/>
      <c r="AQ4500" s="156"/>
      <c r="AR4500" s="156"/>
      <c r="AS4500" s="156"/>
      <c r="AT4500" s="156"/>
      <c r="AU4500" s="156"/>
      <c r="AV4500" s="156"/>
      <c r="AW4500" s="156"/>
      <c r="AX4500" s="156"/>
      <c r="AY4500" s="156"/>
      <c r="AZ4500" s="156"/>
      <c r="BA4500" s="156"/>
      <c r="BB4500" s="3314"/>
      <c r="BC4500" s="2744" t="str">
        <f t="shared" si="492"/>
        <v>Heating Res 15 Year EUL</v>
      </c>
      <c r="BD4500" s="2628">
        <f>(INDEX('Avoided Cost Benefits'!$E$4:$E$859,MATCH(BC4500,'Avoided Cost Benefits'!$A$4:$A$859,0)))*F4500</f>
        <v>17.116200038748879</v>
      </c>
      <c r="BE4500" s="2509">
        <f t="shared" si="493"/>
        <v>0</v>
      </c>
      <c r="BF4500" s="156"/>
    </row>
    <row r="4501" spans="1:58" x14ac:dyDescent="0.35">
      <c r="A4501" s="1071" t="str">
        <f t="shared" si="465"/>
        <v>356550_2022_12_Cooling Res</v>
      </c>
      <c r="B4501" s="3423"/>
      <c r="C4501" s="2753" t="s">
        <v>4563</v>
      </c>
      <c r="D4501" s="2736" t="s">
        <v>320</v>
      </c>
      <c r="E4501" s="2738" t="s">
        <v>4513</v>
      </c>
      <c r="F4501" s="618">
        <f>ROUND(((J$4584*J$4585*(1/J$4589-1/J$4591))/1000),2)</f>
        <v>63.99</v>
      </c>
      <c r="G4501" s="1651" t="s">
        <v>1091</v>
      </c>
      <c r="H4501" s="2720">
        <f>VLOOKUP(G4501,'CP FACTORS'!$A$3:$B$38, 2, FALSE)</f>
        <v>9.4741810000000004E-4</v>
      </c>
      <c r="I4501" s="2995">
        <f t="shared" si="481"/>
        <v>6.0624999999999998E-2</v>
      </c>
      <c r="J4501" s="464">
        <f>$J$4595</f>
        <v>15</v>
      </c>
      <c r="K4501" s="2996">
        <f>J$4599</f>
        <v>84.93</v>
      </c>
      <c r="L4501" s="2997">
        <f>K$4573</f>
        <v>1.0111111111111111</v>
      </c>
      <c r="M4501" s="657"/>
      <c r="N4501" s="106"/>
      <c r="O4501" s="106"/>
      <c r="P4501" s="106"/>
      <c r="Q4501" s="106"/>
      <c r="R4501" s="1214"/>
      <c r="S4501" s="156"/>
      <c r="T4501" s="106"/>
      <c r="U4501" s="106"/>
      <c r="V4501" s="3414" t="s">
        <v>30</v>
      </c>
      <c r="W4501" s="464"/>
      <c r="X4501" s="464"/>
      <c r="Y4501" s="464"/>
      <c r="Z4501" s="464"/>
      <c r="AA4501" s="464"/>
      <c r="AB4501" s="464"/>
      <c r="AC4501" s="464"/>
      <c r="AD4501" s="99">
        <v>63.99</v>
      </c>
      <c r="AE4501" s="464"/>
      <c r="AF4501" s="464"/>
      <c r="AG4501" s="464"/>
      <c r="AH4501" s="156"/>
      <c r="AI4501" s="156"/>
      <c r="AJ4501" s="156"/>
      <c r="AK4501" s="156"/>
      <c r="AL4501" s="156"/>
      <c r="AM4501" s="156"/>
      <c r="AN4501" s="156"/>
      <c r="AO4501" s="156"/>
      <c r="AP4501" s="156"/>
      <c r="AQ4501" s="156"/>
      <c r="AR4501" s="156"/>
      <c r="AS4501" s="156"/>
      <c r="AT4501" s="156"/>
      <c r="AU4501" s="156"/>
      <c r="AV4501" s="156"/>
      <c r="AW4501" s="156"/>
      <c r="AX4501" s="156"/>
      <c r="AY4501" s="156"/>
      <c r="AZ4501" s="156"/>
      <c r="BA4501" s="156"/>
      <c r="BB4501" s="3312">
        <f>(BD4501+BD4502)/(BE4501+BE4502)</f>
        <v>13.804985064115435</v>
      </c>
      <c r="BC4501" s="2738" t="str">
        <f t="shared" ref="BC4501:BC4552" si="495">CONCATENATE(G4501," ",J4501," Year EUL")</f>
        <v>Cooling Res 15 Year EUL</v>
      </c>
      <c r="BD4501" s="3315">
        <f>(INDEX('Avoided Cost Benefits'!$E$4:$E$859,MATCH(BC4501,'Avoided Cost Benefits'!$A$4:$A$859,0)))*F4501</f>
        <v>96.888624787274381</v>
      </c>
      <c r="BE4501" s="3270">
        <f t="shared" ref="BE4501:BE4552" si="496">K4501/(1.0595^(2020-2019))</f>
        <v>80.160453043888623</v>
      </c>
      <c r="BF4501" s="156"/>
    </row>
    <row r="4502" spans="1:58" x14ac:dyDescent="0.35">
      <c r="A4502" s="1071" t="str">
        <f t="shared" si="465"/>
        <v>356550_2022_12_Heating Res</v>
      </c>
      <c r="B4502" s="3395"/>
      <c r="C4502" s="2753" t="s">
        <v>4563</v>
      </c>
      <c r="D4502" s="2998" t="s">
        <v>320</v>
      </c>
      <c r="E4502" s="2744" t="s">
        <v>4513</v>
      </c>
      <c r="F4502" s="618">
        <f>ROUND(((J$4573*J$4574*(1/J$4579-1/J$4581))/1000),2)</f>
        <v>2629.29</v>
      </c>
      <c r="G4502" s="1651" t="s">
        <v>1092</v>
      </c>
      <c r="H4502" s="2720">
        <f>VLOOKUP(G4502,'CP FACTORS'!$A$3:$B$38, 2, FALSE)</f>
        <v>0</v>
      </c>
      <c r="I4502" s="2995">
        <f t="shared" si="481"/>
        <v>0</v>
      </c>
      <c r="J4502" s="464">
        <f>$J$4595</f>
        <v>15</v>
      </c>
      <c r="K4502" s="2996">
        <v>0</v>
      </c>
      <c r="L4502" s="2997"/>
      <c r="M4502" s="657"/>
      <c r="N4502" s="106"/>
      <c r="O4502" s="106"/>
      <c r="P4502" s="106"/>
      <c r="Q4502" s="106"/>
      <c r="R4502" s="1214"/>
      <c r="S4502" s="156"/>
      <c r="T4502" s="106"/>
      <c r="U4502" s="106"/>
      <c r="V4502" s="3414" t="s">
        <v>30</v>
      </c>
      <c r="W4502" s="464"/>
      <c r="X4502" s="464"/>
      <c r="Y4502" s="464"/>
      <c r="Z4502" s="464"/>
      <c r="AA4502" s="464"/>
      <c r="AB4502" s="464"/>
      <c r="AC4502" s="464"/>
      <c r="AD4502" s="99">
        <v>2629.29</v>
      </c>
      <c r="AE4502" s="464"/>
      <c r="AF4502" s="464"/>
      <c r="AG4502" s="464"/>
      <c r="AH4502" s="156"/>
      <c r="AI4502" s="156"/>
      <c r="AJ4502" s="156"/>
      <c r="AK4502" s="156"/>
      <c r="AL4502" s="156"/>
      <c r="AM4502" s="156"/>
      <c r="AN4502" s="156"/>
      <c r="AO4502" s="156"/>
      <c r="AP4502" s="156"/>
      <c r="AQ4502" s="156"/>
      <c r="AR4502" s="156"/>
      <c r="AS4502" s="156"/>
      <c r="AT4502" s="156"/>
      <c r="AU4502" s="156"/>
      <c r="AV4502" s="156"/>
      <c r="AW4502" s="156"/>
      <c r="AX4502" s="156"/>
      <c r="AY4502" s="156"/>
      <c r="AZ4502" s="156"/>
      <c r="BA4502" s="156"/>
      <c r="BB4502" s="3314"/>
      <c r="BC4502" s="2744" t="str">
        <f t="shared" si="495"/>
        <v>Heating Res 15 Year EUL</v>
      </c>
      <c r="BD4502" s="2628">
        <f>(INDEX('Avoided Cost Benefits'!$E$4:$E$859,MATCH(BC4502,'Avoided Cost Benefits'!$A$4:$A$859,0)))*F4502</f>
        <v>1009.7252322163347</v>
      </c>
      <c r="BE4502" s="2509">
        <f t="shared" si="496"/>
        <v>0</v>
      </c>
      <c r="BF4502" s="156"/>
    </row>
    <row r="4503" spans="1:58" s="3423" customFormat="1" x14ac:dyDescent="0.35">
      <c r="A4503" s="1071" t="str">
        <f t="shared" si="465"/>
        <v>356575_2022_12_Cooling Res</v>
      </c>
      <c r="C4503" s="3528" t="s">
        <v>4564</v>
      </c>
      <c r="D4503" s="3411" t="s">
        <v>315</v>
      </c>
      <c r="E4503" s="2742" t="s">
        <v>4576</v>
      </c>
      <c r="F4503" s="3007">
        <f>ROUND(((J$4584*J$4586*(1/J$4589-1/J$4591))/1000),2)</f>
        <v>46.56</v>
      </c>
      <c r="G4503" s="3008" t="s">
        <v>1091</v>
      </c>
      <c r="H4503" s="3412">
        <f>VLOOKUP(G4503,'CP FACTORS'!$A$3:$B$38, 2, FALSE)</f>
        <v>9.4741810000000004E-4</v>
      </c>
      <c r="I4503" s="3009">
        <f t="shared" ref="I4503:I4504" si="497">ROUND(F4503*H4503,6)</f>
        <v>4.4111999999999998E-2</v>
      </c>
      <c r="J4503" s="3010">
        <f>$J$4595</f>
        <v>15</v>
      </c>
      <c r="K4503" s="3011">
        <f>J$4599</f>
        <v>84.93</v>
      </c>
      <c r="L4503" s="2997">
        <f>K$4573</f>
        <v>1.0111111111111111</v>
      </c>
      <c r="M4503" s="657"/>
      <c r="R4503" s="1214"/>
      <c r="S4503" s="156"/>
      <c r="V4503" s="3414" t="s">
        <v>30</v>
      </c>
      <c r="W4503" s="464"/>
      <c r="X4503" s="464"/>
      <c r="Y4503" s="464"/>
      <c r="Z4503" s="464"/>
      <c r="AA4503" s="464"/>
      <c r="AB4503" s="464"/>
      <c r="AC4503" s="464"/>
      <c r="AD4503" s="99">
        <v>46.56</v>
      </c>
      <c r="AE4503" s="464"/>
      <c r="AF4503" s="464"/>
      <c r="AG4503" s="464"/>
      <c r="AH4503" s="156"/>
      <c r="AI4503" s="156"/>
      <c r="AJ4503" s="156"/>
      <c r="AK4503" s="156"/>
      <c r="AL4503" s="156"/>
      <c r="AM4503" s="156"/>
      <c r="AN4503" s="156"/>
      <c r="AO4503" s="156"/>
      <c r="AP4503" s="156"/>
      <c r="AQ4503" s="156"/>
      <c r="AR4503" s="156"/>
      <c r="AS4503" s="156"/>
      <c r="AT4503" s="156"/>
      <c r="AU4503" s="156"/>
      <c r="AV4503" s="156"/>
      <c r="AW4503" s="156"/>
      <c r="AX4503" s="156"/>
      <c r="AY4503" s="156"/>
      <c r="AZ4503" s="156"/>
      <c r="BA4503" s="156"/>
      <c r="BB4503" s="3312">
        <f>(BD4503+BD4504)/(BE4503+BE4504)</f>
        <v>5.1791632337473068</v>
      </c>
      <c r="BC4503" s="2738" t="str">
        <f t="shared" si="495"/>
        <v>Cooling Res 15 Year EUL</v>
      </c>
      <c r="BD4503" s="3315">
        <f>(INDEX('Avoided Cost Benefits'!$E$4:$E$859,MATCH(BC4503,'Avoided Cost Benefits'!$A$4:$A$859,0)))*F4503</f>
        <v>70.497489765517969</v>
      </c>
      <c r="BE4503" s="3270">
        <f t="shared" si="496"/>
        <v>80.160453043888623</v>
      </c>
      <c r="BF4503" s="156"/>
    </row>
    <row r="4504" spans="1:58" s="3423" customFormat="1" ht="15" thickBot="1" x14ac:dyDescent="0.4">
      <c r="A4504" s="1071" t="str">
        <f t="shared" si="465"/>
        <v>356575_2022_12_Heating Res</v>
      </c>
      <c r="C4504" s="3527" t="s">
        <v>4564</v>
      </c>
      <c r="D4504" s="2999" t="s">
        <v>315</v>
      </c>
      <c r="E4504" s="3000" t="s">
        <v>4576</v>
      </c>
      <c r="F4504" s="3001">
        <f>ROUND(((J$4573*J$4575*(1/J$4579-1/J$4581))/1000),2)</f>
        <v>897.5</v>
      </c>
      <c r="G4504" s="3002" t="s">
        <v>1092</v>
      </c>
      <c r="H4504" s="3413">
        <f>VLOOKUP(G4504,'CP FACTORS'!$A$3:$B$38, 2, FALSE)</f>
        <v>0</v>
      </c>
      <c r="I4504" s="3003">
        <f t="shared" si="497"/>
        <v>0</v>
      </c>
      <c r="J4504" s="3004">
        <f>$J$4595</f>
        <v>15</v>
      </c>
      <c r="K4504" s="3005">
        <v>0</v>
      </c>
      <c r="L4504" s="3006"/>
      <c r="M4504" s="657"/>
      <c r="R4504" s="1214"/>
      <c r="S4504" s="156"/>
      <c r="V4504" s="3416" t="s">
        <v>30</v>
      </c>
      <c r="W4504" s="3004"/>
      <c r="X4504" s="3004"/>
      <c r="Y4504" s="3004"/>
      <c r="Z4504" s="3004"/>
      <c r="AA4504" s="3004"/>
      <c r="AB4504" s="3004"/>
      <c r="AC4504" s="3004"/>
      <c r="AD4504" s="3552">
        <v>897.5</v>
      </c>
      <c r="AE4504" s="3004"/>
      <c r="AF4504" s="3004"/>
      <c r="AG4504" s="3004"/>
      <c r="AH4504" s="156"/>
      <c r="AI4504" s="156"/>
      <c r="AJ4504" s="156"/>
      <c r="AK4504" s="156"/>
      <c r="AL4504" s="156"/>
      <c r="AM4504" s="156"/>
      <c r="AN4504" s="156"/>
      <c r="AO4504" s="156"/>
      <c r="AP4504" s="156"/>
      <c r="AQ4504" s="156"/>
      <c r="AR4504" s="156"/>
      <c r="AS4504" s="156"/>
      <c r="AT4504" s="156"/>
      <c r="AU4504" s="156"/>
      <c r="AV4504" s="156"/>
      <c r="AW4504" s="156"/>
      <c r="AX4504" s="156"/>
      <c r="AY4504" s="156"/>
      <c r="AZ4504" s="156"/>
      <c r="BA4504" s="156"/>
      <c r="BB4504" s="3314"/>
      <c r="BC4504" s="2744" t="str">
        <f t="shared" si="495"/>
        <v>Heating Res 15 Year EUL</v>
      </c>
      <c r="BD4504" s="2628">
        <f>(INDEX('Avoided Cost Benefits'!$E$4:$E$859,MATCH(BC4504,'Avoided Cost Benefits'!$A$4:$A$859,0)))*F4504</f>
        <v>344.66658143991737</v>
      </c>
      <c r="BE4504" s="2509">
        <f t="shared" si="496"/>
        <v>0</v>
      </c>
      <c r="BF4504" s="156"/>
    </row>
    <row r="4505" spans="1:58" x14ac:dyDescent="0.35">
      <c r="A4505" s="1071" t="str">
        <f t="shared" si="465"/>
        <v>356600_2022_12_Cooling Res</v>
      </c>
      <c r="B4505" s="3395"/>
      <c r="C4505" s="3528" t="s">
        <v>4459</v>
      </c>
      <c r="D4505" s="3411" t="s">
        <v>320</v>
      </c>
      <c r="E4505" s="2742" t="s">
        <v>4514</v>
      </c>
      <c r="F4505" s="3007">
        <f>ROUND(((J$4584*J$4585*(1/J$4587-1/J$4592))/1000),2)</f>
        <v>505.03</v>
      </c>
      <c r="G4505" s="3008" t="s">
        <v>1091</v>
      </c>
      <c r="H4505" s="3412">
        <f>VLOOKUP(G4505,'CP FACTORS'!$A$3:$B$38, 2, FALSE)</f>
        <v>9.4741810000000004E-4</v>
      </c>
      <c r="I4505" s="3009">
        <f>ROUND(F4505*H4505,6)</f>
        <v>0.47847499999999998</v>
      </c>
      <c r="J4505" s="3010">
        <f>$J$4596</f>
        <v>5</v>
      </c>
      <c r="K4505" s="3011">
        <f>J$4598</f>
        <v>224.93182686576984</v>
      </c>
      <c r="L4505" s="3012">
        <f>K$4573</f>
        <v>1.0111111111111111</v>
      </c>
      <c r="M4505" s="657"/>
      <c r="N4505" s="106"/>
      <c r="O4505" s="106"/>
      <c r="P4505" s="106"/>
      <c r="Q4505" s="106"/>
      <c r="R4505" s="1214"/>
      <c r="S4505" s="156"/>
      <c r="T4505" s="106"/>
      <c r="U4505" s="106"/>
      <c r="V4505" s="3415" t="s">
        <v>30</v>
      </c>
      <c r="W4505" s="3010"/>
      <c r="X4505" s="3010"/>
      <c r="Y4505" s="3010"/>
      <c r="Z4505" s="3010"/>
      <c r="AA4505" s="3010"/>
      <c r="AB4505" s="3010"/>
      <c r="AC4505" s="3010"/>
      <c r="AD4505" s="3551">
        <v>505.03</v>
      </c>
      <c r="AE4505" s="3010"/>
      <c r="AF4505" s="3010"/>
      <c r="AG4505" s="3010"/>
      <c r="AH4505" s="156"/>
      <c r="AI4505" s="156"/>
      <c r="AJ4505" s="156"/>
      <c r="AK4505" s="156"/>
      <c r="AL4505" s="156"/>
      <c r="AM4505" s="156"/>
      <c r="AN4505" s="156"/>
      <c r="AO4505" s="156"/>
      <c r="AP4505" s="156"/>
      <c r="AQ4505" s="156"/>
      <c r="AR4505" s="156"/>
      <c r="AS4505" s="156"/>
      <c r="AT4505" s="156"/>
      <c r="AU4505" s="156"/>
      <c r="AV4505" s="156"/>
      <c r="AW4505" s="156"/>
      <c r="AX4505" s="156"/>
      <c r="AY4505" s="156"/>
      <c r="AZ4505" s="156"/>
      <c r="BA4505" s="156"/>
      <c r="BB4505" s="3312">
        <f>(BD4505+BD4506+BD4507+BD4508)/(BE4505+BE4506+BE4507+BE4508)</f>
        <v>2.7601778973312974</v>
      </c>
      <c r="BC4505" s="2738" t="str">
        <f t="shared" si="495"/>
        <v>Cooling Res 5 Year EUL</v>
      </c>
      <c r="BD4505" s="3315">
        <f>(INDEX('Avoided Cost Benefits'!$E$4:$E$859,MATCH(BC4505,'Avoided Cost Benefits'!$A$4:$A$859,0)))*F4505</f>
        <v>263.51349998796206</v>
      </c>
      <c r="BE4505" s="3270">
        <f t="shared" si="496"/>
        <v>212.29997816495498</v>
      </c>
      <c r="BF4505" s="156"/>
    </row>
    <row r="4506" spans="1:58" x14ac:dyDescent="0.35">
      <c r="A4506" s="1071" t="str">
        <f t="shared" si="465"/>
        <v>356600_2022_12_Heating Res</v>
      </c>
      <c r="B4506" s="3395"/>
      <c r="C4506" s="2753" t="s">
        <v>4459</v>
      </c>
      <c r="D4506" s="2998" t="s">
        <v>320</v>
      </c>
      <c r="E4506" s="2742" t="s">
        <v>4514</v>
      </c>
      <c r="F4506" s="618">
        <f>ROUND(((J$4573*J$4574*(1/J$4576-1/J$4582))/1000),2)</f>
        <v>1288.67</v>
      </c>
      <c r="G4506" s="1651" t="s">
        <v>1092</v>
      </c>
      <c r="H4506" s="2720">
        <f>VLOOKUP(G4506,'CP FACTORS'!$A$3:$B$38, 2, FALSE)</f>
        <v>0</v>
      </c>
      <c r="I4506" s="2995">
        <f t="shared" ref="I4506" si="498">ROUND(F4506*H4506,6)</f>
        <v>0</v>
      </c>
      <c r="J4506" s="464">
        <f>$J$4596</f>
        <v>5</v>
      </c>
      <c r="K4506" s="2996">
        <v>0</v>
      </c>
      <c r="L4506" s="2997"/>
      <c r="M4506" s="657"/>
      <c r="N4506" s="106"/>
      <c r="O4506" s="106"/>
      <c r="P4506" s="106"/>
      <c r="Q4506" s="106"/>
      <c r="R4506" s="1214"/>
      <c r="S4506" s="156"/>
      <c r="T4506" s="106"/>
      <c r="U4506" s="106"/>
      <c r="V4506" s="3414" t="s">
        <v>30</v>
      </c>
      <c r="W4506" s="464"/>
      <c r="X4506" s="464"/>
      <c r="Y4506" s="464"/>
      <c r="Z4506" s="464"/>
      <c r="AA4506" s="464"/>
      <c r="AB4506" s="464"/>
      <c r="AC4506" s="464"/>
      <c r="AD4506" s="99">
        <v>1288.67</v>
      </c>
      <c r="AE4506" s="464"/>
      <c r="AF4506" s="464"/>
      <c r="AG4506" s="464"/>
      <c r="AH4506" s="156"/>
      <c r="AI4506" s="156"/>
      <c r="AJ4506" s="156"/>
      <c r="AK4506" s="156"/>
      <c r="AL4506" s="156"/>
      <c r="AM4506" s="156"/>
      <c r="AN4506" s="156"/>
      <c r="AO4506" s="156"/>
      <c r="AP4506" s="156"/>
      <c r="AQ4506" s="156"/>
      <c r="AR4506" s="156"/>
      <c r="AS4506" s="156"/>
      <c r="AT4506" s="156"/>
      <c r="AU4506" s="156"/>
      <c r="AV4506" s="156"/>
      <c r="AW4506" s="156"/>
      <c r="AX4506" s="156"/>
      <c r="AY4506" s="156"/>
      <c r="AZ4506" s="156"/>
      <c r="BA4506" s="156"/>
      <c r="BB4506" s="3313"/>
      <c r="BC4506" s="2742" t="str">
        <f t="shared" si="495"/>
        <v>Heating Res 5 Year EUL</v>
      </c>
      <c r="BD4506" s="2627">
        <f>(INDEX('Avoided Cost Benefits'!$E$4:$E$859,MATCH(BC4506,'Avoided Cost Benefits'!$A$4:$A$859,0)))*F4506</f>
        <v>175.86385663805112</v>
      </c>
      <c r="BE4506" s="2507">
        <f t="shared" si="496"/>
        <v>0</v>
      </c>
      <c r="BF4506" s="156"/>
    </row>
    <row r="4507" spans="1:58" x14ac:dyDescent="0.35">
      <c r="A4507" s="1071" t="str">
        <f t="shared" si="465"/>
        <v>356600_2022_12_Cooling Res ER2</v>
      </c>
      <c r="B4507" s="3395"/>
      <c r="C4507" s="2753" t="s">
        <v>4459</v>
      </c>
      <c r="D4507" s="2998" t="s">
        <v>320</v>
      </c>
      <c r="E4507" s="2742" t="s">
        <v>4515</v>
      </c>
      <c r="F4507" s="3007">
        <f>ROUND(((J$4584*J$4585*(1/J$4589-1/J$4592))/1000),2)</f>
        <v>105.12</v>
      </c>
      <c r="G4507" s="1651" t="s">
        <v>1133</v>
      </c>
      <c r="H4507" s="2720">
        <f>VLOOKUP(G4507,'CP FACTORS'!$A$3:$B$38, 2, FALSE)</f>
        <v>9.4741810000000004E-4</v>
      </c>
      <c r="I4507" s="3009">
        <f>ROUND(F4507*H4507,6)</f>
        <v>9.9593000000000001E-2</v>
      </c>
      <c r="J4507" s="464">
        <f>$J$4597</f>
        <v>10</v>
      </c>
      <c r="K4507" s="2996">
        <v>0</v>
      </c>
      <c r="L4507" s="2997"/>
      <c r="M4507" s="657"/>
      <c r="N4507" s="2804"/>
      <c r="O4507" s="2804"/>
      <c r="P4507" s="2804"/>
      <c r="Q4507" s="2804"/>
      <c r="R4507" s="1214"/>
      <c r="S4507" s="156"/>
      <c r="T4507" s="2804"/>
      <c r="U4507" s="2804"/>
      <c r="V4507" s="3414" t="s">
        <v>30</v>
      </c>
      <c r="W4507" s="464"/>
      <c r="X4507" s="464"/>
      <c r="Y4507" s="464"/>
      <c r="Z4507" s="464"/>
      <c r="AA4507" s="464"/>
      <c r="AB4507" s="464"/>
      <c r="AC4507" s="464"/>
      <c r="AD4507" s="99">
        <v>105.12</v>
      </c>
      <c r="AE4507" s="464"/>
      <c r="AF4507" s="464"/>
      <c r="AG4507" s="464"/>
      <c r="AH4507" s="156"/>
      <c r="AI4507" s="156"/>
      <c r="AJ4507" s="156"/>
      <c r="AK4507" s="156"/>
      <c r="AL4507" s="156"/>
      <c r="AM4507" s="156"/>
      <c r="AN4507" s="156"/>
      <c r="AO4507" s="156"/>
      <c r="AP4507" s="156"/>
      <c r="AQ4507" s="156"/>
      <c r="AR4507" s="156"/>
      <c r="AS4507" s="156"/>
      <c r="AT4507" s="156"/>
      <c r="AU4507" s="156"/>
      <c r="AV4507" s="156"/>
      <c r="AW4507" s="156"/>
      <c r="AX4507" s="156"/>
      <c r="AY4507" s="156"/>
      <c r="AZ4507" s="156"/>
      <c r="BA4507" s="156"/>
      <c r="BB4507" s="3313"/>
      <c r="BC4507" s="2742" t="str">
        <f t="shared" si="495"/>
        <v>Cooling Res ER2 10 Year EUL</v>
      </c>
      <c r="BD4507" s="2627">
        <f>(INDEX('Avoided Cost Benefits'!$E$4:$E$859,MATCH(BC4507,'Avoided Cost Benefits'!$A$4:$A$859,0)))*F4507</f>
        <v>104.31514131966506</v>
      </c>
      <c r="BE4507" s="2507">
        <f t="shared" si="496"/>
        <v>0</v>
      </c>
      <c r="BF4507" s="156"/>
    </row>
    <row r="4508" spans="1:58" x14ac:dyDescent="0.35">
      <c r="A4508" s="1071" t="str">
        <f t="shared" si="465"/>
        <v>356600_2022_12_Heating Res ER2</v>
      </c>
      <c r="B4508" s="3395"/>
      <c r="C4508" s="2753" t="s">
        <v>4459</v>
      </c>
      <c r="D4508" s="2998" t="s">
        <v>320</v>
      </c>
      <c r="E4508" s="2744" t="s">
        <v>4515</v>
      </c>
      <c r="F4508" s="618">
        <f>ROUND(((J$4573*J$4574*(1/J$4577-1/J$4582))/1000),2)</f>
        <v>170.84</v>
      </c>
      <c r="G4508" s="1651" t="s">
        <v>1150</v>
      </c>
      <c r="H4508" s="2720">
        <f>VLOOKUP(G4508,'CP FACTORS'!$A$3:$B$38, 2, FALSE)</f>
        <v>0</v>
      </c>
      <c r="I4508" s="2995">
        <f t="shared" ref="I4508:I4510" si="499">ROUND(F4508*H4508,6)</f>
        <v>0</v>
      </c>
      <c r="J4508" s="464">
        <f>$J$4597</f>
        <v>10</v>
      </c>
      <c r="K4508" s="2996">
        <v>0</v>
      </c>
      <c r="L4508" s="2997"/>
      <c r="M4508" s="657"/>
      <c r="N4508" s="2804"/>
      <c r="O4508" s="2804"/>
      <c r="P4508" s="2804"/>
      <c r="Q4508" s="2804"/>
      <c r="R4508" s="1214"/>
      <c r="S4508" s="156"/>
      <c r="T4508" s="2804"/>
      <c r="U4508" s="2804"/>
      <c r="V4508" s="3414" t="s">
        <v>30</v>
      </c>
      <c r="W4508" s="464"/>
      <c r="X4508" s="464"/>
      <c r="Y4508" s="464"/>
      <c r="Z4508" s="464"/>
      <c r="AA4508" s="464"/>
      <c r="AB4508" s="464"/>
      <c r="AC4508" s="464"/>
      <c r="AD4508" s="99">
        <v>170.84</v>
      </c>
      <c r="AE4508" s="464"/>
      <c r="AF4508" s="464"/>
      <c r="AG4508" s="464"/>
      <c r="AH4508" s="156"/>
      <c r="AI4508" s="156"/>
      <c r="AJ4508" s="156"/>
      <c r="AK4508" s="156"/>
      <c r="AL4508" s="156"/>
      <c r="AM4508" s="156"/>
      <c r="AN4508" s="156"/>
      <c r="AO4508" s="156"/>
      <c r="AP4508" s="156"/>
      <c r="AQ4508" s="156"/>
      <c r="AR4508" s="156"/>
      <c r="AS4508" s="156"/>
      <c r="AT4508" s="156"/>
      <c r="AU4508" s="156"/>
      <c r="AV4508" s="156"/>
      <c r="AW4508" s="156"/>
      <c r="AX4508" s="156"/>
      <c r="AY4508" s="156"/>
      <c r="AZ4508" s="156"/>
      <c r="BA4508" s="156"/>
      <c r="BB4508" s="3314"/>
      <c r="BC4508" s="2744" t="str">
        <f t="shared" si="495"/>
        <v>Heating Res ER2 10 Year EUL</v>
      </c>
      <c r="BD4508" s="2628">
        <f>(INDEX('Avoided Cost Benefits'!$E$4:$E$859,MATCH(BC4508,'Avoided Cost Benefits'!$A$4:$A$859,0)))*F4508</f>
        <v>42.293209389147485</v>
      </c>
      <c r="BE4508" s="2509">
        <f t="shared" si="496"/>
        <v>0</v>
      </c>
      <c r="BF4508" s="156"/>
    </row>
    <row r="4509" spans="1:58" x14ac:dyDescent="0.35">
      <c r="A4509" s="1071" t="str">
        <f t="shared" si="465"/>
        <v>356625_2022_12_Cooling Res</v>
      </c>
      <c r="B4509" s="3395"/>
      <c r="C4509" s="2753" t="s">
        <v>4460</v>
      </c>
      <c r="D4509" s="2998" t="s">
        <v>315</v>
      </c>
      <c r="E4509" s="2738" t="s">
        <v>4516</v>
      </c>
      <c r="F4509" s="618">
        <f>ROUND(((J$4584*J$4586*(1/J$4587-1/J$4592))/1000),2)</f>
        <v>367.51</v>
      </c>
      <c r="G4509" s="1651" t="s">
        <v>1091</v>
      </c>
      <c r="H4509" s="2720">
        <f>VLOOKUP(G4509,'CP FACTORS'!$A$3:$B$38, 2, FALSE)</f>
        <v>9.4741810000000004E-4</v>
      </c>
      <c r="I4509" s="2995">
        <f t="shared" si="499"/>
        <v>0.348186</v>
      </c>
      <c r="J4509" s="3010">
        <f>$J$4596</f>
        <v>5</v>
      </c>
      <c r="K4509" s="3011">
        <f>J$4598</f>
        <v>224.93182686576984</v>
      </c>
      <c r="L4509" s="2997">
        <f>K$4573</f>
        <v>1.0111111111111111</v>
      </c>
      <c r="M4509" s="657"/>
      <c r="N4509" s="106"/>
      <c r="O4509" s="106"/>
      <c r="P4509" s="106"/>
      <c r="Q4509" s="106"/>
      <c r="R4509" s="1214"/>
      <c r="S4509" s="156"/>
      <c r="T4509" s="106"/>
      <c r="U4509" s="106"/>
      <c r="V4509" s="3415" t="s">
        <v>30</v>
      </c>
      <c r="W4509" s="3010"/>
      <c r="X4509" s="3010"/>
      <c r="Y4509" s="3010"/>
      <c r="Z4509" s="3010"/>
      <c r="AA4509" s="3010"/>
      <c r="AB4509" s="3010"/>
      <c r="AC4509" s="3010"/>
      <c r="AD4509" s="3551">
        <v>367.51</v>
      </c>
      <c r="AE4509" s="3010"/>
      <c r="AF4509" s="3010"/>
      <c r="AG4509" s="3010"/>
      <c r="AH4509" s="156"/>
      <c r="AI4509" s="156"/>
      <c r="AJ4509" s="156"/>
      <c r="AK4509" s="156"/>
      <c r="AL4509" s="156"/>
      <c r="AM4509" s="156"/>
      <c r="AN4509" s="156"/>
      <c r="AO4509" s="156"/>
      <c r="AP4509" s="156"/>
      <c r="AQ4509" s="156"/>
      <c r="AR4509" s="156"/>
      <c r="AS4509" s="156"/>
      <c r="AT4509" s="156"/>
      <c r="AU4509" s="156"/>
      <c r="AV4509" s="156"/>
      <c r="AW4509" s="156"/>
      <c r="AX4509" s="156"/>
      <c r="AY4509" s="156"/>
      <c r="AZ4509" s="156"/>
      <c r="BA4509" s="156"/>
      <c r="BB4509" s="3312">
        <f>(BD4509+BD4510+BD4511+BD4512)/(BE4509+BE4510+BE4511+BE4512)</f>
        <v>1.6115908217304964</v>
      </c>
      <c r="BC4509" s="2738" t="str">
        <f t="shared" si="495"/>
        <v>Cooling Res 5 Year EUL</v>
      </c>
      <c r="BD4509" s="3315">
        <f>(INDEX('Avoided Cost Benefits'!$E$4:$E$859,MATCH(BC4509,'Avoided Cost Benefits'!$A$4:$A$859,0)))*F4509</f>
        <v>191.75860123275044</v>
      </c>
      <c r="BE4509" s="3270">
        <f t="shared" si="496"/>
        <v>212.29997816495498</v>
      </c>
      <c r="BF4509" s="156"/>
    </row>
    <row r="4510" spans="1:58" x14ac:dyDescent="0.35">
      <c r="A4510" s="1071" t="str">
        <f t="shared" si="465"/>
        <v>356625_2022_12_Heating Res</v>
      </c>
      <c r="B4510" s="3395"/>
      <c r="C4510" s="2753" t="s">
        <v>4460</v>
      </c>
      <c r="D4510" s="2998" t="s">
        <v>315</v>
      </c>
      <c r="E4510" s="2742" t="s">
        <v>4516</v>
      </c>
      <c r="F4510" s="618">
        <f>ROUND(((J$4573*J$4575*(1/J$4576-1/J$4582))/1000),2)</f>
        <v>439.88</v>
      </c>
      <c r="G4510" s="1651" t="s">
        <v>1092</v>
      </c>
      <c r="H4510" s="2720">
        <f>VLOOKUP(G4510,'CP FACTORS'!$A$3:$B$38, 2, FALSE)</f>
        <v>0</v>
      </c>
      <c r="I4510" s="2995">
        <f t="shared" si="499"/>
        <v>0</v>
      </c>
      <c r="J4510" s="464">
        <f>$J$4596</f>
        <v>5</v>
      </c>
      <c r="K4510" s="2996">
        <v>0</v>
      </c>
      <c r="L4510" s="2997"/>
      <c r="M4510" s="657"/>
      <c r="N4510" s="106"/>
      <c r="O4510" s="106"/>
      <c r="P4510" s="106"/>
      <c r="Q4510" s="106"/>
      <c r="R4510" s="1214"/>
      <c r="S4510" s="156"/>
      <c r="T4510" s="106"/>
      <c r="U4510" s="106"/>
      <c r="V4510" s="3414" t="s">
        <v>30</v>
      </c>
      <c r="W4510" s="464"/>
      <c r="X4510" s="464"/>
      <c r="Y4510" s="464"/>
      <c r="Z4510" s="464"/>
      <c r="AA4510" s="464"/>
      <c r="AB4510" s="464"/>
      <c r="AC4510" s="464"/>
      <c r="AD4510" s="99">
        <v>439.88</v>
      </c>
      <c r="AE4510" s="464"/>
      <c r="AF4510" s="464"/>
      <c r="AG4510" s="464"/>
      <c r="AH4510" s="156"/>
      <c r="AI4510" s="156"/>
      <c r="AJ4510" s="156"/>
      <c r="AK4510" s="156"/>
      <c r="AL4510" s="156"/>
      <c r="AM4510" s="156"/>
      <c r="AN4510" s="156"/>
      <c r="AO4510" s="156"/>
      <c r="AP4510" s="156"/>
      <c r="AQ4510" s="156"/>
      <c r="AR4510" s="156"/>
      <c r="AS4510" s="156"/>
      <c r="AT4510" s="156"/>
      <c r="AU4510" s="156"/>
      <c r="AV4510" s="156"/>
      <c r="AW4510" s="156"/>
      <c r="AX4510" s="156"/>
      <c r="AY4510" s="156"/>
      <c r="AZ4510" s="156"/>
      <c r="BA4510" s="156"/>
      <c r="BB4510" s="3313"/>
      <c r="BC4510" s="2742" t="str">
        <f t="shared" si="495"/>
        <v>Heating Res 5 Year EUL</v>
      </c>
      <c r="BD4510" s="2627">
        <f>(INDEX('Avoided Cost Benefits'!$E$4:$E$859,MATCH(BC4510,'Avoided Cost Benefits'!$A$4:$A$859,0)))*F4510</f>
        <v>60.030103329747661</v>
      </c>
      <c r="BE4510" s="2507">
        <f t="shared" si="496"/>
        <v>0</v>
      </c>
      <c r="BF4510" s="156"/>
    </row>
    <row r="4511" spans="1:58" x14ac:dyDescent="0.35">
      <c r="A4511" s="1071" t="str">
        <f t="shared" si="465"/>
        <v>356625_2022_12_Cooling Res ER2</v>
      </c>
      <c r="B4511" s="3395"/>
      <c r="C4511" s="2753" t="s">
        <v>4460</v>
      </c>
      <c r="D4511" s="2998" t="s">
        <v>315</v>
      </c>
      <c r="E4511" s="2742" t="s">
        <v>4517</v>
      </c>
      <c r="F4511" s="618">
        <f>ROUND(((J$4584*J$4586*(1/J$4589-1/J$4592))/1000),2)</f>
        <v>76.5</v>
      </c>
      <c r="G4511" s="1651" t="s">
        <v>1133</v>
      </c>
      <c r="H4511" s="2720">
        <f>VLOOKUP(G4511,'CP FACTORS'!$A$3:$B$38, 2, FALSE)</f>
        <v>9.4741810000000004E-4</v>
      </c>
      <c r="I4511" s="3009">
        <f>ROUND(F4511*H4511,6)</f>
        <v>7.2477E-2</v>
      </c>
      <c r="J4511" s="464">
        <f>$J$4597</f>
        <v>10</v>
      </c>
      <c r="K4511" s="2996">
        <v>0</v>
      </c>
      <c r="L4511" s="2997"/>
      <c r="M4511" s="657"/>
      <c r="N4511" s="2804"/>
      <c r="O4511" s="2804"/>
      <c r="P4511" s="2804"/>
      <c r="Q4511" s="2804"/>
      <c r="R4511" s="1214"/>
      <c r="S4511" s="156"/>
      <c r="T4511" s="2804"/>
      <c r="U4511" s="2804"/>
      <c r="V4511" s="3414" t="s">
        <v>30</v>
      </c>
      <c r="W4511" s="464"/>
      <c r="X4511" s="464"/>
      <c r="Y4511" s="464"/>
      <c r="Z4511" s="464"/>
      <c r="AA4511" s="464"/>
      <c r="AB4511" s="464"/>
      <c r="AC4511" s="464"/>
      <c r="AD4511" s="99">
        <v>76.5</v>
      </c>
      <c r="AE4511" s="464"/>
      <c r="AF4511" s="464"/>
      <c r="AG4511" s="464"/>
      <c r="AH4511" s="156"/>
      <c r="AI4511" s="156"/>
      <c r="AJ4511" s="156"/>
      <c r="AK4511" s="156"/>
      <c r="AL4511" s="156"/>
      <c r="AM4511" s="156"/>
      <c r="AN4511" s="156"/>
      <c r="AO4511" s="156"/>
      <c r="AP4511" s="156"/>
      <c r="AQ4511" s="156"/>
      <c r="AR4511" s="156"/>
      <c r="AS4511" s="156"/>
      <c r="AT4511" s="156"/>
      <c r="AU4511" s="156"/>
      <c r="AV4511" s="156"/>
      <c r="AW4511" s="156"/>
      <c r="AX4511" s="156"/>
      <c r="AY4511" s="156"/>
      <c r="AZ4511" s="156"/>
      <c r="BA4511" s="156"/>
      <c r="BB4511" s="3313"/>
      <c r="BC4511" s="2742" t="str">
        <f t="shared" si="495"/>
        <v>Cooling Res ER2 10 Year EUL</v>
      </c>
      <c r="BD4511" s="2627">
        <f>(INDEX('Avoided Cost Benefits'!$E$4:$E$859,MATCH(BC4511,'Avoided Cost Benefits'!$A$4:$A$859,0)))*F4511</f>
        <v>75.914272364482272</v>
      </c>
      <c r="BE4511" s="2507">
        <f t="shared" si="496"/>
        <v>0</v>
      </c>
      <c r="BF4511" s="156"/>
    </row>
    <row r="4512" spans="1:58" x14ac:dyDescent="0.35">
      <c r="A4512" s="1071" t="str">
        <f t="shared" si="465"/>
        <v>356625_2022_12_Heating Res ER2</v>
      </c>
      <c r="B4512" s="3395"/>
      <c r="C4512" s="2753" t="s">
        <v>4460</v>
      </c>
      <c r="D4512" s="2998" t="s">
        <v>315</v>
      </c>
      <c r="E4512" s="2744" t="s">
        <v>4517</v>
      </c>
      <c r="F4512" s="618">
        <f>ROUND(((J$4573*J$4575*(1/J$4577-1/J$4582))/1000),2)</f>
        <v>58.32</v>
      </c>
      <c r="G4512" s="1651" t="s">
        <v>1150</v>
      </c>
      <c r="H4512" s="2720">
        <f>VLOOKUP(G4512,'CP FACTORS'!$A$3:$B$38, 2, FALSE)</f>
        <v>0</v>
      </c>
      <c r="I4512" s="2995">
        <f t="shared" ref="I4512:I4514" si="500">ROUND(F4512*H4512,6)</f>
        <v>0</v>
      </c>
      <c r="J4512" s="464">
        <f>$J$4597</f>
        <v>10</v>
      </c>
      <c r="K4512" s="2996">
        <v>0</v>
      </c>
      <c r="L4512" s="2997"/>
      <c r="M4512" s="657"/>
      <c r="N4512" s="2804"/>
      <c r="O4512" s="2804"/>
      <c r="P4512" s="2804"/>
      <c r="Q4512" s="2804"/>
      <c r="R4512" s="1214"/>
      <c r="S4512" s="156"/>
      <c r="T4512" s="2804"/>
      <c r="U4512" s="2804"/>
      <c r="V4512" s="3414" t="s">
        <v>30</v>
      </c>
      <c r="W4512" s="464"/>
      <c r="X4512" s="464"/>
      <c r="Y4512" s="464"/>
      <c r="Z4512" s="464"/>
      <c r="AA4512" s="464"/>
      <c r="AB4512" s="464"/>
      <c r="AC4512" s="464"/>
      <c r="AD4512" s="99">
        <v>58.32</v>
      </c>
      <c r="AE4512" s="464"/>
      <c r="AF4512" s="464"/>
      <c r="AG4512" s="464"/>
      <c r="AH4512" s="156"/>
      <c r="AI4512" s="156"/>
      <c r="AJ4512" s="156"/>
      <c r="AK4512" s="156"/>
      <c r="AL4512" s="156"/>
      <c r="AM4512" s="156"/>
      <c r="AN4512" s="156"/>
      <c r="AO4512" s="156"/>
      <c r="AP4512" s="156"/>
      <c r="AQ4512" s="156"/>
      <c r="AR4512" s="156"/>
      <c r="AS4512" s="156"/>
      <c r="AT4512" s="156"/>
      <c r="AU4512" s="156"/>
      <c r="AV4512" s="156"/>
      <c r="AW4512" s="156"/>
      <c r="AX4512" s="156"/>
      <c r="AY4512" s="156"/>
      <c r="AZ4512" s="156"/>
      <c r="BA4512" s="156"/>
      <c r="BB4512" s="3314"/>
      <c r="BC4512" s="2744" t="str">
        <f t="shared" si="495"/>
        <v>Heating Res ER2 10 Year EUL</v>
      </c>
      <c r="BD4512" s="2628">
        <f>(INDEX('Avoided Cost Benefits'!$E$4:$E$859,MATCH(BC4512,'Avoided Cost Benefits'!$A$4:$A$859,0)))*F4512</f>
        <v>14.437719337245852</v>
      </c>
      <c r="BE4512" s="2509">
        <f t="shared" si="496"/>
        <v>0</v>
      </c>
      <c r="BF4512" s="156"/>
    </row>
    <row r="4513" spans="1:58" x14ac:dyDescent="0.35">
      <c r="A4513" s="1071" t="str">
        <f t="shared" si="465"/>
        <v>356650_2022_12_Cooling Res</v>
      </c>
      <c r="B4513" s="3395"/>
      <c r="C4513" s="2753" t="s">
        <v>4461</v>
      </c>
      <c r="D4513" s="2736" t="s">
        <v>320</v>
      </c>
      <c r="E4513" s="2738" t="s">
        <v>4518</v>
      </c>
      <c r="F4513" s="618">
        <f>ROUND(((J$4584*J$4585*(1/J$4588-1/J$4592))/1000),2)</f>
        <v>566.19000000000005</v>
      </c>
      <c r="G4513" s="1651" t="s">
        <v>1091</v>
      </c>
      <c r="H4513" s="2720">
        <f>VLOOKUP(G4513,'CP FACTORS'!$A$3:$B$38, 2, FALSE)</f>
        <v>9.4741810000000004E-4</v>
      </c>
      <c r="I4513" s="2995">
        <f t="shared" si="500"/>
        <v>0.53641899999999998</v>
      </c>
      <c r="J4513" s="3010">
        <f>$J$4596</f>
        <v>5</v>
      </c>
      <c r="K4513" s="3011">
        <f>J$4598</f>
        <v>224.93182686576984</v>
      </c>
      <c r="L4513" s="2997">
        <f>K$4573</f>
        <v>1.0111111111111111</v>
      </c>
      <c r="M4513" s="657"/>
      <c r="N4513" s="106"/>
      <c r="O4513" s="106"/>
      <c r="P4513" s="106"/>
      <c r="Q4513" s="106"/>
      <c r="R4513" s="1214"/>
      <c r="S4513" s="156"/>
      <c r="T4513" s="106"/>
      <c r="U4513" s="106"/>
      <c r="V4513" s="3415" t="s">
        <v>30</v>
      </c>
      <c r="W4513" s="3010"/>
      <c r="X4513" s="3010"/>
      <c r="Y4513" s="3010"/>
      <c r="Z4513" s="3010"/>
      <c r="AA4513" s="3010"/>
      <c r="AB4513" s="3010"/>
      <c r="AC4513" s="3010"/>
      <c r="AD4513" s="3551">
        <v>566.19000000000005</v>
      </c>
      <c r="AE4513" s="3010"/>
      <c r="AF4513" s="3010"/>
      <c r="AG4513" s="3010"/>
      <c r="AH4513" s="156"/>
      <c r="AI4513" s="156"/>
      <c r="AJ4513" s="156"/>
      <c r="AK4513" s="156"/>
      <c r="AL4513" s="156"/>
      <c r="AM4513" s="156"/>
      <c r="AN4513" s="156"/>
      <c r="AO4513" s="156"/>
      <c r="AP4513" s="156"/>
      <c r="AQ4513" s="156"/>
      <c r="AR4513" s="156"/>
      <c r="AS4513" s="156"/>
      <c r="AT4513" s="156"/>
      <c r="AU4513" s="156"/>
      <c r="AV4513" s="156"/>
      <c r="AW4513" s="156"/>
      <c r="AX4513" s="156"/>
      <c r="AY4513" s="156"/>
      <c r="AZ4513" s="156"/>
      <c r="BA4513" s="156"/>
      <c r="BB4513" s="3312">
        <f>(BD4513+BD4514+BD4515+BD4516)/(BE4513+BE4514+BE4515+BE4516)</f>
        <v>6.7118558158101154</v>
      </c>
      <c r="BC4513" s="2738" t="str">
        <f t="shared" si="495"/>
        <v>Cooling Res 5 Year EUL</v>
      </c>
      <c r="BD4513" s="3315">
        <f>(INDEX('Avoided Cost Benefits'!$E$4:$E$859,MATCH(BC4513,'Avoided Cost Benefits'!$A$4:$A$859,0)))*F4513</f>
        <v>295.4254372179559</v>
      </c>
      <c r="BE4513" s="3270">
        <f t="shared" si="496"/>
        <v>212.29997816495498</v>
      </c>
      <c r="BF4513" s="156"/>
    </row>
    <row r="4514" spans="1:58" x14ac:dyDescent="0.35">
      <c r="A4514" s="1071" t="str">
        <f t="shared" si="465"/>
        <v>356650_2022_12_Heating Res</v>
      </c>
      <c r="B4514" s="3395"/>
      <c r="C4514" s="2753" t="s">
        <v>4461</v>
      </c>
      <c r="D4514" s="2998" t="s">
        <v>320</v>
      </c>
      <c r="E4514" s="2742" t="s">
        <v>4518</v>
      </c>
      <c r="F4514" s="618">
        <f>ROUND(((J$4573*J$4574*(1/J$4578-1/J$4582))/1000),2)</f>
        <v>2669.55</v>
      </c>
      <c r="G4514" s="1651" t="s">
        <v>1092</v>
      </c>
      <c r="H4514" s="2720">
        <f>VLOOKUP(G4514,'CP FACTORS'!$A$3:$B$38, 2, FALSE)</f>
        <v>0</v>
      </c>
      <c r="I4514" s="2995">
        <f t="shared" si="500"/>
        <v>0</v>
      </c>
      <c r="J4514" s="464">
        <f>$J$4596</f>
        <v>5</v>
      </c>
      <c r="K4514" s="2996">
        <v>0</v>
      </c>
      <c r="L4514" s="2997"/>
      <c r="M4514" s="657"/>
      <c r="N4514" s="106"/>
      <c r="O4514" s="106"/>
      <c r="P4514" s="106"/>
      <c r="Q4514" s="106"/>
      <c r="R4514" s="1214"/>
      <c r="S4514" s="156"/>
      <c r="T4514" s="106"/>
      <c r="U4514" s="106"/>
      <c r="V4514" s="3414" t="s">
        <v>30</v>
      </c>
      <c r="W4514" s="464"/>
      <c r="X4514" s="464"/>
      <c r="Y4514" s="464"/>
      <c r="Z4514" s="464"/>
      <c r="AA4514" s="464"/>
      <c r="AB4514" s="464"/>
      <c r="AC4514" s="464"/>
      <c r="AD4514" s="99">
        <v>2669.55</v>
      </c>
      <c r="AE4514" s="464"/>
      <c r="AF4514" s="464"/>
      <c r="AG4514" s="464"/>
      <c r="AH4514" s="156"/>
      <c r="AI4514" s="156"/>
      <c r="AJ4514" s="156"/>
      <c r="AK4514" s="156"/>
      <c r="AL4514" s="156"/>
      <c r="AM4514" s="156"/>
      <c r="AN4514" s="156"/>
      <c r="AO4514" s="156"/>
      <c r="AP4514" s="156"/>
      <c r="AQ4514" s="156"/>
      <c r="AR4514" s="156"/>
      <c r="AS4514" s="156"/>
      <c r="AT4514" s="156"/>
      <c r="AU4514" s="156"/>
      <c r="AV4514" s="156"/>
      <c r="AW4514" s="156"/>
      <c r="AX4514" s="156"/>
      <c r="AY4514" s="156"/>
      <c r="AZ4514" s="156"/>
      <c r="BA4514" s="156"/>
      <c r="BB4514" s="3313"/>
      <c r="BC4514" s="2742" t="str">
        <f t="shared" si="495"/>
        <v>Heating Res 5 Year EUL</v>
      </c>
      <c r="BD4514" s="2627">
        <f>(INDEX('Avoided Cost Benefits'!$E$4:$E$859,MATCH(BC4514,'Avoided Cost Benefits'!$A$4:$A$859,0)))*F4514</f>
        <v>364.31154483933773</v>
      </c>
      <c r="BE4514" s="2507">
        <f t="shared" si="496"/>
        <v>0</v>
      </c>
      <c r="BF4514" s="156"/>
    </row>
    <row r="4515" spans="1:58" x14ac:dyDescent="0.35">
      <c r="A4515" s="1071" t="str">
        <f t="shared" si="465"/>
        <v>356650_2022_12_Cooling Res ER2</v>
      </c>
      <c r="B4515" s="3395"/>
      <c r="C4515" s="2753" t="s">
        <v>4461</v>
      </c>
      <c r="D4515" s="2998" t="s">
        <v>320</v>
      </c>
      <c r="E4515" s="2742" t="s">
        <v>4519</v>
      </c>
      <c r="F4515" s="618">
        <f>ROUND(((J$4584*J$4585*(1/J$4589-1/J$4592))/1000),2)</f>
        <v>105.12</v>
      </c>
      <c r="G4515" s="1651" t="s">
        <v>1133</v>
      </c>
      <c r="H4515" s="2720">
        <f>VLOOKUP(G4515,'CP FACTORS'!$A$3:$B$38, 2, FALSE)</f>
        <v>9.4741810000000004E-4</v>
      </c>
      <c r="I4515" s="3009">
        <f>ROUND(F4515*H4515,6)</f>
        <v>9.9593000000000001E-2</v>
      </c>
      <c r="J4515" s="464">
        <f>$J$4597</f>
        <v>10</v>
      </c>
      <c r="K4515" s="2996">
        <v>0</v>
      </c>
      <c r="L4515" s="2997"/>
      <c r="M4515" s="657"/>
      <c r="N4515" s="2804"/>
      <c r="O4515" s="2804"/>
      <c r="P4515" s="2804"/>
      <c r="Q4515" s="2804"/>
      <c r="R4515" s="1214"/>
      <c r="S4515" s="156"/>
      <c r="T4515" s="2804"/>
      <c r="U4515" s="2804"/>
      <c r="V4515" s="3414" t="s">
        <v>30</v>
      </c>
      <c r="W4515" s="464"/>
      <c r="X4515" s="464"/>
      <c r="Y4515" s="464"/>
      <c r="Z4515" s="464"/>
      <c r="AA4515" s="464"/>
      <c r="AB4515" s="464"/>
      <c r="AC4515" s="464"/>
      <c r="AD4515" s="99">
        <v>105.12</v>
      </c>
      <c r="AE4515" s="464"/>
      <c r="AF4515" s="464"/>
      <c r="AG4515" s="464"/>
      <c r="AH4515" s="156"/>
      <c r="AI4515" s="156"/>
      <c r="AJ4515" s="156"/>
      <c r="AK4515" s="156"/>
      <c r="AL4515" s="156"/>
      <c r="AM4515" s="156"/>
      <c r="AN4515" s="156"/>
      <c r="AO4515" s="156"/>
      <c r="AP4515" s="156"/>
      <c r="AQ4515" s="156"/>
      <c r="AR4515" s="156"/>
      <c r="AS4515" s="156"/>
      <c r="AT4515" s="156"/>
      <c r="AU4515" s="156"/>
      <c r="AV4515" s="156"/>
      <c r="AW4515" s="156"/>
      <c r="AX4515" s="156"/>
      <c r="AY4515" s="156"/>
      <c r="AZ4515" s="156"/>
      <c r="BA4515" s="156"/>
      <c r="BB4515" s="3313"/>
      <c r="BC4515" s="2742" t="str">
        <f t="shared" si="495"/>
        <v>Cooling Res ER2 10 Year EUL</v>
      </c>
      <c r="BD4515" s="2627">
        <f>(INDEX('Avoided Cost Benefits'!$E$4:$E$859,MATCH(BC4515,'Avoided Cost Benefits'!$A$4:$A$859,0)))*F4515</f>
        <v>104.31514131966506</v>
      </c>
      <c r="BE4515" s="2507">
        <f t="shared" si="496"/>
        <v>0</v>
      </c>
      <c r="BF4515" s="156"/>
    </row>
    <row r="4516" spans="1:58" x14ac:dyDescent="0.35">
      <c r="A4516" s="1071" t="str">
        <f t="shared" si="465"/>
        <v>356650_2022_12_Heating Res ER2</v>
      </c>
      <c r="B4516" s="3395"/>
      <c r="C4516" s="2753" t="s">
        <v>4461</v>
      </c>
      <c r="D4516" s="2998" t="s">
        <v>320</v>
      </c>
      <c r="E4516" s="2744" t="s">
        <v>4519</v>
      </c>
      <c r="F4516" s="618">
        <f>ROUND(((J$4573*J$4574*(1/J$4579-1/J$4582))/1000),2)</f>
        <v>2669.55</v>
      </c>
      <c r="G4516" s="1651" t="s">
        <v>1150</v>
      </c>
      <c r="H4516" s="2720">
        <f>VLOOKUP(G4516,'CP FACTORS'!$A$3:$B$38, 2, FALSE)</f>
        <v>0</v>
      </c>
      <c r="I4516" s="2995">
        <f t="shared" ref="I4516:I4518" si="501">ROUND(F4516*H4516,6)</f>
        <v>0</v>
      </c>
      <c r="J4516" s="464">
        <f>$J$4597</f>
        <v>10</v>
      </c>
      <c r="K4516" s="2996">
        <v>0</v>
      </c>
      <c r="L4516" s="2997"/>
      <c r="M4516" s="657"/>
      <c r="N4516" s="2804"/>
      <c r="O4516" s="2804"/>
      <c r="P4516" s="2804"/>
      <c r="Q4516" s="2804"/>
      <c r="R4516" s="1214"/>
      <c r="S4516" s="156"/>
      <c r="T4516" s="2804"/>
      <c r="U4516" s="2804"/>
      <c r="V4516" s="3414" t="s">
        <v>30</v>
      </c>
      <c r="W4516" s="464"/>
      <c r="X4516" s="464"/>
      <c r="Y4516" s="464"/>
      <c r="Z4516" s="464"/>
      <c r="AA4516" s="464"/>
      <c r="AB4516" s="464"/>
      <c r="AC4516" s="464"/>
      <c r="AD4516" s="99">
        <v>2669.55</v>
      </c>
      <c r="AE4516" s="464"/>
      <c r="AF4516" s="464"/>
      <c r="AG4516" s="464"/>
      <c r="AH4516" s="156"/>
      <c r="AI4516" s="156"/>
      <c r="AJ4516" s="156"/>
      <c r="AK4516" s="156"/>
      <c r="AL4516" s="156"/>
      <c r="AM4516" s="156"/>
      <c r="AN4516" s="156"/>
      <c r="AO4516" s="156"/>
      <c r="AP4516" s="156"/>
      <c r="AQ4516" s="156"/>
      <c r="AR4516" s="156"/>
      <c r="AS4516" s="156"/>
      <c r="AT4516" s="156"/>
      <c r="AU4516" s="156"/>
      <c r="AV4516" s="156"/>
      <c r="AW4516" s="156"/>
      <c r="AX4516" s="156"/>
      <c r="AY4516" s="156"/>
      <c r="AZ4516" s="156"/>
      <c r="BA4516" s="156"/>
      <c r="BB4516" s="3314"/>
      <c r="BC4516" s="2744" t="str">
        <f t="shared" si="495"/>
        <v>Heating Res ER2 10 Year EUL</v>
      </c>
      <c r="BD4516" s="2628">
        <f>(INDEX('Avoided Cost Benefits'!$E$4:$E$859,MATCH(BC4516,'Avoided Cost Benefits'!$A$4:$A$859,0)))*F4516</f>
        <v>660.87471976585505</v>
      </c>
      <c r="BE4516" s="2509">
        <f t="shared" si="496"/>
        <v>0</v>
      </c>
      <c r="BF4516" s="156"/>
    </row>
    <row r="4517" spans="1:58" x14ac:dyDescent="0.35">
      <c r="A4517" s="1071" t="str">
        <f t="shared" si="465"/>
        <v>356675_2022_12_Cooling Res</v>
      </c>
      <c r="B4517" s="3395"/>
      <c r="C4517" s="2753" t="s">
        <v>4462</v>
      </c>
      <c r="D4517" s="2998" t="s">
        <v>315</v>
      </c>
      <c r="E4517" s="2738" t="s">
        <v>4520</v>
      </c>
      <c r="F4517" s="618">
        <f>ROUND(((J$4584*J$4586*(1/J$4588-1/J$4592))/1000),2)</f>
        <v>412.02</v>
      </c>
      <c r="G4517" s="1651" t="s">
        <v>1091</v>
      </c>
      <c r="H4517" s="2720">
        <f>VLOOKUP(G4517,'CP FACTORS'!$A$3:$B$38, 2, FALSE)</f>
        <v>9.4741810000000004E-4</v>
      </c>
      <c r="I4517" s="2995">
        <f t="shared" si="501"/>
        <v>0.39035500000000001</v>
      </c>
      <c r="J4517" s="3010">
        <f>$J$4596</f>
        <v>5</v>
      </c>
      <c r="K4517" s="3011">
        <f>J$4598</f>
        <v>224.93182686576984</v>
      </c>
      <c r="L4517" s="2997">
        <f>K$4573</f>
        <v>1.0111111111111111</v>
      </c>
      <c r="M4517" s="657"/>
      <c r="N4517" s="106"/>
      <c r="O4517" s="106"/>
      <c r="P4517" s="106"/>
      <c r="Q4517" s="106"/>
      <c r="R4517" s="1214"/>
      <c r="S4517" s="156"/>
      <c r="T4517" s="106"/>
      <c r="U4517" s="106"/>
      <c r="V4517" s="3415" t="s">
        <v>30</v>
      </c>
      <c r="W4517" s="3010"/>
      <c r="X4517" s="3010"/>
      <c r="Y4517" s="3010"/>
      <c r="Z4517" s="3010"/>
      <c r="AA4517" s="3010"/>
      <c r="AB4517" s="3010"/>
      <c r="AC4517" s="3010"/>
      <c r="AD4517" s="3551">
        <v>412.02</v>
      </c>
      <c r="AE4517" s="3010"/>
      <c r="AF4517" s="3010"/>
      <c r="AG4517" s="3010"/>
      <c r="AH4517" s="156"/>
      <c r="AI4517" s="156"/>
      <c r="AJ4517" s="156"/>
      <c r="AK4517" s="156"/>
      <c r="AL4517" s="156"/>
      <c r="AM4517" s="156"/>
      <c r="AN4517" s="156"/>
      <c r="AO4517" s="156"/>
      <c r="AP4517" s="156"/>
      <c r="AQ4517" s="156"/>
      <c r="AR4517" s="156"/>
      <c r="AS4517" s="156"/>
      <c r="AT4517" s="156"/>
      <c r="AU4517" s="156"/>
      <c r="AV4517" s="156"/>
      <c r="AW4517" s="156"/>
      <c r="AX4517" s="156"/>
      <c r="AY4517" s="156"/>
      <c r="AZ4517" s="156"/>
      <c r="BA4517" s="156"/>
      <c r="BB4517" s="3312">
        <f>(BD4517+BD4518+BD4519+BD4520)/(BE4517+BE4518+BE4519+BE4520)</f>
        <v>3.0185606351731304</v>
      </c>
      <c r="BC4517" s="2738" t="str">
        <f t="shared" si="495"/>
        <v>Cooling Res 5 Year EUL</v>
      </c>
      <c r="BD4517" s="3315">
        <f>(INDEX('Avoided Cost Benefits'!$E$4:$E$859,MATCH(BC4517,'Avoided Cost Benefits'!$A$4:$A$859,0)))*F4517</f>
        <v>214.98293619198887</v>
      </c>
      <c r="BE4517" s="3270">
        <f t="shared" si="496"/>
        <v>212.29997816495498</v>
      </c>
      <c r="BF4517" s="156"/>
    </row>
    <row r="4518" spans="1:58" x14ac:dyDescent="0.35">
      <c r="A4518" s="1071" t="str">
        <f t="shared" si="465"/>
        <v>356675_2022_12_Heating Res</v>
      </c>
      <c r="B4518" s="3395"/>
      <c r="C4518" s="2753" t="s">
        <v>4462</v>
      </c>
      <c r="D4518" s="2998" t="s">
        <v>315</v>
      </c>
      <c r="E4518" s="2742" t="s">
        <v>4520</v>
      </c>
      <c r="F4518" s="618">
        <f>ROUND(((J$4573*J$4575*(1/J$4578-1/J$4582))/1000),2)</f>
        <v>911.24</v>
      </c>
      <c r="G4518" s="1651" t="s">
        <v>1092</v>
      </c>
      <c r="H4518" s="2720">
        <f>VLOOKUP(G4518,'CP FACTORS'!$A$3:$B$38, 2, FALSE)</f>
        <v>0</v>
      </c>
      <c r="I4518" s="2995">
        <f t="shared" si="501"/>
        <v>0</v>
      </c>
      <c r="J4518" s="464">
        <f>$J$4596</f>
        <v>5</v>
      </c>
      <c r="K4518" s="2996">
        <v>0</v>
      </c>
      <c r="L4518" s="2997"/>
      <c r="M4518" s="657"/>
      <c r="N4518" s="106"/>
      <c r="O4518" s="106"/>
      <c r="P4518" s="106"/>
      <c r="Q4518" s="106"/>
      <c r="R4518" s="1214"/>
      <c r="S4518" s="156"/>
      <c r="T4518" s="106"/>
      <c r="U4518" s="106"/>
      <c r="V4518" s="3414" t="s">
        <v>30</v>
      </c>
      <c r="W4518" s="464"/>
      <c r="X4518" s="464"/>
      <c r="Y4518" s="464"/>
      <c r="Z4518" s="464"/>
      <c r="AA4518" s="464"/>
      <c r="AB4518" s="464"/>
      <c r="AC4518" s="464"/>
      <c r="AD4518" s="99">
        <v>911.24</v>
      </c>
      <c r="AE4518" s="464"/>
      <c r="AF4518" s="464"/>
      <c r="AG4518" s="464"/>
      <c r="AH4518" s="156"/>
      <c r="AI4518" s="156"/>
      <c r="AJ4518" s="156"/>
      <c r="AK4518" s="156"/>
      <c r="AL4518" s="156"/>
      <c r="AM4518" s="156"/>
      <c r="AN4518" s="156"/>
      <c r="AO4518" s="156"/>
      <c r="AP4518" s="156"/>
      <c r="AQ4518" s="156"/>
      <c r="AR4518" s="156"/>
      <c r="AS4518" s="156"/>
      <c r="AT4518" s="156"/>
      <c r="AU4518" s="156"/>
      <c r="AV4518" s="156"/>
      <c r="AW4518" s="156"/>
      <c r="AX4518" s="156"/>
      <c r="AY4518" s="156"/>
      <c r="AZ4518" s="156"/>
      <c r="BA4518" s="156"/>
      <c r="BB4518" s="3313"/>
      <c r="BC4518" s="2742" t="str">
        <f t="shared" si="495"/>
        <v>Heating Res 5 Year EUL</v>
      </c>
      <c r="BD4518" s="2627">
        <f>(INDEX('Avoided Cost Benefits'!$E$4:$E$859,MATCH(BC4518,'Avoided Cost Benefits'!$A$4:$A$859,0)))*F4518</f>
        <v>124.3562593393636</v>
      </c>
      <c r="BE4518" s="2507">
        <f t="shared" si="496"/>
        <v>0</v>
      </c>
      <c r="BF4518" s="156"/>
    </row>
    <row r="4519" spans="1:58" x14ac:dyDescent="0.35">
      <c r="A4519" s="1071" t="str">
        <f t="shared" si="465"/>
        <v>356675_2022_12_Cooling Res ER2</v>
      </c>
      <c r="B4519" s="3395"/>
      <c r="C4519" s="2753" t="s">
        <v>4462</v>
      </c>
      <c r="D4519" s="2998" t="s">
        <v>315</v>
      </c>
      <c r="E4519" s="2742" t="s">
        <v>4521</v>
      </c>
      <c r="F4519" s="618">
        <f>ROUND(((J$4584*J$4586*(1/J$4589-1/J$4592))/1000),2)</f>
        <v>76.5</v>
      </c>
      <c r="G4519" s="1651" t="s">
        <v>1133</v>
      </c>
      <c r="H4519" s="2720">
        <f>VLOOKUP(G4519,'CP FACTORS'!$A$3:$B$38, 2, FALSE)</f>
        <v>9.4741810000000004E-4</v>
      </c>
      <c r="I4519" s="3009">
        <f>ROUND(F4519*H4519,6)</f>
        <v>7.2477E-2</v>
      </c>
      <c r="J4519" s="464">
        <f>$J$4597</f>
        <v>10</v>
      </c>
      <c r="K4519" s="2996">
        <v>0</v>
      </c>
      <c r="L4519" s="2997"/>
      <c r="M4519" s="657"/>
      <c r="N4519" s="2804"/>
      <c r="O4519" s="2804"/>
      <c r="P4519" s="2804"/>
      <c r="Q4519" s="2804"/>
      <c r="R4519" s="1214"/>
      <c r="S4519" s="156"/>
      <c r="T4519" s="2804"/>
      <c r="U4519" s="2804"/>
      <c r="V4519" s="3414" t="s">
        <v>30</v>
      </c>
      <c r="W4519" s="464"/>
      <c r="X4519" s="464"/>
      <c r="Y4519" s="464"/>
      <c r="Z4519" s="464"/>
      <c r="AA4519" s="464"/>
      <c r="AB4519" s="464"/>
      <c r="AC4519" s="464"/>
      <c r="AD4519" s="99">
        <v>76.5</v>
      </c>
      <c r="AE4519" s="464"/>
      <c r="AF4519" s="464"/>
      <c r="AG4519" s="464"/>
      <c r="AH4519" s="156"/>
      <c r="AI4519" s="156"/>
      <c r="AJ4519" s="156"/>
      <c r="AK4519" s="156"/>
      <c r="AL4519" s="156"/>
      <c r="AM4519" s="156"/>
      <c r="AN4519" s="156"/>
      <c r="AO4519" s="156"/>
      <c r="AP4519" s="156"/>
      <c r="AQ4519" s="156"/>
      <c r="AR4519" s="156"/>
      <c r="AS4519" s="156"/>
      <c r="AT4519" s="156"/>
      <c r="AU4519" s="156"/>
      <c r="AV4519" s="156"/>
      <c r="AW4519" s="156"/>
      <c r="AX4519" s="156"/>
      <c r="AY4519" s="156"/>
      <c r="AZ4519" s="156"/>
      <c r="BA4519" s="156"/>
      <c r="BB4519" s="3313"/>
      <c r="BC4519" s="2742" t="str">
        <f t="shared" si="495"/>
        <v>Cooling Res ER2 10 Year EUL</v>
      </c>
      <c r="BD4519" s="2627">
        <f>(INDEX('Avoided Cost Benefits'!$E$4:$E$859,MATCH(BC4519,'Avoided Cost Benefits'!$A$4:$A$859,0)))*F4519</f>
        <v>75.914272364482272</v>
      </c>
      <c r="BE4519" s="2507">
        <f t="shared" si="496"/>
        <v>0</v>
      </c>
      <c r="BF4519" s="156"/>
    </row>
    <row r="4520" spans="1:58" x14ac:dyDescent="0.35">
      <c r="A4520" s="1071" t="str">
        <f t="shared" si="465"/>
        <v>356675_2022_12_Heating Res ER2</v>
      </c>
      <c r="B4520" s="3395"/>
      <c r="C4520" s="2753" t="s">
        <v>4462</v>
      </c>
      <c r="D4520" s="2998" t="s">
        <v>315</v>
      </c>
      <c r="E4520" s="2744" t="s">
        <v>4521</v>
      </c>
      <c r="F4520" s="618">
        <f>ROUND(((J$4573*J$4575*(1/J$4579-1/J$4582))/1000),2)</f>
        <v>911.24</v>
      </c>
      <c r="G4520" s="1651" t="s">
        <v>1150</v>
      </c>
      <c r="H4520" s="2720">
        <f>VLOOKUP(G4520,'CP FACTORS'!$A$3:$B$38, 2, FALSE)</f>
        <v>0</v>
      </c>
      <c r="I4520" s="2995">
        <f t="shared" ref="I4520:I4524" si="502">ROUND(F4520*H4520,6)</f>
        <v>0</v>
      </c>
      <c r="J4520" s="464">
        <f>$J$4597</f>
        <v>10</v>
      </c>
      <c r="K4520" s="2996">
        <v>0</v>
      </c>
      <c r="L4520" s="2997"/>
      <c r="M4520" s="657"/>
      <c r="N4520" s="2804"/>
      <c r="O4520" s="2804"/>
      <c r="P4520" s="2804"/>
      <c r="Q4520" s="2804"/>
      <c r="R4520" s="1214"/>
      <c r="S4520" s="156"/>
      <c r="T4520" s="2804"/>
      <c r="U4520" s="2804"/>
      <c r="V4520" s="3414" t="s">
        <v>30</v>
      </c>
      <c r="W4520" s="464"/>
      <c r="X4520" s="464"/>
      <c r="Y4520" s="464"/>
      <c r="Z4520" s="464"/>
      <c r="AA4520" s="464"/>
      <c r="AB4520" s="464"/>
      <c r="AC4520" s="464"/>
      <c r="AD4520" s="99">
        <v>911.24</v>
      </c>
      <c r="AE4520" s="464"/>
      <c r="AF4520" s="464"/>
      <c r="AG4520" s="464"/>
      <c r="AH4520" s="156"/>
      <c r="AI4520" s="156"/>
      <c r="AJ4520" s="156"/>
      <c r="AK4520" s="156"/>
      <c r="AL4520" s="156"/>
      <c r="AM4520" s="156"/>
      <c r="AN4520" s="156"/>
      <c r="AO4520" s="156"/>
      <c r="AP4520" s="156"/>
      <c r="AQ4520" s="156"/>
      <c r="AR4520" s="156"/>
      <c r="AS4520" s="156"/>
      <c r="AT4520" s="156"/>
      <c r="AU4520" s="156"/>
      <c r="AV4520" s="156"/>
      <c r="AW4520" s="156"/>
      <c r="AX4520" s="156"/>
      <c r="AY4520" s="156"/>
      <c r="AZ4520" s="156"/>
      <c r="BA4520" s="156"/>
      <c r="BB4520" s="3314"/>
      <c r="BC4520" s="2744" t="str">
        <f t="shared" si="495"/>
        <v>Heating Res ER2 10 Year EUL</v>
      </c>
      <c r="BD4520" s="2628">
        <f>(INDEX('Avoided Cost Benefits'!$E$4:$E$859,MATCH(BC4520,'Avoided Cost Benefits'!$A$4:$A$859,0)))*F4520</f>
        <v>225.58688904101356</v>
      </c>
      <c r="BE4520" s="2509">
        <f t="shared" si="496"/>
        <v>0</v>
      </c>
      <c r="BF4520" s="156"/>
    </row>
    <row r="4521" spans="1:58" s="3423" customFormat="1" x14ac:dyDescent="0.35">
      <c r="A4521" s="1071" t="str">
        <f t="shared" ref="A4521:A4552" si="503">C4521&amp;G4521</f>
        <v>356700_2022_12_Cooling Res</v>
      </c>
      <c r="C4521" s="2753" t="s">
        <v>4463</v>
      </c>
      <c r="D4521" s="2998" t="s">
        <v>320</v>
      </c>
      <c r="E4521" s="2738" t="s">
        <v>4571</v>
      </c>
      <c r="F4521" s="618">
        <f>ROUND(((J$4584*J$4585*(1/J$4589-1/J$4592))/1000),2)</f>
        <v>105.12</v>
      </c>
      <c r="G4521" s="1651" t="s">
        <v>1091</v>
      </c>
      <c r="H4521" s="2720">
        <f>VLOOKUP(G4521,'CP FACTORS'!$A$3:$B$38, 2, FALSE)</f>
        <v>9.4741810000000004E-4</v>
      </c>
      <c r="I4521" s="2995">
        <f t="shared" si="502"/>
        <v>9.9593000000000001E-2</v>
      </c>
      <c r="J4521" s="464">
        <f t="shared" ref="J4521:J4524" si="504">$J$4595</f>
        <v>15</v>
      </c>
      <c r="K4521" s="2996">
        <f t="shared" ref="K4521" si="505">J$4599</f>
        <v>84.93</v>
      </c>
      <c r="L4521" s="2997">
        <f>K$4573</f>
        <v>1.0111111111111111</v>
      </c>
      <c r="M4521" s="657"/>
      <c r="R4521" s="1214"/>
      <c r="S4521" s="156"/>
      <c r="V4521" s="3414" t="s">
        <v>30</v>
      </c>
      <c r="W4521" s="464"/>
      <c r="X4521" s="464"/>
      <c r="Y4521" s="464"/>
      <c r="Z4521" s="464"/>
      <c r="AA4521" s="464"/>
      <c r="AB4521" s="464"/>
      <c r="AC4521" s="464"/>
      <c r="AD4521" s="99">
        <v>105.12</v>
      </c>
      <c r="AE4521" s="464"/>
      <c r="AF4521" s="464"/>
      <c r="AG4521" s="464"/>
      <c r="AH4521" s="156"/>
      <c r="AI4521" s="156"/>
      <c r="AJ4521" s="156"/>
      <c r="AK4521" s="156"/>
      <c r="AL4521" s="156"/>
      <c r="AM4521" s="156"/>
      <c r="AN4521" s="156"/>
      <c r="AO4521" s="156"/>
      <c r="AP4521" s="156"/>
      <c r="AQ4521" s="156"/>
      <c r="AR4521" s="156"/>
      <c r="AS4521" s="156"/>
      <c r="AT4521" s="156"/>
      <c r="AU4521" s="156"/>
      <c r="AV4521" s="156"/>
      <c r="AW4521" s="156"/>
      <c r="AX4521" s="156"/>
      <c r="AY4521" s="156"/>
      <c r="AZ4521" s="156"/>
      <c r="BA4521" s="156"/>
      <c r="BB4521" s="3312">
        <f>(BD4521+BD4522)/(BE4521+BE4522)</f>
        <v>2.8040267603790601</v>
      </c>
      <c r="BC4521" s="2738" t="str">
        <f t="shared" si="495"/>
        <v>Cooling Res 15 Year EUL</v>
      </c>
      <c r="BD4521" s="3315">
        <f>(INDEX('Avoided Cost Benefits'!$E$4:$E$859,MATCH(BC4521,'Avoided Cost Benefits'!$A$4:$A$859,0)))*F4521</f>
        <v>159.16443565616945</v>
      </c>
      <c r="BE4521" s="3270">
        <f t="shared" si="496"/>
        <v>80.160453043888623</v>
      </c>
      <c r="BF4521" s="156"/>
    </row>
    <row r="4522" spans="1:58" s="3423" customFormat="1" x14ac:dyDescent="0.35">
      <c r="A4522" s="1071" t="str">
        <f t="shared" si="503"/>
        <v>356700_2022_12_Heating Res</v>
      </c>
      <c r="C4522" s="2753" t="s">
        <v>4463</v>
      </c>
      <c r="D4522" s="2998" t="s">
        <v>320</v>
      </c>
      <c r="E4522" s="2744" t="s">
        <v>4571</v>
      </c>
      <c r="F4522" s="618">
        <f>ROUND(((J$4573*J$4574*(1/J$4577-1/J$4582))/1000),2)</f>
        <v>170.84</v>
      </c>
      <c r="G4522" s="1651" t="s">
        <v>1092</v>
      </c>
      <c r="H4522" s="2720">
        <f>VLOOKUP(G4522,'CP FACTORS'!$A$3:$B$38, 2, FALSE)</f>
        <v>0</v>
      </c>
      <c r="I4522" s="2995">
        <f t="shared" si="502"/>
        <v>0</v>
      </c>
      <c r="J4522" s="464">
        <f t="shared" si="504"/>
        <v>15</v>
      </c>
      <c r="K4522" s="2996">
        <v>0</v>
      </c>
      <c r="L4522" s="2997"/>
      <c r="M4522" s="657"/>
      <c r="R4522" s="1214"/>
      <c r="S4522" s="156"/>
      <c r="V4522" s="3414" t="s">
        <v>30</v>
      </c>
      <c r="W4522" s="464"/>
      <c r="X4522" s="464"/>
      <c r="Y4522" s="464"/>
      <c r="Z4522" s="464"/>
      <c r="AA4522" s="464"/>
      <c r="AB4522" s="464"/>
      <c r="AC4522" s="464"/>
      <c r="AD4522" s="99">
        <v>170.84</v>
      </c>
      <c r="AE4522" s="464"/>
      <c r="AF4522" s="464"/>
      <c r="AG4522" s="464"/>
      <c r="AH4522" s="156"/>
      <c r="AI4522" s="156"/>
      <c r="AJ4522" s="156"/>
      <c r="AK4522" s="156"/>
      <c r="AL4522" s="156"/>
      <c r="AM4522" s="156"/>
      <c r="AN4522" s="156"/>
      <c r="AO4522" s="156"/>
      <c r="AP4522" s="156"/>
      <c r="AQ4522" s="156"/>
      <c r="AR4522" s="156"/>
      <c r="AS4522" s="156"/>
      <c r="AT4522" s="156"/>
      <c r="AU4522" s="156"/>
      <c r="AV4522" s="156"/>
      <c r="AW4522" s="156"/>
      <c r="AX4522" s="156"/>
      <c r="AY4522" s="156"/>
      <c r="AZ4522" s="156"/>
      <c r="BA4522" s="156"/>
      <c r="BB4522" s="3314"/>
      <c r="BC4522" s="2744" t="str">
        <f t="shared" si="495"/>
        <v>Heating Res 15 Year EUL</v>
      </c>
      <c r="BD4522" s="2628">
        <f>(INDEX('Avoided Cost Benefits'!$E$4:$E$859,MATCH(BC4522,'Avoided Cost Benefits'!$A$4:$A$859,0)))*F4522</f>
        <v>65.607619803003331</v>
      </c>
      <c r="BE4522" s="2509">
        <f t="shared" si="496"/>
        <v>0</v>
      </c>
      <c r="BF4522" s="156"/>
    </row>
    <row r="4523" spans="1:58" s="3423" customFormat="1" x14ac:dyDescent="0.35">
      <c r="A4523" s="1071" t="str">
        <f t="shared" si="503"/>
        <v>356725_2022_12_Cooling Res</v>
      </c>
      <c r="C4523" s="3528" t="s">
        <v>4565</v>
      </c>
      <c r="D4523" s="3623" t="s">
        <v>315</v>
      </c>
      <c r="E4523" s="2742" t="s">
        <v>4572</v>
      </c>
      <c r="F4523" s="3007">
        <f>ROUND(((J$4584*J$4586*(1/J$4589-1/J$4592))/1000),2)</f>
        <v>76.5</v>
      </c>
      <c r="G4523" s="3008" t="s">
        <v>1091</v>
      </c>
      <c r="H4523" s="3412">
        <f>VLOOKUP(G4523,'CP FACTORS'!$A$3:$B$38, 2, FALSE)</f>
        <v>9.4741810000000004E-4</v>
      </c>
      <c r="I4523" s="3009">
        <f t="shared" si="502"/>
        <v>7.2477E-2</v>
      </c>
      <c r="J4523" s="3010">
        <f t="shared" si="504"/>
        <v>15</v>
      </c>
      <c r="K4523" s="3011">
        <f t="shared" ref="K4523" si="506">J$4599</f>
        <v>84.93</v>
      </c>
      <c r="L4523" s="2997">
        <f>K$4573</f>
        <v>1.0111111111111111</v>
      </c>
      <c r="M4523" s="657"/>
      <c r="R4523" s="1214"/>
      <c r="S4523" s="156"/>
      <c r="V4523" s="3414" t="s">
        <v>30</v>
      </c>
      <c r="W4523" s="464"/>
      <c r="X4523" s="464"/>
      <c r="Y4523" s="464"/>
      <c r="Z4523" s="464"/>
      <c r="AA4523" s="464"/>
      <c r="AB4523" s="464"/>
      <c r="AC4523" s="464"/>
      <c r="AD4523" s="99">
        <v>76.5</v>
      </c>
      <c r="AE4523" s="464"/>
      <c r="AF4523" s="464"/>
      <c r="AG4523" s="464"/>
      <c r="AH4523" s="156"/>
      <c r="AI4523" s="156"/>
      <c r="AJ4523" s="156"/>
      <c r="AK4523" s="156"/>
      <c r="AL4523" s="156"/>
      <c r="AM4523" s="156"/>
      <c r="AN4523" s="156"/>
      <c r="AO4523" s="156"/>
      <c r="AP4523" s="156"/>
      <c r="AQ4523" s="156"/>
      <c r="AR4523" s="156"/>
      <c r="AS4523" s="156"/>
      <c r="AT4523" s="156"/>
      <c r="AU4523" s="156"/>
      <c r="AV4523" s="156"/>
      <c r="AW4523" s="156"/>
      <c r="AX4523" s="156"/>
      <c r="AY4523" s="156"/>
      <c r="AZ4523" s="156"/>
      <c r="BA4523" s="156"/>
      <c r="BB4523" s="3312">
        <f>(BD4523+BD4524)/(BE4523+BE4524)</f>
        <v>1.7243776054676119</v>
      </c>
      <c r="BC4523" s="2738" t="str">
        <f t="shared" si="495"/>
        <v>Cooling Res 15 Year EUL</v>
      </c>
      <c r="BD4523" s="3315">
        <f>(INDEX('Avoided Cost Benefits'!$E$4:$E$859,MATCH(BC4523,'Avoided Cost Benefits'!$A$4:$A$859,0)))*F4523</f>
        <v>115.83028279772604</v>
      </c>
      <c r="BE4523" s="3270">
        <f t="shared" si="496"/>
        <v>80.160453043888623</v>
      </c>
      <c r="BF4523" s="156"/>
    </row>
    <row r="4524" spans="1:58" s="3423" customFormat="1" x14ac:dyDescent="0.35">
      <c r="A4524" s="1071" t="str">
        <f t="shared" si="503"/>
        <v>356725_2022_12_Heating Res</v>
      </c>
      <c r="C4524" s="2753" t="s">
        <v>4565</v>
      </c>
      <c r="D4524" s="2998" t="s">
        <v>315</v>
      </c>
      <c r="E4524" s="2742" t="s">
        <v>4572</v>
      </c>
      <c r="F4524" s="618">
        <f>ROUND(((J$4573*J$4575*(1/J$4577-1/J$4582))/1000),2)</f>
        <v>58.32</v>
      </c>
      <c r="G4524" s="1651" t="s">
        <v>1092</v>
      </c>
      <c r="H4524" s="2720">
        <f>VLOOKUP(G4524,'CP FACTORS'!$A$3:$B$38, 2, FALSE)</f>
        <v>0</v>
      </c>
      <c r="I4524" s="2995">
        <f t="shared" si="502"/>
        <v>0</v>
      </c>
      <c r="J4524" s="464">
        <f t="shared" si="504"/>
        <v>15</v>
      </c>
      <c r="K4524" s="2996">
        <v>0</v>
      </c>
      <c r="L4524" s="2997"/>
      <c r="M4524" s="657"/>
      <c r="R4524" s="1214"/>
      <c r="S4524" s="156"/>
      <c r="V4524" s="3414" t="s">
        <v>30</v>
      </c>
      <c r="W4524" s="464"/>
      <c r="X4524" s="464"/>
      <c r="Y4524" s="464"/>
      <c r="Z4524" s="464"/>
      <c r="AA4524" s="464"/>
      <c r="AB4524" s="464"/>
      <c r="AC4524" s="464"/>
      <c r="AD4524" s="99">
        <v>58.32</v>
      </c>
      <c r="AE4524" s="464"/>
      <c r="AF4524" s="464"/>
      <c r="AG4524" s="464"/>
      <c r="AH4524" s="156"/>
      <c r="AI4524" s="156"/>
      <c r="AJ4524" s="156"/>
      <c r="AK4524" s="156"/>
      <c r="AL4524" s="156"/>
      <c r="AM4524" s="156"/>
      <c r="AN4524" s="156"/>
      <c r="AO4524" s="156"/>
      <c r="AP4524" s="156"/>
      <c r="AQ4524" s="156"/>
      <c r="AR4524" s="156"/>
      <c r="AS4524" s="156"/>
      <c r="AT4524" s="156"/>
      <c r="AU4524" s="156"/>
      <c r="AV4524" s="156"/>
      <c r="AW4524" s="156"/>
      <c r="AX4524" s="156"/>
      <c r="AY4524" s="156"/>
      <c r="AZ4524" s="156"/>
      <c r="BA4524" s="156"/>
      <c r="BB4524" s="3314"/>
      <c r="BC4524" s="2744" t="str">
        <f t="shared" si="495"/>
        <v>Heating Res 15 Year EUL</v>
      </c>
      <c r="BD4524" s="2628">
        <f>(INDEX('Avoided Cost Benefits'!$E$4:$E$859,MATCH(BC4524,'Avoided Cost Benefits'!$A$4:$A$859,0)))*F4524</f>
        <v>22.396607275293572</v>
      </c>
      <c r="BE4524" s="2509">
        <f t="shared" si="496"/>
        <v>0</v>
      </c>
      <c r="BF4524" s="156"/>
    </row>
    <row r="4525" spans="1:58" x14ac:dyDescent="0.35">
      <c r="A4525" s="1071" t="str">
        <f t="shared" si="503"/>
        <v>356750_2022_12_Cooling Res</v>
      </c>
      <c r="B4525" s="3395"/>
      <c r="C4525" s="2753" t="s">
        <v>4566</v>
      </c>
      <c r="D4525" s="2736" t="s">
        <v>320</v>
      </c>
      <c r="E4525" s="2738" t="s">
        <v>4522</v>
      </c>
      <c r="F4525" s="618">
        <f>ROUND(((J$4584*J$4585*(1/J$4589-1/J$4592))/1000),2)</f>
        <v>105.12</v>
      </c>
      <c r="G4525" s="1651" t="s">
        <v>1091</v>
      </c>
      <c r="H4525" s="2720">
        <f>VLOOKUP(G4525,'CP FACTORS'!$A$3:$B$38, 2, FALSE)</f>
        <v>9.4741810000000004E-4</v>
      </c>
      <c r="I4525" s="2995">
        <f t="shared" si="481"/>
        <v>9.9593000000000001E-2</v>
      </c>
      <c r="J4525" s="464">
        <f>$J$4595</f>
        <v>15</v>
      </c>
      <c r="K4525" s="2996">
        <f>J$4599</f>
        <v>84.93</v>
      </c>
      <c r="L4525" s="2997">
        <f>K$4573</f>
        <v>1.0111111111111111</v>
      </c>
      <c r="M4525" s="657"/>
      <c r="N4525" s="106"/>
      <c r="O4525" s="106"/>
      <c r="P4525" s="106"/>
      <c r="Q4525" s="106"/>
      <c r="R4525" s="1214"/>
      <c r="S4525" s="156"/>
      <c r="T4525" s="106"/>
      <c r="U4525" s="106"/>
      <c r="V4525" s="3414" t="s">
        <v>30</v>
      </c>
      <c r="W4525" s="464"/>
      <c r="X4525" s="464"/>
      <c r="Y4525" s="464"/>
      <c r="Z4525" s="464"/>
      <c r="AA4525" s="464"/>
      <c r="AB4525" s="464"/>
      <c r="AC4525" s="464"/>
      <c r="AD4525" s="99">
        <v>105.12</v>
      </c>
      <c r="AE4525" s="464"/>
      <c r="AF4525" s="464"/>
      <c r="AG4525" s="464"/>
      <c r="AH4525" s="156"/>
      <c r="AI4525" s="156"/>
      <c r="AJ4525" s="156"/>
      <c r="AK4525" s="156"/>
      <c r="AL4525" s="156"/>
      <c r="AM4525" s="156"/>
      <c r="AN4525" s="156"/>
      <c r="AO4525" s="156"/>
      <c r="AP4525" s="156"/>
      <c r="AQ4525" s="156"/>
      <c r="AR4525" s="156"/>
      <c r="AS4525" s="156"/>
      <c r="AT4525" s="156"/>
      <c r="AU4525" s="156"/>
      <c r="AV4525" s="156"/>
      <c r="AW4525" s="156"/>
      <c r="AX4525" s="156"/>
      <c r="AY4525" s="156"/>
      <c r="AZ4525" s="156"/>
      <c r="BA4525" s="156"/>
      <c r="BB4525" s="3312">
        <f>(BD4525+BD4526)/(BE4525+BE4526)</f>
        <v>14.774750581969187</v>
      </c>
      <c r="BC4525" s="2738" t="str">
        <f t="shared" si="495"/>
        <v>Cooling Res 15 Year EUL</v>
      </c>
      <c r="BD4525" s="3315">
        <f>(INDEX('Avoided Cost Benefits'!$E$4:$E$859,MATCH(BC4525,'Avoided Cost Benefits'!$A$4:$A$859,0)))*F4525</f>
        <v>159.16443565616945</v>
      </c>
      <c r="BE4525" s="3270">
        <f t="shared" si="496"/>
        <v>80.160453043888623</v>
      </c>
      <c r="BF4525" s="156"/>
    </row>
    <row r="4526" spans="1:58" x14ac:dyDescent="0.35">
      <c r="A4526" s="1071" t="str">
        <f t="shared" si="503"/>
        <v>356750_2022_12_Heating Res</v>
      </c>
      <c r="B4526" s="3395"/>
      <c r="C4526" s="2753" t="s">
        <v>4566</v>
      </c>
      <c r="D4526" s="2998" t="s">
        <v>320</v>
      </c>
      <c r="E4526" s="2744" t="s">
        <v>4522</v>
      </c>
      <c r="F4526" s="618">
        <f>ROUND(((J$4573*J$4574*(1/J$4579-1/J$4582))/1000),2)</f>
        <v>2669.55</v>
      </c>
      <c r="G4526" s="1651" t="s">
        <v>1092</v>
      </c>
      <c r="H4526" s="2720">
        <f>VLOOKUP(G4526,'CP FACTORS'!$A$3:$B$38, 2, FALSE)</f>
        <v>0</v>
      </c>
      <c r="I4526" s="2995">
        <f t="shared" si="481"/>
        <v>0</v>
      </c>
      <c r="J4526" s="464">
        <f>$J$4595</f>
        <v>15</v>
      </c>
      <c r="K4526" s="2996">
        <v>0</v>
      </c>
      <c r="L4526" s="2997"/>
      <c r="M4526" s="657"/>
      <c r="N4526" s="106"/>
      <c r="O4526" s="106"/>
      <c r="P4526" s="106"/>
      <c r="Q4526" s="106"/>
      <c r="R4526" s="1214"/>
      <c r="S4526" s="156"/>
      <c r="T4526" s="106"/>
      <c r="U4526" s="106"/>
      <c r="V4526" s="3414" t="s">
        <v>30</v>
      </c>
      <c r="W4526" s="464"/>
      <c r="X4526" s="464"/>
      <c r="Y4526" s="464"/>
      <c r="Z4526" s="464"/>
      <c r="AA4526" s="464"/>
      <c r="AB4526" s="464"/>
      <c r="AC4526" s="464"/>
      <c r="AD4526" s="99">
        <v>2669.55</v>
      </c>
      <c r="AE4526" s="464"/>
      <c r="AF4526" s="464"/>
      <c r="AG4526" s="464"/>
      <c r="AH4526" s="156"/>
      <c r="AI4526" s="156"/>
      <c r="AJ4526" s="156"/>
      <c r="AK4526" s="156"/>
      <c r="AL4526" s="156"/>
      <c r="AM4526" s="156"/>
      <c r="AN4526" s="156"/>
      <c r="AO4526" s="156"/>
      <c r="AP4526" s="156"/>
      <c r="AQ4526" s="156"/>
      <c r="AR4526" s="156"/>
      <c r="AS4526" s="156"/>
      <c r="AT4526" s="156"/>
      <c r="AU4526" s="156"/>
      <c r="AV4526" s="156"/>
      <c r="AW4526" s="156"/>
      <c r="AX4526" s="156"/>
      <c r="AY4526" s="156"/>
      <c r="AZ4526" s="156"/>
      <c r="BA4526" s="156"/>
      <c r="BB4526" s="3314"/>
      <c r="BC4526" s="2744" t="str">
        <f t="shared" si="495"/>
        <v>Heating Res 15 Year EUL</v>
      </c>
      <c r="BD4526" s="2628">
        <f>(INDEX('Avoided Cost Benefits'!$E$4:$E$859,MATCH(BC4526,'Avoided Cost Benefits'!$A$4:$A$859,0)))*F4526</f>
        <v>1025.1862646049376</v>
      </c>
      <c r="BE4526" s="2509">
        <f t="shared" si="496"/>
        <v>0</v>
      </c>
      <c r="BF4526" s="156"/>
    </row>
    <row r="4527" spans="1:58" s="3423" customFormat="1" x14ac:dyDescent="0.35">
      <c r="A4527" s="1071" t="str">
        <f t="shared" si="503"/>
        <v>356775_2022_12_Cooling Res</v>
      </c>
      <c r="C4527" s="3528" t="s">
        <v>4567</v>
      </c>
      <c r="D4527" s="3411" t="s">
        <v>315</v>
      </c>
      <c r="E4527" s="2742" t="s">
        <v>4573</v>
      </c>
      <c r="F4527" s="3007">
        <f>ROUND(((J$4584*J$4586*(1/J$4589-1/J$4592))/1000),2)</f>
        <v>76.5</v>
      </c>
      <c r="G4527" s="3008" t="s">
        <v>1091</v>
      </c>
      <c r="H4527" s="3412">
        <f>VLOOKUP(G4527,'CP FACTORS'!$A$3:$B$38, 2, FALSE)</f>
        <v>9.4741810000000004E-4</v>
      </c>
      <c r="I4527" s="3009">
        <f t="shared" ref="I4527:I4528" si="507">ROUND(F4527*H4527,6)</f>
        <v>7.2477E-2</v>
      </c>
      <c r="J4527" s="3010">
        <f>$J$4595</f>
        <v>15</v>
      </c>
      <c r="K4527" s="3011">
        <f>J$4599</f>
        <v>84.93</v>
      </c>
      <c r="L4527" s="2997">
        <f>K$4573</f>
        <v>1.0111111111111111</v>
      </c>
      <c r="M4527" s="657"/>
      <c r="R4527" s="1214"/>
      <c r="S4527" s="156"/>
      <c r="V4527" s="3414" t="s">
        <v>30</v>
      </c>
      <c r="W4527" s="464"/>
      <c r="X4527" s="464"/>
      <c r="Y4527" s="464"/>
      <c r="Z4527" s="464"/>
      <c r="AA4527" s="464"/>
      <c r="AB4527" s="464"/>
      <c r="AC4527" s="464"/>
      <c r="AD4527" s="99">
        <v>76.5</v>
      </c>
      <c r="AE4527" s="464"/>
      <c r="AF4527" s="464"/>
      <c r="AG4527" s="464"/>
      <c r="AH4527" s="156"/>
      <c r="AI4527" s="156"/>
      <c r="AJ4527" s="156"/>
      <c r="AK4527" s="156"/>
      <c r="AL4527" s="156"/>
      <c r="AM4527" s="156"/>
      <c r="AN4527" s="156"/>
      <c r="AO4527" s="156"/>
      <c r="AP4527" s="156"/>
      <c r="AQ4527" s="156"/>
      <c r="AR4527" s="156"/>
      <c r="AS4527" s="156"/>
      <c r="AT4527" s="156"/>
      <c r="AU4527" s="156"/>
      <c r="AV4527" s="156"/>
      <c r="AW4527" s="156"/>
      <c r="AX4527" s="156"/>
      <c r="AY4527" s="156"/>
      <c r="AZ4527" s="156"/>
      <c r="BA4527" s="156"/>
      <c r="BB4527" s="3312">
        <f>(BD4527+BD4528)/(BE4527+BE4528)</f>
        <v>5.8105139565890509</v>
      </c>
      <c r="BC4527" s="2738" t="str">
        <f t="shared" si="495"/>
        <v>Cooling Res 15 Year EUL</v>
      </c>
      <c r="BD4527" s="3315">
        <f>(INDEX('Avoided Cost Benefits'!$E$4:$E$859,MATCH(BC4527,'Avoided Cost Benefits'!$A$4:$A$859,0)))*F4527</f>
        <v>115.83028279772604</v>
      </c>
      <c r="BE4527" s="3270">
        <f t="shared" si="496"/>
        <v>80.160453043888623</v>
      </c>
      <c r="BF4527" s="156"/>
    </row>
    <row r="4528" spans="1:58" s="3423" customFormat="1" ht="15" thickBot="1" x14ac:dyDescent="0.4">
      <c r="A4528" s="1071" t="str">
        <f t="shared" si="503"/>
        <v>356775_2022_12_Heating Res</v>
      </c>
      <c r="C4528" s="3527" t="s">
        <v>4567</v>
      </c>
      <c r="D4528" s="2999" t="s">
        <v>315</v>
      </c>
      <c r="E4528" s="3000" t="s">
        <v>4573</v>
      </c>
      <c r="F4528" s="3001">
        <f>ROUND(((J$4573*J$4575*(1/J$4579-1/J$4582))/1000),2)</f>
        <v>911.24</v>
      </c>
      <c r="G4528" s="3002" t="s">
        <v>1092</v>
      </c>
      <c r="H4528" s="3413">
        <f>VLOOKUP(G4528,'CP FACTORS'!$A$3:$B$38, 2, FALSE)</f>
        <v>0</v>
      </c>
      <c r="I4528" s="3003">
        <f t="shared" si="507"/>
        <v>0</v>
      </c>
      <c r="J4528" s="3004">
        <f>$J$4595</f>
        <v>15</v>
      </c>
      <c r="K4528" s="3005">
        <v>0</v>
      </c>
      <c r="L4528" s="3006"/>
      <c r="M4528" s="657"/>
      <c r="R4528" s="1214"/>
      <c r="S4528" s="156"/>
      <c r="V4528" s="3416" t="s">
        <v>30</v>
      </c>
      <c r="W4528" s="3004"/>
      <c r="X4528" s="3004"/>
      <c r="Y4528" s="3004"/>
      <c r="Z4528" s="3004"/>
      <c r="AA4528" s="3004"/>
      <c r="AB4528" s="3004"/>
      <c r="AC4528" s="3004"/>
      <c r="AD4528" s="3552">
        <v>911.24</v>
      </c>
      <c r="AE4528" s="3004"/>
      <c r="AF4528" s="3004"/>
      <c r="AG4528" s="3004"/>
      <c r="AH4528" s="156"/>
      <c r="AI4528" s="156"/>
      <c r="AJ4528" s="156"/>
      <c r="AK4528" s="156"/>
      <c r="AL4528" s="156"/>
      <c r="AM4528" s="156"/>
      <c r="AN4528" s="156"/>
      <c r="AO4528" s="156"/>
      <c r="AP4528" s="156"/>
      <c r="AQ4528" s="156"/>
      <c r="AR4528" s="156"/>
      <c r="AS4528" s="156"/>
      <c r="AT4528" s="156"/>
      <c r="AU4528" s="156"/>
      <c r="AV4528" s="156"/>
      <c r="AW4528" s="156"/>
      <c r="AX4528" s="156"/>
      <c r="AY4528" s="156"/>
      <c r="AZ4528" s="156"/>
      <c r="BA4528" s="156"/>
      <c r="BB4528" s="3314"/>
      <c r="BC4528" s="2744" t="str">
        <f t="shared" si="495"/>
        <v>Heating Res 15 Year EUL</v>
      </c>
      <c r="BD4528" s="2628">
        <f>(INDEX('Avoided Cost Benefits'!$E$4:$E$859,MATCH(BC4528,'Avoided Cost Benefits'!$A$4:$A$859,0)))*F4528</f>
        <v>349.94314838029004</v>
      </c>
      <c r="BE4528" s="2509">
        <f t="shared" si="496"/>
        <v>0</v>
      </c>
      <c r="BF4528" s="156"/>
    </row>
    <row r="4529" spans="1:58" x14ac:dyDescent="0.35">
      <c r="A4529" s="1071" t="str">
        <f t="shared" si="503"/>
        <v>356800_2022_12_Cooling Res</v>
      </c>
      <c r="B4529" s="3395"/>
      <c r="C4529" s="3528" t="s">
        <v>4464</v>
      </c>
      <c r="D4529" s="3411" t="s">
        <v>320</v>
      </c>
      <c r="E4529" s="2742" t="s">
        <v>4407</v>
      </c>
      <c r="F4529" s="3007">
        <f>ROUND(((J$4584*J$4585*(1/J$4587-1/J$4593))/1000),2)</f>
        <v>540.66999999999996</v>
      </c>
      <c r="G4529" s="3008" t="s">
        <v>1091</v>
      </c>
      <c r="H4529" s="3412">
        <f>VLOOKUP(G4529,'CP FACTORS'!$A$3:$B$38, 2, FALSE)</f>
        <v>9.4741810000000004E-4</v>
      </c>
      <c r="I4529" s="3009">
        <f>ROUND(F4529*H4529,6)</f>
        <v>0.51224099999999995</v>
      </c>
      <c r="J4529" s="3010">
        <f>$J$4596</f>
        <v>5</v>
      </c>
      <c r="K4529" s="3011">
        <f>J$4598</f>
        <v>224.93182686576984</v>
      </c>
      <c r="L4529" s="3012">
        <f>K$4573</f>
        <v>1.0111111111111111</v>
      </c>
      <c r="M4529" s="657"/>
      <c r="N4529" s="106"/>
      <c r="O4529" s="106"/>
      <c r="P4529" s="106"/>
      <c r="Q4529" s="106"/>
      <c r="R4529" s="1214"/>
      <c r="S4529" s="156"/>
      <c r="T4529" s="106"/>
      <c r="U4529" s="106"/>
      <c r="V4529" s="3415" t="s">
        <v>30</v>
      </c>
      <c r="W4529" s="3010"/>
      <c r="X4529" s="3010"/>
      <c r="Y4529" s="3010"/>
      <c r="Z4529" s="3010"/>
      <c r="AA4529" s="3010"/>
      <c r="AB4529" s="3010"/>
      <c r="AC4529" s="3010"/>
      <c r="AD4529" s="3551">
        <v>540.66999999999996</v>
      </c>
      <c r="AE4529" s="3010"/>
      <c r="AF4529" s="3010"/>
      <c r="AG4529" s="3010"/>
      <c r="AH4529" s="156"/>
      <c r="AI4529" s="156"/>
      <c r="AJ4529" s="156"/>
      <c r="AK4529" s="156"/>
      <c r="AL4529" s="156"/>
      <c r="AM4529" s="156"/>
      <c r="AN4529" s="156"/>
      <c r="AO4529" s="156"/>
      <c r="AP4529" s="156"/>
      <c r="AQ4529" s="156"/>
      <c r="AR4529" s="156"/>
      <c r="AS4529" s="156"/>
      <c r="AT4529" s="156"/>
      <c r="AU4529" s="156"/>
      <c r="AV4529" s="156"/>
      <c r="AW4529" s="156"/>
      <c r="AX4529" s="156"/>
      <c r="AY4529" s="156"/>
      <c r="AZ4529" s="156"/>
      <c r="BA4529" s="156"/>
      <c r="BB4529" s="3312">
        <f>(BD4529+BD4530+BD4531+BD4532)/(BE4529+BE4530+BE4531+BE4532)</f>
        <v>3.0861859541139225</v>
      </c>
      <c r="BC4529" s="2738" t="str">
        <f t="shared" si="495"/>
        <v>Cooling Res 5 Year EUL</v>
      </c>
      <c r="BD4529" s="3315">
        <f>(INDEX('Avoided Cost Benefits'!$E$4:$E$859,MATCH(BC4529,'Avoided Cost Benefits'!$A$4:$A$859,0)))*F4529</f>
        <v>282.10966484860592</v>
      </c>
      <c r="BE4529" s="3270">
        <f t="shared" si="496"/>
        <v>212.29997816495498</v>
      </c>
      <c r="BF4529" s="156"/>
    </row>
    <row r="4530" spans="1:58" x14ac:dyDescent="0.35">
      <c r="A4530" s="1071" t="str">
        <f t="shared" si="503"/>
        <v>356800_2022_12_Heating Res</v>
      </c>
      <c r="B4530" s="3395"/>
      <c r="C4530" s="2753" t="s">
        <v>4464</v>
      </c>
      <c r="D4530" s="2998" t="s">
        <v>320</v>
      </c>
      <c r="E4530" s="2742" t="s">
        <v>4407</v>
      </c>
      <c r="F4530" s="618">
        <f>ROUND(((J$4573*J$4574*(1/J$4576-1/J$4583))/1000),2)</f>
        <v>1328.35</v>
      </c>
      <c r="G4530" s="1651" t="s">
        <v>1092</v>
      </c>
      <c r="H4530" s="2720">
        <f>VLOOKUP(G4530,'CP FACTORS'!$A$3:$B$38, 2, FALSE)</f>
        <v>0</v>
      </c>
      <c r="I4530" s="2995">
        <f t="shared" ref="I4530" si="508">ROUND(F4530*H4530,6)</f>
        <v>0</v>
      </c>
      <c r="J4530" s="464">
        <f>$J$4596</f>
        <v>5</v>
      </c>
      <c r="K4530" s="2996">
        <v>0</v>
      </c>
      <c r="L4530" s="2997"/>
      <c r="M4530" s="657"/>
      <c r="N4530" s="106"/>
      <c r="O4530" s="106"/>
      <c r="P4530" s="106"/>
      <c r="Q4530" s="106"/>
      <c r="R4530" s="1214"/>
      <c r="S4530" s="156"/>
      <c r="T4530" s="106"/>
      <c r="U4530" s="106"/>
      <c r="V4530" s="3414" t="s">
        <v>30</v>
      </c>
      <c r="W4530" s="464"/>
      <c r="X4530" s="464"/>
      <c r="Y4530" s="464"/>
      <c r="Z4530" s="464"/>
      <c r="AA4530" s="464"/>
      <c r="AB4530" s="464"/>
      <c r="AC4530" s="464"/>
      <c r="AD4530" s="99">
        <v>1328.35</v>
      </c>
      <c r="AE4530" s="464"/>
      <c r="AF4530" s="464"/>
      <c r="AG4530" s="464"/>
      <c r="AH4530" s="156"/>
      <c r="AI4530" s="156"/>
      <c r="AJ4530" s="156"/>
      <c r="AK4530" s="156"/>
      <c r="AL4530" s="156"/>
      <c r="AM4530" s="156"/>
      <c r="AN4530" s="156"/>
      <c r="AO4530" s="156"/>
      <c r="AP4530" s="156"/>
      <c r="AQ4530" s="156"/>
      <c r="AR4530" s="156"/>
      <c r="AS4530" s="156"/>
      <c r="AT4530" s="156"/>
      <c r="AU4530" s="156"/>
      <c r="AV4530" s="156"/>
      <c r="AW4530" s="156"/>
      <c r="AX4530" s="156"/>
      <c r="AY4530" s="156"/>
      <c r="AZ4530" s="156"/>
      <c r="BA4530" s="156"/>
      <c r="BB4530" s="3313"/>
      <c r="BC4530" s="2742" t="str">
        <f t="shared" si="495"/>
        <v>Heating Res 5 Year EUL</v>
      </c>
      <c r="BD4530" s="2627">
        <f>(INDEX('Avoided Cost Benefits'!$E$4:$E$859,MATCH(BC4530,'Avoided Cost Benefits'!$A$4:$A$859,0)))*F4530</f>
        <v>181.27895734761822</v>
      </c>
      <c r="BE4530" s="2507">
        <f t="shared" si="496"/>
        <v>0</v>
      </c>
      <c r="BF4530" s="156"/>
    </row>
    <row r="4531" spans="1:58" x14ac:dyDescent="0.35">
      <c r="A4531" s="1071" t="str">
        <f t="shared" si="503"/>
        <v>356800_2022_12_Cooling Res ER2</v>
      </c>
      <c r="B4531" s="3395"/>
      <c r="C4531" s="2753" t="s">
        <v>4464</v>
      </c>
      <c r="D4531" s="2998" t="s">
        <v>320</v>
      </c>
      <c r="E4531" s="2742" t="s">
        <v>4411</v>
      </c>
      <c r="F4531" s="3007">
        <f>ROUND(((J$4584*J$4585*(1/J$4589-1/J$4593))/1000),2)</f>
        <v>140.77000000000001</v>
      </c>
      <c r="G4531" s="1651" t="s">
        <v>1133</v>
      </c>
      <c r="H4531" s="2720">
        <f>VLOOKUP(G4531,'CP FACTORS'!$A$3:$B$38, 2, FALSE)</f>
        <v>9.4741810000000004E-4</v>
      </c>
      <c r="I4531" s="3009">
        <f>ROUND(F4531*H4531,6)</f>
        <v>0.13336799999999999</v>
      </c>
      <c r="J4531" s="464">
        <f>$J$4597</f>
        <v>10</v>
      </c>
      <c r="K4531" s="2996">
        <v>0</v>
      </c>
      <c r="L4531" s="2997"/>
      <c r="M4531" s="657"/>
      <c r="N4531" s="2804"/>
      <c r="O4531" s="2804"/>
      <c r="P4531" s="2804"/>
      <c r="Q4531" s="2804"/>
      <c r="R4531" s="1214"/>
      <c r="S4531" s="156"/>
      <c r="T4531" s="2804"/>
      <c r="U4531" s="2804"/>
      <c r="V4531" s="3414" t="s">
        <v>30</v>
      </c>
      <c r="W4531" s="464"/>
      <c r="X4531" s="464"/>
      <c r="Y4531" s="464"/>
      <c r="Z4531" s="464"/>
      <c r="AA4531" s="464"/>
      <c r="AB4531" s="464"/>
      <c r="AC4531" s="464"/>
      <c r="AD4531" s="99">
        <v>140.77000000000001</v>
      </c>
      <c r="AE4531" s="464"/>
      <c r="AF4531" s="464"/>
      <c r="AG4531" s="464"/>
      <c r="AH4531" s="156"/>
      <c r="AI4531" s="156"/>
      <c r="AJ4531" s="156"/>
      <c r="AK4531" s="156"/>
      <c r="AL4531" s="156"/>
      <c r="AM4531" s="156"/>
      <c r="AN4531" s="156"/>
      <c r="AO4531" s="156"/>
      <c r="AP4531" s="156"/>
      <c r="AQ4531" s="156"/>
      <c r="AR4531" s="156"/>
      <c r="AS4531" s="156"/>
      <c r="AT4531" s="156"/>
      <c r="AU4531" s="156"/>
      <c r="AV4531" s="156"/>
      <c r="AW4531" s="156"/>
      <c r="AX4531" s="156"/>
      <c r="AY4531" s="156"/>
      <c r="AZ4531" s="156"/>
      <c r="BA4531" s="156"/>
      <c r="BB4531" s="3313"/>
      <c r="BC4531" s="2742" t="str">
        <f t="shared" si="495"/>
        <v>Cooling Res ER2 10 Year EUL</v>
      </c>
      <c r="BD4531" s="2627">
        <f>(INDEX('Avoided Cost Benefits'!$E$4:$E$859,MATCH(BC4531,'Avoided Cost Benefits'!$A$4:$A$859,0)))*F4531</f>
        <v>139.69218458494339</v>
      </c>
      <c r="BE4531" s="2507">
        <f t="shared" si="496"/>
        <v>0</v>
      </c>
      <c r="BF4531" s="156"/>
    </row>
    <row r="4532" spans="1:58" x14ac:dyDescent="0.35">
      <c r="A4532" s="1071" t="str">
        <f t="shared" si="503"/>
        <v>356800_2022_12_Heating Res ER2</v>
      </c>
      <c r="B4532" s="3395"/>
      <c r="C4532" s="2753" t="s">
        <v>4464</v>
      </c>
      <c r="D4532" s="2998" t="s">
        <v>320</v>
      </c>
      <c r="E4532" s="2744" t="s">
        <v>4411</v>
      </c>
      <c r="F4532" s="618">
        <f>ROUND(((J$4573*J$4574*(1/J$4577-1/J$4583))/1000),2)</f>
        <v>210.52</v>
      </c>
      <c r="G4532" s="1651" t="s">
        <v>1150</v>
      </c>
      <c r="H4532" s="2720">
        <f>VLOOKUP(G4532,'CP FACTORS'!$A$3:$B$38, 2, FALSE)</f>
        <v>0</v>
      </c>
      <c r="I4532" s="2995">
        <f t="shared" ref="I4532:I4534" si="509">ROUND(F4532*H4532,6)</f>
        <v>0</v>
      </c>
      <c r="J4532" s="464">
        <f>$J$4597</f>
        <v>10</v>
      </c>
      <c r="K4532" s="2996">
        <v>0</v>
      </c>
      <c r="L4532" s="2997"/>
      <c r="M4532" s="657"/>
      <c r="N4532" s="2804"/>
      <c r="O4532" s="2804"/>
      <c r="P4532" s="2804"/>
      <c r="Q4532" s="2804"/>
      <c r="R4532" s="1214"/>
      <c r="S4532" s="156"/>
      <c r="T4532" s="2804"/>
      <c r="U4532" s="2804"/>
      <c r="V4532" s="3414" t="s">
        <v>30</v>
      </c>
      <c r="W4532" s="464"/>
      <c r="X4532" s="464"/>
      <c r="Y4532" s="464"/>
      <c r="Z4532" s="464"/>
      <c r="AA4532" s="464"/>
      <c r="AB4532" s="464"/>
      <c r="AC4532" s="464"/>
      <c r="AD4532" s="99">
        <v>210.52</v>
      </c>
      <c r="AE4532" s="464"/>
      <c r="AF4532" s="464"/>
      <c r="AG4532" s="464"/>
      <c r="AH4532" s="156"/>
      <c r="AI4532" s="156"/>
      <c r="AJ4532" s="156"/>
      <c r="AK4532" s="156"/>
      <c r="AL4532" s="156"/>
      <c r="AM4532" s="156"/>
      <c r="AN4532" s="156"/>
      <c r="AO4532" s="156"/>
      <c r="AP4532" s="156"/>
      <c r="AQ4532" s="156"/>
      <c r="AR4532" s="156"/>
      <c r="AS4532" s="156"/>
      <c r="AT4532" s="156"/>
      <c r="AU4532" s="156"/>
      <c r="AV4532" s="156"/>
      <c r="AW4532" s="156"/>
      <c r="AX4532" s="156"/>
      <c r="AY4532" s="156"/>
      <c r="AZ4532" s="156"/>
      <c r="BA4532" s="156"/>
      <c r="BB4532" s="3314"/>
      <c r="BC4532" s="2744" t="str">
        <f t="shared" si="495"/>
        <v>Heating Res ER2 10 Year EUL</v>
      </c>
      <c r="BD4532" s="2628">
        <f>(INDEX('Avoided Cost Benefits'!$E$4:$E$859,MATCH(BC4532,'Avoided Cost Benefits'!$A$4:$A$859,0)))*F4532</f>
        <v>52.116403890209142</v>
      </c>
      <c r="BE4532" s="2509">
        <f t="shared" si="496"/>
        <v>0</v>
      </c>
      <c r="BF4532" s="156"/>
    </row>
    <row r="4533" spans="1:58" x14ac:dyDescent="0.35">
      <c r="A4533" s="1071" t="str">
        <f t="shared" si="503"/>
        <v>356825_2022_12_Cooling Res</v>
      </c>
      <c r="B4533" s="3395"/>
      <c r="C4533" s="2753" t="s">
        <v>4465</v>
      </c>
      <c r="D4533" s="2998" t="s">
        <v>315</v>
      </c>
      <c r="E4533" s="2738" t="s">
        <v>4408</v>
      </c>
      <c r="F4533" s="618">
        <f>ROUND(((J$4584*J$4586*(1/J$4587-1/J$4593))/1000),2)</f>
        <v>393.46</v>
      </c>
      <c r="G4533" s="1651" t="s">
        <v>1091</v>
      </c>
      <c r="H4533" s="2720">
        <f>VLOOKUP(G4533,'CP FACTORS'!$A$3:$B$38, 2, FALSE)</f>
        <v>9.4741810000000004E-4</v>
      </c>
      <c r="I4533" s="2995">
        <f t="shared" si="509"/>
        <v>0.37277100000000002</v>
      </c>
      <c r="J4533" s="3010">
        <f>$J$4596</f>
        <v>5</v>
      </c>
      <c r="K4533" s="3011">
        <f>J$4598</f>
        <v>224.93182686576984</v>
      </c>
      <c r="L4533" s="2997">
        <f>K$4573</f>
        <v>1.0111111111111111</v>
      </c>
      <c r="M4533" s="657"/>
      <c r="N4533" s="106"/>
      <c r="O4533" s="106"/>
      <c r="P4533" s="106"/>
      <c r="Q4533" s="106"/>
      <c r="R4533" s="1214"/>
      <c r="S4533" s="156"/>
      <c r="T4533" s="106"/>
      <c r="U4533" s="106"/>
      <c r="V4533" s="3415" t="s">
        <v>30</v>
      </c>
      <c r="W4533" s="3010"/>
      <c r="X4533" s="3010"/>
      <c r="Y4533" s="3010"/>
      <c r="Z4533" s="3010"/>
      <c r="AA4533" s="3010"/>
      <c r="AB4533" s="3010"/>
      <c r="AC4533" s="3010"/>
      <c r="AD4533" s="3551">
        <v>393.46</v>
      </c>
      <c r="AE4533" s="3010"/>
      <c r="AF4533" s="3010"/>
      <c r="AG4533" s="3010"/>
      <c r="AH4533" s="156"/>
      <c r="AI4533" s="156"/>
      <c r="AJ4533" s="156"/>
      <c r="AK4533" s="156"/>
      <c r="AL4533" s="156"/>
      <c r="AM4533" s="156"/>
      <c r="AN4533" s="156"/>
      <c r="AO4533" s="156"/>
      <c r="AP4533" s="156"/>
      <c r="AQ4533" s="156"/>
      <c r="AR4533" s="156"/>
      <c r="AS4533" s="156"/>
      <c r="AT4533" s="156"/>
      <c r="AU4533" s="156"/>
      <c r="AV4533" s="156"/>
      <c r="AW4533" s="156"/>
      <c r="AX4533" s="156"/>
      <c r="AY4533" s="156"/>
      <c r="AZ4533" s="156"/>
      <c r="BA4533" s="156"/>
      <c r="BB4533" s="3312">
        <f>(BD4533+BD4534+BD4535+BD4536)/(BE4533+BE4534+BE4535+BE4536)</f>
        <v>1.8211181685085549</v>
      </c>
      <c r="BC4533" s="2738" t="str">
        <f t="shared" si="495"/>
        <v>Cooling Res 5 Year EUL</v>
      </c>
      <c r="BD4533" s="3315">
        <f>(INDEX('Avoided Cost Benefits'!$E$4:$E$859,MATCH(BC4533,'Avoided Cost Benefits'!$A$4:$A$859,0)))*F4533</f>
        <v>205.29873810518893</v>
      </c>
      <c r="BE4533" s="3270">
        <f t="shared" si="496"/>
        <v>212.29997816495498</v>
      </c>
      <c r="BF4533" s="156"/>
    </row>
    <row r="4534" spans="1:58" x14ac:dyDescent="0.35">
      <c r="A4534" s="1071" t="str">
        <f t="shared" si="503"/>
        <v>356825_2022_12_Heating Res</v>
      </c>
      <c r="B4534" s="3395"/>
      <c r="C4534" s="2753" t="s">
        <v>4465</v>
      </c>
      <c r="D4534" s="2998" t="s">
        <v>315</v>
      </c>
      <c r="E4534" s="2742" t="s">
        <v>4408</v>
      </c>
      <c r="F4534" s="618">
        <f>ROUND(((J$4573*J$4575*(1/J$4576-1/J$4583))/1000),2)</f>
        <v>453.43</v>
      </c>
      <c r="G4534" s="1651" t="s">
        <v>1092</v>
      </c>
      <c r="H4534" s="2720">
        <f>VLOOKUP(G4534,'CP FACTORS'!$A$3:$B$38, 2, FALSE)</f>
        <v>0</v>
      </c>
      <c r="I4534" s="2995">
        <f t="shared" si="509"/>
        <v>0</v>
      </c>
      <c r="J4534" s="464">
        <f>$J$4596</f>
        <v>5</v>
      </c>
      <c r="K4534" s="2996">
        <v>0</v>
      </c>
      <c r="L4534" s="2997"/>
      <c r="M4534" s="657"/>
      <c r="N4534" s="106"/>
      <c r="O4534" s="106"/>
      <c r="P4534" s="106"/>
      <c r="Q4534" s="106"/>
      <c r="R4534" s="1214"/>
      <c r="S4534" s="156"/>
      <c r="T4534" s="106"/>
      <c r="U4534" s="106"/>
      <c r="V4534" s="3414" t="s">
        <v>30</v>
      </c>
      <c r="W4534" s="464"/>
      <c r="X4534" s="464"/>
      <c r="Y4534" s="464"/>
      <c r="Z4534" s="464"/>
      <c r="AA4534" s="464"/>
      <c r="AB4534" s="464"/>
      <c r="AC4534" s="464"/>
      <c r="AD4534" s="99">
        <v>453.43</v>
      </c>
      <c r="AE4534" s="464"/>
      <c r="AF4534" s="464"/>
      <c r="AG4534" s="464"/>
      <c r="AH4534" s="156"/>
      <c r="AI4534" s="156"/>
      <c r="AJ4534" s="156"/>
      <c r="AK4534" s="156"/>
      <c r="AL4534" s="156"/>
      <c r="AM4534" s="156"/>
      <c r="AN4534" s="156"/>
      <c r="AO4534" s="156"/>
      <c r="AP4534" s="156"/>
      <c r="AQ4534" s="156"/>
      <c r="AR4534" s="156"/>
      <c r="AS4534" s="156"/>
      <c r="AT4534" s="156"/>
      <c r="AU4534" s="156"/>
      <c r="AV4534" s="156"/>
      <c r="AW4534" s="156"/>
      <c r="AX4534" s="156"/>
      <c r="AY4534" s="156"/>
      <c r="AZ4534" s="156"/>
      <c r="BA4534" s="156"/>
      <c r="BB4534" s="3313"/>
      <c r="BC4534" s="2742" t="str">
        <f t="shared" si="495"/>
        <v>Heating Res 5 Year EUL</v>
      </c>
      <c r="BD4534" s="2627">
        <f>(INDEX('Avoided Cost Benefits'!$E$4:$E$859,MATCH(BC4534,'Avoided Cost Benefits'!$A$4:$A$859,0)))*F4534</f>
        <v>61.879261964189055</v>
      </c>
      <c r="BE4534" s="2507">
        <f t="shared" si="496"/>
        <v>0</v>
      </c>
      <c r="BF4534" s="156"/>
    </row>
    <row r="4535" spans="1:58" x14ac:dyDescent="0.35">
      <c r="A4535" s="1071" t="str">
        <f t="shared" si="503"/>
        <v>356825_2022_12_Cooling Res ER2</v>
      </c>
      <c r="B4535" s="3395"/>
      <c r="C4535" s="2753" t="s">
        <v>4465</v>
      </c>
      <c r="D4535" s="2998" t="s">
        <v>315</v>
      </c>
      <c r="E4535" s="2742" t="s">
        <v>4412</v>
      </c>
      <c r="F4535" s="618">
        <f>ROUND(((J$4584*J$4586*(1/J$4589-1/J$4593))/1000),2)</f>
        <v>102.44</v>
      </c>
      <c r="G4535" s="1651" t="s">
        <v>1133</v>
      </c>
      <c r="H4535" s="2720">
        <f>VLOOKUP(G4535,'CP FACTORS'!$A$3:$B$38, 2, FALSE)</f>
        <v>9.4741810000000004E-4</v>
      </c>
      <c r="I4535" s="3009">
        <f>ROUND(F4535*H4535,6)</f>
        <v>9.7054000000000001E-2</v>
      </c>
      <c r="J4535" s="464">
        <f>$J$4597</f>
        <v>10</v>
      </c>
      <c r="K4535" s="2996">
        <v>0</v>
      </c>
      <c r="L4535" s="2997"/>
      <c r="M4535" s="657"/>
      <c r="N4535" s="2804"/>
      <c r="O4535" s="2804"/>
      <c r="P4535" s="2804"/>
      <c r="Q4535" s="2804"/>
      <c r="R4535" s="1214"/>
      <c r="S4535" s="156"/>
      <c r="T4535" s="2804"/>
      <c r="U4535" s="2804"/>
      <c r="V4535" s="3414" t="s">
        <v>30</v>
      </c>
      <c r="W4535" s="464"/>
      <c r="X4535" s="464"/>
      <c r="Y4535" s="464"/>
      <c r="Z4535" s="464"/>
      <c r="AA4535" s="464"/>
      <c r="AB4535" s="464"/>
      <c r="AC4535" s="464"/>
      <c r="AD4535" s="99">
        <v>102.44</v>
      </c>
      <c r="AE4535" s="464"/>
      <c r="AF4535" s="464"/>
      <c r="AG4535" s="464"/>
      <c r="AH4535" s="156"/>
      <c r="AI4535" s="156"/>
      <c r="AJ4535" s="156"/>
      <c r="AK4535" s="156"/>
      <c r="AL4535" s="156"/>
      <c r="AM4535" s="156"/>
      <c r="AN4535" s="156"/>
      <c r="AO4535" s="156"/>
      <c r="AP4535" s="156"/>
      <c r="AQ4535" s="156"/>
      <c r="AR4535" s="156"/>
      <c r="AS4535" s="156"/>
      <c r="AT4535" s="156"/>
      <c r="AU4535" s="156"/>
      <c r="AV4535" s="156"/>
      <c r="AW4535" s="156"/>
      <c r="AX4535" s="156"/>
      <c r="AY4535" s="156"/>
      <c r="AZ4535" s="156"/>
      <c r="BA4535" s="156"/>
      <c r="BB4535" s="3313"/>
      <c r="BC4535" s="2742" t="str">
        <f t="shared" si="495"/>
        <v>Cooling Res ER2 10 Year EUL</v>
      </c>
      <c r="BD4535" s="2627">
        <f>(INDEX('Avoided Cost Benefits'!$E$4:$E$859,MATCH(BC4535,'Avoided Cost Benefits'!$A$4:$A$859,0)))*F4535</f>
        <v>101.65566092833417</v>
      </c>
      <c r="BE4535" s="2507">
        <f t="shared" si="496"/>
        <v>0</v>
      </c>
      <c r="BF4535" s="156"/>
    </row>
    <row r="4536" spans="1:58" x14ac:dyDescent="0.35">
      <c r="A4536" s="1071" t="str">
        <f t="shared" si="503"/>
        <v>356825_2022_12_Heating Res ER2</v>
      </c>
      <c r="B4536" s="3395"/>
      <c r="C4536" s="2753" t="s">
        <v>4465</v>
      </c>
      <c r="D4536" s="2998" t="s">
        <v>315</v>
      </c>
      <c r="E4536" s="2744" t="s">
        <v>4412</v>
      </c>
      <c r="F4536" s="618">
        <f>ROUND(((J$4573*J$4575*(1/J$4577-1/J$4583))/1000),2)</f>
        <v>71.86</v>
      </c>
      <c r="G4536" s="1651" t="s">
        <v>1150</v>
      </c>
      <c r="H4536" s="2720">
        <f>VLOOKUP(G4536,'CP FACTORS'!$A$3:$B$38, 2, FALSE)</f>
        <v>0</v>
      </c>
      <c r="I4536" s="2995">
        <f t="shared" ref="I4536:I4538" si="510">ROUND(F4536*H4536,6)</f>
        <v>0</v>
      </c>
      <c r="J4536" s="464">
        <f>$J$4597</f>
        <v>10</v>
      </c>
      <c r="K4536" s="2996">
        <v>0</v>
      </c>
      <c r="L4536" s="2997"/>
      <c r="M4536" s="657"/>
      <c r="N4536" s="2804"/>
      <c r="O4536" s="2804"/>
      <c r="P4536" s="2804"/>
      <c r="Q4536" s="2804"/>
      <c r="R4536" s="1214"/>
      <c r="S4536" s="156"/>
      <c r="T4536" s="2804"/>
      <c r="U4536" s="2804"/>
      <c r="V4536" s="3414" t="s">
        <v>30</v>
      </c>
      <c r="W4536" s="464"/>
      <c r="X4536" s="464"/>
      <c r="Y4536" s="464"/>
      <c r="Z4536" s="464"/>
      <c r="AA4536" s="464"/>
      <c r="AB4536" s="464"/>
      <c r="AC4536" s="464"/>
      <c r="AD4536" s="99">
        <v>71.86</v>
      </c>
      <c r="AE4536" s="464"/>
      <c r="AF4536" s="464"/>
      <c r="AG4536" s="464"/>
      <c r="AH4536" s="156"/>
      <c r="AI4536" s="156"/>
      <c r="AJ4536" s="156"/>
      <c r="AK4536" s="156"/>
      <c r="AL4536" s="156"/>
      <c r="AM4536" s="156"/>
      <c r="AN4536" s="156"/>
      <c r="AO4536" s="156"/>
      <c r="AP4536" s="156"/>
      <c r="AQ4536" s="156"/>
      <c r="AR4536" s="156"/>
      <c r="AS4536" s="156"/>
      <c r="AT4536" s="156"/>
      <c r="AU4536" s="156"/>
      <c r="AV4536" s="156"/>
      <c r="AW4536" s="156"/>
      <c r="AX4536" s="156"/>
      <c r="AY4536" s="156"/>
      <c r="AZ4536" s="156"/>
      <c r="BA4536" s="156"/>
      <c r="BB4536" s="3314"/>
      <c r="BC4536" s="2744" t="str">
        <f t="shared" si="495"/>
        <v>Heating Res ER2 10 Year EUL</v>
      </c>
      <c r="BD4536" s="2628">
        <f>(INDEX('Avoided Cost Benefits'!$E$4:$E$859,MATCH(BC4536,'Avoided Cost Benefits'!$A$4:$A$859,0)))*F4536</f>
        <v>17.789686412456909</v>
      </c>
      <c r="BE4536" s="2509">
        <f t="shared" si="496"/>
        <v>0</v>
      </c>
      <c r="BF4536" s="156"/>
    </row>
    <row r="4537" spans="1:58" x14ac:dyDescent="0.35">
      <c r="A4537" s="1071" t="str">
        <f t="shared" si="503"/>
        <v>356850_2022_12_Cooling Res</v>
      </c>
      <c r="B4537" s="3395"/>
      <c r="C4537" s="2753" t="s">
        <v>4466</v>
      </c>
      <c r="D4537" s="2736" t="s">
        <v>320</v>
      </c>
      <c r="E4537" s="2738" t="s">
        <v>4409</v>
      </c>
      <c r="F4537" s="618">
        <f>ROUND(((J$4584*J$4585*(1/J$4588-1/J$4593))/1000),2)</f>
        <v>601.84</v>
      </c>
      <c r="G4537" s="1651" t="s">
        <v>1091</v>
      </c>
      <c r="H4537" s="2720">
        <f>VLOOKUP(G4537,'CP FACTORS'!$A$3:$B$38, 2, FALSE)</f>
        <v>9.4741810000000004E-4</v>
      </c>
      <c r="I4537" s="2995">
        <f t="shared" si="510"/>
        <v>0.57019399999999998</v>
      </c>
      <c r="J4537" s="3010">
        <f>$J$4596</f>
        <v>5</v>
      </c>
      <c r="K4537" s="3011">
        <f>J$4598</f>
        <v>224.93182686576984</v>
      </c>
      <c r="L4537" s="2997">
        <f>K$4573</f>
        <v>1.0111111111111111</v>
      </c>
      <c r="M4537" s="657"/>
      <c r="N4537" s="106"/>
      <c r="O4537" s="106"/>
      <c r="P4537" s="106"/>
      <c r="Q4537" s="106"/>
      <c r="R4537" s="1214"/>
      <c r="S4537" s="156"/>
      <c r="T4537" s="106"/>
      <c r="U4537" s="106"/>
      <c r="V4537" s="3415" t="s">
        <v>30</v>
      </c>
      <c r="W4537" s="3010"/>
      <c r="X4537" s="3010"/>
      <c r="Y4537" s="3010"/>
      <c r="Z4537" s="3010"/>
      <c r="AA4537" s="3010"/>
      <c r="AB4537" s="3010"/>
      <c r="AC4537" s="3010"/>
      <c r="AD4537" s="3551">
        <v>601.84</v>
      </c>
      <c r="AE4537" s="3010"/>
      <c r="AF4537" s="3010"/>
      <c r="AG4537" s="3010"/>
      <c r="AH4537" s="156"/>
      <c r="AI4537" s="156"/>
      <c r="AJ4537" s="156"/>
      <c r="AK4537" s="156"/>
      <c r="AL4537" s="156"/>
      <c r="AM4537" s="156"/>
      <c r="AN4537" s="156"/>
      <c r="AO4537" s="156"/>
      <c r="AP4537" s="156"/>
      <c r="AQ4537" s="156"/>
      <c r="AR4537" s="156"/>
      <c r="AS4537" s="156"/>
      <c r="AT4537" s="156"/>
      <c r="AU4537" s="156"/>
      <c r="AV4537" s="156"/>
      <c r="AW4537" s="156"/>
      <c r="AX4537" s="156"/>
      <c r="AY4537" s="156"/>
      <c r="AZ4537" s="156"/>
      <c r="BA4537" s="156"/>
      <c r="BB4537" s="3312">
        <f>(BD4537+BD4538+BD4539+BD4540)/(BE4537+BE4538+BE4539+BE4540)</f>
        <v>7.0378884499817111</v>
      </c>
      <c r="BC4537" s="2738" t="str">
        <f t="shared" si="495"/>
        <v>Cooling Res 5 Year EUL</v>
      </c>
      <c r="BD4537" s="3315">
        <f>(INDEX('Avoided Cost Benefits'!$E$4:$E$859,MATCH(BC4537,'Avoided Cost Benefits'!$A$4:$A$859,0)))*F4537</f>
        <v>314.02681985774137</v>
      </c>
      <c r="BE4537" s="3270">
        <f t="shared" si="496"/>
        <v>212.29997816495498</v>
      </c>
      <c r="BF4537" s="156"/>
    </row>
    <row r="4538" spans="1:58" x14ac:dyDescent="0.35">
      <c r="A4538" s="1071" t="str">
        <f t="shared" si="503"/>
        <v>356850_2022_12_Heating Res</v>
      </c>
      <c r="B4538" s="3395"/>
      <c r="C4538" s="2753" t="s">
        <v>4466</v>
      </c>
      <c r="D4538" s="2998" t="s">
        <v>320</v>
      </c>
      <c r="E4538" s="2742" t="s">
        <v>4409</v>
      </c>
      <c r="F4538" s="618">
        <f>ROUND(((J$4573*J$4574*(1/J$4578-1/J$4583))/1000),2)</f>
        <v>2709.23</v>
      </c>
      <c r="G4538" s="1651" t="s">
        <v>1092</v>
      </c>
      <c r="H4538" s="2720">
        <f>VLOOKUP(G4538,'CP FACTORS'!$A$3:$B$38, 2, FALSE)</f>
        <v>0</v>
      </c>
      <c r="I4538" s="2995">
        <f t="shared" si="510"/>
        <v>0</v>
      </c>
      <c r="J4538" s="464">
        <f>$J$4596</f>
        <v>5</v>
      </c>
      <c r="K4538" s="2996">
        <v>0</v>
      </c>
      <c r="L4538" s="2997"/>
      <c r="M4538" s="657"/>
      <c r="N4538" s="106"/>
      <c r="O4538" s="106"/>
      <c r="P4538" s="106"/>
      <c r="Q4538" s="106"/>
      <c r="R4538" s="1214"/>
      <c r="S4538" s="156"/>
      <c r="T4538" s="106"/>
      <c r="U4538" s="106"/>
      <c r="V4538" s="3414" t="s">
        <v>30</v>
      </c>
      <c r="W4538" s="464"/>
      <c r="X4538" s="464"/>
      <c r="Y4538" s="464"/>
      <c r="Z4538" s="464"/>
      <c r="AA4538" s="464"/>
      <c r="AB4538" s="464"/>
      <c r="AC4538" s="464"/>
      <c r="AD4538" s="99">
        <v>2709.23</v>
      </c>
      <c r="AE4538" s="464"/>
      <c r="AF4538" s="464"/>
      <c r="AG4538" s="464"/>
      <c r="AH4538" s="156"/>
      <c r="AI4538" s="156"/>
      <c r="AJ4538" s="156"/>
      <c r="AK4538" s="156"/>
      <c r="AL4538" s="156"/>
      <c r="AM4538" s="156"/>
      <c r="AN4538" s="156"/>
      <c r="AO4538" s="156"/>
      <c r="AP4538" s="156"/>
      <c r="AQ4538" s="156"/>
      <c r="AR4538" s="156"/>
      <c r="AS4538" s="156"/>
      <c r="AT4538" s="156"/>
      <c r="AU4538" s="156"/>
      <c r="AV4538" s="156"/>
      <c r="AW4538" s="156"/>
      <c r="AX4538" s="156"/>
      <c r="AY4538" s="156"/>
      <c r="AZ4538" s="156"/>
      <c r="BA4538" s="156"/>
      <c r="BB4538" s="3313"/>
      <c r="BC4538" s="2742" t="str">
        <f t="shared" si="495"/>
        <v>Heating Res 5 Year EUL</v>
      </c>
      <c r="BD4538" s="2627">
        <f>(INDEX('Avoided Cost Benefits'!$E$4:$E$859,MATCH(BC4538,'Avoided Cost Benefits'!$A$4:$A$859,0)))*F4538</f>
        <v>369.72664554890486</v>
      </c>
      <c r="BE4538" s="2507">
        <f t="shared" si="496"/>
        <v>0</v>
      </c>
      <c r="BF4538" s="156"/>
    </row>
    <row r="4539" spans="1:58" x14ac:dyDescent="0.35">
      <c r="A4539" s="1071" t="str">
        <f t="shared" si="503"/>
        <v>356850_2022_12_Cooling Res ER2</v>
      </c>
      <c r="B4539" s="3395"/>
      <c r="C4539" s="2753" t="s">
        <v>4466</v>
      </c>
      <c r="D4539" s="2998" t="s">
        <v>320</v>
      </c>
      <c r="E4539" s="2742" t="s">
        <v>4413</v>
      </c>
      <c r="F4539" s="618">
        <f>ROUND(((J$4584*J$4585*(1/J$4589-1/J$4593))/1000),2)</f>
        <v>140.77000000000001</v>
      </c>
      <c r="G4539" s="1651" t="s">
        <v>1133</v>
      </c>
      <c r="H4539" s="2720">
        <f>VLOOKUP(G4539,'CP FACTORS'!$A$3:$B$38, 2, FALSE)</f>
        <v>9.4741810000000004E-4</v>
      </c>
      <c r="I4539" s="3009">
        <f>ROUND(F4539*H4539,6)</f>
        <v>0.13336799999999999</v>
      </c>
      <c r="J4539" s="464">
        <f>$J$4597</f>
        <v>10</v>
      </c>
      <c r="K4539" s="2996">
        <v>0</v>
      </c>
      <c r="L4539" s="2997"/>
      <c r="M4539" s="657"/>
      <c r="N4539" s="2804"/>
      <c r="O4539" s="2804"/>
      <c r="P4539" s="2804"/>
      <c r="Q4539" s="2804"/>
      <c r="R4539" s="1214"/>
      <c r="S4539" s="156"/>
      <c r="T4539" s="2804"/>
      <c r="U4539" s="2804"/>
      <c r="V4539" s="3414" t="s">
        <v>30</v>
      </c>
      <c r="W4539" s="464"/>
      <c r="X4539" s="464"/>
      <c r="Y4539" s="464"/>
      <c r="Z4539" s="464"/>
      <c r="AA4539" s="464"/>
      <c r="AB4539" s="464"/>
      <c r="AC4539" s="464"/>
      <c r="AD4539" s="99">
        <v>140.77000000000001</v>
      </c>
      <c r="AE4539" s="464"/>
      <c r="AF4539" s="464"/>
      <c r="AG4539" s="464"/>
      <c r="AH4539" s="156"/>
      <c r="AI4539" s="156"/>
      <c r="AJ4539" s="156"/>
      <c r="AK4539" s="156"/>
      <c r="AL4539" s="156"/>
      <c r="AM4539" s="156"/>
      <c r="AN4539" s="156"/>
      <c r="AO4539" s="156"/>
      <c r="AP4539" s="156"/>
      <c r="AQ4539" s="156"/>
      <c r="AR4539" s="156"/>
      <c r="AS4539" s="156"/>
      <c r="AT4539" s="156"/>
      <c r="AU4539" s="156"/>
      <c r="AV4539" s="156"/>
      <c r="AW4539" s="156"/>
      <c r="AX4539" s="156"/>
      <c r="AY4539" s="156"/>
      <c r="AZ4539" s="156"/>
      <c r="BA4539" s="156"/>
      <c r="BB4539" s="3313"/>
      <c r="BC4539" s="2742" t="str">
        <f t="shared" si="495"/>
        <v>Cooling Res ER2 10 Year EUL</v>
      </c>
      <c r="BD4539" s="2627">
        <f>(INDEX('Avoided Cost Benefits'!$E$4:$E$859,MATCH(BC4539,'Avoided Cost Benefits'!$A$4:$A$859,0)))*F4539</f>
        <v>139.69218458494339</v>
      </c>
      <c r="BE4539" s="2507">
        <f t="shared" si="496"/>
        <v>0</v>
      </c>
      <c r="BF4539" s="156"/>
    </row>
    <row r="4540" spans="1:58" x14ac:dyDescent="0.35">
      <c r="A4540" s="1071" t="str">
        <f t="shared" si="503"/>
        <v>356850_2022_12_Heating Res ER2</v>
      </c>
      <c r="B4540" s="3395"/>
      <c r="C4540" s="2753" t="s">
        <v>4466</v>
      </c>
      <c r="D4540" s="2998" t="s">
        <v>320</v>
      </c>
      <c r="E4540" s="2744" t="s">
        <v>4413</v>
      </c>
      <c r="F4540" s="618">
        <f>ROUND(((J$4573*J$4574*(1/J$4579-1/J$4583))/1000),2)</f>
        <v>2709.23</v>
      </c>
      <c r="G4540" s="1651" t="s">
        <v>1150</v>
      </c>
      <c r="H4540" s="2720">
        <f>VLOOKUP(G4540,'CP FACTORS'!$A$3:$B$38, 2, FALSE)</f>
        <v>0</v>
      </c>
      <c r="I4540" s="2995">
        <f t="shared" ref="I4540:I4542" si="511">ROUND(F4540*H4540,6)</f>
        <v>0</v>
      </c>
      <c r="J4540" s="464">
        <f>$J$4597</f>
        <v>10</v>
      </c>
      <c r="K4540" s="2996">
        <v>0</v>
      </c>
      <c r="L4540" s="2997"/>
      <c r="M4540" s="657"/>
      <c r="N4540" s="2804"/>
      <c r="O4540" s="2804"/>
      <c r="P4540" s="2804"/>
      <c r="Q4540" s="2804"/>
      <c r="R4540" s="1214"/>
      <c r="S4540" s="156"/>
      <c r="T4540" s="2804"/>
      <c r="U4540" s="2804"/>
      <c r="V4540" s="3414" t="s">
        <v>30</v>
      </c>
      <c r="W4540" s="464"/>
      <c r="X4540" s="464"/>
      <c r="Y4540" s="464"/>
      <c r="Z4540" s="464"/>
      <c r="AA4540" s="464"/>
      <c r="AB4540" s="464"/>
      <c r="AC4540" s="464"/>
      <c r="AD4540" s="99">
        <v>2709.23</v>
      </c>
      <c r="AE4540" s="464"/>
      <c r="AF4540" s="464"/>
      <c r="AG4540" s="464"/>
      <c r="AH4540" s="156"/>
      <c r="AI4540" s="156"/>
      <c r="AJ4540" s="156"/>
      <c r="AK4540" s="156"/>
      <c r="AL4540" s="156"/>
      <c r="AM4540" s="156"/>
      <c r="AN4540" s="156"/>
      <c r="AO4540" s="156"/>
      <c r="AP4540" s="156"/>
      <c r="AQ4540" s="156"/>
      <c r="AR4540" s="156"/>
      <c r="AS4540" s="156"/>
      <c r="AT4540" s="156"/>
      <c r="AU4540" s="156"/>
      <c r="AV4540" s="156"/>
      <c r="AW4540" s="156"/>
      <c r="AX4540" s="156"/>
      <c r="AY4540" s="156"/>
      <c r="AZ4540" s="156"/>
      <c r="BA4540" s="156"/>
      <c r="BB4540" s="3314"/>
      <c r="BC4540" s="2744" t="str">
        <f t="shared" si="495"/>
        <v>Heating Res ER2 10 Year EUL</v>
      </c>
      <c r="BD4540" s="2628">
        <f>(INDEX('Avoided Cost Benefits'!$E$4:$E$859,MATCH(BC4540,'Avoided Cost Benefits'!$A$4:$A$859,0)))*F4540</f>
        <v>670.69791426691665</v>
      </c>
      <c r="BE4540" s="2509">
        <f t="shared" si="496"/>
        <v>0</v>
      </c>
      <c r="BF4540" s="156"/>
    </row>
    <row r="4541" spans="1:58" x14ac:dyDescent="0.35">
      <c r="A4541" s="1071" t="str">
        <f t="shared" si="503"/>
        <v>356875_2022_12_Cooling Res</v>
      </c>
      <c r="B4541" s="3395"/>
      <c r="C4541" s="2753" t="s">
        <v>4467</v>
      </c>
      <c r="D4541" s="2998" t="s">
        <v>315</v>
      </c>
      <c r="E4541" s="2738" t="s">
        <v>4410</v>
      </c>
      <c r="F4541" s="618">
        <f>ROUND(((J$4584*J$4586*(1/J$4588-1/J$4593))/1000),2)</f>
        <v>437.97</v>
      </c>
      <c r="G4541" s="1651" t="s">
        <v>1091</v>
      </c>
      <c r="H4541" s="2720">
        <f>VLOOKUP(G4541,'CP FACTORS'!$A$3:$B$38, 2, FALSE)</f>
        <v>9.4741810000000004E-4</v>
      </c>
      <c r="I4541" s="2995">
        <f t="shared" si="511"/>
        <v>0.414941</v>
      </c>
      <c r="J4541" s="3010">
        <f>$J$4596</f>
        <v>5</v>
      </c>
      <c r="K4541" s="3011">
        <f>J$4598</f>
        <v>224.93182686576984</v>
      </c>
      <c r="L4541" s="2997">
        <f>K$4573</f>
        <v>1.0111111111111111</v>
      </c>
      <c r="M4541" s="657"/>
      <c r="N4541" s="106"/>
      <c r="O4541" s="106"/>
      <c r="P4541" s="106"/>
      <c r="Q4541" s="106"/>
      <c r="R4541" s="1214"/>
      <c r="S4541" s="156"/>
      <c r="T4541" s="106"/>
      <c r="U4541" s="106"/>
      <c r="V4541" s="3415" t="s">
        <v>30</v>
      </c>
      <c r="W4541" s="3010"/>
      <c r="X4541" s="3010"/>
      <c r="Y4541" s="3010"/>
      <c r="Z4541" s="3010"/>
      <c r="AA4541" s="3010"/>
      <c r="AB4541" s="3010"/>
      <c r="AC4541" s="3010"/>
      <c r="AD4541" s="3551">
        <v>437.97</v>
      </c>
      <c r="AE4541" s="3010"/>
      <c r="AF4541" s="3010"/>
      <c r="AG4541" s="3010"/>
      <c r="AH4541" s="156"/>
      <c r="AI4541" s="156"/>
      <c r="AJ4541" s="156"/>
      <c r="AK4541" s="156"/>
      <c r="AL4541" s="156"/>
      <c r="AM4541" s="156"/>
      <c r="AN4541" s="156"/>
      <c r="AO4541" s="156"/>
      <c r="AP4541" s="156"/>
      <c r="AQ4541" s="156"/>
      <c r="AR4541" s="156"/>
      <c r="AS4541" s="156"/>
      <c r="AT4541" s="156"/>
      <c r="AU4541" s="156"/>
      <c r="AV4541" s="156"/>
      <c r="AW4541" s="156"/>
      <c r="AX4541" s="156"/>
      <c r="AY4541" s="156"/>
      <c r="AZ4541" s="156"/>
      <c r="BA4541" s="156"/>
      <c r="BB4541" s="3312">
        <f>(BD4541+BD4542+BD4543+BD4544)/(BE4541+BE4542+BE4543+BE4544)</f>
        <v>3.228099642825931</v>
      </c>
      <c r="BC4541" s="2738" t="str">
        <f t="shared" si="495"/>
        <v>Cooling Res 5 Year EUL</v>
      </c>
      <c r="BD4541" s="3315">
        <f>(INDEX('Avoided Cost Benefits'!$E$4:$E$859,MATCH(BC4541,'Avoided Cost Benefits'!$A$4:$A$859,0)))*F4541</f>
        <v>228.52307306442739</v>
      </c>
      <c r="BE4541" s="3270">
        <f t="shared" si="496"/>
        <v>212.29997816495498</v>
      </c>
      <c r="BF4541" s="156"/>
    </row>
    <row r="4542" spans="1:58" x14ac:dyDescent="0.35">
      <c r="A4542" s="1071" t="str">
        <f t="shared" si="503"/>
        <v>356875_2022_12_Heating Res</v>
      </c>
      <c r="B4542" s="3395"/>
      <c r="C4542" s="2753" t="s">
        <v>4467</v>
      </c>
      <c r="D4542" s="2998" t="s">
        <v>315</v>
      </c>
      <c r="E4542" s="2742" t="s">
        <v>4410</v>
      </c>
      <c r="F4542" s="618">
        <f>ROUND(((J$4573*J$4575*(1/J$4578-1/J$4583))/1000),2)</f>
        <v>924.79</v>
      </c>
      <c r="G4542" s="1651" t="s">
        <v>1092</v>
      </c>
      <c r="H4542" s="2720">
        <f>VLOOKUP(G4542,'CP FACTORS'!$A$3:$B$38, 2, FALSE)</f>
        <v>0</v>
      </c>
      <c r="I4542" s="2995">
        <f t="shared" si="511"/>
        <v>0</v>
      </c>
      <c r="J4542" s="464">
        <f>$J$4596</f>
        <v>5</v>
      </c>
      <c r="K4542" s="2996">
        <v>0</v>
      </c>
      <c r="L4542" s="2997"/>
      <c r="M4542" s="657"/>
      <c r="N4542" s="106"/>
      <c r="O4542" s="106"/>
      <c r="P4542" s="106"/>
      <c r="Q4542" s="106"/>
      <c r="R4542" s="1214"/>
      <c r="S4542" s="156"/>
      <c r="T4542" s="106"/>
      <c r="U4542" s="106"/>
      <c r="V4542" s="3414" t="s">
        <v>30</v>
      </c>
      <c r="W4542" s="464"/>
      <c r="X4542" s="464"/>
      <c r="Y4542" s="464"/>
      <c r="Z4542" s="464"/>
      <c r="AA4542" s="464"/>
      <c r="AB4542" s="464"/>
      <c r="AC4542" s="464"/>
      <c r="AD4542" s="99">
        <v>924.79</v>
      </c>
      <c r="AE4542" s="464"/>
      <c r="AF4542" s="464"/>
      <c r="AG4542" s="464"/>
      <c r="AH4542" s="156"/>
      <c r="AI4542" s="156"/>
      <c r="AJ4542" s="156"/>
      <c r="AK4542" s="156"/>
      <c r="AL4542" s="156"/>
      <c r="AM4542" s="156"/>
      <c r="AN4542" s="156"/>
      <c r="AO4542" s="156"/>
      <c r="AP4542" s="156"/>
      <c r="AQ4542" s="156"/>
      <c r="AR4542" s="156"/>
      <c r="AS4542" s="156"/>
      <c r="AT4542" s="156"/>
      <c r="AU4542" s="156"/>
      <c r="AV4542" s="156"/>
      <c r="AW4542" s="156"/>
      <c r="AX4542" s="156"/>
      <c r="AY4542" s="156"/>
      <c r="AZ4542" s="156"/>
      <c r="BA4542" s="156"/>
      <c r="BB4542" s="3313"/>
      <c r="BC4542" s="2742" t="str">
        <f t="shared" si="495"/>
        <v>Heating Res 5 Year EUL</v>
      </c>
      <c r="BD4542" s="2627">
        <f>(INDEX('Avoided Cost Benefits'!$E$4:$E$859,MATCH(BC4542,'Avoided Cost Benefits'!$A$4:$A$859,0)))*F4542</f>
        <v>126.20541797380498</v>
      </c>
      <c r="BE4542" s="2507">
        <f t="shared" si="496"/>
        <v>0</v>
      </c>
      <c r="BF4542" s="156"/>
    </row>
    <row r="4543" spans="1:58" x14ac:dyDescent="0.35">
      <c r="A4543" s="1071" t="str">
        <f t="shared" si="503"/>
        <v>356875_2022_12_Cooling Res ER2</v>
      </c>
      <c r="B4543" s="3395"/>
      <c r="C4543" s="2753" t="s">
        <v>4467</v>
      </c>
      <c r="D4543" s="2998" t="s">
        <v>315</v>
      </c>
      <c r="E4543" s="2742" t="s">
        <v>4414</v>
      </c>
      <c r="F4543" s="618">
        <f>ROUND(((J$4584*J$4586*(1/J$4589-1/J$4593))/1000),2)</f>
        <v>102.44</v>
      </c>
      <c r="G4543" s="1651" t="s">
        <v>1133</v>
      </c>
      <c r="H4543" s="2720">
        <f>VLOOKUP(G4543,'CP FACTORS'!$A$3:$B$38, 2, FALSE)</f>
        <v>9.4741810000000004E-4</v>
      </c>
      <c r="I4543" s="3009">
        <f>ROUND(F4543*H4543,6)</f>
        <v>9.7054000000000001E-2</v>
      </c>
      <c r="J4543" s="464">
        <f>$J$4597</f>
        <v>10</v>
      </c>
      <c r="K4543" s="2996">
        <v>0</v>
      </c>
      <c r="L4543" s="2997"/>
      <c r="M4543" s="657"/>
      <c r="N4543" s="2804"/>
      <c r="O4543" s="2804"/>
      <c r="P4543" s="2804"/>
      <c r="Q4543" s="2804"/>
      <c r="R4543" s="1214"/>
      <c r="S4543" s="156"/>
      <c r="T4543" s="2804"/>
      <c r="U4543" s="2804"/>
      <c r="V4543" s="3414" t="s">
        <v>30</v>
      </c>
      <c r="W4543" s="464"/>
      <c r="X4543" s="464"/>
      <c r="Y4543" s="464"/>
      <c r="Z4543" s="464"/>
      <c r="AA4543" s="464"/>
      <c r="AB4543" s="464"/>
      <c r="AC4543" s="464"/>
      <c r="AD4543" s="99">
        <v>102.44</v>
      </c>
      <c r="AE4543" s="464"/>
      <c r="AF4543" s="464"/>
      <c r="AG4543" s="464"/>
      <c r="AH4543" s="156"/>
      <c r="AI4543" s="156"/>
      <c r="AJ4543" s="156"/>
      <c r="AK4543" s="156"/>
      <c r="AL4543" s="156"/>
      <c r="AM4543" s="156"/>
      <c r="AN4543" s="156"/>
      <c r="AO4543" s="156"/>
      <c r="AP4543" s="156"/>
      <c r="AQ4543" s="156"/>
      <c r="AR4543" s="156"/>
      <c r="AS4543" s="156"/>
      <c r="AT4543" s="156"/>
      <c r="AU4543" s="156"/>
      <c r="AV4543" s="156"/>
      <c r="AW4543" s="156"/>
      <c r="AX4543" s="156"/>
      <c r="AY4543" s="156"/>
      <c r="AZ4543" s="156"/>
      <c r="BA4543" s="156"/>
      <c r="BB4543" s="3313"/>
      <c r="BC4543" s="2742" t="str">
        <f t="shared" si="495"/>
        <v>Cooling Res ER2 10 Year EUL</v>
      </c>
      <c r="BD4543" s="2627">
        <f>(INDEX('Avoided Cost Benefits'!$E$4:$E$859,MATCH(BC4543,'Avoided Cost Benefits'!$A$4:$A$859,0)))*F4543</f>
        <v>101.65566092833417</v>
      </c>
      <c r="BE4543" s="2507">
        <f t="shared" si="496"/>
        <v>0</v>
      </c>
      <c r="BF4543" s="156"/>
    </row>
    <row r="4544" spans="1:58" x14ac:dyDescent="0.35">
      <c r="A4544" s="1071" t="str">
        <f t="shared" si="503"/>
        <v>356875_2022_12_Heating Res ER2</v>
      </c>
      <c r="B4544" s="3395"/>
      <c r="C4544" s="2753" t="s">
        <v>4467</v>
      </c>
      <c r="D4544" s="2998" t="s">
        <v>315</v>
      </c>
      <c r="E4544" s="2744" t="s">
        <v>4414</v>
      </c>
      <c r="F4544" s="618">
        <f>ROUND(((J$4573*J$4575*(1/J$4579-1/J$4583))/1000),2)</f>
        <v>924.79</v>
      </c>
      <c r="G4544" s="1651" t="s">
        <v>1150</v>
      </c>
      <c r="H4544" s="2720">
        <f>VLOOKUP(G4544,'CP FACTORS'!$A$3:$B$38, 2, FALSE)</f>
        <v>0</v>
      </c>
      <c r="I4544" s="2995">
        <f t="shared" ref="I4544:I4548" si="512">ROUND(F4544*H4544,6)</f>
        <v>0</v>
      </c>
      <c r="J4544" s="464">
        <f>$J$4597</f>
        <v>10</v>
      </c>
      <c r="K4544" s="2996">
        <v>0</v>
      </c>
      <c r="L4544" s="2997"/>
      <c r="M4544" s="657"/>
      <c r="N4544" s="2804"/>
      <c r="O4544" s="2804"/>
      <c r="P4544" s="2804"/>
      <c r="Q4544" s="2804"/>
      <c r="R4544" s="1214"/>
      <c r="S4544" s="156"/>
      <c r="T4544" s="2804"/>
      <c r="U4544" s="2804"/>
      <c r="V4544" s="3414" t="s">
        <v>30</v>
      </c>
      <c r="W4544" s="464"/>
      <c r="X4544" s="464"/>
      <c r="Y4544" s="464"/>
      <c r="Z4544" s="464"/>
      <c r="AA4544" s="464"/>
      <c r="AB4544" s="464"/>
      <c r="AC4544" s="464"/>
      <c r="AD4544" s="99">
        <v>924.79</v>
      </c>
      <c r="AE4544" s="464"/>
      <c r="AF4544" s="464"/>
      <c r="AG4544" s="464"/>
      <c r="AH4544" s="156"/>
      <c r="AI4544" s="156"/>
      <c r="AJ4544" s="156"/>
      <c r="AK4544" s="156"/>
      <c r="AL4544" s="156"/>
      <c r="AM4544" s="156"/>
      <c r="AN4544" s="156"/>
      <c r="AO4544" s="156"/>
      <c r="AP4544" s="156"/>
      <c r="AQ4544" s="156"/>
      <c r="AR4544" s="156"/>
      <c r="AS4544" s="156"/>
      <c r="AT4544" s="156"/>
      <c r="AU4544" s="156"/>
      <c r="AV4544" s="156"/>
      <c r="AW4544" s="156"/>
      <c r="AX4544" s="156"/>
      <c r="AY4544" s="156"/>
      <c r="AZ4544" s="156"/>
      <c r="BA4544" s="156"/>
      <c r="BB4544" s="3314"/>
      <c r="BC4544" s="2744" t="str">
        <f t="shared" si="495"/>
        <v>Heating Res ER2 10 Year EUL</v>
      </c>
      <c r="BD4544" s="2628">
        <f>(INDEX('Avoided Cost Benefits'!$E$4:$E$859,MATCH(BC4544,'Avoided Cost Benefits'!$A$4:$A$859,0)))*F4544</f>
        <v>228.94133171967749</v>
      </c>
      <c r="BE4544" s="2509">
        <f t="shared" si="496"/>
        <v>0</v>
      </c>
      <c r="BF4544" s="156"/>
    </row>
    <row r="4545" spans="1:58" s="3423" customFormat="1" x14ac:dyDescent="0.35">
      <c r="A4545" s="1071" t="str">
        <f t="shared" si="503"/>
        <v>356900_2022_12_Cooling Res</v>
      </c>
      <c r="C4545" s="2753" t="s">
        <v>4468</v>
      </c>
      <c r="D4545" s="2998" t="s">
        <v>320</v>
      </c>
      <c r="E4545" s="2738" t="s">
        <v>4553</v>
      </c>
      <c r="F4545" s="618">
        <f>ROUND(((J$4584*J$4585*(1/J$4589-1/J$4593))/1000),2)</f>
        <v>140.77000000000001</v>
      </c>
      <c r="G4545" s="1651" t="s">
        <v>1091</v>
      </c>
      <c r="H4545" s="2720">
        <f>VLOOKUP(G4545,'CP FACTORS'!$A$3:$B$38, 2, FALSE)</f>
        <v>9.4741810000000004E-4</v>
      </c>
      <c r="I4545" s="2995">
        <f t="shared" si="512"/>
        <v>0.13336799999999999</v>
      </c>
      <c r="J4545" s="464">
        <f t="shared" ref="J4545:J4548" si="513">$J$4595</f>
        <v>15</v>
      </c>
      <c r="K4545" s="2996">
        <f t="shared" ref="K4545" si="514">J$4599</f>
        <v>84.93</v>
      </c>
      <c r="L4545" s="2997">
        <f>K$4573</f>
        <v>1.0111111111111111</v>
      </c>
      <c r="M4545" s="657"/>
      <c r="R4545" s="1214"/>
      <c r="S4545" s="156"/>
      <c r="V4545" s="3414" t="s">
        <v>30</v>
      </c>
      <c r="W4545" s="464"/>
      <c r="X4545" s="464"/>
      <c r="Y4545" s="464"/>
      <c r="Z4545" s="464"/>
      <c r="AA4545" s="464"/>
      <c r="AB4545" s="464"/>
      <c r="AC4545" s="464"/>
      <c r="AD4545" s="99">
        <v>140.77000000000001</v>
      </c>
      <c r="AE4545" s="464"/>
      <c r="AF4545" s="464"/>
      <c r="AG4545" s="464"/>
      <c r="AH4545" s="156"/>
      <c r="AI4545" s="156"/>
      <c r="AJ4545" s="156"/>
      <c r="AK4545" s="156"/>
      <c r="AL4545" s="156"/>
      <c r="AM4545" s="156"/>
      <c r="AN4545" s="156"/>
      <c r="AO4545" s="156"/>
      <c r="AP4545" s="156"/>
      <c r="AQ4545" s="156"/>
      <c r="AR4545" s="156"/>
      <c r="AS4545" s="156"/>
      <c r="AT4545" s="156"/>
      <c r="AU4545" s="156"/>
      <c r="AV4545" s="156"/>
      <c r="AW4545" s="156"/>
      <c r="AX4545" s="156"/>
      <c r="AY4545" s="156"/>
      <c r="AZ4545" s="156"/>
      <c r="BA4545" s="156"/>
      <c r="BB4545" s="3312">
        <f>(BD4545+BD4546)/(BE4545+BE4546)</f>
        <v>3.667503930072852</v>
      </c>
      <c r="BC4545" s="2738" t="str">
        <f t="shared" si="495"/>
        <v>Cooling Res 15 Year EUL</v>
      </c>
      <c r="BD4545" s="3315">
        <f>(INDEX('Avoided Cost Benefits'!$E$4:$E$859,MATCH(BC4545,'Avoided Cost Benefits'!$A$4:$A$859,0)))*F4545</f>
        <v>213.14286156125354</v>
      </c>
      <c r="BE4545" s="3270">
        <f t="shared" si="496"/>
        <v>80.160453043888623</v>
      </c>
      <c r="BF4545" s="156"/>
    </row>
    <row r="4546" spans="1:58" s="3423" customFormat="1" x14ac:dyDescent="0.35">
      <c r="A4546" s="1071" t="str">
        <f t="shared" si="503"/>
        <v>356900_2022_12_Heating Res</v>
      </c>
      <c r="C4546" s="2753" t="s">
        <v>4468</v>
      </c>
      <c r="D4546" s="2998" t="s">
        <v>320</v>
      </c>
      <c r="E4546" s="2744" t="s">
        <v>4553</v>
      </c>
      <c r="F4546" s="618">
        <f>ROUND(((J$4573*J$4574*(1/J$4577-1/J$4583))/1000),2)</f>
        <v>210.52</v>
      </c>
      <c r="G4546" s="1651" t="s">
        <v>1092</v>
      </c>
      <c r="H4546" s="2720">
        <f>VLOOKUP(G4546,'CP FACTORS'!$A$3:$B$38, 2, FALSE)</f>
        <v>0</v>
      </c>
      <c r="I4546" s="2995">
        <f t="shared" si="512"/>
        <v>0</v>
      </c>
      <c r="J4546" s="464">
        <f t="shared" si="513"/>
        <v>15</v>
      </c>
      <c r="K4546" s="2996">
        <v>0</v>
      </c>
      <c r="L4546" s="2997"/>
      <c r="M4546" s="657"/>
      <c r="R4546" s="1214"/>
      <c r="S4546" s="156"/>
      <c r="V4546" s="3414" t="s">
        <v>30</v>
      </c>
      <c r="W4546" s="464"/>
      <c r="X4546" s="464"/>
      <c r="Y4546" s="464"/>
      <c r="Z4546" s="464"/>
      <c r="AA4546" s="464"/>
      <c r="AB4546" s="464"/>
      <c r="AC4546" s="464"/>
      <c r="AD4546" s="99">
        <v>210.52</v>
      </c>
      <c r="AE4546" s="464"/>
      <c r="AF4546" s="464"/>
      <c r="AG4546" s="464"/>
      <c r="AH4546" s="156"/>
      <c r="AI4546" s="156"/>
      <c r="AJ4546" s="156"/>
      <c r="AK4546" s="156"/>
      <c r="AL4546" s="156"/>
      <c r="AM4546" s="156"/>
      <c r="AN4546" s="156"/>
      <c r="AO4546" s="156"/>
      <c r="AP4546" s="156"/>
      <c r="AQ4546" s="156"/>
      <c r="AR4546" s="156"/>
      <c r="AS4546" s="156"/>
      <c r="AT4546" s="156"/>
      <c r="AU4546" s="156"/>
      <c r="AV4546" s="156"/>
      <c r="AW4546" s="156"/>
      <c r="AX4546" s="156"/>
      <c r="AY4546" s="156"/>
      <c r="AZ4546" s="156"/>
      <c r="BA4546" s="156"/>
      <c r="BB4546" s="3314"/>
      <c r="BC4546" s="2744" t="str">
        <f t="shared" si="495"/>
        <v>Heating Res 15 Year EUL</v>
      </c>
      <c r="BD4546" s="2628">
        <f>(INDEX('Avoided Cost Benefits'!$E$4:$E$859,MATCH(BC4546,'Avoided Cost Benefits'!$A$4:$A$859,0)))*F4546</f>
        <v>80.845915013628314</v>
      </c>
      <c r="BE4546" s="2509">
        <f t="shared" si="496"/>
        <v>0</v>
      </c>
      <c r="BF4546" s="156"/>
    </row>
    <row r="4547" spans="1:58" s="3423" customFormat="1" x14ac:dyDescent="0.35">
      <c r="A4547" s="1071" t="str">
        <f t="shared" si="503"/>
        <v>356925_2022_12_Cooling Res</v>
      </c>
      <c r="C4547" s="3528" t="s">
        <v>4568</v>
      </c>
      <c r="D4547" s="3623" t="s">
        <v>315</v>
      </c>
      <c r="E4547" s="2742" t="s">
        <v>4554</v>
      </c>
      <c r="F4547" s="3007">
        <f>ROUND(((J$4584*J$4586*(1/J$4589-1/J$4593))/1000),2)</f>
        <v>102.44</v>
      </c>
      <c r="G4547" s="3008" t="s">
        <v>1091</v>
      </c>
      <c r="H4547" s="3412">
        <f>VLOOKUP(G4547,'CP FACTORS'!$A$3:$B$38, 2, FALSE)</f>
        <v>9.4741810000000004E-4</v>
      </c>
      <c r="I4547" s="3009">
        <f t="shared" si="512"/>
        <v>9.7054000000000001E-2</v>
      </c>
      <c r="J4547" s="3010">
        <f t="shared" si="513"/>
        <v>15</v>
      </c>
      <c r="K4547" s="3011">
        <f t="shared" ref="K4547" si="515">J$4599</f>
        <v>84.93</v>
      </c>
      <c r="L4547" s="2997">
        <f>K$4573</f>
        <v>1.0111111111111111</v>
      </c>
      <c r="M4547" s="657"/>
      <c r="R4547" s="1214"/>
      <c r="S4547" s="156"/>
      <c r="V4547" s="3414" t="s">
        <v>30</v>
      </c>
      <c r="W4547" s="464"/>
      <c r="X4547" s="464"/>
      <c r="Y4547" s="464"/>
      <c r="Z4547" s="464"/>
      <c r="AA4547" s="464"/>
      <c r="AB4547" s="464"/>
      <c r="AC4547" s="464"/>
      <c r="AD4547" s="99">
        <v>102.44</v>
      </c>
      <c r="AE4547" s="464"/>
      <c r="AF4547" s="464"/>
      <c r="AG4547" s="464"/>
      <c r="AH4547" s="156"/>
      <c r="AI4547" s="156"/>
      <c r="AJ4547" s="156"/>
      <c r="AK4547" s="156"/>
      <c r="AL4547" s="156"/>
      <c r="AM4547" s="156"/>
      <c r="AN4547" s="156"/>
      <c r="AO4547" s="156"/>
      <c r="AP4547" s="156"/>
      <c r="AQ4547" s="156"/>
      <c r="AR4547" s="156"/>
      <c r="AS4547" s="156"/>
      <c r="AT4547" s="156"/>
      <c r="AU4547" s="156"/>
      <c r="AV4547" s="156"/>
      <c r="AW4547" s="156"/>
      <c r="AX4547" s="156"/>
      <c r="AY4547" s="156"/>
      <c r="AZ4547" s="156"/>
      <c r="BA4547" s="156"/>
      <c r="BB4547" s="3312">
        <f>(BD4547+BD4548)/(BE4547+BE4548)</f>
        <v>2.2792156457384736</v>
      </c>
      <c r="BC4547" s="2738" t="str">
        <f t="shared" si="495"/>
        <v>Cooling Res 15 Year EUL</v>
      </c>
      <c r="BD4547" s="3315">
        <f>(INDEX('Avoided Cost Benefits'!$E$4:$E$859,MATCH(BC4547,'Avoided Cost Benefits'!$A$4:$A$859,0)))*F4547</f>
        <v>155.10659045488961</v>
      </c>
      <c r="BE4547" s="3270">
        <f t="shared" si="496"/>
        <v>80.160453043888623</v>
      </c>
      <c r="BF4547" s="156"/>
    </row>
    <row r="4548" spans="1:58" s="3423" customFormat="1" x14ac:dyDescent="0.35">
      <c r="A4548" s="1071" t="str">
        <f t="shared" si="503"/>
        <v>356925_2022_12_Heating Res</v>
      </c>
      <c r="C4548" s="2753" t="s">
        <v>4568</v>
      </c>
      <c r="D4548" s="2998" t="s">
        <v>315</v>
      </c>
      <c r="E4548" s="2742" t="s">
        <v>4554</v>
      </c>
      <c r="F4548" s="618">
        <f>ROUND(((J$4573*J$4575*(1/J$4577-1/J$4583))/1000),2)</f>
        <v>71.86</v>
      </c>
      <c r="G4548" s="1651" t="s">
        <v>1092</v>
      </c>
      <c r="H4548" s="2720">
        <f>VLOOKUP(G4548,'CP FACTORS'!$A$3:$B$38, 2, FALSE)</f>
        <v>0</v>
      </c>
      <c r="I4548" s="2995">
        <f t="shared" si="512"/>
        <v>0</v>
      </c>
      <c r="J4548" s="464">
        <f t="shared" si="513"/>
        <v>15</v>
      </c>
      <c r="K4548" s="2996">
        <v>0</v>
      </c>
      <c r="L4548" s="2997"/>
      <c r="M4548" s="657"/>
      <c r="R4548" s="1214"/>
      <c r="S4548" s="156"/>
      <c r="V4548" s="3414" t="s">
        <v>30</v>
      </c>
      <c r="W4548" s="464"/>
      <c r="X4548" s="464"/>
      <c r="Y4548" s="464"/>
      <c r="Z4548" s="464"/>
      <c r="AA4548" s="464"/>
      <c r="AB4548" s="464"/>
      <c r="AC4548" s="464"/>
      <c r="AD4548" s="99">
        <v>71.86</v>
      </c>
      <c r="AE4548" s="464"/>
      <c r="AF4548" s="464"/>
      <c r="AG4548" s="464"/>
      <c r="AH4548" s="156"/>
      <c r="AI4548" s="156"/>
      <c r="AJ4548" s="156"/>
      <c r="AK4548" s="156"/>
      <c r="AL4548" s="156"/>
      <c r="AM4548" s="156"/>
      <c r="AN4548" s="156"/>
      <c r="AO4548" s="156"/>
      <c r="AP4548" s="156"/>
      <c r="AQ4548" s="156"/>
      <c r="AR4548" s="156"/>
      <c r="AS4548" s="156"/>
      <c r="AT4548" s="156"/>
      <c r="AU4548" s="156"/>
      <c r="AV4548" s="156"/>
      <c r="AW4548" s="156"/>
      <c r="AX4548" s="156"/>
      <c r="AY4548" s="156"/>
      <c r="AZ4548" s="156"/>
      <c r="BA4548" s="156"/>
      <c r="BB4548" s="3314"/>
      <c r="BC4548" s="2744" t="str">
        <f t="shared" si="495"/>
        <v>Heating Res 15 Year EUL</v>
      </c>
      <c r="BD4548" s="2628">
        <f>(INDEX('Avoided Cost Benefits'!$E$4:$E$859,MATCH(BC4548,'Avoided Cost Benefits'!$A$4:$A$859,0)))*F4548</f>
        <v>27.596368292225584</v>
      </c>
      <c r="BE4548" s="2509">
        <f t="shared" si="496"/>
        <v>0</v>
      </c>
      <c r="BF4548" s="156"/>
    </row>
    <row r="4549" spans="1:58" x14ac:dyDescent="0.35">
      <c r="A4549" s="1071" t="str">
        <f t="shared" si="503"/>
        <v>356950_2022_12_Cooling Res</v>
      </c>
      <c r="B4549" s="3395"/>
      <c r="C4549" s="2753" t="s">
        <v>4569</v>
      </c>
      <c r="D4549" s="2736" t="s">
        <v>320</v>
      </c>
      <c r="E4549" s="2738" t="s">
        <v>4380</v>
      </c>
      <c r="F4549" s="618">
        <f>ROUND(((J$4584*J$4585*(1/J$4589-1/J$4593))/1000),2)</f>
        <v>140.77000000000001</v>
      </c>
      <c r="G4549" s="1651" t="s">
        <v>1091</v>
      </c>
      <c r="H4549" s="2720">
        <f>VLOOKUP(G4549,'CP FACTORS'!$A$3:$B$38, 2, FALSE)</f>
        <v>9.4741810000000004E-4</v>
      </c>
      <c r="I4549" s="2995">
        <f t="shared" ref="I4549:I4552" si="516">ROUND(F4549*H4549,6)</f>
        <v>0.13336799999999999</v>
      </c>
      <c r="J4549" s="464">
        <f>$J$4595</f>
        <v>15</v>
      </c>
      <c r="K4549" s="2996">
        <f>J$4599</f>
        <v>84.93</v>
      </c>
      <c r="L4549" s="2997">
        <f>K$4573</f>
        <v>1.0111111111111111</v>
      </c>
      <c r="M4549" s="657"/>
      <c r="N4549" s="106"/>
      <c r="O4549" s="106"/>
      <c r="P4549" s="106"/>
      <c r="Q4549" s="106"/>
      <c r="R4549" s="1214"/>
      <c r="S4549" s="156"/>
      <c r="T4549" s="106"/>
      <c r="U4549" s="106"/>
      <c r="V4549" s="3414" t="s">
        <v>30</v>
      </c>
      <c r="W4549" s="464"/>
      <c r="X4549" s="464"/>
      <c r="Y4549" s="464"/>
      <c r="Z4549" s="464"/>
      <c r="AA4549" s="464"/>
      <c r="AB4549" s="464"/>
      <c r="AC4549" s="464"/>
      <c r="AD4549" s="99">
        <v>140.77000000000001</v>
      </c>
      <c r="AE4549" s="464"/>
      <c r="AF4549" s="464"/>
      <c r="AG4549" s="464"/>
      <c r="AH4549" s="156"/>
      <c r="AI4549" s="156"/>
      <c r="AJ4549" s="156"/>
      <c r="AK4549" s="156"/>
      <c r="AL4549" s="156"/>
      <c r="AM4549" s="156"/>
      <c r="AN4549" s="156"/>
      <c r="AO4549" s="156"/>
      <c r="AP4549" s="156"/>
      <c r="AQ4549" s="156"/>
      <c r="AR4549" s="156"/>
      <c r="AS4549" s="156"/>
      <c r="AT4549" s="156"/>
      <c r="AU4549" s="156"/>
      <c r="AV4549" s="156"/>
      <c r="AW4549" s="156"/>
      <c r="AX4549" s="156"/>
      <c r="AY4549" s="156"/>
      <c r="AZ4549" s="156"/>
      <c r="BA4549" s="156"/>
      <c r="BB4549" s="3312">
        <f>(BD4549+BD4550)/(BE4549+BE4550)</f>
        <v>15.638227751662978</v>
      </c>
      <c r="BC4549" s="2738" t="str">
        <f t="shared" si="495"/>
        <v>Cooling Res 15 Year EUL</v>
      </c>
      <c r="BD4549" s="3315">
        <f>(INDEX('Avoided Cost Benefits'!$E$4:$E$859,MATCH(BC4549,'Avoided Cost Benefits'!$A$4:$A$859,0)))*F4549</f>
        <v>213.14286156125354</v>
      </c>
      <c r="BE4549" s="3270">
        <f t="shared" si="496"/>
        <v>80.160453043888623</v>
      </c>
      <c r="BF4549" s="156"/>
    </row>
    <row r="4550" spans="1:58" x14ac:dyDescent="0.35">
      <c r="A4550" s="1071" t="str">
        <f t="shared" si="503"/>
        <v>356950_2022_12_Heating Res</v>
      </c>
      <c r="B4550" s="3395"/>
      <c r="C4550" s="2753" t="s">
        <v>4569</v>
      </c>
      <c r="D4550" s="2998" t="s">
        <v>320</v>
      </c>
      <c r="E4550" s="2744" t="s">
        <v>4380</v>
      </c>
      <c r="F4550" s="618">
        <f>ROUND(((J$4573*J$4574*(1/J$4579-1/J$4583))/1000),2)</f>
        <v>2709.23</v>
      </c>
      <c r="G4550" s="1651" t="s">
        <v>1092</v>
      </c>
      <c r="H4550" s="2720">
        <f>VLOOKUP(G4550,'CP FACTORS'!$A$3:$B$38, 2, FALSE)</f>
        <v>0</v>
      </c>
      <c r="I4550" s="2995">
        <f t="shared" si="516"/>
        <v>0</v>
      </c>
      <c r="J4550" s="464">
        <f>$J$4595</f>
        <v>15</v>
      </c>
      <c r="K4550" s="2996">
        <v>0</v>
      </c>
      <c r="L4550" s="2997"/>
      <c r="M4550" s="657"/>
      <c r="N4550" s="106"/>
      <c r="O4550" s="106"/>
      <c r="P4550" s="106"/>
      <c r="Q4550" s="106"/>
      <c r="R4550" s="1214"/>
      <c r="S4550" s="156"/>
      <c r="T4550" s="106"/>
      <c r="U4550" s="106"/>
      <c r="V4550" s="3414" t="s">
        <v>30</v>
      </c>
      <c r="W4550" s="464"/>
      <c r="X4550" s="464"/>
      <c r="Y4550" s="464"/>
      <c r="Z4550" s="464"/>
      <c r="AA4550" s="464"/>
      <c r="AB4550" s="464"/>
      <c r="AC4550" s="464"/>
      <c r="AD4550" s="99">
        <v>2709.23</v>
      </c>
      <c r="AE4550" s="464"/>
      <c r="AF4550" s="464"/>
      <c r="AG4550" s="464"/>
      <c r="AH4550" s="156"/>
      <c r="AI4550" s="156"/>
      <c r="AJ4550" s="156"/>
      <c r="AK4550" s="156"/>
      <c r="AL4550" s="156"/>
      <c r="AM4550" s="156"/>
      <c r="AN4550" s="156"/>
      <c r="AO4550" s="156"/>
      <c r="AP4550" s="156"/>
      <c r="AQ4550" s="156"/>
      <c r="AR4550" s="156"/>
      <c r="AS4550" s="156"/>
      <c r="AT4550" s="156"/>
      <c r="AU4550" s="156"/>
      <c r="AV4550" s="156"/>
      <c r="AW4550" s="156"/>
      <c r="AX4550" s="156"/>
      <c r="AY4550" s="156"/>
      <c r="AZ4550" s="156"/>
      <c r="BA4550" s="156"/>
      <c r="BB4550" s="3314"/>
      <c r="BC4550" s="2744" t="str">
        <f t="shared" si="495"/>
        <v>Heating Res 15 Year EUL</v>
      </c>
      <c r="BD4550" s="2628">
        <f>(INDEX('Avoided Cost Benefits'!$E$4:$E$859,MATCH(BC4550,'Avoided Cost Benefits'!$A$4:$A$859,0)))*F4550</f>
        <v>1040.4245598155626</v>
      </c>
      <c r="BE4550" s="2509">
        <f t="shared" si="496"/>
        <v>0</v>
      </c>
      <c r="BF4550" s="156"/>
    </row>
    <row r="4551" spans="1:58" s="3423" customFormat="1" x14ac:dyDescent="0.35">
      <c r="A4551" s="1071" t="str">
        <f t="shared" si="503"/>
        <v>356975_2022_12_Cooling Res</v>
      </c>
      <c r="C4551" s="3528" t="s">
        <v>4570</v>
      </c>
      <c r="D4551" s="3411" t="s">
        <v>315</v>
      </c>
      <c r="E4551" s="2742" t="s">
        <v>4555</v>
      </c>
      <c r="F4551" s="3007">
        <f>ROUND(((J$4584*J$4586*(1/J$4589-1/J$4593))/1000),2)</f>
        <v>102.44</v>
      </c>
      <c r="G4551" s="3008" t="s">
        <v>1091</v>
      </c>
      <c r="H4551" s="3412">
        <f>VLOOKUP(G4551,'CP FACTORS'!$A$3:$B$38, 2, FALSE)</f>
        <v>9.4741810000000004E-4</v>
      </c>
      <c r="I4551" s="3009">
        <f t="shared" si="516"/>
        <v>9.7054000000000001E-2</v>
      </c>
      <c r="J4551" s="3010">
        <f>$J$4595</f>
        <v>15</v>
      </c>
      <c r="K4551" s="3011">
        <f>J$4599</f>
        <v>84.93</v>
      </c>
      <c r="L4551" s="2997">
        <f>K$4573</f>
        <v>1.0111111111111111</v>
      </c>
      <c r="M4551" s="657"/>
      <c r="R4551" s="1214"/>
      <c r="S4551" s="156"/>
      <c r="V4551" s="3414" t="s">
        <v>30</v>
      </c>
      <c r="W4551" s="464"/>
      <c r="X4551" s="464"/>
      <c r="Y4551" s="464"/>
      <c r="Z4551" s="464"/>
      <c r="AA4551" s="464"/>
      <c r="AB4551" s="464"/>
      <c r="AC4551" s="464"/>
      <c r="AD4551" s="99">
        <v>102.44</v>
      </c>
      <c r="AE4551" s="464"/>
      <c r="AF4551" s="464"/>
      <c r="AG4551" s="464"/>
      <c r="AH4551" s="156"/>
      <c r="AI4551" s="156"/>
      <c r="AJ4551" s="156"/>
      <c r="AK4551" s="156"/>
      <c r="AL4551" s="156"/>
      <c r="AM4551" s="156"/>
      <c r="AN4551" s="156"/>
      <c r="AO4551" s="156"/>
      <c r="AP4551" s="156"/>
      <c r="AQ4551" s="156"/>
      <c r="AR4551" s="156"/>
      <c r="AS4551" s="156"/>
      <c r="AT4551" s="156"/>
      <c r="AU4551" s="156"/>
      <c r="AV4551" s="156"/>
      <c r="AW4551" s="156"/>
      <c r="AX4551" s="156"/>
      <c r="AY4551" s="156"/>
      <c r="AZ4551" s="156"/>
      <c r="BA4551" s="156"/>
      <c r="BB4551" s="3312">
        <f>(BD4551+BD4552)/(BE4551+BE4552)</f>
        <v>6.3653999044755283</v>
      </c>
      <c r="BC4551" s="2738" t="str">
        <f t="shared" si="495"/>
        <v>Cooling Res 15 Year EUL</v>
      </c>
      <c r="BD4551" s="3315">
        <f>(INDEX('Avoided Cost Benefits'!$E$4:$E$859,MATCH(BC4551,'Avoided Cost Benefits'!$A$4:$A$859,0)))*F4551</f>
        <v>155.10659045488961</v>
      </c>
      <c r="BE4551" s="3270">
        <f t="shared" si="496"/>
        <v>80.160453043888623</v>
      </c>
      <c r="BF4551" s="156"/>
    </row>
    <row r="4552" spans="1:58" s="3423" customFormat="1" ht="15" thickBot="1" x14ac:dyDescent="0.4">
      <c r="A4552" s="1071" t="str">
        <f t="shared" si="503"/>
        <v>356975_2022_12_Heating Res</v>
      </c>
      <c r="C4552" s="3527" t="s">
        <v>4570</v>
      </c>
      <c r="D4552" s="2999" t="s">
        <v>315</v>
      </c>
      <c r="E4552" s="3000" t="s">
        <v>4555</v>
      </c>
      <c r="F4552" s="3001">
        <f>ROUND(((J$4573*J$4575*(1/J$4579-1/J$4583))/1000),2)</f>
        <v>924.79</v>
      </c>
      <c r="G4552" s="3002" t="s">
        <v>1092</v>
      </c>
      <c r="H4552" s="3413">
        <f>VLOOKUP(G4552,'CP FACTORS'!$A$3:$B$38, 2, FALSE)</f>
        <v>0</v>
      </c>
      <c r="I4552" s="3003">
        <f t="shared" si="516"/>
        <v>0</v>
      </c>
      <c r="J4552" s="3004">
        <f>$J$4595</f>
        <v>15</v>
      </c>
      <c r="K4552" s="3005">
        <v>0</v>
      </c>
      <c r="L4552" s="3006"/>
      <c r="M4552" s="657"/>
      <c r="R4552" s="1214"/>
      <c r="S4552" s="156"/>
      <c r="V4552" s="3416" t="s">
        <v>30</v>
      </c>
      <c r="W4552" s="3004"/>
      <c r="X4552" s="3004"/>
      <c r="Y4552" s="3004"/>
      <c r="Z4552" s="3004"/>
      <c r="AA4552" s="3004"/>
      <c r="AB4552" s="3004"/>
      <c r="AC4552" s="3004"/>
      <c r="AD4552" s="3552">
        <v>924.79</v>
      </c>
      <c r="AE4552" s="3004"/>
      <c r="AF4552" s="3004"/>
      <c r="AG4552" s="3004"/>
      <c r="AH4552" s="156"/>
      <c r="AI4552" s="156"/>
      <c r="AJ4552" s="156"/>
      <c r="AK4552" s="156"/>
      <c r="AL4552" s="156"/>
      <c r="AM4552" s="156"/>
      <c r="AN4552" s="156"/>
      <c r="AO4552" s="156"/>
      <c r="AP4552" s="156"/>
      <c r="AQ4552" s="156"/>
      <c r="AR4552" s="156"/>
      <c r="AS4552" s="156"/>
      <c r="AT4552" s="156"/>
      <c r="AU4552" s="156"/>
      <c r="AV4552" s="156"/>
      <c r="AW4552" s="156"/>
      <c r="AX4552" s="156"/>
      <c r="AY4552" s="156"/>
      <c r="AZ4552" s="156"/>
      <c r="BA4552" s="156"/>
      <c r="BB4552" s="3314"/>
      <c r="BC4552" s="2744" t="str">
        <f t="shared" si="495"/>
        <v>Heating Res 15 Year EUL</v>
      </c>
      <c r="BD4552" s="2628">
        <f>(INDEX('Avoided Cost Benefits'!$E$4:$E$859,MATCH(BC4552,'Avoided Cost Benefits'!$A$4:$A$859,0)))*F4552</f>
        <v>355.1467496933941</v>
      </c>
      <c r="BE4552" s="2509">
        <f t="shared" si="496"/>
        <v>0</v>
      </c>
      <c r="BF4552" s="156"/>
    </row>
    <row r="4553" spans="1:58" outlineLevel="1" x14ac:dyDescent="0.35">
      <c r="A4553" s="1071"/>
      <c r="B4553" s="106"/>
      <c r="C4553" s="103"/>
      <c r="D4553" s="292"/>
      <c r="E4553" s="292" t="s">
        <v>4391</v>
      </c>
      <c r="F4553" s="1242"/>
      <c r="G4553" s="1309"/>
      <c r="H4553" s="103"/>
      <c r="I4553" s="103"/>
      <c r="J4553" s="103"/>
      <c r="K4553" s="103"/>
      <c r="L4553" s="103"/>
      <c r="M4553" s="103"/>
      <c r="N4553" s="106"/>
      <c r="O4553" s="106"/>
      <c r="P4553" s="106"/>
      <c r="Q4553" s="292"/>
      <c r="R4553" s="106"/>
      <c r="S4553" s="156"/>
      <c r="T4553" s="106"/>
      <c r="U4553" s="106"/>
      <c r="V4553" s="106"/>
      <c r="W4553" s="156"/>
      <c r="X4553" s="156"/>
      <c r="Y4553" s="156"/>
      <c r="Z4553" s="156"/>
      <c r="AA4553" s="156"/>
      <c r="AB4553" s="156"/>
      <c r="AC4553" s="156"/>
      <c r="AD4553" s="156"/>
      <c r="AE4553" s="156"/>
      <c r="AF4553" s="156"/>
      <c r="AG4553" s="156"/>
      <c r="AH4553" s="156"/>
      <c r="AI4553" s="156"/>
      <c r="AJ4553" s="156"/>
      <c r="AK4553" s="156"/>
      <c r="AL4553" s="156"/>
      <c r="AM4553" s="156"/>
      <c r="AN4553" s="156"/>
      <c r="AO4553" s="156"/>
      <c r="AP4553" s="156"/>
      <c r="AQ4553" s="156"/>
      <c r="AR4553" s="156"/>
      <c r="AS4553" s="156"/>
      <c r="AT4553" s="156"/>
      <c r="AU4553" s="156"/>
      <c r="AV4553" s="156"/>
      <c r="AW4553" s="156"/>
      <c r="AX4553" s="156"/>
      <c r="AY4553" s="156"/>
      <c r="AZ4553" s="156"/>
      <c r="BA4553" s="156"/>
      <c r="BB4553" s="2828"/>
      <c r="BC4553" s="2828"/>
      <c r="BD4553" s="2829"/>
      <c r="BE4553" s="2837"/>
      <c r="BF4553" s="156"/>
    </row>
    <row r="4554" spans="1:58" outlineLevel="1" x14ac:dyDescent="0.35">
      <c r="A4554" s="1071"/>
      <c r="B4554" s="106"/>
      <c r="C4554" s="103"/>
      <c r="E4554" s="292" t="s">
        <v>4495</v>
      </c>
      <c r="F4554" s="106"/>
      <c r="G4554" s="292"/>
      <c r="H4554" s="106"/>
      <c r="I4554" s="106"/>
      <c r="J4554" s="106"/>
      <c r="K4554" s="106"/>
      <c r="L4554" s="106"/>
      <c r="M4554" s="106"/>
      <c r="N4554" s="106"/>
      <c r="O4554" s="106"/>
      <c r="P4554" s="106"/>
      <c r="Q4554" s="106"/>
      <c r="R4554" s="106"/>
      <c r="S4554" s="156"/>
      <c r="T4554" s="106"/>
      <c r="U4554" s="106"/>
      <c r="V4554" s="106"/>
      <c r="W4554" s="156"/>
      <c r="X4554" s="156"/>
      <c r="Y4554" s="156"/>
      <c r="Z4554" s="156"/>
      <c r="AA4554" s="156"/>
      <c r="AB4554" s="156"/>
      <c r="AC4554" s="156"/>
      <c r="AD4554" s="156"/>
      <c r="AE4554" s="156"/>
      <c r="AF4554" s="156"/>
      <c r="AG4554" s="156"/>
      <c r="AH4554" s="156"/>
      <c r="AI4554" s="156"/>
      <c r="AJ4554" s="156"/>
      <c r="AK4554" s="156"/>
      <c r="AL4554" s="156"/>
      <c r="AM4554" s="156"/>
      <c r="AN4554" s="156"/>
      <c r="AO4554" s="156"/>
      <c r="AP4554" s="156"/>
      <c r="AQ4554" s="156"/>
      <c r="AR4554" s="156"/>
      <c r="AS4554" s="156"/>
      <c r="AT4554" s="156"/>
      <c r="AU4554" s="156"/>
      <c r="AV4554" s="156"/>
      <c r="AW4554" s="156"/>
      <c r="AX4554" s="156"/>
      <c r="AY4554" s="156"/>
      <c r="AZ4554" s="156"/>
      <c r="BA4554" s="156"/>
      <c r="BB4554" s="2828"/>
      <c r="BC4554" s="2828"/>
      <c r="BD4554" s="2829"/>
      <c r="BE4554" s="2837"/>
      <c r="BF4554" s="156"/>
    </row>
    <row r="4555" spans="1:58" outlineLevel="1" x14ac:dyDescent="0.35">
      <c r="A4555" s="1071"/>
      <c r="B4555" s="106"/>
      <c r="C4555" s="103"/>
      <c r="D4555" s="152" t="s">
        <v>107</v>
      </c>
      <c r="F4555" s="106"/>
      <c r="G4555" s="292"/>
      <c r="H4555" s="103"/>
      <c r="I4555" s="106"/>
      <c r="J4555" s="106"/>
      <c r="K4555" s="106"/>
      <c r="L4555" s="106"/>
      <c r="M4555" s="106"/>
      <c r="N4555" s="106"/>
      <c r="O4555" s="106"/>
      <c r="P4555" s="106"/>
      <c r="Q4555" s="106"/>
      <c r="R4555" s="106"/>
      <c r="S4555" s="156"/>
      <c r="T4555" s="106"/>
      <c r="U4555" s="106"/>
      <c r="V4555" s="106"/>
      <c r="W4555" s="106"/>
      <c r="X4555" s="106"/>
      <c r="Y4555" s="106"/>
      <c r="Z4555" s="106"/>
      <c r="AA4555" s="106"/>
      <c r="AB4555" s="106"/>
      <c r="AC4555" s="106"/>
      <c r="AD4555" s="106"/>
      <c r="AE4555" s="106"/>
      <c r="AF4555" s="156"/>
      <c r="AG4555" s="156"/>
      <c r="AH4555" s="156"/>
      <c r="AI4555" s="156"/>
      <c r="AJ4555" s="156"/>
      <c r="AK4555" s="156"/>
      <c r="AL4555" s="156"/>
      <c r="AM4555" s="156"/>
      <c r="AN4555" s="156"/>
      <c r="AO4555" s="156"/>
      <c r="AP4555" s="156"/>
      <c r="AQ4555" s="156"/>
      <c r="AR4555" s="156"/>
      <c r="AS4555" s="156"/>
      <c r="AT4555" s="156"/>
      <c r="AU4555" s="156"/>
      <c r="AV4555" s="156"/>
      <c r="AW4555" s="156"/>
      <c r="AX4555" s="156"/>
      <c r="AY4555" s="156"/>
      <c r="AZ4555" s="156"/>
      <c r="BA4555" s="156"/>
      <c r="BB4555" s="2828"/>
      <c r="BC4555" s="2828"/>
      <c r="BD4555" s="2829"/>
      <c r="BE4555" s="2837"/>
      <c r="BF4555" s="156"/>
    </row>
    <row r="4556" spans="1:58" outlineLevel="1" x14ac:dyDescent="0.35">
      <c r="A4556" s="1071"/>
      <c r="B4556" s="106"/>
      <c r="C4556" s="103"/>
      <c r="D4556" s="292"/>
      <c r="E4556" s="292"/>
      <c r="F4556" s="106"/>
      <c r="G4556" s="292"/>
      <c r="H4556" s="103"/>
      <c r="I4556" s="106"/>
      <c r="J4556" s="106"/>
      <c r="K4556" s="106"/>
      <c r="L4556" s="106"/>
      <c r="M4556" s="106"/>
      <c r="N4556" s="106"/>
      <c r="O4556" s="106"/>
      <c r="P4556" s="106"/>
      <c r="Q4556" s="106"/>
      <c r="R4556" s="106"/>
      <c r="S4556" s="156"/>
      <c r="T4556" s="106"/>
      <c r="U4556" s="106"/>
      <c r="V4556" s="106"/>
      <c r="W4556" s="106"/>
      <c r="X4556" s="106"/>
      <c r="Y4556" s="106"/>
      <c r="Z4556" s="106"/>
      <c r="AA4556" s="106"/>
      <c r="AB4556" s="106"/>
      <c r="AC4556" s="106"/>
      <c r="AD4556" s="106"/>
      <c r="AE4556" s="106"/>
      <c r="AF4556" s="156"/>
      <c r="AG4556" s="156"/>
      <c r="AH4556" s="156"/>
      <c r="AI4556" s="156"/>
      <c r="AJ4556" s="156"/>
      <c r="AK4556" s="156"/>
      <c r="AL4556" s="156"/>
      <c r="AM4556" s="156"/>
      <c r="AN4556" s="156"/>
      <c r="AO4556" s="156"/>
      <c r="AP4556" s="156"/>
      <c r="AQ4556" s="156"/>
      <c r="AR4556" s="156"/>
      <c r="AS4556" s="156"/>
      <c r="AT4556" s="156"/>
      <c r="AU4556" s="156"/>
      <c r="AV4556" s="156"/>
      <c r="AW4556" s="156"/>
      <c r="AX4556" s="156"/>
      <c r="AY4556" s="156"/>
      <c r="AZ4556" s="156"/>
      <c r="BA4556" s="156"/>
      <c r="BB4556" s="2828"/>
      <c r="BC4556" s="2828"/>
      <c r="BD4556" s="2829"/>
      <c r="BE4556" s="2837"/>
      <c r="BF4556" s="156"/>
    </row>
    <row r="4557" spans="1:58" outlineLevel="1" x14ac:dyDescent="0.35">
      <c r="A4557" s="1071"/>
      <c r="B4557" s="106"/>
      <c r="C4557" s="103"/>
      <c r="D4557" s="292"/>
      <c r="E4557" s="292"/>
      <c r="F4557" s="106"/>
      <c r="G4557" s="292"/>
      <c r="H4557" s="103"/>
      <c r="I4557" s="106"/>
      <c r="J4557" s="106"/>
      <c r="K4557" s="106"/>
      <c r="L4557" s="106"/>
      <c r="M4557" s="106"/>
      <c r="N4557" s="106"/>
      <c r="O4557" s="106"/>
      <c r="P4557" s="106"/>
      <c r="Q4557" s="106"/>
      <c r="R4557" s="106"/>
      <c r="S4557" s="156"/>
      <c r="T4557" s="106"/>
      <c r="U4557" s="106"/>
      <c r="V4557" s="106"/>
      <c r="W4557" s="106"/>
      <c r="X4557" s="106"/>
      <c r="Y4557" s="106"/>
      <c r="Z4557" s="106"/>
      <c r="AA4557" s="106"/>
      <c r="AB4557" s="106"/>
      <c r="AC4557" s="106"/>
      <c r="AD4557" s="106"/>
      <c r="AE4557" s="106"/>
      <c r="AF4557" s="156"/>
      <c r="AG4557" s="156"/>
      <c r="AH4557" s="156"/>
      <c r="AI4557" s="156"/>
      <c r="AJ4557" s="156"/>
      <c r="AK4557" s="156"/>
      <c r="AL4557" s="156"/>
      <c r="AM4557" s="156"/>
      <c r="AN4557" s="156"/>
      <c r="AO4557" s="156"/>
      <c r="AP4557" s="156"/>
      <c r="AQ4557" s="156"/>
      <c r="AR4557" s="156"/>
      <c r="AS4557" s="156"/>
      <c r="AT4557" s="156"/>
      <c r="AU4557" s="156"/>
      <c r="AV4557" s="156"/>
      <c r="AW4557" s="156"/>
      <c r="AX4557" s="156"/>
      <c r="AY4557" s="156"/>
      <c r="AZ4557" s="156"/>
      <c r="BA4557" s="156"/>
      <c r="BB4557" s="2828"/>
      <c r="BC4557" s="2828"/>
      <c r="BD4557" s="2829"/>
      <c r="BE4557" s="2837"/>
      <c r="BF4557" s="156"/>
    </row>
    <row r="4558" spans="1:58" outlineLevel="1" x14ac:dyDescent="0.35">
      <c r="A4558" s="1071"/>
      <c r="B4558" s="106"/>
      <c r="C4558" s="103"/>
      <c r="D4558" s="292"/>
      <c r="E4558" s="292"/>
      <c r="F4558" s="106"/>
      <c r="G4558" s="292"/>
      <c r="H4558" s="103"/>
      <c r="I4558" s="106"/>
      <c r="J4558" s="106"/>
      <c r="K4558" s="106"/>
      <c r="L4558" s="106"/>
      <c r="M4558" s="106"/>
      <c r="N4558" s="106"/>
      <c r="O4558" s="106"/>
      <c r="P4558" s="106"/>
      <c r="Q4558" s="106"/>
      <c r="R4558" s="106"/>
      <c r="S4558" s="156"/>
      <c r="T4558" s="106"/>
      <c r="U4558" s="106"/>
      <c r="V4558" s="106"/>
      <c r="W4558" s="106"/>
      <c r="X4558" s="106"/>
      <c r="Y4558" s="106"/>
      <c r="Z4558" s="106"/>
      <c r="AA4558" s="106"/>
      <c r="AB4558" s="106"/>
      <c r="AC4558" s="106"/>
      <c r="AD4558" s="106"/>
      <c r="AE4558" s="106"/>
      <c r="AF4558" s="156"/>
      <c r="AG4558" s="156"/>
      <c r="AH4558" s="156"/>
      <c r="AI4558" s="156"/>
      <c r="AJ4558" s="156"/>
      <c r="AK4558" s="156"/>
      <c r="AL4558" s="156"/>
      <c r="AM4558" s="156"/>
      <c r="AN4558" s="156"/>
      <c r="AO4558" s="156"/>
      <c r="AP4558" s="156"/>
      <c r="AQ4558" s="156"/>
      <c r="AR4558" s="156"/>
      <c r="AS4558" s="156"/>
      <c r="AT4558" s="156"/>
      <c r="AU4558" s="156"/>
      <c r="AV4558" s="156"/>
      <c r="AW4558" s="156"/>
      <c r="AX4558" s="156"/>
      <c r="AY4558" s="156"/>
      <c r="AZ4558" s="156"/>
      <c r="BA4558" s="156"/>
      <c r="BB4558" s="2828"/>
      <c r="BC4558" s="2828"/>
      <c r="BD4558" s="2829"/>
      <c r="BE4558" s="2837"/>
      <c r="BF4558" s="156"/>
    </row>
    <row r="4559" spans="1:58" outlineLevel="1" x14ac:dyDescent="0.35">
      <c r="A4559" s="1071"/>
      <c r="B4559" s="106"/>
      <c r="C4559" s="103"/>
      <c r="D4559" s="292"/>
      <c r="E4559" s="292"/>
      <c r="F4559" s="106"/>
      <c r="G4559" s="292"/>
      <c r="H4559" s="103"/>
      <c r="I4559" s="106"/>
      <c r="J4559" s="106"/>
      <c r="K4559" s="106"/>
      <c r="L4559" s="106"/>
      <c r="M4559" s="106"/>
      <c r="N4559" s="106"/>
      <c r="O4559" s="106"/>
      <c r="P4559" s="106"/>
      <c r="Q4559" s="106"/>
      <c r="R4559" s="106"/>
      <c r="S4559" s="156"/>
      <c r="T4559" s="106"/>
      <c r="U4559" s="106"/>
      <c r="V4559" s="106"/>
      <c r="W4559" s="106"/>
      <c r="X4559" s="106"/>
      <c r="Y4559" s="106"/>
      <c r="Z4559" s="106"/>
      <c r="AA4559" s="106"/>
      <c r="AB4559" s="106"/>
      <c r="AC4559" s="106"/>
      <c r="AD4559" s="106"/>
      <c r="AE4559" s="106"/>
      <c r="AF4559" s="156"/>
      <c r="AG4559" s="156"/>
      <c r="AH4559" s="156"/>
      <c r="AI4559" s="156"/>
      <c r="AJ4559" s="156"/>
      <c r="AK4559" s="156"/>
      <c r="AL4559" s="156"/>
      <c r="AM4559" s="156"/>
      <c r="AN4559" s="156"/>
      <c r="AO4559" s="156"/>
      <c r="AP4559" s="156"/>
      <c r="AQ4559" s="156"/>
      <c r="AR4559" s="156"/>
      <c r="AS4559" s="156"/>
      <c r="AT4559" s="156"/>
      <c r="AU4559" s="156"/>
      <c r="AV4559" s="156"/>
      <c r="AW4559" s="156"/>
      <c r="AX4559" s="156"/>
      <c r="AY4559" s="156"/>
      <c r="AZ4559" s="156"/>
      <c r="BA4559" s="156"/>
      <c r="BB4559" s="2828"/>
      <c r="BC4559" s="2828"/>
      <c r="BD4559" s="2829"/>
      <c r="BE4559" s="2837"/>
      <c r="BF4559" s="156"/>
    </row>
    <row r="4560" spans="1:58" outlineLevel="1" x14ac:dyDescent="0.35">
      <c r="A4560" s="1071"/>
      <c r="B4560" s="106"/>
      <c r="C4560" s="103"/>
      <c r="D4560" s="156"/>
      <c r="E4560" s="292"/>
      <c r="F4560" s="106"/>
      <c r="G4560" s="292"/>
      <c r="H4560" s="103"/>
      <c r="I4560" s="106"/>
      <c r="J4560" s="106"/>
      <c r="K4560" s="106"/>
      <c r="L4560" s="106"/>
      <c r="M4560" s="106"/>
      <c r="N4560" s="106"/>
      <c r="O4560" s="106"/>
      <c r="P4560" s="106"/>
      <c r="Q4560" s="106"/>
      <c r="R4560" s="106"/>
      <c r="S4560" s="156"/>
      <c r="T4560" s="106"/>
      <c r="U4560" s="106"/>
      <c r="V4560" s="106"/>
      <c r="W4560" s="106"/>
      <c r="X4560" s="106"/>
      <c r="Y4560" s="106"/>
      <c r="Z4560" s="106"/>
      <c r="AA4560" s="106"/>
      <c r="AB4560" s="106"/>
      <c r="AC4560" s="106"/>
      <c r="AD4560" s="106"/>
      <c r="AE4560" s="106"/>
      <c r="AF4560" s="156"/>
      <c r="AG4560" s="156"/>
      <c r="AH4560" s="156"/>
      <c r="AI4560" s="156"/>
      <c r="AJ4560" s="156"/>
      <c r="AK4560" s="156"/>
      <c r="AL4560" s="156"/>
      <c r="AM4560" s="156"/>
      <c r="AN4560" s="156"/>
      <c r="AO4560" s="156"/>
      <c r="AP4560" s="156"/>
      <c r="AQ4560" s="156"/>
      <c r="AR4560" s="156"/>
      <c r="AS4560" s="156"/>
      <c r="AT4560" s="156"/>
      <c r="AU4560" s="156"/>
      <c r="AV4560" s="156"/>
      <c r="AW4560" s="156"/>
      <c r="AX4560" s="156"/>
      <c r="AY4560" s="156"/>
      <c r="AZ4560" s="156"/>
      <c r="BA4560" s="156"/>
      <c r="BB4560" s="2828"/>
      <c r="BC4560" s="2828"/>
      <c r="BD4560" s="2829"/>
      <c r="BE4560" s="2837"/>
      <c r="BF4560" s="156"/>
    </row>
    <row r="4561" spans="1:58" outlineLevel="1" x14ac:dyDescent="0.35">
      <c r="A4561" s="1071"/>
      <c r="B4561" s="106"/>
      <c r="C4561" s="103"/>
      <c r="D4561" s="292" t="s">
        <v>942</v>
      </c>
      <c r="E4561" s="156"/>
      <c r="F4561" s="106"/>
      <c r="G4561" s="292"/>
      <c r="H4561" s="103"/>
      <c r="I4561" s="106"/>
      <c r="J4561" s="106"/>
      <c r="K4561" s="106"/>
      <c r="L4561" s="106"/>
      <c r="M4561" s="106"/>
      <c r="N4561" s="106"/>
      <c r="O4561" s="106"/>
      <c r="P4561" s="106"/>
      <c r="Q4561" s="106"/>
      <c r="R4561" s="106"/>
      <c r="S4561" s="156"/>
      <c r="T4561" s="106"/>
      <c r="U4561" s="106"/>
      <c r="V4561" s="106"/>
      <c r="W4561" s="106"/>
      <c r="X4561" s="106"/>
      <c r="Y4561" s="106"/>
      <c r="Z4561" s="106"/>
      <c r="AA4561" s="106"/>
      <c r="AB4561" s="106"/>
      <c r="AC4561" s="106"/>
      <c r="AD4561" s="106"/>
      <c r="AE4561" s="106"/>
      <c r="AF4561" s="156"/>
      <c r="AG4561" s="156"/>
      <c r="AH4561" s="156"/>
      <c r="AI4561" s="156"/>
      <c r="AJ4561" s="156"/>
      <c r="AK4561" s="156"/>
      <c r="AL4561" s="156"/>
      <c r="AM4561" s="156"/>
      <c r="AN4561" s="156"/>
      <c r="AO4561" s="156"/>
      <c r="AP4561" s="156"/>
      <c r="AQ4561" s="156"/>
      <c r="AR4561" s="156"/>
      <c r="AS4561" s="156"/>
      <c r="AT4561" s="156"/>
      <c r="AU4561" s="156"/>
      <c r="AV4561" s="156"/>
      <c r="AW4561" s="156"/>
      <c r="AX4561" s="156"/>
      <c r="AY4561" s="156"/>
      <c r="AZ4561" s="156"/>
      <c r="BA4561" s="156"/>
      <c r="BB4561" s="2828"/>
      <c r="BC4561" s="2828"/>
      <c r="BD4561" s="2829"/>
      <c r="BE4561" s="2837"/>
      <c r="BF4561" s="156"/>
    </row>
    <row r="4562" spans="1:58" outlineLevel="1" x14ac:dyDescent="0.35">
      <c r="A4562" s="1071"/>
      <c r="B4562" s="106"/>
      <c r="C4562" s="103"/>
      <c r="D4562" s="292"/>
      <c r="E4562" s="156"/>
      <c r="F4562" s="106"/>
      <c r="G4562" s="292"/>
      <c r="H4562" s="103"/>
      <c r="I4562" s="106"/>
      <c r="J4562" s="106"/>
      <c r="K4562" s="106"/>
      <c r="L4562" s="106"/>
      <c r="M4562" s="106"/>
      <c r="N4562" s="106"/>
      <c r="O4562" s="106"/>
      <c r="P4562" s="106"/>
      <c r="Q4562" s="106"/>
      <c r="R4562" s="106"/>
      <c r="S4562" s="156"/>
      <c r="T4562" s="106"/>
      <c r="U4562" s="106"/>
      <c r="V4562" s="106"/>
      <c r="W4562" s="106"/>
      <c r="X4562" s="106"/>
      <c r="Y4562" s="106"/>
      <c r="Z4562" s="106"/>
      <c r="AA4562" s="106"/>
      <c r="AB4562" s="106"/>
      <c r="AC4562" s="106"/>
      <c r="AD4562" s="106"/>
      <c r="AE4562" s="106"/>
      <c r="AF4562" s="156"/>
      <c r="AG4562" s="156"/>
      <c r="AH4562" s="156"/>
      <c r="AI4562" s="156"/>
      <c r="AJ4562" s="156"/>
      <c r="AK4562" s="156"/>
      <c r="AL4562" s="156"/>
      <c r="AM4562" s="156"/>
      <c r="AN4562" s="156"/>
      <c r="AO4562" s="156"/>
      <c r="AP4562" s="156"/>
      <c r="AQ4562" s="156"/>
      <c r="AR4562" s="156"/>
      <c r="AS4562" s="156"/>
      <c r="AT4562" s="156"/>
      <c r="AU4562" s="156"/>
      <c r="AV4562" s="156"/>
      <c r="AW4562" s="156"/>
      <c r="AX4562" s="156"/>
      <c r="AY4562" s="156"/>
      <c r="AZ4562" s="156"/>
      <c r="BA4562" s="156"/>
      <c r="BB4562" s="2828"/>
      <c r="BC4562" s="2828"/>
      <c r="BD4562" s="2829"/>
      <c r="BE4562" s="2837"/>
      <c r="BF4562" s="156"/>
    </row>
    <row r="4563" spans="1:58" outlineLevel="1" x14ac:dyDescent="0.35">
      <c r="A4563" s="1071"/>
      <c r="B4563" s="106"/>
      <c r="C4563" s="103"/>
      <c r="D4563" s="292"/>
      <c r="E4563" s="156"/>
      <c r="F4563" s="106"/>
      <c r="G4563" s="292"/>
      <c r="H4563" s="103"/>
      <c r="I4563" s="106"/>
      <c r="J4563" s="106"/>
      <c r="K4563" s="106"/>
      <c r="L4563" s="106"/>
      <c r="M4563" s="106"/>
      <c r="N4563" s="106"/>
      <c r="O4563" s="106"/>
      <c r="P4563" s="106"/>
      <c r="Q4563" s="106"/>
      <c r="R4563" s="106"/>
      <c r="S4563" s="156"/>
      <c r="T4563" s="106"/>
      <c r="U4563" s="106"/>
      <c r="V4563" s="106"/>
      <c r="W4563" s="106"/>
      <c r="X4563" s="106"/>
      <c r="Y4563" s="106"/>
      <c r="Z4563" s="106"/>
      <c r="AA4563" s="106"/>
      <c r="AB4563" s="106"/>
      <c r="AC4563" s="106"/>
      <c r="AD4563" s="106"/>
      <c r="AE4563" s="106"/>
      <c r="AF4563" s="156"/>
      <c r="AG4563" s="156"/>
      <c r="AH4563" s="156"/>
      <c r="AI4563" s="156"/>
      <c r="AJ4563" s="156"/>
      <c r="AK4563" s="156"/>
      <c r="AL4563" s="156"/>
      <c r="AM4563" s="156"/>
      <c r="AN4563" s="156"/>
      <c r="AO4563" s="156"/>
      <c r="AP4563" s="156"/>
      <c r="AQ4563" s="156"/>
      <c r="AR4563" s="156"/>
      <c r="AS4563" s="156"/>
      <c r="AT4563" s="156"/>
      <c r="AU4563" s="156"/>
      <c r="AV4563" s="156"/>
      <c r="AW4563" s="156"/>
      <c r="AX4563" s="156"/>
      <c r="AY4563" s="156"/>
      <c r="AZ4563" s="156"/>
      <c r="BA4563" s="156"/>
      <c r="BB4563" s="2828"/>
      <c r="BC4563" s="2828"/>
      <c r="BD4563" s="2829"/>
      <c r="BE4563" s="2837"/>
      <c r="BF4563" s="156"/>
    </row>
    <row r="4564" spans="1:58" outlineLevel="1" x14ac:dyDescent="0.35">
      <c r="A4564" s="1071"/>
      <c r="B4564" s="106"/>
      <c r="C4564" s="103"/>
      <c r="D4564" s="292"/>
      <c r="E4564" s="156"/>
      <c r="F4564" s="106"/>
      <c r="G4564" s="292"/>
      <c r="H4564" s="103"/>
      <c r="I4564" s="106"/>
      <c r="J4564" s="106"/>
      <c r="K4564" s="106"/>
      <c r="L4564" s="106"/>
      <c r="M4564" s="106"/>
      <c r="N4564" s="106"/>
      <c r="O4564" s="106"/>
      <c r="P4564" s="106"/>
      <c r="Q4564" s="106"/>
      <c r="R4564" s="106"/>
      <c r="S4564" s="156"/>
      <c r="T4564" s="106"/>
      <c r="U4564" s="106"/>
      <c r="V4564" s="106"/>
      <c r="W4564" s="106"/>
      <c r="X4564" s="106"/>
      <c r="Y4564" s="106"/>
      <c r="Z4564" s="106"/>
      <c r="AA4564" s="106"/>
      <c r="AB4564" s="106"/>
      <c r="AC4564" s="106"/>
      <c r="AD4564" s="106"/>
      <c r="AE4564" s="106"/>
      <c r="AF4564" s="156"/>
      <c r="AG4564" s="156"/>
      <c r="AH4564" s="156"/>
      <c r="AI4564" s="156"/>
      <c r="AJ4564" s="156"/>
      <c r="AK4564" s="156"/>
      <c r="AL4564" s="156"/>
      <c r="AM4564" s="156"/>
      <c r="AN4564" s="156"/>
      <c r="AO4564" s="156"/>
      <c r="AP4564" s="156"/>
      <c r="AQ4564" s="156"/>
      <c r="AR4564" s="156"/>
      <c r="AS4564" s="156"/>
      <c r="AT4564" s="156"/>
      <c r="AU4564" s="156"/>
      <c r="AV4564" s="156"/>
      <c r="AW4564" s="156"/>
      <c r="AX4564" s="156"/>
      <c r="AY4564" s="156"/>
      <c r="AZ4564" s="156"/>
      <c r="BA4564" s="156"/>
      <c r="BB4564" s="2828"/>
      <c r="BC4564" s="2828"/>
      <c r="BD4564" s="2829"/>
      <c r="BE4564" s="2837"/>
      <c r="BF4564" s="156"/>
    </row>
    <row r="4565" spans="1:58" outlineLevel="1" x14ac:dyDescent="0.35">
      <c r="A4565" s="1071"/>
      <c r="B4565" s="106"/>
      <c r="C4565" s="103"/>
      <c r="D4565" s="292"/>
      <c r="E4565" s="156"/>
      <c r="F4565" s="106"/>
      <c r="G4565" s="292"/>
      <c r="H4565" s="103"/>
      <c r="I4565" s="106"/>
      <c r="J4565" s="106"/>
      <c r="K4565" s="106"/>
      <c r="L4565" s="106"/>
      <c r="M4565" s="106"/>
      <c r="N4565" s="106"/>
      <c r="O4565" s="106"/>
      <c r="P4565" s="106"/>
      <c r="Q4565" s="106"/>
      <c r="R4565" s="106"/>
      <c r="S4565" s="156"/>
      <c r="T4565" s="106"/>
      <c r="U4565" s="106"/>
      <c r="V4565" s="106"/>
      <c r="W4565" s="106"/>
      <c r="X4565" s="106"/>
      <c r="Y4565" s="106"/>
      <c r="Z4565" s="106"/>
      <c r="AA4565" s="106"/>
      <c r="AB4565" s="106"/>
      <c r="AC4565" s="106"/>
      <c r="AD4565" s="106"/>
      <c r="AE4565" s="106"/>
      <c r="AF4565" s="156"/>
      <c r="AG4565" s="156"/>
      <c r="AH4565" s="156"/>
      <c r="AI4565" s="156"/>
      <c r="AJ4565" s="156"/>
      <c r="AK4565" s="156"/>
      <c r="AL4565" s="156"/>
      <c r="AM4565" s="156"/>
      <c r="AN4565" s="156"/>
      <c r="AO4565" s="156"/>
      <c r="AP4565" s="156"/>
      <c r="AQ4565" s="156"/>
      <c r="AR4565" s="156"/>
      <c r="AS4565" s="156"/>
      <c r="AT4565" s="156"/>
      <c r="AU4565" s="156"/>
      <c r="AV4565" s="156"/>
      <c r="AW4565" s="156"/>
      <c r="AX4565" s="156"/>
      <c r="AY4565" s="156"/>
      <c r="AZ4565" s="156"/>
      <c r="BA4565" s="156"/>
      <c r="BB4565" s="2828"/>
      <c r="BC4565" s="2828"/>
      <c r="BD4565" s="2829"/>
      <c r="BE4565" s="2837"/>
      <c r="BF4565" s="156"/>
    </row>
    <row r="4566" spans="1:58" outlineLevel="1" x14ac:dyDescent="0.35">
      <c r="A4566" s="1071"/>
      <c r="B4566" s="106"/>
      <c r="C4566" s="103"/>
      <c r="D4566" s="292"/>
      <c r="E4566" s="156"/>
      <c r="F4566" s="106"/>
      <c r="G4566" s="292"/>
      <c r="H4566" s="103"/>
      <c r="I4566" s="106"/>
      <c r="J4566" s="106"/>
      <c r="K4566" s="106"/>
      <c r="L4566" s="106"/>
      <c r="M4566" s="106"/>
      <c r="N4566" s="106"/>
      <c r="O4566" s="106"/>
      <c r="P4566" s="106"/>
      <c r="Q4566" s="106"/>
      <c r="R4566" s="106"/>
      <c r="S4566" s="156"/>
      <c r="T4566" s="106"/>
      <c r="U4566" s="106"/>
      <c r="V4566" s="106"/>
      <c r="W4566" s="106"/>
      <c r="X4566" s="106"/>
      <c r="Y4566" s="106"/>
      <c r="Z4566" s="106"/>
      <c r="AA4566" s="106"/>
      <c r="AB4566" s="106"/>
      <c r="AC4566" s="106"/>
      <c r="AD4566" s="106"/>
      <c r="AE4566" s="106"/>
      <c r="AF4566" s="156"/>
      <c r="AG4566" s="156"/>
      <c r="AH4566" s="156"/>
      <c r="AI4566" s="156"/>
      <c r="AJ4566" s="156"/>
      <c r="AK4566" s="156"/>
      <c r="AL4566" s="156"/>
      <c r="AM4566" s="156"/>
      <c r="AN4566" s="156"/>
      <c r="AO4566" s="156"/>
      <c r="AP4566" s="156"/>
      <c r="AQ4566" s="156"/>
      <c r="AR4566" s="156"/>
      <c r="AS4566" s="156"/>
      <c r="AT4566" s="156"/>
      <c r="AU4566" s="156"/>
      <c r="AV4566" s="156"/>
      <c r="AW4566" s="156"/>
      <c r="AX4566" s="156"/>
      <c r="AY4566" s="156"/>
      <c r="AZ4566" s="156"/>
      <c r="BA4566" s="156"/>
      <c r="BB4566" s="2828"/>
      <c r="BC4566" s="2828"/>
      <c r="BD4566" s="2829"/>
      <c r="BE4566" s="2837"/>
      <c r="BF4566" s="156"/>
    </row>
    <row r="4567" spans="1:58" outlineLevel="1" x14ac:dyDescent="0.35">
      <c r="A4567" s="1071"/>
      <c r="B4567" s="106"/>
      <c r="C4567" s="103"/>
      <c r="D4567" s="292" t="s">
        <v>1038</v>
      </c>
      <c r="E4567" s="156"/>
      <c r="F4567" s="106"/>
      <c r="G4567" s="292"/>
      <c r="H4567" s="103"/>
      <c r="I4567" s="106"/>
      <c r="J4567" s="106"/>
      <c r="K4567" s="106"/>
      <c r="L4567" s="106"/>
      <c r="M4567" s="106"/>
      <c r="N4567" s="106"/>
      <c r="O4567" s="106"/>
      <c r="P4567" s="106"/>
      <c r="Q4567" s="106"/>
      <c r="R4567" s="106"/>
      <c r="S4567" s="156"/>
      <c r="T4567" s="106"/>
      <c r="U4567" s="106"/>
      <c r="V4567" s="106"/>
      <c r="W4567" s="106"/>
      <c r="X4567" s="106"/>
      <c r="Y4567" s="106"/>
      <c r="Z4567" s="106"/>
      <c r="AA4567" s="106"/>
      <c r="AB4567" s="106"/>
      <c r="AC4567" s="106"/>
      <c r="AD4567" s="106"/>
      <c r="AE4567" s="106"/>
      <c r="AF4567" s="156"/>
      <c r="AG4567" s="156"/>
      <c r="AH4567" s="156"/>
      <c r="AI4567" s="156"/>
      <c r="AJ4567" s="156"/>
      <c r="AK4567" s="156"/>
      <c r="AL4567" s="156"/>
      <c r="AM4567" s="156"/>
      <c r="AN4567" s="156"/>
      <c r="AO4567" s="156"/>
      <c r="AP4567" s="156"/>
      <c r="AQ4567" s="156"/>
      <c r="AR4567" s="156"/>
      <c r="AS4567" s="156"/>
      <c r="AT4567" s="156"/>
      <c r="AU4567" s="156"/>
      <c r="AV4567" s="156"/>
      <c r="AW4567" s="156"/>
      <c r="AX4567" s="156"/>
      <c r="AY4567" s="156"/>
      <c r="AZ4567" s="156"/>
      <c r="BA4567" s="156"/>
      <c r="BB4567" s="2828"/>
      <c r="BC4567" s="2828"/>
      <c r="BD4567" s="2829"/>
      <c r="BE4567" s="2837"/>
      <c r="BF4567" s="156"/>
    </row>
    <row r="4568" spans="1:58" outlineLevel="1" x14ac:dyDescent="0.35">
      <c r="A4568" s="1071"/>
      <c r="B4568" s="106"/>
      <c r="C4568" s="103"/>
      <c r="D4568" s="292"/>
      <c r="E4568" s="292"/>
      <c r="F4568" s="2804"/>
      <c r="G4568" s="3409"/>
      <c r="H4568" s="106"/>
      <c r="I4568" s="106"/>
      <c r="J4568" s="106"/>
      <c r="K4568" s="106"/>
      <c r="L4568" s="106"/>
      <c r="M4568" s="106"/>
      <c r="N4568" s="106"/>
      <c r="O4568" s="106"/>
      <c r="P4568" s="106"/>
      <c r="Q4568" s="106"/>
      <c r="R4568" s="106"/>
      <c r="S4568" s="156"/>
      <c r="T4568" s="106"/>
      <c r="U4568" s="106"/>
      <c r="V4568" s="106"/>
      <c r="W4568" s="106"/>
      <c r="X4568" s="106"/>
      <c r="Y4568" s="106"/>
      <c r="Z4568" s="106"/>
      <c r="AA4568" s="106"/>
      <c r="AB4568" s="106"/>
      <c r="AC4568" s="106"/>
      <c r="AD4568" s="106"/>
      <c r="AE4568" s="106"/>
      <c r="AF4568" s="156"/>
      <c r="AG4568" s="156"/>
      <c r="AH4568" s="156"/>
      <c r="AI4568" s="156"/>
      <c r="AJ4568" s="156"/>
      <c r="AK4568" s="156"/>
      <c r="AL4568" s="156"/>
      <c r="AM4568" s="156"/>
      <c r="AN4568" s="156"/>
      <c r="AO4568" s="156"/>
      <c r="AP4568" s="156"/>
      <c r="AQ4568" s="156"/>
      <c r="AR4568" s="156"/>
      <c r="AS4568" s="156"/>
      <c r="AT4568" s="156"/>
      <c r="AU4568" s="156"/>
      <c r="AV4568" s="156"/>
      <c r="AW4568" s="156"/>
      <c r="AX4568" s="156"/>
      <c r="AY4568" s="156"/>
      <c r="AZ4568" s="156"/>
      <c r="BA4568" s="156"/>
      <c r="BB4568" s="2828"/>
      <c r="BC4568" s="2828"/>
      <c r="BD4568" s="2829"/>
      <c r="BE4568" s="2837"/>
      <c r="BF4568" s="156"/>
    </row>
    <row r="4569" spans="1:58" outlineLevel="1" x14ac:dyDescent="0.35">
      <c r="A4569" s="1071"/>
      <c r="B4569" s="106"/>
      <c r="C4569" s="103"/>
      <c r="D4569" s="292"/>
      <c r="E4569" s="292"/>
      <c r="F4569" s="106"/>
      <c r="G4569" s="106"/>
      <c r="H4569" s="106"/>
      <c r="I4569" s="106"/>
      <c r="J4569" s="106"/>
      <c r="K4569" s="106"/>
      <c r="L4569" s="106"/>
      <c r="M4569" s="106"/>
      <c r="N4569" s="106"/>
      <c r="O4569" s="106"/>
      <c r="P4569" s="106"/>
      <c r="Q4569" s="106"/>
      <c r="R4569" s="106"/>
      <c r="S4569" s="156"/>
      <c r="T4569" s="106"/>
      <c r="U4569" s="106"/>
      <c r="V4569" s="106"/>
      <c r="W4569" s="156"/>
      <c r="X4569" s="156"/>
      <c r="Y4569" s="156"/>
      <c r="Z4569" s="156"/>
      <c r="AA4569" s="156"/>
      <c r="AB4569" s="156"/>
      <c r="AC4569" s="156"/>
      <c r="AD4569" s="156"/>
      <c r="AE4569" s="156"/>
      <c r="AF4569" s="156"/>
      <c r="AG4569" s="156"/>
      <c r="AH4569" s="156"/>
      <c r="AI4569" s="156"/>
      <c r="AJ4569" s="156"/>
      <c r="AK4569" s="156"/>
      <c r="AL4569" s="156"/>
      <c r="AM4569" s="156"/>
      <c r="AN4569" s="156"/>
      <c r="AO4569" s="156"/>
      <c r="AP4569" s="156"/>
      <c r="AQ4569" s="156"/>
      <c r="AR4569" s="156"/>
      <c r="AS4569" s="156"/>
      <c r="AT4569" s="156"/>
      <c r="AU4569" s="156"/>
      <c r="AV4569" s="156"/>
      <c r="AW4569" s="156"/>
      <c r="AX4569" s="156"/>
      <c r="AY4569" s="156"/>
      <c r="AZ4569" s="156"/>
      <c r="BA4569" s="156"/>
      <c r="BB4569" s="2828"/>
      <c r="BC4569" s="2828"/>
      <c r="BD4569" s="2829"/>
      <c r="BE4569" s="2837"/>
      <c r="BF4569" s="156"/>
    </row>
    <row r="4570" spans="1:58" outlineLevel="1" x14ac:dyDescent="0.35">
      <c r="A4570" s="1071"/>
      <c r="B4570" s="106"/>
      <c r="C4570" s="103"/>
      <c r="D4570" s="292"/>
      <c r="E4570" s="292"/>
      <c r="F4570" s="106"/>
      <c r="G4570" s="106"/>
      <c r="H4570" s="106"/>
      <c r="I4570" s="106"/>
      <c r="J4570" s="106"/>
      <c r="K4570" s="103"/>
      <c r="L4570" s="103"/>
      <c r="M4570" s="103"/>
      <c r="N4570" s="106"/>
      <c r="O4570" s="106"/>
      <c r="P4570" s="106"/>
      <c r="Q4570" s="292"/>
      <c r="R4570" s="106"/>
      <c r="S4570" s="156"/>
      <c r="T4570" s="106"/>
      <c r="U4570" s="106"/>
      <c r="V4570" s="106"/>
      <c r="W4570" s="156"/>
      <c r="X4570" s="156"/>
      <c r="Y4570" s="156"/>
      <c r="Z4570" s="156"/>
      <c r="AA4570" s="156"/>
      <c r="AB4570" s="156"/>
      <c r="AC4570" s="156"/>
      <c r="AD4570" s="156"/>
      <c r="AE4570" s="156"/>
      <c r="AF4570" s="156"/>
      <c r="AG4570" s="156"/>
      <c r="AH4570" s="156"/>
      <c r="AI4570" s="156"/>
      <c r="AJ4570" s="156"/>
      <c r="AK4570" s="156"/>
      <c r="AL4570" s="156"/>
      <c r="AM4570" s="156"/>
      <c r="AN4570" s="156"/>
      <c r="AO4570" s="156"/>
      <c r="AP4570" s="156"/>
      <c r="AQ4570" s="156"/>
      <c r="AR4570" s="156"/>
      <c r="AS4570" s="156"/>
      <c r="AT4570" s="156"/>
      <c r="AU4570" s="156"/>
      <c r="AV4570" s="156"/>
      <c r="AW4570" s="156"/>
      <c r="AX4570" s="156"/>
      <c r="AY4570" s="156"/>
      <c r="AZ4570" s="156"/>
      <c r="BA4570" s="156"/>
      <c r="BB4570" s="2828"/>
      <c r="BC4570" s="2828"/>
      <c r="BD4570" s="2829"/>
      <c r="BE4570" s="2837"/>
      <c r="BF4570" s="156"/>
    </row>
    <row r="4571" spans="1:58" outlineLevel="1" x14ac:dyDescent="0.35">
      <c r="A4571" s="2784" t="str">
        <f t="shared" ref="A4571:A4583" si="517">C4571&amp;G4571</f>
        <v/>
      </c>
      <c r="B4571" s="106"/>
      <c r="C4571" s="103"/>
      <c r="D4571" s="292"/>
      <c r="E4571" s="292"/>
      <c r="F4571" s="106"/>
      <c r="G4571" s="292"/>
      <c r="H4571" s="103"/>
      <c r="I4571" s="103"/>
      <c r="J4571" s="103"/>
      <c r="K4571" s="103"/>
      <c r="L4571" s="103"/>
      <c r="M4571" s="103"/>
      <c r="N4571" s="106"/>
      <c r="O4571" s="106"/>
      <c r="P4571" s="106"/>
      <c r="Q4571" s="106"/>
      <c r="R4571" s="106"/>
      <c r="S4571" s="156"/>
      <c r="T4571" s="106"/>
      <c r="U4571" s="106"/>
      <c r="V4571" s="106"/>
      <c r="W4571" s="156"/>
      <c r="X4571" s="156"/>
      <c r="Y4571" s="156"/>
      <c r="Z4571" s="156"/>
      <c r="AA4571" s="156"/>
      <c r="AB4571" s="156"/>
      <c r="AC4571" s="156"/>
      <c r="AD4571" s="156"/>
      <c r="AE4571" s="156"/>
      <c r="AF4571" s="156"/>
      <c r="AG4571" s="156"/>
      <c r="AH4571" s="156"/>
      <c r="AI4571" s="156"/>
      <c r="AJ4571" s="156"/>
      <c r="AK4571" s="156"/>
      <c r="AL4571" s="156"/>
      <c r="AM4571" s="156"/>
      <c r="AN4571" s="156"/>
      <c r="AO4571" s="156"/>
      <c r="AP4571" s="156"/>
      <c r="AQ4571" s="156"/>
      <c r="AR4571" s="156"/>
      <c r="AS4571" s="156"/>
      <c r="AT4571" s="156"/>
      <c r="AU4571" s="156"/>
      <c r="AV4571" s="156"/>
      <c r="AW4571" s="156"/>
      <c r="AX4571" s="156"/>
      <c r="AY4571" s="156"/>
      <c r="AZ4571" s="156"/>
      <c r="BA4571" s="156"/>
      <c r="BB4571" s="2828"/>
      <c r="BC4571" s="2828"/>
      <c r="BD4571" s="2829"/>
      <c r="BE4571" s="156"/>
      <c r="BF4571" s="156"/>
    </row>
    <row r="4572" spans="1:58" ht="15" outlineLevel="1" thickBot="1" x14ac:dyDescent="0.4">
      <c r="A4572" s="2784" t="str">
        <f t="shared" si="517"/>
        <v/>
      </c>
      <c r="B4572" s="106"/>
      <c r="C4572" s="103"/>
      <c r="D4572" s="2785" t="s">
        <v>108</v>
      </c>
      <c r="E4572" s="2785" t="s">
        <v>109</v>
      </c>
      <c r="F4572" s="4020" t="s">
        <v>185</v>
      </c>
      <c r="G4572" s="4020"/>
      <c r="H4572" s="4020"/>
      <c r="I4572" s="2430" t="s">
        <v>27</v>
      </c>
      <c r="J4572" s="2430" t="s">
        <v>111</v>
      </c>
      <c r="K4572" s="2430" t="s">
        <v>946</v>
      </c>
      <c r="L4572" s="2430" t="s">
        <v>397</v>
      </c>
      <c r="M4572" s="106"/>
      <c r="N4572" s="106"/>
      <c r="O4572" s="106"/>
      <c r="P4572" s="106"/>
      <c r="Q4572" s="106"/>
      <c r="R4572" s="106"/>
      <c r="S4572" s="156"/>
      <c r="T4572" s="106"/>
      <c r="U4572" s="106"/>
      <c r="V4572" s="480" t="s">
        <v>44</v>
      </c>
      <c r="W4572" s="1573">
        <f>W$6</f>
        <v>43252</v>
      </c>
      <c r="X4572" s="1573">
        <f t="shared" ref="X4572:AG4572" si="518">X$6</f>
        <v>43465</v>
      </c>
      <c r="Y4572" s="1573">
        <f t="shared" si="518"/>
        <v>43800</v>
      </c>
      <c r="Z4572" s="1573">
        <f t="shared" si="518"/>
        <v>43862</v>
      </c>
      <c r="AA4572" s="1573">
        <f t="shared" si="518"/>
        <v>44013</v>
      </c>
      <c r="AB4572" s="1573">
        <f t="shared" si="518"/>
        <v>44166</v>
      </c>
      <c r="AC4572" s="1573">
        <f t="shared" si="518"/>
        <v>44531</v>
      </c>
      <c r="AD4572" s="1573">
        <f t="shared" si="518"/>
        <v>44774</v>
      </c>
      <c r="AE4572" s="1573" t="str">
        <f t="shared" si="518"/>
        <v>-</v>
      </c>
      <c r="AF4572" s="1573" t="str">
        <f t="shared" si="518"/>
        <v>-</v>
      </c>
      <c r="AG4572" s="1573" t="str">
        <f t="shared" si="518"/>
        <v>-</v>
      </c>
      <c r="AH4572" s="156"/>
      <c r="AI4572" s="156"/>
      <c r="AJ4572" s="156"/>
      <c r="AK4572" s="156"/>
      <c r="AL4572" s="156"/>
      <c r="AM4572" s="156"/>
      <c r="AN4572" s="156"/>
      <c r="AO4572" s="156"/>
      <c r="AP4572" s="156"/>
      <c r="AQ4572" s="156"/>
      <c r="AR4572" s="156"/>
      <c r="AS4572" s="156"/>
      <c r="AT4572" s="156"/>
      <c r="AU4572" s="156"/>
      <c r="AV4572" s="156"/>
      <c r="AW4572" s="156"/>
      <c r="AX4572" s="156"/>
      <c r="AY4572" s="156"/>
      <c r="AZ4572" s="156"/>
      <c r="BA4572" s="156"/>
      <c r="BB4572" s="2828"/>
      <c r="BC4572" s="2828"/>
      <c r="BD4572" s="2829"/>
      <c r="BE4572" s="156"/>
      <c r="BF4572" s="156"/>
    </row>
    <row r="4573" spans="1:58" ht="15" outlineLevel="1" thickBot="1" x14ac:dyDescent="0.4">
      <c r="A4573" s="2784" t="str">
        <f t="shared" si="517"/>
        <v/>
      </c>
      <c r="B4573" s="106"/>
      <c r="C4573" s="103"/>
      <c r="D4573" s="3529" t="s">
        <v>1104</v>
      </c>
      <c r="E4573" s="3530" t="s">
        <v>4404</v>
      </c>
      <c r="F4573" s="3991" t="s">
        <v>2999</v>
      </c>
      <c r="G4573" s="3992"/>
      <c r="H4573" s="3993"/>
      <c r="I4573" s="2377"/>
      <c r="J4573" s="2989">
        <f>AVERAGE(9400, 12000,15000)</f>
        <v>12133.333333333334</v>
      </c>
      <c r="K4573" s="2990">
        <f>J4573/12000</f>
        <v>1.0111111111111111</v>
      </c>
      <c r="L4573" s="3531" t="s">
        <v>4392</v>
      </c>
      <c r="M4573" s="106"/>
      <c r="N4573" s="106"/>
      <c r="O4573" s="106"/>
      <c r="P4573" s="106"/>
      <c r="Q4573" s="106"/>
      <c r="R4573" s="106"/>
      <c r="S4573" s="156"/>
      <c r="T4573" s="106"/>
      <c r="U4573" s="106"/>
      <c r="V4573" s="3427" t="s">
        <v>1104</v>
      </c>
      <c r="W4573" s="2994"/>
      <c r="X4573" s="2994"/>
      <c r="Y4573" s="2994"/>
      <c r="Z4573" s="2994"/>
      <c r="AA4573" s="2994"/>
      <c r="AB4573" s="2994"/>
      <c r="AC4573" s="2994"/>
      <c r="AD4573" s="2989">
        <v>12133.333333333334</v>
      </c>
      <c r="AE4573" s="2994"/>
      <c r="AF4573" s="2994"/>
      <c r="AG4573" s="2994"/>
      <c r="AH4573" s="156"/>
      <c r="AI4573" s="156"/>
      <c r="AJ4573" s="156"/>
      <c r="AK4573" s="156"/>
      <c r="AL4573" s="156"/>
      <c r="AM4573" s="156"/>
      <c r="AN4573" s="156"/>
      <c r="AO4573" s="156"/>
      <c r="AP4573" s="156"/>
      <c r="AQ4573" s="156"/>
      <c r="AR4573" s="156"/>
      <c r="AS4573" s="156"/>
      <c r="AT4573" s="156"/>
      <c r="AU4573" s="156"/>
      <c r="AV4573" s="156"/>
      <c r="AW4573" s="156"/>
      <c r="AX4573" s="156"/>
      <c r="AY4573" s="156"/>
      <c r="AZ4573" s="156"/>
      <c r="BA4573" s="156"/>
      <c r="BB4573" s="2828"/>
      <c r="BC4573" s="2828"/>
      <c r="BD4573" s="2829"/>
      <c r="BE4573" s="156"/>
      <c r="BF4573" s="156"/>
    </row>
    <row r="4574" spans="1:58" ht="15" customHeight="1" outlineLevel="1" x14ac:dyDescent="0.35">
      <c r="A4574" s="2784" t="str">
        <f t="shared" si="517"/>
        <v/>
      </c>
      <c r="B4574" s="106"/>
      <c r="C4574" s="103"/>
      <c r="D4574" s="3997" t="s">
        <v>1107</v>
      </c>
      <c r="E4574" s="3999" t="s">
        <v>1108</v>
      </c>
      <c r="F4574" s="4012" t="s">
        <v>4393</v>
      </c>
      <c r="G4574" s="4013"/>
      <c r="H4574" s="4014"/>
      <c r="I4574" s="2376"/>
      <c r="J4574" s="2376">
        <v>1040</v>
      </c>
      <c r="K4574" s="2992"/>
      <c r="L4574" s="3532" t="s">
        <v>4394</v>
      </c>
      <c r="M4574" s="106"/>
      <c r="N4574" s="106"/>
      <c r="O4574" s="106"/>
      <c r="P4574" s="106"/>
      <c r="Q4574" s="106"/>
      <c r="R4574" s="106"/>
      <c r="S4574" s="156"/>
      <c r="T4574" s="106"/>
      <c r="U4574" s="106"/>
      <c r="V4574" s="3979" t="s">
        <v>1107</v>
      </c>
      <c r="W4574" s="3424"/>
      <c r="X4574" s="3424"/>
      <c r="Y4574" s="3424"/>
      <c r="Z4574" s="3424"/>
      <c r="AA4574" s="3424"/>
      <c r="AB4574" s="3424"/>
      <c r="AC4574" s="3424"/>
      <c r="AD4574" s="2376">
        <v>1040</v>
      </c>
      <c r="AE4574" s="3424"/>
      <c r="AF4574" s="3424"/>
      <c r="AG4574" s="3424"/>
      <c r="AH4574" s="156"/>
      <c r="AI4574" s="156"/>
      <c r="AJ4574" s="156"/>
      <c r="AK4574" s="156"/>
      <c r="AL4574" s="156"/>
      <c r="AM4574" s="156"/>
      <c r="AN4574" s="156"/>
      <c r="AO4574" s="156"/>
      <c r="AP4574" s="156"/>
      <c r="AQ4574" s="156"/>
      <c r="AR4574" s="156"/>
      <c r="AS4574" s="156"/>
      <c r="AT4574" s="156"/>
      <c r="AU4574" s="156"/>
      <c r="AV4574" s="156"/>
      <c r="AW4574" s="156"/>
      <c r="AX4574" s="156"/>
      <c r="AY4574" s="156"/>
      <c r="AZ4574" s="156"/>
      <c r="BA4574" s="156"/>
      <c r="BB4574" s="2828"/>
      <c r="BC4574" s="2828"/>
      <c r="BD4574" s="2829"/>
      <c r="BE4574" s="156"/>
      <c r="BF4574" s="156"/>
    </row>
    <row r="4575" spans="1:58" ht="15.75" customHeight="1" outlineLevel="1" thickBot="1" x14ac:dyDescent="0.4">
      <c r="A4575" s="2784" t="str">
        <f t="shared" si="517"/>
        <v/>
      </c>
      <c r="B4575" s="106"/>
      <c r="C4575" s="103"/>
      <c r="D4575" s="3998"/>
      <c r="E4575" s="4000"/>
      <c r="F4575" s="4015" t="s">
        <v>4395</v>
      </c>
      <c r="G4575" s="4016"/>
      <c r="H4575" s="4017"/>
      <c r="I4575" s="2375"/>
      <c r="J4575" s="3533">
        <f>ROUND(510/1496*J4574,0)</f>
        <v>355</v>
      </c>
      <c r="K4575" s="2993"/>
      <c r="L4575" s="3534" t="s">
        <v>4405</v>
      </c>
      <c r="M4575" s="106"/>
      <c r="N4575" s="106"/>
      <c r="O4575" s="106"/>
      <c r="P4575" s="106"/>
      <c r="Q4575" s="106"/>
      <c r="R4575" s="106"/>
      <c r="S4575" s="156"/>
      <c r="T4575" s="106"/>
      <c r="U4575" s="106"/>
      <c r="V4575" s="3981"/>
      <c r="W4575" s="3548"/>
      <c r="X4575" s="3548"/>
      <c r="Y4575" s="3548"/>
      <c r="Z4575" s="3548"/>
      <c r="AA4575" s="3548"/>
      <c r="AB4575" s="3548"/>
      <c r="AC4575" s="3548"/>
      <c r="AD4575" s="3533">
        <v>355</v>
      </c>
      <c r="AE4575" s="3548"/>
      <c r="AF4575" s="3548"/>
      <c r="AG4575" s="3548"/>
      <c r="AH4575" s="156"/>
      <c r="AI4575" s="156"/>
      <c r="AJ4575" s="156"/>
      <c r="AK4575" s="156"/>
      <c r="AL4575" s="156"/>
      <c r="AM4575" s="156"/>
      <c r="AN4575" s="156"/>
      <c r="AO4575" s="156"/>
      <c r="AP4575" s="156"/>
      <c r="AQ4575" s="156"/>
      <c r="AR4575" s="156"/>
      <c r="AS4575" s="156"/>
      <c r="AT4575" s="156"/>
      <c r="AU4575" s="156"/>
      <c r="AV4575" s="156"/>
      <c r="AW4575" s="156"/>
      <c r="AX4575" s="156"/>
      <c r="AY4575" s="156"/>
      <c r="AZ4575" s="156"/>
      <c r="BA4575" s="156"/>
      <c r="BB4575" s="2828"/>
      <c r="BC4575" s="2828"/>
      <c r="BD4575" s="2829"/>
      <c r="BE4575" s="156"/>
      <c r="BF4575" s="156"/>
    </row>
    <row r="4576" spans="1:58" ht="14.5" customHeight="1" outlineLevel="1" x14ac:dyDescent="0.35">
      <c r="A4576" s="2784" t="str">
        <f t="shared" si="517"/>
        <v/>
      </c>
      <c r="B4576" s="3423"/>
      <c r="C4576" s="103"/>
      <c r="D4576" s="3997" t="s">
        <v>1111</v>
      </c>
      <c r="E4576" s="3999" t="s">
        <v>1112</v>
      </c>
      <c r="F4576" s="3994" t="s">
        <v>963</v>
      </c>
      <c r="G4576" s="3995"/>
      <c r="H4576" s="3996"/>
      <c r="I4576" s="2376"/>
      <c r="J4576" s="2376">
        <v>5.44</v>
      </c>
      <c r="K4576" s="2992"/>
      <c r="L4576" s="3532" t="s">
        <v>4394</v>
      </c>
      <c r="M4576" s="106"/>
      <c r="N4576" s="106"/>
      <c r="O4576" s="106"/>
      <c r="P4576" s="106"/>
      <c r="Q4576" s="106"/>
      <c r="R4576" s="106"/>
      <c r="S4576" s="156"/>
      <c r="T4576" s="106"/>
      <c r="U4576" s="106"/>
      <c r="V4576" s="3980" t="s">
        <v>1111</v>
      </c>
      <c r="W4576" s="3425"/>
      <c r="X4576" s="3425"/>
      <c r="Y4576" s="3425"/>
      <c r="Z4576" s="3425"/>
      <c r="AA4576" s="3425"/>
      <c r="AB4576" s="3425"/>
      <c r="AC4576" s="3425"/>
      <c r="AD4576" s="2377">
        <v>5.44</v>
      </c>
      <c r="AE4576" s="3425"/>
      <c r="AF4576" s="3425"/>
      <c r="AG4576" s="3425"/>
      <c r="AH4576" s="156"/>
      <c r="AI4576" s="156"/>
      <c r="AJ4576" s="156"/>
      <c r="AK4576" s="156"/>
      <c r="AL4576" s="156"/>
      <c r="AM4576" s="156"/>
      <c r="AN4576" s="156"/>
      <c r="AO4576" s="156"/>
      <c r="AP4576" s="156"/>
      <c r="AQ4576" s="156"/>
      <c r="AR4576" s="156"/>
      <c r="AS4576" s="156"/>
      <c r="AT4576" s="156"/>
      <c r="AU4576" s="156"/>
      <c r="AV4576" s="156"/>
      <c r="AW4576" s="156"/>
      <c r="AX4576" s="156"/>
      <c r="AY4576" s="156"/>
      <c r="AZ4576" s="156"/>
      <c r="BA4576" s="156"/>
      <c r="BB4576" s="2828"/>
      <c r="BC4576" s="2828"/>
      <c r="BD4576" s="2829"/>
      <c r="BE4576" s="156"/>
      <c r="BF4576" s="156"/>
    </row>
    <row r="4577" spans="1:58" outlineLevel="1" x14ac:dyDescent="0.35">
      <c r="A4577" s="2784" t="str">
        <f t="shared" si="517"/>
        <v/>
      </c>
      <c r="B4577" s="3423"/>
      <c r="C4577" s="103"/>
      <c r="D4577" s="4003"/>
      <c r="E4577" s="4004"/>
      <c r="F4577" s="3988" t="s">
        <v>964</v>
      </c>
      <c r="G4577" s="3989"/>
      <c r="H4577" s="3990"/>
      <c r="I4577" s="2377"/>
      <c r="J4577" s="2374">
        <v>10.5</v>
      </c>
      <c r="K4577" s="2991"/>
      <c r="L4577" s="3531" t="s">
        <v>4494</v>
      </c>
      <c r="M4577" s="106"/>
      <c r="N4577" s="106"/>
      <c r="O4577" s="106"/>
      <c r="P4577" s="106"/>
      <c r="Q4577" s="106"/>
      <c r="R4577" s="106"/>
      <c r="S4577" s="156"/>
      <c r="T4577" s="106"/>
      <c r="U4577" s="106"/>
      <c r="V4577" s="3980"/>
      <c r="W4577" s="3421"/>
      <c r="X4577" s="3421"/>
      <c r="Y4577" s="3421"/>
      <c r="Z4577" s="3421"/>
      <c r="AA4577" s="3421"/>
      <c r="AB4577" s="3421"/>
      <c r="AC4577" s="3421"/>
      <c r="AD4577" s="2374">
        <v>10.5</v>
      </c>
      <c r="AE4577" s="3421"/>
      <c r="AF4577" s="3421"/>
      <c r="AG4577" s="3421"/>
      <c r="AH4577" s="156"/>
      <c r="AI4577" s="156"/>
      <c r="AJ4577" s="156"/>
      <c r="AK4577" s="156"/>
      <c r="AL4577" s="156"/>
      <c r="AM4577" s="156"/>
      <c r="AN4577" s="156"/>
      <c r="AO4577" s="156"/>
      <c r="AP4577" s="156"/>
      <c r="AQ4577" s="156"/>
      <c r="AR4577" s="156"/>
      <c r="AS4577" s="156"/>
      <c r="AT4577" s="156"/>
      <c r="AU4577" s="156"/>
      <c r="AV4577" s="156"/>
      <c r="AW4577" s="156"/>
      <c r="AX4577" s="156"/>
      <c r="AY4577" s="156"/>
      <c r="AZ4577" s="156"/>
      <c r="BA4577" s="156"/>
      <c r="BB4577" s="2828"/>
      <c r="BC4577" s="2828"/>
      <c r="BD4577" s="2829"/>
      <c r="BE4577" s="156"/>
      <c r="BF4577" s="156"/>
    </row>
    <row r="4578" spans="1:58" outlineLevel="1" x14ac:dyDescent="0.35">
      <c r="A4578" s="2784" t="str">
        <f t="shared" si="517"/>
        <v/>
      </c>
      <c r="B4578" s="3423"/>
      <c r="C4578" s="103"/>
      <c r="D4578" s="4003"/>
      <c r="E4578" s="4004"/>
      <c r="F4578" s="3988" t="s">
        <v>4396</v>
      </c>
      <c r="G4578" s="3989"/>
      <c r="H4578" s="3990"/>
      <c r="I4578" s="2374"/>
      <c r="J4578" s="2374">
        <v>3.41</v>
      </c>
      <c r="K4578" s="2991"/>
      <c r="L4578" s="3536" t="s">
        <v>4397</v>
      </c>
      <c r="M4578" s="106"/>
      <c r="N4578" s="106"/>
      <c r="O4578" s="106"/>
      <c r="P4578" s="106"/>
      <c r="Q4578" s="106"/>
      <c r="R4578" s="106"/>
      <c r="S4578" s="156"/>
      <c r="T4578" s="106"/>
      <c r="U4578" s="106"/>
      <c r="V4578" s="3980"/>
      <c r="W4578" s="3421"/>
      <c r="X4578" s="3421"/>
      <c r="Y4578" s="3421"/>
      <c r="Z4578" s="3421"/>
      <c r="AA4578" s="3421"/>
      <c r="AB4578" s="3421"/>
      <c r="AC4578" s="3421"/>
      <c r="AD4578" s="2374">
        <v>3.41</v>
      </c>
      <c r="AE4578" s="3421"/>
      <c r="AF4578" s="3421"/>
      <c r="AG4578" s="3421"/>
      <c r="AH4578" s="156"/>
      <c r="AI4578" s="156"/>
      <c r="AJ4578" s="156"/>
      <c r="AK4578" s="156"/>
      <c r="AL4578" s="156"/>
      <c r="AM4578" s="156"/>
      <c r="AN4578" s="156"/>
      <c r="AO4578" s="156"/>
      <c r="AP4578" s="156"/>
      <c r="AQ4578" s="156"/>
      <c r="AR4578" s="156"/>
      <c r="AS4578" s="156"/>
      <c r="AT4578" s="156"/>
      <c r="AU4578" s="156"/>
      <c r="AV4578" s="156"/>
      <c r="AW4578" s="156"/>
      <c r="AX4578" s="156"/>
      <c r="AY4578" s="156"/>
      <c r="AZ4578" s="156"/>
      <c r="BA4578" s="156"/>
      <c r="BB4578" s="2828"/>
      <c r="BC4578" s="2828"/>
      <c r="BD4578" s="2829"/>
      <c r="BE4578" s="156"/>
      <c r="BF4578" s="156"/>
    </row>
    <row r="4579" spans="1:58" ht="15" outlineLevel="1" thickBot="1" x14ac:dyDescent="0.4">
      <c r="A4579" s="2784" t="str">
        <f t="shared" si="517"/>
        <v/>
      </c>
      <c r="B4579" s="3423"/>
      <c r="C4579" s="103"/>
      <c r="D4579" s="3998"/>
      <c r="E4579" s="4000"/>
      <c r="F4579" s="3985" t="s">
        <v>4398</v>
      </c>
      <c r="G4579" s="3986"/>
      <c r="H4579" s="3987"/>
      <c r="I4579" s="2375"/>
      <c r="J4579" s="2375">
        <v>3.41</v>
      </c>
      <c r="K4579" s="2993"/>
      <c r="L4579" s="3534" t="s">
        <v>4397</v>
      </c>
      <c r="M4579" s="106"/>
      <c r="N4579" s="106"/>
      <c r="O4579" s="106"/>
      <c r="P4579" s="106"/>
      <c r="Q4579" s="106"/>
      <c r="R4579" s="106"/>
      <c r="S4579" s="156"/>
      <c r="T4579" s="106"/>
      <c r="U4579" s="106"/>
      <c r="V4579" s="3980"/>
      <c r="W4579" s="3421"/>
      <c r="X4579" s="3421"/>
      <c r="Y4579" s="3421"/>
      <c r="Z4579" s="3421"/>
      <c r="AA4579" s="3421"/>
      <c r="AB4579" s="3421"/>
      <c r="AC4579" s="3421"/>
      <c r="AD4579" s="2374">
        <v>3.41</v>
      </c>
      <c r="AE4579" s="3421"/>
      <c r="AF4579" s="3421"/>
      <c r="AG4579" s="3421"/>
      <c r="AH4579" s="156"/>
      <c r="AI4579" s="156"/>
      <c r="AJ4579" s="156"/>
      <c r="AK4579" s="156"/>
      <c r="AL4579" s="156"/>
      <c r="AM4579" s="156"/>
      <c r="AN4579" s="156"/>
      <c r="AO4579" s="156"/>
      <c r="AP4579" s="156"/>
      <c r="AQ4579" s="156"/>
      <c r="AR4579" s="156"/>
      <c r="AS4579" s="156"/>
      <c r="AT4579" s="156"/>
      <c r="AU4579" s="156"/>
      <c r="AV4579" s="156"/>
      <c r="AW4579" s="156"/>
      <c r="AX4579" s="156"/>
      <c r="AY4579" s="156"/>
      <c r="AZ4579" s="156"/>
      <c r="BA4579" s="156"/>
      <c r="BB4579" s="2828"/>
      <c r="BC4579" s="2828"/>
      <c r="BD4579" s="2829"/>
      <c r="BE4579" s="156"/>
      <c r="BF4579" s="156"/>
    </row>
    <row r="4580" spans="1:58" ht="15" customHeight="1" outlineLevel="1" x14ac:dyDescent="0.35">
      <c r="A4580" s="2784" t="str">
        <f t="shared" si="517"/>
        <v/>
      </c>
      <c r="B4580" s="3423"/>
      <c r="C4580" s="103"/>
      <c r="D4580" s="4003"/>
      <c r="E4580" s="4004"/>
      <c r="F4580" s="4005" t="s">
        <v>4490</v>
      </c>
      <c r="G4580" s="4006"/>
      <c r="H4580" s="4007"/>
      <c r="I4580" s="2377"/>
      <c r="J4580" s="2377">
        <v>11.58</v>
      </c>
      <c r="K4580" s="3535"/>
      <c r="L4580" s="3531" t="s">
        <v>4493</v>
      </c>
      <c r="M4580" s="106"/>
      <c r="N4580" s="106"/>
      <c r="O4580" s="106"/>
      <c r="P4580" s="106"/>
      <c r="Q4580" s="106"/>
      <c r="R4580" s="106"/>
      <c r="S4580" s="156"/>
      <c r="T4580" s="106"/>
      <c r="U4580" s="106"/>
      <c r="V4580" s="3980"/>
      <c r="W4580" s="3421"/>
      <c r="X4580" s="3421"/>
      <c r="Y4580" s="3421"/>
      <c r="Z4580" s="3421"/>
      <c r="AA4580" s="3421"/>
      <c r="AB4580" s="3421"/>
      <c r="AC4580" s="3421"/>
      <c r="AD4580" s="2374">
        <v>11.58</v>
      </c>
      <c r="AE4580" s="3421"/>
      <c r="AF4580" s="3421"/>
      <c r="AG4580" s="3421"/>
      <c r="AH4580" s="156"/>
      <c r="AI4580" s="156"/>
      <c r="AJ4580" s="156"/>
      <c r="AK4580" s="156"/>
      <c r="AL4580" s="156"/>
      <c r="AM4580" s="156"/>
      <c r="AN4580" s="156"/>
      <c r="AO4580" s="156"/>
      <c r="AP4580" s="156"/>
      <c r="AQ4580" s="156"/>
      <c r="AR4580" s="156"/>
      <c r="AS4580" s="156"/>
      <c r="AT4580" s="156"/>
      <c r="AU4580" s="156"/>
      <c r="AV4580" s="156"/>
      <c r="AW4580" s="156"/>
      <c r="AX4580" s="156"/>
      <c r="AY4580" s="156"/>
      <c r="AZ4580" s="156"/>
      <c r="BA4580" s="156"/>
      <c r="BB4580" s="2828"/>
      <c r="BC4580" s="2828"/>
      <c r="BD4580" s="2829"/>
      <c r="BE4580" s="156"/>
      <c r="BF4580" s="156"/>
    </row>
    <row r="4581" spans="1:58" ht="15" customHeight="1" outlineLevel="1" x14ac:dyDescent="0.35">
      <c r="A4581" s="2784" t="str">
        <f t="shared" si="517"/>
        <v/>
      </c>
      <c r="B4581" s="3423"/>
      <c r="C4581" s="103"/>
      <c r="D4581" s="4003"/>
      <c r="E4581" s="4004"/>
      <c r="F4581" s="3988" t="s">
        <v>4491</v>
      </c>
      <c r="G4581" s="3989"/>
      <c r="H4581" s="3990"/>
      <c r="I4581" s="2374"/>
      <c r="J4581" s="2374">
        <v>11.78</v>
      </c>
      <c r="K4581" s="2991"/>
      <c r="L4581" s="3536" t="s">
        <v>4493</v>
      </c>
      <c r="M4581" s="106"/>
      <c r="N4581" s="106"/>
      <c r="O4581" s="106"/>
      <c r="P4581" s="106"/>
      <c r="Q4581" s="106"/>
      <c r="R4581" s="106"/>
      <c r="S4581" s="156"/>
      <c r="T4581" s="106"/>
      <c r="U4581" s="106"/>
      <c r="V4581" s="3980"/>
      <c r="W4581" s="3421"/>
      <c r="X4581" s="3421"/>
      <c r="Y4581" s="3421"/>
      <c r="Z4581" s="3421"/>
      <c r="AA4581" s="3421"/>
      <c r="AB4581" s="3421"/>
      <c r="AC4581" s="3421"/>
      <c r="AD4581" s="2374">
        <v>11.78</v>
      </c>
      <c r="AE4581" s="3421"/>
      <c r="AF4581" s="3421"/>
      <c r="AG4581" s="3421"/>
      <c r="AH4581" s="156"/>
      <c r="AI4581" s="156"/>
      <c r="AJ4581" s="156"/>
      <c r="AK4581" s="156"/>
      <c r="AL4581" s="156"/>
      <c r="AM4581" s="156"/>
      <c r="AN4581" s="156"/>
      <c r="AO4581" s="156"/>
      <c r="AP4581" s="156"/>
      <c r="AQ4581" s="156"/>
      <c r="AR4581" s="156"/>
      <c r="AS4581" s="156"/>
      <c r="AT4581" s="156"/>
      <c r="AU4581" s="156"/>
      <c r="AV4581" s="156"/>
      <c r="AW4581" s="156"/>
      <c r="AX4581" s="156"/>
      <c r="AY4581" s="156"/>
      <c r="AZ4581" s="156"/>
      <c r="BA4581" s="156"/>
      <c r="BB4581" s="2828"/>
      <c r="BC4581" s="2828"/>
      <c r="BD4581" s="2829"/>
      <c r="BE4581" s="156"/>
      <c r="BF4581" s="156"/>
    </row>
    <row r="4582" spans="1:58" ht="15" customHeight="1" outlineLevel="1" x14ac:dyDescent="0.35">
      <c r="A4582" s="2784" t="str">
        <f t="shared" si="517"/>
        <v/>
      </c>
      <c r="B4582" s="3423"/>
      <c r="C4582" s="103"/>
      <c r="D4582" s="4003"/>
      <c r="E4582" s="4004"/>
      <c r="F4582" s="3988" t="s">
        <v>4492</v>
      </c>
      <c r="G4582" s="3989"/>
      <c r="H4582" s="3990"/>
      <c r="I4582" s="2374"/>
      <c r="J4582" s="2374">
        <v>12.24</v>
      </c>
      <c r="K4582" s="2991"/>
      <c r="L4582" s="3536" t="s">
        <v>4493</v>
      </c>
      <c r="M4582" s="106"/>
      <c r="N4582" s="106"/>
      <c r="O4582" s="106"/>
      <c r="P4582" s="106"/>
      <c r="Q4582" s="106"/>
      <c r="R4582" s="106"/>
      <c r="S4582" s="156"/>
      <c r="T4582" s="106"/>
      <c r="U4582" s="106"/>
      <c r="V4582" s="3980"/>
      <c r="W4582" s="3421"/>
      <c r="X4582" s="3421"/>
      <c r="Y4582" s="3421"/>
      <c r="Z4582" s="3421"/>
      <c r="AA4582" s="3421"/>
      <c r="AB4582" s="3421"/>
      <c r="AC4582" s="3421"/>
      <c r="AD4582" s="2374">
        <v>12.24</v>
      </c>
      <c r="AE4582" s="3421"/>
      <c r="AF4582" s="3421"/>
      <c r="AG4582" s="3421"/>
      <c r="AH4582" s="156"/>
      <c r="AI4582" s="156"/>
      <c r="AJ4582" s="156"/>
      <c r="AK4582" s="156"/>
      <c r="AL4582" s="156"/>
      <c r="AM4582" s="156"/>
      <c r="AN4582" s="156"/>
      <c r="AO4582" s="156"/>
      <c r="AP4582" s="156"/>
      <c r="AQ4582" s="156"/>
      <c r="AR4582" s="156"/>
      <c r="AS4582" s="156"/>
      <c r="AT4582" s="156"/>
      <c r="AU4582" s="156"/>
      <c r="AV4582" s="156"/>
      <c r="AW4582" s="156"/>
      <c r="AX4582" s="156"/>
      <c r="AY4582" s="156"/>
      <c r="AZ4582" s="156"/>
      <c r="BA4582" s="156"/>
      <c r="BB4582" s="2828"/>
      <c r="BC4582" s="2828"/>
      <c r="BD4582" s="2829"/>
      <c r="BE4582" s="156"/>
      <c r="BF4582" s="156"/>
    </row>
    <row r="4583" spans="1:58" ht="15" customHeight="1" outlineLevel="1" thickBot="1" x14ac:dyDescent="0.4">
      <c r="A4583" s="2784" t="str">
        <f t="shared" si="517"/>
        <v/>
      </c>
      <c r="B4583" s="3423"/>
      <c r="C4583" s="103"/>
      <c r="D4583" s="3998"/>
      <c r="E4583" s="4000"/>
      <c r="F4583" s="3985" t="s">
        <v>4399</v>
      </c>
      <c r="G4583" s="3986"/>
      <c r="H4583" s="3987"/>
      <c r="I4583" s="2375"/>
      <c r="J4583" s="2375">
        <v>12.73</v>
      </c>
      <c r="K4583" s="2993"/>
      <c r="L4583" s="3534" t="s">
        <v>4493</v>
      </c>
      <c r="M4583" s="106"/>
      <c r="N4583" s="106"/>
      <c r="O4583" s="106"/>
      <c r="P4583" s="106"/>
      <c r="Q4583" s="106"/>
      <c r="R4583" s="106"/>
      <c r="S4583" s="156"/>
      <c r="T4583" s="106"/>
      <c r="U4583" s="106"/>
      <c r="V4583" s="3980"/>
      <c r="W4583" s="3421"/>
      <c r="X4583" s="3421"/>
      <c r="Y4583" s="3421"/>
      <c r="Z4583" s="3421"/>
      <c r="AA4583" s="3421"/>
      <c r="AB4583" s="3421"/>
      <c r="AC4583" s="3421"/>
      <c r="AD4583" s="2375">
        <v>12.73</v>
      </c>
      <c r="AE4583" s="3421"/>
      <c r="AF4583" s="3421"/>
      <c r="AG4583" s="3421"/>
      <c r="AH4583" s="156"/>
      <c r="AI4583" s="156"/>
      <c r="AJ4583" s="156"/>
      <c r="AK4583" s="156"/>
      <c r="AL4583" s="156"/>
      <c r="AM4583" s="156"/>
      <c r="AN4583" s="156"/>
      <c r="AO4583" s="156"/>
      <c r="AP4583" s="156"/>
      <c r="AQ4583" s="156"/>
      <c r="AR4583" s="156"/>
      <c r="AS4583" s="156"/>
      <c r="AT4583" s="156"/>
      <c r="AU4583" s="156"/>
      <c r="AV4583" s="156"/>
      <c r="AW4583" s="156"/>
      <c r="AX4583" s="156"/>
      <c r="AY4583" s="156"/>
      <c r="AZ4583" s="156"/>
      <c r="BA4583" s="156"/>
      <c r="BB4583" s="2828"/>
      <c r="BC4583" s="2828"/>
      <c r="BD4583" s="2829"/>
      <c r="BE4583" s="156"/>
      <c r="BF4583" s="156"/>
    </row>
    <row r="4584" spans="1:58" ht="15" outlineLevel="1" thickBot="1" x14ac:dyDescent="0.4">
      <c r="A4584" s="2784" t="str">
        <f>C4584&amp;G4584</f>
        <v/>
      </c>
      <c r="B4584" s="3423"/>
      <c r="C4584" s="103"/>
      <c r="D4584" s="3529" t="s">
        <v>1116</v>
      </c>
      <c r="E4584" s="3530" t="s">
        <v>4406</v>
      </c>
      <c r="F4584" s="3976" t="s">
        <v>2999</v>
      </c>
      <c r="G4584" s="3977"/>
      <c r="H4584" s="3978"/>
      <c r="I4584" s="2377"/>
      <c r="J4584" s="2989">
        <f>AVERAGE(9400, 12000,15000)</f>
        <v>12133.333333333334</v>
      </c>
      <c r="K4584" s="2990">
        <f>J4584/12000</f>
        <v>1.0111111111111111</v>
      </c>
      <c r="L4584" s="3531" t="s">
        <v>4392</v>
      </c>
      <c r="M4584" s="106"/>
      <c r="N4584" s="106"/>
      <c r="O4584" s="106"/>
      <c r="P4584" s="106"/>
      <c r="Q4584" s="106"/>
      <c r="R4584" s="106"/>
      <c r="S4584" s="156"/>
      <c r="T4584" s="106"/>
      <c r="U4584" s="106"/>
      <c r="V4584" s="3426" t="s">
        <v>1116</v>
      </c>
      <c r="W4584" s="3399"/>
      <c r="X4584" s="3399"/>
      <c r="Y4584" s="3399"/>
      <c r="Z4584" s="3399"/>
      <c r="AA4584" s="3399"/>
      <c r="AB4584" s="3399"/>
      <c r="AC4584" s="3399"/>
      <c r="AD4584" s="2989">
        <v>12133.333333333334</v>
      </c>
      <c r="AE4584" s="3399"/>
      <c r="AF4584" s="3399"/>
      <c r="AG4584" s="3399"/>
      <c r="AH4584" s="156"/>
      <c r="AI4584" s="156"/>
      <c r="AJ4584" s="156"/>
      <c r="AK4584" s="156"/>
      <c r="AL4584" s="156"/>
      <c r="AM4584" s="156"/>
      <c r="AN4584" s="156"/>
      <c r="AO4584" s="156"/>
      <c r="AP4584" s="156"/>
      <c r="AQ4584" s="156"/>
      <c r="AR4584" s="156"/>
      <c r="AS4584" s="156"/>
      <c r="AT4584" s="156"/>
      <c r="AU4584" s="156"/>
      <c r="AV4584" s="156"/>
      <c r="AW4584" s="156"/>
      <c r="AX4584" s="156"/>
      <c r="AY4584" s="156"/>
      <c r="AZ4584" s="156"/>
      <c r="BA4584" s="156"/>
      <c r="BB4584" s="2828"/>
      <c r="BC4584" s="2828"/>
      <c r="BD4584" s="2829"/>
      <c r="BE4584" s="156"/>
      <c r="BF4584" s="156"/>
    </row>
    <row r="4585" spans="1:58" outlineLevel="1" x14ac:dyDescent="0.35">
      <c r="A4585" s="2784" t="str">
        <f>C4585&amp;G4585</f>
        <v/>
      </c>
      <c r="B4585" s="3423"/>
      <c r="C4585" s="103"/>
      <c r="D4585" s="4008" t="s">
        <v>1118</v>
      </c>
      <c r="E4585" s="4010" t="s">
        <v>1119</v>
      </c>
      <c r="F4585" s="4012" t="s">
        <v>4393</v>
      </c>
      <c r="G4585" s="4013"/>
      <c r="H4585" s="4014"/>
      <c r="I4585" s="3537"/>
      <c r="J4585" s="3537">
        <v>617</v>
      </c>
      <c r="K4585" s="3538"/>
      <c r="L4585" s="3532" t="s">
        <v>4394</v>
      </c>
      <c r="M4585" s="106"/>
      <c r="N4585" s="106"/>
      <c r="O4585" s="106"/>
      <c r="P4585" s="106"/>
      <c r="Q4585" s="106"/>
      <c r="R4585" s="106"/>
      <c r="S4585" s="156"/>
      <c r="T4585" s="106"/>
      <c r="U4585" s="106"/>
      <c r="V4585" s="4001" t="s">
        <v>1118</v>
      </c>
      <c r="W4585" s="2656"/>
      <c r="X4585" s="2656"/>
      <c r="Y4585" s="2656"/>
      <c r="Z4585" s="2656"/>
      <c r="AA4585" s="2656"/>
      <c r="AB4585" s="2656"/>
      <c r="AC4585" s="2656"/>
      <c r="AD4585" s="3537">
        <v>617</v>
      </c>
      <c r="AE4585" s="2656"/>
      <c r="AF4585" s="2656"/>
      <c r="AG4585" s="2656"/>
      <c r="AH4585" s="156"/>
      <c r="AI4585" s="156"/>
      <c r="AJ4585" s="156"/>
      <c r="AK4585" s="156"/>
      <c r="AL4585" s="156"/>
      <c r="AM4585" s="156"/>
      <c r="AN4585" s="156"/>
      <c r="AO4585" s="156"/>
      <c r="AP4585" s="156"/>
      <c r="AQ4585" s="156"/>
      <c r="AR4585" s="156"/>
      <c r="AS4585" s="156"/>
      <c r="AT4585" s="156"/>
      <c r="AU4585" s="156"/>
      <c r="AV4585" s="156"/>
      <c r="AW4585" s="156"/>
      <c r="AX4585" s="156"/>
      <c r="AY4585" s="156"/>
      <c r="AZ4585" s="156"/>
      <c r="BA4585" s="156"/>
      <c r="BB4585" s="2828"/>
      <c r="BC4585" s="2828"/>
      <c r="BD4585" s="2829"/>
      <c r="BE4585" s="156"/>
      <c r="BF4585" s="156"/>
    </row>
    <row r="4586" spans="1:58" ht="15.75" customHeight="1" outlineLevel="1" thickBot="1" x14ac:dyDescent="0.4">
      <c r="A4586" s="2784"/>
      <c r="B4586" s="3423"/>
      <c r="C4586" s="103"/>
      <c r="D4586" s="4009"/>
      <c r="E4586" s="4011"/>
      <c r="F4586" s="4015" t="s">
        <v>4395</v>
      </c>
      <c r="G4586" s="4016"/>
      <c r="H4586" s="4017"/>
      <c r="I4586" s="3539"/>
      <c r="J4586" s="3540">
        <f>ROUND(632/869*J4585,0)</f>
        <v>449</v>
      </c>
      <c r="K4586" s="3541"/>
      <c r="L4586" s="3534" t="s">
        <v>4405</v>
      </c>
      <c r="M4586" s="106"/>
      <c r="N4586" s="106"/>
      <c r="O4586" s="106"/>
      <c r="P4586" s="106"/>
      <c r="Q4586" s="106"/>
      <c r="R4586" s="106"/>
      <c r="S4586" s="156"/>
      <c r="T4586" s="106"/>
      <c r="U4586" s="106"/>
      <c r="V4586" s="4002"/>
      <c r="W4586" s="3400"/>
      <c r="X4586" s="3400"/>
      <c r="Y4586" s="3400"/>
      <c r="Z4586" s="3400"/>
      <c r="AA4586" s="3400"/>
      <c r="AB4586" s="3400"/>
      <c r="AC4586" s="3400"/>
      <c r="AD4586" s="3540">
        <v>449</v>
      </c>
      <c r="AE4586" s="3400"/>
      <c r="AF4586" s="3400"/>
      <c r="AG4586" s="3400"/>
      <c r="AH4586" s="156"/>
      <c r="AI4586" s="156"/>
      <c r="AJ4586" s="156"/>
      <c r="AK4586" s="156"/>
      <c r="AL4586" s="156"/>
      <c r="AM4586" s="156"/>
      <c r="AN4586" s="156"/>
      <c r="AO4586" s="156"/>
      <c r="AP4586" s="156"/>
      <c r="AQ4586" s="156"/>
      <c r="AR4586" s="156"/>
      <c r="AS4586" s="156"/>
      <c r="AT4586" s="156"/>
      <c r="AU4586" s="156"/>
      <c r="AV4586" s="156"/>
      <c r="AW4586" s="156"/>
      <c r="AX4586" s="156"/>
      <c r="AY4586" s="156"/>
      <c r="AZ4586" s="156"/>
      <c r="BA4586" s="156"/>
      <c r="BB4586" s="2828"/>
      <c r="BC4586" s="2828"/>
      <c r="BD4586" s="2829"/>
      <c r="BE4586" s="156"/>
      <c r="BF4586" s="156"/>
    </row>
    <row r="4587" spans="1:58" ht="14.5" customHeight="1" outlineLevel="1" x14ac:dyDescent="0.35">
      <c r="A4587" s="2784" t="str">
        <f t="shared" ref="A4587:A4593" si="519">C4587&amp;G4587</f>
        <v/>
      </c>
      <c r="B4587" s="3423"/>
      <c r="C4587" s="103"/>
      <c r="D4587" s="3997" t="s">
        <v>1120</v>
      </c>
      <c r="E4587" s="3999" t="s">
        <v>1121</v>
      </c>
      <c r="F4587" s="3994" t="s">
        <v>4400</v>
      </c>
      <c r="G4587" s="3995"/>
      <c r="H4587" s="3996"/>
      <c r="I4587" s="2376"/>
      <c r="J4587" s="2376">
        <v>7.2</v>
      </c>
      <c r="K4587" s="2992"/>
      <c r="L4587" s="3532" t="s">
        <v>4394</v>
      </c>
      <c r="M4587" s="106"/>
      <c r="N4587" s="106"/>
      <c r="O4587" s="106"/>
      <c r="P4587" s="106"/>
      <c r="Q4587" s="106"/>
      <c r="R4587" s="106"/>
      <c r="S4587" s="156"/>
      <c r="T4587" s="106"/>
      <c r="U4587" s="106"/>
      <c r="V4587" s="3980" t="s">
        <v>1120</v>
      </c>
      <c r="W4587" s="3425"/>
      <c r="X4587" s="3425"/>
      <c r="Y4587" s="3425"/>
      <c r="Z4587" s="3425"/>
      <c r="AA4587" s="3425"/>
      <c r="AB4587" s="3425"/>
      <c r="AC4587" s="3425"/>
      <c r="AD4587" s="2377">
        <v>7.2</v>
      </c>
      <c r="AE4587" s="3425"/>
      <c r="AF4587" s="3425"/>
      <c r="AG4587" s="3425"/>
      <c r="AH4587" s="156"/>
      <c r="AI4587" s="156"/>
      <c r="AJ4587" s="156"/>
      <c r="AK4587" s="156"/>
      <c r="AL4587" s="156"/>
      <c r="AM4587" s="156"/>
      <c r="AN4587" s="156"/>
      <c r="AO4587" s="156"/>
      <c r="AP4587" s="156"/>
      <c r="AQ4587" s="156"/>
      <c r="AR4587" s="156"/>
      <c r="AS4587" s="156"/>
      <c r="AT4587" s="156"/>
      <c r="AU4587" s="156"/>
      <c r="AV4587" s="156"/>
      <c r="AW4587" s="156"/>
      <c r="AX4587" s="156"/>
      <c r="AY4587" s="156"/>
      <c r="AZ4587" s="156"/>
      <c r="BA4587" s="156"/>
      <c r="BB4587" s="2828"/>
      <c r="BC4587" s="2828"/>
      <c r="BD4587" s="2829"/>
      <c r="BE4587" s="156"/>
      <c r="BF4587" s="156"/>
    </row>
    <row r="4588" spans="1:58" outlineLevel="1" x14ac:dyDescent="0.35">
      <c r="A4588" s="2784"/>
      <c r="B4588" s="3423"/>
      <c r="C4588" s="103"/>
      <c r="D4588" s="4003"/>
      <c r="E4588" s="4004"/>
      <c r="F4588" s="3988" t="s">
        <v>4401</v>
      </c>
      <c r="G4588" s="3989"/>
      <c r="H4588" s="3990"/>
      <c r="I4588" s="2377"/>
      <c r="J4588" s="2377">
        <v>6.8</v>
      </c>
      <c r="K4588" s="3535"/>
      <c r="L4588" s="3531" t="s">
        <v>4394</v>
      </c>
      <c r="M4588" s="106"/>
      <c r="N4588" s="106"/>
      <c r="O4588" s="106"/>
      <c r="P4588" s="106"/>
      <c r="Q4588" s="106"/>
      <c r="R4588" s="106"/>
      <c r="S4588" s="156"/>
      <c r="T4588" s="106"/>
      <c r="U4588" s="106"/>
      <c r="V4588" s="3980"/>
      <c r="W4588" s="3425"/>
      <c r="X4588" s="3425"/>
      <c r="Y4588" s="3425"/>
      <c r="Z4588" s="3425"/>
      <c r="AA4588" s="3425"/>
      <c r="AB4588" s="3425"/>
      <c r="AC4588" s="3425"/>
      <c r="AD4588" s="2377">
        <v>6.8</v>
      </c>
      <c r="AE4588" s="3425"/>
      <c r="AF4588" s="3425"/>
      <c r="AG4588" s="3425"/>
      <c r="AH4588" s="156"/>
      <c r="AI4588" s="156"/>
      <c r="AJ4588" s="156"/>
      <c r="AK4588" s="156"/>
      <c r="AL4588" s="156"/>
      <c r="AM4588" s="156"/>
      <c r="AN4588" s="156"/>
      <c r="AO4588" s="156"/>
      <c r="AP4588" s="156"/>
      <c r="AQ4588" s="156"/>
      <c r="AR4588" s="156"/>
      <c r="AS4588" s="156"/>
      <c r="AT4588" s="156"/>
      <c r="AU4588" s="156"/>
      <c r="AV4588" s="156"/>
      <c r="AW4588" s="156"/>
      <c r="AX4588" s="156"/>
      <c r="AY4588" s="156"/>
      <c r="AZ4588" s="156"/>
      <c r="BA4588" s="156"/>
      <c r="BB4588" s="2828"/>
      <c r="BC4588" s="2828"/>
      <c r="BD4588" s="2829"/>
      <c r="BE4588" s="156"/>
      <c r="BF4588" s="156"/>
    </row>
    <row r="4589" spans="1:58" ht="15" outlineLevel="1" thickBot="1" x14ac:dyDescent="0.4">
      <c r="A4589" s="2784" t="str">
        <f t="shared" si="519"/>
        <v/>
      </c>
      <c r="B4589" s="3423"/>
      <c r="C4589" s="103"/>
      <c r="D4589" s="3998"/>
      <c r="E4589" s="4000"/>
      <c r="F4589" s="3985" t="s">
        <v>964</v>
      </c>
      <c r="G4589" s="3986"/>
      <c r="H4589" s="3987"/>
      <c r="I4589" s="706"/>
      <c r="J4589" s="2375">
        <v>11.7</v>
      </c>
      <c r="K4589" s="2993"/>
      <c r="L4589" s="3547" t="s">
        <v>4494</v>
      </c>
      <c r="M4589" s="106"/>
      <c r="N4589" s="106"/>
      <c r="O4589" s="106"/>
      <c r="P4589" s="106"/>
      <c r="Q4589" s="106"/>
      <c r="R4589" s="106"/>
      <c r="S4589" s="156"/>
      <c r="T4589" s="106"/>
      <c r="U4589" s="106"/>
      <c r="V4589" s="3980"/>
      <c r="W4589" s="3421"/>
      <c r="X4589" s="3421"/>
      <c r="Y4589" s="3421"/>
      <c r="Z4589" s="3421"/>
      <c r="AA4589" s="3421"/>
      <c r="AB4589" s="3421"/>
      <c r="AC4589" s="3421"/>
      <c r="AD4589" s="2374">
        <v>11.7</v>
      </c>
      <c r="AE4589" s="3421"/>
      <c r="AF4589" s="3421"/>
      <c r="AG4589" s="3421"/>
      <c r="AH4589" s="156"/>
      <c r="AI4589" s="156"/>
      <c r="AJ4589" s="156"/>
      <c r="AK4589" s="156"/>
      <c r="AL4589" s="156"/>
      <c r="AM4589" s="156"/>
      <c r="AN4589" s="156"/>
      <c r="AO4589" s="156"/>
      <c r="AP4589" s="156"/>
      <c r="AQ4589" s="156"/>
      <c r="AR4589" s="156"/>
      <c r="AS4589" s="156"/>
      <c r="AT4589" s="156"/>
      <c r="AU4589" s="156"/>
      <c r="AV4589" s="156"/>
      <c r="AW4589" s="156"/>
      <c r="AX4589" s="156"/>
      <c r="AY4589" s="156"/>
      <c r="AZ4589" s="156"/>
      <c r="BA4589" s="156"/>
      <c r="BB4589" s="2828"/>
      <c r="BC4589" s="2828"/>
      <c r="BD4589" s="2829"/>
      <c r="BE4589" s="156"/>
      <c r="BF4589" s="156"/>
    </row>
    <row r="4590" spans="1:58" outlineLevel="1" x14ac:dyDescent="0.35">
      <c r="A4590" s="2784" t="str">
        <f t="shared" si="519"/>
        <v/>
      </c>
      <c r="B4590" s="3423"/>
      <c r="C4590" s="103"/>
      <c r="D4590" s="4003"/>
      <c r="E4590" s="4004"/>
      <c r="F4590" s="4005" t="s">
        <v>4490</v>
      </c>
      <c r="G4590" s="4006"/>
      <c r="H4590" s="4007"/>
      <c r="I4590" s="2377"/>
      <c r="J4590" s="2377">
        <v>12</v>
      </c>
      <c r="K4590" s="3535"/>
      <c r="L4590" s="3531" t="s">
        <v>4542</v>
      </c>
      <c r="M4590" s="106"/>
      <c r="N4590" s="106"/>
      <c r="O4590" s="106"/>
      <c r="P4590" s="106"/>
      <c r="Q4590" s="106"/>
      <c r="R4590" s="106"/>
      <c r="S4590" s="156"/>
      <c r="T4590" s="106"/>
      <c r="U4590" s="106"/>
      <c r="V4590" s="3980"/>
      <c r="W4590" s="3421"/>
      <c r="X4590" s="3421"/>
      <c r="Y4590" s="3421"/>
      <c r="Z4590" s="3421"/>
      <c r="AA4590" s="3421"/>
      <c r="AB4590" s="3421"/>
      <c r="AC4590" s="3421"/>
      <c r="AD4590" s="2374">
        <v>12</v>
      </c>
      <c r="AE4590" s="3421"/>
      <c r="AF4590" s="3421"/>
      <c r="AG4590" s="3421"/>
      <c r="AH4590" s="156"/>
      <c r="AI4590" s="156"/>
      <c r="AJ4590" s="156"/>
      <c r="AK4590" s="156"/>
      <c r="AL4590" s="156"/>
      <c r="AM4590" s="156"/>
      <c r="AN4590" s="156"/>
      <c r="AO4590" s="156"/>
      <c r="AP4590" s="156"/>
      <c r="AQ4590" s="156"/>
      <c r="AR4590" s="156"/>
      <c r="AS4590" s="156"/>
      <c r="AT4590" s="156"/>
      <c r="AU4590" s="156"/>
      <c r="AV4590" s="156"/>
      <c r="AW4590" s="156"/>
      <c r="AX4590" s="156"/>
      <c r="AY4590" s="156"/>
      <c r="AZ4590" s="156"/>
      <c r="BA4590" s="156"/>
      <c r="BB4590" s="2828"/>
      <c r="BC4590" s="2828"/>
      <c r="BD4590" s="2829"/>
      <c r="BE4590" s="156"/>
      <c r="BF4590" s="156"/>
    </row>
    <row r="4591" spans="1:58" outlineLevel="1" x14ac:dyDescent="0.35">
      <c r="A4591" s="2784" t="str">
        <f t="shared" si="519"/>
        <v/>
      </c>
      <c r="B4591" s="3423"/>
      <c r="C4591" s="103"/>
      <c r="D4591" s="4003"/>
      <c r="E4591" s="4004"/>
      <c r="F4591" s="3988" t="s">
        <v>4491</v>
      </c>
      <c r="G4591" s="3989"/>
      <c r="H4591" s="3990"/>
      <c r="I4591" s="2374"/>
      <c r="J4591" s="2374">
        <v>13</v>
      </c>
      <c r="K4591" s="2991"/>
      <c r="L4591" s="3536" t="s">
        <v>1124</v>
      </c>
      <c r="M4591" s="106"/>
      <c r="N4591" s="106"/>
      <c r="O4591" s="106"/>
      <c r="P4591" s="106"/>
      <c r="Q4591" s="106"/>
      <c r="R4591" s="106"/>
      <c r="S4591" s="156"/>
      <c r="T4591" s="106"/>
      <c r="U4591" s="106"/>
      <c r="V4591" s="3980"/>
      <c r="W4591" s="3421"/>
      <c r="X4591" s="3421"/>
      <c r="Y4591" s="3421"/>
      <c r="Z4591" s="3421"/>
      <c r="AA4591" s="3421"/>
      <c r="AB4591" s="3421"/>
      <c r="AC4591" s="3421"/>
      <c r="AD4591" s="2374">
        <v>13</v>
      </c>
      <c r="AE4591" s="3421"/>
      <c r="AF4591" s="3421"/>
      <c r="AG4591" s="3421"/>
      <c r="AH4591" s="156"/>
      <c r="AI4591" s="156"/>
      <c r="AJ4591" s="156"/>
      <c r="AK4591" s="156"/>
      <c r="AL4591" s="156"/>
      <c r="AM4591" s="156"/>
      <c r="AN4591" s="156"/>
      <c r="AO4591" s="156"/>
      <c r="AP4591" s="156"/>
      <c r="AQ4591" s="156"/>
      <c r="AR4591" s="156"/>
      <c r="AS4591" s="156"/>
      <c r="AT4591" s="156"/>
      <c r="AU4591" s="156"/>
      <c r="AV4591" s="156"/>
      <c r="AW4591" s="156"/>
      <c r="AX4591" s="156"/>
      <c r="AY4591" s="156"/>
      <c r="AZ4591" s="156"/>
      <c r="BA4591" s="156"/>
      <c r="BB4591" s="2828"/>
      <c r="BC4591" s="2828"/>
      <c r="BD4591" s="2829"/>
      <c r="BE4591" s="156"/>
      <c r="BF4591" s="156"/>
    </row>
    <row r="4592" spans="1:58" outlineLevel="1" x14ac:dyDescent="0.35">
      <c r="A4592" s="2784" t="str">
        <f t="shared" si="519"/>
        <v/>
      </c>
      <c r="B4592" s="3423"/>
      <c r="C4592" s="103"/>
      <c r="D4592" s="4003"/>
      <c r="E4592" s="4004"/>
      <c r="F4592" s="3988" t="s">
        <v>4492</v>
      </c>
      <c r="G4592" s="3989"/>
      <c r="H4592" s="3990"/>
      <c r="I4592" s="2374"/>
      <c r="J4592" s="2374">
        <v>14</v>
      </c>
      <c r="K4592" s="2991"/>
      <c r="L4592" s="3536" t="s">
        <v>1124</v>
      </c>
      <c r="M4592" s="106"/>
      <c r="N4592" s="106"/>
      <c r="O4592" s="106"/>
      <c r="P4592" s="106"/>
      <c r="Q4592" s="106"/>
      <c r="R4592" s="106"/>
      <c r="S4592" s="156"/>
      <c r="T4592" s="106"/>
      <c r="U4592" s="106"/>
      <c r="V4592" s="3980"/>
      <c r="W4592" s="3421"/>
      <c r="X4592" s="3421"/>
      <c r="Y4592" s="3421"/>
      <c r="Z4592" s="3421"/>
      <c r="AA4592" s="3421"/>
      <c r="AB4592" s="3421"/>
      <c r="AC4592" s="3421"/>
      <c r="AD4592" s="2374">
        <v>14</v>
      </c>
      <c r="AE4592" s="3421"/>
      <c r="AF4592" s="3421"/>
      <c r="AG4592" s="3421"/>
      <c r="AH4592" s="156"/>
      <c r="AI4592" s="156"/>
      <c r="AJ4592" s="156"/>
      <c r="AK4592" s="156"/>
      <c r="AL4592" s="156"/>
      <c r="AM4592" s="156"/>
      <c r="AN4592" s="156"/>
      <c r="AO4592" s="156"/>
      <c r="AP4592" s="156"/>
      <c r="AQ4592" s="156"/>
      <c r="AR4592" s="156"/>
      <c r="AS4592" s="156"/>
      <c r="AT4592" s="156"/>
      <c r="AU4592" s="156"/>
      <c r="AV4592" s="156"/>
      <c r="AW4592" s="156"/>
      <c r="AX4592" s="156"/>
      <c r="AY4592" s="156"/>
      <c r="AZ4592" s="156"/>
      <c r="BA4592" s="156"/>
      <c r="BB4592" s="2828"/>
      <c r="BC4592" s="2828"/>
      <c r="BD4592" s="2829"/>
      <c r="BE4592" s="156"/>
      <c r="BF4592" s="156"/>
    </row>
    <row r="4593" spans="1:58" ht="15" outlineLevel="1" thickBot="1" x14ac:dyDescent="0.4">
      <c r="A4593" s="2784" t="str">
        <f t="shared" si="519"/>
        <v/>
      </c>
      <c r="B4593" s="106"/>
      <c r="C4593" s="103"/>
      <c r="D4593" s="3998"/>
      <c r="E4593" s="4000"/>
      <c r="F4593" s="3985" t="s">
        <v>4399</v>
      </c>
      <c r="G4593" s="3986"/>
      <c r="H4593" s="3987"/>
      <c r="I4593" s="2375"/>
      <c r="J4593" s="2375">
        <v>15</v>
      </c>
      <c r="K4593" s="2993"/>
      <c r="L4593" s="3534" t="s">
        <v>1124</v>
      </c>
      <c r="M4593" s="106"/>
      <c r="N4593" s="106"/>
      <c r="O4593" s="106"/>
      <c r="P4593" s="106"/>
      <c r="Q4593" s="106"/>
      <c r="R4593" s="106"/>
      <c r="S4593" s="156"/>
      <c r="T4593" s="106"/>
      <c r="U4593" s="106"/>
      <c r="V4593" s="3980"/>
      <c r="W4593" s="3421"/>
      <c r="X4593" s="3421"/>
      <c r="Y4593" s="3421"/>
      <c r="Z4593" s="3421"/>
      <c r="AA4593" s="3421"/>
      <c r="AB4593" s="3421"/>
      <c r="AC4593" s="3421"/>
      <c r="AD4593" s="2375">
        <v>15</v>
      </c>
      <c r="AE4593" s="3421"/>
      <c r="AF4593" s="3421"/>
      <c r="AG4593" s="3421"/>
      <c r="AH4593" s="156"/>
      <c r="AI4593" s="156"/>
      <c r="AJ4593" s="156"/>
      <c r="AK4593" s="156"/>
      <c r="AL4593" s="156"/>
      <c r="AM4593" s="156"/>
      <c r="AN4593" s="156"/>
      <c r="AO4593" s="156"/>
      <c r="AP4593" s="156"/>
      <c r="AQ4593" s="156"/>
      <c r="AR4593" s="156"/>
      <c r="AS4593" s="156"/>
      <c r="AT4593" s="156"/>
      <c r="AU4593" s="156"/>
      <c r="AV4593" s="156"/>
      <c r="AW4593" s="156"/>
      <c r="AX4593" s="156"/>
      <c r="AY4593" s="156"/>
      <c r="AZ4593" s="156"/>
      <c r="BA4593" s="156"/>
      <c r="BB4593" s="2828"/>
      <c r="BC4593" s="2828"/>
      <c r="BD4593" s="2829"/>
      <c r="BE4593" s="156"/>
      <c r="BF4593" s="156"/>
    </row>
    <row r="4594" spans="1:58" ht="15" outlineLevel="1" thickBot="1" x14ac:dyDescent="0.4">
      <c r="A4594" s="417"/>
      <c r="B4594" s="84"/>
      <c r="C4594" s="103"/>
      <c r="D4594" s="3542" t="s">
        <v>132</v>
      </c>
      <c r="E4594" s="3543" t="s">
        <v>832</v>
      </c>
      <c r="F4594" s="3991" t="s">
        <v>134</v>
      </c>
      <c r="G4594" s="3992"/>
      <c r="H4594" s="3993"/>
      <c r="I4594" s="3544"/>
      <c r="J4594" s="3545">
        <v>1</v>
      </c>
      <c r="K4594" s="3545"/>
      <c r="L4594" s="3546" t="s">
        <v>4248</v>
      </c>
      <c r="M4594" s="84"/>
      <c r="N4594" s="84"/>
      <c r="O4594" s="84"/>
      <c r="P4594" s="106"/>
      <c r="Q4594" s="106"/>
      <c r="R4594" s="106"/>
      <c r="S4594" s="156"/>
      <c r="T4594" s="417"/>
      <c r="U4594" s="84"/>
      <c r="V4594" s="3549" t="s">
        <v>132</v>
      </c>
      <c r="W4594" s="3550"/>
      <c r="X4594" s="3550"/>
      <c r="Y4594" s="3550"/>
      <c r="Z4594" s="3550"/>
      <c r="AA4594" s="3550"/>
      <c r="AB4594" s="3550"/>
      <c r="AC4594" s="3550"/>
      <c r="AD4594" s="3545">
        <v>1</v>
      </c>
      <c r="AE4594" s="3550"/>
      <c r="AF4594" s="3550"/>
      <c r="AG4594" s="3550"/>
      <c r="AH4594" s="84"/>
      <c r="AI4594" s="84"/>
      <c r="AJ4594" s="84"/>
      <c r="AK4594" s="84"/>
      <c r="AL4594" s="84"/>
      <c r="AM4594" s="84"/>
      <c r="AN4594" s="84"/>
      <c r="AO4594" s="84"/>
      <c r="AP4594" s="84"/>
      <c r="AQ4594" s="84"/>
      <c r="AR4594" s="84"/>
      <c r="AS4594" s="84"/>
      <c r="AT4594" s="84"/>
      <c r="AU4594" s="84"/>
      <c r="AV4594" s="84"/>
      <c r="AW4594" s="84"/>
      <c r="AX4594" s="84"/>
      <c r="AY4594" s="84"/>
      <c r="AZ4594" s="84"/>
      <c r="BA4594" s="84"/>
      <c r="BB4594" s="1804"/>
      <c r="BC4594" s="2828"/>
      <c r="BD4594" s="1841"/>
      <c r="BE4594" s="1842"/>
      <c r="BF4594" s="84"/>
    </row>
    <row r="4595" spans="1:58" outlineLevel="1" x14ac:dyDescent="0.35">
      <c r="A4595" s="2784" t="str">
        <f>C4595&amp;G4595</f>
        <v/>
      </c>
      <c r="B4595" s="106"/>
      <c r="C4595" s="103"/>
      <c r="D4595" s="3997" t="s">
        <v>4415</v>
      </c>
      <c r="E4595" s="3999" t="s">
        <v>166</v>
      </c>
      <c r="F4595" s="3994" t="s">
        <v>964</v>
      </c>
      <c r="G4595" s="3995"/>
      <c r="H4595" s="3996"/>
      <c r="I4595" s="2377"/>
      <c r="J4595" s="2377">
        <v>15</v>
      </c>
      <c r="K4595" s="3535"/>
      <c r="L4595" s="3532" t="s">
        <v>4394</v>
      </c>
      <c r="M4595" s="106"/>
      <c r="N4595" s="106"/>
      <c r="O4595" s="106"/>
      <c r="P4595" s="106"/>
      <c r="Q4595" s="106"/>
      <c r="R4595" s="106"/>
      <c r="S4595" s="156"/>
      <c r="T4595" s="106"/>
      <c r="U4595" s="106"/>
      <c r="V4595" s="3980" t="s">
        <v>180</v>
      </c>
      <c r="W4595" s="3425"/>
      <c r="X4595" s="3425"/>
      <c r="Y4595" s="3425"/>
      <c r="Z4595" s="3425"/>
      <c r="AA4595" s="3425"/>
      <c r="AB4595" s="3425"/>
      <c r="AC4595" s="3425"/>
      <c r="AD4595" s="2377">
        <v>15</v>
      </c>
      <c r="AE4595" s="3425"/>
      <c r="AF4595" s="3425"/>
      <c r="AG4595" s="3425"/>
      <c r="AH4595" s="156"/>
      <c r="AI4595" s="156"/>
      <c r="AJ4595" s="156"/>
      <c r="AK4595" s="156"/>
      <c r="AL4595" s="156"/>
      <c r="AM4595" s="156"/>
      <c r="AN4595" s="156"/>
      <c r="AO4595" s="156"/>
      <c r="AP4595" s="156"/>
      <c r="AQ4595" s="156"/>
      <c r="AR4595" s="156"/>
      <c r="AS4595" s="156"/>
      <c r="AT4595" s="156"/>
      <c r="AU4595" s="156"/>
      <c r="AV4595" s="156"/>
      <c r="AW4595" s="156"/>
      <c r="AX4595" s="156"/>
      <c r="AY4595" s="156"/>
      <c r="AZ4595" s="156"/>
      <c r="BA4595" s="156"/>
      <c r="BB4595" s="2828"/>
      <c r="BC4595" s="2828"/>
      <c r="BD4595" s="2829"/>
      <c r="BE4595" s="156"/>
      <c r="BF4595" s="156"/>
    </row>
    <row r="4596" spans="1:58" outlineLevel="1" x14ac:dyDescent="0.35">
      <c r="A4596" s="2784"/>
      <c r="B4596" s="2804"/>
      <c r="C4596" s="103"/>
      <c r="D4596" s="4003"/>
      <c r="E4596" s="4004"/>
      <c r="F4596" s="3988" t="s">
        <v>3923</v>
      </c>
      <c r="G4596" s="3989"/>
      <c r="H4596" s="3990"/>
      <c r="I4596" s="2377"/>
      <c r="J4596" s="2377">
        <v>5</v>
      </c>
      <c r="K4596" s="3535"/>
      <c r="L4596" s="3531" t="s">
        <v>4394</v>
      </c>
      <c r="M4596" s="2804"/>
      <c r="N4596" s="2804"/>
      <c r="O4596" s="2804"/>
      <c r="P4596" s="2804"/>
      <c r="Q4596" s="2804"/>
      <c r="R4596" s="2804"/>
      <c r="S4596" s="156"/>
      <c r="T4596" s="2804"/>
      <c r="U4596" s="2804"/>
      <c r="V4596" s="3980"/>
      <c r="W4596" s="3425"/>
      <c r="X4596" s="3425"/>
      <c r="Y4596" s="3425"/>
      <c r="Z4596" s="3425"/>
      <c r="AA4596" s="3425"/>
      <c r="AB4596" s="3425"/>
      <c r="AC4596" s="3425"/>
      <c r="AD4596" s="2377">
        <v>5</v>
      </c>
      <c r="AE4596" s="3425"/>
      <c r="AF4596" s="3425"/>
      <c r="AG4596" s="3425"/>
      <c r="AH4596" s="156"/>
      <c r="AI4596" s="156"/>
      <c r="AJ4596" s="156"/>
      <c r="AK4596" s="156"/>
      <c r="AL4596" s="156"/>
      <c r="AM4596" s="156"/>
      <c r="AN4596" s="156"/>
      <c r="AO4596" s="156"/>
      <c r="AP4596" s="156"/>
      <c r="AQ4596" s="156"/>
      <c r="AR4596" s="156"/>
      <c r="AS4596" s="156"/>
      <c r="AT4596" s="156"/>
      <c r="AU4596" s="156"/>
      <c r="AV4596" s="156"/>
      <c r="AW4596" s="156"/>
      <c r="AX4596" s="156"/>
      <c r="AY4596" s="156"/>
      <c r="AZ4596" s="156"/>
      <c r="BA4596" s="156"/>
      <c r="BB4596" s="2828"/>
      <c r="BC4596" s="2828"/>
      <c r="BD4596" s="2829"/>
      <c r="BE4596" s="156"/>
      <c r="BF4596" s="156"/>
    </row>
    <row r="4597" spans="1:58" ht="15" outlineLevel="1" thickBot="1" x14ac:dyDescent="0.4">
      <c r="A4597" s="2784"/>
      <c r="B4597" s="2804"/>
      <c r="C4597" s="103"/>
      <c r="D4597" s="3998"/>
      <c r="E4597" s="4000"/>
      <c r="F4597" s="3985" t="s">
        <v>3916</v>
      </c>
      <c r="G4597" s="3986"/>
      <c r="H4597" s="3987"/>
      <c r="I4597" s="2377"/>
      <c r="J4597" s="2374">
        <v>10</v>
      </c>
      <c r="K4597" s="2991"/>
      <c r="L4597" s="3531" t="s">
        <v>4394</v>
      </c>
      <c r="M4597" s="2804"/>
      <c r="N4597" s="2804"/>
      <c r="O4597" s="2804"/>
      <c r="P4597" s="2804"/>
      <c r="Q4597" s="2804"/>
      <c r="R4597" s="2804"/>
      <c r="S4597" s="156"/>
      <c r="T4597" s="2804"/>
      <c r="U4597" s="2804"/>
      <c r="V4597" s="3980"/>
      <c r="W4597" s="3421"/>
      <c r="X4597" s="3421"/>
      <c r="Y4597" s="3421"/>
      <c r="Z4597" s="3421"/>
      <c r="AA4597" s="3421"/>
      <c r="AB4597" s="3421"/>
      <c r="AC4597" s="3421"/>
      <c r="AD4597" s="2374">
        <v>10</v>
      </c>
      <c r="AE4597" s="3421"/>
      <c r="AF4597" s="3421"/>
      <c r="AG4597" s="3421"/>
      <c r="AH4597" s="156"/>
      <c r="AI4597" s="156"/>
      <c r="AJ4597" s="156"/>
      <c r="AK4597" s="156"/>
      <c r="AL4597" s="156"/>
      <c r="AM4597" s="156"/>
      <c r="AN4597" s="156"/>
      <c r="AO4597" s="156"/>
      <c r="AP4597" s="156"/>
      <c r="AQ4597" s="156"/>
      <c r="AR4597" s="156"/>
      <c r="AS4597" s="156"/>
      <c r="AT4597" s="156"/>
      <c r="AU4597" s="156"/>
      <c r="AV4597" s="156"/>
      <c r="AW4597" s="156"/>
      <c r="AX4597" s="156"/>
      <c r="AY4597" s="156"/>
      <c r="AZ4597" s="156"/>
      <c r="BA4597" s="156"/>
      <c r="BB4597" s="2828"/>
      <c r="BC4597" s="2828"/>
      <c r="BD4597" s="2829"/>
      <c r="BE4597" s="156"/>
      <c r="BF4597" s="156"/>
    </row>
    <row r="4598" spans="1:58" ht="15" customHeight="1" outlineLevel="1" x14ac:dyDescent="0.35">
      <c r="A4598" s="2784" t="str">
        <f>C4598&amp;G4598</f>
        <v/>
      </c>
      <c r="B4598" s="106"/>
      <c r="C4598" s="103"/>
      <c r="D4598" s="3997" t="s">
        <v>169</v>
      </c>
      <c r="E4598" s="3999" t="s">
        <v>527</v>
      </c>
      <c r="F4598" s="3994" t="s">
        <v>963</v>
      </c>
      <c r="G4598" s="3995"/>
      <c r="H4598" s="3996"/>
      <c r="I4598" s="2376"/>
      <c r="J4598" s="3013">
        <f>1047*K4584-1039*K4584/(1+0.0595)^(5-1)</f>
        <v>224.93182686576984</v>
      </c>
      <c r="K4598" s="2992"/>
      <c r="L4598" s="3532" t="s">
        <v>4394</v>
      </c>
      <c r="M4598" s="106"/>
      <c r="N4598" s="106"/>
      <c r="O4598" s="106"/>
      <c r="P4598" s="106"/>
      <c r="Q4598" s="106"/>
      <c r="R4598" s="106"/>
      <c r="S4598" s="156"/>
      <c r="T4598" s="106"/>
      <c r="U4598" s="106"/>
      <c r="V4598" s="3979" t="s">
        <v>169</v>
      </c>
      <c r="W4598" s="665"/>
      <c r="X4598" s="665"/>
      <c r="Y4598" s="665"/>
      <c r="Z4598" s="665"/>
      <c r="AA4598" s="665"/>
      <c r="AB4598" s="665"/>
      <c r="AC4598" s="665"/>
      <c r="AD4598" s="3013">
        <v>224.93182686576984</v>
      </c>
      <c r="AE4598" s="665"/>
      <c r="AF4598" s="665"/>
      <c r="AG4598" s="665"/>
      <c r="AH4598" s="156"/>
      <c r="AI4598" s="156"/>
      <c r="AJ4598" s="156"/>
      <c r="AK4598" s="156"/>
      <c r="AL4598" s="156"/>
      <c r="AM4598" s="156"/>
      <c r="AN4598" s="156"/>
      <c r="AO4598" s="156"/>
      <c r="AP4598" s="156"/>
      <c r="AQ4598" s="156"/>
      <c r="AR4598" s="156"/>
      <c r="AS4598" s="156"/>
      <c r="AT4598" s="156"/>
      <c r="AU4598" s="156"/>
      <c r="AV4598" s="156"/>
      <c r="AW4598" s="156"/>
      <c r="AX4598" s="156"/>
      <c r="AY4598" s="156"/>
      <c r="AZ4598" s="156"/>
      <c r="BA4598" s="156"/>
      <c r="BB4598" s="2828"/>
      <c r="BC4598" s="2828"/>
      <c r="BD4598" s="2829"/>
      <c r="BE4598" s="156"/>
      <c r="BF4598" s="156"/>
    </row>
    <row r="4599" spans="1:58" ht="15" customHeight="1" outlineLevel="1" thickBot="1" x14ac:dyDescent="0.4">
      <c r="A4599" s="2784" t="str">
        <f>C4599&amp;G4599</f>
        <v/>
      </c>
      <c r="B4599" s="106"/>
      <c r="C4599" s="103"/>
      <c r="D4599" s="3998"/>
      <c r="E4599" s="4000"/>
      <c r="F4599" s="3985" t="s">
        <v>964</v>
      </c>
      <c r="G4599" s="3986"/>
      <c r="H4599" s="3987"/>
      <c r="I4599" s="706"/>
      <c r="J4599" s="3014">
        <f>ROUND(84*K4584, 2)</f>
        <v>84.93</v>
      </c>
      <c r="K4599" s="2993"/>
      <c r="L4599" s="3547" t="s">
        <v>4394</v>
      </c>
      <c r="M4599" s="106"/>
      <c r="N4599" s="106"/>
      <c r="O4599" s="106"/>
      <c r="P4599" s="106"/>
      <c r="Q4599" s="106"/>
      <c r="R4599" s="106"/>
      <c r="S4599" s="156"/>
      <c r="T4599" s="106"/>
      <c r="U4599" s="106"/>
      <c r="V4599" s="3981"/>
      <c r="W4599" s="683"/>
      <c r="X4599" s="683"/>
      <c r="Y4599" s="683"/>
      <c r="Z4599" s="683"/>
      <c r="AA4599" s="683"/>
      <c r="AB4599" s="683"/>
      <c r="AC4599" s="683"/>
      <c r="AD4599" s="3014">
        <v>84.93</v>
      </c>
      <c r="AE4599" s="683"/>
      <c r="AF4599" s="683"/>
      <c r="AG4599" s="683"/>
      <c r="AH4599" s="156"/>
      <c r="AI4599" s="156"/>
      <c r="AJ4599" s="156"/>
      <c r="AK4599" s="156"/>
      <c r="AL4599" s="156"/>
      <c r="AM4599" s="156"/>
      <c r="AN4599" s="156"/>
      <c r="AO4599" s="156"/>
      <c r="AP4599" s="156"/>
      <c r="AQ4599" s="156"/>
      <c r="AR4599" s="156"/>
      <c r="AS4599" s="156"/>
      <c r="AT4599" s="156"/>
      <c r="AU4599" s="156"/>
      <c r="AV4599" s="156"/>
      <c r="AW4599" s="156"/>
      <c r="AX4599" s="156"/>
      <c r="AY4599" s="156"/>
      <c r="AZ4599" s="156"/>
      <c r="BA4599" s="156"/>
      <c r="BB4599" s="2828"/>
      <c r="BC4599" s="2828"/>
      <c r="BD4599" s="2829"/>
      <c r="BE4599" s="156"/>
      <c r="BF4599" s="156"/>
    </row>
    <row r="4600" spans="1:58" x14ac:dyDescent="0.35">
      <c r="A4600" s="2784" t="str">
        <f>C4600&amp;G4600</f>
        <v/>
      </c>
      <c r="B4600" s="106"/>
      <c r="C4600" s="103"/>
      <c r="D4600" s="942"/>
      <c r="E4600" s="942"/>
      <c r="F4600" s="1304"/>
      <c r="G4600" s="1304"/>
      <c r="H4600" s="1304"/>
      <c r="I4600" s="1304"/>
      <c r="J4600" s="2625"/>
      <c r="K4600" s="1292"/>
      <c r="L4600" s="1304"/>
      <c r="M4600" s="106"/>
      <c r="N4600" s="106"/>
      <c r="O4600" s="106"/>
      <c r="P4600" s="106"/>
      <c r="Q4600" s="106"/>
      <c r="R4600" s="106"/>
      <c r="S4600" s="156"/>
      <c r="T4600" s="106"/>
      <c r="U4600" s="106"/>
      <c r="V4600" s="106"/>
      <c r="W4600" s="156"/>
      <c r="X4600" s="156"/>
      <c r="Y4600" s="156"/>
      <c r="Z4600" s="156"/>
      <c r="AA4600" s="156"/>
      <c r="AB4600" s="156"/>
      <c r="AC4600" s="156"/>
      <c r="AD4600" s="156"/>
      <c r="AE4600" s="156"/>
      <c r="AF4600" s="156"/>
      <c r="AG4600" s="156"/>
      <c r="AH4600" s="156"/>
      <c r="AI4600" s="156"/>
      <c r="AJ4600" s="156"/>
      <c r="AK4600" s="156"/>
      <c r="AL4600" s="156"/>
      <c r="AM4600" s="156"/>
      <c r="AN4600" s="156"/>
      <c r="AO4600" s="156"/>
      <c r="AP4600" s="156"/>
      <c r="AQ4600" s="156"/>
      <c r="AR4600" s="156"/>
      <c r="AS4600" s="156"/>
      <c r="AT4600" s="156"/>
      <c r="AU4600" s="156"/>
      <c r="AV4600" s="156"/>
      <c r="AW4600" s="156"/>
      <c r="AX4600" s="156"/>
      <c r="AY4600" s="156"/>
      <c r="AZ4600" s="156"/>
      <c r="BA4600" s="156"/>
      <c r="BB4600" s="156"/>
      <c r="BC4600" s="2828"/>
      <c r="BD4600" s="156"/>
      <c r="BE4600" s="156"/>
      <c r="BF4600" s="156"/>
    </row>
    <row r="4601" spans="1:58" x14ac:dyDescent="0.35">
      <c r="BC4601" s="2828"/>
    </row>
    <row r="4602" spans="1:58" x14ac:dyDescent="0.35">
      <c r="BC4602" s="2828"/>
    </row>
    <row r="4603" spans="1:58" x14ac:dyDescent="0.35">
      <c r="BC4603" s="2828"/>
    </row>
    <row r="4604" spans="1:58" x14ac:dyDescent="0.35">
      <c r="BC4604" s="2828"/>
    </row>
    <row r="4605" spans="1:58" x14ac:dyDescent="0.35">
      <c r="BC4605" s="2828"/>
    </row>
    <row r="4606" spans="1:58" x14ac:dyDescent="0.35">
      <c r="BC4606" s="2828"/>
    </row>
    <row r="4607" spans="1:58" x14ac:dyDescent="0.35">
      <c r="BC4607" s="2828"/>
    </row>
    <row r="4608" spans="1:58" x14ac:dyDescent="0.35">
      <c r="BC4608" s="2828"/>
    </row>
    <row r="4609" spans="55:55" x14ac:dyDescent="0.35">
      <c r="BC4609" s="2828"/>
    </row>
    <row r="4610" spans="55:55" x14ac:dyDescent="0.35">
      <c r="BC4610" s="2828"/>
    </row>
    <row r="4611" spans="55:55" x14ac:dyDescent="0.35">
      <c r="BC4611" s="2828"/>
    </row>
    <row r="4612" spans="55:55" x14ac:dyDescent="0.35">
      <c r="BC4612" s="2828"/>
    </row>
    <row r="4613" spans="55:55" x14ac:dyDescent="0.35">
      <c r="BC4613" s="2828"/>
    </row>
    <row r="4614" spans="55:55" x14ac:dyDescent="0.35">
      <c r="BC4614" s="2828"/>
    </row>
    <row r="4615" spans="55:55" x14ac:dyDescent="0.35">
      <c r="BC4615" s="2828"/>
    </row>
    <row r="4616" spans="55:55" x14ac:dyDescent="0.35">
      <c r="BC4616" s="2828"/>
    </row>
    <row r="4617" spans="55:55" x14ac:dyDescent="0.35">
      <c r="BC4617" s="2828"/>
    </row>
    <row r="4618" spans="55:55" x14ac:dyDescent="0.35">
      <c r="BC4618" s="2828"/>
    </row>
    <row r="4619" spans="55:55" x14ac:dyDescent="0.35">
      <c r="BC4619" s="2828"/>
    </row>
    <row r="4620" spans="55:55" x14ac:dyDescent="0.35">
      <c r="BC4620" s="2828"/>
    </row>
    <row r="4621" spans="55:55" x14ac:dyDescent="0.35">
      <c r="BC4621" s="2828"/>
    </row>
    <row r="4622" spans="55:55" x14ac:dyDescent="0.35">
      <c r="BC4622" s="2828"/>
    </row>
    <row r="4623" spans="55:55" x14ac:dyDescent="0.35">
      <c r="BC4623" s="2828"/>
    </row>
    <row r="4624" spans="55:55" x14ac:dyDescent="0.35">
      <c r="BC4624" s="2828"/>
    </row>
    <row r="4625" spans="55:55" x14ac:dyDescent="0.35">
      <c r="BC4625" s="2828"/>
    </row>
    <row r="4626" spans="55:55" x14ac:dyDescent="0.35">
      <c r="BC4626" s="2828"/>
    </row>
    <row r="4627" spans="55:55" x14ac:dyDescent="0.35">
      <c r="BC4627" s="2828"/>
    </row>
    <row r="4628" spans="55:55" x14ac:dyDescent="0.35">
      <c r="BC4628" s="2828"/>
    </row>
    <row r="4629" spans="55:55" x14ac:dyDescent="0.35">
      <c r="BC4629" s="2828"/>
    </row>
    <row r="4630" spans="55:55" x14ac:dyDescent="0.35">
      <c r="BC4630" s="2828"/>
    </row>
    <row r="4631" spans="55:55" x14ac:dyDescent="0.35">
      <c r="BC4631" s="2828"/>
    </row>
    <row r="4632" spans="55:55" x14ac:dyDescent="0.35">
      <c r="BC4632" s="2828"/>
    </row>
    <row r="4633" spans="55:55" x14ac:dyDescent="0.35">
      <c r="BC4633" s="2828"/>
    </row>
    <row r="4634" spans="55:55" x14ac:dyDescent="0.35">
      <c r="BC4634" s="2828"/>
    </row>
    <row r="4635" spans="55:55" x14ac:dyDescent="0.35">
      <c r="BC4635" s="2828"/>
    </row>
    <row r="4636" spans="55:55" x14ac:dyDescent="0.35">
      <c r="BC4636" s="2828"/>
    </row>
    <row r="4637" spans="55:55" x14ac:dyDescent="0.35">
      <c r="BC4637" s="2828"/>
    </row>
    <row r="4638" spans="55:55" x14ac:dyDescent="0.35">
      <c r="BC4638" s="2828"/>
    </row>
    <row r="4639" spans="55:55" x14ac:dyDescent="0.35">
      <c r="BC4639" s="2828"/>
    </row>
    <row r="4640" spans="55:55" x14ac:dyDescent="0.35">
      <c r="BC4640" s="2828"/>
    </row>
    <row r="4641" spans="55:55" x14ac:dyDescent="0.35">
      <c r="BC4641" s="2828"/>
    </row>
    <row r="4642" spans="55:55" x14ac:dyDescent="0.35">
      <c r="BC4642" s="2828"/>
    </row>
    <row r="4643" spans="55:55" x14ac:dyDescent="0.35">
      <c r="BC4643" s="2828"/>
    </row>
    <row r="4644" spans="55:55" x14ac:dyDescent="0.35">
      <c r="BC4644" s="2828"/>
    </row>
    <row r="4645" spans="55:55" x14ac:dyDescent="0.35">
      <c r="BC4645" s="2828"/>
    </row>
    <row r="4646" spans="55:55" x14ac:dyDescent="0.35">
      <c r="BC4646" s="2828"/>
    </row>
    <row r="4647" spans="55:55" x14ac:dyDescent="0.35">
      <c r="BC4647" s="2828"/>
    </row>
    <row r="4648" spans="55:55" x14ac:dyDescent="0.35">
      <c r="BC4648" s="2828"/>
    </row>
    <row r="4649" spans="55:55" x14ac:dyDescent="0.35">
      <c r="BC4649" s="2828"/>
    </row>
    <row r="4650" spans="55:55" x14ac:dyDescent="0.35">
      <c r="BC4650" s="2828"/>
    </row>
    <row r="4651" spans="55:55" x14ac:dyDescent="0.35">
      <c r="BC4651" s="2828"/>
    </row>
    <row r="4652" spans="55:55" x14ac:dyDescent="0.35">
      <c r="BC4652" s="2828"/>
    </row>
    <row r="4653" spans="55:55" x14ac:dyDescent="0.35">
      <c r="BC4653" s="2828"/>
    </row>
    <row r="4654" spans="55:55" x14ac:dyDescent="0.35">
      <c r="BC4654" s="2828"/>
    </row>
    <row r="4655" spans="55:55" x14ac:dyDescent="0.35">
      <c r="BC4655" s="2828"/>
    </row>
    <row r="4656" spans="55:55" x14ac:dyDescent="0.35">
      <c r="BC4656" s="2828"/>
    </row>
    <row r="4657" spans="55:55" x14ac:dyDescent="0.35">
      <c r="BC4657" s="2828"/>
    </row>
    <row r="4658" spans="55:55" x14ac:dyDescent="0.35">
      <c r="BC4658" s="2828"/>
    </row>
    <row r="4659" spans="55:55" x14ac:dyDescent="0.35">
      <c r="BC4659" s="2828"/>
    </row>
    <row r="4660" spans="55:55" x14ac:dyDescent="0.35">
      <c r="BC4660" s="2828"/>
    </row>
    <row r="4661" spans="55:55" x14ac:dyDescent="0.35">
      <c r="BC4661" s="2828"/>
    </row>
    <row r="4662" spans="55:55" x14ac:dyDescent="0.35">
      <c r="BC4662" s="2828"/>
    </row>
    <row r="4663" spans="55:55" x14ac:dyDescent="0.35">
      <c r="BC4663" s="2828"/>
    </row>
    <row r="4664" spans="55:55" x14ac:dyDescent="0.35">
      <c r="BC4664" s="2828"/>
    </row>
    <row r="4665" spans="55:55" x14ac:dyDescent="0.35">
      <c r="BC4665" s="2828"/>
    </row>
    <row r="4666" spans="55:55" x14ac:dyDescent="0.35">
      <c r="BC4666" s="2828"/>
    </row>
    <row r="4667" spans="55:55" x14ac:dyDescent="0.35">
      <c r="BC4667" s="2828"/>
    </row>
    <row r="4668" spans="55:55" x14ac:dyDescent="0.35">
      <c r="BC4668" s="2828"/>
    </row>
    <row r="4669" spans="55:55" x14ac:dyDescent="0.35">
      <c r="BC4669" s="2828"/>
    </row>
    <row r="4670" spans="55:55" x14ac:dyDescent="0.35">
      <c r="BC4670" s="2828"/>
    </row>
    <row r="4671" spans="55:55" x14ac:dyDescent="0.35">
      <c r="BC4671" s="2828"/>
    </row>
    <row r="4672" spans="55:55" x14ac:dyDescent="0.35">
      <c r="BC4672" s="2828"/>
    </row>
    <row r="4673" spans="55:55" x14ac:dyDescent="0.35">
      <c r="BC4673" s="2828"/>
    </row>
    <row r="4674" spans="55:55" x14ac:dyDescent="0.35">
      <c r="BC4674" s="2828"/>
    </row>
    <row r="4675" spans="55:55" x14ac:dyDescent="0.35">
      <c r="BC4675" s="2828"/>
    </row>
    <row r="4676" spans="55:55" x14ac:dyDescent="0.35">
      <c r="BC4676" s="2828"/>
    </row>
    <row r="4677" spans="55:55" x14ac:dyDescent="0.35">
      <c r="BC4677" s="2828"/>
    </row>
    <row r="4678" spans="55:55" x14ac:dyDescent="0.35">
      <c r="BC4678" s="2828"/>
    </row>
  </sheetData>
  <mergeCells count="4029">
    <mergeCell ref="V2519:V2711"/>
    <mergeCell ref="F2188:I2188"/>
    <mergeCell ref="F2194:I2194"/>
    <mergeCell ref="F2200:I2200"/>
    <mergeCell ref="F2210:I2210"/>
    <mergeCell ref="F2228:I2228"/>
    <mergeCell ref="F2381:I2381"/>
    <mergeCell ref="F2387:I2387"/>
    <mergeCell ref="F2393:I2393"/>
    <mergeCell ref="F2403:I2403"/>
    <mergeCell ref="F2421:I2421"/>
    <mergeCell ref="F2574:I2574"/>
    <mergeCell ref="F2580:I2580"/>
    <mergeCell ref="F2586:I2586"/>
    <mergeCell ref="F2596:I2596"/>
    <mergeCell ref="F2614:I2614"/>
    <mergeCell ref="F2767:I2767"/>
    <mergeCell ref="F2752:I2752"/>
    <mergeCell ref="F2753:I2753"/>
    <mergeCell ref="F2754:I2754"/>
    <mergeCell ref="F2737:I2737"/>
    <mergeCell ref="F2738:I2738"/>
    <mergeCell ref="F2739:I2739"/>
    <mergeCell ref="F2740:I2740"/>
    <mergeCell ref="F2741:I2741"/>
    <mergeCell ref="F2742:I2742"/>
    <mergeCell ref="F2743:I2743"/>
    <mergeCell ref="F2744:I2744"/>
    <mergeCell ref="F2745:I2745"/>
    <mergeCell ref="F2727:I2727"/>
    <mergeCell ref="F2729:I2729"/>
    <mergeCell ref="F2730:I2730"/>
    <mergeCell ref="F2755:I2755"/>
    <mergeCell ref="F2756:I2756"/>
    <mergeCell ref="F2757:I2757"/>
    <mergeCell ref="F2758:I2758"/>
    <mergeCell ref="F2759:I2759"/>
    <mergeCell ref="F2760:I2760"/>
    <mergeCell ref="F2761:I2761"/>
    <mergeCell ref="F2762:I2762"/>
    <mergeCell ref="F2763:I2763"/>
    <mergeCell ref="F2746:I2746"/>
    <mergeCell ref="F2747:I2747"/>
    <mergeCell ref="F2748:I2748"/>
    <mergeCell ref="F2749:I2749"/>
    <mergeCell ref="F2750:I2750"/>
    <mergeCell ref="F2751:I2751"/>
    <mergeCell ref="F4442:I4442"/>
    <mergeCell ref="F4415:I4415"/>
    <mergeCell ref="F4416:I4416"/>
    <mergeCell ref="F4417:I4417"/>
    <mergeCell ref="F4418:I4418"/>
    <mergeCell ref="F4419:I4419"/>
    <mergeCell ref="F4420:I4420"/>
    <mergeCell ref="F4421:I4421"/>
    <mergeCell ref="F4422:I4422"/>
    <mergeCell ref="F4423:I4423"/>
    <mergeCell ref="F4406:I4406"/>
    <mergeCell ref="F4407:I4407"/>
    <mergeCell ref="F4408:I4408"/>
    <mergeCell ref="F4409:I4409"/>
    <mergeCell ref="F4410:I4410"/>
    <mergeCell ref="F4411:I4411"/>
    <mergeCell ref="F4412:I4412"/>
    <mergeCell ref="F4443:I4443"/>
    <mergeCell ref="F4444:I4444"/>
    <mergeCell ref="F4445:I4445"/>
    <mergeCell ref="F4446:I4446"/>
    <mergeCell ref="F4447:I4447"/>
    <mergeCell ref="F4448:I4448"/>
    <mergeCell ref="F4449:I4449"/>
    <mergeCell ref="F4433:I4433"/>
    <mergeCell ref="F4434:I4434"/>
    <mergeCell ref="F4435:I4435"/>
    <mergeCell ref="F4436:I4436"/>
    <mergeCell ref="F4437:I4437"/>
    <mergeCell ref="F4438:I4438"/>
    <mergeCell ref="F4439:I4439"/>
    <mergeCell ref="F4440:I4440"/>
    <mergeCell ref="F4441:I4441"/>
    <mergeCell ref="F4424:I4424"/>
    <mergeCell ref="F4425:I4425"/>
    <mergeCell ref="F4426:I4426"/>
    <mergeCell ref="F4427:I4427"/>
    <mergeCell ref="F4428:I4428"/>
    <mergeCell ref="F4429:I4429"/>
    <mergeCell ref="F4430:I4430"/>
    <mergeCell ref="F4431:I4431"/>
    <mergeCell ref="F4432:I4432"/>
    <mergeCell ref="F4413:I4413"/>
    <mergeCell ref="F4414:I4414"/>
    <mergeCell ref="F4397:I4397"/>
    <mergeCell ref="F4398:I4398"/>
    <mergeCell ref="F4399:I4399"/>
    <mergeCell ref="F4400:I4400"/>
    <mergeCell ref="F4401:I4401"/>
    <mergeCell ref="F4402:I4402"/>
    <mergeCell ref="F4403:I4403"/>
    <mergeCell ref="F4404:I4404"/>
    <mergeCell ref="F4405:I4405"/>
    <mergeCell ref="F4388:I4388"/>
    <mergeCell ref="F4389:I4389"/>
    <mergeCell ref="F4390:I4390"/>
    <mergeCell ref="F4391:I4391"/>
    <mergeCell ref="F4392:I4392"/>
    <mergeCell ref="F4393:I4393"/>
    <mergeCell ref="F4394:I4394"/>
    <mergeCell ref="F4395:I4395"/>
    <mergeCell ref="F4396:I4396"/>
    <mergeCell ref="F4379:I4379"/>
    <mergeCell ref="F4380:I4380"/>
    <mergeCell ref="F4381:I4381"/>
    <mergeCell ref="F4382:I4382"/>
    <mergeCell ref="F4383:I4383"/>
    <mergeCell ref="F4384:I4384"/>
    <mergeCell ref="F4385:I4385"/>
    <mergeCell ref="F4386:I4386"/>
    <mergeCell ref="F4387:I4387"/>
    <mergeCell ref="F4370:I4370"/>
    <mergeCell ref="F4371:I4371"/>
    <mergeCell ref="F4372:I4372"/>
    <mergeCell ref="F4373:I4373"/>
    <mergeCell ref="F4374:I4374"/>
    <mergeCell ref="F4375:I4375"/>
    <mergeCell ref="F4376:I4376"/>
    <mergeCell ref="F4377:I4377"/>
    <mergeCell ref="F4378:I4378"/>
    <mergeCell ref="F4361:I4361"/>
    <mergeCell ref="F4362:I4362"/>
    <mergeCell ref="F4363:I4363"/>
    <mergeCell ref="F4364:I4364"/>
    <mergeCell ref="F4365:I4365"/>
    <mergeCell ref="F4366:I4366"/>
    <mergeCell ref="F4367:I4367"/>
    <mergeCell ref="F4368:I4368"/>
    <mergeCell ref="F4369:I4369"/>
    <mergeCell ref="F4352:I4352"/>
    <mergeCell ref="F4353:I4353"/>
    <mergeCell ref="F4354:I4354"/>
    <mergeCell ref="F4355:I4355"/>
    <mergeCell ref="F4356:I4356"/>
    <mergeCell ref="F4357:I4357"/>
    <mergeCell ref="F4358:I4358"/>
    <mergeCell ref="F4359:I4359"/>
    <mergeCell ref="F4360:I4360"/>
    <mergeCell ref="F4343:I4343"/>
    <mergeCell ref="F4344:I4344"/>
    <mergeCell ref="F4345:I4345"/>
    <mergeCell ref="F4346:I4346"/>
    <mergeCell ref="F4347:I4347"/>
    <mergeCell ref="F4348:I4348"/>
    <mergeCell ref="F4349:I4349"/>
    <mergeCell ref="F4350:I4350"/>
    <mergeCell ref="F4351:I4351"/>
    <mergeCell ref="F4334:I4334"/>
    <mergeCell ref="F4335:I4335"/>
    <mergeCell ref="F4336:I4336"/>
    <mergeCell ref="F4337:I4337"/>
    <mergeCell ref="F4338:I4338"/>
    <mergeCell ref="F4339:I4339"/>
    <mergeCell ref="F4340:I4340"/>
    <mergeCell ref="F4341:I4341"/>
    <mergeCell ref="F4342:I4342"/>
    <mergeCell ref="F4325:I4325"/>
    <mergeCell ref="F4326:I4326"/>
    <mergeCell ref="F4327:I4327"/>
    <mergeCell ref="F4328:I4328"/>
    <mergeCell ref="F4329:I4329"/>
    <mergeCell ref="F4330:I4330"/>
    <mergeCell ref="F4331:I4331"/>
    <mergeCell ref="F4332:I4332"/>
    <mergeCell ref="F4333:I4333"/>
    <mergeCell ref="F4316:I4316"/>
    <mergeCell ref="F4317:I4317"/>
    <mergeCell ref="F4318:I4318"/>
    <mergeCell ref="F4319:I4319"/>
    <mergeCell ref="F4320:I4320"/>
    <mergeCell ref="F4321:I4321"/>
    <mergeCell ref="F4322:I4322"/>
    <mergeCell ref="F4323:I4323"/>
    <mergeCell ref="F4324:I4324"/>
    <mergeCell ref="F4307:I4307"/>
    <mergeCell ref="F4308:I4308"/>
    <mergeCell ref="F4309:I4309"/>
    <mergeCell ref="F4310:I4310"/>
    <mergeCell ref="F4311:I4311"/>
    <mergeCell ref="F4312:I4312"/>
    <mergeCell ref="F4313:I4313"/>
    <mergeCell ref="F4314:I4314"/>
    <mergeCell ref="F4315:I4315"/>
    <mergeCell ref="F4298:I4298"/>
    <mergeCell ref="F4299:I4299"/>
    <mergeCell ref="F4300:I4300"/>
    <mergeCell ref="F4301:I4301"/>
    <mergeCell ref="F4302:I4302"/>
    <mergeCell ref="F4303:I4303"/>
    <mergeCell ref="F4304:I4304"/>
    <mergeCell ref="F4305:I4305"/>
    <mergeCell ref="F4306:I4306"/>
    <mergeCell ref="F4289:I4289"/>
    <mergeCell ref="F4290:I4290"/>
    <mergeCell ref="F4291:I4291"/>
    <mergeCell ref="F4292:I4292"/>
    <mergeCell ref="F4293:I4293"/>
    <mergeCell ref="F4294:I4294"/>
    <mergeCell ref="F4295:I4295"/>
    <mergeCell ref="F4296:I4296"/>
    <mergeCell ref="F4297:I4297"/>
    <mergeCell ref="F4280:I4280"/>
    <mergeCell ref="F4281:I4281"/>
    <mergeCell ref="F4282:I4282"/>
    <mergeCell ref="F4283:I4283"/>
    <mergeCell ref="F4284:I4284"/>
    <mergeCell ref="F4285:I4285"/>
    <mergeCell ref="F4286:I4286"/>
    <mergeCell ref="F4287:I4287"/>
    <mergeCell ref="F4288:I4288"/>
    <mergeCell ref="F4271:I4271"/>
    <mergeCell ref="F4272:I4272"/>
    <mergeCell ref="F4273:I4273"/>
    <mergeCell ref="F4274:I4274"/>
    <mergeCell ref="F4275:I4275"/>
    <mergeCell ref="F4276:I4276"/>
    <mergeCell ref="F4277:I4277"/>
    <mergeCell ref="F4278:I4278"/>
    <mergeCell ref="F4279:I4279"/>
    <mergeCell ref="F4262:I4262"/>
    <mergeCell ref="F4263:I4263"/>
    <mergeCell ref="F4264:I4264"/>
    <mergeCell ref="F4265:I4265"/>
    <mergeCell ref="F4266:I4266"/>
    <mergeCell ref="F4267:I4267"/>
    <mergeCell ref="F4268:I4268"/>
    <mergeCell ref="F4269:I4269"/>
    <mergeCell ref="F4270:I4270"/>
    <mergeCell ref="F4251:I4251"/>
    <mergeCell ref="F4252:I4252"/>
    <mergeCell ref="F4253:I4253"/>
    <mergeCell ref="F4256:I4256"/>
    <mergeCell ref="F4257:I4257"/>
    <mergeCell ref="F4258:I4258"/>
    <mergeCell ref="F4259:I4259"/>
    <mergeCell ref="F4260:I4260"/>
    <mergeCell ref="F4261:I4261"/>
    <mergeCell ref="F4254:I4254"/>
    <mergeCell ref="F4255:I4255"/>
    <mergeCell ref="F4242:I4242"/>
    <mergeCell ref="F4243:I4243"/>
    <mergeCell ref="F4244:I4244"/>
    <mergeCell ref="F4245:I4245"/>
    <mergeCell ref="F4246:I4246"/>
    <mergeCell ref="F4247:I4247"/>
    <mergeCell ref="F4248:I4248"/>
    <mergeCell ref="F4249:I4249"/>
    <mergeCell ref="F4250:I4250"/>
    <mergeCell ref="F4233:I4233"/>
    <mergeCell ref="F4234:I4234"/>
    <mergeCell ref="F4235:I4235"/>
    <mergeCell ref="F4236:I4236"/>
    <mergeCell ref="F4237:I4237"/>
    <mergeCell ref="F4238:I4238"/>
    <mergeCell ref="F4239:I4239"/>
    <mergeCell ref="F4240:I4240"/>
    <mergeCell ref="F4241:I4241"/>
    <mergeCell ref="F4224:I4224"/>
    <mergeCell ref="F4225:I4225"/>
    <mergeCell ref="F4226:I4226"/>
    <mergeCell ref="F4227:I4227"/>
    <mergeCell ref="F4228:I4228"/>
    <mergeCell ref="F4229:I4229"/>
    <mergeCell ref="F4230:I4230"/>
    <mergeCell ref="F4231:I4231"/>
    <mergeCell ref="F4232:I4232"/>
    <mergeCell ref="F4213:I4213"/>
    <mergeCell ref="F4214:I4214"/>
    <mergeCell ref="F4215:I4215"/>
    <mergeCell ref="F4216:I4216"/>
    <mergeCell ref="F4217:I4217"/>
    <mergeCell ref="F4220:I4220"/>
    <mergeCell ref="F4221:I4221"/>
    <mergeCell ref="F4222:I4222"/>
    <mergeCell ref="F4223:I4223"/>
    <mergeCell ref="F4218:I4218"/>
    <mergeCell ref="F4219:I4219"/>
    <mergeCell ref="F4204:I4204"/>
    <mergeCell ref="F4205:I4205"/>
    <mergeCell ref="F4206:I4206"/>
    <mergeCell ref="F4207:I4207"/>
    <mergeCell ref="F4208:I4208"/>
    <mergeCell ref="F4209:I4209"/>
    <mergeCell ref="F4210:I4210"/>
    <mergeCell ref="F4211:I4211"/>
    <mergeCell ref="F4212:I4212"/>
    <mergeCell ref="F4193:I4193"/>
    <mergeCell ref="F4194:I4194"/>
    <mergeCell ref="F4195:I4195"/>
    <mergeCell ref="F4196:I4196"/>
    <mergeCell ref="F4197:I4197"/>
    <mergeCell ref="F4200:I4200"/>
    <mergeCell ref="F4201:I4201"/>
    <mergeCell ref="F4202:I4202"/>
    <mergeCell ref="F4203:I4203"/>
    <mergeCell ref="F4198:I4198"/>
    <mergeCell ref="F4199:I4199"/>
    <mergeCell ref="F4182:I4182"/>
    <mergeCell ref="F4183:I4183"/>
    <mergeCell ref="F4184:I4184"/>
    <mergeCell ref="F4185:I4185"/>
    <mergeCell ref="F4188:I4188"/>
    <mergeCell ref="F4189:I4189"/>
    <mergeCell ref="F4190:I4190"/>
    <mergeCell ref="F4191:I4191"/>
    <mergeCell ref="F4192:I4192"/>
    <mergeCell ref="F4171:I4171"/>
    <mergeCell ref="F4172:I4172"/>
    <mergeCell ref="F4173:I4173"/>
    <mergeCell ref="F4176:I4176"/>
    <mergeCell ref="F4177:I4177"/>
    <mergeCell ref="F4178:I4178"/>
    <mergeCell ref="F4179:I4179"/>
    <mergeCell ref="F4180:I4180"/>
    <mergeCell ref="F4181:I4181"/>
    <mergeCell ref="F4174:I4174"/>
    <mergeCell ref="F4175:I4175"/>
    <mergeCell ref="F4186:I4186"/>
    <mergeCell ref="F4187:I4187"/>
    <mergeCell ref="F4162:I4162"/>
    <mergeCell ref="F4163:I4163"/>
    <mergeCell ref="F4164:I4164"/>
    <mergeCell ref="F4165:I4165"/>
    <mergeCell ref="F4166:I4166"/>
    <mergeCell ref="F4167:I4167"/>
    <mergeCell ref="F4168:I4168"/>
    <mergeCell ref="F4169:I4169"/>
    <mergeCell ref="F4170:I4170"/>
    <mergeCell ref="F4153:I4153"/>
    <mergeCell ref="F4154:I4154"/>
    <mergeCell ref="F4155:I4155"/>
    <mergeCell ref="F4156:I4156"/>
    <mergeCell ref="F4157:I4157"/>
    <mergeCell ref="F4158:I4158"/>
    <mergeCell ref="F4159:I4159"/>
    <mergeCell ref="F4160:I4160"/>
    <mergeCell ref="F4161:I4161"/>
    <mergeCell ref="F4144:I4144"/>
    <mergeCell ref="F4145:I4145"/>
    <mergeCell ref="F4146:I4146"/>
    <mergeCell ref="F4147:I4147"/>
    <mergeCell ref="F4148:I4148"/>
    <mergeCell ref="F4149:I4149"/>
    <mergeCell ref="F4150:I4150"/>
    <mergeCell ref="F4151:I4151"/>
    <mergeCell ref="F4152:I4152"/>
    <mergeCell ref="F4135:I4135"/>
    <mergeCell ref="F4136:I4136"/>
    <mergeCell ref="F4137:I4137"/>
    <mergeCell ref="F4138:I4138"/>
    <mergeCell ref="F4139:I4139"/>
    <mergeCell ref="F4140:I4140"/>
    <mergeCell ref="F4141:I4141"/>
    <mergeCell ref="F4142:I4142"/>
    <mergeCell ref="F4143:I4143"/>
    <mergeCell ref="F4126:I4126"/>
    <mergeCell ref="F4127:I4127"/>
    <mergeCell ref="F4128:I4128"/>
    <mergeCell ref="F4129:I4129"/>
    <mergeCell ref="F4130:I4130"/>
    <mergeCell ref="F4131:I4131"/>
    <mergeCell ref="F4132:I4132"/>
    <mergeCell ref="F4133:I4133"/>
    <mergeCell ref="F4134:I4134"/>
    <mergeCell ref="F4117:I4117"/>
    <mergeCell ref="F4118:I4118"/>
    <mergeCell ref="F4119:I4119"/>
    <mergeCell ref="F4120:I4120"/>
    <mergeCell ref="F4121:I4121"/>
    <mergeCell ref="F4122:I4122"/>
    <mergeCell ref="F4123:I4123"/>
    <mergeCell ref="F4124:I4124"/>
    <mergeCell ref="F4125:I4125"/>
    <mergeCell ref="F4108:I4108"/>
    <mergeCell ref="F4109:I4109"/>
    <mergeCell ref="F4110:I4110"/>
    <mergeCell ref="F4111:I4111"/>
    <mergeCell ref="F4112:I4112"/>
    <mergeCell ref="F4113:I4113"/>
    <mergeCell ref="F4114:I4114"/>
    <mergeCell ref="F4115:I4115"/>
    <mergeCell ref="F4116:I4116"/>
    <mergeCell ref="F4099:I4099"/>
    <mergeCell ref="F4100:I4100"/>
    <mergeCell ref="F4101:I4101"/>
    <mergeCell ref="F4102:I4102"/>
    <mergeCell ref="F4103:I4103"/>
    <mergeCell ref="F4104:I4104"/>
    <mergeCell ref="F4105:I4105"/>
    <mergeCell ref="F4106:I4106"/>
    <mergeCell ref="F4107:I4107"/>
    <mergeCell ref="F4088:I4088"/>
    <mergeCell ref="F4089:I4089"/>
    <mergeCell ref="F4090:I4090"/>
    <mergeCell ref="F4091:I4091"/>
    <mergeCell ref="F4092:I4092"/>
    <mergeCell ref="F4093:I4093"/>
    <mergeCell ref="F4094:I4094"/>
    <mergeCell ref="F4095:I4095"/>
    <mergeCell ref="F4098:I4098"/>
    <mergeCell ref="F4096:I4096"/>
    <mergeCell ref="F4097:I4097"/>
    <mergeCell ref="F4079:I4079"/>
    <mergeCell ref="F4080:I4080"/>
    <mergeCell ref="F4081:I4081"/>
    <mergeCell ref="F4082:I4082"/>
    <mergeCell ref="F4083:I4083"/>
    <mergeCell ref="F4084:I4084"/>
    <mergeCell ref="F4085:I4085"/>
    <mergeCell ref="F4086:I4086"/>
    <mergeCell ref="F4087:I4087"/>
    <mergeCell ref="F4070:I4070"/>
    <mergeCell ref="F4071:I4071"/>
    <mergeCell ref="F4072:I4072"/>
    <mergeCell ref="F4073:I4073"/>
    <mergeCell ref="F4074:I4074"/>
    <mergeCell ref="F4075:I4075"/>
    <mergeCell ref="F4076:I4076"/>
    <mergeCell ref="F4077:I4077"/>
    <mergeCell ref="F4078:I4078"/>
    <mergeCell ref="F4061:I4061"/>
    <mergeCell ref="F4062:I4062"/>
    <mergeCell ref="F4063:I4063"/>
    <mergeCell ref="F4064:I4064"/>
    <mergeCell ref="F4065:I4065"/>
    <mergeCell ref="F4066:I4066"/>
    <mergeCell ref="F4067:I4067"/>
    <mergeCell ref="F4068:I4068"/>
    <mergeCell ref="F4069:I4069"/>
    <mergeCell ref="F4052:I4052"/>
    <mergeCell ref="F4053:I4053"/>
    <mergeCell ref="F4054:I4054"/>
    <mergeCell ref="F4055:I4055"/>
    <mergeCell ref="F4056:I4056"/>
    <mergeCell ref="F4057:I4057"/>
    <mergeCell ref="F4058:I4058"/>
    <mergeCell ref="F4059:I4059"/>
    <mergeCell ref="F4060:I4060"/>
    <mergeCell ref="F4043:I4043"/>
    <mergeCell ref="F4044:I4044"/>
    <mergeCell ref="F4045:I4045"/>
    <mergeCell ref="F4046:I4046"/>
    <mergeCell ref="F4047:I4047"/>
    <mergeCell ref="F4048:I4048"/>
    <mergeCell ref="F4049:I4049"/>
    <mergeCell ref="F4050:I4050"/>
    <mergeCell ref="F4051:I4051"/>
    <mergeCell ref="F4034:I4034"/>
    <mergeCell ref="F4035:I4035"/>
    <mergeCell ref="F4036:I4036"/>
    <mergeCell ref="F4037:I4037"/>
    <mergeCell ref="F4038:I4038"/>
    <mergeCell ref="F4039:I4039"/>
    <mergeCell ref="F4040:I4040"/>
    <mergeCell ref="F4041:I4041"/>
    <mergeCell ref="F4042:I4042"/>
    <mergeCell ref="F4025:I4025"/>
    <mergeCell ref="F4026:I4026"/>
    <mergeCell ref="F4027:I4027"/>
    <mergeCell ref="F4028:I4028"/>
    <mergeCell ref="F4029:I4029"/>
    <mergeCell ref="F4030:I4030"/>
    <mergeCell ref="F4031:I4031"/>
    <mergeCell ref="F4032:I4032"/>
    <mergeCell ref="F4033:I4033"/>
    <mergeCell ref="F4016:I4016"/>
    <mergeCell ref="F4017:I4017"/>
    <mergeCell ref="F4018:I4018"/>
    <mergeCell ref="F4019:I4019"/>
    <mergeCell ref="F4020:I4020"/>
    <mergeCell ref="F4021:I4021"/>
    <mergeCell ref="F4022:I4022"/>
    <mergeCell ref="F4023:I4023"/>
    <mergeCell ref="F4024:I4024"/>
    <mergeCell ref="F4007:I4007"/>
    <mergeCell ref="F4008:I4008"/>
    <mergeCell ref="F4009:I4009"/>
    <mergeCell ref="F4010:I4010"/>
    <mergeCell ref="F4011:I4011"/>
    <mergeCell ref="F4012:I4012"/>
    <mergeCell ref="F4013:I4013"/>
    <mergeCell ref="F4014:I4014"/>
    <mergeCell ref="F4015:I4015"/>
    <mergeCell ref="F3998:I3998"/>
    <mergeCell ref="F3999:I3999"/>
    <mergeCell ref="F4000:I4000"/>
    <mergeCell ref="F4001:I4001"/>
    <mergeCell ref="F4002:I4002"/>
    <mergeCell ref="F4003:I4003"/>
    <mergeCell ref="F4004:I4004"/>
    <mergeCell ref="F4005:I4005"/>
    <mergeCell ref="F4006:I4006"/>
    <mergeCell ref="F3989:I3989"/>
    <mergeCell ref="F3990:I3990"/>
    <mergeCell ref="F3991:I3991"/>
    <mergeCell ref="F3992:I3992"/>
    <mergeCell ref="F3993:I3993"/>
    <mergeCell ref="F3994:I3994"/>
    <mergeCell ref="F3995:I3995"/>
    <mergeCell ref="F3996:I3996"/>
    <mergeCell ref="F3997:I3997"/>
    <mergeCell ref="F3980:I3980"/>
    <mergeCell ref="F3981:I3981"/>
    <mergeCell ref="F3982:I3982"/>
    <mergeCell ref="F3983:I3983"/>
    <mergeCell ref="F3984:I3984"/>
    <mergeCell ref="F3985:I3985"/>
    <mergeCell ref="F3986:I3986"/>
    <mergeCell ref="F3987:I3987"/>
    <mergeCell ref="F3988:I3988"/>
    <mergeCell ref="F3971:I3971"/>
    <mergeCell ref="F3972:I3972"/>
    <mergeCell ref="F3973:I3973"/>
    <mergeCell ref="F3974:I3974"/>
    <mergeCell ref="F3975:I3975"/>
    <mergeCell ref="F3976:I3976"/>
    <mergeCell ref="F3977:I3977"/>
    <mergeCell ref="F3978:I3978"/>
    <mergeCell ref="F3979:I3979"/>
    <mergeCell ref="F3962:I3962"/>
    <mergeCell ref="F3963:I3963"/>
    <mergeCell ref="F3964:I3964"/>
    <mergeCell ref="F3965:I3965"/>
    <mergeCell ref="F3966:I3966"/>
    <mergeCell ref="F3967:I3967"/>
    <mergeCell ref="F3968:I3968"/>
    <mergeCell ref="F3969:I3969"/>
    <mergeCell ref="F3970:I3970"/>
    <mergeCell ref="F3953:I3953"/>
    <mergeCell ref="F3954:I3954"/>
    <mergeCell ref="F3955:I3955"/>
    <mergeCell ref="F3956:I3956"/>
    <mergeCell ref="F3957:I3957"/>
    <mergeCell ref="F3958:I3958"/>
    <mergeCell ref="F3959:I3959"/>
    <mergeCell ref="F3960:I3960"/>
    <mergeCell ref="F3961:I3961"/>
    <mergeCell ref="F3944:I3944"/>
    <mergeCell ref="F3945:I3945"/>
    <mergeCell ref="F3946:I3946"/>
    <mergeCell ref="F3947:I3947"/>
    <mergeCell ref="F3948:I3948"/>
    <mergeCell ref="F3949:I3949"/>
    <mergeCell ref="F3950:I3950"/>
    <mergeCell ref="F3951:I3951"/>
    <mergeCell ref="F3952:I3952"/>
    <mergeCell ref="F3935:I3935"/>
    <mergeCell ref="F3936:I3936"/>
    <mergeCell ref="F3937:I3937"/>
    <mergeCell ref="F3938:I3938"/>
    <mergeCell ref="F3939:I3939"/>
    <mergeCell ref="F3940:I3940"/>
    <mergeCell ref="F3941:I3941"/>
    <mergeCell ref="F3942:I3942"/>
    <mergeCell ref="F3943:I3943"/>
    <mergeCell ref="F3926:I3926"/>
    <mergeCell ref="F3927:I3927"/>
    <mergeCell ref="F3928:I3928"/>
    <mergeCell ref="F3929:I3929"/>
    <mergeCell ref="F3930:I3930"/>
    <mergeCell ref="F3931:I3931"/>
    <mergeCell ref="F3932:I3932"/>
    <mergeCell ref="F3933:I3933"/>
    <mergeCell ref="F3934:I3934"/>
    <mergeCell ref="F3917:I3917"/>
    <mergeCell ref="F3918:I3918"/>
    <mergeCell ref="F3919:I3919"/>
    <mergeCell ref="F3920:I3920"/>
    <mergeCell ref="F3921:I3921"/>
    <mergeCell ref="F3922:I3922"/>
    <mergeCell ref="F3923:I3923"/>
    <mergeCell ref="F3924:I3924"/>
    <mergeCell ref="F3925:I3925"/>
    <mergeCell ref="F3908:I3908"/>
    <mergeCell ref="F3909:I3909"/>
    <mergeCell ref="F3910:I3910"/>
    <mergeCell ref="F3911:I3911"/>
    <mergeCell ref="F3912:I3912"/>
    <mergeCell ref="F3913:I3913"/>
    <mergeCell ref="F3914:I3914"/>
    <mergeCell ref="F3915:I3915"/>
    <mergeCell ref="F3916:I3916"/>
    <mergeCell ref="F3899:I3899"/>
    <mergeCell ref="F3900:I3900"/>
    <mergeCell ref="F3901:I3901"/>
    <mergeCell ref="F3902:I3902"/>
    <mergeCell ref="F3903:I3903"/>
    <mergeCell ref="F3904:I3904"/>
    <mergeCell ref="F3905:I3905"/>
    <mergeCell ref="F3906:I3906"/>
    <mergeCell ref="F3907:I3907"/>
    <mergeCell ref="F3890:I3890"/>
    <mergeCell ref="F3891:I3891"/>
    <mergeCell ref="F3892:I3892"/>
    <mergeCell ref="F3893:I3893"/>
    <mergeCell ref="F3894:I3894"/>
    <mergeCell ref="F3895:I3895"/>
    <mergeCell ref="F3896:I3896"/>
    <mergeCell ref="F3897:I3897"/>
    <mergeCell ref="F3898:I3898"/>
    <mergeCell ref="F3881:I3881"/>
    <mergeCell ref="F3882:I3882"/>
    <mergeCell ref="F3883:I3883"/>
    <mergeCell ref="F3884:I3884"/>
    <mergeCell ref="F3885:I3885"/>
    <mergeCell ref="F3886:I3886"/>
    <mergeCell ref="F3887:I3887"/>
    <mergeCell ref="F3888:I3888"/>
    <mergeCell ref="F3889:I3889"/>
    <mergeCell ref="F3872:I3872"/>
    <mergeCell ref="F3873:I3873"/>
    <mergeCell ref="F3874:I3874"/>
    <mergeCell ref="F3875:I3875"/>
    <mergeCell ref="F3876:I3876"/>
    <mergeCell ref="F3877:I3877"/>
    <mergeCell ref="F3878:I3878"/>
    <mergeCell ref="F3879:I3879"/>
    <mergeCell ref="F3880:I3880"/>
    <mergeCell ref="F3861:I3861"/>
    <mergeCell ref="F3862:I3862"/>
    <mergeCell ref="F3863:I3863"/>
    <mergeCell ref="F3864:I3864"/>
    <mergeCell ref="F3865:I3865"/>
    <mergeCell ref="F3866:I3866"/>
    <mergeCell ref="F3867:I3867"/>
    <mergeCell ref="F3870:I3870"/>
    <mergeCell ref="F3871:I3871"/>
    <mergeCell ref="F3868:I3868"/>
    <mergeCell ref="F3869:I3869"/>
    <mergeCell ref="F3852:I3852"/>
    <mergeCell ref="F3853:I3853"/>
    <mergeCell ref="F3854:I3854"/>
    <mergeCell ref="F3855:I3855"/>
    <mergeCell ref="F3856:I3856"/>
    <mergeCell ref="F3857:I3857"/>
    <mergeCell ref="F3858:I3858"/>
    <mergeCell ref="F3859:I3859"/>
    <mergeCell ref="F3860:I3860"/>
    <mergeCell ref="F3843:I3843"/>
    <mergeCell ref="F3844:I3844"/>
    <mergeCell ref="F3845:I3845"/>
    <mergeCell ref="F3846:I3846"/>
    <mergeCell ref="F3847:I3847"/>
    <mergeCell ref="F3848:I3848"/>
    <mergeCell ref="F3849:I3849"/>
    <mergeCell ref="F3850:I3850"/>
    <mergeCell ref="F3851:I3851"/>
    <mergeCell ref="F3834:I3834"/>
    <mergeCell ref="F3835:I3835"/>
    <mergeCell ref="F3836:I3836"/>
    <mergeCell ref="F3837:I3837"/>
    <mergeCell ref="F3838:I3838"/>
    <mergeCell ref="F3839:I3839"/>
    <mergeCell ref="F3840:I3840"/>
    <mergeCell ref="F3841:I3841"/>
    <mergeCell ref="F3842:I3842"/>
    <mergeCell ref="F3823:I3823"/>
    <mergeCell ref="F3824:I3824"/>
    <mergeCell ref="F3825:I3825"/>
    <mergeCell ref="F3826:I3826"/>
    <mergeCell ref="F3827:I3827"/>
    <mergeCell ref="F3828:I3828"/>
    <mergeCell ref="F3829:I3829"/>
    <mergeCell ref="F3830:I3830"/>
    <mergeCell ref="F3831:I3831"/>
    <mergeCell ref="F3832:I3832"/>
    <mergeCell ref="F3833:I3833"/>
    <mergeCell ref="F3814:I3814"/>
    <mergeCell ref="F3815:I3815"/>
    <mergeCell ref="F3816:I3816"/>
    <mergeCell ref="F3817:I3817"/>
    <mergeCell ref="F3818:I3818"/>
    <mergeCell ref="F3819:I3819"/>
    <mergeCell ref="F3820:I3820"/>
    <mergeCell ref="F3821:I3821"/>
    <mergeCell ref="F3822:I3822"/>
    <mergeCell ref="F3803:I3803"/>
    <mergeCell ref="F3804:I3804"/>
    <mergeCell ref="F3805:I3805"/>
    <mergeCell ref="F3806:I3806"/>
    <mergeCell ref="F3807:I3807"/>
    <mergeCell ref="F3808:I3808"/>
    <mergeCell ref="F3809:I3809"/>
    <mergeCell ref="F3810:I3810"/>
    <mergeCell ref="F3811:I3811"/>
    <mergeCell ref="F3812:I3812"/>
    <mergeCell ref="F3813:I3813"/>
    <mergeCell ref="F3792:I3792"/>
    <mergeCell ref="F3793:I3793"/>
    <mergeCell ref="F3794:I3794"/>
    <mergeCell ref="F3795:I3795"/>
    <mergeCell ref="F3796:I3796"/>
    <mergeCell ref="F3797:I3797"/>
    <mergeCell ref="F3798:I3798"/>
    <mergeCell ref="F3799:I3799"/>
    <mergeCell ref="F3802:I3802"/>
    <mergeCell ref="F3781:I3781"/>
    <mergeCell ref="F3782:I3782"/>
    <mergeCell ref="F3783:I3783"/>
    <mergeCell ref="F3784:I3784"/>
    <mergeCell ref="F3785:I3785"/>
    <mergeCell ref="F3786:I3786"/>
    <mergeCell ref="F3787:I3787"/>
    <mergeCell ref="F3790:I3790"/>
    <mergeCell ref="F3791:I3791"/>
    <mergeCell ref="F3788:I3788"/>
    <mergeCell ref="F3789:I3789"/>
    <mergeCell ref="F3800:I3800"/>
    <mergeCell ref="F3801:I3801"/>
    <mergeCell ref="F3772:I3772"/>
    <mergeCell ref="F3773:I3773"/>
    <mergeCell ref="F3774:I3774"/>
    <mergeCell ref="F3775:I3775"/>
    <mergeCell ref="F3776:I3776"/>
    <mergeCell ref="F3777:I3777"/>
    <mergeCell ref="F3778:I3778"/>
    <mergeCell ref="F3779:I3779"/>
    <mergeCell ref="F3780:I3780"/>
    <mergeCell ref="F3763:I3763"/>
    <mergeCell ref="F3764:I3764"/>
    <mergeCell ref="F3765:I3765"/>
    <mergeCell ref="F3766:I3766"/>
    <mergeCell ref="F3767:I3767"/>
    <mergeCell ref="F3768:I3768"/>
    <mergeCell ref="F3769:I3769"/>
    <mergeCell ref="F3770:I3770"/>
    <mergeCell ref="F3771:I3771"/>
    <mergeCell ref="F3754:I3754"/>
    <mergeCell ref="F3755:I3755"/>
    <mergeCell ref="F3756:I3756"/>
    <mergeCell ref="F3757:I3757"/>
    <mergeCell ref="F3758:I3758"/>
    <mergeCell ref="F3759:I3759"/>
    <mergeCell ref="F3760:I3760"/>
    <mergeCell ref="F3761:I3761"/>
    <mergeCell ref="F3762:I3762"/>
    <mergeCell ref="F3745:I3745"/>
    <mergeCell ref="F3746:I3746"/>
    <mergeCell ref="F3747:I3747"/>
    <mergeCell ref="F3748:I3748"/>
    <mergeCell ref="F3749:I3749"/>
    <mergeCell ref="F3750:I3750"/>
    <mergeCell ref="F3751:I3751"/>
    <mergeCell ref="F3752:I3752"/>
    <mergeCell ref="F3753:I3753"/>
    <mergeCell ref="F3736:I3736"/>
    <mergeCell ref="F3737:I3737"/>
    <mergeCell ref="F3738:I3738"/>
    <mergeCell ref="F3739:I3739"/>
    <mergeCell ref="F3740:I3740"/>
    <mergeCell ref="F3741:I3741"/>
    <mergeCell ref="F3742:I3742"/>
    <mergeCell ref="F3743:I3743"/>
    <mergeCell ref="F3744:I3744"/>
    <mergeCell ref="F3727:I3727"/>
    <mergeCell ref="F3728:I3728"/>
    <mergeCell ref="F3729:I3729"/>
    <mergeCell ref="F3730:I3730"/>
    <mergeCell ref="F3731:I3731"/>
    <mergeCell ref="F3732:I3732"/>
    <mergeCell ref="F3733:I3733"/>
    <mergeCell ref="F3734:I3734"/>
    <mergeCell ref="F3735:I3735"/>
    <mergeCell ref="F3718:I3718"/>
    <mergeCell ref="F3719:I3719"/>
    <mergeCell ref="F3720:I3720"/>
    <mergeCell ref="F3721:I3721"/>
    <mergeCell ref="F3722:I3722"/>
    <mergeCell ref="F3723:I3723"/>
    <mergeCell ref="F3724:I3724"/>
    <mergeCell ref="F3725:I3725"/>
    <mergeCell ref="F3726:I3726"/>
    <mergeCell ref="F3707:I3707"/>
    <mergeCell ref="F3708:I3708"/>
    <mergeCell ref="F3709:I3709"/>
    <mergeCell ref="F3712:I3712"/>
    <mergeCell ref="F3713:I3713"/>
    <mergeCell ref="F3714:I3714"/>
    <mergeCell ref="F3715:I3715"/>
    <mergeCell ref="F3716:I3716"/>
    <mergeCell ref="F3717:I3717"/>
    <mergeCell ref="F3698:I3698"/>
    <mergeCell ref="F3699:I3699"/>
    <mergeCell ref="F3700:I3700"/>
    <mergeCell ref="F3701:I3701"/>
    <mergeCell ref="F3702:I3702"/>
    <mergeCell ref="F3703:I3703"/>
    <mergeCell ref="F3704:I3704"/>
    <mergeCell ref="F3705:I3705"/>
    <mergeCell ref="F3706:I3706"/>
    <mergeCell ref="F3710:I3710"/>
    <mergeCell ref="F3711:I3711"/>
    <mergeCell ref="F3689:I3689"/>
    <mergeCell ref="F3690:I3690"/>
    <mergeCell ref="F3691:I3691"/>
    <mergeCell ref="F3692:I3692"/>
    <mergeCell ref="F3693:I3693"/>
    <mergeCell ref="F3694:I3694"/>
    <mergeCell ref="F3695:I3695"/>
    <mergeCell ref="F3696:I3696"/>
    <mergeCell ref="F3697:I3697"/>
    <mergeCell ref="F3680:I3680"/>
    <mergeCell ref="F3681:I3681"/>
    <mergeCell ref="F3682:I3682"/>
    <mergeCell ref="F3683:I3683"/>
    <mergeCell ref="F3684:I3684"/>
    <mergeCell ref="F3685:I3685"/>
    <mergeCell ref="F3686:I3686"/>
    <mergeCell ref="F3687:I3687"/>
    <mergeCell ref="F3688:I3688"/>
    <mergeCell ref="F3672:I3672"/>
    <mergeCell ref="F3673:I3673"/>
    <mergeCell ref="F3674:I3674"/>
    <mergeCell ref="F3675:I3675"/>
    <mergeCell ref="F3676:I3676"/>
    <mergeCell ref="F1939:I1939"/>
    <mergeCell ref="F3677:I3677"/>
    <mergeCell ref="F3678:I3678"/>
    <mergeCell ref="F3679:I3679"/>
    <mergeCell ref="F3663:I3663"/>
    <mergeCell ref="F3664:I3664"/>
    <mergeCell ref="F3665:I3665"/>
    <mergeCell ref="F3666:I3666"/>
    <mergeCell ref="F3667:I3667"/>
    <mergeCell ref="F3668:I3668"/>
    <mergeCell ref="F3669:I3669"/>
    <mergeCell ref="F3670:I3670"/>
    <mergeCell ref="F3671:I3671"/>
    <mergeCell ref="F3654:I3654"/>
    <mergeCell ref="F3655:I3655"/>
    <mergeCell ref="F3656:I3656"/>
    <mergeCell ref="F3657:I3657"/>
    <mergeCell ref="F3658:I3658"/>
    <mergeCell ref="F3659:I3659"/>
    <mergeCell ref="F3660:I3660"/>
    <mergeCell ref="F3661:I3661"/>
    <mergeCell ref="F3662:I3662"/>
    <mergeCell ref="F3645:I3645"/>
    <mergeCell ref="F3646:I3646"/>
    <mergeCell ref="F3647:I3647"/>
    <mergeCell ref="F3648:I3648"/>
    <mergeCell ref="F3649:I3649"/>
    <mergeCell ref="F3650:I3650"/>
    <mergeCell ref="F3651:I3651"/>
    <mergeCell ref="F3652:I3652"/>
    <mergeCell ref="F3653:I3653"/>
    <mergeCell ref="F3636:I3636"/>
    <mergeCell ref="F3637:I3637"/>
    <mergeCell ref="F3638:I3638"/>
    <mergeCell ref="F3639:I3639"/>
    <mergeCell ref="F3640:I3640"/>
    <mergeCell ref="F3641:I3641"/>
    <mergeCell ref="F3642:I3642"/>
    <mergeCell ref="F3643:I3643"/>
    <mergeCell ref="F3644:I3644"/>
    <mergeCell ref="F3627:I3627"/>
    <mergeCell ref="F3628:I3628"/>
    <mergeCell ref="F3629:I3629"/>
    <mergeCell ref="F3630:I3630"/>
    <mergeCell ref="F3631:I3631"/>
    <mergeCell ref="F3632:I3632"/>
    <mergeCell ref="F3633:I3633"/>
    <mergeCell ref="F3634:I3634"/>
    <mergeCell ref="F3635:I3635"/>
    <mergeCell ref="F3618:I3618"/>
    <mergeCell ref="F3619:I3619"/>
    <mergeCell ref="F3620:I3620"/>
    <mergeCell ref="F3621:I3621"/>
    <mergeCell ref="F3622:I3622"/>
    <mergeCell ref="F3623:I3623"/>
    <mergeCell ref="F3624:I3624"/>
    <mergeCell ref="F3625:I3625"/>
    <mergeCell ref="F3626:I3626"/>
    <mergeCell ref="F3609:I3609"/>
    <mergeCell ref="F3610:I3610"/>
    <mergeCell ref="F3611:I3611"/>
    <mergeCell ref="F3612:I3612"/>
    <mergeCell ref="F3613:I3613"/>
    <mergeCell ref="F3614:I3614"/>
    <mergeCell ref="F3615:I3615"/>
    <mergeCell ref="F3616:I3616"/>
    <mergeCell ref="F3617:I3617"/>
    <mergeCell ref="F3600:I3600"/>
    <mergeCell ref="F3601:I3601"/>
    <mergeCell ref="F3602:I3602"/>
    <mergeCell ref="F3603:I3603"/>
    <mergeCell ref="F3604:I3604"/>
    <mergeCell ref="F3605:I3605"/>
    <mergeCell ref="F3606:I3606"/>
    <mergeCell ref="F3607:I3607"/>
    <mergeCell ref="F3608:I3608"/>
    <mergeCell ref="F3591:I3591"/>
    <mergeCell ref="F3592:I3592"/>
    <mergeCell ref="F3593:I3593"/>
    <mergeCell ref="F3594:I3594"/>
    <mergeCell ref="F3595:I3595"/>
    <mergeCell ref="F3596:I3596"/>
    <mergeCell ref="F3597:I3597"/>
    <mergeCell ref="F3598:I3598"/>
    <mergeCell ref="F3599:I3599"/>
    <mergeCell ref="F3582:I3582"/>
    <mergeCell ref="F3583:I3583"/>
    <mergeCell ref="F3584:I3584"/>
    <mergeCell ref="F3585:I3585"/>
    <mergeCell ref="F3586:I3586"/>
    <mergeCell ref="F3587:I3587"/>
    <mergeCell ref="F3588:I3588"/>
    <mergeCell ref="F3589:I3589"/>
    <mergeCell ref="F3590:I3590"/>
    <mergeCell ref="F3572:I3572"/>
    <mergeCell ref="F3573:I3573"/>
    <mergeCell ref="F3574:I3574"/>
    <mergeCell ref="F3575:I3575"/>
    <mergeCell ref="F3576:I3576"/>
    <mergeCell ref="F3577:I3577"/>
    <mergeCell ref="F3578:I3578"/>
    <mergeCell ref="F3580:I3580"/>
    <mergeCell ref="F3581:I3581"/>
    <mergeCell ref="F3563:I3563"/>
    <mergeCell ref="F3564:I3564"/>
    <mergeCell ref="F3565:I3565"/>
    <mergeCell ref="F3566:I3566"/>
    <mergeCell ref="F3567:I3567"/>
    <mergeCell ref="F3568:I3568"/>
    <mergeCell ref="F3569:I3569"/>
    <mergeCell ref="F3570:I3570"/>
    <mergeCell ref="F3571:I3571"/>
    <mergeCell ref="F3579:I3579"/>
    <mergeCell ref="F3553:I3553"/>
    <mergeCell ref="F3554:I3554"/>
    <mergeCell ref="F3555:I3555"/>
    <mergeCell ref="F3556:I3556"/>
    <mergeCell ref="F3557:I3557"/>
    <mergeCell ref="F3558:I3558"/>
    <mergeCell ref="F3559:I3559"/>
    <mergeCell ref="F3560:I3560"/>
    <mergeCell ref="F3562:I3562"/>
    <mergeCell ref="F3542:I3542"/>
    <mergeCell ref="F3543:I3543"/>
    <mergeCell ref="F3544:I3544"/>
    <mergeCell ref="F3546:I3546"/>
    <mergeCell ref="F3547:I3547"/>
    <mergeCell ref="F3548:I3548"/>
    <mergeCell ref="F3549:I3549"/>
    <mergeCell ref="F3550:I3550"/>
    <mergeCell ref="F3552:I3552"/>
    <mergeCell ref="F3545:I3545"/>
    <mergeCell ref="F3551:I3551"/>
    <mergeCell ref="F3561:I3561"/>
    <mergeCell ref="F3532:I3532"/>
    <mergeCell ref="F3533:I3533"/>
    <mergeCell ref="F3534:I3534"/>
    <mergeCell ref="F3535:I3535"/>
    <mergeCell ref="F3536:I3536"/>
    <mergeCell ref="F3537:I3537"/>
    <mergeCell ref="F3538:I3538"/>
    <mergeCell ref="F3540:I3540"/>
    <mergeCell ref="F3541:I3541"/>
    <mergeCell ref="F3523:I3523"/>
    <mergeCell ref="F3524:I3524"/>
    <mergeCell ref="F3525:I3525"/>
    <mergeCell ref="F3526:I3526"/>
    <mergeCell ref="F3527:I3527"/>
    <mergeCell ref="F3528:I3528"/>
    <mergeCell ref="F3529:I3529"/>
    <mergeCell ref="F3530:I3530"/>
    <mergeCell ref="F3531:I3531"/>
    <mergeCell ref="F3539:I3539"/>
    <mergeCell ref="F3514:I3514"/>
    <mergeCell ref="F3515:I3515"/>
    <mergeCell ref="F3516:I3516"/>
    <mergeCell ref="F3517:I3517"/>
    <mergeCell ref="F3518:I3518"/>
    <mergeCell ref="F3519:I3519"/>
    <mergeCell ref="F3520:I3520"/>
    <mergeCell ref="F3521:I3521"/>
    <mergeCell ref="F3522:I3522"/>
    <mergeCell ref="F3505:I3505"/>
    <mergeCell ref="F3506:I3506"/>
    <mergeCell ref="F3507:I3507"/>
    <mergeCell ref="F3508:I3508"/>
    <mergeCell ref="F3509:I3509"/>
    <mergeCell ref="F3510:I3510"/>
    <mergeCell ref="F3511:I3511"/>
    <mergeCell ref="F3512:I3512"/>
    <mergeCell ref="F3513:I3513"/>
    <mergeCell ref="F3495:I3495"/>
    <mergeCell ref="F3496:I3496"/>
    <mergeCell ref="F3497:I3497"/>
    <mergeCell ref="F3498:I3498"/>
    <mergeCell ref="F3499:I3499"/>
    <mergeCell ref="F3501:I3501"/>
    <mergeCell ref="F3502:I3502"/>
    <mergeCell ref="F3503:I3503"/>
    <mergeCell ref="F3504:I3504"/>
    <mergeCell ref="F3500:I3500"/>
    <mergeCell ref="F3486:I3486"/>
    <mergeCell ref="F3487:I3487"/>
    <mergeCell ref="F3488:I3488"/>
    <mergeCell ref="F3489:I3489"/>
    <mergeCell ref="F3490:I3490"/>
    <mergeCell ref="F3491:I3491"/>
    <mergeCell ref="F3492:I3492"/>
    <mergeCell ref="F3493:I3493"/>
    <mergeCell ref="F3494:I3494"/>
    <mergeCell ref="F3477:I3477"/>
    <mergeCell ref="F3478:I3478"/>
    <mergeCell ref="F3479:I3479"/>
    <mergeCell ref="F3480:I3480"/>
    <mergeCell ref="F3481:I3481"/>
    <mergeCell ref="F3482:I3482"/>
    <mergeCell ref="F3483:I3483"/>
    <mergeCell ref="F3484:I3484"/>
    <mergeCell ref="F3485:I3485"/>
    <mergeCell ref="F3468:I3468"/>
    <mergeCell ref="F3469:I3469"/>
    <mergeCell ref="F3470:I3470"/>
    <mergeCell ref="F3471:I3471"/>
    <mergeCell ref="F3472:I3472"/>
    <mergeCell ref="F3473:I3473"/>
    <mergeCell ref="F3474:I3474"/>
    <mergeCell ref="F3475:I3475"/>
    <mergeCell ref="F3476:I3476"/>
    <mergeCell ref="F3459:I3459"/>
    <mergeCell ref="F3460:I3460"/>
    <mergeCell ref="F3461:I3461"/>
    <mergeCell ref="F3462:I3462"/>
    <mergeCell ref="F3463:I3463"/>
    <mergeCell ref="F3464:I3464"/>
    <mergeCell ref="F3465:I3465"/>
    <mergeCell ref="F3466:I3466"/>
    <mergeCell ref="F3467:I3467"/>
    <mergeCell ref="F3450:I3450"/>
    <mergeCell ref="F3451:I3451"/>
    <mergeCell ref="F3452:I3452"/>
    <mergeCell ref="F3453:I3453"/>
    <mergeCell ref="F3454:I3454"/>
    <mergeCell ref="F3455:I3455"/>
    <mergeCell ref="F3456:I3456"/>
    <mergeCell ref="F3457:I3457"/>
    <mergeCell ref="F3458:I3458"/>
    <mergeCell ref="F3441:I3441"/>
    <mergeCell ref="F3442:I3442"/>
    <mergeCell ref="F3443:I3443"/>
    <mergeCell ref="F3444:I3444"/>
    <mergeCell ref="F3445:I3445"/>
    <mergeCell ref="F3446:I3446"/>
    <mergeCell ref="F3447:I3447"/>
    <mergeCell ref="F3448:I3448"/>
    <mergeCell ref="F3449:I3449"/>
    <mergeCell ref="F3432:I3432"/>
    <mergeCell ref="F3433:I3433"/>
    <mergeCell ref="F3434:I3434"/>
    <mergeCell ref="F3435:I3435"/>
    <mergeCell ref="F3436:I3436"/>
    <mergeCell ref="F3437:I3437"/>
    <mergeCell ref="F3438:I3438"/>
    <mergeCell ref="F3439:I3439"/>
    <mergeCell ref="F3440:I3440"/>
    <mergeCell ref="F3423:I3423"/>
    <mergeCell ref="F3424:I3424"/>
    <mergeCell ref="F3425:I3425"/>
    <mergeCell ref="F3426:I3426"/>
    <mergeCell ref="F3427:I3427"/>
    <mergeCell ref="F3428:I3428"/>
    <mergeCell ref="F3429:I3429"/>
    <mergeCell ref="F3430:I3430"/>
    <mergeCell ref="F3431:I3431"/>
    <mergeCell ref="F3414:I3414"/>
    <mergeCell ref="F3415:I3415"/>
    <mergeCell ref="F3416:I3416"/>
    <mergeCell ref="F3417:I3417"/>
    <mergeCell ref="F3418:I3418"/>
    <mergeCell ref="F3419:I3419"/>
    <mergeCell ref="F3420:I3420"/>
    <mergeCell ref="F3421:I3421"/>
    <mergeCell ref="F3422:I3422"/>
    <mergeCell ref="F3405:I3405"/>
    <mergeCell ref="F3406:I3406"/>
    <mergeCell ref="F3407:I3407"/>
    <mergeCell ref="F3408:I3408"/>
    <mergeCell ref="F3409:I3409"/>
    <mergeCell ref="F3410:I3410"/>
    <mergeCell ref="F3411:I3411"/>
    <mergeCell ref="F3412:I3412"/>
    <mergeCell ref="F3413:I3413"/>
    <mergeCell ref="F3396:I3396"/>
    <mergeCell ref="F3397:I3397"/>
    <mergeCell ref="F3398:I3398"/>
    <mergeCell ref="F3399:I3399"/>
    <mergeCell ref="F3400:I3400"/>
    <mergeCell ref="F3401:I3401"/>
    <mergeCell ref="F3402:I3402"/>
    <mergeCell ref="F3403:I3403"/>
    <mergeCell ref="F3404:I3404"/>
    <mergeCell ref="F3387:I3387"/>
    <mergeCell ref="F3388:I3388"/>
    <mergeCell ref="F3389:I3389"/>
    <mergeCell ref="F3390:I3390"/>
    <mergeCell ref="F3391:I3391"/>
    <mergeCell ref="F3392:I3392"/>
    <mergeCell ref="F3393:I3393"/>
    <mergeCell ref="F3394:I3394"/>
    <mergeCell ref="F3395:I3395"/>
    <mergeCell ref="F3377:I3377"/>
    <mergeCell ref="F3378:I3378"/>
    <mergeCell ref="F3379:I3379"/>
    <mergeCell ref="F3380:I3380"/>
    <mergeCell ref="F3381:I3381"/>
    <mergeCell ref="F3382:I3382"/>
    <mergeCell ref="F3383:I3383"/>
    <mergeCell ref="F3384:I3384"/>
    <mergeCell ref="F3385:I3385"/>
    <mergeCell ref="F3386:I3386"/>
    <mergeCell ref="F3367:I3367"/>
    <mergeCell ref="F3369:I3369"/>
    <mergeCell ref="F3370:I3370"/>
    <mergeCell ref="F3371:I3371"/>
    <mergeCell ref="F3372:I3372"/>
    <mergeCell ref="F3373:I3373"/>
    <mergeCell ref="F3374:I3374"/>
    <mergeCell ref="F3375:I3375"/>
    <mergeCell ref="F3376:I3376"/>
    <mergeCell ref="F3357:I3357"/>
    <mergeCell ref="F3359:I3359"/>
    <mergeCell ref="F3360:I3360"/>
    <mergeCell ref="F3361:I3361"/>
    <mergeCell ref="F3362:I3362"/>
    <mergeCell ref="F3363:I3363"/>
    <mergeCell ref="F3364:I3364"/>
    <mergeCell ref="F3365:I3365"/>
    <mergeCell ref="F3366:I3366"/>
    <mergeCell ref="F3358:I3358"/>
    <mergeCell ref="F3368:I3368"/>
    <mergeCell ref="F3347:I3347"/>
    <mergeCell ref="F3348:I3348"/>
    <mergeCell ref="F3349:I3349"/>
    <mergeCell ref="F3350:I3350"/>
    <mergeCell ref="F3351:I3351"/>
    <mergeCell ref="F3353:I3353"/>
    <mergeCell ref="F3354:I3354"/>
    <mergeCell ref="F3355:I3355"/>
    <mergeCell ref="F3356:I3356"/>
    <mergeCell ref="F3337:I3337"/>
    <mergeCell ref="F3338:I3338"/>
    <mergeCell ref="F3339:I3339"/>
    <mergeCell ref="F3340:I3340"/>
    <mergeCell ref="F3341:I3341"/>
    <mergeCell ref="F3342:I3342"/>
    <mergeCell ref="F3343:I3343"/>
    <mergeCell ref="F3344:I3344"/>
    <mergeCell ref="F3345:I3345"/>
    <mergeCell ref="F3346:I3346"/>
    <mergeCell ref="F3352:I3352"/>
    <mergeCell ref="F3328:I3328"/>
    <mergeCell ref="F3329:I3329"/>
    <mergeCell ref="F3330:I3330"/>
    <mergeCell ref="F3331:I3331"/>
    <mergeCell ref="F3332:I3332"/>
    <mergeCell ref="F3333:I3333"/>
    <mergeCell ref="F3334:I3334"/>
    <mergeCell ref="F3335:I3335"/>
    <mergeCell ref="F3336:I3336"/>
    <mergeCell ref="F3319:I3319"/>
    <mergeCell ref="F3320:I3320"/>
    <mergeCell ref="F3321:I3321"/>
    <mergeCell ref="F3322:I3322"/>
    <mergeCell ref="F3323:I3323"/>
    <mergeCell ref="F3324:I3324"/>
    <mergeCell ref="F3325:I3325"/>
    <mergeCell ref="F3326:I3326"/>
    <mergeCell ref="F3327:I3327"/>
    <mergeCell ref="F3310:I3310"/>
    <mergeCell ref="F3311:I3311"/>
    <mergeCell ref="F3312:I3312"/>
    <mergeCell ref="F3313:I3313"/>
    <mergeCell ref="F3314:I3314"/>
    <mergeCell ref="F3315:I3315"/>
    <mergeCell ref="F3316:I3316"/>
    <mergeCell ref="F3317:I3317"/>
    <mergeCell ref="F3318:I3318"/>
    <mergeCell ref="F3300:I3300"/>
    <mergeCell ref="F3301:I3301"/>
    <mergeCell ref="F3302:I3302"/>
    <mergeCell ref="F3303:I3303"/>
    <mergeCell ref="F3304:I3304"/>
    <mergeCell ref="F3305:I3305"/>
    <mergeCell ref="F3306:I3306"/>
    <mergeCell ref="F3308:I3308"/>
    <mergeCell ref="F3309:I3309"/>
    <mergeCell ref="F3291:I3291"/>
    <mergeCell ref="F3292:I3292"/>
    <mergeCell ref="F3293:I3293"/>
    <mergeCell ref="F3294:I3294"/>
    <mergeCell ref="F3295:I3295"/>
    <mergeCell ref="F3296:I3296"/>
    <mergeCell ref="F3297:I3297"/>
    <mergeCell ref="F3298:I3298"/>
    <mergeCell ref="F3299:I3299"/>
    <mergeCell ref="F3307:I3307"/>
    <mergeCell ref="F3282:I3282"/>
    <mergeCell ref="F3283:I3283"/>
    <mergeCell ref="F3284:I3284"/>
    <mergeCell ref="F3285:I3285"/>
    <mergeCell ref="F3286:I3286"/>
    <mergeCell ref="F3287:I3287"/>
    <mergeCell ref="F3288:I3288"/>
    <mergeCell ref="F3289:I3289"/>
    <mergeCell ref="F3290:I3290"/>
    <mergeCell ref="F3273:I3273"/>
    <mergeCell ref="F3274:I3274"/>
    <mergeCell ref="F3275:I3275"/>
    <mergeCell ref="F3276:I3276"/>
    <mergeCell ref="F3277:I3277"/>
    <mergeCell ref="F3278:I3278"/>
    <mergeCell ref="F3279:I3279"/>
    <mergeCell ref="F3280:I3280"/>
    <mergeCell ref="F3281:I3281"/>
    <mergeCell ref="F3264:I3264"/>
    <mergeCell ref="F3265:I3265"/>
    <mergeCell ref="F3266:I3266"/>
    <mergeCell ref="F3267:I3267"/>
    <mergeCell ref="F3268:I3268"/>
    <mergeCell ref="F3269:I3269"/>
    <mergeCell ref="F3270:I3270"/>
    <mergeCell ref="F3271:I3271"/>
    <mergeCell ref="F3272:I3272"/>
    <mergeCell ref="F3255:I3255"/>
    <mergeCell ref="F3256:I3256"/>
    <mergeCell ref="F3257:I3257"/>
    <mergeCell ref="F3258:I3258"/>
    <mergeCell ref="F3259:I3259"/>
    <mergeCell ref="F3260:I3260"/>
    <mergeCell ref="F3261:I3261"/>
    <mergeCell ref="F3262:I3262"/>
    <mergeCell ref="F3263:I3263"/>
    <mergeCell ref="F3246:I3246"/>
    <mergeCell ref="F3247:I3247"/>
    <mergeCell ref="F3248:I3248"/>
    <mergeCell ref="F3249:I3249"/>
    <mergeCell ref="F3250:I3250"/>
    <mergeCell ref="F3251:I3251"/>
    <mergeCell ref="F3252:I3252"/>
    <mergeCell ref="F3253:I3253"/>
    <mergeCell ref="F3254:I3254"/>
    <mergeCell ref="F3237:I3237"/>
    <mergeCell ref="F3238:I3238"/>
    <mergeCell ref="F3239:I3239"/>
    <mergeCell ref="F3240:I3240"/>
    <mergeCell ref="F3241:I3241"/>
    <mergeCell ref="F3242:I3242"/>
    <mergeCell ref="F3243:I3243"/>
    <mergeCell ref="F3244:I3244"/>
    <mergeCell ref="F3245:I3245"/>
    <mergeCell ref="F3228:I3228"/>
    <mergeCell ref="F3229:I3229"/>
    <mergeCell ref="F3230:I3230"/>
    <mergeCell ref="F3231:I3231"/>
    <mergeCell ref="F3232:I3232"/>
    <mergeCell ref="F3233:I3233"/>
    <mergeCell ref="F3234:I3234"/>
    <mergeCell ref="F3235:I3235"/>
    <mergeCell ref="F3236:I3236"/>
    <mergeCell ref="F3219:I3219"/>
    <mergeCell ref="F3220:I3220"/>
    <mergeCell ref="F3221:I3221"/>
    <mergeCell ref="F3222:I3222"/>
    <mergeCell ref="F3223:I3223"/>
    <mergeCell ref="F3224:I3224"/>
    <mergeCell ref="F3225:I3225"/>
    <mergeCell ref="F3226:I3226"/>
    <mergeCell ref="F3227:I3227"/>
    <mergeCell ref="F3210:I3210"/>
    <mergeCell ref="F3211:I3211"/>
    <mergeCell ref="F3212:I3212"/>
    <mergeCell ref="F3213:I3213"/>
    <mergeCell ref="F3214:I3214"/>
    <mergeCell ref="F3215:I3215"/>
    <mergeCell ref="F3216:I3216"/>
    <mergeCell ref="F3217:I3217"/>
    <mergeCell ref="F3218:I3218"/>
    <mergeCell ref="F3201:I3201"/>
    <mergeCell ref="F3202:I3202"/>
    <mergeCell ref="F3203:I3203"/>
    <mergeCell ref="F3204:I3204"/>
    <mergeCell ref="F3205:I3205"/>
    <mergeCell ref="F3206:I3206"/>
    <mergeCell ref="F3207:I3207"/>
    <mergeCell ref="F3208:I3208"/>
    <mergeCell ref="F3209:I3209"/>
    <mergeCell ref="F3191:I3191"/>
    <mergeCell ref="F3192:I3192"/>
    <mergeCell ref="F3194:I3194"/>
    <mergeCell ref="F3195:I3195"/>
    <mergeCell ref="F3196:I3196"/>
    <mergeCell ref="F3197:I3197"/>
    <mergeCell ref="F3198:I3198"/>
    <mergeCell ref="F3199:I3199"/>
    <mergeCell ref="F3200:I3200"/>
    <mergeCell ref="F3193:I3193"/>
    <mergeCell ref="F3182:I3182"/>
    <mergeCell ref="F3183:I3183"/>
    <mergeCell ref="F3184:I3184"/>
    <mergeCell ref="F3185:I3185"/>
    <mergeCell ref="F3186:I3186"/>
    <mergeCell ref="F3187:I3187"/>
    <mergeCell ref="F3188:I3188"/>
    <mergeCell ref="F3189:I3189"/>
    <mergeCell ref="F3190:I3190"/>
    <mergeCell ref="F3172:I3172"/>
    <mergeCell ref="F3173:I3173"/>
    <mergeCell ref="F3174:I3174"/>
    <mergeCell ref="F3176:I3176"/>
    <mergeCell ref="F3177:I3177"/>
    <mergeCell ref="F3178:I3178"/>
    <mergeCell ref="F3179:I3179"/>
    <mergeCell ref="F3180:I3180"/>
    <mergeCell ref="F3181:I3181"/>
    <mergeCell ref="F3175:I3175"/>
    <mergeCell ref="F3162:I3162"/>
    <mergeCell ref="F3163:I3163"/>
    <mergeCell ref="F3164:I3164"/>
    <mergeCell ref="F3166:I3166"/>
    <mergeCell ref="F3167:I3167"/>
    <mergeCell ref="F3168:I3168"/>
    <mergeCell ref="F3169:I3169"/>
    <mergeCell ref="F3170:I3170"/>
    <mergeCell ref="F3171:I3171"/>
    <mergeCell ref="F3151:I3151"/>
    <mergeCell ref="F3152:I3152"/>
    <mergeCell ref="F3154:I3154"/>
    <mergeCell ref="F3155:I3155"/>
    <mergeCell ref="F3156:I3156"/>
    <mergeCell ref="F3157:I3157"/>
    <mergeCell ref="F3158:I3158"/>
    <mergeCell ref="F3160:I3160"/>
    <mergeCell ref="F3161:I3161"/>
    <mergeCell ref="F3153:I3153"/>
    <mergeCell ref="F3159:I3159"/>
    <mergeCell ref="F3165:I3165"/>
    <mergeCell ref="F3119:I3119"/>
    <mergeCell ref="F3120:I3120"/>
    <mergeCell ref="F3121:I3121"/>
    <mergeCell ref="F3122:I3122"/>
    <mergeCell ref="F3123:I3123"/>
    <mergeCell ref="F3142:I3142"/>
    <mergeCell ref="F3143:I3143"/>
    <mergeCell ref="F3144:I3144"/>
    <mergeCell ref="F3145:I3145"/>
    <mergeCell ref="F3146:I3146"/>
    <mergeCell ref="F3147:I3147"/>
    <mergeCell ref="F3148:I3148"/>
    <mergeCell ref="F3149:I3149"/>
    <mergeCell ref="F3150:I3150"/>
    <mergeCell ref="F3133:I3133"/>
    <mergeCell ref="F3134:I3134"/>
    <mergeCell ref="F3135:I3135"/>
    <mergeCell ref="F3136:I3136"/>
    <mergeCell ref="F3137:I3137"/>
    <mergeCell ref="F3138:I3138"/>
    <mergeCell ref="F3139:I3139"/>
    <mergeCell ref="F3140:I3140"/>
    <mergeCell ref="F3141:I3141"/>
    <mergeCell ref="F3090:I3090"/>
    <mergeCell ref="F3091:I3091"/>
    <mergeCell ref="F3092:I3092"/>
    <mergeCell ref="F3093:I3093"/>
    <mergeCell ref="F3094:I3094"/>
    <mergeCell ref="F3095:I3095"/>
    <mergeCell ref="F3096:I3096"/>
    <mergeCell ref="F3097:I3097"/>
    <mergeCell ref="F3098:I3098"/>
    <mergeCell ref="F3081:I3081"/>
    <mergeCell ref="F3082:I3082"/>
    <mergeCell ref="F3083:I3083"/>
    <mergeCell ref="F3084:I3084"/>
    <mergeCell ref="F3085:I3085"/>
    <mergeCell ref="F3086:I3086"/>
    <mergeCell ref="F3087:I3087"/>
    <mergeCell ref="F3088:I3088"/>
    <mergeCell ref="F3089:I3089"/>
    <mergeCell ref="F3072:I3072"/>
    <mergeCell ref="F3073:I3073"/>
    <mergeCell ref="F3074:I3074"/>
    <mergeCell ref="F3075:I3075"/>
    <mergeCell ref="F3076:I3076"/>
    <mergeCell ref="F3077:I3077"/>
    <mergeCell ref="F3078:I3078"/>
    <mergeCell ref="F3079:I3079"/>
    <mergeCell ref="F3080:I3080"/>
    <mergeCell ref="F3063:I3063"/>
    <mergeCell ref="F3064:I3064"/>
    <mergeCell ref="F3065:I3065"/>
    <mergeCell ref="F3066:I3066"/>
    <mergeCell ref="F3067:I3067"/>
    <mergeCell ref="F3068:I3068"/>
    <mergeCell ref="F3069:I3069"/>
    <mergeCell ref="F3070:I3070"/>
    <mergeCell ref="F3071:I3071"/>
    <mergeCell ref="F3054:I3054"/>
    <mergeCell ref="F3055:I3055"/>
    <mergeCell ref="F3056:I3056"/>
    <mergeCell ref="F3057:I3057"/>
    <mergeCell ref="F3058:I3058"/>
    <mergeCell ref="F3059:I3059"/>
    <mergeCell ref="F3060:I3060"/>
    <mergeCell ref="F3061:I3061"/>
    <mergeCell ref="F3062:I3062"/>
    <mergeCell ref="F3045:I3045"/>
    <mergeCell ref="F3046:I3046"/>
    <mergeCell ref="F3047:I3047"/>
    <mergeCell ref="F3048:I3048"/>
    <mergeCell ref="F3049:I3049"/>
    <mergeCell ref="F3050:I3050"/>
    <mergeCell ref="F3051:I3051"/>
    <mergeCell ref="F3052:I3052"/>
    <mergeCell ref="F3053:I3053"/>
    <mergeCell ref="F3036:I3036"/>
    <mergeCell ref="F3037:I3037"/>
    <mergeCell ref="F3038:I3038"/>
    <mergeCell ref="F3039:I3039"/>
    <mergeCell ref="F3040:I3040"/>
    <mergeCell ref="F3041:I3041"/>
    <mergeCell ref="F3042:I3042"/>
    <mergeCell ref="F3043:I3043"/>
    <mergeCell ref="F3044:I3044"/>
    <mergeCell ref="F3027:I3027"/>
    <mergeCell ref="F3028:I3028"/>
    <mergeCell ref="F3029:I3029"/>
    <mergeCell ref="F3030:I3030"/>
    <mergeCell ref="F3031:I3031"/>
    <mergeCell ref="F3032:I3032"/>
    <mergeCell ref="F3033:I3033"/>
    <mergeCell ref="F3034:I3034"/>
    <mergeCell ref="F3035:I3035"/>
    <mergeCell ref="F3018:I3018"/>
    <mergeCell ref="F3019:I3019"/>
    <mergeCell ref="F3020:I3020"/>
    <mergeCell ref="F3021:I3021"/>
    <mergeCell ref="F3022:I3022"/>
    <mergeCell ref="F3023:I3023"/>
    <mergeCell ref="F3024:I3024"/>
    <mergeCell ref="F3025:I3025"/>
    <mergeCell ref="F3026:I3026"/>
    <mergeCell ref="F3009:I3009"/>
    <mergeCell ref="F3010:I3010"/>
    <mergeCell ref="F3011:I3011"/>
    <mergeCell ref="F3012:I3012"/>
    <mergeCell ref="F3013:I3013"/>
    <mergeCell ref="F3014:I3014"/>
    <mergeCell ref="F3015:I3015"/>
    <mergeCell ref="F3016:I3016"/>
    <mergeCell ref="F3017:I3017"/>
    <mergeCell ref="F2999:I2999"/>
    <mergeCell ref="F3001:I3001"/>
    <mergeCell ref="F3002:I3002"/>
    <mergeCell ref="F3003:I3003"/>
    <mergeCell ref="F3004:I3004"/>
    <mergeCell ref="F3005:I3005"/>
    <mergeCell ref="F3006:I3006"/>
    <mergeCell ref="F3007:I3007"/>
    <mergeCell ref="F3008:I3008"/>
    <mergeCell ref="F2990:I2990"/>
    <mergeCell ref="F2991:I2991"/>
    <mergeCell ref="F2992:I2992"/>
    <mergeCell ref="F2993:I2993"/>
    <mergeCell ref="F2994:I2994"/>
    <mergeCell ref="F2995:I2995"/>
    <mergeCell ref="F2996:I2996"/>
    <mergeCell ref="F2997:I2997"/>
    <mergeCell ref="F2998:I2998"/>
    <mergeCell ref="F3000:I3000"/>
    <mergeCell ref="F2980:I2980"/>
    <mergeCell ref="F2981:I2981"/>
    <mergeCell ref="F2983:I2983"/>
    <mergeCell ref="F2984:I2984"/>
    <mergeCell ref="F2985:I2985"/>
    <mergeCell ref="F2986:I2986"/>
    <mergeCell ref="F2987:I2987"/>
    <mergeCell ref="F2988:I2988"/>
    <mergeCell ref="F2989:I2989"/>
    <mergeCell ref="F2970:I2970"/>
    <mergeCell ref="F2971:I2971"/>
    <mergeCell ref="F2973:I2973"/>
    <mergeCell ref="F2974:I2974"/>
    <mergeCell ref="F2975:I2975"/>
    <mergeCell ref="F2976:I2976"/>
    <mergeCell ref="F2977:I2977"/>
    <mergeCell ref="F2978:I2978"/>
    <mergeCell ref="F2979:I2979"/>
    <mergeCell ref="F2972:I2972"/>
    <mergeCell ref="F2982:I2982"/>
    <mergeCell ref="F2959:I2959"/>
    <mergeCell ref="F2961:I2961"/>
    <mergeCell ref="F2962:I2962"/>
    <mergeCell ref="F2963:I2963"/>
    <mergeCell ref="F2964:I2964"/>
    <mergeCell ref="F2965:I2965"/>
    <mergeCell ref="F2967:I2967"/>
    <mergeCell ref="F2968:I2968"/>
    <mergeCell ref="F2969:I2969"/>
    <mergeCell ref="F2950:I2950"/>
    <mergeCell ref="F2951:I2951"/>
    <mergeCell ref="F2952:I2952"/>
    <mergeCell ref="F2953:I2953"/>
    <mergeCell ref="F2954:I2954"/>
    <mergeCell ref="F2955:I2955"/>
    <mergeCell ref="F2956:I2956"/>
    <mergeCell ref="F2957:I2957"/>
    <mergeCell ref="F2958:I2958"/>
    <mergeCell ref="F2960:I2960"/>
    <mergeCell ref="F2966:I2966"/>
    <mergeCell ref="F2941:I2941"/>
    <mergeCell ref="F2942:I2942"/>
    <mergeCell ref="F2943:I2943"/>
    <mergeCell ref="F2944:I2944"/>
    <mergeCell ref="F2945:I2945"/>
    <mergeCell ref="F2946:I2946"/>
    <mergeCell ref="F2947:I2947"/>
    <mergeCell ref="F2948:I2948"/>
    <mergeCell ref="F2949:I2949"/>
    <mergeCell ref="F2932:I2932"/>
    <mergeCell ref="F2933:I2933"/>
    <mergeCell ref="F2934:I2934"/>
    <mergeCell ref="F2935:I2935"/>
    <mergeCell ref="F2936:I2936"/>
    <mergeCell ref="F2937:I2937"/>
    <mergeCell ref="F2938:I2938"/>
    <mergeCell ref="F2939:I2939"/>
    <mergeCell ref="F2940:I2940"/>
    <mergeCell ref="F2923:I2923"/>
    <mergeCell ref="F2924:I2924"/>
    <mergeCell ref="F2925:I2925"/>
    <mergeCell ref="F2926:I2926"/>
    <mergeCell ref="F2927:I2927"/>
    <mergeCell ref="F2928:I2928"/>
    <mergeCell ref="F2929:I2929"/>
    <mergeCell ref="F2930:I2930"/>
    <mergeCell ref="F2931:I2931"/>
    <mergeCell ref="F2913:I2913"/>
    <mergeCell ref="F2914:I2914"/>
    <mergeCell ref="F2915:I2915"/>
    <mergeCell ref="F2916:I2916"/>
    <mergeCell ref="F2917:I2917"/>
    <mergeCell ref="F2918:I2918"/>
    <mergeCell ref="F2919:I2919"/>
    <mergeCell ref="F2920:I2920"/>
    <mergeCell ref="F2922:I2922"/>
    <mergeCell ref="F2921:I2921"/>
    <mergeCell ref="F2904:I2904"/>
    <mergeCell ref="F2905:I2905"/>
    <mergeCell ref="F2906:I2906"/>
    <mergeCell ref="F2907:I2907"/>
    <mergeCell ref="F2908:I2908"/>
    <mergeCell ref="F2909:I2909"/>
    <mergeCell ref="F2910:I2910"/>
    <mergeCell ref="F2911:I2911"/>
    <mergeCell ref="F2912:I2912"/>
    <mergeCell ref="F2895:I2895"/>
    <mergeCell ref="F2896:I2896"/>
    <mergeCell ref="F2897:I2897"/>
    <mergeCell ref="F2898:I2898"/>
    <mergeCell ref="F2899:I2899"/>
    <mergeCell ref="F2900:I2900"/>
    <mergeCell ref="F2901:I2901"/>
    <mergeCell ref="F2902:I2902"/>
    <mergeCell ref="F2903:I2903"/>
    <mergeCell ref="F2886:I2886"/>
    <mergeCell ref="F2887:I2887"/>
    <mergeCell ref="F2888:I2888"/>
    <mergeCell ref="F2889:I2889"/>
    <mergeCell ref="F2890:I2890"/>
    <mergeCell ref="F2891:I2891"/>
    <mergeCell ref="F2892:I2892"/>
    <mergeCell ref="F2893:I2893"/>
    <mergeCell ref="F2894:I2894"/>
    <mergeCell ref="F2877:I2877"/>
    <mergeCell ref="F2878:I2878"/>
    <mergeCell ref="F2879:I2879"/>
    <mergeCell ref="F2880:I2880"/>
    <mergeCell ref="F2881:I2881"/>
    <mergeCell ref="F2882:I2882"/>
    <mergeCell ref="F2883:I2883"/>
    <mergeCell ref="F2884:I2884"/>
    <mergeCell ref="F2885:I2885"/>
    <mergeCell ref="F2868:I2868"/>
    <mergeCell ref="F2869:I2869"/>
    <mergeCell ref="F2870:I2870"/>
    <mergeCell ref="F2871:I2871"/>
    <mergeCell ref="F2872:I2872"/>
    <mergeCell ref="F2873:I2873"/>
    <mergeCell ref="F2874:I2874"/>
    <mergeCell ref="F2875:I2875"/>
    <mergeCell ref="F2876:I2876"/>
    <mergeCell ref="F2859:I2859"/>
    <mergeCell ref="F2860:I2860"/>
    <mergeCell ref="F2861:I2861"/>
    <mergeCell ref="F2862:I2862"/>
    <mergeCell ref="F2863:I2863"/>
    <mergeCell ref="F2864:I2864"/>
    <mergeCell ref="F2865:I2865"/>
    <mergeCell ref="F2866:I2866"/>
    <mergeCell ref="F2867:I2867"/>
    <mergeCell ref="F2850:I2850"/>
    <mergeCell ref="F2851:I2851"/>
    <mergeCell ref="F2852:I2852"/>
    <mergeCell ref="F2853:I2853"/>
    <mergeCell ref="F2854:I2854"/>
    <mergeCell ref="F2855:I2855"/>
    <mergeCell ref="F2856:I2856"/>
    <mergeCell ref="F2857:I2857"/>
    <mergeCell ref="F2858:I2858"/>
    <mergeCell ref="F2841:I2841"/>
    <mergeCell ref="F2842:I2842"/>
    <mergeCell ref="F2843:I2843"/>
    <mergeCell ref="F2844:I2844"/>
    <mergeCell ref="F2845:I2845"/>
    <mergeCell ref="F2846:I2846"/>
    <mergeCell ref="F2847:I2847"/>
    <mergeCell ref="F2848:I2848"/>
    <mergeCell ref="F2849:I2849"/>
    <mergeCell ref="F2832:I2832"/>
    <mergeCell ref="F2833:I2833"/>
    <mergeCell ref="F2834:I2834"/>
    <mergeCell ref="F2835:I2835"/>
    <mergeCell ref="F2836:I2836"/>
    <mergeCell ref="F2837:I2837"/>
    <mergeCell ref="F2838:I2838"/>
    <mergeCell ref="F2839:I2839"/>
    <mergeCell ref="F2840:I2840"/>
    <mergeCell ref="F2823:I2823"/>
    <mergeCell ref="F2824:I2824"/>
    <mergeCell ref="F2825:I2825"/>
    <mergeCell ref="F2826:I2826"/>
    <mergeCell ref="F2827:I2827"/>
    <mergeCell ref="F2828:I2828"/>
    <mergeCell ref="F2829:I2829"/>
    <mergeCell ref="F2830:I2830"/>
    <mergeCell ref="F2831:I2831"/>
    <mergeCell ref="F2814:I2814"/>
    <mergeCell ref="F2815:I2815"/>
    <mergeCell ref="F2816:I2816"/>
    <mergeCell ref="F2817:I2817"/>
    <mergeCell ref="F2818:I2818"/>
    <mergeCell ref="F2819:I2819"/>
    <mergeCell ref="F2820:I2820"/>
    <mergeCell ref="F2821:I2821"/>
    <mergeCell ref="F2822:I2822"/>
    <mergeCell ref="F2804:I2804"/>
    <mergeCell ref="F2805:I2805"/>
    <mergeCell ref="F2806:I2806"/>
    <mergeCell ref="F2808:I2808"/>
    <mergeCell ref="F2809:I2809"/>
    <mergeCell ref="F2810:I2810"/>
    <mergeCell ref="F2811:I2811"/>
    <mergeCell ref="F2812:I2812"/>
    <mergeCell ref="F2813:I2813"/>
    <mergeCell ref="F2807:I2807"/>
    <mergeCell ref="F2795:I2795"/>
    <mergeCell ref="F2796:I2796"/>
    <mergeCell ref="F2797:I2797"/>
    <mergeCell ref="F2798:I2798"/>
    <mergeCell ref="F2799:I2799"/>
    <mergeCell ref="F2800:I2800"/>
    <mergeCell ref="F2801:I2801"/>
    <mergeCell ref="F2802:I2802"/>
    <mergeCell ref="F2803:I2803"/>
    <mergeCell ref="F2785:I2785"/>
    <mergeCell ref="F2786:I2786"/>
    <mergeCell ref="F2787:I2787"/>
    <mergeCell ref="F2788:I2788"/>
    <mergeCell ref="F2790:I2790"/>
    <mergeCell ref="F2791:I2791"/>
    <mergeCell ref="F2792:I2792"/>
    <mergeCell ref="F2793:I2793"/>
    <mergeCell ref="F2794:I2794"/>
    <mergeCell ref="F2789:I2789"/>
    <mergeCell ref="F2775:I2775"/>
    <mergeCell ref="F2776:I2776"/>
    <mergeCell ref="F2777:I2777"/>
    <mergeCell ref="F2778:I2778"/>
    <mergeCell ref="F2780:I2780"/>
    <mergeCell ref="F2781:I2781"/>
    <mergeCell ref="F2782:I2782"/>
    <mergeCell ref="F2783:I2783"/>
    <mergeCell ref="F2784:I2784"/>
    <mergeCell ref="F2764:I2764"/>
    <mergeCell ref="F2765:I2765"/>
    <mergeCell ref="F2766:I2766"/>
    <mergeCell ref="F2768:I2768"/>
    <mergeCell ref="F2769:I2769"/>
    <mergeCell ref="F2770:I2770"/>
    <mergeCell ref="F2771:I2771"/>
    <mergeCell ref="F2772:I2772"/>
    <mergeCell ref="F2774:I2774"/>
    <mergeCell ref="F2779:I2779"/>
    <mergeCell ref="F2773:I2773"/>
    <mergeCell ref="F2731:I2731"/>
    <mergeCell ref="F2732:I2732"/>
    <mergeCell ref="F2733:I2733"/>
    <mergeCell ref="F2734:I2734"/>
    <mergeCell ref="F2735:I2735"/>
    <mergeCell ref="F2736:I2736"/>
    <mergeCell ref="F2728:I2728"/>
    <mergeCell ref="F2718:I2718"/>
    <mergeCell ref="F2719:I2719"/>
    <mergeCell ref="F2720:I2720"/>
    <mergeCell ref="F2721:I2721"/>
    <mergeCell ref="F2722:I2722"/>
    <mergeCell ref="F2723:I2723"/>
    <mergeCell ref="F2724:I2724"/>
    <mergeCell ref="F2725:I2725"/>
    <mergeCell ref="F2726:I2726"/>
    <mergeCell ref="F2709:I2709"/>
    <mergeCell ref="F2710:I2710"/>
    <mergeCell ref="F2711:I2711"/>
    <mergeCell ref="F2712:I2712"/>
    <mergeCell ref="F2713:I2713"/>
    <mergeCell ref="F2714:I2714"/>
    <mergeCell ref="F2715:I2715"/>
    <mergeCell ref="F2716:I2716"/>
    <mergeCell ref="F2717:I2717"/>
    <mergeCell ref="F2700:I2700"/>
    <mergeCell ref="F2701:I2701"/>
    <mergeCell ref="F2702:I2702"/>
    <mergeCell ref="F2703:I2703"/>
    <mergeCell ref="F2704:I2704"/>
    <mergeCell ref="F2705:I2705"/>
    <mergeCell ref="F2706:I2706"/>
    <mergeCell ref="F2707:I2707"/>
    <mergeCell ref="F2708:I2708"/>
    <mergeCell ref="F2691:I2691"/>
    <mergeCell ref="F2692:I2692"/>
    <mergeCell ref="F2693:I2693"/>
    <mergeCell ref="F2694:I2694"/>
    <mergeCell ref="F2695:I2695"/>
    <mergeCell ref="F2696:I2696"/>
    <mergeCell ref="F2697:I2697"/>
    <mergeCell ref="F2698:I2698"/>
    <mergeCell ref="F2699:I2699"/>
    <mergeCell ref="F2682:I2682"/>
    <mergeCell ref="F2683:I2683"/>
    <mergeCell ref="F2684:I2684"/>
    <mergeCell ref="F2685:I2685"/>
    <mergeCell ref="F2686:I2686"/>
    <mergeCell ref="F2687:I2687"/>
    <mergeCell ref="F2688:I2688"/>
    <mergeCell ref="F2689:I2689"/>
    <mergeCell ref="F2690:I2690"/>
    <mergeCell ref="F2673:I2673"/>
    <mergeCell ref="F2674:I2674"/>
    <mergeCell ref="F2675:I2675"/>
    <mergeCell ref="F2676:I2676"/>
    <mergeCell ref="F2677:I2677"/>
    <mergeCell ref="F2678:I2678"/>
    <mergeCell ref="F2679:I2679"/>
    <mergeCell ref="F2680:I2680"/>
    <mergeCell ref="F2681:I2681"/>
    <mergeCell ref="F2664:I2664"/>
    <mergeCell ref="F2665:I2665"/>
    <mergeCell ref="F2666:I2666"/>
    <mergeCell ref="F2667:I2667"/>
    <mergeCell ref="F2668:I2668"/>
    <mergeCell ref="F2669:I2669"/>
    <mergeCell ref="F2670:I2670"/>
    <mergeCell ref="F2671:I2671"/>
    <mergeCell ref="F2672:I2672"/>
    <mergeCell ref="F2655:I2655"/>
    <mergeCell ref="F2656:I2656"/>
    <mergeCell ref="F2657:I2657"/>
    <mergeCell ref="F2658:I2658"/>
    <mergeCell ref="F2659:I2659"/>
    <mergeCell ref="F2660:I2660"/>
    <mergeCell ref="F2661:I2661"/>
    <mergeCell ref="F2662:I2662"/>
    <mergeCell ref="F2663:I2663"/>
    <mergeCell ref="F2646:I2646"/>
    <mergeCell ref="F2647:I2647"/>
    <mergeCell ref="F2648:I2648"/>
    <mergeCell ref="F2649:I2649"/>
    <mergeCell ref="F2650:I2650"/>
    <mergeCell ref="F2651:I2651"/>
    <mergeCell ref="F2652:I2652"/>
    <mergeCell ref="F2653:I2653"/>
    <mergeCell ref="F2654:I2654"/>
    <mergeCell ref="F2637:I2637"/>
    <mergeCell ref="F2638:I2638"/>
    <mergeCell ref="F2639:I2639"/>
    <mergeCell ref="F2640:I2640"/>
    <mergeCell ref="F2641:I2641"/>
    <mergeCell ref="F2642:I2642"/>
    <mergeCell ref="F2643:I2643"/>
    <mergeCell ref="F2644:I2644"/>
    <mergeCell ref="F2645:I2645"/>
    <mergeCell ref="F2628:I2628"/>
    <mergeCell ref="F2629:I2629"/>
    <mergeCell ref="F2630:I2630"/>
    <mergeCell ref="F2631:I2631"/>
    <mergeCell ref="F2632:I2632"/>
    <mergeCell ref="F2633:I2633"/>
    <mergeCell ref="F2634:I2634"/>
    <mergeCell ref="F2635:I2635"/>
    <mergeCell ref="F2636:I2636"/>
    <mergeCell ref="F2619:I2619"/>
    <mergeCell ref="F2620:I2620"/>
    <mergeCell ref="F2621:I2621"/>
    <mergeCell ref="F2622:I2622"/>
    <mergeCell ref="F2623:I2623"/>
    <mergeCell ref="F2624:I2624"/>
    <mergeCell ref="F2625:I2625"/>
    <mergeCell ref="F2626:I2626"/>
    <mergeCell ref="F2627:I2627"/>
    <mergeCell ref="F2609:I2609"/>
    <mergeCell ref="F2610:I2610"/>
    <mergeCell ref="F2611:I2611"/>
    <mergeCell ref="F2612:I2612"/>
    <mergeCell ref="F2613:I2613"/>
    <mergeCell ref="F2615:I2615"/>
    <mergeCell ref="F2616:I2616"/>
    <mergeCell ref="F2617:I2617"/>
    <mergeCell ref="F2618:I2618"/>
    <mergeCell ref="F2600:I2600"/>
    <mergeCell ref="F2601:I2601"/>
    <mergeCell ref="F2602:I2602"/>
    <mergeCell ref="F2603:I2603"/>
    <mergeCell ref="F2604:I2604"/>
    <mergeCell ref="F2605:I2605"/>
    <mergeCell ref="F2606:I2606"/>
    <mergeCell ref="F2607:I2607"/>
    <mergeCell ref="F2608:I2608"/>
    <mergeCell ref="F2590:I2590"/>
    <mergeCell ref="F2591:I2591"/>
    <mergeCell ref="F2592:I2592"/>
    <mergeCell ref="F2593:I2593"/>
    <mergeCell ref="F2594:I2594"/>
    <mergeCell ref="F2595:I2595"/>
    <mergeCell ref="F2597:I2597"/>
    <mergeCell ref="F2598:I2598"/>
    <mergeCell ref="F2599:I2599"/>
    <mergeCell ref="F2579:I2579"/>
    <mergeCell ref="F2581:I2581"/>
    <mergeCell ref="F2582:I2582"/>
    <mergeCell ref="F2583:I2583"/>
    <mergeCell ref="F2584:I2584"/>
    <mergeCell ref="F2585:I2585"/>
    <mergeCell ref="F2587:I2587"/>
    <mergeCell ref="F2588:I2588"/>
    <mergeCell ref="F2589:I2589"/>
    <mergeCell ref="F2569:I2569"/>
    <mergeCell ref="F2570:I2570"/>
    <mergeCell ref="F2571:I2571"/>
    <mergeCell ref="F2572:I2572"/>
    <mergeCell ref="F2573:I2573"/>
    <mergeCell ref="F2575:I2575"/>
    <mergeCell ref="F2576:I2576"/>
    <mergeCell ref="F2577:I2577"/>
    <mergeCell ref="F2578:I2578"/>
    <mergeCell ref="F2560:I2560"/>
    <mergeCell ref="F2561:I2561"/>
    <mergeCell ref="F2562:I2562"/>
    <mergeCell ref="F2563:I2563"/>
    <mergeCell ref="F2564:I2564"/>
    <mergeCell ref="F2565:I2565"/>
    <mergeCell ref="F2566:I2566"/>
    <mergeCell ref="F2567:I2567"/>
    <mergeCell ref="F2568:I2568"/>
    <mergeCell ref="F2551:I2551"/>
    <mergeCell ref="F2552:I2552"/>
    <mergeCell ref="F2553:I2553"/>
    <mergeCell ref="F2554:I2554"/>
    <mergeCell ref="F2555:I2555"/>
    <mergeCell ref="F2556:I2556"/>
    <mergeCell ref="F2557:I2557"/>
    <mergeCell ref="F2558:I2558"/>
    <mergeCell ref="F2559:I2559"/>
    <mergeCell ref="F2542:I2542"/>
    <mergeCell ref="F2543:I2543"/>
    <mergeCell ref="F2544:I2544"/>
    <mergeCell ref="F2545:I2545"/>
    <mergeCell ref="F2546:I2546"/>
    <mergeCell ref="F2547:I2547"/>
    <mergeCell ref="F2548:I2548"/>
    <mergeCell ref="F2549:I2549"/>
    <mergeCell ref="F2550:I2550"/>
    <mergeCell ref="F2532:I2532"/>
    <mergeCell ref="F2533:I2533"/>
    <mergeCell ref="F2534:I2534"/>
    <mergeCell ref="F2536:I2536"/>
    <mergeCell ref="F2537:I2537"/>
    <mergeCell ref="F2538:I2538"/>
    <mergeCell ref="F2539:I2539"/>
    <mergeCell ref="F2540:I2540"/>
    <mergeCell ref="F2541:I2541"/>
    <mergeCell ref="F2523:I2523"/>
    <mergeCell ref="F2524:I2524"/>
    <mergeCell ref="F2525:I2525"/>
    <mergeCell ref="F2526:I2526"/>
    <mergeCell ref="F2527:I2527"/>
    <mergeCell ref="F2528:I2528"/>
    <mergeCell ref="F2529:I2529"/>
    <mergeCell ref="F2530:I2530"/>
    <mergeCell ref="F2531:I2531"/>
    <mergeCell ref="F2535:I2535"/>
    <mergeCell ref="F2514:I2514"/>
    <mergeCell ref="F2515:I2515"/>
    <mergeCell ref="F2516:I2516"/>
    <mergeCell ref="F2517:I2517"/>
    <mergeCell ref="F2518:I2518"/>
    <mergeCell ref="F2519:I2519"/>
    <mergeCell ref="F2520:I2520"/>
    <mergeCell ref="F2521:I2521"/>
    <mergeCell ref="F2522:I2522"/>
    <mergeCell ref="F2505:I2505"/>
    <mergeCell ref="F2506:I2506"/>
    <mergeCell ref="F2507:I2507"/>
    <mergeCell ref="F2508:I2508"/>
    <mergeCell ref="F2509:I2509"/>
    <mergeCell ref="F2510:I2510"/>
    <mergeCell ref="F2511:I2511"/>
    <mergeCell ref="F2512:I2512"/>
    <mergeCell ref="F2513:I2513"/>
    <mergeCell ref="F2496:I2496"/>
    <mergeCell ref="F2497:I2497"/>
    <mergeCell ref="F2498:I2498"/>
    <mergeCell ref="F2499:I2499"/>
    <mergeCell ref="F2500:I2500"/>
    <mergeCell ref="F2501:I2501"/>
    <mergeCell ref="F2502:I2502"/>
    <mergeCell ref="F2503:I2503"/>
    <mergeCell ref="F2504:I2504"/>
    <mergeCell ref="F2487:I2487"/>
    <mergeCell ref="F2488:I2488"/>
    <mergeCell ref="F2489:I2489"/>
    <mergeCell ref="F2490:I2490"/>
    <mergeCell ref="F2491:I2491"/>
    <mergeCell ref="F2492:I2492"/>
    <mergeCell ref="F2493:I2493"/>
    <mergeCell ref="F2494:I2494"/>
    <mergeCell ref="F2495:I2495"/>
    <mergeCell ref="F2478:I2478"/>
    <mergeCell ref="F2479:I2479"/>
    <mergeCell ref="F2480:I2480"/>
    <mergeCell ref="F2481:I2481"/>
    <mergeCell ref="F2482:I2482"/>
    <mergeCell ref="F2483:I2483"/>
    <mergeCell ref="F2484:I2484"/>
    <mergeCell ref="F2485:I2485"/>
    <mergeCell ref="F2486:I2486"/>
    <mergeCell ref="F2469:I2469"/>
    <mergeCell ref="F2470:I2470"/>
    <mergeCell ref="F2471:I2471"/>
    <mergeCell ref="F2472:I2472"/>
    <mergeCell ref="F2473:I2473"/>
    <mergeCell ref="F2474:I2474"/>
    <mergeCell ref="F2475:I2475"/>
    <mergeCell ref="F2476:I2476"/>
    <mergeCell ref="F2477:I2477"/>
    <mergeCell ref="F2460:I2460"/>
    <mergeCell ref="F2461:I2461"/>
    <mergeCell ref="F2462:I2462"/>
    <mergeCell ref="F2463:I2463"/>
    <mergeCell ref="F2464:I2464"/>
    <mergeCell ref="F2465:I2465"/>
    <mergeCell ref="F2466:I2466"/>
    <mergeCell ref="F2467:I2467"/>
    <mergeCell ref="F2468:I2468"/>
    <mergeCell ref="F2451:I2451"/>
    <mergeCell ref="F2452:I2452"/>
    <mergeCell ref="F2453:I2453"/>
    <mergeCell ref="F2454:I2454"/>
    <mergeCell ref="F2455:I2455"/>
    <mergeCell ref="F2456:I2456"/>
    <mergeCell ref="F2457:I2457"/>
    <mergeCell ref="F2458:I2458"/>
    <mergeCell ref="F2459:I2459"/>
    <mergeCell ref="F2442:I2442"/>
    <mergeCell ref="F2443:I2443"/>
    <mergeCell ref="F2444:I2444"/>
    <mergeCell ref="F2445:I2445"/>
    <mergeCell ref="F2446:I2446"/>
    <mergeCell ref="F2447:I2447"/>
    <mergeCell ref="F2448:I2448"/>
    <mergeCell ref="F2449:I2449"/>
    <mergeCell ref="F2450:I2450"/>
    <mergeCell ref="F2433:I2433"/>
    <mergeCell ref="F2434:I2434"/>
    <mergeCell ref="F2435:I2435"/>
    <mergeCell ref="F2436:I2436"/>
    <mergeCell ref="F2437:I2437"/>
    <mergeCell ref="F2438:I2438"/>
    <mergeCell ref="F2439:I2439"/>
    <mergeCell ref="F2440:I2440"/>
    <mergeCell ref="F2441:I2441"/>
    <mergeCell ref="F2424:I2424"/>
    <mergeCell ref="F2425:I2425"/>
    <mergeCell ref="F2426:I2426"/>
    <mergeCell ref="F2427:I2427"/>
    <mergeCell ref="F2428:I2428"/>
    <mergeCell ref="F2429:I2429"/>
    <mergeCell ref="F2430:I2430"/>
    <mergeCell ref="F2431:I2431"/>
    <mergeCell ref="F2432:I2432"/>
    <mergeCell ref="F2414:I2414"/>
    <mergeCell ref="F2415:I2415"/>
    <mergeCell ref="F2416:I2416"/>
    <mergeCell ref="F2417:I2417"/>
    <mergeCell ref="F2418:I2418"/>
    <mergeCell ref="F2419:I2419"/>
    <mergeCell ref="F2420:I2420"/>
    <mergeCell ref="F2422:I2422"/>
    <mergeCell ref="F2423:I2423"/>
    <mergeCell ref="F2405:I2405"/>
    <mergeCell ref="F2406:I2406"/>
    <mergeCell ref="F2407:I2407"/>
    <mergeCell ref="F2408:I2408"/>
    <mergeCell ref="F2409:I2409"/>
    <mergeCell ref="F2410:I2410"/>
    <mergeCell ref="F2411:I2411"/>
    <mergeCell ref="F2412:I2412"/>
    <mergeCell ref="F2413:I2413"/>
    <mergeCell ref="F2395:I2395"/>
    <mergeCell ref="F2396:I2396"/>
    <mergeCell ref="F2397:I2397"/>
    <mergeCell ref="F2398:I2398"/>
    <mergeCell ref="F2399:I2399"/>
    <mergeCell ref="F2400:I2400"/>
    <mergeCell ref="F2401:I2401"/>
    <mergeCell ref="F2402:I2402"/>
    <mergeCell ref="F2404:I2404"/>
    <mergeCell ref="F2384:I2384"/>
    <mergeCell ref="F2385:I2385"/>
    <mergeCell ref="F2386:I2386"/>
    <mergeCell ref="F2388:I2388"/>
    <mergeCell ref="F2389:I2389"/>
    <mergeCell ref="F2390:I2390"/>
    <mergeCell ref="F2391:I2391"/>
    <mergeCell ref="F2392:I2392"/>
    <mergeCell ref="F2394:I2394"/>
    <mergeCell ref="F2374:I2374"/>
    <mergeCell ref="F2375:I2375"/>
    <mergeCell ref="F2376:I2376"/>
    <mergeCell ref="F2377:I2377"/>
    <mergeCell ref="F2378:I2378"/>
    <mergeCell ref="F2379:I2379"/>
    <mergeCell ref="F2380:I2380"/>
    <mergeCell ref="F2382:I2382"/>
    <mergeCell ref="F2383:I2383"/>
    <mergeCell ref="F2365:I2365"/>
    <mergeCell ref="F2366:I2366"/>
    <mergeCell ref="F2367:I2367"/>
    <mergeCell ref="F2368:I2368"/>
    <mergeCell ref="F2369:I2369"/>
    <mergeCell ref="F2370:I2370"/>
    <mergeCell ref="F2371:I2371"/>
    <mergeCell ref="F2372:I2372"/>
    <mergeCell ref="F2373:I2373"/>
    <mergeCell ref="F2356:I2356"/>
    <mergeCell ref="F2357:I2357"/>
    <mergeCell ref="F2358:I2358"/>
    <mergeCell ref="F2359:I2359"/>
    <mergeCell ref="F2360:I2360"/>
    <mergeCell ref="F2361:I2361"/>
    <mergeCell ref="F2362:I2362"/>
    <mergeCell ref="F2363:I2363"/>
    <mergeCell ref="F2364:I2364"/>
    <mergeCell ref="F2347:I2347"/>
    <mergeCell ref="F2348:I2348"/>
    <mergeCell ref="F2349:I2349"/>
    <mergeCell ref="F2350:I2350"/>
    <mergeCell ref="F2351:I2351"/>
    <mergeCell ref="F2352:I2352"/>
    <mergeCell ref="F2353:I2353"/>
    <mergeCell ref="F2354:I2354"/>
    <mergeCell ref="F2355:I2355"/>
    <mergeCell ref="F2337:I2337"/>
    <mergeCell ref="F2338:I2338"/>
    <mergeCell ref="F2339:I2339"/>
    <mergeCell ref="F2340:I2340"/>
    <mergeCell ref="F2341:I2341"/>
    <mergeCell ref="F2343:I2343"/>
    <mergeCell ref="F2344:I2344"/>
    <mergeCell ref="F2345:I2345"/>
    <mergeCell ref="F2346:I2346"/>
    <mergeCell ref="F2342:I2342"/>
    <mergeCell ref="F2328:I2328"/>
    <mergeCell ref="F2329:I2329"/>
    <mergeCell ref="F2330:I2330"/>
    <mergeCell ref="F2331:I2331"/>
    <mergeCell ref="F2332:I2332"/>
    <mergeCell ref="F2333:I2333"/>
    <mergeCell ref="F2334:I2334"/>
    <mergeCell ref="F2335:I2335"/>
    <mergeCell ref="F2336:I2336"/>
    <mergeCell ref="F2319:I2319"/>
    <mergeCell ref="F2320:I2320"/>
    <mergeCell ref="F2321:I2321"/>
    <mergeCell ref="F2322:I2322"/>
    <mergeCell ref="F2323:I2323"/>
    <mergeCell ref="F2324:I2324"/>
    <mergeCell ref="F2325:I2325"/>
    <mergeCell ref="F2326:I2326"/>
    <mergeCell ref="F2327:I2327"/>
    <mergeCell ref="F2310:I2310"/>
    <mergeCell ref="F2311:I2311"/>
    <mergeCell ref="F2312:I2312"/>
    <mergeCell ref="F2313:I2313"/>
    <mergeCell ref="F2314:I2314"/>
    <mergeCell ref="F2315:I2315"/>
    <mergeCell ref="F2316:I2316"/>
    <mergeCell ref="F2317:I2317"/>
    <mergeCell ref="F2318:I2318"/>
    <mergeCell ref="F2301:I2301"/>
    <mergeCell ref="F2302:I2302"/>
    <mergeCell ref="F2303:I2303"/>
    <mergeCell ref="F2304:I2304"/>
    <mergeCell ref="F2305:I2305"/>
    <mergeCell ref="F2306:I2306"/>
    <mergeCell ref="F2307:I2307"/>
    <mergeCell ref="F2308:I2308"/>
    <mergeCell ref="F2309:I2309"/>
    <mergeCell ref="F2292:I2292"/>
    <mergeCell ref="F2293:I2293"/>
    <mergeCell ref="F2294:I2294"/>
    <mergeCell ref="F2295:I2295"/>
    <mergeCell ref="F2296:I2296"/>
    <mergeCell ref="F2297:I2297"/>
    <mergeCell ref="F2298:I2298"/>
    <mergeCell ref="F2299:I2299"/>
    <mergeCell ref="F2300:I2300"/>
    <mergeCell ref="F2283:I2283"/>
    <mergeCell ref="F2284:I2284"/>
    <mergeCell ref="F2285:I2285"/>
    <mergeCell ref="F2286:I2286"/>
    <mergeCell ref="F2287:I2287"/>
    <mergeCell ref="F2288:I2288"/>
    <mergeCell ref="F2289:I2289"/>
    <mergeCell ref="F2290:I2290"/>
    <mergeCell ref="F2291:I2291"/>
    <mergeCell ref="F2274:I2274"/>
    <mergeCell ref="F2275:I2275"/>
    <mergeCell ref="F2276:I2276"/>
    <mergeCell ref="F2277:I2277"/>
    <mergeCell ref="F2278:I2278"/>
    <mergeCell ref="F2279:I2279"/>
    <mergeCell ref="F2280:I2280"/>
    <mergeCell ref="F2281:I2281"/>
    <mergeCell ref="F2282:I2282"/>
    <mergeCell ref="F2265:I2265"/>
    <mergeCell ref="F2266:I2266"/>
    <mergeCell ref="F2267:I2267"/>
    <mergeCell ref="F2268:I2268"/>
    <mergeCell ref="F2269:I2269"/>
    <mergeCell ref="F2270:I2270"/>
    <mergeCell ref="F2271:I2271"/>
    <mergeCell ref="F2272:I2272"/>
    <mergeCell ref="F2273:I2273"/>
    <mergeCell ref="F2256:I2256"/>
    <mergeCell ref="F2257:I2257"/>
    <mergeCell ref="F2258:I2258"/>
    <mergeCell ref="F2259:I2259"/>
    <mergeCell ref="F2260:I2260"/>
    <mergeCell ref="F2261:I2261"/>
    <mergeCell ref="F2262:I2262"/>
    <mergeCell ref="F2263:I2263"/>
    <mergeCell ref="F2264:I2264"/>
    <mergeCell ref="F2247:I2247"/>
    <mergeCell ref="F2248:I2248"/>
    <mergeCell ref="F2249:I2249"/>
    <mergeCell ref="F2250:I2250"/>
    <mergeCell ref="F2251:I2251"/>
    <mergeCell ref="F2252:I2252"/>
    <mergeCell ref="F2253:I2253"/>
    <mergeCell ref="F2254:I2254"/>
    <mergeCell ref="F2255:I2255"/>
    <mergeCell ref="F2238:I2238"/>
    <mergeCell ref="F2239:I2239"/>
    <mergeCell ref="F2240:I2240"/>
    <mergeCell ref="F2241:I2241"/>
    <mergeCell ref="F2242:I2242"/>
    <mergeCell ref="F2243:I2243"/>
    <mergeCell ref="F2244:I2244"/>
    <mergeCell ref="F2245:I2245"/>
    <mergeCell ref="F2246:I2246"/>
    <mergeCell ref="F2229:I2229"/>
    <mergeCell ref="F2230:I2230"/>
    <mergeCell ref="F2231:I2231"/>
    <mergeCell ref="F2232:I2232"/>
    <mergeCell ref="F2233:I2233"/>
    <mergeCell ref="F2234:I2234"/>
    <mergeCell ref="F2235:I2235"/>
    <mergeCell ref="F2236:I2236"/>
    <mergeCell ref="F2237:I2237"/>
    <mergeCell ref="F2219:I2219"/>
    <mergeCell ref="F2220:I2220"/>
    <mergeCell ref="F2221:I2221"/>
    <mergeCell ref="F2222:I2222"/>
    <mergeCell ref="F2223:I2223"/>
    <mergeCell ref="F2224:I2224"/>
    <mergeCell ref="F2225:I2225"/>
    <mergeCell ref="F2226:I2226"/>
    <mergeCell ref="F2227:I2227"/>
    <mergeCell ref="F2209:I2209"/>
    <mergeCell ref="F2211:I2211"/>
    <mergeCell ref="F2212:I2212"/>
    <mergeCell ref="F2213:I2213"/>
    <mergeCell ref="F2214:I2214"/>
    <mergeCell ref="F2215:I2215"/>
    <mergeCell ref="F2216:I2216"/>
    <mergeCell ref="F2217:I2217"/>
    <mergeCell ref="F2218:I2218"/>
    <mergeCell ref="F2199:I2199"/>
    <mergeCell ref="F2201:I2201"/>
    <mergeCell ref="F2202:I2202"/>
    <mergeCell ref="F2203:I2203"/>
    <mergeCell ref="F2204:I2204"/>
    <mergeCell ref="F2205:I2205"/>
    <mergeCell ref="F2206:I2206"/>
    <mergeCell ref="F2207:I2207"/>
    <mergeCell ref="F2208:I2208"/>
    <mergeCell ref="F2189:I2189"/>
    <mergeCell ref="F2190:I2190"/>
    <mergeCell ref="F2191:I2191"/>
    <mergeCell ref="F2192:I2192"/>
    <mergeCell ref="F2193:I2193"/>
    <mergeCell ref="F2195:I2195"/>
    <mergeCell ref="F2196:I2196"/>
    <mergeCell ref="F2197:I2197"/>
    <mergeCell ref="F2198:I2198"/>
    <mergeCell ref="F2179:I2179"/>
    <mergeCell ref="F2180:I2180"/>
    <mergeCell ref="F2181:I2181"/>
    <mergeCell ref="F2182:I2182"/>
    <mergeCell ref="F2183:I2183"/>
    <mergeCell ref="F2184:I2184"/>
    <mergeCell ref="F2185:I2185"/>
    <mergeCell ref="F2186:I2186"/>
    <mergeCell ref="F2187:I2187"/>
    <mergeCell ref="F2170:I2170"/>
    <mergeCell ref="F2171:I2171"/>
    <mergeCell ref="F2172:I2172"/>
    <mergeCell ref="F2173:I2173"/>
    <mergeCell ref="F2174:I2174"/>
    <mergeCell ref="F2175:I2175"/>
    <mergeCell ref="F2176:I2176"/>
    <mergeCell ref="F2177:I2177"/>
    <mergeCell ref="F2178:I2178"/>
    <mergeCell ref="F2128:I2128"/>
    <mergeCell ref="F2129:I2129"/>
    <mergeCell ref="F2130:I2130"/>
    <mergeCell ref="F2131:I2131"/>
    <mergeCell ref="F2132:I2132"/>
    <mergeCell ref="F2133:I2133"/>
    <mergeCell ref="F2134:I2134"/>
    <mergeCell ref="F2135:I2135"/>
    <mergeCell ref="F2136:I2136"/>
    <mergeCell ref="F2119:I2119"/>
    <mergeCell ref="F2120:I2120"/>
    <mergeCell ref="F2121:I2121"/>
    <mergeCell ref="F2122:I2122"/>
    <mergeCell ref="F2123:I2123"/>
    <mergeCell ref="F2124:I2124"/>
    <mergeCell ref="F2125:I2125"/>
    <mergeCell ref="F2126:I2126"/>
    <mergeCell ref="F2127:I2127"/>
    <mergeCell ref="F2110:I2110"/>
    <mergeCell ref="F2111:I2111"/>
    <mergeCell ref="F2112:I2112"/>
    <mergeCell ref="F2113:I2113"/>
    <mergeCell ref="F2114:I2114"/>
    <mergeCell ref="F2115:I2115"/>
    <mergeCell ref="F2116:I2116"/>
    <mergeCell ref="F2117:I2117"/>
    <mergeCell ref="F2118:I2118"/>
    <mergeCell ref="F2101:I2101"/>
    <mergeCell ref="F2102:I2102"/>
    <mergeCell ref="F2103:I2103"/>
    <mergeCell ref="F2104:I2104"/>
    <mergeCell ref="F2105:I2105"/>
    <mergeCell ref="F2106:I2106"/>
    <mergeCell ref="F2107:I2107"/>
    <mergeCell ref="F2108:I2108"/>
    <mergeCell ref="F2109:I2109"/>
    <mergeCell ref="F2092:I2092"/>
    <mergeCell ref="F2093:I2093"/>
    <mergeCell ref="F2094:I2094"/>
    <mergeCell ref="F2095:I2095"/>
    <mergeCell ref="F2096:I2096"/>
    <mergeCell ref="F2097:I2097"/>
    <mergeCell ref="F2098:I2098"/>
    <mergeCell ref="F2099:I2099"/>
    <mergeCell ref="F2100:I2100"/>
    <mergeCell ref="F2083:I2083"/>
    <mergeCell ref="F2084:I2084"/>
    <mergeCell ref="F2085:I2085"/>
    <mergeCell ref="F2086:I2086"/>
    <mergeCell ref="F2087:I2087"/>
    <mergeCell ref="F2088:I2088"/>
    <mergeCell ref="F2089:I2089"/>
    <mergeCell ref="F2090:I2090"/>
    <mergeCell ref="F2091:I2091"/>
    <mergeCell ref="F2074:I2074"/>
    <mergeCell ref="F2075:I2075"/>
    <mergeCell ref="F2076:I2076"/>
    <mergeCell ref="F2077:I2077"/>
    <mergeCell ref="F2078:I2078"/>
    <mergeCell ref="F2079:I2079"/>
    <mergeCell ref="F2080:I2080"/>
    <mergeCell ref="F2081:I2081"/>
    <mergeCell ref="F2082:I2082"/>
    <mergeCell ref="F2065:I2065"/>
    <mergeCell ref="F2066:I2066"/>
    <mergeCell ref="F2067:I2067"/>
    <mergeCell ref="F2068:I2068"/>
    <mergeCell ref="F2069:I2069"/>
    <mergeCell ref="F2070:I2070"/>
    <mergeCell ref="F2071:I2071"/>
    <mergeCell ref="F2072:I2072"/>
    <mergeCell ref="F2073:I2073"/>
    <mergeCell ref="F2056:I2056"/>
    <mergeCell ref="F2057:I2057"/>
    <mergeCell ref="F2058:I2058"/>
    <mergeCell ref="F2059:I2059"/>
    <mergeCell ref="F2060:I2060"/>
    <mergeCell ref="F2061:I2061"/>
    <mergeCell ref="F2062:I2062"/>
    <mergeCell ref="F2063:I2063"/>
    <mergeCell ref="F2064:I2064"/>
    <mergeCell ref="F2047:I2047"/>
    <mergeCell ref="F2048:I2048"/>
    <mergeCell ref="F2049:I2049"/>
    <mergeCell ref="F2050:I2050"/>
    <mergeCell ref="F2051:I2051"/>
    <mergeCell ref="F2052:I2052"/>
    <mergeCell ref="F2053:I2053"/>
    <mergeCell ref="F2054:I2054"/>
    <mergeCell ref="F2055:I2055"/>
    <mergeCell ref="F2038:I2038"/>
    <mergeCell ref="F2039:I2039"/>
    <mergeCell ref="F2040:I2040"/>
    <mergeCell ref="F2041:I2041"/>
    <mergeCell ref="F2042:I2042"/>
    <mergeCell ref="F2043:I2043"/>
    <mergeCell ref="F2044:I2044"/>
    <mergeCell ref="F2045:I2045"/>
    <mergeCell ref="F2046:I2046"/>
    <mergeCell ref="F2028:I2028"/>
    <mergeCell ref="F2029:I2029"/>
    <mergeCell ref="F2030:I2030"/>
    <mergeCell ref="F2031:I2031"/>
    <mergeCell ref="F2032:I2032"/>
    <mergeCell ref="F2033:I2033"/>
    <mergeCell ref="F2034:I2034"/>
    <mergeCell ref="F2036:I2036"/>
    <mergeCell ref="F2037:I2037"/>
    <mergeCell ref="F2035:I2035"/>
    <mergeCell ref="F2019:I2019"/>
    <mergeCell ref="F2020:I2020"/>
    <mergeCell ref="F2021:I2021"/>
    <mergeCell ref="F2022:I2022"/>
    <mergeCell ref="F2023:I2023"/>
    <mergeCell ref="F2024:I2024"/>
    <mergeCell ref="F2025:I2025"/>
    <mergeCell ref="F2026:I2026"/>
    <mergeCell ref="F2027:I2027"/>
    <mergeCell ref="F2009:I2009"/>
    <mergeCell ref="F2010:I2010"/>
    <mergeCell ref="F2011:I2011"/>
    <mergeCell ref="F2012:I2012"/>
    <mergeCell ref="F2013:I2013"/>
    <mergeCell ref="F2014:I2014"/>
    <mergeCell ref="F2015:I2015"/>
    <mergeCell ref="F2016:I2016"/>
    <mergeCell ref="F2018:I2018"/>
    <mergeCell ref="F2017:I2017"/>
    <mergeCell ref="F1998:I1998"/>
    <mergeCell ref="F1999:I1999"/>
    <mergeCell ref="F2000:I2000"/>
    <mergeCell ref="F2002:I2002"/>
    <mergeCell ref="F2003:I2003"/>
    <mergeCell ref="F2004:I2004"/>
    <mergeCell ref="F2005:I2005"/>
    <mergeCell ref="F2006:I2006"/>
    <mergeCell ref="F2008:I2008"/>
    <mergeCell ref="F1988:I1988"/>
    <mergeCell ref="F1989:I1989"/>
    <mergeCell ref="F1990:I1990"/>
    <mergeCell ref="F1991:I1991"/>
    <mergeCell ref="F1992:I1992"/>
    <mergeCell ref="F1993:I1993"/>
    <mergeCell ref="F1994:I1994"/>
    <mergeCell ref="F1996:I1996"/>
    <mergeCell ref="F1997:I1997"/>
    <mergeCell ref="F1995:I1995"/>
    <mergeCell ref="F2001:I2001"/>
    <mergeCell ref="F2007:I2007"/>
    <mergeCell ref="F1979:I1979"/>
    <mergeCell ref="F1980:I1980"/>
    <mergeCell ref="F1981:I1981"/>
    <mergeCell ref="F1982:I1982"/>
    <mergeCell ref="F1983:I1983"/>
    <mergeCell ref="F1984:I1984"/>
    <mergeCell ref="F1985:I1985"/>
    <mergeCell ref="F1986:I1986"/>
    <mergeCell ref="F1987:I1987"/>
    <mergeCell ref="F1970:I1970"/>
    <mergeCell ref="F1971:I1971"/>
    <mergeCell ref="F1972:I1972"/>
    <mergeCell ref="F1973:I1973"/>
    <mergeCell ref="F1974:I1974"/>
    <mergeCell ref="F1975:I1975"/>
    <mergeCell ref="F1976:I1976"/>
    <mergeCell ref="F1977:I1977"/>
    <mergeCell ref="F1978:I1978"/>
    <mergeCell ref="F1961:I1961"/>
    <mergeCell ref="F1962:I1962"/>
    <mergeCell ref="F1963:I1963"/>
    <mergeCell ref="F1964:I1964"/>
    <mergeCell ref="F1965:I1965"/>
    <mergeCell ref="F1966:I1966"/>
    <mergeCell ref="F1967:I1967"/>
    <mergeCell ref="F1968:I1968"/>
    <mergeCell ref="F1969:I1969"/>
    <mergeCell ref="F1951:I1951"/>
    <mergeCell ref="F1952:I1952"/>
    <mergeCell ref="F1953:I1953"/>
    <mergeCell ref="F1954:I1954"/>
    <mergeCell ref="F1955:I1955"/>
    <mergeCell ref="F1957:I1957"/>
    <mergeCell ref="F1958:I1958"/>
    <mergeCell ref="F1959:I1959"/>
    <mergeCell ref="F1960:I1960"/>
    <mergeCell ref="F1956:I1956"/>
    <mergeCell ref="F1947:I1947"/>
    <mergeCell ref="F1948:I1948"/>
    <mergeCell ref="F1949:I1949"/>
    <mergeCell ref="F1950:I1950"/>
    <mergeCell ref="L528:L529"/>
    <mergeCell ref="L534:L535"/>
    <mergeCell ref="L537:L538"/>
    <mergeCell ref="L543:L544"/>
    <mergeCell ref="L552:L553"/>
    <mergeCell ref="L555:L556"/>
    <mergeCell ref="L561:L562"/>
    <mergeCell ref="V1504:V1515"/>
    <mergeCell ref="V1479:V1484"/>
    <mergeCell ref="V1461:V1466"/>
    <mergeCell ref="V1315:AH1315"/>
    <mergeCell ref="V1267:V1312"/>
    <mergeCell ref="V1364:V1369"/>
    <mergeCell ref="V1358:V1363"/>
    <mergeCell ref="L1151:L1173"/>
    <mergeCell ref="L1174:L1219"/>
    <mergeCell ref="V1221:V1266"/>
    <mergeCell ref="V1151:V1219"/>
    <mergeCell ref="V1043:V1069"/>
    <mergeCell ref="L1070:L1078"/>
    <mergeCell ref="V1070:V1096"/>
    <mergeCell ref="V1097:V1123"/>
    <mergeCell ref="V1124:V1150"/>
    <mergeCell ref="V989:V1015"/>
    <mergeCell ref="F1461:H1461"/>
    <mergeCell ref="F1465:H1465"/>
    <mergeCell ref="F1466:H1466"/>
    <mergeCell ref="F1401:H1401"/>
    <mergeCell ref="L498:L500"/>
    <mergeCell ref="L501:L502"/>
    <mergeCell ref="L503:L504"/>
    <mergeCell ref="L507:L508"/>
    <mergeCell ref="L510:L511"/>
    <mergeCell ref="L516:L517"/>
    <mergeCell ref="L519:L520"/>
    <mergeCell ref="L525:L526"/>
    <mergeCell ref="C19:L20"/>
    <mergeCell ref="D282:D353"/>
    <mergeCell ref="D354:D425"/>
    <mergeCell ref="E282:E353"/>
    <mergeCell ref="F278:H278"/>
    <mergeCell ref="F213:H213"/>
    <mergeCell ref="F215:H215"/>
    <mergeCell ref="F216:H216"/>
    <mergeCell ref="F217:H217"/>
    <mergeCell ref="F235:H235"/>
    <mergeCell ref="F236:H236"/>
    <mergeCell ref="F237:H237"/>
    <mergeCell ref="F238:H238"/>
    <mergeCell ref="F239:H239"/>
    <mergeCell ref="F272:H272"/>
    <mergeCell ref="F273:H273"/>
    <mergeCell ref="D498:D569"/>
    <mergeCell ref="E354:E425"/>
    <mergeCell ref="E426:E497"/>
    <mergeCell ref="D426:D497"/>
    <mergeCell ref="E498:E569"/>
    <mergeCell ref="F218:H218"/>
    <mergeCell ref="F219:H219"/>
    <mergeCell ref="F267:H267"/>
    <mergeCell ref="P221:R221"/>
    <mergeCell ref="F221:H221"/>
    <mergeCell ref="F222:H222"/>
    <mergeCell ref="P257:R257"/>
    <mergeCell ref="L210:L281"/>
    <mergeCell ref="F265:H265"/>
    <mergeCell ref="F266:H266"/>
    <mergeCell ref="F1503:H1503"/>
    <mergeCell ref="E1406:E1411"/>
    <mergeCell ref="D1406:D1411"/>
    <mergeCell ref="E1400:E1405"/>
    <mergeCell ref="D1400:D1405"/>
    <mergeCell ref="E1394:E1399"/>
    <mergeCell ref="D1394:D1399"/>
    <mergeCell ref="E1388:E1393"/>
    <mergeCell ref="D1388:D1393"/>
    <mergeCell ref="E1412:E1417"/>
    <mergeCell ref="D1412:D1417"/>
    <mergeCell ref="F1458:H1458"/>
    <mergeCell ref="F1476:H1476"/>
    <mergeCell ref="F1483:H1483"/>
    <mergeCell ref="F1489:H1489"/>
    <mergeCell ref="F1495:H1495"/>
    <mergeCell ref="F1501:H1501"/>
    <mergeCell ref="D1497:D1502"/>
    <mergeCell ref="E1497:E1502"/>
    <mergeCell ref="F1485:H1485"/>
    <mergeCell ref="D1467:D1472"/>
    <mergeCell ref="E1467:E1472"/>
    <mergeCell ref="F1468:H1468"/>
    <mergeCell ref="F1480:H1480"/>
    <mergeCell ref="F1463:H1463"/>
    <mergeCell ref="F1402:H1402"/>
    <mergeCell ref="F1403:H1403"/>
    <mergeCell ref="F1404:H1404"/>
    <mergeCell ref="F1357:H1357"/>
    <mergeCell ref="F1358:H1358"/>
    <mergeCell ref="D1267:D1312"/>
    <mergeCell ref="F1355:H1355"/>
    <mergeCell ref="E1364:E1369"/>
    <mergeCell ref="D1364:D1369"/>
    <mergeCell ref="E1358:E1363"/>
    <mergeCell ref="D1358:D1363"/>
    <mergeCell ref="E1352:E1357"/>
    <mergeCell ref="D1352:D1357"/>
    <mergeCell ref="F1367:H1367"/>
    <mergeCell ref="F1368:H1368"/>
    <mergeCell ref="F1369:H1369"/>
    <mergeCell ref="F1364:H1364"/>
    <mergeCell ref="F1365:H1365"/>
    <mergeCell ref="F1366:H1366"/>
    <mergeCell ref="F1359:H1359"/>
    <mergeCell ref="F1360:H1360"/>
    <mergeCell ref="F1361:H1361"/>
    <mergeCell ref="F1362:H1362"/>
    <mergeCell ref="F1363:H1363"/>
    <mergeCell ref="F1350:H1350"/>
    <mergeCell ref="F1352:H1352"/>
    <mergeCell ref="E1267:E1312"/>
    <mergeCell ref="F1372:H1372"/>
    <mergeCell ref="F1373:H1373"/>
    <mergeCell ref="F1374:H1374"/>
    <mergeCell ref="F1375:H1375"/>
    <mergeCell ref="F1376:H1376"/>
    <mergeCell ref="D1504:D1515"/>
    <mergeCell ref="E1504:E1515"/>
    <mergeCell ref="D1382:D1387"/>
    <mergeCell ref="D2519:D2711"/>
    <mergeCell ref="E2519:E2711"/>
    <mergeCell ref="D2326:D2518"/>
    <mergeCell ref="E2326:E2518"/>
    <mergeCell ref="D715:D786"/>
    <mergeCell ref="E715:E786"/>
    <mergeCell ref="D643:D714"/>
    <mergeCell ref="D1124:D1150"/>
    <mergeCell ref="E1124:E1150"/>
    <mergeCell ref="D1221:D1266"/>
    <mergeCell ref="E1221:E1266"/>
    <mergeCell ref="D1151:D1219"/>
    <mergeCell ref="E1151:E1219"/>
    <mergeCell ref="D1070:D1096"/>
    <mergeCell ref="E1070:E1096"/>
    <mergeCell ref="D1016:D1042"/>
    <mergeCell ref="E1016:E1042"/>
    <mergeCell ref="D1043:D1069"/>
    <mergeCell ref="D1940:D2132"/>
    <mergeCell ref="E1940:E2132"/>
    <mergeCell ref="E643:E714"/>
    <mergeCell ref="E1043:E1069"/>
    <mergeCell ref="E1376:E1381"/>
    <mergeCell ref="D1376:D1381"/>
    <mergeCell ref="E1370:E1375"/>
    <mergeCell ref="D1370:D1375"/>
    <mergeCell ref="F2155:I2155"/>
    <mergeCell ref="F2156:I2156"/>
    <mergeCell ref="F2157:I2157"/>
    <mergeCell ref="F2158:I2158"/>
    <mergeCell ref="F2159:I2159"/>
    <mergeCell ref="F2160:I2160"/>
    <mergeCell ref="F2149:I2149"/>
    <mergeCell ref="E570:E641"/>
    <mergeCell ref="D570:D641"/>
    <mergeCell ref="E4064:E4449"/>
    <mergeCell ref="D4064:D4449"/>
    <mergeCell ref="D3678:D4063"/>
    <mergeCell ref="E3678:E4063"/>
    <mergeCell ref="D1485:D1490"/>
    <mergeCell ref="E1485:E1490"/>
    <mergeCell ref="D1491:D1496"/>
    <mergeCell ref="E1491:E1496"/>
    <mergeCell ref="D1461:D1466"/>
    <mergeCell ref="E1461:E1466"/>
    <mergeCell ref="D1455:D1460"/>
    <mergeCell ref="E1455:E1460"/>
    <mergeCell ref="D1097:D1123"/>
    <mergeCell ref="E1097:E1123"/>
    <mergeCell ref="D989:D1015"/>
    <mergeCell ref="E989:E1015"/>
    <mergeCell ref="E1382:E1387"/>
    <mergeCell ref="D2712:D2904"/>
    <mergeCell ref="D2905:D3097"/>
    <mergeCell ref="E2905:E3097"/>
    <mergeCell ref="D3484:D3676"/>
    <mergeCell ref="E3484:E3676"/>
    <mergeCell ref="E1516:E1527"/>
    <mergeCell ref="V3291:V3483"/>
    <mergeCell ref="D3098:D3290"/>
    <mergeCell ref="E3098:E3290"/>
    <mergeCell ref="V3098:V3290"/>
    <mergeCell ref="F3099:I3099"/>
    <mergeCell ref="F3100:I3100"/>
    <mergeCell ref="F3101:I3101"/>
    <mergeCell ref="F3102:I3102"/>
    <mergeCell ref="F3103:I3103"/>
    <mergeCell ref="F3104:I3104"/>
    <mergeCell ref="F3105:I3105"/>
    <mergeCell ref="F3106:I3106"/>
    <mergeCell ref="F3107:I3107"/>
    <mergeCell ref="F3108:I3108"/>
    <mergeCell ref="F3109:I3109"/>
    <mergeCell ref="F3110:I3110"/>
    <mergeCell ref="F3111:I3111"/>
    <mergeCell ref="F3112:I3112"/>
    <mergeCell ref="F3113:I3113"/>
    <mergeCell ref="F3124:I3124"/>
    <mergeCell ref="F3125:I3125"/>
    <mergeCell ref="F3126:I3126"/>
    <mergeCell ref="F3127:I3127"/>
    <mergeCell ref="F3128:I3128"/>
    <mergeCell ref="F3129:I3129"/>
    <mergeCell ref="F3130:I3130"/>
    <mergeCell ref="F3131:I3131"/>
    <mergeCell ref="F3132:I3132"/>
    <mergeCell ref="F3115:I3115"/>
    <mergeCell ref="F3116:I3116"/>
    <mergeCell ref="F3117:I3117"/>
    <mergeCell ref="F3118:I3118"/>
    <mergeCell ref="F1517:H1517"/>
    <mergeCell ref="F1518:H1518"/>
    <mergeCell ref="F1519:H1519"/>
    <mergeCell ref="F1520:H1520"/>
    <mergeCell ref="F1521:H1521"/>
    <mergeCell ref="F1511:H1511"/>
    <mergeCell ref="V3678:V4063"/>
    <mergeCell ref="V4064:V4449"/>
    <mergeCell ref="V1530:AH1530"/>
    <mergeCell ref="V2326:V2518"/>
    <mergeCell ref="V2133:V2325"/>
    <mergeCell ref="P1940:R1940"/>
    <mergeCell ref="V1940:V2132"/>
    <mergeCell ref="F1512:H1512"/>
    <mergeCell ref="F1513:H1513"/>
    <mergeCell ref="F1514:H1514"/>
    <mergeCell ref="F1515:H1515"/>
    <mergeCell ref="V2712:V2904"/>
    <mergeCell ref="P1958:R1958"/>
    <mergeCell ref="F1940:I1940"/>
    <mergeCell ref="F1941:I1941"/>
    <mergeCell ref="F1516:H1516"/>
    <mergeCell ref="F1526:H1526"/>
    <mergeCell ref="F1527:H1527"/>
    <mergeCell ref="V3484:V3676"/>
    <mergeCell ref="V2905:V3097"/>
    <mergeCell ref="F1942:I1942"/>
    <mergeCell ref="F1943:I1943"/>
    <mergeCell ref="F1944:I1944"/>
    <mergeCell ref="F1945:I1945"/>
    <mergeCell ref="F1946:I1946"/>
    <mergeCell ref="F3114:I3114"/>
    <mergeCell ref="F1504:H1504"/>
    <mergeCell ref="F1522:H1522"/>
    <mergeCell ref="F1523:H1523"/>
    <mergeCell ref="F1524:H1524"/>
    <mergeCell ref="F1525:H1525"/>
    <mergeCell ref="F1505:H1505"/>
    <mergeCell ref="F1506:H1506"/>
    <mergeCell ref="F1507:H1507"/>
    <mergeCell ref="F1508:H1508"/>
    <mergeCell ref="F1509:H1509"/>
    <mergeCell ref="F1510:H1510"/>
    <mergeCell ref="D1516:D1527"/>
    <mergeCell ref="V1485:V1490"/>
    <mergeCell ref="F1486:H1486"/>
    <mergeCell ref="F1487:H1487"/>
    <mergeCell ref="F1488:H1488"/>
    <mergeCell ref="F1490:H1490"/>
    <mergeCell ref="L1485:L1490"/>
    <mergeCell ref="V1497:V1502"/>
    <mergeCell ref="F1498:H1498"/>
    <mergeCell ref="F1499:H1499"/>
    <mergeCell ref="F1500:H1500"/>
    <mergeCell ref="F1502:H1502"/>
    <mergeCell ref="F1491:H1491"/>
    <mergeCell ref="V1491:V1496"/>
    <mergeCell ref="F1492:H1492"/>
    <mergeCell ref="F1493:H1493"/>
    <mergeCell ref="F1494:H1494"/>
    <mergeCell ref="F1496:H1496"/>
    <mergeCell ref="L1497:L1502"/>
    <mergeCell ref="F1497:H1497"/>
    <mergeCell ref="V1516:V1527"/>
    <mergeCell ref="L1467:L1470"/>
    <mergeCell ref="V1467:V1472"/>
    <mergeCell ref="F1469:H1469"/>
    <mergeCell ref="F1467:H1467"/>
    <mergeCell ref="F1471:H1471"/>
    <mergeCell ref="L1471:L1472"/>
    <mergeCell ref="F1472:H1472"/>
    <mergeCell ref="P1470:R1470"/>
    <mergeCell ref="F1470:H1470"/>
    <mergeCell ref="F1481:H1481"/>
    <mergeCell ref="F1482:H1482"/>
    <mergeCell ref="F1484:H1484"/>
    <mergeCell ref="D1473:D1478"/>
    <mergeCell ref="E1473:E1478"/>
    <mergeCell ref="F1474:H1474"/>
    <mergeCell ref="L1473:L1478"/>
    <mergeCell ref="V1473:V1478"/>
    <mergeCell ref="F1475:H1475"/>
    <mergeCell ref="F1473:H1473"/>
    <mergeCell ref="F1477:H1477"/>
    <mergeCell ref="F1478:H1478"/>
    <mergeCell ref="L1479:L1484"/>
    <mergeCell ref="D1479:D1484"/>
    <mergeCell ref="E1479:E1484"/>
    <mergeCell ref="F1479:H1479"/>
    <mergeCell ref="V1420:AH1420"/>
    <mergeCell ref="F1454:H1454"/>
    <mergeCell ref="L1461:L1466"/>
    <mergeCell ref="F1456:H1456"/>
    <mergeCell ref="L1455:L1460"/>
    <mergeCell ref="V1455:V1460"/>
    <mergeCell ref="F1457:H1457"/>
    <mergeCell ref="F1455:H1455"/>
    <mergeCell ref="F1459:H1459"/>
    <mergeCell ref="P1455:R1455"/>
    <mergeCell ref="T1456:T1460"/>
    <mergeCell ref="F1460:H1460"/>
    <mergeCell ref="F1462:H1462"/>
    <mergeCell ref="F1464:H1464"/>
    <mergeCell ref="F1386:H1386"/>
    <mergeCell ref="F1387:H1387"/>
    <mergeCell ref="F1394:H1394"/>
    <mergeCell ref="V1412:V1417"/>
    <mergeCell ref="F1413:H1413"/>
    <mergeCell ref="F1414:H1414"/>
    <mergeCell ref="F1415:H1415"/>
    <mergeCell ref="F1416:H1416"/>
    <mergeCell ref="F1417:H1417"/>
    <mergeCell ref="F1406:H1406"/>
    <mergeCell ref="V1406:V1411"/>
    <mergeCell ref="F1407:H1407"/>
    <mergeCell ref="F1408:H1408"/>
    <mergeCell ref="F1409:H1409"/>
    <mergeCell ref="F1410:H1410"/>
    <mergeCell ref="F1411:H1411"/>
    <mergeCell ref="F1400:H1400"/>
    <mergeCell ref="V1400:V1405"/>
    <mergeCell ref="F1405:H1405"/>
    <mergeCell ref="F1412:H1412"/>
    <mergeCell ref="V1352:V1357"/>
    <mergeCell ref="F1353:H1353"/>
    <mergeCell ref="F1354:H1354"/>
    <mergeCell ref="V1394:V1399"/>
    <mergeCell ref="F1395:H1395"/>
    <mergeCell ref="F1396:H1396"/>
    <mergeCell ref="F1397:H1397"/>
    <mergeCell ref="F1398:H1398"/>
    <mergeCell ref="F1399:H1399"/>
    <mergeCell ref="F1388:H1388"/>
    <mergeCell ref="V1388:V1393"/>
    <mergeCell ref="F1389:H1389"/>
    <mergeCell ref="F1390:H1390"/>
    <mergeCell ref="F1391:H1391"/>
    <mergeCell ref="F1392:H1392"/>
    <mergeCell ref="F1393:H1393"/>
    <mergeCell ref="F1382:H1382"/>
    <mergeCell ref="V1382:V1387"/>
    <mergeCell ref="F1383:H1383"/>
    <mergeCell ref="F1384:H1384"/>
    <mergeCell ref="F1385:H1385"/>
    <mergeCell ref="V1376:V1381"/>
    <mergeCell ref="F1377:H1377"/>
    <mergeCell ref="F1378:H1378"/>
    <mergeCell ref="F1379:H1379"/>
    <mergeCell ref="F1380:H1380"/>
    <mergeCell ref="F1381:H1381"/>
    <mergeCell ref="F1370:H1370"/>
    <mergeCell ref="V1370:V1375"/>
    <mergeCell ref="F1371:H1371"/>
    <mergeCell ref="V1016:V1042"/>
    <mergeCell ref="L1043:L1069"/>
    <mergeCell ref="F880:H880"/>
    <mergeCell ref="V881:V907"/>
    <mergeCell ref="V789:AH789"/>
    <mergeCell ref="D908:D934"/>
    <mergeCell ref="E908:E934"/>
    <mergeCell ref="D881:D907"/>
    <mergeCell ref="E881:E907"/>
    <mergeCell ref="V962:V988"/>
    <mergeCell ref="V908:V934"/>
    <mergeCell ref="V935:V961"/>
    <mergeCell ref="L937:L943"/>
    <mergeCell ref="L908:L934"/>
    <mergeCell ref="D962:D988"/>
    <mergeCell ref="E962:E988"/>
    <mergeCell ref="D935:D961"/>
    <mergeCell ref="E935:E961"/>
    <mergeCell ref="N883:Q883"/>
    <mergeCell ref="N894:Q894"/>
    <mergeCell ref="N901:Q901"/>
    <mergeCell ref="F1043:H1043"/>
    <mergeCell ref="F1044:H1044"/>
    <mergeCell ref="F1045:H1045"/>
    <mergeCell ref="F1046:H1046"/>
    <mergeCell ref="F1047:H1047"/>
    <mergeCell ref="F1048:H1048"/>
    <mergeCell ref="F1049:H1049"/>
    <mergeCell ref="F1050:H1050"/>
    <mergeCell ref="F1051:H1051"/>
    <mergeCell ref="F1052:H1052"/>
    <mergeCell ref="F1053:H1053"/>
    <mergeCell ref="F1356:H1356"/>
    <mergeCell ref="F268:H268"/>
    <mergeCell ref="F269:H269"/>
    <mergeCell ref="F270:H270"/>
    <mergeCell ref="F271:H271"/>
    <mergeCell ref="F212:H212"/>
    <mergeCell ref="F280:H280"/>
    <mergeCell ref="F281:H281"/>
    <mergeCell ref="F246:H246"/>
    <mergeCell ref="F276:H276"/>
    <mergeCell ref="F214:H214"/>
    <mergeCell ref="F230:H230"/>
    <mergeCell ref="F231:H231"/>
    <mergeCell ref="F232:H232"/>
    <mergeCell ref="F233:H233"/>
    <mergeCell ref="F234:H234"/>
    <mergeCell ref="F277:H277"/>
    <mergeCell ref="F220:H220"/>
    <mergeCell ref="F242:H242"/>
    <mergeCell ref="F243:H243"/>
    <mergeCell ref="F244:H244"/>
    <mergeCell ref="F245:H245"/>
    <mergeCell ref="F248:H248"/>
    <mergeCell ref="F249:H249"/>
    <mergeCell ref="F250:H250"/>
    <mergeCell ref="F251:H251"/>
    <mergeCell ref="F252:H252"/>
    <mergeCell ref="F253:H253"/>
    <mergeCell ref="F254:H254"/>
    <mergeCell ref="F255:H255"/>
    <mergeCell ref="F256:H256"/>
    <mergeCell ref="F257:H257"/>
    <mergeCell ref="V101:V112"/>
    <mergeCell ref="F102:H102"/>
    <mergeCell ref="O102:P102"/>
    <mergeCell ref="F103:H103"/>
    <mergeCell ref="O103:P103"/>
    <mergeCell ref="F104:H104"/>
    <mergeCell ref="O104:P104"/>
    <mergeCell ref="F105:H105"/>
    <mergeCell ref="O105:P105"/>
    <mergeCell ref="F106:H106"/>
    <mergeCell ref="O101:Q101"/>
    <mergeCell ref="F107:H107"/>
    <mergeCell ref="T209:T212"/>
    <mergeCell ref="F210:H210"/>
    <mergeCell ref="F211:H211"/>
    <mergeCell ref="F108:H108"/>
    <mergeCell ref="F109:H109"/>
    <mergeCell ref="F110:H110"/>
    <mergeCell ref="F111:H111"/>
    <mergeCell ref="F112:H112"/>
    <mergeCell ref="B115:Q115"/>
    <mergeCell ref="D210:D281"/>
    <mergeCell ref="E210:E281"/>
    <mergeCell ref="F274:H274"/>
    <mergeCell ref="F275:H275"/>
    <mergeCell ref="F247:H247"/>
    <mergeCell ref="F223:H223"/>
    <mergeCell ref="F224:H224"/>
    <mergeCell ref="F225:H225"/>
    <mergeCell ref="F226:H226"/>
    <mergeCell ref="F227:H227"/>
    <mergeCell ref="F228:H228"/>
    <mergeCell ref="D101:D112"/>
    <mergeCell ref="F279:H279"/>
    <mergeCell ref="F95:H95"/>
    <mergeCell ref="O95:R95"/>
    <mergeCell ref="F96:H96"/>
    <mergeCell ref="F97:H97"/>
    <mergeCell ref="F88:H88"/>
    <mergeCell ref="P208:R208"/>
    <mergeCell ref="F83:H83"/>
    <mergeCell ref="F84:H84"/>
    <mergeCell ref="F85:H85"/>
    <mergeCell ref="F86:H86"/>
    <mergeCell ref="F87:H87"/>
    <mergeCell ref="D89:D100"/>
    <mergeCell ref="E89:E100"/>
    <mergeCell ref="F89:H89"/>
    <mergeCell ref="D76:D87"/>
    <mergeCell ref="E76:E87"/>
    <mergeCell ref="F76:H76"/>
    <mergeCell ref="E101:E112"/>
    <mergeCell ref="F101:H101"/>
    <mergeCell ref="F258:H258"/>
    <mergeCell ref="F259:H259"/>
    <mergeCell ref="F260:H260"/>
    <mergeCell ref="F209:H209"/>
    <mergeCell ref="F240:H240"/>
    <mergeCell ref="F229:H229"/>
    <mergeCell ref="F261:H261"/>
    <mergeCell ref="F262:H262"/>
    <mergeCell ref="F263:H263"/>
    <mergeCell ref="F264:H264"/>
    <mergeCell ref="F241:H241"/>
    <mergeCell ref="V76:V87"/>
    <mergeCell ref="F77:H77"/>
    <mergeCell ref="F78:H78"/>
    <mergeCell ref="F79:H79"/>
    <mergeCell ref="F80:H80"/>
    <mergeCell ref="F81:H81"/>
    <mergeCell ref="F82:H82"/>
    <mergeCell ref="O97:P97"/>
    <mergeCell ref="F98:H98"/>
    <mergeCell ref="O98:P98"/>
    <mergeCell ref="F99:H99"/>
    <mergeCell ref="F100:H100"/>
    <mergeCell ref="V89:V100"/>
    <mergeCell ref="F90:H90"/>
    <mergeCell ref="F91:H91"/>
    <mergeCell ref="F92:H92"/>
    <mergeCell ref="F93:H93"/>
    <mergeCell ref="F94:H94"/>
    <mergeCell ref="F45:H45"/>
    <mergeCell ref="F46:H46"/>
    <mergeCell ref="F47:H47"/>
    <mergeCell ref="D73:D74"/>
    <mergeCell ref="E73:E74"/>
    <mergeCell ref="F73:H73"/>
    <mergeCell ref="V73:V74"/>
    <mergeCell ref="F74:H74"/>
    <mergeCell ref="F75:H75"/>
    <mergeCell ref="F67:H67"/>
    <mergeCell ref="F68:H68"/>
    <mergeCell ref="F69:H69"/>
    <mergeCell ref="F70:H70"/>
    <mergeCell ref="F71:H71"/>
    <mergeCell ref="J71:J72"/>
    <mergeCell ref="F72:H72"/>
    <mergeCell ref="F61:H61"/>
    <mergeCell ref="F62:H62"/>
    <mergeCell ref="F63:H63"/>
    <mergeCell ref="F64:H64"/>
    <mergeCell ref="F65:H65"/>
    <mergeCell ref="F66:H66"/>
    <mergeCell ref="F48:H48"/>
    <mergeCell ref="F49:H49"/>
    <mergeCell ref="F50:H50"/>
    <mergeCell ref="F51:H51"/>
    <mergeCell ref="F52:H52"/>
    <mergeCell ref="F53:H53"/>
    <mergeCell ref="V282:V353"/>
    <mergeCell ref="V210:V281"/>
    <mergeCell ref="V354:V425"/>
    <mergeCell ref="V426:V497"/>
    <mergeCell ref="V498:V569"/>
    <mergeCell ref="V570:V641"/>
    <mergeCell ref="V643:V714"/>
    <mergeCell ref="V715:V786"/>
    <mergeCell ref="A1:O1"/>
    <mergeCell ref="P1:R1"/>
    <mergeCell ref="D2:J2"/>
    <mergeCell ref="B4:Q4"/>
    <mergeCell ref="V4:AH4"/>
    <mergeCell ref="F40:H40"/>
    <mergeCell ref="F54:H54"/>
    <mergeCell ref="F55:H55"/>
    <mergeCell ref="D56:D67"/>
    <mergeCell ref="E56:E67"/>
    <mergeCell ref="F56:H56"/>
    <mergeCell ref="V56:V67"/>
    <mergeCell ref="F57:H57"/>
    <mergeCell ref="F58:H58"/>
    <mergeCell ref="F59:H59"/>
    <mergeCell ref="F60:H60"/>
    <mergeCell ref="D41:D52"/>
    <mergeCell ref="E41:E52"/>
    <mergeCell ref="V115:AH115"/>
    <mergeCell ref="F41:H41"/>
    <mergeCell ref="V41:V52"/>
    <mergeCell ref="F42:H42"/>
    <mergeCell ref="F43:H43"/>
    <mergeCell ref="F44:H44"/>
    <mergeCell ref="V4453:AH4453"/>
    <mergeCell ref="F4572:H4572"/>
    <mergeCell ref="F4573:H4573"/>
    <mergeCell ref="D4574:D4575"/>
    <mergeCell ref="E4574:E4575"/>
    <mergeCell ref="F4574:H4574"/>
    <mergeCell ref="V4574:V4575"/>
    <mergeCell ref="F4575:H4575"/>
    <mergeCell ref="D4576:D4579"/>
    <mergeCell ref="E4576:E4579"/>
    <mergeCell ref="F4576:H4576"/>
    <mergeCell ref="V4576:V4579"/>
    <mergeCell ref="F4577:H4577"/>
    <mergeCell ref="F4578:H4578"/>
    <mergeCell ref="F4579:H4579"/>
    <mergeCell ref="D4580:D4583"/>
    <mergeCell ref="E4580:E4583"/>
    <mergeCell ref="V4580:V4583"/>
    <mergeCell ref="F4580:H4580"/>
    <mergeCell ref="F4581:H4581"/>
    <mergeCell ref="F4582:H4582"/>
    <mergeCell ref="F4583:H4583"/>
    <mergeCell ref="V4587:V4589"/>
    <mergeCell ref="F4589:H4589"/>
    <mergeCell ref="F4588:H4588"/>
    <mergeCell ref="F4594:H4594"/>
    <mergeCell ref="F4595:H4595"/>
    <mergeCell ref="D4598:D4599"/>
    <mergeCell ref="E4598:E4599"/>
    <mergeCell ref="F4598:H4598"/>
    <mergeCell ref="V4598:V4599"/>
    <mergeCell ref="F4599:H4599"/>
    <mergeCell ref="V4585:V4586"/>
    <mergeCell ref="D4590:D4593"/>
    <mergeCell ref="E4590:E4593"/>
    <mergeCell ref="V4590:V4593"/>
    <mergeCell ref="F4590:H4590"/>
    <mergeCell ref="F4591:H4591"/>
    <mergeCell ref="F4592:H4592"/>
    <mergeCell ref="F4593:H4593"/>
    <mergeCell ref="D4595:D4597"/>
    <mergeCell ref="E4595:E4597"/>
    <mergeCell ref="F4597:H4597"/>
    <mergeCell ref="F4596:H4596"/>
    <mergeCell ref="V4595:V4597"/>
    <mergeCell ref="D4585:D4586"/>
    <mergeCell ref="E4585:E4586"/>
    <mergeCell ref="F4585:H4585"/>
    <mergeCell ref="F4586:H4586"/>
    <mergeCell ref="D4587:D4589"/>
    <mergeCell ref="E4587:E4589"/>
    <mergeCell ref="F4587:H4587"/>
    <mergeCell ref="F4584:H4584"/>
    <mergeCell ref="D3291:D3483"/>
    <mergeCell ref="E3291:E3483"/>
    <mergeCell ref="D2133:D2325"/>
    <mergeCell ref="E2133:E2325"/>
    <mergeCell ref="E2712:E2904"/>
    <mergeCell ref="F2137:I2137"/>
    <mergeCell ref="F2138:I2138"/>
    <mergeCell ref="F2139:I2139"/>
    <mergeCell ref="F2140:I2140"/>
    <mergeCell ref="F2141:I2141"/>
    <mergeCell ref="F2142:I2142"/>
    <mergeCell ref="F2143:I2143"/>
    <mergeCell ref="F2144:I2144"/>
    <mergeCell ref="F2145:I2145"/>
    <mergeCell ref="F2146:I2146"/>
    <mergeCell ref="F2147:I2147"/>
    <mergeCell ref="F2148:I2148"/>
    <mergeCell ref="F2150:I2150"/>
    <mergeCell ref="F2151:I2151"/>
    <mergeCell ref="F2161:I2161"/>
    <mergeCell ref="F2162:I2162"/>
    <mergeCell ref="F2163:I2163"/>
    <mergeCell ref="F2164:I2164"/>
    <mergeCell ref="F2165:I2165"/>
    <mergeCell ref="F2166:I2166"/>
    <mergeCell ref="F2167:I2167"/>
    <mergeCell ref="F2168:I2168"/>
    <mergeCell ref="F2169:I2169"/>
    <mergeCell ref="F2152:I2152"/>
    <mergeCell ref="F2153:I2153"/>
    <mergeCell ref="F2154:I2154"/>
    <mergeCell ref="F1312:H1312"/>
    <mergeCell ref="F1301:H1301"/>
    <mergeCell ref="F1302:H1302"/>
    <mergeCell ref="F1303:H1303"/>
    <mergeCell ref="F1304:H1304"/>
    <mergeCell ref="F1305:H1305"/>
    <mergeCell ref="F1306:H1306"/>
    <mergeCell ref="F1307:H1307"/>
    <mergeCell ref="F1308:H1308"/>
    <mergeCell ref="F1309:H1309"/>
    <mergeCell ref="F1310:H1310"/>
    <mergeCell ref="F1311:H1311"/>
    <mergeCell ref="F1297:H1297"/>
    <mergeCell ref="F1298:H1298"/>
    <mergeCell ref="F1299:H1299"/>
    <mergeCell ref="F1300:H1300"/>
    <mergeCell ref="F1295:H1295"/>
    <mergeCell ref="F1296:H1296"/>
    <mergeCell ref="F1293:H1293"/>
    <mergeCell ref="F1294:H1294"/>
    <mergeCell ref="F1292:H1292"/>
    <mergeCell ref="F1278:H1278"/>
    <mergeCell ref="F1279:H1279"/>
    <mergeCell ref="F1280:H1280"/>
    <mergeCell ref="F1281:H1281"/>
    <mergeCell ref="F1282:H1282"/>
    <mergeCell ref="F1283:H1283"/>
    <mergeCell ref="F1284:H1284"/>
    <mergeCell ref="F1285:H1285"/>
    <mergeCell ref="F1286:H1286"/>
    <mergeCell ref="F1287:H1287"/>
    <mergeCell ref="F1288:H1288"/>
    <mergeCell ref="F1289:H1289"/>
    <mergeCell ref="F1290:H1290"/>
    <mergeCell ref="F1291:H1291"/>
    <mergeCell ref="F1267:H1267"/>
    <mergeCell ref="F1268:H1268"/>
    <mergeCell ref="F1269:H1269"/>
    <mergeCell ref="F1270:H1270"/>
    <mergeCell ref="F1271:H1271"/>
    <mergeCell ref="F1272:H1272"/>
    <mergeCell ref="F1273:H1273"/>
    <mergeCell ref="F1274:H1274"/>
    <mergeCell ref="F1275:H1275"/>
    <mergeCell ref="F1276:H1276"/>
    <mergeCell ref="F1277:H1277"/>
    <mergeCell ref="F1221:H1221"/>
    <mergeCell ref="F1222:H1222"/>
    <mergeCell ref="F1223:H1223"/>
    <mergeCell ref="F1224:H1224"/>
    <mergeCell ref="F1225:H1225"/>
    <mergeCell ref="F1226:H1226"/>
    <mergeCell ref="F1227:H1227"/>
    <mergeCell ref="F1228:H1228"/>
    <mergeCell ref="F1229:H1229"/>
    <mergeCell ref="F1230:H1230"/>
    <mergeCell ref="F1231:H1231"/>
    <mergeCell ref="F1232:H1232"/>
    <mergeCell ref="F1233:H1233"/>
    <mergeCell ref="F1234:H1234"/>
    <mergeCell ref="F1235:H1235"/>
    <mergeCell ref="F1236:H1236"/>
    <mergeCell ref="F1237:H1237"/>
    <mergeCell ref="F1238:H1238"/>
    <mergeCell ref="F1239:H1239"/>
    <mergeCell ref="F1240:H1240"/>
    <mergeCell ref="F1241:H1241"/>
    <mergeCell ref="F1242:H1242"/>
    <mergeCell ref="F1243:H1243"/>
    <mergeCell ref="F1244:H1244"/>
    <mergeCell ref="F1245:H1245"/>
    <mergeCell ref="F1246:H1246"/>
    <mergeCell ref="F1247:H1247"/>
    <mergeCell ref="F1248:H1248"/>
    <mergeCell ref="F1249:H1249"/>
    <mergeCell ref="F1250:H1250"/>
    <mergeCell ref="F1251:H1251"/>
    <mergeCell ref="F1252:H1252"/>
    <mergeCell ref="F1253:H1253"/>
    <mergeCell ref="F1254:H1254"/>
    <mergeCell ref="F1255:H1255"/>
    <mergeCell ref="F1256:H1256"/>
    <mergeCell ref="F1257:H1257"/>
    <mergeCell ref="F1258:H1258"/>
    <mergeCell ref="F1259:H1259"/>
    <mergeCell ref="F1260:H1260"/>
    <mergeCell ref="F1261:H1261"/>
    <mergeCell ref="F1262:H1262"/>
    <mergeCell ref="F1263:H1263"/>
    <mergeCell ref="F1264:H1264"/>
    <mergeCell ref="F1265:H1265"/>
    <mergeCell ref="F1266:H1266"/>
    <mergeCell ref="F1151:H1151"/>
    <mergeCell ref="F1152:H1152"/>
    <mergeCell ref="F1153:H1153"/>
    <mergeCell ref="F1154:H1154"/>
    <mergeCell ref="F1155:H1155"/>
    <mergeCell ref="F1156:H1156"/>
    <mergeCell ref="F1157:H1157"/>
    <mergeCell ref="F1158:H1158"/>
    <mergeCell ref="F1159:H1159"/>
    <mergeCell ref="F1160:H1160"/>
    <mergeCell ref="F1161:H1161"/>
    <mergeCell ref="F1162:H1162"/>
    <mergeCell ref="F1163:H1163"/>
    <mergeCell ref="F1164:H1164"/>
    <mergeCell ref="F1165:H1165"/>
    <mergeCell ref="F1166:H1166"/>
    <mergeCell ref="F1167:H1167"/>
    <mergeCell ref="F1168:H1168"/>
    <mergeCell ref="F1169:H1169"/>
    <mergeCell ref="F1170:H1170"/>
    <mergeCell ref="F1171:H1171"/>
    <mergeCell ref="F1172:H1172"/>
    <mergeCell ref="F1173:H1173"/>
    <mergeCell ref="F1174:H1174"/>
    <mergeCell ref="F1175:H1175"/>
    <mergeCell ref="F1176:H1176"/>
    <mergeCell ref="F1177:H1177"/>
    <mergeCell ref="F1178:H1178"/>
    <mergeCell ref="F1179:H1179"/>
    <mergeCell ref="F1180:H1180"/>
    <mergeCell ref="F1181:H1181"/>
    <mergeCell ref="F1182:H1182"/>
    <mergeCell ref="F1183:H1183"/>
    <mergeCell ref="F1184:H1184"/>
    <mergeCell ref="F1185:H1185"/>
    <mergeCell ref="F1186:H1186"/>
    <mergeCell ref="F1187:H1187"/>
    <mergeCell ref="F1188:H1188"/>
    <mergeCell ref="F1189:H1189"/>
    <mergeCell ref="F1190:H1190"/>
    <mergeCell ref="F1191:H1191"/>
    <mergeCell ref="F1192:H1192"/>
    <mergeCell ref="F1193:H1193"/>
    <mergeCell ref="F1194:H1194"/>
    <mergeCell ref="F1195:H1195"/>
    <mergeCell ref="F1196:H1196"/>
    <mergeCell ref="F1220:H1220"/>
    <mergeCell ref="F1204:H1204"/>
    <mergeCell ref="F1205:H1205"/>
    <mergeCell ref="F1206:H1206"/>
    <mergeCell ref="F1207:H1207"/>
    <mergeCell ref="F1208:H1208"/>
    <mergeCell ref="F1209:H1209"/>
    <mergeCell ref="F1210:H1210"/>
    <mergeCell ref="F1211:H1211"/>
    <mergeCell ref="F1212:H1212"/>
    <mergeCell ref="F1213:H1213"/>
    <mergeCell ref="F1214:H1214"/>
    <mergeCell ref="F1215:H1215"/>
    <mergeCell ref="F1216:H1216"/>
    <mergeCell ref="F1217:H1217"/>
    <mergeCell ref="F1218:H1218"/>
    <mergeCell ref="F1219:H1219"/>
    <mergeCell ref="F1200:H1200"/>
    <mergeCell ref="F1201:H1201"/>
    <mergeCell ref="F1202:H1202"/>
    <mergeCell ref="F1203:H1203"/>
    <mergeCell ref="F1197:H1197"/>
    <mergeCell ref="F1198:H1198"/>
    <mergeCell ref="F1199:H1199"/>
    <mergeCell ref="F1148:H1148"/>
    <mergeCell ref="F1149:H1149"/>
    <mergeCell ref="F1150:H1150"/>
    <mergeCell ref="F1147:H1147"/>
    <mergeCell ref="F1141:H1141"/>
    <mergeCell ref="F1142:H1142"/>
    <mergeCell ref="F1143:H1143"/>
    <mergeCell ref="F1144:H1144"/>
    <mergeCell ref="F1145:H1145"/>
    <mergeCell ref="F1146:H1146"/>
    <mergeCell ref="F1139:H1139"/>
    <mergeCell ref="F1140:H1140"/>
    <mergeCell ref="F1130:H1130"/>
    <mergeCell ref="F1131:H1131"/>
    <mergeCell ref="F1132:H1132"/>
    <mergeCell ref="F1133:H1133"/>
    <mergeCell ref="F1134:H1134"/>
    <mergeCell ref="F1135:H1135"/>
    <mergeCell ref="F1136:H1136"/>
    <mergeCell ref="F1137:H1137"/>
    <mergeCell ref="F1138:H1138"/>
    <mergeCell ref="F1124:H1124"/>
    <mergeCell ref="F1125:H1125"/>
    <mergeCell ref="F1126:H1126"/>
    <mergeCell ref="F1127:H1127"/>
    <mergeCell ref="F1128:H1128"/>
    <mergeCell ref="F1129:H1129"/>
    <mergeCell ref="F1098:H1098"/>
    <mergeCell ref="F1099:H1099"/>
    <mergeCell ref="F1100:H1100"/>
    <mergeCell ref="F1101:H1101"/>
    <mergeCell ref="F1102:H1102"/>
    <mergeCell ref="F1103:H1103"/>
    <mergeCell ref="F1104:H1104"/>
    <mergeCell ref="F1105:H1105"/>
    <mergeCell ref="F1106:H1106"/>
    <mergeCell ref="F1107:H1107"/>
    <mergeCell ref="F1108:H1108"/>
    <mergeCell ref="F1109:H1109"/>
    <mergeCell ref="F1110:H1110"/>
    <mergeCell ref="F1111:H1111"/>
    <mergeCell ref="F1112:H1112"/>
    <mergeCell ref="F1113:H1113"/>
    <mergeCell ref="F1114:H1114"/>
    <mergeCell ref="F1115:H1115"/>
    <mergeCell ref="F1116:H1116"/>
    <mergeCell ref="F1117:H1117"/>
    <mergeCell ref="F1118:H1118"/>
    <mergeCell ref="F1119:H1119"/>
    <mergeCell ref="F1120:H1120"/>
    <mergeCell ref="F1121:H1121"/>
    <mergeCell ref="F1122:H1122"/>
    <mergeCell ref="F1123:H1123"/>
    <mergeCell ref="F1097:H1097"/>
    <mergeCell ref="F1070:H1070"/>
    <mergeCell ref="F1071:H1071"/>
    <mergeCell ref="F1072:H1072"/>
    <mergeCell ref="F1073:H1073"/>
    <mergeCell ref="F1074:H1074"/>
    <mergeCell ref="F1075:H1075"/>
    <mergeCell ref="F1076:H1076"/>
    <mergeCell ref="F1077:H1077"/>
    <mergeCell ref="F1078:H1078"/>
    <mergeCell ref="F1079:H1079"/>
    <mergeCell ref="F1080:H1080"/>
    <mergeCell ref="F1081:H1081"/>
    <mergeCell ref="F1082:H1082"/>
    <mergeCell ref="F1083:H1083"/>
    <mergeCell ref="F1084:H1084"/>
    <mergeCell ref="F1085:H1085"/>
    <mergeCell ref="F1086:H1086"/>
    <mergeCell ref="F1087:H1087"/>
    <mergeCell ref="F1088:H1088"/>
    <mergeCell ref="F1089:H1089"/>
    <mergeCell ref="F1090:H1090"/>
    <mergeCell ref="F1091:H1091"/>
    <mergeCell ref="F1092:H1092"/>
    <mergeCell ref="F1093:H1093"/>
    <mergeCell ref="F1094:H1094"/>
    <mergeCell ref="F1095:H1095"/>
    <mergeCell ref="F1096:H1096"/>
    <mergeCell ref="F1054:H1054"/>
    <mergeCell ref="F1055:H1055"/>
    <mergeCell ref="F1056:H1056"/>
    <mergeCell ref="F1057:H1057"/>
    <mergeCell ref="F1058:H1058"/>
    <mergeCell ref="F1059:H1059"/>
    <mergeCell ref="F1060:H1060"/>
    <mergeCell ref="F1061:H1061"/>
    <mergeCell ref="F1062:H1062"/>
    <mergeCell ref="F1063:H1063"/>
    <mergeCell ref="F1064:H1064"/>
    <mergeCell ref="F1065:H1065"/>
    <mergeCell ref="F1066:H1066"/>
    <mergeCell ref="F1067:H1067"/>
    <mergeCell ref="F1068:H1068"/>
    <mergeCell ref="F1069:H1069"/>
    <mergeCell ref="F1016:H1016"/>
    <mergeCell ref="F1017:H1017"/>
    <mergeCell ref="F1018:H1018"/>
    <mergeCell ref="F1019:H1019"/>
    <mergeCell ref="F1020:H1020"/>
    <mergeCell ref="F1021:H1021"/>
    <mergeCell ref="F1022:H1022"/>
    <mergeCell ref="F1023:H1023"/>
    <mergeCell ref="F1024:H1024"/>
    <mergeCell ref="F1025:H1025"/>
    <mergeCell ref="F1026:H1026"/>
    <mergeCell ref="F1027:H1027"/>
    <mergeCell ref="F1028:H1028"/>
    <mergeCell ref="F1029:H1029"/>
    <mergeCell ref="F1030:H1030"/>
    <mergeCell ref="F1031:H1031"/>
    <mergeCell ref="F1032:H1032"/>
    <mergeCell ref="F1033:H1033"/>
    <mergeCell ref="F1034:H1034"/>
    <mergeCell ref="F1035:H1035"/>
    <mergeCell ref="F1036:H1036"/>
    <mergeCell ref="F1037:H1037"/>
    <mergeCell ref="F1038:H1038"/>
    <mergeCell ref="F1039:H1039"/>
    <mergeCell ref="F1040:H1040"/>
    <mergeCell ref="F1041:H1041"/>
    <mergeCell ref="F1042:H1042"/>
    <mergeCell ref="F989:H989"/>
    <mergeCell ref="F990:H990"/>
    <mergeCell ref="F991:H991"/>
    <mergeCell ref="F992:H992"/>
    <mergeCell ref="F993:H993"/>
    <mergeCell ref="F994:H994"/>
    <mergeCell ref="F995:H995"/>
    <mergeCell ref="F996:H996"/>
    <mergeCell ref="F997:H997"/>
    <mergeCell ref="F998:H998"/>
    <mergeCell ref="F999:H999"/>
    <mergeCell ref="F1000:H1000"/>
    <mergeCell ref="F1001:H1001"/>
    <mergeCell ref="F1002:H1002"/>
    <mergeCell ref="F1003:H1003"/>
    <mergeCell ref="F1004:H1004"/>
    <mergeCell ref="F1005:H1005"/>
    <mergeCell ref="F1006:H1006"/>
    <mergeCell ref="F1007:H1007"/>
    <mergeCell ref="F1008:H1008"/>
    <mergeCell ref="F1009:H1009"/>
    <mergeCell ref="F1010:H1010"/>
    <mergeCell ref="F1011:H1011"/>
    <mergeCell ref="F1012:H1012"/>
    <mergeCell ref="F1013:H1013"/>
    <mergeCell ref="F1014:H1014"/>
    <mergeCell ref="F1015:H1015"/>
    <mergeCell ref="F962:H962"/>
    <mergeCell ref="F963:H963"/>
    <mergeCell ref="F964:H964"/>
    <mergeCell ref="F965:H965"/>
    <mergeCell ref="F966:H966"/>
    <mergeCell ref="F967:H967"/>
    <mergeCell ref="F968:H968"/>
    <mergeCell ref="F969:H969"/>
    <mergeCell ref="F970:H970"/>
    <mergeCell ref="F971:H971"/>
    <mergeCell ref="F972:H972"/>
    <mergeCell ref="F973:H973"/>
    <mergeCell ref="F974:H974"/>
    <mergeCell ref="F975:H975"/>
    <mergeCell ref="F976:H976"/>
    <mergeCell ref="F977:H977"/>
    <mergeCell ref="F978:H978"/>
    <mergeCell ref="F979:H979"/>
    <mergeCell ref="F980:H980"/>
    <mergeCell ref="F981:H981"/>
    <mergeCell ref="F982:H982"/>
    <mergeCell ref="F983:H983"/>
    <mergeCell ref="F984:H984"/>
    <mergeCell ref="F985:H985"/>
    <mergeCell ref="F986:H986"/>
    <mergeCell ref="F987:H987"/>
    <mergeCell ref="F988:H988"/>
    <mergeCell ref="F935:H935"/>
    <mergeCell ref="F936:H936"/>
    <mergeCell ref="F937:H937"/>
    <mergeCell ref="F938:H938"/>
    <mergeCell ref="F939:H939"/>
    <mergeCell ref="F940:H940"/>
    <mergeCell ref="F941:H941"/>
    <mergeCell ref="F942:H942"/>
    <mergeCell ref="F943:H943"/>
    <mergeCell ref="F944:H944"/>
    <mergeCell ref="F945:H945"/>
    <mergeCell ref="F946:H946"/>
    <mergeCell ref="F947:H947"/>
    <mergeCell ref="F948:H948"/>
    <mergeCell ref="F949:H949"/>
    <mergeCell ref="F950:H950"/>
    <mergeCell ref="F951:H951"/>
    <mergeCell ref="F952:H952"/>
    <mergeCell ref="F953:H953"/>
    <mergeCell ref="F954:H954"/>
    <mergeCell ref="F955:H955"/>
    <mergeCell ref="F956:H956"/>
    <mergeCell ref="F957:H957"/>
    <mergeCell ref="F958:H958"/>
    <mergeCell ref="F959:H959"/>
    <mergeCell ref="F960:H960"/>
    <mergeCell ref="F961:H961"/>
    <mergeCell ref="F908:H908"/>
    <mergeCell ref="F909:H909"/>
    <mergeCell ref="F910:H910"/>
    <mergeCell ref="F911:H911"/>
    <mergeCell ref="F912:H912"/>
    <mergeCell ref="F913:H913"/>
    <mergeCell ref="F914:H914"/>
    <mergeCell ref="F915:H915"/>
    <mergeCell ref="F916:H916"/>
    <mergeCell ref="F917:H917"/>
    <mergeCell ref="F918:H918"/>
    <mergeCell ref="F919:H919"/>
    <mergeCell ref="F920:H920"/>
    <mergeCell ref="F921:H921"/>
    <mergeCell ref="F922:H922"/>
    <mergeCell ref="F923:H923"/>
    <mergeCell ref="F924:H924"/>
    <mergeCell ref="F925:H925"/>
    <mergeCell ref="F926:H926"/>
    <mergeCell ref="F927:H927"/>
    <mergeCell ref="F928:H928"/>
    <mergeCell ref="F929:H929"/>
    <mergeCell ref="F930:H930"/>
    <mergeCell ref="F931:H931"/>
    <mergeCell ref="F932:H932"/>
    <mergeCell ref="F933:H933"/>
    <mergeCell ref="F934:H934"/>
    <mergeCell ref="F881:H881"/>
    <mergeCell ref="F882:H882"/>
    <mergeCell ref="F883:H883"/>
    <mergeCell ref="F884:H884"/>
    <mergeCell ref="F885:H885"/>
    <mergeCell ref="F886:H886"/>
    <mergeCell ref="F887:H887"/>
    <mergeCell ref="F888:H888"/>
    <mergeCell ref="F889:H889"/>
    <mergeCell ref="F890:H890"/>
    <mergeCell ref="F891:H891"/>
    <mergeCell ref="F892:H892"/>
    <mergeCell ref="F893:H893"/>
    <mergeCell ref="F894:H894"/>
    <mergeCell ref="F895:H895"/>
    <mergeCell ref="F896:H896"/>
    <mergeCell ref="F897:H897"/>
    <mergeCell ref="F898:H898"/>
    <mergeCell ref="F899:H899"/>
    <mergeCell ref="F900:H900"/>
    <mergeCell ref="F901:H901"/>
    <mergeCell ref="F902:H902"/>
    <mergeCell ref="F903:H903"/>
    <mergeCell ref="F904:H904"/>
    <mergeCell ref="F905:H905"/>
    <mergeCell ref="F906:H906"/>
    <mergeCell ref="F907:H907"/>
    <mergeCell ref="F785:H785"/>
    <mergeCell ref="F786:H786"/>
    <mergeCell ref="F716:H716"/>
    <mergeCell ref="F717:H717"/>
    <mergeCell ref="F718:H718"/>
    <mergeCell ref="F719:H719"/>
    <mergeCell ref="F720:H720"/>
    <mergeCell ref="F721:H721"/>
    <mergeCell ref="F722:H722"/>
    <mergeCell ref="F723:H723"/>
    <mergeCell ref="F724:H724"/>
    <mergeCell ref="F725:H725"/>
    <mergeCell ref="F726:H726"/>
    <mergeCell ref="F727:H727"/>
    <mergeCell ref="F728:H728"/>
    <mergeCell ref="F729:H729"/>
    <mergeCell ref="F730:H730"/>
    <mergeCell ref="F731:H731"/>
    <mergeCell ref="F732:H732"/>
    <mergeCell ref="F733:H733"/>
    <mergeCell ref="F734:H734"/>
    <mergeCell ref="F735:H735"/>
    <mergeCell ref="F736:H736"/>
    <mergeCell ref="F737:H737"/>
    <mergeCell ref="F738:H738"/>
    <mergeCell ref="F739:H739"/>
    <mergeCell ref="F740:H740"/>
    <mergeCell ref="F741:H741"/>
    <mergeCell ref="F742:H742"/>
    <mergeCell ref="F743:H743"/>
    <mergeCell ref="F744:H744"/>
    <mergeCell ref="F745:H745"/>
    <mergeCell ref="F746:H746"/>
    <mergeCell ref="F747:H747"/>
    <mergeCell ref="F748:H748"/>
    <mergeCell ref="F749:H749"/>
    <mergeCell ref="F750:H750"/>
    <mergeCell ref="F751:H751"/>
    <mergeCell ref="F752:H752"/>
    <mergeCell ref="F753:H753"/>
    <mergeCell ref="F754:H754"/>
    <mergeCell ref="F755:H755"/>
    <mergeCell ref="F756:H756"/>
    <mergeCell ref="F757:H757"/>
    <mergeCell ref="F758:H758"/>
    <mergeCell ref="F759:H759"/>
    <mergeCell ref="F760:H760"/>
    <mergeCell ref="F761:H761"/>
    <mergeCell ref="F762:H762"/>
    <mergeCell ref="F763:H763"/>
    <mergeCell ref="F764:H764"/>
    <mergeCell ref="F765:H765"/>
    <mergeCell ref="F766:H766"/>
    <mergeCell ref="F767:H767"/>
    <mergeCell ref="F768:H768"/>
    <mergeCell ref="F769:H769"/>
    <mergeCell ref="F770:H770"/>
    <mergeCell ref="F771:H771"/>
    <mergeCell ref="F772:H772"/>
    <mergeCell ref="F773:H773"/>
    <mergeCell ref="F774:H774"/>
    <mergeCell ref="F775:H775"/>
    <mergeCell ref="F776:H776"/>
    <mergeCell ref="F777:H777"/>
    <mergeCell ref="F778:H778"/>
    <mergeCell ref="F779:H779"/>
    <mergeCell ref="F780:H780"/>
    <mergeCell ref="F781:H781"/>
    <mergeCell ref="F782:H782"/>
    <mergeCell ref="F783:H783"/>
    <mergeCell ref="F784:H784"/>
    <mergeCell ref="F715:H715"/>
    <mergeCell ref="F643:H643"/>
    <mergeCell ref="F644:H644"/>
    <mergeCell ref="F645:H645"/>
    <mergeCell ref="F646:H646"/>
    <mergeCell ref="F647:H647"/>
    <mergeCell ref="F648:H648"/>
    <mergeCell ref="F649:H649"/>
    <mergeCell ref="F650:H650"/>
    <mergeCell ref="F651:H651"/>
    <mergeCell ref="F652:H652"/>
    <mergeCell ref="F653:H653"/>
    <mergeCell ref="F654:H654"/>
    <mergeCell ref="F655:H655"/>
    <mergeCell ref="F656:H656"/>
    <mergeCell ref="F657:H657"/>
    <mergeCell ref="F658:H658"/>
    <mergeCell ref="F659:H659"/>
    <mergeCell ref="F660:H660"/>
    <mergeCell ref="F661:H661"/>
    <mergeCell ref="F662:H662"/>
    <mergeCell ref="F663:H663"/>
    <mergeCell ref="F664:H664"/>
    <mergeCell ref="F665:H665"/>
    <mergeCell ref="F666:H666"/>
    <mergeCell ref="F667:H667"/>
    <mergeCell ref="F668:H668"/>
    <mergeCell ref="F669:H669"/>
    <mergeCell ref="F670:H670"/>
    <mergeCell ref="F671:H671"/>
    <mergeCell ref="F672:H672"/>
    <mergeCell ref="F673:H673"/>
    <mergeCell ref="F674:H674"/>
    <mergeCell ref="F675:H675"/>
    <mergeCell ref="F676:H676"/>
    <mergeCell ref="F677:H677"/>
    <mergeCell ref="F678:H678"/>
    <mergeCell ref="F679:H679"/>
    <mergeCell ref="F680:H680"/>
    <mergeCell ref="F681:H681"/>
    <mergeCell ref="F682:H682"/>
    <mergeCell ref="F683:H683"/>
    <mergeCell ref="F684:H684"/>
    <mergeCell ref="F685:H685"/>
    <mergeCell ref="F686:H686"/>
    <mergeCell ref="F687:H687"/>
    <mergeCell ref="F688:H688"/>
    <mergeCell ref="F689:H689"/>
    <mergeCell ref="F690:H690"/>
    <mergeCell ref="F691:H691"/>
    <mergeCell ref="F692:H692"/>
    <mergeCell ref="F693:H693"/>
    <mergeCell ref="F694:H694"/>
    <mergeCell ref="F695:H695"/>
    <mergeCell ref="F696:H696"/>
    <mergeCell ref="F697:H697"/>
    <mergeCell ref="F698:H698"/>
    <mergeCell ref="F699:H699"/>
    <mergeCell ref="F700:H700"/>
    <mergeCell ref="F701:H701"/>
    <mergeCell ref="F702:H702"/>
    <mergeCell ref="F703:H703"/>
    <mergeCell ref="F704:H704"/>
    <mergeCell ref="F705:H705"/>
    <mergeCell ref="F706:H706"/>
    <mergeCell ref="F707:H707"/>
    <mergeCell ref="F708:H708"/>
    <mergeCell ref="F709:H709"/>
    <mergeCell ref="F710:H710"/>
    <mergeCell ref="F711:H711"/>
    <mergeCell ref="F712:H712"/>
    <mergeCell ref="F713:H713"/>
    <mergeCell ref="F714:H714"/>
    <mergeCell ref="F642:H642"/>
    <mergeCell ref="F570:H570"/>
    <mergeCell ref="F571:H571"/>
    <mergeCell ref="F572:H572"/>
    <mergeCell ref="F573:H573"/>
    <mergeCell ref="F574:H574"/>
    <mergeCell ref="F575:H575"/>
    <mergeCell ref="F576:H576"/>
    <mergeCell ref="F577:H577"/>
    <mergeCell ref="F578:H578"/>
    <mergeCell ref="F579:H579"/>
    <mergeCell ref="F580:H580"/>
    <mergeCell ref="F581:H581"/>
    <mergeCell ref="F582:H582"/>
    <mergeCell ref="F583:H583"/>
    <mergeCell ref="F584:H584"/>
    <mergeCell ref="F585:H585"/>
    <mergeCell ref="F586:H586"/>
    <mergeCell ref="F587:H587"/>
    <mergeCell ref="F588:H588"/>
    <mergeCell ref="F589:H589"/>
    <mergeCell ref="F590:H590"/>
    <mergeCell ref="F591:H591"/>
    <mergeCell ref="F592:H592"/>
    <mergeCell ref="F593:H593"/>
    <mergeCell ref="F594:H594"/>
    <mergeCell ref="F595:H595"/>
    <mergeCell ref="F596:H596"/>
    <mergeCell ref="F597:H597"/>
    <mergeCell ref="F598:H598"/>
    <mergeCell ref="F599:H599"/>
    <mergeCell ref="F600:H600"/>
    <mergeCell ref="F601:H601"/>
    <mergeCell ref="F602:H602"/>
    <mergeCell ref="F603:H603"/>
    <mergeCell ref="F604:H604"/>
    <mergeCell ref="F605:H605"/>
    <mergeCell ref="F606:H606"/>
    <mergeCell ref="F607:H607"/>
    <mergeCell ref="F608:H608"/>
    <mergeCell ref="F609:H609"/>
    <mergeCell ref="F610:H610"/>
    <mergeCell ref="F611:H611"/>
    <mergeCell ref="F612:H612"/>
    <mergeCell ref="F613:H613"/>
    <mergeCell ref="F614:H614"/>
    <mergeCell ref="F615:H615"/>
    <mergeCell ref="F616:H616"/>
    <mergeCell ref="F617:H617"/>
    <mergeCell ref="F618:H618"/>
    <mergeCell ref="F619:H619"/>
    <mergeCell ref="F620:H620"/>
    <mergeCell ref="F621:H621"/>
    <mergeCell ref="F622:H622"/>
    <mergeCell ref="F623:H623"/>
    <mergeCell ref="F624:H624"/>
    <mergeCell ref="F625:H625"/>
    <mergeCell ref="F626:H626"/>
    <mergeCell ref="F627:H627"/>
    <mergeCell ref="F628:H628"/>
    <mergeCell ref="F629:H629"/>
    <mergeCell ref="F630:H630"/>
    <mergeCell ref="F631:H631"/>
    <mergeCell ref="F632:H632"/>
    <mergeCell ref="F633:H633"/>
    <mergeCell ref="F634:H634"/>
    <mergeCell ref="F635:H635"/>
    <mergeCell ref="F636:H636"/>
    <mergeCell ref="F637:H637"/>
    <mergeCell ref="F638:H638"/>
    <mergeCell ref="F639:H639"/>
    <mergeCell ref="F640:H640"/>
    <mergeCell ref="F641:H641"/>
    <mergeCell ref="F498:H498"/>
    <mergeCell ref="F499:H499"/>
    <mergeCell ref="F500:H500"/>
    <mergeCell ref="F501:H501"/>
    <mergeCell ref="F502:H502"/>
    <mergeCell ref="F503:H503"/>
    <mergeCell ref="F504:H504"/>
    <mergeCell ref="F505:H505"/>
    <mergeCell ref="F506:H506"/>
    <mergeCell ref="F507:H507"/>
    <mergeCell ref="F508:H508"/>
    <mergeCell ref="F509:H509"/>
    <mergeCell ref="F510:H510"/>
    <mergeCell ref="F511:H511"/>
    <mergeCell ref="F512:H512"/>
    <mergeCell ref="F513:H513"/>
    <mergeCell ref="F514:H514"/>
    <mergeCell ref="F515:H515"/>
    <mergeCell ref="F516:H516"/>
    <mergeCell ref="F517:H517"/>
    <mergeCell ref="F518:H518"/>
    <mergeCell ref="F519:H519"/>
    <mergeCell ref="F520:H520"/>
    <mergeCell ref="F521:H521"/>
    <mergeCell ref="F522:H522"/>
    <mergeCell ref="F523:H523"/>
    <mergeCell ref="F524:H524"/>
    <mergeCell ref="F525:H525"/>
    <mergeCell ref="F526:H526"/>
    <mergeCell ref="F527:H527"/>
    <mergeCell ref="F528:H528"/>
    <mergeCell ref="F529:H529"/>
    <mergeCell ref="F530:H530"/>
    <mergeCell ref="F531:H531"/>
    <mergeCell ref="F532:H532"/>
    <mergeCell ref="F533:H533"/>
    <mergeCell ref="F534:H534"/>
    <mergeCell ref="F535:H535"/>
    <mergeCell ref="F536:H536"/>
    <mergeCell ref="F537:H537"/>
    <mergeCell ref="F538:H538"/>
    <mergeCell ref="F539:H539"/>
    <mergeCell ref="F540:H540"/>
    <mergeCell ref="F541:H541"/>
    <mergeCell ref="F542:H542"/>
    <mergeCell ref="F543:H543"/>
    <mergeCell ref="F544:H544"/>
    <mergeCell ref="F545:H545"/>
    <mergeCell ref="F546:H546"/>
    <mergeCell ref="F547:H547"/>
    <mergeCell ref="F548:H548"/>
    <mergeCell ref="F549:H549"/>
    <mergeCell ref="F550:H550"/>
    <mergeCell ref="F551:H551"/>
    <mergeCell ref="F552:H552"/>
    <mergeCell ref="F553:H553"/>
    <mergeCell ref="F554:H554"/>
    <mergeCell ref="F555:H555"/>
    <mergeCell ref="F556:H556"/>
    <mergeCell ref="F557:H557"/>
    <mergeCell ref="F558:H558"/>
    <mergeCell ref="F559:H559"/>
    <mergeCell ref="F560:H560"/>
    <mergeCell ref="F561:H561"/>
    <mergeCell ref="F562:H562"/>
    <mergeCell ref="F563:H563"/>
    <mergeCell ref="F564:H564"/>
    <mergeCell ref="F565:H565"/>
    <mergeCell ref="F566:H566"/>
    <mergeCell ref="F567:H567"/>
    <mergeCell ref="F568:H568"/>
    <mergeCell ref="F569:H569"/>
    <mergeCell ref="F426:H426"/>
    <mergeCell ref="F427:H427"/>
    <mergeCell ref="F428:H428"/>
    <mergeCell ref="F429:H429"/>
    <mergeCell ref="F430:H430"/>
    <mergeCell ref="F431:H431"/>
    <mergeCell ref="F432:H432"/>
    <mergeCell ref="F433:H433"/>
    <mergeCell ref="F434:H434"/>
    <mergeCell ref="F435:H435"/>
    <mergeCell ref="F436:H436"/>
    <mergeCell ref="F437:H437"/>
    <mergeCell ref="F438:H438"/>
    <mergeCell ref="F439:H439"/>
    <mergeCell ref="F440:H440"/>
    <mergeCell ref="F441:H441"/>
    <mergeCell ref="F442:H442"/>
    <mergeCell ref="F443:H443"/>
    <mergeCell ref="F444:H444"/>
    <mergeCell ref="F445:H445"/>
    <mergeCell ref="F446:H446"/>
    <mergeCell ref="F447:H447"/>
    <mergeCell ref="F448:H448"/>
    <mergeCell ref="F449:H449"/>
    <mergeCell ref="F450:H450"/>
    <mergeCell ref="F451:H451"/>
    <mergeCell ref="F452:H452"/>
    <mergeCell ref="F453:H453"/>
    <mergeCell ref="F454:H454"/>
    <mergeCell ref="F455:H455"/>
    <mergeCell ref="F456:H456"/>
    <mergeCell ref="F457:H457"/>
    <mergeCell ref="F458:H458"/>
    <mergeCell ref="F459:H459"/>
    <mergeCell ref="F460:H460"/>
    <mergeCell ref="F461:H461"/>
    <mergeCell ref="F462:H462"/>
    <mergeCell ref="F463:H463"/>
    <mergeCell ref="F464:H464"/>
    <mergeCell ref="F465:H465"/>
    <mergeCell ref="F466:H466"/>
    <mergeCell ref="F467:H467"/>
    <mergeCell ref="F468:H468"/>
    <mergeCell ref="F469:H469"/>
    <mergeCell ref="F470:H470"/>
    <mergeCell ref="F471:H471"/>
    <mergeCell ref="F472:H472"/>
    <mergeCell ref="F473:H473"/>
    <mergeCell ref="F474:H474"/>
    <mergeCell ref="F475:H475"/>
    <mergeCell ref="F476:H476"/>
    <mergeCell ref="F477:H477"/>
    <mergeCell ref="F478:H478"/>
    <mergeCell ref="F479:H479"/>
    <mergeCell ref="F480:H480"/>
    <mergeCell ref="F481:H481"/>
    <mergeCell ref="F482:H482"/>
    <mergeCell ref="F483:H483"/>
    <mergeCell ref="F484:H484"/>
    <mergeCell ref="F485:H485"/>
    <mergeCell ref="F486:H486"/>
    <mergeCell ref="F487:H487"/>
    <mergeCell ref="F488:H488"/>
    <mergeCell ref="F489:H489"/>
    <mergeCell ref="F490:H490"/>
    <mergeCell ref="F491:H491"/>
    <mergeCell ref="F492:H492"/>
    <mergeCell ref="F493:H493"/>
    <mergeCell ref="F494:H494"/>
    <mergeCell ref="F495:H495"/>
    <mergeCell ref="F496:H496"/>
    <mergeCell ref="F497:H497"/>
    <mergeCell ref="F354:H354"/>
    <mergeCell ref="F355:H355"/>
    <mergeCell ref="F356:H356"/>
    <mergeCell ref="F357:H357"/>
    <mergeCell ref="F358:H358"/>
    <mergeCell ref="F359:H359"/>
    <mergeCell ref="F360:H360"/>
    <mergeCell ref="F361:H361"/>
    <mergeCell ref="F362:H362"/>
    <mergeCell ref="F363:H363"/>
    <mergeCell ref="F364:H364"/>
    <mergeCell ref="F365:H365"/>
    <mergeCell ref="F366:H366"/>
    <mergeCell ref="F367:H367"/>
    <mergeCell ref="F368:H368"/>
    <mergeCell ref="F369:H369"/>
    <mergeCell ref="F370:H370"/>
    <mergeCell ref="F371:H371"/>
    <mergeCell ref="F372:H372"/>
    <mergeCell ref="F373:H373"/>
    <mergeCell ref="F374:H374"/>
    <mergeCell ref="F375:H375"/>
    <mergeCell ref="F376:H376"/>
    <mergeCell ref="F377:H377"/>
    <mergeCell ref="F378:H378"/>
    <mergeCell ref="F379:H379"/>
    <mergeCell ref="F380:H380"/>
    <mergeCell ref="F381:H381"/>
    <mergeCell ref="F382:H382"/>
    <mergeCell ref="F383:H383"/>
    <mergeCell ref="F384:H384"/>
    <mergeCell ref="F385:H385"/>
    <mergeCell ref="F386:H386"/>
    <mergeCell ref="F387:H387"/>
    <mergeCell ref="F388:H388"/>
    <mergeCell ref="F389:H389"/>
    <mergeCell ref="F390:H390"/>
    <mergeCell ref="F391:H391"/>
    <mergeCell ref="F392:H392"/>
    <mergeCell ref="F393:H393"/>
    <mergeCell ref="F394:H394"/>
    <mergeCell ref="F395:H395"/>
    <mergeCell ref="F396:H396"/>
    <mergeCell ref="F397:H397"/>
    <mergeCell ref="F398:H398"/>
    <mergeCell ref="F399:H399"/>
    <mergeCell ref="F400:H400"/>
    <mergeCell ref="F401:H401"/>
    <mergeCell ref="F402:H402"/>
    <mergeCell ref="F403:H403"/>
    <mergeCell ref="F404:H404"/>
    <mergeCell ref="F405:H405"/>
    <mergeCell ref="F406:H406"/>
    <mergeCell ref="F407:H407"/>
    <mergeCell ref="F408:H408"/>
    <mergeCell ref="F409:H409"/>
    <mergeCell ref="F410:H410"/>
    <mergeCell ref="F411:H411"/>
    <mergeCell ref="F412:H412"/>
    <mergeCell ref="F413:H413"/>
    <mergeCell ref="F414:H414"/>
    <mergeCell ref="F415:H415"/>
    <mergeCell ref="F416:H416"/>
    <mergeCell ref="F417:H417"/>
    <mergeCell ref="F418:H418"/>
    <mergeCell ref="F419:H419"/>
    <mergeCell ref="F420:H420"/>
    <mergeCell ref="F421:H421"/>
    <mergeCell ref="F422:H422"/>
    <mergeCell ref="F423:H423"/>
    <mergeCell ref="F424:H424"/>
    <mergeCell ref="F425:H425"/>
    <mergeCell ref="F282:H282"/>
    <mergeCell ref="F283:H283"/>
    <mergeCell ref="F284:H284"/>
    <mergeCell ref="F285:H285"/>
    <mergeCell ref="F286:H286"/>
    <mergeCell ref="F287:H287"/>
    <mergeCell ref="F288:H288"/>
    <mergeCell ref="F289:H289"/>
    <mergeCell ref="F290:H290"/>
    <mergeCell ref="F291:H291"/>
    <mergeCell ref="F292:H292"/>
    <mergeCell ref="F293:H293"/>
    <mergeCell ref="F294:H294"/>
    <mergeCell ref="F295:H295"/>
    <mergeCell ref="F296:H296"/>
    <mergeCell ref="F297:H297"/>
    <mergeCell ref="F298:H298"/>
    <mergeCell ref="F299:H299"/>
    <mergeCell ref="F300:H300"/>
    <mergeCell ref="F301:H301"/>
    <mergeCell ref="F302:H302"/>
    <mergeCell ref="F303:H303"/>
    <mergeCell ref="F304:H304"/>
    <mergeCell ref="F305:H305"/>
    <mergeCell ref="F306:H306"/>
    <mergeCell ref="F307:H307"/>
    <mergeCell ref="F308:H308"/>
    <mergeCell ref="F309:H309"/>
    <mergeCell ref="F310:H310"/>
    <mergeCell ref="F311:H311"/>
    <mergeCell ref="F312:H312"/>
    <mergeCell ref="F313:H313"/>
    <mergeCell ref="F314:H314"/>
    <mergeCell ref="F315:H315"/>
    <mergeCell ref="F316:H316"/>
    <mergeCell ref="F317:H317"/>
    <mergeCell ref="F318:H318"/>
    <mergeCell ref="F319:H319"/>
    <mergeCell ref="F320:H320"/>
    <mergeCell ref="F321:H321"/>
    <mergeCell ref="F322:H322"/>
    <mergeCell ref="F340:H340"/>
    <mergeCell ref="F341:H341"/>
    <mergeCell ref="F342:H342"/>
    <mergeCell ref="F343:H343"/>
    <mergeCell ref="F344:H344"/>
    <mergeCell ref="F345:H345"/>
    <mergeCell ref="F346:H346"/>
    <mergeCell ref="F347:H347"/>
    <mergeCell ref="F348:H348"/>
    <mergeCell ref="F349:H349"/>
    <mergeCell ref="F350:H350"/>
    <mergeCell ref="F351:H351"/>
    <mergeCell ref="F352:H352"/>
    <mergeCell ref="F353:H353"/>
    <mergeCell ref="F323:H323"/>
    <mergeCell ref="F324:H324"/>
    <mergeCell ref="F325:H325"/>
    <mergeCell ref="F326:H326"/>
    <mergeCell ref="F327:H327"/>
    <mergeCell ref="F328:H328"/>
    <mergeCell ref="F329:H329"/>
    <mergeCell ref="F330:H330"/>
    <mergeCell ref="F331:H331"/>
    <mergeCell ref="F332:H332"/>
    <mergeCell ref="F333:H333"/>
    <mergeCell ref="F334:H334"/>
    <mergeCell ref="F335:H335"/>
    <mergeCell ref="F336:H336"/>
    <mergeCell ref="F337:H337"/>
    <mergeCell ref="F338:H338"/>
    <mergeCell ref="F339:H339"/>
  </mergeCells>
  <phoneticPr fontId="103" type="noConversion"/>
  <conditionalFormatting sqref="AH7:AH18 AH818:AI819 AH821:AI821 AH824:AI825 AH828:AI829 AH834:AI837 AH858:AI861 AH848:AI849 AH842:AI845 AH852:AI853 AH1534:AH1917">
    <cfRule type="cellIs" dxfId="276" priority="64" operator="lessThan">
      <formula>-0.1</formula>
    </cfRule>
    <cfRule type="cellIs" dxfId="275" priority="65" operator="greaterThan">
      <formula>0.1</formula>
    </cfRule>
  </conditionalFormatting>
  <conditionalFormatting sqref="AH119:AH153">
    <cfRule type="cellIs" dxfId="274" priority="62" operator="lessThan">
      <formula>-0.1</formula>
    </cfRule>
    <cfRule type="cellIs" dxfId="273" priority="63" operator="greaterThan">
      <formula>0.1</formula>
    </cfRule>
  </conditionalFormatting>
  <conditionalFormatting sqref="AH820:AI820 AH822:AI823 AH826:AI827 AH830:AI833 AH846:AI847 AH854:AI857 AH793:AI817">
    <cfRule type="cellIs" dxfId="272" priority="60" operator="lessThan">
      <formula>-0.1</formula>
    </cfRule>
    <cfRule type="cellIs" dxfId="271" priority="61" operator="greaterThan">
      <formula>0.1</formula>
    </cfRule>
  </conditionalFormatting>
  <conditionalFormatting sqref="AH1423:AI1434">
    <cfRule type="cellIs" dxfId="270" priority="58" operator="lessThan">
      <formula>-0.1</formula>
    </cfRule>
    <cfRule type="cellIs" dxfId="269" priority="59" operator="greaterThan">
      <formula>0.1</formula>
    </cfRule>
  </conditionalFormatting>
  <conditionalFormatting sqref="AH154">
    <cfRule type="cellIs" dxfId="268" priority="56" operator="lessThan">
      <formula>-0.1</formula>
    </cfRule>
    <cfRule type="cellIs" dxfId="267" priority="57" operator="greaterThan">
      <formula>0.1</formula>
    </cfRule>
  </conditionalFormatting>
  <conditionalFormatting sqref="B282:B317 B354:B389 B426:B461 B498:B533 B570:B605 B643:B678 B715:B750 B191:B245 B787:B789 B1:B17 B113:B153 B791:B1917 B1919:B4593">
    <cfRule type="cellIs" dxfId="266" priority="55" operator="equal">
      <formula>"x"</formula>
    </cfRule>
  </conditionalFormatting>
  <conditionalFormatting sqref="AH1918:AH1919">
    <cfRule type="cellIs" dxfId="265" priority="53" operator="lessThan">
      <formula>-0.1</formula>
    </cfRule>
    <cfRule type="cellIs" dxfId="264" priority="54" operator="greaterThan">
      <formula>0.1</formula>
    </cfRule>
  </conditionalFormatting>
  <conditionalFormatting sqref="Y2326:Y2518">
    <cfRule type="cellIs" dxfId="263" priority="51" operator="equal">
      <formula>5.44</formula>
    </cfRule>
  </conditionalFormatting>
  <conditionalFormatting sqref="B246:B281">
    <cfRule type="cellIs" dxfId="262" priority="37" operator="equal">
      <formula>"x"</formula>
    </cfRule>
  </conditionalFormatting>
  <conditionalFormatting sqref="B318:B353">
    <cfRule type="cellIs" dxfId="261" priority="36" operator="equal">
      <formula>"x"</formula>
    </cfRule>
  </conditionalFormatting>
  <conditionalFormatting sqref="B390:B425">
    <cfRule type="cellIs" dxfId="260" priority="35" operator="equal">
      <formula>"x"</formula>
    </cfRule>
  </conditionalFormatting>
  <conditionalFormatting sqref="B462:B497">
    <cfRule type="cellIs" dxfId="259" priority="34" operator="equal">
      <formula>"x"</formula>
    </cfRule>
  </conditionalFormatting>
  <conditionalFormatting sqref="B534:B569">
    <cfRule type="cellIs" dxfId="258" priority="33" operator="equal">
      <formula>"x"</formula>
    </cfRule>
  </conditionalFormatting>
  <conditionalFormatting sqref="B606:B642">
    <cfRule type="cellIs" dxfId="257" priority="32" operator="equal">
      <formula>"x"</formula>
    </cfRule>
  </conditionalFormatting>
  <conditionalFormatting sqref="B679:B714">
    <cfRule type="cellIs" dxfId="256" priority="31" operator="equal">
      <formula>"x"</formula>
    </cfRule>
  </conditionalFormatting>
  <conditionalFormatting sqref="B751:B786">
    <cfRule type="cellIs" dxfId="255" priority="30" operator="equal">
      <formula>"x"</formula>
    </cfRule>
  </conditionalFormatting>
  <conditionalFormatting sqref="AH155:AH189">
    <cfRule type="cellIs" dxfId="254" priority="28" operator="lessThan">
      <formula>-0.1</formula>
    </cfRule>
    <cfRule type="cellIs" dxfId="253" priority="29" operator="greaterThan">
      <formula>0.1</formula>
    </cfRule>
  </conditionalFormatting>
  <conditionalFormatting sqref="AH190">
    <cfRule type="cellIs" dxfId="252" priority="26" operator="lessThan">
      <formula>-0.1</formula>
    </cfRule>
    <cfRule type="cellIs" dxfId="251" priority="27" operator="greaterThan">
      <formula>0.1</formula>
    </cfRule>
  </conditionalFormatting>
  <conditionalFormatting sqref="B160:B190">
    <cfRule type="cellIs" dxfId="250" priority="25" operator="equal">
      <formula>"x"</formula>
    </cfRule>
  </conditionalFormatting>
  <conditionalFormatting sqref="Z2326:AA2518">
    <cfRule type="cellIs" dxfId="249" priority="24" operator="equal">
      <formula>5.44</formula>
    </cfRule>
  </conditionalFormatting>
  <conditionalFormatting sqref="AA1503">
    <cfRule type="cellIs" dxfId="248" priority="23" operator="notEqual">
      <formula>Z1503</formula>
    </cfRule>
  </conditionalFormatting>
  <conditionalFormatting sqref="B154:B159">
    <cfRule type="cellIs" dxfId="247" priority="21" operator="equal">
      <formula>"x"</formula>
    </cfRule>
  </conditionalFormatting>
  <conditionalFormatting sqref="B790">
    <cfRule type="cellIs" dxfId="246" priority="20" operator="equal">
      <formula>"x"</formula>
    </cfRule>
  </conditionalFormatting>
  <conditionalFormatting sqref="AH838:AI841">
    <cfRule type="cellIs" dxfId="245" priority="18" operator="lessThan">
      <formula>-0.1</formula>
    </cfRule>
    <cfRule type="cellIs" dxfId="244" priority="19" operator="greaterThan">
      <formula>0.1</formula>
    </cfRule>
  </conditionalFormatting>
  <conditionalFormatting sqref="AH850:AI851">
    <cfRule type="cellIs" dxfId="243" priority="16" operator="lessThan">
      <formula>-0.1</formula>
    </cfRule>
    <cfRule type="cellIs" dxfId="242" priority="17" operator="greaterThan">
      <formula>0.1</formula>
    </cfRule>
  </conditionalFormatting>
  <conditionalFormatting sqref="B4595:B4600">
    <cfRule type="cellIs" dxfId="241" priority="14" operator="equal">
      <formula>"x"</formula>
    </cfRule>
  </conditionalFormatting>
  <conditionalFormatting sqref="B4594">
    <cfRule type="cellIs" dxfId="240" priority="13" operator="equal">
      <formula>"x"</formula>
    </cfRule>
  </conditionalFormatting>
  <hyperlinks>
    <hyperlink ref="R103" r:id="rId1" xr:uid="{00000000-0004-0000-0500-000000000000}"/>
  </hyperlinks>
  <pageMargins left="0.7" right="0.7" top="0.75" bottom="0.75" header="0.3" footer="0.3"/>
  <pageSetup scale="14" fitToHeight="0" orientation="landscape" r:id="rId2"/>
  <rowBreaks count="3" manualBreakCount="3">
    <brk id="788" max="36" man="1"/>
    <brk id="1529" max="36" man="1"/>
    <brk id="4450" max="36" man="1"/>
  </rowBreaks>
  <drawing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BE1535"/>
  <sheetViews>
    <sheetView zoomScale="70" zoomScaleNormal="70" workbookViewId="0">
      <selection sqref="A1:O1"/>
    </sheetView>
  </sheetViews>
  <sheetFormatPr defaultColWidth="9.1796875" defaultRowHeight="14.5" outlineLevelRow="1" x14ac:dyDescent="0.35"/>
  <cols>
    <col min="1" max="1" width="4.26953125" style="199" customWidth="1"/>
    <col min="2" max="2" width="9.1796875" style="199"/>
    <col min="3" max="3" width="20.54296875" style="197" customWidth="1"/>
    <col min="4" max="4" width="18" style="217" customWidth="1"/>
    <col min="5" max="5" width="81.54296875" style="217" customWidth="1"/>
    <col min="6" max="6" width="26.7265625" style="199" customWidth="1"/>
    <col min="7" max="7" width="21.54296875" style="199" customWidth="1"/>
    <col min="8" max="8" width="22.54296875" style="199" customWidth="1"/>
    <col min="9" max="9" width="17.26953125" style="199" customWidth="1"/>
    <col min="10" max="10" width="16.26953125" style="199" customWidth="1"/>
    <col min="11" max="11" width="12.26953125" style="199" customWidth="1"/>
    <col min="12" max="12" width="15.453125" style="199" customWidth="1"/>
    <col min="13" max="13" width="14.453125" style="199" customWidth="1"/>
    <col min="14" max="14" width="13.7265625" style="199" customWidth="1"/>
    <col min="15" max="15" width="11" style="199" customWidth="1"/>
    <col min="16" max="16" width="13.7265625" style="199" customWidth="1"/>
    <col min="17" max="17" width="9.453125" style="199" customWidth="1"/>
    <col min="18" max="18" width="17.453125" style="199" customWidth="1"/>
    <col min="19" max="19" width="9.26953125" style="199" customWidth="1"/>
    <col min="20" max="20" width="9.1796875" style="199" customWidth="1"/>
    <col min="21" max="21" width="22.81640625" style="199" customWidth="1"/>
    <col min="22" max="22" width="32.1796875" style="196" customWidth="1"/>
    <col min="23" max="23" width="13.54296875" style="196" customWidth="1"/>
    <col min="24" max="24" width="17" style="196" customWidth="1"/>
    <col min="25" max="25" width="19.54296875" style="528" customWidth="1"/>
    <col min="26" max="26" width="15.81640625" style="196" bestFit="1" customWidth="1"/>
    <col min="27" max="27" width="13.453125" style="196" customWidth="1"/>
    <col min="28" max="28" width="18" style="196" bestFit="1" customWidth="1"/>
    <col min="29" max="29" width="17.1796875" style="196" bestFit="1" customWidth="1"/>
    <col min="30" max="33" width="13.453125" style="196" customWidth="1"/>
    <col min="34" max="34" width="9.1796875" style="196" customWidth="1"/>
    <col min="35" max="35" width="13.54296875" style="196" customWidth="1"/>
    <col min="36" max="36" width="19.453125" style="196" customWidth="1"/>
    <col min="37" max="41" width="17.7265625" style="196" bestFit="1" customWidth="1"/>
    <col min="42" max="45" width="13.54296875" style="196" customWidth="1"/>
    <col min="46" max="46" width="9.1796875" style="196" customWidth="1"/>
    <col min="47" max="47" width="16.1796875" style="196" bestFit="1" customWidth="1"/>
    <col min="48" max="48" width="16.7265625" style="196" bestFit="1" customWidth="1"/>
    <col min="49" max="53" width="9.1796875" style="196" customWidth="1"/>
    <col min="54" max="54" width="15" style="726" customWidth="1"/>
    <col min="55" max="55" width="30.26953125" style="196" customWidth="1"/>
    <col min="56" max="56" width="16.54296875" style="196" customWidth="1"/>
    <col min="57" max="57" width="16.54296875" style="196" bestFit="1" customWidth="1"/>
    <col min="58" max="58" width="9.1796875" style="196"/>
    <col min="59" max="59" width="14.453125" style="196" bestFit="1" customWidth="1"/>
    <col min="60" max="61" width="16.7265625" style="196" bestFit="1" customWidth="1"/>
    <col min="62" max="62" width="15.453125" style="196" bestFit="1" customWidth="1"/>
    <col min="63" max="63" width="14.453125" style="196" bestFit="1" customWidth="1"/>
    <col min="64" max="64" width="16.81640625" style="196" bestFit="1" customWidth="1"/>
    <col min="65" max="69" width="14.453125" style="196" bestFit="1" customWidth="1"/>
    <col min="70" max="16384" width="9.1796875" style="196"/>
  </cols>
  <sheetData>
    <row r="1" spans="1:57" s="21" customFormat="1" ht="18.5" x14ac:dyDescent="0.45">
      <c r="A1" s="3657" t="s">
        <v>1515</v>
      </c>
      <c r="B1" s="3853"/>
      <c r="C1" s="3853"/>
      <c r="D1" s="3853"/>
      <c r="E1" s="3853"/>
      <c r="F1" s="3853"/>
      <c r="G1" s="3853"/>
      <c r="H1" s="3853"/>
      <c r="I1" s="3853"/>
      <c r="J1" s="3853"/>
      <c r="K1" s="3853"/>
      <c r="L1" s="3853"/>
      <c r="M1" s="3853"/>
      <c r="N1" s="3853"/>
      <c r="O1" s="3853"/>
      <c r="P1" s="3659"/>
      <c r="Q1" s="4025"/>
      <c r="R1" s="4025"/>
      <c r="S1" s="2328"/>
      <c r="T1" s="725"/>
      <c r="U1" s="725"/>
      <c r="V1" s="26"/>
      <c r="W1" s="27"/>
      <c r="X1" s="27"/>
      <c r="Y1" s="723"/>
      <c r="Z1" s="28"/>
      <c r="AA1" s="28"/>
      <c r="AB1" s="28"/>
      <c r="AC1" s="28"/>
      <c r="AD1" s="28"/>
      <c r="AE1" s="28"/>
      <c r="AF1" s="28"/>
      <c r="AG1" s="28"/>
      <c r="AH1" s="28"/>
      <c r="BB1" s="22"/>
    </row>
    <row r="2" spans="1:57" s="21" customFormat="1" ht="30" hidden="1" customHeight="1" outlineLevel="1" x14ac:dyDescent="0.5">
      <c r="A2" s="725"/>
      <c r="B2" s="1081"/>
      <c r="C2" s="126"/>
      <c r="D2" s="3661" t="s">
        <v>2243</v>
      </c>
      <c r="E2" s="3662"/>
      <c r="F2" s="3663"/>
      <c r="G2" s="3663"/>
      <c r="H2" s="3663"/>
      <c r="I2" s="3663"/>
      <c r="J2" s="3663"/>
      <c r="K2" s="724"/>
      <c r="L2" s="724"/>
      <c r="M2" s="725"/>
      <c r="N2" s="725"/>
      <c r="O2" s="725"/>
      <c r="P2" s="725"/>
      <c r="Q2" s="725"/>
      <c r="R2" s="725"/>
      <c r="S2" s="725"/>
      <c r="T2" s="725"/>
      <c r="U2" s="725"/>
      <c r="Y2" s="54"/>
      <c r="BB2" s="22"/>
    </row>
    <row r="3" spans="1:57" s="21" customFormat="1" ht="33.75" customHeight="1" collapsed="1" x14ac:dyDescent="0.35">
      <c r="A3" s="725"/>
      <c r="B3" s="725"/>
      <c r="C3" s="127"/>
      <c r="D3" s="128"/>
      <c r="E3" s="128"/>
      <c r="F3" s="127"/>
      <c r="G3" s="127"/>
      <c r="H3" s="127"/>
      <c r="I3" s="127"/>
      <c r="J3" s="127"/>
      <c r="K3" s="725"/>
      <c r="L3" s="725"/>
      <c r="M3" s="725"/>
      <c r="N3" s="725"/>
      <c r="O3" s="725"/>
      <c r="P3" s="725"/>
      <c r="Q3" s="725"/>
      <c r="R3" s="725"/>
      <c r="S3" s="725"/>
      <c r="T3" s="725"/>
      <c r="U3" s="725"/>
      <c r="Y3" s="54"/>
      <c r="BB3" s="22"/>
    </row>
    <row r="4" spans="1:57" x14ac:dyDescent="0.35">
      <c r="B4" s="4235" t="s">
        <v>1516</v>
      </c>
      <c r="C4" s="4235"/>
      <c r="D4" s="4235"/>
      <c r="E4" s="4235"/>
      <c r="F4" s="4235"/>
      <c r="G4" s="4235"/>
      <c r="H4" s="4235"/>
      <c r="I4" s="4235"/>
      <c r="J4" s="4235"/>
      <c r="K4" s="4235"/>
      <c r="L4" s="4235"/>
      <c r="M4" s="4235"/>
      <c r="N4" s="3813"/>
      <c r="O4" s="3813"/>
      <c r="P4" s="3813"/>
      <c r="Q4" s="3813"/>
      <c r="R4" s="3813"/>
      <c r="V4" s="3664" t="str">
        <f>B4</f>
        <v>AC Tune-up</v>
      </c>
      <c r="W4" s="3665"/>
      <c r="X4" s="3665"/>
      <c r="Y4" s="3665"/>
      <c r="Z4" s="3665"/>
      <c r="AA4" s="3665"/>
      <c r="AB4" s="3665"/>
      <c r="AC4" s="3680"/>
      <c r="AD4" s="3680"/>
      <c r="AE4" s="3680"/>
      <c r="AF4" s="3680"/>
      <c r="AG4" s="3680"/>
      <c r="AH4" s="3680"/>
      <c r="AI4" s="3681"/>
      <c r="BD4" s="21"/>
    </row>
    <row r="5" spans="1:57" x14ac:dyDescent="0.35">
      <c r="B5" s="1040"/>
      <c r="D5" s="292" t="s">
        <v>4252</v>
      </c>
      <c r="E5" s="367"/>
      <c r="F5" s="198"/>
      <c r="G5" s="198"/>
      <c r="H5" s="198"/>
      <c r="I5" s="198"/>
      <c r="J5" s="198"/>
      <c r="K5" s="198"/>
      <c r="L5" s="1219"/>
      <c r="BD5" s="21"/>
    </row>
    <row r="6" spans="1:57" ht="29" x14ac:dyDescent="0.35">
      <c r="B6" s="1040"/>
      <c r="C6" s="2331" t="s">
        <v>27</v>
      </c>
      <c r="D6" s="2331" t="s">
        <v>174</v>
      </c>
      <c r="E6" s="2331" t="s">
        <v>29</v>
      </c>
      <c r="F6" s="2331" t="s">
        <v>30</v>
      </c>
      <c r="G6" s="2331" t="s">
        <v>175</v>
      </c>
      <c r="H6" s="2331" t="s">
        <v>176</v>
      </c>
      <c r="I6" s="2331" t="s">
        <v>31</v>
      </c>
      <c r="J6" s="2363" t="s">
        <v>180</v>
      </c>
      <c r="K6" s="2331" t="s">
        <v>169</v>
      </c>
      <c r="L6" s="2331" t="s">
        <v>43</v>
      </c>
      <c r="V6" s="1572" t="s">
        <v>44</v>
      </c>
      <c r="W6" s="1573">
        <v>43252</v>
      </c>
      <c r="X6" s="1573">
        <v>43465</v>
      </c>
      <c r="Y6" s="316">
        <v>43800</v>
      </c>
      <c r="Z6" s="1573">
        <v>43862</v>
      </c>
      <c r="AA6" s="1573">
        <v>44013</v>
      </c>
      <c r="AB6" s="1573">
        <v>44166</v>
      </c>
      <c r="AC6" s="1573">
        <v>44531</v>
      </c>
      <c r="AD6" s="481">
        <v>44774</v>
      </c>
      <c r="AE6" s="1573" t="s">
        <v>45</v>
      </c>
      <c r="AF6" s="1573" t="s">
        <v>45</v>
      </c>
      <c r="AG6" s="1573" t="s">
        <v>45</v>
      </c>
      <c r="BB6" s="1574" t="s">
        <v>4472</v>
      </c>
      <c r="BC6" s="38" t="s">
        <v>47</v>
      </c>
      <c r="BD6" s="500" t="s">
        <v>48</v>
      </c>
      <c r="BE6" s="39" t="s">
        <v>49</v>
      </c>
    </row>
    <row r="7" spans="1:57" x14ac:dyDescent="0.35">
      <c r="B7" s="1040"/>
      <c r="C7" s="831" t="s">
        <v>1520</v>
      </c>
      <c r="D7" s="1279" t="s">
        <v>1517</v>
      </c>
      <c r="E7" s="178" t="s">
        <v>1521</v>
      </c>
      <c r="F7" s="733">
        <f>ROUND(($G$28*$G$30*(1/$G$32-1/$G$37)/$G$42),2)</f>
        <v>142.62</v>
      </c>
      <c r="G7" s="1279" t="s">
        <v>257</v>
      </c>
      <c r="H7" s="136">
        <f>VLOOKUP(G7,'CP FACTORS'!$A$3:$B$38, 2, FALSE)</f>
        <v>9.4741810000000004E-4</v>
      </c>
      <c r="I7" s="2775">
        <f>ROUND(F7*H7,6)</f>
        <v>0.13512099999999999</v>
      </c>
      <c r="J7" s="728">
        <f t="shared" ref="J7:J18" si="0">$G$43</f>
        <v>2</v>
      </c>
      <c r="K7" s="729">
        <f>G44</f>
        <v>70</v>
      </c>
      <c r="L7" s="2129" t="s">
        <v>184</v>
      </c>
      <c r="R7" s="1214"/>
      <c r="V7" s="141" t="s">
        <v>30</v>
      </c>
      <c r="W7" s="142">
        <v>142.50980392156862</v>
      </c>
      <c r="X7" s="730">
        <v>142.50980392156862</v>
      </c>
      <c r="Y7" s="731">
        <v>142.51</v>
      </c>
      <c r="Z7" s="731">
        <v>142.51</v>
      </c>
      <c r="AA7" s="731">
        <v>142.51</v>
      </c>
      <c r="AB7" s="731">
        <v>142.51</v>
      </c>
      <c r="AC7" s="731">
        <v>140.66999999999999</v>
      </c>
      <c r="AD7" s="733">
        <v>142.62</v>
      </c>
      <c r="AE7" s="141"/>
      <c r="AF7" s="141"/>
      <c r="AG7" s="141"/>
      <c r="AK7" s="732"/>
      <c r="BB7" s="1578">
        <f>(BD7)/(BE7)</f>
        <v>0.42184642690645402</v>
      </c>
      <c r="BC7" s="2381" t="str">
        <f t="shared" ref="BC7:BC18" si="1">CONCATENATE(G7," ",J7," Year EUL")</f>
        <v>Cooling RES 2 Year EUL</v>
      </c>
      <c r="BD7" s="95">
        <f>(INDEX('Avoided Cost Benefits'!$E$4:$E$859,MATCH(BC7,'Avoided Cost Benefits'!$A$4:$A$859,0)))*F7</f>
        <v>27.870929573810077</v>
      </c>
      <c r="BE7" s="1579">
        <f>K7/(1.0595^(2020-2019))</f>
        <v>66.068900424728639</v>
      </c>
    </row>
    <row r="8" spans="1:57" x14ac:dyDescent="0.35">
      <c r="B8" s="1040"/>
      <c r="C8" s="831" t="s">
        <v>1522</v>
      </c>
      <c r="D8" s="1279" t="s">
        <v>1518</v>
      </c>
      <c r="E8" s="178" t="s">
        <v>1523</v>
      </c>
      <c r="F8" s="733">
        <f>ROUND(($G$28*$G$31*(1/$G$32-1/$G$37)/$G$42),2)</f>
        <v>92.71</v>
      </c>
      <c r="G8" s="1279" t="s">
        <v>257</v>
      </c>
      <c r="H8" s="136">
        <f>VLOOKUP(G8,'CP FACTORS'!$A$3:$B$38, 2, FALSE)</f>
        <v>9.4741810000000004E-4</v>
      </c>
      <c r="I8" s="2775">
        <f t="shared" ref="I8:I18" si="2">ROUND(F8*H8,6)</f>
        <v>8.7834999999999996E-2</v>
      </c>
      <c r="J8" s="728">
        <f t="shared" si="0"/>
        <v>2</v>
      </c>
      <c r="K8" s="729">
        <f>G45</f>
        <v>70</v>
      </c>
      <c r="L8" s="2129" t="s">
        <v>184</v>
      </c>
      <c r="R8" s="1214"/>
      <c r="V8" s="141" t="s">
        <v>30</v>
      </c>
      <c r="W8" s="142">
        <v>92.631372549019588</v>
      </c>
      <c r="X8" s="730">
        <v>92.631372549019588</v>
      </c>
      <c r="Y8" s="731">
        <v>92.63</v>
      </c>
      <c r="Z8" s="731">
        <v>92.63</v>
      </c>
      <c r="AA8" s="731">
        <v>92.63</v>
      </c>
      <c r="AB8" s="731">
        <v>92.63</v>
      </c>
      <c r="AC8" s="731">
        <v>91.43</v>
      </c>
      <c r="AD8" s="733">
        <v>92.71</v>
      </c>
      <c r="AE8" s="141"/>
      <c r="AF8" s="141"/>
      <c r="AG8" s="141"/>
      <c r="AK8" s="732"/>
      <c r="BB8" s="40">
        <f t="shared" ref="BB8:BB18" si="3">(BD8)/(BE8)</f>
        <v>0.27422088233415609</v>
      </c>
      <c r="BC8" s="1580" t="str">
        <f t="shared" si="1"/>
        <v>Cooling RES 2 Year EUL</v>
      </c>
      <c r="BD8" s="98">
        <f>(INDEX('Avoided Cost Benefits'!$E$4:$E$859,MATCH(BC8,'Avoided Cost Benefits'!$A$4:$A$859,0)))*F8</f>
        <v>18.117472169316589</v>
      </c>
      <c r="BE8" s="1581">
        <f t="shared" ref="BE8:BE18" si="4">K8/(1.0595^(2020-2019))</f>
        <v>66.068900424728639</v>
      </c>
    </row>
    <row r="9" spans="1:57" x14ac:dyDescent="0.35">
      <c r="B9" s="1040"/>
      <c r="C9" s="831" t="s">
        <v>1524</v>
      </c>
      <c r="D9" s="1279" t="s">
        <v>1519</v>
      </c>
      <c r="E9" s="2352" t="str">
        <f>CONCATENATE(E8,"_CompE")</f>
        <v>AC General Tune-Up (no charge or coil clean) MF_CompE</v>
      </c>
      <c r="F9" s="733">
        <f>ROUND(($G$29*$G$31*(1/$G$32-1/$G$37)/$G$42),2)</f>
        <v>67.42</v>
      </c>
      <c r="G9" s="1279" t="s">
        <v>257</v>
      </c>
      <c r="H9" s="136">
        <f>VLOOKUP(G9,'CP FACTORS'!$A$3:$B$38, 2, FALSE)</f>
        <v>9.4741810000000004E-4</v>
      </c>
      <c r="I9" s="2775">
        <f t="shared" si="2"/>
        <v>6.3875000000000001E-2</v>
      </c>
      <c r="J9" s="728">
        <f t="shared" si="0"/>
        <v>2</v>
      </c>
      <c r="K9" s="729">
        <f>K8</f>
        <v>70</v>
      </c>
      <c r="L9" s="2129" t="s">
        <v>184</v>
      </c>
      <c r="R9" s="1214"/>
      <c r="V9" s="141" t="s">
        <v>30</v>
      </c>
      <c r="W9" s="142"/>
      <c r="X9" s="730"/>
      <c r="Y9" s="734">
        <v>67.37</v>
      </c>
      <c r="Z9" s="731">
        <v>67.37</v>
      </c>
      <c r="AA9" s="731">
        <v>67.37</v>
      </c>
      <c r="AB9" s="731">
        <v>67.37</v>
      </c>
      <c r="AC9" s="731">
        <v>66.5</v>
      </c>
      <c r="AD9" s="733">
        <v>67.42</v>
      </c>
      <c r="AE9" s="141"/>
      <c r="AF9" s="141"/>
      <c r="AG9" s="141"/>
      <c r="AK9" s="732"/>
      <c r="BB9" s="40">
        <f t="shared" si="3"/>
        <v>0.19941723532487118</v>
      </c>
      <c r="BC9" s="1580" t="str">
        <f t="shared" si="1"/>
        <v>Cooling RES 2 Year EUL</v>
      </c>
      <c r="BD9" s="98">
        <f>(INDEX('Avoided Cost Benefits'!$E$4:$E$859,MATCH(BC9,'Avoided Cost Benefits'!$A$4:$A$859,0)))*F9</f>
        <v>13.175277463653593</v>
      </c>
      <c r="BE9" s="1581">
        <f t="shared" si="4"/>
        <v>66.068900424728639</v>
      </c>
    </row>
    <row r="10" spans="1:57" x14ac:dyDescent="0.35">
      <c r="B10" s="1040"/>
      <c r="C10" s="831" t="s">
        <v>1525</v>
      </c>
      <c r="D10" s="1279" t="s">
        <v>1517</v>
      </c>
      <c r="E10" s="178" t="s">
        <v>1526</v>
      </c>
      <c r="F10" s="733">
        <f>ROUND(($G$28*$G$30*(1/$G$33-1/$G$38)/$G$42),2)</f>
        <v>594.87</v>
      </c>
      <c r="G10" s="1279" t="s">
        <v>257</v>
      </c>
      <c r="H10" s="136">
        <f>VLOOKUP(G10,'CP FACTORS'!$A$3:$B$38, 2, FALSE)</f>
        <v>9.4741810000000004E-4</v>
      </c>
      <c r="I10" s="2775">
        <f t="shared" si="2"/>
        <v>0.56359099999999995</v>
      </c>
      <c r="J10" s="728">
        <f t="shared" si="0"/>
        <v>2</v>
      </c>
      <c r="K10" s="729">
        <f>G46</f>
        <v>81</v>
      </c>
      <c r="L10" s="2129" t="s">
        <v>184</v>
      </c>
      <c r="R10" s="1214"/>
      <c r="V10" s="141" t="s">
        <v>30</v>
      </c>
      <c r="W10" s="142">
        <v>594.39336108275074</v>
      </c>
      <c r="X10" s="730">
        <v>594.39336108275074</v>
      </c>
      <c r="Y10" s="731">
        <v>594.39</v>
      </c>
      <c r="Z10" s="731">
        <v>594.39</v>
      </c>
      <c r="AA10" s="731">
        <v>594.39</v>
      </c>
      <c r="AB10" s="731">
        <v>594.39</v>
      </c>
      <c r="AC10" s="731">
        <v>586.71</v>
      </c>
      <c r="AD10" s="733">
        <v>594.87</v>
      </c>
      <c r="AE10" s="141"/>
      <c r="AF10" s="141"/>
      <c r="AG10" s="141"/>
      <c r="AK10" s="732"/>
      <c r="BB10" s="40">
        <f t="shared" si="3"/>
        <v>1.520579150861822</v>
      </c>
      <c r="BC10" s="1580" t="str">
        <f t="shared" si="1"/>
        <v>Cooling RES 2 Year EUL</v>
      </c>
      <c r="BD10" s="98">
        <f>(INDEX('Avoided Cost Benefits'!$E$4:$E$859,MATCH(BC10,'Avoided Cost Benefits'!$A$4:$A$859,0)))*F10</f>
        <v>116.25003418575515</v>
      </c>
      <c r="BE10" s="1581">
        <f t="shared" si="4"/>
        <v>76.451156205757428</v>
      </c>
    </row>
    <row r="11" spans="1:57" x14ac:dyDescent="0.35">
      <c r="B11" s="1040"/>
      <c r="C11" s="831" t="s">
        <v>1527</v>
      </c>
      <c r="D11" s="1279" t="s">
        <v>1518</v>
      </c>
      <c r="E11" s="178" t="s">
        <v>1528</v>
      </c>
      <c r="F11" s="733">
        <f>ROUND(($G$28*$G$31*(1/$G$33-1/$G$38)/$G$42),2)</f>
        <v>386.67</v>
      </c>
      <c r="G11" s="1279" t="s">
        <v>257</v>
      </c>
      <c r="H11" s="136">
        <f>VLOOKUP(G11,'CP FACTORS'!$A$3:$B$38, 2, FALSE)</f>
        <v>9.4741810000000004E-4</v>
      </c>
      <c r="I11" s="2775">
        <f t="shared" si="2"/>
        <v>0.366338</v>
      </c>
      <c r="J11" s="728">
        <f t="shared" si="0"/>
        <v>2</v>
      </c>
      <c r="K11" s="729">
        <f>G47</f>
        <v>81</v>
      </c>
      <c r="L11" s="2129" t="s">
        <v>184</v>
      </c>
      <c r="R11" s="1214"/>
      <c r="V11" s="141" t="s">
        <v>30</v>
      </c>
      <c r="W11" s="142">
        <v>386.35568470378792</v>
      </c>
      <c r="X11" s="730">
        <v>386.35568470378792</v>
      </c>
      <c r="Y11" s="731">
        <v>386.36</v>
      </c>
      <c r="Z11" s="731">
        <v>386.36</v>
      </c>
      <c r="AA11" s="731">
        <v>386.36</v>
      </c>
      <c r="AB11" s="731">
        <v>386.36</v>
      </c>
      <c r="AC11" s="731">
        <v>381.36</v>
      </c>
      <c r="AD11" s="733">
        <v>386.67</v>
      </c>
      <c r="AE11" s="141"/>
      <c r="AF11" s="141"/>
      <c r="AG11" s="141"/>
      <c r="AK11" s="732"/>
      <c r="BB11" s="40">
        <f t="shared" si="3"/>
        <v>0.9883879507518295</v>
      </c>
      <c r="BC11" s="1580" t="str">
        <f t="shared" si="1"/>
        <v>Cooling RES 2 Year EUL</v>
      </c>
      <c r="BD11" s="98">
        <f>(INDEX('Avoided Cost Benefits'!$E$4:$E$859,MATCH(BC11,'Avoided Cost Benefits'!$A$4:$A$859,0)))*F11</f>
        <v>75.563401614816598</v>
      </c>
      <c r="BE11" s="1581">
        <f t="shared" si="4"/>
        <v>76.451156205757428</v>
      </c>
    </row>
    <row r="12" spans="1:57" x14ac:dyDescent="0.35">
      <c r="B12" s="1040"/>
      <c r="C12" s="831" t="s">
        <v>1529</v>
      </c>
      <c r="D12" s="395" t="s">
        <v>1519</v>
      </c>
      <c r="E12" s="2352" t="str">
        <f>CONCATENATE(E11,"_CompE")</f>
        <v>AC Tune-up / Refrigerant charge MF_CompE</v>
      </c>
      <c r="F12" s="733">
        <f>ROUND(($G$29*$G$31*(1/$G$33-1/$G$38)/$G$42),2)</f>
        <v>281.20999999999998</v>
      </c>
      <c r="G12" s="1279" t="s">
        <v>257</v>
      </c>
      <c r="H12" s="136">
        <f>VLOOKUP(G12,'CP FACTORS'!$A$3:$B$38, 2, FALSE)</f>
        <v>9.4741810000000004E-4</v>
      </c>
      <c r="I12" s="2775">
        <f t="shared" si="2"/>
        <v>0.26642300000000002</v>
      </c>
      <c r="J12" s="728">
        <f t="shared" si="0"/>
        <v>2</v>
      </c>
      <c r="K12" s="729">
        <f>K11</f>
        <v>81</v>
      </c>
      <c r="L12" s="2129" t="s">
        <v>184</v>
      </c>
      <c r="R12" s="1214"/>
      <c r="V12" s="141" t="s">
        <v>30</v>
      </c>
      <c r="W12" s="142"/>
      <c r="X12" s="730"/>
      <c r="Y12" s="734">
        <v>280.99</v>
      </c>
      <c r="Z12" s="731">
        <v>280.99</v>
      </c>
      <c r="AA12" s="731">
        <v>280.99</v>
      </c>
      <c r="AB12" s="731">
        <v>280.99</v>
      </c>
      <c r="AC12" s="731">
        <v>277.35000000000002</v>
      </c>
      <c r="AD12" s="733">
        <v>281.20999999999998</v>
      </c>
      <c r="AE12" s="141"/>
      <c r="AF12" s="141"/>
      <c r="AG12" s="141"/>
      <c r="AK12" s="732"/>
      <c r="BB12" s="40">
        <f t="shared" si="3"/>
        <v>0.71881598166633542</v>
      </c>
      <c r="BC12" s="1580" t="str">
        <f t="shared" si="1"/>
        <v>Cooling RES 2 Year EUL</v>
      </c>
      <c r="BD12" s="98">
        <f>(INDEX('Avoided Cost Benefits'!$E$4:$E$859,MATCH(BC12,'Avoided Cost Benefits'!$A$4:$A$859,0)))*F12</f>
        <v>54.954312897567881</v>
      </c>
      <c r="BE12" s="1581">
        <f t="shared" si="4"/>
        <v>76.451156205757428</v>
      </c>
    </row>
    <row r="13" spans="1:57" x14ac:dyDescent="0.35">
      <c r="B13" s="1040"/>
      <c r="C13" s="831" t="s">
        <v>1530</v>
      </c>
      <c r="D13" s="1279" t="s">
        <v>1517</v>
      </c>
      <c r="E13" s="178" t="s">
        <v>1531</v>
      </c>
      <c r="F13" s="733">
        <f>ROUND(($G$28*$G$30*(1/$G$34-1/$G$39)/$G$42),2)</f>
        <v>98.46</v>
      </c>
      <c r="G13" s="1279" t="s">
        <v>257</v>
      </c>
      <c r="H13" s="136">
        <f>VLOOKUP(G13,'CP FACTORS'!$A$3:$B$38, 2, FALSE)</f>
        <v>9.4741810000000004E-4</v>
      </c>
      <c r="I13" s="2775">
        <f t="shared" si="2"/>
        <v>9.3283000000000005E-2</v>
      </c>
      <c r="J13" s="728">
        <f t="shared" si="0"/>
        <v>2</v>
      </c>
      <c r="K13" s="729">
        <f>G48</f>
        <v>63</v>
      </c>
      <c r="L13" s="2129" t="s">
        <v>184</v>
      </c>
      <c r="R13" s="1214"/>
      <c r="V13" s="141" t="s">
        <v>30</v>
      </c>
      <c r="W13" s="142">
        <v>98.380013276987171</v>
      </c>
      <c r="X13" s="730">
        <v>98.380013276987171</v>
      </c>
      <c r="Y13" s="731">
        <v>98.38</v>
      </c>
      <c r="Z13" s="731">
        <v>98.38</v>
      </c>
      <c r="AA13" s="731">
        <v>98.38</v>
      </c>
      <c r="AB13" s="731">
        <v>98.38</v>
      </c>
      <c r="AC13" s="731">
        <v>97.11</v>
      </c>
      <c r="AD13" s="733">
        <v>98.46</v>
      </c>
      <c r="AE13" s="141"/>
      <c r="AF13" s="141"/>
      <c r="AG13" s="141"/>
      <c r="AK13" s="732"/>
      <c r="BB13" s="40">
        <f t="shared" si="3"/>
        <v>0.32358714839129199</v>
      </c>
      <c r="BC13" s="1580" t="str">
        <f t="shared" si="1"/>
        <v>Cooling RES 2 Year EUL</v>
      </c>
      <c r="BD13" s="98">
        <f>(INDEX('Avoided Cost Benefits'!$E$4:$E$859,MATCH(BC13,'Avoided Cost Benefits'!$A$4:$A$859,0)))*F13</f>
        <v>19.241142377207545</v>
      </c>
      <c r="BE13" s="1581">
        <f t="shared" si="4"/>
        <v>59.462010382255777</v>
      </c>
    </row>
    <row r="14" spans="1:57" x14ac:dyDescent="0.35">
      <c r="B14" s="1040"/>
      <c r="C14" s="831" t="s">
        <v>1532</v>
      </c>
      <c r="D14" s="1279" t="s">
        <v>1518</v>
      </c>
      <c r="E14" s="178" t="s">
        <v>1533</v>
      </c>
      <c r="F14" s="733">
        <f>ROUND(($G$28*$G$31*(1/$G$34-1/$G$39)/$G$42),2)</f>
        <v>64</v>
      </c>
      <c r="G14" s="1279" t="s">
        <v>257</v>
      </c>
      <c r="H14" s="136">
        <f>VLOOKUP(G14,'CP FACTORS'!$A$3:$B$38, 2, FALSE)</f>
        <v>9.4741810000000004E-4</v>
      </c>
      <c r="I14" s="2775">
        <f t="shared" si="2"/>
        <v>6.0635000000000001E-2</v>
      </c>
      <c r="J14" s="728">
        <f t="shared" si="0"/>
        <v>2</v>
      </c>
      <c r="K14" s="729">
        <f>G49</f>
        <v>63</v>
      </c>
      <c r="L14" s="2129" t="s">
        <v>184</v>
      </c>
      <c r="R14" s="1214"/>
      <c r="V14" s="141" t="s">
        <v>30</v>
      </c>
      <c r="W14" s="142">
        <v>63.947008630041665</v>
      </c>
      <c r="X14" s="730">
        <v>63.947008630041665</v>
      </c>
      <c r="Y14" s="731">
        <v>63.95</v>
      </c>
      <c r="Z14" s="731">
        <v>63.95</v>
      </c>
      <c r="AA14" s="731">
        <v>63.95</v>
      </c>
      <c r="AB14" s="731">
        <v>63.95</v>
      </c>
      <c r="AC14" s="731">
        <v>63.12</v>
      </c>
      <c r="AD14" s="733">
        <v>64</v>
      </c>
      <c r="AE14" s="141"/>
      <c r="AF14" s="141"/>
      <c r="AG14" s="141"/>
      <c r="AK14" s="732"/>
      <c r="BB14" s="40">
        <f t="shared" si="3"/>
        <v>0.21033493293766695</v>
      </c>
      <c r="BC14" s="1580" t="str">
        <f t="shared" si="1"/>
        <v>Cooling RES 2 Year EUL</v>
      </c>
      <c r="BD14" s="98">
        <f>(INDEX('Avoided Cost Benefits'!$E$4:$E$859,MATCH(BC14,'Avoided Cost Benefits'!$A$4:$A$859,0)))*F14</f>
        <v>12.506937966090625</v>
      </c>
      <c r="BE14" s="1581">
        <f t="shared" si="4"/>
        <v>59.462010382255777</v>
      </c>
    </row>
    <row r="15" spans="1:57" x14ac:dyDescent="0.35">
      <c r="B15" s="1040"/>
      <c r="C15" s="831" t="s">
        <v>1534</v>
      </c>
      <c r="D15" s="395" t="s">
        <v>1519</v>
      </c>
      <c r="E15" s="2352" t="str">
        <f>CONCATENATE(E14,"_CompE")</f>
        <v>AC Tune-up /Indoor Coil (Evaporator) Cleaning MF_CompE</v>
      </c>
      <c r="F15" s="733">
        <f>ROUND(($G$29*$G$31*(1/$G$34-1/$G$39)/$G$42),2)</f>
        <v>46.54</v>
      </c>
      <c r="G15" s="1279" t="s">
        <v>257</v>
      </c>
      <c r="H15" s="136">
        <f>VLOOKUP(G15,'CP FACTORS'!$A$3:$B$38, 2, FALSE)</f>
        <v>9.4741810000000004E-4</v>
      </c>
      <c r="I15" s="2775">
        <f t="shared" si="2"/>
        <v>4.4093E-2</v>
      </c>
      <c r="J15" s="728">
        <f t="shared" si="0"/>
        <v>2</v>
      </c>
      <c r="K15" s="729">
        <v>63</v>
      </c>
      <c r="L15" s="2129" t="s">
        <v>184</v>
      </c>
      <c r="R15" s="1214"/>
      <c r="V15" s="141" t="s">
        <v>30</v>
      </c>
      <c r="W15" s="142"/>
      <c r="X15" s="730"/>
      <c r="Y15" s="734">
        <v>46.51</v>
      </c>
      <c r="Z15" s="731">
        <v>46.51</v>
      </c>
      <c r="AA15" s="731">
        <v>46.51</v>
      </c>
      <c r="AB15" s="731">
        <v>46.51</v>
      </c>
      <c r="AC15" s="731">
        <v>45.91</v>
      </c>
      <c r="AD15" s="733">
        <v>46.54</v>
      </c>
      <c r="AE15" s="141"/>
      <c r="AF15" s="141"/>
      <c r="AG15" s="141"/>
      <c r="AK15" s="732"/>
      <c r="BB15" s="40">
        <f t="shared" si="3"/>
        <v>0.1529529340456097</v>
      </c>
      <c r="BC15" s="1580" t="str">
        <f t="shared" si="1"/>
        <v>Cooling RES 2 Year EUL</v>
      </c>
      <c r="BD15" s="98">
        <f>(INDEX('Avoided Cost Benefits'!$E$4:$E$859,MATCH(BC15,'Avoided Cost Benefits'!$A$4:$A$859,0)))*F15</f>
        <v>9.094888952216527</v>
      </c>
      <c r="BE15" s="1581">
        <f t="shared" si="4"/>
        <v>59.462010382255777</v>
      </c>
    </row>
    <row r="16" spans="1:57" x14ac:dyDescent="0.35">
      <c r="B16" s="1040"/>
      <c r="C16" s="831" t="s">
        <v>1535</v>
      </c>
      <c r="D16" s="1279" t="s">
        <v>1517</v>
      </c>
      <c r="E16" s="178" t="s">
        <v>1536</v>
      </c>
      <c r="F16" s="733">
        <f>ROUND(($G$28*$G$30*(1/$G$35-1/$G$40)/$G$42),2)</f>
        <v>196.91</v>
      </c>
      <c r="G16" s="1279" t="s">
        <v>257</v>
      </c>
      <c r="H16" s="136">
        <f>VLOOKUP(G16,'CP FACTORS'!$A$3:$B$38, 2, FALSE)</f>
        <v>9.4741810000000004E-4</v>
      </c>
      <c r="I16" s="2775">
        <f t="shared" si="2"/>
        <v>0.186556</v>
      </c>
      <c r="J16" s="728">
        <f t="shared" si="0"/>
        <v>2</v>
      </c>
      <c r="K16" s="729">
        <f>G50</f>
        <v>31</v>
      </c>
      <c r="L16" s="2129" t="s">
        <v>184</v>
      </c>
      <c r="R16" s="1214"/>
      <c r="V16" s="141" t="s">
        <v>30</v>
      </c>
      <c r="W16" s="142">
        <v>196.75522776302316</v>
      </c>
      <c r="X16" s="730">
        <v>196.75522776302316</v>
      </c>
      <c r="Y16" s="731">
        <v>196.76</v>
      </c>
      <c r="Z16" s="731">
        <v>196.76</v>
      </c>
      <c r="AA16" s="731">
        <v>196.76</v>
      </c>
      <c r="AB16" s="731">
        <v>196.76</v>
      </c>
      <c r="AC16" s="731">
        <v>194.21</v>
      </c>
      <c r="AD16" s="733">
        <v>196.91</v>
      </c>
      <c r="AE16" s="141"/>
      <c r="AF16" s="141"/>
      <c r="AG16" s="141"/>
      <c r="AK16" s="732"/>
      <c r="BB16" s="40">
        <f t="shared" si="3"/>
        <v>1.3151583939615059</v>
      </c>
      <c r="BC16" s="1580" t="str">
        <f t="shared" si="1"/>
        <v>Cooling RES 2 Year EUL</v>
      </c>
      <c r="BD16" s="98">
        <f>(INDEX('Avoided Cost Benefits'!$E$4:$E$859,MATCH(BC16,'Avoided Cost Benefits'!$A$4:$A$859,0)))*F16</f>
        <v>38.480330545357887</v>
      </c>
      <c r="BE16" s="1581">
        <f t="shared" si="4"/>
        <v>29.259084473808397</v>
      </c>
    </row>
    <row r="17" spans="2:57" x14ac:dyDescent="0.35">
      <c r="B17" s="1040"/>
      <c r="C17" s="831" t="s">
        <v>1537</v>
      </c>
      <c r="D17" s="1279" t="s">
        <v>1518</v>
      </c>
      <c r="E17" s="178" t="s">
        <v>1538</v>
      </c>
      <c r="F17" s="733">
        <f>ROUND(($G$28*$G$31*(1/$G$35-1/$G$40)/$G$42),2)</f>
        <v>127.99</v>
      </c>
      <c r="G17" s="1279" t="s">
        <v>257</v>
      </c>
      <c r="H17" s="136">
        <f>VLOOKUP(G17,'CP FACTORS'!$A$3:$B$38, 2, FALSE)</f>
        <v>9.4741810000000004E-4</v>
      </c>
      <c r="I17" s="2775">
        <f t="shared" si="2"/>
        <v>0.12126000000000001</v>
      </c>
      <c r="J17" s="728">
        <f t="shared" si="0"/>
        <v>2</v>
      </c>
      <c r="K17" s="729">
        <f>G51</f>
        <v>31</v>
      </c>
      <c r="L17" s="2129" t="s">
        <v>184</v>
      </c>
      <c r="R17" s="1214"/>
      <c r="V17" s="141" t="s">
        <v>30</v>
      </c>
      <c r="W17" s="142">
        <v>127.89089804596506</v>
      </c>
      <c r="X17" s="730">
        <v>127.89089804596506</v>
      </c>
      <c r="Y17" s="731">
        <v>127.89</v>
      </c>
      <c r="Z17" s="731">
        <v>127.89</v>
      </c>
      <c r="AA17" s="731">
        <v>127.89</v>
      </c>
      <c r="AB17" s="731">
        <v>127.89</v>
      </c>
      <c r="AC17" s="731">
        <v>126.24</v>
      </c>
      <c r="AD17" s="733">
        <v>127.99</v>
      </c>
      <c r="AE17" s="141"/>
      <c r="AF17" s="141"/>
      <c r="AG17" s="141"/>
      <c r="AK17" s="732"/>
      <c r="BB17" s="40">
        <f t="shared" si="3"/>
        <v>0.85484293760161068</v>
      </c>
      <c r="BC17" s="1580" t="str">
        <f t="shared" si="1"/>
        <v>Cooling RES 2 Year EUL</v>
      </c>
      <c r="BD17" s="98">
        <f>(INDEX('Avoided Cost Benefits'!$E$4:$E$859,MATCH(BC17,'Avoided Cost Benefits'!$A$4:$A$859,0)))*F17</f>
        <v>25.011921723124047</v>
      </c>
      <c r="BE17" s="1581">
        <f t="shared" si="4"/>
        <v>29.259084473808397</v>
      </c>
    </row>
    <row r="18" spans="2:57" x14ac:dyDescent="0.35">
      <c r="B18" s="1040"/>
      <c r="C18" s="831" t="s">
        <v>1539</v>
      </c>
      <c r="D18" s="395" t="s">
        <v>1519</v>
      </c>
      <c r="E18" s="2352" t="str">
        <f>CONCATENATE(E17,"_CompE")</f>
        <v>AC Tune-up /Outdoor Coil (Condenser) Cleaning MF_CompE</v>
      </c>
      <c r="F18" s="733">
        <f>ROUND(($G$29*$G$31*(1/$G$35-1/$G$40)/$G$42),2)</f>
        <v>93.09</v>
      </c>
      <c r="G18" s="1279" t="s">
        <v>257</v>
      </c>
      <c r="H18" s="136">
        <f>VLOOKUP(G18,'CP FACTORS'!$A$3:$B$38, 2, FALSE)</f>
        <v>9.4741810000000004E-4</v>
      </c>
      <c r="I18" s="2775">
        <f t="shared" si="2"/>
        <v>8.8194999999999996E-2</v>
      </c>
      <c r="J18" s="728">
        <f t="shared" si="0"/>
        <v>2</v>
      </c>
      <c r="K18" s="729">
        <f>K17</f>
        <v>31</v>
      </c>
      <c r="L18" s="2129" t="s">
        <v>184</v>
      </c>
      <c r="R18" s="1214"/>
      <c r="V18" s="141" t="s">
        <v>30</v>
      </c>
      <c r="W18" s="142"/>
      <c r="X18" s="730"/>
      <c r="Y18" s="734">
        <v>93.01</v>
      </c>
      <c r="Z18" s="731">
        <v>93.01</v>
      </c>
      <c r="AA18" s="731">
        <v>93.01</v>
      </c>
      <c r="AB18" s="731">
        <v>93.01</v>
      </c>
      <c r="AC18" s="731">
        <v>91.81</v>
      </c>
      <c r="AD18" s="733">
        <v>93.09</v>
      </c>
      <c r="AE18" s="141"/>
      <c r="AF18" s="141"/>
      <c r="AG18" s="141"/>
      <c r="AK18" s="732"/>
      <c r="BB18" s="40">
        <f t="shared" si="3"/>
        <v>0.62174645723364275</v>
      </c>
      <c r="BC18" s="1580" t="str">
        <f t="shared" si="1"/>
        <v>Cooling RES 2 Year EUL</v>
      </c>
      <c r="BD18" s="98">
        <f>(INDEX('Avoided Cost Benefits'!$E$4:$E$859,MATCH(BC18,'Avoided Cost Benefits'!$A$4:$A$859,0)))*F18</f>
        <v>18.191732113490254</v>
      </c>
      <c r="BE18" s="1581">
        <f t="shared" si="4"/>
        <v>29.259084473808397</v>
      </c>
    </row>
    <row r="19" spans="2:57" s="1863" customFormat="1" x14ac:dyDescent="0.35">
      <c r="B19" s="2144"/>
      <c r="C19" s="88" t="s">
        <v>4204</v>
      </c>
      <c r="D19" s="88" t="s">
        <v>1517</v>
      </c>
      <c r="E19" s="2333" t="s">
        <v>4173</v>
      </c>
      <c r="F19" s="293">
        <f>ROUND(G28*G30*(1/G$36-1/G$41)/G42,2)</f>
        <v>370.29</v>
      </c>
      <c r="G19" s="88" t="s">
        <v>257</v>
      </c>
      <c r="H19" s="2683">
        <f>VLOOKUP(G19,'CP FACTORS'!$A$3:$B$38, 2, FALSE)</f>
        <v>9.4741810000000004E-4</v>
      </c>
      <c r="I19" s="293">
        <f t="shared" ref="I19:I21" si="5">ROUND(F19*H19,6)</f>
        <v>0.35081899999999999</v>
      </c>
      <c r="J19" s="2684">
        <f t="shared" ref="J19:J21" si="6">$G$43</f>
        <v>2</v>
      </c>
      <c r="K19" s="420">
        <f>G52</f>
        <v>185</v>
      </c>
      <c r="L19" s="88" t="s">
        <v>184</v>
      </c>
      <c r="M19" s="199"/>
      <c r="N19" s="199"/>
      <c r="V19" s="2960" t="s">
        <v>30</v>
      </c>
      <c r="W19" s="2469"/>
      <c r="X19" s="2470"/>
      <c r="Y19" s="2471"/>
      <c r="Z19" s="2471"/>
      <c r="AA19" s="2471"/>
      <c r="AB19" s="2471"/>
      <c r="AC19" s="731">
        <v>365.21</v>
      </c>
      <c r="AD19" s="293">
        <v>370.29</v>
      </c>
      <c r="AE19" s="141"/>
      <c r="AF19" s="141"/>
      <c r="AG19" s="141"/>
      <c r="BB19" s="40">
        <f t="shared" ref="BB19:BB21" si="7">(BD19)/(BE19)</f>
        <v>0.41442146165555649</v>
      </c>
      <c r="BC19" s="1580" t="str">
        <f t="shared" ref="BC19:BC21" si="8">CONCATENATE(G19," ",J19," Year EUL")</f>
        <v>Cooling RES 2 Year EUL</v>
      </c>
      <c r="BD19" s="98">
        <f>(INDEX('Avoided Cost Benefits'!$E$4:$E$859,MATCH(BC19,'Avoided Cost Benefits'!$A$4:$A$859,0)))*F19</f>
        <v>72.362407179120282</v>
      </c>
      <c r="BE19" s="1581">
        <f t="shared" ref="BE19:BE21" si="9">K19/(1.0595^(2020-2019))</f>
        <v>174.61066540821139</v>
      </c>
    </row>
    <row r="20" spans="2:57" s="1863" customFormat="1" x14ac:dyDescent="0.35">
      <c r="B20" s="2144"/>
      <c r="C20" s="88" t="s">
        <v>4205</v>
      </c>
      <c r="D20" s="88" t="s">
        <v>1518</v>
      </c>
      <c r="E20" s="2333" t="s">
        <v>4174</v>
      </c>
      <c r="F20" s="293">
        <f>ROUND(G28*G31*(1/G$36-1/G$41)/G42,2)</f>
        <v>240.69</v>
      </c>
      <c r="G20" s="88" t="s">
        <v>257</v>
      </c>
      <c r="H20" s="2683">
        <f>VLOOKUP(G20,'CP FACTORS'!$A$3:$B$38, 2, FALSE)</f>
        <v>9.4741810000000004E-4</v>
      </c>
      <c r="I20" s="293">
        <f t="shared" si="5"/>
        <v>0.22803399999999999</v>
      </c>
      <c r="J20" s="2684">
        <f t="shared" si="6"/>
        <v>2</v>
      </c>
      <c r="K20" s="420">
        <f>G53</f>
        <v>185</v>
      </c>
      <c r="L20" s="88" t="s">
        <v>184</v>
      </c>
      <c r="M20" s="199"/>
      <c r="N20" s="199"/>
      <c r="V20" s="2960" t="s">
        <v>30</v>
      </c>
      <c r="W20" s="2469"/>
      <c r="X20" s="2470"/>
      <c r="Y20" s="2471"/>
      <c r="Z20" s="2471"/>
      <c r="AA20" s="2471"/>
      <c r="AB20" s="2471"/>
      <c r="AC20" s="731">
        <v>237.39</v>
      </c>
      <c r="AD20" s="293">
        <v>240.69</v>
      </c>
      <c r="AE20" s="141"/>
      <c r="AF20" s="141"/>
      <c r="AG20" s="141"/>
      <c r="BB20" s="40">
        <f t="shared" si="7"/>
        <v>0.26937562884732474</v>
      </c>
      <c r="BC20" s="1580" t="str">
        <f t="shared" si="8"/>
        <v>Cooling RES 2 Year EUL</v>
      </c>
      <c r="BD20" s="98">
        <f>(INDEX('Avoided Cost Benefits'!$E$4:$E$859,MATCH(BC20,'Avoided Cost Benefits'!$A$4:$A$859,0)))*F20</f>
        <v>47.035857797786761</v>
      </c>
      <c r="BE20" s="1581">
        <f t="shared" si="9"/>
        <v>174.61066540821139</v>
      </c>
    </row>
    <row r="21" spans="2:57" s="1863" customFormat="1" x14ac:dyDescent="0.35">
      <c r="B21" s="2144"/>
      <c r="C21" s="88" t="s">
        <v>4206</v>
      </c>
      <c r="D21" s="88" t="s">
        <v>1519</v>
      </c>
      <c r="E21" s="2333" t="s">
        <v>4223</v>
      </c>
      <c r="F21" s="293">
        <f>ROUND(G29*G31*(1/G$36-1/G$41)/G42,2)</f>
        <v>175.05</v>
      </c>
      <c r="G21" s="88" t="s">
        <v>257</v>
      </c>
      <c r="H21" s="2683">
        <f>VLOOKUP(G21,'CP FACTORS'!$A$3:$B$38, 2, FALSE)</f>
        <v>9.4741810000000004E-4</v>
      </c>
      <c r="I21" s="293">
        <f t="shared" si="5"/>
        <v>0.16584599999999999</v>
      </c>
      <c r="J21" s="2684">
        <f t="shared" si="6"/>
        <v>2</v>
      </c>
      <c r="K21" s="420">
        <f>G53</f>
        <v>185</v>
      </c>
      <c r="L21" s="88" t="s">
        <v>184</v>
      </c>
      <c r="M21" s="199"/>
      <c r="N21" s="199"/>
      <c r="V21" s="2960" t="s">
        <v>30</v>
      </c>
      <c r="W21" s="2469"/>
      <c r="X21" s="2470"/>
      <c r="Y21" s="2471"/>
      <c r="Z21" s="2471"/>
      <c r="AA21" s="2471"/>
      <c r="AB21" s="2471"/>
      <c r="AC21" s="731">
        <v>172.64</v>
      </c>
      <c r="AD21" s="293">
        <v>175.05</v>
      </c>
      <c r="AE21" s="141"/>
      <c r="AF21" s="141"/>
      <c r="AG21" s="141"/>
      <c r="BB21" s="41">
        <f t="shared" si="7"/>
        <v>0.19591260056389631</v>
      </c>
      <c r="BC21" s="1580" t="str">
        <f t="shared" si="8"/>
        <v>Cooling RES 2 Year EUL</v>
      </c>
      <c r="BD21" s="102">
        <f>(INDEX('Avoided Cost Benefits'!$E$4:$E$859,MATCH(BC21,'Avoided Cost Benefits'!$A$4:$A$859,0)))*F21</f>
        <v>34.208429546315067</v>
      </c>
      <c r="BE21" s="1582">
        <f t="shared" si="9"/>
        <v>174.61066540821139</v>
      </c>
    </row>
    <row r="22" spans="2:57" hidden="1" outlineLevel="1" x14ac:dyDescent="0.35">
      <c r="B22" s="1040"/>
      <c r="C22" s="130"/>
      <c r="D22" s="131"/>
      <c r="E22" s="131"/>
      <c r="F22" s="149"/>
      <c r="G22" s="132"/>
      <c r="H22" s="132"/>
      <c r="I22" s="132"/>
      <c r="J22" s="132"/>
      <c r="V22"/>
      <c r="W22"/>
      <c r="X22"/>
      <c r="Y22" s="87"/>
      <c r="Z22"/>
      <c r="AA22"/>
      <c r="AB22"/>
      <c r="AC22"/>
      <c r="AD22"/>
      <c r="AE22"/>
      <c r="AF22"/>
      <c r="AG22"/>
      <c r="AK22" s="732"/>
    </row>
    <row r="23" spans="2:57" hidden="1" outlineLevel="1" x14ac:dyDescent="0.35">
      <c r="B23" s="1040"/>
      <c r="C23" s="130"/>
      <c r="D23" s="148" t="s">
        <v>1540</v>
      </c>
      <c r="E23" s="280"/>
      <c r="F23" s="1325"/>
      <c r="G23" s="132"/>
      <c r="H23" s="132"/>
      <c r="I23" s="132"/>
      <c r="J23" s="132"/>
      <c r="V23"/>
      <c r="W23"/>
      <c r="X23"/>
      <c r="Y23" s="87"/>
      <c r="Z23"/>
      <c r="AA23"/>
      <c r="AB23"/>
      <c r="AC23"/>
      <c r="AD23"/>
      <c r="AE23"/>
      <c r="AF23"/>
      <c r="AG23"/>
      <c r="AK23" s="732"/>
    </row>
    <row r="24" spans="2:57" hidden="1" outlineLevel="1" x14ac:dyDescent="0.35">
      <c r="B24" s="1040"/>
      <c r="C24" s="130"/>
      <c r="D24" s="1010"/>
      <c r="E24" s="1326"/>
      <c r="F24" s="1325"/>
      <c r="G24" s="132"/>
      <c r="H24" s="132"/>
      <c r="I24" s="132"/>
      <c r="J24" s="132"/>
      <c r="K24" s="132"/>
      <c r="L24" s="132"/>
      <c r="V24"/>
      <c r="W24"/>
      <c r="X24"/>
      <c r="Y24" s="87"/>
      <c r="Z24"/>
      <c r="AA24"/>
      <c r="AB24"/>
      <c r="AC24"/>
      <c r="AD24"/>
      <c r="AE24"/>
      <c r="AF24"/>
      <c r="AG24"/>
      <c r="AK24" s="732"/>
    </row>
    <row r="25" spans="2:57" ht="15" hidden="1" customHeight="1" outlineLevel="1" x14ac:dyDescent="0.35">
      <c r="B25" s="1040"/>
      <c r="C25" s="130"/>
      <c r="D25" s="1010"/>
      <c r="E25" s="280"/>
      <c r="F25" s="1325"/>
      <c r="G25" s="132"/>
      <c r="H25" s="132"/>
      <c r="I25" s="132"/>
      <c r="J25" s="132"/>
      <c r="K25" s="132"/>
      <c r="L25" s="132"/>
      <c r="AK25" s="732"/>
    </row>
    <row r="26" spans="2:57" ht="15" hidden="1" customHeight="1" outlineLevel="1" x14ac:dyDescent="0.35">
      <c r="B26" s="1040"/>
      <c r="C26" s="130"/>
      <c r="D26" s="131"/>
      <c r="E26" s="131"/>
      <c r="F26" s="132"/>
      <c r="G26" s="132"/>
      <c r="H26" s="132"/>
      <c r="I26" s="132"/>
      <c r="J26" s="132"/>
      <c r="K26" s="132"/>
      <c r="L26" s="132"/>
      <c r="AK26" s="732"/>
    </row>
    <row r="27" spans="2:57" ht="15" hidden="1" customHeight="1" outlineLevel="1" x14ac:dyDescent="0.35">
      <c r="B27" s="1040"/>
      <c r="C27" s="130"/>
      <c r="D27" s="333" t="s">
        <v>108</v>
      </c>
      <c r="E27" s="333" t="s">
        <v>109</v>
      </c>
      <c r="F27" s="333" t="s">
        <v>185</v>
      </c>
      <c r="G27" s="2980" t="s">
        <v>111</v>
      </c>
      <c r="H27" s="4027" t="s">
        <v>186</v>
      </c>
      <c r="I27" s="4027"/>
      <c r="J27" s="4236"/>
      <c r="K27" s="4027" t="s">
        <v>112</v>
      </c>
      <c r="L27" s="4027"/>
      <c r="M27" s="4027"/>
      <c r="N27" s="4027"/>
      <c r="V27" s="1572" t="s">
        <v>44</v>
      </c>
      <c r="W27" s="1573">
        <f>W$6</f>
        <v>43252</v>
      </c>
      <c r="X27" s="1573">
        <f t="shared" ref="X27:AG27" si="10">X$6</f>
        <v>43465</v>
      </c>
      <c r="Y27" s="316">
        <f t="shared" si="10"/>
        <v>43800</v>
      </c>
      <c r="Z27" s="1573">
        <f t="shared" si="10"/>
        <v>43862</v>
      </c>
      <c r="AA27" s="1573">
        <f t="shared" si="10"/>
        <v>44013</v>
      </c>
      <c r="AB27" s="1573">
        <f t="shared" si="10"/>
        <v>44166</v>
      </c>
      <c r="AC27" s="1573">
        <f t="shared" si="10"/>
        <v>44531</v>
      </c>
      <c r="AD27" s="1573">
        <f t="shared" si="10"/>
        <v>44774</v>
      </c>
      <c r="AE27" s="1573" t="str">
        <f t="shared" si="10"/>
        <v>-</v>
      </c>
      <c r="AF27" s="1573" t="str">
        <f t="shared" si="10"/>
        <v>-</v>
      </c>
      <c r="AG27" s="1573" t="str">
        <f t="shared" si="10"/>
        <v>-</v>
      </c>
      <c r="AK27" s="732"/>
    </row>
    <row r="28" spans="2:57" ht="18" hidden="1" customHeight="1" outlineLevel="1" x14ac:dyDescent="0.35">
      <c r="B28" s="1040"/>
      <c r="C28" s="130"/>
      <c r="D28" s="4237" t="s">
        <v>1541</v>
      </c>
      <c r="E28" s="4239" t="s">
        <v>1119</v>
      </c>
      <c r="F28" s="840" t="s">
        <v>313</v>
      </c>
      <c r="G28" s="837">
        <v>869</v>
      </c>
      <c r="H28" s="4253" t="s">
        <v>513</v>
      </c>
      <c r="I28" s="4254"/>
      <c r="J28" s="4255"/>
      <c r="K28" s="4259"/>
      <c r="L28" s="4259"/>
      <c r="M28" s="4259"/>
      <c r="N28" s="4260"/>
      <c r="V28" s="4246" t="str">
        <f>D28</f>
        <v>EFLHcool</v>
      </c>
      <c r="W28" s="735">
        <v>869</v>
      </c>
      <c r="X28" s="735">
        <v>869</v>
      </c>
      <c r="Y28" s="735">
        <v>869</v>
      </c>
      <c r="Z28" s="837">
        <v>869</v>
      </c>
      <c r="AA28" s="837">
        <v>869</v>
      </c>
      <c r="AB28" s="837">
        <v>869</v>
      </c>
      <c r="AC28" s="2487">
        <v>869</v>
      </c>
      <c r="AD28" s="2487">
        <v>869</v>
      </c>
      <c r="AE28" s="177"/>
      <c r="AF28" s="177"/>
      <c r="AG28" s="177"/>
      <c r="AK28" s="732"/>
    </row>
    <row r="29" spans="2:57" ht="18" hidden="1" customHeight="1" outlineLevel="1" thickBot="1" x14ac:dyDescent="0.4">
      <c r="B29" s="1040"/>
      <c r="C29" s="130"/>
      <c r="D29" s="4024"/>
      <c r="E29" s="3907"/>
      <c r="F29" s="1747" t="s">
        <v>512</v>
      </c>
      <c r="G29" s="3191">
        <v>632</v>
      </c>
      <c r="H29" s="4256"/>
      <c r="I29" s="4257"/>
      <c r="J29" s="4258"/>
      <c r="K29" s="4251"/>
      <c r="L29" s="4251"/>
      <c r="M29" s="4251"/>
      <c r="N29" s="4252"/>
      <c r="V29" s="4261"/>
      <c r="W29" s="735"/>
      <c r="X29" s="735"/>
      <c r="Y29" s="736">
        <v>632</v>
      </c>
      <c r="Z29" s="837">
        <v>632</v>
      </c>
      <c r="AA29" s="837">
        <v>632</v>
      </c>
      <c r="AB29" s="837">
        <v>632</v>
      </c>
      <c r="AC29" s="2487">
        <v>632</v>
      </c>
      <c r="AD29" s="2487">
        <v>632</v>
      </c>
      <c r="AE29" s="177"/>
      <c r="AF29" s="177"/>
      <c r="AG29" s="177"/>
      <c r="AK29" s="732"/>
    </row>
    <row r="30" spans="2:57" ht="15" hidden="1" customHeight="1" outlineLevel="1" x14ac:dyDescent="0.35">
      <c r="B30" s="1040"/>
      <c r="C30" s="130"/>
      <c r="D30" s="4237" t="s">
        <v>1542</v>
      </c>
      <c r="E30" s="4239" t="s">
        <v>1512</v>
      </c>
      <c r="F30" s="840" t="s">
        <v>318</v>
      </c>
      <c r="G30" s="3198">
        <v>36829.5</v>
      </c>
      <c r="H30" s="4241" t="s">
        <v>4420</v>
      </c>
      <c r="I30" s="4242"/>
      <c r="J30" s="4243"/>
      <c r="K30" s="4244" t="s">
        <v>4360</v>
      </c>
      <c r="L30" s="4244"/>
      <c r="M30" s="4244"/>
      <c r="N30" s="4245"/>
      <c r="V30" s="4246" t="str">
        <f>D30</f>
        <v>Capacitycool</v>
      </c>
      <c r="W30" s="735">
        <v>36800</v>
      </c>
      <c r="X30" s="735">
        <v>36800</v>
      </c>
      <c r="Y30" s="735">
        <v>36800</v>
      </c>
      <c r="Z30" s="837">
        <v>36800</v>
      </c>
      <c r="AA30" s="837">
        <v>36800</v>
      </c>
      <c r="AB30" s="837">
        <v>36800</v>
      </c>
      <c r="AC30" s="2487">
        <v>36324</v>
      </c>
      <c r="AD30" s="3197">
        <v>36829.5</v>
      </c>
      <c r="AE30" s="177"/>
      <c r="AF30" s="177"/>
      <c r="AG30" s="177"/>
      <c r="AK30" s="732"/>
    </row>
    <row r="31" spans="2:57" ht="15" hidden="1" customHeight="1" outlineLevel="1" thickBot="1" x14ac:dyDescent="0.4">
      <c r="B31" s="1040"/>
      <c r="C31" s="130"/>
      <c r="D31" s="4238"/>
      <c r="E31" s="4240"/>
      <c r="F31" s="3189" t="s">
        <v>320</v>
      </c>
      <c r="G31" s="3199">
        <f>G30*0.65</f>
        <v>23939.174999999999</v>
      </c>
      <c r="H31" s="4248" t="s">
        <v>4184</v>
      </c>
      <c r="I31" s="4249"/>
      <c r="J31" s="4250"/>
      <c r="K31" s="4251"/>
      <c r="L31" s="4251"/>
      <c r="M31" s="4251"/>
      <c r="N31" s="4252"/>
      <c r="V31" s="4247"/>
      <c r="W31" s="735">
        <v>23920</v>
      </c>
      <c r="X31" s="735">
        <v>23920</v>
      </c>
      <c r="Y31" s="735">
        <v>23920</v>
      </c>
      <c r="Z31" s="837">
        <v>23920</v>
      </c>
      <c r="AA31" s="837">
        <v>23920</v>
      </c>
      <c r="AB31" s="837">
        <v>23920</v>
      </c>
      <c r="AC31" s="2487">
        <v>23611</v>
      </c>
      <c r="AD31" s="2487">
        <v>23939.174999999999</v>
      </c>
      <c r="AE31" s="177"/>
      <c r="AF31" s="177"/>
      <c r="AG31" s="177"/>
      <c r="AK31" s="732"/>
    </row>
    <row r="32" spans="2:57" hidden="1" outlineLevel="1" x14ac:dyDescent="0.35">
      <c r="B32" s="1040"/>
      <c r="C32" s="130"/>
      <c r="D32" s="4237" t="s">
        <v>1544</v>
      </c>
      <c r="E32" s="4239" t="s">
        <v>1545</v>
      </c>
      <c r="F32" s="840" t="s">
        <v>1546</v>
      </c>
      <c r="G32" s="2964">
        <v>11.9</v>
      </c>
      <c r="H32" s="4259" t="s">
        <v>977</v>
      </c>
      <c r="I32" s="4259"/>
      <c r="J32" s="3818"/>
      <c r="K32" s="3763"/>
      <c r="L32" s="3763"/>
      <c r="M32" s="3763"/>
      <c r="N32" s="4262"/>
      <c r="V32" s="4268" t="str">
        <f>D32</f>
        <v>SEERtest-in</v>
      </c>
      <c r="W32" s="737">
        <v>11.9</v>
      </c>
      <c r="X32" s="737">
        <v>11.9</v>
      </c>
      <c r="Y32" s="737">
        <v>11.9</v>
      </c>
      <c r="Z32" s="2361">
        <v>11.9</v>
      </c>
      <c r="AA32" s="2361">
        <v>11.9</v>
      </c>
      <c r="AB32" s="2361">
        <v>11.9</v>
      </c>
      <c r="AC32" s="2487">
        <v>11.9</v>
      </c>
      <c r="AD32" s="2487">
        <v>11.9</v>
      </c>
      <c r="AE32" s="172"/>
      <c r="AF32" s="172"/>
      <c r="AG32" s="172"/>
      <c r="AK32" s="732"/>
    </row>
    <row r="33" spans="2:37" ht="15" hidden="1" customHeight="1" outlineLevel="1" x14ac:dyDescent="0.35">
      <c r="B33" s="1040"/>
      <c r="C33" s="130"/>
      <c r="D33" s="4263"/>
      <c r="E33" s="4264"/>
      <c r="F33" s="840" t="s">
        <v>1547</v>
      </c>
      <c r="G33" s="2964">
        <v>11.9</v>
      </c>
      <c r="H33" s="4259"/>
      <c r="I33" s="4259"/>
      <c r="J33" s="3818"/>
      <c r="K33" s="3763"/>
      <c r="L33" s="3763"/>
      <c r="M33" s="3763"/>
      <c r="N33" s="4262"/>
      <c r="V33" s="4269"/>
      <c r="W33" s="737">
        <v>11.9</v>
      </c>
      <c r="X33" s="737">
        <v>11.9</v>
      </c>
      <c r="Y33" s="737">
        <v>11.9</v>
      </c>
      <c r="Z33" s="2361">
        <v>11.9</v>
      </c>
      <c r="AA33" s="2361">
        <v>11.9</v>
      </c>
      <c r="AB33" s="2361">
        <v>11.9</v>
      </c>
      <c r="AC33" s="2487">
        <v>11.9</v>
      </c>
      <c r="AD33" s="2487">
        <v>11.9</v>
      </c>
      <c r="AE33" s="172"/>
      <c r="AF33" s="172"/>
      <c r="AG33" s="172"/>
      <c r="AK33" s="732"/>
    </row>
    <row r="34" spans="2:37" hidden="1" outlineLevel="1" x14ac:dyDescent="0.35">
      <c r="C34" s="130"/>
      <c r="D34" s="4263"/>
      <c r="E34" s="4264"/>
      <c r="F34" s="840" t="s">
        <v>1548</v>
      </c>
      <c r="G34" s="2964">
        <v>11.9</v>
      </c>
      <c r="H34" s="4259" t="s">
        <v>977</v>
      </c>
      <c r="I34" s="4259"/>
      <c r="J34" s="3818"/>
      <c r="K34" s="3763" t="s">
        <v>1549</v>
      </c>
      <c r="L34" s="3763"/>
      <c r="M34" s="3763"/>
      <c r="N34" s="4262"/>
      <c r="V34" s="4269"/>
      <c r="W34" s="737">
        <v>11.9</v>
      </c>
      <c r="X34" s="737">
        <v>11.9</v>
      </c>
      <c r="Y34" s="737">
        <v>11.9</v>
      </c>
      <c r="Z34" s="2361">
        <v>11.9</v>
      </c>
      <c r="AA34" s="2361">
        <v>11.9</v>
      </c>
      <c r="AB34" s="2361">
        <v>11.9</v>
      </c>
      <c r="AC34" s="2361">
        <v>11.9</v>
      </c>
      <c r="AD34" s="2964">
        <v>11.9</v>
      </c>
      <c r="AE34" s="172"/>
      <c r="AF34" s="172"/>
      <c r="AG34" s="172"/>
      <c r="AK34" s="732"/>
    </row>
    <row r="35" spans="2:37" ht="15" hidden="1" customHeight="1" outlineLevel="1" x14ac:dyDescent="0.35">
      <c r="C35" s="130"/>
      <c r="D35" s="4263"/>
      <c r="E35" s="4264"/>
      <c r="F35" s="840" t="s">
        <v>1550</v>
      </c>
      <c r="G35" s="2964">
        <v>11.9</v>
      </c>
      <c r="H35" s="4259"/>
      <c r="I35" s="4259"/>
      <c r="J35" s="3818"/>
      <c r="K35" s="3763"/>
      <c r="L35" s="3763"/>
      <c r="M35" s="3763"/>
      <c r="N35" s="4262"/>
      <c r="V35" s="4269"/>
      <c r="W35" s="737">
        <v>11.9</v>
      </c>
      <c r="X35" s="737">
        <v>11.9</v>
      </c>
      <c r="Y35" s="737">
        <v>11.9</v>
      </c>
      <c r="Z35" s="2361">
        <v>11.9</v>
      </c>
      <c r="AA35" s="2361">
        <v>11.9</v>
      </c>
      <c r="AB35" s="2361">
        <v>11.9</v>
      </c>
      <c r="AC35" s="2361">
        <v>11.9</v>
      </c>
      <c r="AD35" s="2964">
        <v>11.9</v>
      </c>
      <c r="AE35" s="172"/>
      <c r="AF35" s="172"/>
      <c r="AG35" s="172"/>
      <c r="AK35" s="732"/>
    </row>
    <row r="36" spans="2:37" ht="15" hidden="1" customHeight="1" outlineLevel="1" thickBot="1" x14ac:dyDescent="0.4">
      <c r="C36" s="130"/>
      <c r="D36" s="4238"/>
      <c r="E36" s="4240"/>
      <c r="F36" s="3189" t="s">
        <v>4172</v>
      </c>
      <c r="G36" s="3190">
        <f>G35</f>
        <v>11.9</v>
      </c>
      <c r="H36" s="4251"/>
      <c r="I36" s="4251"/>
      <c r="J36" s="4265"/>
      <c r="K36" s="3764"/>
      <c r="L36" s="3764"/>
      <c r="M36" s="3764"/>
      <c r="N36" s="4266"/>
      <c r="V36" s="4270"/>
      <c r="W36" s="2469"/>
      <c r="X36" s="2470"/>
      <c r="Y36" s="2471"/>
      <c r="Z36" s="2471"/>
      <c r="AA36" s="2471"/>
      <c r="AB36" s="2471"/>
      <c r="AC36" s="1903">
        <v>11.9</v>
      </c>
      <c r="AD36" s="2964">
        <v>11.9</v>
      </c>
      <c r="AE36" s="172"/>
      <c r="AF36" s="172"/>
      <c r="AG36" s="172"/>
      <c r="AK36" s="732"/>
    </row>
    <row r="37" spans="2:37" ht="15" hidden="1" customHeight="1" outlineLevel="1" x14ac:dyDescent="0.35">
      <c r="B37" s="1040"/>
      <c r="C37" s="130"/>
      <c r="D37" s="4237" t="s">
        <v>1551</v>
      </c>
      <c r="E37" s="4239" t="s">
        <v>1552</v>
      </c>
      <c r="F37" s="840" t="s">
        <v>1546</v>
      </c>
      <c r="G37" s="2964">
        <f>G32*(1+0.056)</f>
        <v>12.566400000000002</v>
      </c>
      <c r="H37" s="4259" t="s">
        <v>977</v>
      </c>
      <c r="I37" s="4259"/>
      <c r="J37" s="3818"/>
      <c r="K37" s="3763"/>
      <c r="L37" s="3763"/>
      <c r="M37" s="3763"/>
      <c r="N37" s="4262"/>
      <c r="V37" s="4246" t="str">
        <f>D37</f>
        <v>SEERtest-out</v>
      </c>
      <c r="W37" s="737">
        <v>12.566400000000002</v>
      </c>
      <c r="X37" s="737">
        <f>X32*(1+0.056)</f>
        <v>12.566400000000002</v>
      </c>
      <c r="Y37" s="737">
        <f>Y32*(1+0.056)</f>
        <v>12.566400000000002</v>
      </c>
      <c r="Z37" s="2361">
        <f t="shared" ref="Z37:AA37" si="11">Z32*(1+0.056)</f>
        <v>12.566400000000002</v>
      </c>
      <c r="AA37" s="2361">
        <f t="shared" si="11"/>
        <v>12.566400000000002</v>
      </c>
      <c r="AB37" s="2361">
        <v>12.566400000000002</v>
      </c>
      <c r="AC37" s="2361">
        <v>12.566400000000002</v>
      </c>
      <c r="AD37" s="2964">
        <v>12.566400000000002</v>
      </c>
      <c r="AE37" s="172"/>
      <c r="AF37" s="172"/>
      <c r="AG37" s="172"/>
      <c r="AK37" s="732"/>
    </row>
    <row r="38" spans="2:37" ht="15" hidden="1" customHeight="1" outlineLevel="1" x14ac:dyDescent="0.35">
      <c r="B38" s="1040"/>
      <c r="C38" s="130"/>
      <c r="D38" s="4263"/>
      <c r="E38" s="4264"/>
      <c r="F38" s="840" t="s">
        <v>1547</v>
      </c>
      <c r="G38" s="2964">
        <f>G33*(1+0.284)</f>
        <v>15.2796</v>
      </c>
      <c r="H38" s="4259"/>
      <c r="I38" s="4259"/>
      <c r="J38" s="3818"/>
      <c r="K38" s="3763" t="s">
        <v>1549</v>
      </c>
      <c r="L38" s="3763"/>
      <c r="M38" s="3763"/>
      <c r="N38" s="4262"/>
      <c r="V38" s="4267"/>
      <c r="W38" s="737">
        <v>15.2796</v>
      </c>
      <c r="X38" s="737">
        <f>X33*(1+0.284)</f>
        <v>15.2796</v>
      </c>
      <c r="Y38" s="737">
        <f>Y33*(1+0.284)</f>
        <v>15.2796</v>
      </c>
      <c r="Z38" s="2361">
        <f t="shared" ref="Z38:AA38" si="12">Z33*(1+0.284)</f>
        <v>15.2796</v>
      </c>
      <c r="AA38" s="2361">
        <f t="shared" si="12"/>
        <v>15.2796</v>
      </c>
      <c r="AB38" s="2361">
        <v>15.2796</v>
      </c>
      <c r="AC38" s="2361">
        <v>15.2796</v>
      </c>
      <c r="AD38" s="2964">
        <v>15.2796</v>
      </c>
      <c r="AE38" s="172"/>
      <c r="AF38" s="172"/>
      <c r="AG38" s="172"/>
      <c r="AK38" s="732"/>
    </row>
    <row r="39" spans="2:37" hidden="1" outlineLevel="1" x14ac:dyDescent="0.35">
      <c r="C39" s="130"/>
      <c r="D39" s="4263"/>
      <c r="E39" s="4264"/>
      <c r="F39" s="840" t="s">
        <v>1548</v>
      </c>
      <c r="G39" s="2964">
        <f>G34*(1+0.038)</f>
        <v>12.352200000000002</v>
      </c>
      <c r="H39" s="4259" t="s">
        <v>977</v>
      </c>
      <c r="I39" s="4259"/>
      <c r="J39" s="3818"/>
      <c r="K39" s="3763" t="s">
        <v>1549</v>
      </c>
      <c r="L39" s="3763"/>
      <c r="M39" s="3763"/>
      <c r="N39" s="4262"/>
      <c r="V39" s="4267"/>
      <c r="W39" s="737">
        <v>12.352200000000002</v>
      </c>
      <c r="X39" s="737">
        <f>X34*(1+0.038)</f>
        <v>12.352200000000002</v>
      </c>
      <c r="Y39" s="737">
        <f>Y34*(1+0.038)</f>
        <v>12.352200000000002</v>
      </c>
      <c r="Z39" s="2361">
        <f t="shared" ref="Z39:AA39" si="13">Z34*(1+0.038)</f>
        <v>12.352200000000002</v>
      </c>
      <c r="AA39" s="2361">
        <f t="shared" si="13"/>
        <v>12.352200000000002</v>
      </c>
      <c r="AB39" s="2361">
        <v>12.352200000000002</v>
      </c>
      <c r="AC39" s="2361">
        <v>12.352200000000002</v>
      </c>
      <c r="AD39" s="2964">
        <v>12.352200000000002</v>
      </c>
      <c r="AE39" s="172"/>
      <c r="AF39" s="172"/>
      <c r="AG39" s="172"/>
      <c r="AK39" s="732"/>
    </row>
    <row r="40" spans="2:37" ht="15" hidden="1" customHeight="1" outlineLevel="1" x14ac:dyDescent="0.35">
      <c r="C40" s="130"/>
      <c r="D40" s="4263"/>
      <c r="E40" s="4264"/>
      <c r="F40" s="840" t="s">
        <v>1550</v>
      </c>
      <c r="G40" s="2975">
        <f>G35*(1+0.079)</f>
        <v>12.8401</v>
      </c>
      <c r="H40" s="4259"/>
      <c r="I40" s="4259"/>
      <c r="J40" s="3818"/>
      <c r="K40" s="3763" t="s">
        <v>1549</v>
      </c>
      <c r="L40" s="3763"/>
      <c r="M40" s="3763"/>
      <c r="N40" s="4262"/>
      <c r="V40" s="4267"/>
      <c r="W40" s="172">
        <v>12.8401</v>
      </c>
      <c r="X40" s="172">
        <f>X35*(1+0.079)</f>
        <v>12.8401</v>
      </c>
      <c r="Y40" s="172">
        <f>Y35*(1+0.079)</f>
        <v>12.8401</v>
      </c>
      <c r="Z40" s="2413">
        <f t="shared" ref="Z40:AA40" si="14">Z35*(1+0.079)</f>
        <v>12.8401</v>
      </c>
      <c r="AA40" s="2413">
        <f t="shared" si="14"/>
        <v>12.8401</v>
      </c>
      <c r="AB40" s="2413">
        <v>12.8401</v>
      </c>
      <c r="AC40" s="2413">
        <v>12.8401</v>
      </c>
      <c r="AD40" s="2975">
        <v>12.8401</v>
      </c>
      <c r="AE40" s="172"/>
      <c r="AF40" s="172"/>
      <c r="AG40" s="172"/>
      <c r="AK40" s="732"/>
    </row>
    <row r="41" spans="2:37" ht="15" hidden="1" outlineLevel="1" thickBot="1" x14ac:dyDescent="0.4">
      <c r="C41" s="130"/>
      <c r="D41" s="4238"/>
      <c r="E41" s="4240"/>
      <c r="F41" s="3189" t="s">
        <v>4172</v>
      </c>
      <c r="G41" s="3190">
        <v>13.8</v>
      </c>
      <c r="H41" s="3764" t="s">
        <v>4185</v>
      </c>
      <c r="I41" s="3764"/>
      <c r="J41" s="4248"/>
      <c r="K41" s="4251"/>
      <c r="L41" s="4251"/>
      <c r="M41" s="4251"/>
      <c r="N41" s="4252"/>
      <c r="V41" s="4247"/>
      <c r="W41" s="2469"/>
      <c r="X41" s="2470"/>
      <c r="Y41" s="2471"/>
      <c r="Z41" s="2471"/>
      <c r="AA41" s="2471"/>
      <c r="AB41" s="2471"/>
      <c r="AC41" s="1903">
        <v>13.8</v>
      </c>
      <c r="AD41" s="2964">
        <v>13.8</v>
      </c>
      <c r="AE41" s="172"/>
      <c r="AF41" s="172"/>
      <c r="AG41" s="172"/>
      <c r="AK41" s="732"/>
    </row>
    <row r="42" spans="2:37" ht="15" hidden="1" customHeight="1" outlineLevel="1" thickBot="1" x14ac:dyDescent="0.4">
      <c r="C42" s="130"/>
      <c r="D42" s="3192">
        <v>1000</v>
      </c>
      <c r="E42" s="3193" t="s">
        <v>1553</v>
      </c>
      <c r="F42" s="3189" t="s">
        <v>4175</v>
      </c>
      <c r="G42" s="3191">
        <v>1000</v>
      </c>
      <c r="H42" s="4271" t="s">
        <v>1554</v>
      </c>
      <c r="I42" s="4271"/>
      <c r="J42" s="4272"/>
      <c r="K42" s="4251"/>
      <c r="L42" s="4251"/>
      <c r="M42" s="4251"/>
      <c r="N42" s="4252"/>
      <c r="V42" s="738">
        <f>D42</f>
        <v>1000</v>
      </c>
      <c r="W42" s="735">
        <v>1000</v>
      </c>
      <c r="X42" s="735">
        <v>1000</v>
      </c>
      <c r="Y42" s="735">
        <v>1000</v>
      </c>
      <c r="Z42" s="837">
        <v>1000</v>
      </c>
      <c r="AA42" s="837">
        <v>1000</v>
      </c>
      <c r="AB42" s="837">
        <v>1000</v>
      </c>
      <c r="AC42" s="837">
        <v>1000</v>
      </c>
      <c r="AD42" s="837">
        <v>1000</v>
      </c>
      <c r="AE42" s="177"/>
      <c r="AF42" s="177"/>
      <c r="AG42" s="177"/>
      <c r="AK42" s="732"/>
    </row>
    <row r="43" spans="2:37" ht="15" hidden="1" outlineLevel="1" thickBot="1" x14ac:dyDescent="0.4">
      <c r="C43" s="130"/>
      <c r="D43" s="3194" t="str">
        <f>J6</f>
        <v>EUL</v>
      </c>
      <c r="E43" s="2958" t="s">
        <v>166</v>
      </c>
      <c r="F43" s="3195" t="s">
        <v>134</v>
      </c>
      <c r="G43" s="3191">
        <v>2</v>
      </c>
      <c r="H43" s="4271"/>
      <c r="I43" s="4271"/>
      <c r="J43" s="4272"/>
      <c r="K43" s="4251"/>
      <c r="L43" s="4251"/>
      <c r="M43" s="4251"/>
      <c r="N43" s="4252"/>
      <c r="V43" s="2340" t="str">
        <f>D43</f>
        <v>EUL</v>
      </c>
      <c r="W43" s="735">
        <v>2</v>
      </c>
      <c r="X43" s="735">
        <v>2</v>
      </c>
      <c r="Y43" s="735">
        <v>2</v>
      </c>
      <c r="Z43" s="837">
        <v>2</v>
      </c>
      <c r="AA43" s="837">
        <v>2</v>
      </c>
      <c r="AB43" s="837">
        <v>2</v>
      </c>
      <c r="AC43" s="837">
        <v>2</v>
      </c>
      <c r="AD43" s="837">
        <v>2</v>
      </c>
      <c r="AE43" s="177"/>
      <c r="AF43" s="177"/>
      <c r="AG43" s="177"/>
      <c r="AK43" s="732"/>
    </row>
    <row r="44" spans="2:37" hidden="1" outlineLevel="1" x14ac:dyDescent="0.35">
      <c r="C44" s="130"/>
      <c r="D44" s="4283" t="str">
        <f>K6</f>
        <v>Inc. Cost</v>
      </c>
      <c r="E44" s="3763" t="s">
        <v>170</v>
      </c>
      <c r="F44" s="1327" t="str">
        <f>E7</f>
        <v>AC General Tune-Up (no charge or coil clean) SF</v>
      </c>
      <c r="G44" s="305">
        <v>70</v>
      </c>
      <c r="H44" s="4273"/>
      <c r="I44" s="4273"/>
      <c r="J44" s="4273"/>
      <c r="K44" s="4259"/>
      <c r="L44" s="4259"/>
      <c r="M44" s="4259"/>
      <c r="N44" s="4260"/>
      <c r="V44" s="4286" t="s">
        <v>169</v>
      </c>
      <c r="W44" s="739">
        <v>70</v>
      </c>
      <c r="X44" s="739">
        <v>70</v>
      </c>
      <c r="Y44" s="739">
        <v>70</v>
      </c>
      <c r="Z44" s="305">
        <v>70</v>
      </c>
      <c r="AA44" s="305">
        <v>70</v>
      </c>
      <c r="AB44" s="305">
        <v>70</v>
      </c>
      <c r="AC44" s="305">
        <v>70</v>
      </c>
      <c r="AD44" s="305">
        <v>70</v>
      </c>
      <c r="AE44" s="177"/>
      <c r="AF44" s="177"/>
      <c r="AG44" s="177"/>
      <c r="AK44" s="732"/>
    </row>
    <row r="45" spans="2:37" hidden="1" outlineLevel="1" x14ac:dyDescent="0.35">
      <c r="C45" s="130"/>
      <c r="D45" s="4283"/>
      <c r="E45" s="3763"/>
      <c r="F45" s="1327" t="str">
        <f>E8</f>
        <v>AC General Tune-Up (no charge or coil clean) MF</v>
      </c>
      <c r="G45" s="305">
        <v>70</v>
      </c>
      <c r="H45" s="4273"/>
      <c r="I45" s="4273"/>
      <c r="J45" s="4273"/>
      <c r="K45" s="4259"/>
      <c r="L45" s="4259"/>
      <c r="M45" s="4259"/>
      <c r="N45" s="4260"/>
      <c r="V45" s="4286"/>
      <c r="W45" s="739">
        <v>70</v>
      </c>
      <c r="X45" s="739">
        <v>70</v>
      </c>
      <c r="Y45" s="739">
        <v>70</v>
      </c>
      <c r="Z45" s="305">
        <v>70</v>
      </c>
      <c r="AA45" s="305">
        <v>70</v>
      </c>
      <c r="AB45" s="305">
        <v>70</v>
      </c>
      <c r="AC45" s="305">
        <v>70</v>
      </c>
      <c r="AD45" s="305">
        <v>70</v>
      </c>
      <c r="AE45" s="177"/>
      <c r="AF45" s="177"/>
      <c r="AG45" s="177"/>
      <c r="AK45" s="732"/>
    </row>
    <row r="46" spans="2:37" hidden="1" outlineLevel="1" x14ac:dyDescent="0.35">
      <c r="C46" s="130"/>
      <c r="D46" s="4283"/>
      <c r="E46" s="3763"/>
      <c r="F46" s="1327" t="str">
        <f>E10</f>
        <v>AC Tune-up / Refrigerant charge SF</v>
      </c>
      <c r="G46" s="305">
        <v>81</v>
      </c>
      <c r="H46" s="4273"/>
      <c r="I46" s="4273"/>
      <c r="J46" s="4273"/>
      <c r="K46" s="4259"/>
      <c r="L46" s="4259"/>
      <c r="M46" s="4259"/>
      <c r="N46" s="4260"/>
      <c r="V46" s="4286"/>
      <c r="W46" s="739">
        <v>81</v>
      </c>
      <c r="X46" s="739">
        <v>81</v>
      </c>
      <c r="Y46" s="739">
        <v>81</v>
      </c>
      <c r="Z46" s="305">
        <v>81</v>
      </c>
      <c r="AA46" s="305">
        <v>81</v>
      </c>
      <c r="AB46" s="305">
        <v>81</v>
      </c>
      <c r="AC46" s="305">
        <v>81</v>
      </c>
      <c r="AD46" s="305">
        <v>81</v>
      </c>
      <c r="AE46" s="177"/>
      <c r="AF46" s="177"/>
      <c r="AG46" s="177"/>
      <c r="AK46" s="732"/>
    </row>
    <row r="47" spans="2:37" hidden="1" outlineLevel="1" x14ac:dyDescent="0.35">
      <c r="C47" s="130"/>
      <c r="D47" s="4283"/>
      <c r="E47" s="3763"/>
      <c r="F47" s="1327" t="str">
        <f>E11</f>
        <v>AC Tune-up / Refrigerant charge MF</v>
      </c>
      <c r="G47" s="305">
        <v>81</v>
      </c>
      <c r="H47" s="4273"/>
      <c r="I47" s="4273"/>
      <c r="J47" s="4273"/>
      <c r="K47" s="4259"/>
      <c r="L47" s="4259"/>
      <c r="M47" s="4259"/>
      <c r="N47" s="4260"/>
      <c r="V47" s="4286"/>
      <c r="W47" s="739">
        <v>81</v>
      </c>
      <c r="X47" s="739">
        <v>81</v>
      </c>
      <c r="Y47" s="739">
        <v>81</v>
      </c>
      <c r="Z47" s="305">
        <v>81</v>
      </c>
      <c r="AA47" s="305">
        <v>81</v>
      </c>
      <c r="AB47" s="305">
        <v>81</v>
      </c>
      <c r="AC47" s="305">
        <v>81</v>
      </c>
      <c r="AD47" s="305">
        <v>81</v>
      </c>
      <c r="AE47" s="177"/>
      <c r="AF47" s="177"/>
      <c r="AG47" s="177"/>
      <c r="AK47" s="732"/>
    </row>
    <row r="48" spans="2:37" hidden="1" outlineLevel="1" x14ac:dyDescent="0.35">
      <c r="C48" s="130"/>
      <c r="D48" s="4283"/>
      <c r="E48" s="3763"/>
      <c r="F48" s="1327" t="str">
        <f>E13</f>
        <v>AC Tune-up / Indoor Coil (Evaporator) Cleaning SF</v>
      </c>
      <c r="G48" s="305">
        <v>63</v>
      </c>
      <c r="H48" s="4273"/>
      <c r="I48" s="4273"/>
      <c r="J48" s="4273"/>
      <c r="K48" s="4259"/>
      <c r="L48" s="4259"/>
      <c r="M48" s="4259"/>
      <c r="N48" s="4260"/>
      <c r="V48" s="4286"/>
      <c r="W48" s="739">
        <v>63</v>
      </c>
      <c r="X48" s="739">
        <v>63</v>
      </c>
      <c r="Y48" s="739">
        <v>63</v>
      </c>
      <c r="Z48" s="305">
        <v>63</v>
      </c>
      <c r="AA48" s="305">
        <v>63</v>
      </c>
      <c r="AB48" s="305">
        <v>63</v>
      </c>
      <c r="AC48" s="305">
        <v>63</v>
      </c>
      <c r="AD48" s="305">
        <v>63</v>
      </c>
      <c r="AE48" s="177"/>
      <c r="AF48" s="177"/>
      <c r="AG48" s="177"/>
      <c r="AK48" s="732"/>
    </row>
    <row r="49" spans="1:57" hidden="1" outlineLevel="1" x14ac:dyDescent="0.35">
      <c r="C49" s="130"/>
      <c r="D49" s="4283"/>
      <c r="E49" s="3763"/>
      <c r="F49" s="1327" t="str">
        <f>E14</f>
        <v>AC Tune-up /Indoor Coil (Evaporator) Cleaning MF</v>
      </c>
      <c r="G49" s="305">
        <v>63</v>
      </c>
      <c r="H49" s="4273"/>
      <c r="I49" s="4273"/>
      <c r="J49" s="4273"/>
      <c r="K49" s="4259"/>
      <c r="L49" s="4259"/>
      <c r="M49" s="4259"/>
      <c r="N49" s="4260"/>
      <c r="V49" s="4286"/>
      <c r="W49" s="739">
        <v>63</v>
      </c>
      <c r="X49" s="739">
        <v>63</v>
      </c>
      <c r="Y49" s="739">
        <v>63</v>
      </c>
      <c r="Z49" s="305">
        <v>63</v>
      </c>
      <c r="AA49" s="305">
        <v>63</v>
      </c>
      <c r="AB49" s="305">
        <v>63</v>
      </c>
      <c r="AC49" s="305">
        <v>63</v>
      </c>
      <c r="AD49" s="305">
        <v>63</v>
      </c>
      <c r="AE49" s="177"/>
      <c r="AF49" s="177"/>
      <c r="AG49" s="177"/>
      <c r="AK49" s="732"/>
    </row>
    <row r="50" spans="1:57" hidden="1" outlineLevel="1" x14ac:dyDescent="0.35">
      <c r="C50" s="130"/>
      <c r="D50" s="4283"/>
      <c r="E50" s="3763"/>
      <c r="F50" s="1327" t="str">
        <f>E16</f>
        <v>AC Tune-up /Outdoor Coil (Condenser) Cleaning SF</v>
      </c>
      <c r="G50" s="305">
        <v>31</v>
      </c>
      <c r="H50" s="4273"/>
      <c r="I50" s="4273"/>
      <c r="J50" s="4273"/>
      <c r="K50" s="4259"/>
      <c r="L50" s="4259"/>
      <c r="M50" s="4259"/>
      <c r="N50" s="4260"/>
      <c r="V50" s="4286"/>
      <c r="W50" s="739">
        <v>31</v>
      </c>
      <c r="X50" s="739">
        <v>31</v>
      </c>
      <c r="Y50" s="739">
        <v>31</v>
      </c>
      <c r="Z50" s="305">
        <v>31</v>
      </c>
      <c r="AA50" s="305">
        <v>31</v>
      </c>
      <c r="AB50" s="305">
        <v>31</v>
      </c>
      <c r="AC50" s="305">
        <v>31</v>
      </c>
      <c r="AD50" s="305">
        <v>31</v>
      </c>
      <c r="AE50" s="177"/>
      <c r="AF50" s="177"/>
      <c r="AG50" s="177"/>
      <c r="AK50" s="732"/>
    </row>
    <row r="51" spans="1:57" hidden="1" outlineLevel="1" x14ac:dyDescent="0.35">
      <c r="C51" s="130"/>
      <c r="D51" s="4283"/>
      <c r="E51" s="3763"/>
      <c r="F51" s="1327" t="str">
        <f>E17</f>
        <v>AC Tune-up /Outdoor Coil (Condenser) Cleaning MF</v>
      </c>
      <c r="G51" s="305">
        <v>31</v>
      </c>
      <c r="H51" s="4273"/>
      <c r="I51" s="4273"/>
      <c r="J51" s="4273"/>
      <c r="K51" s="4259"/>
      <c r="L51" s="4259"/>
      <c r="M51" s="4259"/>
      <c r="N51" s="4260"/>
      <c r="V51" s="4286"/>
      <c r="W51" s="739">
        <v>31</v>
      </c>
      <c r="X51" s="739">
        <v>31</v>
      </c>
      <c r="Y51" s="739">
        <v>31</v>
      </c>
      <c r="Z51" s="305">
        <v>31</v>
      </c>
      <c r="AA51" s="305">
        <v>31</v>
      </c>
      <c r="AB51" s="305">
        <v>31</v>
      </c>
      <c r="AC51" s="305">
        <v>31</v>
      </c>
      <c r="AD51" s="305">
        <v>31</v>
      </c>
      <c r="AE51" s="177"/>
      <c r="AF51" s="177"/>
      <c r="AG51" s="177"/>
      <c r="AK51" s="732"/>
    </row>
    <row r="52" spans="1:57" ht="29" hidden="1" outlineLevel="1" x14ac:dyDescent="0.35">
      <c r="C52" s="130"/>
      <c r="D52" s="4283"/>
      <c r="E52" s="3763"/>
      <c r="F52" s="2961" t="s">
        <v>4173</v>
      </c>
      <c r="G52" s="305">
        <v>185</v>
      </c>
      <c r="H52" s="3734" t="s">
        <v>4201</v>
      </c>
      <c r="I52" s="3734"/>
      <c r="J52" s="3734"/>
      <c r="K52" s="4259"/>
      <c r="L52" s="4259"/>
      <c r="M52" s="4259"/>
      <c r="N52" s="4260"/>
      <c r="V52" s="4286"/>
      <c r="W52" s="2469"/>
      <c r="X52" s="2470"/>
      <c r="Y52" s="2471"/>
      <c r="Z52" s="2471"/>
      <c r="AA52" s="2471"/>
      <c r="AB52" s="2471"/>
      <c r="AC52" s="2468">
        <v>185</v>
      </c>
      <c r="AD52" s="305">
        <v>185</v>
      </c>
      <c r="AE52" s="177"/>
      <c r="AF52" s="177"/>
      <c r="AG52" s="177"/>
      <c r="AK52" s="732"/>
    </row>
    <row r="53" spans="1:57" ht="15" hidden="1" customHeight="1" outlineLevel="1" thickBot="1" x14ac:dyDescent="0.4">
      <c r="C53" s="130"/>
      <c r="D53" s="4284"/>
      <c r="E53" s="3764"/>
      <c r="F53" s="2962" t="s">
        <v>4174</v>
      </c>
      <c r="G53" s="3188">
        <v>185</v>
      </c>
      <c r="H53" s="4285" t="s">
        <v>4201</v>
      </c>
      <c r="I53" s="4285"/>
      <c r="J53" s="4285"/>
      <c r="K53" s="4251"/>
      <c r="L53" s="4251"/>
      <c r="M53" s="4251"/>
      <c r="N53" s="4252"/>
      <c r="V53" s="4286"/>
      <c r="W53" s="2469"/>
      <c r="X53" s="2470"/>
      <c r="Y53" s="2471"/>
      <c r="Z53" s="2471"/>
      <c r="AA53" s="2471"/>
      <c r="AB53" s="2471"/>
      <c r="AC53" s="2468">
        <v>185</v>
      </c>
      <c r="AD53" s="305">
        <v>185</v>
      </c>
      <c r="AE53" s="177"/>
      <c r="AF53" s="177"/>
      <c r="AG53" s="177"/>
      <c r="AK53" s="732"/>
    </row>
    <row r="54" spans="1:57" customFormat="1" collapsed="1" x14ac:dyDescent="0.35">
      <c r="A54" s="452"/>
      <c r="B54" s="106"/>
      <c r="C54" s="103"/>
      <c r="D54" s="292"/>
      <c r="E54" s="292"/>
      <c r="F54" s="106"/>
      <c r="G54" s="106"/>
      <c r="H54" s="103"/>
      <c r="I54" s="103"/>
      <c r="J54" s="103"/>
      <c r="K54" s="103"/>
      <c r="L54" s="103"/>
      <c r="M54" s="103"/>
      <c r="N54" s="106"/>
      <c r="O54" s="106"/>
      <c r="P54" s="106"/>
      <c r="Q54" s="106"/>
      <c r="R54" s="106"/>
      <c r="S54" s="106"/>
      <c r="T54" s="106"/>
      <c r="U54" s="106"/>
      <c r="AK54" s="732"/>
      <c r="BB54" s="740"/>
    </row>
    <row r="55" spans="1:57" customFormat="1" x14ac:dyDescent="0.35">
      <c r="A55" s="452"/>
      <c r="B55" s="106"/>
      <c r="C55" s="103"/>
      <c r="D55" s="292"/>
      <c r="E55" s="292"/>
      <c r="F55" s="106"/>
      <c r="G55" s="106"/>
      <c r="H55" s="103"/>
      <c r="I55" s="103"/>
      <c r="J55" s="103"/>
      <c r="K55" s="103"/>
      <c r="L55" s="103"/>
      <c r="M55" s="103"/>
      <c r="N55" s="106"/>
      <c r="O55" s="106"/>
      <c r="P55" s="106"/>
      <c r="Q55" s="106"/>
      <c r="R55" s="106"/>
      <c r="S55" s="106"/>
      <c r="T55" s="106"/>
      <c r="U55" s="106"/>
      <c r="AK55" s="732"/>
      <c r="BB55" s="740"/>
    </row>
    <row r="56" spans="1:57" x14ac:dyDescent="0.35">
      <c r="B56" s="3664" t="s">
        <v>1555</v>
      </c>
      <c r="C56" s="3665"/>
      <c r="D56" s="3665"/>
      <c r="E56" s="3665"/>
      <c r="F56" s="3665"/>
      <c r="G56" s="3665"/>
      <c r="H56" s="3665"/>
      <c r="I56" s="3666"/>
      <c r="J56" s="3666"/>
      <c r="K56" s="3666"/>
      <c r="L56" s="3666"/>
      <c r="M56" s="3666"/>
      <c r="N56" s="3666"/>
      <c r="O56" s="3666"/>
      <c r="P56" s="3666"/>
      <c r="Q56" s="3666"/>
      <c r="R56" s="3667"/>
      <c r="V56" s="3664" t="str">
        <f>B56</f>
        <v>Air Sealing</v>
      </c>
      <c r="W56" s="3665"/>
      <c r="X56" s="3665"/>
      <c r="Y56" s="3665"/>
      <c r="Z56" s="3665"/>
      <c r="AA56" s="3665"/>
      <c r="AB56" s="3665"/>
      <c r="AC56" s="3680"/>
      <c r="AD56" s="3680"/>
      <c r="AE56" s="3680"/>
      <c r="AF56" s="3680"/>
      <c r="AG56" s="3680"/>
      <c r="AH56" s="3680"/>
      <c r="AI56" s="3681"/>
      <c r="AK56" s="732"/>
    </row>
    <row r="57" spans="1:57" x14ac:dyDescent="0.35">
      <c r="B57" s="1040"/>
      <c r="D57" s="367"/>
      <c r="E57" s="367"/>
      <c r="F57" s="198"/>
      <c r="G57" s="198"/>
      <c r="H57" s="198"/>
      <c r="I57" s="198"/>
      <c r="J57" s="198"/>
      <c r="K57" s="198"/>
      <c r="L57" s="1219"/>
      <c r="AK57" s="732"/>
    </row>
    <row r="58" spans="1:57" s="741" customFormat="1" ht="29" x14ac:dyDescent="0.35">
      <c r="A58" s="756"/>
      <c r="B58" s="1328"/>
      <c r="C58" s="2331" t="s">
        <v>27</v>
      </c>
      <c r="D58" s="2331" t="s">
        <v>174</v>
      </c>
      <c r="E58" s="2331" t="s">
        <v>29</v>
      </c>
      <c r="F58" s="2331" t="s">
        <v>30</v>
      </c>
      <c r="G58" s="2331" t="s">
        <v>175</v>
      </c>
      <c r="H58" s="2331" t="s">
        <v>176</v>
      </c>
      <c r="I58" s="2331" t="s">
        <v>493</v>
      </c>
      <c r="J58" s="2331" t="s">
        <v>494</v>
      </c>
      <c r="K58" s="2331" t="s">
        <v>31</v>
      </c>
      <c r="L58" s="2363" t="s">
        <v>180</v>
      </c>
      <c r="M58" s="2331" t="s">
        <v>169</v>
      </c>
      <c r="N58" s="2331" t="s">
        <v>1556</v>
      </c>
      <c r="O58" s="756"/>
      <c r="P58" s="756"/>
      <c r="Q58" s="756"/>
      <c r="R58" s="756"/>
      <c r="S58" s="756"/>
      <c r="T58" s="756"/>
      <c r="U58" s="756"/>
      <c r="V58" s="1572" t="s">
        <v>44</v>
      </c>
      <c r="W58" s="1573">
        <f>W$6</f>
        <v>43252</v>
      </c>
      <c r="X58" s="1573">
        <f t="shared" ref="X58:AG58" si="15">X$6</f>
        <v>43465</v>
      </c>
      <c r="Y58" s="316">
        <f t="shared" si="15"/>
        <v>43800</v>
      </c>
      <c r="Z58" s="1573">
        <f t="shared" si="15"/>
        <v>43862</v>
      </c>
      <c r="AA58" s="1573">
        <f t="shared" si="15"/>
        <v>44013</v>
      </c>
      <c r="AB58" s="1573">
        <f t="shared" si="15"/>
        <v>44166</v>
      </c>
      <c r="AC58" s="1573">
        <f t="shared" si="15"/>
        <v>44531</v>
      </c>
      <c r="AD58" s="1573">
        <f t="shared" si="15"/>
        <v>44774</v>
      </c>
      <c r="AE58" s="1573" t="str">
        <f t="shared" si="15"/>
        <v>-</v>
      </c>
      <c r="AF58" s="1573" t="str">
        <f t="shared" si="15"/>
        <v>-</v>
      </c>
      <c r="AG58" s="1573" t="str">
        <f t="shared" si="15"/>
        <v>-</v>
      </c>
      <c r="AH58" s="196"/>
      <c r="AI58" s="196"/>
      <c r="AK58" s="732"/>
      <c r="BB58" s="1574" t="str">
        <f>$BB$6</f>
        <v>TRC (2022)</v>
      </c>
      <c r="BC58" s="1584" t="str">
        <f>$BC$6</f>
        <v>Benefit Lookup</v>
      </c>
      <c r="BD58" s="556" t="str">
        <f>$BD$6</f>
        <v>Benefits (2019 $)</v>
      </c>
      <c r="BE58" s="200" t="str">
        <f>$BE$6</f>
        <v>Incremental Cost (2019 $)</v>
      </c>
    </row>
    <row r="59" spans="1:57" s="741" customFormat="1" x14ac:dyDescent="0.35">
      <c r="A59" s="756"/>
      <c r="B59" s="1328"/>
      <c r="C59" s="831" t="s">
        <v>1557</v>
      </c>
      <c r="D59" s="1279" t="s">
        <v>1518</v>
      </c>
      <c r="E59" s="368" t="s">
        <v>4253</v>
      </c>
      <c r="F59" s="561">
        <f>ROUND(I59+J59,2)</f>
        <v>0.33</v>
      </c>
      <c r="G59" s="395" t="s">
        <v>1558</v>
      </c>
      <c r="H59" s="136">
        <f>VLOOKUP(G59,'CP FACTORS'!$A$3:$B$38, 2, FALSE)</f>
        <v>4.6608050000000002E-4</v>
      </c>
      <c r="I59" s="796">
        <f t="shared" ref="I59:I67" si="16">F76*F85+F85*F103*F$112*F$113</f>
        <v>0.28499999999999998</v>
      </c>
      <c r="J59" s="1231">
        <f t="shared" ref="J59:J67" si="17">F94*F85</f>
        <v>4.2999999999999997E-2</v>
      </c>
      <c r="K59" s="742">
        <f>ROUND(H59*F59,6)</f>
        <v>1.54E-4</v>
      </c>
      <c r="L59" s="820">
        <f t="shared" ref="L59:L67" si="18">$F$114</f>
        <v>15</v>
      </c>
      <c r="M59" s="1845">
        <f>120*F85/1000</f>
        <v>0.12</v>
      </c>
      <c r="N59" s="820">
        <f>F85</f>
        <v>1</v>
      </c>
      <c r="O59" s="756"/>
      <c r="P59" s="756"/>
      <c r="Q59" s="756"/>
      <c r="R59" s="1214"/>
      <c r="S59" s="756"/>
      <c r="T59" s="756"/>
      <c r="U59" s="756"/>
      <c r="V59" s="141" t="str">
        <f>$F$58</f>
        <v>kWh Annual Savings</v>
      </c>
      <c r="W59" s="142">
        <v>295.70839999999998</v>
      </c>
      <c r="X59" s="730">
        <v>295.70839999999998</v>
      </c>
      <c r="Y59" s="734">
        <v>0.33</v>
      </c>
      <c r="Z59" s="731">
        <v>0.33</v>
      </c>
      <c r="AA59" s="731">
        <v>0.33</v>
      </c>
      <c r="AB59" s="731">
        <v>0.33</v>
      </c>
      <c r="AC59" s="501">
        <v>0.33</v>
      </c>
      <c r="AD59" s="501">
        <v>0.33</v>
      </c>
      <c r="AE59" s="141"/>
      <c r="AF59" s="141"/>
      <c r="AG59" s="141"/>
      <c r="AH59" s="196"/>
      <c r="AI59" s="196"/>
      <c r="AK59" s="732"/>
      <c r="BB59" s="1578">
        <f t="shared" ref="BB59:BB65" si="19">(BD59)/(BE59)</f>
        <v>2.7271411582675276</v>
      </c>
      <c r="BC59" s="2381" t="str">
        <f t="shared" ref="BC59:BC65" si="20">CONCATENATE(G59," ",L59," Year EUL")</f>
        <v>Building Shell RES 15 Year EUL</v>
      </c>
      <c r="BD59" s="95">
        <f>(INDEX('Avoided Cost Benefits'!$E$4:$E$859,MATCH(BC59,'Avoided Cost Benefits'!$A$4:$A$859,0)))*F59</f>
        <v>0.30887865879386811</v>
      </c>
      <c r="BE59" s="1579">
        <f t="shared" ref="BE59:BE65" si="21">M59/(1.0595^(2020-2019))</f>
        <v>0.11326097215667766</v>
      </c>
    </row>
    <row r="60" spans="1:57" s="741" customFormat="1" x14ac:dyDescent="0.35">
      <c r="A60" s="756"/>
      <c r="B60" s="1328"/>
      <c r="C60" s="831" t="s">
        <v>1559</v>
      </c>
      <c r="D60" s="1279" t="s">
        <v>1518</v>
      </c>
      <c r="E60" s="368" t="s">
        <v>4254</v>
      </c>
      <c r="F60" s="561">
        <f t="shared" ref="F60:F67" si="22">ROUND(I60+J60,2)</f>
        <v>0.25</v>
      </c>
      <c r="G60" s="395" t="s">
        <v>1558</v>
      </c>
      <c r="H60" s="136">
        <f>VLOOKUP(G60,'CP FACTORS'!$A$3:$B$38, 2, FALSE)</f>
        <v>4.6608050000000002E-4</v>
      </c>
      <c r="I60" s="796">
        <f t="shared" si="16"/>
        <v>0.20799999999999999</v>
      </c>
      <c r="J60" s="1231">
        <f t="shared" si="17"/>
        <v>4.2999999999999997E-2</v>
      </c>
      <c r="K60" s="742">
        <f t="shared" ref="K60:K67" si="23">ROUND(H60*F60,6)</f>
        <v>1.17E-4</v>
      </c>
      <c r="L60" s="820">
        <f t="shared" si="18"/>
        <v>15</v>
      </c>
      <c r="M60" s="1845">
        <f>120*F86/1000</f>
        <v>0.12</v>
      </c>
      <c r="N60" s="820">
        <f>F86</f>
        <v>1</v>
      </c>
      <c r="O60" s="756"/>
      <c r="P60" s="756"/>
      <c r="Q60" s="756"/>
      <c r="R60" s="1214"/>
      <c r="S60" s="756"/>
      <c r="T60" s="756"/>
      <c r="U60" s="756"/>
      <c r="V60" s="141" t="str">
        <f t="shared" ref="V60:V67" si="24">$F$58</f>
        <v>kWh Annual Savings</v>
      </c>
      <c r="W60" s="142">
        <v>226.28905</v>
      </c>
      <c r="X60" s="730">
        <v>226.28905</v>
      </c>
      <c r="Y60" s="734">
        <v>0.25</v>
      </c>
      <c r="Z60" s="731">
        <v>0.25</v>
      </c>
      <c r="AA60" s="731">
        <v>0.25</v>
      </c>
      <c r="AB60" s="731">
        <v>0.25</v>
      </c>
      <c r="AC60" s="501">
        <v>0.25</v>
      </c>
      <c r="AD60" s="501">
        <v>0.25</v>
      </c>
      <c r="AE60" s="141"/>
      <c r="AF60" s="141"/>
      <c r="AG60" s="141"/>
      <c r="AH60" s="196"/>
      <c r="AI60" s="196"/>
      <c r="AK60" s="732"/>
      <c r="BB60" s="40">
        <f t="shared" si="19"/>
        <v>2.0660160289905511</v>
      </c>
      <c r="BC60" s="1580" t="str">
        <f t="shared" si="20"/>
        <v>Building Shell RES 15 Year EUL</v>
      </c>
      <c r="BD60" s="98">
        <f>(INDEX('Avoided Cost Benefits'!$E$4:$E$859,MATCH(BC60,'Avoided Cost Benefits'!$A$4:$A$859,0)))*F60</f>
        <v>0.23399898393474858</v>
      </c>
      <c r="BE60" s="1581">
        <f t="shared" si="21"/>
        <v>0.11326097215667766</v>
      </c>
    </row>
    <row r="61" spans="1:57" s="741" customFormat="1" x14ac:dyDescent="0.35">
      <c r="A61" s="756"/>
      <c r="B61" s="1328"/>
      <c r="C61" s="1638" t="s">
        <v>4455</v>
      </c>
      <c r="D61" s="2141" t="s">
        <v>1518</v>
      </c>
      <c r="E61" s="2735" t="s">
        <v>4456</v>
      </c>
      <c r="F61" s="2728">
        <f t="shared" si="22"/>
        <v>0.05</v>
      </c>
      <c r="G61" s="2734" t="s">
        <v>1558</v>
      </c>
      <c r="H61" s="2720">
        <f>VLOOKUP(G61,'CP FACTORS'!$A$3:$B$38, 2, FALSE)</f>
        <v>4.6608050000000002E-4</v>
      </c>
      <c r="I61" s="3369">
        <f t="shared" si="16"/>
        <v>1.104024E-2</v>
      </c>
      <c r="J61" s="3370">
        <f t="shared" si="17"/>
        <v>4.2999999999999997E-2</v>
      </c>
      <c r="K61" s="3371">
        <f t="shared" ref="K61" si="25">ROUND(H61*F61,6)</f>
        <v>2.3E-5</v>
      </c>
      <c r="L61" s="3372">
        <f t="shared" si="18"/>
        <v>15</v>
      </c>
      <c r="M61" s="475">
        <f>120*F88/1000</f>
        <v>0.12</v>
      </c>
      <c r="N61" s="3372">
        <f>F88</f>
        <v>1</v>
      </c>
      <c r="O61" s="756"/>
      <c r="P61" s="756"/>
      <c r="Q61" s="756"/>
      <c r="R61" s="1214"/>
      <c r="S61" s="756"/>
      <c r="T61" s="756"/>
      <c r="U61" s="756"/>
      <c r="V61" s="1589" t="s">
        <v>30</v>
      </c>
      <c r="W61" s="3381"/>
      <c r="X61" s="3382"/>
      <c r="Y61" s="3383"/>
      <c r="Z61" s="3384"/>
      <c r="AA61" s="3384"/>
      <c r="AB61" s="3384"/>
      <c r="AC61" s="3385"/>
      <c r="AD61" s="563">
        <v>0.05</v>
      </c>
      <c r="AE61" s="141"/>
      <c r="AF61" s="141"/>
      <c r="AG61" s="141"/>
      <c r="AH61" s="196"/>
      <c r="AI61" s="196"/>
      <c r="AK61" s="732"/>
      <c r="BB61" s="2504">
        <f t="shared" ref="BB61" si="26">(BD61)/(BE61)</f>
        <v>0.41320320579811032</v>
      </c>
      <c r="BC61" s="2505" t="str">
        <f t="shared" ref="BC61" si="27">CONCATENATE(G61," ",L61," Year EUL")</f>
        <v>Building Shell RES 15 Year EUL</v>
      </c>
      <c r="BD61" s="2506">
        <f>(INDEX('Avoided Cost Benefits'!$E$4:$E$859,MATCH(BC61,'Avoided Cost Benefits'!$A$4:$A$859,0)))*F61</f>
        <v>4.6799796786949718E-2</v>
      </c>
      <c r="BE61" s="2507">
        <f t="shared" ref="BE61" si="28">M61/(1.0595^(2020-2019))</f>
        <v>0.11326097215667766</v>
      </c>
    </row>
    <row r="62" spans="1:57" s="741" customFormat="1" x14ac:dyDescent="0.35">
      <c r="A62" s="756"/>
      <c r="B62" s="1328"/>
      <c r="C62" s="831" t="s">
        <v>1560</v>
      </c>
      <c r="D62" s="1279" t="s">
        <v>1517</v>
      </c>
      <c r="E62" s="2398" t="s">
        <v>4255</v>
      </c>
      <c r="F62" s="561">
        <f t="shared" si="22"/>
        <v>0.36</v>
      </c>
      <c r="G62" s="395" t="s">
        <v>1558</v>
      </c>
      <c r="H62" s="136">
        <f>VLOOKUP(G62,'CP FACTORS'!$A$3:$B$38, 2, FALSE)</f>
        <v>4.6608050000000002E-4</v>
      </c>
      <c r="I62" s="1338">
        <f t="shared" si="16"/>
        <v>0.308</v>
      </c>
      <c r="J62" s="1231">
        <f t="shared" si="17"/>
        <v>0.05</v>
      </c>
      <c r="K62" s="742">
        <f t="shared" si="23"/>
        <v>1.6799999999999999E-4</v>
      </c>
      <c r="L62" s="820">
        <f t="shared" si="18"/>
        <v>15</v>
      </c>
      <c r="M62" s="1845">
        <f t="shared" ref="M62:M67" si="29">120*F88/1000</f>
        <v>0.12</v>
      </c>
      <c r="N62" s="820">
        <f t="shared" ref="N62:N67" si="30">F88</f>
        <v>1</v>
      </c>
      <c r="O62" s="756"/>
      <c r="P62" s="756"/>
      <c r="Q62" s="756"/>
      <c r="R62" s="1214"/>
      <c r="S62" s="756"/>
      <c r="T62" s="756"/>
      <c r="U62" s="756"/>
      <c r="V62" s="141" t="str">
        <f t="shared" si="24"/>
        <v>kWh Annual Savings</v>
      </c>
      <c r="W62" s="142">
        <v>496.54599999999999</v>
      </c>
      <c r="X62" s="730">
        <v>496.54599999999999</v>
      </c>
      <c r="Y62" s="734">
        <v>0.36</v>
      </c>
      <c r="Z62" s="731">
        <v>0.36</v>
      </c>
      <c r="AA62" s="731">
        <v>0.36</v>
      </c>
      <c r="AB62" s="731">
        <v>0.36</v>
      </c>
      <c r="AC62" s="501">
        <v>0.36</v>
      </c>
      <c r="AD62" s="501">
        <v>0.36</v>
      </c>
      <c r="AE62" s="141"/>
      <c r="AF62" s="141"/>
      <c r="AG62" s="141"/>
      <c r="AK62" s="732"/>
      <c r="BB62" s="40">
        <f t="shared" si="19"/>
        <v>2.9750630817463937</v>
      </c>
      <c r="BC62" s="1580" t="str">
        <f t="shared" si="20"/>
        <v>Building Shell RES 15 Year EUL</v>
      </c>
      <c r="BD62" s="98">
        <f>(INDEX('Avoided Cost Benefits'!$E$4:$E$859,MATCH(BC62,'Avoided Cost Benefits'!$A$4:$A$859,0)))*F62</f>
        <v>0.33695853686603794</v>
      </c>
      <c r="BE62" s="1581">
        <f t="shared" si="21"/>
        <v>0.11326097215667766</v>
      </c>
    </row>
    <row r="63" spans="1:57" s="741" customFormat="1" x14ac:dyDescent="0.35">
      <c r="A63" s="756"/>
      <c r="B63" s="1328"/>
      <c r="C63" s="831" t="s">
        <v>1561</v>
      </c>
      <c r="D63" s="1279" t="s">
        <v>1517</v>
      </c>
      <c r="E63" s="2398" t="s">
        <v>4256</v>
      </c>
      <c r="F63" s="561">
        <f t="shared" si="22"/>
        <v>0.06</v>
      </c>
      <c r="G63" s="395" t="s">
        <v>1558</v>
      </c>
      <c r="H63" s="136">
        <f>VLOOKUP(G63,'CP FACTORS'!$A$3:$B$38, 2, FALSE)</f>
        <v>4.6608050000000002E-4</v>
      </c>
      <c r="I63" s="1338">
        <f t="shared" si="16"/>
        <v>1.1960259999999999E-2</v>
      </c>
      <c r="J63" s="1337">
        <f t="shared" si="17"/>
        <v>0.05</v>
      </c>
      <c r="K63" s="742">
        <f t="shared" si="23"/>
        <v>2.8E-5</v>
      </c>
      <c r="L63" s="820">
        <f t="shared" si="18"/>
        <v>15</v>
      </c>
      <c r="M63" s="1845">
        <f t="shared" si="29"/>
        <v>0.12</v>
      </c>
      <c r="N63" s="820">
        <f t="shared" si="30"/>
        <v>1</v>
      </c>
      <c r="O63" s="756"/>
      <c r="P63" s="756"/>
      <c r="Q63" s="756"/>
      <c r="R63" s="1214"/>
      <c r="S63" s="756"/>
      <c r="T63" s="756"/>
      <c r="U63" s="756"/>
      <c r="V63" s="141" t="str">
        <f t="shared" si="24"/>
        <v>kWh Annual Savings</v>
      </c>
      <c r="W63" s="3381"/>
      <c r="X63" s="3382"/>
      <c r="Y63" s="734">
        <v>0.06</v>
      </c>
      <c r="Z63" s="731">
        <v>0.06</v>
      </c>
      <c r="AA63" s="731">
        <v>0.06</v>
      </c>
      <c r="AB63" s="731">
        <v>0.06</v>
      </c>
      <c r="AC63" s="501">
        <v>0.06</v>
      </c>
      <c r="AD63" s="501">
        <v>0.06</v>
      </c>
      <c r="AE63" s="141"/>
      <c r="AF63" s="141"/>
      <c r="AG63" s="141"/>
      <c r="AK63" s="732"/>
      <c r="BB63" s="40">
        <f>(BD63)/(BE63)</f>
        <v>0.49584384695773231</v>
      </c>
      <c r="BC63" s="1580" t="str">
        <f t="shared" si="20"/>
        <v>Building Shell RES 15 Year EUL</v>
      </c>
      <c r="BD63" s="98">
        <f>(INDEX('Avoided Cost Benefits'!$E$4:$E$859,MATCH(BC63,'Avoided Cost Benefits'!$A$4:$A$859,0)))*F63</f>
        <v>5.6159756144339656E-2</v>
      </c>
      <c r="BE63" s="1581">
        <f t="shared" si="21"/>
        <v>0.11326097215667766</v>
      </c>
    </row>
    <row r="64" spans="1:57" s="741" customFormat="1" x14ac:dyDescent="0.35">
      <c r="A64" s="756"/>
      <c r="B64" s="1328"/>
      <c r="C64" s="831" t="s">
        <v>1562</v>
      </c>
      <c r="D64" s="1279" t="s">
        <v>1517</v>
      </c>
      <c r="E64" s="2398" t="s">
        <v>4257</v>
      </c>
      <c r="F64" s="3396">
        <f t="shared" si="22"/>
        <v>0.31</v>
      </c>
      <c r="G64" s="395" t="s">
        <v>1558</v>
      </c>
      <c r="H64" s="136">
        <f>VLOOKUP(G64,'CP FACTORS'!$A$3:$B$38, 2, FALSE)</f>
        <v>4.6608050000000002E-4</v>
      </c>
      <c r="I64" s="796">
        <f t="shared" si="16"/>
        <v>0.25700000000000001</v>
      </c>
      <c r="J64" s="1231">
        <f t="shared" si="17"/>
        <v>0.05</v>
      </c>
      <c r="K64" s="742">
        <f t="shared" si="23"/>
        <v>1.44E-4</v>
      </c>
      <c r="L64" s="820">
        <f t="shared" si="18"/>
        <v>15</v>
      </c>
      <c r="M64" s="1845">
        <f t="shared" si="29"/>
        <v>0.12</v>
      </c>
      <c r="N64" s="820">
        <f t="shared" si="30"/>
        <v>1</v>
      </c>
      <c r="O64" s="756"/>
      <c r="P64" s="756"/>
      <c r="Q64" s="756"/>
      <c r="R64" s="1214"/>
      <c r="S64" s="756"/>
      <c r="T64" s="756"/>
      <c r="U64" s="756"/>
      <c r="V64" s="141" t="str">
        <f t="shared" si="24"/>
        <v>kWh Annual Savings</v>
      </c>
      <c r="W64" s="142">
        <v>425.80900000000003</v>
      </c>
      <c r="X64" s="730">
        <v>425.80900000000003</v>
      </c>
      <c r="Y64" s="734">
        <v>0.31</v>
      </c>
      <c r="Z64" s="731">
        <v>0.31</v>
      </c>
      <c r="AA64" s="731">
        <v>0.31</v>
      </c>
      <c r="AB64" s="731">
        <v>0.31</v>
      </c>
      <c r="AC64" s="501">
        <v>0.31</v>
      </c>
      <c r="AD64" s="501">
        <v>0.31</v>
      </c>
      <c r="AE64" s="141"/>
      <c r="AF64" s="141"/>
      <c r="AG64" s="141"/>
      <c r="AK64" s="732"/>
      <c r="BB64" s="40">
        <f t="shared" si="19"/>
        <v>2.5618598759482838</v>
      </c>
      <c r="BC64" s="1580" t="str">
        <f t="shared" si="20"/>
        <v>Building Shell RES 15 Year EUL</v>
      </c>
      <c r="BD64" s="98">
        <f>(INDEX('Avoided Cost Benefits'!$E$4:$E$859,MATCH(BC64,'Avoided Cost Benefits'!$A$4:$A$859,0)))*F64</f>
        <v>0.29015874007908826</v>
      </c>
      <c r="BE64" s="1581">
        <f t="shared" si="21"/>
        <v>0.11326097215667766</v>
      </c>
    </row>
    <row r="65" spans="1:57" s="741" customFormat="1" x14ac:dyDescent="0.35">
      <c r="A65" s="756"/>
      <c r="B65" s="1328"/>
      <c r="C65" s="831" t="s">
        <v>1563</v>
      </c>
      <c r="D65" s="1279" t="s">
        <v>1517</v>
      </c>
      <c r="E65" s="1329" t="s">
        <v>4258</v>
      </c>
      <c r="F65" s="561">
        <f t="shared" si="22"/>
        <v>0.48</v>
      </c>
      <c r="G65" s="395" t="s">
        <v>1558</v>
      </c>
      <c r="H65" s="136">
        <f>VLOOKUP(G65,'CP FACTORS'!$A$3:$B$38, 2, FALSE)</f>
        <v>4.6608050000000002E-4</v>
      </c>
      <c r="I65" s="796">
        <f t="shared" si="16"/>
        <v>0.41299999999999998</v>
      </c>
      <c r="J65" s="1231">
        <f t="shared" si="17"/>
        <v>6.2E-2</v>
      </c>
      <c r="K65" s="742">
        <f t="shared" si="23"/>
        <v>2.24E-4</v>
      </c>
      <c r="L65" s="820">
        <f t="shared" si="18"/>
        <v>15</v>
      </c>
      <c r="M65" s="1845">
        <f t="shared" si="29"/>
        <v>0.12</v>
      </c>
      <c r="N65" s="820">
        <f t="shared" si="30"/>
        <v>1</v>
      </c>
      <c r="O65" s="756"/>
      <c r="P65" s="756"/>
      <c r="Q65" s="756"/>
      <c r="R65" s="1214"/>
      <c r="S65" s="756"/>
      <c r="T65" s="756"/>
      <c r="U65" s="756"/>
      <c r="V65" s="141" t="str">
        <f t="shared" si="24"/>
        <v>kWh Annual Savings</v>
      </c>
      <c r="W65" s="142">
        <v>513</v>
      </c>
      <c r="X65" s="730">
        <v>513</v>
      </c>
      <c r="Y65" s="734">
        <v>0.48</v>
      </c>
      <c r="Z65" s="731">
        <v>0.48</v>
      </c>
      <c r="AA65" s="731">
        <v>0.48</v>
      </c>
      <c r="AB65" s="731">
        <v>0.48</v>
      </c>
      <c r="AC65" s="501">
        <v>0.48</v>
      </c>
      <c r="AD65" s="501">
        <v>0.48</v>
      </c>
      <c r="AE65" s="141"/>
      <c r="AF65" s="141"/>
      <c r="AG65" s="141"/>
      <c r="AK65" s="732"/>
      <c r="BB65" s="40">
        <f t="shared" si="19"/>
        <v>3.9667507756618585</v>
      </c>
      <c r="BC65" s="1580" t="str">
        <f t="shared" si="20"/>
        <v>Building Shell RES 15 Year EUL</v>
      </c>
      <c r="BD65" s="98">
        <f>(INDEX('Avoided Cost Benefits'!$E$4:$E$859,MATCH(BC65,'Avoided Cost Benefits'!$A$4:$A$859,0)))*F65</f>
        <v>0.44927804915471725</v>
      </c>
      <c r="BE65" s="1581">
        <f t="shared" si="21"/>
        <v>0.11326097215667766</v>
      </c>
    </row>
    <row r="66" spans="1:57" s="741" customFormat="1" x14ac:dyDescent="0.35">
      <c r="A66" s="756"/>
      <c r="B66" s="1328"/>
      <c r="C66" s="831" t="s">
        <v>1564</v>
      </c>
      <c r="D66" s="1279" t="s">
        <v>1517</v>
      </c>
      <c r="E66" s="2398" t="s">
        <v>4259</v>
      </c>
      <c r="F66" s="561">
        <f t="shared" si="22"/>
        <v>0.45</v>
      </c>
      <c r="G66" s="395" t="s">
        <v>1558</v>
      </c>
      <c r="H66" s="136">
        <f>VLOOKUP(G66,'CP FACTORS'!$A$3:$B$38, 2, FALSE)</f>
        <v>4.6608050000000002E-4</v>
      </c>
      <c r="I66" s="796">
        <f t="shared" si="16"/>
        <v>0.39100000000000001</v>
      </c>
      <c r="J66" s="1231">
        <f t="shared" si="17"/>
        <v>6.2E-2</v>
      </c>
      <c r="K66" s="742">
        <f t="shared" si="23"/>
        <v>2.1000000000000001E-4</v>
      </c>
      <c r="L66" s="820">
        <f t="shared" si="18"/>
        <v>15</v>
      </c>
      <c r="M66" s="1845">
        <f t="shared" si="29"/>
        <v>0.12</v>
      </c>
      <c r="N66" s="820">
        <f t="shared" si="30"/>
        <v>1</v>
      </c>
      <c r="O66" s="756"/>
      <c r="P66" s="756"/>
      <c r="Q66" s="756"/>
      <c r="R66" s="1214"/>
      <c r="S66" s="756"/>
      <c r="T66" s="756"/>
      <c r="U66" s="756"/>
      <c r="V66" s="141" t="str">
        <f t="shared" si="24"/>
        <v>kWh Annual Savings</v>
      </c>
      <c r="W66" s="3381"/>
      <c r="X66" s="3382"/>
      <c r="Y66" s="734">
        <v>0.45</v>
      </c>
      <c r="Z66" s="731">
        <v>0.45</v>
      </c>
      <c r="AA66" s="731">
        <v>0.45</v>
      </c>
      <c r="AB66" s="731">
        <v>0.45</v>
      </c>
      <c r="AC66" s="501">
        <v>0.45</v>
      </c>
      <c r="AD66" s="501">
        <v>0.45</v>
      </c>
      <c r="AE66" s="141"/>
      <c r="AF66" s="141"/>
      <c r="AG66" s="141"/>
      <c r="AK66" s="732"/>
      <c r="BB66" s="40">
        <f t="shared" ref="BB66:BB67" si="31">(BD66)/(BE66)</f>
        <v>3.7188288521829924</v>
      </c>
      <c r="BC66" s="1580" t="str">
        <f t="shared" ref="BC66:BC67" si="32">CONCATENATE(G66," ",L66," Year EUL")</f>
        <v>Building Shell RES 15 Year EUL</v>
      </c>
      <c r="BD66" s="98">
        <f>(INDEX('Avoided Cost Benefits'!$E$4:$E$859,MATCH(BC66,'Avoided Cost Benefits'!$A$4:$A$859,0)))*F66</f>
        <v>0.42119817108254742</v>
      </c>
      <c r="BE66" s="1581">
        <f t="shared" ref="BE66:BE67" si="33">M66/(1.0595^(2020-2019))</f>
        <v>0.11326097215667766</v>
      </c>
    </row>
    <row r="67" spans="1:57" s="741" customFormat="1" x14ac:dyDescent="0.35">
      <c r="A67" s="756"/>
      <c r="B67" s="1328"/>
      <c r="C67" s="831" t="s">
        <v>1565</v>
      </c>
      <c r="D67" s="1279" t="s">
        <v>1517</v>
      </c>
      <c r="E67" s="1329" t="s">
        <v>4260</v>
      </c>
      <c r="F67" s="561">
        <f t="shared" si="22"/>
        <v>0.08</v>
      </c>
      <c r="G67" s="395" t="s">
        <v>1558</v>
      </c>
      <c r="H67" s="136">
        <f>VLOOKUP(G67,'CP FACTORS'!$A$3:$B$38, 2, FALSE)</f>
        <v>4.6608050000000002E-4</v>
      </c>
      <c r="I67" s="796">
        <f t="shared" si="16"/>
        <v>1.5640339999999999E-2</v>
      </c>
      <c r="J67" s="1231">
        <f t="shared" si="17"/>
        <v>6.2E-2</v>
      </c>
      <c r="K67" s="742">
        <f t="shared" si="23"/>
        <v>3.6999999999999998E-5</v>
      </c>
      <c r="L67" s="820">
        <f t="shared" si="18"/>
        <v>15</v>
      </c>
      <c r="M67" s="1845">
        <f t="shared" si="29"/>
        <v>0.12</v>
      </c>
      <c r="N67" s="820">
        <f t="shared" si="30"/>
        <v>1</v>
      </c>
      <c r="O67" s="756"/>
      <c r="P67" s="756"/>
      <c r="Q67" s="756"/>
      <c r="R67" s="1214"/>
      <c r="S67" s="756"/>
      <c r="T67" s="756"/>
      <c r="U67" s="756"/>
      <c r="V67" s="141" t="str">
        <f t="shared" si="24"/>
        <v>kWh Annual Savings</v>
      </c>
      <c r="W67" s="3381"/>
      <c r="X67" s="3382"/>
      <c r="Y67" s="734">
        <v>0.08</v>
      </c>
      <c r="Z67" s="731">
        <v>0.08</v>
      </c>
      <c r="AA67" s="731">
        <v>0.08</v>
      </c>
      <c r="AB67" s="731">
        <v>0.08</v>
      </c>
      <c r="AC67" s="501">
        <v>0.08</v>
      </c>
      <c r="AD67" s="501">
        <v>0.08</v>
      </c>
      <c r="AE67" s="141"/>
      <c r="AF67" s="141"/>
      <c r="AG67" s="141"/>
      <c r="AK67" s="732"/>
      <c r="BB67" s="41">
        <f t="shared" si="31"/>
        <v>0.66112512927697642</v>
      </c>
      <c r="BC67" s="1580" t="str">
        <f t="shared" si="32"/>
        <v>Building Shell RES 15 Year EUL</v>
      </c>
      <c r="BD67" s="102">
        <f>(INDEX('Avoided Cost Benefits'!$E$4:$E$859,MATCH(BC67,'Avoided Cost Benefits'!$A$4:$A$859,0)))*F67</f>
        <v>7.4879674859119547E-2</v>
      </c>
      <c r="BE67" s="1582">
        <f t="shared" si="33"/>
        <v>0.11326097215667766</v>
      </c>
    </row>
    <row r="68" spans="1:57" hidden="1" outlineLevel="1" x14ac:dyDescent="0.35">
      <c r="B68" s="1040"/>
      <c r="F68" s="218"/>
      <c r="AK68" s="732"/>
    </row>
    <row r="69" spans="1:57" hidden="1" outlineLevel="1" x14ac:dyDescent="0.35">
      <c r="B69" s="1040"/>
      <c r="D69" s="217" t="s">
        <v>107</v>
      </c>
      <c r="E69" s="217" t="s">
        <v>1566</v>
      </c>
      <c r="F69" s="218"/>
      <c r="AK69" s="732"/>
    </row>
    <row r="70" spans="1:57" hidden="1" outlineLevel="1" x14ac:dyDescent="0.35">
      <c r="B70" s="1040"/>
      <c r="C70" s="221"/>
      <c r="D70" s="1330"/>
      <c r="E70" s="1331"/>
      <c r="F70" s="1332"/>
      <c r="G70" s="1332"/>
      <c r="H70" s="1332"/>
      <c r="I70" s="1332"/>
      <c r="J70" s="744"/>
      <c r="K70" s="744"/>
      <c r="L70" s="744"/>
      <c r="AK70" s="732"/>
    </row>
    <row r="71" spans="1:57" hidden="1" outlineLevel="1" x14ac:dyDescent="0.35">
      <c r="B71" s="1040"/>
      <c r="C71" s="234"/>
      <c r="D71" s="1333"/>
      <c r="E71" s="1334"/>
      <c r="F71" s="1335"/>
      <c r="G71" s="1335"/>
      <c r="H71" s="1335"/>
      <c r="I71" s="1335"/>
      <c r="J71" s="745"/>
      <c r="K71" s="745"/>
      <c r="L71" s="745"/>
      <c r="AK71" s="732"/>
    </row>
    <row r="72" spans="1:57" hidden="1" outlineLevel="1" x14ac:dyDescent="0.35">
      <c r="B72" s="1040"/>
      <c r="C72" s="234"/>
      <c r="D72" s="1333"/>
      <c r="E72" s="1334"/>
      <c r="F72" s="1335"/>
      <c r="G72" s="1335"/>
      <c r="H72" s="1335"/>
      <c r="I72" s="1335"/>
      <c r="J72" s="745"/>
      <c r="K72" s="745"/>
      <c r="L72" s="745"/>
      <c r="AK72" s="732"/>
    </row>
    <row r="73" spans="1:57" hidden="1" outlineLevel="1" x14ac:dyDescent="0.35">
      <c r="B73" s="1040"/>
      <c r="C73" s="235"/>
      <c r="D73" s="1336"/>
      <c r="E73" s="4280"/>
      <c r="F73" s="4281"/>
      <c r="G73" s="4281"/>
      <c r="H73" s="4281"/>
      <c r="I73" s="4281"/>
      <c r="J73" s="4281"/>
      <c r="K73" s="4281"/>
      <c r="L73" s="4281"/>
      <c r="AK73" s="732"/>
    </row>
    <row r="74" spans="1:57" hidden="1" outlineLevel="1" x14ac:dyDescent="0.35">
      <c r="B74" s="1040"/>
      <c r="AK74" s="732"/>
    </row>
    <row r="75" spans="1:57" hidden="1" outlineLevel="1" x14ac:dyDescent="0.35">
      <c r="B75" s="1040"/>
      <c r="D75" s="333" t="s">
        <v>108</v>
      </c>
      <c r="E75" s="333" t="s">
        <v>109</v>
      </c>
      <c r="F75" s="2969" t="s">
        <v>111</v>
      </c>
      <c r="G75" s="2969" t="s">
        <v>186</v>
      </c>
      <c r="H75" s="2969" t="s">
        <v>282</v>
      </c>
      <c r="V75" s="1572" t="s">
        <v>44</v>
      </c>
      <c r="W75" s="1573">
        <f>W$6</f>
        <v>43252</v>
      </c>
      <c r="X75" s="1573">
        <f t="shared" ref="X75:AG75" si="34">X$6</f>
        <v>43465</v>
      </c>
      <c r="Y75" s="316">
        <f t="shared" si="34"/>
        <v>43800</v>
      </c>
      <c r="Z75" s="1573">
        <f t="shared" si="34"/>
        <v>43862</v>
      </c>
      <c r="AA75" s="1573">
        <f t="shared" si="34"/>
        <v>44013</v>
      </c>
      <c r="AB75" s="1573">
        <f t="shared" si="34"/>
        <v>44166</v>
      </c>
      <c r="AC75" s="1573">
        <f t="shared" si="34"/>
        <v>44531</v>
      </c>
      <c r="AD75" s="1573">
        <f t="shared" si="34"/>
        <v>44774</v>
      </c>
      <c r="AE75" s="1573" t="str">
        <f t="shared" si="34"/>
        <v>-</v>
      </c>
      <c r="AF75" s="1573" t="str">
        <f t="shared" si="34"/>
        <v>-</v>
      </c>
      <c r="AG75" s="1573" t="str">
        <f t="shared" si="34"/>
        <v>-</v>
      </c>
      <c r="AK75" s="732"/>
    </row>
    <row r="76" spans="1:57" ht="15" hidden="1" customHeight="1" outlineLevel="1" x14ac:dyDescent="0.35">
      <c r="B76" s="1040"/>
      <c r="D76" s="4282" t="s">
        <v>1567</v>
      </c>
      <c r="E76" s="368" t="str">
        <f t="shared" ref="E76:E84" si="35">E59</f>
        <v>Air Sealing (Infiltration reduction) - 30% MF IE DI electric furnace base</v>
      </c>
      <c r="F76" s="1337">
        <v>0.28499999999999998</v>
      </c>
      <c r="G76" s="2979" t="s">
        <v>284</v>
      </c>
      <c r="H76" s="3158"/>
      <c r="V76" s="4278" t="str">
        <f>D76</f>
        <v>Defaultheat</v>
      </c>
      <c r="W76" s="746">
        <v>0.28499999999999998</v>
      </c>
      <c r="X76" s="746">
        <v>0.28499999999999998</v>
      </c>
      <c r="Y76" s="746">
        <v>0.28499999999999998</v>
      </c>
      <c r="Z76" s="1337">
        <v>0.28499999999999998</v>
      </c>
      <c r="AA76" s="1337">
        <v>0.28499999999999998</v>
      </c>
      <c r="AB76" s="1337">
        <v>0.28499999999999998</v>
      </c>
      <c r="AC76" s="1337">
        <v>0.28499999999999998</v>
      </c>
      <c r="AD76" s="1337">
        <v>0.28499999999999998</v>
      </c>
      <c r="AE76" s="177"/>
      <c r="AF76" s="177"/>
      <c r="AG76" s="177"/>
      <c r="AK76" s="732"/>
    </row>
    <row r="77" spans="1:57" ht="15" hidden="1" customHeight="1" outlineLevel="1" x14ac:dyDescent="0.35">
      <c r="B77" s="1040"/>
      <c r="D77" s="4275"/>
      <c r="E77" s="368" t="str">
        <f t="shared" si="35"/>
        <v>Air Sealing (Infiltration reduction) - 30% MF IE DI heat pump base</v>
      </c>
      <c r="F77" s="1337">
        <v>0.20799999999999999</v>
      </c>
      <c r="G77" s="2979" t="s">
        <v>284</v>
      </c>
      <c r="H77" s="3158"/>
      <c r="V77" s="4279"/>
      <c r="W77" s="746">
        <v>0.20799999999999999</v>
      </c>
      <c r="X77" s="746">
        <v>0.20799999999999999</v>
      </c>
      <c r="Y77" s="746">
        <v>0.20799999999999999</v>
      </c>
      <c r="Z77" s="1337">
        <v>0.20799999999999999</v>
      </c>
      <c r="AA77" s="1337">
        <v>0.20799999999999999</v>
      </c>
      <c r="AB77" s="1337">
        <v>0.20799999999999999</v>
      </c>
      <c r="AC77" s="1337">
        <v>0.20799999999999999</v>
      </c>
      <c r="AD77" s="1337">
        <v>0.20799999999999999</v>
      </c>
      <c r="AE77" s="177"/>
      <c r="AF77" s="177"/>
      <c r="AG77" s="177"/>
      <c r="AK77" s="732"/>
    </row>
    <row r="78" spans="1:57" ht="15" hidden="1" customHeight="1" outlineLevel="1" x14ac:dyDescent="0.35">
      <c r="B78" s="1040"/>
      <c r="D78" s="4275"/>
      <c r="E78" s="2735" t="str">
        <f t="shared" si="35"/>
        <v>Air Sealing (Infiltration reduction) - 30% MF IE DI gas furnace base</v>
      </c>
      <c r="F78" s="747">
        <v>0</v>
      </c>
      <c r="G78" s="3347" t="s">
        <v>284</v>
      </c>
      <c r="H78" s="3373"/>
      <c r="V78" s="4279"/>
      <c r="W78" s="3375"/>
      <c r="X78" s="3375"/>
      <c r="Y78" s="3375"/>
      <c r="Z78" s="3376"/>
      <c r="AA78" s="3376"/>
      <c r="AB78" s="3376"/>
      <c r="AC78" s="3376"/>
      <c r="AD78" s="747">
        <v>0</v>
      </c>
      <c r="AE78" s="177"/>
      <c r="AF78" s="177"/>
      <c r="AG78" s="177"/>
      <c r="AK78" s="732"/>
    </row>
    <row r="79" spans="1:57" hidden="1" outlineLevel="1" x14ac:dyDescent="0.35">
      <c r="B79" s="1040"/>
      <c r="D79" s="4275"/>
      <c r="E79" s="368" t="str">
        <f t="shared" si="35"/>
        <v>Air Sealing (Infiltration reduction) - 30% SF IE DI electric furnace base</v>
      </c>
      <c r="F79" s="1337">
        <v>0.308</v>
      </c>
      <c r="G79" s="2979" t="s">
        <v>284</v>
      </c>
      <c r="H79" s="3158"/>
      <c r="V79" s="4279"/>
      <c r="W79" s="746">
        <v>0.308</v>
      </c>
      <c r="X79" s="746">
        <v>0.308</v>
      </c>
      <c r="Y79" s="746">
        <v>0.308</v>
      </c>
      <c r="Z79" s="1337">
        <v>0.308</v>
      </c>
      <c r="AA79" s="1337">
        <v>0.308</v>
      </c>
      <c r="AB79" s="1337">
        <v>0.308</v>
      </c>
      <c r="AC79" s="1337">
        <v>0.308</v>
      </c>
      <c r="AD79" s="1337">
        <v>0.308</v>
      </c>
      <c r="AE79" s="177"/>
      <c r="AF79" s="177"/>
      <c r="AG79" s="177"/>
      <c r="AK79" s="732"/>
    </row>
    <row r="80" spans="1:57" hidden="1" outlineLevel="1" x14ac:dyDescent="0.35">
      <c r="B80" s="1040"/>
      <c r="D80" s="4275"/>
      <c r="E80" s="368" t="str">
        <f t="shared" si="35"/>
        <v>Air Sealing (Infiltration reduction) - 30% SF IE DI Gas furnace base</v>
      </c>
      <c r="F80" s="1337">
        <v>0</v>
      </c>
      <c r="G80" s="2979" t="s">
        <v>284</v>
      </c>
      <c r="H80" s="3158"/>
      <c r="V80" s="4279"/>
      <c r="W80" s="3375"/>
      <c r="X80" s="3375"/>
      <c r="Y80" s="747">
        <v>0</v>
      </c>
      <c r="Z80" s="1337">
        <v>0</v>
      </c>
      <c r="AA80" s="1337">
        <v>0</v>
      </c>
      <c r="AB80" s="1337">
        <v>0</v>
      </c>
      <c r="AC80" s="1337">
        <v>0</v>
      </c>
      <c r="AD80" s="1337">
        <v>0</v>
      </c>
      <c r="AE80" s="177"/>
      <c r="AF80" s="177"/>
      <c r="AG80" s="177"/>
      <c r="AK80" s="732"/>
    </row>
    <row r="81" spans="2:37" hidden="1" outlineLevel="1" x14ac:dyDescent="0.35">
      <c r="B81" s="1040"/>
      <c r="D81" s="4275"/>
      <c r="E81" s="368" t="str">
        <f t="shared" si="35"/>
        <v>Air Sealing (Infiltration reduction) - 30% SF IE DI heat pump base</v>
      </c>
      <c r="F81" s="1337">
        <v>0.25700000000000001</v>
      </c>
      <c r="G81" s="2979" t="s">
        <v>284</v>
      </c>
      <c r="H81" s="3158"/>
      <c r="V81" s="4279"/>
      <c r="W81" s="746">
        <v>0.25700000000000001</v>
      </c>
      <c r="X81" s="746">
        <v>0.25700000000000001</v>
      </c>
      <c r="Y81" s="746">
        <v>0.25700000000000001</v>
      </c>
      <c r="Z81" s="1337">
        <v>0.25700000000000001</v>
      </c>
      <c r="AA81" s="1337">
        <v>0.25700000000000001</v>
      </c>
      <c r="AB81" s="1337">
        <v>0.25700000000000001</v>
      </c>
      <c r="AC81" s="1337">
        <v>0.25700000000000001</v>
      </c>
      <c r="AD81" s="1337">
        <v>0.25700000000000001</v>
      </c>
      <c r="AE81" s="748"/>
      <c r="AF81" s="748"/>
      <c r="AG81" s="748"/>
      <c r="AK81" s="732"/>
    </row>
    <row r="82" spans="2:37" hidden="1" outlineLevel="1" x14ac:dyDescent="0.35">
      <c r="B82" s="1040"/>
      <c r="D82" s="4275"/>
      <c r="E82" s="368" t="str">
        <f t="shared" si="35"/>
        <v>MH Adjusted Air Sealing (Infiltration reduction) - 30% SF IE DI electric furnace base</v>
      </c>
      <c r="F82" s="1337">
        <v>0.41299999999999998</v>
      </c>
      <c r="G82" s="2979" t="s">
        <v>284</v>
      </c>
      <c r="H82" s="3158"/>
      <c r="V82" s="4279"/>
      <c r="W82" s="746">
        <v>0.41299999999999998</v>
      </c>
      <c r="X82" s="746">
        <v>0.41299999999999998</v>
      </c>
      <c r="Y82" s="746">
        <v>0.41299999999999998</v>
      </c>
      <c r="Z82" s="1337">
        <v>0.41299999999999998</v>
      </c>
      <c r="AA82" s="1337">
        <v>0.41299999999999998</v>
      </c>
      <c r="AB82" s="1337">
        <v>0.41299999999999998</v>
      </c>
      <c r="AC82" s="1337">
        <v>0.41299999999999998</v>
      </c>
      <c r="AD82" s="1337">
        <v>0.41299999999999998</v>
      </c>
      <c r="AE82" s="748"/>
      <c r="AF82" s="748"/>
      <c r="AG82" s="748"/>
      <c r="AK82" s="732"/>
    </row>
    <row r="83" spans="2:37" hidden="1" outlineLevel="1" x14ac:dyDescent="0.35">
      <c r="B83" s="1040"/>
      <c r="D83" s="4276"/>
      <c r="E83" s="368" t="str">
        <f t="shared" si="35"/>
        <v>MH Adjusted Air Sealing (Infiltration reduction) - 30% SF IE DI heat pump base</v>
      </c>
      <c r="F83" s="1337">
        <v>0.39100000000000001</v>
      </c>
      <c r="G83" s="2979" t="s">
        <v>284</v>
      </c>
      <c r="H83" s="3158"/>
      <c r="V83" s="3781"/>
      <c r="W83" s="3375"/>
      <c r="X83" s="3375"/>
      <c r="Y83" s="747">
        <v>0.39100000000000001</v>
      </c>
      <c r="Z83" s="1337">
        <v>0.39100000000000001</v>
      </c>
      <c r="AA83" s="1337">
        <v>0.39100000000000001</v>
      </c>
      <c r="AB83" s="1337">
        <v>0.39100000000000001</v>
      </c>
      <c r="AC83" s="1337">
        <v>0.39100000000000001</v>
      </c>
      <c r="AD83" s="1337">
        <v>0.39100000000000001</v>
      </c>
      <c r="AE83" s="748"/>
      <c r="AF83" s="748"/>
      <c r="AG83" s="748"/>
      <c r="AK83" s="732"/>
    </row>
    <row r="84" spans="2:37" ht="15" hidden="1" outlineLevel="1" thickBot="1" x14ac:dyDescent="0.4">
      <c r="B84" s="1040"/>
      <c r="D84" s="4277"/>
      <c r="E84" s="1936" t="str">
        <f t="shared" si="35"/>
        <v>MH Adjusted Air Sealing (Infiltration reduction) - 30% SF IE DI gas furnace base</v>
      </c>
      <c r="F84" s="3179">
        <v>0</v>
      </c>
      <c r="G84" s="3159" t="s">
        <v>284</v>
      </c>
      <c r="H84" s="3160"/>
      <c r="V84" s="3779"/>
      <c r="W84" s="3375"/>
      <c r="X84" s="3375"/>
      <c r="Y84" s="747">
        <v>0</v>
      </c>
      <c r="Z84" s="1337">
        <v>0</v>
      </c>
      <c r="AA84" s="1337">
        <v>0</v>
      </c>
      <c r="AB84" s="1337">
        <v>0</v>
      </c>
      <c r="AC84" s="1337">
        <v>0</v>
      </c>
      <c r="AD84" s="1337">
        <v>0</v>
      </c>
      <c r="AE84" s="748"/>
      <c r="AF84" s="748"/>
      <c r="AG84" s="748"/>
      <c r="AK84" s="732"/>
    </row>
    <row r="85" spans="2:37" ht="29" hidden="1" outlineLevel="1" x14ac:dyDescent="0.35">
      <c r="B85" s="1040"/>
      <c r="D85" s="4274" t="s">
        <v>1568</v>
      </c>
      <c r="E85" s="3155" t="str">
        <f t="shared" ref="E85:E111" si="36">E76</f>
        <v>Air Sealing (Infiltration reduction) - 30% MF IE DI electric furnace base</v>
      </c>
      <c r="F85" s="3186">
        <v>1</v>
      </c>
      <c r="G85" s="3156" t="s">
        <v>1569</v>
      </c>
      <c r="H85" s="3157" t="s">
        <v>1570</v>
      </c>
      <c r="V85" s="4278" t="str">
        <f>D85</f>
        <v>Sq. Ft.</v>
      </c>
      <c r="W85" s="750">
        <f>1387*0.65</f>
        <v>901.55000000000007</v>
      </c>
      <c r="X85" s="750">
        <v>901.55000000000007</v>
      </c>
      <c r="Y85" s="749">
        <v>1</v>
      </c>
      <c r="Z85" s="823">
        <v>1</v>
      </c>
      <c r="AA85" s="823">
        <v>1</v>
      </c>
      <c r="AB85" s="823">
        <v>1</v>
      </c>
      <c r="AC85" s="823">
        <v>1</v>
      </c>
      <c r="AD85" s="823">
        <v>1</v>
      </c>
      <c r="AE85" s="748"/>
      <c r="AF85" s="748"/>
      <c r="AG85" s="748"/>
      <c r="AK85" s="732"/>
    </row>
    <row r="86" spans="2:37" ht="29" hidden="1" outlineLevel="1" x14ac:dyDescent="0.35">
      <c r="B86" s="1040"/>
      <c r="D86" s="4275"/>
      <c r="E86" s="368" t="str">
        <f t="shared" si="36"/>
        <v>Air Sealing (Infiltration reduction) - 30% MF IE DI heat pump base</v>
      </c>
      <c r="F86" s="823">
        <v>1</v>
      </c>
      <c r="G86" s="2979" t="s">
        <v>1569</v>
      </c>
      <c r="H86" s="3158" t="s">
        <v>1570</v>
      </c>
      <c r="V86" s="4279"/>
      <c r="W86" s="750">
        <f>1387*0.65</f>
        <v>901.55000000000007</v>
      </c>
      <c r="X86" s="750">
        <v>901.55000000000007</v>
      </c>
      <c r="Y86" s="749">
        <v>1</v>
      </c>
      <c r="Z86" s="823">
        <v>1</v>
      </c>
      <c r="AA86" s="823">
        <v>1</v>
      </c>
      <c r="AB86" s="823">
        <v>1</v>
      </c>
      <c r="AC86" s="823">
        <v>1</v>
      </c>
      <c r="AD86" s="823">
        <v>1</v>
      </c>
      <c r="AE86" s="748"/>
      <c r="AF86" s="748"/>
      <c r="AG86" s="748"/>
      <c r="AK86" s="732"/>
    </row>
    <row r="87" spans="2:37" ht="29" hidden="1" outlineLevel="1" x14ac:dyDescent="0.35">
      <c r="B87" s="1040"/>
      <c r="D87" s="4275"/>
      <c r="E87" s="2735" t="str">
        <f t="shared" si="36"/>
        <v>Air Sealing (Infiltration reduction) - 30% MF IE DI gas furnace base</v>
      </c>
      <c r="F87" s="749">
        <v>1</v>
      </c>
      <c r="G87" s="3347" t="s">
        <v>1569</v>
      </c>
      <c r="H87" s="3373" t="s">
        <v>1570</v>
      </c>
      <c r="V87" s="4279"/>
      <c r="W87" s="3378"/>
      <c r="X87" s="3378"/>
      <c r="Y87" s="3379"/>
      <c r="Z87" s="3380"/>
      <c r="AA87" s="3380"/>
      <c r="AB87" s="3380"/>
      <c r="AC87" s="3380"/>
      <c r="AD87" s="749">
        <v>1</v>
      </c>
      <c r="AE87" s="748"/>
      <c r="AF87" s="748"/>
      <c r="AG87" s="748"/>
      <c r="AK87" s="732"/>
    </row>
    <row r="88" spans="2:37" ht="29" hidden="1" outlineLevel="1" x14ac:dyDescent="0.35">
      <c r="B88" s="1040"/>
      <c r="D88" s="4275"/>
      <c r="E88" s="368" t="str">
        <f t="shared" si="36"/>
        <v>Air Sealing (Infiltration reduction) - 30% SF IE DI electric furnace base</v>
      </c>
      <c r="F88" s="823">
        <v>1</v>
      </c>
      <c r="G88" s="2979" t="s">
        <v>1571</v>
      </c>
      <c r="H88" s="3158"/>
      <c r="V88" s="4279"/>
      <c r="W88" s="750">
        <v>1387</v>
      </c>
      <c r="X88" s="750">
        <v>1387</v>
      </c>
      <c r="Y88" s="749">
        <v>1</v>
      </c>
      <c r="Z88" s="823">
        <v>1</v>
      </c>
      <c r="AA88" s="823">
        <v>1</v>
      </c>
      <c r="AB88" s="823">
        <v>1</v>
      </c>
      <c r="AC88" s="823">
        <v>1</v>
      </c>
      <c r="AD88" s="823">
        <v>1</v>
      </c>
      <c r="AE88" s="748"/>
      <c r="AF88" s="748"/>
      <c r="AG88" s="748"/>
      <c r="AK88" s="732"/>
    </row>
    <row r="89" spans="2:37" ht="29" hidden="1" outlineLevel="1" x14ac:dyDescent="0.35">
      <c r="B89" s="1040"/>
      <c r="D89" s="4275"/>
      <c r="E89" s="368" t="str">
        <f t="shared" si="36"/>
        <v>Air Sealing (Infiltration reduction) - 30% SF IE DI Gas furnace base</v>
      </c>
      <c r="F89" s="823">
        <v>1</v>
      </c>
      <c r="G89" s="2979" t="s">
        <v>1571</v>
      </c>
      <c r="H89" s="3158"/>
      <c r="V89" s="4279"/>
      <c r="W89" s="3378"/>
      <c r="X89" s="3378"/>
      <c r="Y89" s="749">
        <v>1</v>
      </c>
      <c r="Z89" s="823">
        <v>1</v>
      </c>
      <c r="AA89" s="823">
        <v>1</v>
      </c>
      <c r="AB89" s="823">
        <v>1</v>
      </c>
      <c r="AC89" s="823">
        <v>1</v>
      </c>
      <c r="AD89" s="823">
        <v>1</v>
      </c>
      <c r="AE89" s="748"/>
      <c r="AF89" s="748"/>
      <c r="AG89" s="748"/>
      <c r="AK89" s="732"/>
    </row>
    <row r="90" spans="2:37" ht="29" hidden="1" outlineLevel="1" x14ac:dyDescent="0.35">
      <c r="B90" s="1040"/>
      <c r="D90" s="4275"/>
      <c r="E90" s="368" t="str">
        <f t="shared" si="36"/>
        <v>Air Sealing (Infiltration reduction) - 30% SF IE DI heat pump base</v>
      </c>
      <c r="F90" s="823">
        <v>1</v>
      </c>
      <c r="G90" s="2979" t="s">
        <v>1572</v>
      </c>
      <c r="H90" s="3158"/>
      <c r="V90" s="4279"/>
      <c r="W90" s="750">
        <v>1387</v>
      </c>
      <c r="X90" s="750">
        <v>1387</v>
      </c>
      <c r="Y90" s="749">
        <v>1</v>
      </c>
      <c r="Z90" s="823">
        <v>1</v>
      </c>
      <c r="AA90" s="823">
        <v>1</v>
      </c>
      <c r="AB90" s="823">
        <v>1</v>
      </c>
      <c r="AC90" s="823">
        <v>1</v>
      </c>
      <c r="AD90" s="823">
        <v>1</v>
      </c>
      <c r="AE90" s="748"/>
      <c r="AF90" s="748"/>
      <c r="AG90" s="748"/>
      <c r="AK90" s="732"/>
    </row>
    <row r="91" spans="2:37" ht="29" hidden="1" outlineLevel="1" x14ac:dyDescent="0.35">
      <c r="B91" s="1040"/>
      <c r="D91" s="4275"/>
      <c r="E91" s="368" t="str">
        <f t="shared" si="36"/>
        <v>MH Adjusted Air Sealing (Infiltration reduction) - 30% SF IE DI electric furnace base</v>
      </c>
      <c r="F91" s="823">
        <v>1</v>
      </c>
      <c r="G91" s="2979" t="s">
        <v>1573</v>
      </c>
      <c r="H91" s="3158"/>
      <c r="V91" s="4279"/>
      <c r="W91" s="750">
        <f>15*72</f>
        <v>1080</v>
      </c>
      <c r="X91" s="750">
        <v>1080</v>
      </c>
      <c r="Y91" s="749">
        <v>1</v>
      </c>
      <c r="Z91" s="823">
        <v>1</v>
      </c>
      <c r="AA91" s="823">
        <v>1</v>
      </c>
      <c r="AB91" s="823">
        <v>1</v>
      </c>
      <c r="AC91" s="823">
        <v>1</v>
      </c>
      <c r="AD91" s="823">
        <v>1</v>
      </c>
      <c r="AE91" s="748"/>
      <c r="AF91" s="748"/>
      <c r="AG91" s="748"/>
      <c r="AK91" s="732"/>
    </row>
    <row r="92" spans="2:37" ht="29" hidden="1" outlineLevel="1" x14ac:dyDescent="0.35">
      <c r="B92" s="1040"/>
      <c r="D92" s="4276"/>
      <c r="E92" s="368" t="str">
        <f t="shared" si="36"/>
        <v>MH Adjusted Air Sealing (Infiltration reduction) - 30% SF IE DI heat pump base</v>
      </c>
      <c r="F92" s="823">
        <v>1</v>
      </c>
      <c r="G92" s="2979" t="s">
        <v>1573</v>
      </c>
      <c r="H92" s="3158"/>
      <c r="V92" s="3781"/>
      <c r="W92" s="3378"/>
      <c r="X92" s="3378"/>
      <c r="Y92" s="749">
        <v>1</v>
      </c>
      <c r="Z92" s="823">
        <v>1</v>
      </c>
      <c r="AA92" s="823">
        <v>1</v>
      </c>
      <c r="AB92" s="823">
        <v>1</v>
      </c>
      <c r="AC92" s="823">
        <v>1</v>
      </c>
      <c r="AD92" s="823">
        <v>1</v>
      </c>
      <c r="AE92" s="748"/>
      <c r="AF92" s="748"/>
      <c r="AG92" s="748"/>
      <c r="AK92" s="732"/>
    </row>
    <row r="93" spans="2:37" ht="29.5" hidden="1" outlineLevel="1" thickBot="1" x14ac:dyDescent="0.4">
      <c r="B93" s="1040"/>
      <c r="D93" s="4277"/>
      <c r="E93" s="1936" t="str">
        <f t="shared" si="36"/>
        <v>MH Adjusted Air Sealing (Infiltration reduction) - 30% SF IE DI gas furnace base</v>
      </c>
      <c r="F93" s="3187">
        <v>1</v>
      </c>
      <c r="G93" s="3159" t="s">
        <v>1573</v>
      </c>
      <c r="H93" s="3160"/>
      <c r="V93" s="3779"/>
      <c r="W93" s="3378"/>
      <c r="X93" s="3378"/>
      <c r="Y93" s="749">
        <v>1</v>
      </c>
      <c r="Z93" s="823">
        <v>1</v>
      </c>
      <c r="AA93" s="823">
        <v>1</v>
      </c>
      <c r="AB93" s="823">
        <v>1</v>
      </c>
      <c r="AC93" s="823">
        <v>1</v>
      </c>
      <c r="AD93" s="823">
        <v>1</v>
      </c>
      <c r="AE93" s="748"/>
      <c r="AF93" s="748"/>
      <c r="AG93" s="748"/>
      <c r="AK93" s="732"/>
    </row>
    <row r="94" spans="2:37" ht="15" hidden="1" customHeight="1" outlineLevel="1" x14ac:dyDescent="0.35">
      <c r="B94" s="1040"/>
      <c r="D94" s="4274" t="s">
        <v>1574</v>
      </c>
      <c r="E94" s="3155" t="str">
        <f t="shared" si="36"/>
        <v>Air Sealing (Infiltration reduction) - 30% MF IE DI electric furnace base</v>
      </c>
      <c r="F94" s="3178">
        <v>4.2999999999999997E-2</v>
      </c>
      <c r="G94" s="3156" t="s">
        <v>284</v>
      </c>
      <c r="H94" s="3157"/>
      <c r="V94" s="4278" t="str">
        <f>D94</f>
        <v>Defaultcool</v>
      </c>
      <c r="W94" s="746">
        <v>4.2999999999999997E-2</v>
      </c>
      <c r="X94" s="746">
        <v>4.2999999999999997E-2</v>
      </c>
      <c r="Y94" s="746">
        <v>4.2999999999999997E-2</v>
      </c>
      <c r="Z94" s="1337">
        <v>4.2999999999999997E-2</v>
      </c>
      <c r="AA94" s="1337">
        <v>4.2999999999999997E-2</v>
      </c>
      <c r="AB94" s="1337">
        <v>4.2999999999999997E-2</v>
      </c>
      <c r="AC94" s="1337">
        <v>4.2999999999999997E-2</v>
      </c>
      <c r="AD94" s="1337">
        <v>4.2999999999999997E-2</v>
      </c>
      <c r="AE94" s="748"/>
      <c r="AF94" s="748"/>
      <c r="AG94" s="748"/>
      <c r="AK94" s="732"/>
    </row>
    <row r="95" spans="2:37" hidden="1" outlineLevel="1" x14ac:dyDescent="0.35">
      <c r="B95" s="1040"/>
      <c r="D95" s="4275"/>
      <c r="E95" s="368" t="str">
        <f t="shared" si="36"/>
        <v>Air Sealing (Infiltration reduction) - 30% MF IE DI heat pump base</v>
      </c>
      <c r="F95" s="1337">
        <v>4.2999999999999997E-2</v>
      </c>
      <c r="G95" s="2979" t="s">
        <v>284</v>
      </c>
      <c r="H95" s="3158"/>
      <c r="V95" s="4279"/>
      <c r="W95" s="746">
        <v>4.2999999999999997E-2</v>
      </c>
      <c r="X95" s="746">
        <v>4.2999999999999997E-2</v>
      </c>
      <c r="Y95" s="746">
        <v>4.2999999999999997E-2</v>
      </c>
      <c r="Z95" s="1337">
        <v>4.2999999999999997E-2</v>
      </c>
      <c r="AA95" s="1337">
        <v>4.2999999999999997E-2</v>
      </c>
      <c r="AB95" s="1337">
        <v>4.2999999999999997E-2</v>
      </c>
      <c r="AC95" s="1337">
        <v>4.2999999999999997E-2</v>
      </c>
      <c r="AD95" s="1337">
        <v>4.2999999999999997E-2</v>
      </c>
      <c r="AE95" s="748"/>
      <c r="AF95" s="748"/>
      <c r="AG95" s="748"/>
      <c r="AK95" s="732"/>
    </row>
    <row r="96" spans="2:37" hidden="1" outlineLevel="1" x14ac:dyDescent="0.35">
      <c r="B96" s="1040"/>
      <c r="D96" s="4275"/>
      <c r="E96" s="2735" t="str">
        <f t="shared" si="36"/>
        <v>Air Sealing (Infiltration reduction) - 30% MF IE DI gas furnace base</v>
      </c>
      <c r="F96" s="747">
        <v>4.2999999999999997E-2</v>
      </c>
      <c r="G96" s="3347" t="s">
        <v>284</v>
      </c>
      <c r="H96" s="3373"/>
      <c r="V96" s="4279"/>
      <c r="W96" s="3375"/>
      <c r="X96" s="3375"/>
      <c r="Y96" s="3375"/>
      <c r="Z96" s="3376"/>
      <c r="AA96" s="3376"/>
      <c r="AB96" s="3376"/>
      <c r="AC96" s="3376"/>
      <c r="AD96" s="747">
        <f>F96</f>
        <v>4.2999999999999997E-2</v>
      </c>
      <c r="AE96" s="748"/>
      <c r="AF96" s="748"/>
      <c r="AG96" s="748"/>
      <c r="AK96" s="732"/>
    </row>
    <row r="97" spans="2:37" hidden="1" outlineLevel="1" x14ac:dyDescent="0.35">
      <c r="B97" s="1040"/>
      <c r="D97" s="4275"/>
      <c r="E97" s="368" t="str">
        <f t="shared" si="36"/>
        <v>Air Sealing (Infiltration reduction) - 30% SF IE DI electric furnace base</v>
      </c>
      <c r="F97" s="1337">
        <v>0.05</v>
      </c>
      <c r="G97" s="2979" t="s">
        <v>284</v>
      </c>
      <c r="H97" s="3158"/>
      <c r="V97" s="4279"/>
      <c r="W97" s="746">
        <v>0.05</v>
      </c>
      <c r="X97" s="746">
        <v>0.05</v>
      </c>
      <c r="Y97" s="746">
        <v>0.05</v>
      </c>
      <c r="Z97" s="1337">
        <v>0.05</v>
      </c>
      <c r="AA97" s="1337">
        <v>0.05</v>
      </c>
      <c r="AB97" s="1337">
        <v>0.05</v>
      </c>
      <c r="AC97" s="1337">
        <v>0.05</v>
      </c>
      <c r="AD97" s="1337">
        <v>0.05</v>
      </c>
      <c r="AE97" s="748"/>
      <c r="AF97" s="748"/>
      <c r="AG97" s="748"/>
      <c r="AK97" s="732"/>
    </row>
    <row r="98" spans="2:37" hidden="1" outlineLevel="1" x14ac:dyDescent="0.35">
      <c r="B98" s="1040"/>
      <c r="D98" s="4275"/>
      <c r="E98" s="368" t="str">
        <f t="shared" si="36"/>
        <v>Air Sealing (Infiltration reduction) - 30% SF IE DI Gas furnace base</v>
      </c>
      <c r="F98" s="1337">
        <f>F97</f>
        <v>0.05</v>
      </c>
      <c r="G98" s="2979" t="s">
        <v>284</v>
      </c>
      <c r="H98" s="3158"/>
      <c r="V98" s="4279"/>
      <c r="W98" s="3375"/>
      <c r="X98" s="3375"/>
      <c r="Y98" s="747">
        <v>0.05</v>
      </c>
      <c r="Z98" s="1337">
        <v>0.05</v>
      </c>
      <c r="AA98" s="1337">
        <v>0.05</v>
      </c>
      <c r="AB98" s="1337">
        <v>0.05</v>
      </c>
      <c r="AC98" s="1337">
        <v>0.05</v>
      </c>
      <c r="AD98" s="1337">
        <v>0.05</v>
      </c>
      <c r="AE98" s="748"/>
      <c r="AF98" s="748"/>
      <c r="AG98" s="748"/>
      <c r="AK98" s="732"/>
    </row>
    <row r="99" spans="2:37" hidden="1" outlineLevel="1" x14ac:dyDescent="0.35">
      <c r="B99" s="1040"/>
      <c r="D99" s="4275"/>
      <c r="E99" s="368" t="str">
        <f t="shared" si="36"/>
        <v>Air Sealing (Infiltration reduction) - 30% SF IE DI heat pump base</v>
      </c>
      <c r="F99" s="1337">
        <v>0.05</v>
      </c>
      <c r="G99" s="2979" t="s">
        <v>284</v>
      </c>
      <c r="H99" s="3158"/>
      <c r="V99" s="4279"/>
      <c r="W99" s="746">
        <v>0.05</v>
      </c>
      <c r="X99" s="746">
        <v>0.05</v>
      </c>
      <c r="Y99" s="746">
        <v>0.05</v>
      </c>
      <c r="Z99" s="1337">
        <v>0.05</v>
      </c>
      <c r="AA99" s="1337">
        <v>0.05</v>
      </c>
      <c r="AB99" s="1337">
        <v>0.05</v>
      </c>
      <c r="AC99" s="1337">
        <v>0.05</v>
      </c>
      <c r="AD99" s="1337">
        <v>0.05</v>
      </c>
      <c r="AE99" s="748"/>
      <c r="AF99" s="748"/>
      <c r="AG99" s="748"/>
      <c r="AK99" s="732"/>
    </row>
    <row r="100" spans="2:37" hidden="1" outlineLevel="1" x14ac:dyDescent="0.35">
      <c r="B100" s="1040"/>
      <c r="D100" s="4275"/>
      <c r="E100" s="368" t="str">
        <f t="shared" si="36"/>
        <v>MH Adjusted Air Sealing (Infiltration reduction) - 30% SF IE DI electric furnace base</v>
      </c>
      <c r="F100" s="1337">
        <v>6.2E-2</v>
      </c>
      <c r="G100" s="2979" t="s">
        <v>284</v>
      </c>
      <c r="H100" s="3158"/>
      <c r="V100" s="4279"/>
      <c r="W100" s="746">
        <v>6.2E-2</v>
      </c>
      <c r="X100" s="746">
        <v>6.2E-2</v>
      </c>
      <c r="Y100" s="746">
        <v>6.2E-2</v>
      </c>
      <c r="Z100" s="1337">
        <v>6.2E-2</v>
      </c>
      <c r="AA100" s="1337">
        <v>6.2E-2</v>
      </c>
      <c r="AB100" s="1337">
        <v>6.2E-2</v>
      </c>
      <c r="AC100" s="1337">
        <v>6.2E-2</v>
      </c>
      <c r="AD100" s="1337">
        <v>6.2E-2</v>
      </c>
      <c r="AE100" s="748"/>
      <c r="AF100" s="748"/>
      <c r="AG100" s="748"/>
      <c r="AK100" s="732"/>
    </row>
    <row r="101" spans="2:37" hidden="1" outlineLevel="1" x14ac:dyDescent="0.35">
      <c r="B101" s="1040"/>
      <c r="D101" s="4276"/>
      <c r="E101" s="368" t="str">
        <f t="shared" si="36"/>
        <v>MH Adjusted Air Sealing (Infiltration reduction) - 30% SF IE DI heat pump base</v>
      </c>
      <c r="F101" s="1337">
        <f>F100</f>
        <v>6.2E-2</v>
      </c>
      <c r="G101" s="2979" t="s">
        <v>284</v>
      </c>
      <c r="H101" s="3158"/>
      <c r="V101" s="3781"/>
      <c r="W101" s="3375"/>
      <c r="X101" s="3375"/>
      <c r="Y101" s="747">
        <v>6.2E-2</v>
      </c>
      <c r="Z101" s="1337">
        <v>6.2E-2</v>
      </c>
      <c r="AA101" s="1337">
        <v>6.2E-2</v>
      </c>
      <c r="AB101" s="1337">
        <v>6.2E-2</v>
      </c>
      <c r="AC101" s="1337">
        <v>6.2E-2</v>
      </c>
      <c r="AD101" s="1337">
        <v>6.2E-2</v>
      </c>
      <c r="AE101" s="748"/>
      <c r="AF101" s="748"/>
      <c r="AG101" s="748"/>
      <c r="AK101" s="732"/>
    </row>
    <row r="102" spans="2:37" ht="15" hidden="1" outlineLevel="1" thickBot="1" x14ac:dyDescent="0.4">
      <c r="B102" s="1040"/>
      <c r="D102" s="4277"/>
      <c r="E102" s="1936" t="str">
        <f t="shared" si="36"/>
        <v>MH Adjusted Air Sealing (Infiltration reduction) - 30% SF IE DI gas furnace base</v>
      </c>
      <c r="F102" s="3179">
        <f>F101</f>
        <v>6.2E-2</v>
      </c>
      <c r="G102" s="3159" t="s">
        <v>284</v>
      </c>
      <c r="H102" s="3160"/>
      <c r="V102" s="3779"/>
      <c r="W102" s="3375"/>
      <c r="X102" s="3375"/>
      <c r="Y102" s="747">
        <v>6.2E-2</v>
      </c>
      <c r="Z102" s="1337">
        <v>6.2E-2</v>
      </c>
      <c r="AA102" s="1337">
        <v>6.2E-2</v>
      </c>
      <c r="AB102" s="1337">
        <v>6.2E-2</v>
      </c>
      <c r="AC102" s="1337">
        <v>6.2E-2</v>
      </c>
      <c r="AD102" s="1337">
        <v>6.2E-2</v>
      </c>
      <c r="AE102" s="748"/>
      <c r="AF102" s="748"/>
      <c r="AG102" s="748"/>
      <c r="AK102" s="732"/>
    </row>
    <row r="103" spans="2:37" hidden="1" outlineLevel="1" x14ac:dyDescent="0.35">
      <c r="B103" s="1040"/>
      <c r="D103" s="4274" t="s">
        <v>1575</v>
      </c>
      <c r="E103" s="3155" t="str">
        <f t="shared" si="36"/>
        <v>Air Sealing (Infiltration reduction) - 30% MF IE DI electric furnace base</v>
      </c>
      <c r="F103" s="3184">
        <v>0</v>
      </c>
      <c r="G103" s="3156" t="s">
        <v>284</v>
      </c>
      <c r="H103" s="509" t="s">
        <v>1576</v>
      </c>
      <c r="V103" s="3843" t="s">
        <v>1575</v>
      </c>
      <c r="W103" s="3375"/>
      <c r="X103" s="3375"/>
      <c r="Y103" s="751">
        <v>0</v>
      </c>
      <c r="Z103" s="1338">
        <v>0</v>
      </c>
      <c r="AA103" s="1338">
        <v>0</v>
      </c>
      <c r="AB103" s="1338">
        <v>0</v>
      </c>
      <c r="AC103" s="1338">
        <v>0</v>
      </c>
      <c r="AD103" s="1338">
        <v>0</v>
      </c>
      <c r="AE103" s="748"/>
      <c r="AF103" s="748"/>
      <c r="AG103" s="748"/>
      <c r="AK103" s="732"/>
    </row>
    <row r="104" spans="2:37" hidden="1" outlineLevel="1" x14ac:dyDescent="0.35">
      <c r="B104" s="1040"/>
      <c r="D104" s="4275"/>
      <c r="E104" s="368" t="str">
        <f t="shared" si="36"/>
        <v>Air Sealing (Infiltration reduction) - 30% MF IE DI heat pump base</v>
      </c>
      <c r="F104" s="1338">
        <v>0</v>
      </c>
      <c r="G104" s="2979" t="s">
        <v>284</v>
      </c>
      <c r="H104" s="516" t="s">
        <v>1576</v>
      </c>
      <c r="V104" s="3844"/>
      <c r="W104" s="3375"/>
      <c r="X104" s="3375"/>
      <c r="Y104" s="751">
        <v>0</v>
      </c>
      <c r="Z104" s="1338">
        <v>0</v>
      </c>
      <c r="AA104" s="1338">
        <v>0</v>
      </c>
      <c r="AB104" s="1338">
        <v>0</v>
      </c>
      <c r="AC104" s="1338">
        <v>0</v>
      </c>
      <c r="AD104" s="1338">
        <v>0</v>
      </c>
      <c r="AE104" s="748"/>
      <c r="AF104" s="748"/>
      <c r="AG104" s="748"/>
      <c r="AK104" s="732"/>
    </row>
    <row r="105" spans="2:37" hidden="1" outlineLevel="1" x14ac:dyDescent="0.35">
      <c r="B105" s="1040"/>
      <c r="D105" s="4275"/>
      <c r="E105" s="2735" t="str">
        <f t="shared" si="36"/>
        <v>Air Sealing (Infiltration reduction) - 30% MF IE DI gas furnace base</v>
      </c>
      <c r="F105" s="751">
        <v>1.2E-2</v>
      </c>
      <c r="G105" s="3347" t="s">
        <v>284</v>
      </c>
      <c r="H105" s="3374" t="s">
        <v>1576</v>
      </c>
      <c r="V105" s="3844"/>
      <c r="W105" s="3375"/>
      <c r="X105" s="3375"/>
      <c r="Y105" s="3377"/>
      <c r="Z105" s="3376"/>
      <c r="AA105" s="3376"/>
      <c r="AB105" s="3376"/>
      <c r="AC105" s="3376"/>
      <c r="AD105" s="747">
        <f>F105</f>
        <v>1.2E-2</v>
      </c>
      <c r="AE105" s="748"/>
      <c r="AF105" s="748"/>
      <c r="AG105" s="748"/>
      <c r="AK105" s="732"/>
    </row>
    <row r="106" spans="2:37" hidden="1" outlineLevel="1" x14ac:dyDescent="0.35">
      <c r="B106" s="1040"/>
      <c r="D106" s="4275"/>
      <c r="E106" s="368" t="str">
        <f t="shared" si="36"/>
        <v>Air Sealing (Infiltration reduction) - 30% SF IE DI electric furnace base</v>
      </c>
      <c r="F106" s="1338">
        <v>0</v>
      </c>
      <c r="G106" s="2979" t="s">
        <v>284</v>
      </c>
      <c r="H106" s="516" t="s">
        <v>1576</v>
      </c>
      <c r="V106" s="3844"/>
      <c r="W106" s="3375"/>
      <c r="X106" s="3375"/>
      <c r="Y106" s="751">
        <v>0</v>
      </c>
      <c r="Z106" s="1338">
        <v>0</v>
      </c>
      <c r="AA106" s="1338">
        <v>0</v>
      </c>
      <c r="AB106" s="1338">
        <v>0</v>
      </c>
      <c r="AC106" s="1338">
        <v>0</v>
      </c>
      <c r="AD106" s="1338">
        <v>0</v>
      </c>
      <c r="AE106" s="748"/>
      <c r="AF106" s="748"/>
      <c r="AG106" s="748"/>
      <c r="AK106" s="732"/>
    </row>
    <row r="107" spans="2:37" hidden="1" outlineLevel="1" x14ac:dyDescent="0.35">
      <c r="B107" s="1040"/>
      <c r="D107" s="4275"/>
      <c r="E107" s="368" t="str">
        <f t="shared" si="36"/>
        <v>Air Sealing (Infiltration reduction) - 30% SF IE DI Gas furnace base</v>
      </c>
      <c r="F107" s="1338">
        <v>1.2999999999999999E-2</v>
      </c>
      <c r="G107" s="2979" t="s">
        <v>284</v>
      </c>
      <c r="H107" s="516" t="s">
        <v>1576</v>
      </c>
      <c r="V107" s="3844"/>
      <c r="W107" s="3375"/>
      <c r="X107" s="3375"/>
      <c r="Y107" s="751">
        <v>1.2999999999999999E-2</v>
      </c>
      <c r="Z107" s="1338">
        <v>1.2999999999999999E-2</v>
      </c>
      <c r="AA107" s="1338">
        <v>1.2999999999999999E-2</v>
      </c>
      <c r="AB107" s="1338">
        <v>1.2999999999999999E-2</v>
      </c>
      <c r="AC107" s="1338">
        <v>1.2999999999999999E-2</v>
      </c>
      <c r="AD107" s="1338">
        <v>1.2999999999999999E-2</v>
      </c>
      <c r="AE107" s="748"/>
      <c r="AF107" s="748"/>
      <c r="AG107" s="748"/>
      <c r="AK107" s="732"/>
    </row>
    <row r="108" spans="2:37" hidden="1" outlineLevel="1" x14ac:dyDescent="0.35">
      <c r="B108" s="1040"/>
      <c r="D108" s="4275"/>
      <c r="E108" s="368" t="str">
        <f t="shared" si="36"/>
        <v>Air Sealing (Infiltration reduction) - 30% SF IE DI heat pump base</v>
      </c>
      <c r="F108" s="1338">
        <v>0</v>
      </c>
      <c r="G108" s="2979" t="s">
        <v>284</v>
      </c>
      <c r="H108" s="516" t="s">
        <v>1576</v>
      </c>
      <c r="V108" s="3844"/>
      <c r="W108" s="3375"/>
      <c r="X108" s="3375"/>
      <c r="Y108" s="751">
        <v>0</v>
      </c>
      <c r="Z108" s="1338">
        <v>0</v>
      </c>
      <c r="AA108" s="1338">
        <v>0</v>
      </c>
      <c r="AB108" s="1338">
        <v>0</v>
      </c>
      <c r="AC108" s="1338">
        <v>0</v>
      </c>
      <c r="AD108" s="1338">
        <v>0</v>
      </c>
      <c r="AE108" s="748"/>
      <c r="AF108" s="748"/>
      <c r="AG108" s="748"/>
      <c r="AK108" s="732"/>
    </row>
    <row r="109" spans="2:37" hidden="1" outlineLevel="1" x14ac:dyDescent="0.35">
      <c r="B109" s="1040"/>
      <c r="D109" s="4275"/>
      <c r="E109" s="368" t="str">
        <f t="shared" si="36"/>
        <v>MH Adjusted Air Sealing (Infiltration reduction) - 30% SF IE DI electric furnace base</v>
      </c>
      <c r="F109" s="1338">
        <v>0</v>
      </c>
      <c r="G109" s="2979" t="s">
        <v>284</v>
      </c>
      <c r="H109" s="516" t="s">
        <v>1576</v>
      </c>
      <c r="V109" s="3844"/>
      <c r="W109" s="3375"/>
      <c r="X109" s="3375"/>
      <c r="Y109" s="751">
        <v>0</v>
      </c>
      <c r="Z109" s="1338">
        <v>0</v>
      </c>
      <c r="AA109" s="1338">
        <v>0</v>
      </c>
      <c r="AB109" s="1338">
        <v>0</v>
      </c>
      <c r="AC109" s="1338">
        <v>0</v>
      </c>
      <c r="AD109" s="1338">
        <v>0</v>
      </c>
      <c r="AE109" s="748"/>
      <c r="AF109" s="748"/>
      <c r="AG109" s="748"/>
      <c r="AK109" s="732"/>
    </row>
    <row r="110" spans="2:37" hidden="1" outlineLevel="1" x14ac:dyDescent="0.35">
      <c r="B110" s="1040"/>
      <c r="D110" s="4276"/>
      <c r="E110" s="368" t="str">
        <f t="shared" si="36"/>
        <v>MH Adjusted Air Sealing (Infiltration reduction) - 30% SF IE DI heat pump base</v>
      </c>
      <c r="F110" s="1338">
        <v>0</v>
      </c>
      <c r="G110" s="2979" t="s">
        <v>284</v>
      </c>
      <c r="H110" s="516" t="s">
        <v>1576</v>
      </c>
      <c r="V110" s="3716"/>
      <c r="W110" s="3375"/>
      <c r="X110" s="3375"/>
      <c r="Y110" s="751">
        <v>0</v>
      </c>
      <c r="Z110" s="1338">
        <v>0</v>
      </c>
      <c r="AA110" s="1338">
        <v>0</v>
      </c>
      <c r="AB110" s="1338">
        <v>0</v>
      </c>
      <c r="AC110" s="1338">
        <v>0</v>
      </c>
      <c r="AD110" s="1338">
        <v>0</v>
      </c>
      <c r="AE110" s="748"/>
      <c r="AF110" s="748"/>
      <c r="AG110" s="748"/>
      <c r="AK110" s="732"/>
    </row>
    <row r="111" spans="2:37" ht="15" hidden="1" outlineLevel="1" thickBot="1" x14ac:dyDescent="0.4">
      <c r="B111" s="1040"/>
      <c r="D111" s="4277"/>
      <c r="E111" s="1936" t="str">
        <f t="shared" si="36"/>
        <v>MH Adjusted Air Sealing (Infiltration reduction) - 30% SF IE DI gas furnace base</v>
      </c>
      <c r="F111" s="3185">
        <v>1.7000000000000001E-2</v>
      </c>
      <c r="G111" s="3159" t="s">
        <v>284</v>
      </c>
      <c r="H111" s="519" t="s">
        <v>1576</v>
      </c>
      <c r="V111" s="3776"/>
      <c r="W111" s="3375"/>
      <c r="X111" s="3375"/>
      <c r="Y111" s="751">
        <v>1.7000000000000001E-2</v>
      </c>
      <c r="Z111" s="1338">
        <v>1.7000000000000001E-2</v>
      </c>
      <c r="AA111" s="1338">
        <v>1.7000000000000001E-2</v>
      </c>
      <c r="AB111" s="1338">
        <v>1.7000000000000001E-2</v>
      </c>
      <c r="AC111" s="1338">
        <v>1.7000000000000001E-2</v>
      </c>
      <c r="AD111" s="1338">
        <v>1.7000000000000001E-2</v>
      </c>
      <c r="AE111" s="748"/>
      <c r="AF111" s="748"/>
      <c r="AG111" s="748"/>
      <c r="AK111" s="732"/>
    </row>
    <row r="112" spans="2:37" ht="15" hidden="1" outlineLevel="1" thickBot="1" x14ac:dyDescent="0.4">
      <c r="B112" s="1040"/>
      <c r="D112" s="3180" t="s">
        <v>309</v>
      </c>
      <c r="E112" s="3164" t="s">
        <v>134</v>
      </c>
      <c r="F112" s="3183">
        <v>3.1399999999999997E-2</v>
      </c>
      <c r="G112" s="2655" t="s">
        <v>284</v>
      </c>
      <c r="H112" s="3182"/>
      <c r="V112" s="2337" t="str">
        <f>D112</f>
        <v>Fe</v>
      </c>
      <c r="W112" s="3375"/>
      <c r="X112" s="3375"/>
      <c r="Y112" s="751">
        <v>3.1399999999999997E-2</v>
      </c>
      <c r="Z112" s="1338">
        <v>3.1399999999999997E-2</v>
      </c>
      <c r="AA112" s="1338">
        <v>3.1399999999999997E-2</v>
      </c>
      <c r="AB112" s="1338">
        <v>3.1399999999999997E-2</v>
      </c>
      <c r="AC112" s="1338">
        <v>3.1399999999999997E-2</v>
      </c>
      <c r="AD112" s="1338">
        <v>3.1399999999999997E-2</v>
      </c>
      <c r="AE112" s="748"/>
      <c r="AF112" s="748"/>
      <c r="AG112" s="748"/>
      <c r="AK112" s="732"/>
    </row>
    <row r="113" spans="1:57" ht="15" hidden="1" outlineLevel="1" thickBot="1" x14ac:dyDescent="0.4">
      <c r="B113" s="1040"/>
      <c r="D113" s="3180">
        <v>29.3</v>
      </c>
      <c r="E113" s="3164" t="s">
        <v>134</v>
      </c>
      <c r="F113" s="3181">
        <v>29.3</v>
      </c>
      <c r="G113" s="2655" t="s">
        <v>284</v>
      </c>
      <c r="H113" s="3182"/>
      <c r="V113" s="2337">
        <f>D113</f>
        <v>29.3</v>
      </c>
      <c r="W113" s="3375"/>
      <c r="X113" s="3375"/>
      <c r="Y113" s="751">
        <v>29.3</v>
      </c>
      <c r="Z113" s="1338">
        <v>29.3</v>
      </c>
      <c r="AA113" s="1338">
        <v>29.3</v>
      </c>
      <c r="AB113" s="1338">
        <v>29.3</v>
      </c>
      <c r="AC113" s="1338">
        <v>29.3</v>
      </c>
      <c r="AD113" s="1338">
        <v>29.3</v>
      </c>
      <c r="AE113" s="748"/>
      <c r="AF113" s="748"/>
      <c r="AG113" s="748"/>
      <c r="AK113" s="732"/>
    </row>
    <row r="114" spans="1:57" ht="15" hidden="1" outlineLevel="1" thickBot="1" x14ac:dyDescent="0.4">
      <c r="B114" s="1040"/>
      <c r="D114" s="3175" t="str">
        <f>L58</f>
        <v>EUL</v>
      </c>
      <c r="E114" s="3176" t="s">
        <v>134</v>
      </c>
      <c r="F114" s="3177">
        <v>15</v>
      </c>
      <c r="G114" s="2655"/>
      <c r="H114" s="3166"/>
      <c r="V114" s="2337" t="str">
        <f>D114</f>
        <v>EUL</v>
      </c>
      <c r="W114" s="746">
        <v>15</v>
      </c>
      <c r="X114" s="746">
        <v>15</v>
      </c>
      <c r="Y114" s="747">
        <v>15</v>
      </c>
      <c r="Z114" s="1337">
        <v>15</v>
      </c>
      <c r="AA114" s="1337">
        <v>15</v>
      </c>
      <c r="AB114" s="1337">
        <v>15</v>
      </c>
      <c r="AC114" s="1337">
        <v>15</v>
      </c>
      <c r="AD114" s="1337">
        <v>15</v>
      </c>
      <c r="AE114" s="748"/>
      <c r="AF114" s="748"/>
      <c r="AG114" s="748"/>
      <c r="AK114" s="732"/>
    </row>
    <row r="115" spans="1:57" ht="15" hidden="1" customHeight="1" outlineLevel="1" x14ac:dyDescent="0.35">
      <c r="B115" s="1040"/>
      <c r="D115" s="4274" t="str">
        <f>M58</f>
        <v>Inc. Cost</v>
      </c>
      <c r="E115" s="3155" t="str">
        <f t="shared" ref="E115:E123" si="37">E94</f>
        <v>Air Sealing (Infiltration reduction) - 30% MF IE DI electric furnace base</v>
      </c>
      <c r="F115" s="3178">
        <f>108.186/902</f>
        <v>0.11994013303769402</v>
      </c>
      <c r="G115" s="3156" t="s">
        <v>1569</v>
      </c>
      <c r="H115" s="4289" t="s">
        <v>1577</v>
      </c>
      <c r="V115" s="4278" t="str">
        <f>D115</f>
        <v>Inc. Cost</v>
      </c>
      <c r="W115" s="746">
        <v>4.2999999999999997E-2</v>
      </c>
      <c r="X115" s="746">
        <v>4.2999999999999997E-2</v>
      </c>
      <c r="Y115" s="747">
        <v>0.11994013303769402</v>
      </c>
      <c r="Z115" s="1337">
        <v>0.11994013303769402</v>
      </c>
      <c r="AA115" s="1337">
        <v>0.11994013303769402</v>
      </c>
      <c r="AB115" s="1337">
        <v>0.11994013303769402</v>
      </c>
      <c r="AC115" s="1337">
        <v>0.11994013303769402</v>
      </c>
      <c r="AD115" s="1337">
        <v>0.11994013303769402</v>
      </c>
      <c r="AE115" s="748"/>
      <c r="AF115" s="748"/>
      <c r="AG115" s="748"/>
      <c r="AK115" s="732"/>
    </row>
    <row r="116" spans="1:57" ht="29" hidden="1" outlineLevel="1" x14ac:dyDescent="0.35">
      <c r="B116" s="1040"/>
      <c r="D116" s="4275"/>
      <c r="E116" s="368" t="str">
        <f t="shared" si="37"/>
        <v>Air Sealing (Infiltration reduction) - 30% MF IE DI heat pump base</v>
      </c>
      <c r="F116" s="1337">
        <f>108.186/902</f>
        <v>0.11994013303769402</v>
      </c>
      <c r="G116" s="2979" t="s">
        <v>1569</v>
      </c>
      <c r="H116" s="4174"/>
      <c r="V116" s="4279"/>
      <c r="W116" s="746">
        <v>4.2999999999999997E-2</v>
      </c>
      <c r="X116" s="746">
        <v>4.2999999999999997E-2</v>
      </c>
      <c r="Y116" s="747">
        <v>0.11994013303769402</v>
      </c>
      <c r="Z116" s="1337">
        <v>0.11994013303769402</v>
      </c>
      <c r="AA116" s="1337">
        <v>0.11994013303769402</v>
      </c>
      <c r="AB116" s="1337">
        <v>0.11994013303769402</v>
      </c>
      <c r="AC116" s="1337">
        <v>0.11994013303769402</v>
      </c>
      <c r="AD116" s="1337">
        <v>0.11994013303769402</v>
      </c>
      <c r="AE116" s="748"/>
      <c r="AF116" s="748"/>
      <c r="AG116" s="748"/>
      <c r="AK116" s="732"/>
    </row>
    <row r="117" spans="1:57" ht="29" hidden="1" outlineLevel="1" x14ac:dyDescent="0.35">
      <c r="B117" s="1040"/>
      <c r="D117" s="4275"/>
      <c r="E117" s="2735" t="str">
        <f t="shared" si="37"/>
        <v>Air Sealing (Infiltration reduction) - 30% MF IE DI gas furnace base</v>
      </c>
      <c r="F117" s="747">
        <f>108.186/902</f>
        <v>0.11994013303769402</v>
      </c>
      <c r="G117" s="3347" t="s">
        <v>1569</v>
      </c>
      <c r="H117" s="4174"/>
      <c r="V117" s="4279"/>
      <c r="W117" s="3375"/>
      <c r="X117" s="3375"/>
      <c r="Y117" s="3377"/>
      <c r="Z117" s="3376"/>
      <c r="AA117" s="3376"/>
      <c r="AB117" s="3376"/>
      <c r="AC117" s="3376"/>
      <c r="AD117" s="747">
        <f>F117</f>
        <v>0.11994013303769402</v>
      </c>
      <c r="AE117" s="748"/>
      <c r="AF117" s="748"/>
      <c r="AG117" s="748"/>
      <c r="AK117" s="732"/>
    </row>
    <row r="118" spans="1:57" ht="29" hidden="1" outlineLevel="1" x14ac:dyDescent="0.35">
      <c r="B118" s="1040"/>
      <c r="D118" s="4275"/>
      <c r="E118" s="368" t="str">
        <f t="shared" si="37"/>
        <v>Air Sealing (Infiltration reduction) - 30% SF IE DI electric furnace base</v>
      </c>
      <c r="F118" s="1337">
        <f>166.44/1387</f>
        <v>0.12</v>
      </c>
      <c r="G118" s="2979" t="s">
        <v>1571</v>
      </c>
      <c r="H118" s="4174"/>
      <c r="V118" s="4279"/>
      <c r="W118" s="746">
        <v>0.05</v>
      </c>
      <c r="X118" s="746">
        <v>0.05</v>
      </c>
      <c r="Y118" s="747">
        <v>0.12</v>
      </c>
      <c r="Z118" s="1337">
        <v>0.12</v>
      </c>
      <c r="AA118" s="1337">
        <v>0.12</v>
      </c>
      <c r="AB118" s="1337">
        <v>0.12</v>
      </c>
      <c r="AC118" s="1337">
        <v>0.12</v>
      </c>
      <c r="AD118" s="1337">
        <v>0.12</v>
      </c>
      <c r="AE118" s="748"/>
      <c r="AF118" s="748"/>
      <c r="AG118" s="748"/>
      <c r="AK118" s="732"/>
    </row>
    <row r="119" spans="1:57" ht="29" hidden="1" outlineLevel="1" x14ac:dyDescent="0.35">
      <c r="B119" s="1040"/>
      <c r="D119" s="4275"/>
      <c r="E119" s="368" t="str">
        <f t="shared" si="37"/>
        <v>Air Sealing (Infiltration reduction) - 30% SF IE DI Gas furnace base</v>
      </c>
      <c r="F119" s="1337">
        <f>166.44/1387</f>
        <v>0.12</v>
      </c>
      <c r="G119" s="2979" t="s">
        <v>1571</v>
      </c>
      <c r="H119" s="4174"/>
      <c r="V119" s="4279"/>
      <c r="W119" s="3375"/>
      <c r="X119" s="3375"/>
      <c r="Y119" s="747">
        <v>0.12</v>
      </c>
      <c r="Z119" s="1337">
        <v>0.12</v>
      </c>
      <c r="AA119" s="1337">
        <v>0.12</v>
      </c>
      <c r="AB119" s="1337">
        <v>0.12</v>
      </c>
      <c r="AC119" s="1337">
        <v>0.12</v>
      </c>
      <c r="AD119" s="1337">
        <v>0.12</v>
      </c>
      <c r="AE119" s="748"/>
      <c r="AF119" s="748"/>
      <c r="AG119" s="748"/>
      <c r="AK119" s="732"/>
    </row>
    <row r="120" spans="1:57" ht="29" hidden="1" outlineLevel="1" x14ac:dyDescent="0.35">
      <c r="B120" s="1040"/>
      <c r="D120" s="4275"/>
      <c r="E120" s="368" t="str">
        <f t="shared" si="37"/>
        <v>Air Sealing (Infiltration reduction) - 30% SF IE DI heat pump base</v>
      </c>
      <c r="F120" s="1337">
        <f>166.44/1387</f>
        <v>0.12</v>
      </c>
      <c r="G120" s="2979" t="s">
        <v>1572</v>
      </c>
      <c r="H120" s="4174"/>
      <c r="V120" s="4279"/>
      <c r="W120" s="746">
        <v>0.05</v>
      </c>
      <c r="X120" s="746">
        <v>0.05</v>
      </c>
      <c r="Y120" s="747">
        <v>0.12</v>
      </c>
      <c r="Z120" s="1337">
        <v>0.12</v>
      </c>
      <c r="AA120" s="1337">
        <v>0.12</v>
      </c>
      <c r="AB120" s="1337">
        <v>0.12</v>
      </c>
      <c r="AC120" s="1337">
        <v>0.12</v>
      </c>
      <c r="AD120" s="1337">
        <v>0.12</v>
      </c>
      <c r="AE120" s="748"/>
      <c r="AF120" s="748"/>
      <c r="AG120" s="748"/>
      <c r="AK120" s="732"/>
    </row>
    <row r="121" spans="1:57" ht="29" hidden="1" outlineLevel="1" x14ac:dyDescent="0.35">
      <c r="B121" s="1040"/>
      <c r="D121" s="4275"/>
      <c r="E121" s="368" t="str">
        <f t="shared" si="37"/>
        <v>MH Adjusted Air Sealing (Infiltration reduction) - 30% SF IE DI electric furnace base</v>
      </c>
      <c r="F121" s="1337">
        <f>129.6/1080</f>
        <v>0.12</v>
      </c>
      <c r="G121" s="2979" t="s">
        <v>1573</v>
      </c>
      <c r="H121" s="4174"/>
      <c r="V121" s="4279"/>
      <c r="W121" s="746">
        <v>6.2E-2</v>
      </c>
      <c r="X121" s="746">
        <v>6.2E-2</v>
      </c>
      <c r="Y121" s="747">
        <v>0.12</v>
      </c>
      <c r="Z121" s="1337">
        <v>0.12</v>
      </c>
      <c r="AA121" s="1337">
        <v>0.12</v>
      </c>
      <c r="AB121" s="1337">
        <v>0.12</v>
      </c>
      <c r="AC121" s="1337">
        <v>0.12</v>
      </c>
      <c r="AD121" s="1337">
        <v>0.12</v>
      </c>
      <c r="AE121" s="748"/>
      <c r="AF121" s="748"/>
      <c r="AG121" s="748"/>
      <c r="AK121" s="732"/>
    </row>
    <row r="122" spans="1:57" ht="29" hidden="1" outlineLevel="1" x14ac:dyDescent="0.35">
      <c r="B122" s="1040"/>
      <c r="D122" s="4276"/>
      <c r="E122" s="368" t="str">
        <f t="shared" si="37"/>
        <v>MH Adjusted Air Sealing (Infiltration reduction) - 30% SF IE DI heat pump base</v>
      </c>
      <c r="F122" s="1337">
        <f>129.6/1080</f>
        <v>0.12</v>
      </c>
      <c r="G122" s="2979" t="s">
        <v>1573</v>
      </c>
      <c r="H122" s="4174"/>
      <c r="V122" s="3781"/>
      <c r="W122" s="3375"/>
      <c r="X122" s="3375"/>
      <c r="Y122" s="747">
        <v>0.12</v>
      </c>
      <c r="Z122" s="1337">
        <v>0.12</v>
      </c>
      <c r="AA122" s="1337">
        <v>0.12</v>
      </c>
      <c r="AB122" s="1337">
        <v>0.12</v>
      </c>
      <c r="AC122" s="1337">
        <v>0.12</v>
      </c>
      <c r="AD122" s="1337">
        <v>0.12</v>
      </c>
      <c r="AE122" s="748"/>
      <c r="AF122" s="748"/>
      <c r="AG122" s="748"/>
      <c r="AK122" s="732"/>
    </row>
    <row r="123" spans="1:57" ht="29.5" hidden="1" outlineLevel="1" thickBot="1" x14ac:dyDescent="0.4">
      <c r="B123" s="1040"/>
      <c r="D123" s="4277"/>
      <c r="E123" s="1936" t="str">
        <f t="shared" si="37"/>
        <v>MH Adjusted Air Sealing (Infiltration reduction) - 30% SF IE DI gas furnace base</v>
      </c>
      <c r="F123" s="3179">
        <f>129.6/1080</f>
        <v>0.12</v>
      </c>
      <c r="G123" s="3159" t="s">
        <v>1573</v>
      </c>
      <c r="H123" s="4290"/>
      <c r="V123" s="3779"/>
      <c r="W123" s="3375"/>
      <c r="X123" s="3375"/>
      <c r="Y123" s="747">
        <v>0.12</v>
      </c>
      <c r="Z123" s="1337">
        <v>0.12</v>
      </c>
      <c r="AA123" s="1337">
        <v>0.12</v>
      </c>
      <c r="AB123" s="1337">
        <v>0.12</v>
      </c>
      <c r="AC123" s="1337">
        <v>0.12</v>
      </c>
      <c r="AD123" s="1337">
        <v>0.12</v>
      </c>
      <c r="AE123" s="748"/>
      <c r="AF123" s="748"/>
      <c r="AG123" s="748"/>
      <c r="AK123" s="732"/>
    </row>
    <row r="124" spans="1:57" collapsed="1" x14ac:dyDescent="0.35">
      <c r="B124" s="1040"/>
      <c r="E124" s="2370"/>
      <c r="Y124" s="3113" t="s">
        <v>1578</v>
      </c>
      <c r="AK124" s="732"/>
    </row>
    <row r="125" spans="1:57" x14ac:dyDescent="0.35">
      <c r="AK125" s="732"/>
    </row>
    <row r="126" spans="1:57" s="741" customFormat="1" x14ac:dyDescent="0.35">
      <c r="A126" s="756"/>
      <c r="B126" s="3664" t="s">
        <v>1579</v>
      </c>
      <c r="C126" s="3665"/>
      <c r="D126" s="3665"/>
      <c r="E126" s="3665"/>
      <c r="F126" s="3665"/>
      <c r="G126" s="3665"/>
      <c r="H126" s="3665"/>
      <c r="I126" s="3666"/>
      <c r="J126" s="3666"/>
      <c r="K126" s="3666"/>
      <c r="L126" s="3666"/>
      <c r="M126" s="3666"/>
      <c r="N126" s="3666"/>
      <c r="O126" s="3666"/>
      <c r="P126" s="3666"/>
      <c r="Q126" s="3666"/>
      <c r="R126" s="3667"/>
      <c r="S126" s="756"/>
      <c r="T126" s="756"/>
      <c r="U126" s="756"/>
      <c r="V126" s="3664" t="str">
        <f>B126</f>
        <v>Ceiling Insulation</v>
      </c>
      <c r="W126" s="3665"/>
      <c r="X126" s="3665"/>
      <c r="Y126" s="3665"/>
      <c r="Z126" s="3665"/>
      <c r="AA126" s="3665"/>
      <c r="AB126" s="3665"/>
      <c r="AC126" s="3680"/>
      <c r="AD126" s="3680"/>
      <c r="AE126" s="3680"/>
      <c r="AF126" s="3680"/>
      <c r="AG126" s="3680"/>
      <c r="AH126" s="3680"/>
      <c r="AI126" s="3681"/>
      <c r="AK126" s="732"/>
      <c r="BB126" s="752"/>
    </row>
    <row r="127" spans="1:57" s="741" customFormat="1" x14ac:dyDescent="0.35">
      <c r="A127" s="756"/>
      <c r="B127" s="1328"/>
      <c r="C127" s="753"/>
      <c r="D127" s="1339"/>
      <c r="E127" s="1339"/>
      <c r="F127" s="754"/>
      <c r="G127" s="754"/>
      <c r="H127" s="754"/>
      <c r="I127" s="754"/>
      <c r="J127" s="754"/>
      <c r="K127" s="754"/>
      <c r="L127" s="1340"/>
      <c r="M127" s="756"/>
      <c r="N127" s="756"/>
      <c r="O127" s="756"/>
      <c r="P127" s="756"/>
      <c r="Q127" s="756"/>
      <c r="R127" s="756"/>
      <c r="S127" s="756"/>
      <c r="T127" s="756"/>
      <c r="U127" s="756"/>
      <c r="V127" s="196"/>
      <c r="W127" s="196"/>
      <c r="X127" s="196"/>
      <c r="Y127" s="528"/>
      <c r="Z127" s="196"/>
      <c r="AA127" s="196"/>
      <c r="AB127" s="196"/>
      <c r="AC127" s="196"/>
      <c r="AD127" s="196"/>
      <c r="AE127" s="196"/>
      <c r="AF127" s="196"/>
      <c r="AG127" s="196"/>
      <c r="AH127" s="196"/>
      <c r="AI127" s="196"/>
      <c r="AK127" s="732"/>
      <c r="BB127" s="752"/>
    </row>
    <row r="128" spans="1:57" s="741" customFormat="1" ht="43.5" x14ac:dyDescent="0.35">
      <c r="A128" s="756"/>
      <c r="B128" s="1328"/>
      <c r="C128" s="2331" t="s">
        <v>27</v>
      </c>
      <c r="D128" s="2331" t="s">
        <v>174</v>
      </c>
      <c r="E128" s="2331" t="s">
        <v>29</v>
      </c>
      <c r="F128" s="2331" t="s">
        <v>30</v>
      </c>
      <c r="G128" s="2331" t="s">
        <v>175</v>
      </c>
      <c r="H128" s="2331" t="s">
        <v>176</v>
      </c>
      <c r="I128" s="2331" t="s">
        <v>493</v>
      </c>
      <c r="J128" s="2331" t="s">
        <v>494</v>
      </c>
      <c r="K128" s="2331" t="s">
        <v>31</v>
      </c>
      <c r="L128" s="2363" t="s">
        <v>180</v>
      </c>
      <c r="M128" s="2331" t="s">
        <v>169</v>
      </c>
      <c r="N128" s="2331" t="s">
        <v>1580</v>
      </c>
      <c r="O128" s="756"/>
      <c r="P128" s="756"/>
      <c r="Q128" s="756"/>
      <c r="R128" s="756"/>
      <c r="S128" s="756"/>
      <c r="T128" s="756"/>
      <c r="U128" s="756"/>
      <c r="V128" s="1572" t="s">
        <v>44</v>
      </c>
      <c r="W128" s="1573">
        <f>W$6</f>
        <v>43252</v>
      </c>
      <c r="X128" s="1573">
        <f t="shared" ref="X128:AG128" si="38">X$6</f>
        <v>43465</v>
      </c>
      <c r="Y128" s="316">
        <f t="shared" si="38"/>
        <v>43800</v>
      </c>
      <c r="Z128" s="1573">
        <f t="shared" si="38"/>
        <v>43862</v>
      </c>
      <c r="AA128" s="1573">
        <f t="shared" si="38"/>
        <v>44013</v>
      </c>
      <c r="AB128" s="1573">
        <f t="shared" si="38"/>
        <v>44166</v>
      </c>
      <c r="AC128" s="1573">
        <f t="shared" si="38"/>
        <v>44531</v>
      </c>
      <c r="AD128" s="1573">
        <f t="shared" si="38"/>
        <v>44774</v>
      </c>
      <c r="AE128" s="1573" t="str">
        <f t="shared" si="38"/>
        <v>-</v>
      </c>
      <c r="AF128" s="1573" t="str">
        <f t="shared" si="38"/>
        <v>-</v>
      </c>
      <c r="AG128" s="1573" t="str">
        <f t="shared" si="38"/>
        <v>-</v>
      </c>
      <c r="AH128" s="196"/>
      <c r="AI128" s="196"/>
      <c r="AK128" s="732"/>
      <c r="BB128" s="1574" t="str">
        <f>$BB$6</f>
        <v>TRC (2022)</v>
      </c>
      <c r="BC128" s="1584" t="str">
        <f>$BC$6</f>
        <v>Benefit Lookup</v>
      </c>
      <c r="BD128" s="556" t="str">
        <f>$BD$6</f>
        <v>Benefits (2019 $)</v>
      </c>
      <c r="BE128" s="200" t="str">
        <f>$BE$6</f>
        <v>Incremental Cost (2019 $)</v>
      </c>
    </row>
    <row r="129" spans="1:57" s="741" customFormat="1" x14ac:dyDescent="0.35">
      <c r="A129" s="756"/>
      <c r="B129" s="1328"/>
      <c r="C129" s="831" t="s">
        <v>1581</v>
      </c>
      <c r="D129" s="1279" t="s">
        <v>1518</v>
      </c>
      <c r="E129" s="368" t="s">
        <v>4261</v>
      </c>
      <c r="F129" s="561">
        <f t="shared" ref="F129:F158" si="39">ROUND(I129+J129,2)</f>
        <v>1.06</v>
      </c>
      <c r="G129" s="395" t="s">
        <v>1558</v>
      </c>
      <c r="H129" s="136">
        <f>VLOOKUP(G129,'CP FACTORS'!$A$3:$B$38, 2, FALSE)</f>
        <v>4.6608050000000002E-4</v>
      </c>
      <c r="I129" s="820">
        <f>F170*(1/(F200+5)-1/(F230+5))*F260*(1-F$290)*F$291*24*F$292/(F293*3412)+(F323*F$353*29.3)</f>
        <v>0.95509376709652194</v>
      </c>
      <c r="J129" s="1231">
        <f t="shared" ref="J129:J158" si="40">F356*(1/(F200+5)-1/(F230+5))*F260*(1-F$290)*F$354*24*F$355/(F386*1000)</f>
        <v>0.10025449318181817</v>
      </c>
      <c r="K129" s="742">
        <f>ROUND(H129*F129,6)</f>
        <v>4.9399999999999997E-4</v>
      </c>
      <c r="L129" s="820">
        <f>$F$416</f>
        <v>25</v>
      </c>
      <c r="M129" s="1845">
        <f>F417</f>
        <v>2.1249043458397576</v>
      </c>
      <c r="N129" s="820">
        <f>F260</f>
        <v>1</v>
      </c>
      <c r="O129" s="756"/>
      <c r="P129" s="756"/>
      <c r="Q129" s="756"/>
      <c r="R129" s="756"/>
      <c r="S129" s="756"/>
      <c r="T129" s="756"/>
      <c r="U129" s="756"/>
      <c r="V129" s="141" t="str">
        <f>$F$58</f>
        <v>kWh Annual Savings</v>
      </c>
      <c r="W129" s="206">
        <v>924.01016928670083</v>
      </c>
      <c r="X129" s="372">
        <v>924.01016928670083</v>
      </c>
      <c r="Y129" s="734">
        <v>1.06</v>
      </c>
      <c r="Z129" s="731">
        <v>1.06</v>
      </c>
      <c r="AA129" s="731">
        <v>1.06</v>
      </c>
      <c r="AB129" s="731">
        <v>1.06</v>
      </c>
      <c r="AC129" s="731">
        <v>1.06</v>
      </c>
      <c r="AD129" s="731">
        <v>1.06</v>
      </c>
      <c r="AE129" s="141"/>
      <c r="AF129" s="141"/>
      <c r="AG129" s="141"/>
      <c r="AH129" s="196"/>
      <c r="AI129" s="196"/>
      <c r="AK129" s="732"/>
      <c r="BB129" s="1578">
        <f t="shared" ref="BB129:BB158" si="41">(BD129)/(BE129)</f>
        <v>0.71174377987679005</v>
      </c>
      <c r="BC129" s="2381" t="str">
        <f>CONCATENATE(G129," ",L129," Year EUL")</f>
        <v>Building Shell RES 25 Year EUL</v>
      </c>
      <c r="BD129" s="95">
        <f>(INDEX('Avoided Cost Benefits'!$E$4:$E$859,MATCH(BC129,'Avoided Cost Benefits'!$A$4:$A$859,0)))*F129</f>
        <v>1.4274539414673024</v>
      </c>
      <c r="BE129" s="1579">
        <f>M129/(1.0595^(2020-2019))</f>
        <v>2.0055727662480014</v>
      </c>
    </row>
    <row r="130" spans="1:57" s="741" customFormat="1" x14ac:dyDescent="0.35">
      <c r="A130" s="756"/>
      <c r="B130" s="1328"/>
      <c r="C130" s="831" t="s">
        <v>1582</v>
      </c>
      <c r="D130" s="1279" t="s">
        <v>1518</v>
      </c>
      <c r="E130" s="368" t="s">
        <v>4262</v>
      </c>
      <c r="F130" s="561">
        <f t="shared" si="39"/>
        <v>0.66</v>
      </c>
      <c r="G130" s="395" t="s">
        <v>1558</v>
      </c>
      <c r="H130" s="136">
        <f>VLOOKUP(G130,'CP FACTORS'!$A$3:$B$38, 2, FALSE)</f>
        <v>4.6608050000000002E-4</v>
      </c>
      <c r="I130" s="820">
        <f t="shared" ref="I130:I158" si="42">F171*(1/(F201+5)-1/(F231+5))*F261*(1-F$290)*F$291*24*F$292/(F294*3412)+(F324*F$353*29.3)</f>
        <v>0.54769410644257699</v>
      </c>
      <c r="J130" s="1231">
        <f t="shared" si="40"/>
        <v>0.11016977272727271</v>
      </c>
      <c r="K130" s="742">
        <f t="shared" ref="K130:K158" si="43">ROUND(H130*F130,6)</f>
        <v>3.0800000000000001E-4</v>
      </c>
      <c r="L130" s="820">
        <f t="shared" ref="L130:L158" si="44">$F$416</f>
        <v>25</v>
      </c>
      <c r="M130" s="1845">
        <f t="shared" ref="M130:M158" si="45">F418</f>
        <v>2.1249043458397576</v>
      </c>
      <c r="N130" s="820">
        <f t="shared" ref="N130:N158" si="46">F261</f>
        <v>1</v>
      </c>
      <c r="O130" s="756"/>
      <c r="P130" s="756"/>
      <c r="Q130" s="756"/>
      <c r="R130" s="756"/>
      <c r="S130" s="756"/>
      <c r="T130" s="756"/>
      <c r="U130" s="756"/>
      <c r="V130" s="141" t="str">
        <f t="shared" ref="V130:V158" si="47">$F$58</f>
        <v>kWh Annual Savings</v>
      </c>
      <c r="W130" s="206">
        <v>575.99271940716187</v>
      </c>
      <c r="X130" s="372">
        <v>575.99271940716187</v>
      </c>
      <c r="Y130" s="734">
        <v>0.66</v>
      </c>
      <c r="Z130" s="731">
        <v>0.66</v>
      </c>
      <c r="AA130" s="731">
        <v>0.66</v>
      </c>
      <c r="AB130" s="731">
        <v>0.66</v>
      </c>
      <c r="AC130" s="731">
        <v>0.66</v>
      </c>
      <c r="AD130" s="731">
        <v>0.66</v>
      </c>
      <c r="AE130" s="141"/>
      <c r="AF130" s="141"/>
      <c r="AG130" s="141"/>
      <c r="AH130" s="196"/>
      <c r="AI130" s="196"/>
      <c r="AK130" s="732"/>
      <c r="BB130" s="40">
        <f t="shared" si="41"/>
        <v>0.44316122143271836</v>
      </c>
      <c r="BC130" s="1580" t="str">
        <f t="shared" ref="BC130:BC158" si="48">CONCATENATE(G130," ",L130," Year EUL")</f>
        <v>Building Shell RES 25 Year EUL</v>
      </c>
      <c r="BD130" s="98">
        <f>(INDEX('Avoided Cost Benefits'!$E$4:$E$859,MATCH(BC130,'Avoided Cost Benefits'!$A$4:$A$859,0)))*F130</f>
        <v>0.88879207676266003</v>
      </c>
      <c r="BE130" s="1581">
        <f t="shared" ref="BE130:BE158" si="49">M130/(1.0595^(2020-2019))</f>
        <v>2.0055727662480014</v>
      </c>
    </row>
    <row r="131" spans="1:57" s="741" customFormat="1" x14ac:dyDescent="0.35">
      <c r="A131" s="756"/>
      <c r="B131" s="1328"/>
      <c r="C131" s="831" t="s">
        <v>1583</v>
      </c>
      <c r="D131" s="1279" t="s">
        <v>1518</v>
      </c>
      <c r="E131" s="368" t="s">
        <v>4263</v>
      </c>
      <c r="F131" s="561">
        <f t="shared" si="39"/>
        <v>0.14000000000000001</v>
      </c>
      <c r="G131" s="395" t="s">
        <v>1558</v>
      </c>
      <c r="H131" s="136">
        <f>VLOOKUP(G131,'CP FACTORS'!$A$3:$B$38, 2, FALSE)</f>
        <v>4.6608050000000002E-4</v>
      </c>
      <c r="I131" s="820">
        <f t="shared" si="42"/>
        <v>4.2227362172751165E-2</v>
      </c>
      <c r="J131" s="1231">
        <f t="shared" si="40"/>
        <v>0.10025449318181817</v>
      </c>
      <c r="K131" s="742">
        <f t="shared" si="43"/>
        <v>6.4999999999999994E-5</v>
      </c>
      <c r="L131" s="820">
        <f t="shared" si="44"/>
        <v>25</v>
      </c>
      <c r="M131" s="1845">
        <f t="shared" si="45"/>
        <v>2.1249043458397576</v>
      </c>
      <c r="N131" s="820">
        <f t="shared" si="46"/>
        <v>1</v>
      </c>
      <c r="O131" s="756"/>
      <c r="P131" s="756"/>
      <c r="Q131" s="756"/>
      <c r="R131" s="756"/>
      <c r="S131" s="756"/>
      <c r="T131" s="756"/>
      <c r="U131" s="756"/>
      <c r="V131" s="141" t="str">
        <f t="shared" si="47"/>
        <v>kWh Annual Savings</v>
      </c>
      <c r="W131" s="206">
        <v>124.7499884556932</v>
      </c>
      <c r="X131" s="372">
        <v>124.7499884556932</v>
      </c>
      <c r="Y131" s="734">
        <v>0.14000000000000001</v>
      </c>
      <c r="Z131" s="731">
        <v>0.14000000000000001</v>
      </c>
      <c r="AA131" s="731">
        <v>0.14000000000000001</v>
      </c>
      <c r="AB131" s="731">
        <v>0.14000000000000001</v>
      </c>
      <c r="AC131" s="731">
        <v>0.14000000000000001</v>
      </c>
      <c r="AD131" s="731">
        <v>0.14000000000000001</v>
      </c>
      <c r="AE131" s="141"/>
      <c r="AF131" s="141"/>
      <c r="AG131" s="141"/>
      <c r="AK131" s="732"/>
      <c r="BB131" s="40">
        <f t="shared" si="41"/>
        <v>9.4003895455425104E-2</v>
      </c>
      <c r="BC131" s="1580" t="str">
        <f t="shared" si="48"/>
        <v>Building Shell RES 25 Year EUL</v>
      </c>
      <c r="BD131" s="98">
        <f>(INDEX('Avoided Cost Benefits'!$E$4:$E$859,MATCH(BC131,'Avoided Cost Benefits'!$A$4:$A$859,0)))*F131</f>
        <v>0.18853165264662486</v>
      </c>
      <c r="BE131" s="1581">
        <f t="shared" si="49"/>
        <v>2.0055727662480014</v>
      </c>
    </row>
    <row r="132" spans="1:57" s="741" customFormat="1" x14ac:dyDescent="0.35">
      <c r="A132" s="756"/>
      <c r="B132" s="1328"/>
      <c r="C132" s="831" t="s">
        <v>1584</v>
      </c>
      <c r="D132" s="1279" t="s">
        <v>1517</v>
      </c>
      <c r="E132" s="368" t="s">
        <v>4264</v>
      </c>
      <c r="F132" s="561">
        <f t="shared" si="39"/>
        <v>1.06</v>
      </c>
      <c r="G132" s="395" t="s">
        <v>1558</v>
      </c>
      <c r="H132" s="136">
        <f>VLOOKUP(G132,'CP FACTORS'!$A$3:$B$38, 2, FALSE)</f>
        <v>4.6608050000000002E-4</v>
      </c>
      <c r="I132" s="820">
        <f t="shared" si="42"/>
        <v>0.95509376709652194</v>
      </c>
      <c r="J132" s="1231">
        <f t="shared" si="40"/>
        <v>0.10025449318181817</v>
      </c>
      <c r="K132" s="742">
        <f t="shared" si="43"/>
        <v>4.9399999999999997E-4</v>
      </c>
      <c r="L132" s="820">
        <f t="shared" si="44"/>
        <v>25</v>
      </c>
      <c r="M132" s="1845">
        <f t="shared" si="45"/>
        <v>2.1249072011878249</v>
      </c>
      <c r="N132" s="820">
        <f t="shared" si="46"/>
        <v>1</v>
      </c>
      <c r="O132" s="756"/>
      <c r="P132" s="756"/>
      <c r="Q132" s="756"/>
      <c r="R132" s="756"/>
      <c r="S132" s="756"/>
      <c r="T132" s="756"/>
      <c r="U132" s="756"/>
      <c r="V132" s="141" t="str">
        <f t="shared" si="47"/>
        <v>kWh Annual Savings</v>
      </c>
      <c r="W132" s="206">
        <v>1421.5541065949242</v>
      </c>
      <c r="X132" s="372">
        <v>1421.5541065949242</v>
      </c>
      <c r="Y132" s="734">
        <v>1.06</v>
      </c>
      <c r="Z132" s="731">
        <v>1.06</v>
      </c>
      <c r="AA132" s="731">
        <v>1.06</v>
      </c>
      <c r="AB132" s="731">
        <v>1.06</v>
      </c>
      <c r="AC132" s="731">
        <v>1.06</v>
      </c>
      <c r="AD132" s="731">
        <v>1.06</v>
      </c>
      <c r="AE132" s="141"/>
      <c r="AF132" s="141"/>
      <c r="AG132" s="141"/>
      <c r="AK132" s="732"/>
      <c r="BB132" s="40">
        <f t="shared" si="41"/>
        <v>0.71174282346974072</v>
      </c>
      <c r="BC132" s="1580" t="str">
        <f t="shared" si="48"/>
        <v>Building Shell RES 25 Year EUL</v>
      </c>
      <c r="BD132" s="98">
        <f>(INDEX('Avoided Cost Benefits'!$E$4:$E$859,MATCH(BC132,'Avoided Cost Benefits'!$A$4:$A$859,0)))*F132</f>
        <v>1.4274539414673024</v>
      </c>
      <c r="BE132" s="1581">
        <f t="shared" si="49"/>
        <v>2.0055754612438177</v>
      </c>
    </row>
    <row r="133" spans="1:57" s="741" customFormat="1" x14ac:dyDescent="0.35">
      <c r="A133" s="756"/>
      <c r="B133" s="1328"/>
      <c r="C133" s="831" t="s">
        <v>1585</v>
      </c>
      <c r="D133" s="1279" t="s">
        <v>1517</v>
      </c>
      <c r="E133" s="368" t="s">
        <v>4265</v>
      </c>
      <c r="F133" s="561">
        <f t="shared" si="39"/>
        <v>0.66</v>
      </c>
      <c r="G133" s="395" t="s">
        <v>1558</v>
      </c>
      <c r="H133" s="136">
        <f>VLOOKUP(G133,'CP FACTORS'!$A$3:$B$38, 2, FALSE)</f>
        <v>4.6608050000000002E-4</v>
      </c>
      <c r="I133" s="820">
        <f t="shared" si="42"/>
        <v>0.54769410644257699</v>
      </c>
      <c r="J133" s="1231">
        <f t="shared" si="40"/>
        <v>0.11016977272727271</v>
      </c>
      <c r="K133" s="742">
        <f t="shared" si="43"/>
        <v>3.0800000000000001E-4</v>
      </c>
      <c r="L133" s="820">
        <f t="shared" si="44"/>
        <v>25</v>
      </c>
      <c r="M133" s="1845">
        <f t="shared" si="45"/>
        <v>2.1249072011878249</v>
      </c>
      <c r="N133" s="820">
        <f t="shared" si="46"/>
        <v>1</v>
      </c>
      <c r="O133" s="756"/>
      <c r="P133" s="756"/>
      <c r="Q133" s="756"/>
      <c r="R133" s="756"/>
      <c r="S133" s="756"/>
      <c r="T133" s="756"/>
      <c r="U133" s="756"/>
      <c r="V133" s="141" t="str">
        <f t="shared" si="47"/>
        <v>kWh Annual Savings</v>
      </c>
      <c r="W133" s="206">
        <v>886.14264524178759</v>
      </c>
      <c r="X133" s="372">
        <v>886.14264524178759</v>
      </c>
      <c r="Y133" s="734">
        <v>0.66</v>
      </c>
      <c r="Z133" s="731">
        <v>0.66</v>
      </c>
      <c r="AA133" s="731">
        <v>0.66</v>
      </c>
      <c r="AB133" s="731">
        <v>0.66</v>
      </c>
      <c r="AC133" s="731">
        <v>0.66</v>
      </c>
      <c r="AD133" s="731">
        <v>0.66</v>
      </c>
      <c r="AE133" s="141"/>
      <c r="AF133" s="141"/>
      <c r="AG133" s="141"/>
      <c r="AK133" s="732"/>
      <c r="BB133" s="40">
        <f t="shared" si="41"/>
        <v>0.44316062593398953</v>
      </c>
      <c r="BC133" s="1580" t="str">
        <f t="shared" si="48"/>
        <v>Building Shell RES 25 Year EUL</v>
      </c>
      <c r="BD133" s="98">
        <f>(INDEX('Avoided Cost Benefits'!$E$4:$E$859,MATCH(BC133,'Avoided Cost Benefits'!$A$4:$A$859,0)))*F133</f>
        <v>0.88879207676266003</v>
      </c>
      <c r="BE133" s="1581">
        <f t="shared" si="49"/>
        <v>2.0055754612438177</v>
      </c>
    </row>
    <row r="134" spans="1:57" s="741" customFormat="1" x14ac:dyDescent="0.35">
      <c r="A134" s="756"/>
      <c r="B134" s="1328"/>
      <c r="C134" s="831" t="s">
        <v>1586</v>
      </c>
      <c r="D134" s="1279" t="s">
        <v>1517</v>
      </c>
      <c r="E134" s="368" t="s">
        <v>4266</v>
      </c>
      <c r="F134" s="561">
        <f t="shared" si="39"/>
        <v>0.14000000000000001</v>
      </c>
      <c r="G134" s="395" t="s">
        <v>1558</v>
      </c>
      <c r="H134" s="136">
        <f>VLOOKUP(G134,'CP FACTORS'!$A$3:$B$38, 2, FALSE)</f>
        <v>4.6608050000000002E-4</v>
      </c>
      <c r="I134" s="820">
        <f t="shared" si="42"/>
        <v>4.2227362172751165E-2</v>
      </c>
      <c r="J134" s="1231">
        <f t="shared" si="40"/>
        <v>0.10025449318181817</v>
      </c>
      <c r="K134" s="742">
        <f t="shared" si="43"/>
        <v>6.4999999999999994E-5</v>
      </c>
      <c r="L134" s="820">
        <f t="shared" si="44"/>
        <v>25</v>
      </c>
      <c r="M134" s="1845">
        <f t="shared" si="45"/>
        <v>2.1249072011878249</v>
      </c>
      <c r="N134" s="820">
        <f t="shared" si="46"/>
        <v>1</v>
      </c>
      <c r="O134" s="756"/>
      <c r="P134" s="756"/>
      <c r="Q134" s="756"/>
      <c r="R134" s="756"/>
      <c r="S134" s="756"/>
      <c r="T134" s="756"/>
      <c r="U134" s="756"/>
      <c r="V134" s="141" t="str">
        <f t="shared" si="47"/>
        <v>kWh Annual Savings</v>
      </c>
      <c r="W134" s="206">
        <v>191.92305916260491</v>
      </c>
      <c r="X134" s="372">
        <v>191.92305916260491</v>
      </c>
      <c r="Y134" s="734">
        <v>0.14000000000000001</v>
      </c>
      <c r="Z134" s="731">
        <v>0.14000000000000001</v>
      </c>
      <c r="AA134" s="731">
        <v>0.14000000000000001</v>
      </c>
      <c r="AB134" s="731">
        <v>0.14000000000000001</v>
      </c>
      <c r="AC134" s="731">
        <v>0.14000000000000001</v>
      </c>
      <c r="AD134" s="731">
        <v>0.14000000000000001</v>
      </c>
      <c r="AE134" s="141"/>
      <c r="AF134" s="141"/>
      <c r="AG134" s="141"/>
      <c r="AK134" s="732"/>
      <c r="BB134" s="40">
        <f t="shared" si="41"/>
        <v>9.4003769137512933E-2</v>
      </c>
      <c r="BC134" s="1580" t="str">
        <f t="shared" si="48"/>
        <v>Building Shell RES 25 Year EUL</v>
      </c>
      <c r="BD134" s="98">
        <f>(INDEX('Avoided Cost Benefits'!$E$4:$E$859,MATCH(BC134,'Avoided Cost Benefits'!$A$4:$A$859,0)))*F134</f>
        <v>0.18853165264662486</v>
      </c>
      <c r="BE134" s="1581">
        <f t="shared" si="49"/>
        <v>2.0055754612438177</v>
      </c>
    </row>
    <row r="135" spans="1:57" s="741" customFormat="1" x14ac:dyDescent="0.35">
      <c r="A135" s="756"/>
      <c r="B135" s="1328"/>
      <c r="C135" s="831" t="s">
        <v>1587</v>
      </c>
      <c r="D135" s="1279" t="s">
        <v>1518</v>
      </c>
      <c r="E135" s="368" t="s">
        <v>4267</v>
      </c>
      <c r="F135" s="561">
        <f t="shared" si="39"/>
        <v>1.71</v>
      </c>
      <c r="G135" s="395" t="s">
        <v>1558</v>
      </c>
      <c r="H135" s="136">
        <f>VLOOKUP(G135,'CP FACTORS'!$A$3:$B$38, 2, FALSE)</f>
        <v>4.6608050000000002E-4</v>
      </c>
      <c r="I135" s="820">
        <f t="shared" si="42"/>
        <v>1.5511297270139006</v>
      </c>
      <c r="J135" s="1231">
        <f t="shared" si="40"/>
        <v>0.1628193272727273</v>
      </c>
      <c r="K135" s="742">
        <f t="shared" si="43"/>
        <v>7.9699999999999997E-4</v>
      </c>
      <c r="L135" s="820">
        <f t="shared" si="44"/>
        <v>25</v>
      </c>
      <c r="M135" s="1845">
        <f t="shared" si="45"/>
        <v>1.1631103074141049</v>
      </c>
      <c r="N135" s="820">
        <f t="shared" si="46"/>
        <v>1</v>
      </c>
      <c r="O135" s="756"/>
      <c r="P135" s="756"/>
      <c r="Q135" s="756"/>
      <c r="R135" s="756"/>
      <c r="S135" s="756"/>
      <c r="T135" s="756"/>
      <c r="U135" s="756"/>
      <c r="V135" s="141" t="str">
        <f t="shared" si="47"/>
        <v>kWh Annual Savings</v>
      </c>
      <c r="W135" s="206">
        <v>1232.157975126657</v>
      </c>
      <c r="X135" s="372">
        <v>1232.157975126657</v>
      </c>
      <c r="Y135" s="734">
        <v>1.71</v>
      </c>
      <c r="Z135" s="731">
        <v>1.71</v>
      </c>
      <c r="AA135" s="731">
        <v>1.71</v>
      </c>
      <c r="AB135" s="731">
        <v>1.71</v>
      </c>
      <c r="AC135" s="731">
        <v>1.71</v>
      </c>
      <c r="AD135" s="731">
        <v>1.71</v>
      </c>
      <c r="AE135" s="141"/>
      <c r="AF135" s="141"/>
      <c r="AG135" s="141"/>
      <c r="AK135" s="732"/>
      <c r="BB135" s="40">
        <f t="shared" si="41"/>
        <v>2.0976470027142793</v>
      </c>
      <c r="BC135" s="1580" t="str">
        <f t="shared" si="48"/>
        <v>Building Shell RES 25 Year EUL</v>
      </c>
      <c r="BD135" s="98">
        <f>(INDEX('Avoided Cost Benefits'!$E$4:$E$859,MATCH(BC135,'Avoided Cost Benefits'!$A$4:$A$859,0)))*F135</f>
        <v>2.3027794716123462</v>
      </c>
      <c r="BE135" s="1581">
        <f t="shared" si="49"/>
        <v>1.0977917011931144</v>
      </c>
    </row>
    <row r="136" spans="1:57" s="741" customFormat="1" x14ac:dyDescent="0.35">
      <c r="A136" s="756"/>
      <c r="B136" s="1328"/>
      <c r="C136" s="831" t="s">
        <v>1588</v>
      </c>
      <c r="D136" s="1279" t="s">
        <v>1518</v>
      </c>
      <c r="E136" s="368" t="s">
        <v>4268</v>
      </c>
      <c r="F136" s="561">
        <f t="shared" si="39"/>
        <v>1.07</v>
      </c>
      <c r="G136" s="395" t="s">
        <v>1558</v>
      </c>
      <c r="H136" s="136">
        <f>VLOOKUP(G136,'CP FACTORS'!$A$3:$B$38, 2, FALSE)</f>
        <v>4.6608050000000002E-4</v>
      </c>
      <c r="I136" s="820">
        <f t="shared" si="42"/>
        <v>0.88948817286914772</v>
      </c>
      <c r="J136" s="1231">
        <f t="shared" si="40"/>
        <v>0.17892233766233767</v>
      </c>
      <c r="K136" s="742">
        <f t="shared" si="43"/>
        <v>4.9899999999999999E-4</v>
      </c>
      <c r="L136" s="820">
        <f t="shared" si="44"/>
        <v>25</v>
      </c>
      <c r="M136" s="1845">
        <f t="shared" si="45"/>
        <v>1.1631103074141049</v>
      </c>
      <c r="N136" s="820">
        <f t="shared" si="46"/>
        <v>1</v>
      </c>
      <c r="O136" s="756"/>
      <c r="P136" s="756"/>
      <c r="Q136" s="756"/>
      <c r="R136" s="756"/>
      <c r="S136" s="756"/>
      <c r="T136" s="756"/>
      <c r="U136" s="756"/>
      <c r="V136" s="141" t="str">
        <f t="shared" si="47"/>
        <v>kWh Annual Savings</v>
      </c>
      <c r="W136" s="206">
        <v>768.08031602108485</v>
      </c>
      <c r="X136" s="372">
        <v>768.08031602108485</v>
      </c>
      <c r="Y136" s="734">
        <v>1.07</v>
      </c>
      <c r="Z136" s="731">
        <v>1.07</v>
      </c>
      <c r="AA136" s="731">
        <v>1.07</v>
      </c>
      <c r="AB136" s="731">
        <v>1.07</v>
      </c>
      <c r="AC136" s="731">
        <v>1.07</v>
      </c>
      <c r="AD136" s="731">
        <v>1.07</v>
      </c>
      <c r="AE136" s="141"/>
      <c r="AF136" s="141"/>
      <c r="AG136" s="141"/>
      <c r="AK136" s="732"/>
      <c r="BB136" s="40">
        <f t="shared" si="41"/>
        <v>1.3125627443884673</v>
      </c>
      <c r="BC136" s="1580" t="str">
        <f t="shared" si="48"/>
        <v>Building Shell RES 25 Year EUL</v>
      </c>
      <c r="BD136" s="98">
        <f>(INDEX('Avoided Cost Benefits'!$E$4:$E$859,MATCH(BC136,'Avoided Cost Benefits'!$A$4:$A$859,0)))*F136</f>
        <v>1.4409204880849185</v>
      </c>
      <c r="BE136" s="1581">
        <f t="shared" si="49"/>
        <v>1.0977917011931144</v>
      </c>
    </row>
    <row r="137" spans="1:57" s="741" customFormat="1" x14ac:dyDescent="0.35">
      <c r="A137" s="756"/>
      <c r="B137" s="1328"/>
      <c r="C137" s="831" t="s">
        <v>1589</v>
      </c>
      <c r="D137" s="1279" t="s">
        <v>1518</v>
      </c>
      <c r="E137" s="374" t="s">
        <v>4269</v>
      </c>
      <c r="F137" s="561">
        <f t="shared" si="39"/>
        <v>0.23</v>
      </c>
      <c r="G137" s="395" t="s">
        <v>1558</v>
      </c>
      <c r="H137" s="136">
        <f>VLOOKUP(G137,'CP FACTORS'!$A$3:$B$38, 2, FALSE)</f>
        <v>4.6608050000000002E-4</v>
      </c>
      <c r="I137" s="820">
        <f t="shared" si="42"/>
        <v>6.8579776160257552E-2</v>
      </c>
      <c r="J137" s="1231">
        <f t="shared" si="40"/>
        <v>0.1628193272727273</v>
      </c>
      <c r="K137" s="742">
        <f t="shared" si="43"/>
        <v>1.07E-4</v>
      </c>
      <c r="L137" s="820">
        <f t="shared" si="44"/>
        <v>25</v>
      </c>
      <c r="M137" s="1845">
        <f t="shared" si="45"/>
        <v>1.1631103074141049</v>
      </c>
      <c r="N137" s="820">
        <f t="shared" si="46"/>
        <v>1</v>
      </c>
      <c r="O137" s="756"/>
      <c r="P137" s="756"/>
      <c r="Q137" s="756"/>
      <c r="R137" s="756"/>
      <c r="S137" s="756"/>
      <c r="T137" s="756"/>
      <c r="U137" s="756"/>
      <c r="V137" s="141" t="str">
        <f t="shared" si="47"/>
        <v>kWh Annual Savings</v>
      </c>
      <c r="W137" s="206">
        <v>166.35281545797278</v>
      </c>
      <c r="X137" s="372">
        <v>166.35281545797278</v>
      </c>
      <c r="Y137" s="734">
        <v>0.23</v>
      </c>
      <c r="Z137" s="731">
        <v>0.23</v>
      </c>
      <c r="AA137" s="731">
        <v>0.23</v>
      </c>
      <c r="AB137" s="731">
        <v>0.23</v>
      </c>
      <c r="AC137" s="731">
        <v>0.23</v>
      </c>
      <c r="AD137" s="731">
        <v>0.23</v>
      </c>
      <c r="AE137" s="141"/>
      <c r="AF137" s="141"/>
      <c r="AG137" s="141"/>
      <c r="AK137" s="732"/>
      <c r="BB137" s="40">
        <f t="shared" si="41"/>
        <v>0.28213965533583873</v>
      </c>
      <c r="BC137" s="1580" t="str">
        <f t="shared" si="48"/>
        <v>Building Shell RES 25 Year EUL</v>
      </c>
      <c r="BD137" s="98">
        <f>(INDEX('Avoided Cost Benefits'!$E$4:$E$859,MATCH(BC137,'Avoided Cost Benefits'!$A$4:$A$859,0)))*F137</f>
        <v>0.30973057220516936</v>
      </c>
      <c r="BE137" s="1581">
        <f t="shared" si="49"/>
        <v>1.0977917011931144</v>
      </c>
    </row>
    <row r="138" spans="1:57" s="741" customFormat="1" x14ac:dyDescent="0.35">
      <c r="A138" s="756"/>
      <c r="B138" s="1328"/>
      <c r="C138" s="831" t="s">
        <v>1590</v>
      </c>
      <c r="D138" s="1279" t="s">
        <v>1517</v>
      </c>
      <c r="E138" s="368" t="s">
        <v>4270</v>
      </c>
      <c r="F138" s="561">
        <f t="shared" si="39"/>
        <v>1.71</v>
      </c>
      <c r="G138" s="395" t="s">
        <v>1558</v>
      </c>
      <c r="H138" s="136">
        <f>VLOOKUP(G138,'CP FACTORS'!$A$3:$B$38, 2, FALSE)</f>
        <v>4.6608050000000002E-4</v>
      </c>
      <c r="I138" s="820">
        <f t="shared" si="42"/>
        <v>1.5511297270139006</v>
      </c>
      <c r="J138" s="1231">
        <f t="shared" si="40"/>
        <v>0.1628193272727273</v>
      </c>
      <c r="K138" s="742">
        <f t="shared" si="43"/>
        <v>7.9699999999999997E-4</v>
      </c>
      <c r="L138" s="820">
        <f t="shared" si="44"/>
        <v>25</v>
      </c>
      <c r="M138" s="1845">
        <f t="shared" si="45"/>
        <v>1.1631012658227848</v>
      </c>
      <c r="N138" s="820">
        <f t="shared" si="46"/>
        <v>1</v>
      </c>
      <c r="O138" s="756"/>
      <c r="P138" s="756"/>
      <c r="Q138" s="756"/>
      <c r="R138" s="756"/>
      <c r="S138" s="756"/>
      <c r="T138" s="756"/>
      <c r="U138" s="756"/>
      <c r="V138" s="141" t="str">
        <f t="shared" si="47"/>
        <v>kWh Annual Savings</v>
      </c>
      <c r="W138" s="206">
        <v>1895.6276540410106</v>
      </c>
      <c r="X138" s="372">
        <v>1895.6276540410106</v>
      </c>
      <c r="Y138" s="734">
        <v>1.71</v>
      </c>
      <c r="Z138" s="731">
        <v>1.71</v>
      </c>
      <c r="AA138" s="731">
        <v>1.71</v>
      </c>
      <c r="AB138" s="731">
        <v>1.71</v>
      </c>
      <c r="AC138" s="731">
        <v>1.71</v>
      </c>
      <c r="AD138" s="731">
        <v>1.71</v>
      </c>
      <c r="AE138" s="141"/>
      <c r="AF138" s="141"/>
      <c r="AG138" s="141"/>
      <c r="AK138" s="732"/>
      <c r="BB138" s="40">
        <f t="shared" si="41"/>
        <v>2.0976633091765708</v>
      </c>
      <c r="BC138" s="1580" t="str">
        <f t="shared" si="48"/>
        <v>Building Shell RES 25 Year EUL</v>
      </c>
      <c r="BD138" s="98">
        <f>(INDEX('Avoided Cost Benefits'!$E$4:$E$859,MATCH(BC138,'Avoided Cost Benefits'!$A$4:$A$859,0)))*F138</f>
        <v>2.3027794716123462</v>
      </c>
      <c r="BE138" s="1581">
        <f t="shared" si="49"/>
        <v>1.0977831673645915</v>
      </c>
    </row>
    <row r="139" spans="1:57" s="741" customFormat="1" x14ac:dyDescent="0.35">
      <c r="A139" s="756"/>
      <c r="B139" s="1328"/>
      <c r="C139" s="831" t="s">
        <v>1591</v>
      </c>
      <c r="D139" s="1279" t="s">
        <v>1517</v>
      </c>
      <c r="E139" s="368" t="s">
        <v>4271</v>
      </c>
      <c r="F139" s="561">
        <f t="shared" si="39"/>
        <v>1.07</v>
      </c>
      <c r="G139" s="395" t="s">
        <v>1558</v>
      </c>
      <c r="H139" s="136">
        <f>VLOOKUP(G139,'CP FACTORS'!$A$3:$B$38, 2, FALSE)</f>
        <v>4.6608050000000002E-4</v>
      </c>
      <c r="I139" s="820">
        <f t="shared" si="42"/>
        <v>0.88948817286914772</v>
      </c>
      <c r="J139" s="1231">
        <f t="shared" si="40"/>
        <v>0.17892233766233767</v>
      </c>
      <c r="K139" s="742">
        <f t="shared" si="43"/>
        <v>4.9899999999999999E-4</v>
      </c>
      <c r="L139" s="820">
        <f t="shared" si="44"/>
        <v>25</v>
      </c>
      <c r="M139" s="1845">
        <f t="shared" si="45"/>
        <v>1.1631012658227848</v>
      </c>
      <c r="N139" s="820">
        <f t="shared" si="46"/>
        <v>1</v>
      </c>
      <c r="O139" s="756"/>
      <c r="P139" s="756"/>
      <c r="Q139" s="756"/>
      <c r="R139" s="756"/>
      <c r="S139" s="756"/>
      <c r="T139" s="756"/>
      <c r="U139" s="756"/>
      <c r="V139" s="141" t="str">
        <f t="shared" si="47"/>
        <v>kWh Annual Savings</v>
      </c>
      <c r="W139" s="206">
        <v>1181.6620246478228</v>
      </c>
      <c r="X139" s="372">
        <v>1181.6620246478228</v>
      </c>
      <c r="Y139" s="734">
        <v>1.07</v>
      </c>
      <c r="Z139" s="731">
        <v>1.07</v>
      </c>
      <c r="AA139" s="731">
        <v>1.07</v>
      </c>
      <c r="AB139" s="731">
        <v>1.07</v>
      </c>
      <c r="AC139" s="731">
        <v>1.07</v>
      </c>
      <c r="AD139" s="731">
        <v>1.07</v>
      </c>
      <c r="AE139" s="141"/>
      <c r="AF139" s="141"/>
      <c r="AG139" s="141"/>
      <c r="AK139" s="732"/>
      <c r="BB139" s="40">
        <f t="shared" si="41"/>
        <v>1.312572947847328</v>
      </c>
      <c r="BC139" s="1580" t="str">
        <f t="shared" si="48"/>
        <v>Building Shell RES 25 Year EUL</v>
      </c>
      <c r="BD139" s="98">
        <f>(INDEX('Avoided Cost Benefits'!$E$4:$E$859,MATCH(BC139,'Avoided Cost Benefits'!$A$4:$A$859,0)))*F139</f>
        <v>1.4409204880849185</v>
      </c>
      <c r="BE139" s="1581">
        <f t="shared" si="49"/>
        <v>1.0977831673645915</v>
      </c>
    </row>
    <row r="140" spans="1:57" s="741" customFormat="1" x14ac:dyDescent="0.35">
      <c r="A140" s="756"/>
      <c r="B140" s="1328"/>
      <c r="C140" s="831" t="s">
        <v>1592</v>
      </c>
      <c r="D140" s="1279" t="s">
        <v>1517</v>
      </c>
      <c r="E140" s="1341" t="s">
        <v>4272</v>
      </c>
      <c r="F140" s="561">
        <f t="shared" si="39"/>
        <v>0.23</v>
      </c>
      <c r="G140" s="395" t="s">
        <v>1558</v>
      </c>
      <c r="H140" s="136">
        <f>VLOOKUP(G140,'CP FACTORS'!$A$3:$B$38, 2, FALSE)</f>
        <v>4.6608050000000002E-4</v>
      </c>
      <c r="I140" s="820">
        <f t="shared" si="42"/>
        <v>6.8579776160257552E-2</v>
      </c>
      <c r="J140" s="1231">
        <f t="shared" si="40"/>
        <v>0.1628193272727273</v>
      </c>
      <c r="K140" s="742">
        <f t="shared" si="43"/>
        <v>1.07E-4</v>
      </c>
      <c r="L140" s="820">
        <f t="shared" si="44"/>
        <v>25</v>
      </c>
      <c r="M140" s="1845">
        <f t="shared" si="45"/>
        <v>1.1631012658227848</v>
      </c>
      <c r="N140" s="820">
        <f t="shared" si="46"/>
        <v>1</v>
      </c>
      <c r="O140" s="756"/>
      <c r="P140" s="756"/>
      <c r="Q140" s="756"/>
      <c r="R140" s="756"/>
      <c r="S140" s="756"/>
      <c r="T140" s="756"/>
      <c r="U140" s="756"/>
      <c r="V140" s="141" t="str">
        <f t="shared" si="47"/>
        <v>kWh Annual Savings</v>
      </c>
      <c r="W140" s="206">
        <v>255.92740839688122</v>
      </c>
      <c r="X140" s="372">
        <v>255.92740839688122</v>
      </c>
      <c r="Y140" s="734">
        <v>0.23</v>
      </c>
      <c r="Z140" s="731">
        <v>0.23</v>
      </c>
      <c r="AA140" s="731">
        <v>0.23</v>
      </c>
      <c r="AB140" s="731">
        <v>0.23</v>
      </c>
      <c r="AC140" s="731">
        <v>0.23</v>
      </c>
      <c r="AD140" s="731">
        <v>0.23</v>
      </c>
      <c r="AE140" s="141"/>
      <c r="AF140" s="141"/>
      <c r="AG140" s="141"/>
      <c r="AK140" s="732"/>
      <c r="BB140" s="40">
        <f t="shared" si="41"/>
        <v>0.28214184860269664</v>
      </c>
      <c r="BC140" s="1580" t="str">
        <f t="shared" si="48"/>
        <v>Building Shell RES 25 Year EUL</v>
      </c>
      <c r="BD140" s="98">
        <f>(INDEX('Avoided Cost Benefits'!$E$4:$E$859,MATCH(BC140,'Avoided Cost Benefits'!$A$4:$A$859,0)))*F140</f>
        <v>0.30973057220516936</v>
      </c>
      <c r="BE140" s="1581">
        <f t="shared" si="49"/>
        <v>1.0977831673645915</v>
      </c>
    </row>
    <row r="141" spans="1:57" s="741" customFormat="1" x14ac:dyDescent="0.35">
      <c r="A141" s="756"/>
      <c r="B141" s="1328"/>
      <c r="C141" s="831" t="s">
        <v>1593</v>
      </c>
      <c r="D141" s="1279" t="s">
        <v>1518</v>
      </c>
      <c r="E141" s="368" t="s">
        <v>4273</v>
      </c>
      <c r="F141" s="561">
        <f t="shared" si="39"/>
        <v>1.84</v>
      </c>
      <c r="G141" s="395" t="s">
        <v>1558</v>
      </c>
      <c r="H141" s="136">
        <f>VLOOKUP(G141,'CP FACTORS'!$A$3:$B$38, 2, FALSE)</f>
        <v>4.6608050000000002E-4</v>
      </c>
      <c r="I141" s="820">
        <f t="shared" si="42"/>
        <v>1.6665626369312141</v>
      </c>
      <c r="J141" s="1231">
        <f t="shared" si="40"/>
        <v>0.17493611441860468</v>
      </c>
      <c r="K141" s="742">
        <f t="shared" si="43"/>
        <v>8.5800000000000004E-4</v>
      </c>
      <c r="L141" s="820">
        <f t="shared" si="44"/>
        <v>25</v>
      </c>
      <c r="M141" s="1845">
        <f t="shared" si="45"/>
        <v>1.6810404785088331</v>
      </c>
      <c r="N141" s="820">
        <f t="shared" si="46"/>
        <v>1</v>
      </c>
      <c r="O141" s="756"/>
      <c r="P141" s="756"/>
      <c r="Q141" s="756"/>
      <c r="R141" s="756"/>
      <c r="S141" s="756"/>
      <c r="T141" s="756"/>
      <c r="U141" s="756"/>
      <c r="V141" s="141" t="str">
        <f t="shared" si="47"/>
        <v>kWh Annual Savings</v>
      </c>
      <c r="W141" s="206">
        <v>1323.8534523453845</v>
      </c>
      <c r="X141" s="372">
        <v>1323.8534523453845</v>
      </c>
      <c r="Y141" s="734">
        <v>1.84</v>
      </c>
      <c r="Z141" s="731">
        <v>1.84</v>
      </c>
      <c r="AA141" s="731">
        <v>1.84</v>
      </c>
      <c r="AB141" s="731">
        <v>1.84</v>
      </c>
      <c r="AC141" s="731">
        <v>1.84</v>
      </c>
      <c r="AD141" s="731">
        <v>1.84</v>
      </c>
      <c r="AE141" s="141"/>
      <c r="AF141" s="141"/>
      <c r="AG141" s="141"/>
      <c r="AK141" s="732"/>
      <c r="BB141" s="40">
        <f t="shared" si="41"/>
        <v>1.5616972723582285</v>
      </c>
      <c r="BC141" s="1580" t="str">
        <f t="shared" si="48"/>
        <v>Building Shell RES 25 Year EUL</v>
      </c>
      <c r="BD141" s="98">
        <f>(INDEX('Avoided Cost Benefits'!$E$4:$E$859,MATCH(BC141,'Avoided Cost Benefits'!$A$4:$A$859,0)))*F141</f>
        <v>2.4778445776413549</v>
      </c>
      <c r="BE141" s="1581">
        <f t="shared" si="49"/>
        <v>1.5866356569219753</v>
      </c>
    </row>
    <row r="142" spans="1:57" s="741" customFormat="1" x14ac:dyDescent="0.35">
      <c r="A142" s="756"/>
      <c r="B142" s="1328"/>
      <c r="C142" s="831" t="s">
        <v>1594</v>
      </c>
      <c r="D142" s="1279" t="s">
        <v>1518</v>
      </c>
      <c r="E142" s="368" t="s">
        <v>4274</v>
      </c>
      <c r="F142" s="561">
        <f t="shared" si="39"/>
        <v>1.1499999999999999</v>
      </c>
      <c r="G142" s="395" t="s">
        <v>1558</v>
      </c>
      <c r="H142" s="136">
        <f>VLOOKUP(G142,'CP FACTORS'!$A$3:$B$38, 2, FALSE)</f>
        <v>4.6608050000000002E-4</v>
      </c>
      <c r="I142" s="820">
        <f t="shared" si="42"/>
        <v>0.95568264154778193</v>
      </c>
      <c r="J142" s="1231">
        <f t="shared" si="40"/>
        <v>0.19223748837209306</v>
      </c>
      <c r="K142" s="742">
        <f t="shared" si="43"/>
        <v>5.3600000000000002E-4</v>
      </c>
      <c r="L142" s="820">
        <f t="shared" si="44"/>
        <v>25</v>
      </c>
      <c r="M142" s="1845">
        <f t="shared" si="45"/>
        <v>1.6810404785088331</v>
      </c>
      <c r="N142" s="820">
        <f t="shared" si="46"/>
        <v>1</v>
      </c>
      <c r="O142" s="756"/>
      <c r="P142" s="756"/>
      <c r="Q142" s="756"/>
      <c r="R142" s="756"/>
      <c r="S142" s="756"/>
      <c r="T142" s="756"/>
      <c r="U142" s="756"/>
      <c r="V142" s="141" t="str">
        <f t="shared" si="47"/>
        <v>kWh Annual Savings</v>
      </c>
      <c r="W142" s="206">
        <v>825.239781399398</v>
      </c>
      <c r="X142" s="372">
        <v>825.239781399398</v>
      </c>
      <c r="Y142" s="734">
        <v>1.1499999999999999</v>
      </c>
      <c r="Z142" s="731">
        <v>1.1499999999999999</v>
      </c>
      <c r="AA142" s="731">
        <v>1.1499999999999999</v>
      </c>
      <c r="AB142" s="731">
        <v>1.1499999999999999</v>
      </c>
      <c r="AC142" s="731">
        <v>1.1499999999999999</v>
      </c>
      <c r="AD142" s="731">
        <v>1.1499999999999999</v>
      </c>
      <c r="AE142" s="141"/>
      <c r="AF142" s="141"/>
      <c r="AG142" s="141"/>
      <c r="AK142" s="732"/>
      <c r="BB142" s="40">
        <f t="shared" si="41"/>
        <v>0.97606079522389277</v>
      </c>
      <c r="BC142" s="1580" t="str">
        <f t="shared" si="48"/>
        <v>Building Shell RES 25 Year EUL</v>
      </c>
      <c r="BD142" s="98">
        <f>(INDEX('Avoided Cost Benefits'!$E$4:$E$859,MATCH(BC142,'Avoided Cost Benefits'!$A$4:$A$859,0)))*F142</f>
        <v>1.5486528610258468</v>
      </c>
      <c r="BE142" s="1581">
        <f t="shared" si="49"/>
        <v>1.5866356569219753</v>
      </c>
    </row>
    <row r="143" spans="1:57" s="741" customFormat="1" x14ac:dyDescent="0.35">
      <c r="A143" s="756"/>
      <c r="B143" s="1328"/>
      <c r="C143" s="831" t="s">
        <v>1595</v>
      </c>
      <c r="D143" s="1279" t="s">
        <v>1518</v>
      </c>
      <c r="E143" s="374" t="s">
        <v>4275</v>
      </c>
      <c r="F143" s="561">
        <f t="shared" si="39"/>
        <v>0.25</v>
      </c>
      <c r="G143" s="1342" t="s">
        <v>1558</v>
      </c>
      <c r="H143" s="136">
        <f>VLOOKUP(G143,'CP FACTORS'!$A$3:$B$38, 2, FALSE)</f>
        <v>4.6608050000000002E-4</v>
      </c>
      <c r="I143" s="820">
        <f t="shared" si="42"/>
        <v>7.3683387409392995E-2</v>
      </c>
      <c r="J143" s="1231">
        <f t="shared" si="40"/>
        <v>0.17493611441860468</v>
      </c>
      <c r="K143" s="742">
        <f t="shared" si="43"/>
        <v>1.17E-4</v>
      </c>
      <c r="L143" s="820">
        <f t="shared" si="44"/>
        <v>25</v>
      </c>
      <c r="M143" s="1845">
        <f t="shared" si="45"/>
        <v>1.6810404785088331</v>
      </c>
      <c r="N143" s="820">
        <f t="shared" si="46"/>
        <v>1</v>
      </c>
      <c r="O143" s="756"/>
      <c r="P143" s="756"/>
      <c r="Q143" s="756"/>
      <c r="R143" s="756"/>
      <c r="S143" s="756"/>
      <c r="T143" s="756"/>
      <c r="U143" s="756"/>
      <c r="V143" s="141" t="str">
        <f t="shared" si="47"/>
        <v>kWh Annual Savings</v>
      </c>
      <c r="W143" s="206">
        <v>178.7325598641475</v>
      </c>
      <c r="X143" s="372">
        <v>178.7325598641475</v>
      </c>
      <c r="Y143" s="734">
        <v>0.25</v>
      </c>
      <c r="Z143" s="731">
        <v>0.25</v>
      </c>
      <c r="AA143" s="731">
        <v>0.25</v>
      </c>
      <c r="AB143" s="731">
        <v>0.25</v>
      </c>
      <c r="AC143" s="731">
        <v>0.25</v>
      </c>
      <c r="AD143" s="731">
        <v>0.25</v>
      </c>
      <c r="AE143" s="141"/>
      <c r="AF143" s="141"/>
      <c r="AG143" s="141"/>
      <c r="AK143" s="732"/>
      <c r="BB143" s="40">
        <f t="shared" si="41"/>
        <v>0.21218712939649845</v>
      </c>
      <c r="BC143" s="1580" t="str">
        <f t="shared" si="48"/>
        <v>Building Shell RES 25 Year EUL</v>
      </c>
      <c r="BD143" s="98">
        <f>(INDEX('Avoided Cost Benefits'!$E$4:$E$859,MATCH(BC143,'Avoided Cost Benefits'!$A$4:$A$859,0)))*F143</f>
        <v>0.33666366544040149</v>
      </c>
      <c r="BE143" s="1581">
        <f t="shared" si="49"/>
        <v>1.5866356569219753</v>
      </c>
    </row>
    <row r="144" spans="1:57" s="741" customFormat="1" x14ac:dyDescent="0.35">
      <c r="A144" s="756"/>
      <c r="B144" s="1328"/>
      <c r="C144" s="831" t="s">
        <v>1596</v>
      </c>
      <c r="D144" s="1279" t="s">
        <v>1517</v>
      </c>
      <c r="E144" s="368" t="s">
        <v>4276</v>
      </c>
      <c r="F144" s="561">
        <f t="shared" si="39"/>
        <v>1.84</v>
      </c>
      <c r="G144" s="395" t="s">
        <v>1558</v>
      </c>
      <c r="H144" s="136">
        <f>VLOOKUP(G144,'CP FACTORS'!$A$3:$B$38, 2, FALSE)</f>
        <v>4.6608050000000002E-4</v>
      </c>
      <c r="I144" s="820">
        <f t="shared" si="42"/>
        <v>1.6665626369312141</v>
      </c>
      <c r="J144" s="1231">
        <f t="shared" si="40"/>
        <v>0.17493611441860468</v>
      </c>
      <c r="K144" s="742">
        <f t="shared" si="43"/>
        <v>8.5800000000000004E-4</v>
      </c>
      <c r="L144" s="820">
        <f t="shared" si="44"/>
        <v>25</v>
      </c>
      <c r="M144" s="1845">
        <f t="shared" si="45"/>
        <v>1.6810397830018082</v>
      </c>
      <c r="N144" s="820">
        <f t="shared" si="46"/>
        <v>1</v>
      </c>
      <c r="O144" s="756"/>
      <c r="P144" s="756"/>
      <c r="Q144" s="756"/>
      <c r="R144" s="756"/>
      <c r="S144" s="756"/>
      <c r="T144" s="756"/>
      <c r="U144" s="756"/>
      <c r="V144" s="141" t="str">
        <f t="shared" si="47"/>
        <v>kWh Annual Savings</v>
      </c>
      <c r="W144" s="206">
        <v>2036.6976189928996</v>
      </c>
      <c r="X144" s="372">
        <v>2036.6976189928996</v>
      </c>
      <c r="Y144" s="734">
        <v>1.84</v>
      </c>
      <c r="Z144" s="731">
        <v>1.84</v>
      </c>
      <c r="AA144" s="731">
        <v>1.84</v>
      </c>
      <c r="AB144" s="731">
        <v>1.84</v>
      </c>
      <c r="AC144" s="731">
        <v>1.84</v>
      </c>
      <c r="AD144" s="731">
        <v>1.84</v>
      </c>
      <c r="AE144" s="141"/>
      <c r="AF144" s="141"/>
      <c r="AG144" s="141"/>
      <c r="AK144" s="732"/>
      <c r="BB144" s="40">
        <f t="shared" si="41"/>
        <v>1.5616979184889357</v>
      </c>
      <c r="BC144" s="1580" t="str">
        <f t="shared" si="48"/>
        <v>Building Shell RES 25 Year EUL</v>
      </c>
      <c r="BD144" s="98">
        <f>(INDEX('Avoided Cost Benefits'!$E$4:$E$859,MATCH(BC144,'Avoided Cost Benefits'!$A$4:$A$859,0)))*F144</f>
        <v>2.4778445776413549</v>
      </c>
      <c r="BE144" s="1581">
        <f t="shared" si="49"/>
        <v>1.5866350004736272</v>
      </c>
    </row>
    <row r="145" spans="1:57" s="741" customFormat="1" x14ac:dyDescent="0.35">
      <c r="A145" s="756"/>
      <c r="B145" s="1328"/>
      <c r="C145" s="831" t="s">
        <v>1597</v>
      </c>
      <c r="D145" s="1279" t="s">
        <v>1517</v>
      </c>
      <c r="E145" s="374" t="s">
        <v>4277</v>
      </c>
      <c r="F145" s="561">
        <f t="shared" si="39"/>
        <v>1.1499999999999999</v>
      </c>
      <c r="G145" s="1342" t="s">
        <v>1558</v>
      </c>
      <c r="H145" s="136">
        <f>VLOOKUP(G145,'CP FACTORS'!$A$3:$B$38, 2, FALSE)</f>
        <v>4.6608050000000002E-4</v>
      </c>
      <c r="I145" s="1343">
        <f t="shared" si="42"/>
        <v>0.95568264154778193</v>
      </c>
      <c r="J145" s="1344">
        <f t="shared" si="40"/>
        <v>0.19223748837209306</v>
      </c>
      <c r="K145" s="742">
        <f t="shared" si="43"/>
        <v>5.3600000000000002E-4</v>
      </c>
      <c r="L145" s="820">
        <f t="shared" si="44"/>
        <v>25</v>
      </c>
      <c r="M145" s="1845">
        <f t="shared" si="45"/>
        <v>1.6810397830018082</v>
      </c>
      <c r="N145" s="820">
        <f t="shared" si="46"/>
        <v>1</v>
      </c>
      <c r="O145" s="756"/>
      <c r="P145" s="756"/>
      <c r="Q145" s="756"/>
      <c r="R145" s="756"/>
      <c r="S145" s="756"/>
      <c r="T145" s="756"/>
      <c r="U145" s="756"/>
      <c r="V145" s="141" t="str">
        <f t="shared" si="47"/>
        <v>kWh Annual Savings</v>
      </c>
      <c r="W145" s="206">
        <v>1269.5996636913817</v>
      </c>
      <c r="X145" s="372">
        <v>1269.5996636913817</v>
      </c>
      <c r="Y145" s="734">
        <v>1.1499999999999999</v>
      </c>
      <c r="Z145" s="731">
        <v>1.1499999999999999</v>
      </c>
      <c r="AA145" s="731">
        <v>1.1499999999999999</v>
      </c>
      <c r="AB145" s="731">
        <v>1.1499999999999999</v>
      </c>
      <c r="AC145" s="731">
        <v>1.1499999999999999</v>
      </c>
      <c r="AD145" s="731">
        <v>1.1499999999999999</v>
      </c>
      <c r="AE145" s="141"/>
      <c r="AF145" s="141"/>
      <c r="AG145" s="141"/>
      <c r="AK145" s="732"/>
      <c r="BB145" s="40">
        <f t="shared" si="41"/>
        <v>0.97606119905558475</v>
      </c>
      <c r="BC145" s="1580" t="str">
        <f t="shared" si="48"/>
        <v>Building Shell RES 25 Year EUL</v>
      </c>
      <c r="BD145" s="98">
        <f>(INDEX('Avoided Cost Benefits'!$E$4:$E$859,MATCH(BC145,'Avoided Cost Benefits'!$A$4:$A$859,0)))*F145</f>
        <v>1.5486528610258468</v>
      </c>
      <c r="BE145" s="1581">
        <f t="shared" si="49"/>
        <v>1.5866350004736272</v>
      </c>
    </row>
    <row r="146" spans="1:57" s="741" customFormat="1" x14ac:dyDescent="0.35">
      <c r="A146" s="756"/>
      <c r="B146" s="1328"/>
      <c r="C146" s="831" t="s">
        <v>1598</v>
      </c>
      <c r="D146" s="1279" t="s">
        <v>1517</v>
      </c>
      <c r="E146" s="368" t="s">
        <v>4278</v>
      </c>
      <c r="F146" s="561">
        <f t="shared" si="39"/>
        <v>0.25</v>
      </c>
      <c r="G146" s="395" t="s">
        <v>1558</v>
      </c>
      <c r="H146" s="136">
        <f>VLOOKUP(G146,'CP FACTORS'!$A$3:$B$38, 2, FALSE)</f>
        <v>4.6608050000000002E-4</v>
      </c>
      <c r="I146" s="820">
        <f t="shared" si="42"/>
        <v>7.3683387409392995E-2</v>
      </c>
      <c r="J146" s="1231">
        <f t="shared" si="40"/>
        <v>0.17493611441860468</v>
      </c>
      <c r="K146" s="742">
        <f t="shared" si="43"/>
        <v>1.17E-4</v>
      </c>
      <c r="L146" s="820">
        <f t="shared" si="44"/>
        <v>25</v>
      </c>
      <c r="M146" s="1845">
        <f t="shared" si="45"/>
        <v>1.6810397830018082</v>
      </c>
      <c r="N146" s="820">
        <f t="shared" si="46"/>
        <v>1</v>
      </c>
      <c r="O146" s="756"/>
      <c r="P146" s="756"/>
      <c r="Q146" s="756"/>
      <c r="R146" s="756"/>
      <c r="S146" s="756"/>
      <c r="T146" s="756"/>
      <c r="U146" s="756"/>
      <c r="V146" s="141" t="str">
        <f t="shared" si="47"/>
        <v>kWh Annual Savings</v>
      </c>
      <c r="W146" s="206">
        <v>274.97316902176544</v>
      </c>
      <c r="X146" s="372">
        <v>274.97316902176544</v>
      </c>
      <c r="Y146" s="734">
        <v>0.25</v>
      </c>
      <c r="Z146" s="731">
        <v>0.25</v>
      </c>
      <c r="AA146" s="731">
        <v>0.25</v>
      </c>
      <c r="AB146" s="731">
        <v>0.25</v>
      </c>
      <c r="AC146" s="731">
        <v>0.25</v>
      </c>
      <c r="AD146" s="731">
        <v>0.25</v>
      </c>
      <c r="AE146" s="141"/>
      <c r="AF146" s="141"/>
      <c r="AG146" s="141"/>
      <c r="AK146" s="732"/>
      <c r="BB146" s="40">
        <f t="shared" si="41"/>
        <v>0.2121872171859967</v>
      </c>
      <c r="BC146" s="1580" t="str">
        <f t="shared" si="48"/>
        <v>Building Shell RES 25 Year EUL</v>
      </c>
      <c r="BD146" s="98">
        <f>(INDEX('Avoided Cost Benefits'!$E$4:$E$859,MATCH(BC146,'Avoided Cost Benefits'!$A$4:$A$859,0)))*F146</f>
        <v>0.33666366544040149</v>
      </c>
      <c r="BE146" s="1581">
        <f t="shared" si="49"/>
        <v>1.5866350004736272</v>
      </c>
    </row>
    <row r="147" spans="1:57" s="741" customFormat="1" x14ac:dyDescent="0.35">
      <c r="A147" s="756"/>
      <c r="B147" s="1328"/>
      <c r="C147" s="831" t="s">
        <v>1599</v>
      </c>
      <c r="D147" s="1279" t="s">
        <v>1518</v>
      </c>
      <c r="E147" s="368" t="s">
        <v>4279</v>
      </c>
      <c r="F147" s="561">
        <f t="shared" si="39"/>
        <v>1.96</v>
      </c>
      <c r="G147" s="395" t="s">
        <v>1558</v>
      </c>
      <c r="H147" s="136">
        <f>VLOOKUP(G147,'CP FACTORS'!$A$3:$B$38, 2, FALSE)</f>
        <v>4.6608050000000002E-4</v>
      </c>
      <c r="I147" s="820">
        <f t="shared" si="42"/>
        <v>1.76943687377882</v>
      </c>
      <c r="J147" s="1231">
        <f t="shared" si="40"/>
        <v>0.18573464000000001</v>
      </c>
      <c r="K147" s="742">
        <f t="shared" si="43"/>
        <v>9.1399999999999999E-4</v>
      </c>
      <c r="L147" s="820">
        <f t="shared" si="44"/>
        <v>25</v>
      </c>
      <c r="M147" s="1845">
        <f t="shared" si="45"/>
        <v>2.568757824454027</v>
      </c>
      <c r="N147" s="820">
        <f t="shared" si="46"/>
        <v>1</v>
      </c>
      <c r="O147" s="756"/>
      <c r="P147" s="756"/>
      <c r="Q147" s="756"/>
      <c r="R147" s="756"/>
      <c r="S147" s="756"/>
      <c r="T147" s="756"/>
      <c r="U147" s="756"/>
      <c r="V147" s="141" t="str">
        <f t="shared" si="47"/>
        <v>kWh Annual Savings</v>
      </c>
      <c r="W147" s="206">
        <v>1405.5728012555933</v>
      </c>
      <c r="X147" s="372">
        <v>1405.5728012555933</v>
      </c>
      <c r="Y147" s="734">
        <v>1.96</v>
      </c>
      <c r="Z147" s="731">
        <v>1.96</v>
      </c>
      <c r="AA147" s="731">
        <v>1.96</v>
      </c>
      <c r="AB147" s="731">
        <v>1.96</v>
      </c>
      <c r="AC147" s="731">
        <v>1.96</v>
      </c>
      <c r="AD147" s="731">
        <v>1.96</v>
      </c>
      <c r="AE147" s="141"/>
      <c r="AF147" s="141"/>
      <c r="AG147" s="141"/>
      <c r="AK147" s="732"/>
      <c r="BB147" s="40">
        <f t="shared" si="41"/>
        <v>1.0886545929263545</v>
      </c>
      <c r="BC147" s="1580" t="str">
        <f t="shared" si="48"/>
        <v>Building Shell RES 25 Year EUL</v>
      </c>
      <c r="BD147" s="98">
        <f>(INDEX('Avoided Cost Benefits'!$E$4:$E$859,MATCH(BC147,'Avoided Cost Benefits'!$A$4:$A$859,0)))*F147</f>
        <v>2.6394431370527478</v>
      </c>
      <c r="BE147" s="1581">
        <f t="shared" si="49"/>
        <v>2.4245000702727952</v>
      </c>
    </row>
    <row r="148" spans="1:57" s="741" customFormat="1" x14ac:dyDescent="0.35">
      <c r="A148" s="756"/>
      <c r="B148" s="1328"/>
      <c r="C148" s="831" t="s">
        <v>1600</v>
      </c>
      <c r="D148" s="1279" t="s">
        <v>1518</v>
      </c>
      <c r="E148" s="368" t="s">
        <v>4280</v>
      </c>
      <c r="F148" s="561">
        <f t="shared" si="39"/>
        <v>1.22</v>
      </c>
      <c r="G148" s="395" t="s">
        <v>1558</v>
      </c>
      <c r="H148" s="136">
        <f>VLOOKUP(G148,'CP FACTORS'!$A$3:$B$38, 2, FALSE)</f>
        <v>4.6608050000000002E-4</v>
      </c>
      <c r="I148" s="820">
        <f t="shared" si="42"/>
        <v>1.0146753971988796</v>
      </c>
      <c r="J148" s="1231">
        <f t="shared" si="40"/>
        <v>0.20410400000000001</v>
      </c>
      <c r="K148" s="742">
        <f t="shared" si="43"/>
        <v>5.6899999999999995E-4</v>
      </c>
      <c r="L148" s="820">
        <f t="shared" si="44"/>
        <v>25</v>
      </c>
      <c r="M148" s="1845">
        <f t="shared" si="45"/>
        <v>2.568757824454027</v>
      </c>
      <c r="N148" s="820">
        <f t="shared" si="46"/>
        <v>1</v>
      </c>
      <c r="O148" s="756"/>
      <c r="P148" s="756"/>
      <c r="Q148" s="756"/>
      <c r="R148" s="756"/>
      <c r="S148" s="756"/>
      <c r="T148" s="756"/>
      <c r="U148" s="756"/>
      <c r="V148" s="141" t="str">
        <f t="shared" si="47"/>
        <v>kWh Annual Savings</v>
      </c>
      <c r="W148" s="206">
        <v>876.18050864627435</v>
      </c>
      <c r="X148" s="372">
        <v>876.18050864627435</v>
      </c>
      <c r="Y148" s="734">
        <v>1.22</v>
      </c>
      <c r="Z148" s="731">
        <v>1.22</v>
      </c>
      <c r="AA148" s="731">
        <v>1.22</v>
      </c>
      <c r="AB148" s="731">
        <v>1.22</v>
      </c>
      <c r="AC148" s="731">
        <v>1.22</v>
      </c>
      <c r="AD148" s="731">
        <v>1.22</v>
      </c>
      <c r="AE148" s="141"/>
      <c r="AF148" s="141"/>
      <c r="AG148" s="141"/>
      <c r="AK148" s="732"/>
      <c r="BB148" s="40">
        <f t="shared" si="41"/>
        <v>0.67763194049497577</v>
      </c>
      <c r="BC148" s="1580" t="str">
        <f t="shared" si="48"/>
        <v>Building Shell RES 25 Year EUL</v>
      </c>
      <c r="BD148" s="98">
        <f>(INDEX('Avoided Cost Benefits'!$E$4:$E$859,MATCH(BC148,'Avoided Cost Benefits'!$A$4:$A$859,0)))*F148</f>
        <v>1.6429186873491592</v>
      </c>
      <c r="BE148" s="1581">
        <f t="shared" si="49"/>
        <v>2.4245000702727952</v>
      </c>
    </row>
    <row r="149" spans="1:57" s="741" customFormat="1" x14ac:dyDescent="0.35">
      <c r="A149" s="756"/>
      <c r="B149" s="1328"/>
      <c r="C149" s="831" t="s">
        <v>1601</v>
      </c>
      <c r="D149" s="1279" t="s">
        <v>1518</v>
      </c>
      <c r="E149" s="374" t="s">
        <v>4281</v>
      </c>
      <c r="F149" s="561">
        <f t="shared" si="39"/>
        <v>0.26</v>
      </c>
      <c r="G149" s="395" t="s">
        <v>1558</v>
      </c>
      <c r="H149" s="136">
        <f>VLOOKUP(G149,'CP FACTORS'!$A$3:$B$38, 2, FALSE)</f>
        <v>4.6608050000000002E-4</v>
      </c>
      <c r="I149" s="820">
        <f t="shared" si="42"/>
        <v>7.8231744656886398E-2</v>
      </c>
      <c r="J149" s="1231">
        <f t="shared" si="40"/>
        <v>0.18573464000000001</v>
      </c>
      <c r="K149" s="742">
        <f>ROUND(H149*F149,6)</f>
        <v>1.21E-4</v>
      </c>
      <c r="L149" s="820">
        <f t="shared" si="44"/>
        <v>25</v>
      </c>
      <c r="M149" s="1845">
        <f t="shared" si="45"/>
        <v>2.568757824454027</v>
      </c>
      <c r="N149" s="820">
        <f t="shared" si="46"/>
        <v>1</v>
      </c>
      <c r="O149" s="756"/>
      <c r="P149" s="756"/>
      <c r="Q149" s="756"/>
      <c r="R149" s="756"/>
      <c r="S149" s="756"/>
      <c r="T149" s="756"/>
      <c r="U149" s="756"/>
      <c r="V149" s="141" t="str">
        <f t="shared" si="47"/>
        <v>kWh Annual Savings</v>
      </c>
      <c r="W149" s="206">
        <v>189.76543392983561</v>
      </c>
      <c r="X149" s="372">
        <v>189.76543392983561</v>
      </c>
      <c r="Y149" s="734">
        <v>0.26</v>
      </c>
      <c r="Z149" s="731">
        <v>0.26</v>
      </c>
      <c r="AA149" s="731">
        <v>0.26</v>
      </c>
      <c r="AB149" s="731">
        <v>0.26</v>
      </c>
      <c r="AC149" s="731">
        <v>0.26</v>
      </c>
      <c r="AD149" s="731">
        <v>0.26</v>
      </c>
      <c r="AE149" s="141"/>
      <c r="AF149" s="141"/>
      <c r="AG149" s="141"/>
      <c r="AK149" s="732"/>
      <c r="BB149" s="40">
        <f t="shared" si="41"/>
        <v>0.14441336436778174</v>
      </c>
      <c r="BC149" s="1580" t="str">
        <f t="shared" si="48"/>
        <v>Building Shell RES 25 Year EUL</v>
      </c>
      <c r="BD149" s="98">
        <f>(INDEX('Avoided Cost Benefits'!$E$4:$E$859,MATCH(BC149,'Avoided Cost Benefits'!$A$4:$A$859,0)))*F149</f>
        <v>0.35013021205801759</v>
      </c>
      <c r="BE149" s="1581">
        <f t="shared" si="49"/>
        <v>2.4245000702727952</v>
      </c>
    </row>
    <row r="150" spans="1:57" s="741" customFormat="1" x14ac:dyDescent="0.35">
      <c r="A150" s="756"/>
      <c r="B150" s="1328"/>
      <c r="C150" s="831" t="s">
        <v>1602</v>
      </c>
      <c r="D150" s="1279" t="s">
        <v>1517</v>
      </c>
      <c r="E150" s="368" t="s">
        <v>4282</v>
      </c>
      <c r="F150" s="561">
        <f t="shared" si="39"/>
        <v>1.96</v>
      </c>
      <c r="G150" s="395" t="s">
        <v>1558</v>
      </c>
      <c r="H150" s="136">
        <f>VLOOKUP(G150,'CP FACTORS'!$A$3:$B$38, 2, FALSE)</f>
        <v>4.6608050000000002E-4</v>
      </c>
      <c r="I150" s="820">
        <f t="shared" si="42"/>
        <v>1.76943687377882</v>
      </c>
      <c r="J150" s="1231">
        <f t="shared" si="40"/>
        <v>0.18573464000000001</v>
      </c>
      <c r="K150" s="742">
        <f t="shared" si="43"/>
        <v>9.1399999999999999E-4</v>
      </c>
      <c r="L150" s="820">
        <f t="shared" si="44"/>
        <v>25</v>
      </c>
      <c r="M150" s="1845">
        <f t="shared" si="45"/>
        <v>2.5687522603978299</v>
      </c>
      <c r="N150" s="820">
        <f t="shared" si="46"/>
        <v>1</v>
      </c>
      <c r="O150" s="756"/>
      <c r="P150" s="756"/>
      <c r="Q150" s="756"/>
      <c r="R150" s="756"/>
      <c r="S150" s="756"/>
      <c r="T150" s="756"/>
      <c r="U150" s="756"/>
      <c r="V150" s="141" t="str">
        <f t="shared" si="47"/>
        <v>kWh Annual Savings</v>
      </c>
      <c r="W150" s="206">
        <v>2162.4196942393751</v>
      </c>
      <c r="X150" s="372">
        <v>2162.4196942393751</v>
      </c>
      <c r="Y150" s="734">
        <v>1.96</v>
      </c>
      <c r="Z150" s="731">
        <v>1.96</v>
      </c>
      <c r="AA150" s="731">
        <v>1.96</v>
      </c>
      <c r="AB150" s="731">
        <v>1.96</v>
      </c>
      <c r="AC150" s="731">
        <v>1.96</v>
      </c>
      <c r="AD150" s="731">
        <v>1.96</v>
      </c>
      <c r="AE150" s="141"/>
      <c r="AF150" s="141"/>
      <c r="AG150" s="141"/>
      <c r="AK150" s="732"/>
      <c r="BB150" s="40">
        <f t="shared" si="41"/>
        <v>1.0886569510110276</v>
      </c>
      <c r="BC150" s="1580" t="str">
        <f t="shared" si="48"/>
        <v>Building Shell RES 25 Year EUL</v>
      </c>
      <c r="BD150" s="98">
        <f>(INDEX('Avoided Cost Benefits'!$E$4:$E$859,MATCH(BC150,'Avoided Cost Benefits'!$A$4:$A$859,0)))*F150</f>
        <v>2.6394431370527478</v>
      </c>
      <c r="BE150" s="1581">
        <f t="shared" si="49"/>
        <v>2.424494818686012</v>
      </c>
    </row>
    <row r="151" spans="1:57" s="741" customFormat="1" x14ac:dyDescent="0.35">
      <c r="A151" s="756"/>
      <c r="B151" s="1328"/>
      <c r="C151" s="831" t="s">
        <v>1603</v>
      </c>
      <c r="D151" s="1279" t="s">
        <v>1517</v>
      </c>
      <c r="E151" s="374" t="s">
        <v>4283</v>
      </c>
      <c r="F151" s="561">
        <f t="shared" si="39"/>
        <v>1.22</v>
      </c>
      <c r="G151" s="395" t="s">
        <v>1558</v>
      </c>
      <c r="H151" s="136">
        <f>VLOOKUP(G151,'CP FACTORS'!$A$3:$B$38, 2, FALSE)</f>
        <v>4.6608050000000002E-4</v>
      </c>
      <c r="I151" s="820">
        <f t="shared" si="42"/>
        <v>1.0146753971988796</v>
      </c>
      <c r="J151" s="1231">
        <f t="shared" si="40"/>
        <v>0.20410400000000001</v>
      </c>
      <c r="K151" s="742">
        <f t="shared" si="43"/>
        <v>5.6899999999999995E-4</v>
      </c>
      <c r="L151" s="820">
        <f t="shared" si="44"/>
        <v>25</v>
      </c>
      <c r="M151" s="1845">
        <f t="shared" si="45"/>
        <v>2.5687522603978299</v>
      </c>
      <c r="N151" s="820">
        <f t="shared" si="46"/>
        <v>1</v>
      </c>
      <c r="O151" s="756"/>
      <c r="P151" s="756"/>
      <c r="Q151" s="756"/>
      <c r="R151" s="756"/>
      <c r="S151" s="756"/>
      <c r="T151" s="756"/>
      <c r="U151" s="756"/>
      <c r="V151" s="141" t="str">
        <f t="shared" si="47"/>
        <v>kWh Annual Savings</v>
      </c>
      <c r="W151" s="206">
        <v>1347.9700133019608</v>
      </c>
      <c r="X151" s="372">
        <v>1347.9700133019608</v>
      </c>
      <c r="Y151" s="734">
        <v>1.22</v>
      </c>
      <c r="Z151" s="731">
        <v>1.22</v>
      </c>
      <c r="AA151" s="731">
        <v>1.22</v>
      </c>
      <c r="AB151" s="731">
        <v>1.22</v>
      </c>
      <c r="AC151" s="731">
        <v>1.22</v>
      </c>
      <c r="AD151" s="731">
        <v>1.22</v>
      </c>
      <c r="AE151" s="141"/>
      <c r="AF151" s="141"/>
      <c r="AG151" s="141"/>
      <c r="AK151" s="732"/>
      <c r="BB151" s="40">
        <f t="shared" si="41"/>
        <v>0.67763340828237417</v>
      </c>
      <c r="BC151" s="1580" t="str">
        <f t="shared" si="48"/>
        <v>Building Shell RES 25 Year EUL</v>
      </c>
      <c r="BD151" s="98">
        <f>(INDEX('Avoided Cost Benefits'!$E$4:$E$859,MATCH(BC151,'Avoided Cost Benefits'!$A$4:$A$859,0)))*F151</f>
        <v>1.6429186873491592</v>
      </c>
      <c r="BE151" s="1581">
        <f t="shared" si="49"/>
        <v>2.424494818686012</v>
      </c>
    </row>
    <row r="152" spans="1:57" s="741" customFormat="1" x14ac:dyDescent="0.35">
      <c r="A152" s="756"/>
      <c r="B152" s="1328"/>
      <c r="C152" s="831" t="s">
        <v>1604</v>
      </c>
      <c r="D152" s="1279" t="s">
        <v>1517</v>
      </c>
      <c r="E152" s="368" t="s">
        <v>4284</v>
      </c>
      <c r="F152" s="561">
        <f t="shared" si="39"/>
        <v>0.26</v>
      </c>
      <c r="G152" s="395" t="s">
        <v>1558</v>
      </c>
      <c r="H152" s="136">
        <f>VLOOKUP(G152,'CP FACTORS'!$A$3:$B$38, 2, FALSE)</f>
        <v>4.6608050000000002E-4</v>
      </c>
      <c r="I152" s="820">
        <f t="shared" si="42"/>
        <v>7.8231744656886398E-2</v>
      </c>
      <c r="J152" s="1231">
        <f t="shared" si="40"/>
        <v>0.18573464000000001</v>
      </c>
      <c r="K152" s="742">
        <f t="shared" si="43"/>
        <v>1.21E-4</v>
      </c>
      <c r="L152" s="820">
        <f t="shared" si="44"/>
        <v>25</v>
      </c>
      <c r="M152" s="1845">
        <f t="shared" si="45"/>
        <v>2.5687522603978299</v>
      </c>
      <c r="N152" s="820">
        <f t="shared" si="46"/>
        <v>1</v>
      </c>
      <c r="O152" s="756"/>
      <c r="P152" s="756"/>
      <c r="Q152" s="756"/>
      <c r="R152" s="756"/>
      <c r="S152" s="756"/>
      <c r="T152" s="756"/>
      <c r="U152" s="756"/>
      <c r="V152" s="141" t="str">
        <f t="shared" si="47"/>
        <v>kWh Annual Savings</v>
      </c>
      <c r="W152" s="206">
        <v>291.94682143051637</v>
      </c>
      <c r="X152" s="372">
        <v>291.94682143051637</v>
      </c>
      <c r="Y152" s="734">
        <v>0.26</v>
      </c>
      <c r="Z152" s="731">
        <v>0.26</v>
      </c>
      <c r="AA152" s="731">
        <v>0.26</v>
      </c>
      <c r="AB152" s="731">
        <v>0.26</v>
      </c>
      <c r="AC152" s="731">
        <v>0.26</v>
      </c>
      <c r="AD152" s="731">
        <v>0.26</v>
      </c>
      <c r="AE152" s="141"/>
      <c r="AF152" s="141"/>
      <c r="AG152" s="141"/>
      <c r="AK152" s="732"/>
      <c r="BB152" s="40">
        <f t="shared" si="41"/>
        <v>0.14441367717493223</v>
      </c>
      <c r="BC152" s="1580" t="str">
        <f t="shared" si="48"/>
        <v>Building Shell RES 25 Year EUL</v>
      </c>
      <c r="BD152" s="98">
        <f>(INDEX('Avoided Cost Benefits'!$E$4:$E$859,MATCH(BC152,'Avoided Cost Benefits'!$A$4:$A$859,0)))*F152</f>
        <v>0.35013021205801759</v>
      </c>
      <c r="BE152" s="1581">
        <f t="shared" si="49"/>
        <v>2.424494818686012</v>
      </c>
    </row>
    <row r="153" spans="1:57" s="741" customFormat="1" x14ac:dyDescent="0.35">
      <c r="A153" s="756"/>
      <c r="B153" s="1328"/>
      <c r="C153" s="831" t="s">
        <v>1605</v>
      </c>
      <c r="D153" s="1279" t="s">
        <v>1518</v>
      </c>
      <c r="E153" s="368" t="s">
        <v>4285</v>
      </c>
      <c r="F153" s="561">
        <f t="shared" si="39"/>
        <v>2.0299999999999998</v>
      </c>
      <c r="G153" s="395" t="s">
        <v>1558</v>
      </c>
      <c r="H153" s="136">
        <f>VLOOKUP(G153,'CP FACTORS'!$A$3:$B$38, 2, FALSE)</f>
        <v>4.6608050000000002E-4</v>
      </c>
      <c r="I153" s="820">
        <f t="shared" si="42"/>
        <v>1.8374921381549281</v>
      </c>
      <c r="J153" s="1231">
        <f t="shared" si="40"/>
        <v>0.19287827999999999</v>
      </c>
      <c r="K153" s="742">
        <f t="shared" si="43"/>
        <v>9.4600000000000001E-4</v>
      </c>
      <c r="L153" s="820">
        <f t="shared" si="44"/>
        <v>25</v>
      </c>
      <c r="M153" s="1845">
        <f t="shared" si="45"/>
        <v>3.424301015440256</v>
      </c>
      <c r="N153" s="820">
        <f t="shared" si="46"/>
        <v>1</v>
      </c>
      <c r="O153" s="756"/>
      <c r="P153" s="756"/>
      <c r="Q153" s="756"/>
      <c r="R153" s="756"/>
      <c r="S153" s="756"/>
      <c r="T153" s="756"/>
      <c r="U153" s="756"/>
      <c r="V153" s="141" t="str">
        <f t="shared" si="47"/>
        <v>kWh Annual Savings</v>
      </c>
      <c r="W153" s="206">
        <v>1459.6332936115778</v>
      </c>
      <c r="X153" s="372">
        <v>1459.6332936115778</v>
      </c>
      <c r="Y153" s="734">
        <v>2.0299999999999998</v>
      </c>
      <c r="Z153" s="731">
        <v>2.0299999999999998</v>
      </c>
      <c r="AA153" s="731">
        <v>2.0299999999999998</v>
      </c>
      <c r="AB153" s="731">
        <v>2.0299999999999998</v>
      </c>
      <c r="AC153" s="731">
        <v>2.0299999999999998</v>
      </c>
      <c r="AD153" s="731">
        <v>2.0299999999999998</v>
      </c>
      <c r="AE153" s="141"/>
      <c r="AF153" s="141"/>
      <c r="AG153" s="141"/>
      <c r="AK153" s="732"/>
      <c r="BB153" s="40">
        <f t="shared" si="41"/>
        <v>0.84582653033046962</v>
      </c>
      <c r="BC153" s="1580" t="str">
        <f t="shared" si="48"/>
        <v>Building Shell RES 25 Year EUL</v>
      </c>
      <c r="BD153" s="98">
        <f>(INDEX('Avoided Cost Benefits'!$E$4:$E$859,MATCH(BC153,'Avoided Cost Benefits'!$A$4:$A$859,0)))*F153</f>
        <v>2.7337089633760598</v>
      </c>
      <c r="BE153" s="1581">
        <f t="shared" si="49"/>
        <v>3.2319971830488492</v>
      </c>
    </row>
    <row r="154" spans="1:57" s="741" customFormat="1" x14ac:dyDescent="0.35">
      <c r="A154" s="756"/>
      <c r="B154" s="1328"/>
      <c r="C154" s="831" t="s">
        <v>1606</v>
      </c>
      <c r="D154" s="1279" t="s">
        <v>1518</v>
      </c>
      <c r="E154" s="368" t="s">
        <v>4286</v>
      </c>
      <c r="F154" s="561">
        <f t="shared" si="39"/>
        <v>1.27</v>
      </c>
      <c r="G154" s="395" t="s">
        <v>1558</v>
      </c>
      <c r="H154" s="136">
        <f>VLOOKUP(G154,'CP FACTORS'!$A$3:$B$38, 2, FALSE)</f>
        <v>4.6608050000000002E-4</v>
      </c>
      <c r="I154" s="820">
        <f t="shared" si="42"/>
        <v>1.0537013740142209</v>
      </c>
      <c r="J154" s="1231">
        <f t="shared" si="40"/>
        <v>0.21195415384615382</v>
      </c>
      <c r="K154" s="742">
        <f t="shared" si="43"/>
        <v>5.9199999999999997E-4</v>
      </c>
      <c r="L154" s="820">
        <f t="shared" si="44"/>
        <v>25</v>
      </c>
      <c r="M154" s="1845">
        <f t="shared" si="45"/>
        <v>3.424301015440256</v>
      </c>
      <c r="N154" s="820">
        <f t="shared" si="46"/>
        <v>1</v>
      </c>
      <c r="O154" s="756"/>
      <c r="P154" s="756"/>
      <c r="Q154" s="756"/>
      <c r="R154" s="756"/>
      <c r="S154" s="756"/>
      <c r="T154" s="756"/>
      <c r="U154" s="756"/>
      <c r="V154" s="141" t="str">
        <f t="shared" si="47"/>
        <v>kWh Annual Savings</v>
      </c>
      <c r="W154" s="206">
        <v>909.87975897882347</v>
      </c>
      <c r="X154" s="372">
        <v>909.87975897882347</v>
      </c>
      <c r="Y154" s="734">
        <v>1.27</v>
      </c>
      <c r="Z154" s="731">
        <v>1.27</v>
      </c>
      <c r="AA154" s="731">
        <v>1.27</v>
      </c>
      <c r="AB154" s="731">
        <v>1.27</v>
      </c>
      <c r="AC154" s="731">
        <v>1.27</v>
      </c>
      <c r="AD154" s="731">
        <v>1.27</v>
      </c>
      <c r="AE154" s="141"/>
      <c r="AF154" s="141"/>
      <c r="AG154" s="141"/>
      <c r="AK154" s="732"/>
      <c r="BB154" s="40">
        <f t="shared" si="41"/>
        <v>0.5291624106008358</v>
      </c>
      <c r="BC154" s="1580" t="str">
        <f t="shared" si="48"/>
        <v>Building Shell RES 25 Year EUL</v>
      </c>
      <c r="BD154" s="98">
        <f>(INDEX('Avoided Cost Benefits'!$E$4:$E$859,MATCH(BC154,'Avoided Cost Benefits'!$A$4:$A$859,0)))*F154</f>
        <v>1.7102514204372397</v>
      </c>
      <c r="BE154" s="1581">
        <f t="shared" si="49"/>
        <v>3.2319971830488492</v>
      </c>
    </row>
    <row r="155" spans="1:57" s="741" customFormat="1" x14ac:dyDescent="0.35">
      <c r="A155" s="756"/>
      <c r="B155" s="1328"/>
      <c r="C155" s="831" t="s">
        <v>1607</v>
      </c>
      <c r="D155" s="1279" t="s">
        <v>1518</v>
      </c>
      <c r="E155" s="374" t="s">
        <v>4287</v>
      </c>
      <c r="F155" s="561">
        <f t="shared" si="39"/>
        <v>0.27</v>
      </c>
      <c r="G155" s="395" t="s">
        <v>1558</v>
      </c>
      <c r="H155" s="136">
        <f>VLOOKUP(G155,'CP FACTORS'!$A$3:$B$38, 2, FALSE)</f>
        <v>4.6608050000000002E-4</v>
      </c>
      <c r="I155" s="820">
        <f t="shared" si="42"/>
        <v>8.1240657912920455E-2</v>
      </c>
      <c r="J155" s="1231">
        <f t="shared" si="40"/>
        <v>0.19287827999999999</v>
      </c>
      <c r="K155" s="742">
        <f t="shared" si="43"/>
        <v>1.26E-4</v>
      </c>
      <c r="L155" s="820">
        <f t="shared" si="44"/>
        <v>25</v>
      </c>
      <c r="M155" s="1845">
        <f t="shared" si="45"/>
        <v>3.424301015440256</v>
      </c>
      <c r="N155" s="820">
        <f t="shared" si="46"/>
        <v>1</v>
      </c>
      <c r="O155" s="756"/>
      <c r="P155" s="756"/>
      <c r="Q155" s="756"/>
      <c r="R155" s="756"/>
      <c r="S155" s="756"/>
      <c r="T155" s="756"/>
      <c r="U155" s="756"/>
      <c r="V155" s="141" t="str">
        <f t="shared" si="47"/>
        <v>kWh Annual Savings</v>
      </c>
      <c r="W155" s="206">
        <v>197.06410446559852</v>
      </c>
      <c r="X155" s="372">
        <v>197.06410446559852</v>
      </c>
      <c r="Y155" s="734">
        <v>0.27</v>
      </c>
      <c r="Z155" s="731">
        <v>0.27</v>
      </c>
      <c r="AA155" s="731">
        <v>0.27</v>
      </c>
      <c r="AB155" s="731">
        <v>0.27</v>
      </c>
      <c r="AC155" s="731">
        <v>0.27</v>
      </c>
      <c r="AD155" s="731">
        <v>0.27</v>
      </c>
      <c r="AE155" s="141"/>
      <c r="AF155" s="141"/>
      <c r="AG155" s="141"/>
      <c r="AK155" s="732"/>
      <c r="BB155" s="40">
        <f t="shared" si="41"/>
        <v>0.11249909516710681</v>
      </c>
      <c r="BC155" s="1580" t="str">
        <f t="shared" si="48"/>
        <v>Building Shell RES 25 Year EUL</v>
      </c>
      <c r="BD155" s="98">
        <f>(INDEX('Avoided Cost Benefits'!$E$4:$E$859,MATCH(BC155,'Avoided Cost Benefits'!$A$4:$A$859,0)))*F155</f>
        <v>0.36359675867563362</v>
      </c>
      <c r="BE155" s="1581">
        <f t="shared" si="49"/>
        <v>3.2319971830488492</v>
      </c>
    </row>
    <row r="156" spans="1:57" s="741" customFormat="1" x14ac:dyDescent="0.35">
      <c r="A156" s="756"/>
      <c r="B156" s="1328"/>
      <c r="C156" s="831" t="s">
        <v>1608</v>
      </c>
      <c r="D156" s="1279" t="s">
        <v>1517</v>
      </c>
      <c r="E156" s="368" t="s">
        <v>4288</v>
      </c>
      <c r="F156" s="561">
        <f t="shared" si="39"/>
        <v>2.0299999999999998</v>
      </c>
      <c r="G156" s="395" t="s">
        <v>1558</v>
      </c>
      <c r="H156" s="136">
        <f>VLOOKUP(G156,'CP FACTORS'!$A$3:$B$38, 2, FALSE)</f>
        <v>4.6608050000000002E-4</v>
      </c>
      <c r="I156" s="820">
        <f t="shared" si="42"/>
        <v>1.8374921381549281</v>
      </c>
      <c r="J156" s="1231">
        <f t="shared" si="40"/>
        <v>0.19287827999999999</v>
      </c>
      <c r="K156" s="742">
        <f t="shared" si="43"/>
        <v>9.4600000000000001E-4</v>
      </c>
      <c r="L156" s="820">
        <f t="shared" si="44"/>
        <v>25</v>
      </c>
      <c r="M156" s="1845">
        <f t="shared" si="45"/>
        <v>3.4243037974683546</v>
      </c>
      <c r="N156" s="820">
        <f t="shared" si="46"/>
        <v>1</v>
      </c>
      <c r="O156" s="756"/>
      <c r="P156" s="756"/>
      <c r="Q156" s="756"/>
      <c r="R156" s="756"/>
      <c r="S156" s="756"/>
      <c r="T156" s="756"/>
      <c r="U156" s="756"/>
      <c r="V156" s="141" t="str">
        <f t="shared" si="47"/>
        <v>kWh Annual Savings</v>
      </c>
      <c r="W156" s="206">
        <v>2245.5896824793513</v>
      </c>
      <c r="X156" s="372">
        <v>2245.5896824793513</v>
      </c>
      <c r="Y156" s="734">
        <v>2.0299999999999998</v>
      </c>
      <c r="Z156" s="731">
        <v>2.0299999999999998</v>
      </c>
      <c r="AA156" s="731">
        <v>2.0299999999999998</v>
      </c>
      <c r="AB156" s="731">
        <v>2.0299999999999998</v>
      </c>
      <c r="AC156" s="731">
        <v>2.0299999999999998</v>
      </c>
      <c r="AD156" s="731">
        <v>2.0299999999999998</v>
      </c>
      <c r="AE156" s="141"/>
      <c r="AF156" s="141"/>
      <c r="AG156" s="141"/>
      <c r="AK156" s="732"/>
      <c r="BB156" s="40">
        <f t="shared" si="41"/>
        <v>0.84582584315044329</v>
      </c>
      <c r="BC156" s="1580" t="str">
        <f t="shared" si="48"/>
        <v>Building Shell RES 25 Year EUL</v>
      </c>
      <c r="BD156" s="98">
        <f>(INDEX('Avoided Cost Benefits'!$E$4:$E$859,MATCH(BC156,'Avoided Cost Benefits'!$A$4:$A$859,0)))*F156</f>
        <v>2.7337089633760598</v>
      </c>
      <c r="BE156" s="1581">
        <f t="shared" si="49"/>
        <v>3.2319998088422408</v>
      </c>
    </row>
    <row r="157" spans="1:57" s="741" customFormat="1" x14ac:dyDescent="0.35">
      <c r="A157" s="756"/>
      <c r="B157" s="1328"/>
      <c r="C157" s="831" t="s">
        <v>1609</v>
      </c>
      <c r="D157" s="1279" t="s">
        <v>1517</v>
      </c>
      <c r="E157" s="374" t="s">
        <v>4289</v>
      </c>
      <c r="F157" s="561">
        <f t="shared" si="39"/>
        <v>1.27</v>
      </c>
      <c r="G157" s="395" t="s">
        <v>1558</v>
      </c>
      <c r="H157" s="136">
        <f>VLOOKUP(G157,'CP FACTORS'!$A$3:$B$38, 2, FALSE)</f>
        <v>4.6608050000000002E-4</v>
      </c>
      <c r="I157" s="820">
        <f t="shared" si="42"/>
        <v>1.0537013740142209</v>
      </c>
      <c r="J157" s="1231">
        <f t="shared" si="40"/>
        <v>0.21195415384615382</v>
      </c>
      <c r="K157" s="742">
        <f t="shared" si="43"/>
        <v>5.9199999999999997E-4</v>
      </c>
      <c r="L157" s="820">
        <f t="shared" si="44"/>
        <v>25</v>
      </c>
      <c r="M157" s="1845">
        <f t="shared" si="45"/>
        <v>3.4243037974683546</v>
      </c>
      <c r="N157" s="820">
        <f t="shared" si="46"/>
        <v>1</v>
      </c>
      <c r="O157" s="756"/>
      <c r="P157" s="756"/>
      <c r="Q157" s="756"/>
      <c r="R157" s="756"/>
      <c r="S157" s="756"/>
      <c r="T157" s="756"/>
      <c r="U157" s="756"/>
      <c r="V157" s="141" t="str">
        <f t="shared" si="47"/>
        <v>kWh Annual Savings</v>
      </c>
      <c r="W157" s="206">
        <v>1399.815013813575</v>
      </c>
      <c r="X157" s="372">
        <v>1399.815013813575</v>
      </c>
      <c r="Y157" s="734">
        <v>1.27</v>
      </c>
      <c r="Z157" s="731">
        <v>1.27</v>
      </c>
      <c r="AA157" s="731">
        <v>1.27</v>
      </c>
      <c r="AB157" s="731">
        <v>1.27</v>
      </c>
      <c r="AC157" s="731">
        <v>1.27</v>
      </c>
      <c r="AD157" s="731">
        <v>1.27</v>
      </c>
      <c r="AE157" s="141"/>
      <c r="AF157" s="141"/>
      <c r="AG157" s="141"/>
      <c r="AK157" s="732"/>
      <c r="BB157" s="40">
        <f t="shared" si="41"/>
        <v>0.52916198069017883</v>
      </c>
      <c r="BC157" s="1580" t="str">
        <f t="shared" si="48"/>
        <v>Building Shell RES 25 Year EUL</v>
      </c>
      <c r="BD157" s="98">
        <f>(INDEX('Avoided Cost Benefits'!$E$4:$E$859,MATCH(BC157,'Avoided Cost Benefits'!$A$4:$A$859,0)))*F157</f>
        <v>1.7102514204372397</v>
      </c>
      <c r="BE157" s="1581">
        <f t="shared" si="49"/>
        <v>3.2319998088422408</v>
      </c>
    </row>
    <row r="158" spans="1:57" s="741" customFormat="1" x14ac:dyDescent="0.35">
      <c r="A158" s="756"/>
      <c r="B158" s="1328"/>
      <c r="C158" s="831" t="s">
        <v>1610</v>
      </c>
      <c r="D158" s="1279" t="s">
        <v>1517</v>
      </c>
      <c r="E158" s="368" t="s">
        <v>4290</v>
      </c>
      <c r="F158" s="561">
        <f t="shared" si="39"/>
        <v>0.27</v>
      </c>
      <c r="G158" s="395" t="s">
        <v>1558</v>
      </c>
      <c r="H158" s="136">
        <f>VLOOKUP(G158,'CP FACTORS'!$A$3:$B$38, 2, FALSE)</f>
        <v>4.6608050000000002E-4</v>
      </c>
      <c r="I158" s="820">
        <f t="shared" si="42"/>
        <v>8.1240657912920455E-2</v>
      </c>
      <c r="J158" s="1231">
        <f t="shared" si="40"/>
        <v>0.19287827999999999</v>
      </c>
      <c r="K158" s="742">
        <f t="shared" si="43"/>
        <v>1.26E-4</v>
      </c>
      <c r="L158" s="820">
        <f t="shared" si="44"/>
        <v>25</v>
      </c>
      <c r="M158" s="1845">
        <f t="shared" si="45"/>
        <v>3.4243037974683546</v>
      </c>
      <c r="N158" s="820">
        <f t="shared" si="46"/>
        <v>1</v>
      </c>
      <c r="O158" s="756"/>
      <c r="P158" s="756"/>
      <c r="Q158" s="756"/>
      <c r="R158" s="756"/>
      <c r="S158" s="756"/>
      <c r="T158" s="756"/>
      <c r="U158" s="756"/>
      <c r="V158" s="141" t="str">
        <f t="shared" si="47"/>
        <v>kWh Annual Savings</v>
      </c>
      <c r="W158" s="206">
        <v>303.1755453316901</v>
      </c>
      <c r="X158" s="372">
        <v>303.1755453316901</v>
      </c>
      <c r="Y158" s="734">
        <v>0.27</v>
      </c>
      <c r="Z158" s="731">
        <v>0.27</v>
      </c>
      <c r="AA158" s="731">
        <v>0.27</v>
      </c>
      <c r="AB158" s="731">
        <v>0.27</v>
      </c>
      <c r="AC158" s="731">
        <v>0.27</v>
      </c>
      <c r="AD158" s="731">
        <v>0.27</v>
      </c>
      <c r="AE158" s="141"/>
      <c r="AF158" s="141"/>
      <c r="AG158" s="141"/>
      <c r="AK158" s="732"/>
      <c r="BB158" s="41">
        <f t="shared" si="41"/>
        <v>0.11249900376877818</v>
      </c>
      <c r="BC158" s="1580" t="str">
        <f t="shared" si="48"/>
        <v>Building Shell RES 25 Year EUL</v>
      </c>
      <c r="BD158" s="102">
        <f>(INDEX('Avoided Cost Benefits'!$E$4:$E$859,MATCH(BC158,'Avoided Cost Benefits'!$A$4:$A$859,0)))*F158</f>
        <v>0.36359675867563362</v>
      </c>
      <c r="BE158" s="1582">
        <f t="shared" si="49"/>
        <v>3.2319998088422408</v>
      </c>
    </row>
    <row r="159" spans="1:57" s="741" customFormat="1" x14ac:dyDescent="0.35">
      <c r="A159" s="756"/>
      <c r="B159" s="1345"/>
      <c r="C159" s="1074"/>
      <c r="D159" s="1346"/>
      <c r="E159" s="1346"/>
      <c r="F159" s="1347"/>
      <c r="G159" s="1074"/>
      <c r="H159" s="1348"/>
      <c r="I159" s="1349"/>
      <c r="J159" s="1350"/>
      <c r="K159" s="1075"/>
      <c r="L159" s="1351"/>
      <c r="M159" s="1352"/>
      <c r="N159" s="1353"/>
      <c r="O159" s="756"/>
      <c r="P159" s="756"/>
      <c r="Q159" s="756"/>
      <c r="R159" s="756"/>
      <c r="S159" s="756"/>
      <c r="T159" s="756"/>
      <c r="U159" s="756"/>
      <c r="V159" s="1076"/>
      <c r="W159" s="1077"/>
      <c r="X159" s="1078"/>
      <c r="Y159" s="1079"/>
      <c r="Z159" s="1076"/>
      <c r="AA159" s="1076"/>
      <c r="AB159" s="1076"/>
      <c r="AC159" s="1076"/>
      <c r="AD159" s="1076"/>
      <c r="AE159" s="1076"/>
      <c r="AF159" s="1076"/>
      <c r="AG159" s="1076"/>
      <c r="AK159" s="732"/>
      <c r="BB159" s="752"/>
    </row>
    <row r="160" spans="1:57" s="741" customFormat="1" hidden="1" outlineLevel="1" x14ac:dyDescent="0.35">
      <c r="A160" s="756"/>
      <c r="B160" s="1354"/>
      <c r="C160" s="753"/>
      <c r="D160" s="375"/>
      <c r="E160" s="375"/>
      <c r="F160" s="1241"/>
      <c r="G160" s="756"/>
      <c r="H160" s="756"/>
      <c r="I160" s="756"/>
      <c r="J160" s="756"/>
      <c r="K160" s="756"/>
      <c r="L160" s="756"/>
      <c r="M160" s="756"/>
      <c r="N160" s="756"/>
      <c r="O160" s="756"/>
      <c r="P160" s="756"/>
      <c r="Q160" s="756"/>
      <c r="R160" s="756"/>
      <c r="S160" s="756"/>
      <c r="T160" s="756"/>
      <c r="U160" s="756"/>
      <c r="Y160" s="790" t="s">
        <v>1578</v>
      </c>
      <c r="AK160" s="732"/>
      <c r="BB160" s="752"/>
    </row>
    <row r="161" spans="1:54" s="741" customFormat="1" hidden="1" outlineLevel="1" x14ac:dyDescent="0.35">
      <c r="A161" s="756"/>
      <c r="B161" s="1328"/>
      <c r="C161" s="753"/>
      <c r="D161" s="375" t="s">
        <v>107</v>
      </c>
      <c r="E161" s="375"/>
      <c r="F161" s="1241"/>
      <c r="G161" s="756"/>
      <c r="H161" s="756"/>
      <c r="I161" s="756"/>
      <c r="J161" s="756"/>
      <c r="K161" s="756"/>
      <c r="L161" s="756"/>
      <c r="M161" s="756"/>
      <c r="N161" s="756"/>
      <c r="O161" s="756"/>
      <c r="P161" s="756"/>
      <c r="Q161" s="756"/>
      <c r="R161" s="756"/>
      <c r="S161" s="756"/>
      <c r="T161" s="756"/>
      <c r="U161" s="756"/>
      <c r="Y161" s="757"/>
      <c r="AK161" s="732"/>
      <c r="BB161" s="752"/>
    </row>
    <row r="162" spans="1:54" s="741" customFormat="1" hidden="1" outlineLevel="1" x14ac:dyDescent="0.35">
      <c r="A162" s="756"/>
      <c r="B162" s="1328"/>
      <c r="C162" s="753"/>
      <c r="D162" s="375"/>
      <c r="E162" s="375"/>
      <c r="F162" s="1241"/>
      <c r="G162" s="756"/>
      <c r="H162" s="756"/>
      <c r="I162" s="756"/>
      <c r="J162" s="756"/>
      <c r="K162" s="756"/>
      <c r="L162" s="756"/>
      <c r="M162" s="756"/>
      <c r="N162" s="756"/>
      <c r="O162" s="756"/>
      <c r="P162" s="756"/>
      <c r="Q162" s="756"/>
      <c r="R162" s="756"/>
      <c r="S162" s="756"/>
      <c r="T162" s="756"/>
      <c r="U162" s="756"/>
      <c r="Y162" s="757"/>
      <c r="AK162" s="732"/>
      <c r="BB162" s="752"/>
    </row>
    <row r="163" spans="1:54" s="741" customFormat="1" hidden="1" outlineLevel="1" x14ac:dyDescent="0.35">
      <c r="A163" s="756"/>
      <c r="B163" s="1328"/>
      <c r="C163" s="753"/>
      <c r="D163" s="375"/>
      <c r="E163" s="375"/>
      <c r="F163" s="1241"/>
      <c r="G163" s="756"/>
      <c r="H163" s="756"/>
      <c r="I163" s="756"/>
      <c r="J163" s="756"/>
      <c r="K163" s="756"/>
      <c r="L163" s="756"/>
      <c r="M163" s="756"/>
      <c r="N163" s="756"/>
      <c r="O163" s="756"/>
      <c r="P163" s="756"/>
      <c r="Q163" s="756"/>
      <c r="R163" s="756"/>
      <c r="S163" s="756"/>
      <c r="T163" s="756"/>
      <c r="U163" s="756"/>
      <c r="Y163" s="757"/>
      <c r="AK163" s="732"/>
      <c r="BB163" s="752"/>
    </row>
    <row r="164" spans="1:54" s="741" customFormat="1" ht="18.649999999999999" hidden="1" customHeight="1" outlineLevel="1" x14ac:dyDescent="0.35">
      <c r="A164" s="756"/>
      <c r="B164" s="1328"/>
      <c r="C164" s="758"/>
      <c r="D164" s="4291"/>
      <c r="E164" s="4291"/>
      <c r="F164" s="4291"/>
      <c r="G164" s="4291"/>
      <c r="H164" s="4291"/>
      <c r="I164" s="4291"/>
      <c r="J164" s="4291"/>
      <c r="K164" s="4291"/>
      <c r="L164" s="4291"/>
      <c r="M164" s="756"/>
      <c r="N164" s="756"/>
      <c r="O164" s="756"/>
      <c r="P164" s="756"/>
      <c r="Q164" s="756"/>
      <c r="R164" s="756"/>
      <c r="S164" s="756"/>
      <c r="T164" s="756"/>
      <c r="U164" s="756"/>
      <c r="Y164" s="757"/>
      <c r="AK164" s="732"/>
      <c r="BB164" s="752"/>
    </row>
    <row r="165" spans="1:54" s="741" customFormat="1" ht="161.25" hidden="1" customHeight="1" outlineLevel="1" x14ac:dyDescent="0.35">
      <c r="A165" s="756"/>
      <c r="B165" s="1328"/>
      <c r="C165" s="759"/>
      <c r="D165" s="4291"/>
      <c r="E165" s="4291"/>
      <c r="F165" s="4291"/>
      <c r="G165" s="4291"/>
      <c r="H165" s="4291"/>
      <c r="I165" s="4291"/>
      <c r="J165" s="4291"/>
      <c r="K165" s="4291"/>
      <c r="L165" s="4291"/>
      <c r="M165" s="756"/>
      <c r="N165" s="756"/>
      <c r="O165" s="756"/>
      <c r="P165" s="756"/>
      <c r="Q165" s="756"/>
      <c r="R165" s="756"/>
      <c r="S165" s="756"/>
      <c r="T165" s="756"/>
      <c r="U165" s="756"/>
      <c r="Y165" s="757"/>
      <c r="AK165" s="732"/>
      <c r="BB165" s="752"/>
    </row>
    <row r="166" spans="1:54" s="741" customFormat="1" hidden="1" outlineLevel="1" x14ac:dyDescent="0.35">
      <c r="A166" s="756"/>
      <c r="B166" s="1328"/>
      <c r="C166" s="759"/>
      <c r="D166" s="4291"/>
      <c r="E166" s="4291"/>
      <c r="F166" s="4291"/>
      <c r="G166" s="4291"/>
      <c r="H166" s="4291"/>
      <c r="I166" s="4291"/>
      <c r="J166" s="4291"/>
      <c r="K166" s="4291"/>
      <c r="L166" s="4291"/>
      <c r="M166" s="756"/>
      <c r="N166" s="756"/>
      <c r="O166" s="756"/>
      <c r="P166" s="756"/>
      <c r="Q166" s="756"/>
      <c r="R166" s="756"/>
      <c r="S166" s="756"/>
      <c r="T166" s="756"/>
      <c r="U166" s="756"/>
      <c r="Y166" s="757"/>
      <c r="AK166" s="732"/>
      <c r="BB166" s="752"/>
    </row>
    <row r="167" spans="1:54" s="741" customFormat="1" ht="15" hidden="1" customHeight="1" outlineLevel="1" x14ac:dyDescent="0.35">
      <c r="A167" s="756"/>
      <c r="B167" s="1328"/>
      <c r="C167" s="760"/>
      <c r="D167" s="4291"/>
      <c r="E167" s="4291"/>
      <c r="F167" s="4291"/>
      <c r="G167" s="4291"/>
      <c r="H167" s="4291"/>
      <c r="I167" s="4291"/>
      <c r="J167" s="4291"/>
      <c r="K167" s="4291"/>
      <c r="L167" s="4291"/>
      <c r="M167" s="756"/>
      <c r="N167" s="756"/>
      <c r="O167" s="756"/>
      <c r="P167" s="756"/>
      <c r="Q167" s="756"/>
      <c r="R167" s="756"/>
      <c r="S167" s="756"/>
      <c r="T167" s="756"/>
      <c r="U167" s="756"/>
      <c r="Y167" s="757"/>
      <c r="AK167" s="732"/>
      <c r="BB167" s="752"/>
    </row>
    <row r="168" spans="1:54" s="741" customFormat="1" hidden="1" outlineLevel="1" x14ac:dyDescent="0.35">
      <c r="A168" s="756"/>
      <c r="B168" s="1328"/>
      <c r="C168" s="753"/>
      <c r="D168" s="375"/>
      <c r="E168" s="375"/>
      <c r="F168" s="756"/>
      <c r="G168" s="756"/>
      <c r="H168" s="756"/>
      <c r="I168" s="756"/>
      <c r="J168" s="756"/>
      <c r="K168" s="756"/>
      <c r="L168" s="756"/>
      <c r="M168" s="756"/>
      <c r="N168" s="756"/>
      <c r="O168" s="756"/>
      <c r="P168" s="756"/>
      <c r="Q168" s="756"/>
      <c r="R168" s="756"/>
      <c r="S168" s="756"/>
      <c r="T168" s="756"/>
      <c r="U168" s="756"/>
      <c r="Y168" s="757"/>
      <c r="AK168" s="732"/>
      <c r="BB168" s="752"/>
    </row>
    <row r="169" spans="1:54" s="741" customFormat="1" hidden="1" outlineLevel="1" x14ac:dyDescent="0.35">
      <c r="A169" s="756"/>
      <c r="B169" s="1328"/>
      <c r="C169" s="753"/>
      <c r="D169" s="2986" t="s">
        <v>108</v>
      </c>
      <c r="E169" s="2986" t="s">
        <v>109</v>
      </c>
      <c r="F169" s="2957" t="s">
        <v>111</v>
      </c>
      <c r="G169" s="2957" t="s">
        <v>186</v>
      </c>
      <c r="H169" s="2957" t="s">
        <v>282</v>
      </c>
      <c r="I169" s="756"/>
      <c r="J169" s="756"/>
      <c r="K169" s="756"/>
      <c r="L169" s="756"/>
      <c r="M169" s="756"/>
      <c r="N169" s="756"/>
      <c r="O169" s="756"/>
      <c r="P169" s="756"/>
      <c r="Q169" s="756"/>
      <c r="R169" s="756"/>
      <c r="S169" s="756"/>
      <c r="T169" s="756"/>
      <c r="U169" s="756"/>
      <c r="V169" s="1572" t="s">
        <v>44</v>
      </c>
      <c r="W169" s="1573">
        <f>W$6</f>
        <v>43252</v>
      </c>
      <c r="X169" s="1573">
        <f t="shared" ref="X169:AG169" si="50">X$6</f>
        <v>43465</v>
      </c>
      <c r="Y169" s="316">
        <f t="shared" si="50"/>
        <v>43800</v>
      </c>
      <c r="Z169" s="1573">
        <f t="shared" si="50"/>
        <v>43862</v>
      </c>
      <c r="AA169" s="1573">
        <f t="shared" si="50"/>
        <v>44013</v>
      </c>
      <c r="AB169" s="1573">
        <f t="shared" si="50"/>
        <v>44166</v>
      </c>
      <c r="AC169" s="1573">
        <f t="shared" si="50"/>
        <v>44531</v>
      </c>
      <c r="AD169" s="1573">
        <f t="shared" si="50"/>
        <v>44774</v>
      </c>
      <c r="AE169" s="1573" t="str">
        <f t="shared" si="50"/>
        <v>-</v>
      </c>
      <c r="AF169" s="1573" t="str">
        <f t="shared" si="50"/>
        <v>-</v>
      </c>
      <c r="AG169" s="1573" t="str">
        <f t="shared" si="50"/>
        <v>-</v>
      </c>
      <c r="AK169" s="732"/>
      <c r="BB169" s="752"/>
    </row>
    <row r="170" spans="1:54" s="741" customFormat="1" hidden="1" outlineLevel="1" x14ac:dyDescent="0.35">
      <c r="A170" s="756"/>
      <c r="B170" s="1328"/>
      <c r="C170" s="753"/>
      <c r="D170" s="4275" t="s">
        <v>283</v>
      </c>
      <c r="E170" s="2685" t="s">
        <v>4261</v>
      </c>
      <c r="F170" s="1264">
        <v>1</v>
      </c>
      <c r="G170" s="3154"/>
      <c r="H170" s="3174"/>
      <c r="I170" s="756"/>
      <c r="J170" s="756"/>
      <c r="K170" s="756"/>
      <c r="L170" s="756"/>
      <c r="M170" s="756"/>
      <c r="N170" s="756"/>
      <c r="O170" s="756"/>
      <c r="P170" s="756"/>
      <c r="Q170" s="756"/>
      <c r="R170" s="756"/>
      <c r="S170" s="756"/>
      <c r="T170" s="756"/>
      <c r="U170" s="756"/>
      <c r="V170" s="4278" t="str">
        <f>D170</f>
        <v>%ElectricHeat</v>
      </c>
      <c r="W170" s="761">
        <v>1</v>
      </c>
      <c r="X170" s="761">
        <v>1</v>
      </c>
      <c r="Y170" s="761">
        <v>1</v>
      </c>
      <c r="Z170" s="787">
        <v>1</v>
      </c>
      <c r="AA170" s="787">
        <v>1</v>
      </c>
      <c r="AB170" s="787">
        <v>1</v>
      </c>
      <c r="AC170" s="787">
        <v>1</v>
      </c>
      <c r="AD170" s="787">
        <v>1</v>
      </c>
      <c r="AE170" s="761"/>
      <c r="AF170" s="761"/>
      <c r="AG170" s="761"/>
      <c r="AK170" s="732"/>
      <c r="BB170" s="752"/>
    </row>
    <row r="171" spans="1:54" s="741" customFormat="1" hidden="1" outlineLevel="1" x14ac:dyDescent="0.35">
      <c r="A171" s="756"/>
      <c r="B171" s="1328"/>
      <c r="C171" s="753"/>
      <c r="D171" s="4275"/>
      <c r="E171" s="368" t="s">
        <v>4262</v>
      </c>
      <c r="F171" s="787">
        <v>1</v>
      </c>
      <c r="G171" s="2979"/>
      <c r="H171" s="3158"/>
      <c r="I171" s="756"/>
      <c r="J171" s="756"/>
      <c r="K171" s="756"/>
      <c r="L171" s="756"/>
      <c r="M171" s="756"/>
      <c r="N171" s="756"/>
      <c r="O171" s="756"/>
      <c r="P171" s="756"/>
      <c r="Q171" s="756"/>
      <c r="R171" s="756"/>
      <c r="S171" s="756"/>
      <c r="T171" s="756"/>
      <c r="U171" s="756"/>
      <c r="V171" s="4279"/>
      <c r="W171" s="761">
        <v>1</v>
      </c>
      <c r="X171" s="761">
        <v>1</v>
      </c>
      <c r="Y171" s="761">
        <v>1</v>
      </c>
      <c r="Z171" s="787">
        <v>1</v>
      </c>
      <c r="AA171" s="787">
        <v>1</v>
      </c>
      <c r="AB171" s="787">
        <v>1</v>
      </c>
      <c r="AC171" s="787">
        <v>1</v>
      </c>
      <c r="AD171" s="787">
        <v>1</v>
      </c>
      <c r="AE171" s="761"/>
      <c r="AF171" s="761"/>
      <c r="AG171" s="761"/>
      <c r="AK171" s="732"/>
      <c r="BB171" s="752"/>
    </row>
    <row r="172" spans="1:54" s="741" customFormat="1" hidden="1" outlineLevel="1" x14ac:dyDescent="0.35">
      <c r="A172" s="756"/>
      <c r="B172" s="1328"/>
      <c r="C172" s="753"/>
      <c r="D172" s="4275"/>
      <c r="E172" s="368" t="s">
        <v>4263</v>
      </c>
      <c r="F172" s="787">
        <v>0</v>
      </c>
      <c r="G172" s="2979"/>
      <c r="H172" s="3158"/>
      <c r="I172" s="756"/>
      <c r="J172" s="756"/>
      <c r="K172" s="756"/>
      <c r="L172" s="756"/>
      <c r="M172" s="756"/>
      <c r="N172" s="756"/>
      <c r="O172" s="756"/>
      <c r="P172" s="756"/>
      <c r="Q172" s="756"/>
      <c r="R172" s="756"/>
      <c r="S172" s="756"/>
      <c r="T172" s="756"/>
      <c r="U172" s="756"/>
      <c r="V172" s="4279"/>
      <c r="W172" s="761">
        <v>0</v>
      </c>
      <c r="X172" s="761">
        <v>0</v>
      </c>
      <c r="Y172" s="761">
        <v>0</v>
      </c>
      <c r="Z172" s="787">
        <v>0</v>
      </c>
      <c r="AA172" s="787">
        <v>0</v>
      </c>
      <c r="AB172" s="787">
        <v>0</v>
      </c>
      <c r="AC172" s="787">
        <v>0</v>
      </c>
      <c r="AD172" s="787">
        <v>0</v>
      </c>
      <c r="AE172" s="761"/>
      <c r="AF172" s="761"/>
      <c r="AG172" s="761"/>
      <c r="AK172" s="732"/>
      <c r="BB172" s="752"/>
    </row>
    <row r="173" spans="1:54" s="741" customFormat="1" hidden="1" outlineLevel="1" x14ac:dyDescent="0.35">
      <c r="A173" s="756"/>
      <c r="B173" s="1328"/>
      <c r="C173" s="753"/>
      <c r="D173" s="4275"/>
      <c r="E173" s="368" t="s">
        <v>4264</v>
      </c>
      <c r="F173" s="787">
        <v>1</v>
      </c>
      <c r="G173" s="2979"/>
      <c r="H173" s="3158"/>
      <c r="I173" s="756"/>
      <c r="J173" s="756"/>
      <c r="K173" s="756"/>
      <c r="L173" s="756"/>
      <c r="M173" s="756"/>
      <c r="N173" s="756"/>
      <c r="O173" s="756"/>
      <c r="P173" s="756"/>
      <c r="Q173" s="756"/>
      <c r="R173" s="756"/>
      <c r="S173" s="756"/>
      <c r="T173" s="756"/>
      <c r="U173" s="756"/>
      <c r="V173" s="4279"/>
      <c r="W173" s="761">
        <v>1</v>
      </c>
      <c r="X173" s="761">
        <v>1</v>
      </c>
      <c r="Y173" s="761">
        <v>1</v>
      </c>
      <c r="Z173" s="787">
        <v>1</v>
      </c>
      <c r="AA173" s="787">
        <v>1</v>
      </c>
      <c r="AB173" s="787">
        <v>1</v>
      </c>
      <c r="AC173" s="787">
        <v>1</v>
      </c>
      <c r="AD173" s="787">
        <v>1</v>
      </c>
      <c r="AE173" s="761"/>
      <c r="AF173" s="761"/>
      <c r="AG173" s="761"/>
      <c r="AK173" s="732"/>
      <c r="BB173" s="752"/>
    </row>
    <row r="174" spans="1:54" s="741" customFormat="1" hidden="1" outlineLevel="1" x14ac:dyDescent="0.35">
      <c r="A174" s="756"/>
      <c r="B174" s="1328"/>
      <c r="C174" s="753"/>
      <c r="D174" s="4275"/>
      <c r="E174" s="368" t="s">
        <v>4265</v>
      </c>
      <c r="F174" s="787">
        <v>1</v>
      </c>
      <c r="G174" s="2979"/>
      <c r="H174" s="3158"/>
      <c r="I174" s="756"/>
      <c r="J174" s="756"/>
      <c r="K174" s="756"/>
      <c r="L174" s="756"/>
      <c r="M174" s="756"/>
      <c r="N174" s="756"/>
      <c r="O174" s="756"/>
      <c r="P174" s="756"/>
      <c r="Q174" s="756"/>
      <c r="R174" s="756"/>
      <c r="S174" s="756"/>
      <c r="T174" s="756"/>
      <c r="U174" s="756"/>
      <c r="V174" s="4279"/>
      <c r="W174" s="761">
        <v>1</v>
      </c>
      <c r="X174" s="761">
        <v>1</v>
      </c>
      <c r="Y174" s="761">
        <v>1</v>
      </c>
      <c r="Z174" s="787">
        <v>1</v>
      </c>
      <c r="AA174" s="787">
        <v>1</v>
      </c>
      <c r="AB174" s="787">
        <v>1</v>
      </c>
      <c r="AC174" s="787">
        <v>1</v>
      </c>
      <c r="AD174" s="787">
        <v>1</v>
      </c>
      <c r="AE174" s="761"/>
      <c r="AF174" s="761"/>
      <c r="AG174" s="761"/>
      <c r="AK174" s="732"/>
      <c r="BB174" s="752"/>
    </row>
    <row r="175" spans="1:54" s="741" customFormat="1" hidden="1" outlineLevel="1" x14ac:dyDescent="0.35">
      <c r="A175" s="756"/>
      <c r="B175" s="1345"/>
      <c r="C175" s="753"/>
      <c r="D175" s="4275"/>
      <c r="E175" s="368" t="s">
        <v>4266</v>
      </c>
      <c r="F175" s="787">
        <v>0</v>
      </c>
      <c r="G175" s="2979"/>
      <c r="H175" s="3158"/>
      <c r="I175" s="756"/>
      <c r="J175" s="756"/>
      <c r="K175" s="756"/>
      <c r="L175" s="756"/>
      <c r="M175" s="756"/>
      <c r="N175" s="756"/>
      <c r="O175" s="756"/>
      <c r="P175" s="756"/>
      <c r="Q175" s="756"/>
      <c r="R175" s="756"/>
      <c r="S175" s="756"/>
      <c r="T175" s="756"/>
      <c r="U175" s="756"/>
      <c r="V175" s="4279"/>
      <c r="W175" s="761">
        <v>0</v>
      </c>
      <c r="X175" s="761">
        <v>0</v>
      </c>
      <c r="Y175" s="761">
        <v>0</v>
      </c>
      <c r="Z175" s="787">
        <v>0</v>
      </c>
      <c r="AA175" s="787">
        <v>0</v>
      </c>
      <c r="AB175" s="787">
        <v>0</v>
      </c>
      <c r="AC175" s="787">
        <v>0</v>
      </c>
      <c r="AD175" s="787">
        <v>0</v>
      </c>
      <c r="AE175" s="761"/>
      <c r="AF175" s="761"/>
      <c r="AG175" s="761"/>
      <c r="AK175" s="732"/>
      <c r="BB175" s="752"/>
    </row>
    <row r="176" spans="1:54" s="741" customFormat="1" hidden="1" outlineLevel="1" x14ac:dyDescent="0.35">
      <c r="A176" s="756"/>
      <c r="B176" s="1345"/>
      <c r="C176" s="753"/>
      <c r="D176" s="4275"/>
      <c r="E176" s="368" t="s">
        <v>4267</v>
      </c>
      <c r="F176" s="787">
        <v>1</v>
      </c>
      <c r="G176" s="2979"/>
      <c r="H176" s="3158"/>
      <c r="I176" s="756"/>
      <c r="J176" s="756"/>
      <c r="K176" s="756"/>
      <c r="L176" s="756"/>
      <c r="M176" s="756"/>
      <c r="N176" s="756"/>
      <c r="O176" s="756"/>
      <c r="P176" s="756"/>
      <c r="Q176" s="756"/>
      <c r="R176" s="756"/>
      <c r="S176" s="756"/>
      <c r="T176" s="756"/>
      <c r="U176" s="756"/>
      <c r="V176" s="4279"/>
      <c r="W176" s="761">
        <v>1</v>
      </c>
      <c r="X176" s="761">
        <v>1</v>
      </c>
      <c r="Y176" s="761">
        <v>1</v>
      </c>
      <c r="Z176" s="787">
        <v>1</v>
      </c>
      <c r="AA176" s="787">
        <v>1</v>
      </c>
      <c r="AB176" s="787">
        <v>1</v>
      </c>
      <c r="AC176" s="787">
        <v>1</v>
      </c>
      <c r="AD176" s="787">
        <v>1</v>
      </c>
      <c r="AE176" s="761"/>
      <c r="AF176" s="761"/>
      <c r="AG176" s="761"/>
      <c r="AK176" s="732"/>
      <c r="BB176" s="752"/>
    </row>
    <row r="177" spans="1:54" s="741" customFormat="1" hidden="1" outlineLevel="1" x14ac:dyDescent="0.35">
      <c r="A177" s="756"/>
      <c r="B177" s="1345"/>
      <c r="C177" s="753"/>
      <c r="D177" s="4275"/>
      <c r="E177" s="368" t="s">
        <v>4268</v>
      </c>
      <c r="F177" s="787">
        <v>1</v>
      </c>
      <c r="G177" s="2979"/>
      <c r="H177" s="3158"/>
      <c r="I177" s="756"/>
      <c r="J177" s="756"/>
      <c r="K177" s="756"/>
      <c r="L177" s="756"/>
      <c r="M177" s="756"/>
      <c r="N177" s="756"/>
      <c r="O177" s="756"/>
      <c r="P177" s="756"/>
      <c r="Q177" s="756"/>
      <c r="R177" s="756"/>
      <c r="S177" s="756"/>
      <c r="T177" s="756"/>
      <c r="U177" s="756"/>
      <c r="V177" s="4279"/>
      <c r="W177" s="761">
        <v>1</v>
      </c>
      <c r="X177" s="761">
        <v>1</v>
      </c>
      <c r="Y177" s="761">
        <v>1</v>
      </c>
      <c r="Z177" s="787">
        <v>1</v>
      </c>
      <c r="AA177" s="787">
        <v>1</v>
      </c>
      <c r="AB177" s="787">
        <v>1</v>
      </c>
      <c r="AC177" s="787">
        <v>1</v>
      </c>
      <c r="AD177" s="787">
        <v>1</v>
      </c>
      <c r="AE177" s="761"/>
      <c r="AF177" s="761"/>
      <c r="AG177" s="761"/>
      <c r="AK177" s="732"/>
      <c r="BB177" s="752"/>
    </row>
    <row r="178" spans="1:54" s="741" customFormat="1" hidden="1" outlineLevel="1" x14ac:dyDescent="0.35">
      <c r="A178" s="756"/>
      <c r="B178" s="1345"/>
      <c r="C178" s="753"/>
      <c r="D178" s="4275"/>
      <c r="E178" s="374" t="s">
        <v>4269</v>
      </c>
      <c r="F178" s="787">
        <v>0</v>
      </c>
      <c r="G178" s="2979"/>
      <c r="H178" s="3158"/>
      <c r="I178" s="756"/>
      <c r="J178" s="756"/>
      <c r="K178" s="756"/>
      <c r="L178" s="756"/>
      <c r="M178" s="756"/>
      <c r="N178" s="756"/>
      <c r="O178" s="756"/>
      <c r="P178" s="756"/>
      <c r="Q178" s="756"/>
      <c r="R178" s="756"/>
      <c r="S178" s="756"/>
      <c r="T178" s="756"/>
      <c r="U178" s="756"/>
      <c r="V178" s="4279"/>
      <c r="W178" s="761">
        <v>0</v>
      </c>
      <c r="X178" s="761">
        <v>0</v>
      </c>
      <c r="Y178" s="761">
        <v>0</v>
      </c>
      <c r="Z178" s="787">
        <v>0</v>
      </c>
      <c r="AA178" s="787">
        <v>0</v>
      </c>
      <c r="AB178" s="787">
        <v>0</v>
      </c>
      <c r="AC178" s="787">
        <v>0</v>
      </c>
      <c r="AD178" s="787">
        <v>0</v>
      </c>
      <c r="AE178" s="761"/>
      <c r="AF178" s="761"/>
      <c r="AG178" s="761"/>
      <c r="AK178" s="732"/>
      <c r="BB178" s="752"/>
    </row>
    <row r="179" spans="1:54" s="741" customFormat="1" hidden="1" outlineLevel="1" x14ac:dyDescent="0.35">
      <c r="A179" s="756"/>
      <c r="B179" s="1345"/>
      <c r="C179" s="753"/>
      <c r="D179" s="4275"/>
      <c r="E179" s="368" t="s">
        <v>4270</v>
      </c>
      <c r="F179" s="787">
        <v>1</v>
      </c>
      <c r="G179" s="2979"/>
      <c r="H179" s="3158"/>
      <c r="I179" s="756"/>
      <c r="J179" s="756"/>
      <c r="K179" s="756"/>
      <c r="L179" s="756"/>
      <c r="M179" s="756"/>
      <c r="N179" s="756"/>
      <c r="O179" s="756"/>
      <c r="P179" s="756"/>
      <c r="Q179" s="756"/>
      <c r="R179" s="756"/>
      <c r="S179" s="756"/>
      <c r="T179" s="756"/>
      <c r="U179" s="756"/>
      <c r="V179" s="4279"/>
      <c r="W179" s="761">
        <v>1</v>
      </c>
      <c r="X179" s="761">
        <v>1</v>
      </c>
      <c r="Y179" s="761">
        <v>1</v>
      </c>
      <c r="Z179" s="787">
        <v>1</v>
      </c>
      <c r="AA179" s="787">
        <v>1</v>
      </c>
      <c r="AB179" s="787">
        <v>1</v>
      </c>
      <c r="AC179" s="787">
        <v>1</v>
      </c>
      <c r="AD179" s="787">
        <v>1</v>
      </c>
      <c r="AE179" s="761"/>
      <c r="AF179" s="761"/>
      <c r="AG179" s="761"/>
      <c r="AK179" s="732"/>
      <c r="BB179" s="752"/>
    </row>
    <row r="180" spans="1:54" s="741" customFormat="1" hidden="1" outlineLevel="1" x14ac:dyDescent="0.35">
      <c r="A180" s="756"/>
      <c r="B180" s="1345"/>
      <c r="C180" s="753"/>
      <c r="D180" s="4275"/>
      <c r="E180" s="368" t="s">
        <v>4271</v>
      </c>
      <c r="F180" s="787">
        <v>1</v>
      </c>
      <c r="G180" s="2979"/>
      <c r="H180" s="3158"/>
      <c r="I180" s="756"/>
      <c r="J180" s="756"/>
      <c r="K180" s="756"/>
      <c r="L180" s="756"/>
      <c r="M180" s="756"/>
      <c r="N180" s="756"/>
      <c r="O180" s="756"/>
      <c r="P180" s="756"/>
      <c r="Q180" s="756"/>
      <c r="R180" s="756"/>
      <c r="S180" s="756"/>
      <c r="T180" s="756"/>
      <c r="U180" s="756"/>
      <c r="V180" s="4279"/>
      <c r="W180" s="761">
        <v>1</v>
      </c>
      <c r="X180" s="761">
        <v>1</v>
      </c>
      <c r="Y180" s="761">
        <v>1</v>
      </c>
      <c r="Z180" s="787">
        <v>1</v>
      </c>
      <c r="AA180" s="787">
        <v>1</v>
      </c>
      <c r="AB180" s="787">
        <v>1</v>
      </c>
      <c r="AC180" s="787">
        <v>1</v>
      </c>
      <c r="AD180" s="787">
        <v>1</v>
      </c>
      <c r="AE180" s="761"/>
      <c r="AF180" s="761"/>
      <c r="AG180" s="761"/>
      <c r="AK180" s="732"/>
      <c r="BB180" s="752"/>
    </row>
    <row r="181" spans="1:54" s="741" customFormat="1" hidden="1" outlineLevel="1" x14ac:dyDescent="0.35">
      <c r="A181" s="756"/>
      <c r="B181" s="1345"/>
      <c r="C181" s="753"/>
      <c r="D181" s="4275"/>
      <c r="E181" s="1341" t="s">
        <v>4272</v>
      </c>
      <c r="F181" s="787">
        <v>0</v>
      </c>
      <c r="G181" s="2979"/>
      <c r="H181" s="3158"/>
      <c r="I181" s="756"/>
      <c r="J181" s="756"/>
      <c r="K181" s="756"/>
      <c r="L181" s="756"/>
      <c r="M181" s="756"/>
      <c r="N181" s="756"/>
      <c r="O181" s="756"/>
      <c r="P181" s="756"/>
      <c r="Q181" s="756"/>
      <c r="R181" s="756"/>
      <c r="S181" s="756"/>
      <c r="T181" s="756"/>
      <c r="U181" s="756"/>
      <c r="V181" s="4279"/>
      <c r="W181" s="761">
        <v>0</v>
      </c>
      <c r="X181" s="761">
        <v>0</v>
      </c>
      <c r="Y181" s="761">
        <v>0</v>
      </c>
      <c r="Z181" s="787">
        <v>0</v>
      </c>
      <c r="AA181" s="787">
        <v>0</v>
      </c>
      <c r="AB181" s="787">
        <v>0</v>
      </c>
      <c r="AC181" s="787">
        <v>0</v>
      </c>
      <c r="AD181" s="787">
        <v>0</v>
      </c>
      <c r="AE181" s="761"/>
      <c r="AF181" s="761"/>
      <c r="AG181" s="761"/>
      <c r="AK181" s="732"/>
      <c r="BB181" s="752"/>
    </row>
    <row r="182" spans="1:54" s="741" customFormat="1" hidden="1" outlineLevel="1" x14ac:dyDescent="0.35">
      <c r="A182" s="756"/>
      <c r="B182" s="1345"/>
      <c r="C182" s="753"/>
      <c r="D182" s="4275"/>
      <c r="E182" s="368" t="s">
        <v>4273</v>
      </c>
      <c r="F182" s="787">
        <v>1</v>
      </c>
      <c r="G182" s="2979"/>
      <c r="H182" s="3158"/>
      <c r="I182" s="756"/>
      <c r="J182" s="756"/>
      <c r="K182" s="756"/>
      <c r="L182" s="756"/>
      <c r="M182" s="756"/>
      <c r="N182" s="756"/>
      <c r="O182" s="756"/>
      <c r="P182" s="756"/>
      <c r="Q182" s="756"/>
      <c r="R182" s="756"/>
      <c r="S182" s="756"/>
      <c r="T182" s="756"/>
      <c r="U182" s="756"/>
      <c r="V182" s="4279"/>
      <c r="W182" s="761">
        <v>1</v>
      </c>
      <c r="X182" s="761">
        <v>1</v>
      </c>
      <c r="Y182" s="761">
        <v>1</v>
      </c>
      <c r="Z182" s="787">
        <v>1</v>
      </c>
      <c r="AA182" s="787">
        <v>1</v>
      </c>
      <c r="AB182" s="787">
        <v>1</v>
      </c>
      <c r="AC182" s="787">
        <v>1</v>
      </c>
      <c r="AD182" s="787">
        <v>1</v>
      </c>
      <c r="AE182" s="761"/>
      <c r="AF182" s="761"/>
      <c r="AG182" s="761"/>
      <c r="AK182" s="732"/>
      <c r="BB182" s="752"/>
    </row>
    <row r="183" spans="1:54" s="741" customFormat="1" hidden="1" outlineLevel="1" x14ac:dyDescent="0.35">
      <c r="A183" s="756"/>
      <c r="B183" s="1328"/>
      <c r="C183" s="753"/>
      <c r="D183" s="4275"/>
      <c r="E183" s="368" t="s">
        <v>4274</v>
      </c>
      <c r="F183" s="787">
        <v>1</v>
      </c>
      <c r="G183" s="2979"/>
      <c r="H183" s="3158"/>
      <c r="I183" s="756"/>
      <c r="J183" s="756"/>
      <c r="K183" s="756"/>
      <c r="L183" s="756"/>
      <c r="M183" s="756"/>
      <c r="N183" s="756"/>
      <c r="O183" s="756"/>
      <c r="P183" s="756"/>
      <c r="Q183" s="756"/>
      <c r="R183" s="756"/>
      <c r="S183" s="756"/>
      <c r="T183" s="756"/>
      <c r="U183" s="756"/>
      <c r="V183" s="4279"/>
      <c r="W183" s="761">
        <v>1</v>
      </c>
      <c r="X183" s="761">
        <v>1</v>
      </c>
      <c r="Y183" s="761">
        <v>1</v>
      </c>
      <c r="Z183" s="787">
        <v>1</v>
      </c>
      <c r="AA183" s="787">
        <v>1</v>
      </c>
      <c r="AB183" s="787">
        <v>1</v>
      </c>
      <c r="AC183" s="787">
        <v>1</v>
      </c>
      <c r="AD183" s="787">
        <v>1</v>
      </c>
      <c r="AE183" s="761"/>
      <c r="AF183" s="761"/>
      <c r="AG183" s="761"/>
      <c r="AK183" s="732"/>
      <c r="BB183" s="752"/>
    </row>
    <row r="184" spans="1:54" s="741" customFormat="1" hidden="1" outlineLevel="1" x14ac:dyDescent="0.35">
      <c r="A184" s="756"/>
      <c r="B184" s="1328"/>
      <c r="C184" s="753"/>
      <c r="D184" s="4275"/>
      <c r="E184" s="374" t="s">
        <v>4275</v>
      </c>
      <c r="F184" s="787">
        <v>0</v>
      </c>
      <c r="G184" s="2979"/>
      <c r="H184" s="3158"/>
      <c r="I184" s="756"/>
      <c r="J184" s="756"/>
      <c r="K184" s="756"/>
      <c r="L184" s="756"/>
      <c r="M184" s="756"/>
      <c r="N184" s="756"/>
      <c r="O184" s="756"/>
      <c r="P184" s="756"/>
      <c r="Q184" s="756"/>
      <c r="R184" s="756"/>
      <c r="S184" s="756"/>
      <c r="T184" s="756"/>
      <c r="U184" s="756"/>
      <c r="V184" s="4279"/>
      <c r="W184" s="761">
        <v>0</v>
      </c>
      <c r="X184" s="761">
        <v>0</v>
      </c>
      <c r="Y184" s="761">
        <v>0</v>
      </c>
      <c r="Z184" s="787">
        <v>0</v>
      </c>
      <c r="AA184" s="787">
        <v>0</v>
      </c>
      <c r="AB184" s="787">
        <v>0</v>
      </c>
      <c r="AC184" s="787">
        <v>0</v>
      </c>
      <c r="AD184" s="787">
        <v>0</v>
      </c>
      <c r="AE184" s="761"/>
      <c r="AF184" s="761"/>
      <c r="AG184" s="761"/>
      <c r="AK184" s="732"/>
      <c r="BB184" s="752"/>
    </row>
    <row r="185" spans="1:54" s="741" customFormat="1" hidden="1" outlineLevel="1" x14ac:dyDescent="0.35">
      <c r="A185" s="756"/>
      <c r="B185" s="1328"/>
      <c r="C185" s="753"/>
      <c r="D185" s="4275"/>
      <c r="E185" s="368" t="s">
        <v>4276</v>
      </c>
      <c r="F185" s="787">
        <v>1</v>
      </c>
      <c r="G185" s="2979"/>
      <c r="H185" s="3158"/>
      <c r="I185" s="756"/>
      <c r="J185" s="756"/>
      <c r="K185" s="756"/>
      <c r="L185" s="756"/>
      <c r="M185" s="756"/>
      <c r="N185" s="756"/>
      <c r="O185" s="756"/>
      <c r="P185" s="756"/>
      <c r="Q185" s="756"/>
      <c r="R185" s="756"/>
      <c r="S185" s="756"/>
      <c r="T185" s="756"/>
      <c r="U185" s="756"/>
      <c r="V185" s="4279"/>
      <c r="W185" s="761">
        <v>1</v>
      </c>
      <c r="X185" s="761">
        <v>1</v>
      </c>
      <c r="Y185" s="761">
        <v>1</v>
      </c>
      <c r="Z185" s="787">
        <v>1</v>
      </c>
      <c r="AA185" s="787">
        <v>1</v>
      </c>
      <c r="AB185" s="787">
        <v>1</v>
      </c>
      <c r="AC185" s="787">
        <v>1</v>
      </c>
      <c r="AD185" s="787">
        <v>1</v>
      </c>
      <c r="AE185" s="761"/>
      <c r="AF185" s="761"/>
      <c r="AG185" s="761"/>
      <c r="AK185" s="732"/>
      <c r="BB185" s="752"/>
    </row>
    <row r="186" spans="1:54" s="741" customFormat="1" hidden="1" outlineLevel="1" x14ac:dyDescent="0.35">
      <c r="A186" s="756"/>
      <c r="B186" s="1345"/>
      <c r="C186" s="753"/>
      <c r="D186" s="4275"/>
      <c r="E186" s="374" t="s">
        <v>4277</v>
      </c>
      <c r="F186" s="787">
        <v>1</v>
      </c>
      <c r="G186" s="2979"/>
      <c r="H186" s="3158"/>
      <c r="I186" s="756"/>
      <c r="J186" s="756"/>
      <c r="K186" s="756"/>
      <c r="L186" s="756"/>
      <c r="M186" s="756"/>
      <c r="N186" s="756"/>
      <c r="O186" s="756"/>
      <c r="P186" s="756"/>
      <c r="Q186" s="756"/>
      <c r="R186" s="756"/>
      <c r="S186" s="756"/>
      <c r="T186" s="756"/>
      <c r="U186" s="756"/>
      <c r="V186" s="4279"/>
      <c r="W186" s="761">
        <v>1</v>
      </c>
      <c r="X186" s="761">
        <v>1</v>
      </c>
      <c r="Y186" s="761">
        <v>1</v>
      </c>
      <c r="Z186" s="787">
        <v>1</v>
      </c>
      <c r="AA186" s="787">
        <v>1</v>
      </c>
      <c r="AB186" s="787">
        <v>1</v>
      </c>
      <c r="AC186" s="787">
        <v>1</v>
      </c>
      <c r="AD186" s="787">
        <v>1</v>
      </c>
      <c r="AE186" s="761"/>
      <c r="AF186" s="761"/>
      <c r="AG186" s="761"/>
      <c r="AK186" s="732"/>
      <c r="BB186" s="752"/>
    </row>
    <row r="187" spans="1:54" s="741" customFormat="1" hidden="1" outlineLevel="1" x14ac:dyDescent="0.35">
      <c r="A187" s="756"/>
      <c r="B187" s="1345"/>
      <c r="C187" s="753"/>
      <c r="D187" s="4275"/>
      <c r="E187" s="368" t="s">
        <v>4278</v>
      </c>
      <c r="F187" s="787">
        <v>0</v>
      </c>
      <c r="G187" s="2979"/>
      <c r="H187" s="3158"/>
      <c r="I187" s="756"/>
      <c r="J187" s="756"/>
      <c r="K187" s="756"/>
      <c r="L187" s="756"/>
      <c r="M187" s="756"/>
      <c r="N187" s="756"/>
      <c r="O187" s="756"/>
      <c r="P187" s="756"/>
      <c r="Q187" s="756"/>
      <c r="R187" s="756"/>
      <c r="S187" s="756"/>
      <c r="T187" s="756"/>
      <c r="U187" s="756"/>
      <c r="V187" s="4279"/>
      <c r="W187" s="761">
        <v>0</v>
      </c>
      <c r="X187" s="761">
        <v>0</v>
      </c>
      <c r="Y187" s="761">
        <v>0</v>
      </c>
      <c r="Z187" s="787">
        <v>0</v>
      </c>
      <c r="AA187" s="787">
        <v>0</v>
      </c>
      <c r="AB187" s="787">
        <v>0</v>
      </c>
      <c r="AC187" s="787">
        <v>0</v>
      </c>
      <c r="AD187" s="787">
        <v>0</v>
      </c>
      <c r="AE187" s="761"/>
      <c r="AF187" s="761"/>
      <c r="AG187" s="761"/>
      <c r="AK187" s="732"/>
      <c r="BB187" s="752"/>
    </row>
    <row r="188" spans="1:54" s="741" customFormat="1" hidden="1" outlineLevel="1" x14ac:dyDescent="0.35">
      <c r="A188" s="756"/>
      <c r="B188" s="1345"/>
      <c r="C188" s="753"/>
      <c r="D188" s="4275"/>
      <c r="E188" s="368" t="s">
        <v>4279</v>
      </c>
      <c r="F188" s="787">
        <v>1</v>
      </c>
      <c r="G188" s="2979"/>
      <c r="H188" s="3158"/>
      <c r="I188" s="756"/>
      <c r="J188" s="756"/>
      <c r="K188" s="756"/>
      <c r="L188" s="756"/>
      <c r="M188" s="756"/>
      <c r="N188" s="756"/>
      <c r="O188" s="756"/>
      <c r="P188" s="756"/>
      <c r="Q188" s="756"/>
      <c r="R188" s="756"/>
      <c r="S188" s="756"/>
      <c r="T188" s="756"/>
      <c r="U188" s="756"/>
      <c r="V188" s="4279"/>
      <c r="W188" s="761">
        <v>1</v>
      </c>
      <c r="X188" s="761">
        <v>1</v>
      </c>
      <c r="Y188" s="761">
        <v>1</v>
      </c>
      <c r="Z188" s="787">
        <v>1</v>
      </c>
      <c r="AA188" s="787">
        <v>1</v>
      </c>
      <c r="AB188" s="787">
        <v>1</v>
      </c>
      <c r="AC188" s="787">
        <v>1</v>
      </c>
      <c r="AD188" s="787">
        <v>1</v>
      </c>
      <c r="AE188" s="761"/>
      <c r="AF188" s="761"/>
      <c r="AG188" s="761"/>
      <c r="AK188" s="732"/>
      <c r="BB188" s="752"/>
    </row>
    <row r="189" spans="1:54" s="741" customFormat="1" hidden="1" outlineLevel="1" x14ac:dyDescent="0.35">
      <c r="A189" s="756"/>
      <c r="B189" s="1345"/>
      <c r="C189" s="753"/>
      <c r="D189" s="4275"/>
      <c r="E189" s="368" t="s">
        <v>4280</v>
      </c>
      <c r="F189" s="787">
        <v>1</v>
      </c>
      <c r="G189" s="2979"/>
      <c r="H189" s="3158"/>
      <c r="I189" s="756"/>
      <c r="J189" s="756"/>
      <c r="K189" s="756"/>
      <c r="L189" s="756"/>
      <c r="M189" s="756"/>
      <c r="N189" s="756"/>
      <c r="O189" s="756"/>
      <c r="P189" s="756"/>
      <c r="Q189" s="756"/>
      <c r="R189" s="756"/>
      <c r="S189" s="756"/>
      <c r="T189" s="756"/>
      <c r="U189" s="756"/>
      <c r="V189" s="4279"/>
      <c r="W189" s="761">
        <v>1</v>
      </c>
      <c r="X189" s="761">
        <v>1</v>
      </c>
      <c r="Y189" s="761">
        <v>1</v>
      </c>
      <c r="Z189" s="787">
        <v>1</v>
      </c>
      <c r="AA189" s="787">
        <v>1</v>
      </c>
      <c r="AB189" s="787">
        <v>1</v>
      </c>
      <c r="AC189" s="787">
        <v>1</v>
      </c>
      <c r="AD189" s="787">
        <v>1</v>
      </c>
      <c r="AE189" s="761"/>
      <c r="AF189" s="761"/>
      <c r="AG189" s="761"/>
      <c r="AK189" s="732"/>
      <c r="BB189" s="752"/>
    </row>
    <row r="190" spans="1:54" s="741" customFormat="1" hidden="1" outlineLevel="1" x14ac:dyDescent="0.35">
      <c r="A190" s="756"/>
      <c r="B190" s="1345"/>
      <c r="C190" s="753"/>
      <c r="D190" s="4275"/>
      <c r="E190" s="374" t="s">
        <v>4281</v>
      </c>
      <c r="F190" s="787">
        <v>0</v>
      </c>
      <c r="G190" s="2979"/>
      <c r="H190" s="3158"/>
      <c r="I190" s="756"/>
      <c r="J190" s="756"/>
      <c r="K190" s="756"/>
      <c r="L190" s="756"/>
      <c r="M190" s="756"/>
      <c r="N190" s="756"/>
      <c r="O190" s="756"/>
      <c r="P190" s="756"/>
      <c r="Q190" s="756"/>
      <c r="R190" s="756"/>
      <c r="S190" s="756"/>
      <c r="T190" s="756"/>
      <c r="U190" s="756"/>
      <c r="V190" s="4279"/>
      <c r="W190" s="761">
        <v>0</v>
      </c>
      <c r="X190" s="761">
        <v>0</v>
      </c>
      <c r="Y190" s="761">
        <v>0</v>
      </c>
      <c r="Z190" s="787">
        <v>0</v>
      </c>
      <c r="AA190" s="787">
        <v>0</v>
      </c>
      <c r="AB190" s="787">
        <v>0</v>
      </c>
      <c r="AC190" s="787">
        <v>0</v>
      </c>
      <c r="AD190" s="787">
        <v>0</v>
      </c>
      <c r="AE190" s="761"/>
      <c r="AF190" s="761"/>
      <c r="AG190" s="761"/>
      <c r="AK190" s="732"/>
      <c r="BB190" s="752"/>
    </row>
    <row r="191" spans="1:54" s="741" customFormat="1" hidden="1" outlineLevel="1" x14ac:dyDescent="0.35">
      <c r="A191" s="756"/>
      <c r="B191" s="1345"/>
      <c r="C191" s="753"/>
      <c r="D191" s="4275"/>
      <c r="E191" s="368" t="s">
        <v>4282</v>
      </c>
      <c r="F191" s="787">
        <v>1</v>
      </c>
      <c r="G191" s="2979"/>
      <c r="H191" s="3158"/>
      <c r="I191" s="756"/>
      <c r="J191" s="756"/>
      <c r="K191" s="756"/>
      <c r="L191" s="756"/>
      <c r="M191" s="756"/>
      <c r="N191" s="756"/>
      <c r="O191" s="756"/>
      <c r="P191" s="756"/>
      <c r="Q191" s="756"/>
      <c r="R191" s="756"/>
      <c r="S191" s="756"/>
      <c r="T191" s="756"/>
      <c r="U191" s="756"/>
      <c r="V191" s="4279"/>
      <c r="W191" s="761">
        <v>1</v>
      </c>
      <c r="X191" s="761">
        <v>1</v>
      </c>
      <c r="Y191" s="761">
        <v>1</v>
      </c>
      <c r="Z191" s="787">
        <v>1</v>
      </c>
      <c r="AA191" s="787">
        <v>1</v>
      </c>
      <c r="AB191" s="787">
        <v>1</v>
      </c>
      <c r="AC191" s="787">
        <v>1</v>
      </c>
      <c r="AD191" s="787">
        <v>1</v>
      </c>
      <c r="AE191" s="761"/>
      <c r="AF191" s="761"/>
      <c r="AG191" s="761"/>
      <c r="AK191" s="732"/>
      <c r="BB191" s="752"/>
    </row>
    <row r="192" spans="1:54" s="741" customFormat="1" hidden="1" outlineLevel="1" x14ac:dyDescent="0.35">
      <c r="A192" s="756"/>
      <c r="B192" s="1345"/>
      <c r="C192" s="753"/>
      <c r="D192" s="4275"/>
      <c r="E192" s="374" t="s">
        <v>4283</v>
      </c>
      <c r="F192" s="787">
        <v>1</v>
      </c>
      <c r="G192" s="2979"/>
      <c r="H192" s="3158"/>
      <c r="I192" s="756"/>
      <c r="J192" s="756"/>
      <c r="K192" s="756"/>
      <c r="L192" s="756"/>
      <c r="M192" s="756"/>
      <c r="N192" s="756"/>
      <c r="O192" s="756"/>
      <c r="P192" s="756"/>
      <c r="Q192" s="756"/>
      <c r="R192" s="756"/>
      <c r="S192" s="756"/>
      <c r="T192" s="756"/>
      <c r="U192" s="756"/>
      <c r="V192" s="4279"/>
      <c r="W192" s="761">
        <v>1</v>
      </c>
      <c r="X192" s="761">
        <v>1</v>
      </c>
      <c r="Y192" s="761">
        <v>1</v>
      </c>
      <c r="Z192" s="787">
        <v>1</v>
      </c>
      <c r="AA192" s="787">
        <v>1</v>
      </c>
      <c r="AB192" s="787">
        <v>1</v>
      </c>
      <c r="AC192" s="787">
        <v>1</v>
      </c>
      <c r="AD192" s="787">
        <v>1</v>
      </c>
      <c r="AE192" s="761"/>
      <c r="AF192" s="761"/>
      <c r="AG192" s="761"/>
      <c r="AK192" s="732"/>
      <c r="BB192" s="752"/>
    </row>
    <row r="193" spans="1:54" s="741" customFormat="1" hidden="1" outlineLevel="1" x14ac:dyDescent="0.35">
      <c r="A193" s="756"/>
      <c r="B193" s="1345"/>
      <c r="C193" s="753"/>
      <c r="D193" s="4275"/>
      <c r="E193" s="368" t="s">
        <v>4284</v>
      </c>
      <c r="F193" s="787">
        <v>0</v>
      </c>
      <c r="G193" s="2979"/>
      <c r="H193" s="3158"/>
      <c r="I193" s="756"/>
      <c r="J193" s="756"/>
      <c r="K193" s="756"/>
      <c r="L193" s="756"/>
      <c r="M193" s="756"/>
      <c r="N193" s="756"/>
      <c r="O193" s="756"/>
      <c r="P193" s="756"/>
      <c r="Q193" s="756"/>
      <c r="R193" s="756"/>
      <c r="S193" s="756"/>
      <c r="T193" s="756"/>
      <c r="U193" s="756"/>
      <c r="V193" s="4279"/>
      <c r="W193" s="761">
        <v>0</v>
      </c>
      <c r="X193" s="761">
        <v>0</v>
      </c>
      <c r="Y193" s="761">
        <v>0</v>
      </c>
      <c r="Z193" s="787">
        <v>0</v>
      </c>
      <c r="AA193" s="787">
        <v>0</v>
      </c>
      <c r="AB193" s="787">
        <v>0</v>
      </c>
      <c r="AC193" s="787">
        <v>0</v>
      </c>
      <c r="AD193" s="787">
        <v>0</v>
      </c>
      <c r="AE193" s="761"/>
      <c r="AF193" s="761"/>
      <c r="AG193" s="761"/>
      <c r="AK193" s="732"/>
      <c r="BB193" s="752"/>
    </row>
    <row r="194" spans="1:54" s="741" customFormat="1" hidden="1" outlineLevel="1" x14ac:dyDescent="0.35">
      <c r="A194" s="756"/>
      <c r="B194" s="1345"/>
      <c r="C194" s="753"/>
      <c r="D194" s="4275"/>
      <c r="E194" s="368" t="s">
        <v>4285</v>
      </c>
      <c r="F194" s="787">
        <v>1</v>
      </c>
      <c r="G194" s="2979"/>
      <c r="H194" s="3158"/>
      <c r="I194" s="756"/>
      <c r="J194" s="756"/>
      <c r="K194" s="756"/>
      <c r="L194" s="756"/>
      <c r="M194" s="756"/>
      <c r="N194" s="756"/>
      <c r="O194" s="756"/>
      <c r="P194" s="756"/>
      <c r="Q194" s="756"/>
      <c r="R194" s="756"/>
      <c r="S194" s="756"/>
      <c r="T194" s="756"/>
      <c r="U194" s="756"/>
      <c r="V194" s="4279"/>
      <c r="W194" s="761">
        <v>1</v>
      </c>
      <c r="X194" s="761">
        <v>1</v>
      </c>
      <c r="Y194" s="761">
        <v>1</v>
      </c>
      <c r="Z194" s="787">
        <v>1</v>
      </c>
      <c r="AA194" s="787">
        <v>1</v>
      </c>
      <c r="AB194" s="787">
        <v>1</v>
      </c>
      <c r="AC194" s="787">
        <v>1</v>
      </c>
      <c r="AD194" s="787">
        <v>1</v>
      </c>
      <c r="AE194" s="761"/>
      <c r="AF194" s="761"/>
      <c r="AG194" s="761"/>
      <c r="AK194" s="732"/>
      <c r="BB194" s="752"/>
    </row>
    <row r="195" spans="1:54" s="741" customFormat="1" hidden="1" outlineLevel="1" x14ac:dyDescent="0.35">
      <c r="A195" s="756"/>
      <c r="B195" s="1345"/>
      <c r="C195" s="753"/>
      <c r="D195" s="4275"/>
      <c r="E195" s="368" t="s">
        <v>4286</v>
      </c>
      <c r="F195" s="787">
        <v>1</v>
      </c>
      <c r="G195" s="2979"/>
      <c r="H195" s="3158"/>
      <c r="I195" s="756"/>
      <c r="J195" s="756"/>
      <c r="K195" s="756"/>
      <c r="L195" s="756"/>
      <c r="M195" s="756"/>
      <c r="N195" s="756"/>
      <c r="O195" s="756"/>
      <c r="P195" s="756"/>
      <c r="Q195" s="756"/>
      <c r="R195" s="756"/>
      <c r="S195" s="756"/>
      <c r="T195" s="756"/>
      <c r="U195" s="756"/>
      <c r="V195" s="4279"/>
      <c r="W195" s="761">
        <v>1</v>
      </c>
      <c r="X195" s="761">
        <v>1</v>
      </c>
      <c r="Y195" s="761">
        <v>1</v>
      </c>
      <c r="Z195" s="787">
        <v>1</v>
      </c>
      <c r="AA195" s="787">
        <v>1</v>
      </c>
      <c r="AB195" s="787">
        <v>1</v>
      </c>
      <c r="AC195" s="787">
        <v>1</v>
      </c>
      <c r="AD195" s="787">
        <v>1</v>
      </c>
      <c r="AE195" s="761"/>
      <c r="AF195" s="761"/>
      <c r="AG195" s="761"/>
      <c r="AK195" s="732"/>
      <c r="BB195" s="752"/>
    </row>
    <row r="196" spans="1:54" s="741" customFormat="1" hidden="1" outlineLevel="1" x14ac:dyDescent="0.35">
      <c r="A196" s="756"/>
      <c r="B196" s="1345"/>
      <c r="C196" s="753"/>
      <c r="D196" s="4275"/>
      <c r="E196" s="374" t="s">
        <v>4287</v>
      </c>
      <c r="F196" s="787">
        <v>0</v>
      </c>
      <c r="G196" s="2979"/>
      <c r="H196" s="3158"/>
      <c r="I196" s="756"/>
      <c r="J196" s="756"/>
      <c r="K196" s="756"/>
      <c r="L196" s="756"/>
      <c r="M196" s="756"/>
      <c r="N196" s="756"/>
      <c r="O196" s="756"/>
      <c r="P196" s="756"/>
      <c r="Q196" s="756"/>
      <c r="R196" s="756"/>
      <c r="S196" s="756"/>
      <c r="T196" s="756"/>
      <c r="U196" s="756"/>
      <c r="V196" s="4279"/>
      <c r="W196" s="761">
        <v>0</v>
      </c>
      <c r="X196" s="761">
        <v>0</v>
      </c>
      <c r="Y196" s="761">
        <v>0</v>
      </c>
      <c r="Z196" s="787">
        <v>0</v>
      </c>
      <c r="AA196" s="787">
        <v>0</v>
      </c>
      <c r="AB196" s="787">
        <v>0</v>
      </c>
      <c r="AC196" s="787">
        <v>0</v>
      </c>
      <c r="AD196" s="787">
        <v>0</v>
      </c>
      <c r="AE196" s="761"/>
      <c r="AF196" s="761"/>
      <c r="AG196" s="761"/>
      <c r="AK196" s="732"/>
      <c r="BB196" s="752"/>
    </row>
    <row r="197" spans="1:54" s="741" customFormat="1" hidden="1" outlineLevel="1" x14ac:dyDescent="0.35">
      <c r="A197" s="756"/>
      <c r="B197" s="1345"/>
      <c r="C197" s="753"/>
      <c r="D197" s="4275"/>
      <c r="E197" s="368" t="s">
        <v>4288</v>
      </c>
      <c r="F197" s="787">
        <v>1</v>
      </c>
      <c r="G197" s="2979"/>
      <c r="H197" s="3158"/>
      <c r="I197" s="756"/>
      <c r="J197" s="756"/>
      <c r="K197" s="756"/>
      <c r="L197" s="756"/>
      <c r="M197" s="756"/>
      <c r="N197" s="756"/>
      <c r="O197" s="756"/>
      <c r="P197" s="756"/>
      <c r="Q197" s="756"/>
      <c r="R197" s="756"/>
      <c r="S197" s="756"/>
      <c r="T197" s="756"/>
      <c r="U197" s="756"/>
      <c r="V197" s="4279"/>
      <c r="W197" s="761">
        <v>1</v>
      </c>
      <c r="X197" s="761">
        <v>1</v>
      </c>
      <c r="Y197" s="761">
        <v>1</v>
      </c>
      <c r="Z197" s="787">
        <v>1</v>
      </c>
      <c r="AA197" s="787">
        <v>1</v>
      </c>
      <c r="AB197" s="787">
        <v>1</v>
      </c>
      <c r="AC197" s="787">
        <v>1</v>
      </c>
      <c r="AD197" s="787">
        <v>1</v>
      </c>
      <c r="AE197" s="761"/>
      <c r="AF197" s="761"/>
      <c r="AG197" s="761"/>
      <c r="AK197" s="732"/>
      <c r="BB197" s="752"/>
    </row>
    <row r="198" spans="1:54" s="741" customFormat="1" hidden="1" outlineLevel="1" x14ac:dyDescent="0.35">
      <c r="A198" s="756"/>
      <c r="B198" s="1345"/>
      <c r="C198" s="753"/>
      <c r="D198" s="4275"/>
      <c r="E198" s="374" t="s">
        <v>4289</v>
      </c>
      <c r="F198" s="787">
        <v>1</v>
      </c>
      <c r="G198" s="2979"/>
      <c r="H198" s="3158"/>
      <c r="I198" s="756"/>
      <c r="J198" s="756"/>
      <c r="K198" s="756"/>
      <c r="L198" s="756"/>
      <c r="M198" s="756"/>
      <c r="N198" s="756"/>
      <c r="O198" s="756"/>
      <c r="P198" s="756"/>
      <c r="Q198" s="756"/>
      <c r="R198" s="756"/>
      <c r="S198" s="756"/>
      <c r="T198" s="756"/>
      <c r="U198" s="756"/>
      <c r="V198" s="4279"/>
      <c r="W198" s="761">
        <v>1</v>
      </c>
      <c r="X198" s="761">
        <v>1</v>
      </c>
      <c r="Y198" s="761">
        <v>1</v>
      </c>
      <c r="Z198" s="787">
        <v>1</v>
      </c>
      <c r="AA198" s="787">
        <v>1</v>
      </c>
      <c r="AB198" s="787">
        <v>1</v>
      </c>
      <c r="AC198" s="787">
        <v>1</v>
      </c>
      <c r="AD198" s="787">
        <v>1</v>
      </c>
      <c r="AE198" s="761"/>
      <c r="AF198" s="761"/>
      <c r="AG198" s="761"/>
      <c r="AK198" s="732"/>
      <c r="BB198" s="752"/>
    </row>
    <row r="199" spans="1:54" s="741" customFormat="1" ht="15" hidden="1" outlineLevel="1" thickBot="1" x14ac:dyDescent="0.4">
      <c r="A199" s="756"/>
      <c r="B199" s="1345"/>
      <c r="C199" s="753"/>
      <c r="D199" s="4287"/>
      <c r="E199" s="1936" t="s">
        <v>4290</v>
      </c>
      <c r="F199" s="1266">
        <v>0</v>
      </c>
      <c r="G199" s="3159"/>
      <c r="H199" s="3160"/>
      <c r="I199" s="756"/>
      <c r="J199" s="756"/>
      <c r="K199" s="756"/>
      <c r="L199" s="756"/>
      <c r="M199" s="756"/>
      <c r="N199" s="756"/>
      <c r="O199" s="756"/>
      <c r="P199" s="756"/>
      <c r="Q199" s="756"/>
      <c r="R199" s="756"/>
      <c r="S199" s="756"/>
      <c r="T199" s="756"/>
      <c r="U199" s="756"/>
      <c r="V199" s="4288"/>
      <c r="W199" s="761">
        <v>0</v>
      </c>
      <c r="X199" s="761">
        <v>0</v>
      </c>
      <c r="Y199" s="761">
        <v>0</v>
      </c>
      <c r="Z199" s="787">
        <v>0</v>
      </c>
      <c r="AA199" s="787">
        <v>0</v>
      </c>
      <c r="AB199" s="787">
        <v>0</v>
      </c>
      <c r="AC199" s="787">
        <v>0</v>
      </c>
      <c r="AD199" s="787">
        <v>0</v>
      </c>
      <c r="AE199" s="761"/>
      <c r="AF199" s="761"/>
      <c r="AG199" s="761"/>
      <c r="AK199" s="732"/>
      <c r="BB199" s="752"/>
    </row>
    <row r="200" spans="1:54" s="741" customFormat="1" ht="17.25" hidden="1" customHeight="1" outlineLevel="1" x14ac:dyDescent="0.35">
      <c r="A200" s="756"/>
      <c r="B200" s="1328"/>
      <c r="C200" s="753"/>
      <c r="D200" s="4274" t="s">
        <v>1611</v>
      </c>
      <c r="E200" s="3155" t="s">
        <v>4261</v>
      </c>
      <c r="F200" s="3161">
        <v>11</v>
      </c>
      <c r="G200" s="3156"/>
      <c r="H200" s="3157" t="s">
        <v>1612</v>
      </c>
      <c r="I200" s="756"/>
      <c r="J200" s="756"/>
      <c r="K200" s="756"/>
      <c r="L200" s="756"/>
      <c r="M200" s="756"/>
      <c r="N200" s="756"/>
      <c r="O200" s="756"/>
      <c r="P200" s="756"/>
      <c r="Q200" s="756"/>
      <c r="R200" s="756"/>
      <c r="S200" s="756"/>
      <c r="T200" s="756"/>
      <c r="U200" s="756"/>
      <c r="V200" s="4278" t="str">
        <f>D200</f>
        <v>Rold</v>
      </c>
      <c r="W200" s="750">
        <v>11</v>
      </c>
      <c r="X200" s="750">
        <v>11</v>
      </c>
      <c r="Y200" s="750">
        <v>11</v>
      </c>
      <c r="Z200" s="1018">
        <v>11</v>
      </c>
      <c r="AA200" s="1018">
        <v>11</v>
      </c>
      <c r="AB200" s="1018">
        <v>11</v>
      </c>
      <c r="AC200" s="1018">
        <v>11</v>
      </c>
      <c r="AD200" s="1018">
        <v>11</v>
      </c>
      <c r="AE200" s="750"/>
      <c r="AF200" s="750"/>
      <c r="AG200" s="750"/>
      <c r="AK200" s="732"/>
      <c r="BB200" s="752"/>
    </row>
    <row r="201" spans="1:54" s="741" customFormat="1" hidden="1" outlineLevel="1" x14ac:dyDescent="0.35">
      <c r="A201" s="756"/>
      <c r="B201" s="1328"/>
      <c r="C201" s="753"/>
      <c r="D201" s="4275"/>
      <c r="E201" s="368" t="s">
        <v>4262</v>
      </c>
      <c r="F201" s="1018">
        <v>11</v>
      </c>
      <c r="G201" s="2979"/>
      <c r="H201" s="3158" t="s">
        <v>1612</v>
      </c>
      <c r="I201" s="756"/>
      <c r="J201" s="756"/>
      <c r="K201" s="756"/>
      <c r="L201" s="756"/>
      <c r="M201" s="756"/>
      <c r="N201" s="756"/>
      <c r="O201" s="756"/>
      <c r="P201" s="756"/>
      <c r="Q201" s="756"/>
      <c r="R201" s="756"/>
      <c r="S201" s="756"/>
      <c r="T201" s="756"/>
      <c r="U201" s="756"/>
      <c r="V201" s="4279"/>
      <c r="W201" s="750">
        <v>11</v>
      </c>
      <c r="X201" s="750">
        <v>11</v>
      </c>
      <c r="Y201" s="750">
        <v>11</v>
      </c>
      <c r="Z201" s="1018">
        <v>11</v>
      </c>
      <c r="AA201" s="1018">
        <v>11</v>
      </c>
      <c r="AB201" s="1018">
        <v>11</v>
      </c>
      <c r="AC201" s="1018">
        <v>11</v>
      </c>
      <c r="AD201" s="1018">
        <v>11</v>
      </c>
      <c r="AE201" s="750"/>
      <c r="AF201" s="750"/>
      <c r="AG201" s="750"/>
      <c r="AK201" s="732"/>
      <c r="BB201" s="752"/>
    </row>
    <row r="202" spans="1:54" s="741" customFormat="1" hidden="1" outlineLevel="1" x14ac:dyDescent="0.35">
      <c r="A202" s="756"/>
      <c r="B202" s="1328"/>
      <c r="C202" s="753"/>
      <c r="D202" s="4275"/>
      <c r="E202" s="368" t="s">
        <v>4263</v>
      </c>
      <c r="F202" s="1018">
        <v>11</v>
      </c>
      <c r="G202" s="2979"/>
      <c r="H202" s="3158" t="s">
        <v>1612</v>
      </c>
      <c r="I202" s="756"/>
      <c r="J202" s="756"/>
      <c r="K202" s="756"/>
      <c r="L202" s="756"/>
      <c r="M202" s="756"/>
      <c r="N202" s="756"/>
      <c r="O202" s="756"/>
      <c r="P202" s="756"/>
      <c r="Q202" s="756"/>
      <c r="R202" s="756"/>
      <c r="S202" s="756"/>
      <c r="T202" s="756"/>
      <c r="U202" s="756"/>
      <c r="V202" s="4279"/>
      <c r="W202" s="750">
        <v>11</v>
      </c>
      <c r="X202" s="750">
        <v>11</v>
      </c>
      <c r="Y202" s="750">
        <v>11</v>
      </c>
      <c r="Z202" s="1018">
        <v>11</v>
      </c>
      <c r="AA202" s="1018">
        <v>11</v>
      </c>
      <c r="AB202" s="1018">
        <v>11</v>
      </c>
      <c r="AC202" s="1018">
        <v>11</v>
      </c>
      <c r="AD202" s="1018">
        <v>11</v>
      </c>
      <c r="AE202" s="750"/>
      <c r="AF202" s="750"/>
      <c r="AG202" s="750"/>
      <c r="AK202" s="732"/>
      <c r="BB202" s="752"/>
    </row>
    <row r="203" spans="1:54" s="741" customFormat="1" hidden="1" outlineLevel="1" x14ac:dyDescent="0.35">
      <c r="A203" s="756"/>
      <c r="B203" s="1328"/>
      <c r="C203" s="753"/>
      <c r="D203" s="4275"/>
      <c r="E203" s="368" t="s">
        <v>4264</v>
      </c>
      <c r="F203" s="1018">
        <v>11</v>
      </c>
      <c r="G203" s="2979"/>
      <c r="H203" s="3158" t="s">
        <v>1612</v>
      </c>
      <c r="I203" s="756"/>
      <c r="J203" s="756"/>
      <c r="K203" s="756"/>
      <c r="L203" s="756"/>
      <c r="M203" s="756"/>
      <c r="N203" s="756"/>
      <c r="O203" s="756"/>
      <c r="P203" s="756"/>
      <c r="Q203" s="756"/>
      <c r="R203" s="756"/>
      <c r="S203" s="756"/>
      <c r="T203" s="756"/>
      <c r="U203" s="756"/>
      <c r="V203" s="4279"/>
      <c r="W203" s="750">
        <v>11</v>
      </c>
      <c r="X203" s="750">
        <v>11</v>
      </c>
      <c r="Y203" s="750">
        <v>11</v>
      </c>
      <c r="Z203" s="1018">
        <v>11</v>
      </c>
      <c r="AA203" s="1018">
        <v>11</v>
      </c>
      <c r="AB203" s="1018">
        <v>11</v>
      </c>
      <c r="AC203" s="1018">
        <v>11</v>
      </c>
      <c r="AD203" s="1018">
        <v>11</v>
      </c>
      <c r="AE203" s="750"/>
      <c r="AF203" s="750"/>
      <c r="AG203" s="750"/>
      <c r="AK203" s="732"/>
      <c r="BB203" s="752"/>
    </row>
    <row r="204" spans="1:54" s="741" customFormat="1" hidden="1" outlineLevel="1" x14ac:dyDescent="0.35">
      <c r="A204" s="756"/>
      <c r="B204" s="1328"/>
      <c r="C204" s="753"/>
      <c r="D204" s="4275"/>
      <c r="E204" s="368" t="s">
        <v>4265</v>
      </c>
      <c r="F204" s="1018">
        <v>11</v>
      </c>
      <c r="G204" s="2979"/>
      <c r="H204" s="3158" t="s">
        <v>1612</v>
      </c>
      <c r="I204" s="756"/>
      <c r="J204" s="756"/>
      <c r="K204" s="756"/>
      <c r="L204" s="756"/>
      <c r="M204" s="756"/>
      <c r="N204" s="756"/>
      <c r="O204" s="756"/>
      <c r="P204" s="756"/>
      <c r="Q204" s="756"/>
      <c r="R204" s="756"/>
      <c r="S204" s="756"/>
      <c r="T204" s="756"/>
      <c r="U204" s="756"/>
      <c r="V204" s="4279"/>
      <c r="W204" s="750">
        <v>11</v>
      </c>
      <c r="X204" s="750">
        <v>11</v>
      </c>
      <c r="Y204" s="750">
        <v>11</v>
      </c>
      <c r="Z204" s="1018">
        <v>11</v>
      </c>
      <c r="AA204" s="1018">
        <v>11</v>
      </c>
      <c r="AB204" s="1018">
        <v>11</v>
      </c>
      <c r="AC204" s="1018">
        <v>11</v>
      </c>
      <c r="AD204" s="1018">
        <v>11</v>
      </c>
      <c r="AE204" s="750"/>
      <c r="AF204" s="750"/>
      <c r="AG204" s="750"/>
      <c r="AK204" s="732"/>
      <c r="BB204" s="752"/>
    </row>
    <row r="205" spans="1:54" s="741" customFormat="1" hidden="1" outlineLevel="1" x14ac:dyDescent="0.35">
      <c r="A205" s="756"/>
      <c r="B205" s="1345"/>
      <c r="C205" s="753"/>
      <c r="D205" s="4275"/>
      <c r="E205" s="368" t="s">
        <v>4266</v>
      </c>
      <c r="F205" s="1018">
        <v>11</v>
      </c>
      <c r="G205" s="2979"/>
      <c r="H205" s="3158" t="s">
        <v>1612</v>
      </c>
      <c r="I205" s="756"/>
      <c r="J205" s="756"/>
      <c r="K205" s="756"/>
      <c r="L205" s="756"/>
      <c r="M205" s="756"/>
      <c r="N205" s="756"/>
      <c r="O205" s="756"/>
      <c r="P205" s="756"/>
      <c r="Q205" s="756"/>
      <c r="R205" s="756"/>
      <c r="S205" s="756"/>
      <c r="T205" s="756"/>
      <c r="U205" s="756"/>
      <c r="V205" s="4279"/>
      <c r="W205" s="750">
        <v>11</v>
      </c>
      <c r="X205" s="750">
        <v>11</v>
      </c>
      <c r="Y205" s="750">
        <v>11</v>
      </c>
      <c r="Z205" s="1018">
        <v>11</v>
      </c>
      <c r="AA205" s="1018">
        <v>11</v>
      </c>
      <c r="AB205" s="1018">
        <v>11</v>
      </c>
      <c r="AC205" s="1018">
        <v>11</v>
      </c>
      <c r="AD205" s="1018">
        <v>11</v>
      </c>
      <c r="AE205" s="750"/>
      <c r="AF205" s="750"/>
      <c r="AG205" s="750"/>
      <c r="AK205" s="732"/>
      <c r="BB205" s="752"/>
    </row>
    <row r="206" spans="1:54" s="741" customFormat="1" hidden="1" outlineLevel="1" x14ac:dyDescent="0.35">
      <c r="A206" s="756"/>
      <c r="B206" s="1345"/>
      <c r="C206" s="753"/>
      <c r="D206" s="4275"/>
      <c r="E206" s="368" t="s">
        <v>4267</v>
      </c>
      <c r="F206" s="1018">
        <v>5</v>
      </c>
      <c r="G206" s="2979"/>
      <c r="H206" s="3158" t="s">
        <v>1612</v>
      </c>
      <c r="I206" s="756"/>
      <c r="J206" s="756"/>
      <c r="K206" s="756"/>
      <c r="L206" s="756"/>
      <c r="M206" s="756"/>
      <c r="N206" s="756"/>
      <c r="O206" s="756"/>
      <c r="P206" s="756"/>
      <c r="Q206" s="756"/>
      <c r="R206" s="756"/>
      <c r="S206" s="756"/>
      <c r="T206" s="756"/>
      <c r="U206" s="756"/>
      <c r="V206" s="4279"/>
      <c r="W206" s="750">
        <v>5</v>
      </c>
      <c r="X206" s="750">
        <v>5</v>
      </c>
      <c r="Y206" s="750">
        <v>5</v>
      </c>
      <c r="Z206" s="1018">
        <v>5</v>
      </c>
      <c r="AA206" s="1018">
        <v>5</v>
      </c>
      <c r="AB206" s="1018">
        <v>5</v>
      </c>
      <c r="AC206" s="1018">
        <v>5</v>
      </c>
      <c r="AD206" s="1018">
        <v>5</v>
      </c>
      <c r="AE206" s="750"/>
      <c r="AF206" s="750"/>
      <c r="AG206" s="750"/>
      <c r="AK206" s="732"/>
      <c r="BB206" s="752"/>
    </row>
    <row r="207" spans="1:54" s="741" customFormat="1" hidden="1" outlineLevel="1" x14ac:dyDescent="0.35">
      <c r="A207" s="756"/>
      <c r="B207" s="1345"/>
      <c r="C207" s="753"/>
      <c r="D207" s="4275"/>
      <c r="E207" s="368" t="s">
        <v>4268</v>
      </c>
      <c r="F207" s="1018">
        <v>5</v>
      </c>
      <c r="G207" s="2979"/>
      <c r="H207" s="3158" t="s">
        <v>1612</v>
      </c>
      <c r="I207" s="756"/>
      <c r="J207" s="756"/>
      <c r="K207" s="756"/>
      <c r="L207" s="756"/>
      <c r="M207" s="756"/>
      <c r="N207" s="756"/>
      <c r="O207" s="756"/>
      <c r="P207" s="756"/>
      <c r="Q207" s="756"/>
      <c r="R207" s="756"/>
      <c r="S207" s="756"/>
      <c r="T207" s="756"/>
      <c r="U207" s="756"/>
      <c r="V207" s="4279"/>
      <c r="W207" s="750">
        <v>5</v>
      </c>
      <c r="X207" s="750">
        <v>5</v>
      </c>
      <c r="Y207" s="750">
        <v>5</v>
      </c>
      <c r="Z207" s="1018">
        <v>5</v>
      </c>
      <c r="AA207" s="1018">
        <v>5</v>
      </c>
      <c r="AB207" s="1018">
        <v>5</v>
      </c>
      <c r="AC207" s="1018">
        <v>5</v>
      </c>
      <c r="AD207" s="1018">
        <v>5</v>
      </c>
      <c r="AE207" s="750"/>
      <c r="AF207" s="750"/>
      <c r="AG207" s="750"/>
      <c r="AK207" s="732"/>
      <c r="BB207" s="752"/>
    </row>
    <row r="208" spans="1:54" s="741" customFormat="1" hidden="1" outlineLevel="1" x14ac:dyDescent="0.35">
      <c r="A208" s="756"/>
      <c r="B208" s="1345"/>
      <c r="C208" s="753"/>
      <c r="D208" s="4275"/>
      <c r="E208" s="374" t="s">
        <v>4269</v>
      </c>
      <c r="F208" s="1018">
        <v>5</v>
      </c>
      <c r="G208" s="2979"/>
      <c r="H208" s="3158" t="s">
        <v>1612</v>
      </c>
      <c r="I208" s="756"/>
      <c r="J208" s="756"/>
      <c r="K208" s="756"/>
      <c r="L208" s="756"/>
      <c r="M208" s="756"/>
      <c r="N208" s="756"/>
      <c r="O208" s="756"/>
      <c r="P208" s="756"/>
      <c r="Q208" s="756"/>
      <c r="R208" s="756"/>
      <c r="S208" s="756"/>
      <c r="T208" s="756"/>
      <c r="U208" s="756"/>
      <c r="V208" s="4279"/>
      <c r="W208" s="750">
        <v>5</v>
      </c>
      <c r="X208" s="750">
        <v>5</v>
      </c>
      <c r="Y208" s="750">
        <v>5</v>
      </c>
      <c r="Z208" s="1018">
        <v>5</v>
      </c>
      <c r="AA208" s="1018">
        <v>5</v>
      </c>
      <c r="AB208" s="1018">
        <v>5</v>
      </c>
      <c r="AC208" s="1018">
        <v>5</v>
      </c>
      <c r="AD208" s="1018">
        <v>5</v>
      </c>
      <c r="AE208" s="750"/>
      <c r="AF208" s="750"/>
      <c r="AG208" s="750"/>
      <c r="AK208" s="732"/>
      <c r="BB208" s="752"/>
    </row>
    <row r="209" spans="1:54" s="741" customFormat="1" hidden="1" outlineLevel="1" x14ac:dyDescent="0.35">
      <c r="A209" s="756"/>
      <c r="B209" s="1345"/>
      <c r="C209" s="753"/>
      <c r="D209" s="4275"/>
      <c r="E209" s="368" t="s">
        <v>4270</v>
      </c>
      <c r="F209" s="1018">
        <v>5</v>
      </c>
      <c r="G209" s="2979"/>
      <c r="H209" s="3158" t="s">
        <v>1612</v>
      </c>
      <c r="I209" s="756"/>
      <c r="J209" s="756"/>
      <c r="K209" s="756"/>
      <c r="L209" s="756"/>
      <c r="M209" s="756"/>
      <c r="N209" s="756"/>
      <c r="O209" s="756"/>
      <c r="P209" s="756"/>
      <c r="Q209" s="756"/>
      <c r="R209" s="756"/>
      <c r="S209" s="756"/>
      <c r="T209" s="756"/>
      <c r="U209" s="756"/>
      <c r="V209" s="4279"/>
      <c r="W209" s="750">
        <v>5</v>
      </c>
      <c r="X209" s="750">
        <v>5</v>
      </c>
      <c r="Y209" s="750">
        <v>5</v>
      </c>
      <c r="Z209" s="1018">
        <v>5</v>
      </c>
      <c r="AA209" s="1018">
        <v>5</v>
      </c>
      <c r="AB209" s="1018">
        <v>5</v>
      </c>
      <c r="AC209" s="1018">
        <v>5</v>
      </c>
      <c r="AD209" s="1018">
        <v>5</v>
      </c>
      <c r="AE209" s="750"/>
      <c r="AF209" s="750"/>
      <c r="AG209" s="750"/>
      <c r="AK209" s="732"/>
      <c r="BB209" s="752"/>
    </row>
    <row r="210" spans="1:54" s="741" customFormat="1" hidden="1" outlineLevel="1" x14ac:dyDescent="0.35">
      <c r="A210" s="756"/>
      <c r="B210" s="1345"/>
      <c r="C210" s="753"/>
      <c r="D210" s="4275"/>
      <c r="E210" s="368" t="s">
        <v>4271</v>
      </c>
      <c r="F210" s="1018">
        <v>5</v>
      </c>
      <c r="G210" s="2979"/>
      <c r="H210" s="3158" t="s">
        <v>1612</v>
      </c>
      <c r="I210" s="756"/>
      <c r="J210" s="756"/>
      <c r="K210" s="756"/>
      <c r="L210" s="756"/>
      <c r="M210" s="756"/>
      <c r="N210" s="756"/>
      <c r="O210" s="756"/>
      <c r="P210" s="756"/>
      <c r="Q210" s="756"/>
      <c r="R210" s="756"/>
      <c r="S210" s="756"/>
      <c r="T210" s="756"/>
      <c r="U210" s="756"/>
      <c r="V210" s="4279"/>
      <c r="W210" s="750">
        <v>5</v>
      </c>
      <c r="X210" s="750">
        <v>5</v>
      </c>
      <c r="Y210" s="750">
        <v>5</v>
      </c>
      <c r="Z210" s="1018">
        <v>5</v>
      </c>
      <c r="AA210" s="1018">
        <v>5</v>
      </c>
      <c r="AB210" s="1018">
        <v>5</v>
      </c>
      <c r="AC210" s="1018">
        <v>5</v>
      </c>
      <c r="AD210" s="1018">
        <v>5</v>
      </c>
      <c r="AE210" s="750"/>
      <c r="AF210" s="750"/>
      <c r="AG210" s="750"/>
      <c r="AK210" s="732"/>
      <c r="BB210" s="752"/>
    </row>
    <row r="211" spans="1:54" s="741" customFormat="1" hidden="1" outlineLevel="1" x14ac:dyDescent="0.35">
      <c r="A211" s="756"/>
      <c r="B211" s="1345"/>
      <c r="C211" s="753"/>
      <c r="D211" s="4275"/>
      <c r="E211" s="1341" t="s">
        <v>4272</v>
      </c>
      <c r="F211" s="1018">
        <v>5</v>
      </c>
      <c r="G211" s="2979"/>
      <c r="H211" s="3158" t="s">
        <v>1612</v>
      </c>
      <c r="I211" s="756"/>
      <c r="J211" s="756"/>
      <c r="K211" s="756"/>
      <c r="L211" s="756"/>
      <c r="M211" s="756"/>
      <c r="N211" s="756"/>
      <c r="O211" s="756"/>
      <c r="P211" s="756"/>
      <c r="Q211" s="756"/>
      <c r="R211" s="756"/>
      <c r="S211" s="756"/>
      <c r="T211" s="756"/>
      <c r="U211" s="756"/>
      <c r="V211" s="4279"/>
      <c r="W211" s="750">
        <v>5</v>
      </c>
      <c r="X211" s="750">
        <v>5</v>
      </c>
      <c r="Y211" s="750">
        <v>5</v>
      </c>
      <c r="Z211" s="1018">
        <v>5</v>
      </c>
      <c r="AA211" s="1018">
        <v>5</v>
      </c>
      <c r="AB211" s="1018">
        <v>5</v>
      </c>
      <c r="AC211" s="1018">
        <v>5</v>
      </c>
      <c r="AD211" s="1018">
        <v>5</v>
      </c>
      <c r="AE211" s="750"/>
      <c r="AF211" s="750"/>
      <c r="AG211" s="750"/>
      <c r="AK211" s="732"/>
      <c r="BB211" s="752"/>
    </row>
    <row r="212" spans="1:54" s="741" customFormat="1" hidden="1" outlineLevel="1" x14ac:dyDescent="0.35">
      <c r="A212" s="756"/>
      <c r="B212" s="1345"/>
      <c r="C212" s="753"/>
      <c r="D212" s="4275"/>
      <c r="E212" s="368" t="s">
        <v>4273</v>
      </c>
      <c r="F212" s="1018">
        <v>5</v>
      </c>
      <c r="G212" s="2979"/>
      <c r="H212" s="3158" t="s">
        <v>1612</v>
      </c>
      <c r="I212" s="756"/>
      <c r="J212" s="756"/>
      <c r="K212" s="756"/>
      <c r="L212" s="756"/>
      <c r="M212" s="756"/>
      <c r="N212" s="756"/>
      <c r="O212" s="756"/>
      <c r="P212" s="756"/>
      <c r="Q212" s="756"/>
      <c r="R212" s="756"/>
      <c r="S212" s="756"/>
      <c r="T212" s="756"/>
      <c r="U212" s="756"/>
      <c r="V212" s="4279"/>
      <c r="W212" s="750">
        <v>5</v>
      </c>
      <c r="X212" s="750">
        <v>5</v>
      </c>
      <c r="Y212" s="750">
        <v>5</v>
      </c>
      <c r="Z212" s="1018">
        <v>5</v>
      </c>
      <c r="AA212" s="1018">
        <v>5</v>
      </c>
      <c r="AB212" s="1018">
        <v>5</v>
      </c>
      <c r="AC212" s="1018">
        <v>5</v>
      </c>
      <c r="AD212" s="1018">
        <v>5</v>
      </c>
      <c r="AE212" s="750"/>
      <c r="AF212" s="750"/>
      <c r="AG212" s="750"/>
      <c r="AK212" s="732"/>
      <c r="BB212" s="752"/>
    </row>
    <row r="213" spans="1:54" s="741" customFormat="1" hidden="1" outlineLevel="1" x14ac:dyDescent="0.35">
      <c r="A213" s="756"/>
      <c r="B213" s="1328"/>
      <c r="C213" s="753"/>
      <c r="D213" s="4275"/>
      <c r="E213" s="368" t="s">
        <v>4274</v>
      </c>
      <c r="F213" s="1018">
        <v>5</v>
      </c>
      <c r="G213" s="2979"/>
      <c r="H213" s="3158" t="s">
        <v>1612</v>
      </c>
      <c r="I213" s="756"/>
      <c r="J213" s="756"/>
      <c r="K213" s="756"/>
      <c r="L213" s="756"/>
      <c r="M213" s="756"/>
      <c r="N213" s="756"/>
      <c r="O213" s="756"/>
      <c r="P213" s="756"/>
      <c r="Q213" s="756"/>
      <c r="R213" s="756"/>
      <c r="S213" s="756"/>
      <c r="T213" s="756"/>
      <c r="U213" s="756"/>
      <c r="V213" s="4279"/>
      <c r="W213" s="750">
        <v>5</v>
      </c>
      <c r="X213" s="750">
        <v>5</v>
      </c>
      <c r="Y213" s="750">
        <v>5</v>
      </c>
      <c r="Z213" s="1018">
        <v>5</v>
      </c>
      <c r="AA213" s="1018">
        <v>5</v>
      </c>
      <c r="AB213" s="1018">
        <v>5</v>
      </c>
      <c r="AC213" s="1018">
        <v>5</v>
      </c>
      <c r="AD213" s="1018">
        <v>5</v>
      </c>
      <c r="AE213" s="750"/>
      <c r="AF213" s="750"/>
      <c r="AG213" s="750"/>
      <c r="AK213" s="732"/>
      <c r="BB213" s="752"/>
    </row>
    <row r="214" spans="1:54" s="741" customFormat="1" hidden="1" outlineLevel="1" x14ac:dyDescent="0.35">
      <c r="A214" s="756"/>
      <c r="B214" s="1328"/>
      <c r="C214" s="753"/>
      <c r="D214" s="4275"/>
      <c r="E214" s="374" t="s">
        <v>4275</v>
      </c>
      <c r="F214" s="1018">
        <v>5</v>
      </c>
      <c r="G214" s="2979"/>
      <c r="H214" s="3158" t="s">
        <v>1612</v>
      </c>
      <c r="I214" s="756"/>
      <c r="J214" s="756"/>
      <c r="K214" s="756"/>
      <c r="L214" s="756"/>
      <c r="M214" s="756"/>
      <c r="N214" s="756"/>
      <c r="O214" s="756"/>
      <c r="P214" s="756"/>
      <c r="Q214" s="756"/>
      <c r="R214" s="756"/>
      <c r="S214" s="756"/>
      <c r="T214" s="756"/>
      <c r="U214" s="756"/>
      <c r="V214" s="4279"/>
      <c r="W214" s="750">
        <v>5</v>
      </c>
      <c r="X214" s="750">
        <v>5</v>
      </c>
      <c r="Y214" s="750">
        <v>5</v>
      </c>
      <c r="Z214" s="1018">
        <v>5</v>
      </c>
      <c r="AA214" s="1018">
        <v>5</v>
      </c>
      <c r="AB214" s="1018">
        <v>5</v>
      </c>
      <c r="AC214" s="1018">
        <v>5</v>
      </c>
      <c r="AD214" s="1018">
        <v>5</v>
      </c>
      <c r="AE214" s="750"/>
      <c r="AF214" s="750"/>
      <c r="AG214" s="750"/>
      <c r="AK214" s="732"/>
      <c r="BB214" s="752"/>
    </row>
    <row r="215" spans="1:54" s="741" customFormat="1" hidden="1" outlineLevel="1" x14ac:dyDescent="0.35">
      <c r="A215" s="756"/>
      <c r="B215" s="1328"/>
      <c r="C215" s="753"/>
      <c r="D215" s="4275"/>
      <c r="E215" s="368" t="s">
        <v>4276</v>
      </c>
      <c r="F215" s="1018">
        <v>5</v>
      </c>
      <c r="G215" s="2979"/>
      <c r="H215" s="3158" t="s">
        <v>1612</v>
      </c>
      <c r="I215" s="756"/>
      <c r="J215" s="756"/>
      <c r="K215" s="756"/>
      <c r="L215" s="756"/>
      <c r="M215" s="756"/>
      <c r="N215" s="756"/>
      <c r="O215" s="756"/>
      <c r="P215" s="756"/>
      <c r="Q215" s="756"/>
      <c r="R215" s="756"/>
      <c r="S215" s="756"/>
      <c r="T215" s="756"/>
      <c r="U215" s="756"/>
      <c r="V215" s="4279"/>
      <c r="W215" s="750">
        <v>5</v>
      </c>
      <c r="X215" s="750">
        <v>5</v>
      </c>
      <c r="Y215" s="750">
        <v>5</v>
      </c>
      <c r="Z215" s="1018">
        <v>5</v>
      </c>
      <c r="AA215" s="1018">
        <v>5</v>
      </c>
      <c r="AB215" s="1018">
        <v>5</v>
      </c>
      <c r="AC215" s="1018">
        <v>5</v>
      </c>
      <c r="AD215" s="1018">
        <v>5</v>
      </c>
      <c r="AE215" s="750"/>
      <c r="AF215" s="750"/>
      <c r="AG215" s="750"/>
      <c r="AK215" s="732"/>
      <c r="BB215" s="752"/>
    </row>
    <row r="216" spans="1:54" s="741" customFormat="1" hidden="1" outlineLevel="1" x14ac:dyDescent="0.35">
      <c r="A216" s="756"/>
      <c r="B216" s="1345"/>
      <c r="C216" s="753"/>
      <c r="D216" s="4275"/>
      <c r="E216" s="374" t="s">
        <v>4277</v>
      </c>
      <c r="F216" s="1018">
        <v>5</v>
      </c>
      <c r="G216" s="2979"/>
      <c r="H216" s="3158" t="s">
        <v>1612</v>
      </c>
      <c r="I216" s="756"/>
      <c r="J216" s="756"/>
      <c r="K216" s="756"/>
      <c r="L216" s="756"/>
      <c r="M216" s="756"/>
      <c r="N216" s="756"/>
      <c r="O216" s="756"/>
      <c r="P216" s="756"/>
      <c r="Q216" s="756"/>
      <c r="R216" s="756"/>
      <c r="S216" s="756"/>
      <c r="T216" s="756"/>
      <c r="U216" s="756"/>
      <c r="V216" s="4279"/>
      <c r="W216" s="750">
        <v>5</v>
      </c>
      <c r="X216" s="750">
        <v>5</v>
      </c>
      <c r="Y216" s="750">
        <v>5</v>
      </c>
      <c r="Z216" s="1018">
        <v>5</v>
      </c>
      <c r="AA216" s="1018">
        <v>5</v>
      </c>
      <c r="AB216" s="1018">
        <v>5</v>
      </c>
      <c r="AC216" s="1018">
        <v>5</v>
      </c>
      <c r="AD216" s="1018">
        <v>5</v>
      </c>
      <c r="AE216" s="750"/>
      <c r="AF216" s="750"/>
      <c r="AG216" s="750"/>
      <c r="AK216" s="732"/>
      <c r="BB216" s="752"/>
    </row>
    <row r="217" spans="1:54" s="741" customFormat="1" hidden="1" outlineLevel="1" x14ac:dyDescent="0.35">
      <c r="A217" s="756"/>
      <c r="B217" s="1345"/>
      <c r="C217" s="753"/>
      <c r="D217" s="4275"/>
      <c r="E217" s="368" t="s">
        <v>4278</v>
      </c>
      <c r="F217" s="1018">
        <v>5</v>
      </c>
      <c r="G217" s="2979"/>
      <c r="H217" s="3158" t="s">
        <v>1612</v>
      </c>
      <c r="I217" s="756"/>
      <c r="J217" s="756"/>
      <c r="K217" s="756"/>
      <c r="L217" s="756"/>
      <c r="M217" s="756"/>
      <c r="N217" s="756"/>
      <c r="O217" s="756"/>
      <c r="P217" s="756"/>
      <c r="Q217" s="756"/>
      <c r="R217" s="756"/>
      <c r="S217" s="756"/>
      <c r="T217" s="756"/>
      <c r="U217" s="756"/>
      <c r="V217" s="4279"/>
      <c r="W217" s="750">
        <v>5</v>
      </c>
      <c r="X217" s="750">
        <v>5</v>
      </c>
      <c r="Y217" s="750">
        <v>5</v>
      </c>
      <c r="Z217" s="1018">
        <v>5</v>
      </c>
      <c r="AA217" s="1018">
        <v>5</v>
      </c>
      <c r="AB217" s="1018">
        <v>5</v>
      </c>
      <c r="AC217" s="1018">
        <v>5</v>
      </c>
      <c r="AD217" s="1018">
        <v>5</v>
      </c>
      <c r="AE217" s="750"/>
      <c r="AF217" s="750"/>
      <c r="AG217" s="750"/>
      <c r="AK217" s="732"/>
      <c r="BB217" s="752"/>
    </row>
    <row r="218" spans="1:54" s="741" customFormat="1" hidden="1" outlineLevel="1" x14ac:dyDescent="0.35">
      <c r="A218" s="756"/>
      <c r="B218" s="1345"/>
      <c r="C218" s="753"/>
      <c r="D218" s="4275"/>
      <c r="E218" s="368" t="s">
        <v>4279</v>
      </c>
      <c r="F218" s="1018">
        <v>5</v>
      </c>
      <c r="G218" s="2979"/>
      <c r="H218" s="3158" t="s">
        <v>1612</v>
      </c>
      <c r="I218" s="756"/>
      <c r="J218" s="756"/>
      <c r="K218" s="756"/>
      <c r="L218" s="756"/>
      <c r="M218" s="756"/>
      <c r="N218" s="756"/>
      <c r="O218" s="756"/>
      <c r="P218" s="756"/>
      <c r="Q218" s="756"/>
      <c r="R218" s="756"/>
      <c r="S218" s="756"/>
      <c r="T218" s="756"/>
      <c r="U218" s="756"/>
      <c r="V218" s="4279"/>
      <c r="W218" s="750">
        <v>5</v>
      </c>
      <c r="X218" s="750">
        <v>5</v>
      </c>
      <c r="Y218" s="750">
        <v>5</v>
      </c>
      <c r="Z218" s="1018">
        <v>5</v>
      </c>
      <c r="AA218" s="1018">
        <v>5</v>
      </c>
      <c r="AB218" s="1018">
        <v>5</v>
      </c>
      <c r="AC218" s="1018">
        <v>5</v>
      </c>
      <c r="AD218" s="1018">
        <v>5</v>
      </c>
      <c r="AE218" s="750"/>
      <c r="AF218" s="750"/>
      <c r="AG218" s="750"/>
      <c r="AK218" s="732"/>
      <c r="BB218" s="752"/>
    </row>
    <row r="219" spans="1:54" s="741" customFormat="1" hidden="1" outlineLevel="1" x14ac:dyDescent="0.35">
      <c r="A219" s="756"/>
      <c r="B219" s="1345"/>
      <c r="C219" s="753"/>
      <c r="D219" s="4275"/>
      <c r="E219" s="368" t="s">
        <v>4280</v>
      </c>
      <c r="F219" s="1018">
        <v>5</v>
      </c>
      <c r="G219" s="2979"/>
      <c r="H219" s="3158" t="s">
        <v>1612</v>
      </c>
      <c r="I219" s="756"/>
      <c r="J219" s="756"/>
      <c r="K219" s="756"/>
      <c r="L219" s="756"/>
      <c r="M219" s="756"/>
      <c r="N219" s="756"/>
      <c r="O219" s="756"/>
      <c r="P219" s="756"/>
      <c r="Q219" s="756"/>
      <c r="R219" s="756"/>
      <c r="S219" s="756"/>
      <c r="T219" s="756"/>
      <c r="U219" s="756"/>
      <c r="V219" s="4279"/>
      <c r="W219" s="750">
        <v>5</v>
      </c>
      <c r="X219" s="750">
        <v>5</v>
      </c>
      <c r="Y219" s="750">
        <v>5</v>
      </c>
      <c r="Z219" s="1018">
        <v>5</v>
      </c>
      <c r="AA219" s="1018">
        <v>5</v>
      </c>
      <c r="AB219" s="1018">
        <v>5</v>
      </c>
      <c r="AC219" s="1018">
        <v>5</v>
      </c>
      <c r="AD219" s="1018">
        <v>5</v>
      </c>
      <c r="AE219" s="750"/>
      <c r="AF219" s="750"/>
      <c r="AG219" s="750"/>
      <c r="AK219" s="732"/>
      <c r="BB219" s="752"/>
    </row>
    <row r="220" spans="1:54" s="741" customFormat="1" hidden="1" outlineLevel="1" x14ac:dyDescent="0.35">
      <c r="A220" s="756"/>
      <c r="B220" s="1345"/>
      <c r="C220" s="753"/>
      <c r="D220" s="4275"/>
      <c r="E220" s="374" t="s">
        <v>4281</v>
      </c>
      <c r="F220" s="1018">
        <v>5</v>
      </c>
      <c r="G220" s="2979"/>
      <c r="H220" s="3158" t="s">
        <v>1612</v>
      </c>
      <c r="I220" s="756"/>
      <c r="J220" s="756"/>
      <c r="K220" s="756"/>
      <c r="L220" s="756"/>
      <c r="M220" s="756"/>
      <c r="N220" s="756"/>
      <c r="O220" s="756"/>
      <c r="P220" s="756"/>
      <c r="Q220" s="756"/>
      <c r="R220" s="756"/>
      <c r="S220" s="756"/>
      <c r="T220" s="756"/>
      <c r="U220" s="756"/>
      <c r="V220" s="4279"/>
      <c r="W220" s="750">
        <v>5</v>
      </c>
      <c r="X220" s="750">
        <v>5</v>
      </c>
      <c r="Y220" s="750">
        <v>5</v>
      </c>
      <c r="Z220" s="1018">
        <v>5</v>
      </c>
      <c r="AA220" s="1018">
        <v>5</v>
      </c>
      <c r="AB220" s="1018">
        <v>5</v>
      </c>
      <c r="AC220" s="1018">
        <v>5</v>
      </c>
      <c r="AD220" s="1018">
        <v>5</v>
      </c>
      <c r="AE220" s="750"/>
      <c r="AF220" s="750"/>
      <c r="AG220" s="750"/>
      <c r="AK220" s="732"/>
      <c r="BB220" s="752"/>
    </row>
    <row r="221" spans="1:54" s="741" customFormat="1" hidden="1" outlineLevel="1" x14ac:dyDescent="0.35">
      <c r="A221" s="756"/>
      <c r="B221" s="1345"/>
      <c r="C221" s="753"/>
      <c r="D221" s="4275"/>
      <c r="E221" s="368" t="s">
        <v>4282</v>
      </c>
      <c r="F221" s="1018">
        <v>5</v>
      </c>
      <c r="G221" s="2979"/>
      <c r="H221" s="3158" t="s">
        <v>1612</v>
      </c>
      <c r="I221" s="756"/>
      <c r="J221" s="756"/>
      <c r="K221" s="756"/>
      <c r="L221" s="756"/>
      <c r="M221" s="756"/>
      <c r="N221" s="756"/>
      <c r="O221" s="756"/>
      <c r="P221" s="756"/>
      <c r="Q221" s="756"/>
      <c r="R221" s="756"/>
      <c r="S221" s="756"/>
      <c r="T221" s="756"/>
      <c r="U221" s="756"/>
      <c r="V221" s="4279"/>
      <c r="W221" s="750">
        <v>5</v>
      </c>
      <c r="X221" s="750">
        <v>5</v>
      </c>
      <c r="Y221" s="750">
        <v>5</v>
      </c>
      <c r="Z221" s="1018">
        <v>5</v>
      </c>
      <c r="AA221" s="1018">
        <v>5</v>
      </c>
      <c r="AB221" s="1018">
        <v>5</v>
      </c>
      <c r="AC221" s="1018">
        <v>5</v>
      </c>
      <c r="AD221" s="1018">
        <v>5</v>
      </c>
      <c r="AE221" s="750"/>
      <c r="AF221" s="750"/>
      <c r="AG221" s="750"/>
      <c r="AK221" s="732"/>
      <c r="BB221" s="752"/>
    </row>
    <row r="222" spans="1:54" s="741" customFormat="1" hidden="1" outlineLevel="1" x14ac:dyDescent="0.35">
      <c r="A222" s="756"/>
      <c r="B222" s="1345"/>
      <c r="C222" s="753"/>
      <c r="D222" s="4275"/>
      <c r="E222" s="374" t="s">
        <v>4283</v>
      </c>
      <c r="F222" s="1018">
        <v>5</v>
      </c>
      <c r="G222" s="2979"/>
      <c r="H222" s="3158" t="s">
        <v>1612</v>
      </c>
      <c r="I222" s="756"/>
      <c r="J222" s="756"/>
      <c r="K222" s="756"/>
      <c r="L222" s="756"/>
      <c r="M222" s="756"/>
      <c r="N222" s="756"/>
      <c r="O222" s="756"/>
      <c r="P222" s="756"/>
      <c r="Q222" s="756"/>
      <c r="R222" s="756"/>
      <c r="S222" s="756"/>
      <c r="T222" s="756"/>
      <c r="U222" s="756"/>
      <c r="V222" s="4279"/>
      <c r="W222" s="750">
        <v>5</v>
      </c>
      <c r="X222" s="750">
        <v>5</v>
      </c>
      <c r="Y222" s="750">
        <v>5</v>
      </c>
      <c r="Z222" s="1018">
        <v>5</v>
      </c>
      <c r="AA222" s="1018">
        <v>5</v>
      </c>
      <c r="AB222" s="1018">
        <v>5</v>
      </c>
      <c r="AC222" s="1018">
        <v>5</v>
      </c>
      <c r="AD222" s="1018">
        <v>5</v>
      </c>
      <c r="AE222" s="750"/>
      <c r="AF222" s="750"/>
      <c r="AG222" s="750"/>
      <c r="AK222" s="732"/>
      <c r="BB222" s="752"/>
    </row>
    <row r="223" spans="1:54" s="741" customFormat="1" hidden="1" outlineLevel="1" x14ac:dyDescent="0.35">
      <c r="A223" s="756"/>
      <c r="B223" s="1345"/>
      <c r="C223" s="753"/>
      <c r="D223" s="4275"/>
      <c r="E223" s="368" t="s">
        <v>4284</v>
      </c>
      <c r="F223" s="1018">
        <v>5</v>
      </c>
      <c r="G223" s="2979"/>
      <c r="H223" s="3158" t="s">
        <v>1612</v>
      </c>
      <c r="I223" s="756"/>
      <c r="J223" s="756"/>
      <c r="K223" s="756"/>
      <c r="L223" s="756"/>
      <c r="M223" s="756"/>
      <c r="N223" s="756"/>
      <c r="O223" s="756"/>
      <c r="P223" s="756"/>
      <c r="Q223" s="756"/>
      <c r="R223" s="756"/>
      <c r="S223" s="756"/>
      <c r="T223" s="756"/>
      <c r="U223" s="756"/>
      <c r="V223" s="4279"/>
      <c r="W223" s="750">
        <v>5</v>
      </c>
      <c r="X223" s="750">
        <v>5</v>
      </c>
      <c r="Y223" s="750">
        <v>5</v>
      </c>
      <c r="Z223" s="1018">
        <v>5</v>
      </c>
      <c r="AA223" s="1018">
        <v>5</v>
      </c>
      <c r="AB223" s="1018">
        <v>5</v>
      </c>
      <c r="AC223" s="1018">
        <v>5</v>
      </c>
      <c r="AD223" s="1018">
        <v>5</v>
      </c>
      <c r="AE223" s="750"/>
      <c r="AF223" s="750"/>
      <c r="AG223" s="750"/>
      <c r="AK223" s="732"/>
      <c r="BB223" s="752"/>
    </row>
    <row r="224" spans="1:54" s="741" customFormat="1" hidden="1" outlineLevel="1" x14ac:dyDescent="0.35">
      <c r="A224" s="756"/>
      <c r="B224" s="1345"/>
      <c r="C224" s="753"/>
      <c r="D224" s="4275"/>
      <c r="E224" s="368" t="s">
        <v>4285</v>
      </c>
      <c r="F224" s="1018">
        <v>5</v>
      </c>
      <c r="G224" s="2979"/>
      <c r="H224" s="3158" t="s">
        <v>1612</v>
      </c>
      <c r="I224" s="756"/>
      <c r="J224" s="756"/>
      <c r="K224" s="756"/>
      <c r="L224" s="756"/>
      <c r="M224" s="756"/>
      <c r="N224" s="756"/>
      <c r="O224" s="756"/>
      <c r="P224" s="756"/>
      <c r="Q224" s="756"/>
      <c r="R224" s="756"/>
      <c r="S224" s="756"/>
      <c r="T224" s="756"/>
      <c r="U224" s="756"/>
      <c r="V224" s="4279"/>
      <c r="W224" s="750">
        <v>5</v>
      </c>
      <c r="X224" s="750">
        <v>5</v>
      </c>
      <c r="Y224" s="750">
        <v>5</v>
      </c>
      <c r="Z224" s="1018">
        <v>5</v>
      </c>
      <c r="AA224" s="1018">
        <v>5</v>
      </c>
      <c r="AB224" s="1018">
        <v>5</v>
      </c>
      <c r="AC224" s="1018">
        <v>5</v>
      </c>
      <c r="AD224" s="1018">
        <v>5</v>
      </c>
      <c r="AE224" s="750"/>
      <c r="AF224" s="750"/>
      <c r="AG224" s="750"/>
      <c r="AK224" s="732"/>
      <c r="BB224" s="752"/>
    </row>
    <row r="225" spans="1:54" s="741" customFormat="1" hidden="1" outlineLevel="1" x14ac:dyDescent="0.35">
      <c r="A225" s="756"/>
      <c r="B225" s="1345"/>
      <c r="C225" s="753"/>
      <c r="D225" s="4275"/>
      <c r="E225" s="368" t="s">
        <v>4286</v>
      </c>
      <c r="F225" s="1018">
        <v>5</v>
      </c>
      <c r="G225" s="2979"/>
      <c r="H225" s="3158" t="s">
        <v>1612</v>
      </c>
      <c r="I225" s="756"/>
      <c r="J225" s="756"/>
      <c r="K225" s="756"/>
      <c r="L225" s="756"/>
      <c r="M225" s="756"/>
      <c r="N225" s="756"/>
      <c r="O225" s="756"/>
      <c r="P225" s="756"/>
      <c r="Q225" s="756"/>
      <c r="R225" s="756"/>
      <c r="S225" s="756"/>
      <c r="T225" s="756"/>
      <c r="U225" s="756"/>
      <c r="V225" s="4279"/>
      <c r="W225" s="750">
        <v>5</v>
      </c>
      <c r="X225" s="750">
        <v>5</v>
      </c>
      <c r="Y225" s="750">
        <v>5</v>
      </c>
      <c r="Z225" s="1018">
        <v>5</v>
      </c>
      <c r="AA225" s="1018">
        <v>5</v>
      </c>
      <c r="AB225" s="1018">
        <v>5</v>
      </c>
      <c r="AC225" s="1018">
        <v>5</v>
      </c>
      <c r="AD225" s="1018">
        <v>5</v>
      </c>
      <c r="AE225" s="750"/>
      <c r="AF225" s="750"/>
      <c r="AG225" s="750"/>
      <c r="AK225" s="732"/>
      <c r="BB225" s="752"/>
    </row>
    <row r="226" spans="1:54" s="741" customFormat="1" hidden="1" outlineLevel="1" x14ac:dyDescent="0.35">
      <c r="A226" s="756"/>
      <c r="B226" s="1345"/>
      <c r="C226" s="753"/>
      <c r="D226" s="4275"/>
      <c r="E226" s="374" t="s">
        <v>4287</v>
      </c>
      <c r="F226" s="1018">
        <v>5</v>
      </c>
      <c r="G226" s="2979"/>
      <c r="H226" s="3158" t="s">
        <v>1612</v>
      </c>
      <c r="I226" s="756"/>
      <c r="J226" s="756"/>
      <c r="K226" s="756"/>
      <c r="L226" s="756"/>
      <c r="M226" s="756"/>
      <c r="N226" s="756"/>
      <c r="O226" s="756"/>
      <c r="P226" s="756"/>
      <c r="Q226" s="756"/>
      <c r="R226" s="756"/>
      <c r="S226" s="756"/>
      <c r="T226" s="756"/>
      <c r="U226" s="756"/>
      <c r="V226" s="4279"/>
      <c r="W226" s="750">
        <v>5</v>
      </c>
      <c r="X226" s="750">
        <v>5</v>
      </c>
      <c r="Y226" s="750">
        <v>5</v>
      </c>
      <c r="Z226" s="1018">
        <v>5</v>
      </c>
      <c r="AA226" s="1018">
        <v>5</v>
      </c>
      <c r="AB226" s="1018">
        <v>5</v>
      </c>
      <c r="AC226" s="1018">
        <v>5</v>
      </c>
      <c r="AD226" s="1018">
        <v>5</v>
      </c>
      <c r="AE226" s="750"/>
      <c r="AF226" s="750"/>
      <c r="AG226" s="750"/>
      <c r="AK226" s="732"/>
      <c r="BB226" s="752"/>
    </row>
    <row r="227" spans="1:54" s="741" customFormat="1" hidden="1" outlineLevel="1" x14ac:dyDescent="0.35">
      <c r="A227" s="756"/>
      <c r="B227" s="1345"/>
      <c r="C227" s="753"/>
      <c r="D227" s="4275"/>
      <c r="E227" s="368" t="s">
        <v>4288</v>
      </c>
      <c r="F227" s="1018">
        <v>5</v>
      </c>
      <c r="G227" s="2979"/>
      <c r="H227" s="3158" t="s">
        <v>1612</v>
      </c>
      <c r="I227" s="756"/>
      <c r="J227" s="756"/>
      <c r="K227" s="756"/>
      <c r="L227" s="756"/>
      <c r="M227" s="756"/>
      <c r="N227" s="756"/>
      <c r="O227" s="756"/>
      <c r="P227" s="756"/>
      <c r="Q227" s="756"/>
      <c r="R227" s="756"/>
      <c r="S227" s="756"/>
      <c r="T227" s="756"/>
      <c r="U227" s="756"/>
      <c r="V227" s="4279"/>
      <c r="W227" s="750">
        <v>5</v>
      </c>
      <c r="X227" s="750">
        <v>5</v>
      </c>
      <c r="Y227" s="750">
        <v>5</v>
      </c>
      <c r="Z227" s="1018">
        <v>5</v>
      </c>
      <c r="AA227" s="1018">
        <v>5</v>
      </c>
      <c r="AB227" s="1018">
        <v>5</v>
      </c>
      <c r="AC227" s="1018">
        <v>5</v>
      </c>
      <c r="AD227" s="1018">
        <v>5</v>
      </c>
      <c r="AE227" s="750"/>
      <c r="AF227" s="750"/>
      <c r="AG227" s="750"/>
      <c r="AK227" s="732"/>
      <c r="BB227" s="752"/>
    </row>
    <row r="228" spans="1:54" s="741" customFormat="1" hidden="1" outlineLevel="1" x14ac:dyDescent="0.35">
      <c r="A228" s="756"/>
      <c r="B228" s="1345"/>
      <c r="C228" s="753"/>
      <c r="D228" s="4275"/>
      <c r="E228" s="374" t="s">
        <v>4289</v>
      </c>
      <c r="F228" s="1018">
        <v>5</v>
      </c>
      <c r="G228" s="2979"/>
      <c r="H228" s="3158" t="s">
        <v>1612</v>
      </c>
      <c r="I228" s="756"/>
      <c r="J228" s="756"/>
      <c r="K228" s="756"/>
      <c r="L228" s="756"/>
      <c r="M228" s="756"/>
      <c r="N228" s="756"/>
      <c r="O228" s="756"/>
      <c r="P228" s="756"/>
      <c r="Q228" s="756"/>
      <c r="R228" s="756"/>
      <c r="S228" s="756"/>
      <c r="T228" s="756"/>
      <c r="U228" s="756"/>
      <c r="V228" s="4279"/>
      <c r="W228" s="750">
        <v>5</v>
      </c>
      <c r="X228" s="750">
        <v>5</v>
      </c>
      <c r="Y228" s="750">
        <v>5</v>
      </c>
      <c r="Z228" s="1018">
        <v>5</v>
      </c>
      <c r="AA228" s="1018">
        <v>5</v>
      </c>
      <c r="AB228" s="1018">
        <v>5</v>
      </c>
      <c r="AC228" s="1018">
        <v>5</v>
      </c>
      <c r="AD228" s="1018">
        <v>5</v>
      </c>
      <c r="AE228" s="750"/>
      <c r="AF228" s="750"/>
      <c r="AG228" s="750"/>
      <c r="AK228" s="732"/>
      <c r="BB228" s="752"/>
    </row>
    <row r="229" spans="1:54" s="741" customFormat="1" ht="15" hidden="1" outlineLevel="1" thickBot="1" x14ac:dyDescent="0.4">
      <c r="A229" s="756"/>
      <c r="B229" s="1345"/>
      <c r="C229" s="753"/>
      <c r="D229" s="4287"/>
      <c r="E229" s="1936" t="s">
        <v>4290</v>
      </c>
      <c r="F229" s="3162">
        <v>5</v>
      </c>
      <c r="G229" s="3159"/>
      <c r="H229" s="3160" t="s">
        <v>1612</v>
      </c>
      <c r="I229" s="756"/>
      <c r="J229" s="756"/>
      <c r="K229" s="756"/>
      <c r="L229" s="756"/>
      <c r="M229" s="756"/>
      <c r="N229" s="756"/>
      <c r="O229" s="756"/>
      <c r="P229" s="756"/>
      <c r="Q229" s="756"/>
      <c r="R229" s="756"/>
      <c r="S229" s="756"/>
      <c r="T229" s="756"/>
      <c r="U229" s="756"/>
      <c r="V229" s="4288"/>
      <c r="W229" s="750">
        <v>5</v>
      </c>
      <c r="X229" s="750">
        <v>5</v>
      </c>
      <c r="Y229" s="750">
        <v>5</v>
      </c>
      <c r="Z229" s="1018">
        <v>5</v>
      </c>
      <c r="AA229" s="1018">
        <v>5</v>
      </c>
      <c r="AB229" s="1018">
        <v>5</v>
      </c>
      <c r="AC229" s="1018">
        <v>5</v>
      </c>
      <c r="AD229" s="1018">
        <v>5</v>
      </c>
      <c r="AE229" s="750"/>
      <c r="AF229" s="750"/>
      <c r="AG229" s="750"/>
      <c r="AK229" s="732"/>
      <c r="BB229" s="752"/>
    </row>
    <row r="230" spans="1:54" s="741" customFormat="1" ht="17.25" hidden="1" customHeight="1" outlineLevel="1" x14ac:dyDescent="0.35">
      <c r="A230" s="756"/>
      <c r="B230" s="1328"/>
      <c r="C230" s="753"/>
      <c r="D230" s="4274" t="s">
        <v>1613</v>
      </c>
      <c r="E230" s="3155" t="s">
        <v>4261</v>
      </c>
      <c r="F230" s="3161">
        <v>49</v>
      </c>
      <c r="G230" s="3156"/>
      <c r="H230" s="3157" t="s">
        <v>1612</v>
      </c>
      <c r="I230" s="756"/>
      <c r="J230" s="756"/>
      <c r="K230" s="756"/>
      <c r="L230" s="756"/>
      <c r="M230" s="756"/>
      <c r="N230" s="756"/>
      <c r="O230" s="756"/>
      <c r="P230" s="756"/>
      <c r="Q230" s="756"/>
      <c r="R230" s="756"/>
      <c r="S230" s="756"/>
      <c r="T230" s="756"/>
      <c r="U230" s="756"/>
      <c r="V230" s="4278" t="str">
        <f>D230</f>
        <v>RAttic</v>
      </c>
      <c r="W230" s="750">
        <v>49</v>
      </c>
      <c r="X230" s="750">
        <v>49</v>
      </c>
      <c r="Y230" s="750">
        <v>49</v>
      </c>
      <c r="Z230" s="1018">
        <v>49</v>
      </c>
      <c r="AA230" s="1018">
        <v>49</v>
      </c>
      <c r="AB230" s="1018">
        <v>49</v>
      </c>
      <c r="AC230" s="1018">
        <v>49</v>
      </c>
      <c r="AD230" s="1018">
        <v>49</v>
      </c>
      <c r="AE230" s="750"/>
      <c r="AF230" s="750"/>
      <c r="AG230" s="750"/>
      <c r="AK230" s="732"/>
      <c r="BB230" s="752"/>
    </row>
    <row r="231" spans="1:54" s="741" customFormat="1" hidden="1" outlineLevel="1" x14ac:dyDescent="0.35">
      <c r="A231" s="756"/>
      <c r="B231" s="1328"/>
      <c r="C231" s="753"/>
      <c r="D231" s="4275"/>
      <c r="E231" s="368" t="s">
        <v>4262</v>
      </c>
      <c r="F231" s="1018">
        <v>49</v>
      </c>
      <c r="G231" s="2979"/>
      <c r="H231" s="3158" t="s">
        <v>1612</v>
      </c>
      <c r="I231" s="756"/>
      <c r="J231" s="756"/>
      <c r="K231" s="756"/>
      <c r="L231" s="756"/>
      <c r="M231" s="756"/>
      <c r="N231" s="756"/>
      <c r="O231" s="756"/>
      <c r="P231" s="756"/>
      <c r="Q231" s="756"/>
      <c r="R231" s="756"/>
      <c r="S231" s="756"/>
      <c r="T231" s="756"/>
      <c r="U231" s="756"/>
      <c r="V231" s="4279"/>
      <c r="W231" s="750">
        <v>49</v>
      </c>
      <c r="X231" s="750">
        <v>49</v>
      </c>
      <c r="Y231" s="750">
        <v>49</v>
      </c>
      <c r="Z231" s="1018">
        <v>49</v>
      </c>
      <c r="AA231" s="1018">
        <v>49</v>
      </c>
      <c r="AB231" s="1018">
        <v>49</v>
      </c>
      <c r="AC231" s="1018">
        <v>49</v>
      </c>
      <c r="AD231" s="1018">
        <v>49</v>
      </c>
      <c r="AE231" s="750"/>
      <c r="AF231" s="750"/>
      <c r="AG231" s="750"/>
      <c r="AK231" s="732"/>
      <c r="BB231" s="752"/>
    </row>
    <row r="232" spans="1:54" s="741" customFormat="1" hidden="1" outlineLevel="1" x14ac:dyDescent="0.35">
      <c r="A232" s="756"/>
      <c r="B232" s="1328"/>
      <c r="C232" s="753"/>
      <c r="D232" s="4275"/>
      <c r="E232" s="368" t="s">
        <v>4263</v>
      </c>
      <c r="F232" s="1018">
        <v>49</v>
      </c>
      <c r="G232" s="2979"/>
      <c r="H232" s="3158" t="s">
        <v>1612</v>
      </c>
      <c r="I232" s="756"/>
      <c r="J232" s="756"/>
      <c r="K232" s="756"/>
      <c r="L232" s="756"/>
      <c r="M232" s="756"/>
      <c r="N232" s="756"/>
      <c r="O232" s="756"/>
      <c r="P232" s="756"/>
      <c r="Q232" s="756"/>
      <c r="R232" s="756"/>
      <c r="S232" s="756"/>
      <c r="T232" s="756"/>
      <c r="U232" s="756"/>
      <c r="V232" s="4279"/>
      <c r="W232" s="750">
        <v>49</v>
      </c>
      <c r="X232" s="750">
        <v>49</v>
      </c>
      <c r="Y232" s="750">
        <v>49</v>
      </c>
      <c r="Z232" s="1018">
        <v>49</v>
      </c>
      <c r="AA232" s="1018">
        <v>49</v>
      </c>
      <c r="AB232" s="1018">
        <v>49</v>
      </c>
      <c r="AC232" s="1018">
        <v>49</v>
      </c>
      <c r="AD232" s="1018">
        <v>49</v>
      </c>
      <c r="AE232" s="750"/>
      <c r="AF232" s="750"/>
      <c r="AG232" s="750"/>
      <c r="AK232" s="732"/>
      <c r="BB232" s="752"/>
    </row>
    <row r="233" spans="1:54" s="741" customFormat="1" hidden="1" outlineLevel="1" x14ac:dyDescent="0.35">
      <c r="A233" s="756"/>
      <c r="B233" s="1328"/>
      <c r="C233" s="753"/>
      <c r="D233" s="4275"/>
      <c r="E233" s="368" t="s">
        <v>4264</v>
      </c>
      <c r="F233" s="1018">
        <v>49</v>
      </c>
      <c r="G233" s="2979"/>
      <c r="H233" s="3158" t="s">
        <v>1612</v>
      </c>
      <c r="I233" s="756"/>
      <c r="J233" s="756"/>
      <c r="K233" s="756"/>
      <c r="L233" s="756"/>
      <c r="M233" s="756"/>
      <c r="N233" s="756"/>
      <c r="O233" s="756"/>
      <c r="P233" s="756"/>
      <c r="Q233" s="756"/>
      <c r="R233" s="756"/>
      <c r="S233" s="756"/>
      <c r="T233" s="756"/>
      <c r="U233" s="756"/>
      <c r="V233" s="4279"/>
      <c r="W233" s="750">
        <v>49</v>
      </c>
      <c r="X233" s="750">
        <v>49</v>
      </c>
      <c r="Y233" s="750">
        <v>49</v>
      </c>
      <c r="Z233" s="1018">
        <v>49</v>
      </c>
      <c r="AA233" s="1018">
        <v>49</v>
      </c>
      <c r="AB233" s="1018">
        <v>49</v>
      </c>
      <c r="AC233" s="1018">
        <v>49</v>
      </c>
      <c r="AD233" s="1018">
        <v>49</v>
      </c>
      <c r="AE233" s="750"/>
      <c r="AF233" s="750"/>
      <c r="AG233" s="750"/>
      <c r="AK233" s="732"/>
      <c r="BB233" s="752"/>
    </row>
    <row r="234" spans="1:54" s="741" customFormat="1" hidden="1" outlineLevel="1" x14ac:dyDescent="0.35">
      <c r="A234" s="756"/>
      <c r="B234" s="1328"/>
      <c r="C234" s="753"/>
      <c r="D234" s="4275"/>
      <c r="E234" s="368" t="s">
        <v>4265</v>
      </c>
      <c r="F234" s="1018">
        <v>49</v>
      </c>
      <c r="G234" s="2979"/>
      <c r="H234" s="3158" t="s">
        <v>1612</v>
      </c>
      <c r="I234" s="756"/>
      <c r="J234" s="756"/>
      <c r="K234" s="756"/>
      <c r="L234" s="756"/>
      <c r="M234" s="756"/>
      <c r="N234" s="756"/>
      <c r="O234" s="756"/>
      <c r="P234" s="756"/>
      <c r="Q234" s="756"/>
      <c r="R234" s="756"/>
      <c r="S234" s="756"/>
      <c r="T234" s="756"/>
      <c r="U234" s="756"/>
      <c r="V234" s="4279"/>
      <c r="W234" s="750">
        <v>49</v>
      </c>
      <c r="X234" s="750">
        <v>49</v>
      </c>
      <c r="Y234" s="750">
        <v>49</v>
      </c>
      <c r="Z234" s="1018">
        <v>49</v>
      </c>
      <c r="AA234" s="1018">
        <v>49</v>
      </c>
      <c r="AB234" s="1018">
        <v>49</v>
      </c>
      <c r="AC234" s="1018">
        <v>49</v>
      </c>
      <c r="AD234" s="1018">
        <v>49</v>
      </c>
      <c r="AE234" s="750"/>
      <c r="AF234" s="750"/>
      <c r="AG234" s="750"/>
      <c r="AK234" s="732"/>
      <c r="BB234" s="752"/>
    </row>
    <row r="235" spans="1:54" s="741" customFormat="1" hidden="1" outlineLevel="1" x14ac:dyDescent="0.35">
      <c r="A235" s="756"/>
      <c r="B235" s="1345"/>
      <c r="C235" s="753"/>
      <c r="D235" s="4275"/>
      <c r="E235" s="368" t="s">
        <v>4266</v>
      </c>
      <c r="F235" s="1018">
        <v>49</v>
      </c>
      <c r="G235" s="2979"/>
      <c r="H235" s="3158" t="s">
        <v>1612</v>
      </c>
      <c r="I235" s="756"/>
      <c r="J235" s="756"/>
      <c r="K235" s="756"/>
      <c r="L235" s="756"/>
      <c r="M235" s="756"/>
      <c r="N235" s="756"/>
      <c r="O235" s="756"/>
      <c r="P235" s="756"/>
      <c r="Q235" s="756"/>
      <c r="R235" s="756"/>
      <c r="S235" s="756"/>
      <c r="T235" s="756"/>
      <c r="U235" s="756"/>
      <c r="V235" s="4279"/>
      <c r="W235" s="750">
        <v>49</v>
      </c>
      <c r="X235" s="750">
        <v>49</v>
      </c>
      <c r="Y235" s="750">
        <v>49</v>
      </c>
      <c r="Z235" s="1018">
        <v>49</v>
      </c>
      <c r="AA235" s="1018">
        <v>49</v>
      </c>
      <c r="AB235" s="1018">
        <v>49</v>
      </c>
      <c r="AC235" s="1018">
        <v>49</v>
      </c>
      <c r="AD235" s="1018">
        <v>49</v>
      </c>
      <c r="AE235" s="750"/>
      <c r="AF235" s="750"/>
      <c r="AG235" s="750"/>
      <c r="AK235" s="732"/>
      <c r="BB235" s="752"/>
    </row>
    <row r="236" spans="1:54" s="741" customFormat="1" hidden="1" outlineLevel="1" x14ac:dyDescent="0.35">
      <c r="A236" s="756"/>
      <c r="B236" s="1345"/>
      <c r="C236" s="753"/>
      <c r="D236" s="4275"/>
      <c r="E236" s="368" t="s">
        <v>4267</v>
      </c>
      <c r="F236" s="1018">
        <v>30</v>
      </c>
      <c r="G236" s="2979"/>
      <c r="H236" s="3158" t="s">
        <v>1612</v>
      </c>
      <c r="I236" s="756"/>
      <c r="J236" s="756"/>
      <c r="K236" s="756"/>
      <c r="L236" s="756"/>
      <c r="M236" s="756"/>
      <c r="N236" s="756"/>
      <c r="O236" s="756"/>
      <c r="P236" s="756"/>
      <c r="Q236" s="756"/>
      <c r="R236" s="756"/>
      <c r="S236" s="756"/>
      <c r="T236" s="756"/>
      <c r="U236" s="756"/>
      <c r="V236" s="4279"/>
      <c r="W236" s="750">
        <v>30</v>
      </c>
      <c r="X236" s="750">
        <v>30</v>
      </c>
      <c r="Y236" s="750">
        <v>30</v>
      </c>
      <c r="Z236" s="1018">
        <v>30</v>
      </c>
      <c r="AA236" s="1018">
        <v>30</v>
      </c>
      <c r="AB236" s="1018">
        <v>30</v>
      </c>
      <c r="AC236" s="1018">
        <v>30</v>
      </c>
      <c r="AD236" s="1018">
        <v>30</v>
      </c>
      <c r="AE236" s="750"/>
      <c r="AF236" s="750"/>
      <c r="AG236" s="750"/>
      <c r="AK236" s="732"/>
      <c r="BB236" s="752"/>
    </row>
    <row r="237" spans="1:54" s="741" customFormat="1" hidden="1" outlineLevel="1" x14ac:dyDescent="0.35">
      <c r="A237" s="756"/>
      <c r="B237" s="1345"/>
      <c r="C237" s="753"/>
      <c r="D237" s="4275"/>
      <c r="E237" s="368" t="s">
        <v>4268</v>
      </c>
      <c r="F237" s="1018">
        <v>30</v>
      </c>
      <c r="G237" s="2979"/>
      <c r="H237" s="3158" t="s">
        <v>1612</v>
      </c>
      <c r="I237" s="756"/>
      <c r="J237" s="756"/>
      <c r="K237" s="756"/>
      <c r="L237" s="756"/>
      <c r="M237" s="756"/>
      <c r="N237" s="756"/>
      <c r="O237" s="756"/>
      <c r="P237" s="756"/>
      <c r="Q237" s="756"/>
      <c r="R237" s="756"/>
      <c r="S237" s="756"/>
      <c r="T237" s="756"/>
      <c r="U237" s="756"/>
      <c r="V237" s="4279"/>
      <c r="W237" s="750">
        <v>30</v>
      </c>
      <c r="X237" s="750">
        <v>30</v>
      </c>
      <c r="Y237" s="750">
        <v>30</v>
      </c>
      <c r="Z237" s="1018">
        <v>30</v>
      </c>
      <c r="AA237" s="1018">
        <v>30</v>
      </c>
      <c r="AB237" s="1018">
        <v>30</v>
      </c>
      <c r="AC237" s="1018">
        <v>30</v>
      </c>
      <c r="AD237" s="1018">
        <v>30</v>
      </c>
      <c r="AE237" s="750"/>
      <c r="AF237" s="750"/>
      <c r="AG237" s="750"/>
      <c r="AK237" s="732"/>
      <c r="BB237" s="752"/>
    </row>
    <row r="238" spans="1:54" s="741" customFormat="1" hidden="1" outlineLevel="1" x14ac:dyDescent="0.35">
      <c r="A238" s="756"/>
      <c r="B238" s="1345"/>
      <c r="C238" s="753"/>
      <c r="D238" s="4275"/>
      <c r="E238" s="374" t="s">
        <v>4269</v>
      </c>
      <c r="F238" s="1018">
        <v>30</v>
      </c>
      <c r="G238" s="2979"/>
      <c r="H238" s="3158" t="s">
        <v>1612</v>
      </c>
      <c r="I238" s="756"/>
      <c r="J238" s="756"/>
      <c r="K238" s="756"/>
      <c r="L238" s="756"/>
      <c r="M238" s="756"/>
      <c r="N238" s="756"/>
      <c r="O238" s="756"/>
      <c r="P238" s="756"/>
      <c r="Q238" s="756"/>
      <c r="R238" s="756"/>
      <c r="S238" s="756"/>
      <c r="T238" s="756"/>
      <c r="U238" s="756"/>
      <c r="V238" s="4279"/>
      <c r="W238" s="750">
        <v>30</v>
      </c>
      <c r="X238" s="750">
        <v>30</v>
      </c>
      <c r="Y238" s="750">
        <v>30</v>
      </c>
      <c r="Z238" s="1018">
        <v>30</v>
      </c>
      <c r="AA238" s="1018">
        <v>30</v>
      </c>
      <c r="AB238" s="1018">
        <v>30</v>
      </c>
      <c r="AC238" s="1018">
        <v>30</v>
      </c>
      <c r="AD238" s="1018">
        <v>30</v>
      </c>
      <c r="AE238" s="750"/>
      <c r="AF238" s="750"/>
      <c r="AG238" s="750"/>
      <c r="AK238" s="732"/>
      <c r="BB238" s="752"/>
    </row>
    <row r="239" spans="1:54" s="741" customFormat="1" hidden="1" outlineLevel="1" x14ac:dyDescent="0.35">
      <c r="A239" s="756"/>
      <c r="B239" s="1345"/>
      <c r="C239" s="753"/>
      <c r="D239" s="4275"/>
      <c r="E239" s="368" t="s">
        <v>4270</v>
      </c>
      <c r="F239" s="1018">
        <v>30</v>
      </c>
      <c r="G239" s="2979"/>
      <c r="H239" s="3158" t="s">
        <v>1612</v>
      </c>
      <c r="I239" s="756"/>
      <c r="J239" s="756"/>
      <c r="K239" s="756"/>
      <c r="L239" s="756"/>
      <c r="M239" s="756"/>
      <c r="N239" s="756"/>
      <c r="O239" s="756"/>
      <c r="P239" s="756"/>
      <c r="Q239" s="756"/>
      <c r="R239" s="756"/>
      <c r="S239" s="756"/>
      <c r="T239" s="756"/>
      <c r="U239" s="756"/>
      <c r="V239" s="4279"/>
      <c r="W239" s="750">
        <v>30</v>
      </c>
      <c r="X239" s="750">
        <v>30</v>
      </c>
      <c r="Y239" s="750">
        <v>30</v>
      </c>
      <c r="Z239" s="1018">
        <v>30</v>
      </c>
      <c r="AA239" s="1018">
        <v>30</v>
      </c>
      <c r="AB239" s="1018">
        <v>30</v>
      </c>
      <c r="AC239" s="1018">
        <v>30</v>
      </c>
      <c r="AD239" s="1018">
        <v>30</v>
      </c>
      <c r="AE239" s="750"/>
      <c r="AF239" s="750"/>
      <c r="AG239" s="750"/>
      <c r="AK239" s="732"/>
      <c r="BB239" s="752"/>
    </row>
    <row r="240" spans="1:54" s="741" customFormat="1" hidden="1" outlineLevel="1" x14ac:dyDescent="0.35">
      <c r="A240" s="756"/>
      <c r="B240" s="1345"/>
      <c r="C240" s="753"/>
      <c r="D240" s="4275"/>
      <c r="E240" s="368" t="s">
        <v>4271</v>
      </c>
      <c r="F240" s="1018">
        <v>30</v>
      </c>
      <c r="G240" s="2979"/>
      <c r="H240" s="3158" t="s">
        <v>1612</v>
      </c>
      <c r="I240" s="756"/>
      <c r="J240" s="756"/>
      <c r="K240" s="756"/>
      <c r="L240" s="756"/>
      <c r="M240" s="756"/>
      <c r="N240" s="756"/>
      <c r="O240" s="756"/>
      <c r="P240" s="756"/>
      <c r="Q240" s="756"/>
      <c r="R240" s="756"/>
      <c r="S240" s="756"/>
      <c r="T240" s="756"/>
      <c r="U240" s="756"/>
      <c r="V240" s="4279"/>
      <c r="W240" s="750">
        <v>30</v>
      </c>
      <c r="X240" s="750">
        <v>30</v>
      </c>
      <c r="Y240" s="750">
        <v>30</v>
      </c>
      <c r="Z240" s="1018">
        <v>30</v>
      </c>
      <c r="AA240" s="1018">
        <v>30</v>
      </c>
      <c r="AB240" s="1018">
        <v>30</v>
      </c>
      <c r="AC240" s="1018">
        <v>30</v>
      </c>
      <c r="AD240" s="1018">
        <v>30</v>
      </c>
      <c r="AE240" s="750"/>
      <c r="AF240" s="750"/>
      <c r="AG240" s="750"/>
      <c r="AK240" s="732"/>
      <c r="BB240" s="752"/>
    </row>
    <row r="241" spans="1:54" s="741" customFormat="1" hidden="1" outlineLevel="1" x14ac:dyDescent="0.35">
      <c r="A241" s="756"/>
      <c r="B241" s="1345"/>
      <c r="C241" s="753"/>
      <c r="D241" s="4275"/>
      <c r="E241" s="1341" t="s">
        <v>4272</v>
      </c>
      <c r="F241" s="1018">
        <v>30</v>
      </c>
      <c r="G241" s="2979"/>
      <c r="H241" s="3158" t="s">
        <v>1612</v>
      </c>
      <c r="I241" s="756"/>
      <c r="J241" s="756"/>
      <c r="K241" s="756"/>
      <c r="L241" s="756"/>
      <c r="M241" s="756"/>
      <c r="N241" s="756"/>
      <c r="O241" s="756"/>
      <c r="P241" s="756"/>
      <c r="Q241" s="756"/>
      <c r="R241" s="756"/>
      <c r="S241" s="756"/>
      <c r="T241" s="756"/>
      <c r="U241" s="756"/>
      <c r="V241" s="4279"/>
      <c r="W241" s="750">
        <v>30</v>
      </c>
      <c r="X241" s="750">
        <v>30</v>
      </c>
      <c r="Y241" s="750">
        <v>30</v>
      </c>
      <c r="Z241" s="1018">
        <v>30</v>
      </c>
      <c r="AA241" s="1018">
        <v>30</v>
      </c>
      <c r="AB241" s="1018">
        <v>30</v>
      </c>
      <c r="AC241" s="1018">
        <v>30</v>
      </c>
      <c r="AD241" s="1018">
        <v>30</v>
      </c>
      <c r="AE241" s="750"/>
      <c r="AF241" s="750"/>
      <c r="AG241" s="750"/>
      <c r="AK241" s="732"/>
      <c r="BB241" s="752"/>
    </row>
    <row r="242" spans="1:54" s="741" customFormat="1" hidden="1" outlineLevel="1" x14ac:dyDescent="0.35">
      <c r="A242" s="756"/>
      <c r="B242" s="1345"/>
      <c r="C242" s="753"/>
      <c r="D242" s="4275"/>
      <c r="E242" s="368" t="s">
        <v>4273</v>
      </c>
      <c r="F242" s="1018">
        <v>38</v>
      </c>
      <c r="G242" s="2979"/>
      <c r="H242" s="3158" t="s">
        <v>1612</v>
      </c>
      <c r="I242" s="756"/>
      <c r="J242" s="756"/>
      <c r="K242" s="756"/>
      <c r="L242" s="756"/>
      <c r="M242" s="756"/>
      <c r="N242" s="756"/>
      <c r="O242" s="756"/>
      <c r="P242" s="756"/>
      <c r="Q242" s="756"/>
      <c r="R242" s="756"/>
      <c r="S242" s="756"/>
      <c r="T242" s="756"/>
      <c r="U242" s="756"/>
      <c r="V242" s="4279"/>
      <c r="W242" s="750">
        <v>38</v>
      </c>
      <c r="X242" s="750">
        <v>38</v>
      </c>
      <c r="Y242" s="750">
        <v>38</v>
      </c>
      <c r="Z242" s="1018">
        <v>38</v>
      </c>
      <c r="AA242" s="1018">
        <v>38</v>
      </c>
      <c r="AB242" s="1018">
        <v>38</v>
      </c>
      <c r="AC242" s="1018">
        <v>38</v>
      </c>
      <c r="AD242" s="1018">
        <v>38</v>
      </c>
      <c r="AE242" s="750"/>
      <c r="AF242" s="750"/>
      <c r="AG242" s="750"/>
      <c r="AK242" s="732"/>
      <c r="BB242" s="752"/>
    </row>
    <row r="243" spans="1:54" s="741" customFormat="1" hidden="1" outlineLevel="1" x14ac:dyDescent="0.35">
      <c r="A243" s="756"/>
      <c r="B243" s="1328"/>
      <c r="C243" s="753"/>
      <c r="D243" s="4275"/>
      <c r="E243" s="368" t="s">
        <v>4274</v>
      </c>
      <c r="F243" s="1018">
        <v>38</v>
      </c>
      <c r="G243" s="2979"/>
      <c r="H243" s="3158" t="s">
        <v>1612</v>
      </c>
      <c r="I243" s="756"/>
      <c r="J243" s="756"/>
      <c r="K243" s="756"/>
      <c r="L243" s="756"/>
      <c r="M243" s="756"/>
      <c r="N243" s="756"/>
      <c r="O243" s="756"/>
      <c r="P243" s="756"/>
      <c r="Q243" s="756"/>
      <c r="R243" s="756"/>
      <c r="S243" s="756"/>
      <c r="T243" s="756"/>
      <c r="U243" s="756"/>
      <c r="V243" s="4279"/>
      <c r="W243" s="750">
        <v>38</v>
      </c>
      <c r="X243" s="750">
        <v>38</v>
      </c>
      <c r="Y243" s="750">
        <v>38</v>
      </c>
      <c r="Z243" s="1018">
        <v>38</v>
      </c>
      <c r="AA243" s="1018">
        <v>38</v>
      </c>
      <c r="AB243" s="1018">
        <v>38</v>
      </c>
      <c r="AC243" s="1018">
        <v>38</v>
      </c>
      <c r="AD243" s="1018">
        <v>38</v>
      </c>
      <c r="AE243" s="750"/>
      <c r="AF243" s="750"/>
      <c r="AG243" s="750"/>
      <c r="AK243" s="732"/>
      <c r="BB243" s="752"/>
    </row>
    <row r="244" spans="1:54" s="741" customFormat="1" hidden="1" outlineLevel="1" x14ac:dyDescent="0.35">
      <c r="A244" s="756"/>
      <c r="B244" s="1328"/>
      <c r="C244" s="753"/>
      <c r="D244" s="4275"/>
      <c r="E244" s="374" t="s">
        <v>4275</v>
      </c>
      <c r="F244" s="1018">
        <v>38</v>
      </c>
      <c r="G244" s="2979"/>
      <c r="H244" s="3158" t="s">
        <v>1612</v>
      </c>
      <c r="I244" s="756"/>
      <c r="J244" s="756"/>
      <c r="K244" s="756"/>
      <c r="L244" s="756"/>
      <c r="M244" s="756"/>
      <c r="N244" s="756"/>
      <c r="O244" s="756"/>
      <c r="P244" s="756"/>
      <c r="Q244" s="756"/>
      <c r="R244" s="756"/>
      <c r="S244" s="756"/>
      <c r="T244" s="756"/>
      <c r="U244" s="756"/>
      <c r="V244" s="4279"/>
      <c r="W244" s="750">
        <v>38</v>
      </c>
      <c r="X244" s="750">
        <v>38</v>
      </c>
      <c r="Y244" s="750">
        <v>38</v>
      </c>
      <c r="Z244" s="1018">
        <v>38</v>
      </c>
      <c r="AA244" s="1018">
        <v>38</v>
      </c>
      <c r="AB244" s="1018">
        <v>38</v>
      </c>
      <c r="AC244" s="1018">
        <v>38</v>
      </c>
      <c r="AD244" s="1018">
        <v>38</v>
      </c>
      <c r="AE244" s="750"/>
      <c r="AF244" s="750"/>
      <c r="AG244" s="750"/>
      <c r="AK244" s="732"/>
      <c r="BB244" s="752"/>
    </row>
    <row r="245" spans="1:54" s="741" customFormat="1" hidden="1" outlineLevel="1" x14ac:dyDescent="0.35">
      <c r="A245" s="756"/>
      <c r="B245" s="1328"/>
      <c r="C245" s="753"/>
      <c r="D245" s="4275"/>
      <c r="E245" s="368" t="s">
        <v>4276</v>
      </c>
      <c r="F245" s="1018">
        <v>38</v>
      </c>
      <c r="G245" s="2979"/>
      <c r="H245" s="3158" t="s">
        <v>1612</v>
      </c>
      <c r="I245" s="756"/>
      <c r="J245" s="756"/>
      <c r="K245" s="756"/>
      <c r="L245" s="756"/>
      <c r="M245" s="756"/>
      <c r="N245" s="756"/>
      <c r="O245" s="756"/>
      <c r="P245" s="756"/>
      <c r="Q245" s="756"/>
      <c r="R245" s="756"/>
      <c r="S245" s="756"/>
      <c r="T245" s="756"/>
      <c r="U245" s="756"/>
      <c r="V245" s="4279"/>
      <c r="W245" s="750">
        <v>38</v>
      </c>
      <c r="X245" s="750">
        <v>38</v>
      </c>
      <c r="Y245" s="750">
        <v>38</v>
      </c>
      <c r="Z245" s="1018">
        <v>38</v>
      </c>
      <c r="AA245" s="1018">
        <v>38</v>
      </c>
      <c r="AB245" s="1018">
        <v>38</v>
      </c>
      <c r="AC245" s="1018">
        <v>38</v>
      </c>
      <c r="AD245" s="1018">
        <v>38</v>
      </c>
      <c r="AE245" s="750"/>
      <c r="AF245" s="750"/>
      <c r="AG245" s="750"/>
      <c r="AK245" s="732"/>
      <c r="BB245" s="752"/>
    </row>
    <row r="246" spans="1:54" s="741" customFormat="1" hidden="1" outlineLevel="1" x14ac:dyDescent="0.35">
      <c r="A246" s="756"/>
      <c r="B246" s="1345"/>
      <c r="C246" s="753"/>
      <c r="D246" s="4275"/>
      <c r="E246" s="374" t="s">
        <v>4277</v>
      </c>
      <c r="F246" s="1018">
        <v>38</v>
      </c>
      <c r="G246" s="2979"/>
      <c r="H246" s="3158" t="s">
        <v>1612</v>
      </c>
      <c r="I246" s="756"/>
      <c r="J246" s="756"/>
      <c r="K246" s="756"/>
      <c r="L246" s="756"/>
      <c r="M246" s="756"/>
      <c r="N246" s="756"/>
      <c r="O246" s="756"/>
      <c r="P246" s="756"/>
      <c r="Q246" s="756"/>
      <c r="R246" s="756"/>
      <c r="S246" s="756"/>
      <c r="T246" s="756"/>
      <c r="U246" s="756"/>
      <c r="V246" s="4279"/>
      <c r="W246" s="750">
        <v>38</v>
      </c>
      <c r="X246" s="750">
        <v>38</v>
      </c>
      <c r="Y246" s="750">
        <v>38</v>
      </c>
      <c r="Z246" s="1018">
        <v>38</v>
      </c>
      <c r="AA246" s="1018">
        <v>38</v>
      </c>
      <c r="AB246" s="1018">
        <v>38</v>
      </c>
      <c r="AC246" s="1018">
        <v>38</v>
      </c>
      <c r="AD246" s="1018">
        <v>38</v>
      </c>
      <c r="AE246" s="750"/>
      <c r="AF246" s="750"/>
      <c r="AG246" s="750"/>
      <c r="AK246" s="732"/>
      <c r="BB246" s="752"/>
    </row>
    <row r="247" spans="1:54" s="741" customFormat="1" hidden="1" outlineLevel="1" x14ac:dyDescent="0.35">
      <c r="A247" s="756"/>
      <c r="B247" s="1345"/>
      <c r="C247" s="753"/>
      <c r="D247" s="4275"/>
      <c r="E247" s="368" t="s">
        <v>4278</v>
      </c>
      <c r="F247" s="1018">
        <v>38</v>
      </c>
      <c r="G247" s="2979"/>
      <c r="H247" s="3158" t="s">
        <v>1612</v>
      </c>
      <c r="I247" s="756"/>
      <c r="J247" s="756"/>
      <c r="K247" s="756"/>
      <c r="L247" s="756"/>
      <c r="M247" s="756"/>
      <c r="N247" s="756"/>
      <c r="O247" s="756"/>
      <c r="P247" s="756"/>
      <c r="Q247" s="756"/>
      <c r="R247" s="756"/>
      <c r="S247" s="756"/>
      <c r="T247" s="756"/>
      <c r="U247" s="756"/>
      <c r="V247" s="4279"/>
      <c r="W247" s="750">
        <v>38</v>
      </c>
      <c r="X247" s="750">
        <v>38</v>
      </c>
      <c r="Y247" s="750">
        <v>38</v>
      </c>
      <c r="Z247" s="1018">
        <v>38</v>
      </c>
      <c r="AA247" s="1018">
        <v>38</v>
      </c>
      <c r="AB247" s="1018">
        <v>38</v>
      </c>
      <c r="AC247" s="1018">
        <v>38</v>
      </c>
      <c r="AD247" s="1018">
        <v>38</v>
      </c>
      <c r="AE247" s="750"/>
      <c r="AF247" s="750"/>
      <c r="AG247" s="750"/>
      <c r="AK247" s="732"/>
      <c r="BB247" s="752"/>
    </row>
    <row r="248" spans="1:54" s="741" customFormat="1" hidden="1" outlineLevel="1" x14ac:dyDescent="0.35">
      <c r="A248" s="756"/>
      <c r="B248" s="1345"/>
      <c r="C248" s="753"/>
      <c r="D248" s="4275"/>
      <c r="E248" s="368" t="s">
        <v>4279</v>
      </c>
      <c r="F248" s="1018">
        <v>49</v>
      </c>
      <c r="G248" s="2979"/>
      <c r="H248" s="3158" t="s">
        <v>1612</v>
      </c>
      <c r="I248" s="756"/>
      <c r="J248" s="756"/>
      <c r="K248" s="756"/>
      <c r="L248" s="756"/>
      <c r="M248" s="756"/>
      <c r="N248" s="756"/>
      <c r="O248" s="756"/>
      <c r="P248" s="756"/>
      <c r="Q248" s="756"/>
      <c r="R248" s="756"/>
      <c r="S248" s="756"/>
      <c r="T248" s="756"/>
      <c r="U248" s="756"/>
      <c r="V248" s="4279"/>
      <c r="W248" s="750">
        <v>49</v>
      </c>
      <c r="X248" s="750">
        <v>49</v>
      </c>
      <c r="Y248" s="750">
        <v>49</v>
      </c>
      <c r="Z248" s="1018">
        <v>49</v>
      </c>
      <c r="AA248" s="1018">
        <v>49</v>
      </c>
      <c r="AB248" s="1018">
        <v>49</v>
      </c>
      <c r="AC248" s="1018">
        <v>49</v>
      </c>
      <c r="AD248" s="1018">
        <v>49</v>
      </c>
      <c r="AE248" s="750"/>
      <c r="AF248" s="750"/>
      <c r="AG248" s="750"/>
      <c r="AK248" s="732"/>
      <c r="BB248" s="752"/>
    </row>
    <row r="249" spans="1:54" s="741" customFormat="1" hidden="1" outlineLevel="1" x14ac:dyDescent="0.35">
      <c r="A249" s="756"/>
      <c r="B249" s="1345"/>
      <c r="C249" s="753"/>
      <c r="D249" s="4275"/>
      <c r="E249" s="368" t="s">
        <v>4280</v>
      </c>
      <c r="F249" s="1018">
        <v>49</v>
      </c>
      <c r="G249" s="2979"/>
      <c r="H249" s="3158" t="s">
        <v>1612</v>
      </c>
      <c r="I249" s="756"/>
      <c r="J249" s="756"/>
      <c r="K249" s="756"/>
      <c r="L249" s="756"/>
      <c r="M249" s="756"/>
      <c r="N249" s="756"/>
      <c r="O249" s="756"/>
      <c r="P249" s="756"/>
      <c r="Q249" s="756"/>
      <c r="R249" s="756"/>
      <c r="S249" s="756"/>
      <c r="T249" s="756"/>
      <c r="U249" s="756"/>
      <c r="V249" s="4279"/>
      <c r="W249" s="750">
        <v>49</v>
      </c>
      <c r="X249" s="750">
        <v>49</v>
      </c>
      <c r="Y249" s="750">
        <v>49</v>
      </c>
      <c r="Z249" s="1018">
        <v>49</v>
      </c>
      <c r="AA249" s="1018">
        <v>49</v>
      </c>
      <c r="AB249" s="1018">
        <v>49</v>
      </c>
      <c r="AC249" s="1018">
        <v>49</v>
      </c>
      <c r="AD249" s="1018">
        <v>49</v>
      </c>
      <c r="AE249" s="750"/>
      <c r="AF249" s="750"/>
      <c r="AG249" s="750"/>
      <c r="AK249" s="732"/>
      <c r="BB249" s="752"/>
    </row>
    <row r="250" spans="1:54" s="741" customFormat="1" hidden="1" outlineLevel="1" x14ac:dyDescent="0.35">
      <c r="A250" s="756"/>
      <c r="B250" s="1345"/>
      <c r="C250" s="753"/>
      <c r="D250" s="4275"/>
      <c r="E250" s="374" t="s">
        <v>4281</v>
      </c>
      <c r="F250" s="1018">
        <v>49</v>
      </c>
      <c r="G250" s="2979"/>
      <c r="H250" s="3158" t="s">
        <v>1612</v>
      </c>
      <c r="I250" s="756"/>
      <c r="J250" s="756"/>
      <c r="K250" s="756"/>
      <c r="L250" s="756"/>
      <c r="M250" s="756"/>
      <c r="N250" s="756"/>
      <c r="O250" s="756"/>
      <c r="P250" s="756"/>
      <c r="Q250" s="756"/>
      <c r="R250" s="756"/>
      <c r="S250" s="756"/>
      <c r="T250" s="756"/>
      <c r="U250" s="756"/>
      <c r="V250" s="4279"/>
      <c r="W250" s="750">
        <v>49</v>
      </c>
      <c r="X250" s="750">
        <v>49</v>
      </c>
      <c r="Y250" s="750">
        <v>49</v>
      </c>
      <c r="Z250" s="1018">
        <v>49</v>
      </c>
      <c r="AA250" s="1018">
        <v>49</v>
      </c>
      <c r="AB250" s="1018">
        <v>49</v>
      </c>
      <c r="AC250" s="1018">
        <v>49</v>
      </c>
      <c r="AD250" s="1018">
        <v>49</v>
      </c>
      <c r="AE250" s="750"/>
      <c r="AF250" s="750"/>
      <c r="AG250" s="750"/>
      <c r="AK250" s="732"/>
      <c r="BB250" s="752"/>
    </row>
    <row r="251" spans="1:54" s="741" customFormat="1" hidden="1" outlineLevel="1" x14ac:dyDescent="0.35">
      <c r="A251" s="756"/>
      <c r="B251" s="1345"/>
      <c r="C251" s="753"/>
      <c r="D251" s="4275"/>
      <c r="E251" s="368" t="s">
        <v>4282</v>
      </c>
      <c r="F251" s="1018">
        <v>49</v>
      </c>
      <c r="G251" s="2979"/>
      <c r="H251" s="3158" t="s">
        <v>1612</v>
      </c>
      <c r="I251" s="756"/>
      <c r="J251" s="756"/>
      <c r="K251" s="756"/>
      <c r="L251" s="756"/>
      <c r="M251" s="756"/>
      <c r="N251" s="756"/>
      <c r="O251" s="756"/>
      <c r="P251" s="756"/>
      <c r="Q251" s="756"/>
      <c r="R251" s="756"/>
      <c r="S251" s="756"/>
      <c r="T251" s="756"/>
      <c r="U251" s="756"/>
      <c r="V251" s="4279"/>
      <c r="W251" s="750">
        <v>49</v>
      </c>
      <c r="X251" s="750">
        <v>49</v>
      </c>
      <c r="Y251" s="750">
        <v>49</v>
      </c>
      <c r="Z251" s="1018">
        <v>49</v>
      </c>
      <c r="AA251" s="1018">
        <v>49</v>
      </c>
      <c r="AB251" s="1018">
        <v>49</v>
      </c>
      <c r="AC251" s="1018">
        <v>49</v>
      </c>
      <c r="AD251" s="1018">
        <v>49</v>
      </c>
      <c r="AE251" s="750"/>
      <c r="AF251" s="750"/>
      <c r="AG251" s="750"/>
      <c r="AK251" s="732"/>
      <c r="BB251" s="752"/>
    </row>
    <row r="252" spans="1:54" s="741" customFormat="1" hidden="1" outlineLevel="1" x14ac:dyDescent="0.35">
      <c r="A252" s="756"/>
      <c r="B252" s="1345"/>
      <c r="C252" s="753"/>
      <c r="D252" s="4275"/>
      <c r="E252" s="374" t="s">
        <v>4283</v>
      </c>
      <c r="F252" s="1018">
        <v>49</v>
      </c>
      <c r="G252" s="2979"/>
      <c r="H252" s="3158" t="s">
        <v>1612</v>
      </c>
      <c r="I252" s="756"/>
      <c r="J252" s="756"/>
      <c r="K252" s="756"/>
      <c r="L252" s="756"/>
      <c r="M252" s="756"/>
      <c r="N252" s="756"/>
      <c r="O252" s="756"/>
      <c r="P252" s="756"/>
      <c r="Q252" s="756"/>
      <c r="R252" s="756"/>
      <c r="S252" s="756"/>
      <c r="T252" s="756"/>
      <c r="U252" s="756"/>
      <c r="V252" s="4279"/>
      <c r="W252" s="750">
        <v>49</v>
      </c>
      <c r="X252" s="750">
        <v>49</v>
      </c>
      <c r="Y252" s="750">
        <v>49</v>
      </c>
      <c r="Z252" s="1018">
        <v>49</v>
      </c>
      <c r="AA252" s="1018">
        <v>49</v>
      </c>
      <c r="AB252" s="1018">
        <v>49</v>
      </c>
      <c r="AC252" s="1018">
        <v>49</v>
      </c>
      <c r="AD252" s="1018">
        <v>49</v>
      </c>
      <c r="AE252" s="750"/>
      <c r="AF252" s="750"/>
      <c r="AG252" s="750"/>
      <c r="AK252" s="732"/>
      <c r="BB252" s="752"/>
    </row>
    <row r="253" spans="1:54" s="741" customFormat="1" hidden="1" outlineLevel="1" x14ac:dyDescent="0.35">
      <c r="A253" s="756"/>
      <c r="B253" s="1345"/>
      <c r="C253" s="753"/>
      <c r="D253" s="4275"/>
      <c r="E253" s="368" t="s">
        <v>4284</v>
      </c>
      <c r="F253" s="1018">
        <v>49</v>
      </c>
      <c r="G253" s="2979"/>
      <c r="H253" s="3158" t="s">
        <v>1612</v>
      </c>
      <c r="I253" s="756"/>
      <c r="J253" s="756"/>
      <c r="K253" s="756"/>
      <c r="L253" s="756"/>
      <c r="M253" s="756"/>
      <c r="N253" s="756"/>
      <c r="O253" s="756"/>
      <c r="P253" s="756"/>
      <c r="Q253" s="756"/>
      <c r="R253" s="756"/>
      <c r="S253" s="756"/>
      <c r="T253" s="756"/>
      <c r="U253" s="756"/>
      <c r="V253" s="4279"/>
      <c r="W253" s="750">
        <v>49</v>
      </c>
      <c r="X253" s="750">
        <v>49</v>
      </c>
      <c r="Y253" s="750">
        <v>49</v>
      </c>
      <c r="Z253" s="1018">
        <v>49</v>
      </c>
      <c r="AA253" s="1018">
        <v>49</v>
      </c>
      <c r="AB253" s="1018">
        <v>49</v>
      </c>
      <c r="AC253" s="1018">
        <v>49</v>
      </c>
      <c r="AD253" s="1018">
        <v>49</v>
      </c>
      <c r="AE253" s="750"/>
      <c r="AF253" s="750"/>
      <c r="AG253" s="750"/>
      <c r="AK253" s="732"/>
      <c r="BB253" s="752"/>
    </row>
    <row r="254" spans="1:54" s="741" customFormat="1" hidden="1" outlineLevel="1" x14ac:dyDescent="0.35">
      <c r="A254" s="756"/>
      <c r="B254" s="1345"/>
      <c r="C254" s="753"/>
      <c r="D254" s="4275"/>
      <c r="E254" s="368" t="s">
        <v>4285</v>
      </c>
      <c r="F254" s="1018">
        <v>60</v>
      </c>
      <c r="G254" s="2979"/>
      <c r="H254" s="3158" t="s">
        <v>1612</v>
      </c>
      <c r="I254" s="756"/>
      <c r="J254" s="756"/>
      <c r="K254" s="756"/>
      <c r="L254" s="756"/>
      <c r="M254" s="756"/>
      <c r="N254" s="756"/>
      <c r="O254" s="756"/>
      <c r="P254" s="756"/>
      <c r="Q254" s="756"/>
      <c r="R254" s="756"/>
      <c r="S254" s="756"/>
      <c r="T254" s="756"/>
      <c r="U254" s="756"/>
      <c r="V254" s="4279"/>
      <c r="W254" s="750">
        <v>60</v>
      </c>
      <c r="X254" s="750">
        <v>60</v>
      </c>
      <c r="Y254" s="750">
        <v>60</v>
      </c>
      <c r="Z254" s="1018">
        <v>60</v>
      </c>
      <c r="AA254" s="1018">
        <v>60</v>
      </c>
      <c r="AB254" s="1018">
        <v>60</v>
      </c>
      <c r="AC254" s="1018">
        <v>60</v>
      </c>
      <c r="AD254" s="1018">
        <v>60</v>
      </c>
      <c r="AE254" s="750"/>
      <c r="AF254" s="750"/>
      <c r="AG254" s="750"/>
      <c r="AK254" s="732"/>
      <c r="BB254" s="752"/>
    </row>
    <row r="255" spans="1:54" s="741" customFormat="1" hidden="1" outlineLevel="1" x14ac:dyDescent="0.35">
      <c r="A255" s="756"/>
      <c r="B255" s="1345"/>
      <c r="C255" s="753"/>
      <c r="D255" s="4275"/>
      <c r="E255" s="368" t="s">
        <v>4286</v>
      </c>
      <c r="F255" s="1018">
        <v>60</v>
      </c>
      <c r="G255" s="2979"/>
      <c r="H255" s="3158" t="s">
        <v>1612</v>
      </c>
      <c r="I255" s="756"/>
      <c r="J255" s="756"/>
      <c r="K255" s="756"/>
      <c r="L255" s="756"/>
      <c r="M255" s="756"/>
      <c r="N255" s="756"/>
      <c r="O255" s="756"/>
      <c r="P255" s="756"/>
      <c r="Q255" s="756"/>
      <c r="R255" s="756"/>
      <c r="S255" s="756"/>
      <c r="T255" s="756"/>
      <c r="U255" s="756"/>
      <c r="V255" s="4279"/>
      <c r="W255" s="750">
        <v>60</v>
      </c>
      <c r="X255" s="750">
        <v>60</v>
      </c>
      <c r="Y255" s="750">
        <v>60</v>
      </c>
      <c r="Z255" s="1018">
        <v>60</v>
      </c>
      <c r="AA255" s="1018">
        <v>60</v>
      </c>
      <c r="AB255" s="1018">
        <v>60</v>
      </c>
      <c r="AC255" s="1018">
        <v>60</v>
      </c>
      <c r="AD255" s="1018">
        <v>60</v>
      </c>
      <c r="AE255" s="750"/>
      <c r="AF255" s="750"/>
      <c r="AG255" s="750"/>
      <c r="AK255" s="732"/>
      <c r="BB255" s="752"/>
    </row>
    <row r="256" spans="1:54" s="741" customFormat="1" hidden="1" outlineLevel="1" x14ac:dyDescent="0.35">
      <c r="A256" s="756"/>
      <c r="B256" s="1345"/>
      <c r="C256" s="753"/>
      <c r="D256" s="4275"/>
      <c r="E256" s="374" t="s">
        <v>4287</v>
      </c>
      <c r="F256" s="1018">
        <v>60</v>
      </c>
      <c r="G256" s="2979"/>
      <c r="H256" s="3158" t="s">
        <v>1612</v>
      </c>
      <c r="I256" s="756"/>
      <c r="J256" s="756"/>
      <c r="K256" s="756"/>
      <c r="L256" s="756"/>
      <c r="M256" s="756"/>
      <c r="N256" s="756"/>
      <c r="O256" s="756"/>
      <c r="P256" s="756"/>
      <c r="Q256" s="756"/>
      <c r="R256" s="756"/>
      <c r="S256" s="756"/>
      <c r="T256" s="756"/>
      <c r="U256" s="756"/>
      <c r="V256" s="4279"/>
      <c r="W256" s="750">
        <v>60</v>
      </c>
      <c r="X256" s="750">
        <v>60</v>
      </c>
      <c r="Y256" s="750">
        <v>60</v>
      </c>
      <c r="Z256" s="1018">
        <v>60</v>
      </c>
      <c r="AA256" s="1018">
        <v>60</v>
      </c>
      <c r="AB256" s="1018">
        <v>60</v>
      </c>
      <c r="AC256" s="1018">
        <v>60</v>
      </c>
      <c r="AD256" s="1018">
        <v>60</v>
      </c>
      <c r="AE256" s="750"/>
      <c r="AF256" s="750"/>
      <c r="AG256" s="750"/>
      <c r="AK256" s="732"/>
      <c r="BB256" s="752"/>
    </row>
    <row r="257" spans="1:54" s="741" customFormat="1" hidden="1" outlineLevel="1" x14ac:dyDescent="0.35">
      <c r="A257" s="756"/>
      <c r="B257" s="1345"/>
      <c r="C257" s="753"/>
      <c r="D257" s="4275"/>
      <c r="E257" s="368" t="s">
        <v>4288</v>
      </c>
      <c r="F257" s="1018">
        <v>60</v>
      </c>
      <c r="G257" s="2979"/>
      <c r="H257" s="3158" t="s">
        <v>1612</v>
      </c>
      <c r="I257" s="756"/>
      <c r="J257" s="756"/>
      <c r="K257" s="756"/>
      <c r="L257" s="756"/>
      <c r="M257" s="756"/>
      <c r="N257" s="756"/>
      <c r="O257" s="756"/>
      <c r="P257" s="756"/>
      <c r="Q257" s="756"/>
      <c r="R257" s="756"/>
      <c r="S257" s="756"/>
      <c r="T257" s="756"/>
      <c r="U257" s="756"/>
      <c r="V257" s="4279"/>
      <c r="W257" s="750">
        <v>60</v>
      </c>
      <c r="X257" s="750">
        <v>60</v>
      </c>
      <c r="Y257" s="750">
        <v>60</v>
      </c>
      <c r="Z257" s="1018">
        <v>60</v>
      </c>
      <c r="AA257" s="1018">
        <v>60</v>
      </c>
      <c r="AB257" s="1018">
        <v>60</v>
      </c>
      <c r="AC257" s="1018">
        <v>60</v>
      </c>
      <c r="AD257" s="1018">
        <v>60</v>
      </c>
      <c r="AE257" s="750"/>
      <c r="AF257" s="750"/>
      <c r="AG257" s="750"/>
      <c r="AK257" s="732"/>
      <c r="BB257" s="752"/>
    </row>
    <row r="258" spans="1:54" s="741" customFormat="1" hidden="1" outlineLevel="1" x14ac:dyDescent="0.35">
      <c r="A258" s="756"/>
      <c r="B258" s="1345"/>
      <c r="C258" s="753"/>
      <c r="D258" s="4275"/>
      <c r="E258" s="374" t="s">
        <v>4289</v>
      </c>
      <c r="F258" s="1018">
        <v>60</v>
      </c>
      <c r="G258" s="2979"/>
      <c r="H258" s="3158" t="s">
        <v>1612</v>
      </c>
      <c r="I258" s="756"/>
      <c r="J258" s="756"/>
      <c r="K258" s="756"/>
      <c r="L258" s="756"/>
      <c r="M258" s="756"/>
      <c r="N258" s="756"/>
      <c r="O258" s="756"/>
      <c r="P258" s="756"/>
      <c r="Q258" s="756"/>
      <c r="R258" s="756"/>
      <c r="S258" s="756"/>
      <c r="T258" s="756"/>
      <c r="U258" s="756"/>
      <c r="V258" s="4279"/>
      <c r="W258" s="750">
        <v>60</v>
      </c>
      <c r="X258" s="750">
        <v>60</v>
      </c>
      <c r="Y258" s="750">
        <v>60</v>
      </c>
      <c r="Z258" s="1018">
        <v>60</v>
      </c>
      <c r="AA258" s="1018">
        <v>60</v>
      </c>
      <c r="AB258" s="1018">
        <v>60</v>
      </c>
      <c r="AC258" s="1018">
        <v>60</v>
      </c>
      <c r="AD258" s="1018">
        <v>60</v>
      </c>
      <c r="AE258" s="750"/>
      <c r="AF258" s="750"/>
      <c r="AG258" s="750"/>
      <c r="AK258" s="732"/>
      <c r="BB258" s="752"/>
    </row>
    <row r="259" spans="1:54" s="741" customFormat="1" ht="15" hidden="1" outlineLevel="1" thickBot="1" x14ac:dyDescent="0.4">
      <c r="A259" s="756"/>
      <c r="B259" s="1345"/>
      <c r="C259" s="753"/>
      <c r="D259" s="4287"/>
      <c r="E259" s="1936" t="s">
        <v>4290</v>
      </c>
      <c r="F259" s="3162">
        <v>60</v>
      </c>
      <c r="G259" s="3159"/>
      <c r="H259" s="3160" t="s">
        <v>1612</v>
      </c>
      <c r="I259" s="756"/>
      <c r="J259" s="756"/>
      <c r="K259" s="756"/>
      <c r="L259" s="756"/>
      <c r="M259" s="756"/>
      <c r="N259" s="756"/>
      <c r="O259" s="756"/>
      <c r="P259" s="756"/>
      <c r="Q259" s="756"/>
      <c r="R259" s="756"/>
      <c r="S259" s="756"/>
      <c r="T259" s="756"/>
      <c r="U259" s="756"/>
      <c r="V259" s="4288"/>
      <c r="W259" s="750">
        <v>60</v>
      </c>
      <c r="X259" s="750">
        <v>60</v>
      </c>
      <c r="Y259" s="750">
        <v>60</v>
      </c>
      <c r="Z259" s="1018">
        <v>60</v>
      </c>
      <c r="AA259" s="1018">
        <v>60</v>
      </c>
      <c r="AB259" s="1018">
        <v>60</v>
      </c>
      <c r="AC259" s="1018">
        <v>60</v>
      </c>
      <c r="AD259" s="1018">
        <v>60</v>
      </c>
      <c r="AE259" s="750"/>
      <c r="AF259" s="750"/>
      <c r="AG259" s="750"/>
      <c r="AK259" s="732"/>
      <c r="BB259" s="752"/>
    </row>
    <row r="260" spans="1:54" s="741" customFormat="1" ht="17.25" hidden="1" customHeight="1" outlineLevel="1" x14ac:dyDescent="0.35">
      <c r="A260" s="756"/>
      <c r="B260" s="1328"/>
      <c r="C260" s="753"/>
      <c r="D260" s="4274" t="s">
        <v>1614</v>
      </c>
      <c r="E260" s="3155" t="s">
        <v>4261</v>
      </c>
      <c r="F260" s="3171">
        <v>1</v>
      </c>
      <c r="G260" s="3156" t="s">
        <v>1615</v>
      </c>
      <c r="H260" s="3157" t="s">
        <v>1616</v>
      </c>
      <c r="I260" s="756"/>
      <c r="J260" s="756"/>
      <c r="K260" s="756"/>
      <c r="L260" s="756"/>
      <c r="M260" s="756"/>
      <c r="N260" s="756"/>
      <c r="O260" s="756"/>
      <c r="P260" s="756"/>
      <c r="Q260" s="756"/>
      <c r="R260" s="756"/>
      <c r="S260" s="756"/>
      <c r="T260" s="756"/>
      <c r="U260" s="756"/>
      <c r="V260" s="4278" t="str">
        <f>D260</f>
        <v>AAttic</v>
      </c>
      <c r="W260" s="750">
        <f>0.65*1347</f>
        <v>875.55000000000007</v>
      </c>
      <c r="X260" s="750">
        <v>875.55000000000007</v>
      </c>
      <c r="Y260" s="533">
        <v>1</v>
      </c>
      <c r="Z260" s="535">
        <v>1</v>
      </c>
      <c r="AA260" s="535">
        <v>1</v>
      </c>
      <c r="AB260" s="535">
        <v>1</v>
      </c>
      <c r="AC260" s="783">
        <v>1</v>
      </c>
      <c r="AD260" s="783">
        <v>1</v>
      </c>
      <c r="AE260" s="750"/>
      <c r="AF260" s="750"/>
      <c r="AG260" s="750"/>
      <c r="AK260" s="732"/>
      <c r="BB260" s="752"/>
    </row>
    <row r="261" spans="1:54" s="741" customFormat="1" hidden="1" outlineLevel="1" x14ac:dyDescent="0.35">
      <c r="A261" s="756"/>
      <c r="B261" s="756"/>
      <c r="C261" s="753"/>
      <c r="D261" s="4275"/>
      <c r="E261" s="368" t="s">
        <v>4262</v>
      </c>
      <c r="F261" s="783">
        <v>1</v>
      </c>
      <c r="G261" s="2979" t="s">
        <v>1615</v>
      </c>
      <c r="H261" s="3158" t="s">
        <v>1616</v>
      </c>
      <c r="I261" s="756"/>
      <c r="J261" s="756"/>
      <c r="K261" s="756"/>
      <c r="L261" s="756"/>
      <c r="M261" s="756"/>
      <c r="N261" s="756"/>
      <c r="O261" s="756"/>
      <c r="P261" s="756"/>
      <c r="Q261" s="756"/>
      <c r="R261" s="756"/>
      <c r="S261" s="756"/>
      <c r="T261" s="756"/>
      <c r="U261" s="756"/>
      <c r="V261" s="4279"/>
      <c r="W261" s="750">
        <f>0.65*1347</f>
        <v>875.55000000000007</v>
      </c>
      <c r="X261" s="750">
        <v>875.55000000000007</v>
      </c>
      <c r="Y261" s="533">
        <v>1</v>
      </c>
      <c r="Z261" s="535">
        <v>1</v>
      </c>
      <c r="AA261" s="535">
        <v>1</v>
      </c>
      <c r="AB261" s="535">
        <v>1</v>
      </c>
      <c r="AC261" s="783">
        <v>1</v>
      </c>
      <c r="AD261" s="783">
        <v>1</v>
      </c>
      <c r="AE261" s="750"/>
      <c r="AF261" s="750"/>
      <c r="AG261" s="750"/>
      <c r="AK261" s="732"/>
      <c r="BB261" s="752"/>
    </row>
    <row r="262" spans="1:54" s="741" customFormat="1" hidden="1" outlineLevel="1" x14ac:dyDescent="0.35">
      <c r="A262" s="756"/>
      <c r="B262" s="756"/>
      <c r="C262" s="753"/>
      <c r="D262" s="4275"/>
      <c r="E262" s="368" t="s">
        <v>4263</v>
      </c>
      <c r="F262" s="783">
        <v>1</v>
      </c>
      <c r="G262" s="2979" t="s">
        <v>1615</v>
      </c>
      <c r="H262" s="3158" t="s">
        <v>1616</v>
      </c>
      <c r="I262" s="756"/>
      <c r="J262" s="756"/>
      <c r="K262" s="756"/>
      <c r="L262" s="756"/>
      <c r="M262" s="756"/>
      <c r="N262" s="756"/>
      <c r="O262" s="756"/>
      <c r="P262" s="756"/>
      <c r="Q262" s="756"/>
      <c r="R262" s="756"/>
      <c r="S262" s="756"/>
      <c r="T262" s="756"/>
      <c r="U262" s="756"/>
      <c r="V262" s="4279"/>
      <c r="W262" s="750">
        <f>0.65*1347</f>
        <v>875.55000000000007</v>
      </c>
      <c r="X262" s="750">
        <v>875.55000000000007</v>
      </c>
      <c r="Y262" s="533">
        <v>1</v>
      </c>
      <c r="Z262" s="535">
        <v>1</v>
      </c>
      <c r="AA262" s="535">
        <v>1</v>
      </c>
      <c r="AB262" s="535">
        <v>1</v>
      </c>
      <c r="AC262" s="783">
        <v>1</v>
      </c>
      <c r="AD262" s="783">
        <v>1</v>
      </c>
      <c r="AE262" s="750"/>
      <c r="AF262" s="750"/>
      <c r="AG262" s="750"/>
      <c r="AK262" s="732"/>
      <c r="BB262" s="752"/>
    </row>
    <row r="263" spans="1:54" s="741" customFormat="1" hidden="1" outlineLevel="1" x14ac:dyDescent="0.35">
      <c r="A263" s="756"/>
      <c r="B263" s="756"/>
      <c r="C263" s="753"/>
      <c r="D263" s="4275"/>
      <c r="E263" s="368" t="s">
        <v>4264</v>
      </c>
      <c r="F263" s="783">
        <v>1</v>
      </c>
      <c r="G263" s="2979" t="s">
        <v>1615</v>
      </c>
      <c r="H263" s="3158" t="s">
        <v>1617</v>
      </c>
      <c r="I263" s="756"/>
      <c r="J263" s="756"/>
      <c r="K263" s="756"/>
      <c r="L263" s="756"/>
      <c r="M263" s="756"/>
      <c r="N263" s="756"/>
      <c r="O263" s="756"/>
      <c r="P263" s="756"/>
      <c r="Q263" s="756"/>
      <c r="R263" s="756"/>
      <c r="S263" s="756"/>
      <c r="T263" s="756"/>
      <c r="U263" s="756"/>
      <c r="V263" s="4279"/>
      <c r="W263" s="750">
        <v>1347</v>
      </c>
      <c r="X263" s="750">
        <v>1347</v>
      </c>
      <c r="Y263" s="533">
        <v>1</v>
      </c>
      <c r="Z263" s="535">
        <v>1</v>
      </c>
      <c r="AA263" s="535">
        <v>1</v>
      </c>
      <c r="AB263" s="535">
        <v>1</v>
      </c>
      <c r="AC263" s="783">
        <v>1</v>
      </c>
      <c r="AD263" s="783">
        <v>1</v>
      </c>
      <c r="AE263" s="750"/>
      <c r="AF263" s="750"/>
      <c r="AG263" s="750"/>
      <c r="AK263" s="732"/>
      <c r="BB263" s="752"/>
    </row>
    <row r="264" spans="1:54" s="741" customFormat="1" hidden="1" outlineLevel="1" x14ac:dyDescent="0.35">
      <c r="A264" s="756"/>
      <c r="B264" s="756"/>
      <c r="C264" s="753"/>
      <c r="D264" s="4275"/>
      <c r="E264" s="368" t="s">
        <v>4265</v>
      </c>
      <c r="F264" s="783">
        <v>1</v>
      </c>
      <c r="G264" s="2979" t="s">
        <v>1615</v>
      </c>
      <c r="H264" s="3158" t="s">
        <v>1617</v>
      </c>
      <c r="I264" s="756"/>
      <c r="J264" s="756"/>
      <c r="K264" s="756"/>
      <c r="L264" s="756"/>
      <c r="M264" s="756"/>
      <c r="N264" s="756"/>
      <c r="O264" s="756"/>
      <c r="P264" s="756"/>
      <c r="Q264" s="756"/>
      <c r="R264" s="756"/>
      <c r="S264" s="756"/>
      <c r="T264" s="756"/>
      <c r="U264" s="756"/>
      <c r="V264" s="4279"/>
      <c r="W264" s="750">
        <v>1347</v>
      </c>
      <c r="X264" s="750">
        <v>1347</v>
      </c>
      <c r="Y264" s="533">
        <v>1</v>
      </c>
      <c r="Z264" s="535">
        <v>1</v>
      </c>
      <c r="AA264" s="535">
        <v>1</v>
      </c>
      <c r="AB264" s="535">
        <v>1</v>
      </c>
      <c r="AC264" s="783">
        <v>1</v>
      </c>
      <c r="AD264" s="783">
        <v>1</v>
      </c>
      <c r="AE264" s="750"/>
      <c r="AF264" s="750"/>
      <c r="AG264" s="750"/>
      <c r="AK264" s="732"/>
      <c r="BB264" s="752"/>
    </row>
    <row r="265" spans="1:54" s="741" customFormat="1" hidden="1" outlineLevel="1" x14ac:dyDescent="0.35">
      <c r="A265" s="756"/>
      <c r="B265" s="756"/>
      <c r="C265" s="753"/>
      <c r="D265" s="4275"/>
      <c r="E265" s="368" t="s">
        <v>4266</v>
      </c>
      <c r="F265" s="783">
        <v>1</v>
      </c>
      <c r="G265" s="2979" t="s">
        <v>1615</v>
      </c>
      <c r="H265" s="3158" t="s">
        <v>1617</v>
      </c>
      <c r="I265" s="756"/>
      <c r="J265" s="756"/>
      <c r="K265" s="756"/>
      <c r="L265" s="756"/>
      <c r="M265" s="756"/>
      <c r="N265" s="756"/>
      <c r="O265" s="756"/>
      <c r="P265" s="756"/>
      <c r="Q265" s="756"/>
      <c r="R265" s="756"/>
      <c r="S265" s="756"/>
      <c r="T265" s="756"/>
      <c r="U265" s="756"/>
      <c r="V265" s="4279"/>
      <c r="W265" s="750">
        <v>1347</v>
      </c>
      <c r="X265" s="750">
        <v>1347</v>
      </c>
      <c r="Y265" s="533">
        <v>1</v>
      </c>
      <c r="Z265" s="535">
        <v>1</v>
      </c>
      <c r="AA265" s="535">
        <v>1</v>
      </c>
      <c r="AB265" s="535">
        <v>1</v>
      </c>
      <c r="AC265" s="783">
        <v>1</v>
      </c>
      <c r="AD265" s="783">
        <v>1</v>
      </c>
      <c r="AE265" s="750"/>
      <c r="AF265" s="750"/>
      <c r="AG265" s="750"/>
      <c r="AK265" s="732"/>
      <c r="BB265" s="752"/>
    </row>
    <row r="266" spans="1:54" s="741" customFormat="1" hidden="1" outlineLevel="1" x14ac:dyDescent="0.35">
      <c r="A266" s="756"/>
      <c r="B266" s="756"/>
      <c r="C266" s="753"/>
      <c r="D266" s="4275"/>
      <c r="E266" s="368" t="s">
        <v>4267</v>
      </c>
      <c r="F266" s="783">
        <v>1</v>
      </c>
      <c r="G266" s="2979" t="s">
        <v>1615</v>
      </c>
      <c r="H266" s="3158" t="s">
        <v>1618</v>
      </c>
      <c r="I266" s="756"/>
      <c r="J266" s="756"/>
      <c r="K266" s="756"/>
      <c r="L266" s="756"/>
      <c r="M266" s="756"/>
      <c r="N266" s="756"/>
      <c r="O266" s="756"/>
      <c r="P266" s="756"/>
      <c r="Q266" s="756"/>
      <c r="R266" s="756"/>
      <c r="S266" s="756"/>
      <c r="T266" s="756"/>
      <c r="U266" s="756"/>
      <c r="V266" s="4279"/>
      <c r="W266" s="750">
        <f>0.65*1106</f>
        <v>718.9</v>
      </c>
      <c r="X266" s="750">
        <v>718.9</v>
      </c>
      <c r="Y266" s="533">
        <v>1</v>
      </c>
      <c r="Z266" s="535">
        <v>1</v>
      </c>
      <c r="AA266" s="535">
        <v>1</v>
      </c>
      <c r="AB266" s="535">
        <v>1</v>
      </c>
      <c r="AC266" s="783">
        <v>1</v>
      </c>
      <c r="AD266" s="783">
        <v>1</v>
      </c>
      <c r="AE266" s="750"/>
      <c r="AF266" s="750"/>
      <c r="AG266" s="750"/>
      <c r="AK266" s="732"/>
      <c r="BB266" s="752"/>
    </row>
    <row r="267" spans="1:54" s="741" customFormat="1" hidden="1" outlineLevel="1" x14ac:dyDescent="0.35">
      <c r="A267" s="756"/>
      <c r="B267" s="756"/>
      <c r="C267" s="753"/>
      <c r="D267" s="4275"/>
      <c r="E267" s="368" t="s">
        <v>4268</v>
      </c>
      <c r="F267" s="783">
        <v>1</v>
      </c>
      <c r="G267" s="2979" t="s">
        <v>1615</v>
      </c>
      <c r="H267" s="3158" t="s">
        <v>1618</v>
      </c>
      <c r="I267" s="756"/>
      <c r="J267" s="756"/>
      <c r="K267" s="756"/>
      <c r="L267" s="756"/>
      <c r="M267" s="756"/>
      <c r="N267" s="756"/>
      <c r="O267" s="756"/>
      <c r="P267" s="756"/>
      <c r="Q267" s="756"/>
      <c r="R267" s="756"/>
      <c r="S267" s="756"/>
      <c r="T267" s="756"/>
      <c r="U267" s="756"/>
      <c r="V267" s="4279"/>
      <c r="W267" s="750">
        <f>0.65*1106</f>
        <v>718.9</v>
      </c>
      <c r="X267" s="750">
        <v>718.9</v>
      </c>
      <c r="Y267" s="533">
        <v>1</v>
      </c>
      <c r="Z267" s="535">
        <v>1</v>
      </c>
      <c r="AA267" s="535">
        <v>1</v>
      </c>
      <c r="AB267" s="535">
        <v>1</v>
      </c>
      <c r="AC267" s="783">
        <v>1</v>
      </c>
      <c r="AD267" s="783">
        <v>1</v>
      </c>
      <c r="AE267" s="750"/>
      <c r="AF267" s="750"/>
      <c r="AG267" s="750"/>
      <c r="AK267" s="732"/>
      <c r="BB267" s="752"/>
    </row>
    <row r="268" spans="1:54" s="741" customFormat="1" hidden="1" outlineLevel="1" x14ac:dyDescent="0.35">
      <c r="A268" s="756"/>
      <c r="B268" s="756"/>
      <c r="C268" s="753"/>
      <c r="D268" s="4275"/>
      <c r="E268" s="374" t="s">
        <v>4269</v>
      </c>
      <c r="F268" s="783">
        <v>1</v>
      </c>
      <c r="G268" s="2979" t="s">
        <v>1615</v>
      </c>
      <c r="H268" s="3158" t="s">
        <v>1618</v>
      </c>
      <c r="I268" s="756"/>
      <c r="J268" s="756"/>
      <c r="K268" s="756"/>
      <c r="L268" s="756"/>
      <c r="M268" s="756"/>
      <c r="N268" s="756"/>
      <c r="O268" s="756"/>
      <c r="P268" s="756"/>
      <c r="Q268" s="756"/>
      <c r="R268" s="756"/>
      <c r="S268" s="756"/>
      <c r="T268" s="756"/>
      <c r="U268" s="756"/>
      <c r="V268" s="4279"/>
      <c r="W268" s="750">
        <f>0.65*1106</f>
        <v>718.9</v>
      </c>
      <c r="X268" s="750">
        <v>718.9</v>
      </c>
      <c r="Y268" s="533">
        <v>1</v>
      </c>
      <c r="Z268" s="535">
        <v>1</v>
      </c>
      <c r="AA268" s="535">
        <v>1</v>
      </c>
      <c r="AB268" s="535">
        <v>1</v>
      </c>
      <c r="AC268" s="783">
        <v>1</v>
      </c>
      <c r="AD268" s="783">
        <v>1</v>
      </c>
      <c r="AE268" s="750"/>
      <c r="AF268" s="750"/>
      <c r="AG268" s="750"/>
      <c r="AK268" s="732"/>
      <c r="BB268" s="752"/>
    </row>
    <row r="269" spans="1:54" s="741" customFormat="1" hidden="1" outlineLevel="1" x14ac:dyDescent="0.35">
      <c r="A269" s="756"/>
      <c r="B269" s="756"/>
      <c r="C269" s="753"/>
      <c r="D269" s="4275"/>
      <c r="E269" s="368" t="s">
        <v>4270</v>
      </c>
      <c r="F269" s="783">
        <v>1</v>
      </c>
      <c r="G269" s="2979" t="s">
        <v>1615</v>
      </c>
      <c r="H269" s="3158" t="s">
        <v>1619</v>
      </c>
      <c r="I269" s="756"/>
      <c r="J269" s="756"/>
      <c r="K269" s="756"/>
      <c r="L269" s="756"/>
      <c r="M269" s="756"/>
      <c r="N269" s="756"/>
      <c r="O269" s="756"/>
      <c r="P269" s="756"/>
      <c r="Q269" s="756"/>
      <c r="R269" s="756"/>
      <c r="S269" s="756"/>
      <c r="T269" s="756"/>
      <c r="U269" s="756"/>
      <c r="V269" s="4279"/>
      <c r="W269" s="750">
        <v>1106</v>
      </c>
      <c r="X269" s="750">
        <v>1106</v>
      </c>
      <c r="Y269" s="533">
        <v>1</v>
      </c>
      <c r="Z269" s="535">
        <v>1</v>
      </c>
      <c r="AA269" s="535">
        <v>1</v>
      </c>
      <c r="AB269" s="535">
        <v>1</v>
      </c>
      <c r="AC269" s="783">
        <v>1</v>
      </c>
      <c r="AD269" s="783">
        <v>1</v>
      </c>
      <c r="AE269" s="750"/>
      <c r="AF269" s="750"/>
      <c r="AG269" s="750"/>
      <c r="AK269" s="732"/>
      <c r="BB269" s="752"/>
    </row>
    <row r="270" spans="1:54" s="741" customFormat="1" hidden="1" outlineLevel="1" x14ac:dyDescent="0.35">
      <c r="A270" s="756"/>
      <c r="B270" s="756"/>
      <c r="C270" s="753"/>
      <c r="D270" s="4275"/>
      <c r="E270" s="368" t="s">
        <v>4271</v>
      </c>
      <c r="F270" s="783">
        <v>1</v>
      </c>
      <c r="G270" s="2979" t="s">
        <v>1615</v>
      </c>
      <c r="H270" s="3158" t="s">
        <v>1619</v>
      </c>
      <c r="I270" s="756"/>
      <c r="J270" s="756"/>
      <c r="K270" s="756"/>
      <c r="L270" s="756"/>
      <c r="M270" s="756"/>
      <c r="N270" s="756"/>
      <c r="O270" s="756"/>
      <c r="P270" s="756"/>
      <c r="Q270" s="756"/>
      <c r="R270" s="756"/>
      <c r="S270" s="756"/>
      <c r="T270" s="756"/>
      <c r="U270" s="756"/>
      <c r="V270" s="4279"/>
      <c r="W270" s="750">
        <v>1106</v>
      </c>
      <c r="X270" s="750">
        <v>1106</v>
      </c>
      <c r="Y270" s="533">
        <v>1</v>
      </c>
      <c r="Z270" s="535">
        <v>1</v>
      </c>
      <c r="AA270" s="535">
        <v>1</v>
      </c>
      <c r="AB270" s="535">
        <v>1</v>
      </c>
      <c r="AC270" s="783">
        <v>1</v>
      </c>
      <c r="AD270" s="783">
        <v>1</v>
      </c>
      <c r="AE270" s="750"/>
      <c r="AF270" s="750"/>
      <c r="AG270" s="750"/>
      <c r="AK270" s="732"/>
      <c r="BB270" s="752"/>
    </row>
    <row r="271" spans="1:54" s="741" customFormat="1" hidden="1" outlineLevel="1" x14ac:dyDescent="0.35">
      <c r="A271" s="756"/>
      <c r="B271" s="756"/>
      <c r="C271" s="753"/>
      <c r="D271" s="4275"/>
      <c r="E271" s="1341" t="s">
        <v>4272</v>
      </c>
      <c r="F271" s="783">
        <v>1</v>
      </c>
      <c r="G271" s="2979" t="s">
        <v>1615</v>
      </c>
      <c r="H271" s="3158" t="s">
        <v>1619</v>
      </c>
      <c r="I271" s="756"/>
      <c r="J271" s="756"/>
      <c r="K271" s="756"/>
      <c r="L271" s="756"/>
      <c r="M271" s="756"/>
      <c r="N271" s="756"/>
      <c r="O271" s="756"/>
      <c r="P271" s="756"/>
      <c r="Q271" s="756"/>
      <c r="R271" s="756"/>
      <c r="S271" s="756"/>
      <c r="T271" s="756"/>
      <c r="U271" s="756"/>
      <c r="V271" s="4279"/>
      <c r="W271" s="750">
        <v>1106</v>
      </c>
      <c r="X271" s="750">
        <v>1106</v>
      </c>
      <c r="Y271" s="533">
        <v>1</v>
      </c>
      <c r="Z271" s="535">
        <v>1</v>
      </c>
      <c r="AA271" s="535">
        <v>1</v>
      </c>
      <c r="AB271" s="535">
        <v>1</v>
      </c>
      <c r="AC271" s="783">
        <v>1</v>
      </c>
      <c r="AD271" s="783">
        <v>1</v>
      </c>
      <c r="AE271" s="750"/>
      <c r="AF271" s="750"/>
      <c r="AG271" s="750"/>
      <c r="AK271" s="732"/>
      <c r="BB271" s="752"/>
    </row>
    <row r="272" spans="1:54" s="741" customFormat="1" ht="29" hidden="1" outlineLevel="1" x14ac:dyDescent="0.35">
      <c r="A272" s="756"/>
      <c r="B272" s="756"/>
      <c r="C272" s="753"/>
      <c r="D272" s="4275"/>
      <c r="E272" s="368" t="s">
        <v>4273</v>
      </c>
      <c r="F272" s="783">
        <v>1</v>
      </c>
      <c r="G272" s="2979" t="s">
        <v>1620</v>
      </c>
      <c r="H272" s="3158" t="s">
        <v>1618</v>
      </c>
      <c r="I272" s="756"/>
      <c r="J272" s="756"/>
      <c r="K272" s="756"/>
      <c r="L272" s="756"/>
      <c r="M272" s="756"/>
      <c r="N272" s="756"/>
      <c r="O272" s="756"/>
      <c r="P272" s="756"/>
      <c r="Q272" s="756"/>
      <c r="R272" s="756"/>
      <c r="S272" s="756"/>
      <c r="T272" s="756"/>
      <c r="U272" s="756"/>
      <c r="V272" s="4279"/>
      <c r="W272" s="750">
        <f>0.65*1106</f>
        <v>718.9</v>
      </c>
      <c r="X272" s="750">
        <v>718.9</v>
      </c>
      <c r="Y272" s="533">
        <v>1</v>
      </c>
      <c r="Z272" s="535">
        <v>1</v>
      </c>
      <c r="AA272" s="535">
        <v>1</v>
      </c>
      <c r="AB272" s="535">
        <v>1</v>
      </c>
      <c r="AC272" s="783">
        <v>1</v>
      </c>
      <c r="AD272" s="783">
        <v>1</v>
      </c>
      <c r="AE272" s="750"/>
      <c r="AF272" s="750"/>
      <c r="AG272" s="750"/>
      <c r="AK272" s="732"/>
      <c r="BB272" s="752"/>
    </row>
    <row r="273" spans="1:54" s="741" customFormat="1" ht="29" hidden="1" outlineLevel="1" x14ac:dyDescent="0.35">
      <c r="A273" s="756"/>
      <c r="B273" s="756"/>
      <c r="C273" s="753"/>
      <c r="D273" s="4275"/>
      <c r="E273" s="368" t="s">
        <v>4274</v>
      </c>
      <c r="F273" s="783">
        <v>1</v>
      </c>
      <c r="G273" s="2979" t="s">
        <v>1620</v>
      </c>
      <c r="H273" s="3158" t="s">
        <v>1618</v>
      </c>
      <c r="I273" s="756"/>
      <c r="J273" s="756"/>
      <c r="K273" s="756"/>
      <c r="L273" s="756"/>
      <c r="M273" s="756"/>
      <c r="N273" s="756"/>
      <c r="O273" s="756"/>
      <c r="P273" s="756"/>
      <c r="Q273" s="756"/>
      <c r="R273" s="756"/>
      <c r="S273" s="756"/>
      <c r="T273" s="756"/>
      <c r="U273" s="756"/>
      <c r="V273" s="4279"/>
      <c r="W273" s="750">
        <f>0.65*1106</f>
        <v>718.9</v>
      </c>
      <c r="X273" s="750">
        <v>718.9</v>
      </c>
      <c r="Y273" s="533">
        <v>1</v>
      </c>
      <c r="Z273" s="535">
        <v>1</v>
      </c>
      <c r="AA273" s="535">
        <v>1</v>
      </c>
      <c r="AB273" s="535">
        <v>1</v>
      </c>
      <c r="AC273" s="783">
        <v>1</v>
      </c>
      <c r="AD273" s="783">
        <v>1</v>
      </c>
      <c r="AE273" s="750"/>
      <c r="AF273" s="750"/>
      <c r="AG273" s="750"/>
      <c r="AK273" s="732"/>
      <c r="BB273" s="752"/>
    </row>
    <row r="274" spans="1:54" s="741" customFormat="1" ht="29" hidden="1" outlineLevel="1" x14ac:dyDescent="0.35">
      <c r="A274" s="756"/>
      <c r="B274" s="756"/>
      <c r="C274" s="753"/>
      <c r="D274" s="4275"/>
      <c r="E274" s="374" t="s">
        <v>4275</v>
      </c>
      <c r="F274" s="783">
        <v>1</v>
      </c>
      <c r="G274" s="2979" t="s">
        <v>1620</v>
      </c>
      <c r="H274" s="3158" t="s">
        <v>1618</v>
      </c>
      <c r="I274" s="756"/>
      <c r="J274" s="756"/>
      <c r="K274" s="756"/>
      <c r="L274" s="756"/>
      <c r="M274" s="756"/>
      <c r="N274" s="756"/>
      <c r="O274" s="756"/>
      <c r="P274" s="756"/>
      <c r="Q274" s="756"/>
      <c r="R274" s="756"/>
      <c r="S274" s="756"/>
      <c r="T274" s="756"/>
      <c r="U274" s="756"/>
      <c r="V274" s="4279"/>
      <c r="W274" s="750">
        <f>0.65*1106</f>
        <v>718.9</v>
      </c>
      <c r="X274" s="750">
        <v>718.9</v>
      </c>
      <c r="Y274" s="533">
        <v>1</v>
      </c>
      <c r="Z274" s="535">
        <v>1</v>
      </c>
      <c r="AA274" s="535">
        <v>1</v>
      </c>
      <c r="AB274" s="535">
        <v>1</v>
      </c>
      <c r="AC274" s="783">
        <v>1</v>
      </c>
      <c r="AD274" s="783">
        <v>1</v>
      </c>
      <c r="AE274" s="750"/>
      <c r="AF274" s="750"/>
      <c r="AG274" s="750"/>
      <c r="AK274" s="732"/>
      <c r="BB274" s="752"/>
    </row>
    <row r="275" spans="1:54" s="741" customFormat="1" ht="29" hidden="1" outlineLevel="1" x14ac:dyDescent="0.35">
      <c r="A275" s="756"/>
      <c r="B275" s="756"/>
      <c r="C275" s="753"/>
      <c r="D275" s="4275"/>
      <c r="E275" s="368" t="s">
        <v>4276</v>
      </c>
      <c r="F275" s="783">
        <v>1</v>
      </c>
      <c r="G275" s="2979" t="s">
        <v>1620</v>
      </c>
      <c r="H275" s="3158" t="s">
        <v>1619</v>
      </c>
      <c r="I275" s="756"/>
      <c r="J275" s="756"/>
      <c r="K275" s="756"/>
      <c r="L275" s="756"/>
      <c r="M275" s="756"/>
      <c r="N275" s="756"/>
      <c r="O275" s="756"/>
      <c r="P275" s="756"/>
      <c r="Q275" s="756"/>
      <c r="R275" s="756"/>
      <c r="S275" s="756"/>
      <c r="T275" s="756"/>
      <c r="U275" s="756"/>
      <c r="V275" s="4279"/>
      <c r="W275" s="750">
        <v>1106</v>
      </c>
      <c r="X275" s="750">
        <v>1106</v>
      </c>
      <c r="Y275" s="533">
        <v>1</v>
      </c>
      <c r="Z275" s="535">
        <v>1</v>
      </c>
      <c r="AA275" s="535">
        <v>1</v>
      </c>
      <c r="AB275" s="535">
        <v>1</v>
      </c>
      <c r="AC275" s="783">
        <v>1</v>
      </c>
      <c r="AD275" s="783">
        <v>1</v>
      </c>
      <c r="AE275" s="750"/>
      <c r="AF275" s="750"/>
      <c r="AG275" s="750"/>
      <c r="AK275" s="732"/>
      <c r="BB275" s="752"/>
    </row>
    <row r="276" spans="1:54" s="741" customFormat="1" ht="29" hidden="1" outlineLevel="1" x14ac:dyDescent="0.35">
      <c r="A276" s="756"/>
      <c r="B276" s="756"/>
      <c r="C276" s="753"/>
      <c r="D276" s="4275"/>
      <c r="E276" s="374" t="s">
        <v>4277</v>
      </c>
      <c r="F276" s="783">
        <v>1</v>
      </c>
      <c r="G276" s="2979" t="s">
        <v>1620</v>
      </c>
      <c r="H276" s="3158" t="s">
        <v>1619</v>
      </c>
      <c r="I276" s="756"/>
      <c r="J276" s="756"/>
      <c r="K276" s="756"/>
      <c r="L276" s="756"/>
      <c r="M276" s="756"/>
      <c r="N276" s="756"/>
      <c r="O276" s="756"/>
      <c r="P276" s="756"/>
      <c r="Q276" s="756"/>
      <c r="R276" s="756"/>
      <c r="S276" s="756"/>
      <c r="T276" s="756"/>
      <c r="U276" s="756"/>
      <c r="V276" s="4279"/>
      <c r="W276" s="750">
        <v>1106</v>
      </c>
      <c r="X276" s="750">
        <v>1106</v>
      </c>
      <c r="Y276" s="533">
        <v>1</v>
      </c>
      <c r="Z276" s="535">
        <v>1</v>
      </c>
      <c r="AA276" s="535">
        <v>1</v>
      </c>
      <c r="AB276" s="535">
        <v>1</v>
      </c>
      <c r="AC276" s="783">
        <v>1</v>
      </c>
      <c r="AD276" s="783">
        <v>1</v>
      </c>
      <c r="AE276" s="750"/>
      <c r="AF276" s="750"/>
      <c r="AG276" s="750"/>
      <c r="AK276" s="732"/>
      <c r="BB276" s="752"/>
    </row>
    <row r="277" spans="1:54" s="741" customFormat="1" ht="29" hidden="1" outlineLevel="1" x14ac:dyDescent="0.35">
      <c r="A277" s="756"/>
      <c r="B277" s="756"/>
      <c r="C277" s="753"/>
      <c r="D277" s="4275"/>
      <c r="E277" s="368" t="s">
        <v>4278</v>
      </c>
      <c r="F277" s="783">
        <v>1</v>
      </c>
      <c r="G277" s="2979" t="s">
        <v>1620</v>
      </c>
      <c r="H277" s="3158" t="s">
        <v>1619</v>
      </c>
      <c r="I277" s="756"/>
      <c r="J277" s="756"/>
      <c r="K277" s="756"/>
      <c r="L277" s="756"/>
      <c r="M277" s="756"/>
      <c r="N277" s="756"/>
      <c r="O277" s="756"/>
      <c r="P277" s="756"/>
      <c r="Q277" s="756"/>
      <c r="R277" s="756"/>
      <c r="S277" s="756"/>
      <c r="T277" s="756"/>
      <c r="U277" s="756"/>
      <c r="V277" s="4279"/>
      <c r="W277" s="750">
        <v>1106</v>
      </c>
      <c r="X277" s="750">
        <v>1106</v>
      </c>
      <c r="Y277" s="533">
        <v>1</v>
      </c>
      <c r="Z277" s="535">
        <v>1</v>
      </c>
      <c r="AA277" s="535">
        <v>1</v>
      </c>
      <c r="AB277" s="535">
        <v>1</v>
      </c>
      <c r="AC277" s="783">
        <v>1</v>
      </c>
      <c r="AD277" s="783">
        <v>1</v>
      </c>
      <c r="AE277" s="750"/>
      <c r="AF277" s="750"/>
      <c r="AG277" s="750"/>
      <c r="AK277" s="732"/>
      <c r="BB277" s="752"/>
    </row>
    <row r="278" spans="1:54" s="741" customFormat="1" ht="29" hidden="1" outlineLevel="1" x14ac:dyDescent="0.35">
      <c r="A278" s="756"/>
      <c r="B278" s="756"/>
      <c r="C278" s="753"/>
      <c r="D278" s="4275"/>
      <c r="E278" s="368" t="s">
        <v>4279</v>
      </c>
      <c r="F278" s="783">
        <v>1</v>
      </c>
      <c r="G278" s="2979" t="s">
        <v>1620</v>
      </c>
      <c r="H278" s="3158" t="s">
        <v>1618</v>
      </c>
      <c r="I278" s="756"/>
      <c r="J278" s="756"/>
      <c r="K278" s="756"/>
      <c r="L278" s="756"/>
      <c r="M278" s="756"/>
      <c r="N278" s="756"/>
      <c r="O278" s="756"/>
      <c r="P278" s="756"/>
      <c r="Q278" s="756"/>
      <c r="R278" s="756"/>
      <c r="S278" s="756"/>
      <c r="T278" s="756"/>
      <c r="U278" s="756"/>
      <c r="V278" s="4279"/>
      <c r="W278" s="750">
        <f>0.65*1106</f>
        <v>718.9</v>
      </c>
      <c r="X278" s="750">
        <v>718.9</v>
      </c>
      <c r="Y278" s="533">
        <v>1</v>
      </c>
      <c r="Z278" s="535">
        <v>1</v>
      </c>
      <c r="AA278" s="535">
        <v>1</v>
      </c>
      <c r="AB278" s="535">
        <v>1</v>
      </c>
      <c r="AC278" s="783">
        <v>1</v>
      </c>
      <c r="AD278" s="783">
        <v>1</v>
      </c>
      <c r="AE278" s="750"/>
      <c r="AF278" s="750"/>
      <c r="AG278" s="750"/>
      <c r="AK278" s="732"/>
      <c r="BB278" s="752"/>
    </row>
    <row r="279" spans="1:54" s="741" customFormat="1" ht="29" hidden="1" outlineLevel="1" x14ac:dyDescent="0.35">
      <c r="A279" s="756"/>
      <c r="B279" s="756"/>
      <c r="C279" s="753"/>
      <c r="D279" s="4275"/>
      <c r="E279" s="368" t="s">
        <v>4280</v>
      </c>
      <c r="F279" s="783">
        <v>1</v>
      </c>
      <c r="G279" s="2979" t="s">
        <v>1620</v>
      </c>
      <c r="H279" s="3158" t="s">
        <v>1618</v>
      </c>
      <c r="I279" s="756"/>
      <c r="J279" s="756"/>
      <c r="K279" s="756"/>
      <c r="L279" s="756"/>
      <c r="M279" s="756"/>
      <c r="N279" s="756"/>
      <c r="O279" s="756"/>
      <c r="P279" s="756"/>
      <c r="Q279" s="756"/>
      <c r="R279" s="756"/>
      <c r="S279" s="756"/>
      <c r="T279" s="756"/>
      <c r="U279" s="756"/>
      <c r="V279" s="4279"/>
      <c r="W279" s="750">
        <f>0.65*1106</f>
        <v>718.9</v>
      </c>
      <c r="X279" s="750">
        <v>718.9</v>
      </c>
      <c r="Y279" s="533">
        <v>1</v>
      </c>
      <c r="Z279" s="535">
        <v>1</v>
      </c>
      <c r="AA279" s="535">
        <v>1</v>
      </c>
      <c r="AB279" s="535">
        <v>1</v>
      </c>
      <c r="AC279" s="783">
        <v>1</v>
      </c>
      <c r="AD279" s="783">
        <v>1</v>
      </c>
      <c r="AE279" s="750"/>
      <c r="AF279" s="750"/>
      <c r="AG279" s="750"/>
      <c r="AK279" s="732"/>
      <c r="BB279" s="752"/>
    </row>
    <row r="280" spans="1:54" s="741" customFormat="1" ht="29" hidden="1" outlineLevel="1" x14ac:dyDescent="0.35">
      <c r="A280" s="756"/>
      <c r="B280" s="756"/>
      <c r="C280" s="753"/>
      <c r="D280" s="4275"/>
      <c r="E280" s="374" t="s">
        <v>4281</v>
      </c>
      <c r="F280" s="783">
        <v>1</v>
      </c>
      <c r="G280" s="2979" t="s">
        <v>1620</v>
      </c>
      <c r="H280" s="3158" t="s">
        <v>1618</v>
      </c>
      <c r="I280" s="756"/>
      <c r="J280" s="756"/>
      <c r="K280" s="756"/>
      <c r="L280" s="756"/>
      <c r="M280" s="756"/>
      <c r="N280" s="756"/>
      <c r="O280" s="756"/>
      <c r="P280" s="756"/>
      <c r="Q280" s="756"/>
      <c r="R280" s="756"/>
      <c r="S280" s="756"/>
      <c r="T280" s="756"/>
      <c r="U280" s="756"/>
      <c r="V280" s="4279"/>
      <c r="W280" s="750">
        <f>0.65*1106</f>
        <v>718.9</v>
      </c>
      <c r="X280" s="750">
        <v>718.9</v>
      </c>
      <c r="Y280" s="533">
        <v>1</v>
      </c>
      <c r="Z280" s="535">
        <v>1</v>
      </c>
      <c r="AA280" s="535">
        <v>1</v>
      </c>
      <c r="AB280" s="535">
        <v>1</v>
      </c>
      <c r="AC280" s="783">
        <v>1</v>
      </c>
      <c r="AD280" s="783">
        <v>1</v>
      </c>
      <c r="AE280" s="750"/>
      <c r="AF280" s="750"/>
      <c r="AG280" s="750"/>
      <c r="AK280" s="732"/>
      <c r="BB280" s="752"/>
    </row>
    <row r="281" spans="1:54" s="741" customFormat="1" ht="29" hidden="1" outlineLevel="1" x14ac:dyDescent="0.35">
      <c r="A281" s="756"/>
      <c r="B281" s="756"/>
      <c r="C281" s="753"/>
      <c r="D281" s="4275"/>
      <c r="E281" s="368" t="s">
        <v>4282</v>
      </c>
      <c r="F281" s="783">
        <v>1</v>
      </c>
      <c r="G281" s="2979" t="s">
        <v>1620</v>
      </c>
      <c r="H281" s="3158" t="s">
        <v>1619</v>
      </c>
      <c r="I281" s="756"/>
      <c r="J281" s="756"/>
      <c r="K281" s="756"/>
      <c r="L281" s="756"/>
      <c r="M281" s="756"/>
      <c r="N281" s="756"/>
      <c r="O281" s="756"/>
      <c r="P281" s="756"/>
      <c r="Q281" s="756"/>
      <c r="R281" s="756"/>
      <c r="S281" s="756"/>
      <c r="T281" s="756"/>
      <c r="U281" s="756"/>
      <c r="V281" s="4279"/>
      <c r="W281" s="750">
        <v>1106</v>
      </c>
      <c r="X281" s="750">
        <v>1106</v>
      </c>
      <c r="Y281" s="533">
        <v>1</v>
      </c>
      <c r="Z281" s="535">
        <v>1</v>
      </c>
      <c r="AA281" s="535">
        <v>1</v>
      </c>
      <c r="AB281" s="535">
        <v>1</v>
      </c>
      <c r="AC281" s="783">
        <v>1</v>
      </c>
      <c r="AD281" s="783">
        <v>1</v>
      </c>
      <c r="AE281" s="750"/>
      <c r="AF281" s="750"/>
      <c r="AG281" s="750"/>
      <c r="AK281" s="732"/>
      <c r="BB281" s="752"/>
    </row>
    <row r="282" spans="1:54" s="741" customFormat="1" ht="29" hidden="1" outlineLevel="1" x14ac:dyDescent="0.35">
      <c r="A282" s="756"/>
      <c r="B282" s="756"/>
      <c r="C282" s="753"/>
      <c r="D282" s="4275"/>
      <c r="E282" s="374" t="s">
        <v>4283</v>
      </c>
      <c r="F282" s="783">
        <v>1</v>
      </c>
      <c r="G282" s="2979" t="s">
        <v>1620</v>
      </c>
      <c r="H282" s="3158" t="s">
        <v>1619</v>
      </c>
      <c r="I282" s="756"/>
      <c r="J282" s="756"/>
      <c r="K282" s="756"/>
      <c r="L282" s="756"/>
      <c r="M282" s="756"/>
      <c r="N282" s="756"/>
      <c r="O282" s="756"/>
      <c r="P282" s="756"/>
      <c r="Q282" s="756"/>
      <c r="R282" s="756"/>
      <c r="S282" s="756"/>
      <c r="T282" s="756"/>
      <c r="U282" s="756"/>
      <c r="V282" s="4279"/>
      <c r="W282" s="750">
        <v>1106</v>
      </c>
      <c r="X282" s="750">
        <v>1106</v>
      </c>
      <c r="Y282" s="533">
        <v>1</v>
      </c>
      <c r="Z282" s="535">
        <v>1</v>
      </c>
      <c r="AA282" s="535">
        <v>1</v>
      </c>
      <c r="AB282" s="535">
        <v>1</v>
      </c>
      <c r="AC282" s="783">
        <v>1</v>
      </c>
      <c r="AD282" s="783">
        <v>1</v>
      </c>
      <c r="AE282" s="750"/>
      <c r="AF282" s="750"/>
      <c r="AG282" s="750"/>
      <c r="AK282" s="732"/>
      <c r="BB282" s="752"/>
    </row>
    <row r="283" spans="1:54" s="741" customFormat="1" ht="29" hidden="1" outlineLevel="1" x14ac:dyDescent="0.35">
      <c r="A283" s="756"/>
      <c r="B283" s="756"/>
      <c r="C283" s="753"/>
      <c r="D283" s="4275"/>
      <c r="E283" s="368" t="s">
        <v>4284</v>
      </c>
      <c r="F283" s="783">
        <v>1</v>
      </c>
      <c r="G283" s="2979" t="s">
        <v>1620</v>
      </c>
      <c r="H283" s="3158" t="s">
        <v>1619</v>
      </c>
      <c r="I283" s="756"/>
      <c r="J283" s="756"/>
      <c r="K283" s="756"/>
      <c r="L283" s="756"/>
      <c r="M283" s="756"/>
      <c r="N283" s="756"/>
      <c r="O283" s="756"/>
      <c r="P283" s="756"/>
      <c r="Q283" s="756"/>
      <c r="R283" s="756"/>
      <c r="S283" s="756"/>
      <c r="T283" s="756"/>
      <c r="U283" s="756"/>
      <c r="V283" s="4279"/>
      <c r="W283" s="750">
        <v>1106</v>
      </c>
      <c r="X283" s="750">
        <v>1106</v>
      </c>
      <c r="Y283" s="533">
        <v>1</v>
      </c>
      <c r="Z283" s="535">
        <v>1</v>
      </c>
      <c r="AA283" s="535">
        <v>1</v>
      </c>
      <c r="AB283" s="535">
        <v>1</v>
      </c>
      <c r="AC283" s="783">
        <v>1</v>
      </c>
      <c r="AD283" s="783">
        <v>1</v>
      </c>
      <c r="AE283" s="750"/>
      <c r="AF283" s="750"/>
      <c r="AG283" s="750"/>
      <c r="AK283" s="732"/>
      <c r="BB283" s="752"/>
    </row>
    <row r="284" spans="1:54" s="741" customFormat="1" ht="29" hidden="1" outlineLevel="1" x14ac:dyDescent="0.35">
      <c r="A284" s="756"/>
      <c r="B284" s="756"/>
      <c r="C284" s="753"/>
      <c r="D284" s="4275"/>
      <c r="E284" s="368" t="s">
        <v>4285</v>
      </c>
      <c r="F284" s="783">
        <v>1</v>
      </c>
      <c r="G284" s="2979" t="s">
        <v>1620</v>
      </c>
      <c r="H284" s="3158" t="s">
        <v>1618</v>
      </c>
      <c r="I284" s="756"/>
      <c r="J284" s="756"/>
      <c r="K284" s="756"/>
      <c r="L284" s="756"/>
      <c r="M284" s="756"/>
      <c r="N284" s="756"/>
      <c r="O284" s="756"/>
      <c r="P284" s="756"/>
      <c r="Q284" s="756"/>
      <c r="R284" s="756"/>
      <c r="S284" s="756"/>
      <c r="T284" s="756"/>
      <c r="U284" s="756"/>
      <c r="V284" s="4279"/>
      <c r="W284" s="750">
        <f>0.65*1106</f>
        <v>718.9</v>
      </c>
      <c r="X284" s="750">
        <v>718.9</v>
      </c>
      <c r="Y284" s="533">
        <v>1</v>
      </c>
      <c r="Z284" s="535">
        <v>1</v>
      </c>
      <c r="AA284" s="535">
        <v>1</v>
      </c>
      <c r="AB284" s="535">
        <v>1</v>
      </c>
      <c r="AC284" s="783">
        <v>1</v>
      </c>
      <c r="AD284" s="783">
        <v>1</v>
      </c>
      <c r="AE284" s="750"/>
      <c r="AF284" s="750"/>
      <c r="AG284" s="750"/>
      <c r="AK284" s="732"/>
      <c r="BB284" s="752"/>
    </row>
    <row r="285" spans="1:54" s="741" customFormat="1" ht="29" hidden="1" outlineLevel="1" x14ac:dyDescent="0.35">
      <c r="A285" s="756"/>
      <c r="B285" s="756"/>
      <c r="C285" s="753"/>
      <c r="D285" s="4275"/>
      <c r="E285" s="368" t="s">
        <v>4286</v>
      </c>
      <c r="F285" s="783">
        <v>1</v>
      </c>
      <c r="G285" s="2979" t="s">
        <v>1620</v>
      </c>
      <c r="H285" s="3158" t="s">
        <v>1618</v>
      </c>
      <c r="I285" s="756"/>
      <c r="J285" s="756"/>
      <c r="K285" s="756"/>
      <c r="L285" s="756"/>
      <c r="M285" s="756"/>
      <c r="N285" s="756"/>
      <c r="O285" s="756"/>
      <c r="P285" s="756"/>
      <c r="Q285" s="756"/>
      <c r="R285" s="756"/>
      <c r="S285" s="756"/>
      <c r="T285" s="756"/>
      <c r="U285" s="756"/>
      <c r="V285" s="4279"/>
      <c r="W285" s="750">
        <f>0.65*1106</f>
        <v>718.9</v>
      </c>
      <c r="X285" s="750">
        <v>718.9</v>
      </c>
      <c r="Y285" s="533">
        <v>1</v>
      </c>
      <c r="Z285" s="535">
        <v>1</v>
      </c>
      <c r="AA285" s="535">
        <v>1</v>
      </c>
      <c r="AB285" s="535">
        <v>1</v>
      </c>
      <c r="AC285" s="783">
        <v>1</v>
      </c>
      <c r="AD285" s="783">
        <v>1</v>
      </c>
      <c r="AE285" s="750"/>
      <c r="AF285" s="750"/>
      <c r="AG285" s="750"/>
      <c r="AK285" s="732"/>
      <c r="BB285" s="752"/>
    </row>
    <row r="286" spans="1:54" s="741" customFormat="1" ht="29" hidden="1" outlineLevel="1" x14ac:dyDescent="0.35">
      <c r="A286" s="756"/>
      <c r="B286" s="756"/>
      <c r="C286" s="753"/>
      <c r="D286" s="4275"/>
      <c r="E286" s="374" t="s">
        <v>4287</v>
      </c>
      <c r="F286" s="783">
        <v>1</v>
      </c>
      <c r="G286" s="2979" t="s">
        <v>1620</v>
      </c>
      <c r="H286" s="3158" t="s">
        <v>1618</v>
      </c>
      <c r="I286" s="756"/>
      <c r="J286" s="756"/>
      <c r="K286" s="756"/>
      <c r="L286" s="756"/>
      <c r="M286" s="756"/>
      <c r="N286" s="756"/>
      <c r="O286" s="756"/>
      <c r="P286" s="756"/>
      <c r="Q286" s="756"/>
      <c r="R286" s="756"/>
      <c r="S286" s="756"/>
      <c r="T286" s="756"/>
      <c r="U286" s="756"/>
      <c r="V286" s="4279"/>
      <c r="W286" s="750">
        <f>0.65*1106</f>
        <v>718.9</v>
      </c>
      <c r="X286" s="750">
        <v>718.9</v>
      </c>
      <c r="Y286" s="533">
        <v>1</v>
      </c>
      <c r="Z286" s="535">
        <v>1</v>
      </c>
      <c r="AA286" s="535">
        <v>1</v>
      </c>
      <c r="AB286" s="535">
        <v>1</v>
      </c>
      <c r="AC286" s="783">
        <v>1</v>
      </c>
      <c r="AD286" s="783">
        <v>1</v>
      </c>
      <c r="AE286" s="750"/>
      <c r="AF286" s="750"/>
      <c r="AG286" s="750"/>
      <c r="AK286" s="732"/>
      <c r="BB286" s="752"/>
    </row>
    <row r="287" spans="1:54" s="741" customFormat="1" ht="29" hidden="1" outlineLevel="1" x14ac:dyDescent="0.35">
      <c r="A287" s="756"/>
      <c r="B287" s="756"/>
      <c r="C287" s="753"/>
      <c r="D287" s="4275"/>
      <c r="E287" s="368" t="s">
        <v>4288</v>
      </c>
      <c r="F287" s="783">
        <v>1</v>
      </c>
      <c r="G287" s="2979" t="s">
        <v>1620</v>
      </c>
      <c r="H287" s="3158" t="s">
        <v>1619</v>
      </c>
      <c r="I287" s="756"/>
      <c r="J287" s="756"/>
      <c r="K287" s="756"/>
      <c r="L287" s="756"/>
      <c r="M287" s="756"/>
      <c r="N287" s="756"/>
      <c r="O287" s="756"/>
      <c r="P287" s="756"/>
      <c r="Q287" s="756"/>
      <c r="R287" s="756"/>
      <c r="S287" s="756"/>
      <c r="T287" s="756"/>
      <c r="U287" s="756"/>
      <c r="V287" s="4279"/>
      <c r="W287" s="750">
        <v>1106</v>
      </c>
      <c r="X287" s="750">
        <v>1106</v>
      </c>
      <c r="Y287" s="533">
        <v>1</v>
      </c>
      <c r="Z287" s="535">
        <v>1</v>
      </c>
      <c r="AA287" s="535">
        <v>1</v>
      </c>
      <c r="AB287" s="535">
        <v>1</v>
      </c>
      <c r="AC287" s="783">
        <v>1</v>
      </c>
      <c r="AD287" s="783">
        <v>1</v>
      </c>
      <c r="AE287" s="750"/>
      <c r="AF287" s="750"/>
      <c r="AG287" s="750"/>
      <c r="AK287" s="732"/>
      <c r="BB287" s="752"/>
    </row>
    <row r="288" spans="1:54" s="741" customFormat="1" ht="29" hidden="1" outlineLevel="1" x14ac:dyDescent="0.35">
      <c r="A288" s="756"/>
      <c r="B288" s="756"/>
      <c r="C288" s="753"/>
      <c r="D288" s="4275"/>
      <c r="E288" s="374" t="s">
        <v>4289</v>
      </c>
      <c r="F288" s="783">
        <v>1</v>
      </c>
      <c r="G288" s="2979" t="s">
        <v>1620</v>
      </c>
      <c r="H288" s="3158" t="s">
        <v>1619</v>
      </c>
      <c r="I288" s="756"/>
      <c r="J288" s="756"/>
      <c r="K288" s="756"/>
      <c r="L288" s="756"/>
      <c r="M288" s="756"/>
      <c r="N288" s="756"/>
      <c r="O288" s="756"/>
      <c r="P288" s="756"/>
      <c r="Q288" s="756"/>
      <c r="R288" s="756"/>
      <c r="S288" s="756"/>
      <c r="T288" s="756"/>
      <c r="U288" s="756"/>
      <c r="V288" s="4279"/>
      <c r="W288" s="750">
        <v>1106</v>
      </c>
      <c r="X288" s="750">
        <v>1106</v>
      </c>
      <c r="Y288" s="533">
        <v>1</v>
      </c>
      <c r="Z288" s="535">
        <v>1</v>
      </c>
      <c r="AA288" s="535">
        <v>1</v>
      </c>
      <c r="AB288" s="535">
        <v>1</v>
      </c>
      <c r="AC288" s="783">
        <v>1</v>
      </c>
      <c r="AD288" s="783">
        <v>1</v>
      </c>
      <c r="AE288" s="750"/>
      <c r="AF288" s="750"/>
      <c r="AG288" s="750"/>
      <c r="AK288" s="732"/>
      <c r="BB288" s="752"/>
    </row>
    <row r="289" spans="1:54" s="741" customFormat="1" ht="29.5" hidden="1" outlineLevel="1" thickBot="1" x14ac:dyDescent="0.4">
      <c r="A289" s="756"/>
      <c r="B289" s="756"/>
      <c r="C289" s="753"/>
      <c r="D289" s="4287"/>
      <c r="E289" s="1936" t="s">
        <v>4290</v>
      </c>
      <c r="F289" s="3172">
        <v>1</v>
      </c>
      <c r="G289" s="3159" t="s">
        <v>1620</v>
      </c>
      <c r="H289" s="3160" t="s">
        <v>1619</v>
      </c>
      <c r="I289" s="756"/>
      <c r="J289" s="756"/>
      <c r="K289" s="756"/>
      <c r="L289" s="756"/>
      <c r="M289" s="756"/>
      <c r="N289" s="756"/>
      <c r="O289" s="756"/>
      <c r="P289" s="756"/>
      <c r="Q289" s="756"/>
      <c r="R289" s="756"/>
      <c r="S289" s="756"/>
      <c r="T289" s="756"/>
      <c r="U289" s="756"/>
      <c r="V289" s="4288"/>
      <c r="W289" s="750">
        <v>1106</v>
      </c>
      <c r="X289" s="750">
        <v>1106</v>
      </c>
      <c r="Y289" s="533">
        <v>1</v>
      </c>
      <c r="Z289" s="535">
        <v>1</v>
      </c>
      <c r="AA289" s="535">
        <v>1</v>
      </c>
      <c r="AB289" s="535">
        <v>1</v>
      </c>
      <c r="AC289" s="783">
        <v>1</v>
      </c>
      <c r="AD289" s="783">
        <v>1</v>
      </c>
      <c r="AE289" s="750"/>
      <c r="AF289" s="750"/>
      <c r="AG289" s="750"/>
      <c r="AK289" s="732"/>
      <c r="BB289" s="752"/>
    </row>
    <row r="290" spans="1:54" s="741" customFormat="1" ht="17" hidden="1" outlineLevel="1" thickBot="1" x14ac:dyDescent="0.4">
      <c r="A290" s="756"/>
      <c r="B290" s="756"/>
      <c r="C290" s="753"/>
      <c r="D290" s="3167" t="s">
        <v>1621</v>
      </c>
      <c r="E290" s="3164" t="s">
        <v>134</v>
      </c>
      <c r="F290" s="3168">
        <v>7.0000000000000007E-2</v>
      </c>
      <c r="G290" s="2655" t="s">
        <v>1622</v>
      </c>
      <c r="H290" s="3166"/>
      <c r="I290" s="756"/>
      <c r="J290" s="756"/>
      <c r="K290" s="756"/>
      <c r="L290" s="756"/>
      <c r="M290" s="756"/>
      <c r="N290" s="756"/>
      <c r="O290" s="756"/>
      <c r="P290" s="756"/>
      <c r="Q290" s="756"/>
      <c r="R290" s="756"/>
      <c r="S290" s="756"/>
      <c r="T290" s="756"/>
      <c r="U290" s="756"/>
      <c r="V290" s="763" t="str">
        <f>D290</f>
        <v>Framing FactorAttic</v>
      </c>
      <c r="W290" s="761">
        <v>7.0000000000000007E-2</v>
      </c>
      <c r="X290" s="761">
        <v>7.0000000000000007E-2</v>
      </c>
      <c r="Y290" s="761">
        <v>7.0000000000000007E-2</v>
      </c>
      <c r="Z290" s="787">
        <v>7.0000000000000007E-2</v>
      </c>
      <c r="AA290" s="787">
        <v>7.0000000000000007E-2</v>
      </c>
      <c r="AB290" s="787">
        <v>7.0000000000000007E-2</v>
      </c>
      <c r="AC290" s="787">
        <v>7.0000000000000007E-2</v>
      </c>
      <c r="AD290" s="787">
        <v>7.0000000000000007E-2</v>
      </c>
      <c r="AE290" s="761"/>
      <c r="AF290" s="761"/>
      <c r="AG290" s="761"/>
      <c r="AK290" s="732"/>
      <c r="BB290" s="752"/>
    </row>
    <row r="291" spans="1:54" s="741" customFormat="1" ht="15" hidden="1" outlineLevel="1" thickBot="1" x14ac:dyDescent="0.4">
      <c r="A291" s="756"/>
      <c r="B291" s="756"/>
      <c r="C291" s="753"/>
      <c r="D291" s="3167" t="s">
        <v>1623</v>
      </c>
      <c r="E291" s="3164" t="s">
        <v>134</v>
      </c>
      <c r="F291" s="3169">
        <v>4486</v>
      </c>
      <c r="G291" s="2655" t="s">
        <v>314</v>
      </c>
      <c r="H291" s="3166" t="s">
        <v>1624</v>
      </c>
      <c r="I291" s="756"/>
      <c r="J291" s="756"/>
      <c r="K291" s="756"/>
      <c r="L291" s="756"/>
      <c r="M291" s="756"/>
      <c r="N291" s="756"/>
      <c r="O291" s="756"/>
      <c r="P291" s="756"/>
      <c r="Q291" s="756"/>
      <c r="R291" s="756"/>
      <c r="S291" s="756"/>
      <c r="T291" s="756"/>
      <c r="U291" s="756"/>
      <c r="V291" s="763" t="str">
        <f>D291</f>
        <v>HDD</v>
      </c>
      <c r="W291" s="750">
        <v>4486</v>
      </c>
      <c r="X291" s="750">
        <v>4486</v>
      </c>
      <c r="Y291" s="750">
        <v>4486</v>
      </c>
      <c r="Z291" s="1018">
        <v>4486</v>
      </c>
      <c r="AA291" s="1018">
        <v>4486</v>
      </c>
      <c r="AB291" s="1018">
        <v>4486</v>
      </c>
      <c r="AC291" s="1018">
        <v>4486</v>
      </c>
      <c r="AD291" s="1018">
        <v>4486</v>
      </c>
      <c r="AE291" s="750"/>
      <c r="AF291" s="750"/>
      <c r="AG291" s="750"/>
      <c r="AK291" s="732"/>
      <c r="BB291" s="752"/>
    </row>
    <row r="292" spans="1:54" s="741" customFormat="1" ht="17" hidden="1" outlineLevel="1" thickBot="1" x14ac:dyDescent="0.4">
      <c r="A292" s="756"/>
      <c r="B292" s="756"/>
      <c r="C292" s="753"/>
      <c r="D292" s="3167" t="s">
        <v>1625</v>
      </c>
      <c r="E292" s="3164" t="s">
        <v>134</v>
      </c>
      <c r="F292" s="3168">
        <v>0.74</v>
      </c>
      <c r="G292" s="2655" t="s">
        <v>284</v>
      </c>
      <c r="H292" s="3166"/>
      <c r="I292" s="756"/>
      <c r="J292" s="756"/>
      <c r="K292" s="756"/>
      <c r="L292" s="756"/>
      <c r="M292" s="756"/>
      <c r="N292" s="756"/>
      <c r="O292" s="756"/>
      <c r="P292" s="756"/>
      <c r="Q292" s="756"/>
      <c r="R292" s="756"/>
      <c r="S292" s="756"/>
      <c r="T292" s="756"/>
      <c r="U292" s="756"/>
      <c r="V292" s="763" t="str">
        <f>D292</f>
        <v>AdjAttic</v>
      </c>
      <c r="W292" s="761">
        <v>0.74</v>
      </c>
      <c r="X292" s="761">
        <v>0.74</v>
      </c>
      <c r="Y292" s="761">
        <v>0.74</v>
      </c>
      <c r="Z292" s="787">
        <v>0.74</v>
      </c>
      <c r="AA292" s="787">
        <v>0.74</v>
      </c>
      <c r="AB292" s="787">
        <v>0.74</v>
      </c>
      <c r="AC292" s="787">
        <v>0.74</v>
      </c>
      <c r="AD292" s="787">
        <v>0.74</v>
      </c>
      <c r="AE292" s="761"/>
      <c r="AF292" s="761"/>
      <c r="AG292" s="761"/>
      <c r="AK292" s="732"/>
      <c r="BB292" s="752"/>
    </row>
    <row r="293" spans="1:54" s="741" customFormat="1" hidden="1" outlineLevel="1" x14ac:dyDescent="0.35">
      <c r="A293" s="756"/>
      <c r="B293" s="756"/>
      <c r="C293" s="753"/>
      <c r="D293" s="4274" t="s">
        <v>1626</v>
      </c>
      <c r="E293" s="3155" t="s">
        <v>4261</v>
      </c>
      <c r="F293" s="3171">
        <v>1</v>
      </c>
      <c r="G293" s="3156" t="s">
        <v>284</v>
      </c>
      <c r="H293" s="4302" t="s">
        <v>288</v>
      </c>
      <c r="I293" s="756"/>
      <c r="J293" s="756"/>
      <c r="K293" s="756"/>
      <c r="L293" s="756"/>
      <c r="M293" s="756"/>
      <c r="N293" s="756"/>
      <c r="O293" s="756"/>
      <c r="P293" s="756"/>
      <c r="Q293" s="756"/>
      <c r="R293" s="756"/>
      <c r="S293" s="756"/>
      <c r="T293" s="756"/>
      <c r="U293" s="756"/>
      <c r="V293" s="4278" t="str">
        <f>D293</f>
        <v>ƞheat</v>
      </c>
      <c r="W293" s="764">
        <v>1</v>
      </c>
      <c r="X293" s="764">
        <v>1</v>
      </c>
      <c r="Y293" s="764">
        <v>1</v>
      </c>
      <c r="Z293" s="783">
        <v>1</v>
      </c>
      <c r="AA293" s="783">
        <v>1</v>
      </c>
      <c r="AB293" s="783">
        <v>1</v>
      </c>
      <c r="AC293" s="783">
        <v>1</v>
      </c>
      <c r="AD293" s="783">
        <v>1</v>
      </c>
      <c r="AE293" s="764"/>
      <c r="AF293" s="764"/>
      <c r="AG293" s="764"/>
      <c r="AK293" s="732"/>
      <c r="BB293" s="752"/>
    </row>
    <row r="294" spans="1:54" s="741" customFormat="1" hidden="1" outlineLevel="1" x14ac:dyDescent="0.35">
      <c r="A294" s="756"/>
      <c r="B294" s="756"/>
      <c r="C294" s="753"/>
      <c r="D294" s="4275"/>
      <c r="E294" s="368" t="s">
        <v>4262</v>
      </c>
      <c r="F294" s="783">
        <f>7/3.412*0.85</f>
        <v>1.7438452520515826</v>
      </c>
      <c r="G294" s="2979" t="s">
        <v>284</v>
      </c>
      <c r="H294" s="4294"/>
      <c r="I294" s="756"/>
      <c r="J294" s="756"/>
      <c r="K294" s="756"/>
      <c r="L294" s="756"/>
      <c r="M294" s="756"/>
      <c r="N294" s="756"/>
      <c r="O294" s="756"/>
      <c r="P294" s="756"/>
      <c r="Q294" s="756"/>
      <c r="R294" s="756"/>
      <c r="S294" s="756"/>
      <c r="T294" s="756"/>
      <c r="U294" s="756"/>
      <c r="V294" s="4279"/>
      <c r="W294" s="764">
        <f>7/3.412*0.85</f>
        <v>1.7438452520515826</v>
      </c>
      <c r="X294" s="764">
        <v>1.7438452520515826</v>
      </c>
      <c r="Y294" s="764">
        <v>1.7438452520515826</v>
      </c>
      <c r="Z294" s="783">
        <v>1.7438452520515826</v>
      </c>
      <c r="AA294" s="783">
        <v>1.7438452520515826</v>
      </c>
      <c r="AB294" s="783">
        <v>1.7438452520515826</v>
      </c>
      <c r="AC294" s="783">
        <v>1.7438452520515826</v>
      </c>
      <c r="AD294" s="783">
        <v>1.7438452520515826</v>
      </c>
      <c r="AE294" s="764"/>
      <c r="AF294" s="764"/>
      <c r="AG294" s="764"/>
      <c r="AK294" s="732"/>
      <c r="BB294" s="752"/>
    </row>
    <row r="295" spans="1:54" s="741" customFormat="1" hidden="1" outlineLevel="1" x14ac:dyDescent="0.35">
      <c r="A295" s="756"/>
      <c r="B295" s="756"/>
      <c r="C295" s="753"/>
      <c r="D295" s="4275"/>
      <c r="E295" s="368" t="s">
        <v>4263</v>
      </c>
      <c r="F295" s="786">
        <v>0.71</v>
      </c>
      <c r="G295" s="2979" t="s">
        <v>284</v>
      </c>
      <c r="H295" s="4294"/>
      <c r="I295" s="756"/>
      <c r="J295" s="756"/>
      <c r="K295" s="756"/>
      <c r="L295" s="756"/>
      <c r="M295" s="756"/>
      <c r="N295" s="756"/>
      <c r="O295" s="756"/>
      <c r="P295" s="756"/>
      <c r="Q295" s="756"/>
      <c r="R295" s="756"/>
      <c r="S295" s="756"/>
      <c r="T295" s="756"/>
      <c r="U295" s="756"/>
      <c r="V295" s="4279"/>
      <c r="W295" s="765">
        <v>0.71</v>
      </c>
      <c r="X295" s="765">
        <v>0.71</v>
      </c>
      <c r="Y295" s="765">
        <v>0.71</v>
      </c>
      <c r="Z295" s="786">
        <v>0.71</v>
      </c>
      <c r="AA295" s="786">
        <v>0.71</v>
      </c>
      <c r="AB295" s="786">
        <v>0.71</v>
      </c>
      <c r="AC295" s="786">
        <v>0.71</v>
      </c>
      <c r="AD295" s="786">
        <v>0.71</v>
      </c>
      <c r="AE295" s="765"/>
      <c r="AF295" s="765"/>
      <c r="AG295" s="765"/>
      <c r="AK295" s="732"/>
      <c r="BB295" s="752"/>
    </row>
    <row r="296" spans="1:54" s="741" customFormat="1" hidden="1" outlineLevel="1" x14ac:dyDescent="0.35">
      <c r="A296" s="756"/>
      <c r="B296" s="756"/>
      <c r="C296" s="753"/>
      <c r="D296" s="4275"/>
      <c r="E296" s="368" t="s">
        <v>4264</v>
      </c>
      <c r="F296" s="783">
        <v>1</v>
      </c>
      <c r="G296" s="2979" t="s">
        <v>284</v>
      </c>
      <c r="H296" s="4294"/>
      <c r="I296" s="756"/>
      <c r="J296" s="756"/>
      <c r="K296" s="756"/>
      <c r="L296" s="756"/>
      <c r="M296" s="756"/>
      <c r="N296" s="756"/>
      <c r="O296" s="756"/>
      <c r="P296" s="756"/>
      <c r="Q296" s="756"/>
      <c r="R296" s="756"/>
      <c r="S296" s="756"/>
      <c r="T296" s="756"/>
      <c r="U296" s="756"/>
      <c r="V296" s="4279"/>
      <c r="W296" s="764">
        <v>1</v>
      </c>
      <c r="X296" s="764">
        <v>1</v>
      </c>
      <c r="Y296" s="764">
        <v>1</v>
      </c>
      <c r="Z296" s="783">
        <v>1</v>
      </c>
      <c r="AA296" s="783">
        <v>1</v>
      </c>
      <c r="AB296" s="783">
        <v>1</v>
      </c>
      <c r="AC296" s="783">
        <v>1</v>
      </c>
      <c r="AD296" s="783">
        <v>1</v>
      </c>
      <c r="AE296" s="764"/>
      <c r="AF296" s="764"/>
      <c r="AG296" s="764"/>
      <c r="AK296" s="732"/>
      <c r="BB296" s="752"/>
    </row>
    <row r="297" spans="1:54" s="741" customFormat="1" hidden="1" outlineLevel="1" x14ac:dyDescent="0.35">
      <c r="A297" s="756"/>
      <c r="B297" s="756"/>
      <c r="C297" s="753"/>
      <c r="D297" s="4275"/>
      <c r="E297" s="368" t="s">
        <v>4265</v>
      </c>
      <c r="F297" s="783">
        <f>7/3.412*0.85</f>
        <v>1.7438452520515826</v>
      </c>
      <c r="G297" s="2979" t="s">
        <v>284</v>
      </c>
      <c r="H297" s="4294"/>
      <c r="I297" s="756"/>
      <c r="J297" s="756"/>
      <c r="K297" s="756"/>
      <c r="L297" s="756"/>
      <c r="M297" s="756"/>
      <c r="N297" s="756"/>
      <c r="O297" s="756"/>
      <c r="P297" s="756"/>
      <c r="Q297" s="756"/>
      <c r="R297" s="756"/>
      <c r="S297" s="756"/>
      <c r="T297" s="756"/>
      <c r="U297" s="756"/>
      <c r="V297" s="4279"/>
      <c r="W297" s="764">
        <f>7/3.412*0.85</f>
        <v>1.7438452520515826</v>
      </c>
      <c r="X297" s="764">
        <v>1.7438452520515826</v>
      </c>
      <c r="Y297" s="764">
        <v>1.7438452520515826</v>
      </c>
      <c r="Z297" s="783">
        <v>1.7438452520515826</v>
      </c>
      <c r="AA297" s="783">
        <v>1.7438452520515826</v>
      </c>
      <c r="AB297" s="783">
        <v>1.7438452520515826</v>
      </c>
      <c r="AC297" s="783">
        <v>1.7438452520515826</v>
      </c>
      <c r="AD297" s="783">
        <v>1.7438452520515826</v>
      </c>
      <c r="AE297" s="764"/>
      <c r="AF297" s="764"/>
      <c r="AG297" s="764"/>
      <c r="AK297" s="732"/>
      <c r="BB297" s="752"/>
    </row>
    <row r="298" spans="1:54" s="741" customFormat="1" hidden="1" outlineLevel="1" x14ac:dyDescent="0.35">
      <c r="A298" s="756"/>
      <c r="B298" s="756"/>
      <c r="C298" s="753"/>
      <c r="D298" s="4275"/>
      <c r="E298" s="368" t="s">
        <v>4266</v>
      </c>
      <c r="F298" s="786">
        <v>0.71</v>
      </c>
      <c r="G298" s="2979" t="s">
        <v>284</v>
      </c>
      <c r="H298" s="4294"/>
      <c r="I298" s="756"/>
      <c r="J298" s="756"/>
      <c r="K298" s="756"/>
      <c r="L298" s="756"/>
      <c r="M298" s="756"/>
      <c r="N298" s="756"/>
      <c r="O298" s="756"/>
      <c r="P298" s="756"/>
      <c r="Q298" s="756"/>
      <c r="R298" s="756"/>
      <c r="S298" s="756"/>
      <c r="T298" s="756"/>
      <c r="U298" s="756"/>
      <c r="V298" s="4279"/>
      <c r="W298" s="765">
        <v>0.71</v>
      </c>
      <c r="X298" s="765">
        <v>0.71</v>
      </c>
      <c r="Y298" s="765">
        <v>0.71</v>
      </c>
      <c r="Z298" s="786">
        <v>0.71</v>
      </c>
      <c r="AA298" s="786">
        <v>0.71</v>
      </c>
      <c r="AB298" s="786">
        <v>0.71</v>
      </c>
      <c r="AC298" s="786">
        <v>0.71</v>
      </c>
      <c r="AD298" s="786">
        <v>0.71</v>
      </c>
      <c r="AE298" s="765"/>
      <c r="AF298" s="765"/>
      <c r="AG298" s="765"/>
      <c r="AK298" s="732"/>
      <c r="BB298" s="752"/>
    </row>
    <row r="299" spans="1:54" s="741" customFormat="1" hidden="1" outlineLevel="1" x14ac:dyDescent="0.35">
      <c r="A299" s="756"/>
      <c r="B299" s="756"/>
      <c r="C299" s="753"/>
      <c r="D299" s="4275"/>
      <c r="E299" s="368" t="s">
        <v>4267</v>
      </c>
      <c r="F299" s="783">
        <v>1</v>
      </c>
      <c r="G299" s="2979" t="s">
        <v>284</v>
      </c>
      <c r="H299" s="4294"/>
      <c r="I299" s="756"/>
      <c r="J299" s="756"/>
      <c r="K299" s="756"/>
      <c r="L299" s="756"/>
      <c r="M299" s="756"/>
      <c r="N299" s="756"/>
      <c r="O299" s="756"/>
      <c r="P299" s="756"/>
      <c r="Q299" s="756"/>
      <c r="R299" s="756"/>
      <c r="S299" s="756"/>
      <c r="T299" s="756"/>
      <c r="U299" s="756"/>
      <c r="V299" s="4279"/>
      <c r="W299" s="764">
        <v>1</v>
      </c>
      <c r="X299" s="764">
        <v>1</v>
      </c>
      <c r="Y299" s="764">
        <v>1</v>
      </c>
      <c r="Z299" s="783">
        <v>1</v>
      </c>
      <c r="AA299" s="783">
        <v>1</v>
      </c>
      <c r="AB299" s="783">
        <v>1</v>
      </c>
      <c r="AC299" s="783">
        <v>1</v>
      </c>
      <c r="AD299" s="783">
        <v>1</v>
      </c>
      <c r="AE299" s="764"/>
      <c r="AF299" s="764"/>
      <c r="AG299" s="764"/>
      <c r="AK299" s="732"/>
      <c r="BB299" s="752"/>
    </row>
    <row r="300" spans="1:54" s="741" customFormat="1" hidden="1" outlineLevel="1" x14ac:dyDescent="0.35">
      <c r="A300" s="756"/>
      <c r="B300" s="756"/>
      <c r="C300" s="753"/>
      <c r="D300" s="4275"/>
      <c r="E300" s="368" t="s">
        <v>4268</v>
      </c>
      <c r="F300" s="783">
        <f>7/3.412*0.85</f>
        <v>1.7438452520515826</v>
      </c>
      <c r="G300" s="2979" t="s">
        <v>284</v>
      </c>
      <c r="H300" s="4294"/>
      <c r="I300" s="756"/>
      <c r="J300" s="756"/>
      <c r="K300" s="756"/>
      <c r="L300" s="756"/>
      <c r="M300" s="756"/>
      <c r="N300" s="756"/>
      <c r="O300" s="756"/>
      <c r="P300" s="756"/>
      <c r="Q300" s="756"/>
      <c r="R300" s="756"/>
      <c r="S300" s="756"/>
      <c r="T300" s="756"/>
      <c r="U300" s="756"/>
      <c r="V300" s="4279"/>
      <c r="W300" s="764">
        <f>7/3.412*0.85</f>
        <v>1.7438452520515826</v>
      </c>
      <c r="X300" s="764">
        <v>1.7438452520515826</v>
      </c>
      <c r="Y300" s="764">
        <v>1.7438452520515826</v>
      </c>
      <c r="Z300" s="783">
        <v>1.7438452520515826</v>
      </c>
      <c r="AA300" s="783">
        <v>1.7438452520515826</v>
      </c>
      <c r="AB300" s="783">
        <v>1.7438452520515826</v>
      </c>
      <c r="AC300" s="783">
        <v>1.7438452520515826</v>
      </c>
      <c r="AD300" s="783">
        <v>1.7438452520515826</v>
      </c>
      <c r="AE300" s="764"/>
      <c r="AF300" s="764"/>
      <c r="AG300" s="764"/>
      <c r="AK300" s="732"/>
      <c r="BB300" s="752"/>
    </row>
    <row r="301" spans="1:54" s="741" customFormat="1" hidden="1" outlineLevel="1" x14ac:dyDescent="0.35">
      <c r="A301" s="756"/>
      <c r="B301" s="756"/>
      <c r="C301" s="753"/>
      <c r="D301" s="4275"/>
      <c r="E301" s="374" t="s">
        <v>4269</v>
      </c>
      <c r="F301" s="786">
        <v>0.71</v>
      </c>
      <c r="G301" s="2979" t="s">
        <v>284</v>
      </c>
      <c r="H301" s="4294"/>
      <c r="I301" s="756"/>
      <c r="J301" s="756"/>
      <c r="K301" s="756"/>
      <c r="L301" s="756"/>
      <c r="M301" s="756"/>
      <c r="N301" s="756"/>
      <c r="O301" s="756"/>
      <c r="P301" s="756"/>
      <c r="Q301" s="756"/>
      <c r="R301" s="756"/>
      <c r="S301" s="756"/>
      <c r="T301" s="756"/>
      <c r="U301" s="756"/>
      <c r="V301" s="4279"/>
      <c r="W301" s="765">
        <v>0.71</v>
      </c>
      <c r="X301" s="765">
        <v>0.71</v>
      </c>
      <c r="Y301" s="765">
        <v>0.71</v>
      </c>
      <c r="Z301" s="786">
        <v>0.71</v>
      </c>
      <c r="AA301" s="786">
        <v>0.71</v>
      </c>
      <c r="AB301" s="786">
        <v>0.71</v>
      </c>
      <c r="AC301" s="786">
        <v>0.71</v>
      </c>
      <c r="AD301" s="786">
        <v>0.71</v>
      </c>
      <c r="AE301" s="765"/>
      <c r="AF301" s="765"/>
      <c r="AG301" s="765"/>
      <c r="AK301" s="732"/>
      <c r="BB301" s="752"/>
    </row>
    <row r="302" spans="1:54" s="741" customFormat="1" hidden="1" outlineLevel="1" x14ac:dyDescent="0.35">
      <c r="A302" s="756"/>
      <c r="B302" s="756"/>
      <c r="C302" s="753"/>
      <c r="D302" s="4275"/>
      <c r="E302" s="368" t="s">
        <v>4270</v>
      </c>
      <c r="F302" s="783">
        <v>1</v>
      </c>
      <c r="G302" s="2979" t="s">
        <v>284</v>
      </c>
      <c r="H302" s="4294"/>
      <c r="I302" s="756"/>
      <c r="J302" s="756"/>
      <c r="K302" s="756"/>
      <c r="L302" s="756"/>
      <c r="M302" s="756"/>
      <c r="N302" s="756"/>
      <c r="O302" s="756"/>
      <c r="P302" s="756"/>
      <c r="Q302" s="756"/>
      <c r="R302" s="756"/>
      <c r="S302" s="756"/>
      <c r="T302" s="756"/>
      <c r="U302" s="756"/>
      <c r="V302" s="4279"/>
      <c r="W302" s="764">
        <v>1</v>
      </c>
      <c r="X302" s="764">
        <v>1</v>
      </c>
      <c r="Y302" s="764">
        <v>1</v>
      </c>
      <c r="Z302" s="783">
        <v>1</v>
      </c>
      <c r="AA302" s="783">
        <v>1</v>
      </c>
      <c r="AB302" s="783">
        <v>1</v>
      </c>
      <c r="AC302" s="783">
        <v>1</v>
      </c>
      <c r="AD302" s="783">
        <v>1</v>
      </c>
      <c r="AE302" s="764"/>
      <c r="AF302" s="764"/>
      <c r="AG302" s="764"/>
      <c r="AK302" s="732"/>
      <c r="BB302" s="752"/>
    </row>
    <row r="303" spans="1:54" s="741" customFormat="1" hidden="1" outlineLevel="1" x14ac:dyDescent="0.35">
      <c r="A303" s="756"/>
      <c r="B303" s="756"/>
      <c r="C303" s="753"/>
      <c r="D303" s="4275"/>
      <c r="E303" s="368" t="s">
        <v>4271</v>
      </c>
      <c r="F303" s="783">
        <f>7/3.412*0.85</f>
        <v>1.7438452520515826</v>
      </c>
      <c r="G303" s="2979" t="s">
        <v>284</v>
      </c>
      <c r="H303" s="4294"/>
      <c r="I303" s="756"/>
      <c r="J303" s="756"/>
      <c r="K303" s="756"/>
      <c r="L303" s="756"/>
      <c r="M303" s="756"/>
      <c r="N303" s="756"/>
      <c r="O303" s="756"/>
      <c r="P303" s="756"/>
      <c r="Q303" s="756"/>
      <c r="R303" s="756"/>
      <c r="S303" s="756"/>
      <c r="T303" s="756"/>
      <c r="U303" s="756"/>
      <c r="V303" s="4279"/>
      <c r="W303" s="764">
        <f>7/3.412*0.85</f>
        <v>1.7438452520515826</v>
      </c>
      <c r="X303" s="764">
        <v>1.7438452520515826</v>
      </c>
      <c r="Y303" s="764">
        <v>1.7438452520515826</v>
      </c>
      <c r="Z303" s="783">
        <v>1.7438452520515826</v>
      </c>
      <c r="AA303" s="783">
        <v>1.7438452520515826</v>
      </c>
      <c r="AB303" s="783">
        <v>1.7438452520515826</v>
      </c>
      <c r="AC303" s="783">
        <v>1.7438452520515826</v>
      </c>
      <c r="AD303" s="783">
        <v>1.7438452520515826</v>
      </c>
      <c r="AE303" s="764"/>
      <c r="AF303" s="764"/>
      <c r="AG303" s="764"/>
      <c r="AK303" s="732"/>
      <c r="BB303" s="752"/>
    </row>
    <row r="304" spans="1:54" s="741" customFormat="1" hidden="1" outlineLevel="1" x14ac:dyDescent="0.35">
      <c r="A304" s="756"/>
      <c r="B304" s="756"/>
      <c r="C304" s="753"/>
      <c r="D304" s="4275"/>
      <c r="E304" s="1341" t="s">
        <v>4272</v>
      </c>
      <c r="F304" s="786">
        <v>0.71</v>
      </c>
      <c r="G304" s="2979" t="s">
        <v>284</v>
      </c>
      <c r="H304" s="4294"/>
      <c r="I304" s="756"/>
      <c r="J304" s="756"/>
      <c r="K304" s="756"/>
      <c r="L304" s="756"/>
      <c r="M304" s="756"/>
      <c r="N304" s="756"/>
      <c r="O304" s="756"/>
      <c r="P304" s="756"/>
      <c r="Q304" s="756"/>
      <c r="R304" s="756"/>
      <c r="S304" s="756"/>
      <c r="T304" s="756"/>
      <c r="U304" s="756"/>
      <c r="V304" s="4279"/>
      <c r="W304" s="765">
        <v>0.71</v>
      </c>
      <c r="X304" s="765">
        <v>0.71</v>
      </c>
      <c r="Y304" s="765">
        <v>0.71</v>
      </c>
      <c r="Z304" s="786">
        <v>0.71</v>
      </c>
      <c r="AA304" s="786">
        <v>0.71</v>
      </c>
      <c r="AB304" s="786">
        <v>0.71</v>
      </c>
      <c r="AC304" s="786">
        <v>0.71</v>
      </c>
      <c r="AD304" s="786">
        <v>0.71</v>
      </c>
      <c r="AE304" s="765"/>
      <c r="AF304" s="765"/>
      <c r="AG304" s="765"/>
      <c r="AK304" s="732"/>
      <c r="BB304" s="752"/>
    </row>
    <row r="305" spans="1:54" s="741" customFormat="1" hidden="1" outlineLevel="1" x14ac:dyDescent="0.35">
      <c r="A305" s="756"/>
      <c r="B305" s="756"/>
      <c r="C305" s="753"/>
      <c r="D305" s="4275"/>
      <c r="E305" s="368" t="s">
        <v>4273</v>
      </c>
      <c r="F305" s="783">
        <v>1</v>
      </c>
      <c r="G305" s="2979" t="s">
        <v>284</v>
      </c>
      <c r="H305" s="4294"/>
      <c r="I305" s="756"/>
      <c r="J305" s="756"/>
      <c r="K305" s="756"/>
      <c r="L305" s="756"/>
      <c r="M305" s="756"/>
      <c r="N305" s="756"/>
      <c r="O305" s="756"/>
      <c r="P305" s="756"/>
      <c r="Q305" s="756"/>
      <c r="R305" s="756"/>
      <c r="S305" s="756"/>
      <c r="T305" s="756"/>
      <c r="U305" s="756"/>
      <c r="V305" s="4279"/>
      <c r="W305" s="764">
        <v>1</v>
      </c>
      <c r="X305" s="764">
        <v>1</v>
      </c>
      <c r="Y305" s="764">
        <v>1</v>
      </c>
      <c r="Z305" s="783">
        <v>1</v>
      </c>
      <c r="AA305" s="783">
        <v>1</v>
      </c>
      <c r="AB305" s="783">
        <v>1</v>
      </c>
      <c r="AC305" s="783">
        <v>1</v>
      </c>
      <c r="AD305" s="783">
        <v>1</v>
      </c>
      <c r="AE305" s="764"/>
      <c r="AF305" s="764"/>
      <c r="AG305" s="764"/>
      <c r="AK305" s="732"/>
      <c r="BB305" s="752"/>
    </row>
    <row r="306" spans="1:54" s="741" customFormat="1" hidden="1" outlineLevel="1" x14ac:dyDescent="0.35">
      <c r="A306" s="756"/>
      <c r="B306" s="756"/>
      <c r="C306" s="753"/>
      <c r="D306" s="4275"/>
      <c r="E306" s="368" t="s">
        <v>4274</v>
      </c>
      <c r="F306" s="783">
        <f>7/3.412*0.85</f>
        <v>1.7438452520515826</v>
      </c>
      <c r="G306" s="2979" t="s">
        <v>284</v>
      </c>
      <c r="H306" s="4294"/>
      <c r="I306" s="756"/>
      <c r="J306" s="756"/>
      <c r="K306" s="756"/>
      <c r="L306" s="756"/>
      <c r="M306" s="756"/>
      <c r="N306" s="756"/>
      <c r="O306" s="756"/>
      <c r="P306" s="756"/>
      <c r="Q306" s="756"/>
      <c r="R306" s="756"/>
      <c r="S306" s="756"/>
      <c r="T306" s="756"/>
      <c r="U306" s="756"/>
      <c r="V306" s="4279"/>
      <c r="W306" s="764">
        <f>7/3.412*0.85</f>
        <v>1.7438452520515826</v>
      </c>
      <c r="X306" s="764">
        <v>1.7438452520515826</v>
      </c>
      <c r="Y306" s="764">
        <v>1.7438452520515826</v>
      </c>
      <c r="Z306" s="783">
        <v>1.7438452520515826</v>
      </c>
      <c r="AA306" s="783">
        <v>1.7438452520515826</v>
      </c>
      <c r="AB306" s="783">
        <v>1.7438452520515826</v>
      </c>
      <c r="AC306" s="783">
        <v>1.7438452520515826</v>
      </c>
      <c r="AD306" s="783">
        <v>1.7438452520515826</v>
      </c>
      <c r="AE306" s="764"/>
      <c r="AF306" s="764"/>
      <c r="AG306" s="764"/>
      <c r="AK306" s="732"/>
      <c r="BB306" s="752"/>
    </row>
    <row r="307" spans="1:54" s="741" customFormat="1" hidden="1" outlineLevel="1" x14ac:dyDescent="0.35">
      <c r="A307" s="756"/>
      <c r="B307" s="756"/>
      <c r="C307" s="753"/>
      <c r="D307" s="4275"/>
      <c r="E307" s="374" t="s">
        <v>4275</v>
      </c>
      <c r="F307" s="786">
        <v>0.71</v>
      </c>
      <c r="G307" s="2979" t="s">
        <v>284</v>
      </c>
      <c r="H307" s="4294"/>
      <c r="I307" s="756"/>
      <c r="J307" s="756"/>
      <c r="K307" s="756"/>
      <c r="L307" s="756"/>
      <c r="M307" s="756"/>
      <c r="N307" s="756"/>
      <c r="O307" s="756"/>
      <c r="P307" s="756"/>
      <c r="Q307" s="756"/>
      <c r="R307" s="756"/>
      <c r="S307" s="756"/>
      <c r="T307" s="756"/>
      <c r="U307" s="756"/>
      <c r="V307" s="4279"/>
      <c r="W307" s="765">
        <v>0.71</v>
      </c>
      <c r="X307" s="765">
        <v>0.71</v>
      </c>
      <c r="Y307" s="765">
        <v>0.71</v>
      </c>
      <c r="Z307" s="786">
        <v>0.71</v>
      </c>
      <c r="AA307" s="786">
        <v>0.71</v>
      </c>
      <c r="AB307" s="786">
        <v>0.71</v>
      </c>
      <c r="AC307" s="786">
        <v>0.71</v>
      </c>
      <c r="AD307" s="786">
        <v>0.71</v>
      </c>
      <c r="AE307" s="765"/>
      <c r="AF307" s="765"/>
      <c r="AG307" s="765"/>
      <c r="AK307" s="732"/>
      <c r="BB307" s="752"/>
    </row>
    <row r="308" spans="1:54" s="741" customFormat="1" hidden="1" outlineLevel="1" x14ac:dyDescent="0.35">
      <c r="A308" s="756"/>
      <c r="B308" s="756"/>
      <c r="C308" s="753"/>
      <c r="D308" s="4275"/>
      <c r="E308" s="368" t="s">
        <v>4276</v>
      </c>
      <c r="F308" s="783">
        <v>1</v>
      </c>
      <c r="G308" s="2979" t="s">
        <v>284</v>
      </c>
      <c r="H308" s="4294"/>
      <c r="I308" s="756"/>
      <c r="J308" s="756"/>
      <c r="K308" s="756"/>
      <c r="L308" s="756"/>
      <c r="M308" s="756"/>
      <c r="N308" s="756"/>
      <c r="O308" s="756"/>
      <c r="P308" s="756"/>
      <c r="Q308" s="756"/>
      <c r="R308" s="756"/>
      <c r="S308" s="756"/>
      <c r="T308" s="756"/>
      <c r="U308" s="756"/>
      <c r="V308" s="4279"/>
      <c r="W308" s="764">
        <v>1</v>
      </c>
      <c r="X308" s="764">
        <v>1</v>
      </c>
      <c r="Y308" s="764">
        <v>1</v>
      </c>
      <c r="Z308" s="783">
        <v>1</v>
      </c>
      <c r="AA308" s="783">
        <v>1</v>
      </c>
      <c r="AB308" s="783">
        <v>1</v>
      </c>
      <c r="AC308" s="783">
        <v>1</v>
      </c>
      <c r="AD308" s="783">
        <v>1</v>
      </c>
      <c r="AE308" s="764"/>
      <c r="AF308" s="764"/>
      <c r="AG308" s="764"/>
      <c r="AK308" s="732"/>
      <c r="BB308" s="752"/>
    </row>
    <row r="309" spans="1:54" s="741" customFormat="1" hidden="1" outlineLevel="1" x14ac:dyDescent="0.35">
      <c r="A309" s="756"/>
      <c r="B309" s="756"/>
      <c r="C309" s="753"/>
      <c r="D309" s="4275"/>
      <c r="E309" s="374" t="s">
        <v>4277</v>
      </c>
      <c r="F309" s="783">
        <f>7/3.412*0.85</f>
        <v>1.7438452520515826</v>
      </c>
      <c r="G309" s="2979" t="s">
        <v>284</v>
      </c>
      <c r="H309" s="4294"/>
      <c r="I309" s="756"/>
      <c r="J309" s="756"/>
      <c r="K309" s="756"/>
      <c r="L309" s="756"/>
      <c r="M309" s="756"/>
      <c r="N309" s="756"/>
      <c r="O309" s="756"/>
      <c r="P309" s="756"/>
      <c r="Q309" s="756"/>
      <c r="R309" s="756"/>
      <c r="S309" s="756"/>
      <c r="T309" s="756"/>
      <c r="U309" s="756"/>
      <c r="V309" s="4279"/>
      <c r="W309" s="764">
        <f>7/3.412*0.85</f>
        <v>1.7438452520515826</v>
      </c>
      <c r="X309" s="764">
        <v>1.7438452520515826</v>
      </c>
      <c r="Y309" s="764">
        <v>1.7438452520515826</v>
      </c>
      <c r="Z309" s="783">
        <v>1.7438452520515826</v>
      </c>
      <c r="AA309" s="783">
        <v>1.7438452520515826</v>
      </c>
      <c r="AB309" s="783">
        <v>1.7438452520515826</v>
      </c>
      <c r="AC309" s="783">
        <v>1.7438452520515826</v>
      </c>
      <c r="AD309" s="783">
        <v>1.7438452520515826</v>
      </c>
      <c r="AE309" s="764"/>
      <c r="AF309" s="764"/>
      <c r="AG309" s="764"/>
      <c r="AK309" s="732"/>
      <c r="BB309" s="752"/>
    </row>
    <row r="310" spans="1:54" s="741" customFormat="1" hidden="1" outlineLevel="1" x14ac:dyDescent="0.35">
      <c r="A310" s="756"/>
      <c r="B310" s="756"/>
      <c r="C310" s="753"/>
      <c r="D310" s="4275"/>
      <c r="E310" s="368" t="s">
        <v>4278</v>
      </c>
      <c r="F310" s="786">
        <v>0.71</v>
      </c>
      <c r="G310" s="2979" t="s">
        <v>284</v>
      </c>
      <c r="H310" s="4294"/>
      <c r="I310" s="756"/>
      <c r="J310" s="756"/>
      <c r="K310" s="756"/>
      <c r="L310" s="756"/>
      <c r="M310" s="756"/>
      <c r="N310" s="756"/>
      <c r="O310" s="756"/>
      <c r="P310" s="756"/>
      <c r="Q310" s="756"/>
      <c r="R310" s="756"/>
      <c r="S310" s="756"/>
      <c r="T310" s="756"/>
      <c r="U310" s="756"/>
      <c r="V310" s="4279"/>
      <c r="W310" s="765">
        <v>0.71</v>
      </c>
      <c r="X310" s="765">
        <v>0.71</v>
      </c>
      <c r="Y310" s="765">
        <v>0.71</v>
      </c>
      <c r="Z310" s="786">
        <v>0.71</v>
      </c>
      <c r="AA310" s="786">
        <v>0.71</v>
      </c>
      <c r="AB310" s="786">
        <v>0.71</v>
      </c>
      <c r="AC310" s="786">
        <v>0.71</v>
      </c>
      <c r="AD310" s="786">
        <v>0.71</v>
      </c>
      <c r="AE310" s="765"/>
      <c r="AF310" s="765"/>
      <c r="AG310" s="765"/>
      <c r="AK310" s="732"/>
      <c r="BB310" s="752"/>
    </row>
    <row r="311" spans="1:54" s="741" customFormat="1" hidden="1" outlineLevel="1" x14ac:dyDescent="0.35">
      <c r="A311" s="756"/>
      <c r="B311" s="756"/>
      <c r="C311" s="753"/>
      <c r="D311" s="4275"/>
      <c r="E311" s="368" t="s">
        <v>4279</v>
      </c>
      <c r="F311" s="783">
        <v>1</v>
      </c>
      <c r="G311" s="2979" t="s">
        <v>284</v>
      </c>
      <c r="H311" s="4294"/>
      <c r="I311" s="756"/>
      <c r="J311" s="756"/>
      <c r="K311" s="756"/>
      <c r="L311" s="756"/>
      <c r="M311" s="756"/>
      <c r="N311" s="756"/>
      <c r="O311" s="756"/>
      <c r="P311" s="756"/>
      <c r="Q311" s="756"/>
      <c r="R311" s="756"/>
      <c r="S311" s="756"/>
      <c r="T311" s="756"/>
      <c r="U311" s="756"/>
      <c r="V311" s="4279"/>
      <c r="W311" s="764">
        <v>1</v>
      </c>
      <c r="X311" s="764">
        <v>1</v>
      </c>
      <c r="Y311" s="764">
        <v>1</v>
      </c>
      <c r="Z311" s="783">
        <v>1</v>
      </c>
      <c r="AA311" s="783">
        <v>1</v>
      </c>
      <c r="AB311" s="783">
        <v>1</v>
      </c>
      <c r="AC311" s="783">
        <v>1</v>
      </c>
      <c r="AD311" s="783">
        <v>1</v>
      </c>
      <c r="AE311" s="764"/>
      <c r="AF311" s="764"/>
      <c r="AG311" s="764"/>
      <c r="AK311" s="732"/>
      <c r="BB311" s="752"/>
    </row>
    <row r="312" spans="1:54" s="741" customFormat="1" hidden="1" outlineLevel="1" x14ac:dyDescent="0.35">
      <c r="A312" s="756"/>
      <c r="B312" s="756"/>
      <c r="C312" s="753"/>
      <c r="D312" s="4275"/>
      <c r="E312" s="368" t="s">
        <v>4280</v>
      </c>
      <c r="F312" s="783">
        <f>7/3.412*0.85</f>
        <v>1.7438452520515826</v>
      </c>
      <c r="G312" s="2979" t="s">
        <v>284</v>
      </c>
      <c r="H312" s="4294"/>
      <c r="I312" s="756"/>
      <c r="J312" s="756"/>
      <c r="K312" s="756"/>
      <c r="L312" s="756"/>
      <c r="M312" s="756"/>
      <c r="N312" s="756"/>
      <c r="O312" s="756"/>
      <c r="P312" s="756"/>
      <c r="Q312" s="756"/>
      <c r="R312" s="756"/>
      <c r="S312" s="756"/>
      <c r="T312" s="756"/>
      <c r="U312" s="756"/>
      <c r="V312" s="4279"/>
      <c r="W312" s="764">
        <f>7/3.412*0.85</f>
        <v>1.7438452520515826</v>
      </c>
      <c r="X312" s="764">
        <v>1.7438452520515826</v>
      </c>
      <c r="Y312" s="764">
        <v>1.7438452520515826</v>
      </c>
      <c r="Z312" s="783">
        <v>1.7438452520515826</v>
      </c>
      <c r="AA312" s="783">
        <v>1.7438452520515826</v>
      </c>
      <c r="AB312" s="783">
        <v>1.7438452520515826</v>
      </c>
      <c r="AC312" s="783">
        <v>1.7438452520515826</v>
      </c>
      <c r="AD312" s="783">
        <v>1.7438452520515826</v>
      </c>
      <c r="AE312" s="764"/>
      <c r="AF312" s="764"/>
      <c r="AG312" s="764"/>
      <c r="AK312" s="732"/>
      <c r="BB312" s="752"/>
    </row>
    <row r="313" spans="1:54" s="741" customFormat="1" hidden="1" outlineLevel="1" x14ac:dyDescent="0.35">
      <c r="A313" s="756"/>
      <c r="B313" s="756"/>
      <c r="C313" s="753"/>
      <c r="D313" s="4275"/>
      <c r="E313" s="374" t="s">
        <v>4281</v>
      </c>
      <c r="F313" s="786">
        <v>0.71</v>
      </c>
      <c r="G313" s="2979" t="s">
        <v>284</v>
      </c>
      <c r="H313" s="4294"/>
      <c r="I313" s="756"/>
      <c r="J313" s="756"/>
      <c r="K313" s="756"/>
      <c r="L313" s="756"/>
      <c r="M313" s="756"/>
      <c r="N313" s="756"/>
      <c r="O313" s="756"/>
      <c r="P313" s="756"/>
      <c r="Q313" s="756"/>
      <c r="R313" s="756"/>
      <c r="S313" s="756"/>
      <c r="T313" s="756"/>
      <c r="U313" s="756"/>
      <c r="V313" s="4279"/>
      <c r="W313" s="765">
        <v>0.71</v>
      </c>
      <c r="X313" s="765">
        <v>0.71</v>
      </c>
      <c r="Y313" s="765">
        <v>0.71</v>
      </c>
      <c r="Z313" s="786">
        <v>0.71</v>
      </c>
      <c r="AA313" s="786">
        <v>0.71</v>
      </c>
      <c r="AB313" s="786">
        <v>0.71</v>
      </c>
      <c r="AC313" s="786">
        <v>0.71</v>
      </c>
      <c r="AD313" s="786">
        <v>0.71</v>
      </c>
      <c r="AE313" s="765"/>
      <c r="AF313" s="765"/>
      <c r="AG313" s="765"/>
      <c r="AK313" s="732"/>
      <c r="BB313" s="752"/>
    </row>
    <row r="314" spans="1:54" s="741" customFormat="1" hidden="1" outlineLevel="1" x14ac:dyDescent="0.35">
      <c r="A314" s="756"/>
      <c r="B314" s="756"/>
      <c r="C314" s="753"/>
      <c r="D314" s="4275"/>
      <c r="E314" s="368" t="s">
        <v>4282</v>
      </c>
      <c r="F314" s="783">
        <v>1</v>
      </c>
      <c r="G314" s="2979" t="s">
        <v>284</v>
      </c>
      <c r="H314" s="4294"/>
      <c r="I314" s="756"/>
      <c r="J314" s="756"/>
      <c r="K314" s="756"/>
      <c r="L314" s="756"/>
      <c r="M314" s="756"/>
      <c r="N314" s="756"/>
      <c r="O314" s="756"/>
      <c r="P314" s="756"/>
      <c r="Q314" s="756"/>
      <c r="R314" s="756"/>
      <c r="S314" s="756"/>
      <c r="T314" s="756"/>
      <c r="U314" s="756"/>
      <c r="V314" s="4279"/>
      <c r="W314" s="764">
        <v>1</v>
      </c>
      <c r="X314" s="764">
        <v>1</v>
      </c>
      <c r="Y314" s="764">
        <v>1</v>
      </c>
      <c r="Z314" s="783">
        <v>1</v>
      </c>
      <c r="AA314" s="783">
        <v>1</v>
      </c>
      <c r="AB314" s="783">
        <v>1</v>
      </c>
      <c r="AC314" s="783">
        <v>1</v>
      </c>
      <c r="AD314" s="783">
        <v>1</v>
      </c>
      <c r="AE314" s="764"/>
      <c r="AF314" s="764"/>
      <c r="AG314" s="764"/>
      <c r="AK314" s="732"/>
      <c r="BB314" s="752"/>
    </row>
    <row r="315" spans="1:54" s="741" customFormat="1" hidden="1" outlineLevel="1" x14ac:dyDescent="0.35">
      <c r="A315" s="756"/>
      <c r="B315" s="756"/>
      <c r="C315" s="753"/>
      <c r="D315" s="4275"/>
      <c r="E315" s="374" t="s">
        <v>4283</v>
      </c>
      <c r="F315" s="783">
        <f>7/3.412*0.85</f>
        <v>1.7438452520515826</v>
      </c>
      <c r="G315" s="2979" t="s">
        <v>284</v>
      </c>
      <c r="H315" s="4294"/>
      <c r="I315" s="756"/>
      <c r="J315" s="756"/>
      <c r="K315" s="756"/>
      <c r="L315" s="756"/>
      <c r="M315" s="756"/>
      <c r="N315" s="756"/>
      <c r="O315" s="756"/>
      <c r="P315" s="756"/>
      <c r="Q315" s="756"/>
      <c r="R315" s="756"/>
      <c r="S315" s="756"/>
      <c r="T315" s="756"/>
      <c r="U315" s="756"/>
      <c r="V315" s="4279"/>
      <c r="W315" s="764">
        <f>7/3.412*0.85</f>
        <v>1.7438452520515826</v>
      </c>
      <c r="X315" s="764">
        <v>1.7438452520515826</v>
      </c>
      <c r="Y315" s="764">
        <v>1.7438452520515826</v>
      </c>
      <c r="Z315" s="783">
        <v>1.7438452520515826</v>
      </c>
      <c r="AA315" s="783">
        <v>1.7438452520515826</v>
      </c>
      <c r="AB315" s="783">
        <v>1.7438452520515826</v>
      </c>
      <c r="AC315" s="783">
        <v>1.7438452520515826</v>
      </c>
      <c r="AD315" s="783">
        <v>1.7438452520515826</v>
      </c>
      <c r="AE315" s="764"/>
      <c r="AF315" s="764"/>
      <c r="AG315" s="764"/>
      <c r="AK315" s="732"/>
      <c r="BB315" s="752"/>
    </row>
    <row r="316" spans="1:54" s="741" customFormat="1" hidden="1" outlineLevel="1" x14ac:dyDescent="0.35">
      <c r="A316" s="756"/>
      <c r="B316" s="756"/>
      <c r="C316" s="753"/>
      <c r="D316" s="4275"/>
      <c r="E316" s="368" t="s">
        <v>4284</v>
      </c>
      <c r="F316" s="786">
        <v>0.71</v>
      </c>
      <c r="G316" s="2979" t="s">
        <v>284</v>
      </c>
      <c r="H316" s="4294"/>
      <c r="I316" s="756"/>
      <c r="J316" s="756"/>
      <c r="K316" s="756"/>
      <c r="L316" s="756"/>
      <c r="M316" s="756"/>
      <c r="N316" s="756"/>
      <c r="O316" s="756"/>
      <c r="P316" s="756"/>
      <c r="Q316" s="756"/>
      <c r="R316" s="756"/>
      <c r="S316" s="756"/>
      <c r="T316" s="756"/>
      <c r="U316" s="756"/>
      <c r="V316" s="4279"/>
      <c r="W316" s="765">
        <v>0.71</v>
      </c>
      <c r="X316" s="765">
        <v>0.71</v>
      </c>
      <c r="Y316" s="765">
        <v>0.71</v>
      </c>
      <c r="Z316" s="786">
        <v>0.71</v>
      </c>
      <c r="AA316" s="786">
        <v>0.71</v>
      </c>
      <c r="AB316" s="786">
        <v>0.71</v>
      </c>
      <c r="AC316" s="786">
        <v>0.71</v>
      </c>
      <c r="AD316" s="786">
        <v>0.71</v>
      </c>
      <c r="AE316" s="765"/>
      <c r="AF316" s="765"/>
      <c r="AG316" s="765"/>
      <c r="AK316" s="732"/>
      <c r="BB316" s="752"/>
    </row>
    <row r="317" spans="1:54" s="741" customFormat="1" hidden="1" outlineLevel="1" x14ac:dyDescent="0.35">
      <c r="A317" s="756"/>
      <c r="B317" s="756"/>
      <c r="C317" s="753"/>
      <c r="D317" s="4275"/>
      <c r="E317" s="368" t="s">
        <v>4285</v>
      </c>
      <c r="F317" s="783">
        <v>1</v>
      </c>
      <c r="G317" s="2979" t="s">
        <v>284</v>
      </c>
      <c r="H317" s="4294"/>
      <c r="I317" s="756"/>
      <c r="J317" s="756"/>
      <c r="K317" s="756"/>
      <c r="L317" s="756"/>
      <c r="M317" s="756"/>
      <c r="N317" s="756"/>
      <c r="O317" s="756"/>
      <c r="P317" s="756"/>
      <c r="Q317" s="756"/>
      <c r="R317" s="756"/>
      <c r="S317" s="756"/>
      <c r="T317" s="756"/>
      <c r="U317" s="756"/>
      <c r="V317" s="4279"/>
      <c r="W317" s="764">
        <v>1</v>
      </c>
      <c r="X317" s="764">
        <v>1</v>
      </c>
      <c r="Y317" s="764">
        <v>1</v>
      </c>
      <c r="Z317" s="783">
        <v>1</v>
      </c>
      <c r="AA317" s="783">
        <v>1</v>
      </c>
      <c r="AB317" s="783">
        <v>1</v>
      </c>
      <c r="AC317" s="783">
        <v>1</v>
      </c>
      <c r="AD317" s="783">
        <v>1</v>
      </c>
      <c r="AE317" s="764"/>
      <c r="AF317" s="764"/>
      <c r="AG317" s="764"/>
      <c r="AK317" s="732"/>
      <c r="BB317" s="752"/>
    </row>
    <row r="318" spans="1:54" s="741" customFormat="1" hidden="1" outlineLevel="1" x14ac:dyDescent="0.35">
      <c r="A318" s="756"/>
      <c r="B318" s="756"/>
      <c r="C318" s="753"/>
      <c r="D318" s="4275"/>
      <c r="E318" s="368" t="s">
        <v>4286</v>
      </c>
      <c r="F318" s="783">
        <f>7/3.412*0.85</f>
        <v>1.7438452520515826</v>
      </c>
      <c r="G318" s="2979" t="s">
        <v>284</v>
      </c>
      <c r="H318" s="4294"/>
      <c r="I318" s="756"/>
      <c r="J318" s="756"/>
      <c r="K318" s="756"/>
      <c r="L318" s="756"/>
      <c r="M318" s="756"/>
      <c r="N318" s="756"/>
      <c r="O318" s="756"/>
      <c r="P318" s="756"/>
      <c r="Q318" s="756"/>
      <c r="R318" s="756"/>
      <c r="S318" s="756"/>
      <c r="T318" s="756"/>
      <c r="U318" s="756"/>
      <c r="V318" s="4279"/>
      <c r="W318" s="764">
        <f>7/3.412*0.85</f>
        <v>1.7438452520515826</v>
      </c>
      <c r="X318" s="764">
        <v>1.7438452520515826</v>
      </c>
      <c r="Y318" s="764">
        <v>1.7438452520515826</v>
      </c>
      <c r="Z318" s="783">
        <v>1.7438452520515826</v>
      </c>
      <c r="AA318" s="783">
        <v>1.7438452520515826</v>
      </c>
      <c r="AB318" s="783">
        <v>1.7438452520515826</v>
      </c>
      <c r="AC318" s="783">
        <v>1.7438452520515826</v>
      </c>
      <c r="AD318" s="783">
        <v>1.7438452520515826</v>
      </c>
      <c r="AE318" s="764"/>
      <c r="AF318" s="764"/>
      <c r="AG318" s="764"/>
      <c r="AK318" s="732"/>
      <c r="BB318" s="752"/>
    </row>
    <row r="319" spans="1:54" s="741" customFormat="1" hidden="1" outlineLevel="1" x14ac:dyDescent="0.35">
      <c r="A319" s="756"/>
      <c r="B319" s="756"/>
      <c r="C319" s="753"/>
      <c r="D319" s="4275"/>
      <c r="E319" s="374" t="s">
        <v>4287</v>
      </c>
      <c r="F319" s="786">
        <v>0.71</v>
      </c>
      <c r="G319" s="2979" t="s">
        <v>284</v>
      </c>
      <c r="H319" s="4294"/>
      <c r="I319" s="756"/>
      <c r="J319" s="756"/>
      <c r="K319" s="756"/>
      <c r="L319" s="756"/>
      <c r="M319" s="756"/>
      <c r="N319" s="756"/>
      <c r="O319" s="756"/>
      <c r="P319" s="756"/>
      <c r="Q319" s="756"/>
      <c r="R319" s="756"/>
      <c r="S319" s="756"/>
      <c r="T319" s="756"/>
      <c r="U319" s="756"/>
      <c r="V319" s="4279"/>
      <c r="W319" s="765">
        <v>0.71</v>
      </c>
      <c r="X319" s="765">
        <v>0.71</v>
      </c>
      <c r="Y319" s="765">
        <v>0.71</v>
      </c>
      <c r="Z319" s="786">
        <v>0.71</v>
      </c>
      <c r="AA319" s="786">
        <v>0.71</v>
      </c>
      <c r="AB319" s="786">
        <v>0.71</v>
      </c>
      <c r="AC319" s="786">
        <v>0.71</v>
      </c>
      <c r="AD319" s="786">
        <v>0.71</v>
      </c>
      <c r="AE319" s="765"/>
      <c r="AF319" s="765"/>
      <c r="AG319" s="765"/>
      <c r="AK319" s="732"/>
      <c r="BB319" s="752"/>
    </row>
    <row r="320" spans="1:54" s="741" customFormat="1" hidden="1" outlineLevel="1" x14ac:dyDescent="0.35">
      <c r="A320" s="756"/>
      <c r="B320" s="756"/>
      <c r="C320" s="753"/>
      <c r="D320" s="4275"/>
      <c r="E320" s="368" t="s">
        <v>4288</v>
      </c>
      <c r="F320" s="783">
        <v>1</v>
      </c>
      <c r="G320" s="2979" t="s">
        <v>284</v>
      </c>
      <c r="H320" s="4294"/>
      <c r="I320" s="756"/>
      <c r="J320" s="756"/>
      <c r="K320" s="756"/>
      <c r="L320" s="756"/>
      <c r="M320" s="756"/>
      <c r="N320" s="756"/>
      <c r="O320" s="756"/>
      <c r="P320" s="756"/>
      <c r="Q320" s="756"/>
      <c r="R320" s="756"/>
      <c r="S320" s="756"/>
      <c r="T320" s="756"/>
      <c r="U320" s="756"/>
      <c r="V320" s="4279"/>
      <c r="W320" s="764">
        <v>1</v>
      </c>
      <c r="X320" s="764">
        <v>1</v>
      </c>
      <c r="Y320" s="764">
        <v>1</v>
      </c>
      <c r="Z320" s="783">
        <v>1</v>
      </c>
      <c r="AA320" s="783">
        <v>1</v>
      </c>
      <c r="AB320" s="783">
        <v>1</v>
      </c>
      <c r="AC320" s="783">
        <v>1</v>
      </c>
      <c r="AD320" s="783">
        <v>1</v>
      </c>
      <c r="AE320" s="764"/>
      <c r="AF320" s="764"/>
      <c r="AG320" s="764"/>
      <c r="AK320" s="732"/>
      <c r="BB320" s="752"/>
    </row>
    <row r="321" spans="1:54" s="741" customFormat="1" hidden="1" outlineLevel="1" x14ac:dyDescent="0.35">
      <c r="A321" s="756"/>
      <c r="B321" s="756"/>
      <c r="C321" s="753"/>
      <c r="D321" s="4275"/>
      <c r="E321" s="374" t="s">
        <v>4289</v>
      </c>
      <c r="F321" s="783">
        <f>7/3.412*0.85</f>
        <v>1.7438452520515826</v>
      </c>
      <c r="G321" s="2979" t="s">
        <v>284</v>
      </c>
      <c r="H321" s="4294"/>
      <c r="I321" s="756"/>
      <c r="J321" s="756"/>
      <c r="K321" s="756"/>
      <c r="L321" s="756"/>
      <c r="M321" s="756"/>
      <c r="N321" s="756"/>
      <c r="O321" s="756"/>
      <c r="P321" s="756"/>
      <c r="Q321" s="756"/>
      <c r="R321" s="756"/>
      <c r="S321" s="756"/>
      <c r="T321" s="756"/>
      <c r="U321" s="756"/>
      <c r="V321" s="4279"/>
      <c r="W321" s="764">
        <f>7/3.412*0.85</f>
        <v>1.7438452520515826</v>
      </c>
      <c r="X321" s="764">
        <v>1.7438452520515826</v>
      </c>
      <c r="Y321" s="764">
        <v>1.7438452520515826</v>
      </c>
      <c r="Z321" s="783">
        <v>1.7438452520515826</v>
      </c>
      <c r="AA321" s="783">
        <v>1.7438452520515826</v>
      </c>
      <c r="AB321" s="783">
        <v>1.7438452520515826</v>
      </c>
      <c r="AC321" s="783">
        <v>1.7438452520515826</v>
      </c>
      <c r="AD321" s="783">
        <v>1.7438452520515826</v>
      </c>
      <c r="AE321" s="764"/>
      <c r="AF321" s="764"/>
      <c r="AG321" s="764"/>
      <c r="AK321" s="732"/>
      <c r="BB321" s="752"/>
    </row>
    <row r="322" spans="1:54" s="741" customFormat="1" ht="15" hidden="1" outlineLevel="1" thickBot="1" x14ac:dyDescent="0.4">
      <c r="A322" s="756"/>
      <c r="B322" s="756"/>
      <c r="C322" s="753"/>
      <c r="D322" s="4287"/>
      <c r="E322" s="1936" t="s">
        <v>4290</v>
      </c>
      <c r="F322" s="3173">
        <v>0.71</v>
      </c>
      <c r="G322" s="3159" t="s">
        <v>284</v>
      </c>
      <c r="H322" s="4303"/>
      <c r="I322" s="756"/>
      <c r="J322" s="756"/>
      <c r="K322" s="756"/>
      <c r="L322" s="756"/>
      <c r="M322" s="756"/>
      <c r="N322" s="756"/>
      <c r="O322" s="756"/>
      <c r="P322" s="756"/>
      <c r="Q322" s="756"/>
      <c r="R322" s="756"/>
      <c r="S322" s="756"/>
      <c r="T322" s="756"/>
      <c r="U322" s="756"/>
      <c r="V322" s="4288"/>
      <c r="W322" s="765">
        <v>0.71</v>
      </c>
      <c r="X322" s="765">
        <v>0.71</v>
      </c>
      <c r="Y322" s="765">
        <v>0.71</v>
      </c>
      <c r="Z322" s="786">
        <v>0.71</v>
      </c>
      <c r="AA322" s="786">
        <v>0.71</v>
      </c>
      <c r="AB322" s="786">
        <v>0.71</v>
      </c>
      <c r="AC322" s="786">
        <v>0.71</v>
      </c>
      <c r="AD322" s="786">
        <v>0.71</v>
      </c>
      <c r="AE322" s="765"/>
      <c r="AF322" s="765"/>
      <c r="AG322" s="765"/>
      <c r="AK322" s="732"/>
      <c r="BB322" s="752"/>
    </row>
    <row r="323" spans="1:54" s="741" customFormat="1" hidden="1" outlineLevel="1" x14ac:dyDescent="0.35">
      <c r="A323" s="756"/>
      <c r="B323" s="756"/>
      <c r="C323" s="753"/>
      <c r="D323" s="4304" t="s">
        <v>307</v>
      </c>
      <c r="E323" s="3155" t="s">
        <v>4261</v>
      </c>
      <c r="F323" s="3171">
        <f t="shared" ref="F323:F352" si="51">(1-F170)*(1/(F200+5)-1/(F230+5))*F260*(1-F$290)*F$291*24*F$292/(100000*F293)</f>
        <v>0</v>
      </c>
      <c r="G323" s="3156" t="s">
        <v>308</v>
      </c>
      <c r="H323" s="3157"/>
      <c r="I323" s="756"/>
      <c r="J323" s="756"/>
      <c r="K323" s="756"/>
      <c r="L323" s="756"/>
      <c r="M323" s="756"/>
      <c r="N323" s="756"/>
      <c r="O323" s="756"/>
      <c r="P323" s="756"/>
      <c r="Q323" s="756"/>
      <c r="R323" s="756"/>
      <c r="S323" s="756"/>
      <c r="T323" s="756"/>
      <c r="U323" s="756"/>
      <c r="V323" s="4278" t="str">
        <f>D323</f>
        <v>∆Therms</v>
      </c>
      <c r="W323" s="764">
        <f t="shared" ref="W323:W352" si="52">(1-W170)*(1/(W200+5)-1/(W230+5))*W260*(1-W$290)*W$291*24*W$292/(100000*W293)</f>
        <v>0</v>
      </c>
      <c r="X323" s="764">
        <v>0</v>
      </c>
      <c r="Y323" s="764">
        <v>0</v>
      </c>
      <c r="Z323" s="783">
        <v>0</v>
      </c>
      <c r="AA323" s="783">
        <v>0</v>
      </c>
      <c r="AB323" s="783">
        <v>0</v>
      </c>
      <c r="AC323" s="783">
        <v>0</v>
      </c>
      <c r="AD323" s="783">
        <v>0</v>
      </c>
      <c r="AE323" s="764"/>
      <c r="AF323" s="764"/>
      <c r="AG323" s="764"/>
      <c r="AK323" s="732"/>
      <c r="BB323" s="752"/>
    </row>
    <row r="324" spans="1:54" s="741" customFormat="1" hidden="1" outlineLevel="1" x14ac:dyDescent="0.35">
      <c r="A324" s="756"/>
      <c r="B324" s="756"/>
      <c r="C324" s="753"/>
      <c r="D324" s="4305"/>
      <c r="E324" s="368" t="s">
        <v>4262</v>
      </c>
      <c r="F324" s="783">
        <f t="shared" si="51"/>
        <v>0</v>
      </c>
      <c r="G324" s="2979" t="s">
        <v>308</v>
      </c>
      <c r="H324" s="3158"/>
      <c r="I324" s="756"/>
      <c r="J324" s="756"/>
      <c r="K324" s="756"/>
      <c r="L324" s="756"/>
      <c r="M324" s="756"/>
      <c r="N324" s="756"/>
      <c r="O324" s="756"/>
      <c r="P324" s="756"/>
      <c r="Q324" s="756"/>
      <c r="R324" s="756"/>
      <c r="S324" s="756"/>
      <c r="T324" s="756"/>
      <c r="U324" s="756"/>
      <c r="V324" s="4279"/>
      <c r="W324" s="764">
        <f t="shared" si="52"/>
        <v>0</v>
      </c>
      <c r="X324" s="764">
        <v>0</v>
      </c>
      <c r="Y324" s="764">
        <v>0</v>
      </c>
      <c r="Z324" s="783">
        <v>0</v>
      </c>
      <c r="AA324" s="783">
        <v>0</v>
      </c>
      <c r="AB324" s="783">
        <v>0</v>
      </c>
      <c r="AC324" s="783">
        <v>0</v>
      </c>
      <c r="AD324" s="783">
        <v>0</v>
      </c>
      <c r="AE324" s="764"/>
      <c r="AF324" s="764"/>
      <c r="AG324" s="764"/>
      <c r="AK324" s="732"/>
      <c r="BB324" s="752"/>
    </row>
    <row r="325" spans="1:54" s="741" customFormat="1" hidden="1" outlineLevel="1" x14ac:dyDescent="0.35">
      <c r="A325" s="756"/>
      <c r="B325" s="756"/>
      <c r="C325" s="753"/>
      <c r="D325" s="4305"/>
      <c r="E325" s="368" t="s">
        <v>4263</v>
      </c>
      <c r="F325" s="783">
        <f t="shared" si="51"/>
        <v>4.5898308920187786E-2</v>
      </c>
      <c r="G325" s="2979" t="s">
        <v>308</v>
      </c>
      <c r="H325" s="3158"/>
      <c r="I325" s="756"/>
      <c r="J325" s="756"/>
      <c r="K325" s="756"/>
      <c r="L325" s="756"/>
      <c r="M325" s="756"/>
      <c r="N325" s="756"/>
      <c r="O325" s="756"/>
      <c r="P325" s="756"/>
      <c r="Q325" s="756"/>
      <c r="R325" s="756"/>
      <c r="S325" s="756"/>
      <c r="T325" s="756"/>
      <c r="U325" s="756"/>
      <c r="V325" s="4279"/>
      <c r="W325" s="764">
        <f t="shared" si="52"/>
        <v>40.186264375070415</v>
      </c>
      <c r="X325" s="764">
        <v>40.186264375070415</v>
      </c>
      <c r="Y325" s="764">
        <v>4.5898308920187786E-2</v>
      </c>
      <c r="Z325" s="783">
        <v>4.5898308920187786E-2</v>
      </c>
      <c r="AA325" s="783">
        <v>4.5898308920187786E-2</v>
      </c>
      <c r="AB325" s="783">
        <v>4.5898308920187786E-2</v>
      </c>
      <c r="AC325" s="783">
        <v>4.5898308920187786E-2</v>
      </c>
      <c r="AD325" s="783">
        <v>4.5898308920187786E-2</v>
      </c>
      <c r="AE325" s="764"/>
      <c r="AF325" s="764"/>
      <c r="AG325" s="764"/>
      <c r="AK325" s="732"/>
      <c r="BB325" s="752"/>
    </row>
    <row r="326" spans="1:54" s="741" customFormat="1" hidden="1" outlineLevel="1" x14ac:dyDescent="0.35">
      <c r="A326" s="756"/>
      <c r="B326" s="756"/>
      <c r="C326" s="753"/>
      <c r="D326" s="4305"/>
      <c r="E326" s="368" t="s">
        <v>4264</v>
      </c>
      <c r="F326" s="783">
        <f t="shared" si="51"/>
        <v>0</v>
      </c>
      <c r="G326" s="2979" t="s">
        <v>308</v>
      </c>
      <c r="H326" s="3158"/>
      <c r="I326" s="756"/>
      <c r="J326" s="756"/>
      <c r="K326" s="756"/>
      <c r="L326" s="756"/>
      <c r="M326" s="756"/>
      <c r="N326" s="756"/>
      <c r="O326" s="756"/>
      <c r="P326" s="756"/>
      <c r="Q326" s="756"/>
      <c r="R326" s="756"/>
      <c r="S326" s="756"/>
      <c r="T326" s="756"/>
      <c r="U326" s="756"/>
      <c r="V326" s="4279"/>
      <c r="W326" s="764">
        <f t="shared" si="52"/>
        <v>0</v>
      </c>
      <c r="X326" s="764">
        <v>0</v>
      </c>
      <c r="Y326" s="764">
        <v>0</v>
      </c>
      <c r="Z326" s="783">
        <v>0</v>
      </c>
      <c r="AA326" s="783">
        <v>0</v>
      </c>
      <c r="AB326" s="783">
        <v>0</v>
      </c>
      <c r="AC326" s="783">
        <v>0</v>
      </c>
      <c r="AD326" s="783">
        <v>0</v>
      </c>
      <c r="AE326" s="764"/>
      <c r="AF326" s="764"/>
      <c r="AG326" s="764"/>
      <c r="AK326" s="732"/>
      <c r="BB326" s="752"/>
    </row>
    <row r="327" spans="1:54" s="741" customFormat="1" hidden="1" outlineLevel="1" x14ac:dyDescent="0.35">
      <c r="A327" s="756"/>
      <c r="B327" s="756"/>
      <c r="C327" s="753"/>
      <c r="D327" s="4305"/>
      <c r="E327" s="368" t="s">
        <v>4265</v>
      </c>
      <c r="F327" s="783">
        <f t="shared" si="51"/>
        <v>0</v>
      </c>
      <c r="G327" s="2979" t="s">
        <v>308</v>
      </c>
      <c r="H327" s="3158"/>
      <c r="I327" s="756"/>
      <c r="J327" s="756"/>
      <c r="K327" s="756"/>
      <c r="L327" s="756"/>
      <c r="M327" s="756"/>
      <c r="N327" s="756"/>
      <c r="O327" s="756"/>
      <c r="P327" s="756"/>
      <c r="Q327" s="756"/>
      <c r="R327" s="756"/>
      <c r="S327" s="756"/>
      <c r="T327" s="756"/>
      <c r="U327" s="756"/>
      <c r="V327" s="4279"/>
      <c r="W327" s="764">
        <f t="shared" si="52"/>
        <v>0</v>
      </c>
      <c r="X327" s="764">
        <v>0</v>
      </c>
      <c r="Y327" s="764">
        <v>0</v>
      </c>
      <c r="Z327" s="783">
        <v>0</v>
      </c>
      <c r="AA327" s="783">
        <v>0</v>
      </c>
      <c r="AB327" s="783">
        <v>0</v>
      </c>
      <c r="AC327" s="783">
        <v>0</v>
      </c>
      <c r="AD327" s="783">
        <v>0</v>
      </c>
      <c r="AE327" s="764"/>
      <c r="AF327" s="764"/>
      <c r="AG327" s="764"/>
      <c r="AK327" s="732"/>
      <c r="BB327" s="752"/>
    </row>
    <row r="328" spans="1:54" s="741" customFormat="1" hidden="1" outlineLevel="1" x14ac:dyDescent="0.35">
      <c r="A328" s="756"/>
      <c r="B328" s="756"/>
      <c r="C328" s="753"/>
      <c r="D328" s="4305"/>
      <c r="E328" s="368" t="s">
        <v>4266</v>
      </c>
      <c r="F328" s="783">
        <f t="shared" si="51"/>
        <v>4.5898308920187786E-2</v>
      </c>
      <c r="G328" s="2979" t="s">
        <v>308</v>
      </c>
      <c r="H328" s="3158"/>
      <c r="I328" s="756"/>
      <c r="J328" s="756"/>
      <c r="K328" s="756"/>
      <c r="L328" s="756"/>
      <c r="M328" s="756"/>
      <c r="N328" s="756"/>
      <c r="O328" s="756"/>
      <c r="P328" s="756"/>
      <c r="Q328" s="756"/>
      <c r="R328" s="756"/>
      <c r="S328" s="756"/>
      <c r="T328" s="756"/>
      <c r="U328" s="756"/>
      <c r="V328" s="4279"/>
      <c r="W328" s="764">
        <f t="shared" si="52"/>
        <v>61.825022115492956</v>
      </c>
      <c r="X328" s="764">
        <v>61.825022115492956</v>
      </c>
      <c r="Y328" s="764">
        <v>4.5898308920187786E-2</v>
      </c>
      <c r="Z328" s="783">
        <v>4.5898308920187786E-2</v>
      </c>
      <c r="AA328" s="783">
        <v>4.5898308920187786E-2</v>
      </c>
      <c r="AB328" s="783">
        <v>4.5898308920187786E-2</v>
      </c>
      <c r="AC328" s="783">
        <v>4.5898308920187786E-2</v>
      </c>
      <c r="AD328" s="783">
        <v>4.5898308920187786E-2</v>
      </c>
      <c r="AE328" s="764"/>
      <c r="AF328" s="764"/>
      <c r="AG328" s="764"/>
      <c r="AK328" s="732"/>
      <c r="BB328" s="752"/>
    </row>
    <row r="329" spans="1:54" s="741" customFormat="1" hidden="1" outlineLevel="1" x14ac:dyDescent="0.35">
      <c r="A329" s="756"/>
      <c r="B329" s="756"/>
      <c r="C329" s="753"/>
      <c r="D329" s="4305"/>
      <c r="E329" s="368" t="s">
        <v>4267</v>
      </c>
      <c r="F329" s="783">
        <f t="shared" si="51"/>
        <v>0</v>
      </c>
      <c r="G329" s="2979" t="s">
        <v>308</v>
      </c>
      <c r="H329" s="3158"/>
      <c r="I329" s="756"/>
      <c r="J329" s="756"/>
      <c r="K329" s="756"/>
      <c r="L329" s="756"/>
      <c r="M329" s="756"/>
      <c r="N329" s="756"/>
      <c r="O329" s="756"/>
      <c r="P329" s="756"/>
      <c r="Q329" s="756"/>
      <c r="R329" s="756"/>
      <c r="S329" s="756"/>
      <c r="T329" s="756"/>
      <c r="U329" s="756"/>
      <c r="V329" s="4279"/>
      <c r="W329" s="764">
        <f t="shared" si="52"/>
        <v>0</v>
      </c>
      <c r="X329" s="764">
        <v>0</v>
      </c>
      <c r="Y329" s="764">
        <v>0</v>
      </c>
      <c r="Z329" s="783">
        <v>0</v>
      </c>
      <c r="AA329" s="783">
        <v>0</v>
      </c>
      <c r="AB329" s="783">
        <v>0</v>
      </c>
      <c r="AC329" s="783">
        <v>0</v>
      </c>
      <c r="AD329" s="783">
        <v>0</v>
      </c>
      <c r="AE329" s="764"/>
      <c r="AF329" s="764"/>
      <c r="AG329" s="764"/>
      <c r="AK329" s="732"/>
      <c r="BB329" s="752"/>
    </row>
    <row r="330" spans="1:54" s="741" customFormat="1" hidden="1" outlineLevel="1" x14ac:dyDescent="0.35">
      <c r="A330" s="756"/>
      <c r="B330" s="756"/>
      <c r="C330" s="753"/>
      <c r="D330" s="4305"/>
      <c r="E330" s="368" t="s">
        <v>4268</v>
      </c>
      <c r="F330" s="783">
        <f t="shared" si="51"/>
        <v>0</v>
      </c>
      <c r="G330" s="2979" t="s">
        <v>308</v>
      </c>
      <c r="H330" s="3158"/>
      <c r="I330" s="756"/>
      <c r="J330" s="756"/>
      <c r="K330" s="756"/>
      <c r="L330" s="756"/>
      <c r="M330" s="756"/>
      <c r="N330" s="756"/>
      <c r="O330" s="756"/>
      <c r="P330" s="756"/>
      <c r="Q330" s="756"/>
      <c r="R330" s="756"/>
      <c r="S330" s="756"/>
      <c r="T330" s="756"/>
      <c r="U330" s="756"/>
      <c r="V330" s="4279"/>
      <c r="W330" s="764">
        <f t="shared" si="52"/>
        <v>0</v>
      </c>
      <c r="X330" s="764">
        <v>0</v>
      </c>
      <c r="Y330" s="764">
        <v>0</v>
      </c>
      <c r="Z330" s="783">
        <v>0</v>
      </c>
      <c r="AA330" s="783">
        <v>0</v>
      </c>
      <c r="AB330" s="783">
        <v>0</v>
      </c>
      <c r="AC330" s="783">
        <v>0</v>
      </c>
      <c r="AD330" s="783">
        <v>0</v>
      </c>
      <c r="AE330" s="764"/>
      <c r="AF330" s="764"/>
      <c r="AG330" s="764"/>
      <c r="AK330" s="732"/>
      <c r="BB330" s="752"/>
    </row>
    <row r="331" spans="1:54" s="741" customFormat="1" hidden="1" outlineLevel="1" x14ac:dyDescent="0.35">
      <c r="A331" s="756"/>
      <c r="B331" s="756"/>
      <c r="C331" s="753"/>
      <c r="D331" s="4305"/>
      <c r="E331" s="374" t="s">
        <v>4269</v>
      </c>
      <c r="F331" s="783">
        <f t="shared" si="51"/>
        <v>7.4541614486921537E-2</v>
      </c>
      <c r="G331" s="2979" t="s">
        <v>308</v>
      </c>
      <c r="H331" s="3158"/>
      <c r="I331" s="756"/>
      <c r="J331" s="756"/>
      <c r="K331" s="756"/>
      <c r="L331" s="756"/>
      <c r="M331" s="756"/>
      <c r="N331" s="756"/>
      <c r="O331" s="756"/>
      <c r="P331" s="756"/>
      <c r="Q331" s="756"/>
      <c r="R331" s="756"/>
      <c r="S331" s="756"/>
      <c r="T331" s="756"/>
      <c r="U331" s="756"/>
      <c r="V331" s="4279"/>
      <c r="W331" s="764">
        <f t="shared" si="52"/>
        <v>53.587966654647893</v>
      </c>
      <c r="X331" s="764">
        <v>53.587966654647893</v>
      </c>
      <c r="Y331" s="764">
        <v>7.4541614486921537E-2</v>
      </c>
      <c r="Z331" s="783">
        <v>7.4541614486921537E-2</v>
      </c>
      <c r="AA331" s="783">
        <v>7.4541614486921537E-2</v>
      </c>
      <c r="AB331" s="783">
        <v>7.4541614486921537E-2</v>
      </c>
      <c r="AC331" s="783">
        <v>7.4541614486921537E-2</v>
      </c>
      <c r="AD331" s="783">
        <v>7.4541614486921537E-2</v>
      </c>
      <c r="AE331" s="764"/>
      <c r="AF331" s="764"/>
      <c r="AG331" s="764"/>
      <c r="AK331" s="732"/>
      <c r="BB331" s="752"/>
    </row>
    <row r="332" spans="1:54" s="741" customFormat="1" hidden="1" outlineLevel="1" x14ac:dyDescent="0.35">
      <c r="A332" s="756"/>
      <c r="B332" s="756"/>
      <c r="C332" s="753"/>
      <c r="D332" s="4305"/>
      <c r="E332" s="368" t="s">
        <v>4270</v>
      </c>
      <c r="F332" s="783">
        <f t="shared" si="51"/>
        <v>0</v>
      </c>
      <c r="G332" s="2979" t="s">
        <v>308</v>
      </c>
      <c r="H332" s="3158"/>
      <c r="I332" s="756"/>
      <c r="J332" s="756"/>
      <c r="K332" s="756"/>
      <c r="L332" s="756"/>
      <c r="M332" s="756"/>
      <c r="N332" s="756"/>
      <c r="O332" s="756"/>
      <c r="P332" s="756"/>
      <c r="Q332" s="756"/>
      <c r="R332" s="756"/>
      <c r="S332" s="756"/>
      <c r="T332" s="756"/>
      <c r="U332" s="756"/>
      <c r="V332" s="4279"/>
      <c r="W332" s="764">
        <f t="shared" si="52"/>
        <v>0</v>
      </c>
      <c r="X332" s="764">
        <v>0</v>
      </c>
      <c r="Y332" s="764">
        <v>0</v>
      </c>
      <c r="Z332" s="783">
        <v>0</v>
      </c>
      <c r="AA332" s="783">
        <v>0</v>
      </c>
      <c r="AB332" s="783">
        <v>0</v>
      </c>
      <c r="AC332" s="783">
        <v>0</v>
      </c>
      <c r="AD332" s="783">
        <v>0</v>
      </c>
      <c r="AE332" s="764"/>
      <c r="AF332" s="764"/>
      <c r="AG332" s="764"/>
      <c r="AK332" s="732"/>
      <c r="BB332" s="752"/>
    </row>
    <row r="333" spans="1:54" s="741" customFormat="1" hidden="1" outlineLevel="1" x14ac:dyDescent="0.35">
      <c r="A333" s="756"/>
      <c r="B333" s="756"/>
      <c r="C333" s="753"/>
      <c r="D333" s="4305"/>
      <c r="E333" s="368" t="s">
        <v>4271</v>
      </c>
      <c r="F333" s="783">
        <f t="shared" si="51"/>
        <v>0</v>
      </c>
      <c r="G333" s="2979" t="s">
        <v>308</v>
      </c>
      <c r="H333" s="3158"/>
      <c r="I333" s="756"/>
      <c r="J333" s="756"/>
      <c r="K333" s="756"/>
      <c r="L333" s="756"/>
      <c r="M333" s="756"/>
      <c r="N333" s="756"/>
      <c r="O333" s="756"/>
      <c r="P333" s="756"/>
      <c r="Q333" s="756"/>
      <c r="R333" s="756"/>
      <c r="S333" s="756"/>
      <c r="T333" s="756"/>
      <c r="U333" s="756"/>
      <c r="V333" s="4279"/>
      <c r="W333" s="764">
        <f t="shared" si="52"/>
        <v>0</v>
      </c>
      <c r="X333" s="764">
        <v>0</v>
      </c>
      <c r="Y333" s="764">
        <v>0</v>
      </c>
      <c r="Z333" s="783">
        <v>0</v>
      </c>
      <c r="AA333" s="783">
        <v>0</v>
      </c>
      <c r="AB333" s="783">
        <v>0</v>
      </c>
      <c r="AC333" s="783">
        <v>0</v>
      </c>
      <c r="AD333" s="783">
        <v>0</v>
      </c>
      <c r="AE333" s="764"/>
      <c r="AF333" s="764"/>
      <c r="AG333" s="764"/>
      <c r="AK333" s="732"/>
      <c r="BB333" s="752"/>
    </row>
    <row r="334" spans="1:54" s="741" customFormat="1" hidden="1" outlineLevel="1" x14ac:dyDescent="0.35">
      <c r="A334" s="756"/>
      <c r="B334" s="756"/>
      <c r="C334" s="753"/>
      <c r="D334" s="4305"/>
      <c r="E334" s="1341" t="s">
        <v>4272</v>
      </c>
      <c r="F334" s="783">
        <f t="shared" si="51"/>
        <v>7.4541614486921537E-2</v>
      </c>
      <c r="G334" s="2979" t="s">
        <v>308</v>
      </c>
      <c r="H334" s="3158"/>
      <c r="I334" s="756"/>
      <c r="J334" s="756"/>
      <c r="K334" s="756"/>
      <c r="L334" s="756"/>
      <c r="M334" s="756"/>
      <c r="N334" s="756"/>
      <c r="O334" s="756"/>
      <c r="P334" s="756"/>
      <c r="Q334" s="756"/>
      <c r="R334" s="756"/>
      <c r="S334" s="756"/>
      <c r="T334" s="756"/>
      <c r="U334" s="756"/>
      <c r="V334" s="4279"/>
      <c r="W334" s="764">
        <f t="shared" si="52"/>
        <v>82.443025622535217</v>
      </c>
      <c r="X334" s="764">
        <v>82.443025622535217</v>
      </c>
      <c r="Y334" s="764">
        <v>7.4541614486921537E-2</v>
      </c>
      <c r="Z334" s="783">
        <v>7.4541614486921537E-2</v>
      </c>
      <c r="AA334" s="783">
        <v>7.4541614486921537E-2</v>
      </c>
      <c r="AB334" s="783">
        <v>7.4541614486921537E-2</v>
      </c>
      <c r="AC334" s="783">
        <v>7.4541614486921537E-2</v>
      </c>
      <c r="AD334" s="783">
        <v>7.4541614486921537E-2</v>
      </c>
      <c r="AE334" s="764"/>
      <c r="AF334" s="764"/>
      <c r="AG334" s="764"/>
      <c r="AK334" s="732"/>
      <c r="BB334" s="752"/>
    </row>
    <row r="335" spans="1:54" s="741" customFormat="1" hidden="1" outlineLevel="1" x14ac:dyDescent="0.35">
      <c r="A335" s="756"/>
      <c r="B335" s="756"/>
      <c r="C335" s="753"/>
      <c r="D335" s="4305"/>
      <c r="E335" s="368" t="s">
        <v>4273</v>
      </c>
      <c r="F335" s="783">
        <f t="shared" si="51"/>
        <v>0</v>
      </c>
      <c r="G335" s="2979" t="s">
        <v>308</v>
      </c>
      <c r="H335" s="3158"/>
      <c r="I335" s="756"/>
      <c r="J335" s="756"/>
      <c r="K335" s="756"/>
      <c r="L335" s="756"/>
      <c r="M335" s="756"/>
      <c r="N335" s="756"/>
      <c r="O335" s="756"/>
      <c r="P335" s="756"/>
      <c r="Q335" s="756"/>
      <c r="R335" s="756"/>
      <c r="S335" s="756"/>
      <c r="T335" s="756"/>
      <c r="U335" s="756"/>
      <c r="V335" s="4279"/>
      <c r="W335" s="764">
        <f t="shared" si="52"/>
        <v>0</v>
      </c>
      <c r="X335" s="764">
        <v>0</v>
      </c>
      <c r="Y335" s="764">
        <v>0</v>
      </c>
      <c r="Z335" s="783">
        <v>0</v>
      </c>
      <c r="AA335" s="783">
        <v>0</v>
      </c>
      <c r="AB335" s="783">
        <v>0</v>
      </c>
      <c r="AC335" s="783">
        <v>0</v>
      </c>
      <c r="AD335" s="783">
        <v>0</v>
      </c>
      <c r="AE335" s="764"/>
      <c r="AF335" s="764"/>
      <c r="AG335" s="764"/>
      <c r="AK335" s="732"/>
      <c r="BB335" s="752"/>
    </row>
    <row r="336" spans="1:54" s="741" customFormat="1" hidden="1" outlineLevel="1" x14ac:dyDescent="0.35">
      <c r="A336" s="756"/>
      <c r="B336" s="756"/>
      <c r="C336" s="753"/>
      <c r="D336" s="4305"/>
      <c r="E336" s="368" t="s">
        <v>4274</v>
      </c>
      <c r="F336" s="783">
        <f t="shared" si="51"/>
        <v>0</v>
      </c>
      <c r="G336" s="2979" t="s">
        <v>308</v>
      </c>
      <c r="H336" s="3158"/>
      <c r="I336" s="756"/>
      <c r="J336" s="756"/>
      <c r="K336" s="756"/>
      <c r="L336" s="756"/>
      <c r="M336" s="756"/>
      <c r="N336" s="756"/>
      <c r="O336" s="756"/>
      <c r="P336" s="756"/>
      <c r="Q336" s="756"/>
      <c r="R336" s="756"/>
      <c r="S336" s="756"/>
      <c r="T336" s="756"/>
      <c r="U336" s="756"/>
      <c r="V336" s="4279"/>
      <c r="W336" s="764">
        <f t="shared" si="52"/>
        <v>0</v>
      </c>
      <c r="X336" s="764">
        <v>0</v>
      </c>
      <c r="Y336" s="764">
        <v>0</v>
      </c>
      <c r="Z336" s="783">
        <v>0</v>
      </c>
      <c r="AA336" s="783">
        <v>0</v>
      </c>
      <c r="AB336" s="783">
        <v>0</v>
      </c>
      <c r="AC336" s="783">
        <v>0</v>
      </c>
      <c r="AD336" s="783">
        <v>0</v>
      </c>
      <c r="AE336" s="764"/>
      <c r="AF336" s="764"/>
      <c r="AG336" s="764"/>
      <c r="AK336" s="732"/>
      <c r="BB336" s="752"/>
    </row>
    <row r="337" spans="1:54" s="741" customFormat="1" hidden="1" outlineLevel="1" x14ac:dyDescent="0.35">
      <c r="A337" s="756"/>
      <c r="B337" s="756"/>
      <c r="C337" s="753"/>
      <c r="D337" s="4305"/>
      <c r="E337" s="374" t="s">
        <v>4275</v>
      </c>
      <c r="F337" s="783">
        <f t="shared" si="51"/>
        <v>8.0088897425483141E-2</v>
      </c>
      <c r="G337" s="2979" t="s">
        <v>308</v>
      </c>
      <c r="H337" s="3158"/>
      <c r="I337" s="756"/>
      <c r="J337" s="756"/>
      <c r="K337" s="756"/>
      <c r="L337" s="756"/>
      <c r="M337" s="756"/>
      <c r="N337" s="756"/>
      <c r="O337" s="756"/>
      <c r="P337" s="756"/>
      <c r="Q337" s="756"/>
      <c r="R337" s="756"/>
      <c r="S337" s="756"/>
      <c r="T337" s="756"/>
      <c r="U337" s="756"/>
      <c r="V337" s="4279"/>
      <c r="W337" s="764">
        <f t="shared" si="52"/>
        <v>57.57590835917982</v>
      </c>
      <c r="X337" s="764">
        <v>57.57590835917982</v>
      </c>
      <c r="Y337" s="764">
        <v>8.0088897425483141E-2</v>
      </c>
      <c r="Z337" s="783">
        <v>8.0088897425483141E-2</v>
      </c>
      <c r="AA337" s="783">
        <v>8.0088897425483141E-2</v>
      </c>
      <c r="AB337" s="783">
        <v>8.0088897425483141E-2</v>
      </c>
      <c r="AC337" s="783">
        <v>8.0088897425483141E-2</v>
      </c>
      <c r="AD337" s="783">
        <v>8.0088897425483141E-2</v>
      </c>
      <c r="AE337" s="764"/>
      <c r="AF337" s="764"/>
      <c r="AG337" s="764"/>
      <c r="AK337" s="732"/>
      <c r="BB337" s="752"/>
    </row>
    <row r="338" spans="1:54" s="741" customFormat="1" hidden="1" outlineLevel="1" x14ac:dyDescent="0.35">
      <c r="A338" s="756"/>
      <c r="B338" s="756"/>
      <c r="C338" s="753"/>
      <c r="D338" s="4305"/>
      <c r="E338" s="368" t="s">
        <v>4276</v>
      </c>
      <c r="F338" s="783">
        <f t="shared" si="51"/>
        <v>0</v>
      </c>
      <c r="G338" s="2979" t="s">
        <v>308</v>
      </c>
      <c r="H338" s="3158"/>
      <c r="I338" s="756"/>
      <c r="J338" s="756"/>
      <c r="K338" s="756"/>
      <c r="L338" s="756"/>
      <c r="M338" s="756"/>
      <c r="N338" s="756"/>
      <c r="O338" s="756"/>
      <c r="P338" s="756"/>
      <c r="Q338" s="756"/>
      <c r="R338" s="756"/>
      <c r="S338" s="756"/>
      <c r="T338" s="756"/>
      <c r="U338" s="756"/>
      <c r="V338" s="4279"/>
      <c r="W338" s="764">
        <f t="shared" si="52"/>
        <v>0</v>
      </c>
      <c r="X338" s="764">
        <v>0</v>
      </c>
      <c r="Y338" s="764">
        <v>0</v>
      </c>
      <c r="Z338" s="783">
        <v>0</v>
      </c>
      <c r="AA338" s="783">
        <v>0</v>
      </c>
      <c r="AB338" s="783">
        <v>0</v>
      </c>
      <c r="AC338" s="783">
        <v>0</v>
      </c>
      <c r="AD338" s="783">
        <v>0</v>
      </c>
      <c r="AE338" s="764"/>
      <c r="AF338" s="764"/>
      <c r="AG338" s="764"/>
      <c r="AK338" s="732"/>
      <c r="BB338" s="752"/>
    </row>
    <row r="339" spans="1:54" s="741" customFormat="1" hidden="1" outlineLevel="1" x14ac:dyDescent="0.35">
      <c r="A339" s="756"/>
      <c r="B339" s="756"/>
      <c r="C339" s="753"/>
      <c r="D339" s="4305"/>
      <c r="E339" s="374" t="s">
        <v>4277</v>
      </c>
      <c r="F339" s="783">
        <f t="shared" si="51"/>
        <v>0</v>
      </c>
      <c r="G339" s="2979" t="s">
        <v>308</v>
      </c>
      <c r="H339" s="3158"/>
      <c r="I339" s="756"/>
      <c r="J339" s="756"/>
      <c r="K339" s="756"/>
      <c r="L339" s="756"/>
      <c r="M339" s="756"/>
      <c r="N339" s="756"/>
      <c r="O339" s="756"/>
      <c r="P339" s="756"/>
      <c r="Q339" s="756"/>
      <c r="R339" s="756"/>
      <c r="S339" s="756"/>
      <c r="T339" s="756"/>
      <c r="U339" s="756"/>
      <c r="V339" s="4279"/>
      <c r="W339" s="764">
        <f t="shared" si="52"/>
        <v>0</v>
      </c>
      <c r="X339" s="764">
        <v>0</v>
      </c>
      <c r="Y339" s="764">
        <v>0</v>
      </c>
      <c r="Z339" s="783">
        <v>0</v>
      </c>
      <c r="AA339" s="783">
        <v>0</v>
      </c>
      <c r="AB339" s="783">
        <v>0</v>
      </c>
      <c r="AC339" s="783">
        <v>0</v>
      </c>
      <c r="AD339" s="783">
        <v>0</v>
      </c>
      <c r="AE339" s="764"/>
      <c r="AF339" s="764"/>
      <c r="AG339" s="764"/>
      <c r="AK339" s="732"/>
      <c r="BB339" s="752"/>
    </row>
    <row r="340" spans="1:54" s="741" customFormat="1" hidden="1" outlineLevel="1" x14ac:dyDescent="0.35">
      <c r="A340" s="756"/>
      <c r="B340" s="756"/>
      <c r="C340" s="753"/>
      <c r="D340" s="4305"/>
      <c r="E340" s="368" t="s">
        <v>4278</v>
      </c>
      <c r="F340" s="783">
        <f t="shared" si="51"/>
        <v>8.0088897425483141E-2</v>
      </c>
      <c r="G340" s="2979" t="s">
        <v>308</v>
      </c>
      <c r="H340" s="3158"/>
      <c r="I340" s="756"/>
      <c r="J340" s="756"/>
      <c r="K340" s="756"/>
      <c r="L340" s="756"/>
      <c r="M340" s="756"/>
      <c r="N340" s="756"/>
      <c r="O340" s="756"/>
      <c r="P340" s="756"/>
      <c r="Q340" s="756"/>
      <c r="R340" s="756"/>
      <c r="S340" s="756"/>
      <c r="T340" s="756"/>
      <c r="U340" s="756"/>
      <c r="V340" s="4279"/>
      <c r="W340" s="764">
        <f t="shared" si="52"/>
        <v>88.578320552584344</v>
      </c>
      <c r="X340" s="764">
        <v>88.578320552584344</v>
      </c>
      <c r="Y340" s="764">
        <v>8.0088897425483141E-2</v>
      </c>
      <c r="Z340" s="783">
        <v>8.0088897425483141E-2</v>
      </c>
      <c r="AA340" s="783">
        <v>8.0088897425483141E-2</v>
      </c>
      <c r="AB340" s="783">
        <v>8.0088897425483141E-2</v>
      </c>
      <c r="AC340" s="783">
        <v>8.0088897425483141E-2</v>
      </c>
      <c r="AD340" s="783">
        <v>8.0088897425483141E-2</v>
      </c>
      <c r="AE340" s="764"/>
      <c r="AF340" s="764"/>
      <c r="AG340" s="764"/>
      <c r="AK340" s="732"/>
      <c r="BB340" s="752"/>
    </row>
    <row r="341" spans="1:54" s="741" customFormat="1" hidden="1" outlineLevel="1" x14ac:dyDescent="0.35">
      <c r="A341" s="756"/>
      <c r="B341" s="756"/>
      <c r="C341" s="753"/>
      <c r="D341" s="4305"/>
      <c r="E341" s="368" t="s">
        <v>4279</v>
      </c>
      <c r="F341" s="783">
        <f t="shared" si="51"/>
        <v>0</v>
      </c>
      <c r="G341" s="2979" t="s">
        <v>308</v>
      </c>
      <c r="H341" s="3158"/>
      <c r="I341" s="756"/>
      <c r="J341" s="756"/>
      <c r="K341" s="756"/>
      <c r="L341" s="756"/>
      <c r="M341" s="756"/>
      <c r="N341" s="756"/>
      <c r="O341" s="756"/>
      <c r="P341" s="756"/>
      <c r="Q341" s="756"/>
      <c r="R341" s="756"/>
      <c r="S341" s="756"/>
      <c r="T341" s="756"/>
      <c r="U341" s="756"/>
      <c r="V341" s="4279"/>
      <c r="W341" s="764">
        <f t="shared" si="52"/>
        <v>0</v>
      </c>
      <c r="X341" s="764">
        <v>0</v>
      </c>
      <c r="Y341" s="764">
        <v>0</v>
      </c>
      <c r="Z341" s="783">
        <v>0</v>
      </c>
      <c r="AA341" s="783">
        <v>0</v>
      </c>
      <c r="AB341" s="783">
        <v>0</v>
      </c>
      <c r="AC341" s="783">
        <v>0</v>
      </c>
      <c r="AD341" s="783">
        <v>0</v>
      </c>
      <c r="AE341" s="764"/>
      <c r="AF341" s="764"/>
      <c r="AG341" s="764"/>
      <c r="AK341" s="732"/>
      <c r="BB341" s="752"/>
    </row>
    <row r="342" spans="1:54" s="741" customFormat="1" hidden="1" outlineLevel="1" x14ac:dyDescent="0.35">
      <c r="A342" s="756"/>
      <c r="B342" s="756"/>
      <c r="C342" s="753"/>
      <c r="D342" s="4305"/>
      <c r="E342" s="368" t="s">
        <v>4280</v>
      </c>
      <c r="F342" s="783">
        <f t="shared" si="51"/>
        <v>0</v>
      </c>
      <c r="G342" s="2979" t="s">
        <v>308</v>
      </c>
      <c r="H342" s="3158"/>
      <c r="I342" s="756"/>
      <c r="J342" s="756"/>
      <c r="K342" s="756"/>
      <c r="L342" s="756"/>
      <c r="M342" s="756"/>
      <c r="N342" s="756"/>
      <c r="O342" s="756"/>
      <c r="P342" s="756"/>
      <c r="Q342" s="756"/>
      <c r="R342" s="756"/>
      <c r="S342" s="756"/>
      <c r="T342" s="756"/>
      <c r="U342" s="756"/>
      <c r="V342" s="4279"/>
      <c r="W342" s="764">
        <f t="shared" si="52"/>
        <v>0</v>
      </c>
      <c r="X342" s="764">
        <v>0</v>
      </c>
      <c r="Y342" s="764">
        <v>0</v>
      </c>
      <c r="Z342" s="783">
        <v>0</v>
      </c>
      <c r="AA342" s="783">
        <v>0</v>
      </c>
      <c r="AB342" s="783">
        <v>0</v>
      </c>
      <c r="AC342" s="783">
        <v>0</v>
      </c>
      <c r="AD342" s="783">
        <v>0</v>
      </c>
      <c r="AE342" s="764"/>
      <c r="AF342" s="764"/>
      <c r="AG342" s="764"/>
      <c r="AK342" s="732"/>
      <c r="BB342" s="752"/>
    </row>
    <row r="343" spans="1:54" s="741" customFormat="1" hidden="1" outlineLevel="1" x14ac:dyDescent="0.35">
      <c r="A343" s="756"/>
      <c r="B343" s="756"/>
      <c r="C343" s="753"/>
      <c r="D343" s="4305"/>
      <c r="E343" s="374" t="s">
        <v>4281</v>
      </c>
      <c r="F343" s="783">
        <f t="shared" si="51"/>
        <v>8.5032656525821607E-2</v>
      </c>
      <c r="G343" s="2979" t="s">
        <v>308</v>
      </c>
      <c r="H343" s="3158"/>
      <c r="I343" s="756"/>
      <c r="J343" s="756"/>
      <c r="K343" s="756"/>
      <c r="L343" s="756"/>
      <c r="M343" s="756"/>
      <c r="N343" s="756"/>
      <c r="O343" s="756"/>
      <c r="P343" s="756"/>
      <c r="Q343" s="756"/>
      <c r="R343" s="756"/>
      <c r="S343" s="756"/>
      <c r="T343" s="756"/>
      <c r="U343" s="756"/>
      <c r="V343" s="4279"/>
      <c r="W343" s="764">
        <f t="shared" si="52"/>
        <v>61.129976776413137</v>
      </c>
      <c r="X343" s="764">
        <v>61.129976776413137</v>
      </c>
      <c r="Y343" s="764">
        <v>8.5032656525821607E-2</v>
      </c>
      <c r="Z343" s="783">
        <v>8.5032656525821607E-2</v>
      </c>
      <c r="AA343" s="783">
        <v>8.5032656525821607E-2</v>
      </c>
      <c r="AB343" s="783">
        <v>8.5032656525821607E-2</v>
      </c>
      <c r="AC343" s="783">
        <v>8.5032656525821607E-2</v>
      </c>
      <c r="AD343" s="783">
        <v>8.5032656525821607E-2</v>
      </c>
      <c r="AE343" s="764"/>
      <c r="AF343" s="764"/>
      <c r="AG343" s="764"/>
      <c r="AK343" s="732"/>
      <c r="BB343" s="752"/>
    </row>
    <row r="344" spans="1:54" s="741" customFormat="1" hidden="1" outlineLevel="1" x14ac:dyDescent="0.35">
      <c r="A344" s="756"/>
      <c r="B344" s="756"/>
      <c r="C344" s="753"/>
      <c r="D344" s="4305"/>
      <c r="E344" s="368" t="s">
        <v>4282</v>
      </c>
      <c r="F344" s="783">
        <f t="shared" si="51"/>
        <v>0</v>
      </c>
      <c r="G344" s="2979" t="s">
        <v>308</v>
      </c>
      <c r="H344" s="3158"/>
      <c r="I344" s="756"/>
      <c r="J344" s="756"/>
      <c r="K344" s="756"/>
      <c r="L344" s="756"/>
      <c r="M344" s="756"/>
      <c r="N344" s="756"/>
      <c r="O344" s="756"/>
      <c r="P344" s="756"/>
      <c r="Q344" s="756"/>
      <c r="R344" s="756"/>
      <c r="S344" s="756"/>
      <c r="T344" s="756"/>
      <c r="U344" s="756"/>
      <c r="V344" s="4279"/>
      <c r="W344" s="764">
        <f t="shared" si="52"/>
        <v>0</v>
      </c>
      <c r="X344" s="764">
        <v>0</v>
      </c>
      <c r="Y344" s="764">
        <v>0</v>
      </c>
      <c r="Z344" s="783">
        <v>0</v>
      </c>
      <c r="AA344" s="783">
        <v>0</v>
      </c>
      <c r="AB344" s="783">
        <v>0</v>
      </c>
      <c r="AC344" s="783">
        <v>0</v>
      </c>
      <c r="AD344" s="783">
        <v>0</v>
      </c>
      <c r="AE344" s="764"/>
      <c r="AF344" s="764"/>
      <c r="AG344" s="764"/>
      <c r="AK344" s="732"/>
      <c r="BB344" s="752"/>
    </row>
    <row r="345" spans="1:54" s="741" customFormat="1" hidden="1" outlineLevel="1" x14ac:dyDescent="0.35">
      <c r="A345" s="756"/>
      <c r="B345" s="756"/>
      <c r="C345" s="753"/>
      <c r="D345" s="4305"/>
      <c r="E345" s="374" t="s">
        <v>4283</v>
      </c>
      <c r="F345" s="783">
        <f t="shared" si="51"/>
        <v>0</v>
      </c>
      <c r="G345" s="2979" t="s">
        <v>308</v>
      </c>
      <c r="H345" s="3158"/>
      <c r="I345" s="756"/>
      <c r="J345" s="756"/>
      <c r="K345" s="756"/>
      <c r="L345" s="756"/>
      <c r="M345" s="756"/>
      <c r="N345" s="756"/>
      <c r="O345" s="756"/>
      <c r="P345" s="756"/>
      <c r="Q345" s="756"/>
      <c r="R345" s="756"/>
      <c r="S345" s="756"/>
      <c r="T345" s="756"/>
      <c r="U345" s="756"/>
      <c r="V345" s="4279"/>
      <c r="W345" s="764">
        <f t="shared" si="52"/>
        <v>0</v>
      </c>
      <c r="X345" s="764">
        <v>0</v>
      </c>
      <c r="Y345" s="764">
        <v>0</v>
      </c>
      <c r="Z345" s="783">
        <v>0</v>
      </c>
      <c r="AA345" s="783">
        <v>0</v>
      </c>
      <c r="AB345" s="783">
        <v>0</v>
      </c>
      <c r="AC345" s="783">
        <v>0</v>
      </c>
      <c r="AD345" s="783">
        <v>0</v>
      </c>
      <c r="AE345" s="764"/>
      <c r="AF345" s="764"/>
      <c r="AG345" s="764"/>
      <c r="AK345" s="732"/>
      <c r="BB345" s="752"/>
    </row>
    <row r="346" spans="1:54" s="741" customFormat="1" hidden="1" outlineLevel="1" x14ac:dyDescent="0.35">
      <c r="A346" s="756"/>
      <c r="B346" s="756"/>
      <c r="C346" s="753"/>
      <c r="D346" s="4305"/>
      <c r="E346" s="368" t="s">
        <v>4284</v>
      </c>
      <c r="F346" s="783">
        <f t="shared" si="51"/>
        <v>8.5032656525821607E-2</v>
      </c>
      <c r="G346" s="2979" t="s">
        <v>308</v>
      </c>
      <c r="H346" s="3158"/>
      <c r="I346" s="756"/>
      <c r="J346" s="756"/>
      <c r="K346" s="756"/>
      <c r="L346" s="756"/>
      <c r="M346" s="756"/>
      <c r="N346" s="756"/>
      <c r="O346" s="756"/>
      <c r="P346" s="756"/>
      <c r="Q346" s="756"/>
      <c r="R346" s="756"/>
      <c r="S346" s="756"/>
      <c r="T346" s="756"/>
      <c r="U346" s="756"/>
      <c r="V346" s="4279"/>
      <c r="W346" s="764">
        <f t="shared" si="52"/>
        <v>94.046118117558692</v>
      </c>
      <c r="X346" s="764">
        <v>94.046118117558692</v>
      </c>
      <c r="Y346" s="764">
        <v>8.5032656525821607E-2</v>
      </c>
      <c r="Z346" s="783">
        <v>8.5032656525821607E-2</v>
      </c>
      <c r="AA346" s="783">
        <v>8.5032656525821607E-2</v>
      </c>
      <c r="AB346" s="783">
        <v>8.5032656525821607E-2</v>
      </c>
      <c r="AC346" s="783">
        <v>8.5032656525821607E-2</v>
      </c>
      <c r="AD346" s="783">
        <v>8.5032656525821607E-2</v>
      </c>
      <c r="AE346" s="764"/>
      <c r="AF346" s="764"/>
      <c r="AG346" s="764"/>
      <c r="AK346" s="732"/>
      <c r="BB346" s="752"/>
    </row>
    <row r="347" spans="1:54" s="741" customFormat="1" hidden="1" outlineLevel="1" x14ac:dyDescent="0.35">
      <c r="A347" s="756"/>
      <c r="B347" s="756"/>
      <c r="C347" s="753"/>
      <c r="D347" s="4305"/>
      <c r="E347" s="368" t="s">
        <v>4285</v>
      </c>
      <c r="F347" s="783">
        <f t="shared" si="51"/>
        <v>0</v>
      </c>
      <c r="G347" s="2979" t="s">
        <v>308</v>
      </c>
      <c r="H347" s="3158"/>
      <c r="I347" s="756"/>
      <c r="J347" s="756"/>
      <c r="K347" s="756"/>
      <c r="L347" s="756"/>
      <c r="M347" s="756"/>
      <c r="N347" s="756"/>
      <c r="O347" s="756"/>
      <c r="P347" s="756"/>
      <c r="Q347" s="756"/>
      <c r="R347" s="756"/>
      <c r="S347" s="756"/>
      <c r="T347" s="756"/>
      <c r="U347" s="756"/>
      <c r="V347" s="4279"/>
      <c r="W347" s="764">
        <f t="shared" si="52"/>
        <v>0</v>
      </c>
      <c r="X347" s="764">
        <v>0</v>
      </c>
      <c r="Y347" s="764">
        <v>0</v>
      </c>
      <c r="Z347" s="783">
        <v>0</v>
      </c>
      <c r="AA347" s="783">
        <v>0</v>
      </c>
      <c r="AB347" s="783">
        <v>0</v>
      </c>
      <c r="AC347" s="783">
        <v>0</v>
      </c>
      <c r="AD347" s="783">
        <v>0</v>
      </c>
      <c r="AE347" s="764"/>
      <c r="AF347" s="764"/>
      <c r="AG347" s="764"/>
      <c r="AK347" s="732"/>
      <c r="BB347" s="752"/>
    </row>
    <row r="348" spans="1:54" s="741" customFormat="1" hidden="1" outlineLevel="1" x14ac:dyDescent="0.35">
      <c r="A348" s="756"/>
      <c r="B348" s="756"/>
      <c r="C348" s="753"/>
      <c r="D348" s="4305"/>
      <c r="E348" s="368" t="s">
        <v>4286</v>
      </c>
      <c r="F348" s="783">
        <f t="shared" si="51"/>
        <v>0</v>
      </c>
      <c r="G348" s="2979" t="s">
        <v>308</v>
      </c>
      <c r="H348" s="3158"/>
      <c r="I348" s="756"/>
      <c r="J348" s="756"/>
      <c r="K348" s="756"/>
      <c r="L348" s="756"/>
      <c r="M348" s="756"/>
      <c r="N348" s="756"/>
      <c r="O348" s="756"/>
      <c r="P348" s="756"/>
      <c r="Q348" s="756"/>
      <c r="R348" s="756"/>
      <c r="S348" s="756"/>
      <c r="T348" s="756"/>
      <c r="U348" s="756"/>
      <c r="V348" s="4279"/>
      <c r="W348" s="764">
        <f t="shared" si="52"/>
        <v>0</v>
      </c>
      <c r="X348" s="764">
        <v>0</v>
      </c>
      <c r="Y348" s="764">
        <v>0</v>
      </c>
      <c r="Z348" s="783">
        <v>0</v>
      </c>
      <c r="AA348" s="783">
        <v>0</v>
      </c>
      <c r="AB348" s="783">
        <v>0</v>
      </c>
      <c r="AC348" s="783">
        <v>0</v>
      </c>
      <c r="AD348" s="783">
        <v>0</v>
      </c>
      <c r="AE348" s="764"/>
      <c r="AF348" s="764"/>
      <c r="AG348" s="764"/>
      <c r="AK348" s="732"/>
      <c r="BB348" s="752"/>
    </row>
    <row r="349" spans="1:54" s="741" customFormat="1" hidden="1" outlineLevel="1" x14ac:dyDescent="0.35">
      <c r="A349" s="756"/>
      <c r="B349" s="756"/>
      <c r="C349" s="753"/>
      <c r="D349" s="4305"/>
      <c r="E349" s="374" t="s">
        <v>4287</v>
      </c>
      <c r="F349" s="783">
        <f t="shared" si="51"/>
        <v>8.8303143315276264E-2</v>
      </c>
      <c r="G349" s="2979" t="s">
        <v>308</v>
      </c>
      <c r="H349" s="3158"/>
      <c r="I349" s="756"/>
      <c r="J349" s="756"/>
      <c r="K349" s="756"/>
      <c r="L349" s="756"/>
      <c r="M349" s="756"/>
      <c r="N349" s="756"/>
      <c r="O349" s="756"/>
      <c r="P349" s="756"/>
      <c r="Q349" s="756"/>
      <c r="R349" s="756"/>
      <c r="S349" s="756"/>
      <c r="T349" s="756"/>
      <c r="U349" s="756"/>
      <c r="V349" s="4279"/>
      <c r="W349" s="764">
        <f t="shared" si="52"/>
        <v>63.481129729352105</v>
      </c>
      <c r="X349" s="764">
        <v>63.481129729352105</v>
      </c>
      <c r="Y349" s="764">
        <v>8.8303143315276264E-2</v>
      </c>
      <c r="Z349" s="783">
        <v>8.8303143315276264E-2</v>
      </c>
      <c r="AA349" s="783">
        <v>8.8303143315276264E-2</v>
      </c>
      <c r="AB349" s="783">
        <v>8.8303143315276264E-2</v>
      </c>
      <c r="AC349" s="783">
        <v>8.8303143315276264E-2</v>
      </c>
      <c r="AD349" s="783">
        <v>8.8303143315276264E-2</v>
      </c>
      <c r="AE349" s="764"/>
      <c r="AF349" s="764"/>
      <c r="AG349" s="764"/>
      <c r="AK349" s="732"/>
      <c r="BB349" s="752"/>
    </row>
    <row r="350" spans="1:54" s="741" customFormat="1" hidden="1" outlineLevel="1" x14ac:dyDescent="0.35">
      <c r="A350" s="756"/>
      <c r="B350" s="756"/>
      <c r="C350" s="753"/>
      <c r="D350" s="4305"/>
      <c r="E350" s="368" t="s">
        <v>4288</v>
      </c>
      <c r="F350" s="783">
        <f t="shared" si="51"/>
        <v>0</v>
      </c>
      <c r="G350" s="2979" t="s">
        <v>308</v>
      </c>
      <c r="H350" s="3158"/>
      <c r="I350" s="756"/>
      <c r="J350" s="756"/>
      <c r="K350" s="756"/>
      <c r="L350" s="756"/>
      <c r="M350" s="756"/>
      <c r="N350" s="756"/>
      <c r="O350" s="756"/>
      <c r="P350" s="756"/>
      <c r="Q350" s="756"/>
      <c r="R350" s="756"/>
      <c r="S350" s="756"/>
      <c r="T350" s="756"/>
      <c r="U350" s="756"/>
      <c r="V350" s="4279"/>
      <c r="W350" s="764">
        <f t="shared" si="52"/>
        <v>0</v>
      </c>
      <c r="X350" s="764">
        <v>0</v>
      </c>
      <c r="Y350" s="764">
        <v>0</v>
      </c>
      <c r="Z350" s="783">
        <v>0</v>
      </c>
      <c r="AA350" s="783">
        <v>0</v>
      </c>
      <c r="AB350" s="783">
        <v>0</v>
      </c>
      <c r="AC350" s="783">
        <v>0</v>
      </c>
      <c r="AD350" s="783">
        <v>0</v>
      </c>
      <c r="AE350" s="764"/>
      <c r="AF350" s="764"/>
      <c r="AG350" s="764"/>
      <c r="AK350" s="732"/>
      <c r="BB350" s="752"/>
    </row>
    <row r="351" spans="1:54" s="741" customFormat="1" hidden="1" outlineLevel="1" x14ac:dyDescent="0.35">
      <c r="A351" s="756"/>
      <c r="B351" s="756"/>
      <c r="C351" s="753"/>
      <c r="D351" s="4305"/>
      <c r="E351" s="374" t="s">
        <v>4289</v>
      </c>
      <c r="F351" s="783">
        <f t="shared" si="51"/>
        <v>0</v>
      </c>
      <c r="G351" s="2979" t="s">
        <v>308</v>
      </c>
      <c r="H351" s="3158"/>
      <c r="I351" s="756"/>
      <c r="J351" s="756"/>
      <c r="K351" s="756"/>
      <c r="L351" s="756"/>
      <c r="M351" s="756"/>
      <c r="N351" s="756"/>
      <c r="O351" s="756"/>
      <c r="P351" s="756"/>
      <c r="Q351" s="756"/>
      <c r="R351" s="756"/>
      <c r="S351" s="756"/>
      <c r="T351" s="756"/>
      <c r="U351" s="756"/>
      <c r="V351" s="4279"/>
      <c r="W351" s="764">
        <f t="shared" si="52"/>
        <v>0</v>
      </c>
      <c r="X351" s="764">
        <v>0</v>
      </c>
      <c r="Y351" s="764">
        <v>0</v>
      </c>
      <c r="Z351" s="783">
        <v>0</v>
      </c>
      <c r="AA351" s="783">
        <v>0</v>
      </c>
      <c r="AB351" s="783">
        <v>0</v>
      </c>
      <c r="AC351" s="783">
        <v>0</v>
      </c>
      <c r="AD351" s="783">
        <v>0</v>
      </c>
      <c r="AE351" s="764"/>
      <c r="AF351" s="764"/>
      <c r="AG351" s="764"/>
      <c r="AK351" s="732"/>
      <c r="BB351" s="752"/>
    </row>
    <row r="352" spans="1:54" s="741" customFormat="1" ht="15" hidden="1" outlineLevel="1" thickBot="1" x14ac:dyDescent="0.4">
      <c r="A352" s="756"/>
      <c r="B352" s="756"/>
      <c r="C352" s="753"/>
      <c r="D352" s="4306"/>
      <c r="E352" s="1936" t="s">
        <v>4290</v>
      </c>
      <c r="F352" s="3172">
        <f t="shared" si="51"/>
        <v>8.8303143315276264E-2</v>
      </c>
      <c r="G352" s="3159" t="s">
        <v>308</v>
      </c>
      <c r="H352" s="3160"/>
      <c r="I352" s="756"/>
      <c r="J352" s="756"/>
      <c r="K352" s="756"/>
      <c r="L352" s="756"/>
      <c r="M352" s="756"/>
      <c r="N352" s="756"/>
      <c r="O352" s="756"/>
      <c r="P352" s="756"/>
      <c r="Q352" s="756"/>
      <c r="R352" s="756"/>
      <c r="S352" s="756"/>
      <c r="T352" s="756"/>
      <c r="U352" s="756"/>
      <c r="V352" s="4288"/>
      <c r="W352" s="764">
        <f t="shared" si="52"/>
        <v>97.663276506695567</v>
      </c>
      <c r="X352" s="764">
        <v>97.663276506695567</v>
      </c>
      <c r="Y352" s="764">
        <v>8.8303143315276264E-2</v>
      </c>
      <c r="Z352" s="783">
        <v>8.8303143315276264E-2</v>
      </c>
      <c r="AA352" s="783">
        <v>8.8303143315276264E-2</v>
      </c>
      <c r="AB352" s="783">
        <v>8.8303143315276264E-2</v>
      </c>
      <c r="AC352" s="783">
        <v>8.8303143315276264E-2</v>
      </c>
      <c r="AD352" s="783">
        <v>8.8303143315276264E-2</v>
      </c>
      <c r="AE352" s="764"/>
      <c r="AF352" s="764"/>
      <c r="AG352" s="764"/>
      <c r="AK352" s="732"/>
      <c r="BB352" s="752"/>
    </row>
    <row r="353" spans="1:54" s="741" customFormat="1" ht="15" hidden="1" outlineLevel="1" thickBot="1" x14ac:dyDescent="0.4">
      <c r="A353" s="756"/>
      <c r="B353" s="756"/>
      <c r="C353" s="753"/>
      <c r="D353" s="3167" t="s">
        <v>309</v>
      </c>
      <c r="E353" s="3164" t="s">
        <v>134</v>
      </c>
      <c r="F353" s="3170">
        <v>3.1399999999999997E-2</v>
      </c>
      <c r="G353" s="2655" t="s">
        <v>284</v>
      </c>
      <c r="H353" s="3166"/>
      <c r="I353" s="756"/>
      <c r="J353" s="756"/>
      <c r="K353" s="756"/>
      <c r="L353" s="756"/>
      <c r="M353" s="756"/>
      <c r="N353" s="756"/>
      <c r="O353" s="756"/>
      <c r="P353" s="756"/>
      <c r="Q353" s="756"/>
      <c r="R353" s="756"/>
      <c r="S353" s="756"/>
      <c r="T353" s="756"/>
      <c r="U353" s="756"/>
      <c r="V353" s="763" t="str">
        <f>D353</f>
        <v>Fe</v>
      </c>
      <c r="W353" s="765">
        <v>3.1399999999999997E-2</v>
      </c>
      <c r="X353" s="765">
        <v>3.1399999999999997E-2</v>
      </c>
      <c r="Y353" s="765">
        <v>3.1399999999999997E-2</v>
      </c>
      <c r="Z353" s="786">
        <v>3.1399999999999997E-2</v>
      </c>
      <c r="AA353" s="786">
        <v>3.1399999999999997E-2</v>
      </c>
      <c r="AB353" s="786">
        <v>3.1399999999999997E-2</v>
      </c>
      <c r="AC353" s="786">
        <v>3.1399999999999997E-2</v>
      </c>
      <c r="AD353" s="786">
        <v>3.1399999999999997E-2</v>
      </c>
      <c r="AE353" s="765"/>
      <c r="AF353" s="765"/>
      <c r="AG353" s="765"/>
      <c r="AK353" s="732"/>
      <c r="BB353" s="752"/>
    </row>
    <row r="354" spans="1:54" s="741" customFormat="1" ht="15" hidden="1" outlineLevel="1" thickBot="1" x14ac:dyDescent="0.4">
      <c r="A354" s="756"/>
      <c r="B354" s="756"/>
      <c r="C354" s="753"/>
      <c r="D354" s="3167" t="s">
        <v>1627</v>
      </c>
      <c r="E354" s="3164" t="s">
        <v>134</v>
      </c>
      <c r="F354" s="3169">
        <v>1646</v>
      </c>
      <c r="G354" s="2655" t="s">
        <v>314</v>
      </c>
      <c r="H354" s="3166" t="s">
        <v>1628</v>
      </c>
      <c r="I354" s="756"/>
      <c r="J354" s="756"/>
      <c r="K354" s="756"/>
      <c r="L354" s="756"/>
      <c r="M354" s="756"/>
      <c r="N354" s="756"/>
      <c r="O354" s="756"/>
      <c r="P354" s="756"/>
      <c r="Q354" s="756"/>
      <c r="R354" s="756"/>
      <c r="S354" s="756"/>
      <c r="T354" s="756"/>
      <c r="U354" s="756"/>
      <c r="V354" s="763" t="str">
        <f>D354</f>
        <v>CDD</v>
      </c>
      <c r="W354" s="750">
        <v>1646</v>
      </c>
      <c r="X354" s="750">
        <v>1646</v>
      </c>
      <c r="Y354" s="750">
        <v>1646</v>
      </c>
      <c r="Z354" s="1018">
        <v>1646</v>
      </c>
      <c r="AA354" s="1018">
        <v>1646</v>
      </c>
      <c r="AB354" s="1018">
        <v>1646</v>
      </c>
      <c r="AC354" s="1018">
        <v>1646</v>
      </c>
      <c r="AD354" s="1018">
        <v>1646</v>
      </c>
      <c r="AE354" s="750"/>
      <c r="AF354" s="750"/>
      <c r="AG354" s="750"/>
      <c r="AK354" s="732"/>
      <c r="BB354" s="752"/>
    </row>
    <row r="355" spans="1:54" s="741" customFormat="1" ht="15" hidden="1" outlineLevel="1" thickBot="1" x14ac:dyDescent="0.4">
      <c r="A355" s="756"/>
      <c r="B355" s="756"/>
      <c r="C355" s="753"/>
      <c r="D355" s="3167" t="s">
        <v>1629</v>
      </c>
      <c r="E355" s="3164" t="s">
        <v>134</v>
      </c>
      <c r="F355" s="3168">
        <v>0.75</v>
      </c>
      <c r="G355" s="2655" t="s">
        <v>284</v>
      </c>
      <c r="H355" s="3166"/>
      <c r="I355" s="756"/>
      <c r="J355" s="756"/>
      <c r="K355" s="756"/>
      <c r="L355" s="756"/>
      <c r="M355" s="756"/>
      <c r="N355" s="756"/>
      <c r="O355" s="756"/>
      <c r="P355" s="756"/>
      <c r="Q355" s="756"/>
      <c r="R355" s="756"/>
      <c r="S355" s="756"/>
      <c r="T355" s="756"/>
      <c r="U355" s="756"/>
      <c r="V355" s="763" t="str">
        <f>D355</f>
        <v>DUA</v>
      </c>
      <c r="W355" s="761">
        <v>0.75</v>
      </c>
      <c r="X355" s="761">
        <v>0.75</v>
      </c>
      <c r="Y355" s="761">
        <v>0.75</v>
      </c>
      <c r="Z355" s="787">
        <v>0.75</v>
      </c>
      <c r="AA355" s="787">
        <v>0.75</v>
      </c>
      <c r="AB355" s="787">
        <v>0.75</v>
      </c>
      <c r="AC355" s="787">
        <v>0.75</v>
      </c>
      <c r="AD355" s="787">
        <v>0.75</v>
      </c>
      <c r="AE355" s="761"/>
      <c r="AF355" s="761"/>
      <c r="AG355" s="761"/>
      <c r="AK355" s="732"/>
      <c r="BB355" s="752"/>
    </row>
    <row r="356" spans="1:54" s="741" customFormat="1" hidden="1" outlineLevel="1" x14ac:dyDescent="0.35">
      <c r="A356" s="756"/>
      <c r="B356" s="756"/>
      <c r="C356" s="753"/>
      <c r="D356" s="4274" t="s">
        <v>1630</v>
      </c>
      <c r="E356" s="3155" t="s">
        <v>4261</v>
      </c>
      <c r="F356" s="1263">
        <v>0.91</v>
      </c>
      <c r="G356" s="3156" t="s">
        <v>284</v>
      </c>
      <c r="H356" s="3157" t="s">
        <v>1631</v>
      </c>
      <c r="I356" s="756"/>
      <c r="J356" s="756"/>
      <c r="K356" s="756"/>
      <c r="L356" s="756"/>
      <c r="M356" s="756"/>
      <c r="N356" s="756"/>
      <c r="O356" s="756"/>
      <c r="P356" s="756"/>
      <c r="Q356" s="756"/>
      <c r="R356" s="756"/>
      <c r="S356" s="756"/>
      <c r="T356" s="756"/>
      <c r="U356" s="756"/>
      <c r="V356" s="4278" t="str">
        <f>D356</f>
        <v>%cool</v>
      </c>
      <c r="W356" s="761">
        <v>0.91</v>
      </c>
      <c r="X356" s="761">
        <v>0.91</v>
      </c>
      <c r="Y356" s="761">
        <v>0.91</v>
      </c>
      <c r="Z356" s="787">
        <v>0.91</v>
      </c>
      <c r="AA356" s="787">
        <v>0.91</v>
      </c>
      <c r="AB356" s="787">
        <v>0.91</v>
      </c>
      <c r="AC356" s="787">
        <v>0.91</v>
      </c>
      <c r="AD356" s="787">
        <v>0.91</v>
      </c>
      <c r="AE356" s="761"/>
      <c r="AF356" s="761"/>
      <c r="AG356" s="761"/>
      <c r="AK356" s="732"/>
      <c r="BB356" s="752"/>
    </row>
    <row r="357" spans="1:54" s="741" customFormat="1" hidden="1" outlineLevel="1" x14ac:dyDescent="0.35">
      <c r="A357" s="756"/>
      <c r="B357" s="756"/>
      <c r="C357" s="753"/>
      <c r="D357" s="4275"/>
      <c r="E357" s="368" t="s">
        <v>4262</v>
      </c>
      <c r="F357" s="787">
        <v>1</v>
      </c>
      <c r="G357" s="2979" t="s">
        <v>284</v>
      </c>
      <c r="H357" s="3158" t="s">
        <v>1632</v>
      </c>
      <c r="I357" s="756"/>
      <c r="J357" s="756"/>
      <c r="K357" s="756"/>
      <c r="L357" s="756"/>
      <c r="M357" s="756"/>
      <c r="N357" s="756"/>
      <c r="O357" s="756"/>
      <c r="P357" s="756"/>
      <c r="Q357" s="756"/>
      <c r="R357" s="756"/>
      <c r="S357" s="756"/>
      <c r="T357" s="756"/>
      <c r="U357" s="756"/>
      <c r="V357" s="4279"/>
      <c r="W357" s="761">
        <v>1</v>
      </c>
      <c r="X357" s="761">
        <v>1</v>
      </c>
      <c r="Y357" s="761">
        <v>1</v>
      </c>
      <c r="Z357" s="787">
        <v>1</v>
      </c>
      <c r="AA357" s="787">
        <v>1</v>
      </c>
      <c r="AB357" s="787">
        <v>1</v>
      </c>
      <c r="AC357" s="787">
        <v>1</v>
      </c>
      <c r="AD357" s="787">
        <v>1</v>
      </c>
      <c r="AE357" s="761"/>
      <c r="AF357" s="761"/>
      <c r="AG357" s="761"/>
      <c r="AK357" s="732"/>
      <c r="BB357" s="752"/>
    </row>
    <row r="358" spans="1:54" s="741" customFormat="1" hidden="1" outlineLevel="1" x14ac:dyDescent="0.35">
      <c r="A358" s="756"/>
      <c r="B358" s="756"/>
      <c r="C358" s="753"/>
      <c r="D358" s="4275"/>
      <c r="E358" s="368" t="s">
        <v>4263</v>
      </c>
      <c r="F358" s="787">
        <v>0.91</v>
      </c>
      <c r="G358" s="2979" t="s">
        <v>284</v>
      </c>
      <c r="H358" s="3158" t="s">
        <v>1631</v>
      </c>
      <c r="I358" s="756"/>
      <c r="J358" s="756"/>
      <c r="K358" s="756"/>
      <c r="L358" s="756"/>
      <c r="M358" s="756"/>
      <c r="N358" s="756"/>
      <c r="O358" s="756"/>
      <c r="P358" s="756"/>
      <c r="Q358" s="756"/>
      <c r="R358" s="756"/>
      <c r="S358" s="756"/>
      <c r="T358" s="756"/>
      <c r="U358" s="756"/>
      <c r="V358" s="4279"/>
      <c r="W358" s="761">
        <v>0.91</v>
      </c>
      <c r="X358" s="761">
        <v>0.91</v>
      </c>
      <c r="Y358" s="761">
        <v>0.91</v>
      </c>
      <c r="Z358" s="787">
        <v>0.91</v>
      </c>
      <c r="AA358" s="787">
        <v>0.91</v>
      </c>
      <c r="AB358" s="787">
        <v>0.91</v>
      </c>
      <c r="AC358" s="787">
        <v>0.91</v>
      </c>
      <c r="AD358" s="787">
        <v>0.91</v>
      </c>
      <c r="AE358" s="761"/>
      <c r="AF358" s="761"/>
      <c r="AG358" s="761"/>
      <c r="AK358" s="732"/>
      <c r="BB358" s="752"/>
    </row>
    <row r="359" spans="1:54" s="741" customFormat="1" hidden="1" outlineLevel="1" x14ac:dyDescent="0.35">
      <c r="A359" s="756"/>
      <c r="B359" s="756"/>
      <c r="C359" s="753"/>
      <c r="D359" s="4275"/>
      <c r="E359" s="368" t="s">
        <v>4264</v>
      </c>
      <c r="F359" s="787">
        <v>0.91</v>
      </c>
      <c r="G359" s="2979" t="s">
        <v>284</v>
      </c>
      <c r="H359" s="3158" t="s">
        <v>1631</v>
      </c>
      <c r="I359" s="756"/>
      <c r="J359" s="756"/>
      <c r="K359" s="756"/>
      <c r="L359" s="756"/>
      <c r="M359" s="756"/>
      <c r="N359" s="756"/>
      <c r="O359" s="756"/>
      <c r="P359" s="756"/>
      <c r="Q359" s="756"/>
      <c r="R359" s="756"/>
      <c r="S359" s="756"/>
      <c r="T359" s="756"/>
      <c r="U359" s="756"/>
      <c r="V359" s="4279"/>
      <c r="W359" s="761">
        <v>0.91</v>
      </c>
      <c r="X359" s="761">
        <v>0.91</v>
      </c>
      <c r="Y359" s="761">
        <v>0.91</v>
      </c>
      <c r="Z359" s="787">
        <v>0.91</v>
      </c>
      <c r="AA359" s="787">
        <v>0.91</v>
      </c>
      <c r="AB359" s="787">
        <v>0.91</v>
      </c>
      <c r="AC359" s="787">
        <v>0.91</v>
      </c>
      <c r="AD359" s="787">
        <v>0.91</v>
      </c>
      <c r="AE359" s="761"/>
      <c r="AF359" s="761"/>
      <c r="AG359" s="761"/>
      <c r="AK359" s="732"/>
      <c r="BB359" s="752"/>
    </row>
    <row r="360" spans="1:54" s="741" customFormat="1" hidden="1" outlineLevel="1" x14ac:dyDescent="0.35">
      <c r="A360" s="756"/>
      <c r="B360" s="756"/>
      <c r="C360" s="753"/>
      <c r="D360" s="4275"/>
      <c r="E360" s="368" t="s">
        <v>4265</v>
      </c>
      <c r="F360" s="787">
        <v>1</v>
      </c>
      <c r="G360" s="2979" t="s">
        <v>284</v>
      </c>
      <c r="H360" s="3158" t="s">
        <v>1632</v>
      </c>
      <c r="I360" s="756"/>
      <c r="J360" s="756"/>
      <c r="K360" s="756"/>
      <c r="L360" s="756"/>
      <c r="M360" s="756"/>
      <c r="N360" s="756"/>
      <c r="O360" s="756"/>
      <c r="P360" s="756"/>
      <c r="Q360" s="756"/>
      <c r="R360" s="756"/>
      <c r="S360" s="756"/>
      <c r="T360" s="756"/>
      <c r="U360" s="756"/>
      <c r="V360" s="4279"/>
      <c r="W360" s="761">
        <v>1</v>
      </c>
      <c r="X360" s="761">
        <v>1</v>
      </c>
      <c r="Y360" s="761">
        <v>1</v>
      </c>
      <c r="Z360" s="787">
        <v>1</v>
      </c>
      <c r="AA360" s="787">
        <v>1</v>
      </c>
      <c r="AB360" s="787">
        <v>1</v>
      </c>
      <c r="AC360" s="787">
        <v>1</v>
      </c>
      <c r="AD360" s="787">
        <v>1</v>
      </c>
      <c r="AE360" s="761"/>
      <c r="AF360" s="761"/>
      <c r="AG360" s="761"/>
      <c r="AK360" s="732"/>
      <c r="BB360" s="752"/>
    </row>
    <row r="361" spans="1:54" s="741" customFormat="1" hidden="1" outlineLevel="1" x14ac:dyDescent="0.35">
      <c r="A361" s="756"/>
      <c r="B361" s="756"/>
      <c r="C361" s="753"/>
      <c r="D361" s="4275"/>
      <c r="E361" s="368" t="s">
        <v>4266</v>
      </c>
      <c r="F361" s="787">
        <v>0.91</v>
      </c>
      <c r="G361" s="2979" t="s">
        <v>284</v>
      </c>
      <c r="H361" s="3158" t="s">
        <v>1631</v>
      </c>
      <c r="I361" s="756"/>
      <c r="J361" s="756"/>
      <c r="K361" s="756"/>
      <c r="L361" s="756"/>
      <c r="M361" s="756"/>
      <c r="N361" s="756"/>
      <c r="O361" s="756"/>
      <c r="P361" s="756"/>
      <c r="Q361" s="756"/>
      <c r="R361" s="756"/>
      <c r="S361" s="756"/>
      <c r="T361" s="756"/>
      <c r="U361" s="756"/>
      <c r="V361" s="4279"/>
      <c r="W361" s="761">
        <v>0.91</v>
      </c>
      <c r="X361" s="761">
        <v>0.91</v>
      </c>
      <c r="Y361" s="761">
        <v>0.91</v>
      </c>
      <c r="Z361" s="787">
        <v>0.91</v>
      </c>
      <c r="AA361" s="787">
        <v>0.91</v>
      </c>
      <c r="AB361" s="787">
        <v>0.91</v>
      </c>
      <c r="AC361" s="787">
        <v>0.91</v>
      </c>
      <c r="AD361" s="787">
        <v>0.91</v>
      </c>
      <c r="AE361" s="761"/>
      <c r="AF361" s="761"/>
      <c r="AG361" s="761"/>
      <c r="AK361" s="732"/>
      <c r="BB361" s="752"/>
    </row>
    <row r="362" spans="1:54" s="741" customFormat="1" hidden="1" outlineLevel="1" x14ac:dyDescent="0.35">
      <c r="A362" s="756"/>
      <c r="B362" s="756"/>
      <c r="C362" s="753"/>
      <c r="D362" s="4275"/>
      <c r="E362" s="368" t="s">
        <v>4267</v>
      </c>
      <c r="F362" s="787">
        <v>0.91</v>
      </c>
      <c r="G362" s="2979" t="s">
        <v>284</v>
      </c>
      <c r="H362" s="3158" t="s">
        <v>1631</v>
      </c>
      <c r="I362" s="756"/>
      <c r="J362" s="756"/>
      <c r="K362" s="756"/>
      <c r="L362" s="756"/>
      <c r="M362" s="756"/>
      <c r="N362" s="756"/>
      <c r="O362" s="756"/>
      <c r="P362" s="756"/>
      <c r="Q362" s="756"/>
      <c r="R362" s="756"/>
      <c r="S362" s="756"/>
      <c r="T362" s="756"/>
      <c r="U362" s="756"/>
      <c r="V362" s="4279"/>
      <c r="W362" s="761">
        <v>0.91</v>
      </c>
      <c r="X362" s="761">
        <v>0.91</v>
      </c>
      <c r="Y362" s="761">
        <v>0.91</v>
      </c>
      <c r="Z362" s="787">
        <v>0.91</v>
      </c>
      <c r="AA362" s="787">
        <v>0.91</v>
      </c>
      <c r="AB362" s="787">
        <v>0.91</v>
      </c>
      <c r="AC362" s="787">
        <v>0.91</v>
      </c>
      <c r="AD362" s="787">
        <v>0.91</v>
      </c>
      <c r="AE362" s="761"/>
      <c r="AF362" s="761"/>
      <c r="AG362" s="761"/>
      <c r="AK362" s="732"/>
      <c r="BB362" s="752"/>
    </row>
    <row r="363" spans="1:54" s="741" customFormat="1" hidden="1" outlineLevel="1" x14ac:dyDescent="0.35">
      <c r="A363" s="756"/>
      <c r="B363" s="756"/>
      <c r="C363" s="753"/>
      <c r="D363" s="4275"/>
      <c r="E363" s="368" t="s">
        <v>4268</v>
      </c>
      <c r="F363" s="787">
        <v>1</v>
      </c>
      <c r="G363" s="2979" t="s">
        <v>284</v>
      </c>
      <c r="H363" s="3158" t="s">
        <v>1632</v>
      </c>
      <c r="I363" s="756"/>
      <c r="J363" s="756"/>
      <c r="K363" s="756"/>
      <c r="L363" s="756"/>
      <c r="M363" s="756"/>
      <c r="N363" s="756"/>
      <c r="O363" s="756"/>
      <c r="P363" s="756"/>
      <c r="Q363" s="756"/>
      <c r="R363" s="756"/>
      <c r="S363" s="756"/>
      <c r="T363" s="756"/>
      <c r="U363" s="756"/>
      <c r="V363" s="4279"/>
      <c r="W363" s="761">
        <v>1</v>
      </c>
      <c r="X363" s="761">
        <v>1</v>
      </c>
      <c r="Y363" s="761">
        <v>1</v>
      </c>
      <c r="Z363" s="787">
        <v>1</v>
      </c>
      <c r="AA363" s="787">
        <v>1</v>
      </c>
      <c r="AB363" s="787">
        <v>1</v>
      </c>
      <c r="AC363" s="787">
        <v>1</v>
      </c>
      <c r="AD363" s="787">
        <v>1</v>
      </c>
      <c r="AE363" s="761"/>
      <c r="AF363" s="761"/>
      <c r="AG363" s="761"/>
      <c r="AK363" s="732"/>
      <c r="BB363" s="752"/>
    </row>
    <row r="364" spans="1:54" s="741" customFormat="1" hidden="1" outlineLevel="1" x14ac:dyDescent="0.35">
      <c r="A364" s="756"/>
      <c r="B364" s="756"/>
      <c r="C364" s="753"/>
      <c r="D364" s="4275"/>
      <c r="E364" s="374" t="s">
        <v>4269</v>
      </c>
      <c r="F364" s="787">
        <v>0.91</v>
      </c>
      <c r="G364" s="2979" t="s">
        <v>284</v>
      </c>
      <c r="H364" s="3158" t="s">
        <v>1631</v>
      </c>
      <c r="I364" s="756"/>
      <c r="J364" s="756"/>
      <c r="K364" s="756"/>
      <c r="L364" s="756"/>
      <c r="M364" s="756"/>
      <c r="N364" s="756"/>
      <c r="O364" s="756"/>
      <c r="P364" s="756"/>
      <c r="Q364" s="756"/>
      <c r="R364" s="756"/>
      <c r="S364" s="756"/>
      <c r="T364" s="756"/>
      <c r="U364" s="756"/>
      <c r="V364" s="4279"/>
      <c r="W364" s="761">
        <v>0.91</v>
      </c>
      <c r="X364" s="761">
        <v>0.91</v>
      </c>
      <c r="Y364" s="761">
        <v>0.91</v>
      </c>
      <c r="Z364" s="787">
        <v>0.91</v>
      </c>
      <c r="AA364" s="787">
        <v>0.91</v>
      </c>
      <c r="AB364" s="787">
        <v>0.91</v>
      </c>
      <c r="AC364" s="787">
        <v>0.91</v>
      </c>
      <c r="AD364" s="787">
        <v>0.91</v>
      </c>
      <c r="AE364" s="761"/>
      <c r="AF364" s="761"/>
      <c r="AG364" s="761"/>
      <c r="AK364" s="732"/>
      <c r="BB364" s="752"/>
    </row>
    <row r="365" spans="1:54" s="741" customFormat="1" hidden="1" outlineLevel="1" x14ac:dyDescent="0.35">
      <c r="A365" s="756"/>
      <c r="B365" s="756"/>
      <c r="C365" s="753"/>
      <c r="D365" s="4275"/>
      <c r="E365" s="368" t="s">
        <v>4270</v>
      </c>
      <c r="F365" s="787">
        <v>0.91</v>
      </c>
      <c r="G365" s="2979" t="s">
        <v>284</v>
      </c>
      <c r="H365" s="3158" t="s">
        <v>1631</v>
      </c>
      <c r="I365" s="756"/>
      <c r="J365" s="756"/>
      <c r="K365" s="756"/>
      <c r="L365" s="756"/>
      <c r="M365" s="756"/>
      <c r="N365" s="756"/>
      <c r="O365" s="756"/>
      <c r="P365" s="756"/>
      <c r="Q365" s="756"/>
      <c r="R365" s="756"/>
      <c r="S365" s="756"/>
      <c r="T365" s="756"/>
      <c r="U365" s="756"/>
      <c r="V365" s="4279"/>
      <c r="W365" s="761">
        <v>0.91</v>
      </c>
      <c r="X365" s="761">
        <v>0.91</v>
      </c>
      <c r="Y365" s="761">
        <v>0.91</v>
      </c>
      <c r="Z365" s="787">
        <v>0.91</v>
      </c>
      <c r="AA365" s="787">
        <v>0.91</v>
      </c>
      <c r="AB365" s="787">
        <v>0.91</v>
      </c>
      <c r="AC365" s="787">
        <v>0.91</v>
      </c>
      <c r="AD365" s="787">
        <v>0.91</v>
      </c>
      <c r="AE365" s="761"/>
      <c r="AF365" s="761"/>
      <c r="AG365" s="761"/>
      <c r="AK365" s="732"/>
      <c r="BB365" s="752"/>
    </row>
    <row r="366" spans="1:54" s="741" customFormat="1" hidden="1" outlineLevel="1" x14ac:dyDescent="0.35">
      <c r="A366" s="756"/>
      <c r="B366" s="756"/>
      <c r="C366" s="753"/>
      <c r="D366" s="4275"/>
      <c r="E366" s="368" t="s">
        <v>4271</v>
      </c>
      <c r="F366" s="787">
        <v>1</v>
      </c>
      <c r="G366" s="2979" t="s">
        <v>284</v>
      </c>
      <c r="H366" s="3158" t="s">
        <v>1632</v>
      </c>
      <c r="I366" s="756"/>
      <c r="J366" s="756"/>
      <c r="K366" s="756"/>
      <c r="L366" s="756"/>
      <c r="M366" s="756"/>
      <c r="N366" s="756"/>
      <c r="O366" s="756"/>
      <c r="P366" s="756"/>
      <c r="Q366" s="756"/>
      <c r="R366" s="756"/>
      <c r="S366" s="756"/>
      <c r="T366" s="756"/>
      <c r="U366" s="756"/>
      <c r="V366" s="4279"/>
      <c r="W366" s="761">
        <v>1</v>
      </c>
      <c r="X366" s="761">
        <v>1</v>
      </c>
      <c r="Y366" s="761">
        <v>1</v>
      </c>
      <c r="Z366" s="787">
        <v>1</v>
      </c>
      <c r="AA366" s="787">
        <v>1</v>
      </c>
      <c r="AB366" s="787">
        <v>1</v>
      </c>
      <c r="AC366" s="787">
        <v>1</v>
      </c>
      <c r="AD366" s="787">
        <v>1</v>
      </c>
      <c r="AE366" s="761"/>
      <c r="AF366" s="761"/>
      <c r="AG366" s="761"/>
      <c r="AK366" s="732"/>
      <c r="BB366" s="752"/>
    </row>
    <row r="367" spans="1:54" s="741" customFormat="1" hidden="1" outlineLevel="1" x14ac:dyDescent="0.35">
      <c r="A367" s="756"/>
      <c r="B367" s="756"/>
      <c r="C367" s="753"/>
      <c r="D367" s="4275"/>
      <c r="E367" s="1341" t="s">
        <v>4272</v>
      </c>
      <c r="F367" s="787">
        <v>0.91</v>
      </c>
      <c r="G367" s="2979" t="s">
        <v>284</v>
      </c>
      <c r="H367" s="3158" t="s">
        <v>1631</v>
      </c>
      <c r="I367" s="756"/>
      <c r="J367" s="756"/>
      <c r="K367" s="756"/>
      <c r="L367" s="756"/>
      <c r="M367" s="756"/>
      <c r="N367" s="756"/>
      <c r="O367" s="756"/>
      <c r="P367" s="756"/>
      <c r="Q367" s="756"/>
      <c r="R367" s="756"/>
      <c r="S367" s="756"/>
      <c r="T367" s="756"/>
      <c r="U367" s="756"/>
      <c r="V367" s="4279"/>
      <c r="W367" s="761">
        <v>0.91</v>
      </c>
      <c r="X367" s="761">
        <v>0.91</v>
      </c>
      <c r="Y367" s="761">
        <v>0.91</v>
      </c>
      <c r="Z367" s="787">
        <v>0.91</v>
      </c>
      <c r="AA367" s="787">
        <v>0.91</v>
      </c>
      <c r="AB367" s="787">
        <v>0.91</v>
      </c>
      <c r="AC367" s="787">
        <v>0.91</v>
      </c>
      <c r="AD367" s="787">
        <v>0.91</v>
      </c>
      <c r="AE367" s="761"/>
      <c r="AF367" s="761"/>
      <c r="AG367" s="761"/>
      <c r="AK367" s="732"/>
      <c r="BB367" s="752"/>
    </row>
    <row r="368" spans="1:54" s="741" customFormat="1" hidden="1" outlineLevel="1" x14ac:dyDescent="0.35">
      <c r="A368" s="756"/>
      <c r="B368" s="756"/>
      <c r="C368" s="753"/>
      <c r="D368" s="4275"/>
      <c r="E368" s="368" t="s">
        <v>4273</v>
      </c>
      <c r="F368" s="787">
        <v>0.91</v>
      </c>
      <c r="G368" s="2979" t="s">
        <v>284</v>
      </c>
      <c r="H368" s="3158" t="s">
        <v>1631</v>
      </c>
      <c r="I368" s="756"/>
      <c r="J368" s="756"/>
      <c r="K368" s="756"/>
      <c r="L368" s="756"/>
      <c r="M368" s="756"/>
      <c r="N368" s="756"/>
      <c r="O368" s="756"/>
      <c r="P368" s="756"/>
      <c r="Q368" s="756"/>
      <c r="R368" s="756"/>
      <c r="S368" s="756"/>
      <c r="T368" s="756"/>
      <c r="U368" s="756"/>
      <c r="V368" s="4279"/>
      <c r="W368" s="761">
        <v>0.91</v>
      </c>
      <c r="X368" s="761">
        <v>0.91</v>
      </c>
      <c r="Y368" s="761">
        <v>0.91</v>
      </c>
      <c r="Z368" s="787">
        <v>0.91</v>
      </c>
      <c r="AA368" s="787">
        <v>0.91</v>
      </c>
      <c r="AB368" s="787">
        <v>0.91</v>
      </c>
      <c r="AC368" s="787">
        <v>0.91</v>
      </c>
      <c r="AD368" s="787">
        <v>0.91</v>
      </c>
      <c r="AE368" s="761"/>
      <c r="AF368" s="761"/>
      <c r="AG368" s="761"/>
      <c r="AK368" s="732"/>
      <c r="BB368" s="752"/>
    </row>
    <row r="369" spans="1:54" s="741" customFormat="1" hidden="1" outlineLevel="1" x14ac:dyDescent="0.35">
      <c r="A369" s="756"/>
      <c r="B369" s="756"/>
      <c r="C369" s="753"/>
      <c r="D369" s="4275"/>
      <c r="E369" s="368" t="s">
        <v>4274</v>
      </c>
      <c r="F369" s="787">
        <v>1</v>
      </c>
      <c r="G369" s="2979" t="s">
        <v>284</v>
      </c>
      <c r="H369" s="3158" t="s">
        <v>1632</v>
      </c>
      <c r="I369" s="756"/>
      <c r="J369" s="756"/>
      <c r="K369" s="756"/>
      <c r="L369" s="756"/>
      <c r="M369" s="756"/>
      <c r="N369" s="756"/>
      <c r="O369" s="756"/>
      <c r="P369" s="756"/>
      <c r="Q369" s="756"/>
      <c r="R369" s="756"/>
      <c r="S369" s="756"/>
      <c r="T369" s="756"/>
      <c r="U369" s="756"/>
      <c r="V369" s="4279"/>
      <c r="W369" s="761">
        <v>1</v>
      </c>
      <c r="X369" s="761">
        <v>1</v>
      </c>
      <c r="Y369" s="761">
        <v>1</v>
      </c>
      <c r="Z369" s="787">
        <v>1</v>
      </c>
      <c r="AA369" s="787">
        <v>1</v>
      </c>
      <c r="AB369" s="787">
        <v>1</v>
      </c>
      <c r="AC369" s="787">
        <v>1</v>
      </c>
      <c r="AD369" s="787">
        <v>1</v>
      </c>
      <c r="AE369" s="761"/>
      <c r="AF369" s="761"/>
      <c r="AG369" s="761"/>
      <c r="AK369" s="732"/>
      <c r="BB369" s="752"/>
    </row>
    <row r="370" spans="1:54" s="741" customFormat="1" hidden="1" outlineLevel="1" x14ac:dyDescent="0.35">
      <c r="A370" s="756"/>
      <c r="B370" s="756"/>
      <c r="C370" s="753"/>
      <c r="D370" s="4275"/>
      <c r="E370" s="374" t="s">
        <v>4275</v>
      </c>
      <c r="F370" s="787">
        <v>0.91</v>
      </c>
      <c r="G370" s="2979" t="s">
        <v>284</v>
      </c>
      <c r="H370" s="3158" t="s">
        <v>1631</v>
      </c>
      <c r="I370" s="756"/>
      <c r="J370" s="756"/>
      <c r="K370" s="756"/>
      <c r="L370" s="756"/>
      <c r="M370" s="756"/>
      <c r="N370" s="756"/>
      <c r="O370" s="756"/>
      <c r="P370" s="756"/>
      <c r="Q370" s="756"/>
      <c r="R370" s="756"/>
      <c r="S370" s="756"/>
      <c r="T370" s="756"/>
      <c r="U370" s="756"/>
      <c r="V370" s="4279"/>
      <c r="W370" s="761">
        <v>0.91</v>
      </c>
      <c r="X370" s="761">
        <v>0.91</v>
      </c>
      <c r="Y370" s="761">
        <v>0.91</v>
      </c>
      <c r="Z370" s="787">
        <v>0.91</v>
      </c>
      <c r="AA370" s="787">
        <v>0.91</v>
      </c>
      <c r="AB370" s="787">
        <v>0.91</v>
      </c>
      <c r="AC370" s="787">
        <v>0.91</v>
      </c>
      <c r="AD370" s="787">
        <v>0.91</v>
      </c>
      <c r="AE370" s="761"/>
      <c r="AF370" s="761"/>
      <c r="AG370" s="761"/>
      <c r="AK370" s="732"/>
      <c r="BB370" s="752"/>
    </row>
    <row r="371" spans="1:54" s="741" customFormat="1" hidden="1" outlineLevel="1" x14ac:dyDescent="0.35">
      <c r="A371" s="756"/>
      <c r="B371" s="756"/>
      <c r="C371" s="753"/>
      <c r="D371" s="4275"/>
      <c r="E371" s="368" t="s">
        <v>4276</v>
      </c>
      <c r="F371" s="787">
        <v>0.91</v>
      </c>
      <c r="G371" s="2979" t="s">
        <v>284</v>
      </c>
      <c r="H371" s="3158" t="s">
        <v>1631</v>
      </c>
      <c r="I371" s="756"/>
      <c r="J371" s="756"/>
      <c r="K371" s="756"/>
      <c r="L371" s="756"/>
      <c r="M371" s="756"/>
      <c r="N371" s="756"/>
      <c r="O371" s="756"/>
      <c r="P371" s="756"/>
      <c r="Q371" s="756"/>
      <c r="R371" s="756"/>
      <c r="S371" s="756"/>
      <c r="T371" s="756"/>
      <c r="U371" s="756"/>
      <c r="V371" s="4279"/>
      <c r="W371" s="761">
        <v>0.91</v>
      </c>
      <c r="X371" s="761">
        <v>0.91</v>
      </c>
      <c r="Y371" s="761">
        <v>0.91</v>
      </c>
      <c r="Z371" s="787">
        <v>0.91</v>
      </c>
      <c r="AA371" s="787">
        <v>0.91</v>
      </c>
      <c r="AB371" s="787">
        <v>0.91</v>
      </c>
      <c r="AC371" s="787">
        <v>0.91</v>
      </c>
      <c r="AD371" s="787">
        <v>0.91</v>
      </c>
      <c r="AE371" s="761"/>
      <c r="AF371" s="761"/>
      <c r="AG371" s="761"/>
      <c r="AK371" s="732"/>
      <c r="BB371" s="752"/>
    </row>
    <row r="372" spans="1:54" s="741" customFormat="1" hidden="1" outlineLevel="1" x14ac:dyDescent="0.35">
      <c r="A372" s="756"/>
      <c r="B372" s="756"/>
      <c r="C372" s="753"/>
      <c r="D372" s="4275"/>
      <c r="E372" s="374" t="s">
        <v>4277</v>
      </c>
      <c r="F372" s="787">
        <v>1</v>
      </c>
      <c r="G372" s="2979" t="s">
        <v>284</v>
      </c>
      <c r="H372" s="3158" t="s">
        <v>1632</v>
      </c>
      <c r="I372" s="756"/>
      <c r="J372" s="756"/>
      <c r="K372" s="756"/>
      <c r="L372" s="756"/>
      <c r="M372" s="756"/>
      <c r="N372" s="756"/>
      <c r="O372" s="756"/>
      <c r="P372" s="756"/>
      <c r="Q372" s="756"/>
      <c r="R372" s="756"/>
      <c r="S372" s="756"/>
      <c r="T372" s="756"/>
      <c r="U372" s="756"/>
      <c r="V372" s="4279"/>
      <c r="W372" s="761">
        <v>1</v>
      </c>
      <c r="X372" s="761">
        <v>1</v>
      </c>
      <c r="Y372" s="761">
        <v>1</v>
      </c>
      <c r="Z372" s="787">
        <v>1</v>
      </c>
      <c r="AA372" s="787">
        <v>1</v>
      </c>
      <c r="AB372" s="787">
        <v>1</v>
      </c>
      <c r="AC372" s="787">
        <v>1</v>
      </c>
      <c r="AD372" s="787">
        <v>1</v>
      </c>
      <c r="AE372" s="761"/>
      <c r="AF372" s="761"/>
      <c r="AG372" s="761"/>
      <c r="AK372" s="732"/>
      <c r="BB372" s="752"/>
    </row>
    <row r="373" spans="1:54" s="741" customFormat="1" hidden="1" outlineLevel="1" x14ac:dyDescent="0.35">
      <c r="A373" s="756"/>
      <c r="B373" s="756"/>
      <c r="C373" s="753"/>
      <c r="D373" s="4275"/>
      <c r="E373" s="368" t="s">
        <v>4278</v>
      </c>
      <c r="F373" s="787">
        <v>0.91</v>
      </c>
      <c r="G373" s="2979" t="s">
        <v>284</v>
      </c>
      <c r="H373" s="3158" t="s">
        <v>1631</v>
      </c>
      <c r="I373" s="756"/>
      <c r="J373" s="756"/>
      <c r="K373" s="756"/>
      <c r="L373" s="756"/>
      <c r="M373" s="756"/>
      <c r="N373" s="756"/>
      <c r="O373" s="756"/>
      <c r="P373" s="756"/>
      <c r="Q373" s="756"/>
      <c r="R373" s="756"/>
      <c r="S373" s="756"/>
      <c r="T373" s="756"/>
      <c r="U373" s="756"/>
      <c r="V373" s="4279"/>
      <c r="W373" s="761">
        <v>0.91</v>
      </c>
      <c r="X373" s="761">
        <v>0.91</v>
      </c>
      <c r="Y373" s="761">
        <v>0.91</v>
      </c>
      <c r="Z373" s="787">
        <v>0.91</v>
      </c>
      <c r="AA373" s="787">
        <v>0.91</v>
      </c>
      <c r="AB373" s="787">
        <v>0.91</v>
      </c>
      <c r="AC373" s="787">
        <v>0.91</v>
      </c>
      <c r="AD373" s="787">
        <v>0.91</v>
      </c>
      <c r="AE373" s="761"/>
      <c r="AF373" s="761"/>
      <c r="AG373" s="761"/>
      <c r="AK373" s="732"/>
      <c r="BB373" s="752"/>
    </row>
    <row r="374" spans="1:54" s="741" customFormat="1" hidden="1" outlineLevel="1" x14ac:dyDescent="0.35">
      <c r="A374" s="756"/>
      <c r="B374" s="756"/>
      <c r="C374" s="753"/>
      <c r="D374" s="4275"/>
      <c r="E374" s="368" t="s">
        <v>4279</v>
      </c>
      <c r="F374" s="787">
        <v>0.91</v>
      </c>
      <c r="G374" s="2979" t="s">
        <v>284</v>
      </c>
      <c r="H374" s="3158" t="s">
        <v>1631</v>
      </c>
      <c r="I374" s="756"/>
      <c r="J374" s="756"/>
      <c r="K374" s="756"/>
      <c r="L374" s="756"/>
      <c r="M374" s="756"/>
      <c r="N374" s="756"/>
      <c r="O374" s="756"/>
      <c r="P374" s="756"/>
      <c r="Q374" s="756"/>
      <c r="R374" s="756"/>
      <c r="S374" s="756"/>
      <c r="T374" s="756"/>
      <c r="U374" s="756"/>
      <c r="V374" s="4279"/>
      <c r="W374" s="761">
        <v>0.91</v>
      </c>
      <c r="X374" s="761">
        <v>0.91</v>
      </c>
      <c r="Y374" s="761">
        <v>0.91</v>
      </c>
      <c r="Z374" s="787">
        <v>0.91</v>
      </c>
      <c r="AA374" s="787">
        <v>0.91</v>
      </c>
      <c r="AB374" s="787">
        <v>0.91</v>
      </c>
      <c r="AC374" s="787">
        <v>0.91</v>
      </c>
      <c r="AD374" s="787">
        <v>0.91</v>
      </c>
      <c r="AE374" s="761"/>
      <c r="AF374" s="761"/>
      <c r="AG374" s="761"/>
      <c r="AK374" s="732"/>
      <c r="BB374" s="752"/>
    </row>
    <row r="375" spans="1:54" s="741" customFormat="1" hidden="1" outlineLevel="1" x14ac:dyDescent="0.35">
      <c r="A375" s="756"/>
      <c r="B375" s="756"/>
      <c r="C375" s="753"/>
      <c r="D375" s="4275"/>
      <c r="E375" s="368" t="s">
        <v>4280</v>
      </c>
      <c r="F375" s="787">
        <v>1</v>
      </c>
      <c r="G375" s="2979" t="s">
        <v>284</v>
      </c>
      <c r="H375" s="3158" t="s">
        <v>1632</v>
      </c>
      <c r="I375" s="756"/>
      <c r="J375" s="756"/>
      <c r="K375" s="756"/>
      <c r="L375" s="756"/>
      <c r="M375" s="756"/>
      <c r="N375" s="756"/>
      <c r="O375" s="756"/>
      <c r="P375" s="756"/>
      <c r="Q375" s="756"/>
      <c r="R375" s="756"/>
      <c r="S375" s="756"/>
      <c r="T375" s="756"/>
      <c r="U375" s="756"/>
      <c r="V375" s="4279"/>
      <c r="W375" s="761">
        <v>1</v>
      </c>
      <c r="X375" s="761">
        <v>1</v>
      </c>
      <c r="Y375" s="761">
        <v>1</v>
      </c>
      <c r="Z375" s="787">
        <v>1</v>
      </c>
      <c r="AA375" s="787">
        <v>1</v>
      </c>
      <c r="AB375" s="787">
        <v>1</v>
      </c>
      <c r="AC375" s="787">
        <v>1</v>
      </c>
      <c r="AD375" s="787">
        <v>1</v>
      </c>
      <c r="AE375" s="761"/>
      <c r="AF375" s="761"/>
      <c r="AG375" s="761"/>
      <c r="AK375" s="732"/>
      <c r="BB375" s="752"/>
    </row>
    <row r="376" spans="1:54" s="741" customFormat="1" hidden="1" outlineLevel="1" x14ac:dyDescent="0.35">
      <c r="A376" s="756"/>
      <c r="B376" s="756"/>
      <c r="C376" s="753"/>
      <c r="D376" s="4275"/>
      <c r="E376" s="374" t="s">
        <v>4281</v>
      </c>
      <c r="F376" s="787">
        <v>0.91</v>
      </c>
      <c r="G376" s="2979" t="s">
        <v>284</v>
      </c>
      <c r="H376" s="3158" t="s">
        <v>1631</v>
      </c>
      <c r="I376" s="756"/>
      <c r="J376" s="756"/>
      <c r="K376" s="756"/>
      <c r="L376" s="756"/>
      <c r="M376" s="756"/>
      <c r="N376" s="756"/>
      <c r="O376" s="756"/>
      <c r="P376" s="756"/>
      <c r="Q376" s="756"/>
      <c r="R376" s="756"/>
      <c r="S376" s="756"/>
      <c r="T376" s="756"/>
      <c r="U376" s="756"/>
      <c r="V376" s="4279"/>
      <c r="W376" s="761">
        <v>0.91</v>
      </c>
      <c r="X376" s="761">
        <v>0.91</v>
      </c>
      <c r="Y376" s="761">
        <v>0.91</v>
      </c>
      <c r="Z376" s="787">
        <v>0.91</v>
      </c>
      <c r="AA376" s="787">
        <v>0.91</v>
      </c>
      <c r="AB376" s="787">
        <v>0.91</v>
      </c>
      <c r="AC376" s="787">
        <v>0.91</v>
      </c>
      <c r="AD376" s="787">
        <v>0.91</v>
      </c>
      <c r="AE376" s="761"/>
      <c r="AF376" s="761"/>
      <c r="AG376" s="761"/>
      <c r="AK376" s="732"/>
      <c r="BB376" s="752"/>
    </row>
    <row r="377" spans="1:54" s="741" customFormat="1" hidden="1" outlineLevel="1" x14ac:dyDescent="0.35">
      <c r="A377" s="756"/>
      <c r="B377" s="756"/>
      <c r="C377" s="753"/>
      <c r="D377" s="4275"/>
      <c r="E377" s="368" t="s">
        <v>4282</v>
      </c>
      <c r="F377" s="787">
        <v>0.91</v>
      </c>
      <c r="G377" s="2979" t="s">
        <v>284</v>
      </c>
      <c r="H377" s="3158" t="s">
        <v>1631</v>
      </c>
      <c r="I377" s="756"/>
      <c r="J377" s="756"/>
      <c r="K377" s="756"/>
      <c r="L377" s="756"/>
      <c r="M377" s="756"/>
      <c r="N377" s="756"/>
      <c r="O377" s="756"/>
      <c r="P377" s="756"/>
      <c r="Q377" s="756"/>
      <c r="R377" s="756"/>
      <c r="S377" s="756"/>
      <c r="T377" s="756"/>
      <c r="U377" s="756"/>
      <c r="V377" s="4279"/>
      <c r="W377" s="761">
        <v>0.91</v>
      </c>
      <c r="X377" s="761">
        <v>0.91</v>
      </c>
      <c r="Y377" s="761">
        <v>0.91</v>
      </c>
      <c r="Z377" s="787">
        <v>0.91</v>
      </c>
      <c r="AA377" s="787">
        <v>0.91</v>
      </c>
      <c r="AB377" s="787">
        <v>0.91</v>
      </c>
      <c r="AC377" s="787">
        <v>0.91</v>
      </c>
      <c r="AD377" s="787">
        <v>0.91</v>
      </c>
      <c r="AE377" s="761"/>
      <c r="AF377" s="761"/>
      <c r="AG377" s="761"/>
      <c r="AK377" s="732"/>
      <c r="BB377" s="752"/>
    </row>
    <row r="378" spans="1:54" s="741" customFormat="1" hidden="1" outlineLevel="1" x14ac:dyDescent="0.35">
      <c r="A378" s="756"/>
      <c r="B378" s="756"/>
      <c r="C378" s="753"/>
      <c r="D378" s="4275"/>
      <c r="E378" s="374" t="s">
        <v>4283</v>
      </c>
      <c r="F378" s="787">
        <v>1</v>
      </c>
      <c r="G378" s="2979" t="s">
        <v>284</v>
      </c>
      <c r="H378" s="3158" t="s">
        <v>1632</v>
      </c>
      <c r="I378" s="756"/>
      <c r="J378" s="756"/>
      <c r="K378" s="756"/>
      <c r="L378" s="756"/>
      <c r="M378" s="756"/>
      <c r="N378" s="756"/>
      <c r="O378" s="756"/>
      <c r="P378" s="756"/>
      <c r="Q378" s="756"/>
      <c r="R378" s="756"/>
      <c r="S378" s="756"/>
      <c r="T378" s="756"/>
      <c r="U378" s="756"/>
      <c r="V378" s="4279"/>
      <c r="W378" s="761">
        <v>1</v>
      </c>
      <c r="X378" s="761">
        <v>1</v>
      </c>
      <c r="Y378" s="761">
        <v>1</v>
      </c>
      <c r="Z378" s="787">
        <v>1</v>
      </c>
      <c r="AA378" s="787">
        <v>1</v>
      </c>
      <c r="AB378" s="787">
        <v>1</v>
      </c>
      <c r="AC378" s="787">
        <v>1</v>
      </c>
      <c r="AD378" s="787">
        <v>1</v>
      </c>
      <c r="AE378" s="761"/>
      <c r="AF378" s="761"/>
      <c r="AG378" s="761"/>
      <c r="AK378" s="732"/>
      <c r="BB378" s="752"/>
    </row>
    <row r="379" spans="1:54" s="741" customFormat="1" hidden="1" outlineLevel="1" x14ac:dyDescent="0.35">
      <c r="A379" s="756"/>
      <c r="B379" s="756"/>
      <c r="C379" s="753"/>
      <c r="D379" s="4275"/>
      <c r="E379" s="368" t="s">
        <v>4284</v>
      </c>
      <c r="F379" s="787">
        <v>0.91</v>
      </c>
      <c r="G379" s="2979" t="s">
        <v>284</v>
      </c>
      <c r="H379" s="3158" t="s">
        <v>1631</v>
      </c>
      <c r="I379" s="756"/>
      <c r="J379" s="756"/>
      <c r="K379" s="756"/>
      <c r="L379" s="756"/>
      <c r="M379" s="756"/>
      <c r="N379" s="756"/>
      <c r="O379" s="756"/>
      <c r="P379" s="756"/>
      <c r="Q379" s="756"/>
      <c r="R379" s="756"/>
      <c r="S379" s="756"/>
      <c r="T379" s="756"/>
      <c r="U379" s="756"/>
      <c r="V379" s="4279"/>
      <c r="W379" s="761">
        <v>0.91</v>
      </c>
      <c r="X379" s="761">
        <v>0.91</v>
      </c>
      <c r="Y379" s="761">
        <v>0.91</v>
      </c>
      <c r="Z379" s="787">
        <v>0.91</v>
      </c>
      <c r="AA379" s="787">
        <v>0.91</v>
      </c>
      <c r="AB379" s="787">
        <v>0.91</v>
      </c>
      <c r="AC379" s="787">
        <v>0.91</v>
      </c>
      <c r="AD379" s="787">
        <v>0.91</v>
      </c>
      <c r="AE379" s="761"/>
      <c r="AF379" s="761"/>
      <c r="AG379" s="761"/>
      <c r="AK379" s="732"/>
      <c r="BB379" s="752"/>
    </row>
    <row r="380" spans="1:54" s="741" customFormat="1" hidden="1" outlineLevel="1" x14ac:dyDescent="0.35">
      <c r="A380" s="756"/>
      <c r="B380" s="756"/>
      <c r="C380" s="753"/>
      <c r="D380" s="4275"/>
      <c r="E380" s="368" t="s">
        <v>4285</v>
      </c>
      <c r="F380" s="787">
        <v>0.91</v>
      </c>
      <c r="G380" s="2979" t="s">
        <v>284</v>
      </c>
      <c r="H380" s="3158" t="s">
        <v>1631</v>
      </c>
      <c r="I380" s="756"/>
      <c r="J380" s="756"/>
      <c r="K380" s="756"/>
      <c r="L380" s="756"/>
      <c r="M380" s="756"/>
      <c r="N380" s="756"/>
      <c r="O380" s="756"/>
      <c r="P380" s="756"/>
      <c r="Q380" s="756"/>
      <c r="R380" s="756"/>
      <c r="S380" s="756"/>
      <c r="T380" s="756"/>
      <c r="U380" s="756"/>
      <c r="V380" s="4279"/>
      <c r="W380" s="761">
        <v>0.91</v>
      </c>
      <c r="X380" s="761">
        <v>0.91</v>
      </c>
      <c r="Y380" s="761">
        <v>0.91</v>
      </c>
      <c r="Z380" s="787">
        <v>0.91</v>
      </c>
      <c r="AA380" s="787">
        <v>0.91</v>
      </c>
      <c r="AB380" s="787">
        <v>0.91</v>
      </c>
      <c r="AC380" s="787">
        <v>0.91</v>
      </c>
      <c r="AD380" s="787">
        <v>0.91</v>
      </c>
      <c r="AE380" s="761"/>
      <c r="AF380" s="761"/>
      <c r="AG380" s="761"/>
      <c r="AK380" s="732"/>
      <c r="BB380" s="752"/>
    </row>
    <row r="381" spans="1:54" s="741" customFormat="1" hidden="1" outlineLevel="1" x14ac:dyDescent="0.35">
      <c r="A381" s="756"/>
      <c r="B381" s="756"/>
      <c r="C381" s="753"/>
      <c r="D381" s="4275"/>
      <c r="E381" s="368" t="s">
        <v>4286</v>
      </c>
      <c r="F381" s="787">
        <v>1</v>
      </c>
      <c r="G381" s="2979" t="s">
        <v>284</v>
      </c>
      <c r="H381" s="3158" t="s">
        <v>1632</v>
      </c>
      <c r="I381" s="756"/>
      <c r="J381" s="756"/>
      <c r="K381" s="756"/>
      <c r="L381" s="756"/>
      <c r="M381" s="756"/>
      <c r="N381" s="756"/>
      <c r="O381" s="756"/>
      <c r="P381" s="756"/>
      <c r="Q381" s="756"/>
      <c r="R381" s="756"/>
      <c r="S381" s="756"/>
      <c r="T381" s="756"/>
      <c r="U381" s="756"/>
      <c r="V381" s="4279"/>
      <c r="W381" s="761">
        <v>1</v>
      </c>
      <c r="X381" s="761">
        <v>1</v>
      </c>
      <c r="Y381" s="761">
        <v>1</v>
      </c>
      <c r="Z381" s="787">
        <v>1</v>
      </c>
      <c r="AA381" s="787">
        <v>1</v>
      </c>
      <c r="AB381" s="787">
        <v>1</v>
      </c>
      <c r="AC381" s="787">
        <v>1</v>
      </c>
      <c r="AD381" s="787">
        <v>1</v>
      </c>
      <c r="AE381" s="761"/>
      <c r="AF381" s="761"/>
      <c r="AG381" s="761"/>
      <c r="AK381" s="732"/>
      <c r="BB381" s="752"/>
    </row>
    <row r="382" spans="1:54" s="741" customFormat="1" hidden="1" outlineLevel="1" x14ac:dyDescent="0.35">
      <c r="A382" s="756"/>
      <c r="B382" s="756"/>
      <c r="C382" s="753"/>
      <c r="D382" s="4275"/>
      <c r="E382" s="374" t="s">
        <v>4287</v>
      </c>
      <c r="F382" s="787">
        <v>0.91</v>
      </c>
      <c r="G382" s="2979" t="s">
        <v>284</v>
      </c>
      <c r="H382" s="3158" t="s">
        <v>1631</v>
      </c>
      <c r="I382" s="756"/>
      <c r="J382" s="756"/>
      <c r="K382" s="756"/>
      <c r="L382" s="756"/>
      <c r="M382" s="756"/>
      <c r="N382" s="756"/>
      <c r="O382" s="756"/>
      <c r="P382" s="756"/>
      <c r="Q382" s="756"/>
      <c r="R382" s="756"/>
      <c r="S382" s="756"/>
      <c r="T382" s="756"/>
      <c r="U382" s="756"/>
      <c r="V382" s="4279"/>
      <c r="W382" s="761">
        <v>0.91</v>
      </c>
      <c r="X382" s="761">
        <v>0.91</v>
      </c>
      <c r="Y382" s="761">
        <v>0.91</v>
      </c>
      <c r="Z382" s="787">
        <v>0.91</v>
      </c>
      <c r="AA382" s="787">
        <v>0.91</v>
      </c>
      <c r="AB382" s="787">
        <v>0.91</v>
      </c>
      <c r="AC382" s="787">
        <v>0.91</v>
      </c>
      <c r="AD382" s="787">
        <v>0.91</v>
      </c>
      <c r="AE382" s="761"/>
      <c r="AF382" s="761"/>
      <c r="AG382" s="761"/>
      <c r="AK382" s="732"/>
      <c r="BB382" s="752"/>
    </row>
    <row r="383" spans="1:54" s="741" customFormat="1" hidden="1" outlineLevel="1" x14ac:dyDescent="0.35">
      <c r="A383" s="756"/>
      <c r="B383" s="756"/>
      <c r="C383" s="753"/>
      <c r="D383" s="4275"/>
      <c r="E383" s="368" t="s">
        <v>4288</v>
      </c>
      <c r="F383" s="787">
        <v>0.91</v>
      </c>
      <c r="G383" s="2979" t="s">
        <v>284</v>
      </c>
      <c r="H383" s="3158" t="s">
        <v>1631</v>
      </c>
      <c r="I383" s="756"/>
      <c r="J383" s="756"/>
      <c r="K383" s="756"/>
      <c r="L383" s="756"/>
      <c r="M383" s="756"/>
      <c r="N383" s="756"/>
      <c r="O383" s="756"/>
      <c r="P383" s="756"/>
      <c r="Q383" s="756"/>
      <c r="R383" s="756"/>
      <c r="S383" s="756"/>
      <c r="T383" s="756"/>
      <c r="U383" s="756"/>
      <c r="V383" s="4279"/>
      <c r="W383" s="761">
        <v>0.91</v>
      </c>
      <c r="X383" s="761">
        <v>0.91</v>
      </c>
      <c r="Y383" s="761">
        <v>0.91</v>
      </c>
      <c r="Z383" s="787">
        <v>0.91</v>
      </c>
      <c r="AA383" s="787">
        <v>0.91</v>
      </c>
      <c r="AB383" s="787">
        <v>0.91</v>
      </c>
      <c r="AC383" s="787">
        <v>0.91</v>
      </c>
      <c r="AD383" s="787">
        <v>0.91</v>
      </c>
      <c r="AE383" s="761"/>
      <c r="AF383" s="761"/>
      <c r="AG383" s="761"/>
      <c r="AK383" s="732"/>
      <c r="BB383" s="752"/>
    </row>
    <row r="384" spans="1:54" s="741" customFormat="1" hidden="1" outlineLevel="1" x14ac:dyDescent="0.35">
      <c r="A384" s="756"/>
      <c r="B384" s="756"/>
      <c r="C384" s="753"/>
      <c r="D384" s="4275"/>
      <c r="E384" s="374" t="s">
        <v>4289</v>
      </c>
      <c r="F384" s="787">
        <v>1</v>
      </c>
      <c r="G384" s="2979" t="s">
        <v>284</v>
      </c>
      <c r="H384" s="3158" t="s">
        <v>1632</v>
      </c>
      <c r="I384" s="756"/>
      <c r="J384" s="756"/>
      <c r="K384" s="756"/>
      <c r="L384" s="756"/>
      <c r="M384" s="756"/>
      <c r="N384" s="756"/>
      <c r="O384" s="756"/>
      <c r="P384" s="756"/>
      <c r="Q384" s="756"/>
      <c r="R384" s="756"/>
      <c r="S384" s="756"/>
      <c r="T384" s="756"/>
      <c r="U384" s="756"/>
      <c r="V384" s="4279"/>
      <c r="W384" s="761">
        <v>1</v>
      </c>
      <c r="X384" s="761">
        <v>1</v>
      </c>
      <c r="Y384" s="761">
        <v>1</v>
      </c>
      <c r="Z384" s="787">
        <v>1</v>
      </c>
      <c r="AA384" s="787">
        <v>1</v>
      </c>
      <c r="AB384" s="787">
        <v>1</v>
      </c>
      <c r="AC384" s="787">
        <v>1</v>
      </c>
      <c r="AD384" s="787">
        <v>1</v>
      </c>
      <c r="AE384" s="761"/>
      <c r="AF384" s="761"/>
      <c r="AG384" s="761"/>
      <c r="AK384" s="732"/>
      <c r="BB384" s="752"/>
    </row>
    <row r="385" spans="1:54" s="741" customFormat="1" ht="15" hidden="1" outlineLevel="1" thickBot="1" x14ac:dyDescent="0.4">
      <c r="A385" s="756"/>
      <c r="B385" s="756"/>
      <c r="C385" s="753"/>
      <c r="D385" s="4287"/>
      <c r="E385" s="1936" t="s">
        <v>4290</v>
      </c>
      <c r="F385" s="1266">
        <v>0.91</v>
      </c>
      <c r="G385" s="3159" t="s">
        <v>284</v>
      </c>
      <c r="H385" s="3160" t="s">
        <v>1631</v>
      </c>
      <c r="I385" s="756"/>
      <c r="J385" s="756"/>
      <c r="K385" s="756"/>
      <c r="L385" s="756"/>
      <c r="M385" s="756"/>
      <c r="N385" s="756"/>
      <c r="O385" s="756"/>
      <c r="P385" s="756"/>
      <c r="Q385" s="756"/>
      <c r="R385" s="756"/>
      <c r="S385" s="756"/>
      <c r="T385" s="756"/>
      <c r="U385" s="756"/>
      <c r="V385" s="4288"/>
      <c r="W385" s="761">
        <v>0.91</v>
      </c>
      <c r="X385" s="761">
        <v>0.91</v>
      </c>
      <c r="Y385" s="761">
        <v>0.91</v>
      </c>
      <c r="Z385" s="787">
        <v>0.91</v>
      </c>
      <c r="AA385" s="787">
        <v>0.91</v>
      </c>
      <c r="AB385" s="787">
        <v>0.91</v>
      </c>
      <c r="AC385" s="787">
        <v>0.91</v>
      </c>
      <c r="AD385" s="787">
        <v>0.91</v>
      </c>
      <c r="AE385" s="761"/>
      <c r="AF385" s="761"/>
      <c r="AG385" s="761"/>
      <c r="AK385" s="732"/>
      <c r="BB385" s="752"/>
    </row>
    <row r="386" spans="1:54" s="741" customFormat="1" hidden="1" outlineLevel="1" x14ac:dyDescent="0.35">
      <c r="A386" s="756"/>
      <c r="B386" s="756"/>
      <c r="C386" s="753"/>
      <c r="D386" s="4274" t="s">
        <v>1633</v>
      </c>
      <c r="E386" s="3155" t="s">
        <v>4261</v>
      </c>
      <c r="F386" s="3161">
        <v>11</v>
      </c>
      <c r="G386" s="2007" t="s">
        <v>1634</v>
      </c>
      <c r="H386" s="3157"/>
      <c r="I386" s="756"/>
      <c r="J386" s="756"/>
      <c r="K386" s="756"/>
      <c r="L386" s="756"/>
      <c r="M386" s="756"/>
      <c r="N386" s="756"/>
      <c r="O386" s="756"/>
      <c r="P386" s="756"/>
      <c r="Q386" s="756"/>
      <c r="R386" s="756"/>
      <c r="S386" s="756"/>
      <c r="T386" s="756"/>
      <c r="U386" s="756"/>
      <c r="V386" s="4278" t="str">
        <f>D386</f>
        <v>ƞcool</v>
      </c>
      <c r="W386" s="750">
        <v>11</v>
      </c>
      <c r="X386" s="750">
        <v>11</v>
      </c>
      <c r="Y386" s="750">
        <v>11</v>
      </c>
      <c r="Z386" s="1018">
        <v>11</v>
      </c>
      <c r="AA386" s="1018">
        <v>11</v>
      </c>
      <c r="AB386" s="1018">
        <v>11</v>
      </c>
      <c r="AC386" s="1018">
        <v>11</v>
      </c>
      <c r="AD386" s="1018">
        <v>11</v>
      </c>
      <c r="AE386" s="750"/>
      <c r="AF386" s="750"/>
      <c r="AG386" s="750"/>
      <c r="AK386" s="732"/>
      <c r="BB386" s="752"/>
    </row>
    <row r="387" spans="1:54" s="741" customFormat="1" hidden="1" outlineLevel="1" x14ac:dyDescent="0.35">
      <c r="A387" s="756"/>
      <c r="B387" s="756"/>
      <c r="C387" s="753"/>
      <c r="D387" s="4275"/>
      <c r="E387" s="368" t="s">
        <v>4262</v>
      </c>
      <c r="F387" s="1018">
        <v>11</v>
      </c>
      <c r="G387" s="2981" t="s">
        <v>1615</v>
      </c>
      <c r="H387" s="4293" t="s">
        <v>288</v>
      </c>
      <c r="I387" s="756"/>
      <c r="J387" s="756"/>
      <c r="K387" s="756"/>
      <c r="L387" s="756"/>
      <c r="M387" s="756"/>
      <c r="N387" s="756"/>
      <c r="O387" s="756"/>
      <c r="P387" s="756"/>
      <c r="Q387" s="756"/>
      <c r="R387" s="756"/>
      <c r="S387" s="756"/>
      <c r="T387" s="756"/>
      <c r="U387" s="756"/>
      <c r="V387" s="4279"/>
      <c r="W387" s="750">
        <v>11</v>
      </c>
      <c r="X387" s="750">
        <v>11</v>
      </c>
      <c r="Y387" s="750">
        <v>11</v>
      </c>
      <c r="Z387" s="1018">
        <v>11</v>
      </c>
      <c r="AA387" s="1018">
        <v>11</v>
      </c>
      <c r="AB387" s="1018">
        <v>11</v>
      </c>
      <c r="AC387" s="1018">
        <v>11</v>
      </c>
      <c r="AD387" s="1018">
        <v>11</v>
      </c>
      <c r="AE387" s="750"/>
      <c r="AF387" s="750"/>
      <c r="AG387" s="750"/>
      <c r="AK387" s="732"/>
      <c r="BB387" s="752"/>
    </row>
    <row r="388" spans="1:54" s="741" customFormat="1" hidden="1" outlineLevel="1" x14ac:dyDescent="0.35">
      <c r="A388" s="756"/>
      <c r="B388" s="756"/>
      <c r="C388" s="753"/>
      <c r="D388" s="4275"/>
      <c r="E388" s="368" t="s">
        <v>4263</v>
      </c>
      <c r="F388" s="1018">
        <v>11</v>
      </c>
      <c r="G388" s="2981" t="s">
        <v>1615</v>
      </c>
      <c r="H388" s="4294"/>
      <c r="I388" s="756"/>
      <c r="J388" s="756"/>
      <c r="K388" s="756"/>
      <c r="L388" s="756"/>
      <c r="M388" s="756"/>
      <c r="N388" s="756"/>
      <c r="O388" s="756"/>
      <c r="P388" s="756"/>
      <c r="Q388" s="756"/>
      <c r="R388" s="756"/>
      <c r="S388" s="756"/>
      <c r="T388" s="756"/>
      <c r="U388" s="756"/>
      <c r="V388" s="4279"/>
      <c r="W388" s="750">
        <v>11</v>
      </c>
      <c r="X388" s="750">
        <v>11</v>
      </c>
      <c r="Y388" s="750">
        <v>11</v>
      </c>
      <c r="Z388" s="1018">
        <v>11</v>
      </c>
      <c r="AA388" s="1018">
        <v>11</v>
      </c>
      <c r="AB388" s="1018">
        <v>11</v>
      </c>
      <c r="AC388" s="1018">
        <v>11</v>
      </c>
      <c r="AD388" s="1018">
        <v>11</v>
      </c>
      <c r="AE388" s="750"/>
      <c r="AF388" s="750"/>
      <c r="AG388" s="750"/>
      <c r="AK388" s="732"/>
      <c r="BB388" s="752"/>
    </row>
    <row r="389" spans="1:54" s="741" customFormat="1" hidden="1" outlineLevel="1" x14ac:dyDescent="0.35">
      <c r="A389" s="756"/>
      <c r="B389" s="756"/>
      <c r="C389" s="753"/>
      <c r="D389" s="4275"/>
      <c r="E389" s="368" t="s">
        <v>4264</v>
      </c>
      <c r="F389" s="1018">
        <v>11</v>
      </c>
      <c r="G389" s="2981" t="s">
        <v>1615</v>
      </c>
      <c r="H389" s="4294"/>
      <c r="I389" s="756"/>
      <c r="J389" s="756"/>
      <c r="K389" s="756"/>
      <c r="L389" s="756"/>
      <c r="M389" s="756"/>
      <c r="N389" s="756"/>
      <c r="O389" s="756"/>
      <c r="P389" s="756"/>
      <c r="Q389" s="756"/>
      <c r="R389" s="756"/>
      <c r="S389" s="756"/>
      <c r="T389" s="756"/>
      <c r="U389" s="756"/>
      <c r="V389" s="4279"/>
      <c r="W389" s="750">
        <v>11</v>
      </c>
      <c r="X389" s="750">
        <v>11</v>
      </c>
      <c r="Y389" s="750">
        <v>11</v>
      </c>
      <c r="Z389" s="1018">
        <v>11</v>
      </c>
      <c r="AA389" s="1018">
        <v>11</v>
      </c>
      <c r="AB389" s="1018">
        <v>11</v>
      </c>
      <c r="AC389" s="1018">
        <v>11</v>
      </c>
      <c r="AD389" s="1018">
        <v>11</v>
      </c>
      <c r="AE389" s="750"/>
      <c r="AF389" s="750"/>
      <c r="AG389" s="750"/>
      <c r="AK389" s="732"/>
      <c r="BB389" s="752"/>
    </row>
    <row r="390" spans="1:54" s="741" customFormat="1" hidden="1" outlineLevel="1" x14ac:dyDescent="0.35">
      <c r="A390" s="756"/>
      <c r="B390" s="756"/>
      <c r="C390" s="753"/>
      <c r="D390" s="4275"/>
      <c r="E390" s="368" t="s">
        <v>4265</v>
      </c>
      <c r="F390" s="1018">
        <v>11</v>
      </c>
      <c r="G390" s="2981" t="s">
        <v>1615</v>
      </c>
      <c r="H390" s="4294"/>
      <c r="I390" s="756"/>
      <c r="J390" s="756"/>
      <c r="K390" s="756"/>
      <c r="L390" s="756"/>
      <c r="M390" s="756"/>
      <c r="N390" s="756"/>
      <c r="O390" s="756"/>
      <c r="P390" s="756"/>
      <c r="Q390" s="756"/>
      <c r="R390" s="756"/>
      <c r="S390" s="756"/>
      <c r="T390" s="756"/>
      <c r="U390" s="756"/>
      <c r="V390" s="4279"/>
      <c r="W390" s="750">
        <v>11</v>
      </c>
      <c r="X390" s="750">
        <v>11</v>
      </c>
      <c r="Y390" s="750">
        <v>11</v>
      </c>
      <c r="Z390" s="1018">
        <v>11</v>
      </c>
      <c r="AA390" s="1018">
        <v>11</v>
      </c>
      <c r="AB390" s="1018">
        <v>11</v>
      </c>
      <c r="AC390" s="1018">
        <v>11</v>
      </c>
      <c r="AD390" s="1018">
        <v>11</v>
      </c>
      <c r="AE390" s="750"/>
      <c r="AF390" s="750"/>
      <c r="AG390" s="750"/>
      <c r="AK390" s="732"/>
      <c r="BB390" s="752"/>
    </row>
    <row r="391" spans="1:54" s="741" customFormat="1" hidden="1" outlineLevel="1" x14ac:dyDescent="0.35">
      <c r="A391" s="756"/>
      <c r="B391" s="756"/>
      <c r="C391" s="753"/>
      <c r="D391" s="4275"/>
      <c r="E391" s="368" t="s">
        <v>4266</v>
      </c>
      <c r="F391" s="1018">
        <v>11</v>
      </c>
      <c r="G391" s="2981" t="s">
        <v>1615</v>
      </c>
      <c r="H391" s="4294"/>
      <c r="I391" s="756"/>
      <c r="J391" s="756"/>
      <c r="K391" s="756"/>
      <c r="L391" s="756"/>
      <c r="M391" s="756"/>
      <c r="N391" s="756"/>
      <c r="O391" s="756"/>
      <c r="P391" s="756"/>
      <c r="Q391" s="756"/>
      <c r="R391" s="756"/>
      <c r="S391" s="756"/>
      <c r="T391" s="756"/>
      <c r="U391" s="756"/>
      <c r="V391" s="4279"/>
      <c r="W391" s="750">
        <v>11</v>
      </c>
      <c r="X391" s="750">
        <v>11</v>
      </c>
      <c r="Y391" s="750">
        <v>11</v>
      </c>
      <c r="Z391" s="1018">
        <v>11</v>
      </c>
      <c r="AA391" s="1018">
        <v>11</v>
      </c>
      <c r="AB391" s="1018">
        <v>11</v>
      </c>
      <c r="AC391" s="1018">
        <v>11</v>
      </c>
      <c r="AD391" s="1018">
        <v>11</v>
      </c>
      <c r="AE391" s="750"/>
      <c r="AF391" s="750"/>
      <c r="AG391" s="750"/>
      <c r="AK391" s="732"/>
      <c r="BB391" s="752"/>
    </row>
    <row r="392" spans="1:54" s="741" customFormat="1" hidden="1" outlineLevel="1" x14ac:dyDescent="0.35">
      <c r="A392" s="756"/>
      <c r="B392" s="756"/>
      <c r="C392" s="753"/>
      <c r="D392" s="4275"/>
      <c r="E392" s="368" t="s">
        <v>4267</v>
      </c>
      <c r="F392" s="1018">
        <v>11</v>
      </c>
      <c r="G392" s="2981" t="s">
        <v>1615</v>
      </c>
      <c r="H392" s="4294"/>
      <c r="I392" s="756"/>
      <c r="J392" s="756"/>
      <c r="K392" s="756"/>
      <c r="L392" s="756"/>
      <c r="M392" s="756"/>
      <c r="N392" s="756"/>
      <c r="O392" s="756"/>
      <c r="P392" s="756"/>
      <c r="Q392" s="756"/>
      <c r="R392" s="756"/>
      <c r="S392" s="756"/>
      <c r="T392" s="756"/>
      <c r="U392" s="756"/>
      <c r="V392" s="4279"/>
      <c r="W392" s="750">
        <v>11</v>
      </c>
      <c r="X392" s="750">
        <v>11</v>
      </c>
      <c r="Y392" s="750">
        <v>11</v>
      </c>
      <c r="Z392" s="1018">
        <v>11</v>
      </c>
      <c r="AA392" s="1018">
        <v>11</v>
      </c>
      <c r="AB392" s="1018">
        <v>11</v>
      </c>
      <c r="AC392" s="1018">
        <v>11</v>
      </c>
      <c r="AD392" s="1018">
        <v>11</v>
      </c>
      <c r="AE392" s="750"/>
      <c r="AF392" s="750"/>
      <c r="AG392" s="750"/>
      <c r="AK392" s="732"/>
      <c r="BB392" s="752"/>
    </row>
    <row r="393" spans="1:54" s="741" customFormat="1" hidden="1" outlineLevel="1" x14ac:dyDescent="0.35">
      <c r="A393" s="756"/>
      <c r="B393" s="756"/>
      <c r="C393" s="753"/>
      <c r="D393" s="4275"/>
      <c r="E393" s="368" t="s">
        <v>4268</v>
      </c>
      <c r="F393" s="1018">
        <v>11</v>
      </c>
      <c r="G393" s="2981" t="s">
        <v>1615</v>
      </c>
      <c r="H393" s="4294"/>
      <c r="I393" s="756"/>
      <c r="J393" s="756"/>
      <c r="K393" s="756"/>
      <c r="L393" s="756"/>
      <c r="M393" s="756"/>
      <c r="N393" s="756"/>
      <c r="O393" s="756"/>
      <c r="P393" s="756"/>
      <c r="Q393" s="756"/>
      <c r="R393" s="756"/>
      <c r="S393" s="756"/>
      <c r="T393" s="756"/>
      <c r="U393" s="756"/>
      <c r="V393" s="4279"/>
      <c r="W393" s="750">
        <v>11</v>
      </c>
      <c r="X393" s="750">
        <v>11</v>
      </c>
      <c r="Y393" s="750">
        <v>11</v>
      </c>
      <c r="Z393" s="1018">
        <v>11</v>
      </c>
      <c r="AA393" s="1018">
        <v>11</v>
      </c>
      <c r="AB393" s="1018">
        <v>11</v>
      </c>
      <c r="AC393" s="1018">
        <v>11</v>
      </c>
      <c r="AD393" s="1018">
        <v>11</v>
      </c>
      <c r="AE393" s="750"/>
      <c r="AF393" s="750"/>
      <c r="AG393" s="750"/>
      <c r="AK393" s="732"/>
      <c r="BB393" s="752"/>
    </row>
    <row r="394" spans="1:54" s="741" customFormat="1" hidden="1" outlineLevel="1" x14ac:dyDescent="0.35">
      <c r="A394" s="756"/>
      <c r="B394" s="756"/>
      <c r="C394" s="753"/>
      <c r="D394" s="4275"/>
      <c r="E394" s="374" t="s">
        <v>4269</v>
      </c>
      <c r="F394" s="1018">
        <v>11</v>
      </c>
      <c r="G394" s="2981" t="s">
        <v>1615</v>
      </c>
      <c r="H394" s="4294"/>
      <c r="I394" s="756"/>
      <c r="J394" s="756"/>
      <c r="K394" s="756"/>
      <c r="L394" s="756"/>
      <c r="M394" s="756"/>
      <c r="N394" s="756"/>
      <c r="O394" s="756"/>
      <c r="P394" s="756"/>
      <c r="Q394" s="756"/>
      <c r="R394" s="756"/>
      <c r="S394" s="756"/>
      <c r="T394" s="756"/>
      <c r="U394" s="756"/>
      <c r="V394" s="4279"/>
      <c r="W394" s="750">
        <v>11</v>
      </c>
      <c r="X394" s="750">
        <v>11</v>
      </c>
      <c r="Y394" s="750">
        <v>11</v>
      </c>
      <c r="Z394" s="1018">
        <v>11</v>
      </c>
      <c r="AA394" s="1018">
        <v>11</v>
      </c>
      <c r="AB394" s="1018">
        <v>11</v>
      </c>
      <c r="AC394" s="1018">
        <v>11</v>
      </c>
      <c r="AD394" s="1018">
        <v>11</v>
      </c>
      <c r="AE394" s="750"/>
      <c r="AF394" s="750"/>
      <c r="AG394" s="750"/>
      <c r="AK394" s="732"/>
      <c r="BB394" s="752"/>
    </row>
    <row r="395" spans="1:54" s="741" customFormat="1" hidden="1" outlineLevel="1" x14ac:dyDescent="0.35">
      <c r="A395" s="756"/>
      <c r="B395" s="756"/>
      <c r="C395" s="753"/>
      <c r="D395" s="4275"/>
      <c r="E395" s="368" t="s">
        <v>4270</v>
      </c>
      <c r="F395" s="1018">
        <v>11</v>
      </c>
      <c r="G395" s="2981" t="s">
        <v>1615</v>
      </c>
      <c r="H395" s="4294"/>
      <c r="I395" s="756"/>
      <c r="J395" s="756"/>
      <c r="K395" s="756"/>
      <c r="L395" s="756"/>
      <c r="M395" s="756"/>
      <c r="N395" s="756"/>
      <c r="O395" s="756"/>
      <c r="P395" s="756"/>
      <c r="Q395" s="756"/>
      <c r="R395" s="756"/>
      <c r="S395" s="756"/>
      <c r="T395" s="756"/>
      <c r="U395" s="756"/>
      <c r="V395" s="4279"/>
      <c r="W395" s="750">
        <v>11</v>
      </c>
      <c r="X395" s="750">
        <v>11</v>
      </c>
      <c r="Y395" s="750">
        <v>11</v>
      </c>
      <c r="Z395" s="1018">
        <v>11</v>
      </c>
      <c r="AA395" s="1018">
        <v>11</v>
      </c>
      <c r="AB395" s="1018">
        <v>11</v>
      </c>
      <c r="AC395" s="1018">
        <v>11</v>
      </c>
      <c r="AD395" s="1018">
        <v>11</v>
      </c>
      <c r="AE395" s="750"/>
      <c r="AF395" s="750"/>
      <c r="AG395" s="750"/>
      <c r="AK395" s="732"/>
      <c r="BB395" s="752"/>
    </row>
    <row r="396" spans="1:54" s="741" customFormat="1" hidden="1" outlineLevel="1" x14ac:dyDescent="0.35">
      <c r="A396" s="756"/>
      <c r="B396" s="756"/>
      <c r="C396" s="753"/>
      <c r="D396" s="4275"/>
      <c r="E396" s="368" t="s">
        <v>4271</v>
      </c>
      <c r="F396" s="1018">
        <v>11</v>
      </c>
      <c r="G396" s="2981" t="s">
        <v>1615</v>
      </c>
      <c r="H396" s="4294"/>
      <c r="I396" s="756"/>
      <c r="J396" s="756"/>
      <c r="K396" s="756"/>
      <c r="L396" s="756"/>
      <c r="M396" s="756"/>
      <c r="N396" s="756"/>
      <c r="O396" s="756"/>
      <c r="P396" s="756"/>
      <c r="Q396" s="756"/>
      <c r="R396" s="756"/>
      <c r="S396" s="756"/>
      <c r="T396" s="756"/>
      <c r="U396" s="756"/>
      <c r="V396" s="4279"/>
      <c r="W396" s="750">
        <v>11</v>
      </c>
      <c r="X396" s="750">
        <v>11</v>
      </c>
      <c r="Y396" s="750">
        <v>11</v>
      </c>
      <c r="Z396" s="1018">
        <v>11</v>
      </c>
      <c r="AA396" s="1018">
        <v>11</v>
      </c>
      <c r="AB396" s="1018">
        <v>11</v>
      </c>
      <c r="AC396" s="1018">
        <v>11</v>
      </c>
      <c r="AD396" s="1018">
        <v>11</v>
      </c>
      <c r="AE396" s="750"/>
      <c r="AF396" s="750"/>
      <c r="AG396" s="750"/>
      <c r="AK396" s="732"/>
      <c r="BB396" s="752"/>
    </row>
    <row r="397" spans="1:54" s="741" customFormat="1" hidden="1" outlineLevel="1" x14ac:dyDescent="0.35">
      <c r="A397" s="756"/>
      <c r="B397" s="756"/>
      <c r="C397" s="753"/>
      <c r="D397" s="4275"/>
      <c r="E397" s="1341" t="s">
        <v>4272</v>
      </c>
      <c r="F397" s="1018">
        <v>11</v>
      </c>
      <c r="G397" s="2981" t="s">
        <v>1615</v>
      </c>
      <c r="H397" s="4294"/>
      <c r="I397" s="756"/>
      <c r="J397" s="756"/>
      <c r="K397" s="756"/>
      <c r="L397" s="756"/>
      <c r="M397" s="756"/>
      <c r="N397" s="756"/>
      <c r="O397" s="756"/>
      <c r="P397" s="756"/>
      <c r="Q397" s="756"/>
      <c r="R397" s="756"/>
      <c r="S397" s="756"/>
      <c r="T397" s="756"/>
      <c r="U397" s="756"/>
      <c r="V397" s="4279"/>
      <c r="W397" s="750">
        <v>11</v>
      </c>
      <c r="X397" s="750">
        <v>11</v>
      </c>
      <c r="Y397" s="750">
        <v>11</v>
      </c>
      <c r="Z397" s="1018">
        <v>11</v>
      </c>
      <c r="AA397" s="1018">
        <v>11</v>
      </c>
      <c r="AB397" s="1018">
        <v>11</v>
      </c>
      <c r="AC397" s="1018">
        <v>11</v>
      </c>
      <c r="AD397" s="1018">
        <v>11</v>
      </c>
      <c r="AE397" s="750"/>
      <c r="AF397" s="750"/>
      <c r="AG397" s="750"/>
      <c r="AK397" s="732"/>
      <c r="BB397" s="752"/>
    </row>
    <row r="398" spans="1:54" s="741" customFormat="1" hidden="1" outlineLevel="1" x14ac:dyDescent="0.35">
      <c r="A398" s="756"/>
      <c r="B398" s="756"/>
      <c r="C398" s="753"/>
      <c r="D398" s="4275"/>
      <c r="E398" s="368" t="s">
        <v>4273</v>
      </c>
      <c r="F398" s="1018">
        <v>11</v>
      </c>
      <c r="G398" s="2981" t="s">
        <v>1615</v>
      </c>
      <c r="H398" s="4294"/>
      <c r="I398" s="756"/>
      <c r="J398" s="756"/>
      <c r="K398" s="756"/>
      <c r="L398" s="756"/>
      <c r="M398" s="756"/>
      <c r="N398" s="756"/>
      <c r="O398" s="756"/>
      <c r="P398" s="756"/>
      <c r="Q398" s="756"/>
      <c r="R398" s="756"/>
      <c r="S398" s="756"/>
      <c r="T398" s="756"/>
      <c r="U398" s="756"/>
      <c r="V398" s="4279"/>
      <c r="W398" s="750">
        <v>11</v>
      </c>
      <c r="X398" s="750">
        <v>11</v>
      </c>
      <c r="Y398" s="750">
        <v>11</v>
      </c>
      <c r="Z398" s="1018">
        <v>11</v>
      </c>
      <c r="AA398" s="1018">
        <v>11</v>
      </c>
      <c r="AB398" s="1018">
        <v>11</v>
      </c>
      <c r="AC398" s="1018">
        <v>11</v>
      </c>
      <c r="AD398" s="1018">
        <v>11</v>
      </c>
      <c r="AE398" s="750"/>
      <c r="AF398" s="750"/>
      <c r="AG398" s="750"/>
      <c r="AK398" s="732"/>
      <c r="BB398" s="752"/>
    </row>
    <row r="399" spans="1:54" s="741" customFormat="1" hidden="1" outlineLevel="1" x14ac:dyDescent="0.35">
      <c r="A399" s="756"/>
      <c r="B399" s="756"/>
      <c r="C399" s="753"/>
      <c r="D399" s="4275"/>
      <c r="E399" s="368" t="s">
        <v>4274</v>
      </c>
      <c r="F399" s="1018">
        <v>11</v>
      </c>
      <c r="G399" s="2981" t="s">
        <v>1615</v>
      </c>
      <c r="H399" s="4294"/>
      <c r="I399" s="756"/>
      <c r="J399" s="756"/>
      <c r="K399" s="756"/>
      <c r="L399" s="756"/>
      <c r="M399" s="756"/>
      <c r="N399" s="756"/>
      <c r="O399" s="756"/>
      <c r="P399" s="756"/>
      <c r="Q399" s="756"/>
      <c r="R399" s="756"/>
      <c r="S399" s="756"/>
      <c r="T399" s="756"/>
      <c r="U399" s="756"/>
      <c r="V399" s="4279"/>
      <c r="W399" s="750">
        <v>11</v>
      </c>
      <c r="X399" s="750">
        <v>11</v>
      </c>
      <c r="Y399" s="750">
        <v>11</v>
      </c>
      <c r="Z399" s="1018">
        <v>11</v>
      </c>
      <c r="AA399" s="1018">
        <v>11</v>
      </c>
      <c r="AB399" s="1018">
        <v>11</v>
      </c>
      <c r="AC399" s="1018">
        <v>11</v>
      </c>
      <c r="AD399" s="1018">
        <v>11</v>
      </c>
      <c r="AE399" s="750"/>
      <c r="AF399" s="750"/>
      <c r="AG399" s="750"/>
      <c r="AK399" s="732"/>
      <c r="BB399" s="752"/>
    </row>
    <row r="400" spans="1:54" s="741" customFormat="1" hidden="1" outlineLevel="1" x14ac:dyDescent="0.35">
      <c r="A400" s="756"/>
      <c r="B400" s="756"/>
      <c r="C400" s="753"/>
      <c r="D400" s="4275"/>
      <c r="E400" s="374" t="s">
        <v>4275</v>
      </c>
      <c r="F400" s="1018">
        <v>11</v>
      </c>
      <c r="G400" s="2981" t="s">
        <v>1615</v>
      </c>
      <c r="H400" s="4294"/>
      <c r="I400" s="756"/>
      <c r="J400" s="756"/>
      <c r="K400" s="756"/>
      <c r="L400" s="756"/>
      <c r="M400" s="756"/>
      <c r="N400" s="756"/>
      <c r="O400" s="756"/>
      <c r="P400" s="756"/>
      <c r="Q400" s="756"/>
      <c r="R400" s="756"/>
      <c r="S400" s="756"/>
      <c r="T400" s="756"/>
      <c r="U400" s="756"/>
      <c r="V400" s="4279"/>
      <c r="W400" s="750">
        <v>11</v>
      </c>
      <c r="X400" s="750">
        <v>11</v>
      </c>
      <c r="Y400" s="750">
        <v>11</v>
      </c>
      <c r="Z400" s="1018">
        <v>11</v>
      </c>
      <c r="AA400" s="1018">
        <v>11</v>
      </c>
      <c r="AB400" s="1018">
        <v>11</v>
      </c>
      <c r="AC400" s="1018">
        <v>11</v>
      </c>
      <c r="AD400" s="1018">
        <v>11</v>
      </c>
      <c r="AE400" s="750"/>
      <c r="AF400" s="750"/>
      <c r="AG400" s="750"/>
      <c r="AK400" s="732"/>
      <c r="BB400" s="752"/>
    </row>
    <row r="401" spans="1:54" s="741" customFormat="1" hidden="1" outlineLevel="1" x14ac:dyDescent="0.35">
      <c r="A401" s="756"/>
      <c r="B401" s="756"/>
      <c r="C401" s="753"/>
      <c r="D401" s="4275"/>
      <c r="E401" s="368" t="s">
        <v>4276</v>
      </c>
      <c r="F401" s="1018">
        <v>11</v>
      </c>
      <c r="G401" s="2981" t="s">
        <v>1615</v>
      </c>
      <c r="H401" s="4294"/>
      <c r="I401" s="756"/>
      <c r="J401" s="756"/>
      <c r="K401" s="756"/>
      <c r="L401" s="756"/>
      <c r="M401" s="756"/>
      <c r="N401" s="756"/>
      <c r="O401" s="756"/>
      <c r="P401" s="756"/>
      <c r="Q401" s="756"/>
      <c r="R401" s="756"/>
      <c r="S401" s="756"/>
      <c r="T401" s="756"/>
      <c r="U401" s="756"/>
      <c r="V401" s="4279"/>
      <c r="W401" s="750">
        <v>11</v>
      </c>
      <c r="X401" s="750">
        <v>11</v>
      </c>
      <c r="Y401" s="750">
        <v>11</v>
      </c>
      <c r="Z401" s="1018">
        <v>11</v>
      </c>
      <c r="AA401" s="1018">
        <v>11</v>
      </c>
      <c r="AB401" s="1018">
        <v>11</v>
      </c>
      <c r="AC401" s="1018">
        <v>11</v>
      </c>
      <c r="AD401" s="1018">
        <v>11</v>
      </c>
      <c r="AE401" s="750"/>
      <c r="AF401" s="750"/>
      <c r="AG401" s="750"/>
      <c r="AK401" s="732"/>
      <c r="BB401" s="752"/>
    </row>
    <row r="402" spans="1:54" s="741" customFormat="1" hidden="1" outlineLevel="1" x14ac:dyDescent="0.35">
      <c r="A402" s="756"/>
      <c r="B402" s="756"/>
      <c r="C402" s="753"/>
      <c r="D402" s="4292"/>
      <c r="E402" s="374" t="s">
        <v>4277</v>
      </c>
      <c r="F402" s="1355">
        <v>11</v>
      </c>
      <c r="G402" s="2981" t="s">
        <v>1615</v>
      </c>
      <c r="H402" s="4294"/>
      <c r="I402" s="756"/>
      <c r="J402" s="756"/>
      <c r="K402" s="756"/>
      <c r="L402" s="756"/>
      <c r="M402" s="756"/>
      <c r="N402" s="756"/>
      <c r="O402" s="756"/>
      <c r="P402" s="756"/>
      <c r="Q402" s="756"/>
      <c r="R402" s="756"/>
      <c r="S402" s="756"/>
      <c r="T402" s="756"/>
      <c r="U402" s="756"/>
      <c r="V402" s="4279"/>
      <c r="W402" s="766">
        <v>11</v>
      </c>
      <c r="X402" s="766">
        <v>11</v>
      </c>
      <c r="Y402" s="766">
        <v>11</v>
      </c>
      <c r="Z402" s="1355">
        <v>11</v>
      </c>
      <c r="AA402" s="1355">
        <v>11</v>
      </c>
      <c r="AB402" s="1355">
        <v>11</v>
      </c>
      <c r="AC402" s="1355">
        <v>11</v>
      </c>
      <c r="AD402" s="1355">
        <v>11</v>
      </c>
      <c r="AE402" s="766"/>
      <c r="AF402" s="766"/>
      <c r="AG402" s="766"/>
      <c r="AK402" s="732"/>
      <c r="BB402" s="752"/>
    </row>
    <row r="403" spans="1:54" s="741" customFormat="1" hidden="1" outlineLevel="1" x14ac:dyDescent="0.35">
      <c r="A403" s="756"/>
      <c r="B403" s="756"/>
      <c r="C403" s="753"/>
      <c r="D403" s="4275"/>
      <c r="E403" s="368" t="s">
        <v>4278</v>
      </c>
      <c r="F403" s="1356">
        <v>11</v>
      </c>
      <c r="G403" s="2981" t="s">
        <v>1615</v>
      </c>
      <c r="H403" s="4294"/>
      <c r="I403" s="756"/>
      <c r="J403" s="756"/>
      <c r="K403" s="756"/>
      <c r="L403" s="756"/>
      <c r="M403" s="756"/>
      <c r="N403" s="756"/>
      <c r="O403" s="756"/>
      <c r="P403" s="756"/>
      <c r="Q403" s="756"/>
      <c r="R403" s="756"/>
      <c r="S403" s="756"/>
      <c r="T403" s="756"/>
      <c r="U403" s="756"/>
      <c r="V403" s="4279"/>
      <c r="W403" s="767">
        <v>11</v>
      </c>
      <c r="X403" s="767">
        <v>11</v>
      </c>
      <c r="Y403" s="767">
        <v>11</v>
      </c>
      <c r="Z403" s="1356">
        <v>11</v>
      </c>
      <c r="AA403" s="1356">
        <v>11</v>
      </c>
      <c r="AB403" s="1356">
        <v>11</v>
      </c>
      <c r="AC403" s="1356">
        <v>11</v>
      </c>
      <c r="AD403" s="1356">
        <v>11</v>
      </c>
      <c r="AE403" s="767"/>
      <c r="AF403" s="767"/>
      <c r="AG403" s="767"/>
      <c r="AK403" s="732"/>
      <c r="BB403" s="752"/>
    </row>
    <row r="404" spans="1:54" s="741" customFormat="1" hidden="1" outlineLevel="1" x14ac:dyDescent="0.35">
      <c r="A404" s="756"/>
      <c r="B404" s="756"/>
      <c r="C404" s="753"/>
      <c r="D404" s="4275"/>
      <c r="E404" s="368" t="s">
        <v>4279</v>
      </c>
      <c r="F404" s="1356">
        <v>11</v>
      </c>
      <c r="G404" s="2981" t="s">
        <v>1615</v>
      </c>
      <c r="H404" s="4294"/>
      <c r="I404" s="756"/>
      <c r="J404" s="756"/>
      <c r="K404" s="756"/>
      <c r="L404" s="756"/>
      <c r="M404" s="756"/>
      <c r="N404" s="756"/>
      <c r="O404" s="756"/>
      <c r="P404" s="756"/>
      <c r="Q404" s="756"/>
      <c r="R404" s="756"/>
      <c r="S404" s="756"/>
      <c r="T404" s="756"/>
      <c r="U404" s="756"/>
      <c r="V404" s="4279"/>
      <c r="W404" s="767">
        <v>11</v>
      </c>
      <c r="X404" s="767">
        <v>11</v>
      </c>
      <c r="Y404" s="767">
        <v>11</v>
      </c>
      <c r="Z404" s="1356">
        <v>11</v>
      </c>
      <c r="AA404" s="1356">
        <v>11</v>
      </c>
      <c r="AB404" s="1356">
        <v>11</v>
      </c>
      <c r="AC404" s="1356">
        <v>11</v>
      </c>
      <c r="AD404" s="1356">
        <v>11</v>
      </c>
      <c r="AE404" s="767"/>
      <c r="AF404" s="767"/>
      <c r="AG404" s="767"/>
      <c r="AK404" s="732"/>
      <c r="BB404" s="752"/>
    </row>
    <row r="405" spans="1:54" s="741" customFormat="1" hidden="1" outlineLevel="1" x14ac:dyDescent="0.35">
      <c r="A405" s="756"/>
      <c r="B405" s="756"/>
      <c r="C405" s="753"/>
      <c r="D405" s="4275"/>
      <c r="E405" s="368" t="s">
        <v>4280</v>
      </c>
      <c r="F405" s="1356">
        <v>11</v>
      </c>
      <c r="G405" s="2981" t="s">
        <v>1615</v>
      </c>
      <c r="H405" s="4294"/>
      <c r="I405" s="756"/>
      <c r="J405" s="756"/>
      <c r="K405" s="756"/>
      <c r="L405" s="756"/>
      <c r="M405" s="756"/>
      <c r="N405" s="756"/>
      <c r="O405" s="756"/>
      <c r="P405" s="756"/>
      <c r="Q405" s="756"/>
      <c r="R405" s="756"/>
      <c r="S405" s="756"/>
      <c r="T405" s="756"/>
      <c r="U405" s="756"/>
      <c r="V405" s="4279"/>
      <c r="W405" s="767">
        <v>11</v>
      </c>
      <c r="X405" s="767">
        <v>11</v>
      </c>
      <c r="Y405" s="767">
        <v>11</v>
      </c>
      <c r="Z405" s="1356">
        <v>11</v>
      </c>
      <c r="AA405" s="1356">
        <v>11</v>
      </c>
      <c r="AB405" s="1356">
        <v>11</v>
      </c>
      <c r="AC405" s="1356">
        <v>11</v>
      </c>
      <c r="AD405" s="1356">
        <v>11</v>
      </c>
      <c r="AE405" s="767"/>
      <c r="AF405" s="767"/>
      <c r="AG405" s="767"/>
      <c r="AK405" s="732"/>
      <c r="BB405" s="752"/>
    </row>
    <row r="406" spans="1:54" s="741" customFormat="1" hidden="1" outlineLevel="1" x14ac:dyDescent="0.35">
      <c r="A406" s="756"/>
      <c r="B406" s="756"/>
      <c r="C406" s="753"/>
      <c r="D406" s="4275"/>
      <c r="E406" s="374" t="s">
        <v>4281</v>
      </c>
      <c r="F406" s="1356">
        <v>11</v>
      </c>
      <c r="G406" s="2981" t="s">
        <v>1615</v>
      </c>
      <c r="H406" s="4294"/>
      <c r="I406" s="756"/>
      <c r="J406" s="756"/>
      <c r="K406" s="756"/>
      <c r="L406" s="756"/>
      <c r="M406" s="756"/>
      <c r="N406" s="756"/>
      <c r="O406" s="756"/>
      <c r="P406" s="756"/>
      <c r="Q406" s="756"/>
      <c r="R406" s="756"/>
      <c r="S406" s="756"/>
      <c r="T406" s="756"/>
      <c r="U406" s="756"/>
      <c r="V406" s="4279"/>
      <c r="W406" s="767">
        <v>11</v>
      </c>
      <c r="X406" s="767">
        <v>11</v>
      </c>
      <c r="Y406" s="767">
        <v>11</v>
      </c>
      <c r="Z406" s="1356">
        <v>11</v>
      </c>
      <c r="AA406" s="1356">
        <v>11</v>
      </c>
      <c r="AB406" s="1356">
        <v>11</v>
      </c>
      <c r="AC406" s="1356">
        <v>11</v>
      </c>
      <c r="AD406" s="1356">
        <v>11</v>
      </c>
      <c r="AE406" s="767"/>
      <c r="AF406" s="767"/>
      <c r="AG406" s="767"/>
      <c r="AK406" s="732"/>
      <c r="BB406" s="752"/>
    </row>
    <row r="407" spans="1:54" s="741" customFormat="1" hidden="1" outlineLevel="1" x14ac:dyDescent="0.35">
      <c r="A407" s="756"/>
      <c r="B407" s="756"/>
      <c r="C407" s="753"/>
      <c r="D407" s="4275"/>
      <c r="E407" s="368" t="s">
        <v>4282</v>
      </c>
      <c r="F407" s="1356">
        <v>11</v>
      </c>
      <c r="G407" s="2981" t="s">
        <v>1615</v>
      </c>
      <c r="H407" s="4294"/>
      <c r="I407" s="756"/>
      <c r="J407" s="756"/>
      <c r="K407" s="756"/>
      <c r="L407" s="756"/>
      <c r="M407" s="756"/>
      <c r="N407" s="756"/>
      <c r="O407" s="756"/>
      <c r="P407" s="756"/>
      <c r="Q407" s="756"/>
      <c r="R407" s="756"/>
      <c r="S407" s="756"/>
      <c r="T407" s="756"/>
      <c r="U407" s="756"/>
      <c r="V407" s="4279"/>
      <c r="W407" s="767">
        <v>11</v>
      </c>
      <c r="X407" s="767">
        <v>11</v>
      </c>
      <c r="Y407" s="767">
        <v>11</v>
      </c>
      <c r="Z407" s="1356">
        <v>11</v>
      </c>
      <c r="AA407" s="1356">
        <v>11</v>
      </c>
      <c r="AB407" s="1356">
        <v>11</v>
      </c>
      <c r="AC407" s="1356">
        <v>11</v>
      </c>
      <c r="AD407" s="1356">
        <v>11</v>
      </c>
      <c r="AE407" s="767"/>
      <c r="AF407" s="767"/>
      <c r="AG407" s="767"/>
      <c r="AK407" s="732"/>
      <c r="BB407" s="752"/>
    </row>
    <row r="408" spans="1:54" s="741" customFormat="1" hidden="1" outlineLevel="1" x14ac:dyDescent="0.35">
      <c r="A408" s="756"/>
      <c r="B408" s="756"/>
      <c r="C408" s="753"/>
      <c r="D408" s="4275"/>
      <c r="E408" s="374" t="s">
        <v>4283</v>
      </c>
      <c r="F408" s="1356">
        <v>11</v>
      </c>
      <c r="G408" s="2981" t="s">
        <v>1615</v>
      </c>
      <c r="H408" s="4294"/>
      <c r="I408" s="756"/>
      <c r="J408" s="756"/>
      <c r="K408" s="756"/>
      <c r="L408" s="756"/>
      <c r="M408" s="756"/>
      <c r="N408" s="756"/>
      <c r="O408" s="756"/>
      <c r="P408" s="756"/>
      <c r="Q408" s="756"/>
      <c r="R408" s="756"/>
      <c r="S408" s="756"/>
      <c r="T408" s="756"/>
      <c r="U408" s="756"/>
      <c r="V408" s="4279"/>
      <c r="W408" s="767">
        <v>11</v>
      </c>
      <c r="X408" s="767">
        <v>11</v>
      </c>
      <c r="Y408" s="767">
        <v>11</v>
      </c>
      <c r="Z408" s="1356">
        <v>11</v>
      </c>
      <c r="AA408" s="1356">
        <v>11</v>
      </c>
      <c r="AB408" s="1356">
        <v>11</v>
      </c>
      <c r="AC408" s="1356">
        <v>11</v>
      </c>
      <c r="AD408" s="1356">
        <v>11</v>
      </c>
      <c r="AE408" s="767"/>
      <c r="AF408" s="767"/>
      <c r="AG408" s="767"/>
      <c r="AK408" s="732"/>
      <c r="BB408" s="752"/>
    </row>
    <row r="409" spans="1:54" s="741" customFormat="1" hidden="1" outlineLevel="1" x14ac:dyDescent="0.35">
      <c r="A409" s="756"/>
      <c r="B409" s="756"/>
      <c r="C409" s="753"/>
      <c r="D409" s="4275"/>
      <c r="E409" s="368" t="s">
        <v>4284</v>
      </c>
      <c r="F409" s="1356">
        <v>11</v>
      </c>
      <c r="G409" s="2981" t="s">
        <v>1615</v>
      </c>
      <c r="H409" s="4294"/>
      <c r="I409" s="756"/>
      <c r="J409" s="756"/>
      <c r="K409" s="756"/>
      <c r="L409" s="756"/>
      <c r="M409" s="756"/>
      <c r="N409" s="756"/>
      <c r="O409" s="756"/>
      <c r="P409" s="756"/>
      <c r="Q409" s="756"/>
      <c r="R409" s="756"/>
      <c r="S409" s="756"/>
      <c r="T409" s="756"/>
      <c r="U409" s="756"/>
      <c r="V409" s="4279"/>
      <c r="W409" s="767">
        <v>11</v>
      </c>
      <c r="X409" s="767">
        <v>11</v>
      </c>
      <c r="Y409" s="767">
        <v>11</v>
      </c>
      <c r="Z409" s="1356">
        <v>11</v>
      </c>
      <c r="AA409" s="1356">
        <v>11</v>
      </c>
      <c r="AB409" s="1356">
        <v>11</v>
      </c>
      <c r="AC409" s="1356">
        <v>11</v>
      </c>
      <c r="AD409" s="1356">
        <v>11</v>
      </c>
      <c r="AE409" s="767"/>
      <c r="AF409" s="767"/>
      <c r="AG409" s="767"/>
      <c r="AK409" s="732"/>
      <c r="BB409" s="752"/>
    </row>
    <row r="410" spans="1:54" s="741" customFormat="1" hidden="1" outlineLevel="1" x14ac:dyDescent="0.35">
      <c r="A410" s="756"/>
      <c r="B410" s="756"/>
      <c r="C410" s="753"/>
      <c r="D410" s="4275"/>
      <c r="E410" s="368" t="s">
        <v>4285</v>
      </c>
      <c r="F410" s="1356">
        <v>11</v>
      </c>
      <c r="G410" s="2981" t="s">
        <v>1615</v>
      </c>
      <c r="H410" s="4294"/>
      <c r="I410" s="756"/>
      <c r="J410" s="756"/>
      <c r="K410" s="756"/>
      <c r="L410" s="756"/>
      <c r="M410" s="756"/>
      <c r="N410" s="756"/>
      <c r="O410" s="756"/>
      <c r="P410" s="756"/>
      <c r="Q410" s="756"/>
      <c r="R410" s="756"/>
      <c r="S410" s="756"/>
      <c r="T410" s="756"/>
      <c r="U410" s="756"/>
      <c r="V410" s="4279"/>
      <c r="W410" s="767">
        <v>11</v>
      </c>
      <c r="X410" s="767">
        <v>11</v>
      </c>
      <c r="Y410" s="767">
        <v>11</v>
      </c>
      <c r="Z410" s="1356">
        <v>11</v>
      </c>
      <c r="AA410" s="1356">
        <v>11</v>
      </c>
      <c r="AB410" s="1356">
        <v>11</v>
      </c>
      <c r="AC410" s="1356">
        <v>11</v>
      </c>
      <c r="AD410" s="1356">
        <v>11</v>
      </c>
      <c r="AE410" s="767"/>
      <c r="AF410" s="767"/>
      <c r="AG410" s="767"/>
      <c r="AK410" s="732"/>
      <c r="BB410" s="752"/>
    </row>
    <row r="411" spans="1:54" s="741" customFormat="1" hidden="1" outlineLevel="1" x14ac:dyDescent="0.35">
      <c r="A411" s="756"/>
      <c r="B411" s="756"/>
      <c r="C411" s="753"/>
      <c r="D411" s="4275"/>
      <c r="E411" s="368" t="s">
        <v>4286</v>
      </c>
      <c r="F411" s="1356">
        <v>11</v>
      </c>
      <c r="G411" s="2981" t="s">
        <v>1615</v>
      </c>
      <c r="H411" s="4294"/>
      <c r="I411" s="756"/>
      <c r="J411" s="756"/>
      <c r="K411" s="756"/>
      <c r="L411" s="756"/>
      <c r="M411" s="756"/>
      <c r="N411" s="756"/>
      <c r="O411" s="756"/>
      <c r="P411" s="756"/>
      <c r="Q411" s="756"/>
      <c r="R411" s="756"/>
      <c r="S411" s="756"/>
      <c r="T411" s="756"/>
      <c r="U411" s="756"/>
      <c r="V411" s="4279"/>
      <c r="W411" s="767">
        <v>11</v>
      </c>
      <c r="X411" s="767">
        <v>11</v>
      </c>
      <c r="Y411" s="767">
        <v>11</v>
      </c>
      <c r="Z411" s="1356">
        <v>11</v>
      </c>
      <c r="AA411" s="1356">
        <v>11</v>
      </c>
      <c r="AB411" s="1356">
        <v>11</v>
      </c>
      <c r="AC411" s="1356">
        <v>11</v>
      </c>
      <c r="AD411" s="1356">
        <v>11</v>
      </c>
      <c r="AE411" s="767"/>
      <c r="AF411" s="767"/>
      <c r="AG411" s="767"/>
      <c r="AK411" s="732"/>
      <c r="BB411" s="752"/>
    </row>
    <row r="412" spans="1:54" s="741" customFormat="1" hidden="1" outlineLevel="1" x14ac:dyDescent="0.35">
      <c r="A412" s="756"/>
      <c r="B412" s="756"/>
      <c r="C412" s="753"/>
      <c r="D412" s="4275"/>
      <c r="E412" s="374" t="s">
        <v>4287</v>
      </c>
      <c r="F412" s="1356">
        <v>11</v>
      </c>
      <c r="G412" s="2981" t="s">
        <v>1615</v>
      </c>
      <c r="H412" s="4294"/>
      <c r="I412" s="756"/>
      <c r="J412" s="756"/>
      <c r="K412" s="756"/>
      <c r="L412" s="756"/>
      <c r="M412" s="756"/>
      <c r="N412" s="756"/>
      <c r="O412" s="756"/>
      <c r="P412" s="756"/>
      <c r="Q412" s="756"/>
      <c r="R412" s="756"/>
      <c r="S412" s="756"/>
      <c r="T412" s="756"/>
      <c r="U412" s="756"/>
      <c r="V412" s="4279"/>
      <c r="W412" s="767">
        <v>11</v>
      </c>
      <c r="X412" s="767">
        <v>11</v>
      </c>
      <c r="Y412" s="767">
        <v>11</v>
      </c>
      <c r="Z412" s="1356">
        <v>11</v>
      </c>
      <c r="AA412" s="1356">
        <v>11</v>
      </c>
      <c r="AB412" s="1356">
        <v>11</v>
      </c>
      <c r="AC412" s="1356">
        <v>11</v>
      </c>
      <c r="AD412" s="1356">
        <v>11</v>
      </c>
      <c r="AE412" s="767"/>
      <c r="AF412" s="767"/>
      <c r="AG412" s="767"/>
      <c r="AK412" s="732"/>
      <c r="BB412" s="752"/>
    </row>
    <row r="413" spans="1:54" s="741" customFormat="1" hidden="1" outlineLevel="1" x14ac:dyDescent="0.35">
      <c r="A413" s="756"/>
      <c r="B413" s="756"/>
      <c r="C413" s="753"/>
      <c r="D413" s="4275"/>
      <c r="E413" s="368" t="s">
        <v>4288</v>
      </c>
      <c r="F413" s="1356">
        <v>11</v>
      </c>
      <c r="G413" s="2981" t="s">
        <v>1615</v>
      </c>
      <c r="H413" s="4294"/>
      <c r="I413" s="756"/>
      <c r="J413" s="756"/>
      <c r="K413" s="756"/>
      <c r="L413" s="756"/>
      <c r="M413" s="756"/>
      <c r="N413" s="756"/>
      <c r="O413" s="756"/>
      <c r="P413" s="756"/>
      <c r="Q413" s="756"/>
      <c r="R413" s="756"/>
      <c r="S413" s="756"/>
      <c r="T413" s="756"/>
      <c r="U413" s="756"/>
      <c r="V413" s="4279"/>
      <c r="W413" s="767">
        <v>11</v>
      </c>
      <c r="X413" s="767">
        <v>11</v>
      </c>
      <c r="Y413" s="767">
        <v>11</v>
      </c>
      <c r="Z413" s="1356">
        <v>11</v>
      </c>
      <c r="AA413" s="1356">
        <v>11</v>
      </c>
      <c r="AB413" s="1356">
        <v>11</v>
      </c>
      <c r="AC413" s="1356">
        <v>11</v>
      </c>
      <c r="AD413" s="1356">
        <v>11</v>
      </c>
      <c r="AE413" s="767"/>
      <c r="AF413" s="767"/>
      <c r="AG413" s="767"/>
      <c r="AK413" s="732"/>
      <c r="BB413" s="752"/>
    </row>
    <row r="414" spans="1:54" s="741" customFormat="1" hidden="1" outlineLevel="1" x14ac:dyDescent="0.35">
      <c r="A414" s="756"/>
      <c r="B414" s="756"/>
      <c r="C414" s="753"/>
      <c r="D414" s="4275"/>
      <c r="E414" s="374" t="s">
        <v>4289</v>
      </c>
      <c r="F414" s="1356">
        <v>11</v>
      </c>
      <c r="G414" s="2981" t="s">
        <v>1615</v>
      </c>
      <c r="H414" s="4294"/>
      <c r="I414" s="756"/>
      <c r="J414" s="756"/>
      <c r="K414" s="756"/>
      <c r="L414" s="756"/>
      <c r="M414" s="756"/>
      <c r="N414" s="756"/>
      <c r="O414" s="756"/>
      <c r="P414" s="756"/>
      <c r="Q414" s="756"/>
      <c r="R414" s="756"/>
      <c r="S414" s="756"/>
      <c r="T414" s="756"/>
      <c r="U414" s="756"/>
      <c r="V414" s="4279"/>
      <c r="W414" s="767">
        <v>11</v>
      </c>
      <c r="X414" s="767">
        <v>11</v>
      </c>
      <c r="Y414" s="767">
        <v>11</v>
      </c>
      <c r="Z414" s="1356">
        <v>11</v>
      </c>
      <c r="AA414" s="1356">
        <v>11</v>
      </c>
      <c r="AB414" s="1356">
        <v>11</v>
      </c>
      <c r="AC414" s="1356">
        <v>11</v>
      </c>
      <c r="AD414" s="1356">
        <v>11</v>
      </c>
      <c r="AE414" s="767"/>
      <c r="AF414" s="767"/>
      <c r="AG414" s="767"/>
      <c r="AK414" s="732"/>
      <c r="BB414" s="752"/>
    </row>
    <row r="415" spans="1:54" s="741" customFormat="1" ht="15" hidden="1" outlineLevel="1" thickBot="1" x14ac:dyDescent="0.4">
      <c r="A415" s="756"/>
      <c r="B415" s="756"/>
      <c r="C415" s="753"/>
      <c r="D415" s="4287"/>
      <c r="E415" s="1936" t="s">
        <v>4290</v>
      </c>
      <c r="F415" s="3162">
        <v>11</v>
      </c>
      <c r="G415" s="1946" t="s">
        <v>1615</v>
      </c>
      <c r="H415" s="4295"/>
      <c r="I415" s="756"/>
      <c r="J415" s="756"/>
      <c r="K415" s="756"/>
      <c r="L415" s="756"/>
      <c r="M415" s="756"/>
      <c r="N415" s="756"/>
      <c r="O415" s="756"/>
      <c r="P415" s="756"/>
      <c r="Q415" s="756"/>
      <c r="R415" s="756"/>
      <c r="S415" s="756"/>
      <c r="T415" s="756"/>
      <c r="U415" s="756"/>
      <c r="V415" s="4288"/>
      <c r="W415" s="750">
        <v>11</v>
      </c>
      <c r="X415" s="750">
        <v>11</v>
      </c>
      <c r="Y415" s="750">
        <v>11</v>
      </c>
      <c r="Z415" s="1018">
        <v>11</v>
      </c>
      <c r="AA415" s="1018">
        <v>11</v>
      </c>
      <c r="AB415" s="1018">
        <v>11</v>
      </c>
      <c r="AC415" s="1018">
        <v>11</v>
      </c>
      <c r="AD415" s="1018">
        <v>11</v>
      </c>
      <c r="AE415" s="750"/>
      <c r="AF415" s="750"/>
      <c r="AG415" s="750"/>
      <c r="AK415" s="732"/>
      <c r="BB415" s="752"/>
    </row>
    <row r="416" spans="1:54" s="741" customFormat="1" ht="15" hidden="1" outlineLevel="1" thickBot="1" x14ac:dyDescent="0.4">
      <c r="A416" s="756"/>
      <c r="B416" s="756"/>
      <c r="C416" s="753"/>
      <c r="D416" s="3163" t="str">
        <f>D43</f>
        <v>EUL</v>
      </c>
      <c r="E416" s="3164" t="s">
        <v>134</v>
      </c>
      <c r="F416" s="3165">
        <v>25</v>
      </c>
      <c r="G416" s="2655"/>
      <c r="H416" s="3166"/>
      <c r="I416" s="375"/>
      <c r="J416" s="756"/>
      <c r="K416" s="756"/>
      <c r="L416" s="756"/>
      <c r="M416" s="756"/>
      <c r="N416" s="756"/>
      <c r="O416" s="756"/>
      <c r="P416" s="756"/>
      <c r="Q416" s="756"/>
      <c r="R416" s="756"/>
      <c r="S416" s="756"/>
      <c r="T416" s="756"/>
      <c r="U416" s="756"/>
      <c r="V416" s="769" t="str">
        <f>D416</f>
        <v>EUL</v>
      </c>
      <c r="W416" s="770">
        <v>25</v>
      </c>
      <c r="X416" s="770">
        <v>25</v>
      </c>
      <c r="Y416" s="770">
        <v>25</v>
      </c>
      <c r="Z416" s="794">
        <v>25</v>
      </c>
      <c r="AA416" s="794">
        <v>25</v>
      </c>
      <c r="AB416" s="794">
        <v>25</v>
      </c>
      <c r="AC416" s="825">
        <v>25</v>
      </c>
      <c r="AD416" s="825">
        <v>25</v>
      </c>
      <c r="AE416" s="770"/>
      <c r="AF416" s="770"/>
      <c r="AG416" s="770"/>
      <c r="AK416" s="732"/>
      <c r="BB416" s="752"/>
    </row>
    <row r="417" spans="1:54" s="741" customFormat="1" hidden="1" outlineLevel="1" x14ac:dyDescent="0.35">
      <c r="A417" s="756"/>
      <c r="B417" s="756"/>
      <c r="C417" s="753"/>
      <c r="D417" s="4274" t="str">
        <f>D115</f>
        <v>Inc. Cost</v>
      </c>
      <c r="E417" s="3155" t="s">
        <v>4261</v>
      </c>
      <c r="F417" s="2467">
        <f>1860.46/(1347*0.65)</f>
        <v>2.1249043458397576</v>
      </c>
      <c r="G417" s="4296" t="s">
        <v>1577</v>
      </c>
      <c r="H417" s="3157" t="s">
        <v>1616</v>
      </c>
      <c r="I417" s="375">
        <f>0.65*1347</f>
        <v>875.55000000000007</v>
      </c>
      <c r="J417" s="756"/>
      <c r="K417" s="756"/>
      <c r="L417" s="756"/>
      <c r="M417" s="756"/>
      <c r="N417" s="756"/>
      <c r="O417" s="756"/>
      <c r="P417" s="756"/>
      <c r="Q417" s="756"/>
      <c r="R417" s="756"/>
      <c r="S417" s="756"/>
      <c r="T417" s="756"/>
      <c r="U417" s="756"/>
      <c r="V417" s="4299" t="str">
        <f>D417</f>
        <v>Inc. Cost</v>
      </c>
      <c r="W417" s="772">
        <v>1860.46</v>
      </c>
      <c r="X417" s="772">
        <v>1860.46</v>
      </c>
      <c r="Y417" s="567">
        <v>2.1249043458397576</v>
      </c>
      <c r="Z417" s="387">
        <v>2.1249043458397576</v>
      </c>
      <c r="AA417" s="387">
        <v>2.1249043458397576</v>
      </c>
      <c r="AB417" s="387">
        <v>2.1249043458397576</v>
      </c>
      <c r="AC417" s="387">
        <v>2.1249043458397576</v>
      </c>
      <c r="AD417" s="387">
        <v>2.1249043458397576</v>
      </c>
      <c r="AE417" s="772"/>
      <c r="AF417" s="772"/>
      <c r="AG417" s="772"/>
      <c r="AK417" s="732"/>
      <c r="BB417" s="752"/>
    </row>
    <row r="418" spans="1:54" s="741" customFormat="1" hidden="1" outlineLevel="1" x14ac:dyDescent="0.35">
      <c r="A418" s="756"/>
      <c r="B418" s="756"/>
      <c r="C418" s="753"/>
      <c r="D418" s="4275"/>
      <c r="E418" s="368" t="s">
        <v>4262</v>
      </c>
      <c r="F418" s="387">
        <f>1860.46/(1347*0.65)</f>
        <v>2.1249043458397576</v>
      </c>
      <c r="G418" s="3766"/>
      <c r="H418" s="3158" t="s">
        <v>1616</v>
      </c>
      <c r="I418" s="375">
        <f>0.65*1347</f>
        <v>875.55000000000007</v>
      </c>
      <c r="J418" s="756"/>
      <c r="K418" s="756"/>
      <c r="L418" s="756"/>
      <c r="M418" s="756"/>
      <c r="N418" s="756"/>
      <c r="O418" s="756"/>
      <c r="P418" s="756"/>
      <c r="Q418" s="756"/>
      <c r="R418" s="756"/>
      <c r="S418" s="756"/>
      <c r="T418" s="756"/>
      <c r="U418" s="756"/>
      <c r="V418" s="4300"/>
      <c r="W418" s="772">
        <v>1860.46</v>
      </c>
      <c r="X418" s="772">
        <v>1860.46</v>
      </c>
      <c r="Y418" s="567">
        <v>2.1249043458397576</v>
      </c>
      <c r="Z418" s="387">
        <v>2.1249043458397576</v>
      </c>
      <c r="AA418" s="387">
        <v>2.1249043458397576</v>
      </c>
      <c r="AB418" s="387">
        <v>2.1249043458397576</v>
      </c>
      <c r="AC418" s="387">
        <v>2.1249043458397576</v>
      </c>
      <c r="AD418" s="387">
        <v>2.1249043458397576</v>
      </c>
      <c r="AE418" s="772"/>
      <c r="AF418" s="772"/>
      <c r="AG418" s="772"/>
      <c r="AK418" s="732"/>
      <c r="BB418" s="752"/>
    </row>
    <row r="419" spans="1:54" s="741" customFormat="1" hidden="1" outlineLevel="1" x14ac:dyDescent="0.35">
      <c r="A419" s="756"/>
      <c r="B419" s="756"/>
      <c r="C419" s="753"/>
      <c r="D419" s="4275"/>
      <c r="E419" s="368" t="s">
        <v>4263</v>
      </c>
      <c r="F419" s="387">
        <f>1860.46/(1347*0.65)</f>
        <v>2.1249043458397576</v>
      </c>
      <c r="G419" s="3766"/>
      <c r="H419" s="3158" t="s">
        <v>1616</v>
      </c>
      <c r="I419" s="375">
        <f>0.65*1347</f>
        <v>875.55000000000007</v>
      </c>
      <c r="J419" s="756"/>
      <c r="K419" s="756"/>
      <c r="L419" s="756"/>
      <c r="M419" s="756"/>
      <c r="N419" s="756"/>
      <c r="O419" s="756"/>
      <c r="P419" s="756"/>
      <c r="Q419" s="756"/>
      <c r="R419" s="756"/>
      <c r="S419" s="756"/>
      <c r="T419" s="756"/>
      <c r="U419" s="756"/>
      <c r="V419" s="4300"/>
      <c r="W419" s="772">
        <v>1860.46</v>
      </c>
      <c r="X419" s="772">
        <v>1860.46</v>
      </c>
      <c r="Y419" s="567">
        <v>2.1249043458397576</v>
      </c>
      <c r="Z419" s="387">
        <v>2.1249043458397576</v>
      </c>
      <c r="AA419" s="387">
        <v>2.1249043458397576</v>
      </c>
      <c r="AB419" s="387">
        <v>2.1249043458397576</v>
      </c>
      <c r="AC419" s="387">
        <v>2.1249043458397576</v>
      </c>
      <c r="AD419" s="387">
        <v>2.1249043458397576</v>
      </c>
      <c r="AE419" s="772"/>
      <c r="AF419" s="772"/>
      <c r="AG419" s="772"/>
      <c r="AK419" s="732"/>
      <c r="BB419" s="752"/>
    </row>
    <row r="420" spans="1:54" s="741" customFormat="1" hidden="1" outlineLevel="1" x14ac:dyDescent="0.35">
      <c r="A420" s="756"/>
      <c r="B420" s="756"/>
      <c r="C420" s="753"/>
      <c r="D420" s="4275"/>
      <c r="E420" s="368" t="s">
        <v>4264</v>
      </c>
      <c r="F420" s="387">
        <f>2862.25/1347</f>
        <v>2.1249072011878249</v>
      </c>
      <c r="G420" s="3766"/>
      <c r="H420" s="3158" t="s">
        <v>1617</v>
      </c>
      <c r="I420" s="375">
        <v>1347</v>
      </c>
      <c r="J420" s="756"/>
      <c r="K420" s="756"/>
      <c r="L420" s="756"/>
      <c r="M420" s="756"/>
      <c r="N420" s="756"/>
      <c r="O420" s="756"/>
      <c r="P420" s="756"/>
      <c r="Q420" s="756"/>
      <c r="R420" s="756"/>
      <c r="S420" s="756"/>
      <c r="T420" s="756"/>
      <c r="U420" s="756"/>
      <c r="V420" s="4300"/>
      <c r="W420" s="772">
        <v>2862.25</v>
      </c>
      <c r="X420" s="772">
        <v>2862.25</v>
      </c>
      <c r="Y420" s="567">
        <v>2.1249072011878249</v>
      </c>
      <c r="Z420" s="387">
        <v>2.1249072011878249</v>
      </c>
      <c r="AA420" s="387">
        <v>2.1249072011878249</v>
      </c>
      <c r="AB420" s="387">
        <v>2.1249072011878249</v>
      </c>
      <c r="AC420" s="387">
        <v>2.1249072011878249</v>
      </c>
      <c r="AD420" s="387">
        <v>2.1249072011878249</v>
      </c>
      <c r="AE420" s="772"/>
      <c r="AF420" s="772"/>
      <c r="AG420" s="772"/>
      <c r="AK420" s="732"/>
      <c r="BB420" s="752"/>
    </row>
    <row r="421" spans="1:54" s="741" customFormat="1" hidden="1" outlineLevel="1" x14ac:dyDescent="0.35">
      <c r="A421" s="756"/>
      <c r="B421" s="756"/>
      <c r="C421" s="753"/>
      <c r="D421" s="4275"/>
      <c r="E421" s="368" t="s">
        <v>4265</v>
      </c>
      <c r="F421" s="387">
        <f>2862.25/1347</f>
        <v>2.1249072011878249</v>
      </c>
      <c r="G421" s="3766"/>
      <c r="H421" s="3158" t="s">
        <v>1617</v>
      </c>
      <c r="I421" s="375">
        <v>1347</v>
      </c>
      <c r="J421" s="756"/>
      <c r="K421" s="756"/>
      <c r="L421" s="756"/>
      <c r="M421" s="756"/>
      <c r="N421" s="756"/>
      <c r="O421" s="756"/>
      <c r="P421" s="756"/>
      <c r="Q421" s="756"/>
      <c r="R421" s="756"/>
      <c r="S421" s="756"/>
      <c r="T421" s="756"/>
      <c r="U421" s="756"/>
      <c r="V421" s="4300"/>
      <c r="W421" s="772">
        <v>2862.25</v>
      </c>
      <c r="X421" s="772">
        <v>2862.25</v>
      </c>
      <c r="Y421" s="567">
        <v>2.1249072011878249</v>
      </c>
      <c r="Z421" s="387">
        <v>2.1249072011878249</v>
      </c>
      <c r="AA421" s="387">
        <v>2.1249072011878249</v>
      </c>
      <c r="AB421" s="387">
        <v>2.1249072011878249</v>
      </c>
      <c r="AC421" s="387">
        <v>2.1249072011878249</v>
      </c>
      <c r="AD421" s="387">
        <v>2.1249072011878249</v>
      </c>
      <c r="AE421" s="772"/>
      <c r="AF421" s="772"/>
      <c r="AG421" s="772"/>
      <c r="AK421" s="732"/>
      <c r="BB421" s="752"/>
    </row>
    <row r="422" spans="1:54" s="741" customFormat="1" hidden="1" outlineLevel="1" x14ac:dyDescent="0.35">
      <c r="A422" s="756"/>
      <c r="B422" s="756"/>
      <c r="C422" s="753"/>
      <c r="D422" s="4275"/>
      <c r="E422" s="368" t="s">
        <v>4266</v>
      </c>
      <c r="F422" s="387">
        <f>2862.25/1347</f>
        <v>2.1249072011878249</v>
      </c>
      <c r="G422" s="3766"/>
      <c r="H422" s="3158" t="s">
        <v>1617</v>
      </c>
      <c r="I422" s="375">
        <v>1347</v>
      </c>
      <c r="J422" s="756"/>
      <c r="K422" s="756"/>
      <c r="L422" s="756"/>
      <c r="M422" s="756"/>
      <c r="N422" s="756"/>
      <c r="O422" s="756"/>
      <c r="P422" s="756"/>
      <c r="Q422" s="756"/>
      <c r="R422" s="756"/>
      <c r="S422" s="756"/>
      <c r="T422" s="756"/>
      <c r="U422" s="756"/>
      <c r="V422" s="4300"/>
      <c r="W422" s="772">
        <v>2862.25</v>
      </c>
      <c r="X422" s="772">
        <v>2862.25</v>
      </c>
      <c r="Y422" s="567">
        <v>2.1249072011878249</v>
      </c>
      <c r="Z422" s="387">
        <v>2.1249072011878249</v>
      </c>
      <c r="AA422" s="387">
        <v>2.1249072011878249</v>
      </c>
      <c r="AB422" s="387">
        <v>2.1249072011878249</v>
      </c>
      <c r="AC422" s="387">
        <v>2.1249072011878249</v>
      </c>
      <c r="AD422" s="387">
        <v>2.1249072011878249</v>
      </c>
      <c r="AE422" s="772"/>
      <c r="AF422" s="772"/>
      <c r="AG422" s="772"/>
      <c r="AK422" s="732"/>
      <c r="BB422" s="752"/>
    </row>
    <row r="423" spans="1:54" s="741" customFormat="1" hidden="1" outlineLevel="1" x14ac:dyDescent="0.35">
      <c r="A423" s="756"/>
      <c r="B423" s="756"/>
      <c r="C423" s="753"/>
      <c r="D423" s="4275"/>
      <c r="E423" s="368" t="s">
        <v>4267</v>
      </c>
      <c r="F423" s="387">
        <f>836.16/(1106*0.65)</f>
        <v>1.1631103074141049</v>
      </c>
      <c r="G423" s="3766"/>
      <c r="H423" s="3158" t="s">
        <v>1618</v>
      </c>
      <c r="I423" s="375">
        <f>0.65*1106</f>
        <v>718.9</v>
      </c>
      <c r="J423" s="756"/>
      <c r="K423" s="756"/>
      <c r="L423" s="756"/>
      <c r="M423" s="756"/>
      <c r="N423" s="756"/>
      <c r="O423" s="756"/>
      <c r="P423" s="756"/>
      <c r="Q423" s="756"/>
      <c r="R423" s="756"/>
      <c r="S423" s="756"/>
      <c r="T423" s="756"/>
      <c r="U423" s="756"/>
      <c r="V423" s="4300"/>
      <c r="W423" s="772">
        <v>836.16</v>
      </c>
      <c r="X423" s="772">
        <v>836.16</v>
      </c>
      <c r="Y423" s="567">
        <v>1.1631103074141049</v>
      </c>
      <c r="Z423" s="387">
        <v>1.1631103074141049</v>
      </c>
      <c r="AA423" s="387">
        <v>1.1631103074141049</v>
      </c>
      <c r="AB423" s="387">
        <v>1.1631103074141049</v>
      </c>
      <c r="AC423" s="387">
        <v>1.1631103074141049</v>
      </c>
      <c r="AD423" s="387">
        <v>1.1631103074141049</v>
      </c>
      <c r="AE423" s="772"/>
      <c r="AF423" s="772"/>
      <c r="AG423" s="772"/>
      <c r="AK423" s="732"/>
      <c r="BB423" s="752"/>
    </row>
    <row r="424" spans="1:54" s="741" customFormat="1" hidden="1" outlineLevel="1" x14ac:dyDescent="0.35">
      <c r="A424" s="756"/>
      <c r="B424" s="756"/>
      <c r="C424" s="753"/>
      <c r="D424" s="4275"/>
      <c r="E424" s="368" t="s">
        <v>4268</v>
      </c>
      <c r="F424" s="387">
        <f>836.16/(1106*0.65)</f>
        <v>1.1631103074141049</v>
      </c>
      <c r="G424" s="3766"/>
      <c r="H424" s="3158" t="s">
        <v>1618</v>
      </c>
      <c r="I424" s="375">
        <f>0.65*1106</f>
        <v>718.9</v>
      </c>
      <c r="J424" s="756"/>
      <c r="K424" s="756"/>
      <c r="L424" s="756"/>
      <c r="M424" s="756"/>
      <c r="N424" s="756"/>
      <c r="O424" s="756"/>
      <c r="P424" s="756"/>
      <c r="Q424" s="756"/>
      <c r="R424" s="756"/>
      <c r="S424" s="756"/>
      <c r="T424" s="756"/>
      <c r="U424" s="756"/>
      <c r="V424" s="4300"/>
      <c r="W424" s="772">
        <v>836.16</v>
      </c>
      <c r="X424" s="772">
        <v>836.16</v>
      </c>
      <c r="Y424" s="567">
        <v>1.1631103074141049</v>
      </c>
      <c r="Z424" s="387">
        <v>1.1631103074141049</v>
      </c>
      <c r="AA424" s="387">
        <v>1.1631103074141049</v>
      </c>
      <c r="AB424" s="387">
        <v>1.1631103074141049</v>
      </c>
      <c r="AC424" s="387">
        <v>1.1631103074141049</v>
      </c>
      <c r="AD424" s="387">
        <v>1.1631103074141049</v>
      </c>
      <c r="AE424" s="772"/>
      <c r="AF424" s="772"/>
      <c r="AG424" s="772"/>
      <c r="AK424" s="732"/>
      <c r="BB424" s="752"/>
    </row>
    <row r="425" spans="1:54" s="741" customFormat="1" hidden="1" outlineLevel="1" x14ac:dyDescent="0.35">
      <c r="A425" s="756"/>
      <c r="B425" s="756"/>
      <c r="C425" s="753"/>
      <c r="D425" s="4275"/>
      <c r="E425" s="374" t="s">
        <v>4269</v>
      </c>
      <c r="F425" s="387">
        <f>836.16/(1106*0.65)</f>
        <v>1.1631103074141049</v>
      </c>
      <c r="G425" s="4297"/>
      <c r="H425" s="3158" t="s">
        <v>1618</v>
      </c>
      <c r="I425" s="375">
        <f>0.65*1106</f>
        <v>718.9</v>
      </c>
      <c r="J425" s="756"/>
      <c r="K425" s="756"/>
      <c r="L425" s="756"/>
      <c r="M425" s="756"/>
      <c r="N425" s="756"/>
      <c r="O425" s="756"/>
      <c r="P425" s="756"/>
      <c r="Q425" s="756"/>
      <c r="R425" s="756"/>
      <c r="S425" s="756"/>
      <c r="T425" s="756"/>
      <c r="U425" s="756"/>
      <c r="V425" s="4300"/>
      <c r="W425" s="772">
        <v>836.16</v>
      </c>
      <c r="X425" s="772">
        <v>836.16</v>
      </c>
      <c r="Y425" s="567">
        <v>1.1631103074141049</v>
      </c>
      <c r="Z425" s="387">
        <v>1.1631103074141049</v>
      </c>
      <c r="AA425" s="387">
        <v>1.1631103074141049</v>
      </c>
      <c r="AB425" s="387">
        <v>1.1631103074141049</v>
      </c>
      <c r="AC425" s="387">
        <v>1.1631103074141049</v>
      </c>
      <c r="AD425" s="387">
        <v>1.1631103074141049</v>
      </c>
      <c r="AE425" s="772"/>
      <c r="AF425" s="772"/>
      <c r="AG425" s="772"/>
      <c r="AK425" s="732"/>
      <c r="BB425" s="752"/>
    </row>
    <row r="426" spans="1:54" s="741" customFormat="1" hidden="1" outlineLevel="1" x14ac:dyDescent="0.35">
      <c r="A426" s="756"/>
      <c r="B426" s="756"/>
      <c r="C426" s="753"/>
      <c r="D426" s="4275"/>
      <c r="E426" s="368" t="s">
        <v>4270</v>
      </c>
      <c r="F426" s="387">
        <f>1286.39/1106</f>
        <v>1.1631012658227848</v>
      </c>
      <c r="G426" s="4297"/>
      <c r="H426" s="3158" t="s">
        <v>1619</v>
      </c>
      <c r="I426" s="375">
        <v>1106</v>
      </c>
      <c r="J426" s="756"/>
      <c r="K426" s="756"/>
      <c r="L426" s="756"/>
      <c r="M426" s="756"/>
      <c r="N426" s="756"/>
      <c r="O426" s="756"/>
      <c r="P426" s="756"/>
      <c r="Q426" s="756"/>
      <c r="R426" s="756"/>
      <c r="S426" s="756"/>
      <c r="T426" s="756"/>
      <c r="U426" s="756"/>
      <c r="V426" s="4300"/>
      <c r="W426" s="772">
        <v>1286.3900000000001</v>
      </c>
      <c r="X426" s="772">
        <v>1286.3900000000001</v>
      </c>
      <c r="Y426" s="567">
        <v>1.1631012658227848</v>
      </c>
      <c r="Z426" s="387">
        <v>1.1631012658227848</v>
      </c>
      <c r="AA426" s="387">
        <v>1.1631012658227848</v>
      </c>
      <c r="AB426" s="387">
        <v>1.1631012658227848</v>
      </c>
      <c r="AC426" s="387">
        <v>1.1631012658227848</v>
      </c>
      <c r="AD426" s="387">
        <v>1.1631012658227848</v>
      </c>
      <c r="AE426" s="772"/>
      <c r="AF426" s="772"/>
      <c r="AG426" s="772"/>
      <c r="AK426" s="732"/>
      <c r="BB426" s="752"/>
    </row>
    <row r="427" spans="1:54" s="741" customFormat="1" hidden="1" outlineLevel="1" x14ac:dyDescent="0.35">
      <c r="A427" s="756"/>
      <c r="B427" s="756"/>
      <c r="C427" s="753"/>
      <c r="D427" s="4275"/>
      <c r="E427" s="368" t="s">
        <v>4271</v>
      </c>
      <c r="F427" s="387">
        <f>1286.39/1106</f>
        <v>1.1631012658227848</v>
      </c>
      <c r="G427" s="4297"/>
      <c r="H427" s="3158" t="s">
        <v>1619</v>
      </c>
      <c r="I427" s="375">
        <v>1106</v>
      </c>
      <c r="J427" s="756"/>
      <c r="K427" s="756"/>
      <c r="L427" s="756"/>
      <c r="M427" s="756"/>
      <c r="N427" s="756"/>
      <c r="O427" s="756"/>
      <c r="P427" s="756"/>
      <c r="Q427" s="756"/>
      <c r="R427" s="756"/>
      <c r="S427" s="756"/>
      <c r="T427" s="756"/>
      <c r="U427" s="756"/>
      <c r="V427" s="4300"/>
      <c r="W427" s="772">
        <v>1286.3900000000001</v>
      </c>
      <c r="X427" s="772">
        <v>1286.3900000000001</v>
      </c>
      <c r="Y427" s="567">
        <v>1.1631012658227848</v>
      </c>
      <c r="Z427" s="387">
        <v>1.1631012658227848</v>
      </c>
      <c r="AA427" s="387">
        <v>1.1631012658227848</v>
      </c>
      <c r="AB427" s="387">
        <v>1.1631012658227848</v>
      </c>
      <c r="AC427" s="387">
        <v>1.1631012658227848</v>
      </c>
      <c r="AD427" s="387">
        <v>1.1631012658227848</v>
      </c>
      <c r="AE427" s="772"/>
      <c r="AF427" s="772"/>
      <c r="AG427" s="772"/>
      <c r="AK427" s="732"/>
      <c r="BB427" s="752"/>
    </row>
    <row r="428" spans="1:54" s="741" customFormat="1" hidden="1" outlineLevel="1" x14ac:dyDescent="0.35">
      <c r="A428" s="756"/>
      <c r="B428" s="756"/>
      <c r="C428" s="753"/>
      <c r="D428" s="4275"/>
      <c r="E428" s="1341" t="s">
        <v>4272</v>
      </c>
      <c r="F428" s="387">
        <f>1286.39/1106</f>
        <v>1.1631012658227848</v>
      </c>
      <c r="G428" s="4297"/>
      <c r="H428" s="3158" t="s">
        <v>1619</v>
      </c>
      <c r="I428" s="375">
        <v>1106</v>
      </c>
      <c r="J428" s="756"/>
      <c r="K428" s="756"/>
      <c r="L428" s="756"/>
      <c r="M428" s="756"/>
      <c r="N428" s="756"/>
      <c r="O428" s="756"/>
      <c r="P428" s="756"/>
      <c r="Q428" s="756"/>
      <c r="R428" s="756"/>
      <c r="S428" s="756"/>
      <c r="T428" s="756"/>
      <c r="U428" s="756"/>
      <c r="V428" s="4300"/>
      <c r="W428" s="772">
        <v>1286.3900000000001</v>
      </c>
      <c r="X428" s="772">
        <v>1286.3900000000001</v>
      </c>
      <c r="Y428" s="567">
        <v>1.1631012658227848</v>
      </c>
      <c r="Z428" s="387">
        <v>1.1631012658227848</v>
      </c>
      <c r="AA428" s="387">
        <v>1.1631012658227848</v>
      </c>
      <c r="AB428" s="387">
        <v>1.1631012658227848</v>
      </c>
      <c r="AC428" s="387">
        <v>1.1631012658227848</v>
      </c>
      <c r="AD428" s="387">
        <v>1.1631012658227848</v>
      </c>
      <c r="AE428" s="772"/>
      <c r="AF428" s="772"/>
      <c r="AG428" s="772"/>
      <c r="AK428" s="732"/>
      <c r="BB428" s="752"/>
    </row>
    <row r="429" spans="1:54" s="741" customFormat="1" hidden="1" outlineLevel="1" x14ac:dyDescent="0.35">
      <c r="A429" s="756"/>
      <c r="B429" s="756"/>
      <c r="C429" s="753"/>
      <c r="D429" s="4275"/>
      <c r="E429" s="368" t="s">
        <v>4273</v>
      </c>
      <c r="F429" s="387">
        <f>1208.5/(1106*0.65)</f>
        <v>1.6810404785088331</v>
      </c>
      <c r="G429" s="4297"/>
      <c r="H429" s="3158" t="s">
        <v>1618</v>
      </c>
      <c r="I429" s="375">
        <f>0.65*1106</f>
        <v>718.9</v>
      </c>
      <c r="J429" s="756"/>
      <c r="K429" s="756"/>
      <c r="L429" s="756"/>
      <c r="M429" s="756"/>
      <c r="N429" s="756"/>
      <c r="O429" s="756"/>
      <c r="P429" s="756"/>
      <c r="Q429" s="756"/>
      <c r="R429" s="756"/>
      <c r="S429" s="756"/>
      <c r="T429" s="756"/>
      <c r="U429" s="756"/>
      <c r="V429" s="4300"/>
      <c r="W429" s="772">
        <v>1208.5</v>
      </c>
      <c r="X429" s="772">
        <v>1208.5</v>
      </c>
      <c r="Y429" s="567">
        <v>1.6810404785088331</v>
      </c>
      <c r="Z429" s="387">
        <v>1.6810404785088331</v>
      </c>
      <c r="AA429" s="387">
        <v>1.6810404785088331</v>
      </c>
      <c r="AB429" s="387">
        <v>1.6810404785088331</v>
      </c>
      <c r="AC429" s="387">
        <v>1.6810404785088331</v>
      </c>
      <c r="AD429" s="387">
        <v>1.6810404785088331</v>
      </c>
      <c r="AE429" s="772"/>
      <c r="AF429" s="772"/>
      <c r="AG429" s="772"/>
      <c r="AK429" s="732"/>
      <c r="BB429" s="752"/>
    </row>
    <row r="430" spans="1:54" s="741" customFormat="1" hidden="1" outlineLevel="1" x14ac:dyDescent="0.35">
      <c r="A430" s="756"/>
      <c r="B430" s="756"/>
      <c r="C430" s="753"/>
      <c r="D430" s="4275"/>
      <c r="E430" s="368" t="s">
        <v>4274</v>
      </c>
      <c r="F430" s="387">
        <f>1208.5/(1106*0.65)</f>
        <v>1.6810404785088331</v>
      </c>
      <c r="G430" s="4297"/>
      <c r="H430" s="3158" t="s">
        <v>1618</v>
      </c>
      <c r="I430" s="375">
        <f>0.65*1106</f>
        <v>718.9</v>
      </c>
      <c r="J430" s="756"/>
      <c r="K430" s="756"/>
      <c r="L430" s="756"/>
      <c r="M430" s="756"/>
      <c r="N430" s="756"/>
      <c r="O430" s="756"/>
      <c r="P430" s="756"/>
      <c r="Q430" s="756"/>
      <c r="R430" s="756"/>
      <c r="S430" s="756"/>
      <c r="T430" s="756"/>
      <c r="U430" s="756"/>
      <c r="V430" s="4300"/>
      <c r="W430" s="772">
        <v>1208.5</v>
      </c>
      <c r="X430" s="772">
        <v>1208.5</v>
      </c>
      <c r="Y430" s="567">
        <v>1.6810404785088331</v>
      </c>
      <c r="Z430" s="387">
        <v>1.6810404785088331</v>
      </c>
      <c r="AA430" s="387">
        <v>1.6810404785088331</v>
      </c>
      <c r="AB430" s="387">
        <v>1.6810404785088331</v>
      </c>
      <c r="AC430" s="387">
        <v>1.6810404785088331</v>
      </c>
      <c r="AD430" s="387">
        <v>1.6810404785088331</v>
      </c>
      <c r="AE430" s="772"/>
      <c r="AF430" s="772"/>
      <c r="AG430" s="772"/>
      <c r="AK430" s="732"/>
      <c r="BB430" s="752"/>
    </row>
    <row r="431" spans="1:54" s="741" customFormat="1" hidden="1" outlineLevel="1" x14ac:dyDescent="0.35">
      <c r="A431" s="756"/>
      <c r="B431" s="756"/>
      <c r="C431" s="753"/>
      <c r="D431" s="4275"/>
      <c r="E431" s="374" t="s">
        <v>4275</v>
      </c>
      <c r="F431" s="387">
        <f>1208.5/(1106*0.65)</f>
        <v>1.6810404785088331</v>
      </c>
      <c r="G431" s="4297"/>
      <c r="H431" s="3158" t="s">
        <v>1618</v>
      </c>
      <c r="I431" s="375">
        <f>0.65*1106</f>
        <v>718.9</v>
      </c>
      <c r="J431" s="756"/>
      <c r="K431" s="756"/>
      <c r="L431" s="756"/>
      <c r="M431" s="756"/>
      <c r="N431" s="756"/>
      <c r="O431" s="756"/>
      <c r="P431" s="756"/>
      <c r="Q431" s="756"/>
      <c r="R431" s="756"/>
      <c r="S431" s="756"/>
      <c r="T431" s="756"/>
      <c r="U431" s="756"/>
      <c r="V431" s="4300"/>
      <c r="W431" s="772">
        <v>1208.5</v>
      </c>
      <c r="X431" s="772">
        <v>1208.5</v>
      </c>
      <c r="Y431" s="567">
        <v>1.6810404785088331</v>
      </c>
      <c r="Z431" s="387">
        <v>1.6810404785088331</v>
      </c>
      <c r="AA431" s="387">
        <v>1.6810404785088331</v>
      </c>
      <c r="AB431" s="387">
        <v>1.6810404785088331</v>
      </c>
      <c r="AC431" s="387">
        <v>1.6810404785088331</v>
      </c>
      <c r="AD431" s="387">
        <v>1.6810404785088331</v>
      </c>
      <c r="AE431" s="772"/>
      <c r="AF431" s="772"/>
      <c r="AG431" s="772"/>
      <c r="AK431" s="732"/>
      <c r="BB431" s="752"/>
    </row>
    <row r="432" spans="1:54" s="741" customFormat="1" hidden="1" outlineLevel="1" x14ac:dyDescent="0.35">
      <c r="A432" s="756"/>
      <c r="B432" s="756"/>
      <c r="C432" s="753"/>
      <c r="D432" s="4275"/>
      <c r="E432" s="368" t="s">
        <v>4276</v>
      </c>
      <c r="F432" s="387">
        <f>1859.23/1106</f>
        <v>1.6810397830018082</v>
      </c>
      <c r="G432" s="4297"/>
      <c r="H432" s="3158" t="s">
        <v>1619</v>
      </c>
      <c r="I432" s="375">
        <v>1106</v>
      </c>
      <c r="J432" s="756"/>
      <c r="K432" s="756"/>
      <c r="L432" s="756"/>
      <c r="M432" s="756"/>
      <c r="N432" s="756"/>
      <c r="O432" s="756"/>
      <c r="P432" s="756"/>
      <c r="Q432" s="756"/>
      <c r="R432" s="756"/>
      <c r="S432" s="756"/>
      <c r="T432" s="756"/>
      <c r="U432" s="756"/>
      <c r="V432" s="4300"/>
      <c r="W432" s="772">
        <v>1859.23</v>
      </c>
      <c r="X432" s="772">
        <v>1859.23</v>
      </c>
      <c r="Y432" s="567">
        <v>1.6810397830018082</v>
      </c>
      <c r="Z432" s="387">
        <v>1.6810397830018082</v>
      </c>
      <c r="AA432" s="387">
        <v>1.6810397830018082</v>
      </c>
      <c r="AB432" s="387">
        <v>1.6810397830018082</v>
      </c>
      <c r="AC432" s="387">
        <v>1.6810397830018082</v>
      </c>
      <c r="AD432" s="387">
        <v>1.6810397830018082</v>
      </c>
      <c r="AE432" s="772"/>
      <c r="AF432" s="772"/>
      <c r="AG432" s="772"/>
      <c r="AK432" s="732"/>
      <c r="BB432" s="752"/>
    </row>
    <row r="433" spans="1:54" s="741" customFormat="1" hidden="1" outlineLevel="1" x14ac:dyDescent="0.35">
      <c r="A433" s="756"/>
      <c r="B433" s="756"/>
      <c r="C433" s="753"/>
      <c r="D433" s="4292"/>
      <c r="E433" s="374" t="s">
        <v>4277</v>
      </c>
      <c r="F433" s="387">
        <f>1859.23/1106</f>
        <v>1.6810397830018082</v>
      </c>
      <c r="G433" s="4297"/>
      <c r="H433" s="3158" t="s">
        <v>1619</v>
      </c>
      <c r="I433" s="375">
        <v>1106</v>
      </c>
      <c r="J433" s="756"/>
      <c r="K433" s="756"/>
      <c r="L433" s="756"/>
      <c r="M433" s="756"/>
      <c r="N433" s="756"/>
      <c r="O433" s="756"/>
      <c r="P433" s="756"/>
      <c r="Q433" s="756"/>
      <c r="R433" s="756"/>
      <c r="S433" s="756"/>
      <c r="T433" s="756"/>
      <c r="U433" s="756"/>
      <c r="V433" s="4300"/>
      <c r="W433" s="772">
        <v>1859.23</v>
      </c>
      <c r="X433" s="772">
        <v>1859.23</v>
      </c>
      <c r="Y433" s="567">
        <v>1.6810397830018082</v>
      </c>
      <c r="Z433" s="387">
        <v>1.6810397830018082</v>
      </c>
      <c r="AA433" s="387">
        <v>1.6810397830018082</v>
      </c>
      <c r="AB433" s="387">
        <v>1.6810397830018082</v>
      </c>
      <c r="AC433" s="387">
        <v>1.6810397830018082</v>
      </c>
      <c r="AD433" s="387">
        <v>1.6810397830018082</v>
      </c>
      <c r="AE433" s="772"/>
      <c r="AF433" s="772"/>
      <c r="AG433" s="772"/>
      <c r="AK433" s="732"/>
      <c r="BB433" s="752"/>
    </row>
    <row r="434" spans="1:54" s="741" customFormat="1" hidden="1" outlineLevel="1" x14ac:dyDescent="0.35">
      <c r="A434" s="756"/>
      <c r="B434" s="756"/>
      <c r="C434" s="753"/>
      <c r="D434" s="4275"/>
      <c r="E434" s="368" t="s">
        <v>4278</v>
      </c>
      <c r="F434" s="387">
        <f>1859.23/1106</f>
        <v>1.6810397830018082</v>
      </c>
      <c r="G434" s="4297"/>
      <c r="H434" s="3158" t="s">
        <v>1619</v>
      </c>
      <c r="I434" s="375">
        <v>1106</v>
      </c>
      <c r="J434" s="756"/>
      <c r="K434" s="756"/>
      <c r="L434" s="756"/>
      <c r="M434" s="756"/>
      <c r="N434" s="756"/>
      <c r="O434" s="756"/>
      <c r="P434" s="756"/>
      <c r="Q434" s="756"/>
      <c r="R434" s="756"/>
      <c r="S434" s="756"/>
      <c r="T434" s="756"/>
      <c r="U434" s="756"/>
      <c r="V434" s="4300"/>
      <c r="W434" s="772">
        <v>1859.23</v>
      </c>
      <c r="X434" s="772">
        <v>1859.23</v>
      </c>
      <c r="Y434" s="567">
        <v>1.6810397830018082</v>
      </c>
      <c r="Z434" s="387">
        <v>1.6810397830018082</v>
      </c>
      <c r="AA434" s="387">
        <v>1.6810397830018082</v>
      </c>
      <c r="AB434" s="387">
        <v>1.6810397830018082</v>
      </c>
      <c r="AC434" s="387">
        <v>1.6810397830018082</v>
      </c>
      <c r="AD434" s="387">
        <v>1.6810397830018082</v>
      </c>
      <c r="AE434" s="772"/>
      <c r="AF434" s="772"/>
      <c r="AG434" s="772"/>
      <c r="AK434" s="732"/>
      <c r="BB434" s="752"/>
    </row>
    <row r="435" spans="1:54" s="741" customFormat="1" hidden="1" outlineLevel="1" x14ac:dyDescent="0.35">
      <c r="A435" s="756"/>
      <c r="B435" s="756"/>
      <c r="C435" s="753"/>
      <c r="D435" s="4275"/>
      <c r="E435" s="368" t="s">
        <v>4279</v>
      </c>
      <c r="F435" s="387">
        <f>1846.68/(1106*0.65)</f>
        <v>2.568757824454027</v>
      </c>
      <c r="G435" s="4297"/>
      <c r="H435" s="3158" t="s">
        <v>1618</v>
      </c>
      <c r="I435" s="375">
        <f>0.65*1106</f>
        <v>718.9</v>
      </c>
      <c r="J435" s="756"/>
      <c r="K435" s="756"/>
      <c r="L435" s="756"/>
      <c r="M435" s="756"/>
      <c r="N435" s="756"/>
      <c r="O435" s="756"/>
      <c r="P435" s="756"/>
      <c r="Q435" s="756"/>
      <c r="R435" s="756"/>
      <c r="S435" s="756"/>
      <c r="T435" s="756"/>
      <c r="U435" s="756"/>
      <c r="V435" s="4300"/>
      <c r="W435" s="772">
        <v>1846.68</v>
      </c>
      <c r="X435" s="772">
        <v>1846.68</v>
      </c>
      <c r="Y435" s="567">
        <v>2.568757824454027</v>
      </c>
      <c r="Z435" s="387">
        <v>2.568757824454027</v>
      </c>
      <c r="AA435" s="387">
        <v>2.568757824454027</v>
      </c>
      <c r="AB435" s="387">
        <v>2.568757824454027</v>
      </c>
      <c r="AC435" s="387">
        <v>2.568757824454027</v>
      </c>
      <c r="AD435" s="387">
        <v>2.568757824454027</v>
      </c>
      <c r="AE435" s="772"/>
      <c r="AF435" s="772"/>
      <c r="AG435" s="772"/>
      <c r="AK435" s="732"/>
      <c r="BB435" s="752"/>
    </row>
    <row r="436" spans="1:54" s="741" customFormat="1" hidden="1" outlineLevel="1" x14ac:dyDescent="0.35">
      <c r="A436" s="756"/>
      <c r="B436" s="756"/>
      <c r="C436" s="753"/>
      <c r="D436" s="4275"/>
      <c r="E436" s="368" t="s">
        <v>4280</v>
      </c>
      <c r="F436" s="387">
        <f>1846.68/(1106*0.65)</f>
        <v>2.568757824454027</v>
      </c>
      <c r="G436" s="4297"/>
      <c r="H436" s="3158" t="s">
        <v>1618</v>
      </c>
      <c r="I436" s="375">
        <f>0.65*1106</f>
        <v>718.9</v>
      </c>
      <c r="J436" s="756"/>
      <c r="K436" s="756"/>
      <c r="L436" s="756"/>
      <c r="M436" s="756"/>
      <c r="N436" s="756"/>
      <c r="O436" s="756"/>
      <c r="P436" s="756"/>
      <c r="Q436" s="756"/>
      <c r="R436" s="756"/>
      <c r="S436" s="756"/>
      <c r="T436" s="756"/>
      <c r="U436" s="756"/>
      <c r="V436" s="4300"/>
      <c r="W436" s="772">
        <v>1846.68</v>
      </c>
      <c r="X436" s="772">
        <v>1846.68</v>
      </c>
      <c r="Y436" s="567">
        <v>2.568757824454027</v>
      </c>
      <c r="Z436" s="387">
        <v>2.568757824454027</v>
      </c>
      <c r="AA436" s="387">
        <v>2.568757824454027</v>
      </c>
      <c r="AB436" s="387">
        <v>2.568757824454027</v>
      </c>
      <c r="AC436" s="387">
        <v>2.568757824454027</v>
      </c>
      <c r="AD436" s="387">
        <v>2.568757824454027</v>
      </c>
      <c r="AE436" s="772"/>
      <c r="AF436" s="772"/>
      <c r="AG436" s="772"/>
      <c r="AK436" s="732"/>
      <c r="BB436" s="752"/>
    </row>
    <row r="437" spans="1:54" s="741" customFormat="1" hidden="1" outlineLevel="1" x14ac:dyDescent="0.35">
      <c r="A437" s="756"/>
      <c r="B437" s="756"/>
      <c r="C437" s="753"/>
      <c r="D437" s="4275"/>
      <c r="E437" s="374" t="s">
        <v>4281</v>
      </c>
      <c r="F437" s="387">
        <f>1846.68/(1106*0.65)</f>
        <v>2.568757824454027</v>
      </c>
      <c r="G437" s="4297"/>
      <c r="H437" s="3158" t="s">
        <v>1618</v>
      </c>
      <c r="I437" s="375">
        <f>0.65*1106</f>
        <v>718.9</v>
      </c>
      <c r="J437" s="756"/>
      <c r="K437" s="756"/>
      <c r="L437" s="756"/>
      <c r="M437" s="756"/>
      <c r="N437" s="756"/>
      <c r="O437" s="756"/>
      <c r="P437" s="756"/>
      <c r="Q437" s="756"/>
      <c r="R437" s="756"/>
      <c r="S437" s="756"/>
      <c r="T437" s="756"/>
      <c r="U437" s="756"/>
      <c r="V437" s="4300"/>
      <c r="W437" s="772">
        <v>1846.68</v>
      </c>
      <c r="X437" s="772">
        <v>1846.68</v>
      </c>
      <c r="Y437" s="567">
        <v>2.568757824454027</v>
      </c>
      <c r="Z437" s="387">
        <v>2.568757824454027</v>
      </c>
      <c r="AA437" s="387">
        <v>2.568757824454027</v>
      </c>
      <c r="AB437" s="387">
        <v>2.568757824454027</v>
      </c>
      <c r="AC437" s="387">
        <v>2.568757824454027</v>
      </c>
      <c r="AD437" s="387">
        <v>2.568757824454027</v>
      </c>
      <c r="AE437" s="772"/>
      <c r="AF437" s="772"/>
      <c r="AG437" s="772"/>
      <c r="AK437" s="732"/>
      <c r="BB437" s="752"/>
    </row>
    <row r="438" spans="1:54" s="741" customFormat="1" hidden="1" outlineLevel="1" x14ac:dyDescent="0.35">
      <c r="A438" s="756"/>
      <c r="B438" s="756"/>
      <c r="C438" s="753"/>
      <c r="D438" s="4275"/>
      <c r="E438" s="368" t="s">
        <v>4282</v>
      </c>
      <c r="F438" s="387">
        <f>2841.04/1106</f>
        <v>2.5687522603978299</v>
      </c>
      <c r="G438" s="4297"/>
      <c r="H438" s="3158" t="s">
        <v>1619</v>
      </c>
      <c r="I438" s="375">
        <v>1106</v>
      </c>
      <c r="J438" s="756"/>
      <c r="K438" s="756"/>
      <c r="L438" s="756"/>
      <c r="M438" s="756"/>
      <c r="N438" s="756"/>
      <c r="O438" s="756"/>
      <c r="P438" s="756"/>
      <c r="Q438" s="756"/>
      <c r="R438" s="756"/>
      <c r="S438" s="756"/>
      <c r="T438" s="756"/>
      <c r="U438" s="756"/>
      <c r="V438" s="4300"/>
      <c r="W438" s="772">
        <v>2841.04</v>
      </c>
      <c r="X438" s="772">
        <v>2841.04</v>
      </c>
      <c r="Y438" s="567">
        <v>2.5687522603978299</v>
      </c>
      <c r="Z438" s="387">
        <v>2.5687522603978299</v>
      </c>
      <c r="AA438" s="387">
        <v>2.5687522603978299</v>
      </c>
      <c r="AB438" s="387">
        <v>2.5687522603978299</v>
      </c>
      <c r="AC438" s="387">
        <v>2.5687522603978299</v>
      </c>
      <c r="AD438" s="387">
        <v>2.5687522603978299</v>
      </c>
      <c r="AE438" s="772"/>
      <c r="AF438" s="772"/>
      <c r="AG438" s="772"/>
      <c r="AK438" s="732"/>
      <c r="BB438" s="752"/>
    </row>
    <row r="439" spans="1:54" s="741" customFormat="1" hidden="1" outlineLevel="1" x14ac:dyDescent="0.35">
      <c r="A439" s="756"/>
      <c r="B439" s="756"/>
      <c r="C439" s="753"/>
      <c r="D439" s="4275"/>
      <c r="E439" s="374" t="s">
        <v>4283</v>
      </c>
      <c r="F439" s="387">
        <f>2841.04/1106</f>
        <v>2.5687522603978299</v>
      </c>
      <c r="G439" s="4297"/>
      <c r="H439" s="3158" t="s">
        <v>1619</v>
      </c>
      <c r="I439" s="375">
        <v>1106</v>
      </c>
      <c r="J439" s="756"/>
      <c r="K439" s="756"/>
      <c r="L439" s="756"/>
      <c r="M439" s="756"/>
      <c r="N439" s="756"/>
      <c r="O439" s="756"/>
      <c r="P439" s="756"/>
      <c r="Q439" s="756"/>
      <c r="R439" s="756"/>
      <c r="S439" s="756"/>
      <c r="T439" s="756"/>
      <c r="U439" s="756"/>
      <c r="V439" s="4300"/>
      <c r="W439" s="772">
        <v>2841.04</v>
      </c>
      <c r="X439" s="772">
        <v>2841.04</v>
      </c>
      <c r="Y439" s="567">
        <v>2.5687522603978299</v>
      </c>
      <c r="Z439" s="387">
        <v>2.5687522603978299</v>
      </c>
      <c r="AA439" s="387">
        <v>2.5687522603978299</v>
      </c>
      <c r="AB439" s="387">
        <v>2.5687522603978299</v>
      </c>
      <c r="AC439" s="387">
        <v>2.5687522603978299</v>
      </c>
      <c r="AD439" s="387">
        <v>2.5687522603978299</v>
      </c>
      <c r="AE439" s="772"/>
      <c r="AF439" s="772"/>
      <c r="AG439" s="772"/>
      <c r="AK439" s="732"/>
      <c r="BB439" s="752"/>
    </row>
    <row r="440" spans="1:54" s="741" customFormat="1" hidden="1" outlineLevel="1" x14ac:dyDescent="0.35">
      <c r="A440" s="756"/>
      <c r="B440" s="756"/>
      <c r="C440" s="753"/>
      <c r="D440" s="4275"/>
      <c r="E440" s="368" t="s">
        <v>4284</v>
      </c>
      <c r="F440" s="387">
        <f>2841.04/1106</f>
        <v>2.5687522603978299</v>
      </c>
      <c r="G440" s="4297"/>
      <c r="H440" s="3158" t="s">
        <v>1619</v>
      </c>
      <c r="I440" s="375">
        <v>1106</v>
      </c>
      <c r="J440" s="756"/>
      <c r="K440" s="756"/>
      <c r="L440" s="756"/>
      <c r="M440" s="756"/>
      <c r="N440" s="756"/>
      <c r="O440" s="756"/>
      <c r="P440" s="756"/>
      <c r="Q440" s="756"/>
      <c r="R440" s="756"/>
      <c r="S440" s="756"/>
      <c r="T440" s="756"/>
      <c r="U440" s="756"/>
      <c r="V440" s="4300"/>
      <c r="W440" s="772">
        <v>2841.04</v>
      </c>
      <c r="X440" s="772">
        <v>2841.04</v>
      </c>
      <c r="Y440" s="567">
        <v>2.5687522603978299</v>
      </c>
      <c r="Z440" s="387">
        <v>2.5687522603978299</v>
      </c>
      <c r="AA440" s="387">
        <v>2.5687522603978299</v>
      </c>
      <c r="AB440" s="387">
        <v>2.5687522603978299</v>
      </c>
      <c r="AC440" s="387">
        <v>2.5687522603978299</v>
      </c>
      <c r="AD440" s="387">
        <v>2.5687522603978299</v>
      </c>
      <c r="AE440" s="772"/>
      <c r="AF440" s="772"/>
      <c r="AG440" s="772"/>
      <c r="AK440" s="732"/>
      <c r="BB440" s="752"/>
    </row>
    <row r="441" spans="1:54" s="741" customFormat="1" hidden="1" outlineLevel="1" x14ac:dyDescent="0.35">
      <c r="A441" s="756"/>
      <c r="B441" s="756"/>
      <c r="C441" s="753"/>
      <c r="D441" s="4275"/>
      <c r="E441" s="368" t="s">
        <v>4285</v>
      </c>
      <c r="F441" s="387">
        <f>2461.73/(1106*0.65)</f>
        <v>3.424301015440256</v>
      </c>
      <c r="G441" s="4297"/>
      <c r="H441" s="3158" t="s">
        <v>1618</v>
      </c>
      <c r="I441" s="375">
        <f>0.65*1106</f>
        <v>718.9</v>
      </c>
      <c r="J441" s="756"/>
      <c r="K441" s="756"/>
      <c r="L441" s="756"/>
      <c r="M441" s="756"/>
      <c r="N441" s="756"/>
      <c r="O441" s="756"/>
      <c r="P441" s="756"/>
      <c r="Q441" s="756"/>
      <c r="R441" s="756"/>
      <c r="S441" s="756"/>
      <c r="T441" s="756"/>
      <c r="U441" s="756"/>
      <c r="V441" s="4300"/>
      <c r="W441" s="772">
        <v>2461.73</v>
      </c>
      <c r="X441" s="772">
        <v>2461.73</v>
      </c>
      <c r="Y441" s="567">
        <v>3.424301015440256</v>
      </c>
      <c r="Z441" s="387">
        <v>3.424301015440256</v>
      </c>
      <c r="AA441" s="387">
        <v>3.424301015440256</v>
      </c>
      <c r="AB441" s="387">
        <v>3.424301015440256</v>
      </c>
      <c r="AC441" s="387">
        <v>3.424301015440256</v>
      </c>
      <c r="AD441" s="387">
        <v>3.424301015440256</v>
      </c>
      <c r="AE441" s="772"/>
      <c r="AF441" s="772"/>
      <c r="AG441" s="772"/>
      <c r="AK441" s="732"/>
      <c r="BB441" s="752"/>
    </row>
    <row r="442" spans="1:54" s="741" customFormat="1" hidden="1" outlineLevel="1" x14ac:dyDescent="0.35">
      <c r="A442" s="756"/>
      <c r="B442" s="756"/>
      <c r="C442" s="753"/>
      <c r="D442" s="4275"/>
      <c r="E442" s="368" t="s">
        <v>4286</v>
      </c>
      <c r="F442" s="387">
        <f>2461.73/(1106*0.65)</f>
        <v>3.424301015440256</v>
      </c>
      <c r="G442" s="4297"/>
      <c r="H442" s="3158" t="s">
        <v>1618</v>
      </c>
      <c r="I442" s="375">
        <f>0.65*1106</f>
        <v>718.9</v>
      </c>
      <c r="J442" s="756"/>
      <c r="K442" s="756"/>
      <c r="L442" s="756"/>
      <c r="M442" s="756"/>
      <c r="N442" s="756"/>
      <c r="O442" s="756"/>
      <c r="P442" s="756"/>
      <c r="Q442" s="756"/>
      <c r="R442" s="756"/>
      <c r="S442" s="756"/>
      <c r="T442" s="756"/>
      <c r="U442" s="756"/>
      <c r="V442" s="4300"/>
      <c r="W442" s="772">
        <v>2461.73</v>
      </c>
      <c r="X442" s="772">
        <v>2461.73</v>
      </c>
      <c r="Y442" s="567">
        <v>3.424301015440256</v>
      </c>
      <c r="Z442" s="387">
        <v>3.424301015440256</v>
      </c>
      <c r="AA442" s="387">
        <v>3.424301015440256</v>
      </c>
      <c r="AB442" s="387">
        <v>3.424301015440256</v>
      </c>
      <c r="AC442" s="387">
        <v>3.424301015440256</v>
      </c>
      <c r="AD442" s="387">
        <v>3.424301015440256</v>
      </c>
      <c r="AE442" s="772"/>
      <c r="AF442" s="772"/>
      <c r="AG442" s="772"/>
      <c r="AK442" s="732"/>
      <c r="BB442" s="752"/>
    </row>
    <row r="443" spans="1:54" s="741" customFormat="1" hidden="1" outlineLevel="1" x14ac:dyDescent="0.35">
      <c r="A443" s="756"/>
      <c r="B443" s="756"/>
      <c r="C443" s="753"/>
      <c r="D443" s="4275"/>
      <c r="E443" s="374" t="s">
        <v>4287</v>
      </c>
      <c r="F443" s="387">
        <f>2461.73/(1106*0.65)</f>
        <v>3.424301015440256</v>
      </c>
      <c r="G443" s="4297"/>
      <c r="H443" s="3158" t="s">
        <v>1618</v>
      </c>
      <c r="I443" s="375">
        <f>0.65*1106</f>
        <v>718.9</v>
      </c>
      <c r="J443" s="756"/>
      <c r="K443" s="756"/>
      <c r="L443" s="756"/>
      <c r="M443" s="756"/>
      <c r="N443" s="756"/>
      <c r="O443" s="756"/>
      <c r="P443" s="756"/>
      <c r="Q443" s="756"/>
      <c r="R443" s="756"/>
      <c r="S443" s="756"/>
      <c r="T443" s="756"/>
      <c r="U443" s="756"/>
      <c r="V443" s="4300"/>
      <c r="W443" s="772">
        <v>2461.73</v>
      </c>
      <c r="X443" s="772">
        <v>2461.73</v>
      </c>
      <c r="Y443" s="567">
        <v>3.424301015440256</v>
      </c>
      <c r="Z443" s="387">
        <v>3.424301015440256</v>
      </c>
      <c r="AA443" s="387">
        <v>3.424301015440256</v>
      </c>
      <c r="AB443" s="387">
        <v>3.424301015440256</v>
      </c>
      <c r="AC443" s="387">
        <v>3.424301015440256</v>
      </c>
      <c r="AD443" s="387">
        <v>3.424301015440256</v>
      </c>
      <c r="AE443" s="772"/>
      <c r="AF443" s="772"/>
      <c r="AG443" s="772"/>
      <c r="AK443" s="732"/>
      <c r="BB443" s="752"/>
    </row>
    <row r="444" spans="1:54" s="741" customFormat="1" hidden="1" outlineLevel="1" x14ac:dyDescent="0.35">
      <c r="A444" s="756"/>
      <c r="B444" s="756"/>
      <c r="C444" s="753"/>
      <c r="D444" s="4275"/>
      <c r="E444" s="368" t="s">
        <v>4288</v>
      </c>
      <c r="F444" s="387">
        <f>3787.28/1106</f>
        <v>3.4243037974683546</v>
      </c>
      <c r="G444" s="4297"/>
      <c r="H444" s="3158" t="s">
        <v>1619</v>
      </c>
      <c r="I444" s="375">
        <v>1106</v>
      </c>
      <c r="J444" s="756"/>
      <c r="K444" s="756"/>
      <c r="L444" s="756"/>
      <c r="M444" s="756"/>
      <c r="N444" s="756"/>
      <c r="O444" s="756"/>
      <c r="P444" s="756"/>
      <c r="Q444" s="756"/>
      <c r="R444" s="756"/>
      <c r="S444" s="756"/>
      <c r="T444" s="756"/>
      <c r="U444" s="756"/>
      <c r="V444" s="4300"/>
      <c r="W444" s="772">
        <v>3787.28</v>
      </c>
      <c r="X444" s="772">
        <v>3787.28</v>
      </c>
      <c r="Y444" s="567">
        <v>3.4243037974683546</v>
      </c>
      <c r="Z444" s="387">
        <v>3.4243037974683546</v>
      </c>
      <c r="AA444" s="387">
        <v>3.4243037974683546</v>
      </c>
      <c r="AB444" s="387">
        <v>3.4243037974683546</v>
      </c>
      <c r="AC444" s="387">
        <v>3.4243037974683546</v>
      </c>
      <c r="AD444" s="387">
        <v>3.4243037974683546</v>
      </c>
      <c r="AE444" s="772"/>
      <c r="AF444" s="772"/>
      <c r="AG444" s="772"/>
      <c r="AK444" s="732"/>
      <c r="BB444" s="752"/>
    </row>
    <row r="445" spans="1:54" s="741" customFormat="1" hidden="1" outlineLevel="1" x14ac:dyDescent="0.35">
      <c r="A445" s="756"/>
      <c r="B445" s="756"/>
      <c r="C445" s="753"/>
      <c r="D445" s="4275"/>
      <c r="E445" s="374" t="s">
        <v>4289</v>
      </c>
      <c r="F445" s="387">
        <f>3787.28/1106</f>
        <v>3.4243037974683546</v>
      </c>
      <c r="G445" s="4297"/>
      <c r="H445" s="3158" t="s">
        <v>1619</v>
      </c>
      <c r="I445" s="375">
        <v>1106</v>
      </c>
      <c r="J445" s="756"/>
      <c r="K445" s="756"/>
      <c r="L445" s="756"/>
      <c r="M445" s="756"/>
      <c r="N445" s="756"/>
      <c r="O445" s="756"/>
      <c r="P445" s="756"/>
      <c r="Q445" s="756"/>
      <c r="R445" s="756"/>
      <c r="S445" s="756"/>
      <c r="T445" s="756"/>
      <c r="U445" s="756"/>
      <c r="V445" s="4300"/>
      <c r="W445" s="772">
        <v>3787.28</v>
      </c>
      <c r="X445" s="772">
        <v>3787.28</v>
      </c>
      <c r="Y445" s="567">
        <v>3.4243037974683546</v>
      </c>
      <c r="Z445" s="387">
        <v>3.4243037974683546</v>
      </c>
      <c r="AA445" s="387">
        <v>3.4243037974683546</v>
      </c>
      <c r="AB445" s="387">
        <v>3.4243037974683546</v>
      </c>
      <c r="AC445" s="387">
        <v>3.4243037974683546</v>
      </c>
      <c r="AD445" s="387">
        <v>3.4243037974683546</v>
      </c>
      <c r="AE445" s="772"/>
      <c r="AF445" s="772"/>
      <c r="AG445" s="772"/>
      <c r="AK445" s="732"/>
      <c r="BB445" s="752"/>
    </row>
    <row r="446" spans="1:54" s="741" customFormat="1" ht="15" hidden="1" outlineLevel="1" thickBot="1" x14ac:dyDescent="0.4">
      <c r="A446" s="756"/>
      <c r="B446" s="756"/>
      <c r="C446" s="753"/>
      <c r="D446" s="4287"/>
      <c r="E446" s="1936" t="s">
        <v>4290</v>
      </c>
      <c r="F446" s="1787">
        <f>3787.28/1106</f>
        <v>3.4243037974683546</v>
      </c>
      <c r="G446" s="4298"/>
      <c r="H446" s="3160" t="s">
        <v>1619</v>
      </c>
      <c r="I446" s="375">
        <v>1106</v>
      </c>
      <c r="J446" s="756"/>
      <c r="K446" s="756"/>
      <c r="L446" s="756"/>
      <c r="M446" s="756"/>
      <c r="N446" s="756"/>
      <c r="O446" s="756"/>
      <c r="P446" s="756"/>
      <c r="Q446" s="756"/>
      <c r="R446" s="756"/>
      <c r="S446" s="756"/>
      <c r="T446" s="756"/>
      <c r="U446" s="756"/>
      <c r="V446" s="4301"/>
      <c r="W446" s="772">
        <v>3787.28</v>
      </c>
      <c r="X446" s="772">
        <v>3787.28</v>
      </c>
      <c r="Y446" s="567">
        <v>3.4243037974683546</v>
      </c>
      <c r="Z446" s="387">
        <v>3.4243037974683546</v>
      </c>
      <c r="AA446" s="387">
        <v>3.4243037974683546</v>
      </c>
      <c r="AB446" s="387">
        <v>3.4243037974683546</v>
      </c>
      <c r="AC446" s="387">
        <v>3.4243037974683546</v>
      </c>
      <c r="AD446" s="387">
        <v>3.4243037974683546</v>
      </c>
      <c r="AE446" s="772"/>
      <c r="AF446" s="772"/>
      <c r="AG446" s="772"/>
      <c r="AK446" s="732"/>
      <c r="BB446" s="752"/>
    </row>
    <row r="447" spans="1:54" hidden="1" outlineLevel="1" x14ac:dyDescent="0.35">
      <c r="B447" s="1040"/>
      <c r="Y447" s="790" t="s">
        <v>1578</v>
      </c>
      <c r="AK447" s="732"/>
    </row>
    <row r="448" spans="1:54" collapsed="1" x14ac:dyDescent="0.35">
      <c r="B448" s="1040"/>
      <c r="AK448" s="732"/>
    </row>
    <row r="449" spans="2:57" x14ac:dyDescent="0.35">
      <c r="B449" s="3664" t="s">
        <v>1635</v>
      </c>
      <c r="C449" s="3665"/>
      <c r="D449" s="3665"/>
      <c r="E449" s="3665"/>
      <c r="F449" s="3665"/>
      <c r="G449" s="3665"/>
      <c r="H449" s="3665"/>
      <c r="I449" s="3666"/>
      <c r="J449" s="3666"/>
      <c r="K449" s="3666"/>
      <c r="L449" s="3666"/>
      <c r="M449" s="3666"/>
      <c r="N449" s="3666"/>
      <c r="O449" s="3666"/>
      <c r="P449" s="3666"/>
      <c r="Q449" s="3666"/>
      <c r="R449" s="3667"/>
      <c r="V449" s="3664" t="str">
        <f>B449</f>
        <v>Floor Insulation</v>
      </c>
      <c r="W449" s="3665"/>
      <c r="X449" s="3665"/>
      <c r="Y449" s="3665"/>
      <c r="Z449" s="3665"/>
      <c r="AA449" s="3665"/>
      <c r="AB449" s="3665"/>
      <c r="AC449" s="3680"/>
      <c r="AD449" s="3680"/>
      <c r="AE449" s="3680"/>
      <c r="AF449" s="3680"/>
      <c r="AG449" s="3680"/>
      <c r="AH449" s="3680"/>
      <c r="AI449" s="3681"/>
      <c r="AK449" s="732"/>
    </row>
    <row r="450" spans="2:57" x14ac:dyDescent="0.35">
      <c r="B450" s="1328"/>
      <c r="C450" s="753"/>
      <c r="D450" s="1339"/>
      <c r="E450" s="1339" t="s">
        <v>1636</v>
      </c>
      <c r="F450" s="754"/>
      <c r="G450" s="754"/>
      <c r="H450" s="754"/>
      <c r="I450" s="754"/>
      <c r="J450" s="754"/>
      <c r="K450" s="754"/>
      <c r="L450" s="1340"/>
      <c r="M450" s="756"/>
      <c r="N450" s="756"/>
      <c r="O450" s="756"/>
      <c r="AK450" s="732"/>
    </row>
    <row r="451" spans="2:57" ht="29" x14ac:dyDescent="0.35">
      <c r="B451" s="1328"/>
      <c r="C451" s="2331" t="s">
        <v>27</v>
      </c>
      <c r="D451" s="2331" t="s">
        <v>174</v>
      </c>
      <c r="E451" s="2331" t="s">
        <v>29</v>
      </c>
      <c r="F451" s="2331" t="s">
        <v>30</v>
      </c>
      <c r="G451" s="2331" t="s">
        <v>175</v>
      </c>
      <c r="H451" s="2331" t="s">
        <v>176</v>
      </c>
      <c r="I451" s="2331" t="s">
        <v>493</v>
      </c>
      <c r="J451" s="2331" t="s">
        <v>494</v>
      </c>
      <c r="K451" s="2331" t="s">
        <v>31</v>
      </c>
      <c r="L451" s="2363" t="s">
        <v>180</v>
      </c>
      <c r="M451" s="2331" t="s">
        <v>169</v>
      </c>
      <c r="N451" s="2331" t="s">
        <v>1637</v>
      </c>
      <c r="O451" s="756"/>
      <c r="P451" s="756"/>
      <c r="Q451" s="756"/>
      <c r="R451" s="756"/>
      <c r="V451" s="1572" t="s">
        <v>44</v>
      </c>
      <c r="W451" s="1573">
        <f>W$6</f>
        <v>43252</v>
      </c>
      <c r="X451" s="1573">
        <f t="shared" ref="X451:AG451" si="53">X$6</f>
        <v>43465</v>
      </c>
      <c r="Y451" s="316">
        <f t="shared" si="53"/>
        <v>43800</v>
      </c>
      <c r="Z451" s="1573">
        <f t="shared" si="53"/>
        <v>43862</v>
      </c>
      <c r="AA451" s="1573">
        <f t="shared" si="53"/>
        <v>44013</v>
      </c>
      <c r="AB451" s="1573">
        <f t="shared" si="53"/>
        <v>44166</v>
      </c>
      <c r="AC451" s="1573">
        <f t="shared" si="53"/>
        <v>44531</v>
      </c>
      <c r="AD451" s="1573">
        <f t="shared" si="53"/>
        <v>44774</v>
      </c>
      <c r="AE451" s="1573" t="str">
        <f t="shared" si="53"/>
        <v>-</v>
      </c>
      <c r="AF451" s="1573" t="str">
        <f t="shared" si="53"/>
        <v>-</v>
      </c>
      <c r="AG451" s="1573" t="str">
        <f t="shared" si="53"/>
        <v>-</v>
      </c>
      <c r="AK451" s="732"/>
      <c r="BB451" s="1574" t="str">
        <f>$BB$6</f>
        <v>TRC (2022)</v>
      </c>
      <c r="BC451" s="1584" t="str">
        <f>$BC$6</f>
        <v>Benefit Lookup</v>
      </c>
      <c r="BD451" s="556" t="str">
        <f>$BD$6</f>
        <v>Benefits (2019 $)</v>
      </c>
      <c r="BE451" s="200" t="str">
        <f>$BE$6</f>
        <v>Incremental Cost (2019 $)</v>
      </c>
    </row>
    <row r="452" spans="2:57" x14ac:dyDescent="0.35">
      <c r="B452" s="1328"/>
      <c r="C452" s="831" t="s">
        <v>1638</v>
      </c>
      <c r="D452" s="1279" t="s">
        <v>1517</v>
      </c>
      <c r="E452" s="368" t="s">
        <v>1639</v>
      </c>
      <c r="F452" s="501">
        <f t="shared" ref="F452:F457" si="54">ROUND(I452+J452,2)</f>
        <v>2.4500000000000002</v>
      </c>
      <c r="G452" s="395" t="s">
        <v>1558</v>
      </c>
      <c r="H452" s="136">
        <f>VLOOKUP(G452,'CP FACTORS'!$A$3:$B$38, 2, FALSE)</f>
        <v>4.6608050000000002E-4</v>
      </c>
      <c r="I452" s="1231">
        <f>(1/F$469-1/F$471)*F$472*(1-F$473)*F474*24*F$477/(F478*3412)</f>
        <v>2.2122733692848771</v>
      </c>
      <c r="J452" s="1231">
        <f>(1/$F$469-1/$F$471)*$F$472*(1-$F$473)*F481*24*$F$484/($F$485*1000)</f>
        <v>0.23319970909090906</v>
      </c>
      <c r="K452" s="742">
        <f t="shared" ref="K452:K457" si="55">ROUND(H452*F452,6)</f>
        <v>1.142E-3</v>
      </c>
      <c r="L452" s="820">
        <f t="shared" ref="L452:L457" si="56">$F$486</f>
        <v>25</v>
      </c>
      <c r="M452" s="1845">
        <f t="shared" ref="M452:M457" si="57">$F$487</f>
        <v>0.67966666666666664</v>
      </c>
      <c r="N452" s="820">
        <f t="shared" ref="N452:N457" si="58">$F$472</f>
        <v>1</v>
      </c>
      <c r="O452" s="756"/>
      <c r="P452" s="756"/>
      <c r="Q452" s="756"/>
      <c r="R452" s="756"/>
      <c r="V452" s="141" t="str">
        <f t="shared" ref="V452:V457" si="59">$F$58</f>
        <v>kWh Annual Savings</v>
      </c>
      <c r="W452" s="206">
        <v>2641.1109246458486</v>
      </c>
      <c r="X452" s="372">
        <v>2641.1109246458486</v>
      </c>
      <c r="Y452" s="734">
        <v>2.4500000000000002</v>
      </c>
      <c r="Z452" s="731">
        <v>2.4500000000000002</v>
      </c>
      <c r="AA452" s="731">
        <v>2.4500000000000002</v>
      </c>
      <c r="AB452" s="731">
        <v>2.4500000000000002</v>
      </c>
      <c r="AC452" s="731">
        <v>2.4500000000000002</v>
      </c>
      <c r="AD452" s="731">
        <v>2.4500000000000002</v>
      </c>
      <c r="AE452" s="141"/>
      <c r="AF452" s="141"/>
      <c r="AG452" s="141"/>
      <c r="AK452" s="732"/>
      <c r="BB452" s="1585">
        <f t="shared" ref="BB452:BB457" si="60">(BD452)/(BE452)</f>
        <v>5.1431277655236389</v>
      </c>
      <c r="BC452" s="2381" t="str">
        <f t="shared" ref="BC452:BC457" si="61">CONCATENATE(G452," ",L452," Year EUL")</f>
        <v>Building Shell RES 25 Year EUL</v>
      </c>
      <c r="BD452" s="147">
        <f>(INDEX('Avoided Cost Benefits'!$E$4:$E$859,MATCH(BC452,'Avoided Cost Benefits'!$A$4:$A$859,0)))*F452</f>
        <v>3.2993039213159348</v>
      </c>
      <c r="BE452" s="1587">
        <f t="shared" ref="BE452:BE457" si="62">M452/(1.0595^(2020-2019))</f>
        <v>0.64149756174296046</v>
      </c>
    </row>
    <row r="453" spans="2:57" x14ac:dyDescent="0.35">
      <c r="B453" s="1328"/>
      <c r="C453" s="831" t="s">
        <v>1640</v>
      </c>
      <c r="D453" s="1279" t="s">
        <v>1517</v>
      </c>
      <c r="E453" s="368" t="s">
        <v>1641</v>
      </c>
      <c r="F453" s="501">
        <f t="shared" si="54"/>
        <v>1.42</v>
      </c>
      <c r="G453" s="395" t="s">
        <v>1558</v>
      </c>
      <c r="H453" s="136">
        <f>VLOOKUP(G453,'CP FACTORS'!$A$3:$B$38, 2, FALSE)</f>
        <v>4.6608050000000002E-4</v>
      </c>
      <c r="I453" s="1231">
        <f>(1/F$469-1/F$471)*F$472*(1-F$473)*F475*24*F$477/(F479*3412)</f>
        <v>1.1851464478311842</v>
      </c>
      <c r="J453" s="1231">
        <f>(1/$F$469-1/$F$471)*$F$472*(1-$F$473)*F482*24*$F$484/($F$485*1000)</f>
        <v>0.23319970909090906</v>
      </c>
      <c r="K453" s="742">
        <f t="shared" si="55"/>
        <v>6.6200000000000005E-4</v>
      </c>
      <c r="L453" s="820">
        <f t="shared" si="56"/>
        <v>25</v>
      </c>
      <c r="M453" s="1845">
        <f t="shared" si="57"/>
        <v>0.67966666666666664</v>
      </c>
      <c r="N453" s="820">
        <f t="shared" si="58"/>
        <v>1</v>
      </c>
      <c r="O453" s="756"/>
      <c r="P453" s="756"/>
      <c r="Q453" s="756"/>
      <c r="R453" s="756"/>
      <c r="V453" s="141" t="str">
        <f t="shared" si="59"/>
        <v>kWh Annual Savings</v>
      </c>
      <c r="W453" s="206"/>
      <c r="X453" s="372"/>
      <c r="Y453" s="734">
        <v>1.42</v>
      </c>
      <c r="Z453" s="731">
        <v>1.42</v>
      </c>
      <c r="AA453" s="731">
        <v>1.42</v>
      </c>
      <c r="AB453" s="731">
        <v>1.42</v>
      </c>
      <c r="AC453" s="731">
        <v>1.42</v>
      </c>
      <c r="AD453" s="731">
        <v>1.42</v>
      </c>
      <c r="AE453" s="141"/>
      <c r="AF453" s="141"/>
      <c r="AG453" s="141"/>
      <c r="AK453" s="732"/>
      <c r="BB453" s="1564">
        <f t="shared" si="60"/>
        <v>2.9809148681810478</v>
      </c>
      <c r="BC453" s="2381" t="str">
        <f t="shared" si="61"/>
        <v>Building Shell RES 25 Year EUL</v>
      </c>
      <c r="BD453" s="1536">
        <f>(INDEX('Avoided Cost Benefits'!$E$4:$E$859,MATCH(BC453,'Avoided Cost Benefits'!$A$4:$A$859,0)))*F453</f>
        <v>1.9122496197014804</v>
      </c>
      <c r="BE453" s="1537">
        <f t="shared" si="62"/>
        <v>0.64149756174296046</v>
      </c>
    </row>
    <row r="454" spans="2:57" x14ac:dyDescent="0.35">
      <c r="B454" s="1328"/>
      <c r="C454" s="831" t="s">
        <v>1642</v>
      </c>
      <c r="D454" s="1279" t="s">
        <v>1517</v>
      </c>
      <c r="E454" s="368" t="s">
        <v>1643</v>
      </c>
      <c r="F454" s="501">
        <f t="shared" si="54"/>
        <v>0.23</v>
      </c>
      <c r="G454" s="395" t="s">
        <v>1558</v>
      </c>
      <c r="H454" s="136">
        <f>VLOOKUP(G454,'CP FACTORS'!$A$3:$B$38, 2, FALSE)</f>
        <v>4.6608050000000002E-4</v>
      </c>
      <c r="I454" s="796">
        <f>(1/F$469-1/F$471)*F$472*(1-F$473)*F476*24*F$477/(F480*3412)</f>
        <v>0</v>
      </c>
      <c r="J454" s="1231">
        <f>(1/$F$469-1/$F$471)*$F$472*(1-$F$473)*F483*24*$F$484/($F$485*1000)</f>
        <v>0.23319970909090906</v>
      </c>
      <c r="K454" s="742">
        <f t="shared" si="55"/>
        <v>1.07E-4</v>
      </c>
      <c r="L454" s="820">
        <f t="shared" si="56"/>
        <v>25</v>
      </c>
      <c r="M454" s="1845">
        <f t="shared" si="57"/>
        <v>0.67966666666666664</v>
      </c>
      <c r="N454" s="820">
        <f t="shared" si="58"/>
        <v>1</v>
      </c>
      <c r="O454" s="756"/>
      <c r="P454" s="756"/>
      <c r="Q454" s="756"/>
      <c r="R454" s="756"/>
      <c r="V454" s="141" t="str">
        <f t="shared" si="59"/>
        <v>kWh Annual Savings</v>
      </c>
      <c r="W454" s="206"/>
      <c r="X454" s="372"/>
      <c r="Y454" s="734">
        <v>0.23</v>
      </c>
      <c r="Z454" s="731">
        <v>0.23</v>
      </c>
      <c r="AA454" s="731">
        <v>0.23</v>
      </c>
      <c r="AB454" s="731">
        <v>0.23</v>
      </c>
      <c r="AC454" s="731">
        <v>0.23</v>
      </c>
      <c r="AD454" s="731">
        <v>0.23</v>
      </c>
      <c r="AE454" s="141"/>
      <c r="AF454" s="141"/>
      <c r="AG454" s="141"/>
      <c r="AK454" s="732"/>
      <c r="BB454" s="1564">
        <f t="shared" si="60"/>
        <v>0.48282423921242318</v>
      </c>
      <c r="BC454" s="2381" t="str">
        <f t="shared" si="61"/>
        <v>Building Shell RES 25 Year EUL</v>
      </c>
      <c r="BD454" s="1536">
        <f>(INDEX('Avoided Cost Benefits'!$E$4:$E$859,MATCH(BC454,'Avoided Cost Benefits'!$A$4:$A$859,0)))*F454</f>
        <v>0.30973057220516936</v>
      </c>
      <c r="BE454" s="1537">
        <f t="shared" si="62"/>
        <v>0.64149756174296046</v>
      </c>
    </row>
    <row r="455" spans="2:57" x14ac:dyDescent="0.35">
      <c r="B455" s="1328"/>
      <c r="C455" s="831" t="s">
        <v>1644</v>
      </c>
      <c r="D455" s="1279" t="s">
        <v>1517</v>
      </c>
      <c r="E455" s="368" t="s">
        <v>1645</v>
      </c>
      <c r="F455" s="501">
        <f t="shared" si="54"/>
        <v>0.22</v>
      </c>
      <c r="G455" s="395" t="s">
        <v>1558</v>
      </c>
      <c r="H455" s="136">
        <f>VLOOKUP(G455,'CP FACTORS'!$A$3:$B$38, 2, FALSE)</f>
        <v>4.6608050000000002E-4</v>
      </c>
      <c r="I455" s="1231">
        <f>(1/F$470-1/F$471)*F$472*(1-F$473)*F474*24*F$477/(F478*3412)</f>
        <v>0.1973869528633678</v>
      </c>
      <c r="J455" s="1231">
        <f>(1/$F$470-1/$F$471)*$F$472*(1-$F$473)*F481*24*$F$484/($F$485*1000)</f>
        <v>2.080691320754716E-2</v>
      </c>
      <c r="K455" s="742">
        <f t="shared" si="55"/>
        <v>1.03E-4</v>
      </c>
      <c r="L455" s="820">
        <f t="shared" si="56"/>
        <v>25</v>
      </c>
      <c r="M455" s="1845">
        <f t="shared" si="57"/>
        <v>0.67966666666666664</v>
      </c>
      <c r="N455" s="820">
        <f t="shared" si="58"/>
        <v>1</v>
      </c>
      <c r="O455" s="756"/>
      <c r="P455" s="756"/>
      <c r="Q455" s="756"/>
      <c r="R455" s="756"/>
      <c r="V455" s="141" t="str">
        <f t="shared" si="59"/>
        <v>kWh Annual Savings</v>
      </c>
      <c r="W455" s="206"/>
      <c r="X455" s="372"/>
      <c r="Y455" s="734"/>
      <c r="Z455" s="1599">
        <v>0.22</v>
      </c>
      <c r="AA455" s="50">
        <v>0.22</v>
      </c>
      <c r="AB455" s="50">
        <v>0.22</v>
      </c>
      <c r="AC455" s="50">
        <v>0.22</v>
      </c>
      <c r="AD455" s="50">
        <v>0.22</v>
      </c>
      <c r="AE455" s="141"/>
      <c r="AF455" s="141"/>
      <c r="AG455" s="141"/>
      <c r="AK455" s="732"/>
      <c r="BB455" s="1585">
        <f t="shared" si="60"/>
        <v>0.46183188098579614</v>
      </c>
      <c r="BC455" s="2381" t="str">
        <f t="shared" si="61"/>
        <v>Building Shell RES 25 Year EUL</v>
      </c>
      <c r="BD455" s="147">
        <f>(INDEX('Avoided Cost Benefits'!$E$4:$E$859,MATCH(BC455,'Avoided Cost Benefits'!$A$4:$A$859,0)))*F455</f>
        <v>0.29626402558755333</v>
      </c>
      <c r="BE455" s="1587">
        <f t="shared" si="62"/>
        <v>0.64149756174296046</v>
      </c>
    </row>
    <row r="456" spans="2:57" x14ac:dyDescent="0.35">
      <c r="B456" s="1328"/>
      <c r="C456" s="831" t="s">
        <v>1646</v>
      </c>
      <c r="D456" s="1279" t="s">
        <v>1517</v>
      </c>
      <c r="E456" s="368" t="s">
        <v>1647</v>
      </c>
      <c r="F456" s="501">
        <f t="shared" si="54"/>
        <v>0.13</v>
      </c>
      <c r="G456" s="395" t="s">
        <v>1558</v>
      </c>
      <c r="H456" s="136">
        <f>VLOOKUP(G456,'CP FACTORS'!$A$3:$B$38, 2, FALSE)</f>
        <v>4.6608050000000002E-4</v>
      </c>
      <c r="I456" s="1231">
        <f>(1/F$470-1/F$471)*F$472*(1-F$473)*F475*24*F$477/(F479*3412)</f>
        <v>0.10574301046251848</v>
      </c>
      <c r="J456" s="1231">
        <f>(1/$F$470-1/$F$471)*$F$472*(1-$F$473)*F482*24*$F$484/($F$485*1000)</f>
        <v>2.080691320754716E-2</v>
      </c>
      <c r="K456" s="742">
        <f t="shared" si="55"/>
        <v>6.0999999999999999E-5</v>
      </c>
      <c r="L456" s="820">
        <f t="shared" si="56"/>
        <v>25</v>
      </c>
      <c r="M456" s="1845">
        <f t="shared" si="57"/>
        <v>0.67966666666666664</v>
      </c>
      <c r="N456" s="820">
        <f t="shared" si="58"/>
        <v>1</v>
      </c>
      <c r="O456" s="756"/>
      <c r="P456" s="756"/>
      <c r="Q456" s="756"/>
      <c r="R456" s="756"/>
      <c r="V456" s="141" t="str">
        <f t="shared" si="59"/>
        <v>kWh Annual Savings</v>
      </c>
      <c r="W456" s="206"/>
      <c r="X456" s="372"/>
      <c r="Y456" s="734"/>
      <c r="Z456" s="1599">
        <v>0.13</v>
      </c>
      <c r="AA456" s="50">
        <v>0.13</v>
      </c>
      <c r="AB456" s="50">
        <v>0.13</v>
      </c>
      <c r="AC456" s="50">
        <v>0.13</v>
      </c>
      <c r="AD456" s="50">
        <v>0.13</v>
      </c>
      <c r="AE456" s="141"/>
      <c r="AF456" s="141"/>
      <c r="AG456" s="141"/>
      <c r="AK456" s="732"/>
      <c r="BB456" s="1535">
        <f t="shared" si="60"/>
        <v>0.27290065694615229</v>
      </c>
      <c r="BC456" s="2381" t="str">
        <f t="shared" si="61"/>
        <v>Building Shell RES 25 Year EUL</v>
      </c>
      <c r="BD456" s="1536">
        <f>(INDEX('Avoided Cost Benefits'!$E$4:$E$859,MATCH(BC456,'Avoided Cost Benefits'!$A$4:$A$859,0)))*F456</f>
        <v>0.17506510602900879</v>
      </c>
      <c r="BE456" s="1537">
        <f t="shared" si="62"/>
        <v>0.64149756174296046</v>
      </c>
    </row>
    <row r="457" spans="2:57" x14ac:dyDescent="0.35">
      <c r="B457" s="1328"/>
      <c r="C457" s="831" t="s">
        <v>1648</v>
      </c>
      <c r="D457" s="1279" t="s">
        <v>1517</v>
      </c>
      <c r="E457" s="368" t="s">
        <v>1649</v>
      </c>
      <c r="F457" s="501">
        <f t="shared" si="54"/>
        <v>0.02</v>
      </c>
      <c r="G457" s="395" t="s">
        <v>1558</v>
      </c>
      <c r="H457" s="136">
        <f>VLOOKUP(G457,'CP FACTORS'!$A$3:$B$38, 2, FALSE)</f>
        <v>4.6608050000000002E-4</v>
      </c>
      <c r="I457" s="1231">
        <f>(1/F$470-1/F$471)*F$472*(1-F$473)*F476*24*F$477/(F480*3412)</f>
        <v>0</v>
      </c>
      <c r="J457" s="1231">
        <f>(1/$F$470-1/$F$471)*$F$472*(1-$F$473)*F483*24*$F$484/($F$485*1000)</f>
        <v>2.080691320754716E-2</v>
      </c>
      <c r="K457" s="742">
        <f t="shared" si="55"/>
        <v>9.0000000000000002E-6</v>
      </c>
      <c r="L457" s="820">
        <f t="shared" si="56"/>
        <v>25</v>
      </c>
      <c r="M457" s="1845">
        <f t="shared" si="57"/>
        <v>0.67966666666666664</v>
      </c>
      <c r="N457" s="820">
        <f t="shared" si="58"/>
        <v>1</v>
      </c>
      <c r="O457" s="756"/>
      <c r="P457" s="756"/>
      <c r="Q457" s="756"/>
      <c r="R457" s="756"/>
      <c r="V457" s="141" t="str">
        <f t="shared" si="59"/>
        <v>kWh Annual Savings</v>
      </c>
      <c r="W457" s="206"/>
      <c r="X457" s="372"/>
      <c r="Y457" s="734"/>
      <c r="Z457" s="1599">
        <v>0.02</v>
      </c>
      <c r="AA457" s="50">
        <v>0.02</v>
      </c>
      <c r="AB457" s="50">
        <v>0.02</v>
      </c>
      <c r="AC457" s="50">
        <v>0.02</v>
      </c>
      <c r="AD457" s="50">
        <v>0.02</v>
      </c>
      <c r="AE457" s="141"/>
      <c r="AF457" s="141"/>
      <c r="AG457" s="141"/>
      <c r="AK457" s="732"/>
      <c r="BB457" s="1535">
        <f t="shared" si="60"/>
        <v>4.1984716453254196E-2</v>
      </c>
      <c r="BC457" s="2381" t="str">
        <f t="shared" si="61"/>
        <v>Building Shell RES 25 Year EUL</v>
      </c>
      <c r="BD457" s="1536">
        <f>(INDEX('Avoided Cost Benefits'!$E$4:$E$859,MATCH(BC457,'Avoided Cost Benefits'!$A$4:$A$859,0)))*F457</f>
        <v>2.693309323523212E-2</v>
      </c>
      <c r="BE457" s="1537">
        <f t="shared" si="62"/>
        <v>0.64149756174296046</v>
      </c>
    </row>
    <row r="458" spans="2:57" hidden="1" outlineLevel="1" x14ac:dyDescent="0.35">
      <c r="B458" s="1328"/>
      <c r="C458" s="753"/>
      <c r="D458" s="375"/>
      <c r="E458" s="375"/>
      <c r="F458" s="1241"/>
      <c r="G458" s="756"/>
      <c r="H458" s="756"/>
      <c r="I458" s="756"/>
      <c r="J458" s="756"/>
      <c r="K458" s="756"/>
      <c r="L458" s="756"/>
      <c r="M458" s="756"/>
      <c r="N458" s="756"/>
      <c r="O458" s="756"/>
      <c r="P458" s="756"/>
      <c r="Q458" s="756"/>
      <c r="R458" s="756"/>
      <c r="AK458" s="732"/>
    </row>
    <row r="459" spans="2:57" hidden="1" outlineLevel="1" x14ac:dyDescent="0.35">
      <c r="B459" s="1328"/>
      <c r="C459" s="753"/>
      <c r="D459" s="152" t="s">
        <v>107</v>
      </c>
      <c r="E459" s="1361"/>
      <c r="F459" s="1457"/>
      <c r="G459" s="800"/>
      <c r="H459" s="756"/>
      <c r="I459" s="756"/>
      <c r="J459" s="756"/>
      <c r="K459" s="756"/>
      <c r="L459" s="756"/>
      <c r="M459" s="756"/>
      <c r="N459" s="756"/>
      <c r="O459" s="756"/>
      <c r="AK459" s="732"/>
    </row>
    <row r="460" spans="2:57" hidden="1" outlineLevel="1" x14ac:dyDescent="0.35">
      <c r="B460" s="1328"/>
      <c r="C460" s="753"/>
      <c r="D460" s="152"/>
      <c r="E460" s="1361"/>
      <c r="F460" s="1457"/>
      <c r="G460" s="800"/>
      <c r="H460" s="756"/>
      <c r="I460" s="756"/>
      <c r="J460" s="756"/>
      <c r="K460" s="756"/>
      <c r="L460" s="756"/>
      <c r="M460" s="756"/>
      <c r="N460" s="756"/>
      <c r="O460" s="756"/>
      <c r="AK460" s="732"/>
    </row>
    <row r="461" spans="2:57" hidden="1" outlineLevel="1" x14ac:dyDescent="0.35">
      <c r="B461" s="1328"/>
      <c r="C461" s="753"/>
      <c r="D461" s="152"/>
      <c r="E461" s="1361"/>
      <c r="F461" s="1457"/>
      <c r="G461" s="800"/>
      <c r="H461" s="756"/>
      <c r="I461" s="756"/>
      <c r="J461" s="756"/>
      <c r="K461" s="756"/>
      <c r="L461" s="756"/>
      <c r="M461" s="756"/>
      <c r="N461" s="756"/>
      <c r="O461" s="756"/>
      <c r="AK461" s="732"/>
    </row>
    <row r="462" spans="2:57" hidden="1" outlineLevel="1" x14ac:dyDescent="0.35">
      <c r="B462" s="1328"/>
      <c r="C462" s="753"/>
      <c r="D462" s="152"/>
      <c r="E462" s="1361"/>
      <c r="F462" s="1457"/>
      <c r="G462" s="800"/>
      <c r="H462" s="756"/>
      <c r="I462" s="756"/>
      <c r="J462" s="756"/>
      <c r="K462" s="756"/>
      <c r="L462" s="756"/>
      <c r="M462" s="756"/>
      <c r="N462" s="756"/>
      <c r="O462" s="756"/>
      <c r="AK462" s="732"/>
    </row>
    <row r="463" spans="2:57" ht="18" hidden="1" customHeight="1" outlineLevel="1" x14ac:dyDescent="0.35">
      <c r="B463" s="1328"/>
      <c r="C463" s="758"/>
      <c r="D463" s="4312"/>
      <c r="E463" s="4312"/>
      <c r="F463" s="4312"/>
      <c r="G463" s="4312"/>
      <c r="H463" s="773"/>
      <c r="I463" s="773"/>
      <c r="J463" s="773"/>
      <c r="K463" s="773"/>
      <c r="L463" s="773"/>
      <c r="M463" s="756"/>
      <c r="N463" s="756"/>
      <c r="O463" s="756"/>
      <c r="AK463" s="732"/>
    </row>
    <row r="464" spans="2:57" hidden="1" outlineLevel="1" x14ac:dyDescent="0.35">
      <c r="B464" s="1328"/>
      <c r="C464" s="759"/>
      <c r="D464" s="4312"/>
      <c r="E464" s="4312"/>
      <c r="F464" s="4312"/>
      <c r="G464" s="4312"/>
      <c r="H464" s="773"/>
      <c r="I464" s="773"/>
      <c r="J464" s="773"/>
      <c r="K464" s="773"/>
      <c r="L464" s="773"/>
      <c r="M464" s="756"/>
      <c r="N464" s="756"/>
      <c r="O464" s="756"/>
      <c r="AK464" s="732"/>
    </row>
    <row r="465" spans="2:37" hidden="1" outlineLevel="1" x14ac:dyDescent="0.35">
      <c r="B465" s="1328"/>
      <c r="C465" s="759"/>
      <c r="D465" s="4312"/>
      <c r="E465" s="4312"/>
      <c r="F465" s="4312"/>
      <c r="G465" s="4312"/>
      <c r="H465" s="773"/>
      <c r="I465" s="773"/>
      <c r="J465" s="773"/>
      <c r="K465" s="773"/>
      <c r="L465" s="773"/>
      <c r="M465" s="756"/>
      <c r="N465" s="756"/>
      <c r="O465" s="756"/>
      <c r="AK465" s="732"/>
    </row>
    <row r="466" spans="2:37" ht="15" hidden="1" customHeight="1" outlineLevel="1" x14ac:dyDescent="0.35">
      <c r="B466" s="1328"/>
      <c r="C466" s="760"/>
      <c r="D466" s="4312"/>
      <c r="E466" s="4312"/>
      <c r="F466" s="4312"/>
      <c r="G466" s="4312"/>
      <c r="H466" s="773"/>
      <c r="I466" s="773"/>
      <c r="J466" s="773"/>
      <c r="K466" s="773"/>
      <c r="L466" s="773"/>
      <c r="M466" s="756"/>
      <c r="N466" s="756"/>
      <c r="O466" s="756"/>
      <c r="AK466" s="732"/>
    </row>
    <row r="467" spans="2:37" hidden="1" outlineLevel="1" x14ac:dyDescent="0.35">
      <c r="B467" s="1328"/>
      <c r="C467" s="753"/>
      <c r="D467" s="375"/>
      <c r="E467" s="375"/>
      <c r="F467" s="756"/>
      <c r="G467" s="756"/>
      <c r="H467" s="756"/>
      <c r="I467" s="756"/>
      <c r="J467" s="756"/>
      <c r="K467" s="756"/>
      <c r="L467" s="756"/>
      <c r="M467" s="756"/>
      <c r="N467" s="756"/>
      <c r="O467" s="756"/>
      <c r="AK467" s="732"/>
    </row>
    <row r="468" spans="2:37" hidden="1" outlineLevel="1" x14ac:dyDescent="0.35">
      <c r="B468" s="1328"/>
      <c r="C468" s="753"/>
      <c r="D468" s="2423" t="s">
        <v>108</v>
      </c>
      <c r="E468" s="2423" t="s">
        <v>109</v>
      </c>
      <c r="F468" s="2331" t="s">
        <v>111</v>
      </c>
      <c r="G468" s="2331" t="s">
        <v>186</v>
      </c>
      <c r="H468" s="2331" t="s">
        <v>282</v>
      </c>
      <c r="I468" s="756"/>
      <c r="J468" s="756"/>
      <c r="K468" s="756"/>
      <c r="L468" s="756"/>
      <c r="M468" s="756"/>
      <c r="N468" s="756"/>
      <c r="O468" s="756"/>
      <c r="V468" s="1572" t="s">
        <v>44</v>
      </c>
      <c r="W468" s="1573">
        <f>W$6</f>
        <v>43252</v>
      </c>
      <c r="X468" s="1573">
        <f t="shared" ref="X468:AG468" si="63">X$6</f>
        <v>43465</v>
      </c>
      <c r="Y468" s="316">
        <f t="shared" si="63"/>
        <v>43800</v>
      </c>
      <c r="Z468" s="1573">
        <f t="shared" si="63"/>
        <v>43862</v>
      </c>
      <c r="AA468" s="1573">
        <f t="shared" si="63"/>
        <v>44013</v>
      </c>
      <c r="AB468" s="1573">
        <f t="shared" si="63"/>
        <v>44166</v>
      </c>
      <c r="AC468" s="1573">
        <f t="shared" si="63"/>
        <v>44531</v>
      </c>
      <c r="AD468" s="1573">
        <f t="shared" si="63"/>
        <v>44774</v>
      </c>
      <c r="AE468" s="1573" t="str">
        <f t="shared" si="63"/>
        <v>-</v>
      </c>
      <c r="AF468" s="1573" t="str">
        <f t="shared" si="63"/>
        <v>-</v>
      </c>
      <c r="AG468" s="1573" t="str">
        <f t="shared" si="63"/>
        <v>-</v>
      </c>
      <c r="AK468" s="732"/>
    </row>
    <row r="469" spans="2:37" ht="29" hidden="1" outlineLevel="1" x14ac:dyDescent="0.35">
      <c r="B469" s="1328"/>
      <c r="C469" s="753"/>
      <c r="D469" s="3843" t="s">
        <v>1611</v>
      </c>
      <c r="E469" s="368" t="s">
        <v>1650</v>
      </c>
      <c r="F469" s="783">
        <v>3.96</v>
      </c>
      <c r="G469" s="2393" t="s">
        <v>1651</v>
      </c>
      <c r="H469" s="822"/>
      <c r="I469" s="756"/>
      <c r="J469" s="756"/>
      <c r="K469" s="756"/>
      <c r="L469" s="756"/>
      <c r="M469" s="756"/>
      <c r="N469" s="756"/>
      <c r="O469" s="756"/>
      <c r="V469" s="4278" t="str">
        <f>D469</f>
        <v>Rold</v>
      </c>
      <c r="W469" s="764">
        <v>3.96</v>
      </c>
      <c r="X469" s="764">
        <v>3.96</v>
      </c>
      <c r="Y469" s="764">
        <v>3.96</v>
      </c>
      <c r="Z469" s="764">
        <v>3.96</v>
      </c>
      <c r="AA469" s="783">
        <v>3.96</v>
      </c>
      <c r="AB469" s="783">
        <v>3.96</v>
      </c>
      <c r="AC469" s="783">
        <v>3.96</v>
      </c>
      <c r="AD469" s="783">
        <v>3.96</v>
      </c>
      <c r="AE469" s="764"/>
      <c r="AF469" s="764"/>
      <c r="AG469" s="764"/>
      <c r="AK469" s="732"/>
    </row>
    <row r="470" spans="2:37" ht="29" hidden="1" outlineLevel="1" x14ac:dyDescent="0.35">
      <c r="B470" s="1328"/>
      <c r="C470" s="753"/>
      <c r="D470" s="3779"/>
      <c r="E470" s="368" t="s">
        <v>1652</v>
      </c>
      <c r="F470" s="783">
        <f>F469+13</f>
        <v>16.96</v>
      </c>
      <c r="G470" s="2393" t="s">
        <v>1653</v>
      </c>
      <c r="H470" s="822"/>
      <c r="I470" s="756"/>
      <c r="J470" s="756"/>
      <c r="K470" s="756"/>
      <c r="L470" s="756"/>
      <c r="M470" s="756"/>
      <c r="N470" s="756"/>
      <c r="O470" s="756"/>
      <c r="V470" s="3779"/>
      <c r="W470" s="764"/>
      <c r="X470" s="764"/>
      <c r="Y470" s="762"/>
      <c r="Z470" s="762">
        <v>16.96</v>
      </c>
      <c r="AA470" s="783">
        <v>16.96</v>
      </c>
      <c r="AB470" s="783">
        <v>16.96</v>
      </c>
      <c r="AC470" s="783">
        <f>AC469+13</f>
        <v>16.96</v>
      </c>
      <c r="AD470" s="783">
        <f>AD469+13</f>
        <v>16.96</v>
      </c>
      <c r="AE470" s="764"/>
      <c r="AF470" s="764"/>
      <c r="AG470" s="764"/>
      <c r="AK470" s="732"/>
    </row>
    <row r="471" spans="2:37" ht="16.5" hidden="1" outlineLevel="1" x14ac:dyDescent="0.35">
      <c r="B471" s="1328"/>
      <c r="C471" s="753"/>
      <c r="D471" s="2417" t="s">
        <v>1654</v>
      </c>
      <c r="E471" s="368" t="s">
        <v>1655</v>
      </c>
      <c r="F471" s="1018">
        <v>25</v>
      </c>
      <c r="G471" s="2393"/>
      <c r="H471" s="822"/>
      <c r="I471" s="756"/>
      <c r="J471" s="756"/>
      <c r="K471" s="756"/>
      <c r="L471" s="756"/>
      <c r="M471" s="756"/>
      <c r="N471" s="756"/>
      <c r="O471" s="756"/>
      <c r="V471" s="2406" t="str">
        <f t="shared" ref="V471:V485" si="64">D471</f>
        <v>Radded</v>
      </c>
      <c r="W471" s="750">
        <v>25</v>
      </c>
      <c r="X471" s="750">
        <v>25</v>
      </c>
      <c r="Y471" s="750">
        <v>25</v>
      </c>
      <c r="Z471" s="750">
        <v>25</v>
      </c>
      <c r="AA471" s="1018">
        <v>25</v>
      </c>
      <c r="AB471" s="1018">
        <v>25</v>
      </c>
      <c r="AC471" s="1018">
        <v>25</v>
      </c>
      <c r="AD471" s="1018">
        <v>25</v>
      </c>
      <c r="AE471" s="750"/>
      <c r="AF471" s="750"/>
      <c r="AG471" s="750"/>
      <c r="AK471" s="732"/>
    </row>
    <row r="472" spans="2:37" ht="43.5" hidden="1" outlineLevel="1" x14ac:dyDescent="0.35">
      <c r="B472" s="756"/>
      <c r="C472" s="753"/>
      <c r="D472" s="2365" t="s">
        <v>1656</v>
      </c>
      <c r="E472" s="368" t="s">
        <v>1655</v>
      </c>
      <c r="F472" s="1018">
        <v>1</v>
      </c>
      <c r="G472" s="2393"/>
      <c r="H472" s="2393" t="s">
        <v>1657</v>
      </c>
      <c r="I472" s="756"/>
      <c r="J472" s="756"/>
      <c r="K472" s="756"/>
      <c r="L472" s="756"/>
      <c r="M472" s="756"/>
      <c r="N472" s="756"/>
      <c r="O472" s="756"/>
      <c r="V472" s="763" t="str">
        <f t="shared" si="64"/>
        <v>AFloor</v>
      </c>
      <c r="W472" s="750">
        <f>72*15</f>
        <v>1080</v>
      </c>
      <c r="X472" s="750">
        <v>1080</v>
      </c>
      <c r="Y472" s="533">
        <v>1</v>
      </c>
      <c r="Z472" s="750">
        <v>1</v>
      </c>
      <c r="AA472" s="1018">
        <v>1</v>
      </c>
      <c r="AB472" s="1018">
        <v>1</v>
      </c>
      <c r="AC472" s="1018">
        <v>1</v>
      </c>
      <c r="AD472" s="1018">
        <v>1</v>
      </c>
      <c r="AE472" s="750"/>
      <c r="AF472" s="750"/>
      <c r="AG472" s="750"/>
      <c r="AK472" s="732"/>
    </row>
    <row r="473" spans="2:37" ht="16.5" hidden="1" outlineLevel="1" x14ac:dyDescent="0.35">
      <c r="B473" s="756"/>
      <c r="C473" s="753"/>
      <c r="D473" s="2365" t="s">
        <v>1658</v>
      </c>
      <c r="E473" s="368" t="s">
        <v>1655</v>
      </c>
      <c r="F473" s="787">
        <v>0.12</v>
      </c>
      <c r="G473" s="2393"/>
      <c r="H473" s="822"/>
      <c r="I473" s="756"/>
      <c r="J473" s="1357"/>
      <c r="K473" s="756"/>
      <c r="L473" s="756"/>
      <c r="M473" s="756"/>
      <c r="N473" s="756"/>
      <c r="O473" s="756"/>
      <c r="V473" s="763" t="str">
        <f t="shared" si="64"/>
        <v>Framing FactorFloor</v>
      </c>
      <c r="W473" s="761">
        <v>0.12</v>
      </c>
      <c r="X473" s="761">
        <v>0.12</v>
      </c>
      <c r="Y473" s="761">
        <v>0.12</v>
      </c>
      <c r="Z473" s="761">
        <v>0.12</v>
      </c>
      <c r="AA473" s="787">
        <v>0.12</v>
      </c>
      <c r="AB473" s="787">
        <v>0.12</v>
      </c>
      <c r="AC473" s="787">
        <v>0.12</v>
      </c>
      <c r="AD473" s="787">
        <v>0.12</v>
      </c>
      <c r="AE473" s="761"/>
      <c r="AF473" s="761"/>
      <c r="AG473" s="761"/>
      <c r="AK473" s="732"/>
    </row>
    <row r="474" spans="2:37" hidden="1" outlineLevel="1" x14ac:dyDescent="0.35">
      <c r="B474" s="756"/>
      <c r="C474" s="753"/>
      <c r="D474" s="3843" t="s">
        <v>1623</v>
      </c>
      <c r="E474" s="368" t="str">
        <f>E452</f>
        <v>Floor Insulation R25 (R-3.96 base) MH electric furnace/baseboard and electric cooling</v>
      </c>
      <c r="F474" s="1018">
        <v>1911</v>
      </c>
      <c r="G474" s="4308" t="s">
        <v>314</v>
      </c>
      <c r="H474" s="4310" t="s">
        <v>1659</v>
      </c>
      <c r="I474" s="756"/>
      <c r="J474" s="756"/>
      <c r="K474" s="756"/>
      <c r="L474" s="756"/>
      <c r="M474" s="756"/>
      <c r="N474" s="756"/>
      <c r="O474" s="756"/>
      <c r="V474" s="4278" t="str">
        <f t="shared" si="64"/>
        <v>HDD</v>
      </c>
      <c r="W474" s="750">
        <v>1911</v>
      </c>
      <c r="X474" s="750">
        <v>1911</v>
      </c>
      <c r="Y474" s="750">
        <v>1911</v>
      </c>
      <c r="Z474" s="775">
        <v>1911</v>
      </c>
      <c r="AA474" s="789">
        <v>1911</v>
      </c>
      <c r="AB474" s="789">
        <v>1911</v>
      </c>
      <c r="AC474" s="1018">
        <v>1911</v>
      </c>
      <c r="AD474" s="1018">
        <v>1911</v>
      </c>
      <c r="AE474" s="750"/>
      <c r="AF474" s="750"/>
      <c r="AG474" s="750"/>
      <c r="AK474" s="732"/>
    </row>
    <row r="475" spans="2:37" hidden="1" outlineLevel="1" x14ac:dyDescent="0.35">
      <c r="B475" s="756"/>
      <c r="C475" s="753"/>
      <c r="D475" s="3844"/>
      <c r="E475" s="368" t="str">
        <f>E453</f>
        <v>Floor Insulation R25 (R-3.96 base) MH heat pump and electric cooling</v>
      </c>
      <c r="F475" s="1018">
        <f>F474</f>
        <v>1911</v>
      </c>
      <c r="G475" s="4044"/>
      <c r="H475" s="4311"/>
      <c r="I475" s="756"/>
      <c r="J475" s="756"/>
      <c r="K475" s="756"/>
      <c r="L475" s="756"/>
      <c r="M475" s="756"/>
      <c r="N475" s="756"/>
      <c r="O475" s="756"/>
      <c r="V475" s="4279"/>
      <c r="W475" s="750"/>
      <c r="X475" s="750"/>
      <c r="Y475" s="774">
        <v>1911</v>
      </c>
      <c r="Z475" s="775">
        <v>1911</v>
      </c>
      <c r="AA475" s="789">
        <v>1911</v>
      </c>
      <c r="AB475" s="789">
        <v>1911</v>
      </c>
      <c r="AC475" s="1018">
        <f>AC474</f>
        <v>1911</v>
      </c>
      <c r="AD475" s="1018">
        <f>AD474</f>
        <v>1911</v>
      </c>
      <c r="AE475" s="750"/>
      <c r="AF475" s="750"/>
      <c r="AG475" s="750"/>
      <c r="AK475" s="732"/>
    </row>
    <row r="476" spans="2:37" hidden="1" outlineLevel="1" x14ac:dyDescent="0.35">
      <c r="B476" s="756"/>
      <c r="C476" s="753"/>
      <c r="D476" s="4307"/>
      <c r="E476" s="368" t="str">
        <f>E454</f>
        <v>Floor Insulation R25 (R-3.96 base) MH gas furnace/baseboard and electric cooling</v>
      </c>
      <c r="F476" s="1018">
        <v>0</v>
      </c>
      <c r="G476" s="2393"/>
      <c r="H476" s="822"/>
      <c r="I476" s="756"/>
      <c r="J476" s="756"/>
      <c r="K476" s="756"/>
      <c r="L476" s="756"/>
      <c r="M476" s="756"/>
      <c r="N476" s="756"/>
      <c r="O476" s="756"/>
      <c r="V476" s="4288"/>
      <c r="W476" s="750"/>
      <c r="X476" s="750"/>
      <c r="Y476" s="774">
        <v>0</v>
      </c>
      <c r="Z476" s="775">
        <v>0</v>
      </c>
      <c r="AA476" s="789">
        <v>0</v>
      </c>
      <c r="AB476" s="789">
        <v>0</v>
      </c>
      <c r="AC476" s="1018">
        <v>0</v>
      </c>
      <c r="AD476" s="1018">
        <v>0</v>
      </c>
      <c r="AE476" s="750"/>
      <c r="AF476" s="750"/>
      <c r="AG476" s="750"/>
      <c r="AK476" s="732"/>
    </row>
    <row r="477" spans="2:37" ht="16.5" hidden="1" outlineLevel="1" x14ac:dyDescent="0.35">
      <c r="B477" s="756"/>
      <c r="C477" s="753"/>
      <c r="D477" s="2365" t="s">
        <v>1660</v>
      </c>
      <c r="E477" s="368" t="s">
        <v>1655</v>
      </c>
      <c r="F477" s="787">
        <v>0.88</v>
      </c>
      <c r="G477" s="2393" t="s">
        <v>284</v>
      </c>
      <c r="H477" s="822"/>
      <c r="I477" s="1358"/>
      <c r="J477" s="756"/>
      <c r="K477" s="756"/>
      <c r="L477" s="756"/>
      <c r="M477" s="756"/>
      <c r="N477" s="756"/>
      <c r="O477" s="756"/>
      <c r="V477" s="763" t="str">
        <f t="shared" si="64"/>
        <v>AdjFloor</v>
      </c>
      <c r="W477" s="761">
        <v>0.88</v>
      </c>
      <c r="X477" s="761">
        <v>0.88</v>
      </c>
      <c r="Y477" s="761">
        <v>0.88</v>
      </c>
      <c r="Z477" s="776">
        <v>0.88</v>
      </c>
      <c r="AA477" s="512">
        <v>0.88</v>
      </c>
      <c r="AB477" s="512">
        <v>0.88</v>
      </c>
      <c r="AC477" s="787">
        <v>0.88</v>
      </c>
      <c r="AD477" s="787">
        <v>0.88</v>
      </c>
      <c r="AE477" s="761"/>
      <c r="AF477" s="761"/>
      <c r="AG477" s="761"/>
      <c r="AK477" s="732"/>
    </row>
    <row r="478" spans="2:37" hidden="1" outlineLevel="1" x14ac:dyDescent="0.35">
      <c r="B478" s="756"/>
      <c r="C478" s="753"/>
      <c r="D478" s="3843" t="s">
        <v>1626</v>
      </c>
      <c r="E478" s="368" t="str">
        <f>E452</f>
        <v>Floor Insulation R25 (R-3.96 base) MH electric furnace/baseboard and electric cooling</v>
      </c>
      <c r="F478" s="783">
        <v>1</v>
      </c>
      <c r="G478" s="2393" t="s">
        <v>284</v>
      </c>
      <c r="H478" s="4308" t="s">
        <v>288</v>
      </c>
      <c r="I478" s="756"/>
      <c r="J478" s="756"/>
      <c r="K478" s="756"/>
      <c r="L478" s="756"/>
      <c r="M478" s="756"/>
      <c r="N478" s="756"/>
      <c r="O478" s="756"/>
      <c r="V478" s="4278" t="str">
        <f t="shared" si="64"/>
        <v>ƞheat</v>
      </c>
      <c r="W478" s="764">
        <v>1</v>
      </c>
      <c r="X478" s="764">
        <v>1</v>
      </c>
      <c r="Y478" s="764">
        <v>1</v>
      </c>
      <c r="Z478" s="777">
        <v>1</v>
      </c>
      <c r="AA478" s="905">
        <v>1</v>
      </c>
      <c r="AB478" s="905">
        <v>1</v>
      </c>
      <c r="AC478" s="783">
        <v>1</v>
      </c>
      <c r="AD478" s="783">
        <v>1</v>
      </c>
      <c r="AE478" s="764"/>
      <c r="AF478" s="764"/>
      <c r="AG478" s="764"/>
      <c r="AK478" s="732"/>
    </row>
    <row r="479" spans="2:37" hidden="1" outlineLevel="1" x14ac:dyDescent="0.35">
      <c r="B479" s="756"/>
      <c r="C479" s="753"/>
      <c r="D479" s="3844"/>
      <c r="E479" s="368" t="str">
        <f>E453</f>
        <v>Floor Insulation R25 (R-3.96 base) MH heat pump and electric cooling</v>
      </c>
      <c r="F479" s="905">
        <f>AVERAGE(1.7,1.9,2)</f>
        <v>1.8666666666666665</v>
      </c>
      <c r="G479" s="513" t="s">
        <v>1661</v>
      </c>
      <c r="H479" s="4309"/>
      <c r="I479" s="756"/>
      <c r="J479" s="756"/>
      <c r="K479" s="756"/>
      <c r="L479" s="756"/>
      <c r="M479" s="756"/>
      <c r="N479" s="756"/>
      <c r="O479" s="756"/>
      <c r="V479" s="4279"/>
      <c r="W479" s="764"/>
      <c r="X479" s="764"/>
      <c r="Y479" s="778">
        <v>1.8666666666666665</v>
      </c>
      <c r="Z479" s="777">
        <v>1.8666666666666665</v>
      </c>
      <c r="AA479" s="905">
        <v>1.8666666666666665</v>
      </c>
      <c r="AB479" s="905">
        <v>1.8666666666666665</v>
      </c>
      <c r="AC479" s="905">
        <f>AVERAGE(1.7,1.9,2)</f>
        <v>1.8666666666666665</v>
      </c>
      <c r="AD479" s="905">
        <f>AVERAGE(1.7,1.9,2)</f>
        <v>1.8666666666666665</v>
      </c>
      <c r="AE479" s="764"/>
      <c r="AF479" s="764"/>
      <c r="AG479" s="764"/>
      <c r="AK479" s="732"/>
    </row>
    <row r="480" spans="2:37" hidden="1" outlineLevel="1" x14ac:dyDescent="0.35">
      <c r="B480" s="756"/>
      <c r="C480" s="753"/>
      <c r="D480" s="4307"/>
      <c r="E480" s="368" t="str">
        <f>E454</f>
        <v>Floor Insulation R25 (R-3.96 base) MH gas furnace/baseboard and electric cooling</v>
      </c>
      <c r="F480" s="783">
        <v>1.0000000000000001E-17</v>
      </c>
      <c r="G480" s="2393"/>
      <c r="H480" s="4044"/>
      <c r="I480" s="756"/>
      <c r="J480" s="756"/>
      <c r="K480" s="756"/>
      <c r="L480" s="756"/>
      <c r="M480" s="756"/>
      <c r="N480" s="756"/>
      <c r="O480" s="756"/>
      <c r="V480" s="4288"/>
      <c r="W480" s="764"/>
      <c r="X480" s="764"/>
      <c r="Y480" s="762">
        <v>1.0000000000000001E-17</v>
      </c>
      <c r="Z480" s="777">
        <v>1.0000000000000001E-17</v>
      </c>
      <c r="AA480" s="905">
        <v>1.0000000000000001E-17</v>
      </c>
      <c r="AB480" s="905">
        <v>1.0000000000000001E-17</v>
      </c>
      <c r="AC480" s="783">
        <v>1.0000000000000001E-17</v>
      </c>
      <c r="AD480" s="783">
        <v>1.0000000000000001E-17</v>
      </c>
      <c r="AE480" s="764"/>
      <c r="AF480" s="764"/>
      <c r="AG480" s="764"/>
      <c r="AK480" s="732"/>
    </row>
    <row r="481" spans="2:57" hidden="1" outlineLevel="1" x14ac:dyDescent="0.35">
      <c r="B481" s="756"/>
      <c r="C481" s="753"/>
      <c r="D481" s="3843" t="s">
        <v>1627</v>
      </c>
      <c r="E481" s="368" t="str">
        <f>E452</f>
        <v>Floor Insulation R25 (R-3.96 base) MH electric furnace/baseboard and electric cooling</v>
      </c>
      <c r="F481" s="1018">
        <v>762</v>
      </c>
      <c r="G481" s="4310" t="s">
        <v>314</v>
      </c>
      <c r="H481" s="4310" t="s">
        <v>1662</v>
      </c>
      <c r="I481" s="756"/>
      <c r="J481" s="756"/>
      <c r="K481" s="756"/>
      <c r="L481" s="756"/>
      <c r="M481" s="756"/>
      <c r="N481" s="756"/>
      <c r="O481" s="756"/>
      <c r="V481" s="4278" t="str">
        <f t="shared" si="64"/>
        <v>CDD</v>
      </c>
      <c r="W481" s="750">
        <v>762</v>
      </c>
      <c r="X481" s="750">
        <v>762</v>
      </c>
      <c r="Y481" s="750">
        <v>762</v>
      </c>
      <c r="Z481" s="775">
        <v>762</v>
      </c>
      <c r="AA481" s="789">
        <v>762</v>
      </c>
      <c r="AB481" s="789">
        <v>762</v>
      </c>
      <c r="AC481" s="1018">
        <v>762</v>
      </c>
      <c r="AD481" s="1018">
        <v>762</v>
      </c>
      <c r="AE481" s="750"/>
      <c r="AF481" s="750"/>
      <c r="AG481" s="750"/>
      <c r="AK481" s="732"/>
    </row>
    <row r="482" spans="2:57" hidden="1" outlineLevel="1" x14ac:dyDescent="0.35">
      <c r="B482" s="756"/>
      <c r="C482" s="753"/>
      <c r="D482" s="3844"/>
      <c r="E482" s="368" t="str">
        <f>E453</f>
        <v>Floor Insulation R25 (R-3.96 base) MH heat pump and electric cooling</v>
      </c>
      <c r="F482" s="1018">
        <v>762</v>
      </c>
      <c r="G482" s="4297"/>
      <c r="H482" s="4297"/>
      <c r="I482" s="756"/>
      <c r="J482" s="756"/>
      <c r="K482" s="756"/>
      <c r="L482" s="756"/>
      <c r="M482" s="756"/>
      <c r="N482" s="756"/>
      <c r="O482" s="756"/>
      <c r="V482" s="4279"/>
      <c r="W482" s="750"/>
      <c r="X482" s="750"/>
      <c r="Y482" s="774">
        <v>762</v>
      </c>
      <c r="Z482" s="775">
        <v>762</v>
      </c>
      <c r="AA482" s="789">
        <v>762</v>
      </c>
      <c r="AB482" s="789">
        <v>762</v>
      </c>
      <c r="AC482" s="1018">
        <v>762</v>
      </c>
      <c r="AD482" s="1018">
        <v>762</v>
      </c>
      <c r="AE482" s="750"/>
      <c r="AF482" s="750"/>
      <c r="AG482" s="750"/>
      <c r="AK482" s="732"/>
    </row>
    <row r="483" spans="2:57" hidden="1" outlineLevel="1" x14ac:dyDescent="0.35">
      <c r="B483" s="756"/>
      <c r="C483" s="753"/>
      <c r="D483" s="4307"/>
      <c r="E483" s="368" t="str">
        <f>E454</f>
        <v>Floor Insulation R25 (R-3.96 base) MH gas furnace/baseboard and electric cooling</v>
      </c>
      <c r="F483" s="1018">
        <v>762</v>
      </c>
      <c r="G483" s="4311"/>
      <c r="H483" s="4311"/>
      <c r="I483" s="756"/>
      <c r="J483" s="756"/>
      <c r="K483" s="756"/>
      <c r="L483" s="756"/>
      <c r="M483" s="756"/>
      <c r="N483" s="756"/>
      <c r="O483" s="756"/>
      <c r="V483" s="4288"/>
      <c r="W483" s="750"/>
      <c r="X483" s="750"/>
      <c r="Y483" s="774">
        <v>762</v>
      </c>
      <c r="Z483" s="775">
        <v>762</v>
      </c>
      <c r="AA483" s="789">
        <v>762</v>
      </c>
      <c r="AB483" s="789">
        <v>762</v>
      </c>
      <c r="AC483" s="1018">
        <v>762</v>
      </c>
      <c r="AD483" s="1018">
        <v>762</v>
      </c>
      <c r="AE483" s="750"/>
      <c r="AF483" s="750"/>
      <c r="AG483" s="750"/>
      <c r="AK483" s="732"/>
    </row>
    <row r="484" spans="2:57" hidden="1" outlineLevel="1" x14ac:dyDescent="0.35">
      <c r="B484" s="756"/>
      <c r="C484" s="753"/>
      <c r="D484" s="2365" t="s">
        <v>1629</v>
      </c>
      <c r="E484" s="368" t="s">
        <v>1655</v>
      </c>
      <c r="F484" s="411">
        <v>0.75</v>
      </c>
      <c r="G484" s="2393" t="s">
        <v>284</v>
      </c>
      <c r="H484" s="822"/>
      <c r="I484" s="756"/>
      <c r="J484" s="756"/>
      <c r="K484" s="756"/>
      <c r="L484" s="756"/>
      <c r="M484" s="756"/>
      <c r="N484" s="756"/>
      <c r="O484" s="756"/>
      <c r="V484" s="763" t="str">
        <f t="shared" si="64"/>
        <v>DUA</v>
      </c>
      <c r="W484" s="761">
        <v>0.75</v>
      </c>
      <c r="X484" s="761">
        <v>0.75</v>
      </c>
      <c r="Y484" s="779">
        <v>0.75</v>
      </c>
      <c r="Z484" s="761">
        <v>0.75</v>
      </c>
      <c r="AA484" s="787">
        <v>0.75</v>
      </c>
      <c r="AB484" s="787">
        <v>0.75</v>
      </c>
      <c r="AC484" s="411">
        <v>0.75</v>
      </c>
      <c r="AD484" s="411">
        <v>0.75</v>
      </c>
      <c r="AE484" s="761"/>
      <c r="AF484" s="761"/>
      <c r="AG484" s="761"/>
      <c r="AK484" s="732"/>
    </row>
    <row r="485" spans="2:57" ht="58" hidden="1" outlineLevel="1" x14ac:dyDescent="0.35">
      <c r="B485" s="756"/>
      <c r="C485" s="753"/>
      <c r="D485" s="2365" t="s">
        <v>1633</v>
      </c>
      <c r="E485" s="368" t="s">
        <v>1655</v>
      </c>
      <c r="F485" s="823">
        <v>11</v>
      </c>
      <c r="G485" s="822" t="s">
        <v>1663</v>
      </c>
      <c r="H485" s="2393" t="s">
        <v>288</v>
      </c>
      <c r="I485" s="756"/>
      <c r="J485" s="756"/>
      <c r="K485" s="756"/>
      <c r="L485" s="756"/>
      <c r="M485" s="756"/>
      <c r="N485" s="756"/>
      <c r="O485" s="756"/>
      <c r="V485" s="763" t="str">
        <f t="shared" si="64"/>
        <v>ƞcool</v>
      </c>
      <c r="W485" s="750">
        <v>11</v>
      </c>
      <c r="X485" s="750">
        <v>11</v>
      </c>
      <c r="Y485" s="780">
        <v>11</v>
      </c>
      <c r="Z485" s="750">
        <v>11</v>
      </c>
      <c r="AA485" s="1018">
        <v>11</v>
      </c>
      <c r="AB485" s="1018">
        <v>11</v>
      </c>
      <c r="AC485" s="823">
        <v>11</v>
      </c>
      <c r="AD485" s="823">
        <v>11</v>
      </c>
      <c r="AE485" s="750"/>
      <c r="AF485" s="750"/>
      <c r="AG485" s="750"/>
      <c r="AK485" s="732"/>
    </row>
    <row r="486" spans="2:57" hidden="1" outlineLevel="1" x14ac:dyDescent="0.35">
      <c r="B486" s="756"/>
      <c r="C486" s="753"/>
      <c r="D486" s="1494" t="str">
        <f>L451</f>
        <v>EUL</v>
      </c>
      <c r="E486" s="2359" t="str">
        <f>E43</f>
        <v>Effective Useful Life</v>
      </c>
      <c r="F486" s="825">
        <v>25</v>
      </c>
      <c r="G486" s="2393"/>
      <c r="H486" s="822"/>
      <c r="I486" s="756"/>
      <c r="J486" s="756"/>
      <c r="K486" s="756"/>
      <c r="L486" s="756"/>
      <c r="M486" s="756"/>
      <c r="N486" s="756"/>
      <c r="O486" s="756"/>
      <c r="V486" s="781" t="str">
        <f>D486</f>
        <v>EUL</v>
      </c>
      <c r="W486" s="770">
        <v>25</v>
      </c>
      <c r="X486" s="770">
        <v>25</v>
      </c>
      <c r="Y486" s="768">
        <v>25</v>
      </c>
      <c r="Z486" s="750">
        <v>25</v>
      </c>
      <c r="AA486" s="1018">
        <v>25</v>
      </c>
      <c r="AB486" s="1018">
        <v>25</v>
      </c>
      <c r="AC486" s="825">
        <v>25</v>
      </c>
      <c r="AD486" s="825">
        <v>25</v>
      </c>
      <c r="AE486" s="750"/>
      <c r="AF486" s="750"/>
      <c r="AG486" s="750"/>
      <c r="AK486" s="732"/>
    </row>
    <row r="487" spans="2:57" ht="43.5" hidden="1" outlineLevel="1" x14ac:dyDescent="0.35">
      <c r="B487" s="756"/>
      <c r="C487" s="753"/>
      <c r="D487" s="1494" t="str">
        <f>M451</f>
        <v>Inc. Cost</v>
      </c>
      <c r="E487" s="2359" t="str">
        <f>E44</f>
        <v>Incremental Cost</v>
      </c>
      <c r="F487" s="1845">
        <f>734.04/1080</f>
        <v>0.67966666666666664</v>
      </c>
      <c r="G487" s="2393"/>
      <c r="H487" s="2393" t="s">
        <v>1657</v>
      </c>
      <c r="I487" s="756"/>
      <c r="J487" s="756"/>
      <c r="K487" s="756"/>
      <c r="L487" s="756"/>
      <c r="M487" s="756"/>
      <c r="N487" s="756"/>
      <c r="O487" s="756"/>
      <c r="V487" s="781" t="str">
        <f>D487</f>
        <v>Inc. Cost</v>
      </c>
      <c r="W487" s="772">
        <v>734.04</v>
      </c>
      <c r="X487" s="772">
        <v>734.04</v>
      </c>
      <c r="Y487" s="475">
        <v>0.67966666666666664</v>
      </c>
      <c r="Z487" s="750">
        <v>0.67966666666666664</v>
      </c>
      <c r="AA487" s="1018">
        <v>0.67966666666666664</v>
      </c>
      <c r="AB487" s="1018">
        <v>0.67966666666666664</v>
      </c>
      <c r="AC487" s="1845">
        <f>734.04/1080</f>
        <v>0.67966666666666664</v>
      </c>
      <c r="AD487" s="1845">
        <f>734.04/1080</f>
        <v>0.67966666666666664</v>
      </c>
      <c r="AE487" s="750"/>
      <c r="AF487" s="750"/>
      <c r="AG487" s="750"/>
      <c r="AK487" s="732"/>
    </row>
    <row r="488" spans="2:57" collapsed="1" x14ac:dyDescent="0.35">
      <c r="B488" s="1328"/>
      <c r="C488" s="753"/>
      <c r="D488" s="375"/>
      <c r="E488" s="375"/>
      <c r="F488" s="756"/>
      <c r="G488" s="756"/>
      <c r="H488" s="756"/>
      <c r="I488" s="756"/>
      <c r="J488" s="756"/>
      <c r="K488" s="756"/>
      <c r="L488" s="756"/>
      <c r="M488" s="756"/>
      <c r="N488" s="756"/>
      <c r="O488" s="756"/>
      <c r="Y488" s="790" t="s">
        <v>1578</v>
      </c>
      <c r="AK488" s="732"/>
    </row>
    <row r="489" spans="2:57" x14ac:dyDescent="0.35">
      <c r="B489" s="756"/>
      <c r="C489" s="753"/>
      <c r="D489" s="375"/>
      <c r="E489" s="375"/>
      <c r="F489" s="756"/>
      <c r="G489" s="756"/>
      <c r="H489" s="756"/>
      <c r="I489" s="756"/>
      <c r="J489" s="756"/>
      <c r="K489" s="756"/>
      <c r="L489" s="756"/>
      <c r="M489" s="756"/>
      <c r="N489" s="756"/>
      <c r="O489" s="756"/>
      <c r="AK489" s="732"/>
    </row>
    <row r="490" spans="2:57" x14ac:dyDescent="0.35">
      <c r="B490" s="3664" t="s">
        <v>492</v>
      </c>
      <c r="C490" s="3665"/>
      <c r="D490" s="3665"/>
      <c r="E490" s="3665"/>
      <c r="F490" s="3665"/>
      <c r="G490" s="3665"/>
      <c r="H490" s="3665"/>
      <c r="I490" s="3666"/>
      <c r="J490" s="3666"/>
      <c r="K490" s="3666"/>
      <c r="L490" s="3666"/>
      <c r="M490" s="3666"/>
      <c r="N490" s="3666"/>
      <c r="O490" s="3666"/>
      <c r="P490" s="3666"/>
      <c r="Q490" s="3666"/>
      <c r="R490" s="3667"/>
      <c r="V490" s="3664" t="str">
        <f>B490</f>
        <v>Dirty Filter Alarm</v>
      </c>
      <c r="W490" s="3665"/>
      <c r="X490" s="3665"/>
      <c r="Y490" s="3665"/>
      <c r="Z490" s="3665"/>
      <c r="AA490" s="3665"/>
      <c r="AB490" s="3665"/>
      <c r="AC490" s="3680"/>
      <c r="AD490" s="3680"/>
      <c r="AE490" s="3680"/>
      <c r="AF490" s="3680"/>
      <c r="AG490" s="3680"/>
      <c r="AH490" s="3680"/>
      <c r="AI490" s="3681"/>
      <c r="AK490" s="732"/>
    </row>
    <row r="491" spans="2:57" x14ac:dyDescent="0.35">
      <c r="B491" s="1040"/>
      <c r="D491" s="292" t="s">
        <v>4252</v>
      </c>
      <c r="E491" s="367"/>
      <c r="F491" s="198"/>
      <c r="G491" s="198"/>
      <c r="H491" s="198"/>
      <c r="I491" s="198"/>
      <c r="J491" s="198"/>
      <c r="K491" s="198"/>
      <c r="L491" s="1219"/>
      <c r="AK491" s="732"/>
    </row>
    <row r="492" spans="2:57" ht="29" x14ac:dyDescent="0.35">
      <c r="B492" s="1040"/>
      <c r="C492" s="2331" t="s">
        <v>27</v>
      </c>
      <c r="D492" s="2331" t="s">
        <v>174</v>
      </c>
      <c r="E492" s="2331" t="s">
        <v>29</v>
      </c>
      <c r="F492" s="2331" t="s">
        <v>30</v>
      </c>
      <c r="G492" s="2331" t="s">
        <v>175</v>
      </c>
      <c r="H492" s="2331" t="s">
        <v>176</v>
      </c>
      <c r="I492" s="2331" t="s">
        <v>493</v>
      </c>
      <c r="J492" s="2331" t="s">
        <v>494</v>
      </c>
      <c r="K492" s="2331" t="s">
        <v>31</v>
      </c>
      <c r="L492" s="2363" t="s">
        <v>180</v>
      </c>
      <c r="M492" s="2331" t="s">
        <v>169</v>
      </c>
      <c r="N492" s="2331" t="s">
        <v>43</v>
      </c>
      <c r="V492" s="1572" t="s">
        <v>44</v>
      </c>
      <c r="W492" s="1573">
        <f>W$6</f>
        <v>43252</v>
      </c>
      <c r="X492" s="1573">
        <f t="shared" ref="X492:AG492" si="65">X$6</f>
        <v>43465</v>
      </c>
      <c r="Y492" s="316">
        <f t="shared" si="65"/>
        <v>43800</v>
      </c>
      <c r="Z492" s="1573">
        <f t="shared" si="65"/>
        <v>43862</v>
      </c>
      <c r="AA492" s="1573">
        <v>44013</v>
      </c>
      <c r="AB492" s="1573">
        <f t="shared" si="65"/>
        <v>44166</v>
      </c>
      <c r="AC492" s="1573">
        <f t="shared" si="65"/>
        <v>44531</v>
      </c>
      <c r="AD492" s="1573">
        <f t="shared" si="65"/>
        <v>44774</v>
      </c>
      <c r="AE492" s="1573" t="str">
        <f t="shared" si="65"/>
        <v>-</v>
      </c>
      <c r="AF492" s="1573" t="str">
        <f t="shared" si="65"/>
        <v>-</v>
      </c>
      <c r="AG492" s="1573" t="str">
        <f t="shared" si="65"/>
        <v>-</v>
      </c>
      <c r="AK492" s="732"/>
      <c r="BB492" s="1574" t="str">
        <f>$BB$6</f>
        <v>TRC (2022)</v>
      </c>
      <c r="BC492" s="1584" t="str">
        <f>$BC$6</f>
        <v>Benefit Lookup</v>
      </c>
      <c r="BD492" s="556" t="str">
        <f>$BD$6</f>
        <v>Benefits (2019 $)</v>
      </c>
      <c r="BE492" s="200" t="str">
        <f>$BE$6</f>
        <v>Incremental Cost (2019 $)</v>
      </c>
    </row>
    <row r="493" spans="2:57" x14ac:dyDescent="0.35">
      <c r="B493" s="1040"/>
      <c r="C493" s="395" t="s">
        <v>1664</v>
      </c>
      <c r="D493" s="1279" t="s">
        <v>1518</v>
      </c>
      <c r="E493" s="368" t="s">
        <v>4291</v>
      </c>
      <c r="F493" s="501">
        <f>ROUND(I493+J493,2)</f>
        <v>102.68</v>
      </c>
      <c r="G493" s="395" t="s">
        <v>425</v>
      </c>
      <c r="H493" s="136">
        <f>VLOOKUP(G493,'CP FACTORS'!$A$3:$B$38, 2, FALSE)</f>
        <v>4.6608050000000002E-4</v>
      </c>
      <c r="I493" s="820">
        <f>F$505*F$506*F$507*F$509*F510*F511</f>
        <v>64.952579999999998</v>
      </c>
      <c r="J493" s="820">
        <f>F$512*F$506*F$513*F$509*F510*F511</f>
        <v>37.7298075</v>
      </c>
      <c r="K493" s="742">
        <f>ROUND(H493*F493,6)</f>
        <v>4.7856999999999997E-2</v>
      </c>
      <c r="L493" s="820">
        <f>F516</f>
        <v>14</v>
      </c>
      <c r="M493" s="1845">
        <f>F517</f>
        <v>5</v>
      </c>
      <c r="N493" s="395" t="s">
        <v>184</v>
      </c>
      <c r="R493" s="1214"/>
      <c r="V493" s="141" t="str">
        <f>F492</f>
        <v>kWh Annual Savings</v>
      </c>
      <c r="W493" s="142">
        <v>168.50624999999999</v>
      </c>
      <c r="X493" s="731">
        <v>141.0499999999999</v>
      </c>
      <c r="Y493" s="563">
        <v>102.68</v>
      </c>
      <c r="Z493" s="501">
        <v>102.68</v>
      </c>
      <c r="AA493" s="501">
        <v>102.68</v>
      </c>
      <c r="AB493" s="501">
        <v>102.68</v>
      </c>
      <c r="AC493" s="501">
        <v>102.68</v>
      </c>
      <c r="AD493" s="501">
        <v>102.68</v>
      </c>
      <c r="AE493" s="141"/>
      <c r="AF493" s="141"/>
      <c r="AG493" s="141"/>
      <c r="AH493" s="144"/>
      <c r="AK493" s="732"/>
      <c r="BB493" s="1578">
        <f>(BD493)/(BE493)</f>
        <v>19.250899589166856</v>
      </c>
      <c r="BC493" s="2381" t="str">
        <f>CONCATENATE(G493," ",L493," Year EUL")</f>
        <v>HVAC RES 14 Year EUL</v>
      </c>
      <c r="BD493" s="95">
        <f>(INDEX('Avoided Cost Benefits'!$E$4:$E$859,MATCH(BC493,'Avoided Cost Benefits'!$A$4:$A$859,0)))*F493</f>
        <v>90.848983431651035</v>
      </c>
      <c r="BE493" s="1579">
        <f>M493/(1.0595^(2020-2019))</f>
        <v>4.7192071731949028</v>
      </c>
    </row>
    <row r="494" spans="2:57" x14ac:dyDescent="0.35">
      <c r="B494" s="1040"/>
      <c r="C494" s="395" t="s">
        <v>1665</v>
      </c>
      <c r="D494" s="395" t="s">
        <v>1519</v>
      </c>
      <c r="E494" s="2352" t="str">
        <f>CONCATENATE(E493,"_CompE")</f>
        <v>Dirty Filter Alarm_MFIE_CompE</v>
      </c>
      <c r="F494" s="501">
        <f>ROUND(I494+J494,2)</f>
        <v>49.58</v>
      </c>
      <c r="G494" s="395" t="s">
        <v>425</v>
      </c>
      <c r="H494" s="136">
        <f>VLOOKUP(G494,'CP FACTORS'!$A$3:$B$38, 2, FALSE)</f>
        <v>4.6608050000000002E-4</v>
      </c>
      <c r="I494" s="820">
        <f>F$505*F$506*F$508*F$509*F511*F512</f>
        <v>22.142924999999998</v>
      </c>
      <c r="J494" s="820">
        <f>F$512*F$506*F$514*F$509*F511*F512</f>
        <v>27.439859999999999</v>
      </c>
      <c r="K494" s="742">
        <f>ROUND(H494*F494,6)</f>
        <v>2.3108E-2</v>
      </c>
      <c r="L494" s="820">
        <f>F516</f>
        <v>14</v>
      </c>
      <c r="M494" s="1845">
        <f>M493</f>
        <v>5</v>
      </c>
      <c r="N494" s="395" t="s">
        <v>184</v>
      </c>
      <c r="R494" s="1214"/>
      <c r="V494" s="141" t="str">
        <f>V493</f>
        <v>kWh Annual Savings</v>
      </c>
      <c r="W494" s="142"/>
      <c r="X494" s="731"/>
      <c r="Y494" s="563">
        <v>49.58</v>
      </c>
      <c r="Z494" s="501">
        <v>49.58</v>
      </c>
      <c r="AA494" s="501">
        <v>49.58</v>
      </c>
      <c r="AB494" s="501">
        <v>49.58</v>
      </c>
      <c r="AC494" s="501">
        <v>49.58</v>
      </c>
      <c r="AD494" s="501">
        <v>49.58</v>
      </c>
      <c r="AE494" s="141"/>
      <c r="AF494" s="141"/>
      <c r="AG494" s="141"/>
      <c r="AH494" s="144"/>
      <c r="AK494" s="732"/>
      <c r="BB494" s="41">
        <f>(BD494)/(BE494)</f>
        <v>9.2954772266351071</v>
      </c>
      <c r="BC494" s="1580" t="str">
        <f>CONCATENATE(G494," ",L494," Year EUL")</f>
        <v>HVAC RES 14 Year EUL</v>
      </c>
      <c r="BD494" s="102">
        <f>(INDEX('Avoided Cost Benefits'!$E$4:$E$859,MATCH(BC494,'Avoided Cost Benefits'!$A$4:$A$859,0)))*F494</f>
        <v>43.867282806206255</v>
      </c>
      <c r="BE494" s="1582">
        <f>M494/(1.0595^(2020-2019))</f>
        <v>4.7192071731949028</v>
      </c>
    </row>
    <row r="495" spans="2:57" x14ac:dyDescent="0.35">
      <c r="B495" s="1040"/>
      <c r="F495" s="218"/>
      <c r="V495"/>
      <c r="W495"/>
      <c r="X495"/>
      <c r="Y495" s="87"/>
      <c r="Z495"/>
      <c r="AA495"/>
      <c r="AB495"/>
      <c r="AC495"/>
      <c r="AD495"/>
      <c r="AE495"/>
      <c r="AF495"/>
      <c r="AG495"/>
      <c r="AK495" s="732"/>
    </row>
    <row r="496" spans="2:57" hidden="1" outlineLevel="1" x14ac:dyDescent="0.35">
      <c r="B496" s="1040"/>
      <c r="D496" s="152" t="s">
        <v>107</v>
      </c>
      <c r="F496" s="218"/>
      <c r="V496"/>
      <c r="W496"/>
      <c r="X496"/>
      <c r="Y496" s="87"/>
      <c r="Z496"/>
      <c r="AA496"/>
      <c r="AB496"/>
      <c r="AC496"/>
      <c r="AD496"/>
      <c r="AE496"/>
      <c r="AF496"/>
      <c r="AG496"/>
      <c r="AK496" s="732"/>
    </row>
    <row r="497" spans="2:37" hidden="1" outlineLevel="1" x14ac:dyDescent="0.35">
      <c r="B497" s="1040"/>
      <c r="F497" s="218"/>
      <c r="V497"/>
      <c r="W497"/>
      <c r="X497"/>
      <c r="Y497" s="87"/>
      <c r="Z497"/>
      <c r="AA497"/>
      <c r="AB497"/>
      <c r="AC497"/>
      <c r="AD497"/>
      <c r="AE497"/>
      <c r="AF497"/>
      <c r="AG497"/>
      <c r="AK497" s="732"/>
    </row>
    <row r="498" spans="2:37" hidden="1" outlineLevel="1" x14ac:dyDescent="0.35">
      <c r="B498" s="1040"/>
      <c r="F498" s="218"/>
      <c r="V498"/>
      <c r="W498"/>
      <c r="X498"/>
      <c r="Y498" s="87"/>
      <c r="Z498"/>
      <c r="AA498"/>
      <c r="AB498"/>
      <c r="AC498"/>
      <c r="AD498"/>
      <c r="AE498"/>
      <c r="AF498"/>
      <c r="AG498"/>
      <c r="AK498" s="732"/>
    </row>
    <row r="499" spans="2:37" hidden="1" outlineLevel="1" x14ac:dyDescent="0.35">
      <c r="B499" s="1040"/>
      <c r="F499" s="218"/>
      <c r="V499"/>
      <c r="W499"/>
      <c r="X499"/>
      <c r="Y499" s="87"/>
      <c r="Z499"/>
      <c r="AA499"/>
      <c r="AB499"/>
      <c r="AC499"/>
      <c r="AD499"/>
      <c r="AE499"/>
      <c r="AF499"/>
      <c r="AG499"/>
      <c r="AK499" s="732"/>
    </row>
    <row r="500" spans="2:37" hidden="1" outlineLevel="1" x14ac:dyDescent="0.35">
      <c r="B500" s="1040"/>
      <c r="F500" s="218"/>
      <c r="V500"/>
      <c r="W500"/>
      <c r="X500"/>
      <c r="Y500" s="87"/>
      <c r="Z500"/>
      <c r="AA500"/>
      <c r="AB500"/>
      <c r="AC500"/>
      <c r="AD500"/>
      <c r="AE500"/>
      <c r="AF500"/>
      <c r="AG500"/>
      <c r="AK500" s="732"/>
    </row>
    <row r="501" spans="2:37" hidden="1" outlineLevel="1" x14ac:dyDescent="0.35">
      <c r="B501" s="1040"/>
      <c r="F501" s="218"/>
      <c r="V501"/>
      <c r="W501"/>
      <c r="X501"/>
      <c r="Y501" s="87"/>
      <c r="Z501"/>
      <c r="AA501"/>
      <c r="AB501"/>
      <c r="AC501"/>
      <c r="AD501"/>
      <c r="AE501"/>
      <c r="AF501"/>
      <c r="AG501"/>
      <c r="AK501" s="732"/>
    </row>
    <row r="502" spans="2:37" hidden="1" outlineLevel="1" x14ac:dyDescent="0.35">
      <c r="B502" s="1040"/>
      <c r="F502" s="218"/>
      <c r="V502"/>
      <c r="W502"/>
      <c r="X502"/>
      <c r="Y502" s="87"/>
      <c r="Z502"/>
      <c r="AA502"/>
      <c r="AB502"/>
      <c r="AC502"/>
      <c r="AD502"/>
      <c r="AE502"/>
      <c r="AF502"/>
      <c r="AG502"/>
      <c r="AK502" s="732"/>
    </row>
    <row r="503" spans="2:37" hidden="1" outlineLevel="1" x14ac:dyDescent="0.35">
      <c r="B503" s="1040"/>
      <c r="V503"/>
      <c r="W503"/>
      <c r="X503"/>
      <c r="Y503" s="87"/>
      <c r="Z503"/>
      <c r="AA503"/>
      <c r="AB503"/>
      <c r="AC503"/>
      <c r="AD503"/>
      <c r="AE503"/>
      <c r="AF503"/>
      <c r="AG503"/>
      <c r="AK503" s="732"/>
    </row>
    <row r="504" spans="2:37" hidden="1" outlineLevel="1" x14ac:dyDescent="0.35">
      <c r="B504" s="1040"/>
      <c r="D504" s="2423" t="s">
        <v>108</v>
      </c>
      <c r="E504" s="2423" t="s">
        <v>109</v>
      </c>
      <c r="F504" s="2331" t="s">
        <v>111</v>
      </c>
      <c r="G504" s="2331" t="s">
        <v>186</v>
      </c>
      <c r="H504" s="2331" t="s">
        <v>282</v>
      </c>
      <c r="V504" s="1572" t="s">
        <v>44</v>
      </c>
      <c r="W504" s="1573">
        <f>W$6</f>
        <v>43252</v>
      </c>
      <c r="X504" s="1573">
        <f t="shared" ref="X504:AG504" si="66">X$6</f>
        <v>43465</v>
      </c>
      <c r="Y504" s="316">
        <f t="shared" si="66"/>
        <v>43800</v>
      </c>
      <c r="Z504" s="1573">
        <f t="shared" si="66"/>
        <v>43862</v>
      </c>
      <c r="AA504" s="1573">
        <f t="shared" si="66"/>
        <v>44013</v>
      </c>
      <c r="AB504" s="1573">
        <f t="shared" si="66"/>
        <v>44166</v>
      </c>
      <c r="AC504" s="1573">
        <f t="shared" si="66"/>
        <v>44531</v>
      </c>
      <c r="AD504" s="1573">
        <f t="shared" si="66"/>
        <v>44774</v>
      </c>
      <c r="AE504" s="1573" t="str">
        <f t="shared" si="66"/>
        <v>-</v>
      </c>
      <c r="AF504" s="1573" t="str">
        <f t="shared" si="66"/>
        <v>-</v>
      </c>
      <c r="AG504" s="1573" t="str">
        <f t="shared" si="66"/>
        <v>-</v>
      </c>
      <c r="AK504" s="732"/>
    </row>
    <row r="505" spans="2:37" ht="43.5" hidden="1" outlineLevel="1" x14ac:dyDescent="0.35">
      <c r="B505" s="1040"/>
      <c r="D505" s="782" t="s">
        <v>505</v>
      </c>
      <c r="E505" s="2381" t="s">
        <v>4291</v>
      </c>
      <c r="F505" s="512">
        <v>1</v>
      </c>
      <c r="G505" s="2401" t="s">
        <v>520</v>
      </c>
      <c r="H505" s="513"/>
      <c r="V505" s="763" t="s">
        <v>505</v>
      </c>
      <c r="W505" s="779">
        <v>0.95</v>
      </c>
      <c r="X505" s="515">
        <v>1</v>
      </c>
      <c r="Y505" s="515">
        <v>1</v>
      </c>
      <c r="Z505" s="512">
        <v>1</v>
      </c>
      <c r="AA505" s="512">
        <v>1</v>
      </c>
      <c r="AB505" s="512">
        <v>1</v>
      </c>
      <c r="AC505" s="512">
        <v>1</v>
      </c>
      <c r="AD505" s="512">
        <v>1</v>
      </c>
      <c r="AE505" s="761"/>
      <c r="AF505" s="761"/>
      <c r="AG505" s="761"/>
      <c r="AK505" s="732"/>
    </row>
    <row r="506" spans="2:37" ht="43.5" hidden="1" outlineLevel="1" x14ac:dyDescent="0.35">
      <c r="B506" s="1040"/>
      <c r="D506" s="782" t="s">
        <v>31</v>
      </c>
      <c r="E506" s="2381" t="s">
        <v>4291</v>
      </c>
      <c r="F506" s="783">
        <v>0.5</v>
      </c>
      <c r="G506" s="2401" t="s">
        <v>520</v>
      </c>
      <c r="H506" s="513"/>
      <c r="V506" s="763" t="s">
        <v>31</v>
      </c>
      <c r="W506" s="784">
        <v>0.5</v>
      </c>
      <c r="X506" s="784">
        <v>0.5</v>
      </c>
      <c r="Y506" s="764">
        <v>0.5</v>
      </c>
      <c r="Z506" s="783">
        <v>0.5</v>
      </c>
      <c r="AA506" s="783">
        <v>0.5</v>
      </c>
      <c r="AB506" s="783">
        <v>0.5</v>
      </c>
      <c r="AC506" s="783">
        <v>0.5</v>
      </c>
      <c r="AD506" s="783">
        <v>0.5</v>
      </c>
      <c r="AE506" s="764"/>
      <c r="AF506" s="764"/>
      <c r="AG506" s="764"/>
      <c r="AK506" s="732"/>
    </row>
    <row r="507" spans="2:37" ht="43.5" hidden="1" outlineLevel="1" x14ac:dyDescent="0.35">
      <c r="B507" s="1040"/>
      <c r="D507" s="4315" t="s">
        <v>510</v>
      </c>
      <c r="E507" s="2381" t="s">
        <v>4291</v>
      </c>
      <c r="F507" s="789">
        <v>1496</v>
      </c>
      <c r="G507" s="1359" t="s">
        <v>513</v>
      </c>
      <c r="H507" s="513"/>
      <c r="V507" s="4278" t="s">
        <v>1666</v>
      </c>
      <c r="W507" s="780">
        <v>1496</v>
      </c>
      <c r="X507" s="774">
        <v>2009</v>
      </c>
      <c r="Y507" s="774">
        <v>1496</v>
      </c>
      <c r="Z507" s="1018">
        <v>1496</v>
      </c>
      <c r="AA507" s="1018">
        <v>1496</v>
      </c>
      <c r="AB507" s="1018">
        <v>1496</v>
      </c>
      <c r="AC507" s="789">
        <v>1496</v>
      </c>
      <c r="AD507" s="789">
        <v>1496</v>
      </c>
      <c r="AE507" s="750"/>
      <c r="AF507" s="750"/>
      <c r="AG507" s="750"/>
      <c r="AK507" s="732"/>
    </row>
    <row r="508" spans="2:37" ht="43.5" hidden="1" outlineLevel="1" x14ac:dyDescent="0.35">
      <c r="B508" s="1040"/>
      <c r="D508" s="3776"/>
      <c r="E508" s="2381" t="str">
        <f>E494</f>
        <v>Dirty Filter Alarm_MFIE_CompE</v>
      </c>
      <c r="F508" s="789">
        <v>510</v>
      </c>
      <c r="G508" s="1359" t="s">
        <v>513</v>
      </c>
      <c r="H508" s="513"/>
      <c r="V508" s="3779"/>
      <c r="W508" s="780"/>
      <c r="X508" s="774"/>
      <c r="Y508" s="774">
        <v>510</v>
      </c>
      <c r="Z508" s="1018">
        <v>510</v>
      </c>
      <c r="AA508" s="1018">
        <v>510</v>
      </c>
      <c r="AB508" s="1018">
        <v>510</v>
      </c>
      <c r="AC508" s="789">
        <v>510</v>
      </c>
      <c r="AD508" s="789">
        <v>510</v>
      </c>
      <c r="AE508" s="750"/>
      <c r="AF508" s="750"/>
      <c r="AG508" s="750"/>
      <c r="AK508" s="732"/>
    </row>
    <row r="509" spans="2:37" hidden="1" outlineLevel="1" x14ac:dyDescent="0.35">
      <c r="B509" s="1040"/>
      <c r="D509" s="2381" t="s">
        <v>514</v>
      </c>
      <c r="E509" s="2381" t="s">
        <v>4291</v>
      </c>
      <c r="F509" s="786">
        <v>0.15</v>
      </c>
      <c r="G509" s="2401" t="s">
        <v>284</v>
      </c>
      <c r="H509" s="513"/>
      <c r="V509" s="771" t="s">
        <v>514</v>
      </c>
      <c r="W509" s="779">
        <v>0.15</v>
      </c>
      <c r="X509" s="761">
        <v>0.15</v>
      </c>
      <c r="Y509" s="765">
        <v>0.15</v>
      </c>
      <c r="Z509" s="786">
        <v>0.15</v>
      </c>
      <c r="AA509" s="786">
        <v>0.15</v>
      </c>
      <c r="AB509" s="786">
        <v>0.15</v>
      </c>
      <c r="AC509" s="786">
        <v>0.15</v>
      </c>
      <c r="AD509" s="786">
        <v>0.15</v>
      </c>
      <c r="AE509" s="761"/>
      <c r="AF509" s="761"/>
      <c r="AG509" s="761"/>
      <c r="AK509" s="732"/>
    </row>
    <row r="510" spans="2:37" hidden="1" outlineLevel="1" x14ac:dyDescent="0.35">
      <c r="B510" s="1040"/>
      <c r="D510" s="2416" t="s">
        <v>516</v>
      </c>
      <c r="E510" s="2381" t="s">
        <v>4291</v>
      </c>
      <c r="F510" s="787">
        <v>1</v>
      </c>
      <c r="G510" s="2401" t="s">
        <v>284</v>
      </c>
      <c r="H510" s="513"/>
      <c r="V510" s="2406" t="s">
        <v>516</v>
      </c>
      <c r="W510" s="779">
        <v>1</v>
      </c>
      <c r="X510" s="761">
        <v>1</v>
      </c>
      <c r="Y510" s="761">
        <v>1</v>
      </c>
      <c r="Z510" s="787">
        <v>1</v>
      </c>
      <c r="AA510" s="787">
        <v>1</v>
      </c>
      <c r="AB510" s="787">
        <v>1</v>
      </c>
      <c r="AC510" s="787">
        <v>1</v>
      </c>
      <c r="AD510" s="787">
        <v>1</v>
      </c>
      <c r="AE510" s="761"/>
      <c r="AF510" s="761"/>
      <c r="AG510" s="761"/>
      <c r="AK510" s="732"/>
    </row>
    <row r="511" spans="2:37" ht="43.5" hidden="1" outlineLevel="1" x14ac:dyDescent="0.35">
      <c r="B511" s="1040"/>
      <c r="D511" s="2416" t="s">
        <v>132</v>
      </c>
      <c r="E511" s="2381" t="s">
        <v>4291</v>
      </c>
      <c r="F511" s="786">
        <v>0.57889999999999997</v>
      </c>
      <c r="G511" s="2401" t="s">
        <v>520</v>
      </c>
      <c r="H511" s="513" t="s">
        <v>1667</v>
      </c>
      <c r="V511" s="2406" t="s">
        <v>132</v>
      </c>
      <c r="W511" s="779">
        <v>1</v>
      </c>
      <c r="X511" s="788">
        <v>0.58333333333333304</v>
      </c>
      <c r="Y511" s="788">
        <v>0.57889999999999997</v>
      </c>
      <c r="Z511" s="786">
        <v>0.57889999999999997</v>
      </c>
      <c r="AA511" s="786">
        <v>0.57889999999999997</v>
      </c>
      <c r="AB511" s="786">
        <v>0.57889999999999997</v>
      </c>
      <c r="AC511" s="786">
        <v>0.57889999999999997</v>
      </c>
      <c r="AD511" s="786">
        <v>0.57889999999999997</v>
      </c>
      <c r="AE511" s="761"/>
      <c r="AF511" s="761"/>
      <c r="AG511" s="761"/>
      <c r="AK511" s="732"/>
    </row>
    <row r="512" spans="2:37" ht="43.5" hidden="1" outlineLevel="1" x14ac:dyDescent="0.35">
      <c r="B512" s="1040"/>
      <c r="D512" s="782" t="s">
        <v>311</v>
      </c>
      <c r="E512" s="2381" t="s">
        <v>4291</v>
      </c>
      <c r="F512" s="512">
        <v>1</v>
      </c>
      <c r="G512" s="2401" t="s">
        <v>520</v>
      </c>
      <c r="H512" s="513"/>
      <c r="V512" s="763" t="s">
        <v>311</v>
      </c>
      <c r="W512" s="779">
        <v>0.95</v>
      </c>
      <c r="X512" s="515">
        <v>1</v>
      </c>
      <c r="Y512" s="515">
        <v>1</v>
      </c>
      <c r="Z512" s="512">
        <v>1</v>
      </c>
      <c r="AA512" s="512">
        <v>1</v>
      </c>
      <c r="AB512" s="512">
        <v>1</v>
      </c>
      <c r="AC512" s="512">
        <v>1</v>
      </c>
      <c r="AD512" s="512">
        <v>1</v>
      </c>
      <c r="AE512" s="761"/>
      <c r="AF512" s="761"/>
      <c r="AG512" s="761"/>
      <c r="AK512" s="732"/>
    </row>
    <row r="513" spans="1:57" ht="43.5" hidden="1" outlineLevel="1" x14ac:dyDescent="0.35">
      <c r="B513" s="1040"/>
      <c r="D513" s="4315" t="s">
        <v>524</v>
      </c>
      <c r="E513" s="2381" t="s">
        <v>4291</v>
      </c>
      <c r="F513" s="789">
        <v>869</v>
      </c>
      <c r="G513" s="2401" t="s">
        <v>520</v>
      </c>
      <c r="H513" s="513"/>
      <c r="V513" s="4278" t="s">
        <v>1668</v>
      </c>
      <c r="W513" s="750">
        <v>869</v>
      </c>
      <c r="X513" s="785">
        <v>1215</v>
      </c>
      <c r="Y513" s="785">
        <v>869</v>
      </c>
      <c r="Z513" s="789">
        <v>869</v>
      </c>
      <c r="AA513" s="789">
        <v>869</v>
      </c>
      <c r="AB513" s="789">
        <v>869</v>
      </c>
      <c r="AC513" s="789">
        <v>869</v>
      </c>
      <c r="AD513" s="789">
        <v>869</v>
      </c>
      <c r="AE513" s="750"/>
      <c r="AF513" s="750"/>
      <c r="AG513" s="750"/>
      <c r="AK513" s="732"/>
    </row>
    <row r="514" spans="1:57" ht="43.5" hidden="1" outlineLevel="1" x14ac:dyDescent="0.35">
      <c r="B514" s="1040"/>
      <c r="D514" s="3776"/>
      <c r="E514" s="2381" t="str">
        <f>E494</f>
        <v>Dirty Filter Alarm_MFIE_CompE</v>
      </c>
      <c r="F514" s="789">
        <v>632</v>
      </c>
      <c r="G514" s="2401" t="s">
        <v>513</v>
      </c>
      <c r="H514" s="513"/>
      <c r="V514" s="3779"/>
      <c r="W514" s="750"/>
      <c r="X514" s="785"/>
      <c r="Y514" s="785">
        <v>632</v>
      </c>
      <c r="Z514" s="789">
        <v>632</v>
      </c>
      <c r="AA514" s="789">
        <v>632</v>
      </c>
      <c r="AB514" s="789">
        <v>632</v>
      </c>
      <c r="AC514" s="789">
        <v>632</v>
      </c>
      <c r="AD514" s="789">
        <v>632</v>
      </c>
      <c r="AE514" s="750"/>
      <c r="AF514" s="750"/>
      <c r="AG514" s="750"/>
      <c r="AK514" s="732"/>
    </row>
    <row r="515" spans="1:57" customFormat="1" ht="43.5" hidden="1" outlineLevel="1" x14ac:dyDescent="0.35">
      <c r="A515" s="106"/>
      <c r="B515" s="1040"/>
      <c r="C515" s="790"/>
      <c r="D515" s="2427" t="s">
        <v>528</v>
      </c>
      <c r="E515" s="2426" t="s">
        <v>529</v>
      </c>
      <c r="F515" s="386" t="s">
        <v>530</v>
      </c>
      <c r="G515" s="2401" t="s">
        <v>520</v>
      </c>
      <c r="H515" s="791"/>
      <c r="I515" s="199"/>
      <c r="J515" s="199"/>
      <c r="K515" s="199"/>
      <c r="L515" s="199"/>
      <c r="M515" s="226"/>
      <c r="N515" s="199"/>
      <c r="O515" s="199"/>
      <c r="P515" s="199"/>
      <c r="Q515" s="199"/>
      <c r="R515" s="106"/>
      <c r="S515" s="106"/>
      <c r="T515" s="106"/>
      <c r="U515" s="106"/>
      <c r="V515" s="792" t="str">
        <f>D515</f>
        <v>P</v>
      </c>
      <c r="W515" s="386" t="s">
        <v>530</v>
      </c>
      <c r="X515" s="386" t="s">
        <v>530</v>
      </c>
      <c r="Y515" s="386" t="s">
        <v>530</v>
      </c>
      <c r="Z515" s="386" t="s">
        <v>530</v>
      </c>
      <c r="AA515" s="386" t="s">
        <v>530</v>
      </c>
      <c r="AB515" s="386" t="s">
        <v>530</v>
      </c>
      <c r="AC515" s="386" t="s">
        <v>530</v>
      </c>
      <c r="AD515" s="386" t="s">
        <v>530</v>
      </c>
      <c r="AE515" s="386"/>
      <c r="AF515" s="386"/>
      <c r="AG515" s="386"/>
      <c r="BB515" s="740"/>
    </row>
    <row r="516" spans="1:57" hidden="1" outlineLevel="1" x14ac:dyDescent="0.35">
      <c r="B516" s="756"/>
      <c r="C516" s="753"/>
      <c r="D516" s="793" t="str">
        <f>D486</f>
        <v>EUL</v>
      </c>
      <c r="E516" s="793" t="str">
        <f>E486</f>
        <v>Effective Useful Life</v>
      </c>
      <c r="F516" s="794">
        <v>14</v>
      </c>
      <c r="G516" s="2401"/>
      <c r="H516" s="513"/>
      <c r="I516" s="756"/>
      <c r="J516" s="756"/>
      <c r="K516" s="756"/>
      <c r="L516" s="756"/>
      <c r="M516" s="756"/>
      <c r="N516" s="756"/>
      <c r="O516" s="756"/>
      <c r="V516" s="763" t="str">
        <f>D516</f>
        <v>EUL</v>
      </c>
      <c r="W516" s="770">
        <v>14</v>
      </c>
      <c r="X516" s="770">
        <v>14</v>
      </c>
      <c r="Y516" s="770">
        <v>14</v>
      </c>
      <c r="Z516" s="794">
        <v>14</v>
      </c>
      <c r="AA516" s="794">
        <v>14</v>
      </c>
      <c r="AB516" s="794">
        <v>14</v>
      </c>
      <c r="AC516" s="794">
        <v>14</v>
      </c>
      <c r="AD516" s="794">
        <v>14</v>
      </c>
      <c r="AE516" s="750"/>
      <c r="AF516" s="750"/>
      <c r="AG516" s="750"/>
      <c r="AK516" s="732"/>
    </row>
    <row r="517" spans="1:57" hidden="1" outlineLevel="1" x14ac:dyDescent="0.35">
      <c r="B517" s="756"/>
      <c r="C517" s="753"/>
      <c r="D517" s="793" t="str">
        <f>D487</f>
        <v>Inc. Cost</v>
      </c>
      <c r="E517" s="793" t="str">
        <f>E487</f>
        <v>Incremental Cost</v>
      </c>
      <c r="F517" s="387">
        <v>5</v>
      </c>
      <c r="G517" s="2401"/>
      <c r="H517" s="513"/>
      <c r="I517" s="756"/>
      <c r="J517" s="756"/>
      <c r="K517" s="756"/>
      <c r="L517" s="756"/>
      <c r="M517" s="756"/>
      <c r="N517" s="756"/>
      <c r="O517" s="756"/>
      <c r="V517" s="763" t="str">
        <f>D517</f>
        <v>Inc. Cost</v>
      </c>
      <c r="W517" s="772">
        <v>5</v>
      </c>
      <c r="X517" s="772">
        <v>5</v>
      </c>
      <c r="Y517" s="772">
        <v>5</v>
      </c>
      <c r="Z517" s="387">
        <v>5</v>
      </c>
      <c r="AA517" s="387">
        <v>5</v>
      </c>
      <c r="AB517" s="387">
        <v>5</v>
      </c>
      <c r="AC517" s="387">
        <v>5</v>
      </c>
      <c r="AD517" s="387">
        <v>5</v>
      </c>
      <c r="AE517" s="750"/>
      <c r="AF517" s="750"/>
      <c r="AG517" s="750"/>
      <c r="AK517" s="732"/>
    </row>
    <row r="518" spans="1:57" hidden="1" outlineLevel="1" x14ac:dyDescent="0.35">
      <c r="B518" s="756"/>
      <c r="C518" s="753"/>
      <c r="D518" s="2620"/>
      <c r="E518" s="2620"/>
      <c r="F518" s="2621"/>
      <c r="G518" s="1369"/>
      <c r="H518" s="800"/>
      <c r="I518" s="756"/>
      <c r="J518" s="756"/>
      <c r="K518" s="756"/>
      <c r="L518" s="756"/>
      <c r="M518" s="756"/>
      <c r="N518" s="756"/>
      <c r="O518" s="756"/>
      <c r="V518" s="2622"/>
      <c r="W518" s="2623"/>
      <c r="X518" s="2623"/>
      <c r="Y518" s="2623"/>
      <c r="Z518" s="2621"/>
      <c r="AA518" s="2621"/>
      <c r="AB518" s="2621"/>
      <c r="AC518" s="2621"/>
      <c r="AD518" s="2624"/>
      <c r="AE518" s="2624"/>
      <c r="AF518" s="2624"/>
      <c r="AG518" s="2624"/>
      <c r="AK518" s="732"/>
    </row>
    <row r="519" spans="1:57" collapsed="1" x14ac:dyDescent="0.35">
      <c r="AK519" s="732"/>
    </row>
    <row r="520" spans="1:57" s="741" customFormat="1" x14ac:dyDescent="0.35">
      <c r="A520" s="756"/>
      <c r="B520" s="3664" t="s">
        <v>1669</v>
      </c>
      <c r="C520" s="3665"/>
      <c r="D520" s="3665"/>
      <c r="E520" s="3665"/>
      <c r="F520" s="3665"/>
      <c r="G520" s="3665"/>
      <c r="H520" s="3665"/>
      <c r="I520" s="3666"/>
      <c r="J520" s="3666"/>
      <c r="K520" s="3666"/>
      <c r="L520" s="3666"/>
      <c r="M520" s="3666"/>
      <c r="N520" s="3666"/>
      <c r="O520" s="3666"/>
      <c r="P520" s="3666"/>
      <c r="Q520" s="3666"/>
      <c r="R520" s="3667"/>
      <c r="S520" s="756"/>
      <c r="T520" s="756"/>
      <c r="U520" s="756"/>
      <c r="V520" s="3664" t="str">
        <f>B520</f>
        <v>Duct Insulation</v>
      </c>
      <c r="W520" s="3665"/>
      <c r="X520" s="3665"/>
      <c r="Y520" s="3665"/>
      <c r="Z520" s="3665"/>
      <c r="AA520" s="3665"/>
      <c r="AB520" s="3665"/>
      <c r="AC520" s="3680"/>
      <c r="AD520" s="3680"/>
      <c r="AE520" s="3680"/>
      <c r="AF520" s="3680"/>
      <c r="AG520" s="3680"/>
      <c r="AH520" s="3680"/>
      <c r="AI520" s="3681"/>
      <c r="AK520" s="732"/>
      <c r="BB520" s="752"/>
    </row>
    <row r="521" spans="1:57" s="741" customFormat="1" ht="15" customHeight="1" x14ac:dyDescent="0.35">
      <c r="A521" s="756"/>
      <c r="B521" s="756"/>
      <c r="C521" s="753"/>
      <c r="D521" s="375"/>
      <c r="E521" s="375"/>
      <c r="F521" s="756"/>
      <c r="G521" s="756"/>
      <c r="H521" s="756"/>
      <c r="I521" s="756"/>
      <c r="J521" s="756"/>
      <c r="K521" s="756"/>
      <c r="L521" s="756"/>
      <c r="M521" s="756"/>
      <c r="N521" s="756"/>
      <c r="O521" s="756"/>
      <c r="P521" s="756"/>
      <c r="Q521" s="756"/>
      <c r="R521" s="756"/>
      <c r="S521" s="756"/>
      <c r="T521" s="756"/>
      <c r="U521" s="756"/>
      <c r="V521" s="196"/>
      <c r="W521" s="196"/>
      <c r="X521" s="196"/>
      <c r="Y521" s="528"/>
      <c r="Z521" s="196"/>
      <c r="AA521" s="196"/>
      <c r="AB521" s="196"/>
      <c r="AC521" s="196"/>
      <c r="AD521" s="196"/>
      <c r="AE521" s="196"/>
      <c r="AF521" s="196"/>
      <c r="AG521" s="196"/>
      <c r="AH521" s="196"/>
      <c r="AI521" s="196"/>
      <c r="AK521" s="732"/>
      <c r="BB521" s="752"/>
    </row>
    <row r="522" spans="1:57" s="741" customFormat="1" ht="43.5" x14ac:dyDescent="0.35">
      <c r="A522" s="756"/>
      <c r="B522" s="756"/>
      <c r="C522" s="2331" t="s">
        <v>27</v>
      </c>
      <c r="D522" s="2331" t="s">
        <v>174</v>
      </c>
      <c r="E522" s="2423" t="s">
        <v>29</v>
      </c>
      <c r="F522" s="2331" t="s">
        <v>1670</v>
      </c>
      <c r="G522" s="2331" t="s">
        <v>175</v>
      </c>
      <c r="H522" s="2331" t="s">
        <v>176</v>
      </c>
      <c r="I522" s="2331" t="s">
        <v>1671</v>
      </c>
      <c r="J522" s="2331" t="s">
        <v>1672</v>
      </c>
      <c r="K522" s="2331" t="s">
        <v>1673</v>
      </c>
      <c r="L522" s="2331" t="s">
        <v>31</v>
      </c>
      <c r="M522" s="2331" t="s">
        <v>180</v>
      </c>
      <c r="N522" s="2331" t="s">
        <v>42</v>
      </c>
      <c r="O522" s="2331" t="s">
        <v>1674</v>
      </c>
      <c r="P522" s="756"/>
      <c r="Q522" s="756"/>
      <c r="R522" s="756"/>
      <c r="S522" s="756"/>
      <c r="T522" s="756"/>
      <c r="U522" s="756"/>
      <c r="V522" s="1572" t="s">
        <v>44</v>
      </c>
      <c r="W522" s="1573">
        <f>W$6</f>
        <v>43252</v>
      </c>
      <c r="X522" s="1573">
        <f t="shared" ref="X522:AG522" si="67">X$6</f>
        <v>43465</v>
      </c>
      <c r="Y522" s="316">
        <f t="shared" si="67"/>
        <v>43800</v>
      </c>
      <c r="Z522" s="1573">
        <f t="shared" si="67"/>
        <v>43862</v>
      </c>
      <c r="AA522" s="1573">
        <f t="shared" si="67"/>
        <v>44013</v>
      </c>
      <c r="AB522" s="1573">
        <f t="shared" si="67"/>
        <v>44166</v>
      </c>
      <c r="AC522" s="1573">
        <f t="shared" si="67"/>
        <v>44531</v>
      </c>
      <c r="AD522" s="1573">
        <f t="shared" si="67"/>
        <v>44774</v>
      </c>
      <c r="AE522" s="1573" t="str">
        <f t="shared" si="67"/>
        <v>-</v>
      </c>
      <c r="AF522" s="1573" t="str">
        <f t="shared" si="67"/>
        <v>-</v>
      </c>
      <c r="AG522" s="1573" t="str">
        <f t="shared" si="67"/>
        <v>-</v>
      </c>
      <c r="AH522" s="196"/>
      <c r="AI522" s="196"/>
      <c r="AK522" s="732"/>
      <c r="BB522" s="1574" t="str">
        <f>$BB$6</f>
        <v>TRC (2022)</v>
      </c>
      <c r="BC522" s="1584" t="str">
        <f>$BC$6</f>
        <v>Benefit Lookup</v>
      </c>
      <c r="BD522" s="556" t="str">
        <f>$BD$6</f>
        <v>Benefits (2019 $)</v>
      </c>
      <c r="BE522" s="200" t="str">
        <f>$BE$6</f>
        <v>Incremental Cost (2019 $)</v>
      </c>
    </row>
    <row r="523" spans="1:57" s="741" customFormat="1" ht="15" customHeight="1" x14ac:dyDescent="0.35">
      <c r="A523" s="756"/>
      <c r="B523" s="756"/>
      <c r="C523" s="2388" t="s">
        <v>1675</v>
      </c>
      <c r="D523" s="1279" t="s">
        <v>1517</v>
      </c>
      <c r="E523" s="2381" t="s">
        <v>1676</v>
      </c>
      <c r="F523" s="796">
        <f>ROUND((I523+J523)*G554*G555*G556,2)</f>
        <v>29.13</v>
      </c>
      <c r="G523" s="2388" t="s">
        <v>425</v>
      </c>
      <c r="H523" s="136">
        <f>VLOOKUP(G523,'CP FACTORS'!$A$3:$B$38, 2, FALSE)</f>
        <v>4.6608050000000002E-4</v>
      </c>
      <c r="I523" s="386">
        <f>(1/G538-1/G539)*G540*G542*G543/(G544*G545)</f>
        <v>1.5815800000000002</v>
      </c>
      <c r="J523" s="386">
        <f>(1/G538-1/G539)*G540*G546*G547/(G548*G549)</f>
        <v>27.545779601406799</v>
      </c>
      <c r="K523" s="796">
        <v>0</v>
      </c>
      <c r="L523" s="1360">
        <f>ROUND(H523*F523,6)</f>
        <v>1.3577000000000001E-2</v>
      </c>
      <c r="M523" s="386">
        <f>$G$557</f>
        <v>20</v>
      </c>
      <c r="N523" s="387">
        <f>$G$558</f>
        <v>4.2205065958870298</v>
      </c>
      <c r="O523" s="386">
        <v>1</v>
      </c>
      <c r="P523" s="756"/>
      <c r="Q523" s="756"/>
      <c r="R523" s="756"/>
      <c r="S523" s="756"/>
      <c r="T523" s="756"/>
      <c r="U523" s="756"/>
      <c r="V523" s="141" t="str">
        <f>$F$522</f>
        <v>kWh
Annual Savings</v>
      </c>
      <c r="W523" s="206">
        <v>1436.5606215435027</v>
      </c>
      <c r="X523" s="797">
        <v>1436.5606215435027</v>
      </c>
      <c r="Y523" s="798">
        <v>29.13</v>
      </c>
      <c r="Z523" s="1847">
        <v>29.13</v>
      </c>
      <c r="AA523" s="1847">
        <v>29.13</v>
      </c>
      <c r="AB523" s="1847">
        <v>29.13</v>
      </c>
      <c r="AC523" s="1847">
        <v>29.13</v>
      </c>
      <c r="AD523" s="1847">
        <v>29.13</v>
      </c>
      <c r="AE523" s="141"/>
      <c r="AF523" s="141"/>
      <c r="AG523" s="141"/>
      <c r="AH523" s="196"/>
      <c r="AI523" s="196"/>
      <c r="AK523" s="732"/>
      <c r="BB523" s="1578">
        <f>(BD523)/(BE523)</f>
        <v>8.5092390814838961</v>
      </c>
      <c r="BC523" s="2381" t="str">
        <f>CONCATENATE(G523," ",M523," Year EUL")</f>
        <v>HVAC RES 20 Year EUL</v>
      </c>
      <c r="BD523" s="95">
        <f>(INDEX('Avoided Cost Benefits'!$E$4:$E$859,MATCH(BC523,'Avoided Cost Benefits'!$A$4:$A$859,0)))*F523</f>
        <v>33.896460282569585</v>
      </c>
      <c r="BE523" s="1579">
        <f>N523/(1.0595^(2020-2019))</f>
        <v>3.9834890003652945</v>
      </c>
    </row>
    <row r="524" spans="1:57" s="741" customFormat="1" ht="15" customHeight="1" x14ac:dyDescent="0.35">
      <c r="A524" s="756"/>
      <c r="B524" s="756"/>
      <c r="C524" s="2388" t="s">
        <v>1677</v>
      </c>
      <c r="D524" s="1279" t="s">
        <v>1517</v>
      </c>
      <c r="E524" s="2381" t="s">
        <v>1678</v>
      </c>
      <c r="F524" s="796">
        <f>ROUND((I524+J524)*G554*G555*G556,2)</f>
        <v>29.13</v>
      </c>
      <c r="G524" s="2388" t="s">
        <v>425</v>
      </c>
      <c r="H524" s="136">
        <f>VLOOKUP(G524,'CP FACTORS'!$A$3:$B$38, 2, FALSE)</f>
        <v>4.6608050000000002E-4</v>
      </c>
      <c r="I524" s="386">
        <f>(1/G538-1/G539)*G541*G542*G543/(G544*G545)</f>
        <v>1.5815800000000002</v>
      </c>
      <c r="J524" s="386">
        <f>(1/G538-1/G539)*G541*G546*G547/(G548*G549)</f>
        <v>27.545779601406799</v>
      </c>
      <c r="K524" s="796">
        <v>0</v>
      </c>
      <c r="L524" s="1360">
        <f>ROUND(H524*F524,6)</f>
        <v>1.3577000000000001E-2</v>
      </c>
      <c r="M524" s="386">
        <f>$G$557</f>
        <v>20</v>
      </c>
      <c r="N524" s="387">
        <f>$G$558</f>
        <v>4.2205065958870298</v>
      </c>
      <c r="O524" s="386">
        <v>1</v>
      </c>
      <c r="P524" s="756"/>
      <c r="Q524" s="756"/>
      <c r="R524" s="756"/>
      <c r="S524" s="756"/>
      <c r="T524" s="756"/>
      <c r="U524" s="756"/>
      <c r="V524" s="141" t="str">
        <f>$F$522</f>
        <v>kWh
Annual Savings</v>
      </c>
      <c r="W524" s="206">
        <v>1267.6448744421125</v>
      </c>
      <c r="X524" s="797">
        <v>1267.6448744421125</v>
      </c>
      <c r="Y524" s="798">
        <v>29.13</v>
      </c>
      <c r="Z524" s="1847">
        <v>29.13</v>
      </c>
      <c r="AA524" s="1847">
        <v>29.13</v>
      </c>
      <c r="AB524" s="1847">
        <v>29.13</v>
      </c>
      <c r="AC524" s="1847">
        <v>29.13</v>
      </c>
      <c r="AD524" s="1847">
        <v>29.13</v>
      </c>
      <c r="AE524" s="141"/>
      <c r="AF524" s="141"/>
      <c r="AG524" s="141"/>
      <c r="AK524" s="732"/>
      <c r="BB524" s="40">
        <f>(BD524)/(BE524)</f>
        <v>8.5092390814838961</v>
      </c>
      <c r="BC524" s="1580" t="str">
        <f>CONCATENATE(G524," ",M524," Year EUL")</f>
        <v>HVAC RES 20 Year EUL</v>
      </c>
      <c r="BD524" s="98">
        <f>(INDEX('Avoided Cost Benefits'!$E$4:$E$859,MATCH(BC524,'Avoided Cost Benefits'!$A$4:$A$859,0)))*F524</f>
        <v>33.896460282569585</v>
      </c>
      <c r="BE524" s="1581">
        <f>N524/(1.0595^(2020-2019))</f>
        <v>3.9834890003652945</v>
      </c>
    </row>
    <row r="525" spans="1:57" s="741" customFormat="1" x14ac:dyDescent="0.35">
      <c r="A525" s="756"/>
      <c r="B525" s="756"/>
      <c r="C525" s="2388" t="s">
        <v>1679</v>
      </c>
      <c r="D525" s="1279" t="s">
        <v>1517</v>
      </c>
      <c r="E525" s="2381" t="s">
        <v>1680</v>
      </c>
      <c r="F525" s="796">
        <f>ROUND((I525+J525)*G554*G555*G556,2)</f>
        <v>2.69</v>
      </c>
      <c r="G525" s="2388" t="s">
        <v>425</v>
      </c>
      <c r="H525" s="136">
        <f>VLOOKUP(G525,'CP FACTORS'!$A$3:$B$38, 2, FALSE)</f>
        <v>4.6608050000000002E-4</v>
      </c>
      <c r="I525" s="386">
        <f>(1/G538-1/G539)*G540*G542*G543/(G544*G545)</f>
        <v>1.5815800000000002</v>
      </c>
      <c r="J525" s="386">
        <f>K525*G550*G551</f>
        <v>1.1085792785128203</v>
      </c>
      <c r="K525" s="796">
        <f>(1/G538-1/G539)*G540*G546*G547/(100000*G553)</f>
        <v>1.204951282051282</v>
      </c>
      <c r="L525" s="1360">
        <f>ROUND(H525*F525,6)</f>
        <v>1.2539999999999999E-3</v>
      </c>
      <c r="M525" s="386">
        <f>$G$557</f>
        <v>20</v>
      </c>
      <c r="N525" s="387">
        <f>$G$558</f>
        <v>4.2205065958870298</v>
      </c>
      <c r="O525" s="386">
        <v>1</v>
      </c>
      <c r="P525" s="756"/>
      <c r="Q525" s="756"/>
      <c r="R525" s="756"/>
      <c r="S525" s="756"/>
      <c r="T525" s="756"/>
      <c r="U525" s="756"/>
      <c r="V525" s="141" t="str">
        <f>$F$522</f>
        <v>kWh
Annual Savings</v>
      </c>
      <c r="W525" s="206">
        <v>114.3457559964678</v>
      </c>
      <c r="X525" s="797">
        <v>114.3457559964678</v>
      </c>
      <c r="Y525" s="798">
        <v>2.69</v>
      </c>
      <c r="Z525" s="1847">
        <v>2.69</v>
      </c>
      <c r="AA525" s="1847">
        <v>2.69</v>
      </c>
      <c r="AB525" s="1847">
        <v>2.69</v>
      </c>
      <c r="AC525" s="1847">
        <v>2.69</v>
      </c>
      <c r="AD525" s="1847">
        <v>2.69</v>
      </c>
      <c r="AE525" s="141"/>
      <c r="AF525" s="141"/>
      <c r="AG525" s="141"/>
      <c r="AK525" s="732"/>
      <c r="BB525" s="41">
        <f>(BD525)/(BE525)</f>
        <v>0.7857828056708438</v>
      </c>
      <c r="BC525" s="1580" t="str">
        <f>CONCATENATE(G525," ",M525," Year EUL")</f>
        <v>HVAC RES 20 Year EUL</v>
      </c>
      <c r="BD525" s="102">
        <f>(INDEX('Avoided Cost Benefits'!$E$4:$E$859,MATCH(BC525,'Avoided Cost Benefits'!$A$4:$A$859,0)))*F525</f>
        <v>3.1301571630659861</v>
      </c>
      <c r="BE525" s="1582">
        <f>N525/(1.0595^(2020-2019))</f>
        <v>3.9834890003652945</v>
      </c>
    </row>
    <row r="526" spans="1:57" s="741" customFormat="1" ht="15" hidden="1" customHeight="1" outlineLevel="1" x14ac:dyDescent="0.35">
      <c r="A526" s="756"/>
      <c r="B526" s="756"/>
      <c r="C526" s="753"/>
      <c r="D526" s="1361"/>
      <c r="E526" s="1361"/>
      <c r="F526" s="800"/>
      <c r="G526" s="800"/>
      <c r="H526" s="800"/>
      <c r="I526" s="800" t="s">
        <v>1681</v>
      </c>
      <c r="J526" s="800"/>
      <c r="K526" s="800"/>
      <c r="L526" s="800"/>
      <c r="M526" s="756"/>
      <c r="N526" s="756"/>
      <c r="O526" s="756"/>
      <c r="P526" s="756"/>
      <c r="Q526" s="756"/>
      <c r="R526" s="756"/>
      <c r="S526" s="756"/>
      <c r="T526" s="756"/>
      <c r="U526" s="756"/>
      <c r="Y526" s="790" t="s">
        <v>1578</v>
      </c>
      <c r="AK526" s="732"/>
      <c r="BB526" s="752"/>
    </row>
    <row r="527" spans="1:57" s="741" customFormat="1" ht="15" hidden="1" customHeight="1" outlineLevel="1" x14ac:dyDescent="0.35">
      <c r="A527" s="756"/>
      <c r="B527" s="756"/>
      <c r="C527" s="753"/>
      <c r="D527" s="152" t="s">
        <v>107</v>
      </c>
      <c r="E527" s="1361"/>
      <c r="F527" s="800"/>
      <c r="G527" s="800"/>
      <c r="H527" s="800"/>
      <c r="I527" s="800"/>
      <c r="J527" s="800"/>
      <c r="K527" s="800"/>
      <c r="L527" s="800"/>
      <c r="M527" s="756"/>
      <c r="N527" s="756"/>
      <c r="O527" s="756"/>
      <c r="P527" s="756"/>
      <c r="Q527" s="756"/>
      <c r="R527" s="756"/>
      <c r="S527" s="756"/>
      <c r="T527" s="756"/>
      <c r="U527" s="756"/>
      <c r="Y527" s="757"/>
      <c r="AK527" s="732"/>
      <c r="BB527" s="752"/>
    </row>
    <row r="528" spans="1:57" s="741" customFormat="1" ht="15" hidden="1" customHeight="1" outlineLevel="1" x14ac:dyDescent="0.35">
      <c r="A528" s="756"/>
      <c r="B528" s="756"/>
      <c r="C528" s="753"/>
      <c r="D528" s="1361"/>
      <c r="E528" s="1361"/>
      <c r="F528" s="800"/>
      <c r="G528" s="800"/>
      <c r="H528" s="800"/>
      <c r="I528" s="800"/>
      <c r="J528" s="800"/>
      <c r="K528" s="800"/>
      <c r="L528" s="800"/>
      <c r="M528" s="756"/>
      <c r="N528" s="756"/>
      <c r="O528" s="756"/>
      <c r="P528" s="756"/>
      <c r="Q528" s="756"/>
      <c r="R528" s="756"/>
      <c r="S528" s="756"/>
      <c r="T528" s="756"/>
      <c r="U528" s="756"/>
      <c r="Y528" s="757"/>
      <c r="AK528" s="732"/>
      <c r="BB528" s="752"/>
    </row>
    <row r="529" spans="1:54" s="741" customFormat="1" ht="27.75" hidden="1" customHeight="1" outlineLevel="1" x14ac:dyDescent="0.35">
      <c r="A529" s="756"/>
      <c r="B529" s="756"/>
      <c r="C529" s="753"/>
      <c r="D529" s="1361"/>
      <c r="E529" s="1361"/>
      <c r="F529" s="800"/>
      <c r="G529" s="800"/>
      <c r="H529" s="800"/>
      <c r="I529" s="800"/>
      <c r="J529" s="800"/>
      <c r="K529" s="800"/>
      <c r="L529" s="800"/>
      <c r="M529" s="756"/>
      <c r="N529" s="756"/>
      <c r="O529" s="756"/>
      <c r="P529" s="756"/>
      <c r="Q529" s="756"/>
      <c r="R529" s="756"/>
      <c r="S529" s="756"/>
      <c r="T529" s="756"/>
      <c r="U529" s="756"/>
      <c r="Y529" s="757"/>
      <c r="AK529" s="732"/>
      <c r="BB529" s="752"/>
    </row>
    <row r="530" spans="1:54" s="741" customFormat="1" ht="15" hidden="1" customHeight="1" outlineLevel="1" x14ac:dyDescent="0.35">
      <c r="A530" s="756"/>
      <c r="B530" s="756"/>
      <c r="C530" s="753"/>
      <c r="D530" s="1361"/>
      <c r="E530" s="1361"/>
      <c r="F530" s="800"/>
      <c r="G530" s="800"/>
      <c r="H530" s="800"/>
      <c r="I530" s="800"/>
      <c r="J530" s="800"/>
      <c r="K530" s="800"/>
      <c r="L530" s="800"/>
      <c r="M530" s="756"/>
      <c r="N530" s="756"/>
      <c r="O530" s="756"/>
      <c r="P530" s="756"/>
      <c r="Q530" s="756"/>
      <c r="R530" s="756"/>
      <c r="S530" s="756"/>
      <c r="T530" s="756"/>
      <c r="U530" s="756"/>
      <c r="Y530" s="757"/>
      <c r="AK530" s="732"/>
      <c r="BB530" s="752"/>
    </row>
    <row r="531" spans="1:54" s="741" customFormat="1" ht="15" hidden="1" customHeight="1" outlineLevel="1" x14ac:dyDescent="0.35">
      <c r="A531" s="756"/>
      <c r="B531" s="756"/>
      <c r="C531" s="753"/>
      <c r="D531" s="1361"/>
      <c r="E531" s="1361"/>
      <c r="F531" s="800"/>
      <c r="G531" s="800"/>
      <c r="H531" s="800"/>
      <c r="I531" s="800"/>
      <c r="J531" s="800"/>
      <c r="K531" s="800"/>
      <c r="L531" s="800"/>
      <c r="M531" s="756"/>
      <c r="N531" s="756"/>
      <c r="O531" s="756"/>
      <c r="P531" s="756"/>
      <c r="Q531" s="756"/>
      <c r="R531" s="756"/>
      <c r="S531" s="756"/>
      <c r="T531" s="756"/>
      <c r="U531" s="756"/>
      <c r="Y531" s="757"/>
      <c r="AK531" s="732"/>
      <c r="BB531" s="752"/>
    </row>
    <row r="532" spans="1:54" s="741" customFormat="1" ht="15" hidden="1" customHeight="1" outlineLevel="1" x14ac:dyDescent="0.35">
      <c r="A532" s="756"/>
      <c r="B532" s="756"/>
      <c r="C532" s="753"/>
      <c r="D532" s="1361"/>
      <c r="E532" s="1361"/>
      <c r="F532" s="800"/>
      <c r="G532" s="1362" t="s">
        <v>1682</v>
      </c>
      <c r="H532" s="800"/>
      <c r="I532" s="800"/>
      <c r="J532" s="800"/>
      <c r="K532" s="800"/>
      <c r="L532" s="800"/>
      <c r="M532" s="756"/>
      <c r="N532" s="756"/>
      <c r="O532" s="756"/>
      <c r="P532" s="756"/>
      <c r="Q532" s="756"/>
      <c r="R532" s="756"/>
      <c r="S532" s="756"/>
      <c r="T532" s="756"/>
      <c r="U532" s="756"/>
      <c r="Y532" s="757"/>
      <c r="AK532" s="732"/>
      <c r="BB532" s="752"/>
    </row>
    <row r="533" spans="1:54" s="741" customFormat="1" ht="15" hidden="1" customHeight="1" outlineLevel="1" x14ac:dyDescent="0.35">
      <c r="A533" s="756"/>
      <c r="B533" s="756"/>
      <c r="C533" s="753"/>
      <c r="D533" s="1361" t="s">
        <v>1683</v>
      </c>
      <c r="E533" s="1361"/>
      <c r="F533" s="800"/>
      <c r="G533" s="800"/>
      <c r="H533" s="452"/>
      <c r="I533" s="800"/>
      <c r="J533" s="800"/>
      <c r="K533" s="800"/>
      <c r="L533" s="800"/>
      <c r="M533" s="756"/>
      <c r="N533" s="756"/>
      <c r="O533" s="756"/>
      <c r="P533" s="756"/>
      <c r="Q533" s="756"/>
      <c r="R533" s="756"/>
      <c r="S533" s="756"/>
      <c r="T533" s="756"/>
      <c r="U533" s="756"/>
      <c r="Y533" s="757"/>
      <c r="AK533" s="732"/>
      <c r="BB533" s="752"/>
    </row>
    <row r="534" spans="1:54" s="741" customFormat="1" ht="15" hidden="1" customHeight="1" outlineLevel="1" x14ac:dyDescent="0.35">
      <c r="A534" s="756"/>
      <c r="B534" s="756"/>
      <c r="C534" s="753"/>
      <c r="D534" s="1361"/>
      <c r="E534" s="690"/>
      <c r="F534" s="800"/>
      <c r="G534" s="800"/>
      <c r="H534" s="800"/>
      <c r="I534" s="800"/>
      <c r="J534" s="800"/>
      <c r="K534" s="800"/>
      <c r="L534" s="800"/>
      <c r="M534" s="756"/>
      <c r="N534" s="756"/>
      <c r="O534" s="756"/>
      <c r="P534" s="756"/>
      <c r="Q534" s="756"/>
      <c r="R534" s="756"/>
      <c r="S534" s="756"/>
      <c r="T534" s="756"/>
      <c r="U534" s="756"/>
      <c r="Y534" s="757"/>
      <c r="AK534" s="732"/>
      <c r="BB534" s="752"/>
    </row>
    <row r="535" spans="1:54" s="741" customFormat="1" ht="15" hidden="1" customHeight="1" outlineLevel="1" x14ac:dyDescent="0.35">
      <c r="A535" s="756"/>
      <c r="B535" s="756"/>
      <c r="C535" s="753"/>
      <c r="D535" s="1361"/>
      <c r="E535" s="1361"/>
      <c r="F535" s="800"/>
      <c r="G535" s="800"/>
      <c r="H535" s="800"/>
      <c r="I535" s="800"/>
      <c r="J535" s="800"/>
      <c r="K535" s="800"/>
      <c r="L535" s="800"/>
      <c r="M535" s="756"/>
      <c r="N535" s="756"/>
      <c r="O535" s="756"/>
      <c r="P535" s="756"/>
      <c r="Q535" s="756"/>
      <c r="R535" s="756"/>
      <c r="S535" s="756"/>
      <c r="T535" s="756"/>
      <c r="U535" s="756"/>
      <c r="Y535" s="757"/>
      <c r="AK535" s="732"/>
      <c r="BB535" s="752"/>
    </row>
    <row r="536" spans="1:54" s="741" customFormat="1" ht="15" hidden="1" customHeight="1" outlineLevel="1" x14ac:dyDescent="0.35">
      <c r="A536" s="756"/>
      <c r="B536" s="756"/>
      <c r="C536" s="753"/>
      <c r="D536" s="1361"/>
      <c r="E536" s="1361"/>
      <c r="F536" s="800"/>
      <c r="G536" s="800"/>
      <c r="H536" s="800"/>
      <c r="I536" s="800"/>
      <c r="J536" s="800"/>
      <c r="K536" s="800"/>
      <c r="L536" s="800"/>
      <c r="M536" s="756"/>
      <c r="N536" s="756"/>
      <c r="O536" s="756"/>
      <c r="P536" s="756"/>
      <c r="Q536" s="756"/>
      <c r="R536" s="756"/>
      <c r="S536" s="756"/>
      <c r="T536" s="756"/>
      <c r="U536" s="756"/>
      <c r="Y536" s="757"/>
      <c r="AK536" s="732"/>
      <c r="BB536" s="752"/>
    </row>
    <row r="537" spans="1:54" s="741" customFormat="1" ht="15" hidden="1" customHeight="1" outlineLevel="1" x14ac:dyDescent="0.35">
      <c r="A537" s="756"/>
      <c r="B537" s="756"/>
      <c r="C537" s="753"/>
      <c r="D537" s="2423" t="s">
        <v>108</v>
      </c>
      <c r="E537" s="2423" t="s">
        <v>109</v>
      </c>
      <c r="F537" s="2331" t="s">
        <v>185</v>
      </c>
      <c r="G537" s="2331" t="s">
        <v>111</v>
      </c>
      <c r="H537" s="3741" t="s">
        <v>186</v>
      </c>
      <c r="I537" s="3825"/>
      <c r="J537" s="3741" t="s">
        <v>112</v>
      </c>
      <c r="K537" s="3741"/>
      <c r="L537" s="3741"/>
      <c r="M537" s="756"/>
      <c r="N537" s="756"/>
      <c r="O537" s="756"/>
      <c r="P537" s="756"/>
      <c r="Q537" s="756"/>
      <c r="R537" s="756"/>
      <c r="S537" s="756"/>
      <c r="T537" s="756"/>
      <c r="U537" s="756"/>
      <c r="V537" s="1572" t="s">
        <v>44</v>
      </c>
      <c r="W537" s="1573">
        <f>W$6</f>
        <v>43252</v>
      </c>
      <c r="X537" s="1573">
        <f t="shared" ref="X537:AG537" si="68">X$6</f>
        <v>43465</v>
      </c>
      <c r="Y537" s="316">
        <f t="shared" si="68"/>
        <v>43800</v>
      </c>
      <c r="Z537" s="1573">
        <f t="shared" si="68"/>
        <v>43862</v>
      </c>
      <c r="AA537" s="1573">
        <f t="shared" si="68"/>
        <v>44013</v>
      </c>
      <c r="AB537" s="1573">
        <f t="shared" si="68"/>
        <v>44166</v>
      </c>
      <c r="AC537" s="1573">
        <f t="shared" si="68"/>
        <v>44531</v>
      </c>
      <c r="AD537" s="1573">
        <f t="shared" si="68"/>
        <v>44774</v>
      </c>
      <c r="AE537" s="1573" t="str">
        <f t="shared" si="68"/>
        <v>-</v>
      </c>
      <c r="AF537" s="1573" t="str">
        <f t="shared" si="68"/>
        <v>-</v>
      </c>
      <c r="AG537" s="1573" t="str">
        <f t="shared" si="68"/>
        <v>-</v>
      </c>
      <c r="AK537" s="732"/>
      <c r="BB537" s="752"/>
    </row>
    <row r="538" spans="1:54" s="741" customFormat="1" ht="15" hidden="1" outlineLevel="1" x14ac:dyDescent="0.35">
      <c r="A538" s="756"/>
      <c r="B538" s="756"/>
      <c r="C538" s="753"/>
      <c r="D538" s="2403" t="s">
        <v>1684</v>
      </c>
      <c r="E538" s="2412" t="s">
        <v>1685</v>
      </c>
      <c r="F538" s="1363"/>
      <c r="G538" s="1364">
        <v>4</v>
      </c>
      <c r="H538" s="4313" t="s">
        <v>1686</v>
      </c>
      <c r="I538" s="4314"/>
      <c r="J538" s="4313"/>
      <c r="K538" s="4313"/>
      <c r="L538" s="4313"/>
      <c r="M538" s="756"/>
      <c r="N538" s="756"/>
      <c r="O538" s="756"/>
      <c r="P538" s="756"/>
      <c r="Q538" s="756"/>
      <c r="R538" s="756"/>
      <c r="S538" s="756"/>
      <c r="T538" s="756"/>
      <c r="U538" s="756"/>
      <c r="V538" s="769" t="str">
        <f>D538</f>
        <v>Rexisting</v>
      </c>
      <c r="W538" s="801">
        <v>4</v>
      </c>
      <c r="X538" s="801">
        <v>4</v>
      </c>
      <c r="Y538" s="801">
        <v>4</v>
      </c>
      <c r="Z538" s="1364">
        <v>4</v>
      </c>
      <c r="AA538" s="1364">
        <v>4</v>
      </c>
      <c r="AB538" s="1364">
        <v>4</v>
      </c>
      <c r="AC538" s="1364">
        <v>4</v>
      </c>
      <c r="AD538" s="1364">
        <v>4</v>
      </c>
      <c r="AE538" s="801"/>
      <c r="AF538" s="801"/>
      <c r="AG538" s="801"/>
      <c r="AK538" s="732"/>
      <c r="BB538" s="752"/>
    </row>
    <row r="539" spans="1:54" s="741" customFormat="1" ht="15" hidden="1" outlineLevel="1" x14ac:dyDescent="0.35">
      <c r="A539" s="756"/>
      <c r="B539" s="756"/>
      <c r="C539" s="753"/>
      <c r="D539" s="2403" t="s">
        <v>1687</v>
      </c>
      <c r="E539" s="2412" t="s">
        <v>1688</v>
      </c>
      <c r="F539" s="1363"/>
      <c r="G539" s="1364">
        <v>8</v>
      </c>
      <c r="H539" s="4313" t="s">
        <v>1689</v>
      </c>
      <c r="I539" s="4314"/>
      <c r="J539" s="4313"/>
      <c r="K539" s="4313"/>
      <c r="L539" s="4313"/>
      <c r="M539" s="756"/>
      <c r="N539" s="756"/>
      <c r="O539" s="756"/>
      <c r="P539" s="756"/>
      <c r="Q539" s="756"/>
      <c r="R539" s="756"/>
      <c r="S539" s="756"/>
      <c r="T539" s="756"/>
      <c r="U539" s="756"/>
      <c r="V539" s="769" t="str">
        <f t="shared" ref="V539:V556" si="69">D539</f>
        <v>Rnew</v>
      </c>
      <c r="W539" s="801">
        <v>8</v>
      </c>
      <c r="X539" s="801">
        <v>8</v>
      </c>
      <c r="Y539" s="801">
        <v>8</v>
      </c>
      <c r="Z539" s="1364">
        <v>8</v>
      </c>
      <c r="AA539" s="1364">
        <v>8</v>
      </c>
      <c r="AB539" s="1364">
        <v>8</v>
      </c>
      <c r="AC539" s="1364">
        <v>8</v>
      </c>
      <c r="AD539" s="1364">
        <v>8</v>
      </c>
      <c r="AE539" s="801"/>
      <c r="AF539" s="801"/>
      <c r="AG539" s="801"/>
      <c r="AK539" s="732"/>
      <c r="BB539" s="752"/>
    </row>
    <row r="540" spans="1:54" s="741" customFormat="1" hidden="1" outlineLevel="1" x14ac:dyDescent="0.35">
      <c r="A540" s="756"/>
      <c r="B540" s="756"/>
      <c r="C540" s="753"/>
      <c r="D540" s="4321" t="s">
        <v>1690</v>
      </c>
      <c r="E540" s="4239" t="s">
        <v>1691</v>
      </c>
      <c r="F540" s="2340" t="s">
        <v>1692</v>
      </c>
      <c r="G540" s="1365">
        <f>SQRT(F$88)*((12+30+12+30)/12)</f>
        <v>7</v>
      </c>
      <c r="H540" s="4323" t="s">
        <v>1693</v>
      </c>
      <c r="I540" s="4324"/>
      <c r="J540" s="4313"/>
      <c r="K540" s="4313"/>
      <c r="L540" s="4313"/>
      <c r="M540" s="756"/>
      <c r="N540" s="756"/>
      <c r="O540" s="756"/>
      <c r="P540" s="756"/>
      <c r="Q540" s="756"/>
      <c r="R540" s="756"/>
      <c r="S540" s="756"/>
      <c r="T540" s="756"/>
      <c r="U540" s="756"/>
      <c r="V540" s="793" t="str">
        <f>F540</f>
        <v xml:space="preserve">Area - Single Family </v>
      </c>
      <c r="W540" s="802">
        <f>SQRT(W$88)*((12+30+12+30)/12)</f>
        <v>260.69714229350501</v>
      </c>
      <c r="X540" s="802">
        <f>SQRT(X$88)*((12+30+12+30)/12)</f>
        <v>260.69714229350501</v>
      </c>
      <c r="Y540" s="802">
        <f>SQRT(Y$88)*((12+30+12+30)/12)</f>
        <v>7</v>
      </c>
      <c r="Z540" s="1365">
        <f t="shared" ref="Z540:AA540" si="70">SQRT(Z$88)*((12+30+12+30)/12)</f>
        <v>7</v>
      </c>
      <c r="AA540" s="1365">
        <f t="shared" si="70"/>
        <v>7</v>
      </c>
      <c r="AB540" s="1365">
        <v>7</v>
      </c>
      <c r="AC540" s="1365">
        <v>7</v>
      </c>
      <c r="AD540" s="1365">
        <v>7</v>
      </c>
      <c r="AE540" s="802"/>
      <c r="AF540" s="802"/>
      <c r="AG540" s="802"/>
      <c r="AK540" s="732"/>
      <c r="BB540" s="752"/>
    </row>
    <row r="541" spans="1:54" s="741" customFormat="1" hidden="1" outlineLevel="1" x14ac:dyDescent="0.35">
      <c r="A541" s="756"/>
      <c r="B541" s="756"/>
      <c r="C541" s="753"/>
      <c r="D541" s="4322"/>
      <c r="E541" s="3780"/>
      <c r="F541" s="2340" t="s">
        <v>1694</v>
      </c>
      <c r="G541" s="1366">
        <f>SQRT(F$91)*((12+30+12+30)/12)</f>
        <v>7</v>
      </c>
      <c r="H541" s="4313" t="s">
        <v>1693</v>
      </c>
      <c r="I541" s="4313"/>
      <c r="J541" s="4325"/>
      <c r="K541" s="4313"/>
      <c r="L541" s="4313"/>
      <c r="M541" s="756"/>
      <c r="N541" s="756"/>
      <c r="O541" s="756"/>
      <c r="P541" s="756"/>
      <c r="Q541" s="756"/>
      <c r="R541" s="756"/>
      <c r="S541" s="756"/>
      <c r="T541" s="756"/>
      <c r="U541" s="756"/>
      <c r="V541" s="793" t="str">
        <f>F541</f>
        <v>Area - Mobile Home</v>
      </c>
      <c r="W541" s="803">
        <f>SQRT(W$91)*((12+30+12+30)/12)</f>
        <v>230.04347415216975</v>
      </c>
      <c r="X541" s="803">
        <f>SQRT(X$91)*((12+30+12+30)/12)</f>
        <v>230.04347415216975</v>
      </c>
      <c r="Y541" s="803">
        <f>SQRT(Y$91)*((12+30+12+30)/12)</f>
        <v>7</v>
      </c>
      <c r="Z541" s="1366">
        <f t="shared" ref="Z541:AA541" si="71">SQRT(Z$91)*((12+30+12+30)/12)</f>
        <v>7</v>
      </c>
      <c r="AA541" s="1366">
        <f t="shared" si="71"/>
        <v>7</v>
      </c>
      <c r="AB541" s="1366">
        <v>7</v>
      </c>
      <c r="AC541" s="1366">
        <v>7</v>
      </c>
      <c r="AD541" s="1366">
        <v>7</v>
      </c>
      <c r="AE541" s="803"/>
      <c r="AF541" s="803"/>
      <c r="AG541" s="802"/>
      <c r="AK541" s="732"/>
      <c r="BB541" s="752"/>
    </row>
    <row r="542" spans="1:54" s="741" customFormat="1" hidden="1" outlineLevel="1" x14ac:dyDescent="0.35">
      <c r="A542" s="756"/>
      <c r="B542" s="756"/>
      <c r="C542" s="753"/>
      <c r="D542" s="1367" t="s">
        <v>1078</v>
      </c>
      <c r="E542" s="2340" t="s">
        <v>1695</v>
      </c>
      <c r="F542" s="2340"/>
      <c r="G542" s="1368">
        <v>869</v>
      </c>
      <c r="H542" s="4316" t="s">
        <v>1696</v>
      </c>
      <c r="I542" s="4317"/>
      <c r="J542" s="4318" t="s">
        <v>1697</v>
      </c>
      <c r="K542" s="4318"/>
      <c r="L542" s="4318"/>
      <c r="M542" s="1369"/>
      <c r="N542" s="756"/>
      <c r="O542" s="756"/>
      <c r="P542" s="756"/>
      <c r="Q542" s="756"/>
      <c r="R542" s="756"/>
      <c r="S542" s="756"/>
      <c r="T542" s="756"/>
      <c r="U542" s="756"/>
      <c r="V542" s="769" t="str">
        <f t="shared" si="69"/>
        <v>EFLHcool</v>
      </c>
      <c r="W542" s="177">
        <v>869</v>
      </c>
      <c r="X542" s="177">
        <v>869</v>
      </c>
      <c r="Y542" s="177">
        <v>869</v>
      </c>
      <c r="Z542" s="1368">
        <v>869</v>
      </c>
      <c r="AA542" s="1368">
        <v>869</v>
      </c>
      <c r="AB542" s="1368">
        <v>869</v>
      </c>
      <c r="AC542" s="1368">
        <v>869</v>
      </c>
      <c r="AD542" s="1368">
        <v>869</v>
      </c>
      <c r="AE542" s="177"/>
      <c r="AF542" s="177"/>
      <c r="AG542" s="177"/>
      <c r="AK542" s="732"/>
      <c r="BB542" s="752"/>
    </row>
    <row r="543" spans="1:54" s="741" customFormat="1" ht="29" hidden="1" outlineLevel="1" x14ac:dyDescent="0.35">
      <c r="A543" s="756"/>
      <c r="B543" s="756"/>
      <c r="C543" s="753"/>
      <c r="D543" s="1367" t="s">
        <v>1698</v>
      </c>
      <c r="E543" s="2340" t="s">
        <v>1699</v>
      </c>
      <c r="F543" s="2340"/>
      <c r="G543" s="1368">
        <v>20.8</v>
      </c>
      <c r="H543" s="3732" t="s">
        <v>1700</v>
      </c>
      <c r="I543" s="4319"/>
      <c r="J543" s="4320" t="s">
        <v>1697</v>
      </c>
      <c r="K543" s="4320"/>
      <c r="L543" s="4320"/>
      <c r="M543" s="1369"/>
      <c r="N543" s="756"/>
      <c r="O543" s="756"/>
      <c r="P543" s="756"/>
      <c r="Q543" s="756"/>
      <c r="R543" s="756"/>
      <c r="S543" s="756"/>
      <c r="T543" s="756"/>
      <c r="U543" s="756"/>
      <c r="V543" s="769" t="str">
        <f t="shared" si="69"/>
        <v>ΔTAVG, cooling</v>
      </c>
      <c r="W543" s="177">
        <v>20.8</v>
      </c>
      <c r="X543" s="177">
        <v>20.8</v>
      </c>
      <c r="Y543" s="177">
        <v>20.8</v>
      </c>
      <c r="Z543" s="1368">
        <v>20.8</v>
      </c>
      <c r="AA543" s="1368">
        <v>20.8</v>
      </c>
      <c r="AB543" s="1368">
        <v>20.8</v>
      </c>
      <c r="AC543" s="1368">
        <v>20.8</v>
      </c>
      <c r="AD543" s="1368">
        <v>20.8</v>
      </c>
      <c r="AE543" s="177"/>
      <c r="AF543" s="177"/>
      <c r="AG543" s="177"/>
      <c r="AK543" s="732"/>
      <c r="BB543" s="752"/>
    </row>
    <row r="544" spans="1:54" s="741" customFormat="1" hidden="1" outlineLevel="1" x14ac:dyDescent="0.35">
      <c r="A544" s="756"/>
      <c r="B544" s="756"/>
      <c r="C544" s="753"/>
      <c r="D544" s="1367">
        <v>1000</v>
      </c>
      <c r="E544" s="2340" t="s">
        <v>1553</v>
      </c>
      <c r="F544" s="2340"/>
      <c r="G544" s="1368">
        <v>1000</v>
      </c>
      <c r="H544" s="3804" t="s">
        <v>1554</v>
      </c>
      <c r="I544" s="3820"/>
      <c r="J544" s="4320" t="s">
        <v>1697</v>
      </c>
      <c r="K544" s="4320"/>
      <c r="L544" s="4320"/>
      <c r="M544" s="1369"/>
      <c r="N544" s="756"/>
      <c r="O544" s="756"/>
      <c r="P544" s="756"/>
      <c r="Q544" s="756"/>
      <c r="R544" s="756"/>
      <c r="S544" s="756"/>
      <c r="T544" s="756"/>
      <c r="U544" s="756"/>
      <c r="V544" s="769">
        <f t="shared" si="69"/>
        <v>1000</v>
      </c>
      <c r="W544" s="177">
        <v>1000</v>
      </c>
      <c r="X544" s="177">
        <v>1000</v>
      </c>
      <c r="Y544" s="177">
        <v>1000</v>
      </c>
      <c r="Z544" s="1368">
        <v>1000</v>
      </c>
      <c r="AA544" s="1368">
        <v>1000</v>
      </c>
      <c r="AB544" s="1368">
        <v>1000</v>
      </c>
      <c r="AC544" s="1368">
        <v>1000</v>
      </c>
      <c r="AD544" s="1368">
        <v>1000</v>
      </c>
      <c r="AE544" s="177"/>
      <c r="AF544" s="177"/>
      <c r="AG544" s="177"/>
      <c r="AK544" s="732"/>
      <c r="BB544" s="752"/>
    </row>
    <row r="545" spans="1:54" s="741" customFormat="1" hidden="1" outlineLevel="1" x14ac:dyDescent="0.35">
      <c r="A545" s="756"/>
      <c r="B545" s="756"/>
      <c r="C545" s="753"/>
      <c r="D545" s="1367" t="s">
        <v>322</v>
      </c>
      <c r="E545" s="2340" t="s">
        <v>1701</v>
      </c>
      <c r="F545" s="2340"/>
      <c r="G545" s="1368">
        <v>10</v>
      </c>
      <c r="H545" s="3732" t="s">
        <v>1702</v>
      </c>
      <c r="I545" s="4319"/>
      <c r="J545" s="4320" t="s">
        <v>1703</v>
      </c>
      <c r="K545" s="4320"/>
      <c r="L545" s="4320"/>
      <c r="M545" s="1369"/>
      <c r="N545" s="756"/>
      <c r="O545" s="756"/>
      <c r="P545" s="756"/>
      <c r="Q545" s="756"/>
      <c r="R545" s="756"/>
      <c r="S545" s="756"/>
      <c r="T545" s="756"/>
      <c r="U545" s="756"/>
      <c r="V545" s="769" t="str">
        <f t="shared" si="69"/>
        <v>SEER</v>
      </c>
      <c r="W545" s="177">
        <v>10</v>
      </c>
      <c r="X545" s="177">
        <v>10</v>
      </c>
      <c r="Y545" s="177">
        <v>10</v>
      </c>
      <c r="Z545" s="1368">
        <v>10</v>
      </c>
      <c r="AA545" s="1368">
        <v>10</v>
      </c>
      <c r="AB545" s="1368">
        <v>10</v>
      </c>
      <c r="AC545" s="1368">
        <v>10</v>
      </c>
      <c r="AD545" s="1368">
        <v>10</v>
      </c>
      <c r="AE545" s="177"/>
      <c r="AF545" s="177"/>
      <c r="AG545" s="177"/>
      <c r="AK545" s="732"/>
      <c r="BB545" s="752"/>
    </row>
    <row r="546" spans="1:54" s="741" customFormat="1" hidden="1" outlineLevel="1" x14ac:dyDescent="0.35">
      <c r="A546" s="756"/>
      <c r="B546" s="756"/>
      <c r="C546" s="753"/>
      <c r="D546" s="1367" t="s">
        <v>1064</v>
      </c>
      <c r="E546" s="2340" t="s">
        <v>1108</v>
      </c>
      <c r="F546" s="2340"/>
      <c r="G546" s="1368">
        <v>1496</v>
      </c>
      <c r="H546" s="4316" t="s">
        <v>1696</v>
      </c>
      <c r="I546" s="4317"/>
      <c r="J546" s="4318" t="s">
        <v>1697</v>
      </c>
      <c r="K546" s="4318"/>
      <c r="L546" s="4318"/>
      <c r="M546" s="1369"/>
      <c r="N546" s="756"/>
      <c r="O546" s="756"/>
      <c r="P546" s="756"/>
      <c r="Q546" s="756"/>
      <c r="R546" s="756"/>
      <c r="S546" s="756"/>
      <c r="T546" s="756"/>
      <c r="U546" s="756"/>
      <c r="V546" s="769" t="str">
        <f t="shared" si="69"/>
        <v>EFLHheat</v>
      </c>
      <c r="W546" s="177">
        <v>2009</v>
      </c>
      <c r="X546" s="177">
        <v>2009</v>
      </c>
      <c r="Y546" s="804">
        <v>1496</v>
      </c>
      <c r="Z546" s="1368">
        <v>1496</v>
      </c>
      <c r="AA546" s="1368">
        <v>1496</v>
      </c>
      <c r="AB546" s="1368">
        <v>1496</v>
      </c>
      <c r="AC546" s="1368">
        <v>1496</v>
      </c>
      <c r="AD546" s="1368">
        <v>1496</v>
      </c>
      <c r="AE546" s="177"/>
      <c r="AF546" s="177"/>
      <c r="AG546" s="177"/>
      <c r="AK546" s="732"/>
      <c r="BB546" s="752"/>
    </row>
    <row r="547" spans="1:54" s="741" customFormat="1" ht="29" hidden="1" outlineLevel="1" x14ac:dyDescent="0.35">
      <c r="A547" s="756"/>
      <c r="B547" s="756"/>
      <c r="C547" s="753"/>
      <c r="D547" s="1367" t="s">
        <v>1704</v>
      </c>
      <c r="E547" s="2340" t="s">
        <v>1705</v>
      </c>
      <c r="F547" s="2340"/>
      <c r="G547" s="1368">
        <v>71.8</v>
      </c>
      <c r="H547" s="3732" t="s">
        <v>1700</v>
      </c>
      <c r="I547" s="4319"/>
      <c r="J547" s="4320" t="s">
        <v>1697</v>
      </c>
      <c r="K547" s="4320"/>
      <c r="L547" s="4320"/>
      <c r="M547" s="1369"/>
      <c r="N547" s="756"/>
      <c r="O547" s="756"/>
      <c r="P547" s="756"/>
      <c r="Q547" s="756"/>
      <c r="R547" s="756"/>
      <c r="S547" s="756"/>
      <c r="T547" s="756"/>
      <c r="U547" s="756"/>
      <c r="V547" s="769" t="str">
        <f t="shared" si="69"/>
        <v>ΔTAVG, heating</v>
      </c>
      <c r="W547" s="177">
        <v>71.8</v>
      </c>
      <c r="X547" s="177">
        <v>71.8</v>
      </c>
      <c r="Y547" s="177">
        <v>71.8</v>
      </c>
      <c r="Z547" s="1368">
        <v>71.8</v>
      </c>
      <c r="AA547" s="1368">
        <v>71.8</v>
      </c>
      <c r="AB547" s="1368">
        <v>71.8</v>
      </c>
      <c r="AC547" s="1368">
        <v>71.8</v>
      </c>
      <c r="AD547" s="1368">
        <v>71.8</v>
      </c>
      <c r="AE547" s="177"/>
      <c r="AF547" s="177"/>
      <c r="AG547" s="177"/>
      <c r="AK547" s="732"/>
      <c r="BB547" s="752"/>
    </row>
    <row r="548" spans="1:54" s="741" customFormat="1" hidden="1" outlineLevel="1" x14ac:dyDescent="0.35">
      <c r="A548" s="756"/>
      <c r="B548" s="756"/>
      <c r="C548" s="753"/>
      <c r="D548" s="1367">
        <v>3412</v>
      </c>
      <c r="E548" s="2340" t="s">
        <v>725</v>
      </c>
      <c r="F548" s="2340"/>
      <c r="G548" s="1368">
        <v>3412</v>
      </c>
      <c r="H548" s="3804" t="s">
        <v>706</v>
      </c>
      <c r="I548" s="3820"/>
      <c r="J548" s="3828" t="s">
        <v>1706</v>
      </c>
      <c r="K548" s="3828"/>
      <c r="L548" s="3828"/>
      <c r="M548" s="1369"/>
      <c r="N548" s="756"/>
      <c r="O548" s="756"/>
      <c r="P548" s="756"/>
      <c r="Q548" s="756"/>
      <c r="R548" s="756"/>
      <c r="S548" s="756"/>
      <c r="T548" s="756"/>
      <c r="U548" s="756"/>
      <c r="V548" s="769">
        <f t="shared" si="69"/>
        <v>3412</v>
      </c>
      <c r="W548" s="177">
        <v>3412</v>
      </c>
      <c r="X548" s="177">
        <v>3412</v>
      </c>
      <c r="Y548" s="177">
        <v>3412</v>
      </c>
      <c r="Z548" s="1368">
        <v>3412</v>
      </c>
      <c r="AA548" s="1368">
        <v>3412</v>
      </c>
      <c r="AB548" s="1368">
        <v>3412</v>
      </c>
      <c r="AC548" s="1368">
        <v>3412</v>
      </c>
      <c r="AD548" s="1368">
        <v>3412</v>
      </c>
      <c r="AE548" s="177"/>
      <c r="AF548" s="177"/>
      <c r="AG548" s="177"/>
      <c r="AK548" s="732"/>
      <c r="BB548" s="752"/>
    </row>
    <row r="549" spans="1:54" s="741" customFormat="1" hidden="1" outlineLevel="1" x14ac:dyDescent="0.35">
      <c r="A549" s="756"/>
      <c r="B549" s="756"/>
      <c r="C549" s="753"/>
      <c r="D549" s="1367" t="s">
        <v>1707</v>
      </c>
      <c r="E549" s="2340" t="s">
        <v>1708</v>
      </c>
      <c r="F549" s="2340"/>
      <c r="G549" s="168">
        <v>1</v>
      </c>
      <c r="H549" s="3732" t="s">
        <v>1709</v>
      </c>
      <c r="I549" s="4319"/>
      <c r="J549" s="4320" t="s">
        <v>1697</v>
      </c>
      <c r="K549" s="4320"/>
      <c r="L549" s="4320"/>
      <c r="M549" s="1369"/>
      <c r="N549" s="756"/>
      <c r="O549" s="756"/>
      <c r="P549" s="756"/>
      <c r="Q549" s="756"/>
      <c r="R549" s="756"/>
      <c r="S549" s="756"/>
      <c r="T549" s="756"/>
      <c r="U549" s="756"/>
      <c r="V549" s="769" t="str">
        <f t="shared" si="69"/>
        <v>COP</v>
      </c>
      <c r="W549" s="167">
        <v>1</v>
      </c>
      <c r="X549" s="167">
        <v>1</v>
      </c>
      <c r="Y549" s="167">
        <v>1</v>
      </c>
      <c r="Z549" s="168">
        <v>1</v>
      </c>
      <c r="AA549" s="168">
        <v>1</v>
      </c>
      <c r="AB549" s="168">
        <v>1</v>
      </c>
      <c r="AC549" s="168">
        <v>1</v>
      </c>
      <c r="AD549" s="168">
        <v>1</v>
      </c>
      <c r="AE549" s="167"/>
      <c r="AF549" s="167"/>
      <c r="AG549" s="167"/>
      <c r="AK549" s="732"/>
      <c r="BB549" s="752"/>
    </row>
    <row r="550" spans="1:54" s="741" customFormat="1" ht="16.5" hidden="1" outlineLevel="1" x14ac:dyDescent="0.35">
      <c r="A550" s="756"/>
      <c r="B550" s="756"/>
      <c r="C550" s="753"/>
      <c r="D550" s="1367" t="s">
        <v>1710</v>
      </c>
      <c r="E550" s="2340" t="s">
        <v>1711</v>
      </c>
      <c r="F550" s="2340"/>
      <c r="G550" s="1370">
        <v>3.1399999999999997E-2</v>
      </c>
      <c r="H550" s="3732" t="s">
        <v>1712</v>
      </c>
      <c r="I550" s="4319"/>
      <c r="J550" s="4320" t="s">
        <v>1697</v>
      </c>
      <c r="K550" s="4320"/>
      <c r="L550" s="4320"/>
      <c r="M550" s="1369"/>
      <c r="N550" s="756"/>
      <c r="O550" s="756"/>
      <c r="P550" s="756"/>
      <c r="Q550" s="756"/>
      <c r="R550" s="756"/>
      <c r="S550" s="756"/>
      <c r="T550" s="756"/>
      <c r="U550" s="756"/>
      <c r="V550" s="769" t="str">
        <f t="shared" si="69"/>
        <v>Fe</v>
      </c>
      <c r="W550" s="805">
        <v>3.1399999999999997E-2</v>
      </c>
      <c r="X550" s="805">
        <v>3.1399999999999997E-2</v>
      </c>
      <c r="Y550" s="805">
        <v>3.1399999999999997E-2</v>
      </c>
      <c r="Z550" s="1370">
        <v>3.1399999999999997E-2</v>
      </c>
      <c r="AA550" s="1370">
        <v>3.1399999999999997E-2</v>
      </c>
      <c r="AB550" s="1370">
        <v>3.1399999999999997E-2</v>
      </c>
      <c r="AC550" s="1370">
        <v>3.1399999999999997E-2</v>
      </c>
      <c r="AD550" s="1370">
        <v>3.1399999999999997E-2</v>
      </c>
      <c r="AE550" s="805"/>
      <c r="AF550" s="805"/>
      <c r="AG550" s="805"/>
      <c r="AK550" s="732"/>
      <c r="BB550" s="752"/>
    </row>
    <row r="551" spans="1:54" s="741" customFormat="1" hidden="1" outlineLevel="1" x14ac:dyDescent="0.35">
      <c r="A551" s="756"/>
      <c r="B551" s="756"/>
      <c r="C551" s="753"/>
      <c r="D551" s="1367">
        <v>29.3</v>
      </c>
      <c r="E551" s="2340" t="s">
        <v>1713</v>
      </c>
      <c r="F551" s="2340"/>
      <c r="G551" s="2413">
        <v>29.3</v>
      </c>
      <c r="H551" s="3732" t="s">
        <v>1714</v>
      </c>
      <c r="I551" s="4319"/>
      <c r="J551" s="4320" t="s">
        <v>1697</v>
      </c>
      <c r="K551" s="4320"/>
      <c r="L551" s="4320"/>
      <c r="M551" s="1369"/>
      <c r="N551" s="756"/>
      <c r="O551" s="756"/>
      <c r="P551" s="756"/>
      <c r="Q551" s="756"/>
      <c r="R551" s="756"/>
      <c r="S551" s="756"/>
      <c r="T551" s="756"/>
      <c r="U551" s="756"/>
      <c r="V551" s="769">
        <f t="shared" si="69"/>
        <v>29.3</v>
      </c>
      <c r="W551" s="172">
        <v>29.3</v>
      </c>
      <c r="X551" s="172">
        <v>29.3</v>
      </c>
      <c r="Y551" s="172">
        <v>29.3</v>
      </c>
      <c r="Z551" s="2413">
        <v>29.3</v>
      </c>
      <c r="AA551" s="2413">
        <v>29.3</v>
      </c>
      <c r="AB551" s="2413">
        <v>29.3</v>
      </c>
      <c r="AC551" s="2413">
        <v>29.3</v>
      </c>
      <c r="AD551" s="2975">
        <v>29.3</v>
      </c>
      <c r="AE551" s="172"/>
      <c r="AF551" s="172"/>
      <c r="AG551" s="172"/>
      <c r="AK551" s="732"/>
      <c r="BB551" s="752"/>
    </row>
    <row r="552" spans="1:54" s="741" customFormat="1" hidden="1" outlineLevel="1" x14ac:dyDescent="0.35">
      <c r="A552" s="756"/>
      <c r="B552" s="756"/>
      <c r="C552" s="753"/>
      <c r="D552" s="1371">
        <v>100000</v>
      </c>
      <c r="E552" s="2340" t="s">
        <v>1715</v>
      </c>
      <c r="F552" s="2340"/>
      <c r="G552" s="1368">
        <v>100000</v>
      </c>
      <c r="H552" s="3732" t="s">
        <v>1716</v>
      </c>
      <c r="I552" s="4319"/>
      <c r="J552" s="3828" t="s">
        <v>1717</v>
      </c>
      <c r="K552" s="3828"/>
      <c r="L552" s="3828"/>
      <c r="M552" s="1369"/>
      <c r="N552" s="756"/>
      <c r="O552" s="756"/>
      <c r="P552" s="756"/>
      <c r="Q552" s="756"/>
      <c r="R552" s="756"/>
      <c r="S552" s="756"/>
      <c r="T552" s="756"/>
      <c r="U552" s="756"/>
      <c r="V552" s="769">
        <f t="shared" si="69"/>
        <v>100000</v>
      </c>
      <c r="W552" s="177">
        <v>100000</v>
      </c>
      <c r="X552" s="177">
        <v>100000</v>
      </c>
      <c r="Y552" s="177">
        <v>100000</v>
      </c>
      <c r="Z552" s="1368">
        <v>100000</v>
      </c>
      <c r="AA552" s="1368">
        <v>100000</v>
      </c>
      <c r="AB552" s="1368">
        <v>100000</v>
      </c>
      <c r="AC552" s="1368">
        <v>100000</v>
      </c>
      <c r="AD552" s="1368">
        <v>100000</v>
      </c>
      <c r="AE552" s="177"/>
      <c r="AF552" s="177"/>
      <c r="AG552" s="177"/>
      <c r="AK552" s="732"/>
      <c r="BB552" s="752"/>
    </row>
    <row r="553" spans="1:54" s="741" customFormat="1" ht="16.5" hidden="1" outlineLevel="1" x14ac:dyDescent="0.35">
      <c r="A553" s="756"/>
      <c r="B553" s="756"/>
      <c r="C553" s="753"/>
      <c r="D553" s="1372" t="s">
        <v>1718</v>
      </c>
      <c r="E553" s="2340" t="s">
        <v>1719</v>
      </c>
      <c r="F553" s="2340"/>
      <c r="G553" s="1373">
        <v>0.78</v>
      </c>
      <c r="H553" s="4313"/>
      <c r="I553" s="4314"/>
      <c r="J553" s="3828" t="s">
        <v>1717</v>
      </c>
      <c r="K553" s="3828"/>
      <c r="L553" s="3828"/>
      <c r="M553" s="1369"/>
      <c r="N553" s="756"/>
      <c r="O553" s="756"/>
      <c r="P553" s="756"/>
      <c r="Q553" s="756"/>
      <c r="R553" s="756"/>
      <c r="S553" s="756"/>
      <c r="T553" s="756"/>
      <c r="U553" s="756"/>
      <c r="V553" s="769" t="str">
        <f t="shared" si="69"/>
        <v>Effheat</v>
      </c>
      <c r="W553" s="806">
        <v>0.78</v>
      </c>
      <c r="X553" s="806">
        <v>0.78</v>
      </c>
      <c r="Y553" s="806">
        <v>0.78</v>
      </c>
      <c r="Z553" s="1373">
        <v>0.78</v>
      </c>
      <c r="AA553" s="1373">
        <v>0.78</v>
      </c>
      <c r="AB553" s="1373">
        <v>0.78</v>
      </c>
      <c r="AC553" s="1373">
        <v>0.78</v>
      </c>
      <c r="AD553" s="1373">
        <v>0.78</v>
      </c>
      <c r="AE553" s="806"/>
      <c r="AF553" s="806"/>
      <c r="AG553" s="806"/>
      <c r="AK553" s="732"/>
      <c r="BB553" s="752"/>
    </row>
    <row r="554" spans="1:54" s="741" customFormat="1" hidden="1" outlineLevel="1" x14ac:dyDescent="0.35">
      <c r="A554" s="756"/>
      <c r="B554" s="756"/>
      <c r="C554" s="753"/>
      <c r="D554" s="2333" t="s">
        <v>575</v>
      </c>
      <c r="E554" s="2333" t="s">
        <v>1720</v>
      </c>
      <c r="F554" s="2333"/>
      <c r="G554" s="874">
        <v>1</v>
      </c>
      <c r="H554" s="3834" t="s">
        <v>583</v>
      </c>
      <c r="I554" s="3847"/>
      <c r="J554" s="4320" t="s">
        <v>1721</v>
      </c>
      <c r="K554" s="4320"/>
      <c r="L554" s="4320"/>
      <c r="M554" s="1369"/>
      <c r="N554" s="756"/>
      <c r="O554" s="756"/>
      <c r="P554" s="756"/>
      <c r="Q554" s="756"/>
      <c r="R554" s="756"/>
      <c r="S554" s="756"/>
      <c r="T554" s="756"/>
      <c r="U554" s="756"/>
      <c r="V554" s="769" t="str">
        <f t="shared" si="69"/>
        <v>Electric Saturation</v>
      </c>
      <c r="W554" s="807">
        <v>1</v>
      </c>
      <c r="X554" s="807">
        <v>1</v>
      </c>
      <c r="Y554" s="807">
        <v>1</v>
      </c>
      <c r="Z554" s="874">
        <v>1</v>
      </c>
      <c r="AA554" s="874">
        <v>1</v>
      </c>
      <c r="AB554" s="874">
        <v>1</v>
      </c>
      <c r="AC554" s="874">
        <v>1</v>
      </c>
      <c r="AD554" s="874">
        <v>1</v>
      </c>
      <c r="AE554" s="807"/>
      <c r="AF554" s="807"/>
      <c r="AG554" s="807"/>
      <c r="AK554" s="732"/>
      <c r="BB554" s="752"/>
    </row>
    <row r="555" spans="1:54" s="741" customFormat="1" hidden="1" outlineLevel="1" x14ac:dyDescent="0.35">
      <c r="A555" s="756"/>
      <c r="B555" s="756"/>
      <c r="C555" s="753"/>
      <c r="D555" s="2333" t="s">
        <v>516</v>
      </c>
      <c r="E555" s="2333" t="s">
        <v>578</v>
      </c>
      <c r="F555" s="2333"/>
      <c r="G555" s="874">
        <v>1</v>
      </c>
      <c r="H555" s="3834" t="s">
        <v>583</v>
      </c>
      <c r="I555" s="3847"/>
      <c r="J555" s="4320" t="s">
        <v>1721</v>
      </c>
      <c r="K555" s="4320"/>
      <c r="L555" s="4320"/>
      <c r="M555" s="1369"/>
      <c r="N555" s="756"/>
      <c r="O555" s="756"/>
      <c r="P555" s="756"/>
      <c r="Q555" s="756"/>
      <c r="R555" s="756"/>
      <c r="S555" s="756"/>
      <c r="T555" s="756"/>
      <c r="U555" s="756"/>
      <c r="V555" s="769" t="str">
        <f t="shared" si="69"/>
        <v>Utility Adjustment</v>
      </c>
      <c r="W555" s="807">
        <v>1</v>
      </c>
      <c r="X555" s="807">
        <v>1</v>
      </c>
      <c r="Y555" s="807">
        <v>1</v>
      </c>
      <c r="Z555" s="874">
        <v>1</v>
      </c>
      <c r="AA555" s="874">
        <v>1</v>
      </c>
      <c r="AB555" s="874">
        <v>1</v>
      </c>
      <c r="AC555" s="874">
        <v>1</v>
      </c>
      <c r="AD555" s="874">
        <v>1</v>
      </c>
      <c r="AE555" s="807"/>
      <c r="AF555" s="807"/>
      <c r="AG555" s="807"/>
      <c r="AK555" s="732"/>
      <c r="BB555" s="752"/>
    </row>
    <row r="556" spans="1:54" s="741" customFormat="1" hidden="1" outlineLevel="1" x14ac:dyDescent="0.35">
      <c r="A556" s="756"/>
      <c r="B556" s="756"/>
      <c r="C556" s="753"/>
      <c r="D556" s="1367" t="s">
        <v>132</v>
      </c>
      <c r="E556" s="1367" t="s">
        <v>1722</v>
      </c>
      <c r="F556" s="1374"/>
      <c r="G556" s="903">
        <v>1</v>
      </c>
      <c r="H556" s="4313" t="s">
        <v>1723</v>
      </c>
      <c r="I556" s="4314"/>
      <c r="J556" s="3828" t="s">
        <v>1706</v>
      </c>
      <c r="K556" s="3828"/>
      <c r="L556" s="3828"/>
      <c r="M556" s="1369"/>
      <c r="N556" s="756"/>
      <c r="O556" s="756"/>
      <c r="P556" s="756"/>
      <c r="Q556" s="756"/>
      <c r="R556" s="756"/>
      <c r="S556" s="756"/>
      <c r="T556" s="756"/>
      <c r="U556" s="756"/>
      <c r="V556" s="769" t="str">
        <f t="shared" si="69"/>
        <v>ISR</v>
      </c>
      <c r="W556" s="809">
        <v>1</v>
      </c>
      <c r="X556" s="809">
        <v>1</v>
      </c>
      <c r="Y556" s="809">
        <v>1</v>
      </c>
      <c r="Z556" s="867">
        <v>1</v>
      </c>
      <c r="AA556" s="867">
        <v>1</v>
      </c>
      <c r="AB556" s="867">
        <v>1</v>
      </c>
      <c r="AC556" s="903">
        <v>1</v>
      </c>
      <c r="AD556" s="903">
        <v>1</v>
      </c>
      <c r="AE556" s="809"/>
      <c r="AF556" s="809"/>
      <c r="AG556" s="809"/>
      <c r="AK556" s="732"/>
      <c r="BB556" s="752"/>
    </row>
    <row r="557" spans="1:54" s="741" customFormat="1" hidden="1" outlineLevel="1" x14ac:dyDescent="0.35">
      <c r="A557" s="756"/>
      <c r="B557" s="756"/>
      <c r="C557" s="753"/>
      <c r="D557" s="1494" t="str">
        <f>D516</f>
        <v>EUL</v>
      </c>
      <c r="E557" s="1494" t="str">
        <f>E516</f>
        <v>Effective Useful Life</v>
      </c>
      <c r="F557" s="825" t="s">
        <v>134</v>
      </c>
      <c r="G557" s="919">
        <v>20</v>
      </c>
      <c r="H557" s="3834"/>
      <c r="I557" s="3847"/>
      <c r="J557" s="4320"/>
      <c r="K557" s="4320"/>
      <c r="L557" s="4320"/>
      <c r="M557" s="1369"/>
      <c r="N557" s="756"/>
      <c r="O557" s="756"/>
      <c r="P557" s="756"/>
      <c r="Q557" s="756"/>
      <c r="R557" s="756"/>
      <c r="S557" s="756"/>
      <c r="T557" s="756"/>
      <c r="U557" s="756"/>
      <c r="V557" s="769" t="str">
        <f>D557</f>
        <v>EUL</v>
      </c>
      <c r="W557" s="810">
        <v>20</v>
      </c>
      <c r="X557" s="810">
        <v>20</v>
      </c>
      <c r="Y557" s="810">
        <v>20</v>
      </c>
      <c r="Z557" s="689">
        <v>20</v>
      </c>
      <c r="AA557" s="689">
        <v>20</v>
      </c>
      <c r="AB557" s="689">
        <v>20</v>
      </c>
      <c r="AC557" s="919">
        <v>20</v>
      </c>
      <c r="AD557" s="919">
        <v>20</v>
      </c>
      <c r="AE557" s="810"/>
      <c r="AF557" s="810"/>
      <c r="AG557" s="810"/>
      <c r="AK557" s="732"/>
      <c r="BB557" s="752"/>
    </row>
    <row r="558" spans="1:54" s="741" customFormat="1" hidden="1" outlineLevel="1" x14ac:dyDescent="0.35">
      <c r="A558" s="756"/>
      <c r="B558" s="756"/>
      <c r="C558" s="753"/>
      <c r="D558" s="1494" t="str">
        <f>D517</f>
        <v>Inc. Cost</v>
      </c>
      <c r="E558" s="1494" t="str">
        <f>E517</f>
        <v>Incremental Cost</v>
      </c>
      <c r="F558" s="1845" t="s">
        <v>134</v>
      </c>
      <c r="G558" s="387">
        <f>138.7/SQRT(1080)</f>
        <v>4.2205065958870298</v>
      </c>
      <c r="H558" s="4313"/>
      <c r="I558" s="4314"/>
      <c r="J558" s="3828" t="s">
        <v>1724</v>
      </c>
      <c r="K558" s="3828"/>
      <c r="L558" s="3828"/>
      <c r="M558" s="1369"/>
      <c r="N558" s="756"/>
      <c r="O558" s="756"/>
      <c r="P558" s="756"/>
      <c r="Q558" s="756"/>
      <c r="R558" s="756"/>
      <c r="S558" s="756"/>
      <c r="T558" s="756"/>
      <c r="U558" s="756"/>
      <c r="V558" s="769" t="str">
        <f>D558</f>
        <v>Inc. Cost</v>
      </c>
      <c r="W558" s="772">
        <v>138.69999999999999</v>
      </c>
      <c r="X558" s="772">
        <v>138.69999999999999</v>
      </c>
      <c r="Y558" s="567">
        <f>138.7/SQRT(1080)</f>
        <v>4.2205065958870298</v>
      </c>
      <c r="Z558" s="387">
        <f t="shared" ref="Z558:AA558" si="72">138.7/SQRT(1080)</f>
        <v>4.2205065958870298</v>
      </c>
      <c r="AA558" s="387">
        <f t="shared" si="72"/>
        <v>4.2205065958870298</v>
      </c>
      <c r="AB558" s="387">
        <v>4.2205065958870298</v>
      </c>
      <c r="AC558" s="387">
        <v>4.2205065958870298</v>
      </c>
      <c r="AD558" s="387">
        <v>4.2205065958870298</v>
      </c>
      <c r="AE558" s="772"/>
      <c r="AF558" s="772"/>
      <c r="AG558" s="772"/>
      <c r="AK558" s="732"/>
      <c r="BB558" s="752"/>
    </row>
    <row r="559" spans="1:54" s="741" customFormat="1" collapsed="1" x14ac:dyDescent="0.35">
      <c r="A559" s="756"/>
      <c r="B559" s="756"/>
      <c r="C559" s="753"/>
      <c r="D559" s="1375"/>
      <c r="E559" s="1375"/>
      <c r="F559" s="1376"/>
      <c r="G559" s="1376"/>
      <c r="H559" s="1376"/>
      <c r="I559" s="756"/>
      <c r="J559" s="756"/>
      <c r="K559" s="756"/>
      <c r="L559" s="756"/>
      <c r="M559" s="756"/>
      <c r="N559" s="756"/>
      <c r="O559" s="756"/>
      <c r="P559" s="756"/>
      <c r="Q559" s="756"/>
      <c r="R559" s="756"/>
      <c r="S559" s="756"/>
      <c r="T559" s="756"/>
      <c r="U559" s="756"/>
      <c r="Y559" s="790" t="s">
        <v>1578</v>
      </c>
      <c r="AK559" s="732"/>
      <c r="BB559" s="752"/>
    </row>
    <row r="560" spans="1:54" s="741" customFormat="1" x14ac:dyDescent="0.35">
      <c r="A560" s="756"/>
      <c r="B560" s="756"/>
      <c r="C560" s="753"/>
      <c r="D560" s="1375"/>
      <c r="E560" s="1375"/>
      <c r="F560" s="1376"/>
      <c r="G560" s="1376"/>
      <c r="H560" s="1376"/>
      <c r="I560" s="756"/>
      <c r="J560" s="756"/>
      <c r="K560" s="756"/>
      <c r="L560" s="756"/>
      <c r="M560" s="756"/>
      <c r="N560" s="756"/>
      <c r="O560" s="756"/>
      <c r="P560" s="756"/>
      <c r="Q560" s="756"/>
      <c r="R560" s="756"/>
      <c r="S560" s="756"/>
      <c r="T560" s="756"/>
      <c r="U560" s="756"/>
      <c r="Y560" s="757"/>
      <c r="AK560" s="732"/>
      <c r="BB560" s="752"/>
    </row>
    <row r="561" spans="1:57" s="741" customFormat="1" x14ac:dyDescent="0.35">
      <c r="A561" s="756"/>
      <c r="B561" s="3664" t="s">
        <v>1725</v>
      </c>
      <c r="C561" s="3665"/>
      <c r="D561" s="3665"/>
      <c r="E561" s="3665"/>
      <c r="F561" s="3665"/>
      <c r="G561" s="3665"/>
      <c r="H561" s="3665"/>
      <c r="I561" s="3666"/>
      <c r="J561" s="3666"/>
      <c r="K561" s="3666"/>
      <c r="L561" s="3666"/>
      <c r="M561" s="3666"/>
      <c r="N561" s="3666"/>
      <c r="O561" s="3666"/>
      <c r="P561" s="3666"/>
      <c r="Q561" s="3666"/>
      <c r="R561" s="3667"/>
      <c r="S561" s="756"/>
      <c r="T561" s="756"/>
      <c r="U561" s="756"/>
      <c r="V561" s="3664" t="str">
        <f>B561</f>
        <v>Duct Repair (Duct Sealing and Repair - Methodology 3)</v>
      </c>
      <c r="W561" s="3665"/>
      <c r="X561" s="3665"/>
      <c r="Y561" s="3665"/>
      <c r="Z561" s="3665"/>
      <c r="AA561" s="3665"/>
      <c r="AB561" s="3665"/>
      <c r="AC561" s="3680"/>
      <c r="AD561" s="3680"/>
      <c r="AE561" s="3680"/>
      <c r="AF561" s="3680"/>
      <c r="AG561" s="3680"/>
      <c r="AH561" s="3680"/>
      <c r="AI561" s="3681"/>
      <c r="AK561" s="732"/>
      <c r="BB561" s="752"/>
    </row>
    <row r="562" spans="1:57" s="741" customFormat="1" ht="15" customHeight="1" x14ac:dyDescent="0.35">
      <c r="A562" s="756"/>
      <c r="B562" s="756"/>
      <c r="C562" s="753"/>
      <c r="D562" s="375"/>
      <c r="E562" s="375"/>
      <c r="F562" s="756"/>
      <c r="G562" s="756"/>
      <c r="H562" s="756"/>
      <c r="I562" s="756"/>
      <c r="J562" s="756"/>
      <c r="K562" s="756"/>
      <c r="L562" s="756"/>
      <c r="M562" s="756"/>
      <c r="N562" s="756"/>
      <c r="O562" s="756"/>
      <c r="P562" s="756"/>
      <c r="Q562" s="756"/>
      <c r="R562" s="756"/>
      <c r="S562" s="756"/>
      <c r="T562" s="756"/>
      <c r="U562" s="756"/>
      <c r="V562" s="196"/>
      <c r="W562" s="196"/>
      <c r="X562" s="196"/>
      <c r="Y562" s="528"/>
      <c r="Z562" s="196"/>
      <c r="AA562" s="196"/>
      <c r="AB562" s="196"/>
      <c r="AC562" s="196"/>
      <c r="AD562" s="196"/>
      <c r="AE562" s="196"/>
      <c r="AF562" s="196"/>
      <c r="AG562" s="196"/>
      <c r="AH562" s="196"/>
      <c r="AI562" s="196"/>
      <c r="AK562" s="732"/>
      <c r="BB562" s="752"/>
    </row>
    <row r="563" spans="1:57" s="741" customFormat="1" ht="43.5" x14ac:dyDescent="0.35">
      <c r="A563" s="756"/>
      <c r="B563" s="756"/>
      <c r="C563" s="2331" t="s">
        <v>27</v>
      </c>
      <c r="D563" s="2331" t="s">
        <v>174</v>
      </c>
      <c r="E563" s="2331" t="s">
        <v>29</v>
      </c>
      <c r="F563" s="2331" t="s">
        <v>1670</v>
      </c>
      <c r="G563" s="2331" t="s">
        <v>175</v>
      </c>
      <c r="H563" s="2331" t="s">
        <v>176</v>
      </c>
      <c r="I563" s="2331" t="s">
        <v>1671</v>
      </c>
      <c r="J563" s="2331" t="s">
        <v>1672</v>
      </c>
      <c r="K563" s="2331" t="s">
        <v>31</v>
      </c>
      <c r="L563" s="2331" t="s">
        <v>180</v>
      </c>
      <c r="M563" s="2331" t="s">
        <v>42</v>
      </c>
      <c r="N563" s="2331" t="s">
        <v>1674</v>
      </c>
      <c r="O563" s="756"/>
      <c r="P563" s="756"/>
      <c r="Q563" s="756"/>
      <c r="R563" s="756"/>
      <c r="S563" s="756"/>
      <c r="T563" s="756"/>
      <c r="U563" s="756"/>
      <c r="V563" s="1572" t="s">
        <v>44</v>
      </c>
      <c r="W563" s="1573">
        <f>W$6</f>
        <v>43252</v>
      </c>
      <c r="X563" s="1573">
        <f t="shared" ref="X563:AG563" si="73">X$6</f>
        <v>43465</v>
      </c>
      <c r="Y563" s="316">
        <f t="shared" si="73"/>
        <v>43800</v>
      </c>
      <c r="Z563" s="1573">
        <f t="shared" si="73"/>
        <v>43862</v>
      </c>
      <c r="AA563" s="1573">
        <f t="shared" si="73"/>
        <v>44013</v>
      </c>
      <c r="AB563" s="1573">
        <f t="shared" si="73"/>
        <v>44166</v>
      </c>
      <c r="AC563" s="1573">
        <f t="shared" si="73"/>
        <v>44531</v>
      </c>
      <c r="AD563" s="1573">
        <f t="shared" si="73"/>
        <v>44774</v>
      </c>
      <c r="AE563" s="1573" t="str">
        <f t="shared" si="73"/>
        <v>-</v>
      </c>
      <c r="AF563" s="1573" t="str">
        <f t="shared" si="73"/>
        <v>-</v>
      </c>
      <c r="AG563" s="1573" t="str">
        <f t="shared" si="73"/>
        <v>-</v>
      </c>
      <c r="AH563" s="196"/>
      <c r="AI563" s="196"/>
      <c r="AK563" s="732"/>
      <c r="BB563" s="1574" t="str">
        <f>$BB$6</f>
        <v>TRC (2022)</v>
      </c>
      <c r="BC563" s="1584" t="str">
        <f>$BC$6</f>
        <v>Benefit Lookup</v>
      </c>
      <c r="BD563" s="556" t="str">
        <f>$BD$6</f>
        <v>Benefits (2019 $)</v>
      </c>
      <c r="BE563" s="200" t="str">
        <f>$BE$6</f>
        <v>Incremental Cost (2019 $)</v>
      </c>
    </row>
    <row r="564" spans="1:57" s="741" customFormat="1" ht="15" customHeight="1" x14ac:dyDescent="0.35">
      <c r="A564" s="756"/>
      <c r="B564" s="756"/>
      <c r="C564" s="395" t="s">
        <v>1726</v>
      </c>
      <c r="D564" s="1279" t="s">
        <v>1517</v>
      </c>
      <c r="E564" s="368" t="s">
        <v>1727</v>
      </c>
      <c r="F564" s="501">
        <f>ROUND(I564+J564,2)</f>
        <v>4.92</v>
      </c>
      <c r="G564" s="395" t="s">
        <v>425</v>
      </c>
      <c r="H564" s="136">
        <f>VLOOKUP(G564,'CP FACTORS'!$A$3:$B$38, 2, FALSE)</f>
        <v>4.6608050000000002E-4</v>
      </c>
      <c r="I564" s="820">
        <f>$G$581*$G$584</f>
        <v>0.81</v>
      </c>
      <c r="J564" s="820">
        <f>$G$585*$G$584</f>
        <v>4.1100000000000003</v>
      </c>
      <c r="K564" s="742">
        <f>ROUND(H564*F564,6)</f>
        <v>2.2929999999999999E-3</v>
      </c>
      <c r="L564" s="820">
        <f>$G$596</f>
        <v>20</v>
      </c>
      <c r="M564" s="568">
        <f>$G$597</f>
        <v>8.0376653213977498</v>
      </c>
      <c r="N564" s="820">
        <f>$G$584</f>
        <v>1</v>
      </c>
      <c r="O564" s="756"/>
      <c r="P564" s="756"/>
      <c r="Q564" s="756"/>
      <c r="R564" s="756"/>
      <c r="S564" s="756"/>
      <c r="T564" s="756"/>
      <c r="U564" s="756"/>
      <c r="V564" s="141" t="str">
        <f>$F$522</f>
        <v>kWh
Annual Savings</v>
      </c>
      <c r="W564" s="811">
        <v>183.23284858343499</v>
      </c>
      <c r="X564" s="730">
        <v>183.23284858343499</v>
      </c>
      <c r="Y564" s="734">
        <v>4.92</v>
      </c>
      <c r="Z564" s="731">
        <v>4.92</v>
      </c>
      <c r="AA564" s="731">
        <v>4.92</v>
      </c>
      <c r="AB564" s="48">
        <v>4.92</v>
      </c>
      <c r="AC564" s="501">
        <v>4.92</v>
      </c>
      <c r="AD564" s="501">
        <v>4.92</v>
      </c>
      <c r="AE564" s="141"/>
      <c r="AF564" s="141"/>
      <c r="AG564" s="141"/>
      <c r="AH564" s="196"/>
      <c r="AI564" s="196"/>
      <c r="AK564" s="732"/>
      <c r="BB564" s="1578">
        <f>(BD564)/(BE564)</f>
        <v>0.75465770200941129</v>
      </c>
      <c r="BC564" s="2381" t="str">
        <f>CONCATENATE(G564," ",L564," Year EUL")</f>
        <v>HVAC RES 20 Year EUL</v>
      </c>
      <c r="BD564" s="95">
        <f>(INDEX('Avoided Cost Benefits'!$E$4:$E$859,MATCH(BC564,'Avoided Cost Benefits'!$A$4:$A$859,0)))*F564</f>
        <v>5.7250458149757071</v>
      </c>
      <c r="BE564" s="1579">
        <f>M564/(1.0595^(2020-2019))</f>
        <v>7.5862815680960347</v>
      </c>
    </row>
    <row r="565" spans="1:57" s="741" customFormat="1" ht="15" customHeight="1" x14ac:dyDescent="0.35">
      <c r="A565" s="756"/>
      <c r="B565" s="756"/>
      <c r="C565" s="395" t="s">
        <v>1728</v>
      </c>
      <c r="D565" s="1279" t="s">
        <v>1517</v>
      </c>
      <c r="E565" s="368" t="s">
        <v>1729</v>
      </c>
      <c r="F565" s="501">
        <f>ROUND(I565+J565,2)</f>
        <v>1</v>
      </c>
      <c r="G565" s="395" t="s">
        <v>425</v>
      </c>
      <c r="H565" s="136">
        <f>VLOOKUP(G565,'CP FACTORS'!$A$3:$B$38, 2, FALSE)</f>
        <v>4.6608050000000002E-4</v>
      </c>
      <c r="I565" s="820">
        <f>$G$581*$G$584</f>
        <v>0.81</v>
      </c>
      <c r="J565" s="820">
        <f>$G$588*$G$584*$G$591*$G$592</f>
        <v>0.19320419999999999</v>
      </c>
      <c r="K565" s="742">
        <f>ROUND(H565*F565,6)</f>
        <v>4.66E-4</v>
      </c>
      <c r="L565" s="820">
        <f>$G$596</f>
        <v>20</v>
      </c>
      <c r="M565" s="568">
        <f>$G$597</f>
        <v>8.0376653213977498</v>
      </c>
      <c r="N565" s="820">
        <f t="shared" ref="N565:N569" si="74">$G$584</f>
        <v>1</v>
      </c>
      <c r="O565" s="756"/>
      <c r="P565" s="756"/>
      <c r="Q565" s="756"/>
      <c r="R565" s="756"/>
      <c r="S565" s="756"/>
      <c r="T565" s="756"/>
      <c r="U565" s="756"/>
      <c r="V565" s="141" t="str">
        <f>$F$522</f>
        <v>kWh
Annual Savings</v>
      </c>
      <c r="W565" s="811"/>
      <c r="X565" s="730"/>
      <c r="Y565" s="734">
        <v>1.02</v>
      </c>
      <c r="Z565" s="731">
        <v>1.02</v>
      </c>
      <c r="AA565" s="731">
        <v>1.02</v>
      </c>
      <c r="AB565" s="48">
        <v>1.02</v>
      </c>
      <c r="AC565" s="563">
        <v>1</v>
      </c>
      <c r="AD565" s="501">
        <v>1</v>
      </c>
      <c r="AE565" s="141"/>
      <c r="AF565" s="141"/>
      <c r="AG565" s="141"/>
      <c r="AH565" s="196"/>
      <c r="AI565" s="196"/>
      <c r="AK565" s="732"/>
      <c r="BB565" s="40">
        <f>(BD565)/(BE565)</f>
        <v>0.15338571179053076</v>
      </c>
      <c r="BC565" s="1580" t="str">
        <f>CONCATENATE(G565," ",L565," Year EUL")</f>
        <v>HVAC RES 20 Year EUL</v>
      </c>
      <c r="BD565" s="98">
        <f>(INDEX('Avoided Cost Benefits'!$E$4:$E$859,MATCH(BC565,'Avoided Cost Benefits'!$A$4:$A$859,0)))*F565</f>
        <v>1.1636271981657942</v>
      </c>
      <c r="BE565" s="1581">
        <f>M565/(1.0595^(2020-2019))</f>
        <v>7.5862815680960347</v>
      </c>
    </row>
    <row r="566" spans="1:57" s="741" customFormat="1" ht="15" customHeight="1" x14ac:dyDescent="0.35">
      <c r="A566" s="756"/>
      <c r="B566" s="756"/>
      <c r="C566" s="395" t="s">
        <v>1730</v>
      </c>
      <c r="D566" s="1279" t="s">
        <v>1518</v>
      </c>
      <c r="E566" s="368" t="s">
        <v>1731</v>
      </c>
      <c r="F566" s="501">
        <f t="shared" ref="F566:F567" si="75">ROUND(I566+J566,2)</f>
        <v>4.1100000000000003</v>
      </c>
      <c r="G566" s="395" t="s">
        <v>425</v>
      </c>
      <c r="H566" s="136">
        <f>VLOOKUP(G566,'CP FACTORS'!$A$3:$B$38, 2, FALSE)</f>
        <v>4.6608050000000002E-4</v>
      </c>
      <c r="I566" s="1231">
        <f>$G$582*$G$584</f>
        <v>0.7</v>
      </c>
      <c r="J566" s="1231">
        <f>$G$586*$G$584</f>
        <v>3.41</v>
      </c>
      <c r="K566" s="2086">
        <f t="shared" ref="K566:K567" si="76">ROUND(H566*F566,6)</f>
        <v>1.916E-3</v>
      </c>
      <c r="L566" s="820">
        <f t="shared" ref="L566:L567" si="77">$G$596</f>
        <v>20</v>
      </c>
      <c r="M566" s="1845">
        <f t="shared" ref="M566:M567" si="78">$G$597</f>
        <v>8.0376653213977498</v>
      </c>
      <c r="N566" s="820">
        <f t="shared" si="74"/>
        <v>1</v>
      </c>
      <c r="O566" s="756"/>
      <c r="P566" s="756"/>
      <c r="Q566" s="756"/>
      <c r="R566" s="756"/>
      <c r="S566" s="756"/>
      <c r="T566" s="756"/>
      <c r="U566" s="756"/>
      <c r="V566" s="1592" t="str">
        <f t="shared" ref="V566:V567" si="79">$F$522</f>
        <v>kWh
Annual Savings</v>
      </c>
      <c r="W566" s="1852"/>
      <c r="X566" s="1853"/>
      <c r="Y566" s="734"/>
      <c r="Z566" s="734"/>
      <c r="AA566" s="734"/>
      <c r="AB566" s="322">
        <v>4.1100000000000003</v>
      </c>
      <c r="AC566" s="501">
        <v>4.1100000000000003</v>
      </c>
      <c r="AD566" s="501">
        <v>4.1100000000000003</v>
      </c>
      <c r="AE566" s="141"/>
      <c r="AF566" s="141"/>
      <c r="AG566" s="141"/>
      <c r="AH566" s="196"/>
      <c r="AI566" s="196"/>
      <c r="AK566" s="732"/>
      <c r="BB566" s="40">
        <f t="shared" ref="BB566:BB567" si="80">(BD566)/(BE566)</f>
        <v>0.63041527545908149</v>
      </c>
      <c r="BC566" s="1580" t="str">
        <f t="shared" ref="BC566:BC567" si="81">CONCATENATE(G566," ",L566," Year EUL")</f>
        <v>HVAC RES 20 Year EUL</v>
      </c>
      <c r="BD566" s="98">
        <f>(INDEX('Avoided Cost Benefits'!$E$4:$E$859,MATCH(BC566,'Avoided Cost Benefits'!$A$4:$A$859,0)))*F566</f>
        <v>4.7825077844614148</v>
      </c>
      <c r="BE566" s="1581">
        <f t="shared" ref="BE566:BE567" si="82">M566/(1.0595^(2020-2019))</f>
        <v>7.5862815680960347</v>
      </c>
    </row>
    <row r="567" spans="1:57" s="741" customFormat="1" ht="15" customHeight="1" x14ac:dyDescent="0.35">
      <c r="A567" s="756"/>
      <c r="B567" s="756"/>
      <c r="C567" s="395" t="s">
        <v>1732</v>
      </c>
      <c r="D567" s="1279" t="s">
        <v>1518</v>
      </c>
      <c r="E567" s="368" t="s">
        <v>1733</v>
      </c>
      <c r="F567" s="501">
        <f t="shared" si="75"/>
        <v>0.87</v>
      </c>
      <c r="G567" s="395" t="s">
        <v>425</v>
      </c>
      <c r="H567" s="136">
        <f>VLOOKUP(G567,'CP FACTORS'!$A$3:$B$38, 2, FALSE)</f>
        <v>4.6608050000000002E-4</v>
      </c>
      <c r="I567" s="1231">
        <f>$G$582*$G$584</f>
        <v>0.7</v>
      </c>
      <c r="J567" s="1231">
        <f>$G$589*$G$584*$G$591*$G$592</f>
        <v>0.17480380000000001</v>
      </c>
      <c r="K567" s="2086">
        <f t="shared" si="76"/>
        <v>4.0499999999999998E-4</v>
      </c>
      <c r="L567" s="820">
        <f t="shared" si="77"/>
        <v>20</v>
      </c>
      <c r="M567" s="1845">
        <f t="shared" si="78"/>
        <v>8.0376653213977498</v>
      </c>
      <c r="N567" s="820">
        <f t="shared" si="74"/>
        <v>1</v>
      </c>
      <c r="O567" s="756"/>
      <c r="P567" s="756"/>
      <c r="Q567" s="756"/>
      <c r="R567" s="756"/>
      <c r="S567" s="756"/>
      <c r="T567" s="756"/>
      <c r="U567" s="756"/>
      <c r="V567" s="1592" t="str">
        <f t="shared" si="79"/>
        <v>kWh
Annual Savings</v>
      </c>
      <c r="W567" s="1852"/>
      <c r="X567" s="1853"/>
      <c r="Y567" s="734"/>
      <c r="Z567" s="734"/>
      <c r="AA567" s="734"/>
      <c r="AB567" s="322">
        <v>0.89</v>
      </c>
      <c r="AC567" s="563">
        <v>0.87</v>
      </c>
      <c r="AD567" s="501">
        <v>0.87</v>
      </c>
      <c r="AE567" s="141"/>
      <c r="AF567" s="141"/>
      <c r="AG567" s="141"/>
      <c r="AH567" s="196"/>
      <c r="AI567" s="196"/>
      <c r="AK567" s="732"/>
      <c r="BB567" s="40">
        <f t="shared" si="80"/>
        <v>0.13344556925776177</v>
      </c>
      <c r="BC567" s="1580" t="str">
        <f t="shared" si="81"/>
        <v>HVAC RES 20 Year EUL</v>
      </c>
      <c r="BD567" s="98">
        <f>(INDEX('Avoided Cost Benefits'!$E$4:$E$859,MATCH(BC567,'Avoided Cost Benefits'!$A$4:$A$859,0)))*F567</f>
        <v>1.0123556624042409</v>
      </c>
      <c r="BE567" s="1581">
        <f t="shared" si="82"/>
        <v>7.5862815680960347</v>
      </c>
    </row>
    <row r="568" spans="1:57" s="741" customFormat="1" ht="15" customHeight="1" x14ac:dyDescent="0.35">
      <c r="A568" s="756"/>
      <c r="B568" s="756"/>
      <c r="C568" s="395" t="s">
        <v>1734</v>
      </c>
      <c r="D568" s="1279" t="s">
        <v>1517</v>
      </c>
      <c r="E568" s="368" t="s">
        <v>1735</v>
      </c>
      <c r="F568" s="501">
        <f>ROUND(I568+J568,2)</f>
        <v>6.01</v>
      </c>
      <c r="G568" s="395" t="s">
        <v>425</v>
      </c>
      <c r="H568" s="136">
        <f>VLOOKUP(G568,'CP FACTORS'!$A$3:$B$38, 2, FALSE)</f>
        <v>4.6608050000000002E-4</v>
      </c>
      <c r="I568" s="820">
        <f>G583*G584</f>
        <v>0.95</v>
      </c>
      <c r="J568" s="820">
        <f>$G$587*$G$584</f>
        <v>5.0599999999999996</v>
      </c>
      <c r="K568" s="742">
        <f>ROUND(H568*F568,6)</f>
        <v>2.8010000000000001E-3</v>
      </c>
      <c r="L568" s="820">
        <f>$G$596</f>
        <v>20</v>
      </c>
      <c r="M568" s="568">
        <f>$G$597</f>
        <v>8.0376653213977498</v>
      </c>
      <c r="N568" s="820">
        <f t="shared" si="74"/>
        <v>1</v>
      </c>
      <c r="O568" s="756"/>
      <c r="P568" s="756"/>
      <c r="Q568" s="756"/>
      <c r="R568" s="756"/>
      <c r="S568" s="756"/>
      <c r="T568" s="756"/>
      <c r="U568" s="756"/>
      <c r="V568" s="1592" t="str">
        <f>$F$522</f>
        <v>kWh
Annual Savings</v>
      </c>
      <c r="W568" s="811">
        <v>218.61317503755345</v>
      </c>
      <c r="X568" s="730">
        <v>218.61317503755345</v>
      </c>
      <c r="Y568" s="734">
        <v>6.01</v>
      </c>
      <c r="Z568" s="731">
        <v>6.01</v>
      </c>
      <c r="AA568" s="731">
        <v>6.01</v>
      </c>
      <c r="AB568" s="48">
        <v>6.01</v>
      </c>
      <c r="AC568" s="501">
        <v>6.01</v>
      </c>
      <c r="AD568" s="501">
        <v>6.01</v>
      </c>
      <c r="AE568" s="141"/>
      <c r="AF568" s="141"/>
      <c r="AG568" s="141"/>
      <c r="AK568" s="732"/>
      <c r="BB568" s="40">
        <f>(BD568)/(BE568)</f>
        <v>0.92184812786108983</v>
      </c>
      <c r="BC568" s="1580" t="str">
        <f>CONCATENATE(G568," ",L568," Year EUL")</f>
        <v>HVAC RES 20 Year EUL</v>
      </c>
      <c r="BD568" s="98">
        <f>(INDEX('Avoided Cost Benefits'!$E$4:$E$859,MATCH(BC568,'Avoided Cost Benefits'!$A$4:$A$859,0)))*F568</f>
        <v>6.9933994609764225</v>
      </c>
      <c r="BE568" s="1581">
        <f>M568/(1.0595^(2020-2019))</f>
        <v>7.5862815680960347</v>
      </c>
    </row>
    <row r="569" spans="1:57" s="741" customFormat="1" ht="15" customHeight="1" x14ac:dyDescent="0.35">
      <c r="A569" s="756"/>
      <c r="B569" s="756"/>
      <c r="C569" s="395" t="s">
        <v>1736</v>
      </c>
      <c r="D569" s="1279" t="s">
        <v>1517</v>
      </c>
      <c r="E569" s="368" t="s">
        <v>1737</v>
      </c>
      <c r="F569" s="501">
        <f>ROUND(I569+J569,2)</f>
        <v>1.19</v>
      </c>
      <c r="G569" s="395" t="s">
        <v>425</v>
      </c>
      <c r="H569" s="136">
        <f>VLOOKUP(G569,'CP FACTORS'!$A$3:$B$38, 2, FALSE)</f>
        <v>4.6608050000000002E-4</v>
      </c>
      <c r="I569" s="820">
        <f>$G$583*$G$584</f>
        <v>0.95</v>
      </c>
      <c r="J569" s="820">
        <f>$G$590*$G$584*$G$591*$G$592</f>
        <v>0.23920519999999998</v>
      </c>
      <c r="K569" s="742">
        <f>ROUND(H569*F569,6)</f>
        <v>5.5500000000000005E-4</v>
      </c>
      <c r="L569" s="820">
        <f>$G$596</f>
        <v>20</v>
      </c>
      <c r="M569" s="568">
        <f>$G$597</f>
        <v>8.0376653213977498</v>
      </c>
      <c r="N569" s="820">
        <f t="shared" si="74"/>
        <v>1</v>
      </c>
      <c r="O569" s="756"/>
      <c r="P569" s="756"/>
      <c r="Q569" s="756"/>
      <c r="R569" s="756"/>
      <c r="S569" s="756"/>
      <c r="T569" s="756"/>
      <c r="U569" s="756"/>
      <c r="V569" s="141" t="str">
        <f>$F$522</f>
        <v>kWh
Annual Savings</v>
      </c>
      <c r="W569" s="811"/>
      <c r="X569" s="730"/>
      <c r="Y569" s="734">
        <v>1.21</v>
      </c>
      <c r="Z569" s="731">
        <v>1.21</v>
      </c>
      <c r="AA569" s="731">
        <v>1.21</v>
      </c>
      <c r="AB569" s="48">
        <v>1.21</v>
      </c>
      <c r="AC569" s="563">
        <v>1.19</v>
      </c>
      <c r="AD569" s="501">
        <v>1.19</v>
      </c>
      <c r="AE569" s="141"/>
      <c r="AF569" s="141"/>
      <c r="AG569" s="141"/>
      <c r="AK569" s="732"/>
      <c r="BB569" s="41">
        <f>(BD569)/(BE569)</f>
        <v>0.18252899703073161</v>
      </c>
      <c r="BC569" s="1580" t="str">
        <f>CONCATENATE(G569," ",L569," Year EUL")</f>
        <v>HVAC RES 20 Year EUL</v>
      </c>
      <c r="BD569" s="102">
        <f>(INDEX('Avoided Cost Benefits'!$E$4:$E$859,MATCH(BC569,'Avoided Cost Benefits'!$A$4:$A$859,0)))*F569</f>
        <v>1.384716365817295</v>
      </c>
      <c r="BE569" s="1582">
        <f>M569/(1.0595^(2020-2019))</f>
        <v>7.5862815680960347</v>
      </c>
    </row>
    <row r="570" spans="1:57" s="741" customFormat="1" ht="15" hidden="1" customHeight="1" outlineLevel="1" x14ac:dyDescent="0.35">
      <c r="A570" s="756"/>
      <c r="B570" s="756"/>
      <c r="C570" s="753"/>
      <c r="D570" s="375"/>
      <c r="E570" s="375"/>
      <c r="F570" s="756"/>
      <c r="G570" s="756"/>
      <c r="H570" s="756"/>
      <c r="I570" s="800" t="s">
        <v>1681</v>
      </c>
      <c r="J570" s="756"/>
      <c r="K570" s="756"/>
      <c r="L570" s="756"/>
      <c r="M570" s="756"/>
      <c r="N570" s="756"/>
      <c r="O570" s="756"/>
      <c r="P570" s="756"/>
      <c r="Q570" s="756"/>
      <c r="R570" s="756"/>
      <c r="S570" s="756"/>
      <c r="T570" s="756"/>
      <c r="U570" s="756"/>
      <c r="Y570" s="790" t="s">
        <v>1578</v>
      </c>
      <c r="AK570" s="732"/>
      <c r="BB570" s="752"/>
      <c r="BE570" s="505"/>
    </row>
    <row r="571" spans="1:57" s="741" customFormat="1" ht="15" hidden="1" customHeight="1" outlineLevel="1" x14ac:dyDescent="0.35">
      <c r="A571" s="756"/>
      <c r="B571" s="756"/>
      <c r="C571" s="753"/>
      <c r="D571" s="152" t="s">
        <v>107</v>
      </c>
      <c r="E571" s="1361"/>
      <c r="F571" s="1234"/>
      <c r="G571" s="1234"/>
      <c r="H571" s="800"/>
      <c r="I571" s="800"/>
      <c r="J571" s="800"/>
      <c r="K571" s="800"/>
      <c r="L571" s="800"/>
      <c r="M571" s="800"/>
      <c r="N571" s="800"/>
      <c r="O571" s="756"/>
      <c r="P571" s="756"/>
      <c r="Q571" s="756"/>
      <c r="R571" s="756"/>
      <c r="S571" s="756"/>
      <c r="T571" s="756"/>
      <c r="U571" s="756"/>
      <c r="Y571" s="757"/>
      <c r="AK571" s="732"/>
      <c r="BB571" s="752"/>
      <c r="BE571" s="505"/>
    </row>
    <row r="572" spans="1:57" s="741" customFormat="1" ht="15" hidden="1" customHeight="1" outlineLevel="1" x14ac:dyDescent="0.35">
      <c r="A572" s="756"/>
      <c r="B572" s="756"/>
      <c r="C572" s="753"/>
      <c r="D572" s="1361" t="s">
        <v>1738</v>
      </c>
      <c r="E572" s="1361"/>
      <c r="F572" s="1234"/>
      <c r="G572" s="1234"/>
      <c r="H572" s="800"/>
      <c r="I572" s="800"/>
      <c r="J572" s="800"/>
      <c r="K572" s="800"/>
      <c r="L572" s="800"/>
      <c r="M572" s="800"/>
      <c r="N572" s="800"/>
      <c r="O572" s="756"/>
      <c r="P572" s="756"/>
      <c r="Q572" s="756"/>
      <c r="R572" s="756"/>
      <c r="S572" s="756"/>
      <c r="T572" s="756"/>
      <c r="U572" s="756"/>
      <c r="Y572" s="757"/>
      <c r="AK572" s="732"/>
      <c r="BB572" s="752"/>
      <c r="BE572" s="505"/>
    </row>
    <row r="573" spans="1:57" s="741" customFormat="1" hidden="1" outlineLevel="1" x14ac:dyDescent="0.35">
      <c r="A573" s="756"/>
      <c r="B573" s="756"/>
      <c r="C573" s="753"/>
      <c r="D573" s="1361"/>
      <c r="E573" s="1361"/>
      <c r="F573" s="1234"/>
      <c r="G573" s="1234"/>
      <c r="H573" s="800"/>
      <c r="I573" s="800"/>
      <c r="J573" s="800"/>
      <c r="K573" s="800"/>
      <c r="L573" s="800"/>
      <c r="M573" s="800"/>
      <c r="N573" s="800"/>
      <c r="O573" s="756"/>
      <c r="P573" s="756"/>
      <c r="Q573" s="756"/>
      <c r="R573" s="756"/>
      <c r="S573" s="756"/>
      <c r="T573" s="756"/>
      <c r="U573" s="756"/>
      <c r="Y573" s="757"/>
      <c r="AK573" s="732"/>
      <c r="BB573" s="752"/>
      <c r="BE573" s="505"/>
    </row>
    <row r="574" spans="1:57" s="741" customFormat="1" ht="15" hidden="1" customHeight="1" outlineLevel="1" x14ac:dyDescent="0.35">
      <c r="A574" s="756"/>
      <c r="B574" s="756"/>
      <c r="C574" s="753"/>
      <c r="D574" s="1361"/>
      <c r="E574" s="1361"/>
      <c r="F574" s="1234"/>
      <c r="G574" s="1234"/>
      <c r="H574" s="800"/>
      <c r="I574" s="800"/>
      <c r="J574" s="800"/>
      <c r="K574" s="800"/>
      <c r="L574" s="800"/>
      <c r="M574" s="800"/>
      <c r="N574" s="800"/>
      <c r="O574" s="756"/>
      <c r="P574" s="756"/>
      <c r="Q574" s="756"/>
      <c r="R574" s="756"/>
      <c r="S574" s="756"/>
      <c r="T574" s="756"/>
      <c r="U574" s="756"/>
      <c r="Y574" s="757"/>
      <c r="AK574" s="732"/>
      <c r="BB574" s="752"/>
      <c r="BE574" s="505"/>
    </row>
    <row r="575" spans="1:57" s="741" customFormat="1" ht="15" hidden="1" customHeight="1" outlineLevel="1" x14ac:dyDescent="0.35">
      <c r="A575" s="756"/>
      <c r="B575" s="756"/>
      <c r="C575" s="753"/>
      <c r="D575" s="1361"/>
      <c r="E575" s="1361"/>
      <c r="F575" s="1234"/>
      <c r="G575" s="1234"/>
      <c r="H575" s="800"/>
      <c r="I575" s="800"/>
      <c r="J575" s="800"/>
      <c r="K575" s="800"/>
      <c r="L575" s="800"/>
      <c r="M575" s="800"/>
      <c r="N575" s="800"/>
      <c r="O575" s="756"/>
      <c r="P575" s="756"/>
      <c r="Q575" s="756"/>
      <c r="R575" s="756"/>
      <c r="S575" s="756"/>
      <c r="T575" s="756"/>
      <c r="U575" s="756"/>
      <c r="Y575" s="757"/>
      <c r="AK575" s="732"/>
      <c r="BB575" s="752"/>
      <c r="BE575" s="505"/>
    </row>
    <row r="576" spans="1:57" s="741" customFormat="1" ht="15" hidden="1" customHeight="1" outlineLevel="1" x14ac:dyDescent="0.35">
      <c r="A576" s="756"/>
      <c r="B576" s="756"/>
      <c r="C576" s="753"/>
      <c r="D576" s="1361" t="s">
        <v>1683</v>
      </c>
      <c r="E576" s="1361"/>
      <c r="F576" s="800"/>
      <c r="G576" s="1234" t="s">
        <v>1682</v>
      </c>
      <c r="H576" s="452"/>
      <c r="I576" s="800"/>
      <c r="J576" s="800"/>
      <c r="K576" s="800"/>
      <c r="L576" s="800"/>
      <c r="M576" s="800"/>
      <c r="N576" s="800"/>
      <c r="O576" s="756"/>
      <c r="P576" s="756"/>
      <c r="Q576" s="756"/>
      <c r="R576" s="756"/>
      <c r="S576" s="756"/>
      <c r="T576" s="756"/>
      <c r="U576" s="756"/>
      <c r="Y576" s="757"/>
      <c r="AK576" s="732"/>
      <c r="BB576" s="752"/>
      <c r="BE576" s="505"/>
    </row>
    <row r="577" spans="1:57" s="741" customFormat="1" ht="15" hidden="1" customHeight="1" outlineLevel="1" x14ac:dyDescent="0.35">
      <c r="A577" s="756"/>
      <c r="B577" s="756"/>
      <c r="C577" s="753"/>
      <c r="D577" s="1361"/>
      <c r="E577" s="690"/>
      <c r="F577" s="800"/>
      <c r="G577" s="800"/>
      <c r="H577" s="800"/>
      <c r="I577" s="800"/>
      <c r="J577" s="800"/>
      <c r="K577" s="800"/>
      <c r="L577" s="800"/>
      <c r="M577" s="800"/>
      <c r="N577" s="800"/>
      <c r="O577" s="756"/>
      <c r="P577" s="756"/>
      <c r="Q577" s="756"/>
      <c r="R577" s="756"/>
      <c r="S577" s="756"/>
      <c r="T577" s="756"/>
      <c r="U577" s="756"/>
      <c r="Y577" s="757"/>
      <c r="AK577" s="732"/>
      <c r="BB577" s="752"/>
      <c r="BE577" s="505"/>
    </row>
    <row r="578" spans="1:57" s="741" customFormat="1" ht="15" hidden="1" customHeight="1" outlineLevel="1" x14ac:dyDescent="0.35">
      <c r="A578" s="756"/>
      <c r="B578" s="756"/>
      <c r="C578" s="753"/>
      <c r="D578" s="1361"/>
      <c r="E578" s="1361"/>
      <c r="F578" s="800"/>
      <c r="G578" s="800"/>
      <c r="H578" s="800"/>
      <c r="I578" s="800"/>
      <c r="J578" s="800"/>
      <c r="K578" s="800"/>
      <c r="L578" s="800"/>
      <c r="M578" s="800"/>
      <c r="N578" s="800"/>
      <c r="O578" s="756"/>
      <c r="P578" s="756"/>
      <c r="Q578" s="756"/>
      <c r="R578" s="756"/>
      <c r="S578" s="756"/>
      <c r="T578" s="756"/>
      <c r="U578" s="756"/>
      <c r="Y578" s="757"/>
      <c r="AK578" s="732"/>
      <c r="BB578" s="752"/>
      <c r="BE578" s="505"/>
    </row>
    <row r="579" spans="1:57" s="741" customFormat="1" ht="15" hidden="1" customHeight="1" outlineLevel="1" x14ac:dyDescent="0.35">
      <c r="A579" s="756"/>
      <c r="B579" s="756"/>
      <c r="C579" s="753"/>
      <c r="D579" s="1361"/>
      <c r="E579" s="1361"/>
      <c r="F579" s="800"/>
      <c r="G579" s="800"/>
      <c r="H579" s="800"/>
      <c r="I579" s="800"/>
      <c r="J579" s="800"/>
      <c r="K579" s="800"/>
      <c r="L579" s="800"/>
      <c r="M579" s="800"/>
      <c r="N579" s="800"/>
      <c r="O579" s="756"/>
      <c r="P579" s="756"/>
      <c r="Q579" s="756"/>
      <c r="R579" s="756"/>
      <c r="S579" s="756"/>
      <c r="T579" s="756"/>
      <c r="U579" s="756"/>
      <c r="Y579" s="757"/>
      <c r="AK579" s="732"/>
      <c r="BB579" s="752"/>
      <c r="BE579" s="505"/>
    </row>
    <row r="580" spans="1:57" s="741" customFormat="1" ht="15" hidden="1" customHeight="1" outlineLevel="1" x14ac:dyDescent="0.35">
      <c r="A580" s="756"/>
      <c r="B580" s="756"/>
      <c r="C580" s="753"/>
      <c r="D580" s="2423" t="s">
        <v>108</v>
      </c>
      <c r="E580" s="2423" t="s">
        <v>109</v>
      </c>
      <c r="F580" s="2331" t="s">
        <v>185</v>
      </c>
      <c r="G580" s="2331" t="s">
        <v>111</v>
      </c>
      <c r="H580" s="3741" t="s">
        <v>186</v>
      </c>
      <c r="I580" s="3741"/>
      <c r="J580" s="3741" t="s">
        <v>112</v>
      </c>
      <c r="K580" s="3741"/>
      <c r="L580" s="3741"/>
      <c r="M580" s="756"/>
      <c r="N580" s="756"/>
      <c r="O580" s="756"/>
      <c r="P580" s="756"/>
      <c r="Q580" s="756"/>
      <c r="R580" s="756"/>
      <c r="S580" s="756"/>
      <c r="T580" s="756"/>
      <c r="U580" s="756"/>
      <c r="V580" s="1572" t="s">
        <v>44</v>
      </c>
      <c r="W580" s="1573">
        <f>W$6</f>
        <v>43252</v>
      </c>
      <c r="X580" s="1573">
        <f t="shared" ref="X580:AG580" si="83">X$6</f>
        <v>43465</v>
      </c>
      <c r="Y580" s="316">
        <f t="shared" si="83"/>
        <v>43800</v>
      </c>
      <c r="Z580" s="1573">
        <f t="shared" si="83"/>
        <v>43862</v>
      </c>
      <c r="AA580" s="1573">
        <f t="shared" si="83"/>
        <v>44013</v>
      </c>
      <c r="AB580" s="1573">
        <f t="shared" si="83"/>
        <v>44166</v>
      </c>
      <c r="AC580" s="1573">
        <f t="shared" si="83"/>
        <v>44531</v>
      </c>
      <c r="AD580" s="1573">
        <f t="shared" si="83"/>
        <v>44774</v>
      </c>
      <c r="AE580" s="1573" t="str">
        <f t="shared" si="83"/>
        <v>-</v>
      </c>
      <c r="AF580" s="1573" t="str">
        <f t="shared" si="83"/>
        <v>-</v>
      </c>
      <c r="AG580" s="1573" t="str">
        <f t="shared" si="83"/>
        <v>-</v>
      </c>
      <c r="AK580" s="732"/>
      <c r="BB580" s="752"/>
      <c r="BE580" s="505"/>
    </row>
    <row r="581" spans="1:57" s="741" customFormat="1" hidden="1" outlineLevel="1" x14ac:dyDescent="0.35">
      <c r="A581" s="756"/>
      <c r="B581" s="756"/>
      <c r="C581" s="753"/>
      <c r="D581" s="4321" t="s">
        <v>1739</v>
      </c>
      <c r="E581" s="4239" t="s">
        <v>1740</v>
      </c>
      <c r="F581" s="822" t="s">
        <v>318</v>
      </c>
      <c r="G581" s="814">
        <v>0.81</v>
      </c>
      <c r="H581" s="4313" t="s">
        <v>977</v>
      </c>
      <c r="I581" s="4313"/>
      <c r="J581" s="4323" t="s">
        <v>1741</v>
      </c>
      <c r="K581" s="4324"/>
      <c r="L581" s="4329"/>
      <c r="M581" s="756"/>
      <c r="N581" s="756"/>
      <c r="O581" s="756"/>
      <c r="P581" s="756"/>
      <c r="Q581" s="756"/>
      <c r="R581" s="756"/>
      <c r="S581" s="756"/>
      <c r="T581" s="756"/>
      <c r="U581" s="756"/>
      <c r="V581" s="4326" t="str">
        <f>D581</f>
        <v>CoolSavingsPerUnit</v>
      </c>
      <c r="W581" s="812">
        <v>0.81</v>
      </c>
      <c r="X581" s="812">
        <v>0.81</v>
      </c>
      <c r="Y581" s="812">
        <v>0.81</v>
      </c>
      <c r="Z581" s="814">
        <v>0.81</v>
      </c>
      <c r="AA581" s="814">
        <v>0.81</v>
      </c>
      <c r="AB581" s="814">
        <v>0.81</v>
      </c>
      <c r="AC581" s="814">
        <v>0.81</v>
      </c>
      <c r="AD581" s="814">
        <v>0.81</v>
      </c>
      <c r="AE581" s="801"/>
      <c r="AF581" s="801"/>
      <c r="AG581" s="801"/>
      <c r="AK581" s="732"/>
      <c r="BB581" s="752"/>
      <c r="BE581" s="505"/>
    </row>
    <row r="582" spans="1:57" s="741" customFormat="1" hidden="1" outlineLevel="1" x14ac:dyDescent="0.35">
      <c r="A582" s="756"/>
      <c r="B582" s="756"/>
      <c r="C582" s="753"/>
      <c r="D582" s="4336"/>
      <c r="E582" s="4264"/>
      <c r="F582" s="2393" t="s">
        <v>320</v>
      </c>
      <c r="G582" s="1377">
        <v>0.7</v>
      </c>
      <c r="H582" s="4313" t="s">
        <v>977</v>
      </c>
      <c r="I582" s="4313"/>
      <c r="J582" s="4330"/>
      <c r="K582" s="3684"/>
      <c r="L582" s="4331"/>
      <c r="M582" s="756"/>
      <c r="N582" s="756"/>
      <c r="O582" s="756"/>
      <c r="P582" s="756"/>
      <c r="Q582" s="756"/>
      <c r="R582" s="756"/>
      <c r="S582" s="756"/>
      <c r="T582" s="756"/>
      <c r="U582" s="756"/>
      <c r="V582" s="4327"/>
      <c r="W582" s="813">
        <v>0.7</v>
      </c>
      <c r="X582" s="813">
        <v>0.7</v>
      </c>
      <c r="Y582" s="813">
        <v>0.7</v>
      </c>
      <c r="Z582" s="1377">
        <v>0.7</v>
      </c>
      <c r="AA582" s="1377">
        <v>0.7</v>
      </c>
      <c r="AB582" s="1377">
        <v>0.7</v>
      </c>
      <c r="AC582" s="1377">
        <v>0.7</v>
      </c>
      <c r="AD582" s="1377">
        <v>0.7</v>
      </c>
      <c r="AE582" s="801"/>
      <c r="AF582" s="801"/>
      <c r="AG582" s="801"/>
      <c r="AK582" s="732"/>
      <c r="BB582" s="752"/>
      <c r="BE582" s="505"/>
    </row>
    <row r="583" spans="1:57" s="741" customFormat="1" hidden="1" outlineLevel="1" x14ac:dyDescent="0.35">
      <c r="A583" s="756"/>
      <c r="B583" s="756"/>
      <c r="C583" s="753"/>
      <c r="D583" s="4322"/>
      <c r="E583" s="3780"/>
      <c r="F583" s="2393" t="s">
        <v>1742</v>
      </c>
      <c r="G583" s="1377">
        <v>0.95</v>
      </c>
      <c r="H583" s="4313" t="s">
        <v>1743</v>
      </c>
      <c r="I583" s="4313"/>
      <c r="J583" s="4332"/>
      <c r="K583" s="4333"/>
      <c r="L583" s="4334"/>
      <c r="M583" s="756"/>
      <c r="N583" s="756"/>
      <c r="O583" s="756"/>
      <c r="P583" s="756"/>
      <c r="Q583" s="756"/>
      <c r="R583" s="756"/>
      <c r="S583" s="756"/>
      <c r="T583" s="756"/>
      <c r="U583" s="756"/>
      <c r="V583" s="4328"/>
      <c r="W583" s="813"/>
      <c r="X583" s="813"/>
      <c r="Y583" s="813"/>
      <c r="Z583" s="1377"/>
      <c r="AA583" s="1850">
        <v>0.95</v>
      </c>
      <c r="AB583" s="1377">
        <v>0.95</v>
      </c>
      <c r="AC583" s="1377">
        <v>0.95</v>
      </c>
      <c r="AD583" s="1377">
        <v>0.95</v>
      </c>
      <c r="AE583" s="801"/>
      <c r="AF583" s="801"/>
      <c r="AG583" s="801"/>
      <c r="AK583" s="732"/>
      <c r="BB583" s="752"/>
      <c r="BE583" s="505"/>
    </row>
    <row r="584" spans="1:57" s="741" customFormat="1" ht="16.5" hidden="1" outlineLevel="1" x14ac:dyDescent="0.35">
      <c r="A584" s="756"/>
      <c r="B584" s="756"/>
      <c r="C584" s="753"/>
      <c r="D584" s="2403" t="s">
        <v>1744</v>
      </c>
      <c r="E584" s="2412" t="s">
        <v>1745</v>
      </c>
      <c r="F584" s="822"/>
      <c r="G584" s="1364">
        <v>1</v>
      </c>
      <c r="H584" s="4335"/>
      <c r="I584" s="4335"/>
      <c r="J584" s="3828" t="s">
        <v>1724</v>
      </c>
      <c r="K584" s="3828"/>
      <c r="L584" s="3828"/>
      <c r="M584" s="756"/>
      <c r="N584" s="756"/>
      <c r="O584" s="756"/>
      <c r="P584" s="756"/>
      <c r="Q584" s="756"/>
      <c r="R584" s="756"/>
      <c r="S584" s="756"/>
      <c r="T584" s="756"/>
      <c r="U584" s="756"/>
      <c r="V584" s="2415" t="str">
        <f>D584</f>
        <v>DuctLength</v>
      </c>
      <c r="W584" s="801">
        <f>SQRT($F$88)</f>
        <v>1</v>
      </c>
      <c r="X584" s="801">
        <v>37.242448899072144</v>
      </c>
      <c r="Y584" s="801">
        <v>1</v>
      </c>
      <c r="Z584" s="1364">
        <v>1</v>
      </c>
      <c r="AA584" s="1364">
        <v>1</v>
      </c>
      <c r="AB584" s="1364">
        <v>1</v>
      </c>
      <c r="AC584" s="1364">
        <v>1</v>
      </c>
      <c r="AD584" s="1364">
        <v>1</v>
      </c>
      <c r="AE584" s="801"/>
      <c r="AF584" s="801"/>
      <c r="AG584" s="801"/>
      <c r="AK584" s="732"/>
      <c r="BB584" s="752"/>
      <c r="BE584" s="505"/>
    </row>
    <row r="585" spans="1:57" s="741" customFormat="1" hidden="1" outlineLevel="1" x14ac:dyDescent="0.35">
      <c r="A585" s="756"/>
      <c r="B585" s="756"/>
      <c r="C585" s="753"/>
      <c r="D585" s="4321" t="s">
        <v>1746</v>
      </c>
      <c r="E585" s="4239" t="s">
        <v>1747</v>
      </c>
      <c r="F585" s="822" t="s">
        <v>1748</v>
      </c>
      <c r="G585" s="814">
        <v>4.1100000000000003</v>
      </c>
      <c r="H585" s="4313" t="s">
        <v>977</v>
      </c>
      <c r="I585" s="4313"/>
      <c r="J585" s="4323" t="s">
        <v>1749</v>
      </c>
      <c r="K585" s="4324"/>
      <c r="L585" s="4329"/>
      <c r="M585" s="756"/>
      <c r="N585" s="756"/>
      <c r="O585" s="756"/>
      <c r="P585" s="756"/>
      <c r="Q585" s="756"/>
      <c r="R585" s="756"/>
      <c r="S585" s="756"/>
      <c r="T585" s="756"/>
      <c r="U585" s="756"/>
      <c r="V585" s="4326" t="str">
        <f>D585</f>
        <v>HeatSavingsPerUnit</v>
      </c>
      <c r="W585" s="812">
        <v>4.1100000000000003</v>
      </c>
      <c r="X585" s="812">
        <v>4.1100000000000003</v>
      </c>
      <c r="Y585" s="812">
        <v>4.1100000000000003</v>
      </c>
      <c r="Z585" s="814">
        <v>4.1100000000000003</v>
      </c>
      <c r="AA585" s="814">
        <v>4.1100000000000003</v>
      </c>
      <c r="AB585" s="814">
        <v>4.1100000000000003</v>
      </c>
      <c r="AC585" s="814">
        <v>4.1100000000000003</v>
      </c>
      <c r="AD585" s="814">
        <v>4.1100000000000003</v>
      </c>
      <c r="AE585" s="801"/>
      <c r="AF585" s="801"/>
      <c r="AG585" s="801"/>
      <c r="AK585" s="732"/>
      <c r="BB585" s="752"/>
      <c r="BE585" s="505"/>
    </row>
    <row r="586" spans="1:57" s="741" customFormat="1" hidden="1" outlineLevel="1" x14ac:dyDescent="0.35">
      <c r="A586" s="756"/>
      <c r="B586" s="756"/>
      <c r="C586" s="753"/>
      <c r="D586" s="4336"/>
      <c r="E586" s="4264"/>
      <c r="F586" s="822" t="s">
        <v>1750</v>
      </c>
      <c r="G586" s="814">
        <v>3.41</v>
      </c>
      <c r="H586" s="4313" t="s">
        <v>977</v>
      </c>
      <c r="I586" s="4313"/>
      <c r="J586" s="4330"/>
      <c r="K586" s="3684"/>
      <c r="L586" s="4331"/>
      <c r="M586" s="756"/>
      <c r="N586" s="756"/>
      <c r="O586" s="756"/>
      <c r="P586" s="756"/>
      <c r="Q586" s="756"/>
      <c r="R586" s="756"/>
      <c r="S586" s="756"/>
      <c r="T586" s="756"/>
      <c r="U586" s="756"/>
      <c r="V586" s="4327"/>
      <c r="W586" s="812">
        <v>3.41</v>
      </c>
      <c r="X586" s="812">
        <v>3.41</v>
      </c>
      <c r="Y586" s="812">
        <v>3.41</v>
      </c>
      <c r="Z586" s="814">
        <v>3.41</v>
      </c>
      <c r="AA586" s="814">
        <v>3.41</v>
      </c>
      <c r="AB586" s="814">
        <v>3.41</v>
      </c>
      <c r="AC586" s="814">
        <v>3.41</v>
      </c>
      <c r="AD586" s="814">
        <v>3.41</v>
      </c>
      <c r="AE586" s="801"/>
      <c r="AF586" s="801"/>
      <c r="AG586" s="801"/>
      <c r="AK586" s="732"/>
      <c r="BB586" s="752"/>
      <c r="BE586" s="505"/>
    </row>
    <row r="587" spans="1:57" s="741" customFormat="1" hidden="1" outlineLevel="1" x14ac:dyDescent="0.35">
      <c r="A587" s="756"/>
      <c r="B587" s="756"/>
      <c r="C587" s="753"/>
      <c r="D587" s="4336"/>
      <c r="E587" s="4264"/>
      <c r="F587" s="822" t="s">
        <v>1751</v>
      </c>
      <c r="G587" s="814">
        <v>5.0599999999999996</v>
      </c>
      <c r="H587" s="4313" t="s">
        <v>977</v>
      </c>
      <c r="I587" s="4313"/>
      <c r="J587" s="4330"/>
      <c r="K587" s="3684"/>
      <c r="L587" s="4331"/>
      <c r="M587" s="756"/>
      <c r="N587" s="756"/>
      <c r="O587" s="756"/>
      <c r="P587" s="756"/>
      <c r="Q587" s="756"/>
      <c r="R587" s="756"/>
      <c r="S587" s="756"/>
      <c r="T587" s="756"/>
      <c r="U587" s="756"/>
      <c r="V587" s="4327"/>
      <c r="W587" s="812">
        <v>5.0599999999999996</v>
      </c>
      <c r="X587" s="812">
        <v>5.0599999999999996</v>
      </c>
      <c r="Y587" s="812">
        <v>5.0599999999999996</v>
      </c>
      <c r="Z587" s="814">
        <v>5.0599999999999996</v>
      </c>
      <c r="AA587" s="814">
        <v>5.0599999999999996</v>
      </c>
      <c r="AB587" s="814">
        <v>5.0599999999999996</v>
      </c>
      <c r="AC587" s="814">
        <v>5.0599999999999996</v>
      </c>
      <c r="AD587" s="814">
        <v>5.0599999999999996</v>
      </c>
      <c r="AE587" s="801"/>
      <c r="AF587" s="801"/>
      <c r="AG587" s="801"/>
      <c r="AK587" s="732"/>
      <c r="BB587" s="752"/>
      <c r="BE587" s="505"/>
    </row>
    <row r="588" spans="1:57" s="741" customFormat="1" hidden="1" outlineLevel="1" x14ac:dyDescent="0.35">
      <c r="A588" s="756"/>
      <c r="B588" s="756"/>
      <c r="C588" s="753"/>
      <c r="D588" s="4336"/>
      <c r="E588" s="4264"/>
      <c r="F588" s="822" t="s">
        <v>1752</v>
      </c>
      <c r="G588" s="814">
        <v>0.21</v>
      </c>
      <c r="H588" s="4313" t="s">
        <v>977</v>
      </c>
      <c r="I588" s="4313"/>
      <c r="J588" s="4330"/>
      <c r="K588" s="3684"/>
      <c r="L588" s="4331"/>
      <c r="M588" s="756"/>
      <c r="N588" s="756"/>
      <c r="O588" s="756"/>
      <c r="P588" s="756"/>
      <c r="Q588" s="756"/>
      <c r="R588" s="756"/>
      <c r="S588" s="756"/>
      <c r="T588" s="756"/>
      <c r="U588" s="756"/>
      <c r="V588" s="4327"/>
      <c r="W588" s="812">
        <v>0.21</v>
      </c>
      <c r="X588" s="812">
        <v>0.21</v>
      </c>
      <c r="Y588" s="812">
        <v>0.21</v>
      </c>
      <c r="Z588" s="814">
        <v>0.21</v>
      </c>
      <c r="AA588" s="814">
        <v>0.21</v>
      </c>
      <c r="AB588" s="814">
        <v>0.21</v>
      </c>
      <c r="AC588" s="814">
        <v>0.21</v>
      </c>
      <c r="AD588" s="814">
        <v>0.21</v>
      </c>
      <c r="AE588" s="801"/>
      <c r="AF588" s="801"/>
      <c r="AG588" s="801"/>
      <c r="AK588" s="732"/>
      <c r="BB588" s="752"/>
      <c r="BE588" s="505"/>
    </row>
    <row r="589" spans="1:57" s="741" customFormat="1" hidden="1" outlineLevel="1" x14ac:dyDescent="0.35">
      <c r="A589" s="756"/>
      <c r="B589" s="756"/>
      <c r="C589" s="753"/>
      <c r="D589" s="4336"/>
      <c r="E589" s="4264"/>
      <c r="F589" s="2393" t="s">
        <v>1753</v>
      </c>
      <c r="G589" s="814">
        <v>0.19</v>
      </c>
      <c r="H589" s="4313" t="s">
        <v>977</v>
      </c>
      <c r="I589" s="4313"/>
      <c r="J589" s="4330"/>
      <c r="K589" s="3684"/>
      <c r="L589" s="4331"/>
      <c r="M589" s="756"/>
      <c r="N589" s="756"/>
      <c r="O589" s="756"/>
      <c r="P589" s="756"/>
      <c r="Q589" s="756"/>
      <c r="R589" s="756"/>
      <c r="S589" s="756"/>
      <c r="T589" s="756"/>
      <c r="U589" s="756"/>
      <c r="V589" s="4327"/>
      <c r="W589" s="812">
        <v>0.19</v>
      </c>
      <c r="X589" s="812">
        <v>0.19</v>
      </c>
      <c r="Y589" s="812">
        <v>0.19</v>
      </c>
      <c r="Z589" s="814">
        <v>0.19</v>
      </c>
      <c r="AA589" s="814">
        <v>0.19</v>
      </c>
      <c r="AB589" s="814">
        <v>0.19</v>
      </c>
      <c r="AC589" s="814">
        <v>0.19</v>
      </c>
      <c r="AD589" s="814">
        <v>0.19</v>
      </c>
      <c r="AE589" s="801"/>
      <c r="AF589" s="801"/>
      <c r="AG589" s="801"/>
      <c r="AK589" s="732"/>
      <c r="BB589" s="752"/>
      <c r="BE589" s="505"/>
    </row>
    <row r="590" spans="1:57" s="741" customFormat="1" hidden="1" outlineLevel="1" x14ac:dyDescent="0.35">
      <c r="A590" s="756"/>
      <c r="B590" s="756"/>
      <c r="C590" s="753"/>
      <c r="D590" s="3817"/>
      <c r="E590" s="3817"/>
      <c r="F590" s="2393" t="s">
        <v>1754</v>
      </c>
      <c r="G590" s="814">
        <v>0.26</v>
      </c>
      <c r="H590" s="4314" t="s">
        <v>1743</v>
      </c>
      <c r="I590" s="4325"/>
      <c r="J590" s="4332"/>
      <c r="K590" s="4333"/>
      <c r="L590" s="4334"/>
      <c r="M590" s="756"/>
      <c r="N590" s="756"/>
      <c r="O590" s="756"/>
      <c r="P590" s="756"/>
      <c r="Q590" s="756"/>
      <c r="R590" s="756"/>
      <c r="S590" s="756"/>
      <c r="T590" s="756"/>
      <c r="U590" s="756"/>
      <c r="V590" s="4328"/>
      <c r="W590" s="812"/>
      <c r="X590" s="812"/>
      <c r="Y590" s="812"/>
      <c r="Z590" s="814"/>
      <c r="AA590" s="1851">
        <v>0.26</v>
      </c>
      <c r="AB590" s="814">
        <v>0.26</v>
      </c>
      <c r="AC590" s="814">
        <v>0.26</v>
      </c>
      <c r="AD590" s="814">
        <v>0.26</v>
      </c>
      <c r="AE590" s="801"/>
      <c r="AF590" s="801"/>
      <c r="AG590" s="801"/>
      <c r="AK590" s="732"/>
      <c r="BB590" s="752"/>
      <c r="BE590" s="505"/>
    </row>
    <row r="591" spans="1:57" s="741" customFormat="1" ht="32.25" hidden="1" customHeight="1" outlineLevel="1" x14ac:dyDescent="0.35">
      <c r="A591" s="756"/>
      <c r="B591" s="756"/>
      <c r="C591" s="753"/>
      <c r="D591" s="1367" t="s">
        <v>1710</v>
      </c>
      <c r="E591" s="2340" t="s">
        <v>1711</v>
      </c>
      <c r="F591" s="2393"/>
      <c r="G591" s="1370">
        <v>3.1399999999999997E-2</v>
      </c>
      <c r="H591" s="3732" t="s">
        <v>977</v>
      </c>
      <c r="I591" s="3732"/>
      <c r="J591" s="4320"/>
      <c r="K591" s="4320"/>
      <c r="L591" s="4320"/>
      <c r="M591" s="756"/>
      <c r="N591" s="756"/>
      <c r="O591" s="756"/>
      <c r="P591" s="756"/>
      <c r="Q591" s="756"/>
      <c r="R591" s="756"/>
      <c r="S591" s="756"/>
      <c r="T591" s="756"/>
      <c r="U591" s="756"/>
      <c r="V591" s="769" t="str">
        <f t="shared" ref="V591:V597" si="84">D591</f>
        <v>Fe</v>
      </c>
      <c r="W591" s="805">
        <v>3.1399999999999997E-2</v>
      </c>
      <c r="X591" s="805">
        <v>3.1399999999999997E-2</v>
      </c>
      <c r="Y591" s="805">
        <v>3.1399999999999997E-2</v>
      </c>
      <c r="Z591" s="1370">
        <v>3.1399999999999997E-2</v>
      </c>
      <c r="AA591" s="1370">
        <v>3.1399999999999997E-2</v>
      </c>
      <c r="AB591" s="1370">
        <v>3.1399999999999997E-2</v>
      </c>
      <c r="AC591" s="1370">
        <v>3.1399999999999997E-2</v>
      </c>
      <c r="AD591" s="1370">
        <v>3.1399999999999997E-2</v>
      </c>
      <c r="AE591" s="801"/>
      <c r="AF591" s="801"/>
      <c r="AG591" s="801"/>
      <c r="AK591" s="732"/>
      <c r="BB591" s="752"/>
      <c r="BE591" s="505"/>
    </row>
    <row r="592" spans="1:57" s="741" customFormat="1" ht="15" hidden="1" customHeight="1" outlineLevel="1" x14ac:dyDescent="0.35">
      <c r="A592" s="756"/>
      <c r="B592" s="756"/>
      <c r="C592" s="753"/>
      <c r="D592" s="1367">
        <v>29.3</v>
      </c>
      <c r="E592" s="2340" t="s">
        <v>1713</v>
      </c>
      <c r="F592" s="2393"/>
      <c r="G592" s="2413">
        <v>29.3</v>
      </c>
      <c r="H592" s="4313" t="s">
        <v>1714</v>
      </c>
      <c r="I592" s="4313"/>
      <c r="J592" s="4320"/>
      <c r="K592" s="4320"/>
      <c r="L592" s="4320"/>
      <c r="M592" s="756"/>
      <c r="N592" s="756"/>
      <c r="O592" s="756"/>
      <c r="P592" s="756"/>
      <c r="Q592" s="756"/>
      <c r="R592" s="756"/>
      <c r="S592" s="756"/>
      <c r="T592" s="756"/>
      <c r="U592" s="756"/>
      <c r="V592" s="769">
        <f t="shared" si="84"/>
        <v>29.3</v>
      </c>
      <c r="W592" s="172">
        <v>29.3</v>
      </c>
      <c r="X592" s="172">
        <v>29.3</v>
      </c>
      <c r="Y592" s="172">
        <v>29.3</v>
      </c>
      <c r="Z592" s="2413">
        <v>29.3</v>
      </c>
      <c r="AA592" s="2413">
        <v>29.3</v>
      </c>
      <c r="AB592" s="2413">
        <v>29.3</v>
      </c>
      <c r="AC592" s="2413">
        <v>29.3</v>
      </c>
      <c r="AD592" s="2975">
        <v>29.3</v>
      </c>
      <c r="AE592" s="801"/>
      <c r="AF592" s="801"/>
      <c r="AG592" s="801"/>
      <c r="AK592" s="732"/>
      <c r="BB592" s="752"/>
      <c r="BE592" s="505"/>
    </row>
    <row r="593" spans="1:57" s="741" customFormat="1" ht="15" hidden="1" customHeight="1" outlineLevel="1" x14ac:dyDescent="0.35">
      <c r="A593" s="756"/>
      <c r="B593" s="756"/>
      <c r="C593" s="753"/>
      <c r="D593" s="2333" t="s">
        <v>575</v>
      </c>
      <c r="E593" s="2333" t="s">
        <v>1720</v>
      </c>
      <c r="F593" s="2393"/>
      <c r="G593" s="874">
        <v>1</v>
      </c>
      <c r="H593" s="3834" t="s">
        <v>583</v>
      </c>
      <c r="I593" s="3834"/>
      <c r="J593" s="4320"/>
      <c r="K593" s="4320"/>
      <c r="L593" s="4320"/>
      <c r="M593" s="756"/>
      <c r="N593" s="756"/>
      <c r="O593" s="756"/>
      <c r="P593" s="756"/>
      <c r="Q593" s="756"/>
      <c r="R593" s="756"/>
      <c r="S593" s="756"/>
      <c r="T593" s="756"/>
      <c r="U593" s="756"/>
      <c r="V593" s="769" t="str">
        <f t="shared" si="84"/>
        <v>Electric Saturation</v>
      </c>
      <c r="W593" s="807">
        <v>1</v>
      </c>
      <c r="X593" s="807">
        <v>1</v>
      </c>
      <c r="Y593" s="807">
        <v>1</v>
      </c>
      <c r="Z593" s="874">
        <v>1</v>
      </c>
      <c r="AA593" s="874">
        <v>1</v>
      </c>
      <c r="AB593" s="874">
        <v>1</v>
      </c>
      <c r="AC593" s="874">
        <v>1</v>
      </c>
      <c r="AD593" s="874">
        <v>1</v>
      </c>
      <c r="AE593" s="801"/>
      <c r="AF593" s="801"/>
      <c r="AG593" s="801"/>
      <c r="AK593" s="732"/>
      <c r="BB593" s="752"/>
      <c r="BE593" s="505"/>
    </row>
    <row r="594" spans="1:57" s="741" customFormat="1" ht="15" hidden="1" customHeight="1" outlineLevel="1" x14ac:dyDescent="0.35">
      <c r="A594" s="756"/>
      <c r="B594" s="756"/>
      <c r="C594" s="753"/>
      <c r="D594" s="2333" t="s">
        <v>516</v>
      </c>
      <c r="E594" s="2333" t="s">
        <v>578</v>
      </c>
      <c r="F594" s="2393"/>
      <c r="G594" s="874">
        <v>1</v>
      </c>
      <c r="H594" s="3834" t="s">
        <v>583</v>
      </c>
      <c r="I594" s="3834"/>
      <c r="J594" s="4320"/>
      <c r="K594" s="4320"/>
      <c r="L594" s="4320"/>
      <c r="M594" s="756"/>
      <c r="N594" s="756"/>
      <c r="O594" s="756"/>
      <c r="P594" s="756"/>
      <c r="Q594" s="756"/>
      <c r="R594" s="756"/>
      <c r="S594" s="756"/>
      <c r="T594" s="756"/>
      <c r="U594" s="756"/>
      <c r="V594" s="769" t="str">
        <f t="shared" si="84"/>
        <v>Utility Adjustment</v>
      </c>
      <c r="W594" s="807">
        <v>1</v>
      </c>
      <c r="X594" s="807">
        <v>1</v>
      </c>
      <c r="Y594" s="807">
        <v>1</v>
      </c>
      <c r="Z594" s="874">
        <v>1</v>
      </c>
      <c r="AA594" s="874">
        <v>1</v>
      </c>
      <c r="AB594" s="874">
        <v>1</v>
      </c>
      <c r="AC594" s="874">
        <v>1</v>
      </c>
      <c r="AD594" s="874">
        <v>1</v>
      </c>
      <c r="AE594" s="801"/>
      <c r="AF594" s="801"/>
      <c r="AG594" s="801"/>
      <c r="AK594" s="732"/>
      <c r="BB594" s="752"/>
      <c r="BE594" s="505"/>
    </row>
    <row r="595" spans="1:57" s="741" customFormat="1" ht="15" hidden="1" customHeight="1" outlineLevel="1" x14ac:dyDescent="0.35">
      <c r="A595" s="756"/>
      <c r="B595" s="756"/>
      <c r="C595" s="753"/>
      <c r="D595" s="1367" t="s">
        <v>132</v>
      </c>
      <c r="E595" s="1367" t="s">
        <v>1722</v>
      </c>
      <c r="F595" s="2393"/>
      <c r="G595" s="2142">
        <v>1</v>
      </c>
      <c r="H595" s="4313" t="s">
        <v>1723</v>
      </c>
      <c r="I595" s="4313"/>
      <c r="J595" s="3828" t="s">
        <v>1706</v>
      </c>
      <c r="K595" s="3828"/>
      <c r="L595" s="3828"/>
      <c r="M595" s="756"/>
      <c r="N595" s="756"/>
      <c r="O595" s="756"/>
      <c r="P595" s="756"/>
      <c r="Q595" s="756"/>
      <c r="R595" s="756"/>
      <c r="S595" s="756"/>
      <c r="T595" s="756"/>
      <c r="U595" s="756"/>
      <c r="V595" s="769" t="str">
        <f t="shared" si="84"/>
        <v>ISR</v>
      </c>
      <c r="W595" s="809">
        <v>1</v>
      </c>
      <c r="X595" s="809">
        <v>1</v>
      </c>
      <c r="Y595" s="809">
        <v>1</v>
      </c>
      <c r="Z595" s="867">
        <v>1</v>
      </c>
      <c r="AA595" s="867">
        <v>1</v>
      </c>
      <c r="AB595" s="867">
        <v>1</v>
      </c>
      <c r="AC595" s="2142">
        <v>1</v>
      </c>
      <c r="AD595" s="2142">
        <v>1</v>
      </c>
      <c r="AE595" s="801"/>
      <c r="AF595" s="801"/>
      <c r="AG595" s="801"/>
      <c r="AK595" s="732"/>
      <c r="BB595" s="752"/>
      <c r="BE595" s="505"/>
    </row>
    <row r="596" spans="1:57" s="741" customFormat="1" ht="15" hidden="1" customHeight="1" outlineLevel="1" x14ac:dyDescent="0.35">
      <c r="A596" s="756"/>
      <c r="B596" s="756"/>
      <c r="C596" s="753"/>
      <c r="D596" s="1494" t="str">
        <f>D557</f>
        <v>EUL</v>
      </c>
      <c r="E596" s="1494" t="str">
        <f>E557</f>
        <v>Effective Useful Life</v>
      </c>
      <c r="F596" s="825" t="s">
        <v>134</v>
      </c>
      <c r="G596" s="919">
        <v>20</v>
      </c>
      <c r="H596" s="3834"/>
      <c r="I596" s="3847"/>
      <c r="J596" s="4320"/>
      <c r="K596" s="4320"/>
      <c r="L596" s="4320"/>
      <c r="M596" s="1369"/>
      <c r="N596" s="756"/>
      <c r="O596" s="756"/>
      <c r="P596" s="756"/>
      <c r="Q596" s="756"/>
      <c r="R596" s="756"/>
      <c r="S596" s="756"/>
      <c r="T596" s="756"/>
      <c r="U596" s="756"/>
      <c r="V596" s="769" t="str">
        <f t="shared" si="84"/>
        <v>EUL</v>
      </c>
      <c r="W596" s="810">
        <v>20</v>
      </c>
      <c r="X596" s="810">
        <v>20</v>
      </c>
      <c r="Y596" s="810">
        <v>20</v>
      </c>
      <c r="Z596" s="689">
        <v>20</v>
      </c>
      <c r="AA596" s="689">
        <v>20</v>
      </c>
      <c r="AB596" s="689">
        <v>20</v>
      </c>
      <c r="AC596" s="919">
        <v>20</v>
      </c>
      <c r="AD596" s="919">
        <v>20</v>
      </c>
      <c r="AE596" s="810"/>
      <c r="AF596" s="810"/>
      <c r="AG596" s="810"/>
      <c r="AK596" s="732"/>
      <c r="BB596" s="752"/>
      <c r="BE596" s="505"/>
    </row>
    <row r="597" spans="1:57" s="741" customFormat="1" ht="15" hidden="1" customHeight="1" outlineLevel="1" x14ac:dyDescent="0.35">
      <c r="A597" s="756"/>
      <c r="B597" s="756"/>
      <c r="C597" s="753"/>
      <c r="D597" s="1494" t="str">
        <f>D558</f>
        <v>Inc. Cost</v>
      </c>
      <c r="E597" s="1494" t="str">
        <f>E558</f>
        <v>Incremental Cost</v>
      </c>
      <c r="F597" s="1845" t="s">
        <v>134</v>
      </c>
      <c r="G597" s="387">
        <f>299.34234/SQRT(1387)</f>
        <v>8.0376653213977498</v>
      </c>
      <c r="H597" s="4313" t="s">
        <v>1755</v>
      </c>
      <c r="I597" s="4314"/>
      <c r="J597" s="3828" t="s">
        <v>1724</v>
      </c>
      <c r="K597" s="3828"/>
      <c r="L597" s="3828"/>
      <c r="M597" s="1369"/>
      <c r="N597" s="756"/>
      <c r="O597" s="756"/>
      <c r="P597" s="756"/>
      <c r="Q597" s="756"/>
      <c r="R597" s="756"/>
      <c r="S597" s="756"/>
      <c r="T597" s="756"/>
      <c r="U597" s="756"/>
      <c r="V597" s="769" t="str">
        <f t="shared" si="84"/>
        <v>Inc. Cost</v>
      </c>
      <c r="W597" s="772">
        <v>299.34233999999998</v>
      </c>
      <c r="X597" s="772">
        <v>299.34233999999998</v>
      </c>
      <c r="Y597" s="567">
        <v>8.0376653213977498</v>
      </c>
      <c r="Z597" s="387">
        <v>8.0376653213977498</v>
      </c>
      <c r="AA597" s="387">
        <v>8.0376653213977498</v>
      </c>
      <c r="AB597" s="387">
        <v>8.0376653213977498</v>
      </c>
      <c r="AC597" s="387">
        <v>8.0376653213977498</v>
      </c>
      <c r="AD597" s="387">
        <v>8.0376653213977498</v>
      </c>
      <c r="AE597" s="772"/>
      <c r="AF597" s="772"/>
      <c r="AG597" s="772"/>
      <c r="AK597" s="732"/>
      <c r="BB597" s="752"/>
      <c r="BE597" s="505"/>
    </row>
    <row r="598" spans="1:57" s="741" customFormat="1" collapsed="1" x14ac:dyDescent="0.35">
      <c r="A598" s="756"/>
      <c r="B598" s="756"/>
      <c r="C598" s="753"/>
      <c r="D598" s="1375"/>
      <c r="E598" s="1375"/>
      <c r="F598" s="756"/>
      <c r="G598" s="1376"/>
      <c r="H598" s="1376"/>
      <c r="I598" s="1376"/>
      <c r="J598" s="756"/>
      <c r="K598" s="756"/>
      <c r="L598" s="756"/>
      <c r="M598" s="756"/>
      <c r="N598" s="756"/>
      <c r="O598" s="756"/>
      <c r="P598" s="756"/>
      <c r="Q598" s="756"/>
      <c r="R598" s="756"/>
      <c r="S598" s="756"/>
      <c r="T598" s="756"/>
      <c r="U598" s="756"/>
      <c r="Y598" s="790" t="s">
        <v>1578</v>
      </c>
      <c r="AK598" s="732"/>
      <c r="BB598" s="752"/>
    </row>
    <row r="599" spans="1:57" s="741" customFormat="1" x14ac:dyDescent="0.35">
      <c r="A599" s="756"/>
      <c r="B599" s="756"/>
      <c r="C599" s="753"/>
      <c r="D599" s="1375"/>
      <c r="E599" s="1375"/>
      <c r="F599" s="1376"/>
      <c r="G599" s="1376"/>
      <c r="H599" s="1376"/>
      <c r="I599" s="756"/>
      <c r="J599" s="756"/>
      <c r="K599" s="756"/>
      <c r="L599" s="756"/>
      <c r="M599" s="756"/>
      <c r="N599" s="756"/>
      <c r="O599" s="756"/>
      <c r="P599" s="756"/>
      <c r="Q599" s="756"/>
      <c r="R599" s="756"/>
      <c r="S599" s="756"/>
      <c r="T599" s="756"/>
      <c r="U599" s="756"/>
      <c r="Y599" s="757"/>
      <c r="AK599" s="732"/>
      <c r="BB599" s="752"/>
    </row>
    <row r="600" spans="1:57" x14ac:dyDescent="0.35">
      <c r="A600" s="862"/>
      <c r="B600" s="3664" t="str">
        <f>'HVAC Deemed Table'!B4:L4</f>
        <v>ECM/ Blower Motor</v>
      </c>
      <c r="C600" s="3665"/>
      <c r="D600" s="3665"/>
      <c r="E600" s="3665"/>
      <c r="F600" s="3665"/>
      <c r="G600" s="3665"/>
      <c r="H600" s="3665"/>
      <c r="I600" s="3666"/>
      <c r="J600" s="3666"/>
      <c r="K600" s="3666"/>
      <c r="L600" s="3666"/>
      <c r="M600" s="3666"/>
      <c r="N600" s="3666"/>
      <c r="O600" s="3666"/>
      <c r="P600" s="3666"/>
      <c r="Q600" s="3666"/>
      <c r="R600" s="3667"/>
      <c r="V600" s="3664" t="str">
        <f>B600</f>
        <v>ECM/ Blower Motor</v>
      </c>
      <c r="W600" s="3665"/>
      <c r="X600" s="3665"/>
      <c r="Y600" s="3665"/>
      <c r="Z600" s="3665"/>
      <c r="AA600" s="3665"/>
      <c r="AB600" s="3665"/>
      <c r="AC600" s="3680"/>
      <c r="AD600" s="3680"/>
      <c r="AE600" s="3680"/>
      <c r="AF600" s="3680"/>
      <c r="AG600" s="3680"/>
      <c r="AH600" s="3680"/>
      <c r="AI600" s="3681"/>
      <c r="AJ600" s="741"/>
      <c r="AK600" s="732"/>
    </row>
    <row r="601" spans="1:57" x14ac:dyDescent="0.35">
      <c r="B601" s="1040"/>
      <c r="D601" s="367"/>
      <c r="E601" s="367"/>
      <c r="F601" s="198"/>
      <c r="G601" s="198"/>
      <c r="H601" s="198"/>
      <c r="I601" s="198"/>
      <c r="J601" s="198"/>
      <c r="K601" s="198"/>
      <c r="L601" s="1219"/>
      <c r="AJ601" s="741"/>
      <c r="AK601" s="732"/>
    </row>
    <row r="602" spans="1:57" ht="29" x14ac:dyDescent="0.35">
      <c r="B602" s="1040"/>
      <c r="C602" s="2331" t="s">
        <v>27</v>
      </c>
      <c r="D602" s="2331" t="s">
        <v>174</v>
      </c>
      <c r="E602" s="2331" t="s">
        <v>29</v>
      </c>
      <c r="F602" s="2331" t="s">
        <v>30</v>
      </c>
      <c r="G602" s="2331" t="s">
        <v>175</v>
      </c>
      <c r="H602" s="2331" t="s">
        <v>176</v>
      </c>
      <c r="I602" s="2331" t="s">
        <v>493</v>
      </c>
      <c r="J602" s="2331" t="s">
        <v>494</v>
      </c>
      <c r="K602" s="2331" t="s">
        <v>778</v>
      </c>
      <c r="L602" s="2331" t="s">
        <v>779</v>
      </c>
      <c r="M602" s="2331" t="s">
        <v>31</v>
      </c>
      <c r="N602" s="2363" t="s">
        <v>180</v>
      </c>
      <c r="O602" s="2331" t="s">
        <v>169</v>
      </c>
      <c r="P602" s="2331" t="s">
        <v>43</v>
      </c>
      <c r="V602" s="1572" t="s">
        <v>44</v>
      </c>
      <c r="W602" s="1573">
        <f>W$6</f>
        <v>43252</v>
      </c>
      <c r="X602" s="1573">
        <f t="shared" ref="X602:AG602" si="85">X$6</f>
        <v>43465</v>
      </c>
      <c r="Y602" s="316">
        <f t="shared" si="85"/>
        <v>43800</v>
      </c>
      <c r="Z602" s="1573">
        <f t="shared" si="85"/>
        <v>43862</v>
      </c>
      <c r="AA602" s="1573">
        <f t="shared" si="85"/>
        <v>44013</v>
      </c>
      <c r="AB602" s="1573">
        <f t="shared" si="85"/>
        <v>44166</v>
      </c>
      <c r="AC602" s="1573">
        <f t="shared" si="85"/>
        <v>44531</v>
      </c>
      <c r="AD602" s="1573">
        <f t="shared" si="85"/>
        <v>44774</v>
      </c>
      <c r="AE602" s="1573" t="str">
        <f t="shared" si="85"/>
        <v>-</v>
      </c>
      <c r="AF602" s="1573" t="str">
        <f t="shared" si="85"/>
        <v>-</v>
      </c>
      <c r="AG602" s="1573" t="str">
        <f t="shared" si="85"/>
        <v>-</v>
      </c>
      <c r="AJ602" s="741"/>
      <c r="AK602" s="732"/>
      <c r="BB602" s="1574" t="str">
        <f>$BB$6</f>
        <v>TRC (2022)</v>
      </c>
      <c r="BC602" s="1584" t="str">
        <f>$BC$6</f>
        <v>Benefit Lookup</v>
      </c>
      <c r="BD602" s="556" t="str">
        <f>$BD$6</f>
        <v>Benefits (2019 $)</v>
      </c>
      <c r="BE602" s="200" t="str">
        <f>$BE$6</f>
        <v>Incremental Cost (2019 $)</v>
      </c>
    </row>
    <row r="603" spans="1:57" x14ac:dyDescent="0.35">
      <c r="B603" s="1040"/>
      <c r="C603" s="395" t="s">
        <v>1756</v>
      </c>
      <c r="D603" s="1279" t="s">
        <v>1517</v>
      </c>
      <c r="E603" s="2381" t="s">
        <v>1757</v>
      </c>
      <c r="F603" s="1378">
        <f>ROUND(I603+J603+K603+L603,2)</f>
        <v>0</v>
      </c>
      <c r="G603" s="395" t="s">
        <v>425</v>
      </c>
      <c r="H603" s="136">
        <f>VLOOKUP(G603,'CP FACTORS'!$A$3:$B$38, 2, FALSE)</f>
        <v>4.6608050000000002E-4</v>
      </c>
      <c r="I603" s="820">
        <f>0</f>
        <v>0</v>
      </c>
      <c r="J603" s="820">
        <f>0</f>
        <v>0</v>
      </c>
      <c r="K603" s="820">
        <f>0</f>
        <v>0</v>
      </c>
      <c r="L603" s="820">
        <v>0</v>
      </c>
      <c r="M603" s="742">
        <f>ROUND(H603*F603,6)</f>
        <v>0</v>
      </c>
      <c r="N603" s="1379">
        <f>G665</f>
        <v>20</v>
      </c>
      <c r="O603" s="1845">
        <f>G671</f>
        <v>74.327224020150311</v>
      </c>
      <c r="P603" s="1380" t="s">
        <v>184</v>
      </c>
      <c r="R603" s="862"/>
      <c r="V603" s="141" t="str">
        <f>$F$522</f>
        <v>kWh
Annual Savings</v>
      </c>
      <c r="W603" s="815">
        <v>591.90332067911811</v>
      </c>
      <c r="X603" s="372">
        <v>591.90332067911811</v>
      </c>
      <c r="Y603" s="816">
        <v>582</v>
      </c>
      <c r="Z603" s="1848">
        <v>582</v>
      </c>
      <c r="AA603" s="1848">
        <v>582</v>
      </c>
      <c r="AB603" s="1848">
        <v>582</v>
      </c>
      <c r="AC603" s="816">
        <v>0</v>
      </c>
      <c r="AD603" s="1378">
        <v>0</v>
      </c>
      <c r="AE603" s="141"/>
      <c r="AF603" s="141"/>
      <c r="AG603" s="141"/>
      <c r="AJ603" s="741"/>
      <c r="AK603" s="732"/>
      <c r="BB603" s="1578">
        <f>(BD603)/(BE603)</f>
        <v>0</v>
      </c>
      <c r="BC603" s="795" t="str">
        <f>CONCATENATE(G603," ",N603," Year EUL")</f>
        <v>HVAC RES 20 Year EUL</v>
      </c>
      <c r="BD603" s="3367">
        <f>(INDEX('Avoided Cost Benefits'!$E$4:$E$859,MATCH(BC603,'Avoided Cost Benefits'!$A$4:$A$859,0)))*F603</f>
        <v>0</v>
      </c>
      <c r="BE603" s="3297">
        <f>O603/(1.0595^(2020-2019))</f>
        <v>70.153113751911562</v>
      </c>
    </row>
    <row r="604" spans="1:57" x14ac:dyDescent="0.35">
      <c r="B604" s="1040"/>
      <c r="C604" s="395" t="s">
        <v>1758</v>
      </c>
      <c r="D604" s="1279" t="s">
        <v>1517</v>
      </c>
      <c r="E604" s="503" t="s">
        <v>1759</v>
      </c>
      <c r="F604" s="1378">
        <f t="shared" ref="F604:F614" si="86">ROUND(I604+J604+K604+L604,2)</f>
        <v>582</v>
      </c>
      <c r="G604" s="395" t="s">
        <v>425</v>
      </c>
      <c r="H604" s="136">
        <f>VLOOKUP(G604,'CP FACTORS'!$A$3:$B$38, 2, FALSE)</f>
        <v>4.6608050000000002E-4</v>
      </c>
      <c r="I604" s="820">
        <f>(1-G636)*$G$641*G$642/G$643*G659*$G$664</f>
        <v>264.14545423487061</v>
      </c>
      <c r="J604" s="820">
        <f>(1-G645)*$G$650*G$651/G$652*G659*$G$664</f>
        <v>31.133309957924254</v>
      </c>
      <c r="K604" s="820">
        <f>(25*G$651/G$652+2960*$G$655-$G$657)*G659*$G$664</f>
        <v>286.72123580720518</v>
      </c>
      <c r="L604" s="820">
        <v>0</v>
      </c>
      <c r="M604" s="742">
        <f t="shared" ref="M604:M614" si="87">ROUND(H604*F604,6)</f>
        <v>0.27125899999999997</v>
      </c>
      <c r="N604" s="1379">
        <f>G666</f>
        <v>6</v>
      </c>
      <c r="O604" s="1845">
        <f>G672</f>
        <v>475</v>
      </c>
      <c r="P604" s="203" t="s">
        <v>184</v>
      </c>
      <c r="R604" s="862"/>
      <c r="V604" s="141" t="str">
        <f t="shared" ref="V604:V614" si="88">$F$522</f>
        <v>kWh
Annual Savings</v>
      </c>
      <c r="W604" s="815">
        <v>794.49034774724942</v>
      </c>
      <c r="X604" s="372">
        <v>794.49034774724942</v>
      </c>
      <c r="Y604" s="816">
        <v>582</v>
      </c>
      <c r="Z604" s="1848">
        <v>582</v>
      </c>
      <c r="AA604" s="1848">
        <v>582</v>
      </c>
      <c r="AB604" s="1848">
        <v>582</v>
      </c>
      <c r="AC604" s="1378">
        <v>582</v>
      </c>
      <c r="AD604" s="1378">
        <v>582</v>
      </c>
      <c r="AE604" s="141"/>
      <c r="AF604" s="141"/>
      <c r="AG604" s="141"/>
      <c r="AH604" s="741"/>
      <c r="AI604" s="741"/>
      <c r="AJ604" s="741"/>
      <c r="AK604" s="732"/>
      <c r="BB604" s="40">
        <f>(BD604+BD605)/(BE604+BE605)</f>
        <v>0.5099171846050351</v>
      </c>
      <c r="BC604" s="817" t="str">
        <f t="shared" ref="BC604:BC614" si="89">CONCATENATE(G604," ",N604," Year EUL")</f>
        <v>HVAC RES 6 Year EUL</v>
      </c>
      <c r="BD604" s="1280">
        <f>(INDEX('Avoided Cost Benefits'!$E$4:$E$859,MATCH(BC604,'Avoided Cost Benefits'!$A$4:$A$859,0)))*F604</f>
        <v>228.60845935572598</v>
      </c>
      <c r="BE604" s="2124">
        <f>O604/(1.0595^(2020-2019))</f>
        <v>448.32468145351578</v>
      </c>
    </row>
    <row r="605" spans="1:57" x14ac:dyDescent="0.35">
      <c r="B605" s="1040"/>
      <c r="C605" s="395" t="s">
        <v>1758</v>
      </c>
      <c r="D605" s="1279" t="s">
        <v>1517</v>
      </c>
      <c r="E605" s="1580" t="s">
        <v>1760</v>
      </c>
      <c r="F605" s="1378">
        <f t="shared" si="86"/>
        <v>0</v>
      </c>
      <c r="G605" s="2388" t="str">
        <f>'CP FACTORS'!$A$17</f>
        <v>HVAC RES ER2</v>
      </c>
      <c r="H605" s="136">
        <f>VLOOKUP(G605,'CP FACTORS'!$A$3:$B$38, 2, FALSE)</f>
        <v>4.6608050000000002E-4</v>
      </c>
      <c r="I605" s="820">
        <f>0</f>
        <v>0</v>
      </c>
      <c r="J605" s="820">
        <f>0</f>
        <v>0</v>
      </c>
      <c r="K605" s="820">
        <f>0</f>
        <v>0</v>
      </c>
      <c r="L605" s="820">
        <v>0</v>
      </c>
      <c r="M605" s="742">
        <f t="shared" si="87"/>
        <v>0</v>
      </c>
      <c r="N605" s="1379">
        <f>G667</f>
        <v>0</v>
      </c>
      <c r="O605" s="1845">
        <f>G673</f>
        <v>0</v>
      </c>
      <c r="P605" s="203" t="s">
        <v>184</v>
      </c>
      <c r="R605" s="862"/>
      <c r="V605" s="141" t="str">
        <f t="shared" si="88"/>
        <v>kWh
Annual Savings</v>
      </c>
      <c r="W605" s="815">
        <v>591.90332067911811</v>
      </c>
      <c r="X605" s="372">
        <v>591.90332067911811</v>
      </c>
      <c r="Y605" s="816">
        <v>582</v>
      </c>
      <c r="Z605" s="1848">
        <v>582</v>
      </c>
      <c r="AA605" s="1848">
        <v>582</v>
      </c>
      <c r="AB605" s="1848">
        <v>582</v>
      </c>
      <c r="AC605" s="816">
        <v>0</v>
      </c>
      <c r="AD605" s="1378">
        <v>0</v>
      </c>
      <c r="AE605" s="141"/>
      <c r="AF605" s="141"/>
      <c r="AG605" s="141"/>
      <c r="AK605" s="732"/>
      <c r="BB605" s="819"/>
      <c r="BC605" s="818" t="str">
        <f t="shared" si="89"/>
        <v>HVAC RES ER2 0 Year EUL</v>
      </c>
      <c r="BD605" s="3368">
        <v>0</v>
      </c>
      <c r="BE605" s="2124">
        <f t="shared" ref="BE605:BE614" si="90">O605/(1.0595^(2020-2019))</f>
        <v>0</v>
      </c>
    </row>
    <row r="606" spans="1:57" x14ac:dyDescent="0.35">
      <c r="B606" s="1040"/>
      <c r="C606" s="395" t="s">
        <v>1761</v>
      </c>
      <c r="D606" s="1279" t="s">
        <v>1517</v>
      </c>
      <c r="E606" s="2381" t="s">
        <v>1762</v>
      </c>
      <c r="F606" s="1378">
        <f t="shared" si="86"/>
        <v>0</v>
      </c>
      <c r="G606" s="2388" t="s">
        <v>425</v>
      </c>
      <c r="H606" s="136">
        <f>VLOOKUP(G606,'CP FACTORS'!$A$3:$B$38, 2, FALSE)</f>
        <v>4.6608050000000002E-4</v>
      </c>
      <c r="I606" s="820">
        <f>0</f>
        <v>0</v>
      </c>
      <c r="J606" s="820">
        <f>0</f>
        <v>0</v>
      </c>
      <c r="K606" s="820">
        <v>0</v>
      </c>
      <c r="L606" s="820">
        <f>0</f>
        <v>0</v>
      </c>
      <c r="M606" s="742">
        <f t="shared" si="87"/>
        <v>0</v>
      </c>
      <c r="N606" s="1379">
        <f t="shared" ref="N606:N611" si="91">G665</f>
        <v>20</v>
      </c>
      <c r="O606" s="1845">
        <f t="shared" ref="O606:O611" si="92">G671</f>
        <v>74.327224020150311</v>
      </c>
      <c r="P606" s="203" t="s">
        <v>184</v>
      </c>
      <c r="R606" s="862"/>
      <c r="V606" s="141" t="str">
        <f t="shared" si="88"/>
        <v>kWh
Annual Savings</v>
      </c>
      <c r="W606" s="815">
        <v>3255.9033206791182</v>
      </c>
      <c r="X606" s="372">
        <v>3255.9033206791182</v>
      </c>
      <c r="Y606" s="816">
        <v>582</v>
      </c>
      <c r="Z606" s="1848">
        <v>582</v>
      </c>
      <c r="AA606" s="1848">
        <v>582</v>
      </c>
      <c r="AB606" s="1848">
        <v>582</v>
      </c>
      <c r="AC606" s="816">
        <v>0</v>
      </c>
      <c r="AD606" s="1378">
        <v>0</v>
      </c>
      <c r="AE606" s="141"/>
      <c r="AF606" s="141"/>
      <c r="AG606" s="141"/>
      <c r="AK606" s="732"/>
      <c r="BB606" s="40">
        <f t="shared" ref="BB606:BB612" si="93">(BD606)/(BE606)</f>
        <v>0</v>
      </c>
      <c r="BC606" s="795" t="str">
        <f t="shared" si="89"/>
        <v>HVAC RES 20 Year EUL</v>
      </c>
      <c r="BD606" s="1280">
        <f>(INDEX('Avoided Cost Benefits'!$E$4:$E$859,MATCH(BC606,'Avoided Cost Benefits'!$A$4:$A$859,0)))*F606</f>
        <v>0</v>
      </c>
      <c r="BE606" s="2124">
        <f t="shared" si="90"/>
        <v>70.153113751911562</v>
      </c>
    </row>
    <row r="607" spans="1:57" x14ac:dyDescent="0.35">
      <c r="B607" s="1040"/>
      <c r="C607" s="395" t="s">
        <v>1763</v>
      </c>
      <c r="D607" s="1279" t="s">
        <v>1517</v>
      </c>
      <c r="E607" s="503" t="s">
        <v>1764</v>
      </c>
      <c r="F607" s="1378">
        <f t="shared" si="86"/>
        <v>582</v>
      </c>
      <c r="G607" s="2388" t="s">
        <v>425</v>
      </c>
      <c r="H607" s="136">
        <f>VLOOKUP(G607,'CP FACTORS'!$A$3:$B$38, 2, FALSE)</f>
        <v>4.6608050000000002E-4</v>
      </c>
      <c r="I607" s="820">
        <f t="shared" ref="I607:I610" si="94">(1-G636)*$G$641*G$642/G$643*G659*$G$664</f>
        <v>264.14545423487061</v>
      </c>
      <c r="J607" s="820">
        <f t="shared" ref="J607:J610" si="95">(1-G645)*$G$650*G$651/G$652*G659*$G$664</f>
        <v>31.133309957924254</v>
      </c>
      <c r="K607" s="820">
        <v>0</v>
      </c>
      <c r="L607" s="820">
        <f>(25*G$651/G$652+2960*$G$655-$G$657)*G660*$G$664</f>
        <v>286.72123580720518</v>
      </c>
      <c r="M607" s="742">
        <f t="shared" si="87"/>
        <v>0.27125899999999997</v>
      </c>
      <c r="N607" s="1379">
        <f t="shared" si="91"/>
        <v>6</v>
      </c>
      <c r="O607" s="1845">
        <f t="shared" si="92"/>
        <v>475</v>
      </c>
      <c r="P607" s="203" t="s">
        <v>184</v>
      </c>
      <c r="R607" s="862"/>
      <c r="V607" s="141" t="str">
        <f t="shared" si="88"/>
        <v>kWh
Annual Savings</v>
      </c>
      <c r="W607" s="815">
        <v>3458.4903477472494</v>
      </c>
      <c r="X607" s="372">
        <v>3458.4903477472494</v>
      </c>
      <c r="Y607" s="816">
        <v>582</v>
      </c>
      <c r="Z607" s="1848">
        <v>582</v>
      </c>
      <c r="AA607" s="1848">
        <v>582</v>
      </c>
      <c r="AB607" s="1848">
        <v>582</v>
      </c>
      <c r="AC607" s="1378">
        <v>582</v>
      </c>
      <c r="AD607" s="1378">
        <v>582</v>
      </c>
      <c r="AE607" s="141"/>
      <c r="AF607" s="141"/>
      <c r="AG607" s="141"/>
      <c r="AK607" s="732"/>
      <c r="BB607" s="40">
        <f>(BD607+BD608)/(BE607+BE608)</f>
        <v>0.5099171846050351</v>
      </c>
      <c r="BC607" s="817" t="str">
        <f t="shared" si="89"/>
        <v>HVAC RES 6 Year EUL</v>
      </c>
      <c r="BD607" s="1280">
        <f>(INDEX('Avoided Cost Benefits'!$E$4:$E$859,MATCH(BC607,'Avoided Cost Benefits'!$A$4:$A$859,0)))*F607</f>
        <v>228.60845935572598</v>
      </c>
      <c r="BE607" s="2124">
        <f t="shared" si="90"/>
        <v>448.32468145351578</v>
      </c>
    </row>
    <row r="608" spans="1:57" x14ac:dyDescent="0.35">
      <c r="B608" s="1040"/>
      <c r="C608" s="395" t="s">
        <v>1763</v>
      </c>
      <c r="D608" s="1279" t="s">
        <v>1517</v>
      </c>
      <c r="E608" s="1580" t="s">
        <v>1765</v>
      </c>
      <c r="F608" s="1378">
        <f t="shared" si="86"/>
        <v>0</v>
      </c>
      <c r="G608" s="2388" t="str">
        <f>'CP FACTORS'!$A$17</f>
        <v>HVAC RES ER2</v>
      </c>
      <c r="H608" s="136">
        <f>VLOOKUP(G608,'CP FACTORS'!$A$3:$B$38, 2, FALSE)</f>
        <v>4.6608050000000002E-4</v>
      </c>
      <c r="I608" s="820">
        <f>0</f>
        <v>0</v>
      </c>
      <c r="J608" s="820">
        <f>0</f>
        <v>0</v>
      </c>
      <c r="K608" s="820">
        <v>0</v>
      </c>
      <c r="L608" s="820">
        <f>0</f>
        <v>0</v>
      </c>
      <c r="M608" s="742">
        <f t="shared" si="87"/>
        <v>0</v>
      </c>
      <c r="N608" s="1379">
        <f t="shared" si="91"/>
        <v>0</v>
      </c>
      <c r="O608" s="1845">
        <f t="shared" si="92"/>
        <v>0</v>
      </c>
      <c r="P608" s="203" t="s">
        <v>184</v>
      </c>
      <c r="R608" s="862"/>
      <c r="V608" s="141" t="str">
        <f t="shared" si="88"/>
        <v>kWh
Annual Savings</v>
      </c>
      <c r="W608" s="815">
        <v>3255.9033206791182</v>
      </c>
      <c r="X608" s="372">
        <v>3255.9033206791182</v>
      </c>
      <c r="Y608" s="816">
        <v>582</v>
      </c>
      <c r="Z608" s="1848">
        <v>582</v>
      </c>
      <c r="AA608" s="1848">
        <v>582</v>
      </c>
      <c r="AB608" s="1848">
        <v>582</v>
      </c>
      <c r="AC608" s="816">
        <v>0</v>
      </c>
      <c r="AD608" s="1378">
        <v>0</v>
      </c>
      <c r="AE608" s="141"/>
      <c r="AF608" s="141"/>
      <c r="AG608" s="141"/>
      <c r="AK608" s="732"/>
      <c r="BB608" s="819"/>
      <c r="BC608" s="818" t="str">
        <f t="shared" si="89"/>
        <v>HVAC RES ER2 0 Year EUL</v>
      </c>
      <c r="BD608" s="3368">
        <v>0</v>
      </c>
      <c r="BE608" s="2124">
        <f t="shared" si="90"/>
        <v>0</v>
      </c>
    </row>
    <row r="609" spans="2:57" x14ac:dyDescent="0.35">
      <c r="B609" s="1040"/>
      <c r="C609" s="395" t="s">
        <v>1766</v>
      </c>
      <c r="D609" s="1279" t="s">
        <v>1518</v>
      </c>
      <c r="E609" s="2381" t="s">
        <v>1767</v>
      </c>
      <c r="F609" s="1378">
        <f t="shared" si="86"/>
        <v>0</v>
      </c>
      <c r="G609" s="2388" t="s">
        <v>425</v>
      </c>
      <c r="H609" s="136">
        <f>VLOOKUP(G609,'CP FACTORS'!$A$3:$B$38, 2, FALSE)</f>
        <v>4.6608050000000002E-4</v>
      </c>
      <c r="I609" s="820">
        <f>0</f>
        <v>0</v>
      </c>
      <c r="J609" s="820">
        <f>0</f>
        <v>0</v>
      </c>
      <c r="K609" s="820">
        <f>0</f>
        <v>0</v>
      </c>
      <c r="L609" s="386">
        <v>0</v>
      </c>
      <c r="M609" s="742">
        <f t="shared" si="87"/>
        <v>0</v>
      </c>
      <c r="N609" s="1379">
        <f t="shared" si="91"/>
        <v>20</v>
      </c>
      <c r="O609" s="1845">
        <f t="shared" si="92"/>
        <v>74.327224020150311</v>
      </c>
      <c r="P609" s="203" t="s">
        <v>184</v>
      </c>
      <c r="R609" s="862"/>
      <c r="V609" s="141" t="str">
        <f t="shared" si="88"/>
        <v>kWh
Annual Savings</v>
      </c>
      <c r="W609" s="815">
        <v>591.90332067911811</v>
      </c>
      <c r="X609" s="372">
        <v>591.90332067911811</v>
      </c>
      <c r="Y609" s="816">
        <v>582</v>
      </c>
      <c r="Z609" s="1848">
        <v>582</v>
      </c>
      <c r="AA609" s="1848">
        <v>582</v>
      </c>
      <c r="AB609" s="1848">
        <v>582</v>
      </c>
      <c r="AC609" s="816">
        <v>0</v>
      </c>
      <c r="AD609" s="1378">
        <v>0</v>
      </c>
      <c r="AE609" s="141"/>
      <c r="AF609" s="141"/>
      <c r="AG609" s="141"/>
      <c r="AK609" s="732"/>
      <c r="BB609" s="40">
        <f t="shared" si="93"/>
        <v>0</v>
      </c>
      <c r="BC609" s="795" t="str">
        <f t="shared" si="89"/>
        <v>HVAC RES 20 Year EUL</v>
      </c>
      <c r="BD609" s="1280">
        <f>(INDEX('Avoided Cost Benefits'!$E$4:$E$859,MATCH(BC609,'Avoided Cost Benefits'!$A$4:$A$859,0)))*F609</f>
        <v>0</v>
      </c>
      <c r="BE609" s="2124">
        <f t="shared" si="90"/>
        <v>70.153113751911562</v>
      </c>
    </row>
    <row r="610" spans="2:57" x14ac:dyDescent="0.35">
      <c r="B610" s="1040"/>
      <c r="C610" s="395" t="s">
        <v>1768</v>
      </c>
      <c r="D610" s="1279" t="s">
        <v>1518</v>
      </c>
      <c r="E610" s="503" t="s">
        <v>1769</v>
      </c>
      <c r="F610" s="1378">
        <f t="shared" si="86"/>
        <v>582</v>
      </c>
      <c r="G610" s="2388" t="s">
        <v>425</v>
      </c>
      <c r="H610" s="136">
        <f>VLOOKUP(G610,'CP FACTORS'!$A$3:$B$38, 2, FALSE)</f>
        <v>4.6608050000000002E-4</v>
      </c>
      <c r="I610" s="820">
        <f t="shared" si="94"/>
        <v>264.14545423487061</v>
      </c>
      <c r="J610" s="820">
        <f t="shared" si="95"/>
        <v>31.133309957924254</v>
      </c>
      <c r="K610" s="820">
        <f>(25*G$651/G$652+2960*$G$655-$G$657)*G662*$G$664</f>
        <v>286.72123580720518</v>
      </c>
      <c r="L610" s="386">
        <v>0</v>
      </c>
      <c r="M610" s="742">
        <f t="shared" si="87"/>
        <v>0.27125899999999997</v>
      </c>
      <c r="N610" s="1379">
        <f t="shared" si="91"/>
        <v>6</v>
      </c>
      <c r="O610" s="1845">
        <f t="shared" si="92"/>
        <v>475</v>
      </c>
      <c r="P610" s="203" t="s">
        <v>184</v>
      </c>
      <c r="R610" s="862"/>
      <c r="V610" s="141" t="str">
        <f t="shared" si="88"/>
        <v>kWh
Annual Savings</v>
      </c>
      <c r="W610" s="815">
        <v>794.49034774724942</v>
      </c>
      <c r="X610" s="372">
        <v>794.49034774724942</v>
      </c>
      <c r="Y610" s="816">
        <v>582</v>
      </c>
      <c r="Z610" s="1848">
        <v>582</v>
      </c>
      <c r="AA610" s="1848">
        <v>582</v>
      </c>
      <c r="AB610" s="1848">
        <v>582</v>
      </c>
      <c r="AC610" s="1378">
        <v>582</v>
      </c>
      <c r="AD610" s="1378">
        <v>582</v>
      </c>
      <c r="AE610" s="141"/>
      <c r="AF610" s="141"/>
      <c r="AG610" s="141"/>
      <c r="AK610" s="732"/>
      <c r="BB610" s="40">
        <f>(BD610+BD611)/(BE610+BE611)</f>
        <v>0.5099171846050351</v>
      </c>
      <c r="BC610" s="817" t="str">
        <f t="shared" si="89"/>
        <v>HVAC RES 6 Year EUL</v>
      </c>
      <c r="BD610" s="1280">
        <f>(INDEX('Avoided Cost Benefits'!$E$4:$E$859,MATCH(BC610,'Avoided Cost Benefits'!$A$4:$A$859,0)))*F610</f>
        <v>228.60845935572598</v>
      </c>
      <c r="BE610" s="2124">
        <f t="shared" si="90"/>
        <v>448.32468145351578</v>
      </c>
    </row>
    <row r="611" spans="2:57" x14ac:dyDescent="0.35">
      <c r="B611" s="1040"/>
      <c r="C611" s="395" t="s">
        <v>1768</v>
      </c>
      <c r="D611" s="1279" t="s">
        <v>1518</v>
      </c>
      <c r="E611" s="1580" t="s">
        <v>1770</v>
      </c>
      <c r="F611" s="1378">
        <f t="shared" si="86"/>
        <v>0</v>
      </c>
      <c r="G611" s="2388" t="str">
        <f>'CP FACTORS'!$A$17</f>
        <v>HVAC RES ER2</v>
      </c>
      <c r="H611" s="136">
        <f>VLOOKUP(G611,'CP FACTORS'!$A$3:$B$38, 2, FALSE)</f>
        <v>4.6608050000000002E-4</v>
      </c>
      <c r="I611" s="820">
        <f>0</f>
        <v>0</v>
      </c>
      <c r="J611" s="820">
        <f>0</f>
        <v>0</v>
      </c>
      <c r="K611" s="820">
        <f>0</f>
        <v>0</v>
      </c>
      <c r="L611" s="386">
        <v>0</v>
      </c>
      <c r="M611" s="742">
        <f t="shared" si="87"/>
        <v>0</v>
      </c>
      <c r="N611" s="1379">
        <f t="shared" si="91"/>
        <v>0</v>
      </c>
      <c r="O611" s="1845">
        <f t="shared" si="92"/>
        <v>0</v>
      </c>
      <c r="P611" s="203" t="s">
        <v>184</v>
      </c>
      <c r="R611" s="862"/>
      <c r="V611" s="141" t="str">
        <f t="shared" si="88"/>
        <v>kWh
Annual Savings</v>
      </c>
      <c r="W611" s="815">
        <v>591.90332067911811</v>
      </c>
      <c r="X611" s="372">
        <v>591.90332067911811</v>
      </c>
      <c r="Y611" s="816">
        <v>582</v>
      </c>
      <c r="Z611" s="1848">
        <v>582</v>
      </c>
      <c r="AA611" s="1848">
        <v>582</v>
      </c>
      <c r="AB611" s="1848">
        <v>582</v>
      </c>
      <c r="AC611" s="816">
        <v>0</v>
      </c>
      <c r="AD611" s="1378">
        <v>0</v>
      </c>
      <c r="AE611" s="141"/>
      <c r="AF611" s="141"/>
      <c r="AG611" s="141"/>
      <c r="AK611" s="732"/>
      <c r="BB611" s="819"/>
      <c r="BC611" s="818" t="str">
        <f t="shared" si="89"/>
        <v>HVAC RES ER2 0 Year EUL</v>
      </c>
      <c r="BD611" s="3368">
        <v>0</v>
      </c>
      <c r="BE611" s="2124">
        <f t="shared" si="90"/>
        <v>0</v>
      </c>
    </row>
    <row r="612" spans="2:57" x14ac:dyDescent="0.35">
      <c r="B612" s="1040"/>
      <c r="C612" s="395" t="s">
        <v>1771</v>
      </c>
      <c r="D612" s="1279" t="s">
        <v>1518</v>
      </c>
      <c r="E612" s="2381" t="s">
        <v>1772</v>
      </c>
      <c r="F612" s="1378">
        <f t="shared" si="86"/>
        <v>0</v>
      </c>
      <c r="G612" s="2388" t="s">
        <v>425</v>
      </c>
      <c r="H612" s="136">
        <f>VLOOKUP(G612,'CP FACTORS'!$A$3:$B$38, 2, FALSE)</f>
        <v>4.6608050000000002E-4</v>
      </c>
      <c r="I612" s="820">
        <f>0</f>
        <v>0</v>
      </c>
      <c r="J612" s="820">
        <f>0</f>
        <v>0</v>
      </c>
      <c r="K612" s="820">
        <v>0</v>
      </c>
      <c r="L612" s="820">
        <f>0</f>
        <v>0</v>
      </c>
      <c r="M612" s="742">
        <f t="shared" si="87"/>
        <v>0</v>
      </c>
      <c r="N612" s="1379">
        <f>G668</f>
        <v>20</v>
      </c>
      <c r="O612" s="1845">
        <f>G674</f>
        <v>74.327224020150311</v>
      </c>
      <c r="P612" s="203" t="s">
        <v>184</v>
      </c>
      <c r="R612" s="862"/>
      <c r="V612" s="141" t="str">
        <f t="shared" si="88"/>
        <v>kWh
Annual Savings</v>
      </c>
      <c r="W612" s="815">
        <v>3255.9033206791182</v>
      </c>
      <c r="X612" s="372">
        <v>3255.9033206791182</v>
      </c>
      <c r="Y612" s="816">
        <v>582</v>
      </c>
      <c r="Z612" s="1848">
        <v>582</v>
      </c>
      <c r="AA612" s="1848">
        <v>582</v>
      </c>
      <c r="AB612" s="1848">
        <v>582</v>
      </c>
      <c r="AC612" s="816">
        <v>0</v>
      </c>
      <c r="AD612" s="1378">
        <v>0</v>
      </c>
      <c r="AE612" s="141"/>
      <c r="AF612" s="141"/>
      <c r="AG612" s="141"/>
      <c r="AK612" s="732"/>
      <c r="BB612" s="40">
        <f t="shared" si="93"/>
        <v>0</v>
      </c>
      <c r="BC612" s="795" t="str">
        <f t="shared" si="89"/>
        <v>HVAC RES 20 Year EUL</v>
      </c>
      <c r="BD612" s="1280">
        <f>(INDEX('Avoided Cost Benefits'!$E$4:$E$859,MATCH(BC612,'Avoided Cost Benefits'!$A$4:$A$859,0)))*F612</f>
        <v>0</v>
      </c>
      <c r="BE612" s="2124">
        <f t="shared" si="90"/>
        <v>70.153113751911562</v>
      </c>
    </row>
    <row r="613" spans="2:57" x14ac:dyDescent="0.35">
      <c r="B613" s="1040"/>
      <c r="C613" s="395" t="s">
        <v>1773</v>
      </c>
      <c r="D613" s="1279" t="s">
        <v>1518</v>
      </c>
      <c r="E613" s="503" t="s">
        <v>1774</v>
      </c>
      <c r="F613" s="1378">
        <f t="shared" si="86"/>
        <v>582</v>
      </c>
      <c r="G613" s="2388" t="s">
        <v>425</v>
      </c>
      <c r="H613" s="136">
        <f>VLOOKUP(G613,'CP FACTORS'!$A$3:$B$38, 2, FALSE)</f>
        <v>4.6608050000000002E-4</v>
      </c>
      <c r="I613" s="820">
        <f>(1-G639)*$G$641*G$642/G$643*G662*$G$664</f>
        <v>264.14545423487061</v>
      </c>
      <c r="J613" s="820">
        <f>(1-G648)*$G$650*G$651/G$652*G662*$G$664</f>
        <v>31.133309957924254</v>
      </c>
      <c r="K613" s="820">
        <v>0</v>
      </c>
      <c r="L613" s="820">
        <f>(25*G$651/G$652+2960*$G$656-$G$657)*G662*$G$664</f>
        <v>286.72123580720518</v>
      </c>
      <c r="M613" s="742">
        <f t="shared" si="87"/>
        <v>0.27125899999999997</v>
      </c>
      <c r="N613" s="1379">
        <f>G669</f>
        <v>6</v>
      </c>
      <c r="O613" s="1845">
        <f>G675</f>
        <v>475</v>
      </c>
      <c r="P613" s="203" t="s">
        <v>184</v>
      </c>
      <c r="R613" s="862"/>
      <c r="V613" s="141" t="str">
        <f t="shared" si="88"/>
        <v>kWh
Annual Savings</v>
      </c>
      <c r="W613" s="815">
        <v>3458.4903477472494</v>
      </c>
      <c r="X613" s="372">
        <v>3458.4903477472494</v>
      </c>
      <c r="Y613" s="816">
        <v>582</v>
      </c>
      <c r="Z613" s="1848">
        <v>582</v>
      </c>
      <c r="AA613" s="1848">
        <v>582</v>
      </c>
      <c r="AB613" s="1848">
        <v>582</v>
      </c>
      <c r="AC613" s="1378">
        <v>582</v>
      </c>
      <c r="AD613" s="1378">
        <v>582</v>
      </c>
      <c r="AE613" s="141"/>
      <c r="AF613" s="141"/>
      <c r="AG613" s="141"/>
      <c r="AK613" s="732"/>
      <c r="BB613" s="40">
        <f>(BD613+BD614)/(BE613+BE614)</f>
        <v>0.5099171846050351</v>
      </c>
      <c r="BC613" s="817" t="str">
        <f t="shared" si="89"/>
        <v>HVAC RES 6 Year EUL</v>
      </c>
      <c r="BD613" s="1280">
        <f>(INDEX('Avoided Cost Benefits'!$E$4:$E$859,MATCH(BC613,'Avoided Cost Benefits'!$A$4:$A$859,0)))*F613</f>
        <v>228.60845935572598</v>
      </c>
      <c r="BE613" s="2124">
        <f t="shared" si="90"/>
        <v>448.32468145351578</v>
      </c>
    </row>
    <row r="614" spans="2:57" x14ac:dyDescent="0.35">
      <c r="B614" s="1040"/>
      <c r="C614" s="395" t="s">
        <v>1773</v>
      </c>
      <c r="D614" s="1279" t="s">
        <v>1518</v>
      </c>
      <c r="E614" s="1580" t="s">
        <v>1775</v>
      </c>
      <c r="F614" s="1378">
        <f t="shared" si="86"/>
        <v>0</v>
      </c>
      <c r="G614" s="2388" t="str">
        <f>'CP FACTORS'!$A$17</f>
        <v>HVAC RES ER2</v>
      </c>
      <c r="H614" s="136">
        <f>VLOOKUP(G614,'CP FACTORS'!$A$3:$B$38, 2, FALSE)</f>
        <v>4.6608050000000002E-4</v>
      </c>
      <c r="I614" s="820">
        <f>0</f>
        <v>0</v>
      </c>
      <c r="J614" s="820">
        <f>0</f>
        <v>0</v>
      </c>
      <c r="K614" s="820">
        <v>0</v>
      </c>
      <c r="L614" s="820">
        <f>0</f>
        <v>0</v>
      </c>
      <c r="M614" s="742">
        <f t="shared" si="87"/>
        <v>0</v>
      </c>
      <c r="N614" s="1379">
        <f>G670</f>
        <v>0</v>
      </c>
      <c r="O614" s="1845">
        <f>G676</f>
        <v>0</v>
      </c>
      <c r="P614" s="1380" t="s">
        <v>184</v>
      </c>
      <c r="R614" s="862"/>
      <c r="V614" s="141" t="str">
        <f t="shared" si="88"/>
        <v>kWh
Annual Savings</v>
      </c>
      <c r="W614" s="815">
        <v>3255.9033206791182</v>
      </c>
      <c r="X614" s="372">
        <v>3255.9033206791182</v>
      </c>
      <c r="Y614" s="816">
        <v>582</v>
      </c>
      <c r="Z614" s="1848">
        <v>582</v>
      </c>
      <c r="AA614" s="1848">
        <v>582</v>
      </c>
      <c r="AB614" s="1848">
        <v>582</v>
      </c>
      <c r="AC614" s="816">
        <v>0</v>
      </c>
      <c r="AD614" s="1378">
        <v>0</v>
      </c>
      <c r="AE614" s="141"/>
      <c r="AF614" s="141"/>
      <c r="AG614" s="141"/>
      <c r="AK614" s="732"/>
      <c r="BB614" s="821"/>
      <c r="BC614" s="818" t="str">
        <f t="shared" si="89"/>
        <v>HVAC RES ER2 0 Year EUL</v>
      </c>
      <c r="BD614" s="3299">
        <v>0</v>
      </c>
      <c r="BE614" s="2125">
        <f t="shared" si="90"/>
        <v>0</v>
      </c>
    </row>
    <row r="615" spans="2:57" x14ac:dyDescent="0.35">
      <c r="B615" s="1040"/>
      <c r="C615" s="4338" t="s">
        <v>4245</v>
      </c>
      <c r="D615" s="4338"/>
      <c r="E615" s="4338"/>
      <c r="F615" s="4338"/>
      <c r="G615" s="4338"/>
      <c r="H615" s="4338"/>
      <c r="I615" s="4338"/>
      <c r="J615" s="4338"/>
      <c r="K615" s="4338"/>
      <c r="L615" s="4338"/>
      <c r="AK615" s="732"/>
    </row>
    <row r="616" spans="2:57" x14ac:dyDescent="0.35">
      <c r="B616" s="1040"/>
      <c r="C616" s="4339"/>
      <c r="D616" s="4339"/>
      <c r="E616" s="4339"/>
      <c r="F616" s="4339"/>
      <c r="G616" s="4339"/>
      <c r="H616" s="4339"/>
      <c r="I616" s="4339"/>
      <c r="J616" s="4339"/>
      <c r="K616" s="4339"/>
      <c r="L616" s="4339"/>
      <c r="AK616" s="732"/>
    </row>
    <row r="617" spans="2:57" x14ac:dyDescent="0.35">
      <c r="B617" s="1040"/>
      <c r="C617" s="2370"/>
      <c r="D617" s="2370"/>
      <c r="E617" s="2370"/>
      <c r="F617" s="2370"/>
      <c r="G617" s="2370"/>
      <c r="H617" s="2370"/>
      <c r="I617" s="2370"/>
      <c r="J617" s="2370"/>
      <c r="K617" s="2370"/>
      <c r="L617" s="2370"/>
      <c r="AK617" s="732"/>
    </row>
    <row r="618" spans="2:57" hidden="1" outlineLevel="1" x14ac:dyDescent="0.35">
      <c r="B618" s="1040"/>
      <c r="D618" s="152" t="s">
        <v>107</v>
      </c>
      <c r="F618" s="218"/>
      <c r="AK618" s="732"/>
    </row>
    <row r="619" spans="2:57" ht="18" hidden="1" customHeight="1" outlineLevel="1" x14ac:dyDescent="0.35">
      <c r="B619" s="1040"/>
      <c r="E619" s="1381"/>
      <c r="AK619" s="732"/>
    </row>
    <row r="620" spans="2:57" ht="18" hidden="1" customHeight="1" outlineLevel="1" x14ac:dyDescent="0.35">
      <c r="B620" s="1040"/>
      <c r="E620" s="1381"/>
      <c r="AK620" s="732"/>
    </row>
    <row r="621" spans="2:57" ht="18" hidden="1" customHeight="1" outlineLevel="1" x14ac:dyDescent="0.35">
      <c r="B621" s="1040"/>
      <c r="E621" s="1381"/>
      <c r="AK621" s="732"/>
    </row>
    <row r="622" spans="2:57" ht="14.5" hidden="1" customHeight="1" outlineLevel="1" x14ac:dyDescent="0.35">
      <c r="B622" s="1040"/>
      <c r="E622" s="1381"/>
      <c r="AK622" s="732"/>
    </row>
    <row r="623" spans="2:57" ht="14.5" hidden="1" customHeight="1" outlineLevel="1" x14ac:dyDescent="0.35">
      <c r="B623" s="1040"/>
      <c r="E623" s="1381"/>
      <c r="AK623" s="732"/>
    </row>
    <row r="624" spans="2:57" ht="14.5" hidden="1" customHeight="1" outlineLevel="1" x14ac:dyDescent="0.35">
      <c r="B624" s="1040"/>
      <c r="E624" s="1381"/>
      <c r="AK624" s="732"/>
    </row>
    <row r="625" spans="2:37" ht="14.5" hidden="1" customHeight="1" outlineLevel="1" x14ac:dyDescent="0.35">
      <c r="B625" s="1040"/>
      <c r="E625" s="1381"/>
      <c r="AK625" s="732"/>
    </row>
    <row r="626" spans="2:37" ht="14.5" hidden="1" customHeight="1" outlineLevel="1" x14ac:dyDescent="0.35">
      <c r="B626" s="1040"/>
      <c r="E626" s="1381"/>
      <c r="AK626" s="732"/>
    </row>
    <row r="627" spans="2:37" ht="14.5" hidden="1" customHeight="1" outlineLevel="1" x14ac:dyDescent="0.35">
      <c r="B627" s="1040"/>
      <c r="E627" s="1381"/>
      <c r="AK627" s="732"/>
    </row>
    <row r="628" spans="2:37" ht="14.5" hidden="1" customHeight="1" outlineLevel="1" x14ac:dyDescent="0.35">
      <c r="B628" s="1040"/>
      <c r="E628" s="1381"/>
      <c r="AK628" s="732"/>
    </row>
    <row r="629" spans="2:37" ht="14.5" hidden="1" customHeight="1" outlineLevel="1" x14ac:dyDescent="0.35">
      <c r="B629" s="1040"/>
      <c r="E629" s="1381"/>
      <c r="AK629" s="732"/>
    </row>
    <row r="630" spans="2:37" ht="41.25" hidden="1" customHeight="1" outlineLevel="1" x14ac:dyDescent="0.35">
      <c r="B630" s="1040"/>
      <c r="E630" s="1381"/>
      <c r="AK630" s="732"/>
    </row>
    <row r="631" spans="2:37" hidden="1" outlineLevel="1" x14ac:dyDescent="0.35">
      <c r="B631" s="1040"/>
      <c r="E631" s="1381"/>
      <c r="AK631" s="732"/>
    </row>
    <row r="632" spans="2:37" hidden="1" outlineLevel="1" x14ac:dyDescent="0.35">
      <c r="B632" s="1040"/>
      <c r="E632" s="1381"/>
      <c r="AK632" s="732"/>
    </row>
    <row r="633" spans="2:37" hidden="1" outlineLevel="1" x14ac:dyDescent="0.35">
      <c r="B633" s="1040"/>
      <c r="AK633" s="732"/>
    </row>
    <row r="634" spans="2:37" hidden="1" outlineLevel="1" x14ac:dyDescent="0.35">
      <c r="B634" s="1040"/>
      <c r="D634" s="2423" t="s">
        <v>108</v>
      </c>
      <c r="E634" s="2423" t="s">
        <v>109</v>
      </c>
      <c r="F634" s="2331" t="s">
        <v>185</v>
      </c>
      <c r="G634" s="2331" t="s">
        <v>111</v>
      </c>
      <c r="H634" s="2331" t="s">
        <v>186</v>
      </c>
      <c r="I634" s="2331" t="s">
        <v>282</v>
      </c>
      <c r="V634" s="1572" t="s">
        <v>44</v>
      </c>
      <c r="W634" s="1573">
        <f>W$6</f>
        <v>43252</v>
      </c>
      <c r="X634" s="1573">
        <f t="shared" ref="X634:AG634" si="96">X$6</f>
        <v>43465</v>
      </c>
      <c r="Y634" s="316">
        <f t="shared" si="96"/>
        <v>43800</v>
      </c>
      <c r="Z634" s="1573">
        <f t="shared" si="96"/>
        <v>43862</v>
      </c>
      <c r="AA634" s="1573">
        <f t="shared" si="96"/>
        <v>44013</v>
      </c>
      <c r="AB634" s="1573">
        <f t="shared" si="96"/>
        <v>44166</v>
      </c>
      <c r="AC634" s="1573">
        <f t="shared" si="96"/>
        <v>44531</v>
      </c>
      <c r="AD634" s="1573">
        <f t="shared" si="96"/>
        <v>44774</v>
      </c>
      <c r="AE634" s="1573" t="str">
        <f t="shared" si="96"/>
        <v>-</v>
      </c>
      <c r="AF634" s="1573" t="str">
        <f t="shared" si="96"/>
        <v>-</v>
      </c>
      <c r="AG634" s="1573" t="str">
        <f t="shared" si="96"/>
        <v>-</v>
      </c>
      <c r="AK634" s="732"/>
    </row>
    <row r="635" spans="2:37" hidden="1" outlineLevel="1" x14ac:dyDescent="0.35">
      <c r="B635" s="1040"/>
      <c r="D635" s="4337" t="s">
        <v>800</v>
      </c>
      <c r="E635" s="4337" t="s">
        <v>801</v>
      </c>
      <c r="F635" s="368" t="s">
        <v>1776</v>
      </c>
      <c r="G635" s="411">
        <v>0.16336956521739129</v>
      </c>
      <c r="H635" s="2393" t="s">
        <v>284</v>
      </c>
      <c r="I635" s="822"/>
      <c r="V635" s="3870" t="s">
        <v>800</v>
      </c>
      <c r="W635" s="776">
        <v>0.16</v>
      </c>
      <c r="X635" s="779">
        <v>0.16</v>
      </c>
      <c r="Y635" s="411">
        <v>0.16336956521739129</v>
      </c>
      <c r="Z635" s="411">
        <v>0.16336956521739129</v>
      </c>
      <c r="AA635" s="411">
        <v>0.16336956521739129</v>
      </c>
      <c r="AB635" s="411">
        <v>0.16336956521739129</v>
      </c>
      <c r="AC635" s="411">
        <v>0.16336956521739129</v>
      </c>
      <c r="AD635" s="411">
        <v>0.16336956521739129</v>
      </c>
      <c r="AE635" s="776"/>
      <c r="AF635" s="776"/>
      <c r="AG635" s="776"/>
      <c r="AK635" s="732"/>
    </row>
    <row r="636" spans="2:37" hidden="1" outlineLevel="1" x14ac:dyDescent="0.35">
      <c r="B636" s="1040"/>
      <c r="D636" s="4337"/>
      <c r="E636" s="4337"/>
      <c r="F636" s="368" t="s">
        <v>1777</v>
      </c>
      <c r="G636" s="411">
        <v>0.16336956521739129</v>
      </c>
      <c r="H636" s="2393" t="s">
        <v>284</v>
      </c>
      <c r="I636" s="822"/>
      <c r="V636" s="3870"/>
      <c r="W636" s="776">
        <v>0</v>
      </c>
      <c r="X636" s="779">
        <v>0</v>
      </c>
      <c r="Y636" s="411">
        <v>0.16336956521739129</v>
      </c>
      <c r="Z636" s="411">
        <v>0.16336956521739129</v>
      </c>
      <c r="AA636" s="411">
        <v>0.16336956521739129</v>
      </c>
      <c r="AB636" s="411">
        <v>0.16336956521739129</v>
      </c>
      <c r="AC636" s="411">
        <v>0.16336956521739129</v>
      </c>
      <c r="AD636" s="411">
        <v>0.16336956521739129</v>
      </c>
      <c r="AE636" s="776"/>
      <c r="AF636" s="776"/>
      <c r="AG636" s="776"/>
      <c r="AK636" s="732"/>
    </row>
    <row r="637" spans="2:37" hidden="1" outlineLevel="1" x14ac:dyDescent="0.35">
      <c r="B637" s="1040"/>
      <c r="D637" s="4337"/>
      <c r="E637" s="4337"/>
      <c r="F637" s="368" t="s">
        <v>1778</v>
      </c>
      <c r="G637" s="411">
        <v>0.16336956521739129</v>
      </c>
      <c r="H637" s="2393" t="s">
        <v>284</v>
      </c>
      <c r="I637" s="822"/>
      <c r="V637" s="3870"/>
      <c r="W637" s="776">
        <v>0.16</v>
      </c>
      <c r="X637" s="779">
        <v>0.16</v>
      </c>
      <c r="Y637" s="411">
        <v>0.16336956521739129</v>
      </c>
      <c r="Z637" s="411">
        <v>0.16336956521739129</v>
      </c>
      <c r="AA637" s="411">
        <v>0.16336956521739129</v>
      </c>
      <c r="AB637" s="411">
        <v>0.16336956521739129</v>
      </c>
      <c r="AC637" s="411">
        <v>0.16336956521739129</v>
      </c>
      <c r="AD637" s="411">
        <v>0.16336956521739129</v>
      </c>
      <c r="AE637" s="776"/>
      <c r="AF637" s="776"/>
      <c r="AG637" s="776"/>
      <c r="AK637" s="732"/>
    </row>
    <row r="638" spans="2:37" hidden="1" outlineLevel="1" x14ac:dyDescent="0.35">
      <c r="B638" s="1040"/>
      <c r="D638" s="4337"/>
      <c r="E638" s="4337"/>
      <c r="F638" s="368" t="s">
        <v>1779</v>
      </c>
      <c r="G638" s="411">
        <v>0.16336956521739129</v>
      </c>
      <c r="H638" s="2393" t="s">
        <v>284</v>
      </c>
      <c r="I638" s="822"/>
      <c r="V638" s="3870"/>
      <c r="W638" s="776">
        <v>0.16</v>
      </c>
      <c r="X638" s="779">
        <v>0.16</v>
      </c>
      <c r="Y638" s="411">
        <v>0.16336956521739129</v>
      </c>
      <c r="Z638" s="411">
        <v>0.16336956521739129</v>
      </c>
      <c r="AA638" s="411">
        <v>0.16336956521739129</v>
      </c>
      <c r="AB638" s="411">
        <v>0.16336956521739129</v>
      </c>
      <c r="AC638" s="411">
        <v>0.16336956521739129</v>
      </c>
      <c r="AD638" s="411">
        <v>0.16336956521739129</v>
      </c>
      <c r="AE638" s="776"/>
      <c r="AF638" s="776"/>
      <c r="AG638" s="776"/>
      <c r="AK638" s="732"/>
    </row>
    <row r="639" spans="2:37" hidden="1" outlineLevel="1" x14ac:dyDescent="0.35">
      <c r="B639" s="1040"/>
      <c r="D639" s="4337"/>
      <c r="E639" s="4337"/>
      <c r="F639" s="368" t="s">
        <v>1780</v>
      </c>
      <c r="G639" s="411">
        <v>0.16336956521739129</v>
      </c>
      <c r="H639" s="2393" t="s">
        <v>284</v>
      </c>
      <c r="I639" s="822"/>
      <c r="V639" s="3870"/>
      <c r="W639" s="776">
        <v>0</v>
      </c>
      <c r="X639" s="779">
        <v>0</v>
      </c>
      <c r="Y639" s="411">
        <v>0.16336956521739129</v>
      </c>
      <c r="Z639" s="411">
        <v>0.16336956521739129</v>
      </c>
      <c r="AA639" s="411">
        <v>0.16336956521739129</v>
      </c>
      <c r="AB639" s="411">
        <v>0.16336956521739129</v>
      </c>
      <c r="AC639" s="411">
        <v>0.16336956521739129</v>
      </c>
      <c r="AD639" s="411">
        <v>0.16336956521739129</v>
      </c>
      <c r="AE639" s="776"/>
      <c r="AF639" s="776"/>
      <c r="AG639" s="776"/>
      <c r="AK639" s="732"/>
    </row>
    <row r="640" spans="2:37" hidden="1" outlineLevel="1" x14ac:dyDescent="0.35">
      <c r="B640" s="1040"/>
      <c r="D640" s="4337"/>
      <c r="E640" s="4337"/>
      <c r="F640" s="368" t="s">
        <v>1781</v>
      </c>
      <c r="G640" s="411">
        <v>0.16336956521739129</v>
      </c>
      <c r="H640" s="2393" t="s">
        <v>284</v>
      </c>
      <c r="I640" s="822"/>
      <c r="V640" s="3870"/>
      <c r="W640" s="776">
        <v>0.16</v>
      </c>
      <c r="X640" s="779">
        <v>0.16</v>
      </c>
      <c r="Y640" s="411">
        <v>0.16336956521739129</v>
      </c>
      <c r="Z640" s="411">
        <v>0.16336956521739129</v>
      </c>
      <c r="AA640" s="411">
        <v>0.16336956521739129</v>
      </c>
      <c r="AB640" s="411">
        <v>0.16336956521739129</v>
      </c>
      <c r="AC640" s="411">
        <v>0.16336956521739129</v>
      </c>
      <c r="AD640" s="411">
        <v>0.16336956521739129</v>
      </c>
      <c r="AE640" s="776"/>
      <c r="AF640" s="776"/>
      <c r="AG640" s="776"/>
      <c r="AK640" s="732"/>
    </row>
    <row r="641" spans="2:37" hidden="1" outlineLevel="1" x14ac:dyDescent="0.35">
      <c r="B641" s="1040"/>
      <c r="D641" s="2387" t="s">
        <v>803</v>
      </c>
      <c r="E641" s="2387" t="s">
        <v>804</v>
      </c>
      <c r="F641" s="368" t="s">
        <v>134</v>
      </c>
      <c r="G641" s="823">
        <v>400</v>
      </c>
      <c r="H641" s="4313" t="s">
        <v>805</v>
      </c>
      <c r="I641" s="3813"/>
      <c r="V641" s="2387" t="s">
        <v>803</v>
      </c>
      <c r="W641" s="776"/>
      <c r="X641" s="779"/>
      <c r="Y641" s="785">
        <v>400</v>
      </c>
      <c r="Z641" s="789">
        <v>400</v>
      </c>
      <c r="AA641" s="789">
        <v>400</v>
      </c>
      <c r="AB641" s="789">
        <v>400</v>
      </c>
      <c r="AC641" s="823">
        <v>400</v>
      </c>
      <c r="AD641" s="823">
        <v>400</v>
      </c>
      <c r="AE641" s="776"/>
      <c r="AF641" s="776"/>
      <c r="AG641" s="776"/>
      <c r="AK641" s="732"/>
    </row>
    <row r="642" spans="2:37" ht="16.5" hidden="1" outlineLevel="1" x14ac:dyDescent="0.35">
      <c r="B642" s="1040"/>
      <c r="D642" s="1413" t="s">
        <v>1782</v>
      </c>
      <c r="E642" s="1413" t="s">
        <v>807</v>
      </c>
      <c r="F642" s="368" t="s">
        <v>134</v>
      </c>
      <c r="G642" s="823">
        <v>2009</v>
      </c>
      <c r="H642" s="2393" t="s">
        <v>284</v>
      </c>
      <c r="I642" s="822"/>
      <c r="V642" s="2365" t="s">
        <v>806</v>
      </c>
      <c r="W642" s="775">
        <v>2009</v>
      </c>
      <c r="X642" s="780">
        <v>2009</v>
      </c>
      <c r="Y642" s="823">
        <v>2009</v>
      </c>
      <c r="Z642" s="823">
        <v>2009</v>
      </c>
      <c r="AA642" s="823">
        <v>2009</v>
      </c>
      <c r="AB642" s="823">
        <v>2009</v>
      </c>
      <c r="AC642" s="823">
        <v>2009</v>
      </c>
      <c r="AD642" s="823">
        <v>2009</v>
      </c>
      <c r="AE642" s="775"/>
      <c r="AF642" s="775"/>
      <c r="AG642" s="775"/>
      <c r="AK642" s="732"/>
    </row>
    <row r="643" spans="2:37" ht="16.5" hidden="1" outlineLevel="1" x14ac:dyDescent="0.35">
      <c r="B643" s="1040"/>
      <c r="D643" s="1413" t="s">
        <v>1783</v>
      </c>
      <c r="E643" s="1413" t="s">
        <v>809</v>
      </c>
      <c r="F643" s="368" t="s">
        <v>134</v>
      </c>
      <c r="G643" s="824">
        <v>2545.25</v>
      </c>
      <c r="H643" s="2393" t="s">
        <v>284</v>
      </c>
      <c r="I643" s="822"/>
      <c r="V643" s="2365" t="s">
        <v>808</v>
      </c>
      <c r="W643" s="777">
        <v>2545.25</v>
      </c>
      <c r="X643" s="784">
        <v>2545.25</v>
      </c>
      <c r="Y643" s="824">
        <v>2545.25</v>
      </c>
      <c r="Z643" s="824">
        <v>2545.25</v>
      </c>
      <c r="AA643" s="824">
        <v>2545.25</v>
      </c>
      <c r="AB643" s="824">
        <v>2545.25</v>
      </c>
      <c r="AC643" s="824">
        <v>2545.25</v>
      </c>
      <c r="AD643" s="824">
        <v>2545.25</v>
      </c>
      <c r="AE643" s="777"/>
      <c r="AF643" s="777"/>
      <c r="AG643" s="777"/>
      <c r="AK643" s="732"/>
    </row>
    <row r="644" spans="2:37" hidden="1" outlineLevel="1" x14ac:dyDescent="0.35">
      <c r="B644" s="1040"/>
      <c r="D644" s="4337" t="s">
        <v>811</v>
      </c>
      <c r="E644" s="4337" t="s">
        <v>812</v>
      </c>
      <c r="F644" s="368" t="str">
        <f t="shared" ref="F644:F649" si="97">F635</f>
        <v>ECM Fan EUL Replacement -SF</v>
      </c>
      <c r="G644" s="411">
        <v>0.80141304347826092</v>
      </c>
      <c r="H644" s="2393" t="s">
        <v>284</v>
      </c>
      <c r="I644" s="822"/>
      <c r="V644" s="3870" t="s">
        <v>811</v>
      </c>
      <c r="W644" s="776">
        <v>0.97</v>
      </c>
      <c r="X644" s="779">
        <v>0.97</v>
      </c>
      <c r="Y644" s="411">
        <v>0.80141304347826092</v>
      </c>
      <c r="Z644" s="411">
        <v>0.80141304347826092</v>
      </c>
      <c r="AA644" s="411">
        <v>0.80141304347826092</v>
      </c>
      <c r="AB644" s="411">
        <v>0.80141304347826092</v>
      </c>
      <c r="AC644" s="411">
        <v>0.80141304347826092</v>
      </c>
      <c r="AD644" s="411">
        <v>0.80141304347826092</v>
      </c>
      <c r="AE644" s="776"/>
      <c r="AF644" s="776"/>
      <c r="AG644" s="776"/>
      <c r="AK644" s="732"/>
    </row>
    <row r="645" spans="2:37" hidden="1" outlineLevel="1" x14ac:dyDescent="0.35">
      <c r="B645" s="1040"/>
      <c r="D645" s="4337"/>
      <c r="E645" s="4337"/>
      <c r="F645" s="368" t="str">
        <f t="shared" si="97"/>
        <v>ECM Fan Early Replacement ER 1 (Full Cost) - SF</v>
      </c>
      <c r="G645" s="411">
        <v>0.80141304347826092</v>
      </c>
      <c r="H645" s="2393" t="s">
        <v>284</v>
      </c>
      <c r="I645" s="822"/>
      <c r="V645" s="3870"/>
      <c r="W645" s="776">
        <v>0</v>
      </c>
      <c r="X645" s="779">
        <v>0</v>
      </c>
      <c r="Y645" s="411">
        <v>0.80141304347826092</v>
      </c>
      <c r="Z645" s="411">
        <v>0.80141304347826092</v>
      </c>
      <c r="AA645" s="411">
        <v>0.80141304347826092</v>
      </c>
      <c r="AB645" s="411">
        <v>0.80141304347826092</v>
      </c>
      <c r="AC645" s="411">
        <v>0.80141304347826092</v>
      </c>
      <c r="AD645" s="411">
        <v>0.80141304347826092</v>
      </c>
      <c r="AE645" s="776"/>
      <c r="AF645" s="776"/>
      <c r="AG645" s="776"/>
      <c r="AK645" s="732"/>
    </row>
    <row r="646" spans="2:37" hidden="1" outlineLevel="1" x14ac:dyDescent="0.35">
      <c r="B646" s="1040"/>
      <c r="D646" s="4337"/>
      <c r="E646" s="4337"/>
      <c r="F646" s="368" t="str">
        <f t="shared" si="97"/>
        <v>ECM Fan Early Replacement ER 2 (Remaining Life) - SF</v>
      </c>
      <c r="G646" s="411">
        <v>0.80141304347826092</v>
      </c>
      <c r="H646" s="2393" t="s">
        <v>284</v>
      </c>
      <c r="I646" s="822"/>
      <c r="V646" s="3870"/>
      <c r="W646" s="776">
        <v>0.97</v>
      </c>
      <c r="X646" s="779">
        <v>0.97</v>
      </c>
      <c r="Y646" s="411">
        <v>0.80141304347826092</v>
      </c>
      <c r="Z646" s="411">
        <v>0.80141304347826092</v>
      </c>
      <c r="AA646" s="411">
        <v>0.80141304347826092</v>
      </c>
      <c r="AB646" s="411">
        <v>0.80141304347826092</v>
      </c>
      <c r="AC646" s="411">
        <v>0.80141304347826092</v>
      </c>
      <c r="AD646" s="411">
        <v>0.80141304347826092</v>
      </c>
      <c r="AE646" s="776"/>
      <c r="AF646" s="776"/>
      <c r="AG646" s="776"/>
      <c r="AK646" s="732"/>
    </row>
    <row r="647" spans="2:37" hidden="1" outlineLevel="1" x14ac:dyDescent="0.35">
      <c r="B647" s="1040"/>
      <c r="D647" s="4337"/>
      <c r="E647" s="4337"/>
      <c r="F647" s="368" t="str">
        <f t="shared" si="97"/>
        <v>ECM Fan EUL Replacement - MF</v>
      </c>
      <c r="G647" s="411">
        <v>0.80141304347826092</v>
      </c>
      <c r="H647" s="2393" t="s">
        <v>284</v>
      </c>
      <c r="I647" s="822"/>
      <c r="V647" s="3870"/>
      <c r="W647" s="776">
        <v>0.97</v>
      </c>
      <c r="X647" s="779">
        <v>0.97</v>
      </c>
      <c r="Y647" s="411">
        <v>0.80141304347826092</v>
      </c>
      <c r="Z647" s="411">
        <v>0.80141304347826092</v>
      </c>
      <c r="AA647" s="411">
        <v>0.80141304347826092</v>
      </c>
      <c r="AB647" s="411">
        <v>0.80141304347826092</v>
      </c>
      <c r="AC647" s="411">
        <v>0.80141304347826092</v>
      </c>
      <c r="AD647" s="411">
        <v>0.80141304347826092</v>
      </c>
      <c r="AE647" s="776"/>
      <c r="AF647" s="776"/>
      <c r="AG647" s="776"/>
      <c r="AK647" s="732"/>
    </row>
    <row r="648" spans="2:37" hidden="1" outlineLevel="1" x14ac:dyDescent="0.35">
      <c r="B648" s="1040"/>
      <c r="D648" s="4337"/>
      <c r="E648" s="4337"/>
      <c r="F648" s="368" t="str">
        <f t="shared" si="97"/>
        <v>ECM Fan Early Replacement ER 1 (Full Cost) - MF</v>
      </c>
      <c r="G648" s="411">
        <v>0.80141304347826092</v>
      </c>
      <c r="H648" s="2393" t="s">
        <v>284</v>
      </c>
      <c r="I648" s="822"/>
      <c r="V648" s="3870"/>
      <c r="W648" s="776">
        <v>0</v>
      </c>
      <c r="X648" s="779">
        <v>0</v>
      </c>
      <c r="Y648" s="411">
        <v>0.80141304347826092</v>
      </c>
      <c r="Z648" s="411">
        <v>0.80141304347826092</v>
      </c>
      <c r="AA648" s="411">
        <v>0.80141304347826092</v>
      </c>
      <c r="AB648" s="411">
        <v>0.80141304347826092</v>
      </c>
      <c r="AC648" s="411">
        <v>0.80141304347826092</v>
      </c>
      <c r="AD648" s="411">
        <v>0.80141304347826092</v>
      </c>
      <c r="AE648" s="776"/>
      <c r="AF648" s="776"/>
      <c r="AG648" s="776"/>
      <c r="AK648" s="732"/>
    </row>
    <row r="649" spans="2:37" hidden="1" outlineLevel="1" x14ac:dyDescent="0.35">
      <c r="B649" s="1040"/>
      <c r="D649" s="4337"/>
      <c r="E649" s="4337"/>
      <c r="F649" s="368" t="str">
        <f t="shared" si="97"/>
        <v>ECM Fan Early Replacement ER 2 (Remaining Life) - MF</v>
      </c>
      <c r="G649" s="411">
        <v>0.80141304347826092</v>
      </c>
      <c r="H649" s="2393" t="s">
        <v>284</v>
      </c>
      <c r="I649" s="822"/>
      <c r="V649" s="3870"/>
      <c r="W649" s="776">
        <v>0.97</v>
      </c>
      <c r="X649" s="779">
        <v>0.97</v>
      </c>
      <c r="Y649" s="411">
        <v>0.80141304347826092</v>
      </c>
      <c r="Z649" s="411">
        <v>0.80141304347826092</v>
      </c>
      <c r="AA649" s="411">
        <v>0.80141304347826092</v>
      </c>
      <c r="AB649" s="411">
        <v>0.80141304347826092</v>
      </c>
      <c r="AC649" s="411">
        <v>0.80141304347826092</v>
      </c>
      <c r="AD649" s="411">
        <v>0.80141304347826092</v>
      </c>
      <c r="AE649" s="776"/>
      <c r="AF649" s="776"/>
      <c r="AG649" s="776"/>
      <c r="AK649" s="732"/>
    </row>
    <row r="650" spans="2:37" hidden="1" outlineLevel="1" x14ac:dyDescent="0.35">
      <c r="B650" s="1040"/>
      <c r="D650" s="2387" t="s">
        <v>813</v>
      </c>
      <c r="E650" s="2390" t="s">
        <v>814</v>
      </c>
      <c r="F650" s="2381" t="s">
        <v>134</v>
      </c>
      <c r="G650" s="794">
        <v>70</v>
      </c>
      <c r="H650" s="4313" t="s">
        <v>805</v>
      </c>
      <c r="I650" s="3813"/>
      <c r="V650" s="2387" t="s">
        <v>813</v>
      </c>
      <c r="W650" s="776"/>
      <c r="X650" s="779"/>
      <c r="Y650" s="785">
        <v>70</v>
      </c>
      <c r="Z650" s="789">
        <v>70</v>
      </c>
      <c r="AA650" s="789">
        <v>70</v>
      </c>
      <c r="AB650" s="789">
        <v>70</v>
      </c>
      <c r="AC650" s="794">
        <v>70</v>
      </c>
      <c r="AD650" s="794">
        <v>70</v>
      </c>
      <c r="AE650" s="776"/>
      <c r="AF650" s="776"/>
      <c r="AG650" s="776"/>
      <c r="AK650" s="732"/>
    </row>
    <row r="651" spans="2:37" ht="16.5" hidden="1" outlineLevel="1" x14ac:dyDescent="0.35">
      <c r="B651" s="1040"/>
      <c r="D651" s="2387" t="s">
        <v>1784</v>
      </c>
      <c r="E651" s="1413" t="s">
        <v>817</v>
      </c>
      <c r="F651" s="368" t="s">
        <v>134</v>
      </c>
      <c r="G651" s="824">
        <v>1215</v>
      </c>
      <c r="H651" s="2393" t="s">
        <v>284</v>
      </c>
      <c r="I651" s="822"/>
      <c r="V651" s="1854" t="s">
        <v>816</v>
      </c>
      <c r="W651" s="777">
        <v>1215</v>
      </c>
      <c r="X651" s="784">
        <v>1215</v>
      </c>
      <c r="Y651" s="824">
        <v>1215</v>
      </c>
      <c r="Z651" s="824">
        <v>1215</v>
      </c>
      <c r="AA651" s="824">
        <v>1215</v>
      </c>
      <c r="AB651" s="824">
        <v>1215</v>
      </c>
      <c r="AC651" s="824">
        <v>1215</v>
      </c>
      <c r="AD651" s="824">
        <v>1215</v>
      </c>
      <c r="AE651" s="777"/>
      <c r="AF651" s="777"/>
      <c r="AG651" s="777"/>
      <c r="AK651" s="732"/>
    </row>
    <row r="652" spans="2:37" ht="16.5" hidden="1" outlineLevel="1" x14ac:dyDescent="0.35">
      <c r="B652" s="1040"/>
      <c r="D652" s="2387" t="s">
        <v>1785</v>
      </c>
      <c r="E652" s="1413" t="s">
        <v>819</v>
      </c>
      <c r="F652" s="368" t="s">
        <v>134</v>
      </c>
      <c r="G652" s="825">
        <v>542.5</v>
      </c>
      <c r="H652" s="2393" t="s">
        <v>284</v>
      </c>
      <c r="I652" s="822"/>
      <c r="V652" s="1854" t="s">
        <v>818</v>
      </c>
      <c r="W652" s="770">
        <v>542.5</v>
      </c>
      <c r="X652" s="768">
        <v>542.5</v>
      </c>
      <c r="Y652" s="825">
        <v>542.5</v>
      </c>
      <c r="Z652" s="825">
        <v>542.5</v>
      </c>
      <c r="AA652" s="825">
        <v>542.5</v>
      </c>
      <c r="AB652" s="825">
        <v>542.5</v>
      </c>
      <c r="AC652" s="825">
        <v>542.5</v>
      </c>
      <c r="AD652" s="825">
        <v>542.5</v>
      </c>
      <c r="AE652" s="770"/>
      <c r="AF652" s="770"/>
      <c r="AG652" s="770"/>
      <c r="AK652" s="732"/>
    </row>
    <row r="653" spans="2:37" ht="15" hidden="1" customHeight="1" outlineLevel="1" x14ac:dyDescent="0.35">
      <c r="B653" s="1040"/>
      <c r="D653" s="2387" t="s">
        <v>820</v>
      </c>
      <c r="E653" s="1413" t="s">
        <v>821</v>
      </c>
      <c r="F653" s="2381" t="s">
        <v>134</v>
      </c>
      <c r="G653" s="794">
        <v>25</v>
      </c>
      <c r="H653" s="822" t="s">
        <v>805</v>
      </c>
      <c r="I653" s="1592"/>
      <c r="V653" s="2387" t="s">
        <v>820</v>
      </c>
      <c r="W653" s="770"/>
      <c r="X653" s="768"/>
      <c r="Y653" s="785">
        <v>25</v>
      </c>
      <c r="Z653" s="789">
        <v>25</v>
      </c>
      <c r="AA653" s="789">
        <v>25</v>
      </c>
      <c r="AB653" s="789">
        <v>25</v>
      </c>
      <c r="AC653" s="794">
        <v>25</v>
      </c>
      <c r="AD653" s="794">
        <v>25</v>
      </c>
      <c r="AE653" s="770"/>
      <c r="AF653" s="770"/>
      <c r="AG653" s="770"/>
      <c r="AK653" s="732"/>
    </row>
    <row r="654" spans="2:37" hidden="1" outlineLevel="1" x14ac:dyDescent="0.35">
      <c r="B654" s="1040"/>
      <c r="D654" s="2387" t="s">
        <v>822</v>
      </c>
      <c r="E654" s="1413" t="s">
        <v>823</v>
      </c>
      <c r="F654" s="2381" t="s">
        <v>134</v>
      </c>
      <c r="G654" s="794">
        <v>2960</v>
      </c>
      <c r="H654" s="822" t="s">
        <v>805</v>
      </c>
      <c r="I654" s="1592"/>
      <c r="V654" s="2387" t="s">
        <v>822</v>
      </c>
      <c r="W654" s="770"/>
      <c r="X654" s="768"/>
      <c r="Y654" s="534">
        <v>2960</v>
      </c>
      <c r="Z654" s="794">
        <v>2960</v>
      </c>
      <c r="AA654" s="794">
        <v>2960</v>
      </c>
      <c r="AB654" s="794">
        <v>2960</v>
      </c>
      <c r="AC654" s="794">
        <v>2960</v>
      </c>
      <c r="AD654" s="794">
        <v>2960</v>
      </c>
      <c r="AE654" s="770"/>
      <c r="AF654" s="770"/>
      <c r="AG654" s="770"/>
      <c r="AK654" s="732"/>
    </row>
    <row r="655" spans="2:37" hidden="1" outlineLevel="1" x14ac:dyDescent="0.35">
      <c r="B655" s="1040"/>
      <c r="D655" s="3814" t="s">
        <v>824</v>
      </c>
      <c r="E655" s="3814" t="s">
        <v>825</v>
      </c>
      <c r="F655" s="2381" t="s">
        <v>826</v>
      </c>
      <c r="G655" s="537">
        <v>8.8084612296306403E-2</v>
      </c>
      <c r="H655" s="513" t="s">
        <v>827</v>
      </c>
      <c r="I655" s="1855"/>
      <c r="V655" s="3814" t="s">
        <v>824</v>
      </c>
      <c r="W655" s="770"/>
      <c r="X655" s="768"/>
      <c r="Y655" s="536">
        <v>8.8084612296306403E-2</v>
      </c>
      <c r="Z655" s="537">
        <v>8.8084612296306403E-2</v>
      </c>
      <c r="AA655" s="537">
        <v>8.8084612296306403E-2</v>
      </c>
      <c r="AB655" s="537">
        <v>8.8084612296306403E-2</v>
      </c>
      <c r="AC655" s="537">
        <v>8.8084612296306403E-2</v>
      </c>
      <c r="AD655" s="537">
        <v>8.8084612296306403E-2</v>
      </c>
      <c r="AE655" s="770"/>
      <c r="AF655" s="770"/>
      <c r="AG655" s="770"/>
      <c r="AK655" s="732"/>
    </row>
    <row r="656" spans="2:37" hidden="1" outlineLevel="1" x14ac:dyDescent="0.35">
      <c r="B656" s="1040"/>
      <c r="D656" s="3814"/>
      <c r="E656" s="3814"/>
      <c r="F656" s="2381" t="s">
        <v>828</v>
      </c>
      <c r="G656" s="537">
        <v>8.8084612296306403E-2</v>
      </c>
      <c r="H656" s="513" t="s">
        <v>827</v>
      </c>
      <c r="I656" s="1856"/>
      <c r="V656" s="3814"/>
      <c r="W656" s="770"/>
      <c r="X656" s="768"/>
      <c r="Y656" s="536">
        <v>8.8084612296306403E-2</v>
      </c>
      <c r="Z656" s="537">
        <v>8.8084612296306403E-2</v>
      </c>
      <c r="AA656" s="537">
        <v>8.8084612296306403E-2</v>
      </c>
      <c r="AB656" s="537">
        <v>8.8084612296306403E-2</v>
      </c>
      <c r="AC656" s="537">
        <v>8.8084612296306403E-2</v>
      </c>
      <c r="AD656" s="537">
        <v>8.8084612296306403E-2</v>
      </c>
      <c r="AE656" s="770"/>
      <c r="AF656" s="770"/>
      <c r="AG656" s="770"/>
      <c r="AK656" s="732"/>
    </row>
    <row r="657" spans="2:37" hidden="1" outlineLevel="1" x14ac:dyDescent="0.35">
      <c r="B657" s="1040"/>
      <c r="D657" s="2387" t="s">
        <v>829</v>
      </c>
      <c r="E657" s="1413" t="s">
        <v>830</v>
      </c>
      <c r="F657" s="2381" t="s">
        <v>134</v>
      </c>
      <c r="G657" s="794">
        <v>30</v>
      </c>
      <c r="H657" s="4313" t="s">
        <v>805</v>
      </c>
      <c r="I657" s="3813"/>
      <c r="V657" s="2387" t="s">
        <v>829</v>
      </c>
      <c r="W657" s="776"/>
      <c r="X657" s="779"/>
      <c r="Y657" s="785">
        <v>30</v>
      </c>
      <c r="Z657" s="789">
        <v>30</v>
      </c>
      <c r="AA657" s="789">
        <v>30</v>
      </c>
      <c r="AB657" s="789">
        <v>30</v>
      </c>
      <c r="AC657" s="794">
        <v>30</v>
      </c>
      <c r="AD657" s="794">
        <v>30</v>
      </c>
      <c r="AE657" s="776"/>
      <c r="AF657" s="776"/>
      <c r="AG657" s="776"/>
      <c r="AK657" s="732"/>
    </row>
    <row r="658" spans="2:37" hidden="1" outlineLevel="1" x14ac:dyDescent="0.35">
      <c r="B658" s="1040"/>
      <c r="D658" s="4337" t="s">
        <v>293</v>
      </c>
      <c r="E658" s="4337" t="s">
        <v>1786</v>
      </c>
      <c r="F658" s="368" t="s">
        <v>1757</v>
      </c>
      <c r="G658" s="411">
        <v>1</v>
      </c>
      <c r="H658" s="822"/>
      <c r="I658" s="822"/>
      <c r="V658" s="4337" t="s">
        <v>293</v>
      </c>
      <c r="W658" s="776">
        <v>1</v>
      </c>
      <c r="X658" s="779">
        <v>1</v>
      </c>
      <c r="Y658" s="411">
        <v>1</v>
      </c>
      <c r="Z658" s="411">
        <v>1</v>
      </c>
      <c r="AA658" s="411">
        <v>1</v>
      </c>
      <c r="AB658" s="411">
        <v>1</v>
      </c>
      <c r="AC658" s="411">
        <v>1</v>
      </c>
      <c r="AD658" s="411">
        <v>1</v>
      </c>
      <c r="AE658" s="776"/>
      <c r="AF658" s="776"/>
      <c r="AG658" s="776"/>
      <c r="AK658" s="732"/>
    </row>
    <row r="659" spans="2:37" hidden="1" outlineLevel="1" x14ac:dyDescent="0.35">
      <c r="B659" s="1040"/>
      <c r="D659" s="4337"/>
      <c r="E659" s="4337"/>
      <c r="F659" s="368" t="s">
        <v>1787</v>
      </c>
      <c r="G659" s="411">
        <v>1</v>
      </c>
      <c r="H659" s="822"/>
      <c r="I659" s="822"/>
      <c r="V659" s="4337"/>
      <c r="W659" s="776">
        <v>1</v>
      </c>
      <c r="X659" s="779">
        <v>1</v>
      </c>
      <c r="Y659" s="411">
        <v>1</v>
      </c>
      <c r="Z659" s="411">
        <v>1</v>
      </c>
      <c r="AA659" s="411">
        <v>1</v>
      </c>
      <c r="AB659" s="411">
        <v>1</v>
      </c>
      <c r="AC659" s="411">
        <v>1</v>
      </c>
      <c r="AD659" s="411">
        <v>1</v>
      </c>
      <c r="AE659" s="776"/>
      <c r="AF659" s="776"/>
      <c r="AG659" s="776"/>
      <c r="AK659" s="732"/>
    </row>
    <row r="660" spans="2:37" hidden="1" outlineLevel="1" x14ac:dyDescent="0.35">
      <c r="B660" s="1040"/>
      <c r="D660" s="4337"/>
      <c r="E660" s="4337"/>
      <c r="F660" s="368" t="s">
        <v>1788</v>
      </c>
      <c r="G660" s="411">
        <v>1</v>
      </c>
      <c r="H660" s="822"/>
      <c r="I660" s="822"/>
      <c r="M660" s="3825" t="s">
        <v>170</v>
      </c>
      <c r="N660" s="3823"/>
      <c r="O660" s="3823"/>
      <c r="P660" s="3824"/>
      <c r="R660" s="106"/>
      <c r="S660" s="106"/>
      <c r="V660" s="4337"/>
      <c r="W660" s="776">
        <v>1</v>
      </c>
      <c r="X660" s="779">
        <v>1</v>
      </c>
      <c r="Y660" s="411">
        <v>1</v>
      </c>
      <c r="Z660" s="411">
        <v>1</v>
      </c>
      <c r="AA660" s="411">
        <v>1</v>
      </c>
      <c r="AB660" s="411">
        <v>1</v>
      </c>
      <c r="AC660" s="411">
        <v>1</v>
      </c>
      <c r="AD660" s="411">
        <v>1</v>
      </c>
      <c r="AE660" s="776"/>
      <c r="AF660" s="776"/>
      <c r="AG660" s="776"/>
      <c r="AK660" s="732"/>
    </row>
    <row r="661" spans="2:37" hidden="1" outlineLevel="1" x14ac:dyDescent="0.35">
      <c r="B661" s="1040"/>
      <c r="D661" s="4337"/>
      <c r="E661" s="4337"/>
      <c r="F661" s="368" t="s">
        <v>1767</v>
      </c>
      <c r="G661" s="411">
        <v>1</v>
      </c>
      <c r="H661" s="822"/>
      <c r="I661" s="822"/>
      <c r="M661" s="2362"/>
      <c r="N661" s="2372"/>
      <c r="O661" s="2363" t="s">
        <v>1789</v>
      </c>
      <c r="P661" s="2379" t="s">
        <v>948</v>
      </c>
      <c r="R661" s="657"/>
      <c r="S661" s="106"/>
      <c r="V661" s="4337"/>
      <c r="W661" s="776">
        <v>1</v>
      </c>
      <c r="X661" s="779">
        <v>1</v>
      </c>
      <c r="Y661" s="411">
        <v>1</v>
      </c>
      <c r="Z661" s="411">
        <v>1</v>
      </c>
      <c r="AA661" s="411">
        <v>1</v>
      </c>
      <c r="AB661" s="411">
        <v>1</v>
      </c>
      <c r="AC661" s="411">
        <v>1</v>
      </c>
      <c r="AD661" s="411">
        <v>1</v>
      </c>
      <c r="AE661" s="776"/>
      <c r="AF661" s="776"/>
      <c r="AG661" s="776"/>
      <c r="AK661" s="732"/>
    </row>
    <row r="662" spans="2:37" hidden="1" outlineLevel="1" x14ac:dyDescent="0.35">
      <c r="B662" s="1040"/>
      <c r="D662" s="4337"/>
      <c r="E662" s="4337"/>
      <c r="F662" s="368" t="s">
        <v>1790</v>
      </c>
      <c r="G662" s="411">
        <v>1</v>
      </c>
      <c r="H662" s="822"/>
      <c r="I662" s="822"/>
      <c r="M662" s="4047" t="s">
        <v>834</v>
      </c>
      <c r="N662" s="4048"/>
      <c r="O662" s="1029">
        <f>($O$669/1+P662)-$O$668/((1+$O$671)^($O$672-1))</f>
        <v>74.327224020150311</v>
      </c>
      <c r="P662" s="548">
        <v>0</v>
      </c>
      <c r="Q662" s="106"/>
      <c r="S662" s="106"/>
      <c r="V662" s="4337"/>
      <c r="W662" s="776">
        <v>1</v>
      </c>
      <c r="X662" s="779">
        <v>1</v>
      </c>
      <c r="Y662" s="411">
        <v>1</v>
      </c>
      <c r="Z662" s="411">
        <v>1</v>
      </c>
      <c r="AA662" s="411">
        <v>1</v>
      </c>
      <c r="AB662" s="411">
        <v>1</v>
      </c>
      <c r="AC662" s="411">
        <v>1</v>
      </c>
      <c r="AD662" s="411">
        <v>1</v>
      </c>
      <c r="AE662" s="776"/>
      <c r="AF662" s="776"/>
      <c r="AG662" s="776"/>
      <c r="AK662" s="732"/>
    </row>
    <row r="663" spans="2:37" hidden="1" outlineLevel="1" x14ac:dyDescent="0.35">
      <c r="B663" s="1040"/>
      <c r="D663" s="4337"/>
      <c r="E663" s="4337"/>
      <c r="F663" s="368" t="s">
        <v>1791</v>
      </c>
      <c r="G663" s="411">
        <v>1</v>
      </c>
      <c r="H663" s="822"/>
      <c r="I663" s="822"/>
      <c r="M663" s="106"/>
      <c r="N663" s="106"/>
      <c r="O663" s="106"/>
      <c r="Q663" s="106"/>
      <c r="R663" s="106"/>
      <c r="S663" s="106"/>
      <c r="V663" s="4337"/>
      <c r="W663" s="776">
        <v>1</v>
      </c>
      <c r="X663" s="779">
        <v>1</v>
      </c>
      <c r="Y663" s="411">
        <v>1</v>
      </c>
      <c r="Z663" s="411">
        <v>1</v>
      </c>
      <c r="AA663" s="411">
        <v>1</v>
      </c>
      <c r="AB663" s="411">
        <v>1</v>
      </c>
      <c r="AC663" s="411">
        <v>1</v>
      </c>
      <c r="AD663" s="411">
        <v>1</v>
      </c>
      <c r="AE663" s="776"/>
      <c r="AF663" s="776"/>
      <c r="AG663" s="776"/>
      <c r="AK663" s="732"/>
    </row>
    <row r="664" spans="2:37" hidden="1" outlineLevel="1" x14ac:dyDescent="0.35">
      <c r="B664" s="1040"/>
      <c r="D664" s="2405" t="s">
        <v>132</v>
      </c>
      <c r="E664" s="2405" t="s">
        <v>832</v>
      </c>
      <c r="F664" s="368" t="s">
        <v>134</v>
      </c>
      <c r="G664" s="411">
        <v>1</v>
      </c>
      <c r="H664" s="822" t="s">
        <v>4246</v>
      </c>
      <c r="I664" s="822"/>
      <c r="M664" s="106"/>
      <c r="N664" s="106"/>
      <c r="O664" s="106"/>
      <c r="Q664" s="106"/>
      <c r="R664" s="106"/>
      <c r="S664" s="106"/>
      <c r="V664" s="1413" t="s">
        <v>132</v>
      </c>
      <c r="W664" s="776"/>
      <c r="X664" s="779"/>
      <c r="Y664" s="411"/>
      <c r="Z664" s="411"/>
      <c r="AA664" s="411"/>
      <c r="AB664" s="413">
        <v>1</v>
      </c>
      <c r="AC664" s="411">
        <v>1</v>
      </c>
      <c r="AD664" s="411">
        <v>1</v>
      </c>
      <c r="AE664" s="776"/>
      <c r="AF664" s="776"/>
      <c r="AG664" s="776"/>
      <c r="AK664" s="732"/>
    </row>
    <row r="665" spans="2:37" hidden="1" outlineLevel="1" x14ac:dyDescent="0.35">
      <c r="B665" s="1040"/>
      <c r="D665" s="4340" t="str">
        <f>D596</f>
        <v>EUL</v>
      </c>
      <c r="E665" s="4340" t="s">
        <v>833</v>
      </c>
      <c r="F665" s="368" t="s">
        <v>1757</v>
      </c>
      <c r="G665" s="826">
        <v>20</v>
      </c>
      <c r="H665" s="822"/>
      <c r="I665" s="822"/>
      <c r="M665" s="106"/>
      <c r="N665" s="106"/>
      <c r="O665" s="106"/>
      <c r="Q665" s="106"/>
      <c r="R665" s="106"/>
      <c r="S665" s="106"/>
      <c r="V665" s="4343" t="str">
        <f>V596</f>
        <v>EUL</v>
      </c>
      <c r="W665" s="827">
        <v>20</v>
      </c>
      <c r="X665" s="828">
        <v>20</v>
      </c>
      <c r="Y665" s="826">
        <v>20</v>
      </c>
      <c r="Z665" s="826">
        <v>20</v>
      </c>
      <c r="AA665" s="826">
        <v>20</v>
      </c>
      <c r="AB665" s="826">
        <v>20</v>
      </c>
      <c r="AC665" s="826">
        <v>20</v>
      </c>
      <c r="AD665" s="826">
        <v>20</v>
      </c>
      <c r="AE665" s="827"/>
      <c r="AF665" s="827"/>
      <c r="AG665" s="827"/>
      <c r="AK665" s="732"/>
    </row>
    <row r="666" spans="2:37" hidden="1" outlineLevel="1" x14ac:dyDescent="0.35">
      <c r="B666" s="1040"/>
      <c r="D666" s="4341"/>
      <c r="E666" s="4341"/>
      <c r="F666" s="368" t="s">
        <v>1787</v>
      </c>
      <c r="G666" s="826">
        <v>6</v>
      </c>
      <c r="H666" s="822"/>
      <c r="I666" s="822"/>
      <c r="M666" s="106"/>
      <c r="N666" s="106"/>
      <c r="O666" s="106"/>
      <c r="Q666" s="106"/>
      <c r="R666" s="106"/>
      <c r="S666" s="106"/>
      <c r="V666" s="4337"/>
      <c r="W666" s="827">
        <v>6</v>
      </c>
      <c r="X666" s="828">
        <v>6</v>
      </c>
      <c r="Y666" s="826">
        <v>6</v>
      </c>
      <c r="Z666" s="826">
        <v>6</v>
      </c>
      <c r="AA666" s="826">
        <v>6</v>
      </c>
      <c r="AB666" s="826">
        <v>6</v>
      </c>
      <c r="AC666" s="826">
        <v>6</v>
      </c>
      <c r="AD666" s="826">
        <v>6</v>
      </c>
      <c r="AE666" s="827"/>
      <c r="AF666" s="827"/>
      <c r="AG666" s="827"/>
      <c r="AK666" s="732"/>
    </row>
    <row r="667" spans="2:37" hidden="1" outlineLevel="1" x14ac:dyDescent="0.35">
      <c r="B667" s="1040"/>
      <c r="D667" s="4341"/>
      <c r="E667" s="4341"/>
      <c r="F667" s="368" t="s">
        <v>1788</v>
      </c>
      <c r="G667" s="826">
        <v>0</v>
      </c>
      <c r="H667" s="822"/>
      <c r="I667" s="822"/>
      <c r="M667" s="3825" t="s">
        <v>835</v>
      </c>
      <c r="N667" s="3823"/>
      <c r="O667" s="3824"/>
      <c r="Q667" s="106"/>
      <c r="R667" s="106"/>
      <c r="S667" s="106"/>
      <c r="V667" s="4337"/>
      <c r="W667" s="827">
        <v>12</v>
      </c>
      <c r="X667" s="828">
        <v>12</v>
      </c>
      <c r="Y667" s="826">
        <v>12</v>
      </c>
      <c r="Z667" s="826">
        <v>12</v>
      </c>
      <c r="AA667" s="826">
        <v>12</v>
      </c>
      <c r="AB667" s="826">
        <v>12</v>
      </c>
      <c r="AC667" s="2619">
        <v>0</v>
      </c>
      <c r="AD667" s="826">
        <v>0</v>
      </c>
      <c r="AE667" s="827"/>
      <c r="AF667" s="827"/>
      <c r="AG667" s="827"/>
      <c r="AK667" s="732"/>
    </row>
    <row r="668" spans="2:37" hidden="1" outlineLevel="1" x14ac:dyDescent="0.35">
      <c r="B668" s="1040"/>
      <c r="D668" s="4341"/>
      <c r="E668" s="4341"/>
      <c r="F668" s="368" t="s">
        <v>1767</v>
      </c>
      <c r="G668" s="826">
        <v>20</v>
      </c>
      <c r="H668" s="822"/>
      <c r="I668" s="822"/>
      <c r="M668" s="4059" t="s">
        <v>836</v>
      </c>
      <c r="N668" s="4060"/>
      <c r="O668" s="551">
        <f>O669*(1+O670)^O672</f>
        <v>534.92714915040006</v>
      </c>
      <c r="Q668" s="106"/>
      <c r="R668" s="106"/>
      <c r="S668" s="106"/>
      <c r="V668" s="4337"/>
      <c r="W668" s="827">
        <v>20</v>
      </c>
      <c r="X668" s="828">
        <v>20</v>
      </c>
      <c r="Y668" s="826">
        <v>20</v>
      </c>
      <c r="Z668" s="826">
        <v>20</v>
      </c>
      <c r="AA668" s="826">
        <v>20</v>
      </c>
      <c r="AB668" s="826">
        <v>20</v>
      </c>
      <c r="AC668" s="826">
        <v>20</v>
      </c>
      <c r="AD668" s="826">
        <v>20</v>
      </c>
      <c r="AE668" s="827"/>
      <c r="AF668" s="827"/>
      <c r="AG668" s="827"/>
      <c r="AK668" s="732"/>
    </row>
    <row r="669" spans="2:37" hidden="1" outlineLevel="1" x14ac:dyDescent="0.35">
      <c r="B669" s="1040"/>
      <c r="D669" s="4341"/>
      <c r="E669" s="4341"/>
      <c r="F669" s="368" t="s">
        <v>1790</v>
      </c>
      <c r="G669" s="826">
        <v>6</v>
      </c>
      <c r="H669" s="822"/>
      <c r="I669" s="822"/>
      <c r="M669" s="4059" t="s">
        <v>837</v>
      </c>
      <c r="N669" s="4060"/>
      <c r="O669" s="1592">
        <v>475</v>
      </c>
      <c r="P669" s="1032" t="s">
        <v>838</v>
      </c>
      <c r="Q669" s="106"/>
      <c r="R669" s="106"/>
      <c r="S669" s="106"/>
      <c r="V669" s="4337"/>
      <c r="W669" s="827">
        <v>6</v>
      </c>
      <c r="X669" s="828">
        <v>6</v>
      </c>
      <c r="Y669" s="826">
        <v>6</v>
      </c>
      <c r="Z669" s="826">
        <v>6</v>
      </c>
      <c r="AA669" s="826">
        <v>6</v>
      </c>
      <c r="AB669" s="826">
        <v>6</v>
      </c>
      <c r="AC669" s="826">
        <v>6</v>
      </c>
      <c r="AD669" s="826">
        <v>6</v>
      </c>
      <c r="AE669" s="827"/>
      <c r="AF669" s="827"/>
      <c r="AG669" s="827"/>
      <c r="AK669" s="732"/>
    </row>
    <row r="670" spans="2:37" hidden="1" outlineLevel="1" x14ac:dyDescent="0.35">
      <c r="B670" s="1040"/>
      <c r="D670" s="4342"/>
      <c r="E670" s="4342"/>
      <c r="F670" s="368" t="s">
        <v>1791</v>
      </c>
      <c r="G670" s="826">
        <v>0</v>
      </c>
      <c r="H670" s="822"/>
      <c r="I670" s="822"/>
      <c r="M670" s="4059" t="s">
        <v>839</v>
      </c>
      <c r="N670" s="4060"/>
      <c r="O670" s="553">
        <v>0.02</v>
      </c>
      <c r="Q670" s="106"/>
      <c r="R670" s="106"/>
      <c r="S670" s="106"/>
      <c r="V670" s="4337"/>
      <c r="W670" s="827">
        <v>12</v>
      </c>
      <c r="X670" s="828">
        <v>12</v>
      </c>
      <c r="Y670" s="826">
        <v>12</v>
      </c>
      <c r="Z670" s="826">
        <v>12</v>
      </c>
      <c r="AA670" s="826">
        <v>12</v>
      </c>
      <c r="AB670" s="826">
        <v>12</v>
      </c>
      <c r="AC670" s="2619">
        <v>0</v>
      </c>
      <c r="AD670" s="826">
        <v>0</v>
      </c>
      <c r="AE670" s="827"/>
      <c r="AF670" s="827"/>
      <c r="AG670" s="827"/>
      <c r="AK670" s="732"/>
    </row>
    <row r="671" spans="2:37" hidden="1" outlineLevel="1" x14ac:dyDescent="0.35">
      <c r="B671" s="1040"/>
      <c r="D671" s="4340" t="str">
        <f>D597</f>
        <v>Inc. Cost</v>
      </c>
      <c r="E671" s="4340" t="s">
        <v>170</v>
      </c>
      <c r="F671" s="368" t="s">
        <v>1757</v>
      </c>
      <c r="G671" s="1845">
        <f>O662</f>
        <v>74.327224020150311</v>
      </c>
      <c r="H671" s="822"/>
      <c r="I671" s="822"/>
      <c r="M671" s="4061" t="s">
        <v>840</v>
      </c>
      <c r="N671" s="4062"/>
      <c r="O671" s="553">
        <v>5.9499999999999997E-2</v>
      </c>
      <c r="Q671" s="106"/>
      <c r="R671" s="106"/>
      <c r="S671" s="106"/>
      <c r="V671" s="4343" t="str">
        <f>V597</f>
        <v>Inc. Cost</v>
      </c>
      <c r="W671" s="772">
        <v>97</v>
      </c>
      <c r="X671" s="743">
        <v>97</v>
      </c>
      <c r="Y671" s="475">
        <f>'HVAC Deemed Table'!Q97</f>
        <v>74.327224020150311</v>
      </c>
      <c r="Z671" s="1845">
        <f>'HVAC Deemed Table'!R97</f>
        <v>0</v>
      </c>
      <c r="AA671" s="1845">
        <f>'HVAC Deemed Table'!S97</f>
        <v>0</v>
      </c>
      <c r="AB671" s="1845">
        <v>0</v>
      </c>
      <c r="AC671" s="1845">
        <v>74.327224020150311</v>
      </c>
      <c r="AD671" s="1845">
        <v>74.327224020150311</v>
      </c>
      <c r="AE671" s="772"/>
      <c r="AF671" s="772"/>
      <c r="AG671" s="772"/>
      <c r="AK671" s="732"/>
    </row>
    <row r="672" spans="2:37" hidden="1" outlineLevel="1" x14ac:dyDescent="0.35">
      <c r="B672" s="1040"/>
      <c r="D672" s="4341"/>
      <c r="E672" s="4341"/>
      <c r="F672" s="368" t="s">
        <v>1787</v>
      </c>
      <c r="G672" s="1845">
        <f>O669</f>
        <v>475</v>
      </c>
      <c r="H672" s="822"/>
      <c r="I672" s="822"/>
      <c r="M672" s="554" t="s">
        <v>841</v>
      </c>
      <c r="N672" s="555"/>
      <c r="O672" s="1592">
        <v>6</v>
      </c>
      <c r="Q672" s="106"/>
      <c r="R672" s="106"/>
      <c r="S672" s="106"/>
      <c r="V672" s="4337"/>
      <c r="W672" s="772">
        <v>475</v>
      </c>
      <c r="X672" s="743">
        <v>475</v>
      </c>
      <c r="Y672" s="1845">
        <f>'HVAC Deemed Table'!Q103</f>
        <v>475</v>
      </c>
      <c r="Z672" s="1845" t="str">
        <f>'HVAC Deemed Table'!R103</f>
        <v>https://energy.mo.gov/sites/energy/files/evaluation-of-retrofit-variable-speed-furnace-fan-motors.pdf</v>
      </c>
      <c r="AA672" s="1845">
        <f>'HVAC Deemed Table'!S103</f>
        <v>0</v>
      </c>
      <c r="AB672" s="1845">
        <v>0</v>
      </c>
      <c r="AC672" s="1845">
        <v>475</v>
      </c>
      <c r="AD672" s="1845">
        <v>475</v>
      </c>
      <c r="AE672" s="772"/>
      <c r="AF672" s="772"/>
      <c r="AG672" s="772"/>
      <c r="AK672" s="732"/>
    </row>
    <row r="673" spans="1:57" hidden="1" outlineLevel="1" x14ac:dyDescent="0.35">
      <c r="B673" s="1040"/>
      <c r="D673" s="4341"/>
      <c r="E673" s="4341"/>
      <c r="F673" s="368" t="s">
        <v>1788</v>
      </c>
      <c r="G673" s="1845"/>
      <c r="H673" s="822"/>
      <c r="I673" s="822"/>
      <c r="V673" s="4337"/>
      <c r="W673" s="772"/>
      <c r="X673" s="743"/>
      <c r="Y673" s="1845"/>
      <c r="Z673" s="1845"/>
      <c r="AA673" s="1845"/>
      <c r="AB673" s="1845"/>
      <c r="AC673" s="1845"/>
      <c r="AD673" s="1845"/>
      <c r="AE673" s="772"/>
      <c r="AF673" s="772"/>
      <c r="AG673" s="772"/>
      <c r="AK673" s="732"/>
    </row>
    <row r="674" spans="1:57" hidden="1" outlineLevel="1" x14ac:dyDescent="0.35">
      <c r="B674" s="1040"/>
      <c r="D674" s="4341"/>
      <c r="E674" s="4341"/>
      <c r="F674" s="368" t="s">
        <v>1767</v>
      </c>
      <c r="G674" s="1845">
        <f>O662</f>
        <v>74.327224020150311</v>
      </c>
      <c r="H674" s="822"/>
      <c r="I674" s="822"/>
      <c r="V674" s="4337"/>
      <c r="W674" s="772">
        <v>97</v>
      </c>
      <c r="X674" s="743">
        <v>97</v>
      </c>
      <c r="Y674" s="475">
        <f>'HVAC Deemed Table'!Q97</f>
        <v>74.327224020150311</v>
      </c>
      <c r="Z674" s="1845">
        <f>'HVAC Deemed Table'!R97</f>
        <v>0</v>
      </c>
      <c r="AA674" s="1845">
        <f>'HVAC Deemed Table'!S97</f>
        <v>0</v>
      </c>
      <c r="AB674" s="1845">
        <v>0</v>
      </c>
      <c r="AC674" s="1845">
        <v>74.327224020150311</v>
      </c>
      <c r="AD674" s="1845">
        <v>74.327224020150311</v>
      </c>
      <c r="AE674" s="772"/>
      <c r="AF674" s="772"/>
      <c r="AG674" s="772"/>
      <c r="AK674" s="732"/>
    </row>
    <row r="675" spans="1:57" hidden="1" outlineLevel="1" x14ac:dyDescent="0.35">
      <c r="B675" s="1040"/>
      <c r="D675" s="4341"/>
      <c r="E675" s="4341"/>
      <c r="F675" s="368" t="s">
        <v>1790</v>
      </c>
      <c r="G675" s="1845">
        <f>O669</f>
        <v>475</v>
      </c>
      <c r="H675" s="822"/>
      <c r="I675" s="822"/>
      <c r="V675" s="4337"/>
      <c r="W675" s="772">
        <v>475</v>
      </c>
      <c r="X675" s="743">
        <v>475</v>
      </c>
      <c r="Y675" s="1845">
        <f>'HVAC Deemed Table'!Q103</f>
        <v>475</v>
      </c>
      <c r="Z675" s="1845" t="str">
        <f>'HVAC Deemed Table'!R103</f>
        <v>https://energy.mo.gov/sites/energy/files/evaluation-of-retrofit-variable-speed-furnace-fan-motors.pdf</v>
      </c>
      <c r="AA675" s="1845">
        <f>'HVAC Deemed Table'!S103</f>
        <v>0</v>
      </c>
      <c r="AB675" s="1845">
        <v>0</v>
      </c>
      <c r="AC675" s="1845">
        <v>475</v>
      </c>
      <c r="AD675" s="1845">
        <v>475</v>
      </c>
      <c r="AE675" s="772"/>
      <c r="AF675" s="772"/>
      <c r="AG675" s="772"/>
      <c r="AK675" s="732"/>
    </row>
    <row r="676" spans="1:57" hidden="1" outlineLevel="1" x14ac:dyDescent="0.35">
      <c r="B676" s="1040"/>
      <c r="D676" s="4342"/>
      <c r="E676" s="4342"/>
      <c r="F676" s="368" t="s">
        <v>1791</v>
      </c>
      <c r="G676" s="1845"/>
      <c r="H676" s="822"/>
      <c r="I676" s="822"/>
      <c r="V676" s="4337"/>
      <c r="W676" s="772"/>
      <c r="X676" s="743"/>
      <c r="Y676" s="1845"/>
      <c r="Z676" s="1845"/>
      <c r="AA676" s="1845"/>
      <c r="AB676" s="1845"/>
      <c r="AC676" s="1845"/>
      <c r="AD676" s="1845"/>
      <c r="AE676" s="772"/>
      <c r="AF676" s="772"/>
      <c r="AG676" s="772"/>
      <c r="AK676" s="732"/>
    </row>
    <row r="677" spans="1:57" hidden="1" outlineLevel="1" x14ac:dyDescent="0.35">
      <c r="AK677" s="732"/>
    </row>
    <row r="678" spans="1:57" collapsed="1" x14ac:dyDescent="0.35">
      <c r="AK678" s="732"/>
    </row>
    <row r="679" spans="1:57" s="106" customFormat="1" x14ac:dyDescent="0.35">
      <c r="B679" s="3664" t="s">
        <v>1792</v>
      </c>
      <c r="C679" s="3665"/>
      <c r="D679" s="3665"/>
      <c r="E679" s="3665"/>
      <c r="F679" s="3665"/>
      <c r="G679" s="3665"/>
      <c r="H679" s="3665"/>
      <c r="I679" s="3666"/>
      <c r="J679" s="3666"/>
      <c r="K679" s="3666"/>
      <c r="L679" s="3666"/>
      <c r="M679" s="3666"/>
      <c r="N679" s="3666"/>
      <c r="O679" s="3666"/>
      <c r="P679" s="3666"/>
      <c r="Q679" s="3666"/>
      <c r="R679" s="3667"/>
      <c r="V679" s="3664" t="str">
        <f>B679</f>
        <v>Heat Pump (HP) Tune-up</v>
      </c>
      <c r="W679" s="3665"/>
      <c r="X679" s="3665"/>
      <c r="Y679" s="3665"/>
      <c r="Z679" s="3665"/>
      <c r="AA679" s="3665"/>
      <c r="AB679" s="3665"/>
      <c r="AC679" s="3680"/>
      <c r="AD679" s="3680"/>
      <c r="AE679" s="3680"/>
      <c r="AF679" s="3680"/>
      <c r="AG679" s="3680"/>
      <c r="AH679" s="3680"/>
      <c r="AI679" s="3681"/>
      <c r="AK679" s="732"/>
      <c r="BB679" s="702"/>
    </row>
    <row r="680" spans="1:57" s="31" customFormat="1" x14ac:dyDescent="0.35">
      <c r="A680" s="132"/>
      <c r="B680" s="132"/>
      <c r="C680" s="130"/>
      <c r="D680" s="292" t="s">
        <v>4252</v>
      </c>
      <c r="E680" s="131"/>
      <c r="F680" s="132"/>
      <c r="G680" s="132"/>
      <c r="H680" s="132"/>
      <c r="I680" s="132"/>
      <c r="J680" s="132"/>
      <c r="K680" s="132"/>
      <c r="L680" s="132"/>
      <c r="M680" s="132"/>
      <c r="N680" s="132"/>
      <c r="O680" s="132"/>
      <c r="P680" s="132"/>
      <c r="Q680" s="132"/>
      <c r="R680" s="132"/>
      <c r="S680" s="132"/>
      <c r="T680" s="132"/>
      <c r="U680" s="132"/>
      <c r="V680" s="196"/>
      <c r="W680" s="196"/>
      <c r="X680" s="196"/>
      <c r="Y680" s="528"/>
      <c r="Z680" s="196"/>
      <c r="AA680" s="196"/>
      <c r="AB680" s="196"/>
      <c r="AC680" s="196"/>
      <c r="AD680" s="196"/>
      <c r="AE680" s="196"/>
      <c r="AF680" s="196"/>
      <c r="AG680" s="196"/>
      <c r="AH680" s="196"/>
      <c r="AI680" s="196"/>
      <c r="AK680" s="732"/>
      <c r="BB680" s="32"/>
    </row>
    <row r="681" spans="1:57" s="829" customFormat="1" ht="48.75" customHeight="1" x14ac:dyDescent="0.35">
      <c r="A681" s="1382"/>
      <c r="B681" s="1382"/>
      <c r="C681" s="2331" t="s">
        <v>27</v>
      </c>
      <c r="D681" s="2331" t="s">
        <v>174</v>
      </c>
      <c r="E681" s="2331" t="s">
        <v>29</v>
      </c>
      <c r="F681" s="2331" t="s">
        <v>30</v>
      </c>
      <c r="G681" s="2331" t="s">
        <v>175</v>
      </c>
      <c r="H681" s="2331" t="s">
        <v>176</v>
      </c>
      <c r="I681" s="2331" t="s">
        <v>31</v>
      </c>
      <c r="J681" s="2363" t="s">
        <v>180</v>
      </c>
      <c r="K681" s="2331" t="s">
        <v>169</v>
      </c>
      <c r="L681" s="2331" t="s">
        <v>43</v>
      </c>
      <c r="M681" s="756"/>
      <c r="N681" s="756"/>
      <c r="O681" s="756"/>
      <c r="P681" s="756"/>
      <c r="Q681" s="756"/>
      <c r="R681" s="756"/>
      <c r="S681" s="1382"/>
      <c r="T681" s="1382"/>
      <c r="U681" s="1382"/>
      <c r="V681" s="1572" t="s">
        <v>44</v>
      </c>
      <c r="W681" s="1573">
        <f>W$6</f>
        <v>43252</v>
      </c>
      <c r="X681" s="1573">
        <f t="shared" ref="X681:AG681" si="98">X$6</f>
        <v>43465</v>
      </c>
      <c r="Y681" s="316">
        <f t="shared" si="98"/>
        <v>43800</v>
      </c>
      <c r="Z681" s="1573">
        <f t="shared" si="98"/>
        <v>43862</v>
      </c>
      <c r="AA681" s="1573">
        <f t="shared" si="98"/>
        <v>44013</v>
      </c>
      <c r="AB681" s="1573">
        <f t="shared" si="98"/>
        <v>44166</v>
      </c>
      <c r="AC681" s="1573">
        <f t="shared" si="98"/>
        <v>44531</v>
      </c>
      <c r="AD681" s="1573">
        <f t="shared" si="98"/>
        <v>44774</v>
      </c>
      <c r="AE681" s="1573" t="str">
        <f t="shared" si="98"/>
        <v>-</v>
      </c>
      <c r="AF681" s="1573" t="str">
        <f t="shared" si="98"/>
        <v>-</v>
      </c>
      <c r="AG681" s="1573" t="str">
        <f t="shared" si="98"/>
        <v>-</v>
      </c>
      <c r="AH681" s="196"/>
      <c r="AI681" s="196"/>
      <c r="AK681" s="732"/>
      <c r="BB681" s="1574" t="str">
        <f>$BB$6</f>
        <v>TRC (2022)</v>
      </c>
      <c r="BC681" s="1584" t="str">
        <f>$BC$6</f>
        <v>Benefit Lookup</v>
      </c>
      <c r="BD681" s="556" t="str">
        <f>$BD$6</f>
        <v>Benefits (2019 $)</v>
      </c>
      <c r="BE681" s="200" t="str">
        <f>$BE$6</f>
        <v>Incremental Cost (2019 $)</v>
      </c>
    </row>
    <row r="682" spans="1:57" s="829" customFormat="1" x14ac:dyDescent="0.35">
      <c r="A682" s="1382"/>
      <c r="B682" s="1382"/>
      <c r="C682" s="831" t="s">
        <v>1793</v>
      </c>
      <c r="D682" s="1279" t="s">
        <v>1517</v>
      </c>
      <c r="E682" s="503" t="s">
        <v>1794</v>
      </c>
      <c r="F682" s="1324">
        <f>ROUND((G726*G728*(1/G730-1/G735)/G740),2)</f>
        <v>141.72</v>
      </c>
      <c r="G682" s="1279" t="s">
        <v>257</v>
      </c>
      <c r="H682" s="136">
        <f>VLOOKUP(G682,'CP FACTORS'!$A$3:$B$38, 2, FALSE)</f>
        <v>9.4741810000000004E-4</v>
      </c>
      <c r="I682" s="1278">
        <f>ROUND(F682*H682,6)</f>
        <v>0.134268</v>
      </c>
      <c r="J682" s="830">
        <f t="shared" ref="J682" si="99">$G$755</f>
        <v>2</v>
      </c>
      <c r="K682" s="1845">
        <f>$G$756</f>
        <v>70</v>
      </c>
      <c r="L682" s="831" t="s">
        <v>184</v>
      </c>
      <c r="M682" s="756"/>
      <c r="N682" s="756"/>
      <c r="O682" s="756"/>
      <c r="P682" s="756"/>
      <c r="Q682" s="756"/>
      <c r="R682" s="1214"/>
      <c r="S682" s="1382"/>
      <c r="T682" s="1382"/>
      <c r="U682" s="1382"/>
      <c r="V682" s="141" t="str">
        <f>$F$522</f>
        <v>kWh
Annual Savings</v>
      </c>
      <c r="W682" s="832">
        <v>146.05813953488371</v>
      </c>
      <c r="X682" s="124">
        <v>146.05813953488371</v>
      </c>
      <c r="Y682" s="49">
        <v>146.06</v>
      </c>
      <c r="Z682" s="49">
        <v>146.06</v>
      </c>
      <c r="AA682" s="49">
        <v>146.06</v>
      </c>
      <c r="AB682" s="49">
        <v>146.06</v>
      </c>
      <c r="AC682" s="1324">
        <f>F682</f>
        <v>141.72</v>
      </c>
      <c r="AD682" s="1324">
        <v>141.72</v>
      </c>
      <c r="AE682" s="141"/>
      <c r="AF682" s="141"/>
      <c r="AG682" s="141"/>
      <c r="AH682" s="144"/>
      <c r="AI682" s="196"/>
      <c r="AK682" s="732"/>
      <c r="BB682" s="1578">
        <f>(BD682+BD683)/(BE682+BE683)</f>
        <v>0.51451458364620928</v>
      </c>
      <c r="BC682" s="755" t="str">
        <f>CONCATENATE(G682," ",J682," Year EUL")</f>
        <v>Cooling RES 2 Year EUL</v>
      </c>
      <c r="BD682" s="95">
        <f>(INDEX('Avoided Cost Benefits'!$E$4:$E$859,MATCH(BC682,'Avoided Cost Benefits'!$A$4:$A$859,0)))*F682</f>
        <v>27.695050758661928</v>
      </c>
      <c r="BE682" s="1579">
        <f>K682/(1.0595^(2020-2019))</f>
        <v>66.068900424728639</v>
      </c>
    </row>
    <row r="683" spans="1:57" s="829" customFormat="1" x14ac:dyDescent="0.35">
      <c r="A683" s="1382"/>
      <c r="B683" s="1382"/>
      <c r="C683" s="831" t="s">
        <v>1793</v>
      </c>
      <c r="D683" s="1279" t="s">
        <v>1517</v>
      </c>
      <c r="E683" s="1580" t="s">
        <v>1794</v>
      </c>
      <c r="F683" s="1324">
        <f>ROUND((G741*G743*(1/G745-1/G750)/G740),2)</f>
        <v>114.06</v>
      </c>
      <c r="G683" s="1279" t="s">
        <v>258</v>
      </c>
      <c r="H683" s="136">
        <f>VLOOKUP(G683,'CP FACTORS'!$A$3:$B$38, 2, FALSE)</f>
        <v>0</v>
      </c>
      <c r="I683" s="1278">
        <f t="shared" ref="I683:I703" si="100">ROUND(F683*H683,6)</f>
        <v>0</v>
      </c>
      <c r="J683" s="830">
        <f t="shared" ref="J683:J709" si="101">$G$755</f>
        <v>2</v>
      </c>
      <c r="K683" s="1845">
        <v>0</v>
      </c>
      <c r="L683" s="395" t="s">
        <v>184</v>
      </c>
      <c r="M683" s="756"/>
      <c r="N683" s="756"/>
      <c r="O683" s="756"/>
      <c r="P683" s="756"/>
      <c r="Q683" s="756"/>
      <c r="R683" s="1214"/>
      <c r="S683" s="1382"/>
      <c r="T683" s="1382"/>
      <c r="U683" s="1382"/>
      <c r="V683" s="141" t="str">
        <f t="shared" ref="V683:V709" si="102">$F$522</f>
        <v>kWh
Annual Savings</v>
      </c>
      <c r="W683" s="832">
        <v>157.864509605661</v>
      </c>
      <c r="X683" s="124">
        <v>157.864509605661</v>
      </c>
      <c r="Y683" s="322">
        <v>117.55</v>
      </c>
      <c r="Z683" s="49">
        <v>117.55</v>
      </c>
      <c r="AA683" s="49">
        <v>117.55</v>
      </c>
      <c r="AB683" s="49">
        <v>117.55</v>
      </c>
      <c r="AC683" s="1324">
        <f t="shared" ref="AC683:AC709" si="103">F683</f>
        <v>114.06</v>
      </c>
      <c r="AD683" s="1324">
        <v>114.06</v>
      </c>
      <c r="AE683" s="141"/>
      <c r="AF683" s="141"/>
      <c r="AG683" s="141"/>
      <c r="AH683" s="144"/>
      <c r="AI683" s="741"/>
      <c r="AK683" s="732"/>
      <c r="BB683" s="819"/>
      <c r="BC683" s="833" t="str">
        <f>CONCATENATE(G683," ",J683," Year EUL")</f>
        <v>Heating RES 2 Year EUL</v>
      </c>
      <c r="BD683" s="98">
        <f>(INDEX('Avoided Cost Benefits'!$E$4:$E$859,MATCH(BC683,'Avoided Cost Benefits'!$A$4:$A$859,0)))*F683</f>
        <v>6.2983620353301868</v>
      </c>
      <c r="BE683" s="1581">
        <f>K683/(1.0595^(2020-2019))</f>
        <v>0</v>
      </c>
    </row>
    <row r="684" spans="1:57" s="829" customFormat="1" x14ac:dyDescent="0.35">
      <c r="A684" s="1382"/>
      <c r="B684" s="1382"/>
      <c r="C684" s="831" t="s">
        <v>1795</v>
      </c>
      <c r="D684" s="1279" t="s">
        <v>1518</v>
      </c>
      <c r="E684" s="503" t="s">
        <v>1794</v>
      </c>
      <c r="F684" s="1324">
        <f>ROUND((G726*G729*(1/G730-1/G735)/G740),2)</f>
        <v>87.28</v>
      </c>
      <c r="G684" s="1279" t="s">
        <v>257</v>
      </c>
      <c r="H684" s="136">
        <f>VLOOKUP(G684,'CP FACTORS'!$A$3:$B$38, 2, FALSE)</f>
        <v>9.4741810000000004E-4</v>
      </c>
      <c r="I684" s="1278">
        <f t="shared" si="100"/>
        <v>8.2691000000000001E-2</v>
      </c>
      <c r="J684" s="830">
        <f t="shared" si="101"/>
        <v>2</v>
      </c>
      <c r="K684" s="1845">
        <f>$G$756</f>
        <v>70</v>
      </c>
      <c r="L684" s="831" t="s">
        <v>184</v>
      </c>
      <c r="M684" s="756"/>
      <c r="N684" s="756"/>
      <c r="O684" s="756"/>
      <c r="P684" s="756"/>
      <c r="Q684" s="756"/>
      <c r="R684" s="1214"/>
      <c r="S684" s="1382"/>
      <c r="T684" s="1382"/>
      <c r="U684" s="1382"/>
      <c r="V684" s="141" t="str">
        <f t="shared" si="102"/>
        <v>kWh
Annual Savings</v>
      </c>
      <c r="W684" s="832">
        <v>94.937790697674416</v>
      </c>
      <c r="X684" s="124">
        <v>94.937790697674416</v>
      </c>
      <c r="Y684" s="322">
        <v>87.28</v>
      </c>
      <c r="Z684" s="49">
        <v>87.28</v>
      </c>
      <c r="AA684" s="49">
        <v>87.28</v>
      </c>
      <c r="AB684" s="49">
        <v>87.28</v>
      </c>
      <c r="AC684" s="1324">
        <f t="shared" si="103"/>
        <v>87.28</v>
      </c>
      <c r="AD684" s="1324">
        <v>87.28</v>
      </c>
      <c r="AE684" s="141"/>
      <c r="AF684" s="141"/>
      <c r="AG684" s="141"/>
      <c r="AH684" s="144"/>
      <c r="AK684" s="732"/>
      <c r="BB684" s="40">
        <f>(BD684+BD685)/(BE684+BE685)</f>
        <v>0.31687408632849329</v>
      </c>
      <c r="BC684" s="755" t="str">
        <f t="shared" ref="BC684:BC701" si="104">CONCATENATE(G684," ",J684," Year EUL")</f>
        <v>Cooling RES 2 Year EUL</v>
      </c>
      <c r="BD684" s="98">
        <f>(INDEX('Avoided Cost Benefits'!$E$4:$E$859,MATCH(BC684,'Avoided Cost Benefits'!$A$4:$A$859,0)))*F684</f>
        <v>17.056336651256089</v>
      </c>
      <c r="BE684" s="1581">
        <f t="shared" ref="BE684:BE701" si="105">K684/(1.0595^(2020-2019))</f>
        <v>66.068900424728639</v>
      </c>
    </row>
    <row r="685" spans="1:57" s="829" customFormat="1" x14ac:dyDescent="0.35">
      <c r="A685" s="1382"/>
      <c r="B685" s="1382"/>
      <c r="C685" s="831" t="s">
        <v>1795</v>
      </c>
      <c r="D685" s="1279" t="s">
        <v>1518</v>
      </c>
      <c r="E685" s="1580" t="s">
        <v>1794</v>
      </c>
      <c r="F685" s="1324">
        <f>ROUND((G741*G744*(1/G745-1/G750)/G740),2)</f>
        <v>70.25</v>
      </c>
      <c r="G685" s="1279" t="s">
        <v>258</v>
      </c>
      <c r="H685" s="136">
        <f>VLOOKUP(G685,'CP FACTORS'!$A$3:$B$38, 2, FALSE)</f>
        <v>0</v>
      </c>
      <c r="I685" s="1278">
        <f t="shared" si="100"/>
        <v>0</v>
      </c>
      <c r="J685" s="830">
        <f t="shared" si="101"/>
        <v>2</v>
      </c>
      <c r="K685" s="1845">
        <v>0</v>
      </c>
      <c r="L685" s="395" t="s">
        <v>184</v>
      </c>
      <c r="M685" s="756"/>
      <c r="N685" s="756"/>
      <c r="O685" s="756"/>
      <c r="P685" s="756"/>
      <c r="Q685" s="756"/>
      <c r="R685" s="1214"/>
      <c r="S685" s="1382"/>
      <c r="T685" s="1382"/>
      <c r="U685" s="1382"/>
      <c r="V685" s="141" t="str">
        <f t="shared" si="102"/>
        <v>kWh
Annual Savings</v>
      </c>
      <c r="W685" s="832">
        <v>102.61193124367966</v>
      </c>
      <c r="X685" s="124">
        <v>102.61193124367966</v>
      </c>
      <c r="Y685" s="322">
        <v>70.25</v>
      </c>
      <c r="Z685" s="49">
        <v>70.25</v>
      </c>
      <c r="AA685" s="49">
        <v>70.25</v>
      </c>
      <c r="AB685" s="49">
        <v>70.25</v>
      </c>
      <c r="AC685" s="1324">
        <f t="shared" si="103"/>
        <v>70.25</v>
      </c>
      <c r="AD685" s="1324">
        <v>70.25</v>
      </c>
      <c r="AE685" s="141"/>
      <c r="AF685" s="141"/>
      <c r="AG685" s="141"/>
      <c r="AH685" s="144"/>
      <c r="AK685" s="732"/>
      <c r="BB685" s="819"/>
      <c r="BC685" s="833" t="str">
        <f t="shared" si="104"/>
        <v>Heating RES 2 Year EUL</v>
      </c>
      <c r="BD685" s="98">
        <f>(INDEX('Avoided Cost Benefits'!$E$4:$E$859,MATCH(BC685,'Avoided Cost Benefits'!$A$4:$A$859,0)))*F685</f>
        <v>3.8791858055580009</v>
      </c>
      <c r="BE685" s="1581">
        <f t="shared" si="105"/>
        <v>0</v>
      </c>
    </row>
    <row r="686" spans="1:57" s="150" customFormat="1" x14ac:dyDescent="0.35">
      <c r="A686" s="154"/>
      <c r="B686" s="154"/>
      <c r="C686" s="831" t="s">
        <v>1796</v>
      </c>
      <c r="D686" s="1279" t="s">
        <v>1517</v>
      </c>
      <c r="E686" s="503" t="s">
        <v>1797</v>
      </c>
      <c r="F686" s="1324">
        <f>ROUND((G726*G728*(1/G731-1/G736)/G740),2)</f>
        <v>591.08000000000004</v>
      </c>
      <c r="G686" s="1279" t="s">
        <v>257</v>
      </c>
      <c r="H686" s="136">
        <f>VLOOKUP(G686,'CP FACTORS'!$A$3:$B$38, 2, FALSE)</f>
        <v>9.4741810000000004E-4</v>
      </c>
      <c r="I686" s="1278">
        <f t="shared" si="100"/>
        <v>0.56000000000000005</v>
      </c>
      <c r="J686" s="830">
        <f t="shared" si="101"/>
        <v>2</v>
      </c>
      <c r="K686" s="1845">
        <f>$G$757</f>
        <v>81</v>
      </c>
      <c r="L686" s="831" t="s">
        <v>184</v>
      </c>
      <c r="M686" s="756"/>
      <c r="N686" s="756"/>
      <c r="O686" s="756"/>
      <c r="P686" s="756"/>
      <c r="Q686" s="756"/>
      <c r="R686" s="1214"/>
      <c r="S686" s="157"/>
      <c r="T686" s="154"/>
      <c r="U686" s="154"/>
      <c r="V686" s="141" t="str">
        <f t="shared" si="102"/>
        <v>kWh
Annual Savings</v>
      </c>
      <c r="W686" s="832">
        <v>609.19309466886068</v>
      </c>
      <c r="X686" s="124">
        <v>609.19309466886068</v>
      </c>
      <c r="Y686" s="322">
        <v>609.19000000000005</v>
      </c>
      <c r="Z686" s="49">
        <v>609.19000000000005</v>
      </c>
      <c r="AA686" s="49">
        <v>609.19000000000005</v>
      </c>
      <c r="AB686" s="49">
        <v>609.19000000000005</v>
      </c>
      <c r="AC686" s="1324">
        <f t="shared" si="103"/>
        <v>591.08000000000004</v>
      </c>
      <c r="AD686" s="1324">
        <v>591.08000000000004</v>
      </c>
      <c r="AE686" s="141"/>
      <c r="AF686" s="141"/>
      <c r="AG686" s="141"/>
      <c r="AH686" s="144"/>
      <c r="AK686" s="732"/>
      <c r="BB686" s="40">
        <f>(BD686+BD687)/(BE686+BE687)</f>
        <v>1.9074994828035157</v>
      </c>
      <c r="BC686" s="755" t="str">
        <f t="shared" si="104"/>
        <v>Cooling RES 2 Year EUL</v>
      </c>
      <c r="BD686" s="98">
        <f>(INDEX('Avoided Cost Benefits'!$E$4:$E$859,MATCH(BC686,'Avoided Cost Benefits'!$A$4:$A$859,0)))*F686</f>
        <v>115.50938895307574</v>
      </c>
      <c r="BE686" s="1581">
        <f t="shared" si="105"/>
        <v>76.451156205757428</v>
      </c>
    </row>
    <row r="687" spans="1:57" s="150" customFormat="1" x14ac:dyDescent="0.35">
      <c r="A687" s="154"/>
      <c r="B687" s="154"/>
      <c r="C687" s="831" t="s">
        <v>1796</v>
      </c>
      <c r="D687" s="1279" t="s">
        <v>1517</v>
      </c>
      <c r="E687" s="1580" t="s">
        <v>1797</v>
      </c>
      <c r="F687" s="1324">
        <f>ROUND((G741*G743*(1/G746-1/G751)/G740),2)</f>
        <v>549.1</v>
      </c>
      <c r="G687" s="1279" t="s">
        <v>258</v>
      </c>
      <c r="H687" s="136">
        <f>VLOOKUP(G687,'CP FACTORS'!$A$3:$B$38, 2, FALSE)</f>
        <v>0</v>
      </c>
      <c r="I687" s="1278">
        <f t="shared" si="100"/>
        <v>0</v>
      </c>
      <c r="J687" s="830">
        <f t="shared" si="101"/>
        <v>2</v>
      </c>
      <c r="K687" s="1845">
        <v>0</v>
      </c>
      <c r="L687" s="395" t="s">
        <v>184</v>
      </c>
      <c r="M687" s="151"/>
      <c r="N687" s="1383"/>
      <c r="O687" s="1383"/>
      <c r="P687" s="1383"/>
      <c r="Q687" s="1383"/>
      <c r="R687" s="1214"/>
      <c r="S687" s="157"/>
      <c r="T687" s="154"/>
      <c r="U687" s="154"/>
      <c r="V687" s="141" t="str">
        <f t="shared" si="102"/>
        <v>kWh
Annual Savings</v>
      </c>
      <c r="W687" s="832">
        <v>759.98528433977378</v>
      </c>
      <c r="X687" s="124">
        <v>759.98528433977378</v>
      </c>
      <c r="Y687" s="322">
        <v>565.91999999999996</v>
      </c>
      <c r="Z687" s="49">
        <v>565.91999999999996</v>
      </c>
      <c r="AA687" s="49">
        <v>565.91999999999996</v>
      </c>
      <c r="AB687" s="49">
        <v>565.91999999999996</v>
      </c>
      <c r="AC687" s="1324">
        <f t="shared" si="103"/>
        <v>549.1</v>
      </c>
      <c r="AD687" s="1324">
        <v>549.1</v>
      </c>
      <c r="AE687" s="141"/>
      <c r="AF687" s="141"/>
      <c r="AG687" s="141"/>
      <c r="AH687" s="144"/>
      <c r="AK687" s="732"/>
      <c r="BB687" s="819"/>
      <c r="BC687" s="833" t="str">
        <f t="shared" si="104"/>
        <v>Heating RES 2 Year EUL</v>
      </c>
      <c r="BD687" s="98">
        <f>(INDEX('Avoided Cost Benefits'!$E$4:$E$859,MATCH(BC687,'Avoided Cost Benefits'!$A$4:$A$859,0)))*F687</f>
        <v>30.321151969137343</v>
      </c>
      <c r="BE687" s="1581">
        <f t="shared" si="105"/>
        <v>0</v>
      </c>
    </row>
    <row r="688" spans="1:57" s="741" customFormat="1" x14ac:dyDescent="0.35">
      <c r="A688" s="756"/>
      <c r="B688" s="1328"/>
      <c r="C688" s="831" t="s">
        <v>1798</v>
      </c>
      <c r="D688" s="1279" t="s">
        <v>1518</v>
      </c>
      <c r="E688" s="503" t="s">
        <v>1799</v>
      </c>
      <c r="F688" s="1324">
        <f>ROUND(($G$726*$G$729*(1/$G$731-1/$G$736)/$G$740),2)</f>
        <v>364.03</v>
      </c>
      <c r="G688" s="1279" t="s">
        <v>257</v>
      </c>
      <c r="H688" s="136">
        <f>VLOOKUP(G688,'CP FACTORS'!$A$3:$B$38, 2, FALSE)</f>
        <v>9.4741810000000004E-4</v>
      </c>
      <c r="I688" s="1278">
        <f t="shared" si="100"/>
        <v>0.344889</v>
      </c>
      <c r="J688" s="830">
        <f t="shared" si="101"/>
        <v>2</v>
      </c>
      <c r="K688" s="1845">
        <f>$G$757</f>
        <v>81</v>
      </c>
      <c r="L688" s="831" t="s">
        <v>184</v>
      </c>
      <c r="M688" s="756"/>
      <c r="N688" s="756"/>
      <c r="O688" s="756"/>
      <c r="P688" s="756"/>
      <c r="Q688" s="756"/>
      <c r="R688" s="1214"/>
      <c r="S688" s="756"/>
      <c r="T688" s="756"/>
      <c r="U688" s="756"/>
      <c r="V688" s="141" t="str">
        <f t="shared" si="102"/>
        <v>kWh
Annual Savings</v>
      </c>
      <c r="W688" s="832">
        <v>395.97551153475945</v>
      </c>
      <c r="X688" s="124">
        <v>395.97551153475945</v>
      </c>
      <c r="Y688" s="322">
        <v>364.03</v>
      </c>
      <c r="Z688" s="49">
        <v>364.03</v>
      </c>
      <c r="AA688" s="49">
        <v>364.03</v>
      </c>
      <c r="AB688" s="49">
        <v>364.03</v>
      </c>
      <c r="AC688" s="1324">
        <f t="shared" si="103"/>
        <v>364.03</v>
      </c>
      <c r="AD688" s="1324">
        <v>364.03</v>
      </c>
      <c r="AE688" s="141"/>
      <c r="AF688" s="141"/>
      <c r="AG688" s="141"/>
      <c r="AH688" s="144"/>
      <c r="AK688" s="732"/>
      <c r="BB688" s="40">
        <f>(BD688+BD689)/(BE688+BE689)</f>
        <v>1.1747798720859743</v>
      </c>
      <c r="BC688" s="755" t="str">
        <f t="shared" si="104"/>
        <v>Cooling RES 2 Year EUL</v>
      </c>
      <c r="BD688" s="98">
        <f>(INDEX('Avoided Cost Benefits'!$E$4:$E$859,MATCH(BC688,'Avoided Cost Benefits'!$A$4:$A$859,0)))*F688</f>
        <v>71.139072309312027</v>
      </c>
      <c r="BE688" s="1581">
        <f t="shared" si="105"/>
        <v>76.451156205757428</v>
      </c>
    </row>
    <row r="689" spans="1:57" s="741" customFormat="1" x14ac:dyDescent="0.35">
      <c r="A689" s="756"/>
      <c r="B689" s="1328"/>
      <c r="C689" s="831" t="s">
        <v>1798</v>
      </c>
      <c r="D689" s="1279" t="s">
        <v>1518</v>
      </c>
      <c r="E689" s="1580" t="s">
        <v>1799</v>
      </c>
      <c r="F689" s="1324">
        <f>ROUND(($G$741*$G$744*(1/$G$746-1/$G$751)/$G$740),2)</f>
        <v>338.18</v>
      </c>
      <c r="G689" s="1279" t="s">
        <v>258</v>
      </c>
      <c r="H689" s="136">
        <f>VLOOKUP(G689,'CP FACTORS'!$A$3:$B$38, 2, FALSE)</f>
        <v>0</v>
      </c>
      <c r="I689" s="1278">
        <f t="shared" si="100"/>
        <v>0</v>
      </c>
      <c r="J689" s="830">
        <f t="shared" si="101"/>
        <v>2</v>
      </c>
      <c r="K689" s="1845">
        <v>0</v>
      </c>
      <c r="L689" s="395" t="s">
        <v>184</v>
      </c>
      <c r="M689" s="756"/>
      <c r="N689" s="756"/>
      <c r="O689" s="756"/>
      <c r="P689" s="756"/>
      <c r="Q689" s="756"/>
      <c r="R689" s="1214"/>
      <c r="S689" s="756"/>
      <c r="T689" s="756"/>
      <c r="U689" s="756"/>
      <c r="V689" s="141" t="str">
        <f t="shared" si="102"/>
        <v>kWh
Annual Savings</v>
      </c>
      <c r="W689" s="832">
        <v>493.99043482085307</v>
      </c>
      <c r="X689" s="124">
        <v>493.99043482085307</v>
      </c>
      <c r="Y689" s="322">
        <v>338.18</v>
      </c>
      <c r="Z689" s="49">
        <v>338.18</v>
      </c>
      <c r="AA689" s="49">
        <v>338.18</v>
      </c>
      <c r="AB689" s="49">
        <v>338.18</v>
      </c>
      <c r="AC689" s="1324">
        <f t="shared" si="103"/>
        <v>338.18</v>
      </c>
      <c r="AD689" s="1324">
        <v>338.18</v>
      </c>
      <c r="AE689" s="141"/>
      <c r="AF689" s="141"/>
      <c r="AG689" s="141"/>
      <c r="AH689" s="144"/>
      <c r="AK689" s="732"/>
      <c r="BB689" s="819"/>
      <c r="BC689" s="833" t="str">
        <f t="shared" si="104"/>
        <v>Heating RES 2 Year EUL</v>
      </c>
      <c r="BD689" s="98">
        <f>(INDEX('Avoided Cost Benefits'!$E$4:$E$859,MATCH(BC689,'Avoided Cost Benefits'!$A$4:$A$859,0)))*F689</f>
        <v>18.674207198912523</v>
      </c>
      <c r="BE689" s="1581">
        <f t="shared" si="105"/>
        <v>0</v>
      </c>
    </row>
    <row r="690" spans="1:57" s="741" customFormat="1" x14ac:dyDescent="0.35">
      <c r="A690" s="756"/>
      <c r="B690" s="1328"/>
      <c r="C690" s="831" t="s">
        <v>1800</v>
      </c>
      <c r="D690" s="395" t="s">
        <v>1519</v>
      </c>
      <c r="E690" s="2348" t="str">
        <f>CONCATENATE(E688,"_CompE")</f>
        <v>HP tune-up / Refrigerant charge MF_CompE</v>
      </c>
      <c r="F690" s="1324">
        <f>ROUND(($G$727*$G$729*(1/$G$731-1/$G$736)/$G$740),2)</f>
        <v>264.75</v>
      </c>
      <c r="G690" s="1279" t="s">
        <v>257</v>
      </c>
      <c r="H690" s="136">
        <f>VLOOKUP(G690,'CP FACTORS'!$A$3:$B$38, 2, FALSE)</f>
        <v>9.4741810000000004E-4</v>
      </c>
      <c r="I690" s="1278">
        <f t="shared" si="100"/>
        <v>0.25082900000000002</v>
      </c>
      <c r="J690" s="830">
        <f t="shared" si="101"/>
        <v>2</v>
      </c>
      <c r="K690" s="1845">
        <f>$G$757</f>
        <v>81</v>
      </c>
      <c r="L690" s="831" t="s">
        <v>184</v>
      </c>
      <c r="M690" s="756"/>
      <c r="N690" s="756"/>
      <c r="O690" s="756"/>
      <c r="P690" s="756"/>
      <c r="Q690" s="756"/>
      <c r="R690" s="1214"/>
      <c r="S690" s="756"/>
      <c r="T690" s="756"/>
      <c r="U690" s="756"/>
      <c r="V690" s="141" t="str">
        <f t="shared" si="102"/>
        <v>kWh
Annual Savings</v>
      </c>
      <c r="W690" s="832"/>
      <c r="X690" s="124"/>
      <c r="Y690" s="322">
        <v>264.75</v>
      </c>
      <c r="Z690" s="49">
        <v>264.75</v>
      </c>
      <c r="AA690" s="49">
        <v>264.75</v>
      </c>
      <c r="AB690" s="49">
        <v>264.75</v>
      </c>
      <c r="AC690" s="1324">
        <f t="shared" si="103"/>
        <v>264.75</v>
      </c>
      <c r="AD690" s="1324">
        <v>264.75</v>
      </c>
      <c r="AE690" s="141"/>
      <c r="AF690" s="141"/>
      <c r="AG690" s="141"/>
      <c r="AH690" s="144"/>
      <c r="AK690" s="732"/>
      <c r="BB690" s="40">
        <f>(BD690+BD691)/(BE690+BE691)</f>
        <v>0.7600142361783524</v>
      </c>
      <c r="BC690" s="755" t="str">
        <f>CONCATENATE(G690," ",J690," Year EUL")</f>
        <v>Cooling RES 2 Year EUL</v>
      </c>
      <c r="BD690" s="98">
        <f>(INDEX('Avoided Cost Benefits'!$E$4:$E$859,MATCH(BC690,'Avoided Cost Benefits'!$A$4:$A$859,0)))*F690</f>
        <v>51.737684789413954</v>
      </c>
      <c r="BE690" s="1581">
        <f>K690/(1.0595^(2020-2019))</f>
        <v>76.451156205757428</v>
      </c>
    </row>
    <row r="691" spans="1:57" s="741" customFormat="1" x14ac:dyDescent="0.35">
      <c r="A691" s="756"/>
      <c r="B691" s="1328"/>
      <c r="C691" s="831" t="s">
        <v>1800</v>
      </c>
      <c r="D691" s="395" t="s">
        <v>1519</v>
      </c>
      <c r="E691" s="2349" t="str">
        <f>CONCATENATE(E689,"_CompE")</f>
        <v>HP tune-up / Refrigerant charge MF_CompE</v>
      </c>
      <c r="F691" s="1324">
        <f>ROUND(($G$742*$G$744*(1/$G$746-1/$G$751)/$G$740),2)</f>
        <v>115.29</v>
      </c>
      <c r="G691" s="1279" t="s">
        <v>258</v>
      </c>
      <c r="H691" s="136">
        <f>VLOOKUP(G691,'CP FACTORS'!$A$3:$B$38, 2, FALSE)</f>
        <v>0</v>
      </c>
      <c r="I691" s="1278">
        <f t="shared" si="100"/>
        <v>0</v>
      </c>
      <c r="J691" s="830">
        <f t="shared" si="101"/>
        <v>2</v>
      </c>
      <c r="K691" s="1845">
        <v>0</v>
      </c>
      <c r="L691" s="395" t="s">
        <v>184</v>
      </c>
      <c r="M691" s="756"/>
      <c r="N691" s="756"/>
      <c r="O691" s="756"/>
      <c r="P691" s="756"/>
      <c r="Q691" s="756"/>
      <c r="R691" s="1214"/>
      <c r="S691" s="756"/>
      <c r="T691" s="756"/>
      <c r="U691" s="756"/>
      <c r="V691" s="141" t="str">
        <f t="shared" si="102"/>
        <v>kWh
Annual Savings</v>
      </c>
      <c r="W691" s="832"/>
      <c r="X691" s="124"/>
      <c r="Y691" s="322">
        <v>115.29</v>
      </c>
      <c r="Z691" s="49">
        <v>115.29</v>
      </c>
      <c r="AA691" s="49">
        <v>115.29</v>
      </c>
      <c r="AB691" s="49">
        <v>115.29</v>
      </c>
      <c r="AC691" s="1324">
        <f t="shared" si="103"/>
        <v>115.29</v>
      </c>
      <c r="AD691" s="1324">
        <v>115.29</v>
      </c>
      <c r="AE691" s="141"/>
      <c r="AF691" s="141"/>
      <c r="AG691" s="141"/>
      <c r="AH691" s="144"/>
      <c r="AK691" s="732"/>
      <c r="BB691" s="819"/>
      <c r="BC691" s="833" t="str">
        <f>CONCATENATE(G691," ",J691," Year EUL")</f>
        <v>Heating RES 2 Year EUL</v>
      </c>
      <c r="BD691" s="98">
        <f>(INDEX('Avoided Cost Benefits'!$E$4:$E$859,MATCH(BC691,'Avoided Cost Benefits'!$A$4:$A$859,0)))*F691</f>
        <v>6.3662822992566825</v>
      </c>
      <c r="BE691" s="1581">
        <f>K691/(1.0595^(2020-2019))</f>
        <v>0</v>
      </c>
    </row>
    <row r="692" spans="1:57" s="741" customFormat="1" x14ac:dyDescent="0.35">
      <c r="A692" s="756"/>
      <c r="B692" s="1328"/>
      <c r="C692" s="831" t="s">
        <v>1801</v>
      </c>
      <c r="D692" s="1279" t="s">
        <v>1517</v>
      </c>
      <c r="E692" s="503" t="s">
        <v>1802</v>
      </c>
      <c r="F692" s="1324">
        <f>ROUND((G726*G728*(1/G732-1/G737)/G740),2)</f>
        <v>97.83</v>
      </c>
      <c r="G692" s="1279" t="s">
        <v>257</v>
      </c>
      <c r="H692" s="136">
        <f>VLOOKUP(G692,'CP FACTORS'!$A$3:$B$38, 2, FALSE)</f>
        <v>9.4741810000000004E-4</v>
      </c>
      <c r="I692" s="1278">
        <f t="shared" si="100"/>
        <v>9.2686000000000004E-2</v>
      </c>
      <c r="J692" s="830">
        <f t="shared" si="101"/>
        <v>2</v>
      </c>
      <c r="K692" s="1845">
        <f>$G$758</f>
        <v>63</v>
      </c>
      <c r="L692" s="831" t="s">
        <v>184</v>
      </c>
      <c r="M692" s="756"/>
      <c r="N692" s="756"/>
      <c r="O692" s="756"/>
      <c r="P692" s="756"/>
      <c r="Q692" s="756"/>
      <c r="R692" s="1214"/>
      <c r="S692" s="756"/>
      <c r="T692" s="756"/>
      <c r="U692" s="756"/>
      <c r="V692" s="141" t="str">
        <f t="shared" si="102"/>
        <v>kWh
Annual Savings</v>
      </c>
      <c r="W692" s="832">
        <v>100.82956618593137</v>
      </c>
      <c r="X692" s="124">
        <v>100.82956618593137</v>
      </c>
      <c r="Y692" s="49">
        <v>100.83</v>
      </c>
      <c r="Z692" s="49">
        <v>100.83</v>
      </c>
      <c r="AA692" s="49">
        <v>100.83</v>
      </c>
      <c r="AB692" s="49">
        <v>100.83</v>
      </c>
      <c r="AC692" s="1324">
        <f t="shared" si="103"/>
        <v>97.83</v>
      </c>
      <c r="AD692" s="1324">
        <v>97.83</v>
      </c>
      <c r="AE692" s="141"/>
      <c r="AF692" s="141"/>
      <c r="AG692" s="141"/>
      <c r="AH692" s="144"/>
      <c r="AK692" s="732"/>
      <c r="BB692" s="40">
        <f>(BD692+BD693)/(BE692+BE693)</f>
        <v>0.39370106086059425</v>
      </c>
      <c r="BC692" s="755" t="str">
        <f t="shared" si="104"/>
        <v>Cooling RES 2 Year EUL</v>
      </c>
      <c r="BD692" s="98">
        <f>(INDEX('Avoided Cost Benefits'!$E$4:$E$859,MATCH(BC692,'Avoided Cost Benefits'!$A$4:$A$859,0)))*F692</f>
        <v>19.118027206603841</v>
      </c>
      <c r="BE692" s="1581">
        <f t="shared" si="105"/>
        <v>59.462010382255777</v>
      </c>
    </row>
    <row r="693" spans="1:57" s="741" customFormat="1" x14ac:dyDescent="0.35">
      <c r="A693" s="756"/>
      <c r="B693" s="1328"/>
      <c r="C693" s="831" t="s">
        <v>1801</v>
      </c>
      <c r="D693" s="1279" t="s">
        <v>1517</v>
      </c>
      <c r="E693" s="1580" t="s">
        <v>1802</v>
      </c>
      <c r="F693" s="1324">
        <f>ROUND((G741*G743*(1/G747-1/G752)/G740),2)</f>
        <v>77.73</v>
      </c>
      <c r="G693" s="1279" t="s">
        <v>258</v>
      </c>
      <c r="H693" s="136">
        <f>VLOOKUP(G693,'CP FACTORS'!$A$3:$B$38, 2, FALSE)</f>
        <v>0</v>
      </c>
      <c r="I693" s="1278">
        <f t="shared" si="100"/>
        <v>0</v>
      </c>
      <c r="J693" s="830">
        <f t="shared" si="101"/>
        <v>2</v>
      </c>
      <c r="K693" s="1845">
        <v>0</v>
      </c>
      <c r="L693" s="395" t="s">
        <v>184</v>
      </c>
      <c r="M693" s="756"/>
      <c r="N693" s="756"/>
      <c r="O693" s="756"/>
      <c r="P693" s="756"/>
      <c r="Q693" s="756"/>
      <c r="R693" s="1214"/>
      <c r="S693" s="756"/>
      <c r="T693" s="756"/>
      <c r="U693" s="756"/>
      <c r="V693" s="141" t="str">
        <f t="shared" si="102"/>
        <v>kWh
Annual Savings</v>
      </c>
      <c r="W693" s="832">
        <v>107.57620062894772</v>
      </c>
      <c r="X693" s="124">
        <v>107.57620062894772</v>
      </c>
      <c r="Y693" s="322">
        <v>80.11</v>
      </c>
      <c r="Z693" s="49">
        <v>80.11</v>
      </c>
      <c r="AA693" s="49">
        <v>80.11</v>
      </c>
      <c r="AB693" s="49">
        <v>80.11</v>
      </c>
      <c r="AC693" s="1324">
        <f t="shared" si="103"/>
        <v>77.73</v>
      </c>
      <c r="AD693" s="1324">
        <v>77.73</v>
      </c>
      <c r="AE693" s="141"/>
      <c r="AF693" s="141"/>
      <c r="AG693" s="141"/>
      <c r="AH693" s="144"/>
      <c r="AK693" s="732"/>
      <c r="BB693" s="819"/>
      <c r="BC693" s="833" t="str">
        <f t="shared" si="104"/>
        <v>Heating RES 2 Year EUL</v>
      </c>
      <c r="BD693" s="98">
        <f>(INDEX('Avoided Cost Benefits'!$E$4:$E$859,MATCH(BC693,'Avoided Cost Benefits'!$A$4:$A$859,0)))*F693</f>
        <v>4.292229361793928</v>
      </c>
      <c r="BE693" s="1581">
        <f t="shared" si="105"/>
        <v>0</v>
      </c>
    </row>
    <row r="694" spans="1:57" s="741" customFormat="1" x14ac:dyDescent="0.35">
      <c r="A694" s="756"/>
      <c r="B694" s="1328"/>
      <c r="C694" s="831" t="s">
        <v>1803</v>
      </c>
      <c r="D694" s="1279" t="s">
        <v>1518</v>
      </c>
      <c r="E694" s="503" t="s">
        <v>1804</v>
      </c>
      <c r="F694" s="1324">
        <f>ROUND(($G$726*$G$729*(1/$G$732-1/$G$737)/$G$740),2)</f>
        <v>60.25</v>
      </c>
      <c r="G694" s="1279" t="s">
        <v>257</v>
      </c>
      <c r="H694" s="136">
        <f>VLOOKUP(G694,'CP FACTORS'!$A$3:$B$38, 2, FALSE)</f>
        <v>9.4741810000000004E-4</v>
      </c>
      <c r="I694" s="1278">
        <f t="shared" si="100"/>
        <v>5.7082000000000001E-2</v>
      </c>
      <c r="J694" s="830">
        <f t="shared" si="101"/>
        <v>2</v>
      </c>
      <c r="K694" s="1845">
        <f>$G$758</f>
        <v>63</v>
      </c>
      <c r="L694" s="831" t="s">
        <v>184</v>
      </c>
      <c r="M694" s="756"/>
      <c r="N694" s="756"/>
      <c r="O694" s="756"/>
      <c r="P694" s="756"/>
      <c r="Q694" s="756"/>
      <c r="R694" s="1214"/>
      <c r="S694" s="756"/>
      <c r="T694" s="756"/>
      <c r="U694" s="756"/>
      <c r="V694" s="141" t="str">
        <f t="shared" si="102"/>
        <v>kWh
Annual Savings</v>
      </c>
      <c r="W694" s="832">
        <v>65.539218020855401</v>
      </c>
      <c r="X694" s="124">
        <v>65.539218020855401</v>
      </c>
      <c r="Y694" s="322">
        <v>60.25</v>
      </c>
      <c r="Z694" s="49">
        <v>60.25</v>
      </c>
      <c r="AA694" s="49">
        <v>60.25</v>
      </c>
      <c r="AB694" s="49">
        <v>60.25</v>
      </c>
      <c r="AC694" s="1324">
        <f t="shared" si="103"/>
        <v>60.25</v>
      </c>
      <c r="AD694" s="1324">
        <v>60.25</v>
      </c>
      <c r="AE694" s="141"/>
      <c r="AF694" s="141"/>
      <c r="AG694" s="141"/>
      <c r="AH694" s="144"/>
      <c r="AK694" s="732"/>
      <c r="BB694" s="40">
        <f>(BD694+BD695)/(BE694+BE695)</f>
        <v>0.24246536229455762</v>
      </c>
      <c r="BC694" s="755" t="str">
        <f t="shared" si="104"/>
        <v>Cooling RES 2 Year EUL</v>
      </c>
      <c r="BD694" s="98">
        <f>(INDEX('Avoided Cost Benefits'!$E$4:$E$859,MATCH(BC694,'Avoided Cost Benefits'!$A$4:$A$859,0)))*F694</f>
        <v>11.774109569640002</v>
      </c>
      <c r="BE694" s="1581">
        <f t="shared" si="105"/>
        <v>59.462010382255777</v>
      </c>
    </row>
    <row r="695" spans="1:57" s="741" customFormat="1" x14ac:dyDescent="0.35">
      <c r="A695" s="756"/>
      <c r="B695" s="1328"/>
      <c r="C695" s="831" t="s">
        <v>1803</v>
      </c>
      <c r="D695" s="1279" t="s">
        <v>1518</v>
      </c>
      <c r="E695" s="1580" t="s">
        <v>1804</v>
      </c>
      <c r="F695" s="1324">
        <f>ROUND(($G$741*$G$744*(1/$G$747-1/$G$752)/$G$740),2)</f>
        <v>47.87</v>
      </c>
      <c r="G695" s="1279" t="s">
        <v>258</v>
      </c>
      <c r="H695" s="136">
        <f>VLOOKUP(G695,'CP FACTORS'!$A$3:$B$38, 2, FALSE)</f>
        <v>0</v>
      </c>
      <c r="I695" s="1278">
        <f t="shared" si="100"/>
        <v>0</v>
      </c>
      <c r="J695" s="830">
        <f t="shared" si="101"/>
        <v>2</v>
      </c>
      <c r="K695" s="1845">
        <v>0</v>
      </c>
      <c r="L695" s="395" t="s">
        <v>184</v>
      </c>
      <c r="M695" s="756"/>
      <c r="N695" s="756"/>
      <c r="O695" s="756"/>
      <c r="P695" s="756"/>
      <c r="Q695" s="756"/>
      <c r="R695" s="1214"/>
      <c r="S695" s="756"/>
      <c r="T695" s="756"/>
      <c r="U695" s="756"/>
      <c r="V695" s="141" t="str">
        <f t="shared" si="102"/>
        <v>kWh
Annual Savings</v>
      </c>
      <c r="W695" s="832">
        <v>69.924530408816025</v>
      </c>
      <c r="X695" s="124">
        <v>69.924530408816025</v>
      </c>
      <c r="Y695" s="322">
        <v>47.87</v>
      </c>
      <c r="Z695" s="49">
        <v>47.87</v>
      </c>
      <c r="AA695" s="49">
        <v>47.87</v>
      </c>
      <c r="AB695" s="49">
        <v>47.87</v>
      </c>
      <c r="AC695" s="1324">
        <f t="shared" si="103"/>
        <v>47.87</v>
      </c>
      <c r="AD695" s="1324">
        <v>47.87</v>
      </c>
      <c r="AE695" s="141"/>
      <c r="AF695" s="141"/>
      <c r="AG695" s="141"/>
      <c r="AH695" s="144"/>
      <c r="AK695" s="732"/>
      <c r="BB695" s="819"/>
      <c r="BC695" s="833" t="str">
        <f t="shared" si="104"/>
        <v>Heating RES 2 Year EUL</v>
      </c>
      <c r="BD695" s="98">
        <f>(INDEX('Avoided Cost Benefits'!$E$4:$E$859,MATCH(BC695,'Avoided Cost Benefits'!$A$4:$A$859,0)))*F695</f>
        <v>2.6433683204563914</v>
      </c>
      <c r="BE695" s="1581">
        <f t="shared" si="105"/>
        <v>0</v>
      </c>
    </row>
    <row r="696" spans="1:57" s="741" customFormat="1" x14ac:dyDescent="0.35">
      <c r="A696" s="756"/>
      <c r="B696" s="1328"/>
      <c r="C696" s="831" t="s">
        <v>1805</v>
      </c>
      <c r="D696" s="395" t="s">
        <v>1519</v>
      </c>
      <c r="E696" s="2348" t="str">
        <f>CONCATENATE(E694,"_CompE")</f>
        <v>HP tune-up / Indoor Coil (Evaporator) Cleaning MF_CompE</v>
      </c>
      <c r="F696" s="1324">
        <f>ROUND(($G$727*$G$729*(1/$G$732-1/$G$737)/$G$740),2)</f>
        <v>43.82</v>
      </c>
      <c r="G696" s="1279" t="s">
        <v>257</v>
      </c>
      <c r="H696" s="136">
        <f>VLOOKUP(G696,'CP FACTORS'!$A$3:$B$38, 2, FALSE)</f>
        <v>9.4741810000000004E-4</v>
      </c>
      <c r="I696" s="1278">
        <f t="shared" si="100"/>
        <v>4.1515999999999997E-2</v>
      </c>
      <c r="J696" s="830">
        <f t="shared" si="101"/>
        <v>2</v>
      </c>
      <c r="K696" s="1845">
        <f>$G$758</f>
        <v>63</v>
      </c>
      <c r="L696" s="831" t="s">
        <v>184</v>
      </c>
      <c r="M696" s="756"/>
      <c r="N696" s="756"/>
      <c r="O696" s="756"/>
      <c r="P696" s="756"/>
      <c r="Q696" s="756"/>
      <c r="R696" s="1214"/>
      <c r="S696" s="756"/>
      <c r="T696" s="756"/>
      <c r="U696" s="756"/>
      <c r="V696" s="141" t="str">
        <f t="shared" si="102"/>
        <v>kWh
Annual Savings</v>
      </c>
      <c r="W696" s="832"/>
      <c r="X696" s="124"/>
      <c r="Y696" s="322">
        <v>43.82</v>
      </c>
      <c r="Z696" s="49">
        <v>43.82</v>
      </c>
      <c r="AA696" s="49">
        <v>43.82</v>
      </c>
      <c r="AB696" s="49">
        <v>43.82</v>
      </c>
      <c r="AC696" s="1324">
        <f t="shared" si="103"/>
        <v>43.82</v>
      </c>
      <c r="AD696" s="1324">
        <v>43.82</v>
      </c>
      <c r="AE696" s="141"/>
      <c r="AF696" s="141"/>
      <c r="AG696" s="141"/>
      <c r="AH696" s="144"/>
      <c r="AK696" s="732"/>
      <c r="BB696" s="40">
        <f>(BD696+BD697)/(BE696+BE697)</f>
        <v>0.15916935819513423</v>
      </c>
      <c r="BC696" s="755" t="str">
        <f>CONCATENATE(G696," ",J696," Year EUL")</f>
        <v>Cooling RES 2 Year EUL</v>
      </c>
      <c r="BD696" s="98">
        <f>(INDEX('Avoided Cost Benefits'!$E$4:$E$859,MATCH(BC696,'Avoided Cost Benefits'!$A$4:$A$859,0)))*F696</f>
        <v>8.5633440886576757</v>
      </c>
      <c r="BE696" s="1581">
        <f>K696/(1.0595^(2020-2019))</f>
        <v>59.462010382255777</v>
      </c>
    </row>
    <row r="697" spans="1:57" s="741" customFormat="1" x14ac:dyDescent="0.35">
      <c r="A697" s="756"/>
      <c r="B697" s="1328"/>
      <c r="C697" s="831" t="s">
        <v>1805</v>
      </c>
      <c r="D697" s="395" t="s">
        <v>1519</v>
      </c>
      <c r="E697" s="2349" t="str">
        <f>CONCATENATE(E695,"_CompE")</f>
        <v>HP tune-up / Indoor Coil (Evaporator) Cleaning MF_CompE</v>
      </c>
      <c r="F697" s="1324">
        <f>ROUND(($G$742*$G$744*(1/$G$747-1/$G$752)/$G$740),2)</f>
        <v>16.32</v>
      </c>
      <c r="G697" s="1279" t="s">
        <v>258</v>
      </c>
      <c r="H697" s="136">
        <f>VLOOKUP(G697,'CP FACTORS'!$A$3:$B$38, 2, FALSE)</f>
        <v>0</v>
      </c>
      <c r="I697" s="1278">
        <f t="shared" si="100"/>
        <v>0</v>
      </c>
      <c r="J697" s="830">
        <f t="shared" si="101"/>
        <v>2</v>
      </c>
      <c r="K697" s="1845">
        <v>0</v>
      </c>
      <c r="L697" s="395" t="s">
        <v>184</v>
      </c>
      <c r="M697" s="756"/>
      <c r="N697" s="756"/>
      <c r="O697" s="756"/>
      <c r="P697" s="756"/>
      <c r="Q697" s="756"/>
      <c r="R697" s="1214"/>
      <c r="S697" s="756"/>
      <c r="T697" s="756"/>
      <c r="U697" s="756"/>
      <c r="V697" s="141" t="str">
        <f t="shared" si="102"/>
        <v>kWh
Annual Savings</v>
      </c>
      <c r="W697" s="832"/>
      <c r="X697" s="124"/>
      <c r="Y697" s="322">
        <v>16.32</v>
      </c>
      <c r="Z697" s="49">
        <v>16.32</v>
      </c>
      <c r="AA697" s="49">
        <v>16.32</v>
      </c>
      <c r="AB697" s="49">
        <v>16.32</v>
      </c>
      <c r="AC697" s="1324">
        <f t="shared" si="103"/>
        <v>16.32</v>
      </c>
      <c r="AD697" s="1324">
        <v>16.32</v>
      </c>
      <c r="AE697" s="141"/>
      <c r="AF697" s="141"/>
      <c r="AG697" s="141"/>
      <c r="AH697" s="144"/>
      <c r="AK697" s="732"/>
      <c r="BB697" s="819"/>
      <c r="BC697" s="833" t="str">
        <f>CONCATENATE(G697," ",J697," Year EUL")</f>
        <v>Heating RES 2 Year EUL</v>
      </c>
      <c r="BD697" s="98">
        <f>(INDEX('Avoided Cost Benefits'!$E$4:$E$859,MATCH(BC697,'Avoided Cost Benefits'!$A$4:$A$859,0)))*F697</f>
        <v>0.90118594087838544</v>
      </c>
      <c r="BE697" s="1581">
        <f>K697/(1.0595^(2020-2019))</f>
        <v>0</v>
      </c>
    </row>
    <row r="698" spans="1:57" s="741" customFormat="1" x14ac:dyDescent="0.35">
      <c r="A698" s="756"/>
      <c r="B698" s="1328"/>
      <c r="C698" s="831" t="s">
        <v>1806</v>
      </c>
      <c r="D698" s="1279" t="s">
        <v>1517</v>
      </c>
      <c r="E698" s="503" t="s">
        <v>1807</v>
      </c>
      <c r="F698" s="1324">
        <f>ROUND((G726*G728*(1/G733-1/G738)/G740),2)</f>
        <v>195.66</v>
      </c>
      <c r="G698" s="1279" t="s">
        <v>257</v>
      </c>
      <c r="H698" s="136">
        <f>VLOOKUP(G698,'CP FACTORS'!$A$3:$B$38, 2, FALSE)</f>
        <v>9.4741810000000004E-4</v>
      </c>
      <c r="I698" s="1278">
        <f t="shared" si="100"/>
        <v>0.18537200000000001</v>
      </c>
      <c r="J698" s="830">
        <f t="shared" si="101"/>
        <v>2</v>
      </c>
      <c r="K698" s="1845">
        <f>$G$759</f>
        <v>31</v>
      </c>
      <c r="L698" s="831" t="s">
        <v>184</v>
      </c>
      <c r="M698" s="756"/>
      <c r="N698" s="756"/>
      <c r="O698" s="756"/>
      <c r="P698" s="756"/>
      <c r="Q698" s="756"/>
      <c r="R698" s="1214"/>
      <c r="S698" s="756"/>
      <c r="T698" s="756"/>
      <c r="U698" s="756"/>
      <c r="V698" s="141" t="str">
        <f t="shared" si="102"/>
        <v>kWh
Annual Savings</v>
      </c>
      <c r="W698" s="832">
        <v>201.65421409635425</v>
      </c>
      <c r="X698" s="124">
        <v>201.65421409635425</v>
      </c>
      <c r="Y698" s="49">
        <v>201.65</v>
      </c>
      <c r="Z698" s="49">
        <v>201.65</v>
      </c>
      <c r="AA698" s="49">
        <v>201.65</v>
      </c>
      <c r="AB698" s="49">
        <v>201.65</v>
      </c>
      <c r="AC698" s="1324">
        <f t="shared" si="103"/>
        <v>195.66</v>
      </c>
      <c r="AD698" s="1324">
        <v>195.66</v>
      </c>
      <c r="AE698" s="141"/>
      <c r="AF698" s="141"/>
      <c r="AG698" s="141"/>
      <c r="AH698" s="144"/>
      <c r="AK698" s="732"/>
      <c r="BB698" s="40">
        <f>(BD698+BD699)/(BE698+BE699)</f>
        <v>1.608847998218748</v>
      </c>
      <c r="BC698" s="755" t="str">
        <f t="shared" si="104"/>
        <v>Cooling RES 2 Year EUL</v>
      </c>
      <c r="BD698" s="98">
        <f>(INDEX('Avoided Cost Benefits'!$E$4:$E$859,MATCH(BC698,'Avoided Cost Benefits'!$A$4:$A$859,0)))*F698</f>
        <v>38.236054413207683</v>
      </c>
      <c r="BE698" s="1581">
        <f t="shared" si="105"/>
        <v>29.259084473808397</v>
      </c>
    </row>
    <row r="699" spans="1:57" s="741" customFormat="1" x14ac:dyDescent="0.35">
      <c r="A699" s="756"/>
      <c r="B699" s="1328"/>
      <c r="C699" s="831" t="s">
        <v>1806</v>
      </c>
      <c r="D699" s="1279" t="s">
        <v>1517</v>
      </c>
      <c r="E699" s="1580" t="s">
        <v>1807</v>
      </c>
      <c r="F699" s="1324">
        <f>ROUND((G741*G743*(1/G748-1/G753)/G740),2)</f>
        <v>160.04</v>
      </c>
      <c r="G699" s="1279" t="s">
        <v>258</v>
      </c>
      <c r="H699" s="136">
        <f>VLOOKUP(G699,'CP FACTORS'!$A$3:$B$38, 2, FALSE)</f>
        <v>0</v>
      </c>
      <c r="I699" s="1278">
        <f t="shared" si="100"/>
        <v>0</v>
      </c>
      <c r="J699" s="830">
        <f t="shared" si="101"/>
        <v>2</v>
      </c>
      <c r="K699" s="1845">
        <v>0</v>
      </c>
      <c r="L699" s="395" t="s">
        <v>184</v>
      </c>
      <c r="M699" s="756"/>
      <c r="N699" s="756"/>
      <c r="O699" s="756"/>
      <c r="P699" s="756"/>
      <c r="Q699" s="756"/>
      <c r="R699" s="1214"/>
      <c r="S699" s="756"/>
      <c r="T699" s="756"/>
      <c r="U699" s="756"/>
      <c r="V699" s="141" t="str">
        <f t="shared" si="102"/>
        <v>kWh
Annual Savings</v>
      </c>
      <c r="W699" s="832">
        <v>221.50760781464643</v>
      </c>
      <c r="X699" s="124">
        <v>221.50760781464643</v>
      </c>
      <c r="Y699" s="322">
        <v>164.95</v>
      </c>
      <c r="Z699" s="49">
        <v>164.95</v>
      </c>
      <c r="AA699" s="49">
        <v>164.95</v>
      </c>
      <c r="AB699" s="49">
        <v>164.95</v>
      </c>
      <c r="AC699" s="1324">
        <f t="shared" si="103"/>
        <v>160.04</v>
      </c>
      <c r="AD699" s="1324">
        <v>160.04</v>
      </c>
      <c r="AE699" s="141"/>
      <c r="AF699" s="141"/>
      <c r="AG699" s="141"/>
      <c r="AH699" s="144"/>
      <c r="AK699" s="732"/>
      <c r="BB699" s="819"/>
      <c r="BC699" s="833" t="str">
        <f t="shared" si="104"/>
        <v>Heating RES 2 Year EUL</v>
      </c>
      <c r="BD699" s="98">
        <f>(INDEX('Avoided Cost Benefits'!$E$4:$E$859,MATCH(BC699,'Avoided Cost Benefits'!$A$4:$A$859,0)))*F699</f>
        <v>8.8373650721922061</v>
      </c>
      <c r="BE699" s="1581">
        <f t="shared" si="105"/>
        <v>0</v>
      </c>
    </row>
    <row r="700" spans="1:57" s="741" customFormat="1" x14ac:dyDescent="0.35">
      <c r="A700" s="756"/>
      <c r="B700" s="1328"/>
      <c r="C700" s="831" t="s">
        <v>1808</v>
      </c>
      <c r="D700" s="1279" t="s">
        <v>1518</v>
      </c>
      <c r="E700" s="503" t="s">
        <v>1809</v>
      </c>
      <c r="F700" s="1324">
        <f>ROUND(($G$726*$G$729*(1/$G$733-1/$G$738)/$G$740),2)</f>
        <v>120.5</v>
      </c>
      <c r="G700" s="1279" t="s">
        <v>257</v>
      </c>
      <c r="H700" s="136">
        <f>VLOOKUP(G700,'CP FACTORS'!$A$3:$B$38, 2, FALSE)</f>
        <v>9.4741810000000004E-4</v>
      </c>
      <c r="I700" s="1278">
        <f t="shared" si="100"/>
        <v>0.114164</v>
      </c>
      <c r="J700" s="830">
        <f t="shared" si="101"/>
        <v>2</v>
      </c>
      <c r="K700" s="1845">
        <f>$G$759</f>
        <v>31</v>
      </c>
      <c r="L700" s="831" t="s">
        <v>184</v>
      </c>
      <c r="M700" s="756"/>
      <c r="N700" s="756"/>
      <c r="O700" s="756"/>
      <c r="P700" s="756"/>
      <c r="Q700" s="756"/>
      <c r="R700" s="1214"/>
      <c r="S700" s="756"/>
      <c r="T700" s="756"/>
      <c r="U700" s="756"/>
      <c r="V700" s="141" t="str">
        <f t="shared" si="102"/>
        <v>kWh
Annual Savings</v>
      </c>
      <c r="W700" s="832">
        <v>131.07523916263028</v>
      </c>
      <c r="X700" s="124">
        <v>131.07523916263028</v>
      </c>
      <c r="Y700" s="322">
        <v>120.5</v>
      </c>
      <c r="Z700" s="49">
        <v>120.5</v>
      </c>
      <c r="AA700" s="49">
        <v>120.5</v>
      </c>
      <c r="AB700" s="49">
        <v>120.5</v>
      </c>
      <c r="AC700" s="1324">
        <f t="shared" si="103"/>
        <v>120.5</v>
      </c>
      <c r="AD700" s="1324">
        <v>120.5</v>
      </c>
      <c r="AE700" s="141"/>
      <c r="AF700" s="141"/>
      <c r="AG700" s="141"/>
      <c r="AH700" s="144"/>
      <c r="AK700" s="732"/>
      <c r="BB700" s="40">
        <f>(BD700+BD701)/(BE700+BE701)</f>
        <v>0.9908453435343243</v>
      </c>
      <c r="BC700" s="755" t="str">
        <f t="shared" si="104"/>
        <v>Cooling RES 2 Year EUL</v>
      </c>
      <c r="BD700" s="98">
        <f>(INDEX('Avoided Cost Benefits'!$E$4:$E$859,MATCH(BC700,'Avoided Cost Benefits'!$A$4:$A$859,0)))*F700</f>
        <v>23.548219139280004</v>
      </c>
      <c r="BE700" s="1581">
        <f t="shared" si="105"/>
        <v>29.259084473808397</v>
      </c>
    </row>
    <row r="701" spans="1:57" s="741" customFormat="1" x14ac:dyDescent="0.35">
      <c r="A701" s="756"/>
      <c r="B701" s="1328"/>
      <c r="C701" s="831" t="s">
        <v>1808</v>
      </c>
      <c r="D701" s="1279" t="s">
        <v>1518</v>
      </c>
      <c r="E701" s="1580" t="s">
        <v>1809</v>
      </c>
      <c r="F701" s="1324">
        <f>ROUND(($G$741*$G$744*(1/$G$748-1/$G$753)/$G$740),2)</f>
        <v>98.57</v>
      </c>
      <c r="G701" s="1279" t="s">
        <v>258</v>
      </c>
      <c r="H701" s="136">
        <f>VLOOKUP(G701,'CP FACTORS'!$A$3:$B$38, 2, FALSE)</f>
        <v>0</v>
      </c>
      <c r="I701" s="1278">
        <f t="shared" si="100"/>
        <v>0</v>
      </c>
      <c r="J701" s="830">
        <f t="shared" si="101"/>
        <v>2</v>
      </c>
      <c r="K701" s="1845">
        <v>0</v>
      </c>
      <c r="L701" s="395" t="s">
        <v>184</v>
      </c>
      <c r="M701" s="756"/>
      <c r="N701" s="756"/>
      <c r="O701" s="756"/>
      <c r="P701" s="756"/>
      <c r="Q701" s="756"/>
      <c r="R701" s="1214"/>
      <c r="S701" s="756"/>
      <c r="T701" s="756"/>
      <c r="U701" s="756"/>
      <c r="V701" s="141" t="str">
        <f t="shared" si="102"/>
        <v>kWh
Annual Savings</v>
      </c>
      <c r="W701" s="835">
        <v>143.97994507952021</v>
      </c>
      <c r="X701" s="124">
        <v>143.97994507952021</v>
      </c>
      <c r="Y701" s="322">
        <v>98.57</v>
      </c>
      <c r="Z701" s="49">
        <v>98.57</v>
      </c>
      <c r="AA701" s="49">
        <v>98.57</v>
      </c>
      <c r="AB701" s="49">
        <v>98.57</v>
      </c>
      <c r="AC701" s="1324">
        <f t="shared" si="103"/>
        <v>98.57</v>
      </c>
      <c r="AD701" s="1324">
        <v>98.57</v>
      </c>
      <c r="AE701" s="141"/>
      <c r="AF701" s="141"/>
      <c r="AG701" s="141"/>
      <c r="AH701" s="144"/>
      <c r="AK701" s="732"/>
      <c r="BB701" s="819"/>
      <c r="BC701" s="833" t="str">
        <f t="shared" si="104"/>
        <v>Heating RES 2 Year EUL</v>
      </c>
      <c r="BD701" s="98">
        <f>(INDEX('Avoided Cost Benefits'!$E$4:$E$859,MATCH(BC701,'Avoided Cost Benefits'!$A$4:$A$859,0)))*F701</f>
        <v>5.4430084676704933</v>
      </c>
      <c r="BE701" s="1581">
        <f t="shared" si="105"/>
        <v>0</v>
      </c>
    </row>
    <row r="702" spans="1:57" s="741" customFormat="1" x14ac:dyDescent="0.35">
      <c r="A702" s="756"/>
      <c r="B702" s="1328"/>
      <c r="C702" s="2129" t="s">
        <v>1810</v>
      </c>
      <c r="D702" s="395" t="s">
        <v>1519</v>
      </c>
      <c r="E702" s="2348" t="str">
        <f>CONCATENATE(E700,"_CompE")</f>
        <v>HP tune-up / Outdoor Coil (Condenser) Cleaning MF_CompE</v>
      </c>
      <c r="F702" s="1324">
        <f>ROUND(($G$727*$G$729*(1/$G$733-1/$G$738)/$G$740),2)</f>
        <v>87.64</v>
      </c>
      <c r="G702" s="1279" t="s">
        <v>257</v>
      </c>
      <c r="H702" s="136">
        <f>VLOOKUP(G702,'CP FACTORS'!$A$3:$B$38, 2, FALSE)</f>
        <v>9.4741810000000004E-4</v>
      </c>
      <c r="I702" s="1278">
        <f t="shared" si="100"/>
        <v>8.3031999999999995E-2</v>
      </c>
      <c r="J702" s="830">
        <f t="shared" si="101"/>
        <v>2</v>
      </c>
      <c r="K702" s="1845">
        <f>$G$759</f>
        <v>31</v>
      </c>
      <c r="L702" s="831" t="s">
        <v>184</v>
      </c>
      <c r="M702" s="756"/>
      <c r="N702" s="756"/>
      <c r="O702" s="756"/>
      <c r="P702" s="756"/>
      <c r="Q702" s="756"/>
      <c r="R702" s="1214"/>
      <c r="S702" s="756"/>
      <c r="T702" s="756"/>
      <c r="U702" s="756"/>
      <c r="V702" s="141" t="str">
        <f t="shared" si="102"/>
        <v>kWh
Annual Savings</v>
      </c>
      <c r="W702" s="832"/>
      <c r="X702" s="124"/>
      <c r="Y702" s="322">
        <v>87.64</v>
      </c>
      <c r="Z702" s="49">
        <v>87.64</v>
      </c>
      <c r="AA702" s="49">
        <v>87.64</v>
      </c>
      <c r="AB702" s="49">
        <v>87.64</v>
      </c>
      <c r="AC702" s="1324">
        <f t="shared" si="103"/>
        <v>87.64</v>
      </c>
      <c r="AD702" s="1324">
        <v>87.64</v>
      </c>
      <c r="AE702" s="141"/>
      <c r="AF702" s="141"/>
      <c r="AG702" s="141"/>
      <c r="AH702" s="144"/>
      <c r="AK702" s="732"/>
      <c r="BB702" s="40">
        <f>(BD702+BD703)/(BE702+BE703)</f>
        <v>0.64875820067995871</v>
      </c>
      <c r="BC702" s="755" t="str">
        <f t="shared" ref="BC702:BC709" si="106">CONCATENATE(G702," ",J702," Year EUL")</f>
        <v>Cooling RES 2 Year EUL</v>
      </c>
      <c r="BD702" s="98">
        <f>(INDEX('Avoided Cost Benefits'!$E$4:$E$859,MATCH(BC702,'Avoided Cost Benefits'!$A$4:$A$859,0)))*F702</f>
        <v>17.126688177315351</v>
      </c>
      <c r="BE702" s="1581">
        <f t="shared" ref="BE702:BE709" si="107">K702/(1.0595^(2020-2019))</f>
        <v>29.259084473808397</v>
      </c>
    </row>
    <row r="703" spans="1:57" s="741" customFormat="1" x14ac:dyDescent="0.35">
      <c r="A703" s="756"/>
      <c r="B703" s="1328"/>
      <c r="C703" s="2129" t="s">
        <v>1810</v>
      </c>
      <c r="D703" s="395" t="s">
        <v>1519</v>
      </c>
      <c r="E703" s="3088" t="str">
        <f>CONCATENATE(E701,"_CompE")</f>
        <v>HP tune-up / Outdoor Coil (Condenser) Cleaning MF_CompE</v>
      </c>
      <c r="F703" s="1324">
        <f>ROUND(($G$742*$G$744*(1/$G$748-1/$G$753)/$G$740),2)</f>
        <v>33.6</v>
      </c>
      <c r="G703" s="1279" t="s">
        <v>258</v>
      </c>
      <c r="H703" s="136">
        <f>VLOOKUP(G703,'CP FACTORS'!$A$3:$B$38, 2, FALSE)</f>
        <v>0</v>
      </c>
      <c r="I703" s="1278">
        <f t="shared" si="100"/>
        <v>0</v>
      </c>
      <c r="J703" s="830">
        <f t="shared" si="101"/>
        <v>2</v>
      </c>
      <c r="K703" s="1845">
        <v>0</v>
      </c>
      <c r="L703" s="395" t="s">
        <v>184</v>
      </c>
      <c r="M703" s="756"/>
      <c r="N703" s="756"/>
      <c r="O703" s="756"/>
      <c r="P703" s="756"/>
      <c r="Q703" s="756"/>
      <c r="R703" s="1214"/>
      <c r="S703" s="756"/>
      <c r="T703" s="756"/>
      <c r="U703" s="756"/>
      <c r="V703" s="141" t="str">
        <f t="shared" si="102"/>
        <v>kWh
Annual Savings</v>
      </c>
      <c r="W703" s="835"/>
      <c r="X703" s="124"/>
      <c r="Y703" s="322">
        <v>33.6</v>
      </c>
      <c r="Z703" s="49">
        <v>33.6</v>
      </c>
      <c r="AA703" s="49">
        <v>33.6</v>
      </c>
      <c r="AB703" s="49">
        <v>33.6</v>
      </c>
      <c r="AC703" s="1324">
        <f t="shared" si="103"/>
        <v>33.6</v>
      </c>
      <c r="AD703" s="1324">
        <v>33.6</v>
      </c>
      <c r="AE703" s="141"/>
      <c r="AF703" s="141"/>
      <c r="AG703" s="141"/>
      <c r="AH703" s="144"/>
      <c r="AK703" s="732"/>
      <c r="BB703" s="821"/>
      <c r="BC703" s="833" t="str">
        <f t="shared" si="106"/>
        <v>Heating RES 2 Year EUL</v>
      </c>
      <c r="BD703" s="98">
        <f>(INDEX('Avoided Cost Benefits'!$E$4:$E$859,MATCH(BC703,'Avoided Cost Benefits'!$A$4:$A$859,0)))*F703</f>
        <v>1.8553828194554995</v>
      </c>
      <c r="BE703" s="1581">
        <f t="shared" si="107"/>
        <v>0</v>
      </c>
    </row>
    <row r="704" spans="1:57" s="829" customFormat="1" x14ac:dyDescent="0.35">
      <c r="A704" s="1382"/>
      <c r="B704" s="1382"/>
      <c r="C704" s="831" t="s">
        <v>4207</v>
      </c>
      <c r="D704" s="1279" t="s">
        <v>1517</v>
      </c>
      <c r="E704" s="503" t="s">
        <v>4177</v>
      </c>
      <c r="F704" s="1324">
        <f>ROUND((G728*G726*(1/G$734-1/G$739)/G$740),2)</f>
        <v>367.93</v>
      </c>
      <c r="G704" s="1279" t="s">
        <v>257</v>
      </c>
      <c r="H704" s="136">
        <f>VLOOKUP(G704,'CP FACTORS'!$A$3:$B$38, 2, FALSE)</f>
        <v>9.4741810000000004E-4</v>
      </c>
      <c r="I704" s="1278">
        <f t="shared" ref="I704" si="108">ROUND(F704*H704,6)</f>
        <v>0.348584</v>
      </c>
      <c r="J704" s="830">
        <f t="shared" si="101"/>
        <v>2</v>
      </c>
      <c r="K704" s="1845">
        <f>G$760</f>
        <v>185</v>
      </c>
      <c r="L704" s="831" t="s">
        <v>184</v>
      </c>
      <c r="M704" s="756"/>
      <c r="N704" s="756"/>
      <c r="O704" s="756"/>
      <c r="P704" s="756"/>
      <c r="Q704" s="756"/>
      <c r="R704" s="756"/>
      <c r="S704" s="1382"/>
      <c r="T704" s="1382"/>
      <c r="U704" s="1382"/>
      <c r="V704" s="141" t="str">
        <f t="shared" si="102"/>
        <v>kWh
Annual Savings</v>
      </c>
      <c r="W704" s="2472"/>
      <c r="X704" s="2473"/>
      <c r="Y704" s="2474"/>
      <c r="Z704" s="2475"/>
      <c r="AA704" s="2475"/>
      <c r="AB704" s="2475"/>
      <c r="AC704" s="1324">
        <f t="shared" si="103"/>
        <v>367.93</v>
      </c>
      <c r="AD704" s="1324">
        <v>367.93</v>
      </c>
      <c r="AE704" s="141"/>
      <c r="AF704" s="141"/>
      <c r="AG704" s="141"/>
      <c r="AH704" s="196"/>
      <c r="AI704" s="196"/>
      <c r="AK704" s="732"/>
      <c r="BB704" s="40">
        <f>(BD704+BD705)/(BE704+BE705)</f>
        <v>0.78498076324192501</v>
      </c>
      <c r="BC704" s="755" t="str">
        <f t="shared" si="106"/>
        <v>Cooling RES 2 Year EUL</v>
      </c>
      <c r="BD704" s="98">
        <f>(INDEX('Avoided Cost Benefits'!$E$4:$E$859,MATCH(BC704,'Avoided Cost Benefits'!$A$4:$A$859,0)))*F704</f>
        <v>71.901213841620688</v>
      </c>
      <c r="BE704" s="1581">
        <f t="shared" si="107"/>
        <v>174.61066540821139</v>
      </c>
    </row>
    <row r="705" spans="1:57" s="829" customFormat="1" x14ac:dyDescent="0.35">
      <c r="A705" s="1382"/>
      <c r="B705" s="1382"/>
      <c r="C705" s="831" t="s">
        <v>4207</v>
      </c>
      <c r="D705" s="1279" t="s">
        <v>1517</v>
      </c>
      <c r="E705" s="1580" t="s">
        <v>4177</v>
      </c>
      <c r="F705" s="1324">
        <f>ROUND((G743*G741*(1/G$749-1/G$754)/G$740),2)</f>
        <v>1180.0999999999999</v>
      </c>
      <c r="G705" s="1279" t="s">
        <v>258</v>
      </c>
      <c r="H705" s="136">
        <f>VLOOKUP(G705,'CP FACTORS'!$A$3:$B$38, 2, FALSE)</f>
        <v>0</v>
      </c>
      <c r="I705" s="1278">
        <f t="shared" ref="I705:I709" si="109">ROUND(F705*H705,6)</f>
        <v>0</v>
      </c>
      <c r="J705" s="830">
        <f t="shared" si="101"/>
        <v>2</v>
      </c>
      <c r="K705" s="1845">
        <v>0</v>
      </c>
      <c r="L705" s="831" t="s">
        <v>184</v>
      </c>
      <c r="M705" s="756"/>
      <c r="N705" s="756"/>
      <c r="O705" s="756"/>
      <c r="P705" s="756"/>
      <c r="Q705" s="756"/>
      <c r="R705" s="756"/>
      <c r="S705" s="1382"/>
      <c r="T705" s="1382"/>
      <c r="U705" s="1382"/>
      <c r="V705" s="141" t="str">
        <f t="shared" si="102"/>
        <v>kWh
Annual Savings</v>
      </c>
      <c r="W705" s="2472"/>
      <c r="X705" s="2473"/>
      <c r="Y705" s="2474"/>
      <c r="Z705" s="2475"/>
      <c r="AA705" s="2475"/>
      <c r="AB705" s="2475"/>
      <c r="AC705" s="1324">
        <f t="shared" si="103"/>
        <v>1180.0999999999999</v>
      </c>
      <c r="AD705" s="1324">
        <v>1180.0999999999999</v>
      </c>
      <c r="AE705" s="141"/>
      <c r="AF705" s="141"/>
      <c r="AG705" s="141"/>
      <c r="AH705" s="196"/>
      <c r="AI705" s="196"/>
      <c r="AK705" s="732"/>
      <c r="BB705" s="821"/>
      <c r="BC705" s="833" t="str">
        <f t="shared" si="106"/>
        <v>Heating RES 2 Year EUL</v>
      </c>
      <c r="BD705" s="98">
        <f>(INDEX('Avoided Cost Benefits'!$E$4:$E$859,MATCH(BC705,'Avoided Cost Benefits'!$A$4:$A$859,0)))*F705</f>
        <v>65.16479956069746</v>
      </c>
      <c r="BE705" s="1581">
        <f t="shared" si="107"/>
        <v>0</v>
      </c>
    </row>
    <row r="706" spans="1:57" s="829" customFormat="1" x14ac:dyDescent="0.35">
      <c r="A706" s="1382"/>
      <c r="B706" s="1382"/>
      <c r="C706" s="831" t="s">
        <v>4208</v>
      </c>
      <c r="D706" s="1279" t="s">
        <v>1518</v>
      </c>
      <c r="E706" s="503" t="s">
        <v>4178</v>
      </c>
      <c r="F706" s="1324">
        <f>ROUND((G729*G726*(1/G$734-1/G$739)/G$740),2)</f>
        <v>226.6</v>
      </c>
      <c r="G706" s="1279" t="s">
        <v>257</v>
      </c>
      <c r="H706" s="136">
        <f>VLOOKUP(G706,'CP FACTORS'!$A$3:$B$38, 2, FALSE)</f>
        <v>9.4741810000000004E-4</v>
      </c>
      <c r="I706" s="1278">
        <f t="shared" si="109"/>
        <v>0.21468499999999999</v>
      </c>
      <c r="J706" s="830">
        <f t="shared" si="101"/>
        <v>2</v>
      </c>
      <c r="K706" s="1845">
        <f>G$760</f>
        <v>185</v>
      </c>
      <c r="L706" s="831" t="s">
        <v>184</v>
      </c>
      <c r="M706" s="756"/>
      <c r="N706" s="756"/>
      <c r="O706" s="756"/>
      <c r="P706" s="756"/>
      <c r="Q706" s="756"/>
      <c r="R706" s="756"/>
      <c r="S706" s="1382"/>
      <c r="T706" s="1382"/>
      <c r="U706" s="1382"/>
      <c r="V706" s="141" t="str">
        <f t="shared" si="102"/>
        <v>kWh
Annual Savings</v>
      </c>
      <c r="W706" s="2472"/>
      <c r="X706" s="2473"/>
      <c r="Y706" s="2474"/>
      <c r="Z706" s="2475"/>
      <c r="AA706" s="2475"/>
      <c r="AB706" s="2475"/>
      <c r="AC706" s="1324">
        <f t="shared" si="103"/>
        <v>226.6</v>
      </c>
      <c r="AD706" s="1324">
        <v>226.6</v>
      </c>
      <c r="AE706" s="141"/>
      <c r="AF706" s="141"/>
      <c r="AG706" s="141"/>
      <c r="AH706" s="196"/>
      <c r="AI706" s="196"/>
      <c r="AK706" s="732"/>
      <c r="BB706" s="40">
        <f>(BD706+BD707)/(BE706+BE707)</f>
        <v>0.483453141049074</v>
      </c>
      <c r="BC706" s="755" t="str">
        <f t="shared" si="106"/>
        <v>Cooling RES 2 Year EUL</v>
      </c>
      <c r="BD706" s="98">
        <f>(INDEX('Avoided Cost Benefits'!$E$4:$E$859,MATCH(BC706,'Avoided Cost Benefits'!$A$4:$A$859,0)))*F706</f>
        <v>44.282377236189618</v>
      </c>
      <c r="BE706" s="1581">
        <f t="shared" si="107"/>
        <v>174.61066540821139</v>
      </c>
    </row>
    <row r="707" spans="1:57" s="829" customFormat="1" x14ac:dyDescent="0.35">
      <c r="A707" s="1382"/>
      <c r="B707" s="1382"/>
      <c r="C707" s="831" t="s">
        <v>4208</v>
      </c>
      <c r="D707" s="1279" t="s">
        <v>1518</v>
      </c>
      <c r="E707" s="1580" t="s">
        <v>4178</v>
      </c>
      <c r="F707" s="1324">
        <f>ROUND((G744*G741*(1/G$749-1/G$754)/G$740),2)</f>
        <v>726.8</v>
      </c>
      <c r="G707" s="1279" t="s">
        <v>258</v>
      </c>
      <c r="H707" s="136">
        <f>VLOOKUP(G707,'CP FACTORS'!$A$3:$B$38, 2, FALSE)</f>
        <v>0</v>
      </c>
      <c r="I707" s="1278">
        <f t="shared" si="109"/>
        <v>0</v>
      </c>
      <c r="J707" s="830">
        <f t="shared" si="101"/>
        <v>2</v>
      </c>
      <c r="K707" s="1845">
        <v>0</v>
      </c>
      <c r="L707" s="831" t="s">
        <v>184</v>
      </c>
      <c r="M707" s="756"/>
      <c r="N707" s="756"/>
      <c r="O707" s="756"/>
      <c r="P707" s="756"/>
      <c r="Q707" s="756"/>
      <c r="R707" s="756"/>
      <c r="S707" s="1382"/>
      <c r="T707" s="1382"/>
      <c r="U707" s="1382"/>
      <c r="V707" s="141" t="str">
        <f t="shared" si="102"/>
        <v>kWh
Annual Savings</v>
      </c>
      <c r="W707" s="2472"/>
      <c r="X707" s="2473"/>
      <c r="Y707" s="2474"/>
      <c r="Z707" s="2475"/>
      <c r="AA707" s="2475"/>
      <c r="AB707" s="2475"/>
      <c r="AC707" s="1324">
        <f t="shared" si="103"/>
        <v>726.8</v>
      </c>
      <c r="AD707" s="1324">
        <v>726.8</v>
      </c>
      <c r="AE707" s="141"/>
      <c r="AF707" s="141"/>
      <c r="AG707" s="141"/>
      <c r="AH707" s="196"/>
      <c r="AI707" s="196"/>
      <c r="AK707" s="732"/>
      <c r="BB707" s="821"/>
      <c r="BC707" s="833" t="str">
        <f t="shared" si="106"/>
        <v>Heating RES 2 Year EUL</v>
      </c>
      <c r="BD707" s="98">
        <f>(INDEX('Avoided Cost Benefits'!$E$4:$E$859,MATCH(BC707,'Avoided Cost Benefits'!$A$4:$A$859,0)))*F707</f>
        <v>40.133697416079073</v>
      </c>
      <c r="BE707" s="1581">
        <f t="shared" si="107"/>
        <v>0</v>
      </c>
    </row>
    <row r="708" spans="1:57" s="829" customFormat="1" x14ac:dyDescent="0.35">
      <c r="A708" s="1382"/>
      <c r="B708" s="1382"/>
      <c r="C708" s="831" t="s">
        <v>4209</v>
      </c>
      <c r="D708" s="1279" t="s">
        <v>1519</v>
      </c>
      <c r="E708" s="503" t="s">
        <v>4179</v>
      </c>
      <c r="F708" s="1324">
        <f>ROUND((G729*G727*(1/G$734-1/G$739)/G$740),2)</f>
        <v>164.8</v>
      </c>
      <c r="G708" s="1279" t="s">
        <v>257</v>
      </c>
      <c r="H708" s="136">
        <f>VLOOKUP(G708,'CP FACTORS'!$A$3:$B$38, 2, FALSE)</f>
        <v>9.4741810000000004E-4</v>
      </c>
      <c r="I708" s="1278">
        <f t="shared" si="109"/>
        <v>0.156135</v>
      </c>
      <c r="J708" s="830">
        <f t="shared" si="101"/>
        <v>2</v>
      </c>
      <c r="K708" s="1845">
        <f>G$760</f>
        <v>185</v>
      </c>
      <c r="L708" s="831" t="s">
        <v>184</v>
      </c>
      <c r="M708" s="756"/>
      <c r="N708" s="756"/>
      <c r="O708" s="756"/>
      <c r="P708" s="756"/>
      <c r="Q708" s="756"/>
      <c r="R708" s="756"/>
      <c r="S708" s="1382"/>
      <c r="T708" s="1382"/>
      <c r="U708" s="1382"/>
      <c r="V708" s="141" t="str">
        <f t="shared" si="102"/>
        <v>kWh
Annual Savings</v>
      </c>
      <c r="W708" s="2472"/>
      <c r="X708" s="2473"/>
      <c r="Y708" s="2474"/>
      <c r="Z708" s="2475"/>
      <c r="AA708" s="2475"/>
      <c r="AB708" s="2475"/>
      <c r="AC708" s="1324">
        <f t="shared" si="103"/>
        <v>164.8</v>
      </c>
      <c r="AD708" s="1324">
        <v>164.8</v>
      </c>
      <c r="AE708" s="141"/>
      <c r="AF708" s="141"/>
      <c r="AG708" s="141"/>
      <c r="AH708" s="196"/>
      <c r="AI708" s="196"/>
      <c r="AK708" s="732"/>
      <c r="BB708" s="40">
        <f>(BD708+BD709)/(BE708+BE709)</f>
        <v>0.26279698812834745</v>
      </c>
      <c r="BC708" s="755" t="str">
        <f t="shared" si="106"/>
        <v>Cooling RES 2 Year EUL</v>
      </c>
      <c r="BD708" s="98">
        <f>(INDEX('Avoided Cost Benefits'!$E$4:$E$859,MATCH(BC708,'Avoided Cost Benefits'!$A$4:$A$859,0)))*F708</f>
        <v>32.205365262683358</v>
      </c>
      <c r="BE708" s="1581">
        <f t="shared" si="107"/>
        <v>174.61066540821139</v>
      </c>
    </row>
    <row r="709" spans="1:57" s="829" customFormat="1" x14ac:dyDescent="0.35">
      <c r="A709" s="1382"/>
      <c r="B709" s="1382"/>
      <c r="C709" s="831" t="s">
        <v>4209</v>
      </c>
      <c r="D709" s="1279" t="s">
        <v>1519</v>
      </c>
      <c r="E709" s="1580" t="s">
        <v>4179</v>
      </c>
      <c r="F709" s="1324">
        <f>ROUND((G744*G742*(1/G$749-1/G$754)/G$740),2)</f>
        <v>247.77</v>
      </c>
      <c r="G709" s="1279" t="s">
        <v>258</v>
      </c>
      <c r="H709" s="136">
        <f>VLOOKUP(G709,'CP FACTORS'!$A$3:$B$38, 2, FALSE)</f>
        <v>0</v>
      </c>
      <c r="I709" s="1278">
        <f t="shared" si="109"/>
        <v>0</v>
      </c>
      <c r="J709" s="830">
        <f t="shared" si="101"/>
        <v>2</v>
      </c>
      <c r="K709" s="1845">
        <v>0</v>
      </c>
      <c r="L709" s="831" t="s">
        <v>184</v>
      </c>
      <c r="M709" s="756"/>
      <c r="N709" s="756"/>
      <c r="O709" s="756"/>
      <c r="P709" s="756"/>
      <c r="Q709" s="756"/>
      <c r="R709" s="756"/>
      <c r="S709" s="1382"/>
      <c r="T709" s="1382"/>
      <c r="U709" s="1382"/>
      <c r="V709" s="141" t="str">
        <f t="shared" si="102"/>
        <v>kWh
Annual Savings</v>
      </c>
      <c r="W709" s="2472"/>
      <c r="X709" s="2473"/>
      <c r="Y709" s="2474"/>
      <c r="Z709" s="2475"/>
      <c r="AA709" s="2475"/>
      <c r="AB709" s="2475"/>
      <c r="AC709" s="1324">
        <f t="shared" si="103"/>
        <v>247.77</v>
      </c>
      <c r="AD709" s="1324">
        <v>247.77</v>
      </c>
      <c r="AE709" s="141"/>
      <c r="AF709" s="141"/>
      <c r="AG709" s="141"/>
      <c r="AH709" s="196"/>
      <c r="AI709" s="196"/>
      <c r="AK709" s="732"/>
      <c r="BB709" s="821"/>
      <c r="BC709" s="833" t="str">
        <f t="shared" si="106"/>
        <v>Heating RES 2 Year EUL</v>
      </c>
      <c r="BD709" s="102">
        <f>(INDEX('Avoided Cost Benefits'!$E$4:$E$859,MATCH(BC709,'Avoided Cost Benefits'!$A$4:$A$859,0)))*F709</f>
        <v>13.681791701681224</v>
      </c>
      <c r="BE709" s="1582">
        <f t="shared" si="107"/>
        <v>0</v>
      </c>
    </row>
    <row r="710" spans="1:57" s="829" customFormat="1" x14ac:dyDescent="0.35">
      <c r="A710" s="1382"/>
      <c r="B710" s="1382"/>
      <c r="C710" s="2490"/>
      <c r="D710" s="2491"/>
      <c r="E710" s="2492"/>
      <c r="F710" s="2493"/>
      <c r="G710" s="2491"/>
      <c r="H710" s="2491"/>
      <c r="I710" s="2494"/>
      <c r="J710" s="2495"/>
      <c r="K710" s="2496"/>
      <c r="L710" s="2490"/>
      <c r="M710" s="756"/>
      <c r="N710" s="756"/>
      <c r="O710" s="756"/>
      <c r="P710" s="756"/>
      <c r="Q710" s="756"/>
      <c r="R710" s="756"/>
      <c r="S710" s="1382"/>
      <c r="T710" s="1382"/>
      <c r="U710" s="1382"/>
      <c r="V710"/>
      <c r="W710"/>
      <c r="X710"/>
      <c r="Y710"/>
      <c r="Z710"/>
      <c r="AA710"/>
      <c r="AB710"/>
      <c r="AC710"/>
      <c r="AD710"/>
      <c r="AE710"/>
      <c r="AF710"/>
      <c r="AG710"/>
      <c r="AH710" s="196"/>
      <c r="AI710" s="196"/>
      <c r="AK710" s="732"/>
      <c r="BC710" s="2497"/>
      <c r="BD710" s="98"/>
      <c r="BE710" s="57"/>
    </row>
    <row r="711" spans="1:57" s="829" customFormat="1" hidden="1" outlineLevel="1" x14ac:dyDescent="0.35">
      <c r="A711" s="1382"/>
      <c r="B711" s="1382"/>
      <c r="C711" s="2490"/>
      <c r="D711" s="2491"/>
      <c r="E711" s="2492"/>
      <c r="F711" s="2493"/>
      <c r="G711" s="2491"/>
      <c r="H711" s="2491"/>
      <c r="I711" s="2494"/>
      <c r="J711" s="2495"/>
      <c r="K711" s="2496"/>
      <c r="L711" s="2490"/>
      <c r="M711" s="756"/>
      <c r="N711" s="756"/>
      <c r="O711" s="756"/>
      <c r="P711" s="756"/>
      <c r="Q711" s="756"/>
      <c r="R711" s="756"/>
      <c r="S711" s="1382"/>
      <c r="T711" s="1382"/>
      <c r="U711" s="1382"/>
      <c r="V711"/>
      <c r="W711"/>
      <c r="X711"/>
      <c r="Y711"/>
      <c r="Z711"/>
      <c r="AA711"/>
      <c r="AB711"/>
      <c r="AC711"/>
      <c r="AD711"/>
      <c r="AE711"/>
      <c r="AF711"/>
      <c r="AG711"/>
      <c r="AH711" s="196"/>
      <c r="AI711" s="196"/>
      <c r="AK711" s="732"/>
      <c r="BC711" s="2497"/>
      <c r="BD711" s="98"/>
      <c r="BE711" s="57"/>
    </row>
    <row r="712" spans="1:57" s="31" customFormat="1" hidden="1" outlineLevel="1" x14ac:dyDescent="0.35">
      <c r="A712" s="132"/>
      <c r="B712" s="132"/>
      <c r="C712" s="130"/>
      <c r="D712" s="131"/>
      <c r="E712" s="131"/>
      <c r="F712" s="149"/>
      <c r="G712" s="132"/>
      <c r="H712" s="132"/>
      <c r="I712" s="132"/>
      <c r="J712" s="862"/>
      <c r="K712" s="132"/>
      <c r="L712" s="132"/>
      <c r="M712" s="132"/>
      <c r="N712" s="756"/>
      <c r="O712" s="756"/>
      <c r="P712" s="756"/>
      <c r="Q712" s="756"/>
      <c r="R712" s="756"/>
      <c r="S712" s="1382"/>
      <c r="T712" s="1382"/>
      <c r="U712" s="1382"/>
      <c r="V712"/>
      <c r="Y712" s="173"/>
      <c r="AK712" s="732"/>
      <c r="BB712" s="32"/>
    </row>
    <row r="713" spans="1:57" s="31" customFormat="1" hidden="1" outlineLevel="1" x14ac:dyDescent="0.35">
      <c r="A713" s="132"/>
      <c r="B713" s="132"/>
      <c r="C713" s="130"/>
      <c r="D713" s="152" t="s">
        <v>107</v>
      </c>
      <c r="E713" s="280"/>
      <c r="F713" s="1325"/>
      <c r="G713" s="132"/>
      <c r="H713" s="132"/>
      <c r="I713" s="132"/>
      <c r="J713" s="132"/>
      <c r="K713" s="132"/>
      <c r="L713" s="132"/>
      <c r="M713" s="132"/>
      <c r="N713" s="756"/>
      <c r="O713" s="756"/>
      <c r="P713" s="756"/>
      <c r="Q713" s="756"/>
      <c r="R713" s="756"/>
      <c r="S713" s="1382"/>
      <c r="T713" s="1382"/>
      <c r="U713" s="1382"/>
      <c r="V713"/>
      <c r="Y713" s="173"/>
      <c r="AK713" s="732"/>
      <c r="BB713" s="32"/>
    </row>
    <row r="714" spans="1:57" s="31" customFormat="1" hidden="1" outlineLevel="1" x14ac:dyDescent="0.35">
      <c r="A714" s="132"/>
      <c r="B714" s="132"/>
      <c r="C714" s="130"/>
      <c r="D714" s="1010"/>
      <c r="E714" s="280"/>
      <c r="F714" s="1325"/>
      <c r="G714" s="132"/>
      <c r="H714" s="132"/>
      <c r="I714" s="132"/>
      <c r="J714" s="132"/>
      <c r="K714" s="132"/>
      <c r="L714" s="132"/>
      <c r="M714" s="132"/>
      <c r="N714" s="756"/>
      <c r="O714" s="756"/>
      <c r="P714" s="756"/>
      <c r="Q714" s="756"/>
      <c r="R714" s="756"/>
      <c r="S714" s="1382"/>
      <c r="T714" s="1382"/>
      <c r="U714" s="1382"/>
      <c r="V714"/>
      <c r="Y714" s="173"/>
      <c r="AK714" s="732"/>
      <c r="BB714" s="32"/>
    </row>
    <row r="715" spans="1:57" s="31" customFormat="1" hidden="1" outlineLevel="1" x14ac:dyDescent="0.35">
      <c r="A715" s="132"/>
      <c r="B715" s="132"/>
      <c r="C715" s="130"/>
      <c r="D715" s="1010"/>
      <c r="E715" s="280"/>
      <c r="F715" s="1325"/>
      <c r="G715" s="132"/>
      <c r="H715" s="132"/>
      <c r="I715" s="132"/>
      <c r="J715" s="132"/>
      <c r="K715" s="132"/>
      <c r="L715" s="132"/>
      <c r="M715" s="132"/>
      <c r="N715" s="756"/>
      <c r="O715" s="756"/>
      <c r="P715" s="756"/>
      <c r="Q715" s="756"/>
      <c r="R715" s="756"/>
      <c r="S715" s="1382"/>
      <c r="T715" s="1382"/>
      <c r="U715" s="1382"/>
      <c r="V715"/>
      <c r="Y715" s="173"/>
      <c r="AK715" s="732"/>
      <c r="BB715" s="32"/>
    </row>
    <row r="716" spans="1:57" s="31" customFormat="1" hidden="1" outlineLevel="1" x14ac:dyDescent="0.35">
      <c r="A716" s="132"/>
      <c r="B716" s="132"/>
      <c r="C716" s="130"/>
      <c r="D716" s="1010"/>
      <c r="E716" s="280"/>
      <c r="F716" s="1325"/>
      <c r="G716" s="132"/>
      <c r="H716" s="132"/>
      <c r="I716" s="132"/>
      <c r="J716" s="132"/>
      <c r="K716" s="132"/>
      <c r="L716" s="132"/>
      <c r="M716" s="132"/>
      <c r="N716" s="756"/>
      <c r="O716" s="756"/>
      <c r="P716" s="756"/>
      <c r="Q716" s="756"/>
      <c r="R716" s="756"/>
      <c r="S716" s="1382"/>
      <c r="T716" s="1382"/>
      <c r="U716" s="1382"/>
      <c r="V716"/>
      <c r="Y716" s="173"/>
      <c r="AK716" s="732"/>
      <c r="BB716" s="32"/>
    </row>
    <row r="717" spans="1:57" s="31" customFormat="1" hidden="1" outlineLevel="1" x14ac:dyDescent="0.35">
      <c r="A717" s="132"/>
      <c r="B717" s="132"/>
      <c r="C717" s="130"/>
      <c r="D717" s="1010"/>
      <c r="E717" s="280"/>
      <c r="F717" s="1325"/>
      <c r="G717" s="132"/>
      <c r="H717" s="132"/>
      <c r="I717" s="132"/>
      <c r="J717" s="132"/>
      <c r="K717" s="132"/>
      <c r="L717" s="132"/>
      <c r="M717" s="132"/>
      <c r="N717" s="756"/>
      <c r="O717" s="756"/>
      <c r="P717" s="756"/>
      <c r="Q717" s="756"/>
      <c r="R717" s="756"/>
      <c r="S717" s="1382"/>
      <c r="T717" s="1382"/>
      <c r="U717" s="1382"/>
      <c r="V717"/>
      <c r="Y717" s="173"/>
      <c r="AK717" s="732"/>
      <c r="BB717" s="32"/>
    </row>
    <row r="718" spans="1:57" s="31" customFormat="1" hidden="1" outlineLevel="1" x14ac:dyDescent="0.35">
      <c r="A718" s="132"/>
      <c r="B718" s="132"/>
      <c r="C718" s="130"/>
      <c r="D718" s="1010"/>
      <c r="E718" s="280"/>
      <c r="F718" s="1325"/>
      <c r="G718" s="132"/>
      <c r="H718" s="132"/>
      <c r="I718" s="132"/>
      <c r="J718" s="132"/>
      <c r="K718" s="132"/>
      <c r="L718" s="132"/>
      <c r="M718" s="132"/>
      <c r="N718" s="756"/>
      <c r="O718" s="756"/>
      <c r="P718" s="756"/>
      <c r="Q718" s="756"/>
      <c r="R718" s="756"/>
      <c r="S718" s="1382"/>
      <c r="T718" s="1382"/>
      <c r="U718" s="1382"/>
      <c r="V718"/>
      <c r="Y718" s="173"/>
      <c r="AK718" s="732"/>
      <c r="BB718" s="32"/>
    </row>
    <row r="719" spans="1:57" s="31" customFormat="1" hidden="1" outlineLevel="1" x14ac:dyDescent="0.35">
      <c r="A719" s="132"/>
      <c r="B719" s="132"/>
      <c r="C719" s="130"/>
      <c r="D719" s="1010"/>
      <c r="E719" s="280"/>
      <c r="F719" s="1325"/>
      <c r="G719" s="132"/>
      <c r="H719" s="132"/>
      <c r="I719" s="132"/>
      <c r="J719" s="132"/>
      <c r="K719" s="132"/>
      <c r="L719" s="132"/>
      <c r="M719" s="132"/>
      <c r="N719" s="756"/>
      <c r="O719" s="756"/>
      <c r="P719" s="756"/>
      <c r="Q719" s="756"/>
      <c r="R719" s="756"/>
      <c r="S719" s="1382"/>
      <c r="T719" s="1382"/>
      <c r="U719" s="1382"/>
      <c r="V719"/>
      <c r="Y719" s="173"/>
      <c r="AK719" s="732"/>
      <c r="BB719" s="32"/>
    </row>
    <row r="720" spans="1:57" s="31" customFormat="1" hidden="1" outlineLevel="1" x14ac:dyDescent="0.35">
      <c r="A720" s="132"/>
      <c r="B720" s="132"/>
      <c r="C720" s="130"/>
      <c r="D720" s="1010"/>
      <c r="E720" s="280"/>
      <c r="F720" s="1325"/>
      <c r="G720" s="132"/>
      <c r="H720" s="132"/>
      <c r="I720" s="132"/>
      <c r="J720" s="132"/>
      <c r="K720" s="132"/>
      <c r="L720" s="132"/>
      <c r="M720" s="132"/>
      <c r="N720" s="756"/>
      <c r="O720" s="756"/>
      <c r="P720" s="756"/>
      <c r="Q720" s="756"/>
      <c r="R720" s="756"/>
      <c r="S720" s="1382"/>
      <c r="T720" s="1382"/>
      <c r="U720" s="1382"/>
      <c r="V720"/>
      <c r="Y720" s="173"/>
      <c r="AK720" s="732"/>
      <c r="BB720" s="32"/>
    </row>
    <row r="721" spans="1:54" s="31" customFormat="1" hidden="1" outlineLevel="1" x14ac:dyDescent="0.35">
      <c r="A721" s="132"/>
      <c r="B721" s="132"/>
      <c r="C721" s="130"/>
      <c r="D721" s="1010"/>
      <c r="E721" s="280"/>
      <c r="F721" s="1325"/>
      <c r="G721" s="132"/>
      <c r="H721" s="132"/>
      <c r="I721" s="132"/>
      <c r="J721" s="132"/>
      <c r="K721" s="132"/>
      <c r="L721" s="132"/>
      <c r="M721" s="132"/>
      <c r="N721" s="756"/>
      <c r="O721" s="756"/>
      <c r="P721" s="756"/>
      <c r="Q721" s="756"/>
      <c r="R721" s="756"/>
      <c r="S721" s="1382"/>
      <c r="T721" s="1382"/>
      <c r="U721" s="1382"/>
      <c r="V721"/>
      <c r="Y721" s="173"/>
      <c r="AK721" s="732"/>
      <c r="BB721" s="32"/>
    </row>
    <row r="722" spans="1:54" s="31" customFormat="1" hidden="1" outlineLevel="1" x14ac:dyDescent="0.35">
      <c r="A722" s="132"/>
      <c r="B722" s="132"/>
      <c r="C722" s="130"/>
      <c r="D722" s="1010"/>
      <c r="E722" s="280"/>
      <c r="F722" s="1325"/>
      <c r="G722" s="132"/>
      <c r="H722" s="132"/>
      <c r="I722" s="132"/>
      <c r="J722" s="132"/>
      <c r="K722" s="132"/>
      <c r="L722" s="132"/>
      <c r="M722" s="132"/>
      <c r="N722" s="756"/>
      <c r="O722" s="756"/>
      <c r="P722" s="756"/>
      <c r="Q722" s="756"/>
      <c r="R722" s="756"/>
      <c r="S722" s="1382"/>
      <c r="T722" s="1382"/>
      <c r="U722" s="1382"/>
      <c r="V722"/>
      <c r="Y722" s="173"/>
      <c r="AK722" s="732"/>
      <c r="BB722" s="32"/>
    </row>
    <row r="723" spans="1:54" s="31" customFormat="1" hidden="1" outlineLevel="1" x14ac:dyDescent="0.35">
      <c r="A723" s="132"/>
      <c r="B723" s="132"/>
      <c r="C723" s="130"/>
      <c r="D723" s="1010"/>
      <c r="E723" s="280"/>
      <c r="F723" s="1325"/>
      <c r="G723" s="132"/>
      <c r="H723" s="132"/>
      <c r="I723" s="132"/>
      <c r="J723" s="132"/>
      <c r="K723" s="132"/>
      <c r="L723" s="132"/>
      <c r="M723" s="132"/>
      <c r="N723" s="756"/>
      <c r="O723" s="756"/>
      <c r="P723" s="756"/>
      <c r="Q723" s="756"/>
      <c r="R723" s="756"/>
      <c r="S723" s="1382"/>
      <c r="T723" s="1382"/>
      <c r="U723" s="1382"/>
      <c r="V723"/>
      <c r="W723" s="133"/>
      <c r="X723" s="133"/>
      <c r="Y723" s="836"/>
      <c r="Z723" s="133"/>
      <c r="AA723" s="133"/>
      <c r="AK723" s="732"/>
      <c r="BB723" s="32"/>
    </row>
    <row r="724" spans="1:54" s="31" customFormat="1" hidden="1" outlineLevel="1" x14ac:dyDescent="0.35">
      <c r="A724" s="132"/>
      <c r="B724" s="132"/>
      <c r="C724" s="130"/>
      <c r="D724" s="131"/>
      <c r="E724" s="131"/>
      <c r="F724" s="132"/>
      <c r="G724" s="132"/>
      <c r="H724" s="132"/>
      <c r="I724" s="132"/>
      <c r="J724" s="132"/>
      <c r="K724" s="132"/>
      <c r="L724" s="132"/>
      <c r="M724" s="132"/>
      <c r="N724" s="132"/>
      <c r="O724" s="132"/>
      <c r="P724" s="132"/>
      <c r="Q724" s="132"/>
      <c r="R724" s="132"/>
      <c r="S724" s="132"/>
      <c r="T724" s="1382"/>
      <c r="U724" s="1382"/>
      <c r="Y724" s="173"/>
      <c r="AK724" s="732"/>
      <c r="BB724" s="32"/>
    </row>
    <row r="725" spans="1:54" s="34" customFormat="1" ht="15" hidden="1" customHeight="1" outlineLevel="1" x14ac:dyDescent="0.35">
      <c r="A725" s="350"/>
      <c r="B725" s="350"/>
      <c r="C725" s="130"/>
      <c r="D725" s="2423" t="s">
        <v>108</v>
      </c>
      <c r="E725" s="2423" t="s">
        <v>109</v>
      </c>
      <c r="F725" s="2423" t="s">
        <v>185</v>
      </c>
      <c r="G725" s="2362" t="s">
        <v>111</v>
      </c>
      <c r="H725" s="3741" t="s">
        <v>186</v>
      </c>
      <c r="I725" s="3741"/>
      <c r="J725" s="3825" t="s">
        <v>112</v>
      </c>
      <c r="K725" s="4088"/>
      <c r="L725" s="4088"/>
      <c r="M725" s="3826"/>
      <c r="N725" s="132"/>
      <c r="O725" s="132"/>
      <c r="P725" s="132"/>
      <c r="Q725" s="132"/>
      <c r="R725" s="350"/>
      <c r="S725" s="350"/>
      <c r="T725" s="350"/>
      <c r="U725" s="350"/>
      <c r="V725" s="1572" t="s">
        <v>44</v>
      </c>
      <c r="W725" s="1573">
        <f>W$6</f>
        <v>43252</v>
      </c>
      <c r="X725" s="1573">
        <f t="shared" ref="X725:AG725" si="110">X$6</f>
        <v>43465</v>
      </c>
      <c r="Y725" s="316">
        <f t="shared" si="110"/>
        <v>43800</v>
      </c>
      <c r="Z725" s="1573">
        <f t="shared" si="110"/>
        <v>43862</v>
      </c>
      <c r="AA725" s="1573">
        <f t="shared" si="110"/>
        <v>44013</v>
      </c>
      <c r="AB725" s="1573">
        <f t="shared" si="110"/>
        <v>44166</v>
      </c>
      <c r="AC725" s="1573">
        <f t="shared" si="110"/>
        <v>44531</v>
      </c>
      <c r="AD725" s="1573">
        <f t="shared" si="110"/>
        <v>44774</v>
      </c>
      <c r="AE725" s="1573" t="str">
        <f t="shared" si="110"/>
        <v>-</v>
      </c>
      <c r="AF725" s="1573" t="str">
        <f t="shared" si="110"/>
        <v>-</v>
      </c>
      <c r="AG725" s="1573" t="str">
        <f t="shared" si="110"/>
        <v>-</v>
      </c>
      <c r="AK725" s="732"/>
      <c r="BB725" s="59"/>
    </row>
    <row r="726" spans="1:54" s="31" customFormat="1" hidden="1" outlineLevel="1" x14ac:dyDescent="0.35">
      <c r="A726" s="132"/>
      <c r="B726" s="132"/>
      <c r="C726" s="130"/>
      <c r="D726" s="4239" t="s">
        <v>1541</v>
      </c>
      <c r="E726" s="4239" t="s">
        <v>1119</v>
      </c>
      <c r="F726" s="840" t="s">
        <v>313</v>
      </c>
      <c r="G726" s="837">
        <v>869</v>
      </c>
      <c r="H726" s="4346" t="s">
        <v>1508</v>
      </c>
      <c r="I726" s="4347"/>
      <c r="J726" s="4253"/>
      <c r="K726" s="4350"/>
      <c r="L726" s="4350"/>
      <c r="M726" s="4351"/>
      <c r="N726" s="132"/>
      <c r="O726" s="132"/>
      <c r="P726" s="132"/>
      <c r="Q726" s="132"/>
      <c r="R726" s="132"/>
      <c r="S726" s="132"/>
      <c r="T726" s="132"/>
      <c r="U726" s="132"/>
      <c r="V726" s="4345" t="s">
        <v>1812</v>
      </c>
      <c r="W726" s="838">
        <v>869</v>
      </c>
      <c r="X726" s="175">
        <v>869</v>
      </c>
      <c r="Y726" s="175">
        <v>869</v>
      </c>
      <c r="Z726" s="175">
        <v>869</v>
      </c>
      <c r="AA726" s="175">
        <v>869</v>
      </c>
      <c r="AB726" s="175">
        <v>869</v>
      </c>
      <c r="AC726" s="2498">
        <f>G726</f>
        <v>869</v>
      </c>
      <c r="AD726" s="837">
        <v>869</v>
      </c>
      <c r="AE726" s="177"/>
      <c r="AF726" s="177"/>
      <c r="AG726" s="177"/>
      <c r="AK726" s="732"/>
      <c r="BB726" s="32"/>
    </row>
    <row r="727" spans="1:54" s="31" customFormat="1" hidden="1" outlineLevel="1" x14ac:dyDescent="0.35">
      <c r="A727" s="132"/>
      <c r="B727" s="132"/>
      <c r="C727" s="130"/>
      <c r="D727" s="3817"/>
      <c r="E727" s="3817"/>
      <c r="F727" s="840" t="s">
        <v>315</v>
      </c>
      <c r="G727" s="837">
        <v>632</v>
      </c>
      <c r="H727" s="4348"/>
      <c r="I727" s="4349"/>
      <c r="J727" s="4352"/>
      <c r="K727" s="4353"/>
      <c r="L727" s="4353"/>
      <c r="M727" s="4354"/>
      <c r="N727" s="132"/>
      <c r="O727" s="132"/>
      <c r="P727" s="132"/>
      <c r="Q727" s="132"/>
      <c r="R727" s="132"/>
      <c r="S727" s="132"/>
      <c r="T727" s="132"/>
      <c r="U727" s="132"/>
      <c r="V727" s="4356"/>
      <c r="W727" s="838"/>
      <c r="X727" s="175"/>
      <c r="Y727" s="839">
        <v>632</v>
      </c>
      <c r="Z727" s="175">
        <v>632</v>
      </c>
      <c r="AA727" s="175">
        <v>632</v>
      </c>
      <c r="AB727" s="175">
        <v>632</v>
      </c>
      <c r="AC727" s="2498">
        <f t="shared" ref="AC727:AC759" si="111">G727</f>
        <v>632</v>
      </c>
      <c r="AD727" s="837">
        <v>632</v>
      </c>
      <c r="AE727" s="177"/>
      <c r="AF727" s="177"/>
      <c r="AG727" s="177"/>
      <c r="AK727" s="732"/>
      <c r="BB727" s="32"/>
    </row>
    <row r="728" spans="1:54" s="31" customFormat="1" hidden="1" outlineLevel="1" x14ac:dyDescent="0.35">
      <c r="A728" s="132"/>
      <c r="B728" s="132"/>
      <c r="C728" s="130"/>
      <c r="D728" s="4239" t="s">
        <v>1542</v>
      </c>
      <c r="E728" s="4239" t="s">
        <v>1512</v>
      </c>
      <c r="F728" s="840" t="s">
        <v>318</v>
      </c>
      <c r="G728" s="837">
        <v>36595</v>
      </c>
      <c r="H728" s="3866" t="s">
        <v>1813</v>
      </c>
      <c r="I728" s="3867"/>
      <c r="J728" s="3818" t="s">
        <v>1543</v>
      </c>
      <c r="K728" s="4344"/>
      <c r="L728" s="4344"/>
      <c r="M728" s="3819"/>
      <c r="N728" s="132"/>
      <c r="O728" s="132"/>
      <c r="P728" s="132"/>
      <c r="Q728" s="132"/>
      <c r="R728" s="132"/>
      <c r="S728" s="132"/>
      <c r="T728" s="132"/>
      <c r="U728" s="132"/>
      <c r="V728" s="4345" t="s">
        <v>1814</v>
      </c>
      <c r="W728" s="838">
        <v>37716.279069767443</v>
      </c>
      <c r="X728" s="175">
        <v>37716.279069767443</v>
      </c>
      <c r="Y728" s="175">
        <v>37716.279069767443</v>
      </c>
      <c r="Z728" s="175">
        <v>37716.279069767443</v>
      </c>
      <c r="AA728" s="175">
        <v>37716.279069767443</v>
      </c>
      <c r="AB728" s="175">
        <v>37716.279069767443</v>
      </c>
      <c r="AC728" s="2498">
        <f t="shared" si="111"/>
        <v>36595</v>
      </c>
      <c r="AD728" s="837">
        <v>36595</v>
      </c>
      <c r="AE728" s="177"/>
      <c r="AF728" s="177"/>
      <c r="AG728" s="177"/>
      <c r="AK728" s="732"/>
      <c r="BB728" s="32"/>
    </row>
    <row r="729" spans="1:54" s="31" customFormat="1" hidden="1" outlineLevel="1" x14ac:dyDescent="0.35">
      <c r="A729" s="132"/>
      <c r="B729" s="132"/>
      <c r="C729" s="130"/>
      <c r="D729" s="3780"/>
      <c r="E729" s="3780"/>
      <c r="F729" s="840" t="s">
        <v>320</v>
      </c>
      <c r="G729" s="837">
        <v>22537.991266375546</v>
      </c>
      <c r="H729" s="3866" t="s">
        <v>520</v>
      </c>
      <c r="I729" s="3867"/>
      <c r="J729" s="3818"/>
      <c r="K729" s="4344"/>
      <c r="L729" s="4344"/>
      <c r="M729" s="3819"/>
      <c r="N729" s="132"/>
      <c r="O729" s="132"/>
      <c r="P729" s="132"/>
      <c r="Q729" s="132"/>
      <c r="R729" s="132"/>
      <c r="S729" s="132"/>
      <c r="T729" s="132"/>
      <c r="U729" s="132"/>
      <c r="V729" s="4345"/>
      <c r="W729" s="838">
        <f>W728*0.65</f>
        <v>24515.58139534884</v>
      </c>
      <c r="X729" s="175">
        <v>24515.58139534884</v>
      </c>
      <c r="Y729" s="839">
        <v>22537.991266375546</v>
      </c>
      <c r="Z729" s="175">
        <v>22537.991266375546</v>
      </c>
      <c r="AA729" s="175">
        <v>22537.991266375546</v>
      </c>
      <c r="AB729" s="175">
        <v>22537.991266375546</v>
      </c>
      <c r="AC729" s="2498">
        <f t="shared" si="111"/>
        <v>22537.991266375546</v>
      </c>
      <c r="AD729" s="837">
        <v>22537.991266375546</v>
      </c>
      <c r="AE729" s="177"/>
      <c r="AF729" s="177"/>
      <c r="AG729" s="177"/>
      <c r="AK729" s="732"/>
      <c r="BB729" s="32"/>
    </row>
    <row r="730" spans="1:54" s="31" customFormat="1" hidden="1" outlineLevel="1" x14ac:dyDescent="0.35">
      <c r="A730" s="132"/>
      <c r="B730" s="132"/>
      <c r="C730" s="130"/>
      <c r="D730" s="4239" t="s">
        <v>1544</v>
      </c>
      <c r="E730" s="4239" t="s">
        <v>1545</v>
      </c>
      <c r="F730" s="840" t="s">
        <v>1546</v>
      </c>
      <c r="G730" s="2361">
        <v>11.9</v>
      </c>
      <c r="H730" s="3866" t="s">
        <v>977</v>
      </c>
      <c r="I730" s="3867"/>
      <c r="J730" s="3866"/>
      <c r="K730" s="4355"/>
      <c r="L730" s="4355"/>
      <c r="M730" s="3867"/>
      <c r="N730" s="132"/>
      <c r="O730" s="132"/>
      <c r="P730" s="132"/>
      <c r="Q730" s="132"/>
      <c r="R730" s="132"/>
      <c r="S730" s="132"/>
      <c r="T730" s="132"/>
      <c r="U730" s="132"/>
      <c r="V730" s="4345" t="s">
        <v>1544</v>
      </c>
      <c r="W730" s="841">
        <v>11.9</v>
      </c>
      <c r="X730" s="170">
        <v>11.9</v>
      </c>
      <c r="Y730" s="171">
        <v>11.9</v>
      </c>
      <c r="Z730" s="170">
        <v>11.9</v>
      </c>
      <c r="AA730" s="170">
        <v>11.9</v>
      </c>
      <c r="AB730" s="170">
        <v>11.9</v>
      </c>
      <c r="AC730" s="830">
        <f t="shared" si="111"/>
        <v>11.9</v>
      </c>
      <c r="AD730" s="2964">
        <v>11.9</v>
      </c>
      <c r="AE730" s="172"/>
      <c r="AF730" s="172"/>
      <c r="AG730" s="172"/>
      <c r="AK730" s="732"/>
      <c r="BB730" s="32"/>
    </row>
    <row r="731" spans="1:54" s="31" customFormat="1" ht="29" hidden="1" outlineLevel="1" x14ac:dyDescent="0.35">
      <c r="A731" s="132"/>
      <c r="B731" s="132"/>
      <c r="C731" s="130"/>
      <c r="D731" s="4264"/>
      <c r="E731" s="4264"/>
      <c r="F731" s="840" t="s">
        <v>1547</v>
      </c>
      <c r="G731" s="2361">
        <v>11.9</v>
      </c>
      <c r="H731" s="3866"/>
      <c r="I731" s="3867"/>
      <c r="J731" s="3866"/>
      <c r="K731" s="4355"/>
      <c r="L731" s="4355"/>
      <c r="M731" s="3867"/>
      <c r="N731" s="132"/>
      <c r="O731" s="132"/>
      <c r="P731" s="132"/>
      <c r="Q731" s="132"/>
      <c r="R731" s="132"/>
      <c r="S731" s="132"/>
      <c r="T731" s="132"/>
      <c r="U731" s="132"/>
      <c r="V731" s="4345"/>
      <c r="W731" s="841">
        <v>11.9</v>
      </c>
      <c r="X731" s="842">
        <v>11.9</v>
      </c>
      <c r="Y731" s="171">
        <v>11.9</v>
      </c>
      <c r="Z731" s="170">
        <v>11.9</v>
      </c>
      <c r="AA731" s="170">
        <v>11.9</v>
      </c>
      <c r="AB731" s="170">
        <v>11.9</v>
      </c>
      <c r="AC731" s="830">
        <f t="shared" si="111"/>
        <v>11.9</v>
      </c>
      <c r="AD731" s="2964">
        <v>11.9</v>
      </c>
      <c r="AE731" s="172"/>
      <c r="AF731" s="172"/>
      <c r="AG731" s="172"/>
      <c r="AK731" s="732"/>
      <c r="BB731" s="32"/>
    </row>
    <row r="732" spans="1:54" s="31" customFormat="1" hidden="1" outlineLevel="1" x14ac:dyDescent="0.35">
      <c r="A732" s="132"/>
      <c r="B732" s="132"/>
      <c r="C732" s="130"/>
      <c r="D732" s="4264"/>
      <c r="E732" s="4264"/>
      <c r="F732" s="840" t="s">
        <v>1548</v>
      </c>
      <c r="G732" s="2361">
        <v>11.9</v>
      </c>
      <c r="H732" s="3866" t="s">
        <v>977</v>
      </c>
      <c r="I732" s="3867"/>
      <c r="J732" s="3866" t="s">
        <v>1549</v>
      </c>
      <c r="K732" s="4355"/>
      <c r="L732" s="4355"/>
      <c r="M732" s="3867"/>
      <c r="N732" s="132"/>
      <c r="Q732" s="132"/>
      <c r="R732" s="132"/>
      <c r="S732" s="132"/>
      <c r="T732" s="132"/>
      <c r="U732" s="132"/>
      <c r="V732" s="4345"/>
      <c r="W732" s="841">
        <v>11.9</v>
      </c>
      <c r="X732" s="170">
        <v>11.9</v>
      </c>
      <c r="Y732" s="171">
        <v>11.9</v>
      </c>
      <c r="Z732" s="170">
        <v>11.9</v>
      </c>
      <c r="AA732" s="170">
        <v>11.9</v>
      </c>
      <c r="AB732" s="170">
        <v>11.9</v>
      </c>
      <c r="AC732" s="830">
        <f t="shared" si="111"/>
        <v>11.9</v>
      </c>
      <c r="AD732" s="2964">
        <v>11.9</v>
      </c>
      <c r="AE732" s="172"/>
      <c r="AF732" s="172"/>
      <c r="AG732" s="172"/>
      <c r="AK732" s="732"/>
      <c r="BB732" s="32"/>
    </row>
    <row r="733" spans="1:54" s="31" customFormat="1" hidden="1" outlineLevel="1" x14ac:dyDescent="0.35">
      <c r="A733" s="132"/>
      <c r="B733" s="132"/>
      <c r="C733" s="130"/>
      <c r="D733" s="4264"/>
      <c r="E733" s="4264"/>
      <c r="F733" s="840" t="s">
        <v>1550</v>
      </c>
      <c r="G733" s="2361">
        <v>11.9</v>
      </c>
      <c r="H733" s="3866"/>
      <c r="I733" s="3867"/>
      <c r="J733" s="3866"/>
      <c r="K733" s="4355"/>
      <c r="L733" s="4355"/>
      <c r="M733" s="3867"/>
      <c r="N733" s="132"/>
      <c r="Q733" s="132"/>
      <c r="R733" s="132"/>
      <c r="S733" s="132"/>
      <c r="T733" s="132"/>
      <c r="U733" s="132"/>
      <c r="V733" s="4345"/>
      <c r="W733" s="841">
        <v>11.9</v>
      </c>
      <c r="X733" s="170">
        <v>11.9</v>
      </c>
      <c r="Y733" s="171">
        <v>11.9</v>
      </c>
      <c r="Z733" s="170">
        <v>11.9</v>
      </c>
      <c r="AA733" s="170">
        <v>11.9</v>
      </c>
      <c r="AB733" s="170">
        <v>11.9</v>
      </c>
      <c r="AC733" s="830">
        <f t="shared" si="111"/>
        <v>11.9</v>
      </c>
      <c r="AD733" s="2964">
        <v>11.9</v>
      </c>
      <c r="AE733" s="172"/>
      <c r="AF733" s="172"/>
      <c r="AG733" s="172"/>
      <c r="AK733" s="732"/>
      <c r="BB733" s="32"/>
    </row>
    <row r="734" spans="1:54" s="31" customFormat="1" hidden="1" outlineLevel="1" x14ac:dyDescent="0.35">
      <c r="A734" s="132"/>
      <c r="B734" s="132"/>
      <c r="C734" s="130"/>
      <c r="D734" s="3780"/>
      <c r="E734" s="3780"/>
      <c r="F734" s="840" t="s">
        <v>4172</v>
      </c>
      <c r="G734" s="2361">
        <f>G733</f>
        <v>11.9</v>
      </c>
      <c r="H734" s="3866"/>
      <c r="I734" s="3867"/>
      <c r="J734" s="3866"/>
      <c r="K734" s="4355"/>
      <c r="L734" s="4355"/>
      <c r="M734" s="3867"/>
      <c r="N734" s="132"/>
      <c r="O734" s="132" t="s">
        <v>4193</v>
      </c>
      <c r="P734" s="132"/>
      <c r="Q734" s="132"/>
      <c r="R734" s="132"/>
      <c r="S734" s="132"/>
      <c r="T734" s="132"/>
      <c r="U734" s="132"/>
      <c r="V734" s="4345"/>
      <c r="W734" s="2475"/>
      <c r="X734" s="2475"/>
      <c r="Y734" s="2475"/>
      <c r="Z734" s="2475"/>
      <c r="AA734" s="2475"/>
      <c r="AB734" s="2475"/>
      <c r="AC734" s="830">
        <f t="shared" si="111"/>
        <v>11.9</v>
      </c>
      <c r="AD734" s="2964">
        <v>11.9</v>
      </c>
      <c r="AE734" s="172"/>
      <c r="AF734" s="172"/>
      <c r="AG734" s="172"/>
      <c r="AK734" s="732"/>
      <c r="BB734" s="32"/>
    </row>
    <row r="735" spans="1:54" s="31" customFormat="1" ht="15" hidden="1" customHeight="1" outlineLevel="1" x14ac:dyDescent="0.35">
      <c r="A735" s="132"/>
      <c r="B735" s="132"/>
      <c r="C735" s="130"/>
      <c r="D735" s="4239" t="s">
        <v>1551</v>
      </c>
      <c r="E735" s="4239" t="s">
        <v>1552</v>
      </c>
      <c r="F735" s="840" t="s">
        <v>1546</v>
      </c>
      <c r="G735" s="2361">
        <v>12.566400000000002</v>
      </c>
      <c r="H735" s="3763" t="s">
        <v>977</v>
      </c>
      <c r="I735" s="3763"/>
      <c r="J735" s="3763" t="s">
        <v>1549</v>
      </c>
      <c r="K735" s="3763"/>
      <c r="L735" s="3763"/>
      <c r="M735" s="3763"/>
      <c r="N735" s="132"/>
      <c r="O735" s="132">
        <v>5.6000000000000001E-2</v>
      </c>
      <c r="P735" s="2523">
        <f>ROUND(G$734/(1-O735),2)</f>
        <v>12.61</v>
      </c>
      <c r="Q735" s="132"/>
      <c r="R735" s="132"/>
      <c r="S735" s="132"/>
      <c r="T735" s="132"/>
      <c r="U735" s="132"/>
      <c r="V735" s="4345" t="s">
        <v>1815</v>
      </c>
      <c r="W735" s="841">
        <v>12.566400000000002</v>
      </c>
      <c r="X735" s="170">
        <v>12.566400000000002</v>
      </c>
      <c r="Y735" s="171">
        <v>12.566400000000002</v>
      </c>
      <c r="Z735" s="170">
        <v>12.566400000000002</v>
      </c>
      <c r="AA735" s="170">
        <v>12.566400000000002</v>
      </c>
      <c r="AB735" s="170">
        <v>12.566400000000002</v>
      </c>
      <c r="AC735" s="830">
        <f t="shared" si="111"/>
        <v>12.566400000000002</v>
      </c>
      <c r="AD735" s="2964">
        <v>12.566400000000002</v>
      </c>
      <c r="AE735" s="172"/>
      <c r="AF735" s="172"/>
      <c r="AG735" s="172"/>
      <c r="AK735" s="732"/>
      <c r="BB735" s="32"/>
    </row>
    <row r="736" spans="1:54" s="31" customFormat="1" ht="29" hidden="1" outlineLevel="1" x14ac:dyDescent="0.35">
      <c r="A736" s="132"/>
      <c r="B736" s="132"/>
      <c r="C736" s="130"/>
      <c r="D736" s="4264"/>
      <c r="E736" s="4264"/>
      <c r="F736" s="840" t="s">
        <v>1547</v>
      </c>
      <c r="G736" s="2361">
        <v>15.2796</v>
      </c>
      <c r="H736" s="3763" t="s">
        <v>977</v>
      </c>
      <c r="I736" s="3763"/>
      <c r="J736" s="3763" t="s">
        <v>1549</v>
      </c>
      <c r="K736" s="3763"/>
      <c r="L736" s="3763"/>
      <c r="M736" s="3763"/>
      <c r="N736" s="132"/>
      <c r="O736" s="132">
        <v>0.22</v>
      </c>
      <c r="P736" s="2523">
        <f>ROUND(G$734/(1-O736),2)</f>
        <v>15.26</v>
      </c>
      <c r="R736" s="132"/>
      <c r="S736" s="132"/>
      <c r="T736" s="132"/>
      <c r="U736" s="132"/>
      <c r="V736" s="4345"/>
      <c r="W736" s="841">
        <v>15.2796</v>
      </c>
      <c r="X736" s="170">
        <v>15.2796</v>
      </c>
      <c r="Y736" s="171">
        <v>15.2796</v>
      </c>
      <c r="Z736" s="170">
        <v>15.2796</v>
      </c>
      <c r="AA736" s="170">
        <v>15.2796</v>
      </c>
      <c r="AB736" s="170">
        <v>15.2796</v>
      </c>
      <c r="AC736" s="830">
        <f t="shared" si="111"/>
        <v>15.2796</v>
      </c>
      <c r="AD736" s="2964">
        <v>15.2796</v>
      </c>
      <c r="AE736" s="172"/>
      <c r="AF736" s="172"/>
      <c r="AG736" s="172"/>
      <c r="AK736" s="732"/>
      <c r="BB736" s="32"/>
    </row>
    <row r="737" spans="1:54" s="31" customFormat="1" hidden="1" outlineLevel="1" x14ac:dyDescent="0.35">
      <c r="A737" s="132"/>
      <c r="B737" s="132"/>
      <c r="C737" s="130"/>
      <c r="D737" s="4264"/>
      <c r="E737" s="4264"/>
      <c r="F737" s="840" t="s">
        <v>1548</v>
      </c>
      <c r="G737" s="2361">
        <v>12.352200000000002</v>
      </c>
      <c r="H737" s="3763" t="s">
        <v>977</v>
      </c>
      <c r="I737" s="3763"/>
      <c r="J737" s="3763" t="s">
        <v>1549</v>
      </c>
      <c r="K737" s="3763"/>
      <c r="L737" s="3763"/>
      <c r="M737" s="3763"/>
      <c r="N737" s="132"/>
      <c r="O737" s="132">
        <v>3.7999999999999999E-2</v>
      </c>
      <c r="P737" s="2523">
        <f>ROUND(G$734/(1-O737),2)</f>
        <v>12.37</v>
      </c>
      <c r="R737" s="132"/>
      <c r="S737" s="132"/>
      <c r="T737" s="132"/>
      <c r="U737" s="132"/>
      <c r="V737" s="4345"/>
      <c r="W737" s="841">
        <v>12.352200000000002</v>
      </c>
      <c r="X737" s="170">
        <v>12.352200000000002</v>
      </c>
      <c r="Y737" s="171">
        <v>12.352200000000002</v>
      </c>
      <c r="Z737" s="170">
        <v>12.352200000000002</v>
      </c>
      <c r="AA737" s="170">
        <v>12.352200000000002</v>
      </c>
      <c r="AB737" s="170">
        <v>12.352200000000002</v>
      </c>
      <c r="AC737" s="830">
        <f t="shared" si="111"/>
        <v>12.352200000000002</v>
      </c>
      <c r="AD737" s="2964">
        <v>12.352200000000002</v>
      </c>
      <c r="AE737" s="172"/>
      <c r="AF737" s="172"/>
      <c r="AG737" s="172"/>
      <c r="AK737" s="732"/>
      <c r="BB737" s="32"/>
    </row>
    <row r="738" spans="1:54" s="31" customFormat="1" hidden="1" outlineLevel="1" x14ac:dyDescent="0.35">
      <c r="A738" s="132"/>
      <c r="B738" s="132"/>
      <c r="C738" s="130"/>
      <c r="D738" s="4264"/>
      <c r="E738" s="4264"/>
      <c r="F738" s="840" t="s">
        <v>1550</v>
      </c>
      <c r="G738" s="2413">
        <v>12.8401</v>
      </c>
      <c r="H738" s="3763" t="s">
        <v>977</v>
      </c>
      <c r="I738" s="3763"/>
      <c r="J738" s="3763" t="s">
        <v>1549</v>
      </c>
      <c r="K738" s="3763"/>
      <c r="L738" s="3763"/>
      <c r="M738" s="3763"/>
      <c r="N738" s="132"/>
      <c r="O738" s="132">
        <v>7.9000000000000001E-2</v>
      </c>
      <c r="P738" s="2523">
        <f>ROUND(G$734/(1-O738),2)</f>
        <v>12.92</v>
      </c>
      <c r="R738" s="132"/>
      <c r="S738" s="132"/>
      <c r="T738" s="132"/>
      <c r="U738" s="132"/>
      <c r="V738" s="4345"/>
      <c r="W738" s="170">
        <v>12.8401</v>
      </c>
      <c r="X738" s="170">
        <v>12.8401</v>
      </c>
      <c r="Y738" s="171">
        <v>12.8401</v>
      </c>
      <c r="Z738" s="170">
        <v>12.8401</v>
      </c>
      <c r="AA738" s="170">
        <v>12.8401</v>
      </c>
      <c r="AB738" s="170">
        <v>12.8401</v>
      </c>
      <c r="AC738" s="830">
        <f t="shared" si="111"/>
        <v>12.8401</v>
      </c>
      <c r="AD738" s="2975">
        <v>12.8401</v>
      </c>
      <c r="AE738" s="172"/>
      <c r="AF738" s="172"/>
      <c r="AG738" s="172"/>
      <c r="AK738" s="732"/>
      <c r="BB738" s="32"/>
    </row>
    <row r="739" spans="1:54" s="31" customFormat="1" hidden="1" outlineLevel="1" x14ac:dyDescent="0.35">
      <c r="A739" s="132"/>
      <c r="B739" s="132"/>
      <c r="C739" s="130"/>
      <c r="D739" s="3780"/>
      <c r="E739" s="3780"/>
      <c r="F739" s="840" t="s">
        <v>4172</v>
      </c>
      <c r="G739" s="2361">
        <v>13.8</v>
      </c>
      <c r="H739" s="3866" t="s">
        <v>4185</v>
      </c>
      <c r="I739" s="3867"/>
      <c r="J739" s="3866"/>
      <c r="K739" s="4355"/>
      <c r="L739" s="4355"/>
      <c r="M739" s="3867"/>
      <c r="N739" s="132"/>
      <c r="O739" s="132">
        <v>0.13600000000000001</v>
      </c>
      <c r="P739" s="2523">
        <f>ROUND(G$734/(1-O739),2)</f>
        <v>13.77</v>
      </c>
      <c r="R739" s="132"/>
      <c r="S739" s="132"/>
      <c r="T739" s="132"/>
      <c r="U739" s="132"/>
      <c r="V739" s="4345"/>
      <c r="W739" s="2475"/>
      <c r="X739" s="2475"/>
      <c r="Y739" s="2475"/>
      <c r="Z739" s="2475"/>
      <c r="AA739" s="2475"/>
      <c r="AB739" s="2475"/>
      <c r="AC739" s="830">
        <f t="shared" si="111"/>
        <v>13.8</v>
      </c>
      <c r="AD739" s="2964">
        <v>13.8</v>
      </c>
      <c r="AE739" s="172"/>
      <c r="AF739" s="172"/>
      <c r="AG739" s="172"/>
      <c r="AK739" s="732"/>
      <c r="BB739" s="32"/>
    </row>
    <row r="740" spans="1:54" s="31" customFormat="1" hidden="1" outlineLevel="1" x14ac:dyDescent="0.35">
      <c r="A740" s="132"/>
      <c r="B740" s="132"/>
      <c r="C740" s="130"/>
      <c r="D740" s="843">
        <v>1000</v>
      </c>
      <c r="E740" s="844" t="s">
        <v>1553</v>
      </c>
      <c r="F740" s="840" t="s">
        <v>4176</v>
      </c>
      <c r="G740" s="837">
        <v>1000</v>
      </c>
      <c r="H740" s="3804" t="s">
        <v>1554</v>
      </c>
      <c r="I740" s="3804"/>
      <c r="J740" s="4259"/>
      <c r="K740" s="4259"/>
      <c r="L740" s="4259"/>
      <c r="M740" s="4259"/>
      <c r="N740" s="132"/>
      <c r="Q740" s="132"/>
      <c r="R740" s="132"/>
      <c r="S740" s="132"/>
      <c r="T740" s="132"/>
      <c r="U740" s="132"/>
      <c r="V740" s="738">
        <v>1000</v>
      </c>
      <c r="W740" s="838">
        <v>1000</v>
      </c>
      <c r="X740" s="175">
        <v>1000</v>
      </c>
      <c r="Y740" s="176">
        <v>1000</v>
      </c>
      <c r="Z740" s="175">
        <v>1000</v>
      </c>
      <c r="AA740" s="175">
        <v>1000</v>
      </c>
      <c r="AB740" s="175">
        <v>1000</v>
      </c>
      <c r="AC740" s="2498">
        <f t="shared" si="111"/>
        <v>1000</v>
      </c>
      <c r="AD740" s="837">
        <v>1000</v>
      </c>
      <c r="AE740" s="177"/>
      <c r="AF740" s="177"/>
      <c r="AG740" s="177"/>
      <c r="AK740" s="732"/>
      <c r="BB740" s="32"/>
    </row>
    <row r="741" spans="1:54" s="31" customFormat="1" hidden="1" outlineLevel="1" x14ac:dyDescent="0.35">
      <c r="A741" s="132"/>
      <c r="B741" s="132"/>
      <c r="C741" s="130"/>
      <c r="D741" s="4239" t="s">
        <v>1816</v>
      </c>
      <c r="E741" s="4239" t="s">
        <v>1108</v>
      </c>
      <c r="F741" s="840" t="s">
        <v>313</v>
      </c>
      <c r="G741" s="837">
        <v>1496</v>
      </c>
      <c r="H741" s="3763" t="s">
        <v>1508</v>
      </c>
      <c r="I741" s="3763"/>
      <c r="J741" s="4259"/>
      <c r="K741" s="4259"/>
      <c r="L741" s="4259"/>
      <c r="M741" s="4259"/>
      <c r="N741" s="132"/>
      <c r="Q741" s="132"/>
      <c r="R741" s="132"/>
      <c r="S741" s="132"/>
      <c r="T741" s="132"/>
      <c r="U741" s="132"/>
      <c r="V741" s="4345" t="s">
        <v>1817</v>
      </c>
      <c r="W741" s="838">
        <v>2009</v>
      </c>
      <c r="X741" s="838">
        <v>2009</v>
      </c>
      <c r="Y741" s="845">
        <v>1496</v>
      </c>
      <c r="Z741" s="838">
        <v>1496</v>
      </c>
      <c r="AA741" s="838">
        <v>1496</v>
      </c>
      <c r="AB741" s="838">
        <v>1496</v>
      </c>
      <c r="AC741" s="2498">
        <f t="shared" si="111"/>
        <v>1496</v>
      </c>
      <c r="AD741" s="837">
        <v>1496</v>
      </c>
      <c r="AE741" s="177"/>
      <c r="AF741" s="177"/>
      <c r="AG741" s="177"/>
      <c r="AK741" s="732"/>
      <c r="BB741" s="32"/>
    </row>
    <row r="742" spans="1:54" s="31" customFormat="1" hidden="1" outlineLevel="1" x14ac:dyDescent="0.35">
      <c r="A742" s="132"/>
      <c r="B742" s="132"/>
      <c r="C742" s="130"/>
      <c r="D742" s="3817"/>
      <c r="E742" s="3817"/>
      <c r="F742" s="840" t="s">
        <v>315</v>
      </c>
      <c r="G742" s="837">
        <v>510</v>
      </c>
      <c r="H742" s="3866" t="s">
        <v>1508</v>
      </c>
      <c r="I742" s="3867"/>
      <c r="J742" s="4259"/>
      <c r="K742" s="4259"/>
      <c r="L742" s="4259"/>
      <c r="M742" s="4259"/>
      <c r="N742" s="132"/>
      <c r="Q742" s="132"/>
      <c r="R742" s="132"/>
      <c r="S742" s="132"/>
      <c r="T742" s="132"/>
      <c r="U742" s="132"/>
      <c r="V742" s="4356"/>
      <c r="W742" s="838"/>
      <c r="X742" s="838"/>
      <c r="Y742" s="845">
        <v>510</v>
      </c>
      <c r="Z742" s="838">
        <v>510</v>
      </c>
      <c r="AA742" s="838">
        <v>510</v>
      </c>
      <c r="AB742" s="838">
        <v>510</v>
      </c>
      <c r="AC742" s="2498">
        <f t="shared" si="111"/>
        <v>510</v>
      </c>
      <c r="AD742" s="837">
        <v>510</v>
      </c>
      <c r="AE742" s="177"/>
      <c r="AF742" s="177"/>
      <c r="AG742" s="177"/>
      <c r="AK742" s="732"/>
      <c r="BB742" s="32"/>
    </row>
    <row r="743" spans="1:54" customFormat="1" hidden="1" outlineLevel="1" x14ac:dyDescent="0.35">
      <c r="A743" s="452"/>
      <c r="B743" s="106"/>
      <c r="C743" s="103"/>
      <c r="D743" s="4239" t="s">
        <v>1818</v>
      </c>
      <c r="E743" s="4239" t="s">
        <v>1105</v>
      </c>
      <c r="F743" s="840" t="s">
        <v>318</v>
      </c>
      <c r="G743" s="837">
        <f>G728</f>
        <v>36595</v>
      </c>
      <c r="H743" s="3866" t="s">
        <v>1813</v>
      </c>
      <c r="I743" s="3867"/>
      <c r="J743" s="3818" t="s">
        <v>1543</v>
      </c>
      <c r="K743" s="4344"/>
      <c r="L743" s="4344"/>
      <c r="M743" s="3819"/>
      <c r="N743" s="106"/>
      <c r="O743" s="132"/>
      <c r="P743" s="132"/>
      <c r="Q743" s="132"/>
      <c r="R743" s="106"/>
      <c r="S743" s="106"/>
      <c r="T743" s="106"/>
      <c r="U743" s="106"/>
      <c r="V743" s="4345" t="s">
        <v>1819</v>
      </c>
      <c r="W743" s="838">
        <v>37716.279069767443</v>
      </c>
      <c r="X743" s="175">
        <v>37716.279069767443</v>
      </c>
      <c r="Y743" s="175">
        <v>37716.279069767443</v>
      </c>
      <c r="Z743" s="175">
        <v>37716.279069767443</v>
      </c>
      <c r="AA743" s="175">
        <v>37716.279069767443</v>
      </c>
      <c r="AB743" s="175">
        <v>37716.279069767443</v>
      </c>
      <c r="AC743" s="2498">
        <f t="shared" si="111"/>
        <v>36595</v>
      </c>
      <c r="AD743" s="837">
        <v>36595</v>
      </c>
      <c r="AE743" s="177"/>
      <c r="AF743" s="177"/>
      <c r="AG743" s="177"/>
      <c r="AK743" s="732"/>
      <c r="BB743" s="740"/>
    </row>
    <row r="744" spans="1:54" customFormat="1" hidden="1" outlineLevel="1" x14ac:dyDescent="0.35">
      <c r="A744" s="452"/>
      <c r="B744" s="106"/>
      <c r="C744" s="103"/>
      <c r="D744" s="3780"/>
      <c r="E744" s="3780"/>
      <c r="F744" s="840" t="s">
        <v>320</v>
      </c>
      <c r="G744" s="837">
        <v>22537.991266375546</v>
      </c>
      <c r="H744" s="3866" t="s">
        <v>520</v>
      </c>
      <c r="I744" s="3867"/>
      <c r="J744" s="4259"/>
      <c r="K744" s="4259"/>
      <c r="L744" s="4259"/>
      <c r="M744" s="4259"/>
      <c r="N744" s="106"/>
      <c r="Q744" s="132"/>
      <c r="R744" s="106"/>
      <c r="S744" s="106"/>
      <c r="T744" s="106"/>
      <c r="U744" s="106"/>
      <c r="V744" s="4345"/>
      <c r="W744" s="838">
        <v>24515.58139534884</v>
      </c>
      <c r="X744" s="175">
        <v>24515.58139534884</v>
      </c>
      <c r="Y744" s="839">
        <v>22537.991266375546</v>
      </c>
      <c r="Z744" s="175">
        <v>22537.991266375546</v>
      </c>
      <c r="AA744" s="175">
        <v>22537.991266375546</v>
      </c>
      <c r="AB744" s="175">
        <v>22537.991266375546</v>
      </c>
      <c r="AC744" s="2498">
        <f t="shared" si="111"/>
        <v>22537.991266375546</v>
      </c>
      <c r="AD744" s="837">
        <v>22537.991266375546</v>
      </c>
      <c r="AE744" s="177"/>
      <c r="AF744" s="177"/>
      <c r="AG744" s="177"/>
      <c r="AK744" s="732"/>
      <c r="BB744" s="740"/>
    </row>
    <row r="745" spans="1:54" customFormat="1" ht="15" hidden="1" customHeight="1" outlineLevel="1" x14ac:dyDescent="0.35">
      <c r="A745" s="452"/>
      <c r="B745" s="106"/>
      <c r="C745" s="103"/>
      <c r="D745" s="4239" t="s">
        <v>1820</v>
      </c>
      <c r="E745" s="4357" t="s">
        <v>1821</v>
      </c>
      <c r="F745" s="840" t="s">
        <v>1546</v>
      </c>
      <c r="G745" s="168">
        <v>6.3</v>
      </c>
      <c r="H745" s="3818" t="s">
        <v>1822</v>
      </c>
      <c r="I745" s="3824"/>
      <c r="J745" s="3818"/>
      <c r="K745" s="3823"/>
      <c r="L745" s="3823"/>
      <c r="M745" s="3824"/>
      <c r="N745" s="106"/>
      <c r="O745" s="106"/>
      <c r="P745" s="106"/>
      <c r="Q745" s="106"/>
      <c r="R745" s="106"/>
      <c r="S745" s="106"/>
      <c r="T745" s="106"/>
      <c r="U745" s="106"/>
      <c r="V745" s="4345" t="s">
        <v>1823</v>
      </c>
      <c r="W745" s="163">
        <v>6.3</v>
      </c>
      <c r="X745" s="163">
        <v>6.3</v>
      </c>
      <c r="Y745" s="846">
        <v>6.3</v>
      </c>
      <c r="Z745" s="163">
        <v>6.3</v>
      </c>
      <c r="AA745" s="163">
        <v>6.3</v>
      </c>
      <c r="AB745" s="163">
        <v>6.3</v>
      </c>
      <c r="AC745" s="1324">
        <f t="shared" si="111"/>
        <v>6.3</v>
      </c>
      <c r="AD745" s="168">
        <v>6.3</v>
      </c>
      <c r="AE745" s="847"/>
      <c r="AF745" s="847"/>
      <c r="AG745" s="847"/>
      <c r="AK745" s="732"/>
      <c r="BB745" s="740"/>
    </row>
    <row r="746" spans="1:54" customFormat="1" ht="29" hidden="1" outlineLevel="1" x14ac:dyDescent="0.35">
      <c r="A746" s="452"/>
      <c r="B746" s="106"/>
      <c r="C746" s="103"/>
      <c r="D746" s="4264"/>
      <c r="E746" s="4358"/>
      <c r="F746" s="840" t="s">
        <v>1547</v>
      </c>
      <c r="G746" s="168">
        <v>6.3</v>
      </c>
      <c r="H746" s="3818"/>
      <c r="I746" s="3824"/>
      <c r="J746" s="3818"/>
      <c r="K746" s="3823"/>
      <c r="L746" s="3823"/>
      <c r="M746" s="3824"/>
      <c r="N746" s="106"/>
      <c r="O746" s="106"/>
      <c r="P746" s="106"/>
      <c r="Q746" s="106"/>
      <c r="R746" s="106"/>
      <c r="S746" s="106"/>
      <c r="T746" s="106"/>
      <c r="U746" s="106"/>
      <c r="V746" s="4345"/>
      <c r="W746" s="163">
        <v>6.3</v>
      </c>
      <c r="X746" s="163">
        <v>6.3</v>
      </c>
      <c r="Y746" s="846">
        <v>6.3</v>
      </c>
      <c r="Z746" s="163">
        <v>6.3</v>
      </c>
      <c r="AA746" s="163">
        <v>6.3</v>
      </c>
      <c r="AB746" s="163">
        <v>6.3</v>
      </c>
      <c r="AC746" s="1324">
        <f t="shared" si="111"/>
        <v>6.3</v>
      </c>
      <c r="AD746" s="168">
        <v>6.3</v>
      </c>
      <c r="AE746" s="847"/>
      <c r="AF746" s="847"/>
      <c r="AG746" s="847"/>
      <c r="AK746" s="732"/>
      <c r="BB746" s="740"/>
    </row>
    <row r="747" spans="1:54" customFormat="1" hidden="1" outlineLevel="1" x14ac:dyDescent="0.35">
      <c r="A747" s="452"/>
      <c r="B747" s="106"/>
      <c r="C747" s="103"/>
      <c r="D747" s="4264"/>
      <c r="E747" s="4358"/>
      <c r="F747" s="840" t="s">
        <v>1548</v>
      </c>
      <c r="G747" s="168">
        <v>6.3</v>
      </c>
      <c r="H747" s="3818" t="s">
        <v>1822</v>
      </c>
      <c r="I747" s="3824"/>
      <c r="J747" s="3818"/>
      <c r="K747" s="3823"/>
      <c r="L747" s="3823"/>
      <c r="M747" s="3824"/>
      <c r="N747" s="106"/>
      <c r="O747" s="106"/>
      <c r="P747" s="106"/>
      <c r="Q747" s="106"/>
      <c r="R747" s="106"/>
      <c r="S747" s="106"/>
      <c r="T747" s="106"/>
      <c r="U747" s="106"/>
      <c r="V747" s="4345"/>
      <c r="W747" s="163">
        <v>6.3</v>
      </c>
      <c r="X747" s="163">
        <v>6.3</v>
      </c>
      <c r="Y747" s="846">
        <v>6.3</v>
      </c>
      <c r="Z747" s="163">
        <v>6.3</v>
      </c>
      <c r="AA747" s="163">
        <v>6.3</v>
      </c>
      <c r="AB747" s="163">
        <v>6.3</v>
      </c>
      <c r="AC747" s="1324">
        <f t="shared" si="111"/>
        <v>6.3</v>
      </c>
      <c r="AD747" s="168">
        <v>6.3</v>
      </c>
      <c r="AE747" s="847"/>
      <c r="AF747" s="847"/>
      <c r="AG747" s="847"/>
      <c r="AK747" s="732"/>
      <c r="BB747" s="740"/>
    </row>
    <row r="748" spans="1:54" customFormat="1" hidden="1" outlineLevel="1" x14ac:dyDescent="0.35">
      <c r="A748" s="452"/>
      <c r="B748" s="106"/>
      <c r="C748" s="103"/>
      <c r="D748" s="4264"/>
      <c r="E748" s="4358"/>
      <c r="F748" s="840" t="s">
        <v>1550</v>
      </c>
      <c r="G748" s="168">
        <v>6.3</v>
      </c>
      <c r="H748" s="3818"/>
      <c r="I748" s="3824"/>
      <c r="J748" s="3818"/>
      <c r="K748" s="3823"/>
      <c r="L748" s="3823"/>
      <c r="M748" s="3824"/>
      <c r="N748" s="106"/>
      <c r="O748" s="106"/>
      <c r="P748" s="106"/>
      <c r="Q748" s="106"/>
      <c r="R748" s="106"/>
      <c r="S748" s="106"/>
      <c r="T748" s="106"/>
      <c r="U748" s="106"/>
      <c r="V748" s="4345"/>
      <c r="W748" s="163">
        <v>6.3</v>
      </c>
      <c r="X748" s="163">
        <v>6.3</v>
      </c>
      <c r="Y748" s="846">
        <v>6.3</v>
      </c>
      <c r="Z748" s="163">
        <v>6.3</v>
      </c>
      <c r="AA748" s="163">
        <v>6.3</v>
      </c>
      <c r="AB748" s="163">
        <v>6.3</v>
      </c>
      <c r="AC748" s="1324">
        <f t="shared" si="111"/>
        <v>6.3</v>
      </c>
      <c r="AD748" s="168">
        <v>6.3</v>
      </c>
      <c r="AE748" s="847"/>
      <c r="AF748" s="847"/>
      <c r="AG748" s="847"/>
      <c r="AK748" s="732"/>
      <c r="BB748" s="740"/>
    </row>
    <row r="749" spans="1:54" customFormat="1" hidden="1" outlineLevel="1" x14ac:dyDescent="0.35">
      <c r="A749" s="452"/>
      <c r="B749" s="106"/>
      <c r="C749" s="103"/>
      <c r="D749" s="3780"/>
      <c r="E749" s="4359"/>
      <c r="F749" s="840" t="s">
        <v>4172</v>
      </c>
      <c r="G749" s="849">
        <f>G748</f>
        <v>6.3</v>
      </c>
      <c r="H749" s="3866"/>
      <c r="I749" s="3867"/>
      <c r="J749" s="3818"/>
      <c r="K749" s="3823"/>
      <c r="L749" s="3823"/>
      <c r="M749" s="3824"/>
      <c r="N749" s="106"/>
      <c r="O749" s="132" t="s">
        <v>4193</v>
      </c>
      <c r="P749" s="132"/>
      <c r="Q749" s="106"/>
      <c r="R749" s="106">
        <v>6.3</v>
      </c>
      <c r="S749" s="106"/>
      <c r="T749" s="106"/>
      <c r="U749" s="106"/>
      <c r="V749" s="4345"/>
      <c r="W749" s="2475"/>
      <c r="X749" s="2475"/>
      <c r="Y749" s="2475"/>
      <c r="Z749" s="2475"/>
      <c r="AA749" s="2475"/>
      <c r="AB749" s="2475"/>
      <c r="AC749" s="1324">
        <f t="shared" si="111"/>
        <v>6.3</v>
      </c>
      <c r="AD749" s="849">
        <v>6.3</v>
      </c>
      <c r="AE749" s="847"/>
      <c r="AF749" s="847"/>
      <c r="AG749" s="847"/>
      <c r="AK749" s="732"/>
      <c r="BB749" s="740"/>
    </row>
    <row r="750" spans="1:54" customFormat="1" ht="15" hidden="1" customHeight="1" outlineLevel="1" x14ac:dyDescent="0.35">
      <c r="A750" s="452"/>
      <c r="B750" s="106"/>
      <c r="C750" s="103"/>
      <c r="D750" s="4239" t="s">
        <v>1824</v>
      </c>
      <c r="E750" s="4360" t="s">
        <v>1825</v>
      </c>
      <c r="F750" s="840" t="s">
        <v>1546</v>
      </c>
      <c r="G750" s="168">
        <v>6.3837905236907728</v>
      </c>
      <c r="H750" s="3763" t="s">
        <v>1826</v>
      </c>
      <c r="I750" s="3763"/>
      <c r="J750" s="3763" t="s">
        <v>1827</v>
      </c>
      <c r="K750" s="3763"/>
      <c r="L750" s="3763"/>
      <c r="M750" s="3763"/>
      <c r="N750" s="106"/>
      <c r="O750" s="132">
        <v>5.6000000000000001E-2</v>
      </c>
      <c r="P750" s="2523">
        <f>ROUND(G$749/(1-O750),2)</f>
        <v>6.67</v>
      </c>
      <c r="Q750" s="106"/>
      <c r="R750" s="2524">
        <f>R$749/G750-1</f>
        <v>-1.3125512715340459E-2</v>
      </c>
      <c r="S750" s="106"/>
      <c r="T750" s="106"/>
      <c r="U750" s="106"/>
      <c r="V750" s="4345" t="s">
        <v>1823</v>
      </c>
      <c r="W750" s="163">
        <v>6.3837905236907728</v>
      </c>
      <c r="X750" s="163">
        <v>6.3837905236907728</v>
      </c>
      <c r="Y750" s="846">
        <v>6.3837905236907728</v>
      </c>
      <c r="Z750" s="163">
        <v>6.3837905236907728</v>
      </c>
      <c r="AA750" s="163">
        <v>6.3837905236907728</v>
      </c>
      <c r="AB750" s="163">
        <v>6.3837905236907728</v>
      </c>
      <c r="AC750" s="1324">
        <f t="shared" si="111"/>
        <v>6.3837905236907728</v>
      </c>
      <c r="AD750" s="168">
        <v>6.3837905236907728</v>
      </c>
      <c r="AE750" s="847"/>
      <c r="AF750" s="847"/>
      <c r="AG750" s="847"/>
      <c r="AK750" s="732"/>
      <c r="BB750" s="740"/>
    </row>
    <row r="751" spans="1:54" customFormat="1" ht="29" hidden="1" outlineLevel="1" x14ac:dyDescent="0.35">
      <c r="A751" s="452"/>
      <c r="B751" s="106"/>
      <c r="C751" s="103"/>
      <c r="D751" s="4264"/>
      <c r="E751" s="4361"/>
      <c r="F751" s="840" t="s">
        <v>1547</v>
      </c>
      <c r="G751" s="168">
        <v>6.7249376558603498</v>
      </c>
      <c r="H751" s="3763"/>
      <c r="I751" s="3763"/>
      <c r="J751" s="3763"/>
      <c r="K751" s="3763"/>
      <c r="L751" s="3763"/>
      <c r="M751" s="3763"/>
      <c r="N751" s="106"/>
      <c r="O751" s="132">
        <v>0.22</v>
      </c>
      <c r="P751" s="2523">
        <f t="shared" ref="P751:P754" si="112">ROUND(G$749/(1-O751),2)</f>
        <v>8.08</v>
      </c>
      <c r="Q751" s="106"/>
      <c r="R751" s="2524">
        <f>R$749/G751-1</f>
        <v>-6.3188341306040785E-2</v>
      </c>
      <c r="S751" s="106"/>
      <c r="T751" s="106"/>
      <c r="U751" s="106"/>
      <c r="V751" s="4345"/>
      <c r="W751" s="163">
        <v>6.7249376558603498</v>
      </c>
      <c r="X751" s="848">
        <v>6.7249376558603498</v>
      </c>
      <c r="Y751" s="846">
        <v>6.7249376558603498</v>
      </c>
      <c r="Z751" s="163">
        <v>6.7249376558603498</v>
      </c>
      <c r="AA751" s="163">
        <v>6.7249376558603498</v>
      </c>
      <c r="AB751" s="163">
        <v>6.7249376558603498</v>
      </c>
      <c r="AC751" s="1324">
        <f t="shared" si="111"/>
        <v>6.7249376558603498</v>
      </c>
      <c r="AD751" s="168">
        <v>6.7249376558603498</v>
      </c>
      <c r="AE751" s="847"/>
      <c r="AF751" s="847"/>
      <c r="AG751" s="847"/>
      <c r="AK751" s="732"/>
      <c r="BB751" s="740"/>
    </row>
    <row r="752" spans="1:54" customFormat="1" hidden="1" outlineLevel="1" x14ac:dyDescent="0.35">
      <c r="A752" s="452"/>
      <c r="B752" s="106"/>
      <c r="C752" s="103"/>
      <c r="D752" s="4264"/>
      <c r="E752" s="4361"/>
      <c r="F752" s="840" t="s">
        <v>1548</v>
      </c>
      <c r="G752" s="168">
        <v>6.3568578553615955</v>
      </c>
      <c r="H752" s="3763"/>
      <c r="I752" s="3763"/>
      <c r="J752" s="3763"/>
      <c r="K752" s="3763"/>
      <c r="L752" s="3763"/>
      <c r="M752" s="3763"/>
      <c r="N752" s="106"/>
      <c r="O752" s="132">
        <v>3.7999999999999999E-2</v>
      </c>
      <c r="P752" s="2523">
        <f t="shared" si="112"/>
        <v>6.55</v>
      </c>
      <c r="Q752" s="106"/>
      <c r="R752" s="2524">
        <f t="shared" ref="R752:R754" si="113">R$749/G752-1</f>
        <v>-8.9443332941037124E-3</v>
      </c>
      <c r="S752" s="106"/>
      <c r="T752" s="106"/>
      <c r="U752" s="106"/>
      <c r="V752" s="4345"/>
      <c r="W752" s="163">
        <v>6.3568578553615955</v>
      </c>
      <c r="X752" s="163">
        <v>6.3568578553615955</v>
      </c>
      <c r="Y752" s="846">
        <v>6.3568578553615955</v>
      </c>
      <c r="Z752" s="163">
        <v>6.3568578553615955</v>
      </c>
      <c r="AA752" s="163">
        <v>6.3568578553615955</v>
      </c>
      <c r="AB752" s="163">
        <v>6.3568578553615955</v>
      </c>
      <c r="AC752" s="1324">
        <f t="shared" si="111"/>
        <v>6.3568578553615955</v>
      </c>
      <c r="AD752" s="168">
        <v>6.3568578553615955</v>
      </c>
      <c r="AE752" s="847"/>
      <c r="AF752" s="847"/>
      <c r="AG752" s="847"/>
      <c r="AK752" s="732"/>
      <c r="BB752" s="740"/>
    </row>
    <row r="753" spans="1:57" customFormat="1" hidden="1" outlineLevel="1" x14ac:dyDescent="0.35">
      <c r="A753" s="452"/>
      <c r="B753" s="106"/>
      <c r="C753" s="103"/>
      <c r="D753" s="4264"/>
      <c r="E753" s="4361"/>
      <c r="F753" s="840" t="s">
        <v>1550</v>
      </c>
      <c r="G753" s="168">
        <v>6.4182044887780547</v>
      </c>
      <c r="H753" s="3763"/>
      <c r="I753" s="3763"/>
      <c r="J753" s="3763"/>
      <c r="K753" s="3763"/>
      <c r="L753" s="3763"/>
      <c r="M753" s="3763"/>
      <c r="N753" s="106"/>
      <c r="O753" s="132">
        <v>7.9000000000000001E-2</v>
      </c>
      <c r="P753" s="2523">
        <f t="shared" si="112"/>
        <v>6.84</v>
      </c>
      <c r="Q753" s="106"/>
      <c r="R753" s="2524">
        <f t="shared" si="113"/>
        <v>-1.8417064925982052E-2</v>
      </c>
      <c r="S753" s="106"/>
      <c r="T753" s="106"/>
      <c r="U753" s="106"/>
      <c r="V753" s="4345"/>
      <c r="W753" s="163">
        <v>6.4182044887780547</v>
      </c>
      <c r="X753" s="848">
        <v>6.4182044887780547</v>
      </c>
      <c r="Y753" s="846">
        <v>6.4182044887780547</v>
      </c>
      <c r="Z753" s="163">
        <v>6.4182044887780547</v>
      </c>
      <c r="AA753" s="163">
        <v>6.4182044887780547</v>
      </c>
      <c r="AB753" s="163">
        <v>6.4182044887780547</v>
      </c>
      <c r="AC753" s="1324">
        <f t="shared" si="111"/>
        <v>6.4182044887780547</v>
      </c>
      <c r="AD753" s="168">
        <v>6.4182044887780547</v>
      </c>
      <c r="AE753" s="847"/>
      <c r="AF753" s="847"/>
      <c r="AG753" s="847"/>
      <c r="AK753" s="732"/>
      <c r="BB753" s="740"/>
    </row>
    <row r="754" spans="1:57" customFormat="1" hidden="1" outlineLevel="1" x14ac:dyDescent="0.35">
      <c r="A754" s="452"/>
      <c r="B754" s="106"/>
      <c r="C754" s="103"/>
      <c r="D754" s="3780"/>
      <c r="E754" s="4362"/>
      <c r="F754" s="840" t="s">
        <v>4172</v>
      </c>
      <c r="G754" s="849">
        <v>7.29</v>
      </c>
      <c r="H754" s="3866" t="s">
        <v>4185</v>
      </c>
      <c r="I754" s="3867"/>
      <c r="J754" s="4363"/>
      <c r="K754" s="4363"/>
      <c r="L754" s="4363"/>
      <c r="M754" s="4363"/>
      <c r="N754" s="106"/>
      <c r="O754" s="132">
        <v>0.13600000000000001</v>
      </c>
      <c r="P754" s="2523">
        <f t="shared" si="112"/>
        <v>7.29</v>
      </c>
      <c r="Q754" s="106"/>
      <c r="R754" s="2524">
        <f t="shared" si="113"/>
        <v>-0.13580246913580252</v>
      </c>
      <c r="S754" s="106"/>
      <c r="T754" s="106"/>
      <c r="U754" s="106"/>
      <c r="V754" s="4345"/>
      <c r="W754" s="2475"/>
      <c r="X754" s="2475"/>
      <c r="Y754" s="2475"/>
      <c r="Z754" s="2475"/>
      <c r="AA754" s="2475"/>
      <c r="AB754" s="2475"/>
      <c r="AC754" s="1324">
        <f t="shared" si="111"/>
        <v>7.29</v>
      </c>
      <c r="AD754" s="849">
        <v>7.29</v>
      </c>
      <c r="AE754" s="847"/>
      <c r="AF754" s="847"/>
      <c r="AG754" s="847"/>
      <c r="AK754" s="732"/>
      <c r="BB754" s="740"/>
    </row>
    <row r="755" spans="1:57" customFormat="1" hidden="1" outlineLevel="1" x14ac:dyDescent="0.35">
      <c r="A755" s="452"/>
      <c r="B755" s="106"/>
      <c r="C755" s="103"/>
      <c r="D755" s="2412" t="str">
        <f>D665</f>
        <v>EUL</v>
      </c>
      <c r="E755" s="2546" t="str">
        <f>E596</f>
        <v>Effective Useful Life</v>
      </c>
      <c r="F755" s="840" t="s">
        <v>134</v>
      </c>
      <c r="G755" s="849">
        <v>2</v>
      </c>
      <c r="H755" s="3763" t="s">
        <v>1811</v>
      </c>
      <c r="I755" s="3763"/>
      <c r="J755" s="3763"/>
      <c r="K755" s="3763"/>
      <c r="L755" s="3763"/>
      <c r="M755" s="3763"/>
      <c r="N755" s="106"/>
      <c r="O755" s="106"/>
      <c r="P755" s="106"/>
      <c r="Q755" s="106"/>
      <c r="R755" s="106"/>
      <c r="S755" s="106"/>
      <c r="T755" s="106"/>
      <c r="U755" s="106"/>
      <c r="V755" s="2414" t="str">
        <f>D755</f>
        <v>EUL</v>
      </c>
      <c r="W755" s="850">
        <v>2</v>
      </c>
      <c r="X755" s="163">
        <v>2</v>
      </c>
      <c r="Y755" s="846">
        <v>2</v>
      </c>
      <c r="Z755" s="163">
        <v>2</v>
      </c>
      <c r="AA755" s="163">
        <v>2</v>
      </c>
      <c r="AB755" s="163">
        <v>2</v>
      </c>
      <c r="AC755" s="1324">
        <f t="shared" si="111"/>
        <v>2</v>
      </c>
      <c r="AD755" s="849">
        <v>2</v>
      </c>
      <c r="AE755" s="847"/>
      <c r="AF755" s="847"/>
      <c r="AG755" s="847"/>
      <c r="AK755" s="732"/>
      <c r="BB755" s="740"/>
    </row>
    <row r="756" spans="1:57" s="31" customFormat="1" hidden="1" outlineLevel="1" x14ac:dyDescent="0.35">
      <c r="A756" s="132"/>
      <c r="B756" s="132"/>
      <c r="C756" s="130"/>
      <c r="D756" s="4259" t="str">
        <f>D597</f>
        <v>Inc. Cost</v>
      </c>
      <c r="E756" s="3763" t="str">
        <f>E597</f>
        <v>Incremental Cost</v>
      </c>
      <c r="F756" s="840" t="s">
        <v>1546</v>
      </c>
      <c r="G756" s="2488">
        <v>70</v>
      </c>
      <c r="H756" s="3763"/>
      <c r="I756" s="3763"/>
      <c r="J756" s="3763"/>
      <c r="K756" s="3763"/>
      <c r="L756" s="3763"/>
      <c r="M756" s="3763"/>
      <c r="N756" s="132"/>
      <c r="O756" s="132"/>
      <c r="P756" s="132"/>
      <c r="Q756" s="132"/>
      <c r="R756" s="132"/>
      <c r="S756" s="132"/>
      <c r="T756" s="132"/>
      <c r="U756" s="132"/>
      <c r="V756" s="4345" t="str">
        <f>D756</f>
        <v>Inc. Cost</v>
      </c>
      <c r="W756" s="2488">
        <v>70</v>
      </c>
      <c r="X756" s="2488">
        <v>70</v>
      </c>
      <c r="Y756" s="2488">
        <v>70</v>
      </c>
      <c r="Z756" s="2488">
        <v>70</v>
      </c>
      <c r="AA756" s="2488">
        <v>70</v>
      </c>
      <c r="AB756" s="2488">
        <v>70</v>
      </c>
      <c r="AC756" s="2488">
        <f t="shared" si="111"/>
        <v>70</v>
      </c>
      <c r="AD756" s="2488">
        <v>70</v>
      </c>
      <c r="AE756" s="172"/>
      <c r="AF756" s="172"/>
      <c r="AG756" s="172"/>
      <c r="AK756" s="732"/>
      <c r="BB756" s="32"/>
    </row>
    <row r="757" spans="1:57" s="31" customFormat="1" ht="29" hidden="1" outlineLevel="1" x14ac:dyDescent="0.35">
      <c r="A757" s="132"/>
      <c r="B757" s="132"/>
      <c r="C757" s="130"/>
      <c r="D757" s="4259"/>
      <c r="E757" s="3763"/>
      <c r="F757" s="840" t="s">
        <v>1547</v>
      </c>
      <c r="G757" s="2488">
        <v>81</v>
      </c>
      <c r="H757" s="3763"/>
      <c r="I757" s="3763"/>
      <c r="J757" s="3763"/>
      <c r="K757" s="3763"/>
      <c r="L757" s="3763"/>
      <c r="M757" s="3763"/>
      <c r="N757" s="132"/>
      <c r="O757" s="132"/>
      <c r="P757" s="132"/>
      <c r="Q757" s="132"/>
      <c r="R757" s="132"/>
      <c r="S757" s="132"/>
      <c r="T757" s="132"/>
      <c r="U757" s="132"/>
      <c r="V757" s="4345"/>
      <c r="W757" s="2488">
        <v>81</v>
      </c>
      <c r="X757" s="2488">
        <v>81</v>
      </c>
      <c r="Y757" s="2488">
        <v>81</v>
      </c>
      <c r="Z757" s="2488">
        <v>81</v>
      </c>
      <c r="AA757" s="2488">
        <v>81</v>
      </c>
      <c r="AB757" s="2488">
        <v>81</v>
      </c>
      <c r="AC757" s="2488">
        <f t="shared" si="111"/>
        <v>81</v>
      </c>
      <c r="AD757" s="2488">
        <v>81</v>
      </c>
      <c r="AE757" s="172"/>
      <c r="AF757" s="172"/>
      <c r="AG757" s="172"/>
      <c r="AK757" s="732"/>
      <c r="BB757" s="32"/>
    </row>
    <row r="758" spans="1:57" s="31" customFormat="1" hidden="1" outlineLevel="1" x14ac:dyDescent="0.35">
      <c r="A758" s="132"/>
      <c r="B758" s="132"/>
      <c r="C758" s="130"/>
      <c r="D758" s="4259"/>
      <c r="E758" s="3763"/>
      <c r="F758" s="840" t="s">
        <v>1548</v>
      </c>
      <c r="G758" s="2488">
        <v>63</v>
      </c>
      <c r="H758" s="3763"/>
      <c r="I758" s="3763"/>
      <c r="J758" s="3763"/>
      <c r="K758" s="3763"/>
      <c r="L758" s="3763"/>
      <c r="M758" s="3763"/>
      <c r="N758" s="132"/>
      <c r="O758" s="132"/>
      <c r="P758" s="132"/>
      <c r="Q758" s="132"/>
      <c r="R758" s="132"/>
      <c r="S758" s="132"/>
      <c r="T758" s="132"/>
      <c r="U758" s="132"/>
      <c r="V758" s="4345"/>
      <c r="W758" s="2488">
        <v>63</v>
      </c>
      <c r="X758" s="2488">
        <v>63</v>
      </c>
      <c r="Y758" s="2488">
        <v>63</v>
      </c>
      <c r="Z758" s="2488">
        <v>63</v>
      </c>
      <c r="AA758" s="2488">
        <v>63</v>
      </c>
      <c r="AB758" s="2488">
        <v>63</v>
      </c>
      <c r="AC758" s="2488">
        <f t="shared" si="111"/>
        <v>63</v>
      </c>
      <c r="AD758" s="2488">
        <v>63</v>
      </c>
      <c r="AE758" s="172"/>
      <c r="AF758" s="172"/>
      <c r="AG758" s="172"/>
      <c r="AK758" s="732"/>
      <c r="BB758" s="32"/>
    </row>
    <row r="759" spans="1:57" s="31" customFormat="1" hidden="1" outlineLevel="1" x14ac:dyDescent="0.35">
      <c r="A759" s="132"/>
      <c r="B759" s="132"/>
      <c r="C759" s="130"/>
      <c r="D759" s="4259"/>
      <c r="E759" s="3763"/>
      <c r="F759" s="840" t="s">
        <v>1550</v>
      </c>
      <c r="G759" s="2489">
        <v>31</v>
      </c>
      <c r="H759" s="3763"/>
      <c r="I759" s="3763"/>
      <c r="J759" s="3763"/>
      <c r="K759" s="3763"/>
      <c r="L759" s="3763"/>
      <c r="M759" s="3763"/>
      <c r="N759" s="132"/>
      <c r="O759" s="132"/>
      <c r="P759" s="132"/>
      <c r="Q759" s="132"/>
      <c r="R759" s="132"/>
      <c r="S759" s="132"/>
      <c r="T759" s="132"/>
      <c r="U759" s="132"/>
      <c r="V759" s="4345"/>
      <c r="W759" s="2488">
        <v>31</v>
      </c>
      <c r="X759" s="2488">
        <v>31</v>
      </c>
      <c r="Y759" s="2488">
        <v>31</v>
      </c>
      <c r="Z759" s="2488">
        <v>31</v>
      </c>
      <c r="AA759" s="2488">
        <v>31</v>
      </c>
      <c r="AB759" s="2488">
        <v>31</v>
      </c>
      <c r="AC759" s="2488">
        <f t="shared" si="111"/>
        <v>31</v>
      </c>
      <c r="AD759" s="2489">
        <v>31</v>
      </c>
      <c r="AE759" s="172"/>
      <c r="AF759" s="172"/>
      <c r="AG759" s="172"/>
      <c r="AK759" s="732"/>
      <c r="BB759" s="32"/>
    </row>
    <row r="760" spans="1:57" s="31" customFormat="1" hidden="1" outlineLevel="1" x14ac:dyDescent="0.35">
      <c r="A760" s="132"/>
      <c r="B760" s="132"/>
      <c r="C760" s="130"/>
      <c r="D760" s="4259"/>
      <c r="E760" s="3763"/>
      <c r="F760" s="840" t="s">
        <v>4172</v>
      </c>
      <c r="G760" s="2489">
        <v>185</v>
      </c>
      <c r="H760" s="3763" t="s">
        <v>4201</v>
      </c>
      <c r="I760" s="3763"/>
      <c r="J760" s="3763"/>
      <c r="K760" s="3763"/>
      <c r="L760" s="3763"/>
      <c r="M760" s="3763"/>
      <c r="N760" s="132"/>
      <c r="O760" s="132"/>
      <c r="P760" s="132"/>
      <c r="Q760" s="132"/>
      <c r="R760" s="132"/>
      <c r="S760" s="132"/>
      <c r="T760" s="132"/>
      <c r="U760" s="132"/>
      <c r="V760" s="4345"/>
      <c r="W760" s="2475"/>
      <c r="X760" s="2475"/>
      <c r="Y760" s="2475"/>
      <c r="Z760" s="2475"/>
      <c r="AA760" s="2475"/>
      <c r="AB760" s="2475"/>
      <c r="AC760" s="3136">
        <v>185</v>
      </c>
      <c r="AD760" s="2489">
        <v>185</v>
      </c>
      <c r="AE760" s="172"/>
      <c r="AF760" s="172"/>
      <c r="AG760" s="172"/>
      <c r="AK760" s="732"/>
      <c r="BB760" s="32"/>
    </row>
    <row r="761" spans="1:57" ht="15" hidden="1" customHeight="1" outlineLevel="1" x14ac:dyDescent="0.35">
      <c r="B761" s="1040"/>
      <c r="AK761" s="732"/>
    </row>
    <row r="762" spans="1:57" collapsed="1" x14ac:dyDescent="0.35">
      <c r="B762" s="1040"/>
      <c r="AK762" s="732"/>
    </row>
    <row r="763" spans="1:57" ht="15" customHeight="1" x14ac:dyDescent="0.35">
      <c r="B763" s="3664" t="s">
        <v>1828</v>
      </c>
      <c r="C763" s="3665"/>
      <c r="D763" s="3665"/>
      <c r="E763" s="3665"/>
      <c r="F763" s="3665"/>
      <c r="G763" s="3665"/>
      <c r="H763" s="3665"/>
      <c r="I763" s="3666"/>
      <c r="J763" s="3666"/>
      <c r="K763" s="3666"/>
      <c r="L763" s="3666"/>
      <c r="M763" s="3666"/>
      <c r="N763" s="3666"/>
      <c r="O763" s="3666"/>
      <c r="P763" s="3666"/>
      <c r="Q763" s="3666"/>
      <c r="R763" s="3667"/>
      <c r="V763" s="3664" t="str">
        <f>B763</f>
        <v>Low Flow Faucet Aerators (Bathroom)</v>
      </c>
      <c r="W763" s="3665"/>
      <c r="X763" s="3665"/>
      <c r="Y763" s="3665"/>
      <c r="Z763" s="3665"/>
      <c r="AA763" s="3665"/>
      <c r="AB763" s="3665"/>
      <c r="AC763" s="3666"/>
      <c r="AD763" s="3666"/>
      <c r="AE763" s="3666"/>
      <c r="AF763" s="3666"/>
      <c r="AG763" s="3666"/>
      <c r="AH763" s="3666"/>
      <c r="AI763" s="3667"/>
      <c r="AK763" s="732"/>
    </row>
    <row r="764" spans="1:57" ht="15" customHeight="1" x14ac:dyDescent="0.35">
      <c r="B764" s="1040"/>
      <c r="D764" s="367"/>
      <c r="E764" s="367"/>
      <c r="F764" s="198"/>
      <c r="G764" s="198"/>
      <c r="H764" s="198"/>
      <c r="I764" s="198"/>
      <c r="J764" s="198"/>
      <c r="K764" s="198"/>
      <c r="L764" s="1219"/>
      <c r="AK764" s="732"/>
    </row>
    <row r="765" spans="1:57" ht="29" x14ac:dyDescent="0.35">
      <c r="B765" s="1040"/>
      <c r="C765" s="2331" t="s">
        <v>27</v>
      </c>
      <c r="D765" s="2331" t="s">
        <v>174</v>
      </c>
      <c r="E765" s="2331" t="s">
        <v>29</v>
      </c>
      <c r="F765" s="2331" t="s">
        <v>1670</v>
      </c>
      <c r="G765" s="2331" t="s">
        <v>175</v>
      </c>
      <c r="H765" s="2331" t="s">
        <v>176</v>
      </c>
      <c r="I765" s="2331" t="s">
        <v>588</v>
      </c>
      <c r="J765" s="2331" t="s">
        <v>31</v>
      </c>
      <c r="K765" s="2331" t="s">
        <v>180</v>
      </c>
      <c r="L765" s="2331" t="s">
        <v>169</v>
      </c>
      <c r="M765" s="2331" t="s">
        <v>43</v>
      </c>
      <c r="V765" s="1572" t="s">
        <v>44</v>
      </c>
      <c r="W765" s="1573">
        <f>W$6</f>
        <v>43252</v>
      </c>
      <c r="X765" s="1573">
        <f t="shared" ref="X765:AG765" si="114">X$6</f>
        <v>43465</v>
      </c>
      <c r="Y765" s="316">
        <f t="shared" si="114"/>
        <v>43800</v>
      </c>
      <c r="Z765" s="1573">
        <f t="shared" si="114"/>
        <v>43862</v>
      </c>
      <c r="AA765" s="1573">
        <f t="shared" si="114"/>
        <v>44013</v>
      </c>
      <c r="AB765" s="1573">
        <f t="shared" si="114"/>
        <v>44166</v>
      </c>
      <c r="AC765" s="1573">
        <f t="shared" si="114"/>
        <v>44531</v>
      </c>
      <c r="AD765" s="1573">
        <f t="shared" si="114"/>
        <v>44774</v>
      </c>
      <c r="AE765" s="1573" t="str">
        <f t="shared" si="114"/>
        <v>-</v>
      </c>
      <c r="AF765" s="1573" t="str">
        <f t="shared" si="114"/>
        <v>-</v>
      </c>
      <c r="AG765" s="1573" t="str">
        <f t="shared" si="114"/>
        <v>-</v>
      </c>
      <c r="AK765" s="732"/>
      <c r="BB765" s="1574" t="str">
        <f>$BB$6</f>
        <v>TRC (2022)</v>
      </c>
      <c r="BC765" s="1584" t="str">
        <f>$BC$6</f>
        <v>Benefit Lookup</v>
      </c>
      <c r="BD765" s="556" t="str">
        <f>$BD$6</f>
        <v>Benefits (2019 $)</v>
      </c>
      <c r="BE765" s="200" t="str">
        <f>$BE$6</f>
        <v>Incremental Cost (2019 $)</v>
      </c>
    </row>
    <row r="766" spans="1:57" s="741" customFormat="1" x14ac:dyDescent="0.35">
      <c r="A766" s="756"/>
      <c r="B766" s="1328"/>
      <c r="C766" s="395" t="s">
        <v>1829</v>
      </c>
      <c r="D766" s="1279" t="s">
        <v>1518</v>
      </c>
      <c r="E766" s="2381" t="s">
        <v>4292</v>
      </c>
      <c r="F766" s="459">
        <f>ROUND(G780*(G781*G782-G783*G784)*G785*G786*G787/G788*I766*G796*G795,2)</f>
        <v>17.77</v>
      </c>
      <c r="G766" s="395" t="s">
        <v>1830</v>
      </c>
      <c r="H766" s="393">
        <f>VLOOKUP(G766,'CP FACTORS'!$A$3:$B$38, 2, FALSE)</f>
        <v>8.8731800000000003E-5</v>
      </c>
      <c r="I766" s="458">
        <f>$G$789*$G$790*($G$791-$G$792)/($G$793*$G$794)</f>
        <v>4.658558030480657E-2</v>
      </c>
      <c r="J766" s="2733">
        <f>ROUND(F766*H766,6)</f>
        <v>1.5770000000000001E-3</v>
      </c>
      <c r="K766" s="820">
        <f>$G$798</f>
        <v>11</v>
      </c>
      <c r="L766" s="1845">
        <f>G799</f>
        <v>3</v>
      </c>
      <c r="M766" s="395" t="s">
        <v>184</v>
      </c>
      <c r="N766" s="756"/>
      <c r="O766" s="756"/>
      <c r="P766" s="756"/>
      <c r="Q766" s="756"/>
      <c r="R766" s="1214"/>
      <c r="S766" s="756"/>
      <c r="T766" s="756"/>
      <c r="U766" s="756"/>
      <c r="V766" s="851" t="str">
        <f>F765</f>
        <v>kWh
Annual Savings</v>
      </c>
      <c r="W766" s="827">
        <v>38.83611813974143</v>
      </c>
      <c r="X766" s="852">
        <v>40.786805206808886</v>
      </c>
      <c r="Y766" s="373">
        <v>36.979999999999997</v>
      </c>
      <c r="Z766" s="1741">
        <v>36.979999999999997</v>
      </c>
      <c r="AA766" s="1741">
        <v>36.979999999999997</v>
      </c>
      <c r="AB766" s="1599">
        <v>37.020000000000003</v>
      </c>
      <c r="AC766" s="899">
        <v>37.020000000000003</v>
      </c>
      <c r="AD766" s="1599">
        <v>17.77</v>
      </c>
      <c r="AE766" s="851"/>
      <c r="AF766" s="851"/>
      <c r="AG766" s="851"/>
      <c r="AH766" s="344"/>
      <c r="AK766" s="853"/>
      <c r="BB766" s="854">
        <f>(BD766)/(BE766)</f>
        <v>2.3156568839285034</v>
      </c>
      <c r="BC766" s="2381" t="str">
        <f>CONCATENATE(G766," ",K766," Year EUL")</f>
        <v>Water heating RES 11 Year EUL</v>
      </c>
      <c r="BD766" s="95">
        <f>(INDEX('Avoided Cost Benefits'!$E$4:$E$859,MATCH(BC766,'Avoided Cost Benefits'!$A$4:$A$859,0)))*F766</f>
        <v>6.5568387463761297</v>
      </c>
      <c r="BE766" s="855">
        <f>L766/(1.0595^(2020-2019))</f>
        <v>2.8315243039169418</v>
      </c>
    </row>
    <row r="767" spans="1:57" s="741" customFormat="1" x14ac:dyDescent="0.35">
      <c r="A767" s="756"/>
      <c r="B767" s="1328"/>
      <c r="C767" s="395" t="s">
        <v>1831</v>
      </c>
      <c r="D767" s="1279" t="s">
        <v>1517</v>
      </c>
      <c r="E767" s="368" t="s">
        <v>4293</v>
      </c>
      <c r="F767" s="459">
        <f>ROUND(G780*(G781*G782-G783*G784)*G785*G786*G787/G788*I766*G796*G795,2)</f>
        <v>17.77</v>
      </c>
      <c r="G767" s="395" t="s">
        <v>1830</v>
      </c>
      <c r="H767" s="136">
        <f>VLOOKUP(G767,'CP FACTORS'!$A$3:$B$38, 2, FALSE)</f>
        <v>8.8731800000000003E-5</v>
      </c>
      <c r="I767" s="458">
        <f t="shared" ref="I767:I769" si="115">$G$789*$G$790*($G$791-$G$792)/($G$793*$G$794)</f>
        <v>4.658558030480657E-2</v>
      </c>
      <c r="J767" s="2733">
        <f>ROUND(F767*H767,6)</f>
        <v>1.5770000000000001E-3</v>
      </c>
      <c r="K767" s="820">
        <f>$G$798</f>
        <v>11</v>
      </c>
      <c r="L767" s="1845">
        <f>G799</f>
        <v>3</v>
      </c>
      <c r="M767" s="395" t="s">
        <v>184</v>
      </c>
      <c r="N767" s="756"/>
      <c r="O767" s="756"/>
      <c r="P767" s="756"/>
      <c r="Q767" s="756"/>
      <c r="R767" s="1214"/>
      <c r="S767" s="756"/>
      <c r="T767" s="756"/>
      <c r="U767" s="756"/>
      <c r="V767" s="1592" t="str">
        <f>V766</f>
        <v>kWh
Annual Savings</v>
      </c>
      <c r="W767" s="827"/>
      <c r="X767" s="852"/>
      <c r="Y767" s="373"/>
      <c r="Z767" s="1741"/>
      <c r="AA767" s="1741"/>
      <c r="AB767" s="1599">
        <v>37.020000000000003</v>
      </c>
      <c r="AC767" s="899">
        <v>37.020000000000003</v>
      </c>
      <c r="AD767" s="1599">
        <v>17.77</v>
      </c>
      <c r="AE767" s="851"/>
      <c r="AF767" s="851"/>
      <c r="AG767" s="851"/>
      <c r="AH767" s="344"/>
      <c r="AK767" s="853"/>
      <c r="BB767" s="854">
        <f>(BD767)/(BE767)</f>
        <v>2.3156568839285034</v>
      </c>
      <c r="BC767" s="2381" t="str">
        <f>CONCATENATE(G767," ",K767," Year EUL")</f>
        <v>Water heating RES 11 Year EUL</v>
      </c>
      <c r="BD767" s="95">
        <f>(INDEX('Avoided Cost Benefits'!$E$4:$E$859,MATCH(BC767,'Avoided Cost Benefits'!$A$4:$A$859,0)))*F767</f>
        <v>6.5568387463761297</v>
      </c>
      <c r="BE767" s="855">
        <f>L767/(1.0595^(2020-2019))</f>
        <v>2.8315243039169418</v>
      </c>
    </row>
    <row r="768" spans="1:57" s="741" customFormat="1" x14ac:dyDescent="0.35">
      <c r="A768" s="756"/>
      <c r="B768" s="1328"/>
      <c r="C768" s="395" t="s">
        <v>1832</v>
      </c>
      <c r="D768" s="2388" t="s">
        <v>4294</v>
      </c>
      <c r="E768" s="2381" t="s">
        <v>4295</v>
      </c>
      <c r="F768" s="2087">
        <f>ROUND(G780*(G781*G782-G783*G784)*G785*G786*G787/G788*I768*G797*G795,2)</f>
        <v>35.17</v>
      </c>
      <c r="G768" s="395" t="s">
        <v>1830</v>
      </c>
      <c r="H768" s="393">
        <f>VLOOKUP(G768,'CP FACTORS'!$A$3:$B$38, 2, FALSE)</f>
        <v>8.8731800000000003E-5</v>
      </c>
      <c r="I768" s="458">
        <f t="shared" si="115"/>
        <v>4.658558030480657E-2</v>
      </c>
      <c r="J768" s="1384">
        <f>ROUND(F768*H768,6)</f>
        <v>3.1210000000000001E-3</v>
      </c>
      <c r="K768" s="820">
        <f>$G$798</f>
        <v>11</v>
      </c>
      <c r="L768" s="1845">
        <f>$G$800</f>
        <v>11.33</v>
      </c>
      <c r="M768" s="395" t="s">
        <v>184</v>
      </c>
      <c r="N768" s="756"/>
      <c r="O768" s="756"/>
      <c r="P768" s="756"/>
      <c r="Q768" s="756"/>
      <c r="R768" s="1214"/>
      <c r="S768" s="756"/>
      <c r="T768" s="756"/>
      <c r="U768" s="756"/>
      <c r="V768" s="851" t="str">
        <f t="shared" ref="V768:V769" si="116">V767</f>
        <v>kWh
Annual Savings</v>
      </c>
      <c r="W768" s="827">
        <v>37.942887422527377</v>
      </c>
      <c r="X768" s="856">
        <v>40.786805206808886</v>
      </c>
      <c r="Y768" s="373">
        <v>35.130000000000003</v>
      </c>
      <c r="Z768" s="1741">
        <v>35.130000000000003</v>
      </c>
      <c r="AA768" s="1741">
        <v>35.130000000000003</v>
      </c>
      <c r="AB768" s="1599">
        <v>35.17</v>
      </c>
      <c r="AC768" s="899">
        <v>35.17</v>
      </c>
      <c r="AD768" s="899">
        <v>35.17</v>
      </c>
      <c r="AE768" s="851"/>
      <c r="AF768" s="851"/>
      <c r="AG768" s="851"/>
      <c r="AH768" s="344"/>
      <c r="AK768" s="853"/>
      <c r="BB768" s="857">
        <f>(BD768)/(BE768)</f>
        <v>1.2135299376672726</v>
      </c>
      <c r="BC768" s="1580" t="str">
        <f>CONCATENATE(G768," ",K768," Year EUL")</f>
        <v>Water heating RES 11 Year EUL</v>
      </c>
      <c r="BD768" s="98">
        <f>(INDEX('Avoided Cost Benefits'!$E$4:$E$859,MATCH(BC768,'Avoided Cost Benefits'!$A$4:$A$859,0)))*F768</f>
        <v>12.977153557121468</v>
      </c>
      <c r="BE768" s="858">
        <f>L768/(1.0595^(2020-2019))</f>
        <v>10.693723454459649</v>
      </c>
    </row>
    <row r="769" spans="1:57" s="741" customFormat="1" x14ac:dyDescent="0.35">
      <c r="A769" s="756"/>
      <c r="B769" s="1328"/>
      <c r="C769" s="395" t="s">
        <v>1833</v>
      </c>
      <c r="D769" s="2388" t="s">
        <v>4296</v>
      </c>
      <c r="E769" s="2381" t="s">
        <v>4297</v>
      </c>
      <c r="F769" s="461">
        <f>ROUND(G780*(G781*G782-G783*G784)*G785*G786*G787/G788*I769*G797*G795,2)</f>
        <v>35.17</v>
      </c>
      <c r="G769" s="395" t="s">
        <v>1830</v>
      </c>
      <c r="H769" s="393">
        <f>VLOOKUP(G769,'CP FACTORS'!$A$3:$B$38, 2, FALSE)</f>
        <v>8.8731800000000003E-5</v>
      </c>
      <c r="I769" s="458">
        <f t="shared" si="115"/>
        <v>4.658558030480657E-2</v>
      </c>
      <c r="J769" s="1384">
        <f>ROUND(F769*H769,6)</f>
        <v>3.1210000000000001E-3</v>
      </c>
      <c r="K769" s="820">
        <f>$G$798</f>
        <v>11</v>
      </c>
      <c r="L769" s="1845">
        <f>$G$800</f>
        <v>11.33</v>
      </c>
      <c r="M769" s="395" t="s">
        <v>184</v>
      </c>
      <c r="N769" s="756"/>
      <c r="O769" s="756"/>
      <c r="P769" s="756"/>
      <c r="Q769" s="756"/>
      <c r="R769" s="1214"/>
      <c r="S769" s="756"/>
      <c r="T769" s="756"/>
      <c r="U769" s="756"/>
      <c r="V769" s="851" t="str">
        <f t="shared" si="116"/>
        <v>kWh
Annual Savings</v>
      </c>
      <c r="W769" s="827">
        <v>37.942887422527377</v>
      </c>
      <c r="X769" s="852">
        <v>40.786805206808886</v>
      </c>
      <c r="Y769" s="373">
        <v>35.130000000000003</v>
      </c>
      <c r="Z769" s="1741">
        <v>35.130000000000003</v>
      </c>
      <c r="AA769" s="1741">
        <v>35.130000000000003</v>
      </c>
      <c r="AB769" s="1599">
        <v>35.17</v>
      </c>
      <c r="AC769" s="899">
        <v>35.17</v>
      </c>
      <c r="AD769" s="899">
        <v>35.17</v>
      </c>
      <c r="AE769" s="851"/>
      <c r="AF769" s="851"/>
      <c r="AG769" s="851"/>
      <c r="AH769" s="344"/>
      <c r="AK769" s="853"/>
      <c r="BB769" s="859">
        <f>(BD769)/(BE769)</f>
        <v>1.2135299376672726</v>
      </c>
      <c r="BC769" s="1580" t="str">
        <f>CONCATENATE(G769," ",K769," Year EUL")</f>
        <v>Water heating RES 11 Year EUL</v>
      </c>
      <c r="BD769" s="102">
        <f>(INDEX('Avoided Cost Benefits'!$E$4:$E$859,MATCH(BC769,'Avoided Cost Benefits'!$A$4:$A$859,0)))*F769</f>
        <v>12.977153557121468</v>
      </c>
      <c r="BE769" s="860">
        <f>L769/(1.0595^(2020-2019))</f>
        <v>10.693723454459649</v>
      </c>
    </row>
    <row r="770" spans="1:57" hidden="1" outlineLevel="1" x14ac:dyDescent="0.35">
      <c r="B770" s="1040"/>
      <c r="D770" s="3114"/>
      <c r="E770" s="3114"/>
      <c r="F770" s="3120"/>
      <c r="G770" s="3113"/>
      <c r="H770" s="3121"/>
      <c r="I770" s="3122"/>
      <c r="J770" s="3122"/>
      <c r="K770" s="3122"/>
      <c r="L770" s="3112"/>
      <c r="M770" s="3112"/>
      <c r="V770"/>
      <c r="W770"/>
      <c r="X770"/>
      <c r="Y770" s="87"/>
      <c r="Z770"/>
      <c r="AA770"/>
      <c r="AB770"/>
      <c r="AC770"/>
      <c r="AD770"/>
      <c r="AE770"/>
      <c r="AF770"/>
      <c r="AG770"/>
      <c r="AH770" s="144"/>
      <c r="AK770" s="732"/>
    </row>
    <row r="771" spans="1:57" hidden="1" outlineLevel="1" x14ac:dyDescent="0.35">
      <c r="B771" s="1040"/>
      <c r="D771" s="3066" t="s">
        <v>107</v>
      </c>
      <c r="E771" s="3114"/>
      <c r="F771" s="3120"/>
      <c r="G771" s="3113"/>
      <c r="H771" s="3121"/>
      <c r="I771" s="3112"/>
      <c r="J771" s="3112"/>
      <c r="K771" s="3112"/>
      <c r="L771" s="3112"/>
      <c r="M771" s="3112"/>
      <c r="V771"/>
      <c r="W771"/>
      <c r="X771"/>
      <c r="Y771" s="87"/>
      <c r="Z771"/>
      <c r="AA771"/>
      <c r="AB771"/>
      <c r="AC771"/>
      <c r="AD771"/>
      <c r="AE771"/>
      <c r="AF771"/>
      <c r="AG771"/>
      <c r="AK771" s="732"/>
    </row>
    <row r="772" spans="1:57" hidden="1" outlineLevel="1" x14ac:dyDescent="0.35">
      <c r="B772" s="1040"/>
      <c r="D772" s="3123"/>
      <c r="E772" s="3114"/>
      <c r="F772" s="3120"/>
      <c r="G772" s="3112"/>
      <c r="H772" s="3113"/>
      <c r="I772" s="3112"/>
      <c r="J772" s="3112"/>
      <c r="K772" s="3112"/>
      <c r="L772" s="3112"/>
      <c r="M772" s="3112"/>
      <c r="V772"/>
      <c r="W772"/>
      <c r="X772"/>
      <c r="Y772" s="87"/>
      <c r="Z772"/>
      <c r="AA772"/>
      <c r="AB772"/>
      <c r="AC772"/>
      <c r="AD772"/>
      <c r="AE772"/>
      <c r="AF772"/>
      <c r="AG772"/>
      <c r="AK772" s="732"/>
    </row>
    <row r="773" spans="1:57" hidden="1" outlineLevel="1" x14ac:dyDescent="0.35">
      <c r="B773" s="1040"/>
      <c r="C773" s="3113"/>
      <c r="D773" s="3066"/>
      <c r="E773" s="3114"/>
      <c r="F773" s="3120"/>
      <c r="G773" s="3112"/>
      <c r="H773" s="3113"/>
      <c r="I773" s="3112"/>
      <c r="J773" s="3112"/>
      <c r="K773" s="3112"/>
      <c r="L773" s="3112"/>
      <c r="M773" s="3112"/>
      <c r="V773"/>
      <c r="W773"/>
      <c r="X773"/>
      <c r="Y773" s="87"/>
      <c r="Z773"/>
      <c r="AA773"/>
      <c r="AB773"/>
      <c r="AC773"/>
      <c r="AD773"/>
      <c r="AE773"/>
      <c r="AF773"/>
      <c r="AG773"/>
      <c r="AK773" s="732"/>
    </row>
    <row r="774" spans="1:57" hidden="1" outlineLevel="1" x14ac:dyDescent="0.35">
      <c r="B774" s="1040"/>
      <c r="C774" s="3113"/>
      <c r="D774" s="3066"/>
      <c r="E774" s="3114"/>
      <c r="F774" s="3120"/>
      <c r="G774" s="3112"/>
      <c r="H774" s="3113"/>
      <c r="I774" s="3112"/>
      <c r="J774" s="3112"/>
      <c r="K774" s="3112"/>
      <c r="L774" s="3112"/>
      <c r="M774" s="3112"/>
      <c r="V774"/>
      <c r="W774"/>
      <c r="X774"/>
      <c r="Y774" s="87"/>
      <c r="Z774"/>
      <c r="AA774"/>
      <c r="AB774"/>
      <c r="AC774"/>
      <c r="AD774"/>
      <c r="AE774"/>
      <c r="AF774"/>
      <c r="AG774"/>
      <c r="AK774" s="732"/>
    </row>
    <row r="775" spans="1:57" hidden="1" outlineLevel="1" x14ac:dyDescent="0.35">
      <c r="B775" s="1040"/>
      <c r="C775" s="3113"/>
      <c r="D775" s="3066"/>
      <c r="E775" s="3124"/>
      <c r="F775" s="3125"/>
      <c r="G775" s="3125"/>
      <c r="H775" s="3112"/>
      <c r="I775" s="3112"/>
      <c r="J775" s="3112"/>
      <c r="K775" s="3112"/>
      <c r="L775" s="3112"/>
      <c r="M775" s="3112"/>
      <c r="V775"/>
      <c r="W775"/>
      <c r="X775"/>
      <c r="Y775" s="87"/>
      <c r="Z775"/>
      <c r="AA775"/>
      <c r="AB775"/>
      <c r="AC775"/>
      <c r="AD775"/>
      <c r="AE775"/>
      <c r="AF775"/>
      <c r="AG775"/>
      <c r="AK775" s="732"/>
    </row>
    <row r="776" spans="1:57" hidden="1" outlineLevel="1" x14ac:dyDescent="0.35">
      <c r="B776" s="1040"/>
      <c r="C776" s="3113"/>
      <c r="D776" s="3066"/>
      <c r="E776" s="3126"/>
      <c r="F776" s="3127"/>
      <c r="G776" s="3127"/>
      <c r="H776" s="3112"/>
      <c r="I776" s="3112"/>
      <c r="J776" s="3112"/>
      <c r="K776" s="3112"/>
      <c r="L776" s="3112"/>
      <c r="M776" s="3112"/>
      <c r="V776"/>
      <c r="W776"/>
      <c r="X776"/>
      <c r="Y776" s="87"/>
      <c r="Z776"/>
      <c r="AA776"/>
      <c r="AB776"/>
      <c r="AC776"/>
      <c r="AD776"/>
      <c r="AE776"/>
      <c r="AF776"/>
      <c r="AG776"/>
      <c r="AK776" s="732"/>
    </row>
    <row r="777" spans="1:57" ht="15" hidden="1" customHeight="1" outlineLevel="1" x14ac:dyDescent="0.35">
      <c r="B777" s="1040"/>
      <c r="C777" s="3113"/>
      <c r="D777" s="3118"/>
      <c r="E777" s="3126"/>
      <c r="F777" s="3127"/>
      <c r="G777" s="3127"/>
      <c r="H777" s="3112"/>
      <c r="I777" s="3112"/>
      <c r="J777" s="3112"/>
      <c r="K777" s="3112"/>
      <c r="L777" s="3112"/>
      <c r="M777" s="3112"/>
      <c r="V777"/>
      <c r="W777"/>
      <c r="X777"/>
      <c r="Y777" s="87"/>
      <c r="Z777"/>
      <c r="AA777"/>
      <c r="AB777"/>
      <c r="AC777"/>
      <c r="AD777"/>
      <c r="AE777"/>
      <c r="AF777"/>
      <c r="AG777"/>
      <c r="AK777" s="732"/>
    </row>
    <row r="778" spans="1:57" hidden="1" outlineLevel="1" x14ac:dyDescent="0.35">
      <c r="B778" s="1040"/>
      <c r="C778" s="3113"/>
      <c r="D778" s="3066"/>
      <c r="E778" s="3114"/>
      <c r="F778" s="3112"/>
      <c r="G778" s="3112"/>
      <c r="H778" s="3112"/>
      <c r="I778" s="3112"/>
      <c r="J778" s="3112"/>
      <c r="K778" s="3112"/>
      <c r="L778" s="3112"/>
      <c r="M778" s="3112"/>
      <c r="V778"/>
      <c r="W778"/>
      <c r="X778"/>
      <c r="Y778" s="87"/>
      <c r="Z778"/>
      <c r="AA778"/>
      <c r="AB778"/>
      <c r="AC778"/>
      <c r="AD778"/>
      <c r="AE778"/>
      <c r="AF778"/>
      <c r="AG778"/>
      <c r="AK778" s="732"/>
    </row>
    <row r="779" spans="1:57" ht="45.75" hidden="1" customHeight="1" outlineLevel="1" x14ac:dyDescent="0.35">
      <c r="B779" s="1040"/>
      <c r="D779" s="2423" t="s">
        <v>108</v>
      </c>
      <c r="E779" s="2423" t="s">
        <v>109</v>
      </c>
      <c r="F779" s="2331" t="s">
        <v>1834</v>
      </c>
      <c r="G779" s="2362" t="s">
        <v>111</v>
      </c>
      <c r="H779" s="3741" t="s">
        <v>186</v>
      </c>
      <c r="I779" s="3741"/>
      <c r="J779" s="4236" t="s">
        <v>112</v>
      </c>
      <c r="K779" s="4364"/>
      <c r="L779" s="4365"/>
      <c r="V779" s="1572" t="s">
        <v>44</v>
      </c>
      <c r="W779" s="1573">
        <f>W$6</f>
        <v>43252</v>
      </c>
      <c r="X779" s="1573">
        <f t="shared" ref="X779:AG779" si="117">X$6</f>
        <v>43465</v>
      </c>
      <c r="Y779" s="316">
        <f t="shared" si="117"/>
        <v>43800</v>
      </c>
      <c r="Z779" s="1573">
        <f t="shared" si="117"/>
        <v>43862</v>
      </c>
      <c r="AA779" s="1573">
        <f t="shared" si="117"/>
        <v>44013</v>
      </c>
      <c r="AB779" s="1573">
        <f t="shared" si="117"/>
        <v>44166</v>
      </c>
      <c r="AC779" s="1573">
        <f t="shared" si="117"/>
        <v>44531</v>
      </c>
      <c r="AD779" s="1573">
        <f t="shared" si="117"/>
        <v>44774</v>
      </c>
      <c r="AE779" s="1573" t="str">
        <f t="shared" si="117"/>
        <v>-</v>
      </c>
      <c r="AF779" s="1573" t="str">
        <f t="shared" si="117"/>
        <v>-</v>
      </c>
      <c r="AG779" s="1573" t="str">
        <f t="shared" si="117"/>
        <v>-</v>
      </c>
      <c r="AK779" s="732"/>
    </row>
    <row r="780" spans="1:57" ht="15" hidden="1" customHeight="1" outlineLevel="1" x14ac:dyDescent="0.35">
      <c r="B780" s="1040"/>
      <c r="D780" s="2333" t="s">
        <v>596</v>
      </c>
      <c r="E780" s="2333" t="s">
        <v>597</v>
      </c>
      <c r="F780" s="2333"/>
      <c r="G780" s="874">
        <v>1</v>
      </c>
      <c r="H780" s="3847" t="s">
        <v>583</v>
      </c>
      <c r="I780" s="3848"/>
      <c r="J780" s="4366" t="s">
        <v>1721</v>
      </c>
      <c r="K780" s="4367"/>
      <c r="L780" s="4367"/>
      <c r="V780" s="2409" t="s">
        <v>596</v>
      </c>
      <c r="W780" s="807">
        <v>1</v>
      </c>
      <c r="X780" s="807">
        <v>1</v>
      </c>
      <c r="Y780" s="807">
        <v>1</v>
      </c>
      <c r="Z780" s="874">
        <v>1</v>
      </c>
      <c r="AA780" s="874">
        <v>1</v>
      </c>
      <c r="AB780" s="874">
        <v>1</v>
      </c>
      <c r="AC780" s="874">
        <v>1</v>
      </c>
      <c r="AD780" s="874">
        <v>1</v>
      </c>
      <c r="AE780" s="141"/>
      <c r="AF780" s="141"/>
      <c r="AG780" s="141"/>
      <c r="AK780" s="732"/>
    </row>
    <row r="781" spans="1:57" ht="105" hidden="1" customHeight="1" outlineLevel="1" x14ac:dyDescent="0.35">
      <c r="B781" s="1040"/>
      <c r="D781" s="2333" t="s">
        <v>601</v>
      </c>
      <c r="E781" s="2333" t="s">
        <v>1835</v>
      </c>
      <c r="F781" s="2333"/>
      <c r="G781" s="92">
        <v>2.2000000000000002</v>
      </c>
      <c r="H781" s="3820" t="s">
        <v>671</v>
      </c>
      <c r="I781" s="3790"/>
      <c r="J781" s="4370" t="s">
        <v>652</v>
      </c>
      <c r="K781" s="4371"/>
      <c r="L781" s="4372"/>
      <c r="V781" s="2409" t="s">
        <v>601</v>
      </c>
      <c r="W781" s="863">
        <v>2.2000000000000002</v>
      </c>
      <c r="X781" s="910">
        <v>2.2000000000000002</v>
      </c>
      <c r="Y781" s="910">
        <v>2.2000000000000002</v>
      </c>
      <c r="Z781" s="92">
        <v>2.2000000000000002</v>
      </c>
      <c r="AA781" s="92">
        <v>2.2000000000000002</v>
      </c>
      <c r="AB781" s="92">
        <v>2.2000000000000002</v>
      </c>
      <c r="AC781" s="92">
        <v>2.2000000000000002</v>
      </c>
      <c r="AD781" s="92">
        <v>2.2000000000000002</v>
      </c>
      <c r="AE781" s="141"/>
      <c r="AF781" s="141"/>
      <c r="AG781" s="141"/>
      <c r="AK781" s="732"/>
    </row>
    <row r="782" spans="1:57" ht="30" hidden="1" customHeight="1" outlineLevel="1" x14ac:dyDescent="0.35">
      <c r="B782" s="1040"/>
      <c r="D782" s="2333" t="s">
        <v>604</v>
      </c>
      <c r="E782" s="2397" t="s">
        <v>1836</v>
      </c>
      <c r="F782" s="2333"/>
      <c r="G782" s="1862">
        <v>3.7</v>
      </c>
      <c r="H782" s="4368" t="s">
        <v>608</v>
      </c>
      <c r="I782" s="4369"/>
      <c r="J782" s="4370" t="s">
        <v>652</v>
      </c>
      <c r="K782" s="4371"/>
      <c r="L782" s="4372"/>
      <c r="V782" s="2409" t="s">
        <v>604</v>
      </c>
      <c r="W782" s="809">
        <v>3.7</v>
      </c>
      <c r="X782" s="809">
        <v>3.7</v>
      </c>
      <c r="Y782" s="809">
        <v>3.7</v>
      </c>
      <c r="Z782" s="867">
        <v>3.7</v>
      </c>
      <c r="AA782" s="867">
        <v>3.7</v>
      </c>
      <c r="AB782" s="867">
        <v>3.7</v>
      </c>
      <c r="AC782" s="1862">
        <v>3.7</v>
      </c>
      <c r="AD782" s="1862">
        <v>3.7</v>
      </c>
      <c r="AE782" s="141"/>
      <c r="AF782" s="141"/>
      <c r="AG782" s="141"/>
      <c r="AK782" s="732"/>
    </row>
    <row r="783" spans="1:57" ht="30" hidden="1" customHeight="1" outlineLevel="1" x14ac:dyDescent="0.35">
      <c r="B783" s="1040"/>
      <c r="D783" s="2333" t="s">
        <v>609</v>
      </c>
      <c r="E783" s="2333" t="s">
        <v>1837</v>
      </c>
      <c r="F783" s="2333"/>
      <c r="G783" s="92">
        <v>1.5</v>
      </c>
      <c r="H783" s="3820" t="s">
        <v>1838</v>
      </c>
      <c r="I783" s="3790"/>
      <c r="J783" s="4370" t="s">
        <v>652</v>
      </c>
      <c r="K783" s="4371"/>
      <c r="L783" s="4372"/>
      <c r="V783" s="2409" t="s">
        <v>609</v>
      </c>
      <c r="W783" s="863">
        <v>1.5</v>
      </c>
      <c r="X783" s="910">
        <v>1.5</v>
      </c>
      <c r="Y783" s="910">
        <v>1.5</v>
      </c>
      <c r="Z783" s="92">
        <v>1.5</v>
      </c>
      <c r="AA783" s="92">
        <v>1.5</v>
      </c>
      <c r="AB783" s="92">
        <v>1.5</v>
      </c>
      <c r="AC783" s="92">
        <v>1.5</v>
      </c>
      <c r="AD783" s="92">
        <v>1.5</v>
      </c>
      <c r="AE783" s="748"/>
      <c r="AF783" s="748"/>
      <c r="AG783" s="748"/>
      <c r="AK783" s="732"/>
    </row>
    <row r="784" spans="1:57" ht="30" hidden="1" customHeight="1" outlineLevel="1" x14ac:dyDescent="0.35">
      <c r="B784" s="1040"/>
      <c r="D784" s="2333" t="s">
        <v>612</v>
      </c>
      <c r="E784" s="2397" t="s">
        <v>1836</v>
      </c>
      <c r="F784" s="2333"/>
      <c r="G784" s="988">
        <v>3.7</v>
      </c>
      <c r="H784" s="4368" t="s">
        <v>608</v>
      </c>
      <c r="I784" s="4369"/>
      <c r="J784" s="4370" t="s">
        <v>652</v>
      </c>
      <c r="K784" s="4371"/>
      <c r="L784" s="4372"/>
      <c r="V784" s="2409" t="s">
        <v>612</v>
      </c>
      <c r="W784" s="1860">
        <v>3.7</v>
      </c>
      <c r="X784" s="1860">
        <v>3.7</v>
      </c>
      <c r="Y784" s="1861">
        <v>3.7</v>
      </c>
      <c r="Z784" s="988">
        <v>3.7</v>
      </c>
      <c r="AA784" s="988">
        <v>3.7</v>
      </c>
      <c r="AB784" s="988">
        <v>3.7</v>
      </c>
      <c r="AC784" s="988">
        <v>3.7</v>
      </c>
      <c r="AD784" s="988">
        <v>3.7</v>
      </c>
      <c r="AE784" s="748"/>
      <c r="AF784" s="748"/>
      <c r="AG784" s="748"/>
      <c r="AK784" s="732"/>
    </row>
    <row r="785" spans="2:37" ht="45" hidden="1" customHeight="1" outlineLevel="1" x14ac:dyDescent="0.35">
      <c r="B785" s="1040"/>
      <c r="D785" s="2333" t="s">
        <v>199</v>
      </c>
      <c r="E785" s="2397" t="s">
        <v>1839</v>
      </c>
      <c r="F785" s="2333"/>
      <c r="G785" s="864">
        <v>1.5644946808510638</v>
      </c>
      <c r="H785" s="4368" t="s">
        <v>616</v>
      </c>
      <c r="I785" s="4369"/>
      <c r="J785" s="4370" t="s">
        <v>652</v>
      </c>
      <c r="K785" s="4371"/>
      <c r="L785" s="4372"/>
      <c r="V785" s="2409" t="s">
        <v>199</v>
      </c>
      <c r="W785" s="809">
        <v>2.0699999999999998</v>
      </c>
      <c r="X785" s="865">
        <v>1.6639999999999999</v>
      </c>
      <c r="Y785" s="866">
        <v>1.5644946808510638</v>
      </c>
      <c r="Z785" s="864">
        <v>1.5644946808510638</v>
      </c>
      <c r="AA785" s="864">
        <v>1.5644946808510638</v>
      </c>
      <c r="AB785" s="864">
        <v>1.5644946808510638</v>
      </c>
      <c r="AC785" s="864">
        <v>1.5644946808510638</v>
      </c>
      <c r="AD785" s="864">
        <v>1.5644946808510638</v>
      </c>
      <c r="AE785" s="748"/>
      <c r="AF785" s="748"/>
      <c r="AG785" s="748"/>
      <c r="AK785" s="732"/>
    </row>
    <row r="786" spans="2:37" ht="15" hidden="1" customHeight="1" outlineLevel="1" x14ac:dyDescent="0.35">
      <c r="B786" s="1040"/>
      <c r="D786" s="391" t="s">
        <v>618</v>
      </c>
      <c r="E786" s="2333" t="s">
        <v>619</v>
      </c>
      <c r="F786" s="2333"/>
      <c r="G786" s="867">
        <v>1</v>
      </c>
      <c r="H786" s="3820" t="s">
        <v>520</v>
      </c>
      <c r="I786" s="3790"/>
      <c r="J786" s="4373" t="s">
        <v>655</v>
      </c>
      <c r="K786" s="4374"/>
      <c r="L786" s="4375"/>
      <c r="V786" s="403" t="s">
        <v>618</v>
      </c>
      <c r="W786" s="809">
        <v>0.75</v>
      </c>
      <c r="X786" s="865">
        <v>1</v>
      </c>
      <c r="Y786" s="868">
        <v>1</v>
      </c>
      <c r="Z786" s="896">
        <v>1</v>
      </c>
      <c r="AA786" s="896">
        <v>1</v>
      </c>
      <c r="AB786" s="867">
        <v>1</v>
      </c>
      <c r="AC786" s="867">
        <v>1</v>
      </c>
      <c r="AD786" s="867">
        <v>1</v>
      </c>
      <c r="AE786" s="748"/>
      <c r="AF786" s="748"/>
      <c r="AG786" s="748"/>
      <c r="AK786" s="732"/>
    </row>
    <row r="787" spans="2:37" ht="15" hidden="1" customHeight="1" outlineLevel="1" x14ac:dyDescent="0.35">
      <c r="B787" s="1040"/>
      <c r="D787" s="391">
        <v>365.25</v>
      </c>
      <c r="E787" s="2397" t="s">
        <v>1840</v>
      </c>
      <c r="F787" s="2333"/>
      <c r="G787" s="203">
        <v>365.25</v>
      </c>
      <c r="H787" s="3820" t="s">
        <v>570</v>
      </c>
      <c r="I787" s="3790"/>
      <c r="J787" s="4370" t="s">
        <v>652</v>
      </c>
      <c r="K787" s="4371"/>
      <c r="L787" s="4372"/>
      <c r="V787" s="403">
        <v>365.25</v>
      </c>
      <c r="W787" s="809">
        <v>365</v>
      </c>
      <c r="X787" s="809">
        <v>365</v>
      </c>
      <c r="Y787" s="869">
        <v>365</v>
      </c>
      <c r="Z787" s="1849">
        <v>365</v>
      </c>
      <c r="AA787" s="1849">
        <v>365</v>
      </c>
      <c r="AB787" s="1857">
        <v>365.25</v>
      </c>
      <c r="AC787" s="203">
        <v>365.25</v>
      </c>
      <c r="AD787" s="203">
        <v>365.25</v>
      </c>
      <c r="AE787" s="748"/>
      <c r="AF787" s="748"/>
      <c r="AG787" s="748"/>
      <c r="AK787" s="732"/>
    </row>
    <row r="788" spans="2:37" ht="15" hidden="1" customHeight="1" outlineLevel="1" x14ac:dyDescent="0.35">
      <c r="B788" s="1040"/>
      <c r="D788" s="391" t="s">
        <v>621</v>
      </c>
      <c r="E788" s="2397" t="s">
        <v>1841</v>
      </c>
      <c r="F788" s="2333"/>
      <c r="G788" s="864">
        <v>1.8624708624708626</v>
      </c>
      <c r="H788" s="3820" t="s">
        <v>520</v>
      </c>
      <c r="I788" s="3790"/>
      <c r="J788" s="4370" t="s">
        <v>1842</v>
      </c>
      <c r="K788" s="4371"/>
      <c r="L788" s="4372"/>
      <c r="V788" s="403" t="s">
        <v>621</v>
      </c>
      <c r="W788" s="809">
        <v>1.76</v>
      </c>
      <c r="X788" s="865">
        <v>1.7961826857532379</v>
      </c>
      <c r="Y788" s="866">
        <v>1.8624708624708626</v>
      </c>
      <c r="Z788" s="864">
        <v>1.8624708624708626</v>
      </c>
      <c r="AA788" s="864">
        <v>1.8624708624708626</v>
      </c>
      <c r="AB788" s="864">
        <v>1.8624708624708626</v>
      </c>
      <c r="AC788" s="864">
        <v>1.8624708624708626</v>
      </c>
      <c r="AD788" s="864">
        <v>1.8624708624708626</v>
      </c>
      <c r="AE788" s="748"/>
      <c r="AF788" s="748"/>
      <c r="AG788" s="748"/>
      <c r="AK788" s="732"/>
    </row>
    <row r="789" spans="2:37" ht="15" hidden="1" customHeight="1" outlineLevel="1" x14ac:dyDescent="0.35">
      <c r="B789" s="1040"/>
      <c r="D789" s="391">
        <v>8.33</v>
      </c>
      <c r="E789" s="2397" t="s">
        <v>626</v>
      </c>
      <c r="F789" s="2333"/>
      <c r="G789" s="867">
        <v>8.33</v>
      </c>
      <c r="H789" s="3847" t="s">
        <v>627</v>
      </c>
      <c r="I789" s="3848"/>
      <c r="J789" s="4370" t="s">
        <v>652</v>
      </c>
      <c r="K789" s="4371"/>
      <c r="L789" s="4372"/>
      <c r="V789" s="403">
        <v>8.33</v>
      </c>
      <c r="W789" s="809">
        <v>8.33</v>
      </c>
      <c r="X789" s="809">
        <v>8.33</v>
      </c>
      <c r="Y789" s="809">
        <v>8.33</v>
      </c>
      <c r="Z789" s="867">
        <v>8.33</v>
      </c>
      <c r="AA789" s="867">
        <v>8.33</v>
      </c>
      <c r="AB789" s="867">
        <v>8.33</v>
      </c>
      <c r="AC789" s="867">
        <v>8.33</v>
      </c>
      <c r="AD789" s="867">
        <v>8.33</v>
      </c>
      <c r="AE789" s="748"/>
      <c r="AF789" s="748"/>
      <c r="AG789" s="748"/>
      <c r="AK789" s="732"/>
    </row>
    <row r="790" spans="2:37" ht="15" hidden="1" customHeight="1" outlineLevel="1" x14ac:dyDescent="0.35">
      <c r="B790" s="1040"/>
      <c r="D790" s="391">
        <v>1</v>
      </c>
      <c r="E790" s="1391" t="s">
        <v>1843</v>
      </c>
      <c r="F790" s="2333"/>
      <c r="G790" s="867">
        <v>1</v>
      </c>
      <c r="H790" s="3820" t="s">
        <v>629</v>
      </c>
      <c r="I790" s="3790"/>
      <c r="J790" s="4370" t="s">
        <v>652</v>
      </c>
      <c r="K790" s="4371"/>
      <c r="L790" s="4372"/>
      <c r="V790" s="403">
        <v>1</v>
      </c>
      <c r="W790" s="809">
        <v>1</v>
      </c>
      <c r="X790" s="809">
        <v>1</v>
      </c>
      <c r="Y790" s="809">
        <v>1</v>
      </c>
      <c r="Z790" s="867">
        <v>1</v>
      </c>
      <c r="AA790" s="867">
        <v>1</v>
      </c>
      <c r="AB790" s="867">
        <v>1</v>
      </c>
      <c r="AC790" s="867">
        <v>1</v>
      </c>
      <c r="AD790" s="867">
        <v>1</v>
      </c>
      <c r="AE790" s="748"/>
      <c r="AF790" s="748"/>
      <c r="AG790" s="748"/>
      <c r="AK790" s="732"/>
    </row>
    <row r="791" spans="2:37" ht="15" hidden="1" customHeight="1" outlineLevel="1" x14ac:dyDescent="0.35">
      <c r="B791" s="1040"/>
      <c r="D791" s="2333" t="s">
        <v>630</v>
      </c>
      <c r="E791" s="2397" t="s">
        <v>1844</v>
      </c>
      <c r="F791" s="2333"/>
      <c r="G791" s="867">
        <v>80</v>
      </c>
      <c r="H791" s="4368" t="s">
        <v>658</v>
      </c>
      <c r="I791" s="4369"/>
      <c r="J791" s="4370" t="s">
        <v>652</v>
      </c>
      <c r="K791" s="4371"/>
      <c r="L791" s="4372"/>
      <c r="V791" s="2409" t="s">
        <v>630</v>
      </c>
      <c r="W791" s="809">
        <v>80</v>
      </c>
      <c r="X791" s="809">
        <v>80</v>
      </c>
      <c r="Y791" s="809">
        <v>80</v>
      </c>
      <c r="Z791" s="867">
        <v>80</v>
      </c>
      <c r="AA791" s="867">
        <v>80</v>
      </c>
      <c r="AB791" s="867">
        <v>80</v>
      </c>
      <c r="AC791" s="867">
        <v>80</v>
      </c>
      <c r="AD791" s="867">
        <v>80</v>
      </c>
      <c r="AE791" s="748"/>
      <c r="AF791" s="748"/>
      <c r="AG791" s="748"/>
      <c r="AK791" s="732"/>
    </row>
    <row r="792" spans="2:37" ht="60" hidden="1" customHeight="1" outlineLevel="1" x14ac:dyDescent="0.35">
      <c r="B792" s="1040"/>
      <c r="D792" s="2333" t="s">
        <v>633</v>
      </c>
      <c r="E792" s="2397" t="s">
        <v>1845</v>
      </c>
      <c r="F792" s="2333"/>
      <c r="G792" s="867">
        <v>61.3</v>
      </c>
      <c r="H792" s="3820" t="s">
        <v>635</v>
      </c>
      <c r="I792" s="3790"/>
      <c r="J792" s="4370" t="s">
        <v>652</v>
      </c>
      <c r="K792" s="4371"/>
      <c r="L792" s="4372"/>
      <c r="V792" s="2409" t="s">
        <v>633</v>
      </c>
      <c r="W792" s="809">
        <v>61.3</v>
      </c>
      <c r="X792" s="809">
        <v>61.3</v>
      </c>
      <c r="Y792" s="809">
        <v>61.3</v>
      </c>
      <c r="Z792" s="867">
        <v>61.3</v>
      </c>
      <c r="AA792" s="867">
        <v>61.3</v>
      </c>
      <c r="AB792" s="867">
        <v>61.3</v>
      </c>
      <c r="AC792" s="867">
        <v>61.3</v>
      </c>
      <c r="AD792" s="867">
        <v>61.3</v>
      </c>
      <c r="AE792" s="748"/>
      <c r="AF792" s="748"/>
      <c r="AG792" s="748"/>
      <c r="AK792" s="732"/>
    </row>
    <row r="793" spans="2:37" ht="30" hidden="1" customHeight="1" outlineLevel="1" x14ac:dyDescent="0.35">
      <c r="B793" s="1040"/>
      <c r="D793" s="2333" t="s">
        <v>636</v>
      </c>
      <c r="E793" s="2397" t="s">
        <v>1846</v>
      </c>
      <c r="F793" s="2333"/>
      <c r="G793" s="867">
        <v>0.98</v>
      </c>
      <c r="H793" s="4368" t="s">
        <v>1847</v>
      </c>
      <c r="I793" s="4369"/>
      <c r="J793" s="4370" t="s">
        <v>652</v>
      </c>
      <c r="K793" s="4371"/>
      <c r="L793" s="4372"/>
      <c r="V793" s="2409" t="s">
        <v>636</v>
      </c>
      <c r="W793" s="809">
        <v>0.98</v>
      </c>
      <c r="X793" s="809">
        <v>0.98</v>
      </c>
      <c r="Y793" s="809">
        <v>0.98</v>
      </c>
      <c r="Z793" s="867">
        <v>0.98</v>
      </c>
      <c r="AA793" s="867">
        <v>0.98</v>
      </c>
      <c r="AB793" s="867">
        <v>0.98</v>
      </c>
      <c r="AC793" s="867">
        <v>0.98</v>
      </c>
      <c r="AD793" s="867">
        <v>0.98</v>
      </c>
      <c r="AE793" s="748"/>
      <c r="AF793" s="748"/>
      <c r="AG793" s="748"/>
      <c r="AK793" s="732"/>
    </row>
    <row r="794" spans="2:37" ht="15" hidden="1" customHeight="1" outlineLevel="1" x14ac:dyDescent="0.35">
      <c r="B794" s="1040"/>
      <c r="D794" s="2333">
        <v>3412</v>
      </c>
      <c r="E794" s="2397">
        <v>3412</v>
      </c>
      <c r="F794" s="2333"/>
      <c r="G794" s="867">
        <v>3412</v>
      </c>
      <c r="H794" s="3847" t="s">
        <v>217</v>
      </c>
      <c r="I794" s="3848"/>
      <c r="J794" s="4370" t="s">
        <v>652</v>
      </c>
      <c r="K794" s="4371"/>
      <c r="L794" s="4372"/>
      <c r="V794" s="2409">
        <v>3412</v>
      </c>
      <c r="W794" s="809">
        <v>3413</v>
      </c>
      <c r="X794" s="809">
        <v>3413</v>
      </c>
      <c r="Y794" s="809">
        <v>3413</v>
      </c>
      <c r="Z794" s="867">
        <v>3413</v>
      </c>
      <c r="AA794" s="867">
        <v>3413</v>
      </c>
      <c r="AB794" s="865">
        <v>3412</v>
      </c>
      <c r="AC794" s="867">
        <v>3412</v>
      </c>
      <c r="AD794" s="867">
        <v>3412</v>
      </c>
      <c r="AE794" s="748"/>
      <c r="AF794" s="748"/>
      <c r="AG794" s="748"/>
      <c r="AK794" s="732"/>
    </row>
    <row r="795" spans="2:37" ht="15" hidden="1" customHeight="1" outlineLevel="1" x14ac:dyDescent="0.35">
      <c r="B795" s="1040"/>
      <c r="D795" s="2333" t="s">
        <v>516</v>
      </c>
      <c r="E795" s="2333" t="s">
        <v>578</v>
      </c>
      <c r="F795" s="2333"/>
      <c r="G795" s="1392">
        <v>1</v>
      </c>
      <c r="H795" s="3847" t="s">
        <v>583</v>
      </c>
      <c r="I795" s="3848"/>
      <c r="J795" s="4370" t="s">
        <v>1721</v>
      </c>
      <c r="K795" s="4371"/>
      <c r="L795" s="4371"/>
      <c r="V795" s="2409" t="s">
        <v>516</v>
      </c>
      <c r="W795" s="870">
        <v>1</v>
      </c>
      <c r="X795" s="870">
        <v>1</v>
      </c>
      <c r="Y795" s="870">
        <v>1</v>
      </c>
      <c r="Z795" s="1392">
        <v>1</v>
      </c>
      <c r="AA795" s="1392">
        <v>1</v>
      </c>
      <c r="AB795" s="1392">
        <v>1</v>
      </c>
      <c r="AC795" s="1392">
        <v>1</v>
      </c>
      <c r="AD795" s="1392">
        <v>1</v>
      </c>
      <c r="AE795" s="748"/>
      <c r="AF795" s="748"/>
      <c r="AG795" s="748"/>
      <c r="AK795" s="732"/>
    </row>
    <row r="796" spans="2:37" ht="15" hidden="1" customHeight="1" outlineLevel="1" x14ac:dyDescent="0.35">
      <c r="B796" s="1040"/>
      <c r="D796" s="3804" t="s">
        <v>132</v>
      </c>
      <c r="E796" s="4376" t="s">
        <v>1722</v>
      </c>
      <c r="F796" s="2333" t="s">
        <v>416</v>
      </c>
      <c r="G796" s="1658">
        <v>0.48</v>
      </c>
      <c r="H796" s="4377" t="s">
        <v>519</v>
      </c>
      <c r="I796" s="4378"/>
      <c r="J796" s="4379" t="s">
        <v>4419</v>
      </c>
      <c r="K796" s="4380"/>
      <c r="L796" s="4381"/>
      <c r="V796" s="4356" t="s">
        <v>132</v>
      </c>
      <c r="W796" s="870">
        <v>1</v>
      </c>
      <c r="X796" s="870">
        <v>1</v>
      </c>
      <c r="Y796" s="870">
        <v>1</v>
      </c>
      <c r="Z796" s="1392">
        <v>1</v>
      </c>
      <c r="AA796" s="1392">
        <v>1</v>
      </c>
      <c r="AB796" s="1392">
        <v>1</v>
      </c>
      <c r="AC796" s="1392">
        <v>1</v>
      </c>
      <c r="AD796" s="1658">
        <v>0.48</v>
      </c>
      <c r="AE796" s="748"/>
      <c r="AF796" s="748"/>
      <c r="AG796" s="748"/>
      <c r="AK796" s="732"/>
    </row>
    <row r="797" spans="2:37" ht="15" hidden="1" customHeight="1" outlineLevel="1" x14ac:dyDescent="0.35">
      <c r="B797" s="1040"/>
      <c r="D797" s="3804"/>
      <c r="E797" s="4376"/>
      <c r="F797" s="2333" t="s">
        <v>417</v>
      </c>
      <c r="G797" s="256">
        <v>0.95</v>
      </c>
      <c r="H797" s="3820" t="s">
        <v>520</v>
      </c>
      <c r="I797" s="3790"/>
      <c r="J797" s="3789"/>
      <c r="K797" s="4382"/>
      <c r="L797" s="3815"/>
      <c r="V797" s="4356"/>
      <c r="W797" s="807">
        <v>0.97699999999999998</v>
      </c>
      <c r="X797" s="467">
        <v>1</v>
      </c>
      <c r="Y797" s="241">
        <v>0.95</v>
      </c>
      <c r="Z797" s="256">
        <v>0.95</v>
      </c>
      <c r="AA797" s="256">
        <v>0.95</v>
      </c>
      <c r="AB797" s="256">
        <v>0.95</v>
      </c>
      <c r="AC797" s="256">
        <v>0.95</v>
      </c>
      <c r="AD797" s="256">
        <v>0.95</v>
      </c>
      <c r="AE797" s="748"/>
      <c r="AF797" s="748"/>
      <c r="AG797" s="748"/>
      <c r="AK797" s="732"/>
    </row>
    <row r="798" spans="2:37" ht="15" hidden="1" customHeight="1" outlineLevel="1" x14ac:dyDescent="0.35">
      <c r="B798" s="1040"/>
      <c r="D798" s="2396" t="str">
        <f>D755</f>
        <v>EUL</v>
      </c>
      <c r="E798" s="2396" t="str">
        <f>E755</f>
        <v>Effective Useful Life</v>
      </c>
      <c r="F798" s="2333" t="s">
        <v>134</v>
      </c>
      <c r="G798" s="867">
        <v>11</v>
      </c>
      <c r="H798" s="4368"/>
      <c r="I798" s="4369"/>
      <c r="J798" s="3789"/>
      <c r="K798" s="4382"/>
      <c r="L798" s="3815"/>
      <c r="V798" s="2408" t="str">
        <f>D798</f>
        <v>EUL</v>
      </c>
      <c r="W798" s="809">
        <v>10</v>
      </c>
      <c r="X798" s="809">
        <v>10</v>
      </c>
      <c r="Y798" s="809">
        <v>11</v>
      </c>
      <c r="Z798" s="867">
        <v>11</v>
      </c>
      <c r="AA798" s="867">
        <v>11</v>
      </c>
      <c r="AB798" s="867">
        <v>11</v>
      </c>
      <c r="AC798" s="867">
        <v>11</v>
      </c>
      <c r="AD798" s="867">
        <v>11</v>
      </c>
      <c r="AE798" s="748"/>
      <c r="AF798" s="748"/>
      <c r="AG798" s="748"/>
      <c r="AK798" s="732"/>
    </row>
    <row r="799" spans="2:37" ht="15" hidden="1" customHeight="1" outlineLevel="1" x14ac:dyDescent="0.35">
      <c r="B799" s="1040"/>
      <c r="D799" s="4343" t="str">
        <f>D756</f>
        <v>Inc. Cost</v>
      </c>
      <c r="E799" s="4343" t="str">
        <f>E756</f>
        <v>Incremental Cost</v>
      </c>
      <c r="F799" s="2333" t="s">
        <v>416</v>
      </c>
      <c r="G799" s="1858">
        <v>3</v>
      </c>
      <c r="H799" s="4368"/>
      <c r="I799" s="4369"/>
      <c r="J799" s="3789" t="s">
        <v>1848</v>
      </c>
      <c r="K799" s="4382"/>
      <c r="L799" s="3815"/>
      <c r="V799" s="4383" t="str">
        <f>D799</f>
        <v>Inc. Cost</v>
      </c>
      <c r="W799" s="809">
        <v>11.33</v>
      </c>
      <c r="X799" s="865">
        <v>3</v>
      </c>
      <c r="Y799" s="867">
        <v>3</v>
      </c>
      <c r="Z799" s="867">
        <v>3</v>
      </c>
      <c r="AA799" s="867">
        <v>3</v>
      </c>
      <c r="AB799" s="1858">
        <v>3</v>
      </c>
      <c r="AC799" s="1858">
        <v>3</v>
      </c>
      <c r="AD799" s="1858">
        <v>3</v>
      </c>
      <c r="AE799" s="748"/>
      <c r="AF799" s="748"/>
      <c r="AG799" s="748"/>
      <c r="AK799" s="732"/>
    </row>
    <row r="800" spans="2:37" ht="15" hidden="1" customHeight="1" outlineLevel="1" x14ac:dyDescent="0.35">
      <c r="B800" s="1040"/>
      <c r="D800" s="3813"/>
      <c r="E800" s="3813"/>
      <c r="F800" s="2333" t="s">
        <v>417</v>
      </c>
      <c r="G800" s="1858">
        <v>11.33</v>
      </c>
      <c r="H800" s="4368"/>
      <c r="I800" s="4369"/>
      <c r="J800" s="3789"/>
      <c r="K800" s="4382"/>
      <c r="L800" s="3815"/>
      <c r="V800" s="4356"/>
      <c r="W800" s="809">
        <v>11.33</v>
      </c>
      <c r="X800" s="809">
        <v>11.33</v>
      </c>
      <c r="Y800" s="809">
        <v>11.33</v>
      </c>
      <c r="Z800" s="867">
        <v>11.33</v>
      </c>
      <c r="AA800" s="867">
        <v>11.33</v>
      </c>
      <c r="AB800" s="1858">
        <v>11.33</v>
      </c>
      <c r="AC800" s="1858">
        <v>11.33</v>
      </c>
      <c r="AD800" s="1858">
        <v>11.33</v>
      </c>
      <c r="AE800" s="748"/>
      <c r="AF800" s="748"/>
      <c r="AG800" s="748"/>
      <c r="AK800" s="732"/>
    </row>
    <row r="801" spans="1:57" ht="15" customHeight="1" collapsed="1" x14ac:dyDescent="0.35">
      <c r="B801" s="1040"/>
      <c r="C801" s="2378"/>
      <c r="AK801" s="732"/>
    </row>
    <row r="802" spans="1:57" ht="15" customHeight="1" x14ac:dyDescent="0.35">
      <c r="B802" s="1040"/>
      <c r="AK802" s="732"/>
    </row>
    <row r="803" spans="1:57" ht="15" customHeight="1" x14ac:dyDescent="0.35">
      <c r="B803" s="3664" t="s">
        <v>1849</v>
      </c>
      <c r="C803" s="3665"/>
      <c r="D803" s="3665"/>
      <c r="E803" s="3665"/>
      <c r="F803" s="3665"/>
      <c r="G803" s="3665"/>
      <c r="H803" s="3665"/>
      <c r="I803" s="3666"/>
      <c r="J803" s="3666"/>
      <c r="K803" s="3666"/>
      <c r="L803" s="3666"/>
      <c r="M803" s="3666"/>
      <c r="N803" s="3666"/>
      <c r="O803" s="3666"/>
      <c r="P803" s="3666"/>
      <c r="Q803" s="3666"/>
      <c r="R803" s="3667"/>
      <c r="V803" s="3664" t="str">
        <f>B803</f>
        <v>Low Flow Faucet Aerators (Kitchen)</v>
      </c>
      <c r="W803" s="3665"/>
      <c r="X803" s="3665"/>
      <c r="Y803" s="3665"/>
      <c r="Z803" s="3665"/>
      <c r="AA803" s="3665"/>
      <c r="AB803" s="3665"/>
      <c r="AC803" s="3666"/>
      <c r="AD803" s="3666"/>
      <c r="AE803" s="3666"/>
      <c r="AF803" s="3666"/>
      <c r="AG803" s="3666"/>
      <c r="AH803" s="3666"/>
      <c r="AI803" s="3667"/>
      <c r="AK803" s="732"/>
    </row>
    <row r="804" spans="1:57" ht="15" customHeight="1" x14ac:dyDescent="0.35">
      <c r="B804" s="1040"/>
      <c r="D804" s="367"/>
      <c r="E804" s="367"/>
      <c r="F804" s="198"/>
      <c r="G804" s="198"/>
      <c r="H804" s="198"/>
      <c r="I804" s="198"/>
      <c r="J804" s="198"/>
      <c r="K804" s="198"/>
      <c r="L804" s="1219"/>
      <c r="AK804" s="732"/>
    </row>
    <row r="805" spans="1:57" ht="29" x14ac:dyDescent="0.35">
      <c r="B805" s="1040"/>
      <c r="C805" s="2331" t="s">
        <v>27</v>
      </c>
      <c r="D805" s="2331" t="s">
        <v>174</v>
      </c>
      <c r="E805" s="2331" t="s">
        <v>29</v>
      </c>
      <c r="F805" s="2331" t="s">
        <v>1670</v>
      </c>
      <c r="G805" s="2331" t="s">
        <v>175</v>
      </c>
      <c r="H805" s="2331" t="s">
        <v>176</v>
      </c>
      <c r="I805" s="2331" t="s">
        <v>588</v>
      </c>
      <c r="J805" s="2331" t="s">
        <v>31</v>
      </c>
      <c r="K805" s="2331" t="s">
        <v>180</v>
      </c>
      <c r="L805" s="2331" t="s">
        <v>169</v>
      </c>
      <c r="M805" s="2331" t="s">
        <v>43</v>
      </c>
      <c r="V805" s="480" t="s">
        <v>44</v>
      </c>
      <c r="W805" s="481">
        <f>W$6</f>
        <v>43252</v>
      </c>
      <c r="X805" s="481">
        <f t="shared" ref="X805:AG805" si="118">X$6</f>
        <v>43465</v>
      </c>
      <c r="Y805" s="1944">
        <f t="shared" si="118"/>
        <v>43800</v>
      </c>
      <c r="Z805" s="481">
        <f t="shared" si="118"/>
        <v>43862</v>
      </c>
      <c r="AA805" s="481">
        <f t="shared" si="118"/>
        <v>44013</v>
      </c>
      <c r="AB805" s="481">
        <f t="shared" si="118"/>
        <v>44166</v>
      </c>
      <c r="AC805" s="1573">
        <f t="shared" si="118"/>
        <v>44531</v>
      </c>
      <c r="AD805" s="1573">
        <f t="shared" si="118"/>
        <v>44774</v>
      </c>
      <c r="AE805" s="1573" t="str">
        <f t="shared" si="118"/>
        <v>-</v>
      </c>
      <c r="AF805" s="1573" t="str">
        <f t="shared" si="118"/>
        <v>-</v>
      </c>
      <c r="AG805" s="1573" t="str">
        <f t="shared" si="118"/>
        <v>-</v>
      </c>
      <c r="AK805" s="732"/>
      <c r="BB805" s="1574" t="str">
        <f>$BB$6</f>
        <v>TRC (2022)</v>
      </c>
      <c r="BC805" s="1584" t="str">
        <f>$BC$6</f>
        <v>Benefit Lookup</v>
      </c>
      <c r="BD805" s="556" t="str">
        <f>$BD$6</f>
        <v>Benefits (2019 $)</v>
      </c>
      <c r="BE805" s="200" t="str">
        <f>$BE$6</f>
        <v>Incremental Cost (2019 $)</v>
      </c>
    </row>
    <row r="806" spans="1:57" s="741" customFormat="1" x14ac:dyDescent="0.35">
      <c r="A806" s="756"/>
      <c r="B806" s="1328"/>
      <c r="C806" s="50" t="s">
        <v>1850</v>
      </c>
      <c r="D806" s="1279" t="s">
        <v>1518</v>
      </c>
      <c r="E806" s="2088" t="s">
        <v>4298</v>
      </c>
      <c r="F806" s="459">
        <f>ROUND(G819*(G820*G821-G822*G823)*G824*G825*G826/G827*I806*G835*G834,2)</f>
        <v>46.75</v>
      </c>
      <c r="G806" s="88" t="s">
        <v>183</v>
      </c>
      <c r="H806" s="136">
        <f>VLOOKUP(G806,'CP FACTORS'!$A$3:$B$38, 2, FALSE)</f>
        <v>8.8731800000000003E-5</v>
      </c>
      <c r="I806" s="458">
        <f>G828*G829*(G830-G831)/(G832*G833)</f>
        <v>7.8971277842907403E-2</v>
      </c>
      <c r="J806" s="2732">
        <f>ROUND(F806*H806,6)</f>
        <v>4.1479999999999998E-3</v>
      </c>
      <c r="K806" s="92">
        <f>$G$837</f>
        <v>11</v>
      </c>
      <c r="L806" s="1014">
        <f>$G$838</f>
        <v>3</v>
      </c>
      <c r="M806" s="831" t="s">
        <v>184</v>
      </c>
      <c r="N806" s="756"/>
      <c r="O806" s="756"/>
      <c r="P806" s="756"/>
      <c r="Q806" s="756"/>
      <c r="R806" s="1214"/>
      <c r="S806" s="756"/>
      <c r="T806" s="756"/>
      <c r="U806" s="756"/>
      <c r="V806" s="1592" t="str">
        <f>F805</f>
        <v>kWh
Annual Savings</v>
      </c>
      <c r="W806" s="207"/>
      <c r="X806" s="1867"/>
      <c r="Y806" s="373"/>
      <c r="Z806" s="373"/>
      <c r="AA806" s="373"/>
      <c r="AB806" s="1599">
        <v>116.88</v>
      </c>
      <c r="AC806" s="461">
        <v>116.88</v>
      </c>
      <c r="AD806" s="459">
        <v>46.75</v>
      </c>
      <c r="AE806" s="851"/>
      <c r="AF806" s="851"/>
      <c r="AG806" s="851"/>
      <c r="AH806" s="344"/>
      <c r="AK806" s="853"/>
      <c r="BB806" s="854">
        <f>(BD806)/(BE806)</f>
        <v>6.0921192641337942</v>
      </c>
      <c r="BC806" s="2381" t="str">
        <f>CONCATENATE(G806," ",K806," Year EUL")</f>
        <v>Water Heating RES 11 Year EUL</v>
      </c>
      <c r="BD806" s="95">
        <f>(INDEX('Avoided Cost Benefits'!$E$4:$E$859,MATCH(BC806,'Avoided Cost Benefits'!$A$4:$A$859,0)))*F806</f>
        <v>17.249983758755434</v>
      </c>
      <c r="BE806" s="855">
        <f>L806/(1.0595^(2020-2019))</f>
        <v>2.8315243039169418</v>
      </c>
    </row>
    <row r="807" spans="1:57" s="741" customFormat="1" x14ac:dyDescent="0.35">
      <c r="A807" s="756"/>
      <c r="B807" s="1328"/>
      <c r="C807" s="50" t="s">
        <v>1851</v>
      </c>
      <c r="D807" s="1279" t="s">
        <v>1517</v>
      </c>
      <c r="E807" s="2088" t="s">
        <v>4299</v>
      </c>
      <c r="F807" s="459">
        <f>ROUND(G819*(G820*G821-G822*G823)*G824*G825*G826/G827*I806*G835*G834,2)</f>
        <v>46.75</v>
      </c>
      <c r="G807" s="88" t="s">
        <v>183</v>
      </c>
      <c r="H807" s="136">
        <f>VLOOKUP(G807,'CP FACTORS'!$A$3:$B$38, 2, FALSE)</f>
        <v>8.8731800000000003E-5</v>
      </c>
      <c r="I807" s="458">
        <f>G828*G829*(G830-G831)/(G832*G833)</f>
        <v>7.8971277842907403E-2</v>
      </c>
      <c r="J807" s="2732">
        <f>ROUND(F807*H807,6)</f>
        <v>4.1479999999999998E-3</v>
      </c>
      <c r="K807" s="92">
        <f t="shared" ref="K807:K809" si="119">$G$837</f>
        <v>11</v>
      </c>
      <c r="L807" s="1014">
        <f>$G$838</f>
        <v>3</v>
      </c>
      <c r="M807" s="831" t="s">
        <v>184</v>
      </c>
      <c r="N807" s="756"/>
      <c r="O807" s="756"/>
      <c r="P807" s="756"/>
      <c r="Q807" s="756"/>
      <c r="R807" s="1214"/>
      <c r="S807" s="756"/>
      <c r="T807" s="756"/>
      <c r="U807" s="756"/>
      <c r="V807" s="1592" t="str">
        <f>V806</f>
        <v>kWh
Annual Savings</v>
      </c>
      <c r="W807" s="207"/>
      <c r="X807" s="1867"/>
      <c r="Y807" s="373"/>
      <c r="Z807" s="373"/>
      <c r="AA807" s="373"/>
      <c r="AB807" s="1599">
        <v>116.88</v>
      </c>
      <c r="AC807" s="461">
        <v>116.88</v>
      </c>
      <c r="AD807" s="459">
        <v>46.75</v>
      </c>
      <c r="AE807" s="851"/>
      <c r="AF807" s="851"/>
      <c r="AG807" s="851"/>
      <c r="AH807" s="344"/>
      <c r="AK807" s="853"/>
      <c r="BB807" s="854">
        <f>(BD807)/(BE807)</f>
        <v>6.0921192641337942</v>
      </c>
      <c r="BC807" s="2381" t="str">
        <f>CONCATENATE(G807," ",K807," Year EUL")</f>
        <v>Water Heating RES 11 Year EUL</v>
      </c>
      <c r="BD807" s="95">
        <f>(INDEX('Avoided Cost Benefits'!$E$4:$E$859,MATCH(BC807,'Avoided Cost Benefits'!$A$4:$A$859,0)))*F807</f>
        <v>17.249983758755434</v>
      </c>
      <c r="BE807" s="855">
        <f>L807/(1.0595^(2020-2019))</f>
        <v>2.8315243039169418</v>
      </c>
    </row>
    <row r="808" spans="1:57" s="741" customFormat="1" x14ac:dyDescent="0.35">
      <c r="A808" s="756"/>
      <c r="B808" s="1328"/>
      <c r="C808" s="50" t="s">
        <v>1852</v>
      </c>
      <c r="D808" s="2388" t="s">
        <v>4294</v>
      </c>
      <c r="E808" s="2088" t="s">
        <v>4300</v>
      </c>
      <c r="F808" s="461">
        <f>ROUND(G819*(G820*G821-G822*G823)*G824*G825*G826/G827*I808*G836*G834,2)</f>
        <v>111.03</v>
      </c>
      <c r="G808" s="88" t="s">
        <v>183</v>
      </c>
      <c r="H808" s="136">
        <f>VLOOKUP(G808,'CP FACTORS'!$A$3:$B$38, 2, FALSE)</f>
        <v>8.8731800000000003E-5</v>
      </c>
      <c r="I808" s="458">
        <f>G828*G829*(G830-G831)/(G832*G833)</f>
        <v>7.8971277842907403E-2</v>
      </c>
      <c r="J808" s="90">
        <f>ROUND(F808*H808,6)</f>
        <v>9.8519999999999996E-3</v>
      </c>
      <c r="K808" s="92">
        <f t="shared" si="119"/>
        <v>11</v>
      </c>
      <c r="L808" s="1014">
        <f t="shared" ref="L808:L809" si="120">$G$839</f>
        <v>11.33</v>
      </c>
      <c r="M808" s="831" t="s">
        <v>184</v>
      </c>
      <c r="N808" s="756"/>
      <c r="O808" s="756"/>
      <c r="P808" s="756"/>
      <c r="Q808" s="756"/>
      <c r="R808" s="1214"/>
      <c r="S808" s="756"/>
      <c r="T808" s="756"/>
      <c r="U808" s="756"/>
      <c r="V808" s="1592" t="str">
        <f t="shared" ref="V808:V809" si="121">V807</f>
        <v>kWh
Annual Savings</v>
      </c>
      <c r="W808" s="207"/>
      <c r="X808" s="1868"/>
      <c r="Y808" s="373"/>
      <c r="Z808" s="373"/>
      <c r="AA808" s="373"/>
      <c r="AB808" s="1599">
        <v>111.03</v>
      </c>
      <c r="AC808" s="461">
        <v>111.03</v>
      </c>
      <c r="AD808" s="461">
        <v>111.03</v>
      </c>
      <c r="AE808" s="851"/>
      <c r="AF808" s="851"/>
      <c r="AG808" s="851"/>
      <c r="AH808" s="344"/>
      <c r="AK808" s="853"/>
      <c r="BB808" s="857">
        <f>(BD808)/(BE808)</f>
        <v>3.8310557002899426</v>
      </c>
      <c r="BC808" s="1580" t="str">
        <f>CONCATENATE(G808," ",K808," Year EUL")</f>
        <v>Water Heating RES 11 Year EUL</v>
      </c>
      <c r="BD808" s="98">
        <f>(INDEX('Avoided Cost Benefits'!$E$4:$E$859,MATCH(BC808,'Avoided Cost Benefits'!$A$4:$A$859,0)))*F808</f>
        <v>40.968250197531894</v>
      </c>
      <c r="BE808" s="858">
        <f>L808/(1.0595^(2020-2019))</f>
        <v>10.693723454459649</v>
      </c>
    </row>
    <row r="809" spans="1:57" s="741" customFormat="1" x14ac:dyDescent="0.35">
      <c r="A809" s="756"/>
      <c r="B809" s="1328"/>
      <c r="C809" s="50" t="s">
        <v>1853</v>
      </c>
      <c r="D809" s="2388" t="s">
        <v>4296</v>
      </c>
      <c r="E809" s="2088" t="s">
        <v>4301</v>
      </c>
      <c r="F809" s="461">
        <f>ROUND(G819*(G820*G821-G822*G823)*G824*G825*G826/G827*I809*G836*G834,2)</f>
        <v>111.03</v>
      </c>
      <c r="G809" s="88" t="s">
        <v>183</v>
      </c>
      <c r="H809" s="136">
        <f>VLOOKUP(G809,'CP FACTORS'!$A$3:$B$38, 2, FALSE)</f>
        <v>8.8731800000000003E-5</v>
      </c>
      <c r="I809" s="458">
        <f>G828*G829*(G830-G831)/(G832*G833)</f>
        <v>7.8971277842907403E-2</v>
      </c>
      <c r="J809" s="90">
        <f>ROUND(F809*H809,6)</f>
        <v>9.8519999999999996E-3</v>
      </c>
      <c r="K809" s="92">
        <f t="shared" si="119"/>
        <v>11</v>
      </c>
      <c r="L809" s="1014">
        <f t="shared" si="120"/>
        <v>11.33</v>
      </c>
      <c r="M809" s="831" t="s">
        <v>184</v>
      </c>
      <c r="N809" s="756"/>
      <c r="O809" s="756"/>
      <c r="P809" s="756"/>
      <c r="Q809" s="756"/>
      <c r="R809" s="1214"/>
      <c r="S809" s="756"/>
      <c r="T809" s="756"/>
      <c r="U809" s="756"/>
      <c r="V809" s="1592" t="str">
        <f t="shared" si="121"/>
        <v>kWh
Annual Savings</v>
      </c>
      <c r="W809" s="207"/>
      <c r="X809" s="1867"/>
      <c r="Y809" s="373"/>
      <c r="Z809" s="373"/>
      <c r="AA809" s="373"/>
      <c r="AB809" s="1599">
        <v>111.03</v>
      </c>
      <c r="AC809" s="461">
        <v>111.03</v>
      </c>
      <c r="AD809" s="461">
        <v>111.03</v>
      </c>
      <c r="AE809" s="851"/>
      <c r="AF809" s="851"/>
      <c r="AG809" s="851"/>
      <c r="AH809" s="344"/>
      <c r="AK809" s="853"/>
      <c r="BB809" s="859">
        <f>(BD809)/(BE809)</f>
        <v>3.8310557002899426</v>
      </c>
      <c r="BC809" s="1580" t="str">
        <f>CONCATENATE(G809," ",K809," Year EUL")</f>
        <v>Water Heating RES 11 Year EUL</v>
      </c>
      <c r="BD809" s="102">
        <f>(INDEX('Avoided Cost Benefits'!$E$4:$E$859,MATCH(BC809,'Avoided Cost Benefits'!$A$4:$A$859,0)))*F809</f>
        <v>40.968250197531894</v>
      </c>
      <c r="BE809" s="860">
        <f>L809/(1.0595^(2020-2019))</f>
        <v>10.693723454459649</v>
      </c>
    </row>
    <row r="810" spans="1:57" hidden="1" outlineLevel="1" x14ac:dyDescent="0.35">
      <c r="B810" s="1040"/>
      <c r="C810" s="3113"/>
      <c r="D810" s="3114"/>
      <c r="E810" s="3114"/>
      <c r="F810" s="3120"/>
      <c r="G810" s="3113"/>
      <c r="H810" s="3121"/>
      <c r="I810" s="3122"/>
      <c r="J810" s="3122"/>
      <c r="K810" s="3122"/>
      <c r="L810" s="3112"/>
      <c r="M810" s="3112"/>
      <c r="V810" s="106"/>
      <c r="W810"/>
      <c r="X810"/>
      <c r="Y810" s="87"/>
      <c r="Z810"/>
      <c r="AA810"/>
      <c r="AB810"/>
      <c r="AC810"/>
      <c r="AD810"/>
      <c r="AE810"/>
      <c r="AF810"/>
      <c r="AG810"/>
      <c r="AH810" s="144"/>
      <c r="AK810" s="732"/>
    </row>
    <row r="811" spans="1:57" hidden="1" outlineLevel="1" x14ac:dyDescent="0.35">
      <c r="B811" s="1040"/>
      <c r="C811" s="3113"/>
      <c r="D811" s="3066" t="s">
        <v>107</v>
      </c>
      <c r="E811" s="3114"/>
      <c r="F811" s="3120"/>
      <c r="G811" s="3113"/>
      <c r="H811" s="3121"/>
      <c r="I811" s="3112"/>
      <c r="J811" s="3112"/>
      <c r="K811" s="3112"/>
      <c r="L811" s="3112"/>
      <c r="M811" s="3112"/>
      <c r="V811" s="106"/>
      <c r="W811"/>
      <c r="X811"/>
      <c r="Y811" s="87"/>
      <c r="Z811"/>
      <c r="AA811"/>
      <c r="AB811"/>
      <c r="AC811"/>
      <c r="AD811"/>
      <c r="AE811"/>
      <c r="AF811"/>
      <c r="AG811"/>
      <c r="AK811" s="732"/>
    </row>
    <row r="812" spans="1:57" hidden="1" outlineLevel="1" x14ac:dyDescent="0.35">
      <c r="B812" s="1040"/>
      <c r="C812" s="3113"/>
      <c r="D812" s="196"/>
      <c r="E812" s="3114"/>
      <c r="F812" s="3120"/>
      <c r="G812" s="3112"/>
      <c r="H812" s="3113"/>
      <c r="I812" s="3112"/>
      <c r="J812" s="3112"/>
      <c r="K812" s="3112"/>
      <c r="L812" s="3112"/>
      <c r="M812" s="3112"/>
      <c r="V812" s="106"/>
      <c r="W812"/>
      <c r="X812"/>
      <c r="Y812" s="87"/>
      <c r="Z812"/>
      <c r="AA812"/>
      <c r="AB812"/>
      <c r="AC812"/>
      <c r="AD812"/>
      <c r="AE812"/>
      <c r="AF812"/>
      <c r="AG812"/>
      <c r="AK812" s="732"/>
    </row>
    <row r="813" spans="1:57" hidden="1" outlineLevel="1" x14ac:dyDescent="0.35">
      <c r="B813" s="1040"/>
      <c r="C813" s="3113"/>
      <c r="D813" s="3114"/>
      <c r="E813" s="3124"/>
      <c r="F813" s="3125"/>
      <c r="G813" s="3125"/>
      <c r="H813" s="3112"/>
      <c r="I813" s="3112"/>
      <c r="J813" s="3112"/>
      <c r="K813" s="3112"/>
      <c r="L813" s="3112"/>
      <c r="M813" s="3112"/>
      <c r="V813" s="106"/>
      <c r="W813"/>
      <c r="X813"/>
      <c r="Y813" s="87"/>
      <c r="Z813"/>
      <c r="AA813"/>
      <c r="AB813"/>
      <c r="AC813"/>
      <c r="AD813"/>
      <c r="AE813"/>
      <c r="AF813"/>
      <c r="AG813"/>
      <c r="AK813" s="732"/>
    </row>
    <row r="814" spans="1:57" hidden="1" outlineLevel="1" x14ac:dyDescent="0.35">
      <c r="B814" s="1040"/>
      <c r="C814" s="3113"/>
      <c r="D814" s="3114"/>
      <c r="E814" s="3126"/>
      <c r="F814" s="3127"/>
      <c r="G814" s="3127"/>
      <c r="H814" s="3112"/>
      <c r="I814" s="3112"/>
      <c r="J814" s="3112"/>
      <c r="K814" s="3112"/>
      <c r="L814" s="3112"/>
      <c r="M814" s="3112"/>
      <c r="V814" s="106"/>
      <c r="W814"/>
      <c r="X814"/>
      <c r="Y814" s="87"/>
      <c r="Z814"/>
      <c r="AA814"/>
      <c r="AB814"/>
      <c r="AC814"/>
      <c r="AD814"/>
      <c r="AE814"/>
      <c r="AF814"/>
      <c r="AG814"/>
      <c r="AK814" s="732"/>
    </row>
    <row r="815" spans="1:57" hidden="1" outlineLevel="1" x14ac:dyDescent="0.35">
      <c r="B815" s="1040"/>
      <c r="C815" s="3113"/>
      <c r="D815" s="3114"/>
      <c r="E815" s="3126"/>
      <c r="F815" s="3127"/>
      <c r="G815" s="3127"/>
      <c r="H815" s="3112"/>
      <c r="I815" s="3112"/>
      <c r="J815" s="3112"/>
      <c r="K815" s="3112"/>
      <c r="L815" s="3112"/>
      <c r="M815" s="3112"/>
      <c r="V815" s="106"/>
      <c r="W815"/>
      <c r="X815"/>
      <c r="Y815" s="87"/>
      <c r="Z815"/>
      <c r="AA815"/>
      <c r="AB815"/>
      <c r="AC815"/>
      <c r="AD815"/>
      <c r="AE815"/>
      <c r="AF815"/>
      <c r="AG815"/>
      <c r="AK815" s="732"/>
    </row>
    <row r="816" spans="1:57" ht="15" hidden="1" customHeight="1" outlineLevel="1" x14ac:dyDescent="0.35">
      <c r="B816" s="1040"/>
      <c r="C816" s="3113"/>
      <c r="D816" s="3118"/>
      <c r="E816" s="3126"/>
      <c r="F816" s="3127"/>
      <c r="G816" s="3127"/>
      <c r="H816" s="3112"/>
      <c r="I816" s="3112"/>
      <c r="J816" s="3112"/>
      <c r="K816" s="3112"/>
      <c r="L816" s="3112"/>
      <c r="M816" s="3112"/>
      <c r="V816" s="106"/>
      <c r="W816"/>
      <c r="X816"/>
      <c r="Y816" s="87"/>
      <c r="Z816"/>
      <c r="AA816"/>
      <c r="AB816"/>
      <c r="AC816"/>
      <c r="AD816"/>
      <c r="AE816"/>
      <c r="AF816"/>
      <c r="AG816"/>
      <c r="AK816" s="732"/>
    </row>
    <row r="817" spans="2:37" hidden="1" outlineLevel="1" x14ac:dyDescent="0.35">
      <c r="B817" s="1040"/>
      <c r="C817" s="3113"/>
      <c r="D817" s="3114"/>
      <c r="E817" s="3114"/>
      <c r="F817" s="3112"/>
      <c r="G817" s="3112"/>
      <c r="H817" s="3112"/>
      <c r="I817" s="3112"/>
      <c r="J817" s="3112"/>
      <c r="K817" s="3112"/>
      <c r="L817" s="3112"/>
      <c r="M817" s="3112"/>
      <c r="V817" s="106"/>
      <c r="W817"/>
      <c r="X817"/>
      <c r="Y817" s="87"/>
      <c r="Z817"/>
      <c r="AA817"/>
      <c r="AB817"/>
      <c r="AC817"/>
      <c r="AD817"/>
      <c r="AE817"/>
      <c r="AF817"/>
      <c r="AG817"/>
      <c r="AK817" s="732"/>
    </row>
    <row r="818" spans="2:37" hidden="1" outlineLevel="1" x14ac:dyDescent="0.35">
      <c r="B818" s="1040"/>
      <c r="D818" s="2423" t="s">
        <v>108</v>
      </c>
      <c r="E818" s="2423" t="s">
        <v>109</v>
      </c>
      <c r="F818" s="2331" t="s">
        <v>1834</v>
      </c>
      <c r="G818" s="2362" t="s">
        <v>111</v>
      </c>
      <c r="H818" s="3741" t="s">
        <v>186</v>
      </c>
      <c r="I818" s="3741"/>
      <c r="J818" s="4236" t="s">
        <v>112</v>
      </c>
      <c r="K818" s="4364"/>
      <c r="L818" s="4365"/>
      <c r="V818" s="480" t="s">
        <v>44</v>
      </c>
      <c r="W818" s="481">
        <f>W$6</f>
        <v>43252</v>
      </c>
      <c r="X818" s="481">
        <f t="shared" ref="X818:AG818" si="122">X$6</f>
        <v>43465</v>
      </c>
      <c r="Y818" s="1944">
        <f t="shared" si="122"/>
        <v>43800</v>
      </c>
      <c r="Z818" s="481">
        <f t="shared" si="122"/>
        <v>43862</v>
      </c>
      <c r="AA818" s="481">
        <f t="shared" si="122"/>
        <v>44013</v>
      </c>
      <c r="AB818" s="481">
        <f t="shared" si="122"/>
        <v>44166</v>
      </c>
      <c r="AC818" s="481">
        <f t="shared" si="122"/>
        <v>44531</v>
      </c>
      <c r="AD818" s="481">
        <f t="shared" si="122"/>
        <v>44774</v>
      </c>
      <c r="AE818" s="481" t="str">
        <f t="shared" si="122"/>
        <v>-</v>
      </c>
      <c r="AF818" s="481" t="str">
        <f t="shared" si="122"/>
        <v>-</v>
      </c>
      <c r="AG818" s="481" t="str">
        <f t="shared" si="122"/>
        <v>-</v>
      </c>
      <c r="AK818" s="732"/>
    </row>
    <row r="819" spans="2:37" ht="15" hidden="1" customHeight="1" outlineLevel="1" x14ac:dyDescent="0.35">
      <c r="B819" s="1040"/>
      <c r="D819" s="2333" t="s">
        <v>596</v>
      </c>
      <c r="E819" s="2333" t="s">
        <v>597</v>
      </c>
      <c r="F819" s="2333"/>
      <c r="G819" s="874">
        <v>1</v>
      </c>
      <c r="H819" s="3847" t="s">
        <v>583</v>
      </c>
      <c r="I819" s="3848"/>
      <c r="J819" s="4366" t="s">
        <v>1721</v>
      </c>
      <c r="K819" s="4367"/>
      <c r="L819" s="4367"/>
      <c r="V819" s="2333" t="s">
        <v>596</v>
      </c>
      <c r="W819" s="467"/>
      <c r="X819" s="467"/>
      <c r="Y819" s="467"/>
      <c r="Z819" s="467"/>
      <c r="AA819" s="467"/>
      <c r="AB819" s="467">
        <v>1</v>
      </c>
      <c r="AC819" s="874">
        <v>1</v>
      </c>
      <c r="AD819" s="874">
        <v>1</v>
      </c>
      <c r="AE819" s="141"/>
      <c r="AF819" s="141"/>
      <c r="AG819" s="141"/>
      <c r="AK819" s="732"/>
    </row>
    <row r="820" spans="2:37" ht="90.65" hidden="1" customHeight="1" outlineLevel="1" x14ac:dyDescent="0.35">
      <c r="B820" s="1040"/>
      <c r="D820" s="2333" t="s">
        <v>601</v>
      </c>
      <c r="E820" s="2333" t="s">
        <v>1835</v>
      </c>
      <c r="F820" s="2333"/>
      <c r="G820" s="92">
        <v>2.2000000000000002</v>
      </c>
      <c r="H820" s="3820" t="s">
        <v>671</v>
      </c>
      <c r="I820" s="3790"/>
      <c r="J820" s="4370" t="s">
        <v>652</v>
      </c>
      <c r="K820" s="4371"/>
      <c r="L820" s="4372"/>
      <c r="V820" s="2333" t="s">
        <v>601</v>
      </c>
      <c r="W820" s="293"/>
      <c r="X820" s="1865"/>
      <c r="Y820" s="1865"/>
      <c r="Z820" s="1865"/>
      <c r="AA820" s="1865"/>
      <c r="AB820" s="100">
        <v>2.2000000000000002</v>
      </c>
      <c r="AC820" s="92">
        <v>2.2000000000000002</v>
      </c>
      <c r="AD820" s="92">
        <v>2.2000000000000002</v>
      </c>
      <c r="AE820" s="141"/>
      <c r="AF820" s="141"/>
      <c r="AG820" s="141"/>
      <c r="AK820" s="732"/>
    </row>
    <row r="821" spans="2:37" ht="30" hidden="1" customHeight="1" outlineLevel="1" x14ac:dyDescent="0.35">
      <c r="B821" s="1040"/>
      <c r="D821" s="2333" t="s">
        <v>604</v>
      </c>
      <c r="E821" s="2397" t="s">
        <v>1836</v>
      </c>
      <c r="F821" s="2333"/>
      <c r="G821" s="1862">
        <v>3.7</v>
      </c>
      <c r="H821" s="4368" t="s">
        <v>608</v>
      </c>
      <c r="I821" s="4369"/>
      <c r="J821" s="4370" t="s">
        <v>652</v>
      </c>
      <c r="K821" s="4371"/>
      <c r="L821" s="4372"/>
      <c r="V821" s="2333" t="s">
        <v>604</v>
      </c>
      <c r="W821" s="865"/>
      <c r="X821" s="865"/>
      <c r="Y821" s="865"/>
      <c r="Z821" s="865"/>
      <c r="AA821" s="865"/>
      <c r="AB821" s="1864">
        <v>3.7</v>
      </c>
      <c r="AC821" s="1862">
        <v>3.7</v>
      </c>
      <c r="AD821" s="1862">
        <v>3.7</v>
      </c>
      <c r="AE821" s="141"/>
      <c r="AF821" s="141"/>
      <c r="AG821" s="141"/>
      <c r="AK821" s="732"/>
    </row>
    <row r="822" spans="2:37" ht="30" hidden="1" customHeight="1" outlineLevel="1" x14ac:dyDescent="0.35">
      <c r="B822" s="1040"/>
      <c r="D822" s="2333" t="s">
        <v>609</v>
      </c>
      <c r="E822" s="2333" t="s">
        <v>1837</v>
      </c>
      <c r="F822" s="2333"/>
      <c r="G822" s="92">
        <v>1.5</v>
      </c>
      <c r="H822" s="3820" t="s">
        <v>1838</v>
      </c>
      <c r="I822" s="3790"/>
      <c r="J822" s="4370" t="s">
        <v>652</v>
      </c>
      <c r="K822" s="4371"/>
      <c r="L822" s="4372"/>
      <c r="V822" s="2333" t="s">
        <v>609</v>
      </c>
      <c r="W822" s="293"/>
      <c r="X822" s="876"/>
      <c r="Y822" s="876"/>
      <c r="Z822" s="876"/>
      <c r="AA822" s="876"/>
      <c r="AB822" s="100">
        <v>1.5</v>
      </c>
      <c r="AC822" s="92">
        <v>1.5</v>
      </c>
      <c r="AD822" s="92">
        <v>1.5</v>
      </c>
      <c r="AE822" s="748"/>
      <c r="AF822" s="748"/>
      <c r="AG822" s="748"/>
      <c r="AK822" s="732"/>
    </row>
    <row r="823" spans="2:37" ht="30" hidden="1" customHeight="1" outlineLevel="1" x14ac:dyDescent="0.35">
      <c r="B823" s="1040"/>
      <c r="D823" s="2333" t="s">
        <v>612</v>
      </c>
      <c r="E823" s="2397" t="s">
        <v>1836</v>
      </c>
      <c r="F823" s="2333"/>
      <c r="G823" s="988">
        <v>3.7</v>
      </c>
      <c r="H823" s="4368" t="s">
        <v>608</v>
      </c>
      <c r="I823" s="4369"/>
      <c r="J823" s="4370" t="s">
        <v>652</v>
      </c>
      <c r="K823" s="4371"/>
      <c r="L823" s="4372"/>
      <c r="V823" s="2333" t="s">
        <v>612</v>
      </c>
      <c r="W823" s="865"/>
      <c r="X823" s="865"/>
      <c r="Y823" s="1857"/>
      <c r="Z823" s="1857"/>
      <c r="AA823" s="1857"/>
      <c r="AB823" s="213">
        <v>3.7</v>
      </c>
      <c r="AC823" s="988">
        <v>3.7</v>
      </c>
      <c r="AD823" s="988">
        <v>3.7</v>
      </c>
      <c r="AE823" s="748"/>
      <c r="AF823" s="748"/>
      <c r="AG823" s="748"/>
      <c r="AK823" s="732"/>
    </row>
    <row r="824" spans="2:37" ht="45" hidden="1" customHeight="1" outlineLevel="1" x14ac:dyDescent="0.35">
      <c r="B824" s="1040"/>
      <c r="D824" s="2333" t="s">
        <v>199</v>
      </c>
      <c r="E824" s="2397" t="s">
        <v>1839</v>
      </c>
      <c r="F824" s="2333"/>
      <c r="G824" s="864">
        <v>1.5644946808510638</v>
      </c>
      <c r="H824" s="4368" t="s">
        <v>616</v>
      </c>
      <c r="I824" s="4369"/>
      <c r="J824" s="4370" t="s">
        <v>652</v>
      </c>
      <c r="K824" s="4371"/>
      <c r="L824" s="4372"/>
      <c r="V824" s="2333" t="s">
        <v>199</v>
      </c>
      <c r="W824" s="865"/>
      <c r="X824" s="865"/>
      <c r="Y824" s="866"/>
      <c r="Z824" s="866"/>
      <c r="AA824" s="866"/>
      <c r="AB824" s="866">
        <v>1.5644946808510638</v>
      </c>
      <c r="AC824" s="864">
        <v>1.5644946808510638</v>
      </c>
      <c r="AD824" s="864">
        <v>1.5644946808510638</v>
      </c>
      <c r="AE824" s="748"/>
      <c r="AF824" s="748"/>
      <c r="AG824" s="748"/>
      <c r="AK824" s="732"/>
    </row>
    <row r="825" spans="2:37" ht="15" hidden="1" customHeight="1" outlineLevel="1" x14ac:dyDescent="0.35">
      <c r="B825" s="1040"/>
      <c r="D825" s="391" t="s">
        <v>618</v>
      </c>
      <c r="E825" s="2333" t="s">
        <v>619</v>
      </c>
      <c r="F825" s="2333"/>
      <c r="G825" s="867">
        <v>1</v>
      </c>
      <c r="H825" s="3820" t="s">
        <v>520</v>
      </c>
      <c r="I825" s="3790"/>
      <c r="J825" s="4373" t="s">
        <v>655</v>
      </c>
      <c r="K825" s="4374"/>
      <c r="L825" s="4375"/>
      <c r="V825" s="391" t="s">
        <v>618</v>
      </c>
      <c r="W825" s="865"/>
      <c r="X825" s="865"/>
      <c r="Y825" s="868"/>
      <c r="Z825" s="868"/>
      <c r="AA825" s="868"/>
      <c r="AB825" s="865">
        <v>1</v>
      </c>
      <c r="AC825" s="867">
        <v>1</v>
      </c>
      <c r="AD825" s="867">
        <v>1</v>
      </c>
      <c r="AE825" s="748"/>
      <c r="AF825" s="748"/>
      <c r="AG825" s="748"/>
      <c r="AK825" s="732"/>
    </row>
    <row r="826" spans="2:37" ht="15" hidden="1" customHeight="1" outlineLevel="1" x14ac:dyDescent="0.35">
      <c r="B826" s="1040"/>
      <c r="D826" s="391">
        <v>365.25</v>
      </c>
      <c r="E826" s="2397" t="s">
        <v>1840</v>
      </c>
      <c r="F826" s="2333"/>
      <c r="G826" s="203">
        <v>365.25</v>
      </c>
      <c r="H826" s="3820" t="s">
        <v>570</v>
      </c>
      <c r="I826" s="3790"/>
      <c r="J826" s="4370" t="s">
        <v>652</v>
      </c>
      <c r="K826" s="4371"/>
      <c r="L826" s="4372"/>
      <c r="V826" s="391">
        <v>365.25</v>
      </c>
      <c r="W826" s="865"/>
      <c r="X826" s="865"/>
      <c r="Y826" s="1866"/>
      <c r="Z826" s="1866"/>
      <c r="AA826" s="1866"/>
      <c r="AB826" s="1857">
        <v>365.25</v>
      </c>
      <c r="AC826" s="203">
        <v>365.25</v>
      </c>
      <c r="AD826" s="203">
        <v>365.25</v>
      </c>
      <c r="AE826" s="748"/>
      <c r="AF826" s="748"/>
      <c r="AG826" s="748"/>
      <c r="AK826" s="732"/>
    </row>
    <row r="827" spans="2:37" ht="15" hidden="1" customHeight="1" outlineLevel="1" x14ac:dyDescent="0.35">
      <c r="B827" s="1040"/>
      <c r="D827" s="391" t="s">
        <v>621</v>
      </c>
      <c r="E827" s="2397" t="s">
        <v>1841</v>
      </c>
      <c r="F827" s="2333"/>
      <c r="G827" s="988">
        <v>1</v>
      </c>
      <c r="H827" s="3804" t="s">
        <v>624</v>
      </c>
      <c r="I827" s="3804"/>
      <c r="J827" s="4370" t="s">
        <v>1842</v>
      </c>
      <c r="K827" s="4371"/>
      <c r="L827" s="4372"/>
      <c r="V827" s="391" t="s">
        <v>621</v>
      </c>
      <c r="W827" s="865"/>
      <c r="X827" s="865"/>
      <c r="Y827" s="866"/>
      <c r="Z827" s="866"/>
      <c r="AA827" s="866"/>
      <c r="AB827" s="213">
        <v>1</v>
      </c>
      <c r="AC827" s="988">
        <v>1</v>
      </c>
      <c r="AD827" s="988">
        <v>1</v>
      </c>
      <c r="AE827" s="748"/>
      <c r="AF827" s="748"/>
      <c r="AG827" s="748"/>
      <c r="AK827" s="732"/>
    </row>
    <row r="828" spans="2:37" ht="15" hidden="1" customHeight="1" outlineLevel="1" x14ac:dyDescent="0.35">
      <c r="B828" s="1040"/>
      <c r="D828" s="391">
        <v>8.33</v>
      </c>
      <c r="E828" s="2397" t="s">
        <v>626</v>
      </c>
      <c r="F828" s="2333"/>
      <c r="G828" s="867">
        <v>8.33</v>
      </c>
      <c r="H828" s="3847" t="s">
        <v>627</v>
      </c>
      <c r="I828" s="3848"/>
      <c r="J828" s="4370" t="s">
        <v>652</v>
      </c>
      <c r="K828" s="4371"/>
      <c r="L828" s="4372"/>
      <c r="V828" s="391">
        <v>8.33</v>
      </c>
      <c r="W828" s="865"/>
      <c r="X828" s="865"/>
      <c r="Y828" s="865"/>
      <c r="Z828" s="865"/>
      <c r="AA828" s="865"/>
      <c r="AB828" s="865">
        <v>8.33</v>
      </c>
      <c r="AC828" s="867">
        <v>8.33</v>
      </c>
      <c r="AD828" s="867">
        <v>8.33</v>
      </c>
      <c r="AE828" s="748"/>
      <c r="AF828" s="748"/>
      <c r="AG828" s="748"/>
      <c r="AK828" s="732"/>
    </row>
    <row r="829" spans="2:37" ht="15" hidden="1" customHeight="1" outlineLevel="1" x14ac:dyDescent="0.35">
      <c r="B829" s="1040"/>
      <c r="D829" s="391">
        <v>1</v>
      </c>
      <c r="E829" s="1391" t="s">
        <v>1843</v>
      </c>
      <c r="F829" s="2333"/>
      <c r="G829" s="867">
        <v>1</v>
      </c>
      <c r="H829" s="3820" t="s">
        <v>629</v>
      </c>
      <c r="I829" s="3790"/>
      <c r="J829" s="4370" t="s">
        <v>652</v>
      </c>
      <c r="K829" s="4371"/>
      <c r="L829" s="4372"/>
      <c r="V829" s="391">
        <v>1</v>
      </c>
      <c r="W829" s="865"/>
      <c r="X829" s="865"/>
      <c r="Y829" s="865"/>
      <c r="Z829" s="865"/>
      <c r="AA829" s="865"/>
      <c r="AB829" s="865">
        <v>1</v>
      </c>
      <c r="AC829" s="867">
        <v>1</v>
      </c>
      <c r="AD829" s="867">
        <v>1</v>
      </c>
      <c r="AE829" s="748"/>
      <c r="AF829" s="748"/>
      <c r="AG829" s="748"/>
      <c r="AK829" s="732"/>
    </row>
    <row r="830" spans="2:37" ht="15" hidden="1" customHeight="1" outlineLevel="1" x14ac:dyDescent="0.35">
      <c r="B830" s="1040"/>
      <c r="D830" s="2333" t="s">
        <v>630</v>
      </c>
      <c r="E830" s="2397" t="s">
        <v>1844</v>
      </c>
      <c r="F830" s="2333"/>
      <c r="G830" s="903">
        <v>93</v>
      </c>
      <c r="H830" s="4416" t="s">
        <v>632</v>
      </c>
      <c r="I830" s="4416"/>
      <c r="J830" s="4370" t="s">
        <v>652</v>
      </c>
      <c r="K830" s="4371"/>
      <c r="L830" s="4372"/>
      <c r="V830" s="2333" t="s">
        <v>630</v>
      </c>
      <c r="W830" s="865"/>
      <c r="X830" s="865"/>
      <c r="Y830" s="865"/>
      <c r="Z830" s="865"/>
      <c r="AA830" s="865"/>
      <c r="AB830" s="872">
        <v>93</v>
      </c>
      <c r="AC830" s="903">
        <v>93</v>
      </c>
      <c r="AD830" s="903">
        <v>93</v>
      </c>
      <c r="AE830" s="748"/>
      <c r="AF830" s="748"/>
      <c r="AG830" s="748"/>
      <c r="AK830" s="732"/>
    </row>
    <row r="831" spans="2:37" ht="60" hidden="1" customHeight="1" outlineLevel="1" x14ac:dyDescent="0.35">
      <c r="B831" s="1040"/>
      <c r="D831" s="2333" t="s">
        <v>633</v>
      </c>
      <c r="E831" s="2397" t="s">
        <v>1845</v>
      </c>
      <c r="F831" s="2333"/>
      <c r="G831" s="903">
        <v>61.3</v>
      </c>
      <c r="H831" s="3804" t="s">
        <v>635</v>
      </c>
      <c r="I831" s="3804"/>
      <c r="J831" s="4370" t="s">
        <v>652</v>
      </c>
      <c r="K831" s="4371"/>
      <c r="L831" s="4372"/>
      <c r="V831" s="2333" t="s">
        <v>633</v>
      </c>
      <c r="W831" s="865"/>
      <c r="X831" s="865"/>
      <c r="Y831" s="865"/>
      <c r="Z831" s="865"/>
      <c r="AA831" s="865"/>
      <c r="AB831" s="872">
        <v>61.3</v>
      </c>
      <c r="AC831" s="903">
        <v>61.3</v>
      </c>
      <c r="AD831" s="903">
        <v>61.3</v>
      </c>
      <c r="AE831" s="748"/>
      <c r="AF831" s="748"/>
      <c r="AG831" s="748"/>
      <c r="AK831" s="732"/>
    </row>
    <row r="832" spans="2:37" ht="30" hidden="1" customHeight="1" outlineLevel="1" x14ac:dyDescent="0.35">
      <c r="B832" s="1040"/>
      <c r="D832" s="2333" t="s">
        <v>636</v>
      </c>
      <c r="E832" s="2397" t="s">
        <v>1846</v>
      </c>
      <c r="F832" s="2333"/>
      <c r="G832" s="867">
        <v>0.98</v>
      </c>
      <c r="H832" s="4368" t="s">
        <v>1847</v>
      </c>
      <c r="I832" s="4369"/>
      <c r="J832" s="4370" t="s">
        <v>652</v>
      </c>
      <c r="K832" s="4371"/>
      <c r="L832" s="4372"/>
      <c r="V832" s="2333" t="s">
        <v>636</v>
      </c>
      <c r="W832" s="865"/>
      <c r="X832" s="865"/>
      <c r="Y832" s="865"/>
      <c r="Z832" s="865"/>
      <c r="AA832" s="865"/>
      <c r="AB832" s="865">
        <v>0.98</v>
      </c>
      <c r="AC832" s="867">
        <v>0.98</v>
      </c>
      <c r="AD832" s="867">
        <v>0.98</v>
      </c>
      <c r="AE832" s="748"/>
      <c r="AF832" s="748"/>
      <c r="AG832" s="748"/>
      <c r="AK832" s="732"/>
    </row>
    <row r="833" spans="2:57" ht="15" hidden="1" customHeight="1" outlineLevel="1" x14ac:dyDescent="0.35">
      <c r="B833" s="1040"/>
      <c r="D833" s="2333">
        <v>3412</v>
      </c>
      <c r="E833" s="2397">
        <v>3412</v>
      </c>
      <c r="F833" s="2333"/>
      <c r="G833" s="867">
        <v>3412</v>
      </c>
      <c r="H833" s="3847" t="s">
        <v>217</v>
      </c>
      <c r="I833" s="3848"/>
      <c r="J833" s="4370" t="s">
        <v>652</v>
      </c>
      <c r="K833" s="4371"/>
      <c r="L833" s="4372"/>
      <c r="V833" s="2333">
        <v>3412</v>
      </c>
      <c r="W833" s="865"/>
      <c r="X833" s="865"/>
      <c r="Y833" s="865"/>
      <c r="Z833" s="865"/>
      <c r="AA833" s="865"/>
      <c r="AB833" s="865">
        <v>3412</v>
      </c>
      <c r="AC833" s="867">
        <v>3412</v>
      </c>
      <c r="AD833" s="867">
        <v>3412</v>
      </c>
      <c r="AE833" s="748"/>
      <c r="AF833" s="748"/>
      <c r="AG833" s="748"/>
      <c r="AK833" s="732"/>
    </row>
    <row r="834" spans="2:57" ht="15" hidden="1" customHeight="1" outlineLevel="1" x14ac:dyDescent="0.35">
      <c r="B834" s="1040"/>
      <c r="D834" s="2333" t="s">
        <v>516</v>
      </c>
      <c r="E834" s="2333" t="s">
        <v>578</v>
      </c>
      <c r="F834" s="2333"/>
      <c r="G834" s="1392">
        <v>1</v>
      </c>
      <c r="H834" s="3847" t="s">
        <v>583</v>
      </c>
      <c r="I834" s="3848"/>
      <c r="J834" s="4370" t="s">
        <v>1721</v>
      </c>
      <c r="K834" s="4371"/>
      <c r="L834" s="4371"/>
      <c r="V834" s="2333" t="s">
        <v>516</v>
      </c>
      <c r="W834" s="1658"/>
      <c r="X834" s="1658"/>
      <c r="Y834" s="1658"/>
      <c r="Z834" s="1658"/>
      <c r="AA834" s="1658"/>
      <c r="AB834" s="1658">
        <v>1</v>
      </c>
      <c r="AC834" s="1392">
        <v>1</v>
      </c>
      <c r="AD834" s="1392">
        <v>1</v>
      </c>
      <c r="AE834" s="748"/>
      <c r="AF834" s="748"/>
      <c r="AG834" s="748"/>
      <c r="AK834" s="732"/>
    </row>
    <row r="835" spans="2:57" ht="15" hidden="1" customHeight="1" outlineLevel="1" x14ac:dyDescent="0.35">
      <c r="B835" s="1040"/>
      <c r="D835" s="3804" t="s">
        <v>132</v>
      </c>
      <c r="E835" s="4376" t="s">
        <v>1722</v>
      </c>
      <c r="F835" s="2333" t="s">
        <v>416</v>
      </c>
      <c r="G835" s="1658">
        <v>0.4</v>
      </c>
      <c r="H835" s="4377" t="s">
        <v>519</v>
      </c>
      <c r="I835" s="4378"/>
      <c r="J835" s="4379" t="s">
        <v>4419</v>
      </c>
      <c r="K835" s="4380"/>
      <c r="L835" s="4381"/>
      <c r="V835" s="3804" t="s">
        <v>132</v>
      </c>
      <c r="W835" s="1658"/>
      <c r="X835" s="1658"/>
      <c r="Y835" s="1658"/>
      <c r="Z835" s="1658"/>
      <c r="AA835" s="1658"/>
      <c r="AB835" s="1658">
        <v>1</v>
      </c>
      <c r="AC835" s="1392">
        <v>1</v>
      </c>
      <c r="AD835" s="1658">
        <v>0.4</v>
      </c>
      <c r="AE835" s="748"/>
      <c r="AF835" s="748"/>
      <c r="AG835" s="748"/>
      <c r="AK835" s="732"/>
    </row>
    <row r="836" spans="2:57" ht="15" hidden="1" customHeight="1" outlineLevel="1" x14ac:dyDescent="0.35">
      <c r="B836" s="1040"/>
      <c r="D836" s="3804"/>
      <c r="E836" s="4376"/>
      <c r="F836" s="2333" t="s">
        <v>417</v>
      </c>
      <c r="G836" s="256">
        <v>0.95</v>
      </c>
      <c r="H836" s="3820" t="s">
        <v>520</v>
      </c>
      <c r="I836" s="3790"/>
      <c r="J836" s="3789"/>
      <c r="K836" s="4382"/>
      <c r="L836" s="3815"/>
      <c r="V836" s="3804"/>
      <c r="W836" s="467"/>
      <c r="X836" s="467"/>
      <c r="Y836" s="241"/>
      <c r="Z836" s="241"/>
      <c r="AA836" s="241"/>
      <c r="AB836" s="241">
        <v>0.95</v>
      </c>
      <c r="AC836" s="256">
        <v>0.95</v>
      </c>
      <c r="AD836" s="256">
        <v>0.95</v>
      </c>
      <c r="AE836" s="748"/>
      <c r="AF836" s="748"/>
      <c r="AG836" s="748"/>
      <c r="AK836" s="732"/>
    </row>
    <row r="837" spans="2:57" ht="15" hidden="1" customHeight="1" outlineLevel="1" x14ac:dyDescent="0.35">
      <c r="B837" s="1040"/>
      <c r="D837" s="2396" t="s">
        <v>180</v>
      </c>
      <c r="E837" s="2396" t="s">
        <v>1854</v>
      </c>
      <c r="F837" s="2333" t="s">
        <v>134</v>
      </c>
      <c r="G837" s="867">
        <v>11</v>
      </c>
      <c r="H837" s="4368"/>
      <c r="I837" s="4369"/>
      <c r="J837" s="3789"/>
      <c r="K837" s="4382"/>
      <c r="L837" s="3815"/>
      <c r="V837" s="2094" t="str">
        <f>D837</f>
        <v>EUL</v>
      </c>
      <c r="W837" s="865"/>
      <c r="X837" s="865"/>
      <c r="Y837" s="865"/>
      <c r="Z837" s="865"/>
      <c r="AA837" s="865"/>
      <c r="AB837" s="865">
        <v>11</v>
      </c>
      <c r="AC837" s="867">
        <v>11</v>
      </c>
      <c r="AD837" s="867">
        <v>11</v>
      </c>
      <c r="AE837" s="748"/>
      <c r="AF837" s="748"/>
      <c r="AG837" s="748"/>
      <c r="AK837" s="732"/>
    </row>
    <row r="838" spans="2:57" ht="15" hidden="1" customHeight="1" outlineLevel="1" x14ac:dyDescent="0.35">
      <c r="B838" s="1040"/>
      <c r="D838" s="4343" t="s">
        <v>169</v>
      </c>
      <c r="E838" s="4343" t="s">
        <v>170</v>
      </c>
      <c r="F838" s="2333" t="s">
        <v>416</v>
      </c>
      <c r="G838" s="1858">
        <v>3</v>
      </c>
      <c r="H838" s="4368"/>
      <c r="I838" s="4369"/>
      <c r="J838" s="3789" t="s">
        <v>1848</v>
      </c>
      <c r="K838" s="4382"/>
      <c r="L838" s="3815"/>
      <c r="V838" s="4227" t="str">
        <f>D838</f>
        <v>Inc. Cost</v>
      </c>
      <c r="W838" s="865"/>
      <c r="X838" s="865"/>
      <c r="Y838" s="865"/>
      <c r="Z838" s="865"/>
      <c r="AA838" s="865"/>
      <c r="AB838" s="1859">
        <v>3</v>
      </c>
      <c r="AC838" s="1858">
        <v>3</v>
      </c>
      <c r="AD838" s="1858">
        <v>3</v>
      </c>
      <c r="AE838" s="748"/>
      <c r="AF838" s="748"/>
      <c r="AG838" s="748"/>
      <c r="AK838" s="732"/>
    </row>
    <row r="839" spans="2:57" ht="15" hidden="1" customHeight="1" outlineLevel="1" x14ac:dyDescent="0.35">
      <c r="B839" s="1040"/>
      <c r="D839" s="3813"/>
      <c r="E839" s="3813"/>
      <c r="F839" s="2333" t="s">
        <v>417</v>
      </c>
      <c r="G839" s="1858">
        <v>11.33</v>
      </c>
      <c r="H839" s="4368"/>
      <c r="I839" s="4369"/>
      <c r="J839" s="3789"/>
      <c r="K839" s="4382"/>
      <c r="L839" s="3815"/>
      <c r="V839" s="3804"/>
      <c r="W839" s="865"/>
      <c r="X839" s="865"/>
      <c r="Y839" s="865"/>
      <c r="Z839" s="865"/>
      <c r="AA839" s="865"/>
      <c r="AB839" s="1859">
        <v>11.33</v>
      </c>
      <c r="AC839" s="1858">
        <v>11.33</v>
      </c>
      <c r="AD839" s="1858">
        <v>11.33</v>
      </c>
      <c r="AE839" s="748"/>
      <c r="AF839" s="748"/>
      <c r="AG839" s="748"/>
      <c r="AK839" s="732"/>
    </row>
    <row r="840" spans="2:57" ht="15" customHeight="1" collapsed="1" x14ac:dyDescent="0.35">
      <c r="B840" s="1040"/>
      <c r="C840" s="2378"/>
      <c r="AK840" s="732"/>
    </row>
    <row r="841" spans="2:57" ht="15" customHeight="1" x14ac:dyDescent="0.35">
      <c r="B841" s="1040"/>
      <c r="AK841" s="732"/>
    </row>
    <row r="842" spans="2:57" x14ac:dyDescent="0.35">
      <c r="B842" s="3664" t="s">
        <v>660</v>
      </c>
      <c r="C842" s="3665"/>
      <c r="D842" s="3665"/>
      <c r="E842" s="3665"/>
      <c r="F842" s="3665"/>
      <c r="G842" s="3665"/>
      <c r="H842" s="3665"/>
      <c r="I842" s="3666"/>
      <c r="J842" s="3666"/>
      <c r="K842" s="3666"/>
      <c r="L842" s="3666"/>
      <c r="M842" s="3666"/>
      <c r="N842" s="3666"/>
      <c r="O842" s="3666"/>
      <c r="P842" s="3666"/>
      <c r="Q842" s="3666"/>
      <c r="R842" s="3667"/>
      <c r="V842" s="3664" t="str">
        <f>B842</f>
        <v xml:space="preserve">Low Flow Showerheads </v>
      </c>
      <c r="W842" s="3665"/>
      <c r="X842" s="3665"/>
      <c r="Y842" s="3665"/>
      <c r="Z842" s="3665"/>
      <c r="AA842" s="3665"/>
      <c r="AB842" s="3665"/>
      <c r="AC842" s="3680"/>
      <c r="AD842" s="3680"/>
      <c r="AE842" s="3680"/>
      <c r="AF842" s="3680"/>
      <c r="AG842" s="3680"/>
      <c r="AH842" s="3680"/>
      <c r="AI842" s="3681"/>
      <c r="AK842" s="732"/>
    </row>
    <row r="843" spans="2:57" x14ac:dyDescent="0.35">
      <c r="B843" s="1393"/>
      <c r="C843" s="871"/>
      <c r="D843" s="367"/>
      <c r="E843" s="367"/>
      <c r="F843" s="198"/>
      <c r="G843" s="198"/>
      <c r="H843" s="198"/>
      <c r="I843" s="198"/>
      <c r="J843" s="198"/>
      <c r="K843" s="198"/>
      <c r="L843" s="1219"/>
      <c r="AK843" s="732"/>
    </row>
    <row r="844" spans="2:57" ht="49.5" customHeight="1" x14ac:dyDescent="0.35">
      <c r="B844" s="1040"/>
      <c r="C844" s="2957" t="s">
        <v>27</v>
      </c>
      <c r="D844" s="2957" t="s">
        <v>174</v>
      </c>
      <c r="E844" s="2957" t="s">
        <v>29</v>
      </c>
      <c r="F844" s="2957" t="s">
        <v>1670</v>
      </c>
      <c r="G844" s="2957" t="s">
        <v>175</v>
      </c>
      <c r="H844" s="2957" t="s">
        <v>176</v>
      </c>
      <c r="I844" s="2957" t="s">
        <v>588</v>
      </c>
      <c r="J844" s="2957" t="s">
        <v>31</v>
      </c>
      <c r="K844" s="2957" t="s">
        <v>180</v>
      </c>
      <c r="L844" s="2957" t="s">
        <v>169</v>
      </c>
      <c r="M844" s="2957" t="s">
        <v>43</v>
      </c>
      <c r="V844" s="1572" t="s">
        <v>44</v>
      </c>
      <c r="W844" s="1573">
        <f>W$6</f>
        <v>43252</v>
      </c>
      <c r="X844" s="1573">
        <f t="shared" ref="X844:AG844" si="123">X$6</f>
        <v>43465</v>
      </c>
      <c r="Y844" s="316">
        <f t="shared" si="123"/>
        <v>43800</v>
      </c>
      <c r="Z844" s="1573">
        <f t="shared" si="123"/>
        <v>43862</v>
      </c>
      <c r="AA844" s="1573">
        <f t="shared" si="123"/>
        <v>44013</v>
      </c>
      <c r="AB844" s="1573">
        <f t="shared" si="123"/>
        <v>44166</v>
      </c>
      <c r="AC844" s="1573">
        <f t="shared" si="123"/>
        <v>44531</v>
      </c>
      <c r="AD844" s="1573">
        <f t="shared" si="123"/>
        <v>44774</v>
      </c>
      <c r="AE844" s="1573" t="str">
        <f t="shared" si="123"/>
        <v>-</v>
      </c>
      <c r="AF844" s="1573" t="str">
        <f t="shared" si="123"/>
        <v>-</v>
      </c>
      <c r="AG844" s="1573" t="str">
        <f t="shared" si="123"/>
        <v>-</v>
      </c>
      <c r="AK844" s="732"/>
      <c r="BB844" s="1574" t="str">
        <f>$BB$6</f>
        <v>TRC (2022)</v>
      </c>
      <c r="BC844" s="1584" t="str">
        <f>$BC$6</f>
        <v>Benefit Lookup</v>
      </c>
      <c r="BD844" s="556" t="str">
        <f>$BD$6</f>
        <v>Benefits (2019 $)</v>
      </c>
      <c r="BE844" s="200" t="str">
        <f>$BE$6</f>
        <v>Incremental Cost (2019 $)</v>
      </c>
    </row>
    <row r="845" spans="2:57" x14ac:dyDescent="0.35">
      <c r="B845" s="1040"/>
      <c r="C845" s="395" t="s">
        <v>1855</v>
      </c>
      <c r="D845" s="1279" t="s">
        <v>1518</v>
      </c>
      <c r="E845" s="368" t="s">
        <v>4302</v>
      </c>
      <c r="F845" s="489">
        <f>ROUND(G859*(G860*G861-G862*G863)*G865*G866*G867/G869*I845*G877*G876,2)</f>
        <v>220.38</v>
      </c>
      <c r="G845" s="395" t="s">
        <v>1830</v>
      </c>
      <c r="H845" s="393">
        <f>VLOOKUP(G845,'CP FACTORS'!$A$3:$B$38, 2, FALSE)</f>
        <v>8.8731800000000003E-5</v>
      </c>
      <c r="I845" s="458">
        <f>G870*G871*(G872-G873)/(G874*G875)</f>
        <v>0.10886576787807739</v>
      </c>
      <c r="J845" s="2733">
        <f>ROUND(F845*H845,6)</f>
        <v>1.9554999999999999E-2</v>
      </c>
      <c r="K845" s="92">
        <f>$G$880</f>
        <v>10</v>
      </c>
      <c r="L845" s="1845">
        <f>G881</f>
        <v>7</v>
      </c>
      <c r="M845" s="395" t="s">
        <v>184</v>
      </c>
      <c r="R845" s="211"/>
      <c r="S845" s="1394"/>
      <c r="V845" s="141" t="str">
        <f>F844</f>
        <v>kWh
Annual Savings</v>
      </c>
      <c r="W845" s="142">
        <v>205.45946120574482</v>
      </c>
      <c r="X845" s="730">
        <v>386.59384956558648</v>
      </c>
      <c r="Y845" s="478">
        <v>220.17</v>
      </c>
      <c r="Z845" s="52">
        <v>220.17</v>
      </c>
      <c r="AA845" s="52">
        <v>220.17</v>
      </c>
      <c r="AB845" s="52">
        <v>220.17</v>
      </c>
      <c r="AC845" s="489">
        <v>220.32</v>
      </c>
      <c r="AD845" s="489">
        <v>220.38</v>
      </c>
      <c r="AE845" s="141"/>
      <c r="AF845" s="141"/>
      <c r="AG845" s="141"/>
      <c r="AH845" s="144"/>
      <c r="AK845" s="732"/>
      <c r="BB845" s="1578">
        <f>(BD845)/(BE845)</f>
        <v>11.252920914827145</v>
      </c>
      <c r="BC845" s="2381" t="str">
        <f>CONCATENATE(G845," ",K845," Year EUL")</f>
        <v>Water heating RES 10 Year EUL</v>
      </c>
      <c r="BD845" s="95">
        <f>(INDEX('Avoided Cost Benefits'!$E$4:$E$859,MATCH(BC845,'Avoided Cost Benefits'!$A$4:$A$859,0)))*F845</f>
        <v>74.346811140906098</v>
      </c>
      <c r="BE845" s="1579">
        <f>L845/(1.0595^(2020-2019))</f>
        <v>6.6068900424728643</v>
      </c>
    </row>
    <row r="846" spans="2:57" x14ac:dyDescent="0.35">
      <c r="B846" s="1040"/>
      <c r="C846" s="395" t="s">
        <v>1856</v>
      </c>
      <c r="D846" s="2972" t="s">
        <v>4294</v>
      </c>
      <c r="E846" s="368" t="s">
        <v>4303</v>
      </c>
      <c r="F846" s="872">
        <f>ROUND($G$859*($G$860*$G$861-$G$862*$G$863)*$G$865*$G$866*$G$867/$G$869*$I$846*$G$879*$G$876,2)</f>
        <v>232.58</v>
      </c>
      <c r="G846" s="395" t="s">
        <v>1830</v>
      </c>
      <c r="H846" s="393">
        <f>VLOOKUP(G846,'CP FACTORS'!$A$3:$B$38, 2, FALSE)</f>
        <v>8.8731800000000003E-5</v>
      </c>
      <c r="I846" s="1337">
        <f>$G$870*$G$871*($G$872-$G$873)/($G$874*$G$875)</f>
        <v>0.10886576787807739</v>
      </c>
      <c r="J846" s="2733">
        <f>ROUND(F846*H846,6)</f>
        <v>2.0636999999999999E-2</v>
      </c>
      <c r="K846" s="92">
        <f>$G$880</f>
        <v>10</v>
      </c>
      <c r="L846" s="475">
        <f>G882</f>
        <v>15.33</v>
      </c>
      <c r="M846" s="395" t="s">
        <v>184</v>
      </c>
      <c r="R846" s="211"/>
      <c r="V846" s="141" t="str">
        <f>V845</f>
        <v>kWh
Annual Savings</v>
      </c>
      <c r="W846" s="142">
        <v>219.7507887809823</v>
      </c>
      <c r="X846" s="730">
        <v>396.76737192257565</v>
      </c>
      <c r="Y846" s="478">
        <v>232.42</v>
      </c>
      <c r="Z846" s="52">
        <v>232.42</v>
      </c>
      <c r="AA846" s="52">
        <v>232.42</v>
      </c>
      <c r="AB846" s="52">
        <v>232.42</v>
      </c>
      <c r="AC846" s="872">
        <v>232.51</v>
      </c>
      <c r="AD846" s="872">
        <v>232.58</v>
      </c>
      <c r="AE846" s="141"/>
      <c r="AF846" s="141"/>
      <c r="AG846" s="141"/>
      <c r="AH846" s="144"/>
      <c r="AK846" s="732"/>
      <c r="BB846" s="2504">
        <f>(BD846)/(BE846)</f>
        <v>5.4227719293708496</v>
      </c>
      <c r="BC846" s="1580" t="str">
        <f>CONCATENATE(G846," ",K846," Year EUL")</f>
        <v>Water heating RES 10 Year EUL</v>
      </c>
      <c r="BD846" s="98">
        <f>(INDEX('Avoided Cost Benefits'!$E$4:$E$859,MATCH(BC846,'Avoided Cost Benefits'!$A$4:$A$859,0)))*F846</f>
        <v>78.462570719447967</v>
      </c>
      <c r="BE846" s="2507">
        <f>L846/(1.0595^(2020-2019))</f>
        <v>14.469089193015572</v>
      </c>
    </row>
    <row r="847" spans="2:57" x14ac:dyDescent="0.35">
      <c r="B847" s="1040"/>
      <c r="C847" s="395" t="s">
        <v>1857</v>
      </c>
      <c r="D847" s="2972" t="s">
        <v>4294</v>
      </c>
      <c r="E847" s="368" t="s">
        <v>4304</v>
      </c>
      <c r="F847" s="872">
        <f>ROUND($G$859*($G$860*$G$861-$G$862*$G$863)*$G$865*$G$866*$G$867/$G$869*$I$847*$G$879*$G$876,2)</f>
        <v>232.58</v>
      </c>
      <c r="G847" s="395" t="s">
        <v>1830</v>
      </c>
      <c r="H847" s="393">
        <f>VLOOKUP(G847,'CP FACTORS'!$A$3:$B$38, 2, FALSE)</f>
        <v>8.8731800000000003E-5</v>
      </c>
      <c r="I847" s="1337">
        <f>$G$870*$G$871*($G$872-$G$873)/($G$874*$G$875)</f>
        <v>0.10886576787807739</v>
      </c>
      <c r="J847" s="2733">
        <f>ROUND(F847*H847,6)</f>
        <v>2.0636999999999999E-2</v>
      </c>
      <c r="K847" s="92">
        <f>$G$880</f>
        <v>10</v>
      </c>
      <c r="L847" s="475">
        <f>G884</f>
        <v>23.35</v>
      </c>
      <c r="M847" s="395" t="s">
        <v>184</v>
      </c>
      <c r="R847" s="211"/>
      <c r="V847" s="141" t="str">
        <f>V846</f>
        <v>kWh
Annual Savings</v>
      </c>
      <c r="W847" s="142"/>
      <c r="X847" s="730"/>
      <c r="Y847" s="478">
        <v>232.42</v>
      </c>
      <c r="Z847" s="52">
        <v>232.42</v>
      </c>
      <c r="AA847" s="52">
        <v>232.42</v>
      </c>
      <c r="AB847" s="52">
        <v>232.42</v>
      </c>
      <c r="AC847" s="872">
        <v>232.51</v>
      </c>
      <c r="AD847" s="872">
        <v>232.58</v>
      </c>
      <c r="AE847" s="141"/>
      <c r="AF847" s="141"/>
      <c r="AG847" s="141"/>
      <c r="AH847" s="144"/>
      <c r="AK847" s="732"/>
      <c r="BB847" s="2504">
        <f>(BD847)/(BE847)</f>
        <v>3.5602181446361936</v>
      </c>
      <c r="BC847" s="1580" t="str">
        <f>CONCATENATE(G847," ",K847," Year EUL")</f>
        <v>Water heating RES 10 Year EUL</v>
      </c>
      <c r="BD847" s="98">
        <f>(INDEX('Avoided Cost Benefits'!$E$4:$E$859,MATCH(BC847,'Avoided Cost Benefits'!$A$4:$A$859,0)))*F847</f>
        <v>78.462570719447967</v>
      </c>
      <c r="BE847" s="2507">
        <f>L847/(1.0595^(2020-2019))</f>
        <v>22.038697498820198</v>
      </c>
    </row>
    <row r="848" spans="2:57" x14ac:dyDescent="0.35">
      <c r="B848" s="1040"/>
      <c r="C848" s="395" t="s">
        <v>1858</v>
      </c>
      <c r="D848" s="2972" t="s">
        <v>4296</v>
      </c>
      <c r="E848" s="368" t="s">
        <v>4305</v>
      </c>
      <c r="F848" s="872">
        <f>ROUND($G$859*($G$860*$G$861-$G$862*$G$863)*$G$864*$G$866*$G$867/$G$868*$I$848*$G$878*$G$876,2)</f>
        <v>194.77</v>
      </c>
      <c r="G848" s="395" t="s">
        <v>1830</v>
      </c>
      <c r="H848" s="393">
        <f>VLOOKUP(G848,'CP FACTORS'!$A$3:$B$38, 2, FALSE)</f>
        <v>8.8731800000000003E-5</v>
      </c>
      <c r="I848" s="1337">
        <f>$G$870*$G$871*($G$872-$G$873)/($G$874*$G$875)</f>
        <v>0.10886576787807739</v>
      </c>
      <c r="J848" s="2733">
        <f>ROUND(F848*H848,6)</f>
        <v>1.7281999999999999E-2</v>
      </c>
      <c r="K848" s="92">
        <f>$G$880</f>
        <v>10</v>
      </c>
      <c r="L848" s="475">
        <f>G882</f>
        <v>15.33</v>
      </c>
      <c r="M848" s="395" t="s">
        <v>184</v>
      </c>
      <c r="R848" s="211"/>
      <c r="V848" s="141" t="str">
        <f>V847</f>
        <v>kWh
Annual Savings</v>
      </c>
      <c r="W848" s="142">
        <v>193.57333532775112</v>
      </c>
      <c r="X848" s="730">
        <v>277.23460772356242</v>
      </c>
      <c r="Y848" s="478">
        <v>199.61</v>
      </c>
      <c r="Z848" s="52">
        <v>199.61</v>
      </c>
      <c r="AA848" s="52">
        <v>199.61</v>
      </c>
      <c r="AB848" s="52">
        <v>199.61</v>
      </c>
      <c r="AC848" s="872">
        <v>194.72</v>
      </c>
      <c r="AD848" s="872">
        <v>194.77</v>
      </c>
      <c r="AE848" s="141"/>
      <c r="AF848" s="141"/>
      <c r="AG848" s="141"/>
      <c r="AH848" s="144"/>
      <c r="AK848" s="732"/>
      <c r="BB848" s="2504">
        <f>(BD848)/(BE848)</f>
        <v>4.5412042681381051</v>
      </c>
      <c r="BC848" s="1580" t="str">
        <f>CONCATENATE(G848," ",K848," Year EUL")</f>
        <v>Water heating RES 10 Year EUL</v>
      </c>
      <c r="BD848" s="98">
        <f>(INDEX('Avoided Cost Benefits'!$E$4:$E$859,MATCH(BC848,'Avoided Cost Benefits'!$A$4:$A$859,0)))*F848</f>
        <v>65.707089599393242</v>
      </c>
      <c r="BE848" s="2507">
        <f>L848/(1.0595^(2020-2019))</f>
        <v>14.469089193015572</v>
      </c>
    </row>
    <row r="849" spans="2:57" x14ac:dyDescent="0.35">
      <c r="B849" s="1040"/>
      <c r="C849" s="395" t="s">
        <v>1859</v>
      </c>
      <c r="D849" s="2972" t="s">
        <v>4296</v>
      </c>
      <c r="E849" s="368" t="s">
        <v>4306</v>
      </c>
      <c r="F849" s="872">
        <f>ROUND($G$859*($G$860*$G$861-$G$862*$G$863)*$G$864*$G$866*$G$867/$G$868*$I$849*$G$878*$G$876,2)</f>
        <v>194.77</v>
      </c>
      <c r="G849" s="395" t="s">
        <v>1830</v>
      </c>
      <c r="H849" s="393">
        <f>VLOOKUP(G849,'CP FACTORS'!$A$3:$B$38, 2, FALSE)</f>
        <v>8.8731800000000003E-5</v>
      </c>
      <c r="I849" s="1337">
        <f>$G$870*$G$871*($G$872-$G$873)/($G$874*$G$875)</f>
        <v>0.10886576787807739</v>
      </c>
      <c r="J849" s="2733">
        <f>ROUND(F849*H849,6)</f>
        <v>1.7281999999999999E-2</v>
      </c>
      <c r="K849" s="92">
        <f>$G$880</f>
        <v>10</v>
      </c>
      <c r="L849" s="475">
        <f>G883</f>
        <v>23.35</v>
      </c>
      <c r="M849" s="395" t="s">
        <v>184</v>
      </c>
      <c r="R849" s="211"/>
      <c r="V849" s="141" t="str">
        <f>V848</f>
        <v>kWh
Annual Savings</v>
      </c>
      <c r="W849" s="142"/>
      <c r="X849" s="730"/>
      <c r="Y849" s="478">
        <v>199.61</v>
      </c>
      <c r="Z849" s="52">
        <v>199.61</v>
      </c>
      <c r="AA849" s="52">
        <v>199.61</v>
      </c>
      <c r="AB849" s="52">
        <v>199.61</v>
      </c>
      <c r="AC849" s="872">
        <v>194.72</v>
      </c>
      <c r="AD849" s="872">
        <v>194.77</v>
      </c>
      <c r="AE849" s="141"/>
      <c r="AF849" s="141"/>
      <c r="AG849" s="141"/>
      <c r="AH849" s="144"/>
      <c r="AK849" s="732"/>
      <c r="BB849" s="2538">
        <f>(BD849)/(BE849)</f>
        <v>2.981441603021719</v>
      </c>
      <c r="BC849" s="1580" t="str">
        <f>CONCATENATE(G849," ",K849," Year EUL")</f>
        <v>Water heating RES 10 Year EUL</v>
      </c>
      <c r="BD849" s="102">
        <f>(INDEX('Avoided Cost Benefits'!$E$4:$E$859,MATCH(BC849,'Avoided Cost Benefits'!$A$4:$A$859,0)))*F849</f>
        <v>65.707089599393242</v>
      </c>
      <c r="BE849" s="2509">
        <f>L849/(1.0595^(2020-2019))</f>
        <v>22.038697498820198</v>
      </c>
    </row>
    <row r="850" spans="2:57" hidden="1" outlineLevel="1" x14ac:dyDescent="0.35">
      <c r="B850" s="1040"/>
      <c r="C850" s="3128"/>
      <c r="D850" s="3129"/>
      <c r="E850" s="3129"/>
      <c r="F850" s="3130"/>
      <c r="G850" s="3128"/>
      <c r="H850" s="3131"/>
      <c r="I850" s="3132"/>
      <c r="J850" s="3132"/>
      <c r="K850" s="3132"/>
      <c r="L850" s="3133"/>
      <c r="M850" s="3133"/>
      <c r="V850"/>
      <c r="W850"/>
      <c r="X850"/>
      <c r="Y850" s="87"/>
      <c r="Z850"/>
      <c r="AA850"/>
      <c r="AB850"/>
      <c r="AC850"/>
      <c r="AD850"/>
      <c r="AE850"/>
      <c r="AF850"/>
      <c r="AG850"/>
      <c r="AK850" s="732"/>
    </row>
    <row r="851" spans="2:57" hidden="1" outlineLevel="1" x14ac:dyDescent="0.35">
      <c r="B851" s="1040"/>
      <c r="C851" s="3128"/>
      <c r="D851" s="3134" t="s">
        <v>107</v>
      </c>
      <c r="E851" s="3129"/>
      <c r="F851" s="3130"/>
      <c r="G851" s="3128"/>
      <c r="H851" s="3131"/>
      <c r="I851" s="3132"/>
      <c r="J851" s="3132"/>
      <c r="K851" s="3132"/>
      <c r="L851" s="3133"/>
      <c r="M851" s="3133"/>
      <c r="V851"/>
      <c r="W851"/>
      <c r="X851"/>
      <c r="Y851" s="87"/>
      <c r="Z851"/>
      <c r="AA851"/>
      <c r="AB851"/>
      <c r="AC851"/>
      <c r="AD851"/>
      <c r="AE851"/>
      <c r="AF851"/>
      <c r="AG851"/>
      <c r="AK851" s="732"/>
    </row>
    <row r="852" spans="2:57" hidden="1" outlineLevel="1" x14ac:dyDescent="0.35">
      <c r="B852" s="1040"/>
      <c r="C852" s="3128"/>
      <c r="D852" s="3135"/>
      <c r="E852" s="3129"/>
      <c r="F852" s="3133"/>
      <c r="G852" s="3133"/>
      <c r="H852" s="3133"/>
      <c r="I852" s="3133"/>
      <c r="J852" s="3133"/>
      <c r="K852" s="3133"/>
      <c r="L852" s="3133"/>
      <c r="M852" s="3133"/>
      <c r="V852"/>
      <c r="W852"/>
      <c r="X852"/>
      <c r="Y852" s="87"/>
      <c r="Z852"/>
      <c r="AA852"/>
      <c r="AB852"/>
      <c r="AC852"/>
      <c r="AD852"/>
      <c r="AE852"/>
      <c r="AF852"/>
      <c r="AG852"/>
      <c r="AK852" s="732"/>
    </row>
    <row r="853" spans="2:57" hidden="1" outlineLevel="1" x14ac:dyDescent="0.35">
      <c r="B853" s="1040"/>
      <c r="C853" s="3128"/>
      <c r="D853" s="3129"/>
      <c r="E853" s="3129"/>
      <c r="F853" s="3133"/>
      <c r="G853" s="3133"/>
      <c r="H853" s="3133"/>
      <c r="I853" s="3133"/>
      <c r="J853" s="3133"/>
      <c r="K853" s="3133"/>
      <c r="L853" s="3133"/>
      <c r="M853" s="3133"/>
      <c r="V853"/>
      <c r="W853"/>
      <c r="X853"/>
      <c r="Y853" s="87"/>
      <c r="Z853"/>
      <c r="AA853"/>
      <c r="AB853"/>
      <c r="AC853"/>
      <c r="AD853"/>
      <c r="AE853"/>
      <c r="AF853"/>
      <c r="AG853"/>
      <c r="AK853" s="732"/>
    </row>
    <row r="854" spans="2:57" hidden="1" outlineLevel="1" x14ac:dyDescent="0.35">
      <c r="B854" s="1040"/>
      <c r="C854" s="3128"/>
      <c r="D854" s="3129"/>
      <c r="E854" s="3129"/>
      <c r="F854" s="3133"/>
      <c r="G854" s="3133"/>
      <c r="H854" s="3133"/>
      <c r="I854" s="3133"/>
      <c r="J854" s="3133"/>
      <c r="K854" s="3133"/>
      <c r="L854" s="3133"/>
      <c r="M854" s="3133"/>
      <c r="V854"/>
      <c r="W854"/>
      <c r="X854"/>
      <c r="Y854" s="87"/>
      <c r="Z854"/>
      <c r="AA854"/>
      <c r="AB854"/>
      <c r="AC854"/>
      <c r="AD854"/>
      <c r="AE854"/>
      <c r="AF854"/>
      <c r="AG854"/>
      <c r="AK854" s="732"/>
    </row>
    <row r="855" spans="2:57" hidden="1" outlineLevel="1" x14ac:dyDescent="0.35">
      <c r="B855" s="1040"/>
      <c r="C855" s="3128"/>
      <c r="D855" s="3129"/>
      <c r="E855" s="3129"/>
      <c r="F855" s="3133"/>
      <c r="G855" s="3133"/>
      <c r="H855" s="3133"/>
      <c r="I855" s="3133"/>
      <c r="J855" s="3133"/>
      <c r="K855" s="3133"/>
      <c r="L855" s="3133"/>
      <c r="M855" s="3133"/>
      <c r="V855"/>
      <c r="W855"/>
      <c r="X855"/>
      <c r="Y855" s="87"/>
      <c r="Z855"/>
      <c r="AA855"/>
      <c r="AB855"/>
      <c r="AC855"/>
      <c r="AD855"/>
      <c r="AE855"/>
      <c r="AF855"/>
      <c r="AG855"/>
      <c r="AK855" s="732"/>
    </row>
    <row r="856" spans="2:57" ht="15" hidden="1" customHeight="1" outlineLevel="1" x14ac:dyDescent="0.35">
      <c r="B856" s="1040"/>
      <c r="C856" s="3128"/>
      <c r="D856" s="3118"/>
      <c r="E856" s="3129"/>
      <c r="F856" s="3133"/>
      <c r="G856" s="3133"/>
      <c r="H856" s="3133"/>
      <c r="I856" s="3133"/>
      <c r="J856" s="3133"/>
      <c r="K856" s="3133"/>
      <c r="L856" s="3133"/>
      <c r="M856" s="3133"/>
      <c r="V856"/>
      <c r="W856"/>
      <c r="X856"/>
      <c r="Y856" s="87"/>
      <c r="Z856"/>
      <c r="AA856"/>
      <c r="AB856"/>
      <c r="AC856"/>
      <c r="AD856"/>
      <c r="AE856"/>
      <c r="AF856"/>
      <c r="AG856"/>
      <c r="AK856" s="732"/>
    </row>
    <row r="857" spans="2:57" ht="15" hidden="1" customHeight="1" outlineLevel="1" x14ac:dyDescent="0.35">
      <c r="C857" s="3128"/>
      <c r="D857" s="3129"/>
      <c r="E857" s="3129"/>
      <c r="F857" s="3133"/>
      <c r="G857" s="3133"/>
      <c r="H857" s="3133"/>
      <c r="I857" s="3133"/>
      <c r="J857" s="3133"/>
      <c r="K857" s="3133"/>
      <c r="L857" s="3133"/>
      <c r="M857" s="3133"/>
      <c r="V857"/>
      <c r="W857"/>
      <c r="X857"/>
      <c r="Y857" s="87"/>
      <c r="Z857"/>
      <c r="AA857"/>
      <c r="AB857"/>
      <c r="AC857"/>
      <c r="AD857"/>
      <c r="AE857"/>
      <c r="AF857"/>
      <c r="AG857"/>
      <c r="AK857" s="732"/>
    </row>
    <row r="858" spans="2:57" ht="15" hidden="1" customHeight="1" outlineLevel="1" x14ac:dyDescent="0.35">
      <c r="D858" s="2986" t="s">
        <v>108</v>
      </c>
      <c r="E858" s="2986" t="s">
        <v>109</v>
      </c>
      <c r="F858" s="2957" t="s">
        <v>1834</v>
      </c>
      <c r="G858" s="2957" t="s">
        <v>111</v>
      </c>
      <c r="H858" s="3741" t="s">
        <v>186</v>
      </c>
      <c r="I858" s="3741"/>
      <c r="J858" s="3741" t="s">
        <v>112</v>
      </c>
      <c r="K858" s="3741"/>
      <c r="L858" s="3741"/>
      <c r="V858" s="1572" t="s">
        <v>44</v>
      </c>
      <c r="W858" s="1573">
        <f>W$6</f>
        <v>43252</v>
      </c>
      <c r="X858" s="1573">
        <f t="shared" ref="X858:AG858" si="124">X$6</f>
        <v>43465</v>
      </c>
      <c r="Y858" s="316">
        <f t="shared" si="124"/>
        <v>43800</v>
      </c>
      <c r="Z858" s="1573">
        <f t="shared" si="124"/>
        <v>43862</v>
      </c>
      <c r="AA858" s="1573">
        <f t="shared" si="124"/>
        <v>44013</v>
      </c>
      <c r="AB858" s="1573">
        <f t="shared" si="124"/>
        <v>44166</v>
      </c>
      <c r="AC858" s="1573">
        <f t="shared" si="124"/>
        <v>44531</v>
      </c>
      <c r="AD858" s="1573">
        <f t="shared" si="124"/>
        <v>44774</v>
      </c>
      <c r="AE858" s="1573" t="str">
        <f t="shared" si="124"/>
        <v>-</v>
      </c>
      <c r="AF858" s="1573" t="str">
        <f t="shared" si="124"/>
        <v>-</v>
      </c>
      <c r="AG858" s="1573" t="str">
        <f t="shared" si="124"/>
        <v>-</v>
      </c>
      <c r="AK858" s="732"/>
    </row>
    <row r="859" spans="2:57" ht="30" hidden="1" customHeight="1" outlineLevel="1" x14ac:dyDescent="0.35">
      <c r="D859" s="2333" t="s">
        <v>596</v>
      </c>
      <c r="E859" s="2333" t="s">
        <v>597</v>
      </c>
      <c r="F859" s="2333"/>
      <c r="G859" s="874">
        <v>1</v>
      </c>
      <c r="H859" s="3834" t="s">
        <v>583</v>
      </c>
      <c r="I859" s="3834"/>
      <c r="J859" s="4384" t="s">
        <v>1721</v>
      </c>
      <c r="K859" s="4385"/>
      <c r="L859" s="4386"/>
      <c r="S859" s="873"/>
      <c r="V859" s="2407" t="s">
        <v>596</v>
      </c>
      <c r="W859" s="807">
        <v>1</v>
      </c>
      <c r="X859" s="807">
        <v>1</v>
      </c>
      <c r="Y859" s="807">
        <v>1</v>
      </c>
      <c r="Z859" s="874">
        <v>1</v>
      </c>
      <c r="AA859" s="874">
        <v>1</v>
      </c>
      <c r="AB859" s="874">
        <v>1</v>
      </c>
      <c r="AC859" s="874">
        <v>1</v>
      </c>
      <c r="AD859" s="874">
        <v>1</v>
      </c>
      <c r="AE859" s="874"/>
      <c r="AF859" s="874"/>
      <c r="AG859" s="874"/>
      <c r="AK859" s="732"/>
    </row>
    <row r="860" spans="2:57" ht="51.75" hidden="1" customHeight="1" outlineLevel="1" x14ac:dyDescent="0.35">
      <c r="D860" s="2333" t="s">
        <v>601</v>
      </c>
      <c r="E860" s="2333" t="s">
        <v>669</v>
      </c>
      <c r="F860" s="2333"/>
      <c r="G860" s="875">
        <v>2.2000000000000002</v>
      </c>
      <c r="H860" s="3804" t="s">
        <v>672</v>
      </c>
      <c r="I860" s="3804"/>
      <c r="J860" s="3763" t="s">
        <v>652</v>
      </c>
      <c r="K860" s="3763"/>
      <c r="L860" s="3763"/>
      <c r="S860" s="2378"/>
      <c r="V860" s="2407" t="str">
        <f>D860</f>
        <v>GPM_base</v>
      </c>
      <c r="W860" s="863">
        <v>2.67</v>
      </c>
      <c r="X860" s="293">
        <f>'Energy Effic. Kits Deemed Table'!G225</f>
        <v>2.35</v>
      </c>
      <c r="Y860" s="876">
        <v>2.2000000000000002</v>
      </c>
      <c r="Z860" s="875">
        <v>2.2000000000000002</v>
      </c>
      <c r="AA860" s="875">
        <v>2.2000000000000002</v>
      </c>
      <c r="AB860" s="875">
        <v>2.2000000000000002</v>
      </c>
      <c r="AC860" s="875">
        <v>2.2000000000000002</v>
      </c>
      <c r="AD860" s="875">
        <v>2.2000000000000002</v>
      </c>
      <c r="AE860" s="88"/>
      <c r="AF860" s="88"/>
      <c r="AG860" s="88"/>
      <c r="AK860" s="732"/>
    </row>
    <row r="861" spans="2:57" ht="75" hidden="1" customHeight="1" outlineLevel="1" x14ac:dyDescent="0.35">
      <c r="D861" s="2333" t="s">
        <v>604</v>
      </c>
      <c r="E861" s="1367" t="s">
        <v>1860</v>
      </c>
      <c r="F861" s="2333"/>
      <c r="G861" s="867">
        <v>8.66</v>
      </c>
      <c r="H861" s="4313" t="s">
        <v>675</v>
      </c>
      <c r="I861" s="4313"/>
      <c r="J861" s="3763" t="s">
        <v>652</v>
      </c>
      <c r="K861" s="3763"/>
      <c r="L861" s="3763"/>
      <c r="S861" s="877"/>
      <c r="V861" s="2407" t="str">
        <f>D861</f>
        <v>L_base</v>
      </c>
      <c r="W861" s="809">
        <v>8.66</v>
      </c>
      <c r="X861" s="809">
        <v>8.66</v>
      </c>
      <c r="Y861" s="809">
        <v>8.66</v>
      </c>
      <c r="Z861" s="867">
        <v>8.66</v>
      </c>
      <c r="AA861" s="867">
        <v>8.66</v>
      </c>
      <c r="AB861" s="867">
        <v>8.66</v>
      </c>
      <c r="AC861" s="867">
        <v>8.66</v>
      </c>
      <c r="AD861" s="867">
        <v>8.66</v>
      </c>
      <c r="AE861" s="867"/>
      <c r="AF861" s="867"/>
      <c r="AG861" s="867"/>
      <c r="AK861" s="732"/>
    </row>
    <row r="862" spans="2:57" ht="45" hidden="1" customHeight="1" outlineLevel="1" x14ac:dyDescent="0.35">
      <c r="D862" s="2333" t="s">
        <v>609</v>
      </c>
      <c r="E862" s="2333" t="s">
        <v>676</v>
      </c>
      <c r="F862" s="2333"/>
      <c r="G862" s="88">
        <v>1.5</v>
      </c>
      <c r="H862" s="3804" t="s">
        <v>672</v>
      </c>
      <c r="I862" s="3804"/>
      <c r="J862" s="3763" t="s">
        <v>652</v>
      </c>
      <c r="K862" s="3763"/>
      <c r="L862" s="3763"/>
      <c r="S862" s="2378"/>
      <c r="V862" s="2407" t="str">
        <f>D862</f>
        <v>GPM_low</v>
      </c>
      <c r="W862" s="863">
        <v>2</v>
      </c>
      <c r="X862" s="293">
        <f>X860-1</f>
        <v>1.35</v>
      </c>
      <c r="Y862" s="293">
        <v>1.5</v>
      </c>
      <c r="Z862" s="88">
        <v>1.5</v>
      </c>
      <c r="AA862" s="88">
        <v>1.5</v>
      </c>
      <c r="AB862" s="88">
        <v>1.5</v>
      </c>
      <c r="AC862" s="88">
        <v>1.5</v>
      </c>
      <c r="AD862" s="2977">
        <v>1.5</v>
      </c>
      <c r="AE862" s="88"/>
      <c r="AF862" s="88"/>
      <c r="AG862" s="88"/>
      <c r="AK862" s="732"/>
    </row>
    <row r="863" spans="2:57" ht="15" hidden="1" customHeight="1" outlineLevel="1" x14ac:dyDescent="0.35">
      <c r="D863" s="2333" t="s">
        <v>612</v>
      </c>
      <c r="E863" s="1367" t="s">
        <v>1860</v>
      </c>
      <c r="F863" s="2333"/>
      <c r="G863" s="867">
        <v>8.66</v>
      </c>
      <c r="H863" s="4313" t="s">
        <v>1861</v>
      </c>
      <c r="I863" s="4313"/>
      <c r="J863" s="3763" t="s">
        <v>652</v>
      </c>
      <c r="K863" s="3763"/>
      <c r="L863" s="3763"/>
      <c r="S863" s="877"/>
      <c r="V863" s="2407" t="str">
        <f>D863</f>
        <v>L_low</v>
      </c>
      <c r="W863" s="809">
        <v>8.66</v>
      </c>
      <c r="X863" s="809">
        <v>8.66</v>
      </c>
      <c r="Y863" s="809">
        <v>8.66</v>
      </c>
      <c r="Z863" s="867">
        <v>8.66</v>
      </c>
      <c r="AA863" s="867">
        <v>8.66</v>
      </c>
      <c r="AB863" s="867">
        <v>8.66</v>
      </c>
      <c r="AC863" s="867">
        <v>8.66</v>
      </c>
      <c r="AD863" s="867">
        <v>8.66</v>
      </c>
      <c r="AE863" s="867"/>
      <c r="AF863" s="867"/>
      <c r="AG863" s="867"/>
      <c r="AK863" s="732"/>
    </row>
    <row r="864" spans="2:57" ht="15" hidden="1" customHeight="1" outlineLevel="1" x14ac:dyDescent="0.35">
      <c r="D864" s="3816" t="s">
        <v>199</v>
      </c>
      <c r="E864" s="4321" t="s">
        <v>678</v>
      </c>
      <c r="F864" s="2333" t="s">
        <v>318</v>
      </c>
      <c r="G864" s="867">
        <v>2.67</v>
      </c>
      <c r="H864" s="4313" t="s">
        <v>679</v>
      </c>
      <c r="I864" s="4313"/>
      <c r="J864" s="3763" t="s">
        <v>1862</v>
      </c>
      <c r="K864" s="3763"/>
      <c r="L864" s="3763"/>
      <c r="S864" s="877"/>
      <c r="V864" s="4387" t="str">
        <f>D864</f>
        <v>Household</v>
      </c>
      <c r="W864" s="809">
        <v>2.67</v>
      </c>
      <c r="X864" s="809">
        <v>2.67</v>
      </c>
      <c r="Y864" s="809">
        <v>2.67</v>
      </c>
      <c r="Z864" s="867">
        <v>2.67</v>
      </c>
      <c r="AA864" s="867">
        <v>2.67</v>
      </c>
      <c r="AB864" s="867">
        <v>2.67</v>
      </c>
      <c r="AC864" s="867">
        <v>2.67</v>
      </c>
      <c r="AD864" s="867">
        <v>2.67</v>
      </c>
      <c r="AE864" s="867"/>
      <c r="AF864" s="867"/>
      <c r="AG864" s="867"/>
      <c r="AK864" s="732"/>
    </row>
    <row r="865" spans="2:37" ht="15" hidden="1" customHeight="1" outlineLevel="1" x14ac:dyDescent="0.35">
      <c r="D865" s="3817"/>
      <c r="E865" s="4322"/>
      <c r="F865" s="2333" t="s">
        <v>320</v>
      </c>
      <c r="G865" s="867">
        <v>1.5165094339622642</v>
      </c>
      <c r="H865" s="4314" t="s">
        <v>520</v>
      </c>
      <c r="I865" s="4325"/>
      <c r="J865" s="3763" t="s">
        <v>1862</v>
      </c>
      <c r="K865" s="3763"/>
      <c r="L865" s="3763"/>
      <c r="S865" s="877"/>
      <c r="V865" s="4388"/>
      <c r="W865" s="809">
        <v>2.0699999999999998</v>
      </c>
      <c r="X865" s="865">
        <v>1.8640000000000001</v>
      </c>
      <c r="Y865" s="868">
        <v>1.5165094339622642</v>
      </c>
      <c r="Z865" s="896">
        <v>1.5165094339622642</v>
      </c>
      <c r="AA865" s="896">
        <v>1.5165094339622642</v>
      </c>
      <c r="AB865" s="896">
        <v>1.5165094339622642</v>
      </c>
      <c r="AC865" s="867">
        <v>1.5165094339622642</v>
      </c>
      <c r="AD865" s="867">
        <v>1.5165094339622642</v>
      </c>
      <c r="AE865" s="867"/>
      <c r="AF865" s="867"/>
      <c r="AG865" s="867"/>
      <c r="AK865" s="732"/>
    </row>
    <row r="866" spans="2:37" ht="15" hidden="1" customHeight="1" outlineLevel="1" x14ac:dyDescent="0.35">
      <c r="D866" s="2333" t="s">
        <v>682</v>
      </c>
      <c r="E866" s="1367" t="s">
        <v>1863</v>
      </c>
      <c r="F866" s="2333"/>
      <c r="G866" s="867">
        <v>0.66</v>
      </c>
      <c r="H866" s="4313" t="s">
        <v>675</v>
      </c>
      <c r="I866" s="4313"/>
      <c r="J866" s="3763" t="s">
        <v>1864</v>
      </c>
      <c r="K866" s="3763"/>
      <c r="L866" s="3763"/>
      <c r="S866" s="877"/>
      <c r="V866" s="2407" t="str">
        <f>D866</f>
        <v>SPDC</v>
      </c>
      <c r="W866" s="809">
        <v>0.66</v>
      </c>
      <c r="X866" s="809">
        <v>0.66</v>
      </c>
      <c r="Y866" s="809">
        <v>0.66</v>
      </c>
      <c r="Z866" s="867">
        <v>0.66</v>
      </c>
      <c r="AA866" s="867">
        <v>0.66</v>
      </c>
      <c r="AB866" s="867">
        <v>0.66</v>
      </c>
      <c r="AC866" s="867">
        <v>0.66</v>
      </c>
      <c r="AD866" s="867">
        <v>0.66</v>
      </c>
      <c r="AE866" s="867"/>
      <c r="AF866" s="867"/>
      <c r="AG866" s="867"/>
      <c r="AK866" s="732"/>
    </row>
    <row r="867" spans="2:37" ht="15" hidden="1" customHeight="1" outlineLevel="1" x14ac:dyDescent="0.35">
      <c r="D867" s="2333">
        <v>365.25</v>
      </c>
      <c r="E867" s="1367" t="s">
        <v>1865</v>
      </c>
      <c r="F867" s="2333"/>
      <c r="G867" s="867">
        <v>365.25</v>
      </c>
      <c r="H867" s="3804" t="s">
        <v>570</v>
      </c>
      <c r="I867" s="3804"/>
      <c r="J867" s="3763" t="s">
        <v>1864</v>
      </c>
      <c r="K867" s="3763"/>
      <c r="L867" s="3763"/>
      <c r="S867" s="877"/>
      <c r="V867" s="2407">
        <f>D867</f>
        <v>365.25</v>
      </c>
      <c r="W867" s="809">
        <v>365</v>
      </c>
      <c r="X867" s="809">
        <v>365</v>
      </c>
      <c r="Y867" s="809">
        <v>365</v>
      </c>
      <c r="Z867" s="867">
        <v>365</v>
      </c>
      <c r="AA867" s="867">
        <v>365</v>
      </c>
      <c r="AB867" s="867">
        <v>365</v>
      </c>
      <c r="AC867" s="865">
        <v>365.25</v>
      </c>
      <c r="AD867" s="867">
        <v>365.25</v>
      </c>
      <c r="AE867" s="867"/>
      <c r="AF867" s="867"/>
      <c r="AG867" s="867"/>
      <c r="AK867" s="732"/>
    </row>
    <row r="868" spans="2:37" ht="15" hidden="1" customHeight="1" outlineLevel="1" x14ac:dyDescent="0.35">
      <c r="D868" s="3816" t="s">
        <v>685</v>
      </c>
      <c r="E868" s="4321" t="s">
        <v>1866</v>
      </c>
      <c r="F868" s="2333" t="s">
        <v>318</v>
      </c>
      <c r="G868" s="867">
        <v>2.0499999999999998</v>
      </c>
      <c r="H868" s="4313" t="s">
        <v>679</v>
      </c>
      <c r="I868" s="4313"/>
      <c r="J868" s="3763" t="s">
        <v>1862</v>
      </c>
      <c r="K868" s="3763"/>
      <c r="L868" s="3763"/>
      <c r="S868" s="877"/>
      <c r="V868" s="4387" t="str">
        <f>D868</f>
        <v>SPH</v>
      </c>
      <c r="W868" s="809">
        <v>2.0499999999999998</v>
      </c>
      <c r="X868" s="809">
        <v>2.0499999999999998</v>
      </c>
      <c r="Y868" s="809">
        <v>2.0499999999999998</v>
      </c>
      <c r="Z868" s="867">
        <v>2.0499999999999998</v>
      </c>
      <c r="AA868" s="867">
        <v>2.0499999999999998</v>
      </c>
      <c r="AB868" s="867">
        <v>2.0499999999999998</v>
      </c>
      <c r="AC868" s="867">
        <v>2.0499999999999998</v>
      </c>
      <c r="AD868" s="867">
        <v>2.0499999999999998</v>
      </c>
      <c r="AE868" s="867"/>
      <c r="AF868" s="867"/>
      <c r="AG868" s="867"/>
      <c r="AK868" s="732"/>
    </row>
    <row r="869" spans="2:37" ht="15" hidden="1" customHeight="1" outlineLevel="1" x14ac:dyDescent="0.35">
      <c r="D869" s="3817"/>
      <c r="E869" s="4322"/>
      <c r="F869" s="2333" t="s">
        <v>320</v>
      </c>
      <c r="G869" s="867">
        <v>1</v>
      </c>
      <c r="H869" s="4313" t="s">
        <v>520</v>
      </c>
      <c r="I869" s="4313"/>
      <c r="J869" s="3763" t="s">
        <v>1862</v>
      </c>
      <c r="K869" s="3763"/>
      <c r="L869" s="3763"/>
      <c r="S869" s="877"/>
      <c r="V869" s="4388"/>
      <c r="W869" s="809">
        <v>1.4</v>
      </c>
      <c r="X869" s="865">
        <v>1</v>
      </c>
      <c r="Y869" s="865">
        <v>1</v>
      </c>
      <c r="Z869" s="867">
        <v>1</v>
      </c>
      <c r="AA869" s="867">
        <v>1</v>
      </c>
      <c r="AB869" s="867">
        <v>1</v>
      </c>
      <c r="AC869" s="867">
        <v>1</v>
      </c>
      <c r="AD869" s="867">
        <v>1</v>
      </c>
      <c r="AE869" s="867"/>
      <c r="AF869" s="867"/>
      <c r="AG869" s="867"/>
      <c r="AK869" s="732"/>
    </row>
    <row r="870" spans="2:37" ht="15" hidden="1" customHeight="1" outlineLevel="1" x14ac:dyDescent="0.35">
      <c r="D870" s="2333">
        <v>8.33</v>
      </c>
      <c r="E870" s="1367" t="s">
        <v>626</v>
      </c>
      <c r="F870" s="2333"/>
      <c r="G870" s="867">
        <v>8.33</v>
      </c>
      <c r="H870" s="3834" t="s">
        <v>627</v>
      </c>
      <c r="I870" s="3834"/>
      <c r="J870" s="3763" t="s">
        <v>1864</v>
      </c>
      <c r="K870" s="3763"/>
      <c r="L870" s="3763"/>
      <c r="S870" s="877"/>
      <c r="V870" s="2407">
        <f>D870</f>
        <v>8.33</v>
      </c>
      <c r="W870" s="809">
        <v>8.33</v>
      </c>
      <c r="X870" s="809">
        <v>8.33</v>
      </c>
      <c r="Y870" s="809">
        <v>8.33</v>
      </c>
      <c r="Z870" s="867">
        <v>8.33</v>
      </c>
      <c r="AA870" s="867">
        <v>8.33</v>
      </c>
      <c r="AB870" s="867">
        <v>8.33</v>
      </c>
      <c r="AC870" s="867">
        <v>8.33</v>
      </c>
      <c r="AD870" s="867">
        <v>8.33</v>
      </c>
      <c r="AE870" s="867"/>
      <c r="AF870" s="867"/>
      <c r="AG870" s="867"/>
      <c r="AK870" s="732"/>
    </row>
    <row r="871" spans="2:37" ht="15" hidden="1" customHeight="1" outlineLevel="1" x14ac:dyDescent="0.35">
      <c r="D871" s="2333">
        <v>1</v>
      </c>
      <c r="E871" s="1367" t="s">
        <v>1867</v>
      </c>
      <c r="F871" s="2333"/>
      <c r="G871" s="867">
        <v>1</v>
      </c>
      <c r="H871" s="3804" t="s">
        <v>629</v>
      </c>
      <c r="I871" s="3804"/>
      <c r="J871" s="3763" t="s">
        <v>1864</v>
      </c>
      <c r="K871" s="3763"/>
      <c r="L871" s="3763"/>
      <c r="S871" s="877"/>
      <c r="V871" s="2407">
        <f t="shared" ref="V871:V876" si="125">D871</f>
        <v>1</v>
      </c>
      <c r="W871" s="809">
        <v>1</v>
      </c>
      <c r="X871" s="809">
        <v>1</v>
      </c>
      <c r="Y871" s="809">
        <v>1</v>
      </c>
      <c r="Z871" s="867">
        <v>1</v>
      </c>
      <c r="AA871" s="867">
        <v>1</v>
      </c>
      <c r="AB871" s="867">
        <v>1</v>
      </c>
      <c r="AC871" s="867">
        <v>1</v>
      </c>
      <c r="AD871" s="867">
        <v>1</v>
      </c>
      <c r="AE871" s="867"/>
      <c r="AF871" s="867"/>
      <c r="AG871" s="867"/>
      <c r="AK871" s="732"/>
    </row>
    <row r="872" spans="2:37" ht="15" hidden="1" customHeight="1" outlineLevel="1" x14ac:dyDescent="0.35">
      <c r="D872" s="2333" t="s">
        <v>687</v>
      </c>
      <c r="E872" s="1367" t="s">
        <v>1868</v>
      </c>
      <c r="F872" s="2333"/>
      <c r="G872" s="867">
        <v>105</v>
      </c>
      <c r="H872" s="3804" t="s">
        <v>689</v>
      </c>
      <c r="I872" s="3804"/>
      <c r="J872" s="3763" t="s">
        <v>1864</v>
      </c>
      <c r="K872" s="3763"/>
      <c r="L872" s="3763"/>
      <c r="S872" s="877"/>
      <c r="V872" s="2407" t="str">
        <f t="shared" si="125"/>
        <v>ShowerTemp</v>
      </c>
      <c r="W872" s="809">
        <v>105</v>
      </c>
      <c r="X872" s="809">
        <v>105</v>
      </c>
      <c r="Y872" s="809">
        <v>105</v>
      </c>
      <c r="Z872" s="867">
        <v>105</v>
      </c>
      <c r="AA872" s="867">
        <v>105</v>
      </c>
      <c r="AB872" s="867">
        <v>105</v>
      </c>
      <c r="AC872" s="867">
        <v>105</v>
      </c>
      <c r="AD872" s="867">
        <v>105</v>
      </c>
      <c r="AE872" s="867"/>
      <c r="AF872" s="867"/>
      <c r="AG872" s="867"/>
      <c r="AK872" s="732"/>
    </row>
    <row r="873" spans="2:37" ht="15" hidden="1" customHeight="1" outlineLevel="1" x14ac:dyDescent="0.35">
      <c r="B873" s="1040"/>
      <c r="D873" s="2333" t="s">
        <v>633</v>
      </c>
      <c r="E873" s="1367" t="s">
        <v>1845</v>
      </c>
      <c r="F873" s="2333"/>
      <c r="G873" s="867">
        <v>61.3</v>
      </c>
      <c r="H873" s="3804" t="s">
        <v>635</v>
      </c>
      <c r="I873" s="3804"/>
      <c r="J873" s="3763" t="s">
        <v>1864</v>
      </c>
      <c r="K873" s="3763"/>
      <c r="L873" s="3763"/>
      <c r="S873" s="877"/>
      <c r="V873" s="2407" t="str">
        <f t="shared" si="125"/>
        <v>SupplyTemp</v>
      </c>
      <c r="W873" s="809">
        <v>61.3</v>
      </c>
      <c r="X873" s="809">
        <v>61.3</v>
      </c>
      <c r="Y873" s="809">
        <v>61.3</v>
      </c>
      <c r="Z873" s="867">
        <v>61.3</v>
      </c>
      <c r="AA873" s="867">
        <v>61.3</v>
      </c>
      <c r="AB873" s="867">
        <v>61.3</v>
      </c>
      <c r="AC873" s="867">
        <v>61.3</v>
      </c>
      <c r="AD873" s="867">
        <v>61.3</v>
      </c>
      <c r="AE873" s="867"/>
      <c r="AF873" s="867"/>
      <c r="AG873" s="867"/>
      <c r="AK873" s="732"/>
    </row>
    <row r="874" spans="2:37" ht="15" hidden="1" customHeight="1" outlineLevel="1" x14ac:dyDescent="0.35">
      <c r="B874" s="1040"/>
      <c r="D874" s="2333" t="s">
        <v>636</v>
      </c>
      <c r="E874" s="1367" t="s">
        <v>1846</v>
      </c>
      <c r="F874" s="2333"/>
      <c r="G874" s="867">
        <v>0.98</v>
      </c>
      <c r="H874" s="4313" t="s">
        <v>1847</v>
      </c>
      <c r="I874" s="4313"/>
      <c r="J874" s="3763" t="s">
        <v>1864</v>
      </c>
      <c r="K874" s="3763"/>
      <c r="L874" s="3763"/>
      <c r="S874" s="877"/>
      <c r="V874" s="2407" t="str">
        <f t="shared" si="125"/>
        <v>RE_electric</v>
      </c>
      <c r="W874" s="809">
        <v>0.98</v>
      </c>
      <c r="X874" s="809">
        <v>0.98</v>
      </c>
      <c r="Y874" s="809">
        <v>0.98</v>
      </c>
      <c r="Z874" s="867">
        <v>0.98</v>
      </c>
      <c r="AA874" s="867">
        <v>0.98</v>
      </c>
      <c r="AB874" s="867">
        <v>0.98</v>
      </c>
      <c r="AC874" s="867">
        <v>0.98</v>
      </c>
      <c r="AD874" s="867">
        <v>0.98</v>
      </c>
      <c r="AE874" s="867"/>
      <c r="AF874" s="867"/>
      <c r="AG874" s="867"/>
      <c r="AK874" s="732"/>
    </row>
    <row r="875" spans="2:37" ht="15" hidden="1" customHeight="1" outlineLevel="1" x14ac:dyDescent="0.35">
      <c r="B875" s="1040"/>
      <c r="D875" s="2333">
        <v>3412</v>
      </c>
      <c r="E875" s="1367">
        <v>3412</v>
      </c>
      <c r="F875" s="2333"/>
      <c r="G875" s="2737">
        <v>3412</v>
      </c>
      <c r="H875" s="3834" t="s">
        <v>217</v>
      </c>
      <c r="I875" s="3834"/>
      <c r="J875" s="3763" t="s">
        <v>1864</v>
      </c>
      <c r="K875" s="3763"/>
      <c r="L875" s="3763"/>
      <c r="S875" s="879"/>
      <c r="V875" s="2407">
        <f t="shared" si="125"/>
        <v>3412</v>
      </c>
      <c r="W875" s="878">
        <v>3413</v>
      </c>
      <c r="X875" s="878">
        <v>3413</v>
      </c>
      <c r="Y875" s="878">
        <v>3413</v>
      </c>
      <c r="Z875" s="880">
        <v>3413</v>
      </c>
      <c r="AA875" s="880">
        <v>3413</v>
      </c>
      <c r="AB875" s="880">
        <v>3413</v>
      </c>
      <c r="AC875" s="880">
        <v>3413</v>
      </c>
      <c r="AD875" s="2737">
        <v>3412</v>
      </c>
      <c r="AE875" s="880"/>
      <c r="AF875" s="880"/>
      <c r="AG875" s="880"/>
      <c r="AK875" s="732"/>
    </row>
    <row r="876" spans="2:37" ht="15" hidden="1" customHeight="1" outlineLevel="1" x14ac:dyDescent="0.35">
      <c r="B876" s="1040"/>
      <c r="C876" s="2378"/>
      <c r="D876" s="2333" t="s">
        <v>516</v>
      </c>
      <c r="E876" s="2333" t="s">
        <v>578</v>
      </c>
      <c r="F876" s="2333"/>
      <c r="G876" s="874">
        <v>1</v>
      </c>
      <c r="H876" s="3834" t="s">
        <v>583</v>
      </c>
      <c r="I876" s="3834"/>
      <c r="J876" s="4390" t="s">
        <v>1721</v>
      </c>
      <c r="K876" s="4391"/>
      <c r="L876" s="4391"/>
      <c r="S876" s="873"/>
      <c r="V876" s="2407" t="str">
        <f t="shared" si="125"/>
        <v>Utility Adjustment</v>
      </c>
      <c r="W876" s="807">
        <v>1</v>
      </c>
      <c r="X876" s="807">
        <v>1</v>
      </c>
      <c r="Y876" s="807">
        <v>1</v>
      </c>
      <c r="Z876" s="874">
        <v>1</v>
      </c>
      <c r="AA876" s="874">
        <v>1</v>
      </c>
      <c r="AB876" s="874">
        <v>1</v>
      </c>
      <c r="AC876" s="874">
        <v>1</v>
      </c>
      <c r="AD876" s="874">
        <v>1</v>
      </c>
      <c r="AE876" s="874"/>
      <c r="AF876" s="874"/>
      <c r="AG876" s="874"/>
      <c r="AK876" s="732"/>
    </row>
    <row r="877" spans="2:37" ht="15" hidden="1" customHeight="1" outlineLevel="1" x14ac:dyDescent="0.35">
      <c r="B877" s="1040"/>
      <c r="C877" s="2378"/>
      <c r="D877" s="4393" t="s">
        <v>132</v>
      </c>
      <c r="E877" s="4321" t="s">
        <v>1722</v>
      </c>
      <c r="F877" s="2333" t="s">
        <v>416</v>
      </c>
      <c r="G877" s="1956">
        <v>0.91346153846153844</v>
      </c>
      <c r="H877" s="4313" t="s">
        <v>679</v>
      </c>
      <c r="I877" s="4313"/>
      <c r="J877" s="3763" t="s">
        <v>1864</v>
      </c>
      <c r="K877" s="3763"/>
      <c r="L877" s="3763"/>
      <c r="S877" s="881"/>
      <c r="V877" s="4387" t="str">
        <f>D877</f>
        <v>ISR</v>
      </c>
      <c r="W877" s="809">
        <v>0.91346153846153844</v>
      </c>
      <c r="X877" s="809">
        <v>0.91346153846153844</v>
      </c>
      <c r="Y877" s="809">
        <v>0.91346153846153844</v>
      </c>
      <c r="Z877" s="867">
        <v>0.91346153846153844</v>
      </c>
      <c r="AA877" s="867">
        <v>0.91346153846153844</v>
      </c>
      <c r="AB877" s="867">
        <v>0.91346153846153844</v>
      </c>
      <c r="AC877" s="1956">
        <v>0.91346153846153844</v>
      </c>
      <c r="AD877" s="1956">
        <v>0.91346153846153844</v>
      </c>
      <c r="AE877" s="867"/>
      <c r="AF877" s="867"/>
      <c r="AG877" s="867"/>
      <c r="AK877" s="732"/>
    </row>
    <row r="878" spans="2:37" ht="15" hidden="1" customHeight="1" outlineLevel="1" x14ac:dyDescent="0.35">
      <c r="B878" s="1040"/>
      <c r="C878" s="2378"/>
      <c r="D878" s="3873"/>
      <c r="E878" s="4336"/>
      <c r="F878" s="2333" t="s">
        <v>1869</v>
      </c>
      <c r="G878" s="1956">
        <v>0.94</v>
      </c>
      <c r="H878" s="4314" t="s">
        <v>1870</v>
      </c>
      <c r="I878" s="4325"/>
      <c r="J878" s="3763"/>
      <c r="K878" s="3763"/>
      <c r="L878" s="3763"/>
      <c r="S878" s="881"/>
      <c r="V878" s="4388"/>
      <c r="W878" s="883">
        <v>0.97699999999999998</v>
      </c>
      <c r="X878" s="884">
        <v>0.9375</v>
      </c>
      <c r="Y878" s="884">
        <v>0.96430000000000005</v>
      </c>
      <c r="Z878" s="882">
        <v>0.96430000000000005</v>
      </c>
      <c r="AA878" s="882">
        <v>0.96430000000000005</v>
      </c>
      <c r="AB878" s="882">
        <v>0.96430000000000005</v>
      </c>
      <c r="AC878" s="1956">
        <v>0.94</v>
      </c>
      <c r="AD878" s="1956">
        <v>0.94</v>
      </c>
      <c r="AE878" s="882"/>
      <c r="AF878" s="882"/>
      <c r="AG878" s="882"/>
      <c r="AK878" s="732"/>
    </row>
    <row r="879" spans="2:37" ht="15" hidden="1" customHeight="1" outlineLevel="1" x14ac:dyDescent="0.35">
      <c r="B879" s="1040"/>
      <c r="C879" s="2378"/>
      <c r="D879" s="4394"/>
      <c r="E879" s="4322"/>
      <c r="F879" s="2333" t="s">
        <v>1871</v>
      </c>
      <c r="G879" s="1956">
        <v>0.96399999999999997</v>
      </c>
      <c r="H879" s="4395" t="s">
        <v>1872</v>
      </c>
      <c r="I879" s="4396"/>
      <c r="J879" s="3763" t="s">
        <v>1864</v>
      </c>
      <c r="K879" s="3763"/>
      <c r="L879" s="3763"/>
      <c r="S879" s="881"/>
      <c r="V879" s="2400"/>
      <c r="W879" s="883"/>
      <c r="X879" s="884"/>
      <c r="Y879" s="884"/>
      <c r="Z879" s="882"/>
      <c r="AA879" s="882"/>
      <c r="AB879" s="882"/>
      <c r="AC879" s="1956">
        <v>0.96399999999999997</v>
      </c>
      <c r="AD879" s="1956">
        <v>0.96399999999999997</v>
      </c>
      <c r="AE879" s="882"/>
      <c r="AF879" s="882"/>
      <c r="AG879" s="882"/>
      <c r="AK879" s="732"/>
    </row>
    <row r="880" spans="2:37" hidden="1" outlineLevel="1" x14ac:dyDescent="0.35">
      <c r="B880" s="1040"/>
      <c r="C880" s="2378"/>
      <c r="D880" s="2094" t="str">
        <f>D798</f>
        <v>EUL</v>
      </c>
      <c r="E880" s="2094" t="str">
        <f>E798</f>
        <v>Effective Useful Life</v>
      </c>
      <c r="F880" s="2333" t="s">
        <v>134</v>
      </c>
      <c r="G880" s="1398">
        <v>10</v>
      </c>
      <c r="H880" s="3834"/>
      <c r="I880" s="3834"/>
      <c r="J880" s="4320"/>
      <c r="K880" s="4320"/>
      <c r="L880" s="4320"/>
      <c r="S880" s="873"/>
      <c r="V880" s="2407" t="str">
        <f>D880</f>
        <v>EUL</v>
      </c>
      <c r="W880" s="885">
        <v>10</v>
      </c>
      <c r="X880" s="885">
        <v>10</v>
      </c>
      <c r="Y880" s="885">
        <v>10</v>
      </c>
      <c r="Z880" s="1398">
        <v>10</v>
      </c>
      <c r="AA880" s="1398">
        <v>10</v>
      </c>
      <c r="AB880" s="1398">
        <v>10</v>
      </c>
      <c r="AC880" s="1398">
        <v>10</v>
      </c>
      <c r="AD880" s="1398">
        <v>10</v>
      </c>
      <c r="AE880" s="886"/>
      <c r="AF880" s="886"/>
      <c r="AG880" s="886"/>
      <c r="AK880" s="732"/>
    </row>
    <row r="881" spans="1:57" ht="29" hidden="1" outlineLevel="1" x14ac:dyDescent="0.35">
      <c r="B881" s="1040"/>
      <c r="C881" s="2378"/>
      <c r="D881" s="4227" t="str">
        <f>D799</f>
        <v>Inc. Cost</v>
      </c>
      <c r="E881" s="4227" t="str">
        <f>E799</f>
        <v>Incremental Cost</v>
      </c>
      <c r="F881" s="2355" t="s">
        <v>1873</v>
      </c>
      <c r="G881" s="888">
        <v>7</v>
      </c>
      <c r="H881" s="4313"/>
      <c r="I881" s="4313"/>
      <c r="J881" s="3763"/>
      <c r="K881" s="3763"/>
      <c r="L881" s="3763"/>
      <c r="S881" s="881"/>
      <c r="V881" s="4389" t="str">
        <f>D881</f>
        <v>Inc. Cost</v>
      </c>
      <c r="W881" s="887">
        <v>7</v>
      </c>
      <c r="X881" s="887">
        <v>7</v>
      </c>
      <c r="Y881" s="887">
        <v>7</v>
      </c>
      <c r="Z881" s="888">
        <v>7</v>
      </c>
      <c r="AA881" s="888">
        <v>7</v>
      </c>
      <c r="AB881" s="888">
        <v>7</v>
      </c>
      <c r="AC881" s="888">
        <v>7</v>
      </c>
      <c r="AD881" s="888">
        <v>7</v>
      </c>
      <c r="AE881" s="888"/>
      <c r="AF881" s="888"/>
      <c r="AG881" s="888"/>
      <c r="AK881" s="732"/>
    </row>
    <row r="882" spans="1:57" hidden="1" outlineLevel="1" x14ac:dyDescent="0.35">
      <c r="B882" s="1040"/>
      <c r="C882" s="2378"/>
      <c r="D882" s="3804"/>
      <c r="E882" s="3804"/>
      <c r="F882" s="2355" t="s">
        <v>1874</v>
      </c>
      <c r="G882" s="889">
        <v>15.33</v>
      </c>
      <c r="H882" s="4392" t="s">
        <v>4450</v>
      </c>
      <c r="I882" s="4392"/>
      <c r="J882" s="3763"/>
      <c r="K882" s="3763"/>
      <c r="L882" s="3763"/>
      <c r="S882" s="881"/>
      <c r="V882" s="4389"/>
      <c r="W882" s="887">
        <v>7</v>
      </c>
      <c r="X882" s="887">
        <v>7</v>
      </c>
      <c r="Y882" s="889">
        <v>12.98</v>
      </c>
      <c r="Z882" s="888">
        <v>12.98</v>
      </c>
      <c r="AA882" s="888">
        <v>12.98</v>
      </c>
      <c r="AB882" s="888">
        <v>12.98</v>
      </c>
      <c r="AC882" s="888">
        <v>12.98</v>
      </c>
      <c r="AD882" s="889">
        <v>15.33</v>
      </c>
      <c r="AE882" s="888"/>
      <c r="AF882" s="888"/>
      <c r="AG882" s="888"/>
      <c r="AK882" s="732"/>
    </row>
    <row r="883" spans="1:57" ht="14.5" hidden="1" customHeight="1" outlineLevel="1" x14ac:dyDescent="0.35">
      <c r="B883" s="1040"/>
      <c r="C883" s="2378"/>
      <c r="D883" s="3804"/>
      <c r="E883" s="3804"/>
      <c r="F883" s="2355" t="s">
        <v>1875</v>
      </c>
      <c r="G883" s="889">
        <v>23.35</v>
      </c>
      <c r="H883" s="4392" t="s">
        <v>4450</v>
      </c>
      <c r="I883" s="4392"/>
      <c r="J883" s="3763"/>
      <c r="K883" s="3763"/>
      <c r="L883" s="3763"/>
      <c r="S883" s="881"/>
      <c r="V883" s="4356"/>
      <c r="W883" s="887"/>
      <c r="X883" s="887"/>
      <c r="Y883" s="889">
        <v>18.45</v>
      </c>
      <c r="Z883" s="888">
        <v>18.45</v>
      </c>
      <c r="AA883" s="888">
        <v>18.45</v>
      </c>
      <c r="AB883" s="888">
        <v>18.45</v>
      </c>
      <c r="AC883" s="888">
        <v>18.45</v>
      </c>
      <c r="AD883" s="889">
        <v>23.35</v>
      </c>
      <c r="AE883" s="888"/>
      <c r="AF883" s="888"/>
      <c r="AG883" s="888"/>
      <c r="AK883" s="732"/>
    </row>
    <row r="884" spans="1:57" ht="14.5" hidden="1" customHeight="1" outlineLevel="1" x14ac:dyDescent="0.35">
      <c r="B884" s="1040"/>
      <c r="C884" s="2378"/>
      <c r="D884" s="3804"/>
      <c r="E884" s="3804"/>
      <c r="F884" s="2355" t="s">
        <v>1876</v>
      </c>
      <c r="G884" s="889">
        <v>23.35</v>
      </c>
      <c r="H884" s="4392" t="s">
        <v>4450</v>
      </c>
      <c r="I884" s="4392"/>
      <c r="J884" s="3763"/>
      <c r="K884" s="3763"/>
      <c r="L884" s="3763"/>
      <c r="S884" s="881"/>
      <c r="V884" s="4356"/>
      <c r="W884" s="887"/>
      <c r="X884" s="887"/>
      <c r="Y884" s="889">
        <v>12.47</v>
      </c>
      <c r="Z884" s="888">
        <v>12.47</v>
      </c>
      <c r="AA884" s="888">
        <v>12.47</v>
      </c>
      <c r="AB884" s="888">
        <v>12.47</v>
      </c>
      <c r="AC884" s="888">
        <v>12.47</v>
      </c>
      <c r="AD884" s="889">
        <v>23.35</v>
      </c>
      <c r="AE884" s="888"/>
      <c r="AF884" s="888"/>
      <c r="AG884" s="888"/>
      <c r="AK884" s="732"/>
    </row>
    <row r="885" spans="1:57" ht="15" customHeight="1" collapsed="1" x14ac:dyDescent="0.35">
      <c r="B885" s="1040"/>
      <c r="AK885" s="732"/>
    </row>
    <row r="886" spans="1:57" ht="15" customHeight="1" x14ac:dyDescent="0.35">
      <c r="B886" s="1040"/>
      <c r="AK886" s="732"/>
    </row>
    <row r="887" spans="1:57" ht="15" customHeight="1" x14ac:dyDescent="0.35">
      <c r="B887" s="3664" t="s">
        <v>693</v>
      </c>
      <c r="C887" s="3665"/>
      <c r="D887" s="3665"/>
      <c r="E887" s="3665"/>
      <c r="F887" s="3665"/>
      <c r="G887" s="3665"/>
      <c r="H887" s="3665"/>
      <c r="I887" s="3666"/>
      <c r="J887" s="3666"/>
      <c r="K887" s="3666"/>
      <c r="L887" s="3666"/>
      <c r="M887" s="3666"/>
      <c r="N887" s="3666"/>
      <c r="O887" s="3666"/>
      <c r="P887" s="3666"/>
      <c r="Q887" s="3666"/>
      <c r="R887" s="3667"/>
      <c r="V887" s="3664" t="str">
        <f>B887</f>
        <v>Pipe Insulation</v>
      </c>
      <c r="W887" s="3665"/>
      <c r="X887" s="3665"/>
      <c r="Y887" s="3665"/>
      <c r="Z887" s="3665"/>
      <c r="AA887" s="3665"/>
      <c r="AB887" s="3665"/>
      <c r="AC887" s="3680"/>
      <c r="AD887" s="3680"/>
      <c r="AE887" s="3680"/>
      <c r="AF887" s="3680"/>
      <c r="AG887" s="3680"/>
      <c r="AH887" s="3680"/>
      <c r="AI887" s="3681"/>
      <c r="AK887" s="732"/>
    </row>
    <row r="888" spans="1:57" ht="15" customHeight="1" x14ac:dyDescent="0.35">
      <c r="A888" s="217"/>
      <c r="B888" s="1040"/>
      <c r="D888" s="367"/>
      <c r="E888" s="367"/>
      <c r="F888" s="198"/>
      <c r="G888" s="198"/>
      <c r="H888" s="198"/>
      <c r="I888" s="198"/>
      <c r="J888" s="198"/>
      <c r="K888" s="198"/>
      <c r="L888" s="1219"/>
      <c r="AK888" s="732"/>
    </row>
    <row r="889" spans="1:57" s="741" customFormat="1" ht="29" x14ac:dyDescent="0.35">
      <c r="A889" s="756"/>
      <c r="B889" s="1328"/>
      <c r="C889" s="2331" t="s">
        <v>27</v>
      </c>
      <c r="D889" s="2331" t="s">
        <v>174</v>
      </c>
      <c r="E889" s="2331" t="s">
        <v>29</v>
      </c>
      <c r="F889" s="2331" t="s">
        <v>1670</v>
      </c>
      <c r="G889" s="2331" t="s">
        <v>175</v>
      </c>
      <c r="H889" s="2331" t="s">
        <v>176</v>
      </c>
      <c r="I889" s="2331" t="s">
        <v>31</v>
      </c>
      <c r="J889" s="2331" t="s">
        <v>180</v>
      </c>
      <c r="K889" s="2331" t="s">
        <v>169</v>
      </c>
      <c r="L889" s="2331" t="s">
        <v>43</v>
      </c>
      <c r="M889" s="756"/>
      <c r="N889" s="756"/>
      <c r="O889" s="756"/>
      <c r="P889" s="756"/>
      <c r="Q889" s="756"/>
      <c r="R889" s="756"/>
      <c r="S889" s="756"/>
      <c r="T889" s="756"/>
      <c r="U889" s="756"/>
      <c r="V889" s="1572" t="s">
        <v>44</v>
      </c>
      <c r="W889" s="1573">
        <f>W$6</f>
        <v>43252</v>
      </c>
      <c r="X889" s="1573">
        <f t="shared" ref="X889:AG889" si="126">X$6</f>
        <v>43465</v>
      </c>
      <c r="Y889" s="316">
        <f t="shared" si="126"/>
        <v>43800</v>
      </c>
      <c r="Z889" s="1573">
        <f t="shared" si="126"/>
        <v>43862</v>
      </c>
      <c r="AA889" s="1573">
        <f t="shared" si="126"/>
        <v>44013</v>
      </c>
      <c r="AB889" s="1573">
        <f t="shared" si="126"/>
        <v>44166</v>
      </c>
      <c r="AC889" s="1573">
        <f t="shared" si="126"/>
        <v>44531</v>
      </c>
      <c r="AD889" s="1573">
        <f t="shared" si="126"/>
        <v>44774</v>
      </c>
      <c r="AE889" s="1573" t="str">
        <f t="shared" si="126"/>
        <v>-</v>
      </c>
      <c r="AF889" s="1573" t="str">
        <f t="shared" si="126"/>
        <v>-</v>
      </c>
      <c r="AG889" s="1573" t="str">
        <f t="shared" si="126"/>
        <v>-</v>
      </c>
      <c r="AK889" s="853"/>
      <c r="BB889" s="1574" t="str">
        <f>$BB$6</f>
        <v>TRC (2022)</v>
      </c>
      <c r="BC889" s="1584" t="str">
        <f>$BC$6</f>
        <v>Benefit Lookup</v>
      </c>
      <c r="BD889" s="556" t="str">
        <f>$BD$6</f>
        <v>Benefits (2019 $)</v>
      </c>
      <c r="BE889" s="200" t="str">
        <f>$BE$6</f>
        <v>Incremental Cost (2019 $)</v>
      </c>
    </row>
    <row r="890" spans="1:57" s="741" customFormat="1" ht="15" customHeight="1" x14ac:dyDescent="0.35">
      <c r="A890" s="756"/>
      <c r="B890" s="1328"/>
      <c r="C890" s="395" t="s">
        <v>1877</v>
      </c>
      <c r="D890" s="1279" t="s">
        <v>1518</v>
      </c>
      <c r="E890" s="368" t="s">
        <v>4307</v>
      </c>
      <c r="F890" s="461">
        <f>ROUND(((((F898/F899)-(F900/F901))*F902*F903*F904)/(F905*F906))*F907*F908*F909,2)</f>
        <v>4.6399999999999997</v>
      </c>
      <c r="G890" s="395" t="s">
        <v>1830</v>
      </c>
      <c r="H890" s="393">
        <f>VLOOKUP(G890,'CP FACTORS'!$A$3:$B$38, 2, FALSE)</f>
        <v>8.8731800000000003E-5</v>
      </c>
      <c r="I890" s="1278">
        <f>ROUND(F890*H890,6)</f>
        <v>4.1199999999999999E-4</v>
      </c>
      <c r="J890" s="820">
        <f>$F$912</f>
        <v>12</v>
      </c>
      <c r="K890" s="1845">
        <f>F913</f>
        <v>7.1</v>
      </c>
      <c r="L890" s="395" t="s">
        <v>695</v>
      </c>
      <c r="M890" s="756"/>
      <c r="N890" s="756"/>
      <c r="O890" s="756"/>
      <c r="P890" s="756"/>
      <c r="Q890" s="756"/>
      <c r="R890" s="1214"/>
      <c r="S890" s="756"/>
      <c r="T890" s="756"/>
      <c r="U890" s="756"/>
      <c r="V890" s="851" t="str">
        <f>F889</f>
        <v>kWh
Annual Savings</v>
      </c>
      <c r="W890" s="890">
        <v>16.471996316343358</v>
      </c>
      <c r="X890" s="730">
        <v>4.4836485277384011</v>
      </c>
      <c r="Y890" s="322">
        <v>4.6399999999999997</v>
      </c>
      <c r="Z890" s="49">
        <v>4.6399999999999997</v>
      </c>
      <c r="AA890" s="49">
        <v>4.6399999999999997</v>
      </c>
      <c r="AB890" s="49">
        <v>4.6399999999999997</v>
      </c>
      <c r="AC890" s="461">
        <v>4.6399999999999997</v>
      </c>
      <c r="AD890" s="461">
        <v>4.6399999999999997</v>
      </c>
      <c r="AE890" s="851"/>
      <c r="AF890" s="851"/>
      <c r="AG890" s="851"/>
      <c r="AK890" s="853"/>
      <c r="BB890" s="854">
        <f>(BD890)/(BE890)</f>
        <v>0.27638106926823569</v>
      </c>
      <c r="BC890" s="2381" t="str">
        <f>CONCATENATE(G890," ",J890," Year EUL")</f>
        <v>Water heating RES 12 Year EUL</v>
      </c>
      <c r="BD890" s="95">
        <f>(INDEX('Avoided Cost Benefits'!$E$4:$E$859,MATCH(BC890,'Avoided Cost Benefits'!$A$4:$A$859,0)))*F890</f>
        <v>1.852105324968828</v>
      </c>
      <c r="BE890" s="855">
        <f>K890/(1.0595^(2020-2019))</f>
        <v>6.7012741859367617</v>
      </c>
    </row>
    <row r="891" spans="1:57" s="741" customFormat="1" ht="15" customHeight="1" x14ac:dyDescent="0.35">
      <c r="A891" s="756"/>
      <c r="B891" s="1328"/>
      <c r="C891" s="395" t="s">
        <v>1878</v>
      </c>
      <c r="D891" s="2388" t="s">
        <v>4294</v>
      </c>
      <c r="E891" s="368" t="s">
        <v>4308</v>
      </c>
      <c r="F891" s="461">
        <f>ROUND(((((F898/F899)-(F900/F901))*F902*F903*F904)/(F905*F906))*F907*F908*F909,2)</f>
        <v>4.6399999999999997</v>
      </c>
      <c r="G891" s="395" t="s">
        <v>1830</v>
      </c>
      <c r="H891" s="393">
        <f>VLOOKUP(G891,'CP FACTORS'!$A$3:$B$38, 2, FALSE)</f>
        <v>8.8731800000000003E-5</v>
      </c>
      <c r="I891" s="1278">
        <f>ROUND(F891*H891,6)</f>
        <v>4.1199999999999999E-4</v>
      </c>
      <c r="J891" s="820">
        <f>$F$912</f>
        <v>12</v>
      </c>
      <c r="K891" s="1845">
        <f>$F$914</f>
        <v>5.66</v>
      </c>
      <c r="L891" s="395" t="s">
        <v>695</v>
      </c>
      <c r="M891" s="756"/>
      <c r="N891" s="756"/>
      <c r="O891" s="756"/>
      <c r="P891" s="756"/>
      <c r="Q891" s="756"/>
      <c r="R891" s="1214"/>
      <c r="S891" s="756"/>
      <c r="T891" s="756"/>
      <c r="U891" s="756"/>
      <c r="V891" s="851" t="str">
        <f>V890</f>
        <v>kWh
Annual Savings</v>
      </c>
      <c r="W891" s="890">
        <v>16.471996316343358</v>
      </c>
      <c r="X891" s="730">
        <v>4.4836485277384011</v>
      </c>
      <c r="Y891" s="322">
        <v>4.6399999999999997</v>
      </c>
      <c r="Z891" s="49">
        <v>4.6399999999999997</v>
      </c>
      <c r="AA891" s="49">
        <v>4.6399999999999997</v>
      </c>
      <c r="AB891" s="49">
        <v>4.6399999999999997</v>
      </c>
      <c r="AC891" s="461">
        <v>4.6399999999999997</v>
      </c>
      <c r="AD891" s="461">
        <v>4.6399999999999997</v>
      </c>
      <c r="AE891" s="851"/>
      <c r="AF891" s="851"/>
      <c r="AG891" s="851"/>
      <c r="AK891" s="853"/>
      <c r="BB891" s="857">
        <f>(BD891)/(BE891)</f>
        <v>0.34669710102552537</v>
      </c>
      <c r="BC891" s="1580" t="str">
        <f>CONCATENATE(G891," ",J891," Year EUL")</f>
        <v>Water heating RES 12 Year EUL</v>
      </c>
      <c r="BD891" s="98">
        <f>(INDEX('Avoided Cost Benefits'!$E$4:$E$859,MATCH(BC891,'Avoided Cost Benefits'!$A$4:$A$859,0)))*F891</f>
        <v>1.852105324968828</v>
      </c>
      <c r="BE891" s="858">
        <f>K891/(1.0595^(2020-2019))</f>
        <v>5.3421425200566297</v>
      </c>
    </row>
    <row r="892" spans="1:57" s="741" customFormat="1" ht="15" customHeight="1" x14ac:dyDescent="0.35">
      <c r="A892" s="756"/>
      <c r="B892" s="1328"/>
      <c r="C892" s="395" t="s">
        <v>1879</v>
      </c>
      <c r="D892" s="2388" t="s">
        <v>4296</v>
      </c>
      <c r="E892" s="368" t="s">
        <v>4309</v>
      </c>
      <c r="F892" s="461">
        <f>ROUND(((((F898/F899)-(F900/F901))*F902*F903*F904)/(F905*F906))*F907*F908*F909,2)</f>
        <v>4.6399999999999997</v>
      </c>
      <c r="G892" s="395" t="s">
        <v>1830</v>
      </c>
      <c r="H892" s="393">
        <f>VLOOKUP(G892,'CP FACTORS'!$A$3:$B$38, 2, FALSE)</f>
        <v>8.8731800000000003E-5</v>
      </c>
      <c r="I892" s="1278">
        <f>ROUND(F892*H892,6)</f>
        <v>4.1199999999999999E-4</v>
      </c>
      <c r="J892" s="820">
        <f>$F$912</f>
        <v>12</v>
      </c>
      <c r="K892" s="1845">
        <f>$F$914</f>
        <v>5.66</v>
      </c>
      <c r="L892" s="395" t="s">
        <v>695</v>
      </c>
      <c r="M892" s="756"/>
      <c r="N892" s="756"/>
      <c r="O892" s="756"/>
      <c r="P892" s="756"/>
      <c r="Q892" s="756"/>
      <c r="R892" s="1214"/>
      <c r="S892" s="756"/>
      <c r="T892" s="756"/>
      <c r="U892" s="756"/>
      <c r="V892" s="851" t="str">
        <f>V891</f>
        <v>kWh
Annual Savings</v>
      </c>
      <c r="W892" s="890">
        <v>16.471996316343358</v>
      </c>
      <c r="X892" s="730">
        <v>4.4836485277384011</v>
      </c>
      <c r="Y892" s="322">
        <v>4.6399999999999997</v>
      </c>
      <c r="Z892" s="49">
        <v>4.6399999999999997</v>
      </c>
      <c r="AA892" s="49">
        <v>4.6399999999999997</v>
      </c>
      <c r="AB892" s="49">
        <v>4.6399999999999997</v>
      </c>
      <c r="AC892" s="461">
        <v>4.6399999999999997</v>
      </c>
      <c r="AD892" s="461">
        <v>4.6399999999999997</v>
      </c>
      <c r="AE892" s="851"/>
      <c r="AF892" s="851"/>
      <c r="AG892" s="851"/>
      <c r="AK892" s="853"/>
      <c r="BB892" s="859">
        <f>(BD892)/(BE892)</f>
        <v>0.34669710102552537</v>
      </c>
      <c r="BC892" s="1580" t="str">
        <f>CONCATENATE(G892," ",J892," Year EUL")</f>
        <v>Water heating RES 12 Year EUL</v>
      </c>
      <c r="BD892" s="102">
        <f>(INDEX('Avoided Cost Benefits'!$E$4:$E$859,MATCH(BC892,'Avoided Cost Benefits'!$A$4:$A$859,0)))*F892</f>
        <v>1.852105324968828</v>
      </c>
      <c r="BE892" s="860">
        <f>K892/(1.0595^(2020-2019))</f>
        <v>5.3421425200566297</v>
      </c>
    </row>
    <row r="893" spans="1:57" s="741" customFormat="1" ht="15" hidden="1" customHeight="1" outlineLevel="1" x14ac:dyDescent="0.35">
      <c r="A893" s="756"/>
      <c r="B893" s="1328"/>
      <c r="C893" s="758"/>
      <c r="D893" s="1361"/>
      <c r="E893" s="1361"/>
      <c r="F893" s="800"/>
      <c r="G893" s="800"/>
      <c r="H893" s="800"/>
      <c r="I893" s="800"/>
      <c r="J893" s="800"/>
      <c r="K893" s="756"/>
      <c r="L893" s="756"/>
      <c r="M893" s="756"/>
      <c r="N893" s="756"/>
      <c r="O893" s="756"/>
      <c r="P893" s="756"/>
      <c r="Q893" s="756"/>
      <c r="R893" s="756"/>
      <c r="S893" s="756"/>
      <c r="T893" s="756"/>
      <c r="U893" s="756"/>
      <c r="V893" s="156"/>
      <c r="W893" s="156"/>
      <c r="X893" s="156"/>
      <c r="Y893" s="891"/>
      <c r="Z893" s="156"/>
      <c r="AA893" s="156"/>
      <c r="AB893" s="156"/>
      <c r="AC893" s="156"/>
      <c r="AD893" s="156"/>
      <c r="AE893" s="156"/>
      <c r="AF893" s="156"/>
      <c r="AG893" s="156"/>
      <c r="AK893" s="853"/>
      <c r="BB893" s="752"/>
    </row>
    <row r="894" spans="1:57" s="741" customFormat="1" ht="15" hidden="1" customHeight="1" outlineLevel="1" x14ac:dyDescent="0.35">
      <c r="A894" s="756"/>
      <c r="B894" s="1328"/>
      <c r="C894" s="758"/>
      <c r="D894" s="152" t="s">
        <v>107</v>
      </c>
      <c r="E894" s="1399"/>
      <c r="F894" s="1400"/>
      <c r="G894" s="1400"/>
      <c r="H894" s="800"/>
      <c r="I894" s="800"/>
      <c r="J894" s="800"/>
      <c r="K894" s="756"/>
      <c r="L894" s="756"/>
      <c r="M894" s="756"/>
      <c r="N894" s="756"/>
      <c r="O894" s="756"/>
      <c r="P894" s="756"/>
      <c r="Q894" s="756"/>
      <c r="R894" s="756"/>
      <c r="S894" s="756"/>
      <c r="T894" s="756"/>
      <c r="U894" s="756"/>
      <c r="V894" s="156"/>
      <c r="W894" s="156"/>
      <c r="X894" s="156"/>
      <c r="Y894" s="891"/>
      <c r="Z894" s="156"/>
      <c r="AA894" s="156"/>
      <c r="AB894" s="156"/>
      <c r="AC894" s="156"/>
      <c r="AD894" s="156"/>
      <c r="AE894" s="156"/>
      <c r="AF894" s="156"/>
      <c r="AG894" s="156"/>
      <c r="AK894" s="853"/>
      <c r="BB894" s="752"/>
    </row>
    <row r="895" spans="1:57" s="741" customFormat="1" ht="38.25" hidden="1" customHeight="1" outlineLevel="1" x14ac:dyDescent="0.35">
      <c r="A895" s="756"/>
      <c r="B895" s="1328"/>
      <c r="C895" s="759"/>
      <c r="D895" s="1401"/>
      <c r="E895" s="1402"/>
      <c r="F895" s="1403"/>
      <c r="G895" s="1403"/>
      <c r="H895" s="1403"/>
      <c r="I895" s="1403"/>
      <c r="J895" s="1403"/>
      <c r="K895" s="756"/>
      <c r="L895" s="756"/>
      <c r="M895" s="756"/>
      <c r="N895" s="756"/>
      <c r="O895" s="756"/>
      <c r="P895" s="756"/>
      <c r="Q895" s="756"/>
      <c r="R895" s="756"/>
      <c r="S895" s="756"/>
      <c r="T895" s="756"/>
      <c r="U895" s="756"/>
      <c r="V895" s="156"/>
      <c r="W895" s="156"/>
      <c r="X895" s="156"/>
      <c r="Y895" s="891"/>
      <c r="Z895" s="156"/>
      <c r="AA895" s="156"/>
      <c r="AB895" s="156"/>
      <c r="AC895" s="156"/>
      <c r="AD895" s="156"/>
      <c r="AE895" s="156"/>
      <c r="AF895" s="156"/>
      <c r="AG895" s="156"/>
      <c r="AK895" s="853"/>
      <c r="BB895" s="752"/>
    </row>
    <row r="896" spans="1:57" s="741" customFormat="1" hidden="1" outlineLevel="1" x14ac:dyDescent="0.35">
      <c r="A896" s="756"/>
      <c r="B896" s="1328"/>
      <c r="C896" s="759"/>
      <c r="D896" s="1404"/>
      <c r="E896" s="1405"/>
      <c r="F896" s="1406"/>
      <c r="G896" s="1407"/>
      <c r="H896" s="1407"/>
      <c r="I896" s="1407"/>
      <c r="J896" s="1407"/>
      <c r="K896" s="756"/>
      <c r="L896" s="756"/>
      <c r="M896" s="756"/>
      <c r="N896" s="756"/>
      <c r="O896" s="756"/>
      <c r="P896" s="756"/>
      <c r="Q896" s="756"/>
      <c r="R896" s="756"/>
      <c r="S896" s="756"/>
      <c r="T896" s="756"/>
      <c r="U896" s="756"/>
      <c r="V896" s="156"/>
      <c r="W896" s="156"/>
      <c r="X896" s="156"/>
      <c r="Y896" s="891"/>
      <c r="Z896" s="156"/>
      <c r="AA896" s="156"/>
      <c r="AB896" s="156"/>
      <c r="AC896" s="156"/>
      <c r="AD896" s="156"/>
      <c r="AE896" s="156"/>
      <c r="AF896" s="156"/>
      <c r="AG896" s="156"/>
      <c r="AK896" s="853"/>
      <c r="BB896" s="752"/>
    </row>
    <row r="897" spans="1:54" s="741" customFormat="1" hidden="1" outlineLevel="1" x14ac:dyDescent="0.35">
      <c r="A897" s="756"/>
      <c r="B897" s="1328"/>
      <c r="C897" s="753"/>
      <c r="D897" s="2423" t="s">
        <v>108</v>
      </c>
      <c r="E897" s="2423" t="s">
        <v>109</v>
      </c>
      <c r="F897" s="2362" t="s">
        <v>111</v>
      </c>
      <c r="G897" s="3825" t="s">
        <v>186</v>
      </c>
      <c r="H897" s="3826"/>
      <c r="I897" s="3825" t="s">
        <v>112</v>
      </c>
      <c r="J897" s="4088"/>
      <c r="K897" s="3826"/>
      <c r="L897" s="756"/>
      <c r="M897" s="756"/>
      <c r="N897" s="756"/>
      <c r="O897" s="756"/>
      <c r="P897" s="756"/>
      <c r="Q897" s="756"/>
      <c r="R897" s="756"/>
      <c r="S897" s="756"/>
      <c r="T897" s="756"/>
      <c r="U897" s="756"/>
      <c r="V897" s="1572" t="s">
        <v>44</v>
      </c>
      <c r="W897" s="1573">
        <f>W$6</f>
        <v>43252</v>
      </c>
      <c r="X897" s="1573">
        <f t="shared" ref="X897:AG897" si="127">X$6</f>
        <v>43465</v>
      </c>
      <c r="Y897" s="316">
        <f t="shared" si="127"/>
        <v>43800</v>
      </c>
      <c r="Z897" s="1573">
        <f t="shared" si="127"/>
        <v>43862</v>
      </c>
      <c r="AA897" s="1573">
        <f t="shared" si="127"/>
        <v>44013</v>
      </c>
      <c r="AB897" s="1573">
        <f t="shared" si="127"/>
        <v>44166</v>
      </c>
      <c r="AC897" s="1573">
        <f t="shared" si="127"/>
        <v>44531</v>
      </c>
      <c r="AD897" s="1573">
        <f t="shared" si="127"/>
        <v>44774</v>
      </c>
      <c r="AE897" s="1573" t="str">
        <f t="shared" si="127"/>
        <v>-</v>
      </c>
      <c r="AF897" s="1573" t="str">
        <f t="shared" si="127"/>
        <v>-</v>
      </c>
      <c r="AG897" s="1573" t="str">
        <f t="shared" si="127"/>
        <v>-</v>
      </c>
      <c r="AK897" s="853"/>
      <c r="BB897" s="752"/>
    </row>
    <row r="898" spans="1:54" s="741" customFormat="1" ht="16.5" hidden="1" outlineLevel="1" x14ac:dyDescent="0.35">
      <c r="A898" s="756"/>
      <c r="B898" s="1328"/>
      <c r="C898" s="759"/>
      <c r="D898" s="391" t="s">
        <v>700</v>
      </c>
      <c r="E898" s="2387" t="s">
        <v>1880</v>
      </c>
      <c r="F898" s="482">
        <f>(PI()*F910)/12</f>
        <v>0.14398966328953219</v>
      </c>
      <c r="G898" s="4319" t="s">
        <v>308</v>
      </c>
      <c r="H898" s="4397"/>
      <c r="I898" s="4398"/>
      <c r="J898" s="4399"/>
      <c r="K898" s="4400"/>
      <c r="L898" s="756"/>
      <c r="M898" s="756"/>
      <c r="N898" s="756"/>
      <c r="O898" s="756"/>
      <c r="P898" s="894"/>
      <c r="Q898" s="756"/>
      <c r="R898" s="756"/>
      <c r="S898" s="756"/>
      <c r="T898" s="756"/>
      <c r="U898" s="756"/>
      <c r="V898" s="892" t="str">
        <f>D898</f>
        <v>CBase</v>
      </c>
      <c r="W898" s="895">
        <f>(PI()*W910)/12</f>
        <v>0.19634954084936207</v>
      </c>
      <c r="X898" s="893">
        <f>(PI()*X910)/12</f>
        <v>0.14398966328953219</v>
      </c>
      <c r="Y898" s="482">
        <v>0.14398966328953219</v>
      </c>
      <c r="Z898" s="482">
        <v>0.14398966328953219</v>
      </c>
      <c r="AA898" s="482">
        <v>0.14398966328953219</v>
      </c>
      <c r="AB898" s="895">
        <v>0.14398966328953219</v>
      </c>
      <c r="AC898" s="895">
        <v>0.14398966328953219</v>
      </c>
      <c r="AD898" s="895">
        <v>0.14398966328953219</v>
      </c>
      <c r="AE898" s="895"/>
      <c r="AF898" s="895"/>
      <c r="AG898" s="895"/>
      <c r="AK898" s="853"/>
      <c r="BB898" s="752"/>
    </row>
    <row r="899" spans="1:54" s="741" customFormat="1" ht="16.5" hidden="1" outlineLevel="1" x14ac:dyDescent="0.35">
      <c r="A899" s="756"/>
      <c r="B899" s="1328"/>
      <c r="C899" s="759"/>
      <c r="D899" s="391" t="s">
        <v>704</v>
      </c>
      <c r="E899" s="2390" t="s">
        <v>1881</v>
      </c>
      <c r="F899" s="896">
        <v>1</v>
      </c>
      <c r="G899" s="4319" t="s">
        <v>520</v>
      </c>
      <c r="H899" s="4397"/>
      <c r="I899" s="4398" t="s">
        <v>1706</v>
      </c>
      <c r="J899" s="4399"/>
      <c r="K899" s="4400"/>
      <c r="L899" s="756"/>
      <c r="M899" s="756"/>
      <c r="N899" s="756"/>
      <c r="O899" s="756"/>
      <c r="P899" s="894"/>
      <c r="Q899" s="756"/>
      <c r="R899" s="756"/>
      <c r="S899" s="756"/>
      <c r="T899" s="756"/>
      <c r="U899" s="756"/>
      <c r="V899" s="892" t="str">
        <f>D899</f>
        <v>RBase</v>
      </c>
      <c r="W899" s="897">
        <v>1</v>
      </c>
      <c r="X899" s="896">
        <v>1</v>
      </c>
      <c r="Y899" s="896">
        <v>1</v>
      </c>
      <c r="Z899" s="896">
        <v>1</v>
      </c>
      <c r="AA899" s="896">
        <v>1</v>
      </c>
      <c r="AB899" s="897">
        <v>1</v>
      </c>
      <c r="AC899" s="897">
        <v>1</v>
      </c>
      <c r="AD899" s="897">
        <v>1</v>
      </c>
      <c r="AE899" s="897"/>
      <c r="AF899" s="897"/>
      <c r="AG899" s="897"/>
      <c r="AK899" s="853"/>
      <c r="BB899" s="752"/>
    </row>
    <row r="900" spans="1:54" s="741" customFormat="1" ht="16.5" hidden="1" outlineLevel="1" x14ac:dyDescent="0.35">
      <c r="A900" s="756"/>
      <c r="B900" s="1328"/>
      <c r="C900" s="759"/>
      <c r="D900" s="391" t="s">
        <v>707</v>
      </c>
      <c r="E900" s="2390" t="s">
        <v>708</v>
      </c>
      <c r="F900" s="432">
        <f>(PI()*(F910+(2*F911))/12)</f>
        <v>0.40578905108868163</v>
      </c>
      <c r="G900" s="3887" t="s">
        <v>308</v>
      </c>
      <c r="H900" s="3889"/>
      <c r="I900" s="4398"/>
      <c r="J900" s="4399"/>
      <c r="K900" s="4400"/>
      <c r="L900" s="756"/>
      <c r="M900" s="756"/>
      <c r="N900" s="756"/>
      <c r="O900" s="756"/>
      <c r="P900" s="894"/>
      <c r="Q900" s="756"/>
      <c r="R900" s="756"/>
      <c r="S900" s="756"/>
      <c r="T900" s="756"/>
      <c r="U900" s="756"/>
      <c r="V900" s="892" t="str">
        <f>D900</f>
        <v>CEE</v>
      </c>
      <c r="W900" s="898">
        <f>(PI()*(W910+(2*W911))/12)</f>
        <v>0.45814892864851148</v>
      </c>
      <c r="X900" s="437">
        <f>(PI()*(X910+(2*X911))/12)</f>
        <v>0.40578905108868163</v>
      </c>
      <c r="Y900" s="437">
        <v>0.40578905108868163</v>
      </c>
      <c r="Z900" s="437">
        <v>0.40578905108868163</v>
      </c>
      <c r="AA900" s="437">
        <v>0.40578905108868163</v>
      </c>
      <c r="AB900" s="898">
        <v>0.40578905108868163</v>
      </c>
      <c r="AC900" s="898">
        <v>0.40578905108868163</v>
      </c>
      <c r="AD900" s="898">
        <v>0.40578905108868163</v>
      </c>
      <c r="AE900" s="898"/>
      <c r="AF900" s="898"/>
      <c r="AG900" s="898"/>
      <c r="AK900" s="853"/>
      <c r="BB900" s="752"/>
    </row>
    <row r="901" spans="1:54" s="741" customFormat="1" ht="16.5" hidden="1" outlineLevel="1" x14ac:dyDescent="0.35">
      <c r="A901" s="756"/>
      <c r="B901" s="1328"/>
      <c r="C901" s="759"/>
      <c r="D901" s="391" t="s">
        <v>711</v>
      </c>
      <c r="E901" s="2390" t="s">
        <v>712</v>
      </c>
      <c r="F901" s="89">
        <v>3.6</v>
      </c>
      <c r="G901" s="4401" t="s">
        <v>1882</v>
      </c>
      <c r="H901" s="4402"/>
      <c r="I901" s="4398" t="s">
        <v>1706</v>
      </c>
      <c r="J901" s="4399"/>
      <c r="K901" s="4400"/>
      <c r="L901" s="756"/>
      <c r="M901" s="756"/>
      <c r="N901" s="756"/>
      <c r="O901" s="756"/>
      <c r="P901" s="894"/>
      <c r="Q901" s="756"/>
      <c r="R901" s="756"/>
      <c r="S901" s="756"/>
      <c r="T901" s="756"/>
      <c r="U901" s="756"/>
      <c r="V901" s="892" t="str">
        <f>D901</f>
        <v>REE</v>
      </c>
      <c r="W901" s="89">
        <f>4+1</f>
        <v>5</v>
      </c>
      <c r="X901" s="89">
        <v>3.6</v>
      </c>
      <c r="Y901" s="899">
        <v>3.6</v>
      </c>
      <c r="Z901" s="50">
        <v>3.6</v>
      </c>
      <c r="AA901" s="50">
        <v>3.6</v>
      </c>
      <c r="AB901" s="89">
        <v>3.6</v>
      </c>
      <c r="AC901" s="89">
        <v>3.6</v>
      </c>
      <c r="AD901" s="89">
        <v>3.6</v>
      </c>
      <c r="AE901" s="89"/>
      <c r="AF901" s="89"/>
      <c r="AG901" s="89"/>
      <c r="AK901" s="853"/>
      <c r="BB901" s="752"/>
    </row>
    <row r="902" spans="1:54" s="741" customFormat="1" hidden="1" outlineLevel="1" x14ac:dyDescent="0.35">
      <c r="A902" s="756"/>
      <c r="B902" s="1328"/>
      <c r="C902" s="759"/>
      <c r="D902" s="405" t="s">
        <v>715</v>
      </c>
      <c r="E902" s="2390" t="s">
        <v>1883</v>
      </c>
      <c r="F902" s="896">
        <v>1</v>
      </c>
      <c r="G902" s="3887" t="s">
        <v>717</v>
      </c>
      <c r="H902" s="3889"/>
      <c r="I902" s="4398" t="s">
        <v>1706</v>
      </c>
      <c r="J902" s="4399"/>
      <c r="K902" s="4400"/>
      <c r="L902" s="756"/>
      <c r="M902" s="756"/>
      <c r="N902" s="756"/>
      <c r="O902" s="756"/>
      <c r="P902" s="894"/>
      <c r="Q902" s="756"/>
      <c r="R902" s="756"/>
      <c r="S902" s="756"/>
      <c r="T902" s="756"/>
      <c r="U902" s="756"/>
      <c r="V902" s="892" t="str">
        <f>D902</f>
        <v>L</v>
      </c>
      <c r="W902" s="897">
        <v>1</v>
      </c>
      <c r="X902" s="896">
        <v>1</v>
      </c>
      <c r="Y902" s="896">
        <v>1</v>
      </c>
      <c r="Z902" s="896">
        <v>1</v>
      </c>
      <c r="AA902" s="896">
        <v>1</v>
      </c>
      <c r="AB902" s="897">
        <v>1</v>
      </c>
      <c r="AC902" s="897">
        <v>1</v>
      </c>
      <c r="AD902" s="897">
        <v>1</v>
      </c>
      <c r="AE902" s="897"/>
      <c r="AF902" s="897"/>
      <c r="AG902" s="897"/>
      <c r="AK902" s="853"/>
      <c r="BB902" s="752"/>
    </row>
    <row r="903" spans="1:54" s="741" customFormat="1" hidden="1" outlineLevel="1" x14ac:dyDescent="0.35">
      <c r="A903" s="756"/>
      <c r="B903" s="1328"/>
      <c r="C903" s="759"/>
      <c r="D903" s="391" t="s">
        <v>718</v>
      </c>
      <c r="E903" s="1413" t="s">
        <v>719</v>
      </c>
      <c r="F903" s="485">
        <v>58.9</v>
      </c>
      <c r="G903" s="4319" t="s">
        <v>520</v>
      </c>
      <c r="H903" s="4397"/>
      <c r="I903" s="4403" t="s">
        <v>1706</v>
      </c>
      <c r="J903" s="4404"/>
      <c r="K903" s="4405"/>
      <c r="L903" s="756"/>
      <c r="M903" s="756"/>
      <c r="N903" s="756"/>
      <c r="O903" s="756"/>
      <c r="P903" s="894"/>
      <c r="Q903" s="756"/>
      <c r="R903" s="756"/>
      <c r="S903" s="756"/>
      <c r="T903" s="756"/>
      <c r="U903" s="756"/>
      <c r="V903" s="892" t="str">
        <f t="shared" ref="V903:V913" si="128">D903</f>
        <v>DT</v>
      </c>
      <c r="W903" s="485">
        <v>60</v>
      </c>
      <c r="X903" s="900">
        <v>58.9</v>
      </c>
      <c r="Y903" s="485">
        <v>58.9</v>
      </c>
      <c r="Z903" s="485">
        <v>58.9</v>
      </c>
      <c r="AA903" s="485">
        <v>58.9</v>
      </c>
      <c r="AB903" s="485">
        <v>58.9</v>
      </c>
      <c r="AC903" s="485">
        <v>58.9</v>
      </c>
      <c r="AD903" s="485">
        <v>58.9</v>
      </c>
      <c r="AE903" s="485"/>
      <c r="AF903" s="485"/>
      <c r="AG903" s="485"/>
      <c r="AK903" s="853"/>
      <c r="BB903" s="752"/>
    </row>
    <row r="904" spans="1:54" s="741" customFormat="1" hidden="1" outlineLevel="1" x14ac:dyDescent="0.35">
      <c r="A904" s="756"/>
      <c r="B904" s="1328"/>
      <c r="C904" s="759"/>
      <c r="D904" s="391" t="s">
        <v>721</v>
      </c>
      <c r="E904" s="1413" t="s">
        <v>722</v>
      </c>
      <c r="F904" s="2419">
        <v>8766</v>
      </c>
      <c r="G904" s="3820" t="s">
        <v>706</v>
      </c>
      <c r="H904" s="3790"/>
      <c r="I904" s="4403" t="s">
        <v>1706</v>
      </c>
      <c r="J904" s="4404"/>
      <c r="K904" s="4405"/>
      <c r="L904" s="756"/>
      <c r="M904" s="756"/>
      <c r="N904" s="756"/>
      <c r="O904" s="756"/>
      <c r="P904" s="894"/>
      <c r="Q904" s="756"/>
      <c r="R904" s="756"/>
      <c r="S904" s="756"/>
      <c r="T904" s="756"/>
      <c r="U904" s="756"/>
      <c r="V904" s="892" t="str">
        <f t="shared" si="128"/>
        <v>Hours</v>
      </c>
      <c r="W904" s="2419">
        <v>8766</v>
      </c>
      <c r="X904" s="2419">
        <v>8766</v>
      </c>
      <c r="Y904" s="2419">
        <v>8766</v>
      </c>
      <c r="Z904" s="2419">
        <v>8766</v>
      </c>
      <c r="AA904" s="2419">
        <v>8766</v>
      </c>
      <c r="AB904" s="2419">
        <v>8766</v>
      </c>
      <c r="AC904" s="2419">
        <v>8766</v>
      </c>
      <c r="AD904" s="2978">
        <v>8766</v>
      </c>
      <c r="AE904" s="2419"/>
      <c r="AF904" s="2419"/>
      <c r="AG904" s="2419"/>
      <c r="AK904" s="853"/>
      <c r="BB904" s="752"/>
    </row>
    <row r="905" spans="1:54" s="741" customFormat="1" ht="16.5" hidden="1" outlineLevel="1" x14ac:dyDescent="0.35">
      <c r="A905" s="756"/>
      <c r="B905" s="1328"/>
      <c r="C905" s="759"/>
      <c r="D905" s="391" t="s">
        <v>723</v>
      </c>
      <c r="E905" s="1413" t="s">
        <v>724</v>
      </c>
      <c r="F905" s="896">
        <v>0.98</v>
      </c>
      <c r="G905" s="4314" t="s">
        <v>1884</v>
      </c>
      <c r="H905" s="4325"/>
      <c r="I905" s="4403" t="s">
        <v>1706</v>
      </c>
      <c r="J905" s="4404"/>
      <c r="K905" s="4405"/>
      <c r="L905" s="756"/>
      <c r="M905" s="756"/>
      <c r="N905" s="756"/>
      <c r="O905" s="756"/>
      <c r="P905" s="894"/>
      <c r="Q905" s="756"/>
      <c r="R905" s="756"/>
      <c r="S905" s="756"/>
      <c r="T905" s="756"/>
      <c r="U905" s="756"/>
      <c r="V905" s="892" t="str">
        <f t="shared" si="128"/>
        <v>ȠDHWElec</v>
      </c>
      <c r="W905" s="897">
        <v>0.98</v>
      </c>
      <c r="X905" s="896">
        <v>0.98</v>
      </c>
      <c r="Y905" s="896">
        <v>0.98</v>
      </c>
      <c r="Z905" s="896">
        <v>0.98</v>
      </c>
      <c r="AA905" s="896">
        <v>0.98</v>
      </c>
      <c r="AB905" s="897">
        <v>0.98</v>
      </c>
      <c r="AC905" s="897">
        <v>0.98</v>
      </c>
      <c r="AD905" s="897">
        <v>0.98</v>
      </c>
      <c r="AE905" s="897"/>
      <c r="AF905" s="897"/>
      <c r="AG905" s="897"/>
      <c r="AK905" s="853"/>
      <c r="BB905" s="752"/>
    </row>
    <row r="906" spans="1:54" s="741" customFormat="1" hidden="1" outlineLevel="1" x14ac:dyDescent="0.35">
      <c r="A906" s="756"/>
      <c r="B906" s="1328"/>
      <c r="C906" s="759"/>
      <c r="D906" s="391">
        <v>3412</v>
      </c>
      <c r="E906" s="1367" t="s">
        <v>725</v>
      </c>
      <c r="F906" s="443">
        <v>3412</v>
      </c>
      <c r="G906" s="3820" t="s">
        <v>706</v>
      </c>
      <c r="H906" s="3790"/>
      <c r="I906" s="4403" t="s">
        <v>1706</v>
      </c>
      <c r="J906" s="4404"/>
      <c r="K906" s="4405"/>
      <c r="L906" s="756"/>
      <c r="M906" s="756"/>
      <c r="N906" s="756"/>
      <c r="O906" s="756"/>
      <c r="P906" s="894"/>
      <c r="Q906" s="756"/>
      <c r="R906" s="756"/>
      <c r="S906" s="756"/>
      <c r="T906" s="756"/>
      <c r="U906" s="756"/>
      <c r="V906" s="892">
        <f t="shared" si="128"/>
        <v>3412</v>
      </c>
      <c r="W906" s="443">
        <v>3412</v>
      </c>
      <c r="X906" s="443">
        <v>3412</v>
      </c>
      <c r="Y906" s="443">
        <v>3412</v>
      </c>
      <c r="Z906" s="443">
        <v>3412</v>
      </c>
      <c r="AA906" s="443">
        <v>3412</v>
      </c>
      <c r="AB906" s="443">
        <v>3412</v>
      </c>
      <c r="AC906" s="443">
        <v>3412</v>
      </c>
      <c r="AD906" s="443">
        <v>3412</v>
      </c>
      <c r="AE906" s="443"/>
      <c r="AF906" s="443"/>
      <c r="AG906" s="443"/>
      <c r="AK906" s="853"/>
      <c r="BB906" s="752"/>
    </row>
    <row r="907" spans="1:54" s="741" customFormat="1" hidden="1" outlineLevel="1" x14ac:dyDescent="0.35">
      <c r="A907" s="756"/>
      <c r="B907" s="1328"/>
      <c r="C907" s="759"/>
      <c r="D907" s="2333" t="s">
        <v>726</v>
      </c>
      <c r="E907" s="2333" t="s">
        <v>597</v>
      </c>
      <c r="F907" s="874">
        <v>1</v>
      </c>
      <c r="G907" s="3847" t="s">
        <v>583</v>
      </c>
      <c r="H907" s="3848"/>
      <c r="I907" s="4370" t="s">
        <v>1721</v>
      </c>
      <c r="J907" s="4371"/>
      <c r="K907" s="4372"/>
      <c r="L907" s="756"/>
      <c r="M907" s="756"/>
      <c r="N907" s="756"/>
      <c r="O907" s="756"/>
      <c r="P907" s="894"/>
      <c r="Q907" s="756"/>
      <c r="R907" s="756"/>
      <c r="S907" s="756"/>
      <c r="T907" s="756"/>
      <c r="U907" s="756"/>
      <c r="V907" s="892" t="str">
        <f t="shared" si="128"/>
        <v>*Electric Saturation</v>
      </c>
      <c r="W907" s="901">
        <v>1</v>
      </c>
      <c r="X907" s="874">
        <v>1</v>
      </c>
      <c r="Y907" s="874">
        <v>1</v>
      </c>
      <c r="Z907" s="874">
        <v>1</v>
      </c>
      <c r="AA907" s="874">
        <v>1</v>
      </c>
      <c r="AB907" s="901">
        <v>1</v>
      </c>
      <c r="AC907" s="901">
        <v>1</v>
      </c>
      <c r="AD907" s="901">
        <v>1</v>
      </c>
      <c r="AE907" s="901"/>
      <c r="AF907" s="901"/>
      <c r="AG907" s="901"/>
      <c r="AK907" s="853"/>
      <c r="BB907" s="752"/>
    </row>
    <row r="908" spans="1:54" s="741" customFormat="1" hidden="1" outlineLevel="1" x14ac:dyDescent="0.35">
      <c r="A908" s="756"/>
      <c r="B908" s="1328"/>
      <c r="C908" s="759"/>
      <c r="D908" s="2333" t="s">
        <v>516</v>
      </c>
      <c r="E908" s="2333" t="s">
        <v>578</v>
      </c>
      <c r="F908" s="874">
        <v>1</v>
      </c>
      <c r="G908" s="3847" t="s">
        <v>583</v>
      </c>
      <c r="H908" s="3848"/>
      <c r="I908" s="4370" t="s">
        <v>1721</v>
      </c>
      <c r="J908" s="4371"/>
      <c r="K908" s="4372"/>
      <c r="L908" s="756"/>
      <c r="M908" s="756"/>
      <c r="N908" s="756"/>
      <c r="O908" s="756"/>
      <c r="P908" s="894"/>
      <c r="Q908" s="756"/>
      <c r="R908" s="756"/>
      <c r="S908" s="756"/>
      <c r="T908" s="756"/>
      <c r="U908" s="756"/>
      <c r="V908" s="892" t="str">
        <f t="shared" si="128"/>
        <v>Utility Adjustment</v>
      </c>
      <c r="W908" s="901">
        <v>1</v>
      </c>
      <c r="X908" s="874">
        <v>1</v>
      </c>
      <c r="Y908" s="874">
        <v>1</v>
      </c>
      <c r="Z908" s="874">
        <v>1</v>
      </c>
      <c r="AA908" s="874">
        <v>1</v>
      </c>
      <c r="AB908" s="901">
        <v>1</v>
      </c>
      <c r="AC908" s="901">
        <v>1</v>
      </c>
      <c r="AD908" s="901">
        <v>1</v>
      </c>
      <c r="AE908" s="901"/>
      <c r="AF908" s="901"/>
      <c r="AG908" s="901"/>
      <c r="AK908" s="853"/>
      <c r="BB908" s="752"/>
    </row>
    <row r="909" spans="1:54" s="741" customFormat="1" hidden="1" outlineLevel="1" x14ac:dyDescent="0.35">
      <c r="A909" s="756"/>
      <c r="B909" s="1328"/>
      <c r="C909" s="759"/>
      <c r="D909" s="844" t="s">
        <v>132</v>
      </c>
      <c r="E909" s="1367" t="s">
        <v>1722</v>
      </c>
      <c r="F909" s="903">
        <v>0.96</v>
      </c>
      <c r="G909" s="4314" t="s">
        <v>731</v>
      </c>
      <c r="H909" s="4325"/>
      <c r="I909" s="4403" t="s">
        <v>1706</v>
      </c>
      <c r="J909" s="4404"/>
      <c r="K909" s="4405"/>
      <c r="L909" s="756"/>
      <c r="M909" s="756"/>
      <c r="N909" s="756"/>
      <c r="O909" s="756"/>
      <c r="P909" s="894"/>
      <c r="Q909" s="756"/>
      <c r="R909" s="756"/>
      <c r="S909" s="756"/>
      <c r="T909" s="756"/>
      <c r="U909" s="756"/>
      <c r="V909" s="892" t="str">
        <f t="shared" si="128"/>
        <v>ISR</v>
      </c>
      <c r="W909" s="902">
        <v>1</v>
      </c>
      <c r="X909" s="903">
        <v>0.92857142857142905</v>
      </c>
      <c r="Y909" s="872">
        <v>0.96</v>
      </c>
      <c r="Z909" s="903">
        <v>0.96</v>
      </c>
      <c r="AA909" s="903">
        <v>0.96</v>
      </c>
      <c r="AB909" s="902">
        <v>0.96</v>
      </c>
      <c r="AC909" s="902">
        <v>0.96</v>
      </c>
      <c r="AD909" s="902">
        <v>0.96</v>
      </c>
      <c r="AE909" s="902"/>
      <c r="AF909" s="902"/>
      <c r="AG909" s="902"/>
      <c r="AK909" s="853"/>
      <c r="BB909" s="752"/>
    </row>
    <row r="910" spans="1:54" s="741" customFormat="1" hidden="1" outlineLevel="1" x14ac:dyDescent="0.35">
      <c r="A910" s="756"/>
      <c r="B910" s="1328"/>
      <c r="C910" s="753"/>
      <c r="D910" s="844" t="s">
        <v>1885</v>
      </c>
      <c r="E910" s="822" t="s">
        <v>733</v>
      </c>
      <c r="F910" s="903">
        <v>0.55000000000000004</v>
      </c>
      <c r="G910" s="4314"/>
      <c r="H910" s="4325"/>
      <c r="I910" s="4403"/>
      <c r="J910" s="4404"/>
      <c r="K910" s="4405"/>
      <c r="L910" s="756"/>
      <c r="M910" s="756"/>
      <c r="N910" s="756"/>
      <c r="O910" s="756"/>
      <c r="P910" s="894"/>
      <c r="Q910" s="756"/>
      <c r="R910" s="756"/>
      <c r="S910" s="756"/>
      <c r="T910" s="756"/>
      <c r="U910" s="756"/>
      <c r="V910" s="892" t="str">
        <f t="shared" si="128"/>
        <v>Pipe Diameter</v>
      </c>
      <c r="W910" s="902">
        <v>0.75</v>
      </c>
      <c r="X910" s="872">
        <v>0.55000000000000004</v>
      </c>
      <c r="Y910" s="903">
        <v>0.55000000000000004</v>
      </c>
      <c r="Z910" s="903">
        <v>0.55000000000000004</v>
      </c>
      <c r="AA910" s="903">
        <v>0.55000000000000004</v>
      </c>
      <c r="AB910" s="902">
        <v>0.55000000000000004</v>
      </c>
      <c r="AC910" s="902">
        <v>0.55000000000000004</v>
      </c>
      <c r="AD910" s="902">
        <v>0.55000000000000004</v>
      </c>
      <c r="AE910" s="902"/>
      <c r="AF910" s="902"/>
      <c r="AG910" s="902"/>
      <c r="AK910" s="853"/>
      <c r="BB910" s="752"/>
    </row>
    <row r="911" spans="1:54" s="741" customFormat="1" hidden="1" outlineLevel="1" x14ac:dyDescent="0.35">
      <c r="A911" s="756"/>
      <c r="B911" s="1328"/>
      <c r="C911" s="753"/>
      <c r="D911" s="2333" t="s">
        <v>735</v>
      </c>
      <c r="E911" s="2333" t="s">
        <v>735</v>
      </c>
      <c r="F911" s="488">
        <v>0.5</v>
      </c>
      <c r="G911" s="4314"/>
      <c r="H911" s="4325"/>
      <c r="I911" s="4403"/>
      <c r="J911" s="4404"/>
      <c r="K911" s="4405"/>
      <c r="L911" s="756"/>
      <c r="M911" s="756"/>
      <c r="N911" s="756"/>
      <c r="O911" s="756"/>
      <c r="P911" s="894"/>
      <c r="Q911" s="756"/>
      <c r="R911" s="756"/>
      <c r="S911" s="756"/>
      <c r="T911" s="756"/>
      <c r="U911" s="756"/>
      <c r="V911" s="892" t="str">
        <f t="shared" si="128"/>
        <v>Pipe wrap width</v>
      </c>
      <c r="W911" s="902">
        <v>0.5</v>
      </c>
      <c r="X911" s="488">
        <v>0.5</v>
      </c>
      <c r="Y911" s="488">
        <v>0.5</v>
      </c>
      <c r="Z911" s="488">
        <v>0.5</v>
      </c>
      <c r="AA911" s="488">
        <v>0.5</v>
      </c>
      <c r="AB911" s="902">
        <v>0.5</v>
      </c>
      <c r="AC911" s="902">
        <v>0.5</v>
      </c>
      <c r="AD911" s="902">
        <v>0.5</v>
      </c>
      <c r="AE911" s="902"/>
      <c r="AF911" s="902"/>
      <c r="AG911" s="902"/>
      <c r="AK911" s="853"/>
      <c r="BB911" s="752"/>
    </row>
    <row r="912" spans="1:54" s="741" customFormat="1" hidden="1" outlineLevel="1" x14ac:dyDescent="0.35">
      <c r="A912" s="756"/>
      <c r="B912" s="1328"/>
      <c r="C912" s="2378"/>
      <c r="D912" s="2094" t="str">
        <f>D880</f>
        <v>EUL</v>
      </c>
      <c r="E912" s="2094" t="s">
        <v>1886</v>
      </c>
      <c r="F912" s="689">
        <v>12</v>
      </c>
      <c r="G912" s="4314"/>
      <c r="H912" s="4325"/>
      <c r="I912" s="4403"/>
      <c r="J912" s="4404"/>
      <c r="K912" s="4405"/>
      <c r="L912" s="756"/>
      <c r="M912" s="756"/>
      <c r="N912" s="756"/>
      <c r="O912" s="756"/>
      <c r="P912" s="894"/>
      <c r="Q912" s="756"/>
      <c r="R912" s="756"/>
      <c r="S912" s="756"/>
      <c r="T912" s="756"/>
      <c r="U912" s="756"/>
      <c r="V912" s="892" t="str">
        <f t="shared" si="128"/>
        <v>EUL</v>
      </c>
      <c r="W912" s="885">
        <v>12</v>
      </c>
      <c r="X912" s="810">
        <v>12</v>
      </c>
      <c r="Y912" s="810">
        <v>12</v>
      </c>
      <c r="Z912" s="689">
        <v>12</v>
      </c>
      <c r="AA912" s="689">
        <v>12</v>
      </c>
      <c r="AB912" s="886">
        <v>12</v>
      </c>
      <c r="AC912" s="886">
        <v>12</v>
      </c>
      <c r="AD912" s="886">
        <v>12</v>
      </c>
      <c r="AE912" s="886"/>
      <c r="AF912" s="886"/>
      <c r="AG912" s="886"/>
      <c r="AK912" s="853"/>
      <c r="BB912" s="752"/>
    </row>
    <row r="913" spans="1:57" s="741" customFormat="1" hidden="1" outlineLevel="1" x14ac:dyDescent="0.35">
      <c r="A913" s="756"/>
      <c r="B913" s="1328"/>
      <c r="C913" s="2378"/>
      <c r="D913" s="4227" t="str">
        <f>D881</f>
        <v>Inc. Cost</v>
      </c>
      <c r="E913" s="2333" t="s">
        <v>1887</v>
      </c>
      <c r="F913" s="1408">
        <v>7.1</v>
      </c>
      <c r="G913" s="4314"/>
      <c r="H913" s="4325"/>
      <c r="I913" s="4403"/>
      <c r="J913" s="4404"/>
      <c r="K913" s="4405"/>
      <c r="L913" s="756"/>
      <c r="M913" s="756"/>
      <c r="N913" s="756"/>
      <c r="O913" s="756"/>
      <c r="P913" s="894"/>
      <c r="Q913" s="756"/>
      <c r="R913" s="756"/>
      <c r="S913" s="756"/>
      <c r="T913" s="756"/>
      <c r="U913" s="756"/>
      <c r="V913" s="4407" t="str">
        <f t="shared" si="128"/>
        <v>Inc. Cost</v>
      </c>
      <c r="W913" s="887">
        <v>7.1</v>
      </c>
      <c r="X913" s="904">
        <v>7.1</v>
      </c>
      <c r="Y913" s="904">
        <v>7.1</v>
      </c>
      <c r="Z913" s="1408">
        <v>7.1</v>
      </c>
      <c r="AA913" s="1408">
        <v>7.1</v>
      </c>
      <c r="AB913" s="888">
        <v>7.1</v>
      </c>
      <c r="AC913" s="888">
        <v>7.1</v>
      </c>
      <c r="AD913" s="888">
        <v>7.1</v>
      </c>
      <c r="AE913" s="888"/>
      <c r="AF913" s="888"/>
      <c r="AG913" s="888"/>
      <c r="AK913" s="853"/>
      <c r="BB913" s="752"/>
    </row>
    <row r="914" spans="1:57" s="741" customFormat="1" hidden="1" outlineLevel="1" x14ac:dyDescent="0.35">
      <c r="A914" s="756"/>
      <c r="B914" s="1328"/>
      <c r="C914" s="2378"/>
      <c r="D914" s="3804"/>
      <c r="E914" s="2333" t="s">
        <v>1888</v>
      </c>
      <c r="F914" s="920">
        <v>5.66</v>
      </c>
      <c r="G914" s="4314" t="s">
        <v>1889</v>
      </c>
      <c r="H914" s="4325"/>
      <c r="I914" s="4403"/>
      <c r="J914" s="4404"/>
      <c r="K914" s="4405"/>
      <c r="L914" s="756"/>
      <c r="M914" s="756"/>
      <c r="N914" s="756"/>
      <c r="O914" s="756"/>
      <c r="P914" s="756"/>
      <c r="Q914" s="756"/>
      <c r="R914" s="756"/>
      <c r="S914" s="756"/>
      <c r="T914" s="756"/>
      <c r="U914" s="756"/>
      <c r="V914" s="4388"/>
      <c r="W914" s="887">
        <v>7.1</v>
      </c>
      <c r="X914" s="904">
        <v>7.1</v>
      </c>
      <c r="Y914" s="904">
        <v>7.1</v>
      </c>
      <c r="Z914" s="1408">
        <v>7.1</v>
      </c>
      <c r="AA914" s="1408">
        <v>7.1</v>
      </c>
      <c r="AB914" s="889">
        <v>5.66</v>
      </c>
      <c r="AC914" s="888">
        <v>5.66</v>
      </c>
      <c r="AD914" s="888">
        <v>5.66</v>
      </c>
      <c r="AE914" s="888"/>
      <c r="AF914" s="888"/>
      <c r="AG914" s="888"/>
      <c r="AK914" s="853"/>
      <c r="BB914" s="752"/>
    </row>
    <row r="915" spans="1:57" s="741" customFormat="1" ht="15" customHeight="1" collapsed="1" x14ac:dyDescent="0.35">
      <c r="A915" s="756"/>
      <c r="B915" s="1328"/>
      <c r="C915" s="753"/>
      <c r="D915" s="1375"/>
      <c r="E915" s="375"/>
      <c r="F915" s="756"/>
      <c r="G915" s="756"/>
      <c r="H915" s="756"/>
      <c r="I915" s="756"/>
      <c r="J915" s="756"/>
      <c r="K915" s="756"/>
      <c r="L915" s="756"/>
      <c r="M915" s="756"/>
      <c r="N915" s="756"/>
      <c r="O915" s="756"/>
      <c r="P915" s="756"/>
      <c r="Q915" s="756"/>
      <c r="R915" s="756"/>
      <c r="S915" s="756"/>
      <c r="T915" s="756"/>
      <c r="U915" s="756"/>
      <c r="Y915" s="757"/>
      <c r="AK915" s="853"/>
      <c r="BB915" s="752"/>
    </row>
    <row r="916" spans="1:57" ht="15" customHeight="1" x14ac:dyDescent="0.35">
      <c r="B916" s="1040"/>
      <c r="F916" s="226"/>
      <c r="G916" s="226"/>
      <c r="AK916" s="732"/>
    </row>
    <row r="917" spans="1:57" x14ac:dyDescent="0.35">
      <c r="B917" s="3664" t="s">
        <v>1890</v>
      </c>
      <c r="C917" s="3665"/>
      <c r="D917" s="3665"/>
      <c r="E917" s="3665"/>
      <c r="F917" s="3665"/>
      <c r="G917" s="3665"/>
      <c r="H917" s="3665"/>
      <c r="I917" s="3666"/>
      <c r="J917" s="3666"/>
      <c r="K917" s="3666"/>
      <c r="L917" s="3666"/>
      <c r="M917" s="3666"/>
      <c r="N917" s="3666"/>
      <c r="O917" s="3666"/>
      <c r="P917" s="3666"/>
      <c r="Q917" s="3666"/>
      <c r="R917" s="3667"/>
      <c r="V917" s="3664" t="str">
        <f>B917</f>
        <v>Programmable Thermostat</v>
      </c>
      <c r="W917" s="3665"/>
      <c r="X917" s="3665"/>
      <c r="Y917" s="3665"/>
      <c r="Z917" s="3665"/>
      <c r="AA917" s="3665"/>
      <c r="AB917" s="3665"/>
      <c r="AC917" s="3680"/>
      <c r="AD917" s="3680"/>
      <c r="AE917" s="3680"/>
      <c r="AF917" s="3680"/>
      <c r="AG917" s="3680"/>
      <c r="AH917" s="3680"/>
      <c r="AI917" s="3681"/>
      <c r="AK917" s="732"/>
    </row>
    <row r="918" spans="1:57" x14ac:dyDescent="0.35">
      <c r="B918" s="1040"/>
      <c r="D918" s="292" t="s">
        <v>1891</v>
      </c>
      <c r="E918" s="367"/>
      <c r="F918" s="198"/>
      <c r="G918" s="198"/>
      <c r="H918" s="198"/>
      <c r="I918" s="198"/>
      <c r="J918" s="198"/>
      <c r="K918" s="198"/>
      <c r="L918" s="1219"/>
      <c r="AK918" s="732"/>
    </row>
    <row r="919" spans="1:57" ht="29" x14ac:dyDescent="0.35">
      <c r="B919" s="1040"/>
      <c r="C919" s="2331" t="s">
        <v>27</v>
      </c>
      <c r="D919" s="2331" t="s">
        <v>174</v>
      </c>
      <c r="E919" s="2331" t="s">
        <v>29</v>
      </c>
      <c r="F919" s="2331" t="s">
        <v>30</v>
      </c>
      <c r="G919" s="2331" t="s">
        <v>175</v>
      </c>
      <c r="H919" s="2331" t="s">
        <v>176</v>
      </c>
      <c r="I919" s="2331" t="s">
        <v>31</v>
      </c>
      <c r="J919" s="2363" t="s">
        <v>180</v>
      </c>
      <c r="K919" s="2331" t="s">
        <v>169</v>
      </c>
      <c r="L919" s="2331" t="s">
        <v>43</v>
      </c>
      <c r="V919" s="1572" t="s">
        <v>44</v>
      </c>
      <c r="W919" s="1573">
        <f>W$6</f>
        <v>43252</v>
      </c>
      <c r="X919" s="1573">
        <f t="shared" ref="X919:AG919" si="129">X$6</f>
        <v>43465</v>
      </c>
      <c r="Y919" s="316">
        <f t="shared" si="129"/>
        <v>43800</v>
      </c>
      <c r="Z919" s="1573">
        <f t="shared" si="129"/>
        <v>43862</v>
      </c>
      <c r="AA919" s="1573">
        <f t="shared" si="129"/>
        <v>44013</v>
      </c>
      <c r="AB919" s="1573">
        <f t="shared" si="129"/>
        <v>44166</v>
      </c>
      <c r="AC919" s="1573">
        <f t="shared" si="129"/>
        <v>44531</v>
      </c>
      <c r="AD919" s="1573">
        <f t="shared" si="129"/>
        <v>44774</v>
      </c>
      <c r="AE919" s="1573" t="str">
        <f t="shared" si="129"/>
        <v>-</v>
      </c>
      <c r="AF919" s="1573" t="str">
        <f t="shared" si="129"/>
        <v>-</v>
      </c>
      <c r="AG919" s="1573" t="str">
        <f t="shared" si="129"/>
        <v>-</v>
      </c>
      <c r="AK919" s="732"/>
      <c r="BB919" s="1574" t="str">
        <f>$BB$6</f>
        <v>TRC (2022)</v>
      </c>
      <c r="BC919" s="1584" t="str">
        <f>$BC$6</f>
        <v>Benefit Lookup</v>
      </c>
      <c r="BD919" s="556" t="str">
        <f>$BD$6</f>
        <v>Benefits (2019 $)</v>
      </c>
      <c r="BE919" s="200" t="str">
        <f>$BE$6</f>
        <v>Incremental Cost (2019 $)</v>
      </c>
    </row>
    <row r="920" spans="1:57" x14ac:dyDescent="0.35">
      <c r="B920" s="1040"/>
      <c r="C920" s="3259" t="s">
        <v>1892</v>
      </c>
      <c r="D920" s="1311" t="s">
        <v>1518</v>
      </c>
      <c r="E920" s="3279" t="s">
        <v>1893</v>
      </c>
      <c r="F920" s="796">
        <f>ROUND($F$954*$F$956*1/$F$964*$F$965*$F$966*$F$967/1000,2)</f>
        <v>201.39</v>
      </c>
      <c r="G920" s="3259" t="s">
        <v>257</v>
      </c>
      <c r="H920" s="136">
        <f>VLOOKUP(G920,'CP FACTORS'!$A$3:$B$38, 2, FALSE)</f>
        <v>9.4741810000000004E-4</v>
      </c>
      <c r="I920" s="3101">
        <f>ROUND(F920*H920,6)</f>
        <v>0.190801</v>
      </c>
      <c r="J920" s="386">
        <f t="shared" ref="J920:J943" si="130">$F$997</f>
        <v>10</v>
      </c>
      <c r="K920" s="387">
        <f>$F$998</f>
        <v>70</v>
      </c>
      <c r="L920" s="3259" t="s">
        <v>184</v>
      </c>
      <c r="R920" s="1214"/>
      <c r="V920" s="141" t="str">
        <f>F919</f>
        <v>kWh Annual Savings</v>
      </c>
      <c r="W920" s="371">
        <v>102.44464690909089</v>
      </c>
      <c r="X920" s="372">
        <v>439.92233999999996</v>
      </c>
      <c r="Y920" s="563">
        <v>201.39</v>
      </c>
      <c r="Z920" s="501">
        <v>201.39</v>
      </c>
      <c r="AA920" s="501">
        <v>201.39</v>
      </c>
      <c r="AB920" s="501">
        <v>201.39</v>
      </c>
      <c r="AC920" s="501">
        <v>201.39</v>
      </c>
      <c r="AD920" s="501">
        <v>201.39</v>
      </c>
      <c r="AE920" s="141"/>
      <c r="AF920" s="141"/>
      <c r="AG920" s="141"/>
      <c r="AH920" s="144"/>
      <c r="AK920" s="732"/>
      <c r="BB920" s="1578">
        <f>(BD920+BD921)/(BE920+BE921)</f>
        <v>3.3642215802874156</v>
      </c>
      <c r="BC920" s="755" t="str">
        <f>CONCATENATE(G920," ",J920," Year EUL")</f>
        <v>Cooling RES 10 Year EUL</v>
      </c>
      <c r="BD920" s="95">
        <f>(INDEX('Avoided Cost Benefits'!$E$4:$E$859,MATCH(BC920,'Avoided Cost Benefits'!$A$4:$A$859,0)))*F920</f>
        <v>214.15916447690813</v>
      </c>
      <c r="BE920" s="1579">
        <f>K920/(1.0595^(2020-2019))</f>
        <v>66.068900424728639</v>
      </c>
    </row>
    <row r="921" spans="1:57" x14ac:dyDescent="0.35">
      <c r="B921" s="1040"/>
      <c r="C921" s="3259" t="s">
        <v>1892</v>
      </c>
      <c r="D921" s="1311" t="s">
        <v>1518</v>
      </c>
      <c r="E921" s="3280" t="s">
        <v>1893</v>
      </c>
      <c r="F921" s="796">
        <f>ROUND($F$968*$F$976*$F$978*(1/$F$986)*$F$994*$F$995*$F$996/1000,2)</f>
        <v>30.37</v>
      </c>
      <c r="G921" s="3259" t="s">
        <v>258</v>
      </c>
      <c r="H921" s="136">
        <f>VLOOKUP(G921,'CP FACTORS'!$A$3:$B$38, 2, FALSE)</f>
        <v>0</v>
      </c>
      <c r="I921" s="3101">
        <f t="shared" ref="I921:I943" si="131">ROUND(F921*H921,6)</f>
        <v>0</v>
      </c>
      <c r="J921" s="386">
        <f t="shared" si="130"/>
        <v>10</v>
      </c>
      <c r="K921" s="387">
        <v>0</v>
      </c>
      <c r="L921" s="3259" t="s">
        <v>184</v>
      </c>
      <c r="R921" s="1214"/>
      <c r="V921" s="141" t="str">
        <f>V920</f>
        <v>kWh Annual Savings</v>
      </c>
      <c r="W921" s="371">
        <v>338.97776639999995</v>
      </c>
      <c r="X921" s="372">
        <v>48.891023999999994</v>
      </c>
      <c r="Y921" s="563">
        <v>30.37</v>
      </c>
      <c r="Z921" s="501">
        <v>30.37</v>
      </c>
      <c r="AA921" s="501">
        <v>30.37</v>
      </c>
      <c r="AB921" s="501">
        <v>30.37</v>
      </c>
      <c r="AC921" s="501">
        <v>30.37</v>
      </c>
      <c r="AD921" s="501">
        <v>30.37</v>
      </c>
      <c r="AE921" s="141"/>
      <c r="AF921" s="141"/>
      <c r="AG921" s="141"/>
      <c r="AH921" s="144"/>
      <c r="AK921" s="732"/>
      <c r="BB921" s="819"/>
      <c r="BC921" s="833" t="str">
        <f t="shared" ref="BC921:BC943" si="132">CONCATENATE(G921," ",J921," Year EUL")</f>
        <v>Heating RES 10 Year EUL</v>
      </c>
      <c r="BD921" s="98">
        <f>(INDEX('Avoided Cost Benefits'!$E$4:$E$859,MATCH(BC921,'Avoided Cost Benefits'!$A$4:$A$859,0)))*F921</f>
        <v>8.1112561178243485</v>
      </c>
      <c r="BE921" s="1581">
        <f t="shared" ref="BE921:BE943" si="133">K921/(1.0595^(2020-2019))</f>
        <v>0</v>
      </c>
    </row>
    <row r="922" spans="1:57" x14ac:dyDescent="0.35">
      <c r="B922" s="1040"/>
      <c r="C922" s="3259" t="s">
        <v>1894</v>
      </c>
      <c r="D922" s="3259" t="s">
        <v>1519</v>
      </c>
      <c r="E922" s="3255" t="str">
        <f>CONCATENATE(E920,"_CompE")</f>
        <v>Setback thermostat - full setback - ASHP heating/cooling MF_CompE</v>
      </c>
      <c r="F922" s="796">
        <f>ROUND($F$955*$F$956*1/$F$964*$F$965*$F$966*$F$967/1000,2)</f>
        <v>146.46</v>
      </c>
      <c r="G922" s="3259" t="s">
        <v>257</v>
      </c>
      <c r="H922" s="136">
        <f>VLOOKUP(G922,'CP FACTORS'!$A$3:$B$38, 2, FALSE)</f>
        <v>9.4741810000000004E-4</v>
      </c>
      <c r="I922" s="3101">
        <f>ROUND(F922*H922,6)</f>
        <v>0.13875899999999999</v>
      </c>
      <c r="J922" s="386">
        <f t="shared" si="130"/>
        <v>10</v>
      </c>
      <c r="K922" s="387">
        <f>$F$998</f>
        <v>70</v>
      </c>
      <c r="L922" s="3259" t="s">
        <v>184</v>
      </c>
      <c r="R922" s="1214"/>
      <c r="V922" s="141" t="str">
        <f t="shared" ref="V922:V943" si="134">V921</f>
        <v>kWh Annual Savings</v>
      </c>
      <c r="W922" s="371"/>
      <c r="X922" s="372"/>
      <c r="Y922" s="563">
        <v>146.46</v>
      </c>
      <c r="Z922" s="501">
        <v>146.46</v>
      </c>
      <c r="AA922" s="501">
        <v>146.46</v>
      </c>
      <c r="AB922" s="501">
        <v>146.46</v>
      </c>
      <c r="AC922" s="501">
        <v>146.46</v>
      </c>
      <c r="AD922" s="501">
        <v>146.46</v>
      </c>
      <c r="AE922" s="141"/>
      <c r="AF922" s="141"/>
      <c r="AG922" s="141"/>
      <c r="AH922" s="144"/>
      <c r="AK922" s="732"/>
      <c r="BB922" s="40">
        <f>(BD922+BD923)/(BE922+BE923)</f>
        <v>2.3991712992643883</v>
      </c>
      <c r="BC922" s="755" t="str">
        <f>CONCATENATE(G922," ",J922," Year EUL")</f>
        <v>Cooling RES 10 Year EUL</v>
      </c>
      <c r="BD922" s="98">
        <f>(INDEX('Avoided Cost Benefits'!$E$4:$E$859,MATCH(BC922,'Avoided Cost Benefits'!$A$4:$A$859,0)))*F922</f>
        <v>155.74631922780659</v>
      </c>
      <c r="BE922" s="1581">
        <f>K922/(1.0595^(2020-2019))</f>
        <v>66.068900424728639</v>
      </c>
    </row>
    <row r="923" spans="1:57" x14ac:dyDescent="0.35">
      <c r="B923" s="1040"/>
      <c r="C923" s="3259" t="s">
        <v>1894</v>
      </c>
      <c r="D923" s="3259" t="s">
        <v>1519</v>
      </c>
      <c r="E923" s="3256" t="str">
        <f>CONCATENATE(E921,"_CompE")</f>
        <v>Setback thermostat - full setback - ASHP heating/cooling MF_CompE</v>
      </c>
      <c r="F923" s="796">
        <f>ROUND($F$968*$F$977*$F$978*(1/$F$986)*$F$994*$F$995*$F$996/1000,2)</f>
        <v>10.35</v>
      </c>
      <c r="G923" s="3259" t="s">
        <v>258</v>
      </c>
      <c r="H923" s="136">
        <f>VLOOKUP(G923,'CP FACTORS'!$A$3:$B$38, 2, FALSE)</f>
        <v>0</v>
      </c>
      <c r="I923" s="3101">
        <f>ROUND(F923*H923,6)</f>
        <v>0</v>
      </c>
      <c r="J923" s="386">
        <f t="shared" si="130"/>
        <v>10</v>
      </c>
      <c r="K923" s="387">
        <v>0</v>
      </c>
      <c r="L923" s="3259" t="s">
        <v>184</v>
      </c>
      <c r="R923" s="1214"/>
      <c r="V923" s="141" t="str">
        <f t="shared" si="134"/>
        <v>kWh Annual Savings</v>
      </c>
      <c r="W923" s="371"/>
      <c r="X923" s="372"/>
      <c r="Y923" s="563">
        <v>10.35</v>
      </c>
      <c r="Z923" s="501">
        <v>10.35</v>
      </c>
      <c r="AA923" s="501">
        <v>10.35</v>
      </c>
      <c r="AB923" s="501">
        <v>10.35</v>
      </c>
      <c r="AC923" s="501">
        <v>10.35</v>
      </c>
      <c r="AD923" s="501">
        <v>10.35</v>
      </c>
      <c r="AE923" s="141"/>
      <c r="AF923" s="141"/>
      <c r="AG923" s="141"/>
      <c r="AH923" s="144"/>
      <c r="AK923" s="732"/>
      <c r="BB923" s="819"/>
      <c r="BC923" s="833" t="str">
        <f>CONCATENATE(G923," ",J923," Year EUL")</f>
        <v>Heating RES 10 Year EUL</v>
      </c>
      <c r="BD923" s="98">
        <f>(INDEX('Avoided Cost Benefits'!$E$4:$E$859,MATCH(BC923,'Avoided Cost Benefits'!$A$4:$A$859,0)))*F923</f>
        <v>2.7642904451591042</v>
      </c>
      <c r="BE923" s="1581">
        <f>K923/(1.0595^(2020-2019))</f>
        <v>0</v>
      </c>
    </row>
    <row r="924" spans="1:57" x14ac:dyDescent="0.35">
      <c r="B924" s="1040"/>
      <c r="C924" s="3259" t="s">
        <v>1895</v>
      </c>
      <c r="D924" s="1311" t="s">
        <v>1517</v>
      </c>
      <c r="E924" s="3279" t="s">
        <v>1896</v>
      </c>
      <c r="F924" s="796">
        <f>ROUND(F954*F957*1/F$964*F$965*F$966*F$967/1000,2)</f>
        <v>358.2</v>
      </c>
      <c r="G924" s="3259" t="s">
        <v>257</v>
      </c>
      <c r="H924" s="136">
        <f>VLOOKUP(G924,'CP FACTORS'!$A$3:$B$38, 2, FALSE)</f>
        <v>9.4741810000000004E-4</v>
      </c>
      <c r="I924" s="3101">
        <f t="shared" si="131"/>
        <v>0.33936500000000003</v>
      </c>
      <c r="J924" s="386">
        <f t="shared" si="130"/>
        <v>10</v>
      </c>
      <c r="K924" s="387">
        <f>$F$998</f>
        <v>70</v>
      </c>
      <c r="L924" s="3259" t="s">
        <v>184</v>
      </c>
      <c r="R924" s="1214"/>
      <c r="V924" s="141" t="str">
        <f t="shared" si="134"/>
        <v>kWh Annual Savings</v>
      </c>
      <c r="W924" s="371">
        <v>157.60714909090908</v>
      </c>
      <c r="X924" s="372">
        <v>750.57839999999999</v>
      </c>
      <c r="Y924" s="563">
        <v>358.2</v>
      </c>
      <c r="Z924" s="501">
        <v>358.2</v>
      </c>
      <c r="AA924" s="501">
        <v>358.2</v>
      </c>
      <c r="AB924" s="501">
        <v>358.2</v>
      </c>
      <c r="AC924" s="501">
        <v>358.2</v>
      </c>
      <c r="AD924" s="501">
        <v>358.2</v>
      </c>
      <c r="AE924" s="141"/>
      <c r="AF924" s="141"/>
      <c r="AG924" s="141"/>
      <c r="AH924" s="144"/>
      <c r="AK924" s="732"/>
      <c r="BB924" s="40">
        <f>(BD924+BD925)/(BE924+BE925)</f>
        <v>6.1186016407815496</v>
      </c>
      <c r="BC924" s="755" t="str">
        <f t="shared" si="132"/>
        <v>Cooling RES 10 Year EUL</v>
      </c>
      <c r="BD924" s="98">
        <f>(INDEX('Avoided Cost Benefits'!$E$4:$E$859,MATCH(BC924,'Avoided Cost Benefits'!$A$4:$A$859,0)))*F924</f>
        <v>380.91172707497145</v>
      </c>
      <c r="BE924" s="1581">
        <f t="shared" si="133"/>
        <v>66.068900424728639</v>
      </c>
    </row>
    <row r="925" spans="1:57" x14ac:dyDescent="0.35">
      <c r="B925" s="1040"/>
      <c r="C925" s="3259" t="s">
        <v>1895</v>
      </c>
      <c r="D925" s="1311" t="s">
        <v>1517</v>
      </c>
      <c r="E925" s="3280" t="s">
        <v>1896</v>
      </c>
      <c r="F925" s="796">
        <f>ROUND(F969*F976*F979*(1/F987)*F$994*F$995*F$996/1000,2)</f>
        <v>87.38</v>
      </c>
      <c r="G925" s="3259" t="s">
        <v>258</v>
      </c>
      <c r="H925" s="136">
        <f>VLOOKUP(G925,'CP FACTORS'!$A$3:$B$38, 2, FALSE)</f>
        <v>0</v>
      </c>
      <c r="I925" s="3101">
        <f t="shared" si="131"/>
        <v>0</v>
      </c>
      <c r="J925" s="386">
        <f t="shared" si="130"/>
        <v>10</v>
      </c>
      <c r="K925" s="387">
        <v>0</v>
      </c>
      <c r="L925" s="3259" t="s">
        <v>184</v>
      </c>
      <c r="R925" s="1214"/>
      <c r="V925" s="141" t="str">
        <f t="shared" si="134"/>
        <v>kWh Annual Savings</v>
      </c>
      <c r="W925" s="371">
        <v>521.50425599999994</v>
      </c>
      <c r="X925" s="372">
        <v>135.59110655999999</v>
      </c>
      <c r="Y925" s="563">
        <v>87.38</v>
      </c>
      <c r="Z925" s="501">
        <v>87.38</v>
      </c>
      <c r="AA925" s="501">
        <v>87.38</v>
      </c>
      <c r="AB925" s="501">
        <v>87.38</v>
      </c>
      <c r="AC925" s="501">
        <v>87.38</v>
      </c>
      <c r="AD925" s="501">
        <v>87.38</v>
      </c>
      <c r="AE925" s="141"/>
      <c r="AF925" s="141"/>
      <c r="AG925" s="141"/>
      <c r="AH925" s="144"/>
      <c r="AK925" s="732"/>
      <c r="BB925" s="819"/>
      <c r="BC925" s="833" t="str">
        <f t="shared" si="132"/>
        <v>Heating RES 10 Year EUL</v>
      </c>
      <c r="BD925" s="98">
        <f>(INDEX('Avoided Cost Benefits'!$E$4:$E$859,MATCH(BC925,'Avoided Cost Benefits'!$A$4:$A$859,0)))*F925</f>
        <v>23.337555468406041</v>
      </c>
      <c r="BE925" s="1581">
        <f t="shared" si="133"/>
        <v>0</v>
      </c>
    </row>
    <row r="926" spans="1:57" x14ac:dyDescent="0.35">
      <c r="B926" s="1040"/>
      <c r="C926" s="3259" t="s">
        <v>1897</v>
      </c>
      <c r="D926" s="1311" t="s">
        <v>1518</v>
      </c>
      <c r="E926" s="3279" t="s">
        <v>1898</v>
      </c>
      <c r="F926" s="796">
        <f>ROUND($F$954*$F$958*1/$F$964*$F$965*$F$966*$F$967/1000,2)</f>
        <v>201.39</v>
      </c>
      <c r="G926" s="3259" t="s">
        <v>257</v>
      </c>
      <c r="H926" s="136">
        <f>VLOOKUP(G926,'CP FACTORS'!$A$3:$B$38, 2, FALSE)</f>
        <v>9.4741810000000004E-4</v>
      </c>
      <c r="I926" s="3101">
        <f t="shared" si="131"/>
        <v>0.190801</v>
      </c>
      <c r="J926" s="386">
        <f t="shared" si="130"/>
        <v>10</v>
      </c>
      <c r="K926" s="387">
        <f>$F$998</f>
        <v>70</v>
      </c>
      <c r="L926" s="3259" t="s">
        <v>184</v>
      </c>
      <c r="R926" s="1214"/>
      <c r="V926" s="141" t="str">
        <f t="shared" si="134"/>
        <v>kWh Annual Savings</v>
      </c>
      <c r="W926" s="371">
        <v>102.44464690909089</v>
      </c>
      <c r="X926" s="372">
        <v>439.92233999999996</v>
      </c>
      <c r="Y926" s="563">
        <v>201.39</v>
      </c>
      <c r="Z926" s="501">
        <v>201.39</v>
      </c>
      <c r="AA926" s="501">
        <v>201.39</v>
      </c>
      <c r="AB926" s="501">
        <v>201.39</v>
      </c>
      <c r="AC926" s="501">
        <v>201.39</v>
      </c>
      <c r="AD926" s="501">
        <v>201.39</v>
      </c>
      <c r="AE926" s="141"/>
      <c r="AF926" s="141"/>
      <c r="AG926" s="141"/>
      <c r="AH926" s="144"/>
      <c r="AK926" s="732"/>
      <c r="BB926" s="40">
        <f>(BD926+BD927)/(BE926+BE927)</f>
        <v>3.4934187543710706</v>
      </c>
      <c r="BC926" s="755" t="str">
        <f t="shared" si="132"/>
        <v>Cooling RES 10 Year EUL</v>
      </c>
      <c r="BD926" s="98">
        <f>(INDEX('Avoided Cost Benefits'!$E$4:$E$859,MATCH(BC926,'Avoided Cost Benefits'!$A$4:$A$859,0)))*F926</f>
        <v>214.15916447690813</v>
      </c>
      <c r="BE926" s="1581">
        <f t="shared" si="133"/>
        <v>66.068900424728639</v>
      </c>
    </row>
    <row r="927" spans="1:57" x14ac:dyDescent="0.35">
      <c r="B927" s="1040"/>
      <c r="C927" s="3259" t="s">
        <v>1897</v>
      </c>
      <c r="D927" s="1311" t="s">
        <v>1518</v>
      </c>
      <c r="E927" s="3280" t="s">
        <v>1898</v>
      </c>
      <c r="F927" s="796">
        <f>ROUND($F$970*$F$976*$F$980*(1/$F$988)*$F$994*$F$995*$F$996/1000,2)</f>
        <v>62.33</v>
      </c>
      <c r="G927" s="3259" t="s">
        <v>258</v>
      </c>
      <c r="H927" s="136">
        <f>VLOOKUP(G927,'CP FACTORS'!$A$3:$B$38, 2, FALSE)</f>
        <v>0</v>
      </c>
      <c r="I927" s="3101">
        <f t="shared" si="131"/>
        <v>0</v>
      </c>
      <c r="J927" s="386">
        <f t="shared" si="130"/>
        <v>10</v>
      </c>
      <c r="K927" s="387">
        <v>0</v>
      </c>
      <c r="L927" s="3259" t="s">
        <v>184</v>
      </c>
      <c r="R927" s="1214"/>
      <c r="V927" s="141" t="str">
        <f t="shared" si="134"/>
        <v>kWh Annual Savings</v>
      </c>
      <c r="W927" s="371">
        <v>576.26220288000002</v>
      </c>
      <c r="X927" s="372">
        <v>100.36280586510264</v>
      </c>
      <c r="Y927" s="563">
        <v>62.33</v>
      </c>
      <c r="Z927" s="501">
        <v>62.33</v>
      </c>
      <c r="AA927" s="501">
        <v>62.33</v>
      </c>
      <c r="AB927" s="501">
        <v>62.33</v>
      </c>
      <c r="AC927" s="501">
        <v>62.33</v>
      </c>
      <c r="AD927" s="501">
        <v>62.33</v>
      </c>
      <c r="AE927" s="141"/>
      <c r="AF927" s="141"/>
      <c r="AG927" s="141"/>
      <c r="AH927" s="144"/>
      <c r="AK927" s="732"/>
      <c r="BB927" s="819"/>
      <c r="BC927" s="833" t="str">
        <f t="shared" si="132"/>
        <v>Heating RES 10 Year EUL</v>
      </c>
      <c r="BD927" s="98">
        <f>(INDEX('Avoided Cost Benefits'!$E$4:$E$859,MATCH(BC927,'Avoided Cost Benefits'!$A$4:$A$859,0)))*F927</f>
        <v>16.647171347513716</v>
      </c>
      <c r="BE927" s="1581">
        <f t="shared" si="133"/>
        <v>0</v>
      </c>
    </row>
    <row r="928" spans="1:57" x14ac:dyDescent="0.35">
      <c r="B928" s="1040"/>
      <c r="C928" s="3259" t="s">
        <v>1899</v>
      </c>
      <c r="D928" s="3259" t="s">
        <v>1519</v>
      </c>
      <c r="E928" s="3255" t="str">
        <f>CONCATENATE(E926,"_CompE")</f>
        <v>Setback thermostat - full setback - elec furnace heating / central AC MF_CompE</v>
      </c>
      <c r="F928" s="796">
        <f>ROUND($F$955*$F$958*1/$F$964*$F$965*$F$966*$F$967/1000,2)</f>
        <v>146.46</v>
      </c>
      <c r="G928" s="3259" t="s">
        <v>257</v>
      </c>
      <c r="H928" s="136">
        <f>VLOOKUP(G928,'CP FACTORS'!$A$3:$B$38, 2, FALSE)</f>
        <v>9.4741810000000004E-4</v>
      </c>
      <c r="I928" s="3101">
        <f t="shared" si="131"/>
        <v>0.13875899999999999</v>
      </c>
      <c r="J928" s="386">
        <f t="shared" si="130"/>
        <v>10</v>
      </c>
      <c r="K928" s="387">
        <f>$F$998</f>
        <v>70</v>
      </c>
      <c r="L928" s="3259" t="s">
        <v>184</v>
      </c>
      <c r="R928" s="1214"/>
      <c r="V928" s="141" t="str">
        <f t="shared" si="134"/>
        <v>kWh Annual Savings</v>
      </c>
      <c r="W928" s="371"/>
      <c r="X928" s="372"/>
      <c r="Y928" s="563">
        <v>146.46</v>
      </c>
      <c r="Z928" s="501">
        <v>146.46</v>
      </c>
      <c r="AA928" s="501">
        <v>146.46</v>
      </c>
      <c r="AB928" s="501">
        <v>146.46</v>
      </c>
      <c r="AC928" s="501">
        <v>146.46</v>
      </c>
      <c r="AD928" s="501">
        <v>146.46</v>
      </c>
      <c r="AE928" s="141"/>
      <c r="AF928" s="141"/>
      <c r="AG928" s="141"/>
      <c r="AH928" s="144"/>
      <c r="AK928" s="732"/>
      <c r="BB928" s="40">
        <f>(BD928+BD929)/(BE928+BE929)</f>
        <v>2.4432341652691392</v>
      </c>
      <c r="BC928" s="755" t="str">
        <f>CONCATENATE(G928," ",J928," Year EUL")</f>
        <v>Cooling RES 10 Year EUL</v>
      </c>
      <c r="BD928" s="98">
        <f>(INDEX('Avoided Cost Benefits'!$E$4:$E$859,MATCH(BC928,'Avoided Cost Benefits'!$A$4:$A$859,0)))*F928</f>
        <v>155.74631922780659</v>
      </c>
      <c r="BE928" s="1581">
        <f>K928/(1.0595^(2020-2019))</f>
        <v>66.068900424728639</v>
      </c>
    </row>
    <row r="929" spans="2:57" x14ac:dyDescent="0.35">
      <c r="B929" s="1040"/>
      <c r="C929" s="3259" t="s">
        <v>1899</v>
      </c>
      <c r="D929" s="3259" t="s">
        <v>1519</v>
      </c>
      <c r="E929" s="3256" t="str">
        <f>CONCATENATE(E927,"_CompE")</f>
        <v>Setback thermostat - full setback - elec furnace heating / central AC MF_CompE</v>
      </c>
      <c r="F929" s="796">
        <f>ROUND($F$970*$F$977*$F$980*(1/$F$988)*$F$994*$F$995*$F$996/1000,2)</f>
        <v>21.25</v>
      </c>
      <c r="G929" s="3259" t="s">
        <v>258</v>
      </c>
      <c r="H929" s="136">
        <f>VLOOKUP(G929,'CP FACTORS'!$A$3:$B$38, 2, FALSE)</f>
        <v>0</v>
      </c>
      <c r="I929" s="3101">
        <f t="shared" si="131"/>
        <v>0</v>
      </c>
      <c r="J929" s="386">
        <f t="shared" si="130"/>
        <v>10</v>
      </c>
      <c r="K929" s="387">
        <v>0</v>
      </c>
      <c r="L929" s="3259" t="s">
        <v>184</v>
      </c>
      <c r="R929" s="1214"/>
      <c r="V929" s="141" t="str">
        <f t="shared" si="134"/>
        <v>kWh Annual Savings</v>
      </c>
      <c r="W929" s="371"/>
      <c r="X929" s="372"/>
      <c r="Y929" s="563">
        <v>21.25</v>
      </c>
      <c r="Z929" s="501">
        <v>21.25</v>
      </c>
      <c r="AA929" s="501">
        <v>21.25</v>
      </c>
      <c r="AB929" s="501">
        <v>21.25</v>
      </c>
      <c r="AC929" s="501">
        <v>21.25</v>
      </c>
      <c r="AD929" s="501">
        <v>21.25</v>
      </c>
      <c r="AE929" s="141"/>
      <c r="AF929" s="141"/>
      <c r="AG929" s="141"/>
      <c r="AH929" s="144"/>
      <c r="AK929" s="732"/>
      <c r="BB929" s="819"/>
      <c r="BC929" s="833" t="str">
        <f>CONCATENATE(G929," ",J929," Year EUL")</f>
        <v>Heating RES 10 Year EUL</v>
      </c>
      <c r="BD929" s="98">
        <f>(INDEX('Avoided Cost Benefits'!$E$4:$E$859,MATCH(BC929,'Avoided Cost Benefits'!$A$4:$A$859,0)))*F929</f>
        <v>5.6754755516551656</v>
      </c>
      <c r="BE929" s="1581">
        <f>K929/(1.0595^(2020-2019))</f>
        <v>0</v>
      </c>
    </row>
    <row r="930" spans="2:57" x14ac:dyDescent="0.35">
      <c r="B930" s="1040"/>
      <c r="C930" s="3259" t="s">
        <v>1900</v>
      </c>
      <c r="D930" s="1311" t="s">
        <v>1517</v>
      </c>
      <c r="E930" s="3279" t="s">
        <v>1901</v>
      </c>
      <c r="F930" s="796">
        <f>ROUND(F954*F959*1/F$964*F$965*F$966*F$967/1000,2)</f>
        <v>358.2</v>
      </c>
      <c r="G930" s="3259" t="s">
        <v>257</v>
      </c>
      <c r="H930" s="136">
        <f>VLOOKUP(G930,'CP FACTORS'!$A$3:$B$38, 2, FALSE)</f>
        <v>9.4741810000000004E-4</v>
      </c>
      <c r="I930" s="3101">
        <f t="shared" si="131"/>
        <v>0.33936500000000003</v>
      </c>
      <c r="J930" s="386">
        <f t="shared" si="130"/>
        <v>10</v>
      </c>
      <c r="K930" s="387">
        <f>$F$998</f>
        <v>70</v>
      </c>
      <c r="L930" s="3259" t="s">
        <v>184</v>
      </c>
      <c r="R930" s="1214"/>
      <c r="V930" s="141" t="str">
        <f t="shared" si="134"/>
        <v>kWh Annual Savings</v>
      </c>
      <c r="W930" s="371">
        <v>157.60714909090908</v>
      </c>
      <c r="X930" s="372">
        <v>750.57839999999999</v>
      </c>
      <c r="Y930" s="563">
        <v>358.2</v>
      </c>
      <c r="Z930" s="501">
        <v>358.2</v>
      </c>
      <c r="AA930" s="501">
        <v>358.2</v>
      </c>
      <c r="AB930" s="501">
        <v>358.2</v>
      </c>
      <c r="AC930" s="501">
        <v>358.2</v>
      </c>
      <c r="AD930" s="501">
        <v>358.2</v>
      </c>
      <c r="AE930" s="141"/>
      <c r="AF930" s="141"/>
      <c r="AG930" s="141"/>
      <c r="AH930" s="144"/>
      <c r="AK930" s="732"/>
      <c r="BB930" s="40">
        <f>(BD930+BD931)/(BE930+BE931)</f>
        <v>6.3662026080100826</v>
      </c>
      <c r="BC930" s="755" t="str">
        <f t="shared" si="132"/>
        <v>Cooling RES 10 Year EUL</v>
      </c>
      <c r="BD930" s="98">
        <f>(INDEX('Avoided Cost Benefits'!$E$4:$E$859,MATCH(BC930,'Avoided Cost Benefits'!$A$4:$A$859,0)))*F930</f>
        <v>380.91172707497145</v>
      </c>
      <c r="BE930" s="1581">
        <f t="shared" si="133"/>
        <v>66.068900424728639</v>
      </c>
    </row>
    <row r="931" spans="2:57" x14ac:dyDescent="0.35">
      <c r="B931" s="1040"/>
      <c r="C931" s="3259" t="s">
        <v>1900</v>
      </c>
      <c r="D931" s="1311" t="s">
        <v>1517</v>
      </c>
      <c r="E931" s="3280" t="s">
        <v>1901</v>
      </c>
      <c r="F931" s="796">
        <f>ROUND(F971*F976*F981*(1/F989)*F$994*F$995*F$996/1000,2)</f>
        <v>148.63</v>
      </c>
      <c r="G931" s="3259" t="s">
        <v>258</v>
      </c>
      <c r="H931" s="136">
        <f>VLOOKUP(G931,'CP FACTORS'!$A$3:$B$38, 2, FALSE)</f>
        <v>0</v>
      </c>
      <c r="I931" s="3101">
        <f t="shared" si="131"/>
        <v>0</v>
      </c>
      <c r="J931" s="386">
        <f t="shared" si="130"/>
        <v>10</v>
      </c>
      <c r="K931" s="387">
        <v>0</v>
      </c>
      <c r="L931" s="3259" t="s">
        <v>184</v>
      </c>
      <c r="R931" s="1214"/>
      <c r="V931" s="141" t="str">
        <f t="shared" si="134"/>
        <v>kWh Annual Savings</v>
      </c>
      <c r="W931" s="371">
        <v>886.55723520000015</v>
      </c>
      <c r="X931" s="372">
        <v>230.64007463068151</v>
      </c>
      <c r="Y931" s="563">
        <v>148.63</v>
      </c>
      <c r="Z931" s="501">
        <v>148.63</v>
      </c>
      <c r="AA931" s="501">
        <v>148.63</v>
      </c>
      <c r="AB931" s="501">
        <v>148.63</v>
      </c>
      <c r="AC931" s="501">
        <v>148.63</v>
      </c>
      <c r="AD931" s="501">
        <v>148.63</v>
      </c>
      <c r="AE931" s="141"/>
      <c r="AF931" s="141"/>
      <c r="AG931" s="141"/>
      <c r="AH931" s="144"/>
      <c r="AK931" s="732"/>
      <c r="BB931" s="819"/>
      <c r="BC931" s="833" t="str">
        <f t="shared" si="132"/>
        <v>Heating RES 10 Year EUL</v>
      </c>
      <c r="BD931" s="98">
        <f>(INDEX('Avoided Cost Benefits'!$E$4:$E$859,MATCH(BC931,'Avoided Cost Benefits'!$A$4:$A$859,0)))*F931</f>
        <v>39.696279117294459</v>
      </c>
      <c r="BE931" s="1581">
        <f t="shared" si="133"/>
        <v>0</v>
      </c>
    </row>
    <row r="932" spans="2:57" x14ac:dyDescent="0.35">
      <c r="B932" s="1040"/>
      <c r="C932" s="3259" t="s">
        <v>1902</v>
      </c>
      <c r="D932" s="1311" t="s">
        <v>1518</v>
      </c>
      <c r="E932" s="3279" t="s">
        <v>1903</v>
      </c>
      <c r="F932" s="796">
        <f>$F$954*$F$960*1/$F$964*$F$965*$F$966*$F$967/1000</f>
        <v>201.38901200000001</v>
      </c>
      <c r="G932" s="3259" t="s">
        <v>257</v>
      </c>
      <c r="H932" s="136">
        <f>VLOOKUP(G932,'CP FACTORS'!$A$3:$B$38, 2, FALSE)</f>
        <v>9.4741810000000004E-4</v>
      </c>
      <c r="I932" s="3101">
        <f t="shared" si="131"/>
        <v>0.1908</v>
      </c>
      <c r="J932" s="386">
        <f t="shared" si="130"/>
        <v>10</v>
      </c>
      <c r="K932" s="387">
        <f>$F$998</f>
        <v>70</v>
      </c>
      <c r="L932" s="3259" t="s">
        <v>184</v>
      </c>
      <c r="R932" s="1214"/>
      <c r="V932" s="141" t="str">
        <f t="shared" si="134"/>
        <v>kWh Annual Savings</v>
      </c>
      <c r="W932" s="371">
        <v>102.44464690909089</v>
      </c>
      <c r="X932" s="372">
        <v>439.92233999999996</v>
      </c>
      <c r="Y932" s="563">
        <v>201.38901200000001</v>
      </c>
      <c r="Z932" s="501">
        <v>201.38901200000001</v>
      </c>
      <c r="AA932" s="501">
        <v>201.38901200000001</v>
      </c>
      <c r="AB932" s="501">
        <v>201.38901200000001</v>
      </c>
      <c r="AC932" s="501">
        <v>201.38901200000001</v>
      </c>
      <c r="AD932" s="501">
        <v>201.38901200000001</v>
      </c>
      <c r="AE932" s="141"/>
      <c r="AF932" s="141"/>
      <c r="AG932" s="141"/>
      <c r="AH932" s="144"/>
      <c r="AK932" s="732"/>
      <c r="BB932" s="40">
        <f>(BD932+BD933)/(BE932+BE933)</f>
        <v>3.2414360229379149</v>
      </c>
      <c r="BC932" s="755" t="str">
        <f t="shared" si="132"/>
        <v>Cooling RES 10 Year EUL</v>
      </c>
      <c r="BD932" s="98">
        <f>(INDEX('Avoided Cost Benefits'!$E$4:$E$859,MATCH(BC932,'Avoided Cost Benefits'!$A$4:$A$859,0)))*F932</f>
        <v>214.15811383261351</v>
      </c>
      <c r="BE932" s="1581">
        <f t="shared" si="133"/>
        <v>66.068900424728639</v>
      </c>
    </row>
    <row r="933" spans="2:57" x14ac:dyDescent="0.35">
      <c r="B933" s="1040"/>
      <c r="C933" s="3259" t="s">
        <v>1902</v>
      </c>
      <c r="D933" s="1311" t="s">
        <v>1518</v>
      </c>
      <c r="E933" s="3280" t="s">
        <v>1903</v>
      </c>
      <c r="F933" s="796">
        <v>0</v>
      </c>
      <c r="G933" s="3259" t="s">
        <v>258</v>
      </c>
      <c r="H933" s="136">
        <f>VLOOKUP(G933,'CP FACTORS'!$A$3:$B$38, 2, FALSE)</f>
        <v>0</v>
      </c>
      <c r="I933" s="3101">
        <f t="shared" si="131"/>
        <v>0</v>
      </c>
      <c r="J933" s="386">
        <f t="shared" si="130"/>
        <v>10</v>
      </c>
      <c r="K933" s="387">
        <v>0</v>
      </c>
      <c r="L933" s="3259" t="s">
        <v>184</v>
      </c>
      <c r="R933" s="1214"/>
      <c r="V933" s="141" t="str">
        <f t="shared" si="134"/>
        <v>kWh Annual Savings</v>
      </c>
      <c r="W933" s="371">
        <v>0</v>
      </c>
      <c r="X933" s="372">
        <v>0</v>
      </c>
      <c r="Y933" s="563">
        <v>0</v>
      </c>
      <c r="Z933" s="501">
        <v>0</v>
      </c>
      <c r="AA933" s="501">
        <v>0</v>
      </c>
      <c r="AB933" s="501">
        <v>0</v>
      </c>
      <c r="AC933" s="501">
        <v>0</v>
      </c>
      <c r="AD933" s="501">
        <v>0</v>
      </c>
      <c r="AE933" s="141"/>
      <c r="AF933" s="141"/>
      <c r="AG933" s="141"/>
      <c r="AH933" s="144"/>
      <c r="AK933" s="732"/>
      <c r="BB933" s="819"/>
      <c r="BC933" s="833" t="str">
        <f t="shared" si="132"/>
        <v>Heating RES 10 Year EUL</v>
      </c>
      <c r="BD933" s="98">
        <f>(INDEX('Avoided Cost Benefits'!$E$4:$E$859,MATCH(BC933,'Avoided Cost Benefits'!$A$4:$A$859,0)))*F933</f>
        <v>0</v>
      </c>
      <c r="BE933" s="1581">
        <f t="shared" si="133"/>
        <v>0</v>
      </c>
    </row>
    <row r="934" spans="2:57" x14ac:dyDescent="0.35">
      <c r="B934" s="1040"/>
      <c r="C934" s="3259" t="s">
        <v>1904</v>
      </c>
      <c r="D934" s="3259" t="s">
        <v>1519</v>
      </c>
      <c r="E934" s="3255" t="str">
        <f>CONCATENATE(E932,"_CompE")</f>
        <v>Setback thermostat - full setback - gas heating / central AC MF_CompE</v>
      </c>
      <c r="F934" s="796">
        <f>$F$955*$F$960*1/$F$964*$F$965*$F$966*$F$967/1000</f>
        <v>146.46473600000002</v>
      </c>
      <c r="G934" s="3259" t="s">
        <v>257</v>
      </c>
      <c r="H934" s="136">
        <f>VLOOKUP(G934,'CP FACTORS'!$A$3:$B$38, 2, FALSE)</f>
        <v>9.4741810000000004E-4</v>
      </c>
      <c r="I934" s="3101">
        <f t="shared" si="131"/>
        <v>0.138763</v>
      </c>
      <c r="J934" s="386">
        <f t="shared" si="130"/>
        <v>10</v>
      </c>
      <c r="K934" s="387">
        <f>$F$998</f>
        <v>70</v>
      </c>
      <c r="L934" s="3259" t="s">
        <v>184</v>
      </c>
      <c r="R934" s="1214"/>
      <c r="V934" s="141" t="str">
        <f t="shared" si="134"/>
        <v>kWh Annual Savings</v>
      </c>
      <c r="W934" s="371"/>
      <c r="X934" s="372"/>
      <c r="Y934" s="563">
        <v>146.46473600000002</v>
      </c>
      <c r="Z934" s="501">
        <v>146.46473600000002</v>
      </c>
      <c r="AA934" s="501">
        <v>146.46473600000002</v>
      </c>
      <c r="AB934" s="501">
        <v>146.46473600000002</v>
      </c>
      <c r="AC934" s="501">
        <v>146.46473600000002</v>
      </c>
      <c r="AD934" s="501">
        <v>146.46473600000002</v>
      </c>
      <c r="AE934" s="141"/>
      <c r="AF934" s="141"/>
      <c r="AG934" s="141"/>
      <c r="AH934" s="144"/>
      <c r="AK934" s="732"/>
      <c r="BB934" s="40">
        <f>(BD934+BD935)/(BE934+BE935)</f>
        <v>2.3574080166821201</v>
      </c>
      <c r="BC934" s="755" t="str">
        <f>CONCATENATE(G934," ",J934," Year EUL")</f>
        <v>Cooling RES 10 Year EUL</v>
      </c>
      <c r="BD934" s="98">
        <f>(INDEX('Avoided Cost Benefits'!$E$4:$E$859,MATCH(BC934,'Avoided Cost Benefits'!$A$4:$A$859,0)))*F934</f>
        <v>155.75135551462802</v>
      </c>
      <c r="BE934" s="1581">
        <f>K934/(1.0595^(2020-2019))</f>
        <v>66.068900424728639</v>
      </c>
    </row>
    <row r="935" spans="2:57" x14ac:dyDescent="0.35">
      <c r="B935" s="1040"/>
      <c r="C935" s="3259" t="s">
        <v>1904</v>
      </c>
      <c r="D935" s="3259" t="s">
        <v>1519</v>
      </c>
      <c r="E935" s="3256" t="str">
        <f>CONCATENATE(E933,"_CompE")</f>
        <v>Setback thermostat - full setback - gas heating / central AC MF_CompE</v>
      </c>
      <c r="F935" s="796">
        <v>0</v>
      </c>
      <c r="G935" s="3259" t="s">
        <v>258</v>
      </c>
      <c r="H935" s="136">
        <f>VLOOKUP(G935,'CP FACTORS'!$A$3:$B$38, 2, FALSE)</f>
        <v>0</v>
      </c>
      <c r="I935" s="3101">
        <f t="shared" si="131"/>
        <v>0</v>
      </c>
      <c r="J935" s="386">
        <f t="shared" si="130"/>
        <v>10</v>
      </c>
      <c r="K935" s="387">
        <v>0</v>
      </c>
      <c r="L935" s="3259" t="s">
        <v>184</v>
      </c>
      <c r="R935" s="1214"/>
      <c r="V935" s="141" t="str">
        <f t="shared" si="134"/>
        <v>kWh Annual Savings</v>
      </c>
      <c r="W935" s="371"/>
      <c r="X935" s="372"/>
      <c r="Y935" s="563">
        <v>0</v>
      </c>
      <c r="Z935" s="501">
        <v>0</v>
      </c>
      <c r="AA935" s="501">
        <v>0</v>
      </c>
      <c r="AB935" s="501">
        <v>0</v>
      </c>
      <c r="AC935" s="501">
        <v>0</v>
      </c>
      <c r="AD935" s="501">
        <v>0</v>
      </c>
      <c r="AE935" s="141"/>
      <c r="AF935" s="141"/>
      <c r="AG935" s="141"/>
      <c r="AH935" s="144"/>
      <c r="AK935" s="732"/>
      <c r="BB935" s="819"/>
      <c r="BC935" s="833" t="str">
        <f>CONCATENATE(G935," ",J935," Year EUL")</f>
        <v>Heating RES 10 Year EUL</v>
      </c>
      <c r="BD935" s="98">
        <f>(INDEX('Avoided Cost Benefits'!$E$4:$E$859,MATCH(BC935,'Avoided Cost Benefits'!$A$4:$A$859,0)))*F935</f>
        <v>0</v>
      </c>
      <c r="BE935" s="1581">
        <f>K935/(1.0595^(2020-2019))</f>
        <v>0</v>
      </c>
    </row>
    <row r="936" spans="2:57" x14ac:dyDescent="0.35">
      <c r="B936" s="1040"/>
      <c r="C936" s="3259" t="s">
        <v>1905</v>
      </c>
      <c r="D936" s="1311" t="s">
        <v>1517</v>
      </c>
      <c r="E936" s="3279" t="s">
        <v>1906</v>
      </c>
      <c r="F936" s="796">
        <f>ROUND(F954*F961*1/F$964*F$965*F$966*F$967/1000,2)</f>
        <v>358.2</v>
      </c>
      <c r="G936" s="3259" t="s">
        <v>257</v>
      </c>
      <c r="H936" s="136">
        <f>VLOOKUP(G936,'CP FACTORS'!$A$3:$B$38, 2, FALSE)</f>
        <v>9.4741810000000004E-4</v>
      </c>
      <c r="I936" s="3101">
        <f t="shared" si="131"/>
        <v>0.33936500000000003</v>
      </c>
      <c r="J936" s="386">
        <f t="shared" si="130"/>
        <v>10</v>
      </c>
      <c r="K936" s="387">
        <f>$F$998</f>
        <v>70</v>
      </c>
      <c r="L936" s="3259" t="s">
        <v>184</v>
      </c>
      <c r="R936" s="1214"/>
      <c r="V936" s="141" t="str">
        <f t="shared" si="134"/>
        <v>kWh Annual Savings</v>
      </c>
      <c r="W936" s="371">
        <v>157.60714909090908</v>
      </c>
      <c r="X936" s="372">
        <v>750.57839999999999</v>
      </c>
      <c r="Y936" s="563">
        <v>358.2</v>
      </c>
      <c r="Z936" s="501">
        <v>358.2</v>
      </c>
      <c r="AA936" s="501">
        <v>358.2</v>
      </c>
      <c r="AB936" s="501">
        <v>358.2</v>
      </c>
      <c r="AC936" s="501">
        <v>358.2</v>
      </c>
      <c r="AD936" s="501">
        <v>358.2</v>
      </c>
      <c r="AE936" s="141"/>
      <c r="AF936" s="141"/>
      <c r="AG936" s="141"/>
      <c r="AH936" s="144"/>
      <c r="AK936" s="732"/>
      <c r="BB936" s="40">
        <f>(BD936+BD937)/(BE936+BE937)</f>
        <v>5.7653710690847468</v>
      </c>
      <c r="BC936" s="755" t="str">
        <f t="shared" si="132"/>
        <v>Cooling RES 10 Year EUL</v>
      </c>
      <c r="BD936" s="98">
        <f>(INDEX('Avoided Cost Benefits'!$E$4:$E$859,MATCH(BC936,'Avoided Cost Benefits'!$A$4:$A$859,0)))*F936</f>
        <v>380.91172707497145</v>
      </c>
      <c r="BE936" s="1581">
        <f t="shared" si="133"/>
        <v>66.068900424728639</v>
      </c>
    </row>
    <row r="937" spans="2:57" x14ac:dyDescent="0.35">
      <c r="B937" s="1040"/>
      <c r="C937" s="3259" t="s">
        <v>1905</v>
      </c>
      <c r="D937" s="1311" t="s">
        <v>1517</v>
      </c>
      <c r="E937" s="3280" t="s">
        <v>1906</v>
      </c>
      <c r="F937" s="796">
        <v>0</v>
      </c>
      <c r="G937" s="3259" t="s">
        <v>258</v>
      </c>
      <c r="H937" s="136">
        <f>VLOOKUP(G937,'CP FACTORS'!$A$3:$B$38, 2, FALSE)</f>
        <v>0</v>
      </c>
      <c r="I937" s="3101">
        <f t="shared" si="131"/>
        <v>0</v>
      </c>
      <c r="J937" s="386">
        <f t="shared" si="130"/>
        <v>10</v>
      </c>
      <c r="K937" s="387">
        <v>0</v>
      </c>
      <c r="L937" s="3259" t="s">
        <v>184</v>
      </c>
      <c r="R937" s="1214"/>
      <c r="V937" s="141" t="str">
        <f t="shared" si="134"/>
        <v>kWh Annual Savings</v>
      </c>
      <c r="W937" s="371">
        <v>0</v>
      </c>
      <c r="X937" s="372">
        <v>0</v>
      </c>
      <c r="Y937" s="563">
        <v>0</v>
      </c>
      <c r="Z937" s="501">
        <v>0</v>
      </c>
      <c r="AA937" s="501">
        <v>0</v>
      </c>
      <c r="AB937" s="501">
        <v>0</v>
      </c>
      <c r="AC937" s="501">
        <v>0</v>
      </c>
      <c r="AD937" s="501">
        <v>0</v>
      </c>
      <c r="AE937" s="141"/>
      <c r="AF937" s="141"/>
      <c r="AG937" s="141"/>
      <c r="AH937" s="144"/>
      <c r="AK937" s="732"/>
      <c r="BB937" s="819"/>
      <c r="BC937" s="833" t="str">
        <f t="shared" si="132"/>
        <v>Heating RES 10 Year EUL</v>
      </c>
      <c r="BD937" s="98">
        <f>(INDEX('Avoided Cost Benefits'!$E$4:$E$859,MATCH(BC937,'Avoided Cost Benefits'!$A$4:$A$859,0)))*F937</f>
        <v>0</v>
      </c>
      <c r="BE937" s="1581">
        <f t="shared" si="133"/>
        <v>0</v>
      </c>
    </row>
    <row r="938" spans="2:57" x14ac:dyDescent="0.35">
      <c r="B938" s="1040"/>
      <c r="C938" s="3259" t="s">
        <v>1907</v>
      </c>
      <c r="D938" s="1311" t="s">
        <v>1518</v>
      </c>
      <c r="E938" s="3279" t="s">
        <v>1908</v>
      </c>
      <c r="F938" s="796">
        <f>ROUND($F$954*$F$962*1/$F$964*$F$965*$F$966*$F$967/1000,2)</f>
        <v>201.39</v>
      </c>
      <c r="G938" s="3259" t="s">
        <v>257</v>
      </c>
      <c r="H938" s="136">
        <f>VLOOKUP(G938,'CP FACTORS'!$A$3:$B$38, 2, FALSE)</f>
        <v>9.4741810000000004E-4</v>
      </c>
      <c r="I938" s="3101">
        <f t="shared" si="131"/>
        <v>0.190801</v>
      </c>
      <c r="J938" s="386">
        <f t="shared" si="130"/>
        <v>10</v>
      </c>
      <c r="K938" s="387">
        <f>$F$998</f>
        <v>70</v>
      </c>
      <c r="L938" s="3259" t="s">
        <v>184</v>
      </c>
      <c r="R938" s="1214"/>
      <c r="V938" s="141" t="str">
        <f t="shared" si="134"/>
        <v>kWh Annual Savings</v>
      </c>
      <c r="W938" s="371">
        <v>102.44464690909089</v>
      </c>
      <c r="X938" s="372">
        <v>439.92233999999996</v>
      </c>
      <c r="Y938" s="563">
        <v>201.39</v>
      </c>
      <c r="Z938" s="501">
        <v>201.39</v>
      </c>
      <c r="AA938" s="501">
        <v>201.39</v>
      </c>
      <c r="AB938" s="501">
        <v>201.39</v>
      </c>
      <c r="AC938" s="501">
        <v>201.39</v>
      </c>
      <c r="AD938" s="501">
        <v>201.39</v>
      </c>
      <c r="AE938" s="141"/>
      <c r="AF938" s="141"/>
      <c r="AG938" s="141"/>
      <c r="AH938" s="144"/>
      <c r="AK938" s="732"/>
      <c r="BB938" s="40">
        <f>(BD938+BD939)/(BE938+BE939)</f>
        <v>3.3040697044937732</v>
      </c>
      <c r="BC938" s="755" t="str">
        <f t="shared" si="132"/>
        <v>Cooling RES 10 Year EUL</v>
      </c>
      <c r="BD938" s="98">
        <f>(INDEX('Avoided Cost Benefits'!$E$4:$E$859,MATCH(BC938,'Avoided Cost Benefits'!$A$4:$A$859,0)))*F938</f>
        <v>214.15916447690813</v>
      </c>
      <c r="BE938" s="1581">
        <f t="shared" si="133"/>
        <v>66.068900424728639</v>
      </c>
    </row>
    <row r="939" spans="2:57" x14ac:dyDescent="0.35">
      <c r="B939" s="1040"/>
      <c r="C939" s="3259" t="s">
        <v>1907</v>
      </c>
      <c r="D939" s="1311" t="s">
        <v>1518</v>
      </c>
      <c r="E939" s="3280" t="s">
        <v>1908</v>
      </c>
      <c r="F939" s="796">
        <f>ROUND($F$974*$F$976*$F$984*(1/$F$992)*$F$994*$F$995*$F$996/1000,2)</f>
        <v>15.49</v>
      </c>
      <c r="G939" s="3259" t="s">
        <v>258</v>
      </c>
      <c r="H939" s="136">
        <f>VLOOKUP(G939,'CP FACTORS'!$A$3:$B$38, 2, FALSE)</f>
        <v>0</v>
      </c>
      <c r="I939" s="3101">
        <f t="shared" si="131"/>
        <v>0</v>
      </c>
      <c r="J939" s="386">
        <f t="shared" si="130"/>
        <v>10</v>
      </c>
      <c r="K939" s="387">
        <v>0</v>
      </c>
      <c r="L939" s="3259" t="s">
        <v>184</v>
      </c>
      <c r="R939" s="1214"/>
      <c r="V939" s="141" t="str">
        <f t="shared" si="134"/>
        <v>kWh Annual Savings</v>
      </c>
      <c r="W939" s="371">
        <v>125.36894234037186</v>
      </c>
      <c r="X939" s="372">
        <v>24.940157257477999</v>
      </c>
      <c r="Y939" s="563">
        <v>15.49</v>
      </c>
      <c r="Z939" s="501">
        <v>15.49</v>
      </c>
      <c r="AA939" s="501">
        <v>15.49</v>
      </c>
      <c r="AB939" s="501">
        <v>15.49</v>
      </c>
      <c r="AC939" s="501">
        <v>15.49</v>
      </c>
      <c r="AD939" s="501">
        <v>15.49</v>
      </c>
      <c r="AE939" s="141"/>
      <c r="AF939" s="141"/>
      <c r="AG939" s="141"/>
      <c r="AH939" s="144"/>
      <c r="AK939" s="732"/>
      <c r="BB939" s="819"/>
      <c r="BC939" s="833" t="str">
        <f t="shared" si="132"/>
        <v>Heating RES 10 Year EUL</v>
      </c>
      <c r="BD939" s="98">
        <f>(INDEX('Avoided Cost Benefits'!$E$4:$E$859,MATCH(BC939,'Avoided Cost Benefits'!$A$4:$A$859,0)))*F939</f>
        <v>4.1370878256535777</v>
      </c>
      <c r="BE939" s="1581">
        <f t="shared" si="133"/>
        <v>0</v>
      </c>
    </row>
    <row r="940" spans="2:57" x14ac:dyDescent="0.35">
      <c r="B940" s="1040"/>
      <c r="C940" s="3259" t="s">
        <v>1909</v>
      </c>
      <c r="D940" s="3259" t="s">
        <v>1519</v>
      </c>
      <c r="E940" s="3255" t="str">
        <f>CONCATENATE(E938,"_CompE")</f>
        <v>Setback thermostat - full setback - Unknown MF_CompE</v>
      </c>
      <c r="F940" s="796">
        <f>ROUND($F$955*$F$962*1/$F$964*$F$965*$F$966*$F$967/1000,2)</f>
        <v>146.46</v>
      </c>
      <c r="G940" s="3259" t="s">
        <v>257</v>
      </c>
      <c r="H940" s="136">
        <f>VLOOKUP(G940,'CP FACTORS'!$A$3:$B$38, 2, FALSE)</f>
        <v>9.4741810000000004E-4</v>
      </c>
      <c r="I940" s="3101">
        <f t="shared" si="131"/>
        <v>0.13875899999999999</v>
      </c>
      <c r="J940" s="386">
        <f t="shared" si="130"/>
        <v>10</v>
      </c>
      <c r="K940" s="387">
        <f>$F$998</f>
        <v>70</v>
      </c>
      <c r="L940" s="3259" t="s">
        <v>184</v>
      </c>
      <c r="R940" s="1214"/>
      <c r="V940" s="141" t="str">
        <f t="shared" si="134"/>
        <v>kWh Annual Savings</v>
      </c>
      <c r="W940" s="371"/>
      <c r="X940" s="372"/>
      <c r="Y940" s="563">
        <v>146.46</v>
      </c>
      <c r="Z940" s="501">
        <v>146.46</v>
      </c>
      <c r="AA940" s="501">
        <v>146.46</v>
      </c>
      <c r="AB940" s="501">
        <v>146.46</v>
      </c>
      <c r="AC940" s="501">
        <v>146.46</v>
      </c>
      <c r="AD940" s="501">
        <v>146.46</v>
      </c>
      <c r="AE940" s="141"/>
      <c r="AF940" s="141"/>
      <c r="AG940" s="141"/>
      <c r="AH940" s="144"/>
      <c r="AK940" s="732"/>
      <c r="BB940" s="40">
        <f>(BD940+BD941)/(BE940+BE941)</f>
        <v>2.3786760028750225</v>
      </c>
      <c r="BC940" s="755" t="str">
        <f>CONCATENATE(G940," ",J940," Year EUL")</f>
        <v>Cooling RES 10 Year EUL</v>
      </c>
      <c r="BD940" s="98">
        <f>(INDEX('Avoided Cost Benefits'!$E$4:$E$859,MATCH(BC940,'Avoided Cost Benefits'!$A$4:$A$859,0)))*F940</f>
        <v>155.74631922780659</v>
      </c>
      <c r="BE940" s="1581">
        <f>K940/(1.0595^(2020-2019))</f>
        <v>66.068900424728639</v>
      </c>
    </row>
    <row r="941" spans="2:57" x14ac:dyDescent="0.35">
      <c r="B941" s="1040"/>
      <c r="C941" s="3259" t="s">
        <v>1909</v>
      </c>
      <c r="D941" s="3259" t="s">
        <v>1519</v>
      </c>
      <c r="E941" s="3256" t="str">
        <f>CONCATENATE(E939,"_CompE")</f>
        <v>Setback thermostat - full setback - Unknown MF_CompE</v>
      </c>
      <c r="F941" s="796">
        <f>ROUND($F$974*$F$977*$F$984*(1/$F$992)*$F$994*$F$995*$F$996/1000,2)</f>
        <v>5.28</v>
      </c>
      <c r="G941" s="3259" t="s">
        <v>258</v>
      </c>
      <c r="H941" s="136">
        <f>VLOOKUP(G941,'CP FACTORS'!$A$3:$B$38, 2, FALSE)</f>
        <v>0</v>
      </c>
      <c r="I941" s="3101">
        <f t="shared" si="131"/>
        <v>0</v>
      </c>
      <c r="J941" s="386">
        <f t="shared" si="130"/>
        <v>10</v>
      </c>
      <c r="K941" s="387">
        <v>0</v>
      </c>
      <c r="L941" s="3259" t="s">
        <v>184</v>
      </c>
      <c r="R941" s="1214"/>
      <c r="V941" s="141" t="str">
        <f t="shared" si="134"/>
        <v>kWh Annual Savings</v>
      </c>
      <c r="W941" s="371"/>
      <c r="X941" s="372"/>
      <c r="Y941" s="563">
        <v>5.28</v>
      </c>
      <c r="Z941" s="501">
        <v>5.28</v>
      </c>
      <c r="AA941" s="501">
        <v>5.28</v>
      </c>
      <c r="AB941" s="501">
        <v>5.28</v>
      </c>
      <c r="AC941" s="501">
        <v>5.28</v>
      </c>
      <c r="AD941" s="501">
        <v>5.28</v>
      </c>
      <c r="AE941" s="141"/>
      <c r="AF941" s="141"/>
      <c r="AG941" s="141"/>
      <c r="AH941" s="144"/>
      <c r="AK941" s="732"/>
      <c r="BB941" s="819"/>
      <c r="BC941" s="833" t="str">
        <f>CONCATENATE(G941," ",J941," Year EUL")</f>
        <v>Heating RES 10 Year EUL</v>
      </c>
      <c r="BD941" s="98">
        <f>(INDEX('Avoided Cost Benefits'!$E$4:$E$859,MATCH(BC941,'Avoided Cost Benefits'!$A$4:$A$859,0)))*F941</f>
        <v>1.4101887488347895</v>
      </c>
      <c r="BE941" s="1581">
        <f>K941/(1.0595^(2020-2019))</f>
        <v>0</v>
      </c>
    </row>
    <row r="942" spans="2:57" x14ac:dyDescent="0.35">
      <c r="B942" s="1040"/>
      <c r="C942" s="3259" t="s">
        <v>1910</v>
      </c>
      <c r="D942" s="1311" t="s">
        <v>1517</v>
      </c>
      <c r="E942" s="3279" t="s">
        <v>1911</v>
      </c>
      <c r="F942" s="796">
        <f>ROUND(F954*F963*1/F$964*F$965*F$966*F$967/1000,2)</f>
        <v>358.2</v>
      </c>
      <c r="G942" s="3259" t="s">
        <v>257</v>
      </c>
      <c r="H942" s="136">
        <f>VLOOKUP(G942,'CP FACTORS'!$A$3:$B$38, 2, FALSE)</f>
        <v>9.4741810000000004E-4</v>
      </c>
      <c r="I942" s="3101">
        <f t="shared" si="131"/>
        <v>0.33936500000000003</v>
      </c>
      <c r="J942" s="386">
        <f t="shared" si="130"/>
        <v>10</v>
      </c>
      <c r="K942" s="387">
        <f>$F$998</f>
        <v>70</v>
      </c>
      <c r="L942" s="3259" t="s">
        <v>184</v>
      </c>
      <c r="R942" s="1214"/>
      <c r="V942" s="141" t="str">
        <f t="shared" si="134"/>
        <v>kWh Annual Savings</v>
      </c>
      <c r="W942" s="371">
        <v>157.60714909090908</v>
      </c>
      <c r="X942" s="372">
        <v>750.57839999999999</v>
      </c>
      <c r="Y942" s="563">
        <v>358.2</v>
      </c>
      <c r="Z942" s="501">
        <v>358.2</v>
      </c>
      <c r="AA942" s="501">
        <v>358.2</v>
      </c>
      <c r="AB942" s="501">
        <v>358.2</v>
      </c>
      <c r="AC942" s="501">
        <v>358.2</v>
      </c>
      <c r="AD942" s="501">
        <v>358.2</v>
      </c>
      <c r="AE942" s="141"/>
      <c r="AF942" s="141"/>
      <c r="AG942" s="141"/>
      <c r="AH942" s="144"/>
      <c r="AK942" s="732"/>
      <c r="BB942" s="40">
        <f>(BD942+BD943)/(BE942+BE943)</f>
        <v>5.8960639551337009</v>
      </c>
      <c r="BC942" s="755" t="str">
        <f t="shared" si="132"/>
        <v>Cooling RES 10 Year EUL</v>
      </c>
      <c r="BD942" s="98">
        <f>(INDEX('Avoided Cost Benefits'!$E$4:$E$859,MATCH(BC942,'Avoided Cost Benefits'!$A$4:$A$859,0)))*F942</f>
        <v>380.91172707497145</v>
      </c>
      <c r="BE942" s="1581">
        <f t="shared" si="133"/>
        <v>66.068900424728639</v>
      </c>
    </row>
    <row r="943" spans="2:57" x14ac:dyDescent="0.35">
      <c r="B943" s="1040"/>
      <c r="C943" s="3259" t="s">
        <v>1910</v>
      </c>
      <c r="D943" s="1311" t="s">
        <v>1517</v>
      </c>
      <c r="E943" s="3280" t="s">
        <v>1911</v>
      </c>
      <c r="F943" s="796">
        <f>ROUND(F975*F976*F985*(1/F993)*F$994*F$995*F$996/1000,2)</f>
        <v>32.33</v>
      </c>
      <c r="G943" s="3259" t="s">
        <v>258</v>
      </c>
      <c r="H943" s="136">
        <f>VLOOKUP(G943,'CP FACTORS'!$A$3:$B$38, 2, FALSE)</f>
        <v>0</v>
      </c>
      <c r="I943" s="3101">
        <f t="shared" si="131"/>
        <v>0</v>
      </c>
      <c r="J943" s="386">
        <f t="shared" si="130"/>
        <v>10</v>
      </c>
      <c r="K943" s="387">
        <v>0</v>
      </c>
      <c r="L943" s="3259" t="s">
        <v>184</v>
      </c>
      <c r="R943" s="1214"/>
      <c r="V943" s="141" t="str">
        <f t="shared" si="134"/>
        <v>kWh Annual Savings</v>
      </c>
      <c r="W943" s="371">
        <v>192.87529590826432</v>
      </c>
      <c r="X943" s="372">
        <v>50.176989004732967</v>
      </c>
      <c r="Y943" s="563">
        <v>32.33</v>
      </c>
      <c r="Z943" s="501">
        <v>32.33</v>
      </c>
      <c r="AA943" s="501">
        <v>32.33</v>
      </c>
      <c r="AB943" s="501">
        <v>32.33</v>
      </c>
      <c r="AC943" s="501">
        <v>32.33</v>
      </c>
      <c r="AD943" s="501">
        <v>32.33</v>
      </c>
      <c r="AE943" s="141"/>
      <c r="AF943" s="141"/>
      <c r="AG943" s="141"/>
      <c r="AH943" s="144"/>
      <c r="AK943" s="732"/>
      <c r="BB943" s="821"/>
      <c r="BC943" s="833" t="str">
        <f t="shared" si="132"/>
        <v>Heating RES 10 Year EUL</v>
      </c>
      <c r="BD943" s="102">
        <f>(INDEX('Avoided Cost Benefits'!$E$4:$E$859,MATCH(BC943,'Avoided Cost Benefits'!$A$4:$A$859,0)))*F943</f>
        <v>8.6347352745887758</v>
      </c>
      <c r="BE943" s="1582">
        <f t="shared" si="133"/>
        <v>0</v>
      </c>
    </row>
    <row r="944" spans="2:57" hidden="1" outlineLevel="1" x14ac:dyDescent="0.35">
      <c r="B944" s="1040"/>
      <c r="D944" s="3114"/>
      <c r="E944" s="3114"/>
      <c r="F944" s="3137"/>
      <c r="G944" s="3112"/>
      <c r="H944" s="3112"/>
      <c r="I944" s="3112"/>
      <c r="J944" s="3112"/>
      <c r="K944" s="3112"/>
      <c r="L944" s="3112"/>
      <c r="AK944" s="732"/>
    </row>
    <row r="945" spans="2:37" ht="18" hidden="1" customHeight="1" outlineLevel="1" x14ac:dyDescent="0.35">
      <c r="B945" s="1040"/>
      <c r="C945" s="3128"/>
      <c r="D945" s="3134" t="s">
        <v>107</v>
      </c>
      <c r="E945" s="3138"/>
      <c r="F945" s="3139"/>
      <c r="G945" s="3139"/>
      <c r="H945" s="3139"/>
      <c r="I945" s="3140"/>
      <c r="J945" s="3140"/>
      <c r="K945" s="3140"/>
      <c r="L945" s="3140"/>
      <c r="AK945" s="732"/>
    </row>
    <row r="946" spans="2:37" hidden="1" outlineLevel="1" x14ac:dyDescent="0.35">
      <c r="B946" s="1040"/>
      <c r="C946" s="3128"/>
      <c r="D946" s="3138"/>
      <c r="E946" s="3138"/>
      <c r="F946" s="3139"/>
      <c r="G946" s="3139"/>
      <c r="H946" s="3139"/>
      <c r="I946" s="3140"/>
      <c r="J946" s="3140"/>
      <c r="K946" s="3140"/>
      <c r="L946" s="3140"/>
      <c r="V946" s="196" t="str">
        <f t="shared" ref="V946:V952" si="135">IF(C944&gt;0,C944," ")</f>
        <v xml:space="preserve"> </v>
      </c>
      <c r="AK946" s="732"/>
    </row>
    <row r="947" spans="2:37" hidden="1" outlineLevel="1" x14ac:dyDescent="0.35">
      <c r="B947" s="1040"/>
      <c r="C947" s="3128"/>
      <c r="D947" s="3138"/>
      <c r="E947" s="3138"/>
      <c r="F947" s="3139"/>
      <c r="G947" s="3139"/>
      <c r="H947" s="3139"/>
      <c r="I947" s="3140"/>
      <c r="J947" s="3140"/>
      <c r="K947" s="3140"/>
      <c r="L947" s="3140"/>
      <c r="V947" s="196" t="str">
        <f t="shared" si="135"/>
        <v xml:space="preserve"> </v>
      </c>
      <c r="AK947" s="732"/>
    </row>
    <row r="948" spans="2:37" hidden="1" outlineLevel="1" x14ac:dyDescent="0.35">
      <c r="B948" s="1040"/>
      <c r="C948" s="3128"/>
      <c r="D948" s="3138"/>
      <c r="E948" s="3138"/>
      <c r="F948" s="3139"/>
      <c r="G948" s="3139"/>
      <c r="H948" s="3139"/>
      <c r="I948" s="3140"/>
      <c r="J948" s="3140"/>
      <c r="K948" s="3140"/>
      <c r="L948" s="3140"/>
      <c r="V948" s="196" t="str">
        <f t="shared" si="135"/>
        <v xml:space="preserve"> </v>
      </c>
      <c r="AK948" s="732"/>
    </row>
    <row r="949" spans="2:37" hidden="1" outlineLevel="1" x14ac:dyDescent="0.35">
      <c r="B949" s="1040"/>
      <c r="C949" s="3128"/>
      <c r="D949" s="3138"/>
      <c r="E949" s="3138"/>
      <c r="F949" s="3139"/>
      <c r="G949" s="3139"/>
      <c r="H949" s="3139"/>
      <c r="I949" s="3140"/>
      <c r="J949" s="3140"/>
      <c r="K949" s="3140"/>
      <c r="L949" s="3140"/>
      <c r="V949" s="196" t="str">
        <f t="shared" si="135"/>
        <v xml:space="preserve"> </v>
      </c>
      <c r="AK949" s="732"/>
    </row>
    <row r="950" spans="2:37" hidden="1" outlineLevel="1" x14ac:dyDescent="0.35">
      <c r="B950" s="1040"/>
      <c r="C950" s="3128"/>
      <c r="D950" s="3138"/>
      <c r="E950" s="3138"/>
      <c r="F950" s="3139"/>
      <c r="G950" s="3139"/>
      <c r="H950" s="3139"/>
      <c r="I950" s="3140"/>
      <c r="J950" s="3140"/>
      <c r="K950" s="3140"/>
      <c r="L950" s="3140"/>
      <c r="V950" s="196" t="str">
        <f t="shared" si="135"/>
        <v xml:space="preserve"> </v>
      </c>
      <c r="AK950" s="732"/>
    </row>
    <row r="951" spans="2:37" ht="15" hidden="1" customHeight="1" outlineLevel="1" x14ac:dyDescent="0.35">
      <c r="B951" s="1040"/>
      <c r="C951" s="3128"/>
      <c r="D951" s="3138"/>
      <c r="E951" s="3138"/>
      <c r="F951" s="3139"/>
      <c r="G951" s="3139"/>
      <c r="H951" s="3139"/>
      <c r="I951" s="3140"/>
      <c r="J951" s="3140"/>
      <c r="K951" s="3140"/>
      <c r="L951" s="3140"/>
      <c r="V951" s="196" t="str">
        <f t="shared" si="135"/>
        <v xml:space="preserve"> </v>
      </c>
      <c r="AK951" s="732"/>
    </row>
    <row r="952" spans="2:37" hidden="1" outlineLevel="1" x14ac:dyDescent="0.35">
      <c r="B952" s="1040"/>
      <c r="D952" s="3102"/>
      <c r="E952" s="3102"/>
      <c r="F952" s="3104"/>
      <c r="G952" s="3104"/>
      <c r="H952" s="3104"/>
      <c r="I952" s="3112"/>
      <c r="J952" s="3112"/>
      <c r="K952" s="3112"/>
      <c r="L952" s="3112"/>
      <c r="V952" s="196" t="str">
        <f t="shared" si="135"/>
        <v xml:space="preserve"> </v>
      </c>
      <c r="AK952" s="732"/>
    </row>
    <row r="953" spans="2:37" hidden="1" outlineLevel="1" x14ac:dyDescent="0.35">
      <c r="B953" s="1040"/>
      <c r="D953" s="2423" t="s">
        <v>108</v>
      </c>
      <c r="E953" s="2423" t="s">
        <v>109</v>
      </c>
      <c r="F953" s="2331" t="s">
        <v>111</v>
      </c>
      <c r="G953" s="2331" t="s">
        <v>186</v>
      </c>
      <c r="H953" s="2331" t="s">
        <v>282</v>
      </c>
      <c r="V953" s="1572" t="s">
        <v>44</v>
      </c>
      <c r="W953" s="1573">
        <f>W$6</f>
        <v>43252</v>
      </c>
      <c r="X953" s="1573">
        <f t="shared" ref="X953:AG953" si="136">X$6</f>
        <v>43465</v>
      </c>
      <c r="Y953" s="316">
        <f t="shared" si="136"/>
        <v>43800</v>
      </c>
      <c r="Z953" s="1573">
        <f t="shared" si="136"/>
        <v>43862</v>
      </c>
      <c r="AA953" s="1573">
        <f t="shared" si="136"/>
        <v>44013</v>
      </c>
      <c r="AB953" s="1573">
        <f t="shared" si="136"/>
        <v>44166</v>
      </c>
      <c r="AC953" s="1573">
        <f t="shared" si="136"/>
        <v>44531</v>
      </c>
      <c r="AD953" s="1573">
        <f t="shared" si="136"/>
        <v>44774</v>
      </c>
      <c r="AE953" s="1573" t="str">
        <f t="shared" si="136"/>
        <v>-</v>
      </c>
      <c r="AF953" s="1573" t="str">
        <f t="shared" si="136"/>
        <v>-</v>
      </c>
      <c r="AG953" s="1573" t="str">
        <f t="shared" si="136"/>
        <v>-</v>
      </c>
      <c r="AK953" s="732"/>
    </row>
    <row r="954" spans="2:37" ht="43.5" hidden="1" outlineLevel="1" x14ac:dyDescent="0.35">
      <c r="B954" s="1040"/>
      <c r="D954" s="4337" t="s">
        <v>1541</v>
      </c>
      <c r="E954" s="368" t="s">
        <v>313</v>
      </c>
      <c r="F954" s="789">
        <v>869</v>
      </c>
      <c r="G954" s="2961" t="s">
        <v>1110</v>
      </c>
      <c r="H954" s="2981"/>
      <c r="V954" s="4278" t="str">
        <f>D954</f>
        <v>EFLHcool</v>
      </c>
      <c r="W954" s="750">
        <v>1215</v>
      </c>
      <c r="X954" s="775">
        <v>1215</v>
      </c>
      <c r="Y954" s="775">
        <v>869</v>
      </c>
      <c r="Z954" s="789">
        <v>869</v>
      </c>
      <c r="AA954" s="789">
        <v>869</v>
      </c>
      <c r="AB954" s="789">
        <v>869</v>
      </c>
      <c r="AC954" s="789">
        <v>869</v>
      </c>
      <c r="AD954" s="789">
        <v>869</v>
      </c>
      <c r="AE954" s="750"/>
      <c r="AF954" s="750"/>
      <c r="AG954" s="750"/>
      <c r="AK954" s="732"/>
    </row>
    <row r="955" spans="2:37" ht="23.25" hidden="1" customHeight="1" outlineLevel="1" x14ac:dyDescent="0.35">
      <c r="B955" s="1040"/>
      <c r="D955" s="4337"/>
      <c r="E955" s="368" t="s">
        <v>512</v>
      </c>
      <c r="F955" s="789">
        <v>632</v>
      </c>
      <c r="G955" s="2961" t="s">
        <v>1110</v>
      </c>
      <c r="H955" s="2981"/>
      <c r="V955" s="4279"/>
      <c r="W955" s="750"/>
      <c r="X955" s="775"/>
      <c r="Y955" s="785">
        <v>632</v>
      </c>
      <c r="Z955" s="789">
        <v>632</v>
      </c>
      <c r="AA955" s="789">
        <v>632</v>
      </c>
      <c r="AB955" s="789">
        <v>632</v>
      </c>
      <c r="AC955" s="789">
        <v>632</v>
      </c>
      <c r="AD955" s="789">
        <v>632</v>
      </c>
      <c r="AE955" s="750"/>
      <c r="AF955" s="750"/>
      <c r="AG955" s="750"/>
      <c r="AK955" s="732"/>
    </row>
    <row r="956" spans="2:37" ht="58" hidden="1" outlineLevel="1" x14ac:dyDescent="0.35">
      <c r="B956" s="1040"/>
      <c r="D956" s="4337" t="s">
        <v>1912</v>
      </c>
      <c r="E956" s="368" t="s">
        <v>1893</v>
      </c>
      <c r="F956" s="1995">
        <v>20240</v>
      </c>
      <c r="G956" s="2982" t="s">
        <v>1913</v>
      </c>
      <c r="H956" s="2981"/>
      <c r="V956" s="4278" t="str">
        <f>D956</f>
        <v>CapacityCooling</v>
      </c>
      <c r="W956" s="750">
        <f>0.65*36000</f>
        <v>23400</v>
      </c>
      <c r="X956" s="785">
        <v>21100</v>
      </c>
      <c r="Y956" s="774">
        <v>20240</v>
      </c>
      <c r="Z956" s="1018">
        <v>20240</v>
      </c>
      <c r="AA956" s="1018">
        <v>20240</v>
      </c>
      <c r="AB956" s="1018">
        <v>20240</v>
      </c>
      <c r="AC956" s="1995">
        <v>20240</v>
      </c>
      <c r="AD956" s="1995">
        <v>20240</v>
      </c>
      <c r="AE956" s="764"/>
      <c r="AF956" s="764"/>
      <c r="AG956" s="764"/>
      <c r="AK956" s="732"/>
    </row>
    <row r="957" spans="2:37" hidden="1" outlineLevel="1" x14ac:dyDescent="0.35">
      <c r="B957" s="1040"/>
      <c r="D957" s="4337"/>
      <c r="E957" s="368" t="s">
        <v>1896</v>
      </c>
      <c r="F957" s="1996">
        <v>36000</v>
      </c>
      <c r="G957" s="2979" t="s">
        <v>284</v>
      </c>
      <c r="H957" s="2981"/>
      <c r="V957" s="4279"/>
      <c r="W957" s="750">
        <v>36000</v>
      </c>
      <c r="X957" s="775">
        <v>36000</v>
      </c>
      <c r="Y957" s="775">
        <v>36000</v>
      </c>
      <c r="Z957" s="789">
        <v>36000</v>
      </c>
      <c r="AA957" s="789">
        <v>36000</v>
      </c>
      <c r="AB957" s="789">
        <v>36000</v>
      </c>
      <c r="AC957" s="1996">
        <v>36000</v>
      </c>
      <c r="AD957" s="1996">
        <v>36000</v>
      </c>
      <c r="AE957" s="764"/>
      <c r="AF957" s="764"/>
      <c r="AG957" s="764"/>
      <c r="AK957" s="732"/>
    </row>
    <row r="958" spans="2:37" ht="58" hidden="1" outlineLevel="1" x14ac:dyDescent="0.35">
      <c r="B958" s="1040"/>
      <c r="D958" s="4337"/>
      <c r="E958" s="2974" t="s">
        <v>1898</v>
      </c>
      <c r="F958" s="1995">
        <v>20240</v>
      </c>
      <c r="G958" s="2982" t="s">
        <v>1913</v>
      </c>
      <c r="H958" s="2981"/>
      <c r="V958" s="4279"/>
      <c r="W958" s="750">
        <f>0.65*36000</f>
        <v>23400</v>
      </c>
      <c r="X958" s="785">
        <v>21100</v>
      </c>
      <c r="Y958" s="774">
        <v>20240</v>
      </c>
      <c r="Z958" s="1018">
        <v>20240</v>
      </c>
      <c r="AA958" s="1018">
        <v>20240</v>
      </c>
      <c r="AB958" s="1018">
        <v>20240</v>
      </c>
      <c r="AC958" s="1995">
        <v>20240</v>
      </c>
      <c r="AD958" s="1995">
        <v>20240</v>
      </c>
      <c r="AE958" s="764"/>
      <c r="AF958" s="764"/>
      <c r="AG958" s="764"/>
      <c r="AK958" s="732"/>
    </row>
    <row r="959" spans="2:37" hidden="1" outlineLevel="1" x14ac:dyDescent="0.35">
      <c r="B959" s="1040"/>
      <c r="D959" s="4337"/>
      <c r="E959" s="2974" t="s">
        <v>1901</v>
      </c>
      <c r="F959" s="1996">
        <v>36000</v>
      </c>
      <c r="G959" s="2979" t="s">
        <v>284</v>
      </c>
      <c r="H959" s="2981"/>
      <c r="V959" s="4279"/>
      <c r="W959" s="750">
        <v>36000</v>
      </c>
      <c r="X959" s="775">
        <v>36000</v>
      </c>
      <c r="Y959" s="775">
        <v>36000</v>
      </c>
      <c r="Z959" s="789">
        <v>36000</v>
      </c>
      <c r="AA959" s="789">
        <v>36000</v>
      </c>
      <c r="AB959" s="789">
        <v>36000</v>
      </c>
      <c r="AC959" s="1996">
        <v>36000</v>
      </c>
      <c r="AD959" s="1996">
        <v>36000</v>
      </c>
      <c r="AE959" s="764"/>
      <c r="AF959" s="764"/>
      <c r="AG959" s="764"/>
      <c r="AK959" s="732"/>
    </row>
    <row r="960" spans="2:37" ht="58" hidden="1" outlineLevel="1" x14ac:dyDescent="0.35">
      <c r="B960" s="1040"/>
      <c r="D960" s="4337"/>
      <c r="E960" s="2974" t="s">
        <v>1903</v>
      </c>
      <c r="F960" s="1995">
        <v>20240</v>
      </c>
      <c r="G960" s="2982" t="s">
        <v>1913</v>
      </c>
      <c r="H960" s="2981"/>
      <c r="V960" s="4279"/>
      <c r="W960" s="750">
        <f>0.65*36000</f>
        <v>23400</v>
      </c>
      <c r="X960" s="785">
        <v>21100</v>
      </c>
      <c r="Y960" s="774">
        <v>20240</v>
      </c>
      <c r="Z960" s="1018">
        <v>20240</v>
      </c>
      <c r="AA960" s="1018">
        <v>20240</v>
      </c>
      <c r="AB960" s="1018">
        <v>20240</v>
      </c>
      <c r="AC960" s="1995">
        <v>20240</v>
      </c>
      <c r="AD960" s="1995">
        <v>20240</v>
      </c>
      <c r="AE960" s="764"/>
      <c r="AF960" s="764"/>
      <c r="AG960" s="764"/>
      <c r="AK960" s="732"/>
    </row>
    <row r="961" spans="2:37" hidden="1" outlineLevel="1" x14ac:dyDescent="0.35">
      <c r="B961" s="1040"/>
      <c r="D961" s="4337"/>
      <c r="E961" s="2974" t="s">
        <v>1906</v>
      </c>
      <c r="F961" s="1996">
        <v>36000</v>
      </c>
      <c r="G961" s="2979" t="s">
        <v>284</v>
      </c>
      <c r="H961" s="2981"/>
      <c r="V961" s="4279"/>
      <c r="W961" s="750">
        <v>36000</v>
      </c>
      <c r="X961" s="775">
        <v>36000</v>
      </c>
      <c r="Y961" s="775">
        <v>36000</v>
      </c>
      <c r="Z961" s="789">
        <v>36000</v>
      </c>
      <c r="AA961" s="789">
        <v>36000</v>
      </c>
      <c r="AB961" s="789">
        <v>36000</v>
      </c>
      <c r="AC961" s="1996">
        <v>36000</v>
      </c>
      <c r="AD961" s="1996">
        <v>36000</v>
      </c>
      <c r="AE961" s="764"/>
      <c r="AF961" s="764"/>
      <c r="AG961" s="764"/>
      <c r="AK961" s="732"/>
    </row>
    <row r="962" spans="2:37" ht="58" hidden="1" outlineLevel="1" x14ac:dyDescent="0.35">
      <c r="B962" s="1040"/>
      <c r="D962" s="4337"/>
      <c r="E962" s="368" t="s">
        <v>1908</v>
      </c>
      <c r="F962" s="1995">
        <v>20240</v>
      </c>
      <c r="G962" s="2982" t="s">
        <v>1913</v>
      </c>
      <c r="H962" s="2981"/>
      <c r="V962" s="4279"/>
      <c r="W962" s="750">
        <f>0.65*36000</f>
        <v>23400</v>
      </c>
      <c r="X962" s="785">
        <v>21100</v>
      </c>
      <c r="Y962" s="774">
        <v>20240</v>
      </c>
      <c r="Z962" s="1018">
        <v>20240</v>
      </c>
      <c r="AA962" s="1018">
        <v>20240</v>
      </c>
      <c r="AB962" s="1018">
        <v>20240</v>
      </c>
      <c r="AC962" s="1995">
        <v>20240</v>
      </c>
      <c r="AD962" s="1995">
        <v>20240</v>
      </c>
      <c r="AE962" s="764"/>
      <c r="AF962" s="764"/>
      <c r="AG962" s="764"/>
      <c r="AK962" s="732"/>
    </row>
    <row r="963" spans="2:37" hidden="1" outlineLevel="1" x14ac:dyDescent="0.35">
      <c r="B963" s="1040"/>
      <c r="D963" s="4337"/>
      <c r="E963" s="368" t="s">
        <v>1911</v>
      </c>
      <c r="F963" s="1996">
        <v>36000</v>
      </c>
      <c r="G963" s="2979" t="s">
        <v>284</v>
      </c>
      <c r="H963" s="2981"/>
      <c r="V963" s="4288"/>
      <c r="W963" s="750">
        <v>36000</v>
      </c>
      <c r="X963" s="775">
        <v>36000</v>
      </c>
      <c r="Y963" s="775">
        <v>36000</v>
      </c>
      <c r="Z963" s="789">
        <v>36000</v>
      </c>
      <c r="AA963" s="789">
        <v>36000</v>
      </c>
      <c r="AB963" s="789">
        <v>36000</v>
      </c>
      <c r="AC963" s="1996">
        <v>36000</v>
      </c>
      <c r="AD963" s="1996">
        <v>36000</v>
      </c>
      <c r="AE963" s="764"/>
      <c r="AF963" s="764"/>
      <c r="AG963" s="764"/>
      <c r="AK963" s="732"/>
    </row>
    <row r="964" spans="2:37" ht="101.5" hidden="1" outlineLevel="1" x14ac:dyDescent="0.35">
      <c r="B964" s="1040"/>
      <c r="D964" s="1413" t="s">
        <v>322</v>
      </c>
      <c r="E964" s="368" t="s">
        <v>134</v>
      </c>
      <c r="F964" s="789">
        <v>10</v>
      </c>
      <c r="G964" s="844" t="s">
        <v>1914</v>
      </c>
      <c r="H964" s="2393" t="s">
        <v>288</v>
      </c>
      <c r="V964" s="763" t="str">
        <f>D964</f>
        <v>SEER</v>
      </c>
      <c r="W964" s="750">
        <v>11</v>
      </c>
      <c r="X964" s="785">
        <v>10</v>
      </c>
      <c r="Y964" s="789">
        <v>10</v>
      </c>
      <c r="Z964" s="789">
        <v>10</v>
      </c>
      <c r="AA964" s="789">
        <v>10</v>
      </c>
      <c r="AB964" s="789">
        <v>10</v>
      </c>
      <c r="AC964" s="789">
        <v>10</v>
      </c>
      <c r="AD964" s="789">
        <v>10</v>
      </c>
      <c r="AE964" s="750"/>
      <c r="AF964" s="750"/>
      <c r="AG964" s="750"/>
      <c r="AK964" s="732"/>
    </row>
    <row r="965" spans="2:37" ht="58" hidden="1" outlineLevel="1" x14ac:dyDescent="0.35">
      <c r="B965" s="1040"/>
      <c r="D965" s="1413" t="s">
        <v>1915</v>
      </c>
      <c r="E965" s="368" t="s">
        <v>134</v>
      </c>
      <c r="F965" s="905">
        <v>1.9083333333333337</v>
      </c>
      <c r="G965" s="2393" t="s">
        <v>1916</v>
      </c>
      <c r="H965" s="822"/>
      <c r="V965" s="763" t="str">
        <f>D965</f>
        <v>Sbdegreescooling</v>
      </c>
      <c r="W965" s="764">
        <v>3.67</v>
      </c>
      <c r="X965" s="905">
        <v>3.67</v>
      </c>
      <c r="Y965" s="778">
        <v>1.9083333333333337</v>
      </c>
      <c r="Z965" s="905">
        <v>1.9083333333333337</v>
      </c>
      <c r="AA965" s="905">
        <v>1.9083333333333337</v>
      </c>
      <c r="AB965" s="905">
        <v>1.9083333333333337</v>
      </c>
      <c r="AC965" s="905">
        <v>1.9083333333333337</v>
      </c>
      <c r="AD965" s="905">
        <v>1.9083333333333337</v>
      </c>
      <c r="AE965" s="764"/>
      <c r="AF965" s="764"/>
      <c r="AG965" s="764"/>
      <c r="AK965" s="732"/>
    </row>
    <row r="966" spans="2:37" ht="58" hidden="1" outlineLevel="1" x14ac:dyDescent="0.35">
      <c r="B966" s="1040"/>
      <c r="D966" s="1413" t="s">
        <v>1917</v>
      </c>
      <c r="E966" s="368" t="s">
        <v>134</v>
      </c>
      <c r="F966" s="512">
        <v>0.06</v>
      </c>
      <c r="G966" s="2393" t="s">
        <v>1918</v>
      </c>
      <c r="H966" s="822"/>
      <c r="V966" s="763" t="str">
        <f>D966</f>
        <v>SFcooling</v>
      </c>
      <c r="W966" s="761">
        <v>0.06</v>
      </c>
      <c r="X966" s="776">
        <v>0.06</v>
      </c>
      <c r="Y966" s="515">
        <v>0.06</v>
      </c>
      <c r="Z966" s="512">
        <v>0.06</v>
      </c>
      <c r="AA966" s="512">
        <v>0.06</v>
      </c>
      <c r="AB966" s="512">
        <v>0.06</v>
      </c>
      <c r="AC966" s="512">
        <v>0.06</v>
      </c>
      <c r="AD966" s="512">
        <v>0.06</v>
      </c>
      <c r="AE966" s="761"/>
      <c r="AF966" s="761"/>
      <c r="AG966" s="761"/>
      <c r="AK966" s="732"/>
    </row>
    <row r="967" spans="2:37" ht="58" hidden="1" outlineLevel="1" x14ac:dyDescent="0.35">
      <c r="B967" s="1040"/>
      <c r="D967" s="1413" t="s">
        <v>1919</v>
      </c>
      <c r="E967" s="368" t="s">
        <v>134</v>
      </c>
      <c r="F967" s="512">
        <v>1</v>
      </c>
      <c r="G967" s="984" t="s">
        <v>1920</v>
      </c>
      <c r="H967" s="368"/>
      <c r="V967" s="763" t="str">
        <f>D967</f>
        <v>EFcooling</v>
      </c>
      <c r="W967" s="761">
        <v>0.18</v>
      </c>
      <c r="X967" s="515">
        <v>1</v>
      </c>
      <c r="Y967" s="512">
        <v>1</v>
      </c>
      <c r="Z967" s="512">
        <v>1</v>
      </c>
      <c r="AA967" s="512">
        <v>1</v>
      </c>
      <c r="AB967" s="512">
        <v>1</v>
      </c>
      <c r="AC967" s="512">
        <v>1</v>
      </c>
      <c r="AD967" s="512">
        <v>1</v>
      </c>
      <c r="AE967" s="761"/>
      <c r="AF967" s="761"/>
      <c r="AG967" s="761"/>
      <c r="AK967" s="732"/>
    </row>
    <row r="968" spans="2:37" hidden="1" outlineLevel="1" x14ac:dyDescent="0.35">
      <c r="B968" s="1040"/>
      <c r="D968" s="4406" t="s">
        <v>283</v>
      </c>
      <c r="E968" s="368" t="s">
        <v>1893</v>
      </c>
      <c r="F968" s="512">
        <v>1</v>
      </c>
      <c r="G968" s="2393" t="s">
        <v>284</v>
      </c>
      <c r="H968" s="822"/>
      <c r="V968" s="4278" t="str">
        <f>D968</f>
        <v>%ElectricHeat</v>
      </c>
      <c r="W968" s="761">
        <v>1</v>
      </c>
      <c r="X968" s="776">
        <v>1</v>
      </c>
      <c r="Y968" s="776">
        <v>1</v>
      </c>
      <c r="Z968" s="512">
        <v>1</v>
      </c>
      <c r="AA968" s="512">
        <v>1</v>
      </c>
      <c r="AB968" s="512">
        <v>1</v>
      </c>
      <c r="AC968" s="512">
        <v>1</v>
      </c>
      <c r="AD968" s="512">
        <v>1</v>
      </c>
      <c r="AE968" s="761"/>
      <c r="AF968" s="761"/>
      <c r="AG968" s="761"/>
      <c r="AK968" s="732"/>
    </row>
    <row r="969" spans="2:37" hidden="1" outlineLevel="1" x14ac:dyDescent="0.35">
      <c r="B969" s="1040"/>
      <c r="D969" s="4341"/>
      <c r="E969" s="368" t="s">
        <v>1896</v>
      </c>
      <c r="F969" s="512">
        <v>1</v>
      </c>
      <c r="G969" s="2393" t="s">
        <v>284</v>
      </c>
      <c r="H969" s="822"/>
      <c r="V969" s="4279"/>
      <c r="W969" s="761">
        <v>1</v>
      </c>
      <c r="X969" s="776">
        <v>1</v>
      </c>
      <c r="Y969" s="776">
        <v>1</v>
      </c>
      <c r="Z969" s="512">
        <v>1</v>
      </c>
      <c r="AA969" s="512">
        <v>1</v>
      </c>
      <c r="AB969" s="512">
        <v>1</v>
      </c>
      <c r="AC969" s="512">
        <v>1</v>
      </c>
      <c r="AD969" s="512">
        <v>1</v>
      </c>
      <c r="AE969" s="761"/>
      <c r="AF969" s="761"/>
      <c r="AG969" s="761"/>
      <c r="AK969" s="732"/>
    </row>
    <row r="970" spans="2:37" hidden="1" outlineLevel="1" x14ac:dyDescent="0.35">
      <c r="B970" s="1040"/>
      <c r="D970" s="4341"/>
      <c r="E970" s="2398" t="s">
        <v>1898</v>
      </c>
      <c r="F970" s="512">
        <v>1</v>
      </c>
      <c r="G970" s="2393" t="s">
        <v>284</v>
      </c>
      <c r="H970" s="822"/>
      <c r="V970" s="4279"/>
      <c r="W970" s="761">
        <v>1</v>
      </c>
      <c r="X970" s="776">
        <v>1</v>
      </c>
      <c r="Y970" s="776">
        <v>1</v>
      </c>
      <c r="Z970" s="512">
        <v>1</v>
      </c>
      <c r="AA970" s="512">
        <v>1</v>
      </c>
      <c r="AB970" s="512">
        <v>1</v>
      </c>
      <c r="AC970" s="512">
        <v>1</v>
      </c>
      <c r="AD970" s="512">
        <v>1</v>
      </c>
      <c r="AE970" s="761"/>
      <c r="AF970" s="761"/>
      <c r="AG970" s="761"/>
      <c r="AK970" s="732"/>
    </row>
    <row r="971" spans="2:37" hidden="1" outlineLevel="1" x14ac:dyDescent="0.35">
      <c r="B971" s="1040"/>
      <c r="D971" s="4341"/>
      <c r="E971" s="2398" t="s">
        <v>1901</v>
      </c>
      <c r="F971" s="512">
        <v>1</v>
      </c>
      <c r="G971" s="2393" t="s">
        <v>284</v>
      </c>
      <c r="H971" s="822"/>
      <c r="V971" s="4279"/>
      <c r="W971" s="761">
        <v>1</v>
      </c>
      <c r="X971" s="776">
        <v>1</v>
      </c>
      <c r="Y971" s="776">
        <v>1</v>
      </c>
      <c r="Z971" s="512">
        <v>1</v>
      </c>
      <c r="AA971" s="512">
        <v>1</v>
      </c>
      <c r="AB971" s="512">
        <v>1</v>
      </c>
      <c r="AC971" s="512">
        <v>1</v>
      </c>
      <c r="AD971" s="512">
        <v>1</v>
      </c>
      <c r="AE971" s="761"/>
      <c r="AF971" s="761"/>
      <c r="AG971" s="761"/>
      <c r="AK971" s="732"/>
    </row>
    <row r="972" spans="2:37" hidden="1" outlineLevel="1" x14ac:dyDescent="0.35">
      <c r="B972" s="1040"/>
      <c r="D972" s="4341"/>
      <c r="E972" s="2398" t="s">
        <v>1903</v>
      </c>
      <c r="F972" s="512">
        <v>0</v>
      </c>
      <c r="G972" s="2393" t="s">
        <v>284</v>
      </c>
      <c r="H972" s="822"/>
      <c r="V972" s="4279"/>
      <c r="W972" s="761">
        <v>0</v>
      </c>
      <c r="X972" s="776">
        <v>0</v>
      </c>
      <c r="Y972" s="776">
        <v>0</v>
      </c>
      <c r="Z972" s="512">
        <v>0</v>
      </c>
      <c r="AA972" s="512">
        <v>0</v>
      </c>
      <c r="AB972" s="512">
        <v>0</v>
      </c>
      <c r="AC972" s="512">
        <v>0</v>
      </c>
      <c r="AD972" s="512">
        <v>0</v>
      </c>
      <c r="AE972" s="761"/>
      <c r="AF972" s="761"/>
      <c r="AG972" s="761"/>
      <c r="AK972" s="732"/>
    </row>
    <row r="973" spans="2:37" hidden="1" outlineLevel="1" x14ac:dyDescent="0.35">
      <c r="B973" s="1040"/>
      <c r="D973" s="4341"/>
      <c r="E973" s="2398" t="s">
        <v>1906</v>
      </c>
      <c r="F973" s="512">
        <v>0</v>
      </c>
      <c r="G973" s="2393" t="s">
        <v>284</v>
      </c>
      <c r="H973" s="822"/>
      <c r="V973" s="4279"/>
      <c r="W973" s="761">
        <v>0</v>
      </c>
      <c r="X973" s="776">
        <v>0</v>
      </c>
      <c r="Y973" s="776">
        <v>0</v>
      </c>
      <c r="Z973" s="512">
        <v>0</v>
      </c>
      <c r="AA973" s="512">
        <v>0</v>
      </c>
      <c r="AB973" s="512">
        <v>0</v>
      </c>
      <c r="AC973" s="512">
        <v>0</v>
      </c>
      <c r="AD973" s="512">
        <v>0</v>
      </c>
      <c r="AE973" s="761"/>
      <c r="AF973" s="761"/>
      <c r="AG973" s="761"/>
      <c r="AK973" s="732"/>
    </row>
    <row r="974" spans="2:37" hidden="1" outlineLevel="1" x14ac:dyDescent="0.35">
      <c r="B974" s="1040"/>
      <c r="D974" s="4341"/>
      <c r="E974" s="368" t="s">
        <v>1908</v>
      </c>
      <c r="F974" s="512">
        <f>0.35*0.71</f>
        <v>0.24849999999999997</v>
      </c>
      <c r="G974" s="2393" t="s">
        <v>284</v>
      </c>
      <c r="H974" s="822"/>
      <c r="V974" s="4279"/>
      <c r="W974" s="761">
        <f>0.35*0.71</f>
        <v>0.24849999999999997</v>
      </c>
      <c r="X974" s="776">
        <f>0.35*0.71</f>
        <v>0.24849999999999997</v>
      </c>
      <c r="Y974" s="776">
        <v>0.24849999999999997</v>
      </c>
      <c r="Z974" s="512">
        <v>0.24849999999999997</v>
      </c>
      <c r="AA974" s="512">
        <v>0.24849999999999997</v>
      </c>
      <c r="AB974" s="512">
        <v>0.24849999999999997</v>
      </c>
      <c r="AC974" s="512">
        <v>0.24849999999999997</v>
      </c>
      <c r="AD974" s="512">
        <v>0.24849999999999997</v>
      </c>
      <c r="AE974" s="761"/>
      <c r="AF974" s="761"/>
      <c r="AG974" s="761"/>
      <c r="AK974" s="732"/>
    </row>
    <row r="975" spans="2:37" hidden="1" outlineLevel="1" x14ac:dyDescent="0.35">
      <c r="B975" s="1040"/>
      <c r="D975" s="4342"/>
      <c r="E975" s="368" t="s">
        <v>1911</v>
      </c>
      <c r="F975" s="512">
        <f>0.35*0.71</f>
        <v>0.24849999999999997</v>
      </c>
      <c r="G975" s="2393" t="s">
        <v>284</v>
      </c>
      <c r="H975" s="822"/>
      <c r="V975" s="4288"/>
      <c r="W975" s="761">
        <f>0.35*0.71</f>
        <v>0.24849999999999997</v>
      </c>
      <c r="X975" s="776">
        <f>0.35*0.71</f>
        <v>0.24849999999999997</v>
      </c>
      <c r="Y975" s="776">
        <v>0.24849999999999997</v>
      </c>
      <c r="Z975" s="512">
        <v>0.24849999999999997</v>
      </c>
      <c r="AA975" s="512">
        <v>0.24849999999999997</v>
      </c>
      <c r="AB975" s="512">
        <v>0.24849999999999997</v>
      </c>
      <c r="AC975" s="512">
        <v>0.24849999999999997</v>
      </c>
      <c r="AD975" s="512">
        <v>0.24849999999999997</v>
      </c>
      <c r="AE975" s="761"/>
      <c r="AF975" s="761"/>
      <c r="AG975" s="761"/>
      <c r="AK975" s="732"/>
    </row>
    <row r="976" spans="2:37" ht="15" hidden="1" customHeight="1" outlineLevel="1" x14ac:dyDescent="0.35">
      <c r="B976" s="1040"/>
      <c r="D976" s="4406" t="s">
        <v>1816</v>
      </c>
      <c r="E976" s="368" t="s">
        <v>313</v>
      </c>
      <c r="F976" s="789">
        <v>1496</v>
      </c>
      <c r="G976" s="2346" t="s">
        <v>1110</v>
      </c>
      <c r="H976" s="822"/>
      <c r="V976" s="4278" t="str">
        <f>D976</f>
        <v>EFLHheat</v>
      </c>
      <c r="W976" s="750">
        <v>2009</v>
      </c>
      <c r="X976" s="775">
        <v>2009</v>
      </c>
      <c r="Y976" s="775">
        <v>1496</v>
      </c>
      <c r="Z976" s="789">
        <v>1496</v>
      </c>
      <c r="AA976" s="789">
        <v>1496</v>
      </c>
      <c r="AB976" s="789">
        <v>1496</v>
      </c>
      <c r="AC976" s="789">
        <v>1496</v>
      </c>
      <c r="AD976" s="789">
        <v>1496</v>
      </c>
      <c r="AE976" s="750"/>
      <c r="AF976" s="750"/>
      <c r="AG976" s="750"/>
      <c r="AK976" s="732"/>
    </row>
    <row r="977" spans="2:37" ht="43.5" hidden="1" outlineLevel="1" x14ac:dyDescent="0.35">
      <c r="B977" s="1040"/>
      <c r="D977" s="4341"/>
      <c r="E977" s="368" t="s">
        <v>512</v>
      </c>
      <c r="F977" s="789">
        <v>510</v>
      </c>
      <c r="G977" s="2333" t="s">
        <v>1110</v>
      </c>
      <c r="H977" s="822"/>
      <c r="V977" s="4279"/>
      <c r="W977" s="750"/>
      <c r="X977" s="775"/>
      <c r="Y977" s="785">
        <v>510</v>
      </c>
      <c r="Z977" s="789">
        <v>510</v>
      </c>
      <c r="AA977" s="789">
        <v>510</v>
      </c>
      <c r="AB977" s="789">
        <v>510</v>
      </c>
      <c r="AC977" s="789">
        <v>510</v>
      </c>
      <c r="AD977" s="789">
        <v>510</v>
      </c>
      <c r="AE977" s="750"/>
      <c r="AF977" s="750"/>
      <c r="AG977" s="750"/>
      <c r="AK977" s="732"/>
    </row>
    <row r="978" spans="2:37" ht="58" hidden="1" outlineLevel="1" x14ac:dyDescent="0.35">
      <c r="B978" s="1040"/>
      <c r="D978" s="4406" t="s">
        <v>1921</v>
      </c>
      <c r="E978" s="368" t="s">
        <v>1893</v>
      </c>
      <c r="F978" s="789">
        <v>20240</v>
      </c>
      <c r="G978" s="2393" t="s">
        <v>1920</v>
      </c>
      <c r="H978" s="822"/>
      <c r="V978" s="4278" t="str">
        <f>D978</f>
        <v>CapacityHeating</v>
      </c>
      <c r="W978" s="775">
        <v>37856</v>
      </c>
      <c r="X978" s="785">
        <v>21000</v>
      </c>
      <c r="Y978" s="785">
        <v>20240</v>
      </c>
      <c r="Z978" s="789">
        <v>20240</v>
      </c>
      <c r="AA978" s="789">
        <v>20240</v>
      </c>
      <c r="AB978" s="789">
        <v>20240</v>
      </c>
      <c r="AC978" s="789">
        <v>20240</v>
      </c>
      <c r="AD978" s="789">
        <v>20240</v>
      </c>
      <c r="AE978" s="775"/>
      <c r="AF978" s="775"/>
      <c r="AG978" s="775"/>
      <c r="AK978" s="732"/>
    </row>
    <row r="979" spans="2:37" hidden="1" outlineLevel="1" x14ac:dyDescent="0.35">
      <c r="B979" s="1040"/>
      <c r="D979" s="4341"/>
      <c r="E979" s="368" t="s">
        <v>1896</v>
      </c>
      <c r="F979" s="789">
        <v>58240</v>
      </c>
      <c r="G979" s="2393"/>
      <c r="H979" s="822"/>
      <c r="V979" s="4279"/>
      <c r="W979" s="775">
        <v>58240</v>
      </c>
      <c r="X979" s="775">
        <v>58240</v>
      </c>
      <c r="Y979" s="775">
        <v>58240</v>
      </c>
      <c r="Z979" s="789">
        <v>58240</v>
      </c>
      <c r="AA979" s="789">
        <v>58240</v>
      </c>
      <c r="AB979" s="789">
        <v>58240</v>
      </c>
      <c r="AC979" s="789">
        <v>58240</v>
      </c>
      <c r="AD979" s="789">
        <v>58240</v>
      </c>
      <c r="AE979" s="775"/>
      <c r="AF979" s="775"/>
      <c r="AG979" s="775"/>
      <c r="AK979" s="732"/>
    </row>
    <row r="980" spans="2:37" ht="58" hidden="1" outlineLevel="1" x14ac:dyDescent="0.35">
      <c r="B980" s="1040"/>
      <c r="D980" s="4341"/>
      <c r="E980" s="2398" t="s">
        <v>1898</v>
      </c>
      <c r="F980" s="789">
        <v>20240</v>
      </c>
      <c r="G980" s="2393" t="s">
        <v>1920</v>
      </c>
      <c r="H980" s="822"/>
      <c r="V980" s="4279"/>
      <c r="W980" s="775">
        <v>31368.563200000001</v>
      </c>
      <c r="X980" s="785">
        <v>21000</v>
      </c>
      <c r="Y980" s="785">
        <v>20240</v>
      </c>
      <c r="Z980" s="789">
        <v>20240</v>
      </c>
      <c r="AA980" s="789">
        <v>20240</v>
      </c>
      <c r="AB980" s="789">
        <v>20240</v>
      </c>
      <c r="AC980" s="789">
        <v>20240</v>
      </c>
      <c r="AD980" s="789">
        <v>20240</v>
      </c>
      <c r="AE980" s="775"/>
      <c r="AF980" s="775"/>
      <c r="AG980" s="775"/>
      <c r="AK980" s="732"/>
    </row>
    <row r="981" spans="2:37" hidden="1" outlineLevel="1" x14ac:dyDescent="0.35">
      <c r="B981" s="1040"/>
      <c r="D981" s="4341"/>
      <c r="E981" s="2398" t="s">
        <v>1901</v>
      </c>
      <c r="F981" s="789">
        <v>48259.328000000001</v>
      </c>
      <c r="G981" s="2393"/>
      <c r="H981" s="822"/>
      <c r="V981" s="4279"/>
      <c r="W981" s="775">
        <v>48259.328000000001</v>
      </c>
      <c r="X981" s="775">
        <v>48259.328000000001</v>
      </c>
      <c r="Y981" s="775">
        <v>48259.328000000001</v>
      </c>
      <c r="Z981" s="789">
        <v>48259.328000000001</v>
      </c>
      <c r="AA981" s="789">
        <v>48259.328000000001</v>
      </c>
      <c r="AB981" s="789">
        <v>48259.328000000001</v>
      </c>
      <c r="AC981" s="789">
        <v>48259.328000000001</v>
      </c>
      <c r="AD981" s="789">
        <v>48259.328000000001</v>
      </c>
      <c r="AE981" s="775"/>
      <c r="AF981" s="775"/>
      <c r="AG981" s="775"/>
      <c r="AK981" s="732"/>
    </row>
    <row r="982" spans="2:37" hidden="1" outlineLevel="1" x14ac:dyDescent="0.35">
      <c r="B982" s="1040"/>
      <c r="D982" s="4341"/>
      <c r="E982" s="2398" t="s">
        <v>1903</v>
      </c>
      <c r="F982" s="789">
        <v>0</v>
      </c>
      <c r="G982" s="2393"/>
      <c r="H982" s="822"/>
      <c r="V982" s="4279"/>
      <c r="W982" s="775">
        <v>0</v>
      </c>
      <c r="X982" s="775">
        <v>0</v>
      </c>
      <c r="Y982" s="775">
        <v>0</v>
      </c>
      <c r="Z982" s="789">
        <v>0</v>
      </c>
      <c r="AA982" s="789">
        <v>0</v>
      </c>
      <c r="AB982" s="789">
        <v>0</v>
      </c>
      <c r="AC982" s="789">
        <v>0</v>
      </c>
      <c r="AD982" s="789">
        <v>0</v>
      </c>
      <c r="AE982" s="775"/>
      <c r="AF982" s="775"/>
      <c r="AG982" s="775"/>
      <c r="AK982" s="732"/>
    </row>
    <row r="983" spans="2:37" hidden="1" outlineLevel="1" x14ac:dyDescent="0.35">
      <c r="B983" s="1040"/>
      <c r="D983" s="4341"/>
      <c r="E983" s="2398" t="s">
        <v>1906</v>
      </c>
      <c r="F983" s="789">
        <v>0</v>
      </c>
      <c r="G983" s="2393"/>
      <c r="H983" s="822"/>
      <c r="V983" s="4279"/>
      <c r="W983" s="775">
        <v>0</v>
      </c>
      <c r="X983" s="775">
        <v>0</v>
      </c>
      <c r="Y983" s="775">
        <v>0</v>
      </c>
      <c r="Z983" s="789">
        <v>0</v>
      </c>
      <c r="AA983" s="789">
        <v>0</v>
      </c>
      <c r="AB983" s="789">
        <v>0</v>
      </c>
      <c r="AC983" s="789">
        <v>0</v>
      </c>
      <c r="AD983" s="789">
        <v>0</v>
      </c>
      <c r="AE983" s="775"/>
      <c r="AF983" s="775"/>
      <c r="AG983" s="775"/>
      <c r="AK983" s="732"/>
    </row>
    <row r="984" spans="2:37" ht="58" hidden="1" outlineLevel="1" x14ac:dyDescent="0.35">
      <c r="B984" s="1040"/>
      <c r="D984" s="4341"/>
      <c r="E984" s="368" t="s">
        <v>1908</v>
      </c>
      <c r="F984" s="789">
        <v>20240</v>
      </c>
      <c r="G984" s="2393" t="s">
        <v>1920</v>
      </c>
      <c r="H984" s="822"/>
      <c r="V984" s="4279"/>
      <c r="W984" s="775">
        <v>27462.372945112107</v>
      </c>
      <c r="X984" s="785">
        <v>21000</v>
      </c>
      <c r="Y984" s="785">
        <v>20240</v>
      </c>
      <c r="Z984" s="789">
        <v>20240</v>
      </c>
      <c r="AA984" s="789">
        <v>20240</v>
      </c>
      <c r="AB984" s="789">
        <v>20240</v>
      </c>
      <c r="AC984" s="789">
        <v>20240</v>
      </c>
      <c r="AD984" s="789">
        <v>20240</v>
      </c>
      <c r="AE984" s="775"/>
      <c r="AF984" s="775"/>
      <c r="AG984" s="775"/>
      <c r="AK984" s="732"/>
    </row>
    <row r="985" spans="2:37" hidden="1" outlineLevel="1" x14ac:dyDescent="0.35">
      <c r="B985" s="1040"/>
      <c r="D985" s="4342"/>
      <c r="E985" s="368" t="s">
        <v>1911</v>
      </c>
      <c r="F985" s="789">
        <v>42249.804530941699</v>
      </c>
      <c r="G985" s="2393"/>
      <c r="H985" s="822"/>
      <c r="V985" s="4288"/>
      <c r="W985" s="775">
        <v>42249.804530941699</v>
      </c>
      <c r="X985" s="775">
        <v>42249.804530941699</v>
      </c>
      <c r="Y985" s="775">
        <v>42249.804530941699</v>
      </c>
      <c r="Z985" s="789">
        <v>42249.804530941699</v>
      </c>
      <c r="AA985" s="789">
        <v>42249.804530941699</v>
      </c>
      <c r="AB985" s="789">
        <v>42249.804530941699</v>
      </c>
      <c r="AC985" s="789">
        <v>42249.804530941699</v>
      </c>
      <c r="AD985" s="789">
        <v>42249.804530941699</v>
      </c>
      <c r="AE985" s="775"/>
      <c r="AF985" s="775"/>
      <c r="AG985" s="775"/>
      <c r="AK985" s="732"/>
    </row>
    <row r="986" spans="2:37" hidden="1" outlineLevel="1" x14ac:dyDescent="0.35">
      <c r="B986" s="1040"/>
      <c r="D986" s="4406" t="s">
        <v>1922</v>
      </c>
      <c r="E986" s="368" t="s">
        <v>1893</v>
      </c>
      <c r="F986" s="906">
        <v>7</v>
      </c>
      <c r="G986" s="4409" t="s">
        <v>1923</v>
      </c>
      <c r="H986" s="822"/>
      <c r="V986" s="4278" t="str">
        <f>D986</f>
        <v>HSPF</v>
      </c>
      <c r="W986" s="907">
        <v>7</v>
      </c>
      <c r="X986" s="907">
        <v>7</v>
      </c>
      <c r="Y986" s="906">
        <v>7</v>
      </c>
      <c r="Z986" s="906">
        <v>7</v>
      </c>
      <c r="AA986" s="906">
        <v>7</v>
      </c>
      <c r="AB986" s="906">
        <v>7</v>
      </c>
      <c r="AC986" s="906">
        <v>7</v>
      </c>
      <c r="AD986" s="906">
        <v>7</v>
      </c>
      <c r="AE986" s="907"/>
      <c r="AF986" s="907"/>
      <c r="AG986" s="907"/>
      <c r="AK986" s="732"/>
    </row>
    <row r="987" spans="2:37" hidden="1" outlineLevel="1" x14ac:dyDescent="0.35">
      <c r="B987" s="1040"/>
      <c r="D987" s="4341"/>
      <c r="E987" s="368" t="s">
        <v>1896</v>
      </c>
      <c r="F987" s="906">
        <v>7</v>
      </c>
      <c r="G987" s="3766"/>
      <c r="H987" s="822"/>
      <c r="V987" s="4279"/>
      <c r="W987" s="907">
        <v>7</v>
      </c>
      <c r="X987" s="907">
        <v>7</v>
      </c>
      <c r="Y987" s="906">
        <v>7</v>
      </c>
      <c r="Z987" s="906">
        <v>7</v>
      </c>
      <c r="AA987" s="906">
        <v>7</v>
      </c>
      <c r="AB987" s="906">
        <v>7</v>
      </c>
      <c r="AC987" s="906">
        <v>7</v>
      </c>
      <c r="AD987" s="906">
        <v>7</v>
      </c>
      <c r="AE987" s="907"/>
      <c r="AF987" s="907"/>
      <c r="AG987" s="907"/>
      <c r="AK987" s="732"/>
    </row>
    <row r="988" spans="2:37" hidden="1" outlineLevel="1" x14ac:dyDescent="0.35">
      <c r="B988" s="1040"/>
      <c r="D988" s="4341"/>
      <c r="E988" s="2398" t="s">
        <v>1898</v>
      </c>
      <c r="F988" s="267">
        <f>3.41*1+7*0</f>
        <v>3.41</v>
      </c>
      <c r="G988" s="3766"/>
      <c r="H988" s="822"/>
      <c r="V988" s="4279"/>
      <c r="W988" s="907">
        <v>3.4119999999999999</v>
      </c>
      <c r="X988" s="908">
        <f>3.41*1+7*0</f>
        <v>3.41</v>
      </c>
      <c r="Y988" s="267">
        <v>3.41</v>
      </c>
      <c r="Z988" s="267">
        <v>3.41</v>
      </c>
      <c r="AA988" s="267">
        <v>3.41</v>
      </c>
      <c r="AB988" s="267">
        <v>3.41</v>
      </c>
      <c r="AC988" s="267">
        <v>3.41</v>
      </c>
      <c r="AD988" s="267">
        <v>3.41</v>
      </c>
      <c r="AE988" s="907"/>
      <c r="AF988" s="907"/>
      <c r="AG988" s="907"/>
      <c r="AK988" s="732"/>
    </row>
    <row r="989" spans="2:37" hidden="1" outlineLevel="1" x14ac:dyDescent="0.35">
      <c r="B989" s="1040"/>
      <c r="D989" s="4341"/>
      <c r="E989" s="2398" t="s">
        <v>1901</v>
      </c>
      <c r="F989" s="267">
        <f>3.41*1+7*0</f>
        <v>3.41</v>
      </c>
      <c r="G989" s="3766"/>
      <c r="H989" s="822"/>
      <c r="V989" s="4279"/>
      <c r="W989" s="907">
        <v>3.4119999999999999</v>
      </c>
      <c r="X989" s="908">
        <f>3.41*1+7*0</f>
        <v>3.41</v>
      </c>
      <c r="Y989" s="267">
        <v>3.41</v>
      </c>
      <c r="Z989" s="267">
        <v>3.41</v>
      </c>
      <c r="AA989" s="267">
        <v>3.41</v>
      </c>
      <c r="AB989" s="267">
        <v>3.41</v>
      </c>
      <c r="AC989" s="267">
        <v>3.41</v>
      </c>
      <c r="AD989" s="267">
        <v>3.41</v>
      </c>
      <c r="AE989" s="907"/>
      <c r="AF989" s="907"/>
      <c r="AG989" s="907"/>
      <c r="AK989" s="732"/>
    </row>
    <row r="990" spans="2:37" hidden="1" outlineLevel="1" x14ac:dyDescent="0.35">
      <c r="B990" s="1040"/>
      <c r="D990" s="4341"/>
      <c r="E990" s="2398" t="s">
        <v>1903</v>
      </c>
      <c r="F990" s="906">
        <v>0</v>
      </c>
      <c r="G990" s="3766"/>
      <c r="H990" s="822"/>
      <c r="V990" s="4279"/>
      <c r="W990" s="907">
        <v>0</v>
      </c>
      <c r="X990" s="907">
        <v>0</v>
      </c>
      <c r="Y990" s="906">
        <v>0</v>
      </c>
      <c r="Z990" s="906">
        <v>0</v>
      </c>
      <c r="AA990" s="906">
        <v>0</v>
      </c>
      <c r="AB990" s="906">
        <v>0</v>
      </c>
      <c r="AC990" s="906">
        <v>0</v>
      </c>
      <c r="AD990" s="906">
        <v>0</v>
      </c>
      <c r="AE990" s="907"/>
      <c r="AF990" s="907"/>
      <c r="AG990" s="907"/>
      <c r="AK990" s="732"/>
    </row>
    <row r="991" spans="2:37" hidden="1" outlineLevel="1" x14ac:dyDescent="0.35">
      <c r="B991" s="1040"/>
      <c r="D991" s="4341"/>
      <c r="E991" s="2398" t="s">
        <v>1906</v>
      </c>
      <c r="F991" s="906">
        <v>0</v>
      </c>
      <c r="G991" s="3766"/>
      <c r="H991" s="822"/>
      <c r="V991" s="4279"/>
      <c r="W991" s="907">
        <v>0</v>
      </c>
      <c r="X991" s="907">
        <v>0</v>
      </c>
      <c r="Y991" s="906">
        <v>0</v>
      </c>
      <c r="Z991" s="906">
        <v>0</v>
      </c>
      <c r="AA991" s="906">
        <v>0</v>
      </c>
      <c r="AB991" s="906">
        <v>0</v>
      </c>
      <c r="AC991" s="906">
        <v>0</v>
      </c>
      <c r="AD991" s="906">
        <v>0</v>
      </c>
      <c r="AE991" s="907"/>
      <c r="AF991" s="907"/>
      <c r="AG991" s="907"/>
      <c r="AK991" s="732"/>
    </row>
    <row r="992" spans="2:37" hidden="1" outlineLevel="1" x14ac:dyDescent="0.35">
      <c r="B992" s="1040"/>
      <c r="D992" s="4341"/>
      <c r="E992" s="368" t="s">
        <v>1908</v>
      </c>
      <c r="F992" s="267">
        <f>3.41*1+7*0</f>
        <v>3.41</v>
      </c>
      <c r="G992" s="3766"/>
      <c r="H992" s="822"/>
      <c r="V992" s="4279"/>
      <c r="W992" s="907">
        <v>3.4119999999999999</v>
      </c>
      <c r="X992" s="908">
        <f>3.41*1+7*0</f>
        <v>3.41</v>
      </c>
      <c r="Y992" s="267">
        <v>3.41</v>
      </c>
      <c r="Z992" s="267">
        <v>3.41</v>
      </c>
      <c r="AA992" s="267">
        <v>3.41</v>
      </c>
      <c r="AB992" s="267">
        <v>3.41</v>
      </c>
      <c r="AC992" s="267">
        <v>3.41</v>
      </c>
      <c r="AD992" s="267">
        <v>3.41</v>
      </c>
      <c r="AE992" s="907"/>
      <c r="AF992" s="907"/>
      <c r="AG992" s="907"/>
      <c r="AK992" s="732"/>
    </row>
    <row r="993" spans="2:57" hidden="1" outlineLevel="1" x14ac:dyDescent="0.35">
      <c r="B993" s="1040"/>
      <c r="D993" s="4342"/>
      <c r="E993" s="368" t="s">
        <v>1911</v>
      </c>
      <c r="F993" s="267">
        <f>3.41*1+7*0</f>
        <v>3.41</v>
      </c>
      <c r="G993" s="3767"/>
      <c r="H993" s="822"/>
      <c r="V993" s="4288"/>
      <c r="W993" s="907">
        <v>3.4119999999999999</v>
      </c>
      <c r="X993" s="908">
        <f>3.41*1+7*0</f>
        <v>3.41</v>
      </c>
      <c r="Y993" s="267">
        <v>3.41</v>
      </c>
      <c r="Z993" s="267">
        <v>3.41</v>
      </c>
      <c r="AA993" s="267">
        <v>3.41</v>
      </c>
      <c r="AB993" s="267">
        <v>3.41</v>
      </c>
      <c r="AC993" s="267">
        <v>3.41</v>
      </c>
      <c r="AD993" s="267">
        <v>3.41</v>
      </c>
      <c r="AE993" s="907"/>
      <c r="AF993" s="907"/>
      <c r="AG993" s="907"/>
      <c r="AK993" s="732"/>
    </row>
    <row r="994" spans="2:57" ht="58" hidden="1" outlineLevel="1" x14ac:dyDescent="0.35">
      <c r="B994" s="1040"/>
      <c r="D994" s="1413" t="s">
        <v>1924</v>
      </c>
      <c r="E994" s="368" t="s">
        <v>134</v>
      </c>
      <c r="F994" s="905">
        <v>1.8</v>
      </c>
      <c r="G994" s="984" t="s">
        <v>1913</v>
      </c>
      <c r="H994" s="822"/>
      <c r="V994" s="763" t="str">
        <f>D994</f>
        <v>Sbdegreesheating</v>
      </c>
      <c r="W994" s="777">
        <v>8</v>
      </c>
      <c r="X994" s="777">
        <v>8</v>
      </c>
      <c r="Y994" s="778">
        <v>1.8</v>
      </c>
      <c r="Z994" s="905">
        <v>1.8</v>
      </c>
      <c r="AA994" s="905">
        <v>1.8</v>
      </c>
      <c r="AB994" s="905">
        <v>1.8</v>
      </c>
      <c r="AC994" s="905">
        <v>1.8</v>
      </c>
      <c r="AD994" s="905">
        <v>1.8</v>
      </c>
      <c r="AE994" s="777"/>
      <c r="AF994" s="777"/>
      <c r="AG994" s="777"/>
      <c r="AK994" s="732"/>
    </row>
    <row r="995" spans="2:57" ht="16.5" hidden="1" outlineLevel="1" x14ac:dyDescent="0.35">
      <c r="B995" s="1040"/>
      <c r="D995" s="1413" t="s">
        <v>1925</v>
      </c>
      <c r="E995" s="368" t="s">
        <v>134</v>
      </c>
      <c r="F995" s="512">
        <v>0.03</v>
      </c>
      <c r="G995" s="2393" t="s">
        <v>1926</v>
      </c>
      <c r="H995" s="822"/>
      <c r="V995" s="763" t="str">
        <f>D995</f>
        <v>SFheating</v>
      </c>
      <c r="W995" s="761">
        <v>0.03</v>
      </c>
      <c r="X995" s="776">
        <v>0.03</v>
      </c>
      <c r="Y995" s="512">
        <v>0.03</v>
      </c>
      <c r="Z995" s="512">
        <v>0.03</v>
      </c>
      <c r="AA995" s="512">
        <v>0.03</v>
      </c>
      <c r="AB995" s="512">
        <v>0.03</v>
      </c>
      <c r="AC995" s="512">
        <v>0.03</v>
      </c>
      <c r="AD995" s="512">
        <v>0.03</v>
      </c>
      <c r="AE995" s="776"/>
      <c r="AF995" s="776"/>
      <c r="AG995" s="776"/>
      <c r="AK995" s="732"/>
    </row>
    <row r="996" spans="2:57" ht="16.5" hidden="1" outlineLevel="1" x14ac:dyDescent="0.35">
      <c r="B996" s="1040"/>
      <c r="D996" s="1413" t="s">
        <v>1927</v>
      </c>
      <c r="E996" s="368" t="s">
        <v>134</v>
      </c>
      <c r="F996" s="512">
        <v>0.13</v>
      </c>
      <c r="G996" s="2393" t="s">
        <v>284</v>
      </c>
      <c r="H996" s="368"/>
      <c r="V996" s="763" t="str">
        <f>D996</f>
        <v>EFheating</v>
      </c>
      <c r="W996" s="776">
        <v>0.13</v>
      </c>
      <c r="X996" s="776">
        <v>0.13</v>
      </c>
      <c r="Y996" s="776">
        <v>0.13</v>
      </c>
      <c r="Z996" s="512">
        <v>0.13</v>
      </c>
      <c r="AA996" s="512">
        <v>0.13</v>
      </c>
      <c r="AB996" s="512">
        <v>0.13</v>
      </c>
      <c r="AC996" s="512">
        <v>0.13</v>
      </c>
      <c r="AD996" s="512">
        <v>0.13</v>
      </c>
      <c r="AE996" s="776"/>
      <c r="AF996" s="776"/>
      <c r="AG996" s="776"/>
      <c r="AK996" s="732"/>
    </row>
    <row r="997" spans="2:57" hidden="1" outlineLevel="1" x14ac:dyDescent="0.35">
      <c r="B997" s="1040"/>
      <c r="C997" s="2378"/>
      <c r="D997" s="2094" t="str">
        <f>D912</f>
        <v>EUL</v>
      </c>
      <c r="E997" s="2094" t="str">
        <f>E912</f>
        <v>Effective Useful Life (All)</v>
      </c>
      <c r="F997" s="689">
        <v>10</v>
      </c>
      <c r="G997" s="2393"/>
      <c r="H997" s="822"/>
      <c r="V997" s="763" t="str">
        <f>D997</f>
        <v>EUL</v>
      </c>
      <c r="W997" s="810">
        <v>10</v>
      </c>
      <c r="X997" s="810">
        <v>10</v>
      </c>
      <c r="Y997" s="810">
        <v>10</v>
      </c>
      <c r="Z997" s="689">
        <v>10</v>
      </c>
      <c r="AA997" s="689">
        <v>10</v>
      </c>
      <c r="AB997" s="689">
        <v>10</v>
      </c>
      <c r="AC997" s="689">
        <v>10</v>
      </c>
      <c r="AD997" s="689">
        <v>10</v>
      </c>
      <c r="AE997" s="886"/>
      <c r="AF997" s="886"/>
      <c r="AG997" s="886"/>
      <c r="AK997" s="732"/>
    </row>
    <row r="998" spans="2:57" hidden="1" outlineLevel="1" x14ac:dyDescent="0.35">
      <c r="B998" s="1040"/>
      <c r="C998" s="2378"/>
      <c r="D998" s="4227" t="str">
        <f>D913</f>
        <v>Inc. Cost</v>
      </c>
      <c r="E998" s="2094" t="str">
        <f>E913</f>
        <v>Incremental Cost - Non-DI</v>
      </c>
      <c r="F998" s="1408">
        <v>70</v>
      </c>
      <c r="G998" s="2393"/>
      <c r="H998" s="822"/>
      <c r="V998" s="4407" t="str">
        <f>D998</f>
        <v>Inc. Cost</v>
      </c>
      <c r="W998" s="887">
        <v>70</v>
      </c>
      <c r="X998" s="904">
        <v>70</v>
      </c>
      <c r="Y998" s="904">
        <v>70</v>
      </c>
      <c r="Z998" s="1408">
        <v>70</v>
      </c>
      <c r="AA998" s="1408">
        <v>70</v>
      </c>
      <c r="AB998" s="1408">
        <v>70</v>
      </c>
      <c r="AC998" s="1408">
        <v>70</v>
      </c>
      <c r="AD998" s="1408">
        <v>70</v>
      </c>
      <c r="AE998" s="888"/>
      <c r="AF998" s="888"/>
      <c r="AG998" s="888"/>
      <c r="AK998" s="732"/>
    </row>
    <row r="999" spans="2:57" hidden="1" outlineLevel="1" x14ac:dyDescent="0.35">
      <c r="B999" s="1040"/>
      <c r="C999" s="2378"/>
      <c r="D999" s="3804"/>
      <c r="E999" s="2094" t="str">
        <f>E914</f>
        <v>Incremental Cost - Direct Install (DI)</v>
      </c>
      <c r="F999" s="1408">
        <v>70</v>
      </c>
      <c r="G999" s="2393"/>
      <c r="H999" s="822"/>
      <c r="V999" s="4388"/>
      <c r="W999" s="887">
        <v>70</v>
      </c>
      <c r="X999" s="904">
        <v>70</v>
      </c>
      <c r="Y999" s="904">
        <v>70</v>
      </c>
      <c r="Z999" s="1408">
        <v>70</v>
      </c>
      <c r="AA999" s="1408">
        <v>70</v>
      </c>
      <c r="AB999" s="1408">
        <v>70</v>
      </c>
      <c r="AC999" s="1408">
        <v>70</v>
      </c>
      <c r="AD999" s="1408">
        <v>70</v>
      </c>
      <c r="AE999" s="888"/>
      <c r="AF999" s="888"/>
      <c r="AG999" s="888"/>
      <c r="AK999" s="732"/>
    </row>
    <row r="1000" spans="2:57" collapsed="1" x14ac:dyDescent="0.35">
      <c r="B1000" s="1040"/>
      <c r="D1000" s="1409"/>
      <c r="E1000" s="292"/>
      <c r="F1000" s="1410"/>
      <c r="G1000" s="226"/>
      <c r="V1000" s="196" t="str">
        <f>IF(C995&gt;0,C995," ")</f>
        <v xml:space="preserve"> </v>
      </c>
      <c r="AK1000" s="732"/>
    </row>
    <row r="1001" spans="2:57" x14ac:dyDescent="0.35">
      <c r="V1001" s="196" t="str">
        <f>IF(C996&gt;0,C996," ")</f>
        <v xml:space="preserve"> </v>
      </c>
      <c r="AK1001" s="732"/>
    </row>
    <row r="1002" spans="2:57" x14ac:dyDescent="0.35">
      <c r="B1002" s="3664" t="s">
        <v>1928</v>
      </c>
      <c r="C1002" s="3665"/>
      <c r="D1002" s="3665"/>
      <c r="E1002" s="3665"/>
      <c r="F1002" s="3665"/>
      <c r="G1002" s="3665"/>
      <c r="H1002" s="3665"/>
      <c r="I1002" s="3666"/>
      <c r="J1002" s="3666"/>
      <c r="K1002" s="3666"/>
      <c r="L1002" s="3666"/>
      <c r="M1002" s="3666"/>
      <c r="N1002" s="3666"/>
      <c r="O1002" s="3666"/>
      <c r="P1002" s="3666"/>
      <c r="Q1002" s="3666"/>
      <c r="R1002" s="3667"/>
      <c r="V1002" s="3664" t="str">
        <f>B1002</f>
        <v>Thermostatic Restrictor Shower Valve</v>
      </c>
      <c r="W1002" s="3665"/>
      <c r="X1002" s="3665"/>
      <c r="Y1002" s="3665"/>
      <c r="Z1002" s="3665"/>
      <c r="AA1002" s="3665"/>
      <c r="AB1002" s="3665"/>
      <c r="AC1002" s="3680"/>
      <c r="AD1002" s="3680"/>
      <c r="AE1002" s="3680"/>
      <c r="AF1002" s="3680"/>
      <c r="AG1002" s="3680"/>
      <c r="AH1002" s="3680"/>
      <c r="AI1002" s="3681"/>
      <c r="AK1002" s="732"/>
    </row>
    <row r="1003" spans="2:57" x14ac:dyDescent="0.35">
      <c r="B1003" s="3143"/>
      <c r="D1003" s="367"/>
      <c r="E1003" s="367"/>
      <c r="F1003" s="198"/>
      <c r="G1003" s="198"/>
      <c r="H1003" s="198"/>
      <c r="I1003" s="198"/>
      <c r="J1003" s="198"/>
      <c r="K1003" s="198"/>
      <c r="L1003" s="1219"/>
      <c r="AK1003" s="732"/>
    </row>
    <row r="1004" spans="2:57" ht="49.5" customHeight="1" x14ac:dyDescent="0.35">
      <c r="B1004" s="3143"/>
      <c r="C1004" s="2966" t="s">
        <v>27</v>
      </c>
      <c r="D1004" s="2957" t="s">
        <v>174</v>
      </c>
      <c r="E1004" s="2957" t="s">
        <v>29</v>
      </c>
      <c r="F1004" s="2957" t="s">
        <v>1670</v>
      </c>
      <c r="G1004" s="2957" t="s">
        <v>175</v>
      </c>
      <c r="H1004" s="2957" t="s">
        <v>176</v>
      </c>
      <c r="I1004" s="2957" t="s">
        <v>588</v>
      </c>
      <c r="J1004" s="2957" t="s">
        <v>31</v>
      </c>
      <c r="K1004" s="2957" t="s">
        <v>180</v>
      </c>
      <c r="L1004" s="2957" t="s">
        <v>169</v>
      </c>
      <c r="M1004" s="2957" t="s">
        <v>43</v>
      </c>
      <c r="V1004" s="1572" t="s">
        <v>44</v>
      </c>
      <c r="W1004" s="1573">
        <f>W$6</f>
        <v>43252</v>
      </c>
      <c r="X1004" s="1573">
        <f t="shared" ref="X1004:AG1004" si="137">X$6</f>
        <v>43465</v>
      </c>
      <c r="Y1004" s="316">
        <f t="shared" si="137"/>
        <v>43800</v>
      </c>
      <c r="Z1004" s="1573">
        <f t="shared" si="137"/>
        <v>43862</v>
      </c>
      <c r="AA1004" s="1573">
        <f t="shared" si="137"/>
        <v>44013</v>
      </c>
      <c r="AB1004" s="1573">
        <f t="shared" si="137"/>
        <v>44166</v>
      </c>
      <c r="AC1004" s="1573">
        <f t="shared" si="137"/>
        <v>44531</v>
      </c>
      <c r="AD1004" s="1573">
        <f t="shared" si="137"/>
        <v>44774</v>
      </c>
      <c r="AE1004" s="1573" t="str">
        <f t="shared" si="137"/>
        <v>-</v>
      </c>
      <c r="AF1004" s="1573" t="str">
        <f t="shared" si="137"/>
        <v>-</v>
      </c>
      <c r="AG1004" s="1573" t="str">
        <f t="shared" si="137"/>
        <v>-</v>
      </c>
      <c r="AK1004" s="732"/>
      <c r="BB1004" s="1574" t="str">
        <f>$BB$6</f>
        <v>TRC (2022)</v>
      </c>
      <c r="BC1004" s="1584" t="str">
        <f>$BC$6</f>
        <v>Benefit Lookup</v>
      </c>
      <c r="BD1004" s="556" t="str">
        <f>$BD$6</f>
        <v>Benefits (2019 $)</v>
      </c>
      <c r="BE1004" s="200" t="str">
        <f>$BE$6</f>
        <v>Incremental Cost (2019 $)</v>
      </c>
    </row>
    <row r="1005" spans="2:57" x14ac:dyDescent="0.35">
      <c r="B1005" s="3143"/>
      <c r="C1005" s="3142" t="s">
        <v>1929</v>
      </c>
      <c r="D1005" s="2972" t="s">
        <v>4296</v>
      </c>
      <c r="E1005" s="2970" t="s">
        <v>4310</v>
      </c>
      <c r="F1005" s="461">
        <f>ROUND(G1015*(G1016*G1017)*G1018*G1020*G1021/G1022*I1005*G1031*G1030,2)</f>
        <v>41.68</v>
      </c>
      <c r="G1005" s="395" t="s">
        <v>1830</v>
      </c>
      <c r="H1005" s="136">
        <f>VLOOKUP(G1005,'CP FACTORS'!$A$3:$B$38, 2, FALSE)</f>
        <v>8.8731800000000003E-5</v>
      </c>
      <c r="I1005" s="458">
        <f>G1024*G1025*(G1026-G1027)/(G1028*G1029)</f>
        <v>0.10886576787807739</v>
      </c>
      <c r="J1005" s="1384">
        <f>ROUND(F1005*H1005,6)</f>
        <v>3.6979999999999999E-3</v>
      </c>
      <c r="K1005" s="92">
        <f>$G$1032</f>
        <v>10</v>
      </c>
      <c r="L1005" s="909">
        <f>$G$1034</f>
        <v>50</v>
      </c>
      <c r="M1005" s="395" t="s">
        <v>184</v>
      </c>
      <c r="V1005" s="141" t="str">
        <f>$F$1004</f>
        <v>kWh
Annual Savings</v>
      </c>
      <c r="W1005" s="910">
        <v>41.682564640276333</v>
      </c>
      <c r="X1005" s="372">
        <v>41.682564640276333</v>
      </c>
      <c r="Y1005" s="731">
        <v>41.68</v>
      </c>
      <c r="Z1005" s="731">
        <v>41.68</v>
      </c>
      <c r="AA1005" s="731">
        <v>41.68</v>
      </c>
      <c r="AB1005" s="731">
        <v>41.68</v>
      </c>
      <c r="AC1005" s="731">
        <v>41.68</v>
      </c>
      <c r="AD1005" s="731">
        <v>41.68</v>
      </c>
      <c r="AE1005" s="141"/>
      <c r="AF1005" s="141"/>
      <c r="AG1005" s="141"/>
      <c r="AK1005" s="732"/>
      <c r="BB1005" s="1578">
        <f>(BD1005)/(BE1005)</f>
        <v>0.2979537350131562</v>
      </c>
      <c r="BC1005" s="2381" t="str">
        <f>CONCATENATE(G1005," ",K1005," Year EUL")</f>
        <v>Water heating RES 10 Year EUL</v>
      </c>
      <c r="BD1005" s="95">
        <f>(INDEX('Avoided Cost Benefits'!$E$4:$E$859,MATCH(BC1005,'Avoided Cost Benefits'!$A$4:$A$859,0)))*F1005</f>
        <v>14.061054035543</v>
      </c>
      <c r="BE1005" s="1579">
        <f>L1005/(1.0595^(2020-2019))</f>
        <v>47.192071731949028</v>
      </c>
    </row>
    <row r="1006" spans="2:57" x14ac:dyDescent="0.35">
      <c r="B1006" s="3143"/>
      <c r="C1006" s="3142" t="s">
        <v>1930</v>
      </c>
      <c r="D1006" s="2972" t="s">
        <v>4294</v>
      </c>
      <c r="E1006" s="2970" t="s">
        <v>4311</v>
      </c>
      <c r="F1006" s="461">
        <f>ROUND(G1015*(G1016*G1017)*G1019*G1020*G1021/G1023*I1005*G1031*G1030,2)</f>
        <v>47.32</v>
      </c>
      <c r="G1006" s="395" t="s">
        <v>1830</v>
      </c>
      <c r="H1006" s="136">
        <f>VLOOKUP(G1006,'CP FACTORS'!$A$3:$B$38, 2, FALSE)</f>
        <v>8.8731800000000003E-5</v>
      </c>
      <c r="I1006" s="458">
        <f>G1025*G1026*(G1027-G1028)/(G1029*G1030)</f>
        <v>1.8562719812426731</v>
      </c>
      <c r="J1006" s="1384">
        <f>ROUND(F1006*H1006,6)</f>
        <v>4.1989999999999996E-3</v>
      </c>
      <c r="K1006" s="92">
        <f>$G$1032</f>
        <v>10</v>
      </c>
      <c r="L1006" s="909">
        <f>$G$1034</f>
        <v>50</v>
      </c>
      <c r="M1006" s="395" t="s">
        <v>184</v>
      </c>
      <c r="V1006" s="141" t="str">
        <f>$F$1004</f>
        <v>kWh
Annual Savings</v>
      </c>
      <c r="W1006" s="910">
        <v>47.3194122661885</v>
      </c>
      <c r="X1006" s="372">
        <v>47.3194122661885</v>
      </c>
      <c r="Y1006" s="731">
        <v>47.32</v>
      </c>
      <c r="Z1006" s="731">
        <v>47.32</v>
      </c>
      <c r="AA1006" s="731">
        <v>47.32</v>
      </c>
      <c r="AB1006" s="731">
        <v>47.32</v>
      </c>
      <c r="AC1006" s="731">
        <v>47.32</v>
      </c>
      <c r="AD1006" s="731">
        <v>47.32</v>
      </c>
      <c r="AE1006" s="141"/>
      <c r="AF1006" s="141"/>
      <c r="AG1006" s="141"/>
      <c r="AK1006" s="732"/>
      <c r="BB1006" s="41">
        <f>(BD1006)/(BE1006)</f>
        <v>0.33827185078748928</v>
      </c>
      <c r="BC1006" s="1580" t="str">
        <f>CONCATENATE(G1006," ",K1006," Year EUL")</f>
        <v>Water heating RES 10 Year EUL</v>
      </c>
      <c r="BD1006" s="102">
        <f>(INDEX('Avoided Cost Benefits'!$E$4:$E$859,MATCH(BC1006,'Avoided Cost Benefits'!$A$4:$A$859,0)))*F1006</f>
        <v>15.963749447262352</v>
      </c>
      <c r="BE1006" s="1582">
        <f>L1006/(1.0595^(2020-2019))</f>
        <v>47.192071731949028</v>
      </c>
    </row>
    <row r="1007" spans="2:57" hidden="1" outlineLevel="1" x14ac:dyDescent="0.35">
      <c r="B1007" s="3143"/>
      <c r="C1007" s="3128"/>
      <c r="D1007" s="3129"/>
      <c r="E1007" s="3129"/>
      <c r="F1007" s="3130"/>
      <c r="G1007" s="3128"/>
      <c r="H1007" s="3141"/>
      <c r="I1007" s="3133"/>
      <c r="J1007" s="3132"/>
      <c r="K1007" s="3132"/>
      <c r="L1007" s="3133"/>
      <c r="M1007" s="3133"/>
      <c r="AK1007" s="732"/>
    </row>
    <row r="1008" spans="2:57" hidden="1" outlineLevel="1" x14ac:dyDescent="0.35">
      <c r="B1008" s="3143"/>
      <c r="C1008" s="3128"/>
      <c r="D1008" s="3134" t="s">
        <v>107</v>
      </c>
      <c r="E1008" s="3129"/>
      <c r="F1008" s="3133"/>
      <c r="G1008" s="3133"/>
      <c r="H1008" s="3131"/>
      <c r="I1008" s="3132"/>
      <c r="J1008" s="3133"/>
      <c r="K1008" s="3133"/>
      <c r="L1008" s="3133"/>
      <c r="M1008" s="3133"/>
      <c r="AK1008" s="732"/>
    </row>
    <row r="1009" spans="2:37" hidden="1" outlineLevel="1" x14ac:dyDescent="0.35">
      <c r="B1009" s="3143"/>
      <c r="C1009" s="3128"/>
      <c r="D1009" s="3129"/>
      <c r="E1009" s="3129"/>
      <c r="F1009" s="3133"/>
      <c r="G1009" s="3133"/>
      <c r="H1009" s="3133"/>
      <c r="I1009" s="3133"/>
      <c r="J1009" s="3133"/>
      <c r="K1009" s="3133"/>
      <c r="L1009" s="3133"/>
      <c r="M1009" s="3133"/>
      <c r="AK1009" s="732"/>
    </row>
    <row r="1010" spans="2:37" hidden="1" outlineLevel="1" x14ac:dyDescent="0.35">
      <c r="B1010" s="3143"/>
      <c r="C1010" s="3128"/>
      <c r="D1010" s="3129"/>
      <c r="E1010" s="3129"/>
      <c r="F1010" s="3133"/>
      <c r="G1010" s="3133"/>
      <c r="H1010" s="3133"/>
      <c r="I1010" s="3133"/>
      <c r="J1010" s="3133"/>
      <c r="K1010" s="3133"/>
      <c r="L1010" s="3133"/>
      <c r="M1010" s="3133"/>
      <c r="AK1010" s="732"/>
    </row>
    <row r="1011" spans="2:37" hidden="1" outlineLevel="1" x14ac:dyDescent="0.35">
      <c r="B1011" s="3143"/>
      <c r="C1011" s="3128"/>
      <c r="D1011" s="3129"/>
      <c r="E1011" s="3129"/>
      <c r="F1011" s="3133"/>
      <c r="G1011" s="3133"/>
      <c r="H1011" s="3133"/>
      <c r="I1011" s="3133"/>
      <c r="J1011" s="3133"/>
      <c r="K1011" s="3133"/>
      <c r="L1011" s="3133"/>
      <c r="M1011" s="3133"/>
      <c r="AK1011" s="732"/>
    </row>
    <row r="1012" spans="2:37" ht="15" hidden="1" customHeight="1" outlineLevel="1" x14ac:dyDescent="0.35">
      <c r="B1012" s="3143"/>
      <c r="C1012" s="3128"/>
      <c r="D1012" s="3118"/>
      <c r="E1012" s="3129"/>
      <c r="F1012" s="3133"/>
      <c r="G1012" s="3133"/>
      <c r="H1012" s="3133"/>
      <c r="I1012" s="3133"/>
      <c r="J1012" s="3133"/>
      <c r="K1012" s="3133"/>
      <c r="L1012" s="3133"/>
      <c r="M1012" s="3133"/>
      <c r="AK1012" s="732"/>
    </row>
    <row r="1013" spans="2:37" ht="15" hidden="1" customHeight="1" outlineLevel="1" x14ac:dyDescent="0.35">
      <c r="B1013" s="3143"/>
      <c r="C1013" s="3128"/>
      <c r="D1013" s="3129"/>
      <c r="E1013" s="3129"/>
      <c r="F1013" s="3133"/>
      <c r="G1013" s="3133"/>
      <c r="H1013" s="3133"/>
      <c r="I1013" s="3133"/>
      <c r="J1013" s="3133"/>
      <c r="K1013" s="3133"/>
      <c r="L1013" s="3133"/>
      <c r="M1013" s="3133"/>
      <c r="AK1013" s="732"/>
    </row>
    <row r="1014" spans="2:37" ht="15" hidden="1" customHeight="1" outlineLevel="1" x14ac:dyDescent="0.35">
      <c r="D1014" s="2986" t="s">
        <v>108</v>
      </c>
      <c r="E1014" s="2986" t="s">
        <v>109</v>
      </c>
      <c r="F1014" s="2957" t="s">
        <v>185</v>
      </c>
      <c r="G1014" s="2957" t="s">
        <v>111</v>
      </c>
      <c r="H1014" s="3741" t="s">
        <v>186</v>
      </c>
      <c r="I1014" s="3741"/>
      <c r="J1014" s="4408" t="s">
        <v>112</v>
      </c>
      <c r="K1014" s="4408"/>
      <c r="L1014" s="4408"/>
      <c r="M1014" s="756"/>
      <c r="N1014" s="756"/>
      <c r="O1014" s="756"/>
      <c r="P1014" s="756"/>
      <c r="Q1014" s="756"/>
      <c r="V1014" s="1572" t="s">
        <v>44</v>
      </c>
      <c r="W1014" s="1573">
        <f>W$6</f>
        <v>43252</v>
      </c>
      <c r="X1014" s="1573">
        <f t="shared" ref="X1014:AG1014" si="138">X$6</f>
        <v>43465</v>
      </c>
      <c r="Y1014" s="316">
        <f t="shared" si="138"/>
        <v>43800</v>
      </c>
      <c r="Z1014" s="1573">
        <f t="shared" si="138"/>
        <v>43862</v>
      </c>
      <c r="AA1014" s="1573">
        <f t="shared" si="138"/>
        <v>44013</v>
      </c>
      <c r="AB1014" s="1573">
        <f t="shared" si="138"/>
        <v>44166</v>
      </c>
      <c r="AC1014" s="1573">
        <f t="shared" si="138"/>
        <v>44531</v>
      </c>
      <c r="AD1014" s="1573">
        <f t="shared" si="138"/>
        <v>44774</v>
      </c>
      <c r="AE1014" s="1573" t="str">
        <f t="shared" si="138"/>
        <v>-</v>
      </c>
      <c r="AF1014" s="1573" t="str">
        <f t="shared" si="138"/>
        <v>-</v>
      </c>
      <c r="AG1014" s="1573" t="str">
        <f t="shared" si="138"/>
        <v>-</v>
      </c>
      <c r="AK1014" s="732"/>
    </row>
    <row r="1015" spans="2:37" ht="30" hidden="1" customHeight="1" outlineLevel="1" x14ac:dyDescent="0.35">
      <c r="D1015" s="2961" t="s">
        <v>596</v>
      </c>
      <c r="E1015" s="2961" t="s">
        <v>597</v>
      </c>
      <c r="F1015" s="874"/>
      <c r="G1015" s="874">
        <v>1</v>
      </c>
      <c r="H1015" s="3834" t="s">
        <v>583</v>
      </c>
      <c r="I1015" s="3834"/>
      <c r="J1015" s="4320" t="s">
        <v>1931</v>
      </c>
      <c r="K1015" s="4320"/>
      <c r="L1015" s="4320"/>
      <c r="M1015" s="756"/>
      <c r="N1015" s="756"/>
      <c r="O1015" s="756"/>
      <c r="P1015" s="756"/>
      <c r="Q1015" s="756"/>
      <c r="V1015" s="2407" t="str">
        <f>D1015</f>
        <v>%Electric DHW</v>
      </c>
      <c r="W1015" s="912">
        <v>1</v>
      </c>
      <c r="X1015" s="912">
        <v>1</v>
      </c>
      <c r="Y1015" s="912">
        <v>1</v>
      </c>
      <c r="Z1015" s="912">
        <v>1</v>
      </c>
      <c r="AA1015" s="912">
        <v>1</v>
      </c>
      <c r="AB1015" s="912">
        <v>1</v>
      </c>
      <c r="AC1015" s="918">
        <v>1</v>
      </c>
      <c r="AD1015" s="918">
        <v>1</v>
      </c>
      <c r="AE1015" s="807"/>
      <c r="AF1015" s="807"/>
      <c r="AG1015" s="807"/>
      <c r="AK1015" s="732"/>
    </row>
    <row r="1016" spans="2:37" ht="101.25" hidden="1" customHeight="1" outlineLevel="1" x14ac:dyDescent="0.35">
      <c r="D1016" s="2963" t="s">
        <v>1932</v>
      </c>
      <c r="E1016" s="2963" t="s">
        <v>669</v>
      </c>
      <c r="F1016" s="2976"/>
      <c r="G1016" s="2976">
        <v>1.5</v>
      </c>
      <c r="H1016" s="3817" t="s">
        <v>671</v>
      </c>
      <c r="I1016" s="3817"/>
      <c r="J1016" s="4410" t="s">
        <v>1933</v>
      </c>
      <c r="K1016" s="4410"/>
      <c r="L1016" s="4410"/>
      <c r="M1016" s="756"/>
      <c r="N1016" s="756"/>
      <c r="O1016" s="756"/>
      <c r="P1016" s="756"/>
      <c r="Q1016" s="756"/>
      <c r="V1016" s="2407" t="str">
        <f>D1016</f>
        <v>GPMbase</v>
      </c>
      <c r="W1016" s="913">
        <v>1.5</v>
      </c>
      <c r="X1016" s="913">
        <v>1.5</v>
      </c>
      <c r="Y1016" s="913">
        <v>1.5</v>
      </c>
      <c r="Z1016" s="913">
        <v>1.5</v>
      </c>
      <c r="AA1016" s="913">
        <v>1.5</v>
      </c>
      <c r="AB1016" s="913">
        <v>1.5</v>
      </c>
      <c r="AC1016" s="2369">
        <v>1.5</v>
      </c>
      <c r="AD1016" s="2965">
        <v>1.5</v>
      </c>
      <c r="AE1016" s="863"/>
      <c r="AF1016" s="863"/>
      <c r="AG1016" s="863"/>
      <c r="AK1016" s="732"/>
    </row>
    <row r="1017" spans="2:37" ht="102.75" hidden="1" customHeight="1" outlineLevel="1" x14ac:dyDescent="0.35">
      <c r="D1017" s="2333" t="s">
        <v>1934</v>
      </c>
      <c r="E1017" s="1367" t="s">
        <v>1860</v>
      </c>
      <c r="F1017" s="1411"/>
      <c r="G1017" s="1411">
        <v>0.89</v>
      </c>
      <c r="H1017" s="4313" t="s">
        <v>1935</v>
      </c>
      <c r="I1017" s="4313"/>
      <c r="J1017" s="4320" t="s">
        <v>1936</v>
      </c>
      <c r="K1017" s="4320"/>
      <c r="L1017" s="4320"/>
      <c r="M1017" s="756"/>
      <c r="N1017" s="756"/>
      <c r="O1017" s="756"/>
      <c r="P1017" s="756"/>
      <c r="Q1017" s="756"/>
      <c r="V1017" s="2407" t="str">
        <f>D1017</f>
        <v>Lbase</v>
      </c>
      <c r="W1017" s="914">
        <v>0.89</v>
      </c>
      <c r="X1017" s="914">
        <v>0.89</v>
      </c>
      <c r="Y1017" s="914">
        <v>0.89</v>
      </c>
      <c r="Z1017" s="914">
        <v>0.89</v>
      </c>
      <c r="AA1017" s="914">
        <v>0.89</v>
      </c>
      <c r="AB1017" s="914">
        <v>0.89</v>
      </c>
      <c r="AC1017" s="1411">
        <v>0.89</v>
      </c>
      <c r="AD1017" s="1411">
        <v>0.89</v>
      </c>
      <c r="AE1017" s="809"/>
      <c r="AF1017" s="809"/>
      <c r="AG1017" s="809"/>
      <c r="AK1017" s="732"/>
    </row>
    <row r="1018" spans="2:37" hidden="1" outlineLevel="1" x14ac:dyDescent="0.35">
      <c r="D1018" s="3816" t="s">
        <v>199</v>
      </c>
      <c r="E1018" s="4321" t="s">
        <v>678</v>
      </c>
      <c r="F1018" s="1411" t="s">
        <v>318</v>
      </c>
      <c r="G1018" s="1411">
        <v>2.67</v>
      </c>
      <c r="H1018" s="4314" t="s">
        <v>977</v>
      </c>
      <c r="I1018" s="4325"/>
      <c r="J1018" s="3866"/>
      <c r="K1018" s="4355"/>
      <c r="L1018" s="3867"/>
      <c r="M1018" s="756"/>
      <c r="N1018" s="756"/>
      <c r="O1018" s="756"/>
      <c r="P1018" s="756"/>
      <c r="Q1018" s="756"/>
      <c r="V1018" s="4387" t="str">
        <f>D1018</f>
        <v>Household</v>
      </c>
      <c r="W1018" s="914">
        <v>2.67</v>
      </c>
      <c r="X1018" s="914">
        <v>2.67</v>
      </c>
      <c r="Y1018" s="914">
        <v>2.67</v>
      </c>
      <c r="Z1018" s="914">
        <v>2.67</v>
      </c>
      <c r="AA1018" s="914">
        <v>2.67</v>
      </c>
      <c r="AB1018" s="914">
        <v>2.67</v>
      </c>
      <c r="AC1018" s="1411">
        <v>2.67</v>
      </c>
      <c r="AD1018" s="1411">
        <v>2.67</v>
      </c>
      <c r="AE1018" s="809"/>
      <c r="AF1018" s="809"/>
      <c r="AG1018" s="809"/>
      <c r="AK1018" s="732"/>
    </row>
    <row r="1019" spans="2:37" hidden="1" outlineLevel="1" x14ac:dyDescent="0.35">
      <c r="D1019" s="3817"/>
      <c r="E1019" s="4322"/>
      <c r="F1019" s="1411" t="s">
        <v>320</v>
      </c>
      <c r="G1019" s="1411">
        <v>2.0699999999999998</v>
      </c>
      <c r="H1019" s="4314" t="s">
        <v>977</v>
      </c>
      <c r="I1019" s="4325"/>
      <c r="J1019" s="3866"/>
      <c r="K1019" s="4355"/>
      <c r="L1019" s="3867"/>
      <c r="M1019" s="756"/>
      <c r="N1019" s="756"/>
      <c r="O1019" s="756"/>
      <c r="P1019" s="756"/>
      <c r="Q1019" s="756"/>
      <c r="V1019" s="4388"/>
      <c r="W1019" s="914">
        <v>2.0699999999999998</v>
      </c>
      <c r="X1019" s="914">
        <v>2.0699999999999998</v>
      </c>
      <c r="Y1019" s="914">
        <v>2.0699999999999998</v>
      </c>
      <c r="Z1019" s="914">
        <v>2.0699999999999998</v>
      </c>
      <c r="AA1019" s="914">
        <v>2.0699999999999998</v>
      </c>
      <c r="AB1019" s="914">
        <v>2.0699999999999998</v>
      </c>
      <c r="AC1019" s="1411">
        <v>2.0699999999999998</v>
      </c>
      <c r="AD1019" s="1411">
        <v>2.0699999999999998</v>
      </c>
      <c r="AE1019" s="809"/>
      <c r="AF1019" s="809"/>
      <c r="AG1019" s="809"/>
      <c r="AK1019" s="732"/>
    </row>
    <row r="1020" spans="2:37" ht="70.5" hidden="1" customHeight="1" outlineLevel="1" x14ac:dyDescent="0.35">
      <c r="D1020" s="2333" t="s">
        <v>682</v>
      </c>
      <c r="E1020" s="1367" t="s">
        <v>1863</v>
      </c>
      <c r="F1020" s="1411"/>
      <c r="G1020" s="1411">
        <v>0.66</v>
      </c>
      <c r="H1020" s="4313" t="s">
        <v>1861</v>
      </c>
      <c r="I1020" s="4313"/>
      <c r="J1020" s="4320" t="s">
        <v>652</v>
      </c>
      <c r="K1020" s="4320"/>
      <c r="L1020" s="4320"/>
      <c r="M1020" s="756"/>
      <c r="N1020" s="756"/>
      <c r="O1020" s="756"/>
      <c r="P1020" s="756"/>
      <c r="Q1020" s="756"/>
      <c r="V1020" s="2407" t="str">
        <f>D1020</f>
        <v>SPDC</v>
      </c>
      <c r="W1020" s="914">
        <v>0.66</v>
      </c>
      <c r="X1020" s="914">
        <v>0.66</v>
      </c>
      <c r="Y1020" s="914">
        <v>0.66</v>
      </c>
      <c r="Z1020" s="914">
        <v>0.66</v>
      </c>
      <c r="AA1020" s="914">
        <v>0.66</v>
      </c>
      <c r="AB1020" s="914">
        <v>0.66</v>
      </c>
      <c r="AC1020" s="1411">
        <v>0.66</v>
      </c>
      <c r="AD1020" s="1411">
        <v>0.66</v>
      </c>
      <c r="AE1020" s="809"/>
      <c r="AF1020" s="809"/>
      <c r="AG1020" s="809"/>
      <c r="AK1020" s="732"/>
    </row>
    <row r="1021" spans="2:37" hidden="1" outlineLevel="1" x14ac:dyDescent="0.35">
      <c r="D1021" s="2333">
        <v>365.25</v>
      </c>
      <c r="E1021" s="1367" t="s">
        <v>1865</v>
      </c>
      <c r="F1021" s="1411"/>
      <c r="G1021" s="1411">
        <v>365.25</v>
      </c>
      <c r="H1021" s="3804" t="s">
        <v>570</v>
      </c>
      <c r="I1021" s="3804"/>
      <c r="J1021" s="4320"/>
      <c r="K1021" s="4320"/>
      <c r="L1021" s="4320"/>
      <c r="M1021" s="756"/>
      <c r="N1021" s="756"/>
      <c r="O1021" s="756"/>
      <c r="P1021" s="756"/>
      <c r="Q1021" s="756"/>
      <c r="V1021" s="2407">
        <f>D1021</f>
        <v>365.25</v>
      </c>
      <c r="W1021" s="914">
        <v>365.25</v>
      </c>
      <c r="X1021" s="914">
        <v>365.25</v>
      </c>
      <c r="Y1021" s="914">
        <v>365.25</v>
      </c>
      <c r="Z1021" s="914">
        <v>365.25</v>
      </c>
      <c r="AA1021" s="914">
        <v>365.25</v>
      </c>
      <c r="AB1021" s="914">
        <v>365.25</v>
      </c>
      <c r="AC1021" s="1411">
        <v>365.25</v>
      </c>
      <c r="AD1021" s="1411">
        <v>365.25</v>
      </c>
      <c r="AE1021" s="809"/>
      <c r="AF1021" s="809"/>
      <c r="AG1021" s="809"/>
      <c r="AK1021" s="732"/>
    </row>
    <row r="1022" spans="2:37" hidden="1" outlineLevel="1" x14ac:dyDescent="0.35">
      <c r="D1022" s="3816" t="s">
        <v>685</v>
      </c>
      <c r="E1022" s="4321" t="s">
        <v>1866</v>
      </c>
      <c r="F1022" s="1411" t="s">
        <v>318</v>
      </c>
      <c r="G1022" s="1411">
        <v>2.0499999999999998</v>
      </c>
      <c r="H1022" s="4314" t="s">
        <v>977</v>
      </c>
      <c r="I1022" s="4325"/>
      <c r="J1022" s="3763"/>
      <c r="K1022" s="3763"/>
      <c r="L1022" s="3763"/>
      <c r="M1022" s="756"/>
      <c r="N1022" s="756"/>
      <c r="O1022" s="756"/>
      <c r="P1022" s="756"/>
      <c r="Q1022" s="756"/>
      <c r="V1022" s="4387" t="str">
        <f>D1022</f>
        <v>SPH</v>
      </c>
      <c r="W1022" s="914">
        <v>2.0499999999999998</v>
      </c>
      <c r="X1022" s="914">
        <v>2.0499999999999998</v>
      </c>
      <c r="Y1022" s="914">
        <v>2.0499999999999998</v>
      </c>
      <c r="Z1022" s="914">
        <v>2.0499999999999998</v>
      </c>
      <c r="AA1022" s="914">
        <v>2.0499999999999998</v>
      </c>
      <c r="AB1022" s="914">
        <v>2.0499999999999998</v>
      </c>
      <c r="AC1022" s="1411">
        <v>2.0499999999999998</v>
      </c>
      <c r="AD1022" s="1411">
        <v>2.0499999999999998</v>
      </c>
      <c r="AE1022" s="809"/>
      <c r="AF1022" s="809"/>
      <c r="AG1022" s="809"/>
      <c r="AK1022" s="732"/>
    </row>
    <row r="1023" spans="2:37" hidden="1" outlineLevel="1" x14ac:dyDescent="0.35">
      <c r="D1023" s="3817"/>
      <c r="E1023" s="4322"/>
      <c r="F1023" s="1411" t="s">
        <v>320</v>
      </c>
      <c r="G1023" s="1411">
        <v>1.4</v>
      </c>
      <c r="H1023" s="4314" t="s">
        <v>977</v>
      </c>
      <c r="I1023" s="4325"/>
      <c r="J1023" s="3763"/>
      <c r="K1023" s="3763"/>
      <c r="L1023" s="3763"/>
      <c r="M1023" s="756"/>
      <c r="N1023" s="756"/>
      <c r="O1023" s="756"/>
      <c r="P1023" s="756"/>
      <c r="Q1023" s="756"/>
      <c r="V1023" s="4388"/>
      <c r="W1023" s="914">
        <v>1.4</v>
      </c>
      <c r="X1023" s="914">
        <v>1.4</v>
      </c>
      <c r="Y1023" s="914">
        <v>1.4</v>
      </c>
      <c r="Z1023" s="914">
        <v>1.4</v>
      </c>
      <c r="AA1023" s="914">
        <v>1.4</v>
      </c>
      <c r="AB1023" s="914">
        <v>1.4</v>
      </c>
      <c r="AC1023" s="1411">
        <v>1.4</v>
      </c>
      <c r="AD1023" s="1411">
        <v>1.4</v>
      </c>
      <c r="AE1023" s="809"/>
      <c r="AF1023" s="809"/>
      <c r="AG1023" s="809"/>
      <c r="AK1023" s="732"/>
    </row>
    <row r="1024" spans="2:37" hidden="1" outlineLevel="1" x14ac:dyDescent="0.35">
      <c r="D1024" s="2333">
        <v>8.33</v>
      </c>
      <c r="E1024" s="1367" t="s">
        <v>626</v>
      </c>
      <c r="F1024" s="1411"/>
      <c r="G1024" s="1411">
        <v>8.33</v>
      </c>
      <c r="H1024" s="3834" t="s">
        <v>627</v>
      </c>
      <c r="I1024" s="3834"/>
      <c r="J1024" s="4320" t="s">
        <v>652</v>
      </c>
      <c r="K1024" s="4320"/>
      <c r="L1024" s="4320"/>
      <c r="M1024" s="756"/>
      <c r="N1024" s="756"/>
      <c r="O1024" s="756"/>
      <c r="P1024" s="756" t="s">
        <v>1937</v>
      </c>
      <c r="Q1024" s="756"/>
      <c r="V1024" s="2407">
        <f>D1024</f>
        <v>8.33</v>
      </c>
      <c r="W1024" s="914">
        <v>8.33</v>
      </c>
      <c r="X1024" s="914">
        <v>8.33</v>
      </c>
      <c r="Y1024" s="914">
        <v>8.33</v>
      </c>
      <c r="Z1024" s="914">
        <v>8.33</v>
      </c>
      <c r="AA1024" s="914">
        <v>8.33</v>
      </c>
      <c r="AB1024" s="914">
        <v>8.33</v>
      </c>
      <c r="AC1024" s="1411">
        <v>8.33</v>
      </c>
      <c r="AD1024" s="1411">
        <v>8.33</v>
      </c>
      <c r="AE1024" s="809"/>
      <c r="AF1024" s="809"/>
      <c r="AG1024" s="809"/>
      <c r="AK1024" s="732"/>
    </row>
    <row r="1025" spans="1:57" hidden="1" outlineLevel="1" x14ac:dyDescent="0.35">
      <c r="D1025" s="2333">
        <v>1</v>
      </c>
      <c r="E1025" s="1367" t="s">
        <v>1867</v>
      </c>
      <c r="F1025" s="1411"/>
      <c r="G1025" s="1411">
        <v>1</v>
      </c>
      <c r="H1025" s="3804" t="s">
        <v>629</v>
      </c>
      <c r="I1025" s="3804"/>
      <c r="J1025" s="4320" t="s">
        <v>652</v>
      </c>
      <c r="K1025" s="4320"/>
      <c r="L1025" s="4320"/>
      <c r="M1025" s="756"/>
      <c r="N1025" s="756"/>
      <c r="O1025" s="756"/>
      <c r="P1025" s="756"/>
      <c r="Q1025" s="756"/>
      <c r="V1025" s="2407">
        <f t="shared" ref="V1025:V1032" si="139">D1025</f>
        <v>1</v>
      </c>
      <c r="W1025" s="914">
        <v>1</v>
      </c>
      <c r="X1025" s="914">
        <v>1</v>
      </c>
      <c r="Y1025" s="914">
        <v>1</v>
      </c>
      <c r="Z1025" s="914">
        <v>1</v>
      </c>
      <c r="AA1025" s="914">
        <v>1</v>
      </c>
      <c r="AB1025" s="914">
        <v>1</v>
      </c>
      <c r="AC1025" s="1411">
        <v>1</v>
      </c>
      <c r="AD1025" s="1411">
        <v>1</v>
      </c>
      <c r="AE1025" s="809"/>
      <c r="AF1025" s="809"/>
      <c r="AG1025" s="809"/>
      <c r="AK1025" s="732"/>
    </row>
    <row r="1026" spans="1:57" hidden="1" outlineLevel="1" x14ac:dyDescent="0.35">
      <c r="D1026" s="2333" t="s">
        <v>687</v>
      </c>
      <c r="E1026" s="1367" t="s">
        <v>1868</v>
      </c>
      <c r="F1026" s="1411"/>
      <c r="G1026" s="1411">
        <v>105</v>
      </c>
      <c r="H1026" s="3804" t="s">
        <v>689</v>
      </c>
      <c r="I1026" s="3804"/>
      <c r="J1026" s="4320" t="s">
        <v>652</v>
      </c>
      <c r="K1026" s="4320"/>
      <c r="L1026" s="4320"/>
      <c r="M1026" s="756"/>
      <c r="N1026" s="756"/>
      <c r="O1026" s="756"/>
      <c r="P1026" s="756"/>
      <c r="Q1026" s="756"/>
      <c r="V1026" s="2407" t="str">
        <f t="shared" si="139"/>
        <v>ShowerTemp</v>
      </c>
      <c r="W1026" s="914">
        <v>105</v>
      </c>
      <c r="X1026" s="914">
        <v>105</v>
      </c>
      <c r="Y1026" s="914">
        <v>105</v>
      </c>
      <c r="Z1026" s="914">
        <v>105</v>
      </c>
      <c r="AA1026" s="914">
        <v>105</v>
      </c>
      <c r="AB1026" s="914">
        <v>105</v>
      </c>
      <c r="AC1026" s="1411">
        <v>105</v>
      </c>
      <c r="AD1026" s="1411">
        <v>105</v>
      </c>
      <c r="AE1026" s="809"/>
      <c r="AF1026" s="809"/>
      <c r="AG1026" s="809"/>
      <c r="AK1026" s="732"/>
    </row>
    <row r="1027" spans="1:57" hidden="1" outlineLevel="1" x14ac:dyDescent="0.35">
      <c r="B1027" s="1040"/>
      <c r="D1027" s="2333" t="s">
        <v>633</v>
      </c>
      <c r="E1027" s="1367" t="s">
        <v>1845</v>
      </c>
      <c r="F1027" s="1411"/>
      <c r="G1027" s="1411">
        <v>61.3</v>
      </c>
      <c r="H1027" s="3804" t="s">
        <v>635</v>
      </c>
      <c r="I1027" s="3804"/>
      <c r="J1027" s="4320" t="s">
        <v>652</v>
      </c>
      <c r="K1027" s="4320"/>
      <c r="L1027" s="4320"/>
      <c r="M1027" s="756"/>
      <c r="N1027" s="756"/>
      <c r="O1027" s="756"/>
      <c r="P1027" s="756"/>
      <c r="Q1027" s="756"/>
      <c r="V1027" s="2407" t="str">
        <f t="shared" si="139"/>
        <v>SupplyTemp</v>
      </c>
      <c r="W1027" s="914">
        <v>61.3</v>
      </c>
      <c r="X1027" s="914">
        <v>61.3</v>
      </c>
      <c r="Y1027" s="914">
        <v>61.3</v>
      </c>
      <c r="Z1027" s="914">
        <v>61.3</v>
      </c>
      <c r="AA1027" s="914">
        <v>61.3</v>
      </c>
      <c r="AB1027" s="914">
        <v>61.3</v>
      </c>
      <c r="AC1027" s="1411">
        <v>61.3</v>
      </c>
      <c r="AD1027" s="1411">
        <v>61.3</v>
      </c>
      <c r="AE1027" s="809"/>
      <c r="AF1027" s="809"/>
      <c r="AG1027" s="809"/>
      <c r="AK1027" s="732"/>
    </row>
    <row r="1028" spans="1:57" ht="16.5" hidden="1" outlineLevel="1" x14ac:dyDescent="0.35">
      <c r="B1028" s="1040"/>
      <c r="D1028" s="2333" t="s">
        <v>1938</v>
      </c>
      <c r="E1028" s="1367" t="s">
        <v>1846</v>
      </c>
      <c r="F1028" s="915"/>
      <c r="G1028" s="915">
        <v>0.98</v>
      </c>
      <c r="H1028" s="4313" t="s">
        <v>1847</v>
      </c>
      <c r="I1028" s="4313"/>
      <c r="J1028" s="4320" t="s">
        <v>652</v>
      </c>
      <c r="K1028" s="4320"/>
      <c r="L1028" s="4320"/>
      <c r="M1028" s="756"/>
      <c r="N1028" s="756"/>
      <c r="O1028" s="756"/>
      <c r="P1028" s="756"/>
      <c r="Q1028" s="756"/>
      <c r="V1028" s="2407" t="str">
        <f t="shared" si="139"/>
        <v>REelectric</v>
      </c>
      <c r="W1028" s="914">
        <v>0.98</v>
      </c>
      <c r="X1028" s="914">
        <v>0.98</v>
      </c>
      <c r="Y1028" s="914">
        <v>0.98</v>
      </c>
      <c r="Z1028" s="914">
        <v>0.98</v>
      </c>
      <c r="AA1028" s="914">
        <v>0.98</v>
      </c>
      <c r="AB1028" s="914">
        <v>0.98</v>
      </c>
      <c r="AC1028" s="915">
        <v>0.98</v>
      </c>
      <c r="AD1028" s="915">
        <v>0.98</v>
      </c>
      <c r="AE1028" s="809"/>
      <c r="AF1028" s="809"/>
      <c r="AG1028" s="809"/>
      <c r="AK1028" s="732"/>
    </row>
    <row r="1029" spans="1:57" hidden="1" outlineLevel="1" x14ac:dyDescent="0.35">
      <c r="B1029" s="1040"/>
      <c r="D1029" s="2333">
        <v>3412</v>
      </c>
      <c r="E1029" s="1367">
        <v>3412</v>
      </c>
      <c r="F1029" s="916"/>
      <c r="G1029" s="916">
        <v>3412</v>
      </c>
      <c r="H1029" s="3834" t="s">
        <v>217</v>
      </c>
      <c r="I1029" s="3834"/>
      <c r="J1029" s="4320" t="s">
        <v>1939</v>
      </c>
      <c r="K1029" s="4320"/>
      <c r="L1029" s="4320"/>
      <c r="M1029" s="756"/>
      <c r="N1029" s="756"/>
      <c r="O1029" s="756"/>
      <c r="P1029" s="756"/>
      <c r="Q1029" s="756"/>
      <c r="V1029" s="2407">
        <f t="shared" si="139"/>
        <v>3412</v>
      </c>
      <c r="W1029" s="917">
        <v>3412</v>
      </c>
      <c r="X1029" s="917">
        <v>3412</v>
      </c>
      <c r="Y1029" s="917">
        <v>3412</v>
      </c>
      <c r="Z1029" s="917">
        <v>3412</v>
      </c>
      <c r="AA1029" s="917">
        <v>3412</v>
      </c>
      <c r="AB1029" s="917">
        <v>3412</v>
      </c>
      <c r="AC1029" s="916">
        <v>3412</v>
      </c>
      <c r="AD1029" s="916">
        <v>3412</v>
      </c>
      <c r="AE1029" s="878"/>
      <c r="AF1029" s="878"/>
      <c r="AG1029" s="878"/>
      <c r="AK1029" s="732"/>
    </row>
    <row r="1030" spans="1:57" hidden="1" outlineLevel="1" x14ac:dyDescent="0.35">
      <c r="B1030" s="1040"/>
      <c r="D1030" s="2333" t="s">
        <v>516</v>
      </c>
      <c r="E1030" s="2333" t="s">
        <v>578</v>
      </c>
      <c r="F1030" s="918"/>
      <c r="G1030" s="918">
        <v>1</v>
      </c>
      <c r="H1030" s="3834" t="s">
        <v>583</v>
      </c>
      <c r="I1030" s="3834"/>
      <c r="J1030" s="4320" t="s">
        <v>1721</v>
      </c>
      <c r="K1030" s="4320"/>
      <c r="L1030" s="4320"/>
      <c r="M1030" s="756"/>
      <c r="N1030" s="756"/>
      <c r="O1030" s="756"/>
      <c r="P1030" s="756"/>
      <c r="Q1030" s="756"/>
      <c r="V1030" s="2407" t="str">
        <f t="shared" si="139"/>
        <v>Utility Adjustment</v>
      </c>
      <c r="W1030" s="912">
        <v>1</v>
      </c>
      <c r="X1030" s="912">
        <v>1</v>
      </c>
      <c r="Y1030" s="912">
        <v>1</v>
      </c>
      <c r="Z1030" s="912">
        <v>1</v>
      </c>
      <c r="AA1030" s="912">
        <v>1</v>
      </c>
      <c r="AB1030" s="912">
        <v>1</v>
      </c>
      <c r="AC1030" s="918">
        <v>1</v>
      </c>
      <c r="AD1030" s="918">
        <v>1</v>
      </c>
      <c r="AE1030" s="807"/>
      <c r="AF1030" s="807"/>
      <c r="AG1030" s="807"/>
      <c r="AK1030" s="732"/>
    </row>
    <row r="1031" spans="1:57" hidden="1" outlineLevel="1" x14ac:dyDescent="0.35">
      <c r="B1031" s="1040"/>
      <c r="D1031" s="2333" t="s">
        <v>132</v>
      </c>
      <c r="E1031" s="1367" t="s">
        <v>1722</v>
      </c>
      <c r="F1031" s="915"/>
      <c r="G1031" s="915">
        <v>0.91346153846153844</v>
      </c>
      <c r="H1031" s="4411" t="s">
        <v>1940</v>
      </c>
      <c r="I1031" s="4411"/>
      <c r="J1031" s="4320" t="s">
        <v>652</v>
      </c>
      <c r="K1031" s="4320"/>
      <c r="L1031" s="4320"/>
      <c r="M1031" s="756"/>
      <c r="N1031" s="756"/>
      <c r="O1031" s="756"/>
      <c r="P1031" s="756"/>
      <c r="Q1031" s="756"/>
      <c r="V1031" s="2407" t="str">
        <f t="shared" si="139"/>
        <v>ISR</v>
      </c>
      <c r="W1031" s="914">
        <v>0.91346153846153844</v>
      </c>
      <c r="X1031" s="914">
        <v>0.91346153846153844</v>
      </c>
      <c r="Y1031" s="914">
        <v>0.91346153846153844</v>
      </c>
      <c r="Z1031" s="914">
        <v>0.91346153846153844</v>
      </c>
      <c r="AA1031" s="914">
        <v>0.91346153846153844</v>
      </c>
      <c r="AB1031" s="914">
        <v>0.91346153846153844</v>
      </c>
      <c r="AC1031" s="915">
        <v>0.91346153846153844</v>
      </c>
      <c r="AD1031" s="915">
        <v>0.91346153846153844</v>
      </c>
      <c r="AE1031" s="809"/>
      <c r="AF1031" s="809"/>
      <c r="AG1031" s="809"/>
      <c r="AK1031" s="732"/>
    </row>
    <row r="1032" spans="1:57" hidden="1" outlineLevel="1" x14ac:dyDescent="0.35">
      <c r="B1032" s="1040"/>
      <c r="C1032" s="2378"/>
      <c r="D1032" s="2094" t="str">
        <f>D912</f>
        <v>EUL</v>
      </c>
      <c r="E1032" s="2094" t="str">
        <f>E912</f>
        <v>Effective Useful Life (All)</v>
      </c>
      <c r="F1032" s="88" t="s">
        <v>134</v>
      </c>
      <c r="G1032" s="919">
        <v>10</v>
      </c>
      <c r="H1032" s="4411"/>
      <c r="I1032" s="4411"/>
      <c r="J1032" s="4320"/>
      <c r="K1032" s="4320"/>
      <c r="L1032" s="4320"/>
      <c r="V1032" s="2407" t="str">
        <f t="shared" si="139"/>
        <v>EUL</v>
      </c>
      <c r="W1032" s="810">
        <v>10</v>
      </c>
      <c r="X1032" s="810">
        <v>10</v>
      </c>
      <c r="Y1032" s="810">
        <v>10</v>
      </c>
      <c r="Z1032" s="810">
        <v>10</v>
      </c>
      <c r="AA1032" s="810">
        <v>10</v>
      </c>
      <c r="AB1032" s="810">
        <v>10</v>
      </c>
      <c r="AC1032" s="919">
        <v>10</v>
      </c>
      <c r="AD1032" s="919">
        <v>10</v>
      </c>
      <c r="AE1032" s="886"/>
      <c r="AF1032" s="886"/>
      <c r="AG1032" s="886"/>
      <c r="AK1032" s="732"/>
    </row>
    <row r="1033" spans="1:57" hidden="1" outlineLevel="1" x14ac:dyDescent="0.35">
      <c r="B1033" s="1040"/>
      <c r="C1033" s="2378"/>
      <c r="D1033" s="4227" t="str">
        <f>D998</f>
        <v>Inc. Cost</v>
      </c>
      <c r="E1033" s="4227" t="str">
        <f>E881</f>
        <v>Incremental Cost</v>
      </c>
      <c r="F1033" s="88" t="s">
        <v>416</v>
      </c>
      <c r="G1033" s="920">
        <v>50</v>
      </c>
      <c r="H1033" s="4411"/>
      <c r="I1033" s="4411"/>
      <c r="J1033" s="4320"/>
      <c r="K1033" s="4320"/>
      <c r="L1033" s="4320"/>
      <c r="V1033" s="4407" t="str">
        <f>D1033</f>
        <v>Inc. Cost</v>
      </c>
      <c r="W1033" s="887">
        <v>50</v>
      </c>
      <c r="X1033" s="887">
        <v>50</v>
      </c>
      <c r="Y1033" s="887">
        <v>50</v>
      </c>
      <c r="Z1033" s="887">
        <v>50</v>
      </c>
      <c r="AA1033" s="887">
        <v>50</v>
      </c>
      <c r="AB1033" s="887">
        <v>50</v>
      </c>
      <c r="AC1033" s="920">
        <v>50</v>
      </c>
      <c r="AD1033" s="920">
        <v>50</v>
      </c>
      <c r="AE1033" s="888"/>
      <c r="AF1033" s="888"/>
      <c r="AG1033" s="888"/>
      <c r="AK1033" s="732"/>
    </row>
    <row r="1034" spans="1:57" hidden="1" outlineLevel="1" x14ac:dyDescent="0.35">
      <c r="B1034" s="1040"/>
      <c r="C1034" s="2378"/>
      <c r="D1034" s="3804"/>
      <c r="E1034" s="3804"/>
      <c r="F1034" s="88" t="s">
        <v>417</v>
      </c>
      <c r="G1034" s="920">
        <v>50</v>
      </c>
      <c r="H1034" s="4411"/>
      <c r="I1034" s="4411"/>
      <c r="J1034" s="4320"/>
      <c r="K1034" s="4320"/>
      <c r="L1034" s="4320"/>
      <c r="V1034" s="4388"/>
      <c r="W1034" s="887">
        <v>50</v>
      </c>
      <c r="X1034" s="887">
        <v>50</v>
      </c>
      <c r="Y1034" s="887">
        <v>50</v>
      </c>
      <c r="Z1034" s="887">
        <v>50</v>
      </c>
      <c r="AA1034" s="887">
        <v>50</v>
      </c>
      <c r="AB1034" s="887">
        <v>50</v>
      </c>
      <c r="AC1034" s="920">
        <v>50</v>
      </c>
      <c r="AD1034" s="920">
        <v>50</v>
      </c>
      <c r="AE1034" s="888"/>
      <c r="AF1034" s="888"/>
      <c r="AG1034" s="888"/>
      <c r="AK1034" s="732"/>
    </row>
    <row r="1035" spans="1:57" ht="15" customHeight="1" collapsed="1" x14ac:dyDescent="0.35">
      <c r="B1035" s="1040"/>
      <c r="Y1035" s="790" t="s">
        <v>1578</v>
      </c>
      <c r="Z1035" s="380"/>
      <c r="AA1035" s="380"/>
      <c r="AK1035" s="732"/>
    </row>
    <row r="1036" spans="1:57" ht="15" customHeight="1" x14ac:dyDescent="0.35">
      <c r="B1036" s="1040"/>
      <c r="AK1036" s="732"/>
    </row>
    <row r="1037" spans="1:57" ht="15" customHeight="1" x14ac:dyDescent="0.35">
      <c r="B1037" s="3664" t="s">
        <v>1941</v>
      </c>
      <c r="C1037" s="3665"/>
      <c r="D1037" s="3665"/>
      <c r="E1037" s="3665"/>
      <c r="F1037" s="3665"/>
      <c r="G1037" s="3665"/>
      <c r="H1037" s="3665"/>
      <c r="I1037" s="3666"/>
      <c r="J1037" s="3666"/>
      <c r="K1037" s="3666"/>
      <c r="L1037" s="3666"/>
      <c r="M1037" s="3666"/>
      <c r="N1037" s="3666"/>
      <c r="O1037" s="3666"/>
      <c r="P1037" s="3666"/>
      <c r="Q1037" s="3666"/>
      <c r="R1037" s="3667"/>
      <c r="V1037" s="3664" t="str">
        <f>B1037</f>
        <v>Water Heater Wrap</v>
      </c>
      <c r="W1037" s="3665"/>
      <c r="X1037" s="3665"/>
      <c r="Y1037" s="3665"/>
      <c r="Z1037" s="3665"/>
      <c r="AA1037" s="3665"/>
      <c r="AB1037" s="3665"/>
      <c r="AC1037" s="3680"/>
      <c r="AD1037" s="3680"/>
      <c r="AE1037" s="3680"/>
      <c r="AF1037" s="3680"/>
      <c r="AG1037" s="3680"/>
      <c r="AH1037" s="3680"/>
      <c r="AI1037" s="3681"/>
      <c r="AK1037" s="732"/>
    </row>
    <row r="1038" spans="1:57" ht="15" customHeight="1" x14ac:dyDescent="0.35">
      <c r="A1038" s="217"/>
      <c r="B1038" s="217"/>
      <c r="D1038" s="367"/>
      <c r="E1038" s="367"/>
      <c r="F1038" s="198"/>
      <c r="G1038" s="198"/>
      <c r="H1038" s="198"/>
      <c r="I1038" s="198"/>
      <c r="J1038" s="198"/>
      <c r="K1038" s="198"/>
      <c r="L1038" s="1219"/>
      <c r="AK1038" s="732"/>
    </row>
    <row r="1039" spans="1:57" ht="29" x14ac:dyDescent="0.35">
      <c r="B1039" s="1040"/>
      <c r="C1039" s="2331" t="s">
        <v>27</v>
      </c>
      <c r="D1039" s="2331" t="s">
        <v>174</v>
      </c>
      <c r="E1039" s="2331" t="s">
        <v>29</v>
      </c>
      <c r="F1039" s="2331" t="s">
        <v>1670</v>
      </c>
      <c r="G1039" s="2331" t="s">
        <v>175</v>
      </c>
      <c r="H1039" s="2331" t="s">
        <v>176</v>
      </c>
      <c r="I1039" s="2331" t="s">
        <v>31</v>
      </c>
      <c r="J1039" s="2331" t="s">
        <v>180</v>
      </c>
      <c r="K1039" s="2331" t="s">
        <v>169</v>
      </c>
      <c r="L1039" s="2331" t="s">
        <v>43</v>
      </c>
      <c r="V1039" s="1572" t="s">
        <v>44</v>
      </c>
      <c r="W1039" s="1573">
        <f>W$6</f>
        <v>43252</v>
      </c>
      <c r="X1039" s="1573">
        <f t="shared" ref="X1039:AG1039" si="140">X$6</f>
        <v>43465</v>
      </c>
      <c r="Y1039" s="316">
        <f t="shared" si="140"/>
        <v>43800</v>
      </c>
      <c r="Z1039" s="1573">
        <f t="shared" si="140"/>
        <v>43862</v>
      </c>
      <c r="AA1039" s="1573">
        <f t="shared" si="140"/>
        <v>44013</v>
      </c>
      <c r="AB1039" s="1573">
        <f t="shared" si="140"/>
        <v>44166</v>
      </c>
      <c r="AC1039" s="1573">
        <f t="shared" si="140"/>
        <v>44531</v>
      </c>
      <c r="AD1039" s="1573">
        <f t="shared" si="140"/>
        <v>44774</v>
      </c>
      <c r="AE1039" s="1573" t="str">
        <f t="shared" si="140"/>
        <v>-</v>
      </c>
      <c r="AF1039" s="1573" t="str">
        <f t="shared" si="140"/>
        <v>-</v>
      </c>
      <c r="AG1039" s="1573" t="str">
        <f t="shared" si="140"/>
        <v>-</v>
      </c>
      <c r="AK1039" s="732"/>
      <c r="BB1039" s="1574" t="str">
        <f>$BB$6</f>
        <v>TRC (2022)</v>
      </c>
      <c r="BC1039" s="1584" t="str">
        <f>$BC$6</f>
        <v>Benefit Lookup</v>
      </c>
      <c r="BD1039" s="556" t="str">
        <f>$BD$6</f>
        <v>Benefits (2019 $)</v>
      </c>
      <c r="BE1039" s="200" t="str">
        <f>$BE$6</f>
        <v>Incremental Cost (2019 $)</v>
      </c>
    </row>
    <row r="1040" spans="1:57" s="741" customFormat="1" ht="15" customHeight="1" x14ac:dyDescent="0.35">
      <c r="A1040" s="756"/>
      <c r="B1040" s="1328"/>
      <c r="C1040" s="395" t="s">
        <v>1942</v>
      </c>
      <c r="D1040" s="1279" t="s">
        <v>1517</v>
      </c>
      <c r="E1040" s="2381" t="s">
        <v>4312</v>
      </c>
      <c r="F1040" s="89">
        <f>ROUND(((((F1047/F1048)-(F1049/F1050))*F1051*F1052)/(F1053*F1054))*F1055*F1056*F1057,2)</f>
        <v>100.55</v>
      </c>
      <c r="G1040" s="395" t="s">
        <v>1830</v>
      </c>
      <c r="H1040" s="136">
        <f>VLOOKUP(G1040,'CP FACTORS'!$A$3:$B$38, 2, FALSE)</f>
        <v>8.8731800000000003E-5</v>
      </c>
      <c r="I1040" s="1278">
        <f>ROUND(F1040*H1040,6)</f>
        <v>8.9219999999999994E-3</v>
      </c>
      <c r="J1040" s="820">
        <f>F1058</f>
        <v>12</v>
      </c>
      <c r="K1040" s="921">
        <f>F1059</f>
        <v>58</v>
      </c>
      <c r="L1040" s="395" t="s">
        <v>184</v>
      </c>
      <c r="M1040" s="756"/>
      <c r="N1040" s="756"/>
      <c r="O1040" s="756"/>
      <c r="P1040" s="756"/>
      <c r="Q1040" s="756"/>
      <c r="R1040" s="756"/>
      <c r="S1040" s="756"/>
      <c r="T1040" s="756"/>
      <c r="U1040" s="756"/>
      <c r="V1040" s="851" t="str">
        <f>$F$1004</f>
        <v>kWh
Annual Savings</v>
      </c>
      <c r="W1040" s="731">
        <v>100.55</v>
      </c>
      <c r="X1040" s="731">
        <v>100.55</v>
      </c>
      <c r="Y1040" s="731">
        <v>100.55</v>
      </c>
      <c r="Z1040" s="731">
        <v>100.55</v>
      </c>
      <c r="AA1040" s="731">
        <v>100.55</v>
      </c>
      <c r="AB1040" s="731">
        <v>100.55</v>
      </c>
      <c r="AC1040" s="731">
        <v>100.55</v>
      </c>
      <c r="AD1040" s="731">
        <v>100.55</v>
      </c>
      <c r="AE1040" s="851"/>
      <c r="AF1040" s="851"/>
      <c r="AG1040" s="851"/>
      <c r="AK1040" s="853"/>
      <c r="BB1040" s="922">
        <f>(BD1040)/(BE1040)</f>
        <v>0.73316671840048975</v>
      </c>
      <c r="BC1040" s="2381" t="str">
        <f>CONCATENATE(G1040," ",J1040," Year EUL")</f>
        <v>Water heating RES 12 Year EUL</v>
      </c>
      <c r="BD1040" s="147">
        <f>(INDEX('Avoided Cost Benefits'!$E$4:$E$859,MATCH(BC1040,'Avoided Cost Benefits'!$A$4:$A$859,0)))*F1040</f>
        <v>40.135601384830963</v>
      </c>
      <c r="BE1040" s="923">
        <f>K1040/(1.0595^(2020-2019))</f>
        <v>54.742803209060874</v>
      </c>
    </row>
    <row r="1041" spans="1:54" ht="15" hidden="1" customHeight="1" outlineLevel="1" x14ac:dyDescent="0.35">
      <c r="B1041" s="1040"/>
      <c r="C1041" s="221"/>
      <c r="D1041" s="1021"/>
      <c r="E1041" s="1021"/>
      <c r="AK1041" s="732"/>
    </row>
    <row r="1042" spans="1:54" ht="15" hidden="1" customHeight="1" outlineLevel="1" x14ac:dyDescent="0.35">
      <c r="B1042" s="1040"/>
      <c r="C1042" s="221"/>
      <c r="D1042" s="152" t="s">
        <v>107</v>
      </c>
      <c r="E1042" s="690"/>
      <c r="F1042" s="1332"/>
      <c r="G1042" s="1332"/>
      <c r="AK1042" s="732"/>
    </row>
    <row r="1043" spans="1:54" ht="15" hidden="1" customHeight="1" outlineLevel="1" x14ac:dyDescent="0.35">
      <c r="B1043" s="1040"/>
      <c r="C1043" s="234"/>
      <c r="D1043" s="1388"/>
      <c r="E1043" s="1389"/>
      <c r="F1043" s="1335"/>
      <c r="G1043" s="1335"/>
      <c r="H1043" s="1335"/>
      <c r="I1043" s="1335"/>
      <c r="J1043" s="1335"/>
      <c r="AK1043" s="732"/>
    </row>
    <row r="1044" spans="1:54" ht="15" hidden="1" customHeight="1" outlineLevel="1" x14ac:dyDescent="0.35">
      <c r="B1044" s="1040"/>
      <c r="C1044" s="234"/>
      <c r="D1044" s="1388"/>
      <c r="E1044" s="1389"/>
      <c r="F1044" s="1335"/>
      <c r="G1044" s="1390"/>
      <c r="H1044" s="1390"/>
      <c r="I1044" s="1390"/>
      <c r="J1044" s="1335"/>
      <c r="AK1044" s="732"/>
    </row>
    <row r="1045" spans="1:54" hidden="1" outlineLevel="1" x14ac:dyDescent="0.35">
      <c r="B1045" s="1040"/>
      <c r="C1045" s="234"/>
      <c r="D1045" s="1333"/>
      <c r="E1045" s="1334"/>
      <c r="F1045" s="1335"/>
      <c r="G1045" s="1390"/>
      <c r="H1045" s="1390"/>
      <c r="I1045" s="1390"/>
      <c r="J1045" s="1335"/>
      <c r="AK1045" s="732"/>
    </row>
    <row r="1046" spans="1:54" hidden="1" outlineLevel="1" x14ac:dyDescent="0.35">
      <c r="B1046" s="1040"/>
      <c r="D1046" s="2423" t="s">
        <v>108</v>
      </c>
      <c r="E1046" s="2423" t="s">
        <v>109</v>
      </c>
      <c r="F1046" s="2362" t="s">
        <v>111</v>
      </c>
      <c r="G1046" s="3741" t="s">
        <v>186</v>
      </c>
      <c r="H1046" s="3741"/>
      <c r="I1046" s="2404" t="s">
        <v>112</v>
      </c>
      <c r="V1046" s="1572" t="s">
        <v>44</v>
      </c>
      <c r="W1046" s="1573">
        <f>W$6</f>
        <v>43252</v>
      </c>
      <c r="X1046" s="1573">
        <f t="shared" ref="X1046:AG1046" si="141">X$6</f>
        <v>43465</v>
      </c>
      <c r="Y1046" s="316">
        <f t="shared" si="141"/>
        <v>43800</v>
      </c>
      <c r="Z1046" s="1573">
        <f t="shared" si="141"/>
        <v>43862</v>
      </c>
      <c r="AA1046" s="1573">
        <f t="shared" si="141"/>
        <v>44013</v>
      </c>
      <c r="AB1046" s="1573">
        <f t="shared" si="141"/>
        <v>44166</v>
      </c>
      <c r="AC1046" s="1573">
        <f t="shared" si="141"/>
        <v>44531</v>
      </c>
      <c r="AD1046" s="1573">
        <f t="shared" si="141"/>
        <v>44774</v>
      </c>
      <c r="AE1046" s="1573" t="str">
        <f t="shared" si="141"/>
        <v>-</v>
      </c>
      <c r="AF1046" s="1573" t="str">
        <f t="shared" si="141"/>
        <v>-</v>
      </c>
      <c r="AG1046" s="1573" t="str">
        <f t="shared" si="141"/>
        <v>-</v>
      </c>
      <c r="AK1046" s="732"/>
    </row>
    <row r="1047" spans="1:54" s="741" customFormat="1" ht="118.5" hidden="1" customHeight="1" outlineLevel="1" x14ac:dyDescent="0.35">
      <c r="A1047" s="756"/>
      <c r="B1047" s="1328"/>
      <c r="C1047" s="759"/>
      <c r="D1047" s="391" t="s">
        <v>1943</v>
      </c>
      <c r="E1047" s="1367" t="s">
        <v>1944</v>
      </c>
      <c r="F1047" s="1412">
        <f>AVERAGE(19.16,23.18,24.99,31.84)</f>
        <v>24.7925</v>
      </c>
      <c r="G1047" s="4313" t="s">
        <v>1945</v>
      </c>
      <c r="H1047" s="4313"/>
      <c r="I1047" s="2353" t="s">
        <v>1946</v>
      </c>
      <c r="J1047" s="756"/>
      <c r="K1047" s="756"/>
      <c r="L1047" s="756"/>
      <c r="M1047" s="756"/>
      <c r="N1047" s="756"/>
      <c r="O1047" s="756"/>
      <c r="P1047" s="756"/>
      <c r="Q1047" s="756"/>
      <c r="R1047" s="756"/>
      <c r="S1047" s="756"/>
      <c r="T1047" s="756"/>
      <c r="U1047" s="756"/>
      <c r="V1047" s="2407" t="str">
        <f>D1047</f>
        <v>ABase</v>
      </c>
      <c r="W1047" s="924">
        <f>AVERAGE(19.16,23.18,24.99,31.84)</f>
        <v>24.7925</v>
      </c>
      <c r="X1047" s="924">
        <f>AVERAGE(19.16,23.18,24.99,31.84)</f>
        <v>24.7925</v>
      </c>
      <c r="Y1047" s="924">
        <f>AVERAGE(19.16,23.18,24.99,31.84)</f>
        <v>24.7925</v>
      </c>
      <c r="Z1047" s="924">
        <f t="shared" ref="Z1047:AA1047" si="142">AVERAGE(19.16,23.18,24.99,31.84)</f>
        <v>24.7925</v>
      </c>
      <c r="AA1047" s="924">
        <f t="shared" si="142"/>
        <v>24.7925</v>
      </c>
      <c r="AB1047" s="924">
        <v>24.7925</v>
      </c>
      <c r="AC1047" s="1412">
        <f>AVERAGE(19.16,23.18,24.99,31.84)</f>
        <v>24.7925</v>
      </c>
      <c r="AD1047" s="1412">
        <f>AVERAGE(19.16,23.18,24.99,31.84)</f>
        <v>24.7925</v>
      </c>
      <c r="AE1047" s="925"/>
      <c r="AF1047" s="925"/>
      <c r="AG1047" s="925"/>
      <c r="AK1047" s="853"/>
      <c r="BB1047" s="752"/>
    </row>
    <row r="1048" spans="1:54" s="741" customFormat="1" ht="16.5" hidden="1" outlineLevel="1" x14ac:dyDescent="0.35">
      <c r="A1048" s="756"/>
      <c r="B1048" s="1328"/>
      <c r="C1048" s="759"/>
      <c r="D1048" s="391" t="s">
        <v>704</v>
      </c>
      <c r="E1048" s="1413" t="s">
        <v>1947</v>
      </c>
      <c r="F1048" s="915">
        <v>14</v>
      </c>
      <c r="G1048" s="4313" t="s">
        <v>1882</v>
      </c>
      <c r="H1048" s="4313"/>
      <c r="I1048" s="2353" t="s">
        <v>1948</v>
      </c>
      <c r="J1048" s="756"/>
      <c r="K1048" s="756"/>
      <c r="L1048" s="756"/>
      <c r="M1048" s="756"/>
      <c r="N1048" s="756"/>
      <c r="O1048" s="756"/>
      <c r="P1048" s="756"/>
      <c r="Q1048" s="756"/>
      <c r="R1048" s="756"/>
      <c r="S1048" s="756"/>
      <c r="T1048" s="756"/>
      <c r="U1048" s="756"/>
      <c r="V1048" s="2407" t="str">
        <f t="shared" ref="V1048:V1058" si="143">D1048</f>
        <v>RBase</v>
      </c>
      <c r="W1048" s="926">
        <v>14</v>
      </c>
      <c r="X1048" s="926">
        <v>14</v>
      </c>
      <c r="Y1048" s="926">
        <v>14</v>
      </c>
      <c r="Z1048" s="926">
        <v>14</v>
      </c>
      <c r="AA1048" s="926">
        <v>14</v>
      </c>
      <c r="AB1048" s="926">
        <v>14</v>
      </c>
      <c r="AC1048" s="915">
        <v>14</v>
      </c>
      <c r="AD1048" s="915">
        <v>14</v>
      </c>
      <c r="AE1048" s="808"/>
      <c r="AF1048" s="808"/>
      <c r="AG1048" s="808"/>
      <c r="AK1048" s="853"/>
      <c r="BB1048" s="752"/>
    </row>
    <row r="1049" spans="1:54" s="741" customFormat="1" ht="88.5" hidden="1" customHeight="1" outlineLevel="1" x14ac:dyDescent="0.35">
      <c r="A1049" s="756"/>
      <c r="B1049" s="1328"/>
      <c r="C1049" s="759"/>
      <c r="D1049" s="391" t="s">
        <v>1949</v>
      </c>
      <c r="E1049" s="1413" t="s">
        <v>1950</v>
      </c>
      <c r="F1049" s="1412">
        <f>AVERAGE(20.94,25.31,27.06,34.14)</f>
        <v>26.862500000000001</v>
      </c>
      <c r="G1049" s="3804" t="s">
        <v>1951</v>
      </c>
      <c r="H1049" s="3804"/>
      <c r="I1049" s="2353" t="s">
        <v>1952</v>
      </c>
      <c r="J1049" s="756"/>
      <c r="K1049" s="756"/>
      <c r="L1049" s="756"/>
      <c r="M1049" s="756"/>
      <c r="N1049" s="756"/>
      <c r="O1049" s="756"/>
      <c r="P1049" s="756"/>
      <c r="Q1049" s="756"/>
      <c r="R1049" s="756"/>
      <c r="S1049" s="756"/>
      <c r="T1049" s="756"/>
      <c r="U1049" s="756"/>
      <c r="V1049" s="2407" t="str">
        <f t="shared" si="143"/>
        <v>AEE</v>
      </c>
      <c r="W1049" s="924">
        <f>AVERAGE(20.94,25.31,27.06,34.14)</f>
        <v>26.862500000000001</v>
      </c>
      <c r="X1049" s="924">
        <f>AVERAGE(20.94,25.31,27.06,34.14)</f>
        <v>26.862500000000001</v>
      </c>
      <c r="Y1049" s="924">
        <f>AVERAGE(20.94,25.31,27.06,34.14)</f>
        <v>26.862500000000001</v>
      </c>
      <c r="Z1049" s="924">
        <f t="shared" ref="Z1049:AA1049" si="144">AVERAGE(20.94,25.31,27.06,34.14)</f>
        <v>26.862500000000001</v>
      </c>
      <c r="AA1049" s="924">
        <f t="shared" si="144"/>
        <v>26.862500000000001</v>
      </c>
      <c r="AB1049" s="924">
        <v>26.862500000000001</v>
      </c>
      <c r="AC1049" s="1412">
        <f>AVERAGE(20.94,25.31,27.06,34.14)</f>
        <v>26.862500000000001</v>
      </c>
      <c r="AD1049" s="1412">
        <f>AVERAGE(20.94,25.31,27.06,34.14)</f>
        <v>26.862500000000001</v>
      </c>
      <c r="AE1049" s="925"/>
      <c r="AF1049" s="925"/>
      <c r="AG1049" s="925"/>
      <c r="AK1049" s="853"/>
      <c r="BB1049" s="752"/>
    </row>
    <row r="1050" spans="1:54" s="741" customFormat="1" ht="16.5" hidden="1" outlineLevel="1" x14ac:dyDescent="0.35">
      <c r="A1050" s="756"/>
      <c r="B1050" s="1328"/>
      <c r="C1050" s="759"/>
      <c r="D1050" s="391" t="s">
        <v>711</v>
      </c>
      <c r="E1050" s="1413" t="s">
        <v>1953</v>
      </c>
      <c r="F1050" s="915">
        <v>24</v>
      </c>
      <c r="G1050" s="4411" t="s">
        <v>1882</v>
      </c>
      <c r="H1050" s="4411"/>
      <c r="I1050" s="2353" t="s">
        <v>1954</v>
      </c>
      <c r="J1050" s="756"/>
      <c r="K1050" s="756"/>
      <c r="L1050" s="756"/>
      <c r="M1050" s="756"/>
      <c r="N1050" s="756"/>
      <c r="O1050" s="756"/>
      <c r="P1050" s="756"/>
      <c r="Q1050" s="756"/>
      <c r="R1050" s="756"/>
      <c r="S1050" s="756"/>
      <c r="T1050" s="756"/>
      <c r="U1050" s="756"/>
      <c r="V1050" s="2407" t="str">
        <f t="shared" si="143"/>
        <v>REE</v>
      </c>
      <c r="W1050" s="926">
        <v>24</v>
      </c>
      <c r="X1050" s="926">
        <v>24</v>
      </c>
      <c r="Y1050" s="926">
        <v>24</v>
      </c>
      <c r="Z1050" s="926">
        <v>24</v>
      </c>
      <c r="AA1050" s="926">
        <v>24</v>
      </c>
      <c r="AB1050" s="926">
        <v>24</v>
      </c>
      <c r="AC1050" s="915">
        <v>24</v>
      </c>
      <c r="AD1050" s="915">
        <v>24</v>
      </c>
      <c r="AE1050" s="808"/>
      <c r="AF1050" s="808"/>
      <c r="AG1050" s="808"/>
      <c r="AK1050" s="853"/>
      <c r="BB1050" s="752"/>
    </row>
    <row r="1051" spans="1:54" s="741" customFormat="1" ht="75" hidden="1" customHeight="1" outlineLevel="1" x14ac:dyDescent="0.35">
      <c r="A1051" s="756"/>
      <c r="B1051" s="1328"/>
      <c r="C1051" s="759"/>
      <c r="D1051" s="391" t="s">
        <v>718</v>
      </c>
      <c r="E1051" s="1413" t="s">
        <v>719</v>
      </c>
      <c r="F1051" s="915">
        <v>58.9</v>
      </c>
      <c r="G1051" s="4313" t="s">
        <v>1884</v>
      </c>
      <c r="H1051" s="4313"/>
      <c r="I1051" s="2353" t="s">
        <v>1706</v>
      </c>
      <c r="J1051" s="756"/>
      <c r="K1051" s="756"/>
      <c r="L1051" s="756"/>
      <c r="M1051" s="756"/>
      <c r="N1051" s="756"/>
      <c r="O1051" s="756"/>
      <c r="P1051" s="756"/>
      <c r="Q1051" s="756"/>
      <c r="R1051" s="756"/>
      <c r="S1051" s="756"/>
      <c r="T1051" s="756"/>
      <c r="U1051" s="756"/>
      <c r="V1051" s="2407" t="str">
        <f t="shared" si="143"/>
        <v>DT</v>
      </c>
      <c r="W1051" s="926">
        <v>58.9</v>
      </c>
      <c r="X1051" s="926">
        <v>58.9</v>
      </c>
      <c r="Y1051" s="926">
        <v>58.9</v>
      </c>
      <c r="Z1051" s="926">
        <v>58.9</v>
      </c>
      <c r="AA1051" s="926">
        <v>58.9</v>
      </c>
      <c r="AB1051" s="926">
        <v>58.9</v>
      </c>
      <c r="AC1051" s="915">
        <v>58.9</v>
      </c>
      <c r="AD1051" s="915">
        <v>58.9</v>
      </c>
      <c r="AE1051" s="808"/>
      <c r="AF1051" s="808"/>
      <c r="AG1051" s="808"/>
      <c r="AK1051" s="853"/>
      <c r="BB1051" s="752"/>
    </row>
    <row r="1052" spans="1:54" s="741" customFormat="1" ht="58.5" hidden="1" customHeight="1" outlineLevel="1" x14ac:dyDescent="0.35">
      <c r="A1052" s="756"/>
      <c r="B1052" s="1328"/>
      <c r="C1052" s="759"/>
      <c r="D1052" s="391" t="s">
        <v>721</v>
      </c>
      <c r="E1052" s="1413" t="s">
        <v>722</v>
      </c>
      <c r="F1052" s="916">
        <v>8760</v>
      </c>
      <c r="G1052" s="3804" t="s">
        <v>706</v>
      </c>
      <c r="H1052" s="3804"/>
      <c r="I1052" s="2353" t="s">
        <v>1706</v>
      </c>
      <c r="J1052" s="756"/>
      <c r="K1052" s="756"/>
      <c r="L1052" s="756"/>
      <c r="M1052" s="756"/>
      <c r="N1052" s="756"/>
      <c r="O1052" s="756"/>
      <c r="P1052" s="756"/>
      <c r="Q1052" s="756"/>
      <c r="R1052" s="756"/>
      <c r="S1052" s="756"/>
      <c r="T1052" s="756"/>
      <c r="U1052" s="756"/>
      <c r="V1052" s="2407" t="str">
        <f t="shared" si="143"/>
        <v>Hours</v>
      </c>
      <c r="W1052" s="927">
        <v>8760</v>
      </c>
      <c r="X1052" s="927">
        <v>8760</v>
      </c>
      <c r="Y1052" s="927">
        <v>8760</v>
      </c>
      <c r="Z1052" s="927">
        <v>8760</v>
      </c>
      <c r="AA1052" s="927">
        <v>8760</v>
      </c>
      <c r="AB1052" s="927">
        <v>8760</v>
      </c>
      <c r="AC1052" s="916">
        <v>8760</v>
      </c>
      <c r="AD1052" s="916">
        <v>8760</v>
      </c>
      <c r="AE1052" s="928"/>
      <c r="AF1052" s="928"/>
      <c r="AG1052" s="928"/>
      <c r="AK1052" s="853"/>
      <c r="BB1052" s="752"/>
    </row>
    <row r="1053" spans="1:54" s="741" customFormat="1" ht="54" hidden="1" customHeight="1" outlineLevel="1" x14ac:dyDescent="0.35">
      <c r="A1053" s="756"/>
      <c r="B1053" s="1328"/>
      <c r="C1053" s="759"/>
      <c r="D1053" s="391" t="s">
        <v>723</v>
      </c>
      <c r="E1053" s="1413" t="s">
        <v>724</v>
      </c>
      <c r="F1053" s="915">
        <v>0.98</v>
      </c>
      <c r="G1053" s="4313" t="s">
        <v>1884</v>
      </c>
      <c r="H1053" s="4313"/>
      <c r="I1053" s="2353" t="s">
        <v>1706</v>
      </c>
      <c r="J1053" s="756"/>
      <c r="K1053" s="756"/>
      <c r="L1053" s="756"/>
      <c r="M1053" s="756"/>
      <c r="N1053" s="756"/>
      <c r="O1053" s="756"/>
      <c r="P1053" s="756"/>
      <c r="Q1053" s="756"/>
      <c r="R1053" s="756"/>
      <c r="S1053" s="756"/>
      <c r="T1053" s="756"/>
      <c r="U1053" s="756"/>
      <c r="V1053" s="2407" t="str">
        <f t="shared" si="143"/>
        <v>ȠDHWElec</v>
      </c>
      <c r="W1053" s="926">
        <v>0.98</v>
      </c>
      <c r="X1053" s="926">
        <v>0.98</v>
      </c>
      <c r="Y1053" s="926">
        <v>0.98</v>
      </c>
      <c r="Z1053" s="926">
        <v>0.98</v>
      </c>
      <c r="AA1053" s="926">
        <v>0.98</v>
      </c>
      <c r="AB1053" s="926">
        <v>0.98</v>
      </c>
      <c r="AC1053" s="915">
        <v>0.98</v>
      </c>
      <c r="AD1053" s="915">
        <v>0.98</v>
      </c>
      <c r="AE1053" s="808"/>
      <c r="AF1053" s="808"/>
      <c r="AG1053" s="808"/>
      <c r="AK1053" s="853"/>
      <c r="BB1053" s="752"/>
    </row>
    <row r="1054" spans="1:54" s="741" customFormat="1" ht="48.75" hidden="1" customHeight="1" outlineLevel="1" x14ac:dyDescent="0.35">
      <c r="A1054" s="756"/>
      <c r="B1054" s="1328"/>
      <c r="C1054" s="759"/>
      <c r="D1054" s="391">
        <v>3412</v>
      </c>
      <c r="E1054" s="1367" t="s">
        <v>725</v>
      </c>
      <c r="F1054" s="1617">
        <v>3412</v>
      </c>
      <c r="G1054" s="3804" t="s">
        <v>706</v>
      </c>
      <c r="H1054" s="3804"/>
      <c r="I1054" s="2353" t="s">
        <v>1706</v>
      </c>
      <c r="J1054" s="756"/>
      <c r="K1054" s="756"/>
      <c r="L1054" s="756"/>
      <c r="M1054" s="756"/>
      <c r="N1054" s="756"/>
      <c r="O1054" s="756"/>
      <c r="P1054" s="756"/>
      <c r="Q1054" s="756"/>
      <c r="R1054" s="756"/>
      <c r="S1054" s="756"/>
      <c r="T1054" s="756"/>
      <c r="U1054" s="756"/>
      <c r="V1054" s="2407">
        <f t="shared" si="143"/>
        <v>3412</v>
      </c>
      <c r="W1054" s="929">
        <v>3412</v>
      </c>
      <c r="X1054" s="929">
        <v>3412</v>
      </c>
      <c r="Y1054" s="929">
        <v>3412</v>
      </c>
      <c r="Z1054" s="929">
        <v>3412</v>
      </c>
      <c r="AA1054" s="929">
        <v>3412</v>
      </c>
      <c r="AB1054" s="929">
        <v>3412</v>
      </c>
      <c r="AC1054" s="1617">
        <v>3412</v>
      </c>
      <c r="AD1054" s="1617">
        <v>3412</v>
      </c>
      <c r="AE1054" s="930"/>
      <c r="AF1054" s="930"/>
      <c r="AG1054" s="930"/>
      <c r="AK1054" s="853"/>
      <c r="BB1054" s="752"/>
    </row>
    <row r="1055" spans="1:54" s="741" customFormat="1" ht="30" hidden="1" customHeight="1" outlineLevel="1" x14ac:dyDescent="0.35">
      <c r="A1055" s="756"/>
      <c r="B1055" s="1328"/>
      <c r="C1055" s="759"/>
      <c r="D1055" s="2333" t="s">
        <v>726</v>
      </c>
      <c r="E1055" s="2333" t="s">
        <v>597</v>
      </c>
      <c r="F1055" s="918">
        <v>1</v>
      </c>
      <c r="G1055" s="3834" t="s">
        <v>583</v>
      </c>
      <c r="H1055" s="3834"/>
      <c r="I1055" s="2422"/>
      <c r="J1055" s="756"/>
      <c r="K1055" s="756"/>
      <c r="L1055" s="756"/>
      <c r="M1055" s="756"/>
      <c r="N1055" s="756"/>
      <c r="O1055" s="756"/>
      <c r="P1055" s="756"/>
      <c r="Q1055" s="756"/>
      <c r="R1055" s="756"/>
      <c r="S1055" s="756"/>
      <c r="T1055" s="756"/>
      <c r="U1055" s="756"/>
      <c r="V1055" s="2407" t="str">
        <f t="shared" si="143"/>
        <v>*Electric Saturation</v>
      </c>
      <c r="W1055" s="912">
        <v>1</v>
      </c>
      <c r="X1055" s="912">
        <v>1</v>
      </c>
      <c r="Y1055" s="912">
        <v>1</v>
      </c>
      <c r="Z1055" s="912">
        <v>1</v>
      </c>
      <c r="AA1055" s="912">
        <v>1</v>
      </c>
      <c r="AB1055" s="912">
        <v>1</v>
      </c>
      <c r="AC1055" s="918">
        <v>1</v>
      </c>
      <c r="AD1055" s="918">
        <v>1</v>
      </c>
      <c r="AE1055" s="807"/>
      <c r="AF1055" s="807"/>
      <c r="AG1055" s="807"/>
      <c r="AK1055" s="853"/>
      <c r="BB1055" s="752"/>
    </row>
    <row r="1056" spans="1:54" s="741" customFormat="1" ht="30" hidden="1" customHeight="1" outlineLevel="1" x14ac:dyDescent="0.35">
      <c r="A1056" s="756"/>
      <c r="B1056" s="1328"/>
      <c r="C1056" s="759"/>
      <c r="D1056" s="2333" t="s">
        <v>516</v>
      </c>
      <c r="E1056" s="2333" t="s">
        <v>578</v>
      </c>
      <c r="F1056" s="918">
        <v>1</v>
      </c>
      <c r="G1056" s="3834" t="s">
        <v>583</v>
      </c>
      <c r="H1056" s="3834"/>
      <c r="I1056" s="2422"/>
      <c r="J1056" s="756"/>
      <c r="K1056" s="756"/>
      <c r="L1056" s="756"/>
      <c r="M1056" s="756"/>
      <c r="N1056" s="756"/>
      <c r="O1056" s="756"/>
      <c r="P1056" s="756"/>
      <c r="Q1056" s="756"/>
      <c r="R1056" s="756"/>
      <c r="S1056" s="756"/>
      <c r="T1056" s="756"/>
      <c r="U1056" s="756"/>
      <c r="V1056" s="2407" t="str">
        <f t="shared" si="143"/>
        <v>Utility Adjustment</v>
      </c>
      <c r="W1056" s="912">
        <v>1</v>
      </c>
      <c r="X1056" s="912">
        <v>1</v>
      </c>
      <c r="Y1056" s="912">
        <v>1</v>
      </c>
      <c r="Z1056" s="912">
        <v>1</v>
      </c>
      <c r="AA1056" s="912">
        <v>1</v>
      </c>
      <c r="AB1056" s="912">
        <v>1</v>
      </c>
      <c r="AC1056" s="918">
        <v>1</v>
      </c>
      <c r="AD1056" s="918">
        <v>1</v>
      </c>
      <c r="AE1056" s="807"/>
      <c r="AF1056" s="807"/>
      <c r="AG1056" s="807"/>
      <c r="AK1056" s="853"/>
      <c r="BB1056" s="752"/>
    </row>
    <row r="1057" spans="1:57" s="741" customFormat="1" ht="15" hidden="1" customHeight="1" outlineLevel="1" x14ac:dyDescent="0.35">
      <c r="A1057" s="756"/>
      <c r="B1057" s="1328"/>
      <c r="C1057" s="759"/>
      <c r="D1057" s="844" t="s">
        <v>132</v>
      </c>
      <c r="E1057" s="1367" t="s">
        <v>1722</v>
      </c>
      <c r="F1057" s="915">
        <v>1</v>
      </c>
      <c r="G1057" s="4313" t="s">
        <v>1723</v>
      </c>
      <c r="H1057" s="4313"/>
      <c r="I1057" s="2353" t="s">
        <v>1706</v>
      </c>
      <c r="J1057" s="756"/>
      <c r="K1057" s="756"/>
      <c r="L1057" s="756"/>
      <c r="M1057" s="756"/>
      <c r="N1057" s="756"/>
      <c r="O1057" s="756"/>
      <c r="P1057" s="756"/>
      <c r="Q1057" s="756"/>
      <c r="R1057" s="756"/>
      <c r="S1057" s="756"/>
      <c r="T1057" s="756"/>
      <c r="U1057" s="756"/>
      <c r="V1057" s="2407" t="str">
        <f t="shared" si="143"/>
        <v>ISR</v>
      </c>
      <c r="W1057" s="914">
        <v>1</v>
      </c>
      <c r="X1057" s="914">
        <v>1</v>
      </c>
      <c r="Y1057" s="914">
        <v>1</v>
      </c>
      <c r="Z1057" s="914">
        <v>1</v>
      </c>
      <c r="AA1057" s="914">
        <v>1</v>
      </c>
      <c r="AB1057" s="914">
        <v>1</v>
      </c>
      <c r="AC1057" s="915">
        <v>1</v>
      </c>
      <c r="AD1057" s="915">
        <v>1</v>
      </c>
      <c r="AE1057" s="809"/>
      <c r="AF1057" s="809"/>
      <c r="AG1057" s="809"/>
      <c r="AK1057" s="853"/>
      <c r="BB1057" s="752"/>
    </row>
    <row r="1058" spans="1:57" s="741" customFormat="1" hidden="1" outlineLevel="1" x14ac:dyDescent="0.35">
      <c r="A1058" s="756"/>
      <c r="B1058" s="1328"/>
      <c r="C1058" s="2378"/>
      <c r="D1058" s="2094" t="str">
        <f>D1032</f>
        <v>EUL</v>
      </c>
      <c r="E1058" s="2094" t="str">
        <f>E997</f>
        <v>Effective Useful Life (All)</v>
      </c>
      <c r="F1058" s="919">
        <v>12</v>
      </c>
      <c r="G1058" s="4313"/>
      <c r="H1058" s="4313"/>
      <c r="I1058" s="2353"/>
      <c r="J1058" s="756"/>
      <c r="K1058" s="756"/>
      <c r="L1058" s="756"/>
      <c r="M1058" s="756"/>
      <c r="N1058" s="756"/>
      <c r="O1058" s="756"/>
      <c r="P1058" s="756"/>
      <c r="Q1058" s="756"/>
      <c r="R1058" s="756"/>
      <c r="S1058" s="756"/>
      <c r="T1058" s="756"/>
      <c r="U1058" s="756"/>
      <c r="V1058" s="2407" t="str">
        <f t="shared" si="143"/>
        <v>EUL</v>
      </c>
      <c r="W1058" s="810">
        <v>12</v>
      </c>
      <c r="X1058" s="810">
        <v>12</v>
      </c>
      <c r="Y1058" s="810">
        <v>12</v>
      </c>
      <c r="Z1058" s="810">
        <v>12</v>
      </c>
      <c r="AA1058" s="810">
        <v>12</v>
      </c>
      <c r="AB1058" s="810">
        <v>12</v>
      </c>
      <c r="AC1058" s="919">
        <v>12</v>
      </c>
      <c r="AD1058" s="919">
        <v>12</v>
      </c>
      <c r="AE1058" s="886"/>
      <c r="AF1058" s="886"/>
      <c r="AG1058" s="886"/>
      <c r="AK1058" s="853"/>
      <c r="BB1058" s="752"/>
    </row>
    <row r="1059" spans="1:57" s="741" customFormat="1" hidden="1" outlineLevel="1" x14ac:dyDescent="0.35">
      <c r="A1059" s="756"/>
      <c r="B1059" s="1328"/>
      <c r="C1059" s="2378"/>
      <c r="D1059" s="4227" t="str">
        <f>D1033</f>
        <v>Inc. Cost</v>
      </c>
      <c r="E1059" s="2094" t="str">
        <f>E998</f>
        <v>Incremental Cost - Non-DI</v>
      </c>
      <c r="F1059" s="920">
        <v>58</v>
      </c>
      <c r="G1059" s="4313"/>
      <c r="H1059" s="4313"/>
      <c r="I1059" s="2353"/>
      <c r="J1059" s="756"/>
      <c r="K1059" s="756"/>
      <c r="L1059" s="756"/>
      <c r="M1059" s="756"/>
      <c r="N1059" s="756"/>
      <c r="O1059" s="756"/>
      <c r="P1059" s="756"/>
      <c r="Q1059" s="756"/>
      <c r="R1059" s="756"/>
      <c r="S1059" s="756"/>
      <c r="T1059" s="756"/>
      <c r="U1059" s="756"/>
      <c r="V1059" s="4407" t="str">
        <f>D1059</f>
        <v>Inc. Cost</v>
      </c>
      <c r="W1059" s="887">
        <v>58</v>
      </c>
      <c r="X1059" s="887">
        <v>58</v>
      </c>
      <c r="Y1059" s="887">
        <v>58</v>
      </c>
      <c r="Z1059" s="887">
        <v>58</v>
      </c>
      <c r="AA1059" s="887">
        <v>58</v>
      </c>
      <c r="AB1059" s="887">
        <v>58</v>
      </c>
      <c r="AC1059" s="920">
        <v>58</v>
      </c>
      <c r="AD1059" s="920">
        <v>58</v>
      </c>
      <c r="AE1059" s="888"/>
      <c r="AF1059" s="888"/>
      <c r="AG1059" s="888"/>
      <c r="AK1059" s="853"/>
      <c r="BB1059" s="752"/>
    </row>
    <row r="1060" spans="1:57" s="741" customFormat="1" hidden="1" outlineLevel="1" x14ac:dyDescent="0.35">
      <c r="A1060" s="756"/>
      <c r="B1060" s="1328"/>
      <c r="C1060" s="2378"/>
      <c r="D1060" s="3804"/>
      <c r="E1060" s="2094" t="str">
        <f>E999</f>
        <v>Incremental Cost - Direct Install (DI)</v>
      </c>
      <c r="F1060" s="920">
        <v>58</v>
      </c>
      <c r="G1060" s="4313"/>
      <c r="H1060" s="4313"/>
      <c r="I1060" s="2353"/>
      <c r="J1060" s="756"/>
      <c r="K1060" s="756"/>
      <c r="L1060" s="756"/>
      <c r="M1060" s="756"/>
      <c r="N1060" s="756"/>
      <c r="O1060" s="756"/>
      <c r="P1060" s="756"/>
      <c r="Q1060" s="756"/>
      <c r="R1060" s="756"/>
      <c r="S1060" s="756"/>
      <c r="T1060" s="756"/>
      <c r="U1060" s="756"/>
      <c r="V1060" s="4388"/>
      <c r="W1060" s="887">
        <v>58</v>
      </c>
      <c r="X1060" s="887">
        <v>58</v>
      </c>
      <c r="Y1060" s="887">
        <v>58</v>
      </c>
      <c r="Z1060" s="887">
        <v>58</v>
      </c>
      <c r="AA1060" s="887">
        <v>58</v>
      </c>
      <c r="AB1060" s="887">
        <v>58</v>
      </c>
      <c r="AC1060" s="920">
        <v>58</v>
      </c>
      <c r="AD1060" s="920">
        <v>58</v>
      </c>
      <c r="AE1060" s="888"/>
      <c r="AF1060" s="888"/>
      <c r="AG1060" s="888"/>
      <c r="AK1060" s="853"/>
      <c r="BB1060" s="752"/>
    </row>
    <row r="1061" spans="1:57" s="741" customFormat="1" ht="15" customHeight="1" collapsed="1" x14ac:dyDescent="0.35">
      <c r="A1061" s="756"/>
      <c r="B1061" s="1328"/>
      <c r="C1061" s="753"/>
      <c r="D1061" s="1375"/>
      <c r="E1061" s="375"/>
      <c r="F1061" s="756"/>
      <c r="G1061" s="756"/>
      <c r="H1061" s="756"/>
      <c r="I1061" s="756"/>
      <c r="J1061" s="756"/>
      <c r="K1061" s="756"/>
      <c r="L1061" s="756"/>
      <c r="M1061" s="756"/>
      <c r="N1061" s="756"/>
      <c r="O1061" s="756"/>
      <c r="P1061" s="756"/>
      <c r="Q1061" s="756"/>
      <c r="R1061" s="756"/>
      <c r="S1061" s="756"/>
      <c r="T1061" s="756"/>
      <c r="U1061" s="756"/>
      <c r="Y1061" s="1234" t="s">
        <v>1578</v>
      </c>
      <c r="Z1061" s="931"/>
      <c r="AA1061" s="931"/>
      <c r="AK1061" s="853"/>
      <c r="BB1061" s="752"/>
    </row>
    <row r="1062" spans="1:57" s="741" customFormat="1" ht="15" customHeight="1" x14ac:dyDescent="0.35">
      <c r="A1062" s="756"/>
      <c r="B1062" s="1328"/>
      <c r="C1062" s="753"/>
      <c r="D1062" s="375"/>
      <c r="E1062" s="375"/>
      <c r="F1062" s="1376"/>
      <c r="G1062" s="1376"/>
      <c r="H1062" s="756"/>
      <c r="I1062" s="756"/>
      <c r="J1062" s="756"/>
      <c r="K1062" s="756"/>
      <c r="L1062" s="756"/>
      <c r="M1062" s="756"/>
      <c r="N1062" s="756"/>
      <c r="O1062" s="756"/>
      <c r="P1062" s="756"/>
      <c r="Q1062" s="756"/>
      <c r="R1062" s="756"/>
      <c r="S1062" s="756"/>
      <c r="T1062" s="756"/>
      <c r="U1062" s="756"/>
      <c r="Y1062" s="757"/>
      <c r="AK1062" s="853"/>
      <c r="BB1062" s="752"/>
    </row>
    <row r="1063" spans="1:57" s="741" customFormat="1" ht="15" customHeight="1" x14ac:dyDescent="0.35">
      <c r="A1063" s="756"/>
      <c r="B1063" s="3664" t="s">
        <v>1955</v>
      </c>
      <c r="C1063" s="3665"/>
      <c r="D1063" s="3665"/>
      <c r="E1063" s="3665"/>
      <c r="F1063" s="3665"/>
      <c r="G1063" s="3665"/>
      <c r="H1063" s="3665"/>
      <c r="I1063" s="3666"/>
      <c r="J1063" s="3666"/>
      <c r="K1063" s="3666"/>
      <c r="L1063" s="3666"/>
      <c r="M1063" s="3666"/>
      <c r="N1063" s="3666"/>
      <c r="O1063" s="3666"/>
      <c r="P1063" s="3666"/>
      <c r="Q1063" s="3666"/>
      <c r="R1063" s="3667"/>
      <c r="S1063" s="756"/>
      <c r="T1063" s="756"/>
      <c r="U1063" s="756"/>
      <c r="V1063" s="3664" t="str">
        <f>B1063</f>
        <v>Common Area Faucet Aerators</v>
      </c>
      <c r="W1063" s="3665"/>
      <c r="X1063" s="3665"/>
      <c r="Y1063" s="3665"/>
      <c r="Z1063" s="3665"/>
      <c r="AA1063" s="3665"/>
      <c r="AB1063" s="3665"/>
      <c r="AC1063" s="4018"/>
      <c r="AD1063" s="4018"/>
      <c r="AE1063" s="4018"/>
      <c r="AF1063" s="4018"/>
      <c r="AG1063" s="4018"/>
      <c r="AH1063" s="4018"/>
      <c r="AI1063" s="4019"/>
      <c r="AK1063" s="853"/>
      <c r="BB1063" s="752"/>
    </row>
    <row r="1064" spans="1:57" s="741" customFormat="1" ht="15" customHeight="1" x14ac:dyDescent="0.35">
      <c r="A1064" s="756"/>
      <c r="B1064" s="756"/>
      <c r="C1064" s="753"/>
      <c r="D1064" s="1339"/>
      <c r="E1064" s="1339"/>
      <c r="F1064" s="754"/>
      <c r="G1064" s="754"/>
      <c r="H1064" s="754"/>
      <c r="I1064" s="754"/>
      <c r="J1064" s="754"/>
      <c r="K1064" s="754"/>
      <c r="L1064" s="1340"/>
      <c r="M1064" s="756"/>
      <c r="N1064" s="756"/>
      <c r="O1064" s="756"/>
      <c r="P1064" s="756"/>
      <c r="Q1064" s="756"/>
      <c r="R1064" s="756"/>
      <c r="S1064" s="756"/>
      <c r="T1064" s="756"/>
      <c r="U1064" s="756"/>
      <c r="V1064" s="741" t="str">
        <f>IF(C1062&gt;0,C1062," ")</f>
        <v xml:space="preserve"> </v>
      </c>
      <c r="Y1064" s="757"/>
      <c r="AK1064" s="853"/>
      <c r="BB1064" s="752"/>
    </row>
    <row r="1065" spans="1:57" s="741" customFormat="1" ht="29" x14ac:dyDescent="0.35">
      <c r="A1065" s="756"/>
      <c r="B1065" s="1328"/>
      <c r="C1065" s="2331" t="s">
        <v>27</v>
      </c>
      <c r="D1065" s="2331" t="s">
        <v>174</v>
      </c>
      <c r="E1065" s="2423" t="s">
        <v>29</v>
      </c>
      <c r="F1065" s="2331" t="s">
        <v>1670</v>
      </c>
      <c r="G1065" s="2331" t="s">
        <v>175</v>
      </c>
      <c r="H1065" s="2331" t="s">
        <v>176</v>
      </c>
      <c r="I1065" s="2331" t="s">
        <v>588</v>
      </c>
      <c r="J1065" s="2331" t="s">
        <v>31</v>
      </c>
      <c r="K1065" s="2331" t="s">
        <v>180</v>
      </c>
      <c r="L1065" s="2331" t="s">
        <v>169</v>
      </c>
      <c r="M1065" s="2331" t="s">
        <v>43</v>
      </c>
      <c r="N1065" s="756"/>
      <c r="O1065" s="756"/>
      <c r="P1065" s="756"/>
      <c r="Q1065" s="756"/>
      <c r="R1065" s="756"/>
      <c r="S1065" s="756"/>
      <c r="T1065" s="756"/>
      <c r="U1065" s="756"/>
      <c r="V1065" s="1572" t="s">
        <v>44</v>
      </c>
      <c r="W1065" s="1573">
        <f>W$6</f>
        <v>43252</v>
      </c>
      <c r="X1065" s="1573">
        <f t="shared" ref="X1065:AG1065" si="145">X$6</f>
        <v>43465</v>
      </c>
      <c r="Y1065" s="316">
        <f t="shared" si="145"/>
        <v>43800</v>
      </c>
      <c r="Z1065" s="1573">
        <f t="shared" si="145"/>
        <v>43862</v>
      </c>
      <c r="AA1065" s="1573">
        <f t="shared" si="145"/>
        <v>44013</v>
      </c>
      <c r="AB1065" s="1573">
        <f t="shared" si="145"/>
        <v>44166</v>
      </c>
      <c r="AC1065" s="1573">
        <f t="shared" si="145"/>
        <v>44531</v>
      </c>
      <c r="AD1065" s="1573">
        <f t="shared" si="145"/>
        <v>44774</v>
      </c>
      <c r="AE1065" s="1573" t="str">
        <f t="shared" si="145"/>
        <v>-</v>
      </c>
      <c r="AF1065" s="1573" t="str">
        <f t="shared" si="145"/>
        <v>-</v>
      </c>
      <c r="AG1065" s="1573" t="str">
        <f t="shared" si="145"/>
        <v>-</v>
      </c>
      <c r="AK1065" s="853"/>
      <c r="BB1065" s="1574" t="str">
        <f>$BB$6</f>
        <v>TRC (2022)</v>
      </c>
      <c r="BC1065" s="1584" t="str">
        <f>$BC$6</f>
        <v>Benefit Lookup</v>
      </c>
      <c r="BD1065" s="556" t="str">
        <f>$BD$6</f>
        <v>Benefits (2019 $)</v>
      </c>
      <c r="BE1065" s="200" t="str">
        <f>$BE$6</f>
        <v>Incremental Cost (2019 $)</v>
      </c>
    </row>
    <row r="1066" spans="1:57" s="741" customFormat="1" x14ac:dyDescent="0.35">
      <c r="A1066" s="756"/>
      <c r="B1066" s="1328"/>
      <c r="C1066" s="395" t="s">
        <v>1956</v>
      </c>
      <c r="D1066" s="1279" t="s">
        <v>1518</v>
      </c>
      <c r="E1066" s="368" t="s">
        <v>1957</v>
      </c>
      <c r="F1066" s="867">
        <f>ROUND(F1077*(F1078-F1079)/F1078*F1080*I1066*F1088,2)</f>
        <v>28.4</v>
      </c>
      <c r="G1066" s="395" t="s">
        <v>1830</v>
      </c>
      <c r="H1066" s="136">
        <f>VLOOKUP(G1066,'CP FACTORS'!$A$3:$B$38, 2, FALSE)</f>
        <v>8.8731800000000003E-5</v>
      </c>
      <c r="I1066" s="1337">
        <f>F1081*F1082*(F1083-F1084)/(F1085*F1086)</f>
        <v>7.1497655334114896E-2</v>
      </c>
      <c r="J1066" s="1384">
        <f>ROUND(F1066*H1066,6)</f>
        <v>2.5200000000000001E-3</v>
      </c>
      <c r="K1066" s="820">
        <f>F1089</f>
        <v>10</v>
      </c>
      <c r="L1066" s="921">
        <f>F1090</f>
        <v>11.33</v>
      </c>
      <c r="M1066" s="395" t="s">
        <v>184</v>
      </c>
      <c r="N1066" s="756"/>
      <c r="O1066" s="756"/>
      <c r="P1066" s="756"/>
      <c r="Q1066" s="756"/>
      <c r="R1066" s="756"/>
      <c r="S1066" s="756"/>
      <c r="T1066" s="756"/>
      <c r="U1066" s="756"/>
      <c r="V1066" s="851" t="str">
        <f>$F$1004</f>
        <v>kWh
Annual Savings</v>
      </c>
      <c r="W1066" s="932">
        <v>28.404855002397959</v>
      </c>
      <c r="X1066" s="932">
        <v>28.404855002397959</v>
      </c>
      <c r="Y1066" s="809">
        <v>28.4</v>
      </c>
      <c r="Z1066" s="809">
        <v>28.4</v>
      </c>
      <c r="AA1066" s="809">
        <v>28.4</v>
      </c>
      <c r="AB1066" s="809">
        <v>28.4</v>
      </c>
      <c r="AC1066" s="867">
        <v>28.4</v>
      </c>
      <c r="AD1066" s="867">
        <v>28.4</v>
      </c>
      <c r="AE1066" s="851"/>
      <c r="AF1066" s="851"/>
      <c r="AG1066" s="851"/>
      <c r="AK1066" s="853"/>
      <c r="BB1066" s="922">
        <f>(BD1066)/(BE1066)</f>
        <v>0.89594130312972076</v>
      </c>
      <c r="BC1066" s="2381" t="str">
        <f>CONCATENATE(G1066," ",K1066," Year EUL")</f>
        <v>Water heating RES 10 Year EUL</v>
      </c>
      <c r="BD1066" s="147">
        <f>(INDEX('Avoided Cost Benefits'!$E$4:$E$859,MATCH(BC1066,'Avoided Cost Benefits'!$A$4:$A$859,0)))*F1066</f>
        <v>9.5809485270974371</v>
      </c>
      <c r="BE1066" s="923">
        <f>L1066/(1.0595^(2020-2019))</f>
        <v>10.693723454459649</v>
      </c>
    </row>
    <row r="1067" spans="1:57" s="741" customFormat="1" hidden="1" outlineLevel="1" x14ac:dyDescent="0.35">
      <c r="A1067" s="756"/>
      <c r="B1067" s="1328"/>
      <c r="C1067" s="3092"/>
      <c r="D1067" s="3102"/>
      <c r="E1067" s="3102"/>
      <c r="F1067" s="3145"/>
      <c r="G1067" s="3092"/>
      <c r="H1067" s="3146"/>
      <c r="I1067" s="3147"/>
      <c r="J1067" s="3147"/>
      <c r="K1067" s="3147"/>
      <c r="L1067" s="3104"/>
      <c r="M1067" s="3104"/>
      <c r="N1067" s="756"/>
      <c r="O1067" s="756"/>
      <c r="P1067" s="756"/>
      <c r="Q1067" s="756"/>
      <c r="R1067" s="756"/>
      <c r="S1067" s="756"/>
      <c r="T1067" s="756"/>
      <c r="U1067" s="756"/>
      <c r="Y1067" s="757"/>
      <c r="AK1067" s="853"/>
      <c r="BB1067" s="752"/>
    </row>
    <row r="1068" spans="1:57" s="741" customFormat="1" hidden="1" outlineLevel="1" x14ac:dyDescent="0.35">
      <c r="A1068" s="756"/>
      <c r="B1068" s="1328"/>
      <c r="C1068" s="3092"/>
      <c r="D1068" s="3066" t="s">
        <v>107</v>
      </c>
      <c r="E1068" s="3102"/>
      <c r="F1068" s="3148"/>
      <c r="G1068" s="3092"/>
      <c r="H1068" s="3146"/>
      <c r="I1068" s="3104"/>
      <c r="J1068" s="3104"/>
      <c r="K1068" s="3104"/>
      <c r="L1068" s="3104"/>
      <c r="M1068" s="3104"/>
      <c r="N1068" s="756"/>
      <c r="O1068" s="756"/>
      <c r="P1068" s="756"/>
      <c r="Q1068" s="756"/>
      <c r="R1068" s="756"/>
      <c r="S1068" s="756"/>
      <c r="T1068" s="756"/>
      <c r="U1068" s="756"/>
      <c r="Y1068" s="757"/>
      <c r="AK1068" s="853"/>
      <c r="BB1068" s="752"/>
    </row>
    <row r="1069" spans="1:57" s="741" customFormat="1" hidden="1" outlineLevel="1" x14ac:dyDescent="0.35">
      <c r="A1069" s="756"/>
      <c r="B1069" s="1328"/>
      <c r="C1069" s="3092"/>
      <c r="E1069" s="3102"/>
      <c r="F1069" s="3148"/>
      <c r="G1069" s="3104"/>
      <c r="H1069" s="3092"/>
      <c r="I1069" s="3104"/>
      <c r="J1069" s="3104"/>
      <c r="K1069" s="3104"/>
      <c r="L1069" s="3104"/>
      <c r="M1069" s="3104"/>
      <c r="N1069" s="756"/>
      <c r="O1069" s="756"/>
      <c r="P1069" s="756"/>
      <c r="Q1069" s="756"/>
      <c r="R1069" s="756"/>
      <c r="S1069" s="756"/>
      <c r="T1069" s="756"/>
      <c r="U1069" s="756"/>
      <c r="Y1069" s="757"/>
      <c r="AK1069" s="853"/>
      <c r="BB1069" s="752"/>
    </row>
    <row r="1070" spans="1:57" s="741" customFormat="1" hidden="1" outlineLevel="1" x14ac:dyDescent="0.35">
      <c r="A1070" s="756"/>
      <c r="B1070" s="1328"/>
      <c r="C1070" s="3105"/>
      <c r="D1070" s="3149"/>
      <c r="E1070" s="3150"/>
      <c r="F1070" s="3151"/>
      <c r="G1070" s="3151"/>
      <c r="H1070" s="3104"/>
      <c r="I1070" s="3104"/>
      <c r="J1070" s="3104"/>
      <c r="K1070" s="3104"/>
      <c r="L1070" s="3104"/>
      <c r="M1070" s="3104"/>
      <c r="N1070" s="756"/>
      <c r="O1070" s="756"/>
      <c r="P1070" s="756"/>
      <c r="Q1070" s="756"/>
      <c r="R1070" s="756"/>
      <c r="S1070" s="756"/>
      <c r="T1070" s="756"/>
      <c r="U1070" s="756"/>
      <c r="Y1070" s="757"/>
      <c r="AK1070" s="853"/>
      <c r="BB1070" s="752"/>
    </row>
    <row r="1071" spans="1:57" s="741" customFormat="1" hidden="1" outlineLevel="1" x14ac:dyDescent="0.35">
      <c r="A1071" s="756"/>
      <c r="B1071" s="1328"/>
      <c r="C1071" s="3105"/>
      <c r="D1071" s="3149"/>
      <c r="E1071" s="3150"/>
      <c r="F1071" s="3151"/>
      <c r="G1071" s="3151"/>
      <c r="H1071" s="3104"/>
      <c r="I1071" s="3104"/>
      <c r="J1071" s="3104"/>
      <c r="K1071" s="3104"/>
      <c r="L1071" s="3104"/>
      <c r="M1071" s="3104"/>
      <c r="N1071" s="756"/>
      <c r="O1071" s="756"/>
      <c r="P1071" s="756"/>
      <c r="Q1071" s="756"/>
      <c r="R1071" s="756"/>
      <c r="S1071" s="756"/>
      <c r="T1071" s="756"/>
      <c r="U1071" s="756"/>
      <c r="Y1071" s="757"/>
      <c r="AK1071" s="853"/>
      <c r="BB1071" s="752"/>
    </row>
    <row r="1072" spans="1:57" s="741" customFormat="1" hidden="1" outlineLevel="1" x14ac:dyDescent="0.35">
      <c r="A1072" s="756"/>
      <c r="B1072" s="1328"/>
      <c r="C1072" s="3105"/>
      <c r="D1072" s="3149"/>
      <c r="E1072" s="3150"/>
      <c r="F1072" s="3151"/>
      <c r="G1072" s="3151"/>
      <c r="H1072" s="3104"/>
      <c r="I1072" s="3104"/>
      <c r="J1072" s="3104"/>
      <c r="K1072" s="3104"/>
      <c r="L1072" s="3104"/>
      <c r="M1072" s="3104"/>
      <c r="N1072" s="756"/>
      <c r="O1072" s="756"/>
      <c r="P1072" s="756"/>
      <c r="Q1072" s="756"/>
      <c r="R1072" s="756"/>
      <c r="S1072" s="756"/>
      <c r="T1072" s="756"/>
      <c r="U1072" s="756"/>
      <c r="Y1072" s="757"/>
      <c r="AK1072" s="853"/>
      <c r="BB1072" s="752"/>
    </row>
    <row r="1073" spans="1:54" s="741" customFormat="1" hidden="1" outlineLevel="1" x14ac:dyDescent="0.35">
      <c r="A1073" s="756"/>
      <c r="B1073" s="1328"/>
      <c r="C1073" s="3105"/>
      <c r="D1073" s="3149"/>
      <c r="E1073" s="3150"/>
      <c r="F1073" s="3151"/>
      <c r="G1073" s="3151"/>
      <c r="H1073" s="3104"/>
      <c r="I1073" s="3104"/>
      <c r="J1073" s="3104"/>
      <c r="K1073" s="3104"/>
      <c r="L1073" s="3104"/>
      <c r="M1073" s="3104"/>
      <c r="N1073" s="756"/>
      <c r="O1073" s="756"/>
      <c r="P1073" s="756"/>
      <c r="Q1073" s="756"/>
      <c r="R1073" s="756"/>
      <c r="S1073" s="756"/>
      <c r="T1073" s="756"/>
      <c r="U1073" s="756"/>
      <c r="Y1073" s="757"/>
      <c r="AK1073" s="853"/>
      <c r="BB1073" s="752"/>
    </row>
    <row r="1074" spans="1:54" s="741" customFormat="1" hidden="1" outlineLevel="1" x14ac:dyDescent="0.35">
      <c r="A1074" s="756"/>
      <c r="B1074" s="1328"/>
      <c r="C1074" s="3106"/>
      <c r="D1074" s="3118"/>
      <c r="E1074" s="3152"/>
      <c r="F1074" s="3153"/>
      <c r="G1074" s="3153"/>
      <c r="H1074" s="3104"/>
      <c r="I1074" s="3104"/>
      <c r="J1074" s="3104"/>
      <c r="K1074" s="3104"/>
      <c r="L1074" s="3104"/>
      <c r="M1074" s="3104"/>
      <c r="N1074" s="756"/>
      <c r="O1074" s="756"/>
      <c r="P1074" s="756"/>
      <c r="Q1074" s="756"/>
      <c r="R1074" s="756"/>
      <c r="S1074" s="756"/>
      <c r="T1074" s="756"/>
      <c r="U1074" s="756"/>
      <c r="Y1074" s="757"/>
      <c r="AK1074" s="853"/>
      <c r="BB1074" s="752"/>
    </row>
    <row r="1075" spans="1:54" s="741" customFormat="1" hidden="1" outlineLevel="1" x14ac:dyDescent="0.35">
      <c r="A1075" s="756"/>
      <c r="B1075" s="1328"/>
      <c r="C1075" s="3092"/>
      <c r="D1075" s="3102"/>
      <c r="E1075" s="3102"/>
      <c r="F1075" s="3104"/>
      <c r="G1075" s="3104"/>
      <c r="H1075" s="3104"/>
      <c r="I1075" s="3104"/>
      <c r="J1075" s="3104"/>
      <c r="K1075" s="3104"/>
      <c r="L1075" s="3104"/>
      <c r="M1075" s="3104"/>
      <c r="N1075" s="756"/>
      <c r="O1075" s="756"/>
      <c r="P1075" s="756"/>
      <c r="Q1075" s="756"/>
      <c r="R1075" s="756"/>
      <c r="S1075" s="756"/>
      <c r="T1075" s="756"/>
      <c r="U1075" s="756"/>
      <c r="Y1075" s="757"/>
      <c r="AK1075" s="853"/>
      <c r="BB1075" s="752"/>
    </row>
    <row r="1076" spans="1:54" s="741" customFormat="1" ht="45.75" hidden="1" customHeight="1" outlineLevel="1" x14ac:dyDescent="0.35">
      <c r="A1076" s="756"/>
      <c r="B1076" s="1328"/>
      <c r="C1076" s="753"/>
      <c r="D1076" s="2423" t="s">
        <v>108</v>
      </c>
      <c r="E1076" s="2423" t="s">
        <v>109</v>
      </c>
      <c r="F1076" s="2331" t="s">
        <v>1958</v>
      </c>
      <c r="G1076" s="3825" t="s">
        <v>1959</v>
      </c>
      <c r="H1076" s="3826"/>
      <c r="I1076" s="2331" t="s">
        <v>112</v>
      </c>
      <c r="J1076" s="756"/>
      <c r="K1076" s="756"/>
      <c r="L1076" s="756"/>
      <c r="M1076" s="756"/>
      <c r="N1076" s="756"/>
      <c r="O1076" s="756"/>
      <c r="P1076" s="756"/>
      <c r="Q1076" s="756"/>
      <c r="R1076" s="756"/>
      <c r="S1076" s="756"/>
      <c r="T1076" s="756"/>
      <c r="U1076" s="756"/>
      <c r="V1076" s="1572" t="s">
        <v>44</v>
      </c>
      <c r="W1076" s="1573">
        <f>W$6</f>
        <v>43252</v>
      </c>
      <c r="X1076" s="1573">
        <f t="shared" ref="X1076:AG1076" si="146">X$6</f>
        <v>43465</v>
      </c>
      <c r="Y1076" s="316">
        <f t="shared" si="146"/>
        <v>43800</v>
      </c>
      <c r="Z1076" s="1573">
        <f t="shared" si="146"/>
        <v>43862</v>
      </c>
      <c r="AA1076" s="1573">
        <f t="shared" si="146"/>
        <v>44013</v>
      </c>
      <c r="AB1076" s="1573">
        <f t="shared" si="146"/>
        <v>44166</v>
      </c>
      <c r="AC1076" s="1573">
        <f t="shared" si="146"/>
        <v>44531</v>
      </c>
      <c r="AD1076" s="1573">
        <f t="shared" si="146"/>
        <v>44774</v>
      </c>
      <c r="AE1076" s="1573" t="str">
        <f t="shared" si="146"/>
        <v>-</v>
      </c>
      <c r="AF1076" s="1573" t="str">
        <f t="shared" si="146"/>
        <v>-</v>
      </c>
      <c r="AG1076" s="1573" t="str">
        <f t="shared" si="146"/>
        <v>-</v>
      </c>
      <c r="AK1076" s="853"/>
      <c r="BB1076" s="752"/>
    </row>
    <row r="1077" spans="1:54" s="741" customFormat="1" ht="15" hidden="1" customHeight="1" outlineLevel="1" x14ac:dyDescent="0.35">
      <c r="A1077" s="756"/>
      <c r="B1077" s="1328"/>
      <c r="C1077" s="753"/>
      <c r="D1077" s="2333" t="s">
        <v>596</v>
      </c>
      <c r="E1077" s="2333" t="s">
        <v>597</v>
      </c>
      <c r="F1077" s="874">
        <v>1</v>
      </c>
      <c r="G1077" s="3834" t="s">
        <v>583</v>
      </c>
      <c r="H1077" s="3834"/>
      <c r="I1077" s="2402" t="s">
        <v>1960</v>
      </c>
      <c r="J1077" s="756"/>
      <c r="K1077" s="756"/>
      <c r="L1077" s="756"/>
      <c r="M1077" s="756"/>
      <c r="N1077" s="756"/>
      <c r="O1077" s="756"/>
      <c r="P1077" s="756"/>
      <c r="Q1077" s="756"/>
      <c r="R1077" s="756"/>
      <c r="S1077" s="756"/>
      <c r="T1077" s="756"/>
      <c r="U1077" s="756"/>
      <c r="V1077" s="2407" t="str">
        <f>D1077</f>
        <v>%Electric DHW</v>
      </c>
      <c r="W1077" s="874">
        <v>1</v>
      </c>
      <c r="X1077" s="874">
        <v>1</v>
      </c>
      <c r="Y1077" s="874">
        <v>1</v>
      </c>
      <c r="Z1077" s="874">
        <v>1</v>
      </c>
      <c r="AA1077" s="874">
        <v>1</v>
      </c>
      <c r="AB1077" s="874">
        <v>1</v>
      </c>
      <c r="AC1077" s="874">
        <v>1</v>
      </c>
      <c r="AD1077" s="874">
        <v>1</v>
      </c>
      <c r="AE1077" s="874"/>
      <c r="AF1077" s="874"/>
      <c r="AG1077" s="874"/>
      <c r="AK1077" s="853"/>
      <c r="BB1077" s="752"/>
    </row>
    <row r="1078" spans="1:54" s="741" customFormat="1" ht="146.25" hidden="1" customHeight="1" outlineLevel="1" x14ac:dyDescent="0.35">
      <c r="A1078" s="756"/>
      <c r="B1078" s="1328"/>
      <c r="C1078" s="753"/>
      <c r="D1078" s="2333" t="s">
        <v>1932</v>
      </c>
      <c r="E1078" s="2333" t="s">
        <v>669</v>
      </c>
      <c r="F1078" s="903">
        <v>2.2000000000000002</v>
      </c>
      <c r="G1078" s="3804" t="s">
        <v>671</v>
      </c>
      <c r="H1078" s="3804"/>
      <c r="I1078" s="2402" t="s">
        <v>652</v>
      </c>
      <c r="J1078" s="756"/>
      <c r="K1078" s="756"/>
      <c r="L1078" s="756"/>
      <c r="M1078" s="756"/>
      <c r="N1078" s="756"/>
      <c r="O1078" s="756"/>
      <c r="P1078" s="756"/>
      <c r="Q1078" s="756"/>
      <c r="R1078" s="756"/>
      <c r="S1078" s="756"/>
      <c r="T1078" s="756"/>
      <c r="U1078" s="756"/>
      <c r="V1078" s="2407" t="str">
        <f t="shared" ref="V1078:V1089" si="147">D1078</f>
        <v>GPMbase</v>
      </c>
      <c r="W1078" s="903">
        <v>2.2000000000000002</v>
      </c>
      <c r="X1078" s="903">
        <v>2.2000000000000002</v>
      </c>
      <c r="Y1078" s="903">
        <v>2.2000000000000002</v>
      </c>
      <c r="Z1078" s="903">
        <v>2.2000000000000002</v>
      </c>
      <c r="AA1078" s="903">
        <v>2.2000000000000002</v>
      </c>
      <c r="AB1078" s="903">
        <v>2.2000000000000002</v>
      </c>
      <c r="AC1078" s="903">
        <v>2.2000000000000002</v>
      </c>
      <c r="AD1078" s="903">
        <v>2.2000000000000002</v>
      </c>
      <c r="AE1078" s="903"/>
      <c r="AF1078" s="903"/>
      <c r="AG1078" s="903"/>
      <c r="AK1078" s="853"/>
      <c r="BB1078" s="752"/>
    </row>
    <row r="1079" spans="1:54" s="741" customFormat="1" ht="30" hidden="1" customHeight="1" outlineLevel="1" x14ac:dyDescent="0.35">
      <c r="A1079" s="756"/>
      <c r="B1079" s="1328"/>
      <c r="C1079" s="753"/>
      <c r="D1079" s="2333" t="s">
        <v>1934</v>
      </c>
      <c r="E1079" s="2333" t="s">
        <v>676</v>
      </c>
      <c r="F1079" s="903">
        <v>1.5</v>
      </c>
      <c r="G1079" s="3804" t="s">
        <v>1838</v>
      </c>
      <c r="H1079" s="3804"/>
      <c r="I1079" s="2402" t="s">
        <v>652</v>
      </c>
      <c r="J1079" s="756"/>
      <c r="K1079" s="756"/>
      <c r="L1079" s="756"/>
      <c r="M1079" s="756"/>
      <c r="N1079" s="756"/>
      <c r="O1079" s="756"/>
      <c r="P1079" s="756"/>
      <c r="Q1079" s="756"/>
      <c r="R1079" s="756"/>
      <c r="S1079" s="756"/>
      <c r="T1079" s="756"/>
      <c r="U1079" s="756"/>
      <c r="V1079" s="2407" t="str">
        <f t="shared" si="147"/>
        <v>Lbase</v>
      </c>
      <c r="W1079" s="903">
        <v>1.5</v>
      </c>
      <c r="X1079" s="903">
        <v>1.5</v>
      </c>
      <c r="Y1079" s="903">
        <v>1.5</v>
      </c>
      <c r="Z1079" s="903">
        <v>1.5</v>
      </c>
      <c r="AA1079" s="903">
        <v>1.5</v>
      </c>
      <c r="AB1079" s="903">
        <v>1.5</v>
      </c>
      <c r="AC1079" s="903">
        <v>1.5</v>
      </c>
      <c r="AD1079" s="903">
        <v>1.5</v>
      </c>
      <c r="AE1079" s="903"/>
      <c r="AF1079" s="903"/>
      <c r="AG1079" s="903"/>
      <c r="AK1079" s="853"/>
      <c r="BB1079" s="752"/>
    </row>
    <row r="1080" spans="1:54" s="741" customFormat="1" ht="85.5" hidden="1" customHeight="1" outlineLevel="1" x14ac:dyDescent="0.35">
      <c r="A1080" s="756"/>
      <c r="B1080" s="1328"/>
      <c r="C1080" s="753"/>
      <c r="D1080" s="2333" t="s">
        <v>1961</v>
      </c>
      <c r="E1080" s="1367" t="s">
        <v>1962</v>
      </c>
      <c r="F1080" s="903">
        <v>1278</v>
      </c>
      <c r="G1080" s="4313" t="s">
        <v>679</v>
      </c>
      <c r="H1080" s="4313"/>
      <c r="I1080" s="2402" t="s">
        <v>1963</v>
      </c>
      <c r="J1080" s="756"/>
      <c r="K1080" s="756"/>
      <c r="L1080" s="756"/>
      <c r="M1080" s="756"/>
      <c r="N1080" s="756"/>
      <c r="O1080" s="756"/>
      <c r="P1080" s="756"/>
      <c r="Q1080" s="756"/>
      <c r="R1080" s="756"/>
      <c r="S1080" s="756"/>
      <c r="T1080" s="756"/>
      <c r="U1080" s="756"/>
      <c r="V1080" s="2407" t="str">
        <f t="shared" si="147"/>
        <v>Usage</v>
      </c>
      <c r="W1080" s="903">
        <v>1278</v>
      </c>
      <c r="X1080" s="903">
        <v>1278</v>
      </c>
      <c r="Y1080" s="903">
        <v>1278</v>
      </c>
      <c r="Z1080" s="903">
        <v>1278</v>
      </c>
      <c r="AA1080" s="903">
        <v>1278</v>
      </c>
      <c r="AB1080" s="903">
        <v>1278</v>
      </c>
      <c r="AC1080" s="903">
        <v>1278</v>
      </c>
      <c r="AD1080" s="903">
        <v>1278</v>
      </c>
      <c r="AE1080" s="903"/>
      <c r="AF1080" s="903"/>
      <c r="AG1080" s="903"/>
      <c r="AK1080" s="853"/>
      <c r="BB1080" s="752"/>
    </row>
    <row r="1081" spans="1:54" s="741" customFormat="1" ht="15" hidden="1" customHeight="1" outlineLevel="1" x14ac:dyDescent="0.35">
      <c r="A1081" s="756"/>
      <c r="B1081" s="1328"/>
      <c r="C1081" s="753"/>
      <c r="D1081" s="391">
        <v>8.33</v>
      </c>
      <c r="E1081" s="1367" t="s">
        <v>626</v>
      </c>
      <c r="F1081" s="903">
        <v>8.33</v>
      </c>
      <c r="G1081" s="3834" t="s">
        <v>627</v>
      </c>
      <c r="H1081" s="3834"/>
      <c r="I1081" s="2402" t="s">
        <v>652</v>
      </c>
      <c r="J1081" s="756"/>
      <c r="K1081" s="756"/>
      <c r="L1081" s="756"/>
      <c r="M1081" s="756"/>
      <c r="N1081" s="756"/>
      <c r="O1081" s="756"/>
      <c r="P1081" s="756"/>
      <c r="Q1081" s="756"/>
      <c r="R1081" s="756"/>
      <c r="S1081" s="756"/>
      <c r="T1081" s="756"/>
      <c r="U1081" s="756"/>
      <c r="V1081" s="2407">
        <f t="shared" si="147"/>
        <v>8.33</v>
      </c>
      <c r="W1081" s="903">
        <v>8.33</v>
      </c>
      <c r="X1081" s="903">
        <v>8.33</v>
      </c>
      <c r="Y1081" s="903">
        <v>8.33</v>
      </c>
      <c r="Z1081" s="903">
        <v>8.33</v>
      </c>
      <c r="AA1081" s="903">
        <v>8.33</v>
      </c>
      <c r="AB1081" s="903">
        <v>8.33</v>
      </c>
      <c r="AC1081" s="903">
        <v>8.33</v>
      </c>
      <c r="AD1081" s="903">
        <v>8.33</v>
      </c>
      <c r="AE1081" s="903"/>
      <c r="AF1081" s="903"/>
      <c r="AG1081" s="903"/>
      <c r="AK1081" s="853"/>
      <c r="BB1081" s="752"/>
    </row>
    <row r="1082" spans="1:54" s="741" customFormat="1" ht="15" hidden="1" customHeight="1" outlineLevel="1" x14ac:dyDescent="0.35">
      <c r="A1082" s="756"/>
      <c r="B1082" s="1328"/>
      <c r="C1082" s="753"/>
      <c r="D1082" s="391">
        <v>1</v>
      </c>
      <c r="E1082" s="1413" t="s">
        <v>1843</v>
      </c>
      <c r="F1082" s="903">
        <v>1</v>
      </c>
      <c r="G1082" s="3804" t="s">
        <v>629</v>
      </c>
      <c r="H1082" s="3804"/>
      <c r="I1082" s="2402" t="s">
        <v>652</v>
      </c>
      <c r="J1082" s="756"/>
      <c r="K1082" s="756"/>
      <c r="L1082" s="756"/>
      <c r="M1082" s="756"/>
      <c r="N1082" s="756"/>
      <c r="O1082" s="756"/>
      <c r="P1082" s="756"/>
      <c r="Q1082" s="756"/>
      <c r="R1082" s="756"/>
      <c r="S1082" s="756"/>
      <c r="T1082" s="756"/>
      <c r="U1082" s="756"/>
      <c r="V1082" s="2407">
        <f t="shared" si="147"/>
        <v>1</v>
      </c>
      <c r="W1082" s="903">
        <v>1</v>
      </c>
      <c r="X1082" s="903">
        <v>1</v>
      </c>
      <c r="Y1082" s="903">
        <v>1</v>
      </c>
      <c r="Z1082" s="903">
        <v>1</v>
      </c>
      <c r="AA1082" s="903">
        <v>1</v>
      </c>
      <c r="AB1082" s="903">
        <v>1</v>
      </c>
      <c r="AC1082" s="903">
        <v>1</v>
      </c>
      <c r="AD1082" s="903">
        <v>1</v>
      </c>
      <c r="AE1082" s="903"/>
      <c r="AF1082" s="903"/>
      <c r="AG1082" s="903"/>
      <c r="AK1082" s="853"/>
      <c r="BB1082" s="752"/>
    </row>
    <row r="1083" spans="1:54" s="741" customFormat="1" ht="15" hidden="1" customHeight="1" outlineLevel="1" x14ac:dyDescent="0.35">
      <c r="A1083" s="756"/>
      <c r="B1083" s="1328"/>
      <c r="C1083" s="753"/>
      <c r="D1083" s="2333" t="s">
        <v>630</v>
      </c>
      <c r="E1083" s="1367" t="s">
        <v>1844</v>
      </c>
      <c r="F1083" s="903">
        <v>90</v>
      </c>
      <c r="G1083" s="4313" t="s">
        <v>1964</v>
      </c>
      <c r="H1083" s="4313"/>
      <c r="I1083" s="2402" t="s">
        <v>1965</v>
      </c>
      <c r="J1083" s="756"/>
      <c r="K1083" s="756"/>
      <c r="L1083" s="756"/>
      <c r="M1083" s="756"/>
      <c r="N1083" s="756"/>
      <c r="O1083" s="756"/>
      <c r="P1083" s="756"/>
      <c r="Q1083" s="756"/>
      <c r="R1083" s="756"/>
      <c r="S1083" s="756"/>
      <c r="T1083" s="756"/>
      <c r="U1083" s="756"/>
      <c r="V1083" s="2407" t="str">
        <f t="shared" si="147"/>
        <v>WaterTemp</v>
      </c>
      <c r="W1083" s="903">
        <v>90</v>
      </c>
      <c r="X1083" s="903">
        <v>90</v>
      </c>
      <c r="Y1083" s="903">
        <v>90</v>
      </c>
      <c r="Z1083" s="903">
        <v>90</v>
      </c>
      <c r="AA1083" s="903">
        <v>90</v>
      </c>
      <c r="AB1083" s="903">
        <v>90</v>
      </c>
      <c r="AC1083" s="903">
        <v>90</v>
      </c>
      <c r="AD1083" s="903">
        <v>90</v>
      </c>
      <c r="AE1083" s="903"/>
      <c r="AF1083" s="903"/>
      <c r="AG1083" s="903"/>
      <c r="AK1083" s="853"/>
      <c r="BB1083" s="752"/>
    </row>
    <row r="1084" spans="1:54" s="741" customFormat="1" ht="60" hidden="1" customHeight="1" outlineLevel="1" x14ac:dyDescent="0.35">
      <c r="A1084" s="756"/>
      <c r="B1084" s="1328"/>
      <c r="C1084" s="753"/>
      <c r="D1084" s="2333" t="s">
        <v>633</v>
      </c>
      <c r="E1084" s="1367" t="s">
        <v>1845</v>
      </c>
      <c r="F1084" s="903">
        <v>61.3</v>
      </c>
      <c r="G1084" s="3804" t="s">
        <v>635</v>
      </c>
      <c r="H1084" s="3804"/>
      <c r="I1084" s="2402" t="s">
        <v>652</v>
      </c>
      <c r="J1084" s="756"/>
      <c r="K1084" s="756"/>
      <c r="L1084" s="756"/>
      <c r="M1084" s="756"/>
      <c r="N1084" s="756"/>
      <c r="O1084" s="756"/>
      <c r="P1084" s="756"/>
      <c r="Q1084" s="756"/>
      <c r="R1084" s="756"/>
      <c r="S1084" s="756"/>
      <c r="T1084" s="756"/>
      <c r="U1084" s="756"/>
      <c r="V1084" s="2407" t="str">
        <f t="shared" si="147"/>
        <v>SupplyTemp</v>
      </c>
      <c r="W1084" s="903">
        <v>61.3</v>
      </c>
      <c r="X1084" s="903">
        <v>61.3</v>
      </c>
      <c r="Y1084" s="903">
        <v>61.3</v>
      </c>
      <c r="Z1084" s="903">
        <v>61.3</v>
      </c>
      <c r="AA1084" s="903">
        <v>61.3</v>
      </c>
      <c r="AB1084" s="903">
        <v>61.3</v>
      </c>
      <c r="AC1084" s="903">
        <v>61.3</v>
      </c>
      <c r="AD1084" s="903">
        <v>61.3</v>
      </c>
      <c r="AE1084" s="903"/>
      <c r="AF1084" s="903"/>
      <c r="AG1084" s="903"/>
      <c r="AK1084" s="853"/>
      <c r="BB1084" s="752"/>
    </row>
    <row r="1085" spans="1:54" s="741" customFormat="1" ht="30" hidden="1" customHeight="1" outlineLevel="1" x14ac:dyDescent="0.35">
      <c r="A1085" s="756"/>
      <c r="B1085" s="1328"/>
      <c r="C1085" s="753"/>
      <c r="D1085" s="2333" t="s">
        <v>1938</v>
      </c>
      <c r="E1085" s="1367" t="s">
        <v>1846</v>
      </c>
      <c r="F1085" s="903">
        <v>0.98</v>
      </c>
      <c r="G1085" s="4313" t="s">
        <v>1847</v>
      </c>
      <c r="H1085" s="4313"/>
      <c r="I1085" s="2402" t="s">
        <v>652</v>
      </c>
      <c r="J1085" s="756"/>
      <c r="K1085" s="756"/>
      <c r="L1085" s="756"/>
      <c r="M1085" s="756"/>
      <c r="N1085" s="756"/>
      <c r="O1085" s="756"/>
      <c r="P1085" s="756"/>
      <c r="Q1085" s="756"/>
      <c r="R1085" s="756"/>
      <c r="S1085" s="756"/>
      <c r="T1085" s="756"/>
      <c r="U1085" s="756"/>
      <c r="V1085" s="2407" t="str">
        <f t="shared" si="147"/>
        <v>REelectric</v>
      </c>
      <c r="W1085" s="903">
        <v>0.98</v>
      </c>
      <c r="X1085" s="903">
        <v>0.98</v>
      </c>
      <c r="Y1085" s="903">
        <v>0.98</v>
      </c>
      <c r="Z1085" s="903">
        <v>0.98</v>
      </c>
      <c r="AA1085" s="903">
        <v>0.98</v>
      </c>
      <c r="AB1085" s="903">
        <v>0.98</v>
      </c>
      <c r="AC1085" s="903">
        <v>0.98</v>
      </c>
      <c r="AD1085" s="903">
        <v>0.98</v>
      </c>
      <c r="AE1085" s="903"/>
      <c r="AF1085" s="903"/>
      <c r="AG1085" s="903"/>
      <c r="AK1085" s="853"/>
      <c r="BB1085" s="752"/>
    </row>
    <row r="1086" spans="1:54" s="741" customFormat="1" ht="15" hidden="1" customHeight="1" outlineLevel="1" x14ac:dyDescent="0.35">
      <c r="A1086" s="756"/>
      <c r="B1086" s="1328"/>
      <c r="C1086" s="753"/>
      <c r="D1086" s="2333">
        <v>3412</v>
      </c>
      <c r="E1086" s="1367">
        <v>3412</v>
      </c>
      <c r="F1086" s="903">
        <v>3412</v>
      </c>
      <c r="G1086" s="3834" t="s">
        <v>217</v>
      </c>
      <c r="H1086" s="3834"/>
      <c r="I1086" s="2402" t="s">
        <v>1939</v>
      </c>
      <c r="J1086" s="756"/>
      <c r="K1086" s="756"/>
      <c r="L1086" s="756"/>
      <c r="M1086" s="756"/>
      <c r="N1086" s="756"/>
      <c r="O1086" s="756"/>
      <c r="P1086" s="756"/>
      <c r="Q1086" s="756"/>
      <c r="R1086" s="756"/>
      <c r="S1086" s="756"/>
      <c r="T1086" s="756"/>
      <c r="U1086" s="756"/>
      <c r="V1086" s="2407">
        <f t="shared" si="147"/>
        <v>3412</v>
      </c>
      <c r="W1086" s="903">
        <v>3412</v>
      </c>
      <c r="X1086" s="903">
        <v>3412</v>
      </c>
      <c r="Y1086" s="903">
        <v>3412</v>
      </c>
      <c r="Z1086" s="903">
        <v>3412</v>
      </c>
      <c r="AA1086" s="903">
        <v>3412</v>
      </c>
      <c r="AB1086" s="903">
        <v>3412</v>
      </c>
      <c r="AC1086" s="903">
        <v>3412</v>
      </c>
      <c r="AD1086" s="903">
        <v>3412</v>
      </c>
      <c r="AE1086" s="903"/>
      <c r="AF1086" s="903"/>
      <c r="AG1086" s="903"/>
      <c r="AK1086" s="853"/>
      <c r="BB1086" s="752"/>
    </row>
    <row r="1087" spans="1:54" s="741" customFormat="1" ht="15" hidden="1" customHeight="1" outlineLevel="1" x14ac:dyDescent="0.35">
      <c r="A1087" s="756"/>
      <c r="B1087" s="1328"/>
      <c r="C1087" s="753"/>
      <c r="D1087" s="2333" t="s">
        <v>516</v>
      </c>
      <c r="E1087" s="2333" t="s">
        <v>578</v>
      </c>
      <c r="F1087" s="874">
        <v>1</v>
      </c>
      <c r="G1087" s="3834" t="s">
        <v>583</v>
      </c>
      <c r="H1087" s="3834"/>
      <c r="I1087" s="2402"/>
      <c r="J1087" s="756"/>
      <c r="K1087" s="756"/>
      <c r="L1087" s="756"/>
      <c r="M1087" s="756"/>
      <c r="N1087" s="756"/>
      <c r="O1087" s="756"/>
      <c r="P1087" s="756"/>
      <c r="Q1087" s="756"/>
      <c r="R1087" s="756"/>
      <c r="S1087" s="756"/>
      <c r="T1087" s="756"/>
      <c r="U1087" s="756"/>
      <c r="V1087" s="2407" t="str">
        <f t="shared" si="147"/>
        <v>Utility Adjustment</v>
      </c>
      <c r="W1087" s="874">
        <v>1</v>
      </c>
      <c r="X1087" s="874">
        <v>1</v>
      </c>
      <c r="Y1087" s="874">
        <v>1</v>
      </c>
      <c r="Z1087" s="874">
        <v>1</v>
      </c>
      <c r="AA1087" s="874">
        <v>1</v>
      </c>
      <c r="AB1087" s="874">
        <v>1</v>
      </c>
      <c r="AC1087" s="874">
        <v>1</v>
      </c>
      <c r="AD1087" s="874">
        <v>1</v>
      </c>
      <c r="AE1087" s="874"/>
      <c r="AF1087" s="874"/>
      <c r="AG1087" s="874"/>
      <c r="AK1087" s="853"/>
      <c r="BB1087" s="752"/>
    </row>
    <row r="1088" spans="1:54" s="741" customFormat="1" ht="30" hidden="1" customHeight="1" outlineLevel="1" x14ac:dyDescent="0.35">
      <c r="A1088" s="756"/>
      <c r="B1088" s="1328"/>
      <c r="C1088" s="753"/>
      <c r="D1088" s="2333" t="s">
        <v>132</v>
      </c>
      <c r="E1088" s="1367" t="s">
        <v>1722</v>
      </c>
      <c r="F1088" s="3144">
        <v>0.97699999999999998</v>
      </c>
      <c r="G1088" s="4313" t="s">
        <v>679</v>
      </c>
      <c r="H1088" s="4313"/>
      <c r="I1088" s="2340"/>
      <c r="J1088" s="756"/>
      <c r="K1088" s="756"/>
      <c r="L1088" s="756"/>
      <c r="M1088" s="756"/>
      <c r="N1088" s="756"/>
      <c r="O1088" s="756"/>
      <c r="P1088" s="756"/>
      <c r="Q1088" s="756"/>
      <c r="R1088" s="756"/>
      <c r="S1088" s="756"/>
      <c r="T1088" s="756"/>
      <c r="U1088" s="756"/>
      <c r="V1088" s="2407" t="str">
        <f t="shared" si="147"/>
        <v>ISR</v>
      </c>
      <c r="W1088" s="933">
        <v>0.97699999999999998</v>
      </c>
      <c r="X1088" s="933">
        <v>0.97699999999999998</v>
      </c>
      <c r="Y1088" s="933">
        <v>0.97699999999999998</v>
      </c>
      <c r="Z1088" s="933">
        <v>0.97699999999999998</v>
      </c>
      <c r="AA1088" s="933">
        <v>0.97699999999999998</v>
      </c>
      <c r="AB1088" s="933">
        <v>0.97699999999999998</v>
      </c>
      <c r="AC1088" s="933">
        <v>0.97699999999999998</v>
      </c>
      <c r="AD1088" s="933">
        <v>0.97699999999999998</v>
      </c>
      <c r="AE1088" s="933"/>
      <c r="AF1088" s="933"/>
      <c r="AG1088" s="933"/>
      <c r="AK1088" s="853"/>
      <c r="BB1088" s="752"/>
    </row>
    <row r="1089" spans="1:57" s="741" customFormat="1" hidden="1" outlineLevel="1" x14ac:dyDescent="0.35">
      <c r="A1089" s="756"/>
      <c r="B1089" s="1328"/>
      <c r="C1089" s="2378"/>
      <c r="D1089" s="2094" t="str">
        <f>D1058</f>
        <v>EUL</v>
      </c>
      <c r="E1089" s="2094" t="str">
        <f>E1058</f>
        <v>Effective Useful Life (All)</v>
      </c>
      <c r="F1089" s="919">
        <v>10</v>
      </c>
      <c r="G1089" s="4313"/>
      <c r="H1089" s="4313"/>
      <c r="I1089" s="2353"/>
      <c r="J1089" s="756"/>
      <c r="K1089" s="756"/>
      <c r="L1089" s="756"/>
      <c r="M1089" s="756"/>
      <c r="N1089" s="756"/>
      <c r="O1089" s="756"/>
      <c r="P1089" s="756"/>
      <c r="Q1089" s="756"/>
      <c r="R1089" s="756"/>
      <c r="S1089" s="756"/>
      <c r="T1089" s="756"/>
      <c r="U1089" s="756"/>
      <c r="V1089" s="2407" t="str">
        <f t="shared" si="147"/>
        <v>EUL</v>
      </c>
      <c r="W1089" s="810">
        <v>10</v>
      </c>
      <c r="X1089" s="810">
        <v>10</v>
      </c>
      <c r="Y1089" s="810">
        <v>10</v>
      </c>
      <c r="Z1089" s="810">
        <v>10</v>
      </c>
      <c r="AA1089" s="810">
        <v>10</v>
      </c>
      <c r="AB1089" s="810">
        <v>10</v>
      </c>
      <c r="AC1089" s="810">
        <v>10</v>
      </c>
      <c r="AD1089" s="810">
        <v>10</v>
      </c>
      <c r="AE1089" s="886"/>
      <c r="AF1089" s="886"/>
      <c r="AG1089" s="886"/>
      <c r="AK1089" s="853"/>
      <c r="BB1089" s="752"/>
    </row>
    <row r="1090" spans="1:57" s="741" customFormat="1" hidden="1" outlineLevel="1" x14ac:dyDescent="0.35">
      <c r="A1090" s="756"/>
      <c r="B1090" s="1328"/>
      <c r="C1090" s="2378"/>
      <c r="D1090" s="4412" t="str">
        <f>D1059</f>
        <v>Inc. Cost</v>
      </c>
      <c r="E1090" s="2094" t="str">
        <f>E1059</f>
        <v>Incremental Cost - Non-DI</v>
      </c>
      <c r="F1090" s="920">
        <v>11.33</v>
      </c>
      <c r="G1090" s="4313"/>
      <c r="H1090" s="4313"/>
      <c r="I1090" s="2353"/>
      <c r="J1090" s="756"/>
      <c r="K1090" s="756"/>
      <c r="L1090" s="756"/>
      <c r="M1090" s="756"/>
      <c r="N1090" s="756"/>
      <c r="O1090" s="756"/>
      <c r="P1090" s="756"/>
      <c r="Q1090" s="756"/>
      <c r="R1090" s="756"/>
      <c r="S1090" s="756"/>
      <c r="T1090" s="756"/>
      <c r="U1090" s="756"/>
      <c r="V1090" s="4407" t="str">
        <f>D1090</f>
        <v>Inc. Cost</v>
      </c>
      <c r="W1090" s="887">
        <v>11.33</v>
      </c>
      <c r="X1090" s="887">
        <v>11.33</v>
      </c>
      <c r="Y1090" s="887">
        <v>11.33</v>
      </c>
      <c r="Z1090" s="887">
        <v>11.33</v>
      </c>
      <c r="AA1090" s="887">
        <v>11.33</v>
      </c>
      <c r="AB1090" s="887">
        <v>11.33</v>
      </c>
      <c r="AC1090" s="887">
        <v>11.33</v>
      </c>
      <c r="AD1090" s="887">
        <v>11.33</v>
      </c>
      <c r="AE1090" s="888"/>
      <c r="AF1090" s="888"/>
      <c r="AG1090" s="888"/>
      <c r="AK1090" s="853"/>
      <c r="BB1090" s="752"/>
    </row>
    <row r="1091" spans="1:57" s="741" customFormat="1" hidden="1" outlineLevel="1" x14ac:dyDescent="0.35">
      <c r="A1091" s="756"/>
      <c r="B1091" s="1328"/>
      <c r="C1091" s="2378"/>
      <c r="D1091" s="4413"/>
      <c r="E1091" s="2094" t="str">
        <f>E1060</f>
        <v>Incremental Cost - Direct Install (DI)</v>
      </c>
      <c r="F1091" s="920">
        <v>11.33</v>
      </c>
      <c r="G1091" s="4313"/>
      <c r="H1091" s="4313"/>
      <c r="I1091" s="2353"/>
      <c r="J1091" s="756"/>
      <c r="K1091" s="756"/>
      <c r="L1091" s="756"/>
      <c r="M1091" s="756"/>
      <c r="N1091" s="756"/>
      <c r="O1091" s="756"/>
      <c r="P1091" s="756"/>
      <c r="Q1091" s="756"/>
      <c r="R1091" s="756"/>
      <c r="S1091" s="756"/>
      <c r="T1091" s="756"/>
      <c r="U1091" s="756"/>
      <c r="V1091" s="4388"/>
      <c r="W1091" s="887">
        <v>11.33</v>
      </c>
      <c r="X1091" s="887">
        <v>11.33</v>
      </c>
      <c r="Y1091" s="887">
        <v>11.33</v>
      </c>
      <c r="Z1091" s="887">
        <v>11.33</v>
      </c>
      <c r="AA1091" s="887">
        <v>11.33</v>
      </c>
      <c r="AB1091" s="887">
        <v>11.33</v>
      </c>
      <c r="AC1091" s="887">
        <v>11.33</v>
      </c>
      <c r="AD1091" s="887">
        <v>11.33</v>
      </c>
      <c r="AE1091" s="888"/>
      <c r="AF1091" s="888"/>
      <c r="AG1091" s="888"/>
      <c r="AK1091" s="853"/>
      <c r="BB1091" s="752"/>
    </row>
    <row r="1092" spans="1:57" s="741" customFormat="1" ht="15" customHeight="1" collapsed="1" x14ac:dyDescent="0.35">
      <c r="A1092" s="756"/>
      <c r="B1092" s="1328"/>
      <c r="C1092" s="2378"/>
      <c r="D1092" s="375"/>
      <c r="E1092" s="375"/>
      <c r="F1092" s="756"/>
      <c r="G1092" s="756"/>
      <c r="H1092" s="756"/>
      <c r="I1092" s="756"/>
      <c r="J1092" s="756"/>
      <c r="K1092" s="756"/>
      <c r="L1092" s="756"/>
      <c r="M1092" s="756"/>
      <c r="N1092" s="756"/>
      <c r="O1092" s="756"/>
      <c r="P1092" s="756"/>
      <c r="Q1092" s="756"/>
      <c r="R1092" s="756"/>
      <c r="S1092" s="756"/>
      <c r="T1092" s="756"/>
      <c r="U1092" s="756"/>
      <c r="X1092" s="756"/>
      <c r="Y1092" s="1234" t="s">
        <v>1966</v>
      </c>
      <c r="Z1092" s="799"/>
      <c r="AA1092" s="799"/>
      <c r="AK1092" s="853"/>
      <c r="BB1092" s="752"/>
    </row>
    <row r="1093" spans="1:57" s="741" customFormat="1" ht="15" customHeight="1" x14ac:dyDescent="0.35">
      <c r="A1093" s="756"/>
      <c r="B1093" s="1328"/>
      <c r="C1093" s="753"/>
      <c r="D1093" s="375"/>
      <c r="E1093" s="375"/>
      <c r="F1093" s="756"/>
      <c r="G1093" s="756"/>
      <c r="H1093" s="756"/>
      <c r="I1093" s="756"/>
      <c r="J1093" s="756"/>
      <c r="K1093" s="756"/>
      <c r="L1093" s="756"/>
      <c r="M1093" s="756"/>
      <c r="N1093" s="756"/>
      <c r="O1093" s="756"/>
      <c r="P1093" s="756"/>
      <c r="Q1093" s="756"/>
      <c r="R1093" s="756"/>
      <c r="S1093" s="756"/>
      <c r="T1093" s="756"/>
      <c r="U1093" s="756"/>
      <c r="Y1093" s="757"/>
      <c r="AK1093" s="853"/>
      <c r="BB1093" s="752"/>
    </row>
    <row r="1094" spans="1:57" s="741" customFormat="1" x14ac:dyDescent="0.35">
      <c r="A1094" s="756"/>
      <c r="B1094" s="3664" t="s">
        <v>1967</v>
      </c>
      <c r="C1094" s="3665"/>
      <c r="D1094" s="3665"/>
      <c r="E1094" s="3665"/>
      <c r="F1094" s="3665"/>
      <c r="G1094" s="3665"/>
      <c r="H1094" s="3665"/>
      <c r="I1094" s="3666"/>
      <c r="J1094" s="3666"/>
      <c r="K1094" s="3666"/>
      <c r="L1094" s="3666"/>
      <c r="M1094" s="3666"/>
      <c r="N1094" s="3666"/>
      <c r="O1094" s="3666"/>
      <c r="P1094" s="3666"/>
      <c r="Q1094" s="3666"/>
      <c r="R1094" s="3667"/>
      <c r="S1094" s="756"/>
      <c r="T1094" s="756"/>
      <c r="U1094" s="756"/>
      <c r="V1094" s="3664" t="str">
        <f>B1094</f>
        <v xml:space="preserve">Common Area Low Flow Showerheads </v>
      </c>
      <c r="W1094" s="3665"/>
      <c r="X1094" s="3665"/>
      <c r="Y1094" s="3665"/>
      <c r="Z1094" s="3665"/>
      <c r="AA1094" s="3665"/>
      <c r="AB1094" s="3665"/>
      <c r="AC1094" s="4018"/>
      <c r="AD1094" s="4018"/>
      <c r="AE1094" s="4018"/>
      <c r="AF1094" s="4018"/>
      <c r="AG1094" s="4018"/>
      <c r="AH1094" s="4018"/>
      <c r="AI1094" s="4019"/>
      <c r="AK1094" s="853"/>
      <c r="BB1094" s="752"/>
    </row>
    <row r="1095" spans="1:57" s="741" customFormat="1" x14ac:dyDescent="0.35">
      <c r="A1095" s="756"/>
      <c r="B1095" s="756"/>
      <c r="C1095" s="753"/>
      <c r="D1095" s="1339"/>
      <c r="E1095" s="1339"/>
      <c r="F1095" s="754"/>
      <c r="G1095" s="754"/>
      <c r="H1095" s="754"/>
      <c r="I1095" s="754"/>
      <c r="J1095" s="754"/>
      <c r="K1095" s="754"/>
      <c r="L1095" s="1340"/>
      <c r="M1095" s="756"/>
      <c r="N1095" s="756"/>
      <c r="O1095" s="756"/>
      <c r="P1095" s="756"/>
      <c r="Q1095" s="756"/>
      <c r="R1095" s="756"/>
      <c r="S1095" s="756"/>
      <c r="T1095" s="756"/>
      <c r="U1095" s="756"/>
      <c r="V1095" s="741" t="str">
        <f>IF(C1093&gt;0,C1093," ")</f>
        <v xml:space="preserve"> </v>
      </c>
      <c r="Y1095" s="757"/>
      <c r="AK1095" s="853"/>
      <c r="BB1095" s="752"/>
    </row>
    <row r="1096" spans="1:57" s="741" customFormat="1" ht="49.5" customHeight="1" x14ac:dyDescent="0.35">
      <c r="A1096" s="756"/>
      <c r="B1096" s="1328"/>
      <c r="C1096" s="2331" t="s">
        <v>27</v>
      </c>
      <c r="D1096" s="2331" t="s">
        <v>174</v>
      </c>
      <c r="E1096" s="2331" t="s">
        <v>29</v>
      </c>
      <c r="F1096" s="2331" t="s">
        <v>1670</v>
      </c>
      <c r="G1096" s="2331" t="s">
        <v>175</v>
      </c>
      <c r="H1096" s="2331" t="s">
        <v>176</v>
      </c>
      <c r="I1096" s="2331" t="s">
        <v>588</v>
      </c>
      <c r="J1096" s="2331" t="s">
        <v>31</v>
      </c>
      <c r="K1096" s="2331" t="s">
        <v>180</v>
      </c>
      <c r="L1096" s="2331" t="s">
        <v>169</v>
      </c>
      <c r="M1096" s="2331" t="s">
        <v>43</v>
      </c>
      <c r="N1096" s="756"/>
      <c r="O1096" s="756"/>
      <c r="P1096" s="756"/>
      <c r="Q1096" s="756"/>
      <c r="R1096" s="756"/>
      <c r="S1096" s="756"/>
      <c r="T1096" s="756"/>
      <c r="U1096" s="756"/>
      <c r="V1096" s="1572" t="s">
        <v>44</v>
      </c>
      <c r="W1096" s="1573">
        <f>W$6</f>
        <v>43252</v>
      </c>
      <c r="X1096" s="1573">
        <f t="shared" ref="X1096:AG1096" si="148">X$6</f>
        <v>43465</v>
      </c>
      <c r="Y1096" s="316">
        <f t="shared" si="148"/>
        <v>43800</v>
      </c>
      <c r="Z1096" s="1573">
        <f t="shared" si="148"/>
        <v>43862</v>
      </c>
      <c r="AA1096" s="1573">
        <f t="shared" si="148"/>
        <v>44013</v>
      </c>
      <c r="AB1096" s="1573">
        <f t="shared" si="148"/>
        <v>44166</v>
      </c>
      <c r="AC1096" s="1573">
        <f t="shared" si="148"/>
        <v>44531</v>
      </c>
      <c r="AD1096" s="1573">
        <f t="shared" si="148"/>
        <v>44774</v>
      </c>
      <c r="AE1096" s="1573" t="str">
        <f t="shared" si="148"/>
        <v>-</v>
      </c>
      <c r="AF1096" s="1573" t="str">
        <f t="shared" si="148"/>
        <v>-</v>
      </c>
      <c r="AG1096" s="1573" t="str">
        <f t="shared" si="148"/>
        <v>-</v>
      </c>
      <c r="AK1096" s="853"/>
      <c r="BB1096" s="1574" t="str">
        <f>$BB$6</f>
        <v>TRC (2022)</v>
      </c>
      <c r="BC1096" s="1584" t="str">
        <f>$BC$6</f>
        <v>Benefit Lookup</v>
      </c>
      <c r="BD1096" s="556" t="str">
        <f>$BD$6</f>
        <v>Benefits (2019 $)</v>
      </c>
      <c r="BE1096" s="200" t="str">
        <f>$BE$6</f>
        <v>Incremental Cost (2019 $)</v>
      </c>
    </row>
    <row r="1097" spans="1:57" s="741" customFormat="1" x14ac:dyDescent="0.35">
      <c r="A1097" s="756"/>
      <c r="B1097" s="1328"/>
      <c r="C1097" s="395" t="s">
        <v>1968</v>
      </c>
      <c r="D1097" s="395" t="s">
        <v>4294</v>
      </c>
      <c r="E1097" s="368" t="s">
        <v>1969</v>
      </c>
      <c r="F1097" s="867">
        <f>ROUND(F1107*((F1108*F1109-F1110*F1111)*F1112*F1113)*I1097*F1121*F1120,2)</f>
        <v>213.29</v>
      </c>
      <c r="G1097" s="395" t="s">
        <v>1830</v>
      </c>
      <c r="H1097" s="136">
        <f>VLOOKUP(G1097,'CP FACTORS'!$A$3:$B$38, 2, FALSE)</f>
        <v>8.8731800000000003E-5</v>
      </c>
      <c r="I1097" s="1337">
        <f>F1114*F1115*(F1116-F1117)/(F1118*F1119)</f>
        <v>0.10886576787807739</v>
      </c>
      <c r="J1097" s="1384">
        <f>ROUND(F1097*H1097,6)</f>
        <v>1.8925999999999998E-2</v>
      </c>
      <c r="K1097" s="92">
        <f>F1122</f>
        <v>10</v>
      </c>
      <c r="L1097" s="921">
        <f>F1123</f>
        <v>7</v>
      </c>
      <c r="M1097" s="395" t="s">
        <v>184</v>
      </c>
      <c r="N1097" s="756"/>
      <c r="O1097" s="756"/>
      <c r="P1097" s="756"/>
      <c r="Q1097" s="756"/>
      <c r="R1097" s="756"/>
      <c r="S1097" s="756"/>
      <c r="T1097" s="756"/>
      <c r="U1097" s="756"/>
      <c r="V1097" s="851" t="str">
        <f>$F$1004</f>
        <v>kWh
Annual Savings</v>
      </c>
      <c r="W1097" s="932">
        <v>213.28849188496486</v>
      </c>
      <c r="X1097" s="932">
        <v>213.28849188496486</v>
      </c>
      <c r="Y1097" s="809">
        <v>213.29</v>
      </c>
      <c r="Z1097" s="809">
        <v>213.29</v>
      </c>
      <c r="AA1097" s="809">
        <v>213.29</v>
      </c>
      <c r="AB1097" s="809">
        <v>213.29</v>
      </c>
      <c r="AC1097" s="809">
        <v>213.29</v>
      </c>
      <c r="AD1097" s="809">
        <v>213.29</v>
      </c>
      <c r="AE1097" s="851"/>
      <c r="AF1097" s="851"/>
      <c r="AG1097" s="851"/>
      <c r="AK1097" s="853"/>
      <c r="BB1097" s="922">
        <f>(BD1097)/(BE1097)</f>
        <v>10.890895280531272</v>
      </c>
      <c r="BC1097" s="2381" t="str">
        <f>CONCATENATE(G1097," ",K1097," Year EUL")</f>
        <v>Water heating RES 10 Year EUL</v>
      </c>
      <c r="BD1097" s="147">
        <f>(INDEX('Avoided Cost Benefits'!$E$4:$E$859,MATCH(BC1097,'Avoided Cost Benefits'!$A$4:$A$859,0)))*F1097</f>
        <v>71.95494758255677</v>
      </c>
      <c r="BE1097" s="923">
        <f>L1097/(1.0595^(2020-2019))</f>
        <v>6.6068900424728643</v>
      </c>
    </row>
    <row r="1098" spans="1:57" s="741" customFormat="1" hidden="1" outlineLevel="1" x14ac:dyDescent="0.35">
      <c r="A1098" s="756"/>
      <c r="B1098" s="1328"/>
      <c r="C1098" s="753"/>
      <c r="D1098" s="375"/>
      <c r="E1098" s="375"/>
      <c r="F1098" s="1417"/>
      <c r="G1098" s="753"/>
      <c r="H1098" s="1414"/>
      <c r="I1098" s="894"/>
      <c r="J1098" s="894"/>
      <c r="K1098" s="894"/>
      <c r="L1098" s="756"/>
      <c r="M1098" s="800"/>
      <c r="N1098" s="756"/>
      <c r="O1098" s="756"/>
      <c r="P1098" s="756"/>
      <c r="Q1098" s="756"/>
      <c r="R1098" s="756"/>
      <c r="S1098" s="756"/>
      <c r="T1098" s="756"/>
      <c r="U1098" s="756"/>
      <c r="V1098" s="911"/>
      <c r="Y1098" s="757"/>
      <c r="AK1098" s="853"/>
      <c r="BB1098" s="752"/>
    </row>
    <row r="1099" spans="1:57" s="741" customFormat="1" hidden="1" outlineLevel="1" x14ac:dyDescent="0.35">
      <c r="A1099" s="756"/>
      <c r="B1099" s="1328"/>
      <c r="C1099" s="753"/>
      <c r="D1099" s="152" t="s">
        <v>107</v>
      </c>
      <c r="E1099" s="375"/>
      <c r="F1099" s="1417"/>
      <c r="G1099" s="753"/>
      <c r="H1099" s="1414"/>
      <c r="I1099" s="894"/>
      <c r="J1099" s="894"/>
      <c r="K1099" s="894"/>
      <c r="L1099" s="756"/>
      <c r="M1099" s="800"/>
      <c r="N1099" s="756"/>
      <c r="O1099" s="756"/>
      <c r="P1099" s="756"/>
      <c r="Q1099" s="756"/>
      <c r="R1099" s="756"/>
      <c r="S1099" s="756"/>
      <c r="T1099" s="756"/>
      <c r="U1099" s="756"/>
      <c r="V1099" s="911"/>
      <c r="Y1099" s="757"/>
      <c r="AK1099" s="853"/>
      <c r="BB1099" s="752"/>
    </row>
    <row r="1100" spans="1:57" s="741" customFormat="1" hidden="1" outlineLevel="1" x14ac:dyDescent="0.35">
      <c r="A1100" s="756"/>
      <c r="B1100" s="1328"/>
      <c r="C1100" s="753"/>
      <c r="D1100" s="375"/>
      <c r="E1100" s="375"/>
      <c r="F1100" s="756"/>
      <c r="G1100" s="756"/>
      <c r="H1100" s="756"/>
      <c r="I1100" s="756"/>
      <c r="J1100" s="756"/>
      <c r="K1100" s="756"/>
      <c r="L1100" s="756"/>
      <c r="M1100" s="800"/>
      <c r="N1100" s="756"/>
      <c r="O1100" s="756"/>
      <c r="P1100" s="756"/>
      <c r="Q1100" s="756"/>
      <c r="R1100" s="756"/>
      <c r="S1100" s="756"/>
      <c r="T1100" s="756"/>
      <c r="U1100" s="756"/>
      <c r="Y1100" s="757"/>
      <c r="AK1100" s="853"/>
      <c r="BB1100" s="752"/>
    </row>
    <row r="1101" spans="1:57" s="741" customFormat="1" hidden="1" outlineLevel="1" x14ac:dyDescent="0.35">
      <c r="A1101" s="756"/>
      <c r="B1101" s="1328"/>
      <c r="C1101" s="758"/>
      <c r="D1101" s="1415"/>
      <c r="E1101" s="1416"/>
      <c r="F1101" s="1418"/>
      <c r="G1101" s="756"/>
      <c r="H1101" s="756"/>
      <c r="I1101" s="756"/>
      <c r="J1101" s="756"/>
      <c r="K1101" s="756"/>
      <c r="L1101" s="756"/>
      <c r="M1101" s="756"/>
      <c r="N1101" s="756"/>
      <c r="O1101" s="756"/>
      <c r="P1101" s="756"/>
      <c r="Q1101" s="756"/>
      <c r="R1101" s="756"/>
      <c r="S1101" s="756"/>
      <c r="T1101" s="756"/>
      <c r="U1101" s="756"/>
      <c r="Y1101" s="757"/>
      <c r="AK1101" s="853"/>
      <c r="BB1101" s="752"/>
    </row>
    <row r="1102" spans="1:57" s="741" customFormat="1" hidden="1" outlineLevel="1" x14ac:dyDescent="0.35">
      <c r="A1102" s="756"/>
      <c r="B1102" s="1328"/>
      <c r="C1102" s="759"/>
      <c r="D1102" s="1404"/>
      <c r="E1102" s="1405"/>
      <c r="F1102" s="1419"/>
      <c r="G1102" s="756"/>
      <c r="H1102" s="756"/>
      <c r="I1102" s="756"/>
      <c r="J1102" s="756"/>
      <c r="K1102" s="756"/>
      <c r="L1102" s="756"/>
      <c r="M1102" s="756"/>
      <c r="N1102" s="756"/>
      <c r="O1102" s="756"/>
      <c r="P1102" s="756"/>
      <c r="Q1102" s="756"/>
      <c r="R1102" s="756"/>
      <c r="S1102" s="756"/>
      <c r="T1102" s="756"/>
      <c r="U1102" s="756"/>
      <c r="Y1102" s="757"/>
      <c r="AK1102" s="853"/>
      <c r="BB1102" s="752"/>
    </row>
    <row r="1103" spans="1:57" s="741" customFormat="1" hidden="1" outlineLevel="1" x14ac:dyDescent="0.35">
      <c r="A1103" s="756"/>
      <c r="B1103" s="1328"/>
      <c r="C1103" s="759"/>
      <c r="D1103" s="1404"/>
      <c r="E1103" s="1405"/>
      <c r="F1103" s="1419"/>
      <c r="G1103" s="756"/>
      <c r="H1103" s="756"/>
      <c r="I1103" s="756"/>
      <c r="J1103" s="756"/>
      <c r="K1103" s="756"/>
      <c r="L1103" s="756"/>
      <c r="M1103" s="756"/>
      <c r="N1103" s="756"/>
      <c r="O1103" s="756"/>
      <c r="P1103" s="756"/>
      <c r="Q1103" s="756"/>
      <c r="R1103" s="756"/>
      <c r="S1103" s="756"/>
      <c r="T1103" s="756"/>
      <c r="U1103" s="756"/>
      <c r="Y1103" s="757"/>
      <c r="AK1103" s="853"/>
      <c r="BB1103" s="752"/>
    </row>
    <row r="1104" spans="1:57" s="741" customFormat="1" ht="15" hidden="1" customHeight="1" outlineLevel="1" x14ac:dyDescent="0.35">
      <c r="A1104" s="756"/>
      <c r="B1104" s="1328"/>
      <c r="C1104" s="759"/>
      <c r="D1104" s="1404"/>
      <c r="E1104" s="1405"/>
      <c r="F1104" s="1419"/>
      <c r="G1104" s="756"/>
      <c r="H1104" s="756"/>
      <c r="I1104" s="756"/>
      <c r="J1104" s="756"/>
      <c r="K1104" s="756"/>
      <c r="L1104" s="756"/>
      <c r="M1104" s="756"/>
      <c r="N1104" s="756"/>
      <c r="O1104" s="756"/>
      <c r="P1104" s="756"/>
      <c r="Q1104" s="756"/>
      <c r="R1104" s="756"/>
      <c r="S1104" s="756"/>
      <c r="T1104" s="756"/>
      <c r="U1104" s="756"/>
      <c r="Y1104" s="757"/>
      <c r="AK1104" s="853"/>
      <c r="BB1104" s="752"/>
    </row>
    <row r="1105" spans="1:54" s="741" customFormat="1" ht="15" hidden="1" customHeight="1" outlineLevel="1" x14ac:dyDescent="0.35">
      <c r="A1105" s="756"/>
      <c r="B1105" s="756"/>
      <c r="C1105" s="753"/>
      <c r="D1105" s="375"/>
      <c r="E1105" s="375"/>
      <c r="F1105" s="756"/>
      <c r="G1105" s="756"/>
      <c r="H1105" s="756"/>
      <c r="I1105" s="756"/>
      <c r="J1105" s="756"/>
      <c r="K1105" s="756"/>
      <c r="L1105" s="756"/>
      <c r="M1105" s="756"/>
      <c r="N1105" s="756"/>
      <c r="O1105" s="756"/>
      <c r="P1105" s="756"/>
      <c r="Q1105" s="756"/>
      <c r="R1105" s="756"/>
      <c r="S1105" s="756"/>
      <c r="T1105" s="756"/>
      <c r="U1105" s="756"/>
      <c r="Y1105" s="757"/>
      <c r="AK1105" s="853"/>
      <c r="BB1105" s="752"/>
    </row>
    <row r="1106" spans="1:54" s="741" customFormat="1" ht="15" hidden="1" customHeight="1" outlineLevel="1" x14ac:dyDescent="0.35">
      <c r="A1106" s="756"/>
      <c r="B1106" s="756"/>
      <c r="C1106" s="753"/>
      <c r="D1106" s="2423" t="s">
        <v>108</v>
      </c>
      <c r="E1106" s="2423" t="s">
        <v>109</v>
      </c>
      <c r="F1106" s="2362" t="s">
        <v>111</v>
      </c>
      <c r="G1106" s="3741" t="s">
        <v>186</v>
      </c>
      <c r="H1106" s="3741"/>
      <c r="I1106" s="2404" t="s">
        <v>112</v>
      </c>
      <c r="J1106" s="756"/>
      <c r="K1106" s="756"/>
      <c r="L1106" s="756"/>
      <c r="M1106" s="756"/>
      <c r="N1106" s="756"/>
      <c r="O1106" s="756"/>
      <c r="P1106" s="756"/>
      <c r="Q1106" s="756"/>
      <c r="R1106" s="756"/>
      <c r="S1106" s="756"/>
      <c r="T1106" s="756"/>
      <c r="U1106" s="756"/>
      <c r="V1106" s="1572" t="s">
        <v>44</v>
      </c>
      <c r="W1106" s="1573">
        <f>W$6</f>
        <v>43252</v>
      </c>
      <c r="X1106" s="1573">
        <f t="shared" ref="X1106:AG1106" si="149">X$6</f>
        <v>43465</v>
      </c>
      <c r="Y1106" s="316">
        <f t="shared" si="149"/>
        <v>43800</v>
      </c>
      <c r="Z1106" s="1573">
        <f t="shared" si="149"/>
        <v>43862</v>
      </c>
      <c r="AA1106" s="1573">
        <f t="shared" si="149"/>
        <v>44013</v>
      </c>
      <c r="AB1106" s="1573">
        <f t="shared" si="149"/>
        <v>44166</v>
      </c>
      <c r="AC1106" s="1573">
        <f t="shared" si="149"/>
        <v>44531</v>
      </c>
      <c r="AD1106" s="1573">
        <f t="shared" si="149"/>
        <v>44774</v>
      </c>
      <c r="AE1106" s="1573" t="str">
        <f t="shared" si="149"/>
        <v>-</v>
      </c>
      <c r="AF1106" s="1573" t="str">
        <f t="shared" si="149"/>
        <v>-</v>
      </c>
      <c r="AG1106" s="1573" t="str">
        <f t="shared" si="149"/>
        <v>-</v>
      </c>
      <c r="AK1106" s="853"/>
      <c r="BB1106" s="752"/>
    </row>
    <row r="1107" spans="1:54" s="741" customFormat="1" ht="29" hidden="1" outlineLevel="1" x14ac:dyDescent="0.35">
      <c r="A1107" s="756"/>
      <c r="B1107" s="756"/>
      <c r="C1107" s="753"/>
      <c r="D1107" s="2333" t="s">
        <v>596</v>
      </c>
      <c r="E1107" s="2333" t="s">
        <v>597</v>
      </c>
      <c r="F1107" s="918">
        <v>1</v>
      </c>
      <c r="G1107" s="3834" t="s">
        <v>583</v>
      </c>
      <c r="H1107" s="3834"/>
      <c r="I1107" s="2402" t="s">
        <v>1721</v>
      </c>
      <c r="J1107" s="756"/>
      <c r="K1107" s="756"/>
      <c r="L1107" s="756"/>
      <c r="M1107" s="756"/>
      <c r="N1107" s="756"/>
      <c r="O1107" s="756"/>
      <c r="P1107" s="756"/>
      <c r="Q1107" s="756"/>
      <c r="R1107" s="756"/>
      <c r="S1107" s="756"/>
      <c r="T1107" s="756"/>
      <c r="U1107" s="756"/>
      <c r="V1107" s="2407" t="str">
        <f>D1107</f>
        <v>%Electric DHW</v>
      </c>
      <c r="W1107" s="912">
        <v>1</v>
      </c>
      <c r="X1107" s="912">
        <v>1</v>
      </c>
      <c r="Y1107" s="912">
        <v>1</v>
      </c>
      <c r="Z1107" s="912">
        <v>1</v>
      </c>
      <c r="AA1107" s="912">
        <v>1</v>
      </c>
      <c r="AB1107" s="912">
        <v>1</v>
      </c>
      <c r="AC1107" s="912">
        <v>1</v>
      </c>
      <c r="AD1107" s="912">
        <v>1</v>
      </c>
      <c r="AE1107" s="807"/>
      <c r="AF1107" s="807"/>
      <c r="AG1107" s="807"/>
      <c r="AK1107" s="853"/>
      <c r="BB1107" s="752"/>
    </row>
    <row r="1108" spans="1:54" s="741" customFormat="1" ht="145" hidden="1" outlineLevel="1" x14ac:dyDescent="0.35">
      <c r="A1108" s="756"/>
      <c r="B1108" s="756"/>
      <c r="C1108" s="753"/>
      <c r="D1108" s="2333" t="s">
        <v>1932</v>
      </c>
      <c r="E1108" s="2333" t="s">
        <v>669</v>
      </c>
      <c r="F1108" s="2369">
        <v>2.67</v>
      </c>
      <c r="G1108" s="3804" t="s">
        <v>671</v>
      </c>
      <c r="H1108" s="3804"/>
      <c r="I1108" s="2402" t="s">
        <v>1970</v>
      </c>
      <c r="J1108" s="756"/>
      <c r="K1108" s="756"/>
      <c r="L1108" s="756"/>
      <c r="M1108" s="756"/>
      <c r="N1108" s="756"/>
      <c r="O1108" s="756"/>
      <c r="P1108" s="756"/>
      <c r="Q1108" s="756"/>
      <c r="R1108" s="756"/>
      <c r="S1108" s="756"/>
      <c r="T1108" s="756"/>
      <c r="U1108" s="756"/>
      <c r="V1108" s="2407" t="str">
        <f t="shared" ref="V1108:V1122" si="150">D1108</f>
        <v>GPMbase</v>
      </c>
      <c r="W1108" s="913">
        <v>2.67</v>
      </c>
      <c r="X1108" s="913">
        <v>2.67</v>
      </c>
      <c r="Y1108" s="913">
        <v>2.67</v>
      </c>
      <c r="Z1108" s="913">
        <v>2.67</v>
      </c>
      <c r="AA1108" s="913">
        <v>2.67</v>
      </c>
      <c r="AB1108" s="913">
        <v>2.67</v>
      </c>
      <c r="AC1108" s="913">
        <v>2.67</v>
      </c>
      <c r="AD1108" s="913">
        <v>2.67</v>
      </c>
      <c r="AE1108" s="863"/>
      <c r="AF1108" s="863"/>
      <c r="AG1108" s="863"/>
      <c r="AK1108" s="853"/>
      <c r="BB1108" s="752"/>
    </row>
    <row r="1109" spans="1:54" s="741" customFormat="1" ht="45" hidden="1" customHeight="1" outlineLevel="1" x14ac:dyDescent="0.35">
      <c r="A1109" s="756"/>
      <c r="B1109" s="756"/>
      <c r="C1109" s="753"/>
      <c r="D1109" s="2333" t="s">
        <v>1934</v>
      </c>
      <c r="E1109" s="1367" t="s">
        <v>1860</v>
      </c>
      <c r="F1109" s="1411">
        <v>8.1999999999999993</v>
      </c>
      <c r="G1109" s="4313" t="s">
        <v>1861</v>
      </c>
      <c r="H1109" s="4313"/>
      <c r="I1109" s="2402" t="s">
        <v>1971</v>
      </c>
      <c r="J1109" s="756"/>
      <c r="K1109" s="756"/>
      <c r="L1109" s="756"/>
      <c r="M1109" s="756"/>
      <c r="N1109" s="756"/>
      <c r="O1109" s="756"/>
      <c r="P1109" s="756"/>
      <c r="Q1109" s="756"/>
      <c r="R1109" s="756"/>
      <c r="S1109" s="756"/>
      <c r="T1109" s="756"/>
      <c r="U1109" s="756"/>
      <c r="V1109" s="2407" t="str">
        <f t="shared" si="150"/>
        <v>Lbase</v>
      </c>
      <c r="W1109" s="914">
        <v>8.1999999999999993</v>
      </c>
      <c r="X1109" s="914">
        <v>8.1999999999999993</v>
      </c>
      <c r="Y1109" s="914">
        <v>8.1999999999999993</v>
      </c>
      <c r="Z1109" s="914">
        <v>8.1999999999999993</v>
      </c>
      <c r="AA1109" s="914">
        <v>8.1999999999999993</v>
      </c>
      <c r="AB1109" s="914">
        <v>8.1999999999999993</v>
      </c>
      <c r="AC1109" s="914">
        <v>8.1999999999999993</v>
      </c>
      <c r="AD1109" s="914">
        <v>8.1999999999999993</v>
      </c>
      <c r="AE1109" s="809"/>
      <c r="AF1109" s="809"/>
      <c r="AG1109" s="809"/>
      <c r="AK1109" s="853"/>
      <c r="BB1109" s="752"/>
    </row>
    <row r="1110" spans="1:54" s="741" customFormat="1" ht="30" hidden="1" customHeight="1" outlineLevel="1" x14ac:dyDescent="0.35">
      <c r="A1110" s="756"/>
      <c r="B1110" s="756"/>
      <c r="C1110" s="753"/>
      <c r="D1110" s="2333" t="s">
        <v>1972</v>
      </c>
      <c r="E1110" s="2333" t="s">
        <v>676</v>
      </c>
      <c r="F1110" s="2369">
        <v>2</v>
      </c>
      <c r="G1110" s="3804" t="s">
        <v>1838</v>
      </c>
      <c r="H1110" s="3804"/>
      <c r="I1110" s="2402"/>
      <c r="J1110" s="756"/>
      <c r="K1110" s="756"/>
      <c r="L1110" s="756"/>
      <c r="M1110" s="756"/>
      <c r="N1110" s="756"/>
      <c r="O1110" s="756"/>
      <c r="P1110" s="756"/>
      <c r="Q1110" s="756"/>
      <c r="R1110" s="756"/>
      <c r="S1110" s="756"/>
      <c r="T1110" s="756"/>
      <c r="U1110" s="756"/>
      <c r="V1110" s="2407" t="str">
        <f t="shared" si="150"/>
        <v>GPMlow</v>
      </c>
      <c r="W1110" s="913">
        <v>2</v>
      </c>
      <c r="X1110" s="913">
        <v>2</v>
      </c>
      <c r="Y1110" s="913">
        <v>2</v>
      </c>
      <c r="Z1110" s="913">
        <v>2</v>
      </c>
      <c r="AA1110" s="913">
        <v>2</v>
      </c>
      <c r="AB1110" s="913">
        <v>2</v>
      </c>
      <c r="AC1110" s="913">
        <v>2</v>
      </c>
      <c r="AD1110" s="913">
        <v>2</v>
      </c>
      <c r="AE1110" s="863"/>
      <c r="AF1110" s="863"/>
      <c r="AG1110" s="863"/>
      <c r="AK1110" s="853"/>
      <c r="BB1110" s="752"/>
    </row>
    <row r="1111" spans="1:54" s="741" customFormat="1" ht="45" hidden="1" customHeight="1" outlineLevel="1" x14ac:dyDescent="0.35">
      <c r="A1111" s="756"/>
      <c r="B1111" s="756"/>
      <c r="C1111" s="753"/>
      <c r="D1111" s="2333" t="s">
        <v>1973</v>
      </c>
      <c r="E1111" s="1367" t="s">
        <v>1860</v>
      </c>
      <c r="F1111" s="1411">
        <v>8.1999999999999993</v>
      </c>
      <c r="G1111" s="4313" t="s">
        <v>1861</v>
      </c>
      <c r="H1111" s="4313"/>
      <c r="I1111" s="2402" t="s">
        <v>1971</v>
      </c>
      <c r="J1111" s="756"/>
      <c r="K1111" s="756"/>
      <c r="L1111" s="756"/>
      <c r="M1111" s="756"/>
      <c r="N1111" s="756"/>
      <c r="O1111" s="756"/>
      <c r="P1111" s="756"/>
      <c r="Q1111" s="756"/>
      <c r="R1111" s="756"/>
      <c r="S1111" s="756"/>
      <c r="T1111" s="756"/>
      <c r="U1111" s="756"/>
      <c r="V1111" s="2407" t="str">
        <f t="shared" si="150"/>
        <v>Llow</v>
      </c>
      <c r="W1111" s="914">
        <v>8.1999999999999993</v>
      </c>
      <c r="X1111" s="914">
        <v>8.1999999999999993</v>
      </c>
      <c r="Y1111" s="914">
        <v>8.1999999999999993</v>
      </c>
      <c r="Z1111" s="914">
        <v>8.1999999999999993</v>
      </c>
      <c r="AA1111" s="914">
        <v>8.1999999999999993</v>
      </c>
      <c r="AB1111" s="914">
        <v>8.1999999999999993</v>
      </c>
      <c r="AC1111" s="914">
        <v>8.1999999999999993</v>
      </c>
      <c r="AD1111" s="914">
        <v>8.1999999999999993</v>
      </c>
      <c r="AE1111" s="809"/>
      <c r="AF1111" s="809"/>
      <c r="AG1111" s="809"/>
      <c r="AK1111" s="853"/>
      <c r="BB1111" s="752"/>
    </row>
    <row r="1112" spans="1:54" s="741" customFormat="1" ht="30" hidden="1" customHeight="1" outlineLevel="1" x14ac:dyDescent="0.35">
      <c r="A1112" s="756"/>
      <c r="B1112" s="756"/>
      <c r="C1112" s="753"/>
      <c r="D1112" s="2333" t="s">
        <v>1974</v>
      </c>
      <c r="E1112" s="1367" t="s">
        <v>1975</v>
      </c>
      <c r="F1112" s="915">
        <v>1</v>
      </c>
      <c r="G1112" s="3732" t="s">
        <v>1976</v>
      </c>
      <c r="H1112" s="3732"/>
      <c r="I1112" s="2402" t="s">
        <v>1977</v>
      </c>
      <c r="J1112" s="756"/>
      <c r="K1112" s="756"/>
      <c r="L1112" s="756"/>
      <c r="M1112" s="756"/>
      <c r="N1112" s="756"/>
      <c r="O1112" s="756"/>
      <c r="P1112" s="756"/>
      <c r="Q1112" s="756"/>
      <c r="R1112" s="756"/>
      <c r="S1112" s="756"/>
      <c r="T1112" s="756"/>
      <c r="U1112" s="756"/>
      <c r="V1112" s="2407" t="str">
        <f t="shared" si="150"/>
        <v>NSPD</v>
      </c>
      <c r="W1112" s="926">
        <v>1</v>
      </c>
      <c r="X1112" s="926">
        <v>1</v>
      </c>
      <c r="Y1112" s="926">
        <v>1</v>
      </c>
      <c r="Z1112" s="926">
        <v>1</v>
      </c>
      <c r="AA1112" s="926">
        <v>1</v>
      </c>
      <c r="AB1112" s="926">
        <v>1</v>
      </c>
      <c r="AC1112" s="926">
        <v>1</v>
      </c>
      <c r="AD1112" s="926">
        <v>1</v>
      </c>
      <c r="AE1112" s="808"/>
      <c r="AF1112" s="808"/>
      <c r="AG1112" s="808"/>
      <c r="AK1112" s="853"/>
      <c r="BB1112" s="752"/>
    </row>
    <row r="1113" spans="1:54" s="741" customFormat="1" ht="60" hidden="1" customHeight="1" outlineLevel="1" x14ac:dyDescent="0.35">
      <c r="A1113" s="756"/>
      <c r="B1113" s="756"/>
      <c r="C1113" s="753"/>
      <c r="D1113" s="2333">
        <v>365.25</v>
      </c>
      <c r="E1113" s="1367" t="s">
        <v>1865</v>
      </c>
      <c r="F1113" s="1411">
        <v>365</v>
      </c>
      <c r="G1113" s="3804" t="s">
        <v>570</v>
      </c>
      <c r="H1113" s="3804"/>
      <c r="I1113" s="2402" t="s">
        <v>1978</v>
      </c>
      <c r="J1113" s="756"/>
      <c r="K1113" s="756"/>
      <c r="L1113" s="756"/>
      <c r="M1113" s="756"/>
      <c r="N1113" s="756"/>
      <c r="O1113" s="756"/>
      <c r="P1113" s="756"/>
      <c r="Q1113" s="756"/>
      <c r="R1113" s="756"/>
      <c r="S1113" s="756"/>
      <c r="T1113" s="756"/>
      <c r="U1113" s="756"/>
      <c r="V1113" s="2407">
        <f t="shared" si="150"/>
        <v>365.25</v>
      </c>
      <c r="W1113" s="914">
        <v>365</v>
      </c>
      <c r="X1113" s="914">
        <v>365</v>
      </c>
      <c r="Y1113" s="914">
        <v>365</v>
      </c>
      <c r="Z1113" s="914">
        <v>365</v>
      </c>
      <c r="AA1113" s="914">
        <v>365</v>
      </c>
      <c r="AB1113" s="914">
        <v>365</v>
      </c>
      <c r="AC1113" s="914">
        <v>365</v>
      </c>
      <c r="AD1113" s="914">
        <v>365</v>
      </c>
      <c r="AE1113" s="809"/>
      <c r="AF1113" s="809"/>
      <c r="AG1113" s="809"/>
      <c r="AK1113" s="853"/>
      <c r="BB1113" s="752"/>
    </row>
    <row r="1114" spans="1:54" s="741" customFormat="1" ht="60" hidden="1" customHeight="1" outlineLevel="1" x14ac:dyDescent="0.35">
      <c r="A1114" s="756"/>
      <c r="B1114" s="756"/>
      <c r="C1114" s="753"/>
      <c r="D1114" s="2333">
        <v>8.33</v>
      </c>
      <c r="E1114" s="1367" t="s">
        <v>626</v>
      </c>
      <c r="F1114" s="1411">
        <v>8.33</v>
      </c>
      <c r="G1114" s="3834" t="s">
        <v>627</v>
      </c>
      <c r="H1114" s="3834"/>
      <c r="I1114" s="2402" t="s">
        <v>1978</v>
      </c>
      <c r="J1114" s="756"/>
      <c r="K1114" s="756"/>
      <c r="L1114" s="756"/>
      <c r="M1114" s="756"/>
      <c r="N1114" s="756"/>
      <c r="O1114" s="756"/>
      <c r="P1114" s="756" t="s">
        <v>1937</v>
      </c>
      <c r="Q1114" s="756"/>
      <c r="R1114" s="756"/>
      <c r="S1114" s="756"/>
      <c r="T1114" s="756"/>
      <c r="U1114" s="756"/>
      <c r="V1114" s="2407">
        <f t="shared" si="150"/>
        <v>8.33</v>
      </c>
      <c r="W1114" s="914">
        <v>8.33</v>
      </c>
      <c r="X1114" s="914">
        <v>8.33</v>
      </c>
      <c r="Y1114" s="914">
        <v>8.33</v>
      </c>
      <c r="Z1114" s="914">
        <v>8.33</v>
      </c>
      <c r="AA1114" s="914">
        <v>8.33</v>
      </c>
      <c r="AB1114" s="914">
        <v>8.33</v>
      </c>
      <c r="AC1114" s="914">
        <v>8.33</v>
      </c>
      <c r="AD1114" s="914">
        <v>8.33</v>
      </c>
      <c r="AE1114" s="809"/>
      <c r="AF1114" s="809"/>
      <c r="AG1114" s="809"/>
      <c r="AK1114" s="853"/>
      <c r="BB1114" s="752"/>
    </row>
    <row r="1115" spans="1:54" s="741" customFormat="1" ht="60" hidden="1" customHeight="1" outlineLevel="1" x14ac:dyDescent="0.35">
      <c r="A1115" s="756"/>
      <c r="B1115" s="756"/>
      <c r="C1115" s="753"/>
      <c r="D1115" s="2333">
        <v>1</v>
      </c>
      <c r="E1115" s="1367" t="s">
        <v>1867</v>
      </c>
      <c r="F1115" s="1411">
        <v>1</v>
      </c>
      <c r="G1115" s="3804" t="s">
        <v>629</v>
      </c>
      <c r="H1115" s="3804"/>
      <c r="I1115" s="2402" t="s">
        <v>1978</v>
      </c>
      <c r="J1115" s="756"/>
      <c r="K1115" s="756"/>
      <c r="L1115" s="756"/>
      <c r="M1115" s="756"/>
      <c r="N1115" s="756"/>
      <c r="O1115" s="756"/>
      <c r="P1115" s="756"/>
      <c r="Q1115" s="756"/>
      <c r="R1115" s="756"/>
      <c r="S1115" s="756"/>
      <c r="T1115" s="756"/>
      <c r="U1115" s="756"/>
      <c r="V1115" s="2407">
        <f t="shared" si="150"/>
        <v>1</v>
      </c>
      <c r="W1115" s="914">
        <v>1</v>
      </c>
      <c r="X1115" s="914">
        <v>1</v>
      </c>
      <c r="Y1115" s="914">
        <v>1</v>
      </c>
      <c r="Z1115" s="914">
        <v>1</v>
      </c>
      <c r="AA1115" s="914">
        <v>1</v>
      </c>
      <c r="AB1115" s="914">
        <v>1</v>
      </c>
      <c r="AC1115" s="914">
        <v>1</v>
      </c>
      <c r="AD1115" s="914">
        <v>1</v>
      </c>
      <c r="AE1115" s="809"/>
      <c r="AF1115" s="809"/>
      <c r="AG1115" s="809"/>
      <c r="AK1115" s="853"/>
      <c r="BB1115" s="752"/>
    </row>
    <row r="1116" spans="1:54" s="741" customFormat="1" ht="145" hidden="1" outlineLevel="1" x14ac:dyDescent="0.35">
      <c r="A1116" s="756"/>
      <c r="B1116" s="756"/>
      <c r="C1116" s="753"/>
      <c r="D1116" s="2333" t="s">
        <v>687</v>
      </c>
      <c r="E1116" s="1367" t="s">
        <v>1868</v>
      </c>
      <c r="F1116" s="1411">
        <v>105</v>
      </c>
      <c r="G1116" s="3804" t="s">
        <v>689</v>
      </c>
      <c r="H1116" s="3804"/>
      <c r="I1116" s="2402" t="s">
        <v>1970</v>
      </c>
      <c r="J1116" s="756"/>
      <c r="K1116" s="756"/>
      <c r="L1116" s="756"/>
      <c r="M1116" s="756"/>
      <c r="N1116" s="756"/>
      <c r="O1116" s="756"/>
      <c r="P1116" s="756"/>
      <c r="Q1116" s="756"/>
      <c r="R1116" s="756"/>
      <c r="S1116" s="756"/>
      <c r="T1116" s="756"/>
      <c r="U1116" s="756"/>
      <c r="V1116" s="2407" t="str">
        <f t="shared" si="150"/>
        <v>ShowerTemp</v>
      </c>
      <c r="W1116" s="914">
        <v>105</v>
      </c>
      <c r="X1116" s="914">
        <v>105</v>
      </c>
      <c r="Y1116" s="914">
        <v>105</v>
      </c>
      <c r="Z1116" s="914">
        <v>105</v>
      </c>
      <c r="AA1116" s="914">
        <v>105</v>
      </c>
      <c r="AB1116" s="914">
        <v>105</v>
      </c>
      <c r="AC1116" s="914">
        <v>105</v>
      </c>
      <c r="AD1116" s="914">
        <v>105</v>
      </c>
      <c r="AE1116" s="809"/>
      <c r="AF1116" s="809"/>
      <c r="AG1116" s="809"/>
      <c r="AK1116" s="853"/>
      <c r="BB1116" s="752"/>
    </row>
    <row r="1117" spans="1:54" s="741" customFormat="1" ht="60" hidden="1" customHeight="1" outlineLevel="1" x14ac:dyDescent="0.35">
      <c r="A1117" s="756"/>
      <c r="B1117" s="756"/>
      <c r="C1117" s="753"/>
      <c r="D1117" s="2333" t="s">
        <v>633</v>
      </c>
      <c r="E1117" s="1367" t="s">
        <v>1845</v>
      </c>
      <c r="F1117" s="1411">
        <v>61.3</v>
      </c>
      <c r="G1117" s="3804" t="s">
        <v>635</v>
      </c>
      <c r="H1117" s="3804"/>
      <c r="I1117" s="2402" t="s">
        <v>1978</v>
      </c>
      <c r="J1117" s="756"/>
      <c r="K1117" s="756"/>
      <c r="L1117" s="756"/>
      <c r="M1117" s="756"/>
      <c r="N1117" s="756"/>
      <c r="O1117" s="756"/>
      <c r="P1117" s="756"/>
      <c r="Q1117" s="756"/>
      <c r="R1117" s="756"/>
      <c r="S1117" s="756"/>
      <c r="T1117" s="756"/>
      <c r="U1117" s="756"/>
      <c r="V1117" s="2407" t="str">
        <f t="shared" si="150"/>
        <v>SupplyTemp</v>
      </c>
      <c r="W1117" s="914">
        <v>61.3</v>
      </c>
      <c r="X1117" s="914">
        <v>61.3</v>
      </c>
      <c r="Y1117" s="914">
        <v>61.3</v>
      </c>
      <c r="Z1117" s="914">
        <v>61.3</v>
      </c>
      <c r="AA1117" s="914">
        <v>61.3</v>
      </c>
      <c r="AB1117" s="914">
        <v>61.3</v>
      </c>
      <c r="AC1117" s="914">
        <v>61.3</v>
      </c>
      <c r="AD1117" s="914">
        <v>61.3</v>
      </c>
      <c r="AE1117" s="809"/>
      <c r="AF1117" s="809"/>
      <c r="AG1117" s="809"/>
      <c r="AK1117" s="853"/>
      <c r="BB1117" s="752"/>
    </row>
    <row r="1118" spans="1:54" s="741" customFormat="1" ht="30" hidden="1" customHeight="1" outlineLevel="1" x14ac:dyDescent="0.35">
      <c r="A1118" s="756"/>
      <c r="B1118" s="756"/>
      <c r="C1118" s="753"/>
      <c r="D1118" s="2333" t="s">
        <v>1938</v>
      </c>
      <c r="E1118" s="1367" t="s">
        <v>1846</v>
      </c>
      <c r="F1118" s="1411">
        <v>0.98</v>
      </c>
      <c r="G1118" s="4313" t="s">
        <v>1847</v>
      </c>
      <c r="H1118" s="4313"/>
      <c r="I1118" s="2402" t="s">
        <v>1970</v>
      </c>
      <c r="J1118" s="756"/>
      <c r="K1118" s="756"/>
      <c r="L1118" s="756"/>
      <c r="M1118" s="756"/>
      <c r="N1118" s="756"/>
      <c r="O1118" s="756"/>
      <c r="P1118" s="756"/>
      <c r="Q1118" s="756"/>
      <c r="R1118" s="756"/>
      <c r="S1118" s="756"/>
      <c r="T1118" s="756"/>
      <c r="U1118" s="756"/>
      <c r="V1118" s="2407" t="str">
        <f t="shared" si="150"/>
        <v>REelectric</v>
      </c>
      <c r="W1118" s="914">
        <v>0.98</v>
      </c>
      <c r="X1118" s="914">
        <v>0.98</v>
      </c>
      <c r="Y1118" s="914">
        <v>0.98</v>
      </c>
      <c r="Z1118" s="914">
        <v>0.98</v>
      </c>
      <c r="AA1118" s="914">
        <v>0.98</v>
      </c>
      <c r="AB1118" s="914">
        <v>0.98</v>
      </c>
      <c r="AC1118" s="914">
        <v>0.98</v>
      </c>
      <c r="AD1118" s="914">
        <v>0.98</v>
      </c>
      <c r="AE1118" s="809"/>
      <c r="AF1118" s="809"/>
      <c r="AG1118" s="809"/>
      <c r="AK1118" s="853"/>
      <c r="BB1118" s="752"/>
    </row>
    <row r="1119" spans="1:54" s="741" customFormat="1" ht="60" hidden="1" customHeight="1" outlineLevel="1" x14ac:dyDescent="0.35">
      <c r="A1119" s="756"/>
      <c r="B1119" s="1328"/>
      <c r="C1119" s="753"/>
      <c r="D1119" s="2333">
        <v>3412</v>
      </c>
      <c r="E1119" s="1367">
        <v>3412</v>
      </c>
      <c r="F1119" s="1420">
        <v>3412</v>
      </c>
      <c r="G1119" s="3834" t="s">
        <v>217</v>
      </c>
      <c r="H1119" s="3834"/>
      <c r="I1119" s="2402" t="s">
        <v>1939</v>
      </c>
      <c r="J1119" s="756"/>
      <c r="K1119" s="756"/>
      <c r="L1119" s="756"/>
      <c r="M1119" s="756"/>
      <c r="N1119" s="756"/>
      <c r="O1119" s="756"/>
      <c r="P1119" s="756"/>
      <c r="Q1119" s="756"/>
      <c r="R1119" s="756"/>
      <c r="S1119" s="756"/>
      <c r="T1119" s="756"/>
      <c r="U1119" s="756"/>
      <c r="V1119" s="2407">
        <f t="shared" si="150"/>
        <v>3412</v>
      </c>
      <c r="W1119" s="917">
        <v>3412</v>
      </c>
      <c r="X1119" s="917">
        <v>3412</v>
      </c>
      <c r="Y1119" s="917">
        <v>3412</v>
      </c>
      <c r="Z1119" s="917">
        <v>3412</v>
      </c>
      <c r="AA1119" s="917">
        <v>3412</v>
      </c>
      <c r="AB1119" s="917">
        <v>3412</v>
      </c>
      <c r="AC1119" s="917">
        <v>3412</v>
      </c>
      <c r="AD1119" s="917">
        <v>3412</v>
      </c>
      <c r="AE1119" s="878"/>
      <c r="AF1119" s="878"/>
      <c r="AG1119" s="878"/>
      <c r="AK1119" s="853"/>
      <c r="BB1119" s="752"/>
    </row>
    <row r="1120" spans="1:54" s="741" customFormat="1" ht="60" hidden="1" customHeight="1" outlineLevel="1" x14ac:dyDescent="0.35">
      <c r="A1120" s="756"/>
      <c r="B1120" s="1328"/>
      <c r="C1120" s="753"/>
      <c r="D1120" s="2333" t="s">
        <v>516</v>
      </c>
      <c r="E1120" s="2333" t="s">
        <v>578</v>
      </c>
      <c r="F1120" s="918">
        <v>1</v>
      </c>
      <c r="G1120" s="3834" t="s">
        <v>583</v>
      </c>
      <c r="H1120" s="3834"/>
      <c r="I1120" s="2402" t="s">
        <v>1721</v>
      </c>
      <c r="J1120" s="756"/>
      <c r="K1120" s="756"/>
      <c r="L1120" s="756"/>
      <c r="M1120" s="756"/>
      <c r="N1120" s="756"/>
      <c r="O1120" s="756"/>
      <c r="P1120" s="756"/>
      <c r="Q1120" s="756"/>
      <c r="R1120" s="756"/>
      <c r="S1120" s="756"/>
      <c r="T1120" s="756"/>
      <c r="U1120" s="756"/>
      <c r="V1120" s="2407" t="str">
        <f t="shared" si="150"/>
        <v>Utility Adjustment</v>
      </c>
      <c r="W1120" s="912">
        <v>1</v>
      </c>
      <c r="X1120" s="912">
        <v>1</v>
      </c>
      <c r="Y1120" s="912">
        <v>1</v>
      </c>
      <c r="Z1120" s="912">
        <v>1</v>
      </c>
      <c r="AA1120" s="912">
        <v>1</v>
      </c>
      <c r="AB1120" s="912">
        <v>1</v>
      </c>
      <c r="AC1120" s="912">
        <v>1</v>
      </c>
      <c r="AD1120" s="912">
        <v>1</v>
      </c>
      <c r="AE1120" s="807"/>
      <c r="AF1120" s="807"/>
      <c r="AG1120" s="807"/>
      <c r="AK1120" s="853"/>
      <c r="BB1120" s="752"/>
    </row>
    <row r="1121" spans="1:57" s="741" customFormat="1" ht="60" hidden="1" customHeight="1" outlineLevel="1" x14ac:dyDescent="0.35">
      <c r="A1121" s="756"/>
      <c r="B1121" s="1328"/>
      <c r="C1121" s="2378"/>
      <c r="D1121" s="2333" t="s">
        <v>132</v>
      </c>
      <c r="E1121" s="1367" t="s">
        <v>1722</v>
      </c>
      <c r="F1121" s="1421">
        <v>0.97699999999999998</v>
      </c>
      <c r="G1121" s="4313" t="s">
        <v>679</v>
      </c>
      <c r="H1121" s="4313"/>
      <c r="I1121" s="2340" t="s">
        <v>652</v>
      </c>
      <c r="J1121" s="756"/>
      <c r="K1121" s="756"/>
      <c r="L1121" s="756"/>
      <c r="M1121" s="756"/>
      <c r="N1121" s="756"/>
      <c r="O1121" s="756"/>
      <c r="P1121" s="756"/>
      <c r="Q1121" s="756"/>
      <c r="R1121" s="756"/>
      <c r="S1121" s="756"/>
      <c r="T1121" s="756"/>
      <c r="U1121" s="756"/>
      <c r="V1121" s="2407" t="str">
        <f t="shared" si="150"/>
        <v>ISR</v>
      </c>
      <c r="W1121" s="934">
        <v>0.97699999999999998</v>
      </c>
      <c r="X1121" s="934">
        <v>0.97699999999999998</v>
      </c>
      <c r="Y1121" s="934">
        <v>0.97699999999999998</v>
      </c>
      <c r="Z1121" s="934">
        <v>0.97699999999999998</v>
      </c>
      <c r="AA1121" s="934">
        <v>0.97699999999999998</v>
      </c>
      <c r="AB1121" s="934">
        <v>0.97699999999999998</v>
      </c>
      <c r="AC1121" s="934">
        <v>0.97699999999999998</v>
      </c>
      <c r="AD1121" s="934">
        <v>0.97699999999999998</v>
      </c>
      <c r="AE1121" s="883"/>
      <c r="AF1121" s="883"/>
      <c r="AG1121" s="883"/>
      <c r="AK1121" s="853"/>
      <c r="BB1121" s="752"/>
    </row>
    <row r="1122" spans="1:57" s="741" customFormat="1" hidden="1" outlineLevel="1" x14ac:dyDescent="0.35">
      <c r="A1122" s="756"/>
      <c r="B1122" s="1328"/>
      <c r="C1122" s="2378"/>
      <c r="D1122" s="2094" t="str">
        <f>D1089</f>
        <v>EUL</v>
      </c>
      <c r="E1122" s="2094" t="str">
        <f>E1089</f>
        <v>Effective Useful Life (All)</v>
      </c>
      <c r="F1122" s="919">
        <v>10</v>
      </c>
      <c r="G1122" s="4313"/>
      <c r="H1122" s="4313"/>
      <c r="I1122" s="2353"/>
      <c r="J1122" s="756"/>
      <c r="K1122" s="756"/>
      <c r="L1122" s="756"/>
      <c r="M1122" s="756"/>
      <c r="N1122" s="756"/>
      <c r="O1122" s="756"/>
      <c r="P1122" s="756"/>
      <c r="Q1122" s="756"/>
      <c r="R1122" s="756"/>
      <c r="S1122" s="756"/>
      <c r="T1122" s="756"/>
      <c r="U1122" s="756"/>
      <c r="V1122" s="2407" t="str">
        <f t="shared" si="150"/>
        <v>EUL</v>
      </c>
      <c r="W1122" s="810">
        <v>10</v>
      </c>
      <c r="X1122" s="810">
        <v>10</v>
      </c>
      <c r="Y1122" s="810">
        <v>10</v>
      </c>
      <c r="Z1122" s="810">
        <v>10</v>
      </c>
      <c r="AA1122" s="810">
        <v>10</v>
      </c>
      <c r="AB1122" s="810">
        <v>10</v>
      </c>
      <c r="AC1122" s="810">
        <v>10</v>
      </c>
      <c r="AD1122" s="810">
        <v>10</v>
      </c>
      <c r="AE1122" s="886"/>
      <c r="AF1122" s="886"/>
      <c r="AG1122" s="886"/>
      <c r="AK1122" s="853"/>
      <c r="BB1122" s="752"/>
    </row>
    <row r="1123" spans="1:57" s="741" customFormat="1" hidden="1" outlineLevel="1" x14ac:dyDescent="0.35">
      <c r="A1123" s="756"/>
      <c r="B1123" s="1328"/>
      <c r="C1123" s="2378"/>
      <c r="D1123" s="4412" t="str">
        <f>D1090</f>
        <v>Inc. Cost</v>
      </c>
      <c r="E1123" s="2094" t="str">
        <f>E1090</f>
        <v>Incremental Cost - Non-DI</v>
      </c>
      <c r="F1123" s="920">
        <v>7</v>
      </c>
      <c r="G1123" s="4313"/>
      <c r="H1123" s="4313"/>
      <c r="I1123" s="2353"/>
      <c r="J1123" s="756"/>
      <c r="K1123" s="756"/>
      <c r="L1123" s="756"/>
      <c r="M1123" s="756"/>
      <c r="N1123" s="756"/>
      <c r="O1123" s="756"/>
      <c r="P1123" s="756"/>
      <c r="Q1123" s="756"/>
      <c r="R1123" s="756"/>
      <c r="S1123" s="756"/>
      <c r="T1123" s="756"/>
      <c r="U1123" s="756"/>
      <c r="V1123" s="4407" t="str">
        <f>D1123</f>
        <v>Inc. Cost</v>
      </c>
      <c r="W1123" s="887">
        <v>7</v>
      </c>
      <c r="X1123" s="887">
        <v>7</v>
      </c>
      <c r="Y1123" s="887">
        <v>7</v>
      </c>
      <c r="Z1123" s="887">
        <v>7</v>
      </c>
      <c r="AA1123" s="887">
        <v>7</v>
      </c>
      <c r="AB1123" s="887">
        <v>7</v>
      </c>
      <c r="AC1123" s="887">
        <v>7</v>
      </c>
      <c r="AD1123" s="887">
        <v>7</v>
      </c>
      <c r="AE1123" s="888"/>
      <c r="AF1123" s="888"/>
      <c r="AG1123" s="888"/>
      <c r="AK1123" s="853"/>
      <c r="BB1123" s="752"/>
    </row>
    <row r="1124" spans="1:57" s="741" customFormat="1" hidden="1" outlineLevel="1" x14ac:dyDescent="0.35">
      <c r="A1124" s="756"/>
      <c r="B1124" s="1328"/>
      <c r="C1124" s="2378"/>
      <c r="D1124" s="4413"/>
      <c r="E1124" s="2094" t="str">
        <f>E1091</f>
        <v>Incremental Cost - Direct Install (DI)</v>
      </c>
      <c r="F1124" s="920">
        <v>7</v>
      </c>
      <c r="G1124" s="4313"/>
      <c r="H1124" s="4313"/>
      <c r="I1124" s="2353"/>
      <c r="J1124" s="756"/>
      <c r="K1124" s="756"/>
      <c r="L1124" s="756"/>
      <c r="M1124" s="756"/>
      <c r="N1124" s="756"/>
      <c r="O1124" s="756"/>
      <c r="P1124" s="756"/>
      <c r="Q1124" s="756"/>
      <c r="R1124" s="756"/>
      <c r="S1124" s="756"/>
      <c r="T1124" s="756"/>
      <c r="U1124" s="756"/>
      <c r="V1124" s="4388"/>
      <c r="W1124" s="887">
        <v>7</v>
      </c>
      <c r="X1124" s="887">
        <v>7</v>
      </c>
      <c r="Y1124" s="887">
        <v>7</v>
      </c>
      <c r="Z1124" s="887">
        <v>7</v>
      </c>
      <c r="AA1124" s="887">
        <v>7</v>
      </c>
      <c r="AB1124" s="887">
        <v>7</v>
      </c>
      <c r="AC1124" s="887">
        <v>7</v>
      </c>
      <c r="AD1124" s="887">
        <v>7</v>
      </c>
      <c r="AE1124" s="888"/>
      <c r="AF1124" s="888"/>
      <c r="AG1124" s="888"/>
      <c r="AK1124" s="853"/>
      <c r="BB1124" s="752"/>
    </row>
    <row r="1125" spans="1:57" s="741" customFormat="1" collapsed="1" x14ac:dyDescent="0.35">
      <c r="A1125" s="756"/>
      <c r="B1125" s="1328"/>
      <c r="C1125" s="2378"/>
      <c r="D1125" s="942"/>
      <c r="E1125" s="2418"/>
      <c r="F1125" s="1422"/>
      <c r="G1125" s="1376"/>
      <c r="H1125" s="756"/>
      <c r="I1125" s="756"/>
      <c r="J1125" s="756"/>
      <c r="K1125" s="756"/>
      <c r="L1125" s="756"/>
      <c r="M1125" s="756"/>
      <c r="N1125" s="756"/>
      <c r="O1125" s="756"/>
      <c r="P1125" s="756"/>
      <c r="Q1125" s="756"/>
      <c r="R1125" s="756"/>
      <c r="S1125" s="756"/>
      <c r="T1125" s="756"/>
      <c r="U1125" s="756"/>
      <c r="X1125" s="756"/>
      <c r="Y1125" s="1234" t="s">
        <v>1966</v>
      </c>
      <c r="Z1125" s="799"/>
      <c r="AA1125" s="931"/>
      <c r="AK1125" s="853"/>
      <c r="BB1125" s="752"/>
    </row>
    <row r="1126" spans="1:57" s="741" customFormat="1" ht="15" customHeight="1" x14ac:dyDescent="0.35">
      <c r="A1126" s="756"/>
      <c r="B1126" s="1328"/>
      <c r="C1126" s="753"/>
      <c r="D1126" s="375"/>
      <c r="E1126" s="375"/>
      <c r="F1126" s="756"/>
      <c r="G1126" s="756"/>
      <c r="H1126" s="756"/>
      <c r="I1126" s="756"/>
      <c r="J1126" s="756"/>
      <c r="K1126" s="756"/>
      <c r="L1126" s="756"/>
      <c r="M1126" s="756"/>
      <c r="N1126" s="756"/>
      <c r="O1126" s="756"/>
      <c r="P1126" s="756"/>
      <c r="Q1126" s="756"/>
      <c r="R1126" s="756"/>
      <c r="S1126" s="756"/>
      <c r="T1126" s="756"/>
      <c r="U1126" s="756"/>
      <c r="Y1126" s="757"/>
      <c r="AK1126" s="853"/>
      <c r="BB1126" s="752"/>
    </row>
    <row r="1127" spans="1:57" s="741" customFormat="1" ht="15" customHeight="1" x14ac:dyDescent="0.35">
      <c r="A1127" s="106"/>
      <c r="B1127" s="3664" t="s">
        <v>51</v>
      </c>
      <c r="C1127" s="3665"/>
      <c r="D1127" s="3665"/>
      <c r="E1127" s="3665"/>
      <c r="F1127" s="3665"/>
      <c r="G1127" s="3665"/>
      <c r="H1127" s="3665"/>
      <c r="I1127" s="3666"/>
      <c r="J1127" s="3666"/>
      <c r="K1127" s="3666"/>
      <c r="L1127" s="3666"/>
      <c r="M1127" s="3666"/>
      <c r="N1127" s="3666"/>
      <c r="O1127" s="3666"/>
      <c r="P1127" s="3666"/>
      <c r="Q1127" s="3666"/>
      <c r="R1127" s="3667"/>
      <c r="S1127" s="756"/>
      <c r="T1127" s="756"/>
      <c r="U1127" s="756"/>
      <c r="V1127" s="3664" t="str">
        <f>B1127</f>
        <v>Lighting</v>
      </c>
      <c r="W1127" s="3665"/>
      <c r="X1127" s="3665"/>
      <c r="Y1127" s="3665"/>
      <c r="Z1127" s="3665"/>
      <c r="AA1127" s="3665"/>
      <c r="AB1127" s="3665"/>
      <c r="AC1127" s="4018"/>
      <c r="AD1127" s="4018"/>
      <c r="AE1127" s="4018"/>
      <c r="AF1127" s="4018"/>
      <c r="AG1127" s="4018"/>
      <c r="AH1127" s="4018"/>
      <c r="AI1127" s="4019"/>
      <c r="AK1127" s="853"/>
      <c r="BB1127" s="752"/>
    </row>
    <row r="1128" spans="1:57" s="741" customFormat="1" x14ac:dyDescent="0.35">
      <c r="A1128" s="756"/>
      <c r="B1128" s="106"/>
      <c r="C1128" s="103"/>
      <c r="D1128" s="292"/>
      <c r="E1128" s="292"/>
      <c r="F1128" s="452" t="s">
        <v>26</v>
      </c>
      <c r="G1128" s="106"/>
      <c r="H1128" s="106"/>
      <c r="I1128" s="106"/>
      <c r="J1128" s="106"/>
      <c r="K1128" s="106"/>
      <c r="L1128" s="106"/>
      <c r="M1128" s="106"/>
      <c r="N1128" s="106"/>
      <c r="O1128" s="106"/>
      <c r="P1128" s="756"/>
      <c r="Q1128" s="756"/>
      <c r="R1128" s="756"/>
      <c r="S1128" s="756"/>
      <c r="T1128" s="756"/>
      <c r="U1128" s="756"/>
      <c r="Y1128" s="757"/>
      <c r="AK1128" s="853"/>
      <c r="BB1128" s="752"/>
    </row>
    <row r="1129" spans="1:57" s="741" customFormat="1" x14ac:dyDescent="0.35">
      <c r="A1129" s="106"/>
      <c r="B1129" s="106"/>
      <c r="C1129" s="4027" t="s">
        <v>27</v>
      </c>
      <c r="D1129" s="4027" t="s">
        <v>174</v>
      </c>
      <c r="E1129" s="4027" t="s">
        <v>29</v>
      </c>
      <c r="F1129" s="4027" t="s">
        <v>30</v>
      </c>
      <c r="G1129" s="4027" t="s">
        <v>32</v>
      </c>
      <c r="H1129" s="4027" t="s">
        <v>33</v>
      </c>
      <c r="I1129" s="4027" t="s">
        <v>34</v>
      </c>
      <c r="J1129" s="4027" t="s">
        <v>35</v>
      </c>
      <c r="K1129" s="4027" t="s">
        <v>36</v>
      </c>
      <c r="L1129" s="4027" t="s">
        <v>37</v>
      </c>
      <c r="M1129" s="4027" t="s">
        <v>31</v>
      </c>
      <c r="N1129" s="4027" t="s">
        <v>40</v>
      </c>
      <c r="O1129" s="4027" t="s">
        <v>41</v>
      </c>
      <c r="P1129" s="3825" t="s">
        <v>42</v>
      </c>
      <c r="Q1129" s="3824"/>
      <c r="R1129" s="4027" t="s">
        <v>43</v>
      </c>
      <c r="S1129" s="756"/>
      <c r="T1129" s="756"/>
      <c r="U1129" s="756"/>
      <c r="Y1129" s="757"/>
      <c r="AK1129" s="853"/>
      <c r="BB1129" s="752"/>
    </row>
    <row r="1130" spans="1:57" s="741" customFormat="1" ht="29" x14ac:dyDescent="0.35">
      <c r="A1130" s="106"/>
      <c r="B1130" s="106"/>
      <c r="C1130" s="4394"/>
      <c r="D1130" s="4394"/>
      <c r="E1130" s="4394"/>
      <c r="F1130" s="4394"/>
      <c r="G1130" s="4394"/>
      <c r="H1130" s="4394"/>
      <c r="I1130" s="4394"/>
      <c r="J1130" s="4394"/>
      <c r="K1130" s="4394"/>
      <c r="L1130" s="4394"/>
      <c r="M1130" s="4394"/>
      <c r="N1130" s="4394"/>
      <c r="O1130" s="4394"/>
      <c r="P1130" s="2379" t="s">
        <v>318</v>
      </c>
      <c r="Q1130" s="2379" t="s">
        <v>320</v>
      </c>
      <c r="R1130" s="4394"/>
      <c r="S1130" s="756"/>
      <c r="T1130" s="756"/>
      <c r="U1130" s="756"/>
      <c r="V1130" s="1572" t="s">
        <v>44</v>
      </c>
      <c r="W1130" s="1573">
        <f t="shared" ref="W1130:AG1130" si="151">W6</f>
        <v>43252</v>
      </c>
      <c r="X1130" s="1573">
        <f t="shared" si="151"/>
        <v>43465</v>
      </c>
      <c r="Y1130" s="1573">
        <f t="shared" si="151"/>
        <v>43800</v>
      </c>
      <c r="Z1130" s="1573">
        <f t="shared" si="151"/>
        <v>43862</v>
      </c>
      <c r="AA1130" s="1573">
        <f t="shared" si="151"/>
        <v>44013</v>
      </c>
      <c r="AB1130" s="1573">
        <f t="shared" si="151"/>
        <v>44166</v>
      </c>
      <c r="AC1130" s="1573">
        <f t="shared" si="151"/>
        <v>44531</v>
      </c>
      <c r="AD1130" s="1573">
        <f t="shared" si="151"/>
        <v>44774</v>
      </c>
      <c r="AE1130" s="1573" t="str">
        <f t="shared" si="151"/>
        <v>-</v>
      </c>
      <c r="AF1130" s="1573" t="str">
        <f t="shared" si="151"/>
        <v>-</v>
      </c>
      <c r="AG1130" s="1573" t="str">
        <f t="shared" si="151"/>
        <v>-</v>
      </c>
      <c r="AK1130" s="853"/>
      <c r="BB1130" s="1574" t="str">
        <f>$BB$6</f>
        <v>TRC (2022)</v>
      </c>
      <c r="BC1130" s="1584" t="str">
        <f>$BC$6</f>
        <v>Benefit Lookup</v>
      </c>
      <c r="BD1130" s="556" t="str">
        <f>$BD$6</f>
        <v>Benefits (2019 $)</v>
      </c>
      <c r="BE1130" s="200" t="str">
        <f>$BE$6</f>
        <v>Incremental Cost (2019 $)</v>
      </c>
    </row>
    <row r="1131" spans="1:57" s="741" customFormat="1" x14ac:dyDescent="0.35">
      <c r="A1131" s="106"/>
      <c r="B1131" s="106"/>
      <c r="C1131" s="50" t="s">
        <v>1979</v>
      </c>
      <c r="D1131" s="301" t="s">
        <v>2002</v>
      </c>
      <c r="E1131" s="2352" t="s">
        <v>4313</v>
      </c>
      <c r="F1131" s="124">
        <f>ROUND(K1131+L1131,2)</f>
        <v>23.59</v>
      </c>
      <c r="G1131" s="935" t="s">
        <v>53</v>
      </c>
      <c r="H1131" s="136">
        <f>VLOOKUP(G1131,'CP FACTORS'!$A$3:$B$38, 2, FALSE)</f>
        <v>1.4925290000000001E-4</v>
      </c>
      <c r="I1131" s="935" t="s">
        <v>54</v>
      </c>
      <c r="J1131" s="136">
        <f>VLOOKUP(I1131,'CP FACTORS'!$A$3:$B$38, 2, FALSE)</f>
        <v>1.899635E-4</v>
      </c>
      <c r="K1131" s="92">
        <f t="shared" ref="K1131:K1152" si="152">((F1167-F1192)*$F$1226*$F$1217*(1-$F$1219)*($F$1220*$F$1222)/1000)</f>
        <v>23.592389036958835</v>
      </c>
      <c r="L1131" s="1211">
        <f t="shared" ref="L1131:L1152" si="153">((F1167-F1192)*(1-$F$1226)*$F$1217*(1-$F$1219)*($F$1223*$F$1225)/1000)</f>
        <v>0</v>
      </c>
      <c r="M1131" s="90">
        <f>ROUND(((K1131/F1131)*H1131+(L1131/F1131)*J1131)*F1131,6)</f>
        <v>3.5209999999999998E-3</v>
      </c>
      <c r="N1131" s="92">
        <v>19</v>
      </c>
      <c r="O1131" s="92">
        <f t="shared" ref="O1131:O1155" si="154">20000/3351</f>
        <v>5.9683676514473287</v>
      </c>
      <c r="P1131" s="936">
        <f t="shared" ref="P1131:P1152" si="155">F1236</f>
        <v>6</v>
      </c>
      <c r="Q1131" s="937">
        <f t="shared" ref="Q1131:Q1152" si="156">G1236</f>
        <v>3.3</v>
      </c>
      <c r="R1131" s="395" t="s">
        <v>184</v>
      </c>
      <c r="S1131" s="756"/>
      <c r="T1131" s="756"/>
      <c r="U1131" s="756"/>
      <c r="V1131" s="851" t="str">
        <f>F1129</f>
        <v>kWh Annual Savings</v>
      </c>
      <c r="W1131" s="890">
        <v>23.12165583413233</v>
      </c>
      <c r="X1131" s="938">
        <v>23.769345599999998</v>
      </c>
      <c r="Y1131" s="322">
        <v>23.59</v>
      </c>
      <c r="Z1131" s="49">
        <v>23.59</v>
      </c>
      <c r="AA1131" s="49">
        <v>23.59</v>
      </c>
      <c r="AB1131" s="952">
        <v>23.59</v>
      </c>
      <c r="AC1131" s="89">
        <v>23.59</v>
      </c>
      <c r="AD1131" s="89">
        <v>23.59</v>
      </c>
      <c r="AE1131" s="851"/>
      <c r="AF1131" s="851"/>
      <c r="AG1131" s="851"/>
      <c r="AH1131" s="344"/>
      <c r="AK1131" s="853"/>
      <c r="BB1131" s="854">
        <f t="shared" ref="BB1131:BB1148" si="157">(BD1131)/(BE1131)</f>
        <v>2.3648065351015584</v>
      </c>
      <c r="BC1131" s="2381" t="str">
        <f>CONCATENATE(G1131," ",N1131," Year EUL")</f>
        <v>Lighting RES 19 Year EUL</v>
      </c>
      <c r="BD1131" s="95">
        <f>(INDEX('Avoided Cost Benefits'!$E$4:$E$859,MATCH(BC1131,'Avoided Cost Benefits'!$A$4:$A$859,0)))*F1131</f>
        <v>13.392014356403351</v>
      </c>
      <c r="BE1131" s="855">
        <f>P1131/(1.0595^(2020-2019))</f>
        <v>5.6630486078338835</v>
      </c>
    </row>
    <row r="1132" spans="1:57" s="741" customFormat="1" x14ac:dyDescent="0.35">
      <c r="A1132" s="106"/>
      <c r="B1132" s="106"/>
      <c r="C1132" s="50" t="s">
        <v>1980</v>
      </c>
      <c r="D1132" s="301" t="s">
        <v>2002</v>
      </c>
      <c r="E1132" s="2352" t="s">
        <v>4314</v>
      </c>
      <c r="F1132" s="124">
        <f t="shared" ref="F1132:F1155" si="158">ROUND(K1132+L1132,2)</f>
        <v>22.22</v>
      </c>
      <c r="G1132" s="935" t="s">
        <v>53</v>
      </c>
      <c r="H1132" s="136">
        <f>VLOOKUP(G1132,'CP FACTORS'!$A$3:$B$38, 2, FALSE)</f>
        <v>1.4925290000000001E-4</v>
      </c>
      <c r="I1132" s="935" t="s">
        <v>54</v>
      </c>
      <c r="J1132" s="136">
        <f>VLOOKUP(I1132,'CP FACTORS'!$A$3:$B$38, 2, FALSE)</f>
        <v>1.899635E-4</v>
      </c>
      <c r="K1132" s="461">
        <f>((F1168-F1193)*$F$1226*$F$1217*(1-$F$1219)*($F$1220*$F$1222)/1000)</f>
        <v>22.216166343136237</v>
      </c>
      <c r="L1132" s="1211">
        <f t="shared" si="153"/>
        <v>0</v>
      </c>
      <c r="M1132" s="90">
        <f t="shared" ref="M1132:M1152" si="159">ROUND(((K1132/F1132)*H1132+(L1132/F1132)*J1132)*F1132,6)</f>
        <v>3.3159999999999999E-3</v>
      </c>
      <c r="N1132" s="92">
        <v>19</v>
      </c>
      <c r="O1132" s="92">
        <f t="shared" si="154"/>
        <v>5.9683676514473287</v>
      </c>
      <c r="P1132" s="936">
        <f t="shared" si="155"/>
        <v>6</v>
      </c>
      <c r="Q1132" s="937">
        <f t="shared" si="156"/>
        <v>3.68</v>
      </c>
      <c r="R1132" s="395" t="s">
        <v>184</v>
      </c>
      <c r="S1132" s="756"/>
      <c r="T1132" s="756"/>
      <c r="U1132" s="756"/>
      <c r="V1132" s="851" t="str">
        <f>V1131</f>
        <v>kWh Annual Savings</v>
      </c>
      <c r="W1132" s="890">
        <v>20.693881971548436</v>
      </c>
      <c r="X1132" s="938">
        <v>22.524950447999998</v>
      </c>
      <c r="Y1132" s="322">
        <v>21.12</v>
      </c>
      <c r="Z1132" s="49">
        <v>21.12</v>
      </c>
      <c r="AA1132" s="49">
        <v>21.12</v>
      </c>
      <c r="AB1132" s="322">
        <v>22.22</v>
      </c>
      <c r="AC1132" s="89">
        <v>22.22</v>
      </c>
      <c r="AD1132" s="89">
        <v>22.22</v>
      </c>
      <c r="AE1132" s="851"/>
      <c r="AF1132" s="851"/>
      <c r="AG1132" s="851"/>
      <c r="AH1132" s="344"/>
      <c r="AK1132" s="853"/>
      <c r="BB1132" s="857">
        <f t="shared" si="157"/>
        <v>2.2274693179294887</v>
      </c>
      <c r="BC1132" s="1580" t="str">
        <f t="shared" ref="BC1132:BC1148" si="160">CONCATENATE(G1132," ",N1132," Year EUL")</f>
        <v>Lighting RES 19 Year EUL</v>
      </c>
      <c r="BD1132" s="98">
        <f>(INDEX('Avoided Cost Benefits'!$E$4:$E$859,MATCH(BC1132,'Avoided Cost Benefits'!$A$4:$A$859,0)))*F1132</f>
        <v>12.61426701989328</v>
      </c>
      <c r="BE1132" s="858">
        <f t="shared" ref="BE1132:BE1148" si="161">P1132/(1.0595^(2020-2019))</f>
        <v>5.6630486078338835</v>
      </c>
    </row>
    <row r="1133" spans="1:57" s="741" customFormat="1" x14ac:dyDescent="0.35">
      <c r="A1133" s="106"/>
      <c r="B1133" s="106"/>
      <c r="C1133" s="50" t="s">
        <v>1981</v>
      </c>
      <c r="D1133" s="301" t="s">
        <v>2002</v>
      </c>
      <c r="E1133" s="2352" t="s">
        <v>4315</v>
      </c>
      <c r="F1133" s="124">
        <f t="shared" si="158"/>
        <v>22.95</v>
      </c>
      <c r="G1133" s="935" t="s">
        <v>53</v>
      </c>
      <c r="H1133" s="136">
        <f>VLOOKUP(G1133,'CP FACTORS'!$A$3:$B$38, 2, FALSE)</f>
        <v>1.4925290000000001E-4</v>
      </c>
      <c r="I1133" s="935" t="s">
        <v>54</v>
      </c>
      <c r="J1133" s="136">
        <f>VLOOKUP(I1133,'CP FACTORS'!$A$3:$B$38, 2, FALSE)</f>
        <v>1.899635E-4</v>
      </c>
      <c r="K1133" s="92">
        <f t="shared" si="152"/>
        <v>22.950151779841622</v>
      </c>
      <c r="L1133" s="1211">
        <f t="shared" si="153"/>
        <v>0</v>
      </c>
      <c r="M1133" s="90">
        <f t="shared" si="159"/>
        <v>3.4250000000000001E-3</v>
      </c>
      <c r="N1133" s="92">
        <v>19</v>
      </c>
      <c r="O1133" s="92">
        <f t="shared" si="154"/>
        <v>5.9683676514473287</v>
      </c>
      <c r="P1133" s="936">
        <f t="shared" si="155"/>
        <v>6</v>
      </c>
      <c r="Q1133" s="937">
        <f t="shared" si="156"/>
        <v>4.72</v>
      </c>
      <c r="R1133" s="395" t="s">
        <v>184</v>
      </c>
      <c r="S1133" s="756"/>
      <c r="T1133" s="756"/>
      <c r="U1133" s="756"/>
      <c r="V1133" s="851" t="str">
        <f t="shared" ref="V1133:V1155" si="162">V1132</f>
        <v>kWh Annual Savings</v>
      </c>
      <c r="W1133" s="890">
        <v>27.938667466243238</v>
      </c>
      <c r="X1133" s="938">
        <v>24.482425967999998</v>
      </c>
      <c r="Y1133" s="322">
        <v>22.95</v>
      </c>
      <c r="Z1133" s="49">
        <v>22.95</v>
      </c>
      <c r="AA1133" s="49">
        <v>22.95</v>
      </c>
      <c r="AB1133" s="952">
        <v>22.95</v>
      </c>
      <c r="AC1133" s="89">
        <v>22.95</v>
      </c>
      <c r="AD1133" s="89">
        <v>22.95</v>
      </c>
      <c r="AE1133" s="851"/>
      <c r="AF1133" s="851"/>
      <c r="AG1133" s="851"/>
      <c r="AH1133" s="344"/>
      <c r="AK1133" s="853"/>
      <c r="BB1133" s="857">
        <f t="shared" si="157"/>
        <v>2.3006490029919786</v>
      </c>
      <c r="BC1133" s="1580" t="str">
        <f t="shared" si="160"/>
        <v>Lighting RES 19 Year EUL</v>
      </c>
      <c r="BD1133" s="98">
        <f>(INDEX('Avoided Cost Benefits'!$E$4:$E$859,MATCH(BC1133,'Avoided Cost Benefits'!$A$4:$A$859,0)))*F1133</f>
        <v>13.028687133508136</v>
      </c>
      <c r="BE1133" s="858">
        <f t="shared" si="161"/>
        <v>5.6630486078338835</v>
      </c>
    </row>
    <row r="1134" spans="1:57" s="741" customFormat="1" x14ac:dyDescent="0.35">
      <c r="A1134" s="106"/>
      <c r="B1134" s="106"/>
      <c r="C1134" s="50" t="s">
        <v>1982</v>
      </c>
      <c r="D1134" s="301" t="s">
        <v>2002</v>
      </c>
      <c r="E1134" s="2352" t="s">
        <v>4316</v>
      </c>
      <c r="F1134" s="124">
        <f t="shared" si="158"/>
        <v>27.52</v>
      </c>
      <c r="G1134" s="935" t="s">
        <v>53</v>
      </c>
      <c r="H1134" s="136">
        <f>VLOOKUP(G1134,'CP FACTORS'!$A$3:$B$38, 2, FALSE)</f>
        <v>1.4925290000000001E-4</v>
      </c>
      <c r="I1134" s="935" t="s">
        <v>54</v>
      </c>
      <c r="J1134" s="136">
        <f>VLOOKUP(I1134,'CP FACTORS'!$A$3:$B$38, 2, FALSE)</f>
        <v>1.899635E-4</v>
      </c>
      <c r="K1134" s="92">
        <f t="shared" si="152"/>
        <v>27.524453876451972</v>
      </c>
      <c r="L1134" s="1211">
        <f t="shared" si="153"/>
        <v>0</v>
      </c>
      <c r="M1134" s="90">
        <f t="shared" si="159"/>
        <v>4.1079999999999997E-3</v>
      </c>
      <c r="N1134" s="92">
        <v>19</v>
      </c>
      <c r="O1134" s="92">
        <f t="shared" si="154"/>
        <v>5.9683676514473287</v>
      </c>
      <c r="P1134" s="936">
        <f t="shared" si="155"/>
        <v>6</v>
      </c>
      <c r="Q1134" s="937">
        <f t="shared" si="156"/>
        <v>3.53</v>
      </c>
      <c r="R1134" s="395" t="s">
        <v>184</v>
      </c>
      <c r="S1134" s="756"/>
      <c r="T1134" s="756"/>
      <c r="U1134" s="756"/>
      <c r="V1134" s="851" t="str">
        <f t="shared" si="162"/>
        <v>kWh Annual Savings</v>
      </c>
      <c r="W1134" s="890">
        <v>42.871403525787038</v>
      </c>
      <c r="X1134" s="730">
        <v>46.853574768000001</v>
      </c>
      <c r="Y1134" s="478">
        <v>27.52</v>
      </c>
      <c r="Z1134" s="52">
        <v>27.52</v>
      </c>
      <c r="AA1134" s="52">
        <v>27.52</v>
      </c>
      <c r="AB1134" s="952">
        <v>27.52</v>
      </c>
      <c r="AC1134" s="89">
        <v>27.52</v>
      </c>
      <c r="AD1134" s="89">
        <v>27.52</v>
      </c>
      <c r="AE1134" s="851"/>
      <c r="AF1134" s="851"/>
      <c r="AG1134" s="851"/>
      <c r="AH1134" s="344"/>
      <c r="AK1134" s="853"/>
      <c r="BB1134" s="857">
        <f t="shared" si="157"/>
        <v>2.7587738807119497</v>
      </c>
      <c r="BC1134" s="1580" t="str">
        <f t="shared" si="160"/>
        <v>Lighting RES 19 Year EUL</v>
      </c>
      <c r="BD1134" s="98">
        <f>(INDEX('Avoided Cost Benefits'!$E$4:$E$859,MATCH(BC1134,'Avoided Cost Benefits'!$A$4:$A$859,0)))*F1134</f>
        <v>15.623070584494288</v>
      </c>
      <c r="BE1134" s="858">
        <f t="shared" si="161"/>
        <v>5.6630486078338835</v>
      </c>
    </row>
    <row r="1135" spans="1:57" s="741" customFormat="1" x14ac:dyDescent="0.35">
      <c r="A1135" s="106"/>
      <c r="B1135" s="106"/>
      <c r="C1135" s="50" t="s">
        <v>1983</v>
      </c>
      <c r="D1135" s="301" t="s">
        <v>2002</v>
      </c>
      <c r="E1135" s="2352" t="s">
        <v>4317</v>
      </c>
      <c r="F1135" s="124">
        <f>ROUND(K1135+L1135,2)</f>
        <v>27.79</v>
      </c>
      <c r="G1135" s="935" t="s">
        <v>53</v>
      </c>
      <c r="H1135" s="136">
        <f>VLOOKUP(G1135,'CP FACTORS'!$A$3:$B$38, 2, FALSE)</f>
        <v>1.4925290000000001E-4</v>
      </c>
      <c r="I1135" s="935" t="s">
        <v>54</v>
      </c>
      <c r="J1135" s="136">
        <f>VLOOKUP(I1135,'CP FACTORS'!$A$3:$B$38, 2, FALSE)</f>
        <v>1.899635E-4</v>
      </c>
      <c r="K1135" s="92">
        <f t="shared" si="152"/>
        <v>27.786591532418186</v>
      </c>
      <c r="L1135" s="1211">
        <f t="shared" si="153"/>
        <v>0</v>
      </c>
      <c r="M1135" s="90">
        <f t="shared" si="159"/>
        <v>4.1469999999999996E-3</v>
      </c>
      <c r="N1135" s="92">
        <v>19</v>
      </c>
      <c r="O1135" s="92">
        <f t="shared" si="154"/>
        <v>5.9683676514473287</v>
      </c>
      <c r="P1135" s="936">
        <f t="shared" si="155"/>
        <v>8</v>
      </c>
      <c r="Q1135" s="937">
        <f t="shared" si="156"/>
        <v>6.27</v>
      </c>
      <c r="R1135" s="395" t="s">
        <v>184</v>
      </c>
      <c r="S1135" s="756"/>
      <c r="T1135" s="756"/>
      <c r="U1135" s="756"/>
      <c r="V1135" s="851" t="str">
        <f t="shared" si="162"/>
        <v>kWh Annual Savings</v>
      </c>
      <c r="W1135" s="890">
        <v>27.232172426866967</v>
      </c>
      <c r="X1135" s="938">
        <v>29.641772160000002</v>
      </c>
      <c r="Y1135" s="322">
        <v>27.79</v>
      </c>
      <c r="Z1135" s="49">
        <v>27.79</v>
      </c>
      <c r="AA1135" s="49">
        <v>27.79</v>
      </c>
      <c r="AB1135" s="952">
        <v>27.79</v>
      </c>
      <c r="AC1135" s="89">
        <v>27.79</v>
      </c>
      <c r="AD1135" s="89">
        <v>27.79</v>
      </c>
      <c r="AE1135" s="851"/>
      <c r="AF1135" s="851"/>
      <c r="AG1135" s="851"/>
      <c r="AH1135" s="344"/>
      <c r="AK1135" s="853"/>
      <c r="BB1135" s="857">
        <f t="shared" si="157"/>
        <v>2.0893802546780096</v>
      </c>
      <c r="BC1135" s="1580" t="str">
        <f t="shared" si="160"/>
        <v>Lighting RES 19 Year EUL</v>
      </c>
      <c r="BD1135" s="98">
        <f>(INDEX('Avoided Cost Benefits'!$E$4:$E$859,MATCH(BC1135,'Avoided Cost Benefits'!$A$4:$A$859,0)))*F1135</f>
        <v>15.776349256653207</v>
      </c>
      <c r="BE1135" s="858">
        <f t="shared" si="161"/>
        <v>7.5507314771118441</v>
      </c>
    </row>
    <row r="1136" spans="1:57" s="741" customFormat="1" x14ac:dyDescent="0.35">
      <c r="A1136" s="106"/>
      <c r="B1136" s="106"/>
      <c r="C1136" s="50" t="s">
        <v>1984</v>
      </c>
      <c r="D1136" s="301" t="s">
        <v>2002</v>
      </c>
      <c r="E1136" s="2352" t="s">
        <v>4318</v>
      </c>
      <c r="F1136" s="124">
        <f>ROUND(K1136+L1136,2)</f>
        <v>35.39</v>
      </c>
      <c r="G1136" s="935" t="s">
        <v>53</v>
      </c>
      <c r="H1136" s="136">
        <f>VLOOKUP(G1136,'CP FACTORS'!$A$3:$B$38, 2, FALSE)</f>
        <v>1.4925290000000001E-4</v>
      </c>
      <c r="I1136" s="935" t="s">
        <v>54</v>
      </c>
      <c r="J1136" s="136">
        <f>VLOOKUP(I1136,'CP FACTORS'!$A$3:$B$38, 2, FALSE)</f>
        <v>1.899635E-4</v>
      </c>
      <c r="K1136" s="92">
        <f t="shared" si="152"/>
        <v>35.388583555438252</v>
      </c>
      <c r="L1136" s="1211">
        <f t="shared" si="153"/>
        <v>0</v>
      </c>
      <c r="M1136" s="90">
        <f t="shared" si="159"/>
        <v>5.2820000000000002E-3</v>
      </c>
      <c r="N1136" s="92">
        <v>19</v>
      </c>
      <c r="O1136" s="92">
        <f t="shared" si="154"/>
        <v>5.9683676514473287</v>
      </c>
      <c r="P1136" s="936">
        <f t="shared" si="155"/>
        <v>10</v>
      </c>
      <c r="Q1136" s="937">
        <f t="shared" si="156"/>
        <v>4.92</v>
      </c>
      <c r="R1136" s="395" t="s">
        <v>184</v>
      </c>
      <c r="S1136" s="756"/>
      <c r="T1136" s="756"/>
      <c r="U1136" s="756"/>
      <c r="V1136" s="1592" t="str">
        <f t="shared" si="162"/>
        <v>kWh Annual Savings</v>
      </c>
      <c r="W1136" s="890"/>
      <c r="X1136" s="938"/>
      <c r="Y1136" s="322"/>
      <c r="Z1136" s="49"/>
      <c r="AA1136" s="49"/>
      <c r="AB1136" s="322">
        <v>28.84</v>
      </c>
      <c r="AC1136" s="89">
        <v>35.39</v>
      </c>
      <c r="AD1136" s="89">
        <v>35.39</v>
      </c>
      <c r="AE1136" s="851"/>
      <c r="AF1136" s="851"/>
      <c r="AG1136" s="851"/>
      <c r="AH1136" s="344"/>
      <c r="AK1136" s="853"/>
      <c r="BB1136" s="857">
        <f t="shared" ref="BB1136" si="163">(BD1136)/(BE1136)</f>
        <v>2.1286266200231667</v>
      </c>
      <c r="BC1136" s="1580" t="str">
        <f t="shared" ref="BC1136" si="164">CONCATENATE(G1136," ",N1136," Year EUL")</f>
        <v>Lighting RES 19 Year EUL</v>
      </c>
      <c r="BD1136" s="98">
        <f>(INDEX('Avoided Cost Benefits'!$E$4:$E$859,MATCH(BC1136,'Avoided Cost Benefits'!$A$4:$A$859,0)))*F1136</f>
        <v>20.090860028533896</v>
      </c>
      <c r="BE1136" s="858">
        <f t="shared" ref="BE1136" si="165">P1136/(1.0595^(2020-2019))</f>
        <v>9.4384143463898056</v>
      </c>
    </row>
    <row r="1137" spans="1:57" s="741" customFormat="1" x14ac:dyDescent="0.35">
      <c r="A1137" s="106"/>
      <c r="B1137" s="106"/>
      <c r="C1137" s="50" t="s">
        <v>1985</v>
      </c>
      <c r="D1137" s="301" t="s">
        <v>2002</v>
      </c>
      <c r="E1137" s="2352" t="s">
        <v>4319</v>
      </c>
      <c r="F1137" s="124">
        <f t="shared" si="158"/>
        <v>26.87</v>
      </c>
      <c r="G1137" s="935" t="s">
        <v>53</v>
      </c>
      <c r="H1137" s="136">
        <f>VLOOKUP(G1137,'CP FACTORS'!$A$3:$B$38, 2, FALSE)</f>
        <v>1.4925290000000001E-4</v>
      </c>
      <c r="I1137" s="935" t="s">
        <v>54</v>
      </c>
      <c r="J1137" s="136">
        <f>VLOOKUP(I1137,'CP FACTORS'!$A$3:$B$38, 2, FALSE)</f>
        <v>1.899635E-4</v>
      </c>
      <c r="K1137" s="92">
        <f t="shared" si="152"/>
        <v>26.869109736536448</v>
      </c>
      <c r="L1137" s="1211">
        <f t="shared" si="153"/>
        <v>0</v>
      </c>
      <c r="M1137" s="90">
        <f t="shared" si="159"/>
        <v>4.0099999999999997E-3</v>
      </c>
      <c r="N1137" s="92">
        <v>19</v>
      </c>
      <c r="O1137" s="92">
        <f t="shared" si="154"/>
        <v>5.9683676514473287</v>
      </c>
      <c r="P1137" s="936">
        <f t="shared" si="155"/>
        <v>10</v>
      </c>
      <c r="Q1137" s="937">
        <f t="shared" si="156"/>
        <v>4.92</v>
      </c>
      <c r="R1137" s="395" t="s">
        <v>184</v>
      </c>
      <c r="S1137" s="756"/>
      <c r="T1137" s="756"/>
      <c r="U1137" s="756"/>
      <c r="V1137" s="1592" t="str">
        <f t="shared" si="162"/>
        <v>kWh Annual Savings</v>
      </c>
      <c r="W1137" s="890">
        <v>32.691452276592656</v>
      </c>
      <c r="X1137" s="938">
        <v>28.663034399999997</v>
      </c>
      <c r="Y1137" s="322">
        <v>26.87</v>
      </c>
      <c r="Z1137" s="49">
        <v>26.87</v>
      </c>
      <c r="AA1137" s="49">
        <v>26.87</v>
      </c>
      <c r="AB1137" s="952">
        <v>26.87</v>
      </c>
      <c r="AC1137" s="89">
        <v>26.87</v>
      </c>
      <c r="AD1137" s="89">
        <v>26.87</v>
      </c>
      <c r="AE1137" s="851"/>
      <c r="AF1137" s="851"/>
      <c r="AG1137" s="851"/>
      <c r="AH1137" s="344"/>
      <c r="AK1137" s="853"/>
      <c r="BB1137" s="857">
        <f t="shared" si="157"/>
        <v>1.6161683322978946</v>
      </c>
      <c r="BC1137" s="1580" t="str">
        <f t="shared" si="160"/>
        <v>Lighting RES 19 Year EUL</v>
      </c>
      <c r="BD1137" s="98">
        <f>(INDEX('Avoided Cost Benefits'!$E$4:$E$859,MATCH(BC1137,'Avoided Cost Benefits'!$A$4:$A$859,0)))*F1137</f>
        <v>15.254066373741335</v>
      </c>
      <c r="BE1137" s="858">
        <f t="shared" si="161"/>
        <v>9.4384143463898056</v>
      </c>
    </row>
    <row r="1138" spans="1:57" s="741" customFormat="1" x14ac:dyDescent="0.35">
      <c r="A1138" s="106"/>
      <c r="B1138" s="106"/>
      <c r="C1138" s="50" t="s">
        <v>1986</v>
      </c>
      <c r="D1138" s="301" t="s">
        <v>2002</v>
      </c>
      <c r="E1138" s="2352" t="s">
        <v>4320</v>
      </c>
      <c r="F1138" s="124">
        <f t="shared" si="158"/>
        <v>34.729999999999997</v>
      </c>
      <c r="G1138" s="935" t="s">
        <v>53</v>
      </c>
      <c r="H1138" s="136">
        <f>VLOOKUP(G1138,'CP FACTORS'!$A$3:$B$38, 2, FALSE)</f>
        <v>1.4925290000000001E-4</v>
      </c>
      <c r="I1138" s="935" t="s">
        <v>54</v>
      </c>
      <c r="J1138" s="136">
        <f>VLOOKUP(I1138,'CP FACTORS'!$A$3:$B$38, 2, FALSE)</f>
        <v>1.899635E-4</v>
      </c>
      <c r="K1138" s="92">
        <f t="shared" si="152"/>
        <v>34.733239415522732</v>
      </c>
      <c r="L1138" s="1211">
        <f t="shared" si="153"/>
        <v>0</v>
      </c>
      <c r="M1138" s="90">
        <f t="shared" si="159"/>
        <v>5.1840000000000002E-3</v>
      </c>
      <c r="N1138" s="92">
        <v>19</v>
      </c>
      <c r="O1138" s="92">
        <f t="shared" si="154"/>
        <v>5.9683676514473287</v>
      </c>
      <c r="P1138" s="936">
        <f t="shared" si="155"/>
        <v>15</v>
      </c>
      <c r="Q1138" s="937">
        <f t="shared" si="156"/>
        <v>4.92</v>
      </c>
      <c r="R1138" s="395" t="s">
        <v>184</v>
      </c>
      <c r="S1138" s="756"/>
      <c r="T1138" s="756"/>
      <c r="U1138" s="756"/>
      <c r="V1138" s="1592" t="str">
        <f t="shared" si="162"/>
        <v>kWh Annual Savings</v>
      </c>
      <c r="W1138" s="890">
        <v>52.66599384441254</v>
      </c>
      <c r="X1138" s="938">
        <v>37.052215199999999</v>
      </c>
      <c r="Y1138" s="322">
        <v>34.729999999999997</v>
      </c>
      <c r="Z1138" s="49">
        <v>34.729999999999997</v>
      </c>
      <c r="AA1138" s="49">
        <v>34.729999999999997</v>
      </c>
      <c r="AB1138" s="952">
        <v>34.729999999999997</v>
      </c>
      <c r="AC1138" s="89">
        <v>34.729999999999997</v>
      </c>
      <c r="AD1138" s="89">
        <v>34.729999999999997</v>
      </c>
      <c r="AE1138" s="851"/>
      <c r="AF1138" s="851"/>
      <c r="AG1138" s="851"/>
      <c r="AH1138" s="344"/>
      <c r="AK1138" s="853"/>
      <c r="BB1138" s="857">
        <f t="shared" si="157"/>
        <v>1.3926194313535756</v>
      </c>
      <c r="BC1138" s="1580" t="str">
        <f t="shared" si="160"/>
        <v>Lighting RES 19 Year EUL</v>
      </c>
      <c r="BD1138" s="98">
        <f>(INDEX('Avoided Cost Benefits'!$E$4:$E$859,MATCH(BC1138,'Avoided Cost Benefits'!$A$4:$A$859,0)))*F1138</f>
        <v>19.716178829923201</v>
      </c>
      <c r="BE1138" s="858">
        <f t="shared" si="161"/>
        <v>14.157621519584708</v>
      </c>
    </row>
    <row r="1139" spans="1:57" s="741" customFormat="1" x14ac:dyDescent="0.35">
      <c r="A1139" s="106"/>
      <c r="B1139" s="106"/>
      <c r="C1139" s="50" t="s">
        <v>1987</v>
      </c>
      <c r="D1139" s="301" t="s">
        <v>2002</v>
      </c>
      <c r="E1139" s="2352" t="s">
        <v>4321</v>
      </c>
      <c r="F1139" s="124">
        <f>ROUND(K1139+L1139,2)</f>
        <v>37.35</v>
      </c>
      <c r="G1139" s="939" t="s">
        <v>53</v>
      </c>
      <c r="H1139" s="136">
        <f>VLOOKUP(G1139,'CP FACTORS'!$A$3:$B$38, 2, FALSE)</f>
        <v>1.4925290000000001E-4</v>
      </c>
      <c r="I1139" s="939" t="s">
        <v>54</v>
      </c>
      <c r="J1139" s="136">
        <f>VLOOKUP(I1139,'CP FACTORS'!$A$3:$B$38, 2, FALSE)</f>
        <v>1.899635E-4</v>
      </c>
      <c r="K1139" s="124">
        <f>((F1175-F1200)*$F$1226*$F$1217*(1-$F$1219)*($F$1220*$F$1222)/1000)</f>
        <v>37.354615975184814</v>
      </c>
      <c r="L1139" s="1423">
        <f t="shared" si="153"/>
        <v>0</v>
      </c>
      <c r="M1139" s="90">
        <f t="shared" si="159"/>
        <v>5.5750000000000001E-3</v>
      </c>
      <c r="N1139" s="124">
        <v>19</v>
      </c>
      <c r="O1139" s="124">
        <f t="shared" si="154"/>
        <v>5.9683676514473287</v>
      </c>
      <c r="P1139" s="936">
        <f t="shared" si="155"/>
        <v>8</v>
      </c>
      <c r="Q1139" s="937">
        <f t="shared" si="156"/>
        <v>7.83</v>
      </c>
      <c r="R1139" s="395" t="s">
        <v>184</v>
      </c>
      <c r="S1139" s="756"/>
      <c r="T1139" s="756"/>
      <c r="U1139" s="756"/>
      <c r="V1139" s="1592" t="str">
        <f t="shared" si="162"/>
        <v>kWh Annual Savings</v>
      </c>
      <c r="W1139" s="890">
        <v>36.609288404042864</v>
      </c>
      <c r="X1139" s="938">
        <v>39.848608800000001</v>
      </c>
      <c r="Y1139" s="322">
        <v>37.35</v>
      </c>
      <c r="Z1139" s="49">
        <v>37.35</v>
      </c>
      <c r="AA1139" s="49">
        <v>37.35</v>
      </c>
      <c r="AB1139" s="952">
        <v>37.35</v>
      </c>
      <c r="AC1139" s="89">
        <v>37.35</v>
      </c>
      <c r="AD1139" s="89">
        <v>37.35</v>
      </c>
      <c r="AE1139" s="851"/>
      <c r="AF1139" s="851"/>
      <c r="AG1139" s="851"/>
      <c r="AH1139" s="344"/>
      <c r="AK1139" s="853"/>
      <c r="BB1139" s="857">
        <f t="shared" si="157"/>
        <v>2.8081451065931509</v>
      </c>
      <c r="BC1139" s="1580" t="str">
        <f t="shared" si="160"/>
        <v>Lighting RES 19 Year EUL</v>
      </c>
      <c r="BD1139" s="98">
        <f>(INDEX('Avoided Cost Benefits'!$E$4:$E$859,MATCH(BC1139,'Avoided Cost Benefits'!$A$4:$A$859,0)))*F1139</f>
        <v>21.203549648650498</v>
      </c>
      <c r="BE1139" s="858">
        <f t="shared" si="161"/>
        <v>7.5507314771118441</v>
      </c>
    </row>
    <row r="1140" spans="1:57" s="741" customFormat="1" x14ac:dyDescent="0.35">
      <c r="A1140" s="106"/>
      <c r="B1140" s="106"/>
      <c r="C1140" s="50" t="s">
        <v>1988</v>
      </c>
      <c r="D1140" s="301" t="s">
        <v>2002</v>
      </c>
      <c r="E1140" s="2352" t="s">
        <v>4322</v>
      </c>
      <c r="F1140" s="124">
        <f t="shared" si="158"/>
        <v>23.53</v>
      </c>
      <c r="G1140" s="939" t="s">
        <v>53</v>
      </c>
      <c r="H1140" s="136">
        <f>VLOOKUP(G1140,'CP FACTORS'!$A$3:$B$38, 2, FALSE)</f>
        <v>1.4925290000000001E-4</v>
      </c>
      <c r="I1140" s="939" t="s">
        <v>54</v>
      </c>
      <c r="J1140" s="136">
        <f>VLOOKUP(I1140,'CP FACTORS'!$A$3:$B$38, 2, FALSE)</f>
        <v>1.899635E-4</v>
      </c>
      <c r="K1140" s="89">
        <f>((F1176-F1201)*$F$1226*$F$1217*(1-$F$1219)*($F$1220*$F$1222)/1000)</f>
        <v>23.533408064366434</v>
      </c>
      <c r="L1140" s="1423">
        <f t="shared" si="153"/>
        <v>0</v>
      </c>
      <c r="M1140" s="90">
        <f t="shared" si="159"/>
        <v>3.5119999999999999E-3</v>
      </c>
      <c r="N1140" s="124">
        <v>19</v>
      </c>
      <c r="O1140" s="124">
        <f t="shared" si="154"/>
        <v>5.9683676514473287</v>
      </c>
      <c r="P1140" s="936">
        <f t="shared" si="155"/>
        <v>7</v>
      </c>
      <c r="Q1140" s="937">
        <f t="shared" si="156"/>
        <v>3.27</v>
      </c>
      <c r="R1140" s="395" t="s">
        <v>184</v>
      </c>
      <c r="S1140" s="756"/>
      <c r="T1140" s="756"/>
      <c r="U1140" s="756"/>
      <c r="V1140" s="1592" t="str">
        <f t="shared" si="162"/>
        <v>kWh Annual Savings</v>
      </c>
      <c r="W1140" s="890">
        <v>23.063851694547001</v>
      </c>
      <c r="X1140" s="938">
        <v>25.104623543999999</v>
      </c>
      <c r="Y1140" s="322">
        <v>23.53</v>
      </c>
      <c r="Z1140" s="49">
        <v>23.53</v>
      </c>
      <c r="AA1140" s="49">
        <v>23.53</v>
      </c>
      <c r="AB1140" s="952">
        <v>23.53</v>
      </c>
      <c r="AC1140" s="89">
        <v>23.53</v>
      </c>
      <c r="AD1140" s="89">
        <v>23.53</v>
      </c>
      <c r="AE1140" s="851"/>
      <c r="AF1140" s="851"/>
      <c r="AG1140" s="851"/>
      <c r="AH1140" s="344"/>
      <c r="AK1140" s="853"/>
      <c r="BB1140" s="857">
        <f t="shared" si="157"/>
        <v>2.0218215141139591</v>
      </c>
      <c r="BC1140" s="1580" t="str">
        <f t="shared" si="160"/>
        <v>Lighting RES 19 Year EUL</v>
      </c>
      <c r="BD1140" s="98">
        <f>(INDEX('Avoided Cost Benefits'!$E$4:$E$859,MATCH(BC1140,'Avoided Cost Benefits'!$A$4:$A$859,0)))*F1140</f>
        <v>13.357952429256926</v>
      </c>
      <c r="BE1140" s="858">
        <f t="shared" si="161"/>
        <v>6.6068900424728643</v>
      </c>
    </row>
    <row r="1141" spans="1:57" s="741" customFormat="1" x14ac:dyDescent="0.35">
      <c r="A1141" s="106"/>
      <c r="B1141" s="106"/>
      <c r="C1141" s="50" t="s">
        <v>1989</v>
      </c>
      <c r="D1141" s="301" t="s">
        <v>2002</v>
      </c>
      <c r="E1141" s="2352" t="s">
        <v>4323</v>
      </c>
      <c r="F1141" s="124">
        <f t="shared" si="158"/>
        <v>2.95</v>
      </c>
      <c r="G1141" s="939" t="s">
        <v>53</v>
      </c>
      <c r="H1141" s="136">
        <f>VLOOKUP(G1141,'CP FACTORS'!$A$3:$B$38, 2, FALSE)</f>
        <v>1.4925290000000001E-4</v>
      </c>
      <c r="I1141" s="939" t="s">
        <v>54</v>
      </c>
      <c r="J1141" s="136">
        <f>VLOOKUP(I1141,'CP FACTORS'!$A$3:$B$38, 2, FALSE)</f>
        <v>1.899635E-4</v>
      </c>
      <c r="K1141" s="124">
        <f t="shared" si="152"/>
        <v>2.9490486296198544</v>
      </c>
      <c r="L1141" s="1423">
        <f t="shared" si="153"/>
        <v>0</v>
      </c>
      <c r="M1141" s="90">
        <f t="shared" si="159"/>
        <v>4.4000000000000002E-4</v>
      </c>
      <c r="N1141" s="124">
        <v>19</v>
      </c>
      <c r="O1141" s="124">
        <f t="shared" si="154"/>
        <v>5.9683676514473287</v>
      </c>
      <c r="P1141" s="936">
        <f t="shared" si="155"/>
        <v>7</v>
      </c>
      <c r="Q1141" s="937">
        <f t="shared" si="156"/>
        <v>3.27</v>
      </c>
      <c r="R1141" s="395" t="s">
        <v>184</v>
      </c>
      <c r="S1141" s="756"/>
      <c r="T1141" s="756"/>
      <c r="U1141" s="756"/>
      <c r="V1141" s="1592" t="str">
        <f t="shared" si="162"/>
        <v>kWh Annual Savings</v>
      </c>
      <c r="W1141" s="890">
        <v>2.8902069792665412</v>
      </c>
      <c r="X1141" s="938">
        <v>3.1459428000000003</v>
      </c>
      <c r="Y1141" s="322">
        <v>2.95</v>
      </c>
      <c r="Z1141" s="49">
        <v>2.95</v>
      </c>
      <c r="AA1141" s="49">
        <v>2.95</v>
      </c>
      <c r="AB1141" s="952">
        <v>2.95</v>
      </c>
      <c r="AC1141" s="89">
        <v>2.95</v>
      </c>
      <c r="AD1141" s="89">
        <v>2.95</v>
      </c>
      <c r="AE1141" s="851"/>
      <c r="AF1141" s="851"/>
      <c r="AG1141" s="851"/>
      <c r="AH1141" s="344"/>
      <c r="AK1141" s="853"/>
      <c r="BB1141" s="857">
        <f t="shared" si="157"/>
        <v>0.25347953534365403</v>
      </c>
      <c r="BC1141" s="1580" t="str">
        <f t="shared" si="160"/>
        <v>Lighting RES 19 Year EUL</v>
      </c>
      <c r="BD1141" s="98">
        <f>(INDEX('Avoided Cost Benefits'!$E$4:$E$859,MATCH(BC1141,'Avoided Cost Benefits'!$A$4:$A$859,0)))*F1141</f>
        <v>1.6747114180326363</v>
      </c>
      <c r="BE1141" s="858">
        <f t="shared" si="161"/>
        <v>6.6068900424728643</v>
      </c>
    </row>
    <row r="1142" spans="1:57" s="741" customFormat="1" x14ac:dyDescent="0.35">
      <c r="A1142" s="106"/>
      <c r="B1142" s="106"/>
      <c r="C1142" s="50" t="s">
        <v>1990</v>
      </c>
      <c r="D1142" s="301" t="s">
        <v>2002</v>
      </c>
      <c r="E1142" s="2352" t="s">
        <v>4324</v>
      </c>
      <c r="F1142" s="124">
        <f>ROUND(K1142+L1142,2)</f>
        <v>14.42</v>
      </c>
      <c r="G1142" s="939" t="s">
        <v>53</v>
      </c>
      <c r="H1142" s="136">
        <f>VLOOKUP(G1142,'CP FACTORS'!$A$3:$B$38, 2, FALSE)</f>
        <v>1.4925290000000001E-4</v>
      </c>
      <c r="I1142" s="939" t="s">
        <v>54</v>
      </c>
      <c r="J1142" s="136">
        <f>VLOOKUP(I1142,'CP FACTORS'!$A$3:$B$38, 2, FALSE)</f>
        <v>1.899635E-4</v>
      </c>
      <c r="K1142" s="124">
        <f t="shared" si="152"/>
        <v>14.41757107814151</v>
      </c>
      <c r="L1142" s="1423">
        <f t="shared" si="153"/>
        <v>0</v>
      </c>
      <c r="M1142" s="90">
        <f>ROUND(((K1142/F1142)*H1142+(L1142/F1142)*J1142)*F1142,6)</f>
        <v>2.1519999999999998E-3</v>
      </c>
      <c r="N1142" s="124">
        <v>19</v>
      </c>
      <c r="O1142" s="124">
        <f t="shared" si="154"/>
        <v>5.9683676514473287</v>
      </c>
      <c r="P1142" s="936">
        <f t="shared" si="155"/>
        <v>7</v>
      </c>
      <c r="Q1142" s="937">
        <f t="shared" si="156"/>
        <v>3.27</v>
      </c>
      <c r="R1142" s="395" t="s">
        <v>184</v>
      </c>
      <c r="S1142" s="756"/>
      <c r="T1142" s="756"/>
      <c r="U1142" s="756"/>
      <c r="V1142" s="1592" t="str">
        <f t="shared" si="162"/>
        <v>kWh Annual Savings</v>
      </c>
      <c r="W1142" s="890">
        <v>23.211573384598399</v>
      </c>
      <c r="X1142" s="938">
        <v>14.681066400000002</v>
      </c>
      <c r="Y1142" s="322">
        <v>14.42</v>
      </c>
      <c r="Z1142" s="49">
        <v>14.42</v>
      </c>
      <c r="AA1142" s="49">
        <v>14.42</v>
      </c>
      <c r="AB1142" s="952">
        <v>14.42</v>
      </c>
      <c r="AC1142" s="89">
        <v>14.42</v>
      </c>
      <c r="AD1142" s="89">
        <v>14.42</v>
      </c>
      <c r="AE1142" s="851"/>
      <c r="AF1142" s="851"/>
      <c r="AG1142" s="851"/>
      <c r="AH1142" s="344"/>
      <c r="AK1142" s="853"/>
      <c r="BB1142" s="857">
        <f t="shared" si="157"/>
        <v>1.2390423388662679</v>
      </c>
      <c r="BC1142" s="1580" t="str">
        <f t="shared" si="160"/>
        <v>Lighting RES 19 Year EUL</v>
      </c>
      <c r="BD1142" s="98">
        <f>(INDEX('Avoided Cost Benefits'!$E$4:$E$859,MATCH(BC1142,'Avoided Cost Benefits'!$A$4:$A$859,0)))*F1142</f>
        <v>8.1862164908578343</v>
      </c>
      <c r="BE1142" s="858">
        <f t="shared" si="161"/>
        <v>6.6068900424728643</v>
      </c>
    </row>
    <row r="1143" spans="1:57" s="741" customFormat="1" x14ac:dyDescent="0.35">
      <c r="A1143" s="106"/>
      <c r="B1143" s="106"/>
      <c r="C1143" s="50" t="s">
        <v>1991</v>
      </c>
      <c r="D1143" s="301" t="s">
        <v>2002</v>
      </c>
      <c r="E1143" s="2352" t="s">
        <v>4325</v>
      </c>
      <c r="F1143" s="124">
        <f t="shared" si="158"/>
        <v>2.62</v>
      </c>
      <c r="G1143" s="939" t="s">
        <v>53</v>
      </c>
      <c r="H1143" s="136">
        <f>VLOOKUP(G1143,'CP FACTORS'!$A$3:$B$38, 2, FALSE)</f>
        <v>1.4925290000000001E-4</v>
      </c>
      <c r="I1143" s="939" t="s">
        <v>54</v>
      </c>
      <c r="J1143" s="136">
        <f>VLOOKUP(I1143,'CP FACTORS'!$A$3:$B$38, 2, FALSE)</f>
        <v>1.899635E-4</v>
      </c>
      <c r="K1143" s="124">
        <f t="shared" si="152"/>
        <v>2.6213765596620924</v>
      </c>
      <c r="L1143" s="1423">
        <f t="shared" si="153"/>
        <v>0</v>
      </c>
      <c r="M1143" s="90">
        <f t="shared" si="159"/>
        <v>3.9100000000000002E-4</v>
      </c>
      <c r="N1143" s="124">
        <v>19</v>
      </c>
      <c r="O1143" s="124">
        <f t="shared" si="154"/>
        <v>5.9683676514473287</v>
      </c>
      <c r="P1143" s="936">
        <f t="shared" si="155"/>
        <v>7</v>
      </c>
      <c r="Q1143" s="937">
        <f t="shared" si="156"/>
        <v>3.27</v>
      </c>
      <c r="R1143" s="395" t="s">
        <v>184</v>
      </c>
      <c r="S1143" s="756"/>
      <c r="T1143" s="756"/>
      <c r="U1143" s="756"/>
      <c r="V1143" s="1592" t="str">
        <f t="shared" si="162"/>
        <v>kWh Annual Savings</v>
      </c>
      <c r="W1143" s="890">
        <v>3.3397947315968928</v>
      </c>
      <c r="X1143" s="938">
        <v>2.0972952</v>
      </c>
      <c r="Y1143" s="322">
        <v>2.62</v>
      </c>
      <c r="Z1143" s="49">
        <v>2.62</v>
      </c>
      <c r="AA1143" s="49">
        <v>2.62</v>
      </c>
      <c r="AB1143" s="952">
        <v>2.62</v>
      </c>
      <c r="AC1143" s="89">
        <v>2.62</v>
      </c>
      <c r="AD1143" s="89">
        <v>2.62</v>
      </c>
      <c r="AE1143" s="851"/>
      <c r="AF1143" s="851"/>
      <c r="AG1143" s="851"/>
      <c r="AH1143" s="344"/>
      <c r="AK1143" s="853"/>
      <c r="BB1143" s="857">
        <f t="shared" si="157"/>
        <v>0.22512419749165205</v>
      </c>
      <c r="BC1143" s="1580" t="str">
        <f t="shared" si="160"/>
        <v>Lighting RES 19 Year EUL</v>
      </c>
      <c r="BD1143" s="98">
        <f>(INDEX('Avoided Cost Benefits'!$E$4:$E$859,MATCH(BC1143,'Avoided Cost Benefits'!$A$4:$A$859,0)))*F1143</f>
        <v>1.4873708187272905</v>
      </c>
      <c r="BE1143" s="858">
        <f t="shared" si="161"/>
        <v>6.6068900424728643</v>
      </c>
    </row>
    <row r="1144" spans="1:57" s="741" customFormat="1" x14ac:dyDescent="0.35">
      <c r="A1144" s="106"/>
      <c r="B1144" s="106"/>
      <c r="C1144" s="50" t="s">
        <v>1992</v>
      </c>
      <c r="D1144" s="301" t="s">
        <v>2002</v>
      </c>
      <c r="E1144" s="2352" t="s">
        <v>4326</v>
      </c>
      <c r="F1144" s="124">
        <f t="shared" si="158"/>
        <v>2.82</v>
      </c>
      <c r="G1144" s="939" t="s">
        <v>53</v>
      </c>
      <c r="H1144" s="136">
        <f>VLOOKUP(G1144,'CP FACTORS'!$A$3:$B$38, 2, FALSE)</f>
        <v>1.4925290000000001E-4</v>
      </c>
      <c r="I1144" s="939" t="s">
        <v>54</v>
      </c>
      <c r="J1144" s="136">
        <f>VLOOKUP(I1144,'CP FACTORS'!$A$3:$B$38, 2, FALSE)</f>
        <v>1.899635E-4</v>
      </c>
      <c r="K1144" s="124">
        <f t="shared" si="152"/>
        <v>2.8179798016367501</v>
      </c>
      <c r="L1144" s="1423">
        <f t="shared" si="153"/>
        <v>0</v>
      </c>
      <c r="M1144" s="90">
        <f t="shared" si="159"/>
        <v>4.2099999999999999E-4</v>
      </c>
      <c r="N1144" s="124">
        <v>19</v>
      </c>
      <c r="O1144" s="124">
        <f t="shared" si="154"/>
        <v>5.9683676514473287</v>
      </c>
      <c r="P1144" s="936">
        <f t="shared" si="155"/>
        <v>6</v>
      </c>
      <c r="Q1144" s="937">
        <f t="shared" si="156"/>
        <v>3.68</v>
      </c>
      <c r="R1144" s="395" t="s">
        <v>184</v>
      </c>
      <c r="S1144" s="756"/>
      <c r="T1144" s="756"/>
      <c r="U1144" s="756"/>
      <c r="V1144" s="1592" t="str">
        <f t="shared" si="162"/>
        <v>kWh Annual Savings</v>
      </c>
      <c r="W1144" s="890">
        <v>2.7617533357435846</v>
      </c>
      <c r="X1144" s="938">
        <v>3.0061231200000003</v>
      </c>
      <c r="Y1144" s="322">
        <v>2.82</v>
      </c>
      <c r="Z1144" s="49">
        <v>2.82</v>
      </c>
      <c r="AA1144" s="49">
        <v>2.82</v>
      </c>
      <c r="AB1144" s="952">
        <v>2.82</v>
      </c>
      <c r="AC1144" s="89">
        <v>2.82</v>
      </c>
      <c r="AD1144" s="89">
        <v>2.82</v>
      </c>
      <c r="AE1144" s="851"/>
      <c r="AF1144" s="851"/>
      <c r="AG1144" s="851"/>
      <c r="AH1144" s="344"/>
      <c r="AK1144" s="853"/>
      <c r="BB1144" s="857">
        <f t="shared" si="157"/>
        <v>0.28269412585783787</v>
      </c>
      <c r="BC1144" s="1580" t="str">
        <f t="shared" si="160"/>
        <v>Lighting RES 19 Year EUL</v>
      </c>
      <c r="BD1144" s="98">
        <f>(INDEX('Avoided Cost Benefits'!$E$4:$E$859,MATCH(BC1144,'Avoided Cost Benefits'!$A$4:$A$859,0)))*F1144</f>
        <v>1.6009105758820454</v>
      </c>
      <c r="BE1144" s="858">
        <f t="shared" si="161"/>
        <v>5.6630486078338835</v>
      </c>
    </row>
    <row r="1145" spans="1:57" s="741" customFormat="1" x14ac:dyDescent="0.35">
      <c r="A1145" s="106"/>
      <c r="B1145" s="106"/>
      <c r="C1145" s="50" t="s">
        <v>1993</v>
      </c>
      <c r="D1145" s="301" t="s">
        <v>2002</v>
      </c>
      <c r="E1145" s="2352" t="s">
        <v>4327</v>
      </c>
      <c r="F1145" s="124">
        <f t="shared" si="158"/>
        <v>8.52</v>
      </c>
      <c r="G1145" s="939" t="s">
        <v>53</v>
      </c>
      <c r="H1145" s="136">
        <f>VLOOKUP(G1145,'CP FACTORS'!$A$3:$B$38, 2, FALSE)</f>
        <v>1.4925290000000001E-4</v>
      </c>
      <c r="I1145" s="939" t="s">
        <v>54</v>
      </c>
      <c r="J1145" s="136">
        <f>VLOOKUP(I1145,'CP FACTORS'!$A$3:$B$38, 2, FALSE)</f>
        <v>1.899635E-4</v>
      </c>
      <c r="K1145" s="124">
        <f t="shared" si="152"/>
        <v>8.5194738189018011</v>
      </c>
      <c r="L1145" s="1423">
        <f t="shared" si="153"/>
        <v>0</v>
      </c>
      <c r="M1145" s="90">
        <f t="shared" si="159"/>
        <v>1.2719999999999999E-3</v>
      </c>
      <c r="N1145" s="124">
        <v>19</v>
      </c>
      <c r="O1145" s="124">
        <f t="shared" si="154"/>
        <v>5.9683676514473287</v>
      </c>
      <c r="P1145" s="936">
        <f t="shared" si="155"/>
        <v>6</v>
      </c>
      <c r="Q1145" s="937">
        <f t="shared" si="156"/>
        <v>3.3</v>
      </c>
      <c r="R1145" s="395" t="s">
        <v>184</v>
      </c>
      <c r="S1145" s="756"/>
      <c r="T1145" s="756"/>
      <c r="U1145" s="756"/>
      <c r="V1145" s="1592" t="str">
        <f t="shared" si="162"/>
        <v>kWh Annual Savings</v>
      </c>
      <c r="W1145" s="890">
        <v>8.3494868289922302</v>
      </c>
      <c r="X1145" s="938">
        <v>9.0882791999999988</v>
      </c>
      <c r="Y1145" s="322">
        <v>8.52</v>
      </c>
      <c r="Z1145" s="49">
        <v>8.52</v>
      </c>
      <c r="AA1145" s="49">
        <v>8.52</v>
      </c>
      <c r="AB1145" s="952">
        <v>8.52</v>
      </c>
      <c r="AC1145" s="89">
        <v>8.52</v>
      </c>
      <c r="AD1145" s="89">
        <v>8.52</v>
      </c>
      <c r="AE1145" s="851"/>
      <c r="AF1145" s="851"/>
      <c r="AG1145" s="851"/>
      <c r="AH1145" s="344"/>
      <c r="AK1145" s="853"/>
      <c r="BB1145" s="857">
        <f t="shared" si="157"/>
        <v>0.85409714620878674</v>
      </c>
      <c r="BC1145" s="1580" t="str">
        <f t="shared" si="160"/>
        <v>Lighting RES 19 Year EUL</v>
      </c>
      <c r="BD1145" s="98">
        <f>(INDEX('Avoided Cost Benefits'!$E$4:$E$859,MATCH(BC1145,'Avoided Cost Benefits'!$A$4:$A$859,0)))*F1145</f>
        <v>4.8367936547925625</v>
      </c>
      <c r="BE1145" s="858">
        <f t="shared" si="161"/>
        <v>5.6630486078338835</v>
      </c>
    </row>
    <row r="1146" spans="1:57" s="741" customFormat="1" x14ac:dyDescent="0.35">
      <c r="A1146" s="106"/>
      <c r="B1146" s="106"/>
      <c r="C1146" s="50" t="s">
        <v>1994</v>
      </c>
      <c r="D1146" s="301" t="s">
        <v>2002</v>
      </c>
      <c r="E1146" s="2352" t="s">
        <v>4328</v>
      </c>
      <c r="F1146" s="124">
        <f>ROUND(K1146+L1146,2)</f>
        <v>5.57</v>
      </c>
      <c r="G1146" s="939" t="s">
        <v>53</v>
      </c>
      <c r="H1146" s="136">
        <f>VLOOKUP(G1146,'CP FACTORS'!$A$3:$B$38, 2, FALSE)</f>
        <v>1.4925290000000001E-4</v>
      </c>
      <c r="I1146" s="939" t="s">
        <v>54</v>
      </c>
      <c r="J1146" s="136">
        <f>VLOOKUP(I1146,'CP FACTORS'!$A$3:$B$38, 2, FALSE)</f>
        <v>1.899635E-4</v>
      </c>
      <c r="K1146" s="124">
        <f t="shared" si="152"/>
        <v>5.5704251892819467</v>
      </c>
      <c r="L1146" s="1423">
        <f t="shared" si="153"/>
        <v>0</v>
      </c>
      <c r="M1146" s="90">
        <f t="shared" si="159"/>
        <v>8.3100000000000003E-4</v>
      </c>
      <c r="N1146" s="124">
        <v>19</v>
      </c>
      <c r="O1146" s="124">
        <f t="shared" si="154"/>
        <v>5.9683676514473287</v>
      </c>
      <c r="P1146" s="936">
        <f t="shared" si="155"/>
        <v>6</v>
      </c>
      <c r="Q1146" s="937">
        <f t="shared" si="156"/>
        <v>3.53</v>
      </c>
      <c r="R1146" s="395" t="s">
        <v>184</v>
      </c>
      <c r="S1146" s="756"/>
      <c r="T1146" s="756"/>
      <c r="U1146" s="756"/>
      <c r="V1146" s="1592" t="str">
        <f t="shared" si="162"/>
        <v>kWh Annual Savings</v>
      </c>
      <c r="W1146" s="890">
        <v>5.4592798497256902</v>
      </c>
      <c r="X1146" s="938">
        <v>5.9423363999999994</v>
      </c>
      <c r="Y1146" s="322">
        <v>5.57</v>
      </c>
      <c r="Z1146" s="49">
        <v>5.57</v>
      </c>
      <c r="AA1146" s="49">
        <v>5.57</v>
      </c>
      <c r="AB1146" s="952">
        <v>5.57</v>
      </c>
      <c r="AC1146" s="89">
        <v>5.57</v>
      </c>
      <c r="AD1146" s="89">
        <v>5.57</v>
      </c>
      <c r="AE1146" s="851"/>
      <c r="AF1146" s="851"/>
      <c r="AG1146" s="851"/>
      <c r="AH1146" s="344"/>
      <c r="AK1146" s="853"/>
      <c r="BB1146" s="857">
        <f t="shared" si="157"/>
        <v>0.55837102164119046</v>
      </c>
      <c r="BC1146" s="1580" t="str">
        <f t="shared" si="160"/>
        <v>Lighting RES 19 Year EUL</v>
      </c>
      <c r="BD1146" s="98">
        <f>(INDEX('Avoided Cost Benefits'!$E$4:$E$859,MATCH(BC1146,'Avoided Cost Benefits'!$A$4:$A$859,0)))*F1146</f>
        <v>3.1620822367599266</v>
      </c>
      <c r="BE1146" s="858">
        <f t="shared" si="161"/>
        <v>5.6630486078338835</v>
      </c>
    </row>
    <row r="1147" spans="1:57" s="741" customFormat="1" x14ac:dyDescent="0.35">
      <c r="A1147" s="106"/>
      <c r="B1147" s="106"/>
      <c r="C1147" s="50" t="s">
        <v>1995</v>
      </c>
      <c r="D1147" s="301" t="s">
        <v>2002</v>
      </c>
      <c r="E1147" s="2352" t="s">
        <v>4329</v>
      </c>
      <c r="F1147" s="124">
        <f t="shared" si="158"/>
        <v>5.57</v>
      </c>
      <c r="G1147" s="939" t="s">
        <v>53</v>
      </c>
      <c r="H1147" s="136">
        <f>VLOOKUP(G1147,'CP FACTORS'!$A$3:$B$38, 2, FALSE)</f>
        <v>1.4925290000000001E-4</v>
      </c>
      <c r="I1147" s="939" t="s">
        <v>54</v>
      </c>
      <c r="J1147" s="136">
        <f>VLOOKUP(I1147,'CP FACTORS'!$A$3:$B$38, 2, FALSE)</f>
        <v>1.899635E-4</v>
      </c>
      <c r="K1147" s="124">
        <f t="shared" si="152"/>
        <v>5.5704251892819467</v>
      </c>
      <c r="L1147" s="1423">
        <f t="shared" si="153"/>
        <v>0</v>
      </c>
      <c r="M1147" s="90">
        <f t="shared" si="159"/>
        <v>8.3100000000000003E-4</v>
      </c>
      <c r="N1147" s="124">
        <v>19</v>
      </c>
      <c r="O1147" s="124">
        <f t="shared" si="154"/>
        <v>5.9683676514473287</v>
      </c>
      <c r="P1147" s="936">
        <f t="shared" si="155"/>
        <v>6</v>
      </c>
      <c r="Q1147" s="937">
        <f t="shared" si="156"/>
        <v>4.72</v>
      </c>
      <c r="R1147" s="395" t="s">
        <v>184</v>
      </c>
      <c r="S1147" s="756"/>
      <c r="T1147" s="756"/>
      <c r="U1147" s="756"/>
      <c r="V1147" s="1592" t="str">
        <f t="shared" si="162"/>
        <v>kWh Annual Savings</v>
      </c>
      <c r="W1147" s="890">
        <v>5.4592798497256902</v>
      </c>
      <c r="X1147" s="938">
        <v>5.9423363999999994</v>
      </c>
      <c r="Y1147" s="322">
        <v>5.57</v>
      </c>
      <c r="Z1147" s="49">
        <v>5.57</v>
      </c>
      <c r="AA1147" s="49">
        <v>5.57</v>
      </c>
      <c r="AB1147" s="952">
        <v>5.57</v>
      </c>
      <c r="AC1147" s="89">
        <v>5.57</v>
      </c>
      <c r="AD1147" s="89">
        <v>5.57</v>
      </c>
      <c r="AE1147" s="851"/>
      <c r="AF1147" s="851"/>
      <c r="AG1147" s="851"/>
      <c r="AH1147" s="344"/>
      <c r="AK1147" s="853"/>
      <c r="BB1147" s="857">
        <f t="shared" si="157"/>
        <v>0.55837102164119046</v>
      </c>
      <c r="BC1147" s="1580" t="str">
        <f t="shared" si="160"/>
        <v>Lighting RES 19 Year EUL</v>
      </c>
      <c r="BD1147" s="98">
        <f>(INDEX('Avoided Cost Benefits'!$E$4:$E$859,MATCH(BC1147,'Avoided Cost Benefits'!$A$4:$A$859,0)))*F1147</f>
        <v>3.1620822367599266</v>
      </c>
      <c r="BE1147" s="858">
        <f t="shared" si="161"/>
        <v>5.6630486078338835</v>
      </c>
    </row>
    <row r="1148" spans="1:57" s="741" customFormat="1" x14ac:dyDescent="0.35">
      <c r="A1148" s="106"/>
      <c r="B1148" s="106"/>
      <c r="C1148" s="50" t="s">
        <v>1996</v>
      </c>
      <c r="D1148" s="301" t="s">
        <v>2002</v>
      </c>
      <c r="E1148" s="2352" t="s">
        <v>4330</v>
      </c>
      <c r="F1148" s="124">
        <f t="shared" si="158"/>
        <v>5.44</v>
      </c>
      <c r="G1148" s="939" t="s">
        <v>53</v>
      </c>
      <c r="H1148" s="136">
        <f>VLOOKUP(G1148,'CP FACTORS'!$A$3:$B$38, 2, FALSE)</f>
        <v>1.4925290000000001E-4</v>
      </c>
      <c r="I1148" s="939" t="s">
        <v>54</v>
      </c>
      <c r="J1148" s="136">
        <f>VLOOKUP(I1148,'CP FACTORS'!$A$3:$B$38, 2, FALSE)</f>
        <v>1.899635E-4</v>
      </c>
      <c r="K1148" s="124">
        <f t="shared" si="152"/>
        <v>5.4393563612988416</v>
      </c>
      <c r="L1148" s="1423">
        <f t="shared" si="153"/>
        <v>0</v>
      </c>
      <c r="M1148" s="90">
        <f t="shared" si="159"/>
        <v>8.12E-4</v>
      </c>
      <c r="N1148" s="124">
        <v>19</v>
      </c>
      <c r="O1148" s="124">
        <f t="shared" si="154"/>
        <v>5.9683676514473287</v>
      </c>
      <c r="P1148" s="936">
        <f t="shared" si="155"/>
        <v>8</v>
      </c>
      <c r="Q1148" s="937">
        <f t="shared" si="156"/>
        <v>6.27</v>
      </c>
      <c r="R1148" s="395" t="s">
        <v>184</v>
      </c>
      <c r="S1148" s="756"/>
      <c r="T1148" s="756"/>
      <c r="U1148" s="756"/>
      <c r="V1148" s="1592" t="str">
        <f t="shared" si="162"/>
        <v>kWh Annual Savings</v>
      </c>
      <c r="W1148" s="890">
        <v>5.3308262062027314</v>
      </c>
      <c r="X1148" s="938">
        <v>5.802516719999999</v>
      </c>
      <c r="Y1148" s="322">
        <v>5.44</v>
      </c>
      <c r="Z1148" s="49">
        <v>5.44</v>
      </c>
      <c r="AA1148" s="49">
        <v>5.44</v>
      </c>
      <c r="AB1148" s="952">
        <v>5.44</v>
      </c>
      <c r="AC1148" s="89">
        <v>5.44</v>
      </c>
      <c r="AD1148" s="89">
        <v>5.44</v>
      </c>
      <c r="AE1148" s="851"/>
      <c r="AF1148" s="851"/>
      <c r="AG1148" s="851"/>
      <c r="AH1148" s="344"/>
      <c r="AK1148" s="853"/>
      <c r="BB1148" s="857">
        <f t="shared" si="157"/>
        <v>0.40900426719857402</v>
      </c>
      <c r="BC1148" s="1580" t="str">
        <f t="shared" si="160"/>
        <v>Lighting RES 19 Year EUL</v>
      </c>
      <c r="BD1148" s="98">
        <f>(INDEX('Avoided Cost Benefits'!$E$4:$E$859,MATCH(BC1148,'Avoided Cost Benefits'!$A$4:$A$859,0)))*F1148</f>
        <v>3.0882813946093362</v>
      </c>
      <c r="BE1148" s="858">
        <f t="shared" si="161"/>
        <v>7.5507314771118441</v>
      </c>
    </row>
    <row r="1149" spans="1:57" s="741" customFormat="1" x14ac:dyDescent="0.35">
      <c r="A1149" s="106"/>
      <c r="B1149" s="106"/>
      <c r="C1149" s="50" t="s">
        <v>1997</v>
      </c>
      <c r="D1149" s="301" t="s">
        <v>2002</v>
      </c>
      <c r="E1149" s="2352" t="s">
        <v>4331</v>
      </c>
      <c r="F1149" s="124">
        <f t="shared" si="158"/>
        <v>5.17</v>
      </c>
      <c r="G1149" s="939" t="s">
        <v>53</v>
      </c>
      <c r="H1149" s="136">
        <f>VLOOKUP(G1149,'CP FACTORS'!$A$3:$B$38, 2, FALSE)</f>
        <v>1.4925290000000001E-4</v>
      </c>
      <c r="I1149" s="939" t="s">
        <v>54</v>
      </c>
      <c r="J1149" s="136">
        <f>VLOOKUP(I1149,'CP FACTORS'!$A$3:$B$38, 2, FALSE)</f>
        <v>1.899635E-4</v>
      </c>
      <c r="K1149" s="124">
        <f t="shared" si="152"/>
        <v>5.1699371037780164</v>
      </c>
      <c r="L1149" s="1423">
        <f t="shared" si="153"/>
        <v>0</v>
      </c>
      <c r="M1149" s="90">
        <f t="shared" si="159"/>
        <v>7.7200000000000001E-4</v>
      </c>
      <c r="N1149" s="124">
        <v>19</v>
      </c>
      <c r="O1149" s="124">
        <f t="shared" si="154"/>
        <v>5.9683676514473287</v>
      </c>
      <c r="P1149" s="936">
        <f t="shared" si="155"/>
        <v>10</v>
      </c>
      <c r="Q1149" s="937">
        <f t="shared" si="156"/>
        <v>4.92</v>
      </c>
      <c r="R1149" s="395" t="s">
        <v>184</v>
      </c>
      <c r="S1149" s="756"/>
      <c r="T1149" s="756"/>
      <c r="U1149" s="756"/>
      <c r="V1149" s="1592" t="str">
        <f t="shared" si="162"/>
        <v>kWh Annual Savings</v>
      </c>
      <c r="W1149" s="890"/>
      <c r="X1149" s="938"/>
      <c r="Y1149" s="322"/>
      <c r="Z1149" s="49"/>
      <c r="AA1149" s="49"/>
      <c r="AB1149" s="322">
        <v>5.17</v>
      </c>
      <c r="AC1149" s="89">
        <v>5.17</v>
      </c>
      <c r="AD1149" s="89">
        <v>5.17</v>
      </c>
      <c r="AE1149" s="851"/>
      <c r="AF1149" s="851"/>
      <c r="AG1149" s="851"/>
      <c r="AH1149" s="344"/>
      <c r="AK1149" s="853"/>
      <c r="BB1149" s="857">
        <f t="shared" ref="BB1149:BB1152" si="166">(BD1149)/(BE1149)</f>
        <v>0.31096353844362168</v>
      </c>
      <c r="BC1149" s="1580" t="str">
        <f t="shared" ref="BC1149:BC1152" si="167">CONCATENATE(G1149," ",N1149," Year EUL")</f>
        <v>Lighting RES 19 Year EUL</v>
      </c>
      <c r="BD1149" s="98">
        <f>(INDEX('Avoided Cost Benefits'!$E$4:$E$859,MATCH(BC1149,'Avoided Cost Benefits'!$A$4:$A$859,0)))*F1149</f>
        <v>2.9350027224504167</v>
      </c>
      <c r="BE1149" s="858">
        <f t="shared" ref="BE1149:BE1152" si="168">P1149/(1.0595^(2020-2019))</f>
        <v>9.4384143463898056</v>
      </c>
    </row>
    <row r="1150" spans="1:57" s="741" customFormat="1" x14ac:dyDescent="0.35">
      <c r="A1150" s="106"/>
      <c r="B1150" s="106"/>
      <c r="C1150" s="50" t="s">
        <v>1998</v>
      </c>
      <c r="D1150" s="301" t="s">
        <v>2002</v>
      </c>
      <c r="E1150" s="2352" t="s">
        <v>4332</v>
      </c>
      <c r="F1150" s="124">
        <f>ROUND(K1150+L1150,2)</f>
        <v>3.15</v>
      </c>
      <c r="G1150" s="939" t="s">
        <v>53</v>
      </c>
      <c r="H1150" s="136">
        <f>VLOOKUP(G1150,'CP FACTORS'!$A$3:$B$38, 2, FALSE)</f>
        <v>1.4925290000000001E-4</v>
      </c>
      <c r="I1150" s="939" t="s">
        <v>54</v>
      </c>
      <c r="J1150" s="136">
        <f>VLOOKUP(I1150,'CP FACTORS'!$A$3:$B$38, 2, FALSE)</f>
        <v>1.899635E-4</v>
      </c>
      <c r="K1150" s="124">
        <f t="shared" si="152"/>
        <v>3.1456518715945112</v>
      </c>
      <c r="L1150" s="1423">
        <f t="shared" si="153"/>
        <v>0</v>
      </c>
      <c r="M1150" s="90">
        <f t="shared" si="159"/>
        <v>4.6900000000000002E-4</v>
      </c>
      <c r="N1150" s="124">
        <v>19</v>
      </c>
      <c r="O1150" s="124">
        <f t="shared" si="154"/>
        <v>5.9683676514473287</v>
      </c>
      <c r="P1150" s="936">
        <f t="shared" si="155"/>
        <v>10</v>
      </c>
      <c r="Q1150" s="937">
        <f t="shared" si="156"/>
        <v>4.92</v>
      </c>
      <c r="R1150" s="395" t="s">
        <v>184</v>
      </c>
      <c r="S1150" s="756"/>
      <c r="T1150" s="756"/>
      <c r="U1150" s="756"/>
      <c r="V1150" s="1592" t="str">
        <f t="shared" si="162"/>
        <v>kWh Annual Savings</v>
      </c>
      <c r="W1150" s="890">
        <v>3.0828874445509782</v>
      </c>
      <c r="X1150" s="938">
        <v>3.3556723200000005</v>
      </c>
      <c r="Y1150" s="322">
        <v>3.15</v>
      </c>
      <c r="Z1150" s="49">
        <v>3.15</v>
      </c>
      <c r="AA1150" s="49">
        <v>3.15</v>
      </c>
      <c r="AB1150" s="952">
        <v>3.15</v>
      </c>
      <c r="AC1150" s="89">
        <v>3.15</v>
      </c>
      <c r="AD1150" s="89">
        <v>3.15</v>
      </c>
      <c r="AE1150" s="851"/>
      <c r="AF1150" s="851"/>
      <c r="AG1150" s="851"/>
      <c r="AH1150" s="344"/>
      <c r="AK1150" s="853"/>
      <c r="BB1150" s="857">
        <f t="shared" si="166"/>
        <v>0.18946521201110411</v>
      </c>
      <c r="BC1150" s="1580" t="str">
        <f t="shared" si="167"/>
        <v>Lighting RES 19 Year EUL</v>
      </c>
      <c r="BD1150" s="98">
        <f>(INDEX('Avoided Cost Benefits'!$E$4:$E$859,MATCH(BC1150,'Avoided Cost Benefits'!$A$4:$A$859,0)))*F1150</f>
        <v>1.7882511751873911</v>
      </c>
      <c r="BE1150" s="858">
        <f t="shared" si="168"/>
        <v>9.4384143463898056</v>
      </c>
    </row>
    <row r="1151" spans="1:57" s="741" customFormat="1" x14ac:dyDescent="0.35">
      <c r="A1151" s="106"/>
      <c r="B1151" s="106"/>
      <c r="C1151" s="50" t="s">
        <v>1999</v>
      </c>
      <c r="D1151" s="301" t="s">
        <v>2002</v>
      </c>
      <c r="E1151" s="2352" t="s">
        <v>4333</v>
      </c>
      <c r="F1151" s="124">
        <f t="shared" si="158"/>
        <v>3.28</v>
      </c>
      <c r="G1151" s="939" t="s">
        <v>53</v>
      </c>
      <c r="H1151" s="136">
        <f>VLOOKUP(G1151,'CP FACTORS'!$A$3:$B$38, 2, FALSE)</f>
        <v>1.4925290000000001E-4</v>
      </c>
      <c r="I1151" s="939" t="s">
        <v>54</v>
      </c>
      <c r="J1151" s="136">
        <f>VLOOKUP(I1151,'CP FACTORS'!$A$3:$B$38, 2, FALSE)</f>
        <v>1.899635E-4</v>
      </c>
      <c r="K1151" s="124">
        <f t="shared" si="152"/>
        <v>3.2767206995776155</v>
      </c>
      <c r="L1151" s="1423">
        <f t="shared" si="153"/>
        <v>0</v>
      </c>
      <c r="M1151" s="90">
        <f t="shared" si="159"/>
        <v>4.8899999999999996E-4</v>
      </c>
      <c r="N1151" s="124">
        <v>19</v>
      </c>
      <c r="O1151" s="124">
        <f t="shared" si="154"/>
        <v>5.9683676514473287</v>
      </c>
      <c r="P1151" s="936">
        <f t="shared" si="155"/>
        <v>15</v>
      </c>
      <c r="Q1151" s="937">
        <f t="shared" si="156"/>
        <v>4.92</v>
      </c>
      <c r="R1151" s="395" t="s">
        <v>184</v>
      </c>
      <c r="S1151" s="756"/>
      <c r="T1151" s="756"/>
      <c r="U1151" s="756"/>
      <c r="V1151" s="1592" t="str">
        <f t="shared" si="162"/>
        <v>kWh Annual Savings</v>
      </c>
      <c r="W1151" s="890">
        <v>3.2113410880739353</v>
      </c>
      <c r="X1151" s="938">
        <v>3.4954919999999996</v>
      </c>
      <c r="Y1151" s="322">
        <v>3.28</v>
      </c>
      <c r="Z1151" s="49">
        <v>3.28</v>
      </c>
      <c r="AA1151" s="49">
        <v>3.28</v>
      </c>
      <c r="AB1151" s="952">
        <v>3.28</v>
      </c>
      <c r="AC1151" s="89">
        <v>3.28</v>
      </c>
      <c r="AD1151" s="89">
        <v>3.28</v>
      </c>
      <c r="AE1151" s="851"/>
      <c r="AF1151" s="851"/>
      <c r="AG1151" s="851"/>
      <c r="AH1151" s="344"/>
      <c r="AK1151" s="853"/>
      <c r="BB1151" s="857">
        <f t="shared" si="166"/>
        <v>0.13152294082463944</v>
      </c>
      <c r="BC1151" s="1580" t="str">
        <f t="shared" si="167"/>
        <v>Lighting RES 19 Year EUL</v>
      </c>
      <c r="BD1151" s="98">
        <f>(INDEX('Avoided Cost Benefits'!$E$4:$E$859,MATCH(BC1151,'Avoided Cost Benefits'!$A$4:$A$859,0)))*F1151</f>
        <v>1.8620520173379818</v>
      </c>
      <c r="BE1151" s="858">
        <f t="shared" si="168"/>
        <v>14.157621519584708</v>
      </c>
    </row>
    <row r="1152" spans="1:57" s="741" customFormat="1" x14ac:dyDescent="0.35">
      <c r="A1152" s="106"/>
      <c r="B1152" s="106"/>
      <c r="C1152" s="50" t="s">
        <v>2000</v>
      </c>
      <c r="D1152" s="301" t="s">
        <v>2002</v>
      </c>
      <c r="E1152" s="2352" t="s">
        <v>4334</v>
      </c>
      <c r="F1152" s="124">
        <f t="shared" si="158"/>
        <v>6.42</v>
      </c>
      <c r="G1152" s="939" t="s">
        <v>53</v>
      </c>
      <c r="H1152" s="136">
        <f>VLOOKUP(G1152,'CP FACTORS'!$A$3:$B$38, 2, FALSE)</f>
        <v>1.4925290000000001E-4</v>
      </c>
      <c r="I1152" s="939" t="s">
        <v>54</v>
      </c>
      <c r="J1152" s="136">
        <f>VLOOKUP(I1152,'CP FACTORS'!$A$3:$B$38, 2, FALSE)</f>
        <v>1.899635E-4</v>
      </c>
      <c r="K1152" s="124">
        <f t="shared" si="152"/>
        <v>6.4223725711721276</v>
      </c>
      <c r="L1152" s="1423">
        <f t="shared" si="153"/>
        <v>0</v>
      </c>
      <c r="M1152" s="90">
        <f t="shared" si="159"/>
        <v>9.59E-4</v>
      </c>
      <c r="N1152" s="124">
        <v>19</v>
      </c>
      <c r="O1152" s="124">
        <f t="shared" si="154"/>
        <v>5.9683676514473287</v>
      </c>
      <c r="P1152" s="940">
        <f t="shared" si="155"/>
        <v>8</v>
      </c>
      <c r="Q1152" s="941">
        <f t="shared" si="156"/>
        <v>7.83</v>
      </c>
      <c r="R1152" s="395" t="s">
        <v>184</v>
      </c>
      <c r="S1152" s="756"/>
      <c r="T1152" s="756"/>
      <c r="U1152" s="756"/>
      <c r="V1152" s="1592" t="str">
        <f t="shared" si="162"/>
        <v>kWh Annual Savings</v>
      </c>
      <c r="W1152" s="890">
        <v>6.2942285326249126</v>
      </c>
      <c r="X1152" s="938">
        <v>6.8511643200000005</v>
      </c>
      <c r="Y1152" s="322">
        <v>6.42</v>
      </c>
      <c r="Z1152" s="49">
        <v>6.42</v>
      </c>
      <c r="AA1152" s="49">
        <v>6.42</v>
      </c>
      <c r="AB1152" s="952">
        <v>6.42</v>
      </c>
      <c r="AC1152" s="89">
        <v>6.42</v>
      </c>
      <c r="AD1152" s="89">
        <v>6.42</v>
      </c>
      <c r="AE1152" s="851"/>
      <c r="AF1152" s="851"/>
      <c r="AG1152" s="851"/>
      <c r="AH1152" s="344"/>
      <c r="AK1152" s="853"/>
      <c r="BB1152" s="857">
        <f t="shared" si="166"/>
        <v>0.48268518298067004</v>
      </c>
      <c r="BC1152" s="1580" t="str">
        <f t="shared" si="167"/>
        <v>Lighting RES 19 Year EUL</v>
      </c>
      <c r="BD1152" s="98">
        <f>(INDEX('Avoided Cost Benefits'!$E$4:$E$859,MATCH(BC1152,'Avoided Cost Benefits'!$A$4:$A$859,0)))*F1152</f>
        <v>3.6446262046676354</v>
      </c>
      <c r="BE1152" s="858">
        <f t="shared" si="168"/>
        <v>7.5507314771118441</v>
      </c>
    </row>
    <row r="1153" spans="1:57" s="741" customFormat="1" x14ac:dyDescent="0.35">
      <c r="A1153" s="106"/>
      <c r="B1153" s="106"/>
      <c r="C1153" s="50" t="s">
        <v>2001</v>
      </c>
      <c r="D1153" s="301" t="s">
        <v>2002</v>
      </c>
      <c r="E1153" s="2352" t="s">
        <v>2003</v>
      </c>
      <c r="F1153" s="124">
        <f t="shared" si="158"/>
        <v>3.78</v>
      </c>
      <c r="G1153" s="939" t="s">
        <v>53</v>
      </c>
      <c r="H1153" s="136">
        <f>VLOOKUP(G1153,'CP FACTORS'!$A$3:$B$38, 2, FALSE)</f>
        <v>1.4925290000000001E-4</v>
      </c>
      <c r="I1153" s="939" t="s">
        <v>54</v>
      </c>
      <c r="J1153" s="136">
        <f>VLOOKUP(I1153,'CP FACTORS'!$A$3:$B$38, 2, FALSE)</f>
        <v>1.899635E-4</v>
      </c>
      <c r="K1153" s="124">
        <f t="shared" ref="K1153:K1154" si="169">((F1189-F1214)*$F$1226*$F$1217*(1-$F$1219)*($F$1220*$F$1222)/1000)</f>
        <v>3.7791512068461839</v>
      </c>
      <c r="L1153" s="1423">
        <f t="shared" ref="L1153:L1154" si="170">((F1189-F1214)*(1-$F$1226)*$F$1217*(1-$F$1219)*($F$1223*$F$1225)/1000)</f>
        <v>0</v>
      </c>
      <c r="M1153" s="90">
        <f t="shared" ref="M1153:M1155" si="171">ROUND(((K1153/F1153)*H1153+(L1153/F1153)*J1153)*F1153,6)</f>
        <v>5.6400000000000005E-4</v>
      </c>
      <c r="N1153" s="124">
        <v>19</v>
      </c>
      <c r="O1153" s="124">
        <f t="shared" si="154"/>
        <v>5.9683676514473287</v>
      </c>
      <c r="P1153" s="940">
        <f t="shared" ref="P1153:Q1153" si="172">F1258</f>
        <v>7</v>
      </c>
      <c r="Q1153" s="941">
        <f t="shared" si="172"/>
        <v>3.27</v>
      </c>
      <c r="R1153" s="395" t="s">
        <v>184</v>
      </c>
      <c r="S1153" s="756"/>
      <c r="T1153" s="756"/>
      <c r="U1153" s="756"/>
      <c r="V1153" s="1589" t="str">
        <f t="shared" si="162"/>
        <v>kWh Annual Savings</v>
      </c>
      <c r="W1153" s="890"/>
      <c r="X1153" s="938"/>
      <c r="Y1153" s="322"/>
      <c r="Z1153" s="49"/>
      <c r="AA1153" s="49"/>
      <c r="AB1153" s="952"/>
      <c r="AC1153" s="99">
        <v>3.78</v>
      </c>
      <c r="AD1153" s="89">
        <v>3.78</v>
      </c>
      <c r="AE1153" s="851"/>
      <c r="AF1153" s="851"/>
      <c r="AG1153" s="851"/>
      <c r="AH1153" s="344"/>
      <c r="AK1153" s="853"/>
      <c r="BB1153" s="857">
        <f t="shared" ref="BB1153:BB1154" si="173">(BD1153)/(BE1153)</f>
        <v>0.32479750630474991</v>
      </c>
      <c r="BC1153" s="1580" t="str">
        <f t="shared" ref="BC1153:BC1154" si="174">CONCATENATE(G1153," ",N1153," Year EUL")</f>
        <v>Lighting RES 19 Year EUL</v>
      </c>
      <c r="BD1153" s="98">
        <f>(INDEX('Avoided Cost Benefits'!$E$4:$E$859,MATCH(BC1153,'Avoided Cost Benefits'!$A$4:$A$859,0)))*F1153</f>
        <v>2.1459014102248695</v>
      </c>
      <c r="BE1153" s="858">
        <f t="shared" ref="BE1153:BE1154" si="175">P1153/(1.0595^(2020-2019))</f>
        <v>6.6068900424728643</v>
      </c>
    </row>
    <row r="1154" spans="1:57" s="741" customFormat="1" x14ac:dyDescent="0.35">
      <c r="A1154" s="106"/>
      <c r="B1154" s="106"/>
      <c r="C1154" s="50" t="s">
        <v>2004</v>
      </c>
      <c r="D1154" s="301" t="s">
        <v>2002</v>
      </c>
      <c r="E1154" s="2352" t="s">
        <v>4335</v>
      </c>
      <c r="F1154" s="124">
        <f>ROUND(K1154+L1154,2)</f>
        <v>15.07</v>
      </c>
      <c r="G1154" s="939" t="s">
        <v>53</v>
      </c>
      <c r="H1154" s="136">
        <f>VLOOKUP(G1154,'CP FACTORS'!$A$3:$B$38, 2, FALSE)</f>
        <v>1.4925290000000001E-4</v>
      </c>
      <c r="I1154" s="939" t="s">
        <v>54</v>
      </c>
      <c r="J1154" s="136">
        <f>VLOOKUP(I1154,'CP FACTORS'!$A$3:$B$38, 2, FALSE)</f>
        <v>1.899635E-4</v>
      </c>
      <c r="K1154" s="124">
        <f t="shared" si="169"/>
        <v>15.07291521805703</v>
      </c>
      <c r="L1154" s="1423">
        <f t="shared" si="170"/>
        <v>0</v>
      </c>
      <c r="M1154" s="90">
        <f t="shared" si="171"/>
        <v>2.2499999999999998E-3</v>
      </c>
      <c r="N1154" s="124">
        <v>19</v>
      </c>
      <c r="O1154" s="124">
        <f t="shared" si="154"/>
        <v>5.9683676514473287</v>
      </c>
      <c r="P1154" s="940">
        <f t="shared" ref="P1154:Q1154" si="176">F1259</f>
        <v>6</v>
      </c>
      <c r="Q1154" s="941">
        <f t="shared" si="176"/>
        <v>3.68</v>
      </c>
      <c r="R1154" s="395" t="s">
        <v>184</v>
      </c>
      <c r="S1154" s="756"/>
      <c r="T1154" s="756"/>
      <c r="U1154" s="756"/>
      <c r="V1154" s="1592" t="str">
        <f t="shared" si="162"/>
        <v>kWh Annual Savings</v>
      </c>
      <c r="W1154" s="890"/>
      <c r="X1154" s="938"/>
      <c r="Y1154" s="322"/>
      <c r="Z1154" s="49"/>
      <c r="AA1154" s="49"/>
      <c r="AB1154" s="322">
        <v>15.07</v>
      </c>
      <c r="AC1154" s="89">
        <v>15.07</v>
      </c>
      <c r="AD1154" s="89">
        <v>15.07</v>
      </c>
      <c r="AE1154" s="851"/>
      <c r="AF1154" s="851"/>
      <c r="AG1154" s="851"/>
      <c r="AH1154" s="344"/>
      <c r="AK1154" s="853"/>
      <c r="BB1154" s="857">
        <f t="shared" si="173"/>
        <v>1.5107093888927721</v>
      </c>
      <c r="BC1154" s="1580" t="str">
        <f t="shared" si="174"/>
        <v>Lighting RES 19 Year EUL</v>
      </c>
      <c r="BD1154" s="98">
        <f>(INDEX('Avoided Cost Benefits'!$E$4:$E$859,MATCH(BC1154,'Avoided Cost Benefits'!$A$4:$A$859,0)))*F1154</f>
        <v>8.5552207016107893</v>
      </c>
      <c r="BE1154" s="858">
        <f t="shared" si="175"/>
        <v>5.6630486078338835</v>
      </c>
    </row>
    <row r="1155" spans="1:57" s="741" customFormat="1" x14ac:dyDescent="0.35">
      <c r="A1155" s="106"/>
      <c r="B1155" s="106"/>
      <c r="C1155" s="50" t="s">
        <v>4220</v>
      </c>
      <c r="D1155" s="301" t="s">
        <v>2002</v>
      </c>
      <c r="E1155" s="2352" t="s">
        <v>104</v>
      </c>
      <c r="F1155" s="89">
        <f t="shared" si="158"/>
        <v>28.53</v>
      </c>
      <c r="G1155" s="939" t="s">
        <v>53</v>
      </c>
      <c r="H1155" s="136">
        <f>VLOOKUP(G1155,'CP FACTORS'!$A$3:$B$38, 2, FALSE)</f>
        <v>1.4925290000000001E-4</v>
      </c>
      <c r="I1155" s="939" t="s">
        <v>54</v>
      </c>
      <c r="J1155" s="136">
        <f>VLOOKUP(I1155,'CP FACTORS'!$A$3:$B$38, 2, FALSE)</f>
        <v>1.899635E-4</v>
      </c>
      <c r="K1155" s="124">
        <f>((F1191-F1216)*$F$1226*$F$1217*(1-$F$1219)*($F$1221*$F$1222)/1000)</f>
        <v>28.526284813109683</v>
      </c>
      <c r="L1155" s="1423">
        <f>((F1191-F1216)*(1-$F$1226)*$F$1217*(1-$F$1219)*($F$1224*$F$1225)/1000)</f>
        <v>0</v>
      </c>
      <c r="M1155" s="90">
        <f t="shared" si="171"/>
        <v>4.2579999999999996E-3</v>
      </c>
      <c r="N1155" s="124">
        <v>19</v>
      </c>
      <c r="O1155" s="124">
        <f t="shared" si="154"/>
        <v>5.9683676514473287</v>
      </c>
      <c r="P1155" s="940">
        <f t="shared" ref="P1155:Q1155" si="177">F1260</f>
        <v>6</v>
      </c>
      <c r="Q1155" s="941">
        <f t="shared" si="177"/>
        <v>3.68</v>
      </c>
      <c r="R1155" s="395" t="s">
        <v>184</v>
      </c>
      <c r="S1155" s="756"/>
      <c r="T1155" s="756"/>
      <c r="U1155" s="756"/>
      <c r="V1155" s="1589" t="str">
        <f t="shared" si="162"/>
        <v>kWh Annual Savings</v>
      </c>
      <c r="W1155" s="890"/>
      <c r="X1155" s="938"/>
      <c r="Y1155" s="322"/>
      <c r="Z1155" s="49"/>
      <c r="AA1155" s="49"/>
      <c r="AB1155" s="322"/>
      <c r="AC1155" s="99">
        <v>28.53</v>
      </c>
      <c r="AD1155" s="89">
        <v>28.53</v>
      </c>
      <c r="AE1155" s="851"/>
      <c r="AF1155" s="851"/>
      <c r="AG1155" s="851"/>
      <c r="AH1155" s="344"/>
      <c r="AK1155" s="853"/>
      <c r="BB1155" s="859">
        <f t="shared" ref="BB1155" si="178">(BD1155)/(BE1155)</f>
        <v>2.8600224860723813</v>
      </c>
      <c r="BC1155" s="1580" t="str">
        <f t="shared" ref="BC1155" si="179">CONCATENATE(G1155," ",N1155," Year EUL")</f>
        <v>Lighting RES 19 Year EUL</v>
      </c>
      <c r="BD1155" s="102">
        <f>(INDEX('Avoided Cost Benefits'!$E$4:$E$859,MATCH(BC1155,'Avoided Cost Benefits'!$A$4:$A$859,0)))*F1155</f>
        <v>16.196446358125801</v>
      </c>
      <c r="BE1155" s="860">
        <f t="shared" ref="BE1155" si="180">P1155/(1.0595^(2020-2019))</f>
        <v>5.6630486078338835</v>
      </c>
    </row>
    <row r="1156" spans="1:57" s="741" customFormat="1" x14ac:dyDescent="0.35">
      <c r="A1156" s="106"/>
      <c r="B1156" s="106"/>
      <c r="C1156" s="103"/>
      <c r="D1156" s="942"/>
      <c r="E1156" s="945"/>
      <c r="F1156" s="944"/>
      <c r="G1156" s="943"/>
      <c r="H1156" s="1235"/>
      <c r="I1156" s="943"/>
      <c r="J1156" s="1235"/>
      <c r="K1156" s="944"/>
      <c r="L1156" s="1424"/>
      <c r="M1156" s="947"/>
      <c r="N1156" s="1425"/>
      <c r="O1156" s="1425"/>
      <c r="P1156" s="1426"/>
      <c r="Q1156" s="1426"/>
      <c r="R1156" s="106"/>
      <c r="S1156" s="756"/>
      <c r="T1156" s="756"/>
      <c r="U1156" s="756"/>
      <c r="V1156" s="196"/>
      <c r="W1156" s="196"/>
      <c r="X1156" s="196"/>
      <c r="Y1156" s="528"/>
      <c r="Z1156" s="196"/>
      <c r="AA1156" s="196"/>
      <c r="AB1156" s="196"/>
      <c r="AC1156" s="196"/>
      <c r="AD1156" s="196"/>
      <c r="AE1156" s="196"/>
      <c r="AF1156" s="196"/>
      <c r="AG1156" s="196"/>
      <c r="AK1156" s="732"/>
      <c r="BB1156" s="726"/>
      <c r="BC1156" s="196"/>
      <c r="BD1156" s="196"/>
      <c r="BE1156" s="196"/>
    </row>
    <row r="1157" spans="1:57" hidden="1" outlineLevel="1" x14ac:dyDescent="0.35">
      <c r="B1157" s="106"/>
      <c r="C1157" s="103"/>
      <c r="D1157" s="945"/>
      <c r="E1157" s="945"/>
      <c r="F1157" s="469"/>
      <c r="G1157" s="946"/>
      <c r="H1157" s="1427"/>
      <c r="I1157" s="452"/>
      <c r="J1157" s="1425"/>
      <c r="K1157" s="947"/>
      <c r="L1157" s="106"/>
      <c r="M1157" s="106"/>
      <c r="N1157" s="106"/>
      <c r="AH1157" s="741"/>
      <c r="AI1157" s="741"/>
      <c r="AJ1157" s="741"/>
      <c r="AK1157" s="732"/>
      <c r="AL1157" s="741"/>
    </row>
    <row r="1158" spans="1:57" hidden="1" outlineLevel="1" x14ac:dyDescent="0.35">
      <c r="B1158" s="106"/>
      <c r="C1158" s="103"/>
      <c r="D1158" s="152" t="s">
        <v>107</v>
      </c>
      <c r="E1158" s="690"/>
      <c r="F1158" s="452"/>
      <c r="G1158" s="452"/>
      <c r="H1158" s="452"/>
      <c r="I1158" s="452"/>
      <c r="J1158" s="1425"/>
      <c r="K1158" s="947"/>
      <c r="L1158" s="106"/>
      <c r="M1158" s="106"/>
      <c r="N1158" s="106"/>
      <c r="V1158" s="196" t="str">
        <f>IF(C1156&gt;0,C1156," ")</f>
        <v xml:space="preserve"> </v>
      </c>
      <c r="AH1158" s="741"/>
      <c r="AI1158" s="741"/>
      <c r="AK1158" s="732"/>
    </row>
    <row r="1159" spans="1:57" hidden="1" outlineLevel="1" x14ac:dyDescent="0.35">
      <c r="B1159" s="106"/>
      <c r="C1159" s="103"/>
      <c r="D1159" s="292"/>
      <c r="E1159" s="292"/>
      <c r="F1159" s="106"/>
      <c r="G1159" s="106"/>
      <c r="H1159" s="106"/>
      <c r="I1159" s="106"/>
      <c r="J1159" s="1425"/>
      <c r="K1159" s="947"/>
      <c r="L1159" s="106"/>
      <c r="M1159" s="106"/>
      <c r="N1159" s="106"/>
      <c r="V1159" s="196" t="str">
        <f>IF(C1157&gt;0,C1157," ")</f>
        <v xml:space="preserve"> </v>
      </c>
      <c r="AK1159" s="732"/>
    </row>
    <row r="1160" spans="1:57" hidden="1" outlineLevel="1" x14ac:dyDescent="0.35">
      <c r="B1160" s="106"/>
      <c r="C1160" s="103"/>
      <c r="D1160" s="292"/>
      <c r="E1160" s="292"/>
      <c r="F1160" s="106"/>
      <c r="G1160" s="106"/>
      <c r="H1160" s="106"/>
      <c r="I1160" s="106"/>
      <c r="J1160" s="1425"/>
      <c r="K1160" s="947"/>
      <c r="L1160" s="106"/>
      <c r="M1160" s="106"/>
      <c r="N1160" s="106"/>
      <c r="AK1160" s="732"/>
    </row>
    <row r="1161" spans="1:57" hidden="1" outlineLevel="1" x14ac:dyDescent="0.35">
      <c r="B1161" s="106"/>
      <c r="C1161" s="103"/>
      <c r="D1161" s="292"/>
      <c r="E1161" s="292"/>
      <c r="F1161" s="106"/>
      <c r="G1161" s="106"/>
      <c r="H1161" s="106"/>
      <c r="I1161" s="106"/>
      <c r="J1161" s="1425"/>
      <c r="K1161" s="947"/>
      <c r="L1161" s="106"/>
      <c r="M1161" s="106"/>
      <c r="N1161" s="106"/>
      <c r="AK1161" s="732"/>
    </row>
    <row r="1162" spans="1:57" hidden="1" outlineLevel="1" x14ac:dyDescent="0.35">
      <c r="B1162" s="106"/>
      <c r="C1162" s="103"/>
      <c r="D1162" s="292"/>
      <c r="E1162" s="292"/>
      <c r="F1162" s="106"/>
      <c r="G1162" s="106"/>
      <c r="H1162" s="106"/>
      <c r="I1162" s="106"/>
      <c r="J1162" s="1425"/>
      <c r="K1162" s="947"/>
      <c r="L1162" s="106"/>
      <c r="M1162" s="106"/>
      <c r="N1162" s="106"/>
      <c r="AK1162" s="732"/>
    </row>
    <row r="1163" spans="1:57" hidden="1" outlineLevel="1" x14ac:dyDescent="0.35">
      <c r="B1163" s="106"/>
      <c r="C1163" s="103"/>
      <c r="D1163" s="292"/>
      <c r="E1163" s="292"/>
      <c r="F1163" s="106"/>
      <c r="G1163" s="106"/>
      <c r="H1163" s="106"/>
      <c r="I1163" s="106"/>
      <c r="J1163" s="1425"/>
      <c r="K1163" s="947"/>
      <c r="L1163" s="106"/>
      <c r="M1163" s="106"/>
      <c r="N1163" s="106"/>
      <c r="AK1163" s="732"/>
    </row>
    <row r="1164" spans="1:57" hidden="1" outlineLevel="1" x14ac:dyDescent="0.35">
      <c r="B1164" s="106"/>
      <c r="C1164" s="103"/>
      <c r="D1164" s="292"/>
      <c r="E1164" s="292"/>
      <c r="F1164" s="106"/>
      <c r="G1164" s="106"/>
      <c r="H1164" s="106"/>
      <c r="I1164" s="106"/>
      <c r="J1164" s="1425"/>
      <c r="K1164" s="947"/>
      <c r="L1164" s="106"/>
      <c r="M1164" s="106"/>
      <c r="N1164" s="106"/>
      <c r="AK1164" s="732"/>
    </row>
    <row r="1165" spans="1:57" hidden="1" outlineLevel="1" x14ac:dyDescent="0.35">
      <c r="B1165" s="106"/>
      <c r="C1165" s="103"/>
      <c r="D1165" s="292"/>
      <c r="E1165" s="292"/>
      <c r="F1165" s="106"/>
      <c r="G1165" s="106"/>
      <c r="H1165" s="106"/>
      <c r="I1165" s="106"/>
      <c r="J1165" s="1425"/>
      <c r="K1165" s="947"/>
      <c r="L1165" s="106"/>
      <c r="M1165" s="106"/>
      <c r="N1165" s="106"/>
      <c r="AK1165" s="732"/>
    </row>
    <row r="1166" spans="1:57" hidden="1" outlineLevel="1" x14ac:dyDescent="0.35">
      <c r="A1166" s="106"/>
      <c r="B1166" s="106"/>
      <c r="C1166" s="948"/>
      <c r="D1166" s="949" t="s">
        <v>109</v>
      </c>
      <c r="E1166" s="949" t="s">
        <v>110</v>
      </c>
      <c r="F1166" s="4414" t="s">
        <v>111</v>
      </c>
      <c r="G1166" s="3813"/>
      <c r="H1166" s="4414" t="s">
        <v>112</v>
      </c>
      <c r="I1166" s="3813"/>
      <c r="J1166" s="106"/>
      <c r="K1166" s="106"/>
      <c r="L1166" s="106"/>
      <c r="M1166" s="106"/>
      <c r="N1166" s="106"/>
      <c r="V1166" s="1572" t="s">
        <v>44</v>
      </c>
      <c r="W1166" s="1573">
        <f>$W$6</f>
        <v>43252</v>
      </c>
      <c r="X1166" s="1573">
        <f>$X$6</f>
        <v>43465</v>
      </c>
      <c r="Y1166" s="316">
        <f>$Y$6</f>
        <v>43800</v>
      </c>
      <c r="Z1166" s="1573">
        <f>$Z$6</f>
        <v>43862</v>
      </c>
      <c r="AA1166" s="1573">
        <f>$AA$6</f>
        <v>44013</v>
      </c>
      <c r="AB1166" s="1573">
        <f>$AB$6</f>
        <v>44166</v>
      </c>
      <c r="AC1166" s="1573">
        <f>$AC$6</f>
        <v>44531</v>
      </c>
      <c r="AD1166" s="1573">
        <f>$AD$6</f>
        <v>44774</v>
      </c>
      <c r="AE1166" s="1573" t="str">
        <f>$AE$6</f>
        <v>-</v>
      </c>
      <c r="AF1166" s="1573" t="str">
        <f>$AF$6</f>
        <v>-</v>
      </c>
      <c r="AG1166" s="1573" t="str">
        <f>$AG$6</f>
        <v>-</v>
      </c>
      <c r="AK1166" s="732"/>
    </row>
    <row r="1167" spans="1:57" ht="15" hidden="1" customHeight="1" outlineLevel="1" x14ac:dyDescent="0.35">
      <c r="A1167" s="106"/>
      <c r="B1167" s="106"/>
      <c r="C1167" s="948"/>
      <c r="D1167" s="4230" t="s">
        <v>2006</v>
      </c>
      <c r="E1167" s="2352" t="s">
        <v>4313</v>
      </c>
      <c r="F1167" s="52">
        <v>43</v>
      </c>
      <c r="G1167" s="49"/>
      <c r="H1167" s="3678" t="s">
        <v>520</v>
      </c>
      <c r="I1167" s="4234"/>
      <c r="J1167" s="106"/>
      <c r="K1167" s="106"/>
      <c r="L1167" s="106"/>
      <c r="M1167" s="106"/>
      <c r="N1167" s="106"/>
      <c r="V1167" s="4229" t="s">
        <v>2006</v>
      </c>
      <c r="W1167" s="952">
        <v>43</v>
      </c>
      <c r="X1167" s="322">
        <v>43</v>
      </c>
      <c r="Y1167" s="52">
        <v>43</v>
      </c>
      <c r="Z1167" s="52">
        <v>43</v>
      </c>
      <c r="AA1167" s="52">
        <v>43</v>
      </c>
      <c r="AB1167" s="52">
        <v>43</v>
      </c>
      <c r="AC1167" s="52">
        <v>43</v>
      </c>
      <c r="AD1167" s="52">
        <v>43</v>
      </c>
      <c r="AE1167" s="483"/>
      <c r="AF1167" s="483"/>
      <c r="AG1167" s="483"/>
      <c r="AK1167" s="732"/>
    </row>
    <row r="1168" spans="1:57" ht="15" hidden="1" customHeight="1" outlineLevel="1" x14ac:dyDescent="0.35">
      <c r="A1168" s="106"/>
      <c r="B1168" s="106"/>
      <c r="C1168" s="948"/>
      <c r="D1168" s="4231"/>
      <c r="E1168" s="2352" t="s">
        <v>4314</v>
      </c>
      <c r="F1168" s="52">
        <v>43</v>
      </c>
      <c r="G1168" s="49"/>
      <c r="H1168" s="3678" t="s">
        <v>2007</v>
      </c>
      <c r="I1168" s="4234"/>
      <c r="J1168" s="106"/>
      <c r="K1168" s="106"/>
      <c r="L1168" s="106"/>
      <c r="M1168" s="106"/>
      <c r="N1168" s="106"/>
      <c r="V1168" s="3669"/>
      <c r="W1168" s="952">
        <v>41.32</v>
      </c>
      <c r="X1168" s="952">
        <v>41.32</v>
      </c>
      <c r="Y1168" s="953">
        <v>41.32</v>
      </c>
      <c r="Z1168" s="953">
        <v>41.32</v>
      </c>
      <c r="AA1168" s="953">
        <v>41.32</v>
      </c>
      <c r="AB1168" s="478">
        <v>43</v>
      </c>
      <c r="AC1168" s="52">
        <v>43</v>
      </c>
      <c r="AD1168" s="52">
        <v>43</v>
      </c>
      <c r="AE1168" s="748"/>
      <c r="AF1168" s="748"/>
      <c r="AG1168" s="748"/>
      <c r="AK1168" s="732"/>
    </row>
    <row r="1169" spans="1:37" hidden="1" outlineLevel="1" x14ac:dyDescent="0.35">
      <c r="A1169" s="106"/>
      <c r="B1169" s="106"/>
      <c r="C1169" s="948"/>
      <c r="D1169" s="4231"/>
      <c r="E1169" s="2352" t="s">
        <v>4315</v>
      </c>
      <c r="F1169" s="52">
        <v>44.25</v>
      </c>
      <c r="G1169" s="49"/>
      <c r="H1169" s="3678" t="s">
        <v>520</v>
      </c>
      <c r="I1169" s="4234"/>
      <c r="J1169" s="106"/>
      <c r="K1169" s="106"/>
      <c r="L1169" s="106"/>
      <c r="M1169" s="106"/>
      <c r="N1169" s="106"/>
      <c r="V1169" s="3669"/>
      <c r="W1169" s="952">
        <v>53</v>
      </c>
      <c r="X1169" s="322">
        <v>44.25</v>
      </c>
      <c r="Y1169" s="953">
        <v>44.25</v>
      </c>
      <c r="Z1169" s="953">
        <v>44.25</v>
      </c>
      <c r="AA1169" s="953">
        <v>44.25</v>
      </c>
      <c r="AB1169" s="52">
        <v>44.25</v>
      </c>
      <c r="AC1169" s="52">
        <v>44.25</v>
      </c>
      <c r="AD1169" s="52">
        <v>44.25</v>
      </c>
      <c r="AE1169" s="748"/>
      <c r="AF1169" s="748"/>
      <c r="AG1169" s="748"/>
      <c r="AK1169" s="732"/>
    </row>
    <row r="1170" spans="1:37" ht="15" hidden="1" customHeight="1" outlineLevel="1" x14ac:dyDescent="0.35">
      <c r="A1170" s="106"/>
      <c r="B1170" s="106"/>
      <c r="C1170" s="948"/>
      <c r="D1170" s="4231"/>
      <c r="E1170" s="2352" t="s">
        <v>4316</v>
      </c>
      <c r="F1170" s="52">
        <v>53</v>
      </c>
      <c r="G1170" s="49"/>
      <c r="H1170" s="3678" t="s">
        <v>520</v>
      </c>
      <c r="I1170" s="4234"/>
      <c r="J1170" s="106"/>
      <c r="K1170" s="106"/>
      <c r="L1170" s="106"/>
      <c r="M1170" s="106"/>
      <c r="N1170" s="106"/>
      <c r="V1170" s="3669"/>
      <c r="W1170" s="952">
        <v>76.25</v>
      </c>
      <c r="X1170" s="954">
        <v>76.25</v>
      </c>
      <c r="Y1170" s="478">
        <v>53</v>
      </c>
      <c r="Z1170" s="52">
        <v>53</v>
      </c>
      <c r="AA1170" s="52">
        <v>53</v>
      </c>
      <c r="AB1170" s="52">
        <v>53</v>
      </c>
      <c r="AC1170" s="52">
        <v>53</v>
      </c>
      <c r="AD1170" s="52">
        <v>53</v>
      </c>
      <c r="AE1170" s="748"/>
      <c r="AF1170" s="748"/>
      <c r="AG1170" s="748"/>
      <c r="AK1170" s="732"/>
    </row>
    <row r="1171" spans="1:37" ht="15" hidden="1" customHeight="1" outlineLevel="1" x14ac:dyDescent="0.35">
      <c r="A1171" s="106"/>
      <c r="B1171" s="106"/>
      <c r="C1171" s="948"/>
      <c r="D1171" s="4231"/>
      <c r="E1171" s="2352" t="s">
        <v>4317</v>
      </c>
      <c r="F1171" s="52">
        <v>53</v>
      </c>
      <c r="G1171" s="49"/>
      <c r="H1171" s="3678" t="s">
        <v>2008</v>
      </c>
      <c r="I1171" s="4234"/>
      <c r="J1171" s="106"/>
      <c r="K1171" s="106"/>
      <c r="L1171" s="106"/>
      <c r="M1171" s="106"/>
      <c r="N1171" s="106"/>
      <c r="V1171" s="3669"/>
      <c r="W1171" s="49">
        <v>53</v>
      </c>
      <c r="X1171" s="49">
        <v>53</v>
      </c>
      <c r="Y1171" s="955">
        <v>53</v>
      </c>
      <c r="Z1171" s="953">
        <v>53</v>
      </c>
      <c r="AA1171" s="953">
        <v>53</v>
      </c>
      <c r="AB1171" s="52">
        <v>53</v>
      </c>
      <c r="AC1171" s="52">
        <v>53</v>
      </c>
      <c r="AD1171" s="52">
        <v>53</v>
      </c>
      <c r="AE1171" s="748"/>
      <c r="AF1171" s="748"/>
      <c r="AG1171" s="748"/>
      <c r="AK1171" s="732"/>
    </row>
    <row r="1172" spans="1:37" ht="15" hidden="1" customHeight="1" outlineLevel="1" x14ac:dyDescent="0.35">
      <c r="A1172" s="106"/>
      <c r="B1172" s="106"/>
      <c r="C1172" s="948"/>
      <c r="D1172" s="4231"/>
      <c r="E1172" s="2352" t="s">
        <v>4318</v>
      </c>
      <c r="F1172" s="52">
        <v>65</v>
      </c>
      <c r="G1172" s="49"/>
      <c r="H1172" s="3678" t="s">
        <v>2009</v>
      </c>
      <c r="I1172" s="3678"/>
      <c r="J1172" s="106"/>
      <c r="K1172" s="106"/>
      <c r="L1172" s="106"/>
      <c r="M1172" s="106"/>
      <c r="N1172" s="106"/>
      <c r="V1172" s="3669"/>
      <c r="W1172" s="952"/>
      <c r="X1172" s="322"/>
      <c r="Y1172" s="52"/>
      <c r="Z1172" s="52"/>
      <c r="AA1172" s="52"/>
      <c r="AB1172" s="478">
        <v>65</v>
      </c>
      <c r="AC1172" s="52">
        <v>65</v>
      </c>
      <c r="AD1172" s="52">
        <v>65</v>
      </c>
      <c r="AE1172" s="748"/>
      <c r="AF1172" s="748"/>
      <c r="AG1172" s="748"/>
      <c r="AK1172" s="732"/>
    </row>
    <row r="1173" spans="1:37" ht="15" hidden="1" customHeight="1" outlineLevel="1" x14ac:dyDescent="0.35">
      <c r="A1173" s="106"/>
      <c r="B1173" s="106"/>
      <c r="C1173" s="948"/>
      <c r="D1173" s="4231"/>
      <c r="E1173" s="2352" t="s">
        <v>4319</v>
      </c>
      <c r="F1173" s="52">
        <v>55</v>
      </c>
      <c r="G1173" s="49"/>
      <c r="H1173" s="3678" t="s">
        <v>520</v>
      </c>
      <c r="I1173" s="4234"/>
      <c r="J1173" s="106"/>
      <c r="K1173" s="106"/>
      <c r="L1173" s="106"/>
      <c r="M1173" s="106"/>
      <c r="N1173" s="106"/>
      <c r="V1173" s="3669"/>
      <c r="W1173" s="952">
        <v>62.1</v>
      </c>
      <c r="X1173" s="322">
        <v>55</v>
      </c>
      <c r="Y1173" s="52">
        <v>55</v>
      </c>
      <c r="Z1173" s="52">
        <v>55</v>
      </c>
      <c r="AA1173" s="52">
        <v>55</v>
      </c>
      <c r="AB1173" s="52">
        <v>55</v>
      </c>
      <c r="AC1173" s="52">
        <v>55</v>
      </c>
      <c r="AD1173" s="52">
        <v>55</v>
      </c>
      <c r="AE1173" s="748"/>
      <c r="AF1173" s="748"/>
      <c r="AG1173" s="748"/>
      <c r="AK1173" s="732"/>
    </row>
    <row r="1174" spans="1:37" ht="15" hidden="1" customHeight="1" outlineLevel="1" x14ac:dyDescent="0.35">
      <c r="A1174" s="106"/>
      <c r="B1174" s="106"/>
      <c r="C1174" s="948"/>
      <c r="D1174" s="4231"/>
      <c r="E1174" s="2352" t="s">
        <v>4320</v>
      </c>
      <c r="F1174" s="52">
        <v>70</v>
      </c>
      <c r="G1174" s="49"/>
      <c r="H1174" s="3678" t="s">
        <v>2010</v>
      </c>
      <c r="I1174" s="4234"/>
      <c r="J1174" s="106"/>
      <c r="K1174" s="106"/>
      <c r="L1174" s="106"/>
      <c r="M1174" s="106"/>
      <c r="N1174" s="106"/>
      <c r="V1174" s="3669"/>
      <c r="W1174" s="952">
        <v>100</v>
      </c>
      <c r="X1174" s="322">
        <v>70</v>
      </c>
      <c r="Y1174" s="953">
        <v>70</v>
      </c>
      <c r="Z1174" s="953">
        <v>70</v>
      </c>
      <c r="AA1174" s="953">
        <v>70</v>
      </c>
      <c r="AB1174" s="52">
        <v>70</v>
      </c>
      <c r="AC1174" s="52">
        <v>70</v>
      </c>
      <c r="AD1174" s="52">
        <v>70</v>
      </c>
      <c r="AE1174" s="748"/>
      <c r="AF1174" s="748"/>
      <c r="AG1174" s="748"/>
      <c r="AK1174" s="732"/>
    </row>
    <row r="1175" spans="1:37" ht="15" hidden="1" customHeight="1" outlineLevel="1" x14ac:dyDescent="0.35">
      <c r="A1175" s="106"/>
      <c r="B1175" s="106"/>
      <c r="C1175" s="948"/>
      <c r="D1175" s="4231"/>
      <c r="E1175" s="2352" t="s">
        <v>4321</v>
      </c>
      <c r="F1175" s="52">
        <v>72</v>
      </c>
      <c r="G1175" s="49"/>
      <c r="H1175" s="3678" t="s">
        <v>2008</v>
      </c>
      <c r="I1175" s="4234"/>
      <c r="J1175" s="106"/>
      <c r="K1175" s="106"/>
      <c r="L1175" s="106"/>
      <c r="M1175" s="106"/>
      <c r="N1175" s="106"/>
      <c r="V1175" s="3669"/>
      <c r="W1175" s="952">
        <v>72</v>
      </c>
      <c r="X1175" s="952">
        <v>72</v>
      </c>
      <c r="Y1175" s="953">
        <v>72</v>
      </c>
      <c r="Z1175" s="953">
        <v>72</v>
      </c>
      <c r="AA1175" s="953">
        <v>72</v>
      </c>
      <c r="AB1175" s="52">
        <v>72</v>
      </c>
      <c r="AC1175" s="52">
        <v>72</v>
      </c>
      <c r="AD1175" s="52">
        <v>72</v>
      </c>
      <c r="AE1175" s="748"/>
      <c r="AF1175" s="748"/>
      <c r="AG1175" s="748"/>
      <c r="AK1175" s="732"/>
    </row>
    <row r="1176" spans="1:37" ht="15" hidden="1" customHeight="1" outlineLevel="1" x14ac:dyDescent="0.35">
      <c r="A1176" s="106"/>
      <c r="B1176" s="106"/>
      <c r="C1176" s="948"/>
      <c r="D1176" s="4231"/>
      <c r="E1176" s="2352" t="s">
        <v>4322</v>
      </c>
      <c r="F1176" s="52">
        <v>40.409999999999997</v>
      </c>
      <c r="G1176" s="49"/>
      <c r="H1176" s="3678" t="s">
        <v>122</v>
      </c>
      <c r="I1176" s="4234"/>
      <c r="J1176" s="106"/>
      <c r="K1176" s="106"/>
      <c r="L1176" s="106"/>
      <c r="M1176" s="106"/>
      <c r="N1176" s="106"/>
      <c r="V1176" s="3669"/>
      <c r="W1176" s="954">
        <v>40.409999999999997</v>
      </c>
      <c r="X1176" s="954">
        <v>40.409999999999997</v>
      </c>
      <c r="Y1176" s="953">
        <v>40.409999999999997</v>
      </c>
      <c r="Z1176" s="953">
        <v>40.409999999999997</v>
      </c>
      <c r="AA1176" s="953">
        <v>40.409999999999997</v>
      </c>
      <c r="AB1176" s="52">
        <v>40.409999999999997</v>
      </c>
      <c r="AC1176" s="52">
        <v>40.409999999999997</v>
      </c>
      <c r="AD1176" s="52">
        <v>40.409999999999997</v>
      </c>
      <c r="AE1176" s="748"/>
      <c r="AF1176" s="748"/>
      <c r="AG1176" s="748"/>
      <c r="AK1176" s="732"/>
    </row>
    <row r="1177" spans="1:37" hidden="1" outlineLevel="1" x14ac:dyDescent="0.35">
      <c r="A1177" s="106"/>
      <c r="B1177" s="106"/>
      <c r="C1177" s="948"/>
      <c r="D1177" s="4231"/>
      <c r="E1177" s="2352" t="s">
        <v>4323</v>
      </c>
      <c r="F1177" s="52">
        <v>9</v>
      </c>
      <c r="G1177" s="49"/>
      <c r="H1177" s="3678" t="s">
        <v>124</v>
      </c>
      <c r="I1177" s="4234"/>
      <c r="J1177" s="106"/>
      <c r="K1177" s="106"/>
      <c r="L1177" s="106"/>
      <c r="M1177" s="106"/>
      <c r="N1177" s="106"/>
      <c r="V1177" s="3669"/>
      <c r="W1177" s="954">
        <v>9</v>
      </c>
      <c r="X1177" s="954">
        <v>9</v>
      </c>
      <c r="Y1177" s="953">
        <v>9</v>
      </c>
      <c r="Z1177" s="953">
        <v>9</v>
      </c>
      <c r="AA1177" s="953">
        <v>9</v>
      </c>
      <c r="AB1177" s="52">
        <v>9</v>
      </c>
      <c r="AC1177" s="52">
        <v>9</v>
      </c>
      <c r="AD1177" s="52">
        <v>9</v>
      </c>
      <c r="AE1177" s="748"/>
      <c r="AF1177" s="748"/>
      <c r="AG1177" s="748"/>
      <c r="AK1177" s="732"/>
    </row>
    <row r="1178" spans="1:37" hidden="1" outlineLevel="1" x14ac:dyDescent="0.35">
      <c r="A1178" s="106"/>
      <c r="B1178" s="106"/>
      <c r="C1178" s="948"/>
      <c r="D1178" s="4231"/>
      <c r="E1178" s="2352" t="s">
        <v>4324</v>
      </c>
      <c r="F1178" s="52">
        <v>29</v>
      </c>
      <c r="G1178" s="49"/>
      <c r="H1178" s="3678" t="s">
        <v>520</v>
      </c>
      <c r="I1178" s="4234"/>
      <c r="J1178" s="106"/>
      <c r="K1178" s="106"/>
      <c r="L1178" s="106"/>
      <c r="M1178" s="106"/>
      <c r="N1178" s="106"/>
      <c r="V1178" s="3669"/>
      <c r="W1178" s="954">
        <v>42.04</v>
      </c>
      <c r="X1178" s="322">
        <v>29</v>
      </c>
      <c r="Y1178" s="52">
        <v>29</v>
      </c>
      <c r="Z1178" s="52">
        <v>29</v>
      </c>
      <c r="AA1178" s="52">
        <v>29</v>
      </c>
      <c r="AB1178" s="52">
        <v>29</v>
      </c>
      <c r="AC1178" s="52">
        <v>29</v>
      </c>
      <c r="AD1178" s="52">
        <v>29</v>
      </c>
      <c r="AE1178" s="748"/>
      <c r="AF1178" s="748"/>
      <c r="AG1178" s="748"/>
      <c r="AK1178" s="732"/>
    </row>
    <row r="1179" spans="1:37" ht="15" hidden="1" customHeight="1" outlineLevel="1" x14ac:dyDescent="0.35">
      <c r="A1179" s="106"/>
      <c r="B1179" s="106"/>
      <c r="C1179" s="948"/>
      <c r="D1179" s="4231"/>
      <c r="E1179" s="2352" t="s">
        <v>4325</v>
      </c>
      <c r="F1179" s="52">
        <v>11</v>
      </c>
      <c r="G1179" s="49"/>
      <c r="H1179" s="3678" t="s">
        <v>125</v>
      </c>
      <c r="I1179" s="4234"/>
      <c r="J1179" s="106"/>
      <c r="K1179" s="106"/>
      <c r="L1179" s="106"/>
      <c r="M1179" s="106"/>
      <c r="N1179" s="106"/>
      <c r="V1179" s="3669"/>
      <c r="W1179" s="954">
        <v>11</v>
      </c>
      <c r="X1179" s="954">
        <v>11</v>
      </c>
      <c r="Y1179" s="953">
        <v>11</v>
      </c>
      <c r="Z1179" s="953">
        <v>11</v>
      </c>
      <c r="AA1179" s="953">
        <v>11</v>
      </c>
      <c r="AB1179" s="52">
        <v>11</v>
      </c>
      <c r="AC1179" s="52">
        <v>11</v>
      </c>
      <c r="AD1179" s="52">
        <v>11</v>
      </c>
      <c r="AE1179" s="748"/>
      <c r="AF1179" s="748"/>
      <c r="AG1179" s="748"/>
      <c r="AK1179" s="732"/>
    </row>
    <row r="1180" spans="1:37" ht="15" hidden="1" customHeight="1" outlineLevel="1" x14ac:dyDescent="0.35">
      <c r="A1180" s="106"/>
      <c r="B1180" s="106"/>
      <c r="C1180" s="948"/>
      <c r="D1180" s="4231"/>
      <c r="E1180" s="2352" t="s">
        <v>4326</v>
      </c>
      <c r="F1180" s="52">
        <v>13.4</v>
      </c>
      <c r="G1180" s="49"/>
      <c r="H1180" s="3678" t="s">
        <v>116</v>
      </c>
      <c r="I1180" s="4234"/>
      <c r="J1180" s="106"/>
      <c r="K1180" s="106"/>
      <c r="L1180" s="106"/>
      <c r="M1180" s="106"/>
      <c r="N1180" s="106"/>
      <c r="V1180" s="3669"/>
      <c r="W1180" s="954">
        <v>13.4</v>
      </c>
      <c r="X1180" s="954">
        <v>13.4</v>
      </c>
      <c r="Y1180" s="953">
        <v>13.4</v>
      </c>
      <c r="Z1180" s="953">
        <v>13.4</v>
      </c>
      <c r="AA1180" s="953">
        <v>13.4</v>
      </c>
      <c r="AB1180" s="52">
        <v>13.4</v>
      </c>
      <c r="AC1180" s="52">
        <v>13.4</v>
      </c>
      <c r="AD1180" s="52">
        <v>13.4</v>
      </c>
      <c r="AE1180" s="748"/>
      <c r="AF1180" s="748"/>
      <c r="AG1180" s="748"/>
      <c r="AK1180" s="732"/>
    </row>
    <row r="1181" spans="1:37" hidden="1" outlineLevel="1" x14ac:dyDescent="0.35">
      <c r="A1181" s="106"/>
      <c r="B1181" s="106"/>
      <c r="C1181" s="948"/>
      <c r="D1181" s="4231"/>
      <c r="E1181" s="2352" t="s">
        <v>4327</v>
      </c>
      <c r="F1181" s="52">
        <v>21</v>
      </c>
      <c r="G1181" s="49"/>
      <c r="H1181" s="3678"/>
      <c r="I1181" s="4234"/>
      <c r="J1181" s="106"/>
      <c r="K1181" s="106"/>
      <c r="L1181" s="106"/>
      <c r="M1181" s="106"/>
      <c r="N1181" s="106"/>
      <c r="V1181" s="3669"/>
      <c r="W1181" s="954">
        <v>21</v>
      </c>
      <c r="X1181" s="954">
        <v>21</v>
      </c>
      <c r="Y1181" s="953">
        <v>21</v>
      </c>
      <c r="Z1181" s="953">
        <v>21</v>
      </c>
      <c r="AA1181" s="953">
        <v>21</v>
      </c>
      <c r="AB1181" s="52">
        <v>21</v>
      </c>
      <c r="AC1181" s="52">
        <v>21</v>
      </c>
      <c r="AD1181" s="52">
        <v>21</v>
      </c>
      <c r="AE1181" s="748"/>
      <c r="AF1181" s="748"/>
      <c r="AG1181" s="748"/>
      <c r="AK1181" s="732"/>
    </row>
    <row r="1182" spans="1:37" hidden="1" outlineLevel="1" x14ac:dyDescent="0.35">
      <c r="A1182" s="106"/>
      <c r="B1182" s="106"/>
      <c r="C1182" s="948"/>
      <c r="D1182" s="4231"/>
      <c r="E1182" s="2352" t="s">
        <v>4328</v>
      </c>
      <c r="F1182" s="52">
        <v>18</v>
      </c>
      <c r="G1182" s="49"/>
      <c r="H1182" s="3678"/>
      <c r="I1182" s="4234"/>
      <c r="J1182" s="106"/>
      <c r="K1182" s="106"/>
      <c r="L1182" s="106"/>
      <c r="M1182" s="106"/>
      <c r="N1182" s="106"/>
      <c r="V1182" s="3669"/>
      <c r="W1182" s="954">
        <v>18</v>
      </c>
      <c r="X1182" s="954">
        <v>18</v>
      </c>
      <c r="Y1182" s="953">
        <v>18</v>
      </c>
      <c r="Z1182" s="953">
        <v>18</v>
      </c>
      <c r="AA1182" s="953">
        <v>18</v>
      </c>
      <c r="AB1182" s="52">
        <v>18</v>
      </c>
      <c r="AC1182" s="52">
        <v>18</v>
      </c>
      <c r="AD1182" s="52">
        <v>18</v>
      </c>
      <c r="AE1182" s="748"/>
      <c r="AF1182" s="748"/>
      <c r="AG1182" s="748"/>
      <c r="AK1182" s="732"/>
    </row>
    <row r="1183" spans="1:37" hidden="1" outlineLevel="1" x14ac:dyDescent="0.35">
      <c r="A1183" s="106"/>
      <c r="B1183" s="106"/>
      <c r="C1183" s="948"/>
      <c r="D1183" s="4231"/>
      <c r="E1183" s="2352" t="s">
        <v>4329</v>
      </c>
      <c r="F1183" s="52">
        <v>18</v>
      </c>
      <c r="G1183" s="49"/>
      <c r="H1183" s="3678"/>
      <c r="I1183" s="4234"/>
      <c r="J1183" s="106"/>
      <c r="K1183" s="106"/>
      <c r="L1183" s="106"/>
      <c r="M1183" s="106"/>
      <c r="N1183" s="106"/>
      <c r="V1183" s="3669"/>
      <c r="W1183" s="954">
        <v>18</v>
      </c>
      <c r="X1183" s="954">
        <v>18</v>
      </c>
      <c r="Y1183" s="953">
        <v>18</v>
      </c>
      <c r="Z1183" s="953">
        <v>18</v>
      </c>
      <c r="AA1183" s="953">
        <v>18</v>
      </c>
      <c r="AB1183" s="52">
        <v>18</v>
      </c>
      <c r="AC1183" s="52">
        <v>18</v>
      </c>
      <c r="AD1183" s="52">
        <v>18</v>
      </c>
      <c r="AE1183" s="748"/>
      <c r="AF1183" s="748"/>
      <c r="AG1183" s="748"/>
      <c r="AK1183" s="732"/>
    </row>
    <row r="1184" spans="1:37" ht="15" hidden="1" customHeight="1" outlineLevel="1" x14ac:dyDescent="0.35">
      <c r="A1184" s="106"/>
      <c r="B1184" s="106"/>
      <c r="C1184" s="948"/>
      <c r="D1184" s="4231"/>
      <c r="E1184" s="2352" t="s">
        <v>4330</v>
      </c>
      <c r="F1184" s="52">
        <v>18.899999999999999</v>
      </c>
      <c r="G1184" s="49"/>
      <c r="H1184" s="3678" t="s">
        <v>118</v>
      </c>
      <c r="I1184" s="4234"/>
      <c r="J1184" s="106"/>
      <c r="K1184" s="106"/>
      <c r="L1184" s="106"/>
      <c r="M1184" s="106"/>
      <c r="N1184" s="106"/>
      <c r="V1184" s="3669"/>
      <c r="W1184" s="954">
        <v>18.899999999999999</v>
      </c>
      <c r="X1184" s="954">
        <v>18.899999999999999</v>
      </c>
      <c r="Y1184" s="953">
        <v>18.899999999999999</v>
      </c>
      <c r="Z1184" s="953">
        <v>18.899999999999999</v>
      </c>
      <c r="AA1184" s="953">
        <v>18.899999999999999</v>
      </c>
      <c r="AB1184" s="52">
        <v>18.899999999999999</v>
      </c>
      <c r="AC1184" s="52">
        <v>18.899999999999999</v>
      </c>
      <c r="AD1184" s="52">
        <v>18.899999999999999</v>
      </c>
      <c r="AE1184" s="748"/>
      <c r="AF1184" s="748"/>
      <c r="AG1184" s="748"/>
      <c r="AK1184" s="732"/>
    </row>
    <row r="1185" spans="1:37" ht="15" hidden="1" customHeight="1" outlineLevel="1" x14ac:dyDescent="0.35">
      <c r="A1185" s="106"/>
      <c r="B1185" s="106"/>
      <c r="C1185" s="948"/>
      <c r="D1185" s="4231"/>
      <c r="E1185" s="2352" t="s">
        <v>4331</v>
      </c>
      <c r="F1185" s="52">
        <v>18.888888888888889</v>
      </c>
      <c r="G1185" s="49"/>
      <c r="H1185" s="3678" t="s">
        <v>119</v>
      </c>
      <c r="I1185" s="3678"/>
      <c r="J1185" s="106"/>
      <c r="K1185" s="106"/>
      <c r="L1185" s="106"/>
      <c r="M1185" s="106"/>
      <c r="N1185" s="106"/>
      <c r="V1185" s="3669"/>
      <c r="W1185" s="954"/>
      <c r="X1185" s="954"/>
      <c r="Y1185" s="953"/>
      <c r="Z1185" s="953"/>
      <c r="AA1185" s="953"/>
      <c r="AB1185" s="478">
        <v>18.888888888888889</v>
      </c>
      <c r="AC1185" s="52">
        <v>18.888888888888889</v>
      </c>
      <c r="AD1185" s="52">
        <v>18.888888888888889</v>
      </c>
      <c r="AE1185" s="748"/>
      <c r="AF1185" s="748"/>
      <c r="AG1185" s="748"/>
      <c r="AK1185" s="732"/>
    </row>
    <row r="1186" spans="1:37" hidden="1" outlineLevel="1" x14ac:dyDescent="0.35">
      <c r="A1186" s="106"/>
      <c r="B1186" s="106"/>
      <c r="C1186" s="948"/>
      <c r="D1186" s="4231"/>
      <c r="E1186" s="2352" t="s">
        <v>4332</v>
      </c>
      <c r="F1186" s="52">
        <v>16</v>
      </c>
      <c r="G1186" s="49"/>
      <c r="H1186" s="3678"/>
      <c r="I1186" s="4234"/>
      <c r="J1186" s="106"/>
      <c r="K1186" s="106"/>
      <c r="L1186" s="106"/>
      <c r="M1186" s="106"/>
      <c r="N1186" s="106"/>
      <c r="V1186" s="3669"/>
      <c r="W1186" s="954">
        <v>16</v>
      </c>
      <c r="X1186" s="954">
        <v>16</v>
      </c>
      <c r="Y1186" s="953">
        <v>16</v>
      </c>
      <c r="Z1186" s="953">
        <v>16</v>
      </c>
      <c r="AA1186" s="953">
        <v>16</v>
      </c>
      <c r="AB1186" s="52">
        <v>16</v>
      </c>
      <c r="AC1186" s="52">
        <v>16</v>
      </c>
      <c r="AD1186" s="52">
        <v>16</v>
      </c>
      <c r="AE1186" s="748"/>
      <c r="AF1186" s="748"/>
      <c r="AG1186" s="748"/>
      <c r="AK1186" s="732"/>
    </row>
    <row r="1187" spans="1:37" ht="15" hidden="1" customHeight="1" outlineLevel="1" x14ac:dyDescent="0.35">
      <c r="A1187" s="106"/>
      <c r="B1187" s="106"/>
      <c r="C1187" s="948"/>
      <c r="D1187" s="4231"/>
      <c r="E1187" s="2352" t="s">
        <v>4333</v>
      </c>
      <c r="F1187" s="52">
        <v>23</v>
      </c>
      <c r="G1187" s="49"/>
      <c r="H1187" s="3678" t="s">
        <v>121</v>
      </c>
      <c r="I1187" s="4234"/>
      <c r="J1187" s="106"/>
      <c r="K1187" s="106"/>
      <c r="L1187" s="106"/>
      <c r="M1187" s="106"/>
      <c r="N1187" s="106"/>
      <c r="V1187" s="3669"/>
      <c r="W1187" s="954">
        <v>23</v>
      </c>
      <c r="X1187" s="956">
        <v>23</v>
      </c>
      <c r="Y1187" s="957">
        <v>23</v>
      </c>
      <c r="Z1187" s="957">
        <v>23</v>
      </c>
      <c r="AA1187" s="957">
        <v>23</v>
      </c>
      <c r="AB1187" s="52">
        <v>23</v>
      </c>
      <c r="AC1187" s="52">
        <v>23</v>
      </c>
      <c r="AD1187" s="52">
        <v>23</v>
      </c>
      <c r="AE1187" s="748"/>
      <c r="AF1187" s="748"/>
      <c r="AG1187" s="748"/>
      <c r="AK1187" s="732"/>
    </row>
    <row r="1188" spans="1:37" hidden="1" outlineLevel="1" x14ac:dyDescent="0.35">
      <c r="A1188" s="106"/>
      <c r="B1188" s="106"/>
      <c r="C1188" s="948"/>
      <c r="D1188" s="4231"/>
      <c r="E1188" s="2352" t="s">
        <v>4334</v>
      </c>
      <c r="F1188" s="52">
        <v>24.8</v>
      </c>
      <c r="G1188" s="49"/>
      <c r="H1188" s="3678"/>
      <c r="I1188" s="4234"/>
      <c r="J1188" s="106"/>
      <c r="K1188" s="106"/>
      <c r="L1188" s="106"/>
      <c r="M1188" s="106"/>
      <c r="N1188" s="106"/>
      <c r="V1188" s="3669"/>
      <c r="W1188" s="959">
        <v>24.8</v>
      </c>
      <c r="X1188" s="959">
        <v>24.8</v>
      </c>
      <c r="Y1188" s="953">
        <v>24.8</v>
      </c>
      <c r="Z1188" s="953">
        <v>24.8</v>
      </c>
      <c r="AA1188" s="953">
        <v>24.8</v>
      </c>
      <c r="AB1188" s="52">
        <v>24.8</v>
      </c>
      <c r="AC1188" s="52">
        <v>24.8</v>
      </c>
      <c r="AD1188" s="52">
        <v>24.8</v>
      </c>
      <c r="AE1188" s="748"/>
      <c r="AF1188" s="748"/>
      <c r="AG1188" s="748"/>
      <c r="AK1188" s="732"/>
    </row>
    <row r="1189" spans="1:37" hidden="1" outlineLevel="1" x14ac:dyDescent="0.35">
      <c r="A1189" s="106"/>
      <c r="B1189" s="106"/>
      <c r="C1189" s="948"/>
      <c r="D1189" s="4231"/>
      <c r="E1189" s="2348" t="s">
        <v>2003</v>
      </c>
      <c r="F1189" s="2232">
        <f>AVERAGE(310,749)/45</f>
        <v>11.766666666666667</v>
      </c>
      <c r="G1189" s="2686"/>
      <c r="H1189" s="3678" t="s">
        <v>126</v>
      </c>
      <c r="I1189" s="3678"/>
      <c r="J1189" s="106"/>
      <c r="K1189" s="106"/>
      <c r="L1189" s="106"/>
      <c r="M1189" s="106"/>
      <c r="N1189" s="106"/>
      <c r="V1189" s="3669"/>
      <c r="W1189" s="959"/>
      <c r="X1189" s="959"/>
      <c r="Y1189" s="953"/>
      <c r="Z1189" s="953"/>
      <c r="AA1189" s="953"/>
      <c r="AB1189" s="52"/>
      <c r="AC1189" s="2239">
        <v>11.766666666666667</v>
      </c>
      <c r="AD1189" s="2232">
        <v>11.766666666666667</v>
      </c>
      <c r="AE1189" s="748"/>
      <c r="AF1189" s="748"/>
      <c r="AG1189" s="748"/>
      <c r="AK1189" s="732"/>
    </row>
    <row r="1190" spans="1:37" ht="15" hidden="1" customHeight="1" outlineLevel="1" x14ac:dyDescent="0.35">
      <c r="A1190" s="106"/>
      <c r="B1190" s="106"/>
      <c r="C1190" s="948"/>
      <c r="D1190" s="4231"/>
      <c r="E1190" s="2352" t="s">
        <v>4335</v>
      </c>
      <c r="F1190" s="52">
        <v>29</v>
      </c>
      <c r="G1190" s="49"/>
      <c r="H1190" s="3678" t="s">
        <v>126</v>
      </c>
      <c r="I1190" s="3678"/>
      <c r="J1190" s="106"/>
      <c r="K1190" s="106"/>
      <c r="L1190" s="106"/>
      <c r="M1190" s="106"/>
      <c r="N1190" s="106"/>
      <c r="V1190" s="3669"/>
      <c r="W1190" s="959"/>
      <c r="X1190" s="959"/>
      <c r="Y1190" s="953"/>
      <c r="Z1190" s="953"/>
      <c r="AA1190" s="953"/>
      <c r="AB1190" s="478">
        <v>29</v>
      </c>
      <c r="AC1190" s="52">
        <v>29</v>
      </c>
      <c r="AD1190" s="52">
        <v>29</v>
      </c>
      <c r="AE1190" s="748"/>
      <c r="AF1190" s="748"/>
      <c r="AG1190" s="748"/>
      <c r="AK1190" s="732"/>
    </row>
    <row r="1191" spans="1:37" ht="15" hidden="1" outlineLevel="1" thickBot="1" x14ac:dyDescent="0.4">
      <c r="A1191" s="106"/>
      <c r="B1191" s="106"/>
      <c r="C1191" s="948"/>
      <c r="D1191" s="4226"/>
      <c r="E1191" s="2687" t="s">
        <v>104</v>
      </c>
      <c r="F1191" s="1877">
        <v>7</v>
      </c>
      <c r="G1191" s="2090"/>
      <c r="H1191" s="4232" t="s">
        <v>2011</v>
      </c>
      <c r="I1191" s="4232"/>
      <c r="J1191" s="106"/>
      <c r="K1191" s="106"/>
      <c r="L1191" s="106"/>
      <c r="M1191" s="106"/>
      <c r="N1191" s="106"/>
      <c r="V1191" s="3670"/>
      <c r="W1191" s="2233"/>
      <c r="X1191" s="2233"/>
      <c r="Y1191" s="2236"/>
      <c r="Z1191" s="2236"/>
      <c r="AA1191" s="2236"/>
      <c r="AB1191" s="2240"/>
      <c r="AC1191" s="1670">
        <v>7</v>
      </c>
      <c r="AD1191" s="1877">
        <v>7</v>
      </c>
      <c r="AE1191" s="2238"/>
      <c r="AF1191" s="2238"/>
      <c r="AG1191" s="2238"/>
      <c r="AK1191" s="732"/>
    </row>
    <row r="1192" spans="1:37" hidden="1" outlineLevel="1" x14ac:dyDescent="0.35">
      <c r="A1192" s="106"/>
      <c r="B1192" s="106"/>
      <c r="C1192" s="948"/>
      <c r="D1192" s="4225" t="s">
        <v>2012</v>
      </c>
      <c r="E1192" s="2349" t="s">
        <v>4313</v>
      </c>
      <c r="F1192" s="960">
        <v>7</v>
      </c>
      <c r="G1192" s="961"/>
      <c r="H1192" s="4415" t="s">
        <v>2013</v>
      </c>
      <c r="I1192" s="4311"/>
      <c r="J1192" s="106"/>
      <c r="K1192" s="106"/>
      <c r="L1192" s="106"/>
      <c r="M1192" s="106"/>
      <c r="N1192" s="106"/>
      <c r="V1192" s="3668" t="s">
        <v>2012</v>
      </c>
      <c r="W1192" s="1872">
        <v>7</v>
      </c>
      <c r="X1192" s="1873">
        <v>9</v>
      </c>
      <c r="Y1192" s="1874">
        <v>7</v>
      </c>
      <c r="Z1192" s="1875">
        <v>7</v>
      </c>
      <c r="AA1192" s="1875">
        <v>7</v>
      </c>
      <c r="AB1192" s="960">
        <v>7</v>
      </c>
      <c r="AC1192" s="960">
        <v>7</v>
      </c>
      <c r="AD1192" s="960">
        <v>7</v>
      </c>
      <c r="AE1192" s="1876"/>
      <c r="AF1192" s="1876"/>
      <c r="AG1192" s="1876"/>
      <c r="AK1192" s="732"/>
    </row>
    <row r="1193" spans="1:37" hidden="1" outlineLevel="1" x14ac:dyDescent="0.35">
      <c r="A1193" s="106"/>
      <c r="B1193" s="106"/>
      <c r="C1193" s="948"/>
      <c r="D1193" s="4231"/>
      <c r="E1193" s="2352" t="s">
        <v>4314</v>
      </c>
      <c r="F1193" s="49">
        <v>9.1</v>
      </c>
      <c r="G1193" s="951"/>
      <c r="H1193" s="3678" t="s">
        <v>130</v>
      </c>
      <c r="I1193" s="3813"/>
      <c r="J1193" s="106"/>
      <c r="K1193" s="106"/>
      <c r="L1193" s="106"/>
      <c r="M1193" s="106"/>
      <c r="N1193" s="106"/>
      <c r="V1193" s="3669"/>
      <c r="W1193" s="952">
        <v>9.1</v>
      </c>
      <c r="X1193" s="952">
        <v>9.1</v>
      </c>
      <c r="Y1193" s="953">
        <v>9.1</v>
      </c>
      <c r="Z1193" s="953">
        <v>9.1</v>
      </c>
      <c r="AA1193" s="953">
        <v>9.1</v>
      </c>
      <c r="AB1193" s="49">
        <v>9.1</v>
      </c>
      <c r="AC1193" s="49">
        <v>9.1</v>
      </c>
      <c r="AD1193" s="49">
        <v>9.1</v>
      </c>
      <c r="AE1193" s="748"/>
      <c r="AF1193" s="748"/>
      <c r="AG1193" s="748"/>
      <c r="AK1193" s="732"/>
    </row>
    <row r="1194" spans="1:37" hidden="1" outlineLevel="1" x14ac:dyDescent="0.35">
      <c r="A1194" s="106"/>
      <c r="B1194" s="106"/>
      <c r="C1194" s="948"/>
      <c r="D1194" s="4231"/>
      <c r="E1194" s="2352" t="s">
        <v>4315</v>
      </c>
      <c r="F1194" s="49">
        <v>9.23</v>
      </c>
      <c r="G1194" s="951"/>
      <c r="H1194" s="3678" t="s">
        <v>2014</v>
      </c>
      <c r="I1194" s="3813"/>
      <c r="J1194" s="106"/>
      <c r="K1194" s="106"/>
      <c r="L1194" s="106"/>
      <c r="M1194" s="106"/>
      <c r="N1194" s="106"/>
      <c r="V1194" s="3669"/>
      <c r="W1194" s="952">
        <v>9.5</v>
      </c>
      <c r="X1194" s="322">
        <v>9.23</v>
      </c>
      <c r="Y1194" s="953">
        <v>9.23</v>
      </c>
      <c r="Z1194" s="953">
        <v>9.23</v>
      </c>
      <c r="AA1194" s="953">
        <v>9.23</v>
      </c>
      <c r="AB1194" s="49">
        <v>9.23</v>
      </c>
      <c r="AC1194" s="49">
        <v>9.23</v>
      </c>
      <c r="AD1194" s="49">
        <v>9.23</v>
      </c>
      <c r="AE1194" s="748"/>
      <c r="AF1194" s="748"/>
      <c r="AG1194" s="748"/>
      <c r="AK1194" s="732"/>
    </row>
    <row r="1195" spans="1:37" hidden="1" outlineLevel="1" x14ac:dyDescent="0.35">
      <c r="A1195" s="106"/>
      <c r="B1195" s="106"/>
      <c r="C1195" s="948"/>
      <c r="D1195" s="4231"/>
      <c r="E1195" s="2352" t="s">
        <v>4316</v>
      </c>
      <c r="F1195" s="49">
        <v>11</v>
      </c>
      <c r="G1195" s="951"/>
      <c r="H1195" s="3678" t="s">
        <v>2013</v>
      </c>
      <c r="I1195" s="3813"/>
      <c r="J1195" s="106"/>
      <c r="K1195" s="106"/>
      <c r="L1195" s="106"/>
      <c r="M1195" s="106"/>
      <c r="N1195" s="106"/>
      <c r="V1195" s="3669"/>
      <c r="W1195" s="952">
        <v>9.5</v>
      </c>
      <c r="X1195" s="322">
        <v>9.23</v>
      </c>
      <c r="Y1195" s="478">
        <v>11</v>
      </c>
      <c r="Z1195" s="52">
        <v>11</v>
      </c>
      <c r="AA1195" s="52">
        <v>11</v>
      </c>
      <c r="AB1195" s="49">
        <v>11</v>
      </c>
      <c r="AC1195" s="49">
        <v>11</v>
      </c>
      <c r="AD1195" s="49">
        <v>11</v>
      </c>
      <c r="AE1195" s="748"/>
      <c r="AF1195" s="748"/>
      <c r="AG1195" s="748"/>
      <c r="AK1195" s="732"/>
    </row>
    <row r="1196" spans="1:37" hidden="1" outlineLevel="1" x14ac:dyDescent="0.35">
      <c r="A1196" s="106"/>
      <c r="B1196" s="106"/>
      <c r="C1196" s="948"/>
      <c r="D1196" s="4231"/>
      <c r="E1196" s="2352" t="s">
        <v>4317</v>
      </c>
      <c r="F1196" s="49">
        <v>10.6</v>
      </c>
      <c r="G1196" s="951"/>
      <c r="H1196" s="3678" t="s">
        <v>130</v>
      </c>
      <c r="I1196" s="3813"/>
      <c r="J1196" s="106"/>
      <c r="K1196" s="106"/>
      <c r="L1196" s="106"/>
      <c r="M1196" s="106"/>
      <c r="N1196" s="106"/>
      <c r="V1196" s="3669"/>
      <c r="W1196" s="952">
        <v>10.6</v>
      </c>
      <c r="X1196" s="952">
        <v>10.6</v>
      </c>
      <c r="Y1196" s="952">
        <v>10.6</v>
      </c>
      <c r="Z1196" s="49">
        <v>10.6</v>
      </c>
      <c r="AA1196" s="49">
        <v>10.6</v>
      </c>
      <c r="AB1196" s="49">
        <v>10.6</v>
      </c>
      <c r="AC1196" s="49">
        <v>10.6</v>
      </c>
      <c r="AD1196" s="49">
        <v>10.6</v>
      </c>
      <c r="AE1196" s="748"/>
      <c r="AF1196" s="748"/>
      <c r="AG1196" s="748"/>
      <c r="AK1196" s="732"/>
    </row>
    <row r="1197" spans="1:37" hidden="1" outlineLevel="1" x14ac:dyDescent="0.35">
      <c r="A1197" s="106"/>
      <c r="B1197" s="106"/>
      <c r="C1197" s="948"/>
      <c r="D1197" s="4231"/>
      <c r="E1197" s="2352" t="s">
        <v>4318</v>
      </c>
      <c r="F1197" s="49">
        <v>11</v>
      </c>
      <c r="G1197" s="951"/>
      <c r="H1197" s="3688" t="s">
        <v>2015</v>
      </c>
      <c r="I1197" s="3690"/>
      <c r="J1197" s="106"/>
      <c r="K1197" s="106"/>
      <c r="L1197" s="106"/>
      <c r="M1197" s="106"/>
      <c r="N1197" s="106"/>
      <c r="V1197" s="3669"/>
      <c r="W1197" s="952"/>
      <c r="X1197" s="952"/>
      <c r="Y1197" s="952"/>
      <c r="Z1197" s="49"/>
      <c r="AA1197" s="49"/>
      <c r="AB1197" s="322">
        <v>11</v>
      </c>
      <c r="AC1197" s="49">
        <v>11</v>
      </c>
      <c r="AD1197" s="49">
        <v>11</v>
      </c>
      <c r="AE1197" s="748"/>
      <c r="AF1197" s="748"/>
      <c r="AG1197" s="748"/>
      <c r="AK1197" s="732"/>
    </row>
    <row r="1198" spans="1:37" hidden="1" outlineLevel="1" x14ac:dyDescent="0.35">
      <c r="A1198" s="106"/>
      <c r="B1198" s="106"/>
      <c r="C1198" s="948"/>
      <c r="D1198" s="4231"/>
      <c r="E1198" s="2352" t="s">
        <v>4319</v>
      </c>
      <c r="F1198" s="49">
        <v>14</v>
      </c>
      <c r="G1198" s="951"/>
      <c r="H1198" s="3678" t="s">
        <v>2013</v>
      </c>
      <c r="I1198" s="3813"/>
      <c r="J1198" s="106"/>
      <c r="K1198" s="106"/>
      <c r="L1198" s="106"/>
      <c r="M1198" s="106"/>
      <c r="N1198" s="106"/>
      <c r="V1198" s="3669"/>
      <c r="W1198" s="952">
        <v>11.2</v>
      </c>
      <c r="X1198" s="322">
        <v>14</v>
      </c>
      <c r="Y1198" s="52">
        <v>14</v>
      </c>
      <c r="Z1198" s="52">
        <v>14</v>
      </c>
      <c r="AA1198" s="52">
        <v>14</v>
      </c>
      <c r="AB1198" s="49">
        <v>14</v>
      </c>
      <c r="AC1198" s="49">
        <v>14</v>
      </c>
      <c r="AD1198" s="49">
        <v>14</v>
      </c>
      <c r="AE1198" s="748"/>
      <c r="AF1198" s="748"/>
      <c r="AG1198" s="748"/>
      <c r="AK1198" s="732"/>
    </row>
    <row r="1199" spans="1:37" hidden="1" outlineLevel="1" x14ac:dyDescent="0.35">
      <c r="A1199" s="106"/>
      <c r="B1199" s="106"/>
      <c r="C1199" s="948"/>
      <c r="D1199" s="4231"/>
      <c r="E1199" s="2352" t="s">
        <v>4320</v>
      </c>
      <c r="F1199" s="49">
        <v>17</v>
      </c>
      <c r="G1199" s="951"/>
      <c r="H1199" s="3678" t="s">
        <v>2014</v>
      </c>
      <c r="I1199" s="3813"/>
      <c r="J1199" s="106"/>
      <c r="K1199" s="106"/>
      <c r="L1199" s="106"/>
      <c r="M1199" s="106"/>
      <c r="N1199" s="106"/>
      <c r="V1199" s="3669"/>
      <c r="W1199" s="52">
        <v>18</v>
      </c>
      <c r="X1199" s="322">
        <v>17</v>
      </c>
      <c r="Y1199" s="955">
        <v>17</v>
      </c>
      <c r="Z1199" s="953">
        <v>17</v>
      </c>
      <c r="AA1199" s="953">
        <v>17</v>
      </c>
      <c r="AB1199" s="49">
        <v>17</v>
      </c>
      <c r="AC1199" s="49">
        <v>17</v>
      </c>
      <c r="AD1199" s="49">
        <v>17</v>
      </c>
      <c r="AE1199" s="748"/>
      <c r="AF1199" s="748"/>
      <c r="AG1199" s="748"/>
      <c r="AK1199" s="732"/>
    </row>
    <row r="1200" spans="1:37" hidden="1" outlineLevel="1" x14ac:dyDescent="0.35">
      <c r="A1200" s="106"/>
      <c r="B1200" s="106"/>
      <c r="C1200" s="948"/>
      <c r="D1200" s="4231"/>
      <c r="E1200" s="2352" t="s">
        <v>4321</v>
      </c>
      <c r="F1200" s="52">
        <v>15</v>
      </c>
      <c r="G1200" s="951"/>
      <c r="H1200" s="3678" t="s">
        <v>130</v>
      </c>
      <c r="I1200" s="3813"/>
      <c r="J1200" s="106"/>
      <c r="K1200" s="106"/>
      <c r="L1200" s="106"/>
      <c r="M1200" s="106"/>
      <c r="N1200" s="106"/>
      <c r="V1200" s="3669"/>
      <c r="W1200" s="52">
        <v>15</v>
      </c>
      <c r="X1200" s="52">
        <v>15</v>
      </c>
      <c r="Y1200" s="955">
        <v>15</v>
      </c>
      <c r="Z1200" s="953">
        <v>15</v>
      </c>
      <c r="AA1200" s="953">
        <v>15</v>
      </c>
      <c r="AB1200" s="52">
        <v>15</v>
      </c>
      <c r="AC1200" s="52">
        <v>15</v>
      </c>
      <c r="AD1200" s="52">
        <v>15</v>
      </c>
      <c r="AE1200" s="748"/>
      <c r="AF1200" s="748"/>
      <c r="AG1200" s="748"/>
      <c r="AK1200" s="732"/>
    </row>
    <row r="1201" spans="1:37" hidden="1" outlineLevel="1" x14ac:dyDescent="0.35">
      <c r="A1201" s="106"/>
      <c r="B1201" s="106"/>
      <c r="C1201" s="948"/>
      <c r="D1201" s="4231"/>
      <c r="E1201" s="2352" t="s">
        <v>4322</v>
      </c>
      <c r="F1201" s="52">
        <v>4.5</v>
      </c>
      <c r="G1201" s="951"/>
      <c r="H1201" s="3678" t="s">
        <v>130</v>
      </c>
      <c r="I1201" s="3813"/>
      <c r="J1201" s="106"/>
      <c r="K1201" s="106"/>
      <c r="L1201" s="106"/>
      <c r="M1201" s="106"/>
      <c r="N1201" s="106"/>
      <c r="V1201" s="3669"/>
      <c r="W1201" s="52">
        <v>4.5</v>
      </c>
      <c r="X1201" s="52">
        <v>4.5</v>
      </c>
      <c r="Y1201" s="955">
        <v>4.5</v>
      </c>
      <c r="Z1201" s="953">
        <v>4.5</v>
      </c>
      <c r="AA1201" s="953">
        <v>4.5</v>
      </c>
      <c r="AB1201" s="52">
        <v>4.5</v>
      </c>
      <c r="AC1201" s="52">
        <v>4.5</v>
      </c>
      <c r="AD1201" s="52">
        <v>4.5</v>
      </c>
      <c r="AE1201" s="748"/>
      <c r="AF1201" s="748"/>
      <c r="AG1201" s="748"/>
      <c r="AK1201" s="732"/>
    </row>
    <row r="1202" spans="1:37" hidden="1" outlineLevel="1" x14ac:dyDescent="0.35">
      <c r="A1202" s="106"/>
      <c r="B1202" s="106"/>
      <c r="C1202" s="948"/>
      <c r="D1202" s="4231"/>
      <c r="E1202" s="2352" t="s">
        <v>4323</v>
      </c>
      <c r="F1202" s="52">
        <v>4.5</v>
      </c>
      <c r="G1202" s="951"/>
      <c r="H1202" s="3678" t="s">
        <v>130</v>
      </c>
      <c r="I1202" s="3813"/>
      <c r="J1202" s="106"/>
      <c r="K1202" s="106"/>
      <c r="L1202" s="106"/>
      <c r="M1202" s="106"/>
      <c r="N1202" s="106"/>
      <c r="V1202" s="3669"/>
      <c r="W1202" s="52">
        <v>4.5</v>
      </c>
      <c r="X1202" s="52">
        <v>4.5</v>
      </c>
      <c r="Y1202" s="955">
        <v>4.5</v>
      </c>
      <c r="Z1202" s="953">
        <v>4.5</v>
      </c>
      <c r="AA1202" s="953">
        <v>4.5</v>
      </c>
      <c r="AB1202" s="52">
        <v>4.5</v>
      </c>
      <c r="AC1202" s="52">
        <v>4.5</v>
      </c>
      <c r="AD1202" s="52">
        <v>4.5</v>
      </c>
      <c r="AE1202" s="748"/>
      <c r="AF1202" s="748"/>
      <c r="AG1202" s="748"/>
      <c r="AK1202" s="732"/>
    </row>
    <row r="1203" spans="1:37" hidden="1" outlineLevel="1" x14ac:dyDescent="0.35">
      <c r="A1203" s="106"/>
      <c r="B1203" s="106"/>
      <c r="C1203" s="948"/>
      <c r="D1203" s="4231"/>
      <c r="E1203" s="2352" t="s">
        <v>4324</v>
      </c>
      <c r="F1203" s="49">
        <v>7</v>
      </c>
      <c r="G1203" s="951"/>
      <c r="H1203" s="3678" t="s">
        <v>2013</v>
      </c>
      <c r="I1203" s="3813"/>
      <c r="J1203" s="106"/>
      <c r="K1203" s="106"/>
      <c r="L1203" s="106"/>
      <c r="M1203" s="106"/>
      <c r="N1203" s="106"/>
      <c r="V1203" s="3669"/>
      <c r="W1203" s="52">
        <v>5.9</v>
      </c>
      <c r="X1203" s="322">
        <v>8</v>
      </c>
      <c r="Y1203" s="478">
        <v>7</v>
      </c>
      <c r="Z1203" s="52">
        <v>7</v>
      </c>
      <c r="AA1203" s="52">
        <v>7</v>
      </c>
      <c r="AB1203" s="49">
        <v>7</v>
      </c>
      <c r="AC1203" s="49">
        <v>7</v>
      </c>
      <c r="AD1203" s="49">
        <v>7</v>
      </c>
      <c r="AE1203" s="748"/>
      <c r="AF1203" s="748"/>
      <c r="AG1203" s="748"/>
      <c r="AK1203" s="732"/>
    </row>
    <row r="1204" spans="1:37" hidden="1" outlineLevel="1" x14ac:dyDescent="0.35">
      <c r="A1204" s="106"/>
      <c r="B1204" s="106"/>
      <c r="C1204" s="948"/>
      <c r="D1204" s="4231"/>
      <c r="E1204" s="2352" t="s">
        <v>4325</v>
      </c>
      <c r="F1204" s="49">
        <v>7</v>
      </c>
      <c r="G1204" s="951"/>
      <c r="H1204" s="3678" t="s">
        <v>2013</v>
      </c>
      <c r="I1204" s="3813"/>
      <c r="J1204" s="106"/>
      <c r="K1204" s="106"/>
      <c r="L1204" s="106"/>
      <c r="M1204" s="106"/>
      <c r="N1204" s="106"/>
      <c r="V1204" s="3669"/>
      <c r="W1204" s="52">
        <v>5.8</v>
      </c>
      <c r="X1204" s="322">
        <v>8</v>
      </c>
      <c r="Y1204" s="478">
        <v>7</v>
      </c>
      <c r="Z1204" s="52">
        <v>7</v>
      </c>
      <c r="AA1204" s="52">
        <v>7</v>
      </c>
      <c r="AB1204" s="49">
        <v>7</v>
      </c>
      <c r="AC1204" s="49">
        <v>7</v>
      </c>
      <c r="AD1204" s="49">
        <v>7</v>
      </c>
      <c r="AE1204" s="748"/>
      <c r="AF1204" s="748"/>
      <c r="AG1204" s="748"/>
      <c r="AK1204" s="732"/>
    </row>
    <row r="1205" spans="1:37" hidden="1" outlineLevel="1" x14ac:dyDescent="0.35">
      <c r="A1205" s="106"/>
      <c r="B1205" s="106"/>
      <c r="C1205" s="948"/>
      <c r="D1205" s="4231"/>
      <c r="E1205" s="2352" t="s">
        <v>4326</v>
      </c>
      <c r="F1205" s="52">
        <v>9.1</v>
      </c>
      <c r="G1205" s="951"/>
      <c r="H1205" s="3678" t="s">
        <v>130</v>
      </c>
      <c r="I1205" s="3813"/>
      <c r="J1205" s="106"/>
      <c r="K1205" s="106"/>
      <c r="L1205" s="106"/>
      <c r="M1205" s="106"/>
      <c r="N1205" s="106"/>
      <c r="V1205" s="3669"/>
      <c r="W1205" s="52">
        <v>9.1</v>
      </c>
      <c r="X1205" s="52">
        <v>9.1</v>
      </c>
      <c r="Y1205" s="52">
        <v>9.1</v>
      </c>
      <c r="Z1205" s="52">
        <v>9.1</v>
      </c>
      <c r="AA1205" s="52">
        <v>9.1</v>
      </c>
      <c r="AB1205" s="52">
        <v>9.1</v>
      </c>
      <c r="AC1205" s="52">
        <v>9.1</v>
      </c>
      <c r="AD1205" s="52">
        <v>9.1</v>
      </c>
      <c r="AE1205" s="748"/>
      <c r="AF1205" s="748"/>
      <c r="AG1205" s="748"/>
      <c r="AK1205" s="732"/>
    </row>
    <row r="1206" spans="1:37" hidden="1" outlineLevel="1" x14ac:dyDescent="0.35">
      <c r="A1206" s="106"/>
      <c r="B1206" s="106"/>
      <c r="C1206" s="948"/>
      <c r="D1206" s="4231"/>
      <c r="E1206" s="2352" t="s">
        <v>4327</v>
      </c>
      <c r="F1206" s="52">
        <v>8</v>
      </c>
      <c r="G1206" s="951"/>
      <c r="H1206" s="3678" t="s">
        <v>130</v>
      </c>
      <c r="I1206" s="3813"/>
      <c r="J1206" s="106"/>
      <c r="K1206" s="106"/>
      <c r="L1206" s="106"/>
      <c r="M1206" s="106"/>
      <c r="N1206" s="106"/>
      <c r="V1206" s="3669"/>
      <c r="W1206" s="52">
        <v>8</v>
      </c>
      <c r="X1206" s="52">
        <v>8</v>
      </c>
      <c r="Y1206" s="52">
        <v>8</v>
      </c>
      <c r="Z1206" s="52">
        <v>8</v>
      </c>
      <c r="AA1206" s="52">
        <v>8</v>
      </c>
      <c r="AB1206" s="52">
        <v>8</v>
      </c>
      <c r="AC1206" s="52">
        <v>8</v>
      </c>
      <c r="AD1206" s="52">
        <v>8</v>
      </c>
      <c r="AE1206" s="748"/>
      <c r="AF1206" s="748"/>
      <c r="AG1206" s="748"/>
      <c r="AK1206" s="732"/>
    </row>
    <row r="1207" spans="1:37" hidden="1" outlineLevel="1" x14ac:dyDescent="0.35">
      <c r="A1207" s="106"/>
      <c r="B1207" s="106"/>
      <c r="C1207" s="948"/>
      <c r="D1207" s="4231"/>
      <c r="E1207" s="2352" t="s">
        <v>4328</v>
      </c>
      <c r="F1207" s="52">
        <v>9.5</v>
      </c>
      <c r="G1207" s="951"/>
      <c r="H1207" s="3678" t="s">
        <v>130</v>
      </c>
      <c r="I1207" s="3813"/>
      <c r="J1207" s="106"/>
      <c r="K1207" s="106"/>
      <c r="L1207" s="106"/>
      <c r="M1207" s="106"/>
      <c r="N1207" s="106"/>
      <c r="V1207" s="3669"/>
      <c r="W1207" s="52">
        <v>9.5</v>
      </c>
      <c r="X1207" s="52">
        <v>9.5</v>
      </c>
      <c r="Y1207" s="52">
        <v>9.5</v>
      </c>
      <c r="Z1207" s="52">
        <v>9.5</v>
      </c>
      <c r="AA1207" s="52">
        <v>9.5</v>
      </c>
      <c r="AB1207" s="52">
        <v>9.5</v>
      </c>
      <c r="AC1207" s="52">
        <v>9.5</v>
      </c>
      <c r="AD1207" s="52">
        <v>9.5</v>
      </c>
      <c r="AE1207" s="748"/>
      <c r="AF1207" s="748"/>
      <c r="AG1207" s="748"/>
      <c r="AK1207" s="732"/>
    </row>
    <row r="1208" spans="1:37" hidden="1" outlineLevel="1" x14ac:dyDescent="0.35">
      <c r="A1208" s="106"/>
      <c r="B1208" s="106"/>
      <c r="C1208" s="948"/>
      <c r="D1208" s="4231"/>
      <c r="E1208" s="2352" t="s">
        <v>4329</v>
      </c>
      <c r="F1208" s="52">
        <v>9.5</v>
      </c>
      <c r="G1208" s="49"/>
      <c r="H1208" s="3678" t="s">
        <v>130</v>
      </c>
      <c r="I1208" s="3813"/>
      <c r="J1208" s="106"/>
      <c r="K1208" s="106"/>
      <c r="L1208" s="106"/>
      <c r="M1208" s="106"/>
      <c r="N1208" s="106"/>
      <c r="V1208" s="3669"/>
      <c r="W1208" s="52">
        <v>9.5</v>
      </c>
      <c r="X1208" s="52">
        <v>9.5</v>
      </c>
      <c r="Y1208" s="52">
        <v>9.5</v>
      </c>
      <c r="Z1208" s="52">
        <v>9.5</v>
      </c>
      <c r="AA1208" s="52">
        <v>9.5</v>
      </c>
      <c r="AB1208" s="52">
        <v>9.5</v>
      </c>
      <c r="AC1208" s="52">
        <v>9.5</v>
      </c>
      <c r="AD1208" s="52">
        <v>9.5</v>
      </c>
      <c r="AE1208" s="748"/>
      <c r="AF1208" s="748"/>
      <c r="AG1208" s="748"/>
      <c r="AK1208" s="732"/>
    </row>
    <row r="1209" spans="1:37" hidden="1" outlineLevel="1" x14ac:dyDescent="0.35">
      <c r="A1209" s="106"/>
      <c r="B1209" s="106"/>
      <c r="C1209" s="948"/>
      <c r="D1209" s="4231"/>
      <c r="E1209" s="2352" t="s">
        <v>4330</v>
      </c>
      <c r="F1209" s="52">
        <v>10.6</v>
      </c>
      <c r="G1209" s="49"/>
      <c r="H1209" s="3678" t="s">
        <v>130</v>
      </c>
      <c r="I1209" s="3813"/>
      <c r="J1209" s="106"/>
      <c r="K1209" s="106"/>
      <c r="L1209" s="106"/>
      <c r="M1209" s="106"/>
      <c r="N1209" s="106"/>
      <c r="V1209" s="3669"/>
      <c r="W1209" s="52">
        <v>10.6</v>
      </c>
      <c r="X1209" s="52">
        <v>10.6</v>
      </c>
      <c r="Y1209" s="52">
        <v>10.6</v>
      </c>
      <c r="Z1209" s="52">
        <v>10.6</v>
      </c>
      <c r="AA1209" s="52">
        <v>10.6</v>
      </c>
      <c r="AB1209" s="52">
        <v>10.6</v>
      </c>
      <c r="AC1209" s="52">
        <v>10.6</v>
      </c>
      <c r="AD1209" s="52">
        <v>10.6</v>
      </c>
      <c r="AE1209" s="748"/>
      <c r="AF1209" s="748"/>
      <c r="AG1209" s="748"/>
      <c r="AK1209" s="732"/>
    </row>
    <row r="1210" spans="1:37" hidden="1" outlineLevel="1" x14ac:dyDescent="0.35">
      <c r="A1210" s="106"/>
      <c r="B1210" s="106"/>
      <c r="C1210" s="948"/>
      <c r="D1210" s="4231"/>
      <c r="E1210" s="2352" t="s">
        <v>4331</v>
      </c>
      <c r="F1210" s="52">
        <v>11</v>
      </c>
      <c r="G1210" s="49"/>
      <c r="H1210" s="3678" t="s">
        <v>2015</v>
      </c>
      <c r="I1210" s="3678"/>
      <c r="J1210" s="106"/>
      <c r="K1210" s="106"/>
      <c r="L1210" s="106"/>
      <c r="M1210" s="106"/>
      <c r="N1210" s="106"/>
      <c r="V1210" s="3669"/>
      <c r="W1210" s="52"/>
      <c r="X1210" s="52"/>
      <c r="Y1210" s="52"/>
      <c r="Z1210" s="52"/>
      <c r="AA1210" s="52"/>
      <c r="AB1210" s="478">
        <v>11</v>
      </c>
      <c r="AC1210" s="52">
        <v>11</v>
      </c>
      <c r="AD1210" s="52">
        <v>11</v>
      </c>
      <c r="AE1210" s="748"/>
      <c r="AF1210" s="748"/>
      <c r="AG1210" s="748"/>
      <c r="AK1210" s="732"/>
    </row>
    <row r="1211" spans="1:37" hidden="1" outlineLevel="1" x14ac:dyDescent="0.35">
      <c r="A1211" s="106"/>
      <c r="B1211" s="106"/>
      <c r="C1211" s="948"/>
      <c r="D1211" s="4231"/>
      <c r="E1211" s="2352" t="s">
        <v>4332</v>
      </c>
      <c r="F1211" s="52">
        <v>11.2</v>
      </c>
      <c r="G1211" s="49"/>
      <c r="H1211" s="3678" t="s">
        <v>130</v>
      </c>
      <c r="I1211" s="3813"/>
      <c r="J1211" s="106"/>
      <c r="K1211" s="106"/>
      <c r="L1211" s="106"/>
      <c r="M1211" s="106"/>
      <c r="N1211" s="106"/>
      <c r="V1211" s="3669"/>
      <c r="W1211" s="52">
        <v>11.2</v>
      </c>
      <c r="X1211" s="52">
        <v>11.2</v>
      </c>
      <c r="Y1211" s="52">
        <v>11.2</v>
      </c>
      <c r="Z1211" s="52">
        <v>11.2</v>
      </c>
      <c r="AA1211" s="52">
        <v>11.2</v>
      </c>
      <c r="AB1211" s="52">
        <v>11.2</v>
      </c>
      <c r="AC1211" s="52">
        <v>11.2</v>
      </c>
      <c r="AD1211" s="52">
        <v>11.2</v>
      </c>
      <c r="AE1211" s="748"/>
      <c r="AF1211" s="748"/>
      <c r="AG1211" s="748"/>
      <c r="AK1211" s="732"/>
    </row>
    <row r="1212" spans="1:37" hidden="1" outlineLevel="1" x14ac:dyDescent="0.35">
      <c r="A1212" s="106"/>
      <c r="B1212" s="106"/>
      <c r="C1212" s="948"/>
      <c r="D1212" s="4231"/>
      <c r="E1212" s="2352" t="s">
        <v>4333</v>
      </c>
      <c r="F1212" s="52">
        <v>18</v>
      </c>
      <c r="G1212" s="49"/>
      <c r="H1212" s="3678" t="s">
        <v>122</v>
      </c>
      <c r="I1212" s="3813"/>
      <c r="J1212" s="106"/>
      <c r="K1212" s="106"/>
      <c r="L1212" s="106"/>
      <c r="M1212" s="106"/>
      <c r="N1212" s="106"/>
      <c r="V1212" s="3669"/>
      <c r="W1212" s="52">
        <v>18</v>
      </c>
      <c r="X1212" s="52">
        <v>18</v>
      </c>
      <c r="Y1212" s="52">
        <v>18</v>
      </c>
      <c r="Z1212" s="52">
        <v>18</v>
      </c>
      <c r="AA1212" s="52">
        <v>18</v>
      </c>
      <c r="AB1212" s="52">
        <v>18</v>
      </c>
      <c r="AC1212" s="52">
        <v>18</v>
      </c>
      <c r="AD1212" s="52">
        <v>18</v>
      </c>
      <c r="AE1212" s="748"/>
      <c r="AF1212" s="748"/>
      <c r="AG1212" s="748"/>
      <c r="AK1212" s="732"/>
    </row>
    <row r="1213" spans="1:37" hidden="1" outlineLevel="1" x14ac:dyDescent="0.35">
      <c r="A1213" s="106"/>
      <c r="B1213" s="106"/>
      <c r="C1213" s="948"/>
      <c r="D1213" s="4231"/>
      <c r="E1213" s="2352" t="s">
        <v>4334</v>
      </c>
      <c r="F1213" s="52">
        <v>15</v>
      </c>
      <c r="G1213" s="49"/>
      <c r="H1213" s="3678" t="s">
        <v>130</v>
      </c>
      <c r="I1213" s="3813"/>
      <c r="J1213" s="106"/>
      <c r="K1213" s="106"/>
      <c r="L1213" s="106"/>
      <c r="M1213" s="106"/>
      <c r="N1213" s="106"/>
      <c r="V1213" s="3669"/>
      <c r="W1213" s="52">
        <v>15</v>
      </c>
      <c r="X1213" s="52">
        <v>15</v>
      </c>
      <c r="Y1213" s="52">
        <v>15</v>
      </c>
      <c r="Z1213" s="52">
        <v>15</v>
      </c>
      <c r="AA1213" s="52">
        <v>15</v>
      </c>
      <c r="AB1213" s="52">
        <v>15</v>
      </c>
      <c r="AC1213" s="52">
        <v>15</v>
      </c>
      <c r="AD1213" s="52">
        <v>15</v>
      </c>
      <c r="AE1213" s="748"/>
      <c r="AF1213" s="748"/>
      <c r="AG1213" s="748"/>
      <c r="AK1213" s="732"/>
    </row>
    <row r="1214" spans="1:37" hidden="1" outlineLevel="1" x14ac:dyDescent="0.35">
      <c r="A1214" s="106"/>
      <c r="B1214" s="106"/>
      <c r="C1214" s="948"/>
      <c r="D1214" s="4231"/>
      <c r="E1214" s="2348" t="s">
        <v>2003</v>
      </c>
      <c r="F1214" s="2232">
        <v>6</v>
      </c>
      <c r="G1214" s="2686"/>
      <c r="H1214" s="3678" t="s">
        <v>130</v>
      </c>
      <c r="I1214" s="3813"/>
      <c r="J1214" s="106"/>
      <c r="K1214" s="106"/>
      <c r="L1214" s="106"/>
      <c r="M1214" s="106"/>
      <c r="N1214" s="106"/>
      <c r="V1214" s="3669"/>
      <c r="W1214" s="2232"/>
      <c r="X1214" s="2232"/>
      <c r="Y1214" s="2232"/>
      <c r="Z1214" s="2232"/>
      <c r="AA1214" s="2232"/>
      <c r="AB1214" s="2232"/>
      <c r="AC1214" s="2239">
        <v>6</v>
      </c>
      <c r="AD1214" s="2232">
        <v>6</v>
      </c>
      <c r="AE1214" s="2234"/>
      <c r="AF1214" s="2234"/>
      <c r="AG1214" s="2234"/>
      <c r="AK1214" s="732"/>
    </row>
    <row r="1215" spans="1:37" hidden="1" outlineLevel="1" x14ac:dyDescent="0.35">
      <c r="A1215" s="106"/>
      <c r="B1215" s="106"/>
      <c r="C1215" s="948"/>
      <c r="D1215" s="4231"/>
      <c r="E1215" s="2352" t="s">
        <v>4335</v>
      </c>
      <c r="F1215" s="52">
        <v>6</v>
      </c>
      <c r="G1215" s="49"/>
      <c r="H1215" s="3678" t="s">
        <v>130</v>
      </c>
      <c r="I1215" s="3813"/>
      <c r="J1215" s="106"/>
      <c r="K1215" s="106"/>
      <c r="L1215" s="106"/>
      <c r="M1215" s="106"/>
      <c r="N1215" s="106"/>
      <c r="V1215" s="3669"/>
      <c r="W1215" s="52"/>
      <c r="X1215" s="52"/>
      <c r="Y1215" s="52"/>
      <c r="Z1215" s="52"/>
      <c r="AA1215" s="52"/>
      <c r="AB1215" s="478">
        <v>6</v>
      </c>
      <c r="AC1215" s="52">
        <v>6</v>
      </c>
      <c r="AD1215" s="52">
        <v>6</v>
      </c>
      <c r="AE1215" s="748"/>
      <c r="AF1215" s="748"/>
      <c r="AG1215" s="748"/>
      <c r="AK1215" s="732"/>
    </row>
    <row r="1216" spans="1:37" ht="15" hidden="1" outlineLevel="1" thickBot="1" x14ac:dyDescent="0.4">
      <c r="A1216" s="106"/>
      <c r="B1216" s="106"/>
      <c r="C1216" s="948"/>
      <c r="D1216" s="4226"/>
      <c r="E1216" s="2687" t="s">
        <v>104</v>
      </c>
      <c r="F1216" s="1877">
        <v>0.3</v>
      </c>
      <c r="G1216" s="2090"/>
      <c r="H1216" s="4232" t="s">
        <v>130</v>
      </c>
      <c r="I1216" s="4233"/>
      <c r="J1216" s="106"/>
      <c r="K1216" s="106"/>
      <c r="L1216" s="106"/>
      <c r="M1216" s="106"/>
      <c r="N1216" s="106"/>
      <c r="V1216" s="3670"/>
      <c r="W1216" s="2235"/>
      <c r="X1216" s="2235"/>
      <c r="Y1216" s="2235"/>
      <c r="Z1216" s="2235"/>
      <c r="AA1216" s="2235"/>
      <c r="AB1216" s="2237"/>
      <c r="AC1216" s="1670">
        <v>0.3</v>
      </c>
      <c r="AD1216" s="1877">
        <v>0.3</v>
      </c>
      <c r="AE1216" s="2238"/>
      <c r="AF1216" s="2238"/>
      <c r="AG1216" s="2238"/>
      <c r="AK1216" s="732"/>
    </row>
    <row r="1217" spans="1:37" ht="15" hidden="1" customHeight="1" outlineLevel="1" x14ac:dyDescent="0.35">
      <c r="A1217" s="106"/>
      <c r="B1217" s="106"/>
      <c r="C1217" s="948"/>
      <c r="D1217" s="4225" t="s">
        <v>132</v>
      </c>
      <c r="E1217" s="1080" t="s">
        <v>4336</v>
      </c>
      <c r="F1217" s="2241">
        <v>0.98180000000000001</v>
      </c>
      <c r="G1217" s="961"/>
      <c r="H1217" s="4415" t="s">
        <v>2016</v>
      </c>
      <c r="I1217" s="4311"/>
      <c r="J1217" s="106"/>
      <c r="K1217" s="963"/>
      <c r="L1217" s="106"/>
      <c r="M1217" s="106"/>
      <c r="N1217" s="106"/>
      <c r="V1217" s="4225" t="s">
        <v>132</v>
      </c>
      <c r="W1217" s="1881">
        <v>0.95120000000000005</v>
      </c>
      <c r="X1217" s="1882">
        <v>0.97</v>
      </c>
      <c r="Y1217" s="1883">
        <v>0.98180000000000001</v>
      </c>
      <c r="Z1217" s="1884">
        <v>0.98180000000000001</v>
      </c>
      <c r="AA1217" s="1884">
        <v>0.98180000000000001</v>
      </c>
      <c r="AB1217" s="1878">
        <v>0.98180000000000001</v>
      </c>
      <c r="AC1217" s="1878">
        <v>0.98180000000000001</v>
      </c>
      <c r="AD1217" s="1878">
        <v>0.98180000000000001</v>
      </c>
      <c r="AE1217" s="1876"/>
      <c r="AF1217" s="1876"/>
      <c r="AG1217" s="1876"/>
      <c r="AK1217" s="732"/>
    </row>
    <row r="1218" spans="1:37" ht="15" hidden="1" customHeight="1" outlineLevel="1" thickBot="1" x14ac:dyDescent="0.4">
      <c r="A1218" s="106"/>
      <c r="B1218" s="106"/>
      <c r="C1218" s="948"/>
      <c r="D1218" s="4226"/>
      <c r="E1218" s="1674" t="s">
        <v>4337</v>
      </c>
      <c r="F1218" s="2089">
        <v>1</v>
      </c>
      <c r="G1218" s="2090"/>
      <c r="H1218" s="3719" t="s">
        <v>2017</v>
      </c>
      <c r="I1218" s="3721"/>
      <c r="J1218" s="106"/>
      <c r="K1218" s="963"/>
      <c r="L1218" s="106"/>
      <c r="M1218" s="106"/>
      <c r="N1218" s="106"/>
      <c r="V1218" s="4226"/>
      <c r="W1218" s="1885"/>
      <c r="X1218" s="1880"/>
      <c r="Y1218" s="1886"/>
      <c r="Z1218" s="1887"/>
      <c r="AA1218" s="1887"/>
      <c r="AB1218" s="1880">
        <v>1</v>
      </c>
      <c r="AC1218" s="2089">
        <v>1</v>
      </c>
      <c r="AD1218" s="2089">
        <v>1</v>
      </c>
      <c r="AE1218" s="1871"/>
      <c r="AF1218" s="1871"/>
      <c r="AG1218" s="1871"/>
      <c r="AK1218" s="732"/>
    </row>
    <row r="1219" spans="1:37" ht="15" hidden="1" outlineLevel="1" thickBot="1" x14ac:dyDescent="0.4">
      <c r="A1219" s="106"/>
      <c r="B1219" s="106"/>
      <c r="C1219" s="948"/>
      <c r="D1219" s="2243" t="s">
        <v>143</v>
      </c>
      <c r="E1219" s="2243" t="s">
        <v>134</v>
      </c>
      <c r="F1219" s="2244">
        <v>0</v>
      </c>
      <c r="G1219" s="2245"/>
      <c r="H1219" s="4417" t="s">
        <v>2016</v>
      </c>
      <c r="I1219" s="4418"/>
      <c r="J1219" s="106"/>
      <c r="K1219" s="963"/>
      <c r="L1219" s="106"/>
      <c r="M1219" s="106"/>
      <c r="N1219" s="106"/>
      <c r="V1219" s="2243" t="s">
        <v>143</v>
      </c>
      <c r="W1219" s="2252">
        <v>1.6525893496695268E-2</v>
      </c>
      <c r="X1219" s="2253">
        <v>0</v>
      </c>
      <c r="Y1219" s="2253">
        <v>0</v>
      </c>
      <c r="Z1219" s="2244">
        <v>0</v>
      </c>
      <c r="AA1219" s="2244">
        <v>0</v>
      </c>
      <c r="AB1219" s="2244">
        <v>0</v>
      </c>
      <c r="AC1219" s="2244">
        <v>0</v>
      </c>
      <c r="AD1219" s="2244">
        <v>0</v>
      </c>
      <c r="AE1219" s="2254"/>
      <c r="AF1219" s="2254"/>
      <c r="AG1219" s="2254"/>
      <c r="AK1219" s="732"/>
    </row>
    <row r="1220" spans="1:37" ht="15" hidden="1" customHeight="1" outlineLevel="1" x14ac:dyDescent="0.35">
      <c r="A1220" s="106"/>
      <c r="B1220" s="106"/>
      <c r="C1220" s="948"/>
      <c r="D1220" s="4225" t="s">
        <v>147</v>
      </c>
      <c r="E1220" s="2688" t="s">
        <v>149</v>
      </c>
      <c r="F1220" s="2154">
        <v>674.17573847971641</v>
      </c>
      <c r="G1220" s="1879"/>
      <c r="H1220" s="3695" t="s">
        <v>2018</v>
      </c>
      <c r="I1220" s="3697"/>
      <c r="J1220" s="106"/>
      <c r="K1220" s="106"/>
      <c r="L1220" s="106"/>
      <c r="M1220" s="106"/>
      <c r="N1220" s="106"/>
      <c r="V1220" s="4225" t="s">
        <v>147</v>
      </c>
      <c r="W1220" s="2157">
        <v>693.5</v>
      </c>
      <c r="X1220" s="2255">
        <v>728</v>
      </c>
      <c r="Y1220" s="2256">
        <v>674.17573847971641</v>
      </c>
      <c r="Z1220" s="2257">
        <v>674.17573847971641</v>
      </c>
      <c r="AA1220" s="2257">
        <v>674.17573847971641</v>
      </c>
      <c r="AB1220" s="2154">
        <v>674.17573847971641</v>
      </c>
      <c r="AC1220" s="2154">
        <v>674.17573847971641</v>
      </c>
      <c r="AD1220" s="2154">
        <v>674.17573847971641</v>
      </c>
      <c r="AE1220" s="1876"/>
      <c r="AF1220" s="1876"/>
      <c r="AG1220" s="1876"/>
      <c r="AK1220" s="732"/>
    </row>
    <row r="1221" spans="1:37" ht="15" hidden="1" customHeight="1" outlineLevel="1" thickBot="1" x14ac:dyDescent="0.4">
      <c r="A1221" s="106"/>
      <c r="B1221" s="106"/>
      <c r="C1221" s="948"/>
      <c r="D1221" s="4226"/>
      <c r="E1221" s="2261" t="s">
        <v>151</v>
      </c>
      <c r="F1221" s="2246">
        <v>4380</v>
      </c>
      <c r="G1221" s="2090"/>
      <c r="H1221" s="3719" t="s">
        <v>127</v>
      </c>
      <c r="I1221" s="3721"/>
      <c r="J1221" s="106"/>
      <c r="K1221" s="106"/>
      <c r="L1221" s="106"/>
      <c r="M1221" s="106"/>
      <c r="N1221" s="106"/>
      <c r="V1221" s="4226"/>
      <c r="W1221" s="2258"/>
      <c r="X1221" s="2247"/>
      <c r="Y1221" s="2259"/>
      <c r="Z1221" s="1870"/>
      <c r="AA1221" s="1870"/>
      <c r="AB1221" s="2246"/>
      <c r="AC1221" s="2247">
        <v>4380</v>
      </c>
      <c r="AD1221" s="2246">
        <v>4380</v>
      </c>
      <c r="AE1221" s="1871"/>
      <c r="AF1221" s="1871"/>
      <c r="AG1221" s="1871"/>
      <c r="AK1221" s="732"/>
    </row>
    <row r="1222" spans="1:37" ht="15" hidden="1" outlineLevel="1" thickBot="1" x14ac:dyDescent="0.4">
      <c r="A1222" s="106"/>
      <c r="B1222" s="106"/>
      <c r="C1222" s="948"/>
      <c r="D1222" s="2420" t="s">
        <v>152</v>
      </c>
      <c r="E1222" s="2420" t="s">
        <v>154</v>
      </c>
      <c r="F1222" s="1626">
        <v>0.99008680582907171</v>
      </c>
      <c r="G1222" s="2263"/>
      <c r="H1222" s="4419" t="s">
        <v>155</v>
      </c>
      <c r="I1222" s="4298"/>
      <c r="J1222" s="106"/>
      <c r="K1222" s="106"/>
      <c r="L1222" s="106"/>
      <c r="M1222" s="106"/>
      <c r="N1222" s="106"/>
      <c r="V1222" s="2243" t="s">
        <v>152</v>
      </c>
      <c r="W1222" s="2264">
        <v>0.99</v>
      </c>
      <c r="X1222" s="2264">
        <v>0.99</v>
      </c>
      <c r="Y1222" s="2265">
        <v>0.99008680582907171</v>
      </c>
      <c r="Z1222" s="2266">
        <v>0.99008680582907171</v>
      </c>
      <c r="AA1222" s="2266">
        <v>0.99008680582907171</v>
      </c>
      <c r="AB1222" s="2267">
        <v>0.99008680582907171</v>
      </c>
      <c r="AC1222" s="2267">
        <v>0.99008680582907171</v>
      </c>
      <c r="AD1222" s="2267">
        <v>0.99008680582907171</v>
      </c>
      <c r="AE1222" s="2254"/>
      <c r="AF1222" s="2254"/>
      <c r="AG1222" s="2254"/>
      <c r="AK1222" s="732"/>
    </row>
    <row r="1223" spans="1:37" ht="15" hidden="1" customHeight="1" outlineLevel="1" x14ac:dyDescent="0.35">
      <c r="A1223" s="106"/>
      <c r="B1223" s="106"/>
      <c r="C1223" s="948"/>
      <c r="D1223" s="4225" t="s">
        <v>156</v>
      </c>
      <c r="E1223" s="2688" t="s">
        <v>149</v>
      </c>
      <c r="F1223" s="2242">
        <v>7321.0388096521265</v>
      </c>
      <c r="G1223" s="961"/>
      <c r="H1223" s="4420" t="s">
        <v>2018</v>
      </c>
      <c r="I1223" s="4421"/>
      <c r="J1223" s="106"/>
      <c r="K1223" s="106"/>
      <c r="L1223" s="106"/>
      <c r="M1223" s="106"/>
      <c r="N1223" s="106"/>
      <c r="V1223" s="4225" t="s">
        <v>156</v>
      </c>
      <c r="W1223" s="2248">
        <v>3613</v>
      </c>
      <c r="X1223" s="2249">
        <v>5949</v>
      </c>
      <c r="Y1223" s="2250">
        <v>7321.0388096521265</v>
      </c>
      <c r="Z1223" s="2251">
        <v>7321.0388096521265</v>
      </c>
      <c r="AA1223" s="2251">
        <v>7321.0388096521265</v>
      </c>
      <c r="AB1223" s="2242">
        <v>7321.0388096521265</v>
      </c>
      <c r="AC1223" s="2242">
        <v>7321.0388096521265</v>
      </c>
      <c r="AD1223" s="2242">
        <v>7321.0388096521265</v>
      </c>
      <c r="AE1223" s="2242"/>
      <c r="AF1223" s="2242"/>
      <c r="AG1223" s="2242"/>
      <c r="AK1223" s="732"/>
    </row>
    <row r="1224" spans="1:37" ht="15" hidden="1" customHeight="1" outlineLevel="1" thickBot="1" x14ac:dyDescent="0.4">
      <c r="A1224" s="106"/>
      <c r="B1224" s="106"/>
      <c r="C1224" s="948"/>
      <c r="D1224" s="4226"/>
      <c r="E1224" s="2261" t="s">
        <v>151</v>
      </c>
      <c r="F1224" s="2246">
        <v>4380</v>
      </c>
      <c r="G1224" s="2090"/>
      <c r="H1224" s="3719" t="s">
        <v>127</v>
      </c>
      <c r="I1224" s="3721"/>
      <c r="J1224" s="106"/>
      <c r="K1224" s="106"/>
      <c r="L1224" s="106"/>
      <c r="M1224" s="106"/>
      <c r="N1224" s="106"/>
      <c r="V1224" s="4226"/>
      <c r="W1224" s="2258"/>
      <c r="X1224" s="2247"/>
      <c r="Y1224" s="2259"/>
      <c r="Z1224" s="1870"/>
      <c r="AA1224" s="1870"/>
      <c r="AB1224" s="2246"/>
      <c r="AC1224" s="2247">
        <v>4380</v>
      </c>
      <c r="AD1224" s="2246">
        <v>4380</v>
      </c>
      <c r="AE1224" s="2246"/>
      <c r="AF1224" s="2246"/>
      <c r="AG1224" s="2246"/>
      <c r="AK1224" s="732"/>
    </row>
    <row r="1225" spans="1:37" ht="15" hidden="1" customHeight="1" outlineLevel="1" x14ac:dyDescent="0.35">
      <c r="A1225" s="106"/>
      <c r="B1225" s="106"/>
      <c r="C1225" s="948"/>
      <c r="D1225" s="1673" t="s">
        <v>159</v>
      </c>
      <c r="E1225" s="1673" t="s">
        <v>2019</v>
      </c>
      <c r="F1225" s="2242">
        <v>0.96568754422551695</v>
      </c>
      <c r="G1225" s="961"/>
      <c r="H1225" s="4420" t="s">
        <v>2020</v>
      </c>
      <c r="I1225" s="4421"/>
      <c r="J1225" s="106"/>
      <c r="K1225" s="106"/>
      <c r="L1225" s="106"/>
      <c r="M1225" s="106"/>
      <c r="N1225" s="106"/>
      <c r="V1225" s="1673" t="s">
        <v>159</v>
      </c>
      <c r="W1225" s="2248">
        <v>1.1000000000000001</v>
      </c>
      <c r="X1225" s="2248">
        <v>2.1</v>
      </c>
      <c r="Y1225" s="2250">
        <v>0.96568754422551695</v>
      </c>
      <c r="Z1225" s="2251">
        <v>0.96568754422551695</v>
      </c>
      <c r="AA1225" s="2251">
        <v>0.96568754422551695</v>
      </c>
      <c r="AB1225" s="2242">
        <v>0.96568754422551695</v>
      </c>
      <c r="AC1225" s="2242">
        <v>0.96568754422551695</v>
      </c>
      <c r="AD1225" s="2242">
        <v>0.96568754422551695</v>
      </c>
      <c r="AE1225" s="1667"/>
      <c r="AF1225" s="1667"/>
      <c r="AG1225" s="1667"/>
      <c r="AK1225" s="732"/>
    </row>
    <row r="1226" spans="1:37" hidden="1" outlineLevel="1" x14ac:dyDescent="0.35">
      <c r="A1226" s="106"/>
      <c r="B1226" s="106"/>
      <c r="C1226" s="948"/>
      <c r="D1226" s="950" t="s">
        <v>162</v>
      </c>
      <c r="E1226" s="950" t="s">
        <v>134</v>
      </c>
      <c r="F1226" s="966">
        <v>1</v>
      </c>
      <c r="G1226" s="951"/>
      <c r="H1226" s="3678" t="s">
        <v>2021</v>
      </c>
      <c r="I1226" s="3813"/>
      <c r="J1226" s="106"/>
      <c r="K1226" s="106"/>
      <c r="L1226" s="106"/>
      <c r="M1226" s="106"/>
      <c r="N1226" s="106"/>
      <c r="V1226" s="950" t="s">
        <v>162</v>
      </c>
      <c r="W1226" s="966">
        <v>1</v>
      </c>
      <c r="X1226" s="966">
        <v>1</v>
      </c>
      <c r="Y1226" s="966">
        <v>1</v>
      </c>
      <c r="Z1226" s="966">
        <v>1</v>
      </c>
      <c r="AA1226" s="966">
        <v>1</v>
      </c>
      <c r="AB1226" s="966">
        <v>1</v>
      </c>
      <c r="AC1226" s="966">
        <v>1</v>
      </c>
      <c r="AD1226" s="966">
        <v>1</v>
      </c>
      <c r="AE1226" s="748"/>
      <c r="AF1226" s="748"/>
      <c r="AG1226" s="748"/>
      <c r="AK1226" s="732"/>
    </row>
    <row r="1227" spans="1:37" ht="15" hidden="1" customHeight="1" outlineLevel="1" x14ac:dyDescent="0.35">
      <c r="A1227" s="106"/>
      <c r="B1227" s="106"/>
      <c r="C1227" s="948"/>
      <c r="D1227" s="950" t="s">
        <v>2022</v>
      </c>
      <c r="E1227" s="950" t="s">
        <v>53</v>
      </c>
      <c r="F1227" s="967">
        <v>1.4925290000000001E-4</v>
      </c>
      <c r="G1227" s="951"/>
      <c r="H1227" s="3678" t="s">
        <v>2023</v>
      </c>
      <c r="I1227" s="3813"/>
      <c r="J1227" s="106"/>
      <c r="K1227" s="106"/>
      <c r="L1227" s="106"/>
      <c r="M1227" s="106"/>
      <c r="N1227" s="106"/>
      <c r="V1227" s="950" t="s">
        <v>2022</v>
      </c>
      <c r="W1227" s="968">
        <v>1.4925290000000001E-4</v>
      </c>
      <c r="X1227" s="968">
        <v>1.4925290000000001E-4</v>
      </c>
      <c r="Y1227" s="968">
        <v>1.4925290000000001E-4</v>
      </c>
      <c r="Z1227" s="967">
        <v>1.4925290000000001E-4</v>
      </c>
      <c r="AA1227" s="967">
        <v>1.4925290000000001E-4</v>
      </c>
      <c r="AB1227" s="967">
        <v>1.4925290000000001E-4</v>
      </c>
      <c r="AC1227" s="967">
        <v>1.4925290000000001E-4</v>
      </c>
      <c r="AD1227" s="967">
        <v>1.4925290000000001E-4</v>
      </c>
      <c r="AE1227" s="748"/>
      <c r="AF1227" s="748"/>
      <c r="AG1227" s="748"/>
      <c r="AK1227" s="732"/>
    </row>
    <row r="1228" spans="1:37" ht="15" hidden="1" customHeight="1" outlineLevel="1" x14ac:dyDescent="0.35">
      <c r="A1228" s="106"/>
      <c r="B1228" s="106"/>
      <c r="C1228" s="948"/>
      <c r="D1228" s="950" t="s">
        <v>2024</v>
      </c>
      <c r="E1228" s="950" t="s">
        <v>54</v>
      </c>
      <c r="F1228" s="967">
        <v>1.899635E-4</v>
      </c>
      <c r="G1228" s="951"/>
      <c r="H1228" s="3678" t="s">
        <v>2023</v>
      </c>
      <c r="I1228" s="3813"/>
      <c r="J1228" s="106"/>
      <c r="K1228" s="106"/>
      <c r="L1228" s="106"/>
      <c r="M1228" s="106"/>
      <c r="N1228" s="106"/>
      <c r="V1228" s="950" t="s">
        <v>2024</v>
      </c>
      <c r="W1228" s="968">
        <v>1.899635E-4</v>
      </c>
      <c r="X1228" s="968">
        <v>1.899635E-4</v>
      </c>
      <c r="Y1228" s="968">
        <v>1.899635E-4</v>
      </c>
      <c r="Z1228" s="967">
        <v>1.899635E-4</v>
      </c>
      <c r="AA1228" s="967">
        <v>1.899635E-4</v>
      </c>
      <c r="AB1228" s="967">
        <v>1.899635E-4</v>
      </c>
      <c r="AC1228" s="967">
        <v>1.899635E-4</v>
      </c>
      <c r="AD1228" s="967">
        <v>1.899635E-4</v>
      </c>
      <c r="AE1228" s="748"/>
      <c r="AF1228" s="748"/>
      <c r="AG1228" s="748"/>
      <c r="AK1228" s="732"/>
    </row>
    <row r="1229" spans="1:37" hidden="1" outlineLevel="1" x14ac:dyDescent="0.35">
      <c r="A1229" s="106"/>
      <c r="B1229" s="106"/>
      <c r="C1229" s="948"/>
      <c r="D1229" s="950" t="s">
        <v>2025</v>
      </c>
      <c r="E1229" s="950" t="s">
        <v>2026</v>
      </c>
      <c r="F1229" s="51">
        <v>8760</v>
      </c>
      <c r="G1229" s="951"/>
      <c r="H1229" s="3678" t="s">
        <v>2027</v>
      </c>
      <c r="I1229" s="3813"/>
      <c r="J1229" s="106"/>
      <c r="K1229" s="106"/>
      <c r="L1229" s="106"/>
      <c r="M1229" s="106"/>
      <c r="N1229" s="106"/>
      <c r="V1229" s="950" t="s">
        <v>2025</v>
      </c>
      <c r="W1229" s="66">
        <v>8760</v>
      </c>
      <c r="X1229" s="66">
        <v>8760</v>
      </c>
      <c r="Y1229" s="66">
        <v>8760</v>
      </c>
      <c r="Z1229" s="51">
        <v>8760</v>
      </c>
      <c r="AA1229" s="51">
        <v>8760</v>
      </c>
      <c r="AB1229" s="51">
        <v>8760</v>
      </c>
      <c r="AC1229" s="51">
        <v>8760</v>
      </c>
      <c r="AD1229" s="51">
        <v>8760</v>
      </c>
      <c r="AE1229" s="748"/>
      <c r="AF1229" s="748"/>
      <c r="AG1229" s="748"/>
      <c r="AK1229" s="732"/>
    </row>
    <row r="1230" spans="1:37" ht="15" hidden="1" outlineLevel="1" thickBot="1" x14ac:dyDescent="0.4">
      <c r="A1230" s="106"/>
      <c r="B1230" s="106"/>
      <c r="C1230" s="948"/>
      <c r="D1230" s="2261" t="s">
        <v>2028</v>
      </c>
      <c r="E1230" s="2261" t="s">
        <v>2029</v>
      </c>
      <c r="F1230" s="2262">
        <v>4380</v>
      </c>
      <c r="G1230" s="2090"/>
      <c r="H1230" s="4232" t="s">
        <v>2030</v>
      </c>
      <c r="I1230" s="4233"/>
      <c r="J1230" s="106"/>
      <c r="K1230" s="106"/>
      <c r="L1230" s="106"/>
      <c r="M1230" s="106"/>
      <c r="N1230" s="106"/>
      <c r="V1230" s="950" t="s">
        <v>2028</v>
      </c>
      <c r="W1230" s="66">
        <v>4380</v>
      </c>
      <c r="X1230" s="66">
        <v>4380</v>
      </c>
      <c r="Y1230" s="66">
        <v>4380</v>
      </c>
      <c r="Z1230" s="51">
        <v>4380</v>
      </c>
      <c r="AA1230" s="51">
        <v>4380</v>
      </c>
      <c r="AB1230" s="51">
        <v>4380</v>
      </c>
      <c r="AC1230" s="51">
        <v>4380</v>
      </c>
      <c r="AD1230" s="51">
        <v>4380</v>
      </c>
      <c r="AE1230" s="748"/>
      <c r="AF1230" s="748"/>
      <c r="AG1230" s="748"/>
      <c r="AK1230" s="732"/>
    </row>
    <row r="1231" spans="1:37" hidden="1" outlineLevel="1" x14ac:dyDescent="0.35">
      <c r="B1231" s="1040"/>
      <c r="C1231" s="2378"/>
      <c r="D1231" s="4422" t="str">
        <f>D1122</f>
        <v>EUL</v>
      </c>
      <c r="E1231" s="2545" t="s">
        <v>2031</v>
      </c>
      <c r="F1231" s="2689">
        <v>19</v>
      </c>
      <c r="G1231" s="961"/>
      <c r="H1231" s="4415"/>
      <c r="I1231" s="4311"/>
      <c r="V1231" s="4412" t="str">
        <f>D1231</f>
        <v>EUL</v>
      </c>
      <c r="W1231" s="1672">
        <v>7</v>
      </c>
      <c r="X1231" s="1672">
        <v>7</v>
      </c>
      <c r="Y1231" s="1672">
        <v>7</v>
      </c>
      <c r="Z1231" s="1672">
        <v>7</v>
      </c>
      <c r="AA1231" s="1672">
        <v>7</v>
      </c>
      <c r="AB1231" s="1672">
        <v>7</v>
      </c>
      <c r="AC1231" s="1672">
        <v>7</v>
      </c>
      <c r="AD1231" s="1672">
        <v>7</v>
      </c>
      <c r="AE1231" s="888"/>
      <c r="AF1231" s="888"/>
      <c r="AG1231" s="888"/>
      <c r="AK1231" s="732"/>
    </row>
    <row r="1232" spans="1:37" ht="44.5" hidden="1" customHeight="1" outlineLevel="1" x14ac:dyDescent="0.35">
      <c r="B1232" s="1040"/>
      <c r="C1232" s="2378"/>
      <c r="D1232" s="4422"/>
      <c r="E1232" s="2094" t="s">
        <v>2032</v>
      </c>
      <c r="F1232" s="1672">
        <f>MIN(19, ROUND(100000/F1221,0))</f>
        <v>19</v>
      </c>
      <c r="G1232" s="951"/>
      <c r="H1232" s="4429" t="s">
        <v>167</v>
      </c>
      <c r="I1232" s="4430"/>
      <c r="V1232" s="4422"/>
      <c r="W1232" s="1672"/>
      <c r="X1232" s="1672"/>
      <c r="Y1232" s="1672"/>
      <c r="Z1232" s="1672"/>
      <c r="AA1232" s="1672"/>
      <c r="AB1232" s="1672"/>
      <c r="AC1232" s="2260">
        <v>19</v>
      </c>
      <c r="AD1232" s="1672">
        <v>19</v>
      </c>
      <c r="AE1232" s="888"/>
      <c r="AF1232" s="888"/>
      <c r="AG1232" s="888"/>
      <c r="AK1232" s="732"/>
    </row>
    <row r="1233" spans="2:45" hidden="1" outlineLevel="1" x14ac:dyDescent="0.35">
      <c r="B1233" s="1040"/>
      <c r="C1233" s="2378"/>
      <c r="D1233" s="4413"/>
      <c r="E1233" s="2094" t="s">
        <v>2033</v>
      </c>
      <c r="F1233" s="1672">
        <v>6</v>
      </c>
      <c r="G1233" s="951"/>
      <c r="H1233" s="3678"/>
      <c r="I1233" s="3813"/>
      <c r="V1233" s="3817"/>
      <c r="W1233" s="1672">
        <v>7</v>
      </c>
      <c r="X1233" s="1672">
        <v>7</v>
      </c>
      <c r="Y1233" s="1672">
        <v>7</v>
      </c>
      <c r="Z1233" s="1672">
        <v>7</v>
      </c>
      <c r="AA1233" s="1672">
        <v>7</v>
      </c>
      <c r="AB1233" s="1672">
        <v>7</v>
      </c>
      <c r="AC1233" s="1672">
        <v>7</v>
      </c>
      <c r="AD1233" s="1672">
        <v>7</v>
      </c>
      <c r="AE1233" s="888"/>
      <c r="AF1233" s="888"/>
      <c r="AG1233" s="888"/>
      <c r="AK1233" s="732"/>
    </row>
    <row r="1234" spans="2:45" hidden="1" outlineLevel="1" x14ac:dyDescent="0.35">
      <c r="B1234" s="1040"/>
      <c r="C1234" s="2378"/>
      <c r="D1234" s="4423" t="s">
        <v>109</v>
      </c>
      <c r="E1234" s="4424" t="s">
        <v>110</v>
      </c>
      <c r="F1234" s="4425" t="s">
        <v>318</v>
      </c>
      <c r="G1234" s="4425" t="s">
        <v>320</v>
      </c>
      <c r="H1234" s="4427" t="s">
        <v>112</v>
      </c>
      <c r="I1234" s="4428"/>
      <c r="V1234" s="480" t="s">
        <v>44</v>
      </c>
      <c r="W1234" s="1573">
        <f>$W$6</f>
        <v>43252</v>
      </c>
      <c r="X1234" s="1573">
        <f>$X$6</f>
        <v>43465</v>
      </c>
      <c r="Y1234" s="316">
        <f>$Y$6</f>
        <v>43800</v>
      </c>
      <c r="Z1234" s="1573">
        <f>$Z$6</f>
        <v>43862</v>
      </c>
      <c r="AA1234" s="1573">
        <f>$AA$6</f>
        <v>44013</v>
      </c>
      <c r="AB1234" s="1573">
        <f>$AB$6</f>
        <v>44166</v>
      </c>
      <c r="AC1234" s="1573">
        <f>$AC$6</f>
        <v>44531</v>
      </c>
      <c r="AD1234" s="1573">
        <f>$AD$6</f>
        <v>44774</v>
      </c>
      <c r="AE1234" s="1573" t="str">
        <f>$AE$6</f>
        <v>-</v>
      </c>
      <c r="AF1234" s="1573" t="str">
        <f>$AF$6</f>
        <v>-</v>
      </c>
      <c r="AG1234" s="1573" t="str">
        <f>$AG$6</f>
        <v>-</v>
      </c>
      <c r="AI1234" s="1573">
        <f>$W$6</f>
        <v>43252</v>
      </c>
      <c r="AJ1234" s="1573">
        <f>$X$6</f>
        <v>43465</v>
      </c>
      <c r="AK1234" s="1573">
        <f>$Y$6</f>
        <v>43800</v>
      </c>
      <c r="AL1234" s="1573">
        <f>$Z$6</f>
        <v>43862</v>
      </c>
      <c r="AM1234" s="1573">
        <f>$AA$6</f>
        <v>44013</v>
      </c>
      <c r="AN1234" s="1573">
        <f>$AB$6</f>
        <v>44166</v>
      </c>
      <c r="AO1234" s="1573">
        <f>$AC$6</f>
        <v>44531</v>
      </c>
      <c r="AP1234" s="1573">
        <f>$AD$6</f>
        <v>44774</v>
      </c>
      <c r="AQ1234" s="1573" t="str">
        <f>$AE$6</f>
        <v>-</v>
      </c>
      <c r="AR1234" s="1573" t="str">
        <f>$AF$6</f>
        <v>-</v>
      </c>
      <c r="AS1234" s="1573" t="str">
        <f>$AG$6</f>
        <v>-</v>
      </c>
    </row>
    <row r="1235" spans="2:45" hidden="1" outlineLevel="1" x14ac:dyDescent="0.35">
      <c r="B1235" s="1040"/>
      <c r="C1235" s="2378"/>
      <c r="D1235" s="3817"/>
      <c r="E1235" s="4349"/>
      <c r="F1235" s="4426"/>
      <c r="G1235" s="4426"/>
      <c r="H1235" s="4348"/>
      <c r="I1235" s="4349"/>
      <c r="V1235" s="480"/>
      <c r="W1235" s="316" t="str">
        <f>$P$1130</f>
        <v>SF</v>
      </c>
      <c r="X1235" s="316" t="str">
        <f t="shared" ref="X1235:AG1235" si="181">$P$1130</f>
        <v>SF</v>
      </c>
      <c r="Y1235" s="316" t="str">
        <f t="shared" si="181"/>
        <v>SF</v>
      </c>
      <c r="Z1235" s="316" t="str">
        <f t="shared" si="181"/>
        <v>SF</v>
      </c>
      <c r="AA1235" s="316" t="str">
        <f t="shared" si="181"/>
        <v>SF</v>
      </c>
      <c r="AB1235" s="316" t="str">
        <f t="shared" si="181"/>
        <v>SF</v>
      </c>
      <c r="AC1235" s="316" t="str">
        <f t="shared" si="181"/>
        <v>SF</v>
      </c>
      <c r="AD1235" s="316" t="str">
        <f t="shared" si="181"/>
        <v>SF</v>
      </c>
      <c r="AE1235" s="316" t="str">
        <f t="shared" si="181"/>
        <v>SF</v>
      </c>
      <c r="AF1235" s="316" t="str">
        <f t="shared" si="181"/>
        <v>SF</v>
      </c>
      <c r="AG1235" s="316" t="str">
        <f t="shared" si="181"/>
        <v>SF</v>
      </c>
      <c r="AI1235" s="316" t="str">
        <f>$Q$1130</f>
        <v>MF</v>
      </c>
      <c r="AJ1235" s="316" t="str">
        <f t="shared" ref="AJ1235:AS1235" si="182">$Q$1130</f>
        <v>MF</v>
      </c>
      <c r="AK1235" s="316" t="str">
        <f t="shared" si="182"/>
        <v>MF</v>
      </c>
      <c r="AL1235" s="316" t="str">
        <f t="shared" si="182"/>
        <v>MF</v>
      </c>
      <c r="AM1235" s="316" t="str">
        <f t="shared" si="182"/>
        <v>MF</v>
      </c>
      <c r="AN1235" s="316" t="str">
        <f t="shared" si="182"/>
        <v>MF</v>
      </c>
      <c r="AO1235" s="316" t="str">
        <f t="shared" si="182"/>
        <v>MF</v>
      </c>
      <c r="AP1235" s="316" t="str">
        <f t="shared" si="182"/>
        <v>MF</v>
      </c>
      <c r="AQ1235" s="316" t="str">
        <f t="shared" si="182"/>
        <v>MF</v>
      </c>
      <c r="AR1235" s="316" t="str">
        <f t="shared" si="182"/>
        <v>MF</v>
      </c>
      <c r="AS1235" s="316" t="str">
        <f t="shared" si="182"/>
        <v>MF</v>
      </c>
    </row>
    <row r="1236" spans="2:45" hidden="1" outlineLevel="1" x14ac:dyDescent="0.35">
      <c r="B1236" s="1040"/>
      <c r="C1236" s="2378"/>
      <c r="D1236" s="4227" t="str">
        <f>D1123</f>
        <v>Inc. Cost</v>
      </c>
      <c r="E1236" s="2352" t="s">
        <v>4313</v>
      </c>
      <c r="F1236" s="940">
        <v>6</v>
      </c>
      <c r="G1236" s="940">
        <v>3.3</v>
      </c>
      <c r="H1236" s="3678"/>
      <c r="I1236" s="3813"/>
      <c r="V1236" s="4227" t="str">
        <f>D1236</f>
        <v>Inc. Cost</v>
      </c>
      <c r="W1236" s="2268">
        <v>6</v>
      </c>
      <c r="X1236" s="969">
        <v>6</v>
      </c>
      <c r="Y1236" s="888">
        <v>6</v>
      </c>
      <c r="Z1236" s="888">
        <v>6</v>
      </c>
      <c r="AA1236" s="888">
        <v>6</v>
      </c>
      <c r="AB1236" s="940">
        <v>6</v>
      </c>
      <c r="AC1236" s="888">
        <v>6</v>
      </c>
      <c r="AD1236" s="888">
        <v>6</v>
      </c>
      <c r="AE1236" s="888"/>
      <c r="AF1236" s="888"/>
      <c r="AG1236" s="888"/>
      <c r="AI1236" s="969">
        <v>3.3</v>
      </c>
      <c r="AJ1236" s="969">
        <v>3.3</v>
      </c>
      <c r="AK1236" s="969">
        <v>3.3</v>
      </c>
      <c r="AL1236" s="969">
        <v>3.3</v>
      </c>
      <c r="AM1236" s="969">
        <v>3.3</v>
      </c>
      <c r="AN1236" s="940">
        <v>3.3</v>
      </c>
      <c r="AO1236" s="888">
        <v>3.3</v>
      </c>
      <c r="AP1236" s="888">
        <v>3.3</v>
      </c>
      <c r="AQ1236" s="888"/>
      <c r="AR1236" s="888"/>
      <c r="AS1236" s="888"/>
    </row>
    <row r="1237" spans="2:45" hidden="1" outlineLevel="1" x14ac:dyDescent="0.35">
      <c r="B1237" s="1040"/>
      <c r="C1237" s="2378"/>
      <c r="D1237" s="4227"/>
      <c r="E1237" s="2352" t="s">
        <v>4314</v>
      </c>
      <c r="F1237" s="940">
        <v>6</v>
      </c>
      <c r="G1237" s="940">
        <v>3.68</v>
      </c>
      <c r="H1237" s="3678"/>
      <c r="I1237" s="3813"/>
      <c r="V1237" s="4227"/>
      <c r="W1237" s="2268">
        <v>6</v>
      </c>
      <c r="X1237" s="969">
        <v>6</v>
      </c>
      <c r="Y1237" s="888">
        <v>6</v>
      </c>
      <c r="Z1237" s="888">
        <v>6</v>
      </c>
      <c r="AA1237" s="888">
        <v>6</v>
      </c>
      <c r="AB1237" s="940">
        <v>6</v>
      </c>
      <c r="AC1237" s="888">
        <v>6</v>
      </c>
      <c r="AD1237" s="888">
        <v>6</v>
      </c>
      <c r="AE1237" s="888"/>
      <c r="AF1237" s="888"/>
      <c r="AG1237" s="888"/>
      <c r="AI1237" s="969">
        <v>3.68</v>
      </c>
      <c r="AJ1237" s="969">
        <v>3.68</v>
      </c>
      <c r="AK1237" s="969">
        <v>3.68</v>
      </c>
      <c r="AL1237" s="969">
        <v>3.68</v>
      </c>
      <c r="AM1237" s="969">
        <v>3.68</v>
      </c>
      <c r="AN1237" s="940">
        <v>3.68</v>
      </c>
      <c r="AO1237" s="888">
        <v>3.68</v>
      </c>
      <c r="AP1237" s="888">
        <v>3.68</v>
      </c>
      <c r="AQ1237" s="888"/>
      <c r="AR1237" s="888"/>
      <c r="AS1237" s="888"/>
    </row>
    <row r="1238" spans="2:45" hidden="1" outlineLevel="1" x14ac:dyDescent="0.35">
      <c r="B1238" s="1040"/>
      <c r="C1238" s="2378"/>
      <c r="D1238" s="4227"/>
      <c r="E1238" s="2352" t="s">
        <v>4315</v>
      </c>
      <c r="F1238" s="940">
        <v>6</v>
      </c>
      <c r="G1238" s="940">
        <v>4.72</v>
      </c>
      <c r="H1238" s="3678"/>
      <c r="I1238" s="3813"/>
      <c r="V1238" s="4227"/>
      <c r="W1238" s="2268">
        <v>6</v>
      </c>
      <c r="X1238" s="969">
        <v>6</v>
      </c>
      <c r="Y1238" s="888">
        <v>6</v>
      </c>
      <c r="Z1238" s="888">
        <v>6</v>
      </c>
      <c r="AA1238" s="888">
        <v>6</v>
      </c>
      <c r="AB1238" s="940">
        <v>6</v>
      </c>
      <c r="AC1238" s="888">
        <v>6</v>
      </c>
      <c r="AD1238" s="888">
        <v>6</v>
      </c>
      <c r="AE1238" s="888"/>
      <c r="AF1238" s="888"/>
      <c r="AG1238" s="888"/>
      <c r="AI1238" s="969">
        <v>4.72</v>
      </c>
      <c r="AJ1238" s="969">
        <v>4.72</v>
      </c>
      <c r="AK1238" s="969">
        <v>4.72</v>
      </c>
      <c r="AL1238" s="969">
        <v>4.72</v>
      </c>
      <c r="AM1238" s="969">
        <v>4.72</v>
      </c>
      <c r="AN1238" s="940">
        <v>4.72</v>
      </c>
      <c r="AO1238" s="888">
        <v>4.72</v>
      </c>
      <c r="AP1238" s="888">
        <v>4.72</v>
      </c>
      <c r="AQ1238" s="888"/>
      <c r="AR1238" s="888"/>
      <c r="AS1238" s="888"/>
    </row>
    <row r="1239" spans="2:45" hidden="1" outlineLevel="1" x14ac:dyDescent="0.35">
      <c r="B1239" s="1040"/>
      <c r="C1239" s="2378"/>
      <c r="D1239" s="4227"/>
      <c r="E1239" s="2352" t="s">
        <v>4316</v>
      </c>
      <c r="F1239" s="940">
        <v>6</v>
      </c>
      <c r="G1239" s="940">
        <v>3.53</v>
      </c>
      <c r="H1239" s="3678"/>
      <c r="I1239" s="3813"/>
      <c r="V1239" s="4227"/>
      <c r="W1239" s="2268">
        <v>6</v>
      </c>
      <c r="X1239" s="969">
        <v>6</v>
      </c>
      <c r="Y1239" s="888">
        <v>6</v>
      </c>
      <c r="Z1239" s="888">
        <v>6</v>
      </c>
      <c r="AA1239" s="888">
        <v>6</v>
      </c>
      <c r="AB1239" s="940">
        <v>6</v>
      </c>
      <c r="AC1239" s="888">
        <v>6</v>
      </c>
      <c r="AD1239" s="888">
        <v>6</v>
      </c>
      <c r="AE1239" s="888"/>
      <c r="AF1239" s="888"/>
      <c r="AG1239" s="888"/>
      <c r="AI1239" s="969">
        <v>3.53</v>
      </c>
      <c r="AJ1239" s="969">
        <v>3.53</v>
      </c>
      <c r="AK1239" s="969">
        <v>3.53</v>
      </c>
      <c r="AL1239" s="969">
        <v>3.53</v>
      </c>
      <c r="AM1239" s="969">
        <v>3.53</v>
      </c>
      <c r="AN1239" s="940">
        <v>3.53</v>
      </c>
      <c r="AO1239" s="888">
        <v>3.53</v>
      </c>
      <c r="AP1239" s="888">
        <v>3.53</v>
      </c>
      <c r="AQ1239" s="888"/>
      <c r="AR1239" s="888"/>
      <c r="AS1239" s="888"/>
    </row>
    <row r="1240" spans="2:45" hidden="1" outlineLevel="1" x14ac:dyDescent="0.35">
      <c r="B1240" s="1040"/>
      <c r="C1240" s="2378"/>
      <c r="D1240" s="4227"/>
      <c r="E1240" s="2352" t="s">
        <v>4317</v>
      </c>
      <c r="F1240" s="940">
        <v>8</v>
      </c>
      <c r="G1240" s="940">
        <v>6.27</v>
      </c>
      <c r="H1240" s="3678"/>
      <c r="I1240" s="3813"/>
      <c r="V1240" s="4227"/>
      <c r="W1240" s="2268">
        <v>8</v>
      </c>
      <c r="X1240" s="969">
        <v>8</v>
      </c>
      <c r="Y1240" s="888">
        <v>8</v>
      </c>
      <c r="Z1240" s="888">
        <v>8</v>
      </c>
      <c r="AA1240" s="888">
        <v>8</v>
      </c>
      <c r="AB1240" s="940">
        <v>8</v>
      </c>
      <c r="AC1240" s="888">
        <v>8</v>
      </c>
      <c r="AD1240" s="888">
        <v>8</v>
      </c>
      <c r="AE1240" s="888"/>
      <c r="AF1240" s="888"/>
      <c r="AG1240" s="888"/>
      <c r="AI1240" s="969">
        <v>6.27</v>
      </c>
      <c r="AJ1240" s="969">
        <v>6.27</v>
      </c>
      <c r="AK1240" s="969">
        <v>6.27</v>
      </c>
      <c r="AL1240" s="969">
        <v>6.27</v>
      </c>
      <c r="AM1240" s="969">
        <v>6.27</v>
      </c>
      <c r="AN1240" s="940">
        <v>6.27</v>
      </c>
      <c r="AO1240" s="888">
        <v>6.27</v>
      </c>
      <c r="AP1240" s="888">
        <v>6.27</v>
      </c>
      <c r="AQ1240" s="888"/>
      <c r="AR1240" s="888"/>
      <c r="AS1240" s="888"/>
    </row>
    <row r="1241" spans="2:45" hidden="1" outlineLevel="1" x14ac:dyDescent="0.35">
      <c r="B1241" s="1040"/>
      <c r="C1241" s="2378"/>
      <c r="D1241" s="4227"/>
      <c r="E1241" s="2352" t="s">
        <v>4318</v>
      </c>
      <c r="F1241" s="940">
        <v>10</v>
      </c>
      <c r="G1241" s="940">
        <v>4.92</v>
      </c>
      <c r="H1241" s="3678"/>
      <c r="I1241" s="3813"/>
      <c r="V1241" s="4227"/>
      <c r="W1241" s="2268"/>
      <c r="X1241" s="969"/>
      <c r="Y1241" s="888"/>
      <c r="Z1241" s="888"/>
      <c r="AA1241" s="888"/>
      <c r="AB1241" s="1669">
        <v>10</v>
      </c>
      <c r="AC1241" s="888">
        <v>10</v>
      </c>
      <c r="AD1241" s="888">
        <v>10</v>
      </c>
      <c r="AE1241" s="888"/>
      <c r="AF1241" s="888"/>
      <c r="AG1241" s="888"/>
      <c r="AI1241" s="969"/>
      <c r="AJ1241" s="969"/>
      <c r="AK1241" s="969"/>
      <c r="AL1241" s="969"/>
      <c r="AM1241" s="969"/>
      <c r="AN1241" s="1669">
        <v>4.92</v>
      </c>
      <c r="AO1241" s="888">
        <v>4.92</v>
      </c>
      <c r="AP1241" s="888">
        <v>4.92</v>
      </c>
      <c r="AQ1241" s="888"/>
      <c r="AR1241" s="888"/>
      <c r="AS1241" s="888"/>
    </row>
    <row r="1242" spans="2:45" hidden="1" outlineLevel="1" x14ac:dyDescent="0.35">
      <c r="B1242" s="1040"/>
      <c r="C1242" s="2378"/>
      <c r="D1242" s="4227"/>
      <c r="E1242" s="2352" t="s">
        <v>4319</v>
      </c>
      <c r="F1242" s="940">
        <v>10</v>
      </c>
      <c r="G1242" s="940">
        <v>4.92</v>
      </c>
      <c r="H1242" s="3678"/>
      <c r="I1242" s="3813"/>
      <c r="V1242" s="4227"/>
      <c r="W1242" s="2268">
        <v>10</v>
      </c>
      <c r="X1242" s="969">
        <v>10</v>
      </c>
      <c r="Y1242" s="888">
        <v>10</v>
      </c>
      <c r="Z1242" s="888">
        <v>10</v>
      </c>
      <c r="AA1242" s="888">
        <v>10</v>
      </c>
      <c r="AB1242" s="940">
        <v>10</v>
      </c>
      <c r="AC1242" s="888">
        <v>10</v>
      </c>
      <c r="AD1242" s="888">
        <v>10</v>
      </c>
      <c r="AE1242" s="888"/>
      <c r="AF1242" s="888"/>
      <c r="AG1242" s="888"/>
      <c r="AI1242" s="969">
        <v>4.92</v>
      </c>
      <c r="AJ1242" s="969">
        <v>4.92</v>
      </c>
      <c r="AK1242" s="969">
        <v>4.92</v>
      </c>
      <c r="AL1242" s="969">
        <v>4.92</v>
      </c>
      <c r="AM1242" s="969">
        <v>4.92</v>
      </c>
      <c r="AN1242" s="940">
        <v>4.92</v>
      </c>
      <c r="AO1242" s="888">
        <v>4.92</v>
      </c>
      <c r="AP1242" s="888">
        <v>4.92</v>
      </c>
      <c r="AQ1242" s="888"/>
      <c r="AR1242" s="888"/>
      <c r="AS1242" s="888"/>
    </row>
    <row r="1243" spans="2:45" hidden="1" outlineLevel="1" x14ac:dyDescent="0.35">
      <c r="B1243" s="1040"/>
      <c r="C1243" s="2378"/>
      <c r="D1243" s="4227"/>
      <c r="E1243" s="2352" t="s">
        <v>4320</v>
      </c>
      <c r="F1243" s="940">
        <v>15</v>
      </c>
      <c r="G1243" s="940">
        <v>4.92</v>
      </c>
      <c r="H1243" s="3678"/>
      <c r="I1243" s="3813"/>
      <c r="V1243" s="4227"/>
      <c r="W1243" s="2268">
        <v>15</v>
      </c>
      <c r="X1243" s="969">
        <v>15</v>
      </c>
      <c r="Y1243" s="888">
        <v>15</v>
      </c>
      <c r="Z1243" s="888">
        <v>15</v>
      </c>
      <c r="AA1243" s="888">
        <v>15</v>
      </c>
      <c r="AB1243" s="940">
        <v>15</v>
      </c>
      <c r="AC1243" s="888">
        <v>15</v>
      </c>
      <c r="AD1243" s="888">
        <v>15</v>
      </c>
      <c r="AE1243" s="888"/>
      <c r="AF1243" s="888"/>
      <c r="AG1243" s="888"/>
      <c r="AI1243" s="969">
        <v>4.92</v>
      </c>
      <c r="AJ1243" s="969">
        <v>4.92</v>
      </c>
      <c r="AK1243" s="969">
        <v>4.92</v>
      </c>
      <c r="AL1243" s="969">
        <v>4.92</v>
      </c>
      <c r="AM1243" s="969">
        <v>4.92</v>
      </c>
      <c r="AN1243" s="940">
        <v>4.92</v>
      </c>
      <c r="AO1243" s="888">
        <v>4.92</v>
      </c>
      <c r="AP1243" s="888">
        <v>4.92</v>
      </c>
      <c r="AQ1243" s="888"/>
      <c r="AR1243" s="888"/>
      <c r="AS1243" s="888"/>
    </row>
    <row r="1244" spans="2:45" hidden="1" outlineLevel="1" x14ac:dyDescent="0.35">
      <c r="B1244" s="1040"/>
      <c r="C1244" s="2378"/>
      <c r="D1244" s="4227"/>
      <c r="E1244" s="2352" t="s">
        <v>4321</v>
      </c>
      <c r="F1244" s="940">
        <v>8</v>
      </c>
      <c r="G1244" s="940">
        <v>7.83</v>
      </c>
      <c r="H1244" s="3678"/>
      <c r="I1244" s="3813"/>
      <c r="V1244" s="4227"/>
      <c r="W1244" s="2268">
        <v>8</v>
      </c>
      <c r="X1244" s="969">
        <v>8</v>
      </c>
      <c r="Y1244" s="888">
        <v>8</v>
      </c>
      <c r="Z1244" s="888">
        <v>8</v>
      </c>
      <c r="AA1244" s="888">
        <v>8</v>
      </c>
      <c r="AB1244" s="940">
        <v>8</v>
      </c>
      <c r="AC1244" s="888">
        <v>8</v>
      </c>
      <c r="AD1244" s="888">
        <v>8</v>
      </c>
      <c r="AE1244" s="888"/>
      <c r="AF1244" s="888"/>
      <c r="AG1244" s="888"/>
      <c r="AI1244" s="969">
        <v>7.83</v>
      </c>
      <c r="AJ1244" s="969">
        <v>7.83</v>
      </c>
      <c r="AK1244" s="969">
        <v>7.83</v>
      </c>
      <c r="AL1244" s="969">
        <v>7.83</v>
      </c>
      <c r="AM1244" s="969">
        <v>7.83</v>
      </c>
      <c r="AN1244" s="940">
        <v>7.83</v>
      </c>
      <c r="AO1244" s="888">
        <v>7.83</v>
      </c>
      <c r="AP1244" s="888">
        <v>7.83</v>
      </c>
      <c r="AQ1244" s="888"/>
      <c r="AR1244" s="888"/>
      <c r="AS1244" s="888"/>
    </row>
    <row r="1245" spans="2:45" hidden="1" outlineLevel="1" x14ac:dyDescent="0.35">
      <c r="B1245" s="1040"/>
      <c r="C1245" s="2378"/>
      <c r="D1245" s="4227"/>
      <c r="E1245" s="2352" t="s">
        <v>4322</v>
      </c>
      <c r="F1245" s="940">
        <v>7</v>
      </c>
      <c r="G1245" s="940">
        <v>3.27</v>
      </c>
      <c r="H1245" s="3678"/>
      <c r="I1245" s="3813"/>
      <c r="V1245" s="4227"/>
      <c r="W1245" s="2268">
        <v>7</v>
      </c>
      <c r="X1245" s="969">
        <v>7</v>
      </c>
      <c r="Y1245" s="888">
        <v>7</v>
      </c>
      <c r="Z1245" s="888">
        <v>7</v>
      </c>
      <c r="AA1245" s="888">
        <v>7</v>
      </c>
      <c r="AB1245" s="940">
        <v>7</v>
      </c>
      <c r="AC1245" s="888">
        <v>7</v>
      </c>
      <c r="AD1245" s="888">
        <v>7</v>
      </c>
      <c r="AE1245" s="888"/>
      <c r="AF1245" s="888"/>
      <c r="AG1245" s="888"/>
      <c r="AI1245" s="969">
        <v>3.27</v>
      </c>
      <c r="AJ1245" s="969">
        <v>3.27</v>
      </c>
      <c r="AK1245" s="969">
        <v>3.27</v>
      </c>
      <c r="AL1245" s="969">
        <v>3.27</v>
      </c>
      <c r="AM1245" s="969">
        <v>3.27</v>
      </c>
      <c r="AN1245" s="940">
        <v>3.27</v>
      </c>
      <c r="AO1245" s="888">
        <v>3.27</v>
      </c>
      <c r="AP1245" s="888">
        <v>3.27</v>
      </c>
      <c r="AQ1245" s="888"/>
      <c r="AR1245" s="888"/>
      <c r="AS1245" s="888"/>
    </row>
    <row r="1246" spans="2:45" hidden="1" outlineLevel="1" x14ac:dyDescent="0.35">
      <c r="B1246" s="1040"/>
      <c r="C1246" s="2378"/>
      <c r="D1246" s="4227"/>
      <c r="E1246" s="2352" t="s">
        <v>4323</v>
      </c>
      <c r="F1246" s="940">
        <v>7</v>
      </c>
      <c r="G1246" s="940">
        <f>G1245</f>
        <v>3.27</v>
      </c>
      <c r="H1246" s="3678"/>
      <c r="I1246" s="3813"/>
      <c r="V1246" s="4227"/>
      <c r="W1246" s="2268">
        <v>7</v>
      </c>
      <c r="X1246" s="969">
        <v>7</v>
      </c>
      <c r="Y1246" s="888">
        <v>7</v>
      </c>
      <c r="Z1246" s="888">
        <v>7</v>
      </c>
      <c r="AA1246" s="888">
        <v>7</v>
      </c>
      <c r="AB1246" s="940">
        <v>7</v>
      </c>
      <c r="AC1246" s="888">
        <v>7</v>
      </c>
      <c r="AD1246" s="888">
        <v>7</v>
      </c>
      <c r="AE1246" s="888"/>
      <c r="AF1246" s="888"/>
      <c r="AG1246" s="888"/>
      <c r="AI1246" s="969">
        <f>AI1245</f>
        <v>3.27</v>
      </c>
      <c r="AJ1246" s="969">
        <v>3.27</v>
      </c>
      <c r="AK1246" s="969">
        <v>3.27</v>
      </c>
      <c r="AL1246" s="969">
        <v>3.27</v>
      </c>
      <c r="AM1246" s="969">
        <v>3.27</v>
      </c>
      <c r="AN1246" s="940">
        <f>AN1245</f>
        <v>3.27</v>
      </c>
      <c r="AO1246" s="888">
        <v>3.27</v>
      </c>
      <c r="AP1246" s="888">
        <v>3.27</v>
      </c>
      <c r="AQ1246" s="888"/>
      <c r="AR1246" s="888"/>
      <c r="AS1246" s="888"/>
    </row>
    <row r="1247" spans="2:45" hidden="1" outlineLevel="1" x14ac:dyDescent="0.35">
      <c r="B1247" s="1040"/>
      <c r="C1247" s="2378"/>
      <c r="D1247" s="4227"/>
      <c r="E1247" s="2352" t="s">
        <v>4324</v>
      </c>
      <c r="F1247" s="940">
        <v>7</v>
      </c>
      <c r="G1247" s="940">
        <v>3.27</v>
      </c>
      <c r="H1247" s="3678"/>
      <c r="I1247" s="3813"/>
      <c r="V1247" s="4227"/>
      <c r="W1247" s="2268">
        <v>7</v>
      </c>
      <c r="X1247" s="969">
        <v>7</v>
      </c>
      <c r="Y1247" s="888">
        <v>7</v>
      </c>
      <c r="Z1247" s="888">
        <v>7</v>
      </c>
      <c r="AA1247" s="888">
        <v>7</v>
      </c>
      <c r="AB1247" s="940">
        <v>7</v>
      </c>
      <c r="AC1247" s="888">
        <v>7</v>
      </c>
      <c r="AD1247" s="888">
        <v>7</v>
      </c>
      <c r="AE1247" s="888"/>
      <c r="AF1247" s="888"/>
      <c r="AG1247" s="888"/>
      <c r="AI1247" s="969">
        <v>3.27</v>
      </c>
      <c r="AJ1247" s="969">
        <v>3.27</v>
      </c>
      <c r="AK1247" s="969">
        <v>3.27</v>
      </c>
      <c r="AL1247" s="969">
        <v>3.27</v>
      </c>
      <c r="AM1247" s="969">
        <v>3.27</v>
      </c>
      <c r="AN1247" s="940">
        <v>3.27</v>
      </c>
      <c r="AO1247" s="888">
        <v>3.27</v>
      </c>
      <c r="AP1247" s="888">
        <v>3.27</v>
      </c>
      <c r="AQ1247" s="888"/>
      <c r="AR1247" s="888"/>
      <c r="AS1247" s="888"/>
    </row>
    <row r="1248" spans="2:45" hidden="1" outlineLevel="1" x14ac:dyDescent="0.35">
      <c r="B1248" s="1040"/>
      <c r="C1248" s="2378"/>
      <c r="D1248" s="4227"/>
      <c r="E1248" s="2352" t="s">
        <v>4325</v>
      </c>
      <c r="F1248" s="940">
        <v>7</v>
      </c>
      <c r="G1248" s="940">
        <f>G1247</f>
        <v>3.27</v>
      </c>
      <c r="H1248" s="3678"/>
      <c r="I1248" s="3813"/>
      <c r="V1248" s="4227"/>
      <c r="W1248" s="2268">
        <v>7</v>
      </c>
      <c r="X1248" s="969">
        <v>7</v>
      </c>
      <c r="Y1248" s="888">
        <v>7</v>
      </c>
      <c r="Z1248" s="888">
        <v>7</v>
      </c>
      <c r="AA1248" s="888">
        <v>7</v>
      </c>
      <c r="AB1248" s="940">
        <v>7</v>
      </c>
      <c r="AC1248" s="888">
        <v>7</v>
      </c>
      <c r="AD1248" s="888">
        <v>7</v>
      </c>
      <c r="AE1248" s="888"/>
      <c r="AF1248" s="888"/>
      <c r="AG1248" s="888"/>
      <c r="AI1248" s="969">
        <f>AI1247</f>
        <v>3.27</v>
      </c>
      <c r="AJ1248" s="969">
        <v>3.27</v>
      </c>
      <c r="AK1248" s="969">
        <v>3.27</v>
      </c>
      <c r="AL1248" s="969">
        <v>3.27</v>
      </c>
      <c r="AM1248" s="969">
        <v>3.27</v>
      </c>
      <c r="AN1248" s="940">
        <f>AN1247</f>
        <v>3.27</v>
      </c>
      <c r="AO1248" s="888">
        <v>3.27</v>
      </c>
      <c r="AP1248" s="888">
        <v>3.27</v>
      </c>
      <c r="AQ1248" s="888"/>
      <c r="AR1248" s="888"/>
      <c r="AS1248" s="888"/>
    </row>
    <row r="1249" spans="1:45" hidden="1" outlineLevel="1" x14ac:dyDescent="0.35">
      <c r="B1249" s="1040"/>
      <c r="C1249" s="2378"/>
      <c r="D1249" s="4227"/>
      <c r="E1249" s="2352" t="s">
        <v>4326</v>
      </c>
      <c r="F1249" s="1428">
        <f>F1236</f>
        <v>6</v>
      </c>
      <c r="G1249" s="1428">
        <v>3.68</v>
      </c>
      <c r="H1249" s="3678"/>
      <c r="I1249" s="3813"/>
      <c r="V1249" s="4227"/>
      <c r="W1249" s="2269">
        <f>W1236</f>
        <v>6</v>
      </c>
      <c r="X1249" s="970">
        <v>6</v>
      </c>
      <c r="Y1249" s="888">
        <v>6</v>
      </c>
      <c r="Z1249" s="888">
        <v>6</v>
      </c>
      <c r="AA1249" s="888">
        <v>6</v>
      </c>
      <c r="AB1249" s="1428">
        <v>6</v>
      </c>
      <c r="AC1249" s="888">
        <v>6</v>
      </c>
      <c r="AD1249" s="888">
        <v>6</v>
      </c>
      <c r="AE1249" s="888"/>
      <c r="AF1249" s="888"/>
      <c r="AG1249" s="888"/>
      <c r="AI1249" s="970">
        <v>3.68</v>
      </c>
      <c r="AJ1249" s="970">
        <v>3.68</v>
      </c>
      <c r="AK1249" s="970">
        <v>3.68</v>
      </c>
      <c r="AL1249" s="970">
        <v>3.68</v>
      </c>
      <c r="AM1249" s="970">
        <v>3.68</v>
      </c>
      <c r="AN1249" s="1428">
        <v>3.68</v>
      </c>
      <c r="AO1249" s="888">
        <v>3.68</v>
      </c>
      <c r="AP1249" s="888">
        <v>3.68</v>
      </c>
      <c r="AQ1249" s="888"/>
      <c r="AR1249" s="888"/>
      <c r="AS1249" s="888"/>
    </row>
    <row r="1250" spans="1:45" hidden="1" outlineLevel="1" x14ac:dyDescent="0.35">
      <c r="B1250" s="1040"/>
      <c r="C1250" s="2378"/>
      <c r="D1250" s="4227"/>
      <c r="E1250" s="2352" t="s">
        <v>4327</v>
      </c>
      <c r="F1250" s="1428">
        <f>F1236</f>
        <v>6</v>
      </c>
      <c r="G1250" s="1428">
        <v>3.3</v>
      </c>
      <c r="H1250" s="3678"/>
      <c r="I1250" s="3813"/>
      <c r="V1250" s="4227"/>
      <c r="W1250" s="2269">
        <f>W1236</f>
        <v>6</v>
      </c>
      <c r="X1250" s="970">
        <v>6</v>
      </c>
      <c r="Y1250" s="888">
        <v>6</v>
      </c>
      <c r="Z1250" s="888">
        <v>6</v>
      </c>
      <c r="AA1250" s="888">
        <v>6</v>
      </c>
      <c r="AB1250" s="1428">
        <v>6</v>
      </c>
      <c r="AC1250" s="888">
        <v>6</v>
      </c>
      <c r="AD1250" s="888">
        <v>6</v>
      </c>
      <c r="AE1250" s="888"/>
      <c r="AF1250" s="888"/>
      <c r="AG1250" s="888"/>
      <c r="AI1250" s="970">
        <v>3.3</v>
      </c>
      <c r="AJ1250" s="970">
        <v>3.3</v>
      </c>
      <c r="AK1250" s="970">
        <v>3.3</v>
      </c>
      <c r="AL1250" s="970">
        <v>3.3</v>
      </c>
      <c r="AM1250" s="970">
        <v>3.3</v>
      </c>
      <c r="AN1250" s="1428">
        <v>3.3</v>
      </c>
      <c r="AO1250" s="888">
        <v>3.3</v>
      </c>
      <c r="AP1250" s="888">
        <v>3.3</v>
      </c>
      <c r="AQ1250" s="888"/>
      <c r="AR1250" s="888"/>
      <c r="AS1250" s="888"/>
    </row>
    <row r="1251" spans="1:45" hidden="1" outlineLevel="1" x14ac:dyDescent="0.35">
      <c r="B1251" s="1040"/>
      <c r="C1251" s="2378"/>
      <c r="D1251" s="4227"/>
      <c r="E1251" s="2352" t="s">
        <v>4328</v>
      </c>
      <c r="F1251" s="1428">
        <f>F1238</f>
        <v>6</v>
      </c>
      <c r="G1251" s="1428">
        <v>3.53</v>
      </c>
      <c r="H1251" s="3678"/>
      <c r="I1251" s="3813"/>
      <c r="V1251" s="4227"/>
      <c r="W1251" s="2269">
        <f>W1238</f>
        <v>6</v>
      </c>
      <c r="X1251" s="970">
        <v>6</v>
      </c>
      <c r="Y1251" s="888">
        <v>6</v>
      </c>
      <c r="Z1251" s="888">
        <v>6</v>
      </c>
      <c r="AA1251" s="888">
        <v>6</v>
      </c>
      <c r="AB1251" s="1428">
        <v>6</v>
      </c>
      <c r="AC1251" s="888">
        <v>6</v>
      </c>
      <c r="AD1251" s="888">
        <v>6</v>
      </c>
      <c r="AE1251" s="888"/>
      <c r="AF1251" s="888"/>
      <c r="AG1251" s="888"/>
      <c r="AI1251" s="970">
        <v>3.53</v>
      </c>
      <c r="AJ1251" s="970">
        <v>3.53</v>
      </c>
      <c r="AK1251" s="970">
        <v>3.53</v>
      </c>
      <c r="AL1251" s="970">
        <v>3.53</v>
      </c>
      <c r="AM1251" s="970">
        <v>3.53</v>
      </c>
      <c r="AN1251" s="1428">
        <v>3.53</v>
      </c>
      <c r="AO1251" s="888">
        <v>3.53</v>
      </c>
      <c r="AP1251" s="888">
        <v>3.53</v>
      </c>
      <c r="AQ1251" s="888"/>
      <c r="AR1251" s="888"/>
      <c r="AS1251" s="888"/>
    </row>
    <row r="1252" spans="1:45" hidden="1" outlineLevel="1" x14ac:dyDescent="0.35">
      <c r="B1252" s="1040"/>
      <c r="C1252" s="2378"/>
      <c r="D1252" s="4227"/>
      <c r="E1252" s="2352" t="s">
        <v>4329</v>
      </c>
      <c r="F1252" s="1428">
        <f>F1238</f>
        <v>6</v>
      </c>
      <c r="G1252" s="1428">
        <f>G1238</f>
        <v>4.72</v>
      </c>
      <c r="H1252" s="3678"/>
      <c r="I1252" s="3813"/>
      <c r="V1252" s="4227"/>
      <c r="W1252" s="2269">
        <f>W1238</f>
        <v>6</v>
      </c>
      <c r="X1252" s="970">
        <v>6</v>
      </c>
      <c r="Y1252" s="888">
        <v>6</v>
      </c>
      <c r="Z1252" s="888">
        <v>6</v>
      </c>
      <c r="AA1252" s="888">
        <v>6</v>
      </c>
      <c r="AB1252" s="1428">
        <v>6</v>
      </c>
      <c r="AC1252" s="888">
        <v>6</v>
      </c>
      <c r="AD1252" s="888">
        <v>6</v>
      </c>
      <c r="AE1252" s="888"/>
      <c r="AF1252" s="888"/>
      <c r="AG1252" s="888"/>
      <c r="AI1252" s="970">
        <f>AI1238</f>
        <v>4.72</v>
      </c>
      <c r="AJ1252" s="970">
        <v>4.72</v>
      </c>
      <c r="AK1252" s="970">
        <v>4.72</v>
      </c>
      <c r="AL1252" s="970">
        <v>4.72</v>
      </c>
      <c r="AM1252" s="970">
        <v>4.72</v>
      </c>
      <c r="AN1252" s="1428">
        <f>AN1238</f>
        <v>4.72</v>
      </c>
      <c r="AO1252" s="888">
        <v>4.72</v>
      </c>
      <c r="AP1252" s="888">
        <v>4.72</v>
      </c>
      <c r="AQ1252" s="888"/>
      <c r="AR1252" s="888"/>
      <c r="AS1252" s="888"/>
    </row>
    <row r="1253" spans="1:45" hidden="1" outlineLevel="1" x14ac:dyDescent="0.35">
      <c r="B1253" s="1040"/>
      <c r="C1253" s="2378"/>
      <c r="D1253" s="4227"/>
      <c r="E1253" s="2352" t="s">
        <v>4330</v>
      </c>
      <c r="F1253" s="1428">
        <f>F1240</f>
        <v>8</v>
      </c>
      <c r="G1253" s="1428">
        <f>G1240</f>
        <v>6.27</v>
      </c>
      <c r="H1253" s="3678"/>
      <c r="I1253" s="3813"/>
      <c r="V1253" s="4227"/>
      <c r="W1253" s="2269">
        <f>W1240</f>
        <v>8</v>
      </c>
      <c r="X1253" s="970">
        <v>8</v>
      </c>
      <c r="Y1253" s="888">
        <v>8</v>
      </c>
      <c r="Z1253" s="888">
        <v>8</v>
      </c>
      <c r="AA1253" s="888">
        <v>8</v>
      </c>
      <c r="AB1253" s="1428">
        <v>8</v>
      </c>
      <c r="AC1253" s="888">
        <v>8</v>
      </c>
      <c r="AD1253" s="888">
        <v>8</v>
      </c>
      <c r="AE1253" s="888"/>
      <c r="AF1253" s="888"/>
      <c r="AG1253" s="888"/>
      <c r="AI1253" s="970">
        <f>AI1240</f>
        <v>6.27</v>
      </c>
      <c r="AJ1253" s="970">
        <v>6.27</v>
      </c>
      <c r="AK1253" s="970">
        <v>6.27</v>
      </c>
      <c r="AL1253" s="970">
        <v>6.27</v>
      </c>
      <c r="AM1253" s="970">
        <v>6.27</v>
      </c>
      <c r="AN1253" s="1428">
        <f>AN1240</f>
        <v>6.27</v>
      </c>
      <c r="AO1253" s="888">
        <v>6.27</v>
      </c>
      <c r="AP1253" s="888">
        <v>6.27</v>
      </c>
      <c r="AQ1253" s="888"/>
      <c r="AR1253" s="888"/>
      <c r="AS1253" s="888"/>
    </row>
    <row r="1254" spans="1:45" hidden="1" outlineLevel="1" x14ac:dyDescent="0.35">
      <c r="B1254" s="1040"/>
      <c r="C1254" s="2378"/>
      <c r="D1254" s="4227"/>
      <c r="E1254" s="2352" t="s">
        <v>4331</v>
      </c>
      <c r="F1254" s="1428">
        <v>10</v>
      </c>
      <c r="G1254" s="1428">
        <v>4.92</v>
      </c>
      <c r="H1254" s="3678"/>
      <c r="I1254" s="3813"/>
      <c r="V1254" s="4227"/>
      <c r="W1254" s="2269"/>
      <c r="X1254" s="970"/>
      <c r="Y1254" s="888"/>
      <c r="Z1254" s="888"/>
      <c r="AA1254" s="888"/>
      <c r="AB1254" s="1668">
        <v>10</v>
      </c>
      <c r="AC1254" s="888">
        <v>10</v>
      </c>
      <c r="AD1254" s="888">
        <v>10</v>
      </c>
      <c r="AE1254" s="888"/>
      <c r="AF1254" s="888"/>
      <c r="AG1254" s="888"/>
      <c r="AI1254" s="970"/>
      <c r="AJ1254" s="970"/>
      <c r="AK1254" s="970"/>
      <c r="AL1254" s="970"/>
      <c r="AM1254" s="970"/>
      <c r="AN1254" s="1668">
        <v>4.92</v>
      </c>
      <c r="AO1254" s="888">
        <v>4.92</v>
      </c>
      <c r="AP1254" s="888">
        <v>4.92</v>
      </c>
      <c r="AQ1254" s="888"/>
      <c r="AR1254" s="888"/>
      <c r="AS1254" s="888"/>
    </row>
    <row r="1255" spans="1:45" hidden="1" outlineLevel="1" x14ac:dyDescent="0.35">
      <c r="B1255" s="1040"/>
      <c r="C1255" s="2378"/>
      <c r="D1255" s="4227"/>
      <c r="E1255" s="2352" t="s">
        <v>4332</v>
      </c>
      <c r="F1255" s="1428">
        <f>F1242</f>
        <v>10</v>
      </c>
      <c r="G1255" s="1428">
        <v>4.92</v>
      </c>
      <c r="H1255" s="3678"/>
      <c r="I1255" s="3813"/>
      <c r="V1255" s="4227"/>
      <c r="W1255" s="2269">
        <f>W1242</f>
        <v>10</v>
      </c>
      <c r="X1255" s="970">
        <v>10</v>
      </c>
      <c r="Y1255" s="888">
        <v>10</v>
      </c>
      <c r="Z1255" s="888">
        <v>10</v>
      </c>
      <c r="AA1255" s="888">
        <v>10</v>
      </c>
      <c r="AB1255" s="1428">
        <v>10</v>
      </c>
      <c r="AC1255" s="888">
        <v>10</v>
      </c>
      <c r="AD1255" s="888">
        <v>10</v>
      </c>
      <c r="AE1255" s="888"/>
      <c r="AF1255" s="888"/>
      <c r="AG1255" s="888"/>
      <c r="AI1255" s="970">
        <v>4.92</v>
      </c>
      <c r="AJ1255" s="970">
        <v>4.92</v>
      </c>
      <c r="AK1255" s="970">
        <v>4.92</v>
      </c>
      <c r="AL1255" s="970">
        <v>4.92</v>
      </c>
      <c r="AM1255" s="970">
        <v>4.92</v>
      </c>
      <c r="AN1255" s="1428">
        <v>4.92</v>
      </c>
      <c r="AO1255" s="888">
        <v>4.92</v>
      </c>
      <c r="AP1255" s="888">
        <v>4.92</v>
      </c>
      <c r="AQ1255" s="888"/>
      <c r="AR1255" s="888"/>
      <c r="AS1255" s="888"/>
    </row>
    <row r="1256" spans="1:45" hidden="1" outlineLevel="1" x14ac:dyDescent="0.35">
      <c r="B1256" s="1040"/>
      <c r="C1256" s="2378"/>
      <c r="D1256" s="4227"/>
      <c r="E1256" s="2352" t="s">
        <v>4333</v>
      </c>
      <c r="F1256" s="1428">
        <f>F1243</f>
        <v>15</v>
      </c>
      <c r="G1256" s="1428">
        <v>4.92</v>
      </c>
      <c r="H1256" s="3678"/>
      <c r="I1256" s="3813"/>
      <c r="V1256" s="4227"/>
      <c r="W1256" s="2269">
        <f>W1243</f>
        <v>15</v>
      </c>
      <c r="X1256" s="970">
        <v>15</v>
      </c>
      <c r="Y1256" s="888">
        <v>15</v>
      </c>
      <c r="Z1256" s="888">
        <v>15</v>
      </c>
      <c r="AA1256" s="888">
        <v>15</v>
      </c>
      <c r="AB1256" s="1428">
        <v>15</v>
      </c>
      <c r="AC1256" s="888">
        <v>15</v>
      </c>
      <c r="AD1256" s="888">
        <v>15</v>
      </c>
      <c r="AE1256" s="888"/>
      <c r="AF1256" s="888"/>
      <c r="AG1256" s="888"/>
      <c r="AI1256" s="970">
        <v>4.92</v>
      </c>
      <c r="AJ1256" s="970">
        <v>4.92</v>
      </c>
      <c r="AK1256" s="970">
        <v>4.92</v>
      </c>
      <c r="AL1256" s="970">
        <v>4.92</v>
      </c>
      <c r="AM1256" s="970">
        <v>4.92</v>
      </c>
      <c r="AN1256" s="1428">
        <v>4.92</v>
      </c>
      <c r="AO1256" s="888">
        <v>4.92</v>
      </c>
      <c r="AP1256" s="888">
        <v>4.92</v>
      </c>
      <c r="AQ1256" s="888"/>
      <c r="AR1256" s="888"/>
      <c r="AS1256" s="888"/>
    </row>
    <row r="1257" spans="1:45" hidden="1" outlineLevel="1" x14ac:dyDescent="0.35">
      <c r="C1257" s="2378"/>
      <c r="D1257" s="4227"/>
      <c r="E1257" s="2352" t="s">
        <v>4334</v>
      </c>
      <c r="F1257" s="1428">
        <f>F1244</f>
        <v>8</v>
      </c>
      <c r="G1257" s="1428">
        <f>G1244</f>
        <v>7.83</v>
      </c>
      <c r="H1257" s="3678"/>
      <c r="I1257" s="3813"/>
      <c r="V1257" s="4227"/>
      <c r="W1257" s="2269">
        <f>W1244</f>
        <v>8</v>
      </c>
      <c r="X1257" s="970">
        <v>8</v>
      </c>
      <c r="Y1257" s="888">
        <v>8</v>
      </c>
      <c r="Z1257" s="888">
        <v>8</v>
      </c>
      <c r="AA1257" s="888">
        <v>8</v>
      </c>
      <c r="AB1257" s="1428">
        <v>8</v>
      </c>
      <c r="AC1257" s="888">
        <v>8</v>
      </c>
      <c r="AD1257" s="888">
        <v>8</v>
      </c>
      <c r="AE1257" s="888"/>
      <c r="AF1257" s="888"/>
      <c r="AG1257" s="888"/>
      <c r="AI1257" s="970">
        <f>AI1244</f>
        <v>7.83</v>
      </c>
      <c r="AJ1257" s="970">
        <v>7.83</v>
      </c>
      <c r="AK1257" s="970">
        <v>7.83</v>
      </c>
      <c r="AL1257" s="970">
        <v>7.83</v>
      </c>
      <c r="AM1257" s="970">
        <v>7.83</v>
      </c>
      <c r="AN1257" s="1428">
        <f>AN1244</f>
        <v>7.83</v>
      </c>
      <c r="AO1257" s="888">
        <v>7.83</v>
      </c>
      <c r="AP1257" s="888">
        <v>7.83</v>
      </c>
      <c r="AQ1257" s="888"/>
      <c r="AR1257" s="888"/>
      <c r="AS1257" s="888"/>
    </row>
    <row r="1258" spans="1:45" hidden="1" outlineLevel="1" x14ac:dyDescent="0.35">
      <c r="C1258" s="2378"/>
      <c r="D1258" s="4227"/>
      <c r="E1258" s="2352" t="s">
        <v>4313</v>
      </c>
      <c r="F1258" s="1428">
        <f>F1245</f>
        <v>7</v>
      </c>
      <c r="G1258" s="1428">
        <f>G1245</f>
        <v>3.27</v>
      </c>
      <c r="H1258" s="3678"/>
      <c r="I1258" s="3813"/>
      <c r="V1258" s="4227"/>
      <c r="W1258" s="2269"/>
      <c r="X1258" s="970"/>
      <c r="Y1258" s="888"/>
      <c r="Z1258" s="888"/>
      <c r="AA1258" s="1668">
        <f>AA1245</f>
        <v>7</v>
      </c>
      <c r="AB1258" s="1428">
        <v>7</v>
      </c>
      <c r="AC1258" s="888">
        <v>7</v>
      </c>
      <c r="AD1258" s="888">
        <v>7</v>
      </c>
      <c r="AE1258" s="888"/>
      <c r="AF1258" s="888"/>
      <c r="AG1258" s="888"/>
      <c r="AI1258" s="970"/>
      <c r="AJ1258" s="970"/>
      <c r="AK1258" s="970"/>
      <c r="AL1258" s="970"/>
      <c r="AM1258" s="1668">
        <f>AM1245</f>
        <v>3.27</v>
      </c>
      <c r="AN1258" s="1428">
        <f>AN1245</f>
        <v>3.27</v>
      </c>
      <c r="AO1258" s="888">
        <v>3.27</v>
      </c>
      <c r="AP1258" s="888">
        <v>3.27</v>
      </c>
      <c r="AQ1258" s="888"/>
      <c r="AR1258" s="888"/>
      <c r="AS1258" s="888"/>
    </row>
    <row r="1259" spans="1:45" hidden="1" outlineLevel="1" x14ac:dyDescent="0.35">
      <c r="C1259" s="2378"/>
      <c r="D1259" s="4227"/>
      <c r="E1259" s="2348" t="s">
        <v>2003</v>
      </c>
      <c r="F1259" s="1428">
        <v>6</v>
      </c>
      <c r="G1259" s="1428">
        <v>3.68</v>
      </c>
      <c r="H1259" s="3678"/>
      <c r="I1259" s="3813"/>
      <c r="V1259" s="4227"/>
      <c r="W1259" s="2269"/>
      <c r="X1259" s="970"/>
      <c r="Y1259" s="888"/>
      <c r="Z1259" s="888"/>
      <c r="AA1259" s="1668"/>
      <c r="AB1259" s="1428"/>
      <c r="AC1259" s="889">
        <v>6</v>
      </c>
      <c r="AD1259" s="888">
        <v>6</v>
      </c>
      <c r="AE1259" s="888"/>
      <c r="AF1259" s="888"/>
      <c r="AG1259" s="888"/>
      <c r="AI1259" s="970"/>
      <c r="AJ1259" s="970"/>
      <c r="AK1259" s="970"/>
      <c r="AL1259" s="970"/>
      <c r="AM1259" s="1668"/>
      <c r="AN1259" s="1428"/>
      <c r="AO1259" s="889">
        <v>3.68</v>
      </c>
      <c r="AP1259" s="888">
        <v>3.68</v>
      </c>
      <c r="AQ1259" s="888"/>
      <c r="AR1259" s="888"/>
      <c r="AS1259" s="888"/>
    </row>
    <row r="1260" spans="1:45" hidden="1" outlineLevel="1" x14ac:dyDescent="0.35">
      <c r="A1260" s="106"/>
      <c r="B1260" s="106"/>
      <c r="C1260" s="103"/>
      <c r="D1260" s="4227"/>
      <c r="E1260" s="2352" t="s">
        <v>4335</v>
      </c>
      <c r="F1260" s="2091">
        <f>F1237</f>
        <v>6</v>
      </c>
      <c r="G1260" s="2091">
        <f>G1237</f>
        <v>3.68</v>
      </c>
      <c r="H1260" s="3678" t="s">
        <v>2034</v>
      </c>
      <c r="I1260" s="3813"/>
      <c r="J1260" s="106"/>
      <c r="K1260" s="106"/>
      <c r="L1260" s="106"/>
      <c r="M1260" s="106"/>
      <c r="N1260" s="106"/>
      <c r="V1260" s="4227"/>
      <c r="W1260" s="2269"/>
      <c r="X1260" s="970"/>
      <c r="Y1260" s="888"/>
      <c r="Z1260" s="888"/>
      <c r="AA1260" s="888"/>
      <c r="AB1260" s="1671">
        <v>6</v>
      </c>
      <c r="AC1260" s="888">
        <v>6</v>
      </c>
      <c r="AD1260" s="888">
        <v>6</v>
      </c>
      <c r="AE1260" s="888"/>
      <c r="AF1260" s="888"/>
      <c r="AG1260" s="888"/>
      <c r="AI1260" s="970"/>
      <c r="AJ1260" s="970"/>
      <c r="AK1260" s="970"/>
      <c r="AL1260" s="970"/>
      <c r="AM1260" s="970"/>
      <c r="AN1260" s="1671">
        <f>AN1237</f>
        <v>3.68</v>
      </c>
      <c r="AO1260" s="888">
        <v>3.68</v>
      </c>
      <c r="AP1260" s="888">
        <v>3.68</v>
      </c>
      <c r="AQ1260" s="888"/>
      <c r="AR1260" s="888"/>
      <c r="AS1260" s="888"/>
    </row>
    <row r="1261" spans="1:45" hidden="1" outlineLevel="1" x14ac:dyDescent="0.35">
      <c r="A1261" s="106"/>
      <c r="B1261" s="106"/>
      <c r="C1261" s="103"/>
      <c r="D1261" s="4227"/>
      <c r="E1261" s="2352" t="s">
        <v>104</v>
      </c>
      <c r="F1261" s="2091">
        <v>3.35</v>
      </c>
      <c r="G1261" s="2091">
        <v>3.35</v>
      </c>
      <c r="H1261" s="3678" t="s">
        <v>127</v>
      </c>
      <c r="I1261" s="3678"/>
      <c r="J1261" s="106"/>
      <c r="K1261" s="106"/>
      <c r="L1261" s="106"/>
      <c r="M1261" s="106"/>
      <c r="N1261" s="106"/>
      <c r="V1261" s="4228"/>
      <c r="W1261" s="970"/>
      <c r="X1261" s="970"/>
      <c r="Y1261" s="888"/>
      <c r="Z1261" s="888"/>
      <c r="AA1261" s="888"/>
      <c r="AB1261" s="1671"/>
      <c r="AC1261" s="889">
        <v>3.35</v>
      </c>
      <c r="AD1261" s="888">
        <v>3.35</v>
      </c>
      <c r="AE1261" s="888"/>
      <c r="AF1261" s="888"/>
      <c r="AG1261" s="888"/>
      <c r="AI1261" s="970"/>
      <c r="AJ1261" s="970"/>
      <c r="AK1261" s="970"/>
      <c r="AL1261" s="970"/>
      <c r="AM1261" s="970"/>
      <c r="AN1261" s="1671"/>
      <c r="AO1261" s="889">
        <v>3.35</v>
      </c>
      <c r="AP1261" s="888">
        <v>3.35</v>
      </c>
      <c r="AQ1261" s="888"/>
      <c r="AR1261" s="888"/>
      <c r="AS1261" s="888"/>
    </row>
    <row r="1262" spans="1:45" hidden="1" outlineLevel="1" x14ac:dyDescent="0.35">
      <c r="A1262" s="106"/>
      <c r="B1262" s="106"/>
      <c r="C1262" s="103"/>
      <c r="D1262" s="292"/>
      <c r="E1262" s="292"/>
      <c r="F1262" s="106"/>
      <c r="G1262" s="106"/>
      <c r="H1262" s="106"/>
      <c r="I1262" s="106"/>
      <c r="J1262" s="106"/>
      <c r="K1262" s="106"/>
      <c r="L1262" s="106"/>
      <c r="M1262" s="106"/>
      <c r="N1262" s="106"/>
      <c r="AK1262" s="732"/>
    </row>
    <row r="1263" spans="1:45" collapsed="1" x14ac:dyDescent="0.35">
      <c r="A1263" s="106"/>
      <c r="B1263" s="106"/>
      <c r="C1263" s="103"/>
      <c r="D1263" s="292"/>
      <c r="E1263" s="292"/>
      <c r="F1263" s="106"/>
      <c r="G1263" s="106"/>
      <c r="H1263" s="106"/>
      <c r="I1263" s="106"/>
      <c r="J1263" s="106"/>
      <c r="K1263" s="106"/>
      <c r="L1263" s="106"/>
      <c r="M1263" s="106"/>
      <c r="N1263" s="106"/>
      <c r="AK1263" s="732"/>
    </row>
    <row r="1264" spans="1:45" x14ac:dyDescent="0.35">
      <c r="A1264" s="106"/>
      <c r="B1264" s="2325" t="s">
        <v>737</v>
      </c>
      <c r="C1264" s="2326"/>
      <c r="D1264" s="2326"/>
      <c r="E1264" s="2326"/>
      <c r="F1264" s="2326"/>
      <c r="G1264" s="2326"/>
      <c r="H1264" s="2326"/>
      <c r="I1264" s="2326"/>
      <c r="J1264" s="2326"/>
      <c r="K1264" s="2326"/>
      <c r="L1264" s="2326"/>
      <c r="M1264" s="2326"/>
      <c r="N1264" s="2326"/>
      <c r="O1264" s="2326"/>
      <c r="P1264" s="2326"/>
      <c r="Q1264" s="2326"/>
      <c r="R1264" s="2384"/>
      <c r="V1264" s="2954" t="str">
        <f>B1264</f>
        <v>Advanced Power Strips Tier 1  / Load Sensing</v>
      </c>
      <c r="W1264" s="2955"/>
      <c r="X1264" s="2955"/>
      <c r="Y1264" s="2955"/>
      <c r="Z1264" s="2955"/>
      <c r="AA1264" s="2955"/>
      <c r="AB1264" s="2955"/>
      <c r="AC1264" s="2955"/>
      <c r="AD1264" s="2955"/>
      <c r="AE1264" s="2955"/>
      <c r="AF1264" s="2955"/>
      <c r="AG1264" s="2955"/>
      <c r="AH1264" s="2955"/>
      <c r="AI1264" s="2968"/>
      <c r="AK1264" s="732"/>
    </row>
    <row r="1265" spans="1:57" x14ac:dyDescent="0.35">
      <c r="A1265" s="106"/>
      <c r="B1265" s="106"/>
      <c r="C1265" s="103"/>
      <c r="D1265" s="292"/>
      <c r="E1265" s="292"/>
      <c r="F1265" s="106"/>
      <c r="G1265" s="106"/>
      <c r="H1265" s="106"/>
      <c r="I1265" s="106"/>
      <c r="J1265" s="106"/>
      <c r="K1265" s="106"/>
      <c r="L1265" s="106"/>
      <c r="M1265" s="106"/>
      <c r="N1265" s="106"/>
      <c r="AK1265" s="732"/>
    </row>
    <row r="1266" spans="1:57" ht="29" x14ac:dyDescent="0.35">
      <c r="A1266" s="106"/>
      <c r="B1266" s="106"/>
      <c r="C1266" s="2331" t="s">
        <v>27</v>
      </c>
      <c r="D1266" s="2331" t="s">
        <v>174</v>
      </c>
      <c r="E1266" s="2331" t="s">
        <v>29</v>
      </c>
      <c r="F1266" s="2331" t="s">
        <v>30</v>
      </c>
      <c r="G1266" s="2331" t="s">
        <v>175</v>
      </c>
      <c r="H1266" s="2331" t="s">
        <v>176</v>
      </c>
      <c r="I1266" s="2331" t="s">
        <v>31</v>
      </c>
      <c r="J1266" s="2331" t="s">
        <v>180</v>
      </c>
      <c r="K1266" s="2331" t="s">
        <v>169</v>
      </c>
      <c r="L1266" s="2331" t="s">
        <v>43</v>
      </c>
      <c r="M1266" s="106"/>
      <c r="N1266" s="106"/>
      <c r="V1266" s="1572" t="s">
        <v>44</v>
      </c>
      <c r="W1266" s="1573">
        <v>43252</v>
      </c>
      <c r="X1266" s="1573">
        <f>$X$6</f>
        <v>43465</v>
      </c>
      <c r="Y1266" s="316">
        <f>$Y$6</f>
        <v>43800</v>
      </c>
      <c r="Z1266" s="1573">
        <f>$Z$6</f>
        <v>43862</v>
      </c>
      <c r="AA1266" s="1573">
        <f>$AA$6</f>
        <v>44013</v>
      </c>
      <c r="AB1266" s="1573">
        <f>$AB$6</f>
        <v>44166</v>
      </c>
      <c r="AC1266" s="1573">
        <f>$AC$6</f>
        <v>44531</v>
      </c>
      <c r="AD1266" s="1573">
        <f>$AD$6</f>
        <v>44774</v>
      </c>
      <c r="AE1266" s="1573" t="str">
        <f>$AE$6</f>
        <v>-</v>
      </c>
      <c r="AF1266" s="1573" t="str">
        <f>$AF$6</f>
        <v>-</v>
      </c>
      <c r="AG1266" s="1573" t="str">
        <f>$AG$6</f>
        <v>-</v>
      </c>
      <c r="AK1266" s="732"/>
      <c r="BB1266" s="1574" t="str">
        <f>$BB$6</f>
        <v>TRC (2022)</v>
      </c>
      <c r="BC1266" s="1584" t="str">
        <f>$BC$6</f>
        <v>Benefit Lookup</v>
      </c>
      <c r="BD1266" s="556" t="str">
        <f>$BD$6</f>
        <v>Benefits (2019 $)</v>
      </c>
      <c r="BE1266" s="200" t="str">
        <f>$BE$6</f>
        <v>Incremental Cost (2019 $)</v>
      </c>
    </row>
    <row r="1267" spans="1:57" x14ac:dyDescent="0.35">
      <c r="A1267" s="106"/>
      <c r="B1267" s="106"/>
      <c r="C1267" s="831" t="s">
        <v>2035</v>
      </c>
      <c r="D1267" s="301" t="s">
        <v>2002</v>
      </c>
      <c r="E1267" s="2352" t="s">
        <v>2036</v>
      </c>
      <c r="F1267" s="974">
        <f>ROUND((G$1285*G1291+G$1286*G1287)*G$1295,2)</f>
        <v>29.45</v>
      </c>
      <c r="G1267" s="971" t="s">
        <v>375</v>
      </c>
      <c r="H1267" s="136">
        <f>VLOOKUP(G1267,'CP FACTORS'!$A$3:$B$38, 2, FALSE)</f>
        <v>1.148238E-4</v>
      </c>
      <c r="I1267" s="1278">
        <f t="shared" ref="I1267:I1277" si="183">ROUND(F1267*H1267,6)</f>
        <v>3.382E-3</v>
      </c>
      <c r="J1267" s="124">
        <v>10</v>
      </c>
      <c r="K1267" s="476">
        <f>$G$1298</f>
        <v>20</v>
      </c>
      <c r="L1267" s="50" t="s">
        <v>184</v>
      </c>
      <c r="M1267" s="106"/>
      <c r="N1267" s="106"/>
      <c r="V1267" s="1291" t="str">
        <f t="shared" ref="V1267:V1277" si="184">$F$1266</f>
        <v>kWh Annual Savings</v>
      </c>
      <c r="W1267" s="972">
        <v>31</v>
      </c>
      <c r="X1267" s="972">
        <v>31</v>
      </c>
      <c r="Y1267" s="972">
        <v>31</v>
      </c>
      <c r="Z1267" s="972">
        <v>31</v>
      </c>
      <c r="AA1267" s="972">
        <v>31</v>
      </c>
      <c r="AB1267" s="2300">
        <v>31</v>
      </c>
      <c r="AC1267" s="99">
        <v>29.45</v>
      </c>
      <c r="AD1267" s="89">
        <v>29.45</v>
      </c>
      <c r="AE1267" s="142"/>
      <c r="AF1267" s="142"/>
      <c r="AG1267" s="142"/>
      <c r="AK1267" s="732"/>
      <c r="BB1267" s="1578">
        <f t="shared" ref="BB1267" si="185">(BD1267)/(BE1267)</f>
        <v>0.5393865650555788</v>
      </c>
      <c r="BC1267" s="2381" t="str">
        <f t="shared" ref="BC1267:BC1277" si="186">CONCATENATE(G1267," ",J1267," Year EUL")</f>
        <v>Miscellaneous RES 10 Year EUL</v>
      </c>
      <c r="BD1267" s="95">
        <f>(INDEX('Avoided Cost Benefits'!$E$4:$E$859,MATCH(BC1267,'Avoided Cost Benefits'!$A$4:$A$859,0)))*F1267</f>
        <v>10.181907787740986</v>
      </c>
      <c r="BE1267" s="1579">
        <f>K1267/(1.0595^(2020-2019))</f>
        <v>18.876828692779611</v>
      </c>
    </row>
    <row r="1268" spans="1:57" x14ac:dyDescent="0.35">
      <c r="A1268" s="106"/>
      <c r="B1268" s="106"/>
      <c r="C1268" s="831" t="s">
        <v>2037</v>
      </c>
      <c r="D1268" s="301" t="s">
        <v>2002</v>
      </c>
      <c r="E1268" s="2333" t="s">
        <v>2038</v>
      </c>
      <c r="F1268" s="458">
        <f>ROUND((G$1285*G1291+G$1286*G1287)*G$1295,2)</f>
        <v>29.45</v>
      </c>
      <c r="G1268" s="971" t="s">
        <v>375</v>
      </c>
      <c r="H1268" s="136">
        <f>VLOOKUP(G1268,'CP FACTORS'!$A$3:$B$38, 2, FALSE)</f>
        <v>1.148238E-4</v>
      </c>
      <c r="I1268" s="1278">
        <f t="shared" si="183"/>
        <v>3.382E-3</v>
      </c>
      <c r="J1268" s="124">
        <v>10</v>
      </c>
      <c r="K1268" s="476">
        <f>$G$1299</f>
        <v>30</v>
      </c>
      <c r="L1268" s="50" t="s">
        <v>184</v>
      </c>
      <c r="M1268" s="106"/>
      <c r="N1268" s="106"/>
      <c r="V1268" s="1291" t="str">
        <f t="shared" si="184"/>
        <v>kWh Annual Savings</v>
      </c>
      <c r="W1268" s="972"/>
      <c r="X1268" s="972"/>
      <c r="Y1268" s="972"/>
      <c r="Z1268" s="972"/>
      <c r="AA1268" s="972"/>
      <c r="AB1268" s="2300">
        <v>31</v>
      </c>
      <c r="AC1268" s="459">
        <v>29.45</v>
      </c>
      <c r="AD1268" s="461">
        <v>29.45</v>
      </c>
      <c r="AE1268" s="142"/>
      <c r="AF1268" s="142"/>
      <c r="AG1268" s="142"/>
      <c r="AK1268" s="732"/>
      <c r="BB1268" s="1578">
        <f t="shared" ref="BB1268:BB1273" si="187">(BD1268)/(BE1268)</f>
        <v>0.35959104337038583</v>
      </c>
      <c r="BC1268" s="2381" t="str">
        <f t="shared" si="186"/>
        <v>Miscellaneous RES 10 Year EUL</v>
      </c>
      <c r="BD1268" s="95">
        <f>(INDEX('Avoided Cost Benefits'!$E$4:$E$859,MATCH(BC1268,'Avoided Cost Benefits'!$A$4:$A$859,0)))*F1268</f>
        <v>10.181907787740986</v>
      </c>
      <c r="BE1268" s="1579">
        <f t="shared" ref="BE1268:BE1273" si="188">K1268/(1.0595^(2020-2019))</f>
        <v>28.315243039169417</v>
      </c>
    </row>
    <row r="1269" spans="1:57" x14ac:dyDescent="0.35">
      <c r="A1269" s="106"/>
      <c r="B1269" s="106"/>
      <c r="C1269" s="831" t="s">
        <v>2039</v>
      </c>
      <c r="D1269" s="301" t="s">
        <v>2002</v>
      </c>
      <c r="E1269" s="2352" t="s">
        <v>2040</v>
      </c>
      <c r="F1269" s="974">
        <f>ROUND((G1285*G1291+G1286*G1292)*G1296,2)</f>
        <v>24.18</v>
      </c>
      <c r="G1269" s="971" t="s">
        <v>375</v>
      </c>
      <c r="H1269" s="136">
        <f>VLOOKUP(G1269,'CP FACTORS'!$A$3:$B$38, 2, FALSE)</f>
        <v>1.148238E-4</v>
      </c>
      <c r="I1269" s="1278">
        <f t="shared" si="183"/>
        <v>2.7759999999999998E-3</v>
      </c>
      <c r="J1269" s="124">
        <v>10</v>
      </c>
      <c r="K1269" s="476">
        <f>$G$1298</f>
        <v>20</v>
      </c>
      <c r="L1269" s="50" t="s">
        <v>184</v>
      </c>
      <c r="M1269" s="106"/>
      <c r="N1269" s="106"/>
      <c r="V1269" s="1291" t="str">
        <f t="shared" si="184"/>
        <v>kWh Annual Savings</v>
      </c>
      <c r="W1269" s="972">
        <v>24.18</v>
      </c>
      <c r="X1269" s="972">
        <v>24.18</v>
      </c>
      <c r="Y1269" s="972">
        <v>24.18</v>
      </c>
      <c r="Z1269" s="972">
        <v>24.18</v>
      </c>
      <c r="AA1269" s="972">
        <v>24.18</v>
      </c>
      <c r="AB1269" s="2300">
        <v>24.18</v>
      </c>
      <c r="AC1269" s="89">
        <v>24.18</v>
      </c>
      <c r="AD1269" s="89">
        <v>24.18</v>
      </c>
      <c r="AE1269" s="142"/>
      <c r="AF1269" s="142"/>
      <c r="AG1269" s="142"/>
      <c r="AH1269" s="741"/>
      <c r="AI1269" s="741"/>
      <c r="AK1269" s="732"/>
      <c r="BB1269" s="1578">
        <f t="shared" si="187"/>
        <v>0.44286475867721203</v>
      </c>
      <c r="BC1269" s="2381" t="str">
        <f t="shared" si="186"/>
        <v>Miscellaneous RES 10 Year EUL</v>
      </c>
      <c r="BD1269" s="95">
        <f>(INDEX('Avoided Cost Benefits'!$E$4:$E$859,MATCH(BC1269,'Avoided Cost Benefits'!$A$4:$A$859,0)))*F1269</f>
        <v>8.3598821836189146</v>
      </c>
      <c r="BE1269" s="1579">
        <f t="shared" si="188"/>
        <v>18.876828692779611</v>
      </c>
    </row>
    <row r="1270" spans="1:57" x14ac:dyDescent="0.35">
      <c r="A1270" s="106"/>
      <c r="B1270" s="106"/>
      <c r="C1270" s="831" t="s">
        <v>2041</v>
      </c>
      <c r="D1270" s="301" t="s">
        <v>2002</v>
      </c>
      <c r="E1270" s="2352" t="s">
        <v>2042</v>
      </c>
      <c r="F1270" s="974">
        <f>ROUND((G1285*G1287+G1286*G1288)*G1295,2)</f>
        <v>71.349999999999994</v>
      </c>
      <c r="G1270" s="971" t="s">
        <v>375</v>
      </c>
      <c r="H1270" s="136">
        <f>VLOOKUP(G1270,'CP FACTORS'!$A$3:$B$38, 2, FALSE)</f>
        <v>1.148238E-4</v>
      </c>
      <c r="I1270" s="1278">
        <f t="shared" si="183"/>
        <v>8.1930000000000006E-3</v>
      </c>
      <c r="J1270" s="124">
        <v>10</v>
      </c>
      <c r="K1270" s="476">
        <f>$G$1298</f>
        <v>20</v>
      </c>
      <c r="L1270" s="50" t="s">
        <v>184</v>
      </c>
      <c r="M1270" s="106"/>
      <c r="N1270" s="106"/>
      <c r="V1270" s="1291" t="str">
        <f t="shared" si="184"/>
        <v>kWh Annual Savings</v>
      </c>
      <c r="W1270" s="972">
        <v>75.099999999999994</v>
      </c>
      <c r="X1270" s="972">
        <v>75.099999999999994</v>
      </c>
      <c r="Y1270" s="972">
        <v>75.099999999999994</v>
      </c>
      <c r="Z1270" s="972">
        <v>75.099999999999994</v>
      </c>
      <c r="AA1270" s="972">
        <v>75.099999999999994</v>
      </c>
      <c r="AB1270" s="2300">
        <v>75.099999999999994</v>
      </c>
      <c r="AC1270" s="99">
        <v>71.349999999999994</v>
      </c>
      <c r="AD1270" s="89">
        <v>71.349999999999994</v>
      </c>
      <c r="AE1270" s="142"/>
      <c r="AF1270" s="142"/>
      <c r="AG1270" s="142"/>
      <c r="AH1270" s="741"/>
      <c r="AI1270" s="741"/>
      <c r="AK1270" s="732"/>
      <c r="BB1270" s="1578">
        <f t="shared" si="187"/>
        <v>1.3067990294300695</v>
      </c>
      <c r="BC1270" s="2381" t="str">
        <f t="shared" si="186"/>
        <v>Miscellaneous RES 10 Year EUL</v>
      </c>
      <c r="BD1270" s="95">
        <f>(INDEX('Avoided Cost Benefits'!$E$4:$E$859,MATCH(BC1270,'Avoided Cost Benefits'!$A$4:$A$859,0)))*F1270</f>
        <v>24.668221414442083</v>
      </c>
      <c r="BE1270" s="1579">
        <f t="shared" si="188"/>
        <v>18.876828692779611</v>
      </c>
    </row>
    <row r="1271" spans="1:57" x14ac:dyDescent="0.35">
      <c r="A1271" s="106"/>
      <c r="B1271" s="106"/>
      <c r="C1271" s="831" t="s">
        <v>2043</v>
      </c>
      <c r="D1271" s="301" t="s">
        <v>2002</v>
      </c>
      <c r="E1271" s="2333" t="s">
        <v>2044</v>
      </c>
      <c r="F1271" s="458">
        <f>ROUND((G1285*G1287+G1286*G1288)*G1295,2)</f>
        <v>71.349999999999994</v>
      </c>
      <c r="G1271" s="971" t="s">
        <v>375</v>
      </c>
      <c r="H1271" s="136">
        <f>VLOOKUP(G1271,'CP FACTORS'!$A$3:$B$38, 2, FALSE)</f>
        <v>1.148238E-4</v>
      </c>
      <c r="I1271" s="1278">
        <f t="shared" si="183"/>
        <v>8.1930000000000006E-3</v>
      </c>
      <c r="J1271" s="124">
        <v>10</v>
      </c>
      <c r="K1271" s="476">
        <f>$G$1299</f>
        <v>30</v>
      </c>
      <c r="L1271" s="50" t="s">
        <v>184</v>
      </c>
      <c r="M1271" s="106"/>
      <c r="N1271" s="106"/>
      <c r="V1271" s="1291" t="str">
        <f t="shared" si="184"/>
        <v>kWh Annual Savings</v>
      </c>
      <c r="W1271" s="972"/>
      <c r="X1271" s="972"/>
      <c r="Y1271" s="972"/>
      <c r="Z1271" s="972"/>
      <c r="AA1271" s="972"/>
      <c r="AB1271" s="2300">
        <v>75.099999999999994</v>
      </c>
      <c r="AC1271" s="459">
        <v>71.349999999999994</v>
      </c>
      <c r="AD1271" s="461">
        <v>71.349999999999994</v>
      </c>
      <c r="AE1271" s="142"/>
      <c r="AF1271" s="142"/>
      <c r="AG1271" s="142"/>
      <c r="AH1271" s="741"/>
      <c r="AI1271" s="741"/>
      <c r="AK1271" s="732"/>
      <c r="BB1271" s="1578">
        <f t="shared" si="187"/>
        <v>0.87119935295337969</v>
      </c>
      <c r="BC1271" s="2381" t="str">
        <f t="shared" si="186"/>
        <v>Miscellaneous RES 10 Year EUL</v>
      </c>
      <c r="BD1271" s="95">
        <f>(INDEX('Avoided Cost Benefits'!$E$4:$E$859,MATCH(BC1271,'Avoided Cost Benefits'!$A$4:$A$859,0)))*F1271</f>
        <v>24.668221414442083</v>
      </c>
      <c r="BE1271" s="1579">
        <f t="shared" si="188"/>
        <v>28.315243039169417</v>
      </c>
    </row>
    <row r="1272" spans="1:57" x14ac:dyDescent="0.35">
      <c r="A1272" s="106"/>
      <c r="B1272" s="106"/>
      <c r="C1272" s="831" t="s">
        <v>2045</v>
      </c>
      <c r="D1272" s="301" t="s">
        <v>2002</v>
      </c>
      <c r="E1272" s="2352" t="s">
        <v>2046</v>
      </c>
      <c r="F1272" s="974">
        <f>ROUND((G1285*G1287+G1286*G1288)*G1296,2)</f>
        <v>58.58</v>
      </c>
      <c r="G1272" s="971" t="s">
        <v>375</v>
      </c>
      <c r="H1272" s="136">
        <f>VLOOKUP(G1272,'CP FACTORS'!$A$3:$B$38, 2, FALSE)</f>
        <v>1.148238E-4</v>
      </c>
      <c r="I1272" s="1278">
        <f t="shared" si="183"/>
        <v>6.7260000000000002E-3</v>
      </c>
      <c r="J1272" s="124">
        <v>10</v>
      </c>
      <c r="K1272" s="476">
        <f>$G$1298</f>
        <v>20</v>
      </c>
      <c r="L1272" s="50" t="s">
        <v>184</v>
      </c>
      <c r="M1272" s="106"/>
      <c r="N1272" s="106"/>
      <c r="V1272" s="1291" t="str">
        <f t="shared" si="184"/>
        <v>kWh Annual Savings</v>
      </c>
      <c r="W1272" s="973">
        <v>58.577999999999996</v>
      </c>
      <c r="X1272" s="973">
        <v>58.577999999999996</v>
      </c>
      <c r="Y1272" s="973">
        <v>58.58</v>
      </c>
      <c r="Z1272" s="973">
        <v>58.58</v>
      </c>
      <c r="AA1272" s="973">
        <v>58.58</v>
      </c>
      <c r="AB1272" s="964">
        <v>58.58</v>
      </c>
      <c r="AC1272" s="89">
        <v>58.58</v>
      </c>
      <c r="AD1272" s="89">
        <v>58.58</v>
      </c>
      <c r="AE1272" s="748"/>
      <c r="AF1272" s="748"/>
      <c r="AG1272" s="748"/>
      <c r="AH1272" s="741"/>
      <c r="AI1272" s="741"/>
      <c r="AK1272" s="732"/>
      <c r="BB1272" s="1578">
        <f t="shared" si="187"/>
        <v>1.0729122234619968</v>
      </c>
      <c r="BC1272" s="2381" t="str">
        <f t="shared" si="186"/>
        <v>Miscellaneous RES 10 Year EUL</v>
      </c>
      <c r="BD1272" s="95">
        <f>(INDEX('Avoided Cost Benefits'!$E$4:$E$859,MATCH(BC1272,'Avoided Cost Benefits'!$A$4:$A$859,0)))*F1272</f>
        <v>20.253180244681392</v>
      </c>
      <c r="BE1272" s="1579">
        <f t="shared" si="188"/>
        <v>18.876828692779611</v>
      </c>
    </row>
    <row r="1273" spans="1:57" x14ac:dyDescent="0.35">
      <c r="A1273" s="106"/>
      <c r="B1273" s="106"/>
      <c r="C1273" s="831" t="s">
        <v>2047</v>
      </c>
      <c r="D1273" s="301" t="s">
        <v>2002</v>
      </c>
      <c r="E1273" s="2352" t="s">
        <v>2048</v>
      </c>
      <c r="F1273" s="974">
        <f>ROUND((G1285*G1293+G1286*G1289)*G1295,2)</f>
        <v>56.26</v>
      </c>
      <c r="G1273" s="971" t="s">
        <v>375</v>
      </c>
      <c r="H1273" s="136">
        <f>VLOOKUP(G1273,'CP FACTORS'!$A$3:$B$38, 2, FALSE)</f>
        <v>1.148238E-4</v>
      </c>
      <c r="I1273" s="1278">
        <f t="shared" si="183"/>
        <v>6.4599999999999996E-3</v>
      </c>
      <c r="J1273" s="124">
        <v>10</v>
      </c>
      <c r="K1273" s="476">
        <f>$G$1298</f>
        <v>20</v>
      </c>
      <c r="L1273" s="50" t="s">
        <v>184</v>
      </c>
      <c r="M1273" s="106"/>
      <c r="N1273" s="106"/>
      <c r="V1273" s="1291" t="str">
        <f t="shared" si="184"/>
        <v>kWh Annual Savings</v>
      </c>
      <c r="W1273" s="973">
        <v>59.224000000000004</v>
      </c>
      <c r="X1273" s="973">
        <v>59.224000000000004</v>
      </c>
      <c r="Y1273" s="973">
        <v>59.22</v>
      </c>
      <c r="Z1273" s="973">
        <v>59.22</v>
      </c>
      <c r="AA1273" s="973">
        <v>59.22</v>
      </c>
      <c r="AB1273" s="964">
        <v>59.22</v>
      </c>
      <c r="AC1273" s="99">
        <v>56.26</v>
      </c>
      <c r="AD1273" s="89">
        <v>56.26</v>
      </c>
      <c r="AE1273" s="748"/>
      <c r="AF1273" s="748"/>
      <c r="AG1273" s="748"/>
      <c r="AK1273" s="732"/>
      <c r="BB1273" s="1578">
        <f t="shared" si="187"/>
        <v>1.030420650255581</v>
      </c>
      <c r="BC1273" s="2381" t="str">
        <f t="shared" si="186"/>
        <v>Miscellaneous RES 10 Year EUL</v>
      </c>
      <c r="BD1273" s="95">
        <f>(INDEX('Avoided Cost Benefits'!$E$4:$E$859,MATCH(BC1273,'Avoided Cost Benefits'!$A$4:$A$859,0)))*F1273</f>
        <v>19.451074096377177</v>
      </c>
      <c r="BE1273" s="1579">
        <f t="shared" si="188"/>
        <v>18.876828692779611</v>
      </c>
    </row>
    <row r="1274" spans="1:57" x14ac:dyDescent="0.35">
      <c r="A1274" s="106"/>
      <c r="B1274" s="106"/>
      <c r="C1274" s="831" t="s">
        <v>2049</v>
      </c>
      <c r="D1274" s="301" t="s">
        <v>2002</v>
      </c>
      <c r="E1274" s="2333" t="s">
        <v>2050</v>
      </c>
      <c r="F1274" s="458">
        <f>ROUND((G1285*G1293+G1286*G1289)*G1295,2)</f>
        <v>56.26</v>
      </c>
      <c r="G1274" s="971" t="s">
        <v>375</v>
      </c>
      <c r="H1274" s="136">
        <f>VLOOKUP(G1274,'CP FACTORS'!$A$3:$B$38, 2, FALSE)</f>
        <v>1.148238E-4</v>
      </c>
      <c r="I1274" s="1278">
        <f t="shared" si="183"/>
        <v>6.4599999999999996E-3</v>
      </c>
      <c r="J1274" s="124">
        <v>10</v>
      </c>
      <c r="K1274" s="476">
        <f>$G$1299</f>
        <v>30</v>
      </c>
      <c r="L1274" s="50" t="s">
        <v>184</v>
      </c>
      <c r="M1274" s="106"/>
      <c r="N1274" s="106"/>
      <c r="V1274" s="1291" t="str">
        <f t="shared" si="184"/>
        <v>kWh Annual Savings</v>
      </c>
      <c r="W1274" s="973"/>
      <c r="X1274" s="973"/>
      <c r="Y1274" s="973"/>
      <c r="Z1274" s="973"/>
      <c r="AA1274" s="973"/>
      <c r="AB1274" s="964">
        <v>59.22</v>
      </c>
      <c r="AC1274" s="459">
        <v>56.26</v>
      </c>
      <c r="AD1274" s="461">
        <v>56.26</v>
      </c>
      <c r="AE1274" s="748"/>
      <c r="AF1274" s="748"/>
      <c r="AG1274" s="748"/>
      <c r="AK1274" s="732"/>
      <c r="BB1274" s="1578">
        <f t="shared" ref="BB1274:BB1277" si="189">(BD1274)/(BE1274)</f>
        <v>0.6869471001703874</v>
      </c>
      <c r="BC1274" s="2381" t="str">
        <f t="shared" si="186"/>
        <v>Miscellaneous RES 10 Year EUL</v>
      </c>
      <c r="BD1274" s="95">
        <f>(INDEX('Avoided Cost Benefits'!$E$4:$E$859,MATCH(BC1274,'Avoided Cost Benefits'!$A$4:$A$859,0)))*F1274</f>
        <v>19.451074096377177</v>
      </c>
      <c r="BE1274" s="1579">
        <f t="shared" ref="BE1274:BE1277" si="190">K1274/(1.0595^(2020-2019))</f>
        <v>28.315243039169417</v>
      </c>
    </row>
    <row r="1275" spans="1:57" x14ac:dyDescent="0.35">
      <c r="A1275" s="106"/>
      <c r="B1275" s="106"/>
      <c r="C1275" s="831" t="s">
        <v>2051</v>
      </c>
      <c r="D1275" s="301" t="s">
        <v>2002</v>
      </c>
      <c r="E1275" s="2352" t="s">
        <v>2052</v>
      </c>
      <c r="F1275" s="974">
        <f>ROUND((G1285*G1294+G1286*G1290)*G1296,2)</f>
        <v>42.07</v>
      </c>
      <c r="G1275" s="971" t="s">
        <v>375</v>
      </c>
      <c r="H1275" s="136">
        <f>VLOOKUP(G1275,'CP FACTORS'!$A$3:$B$38, 2, FALSE)</f>
        <v>1.148238E-4</v>
      </c>
      <c r="I1275" s="1278">
        <f t="shared" si="183"/>
        <v>4.8310000000000002E-3</v>
      </c>
      <c r="J1275" s="124">
        <v>10</v>
      </c>
      <c r="K1275" s="476">
        <f>$G$1298</f>
        <v>20</v>
      </c>
      <c r="L1275" s="50" t="s">
        <v>184</v>
      </c>
      <c r="M1275" s="106"/>
      <c r="N1275" s="106"/>
      <c r="V1275" s="1291" t="str">
        <f t="shared" si="184"/>
        <v>kWh Annual Savings</v>
      </c>
      <c r="W1275" s="973">
        <v>42.066960000000002</v>
      </c>
      <c r="X1275" s="973">
        <v>42.066960000000002</v>
      </c>
      <c r="Y1275" s="973">
        <v>42.07</v>
      </c>
      <c r="Z1275" s="973">
        <v>42.07</v>
      </c>
      <c r="AA1275" s="973">
        <v>42.07</v>
      </c>
      <c r="AB1275" s="964">
        <v>42.07</v>
      </c>
      <c r="AC1275" s="89">
        <v>42.07</v>
      </c>
      <c r="AD1275" s="89">
        <v>42.07</v>
      </c>
      <c r="AE1275" s="748"/>
      <c r="AF1275" s="748"/>
      <c r="AG1275" s="748"/>
      <c r="AK1275" s="732"/>
      <c r="BB1275" s="1578">
        <f t="shared" si="189"/>
        <v>0.77052607103185744</v>
      </c>
      <c r="BC1275" s="2381" t="str">
        <f t="shared" si="186"/>
        <v>Miscellaneous RES 10 Year EUL</v>
      </c>
      <c r="BD1275" s="95">
        <f>(INDEX('Avoided Cost Benefits'!$E$4:$E$859,MATCH(BC1275,'Avoided Cost Benefits'!$A$4:$A$859,0)))*F1275</f>
        <v>14.545088646188907</v>
      </c>
      <c r="BE1275" s="1579">
        <f t="shared" si="190"/>
        <v>18.876828692779611</v>
      </c>
    </row>
    <row r="1276" spans="1:57" s="975" customFormat="1" x14ac:dyDescent="0.35">
      <c r="A1276" s="1243"/>
      <c r="B1276" s="1243"/>
      <c r="C1276" s="831" t="s">
        <v>2053</v>
      </c>
      <c r="D1276" s="301" t="s">
        <v>2002</v>
      </c>
      <c r="E1276" s="2333" t="s">
        <v>391</v>
      </c>
      <c r="F1276" s="974">
        <f>'Efficient Products Deemed Table'!F228</f>
        <v>151.96</v>
      </c>
      <c r="G1276" s="971" t="s">
        <v>375</v>
      </c>
      <c r="H1276" s="136">
        <f>VLOOKUP(G1276,'CP FACTORS'!$A$3:$B$38, 2, FALSE)</f>
        <v>1.148238E-4</v>
      </c>
      <c r="I1276" s="1278">
        <f t="shared" si="183"/>
        <v>1.7448999999999999E-2</v>
      </c>
      <c r="J1276" s="124">
        <v>10</v>
      </c>
      <c r="K1276" s="476">
        <f>$G$1300</f>
        <v>30</v>
      </c>
      <c r="L1276" s="88" t="s">
        <v>184</v>
      </c>
      <c r="M1276" s="1429"/>
      <c r="N1276" s="1429"/>
      <c r="O1276" s="1429"/>
      <c r="P1276" s="1429"/>
      <c r="Q1276" s="1429"/>
      <c r="R1276" s="1429"/>
      <c r="S1276" s="1429"/>
      <c r="T1276" s="1429"/>
      <c r="U1276" s="1429"/>
      <c r="V1276" s="1291" t="str">
        <f t="shared" si="184"/>
        <v>kWh Annual Savings</v>
      </c>
      <c r="W1276" s="973">
        <v>162</v>
      </c>
      <c r="X1276" s="973">
        <v>162</v>
      </c>
      <c r="Y1276" s="973">
        <v>162</v>
      </c>
      <c r="Z1276" s="973">
        <v>162</v>
      </c>
      <c r="AA1276" s="973">
        <v>162</v>
      </c>
      <c r="AB1276" s="964">
        <v>151.96</v>
      </c>
      <c r="AC1276" s="89">
        <v>151.96</v>
      </c>
      <c r="AD1276" s="89">
        <v>151.96</v>
      </c>
      <c r="AE1276" s="748"/>
      <c r="AF1276" s="748"/>
      <c r="AG1276" s="748"/>
      <c r="AH1276" s="196"/>
      <c r="AI1276" s="196"/>
      <c r="AJ1276" s="196"/>
      <c r="AK1276" s="732"/>
      <c r="AL1276" s="196"/>
      <c r="BB1276" s="1578">
        <f t="shared" si="189"/>
        <v>1.8554653633468197</v>
      </c>
      <c r="BC1276" s="2381" t="str">
        <f t="shared" si="186"/>
        <v>Miscellaneous RES 10 Year EUL</v>
      </c>
      <c r="BD1276" s="95">
        <f>(INDEX('Avoided Cost Benefits'!$E$4:$E$859,MATCH(BC1276,'Avoided Cost Benefits'!$A$4:$A$859,0)))*F1276</f>
        <v>52.537952713925989</v>
      </c>
      <c r="BE1276" s="1579">
        <f t="shared" si="190"/>
        <v>28.315243039169417</v>
      </c>
    </row>
    <row r="1277" spans="1:57" s="975" customFormat="1" x14ac:dyDescent="0.35">
      <c r="A1277" s="1243"/>
      <c r="B1277" s="1243"/>
      <c r="C1277" s="831" t="s">
        <v>2054</v>
      </c>
      <c r="D1277" s="301" t="s">
        <v>2002</v>
      </c>
      <c r="E1277" s="2333" t="s">
        <v>393</v>
      </c>
      <c r="F1277" s="458">
        <f>'Efficient Products Deemed Table'!F229</f>
        <v>153.9</v>
      </c>
      <c r="G1277" s="971" t="s">
        <v>375</v>
      </c>
      <c r="H1277" s="136">
        <f>VLOOKUP(G1277,'CP FACTORS'!$A$3:$B$38, 2, FALSE)</f>
        <v>1.148238E-4</v>
      </c>
      <c r="I1277" s="1278">
        <f t="shared" si="183"/>
        <v>1.7670999999999999E-2</v>
      </c>
      <c r="J1277" s="124">
        <v>10</v>
      </c>
      <c r="K1277" s="476">
        <f>$G$1301</f>
        <v>60</v>
      </c>
      <c r="L1277" s="88" t="s">
        <v>184</v>
      </c>
      <c r="M1277" s="1429"/>
      <c r="N1277" s="1429"/>
      <c r="O1277" s="1429"/>
      <c r="P1277" s="1429"/>
      <c r="Q1277" s="1429"/>
      <c r="R1277" s="1429"/>
      <c r="S1277" s="1429"/>
      <c r="T1277" s="1429"/>
      <c r="U1277" s="1429"/>
      <c r="V1277" s="1592" t="str">
        <f t="shared" si="184"/>
        <v>kWh Annual Savings</v>
      </c>
      <c r="W1277" s="973"/>
      <c r="X1277" s="973"/>
      <c r="Y1277" s="973"/>
      <c r="Z1277" s="973"/>
      <c r="AA1277" s="973"/>
      <c r="AB1277" s="964">
        <v>153.9</v>
      </c>
      <c r="AC1277" s="461">
        <v>153.9</v>
      </c>
      <c r="AD1277" s="461">
        <v>153.9</v>
      </c>
      <c r="AE1277" s="748"/>
      <c r="AF1277" s="748"/>
      <c r="AG1277" s="748"/>
      <c r="AH1277" s="196"/>
      <c r="AI1277" s="196"/>
      <c r="AJ1277" s="196"/>
      <c r="AK1277" s="732"/>
      <c r="AL1277" s="196"/>
      <c r="BB1277" s="1585">
        <f t="shared" si="189"/>
        <v>0.93957659719358899</v>
      </c>
      <c r="BC1277" s="2381" t="str">
        <f t="shared" si="186"/>
        <v>Miscellaneous RES 10 Year EUL</v>
      </c>
      <c r="BD1277" s="147">
        <f>(INDEX('Avoided Cost Benefits'!$E$4:$E$859,MATCH(BC1277,'Avoided Cost Benefits'!$A$4:$A$859,0)))*F1277</f>
        <v>53.208679406904515</v>
      </c>
      <c r="BE1277" s="1587">
        <f t="shared" si="190"/>
        <v>56.630486078338834</v>
      </c>
    </row>
    <row r="1278" spans="1:57" hidden="1" outlineLevel="1" x14ac:dyDescent="0.35">
      <c r="A1278" s="106"/>
      <c r="B1278" s="106"/>
      <c r="C1278" s="103"/>
      <c r="D1278" s="945"/>
      <c r="E1278" s="945"/>
      <c r="F1278" s="469"/>
      <c r="G1278" s="946"/>
      <c r="H1278" s="1235"/>
      <c r="I1278" s="976"/>
      <c r="J1278" s="1430"/>
      <c r="K1278" s="976"/>
      <c r="L1278" s="106"/>
      <c r="M1278" s="106"/>
      <c r="N1278" s="106"/>
      <c r="AJ1278" s="975"/>
      <c r="AK1278" s="732"/>
      <c r="AL1278" s="975"/>
    </row>
    <row r="1279" spans="1:57" hidden="1" outlineLevel="1" x14ac:dyDescent="0.35">
      <c r="A1279" s="106"/>
      <c r="B1279" s="106"/>
      <c r="C1279" s="103"/>
      <c r="D1279" s="152" t="s">
        <v>107</v>
      </c>
      <c r="E1279" s="690"/>
      <c r="F1279" s="452"/>
      <c r="G1279" s="452"/>
      <c r="H1279" s="452"/>
      <c r="I1279" s="452"/>
      <c r="J1279" s="452"/>
      <c r="K1279" s="452"/>
      <c r="L1279" s="106"/>
      <c r="M1279" s="106"/>
      <c r="N1279" s="106"/>
      <c r="V1279" s="975"/>
      <c r="W1279" s="975"/>
      <c r="X1279" s="975"/>
      <c r="Y1279" s="977"/>
      <c r="Z1279" s="975"/>
      <c r="AA1279" s="975"/>
      <c r="AB1279" s="975"/>
      <c r="AC1279" s="975"/>
      <c r="AD1279" s="975"/>
      <c r="AE1279" s="975"/>
      <c r="AF1279" s="975"/>
      <c r="AG1279" s="975"/>
      <c r="AH1279" s="975"/>
      <c r="AI1279" s="975"/>
      <c r="AK1279" s="732"/>
    </row>
    <row r="1280" spans="1:57" hidden="1" outlineLevel="1" x14ac:dyDescent="0.35">
      <c r="A1280" s="106"/>
      <c r="B1280" s="106"/>
      <c r="C1280" s="103"/>
      <c r="D1280" s="690"/>
      <c r="E1280" s="690"/>
      <c r="F1280" s="452"/>
      <c r="G1280" s="452"/>
      <c r="H1280" s="452"/>
      <c r="I1280" s="452"/>
      <c r="J1280" s="452"/>
      <c r="K1280" s="452"/>
      <c r="L1280" s="106"/>
      <c r="M1280" s="106"/>
      <c r="N1280" s="106"/>
      <c r="AK1280" s="732"/>
    </row>
    <row r="1281" spans="1:37" hidden="1" outlineLevel="1" x14ac:dyDescent="0.35">
      <c r="A1281" s="106"/>
      <c r="B1281" s="106"/>
      <c r="C1281" s="103"/>
      <c r="D1281" s="690"/>
      <c r="E1281" s="690"/>
      <c r="F1281" s="452"/>
      <c r="G1281" s="452"/>
      <c r="H1281" s="452"/>
      <c r="I1281" s="452"/>
      <c r="J1281" s="452"/>
      <c r="K1281" s="452"/>
      <c r="L1281" s="106"/>
      <c r="M1281" s="106"/>
      <c r="N1281" s="106"/>
      <c r="AK1281" s="732"/>
    </row>
    <row r="1282" spans="1:37" hidden="1" outlineLevel="1" x14ac:dyDescent="0.35">
      <c r="A1282" s="106"/>
      <c r="B1282" s="106"/>
      <c r="C1282" s="103"/>
      <c r="D1282" s="690"/>
      <c r="E1282" s="690"/>
      <c r="F1282" s="452"/>
      <c r="G1282" s="452"/>
      <c r="H1282" s="452"/>
      <c r="I1282" s="452"/>
      <c r="J1282" s="452"/>
      <c r="K1282" s="452"/>
      <c r="L1282" s="106"/>
      <c r="M1282" s="106"/>
      <c r="N1282" s="106"/>
      <c r="AK1282" s="732"/>
    </row>
    <row r="1283" spans="1:37" hidden="1" outlineLevel="1" x14ac:dyDescent="0.35">
      <c r="A1283" s="106"/>
      <c r="B1283" s="106"/>
      <c r="C1283" s="103"/>
      <c r="D1283" s="333" t="s">
        <v>108</v>
      </c>
      <c r="E1283" s="333" t="s">
        <v>109</v>
      </c>
      <c r="F1283" s="2379" t="s">
        <v>185</v>
      </c>
      <c r="G1283" s="2379" t="s">
        <v>111</v>
      </c>
      <c r="H1283" s="2544" t="s">
        <v>4338</v>
      </c>
      <c r="I1283" s="2133"/>
      <c r="J1283" s="2134"/>
      <c r="K1283" s="452"/>
      <c r="L1283" s="106"/>
      <c r="M1283" s="106"/>
      <c r="N1283" s="106"/>
      <c r="V1283" s="1572" t="s">
        <v>44</v>
      </c>
      <c r="W1283" s="1573">
        <f>$W$6</f>
        <v>43252</v>
      </c>
      <c r="X1283" s="1573">
        <f>$X$6</f>
        <v>43465</v>
      </c>
      <c r="Y1283" s="316">
        <f>$Y$6</f>
        <v>43800</v>
      </c>
      <c r="Z1283" s="1573">
        <f>$Z$6</f>
        <v>43862</v>
      </c>
      <c r="AA1283" s="1573">
        <f>$AA$6</f>
        <v>44013</v>
      </c>
      <c r="AB1283" s="1573">
        <f>$AB$6</f>
        <v>44166</v>
      </c>
      <c r="AC1283" s="1573">
        <f>$AC$6</f>
        <v>44531</v>
      </c>
      <c r="AD1283" s="1573">
        <f>$AD$6</f>
        <v>44774</v>
      </c>
      <c r="AE1283" s="1573" t="str">
        <f>$AE$6</f>
        <v>-</v>
      </c>
      <c r="AF1283" s="1573" t="str">
        <f>$AF$6</f>
        <v>-</v>
      </c>
      <c r="AG1283" s="1573" t="str">
        <f>$AG$6</f>
        <v>-</v>
      </c>
      <c r="AK1283" s="732"/>
    </row>
    <row r="1284" spans="1:37" hidden="1" outlineLevel="1" x14ac:dyDescent="0.35">
      <c r="A1284" s="106"/>
      <c r="B1284" s="106"/>
      <c r="C1284" s="103"/>
      <c r="D1284" s="1891"/>
      <c r="E1284" s="1891"/>
      <c r="F1284" s="1892"/>
      <c r="G1284" s="1892"/>
      <c r="H1284" s="2550"/>
      <c r="I1284" s="978"/>
      <c r="J1284" s="979"/>
      <c r="K1284" s="452"/>
      <c r="L1284" s="106"/>
      <c r="M1284" s="106"/>
      <c r="N1284" s="106"/>
      <c r="V1284" s="1572"/>
      <c r="W1284" s="1889"/>
      <c r="X1284" s="1889"/>
      <c r="Y1284" s="1889"/>
      <c r="Z1284" s="1889"/>
      <c r="AA1284" s="1889"/>
      <c r="AB1284" s="1889"/>
      <c r="AC1284" s="1889"/>
      <c r="AD1284" s="1889"/>
      <c r="AE1284" s="1889"/>
      <c r="AF1284" s="1889"/>
      <c r="AG1284" s="1889"/>
      <c r="AK1284" s="732"/>
    </row>
    <row r="1285" spans="1:37" ht="119.25" hidden="1" customHeight="1" outlineLevel="1" x14ac:dyDescent="0.35">
      <c r="A1285" s="106"/>
      <c r="B1285" s="106"/>
      <c r="C1285" s="103"/>
      <c r="D1285" s="3816" t="s">
        <v>757</v>
      </c>
      <c r="E1285" s="3816" t="s">
        <v>758</v>
      </c>
      <c r="F1285" s="2333" t="s">
        <v>759</v>
      </c>
      <c r="G1285" s="88">
        <v>31</v>
      </c>
      <c r="H1285" s="3820" t="s">
        <v>2055</v>
      </c>
      <c r="I1285" s="3821"/>
      <c r="J1285" s="3790"/>
      <c r="K1285" s="452"/>
      <c r="L1285" s="106"/>
      <c r="M1285" s="106"/>
      <c r="N1285" s="106"/>
      <c r="V1285" s="3816" t="s">
        <v>757</v>
      </c>
      <c r="W1285" s="88">
        <v>31</v>
      </c>
      <c r="X1285" s="88">
        <v>31</v>
      </c>
      <c r="Y1285" s="88">
        <v>31</v>
      </c>
      <c r="Z1285" s="88">
        <v>31</v>
      </c>
      <c r="AA1285" s="88">
        <v>31</v>
      </c>
      <c r="AB1285" s="88">
        <v>31</v>
      </c>
      <c r="AC1285" s="88">
        <v>31</v>
      </c>
      <c r="AD1285" s="2977">
        <v>31</v>
      </c>
      <c r="AE1285" s="748"/>
      <c r="AF1285" s="748"/>
      <c r="AG1285" s="748"/>
      <c r="AK1285" s="732"/>
    </row>
    <row r="1286" spans="1:37" hidden="1" outlineLevel="1" x14ac:dyDescent="0.35">
      <c r="A1286" s="106"/>
      <c r="B1286" s="106"/>
      <c r="C1286" s="103"/>
      <c r="D1286" s="3839"/>
      <c r="E1286" s="3839"/>
      <c r="F1286" s="2333" t="s">
        <v>760</v>
      </c>
      <c r="G1286" s="88">
        <v>75.099999999999994</v>
      </c>
      <c r="H1286" s="3820" t="s">
        <v>2056</v>
      </c>
      <c r="I1286" s="3821"/>
      <c r="J1286" s="3790"/>
      <c r="K1286" s="452"/>
      <c r="L1286" s="106"/>
      <c r="M1286" s="106"/>
      <c r="N1286" s="106"/>
      <c r="V1286" s="3839"/>
      <c r="W1286" s="88">
        <v>75.099999999999994</v>
      </c>
      <c r="X1286" s="88">
        <v>75.099999999999994</v>
      </c>
      <c r="Y1286" s="88">
        <v>75.099999999999994</v>
      </c>
      <c r="Z1286" s="88">
        <v>75.099999999999994</v>
      </c>
      <c r="AA1286" s="88">
        <v>75.099999999999994</v>
      </c>
      <c r="AB1286" s="88">
        <v>75.099999999999994</v>
      </c>
      <c r="AC1286" s="88">
        <v>75.099999999999994</v>
      </c>
      <c r="AD1286" s="2977">
        <v>75.099999999999994</v>
      </c>
      <c r="AE1286" s="748"/>
      <c r="AF1286" s="748"/>
      <c r="AG1286" s="748"/>
      <c r="AK1286" s="732"/>
    </row>
    <row r="1287" spans="1:37" hidden="1" outlineLevel="1" x14ac:dyDescent="0.35">
      <c r="A1287" s="106"/>
      <c r="B1287" s="106"/>
      <c r="C1287" s="103"/>
      <c r="D1287" s="3816" t="s">
        <v>761</v>
      </c>
      <c r="E1287" s="3816" t="s">
        <v>762</v>
      </c>
      <c r="F1287" s="2333" t="s">
        <v>759</v>
      </c>
      <c r="G1287" s="2092">
        <v>0</v>
      </c>
      <c r="H1287" s="3820" t="s">
        <v>2057</v>
      </c>
      <c r="I1287" s="3821"/>
      <c r="J1287" s="3790"/>
      <c r="K1287" s="452"/>
      <c r="L1287" s="106"/>
      <c r="M1287" s="106"/>
      <c r="N1287" s="106"/>
      <c r="V1287" s="3816" t="s">
        <v>761</v>
      </c>
      <c r="W1287" s="188">
        <v>1</v>
      </c>
      <c r="X1287" s="188">
        <v>1</v>
      </c>
      <c r="Y1287" s="188">
        <v>1</v>
      </c>
      <c r="Z1287" s="188">
        <v>1</v>
      </c>
      <c r="AA1287" s="188">
        <v>1</v>
      </c>
      <c r="AB1287" s="2092">
        <v>0</v>
      </c>
      <c r="AC1287" s="2092">
        <v>0</v>
      </c>
      <c r="AD1287" s="2092">
        <v>0</v>
      </c>
      <c r="AE1287" s="748"/>
      <c r="AF1287" s="748"/>
      <c r="AG1287" s="748"/>
      <c r="AK1287" s="732"/>
    </row>
    <row r="1288" spans="1:37" hidden="1" outlineLevel="1" x14ac:dyDescent="0.35">
      <c r="A1288" s="106"/>
      <c r="B1288" s="106"/>
      <c r="C1288" s="103"/>
      <c r="D1288" s="3839"/>
      <c r="E1288" s="3839"/>
      <c r="F1288" s="2333" t="s">
        <v>760</v>
      </c>
      <c r="G1288" s="287">
        <v>1</v>
      </c>
      <c r="H1288" s="3820" t="s">
        <v>2057</v>
      </c>
      <c r="I1288" s="3821"/>
      <c r="J1288" s="3790"/>
      <c r="K1288" s="452"/>
      <c r="L1288" s="106"/>
      <c r="M1288" s="106"/>
      <c r="N1288" s="106"/>
      <c r="V1288" s="3839"/>
      <c r="W1288" s="188"/>
      <c r="X1288" s="188"/>
      <c r="Y1288" s="188"/>
      <c r="Z1288" s="188"/>
      <c r="AA1288" s="188"/>
      <c r="AB1288" s="619">
        <v>1</v>
      </c>
      <c r="AC1288" s="287">
        <v>1</v>
      </c>
      <c r="AD1288" s="287">
        <v>1</v>
      </c>
      <c r="AE1288" s="748"/>
      <c r="AF1288" s="748"/>
      <c r="AG1288" s="748"/>
      <c r="AK1288" s="732"/>
    </row>
    <row r="1289" spans="1:37" ht="29" hidden="1" outlineLevel="1" x14ac:dyDescent="0.35">
      <c r="A1289" s="106"/>
      <c r="B1289" s="106"/>
      <c r="C1289" s="103"/>
      <c r="D1289" s="3839"/>
      <c r="E1289" s="3839"/>
      <c r="F1289" s="2333" t="s">
        <v>763</v>
      </c>
      <c r="G1289" s="287">
        <f>1-G1293</f>
        <v>0.64</v>
      </c>
      <c r="H1289" s="3820" t="s">
        <v>2058</v>
      </c>
      <c r="I1289" s="3821"/>
      <c r="J1289" s="3790"/>
      <c r="K1289" s="452"/>
      <c r="L1289" s="106"/>
      <c r="M1289" s="106"/>
      <c r="N1289" s="106"/>
      <c r="V1289" s="3839"/>
      <c r="W1289" s="188">
        <v>0.64</v>
      </c>
      <c r="X1289" s="188">
        <v>0.64</v>
      </c>
      <c r="Y1289" s="188">
        <v>0.64</v>
      </c>
      <c r="Z1289" s="188">
        <v>0.64</v>
      </c>
      <c r="AA1289" s="188">
        <v>0.64</v>
      </c>
      <c r="AB1289" s="287">
        <v>0.64</v>
      </c>
      <c r="AC1289" s="287">
        <v>0.64</v>
      </c>
      <c r="AD1289" s="287">
        <v>0.64</v>
      </c>
      <c r="AE1289" s="748"/>
      <c r="AF1289" s="748"/>
      <c r="AG1289" s="748"/>
      <c r="AK1289" s="732"/>
    </row>
    <row r="1290" spans="1:37" hidden="1" outlineLevel="1" x14ac:dyDescent="0.35">
      <c r="A1290" s="106"/>
      <c r="B1290" s="106"/>
      <c r="C1290" s="103"/>
      <c r="D1290" s="3817"/>
      <c r="E1290" s="3817"/>
      <c r="F1290" s="2333" t="s">
        <v>764</v>
      </c>
      <c r="G1290" s="287">
        <f>1-G1294</f>
        <v>0.52</v>
      </c>
      <c r="H1290" s="3820" t="s">
        <v>2058</v>
      </c>
      <c r="I1290" s="3821"/>
      <c r="J1290" s="3790"/>
      <c r="K1290" s="452"/>
      <c r="L1290" s="106"/>
      <c r="M1290" s="106"/>
      <c r="N1290" s="106"/>
      <c r="V1290" s="3817"/>
      <c r="W1290" s="188"/>
      <c r="X1290" s="188"/>
      <c r="Y1290" s="188"/>
      <c r="Z1290" s="188"/>
      <c r="AA1290" s="188"/>
      <c r="AB1290" s="619">
        <v>0.52</v>
      </c>
      <c r="AC1290" s="287">
        <v>0.52</v>
      </c>
      <c r="AD1290" s="287">
        <v>0.52</v>
      </c>
      <c r="AE1290" s="748"/>
      <c r="AF1290" s="748"/>
      <c r="AG1290" s="748"/>
      <c r="AK1290" s="732"/>
    </row>
    <row r="1291" spans="1:37" hidden="1" outlineLevel="1" x14ac:dyDescent="0.35">
      <c r="A1291" s="106"/>
      <c r="B1291" s="106"/>
      <c r="C1291" s="103"/>
      <c r="D1291" s="3816" t="s">
        <v>765</v>
      </c>
      <c r="E1291" s="3816" t="s">
        <v>766</v>
      </c>
      <c r="F1291" s="2333" t="s">
        <v>759</v>
      </c>
      <c r="G1291" s="287">
        <v>1</v>
      </c>
      <c r="H1291" s="3820" t="s">
        <v>2057</v>
      </c>
      <c r="I1291" s="3821"/>
      <c r="J1291" s="3790"/>
      <c r="K1291" s="452"/>
      <c r="L1291" s="106"/>
      <c r="M1291" s="106"/>
      <c r="N1291" s="106"/>
      <c r="V1291" s="3816" t="s">
        <v>765</v>
      </c>
      <c r="W1291" s="188"/>
      <c r="X1291" s="188"/>
      <c r="Y1291" s="188"/>
      <c r="Z1291" s="188"/>
      <c r="AA1291" s="188"/>
      <c r="AB1291" s="619">
        <v>1</v>
      </c>
      <c r="AC1291" s="287">
        <v>1</v>
      </c>
      <c r="AD1291" s="287">
        <v>1</v>
      </c>
      <c r="AE1291" s="748"/>
      <c r="AF1291" s="748"/>
      <c r="AG1291" s="748"/>
      <c r="AK1291" s="732"/>
    </row>
    <row r="1292" spans="1:37" hidden="1" outlineLevel="1" x14ac:dyDescent="0.35">
      <c r="A1292" s="106"/>
      <c r="B1292" s="106"/>
      <c r="C1292" s="103"/>
      <c r="D1292" s="3839"/>
      <c r="E1292" s="3839"/>
      <c r="F1292" s="2333" t="s">
        <v>760</v>
      </c>
      <c r="G1292" s="287">
        <v>0</v>
      </c>
      <c r="H1292" s="3820" t="s">
        <v>2057</v>
      </c>
      <c r="I1292" s="3821"/>
      <c r="J1292" s="3790"/>
      <c r="K1292" s="452"/>
      <c r="L1292" s="106"/>
      <c r="M1292" s="106"/>
      <c r="N1292" s="106"/>
      <c r="V1292" s="3839"/>
      <c r="W1292" s="188"/>
      <c r="X1292" s="188"/>
      <c r="Y1292" s="188"/>
      <c r="Z1292" s="188"/>
      <c r="AA1292" s="188"/>
      <c r="AB1292" s="619">
        <v>0</v>
      </c>
      <c r="AC1292" s="287">
        <v>0</v>
      </c>
      <c r="AD1292" s="287">
        <v>0</v>
      </c>
      <c r="AE1292" s="748"/>
      <c r="AF1292" s="748"/>
      <c r="AG1292" s="748"/>
      <c r="AK1292" s="732"/>
    </row>
    <row r="1293" spans="1:37" ht="29" hidden="1" outlineLevel="1" x14ac:dyDescent="0.35">
      <c r="A1293" s="106"/>
      <c r="B1293" s="106"/>
      <c r="C1293" s="103"/>
      <c r="D1293" s="3839"/>
      <c r="E1293" s="3839"/>
      <c r="F1293" s="2333" t="s">
        <v>763</v>
      </c>
      <c r="G1293" s="287">
        <v>0.36</v>
      </c>
      <c r="H1293" s="3820" t="s">
        <v>2058</v>
      </c>
      <c r="I1293" s="3821"/>
      <c r="J1293" s="3790"/>
      <c r="K1293" s="452"/>
      <c r="L1293" s="106"/>
      <c r="M1293" s="106"/>
      <c r="N1293" s="106"/>
      <c r="V1293" s="3839"/>
      <c r="W1293" s="287">
        <v>0.36</v>
      </c>
      <c r="X1293" s="287">
        <v>0.36</v>
      </c>
      <c r="Y1293" s="287">
        <v>0.36</v>
      </c>
      <c r="Z1293" s="287">
        <v>0.36</v>
      </c>
      <c r="AA1293" s="287">
        <v>0.36</v>
      </c>
      <c r="AB1293" s="287">
        <v>0.36</v>
      </c>
      <c r="AC1293" s="287">
        <v>0.36</v>
      </c>
      <c r="AD1293" s="287">
        <v>0.36</v>
      </c>
      <c r="AE1293" s="748"/>
      <c r="AF1293" s="748"/>
      <c r="AG1293" s="748"/>
      <c r="AK1293" s="732"/>
    </row>
    <row r="1294" spans="1:37" hidden="1" outlineLevel="1" x14ac:dyDescent="0.35">
      <c r="A1294" s="106"/>
      <c r="B1294" s="106"/>
      <c r="C1294" s="103"/>
      <c r="D1294" s="3817"/>
      <c r="E1294" s="3817"/>
      <c r="F1294" s="2333" t="s">
        <v>764</v>
      </c>
      <c r="G1294" s="287">
        <v>0.48</v>
      </c>
      <c r="H1294" s="3820" t="s">
        <v>2058</v>
      </c>
      <c r="I1294" s="3821"/>
      <c r="J1294" s="3790"/>
      <c r="K1294" s="452"/>
      <c r="L1294" s="106"/>
      <c r="M1294" s="106"/>
      <c r="N1294" s="106"/>
      <c r="V1294" s="3817"/>
      <c r="W1294" s="188"/>
      <c r="X1294" s="188"/>
      <c r="Y1294" s="188"/>
      <c r="Z1294" s="188"/>
      <c r="AA1294" s="188"/>
      <c r="AB1294" s="619">
        <v>0.48</v>
      </c>
      <c r="AC1294" s="287">
        <v>0.48</v>
      </c>
      <c r="AD1294" s="287">
        <v>0.48</v>
      </c>
      <c r="AE1294" s="748"/>
      <c r="AF1294" s="748"/>
      <c r="AG1294" s="748"/>
      <c r="AK1294" s="732"/>
    </row>
    <row r="1295" spans="1:37" hidden="1" outlineLevel="1" x14ac:dyDescent="0.35">
      <c r="A1295" s="106"/>
      <c r="B1295" s="106"/>
      <c r="C1295" s="103"/>
      <c r="D1295" s="3816" t="s">
        <v>132</v>
      </c>
      <c r="E1295" s="3816" t="s">
        <v>2059</v>
      </c>
      <c r="F1295" s="2333" t="s">
        <v>767</v>
      </c>
      <c r="G1295" s="874">
        <v>0.95</v>
      </c>
      <c r="H1295" s="3820" t="s">
        <v>2060</v>
      </c>
      <c r="I1295" s="3821"/>
      <c r="J1295" s="3790"/>
      <c r="K1295" s="452"/>
      <c r="L1295" s="106"/>
      <c r="M1295" s="106"/>
      <c r="N1295" s="106"/>
      <c r="V1295" s="3816" t="s">
        <v>132</v>
      </c>
      <c r="W1295" s="188"/>
      <c r="X1295" s="188"/>
      <c r="Y1295" s="188"/>
      <c r="Z1295" s="188"/>
      <c r="AA1295" s="188"/>
      <c r="AB1295" s="467">
        <v>1</v>
      </c>
      <c r="AC1295" s="467">
        <v>0.95</v>
      </c>
      <c r="AD1295" s="874">
        <v>0.95</v>
      </c>
      <c r="AE1295" s="748"/>
      <c r="AF1295" s="748"/>
      <c r="AG1295" s="748"/>
      <c r="AK1295" s="732"/>
    </row>
    <row r="1296" spans="1:37" hidden="1" outlineLevel="1" x14ac:dyDescent="0.35">
      <c r="A1296" s="106"/>
      <c r="B1296" s="106"/>
      <c r="C1296" s="103"/>
      <c r="D1296" s="3839"/>
      <c r="E1296" s="3839"/>
      <c r="F1296" s="2333" t="s">
        <v>769</v>
      </c>
      <c r="G1296" s="2093">
        <v>0.78</v>
      </c>
      <c r="H1296" s="3820"/>
      <c r="I1296" s="3821"/>
      <c r="J1296" s="3790"/>
      <c r="K1296" s="452"/>
      <c r="L1296" s="106"/>
      <c r="M1296" s="106"/>
      <c r="N1296" s="106"/>
      <c r="V1296" s="3839"/>
      <c r="W1296" s="188"/>
      <c r="X1296" s="188"/>
      <c r="Y1296" s="188"/>
      <c r="Z1296" s="188"/>
      <c r="AA1296" s="188"/>
      <c r="AB1296" s="1890">
        <v>0.78</v>
      </c>
      <c r="AC1296" s="2093">
        <v>0.78</v>
      </c>
      <c r="AD1296" s="2093">
        <v>0.78</v>
      </c>
      <c r="AE1296" s="748"/>
      <c r="AF1296" s="748"/>
      <c r="AG1296" s="748"/>
      <c r="AK1296" s="732"/>
    </row>
    <row r="1297" spans="1:57" hidden="1" outlineLevel="1" x14ac:dyDescent="0.35">
      <c r="B1297" s="1040"/>
      <c r="C1297" s="2378"/>
      <c r="D1297" s="2094" t="s">
        <v>180</v>
      </c>
      <c r="E1297" s="2094" t="s">
        <v>166</v>
      </c>
      <c r="F1297" s="2095" t="s">
        <v>134</v>
      </c>
      <c r="G1297" s="2096">
        <v>10</v>
      </c>
      <c r="H1297" s="3820" t="s">
        <v>2061</v>
      </c>
      <c r="I1297" s="3821"/>
      <c r="J1297" s="3790"/>
      <c r="K1297" s="452"/>
      <c r="L1297" s="106"/>
      <c r="V1297" s="2094" t="str">
        <f>V1123</f>
        <v>Inc. Cost</v>
      </c>
      <c r="W1297" s="689">
        <v>10</v>
      </c>
      <c r="X1297" s="689">
        <v>10</v>
      </c>
      <c r="Y1297" s="689">
        <v>10</v>
      </c>
      <c r="Z1297" s="689">
        <v>10</v>
      </c>
      <c r="AA1297" s="689">
        <v>10</v>
      </c>
      <c r="AB1297" s="2096">
        <v>10</v>
      </c>
      <c r="AC1297" s="2096">
        <v>10</v>
      </c>
      <c r="AD1297" s="2096">
        <v>10</v>
      </c>
      <c r="AE1297" s="886"/>
      <c r="AF1297" s="886"/>
      <c r="AG1297" s="886"/>
      <c r="AK1297" s="732"/>
    </row>
    <row r="1298" spans="1:57" hidden="1" outlineLevel="1" x14ac:dyDescent="0.35">
      <c r="B1298" s="1040"/>
      <c r="C1298" s="2378"/>
      <c r="D1298" s="4412" t="s">
        <v>169</v>
      </c>
      <c r="E1298" s="4412" t="s">
        <v>170</v>
      </c>
      <c r="F1298" s="2097" t="s">
        <v>2062</v>
      </c>
      <c r="G1298" s="1888">
        <v>20</v>
      </c>
      <c r="H1298" s="3820"/>
      <c r="I1298" s="3821"/>
      <c r="J1298" s="3790"/>
      <c r="K1298" s="452"/>
      <c r="L1298" s="106"/>
      <c r="V1298" s="4412" t="s">
        <v>169</v>
      </c>
      <c r="W1298" s="888">
        <v>7</v>
      </c>
      <c r="X1298" s="888">
        <v>7</v>
      </c>
      <c r="Y1298" s="888">
        <v>7</v>
      </c>
      <c r="Z1298" s="888">
        <v>7</v>
      </c>
      <c r="AA1298" s="888">
        <v>7</v>
      </c>
      <c r="AB1298" s="1888">
        <v>20</v>
      </c>
      <c r="AC1298" s="1888">
        <v>20</v>
      </c>
      <c r="AD1298" s="1888">
        <v>20</v>
      </c>
      <c r="AE1298" s="888"/>
      <c r="AF1298" s="888"/>
      <c r="AG1298" s="888"/>
      <c r="AK1298" s="732"/>
    </row>
    <row r="1299" spans="1:57" hidden="1" outlineLevel="1" x14ac:dyDescent="0.35">
      <c r="B1299" s="1040"/>
      <c r="C1299" s="2378"/>
      <c r="D1299" s="4422"/>
      <c r="E1299" s="4422"/>
      <c r="F1299" s="2097" t="s">
        <v>2063</v>
      </c>
      <c r="G1299" s="1888">
        <v>30</v>
      </c>
      <c r="H1299" s="3820"/>
      <c r="I1299" s="3821"/>
      <c r="J1299" s="3790"/>
      <c r="K1299" s="452"/>
      <c r="L1299" s="106"/>
      <c r="V1299" s="4422"/>
      <c r="W1299" s="888">
        <v>7</v>
      </c>
      <c r="X1299" s="888">
        <v>7</v>
      </c>
      <c r="Y1299" s="888">
        <v>7</v>
      </c>
      <c r="Z1299" s="888">
        <v>7</v>
      </c>
      <c r="AA1299" s="888">
        <v>7</v>
      </c>
      <c r="AB1299" s="1888">
        <v>30</v>
      </c>
      <c r="AC1299" s="1888">
        <v>30</v>
      </c>
      <c r="AD1299" s="1888">
        <v>30</v>
      </c>
      <c r="AE1299" s="888"/>
      <c r="AF1299" s="888"/>
      <c r="AG1299" s="888"/>
      <c r="AK1299" s="732"/>
    </row>
    <row r="1300" spans="1:57" hidden="1" outlineLevel="1" x14ac:dyDescent="0.35">
      <c r="B1300" s="1040"/>
      <c r="C1300" s="2378"/>
      <c r="D1300" s="4422"/>
      <c r="E1300" s="4422"/>
      <c r="F1300" s="2097" t="s">
        <v>2064</v>
      </c>
      <c r="G1300" s="1888">
        <f>'Efficient Products Deemed Table'!G249</f>
        <v>30</v>
      </c>
      <c r="H1300" s="3820"/>
      <c r="I1300" s="3821"/>
      <c r="J1300" s="3790"/>
      <c r="K1300" s="452"/>
      <c r="L1300" s="106"/>
      <c r="V1300" s="4422"/>
      <c r="W1300" s="888">
        <v>7</v>
      </c>
      <c r="X1300" s="888">
        <v>7</v>
      </c>
      <c r="Y1300" s="888">
        <v>7</v>
      </c>
      <c r="Z1300" s="888">
        <v>7</v>
      </c>
      <c r="AA1300" s="888">
        <v>7</v>
      </c>
      <c r="AB1300" s="1888">
        <v>30</v>
      </c>
      <c r="AC1300" s="1888">
        <v>30</v>
      </c>
      <c r="AD1300" s="1888">
        <v>30</v>
      </c>
      <c r="AE1300" s="888"/>
      <c r="AF1300" s="888"/>
      <c r="AG1300" s="888"/>
      <c r="AK1300" s="732"/>
    </row>
    <row r="1301" spans="1:57" hidden="1" outlineLevel="1" x14ac:dyDescent="0.35">
      <c r="B1301" s="1040"/>
      <c r="C1301" s="2378"/>
      <c r="D1301" s="4422"/>
      <c r="E1301" s="4422"/>
      <c r="F1301" s="2098" t="s">
        <v>2065</v>
      </c>
      <c r="G1301" s="2099">
        <v>60</v>
      </c>
      <c r="H1301" s="3820"/>
      <c r="I1301" s="3821"/>
      <c r="J1301" s="3790"/>
      <c r="K1301" s="452"/>
      <c r="L1301" s="106"/>
      <c r="V1301" s="4413"/>
      <c r="W1301" s="888">
        <v>7</v>
      </c>
      <c r="X1301" s="888">
        <v>7</v>
      </c>
      <c r="Y1301" s="888">
        <v>7</v>
      </c>
      <c r="Z1301" s="888">
        <v>7</v>
      </c>
      <c r="AA1301" s="888">
        <v>7</v>
      </c>
      <c r="AB1301" s="1888">
        <v>60</v>
      </c>
      <c r="AC1301" s="1888">
        <v>60</v>
      </c>
      <c r="AD1301" s="1888">
        <v>60</v>
      </c>
      <c r="AE1301" s="888"/>
      <c r="AF1301" s="888"/>
      <c r="AG1301" s="888"/>
      <c r="AK1301" s="732"/>
    </row>
    <row r="1302" spans="1:57" hidden="1" outlineLevel="1" x14ac:dyDescent="0.35">
      <c r="C1302" s="2378"/>
      <c r="D1302" s="1431" t="s">
        <v>2066</v>
      </c>
      <c r="E1302" s="2690"/>
      <c r="F1302" s="2691"/>
      <c r="G1302" s="2691"/>
      <c r="H1302" s="2549"/>
      <c r="I1302" s="2549"/>
      <c r="J1302" s="2549"/>
      <c r="K1302" s="452"/>
      <c r="L1302" s="106"/>
      <c r="V1302" s="1893"/>
      <c r="W1302" s="1895"/>
      <c r="X1302" s="1895"/>
      <c r="Y1302" s="1895"/>
      <c r="Z1302" s="1895"/>
      <c r="AA1302" s="1895"/>
      <c r="AB1302" s="1894"/>
      <c r="AC1302" s="1896"/>
      <c r="AD1302" s="1896"/>
      <c r="AE1302" s="1896"/>
      <c r="AF1302" s="1896"/>
      <c r="AG1302" s="1896"/>
      <c r="AK1302" s="732"/>
    </row>
    <row r="1303" spans="1:57" ht="15" customHeight="1" collapsed="1" x14ac:dyDescent="0.35">
      <c r="A1303" s="106"/>
      <c r="B1303" s="106"/>
      <c r="C1303" s="103"/>
      <c r="D1303" s="415"/>
      <c r="E1303" s="1448"/>
      <c r="F1303" s="1448"/>
      <c r="G1303" s="1448"/>
      <c r="H1303" s="1448"/>
      <c r="I1303" s="1448"/>
      <c r="M1303" s="106"/>
      <c r="N1303" s="106"/>
      <c r="V1303" s="199"/>
      <c r="W1303" s="199"/>
      <c r="X1303" s="199"/>
      <c r="Y1303" s="790" t="s">
        <v>1578</v>
      </c>
      <c r="AK1303" s="732"/>
    </row>
    <row r="1304" spans="1:57" x14ac:dyDescent="0.35">
      <c r="A1304" s="106"/>
      <c r="B1304" s="106"/>
      <c r="C1304" s="103"/>
      <c r="D1304" s="292"/>
      <c r="E1304" s="292"/>
      <c r="F1304" s="106"/>
      <c r="G1304" s="106"/>
      <c r="H1304" s="106"/>
      <c r="I1304" s="106"/>
      <c r="J1304" s="106"/>
      <c r="K1304" s="106"/>
      <c r="L1304" s="106"/>
      <c r="M1304" s="106"/>
      <c r="N1304" s="106"/>
      <c r="AK1304" s="732"/>
    </row>
    <row r="1305" spans="1:57" x14ac:dyDescent="0.35">
      <c r="A1305" s="106"/>
      <c r="B1305" s="2325" t="s">
        <v>2067</v>
      </c>
      <c r="C1305" s="2326"/>
      <c r="D1305" s="2326"/>
      <c r="E1305" s="2326"/>
      <c r="F1305" s="2326"/>
      <c r="G1305" s="2326"/>
      <c r="H1305" s="2326"/>
      <c r="I1305" s="2326"/>
      <c r="J1305" s="2326"/>
      <c r="K1305" s="2326"/>
      <c r="L1305" s="2326"/>
      <c r="M1305" s="2326"/>
      <c r="N1305" s="2326"/>
      <c r="O1305" s="2326"/>
      <c r="P1305" s="2326"/>
      <c r="Q1305" s="2326"/>
      <c r="R1305" s="2384"/>
      <c r="V1305" s="2325" t="str">
        <f>B1305</f>
        <v>Refrigerator</v>
      </c>
      <c r="W1305" s="2326"/>
      <c r="X1305" s="2326"/>
      <c r="Y1305" s="2326"/>
      <c r="Z1305" s="2326"/>
      <c r="AA1305" s="2326"/>
      <c r="AB1305" s="2326"/>
      <c r="AC1305" s="2326"/>
      <c r="AD1305" s="2326"/>
      <c r="AE1305" s="2326"/>
      <c r="AF1305" s="2326"/>
      <c r="AG1305" s="2326"/>
      <c r="AH1305" s="2326"/>
      <c r="AI1305" s="2384"/>
      <c r="AK1305" s="732"/>
    </row>
    <row r="1306" spans="1:57" x14ac:dyDescent="0.35">
      <c r="A1306" s="106"/>
      <c r="B1306" s="106"/>
      <c r="C1306" s="103"/>
      <c r="D1306" s="292"/>
      <c r="E1306" s="292"/>
      <c r="F1306" s="106"/>
      <c r="G1306" s="106"/>
      <c r="H1306" s="106"/>
      <c r="I1306" s="106"/>
      <c r="J1306" s="106"/>
      <c r="K1306" s="106"/>
      <c r="L1306" s="106"/>
      <c r="M1306" s="106"/>
      <c r="N1306" s="106"/>
      <c r="AK1306" s="732"/>
    </row>
    <row r="1307" spans="1:57" ht="29" x14ac:dyDescent="0.35">
      <c r="C1307" s="2331" t="s">
        <v>27</v>
      </c>
      <c r="D1307" s="2331" t="s">
        <v>174</v>
      </c>
      <c r="E1307" s="2331" t="s">
        <v>29</v>
      </c>
      <c r="F1307" s="2331" t="s">
        <v>30</v>
      </c>
      <c r="G1307" s="2331" t="s">
        <v>175</v>
      </c>
      <c r="H1307" s="2331" t="s">
        <v>176</v>
      </c>
      <c r="I1307" s="2331" t="s">
        <v>31</v>
      </c>
      <c r="J1307" s="2331" t="s">
        <v>180</v>
      </c>
      <c r="K1307" s="2331" t="s">
        <v>169</v>
      </c>
      <c r="L1307" s="2331" t="s">
        <v>43</v>
      </c>
      <c r="V1307" s="1572" t="s">
        <v>44</v>
      </c>
      <c r="W1307" s="1573">
        <v>43252</v>
      </c>
      <c r="X1307" s="1573">
        <f>$X$6</f>
        <v>43465</v>
      </c>
      <c r="Y1307" s="316">
        <f>$Y$6</f>
        <v>43800</v>
      </c>
      <c r="Z1307" s="1573">
        <f>$Z$6</f>
        <v>43862</v>
      </c>
      <c r="AA1307" s="1573">
        <f>$AA$6</f>
        <v>44013</v>
      </c>
      <c r="AB1307" s="1573">
        <f>$AB$6</f>
        <v>44166</v>
      </c>
      <c r="AC1307" s="1573">
        <f>$AC$6</f>
        <v>44531</v>
      </c>
      <c r="AD1307" s="1573">
        <f>$AD$6</f>
        <v>44774</v>
      </c>
      <c r="AE1307" s="1573" t="str">
        <f>$AE$6</f>
        <v>-</v>
      </c>
      <c r="AF1307" s="1573" t="str">
        <f>$AF$6</f>
        <v>-</v>
      </c>
      <c r="AG1307" s="1573" t="str">
        <f>$AG$6</f>
        <v>-</v>
      </c>
      <c r="AK1307" s="732"/>
      <c r="BB1307" s="1574" t="str">
        <f>$BB$6</f>
        <v>TRC (2022)</v>
      </c>
      <c r="BC1307" s="1584" t="str">
        <f>$BC$6</f>
        <v>Benefit Lookup</v>
      </c>
      <c r="BD1307" s="556" t="str">
        <f>$BD$6</f>
        <v>Benefits (2019 $)</v>
      </c>
      <c r="BE1307" s="200" t="str">
        <f>$BE$6</f>
        <v>Incremental Cost (2019 $)</v>
      </c>
    </row>
    <row r="1308" spans="1:57" x14ac:dyDescent="0.35">
      <c r="C1308" s="50" t="s">
        <v>2068</v>
      </c>
      <c r="D1308" s="301" t="s">
        <v>2002</v>
      </c>
      <c r="E1308" s="2348" t="s">
        <v>2069</v>
      </c>
      <c r="F1308" s="1432">
        <f>ROUND(F1319-(F1321*(1-F1322)),2)</f>
        <v>564.66</v>
      </c>
      <c r="G1308" s="124" t="s">
        <v>2070</v>
      </c>
      <c r="H1308" s="136">
        <f>VLOOKUP(G1308,'CP FACTORS'!$A$3:$B$38, 2, FALSE)</f>
        <v>1.286107E-4</v>
      </c>
      <c r="I1308" s="1278">
        <f>ROUND(F1308*H1308,6)</f>
        <v>7.2621000000000005E-2</v>
      </c>
      <c r="J1308" s="92">
        <f>$F$1335</f>
        <v>6</v>
      </c>
      <c r="K1308" s="420">
        <f>$F$1337</f>
        <v>753</v>
      </c>
      <c r="L1308" s="50" t="s">
        <v>184</v>
      </c>
      <c r="M1308" s="862"/>
      <c r="V1308" s="141" t="str">
        <f>F1307</f>
        <v>kWh Annual Savings</v>
      </c>
      <c r="W1308" s="142">
        <v>564.66038920276219</v>
      </c>
      <c r="X1308" s="730">
        <v>564.66038920276219</v>
      </c>
      <c r="Y1308" s="731">
        <v>564.66</v>
      </c>
      <c r="Z1308" s="731">
        <v>564.66</v>
      </c>
      <c r="AA1308" s="731">
        <v>564.66</v>
      </c>
      <c r="AB1308" s="731">
        <v>564.66</v>
      </c>
      <c r="AC1308" s="1432">
        <v>564.66</v>
      </c>
      <c r="AD1308" s="1432">
        <v>564.66</v>
      </c>
      <c r="AE1308" s="141"/>
      <c r="AF1308" s="141"/>
      <c r="AG1308" s="141"/>
      <c r="AK1308" s="732"/>
      <c r="BB1308" s="1578">
        <f>(BD1308+BD1309)/(BE1308+BE1309)</f>
        <v>0.19025139719991366</v>
      </c>
      <c r="BC1308" s="2381" t="str">
        <f>CONCATENATE(G1308," ",J1308," Year EUL")</f>
        <v>Refrigeration RES 6 Year EUL</v>
      </c>
      <c r="BD1308" s="95">
        <f>(INDEX('Avoided Cost Benefits'!$E$4:$E$859,MATCH(BC1308,'Avoided Cost Benefits'!$A$4:$A$859,0)))*F1308</f>
        <v>119.22703187525887</v>
      </c>
      <c r="BE1308" s="1579">
        <f>K1308/(1.0595^(2020-2019))</f>
        <v>710.71260028315237</v>
      </c>
    </row>
    <row r="1309" spans="1:57" x14ac:dyDescent="0.35">
      <c r="C1309" s="50" t="s">
        <v>2068</v>
      </c>
      <c r="D1309" s="301" t="s">
        <v>2002</v>
      </c>
      <c r="E1309" s="2349" t="s">
        <v>2071</v>
      </c>
      <c r="F1309" s="1433">
        <f>ROUND(F1323-(F1321*(1-F1322)),2)</f>
        <v>46.72</v>
      </c>
      <c r="G1309" s="124" t="s">
        <v>2072</v>
      </c>
      <c r="H1309" s="136">
        <f>VLOOKUP(G1309,'CP FACTORS'!$A$3:$B$38, 2, FALSE)</f>
        <v>1.286107E-4</v>
      </c>
      <c r="I1309" s="1278">
        <f>ROUND(F1309*H1309,6)</f>
        <v>6.0089999999999996E-3</v>
      </c>
      <c r="J1309" s="92">
        <f>$F$1336</f>
        <v>11</v>
      </c>
      <c r="K1309" s="420">
        <v>0</v>
      </c>
      <c r="L1309" s="50" t="s">
        <v>184</v>
      </c>
      <c r="M1309" s="862"/>
      <c r="V1309" s="141" t="str">
        <f>V1308</f>
        <v>kWh Annual Savings</v>
      </c>
      <c r="W1309" s="142">
        <v>46.722222222222229</v>
      </c>
      <c r="X1309" s="730">
        <v>46.722222222222229</v>
      </c>
      <c r="Y1309" s="731">
        <v>46.72</v>
      </c>
      <c r="Z1309" s="731">
        <v>46.72</v>
      </c>
      <c r="AA1309" s="731">
        <v>46.72</v>
      </c>
      <c r="AB1309" s="731">
        <v>46.72</v>
      </c>
      <c r="AC1309" s="1433">
        <v>46.72</v>
      </c>
      <c r="AD1309" s="1433">
        <v>46.72</v>
      </c>
      <c r="AE1309" s="141"/>
      <c r="AF1309" s="141"/>
      <c r="AG1309" s="141"/>
      <c r="AH1309" s="741"/>
      <c r="AI1309" s="741"/>
      <c r="AK1309" s="732"/>
      <c r="BB1309" s="819"/>
      <c r="BC1309" s="1580" t="str">
        <f>CONCATENATE(G1309," ",J1309," Year EUL")</f>
        <v>Refrigeration RES ER2 11 Year EUL</v>
      </c>
      <c r="BD1309" s="98">
        <f>(INDEX('Avoided Cost Benefits'!$E$4:$E$859,MATCH(BC1309,'Avoided Cost Benefits'!$A$4:$A$859,0)))*F1309</f>
        <v>15.987033336194612</v>
      </c>
      <c r="BE1309" s="1581">
        <f>K1309/(1.0595^(2020-2019))</f>
        <v>0</v>
      </c>
    </row>
    <row r="1310" spans="1:57" x14ac:dyDescent="0.35">
      <c r="C1310" s="50" t="s">
        <v>2073</v>
      </c>
      <c r="D1310" s="301" t="s">
        <v>2002</v>
      </c>
      <c r="E1310" s="2348" t="s">
        <v>2074</v>
      </c>
      <c r="F1310" s="1432">
        <f>ROUND(F1320-(F1321*(1-F1322)),2)</f>
        <v>1269.9100000000001</v>
      </c>
      <c r="G1310" s="124" t="s">
        <v>2070</v>
      </c>
      <c r="H1310" s="136">
        <f>VLOOKUP(G1310,'CP FACTORS'!$A$3:$B$38, 2, FALSE)</f>
        <v>1.286107E-4</v>
      </c>
      <c r="I1310" s="1278">
        <f>ROUND(F1310*H1310,6)</f>
        <v>0.163324</v>
      </c>
      <c r="J1310" s="92">
        <f>$F$1335</f>
        <v>6</v>
      </c>
      <c r="K1310" s="420">
        <f>$F$1337</f>
        <v>753</v>
      </c>
      <c r="L1310" s="50" t="s">
        <v>184</v>
      </c>
      <c r="M1310" s="862"/>
      <c r="V1310" s="141" t="str">
        <f>V1309</f>
        <v>kWh Annual Savings</v>
      </c>
      <c r="W1310" s="142"/>
      <c r="X1310" s="730"/>
      <c r="Y1310" s="734">
        <v>1269.9100000000001</v>
      </c>
      <c r="Z1310" s="731">
        <v>1269.9100000000001</v>
      </c>
      <c r="AA1310" s="731">
        <v>1269.9100000000001</v>
      </c>
      <c r="AB1310" s="731">
        <v>1269.9100000000001</v>
      </c>
      <c r="AC1310" s="1432">
        <v>1269.9100000000001</v>
      </c>
      <c r="AD1310" s="1432">
        <v>1269.9100000000001</v>
      </c>
      <c r="AE1310" s="141"/>
      <c r="AF1310" s="141"/>
      <c r="AG1310" s="141"/>
      <c r="AK1310" s="732"/>
      <c r="BB1310" s="40">
        <f>(BD1310+BD1311)/(BE1310+BE1311)</f>
        <v>0.3997768502154479</v>
      </c>
      <c r="BC1310" s="1580" t="str">
        <f>CONCATENATE(G1310," ",J1310," Year EUL")</f>
        <v>Refrigeration RES 6 Year EUL</v>
      </c>
      <c r="BD1310" s="98">
        <f>(INDEX('Avoided Cost Benefits'!$E$4:$E$859,MATCH(BC1310,'Avoided Cost Benefits'!$A$4:$A$859,0)))*F1310</f>
        <v>268.13941141343469</v>
      </c>
      <c r="BE1310" s="1581">
        <f>K1310/(1.0595^(2020-2019))</f>
        <v>710.71260028315237</v>
      </c>
    </row>
    <row r="1311" spans="1:57" x14ac:dyDescent="0.35">
      <c r="C1311" s="50" t="s">
        <v>2073</v>
      </c>
      <c r="D1311" s="301" t="s">
        <v>2002</v>
      </c>
      <c r="E1311" s="2349" t="s">
        <v>2075</v>
      </c>
      <c r="F1311" s="1433">
        <f>ROUND(F1321-(F1321*(1-F1322)),2)</f>
        <v>46.72</v>
      </c>
      <c r="G1311" s="124" t="s">
        <v>2072</v>
      </c>
      <c r="H1311" s="136">
        <f>VLOOKUP(G1311,'CP FACTORS'!$A$3:$B$38, 2, FALSE)</f>
        <v>1.286107E-4</v>
      </c>
      <c r="I1311" s="1278">
        <f>ROUND(F1311*H1311,6)</f>
        <v>6.0089999999999996E-3</v>
      </c>
      <c r="J1311" s="92">
        <f>$F$1336</f>
        <v>11</v>
      </c>
      <c r="K1311" s="420">
        <v>0</v>
      </c>
      <c r="L1311" s="50" t="s">
        <v>184</v>
      </c>
      <c r="M1311" s="862"/>
      <c r="V1311" s="141" t="str">
        <f>V1310</f>
        <v>kWh Annual Savings</v>
      </c>
      <c r="W1311" s="142"/>
      <c r="X1311" s="730"/>
      <c r="Y1311" s="734">
        <v>46.72</v>
      </c>
      <c r="Z1311" s="731">
        <v>46.72</v>
      </c>
      <c r="AA1311" s="731">
        <v>46.72</v>
      </c>
      <c r="AB1311" s="731">
        <v>46.72</v>
      </c>
      <c r="AC1311" s="1433">
        <v>46.72</v>
      </c>
      <c r="AD1311" s="1433">
        <v>46.72</v>
      </c>
      <c r="AE1311" s="141"/>
      <c r="AF1311" s="141"/>
      <c r="AG1311" s="141"/>
      <c r="AH1311" s="741"/>
      <c r="AI1311" s="741"/>
      <c r="AK1311" s="732"/>
      <c r="BB1311" s="821"/>
      <c r="BC1311" s="1580" t="str">
        <f>CONCATENATE(G1311," ",J1311," Year EUL")</f>
        <v>Refrigeration RES ER2 11 Year EUL</v>
      </c>
      <c r="BD1311" s="102">
        <f>(INDEX('Avoided Cost Benefits'!$E$4:$E$859,MATCH(BC1311,'Avoided Cost Benefits'!$A$4:$A$859,0)))*F1311</f>
        <v>15.987033336194612</v>
      </c>
      <c r="BE1311" s="1582">
        <f>K1311/(1.0595^(2020-2019))</f>
        <v>0</v>
      </c>
    </row>
    <row r="1312" spans="1:57" hidden="1" outlineLevel="1" x14ac:dyDescent="0.35">
      <c r="C1312" s="103"/>
      <c r="D1312" s="945"/>
      <c r="E1312" s="945"/>
      <c r="F1312" s="862"/>
      <c r="G1312" s="469"/>
      <c r="H1312" s="862"/>
      <c r="I1312" s="976"/>
      <c r="J1312" s="1430"/>
      <c r="K1312" s="976"/>
      <c r="L1312" s="452"/>
      <c r="M1312" s="862"/>
      <c r="AH1312" s="741"/>
      <c r="AI1312" s="741"/>
      <c r="AK1312" s="732"/>
    </row>
    <row r="1313" spans="3:37" hidden="1" outlineLevel="1" x14ac:dyDescent="0.35">
      <c r="C1313" s="103"/>
      <c r="D1313" s="152" t="s">
        <v>107</v>
      </c>
      <c r="E1313" s="945"/>
      <c r="F1313" s="862"/>
      <c r="G1313" s="469"/>
      <c r="H1313" s="862"/>
      <c r="I1313" s="976"/>
      <c r="J1313" s="1430"/>
      <c r="K1313" s="976"/>
      <c r="L1313" s="452"/>
      <c r="M1313" s="862"/>
      <c r="AH1313" s="741"/>
      <c r="AI1313" s="741"/>
      <c r="AK1313" s="732"/>
    </row>
    <row r="1314" spans="3:37" hidden="1" outlineLevel="1" x14ac:dyDescent="0.35">
      <c r="C1314" s="103"/>
      <c r="D1314" s="945"/>
      <c r="E1314" s="945"/>
      <c r="F1314" s="862"/>
      <c r="G1314" s="469"/>
      <c r="H1314" s="862"/>
      <c r="I1314" s="976"/>
      <c r="J1314" s="1430"/>
      <c r="K1314" s="976"/>
      <c r="L1314" s="452"/>
      <c r="M1314" s="862"/>
      <c r="AK1314" s="732"/>
    </row>
    <row r="1315" spans="3:37" hidden="1" outlineLevel="1" x14ac:dyDescent="0.35">
      <c r="C1315" s="103"/>
      <c r="D1315" s="945"/>
      <c r="E1315" s="945"/>
      <c r="F1315" s="862"/>
      <c r="G1315" s="469"/>
      <c r="H1315" s="862"/>
      <c r="I1315" s="976"/>
      <c r="J1315" s="1430"/>
      <c r="K1315" s="976"/>
      <c r="L1315" s="452"/>
      <c r="M1315" s="862"/>
      <c r="AK1315" s="732"/>
    </row>
    <row r="1316" spans="3:37" hidden="1" outlineLevel="1" x14ac:dyDescent="0.35">
      <c r="C1316" s="103"/>
      <c r="D1316" s="945"/>
      <c r="E1316" s="945"/>
      <c r="F1316" s="862"/>
      <c r="G1316" s="469"/>
      <c r="H1316" s="862"/>
      <c r="I1316" s="976"/>
      <c r="J1316" s="1430"/>
      <c r="K1316" s="976"/>
      <c r="L1316" s="452"/>
      <c r="M1316" s="862"/>
      <c r="AK1316" s="732"/>
    </row>
    <row r="1317" spans="3:37" hidden="1" outlineLevel="1" x14ac:dyDescent="0.35">
      <c r="D1317" s="1021"/>
      <c r="E1317" s="1021"/>
      <c r="F1317" s="862"/>
      <c r="G1317" s="862"/>
      <c r="H1317" s="862"/>
      <c r="I1317" s="862"/>
      <c r="J1317" s="862"/>
      <c r="K1317" s="862"/>
      <c r="L1317" s="862"/>
      <c r="M1317" s="862"/>
      <c r="AK1317" s="732"/>
    </row>
    <row r="1318" spans="3:37" hidden="1" outlineLevel="1" x14ac:dyDescent="0.35">
      <c r="D1318" s="2331" t="s">
        <v>108</v>
      </c>
      <c r="E1318" s="2331" t="s">
        <v>109</v>
      </c>
      <c r="F1318" s="2331" t="s">
        <v>111</v>
      </c>
      <c r="G1318" s="2331" t="s">
        <v>186</v>
      </c>
      <c r="H1318" s="226"/>
      <c r="I1318" s="106"/>
      <c r="J1318" s="106"/>
      <c r="K1318" s="226"/>
      <c r="L1318" s="226"/>
      <c r="M1318" s="226"/>
      <c r="N1318" s="226"/>
      <c r="O1318" s="226"/>
      <c r="P1318" s="226"/>
      <c r="Q1318" s="226"/>
      <c r="R1318" s="226"/>
      <c r="V1318" s="1572" t="s">
        <v>44</v>
      </c>
      <c r="W1318" s="1573">
        <f>W$6</f>
        <v>43252</v>
      </c>
      <c r="X1318" s="1573">
        <f t="shared" ref="X1318:AG1318" si="191">X$6</f>
        <v>43465</v>
      </c>
      <c r="Y1318" s="316">
        <f t="shared" si="191"/>
        <v>43800</v>
      </c>
      <c r="Z1318" s="1573">
        <f t="shared" si="191"/>
        <v>43862</v>
      </c>
      <c r="AA1318" s="1573">
        <f t="shared" si="191"/>
        <v>44013</v>
      </c>
      <c r="AB1318" s="1573">
        <f t="shared" si="191"/>
        <v>44166</v>
      </c>
      <c r="AC1318" s="1573">
        <f t="shared" si="191"/>
        <v>44531</v>
      </c>
      <c r="AD1318" s="1573">
        <f t="shared" si="191"/>
        <v>44774</v>
      </c>
      <c r="AE1318" s="1573" t="str">
        <f t="shared" si="191"/>
        <v>-</v>
      </c>
      <c r="AF1318" s="1573" t="str">
        <f t="shared" si="191"/>
        <v>-</v>
      </c>
      <c r="AG1318" s="1573" t="str">
        <f t="shared" si="191"/>
        <v>-</v>
      </c>
      <c r="AK1318" s="732"/>
    </row>
    <row r="1319" spans="3:37" ht="28.9" hidden="1" customHeight="1" outlineLevel="1" x14ac:dyDescent="0.35">
      <c r="D1319" s="4431" t="s">
        <v>2076</v>
      </c>
      <c r="E1319" s="368" t="s">
        <v>2077</v>
      </c>
      <c r="F1319" s="981">
        <f>SUMPRODUCT($F$1323:$F$1328, $F$1329:$F$1334)/SUM($F$1329:$F$1334)</f>
        <v>985.16038920276219</v>
      </c>
      <c r="G1319" s="822"/>
      <c r="H1319" s="226"/>
      <c r="I1319" s="4440" t="s">
        <v>2078</v>
      </c>
      <c r="J1319" s="4441"/>
      <c r="K1319" s="4441"/>
      <c r="L1319" s="4441"/>
      <c r="M1319" s="4441"/>
      <c r="N1319" s="4441"/>
      <c r="O1319" s="4441"/>
      <c r="P1319" s="4441"/>
      <c r="Q1319" s="4441"/>
      <c r="R1319" s="4442"/>
      <c r="V1319" s="4431" t="str">
        <f>D1319</f>
        <v>kWhBase</v>
      </c>
      <c r="W1319" s="981">
        <v>985.16038920276219</v>
      </c>
      <c r="X1319" s="981">
        <f>SUMPRODUCT($F$1323:$F$1328, $F$1329:$F$1334)/SUM($F$1329:$F$1334)</f>
        <v>985.16038920276219</v>
      </c>
      <c r="Y1319" s="981">
        <v>985.16038920276219</v>
      </c>
      <c r="Z1319" s="981">
        <v>985.16038920276219</v>
      </c>
      <c r="AA1319" s="981">
        <v>985.16038920276219</v>
      </c>
      <c r="AB1319" s="981">
        <v>985.16038920276219</v>
      </c>
      <c r="AC1319" s="981">
        <v>985.16038920276219</v>
      </c>
      <c r="AD1319" s="981">
        <v>985.16038920276219</v>
      </c>
      <c r="AE1319" s="982"/>
      <c r="AF1319" s="982"/>
      <c r="AG1319" s="982"/>
      <c r="AK1319" s="732"/>
    </row>
    <row r="1320" spans="3:37" hidden="1" outlineLevel="1" x14ac:dyDescent="0.35">
      <c r="D1320" s="4439"/>
      <c r="E1320" s="368" t="s">
        <v>2079</v>
      </c>
      <c r="F1320" s="981">
        <f>SUMPRODUCT($F$1326:$F$1328, $F$1332:$F$1334)/SUM($F$1332:$F$1334)</f>
        <v>1690.4148148148149</v>
      </c>
      <c r="G1320" s="822"/>
      <c r="H1320" s="226"/>
      <c r="I1320" s="4443"/>
      <c r="J1320" s="4444"/>
      <c r="K1320" s="4444"/>
      <c r="L1320" s="4444"/>
      <c r="M1320" s="4444"/>
      <c r="N1320" s="4444"/>
      <c r="O1320" s="4444"/>
      <c r="P1320" s="4444"/>
      <c r="Q1320" s="4444"/>
      <c r="R1320" s="4445"/>
      <c r="V1320" s="4432"/>
      <c r="W1320" s="981"/>
      <c r="X1320" s="981"/>
      <c r="Y1320" s="489">
        <v>1690.4148148148149</v>
      </c>
      <c r="Z1320" s="981">
        <v>1690.4148148148149</v>
      </c>
      <c r="AA1320" s="981">
        <v>1690.4148148148149</v>
      </c>
      <c r="AB1320" s="981">
        <v>1690.4148148148149</v>
      </c>
      <c r="AC1320" s="981">
        <v>1690.4148148148149</v>
      </c>
      <c r="AD1320" s="981">
        <v>1690.4148148148149</v>
      </c>
      <c r="AE1320" s="982"/>
      <c r="AF1320" s="982"/>
      <c r="AG1320" s="982"/>
      <c r="AK1320" s="732"/>
    </row>
    <row r="1321" spans="3:37" ht="16.5" hidden="1" outlineLevel="1" x14ac:dyDescent="0.45">
      <c r="D1321" s="844" t="s">
        <v>2080</v>
      </c>
      <c r="E1321" s="368" t="s">
        <v>2081</v>
      </c>
      <c r="F1321" s="981">
        <f>$F$1323</f>
        <v>467.22222222222223</v>
      </c>
      <c r="G1321" s="822"/>
      <c r="H1321" s="226"/>
      <c r="I1321" s="4433" t="s">
        <v>2082</v>
      </c>
      <c r="J1321" s="2394" t="s">
        <v>2083</v>
      </c>
      <c r="K1321" s="4434" t="s">
        <v>2084</v>
      </c>
      <c r="L1321" s="4434"/>
      <c r="M1321" s="4434"/>
      <c r="N1321" s="4435" t="s">
        <v>2085</v>
      </c>
      <c r="O1321" s="4436"/>
      <c r="P1321" s="4436"/>
      <c r="Q1321" s="4437"/>
      <c r="R1321" s="4438"/>
      <c r="V1321" s="844" t="str">
        <f t="shared" ref="V1321:V1335" si="192">D1321</f>
        <v>kWhnew</v>
      </c>
      <c r="W1321" s="981">
        <v>467.22222222222223</v>
      </c>
      <c r="X1321" s="981">
        <f>$F$1323</f>
        <v>467.22222222222223</v>
      </c>
      <c r="Y1321" s="981">
        <v>467.22222222222223</v>
      </c>
      <c r="Z1321" s="981">
        <v>467.22222222222223</v>
      </c>
      <c r="AA1321" s="981">
        <v>467.22222222222223</v>
      </c>
      <c r="AB1321" s="981">
        <v>467.22222222222223</v>
      </c>
      <c r="AC1321" s="981">
        <v>467.22222222222223</v>
      </c>
      <c r="AD1321" s="981">
        <v>467.22222222222223</v>
      </c>
      <c r="AE1321" s="982"/>
      <c r="AF1321" s="982"/>
      <c r="AG1321" s="982"/>
      <c r="AJ1321" s="732"/>
    </row>
    <row r="1322" spans="3:37" ht="29" hidden="1" outlineLevel="1" x14ac:dyDescent="0.35">
      <c r="D1322" s="844" t="s">
        <v>2086</v>
      </c>
      <c r="E1322" s="368" t="s">
        <v>2087</v>
      </c>
      <c r="F1322" s="287">
        <v>0.1</v>
      </c>
      <c r="G1322" s="2393" t="s">
        <v>977</v>
      </c>
      <c r="H1322" s="226"/>
      <c r="I1322" s="4433"/>
      <c r="J1322" s="2394" t="s">
        <v>2088</v>
      </c>
      <c r="K1322" s="2394" t="s">
        <v>2089</v>
      </c>
      <c r="L1322" s="2394" t="s">
        <v>2090</v>
      </c>
      <c r="M1322" s="2394" t="s">
        <v>2088</v>
      </c>
      <c r="N1322" s="2394" t="s">
        <v>2089</v>
      </c>
      <c r="O1322" s="2394" t="s">
        <v>2090</v>
      </c>
      <c r="P1322" s="2394" t="s">
        <v>2088</v>
      </c>
      <c r="Q1322" s="2394" t="s">
        <v>2091</v>
      </c>
      <c r="R1322" s="2394" t="s">
        <v>2092</v>
      </c>
      <c r="V1322" s="844" t="str">
        <f t="shared" si="192"/>
        <v>% Savings</v>
      </c>
      <c r="W1322" s="287">
        <v>0.1</v>
      </c>
      <c r="X1322" s="287">
        <v>0.1</v>
      </c>
      <c r="Y1322" s="287">
        <v>0.1</v>
      </c>
      <c r="Z1322" s="287">
        <v>0.1</v>
      </c>
      <c r="AA1322" s="287">
        <v>0.1</v>
      </c>
      <c r="AB1322" s="287">
        <v>0.1</v>
      </c>
      <c r="AC1322" s="287">
        <v>0.1</v>
      </c>
      <c r="AD1322" s="287">
        <v>0.1</v>
      </c>
      <c r="AE1322" s="983"/>
      <c r="AF1322" s="983"/>
      <c r="AG1322" s="983"/>
      <c r="AJ1322" s="732"/>
    </row>
    <row r="1323" spans="3:37" ht="16.5" hidden="1" outlineLevel="1" x14ac:dyDescent="0.45">
      <c r="D1323" s="844" t="s">
        <v>2093</v>
      </c>
      <c r="E1323" s="844" t="s">
        <v>2094</v>
      </c>
      <c r="F1323" s="981">
        <f>AVERAGE($J$1323:$R$1323)</f>
        <v>467.22222222222223</v>
      </c>
      <c r="G1323" s="2393" t="s">
        <v>977</v>
      </c>
      <c r="H1323" s="226"/>
      <c r="I1323" s="1434" t="s">
        <v>2095</v>
      </c>
      <c r="J1323" s="984">
        <v>483</v>
      </c>
      <c r="K1323" s="984">
        <v>592</v>
      </c>
      <c r="L1323" s="984">
        <v>592</v>
      </c>
      <c r="M1323" s="984">
        <v>592</v>
      </c>
      <c r="N1323" s="984">
        <v>374</v>
      </c>
      <c r="O1323" s="984">
        <v>374</v>
      </c>
      <c r="P1323" s="984">
        <v>374</v>
      </c>
      <c r="Q1323" s="984">
        <v>412</v>
      </c>
      <c r="R1323" s="984">
        <v>412</v>
      </c>
      <c r="V1323" s="844" t="str">
        <f t="shared" si="192"/>
        <v>kWh2011-2015</v>
      </c>
      <c r="W1323" s="981">
        <v>467.22222222222223</v>
      </c>
      <c r="X1323" s="981">
        <f>AVERAGE($J$1323:$R$1323)</f>
        <v>467.22222222222223</v>
      </c>
      <c r="Y1323" s="981">
        <v>467.22222222222223</v>
      </c>
      <c r="Z1323" s="981">
        <v>467.22222222222223</v>
      </c>
      <c r="AA1323" s="981">
        <v>467.22222222222223</v>
      </c>
      <c r="AB1323" s="981">
        <v>467.22222222222223</v>
      </c>
      <c r="AC1323" s="981">
        <v>467.22222222222223</v>
      </c>
      <c r="AD1323" s="981">
        <v>467.22222222222223</v>
      </c>
      <c r="AE1323" s="982"/>
      <c r="AF1323" s="982"/>
      <c r="AG1323" s="982"/>
      <c r="AJ1323" s="732"/>
    </row>
    <row r="1324" spans="3:37" ht="30" hidden="1" outlineLevel="1" x14ac:dyDescent="0.45">
      <c r="D1324" s="844" t="s">
        <v>2096</v>
      </c>
      <c r="E1324" s="844" t="s">
        <v>2097</v>
      </c>
      <c r="F1324" s="981">
        <f>AVERAGE($J$1324:$R$1324)</f>
        <v>651</v>
      </c>
      <c r="G1324" s="2393" t="s">
        <v>977</v>
      </c>
      <c r="H1324" s="226"/>
      <c r="I1324" s="1434" t="s">
        <v>2098</v>
      </c>
      <c r="J1324" s="984">
        <v>724</v>
      </c>
      <c r="K1324" s="984">
        <v>747</v>
      </c>
      <c r="L1324" s="984">
        <v>747</v>
      </c>
      <c r="M1324" s="984">
        <v>747</v>
      </c>
      <c r="N1324" s="984">
        <v>556</v>
      </c>
      <c r="O1324" s="984">
        <v>556</v>
      </c>
      <c r="P1324" s="984">
        <v>556</v>
      </c>
      <c r="Q1324" s="984">
        <v>613</v>
      </c>
      <c r="R1324" s="984">
        <v>613</v>
      </c>
      <c r="V1324" s="844" t="str">
        <f t="shared" si="192"/>
        <v>kWh2001(after July)-2010</v>
      </c>
      <c r="W1324" s="981">
        <v>651</v>
      </c>
      <c r="X1324" s="981">
        <f>AVERAGE($J$1324:$R$1324)</f>
        <v>651</v>
      </c>
      <c r="Y1324" s="981">
        <v>651</v>
      </c>
      <c r="Z1324" s="981">
        <v>651</v>
      </c>
      <c r="AA1324" s="981">
        <v>651</v>
      </c>
      <c r="AB1324" s="981">
        <v>651</v>
      </c>
      <c r="AC1324" s="981">
        <v>651</v>
      </c>
      <c r="AD1324" s="981">
        <v>651</v>
      </c>
      <c r="AE1324" s="982"/>
      <c r="AF1324" s="982"/>
      <c r="AG1324" s="982"/>
      <c r="AJ1324" s="732"/>
    </row>
    <row r="1325" spans="3:37" ht="30" hidden="1" outlineLevel="1" x14ac:dyDescent="0.45">
      <c r="D1325" s="844" t="s">
        <v>2099</v>
      </c>
      <c r="E1325" s="844" t="s">
        <v>2100</v>
      </c>
      <c r="F1325" s="981">
        <f>AVERAGE($J$1325:$R$1325)</f>
        <v>987.33333333333337</v>
      </c>
      <c r="G1325" s="2393" t="s">
        <v>977</v>
      </c>
      <c r="H1325" s="226"/>
      <c r="I1325" s="1434" t="s">
        <v>2101</v>
      </c>
      <c r="J1325" s="984">
        <v>962</v>
      </c>
      <c r="K1325" s="984">
        <v>1139</v>
      </c>
      <c r="L1325" s="984">
        <v>1139</v>
      </c>
      <c r="M1325" s="984">
        <v>1139</v>
      </c>
      <c r="N1325" s="984">
        <v>861</v>
      </c>
      <c r="O1325" s="984">
        <v>861</v>
      </c>
      <c r="P1325" s="984">
        <v>861</v>
      </c>
      <c r="Q1325" s="984">
        <v>962</v>
      </c>
      <c r="R1325" s="984">
        <v>962</v>
      </c>
      <c r="V1325" s="844" t="str">
        <f t="shared" si="192"/>
        <v>kWh1993-2001(before June)</v>
      </c>
      <c r="W1325" s="981">
        <v>987.33333333333337</v>
      </c>
      <c r="X1325" s="981">
        <f>AVERAGE($J$1325:$R$1325)</f>
        <v>987.33333333333337</v>
      </c>
      <c r="Y1325" s="981">
        <v>987.33333333333337</v>
      </c>
      <c r="Z1325" s="981">
        <v>987.33333333333337</v>
      </c>
      <c r="AA1325" s="981">
        <v>987.33333333333337</v>
      </c>
      <c r="AB1325" s="981">
        <v>987.33333333333337</v>
      </c>
      <c r="AC1325" s="981">
        <v>987.33333333333337</v>
      </c>
      <c r="AD1325" s="981">
        <v>987.33333333333337</v>
      </c>
      <c r="AE1325" s="982"/>
      <c r="AF1325" s="982"/>
      <c r="AG1325" s="982"/>
      <c r="AJ1325" s="732"/>
    </row>
    <row r="1326" spans="3:37" ht="16.5" hidden="1" outlineLevel="1" x14ac:dyDescent="0.45">
      <c r="D1326" s="844" t="s">
        <v>2102</v>
      </c>
      <c r="E1326" s="844" t="s">
        <v>2103</v>
      </c>
      <c r="F1326" s="981">
        <f>AVERAGE($J$1326:$R$1326)</f>
        <v>1450</v>
      </c>
      <c r="G1326" s="2393" t="s">
        <v>977</v>
      </c>
      <c r="H1326" s="106"/>
      <c r="I1326" s="1434" t="s">
        <v>2104</v>
      </c>
      <c r="J1326" s="237">
        <v>1519</v>
      </c>
      <c r="K1326" s="237">
        <v>1617</v>
      </c>
      <c r="L1326" s="237">
        <v>1617</v>
      </c>
      <c r="M1326" s="237">
        <v>1617</v>
      </c>
      <c r="N1326" s="237">
        <v>1272</v>
      </c>
      <c r="O1326" s="237">
        <v>1272</v>
      </c>
      <c r="P1326" s="237">
        <v>1272</v>
      </c>
      <c r="Q1326" s="237">
        <v>1432</v>
      </c>
      <c r="R1326" s="237">
        <v>1432</v>
      </c>
      <c r="V1326" s="844" t="str">
        <f t="shared" si="192"/>
        <v>kWh1990-1992</v>
      </c>
      <c r="W1326" s="981">
        <v>1450</v>
      </c>
      <c r="X1326" s="981">
        <f>AVERAGE($J$1326:$R$1326)</f>
        <v>1450</v>
      </c>
      <c r="Y1326" s="981">
        <v>1450</v>
      </c>
      <c r="Z1326" s="981">
        <v>1450</v>
      </c>
      <c r="AA1326" s="981">
        <v>1450</v>
      </c>
      <c r="AB1326" s="981">
        <v>1450</v>
      </c>
      <c r="AC1326" s="981">
        <v>1450</v>
      </c>
      <c r="AD1326" s="981">
        <v>1450</v>
      </c>
      <c r="AE1326" s="982"/>
      <c r="AF1326" s="982"/>
      <c r="AG1326" s="982"/>
      <c r="AJ1326" s="732"/>
    </row>
    <row r="1327" spans="3:37" ht="16.5" hidden="1" outlineLevel="1" x14ac:dyDescent="0.45">
      <c r="D1327" s="844" t="s">
        <v>2105</v>
      </c>
      <c r="E1327" s="844" t="s">
        <v>2106</v>
      </c>
      <c r="F1327" s="981">
        <f>AVERAGE($J$1327:$R$1327)</f>
        <v>1900.7777777777778</v>
      </c>
      <c r="G1327" s="2393" t="s">
        <v>977</v>
      </c>
      <c r="H1327" s="226"/>
      <c r="I1327" s="1434" t="s">
        <v>2107</v>
      </c>
      <c r="J1327" s="984">
        <v>1992</v>
      </c>
      <c r="K1327" s="984">
        <v>2119</v>
      </c>
      <c r="L1327" s="984">
        <v>2119</v>
      </c>
      <c r="M1327" s="984">
        <v>2119</v>
      </c>
      <c r="N1327" s="984">
        <v>1668</v>
      </c>
      <c r="O1327" s="984">
        <v>1668</v>
      </c>
      <c r="P1327" s="984">
        <v>1668</v>
      </c>
      <c r="Q1327" s="984">
        <v>1877</v>
      </c>
      <c r="R1327" s="984">
        <v>1877</v>
      </c>
      <c r="V1327" s="844" t="str">
        <f t="shared" si="192"/>
        <v>kWh1980-1989</v>
      </c>
      <c r="W1327" s="981">
        <v>1900.7777777777778</v>
      </c>
      <c r="X1327" s="981">
        <f>AVERAGE($J$1327:$R$1327)</f>
        <v>1900.7777777777778</v>
      </c>
      <c r="Y1327" s="981">
        <v>1900.7777777777778</v>
      </c>
      <c r="Z1327" s="981">
        <v>1900.7777777777778</v>
      </c>
      <c r="AA1327" s="981">
        <v>1900.7777777777778</v>
      </c>
      <c r="AB1327" s="981">
        <v>1900.7777777777778</v>
      </c>
      <c r="AC1327" s="981">
        <v>1900.7777777777778</v>
      </c>
      <c r="AD1327" s="981">
        <v>1900.7777777777778</v>
      </c>
      <c r="AE1327" s="982"/>
      <c r="AF1327" s="982"/>
      <c r="AG1327" s="982"/>
      <c r="AJ1327" s="732"/>
    </row>
    <row r="1328" spans="3:37" ht="16.5" hidden="1" outlineLevel="1" x14ac:dyDescent="0.45">
      <c r="D1328" s="844" t="s">
        <v>2108</v>
      </c>
      <c r="E1328" s="844" t="s">
        <v>2109</v>
      </c>
      <c r="F1328" s="981">
        <f>AVERAGE($J$1328:$R$1328)</f>
        <v>2444.125</v>
      </c>
      <c r="G1328" s="2393" t="s">
        <v>977</v>
      </c>
      <c r="H1328" s="106"/>
      <c r="I1328" s="1434" t="s">
        <v>2110</v>
      </c>
      <c r="J1328" s="237">
        <v>2523</v>
      </c>
      <c r="K1328" s="237">
        <v>2684</v>
      </c>
      <c r="L1328" s="237">
        <v>2684</v>
      </c>
      <c r="M1328" s="237">
        <v>2684</v>
      </c>
      <c r="N1328" s="237"/>
      <c r="O1328" s="237">
        <v>2112</v>
      </c>
      <c r="P1328" s="237">
        <v>2112</v>
      </c>
      <c r="Q1328" s="237">
        <v>2377</v>
      </c>
      <c r="R1328" s="237">
        <v>2377</v>
      </c>
      <c r="V1328" s="844" t="str">
        <f t="shared" si="192"/>
        <v>kWhbefore 1980</v>
      </c>
      <c r="W1328" s="981">
        <v>2444.125</v>
      </c>
      <c r="X1328" s="981">
        <f>AVERAGE($J$1328:$R$1328)</f>
        <v>2444.125</v>
      </c>
      <c r="Y1328" s="981">
        <v>2444.125</v>
      </c>
      <c r="Z1328" s="981">
        <v>2444.125</v>
      </c>
      <c r="AA1328" s="981">
        <v>2444.125</v>
      </c>
      <c r="AB1328" s="981">
        <v>2444.125</v>
      </c>
      <c r="AC1328" s="981">
        <v>2444.125</v>
      </c>
      <c r="AD1328" s="981">
        <v>2444.125</v>
      </c>
      <c r="AE1328" s="982"/>
      <c r="AF1328" s="982"/>
      <c r="AG1328" s="982"/>
      <c r="AK1328" s="732"/>
    </row>
    <row r="1329" spans="1:57" ht="33" hidden="1" outlineLevel="1" x14ac:dyDescent="0.45">
      <c r="D1329" s="844" t="s">
        <v>2111</v>
      </c>
      <c r="E1329" s="844" t="s">
        <v>2112</v>
      </c>
      <c r="F1329" s="985">
        <v>0</v>
      </c>
      <c r="G1329" s="2393" t="s">
        <v>977</v>
      </c>
      <c r="H1329" s="226"/>
      <c r="I1329" s="226"/>
      <c r="J1329" s="226"/>
      <c r="K1329" s="226"/>
      <c r="L1329" s="226"/>
      <c r="M1329" s="226"/>
      <c r="N1329" s="226"/>
      <c r="O1329" s="226"/>
      <c r="P1329" s="226"/>
      <c r="Q1329" s="226"/>
      <c r="R1329" s="226"/>
      <c r="S1329" s="226"/>
      <c r="V1329" s="844" t="str">
        <f t="shared" si="192"/>
        <v>Number of Units2011-2015</v>
      </c>
      <c r="W1329" s="985">
        <v>0</v>
      </c>
      <c r="X1329" s="985">
        <v>0</v>
      </c>
      <c r="Y1329" s="985">
        <v>0</v>
      </c>
      <c r="Z1329" s="985">
        <v>0</v>
      </c>
      <c r="AA1329" s="985">
        <v>0</v>
      </c>
      <c r="AB1329" s="985">
        <v>0</v>
      </c>
      <c r="AC1329" s="985">
        <v>0</v>
      </c>
      <c r="AD1329" s="985">
        <v>0</v>
      </c>
      <c r="AE1329" s="986"/>
      <c r="AF1329" s="986"/>
      <c r="AG1329" s="986"/>
      <c r="AK1329" s="732"/>
    </row>
    <row r="1330" spans="1:57" ht="31" hidden="1" outlineLevel="1" x14ac:dyDescent="0.45">
      <c r="D1330" s="844" t="s">
        <v>2113</v>
      </c>
      <c r="E1330" s="844" t="s">
        <v>2114</v>
      </c>
      <c r="F1330" s="985">
        <v>65</v>
      </c>
      <c r="G1330" s="2393" t="s">
        <v>977</v>
      </c>
      <c r="H1330" s="226"/>
      <c r="I1330" s="226"/>
      <c r="J1330" s="226"/>
      <c r="K1330" s="226"/>
      <c r="L1330" s="226"/>
      <c r="M1330" s="226"/>
      <c r="N1330" s="226"/>
      <c r="O1330" s="226"/>
      <c r="P1330" s="226"/>
      <c r="Q1330" s="226"/>
      <c r="R1330" s="226"/>
      <c r="S1330" s="226"/>
      <c r="V1330" s="844" t="str">
        <f t="shared" si="192"/>
        <v>Number of Units2001(after July)-2010</v>
      </c>
      <c r="W1330" s="985">
        <v>65</v>
      </c>
      <c r="X1330" s="985">
        <v>65</v>
      </c>
      <c r="Y1330" s="985">
        <v>65</v>
      </c>
      <c r="Z1330" s="985">
        <v>65</v>
      </c>
      <c r="AA1330" s="985">
        <v>65</v>
      </c>
      <c r="AB1330" s="985">
        <v>65</v>
      </c>
      <c r="AC1330" s="985">
        <v>65</v>
      </c>
      <c r="AD1330" s="985">
        <v>65</v>
      </c>
      <c r="AE1330" s="986"/>
      <c r="AF1330" s="986"/>
      <c r="AG1330" s="986"/>
      <c r="AK1330" s="732"/>
    </row>
    <row r="1331" spans="1:57" ht="33" hidden="1" outlineLevel="1" x14ac:dyDescent="0.45">
      <c r="D1331" s="844" t="s">
        <v>2115</v>
      </c>
      <c r="E1331" s="844" t="s">
        <v>2116</v>
      </c>
      <c r="F1331" s="985">
        <v>259</v>
      </c>
      <c r="G1331" s="2393" t="s">
        <v>977</v>
      </c>
      <c r="H1331" s="226"/>
      <c r="I1331" s="226"/>
      <c r="J1331" s="226"/>
      <c r="K1331" s="226"/>
      <c r="L1331" s="226"/>
      <c r="M1331" s="226"/>
      <c r="N1331" s="226"/>
      <c r="O1331" s="226"/>
      <c r="P1331" s="226"/>
      <c r="Q1331" s="226"/>
      <c r="R1331" s="226"/>
      <c r="S1331" s="226"/>
      <c r="V1331" s="844" t="str">
        <f t="shared" si="192"/>
        <v>Number of Units1993-2001(before June)</v>
      </c>
      <c r="W1331" s="985">
        <v>259</v>
      </c>
      <c r="X1331" s="985">
        <v>259</v>
      </c>
      <c r="Y1331" s="985">
        <v>259</v>
      </c>
      <c r="Z1331" s="985">
        <v>259</v>
      </c>
      <c r="AA1331" s="985">
        <v>259</v>
      </c>
      <c r="AB1331" s="985">
        <v>259</v>
      </c>
      <c r="AC1331" s="985">
        <v>259</v>
      </c>
      <c r="AD1331" s="985">
        <v>259</v>
      </c>
      <c r="AE1331" s="986"/>
      <c r="AF1331" s="986"/>
      <c r="AG1331" s="986"/>
      <c r="AK1331" s="732"/>
    </row>
    <row r="1332" spans="1:57" ht="33" hidden="1" outlineLevel="1" x14ac:dyDescent="0.45">
      <c r="D1332" s="844" t="s">
        <v>2117</v>
      </c>
      <c r="E1332" s="844" t="s">
        <v>2118</v>
      </c>
      <c r="F1332" s="985">
        <v>14</v>
      </c>
      <c r="G1332" s="2393" t="s">
        <v>977</v>
      </c>
      <c r="H1332" s="226"/>
      <c r="I1332" s="226"/>
      <c r="J1332" s="226"/>
      <c r="K1332" s="226"/>
      <c r="L1332" s="226"/>
      <c r="M1332" s="226"/>
      <c r="N1332" s="226"/>
      <c r="O1332" s="226"/>
      <c r="P1332" s="226"/>
      <c r="Q1332" s="226"/>
      <c r="R1332" s="226"/>
      <c r="S1332" s="226"/>
      <c r="V1332" s="844" t="str">
        <f t="shared" si="192"/>
        <v>Number of Units1990-1992</v>
      </c>
      <c r="W1332" s="985">
        <v>14</v>
      </c>
      <c r="X1332" s="985">
        <v>14</v>
      </c>
      <c r="Y1332" s="985">
        <v>14</v>
      </c>
      <c r="Z1332" s="985">
        <v>14</v>
      </c>
      <c r="AA1332" s="985">
        <v>14</v>
      </c>
      <c r="AB1332" s="985">
        <v>14</v>
      </c>
      <c r="AC1332" s="985">
        <v>14</v>
      </c>
      <c r="AD1332" s="985">
        <v>14</v>
      </c>
      <c r="AE1332" s="986"/>
      <c r="AF1332" s="986"/>
      <c r="AG1332" s="986"/>
      <c r="AK1332" s="732"/>
    </row>
    <row r="1333" spans="1:57" ht="33" hidden="1" outlineLevel="1" x14ac:dyDescent="0.45">
      <c r="D1333" s="844" t="s">
        <v>2119</v>
      </c>
      <c r="E1333" s="844" t="s">
        <v>2120</v>
      </c>
      <c r="F1333" s="985">
        <v>16</v>
      </c>
      <c r="G1333" s="2393" t="s">
        <v>977</v>
      </c>
      <c r="H1333" s="226"/>
      <c r="I1333" s="226"/>
      <c r="J1333" s="226"/>
      <c r="K1333" s="226"/>
      <c r="L1333" s="226"/>
      <c r="M1333" s="226"/>
      <c r="N1333" s="226"/>
      <c r="O1333" s="226"/>
      <c r="P1333" s="226"/>
      <c r="Q1333" s="226"/>
      <c r="R1333" s="226"/>
      <c r="S1333" s="226"/>
      <c r="V1333" s="844" t="str">
        <f t="shared" si="192"/>
        <v>Number of Units1980-1989</v>
      </c>
      <c r="W1333" s="985">
        <v>16</v>
      </c>
      <c r="X1333" s="985">
        <v>16</v>
      </c>
      <c r="Y1333" s="985">
        <v>16</v>
      </c>
      <c r="Z1333" s="985">
        <v>16</v>
      </c>
      <c r="AA1333" s="985">
        <v>16</v>
      </c>
      <c r="AB1333" s="985">
        <v>16</v>
      </c>
      <c r="AC1333" s="985">
        <v>16</v>
      </c>
      <c r="AD1333" s="985">
        <v>16</v>
      </c>
      <c r="AE1333" s="986"/>
      <c r="AF1333" s="986"/>
      <c r="AG1333" s="986"/>
      <c r="AK1333" s="732"/>
    </row>
    <row r="1334" spans="1:57" ht="31" hidden="1" outlineLevel="1" x14ac:dyDescent="0.45">
      <c r="D1334" s="844" t="s">
        <v>2121</v>
      </c>
      <c r="E1334" s="844" t="s">
        <v>2122</v>
      </c>
      <c r="F1334" s="985">
        <v>0</v>
      </c>
      <c r="G1334" s="2393" t="s">
        <v>977</v>
      </c>
      <c r="H1334" s="226"/>
      <c r="I1334" s="226"/>
      <c r="J1334" s="226"/>
      <c r="K1334" s="226"/>
      <c r="L1334" s="226"/>
      <c r="M1334" s="226"/>
      <c r="N1334" s="226"/>
      <c r="O1334" s="226"/>
      <c r="P1334" s="226"/>
      <c r="Q1334" s="226"/>
      <c r="R1334" s="226"/>
      <c r="S1334" s="226"/>
      <c r="V1334" s="844" t="str">
        <f t="shared" si="192"/>
        <v>Number of Unitsbefore 1980</v>
      </c>
      <c r="W1334" s="985">
        <v>0</v>
      </c>
      <c r="X1334" s="985">
        <v>0</v>
      </c>
      <c r="Y1334" s="985">
        <v>0</v>
      </c>
      <c r="Z1334" s="985">
        <v>0</v>
      </c>
      <c r="AA1334" s="985">
        <v>0</v>
      </c>
      <c r="AB1334" s="985">
        <v>0</v>
      </c>
      <c r="AC1334" s="985">
        <v>0</v>
      </c>
      <c r="AD1334" s="985">
        <v>0</v>
      </c>
      <c r="AE1334" s="986"/>
      <c r="AF1334" s="986"/>
      <c r="AG1334" s="986"/>
      <c r="AK1334" s="732"/>
    </row>
    <row r="1335" spans="1:57" hidden="1" outlineLevel="1" x14ac:dyDescent="0.35">
      <c r="B1335" s="1040"/>
      <c r="C1335" s="2378"/>
      <c r="D1335" s="4412" t="s">
        <v>180</v>
      </c>
      <c r="E1335" s="2094" t="str">
        <f>E1308</f>
        <v>Refrigerator - early replacement ER1</v>
      </c>
      <c r="F1335" s="985">
        <v>6</v>
      </c>
      <c r="G1335" s="2393"/>
      <c r="H1335" s="226"/>
      <c r="I1335" s="226"/>
      <c r="V1335" s="4412" t="str">
        <f t="shared" si="192"/>
        <v>EUL</v>
      </c>
      <c r="W1335" s="985">
        <v>6</v>
      </c>
      <c r="X1335" s="985">
        <v>6</v>
      </c>
      <c r="Y1335" s="985">
        <v>6</v>
      </c>
      <c r="Z1335" s="985">
        <v>6</v>
      </c>
      <c r="AA1335" s="985">
        <v>6</v>
      </c>
      <c r="AB1335" s="985">
        <v>6</v>
      </c>
      <c r="AC1335" s="985">
        <v>6</v>
      </c>
      <c r="AD1335" s="985">
        <v>6</v>
      </c>
      <c r="AE1335" s="986"/>
      <c r="AF1335" s="986"/>
      <c r="AG1335" s="986"/>
      <c r="AK1335" s="732"/>
    </row>
    <row r="1336" spans="1:57" hidden="1" outlineLevel="1" x14ac:dyDescent="0.35">
      <c r="B1336" s="1040"/>
      <c r="C1336" s="2378"/>
      <c r="D1336" s="4413"/>
      <c r="E1336" s="2094" t="str">
        <f>E1309</f>
        <v>Refrigerator - early replacement ER2</v>
      </c>
      <c r="F1336" s="985">
        <v>11</v>
      </c>
      <c r="G1336" s="2393"/>
      <c r="H1336" s="226"/>
      <c r="I1336" s="226"/>
      <c r="V1336" s="4413"/>
      <c r="W1336" s="985">
        <v>11</v>
      </c>
      <c r="X1336" s="985">
        <v>11</v>
      </c>
      <c r="Y1336" s="985">
        <v>11</v>
      </c>
      <c r="Z1336" s="985">
        <v>11</v>
      </c>
      <c r="AA1336" s="985">
        <v>11</v>
      </c>
      <c r="AB1336" s="985">
        <v>11</v>
      </c>
      <c r="AC1336" s="985">
        <v>11</v>
      </c>
      <c r="AD1336" s="985">
        <v>11</v>
      </c>
      <c r="AE1336" s="986"/>
      <c r="AF1336" s="986"/>
      <c r="AG1336" s="986"/>
      <c r="AK1336" s="732"/>
    </row>
    <row r="1337" spans="1:57" hidden="1" outlineLevel="1" x14ac:dyDescent="0.35">
      <c r="B1337" s="1040"/>
      <c r="C1337" s="2378"/>
      <c r="D1337" s="2094" t="str">
        <f>D1236</f>
        <v>Inc. Cost</v>
      </c>
      <c r="E1337" s="2094" t="s">
        <v>2033</v>
      </c>
      <c r="F1337" s="420">
        <v>753</v>
      </c>
      <c r="G1337" s="2393"/>
      <c r="H1337" s="226"/>
      <c r="I1337" s="226"/>
      <c r="V1337" s="2094" t="str">
        <f>D1337</f>
        <v>Inc. Cost</v>
      </c>
      <c r="W1337" s="420">
        <v>753</v>
      </c>
      <c r="X1337" s="420">
        <v>753</v>
      </c>
      <c r="Y1337" s="420">
        <v>753</v>
      </c>
      <c r="Z1337" s="420">
        <v>753</v>
      </c>
      <c r="AA1337" s="420">
        <v>753</v>
      </c>
      <c r="AB1337" s="420">
        <v>753</v>
      </c>
      <c r="AC1337" s="420">
        <v>753</v>
      </c>
      <c r="AD1337" s="420">
        <v>753</v>
      </c>
      <c r="AE1337" s="987"/>
      <c r="AF1337" s="987"/>
      <c r="AG1337" s="987"/>
      <c r="AK1337" s="732"/>
    </row>
    <row r="1338" spans="1:57" collapsed="1" x14ac:dyDescent="0.35">
      <c r="X1338" s="199"/>
      <c r="Y1338" s="790" t="s">
        <v>2123</v>
      </c>
      <c r="Z1338" s="377"/>
      <c r="AA1338" s="377"/>
      <c r="AB1338" s="377"/>
    </row>
    <row r="1340" spans="1:57" s="31" customFormat="1" x14ac:dyDescent="0.35">
      <c r="A1340" s="132"/>
      <c r="B1340" s="2325" t="s">
        <v>463</v>
      </c>
      <c r="C1340" s="2326"/>
      <c r="D1340" s="2326"/>
      <c r="E1340" s="2326"/>
      <c r="F1340" s="2326"/>
      <c r="G1340" s="2326"/>
      <c r="H1340" s="2326"/>
      <c r="I1340" s="2326"/>
      <c r="J1340" s="2326"/>
      <c r="K1340" s="2326"/>
      <c r="L1340" s="2326"/>
      <c r="M1340" s="2326"/>
      <c r="N1340" s="2326"/>
      <c r="O1340" s="2326"/>
      <c r="P1340" s="2326"/>
      <c r="Q1340" s="2326"/>
      <c r="R1340" s="2384"/>
      <c r="S1340" s="132"/>
      <c r="T1340" s="132"/>
      <c r="U1340" s="132"/>
      <c r="V1340" s="2954" t="str">
        <f>B1340</f>
        <v>Energy Star Room AC</v>
      </c>
      <c r="W1340" s="2955"/>
      <c r="X1340" s="2955"/>
      <c r="Y1340" s="2955"/>
      <c r="Z1340" s="2955"/>
      <c r="AA1340" s="2955"/>
      <c r="AB1340" s="2955"/>
      <c r="AC1340" s="2955"/>
      <c r="AD1340" s="2955"/>
      <c r="AE1340" s="2955"/>
      <c r="AF1340" s="2955"/>
      <c r="AG1340" s="2955"/>
      <c r="AH1340" s="2955"/>
      <c r="AI1340" s="2968"/>
      <c r="AU1340" s="145"/>
      <c r="BB1340" s="32"/>
    </row>
    <row r="1341" spans="1:57" s="31" customFormat="1" x14ac:dyDescent="0.35">
      <c r="A1341" s="132"/>
      <c r="B1341" s="106"/>
      <c r="C1341" s="103"/>
      <c r="D1341" s="292"/>
      <c r="E1341" s="292"/>
      <c r="F1341" s="106"/>
      <c r="G1341" s="106"/>
      <c r="H1341" s="106"/>
      <c r="I1341" s="106"/>
      <c r="J1341" s="106"/>
      <c r="K1341" s="106"/>
      <c r="L1341" s="106"/>
      <c r="M1341" s="106"/>
      <c r="N1341" s="106"/>
      <c r="O1341" s="106"/>
      <c r="P1341" s="132"/>
      <c r="Q1341" s="132"/>
      <c r="R1341" s="132"/>
      <c r="S1341" s="132"/>
      <c r="T1341" s="132"/>
      <c r="U1341" s="132"/>
      <c r="Y1341" s="173"/>
      <c r="AU1341" s="145"/>
      <c r="BB1341" s="32"/>
    </row>
    <row r="1342" spans="1:57" s="31" customFormat="1" ht="29" x14ac:dyDescent="0.35">
      <c r="A1342" s="132"/>
      <c r="B1342" s="350"/>
      <c r="C1342" s="2379" t="s">
        <v>27</v>
      </c>
      <c r="D1342" s="2379" t="s">
        <v>174</v>
      </c>
      <c r="E1342" s="2379" t="s">
        <v>29</v>
      </c>
      <c r="F1342" s="2379" t="s">
        <v>30</v>
      </c>
      <c r="G1342" s="2379" t="s">
        <v>175</v>
      </c>
      <c r="H1342" s="2379" t="s">
        <v>176</v>
      </c>
      <c r="I1342" s="2379" t="s">
        <v>31</v>
      </c>
      <c r="J1342" s="2379" t="s">
        <v>180</v>
      </c>
      <c r="K1342" s="2379" t="s">
        <v>169</v>
      </c>
      <c r="L1342" s="2379" t="s">
        <v>43</v>
      </c>
      <c r="M1342" s="106"/>
      <c r="N1342" s="106"/>
      <c r="O1342" s="350"/>
      <c r="P1342" s="132"/>
      <c r="Q1342" s="132"/>
      <c r="R1342" s="132"/>
      <c r="S1342" s="132"/>
      <c r="T1342" s="132"/>
      <c r="U1342" s="132"/>
      <c r="V1342" s="1572" t="s">
        <v>44</v>
      </c>
      <c r="W1342" s="1573">
        <v>43252</v>
      </c>
      <c r="X1342" s="1573">
        <f>$X$6</f>
        <v>43465</v>
      </c>
      <c r="Y1342" s="316">
        <f>$Y$6</f>
        <v>43800</v>
      </c>
      <c r="Z1342" s="1573">
        <f>$Z$6</f>
        <v>43862</v>
      </c>
      <c r="AA1342" s="1573">
        <f>$AA$6</f>
        <v>44013</v>
      </c>
      <c r="AB1342" s="1573">
        <f>$AB$6</f>
        <v>44166</v>
      </c>
      <c r="AC1342" s="1573">
        <f>$AC$6</f>
        <v>44531</v>
      </c>
      <c r="AD1342" s="1573">
        <f>$AD$6</f>
        <v>44774</v>
      </c>
      <c r="AE1342" s="1573" t="str">
        <f>$AE$6</f>
        <v>-</v>
      </c>
      <c r="AF1342" s="1573" t="str">
        <f>$AF$6</f>
        <v>-</v>
      </c>
      <c r="AG1342" s="1573" t="str">
        <f>$AG$6</f>
        <v>-</v>
      </c>
      <c r="AU1342" s="145"/>
      <c r="BB1342" s="1574" t="str">
        <f>$BB$6</f>
        <v>TRC (2022)</v>
      </c>
      <c r="BC1342" s="1584" t="str">
        <f>$BC$6</f>
        <v>Benefit Lookup</v>
      </c>
      <c r="BD1342" s="556" t="str">
        <f>$BD$6</f>
        <v>Benefits (2019 $)</v>
      </c>
      <c r="BE1342" s="200" t="str">
        <f>$BE$6</f>
        <v>Incremental Cost (2019 $)</v>
      </c>
    </row>
    <row r="1343" spans="1:57" s="31" customFormat="1" x14ac:dyDescent="0.35">
      <c r="A1343" s="132"/>
      <c r="B1343" s="132"/>
      <c r="C1343" s="1037" t="s">
        <v>2124</v>
      </c>
      <c r="D1343" s="1279" t="s">
        <v>1518</v>
      </c>
      <c r="E1343" s="135" t="s">
        <v>2125</v>
      </c>
      <c r="F1343" s="202">
        <f>ROUND(($H$1386*$H$1376*(1/$H$1384-1/$H$1383)/1000*$F$1388),2)</f>
        <v>190.46</v>
      </c>
      <c r="G1343" s="2419" t="s">
        <v>257</v>
      </c>
      <c r="H1343" s="136">
        <f>VLOOKUP(G1343,'CP FACTORS'!$A$3:$B$38, 2, FALSE)</f>
        <v>9.4741810000000004E-4</v>
      </c>
      <c r="I1343" s="1278">
        <f t="shared" ref="I1343:I1366" si="193">ROUND(F1343*H1343,6)</f>
        <v>0.18044499999999999</v>
      </c>
      <c r="J1343" s="289">
        <f t="shared" ref="J1343:J1366" si="194">$F$1389</f>
        <v>9</v>
      </c>
      <c r="K1343" s="989">
        <f t="shared" ref="K1343:K1366" si="195">$F$1390</f>
        <v>20</v>
      </c>
      <c r="L1343" s="1435" t="s">
        <v>184</v>
      </c>
      <c r="M1343" s="132"/>
      <c r="N1343" s="1213"/>
      <c r="O1343" s="963"/>
      <c r="P1343" s="132"/>
      <c r="Q1343" s="132"/>
      <c r="R1343" s="1214"/>
      <c r="S1343" s="132"/>
      <c r="T1343" s="132"/>
      <c r="U1343" s="132"/>
      <c r="V1343" s="247" t="s">
        <v>30</v>
      </c>
      <c r="W1343" s="345"/>
      <c r="X1343" s="988">
        <v>898.77014282038067</v>
      </c>
      <c r="Y1343" s="213">
        <v>195.22</v>
      </c>
      <c r="Z1343" s="988">
        <v>195.22</v>
      </c>
      <c r="AA1343" s="988">
        <v>195.22</v>
      </c>
      <c r="AB1343" s="988">
        <v>195.22</v>
      </c>
      <c r="AC1343" s="2138">
        <v>190.46</v>
      </c>
      <c r="AD1343" s="202">
        <v>190.46</v>
      </c>
      <c r="AE1343" s="247"/>
      <c r="AF1343" s="247"/>
      <c r="AG1343" s="247"/>
      <c r="AU1343" s="145"/>
      <c r="BB1343" s="1578">
        <f t="shared" ref="BB1343:BB1366" si="196">(BD1343)/(BE1343)</f>
        <v>9.68310105623965</v>
      </c>
      <c r="BC1343" s="2381" t="str">
        <f t="shared" ref="BC1343:BC1366" si="197">CONCATENATE(G1343," ",J1343," Year EUL")</f>
        <v>Cooling RES 9 Year EUL</v>
      </c>
      <c r="BD1343" s="95">
        <f>(INDEX('Avoided Cost Benefits'!$E$4:$E$859,MATCH(BC1343,'Avoided Cost Benefits'!$A$4:$A$859,0)))*F1343</f>
        <v>182.78623985350919</v>
      </c>
      <c r="BE1343" s="1579">
        <f>K1343/(1.0595^(2020-2019))</f>
        <v>18.876828692779611</v>
      </c>
    </row>
    <row r="1344" spans="1:57" s="31" customFormat="1" x14ac:dyDescent="0.35">
      <c r="A1344" s="132"/>
      <c r="B1344" s="132"/>
      <c r="C1344" s="1037" t="s">
        <v>2126</v>
      </c>
      <c r="D1344" s="1279" t="s">
        <v>1517</v>
      </c>
      <c r="E1344" s="135" t="s">
        <v>2127</v>
      </c>
      <c r="F1344" s="202">
        <f>ROUND(($F$1386*$F$1376*(1/$F$1382-1/$F$1383)/1000*$F$1388),2)</f>
        <v>75.040000000000006</v>
      </c>
      <c r="G1344" s="2419" t="s">
        <v>257</v>
      </c>
      <c r="H1344" s="136">
        <f>VLOOKUP(G1344,'CP FACTORS'!$A$3:$B$38, 2, FALSE)</f>
        <v>9.4741810000000004E-4</v>
      </c>
      <c r="I1344" s="1278">
        <f t="shared" si="193"/>
        <v>7.1094000000000004E-2</v>
      </c>
      <c r="J1344" s="289">
        <f t="shared" si="194"/>
        <v>9</v>
      </c>
      <c r="K1344" s="989">
        <f t="shared" si="195"/>
        <v>20</v>
      </c>
      <c r="L1344" s="1435" t="s">
        <v>184</v>
      </c>
      <c r="M1344" s="132"/>
      <c r="N1344" s="1213"/>
      <c r="O1344" s="963"/>
      <c r="P1344" s="132"/>
      <c r="Q1344" s="132"/>
      <c r="R1344" s="1214"/>
      <c r="S1344" s="132"/>
      <c r="T1344" s="132"/>
      <c r="U1344" s="132"/>
      <c r="V1344" s="247" t="s">
        <v>30</v>
      </c>
      <c r="W1344" s="345">
        <v>40.971199412398086</v>
      </c>
      <c r="X1344" s="289">
        <v>49.727499015442788</v>
      </c>
      <c r="Y1344" s="82">
        <v>76.92</v>
      </c>
      <c r="Z1344" s="289">
        <v>76.92</v>
      </c>
      <c r="AA1344" s="289">
        <v>76.92</v>
      </c>
      <c r="AB1344" s="289">
        <v>76.92</v>
      </c>
      <c r="AC1344" s="2138">
        <v>75.040000000000006</v>
      </c>
      <c r="AD1344" s="202">
        <v>75.040000000000006</v>
      </c>
      <c r="AE1344" s="247"/>
      <c r="AF1344" s="247"/>
      <c r="AG1344" s="247"/>
      <c r="AU1344" s="145"/>
      <c r="BB1344" s="40">
        <f t="shared" si="196"/>
        <v>3.8150787738119467</v>
      </c>
      <c r="BC1344" s="1580" t="str">
        <f t="shared" si="197"/>
        <v>Cooling RES 9 Year EUL</v>
      </c>
      <c r="BD1344" s="98">
        <f>(INDEX('Avoided Cost Benefits'!$E$4:$E$859,MATCH(BC1344,'Avoided Cost Benefits'!$A$4:$A$859,0)))*F1344</f>
        <v>72.016588462707816</v>
      </c>
      <c r="BE1344" s="1581">
        <f t="shared" ref="BE1344:BE1366" si="198">K1344/(1.0595^(2020-2019))</f>
        <v>18.876828692779611</v>
      </c>
    </row>
    <row r="1345" spans="1:57" s="31" customFormat="1" x14ac:dyDescent="0.35">
      <c r="A1345" s="132"/>
      <c r="B1345" s="132"/>
      <c r="C1345" s="1037" t="s">
        <v>2128</v>
      </c>
      <c r="D1345" s="1279" t="s">
        <v>1518</v>
      </c>
      <c r="E1345" s="135" t="s">
        <v>2129</v>
      </c>
      <c r="F1345" s="202">
        <f>ROUND(($H$1386*$H$1376*(1/$H$1384-1/$H$1383)/1000*$F$1388),2)</f>
        <v>190.46</v>
      </c>
      <c r="G1345" s="2419" t="s">
        <v>257</v>
      </c>
      <c r="H1345" s="136">
        <f>VLOOKUP(G1345,'CP FACTORS'!$A$3:$B$38, 2, FALSE)</f>
        <v>9.4741810000000004E-4</v>
      </c>
      <c r="I1345" s="1278">
        <f t="shared" si="193"/>
        <v>0.18044499999999999</v>
      </c>
      <c r="J1345" s="289">
        <f t="shared" si="194"/>
        <v>9</v>
      </c>
      <c r="K1345" s="989">
        <f t="shared" si="195"/>
        <v>20</v>
      </c>
      <c r="L1345" s="1435" t="s">
        <v>184</v>
      </c>
      <c r="M1345" s="132"/>
      <c r="N1345" s="1213"/>
      <c r="O1345" s="963"/>
      <c r="P1345" s="132"/>
      <c r="Q1345" s="132"/>
      <c r="R1345" s="1214"/>
      <c r="S1345" s="132"/>
      <c r="T1345" s="132"/>
      <c r="U1345" s="132"/>
      <c r="V1345" s="247" t="s">
        <v>30</v>
      </c>
      <c r="W1345" s="345"/>
      <c r="X1345" s="988">
        <v>898.77014282038067</v>
      </c>
      <c r="Y1345" s="213">
        <v>195.22</v>
      </c>
      <c r="Z1345" s="988">
        <v>195.22</v>
      </c>
      <c r="AA1345" s="988">
        <v>195.22</v>
      </c>
      <c r="AB1345" s="988">
        <v>195.22</v>
      </c>
      <c r="AC1345" s="2138">
        <v>190.46</v>
      </c>
      <c r="AD1345" s="202">
        <v>190.46</v>
      </c>
      <c r="AE1345" s="247"/>
      <c r="AF1345" s="247"/>
      <c r="AG1345" s="247"/>
      <c r="AU1345" s="145"/>
      <c r="BB1345" s="40">
        <f t="shared" si="196"/>
        <v>9.68310105623965</v>
      </c>
      <c r="BC1345" s="1580" t="str">
        <f t="shared" si="197"/>
        <v>Cooling RES 9 Year EUL</v>
      </c>
      <c r="BD1345" s="98">
        <f>(INDEX('Avoided Cost Benefits'!$E$4:$E$859,MATCH(BC1345,'Avoided Cost Benefits'!$A$4:$A$859,0)))*F1345</f>
        <v>182.78623985350919</v>
      </c>
      <c r="BE1345" s="1581">
        <f t="shared" si="198"/>
        <v>18.876828692779611</v>
      </c>
    </row>
    <row r="1346" spans="1:57" s="31" customFormat="1" ht="15" thickBot="1" x14ac:dyDescent="0.4">
      <c r="A1346" s="132"/>
      <c r="B1346" s="132"/>
      <c r="C1346" s="958" t="s">
        <v>2130</v>
      </c>
      <c r="D1346" s="1440" t="s">
        <v>1517</v>
      </c>
      <c r="E1346" s="990" t="s">
        <v>2131</v>
      </c>
      <c r="F1346" s="2692">
        <f>ROUND(($F$1386*$F$1376*(1/$F$1382-1/$F$1383)/1000*$F$1388),2)</f>
        <v>75.040000000000006</v>
      </c>
      <c r="G1346" s="1436" t="s">
        <v>257</v>
      </c>
      <c r="H1346" s="1437">
        <f>VLOOKUP(G1346,'CP FACTORS'!$A$3:$B$38, 2, FALSE)</f>
        <v>9.4741810000000004E-4</v>
      </c>
      <c r="I1346" s="1438">
        <f t="shared" si="193"/>
        <v>7.1094000000000004E-2</v>
      </c>
      <c r="J1346" s="1439">
        <f t="shared" si="194"/>
        <v>9</v>
      </c>
      <c r="K1346" s="991">
        <f t="shared" si="195"/>
        <v>20</v>
      </c>
      <c r="L1346" s="1440" t="s">
        <v>184</v>
      </c>
      <c r="M1346" s="132"/>
      <c r="N1346" s="1213"/>
      <c r="O1346" s="963"/>
      <c r="P1346" s="132"/>
      <c r="Q1346" s="132"/>
      <c r="R1346" s="1214"/>
      <c r="S1346" s="132"/>
      <c r="T1346" s="132"/>
      <c r="U1346" s="132"/>
      <c r="V1346" s="247" t="s">
        <v>30</v>
      </c>
      <c r="W1346" s="345">
        <v>40.971199412398086</v>
      </c>
      <c r="X1346" s="289">
        <v>49.727499015442788</v>
      </c>
      <c r="Y1346" s="82">
        <v>76.92</v>
      </c>
      <c r="Z1346" s="289">
        <v>76.92</v>
      </c>
      <c r="AA1346" s="289">
        <v>76.92</v>
      </c>
      <c r="AB1346" s="289">
        <v>76.92</v>
      </c>
      <c r="AC1346" s="2138">
        <v>75.040000000000006</v>
      </c>
      <c r="AD1346" s="202">
        <v>75.040000000000006</v>
      </c>
      <c r="AE1346" s="247"/>
      <c r="AF1346" s="247"/>
      <c r="AG1346" s="247"/>
      <c r="AU1346" s="145"/>
      <c r="BB1346" s="40">
        <f t="shared" si="196"/>
        <v>3.8150787738119467</v>
      </c>
      <c r="BC1346" s="1580" t="str">
        <f t="shared" si="197"/>
        <v>Cooling RES 9 Year EUL</v>
      </c>
      <c r="BD1346" s="98">
        <f>(INDEX('Avoided Cost Benefits'!$E$4:$E$859,MATCH(BC1346,'Avoided Cost Benefits'!$A$4:$A$859,0)))*F1346</f>
        <v>72.016588462707816</v>
      </c>
      <c r="BE1346" s="1581">
        <f t="shared" si="198"/>
        <v>18.876828692779611</v>
      </c>
    </row>
    <row r="1347" spans="1:57" s="31" customFormat="1" x14ac:dyDescent="0.35">
      <c r="A1347" s="132"/>
      <c r="B1347" s="132"/>
      <c r="C1347" s="2693" t="s">
        <v>2132</v>
      </c>
      <c r="D1347" s="1279" t="s">
        <v>1518</v>
      </c>
      <c r="E1347" s="1441" t="s">
        <v>2133</v>
      </c>
      <c r="F1347" s="2694">
        <f>ROUND(($H$1386*$H$1377*(1/$H$1384-1/$H$1383)/1000*$F$1388),2)</f>
        <v>81.08</v>
      </c>
      <c r="G1347" s="1442" t="s">
        <v>257</v>
      </c>
      <c r="H1347" s="1300">
        <f>VLOOKUP(G1347,'CP FACTORS'!$A$3:$B$38, 2, FALSE)</f>
        <v>9.4741810000000004E-4</v>
      </c>
      <c r="I1347" s="1443">
        <f t="shared" si="193"/>
        <v>7.6816999999999996E-2</v>
      </c>
      <c r="J1347" s="1444">
        <f t="shared" si="194"/>
        <v>9</v>
      </c>
      <c r="K1347" s="1445">
        <f t="shared" si="195"/>
        <v>20</v>
      </c>
      <c r="L1347" s="1446" t="s">
        <v>184</v>
      </c>
      <c r="M1347" s="132"/>
      <c r="N1347" s="1213"/>
      <c r="O1347" s="963"/>
      <c r="P1347" s="132"/>
      <c r="Q1347" s="132"/>
      <c r="R1347" s="1214"/>
      <c r="S1347" s="132"/>
      <c r="T1347" s="132"/>
      <c r="U1347" s="132"/>
      <c r="V1347" s="247" t="s">
        <v>30</v>
      </c>
      <c r="W1347" s="345"/>
      <c r="X1347" s="289"/>
      <c r="Y1347" s="82">
        <v>83.11</v>
      </c>
      <c r="Z1347" s="289">
        <v>83.11</v>
      </c>
      <c r="AA1347" s="289">
        <v>83.11</v>
      </c>
      <c r="AB1347" s="289">
        <v>83.11</v>
      </c>
      <c r="AC1347" s="2138">
        <v>81.08</v>
      </c>
      <c r="AD1347" s="202">
        <v>81.08</v>
      </c>
      <c r="AE1347" s="247"/>
      <c r="AF1347" s="247"/>
      <c r="AG1347" s="247"/>
      <c r="AU1347" s="145"/>
      <c r="BB1347" s="40">
        <f t="shared" si="196"/>
        <v>4.1221560098703707</v>
      </c>
      <c r="BC1347" s="1580" t="str">
        <f t="shared" si="197"/>
        <v>Cooling RES 9 Year EUL</v>
      </c>
      <c r="BD1347" s="98">
        <f>(INDEX('Avoided Cost Benefits'!$E$4:$E$859,MATCH(BC1347,'Avoided Cost Benefits'!$A$4:$A$859,0)))*F1347</f>
        <v>77.813232843234928</v>
      </c>
      <c r="BE1347" s="1581">
        <f t="shared" si="198"/>
        <v>18.876828692779611</v>
      </c>
    </row>
    <row r="1348" spans="1:57" s="31" customFormat="1" x14ac:dyDescent="0.35">
      <c r="A1348" s="132"/>
      <c r="B1348" s="132"/>
      <c r="C1348" s="1037" t="s">
        <v>2134</v>
      </c>
      <c r="D1348" s="1279" t="s">
        <v>1517</v>
      </c>
      <c r="E1348" s="135" t="s">
        <v>2135</v>
      </c>
      <c r="F1348" s="202">
        <f>ROUND(($F$1386*$F$1377*(1/$F$1382-1/$F$1383)/1000*$F$1388),2)</f>
        <v>36.35</v>
      </c>
      <c r="G1348" s="2419" t="s">
        <v>257</v>
      </c>
      <c r="H1348" s="136">
        <f>VLOOKUP(G1348,'CP FACTORS'!$A$3:$B$38, 2, FALSE)</f>
        <v>9.4741810000000004E-4</v>
      </c>
      <c r="I1348" s="1278">
        <f t="shared" si="193"/>
        <v>3.4438999999999997E-2</v>
      </c>
      <c r="J1348" s="289">
        <f t="shared" si="194"/>
        <v>9</v>
      </c>
      <c r="K1348" s="989">
        <f t="shared" si="195"/>
        <v>20</v>
      </c>
      <c r="L1348" s="1435" t="s">
        <v>184</v>
      </c>
      <c r="M1348" s="132"/>
      <c r="N1348" s="1213"/>
      <c r="O1348" s="963"/>
      <c r="P1348" s="132"/>
      <c r="Q1348" s="132"/>
      <c r="R1348" s="1214"/>
      <c r="S1348" s="132"/>
      <c r="T1348" s="132"/>
      <c r="U1348" s="132"/>
      <c r="V1348" s="247" t="s">
        <v>30</v>
      </c>
      <c r="W1348" s="345"/>
      <c r="X1348" s="289"/>
      <c r="Y1348" s="82">
        <v>37.26</v>
      </c>
      <c r="Z1348" s="289">
        <v>37.26</v>
      </c>
      <c r="AA1348" s="289">
        <v>37.26</v>
      </c>
      <c r="AB1348" s="289">
        <v>37.26</v>
      </c>
      <c r="AC1348" s="2138">
        <v>36.35</v>
      </c>
      <c r="AD1348" s="202">
        <v>36.35</v>
      </c>
      <c r="AE1348" s="247"/>
      <c r="AF1348" s="247"/>
      <c r="AG1348" s="247"/>
      <c r="AU1348" s="145"/>
      <c r="BB1348" s="40">
        <f t="shared" si="196"/>
        <v>1.848055882570153</v>
      </c>
      <c r="BC1348" s="1580" t="str">
        <f t="shared" si="197"/>
        <v>Cooling RES 9 Year EUL</v>
      </c>
      <c r="BD1348" s="98">
        <f>(INDEX('Avoided Cost Benefits'!$E$4:$E$859,MATCH(BC1348,'Avoided Cost Benefits'!$A$4:$A$859,0)))*F1348</f>
        <v>34.885434309960409</v>
      </c>
      <c r="BE1348" s="1581">
        <f t="shared" si="198"/>
        <v>18.876828692779611</v>
      </c>
    </row>
    <row r="1349" spans="1:57" s="31" customFormat="1" x14ac:dyDescent="0.35">
      <c r="A1349" s="132"/>
      <c r="B1349" s="132"/>
      <c r="C1349" s="1037" t="s">
        <v>2136</v>
      </c>
      <c r="D1349" s="1279" t="s">
        <v>1518</v>
      </c>
      <c r="E1349" s="135" t="s">
        <v>2137</v>
      </c>
      <c r="F1349" s="202">
        <f>ROUND(($H$1386*$H$1377*(1/$H$1384-1/$H$1383)/1000*$F$1388),2)</f>
        <v>81.08</v>
      </c>
      <c r="G1349" s="2419" t="s">
        <v>257</v>
      </c>
      <c r="H1349" s="136">
        <f>VLOOKUP(G1349,'CP FACTORS'!$A$3:$B$38, 2, FALSE)</f>
        <v>9.4741810000000004E-4</v>
      </c>
      <c r="I1349" s="1278">
        <f t="shared" si="193"/>
        <v>7.6816999999999996E-2</v>
      </c>
      <c r="J1349" s="289">
        <f t="shared" si="194"/>
        <v>9</v>
      </c>
      <c r="K1349" s="989">
        <f t="shared" si="195"/>
        <v>20</v>
      </c>
      <c r="L1349" s="1435" t="s">
        <v>184</v>
      </c>
      <c r="M1349" s="132"/>
      <c r="N1349" s="1213"/>
      <c r="O1349" s="963"/>
      <c r="P1349" s="132"/>
      <c r="Q1349" s="132"/>
      <c r="R1349" s="1214"/>
      <c r="S1349" s="132"/>
      <c r="T1349" s="132"/>
      <c r="U1349" s="132"/>
      <c r="V1349" s="247" t="s">
        <v>30</v>
      </c>
      <c r="W1349" s="345"/>
      <c r="X1349" s="289"/>
      <c r="Y1349" s="82">
        <v>83.11</v>
      </c>
      <c r="Z1349" s="289">
        <v>83.11</v>
      </c>
      <c r="AA1349" s="289">
        <v>83.11</v>
      </c>
      <c r="AB1349" s="289">
        <v>83.11</v>
      </c>
      <c r="AC1349" s="2138">
        <v>81.08</v>
      </c>
      <c r="AD1349" s="202">
        <v>81.08</v>
      </c>
      <c r="AE1349" s="247"/>
      <c r="AF1349" s="247"/>
      <c r="AG1349" s="247"/>
      <c r="AU1349" s="145"/>
      <c r="BB1349" s="40">
        <f t="shared" si="196"/>
        <v>4.1221560098703707</v>
      </c>
      <c r="BC1349" s="1580" t="str">
        <f t="shared" si="197"/>
        <v>Cooling RES 9 Year EUL</v>
      </c>
      <c r="BD1349" s="98">
        <f>(INDEX('Avoided Cost Benefits'!$E$4:$E$859,MATCH(BC1349,'Avoided Cost Benefits'!$A$4:$A$859,0)))*F1349</f>
        <v>77.813232843234928</v>
      </c>
      <c r="BE1349" s="1581">
        <f t="shared" si="198"/>
        <v>18.876828692779611</v>
      </c>
    </row>
    <row r="1350" spans="1:57" s="31" customFormat="1" ht="15" thickBot="1" x14ac:dyDescent="0.4">
      <c r="A1350" s="132"/>
      <c r="B1350" s="132"/>
      <c r="C1350" s="958" t="s">
        <v>2138</v>
      </c>
      <c r="D1350" s="1440" t="s">
        <v>1517</v>
      </c>
      <c r="E1350" s="990" t="s">
        <v>2139</v>
      </c>
      <c r="F1350" s="2692">
        <f>ROUND(($F$1386*$F$1377*(1/$F$1382-1/$F$1383)/1000*$F$1388),2)</f>
        <v>36.35</v>
      </c>
      <c r="G1350" s="1436" t="s">
        <v>257</v>
      </c>
      <c r="H1350" s="1437">
        <f>VLOOKUP(G1350,'CP FACTORS'!$A$3:$B$38, 2, FALSE)</f>
        <v>9.4741810000000004E-4</v>
      </c>
      <c r="I1350" s="1438">
        <f t="shared" si="193"/>
        <v>3.4438999999999997E-2</v>
      </c>
      <c r="J1350" s="1439">
        <f t="shared" si="194"/>
        <v>9</v>
      </c>
      <c r="K1350" s="991">
        <f t="shared" si="195"/>
        <v>20</v>
      </c>
      <c r="L1350" s="1440" t="s">
        <v>184</v>
      </c>
      <c r="M1350" s="132"/>
      <c r="N1350" s="1213"/>
      <c r="O1350" s="963"/>
      <c r="P1350" s="132"/>
      <c r="Q1350" s="132"/>
      <c r="R1350" s="1214"/>
      <c r="S1350" s="132"/>
      <c r="T1350" s="132"/>
      <c r="U1350" s="132"/>
      <c r="V1350" s="247" t="s">
        <v>30</v>
      </c>
      <c r="W1350" s="345"/>
      <c r="X1350" s="289"/>
      <c r="Y1350" s="82">
        <v>37.26</v>
      </c>
      <c r="Z1350" s="289">
        <v>37.26</v>
      </c>
      <c r="AA1350" s="289">
        <v>37.26</v>
      </c>
      <c r="AB1350" s="289">
        <v>37.26</v>
      </c>
      <c r="AC1350" s="2138">
        <v>36.35</v>
      </c>
      <c r="AD1350" s="202">
        <v>36.35</v>
      </c>
      <c r="AE1350" s="247"/>
      <c r="AF1350" s="247"/>
      <c r="AG1350" s="247"/>
      <c r="AU1350" s="145"/>
      <c r="BB1350" s="40">
        <f t="shared" si="196"/>
        <v>1.848055882570153</v>
      </c>
      <c r="BC1350" s="1580" t="str">
        <f t="shared" si="197"/>
        <v>Cooling RES 9 Year EUL</v>
      </c>
      <c r="BD1350" s="98">
        <f>(INDEX('Avoided Cost Benefits'!$E$4:$E$859,MATCH(BC1350,'Avoided Cost Benefits'!$A$4:$A$859,0)))*F1350</f>
        <v>34.885434309960409</v>
      </c>
      <c r="BE1350" s="1581">
        <f t="shared" si="198"/>
        <v>18.876828692779611</v>
      </c>
    </row>
    <row r="1351" spans="1:57" s="31" customFormat="1" x14ac:dyDescent="0.35">
      <c r="A1351" s="132"/>
      <c r="B1351" s="132"/>
      <c r="C1351" s="2693" t="s">
        <v>2140</v>
      </c>
      <c r="D1351" s="1279" t="s">
        <v>1518</v>
      </c>
      <c r="E1351" s="1441" t="s">
        <v>2141</v>
      </c>
      <c r="F1351" s="2694">
        <f>ROUND(($H$1386*$H$1378*(1/$H$1384-1/$H$1383)/1000*$F$1388),2)</f>
        <v>129.72999999999999</v>
      </c>
      <c r="G1351" s="1442" t="s">
        <v>257</v>
      </c>
      <c r="H1351" s="1300">
        <f>VLOOKUP(G1351,'CP FACTORS'!$A$3:$B$38, 2, FALSE)</f>
        <v>9.4741810000000004E-4</v>
      </c>
      <c r="I1351" s="1443">
        <f t="shared" si="193"/>
        <v>0.122909</v>
      </c>
      <c r="J1351" s="1444">
        <f t="shared" si="194"/>
        <v>9</v>
      </c>
      <c r="K1351" s="1445">
        <f t="shared" si="195"/>
        <v>20</v>
      </c>
      <c r="L1351" s="1446" t="s">
        <v>184</v>
      </c>
      <c r="M1351" s="132"/>
      <c r="N1351" s="1213"/>
      <c r="O1351" s="963"/>
      <c r="P1351" s="132"/>
      <c r="Q1351" s="132"/>
      <c r="R1351" s="1214"/>
      <c r="S1351" s="132"/>
      <c r="T1351" s="132"/>
      <c r="U1351" s="132"/>
      <c r="V1351" s="247" t="s">
        <v>30</v>
      </c>
      <c r="W1351" s="345"/>
      <c r="X1351" s="289"/>
      <c r="Y1351" s="82">
        <v>132.97</v>
      </c>
      <c r="Z1351" s="289">
        <v>132.97</v>
      </c>
      <c r="AA1351" s="289">
        <v>132.97</v>
      </c>
      <c r="AB1351" s="289">
        <v>132.97</v>
      </c>
      <c r="AC1351" s="2138">
        <v>129.72999999999999</v>
      </c>
      <c r="AD1351" s="202">
        <v>129.72999999999999</v>
      </c>
      <c r="AE1351" s="247"/>
      <c r="AF1351" s="247"/>
      <c r="AG1351" s="247"/>
      <c r="AU1351" s="145"/>
      <c r="BB1351" s="40">
        <f t="shared" si="196"/>
        <v>6.595551296996585</v>
      </c>
      <c r="BC1351" s="1580" t="str">
        <f t="shared" si="197"/>
        <v>Cooling RES 9 Year EUL</v>
      </c>
      <c r="BD1351" s="98">
        <f>(INDEX('Avoided Cost Benefits'!$E$4:$E$859,MATCH(BC1351,'Avoided Cost Benefits'!$A$4:$A$859,0)))*F1351</f>
        <v>124.50309196784492</v>
      </c>
      <c r="BE1351" s="1581">
        <f t="shared" si="198"/>
        <v>18.876828692779611</v>
      </c>
    </row>
    <row r="1352" spans="1:57" s="31" customFormat="1" x14ac:dyDescent="0.35">
      <c r="A1352" s="132"/>
      <c r="B1352" s="132"/>
      <c r="C1352" s="1037" t="s">
        <v>2142</v>
      </c>
      <c r="D1352" s="1279" t="s">
        <v>1517</v>
      </c>
      <c r="E1352" s="135" t="s">
        <v>2143</v>
      </c>
      <c r="F1352" s="202">
        <f>ROUND(($F$1386*$F$1378*(1/$F$1382-1/$F$1383)/1000*$F$1388),2)</f>
        <v>58.16</v>
      </c>
      <c r="G1352" s="2419" t="s">
        <v>257</v>
      </c>
      <c r="H1352" s="136">
        <f>VLOOKUP(G1352,'CP FACTORS'!$A$3:$B$38, 2, FALSE)</f>
        <v>9.4741810000000004E-4</v>
      </c>
      <c r="I1352" s="1278">
        <f t="shared" si="193"/>
        <v>5.5101999999999998E-2</v>
      </c>
      <c r="J1352" s="289">
        <f t="shared" si="194"/>
        <v>9</v>
      </c>
      <c r="K1352" s="989">
        <f t="shared" si="195"/>
        <v>20</v>
      </c>
      <c r="L1352" s="1435" t="s">
        <v>184</v>
      </c>
      <c r="M1352" s="132"/>
      <c r="N1352" s="1213"/>
      <c r="O1352" s="963"/>
      <c r="P1352" s="132"/>
      <c r="Q1352" s="132"/>
      <c r="R1352" s="1214"/>
      <c r="S1352" s="132"/>
      <c r="T1352" s="132"/>
      <c r="U1352" s="132"/>
      <c r="V1352" s="247" t="s">
        <v>30</v>
      </c>
      <c r="W1352" s="345"/>
      <c r="X1352" s="289"/>
      <c r="Y1352" s="82">
        <v>59.61</v>
      </c>
      <c r="Z1352" s="289">
        <v>59.61</v>
      </c>
      <c r="AA1352" s="289">
        <v>59.61</v>
      </c>
      <c r="AB1352" s="289">
        <v>59.61</v>
      </c>
      <c r="AC1352" s="2138">
        <v>58.16</v>
      </c>
      <c r="AD1352" s="202">
        <v>58.16</v>
      </c>
      <c r="AE1352" s="247"/>
      <c r="AF1352" s="247"/>
      <c r="AG1352" s="247"/>
      <c r="AU1352" s="145"/>
      <c r="BB1352" s="40">
        <f t="shared" si="196"/>
        <v>2.9568894121122442</v>
      </c>
      <c r="BC1352" s="1580" t="str">
        <f t="shared" si="197"/>
        <v>Cooling RES 9 Year EUL</v>
      </c>
      <c r="BD1352" s="98">
        <f>(INDEX('Avoided Cost Benefits'!$E$4:$E$859,MATCH(BC1352,'Avoided Cost Benefits'!$A$4:$A$859,0)))*F1352</f>
        <v>55.816694895936649</v>
      </c>
      <c r="BE1352" s="1581">
        <f t="shared" si="198"/>
        <v>18.876828692779611</v>
      </c>
    </row>
    <row r="1353" spans="1:57" s="31" customFormat="1" x14ac:dyDescent="0.35">
      <c r="A1353" s="132"/>
      <c r="B1353" s="132"/>
      <c r="C1353" s="1037" t="s">
        <v>2144</v>
      </c>
      <c r="D1353" s="1279" t="s">
        <v>1518</v>
      </c>
      <c r="E1353" s="135" t="s">
        <v>2145</v>
      </c>
      <c r="F1353" s="202">
        <f>ROUND(($H$1386*$H$1378*(1/$H$1384-1/$H$1383)/1000*$F$1388),2)</f>
        <v>129.72999999999999</v>
      </c>
      <c r="G1353" s="2419" t="s">
        <v>257</v>
      </c>
      <c r="H1353" s="136">
        <f>VLOOKUP(G1353,'CP FACTORS'!$A$3:$B$38, 2, FALSE)</f>
        <v>9.4741810000000004E-4</v>
      </c>
      <c r="I1353" s="1278">
        <f t="shared" si="193"/>
        <v>0.122909</v>
      </c>
      <c r="J1353" s="289">
        <f t="shared" si="194"/>
        <v>9</v>
      </c>
      <c r="K1353" s="989">
        <f t="shared" si="195"/>
        <v>20</v>
      </c>
      <c r="L1353" s="1435" t="s">
        <v>184</v>
      </c>
      <c r="M1353" s="132"/>
      <c r="N1353" s="1213"/>
      <c r="O1353" s="963"/>
      <c r="P1353" s="132"/>
      <c r="Q1353" s="132"/>
      <c r="R1353" s="1214"/>
      <c r="S1353" s="132"/>
      <c r="T1353" s="132"/>
      <c r="U1353" s="132"/>
      <c r="V1353" s="247" t="s">
        <v>30</v>
      </c>
      <c r="W1353" s="345"/>
      <c r="X1353" s="289"/>
      <c r="Y1353" s="82">
        <v>132.97</v>
      </c>
      <c r="Z1353" s="289">
        <v>132.97</v>
      </c>
      <c r="AA1353" s="289">
        <v>132.97</v>
      </c>
      <c r="AB1353" s="289">
        <v>132.97</v>
      </c>
      <c r="AC1353" s="2138">
        <v>129.72999999999999</v>
      </c>
      <c r="AD1353" s="202">
        <v>129.72999999999999</v>
      </c>
      <c r="AE1353" s="247"/>
      <c r="AF1353" s="247"/>
      <c r="AG1353" s="247"/>
      <c r="AU1353" s="145"/>
      <c r="BB1353" s="40">
        <f t="shared" si="196"/>
        <v>6.595551296996585</v>
      </c>
      <c r="BC1353" s="1580" t="str">
        <f t="shared" si="197"/>
        <v>Cooling RES 9 Year EUL</v>
      </c>
      <c r="BD1353" s="98">
        <f>(INDEX('Avoided Cost Benefits'!$E$4:$E$859,MATCH(BC1353,'Avoided Cost Benefits'!$A$4:$A$859,0)))*F1353</f>
        <v>124.50309196784492</v>
      </c>
      <c r="BE1353" s="1581">
        <f t="shared" si="198"/>
        <v>18.876828692779611</v>
      </c>
    </row>
    <row r="1354" spans="1:57" s="31" customFormat="1" ht="15" thickBot="1" x14ac:dyDescent="0.4">
      <c r="A1354" s="132"/>
      <c r="B1354" s="132"/>
      <c r="C1354" s="958" t="s">
        <v>2146</v>
      </c>
      <c r="D1354" s="1440" t="s">
        <v>1517</v>
      </c>
      <c r="E1354" s="990" t="s">
        <v>2147</v>
      </c>
      <c r="F1354" s="2692">
        <f>ROUND(($F$1386*$F$1378*(1/$F$1382-1/$F$1383)/1000*$F$1388),2)</f>
        <v>58.16</v>
      </c>
      <c r="G1354" s="1436" t="s">
        <v>257</v>
      </c>
      <c r="H1354" s="1437">
        <f>VLOOKUP(G1354,'CP FACTORS'!$A$3:$B$38, 2, FALSE)</f>
        <v>9.4741810000000004E-4</v>
      </c>
      <c r="I1354" s="1438">
        <f t="shared" si="193"/>
        <v>5.5101999999999998E-2</v>
      </c>
      <c r="J1354" s="1439">
        <f t="shared" si="194"/>
        <v>9</v>
      </c>
      <c r="K1354" s="991">
        <f t="shared" si="195"/>
        <v>20</v>
      </c>
      <c r="L1354" s="1440" t="s">
        <v>184</v>
      </c>
      <c r="M1354" s="132"/>
      <c r="N1354" s="1213"/>
      <c r="O1354" s="963"/>
      <c r="P1354" s="132"/>
      <c r="Q1354" s="132"/>
      <c r="R1354" s="1214"/>
      <c r="S1354" s="132"/>
      <c r="T1354" s="132"/>
      <c r="U1354" s="132"/>
      <c r="V1354" s="247" t="s">
        <v>30</v>
      </c>
      <c r="W1354" s="345"/>
      <c r="X1354" s="289"/>
      <c r="Y1354" s="82">
        <v>59.61</v>
      </c>
      <c r="Z1354" s="289">
        <v>59.61</v>
      </c>
      <c r="AA1354" s="289">
        <v>59.61</v>
      </c>
      <c r="AB1354" s="289">
        <v>59.61</v>
      </c>
      <c r="AC1354" s="2138">
        <v>58.16</v>
      </c>
      <c r="AD1354" s="202">
        <v>58.16</v>
      </c>
      <c r="AE1354" s="247"/>
      <c r="AF1354" s="247"/>
      <c r="AG1354" s="247"/>
      <c r="AU1354" s="145"/>
      <c r="BB1354" s="40">
        <f t="shared" si="196"/>
        <v>2.9568894121122442</v>
      </c>
      <c r="BC1354" s="1580" t="str">
        <f t="shared" si="197"/>
        <v>Cooling RES 9 Year EUL</v>
      </c>
      <c r="BD1354" s="98">
        <f>(INDEX('Avoided Cost Benefits'!$E$4:$E$859,MATCH(BC1354,'Avoided Cost Benefits'!$A$4:$A$859,0)))*F1354</f>
        <v>55.816694895936649</v>
      </c>
      <c r="BE1354" s="1581">
        <f t="shared" si="198"/>
        <v>18.876828692779611</v>
      </c>
    </row>
    <row r="1355" spans="1:57" s="31" customFormat="1" x14ac:dyDescent="0.35">
      <c r="A1355" s="132"/>
      <c r="B1355" s="132"/>
      <c r="C1355" s="2693" t="s">
        <v>2148</v>
      </c>
      <c r="D1355" s="1279" t="s">
        <v>1518</v>
      </c>
      <c r="E1355" s="1441" t="s">
        <v>2149</v>
      </c>
      <c r="F1355" s="2694">
        <f>ROUND(($H$1386*$H$1379*(1/$H$1384-1/$H$1383)/1000*$F$1388),2)</f>
        <v>162.16</v>
      </c>
      <c r="G1355" s="1442" t="s">
        <v>257</v>
      </c>
      <c r="H1355" s="1300">
        <f>VLOOKUP(G1355,'CP FACTORS'!$A$3:$B$38, 2, FALSE)</f>
        <v>9.4741810000000004E-4</v>
      </c>
      <c r="I1355" s="1443">
        <f t="shared" si="193"/>
        <v>0.15363299999999999</v>
      </c>
      <c r="J1355" s="1444">
        <f t="shared" si="194"/>
        <v>9</v>
      </c>
      <c r="K1355" s="1445">
        <f t="shared" si="195"/>
        <v>20</v>
      </c>
      <c r="L1355" s="1446" t="s">
        <v>184</v>
      </c>
      <c r="M1355" s="132"/>
      <c r="N1355" s="1213"/>
      <c r="O1355" s="963"/>
      <c r="P1355" s="132"/>
      <c r="Q1355" s="132"/>
      <c r="R1355" s="1214"/>
      <c r="S1355" s="132"/>
      <c r="T1355" s="132"/>
      <c r="U1355" s="132"/>
      <c r="V1355" s="247" t="s">
        <v>30</v>
      </c>
      <c r="W1355" s="345"/>
      <c r="X1355" s="289"/>
      <c r="Y1355" s="82">
        <v>166.22</v>
      </c>
      <c r="Z1355" s="289">
        <v>166.22</v>
      </c>
      <c r="AA1355" s="289">
        <v>166.22</v>
      </c>
      <c r="AB1355" s="289">
        <v>166.22</v>
      </c>
      <c r="AC1355" s="2138">
        <v>162.16</v>
      </c>
      <c r="AD1355" s="202">
        <v>162.16</v>
      </c>
      <c r="AE1355" s="247"/>
      <c r="AF1355" s="247"/>
      <c r="AG1355" s="247"/>
      <c r="AU1355" s="145"/>
      <c r="BB1355" s="40">
        <f t="shared" si="196"/>
        <v>8.2443120197407413</v>
      </c>
      <c r="BC1355" s="1580" t="str">
        <f t="shared" si="197"/>
        <v>Cooling RES 9 Year EUL</v>
      </c>
      <c r="BD1355" s="98">
        <f>(INDEX('Avoided Cost Benefits'!$E$4:$E$859,MATCH(BC1355,'Avoided Cost Benefits'!$A$4:$A$859,0)))*F1355</f>
        <v>155.62646568646986</v>
      </c>
      <c r="BE1355" s="1581">
        <f t="shared" si="198"/>
        <v>18.876828692779611</v>
      </c>
    </row>
    <row r="1356" spans="1:57" s="31" customFormat="1" x14ac:dyDescent="0.35">
      <c r="A1356" s="132"/>
      <c r="B1356" s="132"/>
      <c r="C1356" s="1037" t="s">
        <v>2150</v>
      </c>
      <c r="D1356" s="1279" t="s">
        <v>1517</v>
      </c>
      <c r="E1356" s="135" t="s">
        <v>2151</v>
      </c>
      <c r="F1356" s="202">
        <f>ROUND(($F$1386*$F$1379*(1/$F$1382-1/$F$1383)/1000*$F$1388),2)</f>
        <v>72.7</v>
      </c>
      <c r="G1356" s="2419" t="s">
        <v>257</v>
      </c>
      <c r="H1356" s="136">
        <f>VLOOKUP(G1356,'CP FACTORS'!$A$3:$B$38, 2, FALSE)</f>
        <v>9.4741810000000004E-4</v>
      </c>
      <c r="I1356" s="1278">
        <f t="shared" si="193"/>
        <v>6.8876999999999994E-2</v>
      </c>
      <c r="J1356" s="289">
        <f t="shared" si="194"/>
        <v>9</v>
      </c>
      <c r="K1356" s="989">
        <f t="shared" si="195"/>
        <v>20</v>
      </c>
      <c r="L1356" s="1435" t="s">
        <v>184</v>
      </c>
      <c r="M1356" s="132"/>
      <c r="N1356" s="1213"/>
      <c r="O1356" s="963"/>
      <c r="P1356" s="132"/>
      <c r="Q1356" s="132"/>
      <c r="R1356" s="1214"/>
      <c r="S1356" s="132"/>
      <c r="T1356" s="132"/>
      <c r="U1356" s="132"/>
      <c r="V1356" s="247" t="s">
        <v>30</v>
      </c>
      <c r="W1356" s="345"/>
      <c r="X1356" s="289"/>
      <c r="Y1356" s="82">
        <v>74.52</v>
      </c>
      <c r="Z1356" s="289">
        <v>74.52</v>
      </c>
      <c r="AA1356" s="289">
        <v>74.52</v>
      </c>
      <c r="AB1356" s="289">
        <v>74.52</v>
      </c>
      <c r="AC1356" s="2138">
        <v>72.7</v>
      </c>
      <c r="AD1356" s="202">
        <v>72.7</v>
      </c>
      <c r="AE1356" s="247"/>
      <c r="AF1356" s="247"/>
      <c r="AG1356" s="247"/>
      <c r="AU1356" s="145"/>
      <c r="BB1356" s="40">
        <f t="shared" si="196"/>
        <v>3.6961117651403059</v>
      </c>
      <c r="BC1356" s="1580" t="str">
        <f t="shared" si="197"/>
        <v>Cooling RES 9 Year EUL</v>
      </c>
      <c r="BD1356" s="98">
        <f>(INDEX('Avoided Cost Benefits'!$E$4:$E$859,MATCH(BC1356,'Avoided Cost Benefits'!$A$4:$A$859,0)))*F1356</f>
        <v>69.770868619920819</v>
      </c>
      <c r="BE1356" s="1581">
        <f t="shared" si="198"/>
        <v>18.876828692779611</v>
      </c>
    </row>
    <row r="1357" spans="1:57" s="31" customFormat="1" x14ac:dyDescent="0.35">
      <c r="A1357" s="132"/>
      <c r="B1357" s="132"/>
      <c r="C1357" s="1037" t="s">
        <v>2152</v>
      </c>
      <c r="D1357" s="1279" t="s">
        <v>1518</v>
      </c>
      <c r="E1357" s="135" t="s">
        <v>2153</v>
      </c>
      <c r="F1357" s="202">
        <f>ROUND(($H$1386*$H$1379*(1/$H$1384-1/$H$1383)/1000*$F$1388),2)</f>
        <v>162.16</v>
      </c>
      <c r="G1357" s="2419" t="s">
        <v>257</v>
      </c>
      <c r="H1357" s="136">
        <f>VLOOKUP(G1357,'CP FACTORS'!$A$3:$B$38, 2, FALSE)</f>
        <v>9.4741810000000004E-4</v>
      </c>
      <c r="I1357" s="1278">
        <f t="shared" si="193"/>
        <v>0.15363299999999999</v>
      </c>
      <c r="J1357" s="289">
        <f t="shared" si="194"/>
        <v>9</v>
      </c>
      <c r="K1357" s="989">
        <f t="shared" si="195"/>
        <v>20</v>
      </c>
      <c r="L1357" s="1435" t="s">
        <v>184</v>
      </c>
      <c r="M1357" s="132"/>
      <c r="N1357" s="1213"/>
      <c r="O1357" s="963"/>
      <c r="P1357" s="132"/>
      <c r="Q1357" s="132"/>
      <c r="R1357" s="1214"/>
      <c r="S1357" s="132"/>
      <c r="T1357" s="132"/>
      <c r="U1357" s="132"/>
      <c r="V1357" s="247" t="s">
        <v>30</v>
      </c>
      <c r="W1357" s="345"/>
      <c r="X1357" s="289"/>
      <c r="Y1357" s="82">
        <v>166.22</v>
      </c>
      <c r="Z1357" s="289">
        <v>166.22</v>
      </c>
      <c r="AA1357" s="289">
        <v>166.22</v>
      </c>
      <c r="AB1357" s="289">
        <v>166.22</v>
      </c>
      <c r="AC1357" s="2138">
        <v>162.16</v>
      </c>
      <c r="AD1357" s="202">
        <v>162.16</v>
      </c>
      <c r="AE1357" s="247"/>
      <c r="AF1357" s="247"/>
      <c r="AG1357" s="247"/>
      <c r="AU1357" s="145"/>
      <c r="BB1357" s="40">
        <f t="shared" si="196"/>
        <v>8.2443120197407413</v>
      </c>
      <c r="BC1357" s="1580" t="str">
        <f t="shared" si="197"/>
        <v>Cooling RES 9 Year EUL</v>
      </c>
      <c r="BD1357" s="98">
        <f>(INDEX('Avoided Cost Benefits'!$E$4:$E$859,MATCH(BC1357,'Avoided Cost Benefits'!$A$4:$A$859,0)))*F1357</f>
        <v>155.62646568646986</v>
      </c>
      <c r="BE1357" s="1581">
        <f t="shared" si="198"/>
        <v>18.876828692779611</v>
      </c>
    </row>
    <row r="1358" spans="1:57" s="31" customFormat="1" ht="15" thickBot="1" x14ac:dyDescent="0.4">
      <c r="A1358" s="132"/>
      <c r="B1358" s="132"/>
      <c r="C1358" s="958" t="s">
        <v>2154</v>
      </c>
      <c r="D1358" s="1440" t="s">
        <v>1517</v>
      </c>
      <c r="E1358" s="990" t="s">
        <v>2155</v>
      </c>
      <c r="F1358" s="2692">
        <f>ROUND(($F$1386*$F$1379*(1/$F$1382-1/$F$1383)/1000*$F$1388),2)</f>
        <v>72.7</v>
      </c>
      <c r="G1358" s="1436" t="s">
        <v>257</v>
      </c>
      <c r="H1358" s="1437">
        <f>VLOOKUP(G1358,'CP FACTORS'!$A$3:$B$38, 2, FALSE)</f>
        <v>9.4741810000000004E-4</v>
      </c>
      <c r="I1358" s="1438">
        <f t="shared" si="193"/>
        <v>6.8876999999999994E-2</v>
      </c>
      <c r="J1358" s="1439">
        <f t="shared" si="194"/>
        <v>9</v>
      </c>
      <c r="K1358" s="991">
        <f t="shared" si="195"/>
        <v>20</v>
      </c>
      <c r="L1358" s="1440" t="s">
        <v>184</v>
      </c>
      <c r="M1358" s="132"/>
      <c r="N1358" s="1213"/>
      <c r="O1358" s="963"/>
      <c r="P1358" s="132"/>
      <c r="Q1358" s="132"/>
      <c r="R1358" s="1214"/>
      <c r="S1358" s="132"/>
      <c r="T1358" s="132"/>
      <c r="U1358" s="132"/>
      <c r="V1358" s="247" t="s">
        <v>30</v>
      </c>
      <c r="W1358" s="345"/>
      <c r="X1358" s="289"/>
      <c r="Y1358" s="82">
        <v>74.52</v>
      </c>
      <c r="Z1358" s="289">
        <v>74.52</v>
      </c>
      <c r="AA1358" s="289">
        <v>74.52</v>
      </c>
      <c r="AB1358" s="289">
        <v>74.52</v>
      </c>
      <c r="AC1358" s="2138">
        <v>72.7</v>
      </c>
      <c r="AD1358" s="202">
        <v>72.7</v>
      </c>
      <c r="AE1358" s="247"/>
      <c r="AF1358" s="247"/>
      <c r="AG1358" s="247"/>
      <c r="AU1358" s="145"/>
      <c r="BB1358" s="40">
        <f t="shared" si="196"/>
        <v>3.6961117651403059</v>
      </c>
      <c r="BC1358" s="1580" t="str">
        <f t="shared" si="197"/>
        <v>Cooling RES 9 Year EUL</v>
      </c>
      <c r="BD1358" s="98">
        <f>(INDEX('Avoided Cost Benefits'!$E$4:$E$859,MATCH(BC1358,'Avoided Cost Benefits'!$A$4:$A$859,0)))*F1358</f>
        <v>69.770868619920819</v>
      </c>
      <c r="BE1358" s="1581">
        <f t="shared" si="198"/>
        <v>18.876828692779611</v>
      </c>
    </row>
    <row r="1359" spans="1:57" s="31" customFormat="1" x14ac:dyDescent="0.35">
      <c r="A1359" s="132"/>
      <c r="B1359" s="132"/>
      <c r="C1359" s="2693" t="s">
        <v>2156</v>
      </c>
      <c r="D1359" s="1279" t="s">
        <v>1518</v>
      </c>
      <c r="E1359" s="1441" t="s">
        <v>2157</v>
      </c>
      <c r="F1359" s="2694">
        <f>ROUND(($H$1386*$H$1380*(1/$H$1384-1/$H$1383)/1000*$F$1388),2)</f>
        <v>194.59</v>
      </c>
      <c r="G1359" s="1442" t="s">
        <v>257</v>
      </c>
      <c r="H1359" s="1300">
        <f>VLOOKUP(G1359,'CP FACTORS'!$A$3:$B$38, 2, FALSE)</f>
        <v>9.4741810000000004E-4</v>
      </c>
      <c r="I1359" s="1443">
        <f t="shared" si="193"/>
        <v>0.18435799999999999</v>
      </c>
      <c r="J1359" s="1444">
        <f t="shared" si="194"/>
        <v>9</v>
      </c>
      <c r="K1359" s="1445">
        <f t="shared" si="195"/>
        <v>20</v>
      </c>
      <c r="L1359" s="1446" t="s">
        <v>184</v>
      </c>
      <c r="M1359" s="132"/>
      <c r="N1359" s="1213"/>
      <c r="O1359" s="963"/>
      <c r="P1359" s="132"/>
      <c r="Q1359" s="132"/>
      <c r="R1359" s="1214"/>
      <c r="S1359" s="132"/>
      <c r="T1359" s="132"/>
      <c r="U1359" s="132"/>
      <c r="V1359" s="247" t="s">
        <v>30</v>
      </c>
      <c r="W1359" s="345"/>
      <c r="X1359" s="289"/>
      <c r="Y1359" s="82">
        <v>199.46</v>
      </c>
      <c r="Z1359" s="289">
        <v>199.46</v>
      </c>
      <c r="AA1359" s="289">
        <v>199.46</v>
      </c>
      <c r="AB1359" s="289">
        <v>199.46</v>
      </c>
      <c r="AC1359" s="2138">
        <v>194.59</v>
      </c>
      <c r="AD1359" s="202">
        <v>194.59</v>
      </c>
      <c r="AE1359" s="247"/>
      <c r="AF1359" s="247"/>
      <c r="AG1359" s="247"/>
      <c r="AU1359" s="145"/>
      <c r="BB1359" s="40">
        <f t="shared" si="196"/>
        <v>9.8930727424848968</v>
      </c>
      <c r="BC1359" s="1580" t="str">
        <f t="shared" si="197"/>
        <v>Cooling RES 9 Year EUL</v>
      </c>
      <c r="BD1359" s="98">
        <f>(INDEX('Avoided Cost Benefits'!$E$4:$E$859,MATCH(BC1359,'Avoided Cost Benefits'!$A$4:$A$859,0)))*F1359</f>
        <v>186.74983940509478</v>
      </c>
      <c r="BE1359" s="1581">
        <f t="shared" si="198"/>
        <v>18.876828692779611</v>
      </c>
    </row>
    <row r="1360" spans="1:57" s="31" customFormat="1" x14ac:dyDescent="0.35">
      <c r="A1360" s="132"/>
      <c r="B1360" s="132"/>
      <c r="C1360" s="1037" t="s">
        <v>2158</v>
      </c>
      <c r="D1360" s="1279" t="s">
        <v>1517</v>
      </c>
      <c r="E1360" s="135" t="s">
        <v>2159</v>
      </c>
      <c r="F1360" s="202">
        <f>ROUND(($F$1386*$F$1380*(1/$F$1382-1/$F$1383)/1000*$F$1388),2)</f>
        <v>87.24</v>
      </c>
      <c r="G1360" s="2419" t="s">
        <v>257</v>
      </c>
      <c r="H1360" s="136">
        <f>VLOOKUP(G1360,'CP FACTORS'!$A$3:$B$38, 2, FALSE)</f>
        <v>9.4741810000000004E-4</v>
      </c>
      <c r="I1360" s="1278">
        <f t="shared" si="193"/>
        <v>8.2653000000000004E-2</v>
      </c>
      <c r="J1360" s="289">
        <f t="shared" si="194"/>
        <v>9</v>
      </c>
      <c r="K1360" s="989">
        <f t="shared" si="195"/>
        <v>20</v>
      </c>
      <c r="L1360" s="1435" t="s">
        <v>184</v>
      </c>
      <c r="M1360" s="132"/>
      <c r="N1360" s="1213"/>
      <c r="O1360" s="963"/>
      <c r="P1360" s="132"/>
      <c r="Q1360" s="132"/>
      <c r="R1360" s="1214"/>
      <c r="S1360" s="132"/>
      <c r="T1360" s="132"/>
      <c r="U1360" s="132"/>
      <c r="V1360" s="247" t="s">
        <v>30</v>
      </c>
      <c r="W1360" s="345"/>
      <c r="X1360" s="289"/>
      <c r="Y1360" s="82">
        <v>89.42</v>
      </c>
      <c r="Z1360" s="289">
        <v>89.42</v>
      </c>
      <c r="AA1360" s="289">
        <v>89.42</v>
      </c>
      <c r="AB1360" s="289">
        <v>89.42</v>
      </c>
      <c r="AC1360" s="2138">
        <v>87.24</v>
      </c>
      <c r="AD1360" s="202">
        <v>87.24</v>
      </c>
      <c r="AE1360" s="247"/>
      <c r="AF1360" s="247"/>
      <c r="AG1360" s="247"/>
      <c r="AU1360" s="145"/>
      <c r="BB1360" s="40">
        <f t="shared" si="196"/>
        <v>4.4353341181683668</v>
      </c>
      <c r="BC1360" s="1580" t="str">
        <f t="shared" si="197"/>
        <v>Cooling RES 9 Year EUL</v>
      </c>
      <c r="BD1360" s="98">
        <f>(INDEX('Avoided Cost Benefits'!$E$4:$E$859,MATCH(BC1360,'Avoided Cost Benefits'!$A$4:$A$859,0)))*F1360</f>
        <v>83.725042343904974</v>
      </c>
      <c r="BE1360" s="1581">
        <f t="shared" si="198"/>
        <v>18.876828692779611</v>
      </c>
    </row>
    <row r="1361" spans="1:57" s="31" customFormat="1" x14ac:dyDescent="0.35">
      <c r="A1361" s="132"/>
      <c r="B1361" s="132"/>
      <c r="C1361" s="1037" t="s">
        <v>2160</v>
      </c>
      <c r="D1361" s="1279" t="s">
        <v>1518</v>
      </c>
      <c r="E1361" s="135" t="s">
        <v>2161</v>
      </c>
      <c r="F1361" s="202">
        <f>ROUND(($H$1386*$H$1380*(1/$H$1384-1/$H$1383)/1000*$F$1388),2)</f>
        <v>194.59</v>
      </c>
      <c r="G1361" s="2419" t="s">
        <v>257</v>
      </c>
      <c r="H1361" s="136">
        <f>VLOOKUP(G1361,'CP FACTORS'!$A$3:$B$38, 2, FALSE)</f>
        <v>9.4741810000000004E-4</v>
      </c>
      <c r="I1361" s="1278">
        <f t="shared" si="193"/>
        <v>0.18435799999999999</v>
      </c>
      <c r="J1361" s="289">
        <f t="shared" si="194"/>
        <v>9</v>
      </c>
      <c r="K1361" s="989">
        <f t="shared" si="195"/>
        <v>20</v>
      </c>
      <c r="L1361" s="1435" t="s">
        <v>184</v>
      </c>
      <c r="M1361" s="132"/>
      <c r="N1361" s="1213"/>
      <c r="O1361" s="963"/>
      <c r="P1361" s="132"/>
      <c r="Q1361" s="132"/>
      <c r="R1361" s="1214"/>
      <c r="S1361" s="132"/>
      <c r="T1361" s="132"/>
      <c r="U1361" s="132"/>
      <c r="V1361" s="247" t="s">
        <v>30</v>
      </c>
      <c r="W1361" s="345"/>
      <c r="X1361" s="289"/>
      <c r="Y1361" s="82">
        <v>199.46</v>
      </c>
      <c r="Z1361" s="289">
        <v>199.46</v>
      </c>
      <c r="AA1361" s="289">
        <v>199.46</v>
      </c>
      <c r="AB1361" s="289">
        <v>199.46</v>
      </c>
      <c r="AC1361" s="2138">
        <v>194.59</v>
      </c>
      <c r="AD1361" s="202">
        <v>194.59</v>
      </c>
      <c r="AE1361" s="247"/>
      <c r="AF1361" s="247"/>
      <c r="AG1361" s="247"/>
      <c r="AU1361" s="145"/>
      <c r="BB1361" s="40">
        <f t="shared" si="196"/>
        <v>9.8930727424848968</v>
      </c>
      <c r="BC1361" s="1580" t="str">
        <f t="shared" si="197"/>
        <v>Cooling RES 9 Year EUL</v>
      </c>
      <c r="BD1361" s="98">
        <f>(INDEX('Avoided Cost Benefits'!$E$4:$E$859,MATCH(BC1361,'Avoided Cost Benefits'!$A$4:$A$859,0)))*F1361</f>
        <v>186.74983940509478</v>
      </c>
      <c r="BE1361" s="1581">
        <f t="shared" si="198"/>
        <v>18.876828692779611</v>
      </c>
    </row>
    <row r="1362" spans="1:57" s="31" customFormat="1" ht="15" thickBot="1" x14ac:dyDescent="0.4">
      <c r="A1362" s="132"/>
      <c r="B1362" s="132"/>
      <c r="C1362" s="958" t="s">
        <v>2162</v>
      </c>
      <c r="D1362" s="1440" t="s">
        <v>1517</v>
      </c>
      <c r="E1362" s="990" t="s">
        <v>2163</v>
      </c>
      <c r="F1362" s="2692">
        <f>ROUND(($F$1386*$F$1380*(1/$F$1382-1/$F$1383)/1000*$F$1388),2)</f>
        <v>87.24</v>
      </c>
      <c r="G1362" s="1436" t="s">
        <v>257</v>
      </c>
      <c r="H1362" s="1437">
        <f>VLOOKUP(G1362,'CP FACTORS'!$A$3:$B$38, 2, FALSE)</f>
        <v>9.4741810000000004E-4</v>
      </c>
      <c r="I1362" s="1438">
        <f t="shared" si="193"/>
        <v>8.2653000000000004E-2</v>
      </c>
      <c r="J1362" s="1439">
        <f t="shared" si="194"/>
        <v>9</v>
      </c>
      <c r="K1362" s="991">
        <f t="shared" si="195"/>
        <v>20</v>
      </c>
      <c r="L1362" s="1440" t="s">
        <v>184</v>
      </c>
      <c r="M1362" s="132"/>
      <c r="N1362" s="1213"/>
      <c r="O1362" s="963"/>
      <c r="P1362" s="132"/>
      <c r="Q1362" s="132"/>
      <c r="R1362" s="1214"/>
      <c r="S1362" s="132"/>
      <c r="T1362" s="132"/>
      <c r="U1362" s="132"/>
      <c r="V1362" s="247" t="s">
        <v>30</v>
      </c>
      <c r="W1362" s="345"/>
      <c r="X1362" s="289"/>
      <c r="Y1362" s="82">
        <v>89.42</v>
      </c>
      <c r="Z1362" s="289">
        <v>89.42</v>
      </c>
      <c r="AA1362" s="289">
        <v>89.42</v>
      </c>
      <c r="AB1362" s="289">
        <v>89.42</v>
      </c>
      <c r="AC1362" s="2138">
        <v>87.24</v>
      </c>
      <c r="AD1362" s="202">
        <v>87.24</v>
      </c>
      <c r="AE1362" s="247"/>
      <c r="AF1362" s="247"/>
      <c r="AG1362" s="247"/>
      <c r="AU1362" s="145"/>
      <c r="BB1362" s="40">
        <f t="shared" si="196"/>
        <v>4.4353341181683668</v>
      </c>
      <c r="BC1362" s="1580" t="str">
        <f t="shared" si="197"/>
        <v>Cooling RES 9 Year EUL</v>
      </c>
      <c r="BD1362" s="98">
        <f>(INDEX('Avoided Cost Benefits'!$E$4:$E$859,MATCH(BC1362,'Avoided Cost Benefits'!$A$4:$A$859,0)))*F1362</f>
        <v>83.725042343904974</v>
      </c>
      <c r="BE1362" s="1581">
        <f t="shared" si="198"/>
        <v>18.876828692779611</v>
      </c>
    </row>
    <row r="1363" spans="1:57" s="31" customFormat="1" x14ac:dyDescent="0.35">
      <c r="A1363" s="132"/>
      <c r="B1363" s="132"/>
      <c r="C1363" s="2693" t="s">
        <v>2164</v>
      </c>
      <c r="D1363" s="1279" t="s">
        <v>1518</v>
      </c>
      <c r="E1363" s="1441" t="s">
        <v>2165</v>
      </c>
      <c r="F1363" s="2694">
        <f>ROUND(($H$1386*$H$1381*(1/$H$1384-1/$H$1383)/1000*$F$1388),2)</f>
        <v>243.24</v>
      </c>
      <c r="G1363" s="1442" t="s">
        <v>257</v>
      </c>
      <c r="H1363" s="1300">
        <f>VLOOKUP(G1363,'CP FACTORS'!$A$3:$B$38, 2, FALSE)</f>
        <v>9.4741810000000004E-4</v>
      </c>
      <c r="I1363" s="1443">
        <f t="shared" si="193"/>
        <v>0.23044999999999999</v>
      </c>
      <c r="J1363" s="1444">
        <f t="shared" si="194"/>
        <v>9</v>
      </c>
      <c r="K1363" s="1445">
        <f t="shared" si="195"/>
        <v>20</v>
      </c>
      <c r="L1363" s="1446" t="s">
        <v>184</v>
      </c>
      <c r="M1363" s="132"/>
      <c r="N1363" s="1213"/>
      <c r="O1363" s="963"/>
      <c r="P1363" s="132"/>
      <c r="Q1363" s="132"/>
      <c r="R1363" s="1214"/>
      <c r="S1363" s="132"/>
      <c r="T1363" s="132"/>
      <c r="U1363" s="132"/>
      <c r="V1363" s="247" t="s">
        <v>30</v>
      </c>
      <c r="W1363" s="345"/>
      <c r="X1363" s="289"/>
      <c r="Y1363" s="82">
        <v>249.32</v>
      </c>
      <c r="Z1363" s="289">
        <v>249.32</v>
      </c>
      <c r="AA1363" s="289">
        <v>249.32</v>
      </c>
      <c r="AB1363" s="289">
        <v>249.32</v>
      </c>
      <c r="AC1363" s="2138">
        <v>243.24</v>
      </c>
      <c r="AD1363" s="202">
        <v>243.24</v>
      </c>
      <c r="AE1363" s="247"/>
      <c r="AF1363" s="247"/>
      <c r="AG1363" s="247"/>
      <c r="AU1363" s="145"/>
      <c r="BB1363" s="40">
        <f t="shared" si="196"/>
        <v>12.366468029611113</v>
      </c>
      <c r="BC1363" s="1580" t="str">
        <f t="shared" si="197"/>
        <v>Cooling RES 9 Year EUL</v>
      </c>
      <c r="BD1363" s="98">
        <f>(INDEX('Avoided Cost Benefits'!$E$4:$E$859,MATCH(BC1363,'Avoided Cost Benefits'!$A$4:$A$859,0)))*F1363</f>
        <v>233.4396985297048</v>
      </c>
      <c r="BE1363" s="1581">
        <f t="shared" si="198"/>
        <v>18.876828692779611</v>
      </c>
    </row>
    <row r="1364" spans="1:57" s="31" customFormat="1" x14ac:dyDescent="0.35">
      <c r="A1364" s="132"/>
      <c r="B1364" s="132"/>
      <c r="C1364" s="1037" t="s">
        <v>2166</v>
      </c>
      <c r="D1364" s="1279" t="s">
        <v>1517</v>
      </c>
      <c r="E1364" s="135" t="s">
        <v>2167</v>
      </c>
      <c r="F1364" s="202">
        <f>ROUND(($F$1386*$F$1381*(1/$F$1382-1/$F$1383)/1000*$F$1388),2)</f>
        <v>109.05</v>
      </c>
      <c r="G1364" s="2419" t="s">
        <v>257</v>
      </c>
      <c r="H1364" s="136">
        <f>VLOOKUP(G1364,'CP FACTORS'!$A$3:$B$38, 2, FALSE)</f>
        <v>9.4741810000000004E-4</v>
      </c>
      <c r="I1364" s="1278">
        <f t="shared" si="193"/>
        <v>0.10331600000000001</v>
      </c>
      <c r="J1364" s="289">
        <f t="shared" si="194"/>
        <v>9</v>
      </c>
      <c r="K1364" s="989">
        <f t="shared" si="195"/>
        <v>20</v>
      </c>
      <c r="L1364" s="1435" t="s">
        <v>184</v>
      </c>
      <c r="M1364" s="132"/>
      <c r="N1364" s="1213"/>
      <c r="O1364" s="963"/>
      <c r="P1364" s="132"/>
      <c r="Q1364" s="132"/>
      <c r="R1364" s="1214"/>
      <c r="S1364" s="132"/>
      <c r="T1364" s="132"/>
      <c r="U1364" s="132"/>
      <c r="V1364" s="247" t="s">
        <v>30</v>
      </c>
      <c r="W1364" s="345"/>
      <c r="X1364" s="289"/>
      <c r="Y1364" s="82">
        <v>111.77</v>
      </c>
      <c r="Z1364" s="289">
        <v>111.77</v>
      </c>
      <c r="AA1364" s="289">
        <v>111.77</v>
      </c>
      <c r="AB1364" s="289">
        <v>111.77</v>
      </c>
      <c r="AC1364" s="2138">
        <v>109.05</v>
      </c>
      <c r="AD1364" s="202">
        <v>109.05</v>
      </c>
      <c r="AE1364" s="247"/>
      <c r="AF1364" s="247"/>
      <c r="AG1364" s="247"/>
      <c r="AU1364" s="145"/>
      <c r="BB1364" s="40">
        <f t="shared" si="196"/>
        <v>5.5441676477104584</v>
      </c>
      <c r="BC1364" s="1580" t="str">
        <f t="shared" si="197"/>
        <v>Cooling RES 9 Year EUL</v>
      </c>
      <c r="BD1364" s="98">
        <f>(INDEX('Avoided Cost Benefits'!$E$4:$E$859,MATCH(BC1364,'Avoided Cost Benefits'!$A$4:$A$859,0)))*F1364</f>
        <v>104.65630292988122</v>
      </c>
      <c r="BE1364" s="1581">
        <f t="shared" si="198"/>
        <v>18.876828692779611</v>
      </c>
    </row>
    <row r="1365" spans="1:57" s="31" customFormat="1" x14ac:dyDescent="0.35">
      <c r="A1365" s="132"/>
      <c r="B1365" s="132"/>
      <c r="C1365" s="1037" t="s">
        <v>2168</v>
      </c>
      <c r="D1365" s="1279" t="s">
        <v>1518</v>
      </c>
      <c r="E1365" s="135" t="s">
        <v>2169</v>
      </c>
      <c r="F1365" s="202">
        <f>ROUND(($H$1386*$H$1381*(1/$H$1384-1/$H$1383)/1000*$F$1388),2)</f>
        <v>243.24</v>
      </c>
      <c r="G1365" s="2419" t="s">
        <v>257</v>
      </c>
      <c r="H1365" s="136">
        <f>VLOOKUP(G1365,'CP FACTORS'!$A$3:$B$38, 2, FALSE)</f>
        <v>9.4741810000000004E-4</v>
      </c>
      <c r="I1365" s="1278">
        <f t="shared" si="193"/>
        <v>0.23044999999999999</v>
      </c>
      <c r="J1365" s="289">
        <f t="shared" si="194"/>
        <v>9</v>
      </c>
      <c r="K1365" s="989">
        <f t="shared" si="195"/>
        <v>20</v>
      </c>
      <c r="L1365" s="1435" t="s">
        <v>184</v>
      </c>
      <c r="M1365" s="132"/>
      <c r="N1365" s="1213"/>
      <c r="O1365" s="963"/>
      <c r="P1365" s="132"/>
      <c r="Q1365" s="132"/>
      <c r="R1365" s="1214"/>
      <c r="S1365" s="132"/>
      <c r="T1365" s="132"/>
      <c r="U1365" s="132"/>
      <c r="V1365" s="247" t="s">
        <v>30</v>
      </c>
      <c r="W1365" s="345"/>
      <c r="X1365" s="289"/>
      <c r="Y1365" s="82">
        <v>249.32</v>
      </c>
      <c r="Z1365" s="289">
        <v>249.32</v>
      </c>
      <c r="AA1365" s="289">
        <v>249.32</v>
      </c>
      <c r="AB1365" s="289">
        <v>249.32</v>
      </c>
      <c r="AC1365" s="2138">
        <v>243.24</v>
      </c>
      <c r="AD1365" s="202">
        <v>243.24</v>
      </c>
      <c r="AE1365" s="247"/>
      <c r="AF1365" s="247"/>
      <c r="AG1365" s="247"/>
      <c r="AU1365" s="145"/>
      <c r="BB1365" s="40">
        <f t="shared" si="196"/>
        <v>12.366468029611113</v>
      </c>
      <c r="BC1365" s="1580" t="str">
        <f t="shared" si="197"/>
        <v>Cooling RES 9 Year EUL</v>
      </c>
      <c r="BD1365" s="98">
        <f>(INDEX('Avoided Cost Benefits'!$E$4:$E$859,MATCH(BC1365,'Avoided Cost Benefits'!$A$4:$A$859,0)))*F1365</f>
        <v>233.4396985297048</v>
      </c>
      <c r="BE1365" s="1581">
        <f t="shared" si="198"/>
        <v>18.876828692779611</v>
      </c>
    </row>
    <row r="1366" spans="1:57" s="31" customFormat="1" x14ac:dyDescent="0.35">
      <c r="A1366" s="132"/>
      <c r="B1366" s="132"/>
      <c r="C1366" s="1037" t="s">
        <v>2170</v>
      </c>
      <c r="D1366" s="1279" t="s">
        <v>1517</v>
      </c>
      <c r="E1366" s="135" t="s">
        <v>2171</v>
      </c>
      <c r="F1366" s="202">
        <f>ROUND(($F$1386*$F$1381*(1/$F$1382-1/$F$1383)/1000*$F$1388),2)</f>
        <v>109.05</v>
      </c>
      <c r="G1366" s="2419" t="s">
        <v>257</v>
      </c>
      <c r="H1366" s="136">
        <f>VLOOKUP(G1366,'CP FACTORS'!$A$3:$B$38, 2, FALSE)</f>
        <v>9.4741810000000004E-4</v>
      </c>
      <c r="I1366" s="1278">
        <f t="shared" si="193"/>
        <v>0.10331600000000001</v>
      </c>
      <c r="J1366" s="289">
        <f t="shared" si="194"/>
        <v>9</v>
      </c>
      <c r="K1366" s="989">
        <f t="shared" si="195"/>
        <v>20</v>
      </c>
      <c r="L1366" s="1435" t="s">
        <v>184</v>
      </c>
      <c r="M1366" s="132"/>
      <c r="N1366" s="1213"/>
      <c r="O1366" s="963"/>
      <c r="P1366" s="132"/>
      <c r="Q1366" s="132"/>
      <c r="R1366" s="1214"/>
      <c r="S1366" s="132"/>
      <c r="T1366" s="132"/>
      <c r="U1366" s="132"/>
      <c r="V1366" s="247" t="s">
        <v>30</v>
      </c>
      <c r="W1366" s="345"/>
      <c r="X1366" s="289"/>
      <c r="Y1366" s="82">
        <v>111.77</v>
      </c>
      <c r="Z1366" s="289">
        <v>111.77</v>
      </c>
      <c r="AA1366" s="289">
        <v>111.77</v>
      </c>
      <c r="AB1366" s="289">
        <v>111.77</v>
      </c>
      <c r="AC1366" s="2138">
        <v>109.05</v>
      </c>
      <c r="AD1366" s="202">
        <v>109.05</v>
      </c>
      <c r="AE1366" s="247"/>
      <c r="AF1366" s="247"/>
      <c r="AG1366" s="247"/>
      <c r="AU1366" s="145"/>
      <c r="BB1366" s="41">
        <f t="shared" si="196"/>
        <v>5.5441676477104584</v>
      </c>
      <c r="BC1366" s="1580" t="str">
        <f t="shared" si="197"/>
        <v>Cooling RES 9 Year EUL</v>
      </c>
      <c r="BD1366" s="102">
        <f>(INDEX('Avoided Cost Benefits'!$E$4:$E$859,MATCH(BC1366,'Avoided Cost Benefits'!$A$4:$A$859,0)))*F1366</f>
        <v>104.65630292988122</v>
      </c>
      <c r="BE1366" s="1582">
        <f t="shared" si="198"/>
        <v>18.876828692779611</v>
      </c>
    </row>
    <row r="1367" spans="1:57" s="31" customFormat="1" ht="42" hidden="1" customHeight="1" outlineLevel="1" x14ac:dyDescent="0.35">
      <c r="A1367" s="132"/>
      <c r="B1367" s="350"/>
      <c r="C1367" s="130"/>
      <c r="D1367" s="157"/>
      <c r="E1367" s="347"/>
      <c r="F1367" s="348"/>
      <c r="G1367" s="132"/>
      <c r="H1367" s="132"/>
      <c r="I1367" s="106"/>
      <c r="J1367" s="106"/>
      <c r="K1367" s="106"/>
      <c r="L1367" s="132"/>
      <c r="M1367" s="350"/>
      <c r="N1367" s="350"/>
      <c r="O1367" s="350"/>
      <c r="P1367" s="132"/>
      <c r="Q1367" s="132"/>
      <c r="R1367" s="132"/>
      <c r="S1367" s="132"/>
      <c r="T1367" s="132"/>
      <c r="U1367" s="132"/>
      <c r="X1367" s="30"/>
      <c r="Y1367" s="992"/>
      <c r="Z1367" s="30"/>
      <c r="AA1367" s="30"/>
      <c r="AB1367" s="30"/>
      <c r="AC1367" s="30"/>
      <c r="AD1367" s="30"/>
      <c r="AE1367" s="30"/>
      <c r="AF1367" s="30"/>
      <c r="AG1367" s="30"/>
      <c r="AH1367" s="30"/>
      <c r="AI1367" s="30"/>
      <c r="AJ1367" s="30"/>
      <c r="AK1367" s="30"/>
      <c r="AU1367" s="145"/>
      <c r="BB1367" s="32"/>
    </row>
    <row r="1368" spans="1:57" s="31" customFormat="1" hidden="1" outlineLevel="1" x14ac:dyDescent="0.35">
      <c r="A1368" s="132"/>
      <c r="B1368" s="350"/>
      <c r="C1368" s="130"/>
      <c r="D1368" s="152" t="s">
        <v>107</v>
      </c>
      <c r="E1368" s="349"/>
      <c r="F1368" s="154"/>
      <c r="G1368" s="132"/>
      <c r="H1368" s="350"/>
      <c r="I1368" s="106"/>
      <c r="J1368" s="106"/>
      <c r="K1368" s="106"/>
      <c r="L1368" s="132"/>
      <c r="M1368" s="350"/>
      <c r="N1368" s="350"/>
      <c r="O1368" s="350"/>
      <c r="P1368" s="132"/>
      <c r="Q1368" s="132"/>
      <c r="R1368" s="132"/>
      <c r="S1368" s="132"/>
      <c r="T1368" s="132"/>
      <c r="U1368" s="132"/>
      <c r="X1368" s="30"/>
      <c r="Y1368" s="993"/>
      <c r="Z1368" s="30"/>
      <c r="AA1368" s="30"/>
      <c r="AB1368" s="30"/>
      <c r="AC1368" s="30"/>
      <c r="AD1368" s="30"/>
      <c r="AE1368" s="30"/>
      <c r="AF1368" s="30"/>
      <c r="AG1368" s="30"/>
      <c r="AH1368" s="30"/>
      <c r="AI1368" s="30"/>
      <c r="AJ1368" s="30"/>
      <c r="AK1368" s="30"/>
      <c r="AU1368" s="145"/>
      <c r="BB1368" s="32"/>
    </row>
    <row r="1369" spans="1:57" s="31" customFormat="1" hidden="1" outlineLevel="1" x14ac:dyDescent="0.35">
      <c r="A1369" s="132"/>
      <c r="B1369" s="350"/>
      <c r="C1369" s="130"/>
      <c r="D1369" s="157"/>
      <c r="E1369" s="351"/>
      <c r="F1369" s="154"/>
      <c r="G1369" s="132"/>
      <c r="H1369" s="350"/>
      <c r="I1369" s="106"/>
      <c r="J1369" s="106"/>
      <c r="K1369" s="106"/>
      <c r="L1369" s="132"/>
      <c r="M1369" s="350"/>
      <c r="N1369" s="350"/>
      <c r="O1369" s="350"/>
      <c r="P1369" s="132"/>
      <c r="Q1369" s="132"/>
      <c r="R1369" s="132"/>
      <c r="S1369" s="132"/>
      <c r="T1369" s="132"/>
      <c r="U1369" s="132"/>
      <c r="X1369" s="30"/>
      <c r="Y1369" s="992"/>
      <c r="Z1369" s="30"/>
      <c r="AA1369" s="30"/>
      <c r="AB1369" s="30"/>
      <c r="AC1369" s="30"/>
      <c r="AD1369" s="30"/>
      <c r="AE1369" s="30"/>
      <c r="AF1369" s="30"/>
      <c r="AG1369" s="30"/>
      <c r="AH1369" s="30"/>
      <c r="AI1369" s="30"/>
      <c r="AJ1369" s="30"/>
      <c r="AK1369" s="30"/>
      <c r="AU1369" s="145"/>
      <c r="BB1369" s="32"/>
    </row>
    <row r="1370" spans="1:57" s="31" customFormat="1" hidden="1" outlineLevel="1" x14ac:dyDescent="0.35">
      <c r="A1370" s="132"/>
      <c r="B1370" s="350"/>
      <c r="C1370" s="130"/>
      <c r="D1370" s="157"/>
      <c r="E1370" s="157"/>
      <c r="F1370" s="154"/>
      <c r="G1370" s="132"/>
      <c r="H1370" s="350"/>
      <c r="I1370" s="106"/>
      <c r="J1370" s="106"/>
      <c r="K1370" s="106"/>
      <c r="L1370" s="132"/>
      <c r="M1370" s="350"/>
      <c r="N1370" s="350"/>
      <c r="O1370" s="350"/>
      <c r="P1370" s="132"/>
      <c r="Q1370" s="132"/>
      <c r="R1370" s="132"/>
      <c r="S1370" s="132"/>
      <c r="T1370" s="132"/>
      <c r="U1370" s="132"/>
      <c r="X1370" s="30"/>
      <c r="Y1370" s="993"/>
      <c r="Z1370" s="30"/>
      <c r="AA1370" s="30"/>
      <c r="AB1370" s="30"/>
      <c r="AC1370" s="30"/>
      <c r="AD1370" s="30"/>
      <c r="AE1370" s="30"/>
      <c r="AF1370" s="30"/>
      <c r="AG1370" s="30"/>
      <c r="AH1370" s="30"/>
      <c r="AI1370" s="30"/>
      <c r="AJ1370" s="30"/>
      <c r="AK1370" s="30"/>
      <c r="AU1370" s="145"/>
      <c r="BB1370" s="32"/>
    </row>
    <row r="1371" spans="1:57" s="31" customFormat="1" hidden="1" outlineLevel="1" x14ac:dyDescent="0.35">
      <c r="A1371" s="132"/>
      <c r="B1371" s="350"/>
      <c r="C1371" s="130"/>
      <c r="D1371" s="157"/>
      <c r="E1371" s="157"/>
      <c r="F1371" s="154"/>
      <c r="G1371" s="132"/>
      <c r="H1371" s="350"/>
      <c r="I1371" s="106"/>
      <c r="J1371" s="106"/>
      <c r="K1371" s="106"/>
      <c r="L1371" s="132"/>
      <c r="M1371" s="350"/>
      <c r="N1371" s="350"/>
      <c r="O1371" s="350"/>
      <c r="P1371" s="132"/>
      <c r="Q1371" s="132"/>
      <c r="R1371" s="132"/>
      <c r="S1371" s="132"/>
      <c r="T1371" s="132"/>
      <c r="U1371" s="132"/>
      <c r="X1371" s="30"/>
      <c r="Y1371" s="993"/>
      <c r="Z1371" s="30"/>
      <c r="AA1371" s="30"/>
      <c r="AB1371" s="30"/>
      <c r="AC1371" s="30"/>
      <c r="AD1371" s="30"/>
      <c r="AE1371" s="30"/>
      <c r="AF1371" s="30"/>
      <c r="AG1371" s="30"/>
      <c r="AH1371" s="30"/>
      <c r="AI1371" s="30"/>
      <c r="AJ1371" s="30"/>
      <c r="AK1371" s="30"/>
      <c r="AU1371" s="145"/>
      <c r="BB1371" s="32"/>
    </row>
    <row r="1372" spans="1:57" s="31" customFormat="1" hidden="1" outlineLevel="1" x14ac:dyDescent="0.35">
      <c r="A1372" s="132"/>
      <c r="B1372" s="350"/>
      <c r="C1372" s="130"/>
      <c r="D1372" s="157"/>
      <c r="E1372" s="157"/>
      <c r="F1372" s="154"/>
      <c r="G1372" s="132"/>
      <c r="H1372" s="106"/>
      <c r="I1372" s="106"/>
      <c r="J1372" s="106"/>
      <c r="K1372" s="106"/>
      <c r="L1372" s="132"/>
      <c r="M1372" s="350"/>
      <c r="N1372" s="350"/>
      <c r="O1372" s="350"/>
      <c r="P1372" s="132"/>
      <c r="Q1372" s="132"/>
      <c r="R1372" s="132"/>
      <c r="S1372" s="132"/>
      <c r="T1372" s="132"/>
      <c r="U1372" s="132"/>
      <c r="X1372" s="30"/>
      <c r="Y1372" s="993"/>
      <c r="Z1372" s="30"/>
      <c r="AA1372" s="30"/>
      <c r="AB1372" s="30"/>
      <c r="AC1372" s="30"/>
      <c r="AD1372" s="30"/>
      <c r="AE1372" s="30"/>
      <c r="AF1372" s="30"/>
      <c r="AG1372" s="30"/>
      <c r="AH1372" s="30"/>
      <c r="AI1372" s="30"/>
      <c r="AJ1372" s="30"/>
      <c r="AK1372" s="30"/>
      <c r="AU1372" s="145"/>
      <c r="BB1372" s="32"/>
    </row>
    <row r="1373" spans="1:57" s="31" customFormat="1" hidden="1" outlineLevel="1" x14ac:dyDescent="0.35">
      <c r="A1373" s="132"/>
      <c r="B1373" s="350"/>
      <c r="C1373" s="130"/>
      <c r="D1373" s="157"/>
      <c r="E1373" s="157"/>
      <c r="F1373" s="154"/>
      <c r="G1373" s="132"/>
      <c r="H1373" s="350"/>
      <c r="I1373" s="132"/>
      <c r="J1373" s="132"/>
      <c r="K1373" s="132"/>
      <c r="L1373" s="132"/>
      <c r="M1373" s="350"/>
      <c r="N1373" s="350"/>
      <c r="O1373" s="350"/>
      <c r="P1373" s="132"/>
      <c r="Q1373" s="132"/>
      <c r="R1373" s="132"/>
      <c r="S1373" s="132"/>
      <c r="T1373" s="132"/>
      <c r="U1373" s="132"/>
      <c r="X1373" s="30"/>
      <c r="Y1373" s="993"/>
      <c r="Z1373" s="30"/>
      <c r="AA1373" s="30"/>
      <c r="AB1373" s="30"/>
      <c r="AC1373" s="30"/>
      <c r="AD1373" s="30"/>
      <c r="AE1373" s="30"/>
      <c r="AF1373" s="30"/>
      <c r="AG1373" s="30"/>
      <c r="AH1373" s="30"/>
      <c r="AI1373" s="30"/>
      <c r="AJ1373" s="30"/>
      <c r="AK1373" s="30"/>
      <c r="AU1373" s="145"/>
      <c r="BB1373" s="32"/>
    </row>
    <row r="1374" spans="1:57" s="31" customFormat="1" hidden="1" outlineLevel="1" x14ac:dyDescent="0.35">
      <c r="A1374" s="132"/>
      <c r="B1374" s="350"/>
      <c r="C1374" s="130"/>
      <c r="D1374" s="157"/>
      <c r="E1374" s="157"/>
      <c r="F1374" s="154"/>
      <c r="G1374" s="132"/>
      <c r="H1374" s="132"/>
      <c r="I1374" s="132"/>
      <c r="J1374" s="132"/>
      <c r="K1374" s="132"/>
      <c r="L1374" s="132"/>
      <c r="M1374" s="350"/>
      <c r="N1374" s="350"/>
      <c r="O1374" s="350"/>
      <c r="P1374" s="132"/>
      <c r="Q1374" s="132"/>
      <c r="R1374" s="132"/>
      <c r="S1374" s="132"/>
      <c r="T1374" s="132"/>
      <c r="U1374" s="132"/>
      <c r="V1374" s="1572" t="s">
        <v>44</v>
      </c>
      <c r="W1374" s="1573">
        <v>43252</v>
      </c>
      <c r="X1374" s="1573">
        <f>$X$6</f>
        <v>43465</v>
      </c>
      <c r="Y1374" s="316">
        <f>$Y$6</f>
        <v>43800</v>
      </c>
      <c r="Z1374" s="1573">
        <f>$Z$6</f>
        <v>43862</v>
      </c>
      <c r="AA1374" s="1573">
        <f>$AA$6</f>
        <v>44013</v>
      </c>
      <c r="AB1374" s="1573">
        <f>$AB$6</f>
        <v>44166</v>
      </c>
      <c r="AC1374" s="1573">
        <f>$AC$6</f>
        <v>44531</v>
      </c>
      <c r="AD1374" s="1573">
        <f>$AD$6</f>
        <v>44774</v>
      </c>
      <c r="AE1374" s="1573" t="str">
        <f>$AE$6</f>
        <v>-</v>
      </c>
      <c r="AF1374" s="1573" t="str">
        <f>$AF$6</f>
        <v>-</v>
      </c>
      <c r="AG1374" s="1573" t="str">
        <f>$AG$6</f>
        <v>-</v>
      </c>
      <c r="AI1374" s="1573">
        <v>43252</v>
      </c>
      <c r="AJ1374" s="1573">
        <f>$Y$6</f>
        <v>43800</v>
      </c>
      <c r="AK1374" s="1573">
        <f>$Y$6</f>
        <v>43800</v>
      </c>
      <c r="AL1374" s="1573">
        <f>$Z$6</f>
        <v>43862</v>
      </c>
      <c r="AM1374" s="1573">
        <f>$AA$6</f>
        <v>44013</v>
      </c>
      <c r="AN1374" s="1573">
        <f>$AB$6</f>
        <v>44166</v>
      </c>
      <c r="AO1374" s="1573">
        <f>$AC$6</f>
        <v>44531</v>
      </c>
      <c r="AP1374" s="1573">
        <f>$AD$6</f>
        <v>44774</v>
      </c>
      <c r="AQ1374" s="1573" t="str">
        <f>$AE$6</f>
        <v>-</v>
      </c>
      <c r="AR1374" s="1573" t="str">
        <f>$AF$6</f>
        <v>-</v>
      </c>
      <c r="AS1374" s="1573" t="str">
        <f>$AG$6</f>
        <v>-</v>
      </c>
      <c r="AU1374" s="145"/>
      <c r="BB1374" s="32"/>
    </row>
    <row r="1375" spans="1:57" s="31" customFormat="1" hidden="1" outlineLevel="1" x14ac:dyDescent="0.35">
      <c r="A1375" s="132"/>
      <c r="B1375" s="350"/>
      <c r="C1375" s="130"/>
      <c r="D1375" s="2423" t="s">
        <v>109</v>
      </c>
      <c r="E1375" s="2331" t="s">
        <v>4339</v>
      </c>
      <c r="F1375" s="2423" t="s">
        <v>4340</v>
      </c>
      <c r="G1375" s="2331" t="s">
        <v>2172</v>
      </c>
      <c r="H1375" s="2423" t="s">
        <v>4341</v>
      </c>
      <c r="I1375" s="2379" t="s">
        <v>397</v>
      </c>
      <c r="J1375" s="132"/>
      <c r="K1375" s="132"/>
      <c r="L1375" s="132"/>
      <c r="M1375" s="106"/>
      <c r="N1375" s="106"/>
      <c r="O1375" s="350"/>
      <c r="P1375" s="132"/>
      <c r="Q1375" s="132"/>
      <c r="R1375" s="132"/>
      <c r="S1375" s="132"/>
      <c r="T1375" s="132"/>
      <c r="U1375" s="132"/>
      <c r="V1375" s="43"/>
      <c r="W1375" s="44" t="s">
        <v>470</v>
      </c>
      <c r="X1375" s="44" t="s">
        <v>470</v>
      </c>
      <c r="Y1375" s="44" t="s">
        <v>470</v>
      </c>
      <c r="Z1375" s="44" t="s">
        <v>470</v>
      </c>
      <c r="AA1375" s="44" t="s">
        <v>470</v>
      </c>
      <c r="AB1375" s="44" t="s">
        <v>470</v>
      </c>
      <c r="AC1375" s="44" t="s">
        <v>470</v>
      </c>
      <c r="AD1375" s="44" t="s">
        <v>470</v>
      </c>
      <c r="AE1375" s="44" t="s">
        <v>470</v>
      </c>
      <c r="AF1375" s="44" t="s">
        <v>470</v>
      </c>
      <c r="AG1375" s="44" t="s">
        <v>470</v>
      </c>
      <c r="AI1375" s="44" t="s">
        <v>4421</v>
      </c>
      <c r="AJ1375" s="44" t="s">
        <v>4421</v>
      </c>
      <c r="AK1375" s="44" t="s">
        <v>4421</v>
      </c>
      <c r="AL1375" s="44" t="s">
        <v>4421</v>
      </c>
      <c r="AM1375" s="44" t="s">
        <v>4421</v>
      </c>
      <c r="AN1375" s="44" t="s">
        <v>4421</v>
      </c>
      <c r="AO1375" s="44" t="s">
        <v>4421</v>
      </c>
      <c r="AP1375" s="44" t="s">
        <v>4421</v>
      </c>
      <c r="AQ1375" s="44" t="s">
        <v>4421</v>
      </c>
      <c r="AR1375" s="44" t="s">
        <v>4421</v>
      </c>
      <c r="AS1375" s="44" t="s">
        <v>4421</v>
      </c>
      <c r="AU1375" s="145"/>
      <c r="BB1375" s="32"/>
    </row>
    <row r="1376" spans="1:57" s="31" customFormat="1" ht="58" hidden="1" outlineLevel="1" x14ac:dyDescent="0.35">
      <c r="A1376" s="132"/>
      <c r="B1376" s="350"/>
      <c r="C1376" s="130"/>
      <c r="D1376" s="4458" t="s">
        <v>471</v>
      </c>
      <c r="E1376" s="2335" t="s">
        <v>2173</v>
      </c>
      <c r="F1376" s="284">
        <v>10322.173207292981</v>
      </c>
      <c r="G1376" s="2335" t="s">
        <v>2174</v>
      </c>
      <c r="H1376" s="301">
        <v>11745</v>
      </c>
      <c r="I1376" s="994"/>
      <c r="J1376" s="132"/>
      <c r="K1376" s="132"/>
      <c r="L1376" s="132"/>
      <c r="M1376" s="132"/>
      <c r="N1376" s="132"/>
      <c r="O1376" s="350"/>
      <c r="P1376" s="132"/>
      <c r="Q1376" s="132"/>
      <c r="R1376" s="132"/>
      <c r="S1376" s="132"/>
      <c r="T1376" s="132"/>
      <c r="U1376" s="132"/>
      <c r="V1376" s="4459" t="s">
        <v>471</v>
      </c>
      <c r="W1376" s="288">
        <v>9558.22711471611</v>
      </c>
      <c r="X1376" s="2336">
        <v>10322.173207292981</v>
      </c>
      <c r="Y1376" s="284">
        <v>10322.173207292981</v>
      </c>
      <c r="Z1376" s="284">
        <v>10322.173207292981</v>
      </c>
      <c r="AA1376" s="284">
        <v>10322.173207292981</v>
      </c>
      <c r="AB1376" s="284">
        <v>10322.173207292981</v>
      </c>
      <c r="AC1376" s="284">
        <v>10322.173207292981</v>
      </c>
      <c r="AD1376" s="284">
        <v>10322.173207292981</v>
      </c>
      <c r="AE1376" s="247"/>
      <c r="AF1376" s="247"/>
      <c r="AG1376" s="247"/>
      <c r="AI1376" s="285" t="s">
        <v>2175</v>
      </c>
      <c r="AJ1376" s="995">
        <v>11733</v>
      </c>
      <c r="AK1376" s="995">
        <v>11745</v>
      </c>
      <c r="AL1376" s="985">
        <v>11745</v>
      </c>
      <c r="AM1376" s="985">
        <v>11745</v>
      </c>
      <c r="AN1376" s="985">
        <v>11745</v>
      </c>
      <c r="AO1376" s="985">
        <v>11745</v>
      </c>
      <c r="AP1376" s="985">
        <v>11745</v>
      </c>
      <c r="AQ1376" s="996"/>
      <c r="AR1376" s="996"/>
      <c r="AS1376" s="996"/>
      <c r="AU1376" s="145"/>
      <c r="BB1376" s="32"/>
    </row>
    <row r="1377" spans="1:54" s="31" customFormat="1" hidden="1" outlineLevel="1" x14ac:dyDescent="0.35">
      <c r="A1377" s="132"/>
      <c r="B1377" s="350"/>
      <c r="C1377" s="130"/>
      <c r="D1377" s="3839"/>
      <c r="E1377" s="2335" t="s">
        <v>2176</v>
      </c>
      <c r="F1377" s="284">
        <v>5000</v>
      </c>
      <c r="G1377" s="2335" t="s">
        <v>2176</v>
      </c>
      <c r="H1377" s="301">
        <v>5000</v>
      </c>
      <c r="I1377" s="994"/>
      <c r="J1377" s="132"/>
      <c r="K1377" s="132"/>
      <c r="L1377" s="132"/>
      <c r="M1377" s="132"/>
      <c r="N1377" s="132"/>
      <c r="O1377" s="350"/>
      <c r="P1377" s="132"/>
      <c r="Q1377" s="132"/>
      <c r="R1377" s="132"/>
      <c r="S1377" s="132"/>
      <c r="T1377" s="132"/>
      <c r="U1377" s="132"/>
      <c r="V1377" s="4460"/>
      <c r="W1377" s="288"/>
      <c r="X1377" s="2336"/>
      <c r="Y1377" s="352">
        <v>5000</v>
      </c>
      <c r="Z1377" s="284">
        <v>5000</v>
      </c>
      <c r="AA1377" s="284">
        <v>5000</v>
      </c>
      <c r="AB1377" s="284">
        <v>5000</v>
      </c>
      <c r="AC1377" s="284">
        <v>5000</v>
      </c>
      <c r="AD1377" s="284">
        <v>5000</v>
      </c>
      <c r="AE1377" s="247"/>
      <c r="AF1377" s="247"/>
      <c r="AG1377" s="247"/>
      <c r="AI1377" s="285"/>
      <c r="AJ1377" s="995"/>
      <c r="AK1377" s="995">
        <v>5000</v>
      </c>
      <c r="AL1377" s="985">
        <v>5000</v>
      </c>
      <c r="AM1377" s="985">
        <v>5000</v>
      </c>
      <c r="AN1377" s="985">
        <v>5000</v>
      </c>
      <c r="AO1377" s="985">
        <v>5000</v>
      </c>
      <c r="AP1377" s="985">
        <v>5000</v>
      </c>
      <c r="AQ1377" s="996"/>
      <c r="AR1377" s="996"/>
      <c r="AS1377" s="996"/>
      <c r="AU1377" s="145"/>
      <c r="BB1377" s="32"/>
    </row>
    <row r="1378" spans="1:54" s="31" customFormat="1" hidden="1" outlineLevel="1" x14ac:dyDescent="0.35">
      <c r="A1378" s="132"/>
      <c r="B1378" s="350"/>
      <c r="C1378" s="130"/>
      <c r="D1378" s="3839"/>
      <c r="E1378" s="2335" t="s">
        <v>2177</v>
      </c>
      <c r="F1378" s="284">
        <v>8000</v>
      </c>
      <c r="G1378" s="2335" t="s">
        <v>2177</v>
      </c>
      <c r="H1378" s="301">
        <v>8000</v>
      </c>
      <c r="I1378" s="994"/>
      <c r="J1378" s="132"/>
      <c r="K1378" s="132"/>
      <c r="L1378" s="132"/>
      <c r="M1378" s="132"/>
      <c r="N1378" s="132"/>
      <c r="O1378" s="350"/>
      <c r="P1378" s="132"/>
      <c r="Q1378" s="132"/>
      <c r="R1378" s="132"/>
      <c r="S1378" s="132"/>
      <c r="T1378" s="132"/>
      <c r="U1378" s="132"/>
      <c r="V1378" s="4460"/>
      <c r="W1378" s="288"/>
      <c r="X1378" s="2336"/>
      <c r="Y1378" s="352">
        <v>8000</v>
      </c>
      <c r="Z1378" s="284">
        <v>8000</v>
      </c>
      <c r="AA1378" s="284">
        <v>8000</v>
      </c>
      <c r="AB1378" s="284">
        <v>8000</v>
      </c>
      <c r="AC1378" s="284">
        <v>8000</v>
      </c>
      <c r="AD1378" s="284">
        <v>8000</v>
      </c>
      <c r="AE1378" s="247"/>
      <c r="AF1378" s="247"/>
      <c r="AG1378" s="247"/>
      <c r="AI1378" s="285"/>
      <c r="AJ1378" s="995"/>
      <c r="AK1378" s="995">
        <v>8000</v>
      </c>
      <c r="AL1378" s="985">
        <v>8000</v>
      </c>
      <c r="AM1378" s="985">
        <v>8000</v>
      </c>
      <c r="AN1378" s="985">
        <v>8000</v>
      </c>
      <c r="AO1378" s="985">
        <v>8000</v>
      </c>
      <c r="AP1378" s="985">
        <v>8000</v>
      </c>
      <c r="AQ1378" s="996"/>
      <c r="AR1378" s="996"/>
      <c r="AS1378" s="996"/>
      <c r="AU1378" s="145"/>
      <c r="BB1378" s="32"/>
    </row>
    <row r="1379" spans="1:54" s="31" customFormat="1" ht="29" hidden="1" outlineLevel="1" x14ac:dyDescent="0.35">
      <c r="A1379" s="132"/>
      <c r="B1379" s="350"/>
      <c r="C1379" s="130"/>
      <c r="D1379" s="3839"/>
      <c r="E1379" s="2335" t="s">
        <v>2178</v>
      </c>
      <c r="F1379" s="284">
        <v>10000</v>
      </c>
      <c r="G1379" s="2335" t="s">
        <v>2178</v>
      </c>
      <c r="H1379" s="301">
        <v>10000</v>
      </c>
      <c r="I1379" s="994"/>
      <c r="J1379" s="132"/>
      <c r="K1379" s="132"/>
      <c r="L1379" s="132"/>
      <c r="M1379" s="132"/>
      <c r="N1379" s="132"/>
      <c r="O1379" s="350"/>
      <c r="P1379" s="132"/>
      <c r="Q1379" s="132"/>
      <c r="R1379" s="132"/>
      <c r="S1379" s="132"/>
      <c r="T1379" s="132"/>
      <c r="U1379" s="132"/>
      <c r="V1379" s="4460"/>
      <c r="W1379" s="288"/>
      <c r="X1379" s="2336"/>
      <c r="Y1379" s="352">
        <v>10000</v>
      </c>
      <c r="Z1379" s="284">
        <v>10000</v>
      </c>
      <c r="AA1379" s="284">
        <v>10000</v>
      </c>
      <c r="AB1379" s="284">
        <v>10000</v>
      </c>
      <c r="AC1379" s="284">
        <v>10000</v>
      </c>
      <c r="AD1379" s="284">
        <v>10000</v>
      </c>
      <c r="AE1379" s="247"/>
      <c r="AF1379" s="247"/>
      <c r="AG1379" s="247"/>
      <c r="AI1379" s="285"/>
      <c r="AJ1379" s="995"/>
      <c r="AK1379" s="995">
        <v>10000</v>
      </c>
      <c r="AL1379" s="985">
        <v>10000</v>
      </c>
      <c r="AM1379" s="985">
        <v>10000</v>
      </c>
      <c r="AN1379" s="985">
        <v>10000</v>
      </c>
      <c r="AO1379" s="985">
        <v>10000</v>
      </c>
      <c r="AP1379" s="985">
        <v>10000</v>
      </c>
      <c r="AQ1379" s="996"/>
      <c r="AR1379" s="996"/>
      <c r="AS1379" s="996"/>
      <c r="AU1379" s="145"/>
      <c r="BB1379" s="32"/>
    </row>
    <row r="1380" spans="1:54" s="31" customFormat="1" ht="29" hidden="1" outlineLevel="1" x14ac:dyDescent="0.35">
      <c r="A1380" s="132"/>
      <c r="B1380" s="350"/>
      <c r="C1380" s="130"/>
      <c r="D1380" s="3839"/>
      <c r="E1380" s="2335" t="s">
        <v>2179</v>
      </c>
      <c r="F1380" s="284">
        <v>12000</v>
      </c>
      <c r="G1380" s="2335" t="s">
        <v>2179</v>
      </c>
      <c r="H1380" s="301">
        <v>12000</v>
      </c>
      <c r="I1380" s="994"/>
      <c r="J1380" s="132"/>
      <c r="K1380" s="132"/>
      <c r="L1380" s="132"/>
      <c r="M1380" s="132"/>
      <c r="N1380" s="132"/>
      <c r="O1380" s="350"/>
      <c r="P1380" s="132"/>
      <c r="Q1380" s="132"/>
      <c r="R1380" s="132"/>
      <c r="S1380" s="132"/>
      <c r="T1380" s="132"/>
      <c r="U1380" s="132"/>
      <c r="V1380" s="4460"/>
      <c r="W1380" s="288"/>
      <c r="X1380" s="2336"/>
      <c r="Y1380" s="352">
        <v>12000</v>
      </c>
      <c r="Z1380" s="284">
        <v>12000</v>
      </c>
      <c r="AA1380" s="284">
        <v>12000</v>
      </c>
      <c r="AB1380" s="284">
        <v>12000</v>
      </c>
      <c r="AC1380" s="284">
        <v>12000</v>
      </c>
      <c r="AD1380" s="284">
        <v>12000</v>
      </c>
      <c r="AE1380" s="247"/>
      <c r="AF1380" s="247"/>
      <c r="AG1380" s="247"/>
      <c r="AI1380" s="285"/>
      <c r="AJ1380" s="995"/>
      <c r="AK1380" s="995">
        <v>12000</v>
      </c>
      <c r="AL1380" s="985">
        <v>12000</v>
      </c>
      <c r="AM1380" s="985">
        <v>12000</v>
      </c>
      <c r="AN1380" s="985">
        <v>12000</v>
      </c>
      <c r="AO1380" s="985">
        <v>12000</v>
      </c>
      <c r="AP1380" s="985">
        <v>12000</v>
      </c>
      <c r="AQ1380" s="996"/>
      <c r="AR1380" s="996"/>
      <c r="AS1380" s="996"/>
      <c r="AU1380" s="145"/>
      <c r="BB1380" s="32"/>
    </row>
    <row r="1381" spans="1:54" s="31" customFormat="1" ht="29" hidden="1" outlineLevel="1" x14ac:dyDescent="0.35">
      <c r="A1381" s="132"/>
      <c r="B1381" s="350"/>
      <c r="C1381" s="130"/>
      <c r="D1381" s="3817"/>
      <c r="E1381" s="2335" t="s">
        <v>2180</v>
      </c>
      <c r="F1381" s="284">
        <v>15000</v>
      </c>
      <c r="G1381" s="2335" t="s">
        <v>2180</v>
      </c>
      <c r="H1381" s="301">
        <v>15000</v>
      </c>
      <c r="I1381" s="994"/>
      <c r="J1381" s="132"/>
      <c r="K1381" s="132"/>
      <c r="L1381" s="132"/>
      <c r="M1381" s="132"/>
      <c r="N1381" s="132"/>
      <c r="O1381" s="350"/>
      <c r="P1381" s="132"/>
      <c r="Q1381" s="132"/>
      <c r="R1381" s="132"/>
      <c r="S1381" s="132"/>
      <c r="T1381" s="132"/>
      <c r="U1381" s="132"/>
      <c r="V1381" s="4261"/>
      <c r="W1381" s="288"/>
      <c r="X1381" s="2336"/>
      <c r="Y1381" s="352">
        <v>15000</v>
      </c>
      <c r="Z1381" s="284">
        <v>15000</v>
      </c>
      <c r="AA1381" s="284">
        <v>15000</v>
      </c>
      <c r="AB1381" s="284">
        <v>15000</v>
      </c>
      <c r="AC1381" s="284">
        <v>15000</v>
      </c>
      <c r="AD1381" s="284">
        <v>15000</v>
      </c>
      <c r="AE1381" s="247"/>
      <c r="AF1381" s="247"/>
      <c r="AG1381" s="247"/>
      <c r="AI1381" s="285"/>
      <c r="AJ1381" s="995"/>
      <c r="AK1381" s="995">
        <v>15000</v>
      </c>
      <c r="AL1381" s="985">
        <v>15000</v>
      </c>
      <c r="AM1381" s="985">
        <v>15000</v>
      </c>
      <c r="AN1381" s="985">
        <v>15000</v>
      </c>
      <c r="AO1381" s="985">
        <v>15000</v>
      </c>
      <c r="AP1381" s="985">
        <v>15000</v>
      </c>
      <c r="AQ1381" s="996"/>
      <c r="AR1381" s="996"/>
      <c r="AS1381" s="996"/>
      <c r="AU1381" s="145"/>
      <c r="BB1381" s="32"/>
    </row>
    <row r="1382" spans="1:54" s="31" customFormat="1" ht="16.5" hidden="1" outlineLevel="1" x14ac:dyDescent="0.35">
      <c r="A1382" s="132"/>
      <c r="B1382" s="350"/>
      <c r="C1382" s="130"/>
      <c r="D1382" s="2335" t="s">
        <v>473</v>
      </c>
      <c r="E1382" s="2335" t="s">
        <v>2181</v>
      </c>
      <c r="F1382" s="284">
        <v>10.833666904931999</v>
      </c>
      <c r="G1382" s="2335"/>
      <c r="H1382" s="301"/>
      <c r="I1382" s="303"/>
      <c r="J1382" s="132"/>
      <c r="K1382" s="132"/>
      <c r="L1382" s="132"/>
      <c r="M1382" s="132"/>
      <c r="N1382" s="132"/>
      <c r="O1382" s="350"/>
      <c r="P1382" s="132"/>
      <c r="Q1382" s="132"/>
      <c r="R1382" s="132"/>
      <c r="S1382" s="132"/>
      <c r="T1382" s="132"/>
      <c r="U1382" s="132"/>
      <c r="V1382" s="288" t="s">
        <v>475</v>
      </c>
      <c r="W1382" s="288">
        <v>10.9</v>
      </c>
      <c r="X1382" s="2336">
        <v>10.833666904931999</v>
      </c>
      <c r="Y1382" s="284">
        <v>10.833666904931999</v>
      </c>
      <c r="Z1382" s="284">
        <v>10.833666904931999</v>
      </c>
      <c r="AA1382" s="284">
        <v>10.833666904931999</v>
      </c>
      <c r="AB1382" s="284">
        <v>10.833666904931999</v>
      </c>
      <c r="AC1382" s="284">
        <v>10.833666904931999</v>
      </c>
      <c r="AD1382" s="284">
        <v>10.833666904931999</v>
      </c>
      <c r="AE1382" s="247"/>
      <c r="AF1382" s="247"/>
      <c r="AG1382" s="247"/>
      <c r="AI1382" s="285" t="s">
        <v>2175</v>
      </c>
      <c r="AJ1382" s="352" t="s">
        <v>480</v>
      </c>
      <c r="AK1382" s="996"/>
      <c r="AL1382" s="301"/>
      <c r="AM1382" s="301"/>
      <c r="AN1382" s="301"/>
      <c r="AO1382" s="301"/>
      <c r="AP1382" s="301"/>
      <c r="AQ1382" s="996"/>
      <c r="AR1382" s="996"/>
      <c r="AS1382" s="996"/>
      <c r="AU1382" s="145"/>
      <c r="BB1382" s="32"/>
    </row>
    <row r="1383" spans="1:54" s="31" customFormat="1" ht="46.5" hidden="1" customHeight="1" outlineLevel="1" x14ac:dyDescent="0.35">
      <c r="A1383" s="132"/>
      <c r="B1383" s="350"/>
      <c r="C1383" s="130"/>
      <c r="D1383" s="2335" t="s">
        <v>476</v>
      </c>
      <c r="E1383" s="2335" t="s">
        <v>2182</v>
      </c>
      <c r="F1383" s="353">
        <v>11.955972333179155</v>
      </c>
      <c r="G1383" s="2335" t="s">
        <v>2174</v>
      </c>
      <c r="H1383" s="301">
        <v>11.561669242658486</v>
      </c>
      <c r="I1383" s="303"/>
      <c r="J1383" s="132"/>
      <c r="K1383" s="132"/>
      <c r="L1383" s="132"/>
      <c r="M1383" s="132"/>
      <c r="N1383" s="132"/>
      <c r="O1383" s="350"/>
      <c r="P1383" s="132"/>
      <c r="Q1383" s="132"/>
      <c r="R1383" s="132"/>
      <c r="S1383" s="132"/>
      <c r="T1383" s="132"/>
      <c r="U1383" s="132"/>
      <c r="V1383" s="288" t="s">
        <v>478</v>
      </c>
      <c r="W1383" s="288">
        <v>11.9</v>
      </c>
      <c r="X1383" s="2336">
        <v>11.955972333179155</v>
      </c>
      <c r="Y1383" s="284">
        <v>11.955972333179155</v>
      </c>
      <c r="Z1383" s="284">
        <v>11.955972333179155</v>
      </c>
      <c r="AA1383" s="284">
        <v>11.955972333179155</v>
      </c>
      <c r="AB1383" s="284">
        <v>11.955972333179155</v>
      </c>
      <c r="AC1383" s="284">
        <v>11.955972333179155</v>
      </c>
      <c r="AD1383" s="284">
        <v>11.955972333179155</v>
      </c>
      <c r="AE1383" s="247"/>
      <c r="AF1383" s="247"/>
      <c r="AG1383" s="247"/>
      <c r="AI1383" s="285" t="s">
        <v>2175</v>
      </c>
      <c r="AJ1383" s="352">
        <v>11.6</v>
      </c>
      <c r="AK1383" s="284">
        <v>11.561669242658486</v>
      </c>
      <c r="AL1383" s="284">
        <v>11.561669242658486</v>
      </c>
      <c r="AM1383" s="284">
        <v>11.561669242658486</v>
      </c>
      <c r="AN1383" s="284">
        <v>11.561669242658486</v>
      </c>
      <c r="AO1383" s="284">
        <v>11.561669242658486</v>
      </c>
      <c r="AP1383" s="284">
        <v>11.561669242658486</v>
      </c>
      <c r="AQ1383" s="284"/>
      <c r="AR1383" s="284"/>
      <c r="AS1383" s="284"/>
      <c r="AU1383" s="145"/>
      <c r="BB1383" s="32"/>
    </row>
    <row r="1384" spans="1:54" s="31" customFormat="1" ht="46.5" hidden="1" customHeight="1" outlineLevel="1" x14ac:dyDescent="0.35">
      <c r="A1384" s="132"/>
      <c r="B1384" s="350"/>
      <c r="C1384" s="130"/>
      <c r="D1384" s="2335" t="s">
        <v>479</v>
      </c>
      <c r="E1384" s="2335"/>
      <c r="F1384" s="353"/>
      <c r="G1384" s="2335" t="s">
        <v>2183</v>
      </c>
      <c r="H1384" s="301">
        <v>9.4499999999999993</v>
      </c>
      <c r="I1384" s="303"/>
      <c r="J1384" s="132"/>
      <c r="K1384" s="132"/>
      <c r="L1384" s="132"/>
      <c r="M1384" s="132"/>
      <c r="N1384" s="132"/>
      <c r="O1384" s="350"/>
      <c r="P1384" s="132"/>
      <c r="Q1384" s="132"/>
      <c r="R1384" s="132"/>
      <c r="S1384" s="132"/>
      <c r="T1384" s="132"/>
      <c r="U1384" s="132"/>
      <c r="V1384" s="288" t="s">
        <v>481</v>
      </c>
      <c r="W1384" s="288"/>
      <c r="X1384" s="997"/>
      <c r="Y1384" s="284"/>
      <c r="Z1384" s="284"/>
      <c r="AA1384" s="284"/>
      <c r="AB1384" s="284"/>
      <c r="AC1384" s="284"/>
      <c r="AD1384" s="284"/>
      <c r="AE1384" s="247"/>
      <c r="AF1384" s="247"/>
      <c r="AG1384" s="247"/>
      <c r="AI1384" s="285" t="s">
        <v>2175</v>
      </c>
      <c r="AJ1384" s="352">
        <v>6.7</v>
      </c>
      <c r="AK1384" s="352">
        <v>9.4499999999999993</v>
      </c>
      <c r="AL1384" s="284">
        <v>9.4499999999999993</v>
      </c>
      <c r="AM1384" s="284">
        <v>9.4499999999999993</v>
      </c>
      <c r="AN1384" s="284">
        <v>9.4499999999999993</v>
      </c>
      <c r="AO1384" s="284">
        <v>9.4499999999999993</v>
      </c>
      <c r="AP1384" s="284">
        <v>9.4499999999999993</v>
      </c>
      <c r="AQ1384" s="998"/>
      <c r="AR1384" s="998"/>
      <c r="AS1384" s="998"/>
      <c r="AU1384" s="145"/>
      <c r="BB1384" s="32"/>
    </row>
    <row r="1385" spans="1:54" s="31" customFormat="1" ht="45" hidden="1" customHeight="1" outlineLevel="1" x14ac:dyDescent="0.35">
      <c r="A1385" s="132"/>
      <c r="B1385" s="1228"/>
      <c r="C1385" s="355"/>
      <c r="D1385" s="2335" t="s">
        <v>482</v>
      </c>
      <c r="E1385" s="2335" t="s">
        <v>483</v>
      </c>
      <c r="F1385" s="999">
        <v>556</v>
      </c>
      <c r="G1385" s="2335" t="s">
        <v>483</v>
      </c>
      <c r="H1385" s="284">
        <v>556</v>
      </c>
      <c r="I1385" s="303"/>
      <c r="J1385" s="132"/>
      <c r="K1385" s="132"/>
      <c r="L1385" s="132"/>
      <c r="M1385" s="132"/>
      <c r="N1385" s="132"/>
      <c r="O1385" s="1228"/>
      <c r="P1385" s="132"/>
      <c r="Q1385" s="132"/>
      <c r="R1385" s="132"/>
      <c r="S1385" s="132"/>
      <c r="T1385" s="132"/>
      <c r="U1385" s="132"/>
      <c r="V1385" s="288" t="s">
        <v>484</v>
      </c>
      <c r="W1385" s="1000">
        <v>556</v>
      </c>
      <c r="X1385" s="1000">
        <v>556</v>
      </c>
      <c r="Y1385" s="999">
        <v>556</v>
      </c>
      <c r="Z1385" s="999">
        <v>556</v>
      </c>
      <c r="AA1385" s="999">
        <v>556</v>
      </c>
      <c r="AB1385" s="999">
        <v>556</v>
      </c>
      <c r="AC1385" s="999">
        <v>556</v>
      </c>
      <c r="AD1385" s="999">
        <v>556</v>
      </c>
      <c r="AE1385" s="247"/>
      <c r="AF1385" s="247"/>
      <c r="AG1385" s="247"/>
      <c r="AI1385" s="285" t="s">
        <v>2175</v>
      </c>
      <c r="AJ1385" s="999">
        <v>556</v>
      </c>
      <c r="AK1385" s="999">
        <v>556</v>
      </c>
      <c r="AL1385" s="999">
        <v>556</v>
      </c>
      <c r="AM1385" s="999">
        <v>556</v>
      </c>
      <c r="AN1385" s="999">
        <v>556</v>
      </c>
      <c r="AO1385" s="999">
        <v>556</v>
      </c>
      <c r="AP1385" s="999">
        <v>556</v>
      </c>
      <c r="AQ1385" s="999"/>
      <c r="AR1385" s="999"/>
      <c r="AS1385" s="999"/>
      <c r="AU1385" s="145"/>
      <c r="BB1385" s="32"/>
    </row>
    <row r="1386" spans="1:54" s="31" customFormat="1" ht="30" hidden="1" customHeight="1" outlineLevel="1" x14ac:dyDescent="0.35">
      <c r="A1386" s="132"/>
      <c r="B1386" s="1228"/>
      <c r="C1386" s="355"/>
      <c r="D1386" s="2335" t="s">
        <v>485</v>
      </c>
      <c r="E1386" s="2335" t="s">
        <v>486</v>
      </c>
      <c r="F1386" s="999">
        <v>860</v>
      </c>
      <c r="G1386" s="2329" t="s">
        <v>513</v>
      </c>
      <c r="H1386" s="301">
        <v>860</v>
      </c>
      <c r="I1386" s="2329" t="s">
        <v>2184</v>
      </c>
      <c r="J1386" s="132"/>
      <c r="K1386" s="132"/>
      <c r="L1386" s="132"/>
      <c r="M1386" s="132"/>
      <c r="N1386" s="132"/>
      <c r="O1386" s="1228"/>
      <c r="P1386" s="132"/>
      <c r="Q1386" s="132"/>
      <c r="R1386" s="132"/>
      <c r="S1386" s="132"/>
      <c r="T1386" s="132"/>
      <c r="U1386" s="132"/>
      <c r="V1386" s="288" t="s">
        <v>487</v>
      </c>
      <c r="W1386" s="1000">
        <v>860</v>
      </c>
      <c r="X1386" s="1000">
        <v>860</v>
      </c>
      <c r="Y1386" s="999">
        <v>860</v>
      </c>
      <c r="Z1386" s="999">
        <v>860</v>
      </c>
      <c r="AA1386" s="999">
        <v>860</v>
      </c>
      <c r="AB1386" s="999">
        <v>860</v>
      </c>
      <c r="AC1386" s="999">
        <v>860</v>
      </c>
      <c r="AD1386" s="999">
        <v>860</v>
      </c>
      <c r="AE1386" s="247"/>
      <c r="AF1386" s="247"/>
      <c r="AG1386" s="247"/>
      <c r="AI1386" s="285" t="s">
        <v>2175</v>
      </c>
      <c r="AJ1386" s="1001">
        <v>1215</v>
      </c>
      <c r="AK1386" s="1001">
        <v>860</v>
      </c>
      <c r="AL1386" s="999">
        <v>860</v>
      </c>
      <c r="AM1386" s="999">
        <v>860</v>
      </c>
      <c r="AN1386" s="999">
        <v>860</v>
      </c>
      <c r="AO1386" s="999">
        <v>860</v>
      </c>
      <c r="AP1386" s="999">
        <v>860</v>
      </c>
      <c r="AQ1386" s="1001"/>
      <c r="AR1386" s="1001"/>
      <c r="AS1386" s="1001"/>
      <c r="AU1386" s="145"/>
      <c r="BB1386" s="32"/>
    </row>
    <row r="1387" spans="1:54" s="31" customFormat="1" ht="30" hidden="1" customHeight="1" outlineLevel="1" x14ac:dyDescent="0.35">
      <c r="A1387" s="132"/>
      <c r="B1387" s="1228"/>
      <c r="C1387" s="355"/>
      <c r="D1387" s="2335" t="s">
        <v>488</v>
      </c>
      <c r="E1387" s="2335" t="s">
        <v>489</v>
      </c>
      <c r="F1387" s="284">
        <v>1000</v>
      </c>
      <c r="G1387" s="2335" t="s">
        <v>489</v>
      </c>
      <c r="H1387" s="301">
        <v>1000</v>
      </c>
      <c r="I1387" s="303"/>
      <c r="J1387" s="132"/>
      <c r="K1387" s="132"/>
      <c r="L1387" s="132"/>
      <c r="M1387" s="132"/>
      <c r="N1387" s="132"/>
      <c r="O1387" s="1228"/>
      <c r="P1387" s="132"/>
      <c r="Q1387" s="132"/>
      <c r="R1387" s="132"/>
      <c r="S1387" s="132"/>
      <c r="T1387" s="132"/>
      <c r="U1387" s="132"/>
      <c r="V1387" s="288" t="s">
        <v>488</v>
      </c>
      <c r="W1387" s="288">
        <v>1000</v>
      </c>
      <c r="X1387" s="288">
        <v>1000</v>
      </c>
      <c r="Y1387" s="284">
        <v>1000</v>
      </c>
      <c r="Z1387" s="284">
        <v>1000</v>
      </c>
      <c r="AA1387" s="284">
        <v>1000</v>
      </c>
      <c r="AB1387" s="284">
        <v>1000</v>
      </c>
      <c r="AC1387" s="284">
        <v>1000</v>
      </c>
      <c r="AD1387" s="284">
        <v>1000</v>
      </c>
      <c r="AE1387" s="247"/>
      <c r="AF1387" s="247"/>
      <c r="AG1387" s="247"/>
      <c r="AI1387" s="285" t="s">
        <v>2175</v>
      </c>
      <c r="AJ1387" s="352">
        <v>1000</v>
      </c>
      <c r="AK1387" s="996">
        <v>1000</v>
      </c>
      <c r="AL1387" s="301">
        <v>1000</v>
      </c>
      <c r="AM1387" s="301">
        <v>1000</v>
      </c>
      <c r="AN1387" s="301">
        <v>1000</v>
      </c>
      <c r="AO1387" s="301">
        <v>1000</v>
      </c>
      <c r="AP1387" s="301">
        <v>1000</v>
      </c>
      <c r="AQ1387" s="996"/>
      <c r="AR1387" s="996"/>
      <c r="AS1387" s="996"/>
      <c r="AU1387" s="145"/>
      <c r="BB1387" s="32"/>
    </row>
    <row r="1388" spans="1:54" s="31" customFormat="1" ht="30" hidden="1" customHeight="1" outlineLevel="1" thickBot="1" x14ac:dyDescent="0.4">
      <c r="A1388" s="132"/>
      <c r="B1388" s="1228"/>
      <c r="C1388" s="355"/>
      <c r="D1388" s="2335" t="s">
        <v>132</v>
      </c>
      <c r="E1388" s="2335" t="s">
        <v>2185</v>
      </c>
      <c r="F1388" s="287">
        <v>0.97560975609756095</v>
      </c>
      <c r="G1388" s="2335" t="s">
        <v>2186</v>
      </c>
      <c r="H1388" s="287">
        <v>1</v>
      </c>
      <c r="I1388" s="303"/>
      <c r="J1388" s="132"/>
      <c r="K1388" s="132"/>
      <c r="L1388" s="132"/>
      <c r="M1388" s="132"/>
      <c r="N1388" s="132"/>
      <c r="O1388" s="1228"/>
      <c r="P1388" s="132"/>
      <c r="Q1388" s="132"/>
      <c r="R1388" s="132"/>
      <c r="S1388" s="132"/>
      <c r="T1388" s="132"/>
      <c r="U1388" s="132"/>
      <c r="V1388" s="357" t="s">
        <v>251</v>
      </c>
      <c r="W1388" s="1002">
        <v>0.97560975609756095</v>
      </c>
      <c r="X1388" s="1002">
        <v>0.97560975609756095</v>
      </c>
      <c r="Y1388" s="1003">
        <v>0.97560975609756095</v>
      </c>
      <c r="Z1388" s="1003">
        <v>0.97560975609756095</v>
      </c>
      <c r="AA1388" s="1003">
        <v>0.97560975609756095</v>
      </c>
      <c r="AB1388" s="1003">
        <v>0.97560975609756095</v>
      </c>
      <c r="AC1388" s="1003">
        <v>0.97560975609756095</v>
      </c>
      <c r="AD1388" s="1003">
        <v>0.97560975609756095</v>
      </c>
      <c r="AE1388" s="360"/>
      <c r="AF1388" s="360"/>
      <c r="AG1388" s="360"/>
      <c r="AI1388" s="285" t="s">
        <v>2175</v>
      </c>
      <c r="AJ1388" s="619">
        <v>1</v>
      </c>
      <c r="AK1388" s="287">
        <v>1</v>
      </c>
      <c r="AL1388" s="287">
        <v>1</v>
      </c>
      <c r="AM1388" s="287">
        <v>1</v>
      </c>
      <c r="AN1388" s="287">
        <v>1</v>
      </c>
      <c r="AO1388" s="287">
        <v>1</v>
      </c>
      <c r="AP1388" s="287">
        <v>1</v>
      </c>
      <c r="AQ1388" s="996"/>
      <c r="AR1388" s="996"/>
      <c r="AS1388" s="996"/>
      <c r="AU1388" s="145"/>
      <c r="BB1388" s="32"/>
    </row>
    <row r="1389" spans="1:54" s="31" customFormat="1" ht="15" hidden="1" customHeight="1" outlineLevel="1" x14ac:dyDescent="0.35">
      <c r="A1389" s="132"/>
      <c r="B1389" s="132"/>
      <c r="C1389" s="130"/>
      <c r="D1389" s="271" t="str">
        <f>D1335</f>
        <v>EUL</v>
      </c>
      <c r="E1389" s="271"/>
      <c r="F1389" s="4450">
        <v>9</v>
      </c>
      <c r="G1389" s="4451"/>
      <c r="H1389" s="4452"/>
      <c r="I1389" s="303" t="s">
        <v>184</v>
      </c>
      <c r="J1389" s="132"/>
      <c r="K1389" s="132"/>
      <c r="L1389" s="132"/>
      <c r="M1389" s="132"/>
      <c r="N1389" s="132"/>
      <c r="O1389" s="132"/>
      <c r="P1389" s="132"/>
      <c r="Q1389" s="132"/>
      <c r="R1389" s="132"/>
      <c r="S1389" s="132"/>
      <c r="T1389" s="132"/>
      <c r="U1389" s="132"/>
      <c r="V1389" s="361" t="str">
        <f>D1389</f>
        <v>EUL</v>
      </c>
      <c r="W1389" s="362">
        <v>9</v>
      </c>
      <c r="X1389" s="362">
        <v>9</v>
      </c>
      <c r="Y1389" s="1004">
        <v>9</v>
      </c>
      <c r="Z1389" s="1004">
        <v>9</v>
      </c>
      <c r="AA1389" s="1004">
        <v>9</v>
      </c>
      <c r="AB1389" s="1004">
        <v>9</v>
      </c>
      <c r="AC1389" s="1004">
        <v>9</v>
      </c>
      <c r="AD1389" s="1004">
        <v>9</v>
      </c>
      <c r="AE1389" s="362"/>
      <c r="AF1389" s="362"/>
      <c r="AG1389" s="362"/>
      <c r="AI1389" s="362">
        <v>9</v>
      </c>
      <c r="AJ1389" s="362">
        <v>9</v>
      </c>
      <c r="AK1389" s="1004">
        <v>9</v>
      </c>
      <c r="AL1389" s="1004">
        <v>9</v>
      </c>
      <c r="AM1389" s="1004">
        <v>9</v>
      </c>
      <c r="AN1389" s="1004">
        <v>9</v>
      </c>
      <c r="AO1389" s="1004">
        <v>9</v>
      </c>
      <c r="AP1389" s="1004">
        <v>9</v>
      </c>
      <c r="AQ1389" s="362"/>
      <c r="AR1389" s="362"/>
      <c r="AS1389" s="362"/>
      <c r="AU1389" s="145"/>
      <c r="BB1389" s="32"/>
    </row>
    <row r="1390" spans="1:54" s="31" customFormat="1" ht="15" hidden="1" customHeight="1" outlineLevel="1" x14ac:dyDescent="0.35">
      <c r="A1390" s="132"/>
      <c r="B1390" s="132"/>
      <c r="C1390" s="130"/>
      <c r="D1390" s="271" t="str">
        <f>D1337</f>
        <v>Inc. Cost</v>
      </c>
      <c r="E1390" s="271"/>
      <c r="F1390" s="4453">
        <v>20</v>
      </c>
      <c r="G1390" s="4454"/>
      <c r="H1390" s="4455"/>
      <c r="I1390" s="303" t="s">
        <v>184</v>
      </c>
      <c r="J1390" s="132"/>
      <c r="K1390" s="132"/>
      <c r="L1390" s="132"/>
      <c r="M1390" s="132"/>
      <c r="N1390" s="132"/>
      <c r="O1390" s="132"/>
      <c r="P1390" s="132"/>
      <c r="Q1390" s="132"/>
      <c r="R1390" s="132"/>
      <c r="S1390" s="132"/>
      <c r="T1390" s="132"/>
      <c r="U1390" s="132"/>
      <c r="V1390" s="288" t="str">
        <f>D1390</f>
        <v>Inc. Cost</v>
      </c>
      <c r="W1390" s="308">
        <v>20</v>
      </c>
      <c r="X1390" s="308">
        <v>20</v>
      </c>
      <c r="Y1390" s="989">
        <v>20</v>
      </c>
      <c r="Z1390" s="989">
        <v>20</v>
      </c>
      <c r="AA1390" s="989">
        <v>20</v>
      </c>
      <c r="AB1390" s="989">
        <v>20</v>
      </c>
      <c r="AC1390" s="989">
        <v>20</v>
      </c>
      <c r="AD1390" s="989">
        <v>20</v>
      </c>
      <c r="AE1390" s="308"/>
      <c r="AF1390" s="308"/>
      <c r="AG1390" s="308"/>
      <c r="AI1390" s="308">
        <v>20</v>
      </c>
      <c r="AJ1390" s="308">
        <v>20</v>
      </c>
      <c r="AK1390" s="989">
        <v>20</v>
      </c>
      <c r="AL1390" s="989">
        <v>20</v>
      </c>
      <c r="AM1390" s="989">
        <v>20</v>
      </c>
      <c r="AN1390" s="989">
        <v>20</v>
      </c>
      <c r="AO1390" s="989">
        <v>20</v>
      </c>
      <c r="AP1390" s="989">
        <v>20</v>
      </c>
      <c r="AQ1390" s="308"/>
      <c r="AR1390" s="308"/>
      <c r="AS1390" s="308"/>
      <c r="AU1390" s="145"/>
      <c r="BB1390" s="32"/>
    </row>
    <row r="1391" spans="1:54" s="31" customFormat="1" collapsed="1" x14ac:dyDescent="0.35">
      <c r="A1391" s="132"/>
      <c r="B1391" s="132"/>
      <c r="C1391" s="130"/>
      <c r="D1391" s="363"/>
      <c r="E1391" s="363"/>
      <c r="F1391" s="364"/>
      <c r="G1391" s="365"/>
      <c r="H1391" s="132"/>
      <c r="I1391" s="132"/>
      <c r="J1391" s="132"/>
      <c r="K1391" s="132"/>
      <c r="L1391" s="132"/>
      <c r="M1391" s="132"/>
      <c r="N1391" s="132"/>
      <c r="O1391" s="132"/>
      <c r="P1391" s="132"/>
      <c r="Q1391" s="132"/>
      <c r="R1391" s="132"/>
      <c r="S1391" s="132"/>
      <c r="T1391" s="132"/>
      <c r="U1391" s="132"/>
      <c r="Y1391" s="173"/>
      <c r="AU1391" s="145"/>
      <c r="BB1391" s="32"/>
    </row>
    <row r="1392" spans="1:54" s="31" customFormat="1" x14ac:dyDescent="0.35">
      <c r="A1392" s="132"/>
      <c r="B1392" s="132"/>
      <c r="C1392" s="130"/>
      <c r="D1392" s="131"/>
      <c r="E1392" s="131"/>
      <c r="F1392" s="132"/>
      <c r="G1392" s="132"/>
      <c r="H1392" s="132"/>
      <c r="I1392" s="132"/>
      <c r="J1392" s="132"/>
      <c r="K1392" s="132"/>
      <c r="L1392" s="132"/>
      <c r="M1392" s="132"/>
      <c r="N1392" s="132"/>
      <c r="O1392" s="132"/>
      <c r="P1392" s="132"/>
      <c r="Q1392" s="132"/>
      <c r="R1392" s="132"/>
      <c r="S1392" s="132"/>
      <c r="T1392" s="132"/>
      <c r="U1392" s="132"/>
      <c r="Y1392" s="173"/>
      <c r="AU1392" s="145"/>
      <c r="BB1392" s="32"/>
    </row>
    <row r="1393" spans="1:57" s="31" customFormat="1" x14ac:dyDescent="0.35">
      <c r="A1393" s="132"/>
      <c r="B1393" s="132"/>
      <c r="C1393" s="130"/>
      <c r="D1393" s="131"/>
      <c r="E1393" s="131"/>
      <c r="F1393" s="132"/>
      <c r="G1393" s="132"/>
      <c r="H1393" s="132"/>
      <c r="I1393" s="132"/>
      <c r="J1393" s="132"/>
      <c r="K1393" s="132"/>
      <c r="L1393" s="132"/>
      <c r="M1393" s="132"/>
      <c r="N1393" s="132"/>
      <c r="O1393" s="132"/>
      <c r="P1393" s="132"/>
      <c r="Q1393" s="132"/>
      <c r="R1393" s="132"/>
      <c r="S1393" s="132"/>
      <c r="T1393" s="132"/>
      <c r="U1393" s="132"/>
      <c r="Y1393" s="173"/>
      <c r="AU1393" s="145"/>
      <c r="BB1393" s="32"/>
    </row>
    <row r="1394" spans="1:57" s="133" customFormat="1" x14ac:dyDescent="0.35">
      <c r="A1394" s="81" t="str">
        <f>C1394&amp;G1394</f>
        <v/>
      </c>
      <c r="B1394" s="2325" t="s">
        <v>2187</v>
      </c>
      <c r="C1394" s="2326"/>
      <c r="D1394" s="2326"/>
      <c r="E1394" s="2326"/>
      <c r="F1394" s="2326"/>
      <c r="G1394" s="2326"/>
      <c r="H1394" s="2326"/>
      <c r="I1394" s="2326"/>
      <c r="J1394" s="2326"/>
      <c r="K1394" s="2326"/>
      <c r="L1394" s="2326"/>
      <c r="M1394" s="2326"/>
      <c r="N1394" s="2326"/>
      <c r="O1394" s="2384"/>
      <c r="V1394" s="2325" t="str">
        <f>B1394</f>
        <v>Storm Window</v>
      </c>
      <c r="W1394" s="2326"/>
      <c r="X1394" s="2326"/>
      <c r="Y1394" s="2326"/>
      <c r="Z1394" s="2326"/>
      <c r="AA1394" s="2326"/>
      <c r="AB1394" s="3200"/>
      <c r="AC1394" s="2987"/>
      <c r="AD1394" s="2987"/>
      <c r="AE1394" s="2987"/>
      <c r="AF1394" s="2987"/>
      <c r="AG1394" s="2987"/>
      <c r="AH1394" s="2987"/>
      <c r="AI1394" s="2988"/>
      <c r="AU1394" s="1897"/>
      <c r="BB1394" s="1898"/>
    </row>
    <row r="1395" spans="1:57" s="1863" customFormat="1" x14ac:dyDescent="0.35">
      <c r="A1395" s="81" t="str">
        <f>C1395&amp;G1395</f>
        <v/>
      </c>
      <c r="B1395" s="106"/>
      <c r="C1395" s="103"/>
      <c r="D1395" s="292"/>
      <c r="E1395" s="292"/>
      <c r="F1395" s="106"/>
      <c r="G1395" s="106"/>
      <c r="H1395" s="106"/>
      <c r="I1395" s="106"/>
      <c r="J1395" s="106"/>
      <c r="K1395" s="106"/>
      <c r="L1395" s="106"/>
      <c r="M1395" s="106"/>
      <c r="N1395" s="106"/>
      <c r="O1395" s="106"/>
      <c r="V1395" s="199"/>
      <c r="W1395" s="199"/>
      <c r="X1395" s="199"/>
      <c r="Y1395" s="197"/>
      <c r="Z1395" s="199"/>
      <c r="AA1395" s="199"/>
      <c r="AB1395" s="199"/>
      <c r="AC1395" s="199"/>
      <c r="AD1395" s="199"/>
      <c r="AE1395" s="199"/>
      <c r="AF1395" s="199"/>
      <c r="AG1395" s="199"/>
      <c r="AH1395" s="199"/>
      <c r="AI1395" s="199"/>
      <c r="BB1395" s="1900"/>
    </row>
    <row r="1396" spans="1:57" s="1863" customFormat="1" ht="29" x14ac:dyDescent="0.35">
      <c r="A1396" s="81"/>
      <c r="B1396" s="350"/>
      <c r="C1396" s="2379" t="s">
        <v>27</v>
      </c>
      <c r="D1396" s="2379" t="s">
        <v>174</v>
      </c>
      <c r="E1396" s="2379" t="s">
        <v>29</v>
      </c>
      <c r="F1396" s="2379" t="s">
        <v>30</v>
      </c>
      <c r="G1396" s="2379" t="s">
        <v>175</v>
      </c>
      <c r="H1396" s="2379" t="s">
        <v>176</v>
      </c>
      <c r="I1396" s="2379" t="s">
        <v>31</v>
      </c>
      <c r="J1396" s="2379" t="s">
        <v>180</v>
      </c>
      <c r="K1396" s="2379" t="s">
        <v>169</v>
      </c>
      <c r="L1396" s="2379" t="s">
        <v>43</v>
      </c>
      <c r="M1396" s="106"/>
      <c r="N1396" s="106"/>
      <c r="O1396" s="350"/>
      <c r="V1396" s="480" t="s">
        <v>44</v>
      </c>
      <c r="W1396" s="481">
        <v>43252</v>
      </c>
      <c r="X1396" s="481">
        <f>$X$6</f>
        <v>43465</v>
      </c>
      <c r="Y1396" s="1944">
        <f>$Y$6</f>
        <v>43800</v>
      </c>
      <c r="Z1396" s="481">
        <f>$Z$6</f>
        <v>43862</v>
      </c>
      <c r="AA1396" s="481">
        <f>$AA$6</f>
        <v>44013</v>
      </c>
      <c r="AB1396" s="481">
        <f>$AB$6</f>
        <v>44166</v>
      </c>
      <c r="AC1396" s="481">
        <f>$AC$6</f>
        <v>44531</v>
      </c>
      <c r="AD1396" s="481">
        <f>$AD$6</f>
        <v>44774</v>
      </c>
      <c r="AE1396" s="481" t="str">
        <f>$AE$6</f>
        <v>-</v>
      </c>
      <c r="AF1396" s="481" t="str">
        <f>$AF$6</f>
        <v>-</v>
      </c>
      <c r="AG1396" s="481" t="str">
        <f>$AG$6</f>
        <v>-</v>
      </c>
      <c r="AH1396" s="199"/>
      <c r="AI1396" s="199"/>
      <c r="BB1396" s="1574" t="str">
        <f>$BB$6</f>
        <v>TRC (2022)</v>
      </c>
      <c r="BC1396" s="1584" t="str">
        <f>$BC$6</f>
        <v>Benefit Lookup</v>
      </c>
      <c r="BD1396" s="556" t="str">
        <f>$BD$6</f>
        <v>Benefits (2019 $)</v>
      </c>
      <c r="BE1396" s="200" t="str">
        <f>$BE$6</f>
        <v>Incremental Cost (2019 $)</v>
      </c>
    </row>
    <row r="1397" spans="1:57" s="1863" customFormat="1" x14ac:dyDescent="0.35">
      <c r="A1397" s="81"/>
      <c r="B1397" s="132"/>
      <c r="C1397" s="50" t="s">
        <v>2188</v>
      </c>
      <c r="D1397" s="2100" t="s">
        <v>2002</v>
      </c>
      <c r="E1397" s="2100" t="s">
        <v>2189</v>
      </c>
      <c r="F1397" s="202">
        <f>G1417*G$1416/G$1421+G1422*G$1416/(G$1426*G$1429)</f>
        <v>17.535985292550357</v>
      </c>
      <c r="G1397" s="88" t="s">
        <v>1558</v>
      </c>
      <c r="H1397" s="393">
        <f>VLOOKUP(G1397,'CP FACTORS'!$A$3:$B$38, 2, FALSE)</f>
        <v>4.6608050000000002E-4</v>
      </c>
      <c r="I1397" s="1278">
        <f t="shared" ref="I1397:I1408" si="199">ROUND(F1397*H1397,6)</f>
        <v>8.1729999999999997E-3</v>
      </c>
      <c r="J1397" s="2101">
        <f t="shared" ref="J1397:J1408" si="200">G$1430</f>
        <v>20</v>
      </c>
      <c r="K1397" s="325">
        <f t="shared" ref="K1397:K1408" si="201">G$1431</f>
        <v>9.2850000000000001</v>
      </c>
      <c r="L1397" s="301" t="s">
        <v>2190</v>
      </c>
      <c r="M1397" s="132"/>
      <c r="N1397" s="1213"/>
      <c r="O1397" s="963"/>
      <c r="V1397" s="303" t="s">
        <v>30</v>
      </c>
      <c r="W1397" s="346"/>
      <c r="X1397" s="213"/>
      <c r="Y1397" s="213"/>
      <c r="Z1397" s="213"/>
      <c r="AA1397" s="1575"/>
      <c r="AB1397" s="346">
        <v>17.535985292550357</v>
      </c>
      <c r="AC1397" s="202">
        <v>17.535985292550357</v>
      </c>
      <c r="AD1397" s="202">
        <v>17.535985292550357</v>
      </c>
      <c r="AE1397" s="1683"/>
      <c r="AF1397" s="1683"/>
      <c r="AG1397" s="1683"/>
      <c r="BB1397" s="1578">
        <f t="shared" ref="BB1397:BB1407" si="202">(BD1397)/(BE1397)</f>
        <v>2.3284294802706778</v>
      </c>
      <c r="BC1397" s="2381" t="str">
        <f t="shared" ref="BC1397:BC1408" si="203">CONCATENATE(G1397," ",J1397," Year EUL")</f>
        <v>Building Shell RES 20 Year EUL</v>
      </c>
      <c r="BD1397" s="95">
        <f>(INDEX('Avoided Cost Benefits'!$E$4:$E$859,MATCH(BC1397,'Avoided Cost Benefits'!$A$4:$A$859,0)))*F1397</f>
        <v>20.405349433046947</v>
      </c>
      <c r="BE1397" s="1579">
        <f>K1397/(1.0595^(2020-2019))</f>
        <v>8.7635677206229339</v>
      </c>
    </row>
    <row r="1398" spans="1:57" s="1863" customFormat="1" x14ac:dyDescent="0.35">
      <c r="A1398" s="81"/>
      <c r="B1398" s="132"/>
      <c r="C1398" s="50" t="s">
        <v>2191</v>
      </c>
      <c r="D1398" s="2100" t="s">
        <v>2002</v>
      </c>
      <c r="E1398" s="2100" t="s">
        <v>2192</v>
      </c>
      <c r="F1398" s="202">
        <f>G1417*G$1416/G$1421+G1422*G$1416/(G$1427*G$1429)</f>
        <v>10.4183346394822</v>
      </c>
      <c r="G1398" s="88" t="s">
        <v>1558</v>
      </c>
      <c r="H1398" s="393">
        <f>VLOOKUP(G1398,'CP FACTORS'!$A$3:$B$38, 2, FALSE)</f>
        <v>4.6608050000000002E-4</v>
      </c>
      <c r="I1398" s="1278">
        <f t="shared" si="199"/>
        <v>4.8560000000000001E-3</v>
      </c>
      <c r="J1398" s="2101">
        <f t="shared" si="200"/>
        <v>20</v>
      </c>
      <c r="K1398" s="325">
        <f t="shared" si="201"/>
        <v>9.2850000000000001</v>
      </c>
      <c r="L1398" s="301" t="s">
        <v>2190</v>
      </c>
      <c r="M1398" s="132"/>
      <c r="N1398" s="1213"/>
      <c r="O1398" s="963"/>
      <c r="V1398" s="303" t="s">
        <v>30</v>
      </c>
      <c r="W1398" s="346"/>
      <c r="X1398" s="82"/>
      <c r="Y1398" s="82"/>
      <c r="Z1398" s="82"/>
      <c r="AA1398" s="1575"/>
      <c r="AB1398" s="346">
        <v>10.4183346394822</v>
      </c>
      <c r="AC1398" s="202">
        <v>10.4183346394822</v>
      </c>
      <c r="AD1398" s="202">
        <v>10.4183346394822</v>
      </c>
      <c r="AE1398" s="1683"/>
      <c r="AF1398" s="1683"/>
      <c r="AG1398" s="1683"/>
      <c r="BB1398" s="40">
        <f t="shared" si="202"/>
        <v>1.3833472773383872</v>
      </c>
      <c r="BC1398" s="1580" t="str">
        <f t="shared" si="203"/>
        <v>Building Shell RES 20 Year EUL</v>
      </c>
      <c r="BD1398" s="98">
        <f>(INDEX('Avoided Cost Benefits'!$E$4:$E$859,MATCH(BC1398,'Avoided Cost Benefits'!$A$4:$A$859,0)))*F1398</f>
        <v>12.123057546094312</v>
      </c>
      <c r="BE1398" s="1581">
        <f t="shared" ref="BE1398:BE1407" si="204">K1398/(1.0595^(2020-2019))</f>
        <v>8.7635677206229339</v>
      </c>
    </row>
    <row r="1399" spans="1:57" s="1863" customFormat="1" x14ac:dyDescent="0.35">
      <c r="A1399" s="81"/>
      <c r="B1399" s="132"/>
      <c r="C1399" s="50" t="s">
        <v>2193</v>
      </c>
      <c r="D1399" s="2100" t="s">
        <v>2002</v>
      </c>
      <c r="E1399" s="2100" t="s">
        <v>2194</v>
      </c>
      <c r="F1399" s="202">
        <f>G1417*G$1416/G$1421</f>
        <v>2.3909090909090911</v>
      </c>
      <c r="G1399" s="88" t="s">
        <v>1558</v>
      </c>
      <c r="H1399" s="393">
        <f>VLOOKUP(G1399,'CP FACTORS'!$A$3:$B$38, 2, FALSE)</f>
        <v>4.6608050000000002E-4</v>
      </c>
      <c r="I1399" s="1278">
        <f t="shared" si="199"/>
        <v>1.114E-3</v>
      </c>
      <c r="J1399" s="2101">
        <f t="shared" si="200"/>
        <v>20</v>
      </c>
      <c r="K1399" s="325">
        <f t="shared" si="201"/>
        <v>9.2850000000000001</v>
      </c>
      <c r="L1399" s="301" t="s">
        <v>2190</v>
      </c>
      <c r="M1399" s="132"/>
      <c r="N1399" s="1213"/>
      <c r="O1399" s="963"/>
      <c r="V1399" s="303" t="s">
        <v>30</v>
      </c>
      <c r="W1399" s="346"/>
      <c r="X1399" s="213"/>
      <c r="Y1399" s="213"/>
      <c r="Z1399" s="213"/>
      <c r="AA1399" s="1575"/>
      <c r="AB1399" s="346">
        <v>2.3909090909090911</v>
      </c>
      <c r="AC1399" s="202">
        <v>2.3909090909090911</v>
      </c>
      <c r="AD1399" s="202">
        <v>2.3909090909090911</v>
      </c>
      <c r="AE1399" s="1683"/>
      <c r="AF1399" s="1683"/>
      <c r="AG1399" s="1683"/>
      <c r="BB1399" s="40">
        <f t="shared" si="202"/>
        <v>0.31746509358016489</v>
      </c>
      <c r="BC1399" s="1580" t="str">
        <f t="shared" si="203"/>
        <v>Building Shell RES 20 Year EUL</v>
      </c>
      <c r="BD1399" s="98">
        <f>(INDEX('Avoided Cost Benefits'!$E$4:$E$859,MATCH(BC1399,'Avoided Cost Benefits'!$A$4:$A$859,0)))*F1399</f>
        <v>2.7821268465236719</v>
      </c>
      <c r="BE1399" s="1581">
        <f t="shared" si="204"/>
        <v>8.7635677206229339</v>
      </c>
    </row>
    <row r="1400" spans="1:57" s="1863" customFormat="1" x14ac:dyDescent="0.35">
      <c r="A1400" s="81"/>
      <c r="B1400" s="132"/>
      <c r="C1400" s="50" t="s">
        <v>2195</v>
      </c>
      <c r="D1400" s="2100" t="s">
        <v>2002</v>
      </c>
      <c r="E1400" s="2100" t="s">
        <v>2196</v>
      </c>
      <c r="F1400" s="202">
        <f>G1418*G$1416/G$1421+G1423*G$1416/(G$1426*G$1429)</f>
        <v>5.9024938718959818</v>
      </c>
      <c r="G1400" s="88" t="s">
        <v>1558</v>
      </c>
      <c r="H1400" s="393">
        <f>VLOOKUP(G1400,'CP FACTORS'!$A$3:$B$38, 2, FALSE)</f>
        <v>4.6608050000000002E-4</v>
      </c>
      <c r="I1400" s="1278">
        <f t="shared" si="199"/>
        <v>2.751E-3</v>
      </c>
      <c r="J1400" s="2101">
        <f t="shared" si="200"/>
        <v>20</v>
      </c>
      <c r="K1400" s="325">
        <f t="shared" si="201"/>
        <v>9.2850000000000001</v>
      </c>
      <c r="L1400" s="301" t="s">
        <v>2190</v>
      </c>
      <c r="M1400" s="132"/>
      <c r="N1400" s="1213"/>
      <c r="O1400" s="963"/>
      <c r="V1400" s="303" t="s">
        <v>30</v>
      </c>
      <c r="W1400" s="346"/>
      <c r="X1400" s="82"/>
      <c r="Y1400" s="82"/>
      <c r="Z1400" s="82"/>
      <c r="AA1400" s="1575"/>
      <c r="AB1400" s="346">
        <v>5.9024938718959818</v>
      </c>
      <c r="AC1400" s="202">
        <v>5.9024938718959818</v>
      </c>
      <c r="AD1400" s="202">
        <v>5.9024938718959818</v>
      </c>
      <c r="AE1400" s="1683"/>
      <c r="AF1400" s="1683"/>
      <c r="AG1400" s="1683"/>
      <c r="BB1400" s="40">
        <f t="shared" si="202"/>
        <v>0.78373359176334145</v>
      </c>
      <c r="BC1400" s="1580" t="str">
        <f t="shared" si="203"/>
        <v>Building Shell RES 20 Year EUL</v>
      </c>
      <c r="BD1400" s="98">
        <f>(INDEX('Avoided Cost Benefits'!$E$4:$E$859,MATCH(BC1400,'Avoided Cost Benefits'!$A$4:$A$859,0)))*F1400</f>
        <v>6.8683024063450917</v>
      </c>
      <c r="BE1400" s="1581">
        <f t="shared" si="204"/>
        <v>8.7635677206229339</v>
      </c>
    </row>
    <row r="1401" spans="1:57" s="1863" customFormat="1" x14ac:dyDescent="0.35">
      <c r="A1401" s="81"/>
      <c r="B1401" s="132"/>
      <c r="C1401" s="50" t="s">
        <v>2197</v>
      </c>
      <c r="D1401" s="2100" t="s">
        <v>2002</v>
      </c>
      <c r="E1401" s="2100" t="s">
        <v>2198</v>
      </c>
      <c r="F1401" s="202">
        <f>G1418*G$1416/G$1421+G1423*G$1416/(G$1427*G$1429)</f>
        <v>3.6711258877701161</v>
      </c>
      <c r="G1401" s="88" t="s">
        <v>1558</v>
      </c>
      <c r="H1401" s="393">
        <f>VLOOKUP(G1401,'CP FACTORS'!$A$3:$B$38, 2, FALSE)</f>
        <v>4.6608050000000002E-4</v>
      </c>
      <c r="I1401" s="1278">
        <f t="shared" si="199"/>
        <v>1.7110000000000001E-3</v>
      </c>
      <c r="J1401" s="2101">
        <f t="shared" si="200"/>
        <v>20</v>
      </c>
      <c r="K1401" s="325">
        <f t="shared" si="201"/>
        <v>9.2850000000000001</v>
      </c>
      <c r="L1401" s="301" t="s">
        <v>2190</v>
      </c>
      <c r="M1401" s="132"/>
      <c r="N1401" s="1213"/>
      <c r="O1401" s="963"/>
      <c r="V1401" s="303" t="s">
        <v>30</v>
      </c>
      <c r="W1401" s="346"/>
      <c r="X1401" s="82"/>
      <c r="Y1401" s="82"/>
      <c r="Z1401" s="82"/>
      <c r="AA1401" s="1575"/>
      <c r="AB1401" s="346">
        <v>3.6711258877701161</v>
      </c>
      <c r="AC1401" s="202">
        <v>3.6711258877701161</v>
      </c>
      <c r="AD1401" s="202">
        <v>3.6711258877701161</v>
      </c>
      <c r="AE1401" s="1683"/>
      <c r="AF1401" s="1683"/>
      <c r="AG1401" s="1683"/>
      <c r="BB1401" s="40">
        <f t="shared" si="202"/>
        <v>0.48745237865249286</v>
      </c>
      <c r="BC1401" s="1580" t="str">
        <f t="shared" si="203"/>
        <v>Building Shell RES 20 Year EUL</v>
      </c>
      <c r="BD1401" s="98">
        <f>(INDEX('Avoided Cost Benefits'!$E$4:$E$859,MATCH(BC1401,'Avoided Cost Benefits'!$A$4:$A$859,0)))*F1401</f>
        <v>4.2718219308998542</v>
      </c>
      <c r="BE1401" s="1581">
        <f t="shared" si="204"/>
        <v>8.7635677206229339</v>
      </c>
    </row>
    <row r="1402" spans="1:57" s="1863" customFormat="1" x14ac:dyDescent="0.35">
      <c r="A1402" s="81"/>
      <c r="B1402" s="132"/>
      <c r="C1402" s="50" t="s">
        <v>2199</v>
      </c>
      <c r="D1402" s="2100" t="s">
        <v>2002</v>
      </c>
      <c r="E1402" s="2100" t="s">
        <v>2200</v>
      </c>
      <c r="F1402" s="202">
        <f>G1418*G$1416/G$1421</f>
        <v>1.1545454545454545</v>
      </c>
      <c r="G1402" s="88" t="s">
        <v>1558</v>
      </c>
      <c r="H1402" s="393">
        <f>VLOOKUP(G1402,'CP FACTORS'!$A$3:$B$38, 2, FALSE)</f>
        <v>4.6608050000000002E-4</v>
      </c>
      <c r="I1402" s="1278">
        <f t="shared" si="199"/>
        <v>5.3799999999999996E-4</v>
      </c>
      <c r="J1402" s="2101">
        <f t="shared" si="200"/>
        <v>20</v>
      </c>
      <c r="K1402" s="325">
        <f t="shared" si="201"/>
        <v>9.2850000000000001</v>
      </c>
      <c r="L1402" s="301" t="s">
        <v>2190</v>
      </c>
      <c r="M1402" s="132"/>
      <c r="N1402" s="1213"/>
      <c r="O1402" s="963"/>
      <c r="V1402" s="303" t="s">
        <v>30</v>
      </c>
      <c r="W1402" s="346"/>
      <c r="X1402" s="82"/>
      <c r="Y1402" s="82"/>
      <c r="Z1402" s="82"/>
      <c r="AA1402" s="1575"/>
      <c r="AB1402" s="346">
        <v>1.1545454545454545</v>
      </c>
      <c r="AC1402" s="202">
        <v>1.1545454545454545</v>
      </c>
      <c r="AD1402" s="202">
        <v>1.1545454545454545</v>
      </c>
      <c r="AE1402" s="1683"/>
      <c r="AF1402" s="1683"/>
      <c r="AG1402" s="1683"/>
      <c r="BB1402" s="40">
        <f t="shared" si="202"/>
        <v>0.15330063454251308</v>
      </c>
      <c r="BC1402" s="1580" t="str">
        <f t="shared" si="203"/>
        <v>Building Shell RES 20 Year EUL</v>
      </c>
      <c r="BD1402" s="98">
        <f>(INDEX('Avoided Cost Benefits'!$E$4:$E$859,MATCH(BC1402,'Avoided Cost Benefits'!$A$4:$A$859,0)))*F1402</f>
        <v>1.3434604924277807</v>
      </c>
      <c r="BE1402" s="1581">
        <f t="shared" si="204"/>
        <v>8.7635677206229339</v>
      </c>
    </row>
    <row r="1403" spans="1:57" s="1863" customFormat="1" x14ac:dyDescent="0.35">
      <c r="A1403" s="81"/>
      <c r="B1403" s="132"/>
      <c r="C1403" s="50" t="s">
        <v>2201</v>
      </c>
      <c r="D1403" s="2100" t="s">
        <v>2002</v>
      </c>
      <c r="E1403" s="2100" t="s">
        <v>2202</v>
      </c>
      <c r="F1403" s="202">
        <f>G1419*G$1416/G$1421+G1424*G$1416/(G$1426*G$1429)</f>
        <v>17.528658211659383</v>
      </c>
      <c r="G1403" s="88" t="s">
        <v>1558</v>
      </c>
      <c r="H1403" s="393">
        <f>VLOOKUP(G1403,'CP FACTORS'!$A$3:$B$38, 2, FALSE)</f>
        <v>4.6608050000000002E-4</v>
      </c>
      <c r="I1403" s="1278">
        <f t="shared" si="199"/>
        <v>8.1700000000000002E-3</v>
      </c>
      <c r="J1403" s="2101">
        <f t="shared" si="200"/>
        <v>20</v>
      </c>
      <c r="K1403" s="325">
        <f t="shared" si="201"/>
        <v>9.2850000000000001</v>
      </c>
      <c r="L1403" s="301" t="s">
        <v>2190</v>
      </c>
      <c r="M1403" s="132"/>
      <c r="N1403" s="1213"/>
      <c r="O1403" s="963"/>
      <c r="V1403" s="303" t="s">
        <v>30</v>
      </c>
      <c r="W1403" s="346"/>
      <c r="X1403" s="82"/>
      <c r="Y1403" s="82"/>
      <c r="Z1403" s="82"/>
      <c r="AA1403" s="1575"/>
      <c r="AB1403" s="346">
        <v>17.528658211659383</v>
      </c>
      <c r="AC1403" s="202">
        <v>17.528658211659383</v>
      </c>
      <c r="AD1403" s="202">
        <v>17.528658211659383</v>
      </c>
      <c r="AE1403" s="1683"/>
      <c r="AF1403" s="1683"/>
      <c r="AG1403" s="1683"/>
      <c r="BB1403" s="40">
        <f t="shared" si="202"/>
        <v>2.3274565899045965</v>
      </c>
      <c r="BC1403" s="1580" t="str">
        <f t="shared" si="203"/>
        <v>Building Shell RES 20 Year EUL</v>
      </c>
      <c r="BD1403" s="98">
        <f>(INDEX('Avoided Cost Benefits'!$E$4:$E$859,MATCH(BC1403,'Avoided Cost Benefits'!$A$4:$A$859,0)))*F1403</f>
        <v>20.39682344243905</v>
      </c>
      <c r="BE1403" s="1581">
        <f t="shared" si="204"/>
        <v>8.7635677206229339</v>
      </c>
    </row>
    <row r="1404" spans="1:57" s="1863" customFormat="1" x14ac:dyDescent="0.35">
      <c r="A1404" s="81"/>
      <c r="B1404" s="132"/>
      <c r="C1404" s="50" t="s">
        <v>2203</v>
      </c>
      <c r="D1404" s="2100" t="s">
        <v>2002</v>
      </c>
      <c r="E1404" s="2100" t="s">
        <v>2204</v>
      </c>
      <c r="F1404" s="202">
        <f>G1419*G$1416/G$1421+G1424*G$1416/(G$1427*G$1429)</f>
        <v>10.414451027702533</v>
      </c>
      <c r="G1404" s="88" t="s">
        <v>1558</v>
      </c>
      <c r="H1404" s="393">
        <f>VLOOKUP(G1404,'CP FACTORS'!$A$3:$B$38, 2, FALSE)</f>
        <v>4.6608050000000002E-4</v>
      </c>
      <c r="I1404" s="1278">
        <f t="shared" si="199"/>
        <v>4.8539999999999998E-3</v>
      </c>
      <c r="J1404" s="2101">
        <f t="shared" si="200"/>
        <v>20</v>
      </c>
      <c r="K1404" s="325">
        <f t="shared" si="201"/>
        <v>9.2850000000000001</v>
      </c>
      <c r="L1404" s="301" t="s">
        <v>2190</v>
      </c>
      <c r="M1404" s="132"/>
      <c r="N1404" s="1213"/>
      <c r="O1404" s="963"/>
      <c r="V1404" s="303" t="s">
        <v>30</v>
      </c>
      <c r="W1404" s="346"/>
      <c r="X1404" s="82"/>
      <c r="Y1404" s="82"/>
      <c r="Z1404" s="82"/>
      <c r="AA1404" s="1575"/>
      <c r="AB1404" s="346">
        <v>10.414451027702533</v>
      </c>
      <c r="AC1404" s="202">
        <v>10.414451027702533</v>
      </c>
      <c r="AD1404" s="202">
        <v>10.414451027702533</v>
      </c>
      <c r="AE1404" s="1683"/>
      <c r="AF1404" s="1683"/>
      <c r="AG1404" s="1683"/>
      <c r="BB1404" s="40">
        <f t="shared" si="202"/>
        <v>1.3828316110666126</v>
      </c>
      <c r="BC1404" s="1580" t="str">
        <f t="shared" si="203"/>
        <v>Building Shell RES 20 Year EUL</v>
      </c>
      <c r="BD1404" s="98">
        <f>(INDEX('Avoided Cost Benefits'!$E$4:$E$859,MATCH(BC1404,'Avoided Cost Benefits'!$A$4:$A$859,0)))*F1404</f>
        <v>12.118538469800374</v>
      </c>
      <c r="BE1404" s="1581">
        <f t="shared" si="204"/>
        <v>8.7635677206229339</v>
      </c>
    </row>
    <row r="1405" spans="1:57" s="1863" customFormat="1" x14ac:dyDescent="0.35">
      <c r="A1405" s="81"/>
      <c r="B1405" s="132"/>
      <c r="C1405" s="50" t="s">
        <v>2205</v>
      </c>
      <c r="D1405" s="2100" t="s">
        <v>2002</v>
      </c>
      <c r="E1405" s="2100" t="s">
        <v>2206</v>
      </c>
      <c r="F1405" s="202">
        <f>G1419*G$1416/G$1421</f>
        <v>2.3909090909090911</v>
      </c>
      <c r="G1405" s="88" t="s">
        <v>1558</v>
      </c>
      <c r="H1405" s="393">
        <f>VLOOKUP(G1405,'CP FACTORS'!$A$3:$B$38, 2, FALSE)</f>
        <v>4.6608050000000002E-4</v>
      </c>
      <c r="I1405" s="1278">
        <f t="shared" si="199"/>
        <v>1.114E-3</v>
      </c>
      <c r="J1405" s="2101">
        <f t="shared" si="200"/>
        <v>20</v>
      </c>
      <c r="K1405" s="325">
        <f t="shared" si="201"/>
        <v>9.2850000000000001</v>
      </c>
      <c r="L1405" s="301" t="s">
        <v>2190</v>
      </c>
      <c r="M1405" s="132"/>
      <c r="N1405" s="1213"/>
      <c r="O1405" s="963"/>
      <c r="V1405" s="303" t="s">
        <v>30</v>
      </c>
      <c r="W1405" s="346"/>
      <c r="X1405" s="82"/>
      <c r="Y1405" s="82"/>
      <c r="Z1405" s="82"/>
      <c r="AA1405" s="1575"/>
      <c r="AB1405" s="346">
        <v>2.3909090909090911</v>
      </c>
      <c r="AC1405" s="202">
        <v>2.3909090909090911</v>
      </c>
      <c r="AD1405" s="202">
        <v>2.3909090909090911</v>
      </c>
      <c r="AE1405" s="1683"/>
      <c r="AF1405" s="1683"/>
      <c r="AG1405" s="1683"/>
      <c r="BB1405" s="40">
        <f t="shared" si="202"/>
        <v>0.31746509358016489</v>
      </c>
      <c r="BC1405" s="1580" t="str">
        <f t="shared" si="203"/>
        <v>Building Shell RES 20 Year EUL</v>
      </c>
      <c r="BD1405" s="98">
        <f>(INDEX('Avoided Cost Benefits'!$E$4:$E$859,MATCH(BC1405,'Avoided Cost Benefits'!$A$4:$A$859,0)))*F1405</f>
        <v>2.7821268465236719</v>
      </c>
      <c r="BE1405" s="1581">
        <f t="shared" si="204"/>
        <v>8.7635677206229339</v>
      </c>
    </row>
    <row r="1406" spans="1:57" s="1863" customFormat="1" x14ac:dyDescent="0.35">
      <c r="A1406" s="81"/>
      <c r="B1406" s="132"/>
      <c r="C1406" s="50" t="s">
        <v>2207</v>
      </c>
      <c r="D1406" s="2100" t="s">
        <v>2002</v>
      </c>
      <c r="E1406" s="2100" t="s">
        <v>2208</v>
      </c>
      <c r="F1406" s="202">
        <f>G1420*G$1416/G$1421+G1425*G$1416/(G$1426*G$1429)</f>
        <v>5.5948603858041137</v>
      </c>
      <c r="G1406" s="88" t="s">
        <v>1558</v>
      </c>
      <c r="H1406" s="393">
        <f>VLOOKUP(G1406,'CP FACTORS'!$A$3:$B$38, 2, FALSE)</f>
        <v>4.6608050000000002E-4</v>
      </c>
      <c r="I1406" s="1278">
        <f t="shared" si="199"/>
        <v>2.6080000000000001E-3</v>
      </c>
      <c r="J1406" s="2101">
        <f t="shared" si="200"/>
        <v>20</v>
      </c>
      <c r="K1406" s="325">
        <f t="shared" si="201"/>
        <v>9.2850000000000001</v>
      </c>
      <c r="L1406" s="301" t="s">
        <v>2190</v>
      </c>
      <c r="M1406" s="132"/>
      <c r="N1406" s="1213"/>
      <c r="O1406" s="963"/>
      <c r="V1406" s="303" t="s">
        <v>30</v>
      </c>
      <c r="W1406" s="346"/>
      <c r="X1406" s="82"/>
      <c r="Y1406" s="82"/>
      <c r="Z1406" s="82"/>
      <c r="AA1406" s="1575"/>
      <c r="AB1406" s="346">
        <v>5.5948603858041137</v>
      </c>
      <c r="AC1406" s="202">
        <v>5.5948603858041137</v>
      </c>
      <c r="AD1406" s="202">
        <v>5.5948603858041137</v>
      </c>
      <c r="AE1406" s="1683"/>
      <c r="AF1406" s="1683"/>
      <c r="AG1406" s="1683"/>
      <c r="BB1406" s="40">
        <f t="shared" si="202"/>
        <v>0.7428859937422001</v>
      </c>
      <c r="BC1406" s="1580" t="str">
        <f t="shared" si="203"/>
        <v>Building Shell RES 20 Year EUL</v>
      </c>
      <c r="BD1406" s="98">
        <f>(INDEX('Avoided Cost Benefits'!$E$4:$E$859,MATCH(BC1406,'Avoided Cost Benefits'!$A$4:$A$859,0)))*F1406</f>
        <v>6.5103317148620352</v>
      </c>
      <c r="BE1406" s="1581">
        <f t="shared" si="204"/>
        <v>8.7635677206229339</v>
      </c>
    </row>
    <row r="1407" spans="1:57" s="1863" customFormat="1" x14ac:dyDescent="0.35">
      <c r="A1407" s="81"/>
      <c r="B1407" s="132"/>
      <c r="C1407" s="50" t="s">
        <v>2209</v>
      </c>
      <c r="D1407" s="2100" t="s">
        <v>2002</v>
      </c>
      <c r="E1407" s="2100" t="s">
        <v>2210</v>
      </c>
      <c r="F1407" s="202">
        <f>G1420*G$1416/G$1421+G1425*G$1416/(G$1427*G$1429)</f>
        <v>3.415144438347828</v>
      </c>
      <c r="G1407" s="88" t="s">
        <v>1558</v>
      </c>
      <c r="H1407" s="393">
        <f>VLOOKUP(G1407,'CP FACTORS'!$A$3:$B$38, 2, FALSE)</f>
        <v>4.6608050000000002E-4</v>
      </c>
      <c r="I1407" s="1278">
        <f t="shared" si="199"/>
        <v>1.5920000000000001E-3</v>
      </c>
      <c r="J1407" s="2101">
        <f t="shared" si="200"/>
        <v>20</v>
      </c>
      <c r="K1407" s="325">
        <f t="shared" si="201"/>
        <v>9.2850000000000001</v>
      </c>
      <c r="L1407" s="301" t="s">
        <v>2190</v>
      </c>
      <c r="M1407" s="132"/>
      <c r="N1407" s="1213"/>
      <c r="O1407" s="963"/>
      <c r="V1407" s="303" t="s">
        <v>30</v>
      </c>
      <c r="W1407" s="346"/>
      <c r="X1407" s="82"/>
      <c r="Y1407" s="82"/>
      <c r="Z1407" s="82"/>
      <c r="AA1407" s="1575"/>
      <c r="AB1407" s="346">
        <v>3.415144438347828</v>
      </c>
      <c r="AC1407" s="202">
        <v>3.415144438347828</v>
      </c>
      <c r="AD1407" s="202">
        <v>3.415144438347828</v>
      </c>
      <c r="AE1407" s="1683"/>
      <c r="AF1407" s="1683"/>
      <c r="AG1407" s="1683"/>
      <c r="BB1407" s="40">
        <f t="shared" si="202"/>
        <v>0.45346314204595439</v>
      </c>
      <c r="BC1407" s="1580" t="str">
        <f t="shared" si="203"/>
        <v>Building Shell RES 20 Year EUL</v>
      </c>
      <c r="BD1407" s="98">
        <f>(INDEX('Avoided Cost Benefits'!$E$4:$E$859,MATCH(BC1407,'Avoided Cost Benefits'!$A$4:$A$859,0)))*F1407</f>
        <v>3.9739549541261781</v>
      </c>
      <c r="BE1407" s="1581">
        <f t="shared" si="204"/>
        <v>8.7635677206229339</v>
      </c>
    </row>
    <row r="1408" spans="1:57" s="1863" customFormat="1" x14ac:dyDescent="0.35">
      <c r="A1408" s="81"/>
      <c r="B1408" s="132"/>
      <c r="C1408" s="50" t="s">
        <v>2211</v>
      </c>
      <c r="D1408" s="2100" t="s">
        <v>2002</v>
      </c>
      <c r="E1408" s="2100" t="s">
        <v>2212</v>
      </c>
      <c r="F1408" s="202">
        <f>G1420*G$1416/G$1421</f>
        <v>0.9568181818181819</v>
      </c>
      <c r="G1408" s="88" t="s">
        <v>1558</v>
      </c>
      <c r="H1408" s="393">
        <f>VLOOKUP(G1408,'CP FACTORS'!$A$3:$B$38, 2, FALSE)</f>
        <v>4.6608050000000002E-4</v>
      </c>
      <c r="I1408" s="1278">
        <f t="shared" si="199"/>
        <v>4.46E-4</v>
      </c>
      <c r="J1408" s="2101">
        <f t="shared" si="200"/>
        <v>20</v>
      </c>
      <c r="K1408" s="325">
        <f t="shared" si="201"/>
        <v>9.2850000000000001</v>
      </c>
      <c r="L1408" s="301" t="s">
        <v>2190</v>
      </c>
      <c r="M1408" s="132"/>
      <c r="N1408" s="1213"/>
      <c r="O1408" s="963"/>
      <c r="V1408" s="303" t="s">
        <v>30</v>
      </c>
      <c r="W1408" s="346"/>
      <c r="X1408" s="82"/>
      <c r="Y1408" s="82"/>
      <c r="Z1408" s="82"/>
      <c r="AA1408" s="1575"/>
      <c r="AB1408" s="346">
        <v>0.9568181818181819</v>
      </c>
      <c r="AC1408" s="202">
        <v>0.9568181818181819</v>
      </c>
      <c r="AD1408" s="202">
        <v>0.9568181818181819</v>
      </c>
      <c r="AE1408" s="1683"/>
      <c r="AF1408" s="1683"/>
      <c r="AG1408" s="1683"/>
      <c r="BB1408" s="41">
        <f t="shared" ref="BB1408" si="205">(BD1408)/(BE1408)</f>
        <v>0.12704639201259449</v>
      </c>
      <c r="BC1408" s="1580" t="str">
        <f t="shared" si="203"/>
        <v>Building Shell RES 20 Year EUL</v>
      </c>
      <c r="BD1408" s="102">
        <f>(INDEX('Avoided Cost Benefits'!$E$4:$E$859,MATCH(BC1408,'Avoided Cost Benefits'!$A$4:$A$859,0)))*F1408</f>
        <v>1.1133796600631805</v>
      </c>
      <c r="BE1408" s="1582">
        <f t="shared" ref="BE1408" si="206">K1408/(1.0595^(2020-2019))</f>
        <v>8.7635677206229339</v>
      </c>
    </row>
    <row r="1409" spans="2:54" s="1863" customFormat="1" hidden="1" outlineLevel="1" x14ac:dyDescent="0.35">
      <c r="B1409" s="199"/>
      <c r="C1409" s="197"/>
      <c r="D1409" s="217"/>
      <c r="E1409" s="217"/>
      <c r="F1409" s="199"/>
      <c r="G1409" s="199"/>
      <c r="H1409" s="199"/>
      <c r="I1409" s="199"/>
      <c r="J1409" s="199"/>
      <c r="K1409" s="199"/>
      <c r="L1409" s="199"/>
      <c r="M1409" s="199"/>
      <c r="N1409" s="199"/>
      <c r="O1409" s="199"/>
      <c r="V1409" s="199"/>
      <c r="BB1409" s="1900"/>
    </row>
    <row r="1410" spans="2:54" s="1863" customFormat="1" hidden="1" outlineLevel="1" x14ac:dyDescent="0.35">
      <c r="B1410" s="199"/>
      <c r="C1410" s="197"/>
      <c r="D1410" s="152" t="s">
        <v>107</v>
      </c>
      <c r="E1410" s="217"/>
      <c r="F1410" s="199"/>
      <c r="G1410" s="199"/>
      <c r="H1410" s="199"/>
      <c r="I1410" s="199"/>
      <c r="J1410" s="199"/>
      <c r="K1410" s="199"/>
      <c r="L1410" s="199"/>
      <c r="M1410" s="199"/>
      <c r="N1410" s="199"/>
      <c r="O1410" s="199"/>
      <c r="V1410" s="199"/>
      <c r="Y1410" s="1899"/>
      <c r="BB1410" s="1900"/>
    </row>
    <row r="1411" spans="2:54" s="1863" customFormat="1" hidden="1" outlineLevel="1" x14ac:dyDescent="0.35">
      <c r="B1411" s="199"/>
      <c r="C1411" s="197"/>
      <c r="D1411" s="217"/>
      <c r="E1411" s="217"/>
      <c r="F1411" s="199"/>
      <c r="G1411" s="199"/>
      <c r="H1411" s="199"/>
      <c r="I1411" s="199"/>
      <c r="J1411" s="199"/>
      <c r="K1411" s="199"/>
      <c r="L1411" s="199"/>
      <c r="M1411" s="199"/>
      <c r="N1411" s="199"/>
      <c r="O1411" s="199"/>
      <c r="V1411" s="199"/>
      <c r="Y1411" s="1899"/>
      <c r="BB1411" s="1900"/>
    </row>
    <row r="1412" spans="2:54" s="1863" customFormat="1" hidden="1" outlineLevel="1" x14ac:dyDescent="0.35">
      <c r="B1412" s="199"/>
      <c r="C1412" s="197"/>
      <c r="D1412" s="217"/>
      <c r="E1412" s="217"/>
      <c r="F1412" s="199"/>
      <c r="G1412" s="199"/>
      <c r="H1412" s="199"/>
      <c r="I1412" s="199"/>
      <c r="J1412" s="199"/>
      <c r="K1412" s="199"/>
      <c r="L1412" s="199"/>
      <c r="M1412" s="199"/>
      <c r="N1412" s="199"/>
      <c r="O1412" s="199"/>
      <c r="V1412" s="199"/>
      <c r="Y1412" s="1899"/>
      <c r="BB1412" s="1900"/>
    </row>
    <row r="1413" spans="2:54" s="1863" customFormat="1" hidden="1" outlineLevel="1" x14ac:dyDescent="0.35">
      <c r="B1413" s="199"/>
      <c r="C1413" s="197"/>
      <c r="D1413" s="217"/>
      <c r="E1413" s="217"/>
      <c r="F1413" s="199"/>
      <c r="G1413" s="199"/>
      <c r="H1413" s="199"/>
      <c r="I1413" s="199"/>
      <c r="J1413" s="199"/>
      <c r="K1413" s="199"/>
      <c r="L1413" s="199"/>
      <c r="M1413" s="199"/>
      <c r="N1413" s="199"/>
      <c r="O1413" s="199"/>
      <c r="V1413" s="199"/>
      <c r="Y1413" s="1899"/>
      <c r="BB1413" s="1900"/>
    </row>
    <row r="1414" spans="2:54" s="1863" customFormat="1" hidden="1" outlineLevel="1" x14ac:dyDescent="0.35">
      <c r="B1414" s="199"/>
      <c r="C1414" s="197"/>
      <c r="D1414" s="217"/>
      <c r="E1414" s="217"/>
      <c r="F1414" s="199"/>
      <c r="G1414" s="199"/>
      <c r="H1414" s="199"/>
      <c r="I1414" s="199"/>
      <c r="J1414" s="199"/>
      <c r="K1414" s="199"/>
      <c r="L1414" s="199"/>
      <c r="M1414" s="199"/>
      <c r="N1414" s="199"/>
      <c r="O1414" s="199"/>
      <c r="V1414" s="199"/>
      <c r="Y1414" s="1899"/>
      <c r="BB1414" s="1900"/>
    </row>
    <row r="1415" spans="2:54" s="1863" customFormat="1" hidden="1" outlineLevel="1" x14ac:dyDescent="0.35">
      <c r="B1415" s="199"/>
      <c r="C1415" s="197"/>
      <c r="D1415" s="2423" t="s">
        <v>108</v>
      </c>
      <c r="E1415" s="2423" t="s">
        <v>109</v>
      </c>
      <c r="F1415" s="2331" t="s">
        <v>185</v>
      </c>
      <c r="G1415" s="2331" t="s">
        <v>111</v>
      </c>
      <c r="H1415" s="4027" t="s">
        <v>186</v>
      </c>
      <c r="I1415" s="4236"/>
      <c r="J1415" s="3741" t="s">
        <v>112</v>
      </c>
      <c r="K1415" s="3741"/>
      <c r="L1415" s="3741"/>
      <c r="M1415" s="199"/>
      <c r="N1415" s="199"/>
      <c r="O1415" s="199"/>
      <c r="V1415" s="480" t="s">
        <v>44</v>
      </c>
      <c r="W1415" s="481">
        <v>43252</v>
      </c>
      <c r="X1415" s="481">
        <f>$X$6</f>
        <v>43465</v>
      </c>
      <c r="Y1415" s="1944">
        <f>$Y$6</f>
        <v>43800</v>
      </c>
      <c r="Z1415" s="481">
        <f>$Z$6</f>
        <v>43862</v>
      </c>
      <c r="AA1415" s="481">
        <f>$AA$6</f>
        <v>44013</v>
      </c>
      <c r="AB1415" s="481">
        <f>$AB$6</f>
        <v>44166</v>
      </c>
      <c r="AC1415" s="481">
        <f>$AC$6</f>
        <v>44531</v>
      </c>
      <c r="AD1415" s="481">
        <f>$AD$6</f>
        <v>44774</v>
      </c>
      <c r="AE1415" s="481" t="str">
        <f>$AE$6</f>
        <v>-</v>
      </c>
      <c r="AF1415" s="481" t="str">
        <f>$AF$6</f>
        <v>-</v>
      </c>
      <c r="AG1415" s="481" t="str">
        <f>$AG$6</f>
        <v>-</v>
      </c>
      <c r="BB1415" s="1900"/>
    </row>
    <row r="1416" spans="2:54" s="1863" customFormat="1" ht="15" hidden="1" customHeight="1" outlineLevel="1" x14ac:dyDescent="0.35">
      <c r="B1416" s="199"/>
      <c r="C1416" s="197"/>
      <c r="D1416" s="2403" t="s">
        <v>2213</v>
      </c>
      <c r="E1416" s="2412" t="s">
        <v>2214</v>
      </c>
      <c r="F1416" s="2412"/>
      <c r="G1416" s="2102">
        <v>1</v>
      </c>
      <c r="H1416" s="4446"/>
      <c r="I1416" s="4446"/>
      <c r="J1416" s="4325" t="s">
        <v>2215</v>
      </c>
      <c r="K1416" s="4313"/>
      <c r="L1416" s="4313"/>
      <c r="M1416" s="199"/>
      <c r="N1416" s="199"/>
      <c r="O1416" s="199"/>
      <c r="V1416" s="2403" t="s">
        <v>2213</v>
      </c>
      <c r="W1416" s="346"/>
      <c r="X1416" s="213"/>
      <c r="Y1416" s="213"/>
      <c r="Z1416" s="213"/>
      <c r="AA1416" s="1683"/>
      <c r="AB1416" s="1901">
        <v>1</v>
      </c>
      <c r="AC1416" s="2102">
        <v>1</v>
      </c>
      <c r="AD1416" s="2102">
        <v>1</v>
      </c>
      <c r="AE1416" s="1683"/>
      <c r="AF1416" s="1683"/>
      <c r="AG1416" s="1683"/>
      <c r="BB1416" s="1900"/>
    </row>
    <row r="1417" spans="2:54" s="1863" customFormat="1" ht="15" hidden="1" customHeight="1" outlineLevel="1" x14ac:dyDescent="0.35">
      <c r="B1417" s="199"/>
      <c r="C1417" s="197"/>
      <c r="D1417" s="4447" t="s">
        <v>2216</v>
      </c>
      <c r="E1417" s="3763" t="s">
        <v>2217</v>
      </c>
      <c r="F1417" s="2412" t="s">
        <v>2218</v>
      </c>
      <c r="G1417" s="1366">
        <f>AVERAGE(23,23.9, 29.5, 28.8)</f>
        <v>26.3</v>
      </c>
      <c r="H1417" s="4448" t="s">
        <v>2219</v>
      </c>
      <c r="I1417" s="4449"/>
      <c r="J1417" s="4325" t="s">
        <v>2220</v>
      </c>
      <c r="K1417" s="4313"/>
      <c r="L1417" s="4313"/>
      <c r="M1417" s="199"/>
      <c r="N1417" s="199"/>
      <c r="O1417" s="199"/>
      <c r="V1417" s="4447" t="s">
        <v>2216</v>
      </c>
      <c r="W1417" s="346"/>
      <c r="X1417" s="82"/>
      <c r="Y1417" s="82"/>
      <c r="Z1417" s="82"/>
      <c r="AA1417" s="1683"/>
      <c r="AB1417" s="1902">
        <v>26.3</v>
      </c>
      <c r="AC1417" s="1366">
        <v>26.3</v>
      </c>
      <c r="AD1417" s="1366">
        <v>26.3</v>
      </c>
      <c r="AE1417" s="1683"/>
      <c r="AF1417" s="1683"/>
      <c r="AG1417" s="1683"/>
      <c r="BB1417" s="1900"/>
    </row>
    <row r="1418" spans="2:54" s="1863" customFormat="1" ht="15" hidden="1" customHeight="1" outlineLevel="1" x14ac:dyDescent="0.35">
      <c r="B1418" s="199"/>
      <c r="C1418" s="197"/>
      <c r="D1418" s="4447"/>
      <c r="E1418" s="3763"/>
      <c r="F1418" s="2412" t="s">
        <v>2221</v>
      </c>
      <c r="G1418" s="1366">
        <f>AVERAGE(10.5,10.7,15.4,14.2)</f>
        <v>12.7</v>
      </c>
      <c r="H1418" s="4448" t="s">
        <v>2219</v>
      </c>
      <c r="I1418" s="4449"/>
      <c r="J1418" s="4325" t="s">
        <v>2220</v>
      </c>
      <c r="K1418" s="4313"/>
      <c r="L1418" s="4313"/>
      <c r="M1418" s="199"/>
      <c r="N1418" s="199"/>
      <c r="O1418" s="199"/>
      <c r="V1418" s="4447"/>
      <c r="W1418" s="346"/>
      <c r="X1418" s="213"/>
      <c r="Y1418" s="213"/>
      <c r="Z1418" s="213"/>
      <c r="AA1418" s="1683"/>
      <c r="AB1418" s="1902">
        <v>12.7</v>
      </c>
      <c r="AC1418" s="1366">
        <v>12.7</v>
      </c>
      <c r="AD1418" s="1366">
        <v>12.7</v>
      </c>
      <c r="AE1418" s="1683"/>
      <c r="AF1418" s="1683"/>
      <c r="AG1418" s="1683"/>
      <c r="BB1418" s="1900"/>
    </row>
    <row r="1419" spans="2:54" s="1863" customFormat="1" ht="15" hidden="1" customHeight="1" outlineLevel="1" x14ac:dyDescent="0.35">
      <c r="B1419" s="199"/>
      <c r="C1419" s="197"/>
      <c r="D1419" s="4447"/>
      <c r="E1419" s="3763"/>
      <c r="F1419" s="2412" t="s">
        <v>2222</v>
      </c>
      <c r="G1419" s="1366">
        <f>AVERAGE(22.5, 24.4, 29.3, 29)</f>
        <v>26.3</v>
      </c>
      <c r="H1419" s="4448" t="s">
        <v>2219</v>
      </c>
      <c r="I1419" s="4449"/>
      <c r="J1419" s="4325" t="s">
        <v>2220</v>
      </c>
      <c r="K1419" s="4313"/>
      <c r="L1419" s="4313"/>
      <c r="M1419" s="199"/>
      <c r="N1419" s="199"/>
      <c r="O1419" s="199"/>
      <c r="V1419" s="4447"/>
      <c r="W1419" s="346"/>
      <c r="X1419" s="82"/>
      <c r="Y1419" s="82"/>
      <c r="Z1419" s="82"/>
      <c r="AA1419" s="1683"/>
      <c r="AB1419" s="1902">
        <v>26.3</v>
      </c>
      <c r="AC1419" s="1366">
        <v>26.3</v>
      </c>
      <c r="AD1419" s="1366">
        <v>26.3</v>
      </c>
      <c r="AE1419" s="1683"/>
      <c r="AF1419" s="1683"/>
      <c r="AG1419" s="1683"/>
      <c r="BB1419" s="1900"/>
    </row>
    <row r="1420" spans="2:54" s="1863" customFormat="1" ht="15" hidden="1" customHeight="1" outlineLevel="1" x14ac:dyDescent="0.35">
      <c r="B1420" s="199"/>
      <c r="C1420" s="197"/>
      <c r="D1420" s="4447"/>
      <c r="E1420" s="3763"/>
      <c r="F1420" s="2412" t="s">
        <v>2223</v>
      </c>
      <c r="G1420" s="1366">
        <f>AVERAGE(9.6, 9.8, 9.3, 13.4)</f>
        <v>10.525</v>
      </c>
      <c r="H1420" s="4448" t="s">
        <v>2219</v>
      </c>
      <c r="I1420" s="4449"/>
      <c r="J1420" s="4325" t="s">
        <v>2220</v>
      </c>
      <c r="K1420" s="4313"/>
      <c r="L1420" s="4313"/>
      <c r="M1420" s="199"/>
      <c r="N1420" s="199"/>
      <c r="O1420" s="199"/>
      <c r="V1420" s="4447"/>
      <c r="W1420" s="346"/>
      <c r="X1420" s="82"/>
      <c r="Y1420" s="82"/>
      <c r="Z1420" s="82"/>
      <c r="AA1420" s="1683"/>
      <c r="AB1420" s="1902">
        <v>10.525</v>
      </c>
      <c r="AC1420" s="1366">
        <v>10.525</v>
      </c>
      <c r="AD1420" s="1366">
        <v>10.525</v>
      </c>
      <c r="AE1420" s="1683"/>
      <c r="AF1420" s="1683"/>
      <c r="AG1420" s="1683"/>
      <c r="BB1420" s="1900"/>
    </row>
    <row r="1421" spans="2:54" s="1863" customFormat="1" ht="30.75" hidden="1" customHeight="1" outlineLevel="1" x14ac:dyDescent="0.35">
      <c r="B1421" s="199"/>
      <c r="C1421" s="197"/>
      <c r="D1421" s="1367" t="s">
        <v>2224</v>
      </c>
      <c r="E1421" s="2340" t="s">
        <v>2225</v>
      </c>
      <c r="F1421" s="2340"/>
      <c r="G1421" s="1366">
        <v>11</v>
      </c>
      <c r="H1421" s="4446" t="s">
        <v>2226</v>
      </c>
      <c r="I1421" s="4446"/>
      <c r="J1421" s="4325"/>
      <c r="K1421" s="4313"/>
      <c r="L1421" s="4313"/>
      <c r="M1421" s="199"/>
      <c r="N1421" s="199"/>
      <c r="O1421" s="199"/>
      <c r="V1421" s="1367" t="s">
        <v>2224</v>
      </c>
      <c r="W1421" s="346"/>
      <c r="X1421" s="82"/>
      <c r="Y1421" s="82"/>
      <c r="Z1421" s="82"/>
      <c r="AA1421" s="1683"/>
      <c r="AB1421" s="1902">
        <v>11</v>
      </c>
      <c r="AC1421" s="1366">
        <v>11</v>
      </c>
      <c r="AD1421" s="1366">
        <v>11</v>
      </c>
      <c r="AE1421" s="1683"/>
      <c r="AF1421" s="1683"/>
      <c r="AG1421" s="1683"/>
      <c r="BB1421" s="1900"/>
    </row>
    <row r="1422" spans="2:54" s="1863" customFormat="1" ht="15" hidden="1" customHeight="1" outlineLevel="1" x14ac:dyDescent="0.35">
      <c r="B1422" s="199"/>
      <c r="C1422" s="197"/>
      <c r="D1422" s="4447" t="s">
        <v>2227</v>
      </c>
      <c r="E1422" s="3763" t="s">
        <v>2228</v>
      </c>
      <c r="F1422" s="2412" t="s">
        <v>2218</v>
      </c>
      <c r="G1422" s="2361">
        <f>AVERAGE(47.7, 49.8,51.5, 57.7)</f>
        <v>51.674999999999997</v>
      </c>
      <c r="H1422" s="4461" t="s">
        <v>2219</v>
      </c>
      <c r="I1422" s="4461"/>
      <c r="J1422" s="4325" t="s">
        <v>2220</v>
      </c>
      <c r="K1422" s="4313"/>
      <c r="L1422" s="4313"/>
      <c r="M1422" s="199"/>
      <c r="N1422" s="199"/>
      <c r="O1422" s="199"/>
      <c r="V1422" s="4447" t="s">
        <v>2227</v>
      </c>
      <c r="W1422" s="346"/>
      <c r="X1422" s="82"/>
      <c r="Y1422" s="82"/>
      <c r="Z1422" s="82"/>
      <c r="AA1422" s="1683"/>
      <c r="AB1422" s="1903">
        <v>51.674999999999997</v>
      </c>
      <c r="AC1422" s="2361">
        <v>51.674999999999997</v>
      </c>
      <c r="AD1422" s="2964">
        <v>51.674999999999997</v>
      </c>
      <c r="AE1422" s="1683"/>
      <c r="AF1422" s="1683"/>
      <c r="AG1422" s="1683"/>
      <c r="BB1422" s="1900"/>
    </row>
    <row r="1423" spans="2:54" s="1863" customFormat="1" ht="15" hidden="1" customHeight="1" outlineLevel="1" x14ac:dyDescent="0.35">
      <c r="B1423" s="199"/>
      <c r="C1423" s="197"/>
      <c r="D1423" s="4447"/>
      <c r="E1423" s="3763"/>
      <c r="F1423" s="2412" t="s">
        <v>2221</v>
      </c>
      <c r="G1423" s="1366">
        <f>AVERAGE(13.3, 17.9,13.3,20.3)</f>
        <v>16.2</v>
      </c>
      <c r="H1423" s="4446" t="s">
        <v>2219</v>
      </c>
      <c r="I1423" s="4446"/>
      <c r="J1423" s="4325" t="s">
        <v>2220</v>
      </c>
      <c r="K1423" s="4313"/>
      <c r="L1423" s="4313"/>
      <c r="M1423" s="199"/>
      <c r="N1423" s="199"/>
      <c r="O1423" s="199"/>
      <c r="V1423" s="4447"/>
      <c r="W1423" s="346"/>
      <c r="X1423" s="82"/>
      <c r="Y1423" s="82"/>
      <c r="Z1423" s="82"/>
      <c r="AA1423" s="1683"/>
      <c r="AB1423" s="1902">
        <v>16.2</v>
      </c>
      <c r="AC1423" s="1366">
        <v>16.2</v>
      </c>
      <c r="AD1423" s="1366">
        <v>16.2</v>
      </c>
      <c r="AE1423" s="1683"/>
      <c r="AF1423" s="1683"/>
      <c r="AG1423" s="1683"/>
      <c r="BB1423" s="1900"/>
    </row>
    <row r="1424" spans="2:54" s="1863" customFormat="1" ht="15" hidden="1" customHeight="1" outlineLevel="1" x14ac:dyDescent="0.35">
      <c r="B1424" s="199"/>
      <c r="C1424" s="197"/>
      <c r="D1424" s="4447"/>
      <c r="E1424" s="3763"/>
      <c r="F1424" s="2412" t="s">
        <v>2222</v>
      </c>
      <c r="G1424" s="1366">
        <f>AVERAGE(48.5,49,53.2,55.9)</f>
        <v>51.65</v>
      </c>
      <c r="H1424" s="4446" t="s">
        <v>2219</v>
      </c>
      <c r="I1424" s="4446"/>
      <c r="J1424" s="4325" t="s">
        <v>2220</v>
      </c>
      <c r="K1424" s="4313"/>
      <c r="L1424" s="4313"/>
      <c r="M1424" s="199"/>
      <c r="N1424" s="199"/>
      <c r="O1424" s="199"/>
      <c r="V1424" s="4447"/>
      <c r="W1424" s="346"/>
      <c r="X1424" s="82"/>
      <c r="Y1424" s="82"/>
      <c r="Z1424" s="82"/>
      <c r="AA1424" s="1683"/>
      <c r="AB1424" s="1902">
        <v>51.65</v>
      </c>
      <c r="AC1424" s="1366">
        <v>51.65</v>
      </c>
      <c r="AD1424" s="1366">
        <v>51.65</v>
      </c>
      <c r="AE1424" s="1683"/>
      <c r="AF1424" s="1683"/>
      <c r="AG1424" s="1683"/>
      <c r="BB1424" s="1900"/>
    </row>
    <row r="1425" spans="1:57" s="1863" customFormat="1" ht="15" hidden="1" customHeight="1" outlineLevel="1" x14ac:dyDescent="0.35">
      <c r="B1425" s="199"/>
      <c r="C1425" s="197"/>
      <c r="D1425" s="4447"/>
      <c r="E1425" s="3763"/>
      <c r="F1425" s="2412" t="s">
        <v>2223</v>
      </c>
      <c r="G1425" s="1366">
        <f>AVERAGE(12.3,14.2,19.3,17.5)</f>
        <v>15.824999999999999</v>
      </c>
      <c r="H1425" s="4446" t="s">
        <v>2219</v>
      </c>
      <c r="I1425" s="4446"/>
      <c r="J1425" s="4325" t="s">
        <v>2220</v>
      </c>
      <c r="K1425" s="4313"/>
      <c r="L1425" s="4313"/>
      <c r="M1425" s="199"/>
      <c r="N1425" s="199"/>
      <c r="O1425" s="199"/>
      <c r="V1425" s="4447"/>
      <c r="W1425" s="346"/>
      <c r="X1425" s="82"/>
      <c r="Y1425" s="82"/>
      <c r="Z1425" s="82"/>
      <c r="AA1425" s="1683"/>
      <c r="AB1425" s="1902">
        <v>15.824999999999999</v>
      </c>
      <c r="AC1425" s="1366">
        <v>15.824999999999999</v>
      </c>
      <c r="AD1425" s="1366">
        <v>15.824999999999999</v>
      </c>
      <c r="AE1425" s="1683"/>
      <c r="AF1425" s="1683"/>
      <c r="AG1425" s="1683"/>
      <c r="BB1425" s="1900"/>
    </row>
    <row r="1426" spans="1:57" s="1863" customFormat="1" ht="15" hidden="1" customHeight="1" outlineLevel="1" x14ac:dyDescent="0.35">
      <c r="B1426" s="199"/>
      <c r="C1426" s="197"/>
      <c r="D1426" s="4447" t="s">
        <v>2229</v>
      </c>
      <c r="E1426" s="3763" t="s">
        <v>2230</v>
      </c>
      <c r="F1426" s="2412" t="s">
        <v>2231</v>
      </c>
      <c r="G1426" s="2103">
        <v>1</v>
      </c>
      <c r="H1426" s="4446" t="s">
        <v>2232</v>
      </c>
      <c r="I1426" s="4446"/>
      <c r="J1426" s="4325"/>
      <c r="K1426" s="4313"/>
      <c r="L1426" s="4313"/>
      <c r="M1426" s="199"/>
      <c r="N1426" s="199"/>
      <c r="O1426" s="199"/>
      <c r="V1426" s="4447" t="s">
        <v>2229</v>
      </c>
      <c r="W1426" s="346"/>
      <c r="X1426" s="82"/>
      <c r="Y1426" s="82"/>
      <c r="Z1426" s="82"/>
      <c r="AA1426" s="1683"/>
      <c r="AB1426" s="1904">
        <v>1</v>
      </c>
      <c r="AC1426" s="2103">
        <v>1</v>
      </c>
      <c r="AD1426" s="2103">
        <v>1</v>
      </c>
      <c r="AE1426" s="1683"/>
      <c r="AF1426" s="1683"/>
      <c r="AG1426" s="1683"/>
      <c r="BB1426" s="1900"/>
    </row>
    <row r="1427" spans="1:57" s="1863" customFormat="1" ht="30.75" hidden="1" customHeight="1" outlineLevel="1" x14ac:dyDescent="0.35">
      <c r="B1427" s="199"/>
      <c r="C1427" s="197"/>
      <c r="D1427" s="4447"/>
      <c r="E1427" s="3763"/>
      <c r="F1427" s="2340" t="s">
        <v>2233</v>
      </c>
      <c r="G1427" s="824">
        <f>AVERAGE(1.7,1.92,2.04)</f>
        <v>1.8866666666666667</v>
      </c>
      <c r="H1427" s="4456" t="s">
        <v>2234</v>
      </c>
      <c r="I1427" s="4457"/>
      <c r="J1427" s="4325"/>
      <c r="K1427" s="4313"/>
      <c r="L1427" s="4313"/>
      <c r="M1427" s="199"/>
      <c r="N1427" s="199"/>
      <c r="O1427" s="199"/>
      <c r="V1427" s="4447"/>
      <c r="W1427" s="346"/>
      <c r="X1427" s="82"/>
      <c r="Y1427" s="82"/>
      <c r="Z1427" s="82"/>
      <c r="AA1427" s="1683"/>
      <c r="AB1427" s="1905">
        <v>1.8866666666666667</v>
      </c>
      <c r="AC1427" s="824">
        <v>1.8866666666666667</v>
      </c>
      <c r="AD1427" s="824">
        <v>1.8866666666666667</v>
      </c>
      <c r="AE1427" s="1683"/>
      <c r="AF1427" s="1683"/>
      <c r="AG1427" s="1683"/>
      <c r="BB1427" s="1900"/>
    </row>
    <row r="1428" spans="1:57" s="1863" customFormat="1" ht="15" hidden="1" customHeight="1" outlineLevel="1" x14ac:dyDescent="0.35">
      <c r="B1428" s="199"/>
      <c r="C1428" s="197"/>
      <c r="D1428" s="4447"/>
      <c r="E1428" s="3763"/>
      <c r="F1428" s="2340" t="s">
        <v>2235</v>
      </c>
      <c r="G1428" s="2103">
        <v>0</v>
      </c>
      <c r="H1428" s="4446"/>
      <c r="I1428" s="4446"/>
      <c r="J1428" s="4325" t="s">
        <v>2236</v>
      </c>
      <c r="K1428" s="4313"/>
      <c r="L1428" s="4313"/>
      <c r="M1428" s="199"/>
      <c r="N1428" s="199"/>
      <c r="O1428" s="199"/>
      <c r="V1428" s="4447"/>
      <c r="W1428" s="346"/>
      <c r="X1428" s="82"/>
      <c r="Y1428" s="82"/>
      <c r="Z1428" s="82"/>
      <c r="AA1428" s="1683"/>
      <c r="AB1428" s="1904">
        <v>0</v>
      </c>
      <c r="AC1428" s="2103">
        <v>0</v>
      </c>
      <c r="AD1428" s="2103">
        <v>0</v>
      </c>
      <c r="AE1428" s="1683"/>
      <c r="AF1428" s="1683"/>
      <c r="AG1428" s="1683"/>
      <c r="BB1428" s="1900"/>
    </row>
    <row r="1429" spans="1:57" s="1863" customFormat="1" ht="15" hidden="1" customHeight="1" outlineLevel="1" x14ac:dyDescent="0.35">
      <c r="B1429" s="199"/>
      <c r="C1429" s="197"/>
      <c r="D1429" s="1367">
        <v>3.4119999999999999</v>
      </c>
      <c r="E1429" s="2340" t="s">
        <v>2237</v>
      </c>
      <c r="F1429" s="2340"/>
      <c r="G1429" s="2104">
        <v>3.4119999999999999</v>
      </c>
      <c r="H1429" s="4446"/>
      <c r="I1429" s="4446"/>
      <c r="J1429" s="4325"/>
      <c r="K1429" s="4313"/>
      <c r="L1429" s="4313"/>
      <c r="M1429" s="199"/>
      <c r="N1429" s="199"/>
      <c r="O1429" s="199"/>
      <c r="V1429" s="1367">
        <v>3.4119999999999999</v>
      </c>
      <c r="W1429" s="1908"/>
      <c r="X1429" s="1908"/>
      <c r="Y1429" s="1857"/>
      <c r="Z1429" s="1908"/>
      <c r="AA1429" s="1908"/>
      <c r="AB1429" s="1906">
        <v>3.4119999999999999</v>
      </c>
      <c r="AC1429" s="2104">
        <v>3.4119999999999999</v>
      </c>
      <c r="AD1429" s="2104">
        <v>3.4119999999999999</v>
      </c>
      <c r="AE1429" s="1908"/>
      <c r="AF1429" s="1908"/>
      <c r="AG1429" s="1908"/>
      <c r="BB1429" s="1900"/>
    </row>
    <row r="1430" spans="1:57" s="1863" customFormat="1" ht="15" hidden="1" customHeight="1" outlineLevel="1" x14ac:dyDescent="0.35">
      <c r="B1430" s="199"/>
      <c r="C1430" s="197"/>
      <c r="D1430" s="1367" t="s">
        <v>180</v>
      </c>
      <c r="E1430" s="2340" t="s">
        <v>166</v>
      </c>
      <c r="F1430" s="2340"/>
      <c r="G1430" s="2103">
        <v>20</v>
      </c>
      <c r="H1430" s="4446" t="s">
        <v>2238</v>
      </c>
      <c r="I1430" s="4446"/>
      <c r="J1430" s="4325"/>
      <c r="K1430" s="4313"/>
      <c r="L1430" s="4313"/>
      <c r="M1430" s="199"/>
      <c r="N1430" s="199"/>
      <c r="O1430" s="199"/>
      <c r="V1430" s="1367" t="s">
        <v>180</v>
      </c>
      <c r="W1430" s="1908"/>
      <c r="X1430" s="1908"/>
      <c r="Y1430" s="1857"/>
      <c r="Z1430" s="1908"/>
      <c r="AA1430" s="1908"/>
      <c r="AB1430" s="1904">
        <v>20</v>
      </c>
      <c r="AC1430" s="2103">
        <v>20</v>
      </c>
      <c r="AD1430" s="2103">
        <v>20</v>
      </c>
      <c r="AE1430" s="1908"/>
      <c r="AF1430" s="1908"/>
      <c r="AG1430" s="1908"/>
      <c r="BB1430" s="1900"/>
    </row>
    <row r="1431" spans="1:57" s="1863" customFormat="1" ht="15" hidden="1" customHeight="1" outlineLevel="1" x14ac:dyDescent="0.35">
      <c r="B1431" s="199"/>
      <c r="C1431" s="197"/>
      <c r="D1431" s="1367" t="s">
        <v>2239</v>
      </c>
      <c r="E1431" s="2340" t="s">
        <v>170</v>
      </c>
      <c r="F1431" s="2340" t="s">
        <v>2240</v>
      </c>
      <c r="G1431" s="2105">
        <f>AVERAGE(6.72,7.85)+30/15</f>
        <v>9.2850000000000001</v>
      </c>
      <c r="H1431" s="4446" t="s">
        <v>2238</v>
      </c>
      <c r="I1431" s="4446"/>
      <c r="J1431" s="4325" t="s">
        <v>2241</v>
      </c>
      <c r="K1431" s="4313"/>
      <c r="L1431" s="4313"/>
      <c r="M1431" s="199"/>
      <c r="N1431" s="199"/>
      <c r="O1431" s="199"/>
      <c r="V1431" s="1367" t="s">
        <v>2239</v>
      </c>
      <c r="W1431" s="1908"/>
      <c r="X1431" s="1908"/>
      <c r="Y1431" s="1857"/>
      <c r="Z1431" s="1908"/>
      <c r="AA1431" s="1908"/>
      <c r="AB1431" s="1907">
        <v>9.2850000000000001</v>
      </c>
      <c r="AC1431" s="2105">
        <v>9.2850000000000001</v>
      </c>
      <c r="AD1431" s="2105">
        <v>9.2850000000000001</v>
      </c>
      <c r="AE1431" s="1908"/>
      <c r="AF1431" s="1908"/>
      <c r="AG1431" s="1908"/>
      <c r="BB1431" s="1900"/>
    </row>
    <row r="1432" spans="1:57" s="1863" customFormat="1" collapsed="1" x14ac:dyDescent="0.35">
      <c r="B1432" s="199"/>
      <c r="C1432" s="197"/>
      <c r="D1432" s="217"/>
      <c r="E1432" s="217"/>
      <c r="F1432" s="199"/>
      <c r="G1432" s="199"/>
      <c r="H1432" s="199"/>
      <c r="I1432" s="199"/>
      <c r="J1432" s="199"/>
      <c r="K1432" s="199"/>
      <c r="L1432" s="199"/>
      <c r="M1432" s="199"/>
      <c r="N1432" s="199"/>
      <c r="O1432" s="199"/>
      <c r="Y1432" s="1899"/>
      <c r="BB1432" s="1900"/>
    </row>
    <row r="1433" spans="1:57" x14ac:dyDescent="0.35">
      <c r="B1433" s="1863"/>
    </row>
    <row r="1434" spans="1:57" s="31" customFormat="1" x14ac:dyDescent="0.35">
      <c r="A1434" s="132"/>
      <c r="B1434" s="132"/>
      <c r="C1434" s="130"/>
      <c r="D1434" s="131"/>
      <c r="E1434" s="131"/>
      <c r="F1434" s="132"/>
      <c r="G1434" s="132"/>
      <c r="H1434" s="132"/>
      <c r="I1434" s="132"/>
      <c r="J1434" s="132"/>
      <c r="K1434" s="132"/>
      <c r="L1434" s="132"/>
      <c r="M1434" s="132"/>
      <c r="N1434" s="132"/>
      <c r="O1434" s="132"/>
      <c r="P1434" s="132"/>
      <c r="Q1434" s="132"/>
      <c r="R1434" s="132"/>
      <c r="S1434" s="132"/>
      <c r="T1434" s="132"/>
      <c r="U1434" s="132"/>
      <c r="X1434" s="30"/>
      <c r="Y1434" s="30"/>
      <c r="Z1434" s="30"/>
      <c r="AA1434" s="30"/>
      <c r="AU1434" s="145"/>
      <c r="BB1434" s="134"/>
    </row>
    <row r="1435" spans="1:57" s="31" customFormat="1" x14ac:dyDescent="0.35">
      <c r="A1435" s="132"/>
      <c r="B1435" s="3664" t="s">
        <v>253</v>
      </c>
      <c r="C1435" s="3665"/>
      <c r="D1435" s="3665"/>
      <c r="E1435" s="3665"/>
      <c r="F1435" s="3665"/>
      <c r="G1435" s="3665"/>
      <c r="H1435" s="3665"/>
      <c r="I1435" s="3666"/>
      <c r="J1435" s="3666"/>
      <c r="K1435" s="3666"/>
      <c r="L1435" s="3666"/>
      <c r="M1435" s="3666"/>
      <c r="N1435" s="3666"/>
      <c r="O1435" s="3667"/>
      <c r="P1435" s="199"/>
      <c r="Q1435" s="199"/>
      <c r="R1435" s="132"/>
      <c r="S1435" s="132"/>
      <c r="T1435" s="132"/>
      <c r="U1435" s="132"/>
      <c r="V1435" s="3664" t="str">
        <f>B1435</f>
        <v>Learning Thermostat / Advanced Thermostat</v>
      </c>
      <c r="W1435" s="3665"/>
      <c r="X1435" s="3665"/>
      <c r="Y1435" s="3665"/>
      <c r="Z1435" s="3665"/>
      <c r="AA1435" s="3665"/>
      <c r="AB1435" s="3665"/>
      <c r="AC1435" s="3680"/>
      <c r="AD1435" s="3680"/>
      <c r="AE1435" s="3680"/>
      <c r="AF1435" s="3680"/>
      <c r="AG1435" s="3680"/>
      <c r="AH1435" s="3680"/>
      <c r="AI1435" s="3681"/>
      <c r="AU1435" s="145"/>
      <c r="BB1435" s="134"/>
    </row>
    <row r="1436" spans="1:57" s="31" customFormat="1" x14ac:dyDescent="0.35">
      <c r="A1436" s="132"/>
      <c r="B1436" s="1040"/>
      <c r="C1436" s="197"/>
      <c r="D1436" s="131"/>
      <c r="E1436" s="2301"/>
      <c r="F1436" s="198"/>
      <c r="G1436" s="198"/>
      <c r="H1436" s="198"/>
      <c r="I1436" s="198"/>
      <c r="J1436" s="198"/>
      <c r="K1436" s="198"/>
      <c r="L1436" s="1219"/>
      <c r="M1436" s="199"/>
      <c r="N1436" s="199"/>
      <c r="O1436" s="199"/>
      <c r="P1436" s="199"/>
      <c r="Q1436" s="199"/>
      <c r="R1436" s="132"/>
      <c r="S1436" s="132"/>
      <c r="T1436" s="132"/>
      <c r="U1436" s="132"/>
      <c r="AU1436" s="145"/>
      <c r="BB1436" s="134"/>
    </row>
    <row r="1437" spans="1:57" s="31" customFormat="1" ht="29" x14ac:dyDescent="0.35">
      <c r="A1437" s="132"/>
      <c r="B1437" s="1040"/>
      <c r="C1437" s="2331" t="s">
        <v>27</v>
      </c>
      <c r="D1437" s="2331" t="s">
        <v>174</v>
      </c>
      <c r="E1437" s="2331" t="s">
        <v>29</v>
      </c>
      <c r="F1437" s="2331" t="s">
        <v>30</v>
      </c>
      <c r="G1437" s="2331" t="s">
        <v>175</v>
      </c>
      <c r="H1437" s="2331" t="s">
        <v>176</v>
      </c>
      <c r="I1437" s="2331" t="s">
        <v>31</v>
      </c>
      <c r="J1437" s="2363" t="s">
        <v>180</v>
      </c>
      <c r="K1437" s="2331" t="s">
        <v>169</v>
      </c>
      <c r="L1437" s="2331" t="s">
        <v>43</v>
      </c>
      <c r="M1437" s="106"/>
      <c r="N1437" s="106"/>
      <c r="O1437" s="199"/>
      <c r="P1437" s="199"/>
      <c r="Q1437" s="199"/>
      <c r="R1437" s="132"/>
      <c r="S1437" s="132"/>
      <c r="T1437" s="132"/>
      <c r="U1437" s="132"/>
      <c r="V1437" s="1572" t="s">
        <v>44</v>
      </c>
      <c r="W1437" s="1573">
        <v>43252</v>
      </c>
      <c r="X1437" s="1573">
        <f>$X$6</f>
        <v>43465</v>
      </c>
      <c r="Y1437" s="1573">
        <f>$Y$6</f>
        <v>43800</v>
      </c>
      <c r="Z1437" s="1573">
        <f>$Z$6</f>
        <v>43862</v>
      </c>
      <c r="AA1437" s="1573">
        <f>$AA$6</f>
        <v>44013</v>
      </c>
      <c r="AB1437" s="1573">
        <f>$AB$6</f>
        <v>44166</v>
      </c>
      <c r="AC1437" s="1573">
        <f>$AC$6</f>
        <v>44531</v>
      </c>
      <c r="AD1437" s="1573">
        <f>$AD$6</f>
        <v>44774</v>
      </c>
      <c r="AE1437" s="1573" t="str">
        <f>$AE$6</f>
        <v>-</v>
      </c>
      <c r="AF1437" s="1573" t="str">
        <f>$AF$6</f>
        <v>-</v>
      </c>
      <c r="AG1437" s="1573" t="str">
        <f>$AG$6</f>
        <v>-</v>
      </c>
      <c r="AU1437" s="145"/>
      <c r="BB1437" s="3290" t="str">
        <f>$BB$6</f>
        <v>TRC (2022)</v>
      </c>
      <c r="BC1437" s="3290" t="str">
        <f>$BC$6</f>
        <v>Benefit Lookup</v>
      </c>
      <c r="BD1437" s="3291" t="str">
        <f>$BD$6</f>
        <v>Benefits (2019 $)</v>
      </c>
      <c r="BE1437" s="3291" t="str">
        <f>$BE$6</f>
        <v>Incremental Cost (2019 $)</v>
      </c>
    </row>
    <row r="1438" spans="1:57" s="31" customFormat="1" x14ac:dyDescent="0.35">
      <c r="A1438" s="132"/>
      <c r="B1438" s="1040"/>
      <c r="C1438" s="3201" t="s">
        <v>4422</v>
      </c>
      <c r="D1438" s="83" t="s">
        <v>1517</v>
      </c>
      <c r="E1438" s="3202" t="s">
        <v>256</v>
      </c>
      <c r="F1438" s="3203">
        <f>ROUND($F$1510*(($F$1518*$F$1519*1/$F$1521)/1000)*$F$1522*$F$1500,2)</f>
        <v>192.52</v>
      </c>
      <c r="G1438" s="1866" t="s">
        <v>257</v>
      </c>
      <c r="H1438" s="2720">
        <f>VLOOKUP(G1438,'CP FACTORS'!$A$3:$B$38, 2, FALSE)</f>
        <v>9.4741810000000004E-4</v>
      </c>
      <c r="I1438" s="3204">
        <f t="shared" ref="I1438:I1453" si="207">ROUND(H1438*F1438,6)</f>
        <v>0.182397</v>
      </c>
      <c r="J1438" s="3205">
        <f t="shared" ref="J1438:J1453" si="208">$F$1532</f>
        <v>10</v>
      </c>
      <c r="K1438" s="3206">
        <f>$F$1533</f>
        <v>125</v>
      </c>
      <c r="L1438" s="3207" t="s">
        <v>184</v>
      </c>
      <c r="M1438" s="199"/>
      <c r="N1438" s="205"/>
      <c r="O1438" s="106"/>
      <c r="P1438" s="106"/>
      <c r="Q1438" s="132"/>
      <c r="R1438" s="1214"/>
      <c r="S1438" s="132"/>
      <c r="T1438" s="132"/>
      <c r="U1438" s="132"/>
      <c r="V1438" s="1589" t="str">
        <f>$F$1437</f>
        <v>kWh Annual Savings</v>
      </c>
      <c r="W1438" s="207"/>
      <c r="X1438" s="207"/>
      <c r="Y1438" s="208"/>
      <c r="Z1438" s="2728"/>
      <c r="AA1438" s="2728"/>
      <c r="AB1438" s="1599"/>
      <c r="AC1438" s="2138"/>
      <c r="AD1438" s="3203">
        <v>192.52</v>
      </c>
      <c r="AE1438" s="1589"/>
      <c r="AF1438" s="1589"/>
      <c r="AG1438" s="1589"/>
      <c r="AH1438" s="144"/>
      <c r="AU1438" s="145"/>
      <c r="BB1438" s="3292">
        <f>(BD1438+BD1439)/(BE1438+BE1439)</f>
        <v>2.9965518402563376</v>
      </c>
      <c r="BC1438" s="2719" t="str">
        <f t="shared" ref="BC1438:BC1453" si="209">CONCATENATE(G1438," ",J1438," Year EUL")</f>
        <v>Cooling RES 10 Year EUL</v>
      </c>
      <c r="BD1438" s="3293">
        <f>(INDEX('Avoided Cost Benefits'!$E$4:$E$859,MATCH(BC1438,'Avoided Cost Benefits'!$A$4:$A$859,0)))*F1438</f>
        <v>204.72676073834035</v>
      </c>
      <c r="BE1438" s="3270">
        <f t="shared" ref="BE1438:BE1453" si="210">K1438/(1.0595^(2020-2019))</f>
        <v>117.98017932987257</v>
      </c>
    </row>
    <row r="1439" spans="1:57" s="31" customFormat="1" x14ac:dyDescent="0.35">
      <c r="A1439" s="132"/>
      <c r="B1439" s="1040"/>
      <c r="C1439" s="3201" t="s">
        <v>4422</v>
      </c>
      <c r="D1439" s="83" t="s">
        <v>1517</v>
      </c>
      <c r="E1439" s="3208" t="s">
        <v>256</v>
      </c>
      <c r="F1439" s="3203">
        <f>ROUND($F$1472*$F$1480*$F$1488*$F$1496*$F$1500+$F$1501*$F$1509*29.3,2)</f>
        <v>557.16</v>
      </c>
      <c r="G1439" s="1866" t="s">
        <v>258</v>
      </c>
      <c r="H1439" s="2720">
        <f>VLOOKUP(G1439,'CP FACTORS'!$A$3:$B$38, 2, FALSE)</f>
        <v>0</v>
      </c>
      <c r="I1439" s="3204">
        <f t="shared" si="207"/>
        <v>0</v>
      </c>
      <c r="J1439" s="3205">
        <f t="shared" si="208"/>
        <v>10</v>
      </c>
      <c r="K1439" s="3206"/>
      <c r="L1439" s="3207" t="s">
        <v>184</v>
      </c>
      <c r="M1439" s="199"/>
      <c r="N1439" s="205"/>
      <c r="O1439" s="106"/>
      <c r="P1439" s="211"/>
      <c r="Q1439" s="132"/>
      <c r="R1439" s="1214"/>
      <c r="S1439" s="132"/>
      <c r="T1439" s="132"/>
      <c r="U1439" s="132"/>
      <c r="V1439" s="1589" t="str">
        <f t="shared" ref="V1439:V1453" si="211">$F$1437</f>
        <v>kWh Annual Savings</v>
      </c>
      <c r="W1439" s="207"/>
      <c r="X1439" s="207"/>
      <c r="Y1439" s="208"/>
      <c r="Z1439" s="2728"/>
      <c r="AA1439" s="2728"/>
      <c r="AB1439" s="1599"/>
      <c r="AC1439" s="2138"/>
      <c r="AD1439" s="3203">
        <v>557.16</v>
      </c>
      <c r="AE1439" s="1589"/>
      <c r="AF1439" s="1589"/>
      <c r="AG1439" s="1589"/>
      <c r="AH1439" s="144"/>
      <c r="AU1439" s="145"/>
      <c r="BB1439" s="3294"/>
      <c r="BC1439" s="2721" t="str">
        <f t="shared" si="209"/>
        <v>Heating RES 10 Year EUL</v>
      </c>
      <c r="BD1439" s="2508">
        <f>(INDEX('Avoided Cost Benefits'!$E$4:$E$859,MATCH(BC1439,'Avoided Cost Benefits'!$A$4:$A$859,0)))*F1439</f>
        <v>148.80696274636199</v>
      </c>
      <c r="BE1439" s="2509">
        <f t="shared" si="210"/>
        <v>0</v>
      </c>
    </row>
    <row r="1440" spans="1:57" s="31" customFormat="1" x14ac:dyDescent="0.35">
      <c r="A1440" s="132"/>
      <c r="B1440" s="1040"/>
      <c r="C1440" s="3201" t="s">
        <v>4423</v>
      </c>
      <c r="D1440" s="83" t="s">
        <v>1518</v>
      </c>
      <c r="E1440" s="3202" t="s">
        <v>260</v>
      </c>
      <c r="F1440" s="3203">
        <f>ROUND($F$1511*(($F$1518*$F$1520*1/$F$1521)/1000)*$F$1522*$F$1500,2)</f>
        <v>192.52</v>
      </c>
      <c r="G1440" s="1866" t="s">
        <v>257</v>
      </c>
      <c r="H1440" s="2720">
        <f>VLOOKUP(G1440,'CP FACTORS'!$A$3:$B$38, 2, FALSE)</f>
        <v>9.4741810000000004E-4</v>
      </c>
      <c r="I1440" s="3204">
        <f t="shared" si="207"/>
        <v>0.182397</v>
      </c>
      <c r="J1440" s="3205">
        <f t="shared" si="208"/>
        <v>10</v>
      </c>
      <c r="K1440" s="3206">
        <f>$F$1533</f>
        <v>125</v>
      </c>
      <c r="L1440" s="3207" t="s">
        <v>184</v>
      </c>
      <c r="M1440" s="199"/>
      <c r="N1440" s="205"/>
      <c r="O1440" s="106"/>
      <c r="P1440" s="211"/>
      <c r="Q1440" s="132"/>
      <c r="R1440" s="1214"/>
      <c r="S1440" s="132"/>
      <c r="T1440" s="132"/>
      <c r="U1440" s="132"/>
      <c r="V1440" s="1589" t="str">
        <f t="shared" si="211"/>
        <v>kWh Annual Savings</v>
      </c>
      <c r="W1440" s="207"/>
      <c r="X1440" s="207"/>
      <c r="Y1440" s="208"/>
      <c r="Z1440" s="2728"/>
      <c r="AA1440" s="2728"/>
      <c r="AB1440" s="1599"/>
      <c r="AC1440" s="2138"/>
      <c r="AD1440" s="3203">
        <v>192.52</v>
      </c>
      <c r="AE1440" s="1589"/>
      <c r="AF1440" s="1589"/>
      <c r="AG1440" s="1589"/>
      <c r="AH1440" s="144"/>
      <c r="AU1440" s="145"/>
      <c r="BB1440" s="3292">
        <f>(BD1440+BD1441)/(BE1440+BE1441)</f>
        <v>2.5551146872546107</v>
      </c>
      <c r="BC1440" s="2719" t="str">
        <f t="shared" si="209"/>
        <v>Cooling RES 10 Year EUL</v>
      </c>
      <c r="BD1440" s="3293">
        <f>(INDEX('Avoided Cost Benefits'!$E$4:$E$859,MATCH(BC1440,'Avoided Cost Benefits'!$A$4:$A$859,0)))*F1440</f>
        <v>204.72676073834035</v>
      </c>
      <c r="BE1440" s="3270">
        <f t="shared" si="210"/>
        <v>117.98017932987257</v>
      </c>
    </row>
    <row r="1441" spans="1:57" s="31" customFormat="1" x14ac:dyDescent="0.35">
      <c r="A1441" s="132"/>
      <c r="B1441" s="1040"/>
      <c r="C1441" s="3201" t="s">
        <v>4423</v>
      </c>
      <c r="D1441" s="83" t="s">
        <v>1518</v>
      </c>
      <c r="E1441" s="3208" t="s">
        <v>260</v>
      </c>
      <c r="F1441" s="3203">
        <f>ROUND($F$1473*$F$1481*$F$1489*$F$1496*$F$1500+$F$1502*$F$1509*29.3,2)</f>
        <v>362.16</v>
      </c>
      <c r="G1441" s="1866" t="s">
        <v>258</v>
      </c>
      <c r="H1441" s="2720">
        <f>VLOOKUP(G1441,'CP FACTORS'!$A$3:$B$38, 2, FALSE)</f>
        <v>0</v>
      </c>
      <c r="I1441" s="3204">
        <f t="shared" si="207"/>
        <v>0</v>
      </c>
      <c r="J1441" s="3205">
        <f t="shared" si="208"/>
        <v>10</v>
      </c>
      <c r="K1441" s="3206"/>
      <c r="L1441" s="3207" t="s">
        <v>184</v>
      </c>
      <c r="M1441" s="199"/>
      <c r="N1441" s="205"/>
      <c r="O1441" s="106"/>
      <c r="P1441" s="211"/>
      <c r="Q1441" s="132"/>
      <c r="R1441" s="1214"/>
      <c r="S1441" s="132"/>
      <c r="T1441" s="132"/>
      <c r="U1441" s="132"/>
      <c r="V1441" s="1589" t="str">
        <f t="shared" si="211"/>
        <v>kWh Annual Savings</v>
      </c>
      <c r="W1441" s="207"/>
      <c r="X1441" s="207"/>
      <c r="Y1441" s="208"/>
      <c r="Z1441" s="2728"/>
      <c r="AA1441" s="2728"/>
      <c r="AB1441" s="1599"/>
      <c r="AC1441" s="2138"/>
      <c r="AD1441" s="3203">
        <v>362.16</v>
      </c>
      <c r="AE1441" s="1589"/>
      <c r="AF1441" s="1589"/>
      <c r="AG1441" s="1589"/>
      <c r="AH1441" s="144"/>
      <c r="AU1441" s="145"/>
      <c r="BB1441" s="3294"/>
      <c r="BC1441" s="2721" t="str">
        <f t="shared" si="209"/>
        <v>Heating RES 10 Year EUL</v>
      </c>
      <c r="BD1441" s="2508">
        <f>(INDEX('Avoided Cost Benefits'!$E$4:$E$859,MATCH(BC1441,'Avoided Cost Benefits'!$A$4:$A$859,0)))*F1441</f>
        <v>96.726128272349882</v>
      </c>
      <c r="BE1441" s="2509">
        <f t="shared" si="210"/>
        <v>0</v>
      </c>
    </row>
    <row r="1442" spans="1:57" s="31" customFormat="1" x14ac:dyDescent="0.35">
      <c r="A1442" s="132"/>
      <c r="B1442" s="1040"/>
      <c r="C1442" s="3201" t="s">
        <v>4424</v>
      </c>
      <c r="D1442" s="83" t="s">
        <v>1518</v>
      </c>
      <c r="E1442" s="3202" t="s">
        <v>263</v>
      </c>
      <c r="F1442" s="3203">
        <f>ROUND($F$1512*(($F$1518*$F$1520*1/$F$1521)/1000)*$F$1522*$F$1500,2)</f>
        <v>192.52</v>
      </c>
      <c r="G1442" s="1866" t="s">
        <v>257</v>
      </c>
      <c r="H1442" s="2720">
        <f>VLOOKUP(G1442,'CP FACTORS'!$A$3:$B$38, 2, FALSE)</f>
        <v>9.4741810000000004E-4</v>
      </c>
      <c r="I1442" s="3204">
        <f t="shared" si="207"/>
        <v>0.182397</v>
      </c>
      <c r="J1442" s="3205">
        <f t="shared" si="208"/>
        <v>10</v>
      </c>
      <c r="K1442" s="3206">
        <f>$F$1533</f>
        <v>125</v>
      </c>
      <c r="L1442" s="3207" t="s">
        <v>184</v>
      </c>
      <c r="M1442" s="199"/>
      <c r="N1442" s="205"/>
      <c r="O1442" s="106"/>
      <c r="P1442" s="215"/>
      <c r="Q1442" s="132"/>
      <c r="R1442" s="1214"/>
      <c r="S1442" s="132"/>
      <c r="T1442" s="132"/>
      <c r="U1442" s="132"/>
      <c r="V1442" s="1589" t="str">
        <f t="shared" si="211"/>
        <v>kWh Annual Savings</v>
      </c>
      <c r="W1442" s="207"/>
      <c r="X1442" s="207"/>
      <c r="Y1442" s="208"/>
      <c r="Z1442" s="2728"/>
      <c r="AA1442" s="2728"/>
      <c r="AB1442" s="1599"/>
      <c r="AC1442" s="2138"/>
      <c r="AD1442" s="3203">
        <v>192.52</v>
      </c>
      <c r="AE1442" s="1589"/>
      <c r="AF1442" s="1589"/>
      <c r="AG1442" s="1589"/>
      <c r="AH1442" s="144"/>
      <c r="AU1442" s="145"/>
      <c r="BB1442" s="3292">
        <f>(BD1442+BD1443)/(BE1442+BE1443)</f>
        <v>3.1288697971432651</v>
      </c>
      <c r="BC1442" s="2719" t="str">
        <f t="shared" si="209"/>
        <v>Cooling RES 10 Year EUL</v>
      </c>
      <c r="BD1442" s="3293">
        <f>(INDEX('Avoided Cost Benefits'!$E$4:$E$859,MATCH(BC1442,'Avoided Cost Benefits'!$A$4:$A$859,0)))*F1442</f>
        <v>204.72676073834035</v>
      </c>
      <c r="BE1442" s="3270">
        <f t="shared" si="210"/>
        <v>117.98017932987257</v>
      </c>
    </row>
    <row r="1443" spans="1:57" s="31" customFormat="1" x14ac:dyDescent="0.35">
      <c r="A1443" s="132"/>
      <c r="B1443" s="1040"/>
      <c r="C1443" s="3201" t="s">
        <v>4424</v>
      </c>
      <c r="D1443" s="83" t="s">
        <v>1518</v>
      </c>
      <c r="E1443" s="3208" t="s">
        <v>263</v>
      </c>
      <c r="F1443" s="3203">
        <f>ROUND($F$1474*$F$1482*$F$1490*$F$1496*$F$1500+$F$1503*$F$1509*29.3,2)</f>
        <v>615.61</v>
      </c>
      <c r="G1443" s="1866" t="s">
        <v>258</v>
      </c>
      <c r="H1443" s="2720">
        <f>VLOOKUP(G1443,'CP FACTORS'!$A$3:$B$38, 2, FALSE)</f>
        <v>0</v>
      </c>
      <c r="I1443" s="3204">
        <f t="shared" si="207"/>
        <v>0</v>
      </c>
      <c r="J1443" s="3205">
        <f t="shared" si="208"/>
        <v>10</v>
      </c>
      <c r="K1443" s="3206"/>
      <c r="L1443" s="3207" t="s">
        <v>184</v>
      </c>
      <c r="M1443" s="199"/>
      <c r="N1443" s="205"/>
      <c r="O1443" s="106"/>
      <c r="P1443" s="106"/>
      <c r="Q1443" s="132"/>
      <c r="R1443" s="1214"/>
      <c r="S1443" s="132"/>
      <c r="T1443" s="132"/>
      <c r="U1443" s="132"/>
      <c r="V1443" s="1589" t="str">
        <f t="shared" si="211"/>
        <v>kWh Annual Savings</v>
      </c>
      <c r="W1443" s="207"/>
      <c r="X1443" s="207"/>
      <c r="Y1443" s="208"/>
      <c r="Z1443" s="2728"/>
      <c r="AA1443" s="2728"/>
      <c r="AB1443" s="1599"/>
      <c r="AC1443" s="2138"/>
      <c r="AD1443" s="3203">
        <v>615.61</v>
      </c>
      <c r="AE1443" s="1589"/>
      <c r="AF1443" s="1589"/>
      <c r="AG1443" s="1589"/>
      <c r="AH1443" s="144"/>
      <c r="AU1443" s="145"/>
      <c r="BB1443" s="3294"/>
      <c r="BC1443" s="2721" t="str">
        <f t="shared" si="209"/>
        <v>Heating RES 10 Year EUL</v>
      </c>
      <c r="BD1443" s="2508">
        <f>(INDEX('Avoided Cost Benefits'!$E$4:$E$859,MATCH(BC1443,'Avoided Cost Benefits'!$A$4:$A$859,0)))*F1443</f>
        <v>164.41785902844407</v>
      </c>
      <c r="BE1443" s="2509">
        <f t="shared" si="210"/>
        <v>0</v>
      </c>
    </row>
    <row r="1444" spans="1:57" s="31" customFormat="1" x14ac:dyDescent="0.35">
      <c r="A1444" s="132"/>
      <c r="B1444" s="1040"/>
      <c r="C1444" s="3201" t="s">
        <v>4425</v>
      </c>
      <c r="D1444" s="83" t="s">
        <v>1517</v>
      </c>
      <c r="E1444" s="3202" t="s">
        <v>266</v>
      </c>
      <c r="F1444" s="3203">
        <f>ROUND($F$1513*(($F$1518*$F$1519*1/$F$1521)/1000)*$F$1522*$F$1500,2)</f>
        <v>192.52</v>
      </c>
      <c r="G1444" s="1866" t="s">
        <v>257</v>
      </c>
      <c r="H1444" s="2720">
        <f>VLOOKUP(G1444,'CP FACTORS'!$A$3:$B$38, 2, FALSE)</f>
        <v>9.4741810000000004E-4</v>
      </c>
      <c r="I1444" s="3204">
        <f>ROUND(H1444*F1444,6)</f>
        <v>0.182397</v>
      </c>
      <c r="J1444" s="3205">
        <f t="shared" si="208"/>
        <v>10</v>
      </c>
      <c r="K1444" s="3206">
        <f>$F$1533</f>
        <v>125</v>
      </c>
      <c r="L1444" s="3207" t="s">
        <v>184</v>
      </c>
      <c r="M1444" s="199"/>
      <c r="N1444" s="205"/>
      <c r="O1444" s="106"/>
      <c r="P1444" s="106"/>
      <c r="Q1444" s="132"/>
      <c r="R1444" s="1214"/>
      <c r="S1444" s="132"/>
      <c r="T1444" s="132"/>
      <c r="U1444" s="132"/>
      <c r="V1444" s="1589" t="str">
        <f t="shared" si="211"/>
        <v>kWh Annual Savings</v>
      </c>
      <c r="W1444" s="207"/>
      <c r="X1444" s="207"/>
      <c r="Y1444" s="208"/>
      <c r="Z1444" s="2728"/>
      <c r="AA1444" s="2728"/>
      <c r="AB1444" s="1599"/>
      <c r="AC1444" s="2138"/>
      <c r="AD1444" s="3203">
        <v>192.52</v>
      </c>
      <c r="AE1444" s="1589"/>
      <c r="AF1444" s="1589"/>
      <c r="AG1444" s="1589"/>
      <c r="AH1444" s="144"/>
      <c r="AU1444" s="145"/>
      <c r="BB1444" s="3292">
        <f>(BD1444+BD1445)/(BE1444+BE1445)</f>
        <v>3.8792676816407647</v>
      </c>
      <c r="BC1444" s="2719" t="str">
        <f>CONCATENATE(G1444," ",J1444," Year EUL")</f>
        <v>Cooling RES 10 Year EUL</v>
      </c>
      <c r="BD1444" s="3293">
        <f>(INDEX('Avoided Cost Benefits'!$E$4:$E$859,MATCH(BC1444,'Avoided Cost Benefits'!$A$4:$A$859,0)))*F1444</f>
        <v>204.72676073834035</v>
      </c>
      <c r="BE1444" s="3270">
        <f>K1444/(1.0595^(2020-2019))</f>
        <v>117.98017932987257</v>
      </c>
    </row>
    <row r="1445" spans="1:57" s="31" customFormat="1" x14ac:dyDescent="0.35">
      <c r="A1445" s="132"/>
      <c r="B1445" s="1040"/>
      <c r="C1445" s="3201" t="s">
        <v>4425</v>
      </c>
      <c r="D1445" s="83" t="s">
        <v>1517</v>
      </c>
      <c r="E1445" s="3208" t="s">
        <v>266</v>
      </c>
      <c r="F1445" s="3203">
        <f>ROUND($F$1475*$F$1483*$F$1491*$F$1496*$F$1500+$F$1504*$F$1509*29.3,2)</f>
        <v>947.09</v>
      </c>
      <c r="G1445" s="1866" t="s">
        <v>258</v>
      </c>
      <c r="H1445" s="2720">
        <f>VLOOKUP(G1445,'CP FACTORS'!$A$3:$B$38, 2, FALSE)</f>
        <v>0</v>
      </c>
      <c r="I1445" s="3204">
        <f>ROUND(H1445*F1445,6)</f>
        <v>0</v>
      </c>
      <c r="J1445" s="3205">
        <f t="shared" si="208"/>
        <v>10</v>
      </c>
      <c r="K1445" s="3206"/>
      <c r="L1445" s="3207" t="s">
        <v>184</v>
      </c>
      <c r="M1445" s="199"/>
      <c r="N1445" s="205"/>
      <c r="O1445" s="106"/>
      <c r="P1445" s="106"/>
      <c r="Q1445" s="132"/>
      <c r="R1445" s="1214"/>
      <c r="S1445" s="132"/>
      <c r="T1445" s="132"/>
      <c r="U1445" s="132"/>
      <c r="V1445" s="1589" t="str">
        <f t="shared" si="211"/>
        <v>kWh Annual Savings</v>
      </c>
      <c r="W1445" s="207"/>
      <c r="X1445" s="207"/>
      <c r="Y1445" s="208"/>
      <c r="Z1445" s="2728"/>
      <c r="AA1445" s="2728"/>
      <c r="AB1445" s="1599"/>
      <c r="AC1445" s="2138"/>
      <c r="AD1445" s="3203">
        <v>947.09</v>
      </c>
      <c r="AE1445" s="1589"/>
      <c r="AF1445" s="1589"/>
      <c r="AG1445" s="1589"/>
      <c r="AH1445" s="144"/>
      <c r="AU1445" s="145"/>
      <c r="BB1445" s="3294"/>
      <c r="BC1445" s="2721" t="str">
        <f>CONCATENATE(G1445," ",J1445," Year EUL")</f>
        <v>Heating RES 10 Year EUL</v>
      </c>
      <c r="BD1445" s="2508">
        <f>(INDEX('Avoided Cost Benefits'!$E$4:$E$859,MATCH(BC1445,'Avoided Cost Benefits'!$A$4:$A$859,0)))*F1445</f>
        <v>252.94993601021605</v>
      </c>
      <c r="BE1445" s="2509">
        <f>K1445/(1.0595^(2020-2019))</f>
        <v>0</v>
      </c>
    </row>
    <row r="1446" spans="1:57" s="31" customFormat="1" x14ac:dyDescent="0.35">
      <c r="A1446" s="132"/>
      <c r="B1446" s="1040"/>
      <c r="C1446" s="3201" t="s">
        <v>4428</v>
      </c>
      <c r="D1446" s="83" t="s">
        <v>1517</v>
      </c>
      <c r="E1446" s="3202" t="s">
        <v>268</v>
      </c>
      <c r="F1446" s="3203">
        <f>ROUND($F$1514*(($F$1518*$F$1519*1/$F$1521)/1000)*$F$1522*$F$1500,2)</f>
        <v>192.52</v>
      </c>
      <c r="G1446" s="1866" t="s">
        <v>257</v>
      </c>
      <c r="H1446" s="2720">
        <f>VLOOKUP(G1446,'CP FACTORS'!$A$3:$B$38, 2, FALSE)</f>
        <v>9.4741810000000004E-4</v>
      </c>
      <c r="I1446" s="3204">
        <f t="shared" si="207"/>
        <v>0.182397</v>
      </c>
      <c r="J1446" s="3205">
        <f t="shared" si="208"/>
        <v>10</v>
      </c>
      <c r="K1446" s="3206">
        <f>$F$1533</f>
        <v>125</v>
      </c>
      <c r="L1446" s="3207" t="s">
        <v>184</v>
      </c>
      <c r="M1446" s="199"/>
      <c r="N1446" s="205"/>
      <c r="O1446" s="106"/>
      <c r="P1446" s="211"/>
      <c r="Q1446" s="132"/>
      <c r="R1446" s="1214"/>
      <c r="S1446" s="132"/>
      <c r="T1446" s="132"/>
      <c r="U1446" s="132"/>
      <c r="V1446" s="1589" t="str">
        <f t="shared" si="211"/>
        <v>kWh Annual Savings</v>
      </c>
      <c r="W1446" s="207"/>
      <c r="X1446" s="207"/>
      <c r="Y1446" s="208"/>
      <c r="Z1446" s="2728"/>
      <c r="AA1446" s="2728"/>
      <c r="AB1446" s="1599"/>
      <c r="AC1446" s="2138"/>
      <c r="AD1446" s="3203">
        <v>192.52</v>
      </c>
      <c r="AE1446" s="1589"/>
      <c r="AF1446" s="1589"/>
      <c r="AG1446" s="1589"/>
      <c r="AH1446" s="144"/>
      <c r="AU1446" s="145"/>
      <c r="BB1446" s="3292">
        <f>(BD1446+BD1447)/(BE1446+BE1447)</f>
        <v>1.8300032283931591</v>
      </c>
      <c r="BC1446" s="2719" t="str">
        <f t="shared" si="209"/>
        <v>Cooling RES 10 Year EUL</v>
      </c>
      <c r="BD1446" s="3293">
        <f>(INDEX('Avoided Cost Benefits'!$E$4:$E$859,MATCH(BC1446,'Avoided Cost Benefits'!$A$4:$A$859,0)))*F1446</f>
        <v>204.72676073834035</v>
      </c>
      <c r="BE1446" s="3270">
        <f t="shared" si="210"/>
        <v>117.98017932987257</v>
      </c>
    </row>
    <row r="1447" spans="1:57" s="31" customFormat="1" x14ac:dyDescent="0.35">
      <c r="A1447" s="132"/>
      <c r="B1447" s="1040"/>
      <c r="C1447" s="3201" t="s">
        <v>4428</v>
      </c>
      <c r="D1447" s="83" t="s">
        <v>1517</v>
      </c>
      <c r="E1447" s="3208" t="s">
        <v>268</v>
      </c>
      <c r="F1447" s="3203">
        <f>ROUND($F$1476*$F$1484*$F$1492*$F$1496*$F$1500+$F$1505*$F$1509*29.3,2)</f>
        <v>41.85</v>
      </c>
      <c r="G1447" s="1866" t="s">
        <v>258</v>
      </c>
      <c r="H1447" s="2720">
        <f>VLOOKUP(G1447,'CP FACTORS'!$A$3:$B$38, 2, FALSE)</f>
        <v>0</v>
      </c>
      <c r="I1447" s="3204">
        <f t="shared" si="207"/>
        <v>0</v>
      </c>
      <c r="J1447" s="3205">
        <f t="shared" si="208"/>
        <v>10</v>
      </c>
      <c r="K1447" s="3206"/>
      <c r="L1447" s="3207" t="s">
        <v>184</v>
      </c>
      <c r="M1447" s="199"/>
      <c r="N1447" s="205"/>
      <c r="O1447" s="106"/>
      <c r="P1447" s="215"/>
      <c r="Q1447" s="132"/>
      <c r="R1447" s="1214"/>
      <c r="S1447" s="132"/>
      <c r="T1447" s="132"/>
      <c r="U1447" s="132"/>
      <c r="V1447" s="1589" t="str">
        <f t="shared" si="211"/>
        <v>kWh Annual Savings</v>
      </c>
      <c r="W1447" s="207"/>
      <c r="X1447" s="207"/>
      <c r="Y1447" s="208"/>
      <c r="Z1447" s="2728"/>
      <c r="AA1447" s="2728"/>
      <c r="AB1447" s="1599"/>
      <c r="AC1447" s="2138"/>
      <c r="AD1447" s="3203">
        <v>41.85</v>
      </c>
      <c r="AE1447" s="1589"/>
      <c r="AF1447" s="1589"/>
      <c r="AG1447" s="1589"/>
      <c r="AH1447" s="144"/>
      <c r="AU1447" s="145"/>
      <c r="BB1447" s="3294"/>
      <c r="BC1447" s="2721" t="str">
        <f t="shared" si="209"/>
        <v>Heating RES 10 Year EUL</v>
      </c>
      <c r="BD1447" s="2508">
        <f>(INDEX('Avoided Cost Benefits'!$E$4:$E$859,MATCH(BC1447,'Avoided Cost Benefits'!$A$4:$A$859,0)))*F1447</f>
        <v>11.177348321730292</v>
      </c>
      <c r="BE1447" s="2509">
        <f t="shared" si="210"/>
        <v>0</v>
      </c>
    </row>
    <row r="1448" spans="1:57" s="31" customFormat="1" x14ac:dyDescent="0.35">
      <c r="A1448" s="132"/>
      <c r="B1448" s="1040"/>
      <c r="C1448" s="3201" t="s">
        <v>4429</v>
      </c>
      <c r="D1448" s="83" t="s">
        <v>1518</v>
      </c>
      <c r="E1448" s="3202" t="s">
        <v>270</v>
      </c>
      <c r="F1448" s="3203">
        <f>ROUND($F$1515*(($F$1518*$F$1520*1/$F$1521)/1000)*$F$1522*$F$1500,2)</f>
        <v>192.52</v>
      </c>
      <c r="G1448" s="1866" t="s">
        <v>257</v>
      </c>
      <c r="H1448" s="2720">
        <f>VLOOKUP(G1448,'CP FACTORS'!$A$3:$B$38, 2, FALSE)</f>
        <v>9.4741810000000004E-4</v>
      </c>
      <c r="I1448" s="3204">
        <f>ROUND(H1448*F1448,6)</f>
        <v>0.182397</v>
      </c>
      <c r="J1448" s="3205">
        <f t="shared" si="208"/>
        <v>10</v>
      </c>
      <c r="K1448" s="3206">
        <f>$F$1533</f>
        <v>125</v>
      </c>
      <c r="L1448" s="3207" t="s">
        <v>184</v>
      </c>
      <c r="M1448" s="199"/>
      <c r="N1448" s="205"/>
      <c r="O1448" s="106"/>
      <c r="P1448" s="215"/>
      <c r="Q1448" s="132"/>
      <c r="R1448" s="1214"/>
      <c r="S1448" s="132"/>
      <c r="T1448" s="132"/>
      <c r="U1448" s="132"/>
      <c r="V1448" s="1589" t="str">
        <f t="shared" si="211"/>
        <v>kWh Annual Savings</v>
      </c>
      <c r="W1448" s="207"/>
      <c r="X1448" s="207"/>
      <c r="Y1448" s="208"/>
      <c r="Z1448" s="2728"/>
      <c r="AA1448" s="2728"/>
      <c r="AB1448" s="1599"/>
      <c r="AC1448" s="2138"/>
      <c r="AD1448" s="3203">
        <v>192.52</v>
      </c>
      <c r="AE1448" s="1589"/>
      <c r="AF1448" s="1589"/>
      <c r="AG1448" s="1589"/>
      <c r="AH1448" s="144"/>
      <c r="AU1448" s="145"/>
      <c r="BA1448" s="69"/>
      <c r="BB1448" s="3292">
        <f>(BD1448+BD1449)/(BE1448+BE1449)</f>
        <v>1.7968388474112345</v>
      </c>
      <c r="BC1448" s="2719" t="str">
        <f>CONCATENATE(G1448," ",J1448," Year EUL")</f>
        <v>Cooling RES 10 Year EUL</v>
      </c>
      <c r="BD1448" s="3293">
        <f>(INDEX('Avoided Cost Benefits'!$E$4:$E$859,MATCH(BC1448,'Avoided Cost Benefits'!$A$4:$A$859,0)))*F1448</f>
        <v>204.72676073834035</v>
      </c>
      <c r="BE1448" s="3270">
        <f>K1448/(1.0595^(2020-2019))</f>
        <v>117.98017932987257</v>
      </c>
    </row>
    <row r="1449" spans="1:57" s="31" customFormat="1" x14ac:dyDescent="0.35">
      <c r="A1449" s="132"/>
      <c r="B1449" s="1040"/>
      <c r="C1449" s="3201" t="s">
        <v>4429</v>
      </c>
      <c r="D1449" s="83" t="s">
        <v>1518</v>
      </c>
      <c r="E1449" s="3208" t="s">
        <v>270</v>
      </c>
      <c r="F1449" s="3203">
        <f>ROUND($F$1477*$F$1485*$F$1493*$F$1496*$F$1500+$F$1506*$F$1509*29.3,2)</f>
        <v>27.2</v>
      </c>
      <c r="G1449" s="1866" t="s">
        <v>258</v>
      </c>
      <c r="H1449" s="2720">
        <f>VLOOKUP(G1449,'CP FACTORS'!$A$3:$B$38, 2, FALSE)</f>
        <v>0</v>
      </c>
      <c r="I1449" s="3204">
        <f>ROUND(H1449*F1449,6)</f>
        <v>0</v>
      </c>
      <c r="J1449" s="3205">
        <f t="shared" si="208"/>
        <v>10</v>
      </c>
      <c r="K1449" s="3206"/>
      <c r="L1449" s="3207" t="s">
        <v>184</v>
      </c>
      <c r="M1449" s="199"/>
      <c r="N1449" s="205"/>
      <c r="O1449" s="106"/>
      <c r="P1449" s="215"/>
      <c r="Q1449" s="132"/>
      <c r="R1449" s="1214"/>
      <c r="S1449" s="132"/>
      <c r="T1449" s="132"/>
      <c r="U1449" s="132"/>
      <c r="V1449" s="1589" t="str">
        <f t="shared" si="211"/>
        <v>kWh Annual Savings</v>
      </c>
      <c r="W1449" s="207"/>
      <c r="X1449" s="207"/>
      <c r="Y1449" s="208"/>
      <c r="Z1449" s="2728"/>
      <c r="AA1449" s="2728"/>
      <c r="AB1449" s="1599"/>
      <c r="AC1449" s="2138"/>
      <c r="AD1449" s="3203">
        <v>27.2</v>
      </c>
      <c r="AE1449" s="1589"/>
      <c r="AF1449" s="1589"/>
      <c r="AG1449" s="1589"/>
      <c r="AH1449" s="144"/>
      <c r="AU1449" s="145"/>
      <c r="BB1449" s="3294"/>
      <c r="BC1449" s="2721" t="str">
        <f>CONCATENATE(G1449," ",J1449," Year EUL")</f>
        <v>Heating RES 10 Year EUL</v>
      </c>
      <c r="BD1449" s="2508">
        <f>(INDEX('Avoided Cost Benefits'!$E$4:$E$859,MATCH(BC1449,'Avoided Cost Benefits'!$A$4:$A$859,0)))*F1449</f>
        <v>7.2646087061186124</v>
      </c>
      <c r="BE1449" s="2509">
        <f>K1449/(1.0595^(2020-2019))</f>
        <v>0</v>
      </c>
    </row>
    <row r="1450" spans="1:57" s="31" customFormat="1" x14ac:dyDescent="0.35">
      <c r="A1450" s="132"/>
      <c r="B1450" s="1040"/>
      <c r="C1450" s="3201" t="s">
        <v>4426</v>
      </c>
      <c r="D1450" s="83" t="s">
        <v>1517</v>
      </c>
      <c r="E1450" s="3202" t="s">
        <v>274</v>
      </c>
      <c r="F1450" s="3203">
        <f>ROUND($F$1516*(($F$1518*$F$1519*1/$F$1521)/1000)*$F$1522*$F$1500,2)</f>
        <v>192.52</v>
      </c>
      <c r="G1450" s="1866" t="s">
        <v>257</v>
      </c>
      <c r="H1450" s="2720">
        <f>VLOOKUP(G1450,'CP FACTORS'!$A$3:$B$38, 2, FALSE)</f>
        <v>9.4741810000000004E-4</v>
      </c>
      <c r="I1450" s="3204">
        <f t="shared" si="207"/>
        <v>0.182397</v>
      </c>
      <c r="J1450" s="3205">
        <f t="shared" si="208"/>
        <v>10</v>
      </c>
      <c r="K1450" s="3206">
        <f>$F$1533</f>
        <v>125</v>
      </c>
      <c r="L1450" s="3207" t="s">
        <v>184</v>
      </c>
      <c r="M1450" s="199"/>
      <c r="N1450" s="205"/>
      <c r="O1450" s="106"/>
      <c r="P1450" s="106"/>
      <c r="Q1450" s="132"/>
      <c r="R1450" s="1214"/>
      <c r="S1450" s="132"/>
      <c r="T1450" s="132"/>
      <c r="U1450" s="132"/>
      <c r="V1450" s="1589" t="str">
        <f t="shared" si="211"/>
        <v>kWh Annual Savings</v>
      </c>
      <c r="W1450" s="207"/>
      <c r="X1450" s="207"/>
      <c r="Y1450" s="208"/>
      <c r="Z1450" s="2728"/>
      <c r="AA1450" s="2728"/>
      <c r="AB1450" s="1599"/>
      <c r="AC1450" s="2138"/>
      <c r="AD1450" s="3203">
        <v>192.52</v>
      </c>
      <c r="AE1450" s="1589"/>
      <c r="AF1450" s="1589"/>
      <c r="AG1450" s="1589"/>
      <c r="AH1450" s="144"/>
      <c r="AU1450" s="145"/>
      <c r="BB1450" s="3292">
        <f>(BD1450+BD1451)/(BE1450+BE1451)</f>
        <v>2.3694620671639868</v>
      </c>
      <c r="BC1450" s="2719" t="str">
        <f t="shared" si="209"/>
        <v>Cooling RES 10 Year EUL</v>
      </c>
      <c r="BD1450" s="3293">
        <f>(INDEX('Avoided Cost Benefits'!$E$4:$E$859,MATCH(BC1450,'Avoided Cost Benefits'!$A$4:$A$859,0)))*F1450</f>
        <v>204.72676073834035</v>
      </c>
      <c r="BE1450" s="3270">
        <f t="shared" si="210"/>
        <v>117.98017932987257</v>
      </c>
    </row>
    <row r="1451" spans="1:57" s="31" customFormat="1" x14ac:dyDescent="0.35">
      <c r="A1451" s="132"/>
      <c r="B1451" s="1040"/>
      <c r="C1451" s="3201" t="s">
        <v>4426</v>
      </c>
      <c r="D1451" s="83" t="s">
        <v>1517</v>
      </c>
      <c r="E1451" s="3208" t="s">
        <v>274</v>
      </c>
      <c r="F1451" s="3203">
        <f>ROUND($F$1478*$F$1486*$F$1494*$F$1496*$F$1500+$F$1507*$F$1509*29.3,2)</f>
        <v>280.14999999999998</v>
      </c>
      <c r="G1451" s="1866" t="s">
        <v>258</v>
      </c>
      <c r="H1451" s="2720">
        <f>VLOOKUP(G1451,'CP FACTORS'!$A$3:$B$38, 2, FALSE)</f>
        <v>0</v>
      </c>
      <c r="I1451" s="3204">
        <f t="shared" si="207"/>
        <v>0</v>
      </c>
      <c r="J1451" s="3205">
        <f t="shared" si="208"/>
        <v>10</v>
      </c>
      <c r="K1451" s="3206"/>
      <c r="L1451" s="3207" t="s">
        <v>184</v>
      </c>
      <c r="M1451" s="199"/>
      <c r="N1451" s="205"/>
      <c r="O1451" s="199"/>
      <c r="P1451" s="199"/>
      <c r="Q1451" s="132"/>
      <c r="R1451" s="1214"/>
      <c r="S1451" s="132"/>
      <c r="T1451" s="132"/>
      <c r="U1451" s="132"/>
      <c r="V1451" s="1589" t="str">
        <f t="shared" si="211"/>
        <v>kWh Annual Savings</v>
      </c>
      <c r="W1451" s="207"/>
      <c r="X1451" s="207"/>
      <c r="Y1451" s="208"/>
      <c r="Z1451" s="2728"/>
      <c r="AA1451" s="2728"/>
      <c r="AB1451" s="1599"/>
      <c r="AC1451" s="2138"/>
      <c r="AD1451" s="3203">
        <v>280.14999999999998</v>
      </c>
      <c r="AE1451" s="1589"/>
      <c r="AF1451" s="1589"/>
      <c r="AG1451" s="1589"/>
      <c r="AH1451" s="144"/>
      <c r="AU1451" s="145"/>
      <c r="BB1451" s="3294"/>
      <c r="BC1451" s="2721" t="str">
        <f t="shared" si="209"/>
        <v>Heating RES 10 Year EUL</v>
      </c>
      <c r="BD1451" s="2508">
        <f>(INDEX('Avoided Cost Benefits'!$E$4:$E$859,MATCH(BC1451,'Avoided Cost Benefits'!$A$4:$A$859,0)))*F1451</f>
        <v>74.822798860997395</v>
      </c>
      <c r="BE1451" s="2509">
        <f t="shared" si="210"/>
        <v>0</v>
      </c>
    </row>
    <row r="1452" spans="1:57" s="31" customFormat="1" x14ac:dyDescent="0.35">
      <c r="A1452" s="132"/>
      <c r="B1452" s="1040"/>
      <c r="C1452" s="3201" t="s">
        <v>4427</v>
      </c>
      <c r="D1452" s="83" t="s">
        <v>1518</v>
      </c>
      <c r="E1452" s="3202" t="s">
        <v>276</v>
      </c>
      <c r="F1452" s="3203">
        <f>ROUND($F$1517*(($F$1518*$F$1520*1/$F$1521)/1000)*$F$1522*$F$1500,2)</f>
        <v>192.52</v>
      </c>
      <c r="G1452" s="1866" t="s">
        <v>257</v>
      </c>
      <c r="H1452" s="2720">
        <f>VLOOKUP(G1452,'CP FACTORS'!$A$3:$B$38, 2, FALSE)</f>
        <v>9.4741810000000004E-4</v>
      </c>
      <c r="I1452" s="3204">
        <f t="shared" si="207"/>
        <v>0.182397</v>
      </c>
      <c r="J1452" s="3205">
        <f t="shared" si="208"/>
        <v>10</v>
      </c>
      <c r="K1452" s="3206">
        <f>$F$1533</f>
        <v>125</v>
      </c>
      <c r="L1452" s="3207" t="s">
        <v>184</v>
      </c>
      <c r="M1452" s="199"/>
      <c r="N1452" s="205"/>
      <c r="O1452" s="199"/>
      <c r="P1452" s="199"/>
      <c r="Q1452" s="132"/>
      <c r="R1452" s="1214"/>
      <c r="S1452" s="132"/>
      <c r="T1452" s="132"/>
      <c r="U1452" s="132"/>
      <c r="V1452" s="1589" t="str">
        <f t="shared" si="211"/>
        <v>kWh Annual Savings</v>
      </c>
      <c r="W1452" s="207"/>
      <c r="X1452" s="207"/>
      <c r="Y1452" s="208"/>
      <c r="Z1452" s="2728"/>
      <c r="AA1452" s="2728"/>
      <c r="AB1452" s="1599"/>
      <c r="AC1452" s="2138"/>
      <c r="AD1452" s="3203">
        <v>192.52</v>
      </c>
      <c r="AE1452" s="1589"/>
      <c r="AF1452" s="1589"/>
      <c r="AG1452" s="1589"/>
      <c r="AH1452" s="144"/>
      <c r="AU1452" s="145"/>
      <c r="BA1452" s="69"/>
      <c r="BB1452" s="3292">
        <f>(BD1452+BD1453)/(BE1452+BE1453)</f>
        <v>2.1474984115136313</v>
      </c>
      <c r="BC1452" s="2719" t="str">
        <f t="shared" si="209"/>
        <v>Cooling RES 10 Year EUL</v>
      </c>
      <c r="BD1452" s="3293">
        <f>(INDEX('Avoided Cost Benefits'!$E$4:$E$859,MATCH(BC1452,'Avoided Cost Benefits'!$A$4:$A$859,0)))*F1452</f>
        <v>204.72676073834035</v>
      </c>
      <c r="BE1452" s="3270">
        <f t="shared" si="210"/>
        <v>117.98017932987257</v>
      </c>
    </row>
    <row r="1453" spans="1:57" s="31" customFormat="1" x14ac:dyDescent="0.35">
      <c r="A1453" s="132"/>
      <c r="B1453" s="1040"/>
      <c r="C1453" s="3201" t="s">
        <v>4427</v>
      </c>
      <c r="D1453" s="83" t="s">
        <v>1518</v>
      </c>
      <c r="E1453" s="3208" t="s">
        <v>276</v>
      </c>
      <c r="F1453" s="3203">
        <f>ROUND($F$1479*$F$1487*$F$1495*$F$1496*$F$1500+$F$1508*$F$1509*29.3,2)</f>
        <v>182.1</v>
      </c>
      <c r="G1453" s="1866" t="s">
        <v>258</v>
      </c>
      <c r="H1453" s="2720">
        <f>VLOOKUP(G1453,'CP FACTORS'!$A$3:$B$38, 2, FALSE)</f>
        <v>0</v>
      </c>
      <c r="I1453" s="3204">
        <f t="shared" si="207"/>
        <v>0</v>
      </c>
      <c r="J1453" s="3205">
        <f t="shared" si="208"/>
        <v>10</v>
      </c>
      <c r="K1453" s="3206"/>
      <c r="L1453" s="3207" t="s">
        <v>184</v>
      </c>
      <c r="M1453" s="199"/>
      <c r="N1453" s="205"/>
      <c r="O1453" s="199"/>
      <c r="P1453" s="199"/>
      <c r="Q1453" s="132"/>
      <c r="R1453" s="1214"/>
      <c r="S1453" s="132"/>
      <c r="T1453" s="132"/>
      <c r="U1453" s="132"/>
      <c r="V1453" s="1589" t="str">
        <f t="shared" si="211"/>
        <v>kWh Annual Savings</v>
      </c>
      <c r="W1453" s="207"/>
      <c r="X1453" s="207"/>
      <c r="Y1453" s="208"/>
      <c r="Z1453" s="2728"/>
      <c r="AA1453" s="2728"/>
      <c r="AB1453" s="1599"/>
      <c r="AC1453" s="2138"/>
      <c r="AD1453" s="3203">
        <v>182.1</v>
      </c>
      <c r="AE1453" s="1589"/>
      <c r="AF1453" s="1589"/>
      <c r="AG1453" s="1589"/>
      <c r="AH1453" s="144"/>
      <c r="AU1453" s="145"/>
      <c r="BB1453" s="3294"/>
      <c r="BC1453" s="2721" t="str">
        <f t="shared" si="209"/>
        <v>Heating RES 10 Year EUL</v>
      </c>
      <c r="BD1453" s="2508">
        <f>(INDEX('Avoided Cost Benefits'!$E$4:$E$859,MATCH(BC1453,'Avoided Cost Benefits'!$A$4:$A$859,0)))*F1453</f>
        <v>48.635486962654383</v>
      </c>
      <c r="BE1453" s="2509">
        <f t="shared" si="210"/>
        <v>0</v>
      </c>
    </row>
    <row r="1454" spans="1:57" s="31" customFormat="1" hidden="1" outlineLevel="1" x14ac:dyDescent="0.35">
      <c r="A1454" s="132"/>
      <c r="B1454" s="1040"/>
      <c r="C1454" s="1899"/>
      <c r="D1454" s="2722"/>
      <c r="E1454" s="2722" t="s">
        <v>279</v>
      </c>
      <c r="F1454" s="2723"/>
      <c r="G1454" s="1863"/>
      <c r="H1454" s="1863"/>
      <c r="I1454" s="1863"/>
      <c r="J1454" s="1863"/>
      <c r="K1454" s="1863"/>
      <c r="L1454" s="1863"/>
      <c r="M1454" s="199"/>
      <c r="N1454" s="205"/>
      <c r="O1454" s="199"/>
      <c r="P1454" s="199"/>
      <c r="Q1454" s="132"/>
      <c r="R1454" s="132"/>
      <c r="S1454" s="132"/>
      <c r="T1454" s="132"/>
      <c r="U1454" s="132"/>
      <c r="AU1454" s="145"/>
      <c r="BB1454" s="134"/>
    </row>
    <row r="1455" spans="1:57" s="150" customFormat="1" hidden="1" outlineLevel="1" x14ac:dyDescent="0.35">
      <c r="A1455" s="154"/>
      <c r="B1455" s="1040"/>
      <c r="C1455" s="1899"/>
      <c r="D1455" s="2724" t="s">
        <v>107</v>
      </c>
      <c r="E1455" s="2722"/>
      <c r="F1455" s="2723"/>
      <c r="G1455" s="1863"/>
      <c r="H1455" s="1863"/>
      <c r="I1455" s="1863"/>
      <c r="J1455" s="1863"/>
      <c r="K1455" s="1863"/>
      <c r="L1455" s="1863"/>
      <c r="M1455" s="199"/>
      <c r="N1455" s="205"/>
      <c r="O1455" s="199"/>
      <c r="P1455" s="199"/>
      <c r="Q1455" s="154"/>
      <c r="R1455" s="154"/>
      <c r="S1455" s="154"/>
      <c r="T1455" s="154"/>
      <c r="U1455" s="154"/>
      <c r="V1455" s="219"/>
      <c r="AU1455" s="145"/>
      <c r="BB1455" s="220"/>
    </row>
    <row r="1456" spans="1:57" s="150" customFormat="1" ht="18" hidden="1" customHeight="1" outlineLevel="1" x14ac:dyDescent="0.35">
      <c r="A1456" s="154"/>
      <c r="B1456" s="1040"/>
      <c r="C1456" s="197"/>
      <c r="D1456" s="222" t="s">
        <v>280</v>
      </c>
      <c r="E1456" s="222"/>
      <c r="F1456" s="223"/>
      <c r="G1456" s="223"/>
      <c r="H1456" s="223"/>
      <c r="I1456" s="223"/>
      <c r="J1456" s="223"/>
      <c r="K1456" s="223"/>
      <c r="L1456" s="223"/>
      <c r="M1456" s="199"/>
      <c r="N1456" s="205"/>
      <c r="O1456" s="199"/>
      <c r="P1456" s="224"/>
      <c r="Q1456" s="154"/>
      <c r="R1456" s="154"/>
      <c r="S1456" s="154"/>
      <c r="T1456" s="154"/>
      <c r="U1456" s="154"/>
      <c r="AU1456" s="145"/>
      <c r="BB1456" s="220"/>
    </row>
    <row r="1457" spans="1:54" s="150" customFormat="1" ht="18" hidden="1" customHeight="1" outlineLevel="1" x14ac:dyDescent="0.35">
      <c r="A1457" s="154"/>
      <c r="B1457" s="1040"/>
      <c r="C1457" s="197"/>
      <c r="D1457" s="222"/>
      <c r="E1457" s="222"/>
      <c r="F1457" s="223"/>
      <c r="G1457" s="223"/>
      <c r="H1457" s="223"/>
      <c r="I1457" s="223"/>
      <c r="J1457" s="223"/>
      <c r="K1457" s="223"/>
      <c r="L1457" s="223"/>
      <c r="M1457" s="199"/>
      <c r="N1457" s="205"/>
      <c r="O1457" s="199"/>
      <c r="P1457" s="224"/>
      <c r="Q1457" s="154"/>
      <c r="R1457" s="154"/>
      <c r="S1457" s="154"/>
      <c r="T1457" s="154"/>
      <c r="U1457" s="154"/>
      <c r="AU1457" s="145"/>
      <c r="BB1457" s="220"/>
    </row>
    <row r="1458" spans="1:54" s="150" customFormat="1" ht="18" hidden="1" customHeight="1" outlineLevel="1" x14ac:dyDescent="0.35">
      <c r="A1458" s="154"/>
      <c r="B1458" s="1040"/>
      <c r="C1458" s="197"/>
      <c r="D1458" s="222"/>
      <c r="E1458" s="222"/>
      <c r="F1458" s="223"/>
      <c r="G1458" s="223"/>
      <c r="H1458" s="223"/>
      <c r="I1458" s="223"/>
      <c r="J1458" s="223"/>
      <c r="K1458" s="223"/>
      <c r="L1458" s="223"/>
      <c r="M1458" s="199"/>
      <c r="N1458" s="205"/>
      <c r="O1458" s="199"/>
      <c r="P1458" s="224"/>
      <c r="Q1458" s="154"/>
      <c r="R1458" s="154"/>
      <c r="S1458" s="154"/>
      <c r="T1458" s="154"/>
      <c r="U1458" s="154"/>
      <c r="AU1458" s="145"/>
      <c r="BB1458" s="220"/>
    </row>
    <row r="1459" spans="1:54" s="150" customFormat="1" ht="18" hidden="1" customHeight="1" outlineLevel="1" x14ac:dyDescent="0.35">
      <c r="A1459" s="154"/>
      <c r="B1459" s="1040"/>
      <c r="C1459" s="197"/>
      <c r="D1459" s="222"/>
      <c r="E1459" s="222"/>
      <c r="F1459" s="223"/>
      <c r="G1459" s="223"/>
      <c r="H1459" s="223"/>
      <c r="I1459" s="223"/>
      <c r="J1459" s="223"/>
      <c r="K1459" s="223"/>
      <c r="L1459" s="223"/>
      <c r="M1459" s="199"/>
      <c r="N1459" s="205"/>
      <c r="O1459" s="199"/>
      <c r="P1459" s="224"/>
      <c r="Q1459" s="154"/>
      <c r="R1459" s="154"/>
      <c r="S1459" s="154"/>
      <c r="T1459" s="154"/>
      <c r="U1459" s="154"/>
      <c r="AU1459" s="145"/>
      <c r="BB1459" s="220"/>
    </row>
    <row r="1460" spans="1:54" s="150" customFormat="1" ht="18" hidden="1" customHeight="1" outlineLevel="1" x14ac:dyDescent="0.35">
      <c r="A1460" s="154"/>
      <c r="B1460" s="1040"/>
      <c r="C1460" s="197"/>
      <c r="D1460" s="222"/>
      <c r="E1460" s="222"/>
      <c r="F1460" s="223"/>
      <c r="G1460" s="223"/>
      <c r="H1460" s="223"/>
      <c r="I1460" s="223"/>
      <c r="J1460" s="223"/>
      <c r="K1460" s="223"/>
      <c r="L1460" s="223"/>
      <c r="M1460" s="199"/>
      <c r="N1460" s="205"/>
      <c r="O1460" s="199"/>
      <c r="P1460" s="224"/>
      <c r="Q1460" s="154"/>
      <c r="R1460" s="154"/>
      <c r="S1460" s="154"/>
      <c r="T1460" s="154"/>
      <c r="U1460" s="154"/>
      <c r="AU1460" s="145"/>
      <c r="BB1460" s="220"/>
    </row>
    <row r="1461" spans="1:54" s="150" customFormat="1" ht="18" hidden="1" customHeight="1" outlineLevel="1" x14ac:dyDescent="0.35">
      <c r="A1461" s="154"/>
      <c r="B1461" s="1040"/>
      <c r="C1461" s="197"/>
      <c r="D1461" s="222"/>
      <c r="E1461" s="222"/>
      <c r="F1461" s="223"/>
      <c r="G1461" s="223"/>
      <c r="H1461" s="223"/>
      <c r="I1461" s="223"/>
      <c r="J1461" s="223"/>
      <c r="K1461" s="223"/>
      <c r="L1461" s="223"/>
      <c r="M1461" s="199"/>
      <c r="N1461" s="205"/>
      <c r="O1461" s="199"/>
      <c r="P1461" s="224"/>
      <c r="Q1461" s="154"/>
      <c r="R1461" s="154"/>
      <c r="S1461" s="154"/>
      <c r="T1461" s="154"/>
      <c r="U1461" s="154"/>
      <c r="AU1461" s="145"/>
      <c r="BB1461" s="220"/>
    </row>
    <row r="1462" spans="1:54" s="150" customFormat="1" ht="18" hidden="1" customHeight="1" outlineLevel="1" x14ac:dyDescent="0.35">
      <c r="A1462" s="154"/>
      <c r="B1462" s="1040"/>
      <c r="C1462" s="197"/>
      <c r="D1462" s="222"/>
      <c r="E1462" s="222"/>
      <c r="F1462" s="223"/>
      <c r="G1462" s="223"/>
      <c r="H1462" s="223"/>
      <c r="I1462" s="154"/>
      <c r="J1462" s="223"/>
      <c r="K1462" s="223"/>
      <c r="L1462" s="223"/>
      <c r="M1462" s="199"/>
      <c r="N1462" s="205"/>
      <c r="O1462" s="199"/>
      <c r="P1462" s="224"/>
      <c r="Q1462" s="154"/>
      <c r="R1462" s="154"/>
      <c r="S1462" s="154"/>
      <c r="T1462" s="154"/>
      <c r="U1462" s="154"/>
      <c r="AU1462" s="145"/>
      <c r="BB1462" s="220"/>
    </row>
    <row r="1463" spans="1:54" s="225" customFormat="1" hidden="1" outlineLevel="1" x14ac:dyDescent="0.35">
      <c r="A1463" s="1220"/>
      <c r="B1463" s="1221"/>
      <c r="C1463" s="197"/>
      <c r="D1463" s="222"/>
      <c r="E1463" s="222"/>
      <c r="F1463" s="223"/>
      <c r="G1463" s="223"/>
      <c r="H1463" s="223"/>
      <c r="I1463" s="223"/>
      <c r="J1463" s="223"/>
      <c r="K1463" s="223"/>
      <c r="L1463" s="223"/>
      <c r="M1463" s="226"/>
      <c r="N1463" s="205"/>
      <c r="O1463" s="226"/>
      <c r="P1463" s="227"/>
      <c r="Q1463" s="1220"/>
      <c r="R1463" s="1220"/>
      <c r="S1463" s="1220"/>
      <c r="T1463" s="1220"/>
      <c r="U1463" s="154"/>
      <c r="AU1463" s="228"/>
      <c r="BB1463" s="229"/>
    </row>
    <row r="1464" spans="1:54" s="150" customFormat="1" ht="18" hidden="1" customHeight="1" outlineLevel="1" x14ac:dyDescent="0.35">
      <c r="A1464" s="154"/>
      <c r="B1464" s="1040"/>
      <c r="C1464" s="197"/>
      <c r="D1464" s="222"/>
      <c r="E1464" s="222"/>
      <c r="F1464" s="223"/>
      <c r="G1464" s="223"/>
      <c r="H1464" s="223"/>
      <c r="I1464" s="154"/>
      <c r="J1464" s="223"/>
      <c r="K1464" s="223"/>
      <c r="L1464" s="223"/>
      <c r="M1464" s="199"/>
      <c r="N1464" s="205"/>
      <c r="O1464" s="199"/>
      <c r="P1464" s="224"/>
      <c r="Q1464" s="154"/>
      <c r="R1464" s="154"/>
      <c r="S1464" s="154"/>
      <c r="T1464" s="154"/>
      <c r="U1464" s="154"/>
      <c r="AU1464" s="145"/>
      <c r="BB1464" s="220"/>
    </row>
    <row r="1465" spans="1:54" s="150" customFormat="1" ht="18" hidden="1" customHeight="1" outlineLevel="1" x14ac:dyDescent="0.35">
      <c r="A1465" s="154"/>
      <c r="B1465" s="1040"/>
      <c r="C1465" s="197"/>
      <c r="D1465" s="222"/>
      <c r="E1465" s="222"/>
      <c r="F1465" s="223"/>
      <c r="G1465" s="223"/>
      <c r="H1465" s="223"/>
      <c r="I1465" s="223"/>
      <c r="J1465" s="223"/>
      <c r="K1465" s="223"/>
      <c r="L1465" s="223"/>
      <c r="M1465" s="199"/>
      <c r="N1465" s="205"/>
      <c r="O1465" s="199"/>
      <c r="P1465" s="224"/>
      <c r="Q1465" s="154"/>
      <c r="R1465" s="154"/>
      <c r="S1465" s="154"/>
      <c r="T1465" s="154"/>
      <c r="U1465" s="154"/>
      <c r="AU1465" s="145"/>
      <c r="BB1465" s="220"/>
    </row>
    <row r="1466" spans="1:54" s="150" customFormat="1" ht="18" hidden="1" customHeight="1" outlineLevel="1" x14ac:dyDescent="0.35">
      <c r="A1466" s="154"/>
      <c r="B1466" s="1040"/>
      <c r="C1466" s="197"/>
      <c r="D1466" s="222"/>
      <c r="E1466" s="222"/>
      <c r="F1466" s="223"/>
      <c r="G1466" s="223"/>
      <c r="H1466" s="223"/>
      <c r="I1466" s="154"/>
      <c r="J1466" s="223"/>
      <c r="K1466" s="223"/>
      <c r="L1466" s="223"/>
      <c r="M1466" s="199"/>
      <c r="N1466" s="205"/>
      <c r="O1466" s="199"/>
      <c r="P1466" s="224"/>
      <c r="Q1466" s="154"/>
      <c r="R1466" s="154"/>
      <c r="S1466" s="154"/>
      <c r="T1466" s="154"/>
      <c r="U1466" s="154"/>
      <c r="AU1466" s="145"/>
      <c r="BB1466" s="220"/>
    </row>
    <row r="1467" spans="1:54" s="150" customFormat="1" hidden="1" outlineLevel="1" x14ac:dyDescent="0.35">
      <c r="A1467" s="154"/>
      <c r="B1467" s="1040"/>
      <c r="C1467" s="197"/>
      <c r="D1467" s="222"/>
      <c r="E1467" s="222"/>
      <c r="F1467" s="223"/>
      <c r="G1467" s="223"/>
      <c r="H1467" s="223"/>
      <c r="I1467" s="223"/>
      <c r="J1467" s="223"/>
      <c r="K1467" s="223"/>
      <c r="L1467" s="223"/>
      <c r="M1467" s="199"/>
      <c r="N1467" s="205"/>
      <c r="O1467" s="199"/>
      <c r="P1467" s="199"/>
      <c r="Q1467" s="154"/>
      <c r="R1467" s="154"/>
      <c r="S1467" s="154"/>
      <c r="T1467" s="154"/>
      <c r="U1467" s="154"/>
      <c r="AU1467" s="145"/>
      <c r="BB1467" s="220"/>
    </row>
    <row r="1468" spans="1:54" s="150" customFormat="1" ht="15" hidden="1" customHeight="1" outlineLevel="1" x14ac:dyDescent="0.35">
      <c r="A1468" s="154"/>
      <c r="B1468" s="1040"/>
      <c r="C1468" s="197"/>
      <c r="D1468" s="222"/>
      <c r="E1468" s="222"/>
      <c r="F1468" s="223"/>
      <c r="G1468" s="223"/>
      <c r="H1468" s="223"/>
      <c r="I1468" s="223"/>
      <c r="J1468" s="223"/>
      <c r="K1468" s="223"/>
      <c r="L1468" s="223"/>
      <c r="M1468" s="199"/>
      <c r="N1468" s="205"/>
      <c r="O1468" s="199"/>
      <c r="P1468" s="199"/>
      <c r="Q1468" s="154"/>
      <c r="R1468" s="154"/>
      <c r="S1468" s="154"/>
      <c r="T1468" s="154"/>
      <c r="U1468" s="154"/>
      <c r="AU1468" s="145"/>
      <c r="BB1468" s="220"/>
    </row>
    <row r="1469" spans="1:54" s="150" customFormat="1" ht="15" hidden="1" customHeight="1" outlineLevel="1" x14ac:dyDescent="0.35">
      <c r="A1469" s="154"/>
      <c r="B1469" s="1040"/>
      <c r="C1469" s="197"/>
      <c r="D1469" s="222"/>
      <c r="E1469" s="222"/>
      <c r="F1469" s="223"/>
      <c r="G1469" s="223"/>
      <c r="H1469" s="223"/>
      <c r="I1469" s="223"/>
      <c r="J1469" s="223"/>
      <c r="K1469" s="223"/>
      <c r="L1469" s="223"/>
      <c r="M1469" s="199"/>
      <c r="N1469" s="205"/>
      <c r="O1469" s="199"/>
      <c r="P1469" s="199"/>
      <c r="Q1469" s="154"/>
      <c r="R1469" s="154"/>
      <c r="S1469" s="154"/>
      <c r="T1469" s="154"/>
      <c r="U1469" s="154"/>
      <c r="AU1469" s="145"/>
      <c r="BB1469" s="220"/>
    </row>
    <row r="1470" spans="1:54" s="150" customFormat="1" hidden="1" outlineLevel="1" x14ac:dyDescent="0.35">
      <c r="A1470" s="154"/>
      <c r="B1470" s="1040"/>
      <c r="C1470" s="197"/>
      <c r="D1470" s="217"/>
      <c r="E1470" s="217"/>
      <c r="F1470" s="199"/>
      <c r="G1470" s="199"/>
      <c r="H1470" s="199"/>
      <c r="I1470" s="199"/>
      <c r="J1470" s="199"/>
      <c r="K1470" s="199"/>
      <c r="L1470" s="199"/>
      <c r="M1470" s="199"/>
      <c r="N1470" s="205"/>
      <c r="O1470" s="199"/>
      <c r="P1470" s="199"/>
      <c r="Q1470" s="199"/>
      <c r="R1470" s="154"/>
      <c r="S1470" s="154"/>
      <c r="T1470" s="154"/>
      <c r="U1470" s="154"/>
      <c r="AU1470" s="145"/>
      <c r="BB1470" s="220"/>
    </row>
    <row r="1471" spans="1:54" s="31" customFormat="1" hidden="1" outlineLevel="1" x14ac:dyDescent="0.35">
      <c r="A1471" s="132"/>
      <c r="B1471" s="1040"/>
      <c r="C1471" s="197"/>
      <c r="D1471" s="2986" t="s">
        <v>108</v>
      </c>
      <c r="E1471" s="2986" t="s">
        <v>109</v>
      </c>
      <c r="F1471" s="2957" t="s">
        <v>111</v>
      </c>
      <c r="G1471" s="2957" t="s">
        <v>186</v>
      </c>
      <c r="H1471" s="2957" t="s">
        <v>282</v>
      </c>
      <c r="I1471" s="2957" t="s">
        <v>282</v>
      </c>
      <c r="J1471" s="199"/>
      <c r="K1471" s="132"/>
      <c r="L1471" s="132"/>
      <c r="M1471" s="106"/>
      <c r="N1471" s="205"/>
      <c r="O1471" s="199"/>
      <c r="P1471" s="199"/>
      <c r="Q1471" s="199"/>
      <c r="R1471" s="132"/>
      <c r="S1471" s="132"/>
      <c r="T1471" s="132"/>
      <c r="U1471" s="132"/>
      <c r="V1471" s="1572" t="s">
        <v>44</v>
      </c>
      <c r="W1471" s="1573">
        <v>43252</v>
      </c>
      <c r="X1471" s="1573">
        <f>$X$6</f>
        <v>43465</v>
      </c>
      <c r="Y1471" s="1573">
        <f>$Y$6</f>
        <v>43800</v>
      </c>
      <c r="Z1471" s="1573">
        <f>$Z$6</f>
        <v>43862</v>
      </c>
      <c r="AA1471" s="1573">
        <f>$AA$6</f>
        <v>44013</v>
      </c>
      <c r="AB1471" s="1573">
        <f>$AB$6</f>
        <v>44166</v>
      </c>
      <c r="AC1471" s="1573">
        <f>$AC$6</f>
        <v>44531</v>
      </c>
      <c r="AD1471" s="1573">
        <f>$AD$6</f>
        <v>44774</v>
      </c>
      <c r="AE1471" s="1573" t="str">
        <f>$AE$6</f>
        <v>-</v>
      </c>
      <c r="AF1471" s="1573" t="str">
        <f>$AF$6</f>
        <v>-</v>
      </c>
      <c r="AG1471" s="1573" t="str">
        <f>$AG$6</f>
        <v>-</v>
      </c>
      <c r="AH1471" s="150"/>
      <c r="AU1471" s="145"/>
      <c r="BB1471" s="134"/>
    </row>
    <row r="1472" spans="1:54" s="31" customFormat="1" hidden="1" outlineLevel="1" x14ac:dyDescent="0.35">
      <c r="A1472" s="132"/>
      <c r="B1472" s="1040"/>
      <c r="C1472" s="197"/>
      <c r="D1472" s="4193" t="s">
        <v>283</v>
      </c>
      <c r="E1472" s="2721" t="str">
        <f>E1438</f>
        <v>Learning Thermostat - ASHP heating/cooling SF</v>
      </c>
      <c r="F1472" s="3235">
        <v>1</v>
      </c>
      <c r="G1472" s="4217" t="s">
        <v>284</v>
      </c>
      <c r="H1472" s="4218"/>
      <c r="I1472" s="3236"/>
      <c r="J1472" s="199"/>
      <c r="K1472" s="132"/>
      <c r="L1472" s="132"/>
      <c r="M1472" s="132"/>
      <c r="N1472" s="205"/>
      <c r="O1472" s="199"/>
      <c r="P1472" s="199"/>
      <c r="Q1472" s="199"/>
      <c r="R1472" s="132"/>
      <c r="S1472" s="132"/>
      <c r="T1472" s="132"/>
      <c r="U1472" s="132"/>
      <c r="V1472" s="3777" t="str">
        <f>D1472</f>
        <v>%ElectricHeat</v>
      </c>
      <c r="W1472" s="238"/>
      <c r="X1472" s="238"/>
      <c r="Y1472" s="238"/>
      <c r="Z1472" s="379"/>
      <c r="AA1472" s="379"/>
      <c r="AB1472" s="379"/>
      <c r="AC1472" s="236"/>
      <c r="AD1472" s="1719">
        <v>1</v>
      </c>
      <c r="AE1472" s="238"/>
      <c r="AF1472" s="238"/>
      <c r="AG1472" s="238"/>
      <c r="AH1472" s="150"/>
      <c r="AU1472" s="145"/>
      <c r="BB1472" s="134"/>
    </row>
    <row r="1473" spans="1:54" s="31" customFormat="1" hidden="1" outlineLevel="1" x14ac:dyDescent="0.35">
      <c r="A1473" s="132"/>
      <c r="B1473" s="1040"/>
      <c r="C1473" s="197"/>
      <c r="D1473" s="4193"/>
      <c r="E1473" s="2725" t="str">
        <f>E1440</f>
        <v>Learning Thermostat - ASHP heating/cooling MF</v>
      </c>
      <c r="F1473" s="1719">
        <v>1</v>
      </c>
      <c r="G1473" s="4219" t="s">
        <v>284</v>
      </c>
      <c r="H1473" s="4220"/>
      <c r="I1473" s="3227"/>
      <c r="J1473" s="199"/>
      <c r="K1473" s="132"/>
      <c r="L1473" s="132"/>
      <c r="M1473" s="132"/>
      <c r="N1473" s="205"/>
      <c r="O1473" s="199"/>
      <c r="P1473" s="199"/>
      <c r="Q1473" s="199"/>
      <c r="R1473" s="132"/>
      <c r="S1473" s="132"/>
      <c r="T1473" s="132"/>
      <c r="U1473" s="132"/>
      <c r="V1473" s="3778"/>
      <c r="W1473" s="238"/>
      <c r="X1473" s="238"/>
      <c r="Y1473" s="238"/>
      <c r="Z1473" s="379"/>
      <c r="AA1473" s="379"/>
      <c r="AB1473" s="379"/>
      <c r="AC1473" s="236"/>
      <c r="AD1473" s="1719">
        <v>1</v>
      </c>
      <c r="AE1473" s="238"/>
      <c r="AF1473" s="238"/>
      <c r="AG1473" s="238"/>
      <c r="AH1473" s="150"/>
      <c r="AU1473" s="145"/>
      <c r="BB1473" s="134"/>
    </row>
    <row r="1474" spans="1:54" s="31" customFormat="1" hidden="1" outlineLevel="1" x14ac:dyDescent="0.35">
      <c r="A1474" s="132"/>
      <c r="B1474" s="1040"/>
      <c r="C1474" s="197"/>
      <c r="D1474" s="4193"/>
      <c r="E1474" s="2725" t="str">
        <f>E1442</f>
        <v>Learning Thermostat - electric furnace heating / central AC MF</v>
      </c>
      <c r="F1474" s="1719">
        <v>1</v>
      </c>
      <c r="G1474" s="4219" t="s">
        <v>284</v>
      </c>
      <c r="H1474" s="4220"/>
      <c r="I1474" s="3227"/>
      <c r="J1474" s="199"/>
      <c r="K1474" s="132"/>
      <c r="L1474" s="132"/>
      <c r="M1474" s="132"/>
      <c r="N1474" s="205"/>
      <c r="O1474" s="199"/>
      <c r="P1474" s="199"/>
      <c r="Q1474" s="199"/>
      <c r="R1474" s="132"/>
      <c r="S1474" s="132"/>
      <c r="T1474" s="132"/>
      <c r="U1474" s="132"/>
      <c r="V1474" s="3778"/>
      <c r="W1474" s="238"/>
      <c r="X1474" s="238"/>
      <c r="Y1474" s="238"/>
      <c r="Z1474" s="379"/>
      <c r="AA1474" s="379"/>
      <c r="AB1474" s="379"/>
      <c r="AC1474" s="236"/>
      <c r="AD1474" s="1719">
        <v>1</v>
      </c>
      <c r="AE1474" s="238"/>
      <c r="AF1474" s="238"/>
      <c r="AG1474" s="238"/>
      <c r="AH1474" s="150"/>
      <c r="AU1474" s="145"/>
      <c r="BB1474" s="134"/>
    </row>
    <row r="1475" spans="1:54" s="31" customFormat="1" hidden="1" outlineLevel="1" x14ac:dyDescent="0.35">
      <c r="A1475" s="132"/>
      <c r="B1475" s="1040"/>
      <c r="C1475" s="197"/>
      <c r="D1475" s="4193"/>
      <c r="E1475" s="2726" t="str">
        <f>E1444</f>
        <v>Learning Thermostat - electric furnace heating / central AC SF</v>
      </c>
      <c r="F1475" s="1719">
        <v>1</v>
      </c>
      <c r="G1475" s="4219" t="s">
        <v>284</v>
      </c>
      <c r="H1475" s="4220"/>
      <c r="I1475" s="3227"/>
      <c r="J1475" s="199"/>
      <c r="K1475" s="132"/>
      <c r="L1475" s="132"/>
      <c r="M1475" s="132"/>
      <c r="N1475" s="205"/>
      <c r="O1475" s="199"/>
      <c r="P1475" s="199"/>
      <c r="Q1475" s="199"/>
      <c r="R1475" s="132"/>
      <c r="S1475" s="132"/>
      <c r="T1475" s="132"/>
      <c r="U1475" s="132"/>
      <c r="V1475" s="3778"/>
      <c r="W1475" s="238"/>
      <c r="X1475" s="238"/>
      <c r="Y1475" s="238"/>
      <c r="Z1475" s="379"/>
      <c r="AA1475" s="379"/>
      <c r="AB1475" s="379"/>
      <c r="AC1475" s="236"/>
      <c r="AD1475" s="1719">
        <v>1</v>
      </c>
      <c r="AE1475" s="238"/>
      <c r="AF1475" s="238"/>
      <c r="AG1475" s="238"/>
      <c r="AH1475" s="150"/>
      <c r="AU1475" s="145"/>
      <c r="BB1475" s="134"/>
    </row>
    <row r="1476" spans="1:54" s="31" customFormat="1" hidden="1" outlineLevel="1" x14ac:dyDescent="0.35">
      <c r="A1476" s="132"/>
      <c r="B1476" s="1040"/>
      <c r="C1476" s="197"/>
      <c r="D1476" s="4193"/>
      <c r="E1476" s="2726" t="str">
        <f>E1446</f>
        <v>Learning Thermostat - Gas Heated / central AC SF**</v>
      </c>
      <c r="F1476" s="1719">
        <v>0</v>
      </c>
      <c r="G1476" s="4219" t="s">
        <v>284</v>
      </c>
      <c r="H1476" s="4220"/>
      <c r="I1476" s="3227"/>
      <c r="J1476" s="199"/>
      <c r="K1476" s="132"/>
      <c r="L1476" s="132"/>
      <c r="M1476" s="132"/>
      <c r="N1476" s="205"/>
      <c r="O1476" s="199"/>
      <c r="P1476" s="199"/>
      <c r="Q1476" s="199"/>
      <c r="R1476" s="132"/>
      <c r="S1476" s="132"/>
      <c r="T1476" s="132"/>
      <c r="U1476" s="132"/>
      <c r="V1476" s="3778"/>
      <c r="W1476" s="238"/>
      <c r="X1476" s="238"/>
      <c r="Y1476" s="238"/>
      <c r="Z1476" s="379"/>
      <c r="AA1476" s="379"/>
      <c r="AB1476" s="379"/>
      <c r="AC1476" s="236"/>
      <c r="AD1476" s="1719">
        <v>0</v>
      </c>
      <c r="AE1476" s="238"/>
      <c r="AF1476" s="238"/>
      <c r="AG1476" s="238"/>
      <c r="AH1476" s="150"/>
      <c r="AU1476" s="145"/>
      <c r="BB1476" s="134"/>
    </row>
    <row r="1477" spans="1:54" s="31" customFormat="1" hidden="1" outlineLevel="1" x14ac:dyDescent="0.35">
      <c r="A1477" s="132"/>
      <c r="B1477" s="1040"/>
      <c r="C1477" s="197"/>
      <c r="D1477" s="4193"/>
      <c r="E1477" s="2726" t="str">
        <f>E1448</f>
        <v>Learning Thermostat - Gas Heated / central AC MF**</v>
      </c>
      <c r="F1477" s="1719">
        <v>0</v>
      </c>
      <c r="G1477" s="4219" t="s">
        <v>284</v>
      </c>
      <c r="H1477" s="4220"/>
      <c r="I1477" s="3227"/>
      <c r="J1477" s="199"/>
      <c r="K1477" s="132"/>
      <c r="L1477" s="132"/>
      <c r="M1477" s="132"/>
      <c r="N1477" s="205"/>
      <c r="O1477" s="199"/>
      <c r="P1477" s="199"/>
      <c r="Q1477" s="199"/>
      <c r="R1477" s="132"/>
      <c r="S1477" s="132"/>
      <c r="T1477" s="132"/>
      <c r="U1477" s="132"/>
      <c r="V1477" s="3778"/>
      <c r="W1477" s="238"/>
      <c r="X1477" s="238"/>
      <c r="Y1477" s="241"/>
      <c r="Z1477" s="379"/>
      <c r="AA1477" s="379"/>
      <c r="AB1477" s="379"/>
      <c r="AC1477" s="236"/>
      <c r="AD1477" s="1719">
        <v>0</v>
      </c>
      <c r="AE1477" s="238"/>
      <c r="AF1477" s="238"/>
      <c r="AG1477" s="238"/>
      <c r="AH1477" s="150"/>
      <c r="AU1477" s="145"/>
      <c r="BB1477" s="134"/>
    </row>
    <row r="1478" spans="1:54" s="31" customFormat="1" hidden="1" outlineLevel="1" x14ac:dyDescent="0.35">
      <c r="A1478" s="132"/>
      <c r="B1478" s="1040"/>
      <c r="C1478" s="197"/>
      <c r="D1478" s="4193"/>
      <c r="E1478" s="2726" t="str">
        <f>E1450</f>
        <v>Learning Thermostat - Unknown SF**</v>
      </c>
      <c r="F1478" s="240">
        <v>0.33</v>
      </c>
      <c r="G1478" s="4221" t="s">
        <v>285</v>
      </c>
      <c r="H1478" s="4222"/>
      <c r="I1478" s="3218"/>
      <c r="J1478" s="199"/>
      <c r="K1478" s="132"/>
      <c r="L1478" s="132"/>
      <c r="M1478" s="132"/>
      <c r="N1478" s="205"/>
      <c r="O1478" s="199"/>
      <c r="P1478" s="199"/>
      <c r="Q1478" s="199"/>
      <c r="R1478" s="132"/>
      <c r="S1478" s="132"/>
      <c r="T1478" s="132"/>
      <c r="U1478" s="132"/>
      <c r="V1478" s="3778"/>
      <c r="W1478" s="238"/>
      <c r="X1478" s="238"/>
      <c r="Y1478" s="241"/>
      <c r="Z1478" s="379"/>
      <c r="AA1478" s="379"/>
      <c r="AB1478" s="379"/>
      <c r="AC1478" s="236"/>
      <c r="AD1478" s="240">
        <v>0.33</v>
      </c>
      <c r="AE1478" s="238"/>
      <c r="AF1478" s="238"/>
      <c r="AG1478" s="238"/>
      <c r="AH1478" s="150"/>
      <c r="AU1478" s="145"/>
      <c r="BB1478" s="134"/>
    </row>
    <row r="1479" spans="1:54" s="31" customFormat="1" ht="15" hidden="1" outlineLevel="1" thickBot="1" x14ac:dyDescent="0.4">
      <c r="A1479" s="132"/>
      <c r="B1479" s="1040"/>
      <c r="C1479" s="197"/>
      <c r="D1479" s="4194"/>
      <c r="E1479" s="3228" t="str">
        <f>E1452</f>
        <v>Learning Thermostat - Unknown MF**</v>
      </c>
      <c r="F1479" s="3229">
        <v>0.33</v>
      </c>
      <c r="G1479" s="4223"/>
      <c r="H1479" s="4224"/>
      <c r="I1479" s="3220"/>
      <c r="J1479" s="199"/>
      <c r="K1479" s="132"/>
      <c r="L1479" s="132"/>
      <c r="M1479" s="132"/>
      <c r="N1479" s="205"/>
      <c r="O1479" s="199"/>
      <c r="P1479" s="199"/>
      <c r="Q1479" s="199"/>
      <c r="R1479" s="132"/>
      <c r="S1479" s="132"/>
      <c r="T1479" s="132"/>
      <c r="U1479" s="132"/>
      <c r="V1479" s="3779"/>
      <c r="W1479" s="238"/>
      <c r="X1479" s="238"/>
      <c r="Y1479" s="241"/>
      <c r="Z1479" s="379"/>
      <c r="AA1479" s="379"/>
      <c r="AB1479" s="379"/>
      <c r="AC1479" s="236"/>
      <c r="AD1479" s="240">
        <v>0.33</v>
      </c>
      <c r="AE1479" s="238"/>
      <c r="AF1479" s="238"/>
      <c r="AG1479" s="238"/>
      <c r="AH1479" s="150"/>
      <c r="AU1479" s="145"/>
      <c r="BB1479" s="134"/>
    </row>
    <row r="1480" spans="1:54" s="31" customFormat="1" hidden="1" outlineLevel="1" x14ac:dyDescent="0.35">
      <c r="A1480" s="132"/>
      <c r="B1480" s="1040"/>
      <c r="C1480" s="197"/>
      <c r="D1480" s="4192" t="s">
        <v>286</v>
      </c>
      <c r="E1480" s="3212" t="str">
        <f t="shared" ref="E1480:E1487" si="212">E1472</f>
        <v>Learning Thermostat - ASHP heating/cooling SF</v>
      </c>
      <c r="F1480" s="3213">
        <v>8354.8764478764479</v>
      </c>
      <c r="G1480" s="4202" t="s">
        <v>284</v>
      </c>
      <c r="H1480" s="4203"/>
      <c r="I1480" s="4213" t="s">
        <v>288</v>
      </c>
      <c r="J1480" s="199"/>
      <c r="K1480" s="132"/>
      <c r="L1480" s="132"/>
      <c r="M1480" s="132"/>
      <c r="N1480" s="205"/>
      <c r="O1480" s="199"/>
      <c r="P1480" s="199"/>
      <c r="Q1480" s="199"/>
      <c r="R1480" s="132"/>
      <c r="S1480" s="132"/>
      <c r="T1480" s="132"/>
      <c r="U1480" s="132"/>
      <c r="V1480" s="3777" t="str">
        <f>D1480</f>
        <v>HeatingConsumption_Electric</v>
      </c>
      <c r="W1480" s="238"/>
      <c r="X1480" s="238"/>
      <c r="Y1480" s="241"/>
      <c r="Z1480" s="379"/>
      <c r="AA1480" s="379"/>
      <c r="AB1480" s="379"/>
      <c r="AC1480" s="236"/>
      <c r="AD1480" s="245">
        <v>8354.8764478764479</v>
      </c>
      <c r="AE1480" s="238"/>
      <c r="AF1480" s="238"/>
      <c r="AG1480" s="238"/>
      <c r="AH1480" s="150"/>
      <c r="AU1480" s="145"/>
      <c r="BB1480" s="134"/>
    </row>
    <row r="1481" spans="1:54" s="31" customFormat="1" hidden="1" outlineLevel="1" x14ac:dyDescent="0.35">
      <c r="A1481" s="132"/>
      <c r="B1481" s="1040"/>
      <c r="C1481" s="197"/>
      <c r="D1481" s="4193"/>
      <c r="E1481" s="2725" t="str">
        <f t="shared" si="212"/>
        <v>Learning Thermostat - ASHP heating/cooling MF</v>
      </c>
      <c r="F1481" s="245">
        <v>8355</v>
      </c>
      <c r="G1481" s="4204"/>
      <c r="H1481" s="4205"/>
      <c r="I1481" s="4214"/>
      <c r="J1481" s="199"/>
      <c r="K1481" s="132"/>
      <c r="L1481" s="132"/>
      <c r="M1481" s="132"/>
      <c r="N1481" s="205"/>
      <c r="O1481" s="199"/>
      <c r="P1481" s="199"/>
      <c r="Q1481" s="199"/>
      <c r="R1481" s="132"/>
      <c r="S1481" s="132"/>
      <c r="T1481" s="132"/>
      <c r="U1481" s="132"/>
      <c r="V1481" s="3778"/>
      <c r="W1481" s="238"/>
      <c r="X1481" s="238"/>
      <c r="Y1481" s="241"/>
      <c r="Z1481" s="379"/>
      <c r="AA1481" s="379"/>
      <c r="AB1481" s="379"/>
      <c r="AC1481" s="236"/>
      <c r="AD1481" s="245">
        <v>8355</v>
      </c>
      <c r="AE1481" s="238"/>
      <c r="AF1481" s="238"/>
      <c r="AG1481" s="238"/>
      <c r="AH1481" s="150"/>
      <c r="AU1481" s="145"/>
      <c r="BB1481" s="134"/>
    </row>
    <row r="1482" spans="1:54" s="31" customFormat="1" hidden="1" outlineLevel="1" x14ac:dyDescent="0.35">
      <c r="A1482" s="132"/>
      <c r="B1482" s="1040"/>
      <c r="C1482" s="197"/>
      <c r="D1482" s="4193"/>
      <c r="E1482" s="2725" t="str">
        <f t="shared" si="212"/>
        <v>Learning Thermostat - electric furnace heating / central AC MF</v>
      </c>
      <c r="F1482" s="245">
        <v>14201.965811965812</v>
      </c>
      <c r="G1482" s="4204"/>
      <c r="H1482" s="4205"/>
      <c r="I1482" s="4215"/>
      <c r="J1482" s="199"/>
      <c r="K1482" s="132"/>
      <c r="L1482" s="132"/>
      <c r="M1482" s="132"/>
      <c r="N1482" s="205"/>
      <c r="O1482" s="199"/>
      <c r="P1482" s="199"/>
      <c r="Q1482" s="199"/>
      <c r="R1482" s="132"/>
      <c r="S1482" s="132"/>
      <c r="T1482" s="132"/>
      <c r="U1482" s="132"/>
      <c r="V1482" s="3778"/>
      <c r="W1482" s="238"/>
      <c r="X1482" s="238"/>
      <c r="Y1482" s="241"/>
      <c r="Z1482" s="379"/>
      <c r="AA1482" s="379"/>
      <c r="AB1482" s="379"/>
      <c r="AC1482" s="236"/>
      <c r="AD1482" s="245">
        <v>14201.965811965812</v>
      </c>
      <c r="AE1482" s="238"/>
      <c r="AF1482" s="238"/>
      <c r="AG1482" s="238"/>
      <c r="AH1482" s="150"/>
      <c r="AU1482" s="145"/>
      <c r="BB1482" s="134"/>
    </row>
    <row r="1483" spans="1:54" s="31" customFormat="1" hidden="1" outlineLevel="1" x14ac:dyDescent="0.35">
      <c r="A1483" s="132"/>
      <c r="B1483" s="1040"/>
      <c r="C1483" s="197"/>
      <c r="D1483" s="4193"/>
      <c r="E1483" s="2725" t="str">
        <f t="shared" si="212"/>
        <v>Learning Thermostat - electric furnace heating / central AC SF</v>
      </c>
      <c r="F1483" s="245">
        <v>14201.965811965812</v>
      </c>
      <c r="G1483" s="4204"/>
      <c r="H1483" s="4205"/>
      <c r="I1483" s="4215"/>
      <c r="J1483" s="199"/>
      <c r="K1483" s="132"/>
      <c r="L1483" s="132"/>
      <c r="M1483" s="132"/>
      <c r="N1483" s="205"/>
      <c r="O1483" s="199"/>
      <c r="P1483" s="199"/>
      <c r="Q1483" s="199"/>
      <c r="R1483" s="132"/>
      <c r="S1483" s="132"/>
      <c r="T1483" s="132"/>
      <c r="U1483" s="132"/>
      <c r="V1483" s="3778"/>
      <c r="W1483" s="238"/>
      <c r="X1483" s="238"/>
      <c r="Y1483" s="241"/>
      <c r="Z1483" s="379"/>
      <c r="AA1483" s="379"/>
      <c r="AB1483" s="379"/>
      <c r="AC1483" s="236"/>
      <c r="AD1483" s="245">
        <v>14201.965811965812</v>
      </c>
      <c r="AE1483" s="238"/>
      <c r="AF1483" s="238"/>
      <c r="AG1483" s="238"/>
      <c r="AH1483" s="150"/>
      <c r="AU1483" s="145"/>
      <c r="BB1483" s="134"/>
    </row>
    <row r="1484" spans="1:54" s="31" customFormat="1" hidden="1" outlineLevel="1" x14ac:dyDescent="0.35">
      <c r="A1484" s="132"/>
      <c r="B1484" s="1040"/>
      <c r="C1484" s="197"/>
      <c r="D1484" s="4193"/>
      <c r="E1484" s="2725" t="str">
        <f t="shared" si="212"/>
        <v>Learning Thermostat - Gas Heated / central AC SF**</v>
      </c>
      <c r="F1484" s="245">
        <v>0</v>
      </c>
      <c r="G1484" s="4204"/>
      <c r="H1484" s="4205"/>
      <c r="I1484" s="4215"/>
      <c r="J1484" s="199"/>
      <c r="K1484" s="132"/>
      <c r="L1484" s="132"/>
      <c r="M1484" s="132"/>
      <c r="N1484" s="205"/>
      <c r="O1484" s="199"/>
      <c r="P1484" s="199"/>
      <c r="Q1484" s="199"/>
      <c r="R1484" s="132"/>
      <c r="S1484" s="132"/>
      <c r="T1484" s="132"/>
      <c r="U1484" s="132"/>
      <c r="V1484" s="3778"/>
      <c r="W1484" s="238"/>
      <c r="X1484" s="238"/>
      <c r="Y1484" s="241"/>
      <c r="Z1484" s="379"/>
      <c r="AA1484" s="379"/>
      <c r="AB1484" s="379"/>
      <c r="AC1484" s="236"/>
      <c r="AD1484" s="245">
        <v>0</v>
      </c>
      <c r="AE1484" s="238"/>
      <c r="AF1484" s="238"/>
      <c r="AG1484" s="238"/>
      <c r="AH1484" s="150"/>
      <c r="AU1484" s="145"/>
      <c r="BB1484" s="134"/>
    </row>
    <row r="1485" spans="1:54" s="31" customFormat="1" hidden="1" outlineLevel="1" x14ac:dyDescent="0.35">
      <c r="A1485" s="132"/>
      <c r="B1485" s="1040"/>
      <c r="C1485" s="197"/>
      <c r="D1485" s="4193"/>
      <c r="E1485" s="2725" t="str">
        <f t="shared" si="212"/>
        <v>Learning Thermostat - Gas Heated / central AC MF**</v>
      </c>
      <c r="F1485" s="245">
        <v>0</v>
      </c>
      <c r="G1485" s="4204"/>
      <c r="H1485" s="4205"/>
      <c r="I1485" s="4215"/>
      <c r="J1485" s="199"/>
      <c r="K1485" s="132"/>
      <c r="L1485" s="132"/>
      <c r="M1485" s="132"/>
      <c r="N1485" s="205"/>
      <c r="O1485" s="199"/>
      <c r="P1485" s="199"/>
      <c r="Q1485" s="199"/>
      <c r="R1485" s="132"/>
      <c r="S1485" s="132"/>
      <c r="T1485" s="132"/>
      <c r="U1485" s="132"/>
      <c r="V1485" s="3778"/>
      <c r="W1485" s="238"/>
      <c r="X1485" s="238"/>
      <c r="Y1485" s="241"/>
      <c r="Z1485" s="379"/>
      <c r="AA1485" s="379"/>
      <c r="AB1485" s="379"/>
      <c r="AC1485" s="236"/>
      <c r="AD1485" s="245">
        <v>0</v>
      </c>
      <c r="AE1485" s="238"/>
      <c r="AF1485" s="238"/>
      <c r="AG1485" s="238"/>
      <c r="AH1485" s="150"/>
      <c r="AU1485" s="145"/>
      <c r="BB1485" s="134"/>
    </row>
    <row r="1486" spans="1:54" s="31" customFormat="1" hidden="1" outlineLevel="1" x14ac:dyDescent="0.35">
      <c r="A1486" s="132"/>
      <c r="B1486" s="1040"/>
      <c r="C1486" s="197"/>
      <c r="D1486" s="4193"/>
      <c r="E1486" s="2725" t="str">
        <f t="shared" si="212"/>
        <v>Learning Thermostat - Unknown SF**</v>
      </c>
      <c r="F1486" s="245">
        <v>11456.0072529465</v>
      </c>
      <c r="G1486" s="4204"/>
      <c r="H1486" s="4205"/>
      <c r="I1486" s="4215"/>
      <c r="J1486" s="199"/>
      <c r="K1486" s="132"/>
      <c r="L1486" s="132"/>
      <c r="M1486" s="132"/>
      <c r="N1486" s="205"/>
      <c r="O1486" s="199"/>
      <c r="P1486" s="199"/>
      <c r="Q1486" s="199"/>
      <c r="R1486" s="132"/>
      <c r="S1486" s="132"/>
      <c r="T1486" s="132"/>
      <c r="U1486" s="132"/>
      <c r="V1486" s="3778"/>
      <c r="W1486" s="238"/>
      <c r="X1486" s="238"/>
      <c r="Y1486" s="241"/>
      <c r="Z1486" s="379"/>
      <c r="AA1486" s="379"/>
      <c r="AB1486" s="379"/>
      <c r="AC1486" s="236"/>
      <c r="AD1486" s="245">
        <v>11456.0072529465</v>
      </c>
      <c r="AE1486" s="238"/>
      <c r="AF1486" s="238"/>
      <c r="AG1486" s="238"/>
      <c r="AH1486" s="150"/>
      <c r="AU1486" s="145"/>
      <c r="BB1486" s="134"/>
    </row>
    <row r="1487" spans="1:54" s="31" customFormat="1" ht="15" hidden="1" outlineLevel="1" thickBot="1" x14ac:dyDescent="0.4">
      <c r="A1487" s="132"/>
      <c r="B1487" s="1040"/>
      <c r="C1487" s="197"/>
      <c r="D1487" s="4194"/>
      <c r="E1487" s="3214" t="str">
        <f t="shared" si="212"/>
        <v>Learning Thermostat - Unknown MF**</v>
      </c>
      <c r="F1487" s="3215">
        <v>11456.0072529465</v>
      </c>
      <c r="G1487" s="4206"/>
      <c r="H1487" s="4207"/>
      <c r="I1487" s="4216"/>
      <c r="J1487" s="199"/>
      <c r="K1487" s="132"/>
      <c r="L1487" s="132"/>
      <c r="M1487" s="132"/>
      <c r="N1487" s="205"/>
      <c r="O1487" s="199"/>
      <c r="P1487" s="199"/>
      <c r="Q1487" s="199"/>
      <c r="R1487" s="132"/>
      <c r="S1487" s="132"/>
      <c r="T1487" s="132"/>
      <c r="U1487" s="132"/>
      <c r="V1487" s="3781"/>
      <c r="W1487" s="238"/>
      <c r="X1487" s="238"/>
      <c r="Y1487" s="241"/>
      <c r="Z1487" s="379"/>
      <c r="AA1487" s="379"/>
      <c r="AB1487" s="379"/>
      <c r="AC1487" s="236"/>
      <c r="AD1487" s="245">
        <v>11456.0072529465</v>
      </c>
      <c r="AE1487" s="238"/>
      <c r="AF1487" s="238"/>
      <c r="AG1487" s="238"/>
      <c r="AH1487" s="150"/>
      <c r="AU1487" s="145"/>
      <c r="BB1487" s="134"/>
    </row>
    <row r="1488" spans="1:54" s="31" customFormat="1" hidden="1" outlineLevel="1" x14ac:dyDescent="0.35">
      <c r="A1488" s="132"/>
      <c r="B1488" s="1040"/>
      <c r="C1488" s="197"/>
      <c r="D1488" s="4192" t="s">
        <v>293</v>
      </c>
      <c r="E1488" s="3212" t="str">
        <f>E1472</f>
        <v>Learning Thermostat - ASHP heating/cooling SF</v>
      </c>
      <c r="F1488" s="3216">
        <v>1</v>
      </c>
      <c r="G1488" s="4188" t="s">
        <v>284</v>
      </c>
      <c r="H1488" s="4189"/>
      <c r="I1488" s="3217"/>
      <c r="J1488" s="199"/>
      <c r="K1488" s="132"/>
      <c r="L1488" s="132"/>
      <c r="M1488" s="132"/>
      <c r="N1488" s="205"/>
      <c r="O1488" s="199"/>
      <c r="P1488" s="199"/>
      <c r="Q1488" s="199"/>
      <c r="R1488" s="132"/>
      <c r="S1488" s="132"/>
      <c r="T1488" s="132"/>
      <c r="U1488" s="132"/>
      <c r="V1488" s="3777" t="str">
        <f>D1488</f>
        <v>HF</v>
      </c>
      <c r="W1488" s="238"/>
      <c r="X1488" s="238"/>
      <c r="Y1488" s="241"/>
      <c r="Z1488" s="379"/>
      <c r="AA1488" s="379"/>
      <c r="AB1488" s="379"/>
      <c r="AC1488" s="236"/>
      <c r="AD1488" s="240">
        <v>1</v>
      </c>
      <c r="AE1488" s="238"/>
      <c r="AF1488" s="238"/>
      <c r="AG1488" s="238"/>
      <c r="AH1488" s="150"/>
      <c r="AU1488" s="145"/>
      <c r="BB1488" s="134"/>
    </row>
    <row r="1489" spans="1:54" s="31" customFormat="1" hidden="1" outlineLevel="1" x14ac:dyDescent="0.35">
      <c r="A1489" s="132"/>
      <c r="B1489" s="1040"/>
      <c r="C1489" s="197"/>
      <c r="D1489" s="4193"/>
      <c r="E1489" s="2725" t="str">
        <f t="shared" ref="E1489:E1495" si="213">E1473</f>
        <v>Learning Thermostat - ASHP heating/cooling MF</v>
      </c>
      <c r="F1489" s="240">
        <v>0.65</v>
      </c>
      <c r="G1489" s="4198" t="s">
        <v>284</v>
      </c>
      <c r="H1489" s="4199"/>
      <c r="I1489" s="3218"/>
      <c r="J1489" s="199"/>
      <c r="K1489" s="132"/>
      <c r="L1489" s="132"/>
      <c r="M1489" s="132"/>
      <c r="N1489" s="205"/>
      <c r="O1489" s="199"/>
      <c r="P1489" s="199"/>
      <c r="Q1489" s="199"/>
      <c r="R1489" s="132"/>
      <c r="S1489" s="132"/>
      <c r="T1489" s="132"/>
      <c r="U1489" s="132"/>
      <c r="V1489" s="3778"/>
      <c r="W1489" s="238"/>
      <c r="X1489" s="238"/>
      <c r="Y1489" s="241"/>
      <c r="Z1489" s="379"/>
      <c r="AA1489" s="379"/>
      <c r="AB1489" s="379"/>
      <c r="AC1489" s="236"/>
      <c r="AD1489" s="240">
        <v>0.65</v>
      </c>
      <c r="AE1489" s="238"/>
      <c r="AF1489" s="238"/>
      <c r="AG1489" s="238"/>
      <c r="AH1489" s="150"/>
      <c r="AU1489" s="145"/>
      <c r="BB1489" s="134"/>
    </row>
    <row r="1490" spans="1:54" s="31" customFormat="1" hidden="1" outlineLevel="1" x14ac:dyDescent="0.35">
      <c r="A1490" s="132"/>
      <c r="B1490" s="1040"/>
      <c r="C1490" s="197"/>
      <c r="D1490" s="4193"/>
      <c r="E1490" s="2725" t="str">
        <f t="shared" si="213"/>
        <v>Learning Thermostat - electric furnace heating / central AC MF</v>
      </c>
      <c r="F1490" s="240">
        <v>0.65</v>
      </c>
      <c r="G1490" s="4198" t="s">
        <v>284</v>
      </c>
      <c r="H1490" s="4199"/>
      <c r="I1490" s="3218"/>
      <c r="J1490" s="199"/>
      <c r="K1490" s="132"/>
      <c r="L1490" s="132"/>
      <c r="M1490" s="132"/>
      <c r="N1490" s="205"/>
      <c r="O1490" s="199"/>
      <c r="P1490" s="199"/>
      <c r="Q1490" s="199"/>
      <c r="R1490" s="132"/>
      <c r="S1490" s="132"/>
      <c r="T1490" s="132"/>
      <c r="U1490" s="132"/>
      <c r="V1490" s="3778"/>
      <c r="W1490" s="238"/>
      <c r="X1490" s="238"/>
      <c r="Y1490" s="241"/>
      <c r="Z1490" s="379"/>
      <c r="AA1490" s="379"/>
      <c r="AB1490" s="379"/>
      <c r="AC1490" s="236"/>
      <c r="AD1490" s="240">
        <v>0.65</v>
      </c>
      <c r="AE1490" s="238"/>
      <c r="AF1490" s="238"/>
      <c r="AG1490" s="238"/>
      <c r="AH1490" s="150"/>
      <c r="AU1490" s="145"/>
      <c r="BB1490" s="134"/>
    </row>
    <row r="1491" spans="1:54" s="31" customFormat="1" hidden="1" outlineLevel="1" x14ac:dyDescent="0.35">
      <c r="A1491" s="132"/>
      <c r="B1491" s="1040"/>
      <c r="C1491" s="197"/>
      <c r="D1491" s="4193"/>
      <c r="E1491" s="2725" t="str">
        <f t="shared" si="213"/>
        <v>Learning Thermostat - electric furnace heating / central AC SF</v>
      </c>
      <c r="F1491" s="240">
        <v>1</v>
      </c>
      <c r="G1491" s="4198" t="s">
        <v>284</v>
      </c>
      <c r="H1491" s="4199"/>
      <c r="I1491" s="3218"/>
      <c r="J1491" s="199"/>
      <c r="K1491" s="132"/>
      <c r="L1491" s="132"/>
      <c r="M1491" s="132"/>
      <c r="N1491" s="205"/>
      <c r="O1491" s="199"/>
      <c r="P1491" s="199"/>
      <c r="Q1491" s="199"/>
      <c r="R1491" s="132"/>
      <c r="S1491" s="132"/>
      <c r="T1491" s="132"/>
      <c r="U1491" s="132"/>
      <c r="V1491" s="3778"/>
      <c r="W1491" s="238"/>
      <c r="X1491" s="238"/>
      <c r="Y1491" s="241"/>
      <c r="Z1491" s="379"/>
      <c r="AA1491" s="379"/>
      <c r="AB1491" s="379"/>
      <c r="AC1491" s="236"/>
      <c r="AD1491" s="240">
        <v>1</v>
      </c>
      <c r="AE1491" s="238"/>
      <c r="AF1491" s="238"/>
      <c r="AG1491" s="238"/>
      <c r="AH1491" s="150"/>
      <c r="AU1491" s="145"/>
      <c r="BB1491" s="134"/>
    </row>
    <row r="1492" spans="1:54" s="31" customFormat="1" hidden="1" outlineLevel="1" x14ac:dyDescent="0.35">
      <c r="A1492" s="132"/>
      <c r="B1492" s="1040"/>
      <c r="C1492" s="197"/>
      <c r="D1492" s="4193"/>
      <c r="E1492" s="2725" t="str">
        <f t="shared" si="213"/>
        <v>Learning Thermostat - Gas Heated / central AC SF**</v>
      </c>
      <c r="F1492" s="240">
        <v>1</v>
      </c>
      <c r="G1492" s="4198" t="s">
        <v>284</v>
      </c>
      <c r="H1492" s="4199"/>
      <c r="I1492" s="3218"/>
      <c r="J1492" s="199"/>
      <c r="K1492" s="132"/>
      <c r="L1492" s="132"/>
      <c r="M1492" s="132"/>
      <c r="N1492" s="205"/>
      <c r="O1492" s="199"/>
      <c r="P1492" s="199"/>
      <c r="Q1492" s="199"/>
      <c r="R1492" s="132"/>
      <c r="S1492" s="132"/>
      <c r="T1492" s="132"/>
      <c r="U1492" s="132"/>
      <c r="V1492" s="3778"/>
      <c r="W1492" s="238"/>
      <c r="X1492" s="238"/>
      <c r="Y1492" s="241"/>
      <c r="Z1492" s="379"/>
      <c r="AA1492" s="379"/>
      <c r="AB1492" s="379"/>
      <c r="AC1492" s="236"/>
      <c r="AD1492" s="240">
        <v>1</v>
      </c>
      <c r="AE1492" s="238"/>
      <c r="AF1492" s="238"/>
      <c r="AG1492" s="238"/>
      <c r="AH1492" s="150"/>
      <c r="AU1492" s="145"/>
      <c r="BB1492" s="134"/>
    </row>
    <row r="1493" spans="1:54" s="31" customFormat="1" hidden="1" outlineLevel="1" x14ac:dyDescent="0.35">
      <c r="A1493" s="132"/>
      <c r="B1493" s="1040"/>
      <c r="C1493" s="197"/>
      <c r="D1493" s="4193"/>
      <c r="E1493" s="2725" t="str">
        <f t="shared" si="213"/>
        <v>Learning Thermostat - Gas Heated / central AC MF**</v>
      </c>
      <c r="F1493" s="240">
        <v>0.65</v>
      </c>
      <c r="G1493" s="4198" t="s">
        <v>284</v>
      </c>
      <c r="H1493" s="4199"/>
      <c r="I1493" s="3218"/>
      <c r="J1493" s="199"/>
      <c r="K1493" s="132"/>
      <c r="L1493" s="132"/>
      <c r="M1493" s="132"/>
      <c r="N1493" s="205"/>
      <c r="O1493" s="199"/>
      <c r="P1493" s="199"/>
      <c r="Q1493" s="199"/>
      <c r="R1493" s="132"/>
      <c r="S1493" s="132"/>
      <c r="T1493" s="132"/>
      <c r="U1493" s="132"/>
      <c r="V1493" s="3778"/>
      <c r="W1493" s="238"/>
      <c r="X1493" s="238"/>
      <c r="Y1493" s="241"/>
      <c r="Z1493" s="379"/>
      <c r="AA1493" s="379"/>
      <c r="AB1493" s="379"/>
      <c r="AC1493" s="236"/>
      <c r="AD1493" s="240">
        <v>0.65</v>
      </c>
      <c r="AE1493" s="238"/>
      <c r="AF1493" s="238"/>
      <c r="AG1493" s="238"/>
      <c r="AH1493" s="150"/>
      <c r="AU1493" s="145"/>
      <c r="BB1493" s="134"/>
    </row>
    <row r="1494" spans="1:54" s="31" customFormat="1" hidden="1" outlineLevel="1" x14ac:dyDescent="0.35">
      <c r="A1494" s="132"/>
      <c r="B1494" s="1040"/>
      <c r="C1494" s="197"/>
      <c r="D1494" s="4193"/>
      <c r="E1494" s="2725" t="str">
        <f t="shared" si="213"/>
        <v>Learning Thermostat - Unknown SF**</v>
      </c>
      <c r="F1494" s="3211">
        <v>1</v>
      </c>
      <c r="G1494" s="4198" t="s">
        <v>284</v>
      </c>
      <c r="H1494" s="4199"/>
      <c r="I1494" s="3218"/>
      <c r="J1494" s="199"/>
      <c r="K1494" s="132"/>
      <c r="L1494" s="132"/>
      <c r="M1494" s="132"/>
      <c r="N1494" s="205"/>
      <c r="O1494" s="199"/>
      <c r="P1494" s="199"/>
      <c r="Q1494" s="199"/>
      <c r="R1494" s="132"/>
      <c r="S1494" s="132"/>
      <c r="T1494" s="132"/>
      <c r="U1494" s="132"/>
      <c r="V1494" s="3778"/>
      <c r="W1494" s="238"/>
      <c r="X1494" s="238"/>
      <c r="Y1494" s="241"/>
      <c r="Z1494" s="379"/>
      <c r="AA1494" s="379"/>
      <c r="AB1494" s="379"/>
      <c r="AC1494" s="236"/>
      <c r="AD1494" s="3211">
        <v>1</v>
      </c>
      <c r="AE1494" s="238"/>
      <c r="AF1494" s="238"/>
      <c r="AG1494" s="238"/>
      <c r="AH1494" s="150"/>
      <c r="AU1494" s="145"/>
      <c r="BB1494" s="134"/>
    </row>
    <row r="1495" spans="1:54" s="31" customFormat="1" ht="15" hidden="1" outlineLevel="1" thickBot="1" x14ac:dyDescent="0.4">
      <c r="A1495" s="132"/>
      <c r="B1495" s="1040"/>
      <c r="C1495" s="197"/>
      <c r="D1495" s="4194"/>
      <c r="E1495" s="3214" t="str">
        <f t="shared" si="213"/>
        <v>Learning Thermostat - Unknown MF**</v>
      </c>
      <c r="F1495" s="3219">
        <v>0.65</v>
      </c>
      <c r="G1495" s="4190" t="s">
        <v>284</v>
      </c>
      <c r="H1495" s="4191"/>
      <c r="I1495" s="3220"/>
      <c r="J1495" s="199"/>
      <c r="K1495" s="132"/>
      <c r="L1495" s="132"/>
      <c r="M1495" s="132"/>
      <c r="N1495" s="205"/>
      <c r="O1495" s="199"/>
      <c r="P1495" s="199"/>
      <c r="Q1495" s="199"/>
      <c r="R1495" s="132"/>
      <c r="S1495" s="132"/>
      <c r="T1495" s="132"/>
      <c r="U1495" s="132"/>
      <c r="V1495" s="3779"/>
      <c r="W1495" s="238"/>
      <c r="X1495" s="238"/>
      <c r="Y1495" s="241"/>
      <c r="Z1495" s="379"/>
      <c r="AA1495" s="379"/>
      <c r="AB1495" s="379"/>
      <c r="AC1495" s="236"/>
      <c r="AD1495" s="3211">
        <v>0.65</v>
      </c>
      <c r="AE1495" s="238"/>
      <c r="AF1495" s="238"/>
      <c r="AG1495" s="238"/>
      <c r="AH1495" s="150"/>
      <c r="AU1495" s="145"/>
      <c r="BB1495" s="134"/>
    </row>
    <row r="1496" spans="1:54" s="31" customFormat="1" ht="43.5" hidden="1" outlineLevel="1" x14ac:dyDescent="0.35">
      <c r="A1496" s="132"/>
      <c r="B1496" s="1040"/>
      <c r="C1496" s="197"/>
      <c r="D1496" s="4192" t="s">
        <v>297</v>
      </c>
      <c r="E1496" s="3212" t="s">
        <v>298</v>
      </c>
      <c r="F1496" s="3221">
        <f>SUMPRODUCT(F1497:F1499,I1497:I1499)</f>
        <v>6.668717948717949E-2</v>
      </c>
      <c r="G1496" s="4202" t="s">
        <v>4435</v>
      </c>
      <c r="H1496" s="4203"/>
      <c r="I1496" s="3222" t="s">
        <v>300</v>
      </c>
      <c r="J1496" s="199"/>
      <c r="K1496" s="132"/>
      <c r="L1496" s="132"/>
      <c r="M1496" s="132"/>
      <c r="N1496" s="205"/>
      <c r="O1496" s="199"/>
      <c r="P1496" s="199"/>
      <c r="Q1496" s="199"/>
      <c r="R1496" s="132"/>
      <c r="S1496" s="132"/>
      <c r="T1496" s="132"/>
      <c r="U1496" s="132"/>
      <c r="V1496" s="3777" t="str">
        <f>D1496</f>
        <v>HeatingReduction</v>
      </c>
      <c r="W1496" s="238"/>
      <c r="X1496" s="238"/>
      <c r="Y1496" s="241"/>
      <c r="Z1496" s="379"/>
      <c r="AA1496" s="379"/>
      <c r="AB1496" s="379"/>
      <c r="AC1496" s="236"/>
      <c r="AD1496" s="250">
        <v>6.668717948717949E-2</v>
      </c>
      <c r="AE1496" s="238"/>
      <c r="AF1496" s="238"/>
      <c r="AG1496" s="238"/>
      <c r="AH1496" s="150"/>
      <c r="AJ1496" s="252"/>
      <c r="AU1496" s="145"/>
      <c r="BB1496" s="134"/>
    </row>
    <row r="1497" spans="1:54" s="31" customFormat="1" hidden="1" outlineLevel="1" x14ac:dyDescent="0.35">
      <c r="A1497" s="132"/>
      <c r="B1497" s="1040"/>
      <c r="C1497" s="197"/>
      <c r="D1497" s="4193"/>
      <c r="E1497" s="2725" t="s">
        <v>301</v>
      </c>
      <c r="F1497" s="250">
        <v>8.7999999999999995E-2</v>
      </c>
      <c r="G1497" s="4204"/>
      <c r="H1497" s="4205"/>
      <c r="I1497" s="3223">
        <v>0.42820512820512818</v>
      </c>
      <c r="J1497" s="199"/>
      <c r="K1497" s="132"/>
      <c r="L1497" s="132"/>
      <c r="M1497" s="132"/>
      <c r="N1497" s="205"/>
      <c r="O1497" s="199"/>
      <c r="P1497" s="199"/>
      <c r="Q1497" s="199"/>
      <c r="R1497" s="132"/>
      <c r="S1497" s="132"/>
      <c r="T1497" s="132"/>
      <c r="U1497" s="132"/>
      <c r="V1497" s="3778"/>
      <c r="W1497" s="238"/>
      <c r="X1497" s="238"/>
      <c r="Y1497" s="241"/>
      <c r="Z1497" s="379"/>
      <c r="AA1497" s="379"/>
      <c r="AB1497" s="379"/>
      <c r="AC1497" s="236"/>
      <c r="AD1497" s="250">
        <v>8.7999999999999995E-2</v>
      </c>
      <c r="AE1497" s="238"/>
      <c r="AF1497" s="238"/>
      <c r="AG1497" s="238"/>
      <c r="AH1497" s="150"/>
      <c r="AJ1497" s="252"/>
      <c r="AU1497" s="145"/>
      <c r="BB1497" s="134"/>
    </row>
    <row r="1498" spans="1:54" s="31" customFormat="1" hidden="1" outlineLevel="1" x14ac:dyDescent="0.35">
      <c r="A1498" s="132"/>
      <c r="B1498" s="1040"/>
      <c r="C1498" s="197"/>
      <c r="D1498" s="4193"/>
      <c r="E1498" s="2725" t="s">
        <v>302</v>
      </c>
      <c r="F1498" s="250">
        <v>5.6000000000000001E-2</v>
      </c>
      <c r="G1498" s="4204"/>
      <c r="H1498" s="4205"/>
      <c r="I1498" s="3223">
        <v>0.517948717948718</v>
      </c>
      <c r="J1498" s="199"/>
      <c r="K1498" s="132"/>
      <c r="L1498" s="132"/>
      <c r="M1498" s="132"/>
      <c r="N1498" s="205"/>
      <c r="O1498" s="199"/>
      <c r="P1498" s="199"/>
      <c r="Q1498" s="199"/>
      <c r="R1498" s="132"/>
      <c r="S1498" s="132"/>
      <c r="T1498" s="132"/>
      <c r="U1498" s="132"/>
      <c r="V1498" s="3778"/>
      <c r="W1498" s="238"/>
      <c r="X1498" s="238"/>
      <c r="Y1498" s="241"/>
      <c r="Z1498" s="379"/>
      <c r="AA1498" s="379"/>
      <c r="AB1498" s="379"/>
      <c r="AC1498" s="236"/>
      <c r="AD1498" s="250">
        <v>5.6000000000000001E-2</v>
      </c>
      <c r="AE1498" s="238"/>
      <c r="AF1498" s="238"/>
      <c r="AG1498" s="238"/>
      <c r="AH1498" s="150"/>
      <c r="AJ1498" s="252"/>
      <c r="AU1498" s="145"/>
      <c r="BB1498" s="134"/>
    </row>
    <row r="1499" spans="1:54" s="31" customFormat="1" ht="15" hidden="1" outlineLevel="1" thickBot="1" x14ac:dyDescent="0.4">
      <c r="A1499" s="132"/>
      <c r="B1499" s="1040"/>
      <c r="C1499" s="197"/>
      <c r="D1499" s="4195"/>
      <c r="E1499" s="3214" t="s">
        <v>303</v>
      </c>
      <c r="F1499" s="3224">
        <v>0</v>
      </c>
      <c r="G1499" s="4206"/>
      <c r="H1499" s="4207"/>
      <c r="I1499" s="3225">
        <v>5.3846153846153849E-2</v>
      </c>
      <c r="J1499" s="199"/>
      <c r="K1499" s="132"/>
      <c r="L1499" s="132"/>
      <c r="M1499" s="132"/>
      <c r="N1499" s="205"/>
      <c r="O1499" s="199"/>
      <c r="P1499" s="199"/>
      <c r="Q1499" s="199"/>
      <c r="R1499" s="132"/>
      <c r="S1499" s="132"/>
      <c r="T1499" s="132"/>
      <c r="U1499" s="132"/>
      <c r="V1499" s="3783"/>
      <c r="W1499" s="238"/>
      <c r="X1499" s="238"/>
      <c r="Y1499" s="241"/>
      <c r="Z1499" s="379"/>
      <c r="AA1499" s="379"/>
      <c r="AB1499" s="379"/>
      <c r="AC1499" s="236"/>
      <c r="AD1499" s="250">
        <v>0</v>
      </c>
      <c r="AE1499" s="238"/>
      <c r="AF1499" s="238"/>
      <c r="AG1499" s="238"/>
      <c r="AH1499" s="150"/>
      <c r="AJ1499" s="252"/>
      <c r="AU1499" s="145"/>
      <c r="BB1499" s="134"/>
    </row>
    <row r="1500" spans="1:54" s="31" customFormat="1" ht="44" hidden="1" outlineLevel="1" thickBot="1" x14ac:dyDescent="0.4">
      <c r="A1500" s="132"/>
      <c r="B1500" s="1040"/>
      <c r="C1500" s="197"/>
      <c r="D1500" s="3230" t="s">
        <v>304</v>
      </c>
      <c r="E1500" s="3231" t="s">
        <v>134</v>
      </c>
      <c r="F1500" s="3232">
        <v>1</v>
      </c>
      <c r="G1500" s="4186" t="s">
        <v>284</v>
      </c>
      <c r="H1500" s="4187"/>
      <c r="I1500" s="3233" t="s">
        <v>305</v>
      </c>
      <c r="J1500" s="199"/>
      <c r="K1500" s="132"/>
      <c r="L1500" s="1222"/>
      <c r="M1500" s="132"/>
      <c r="N1500" s="205"/>
      <c r="O1500" s="199"/>
      <c r="P1500" s="199"/>
      <c r="Q1500" s="199"/>
      <c r="R1500" s="132"/>
      <c r="S1500" s="132"/>
      <c r="T1500" s="132"/>
      <c r="U1500" s="132"/>
      <c r="V1500" s="2959" t="str">
        <f>D1500</f>
        <v>Eff_ISR</v>
      </c>
      <c r="W1500" s="238"/>
      <c r="X1500" s="238"/>
      <c r="Y1500" s="241"/>
      <c r="Z1500" s="379"/>
      <c r="AA1500" s="379"/>
      <c r="AB1500" s="379"/>
      <c r="AC1500" s="236"/>
      <c r="AD1500" s="250">
        <v>1</v>
      </c>
      <c r="AE1500" s="238"/>
      <c r="AF1500" s="238"/>
      <c r="AG1500" s="238"/>
      <c r="AH1500" s="150"/>
      <c r="AJ1500" s="252"/>
      <c r="AU1500" s="145"/>
      <c r="BB1500" s="134"/>
    </row>
    <row r="1501" spans="1:54" s="31" customFormat="1" hidden="1" outlineLevel="1" x14ac:dyDescent="0.35">
      <c r="A1501" s="132"/>
      <c r="B1501" s="1040"/>
      <c r="C1501" s="197"/>
      <c r="D1501" s="4192" t="s">
        <v>307</v>
      </c>
      <c r="E1501" s="3212" t="str">
        <f t="shared" ref="E1501:E1508" si="214">E1472</f>
        <v>Learning Thermostat - ASHP heating/cooling SF</v>
      </c>
      <c r="F1501" s="3234">
        <f t="shared" ref="F1501:F1508" si="215">F1523*$F$1531*F1488*$F$1496*$F$1500</f>
        <v>0</v>
      </c>
      <c r="G1501" s="4209" t="s">
        <v>308</v>
      </c>
      <c r="H1501" s="4210"/>
      <c r="I1501" s="3226"/>
      <c r="J1501" s="199"/>
      <c r="K1501" s="132"/>
      <c r="L1501" s="132"/>
      <c r="M1501" s="132"/>
      <c r="N1501" s="205"/>
      <c r="O1501" s="199"/>
      <c r="P1501" s="199"/>
      <c r="Q1501" s="199"/>
      <c r="R1501" s="132"/>
      <c r="S1501" s="132"/>
      <c r="T1501" s="132"/>
      <c r="U1501" s="132"/>
      <c r="V1501" s="3777" t="str">
        <f>D1501</f>
        <v>∆Therms</v>
      </c>
      <c r="W1501" s="238"/>
      <c r="X1501" s="238"/>
      <c r="Y1501" s="241"/>
      <c r="Z1501" s="379"/>
      <c r="AA1501" s="379"/>
      <c r="AB1501" s="379"/>
      <c r="AC1501" s="236"/>
      <c r="AD1501" s="2727">
        <v>0</v>
      </c>
      <c r="AE1501" s="238"/>
      <c r="AF1501" s="238"/>
      <c r="AG1501" s="238"/>
      <c r="AH1501" s="150"/>
      <c r="AU1501" s="145"/>
      <c r="BB1501" s="134"/>
    </row>
    <row r="1502" spans="1:54" s="31" customFormat="1" hidden="1" outlineLevel="1" x14ac:dyDescent="0.35">
      <c r="A1502" s="132"/>
      <c r="B1502" s="1040"/>
      <c r="C1502" s="197"/>
      <c r="D1502" s="4193"/>
      <c r="E1502" s="2725" t="str">
        <f t="shared" si="214"/>
        <v>Learning Thermostat - ASHP heating/cooling MF</v>
      </c>
      <c r="F1502" s="2727">
        <f t="shared" si="215"/>
        <v>0</v>
      </c>
      <c r="G1502" s="4211"/>
      <c r="H1502" s="4212"/>
      <c r="I1502" s="3227"/>
      <c r="J1502" s="199"/>
      <c r="K1502" s="132"/>
      <c r="L1502" s="132"/>
      <c r="M1502" s="132"/>
      <c r="N1502" s="205"/>
      <c r="O1502" s="199"/>
      <c r="P1502" s="199"/>
      <c r="Q1502" s="199"/>
      <c r="R1502" s="132"/>
      <c r="S1502" s="132"/>
      <c r="T1502" s="132"/>
      <c r="U1502" s="132"/>
      <c r="V1502" s="3778"/>
      <c r="W1502" s="259"/>
      <c r="X1502" s="259"/>
      <c r="Y1502" s="261"/>
      <c r="Z1502" s="1720"/>
      <c r="AA1502" s="1720"/>
      <c r="AB1502" s="1720"/>
      <c r="AC1502" s="1720"/>
      <c r="AD1502" s="2727">
        <v>0</v>
      </c>
      <c r="AE1502" s="259"/>
      <c r="AF1502" s="259"/>
      <c r="AG1502" s="259"/>
      <c r="AH1502" s="150"/>
      <c r="AU1502" s="145"/>
      <c r="BB1502" s="134"/>
    </row>
    <row r="1503" spans="1:54" s="31" customFormat="1" hidden="1" outlineLevel="1" x14ac:dyDescent="0.35">
      <c r="A1503" s="132"/>
      <c r="B1503" s="1040"/>
      <c r="C1503" s="197"/>
      <c r="D1503" s="4193"/>
      <c r="E1503" s="2725" t="str">
        <f t="shared" si="214"/>
        <v>Learning Thermostat - electric furnace heating / central AC MF</v>
      </c>
      <c r="F1503" s="2727">
        <f t="shared" si="215"/>
        <v>0</v>
      </c>
      <c r="G1503" s="4211"/>
      <c r="H1503" s="4212"/>
      <c r="I1503" s="3227"/>
      <c r="J1503" s="199"/>
      <c r="K1503" s="132"/>
      <c r="L1503" s="132"/>
      <c r="M1503" s="132"/>
      <c r="N1503" s="205"/>
      <c r="O1503" s="199"/>
      <c r="P1503" s="199"/>
      <c r="Q1503" s="199"/>
      <c r="R1503" s="132"/>
      <c r="S1503" s="132"/>
      <c r="T1503" s="132"/>
      <c r="U1503" s="132"/>
      <c r="V1503" s="3778"/>
      <c r="W1503" s="259"/>
      <c r="X1503" s="259"/>
      <c r="Y1503" s="259"/>
      <c r="Z1503" s="1720"/>
      <c r="AA1503" s="1720"/>
      <c r="AB1503" s="1720"/>
      <c r="AC1503" s="1720"/>
      <c r="AD1503" s="2727">
        <v>0</v>
      </c>
      <c r="AE1503" s="259"/>
      <c r="AF1503" s="259"/>
      <c r="AG1503" s="259"/>
      <c r="AH1503" s="150"/>
      <c r="AJ1503" s="252"/>
      <c r="AU1503" s="145"/>
      <c r="BB1503" s="134"/>
    </row>
    <row r="1504" spans="1:54" s="31" customFormat="1" hidden="1" outlineLevel="1" x14ac:dyDescent="0.35">
      <c r="A1504" s="132"/>
      <c r="B1504" s="1040"/>
      <c r="C1504" s="197"/>
      <c r="D1504" s="4193"/>
      <c r="E1504" s="2725" t="str">
        <f t="shared" si="214"/>
        <v>Learning Thermostat - electric furnace heating / central AC SF</v>
      </c>
      <c r="F1504" s="2727">
        <f t="shared" si="215"/>
        <v>0</v>
      </c>
      <c r="G1504" s="4211"/>
      <c r="H1504" s="4212"/>
      <c r="I1504" s="3227"/>
      <c r="J1504" s="199"/>
      <c r="K1504" s="132"/>
      <c r="L1504" s="132"/>
      <c r="M1504" s="132"/>
      <c r="N1504" s="205"/>
      <c r="O1504" s="199"/>
      <c r="P1504" s="199"/>
      <c r="Q1504" s="199"/>
      <c r="R1504" s="132"/>
      <c r="S1504" s="132"/>
      <c r="T1504" s="132"/>
      <c r="U1504" s="132"/>
      <c r="V1504" s="3778"/>
      <c r="W1504" s="259"/>
      <c r="X1504" s="259"/>
      <c r="Y1504" s="259"/>
      <c r="Z1504" s="1720"/>
      <c r="AA1504" s="1720"/>
      <c r="AB1504" s="1720"/>
      <c r="AC1504" s="1720"/>
      <c r="AD1504" s="2727">
        <v>0</v>
      </c>
      <c r="AE1504" s="259"/>
      <c r="AF1504" s="259"/>
      <c r="AG1504" s="259"/>
      <c r="AH1504" s="150"/>
      <c r="AJ1504" s="252"/>
      <c r="AU1504" s="145"/>
      <c r="BB1504" s="134"/>
    </row>
    <row r="1505" spans="1:54" s="31" customFormat="1" hidden="1" outlineLevel="1" x14ac:dyDescent="0.35">
      <c r="A1505" s="132"/>
      <c r="B1505" s="1040"/>
      <c r="C1505" s="197"/>
      <c r="D1505" s="4193"/>
      <c r="E1505" s="2725" t="str">
        <f t="shared" si="214"/>
        <v>Learning Thermostat - Gas Heated / central AC SF**</v>
      </c>
      <c r="F1505" s="2727">
        <f t="shared" si="215"/>
        <v>45.490139449541282</v>
      </c>
      <c r="G1505" s="4211"/>
      <c r="H1505" s="4212"/>
      <c r="I1505" s="3227"/>
      <c r="J1505" s="199"/>
      <c r="K1505" s="132"/>
      <c r="L1505" s="132"/>
      <c r="M1505" s="132"/>
      <c r="N1505" s="205"/>
      <c r="O1505" s="199"/>
      <c r="P1505" s="199"/>
      <c r="Q1505" s="199"/>
      <c r="R1505" s="132"/>
      <c r="S1505" s="132"/>
      <c r="T1505" s="132"/>
      <c r="U1505" s="132"/>
      <c r="V1505" s="3778"/>
      <c r="W1505" s="259"/>
      <c r="X1505" s="259"/>
      <c r="Y1505" s="257"/>
      <c r="Z1505" s="1720"/>
      <c r="AA1505" s="1720"/>
      <c r="AB1505" s="1720"/>
      <c r="AC1505" s="1720"/>
      <c r="AD1505" s="2727">
        <v>45.490139449541282</v>
      </c>
      <c r="AE1505" s="259"/>
      <c r="AF1505" s="259"/>
      <c r="AG1505" s="259"/>
      <c r="AH1505" s="150"/>
      <c r="AJ1505" s="252"/>
      <c r="AU1505" s="145"/>
      <c r="BB1505" s="134"/>
    </row>
    <row r="1506" spans="1:54" s="31" customFormat="1" hidden="1" outlineLevel="1" x14ac:dyDescent="0.35">
      <c r="A1506" s="132"/>
      <c r="B1506" s="1040"/>
      <c r="C1506" s="197"/>
      <c r="D1506" s="4193"/>
      <c r="E1506" s="2725" t="str">
        <f t="shared" si="214"/>
        <v>Learning Thermostat - Gas Heated / central AC MF**</v>
      </c>
      <c r="F1506" s="2727">
        <f t="shared" si="215"/>
        <v>29.568590642201833</v>
      </c>
      <c r="G1506" s="4211"/>
      <c r="H1506" s="4212"/>
      <c r="I1506" s="3227"/>
      <c r="J1506" s="199"/>
      <c r="K1506" s="132"/>
      <c r="L1506" s="132"/>
      <c r="M1506" s="132"/>
      <c r="N1506" s="205"/>
      <c r="O1506" s="199"/>
      <c r="P1506" s="199"/>
      <c r="Q1506" s="199"/>
      <c r="R1506" s="132"/>
      <c r="S1506" s="132"/>
      <c r="T1506" s="132"/>
      <c r="U1506" s="132"/>
      <c r="V1506" s="3778"/>
      <c r="W1506" s="259"/>
      <c r="X1506" s="259"/>
      <c r="Y1506" s="257"/>
      <c r="Z1506" s="1720"/>
      <c r="AA1506" s="1720"/>
      <c r="AB1506" s="1720"/>
      <c r="AC1506" s="1720"/>
      <c r="AD1506" s="2727">
        <v>29.568590642201833</v>
      </c>
      <c r="AE1506" s="259"/>
      <c r="AF1506" s="259"/>
      <c r="AG1506" s="259"/>
      <c r="AH1506" s="150"/>
      <c r="AJ1506" s="252"/>
      <c r="AU1506" s="145"/>
      <c r="BB1506" s="134"/>
    </row>
    <row r="1507" spans="1:54" s="31" customFormat="1" hidden="1" outlineLevel="1" x14ac:dyDescent="0.35">
      <c r="A1507" s="132"/>
      <c r="B1507" s="1040"/>
      <c r="C1507" s="197"/>
      <c r="D1507" s="4193"/>
      <c r="E1507" s="2725" t="str">
        <f t="shared" si="214"/>
        <v>Learning Thermostat - Unknown SF**</v>
      </c>
      <c r="F1507" s="2727">
        <f t="shared" si="215"/>
        <v>30.478393431192664</v>
      </c>
      <c r="G1507" s="4211"/>
      <c r="H1507" s="4212"/>
      <c r="I1507" s="3227"/>
      <c r="J1507" s="199"/>
      <c r="K1507" s="132"/>
      <c r="L1507" s="132"/>
      <c r="M1507" s="132"/>
      <c r="N1507" s="205"/>
      <c r="O1507" s="199"/>
      <c r="P1507" s="199"/>
      <c r="Q1507" s="199"/>
      <c r="R1507" s="132"/>
      <c r="S1507" s="132"/>
      <c r="T1507" s="132"/>
      <c r="U1507" s="132"/>
      <c r="V1507" s="3778"/>
      <c r="W1507" s="259"/>
      <c r="X1507" s="259"/>
      <c r="Y1507" s="257"/>
      <c r="Z1507" s="1720"/>
      <c r="AA1507" s="1720"/>
      <c r="AB1507" s="1720"/>
      <c r="AC1507" s="1720"/>
      <c r="AD1507" s="2727">
        <v>30.478393431192664</v>
      </c>
      <c r="AE1507" s="259"/>
      <c r="AF1507" s="259"/>
      <c r="AG1507" s="259"/>
      <c r="AH1507" s="150"/>
      <c r="AU1507" s="145"/>
      <c r="BB1507" s="134"/>
    </row>
    <row r="1508" spans="1:54" s="31" customFormat="1" ht="15" hidden="1" outlineLevel="1" thickBot="1" x14ac:dyDescent="0.4">
      <c r="A1508" s="132"/>
      <c r="B1508" s="1040"/>
      <c r="C1508" s="197"/>
      <c r="D1508" s="4208"/>
      <c r="E1508" s="2719" t="str">
        <f t="shared" si="214"/>
        <v>Learning Thermostat - Unknown MF**</v>
      </c>
      <c r="F1508" s="3237">
        <f t="shared" si="215"/>
        <v>19.810955730275229</v>
      </c>
      <c r="G1508" s="4211"/>
      <c r="H1508" s="4212"/>
      <c r="I1508" s="3238"/>
      <c r="J1508" s="199"/>
      <c r="K1508" s="132"/>
      <c r="L1508" s="132"/>
      <c r="M1508" s="132"/>
      <c r="N1508" s="205"/>
      <c r="O1508" s="199"/>
      <c r="P1508" s="199"/>
      <c r="Q1508" s="199"/>
      <c r="R1508" s="132"/>
      <c r="S1508" s="132"/>
      <c r="T1508" s="132"/>
      <c r="U1508" s="132"/>
      <c r="V1508" s="3779"/>
      <c r="W1508" s="259"/>
      <c r="X1508" s="259"/>
      <c r="Y1508" s="257"/>
      <c r="Z1508" s="1720"/>
      <c r="AA1508" s="1720"/>
      <c r="AB1508" s="1720"/>
      <c r="AC1508" s="1720"/>
      <c r="AD1508" s="2727">
        <v>19.810955730275229</v>
      </c>
      <c r="AE1508" s="259"/>
      <c r="AF1508" s="259"/>
      <c r="AG1508" s="259"/>
      <c r="AH1508" s="150"/>
      <c r="AU1508" s="145"/>
      <c r="BB1508" s="134"/>
    </row>
    <row r="1509" spans="1:54" s="31" customFormat="1" ht="15" hidden="1" outlineLevel="1" thickBot="1" x14ac:dyDescent="0.4">
      <c r="A1509" s="132"/>
      <c r="B1509" s="1040"/>
      <c r="C1509" s="197"/>
      <c r="D1509" s="3230" t="s">
        <v>309</v>
      </c>
      <c r="E1509" s="3239" t="s">
        <v>134</v>
      </c>
      <c r="F1509" s="3240">
        <v>3.1399999999999997E-2</v>
      </c>
      <c r="G1509" s="4186" t="s">
        <v>284</v>
      </c>
      <c r="H1509" s="4187"/>
      <c r="I1509" s="3241" t="s">
        <v>310</v>
      </c>
      <c r="J1509" s="199"/>
      <c r="K1509" s="132"/>
      <c r="L1509" s="132"/>
      <c r="M1509" s="132"/>
      <c r="N1509" s="205"/>
      <c r="O1509" s="199"/>
      <c r="P1509" s="199"/>
      <c r="Q1509" s="199"/>
      <c r="R1509" s="132"/>
      <c r="S1509" s="132"/>
      <c r="T1509" s="132"/>
      <c r="U1509" s="132"/>
      <c r="V1509" s="1022" t="str">
        <f>D1509</f>
        <v>Fe</v>
      </c>
      <c r="W1509" s="262"/>
      <c r="X1509" s="262"/>
      <c r="Y1509" s="263"/>
      <c r="Z1509" s="1721"/>
      <c r="AA1509" s="1721"/>
      <c r="AB1509" s="1721"/>
      <c r="AC1509" s="1721"/>
      <c r="AD1509" s="3209">
        <v>3.1399999999999997E-2</v>
      </c>
      <c r="AE1509" s="262"/>
      <c r="AF1509" s="262"/>
      <c r="AG1509" s="262"/>
      <c r="AH1509" s="150"/>
      <c r="AJ1509" s="252"/>
      <c r="AU1509" s="145"/>
      <c r="BB1509" s="134"/>
    </row>
    <row r="1510" spans="1:54" s="31" customFormat="1" hidden="1" outlineLevel="1" x14ac:dyDescent="0.35">
      <c r="A1510" s="132"/>
      <c r="B1510" s="1040"/>
      <c r="C1510" s="197"/>
      <c r="D1510" s="4192" t="s">
        <v>311</v>
      </c>
      <c r="E1510" s="3212" t="str">
        <f>E1472</f>
        <v>Learning Thermostat - ASHP heating/cooling SF</v>
      </c>
      <c r="F1510" s="3216">
        <v>1</v>
      </c>
      <c r="G1510" s="4188" t="s">
        <v>284</v>
      </c>
      <c r="H1510" s="4189"/>
      <c r="I1510" s="3217"/>
      <c r="J1510" s="199"/>
      <c r="K1510" s="132"/>
      <c r="L1510" s="132"/>
      <c r="M1510" s="132"/>
      <c r="N1510" s="205"/>
      <c r="O1510" s="199"/>
      <c r="P1510" s="199"/>
      <c r="Q1510" s="199"/>
      <c r="R1510" s="132"/>
      <c r="S1510" s="132"/>
      <c r="T1510" s="132"/>
      <c r="U1510" s="132"/>
      <c r="V1510" s="3777" t="str">
        <f>D1510</f>
        <v>%AC</v>
      </c>
      <c r="W1510" s="238"/>
      <c r="X1510" s="238"/>
      <c r="Y1510" s="238"/>
      <c r="Z1510" s="379"/>
      <c r="AA1510" s="379"/>
      <c r="AB1510" s="379"/>
      <c r="AC1510" s="379"/>
      <c r="AD1510" s="240">
        <v>1</v>
      </c>
      <c r="AE1510" s="238"/>
      <c r="AF1510" s="238"/>
      <c r="AG1510" s="238"/>
      <c r="AH1510" s="150"/>
      <c r="AJ1510" s="252"/>
      <c r="AU1510" s="145"/>
      <c r="BB1510" s="134"/>
    </row>
    <row r="1511" spans="1:54" s="31" customFormat="1" hidden="1" outlineLevel="1" x14ac:dyDescent="0.35">
      <c r="A1511" s="132"/>
      <c r="B1511" s="1040"/>
      <c r="C1511" s="197"/>
      <c r="D1511" s="4193"/>
      <c r="E1511" s="2725" t="str">
        <f t="shared" ref="E1511:E1517" si="216">E1473</f>
        <v>Learning Thermostat - ASHP heating/cooling MF</v>
      </c>
      <c r="F1511" s="240">
        <v>1</v>
      </c>
      <c r="G1511" s="4198"/>
      <c r="H1511" s="4199"/>
      <c r="I1511" s="3218"/>
      <c r="J1511" s="199"/>
      <c r="K1511" s="132"/>
      <c r="L1511" s="132"/>
      <c r="M1511" s="132"/>
      <c r="N1511" s="205"/>
      <c r="O1511" s="199"/>
      <c r="P1511" s="199"/>
      <c r="Q1511" s="199"/>
      <c r="R1511" s="132"/>
      <c r="S1511" s="132"/>
      <c r="T1511" s="132"/>
      <c r="U1511" s="132"/>
      <c r="V1511" s="3778"/>
      <c r="W1511" s="238"/>
      <c r="X1511" s="238"/>
      <c r="Y1511" s="241"/>
      <c r="Z1511" s="379"/>
      <c r="AA1511" s="379"/>
      <c r="AB1511" s="379"/>
      <c r="AC1511" s="379"/>
      <c r="AD1511" s="240">
        <v>1</v>
      </c>
      <c r="AE1511" s="238"/>
      <c r="AF1511" s="238"/>
      <c r="AG1511" s="238"/>
      <c r="AH1511" s="150"/>
      <c r="AJ1511" s="252"/>
      <c r="AU1511" s="145"/>
      <c r="BB1511" s="134"/>
    </row>
    <row r="1512" spans="1:54" s="31" customFormat="1" hidden="1" outlineLevel="1" x14ac:dyDescent="0.35">
      <c r="A1512" s="132"/>
      <c r="B1512" s="1040"/>
      <c r="C1512" s="197"/>
      <c r="D1512" s="4193"/>
      <c r="E1512" s="2725" t="str">
        <f t="shared" si="216"/>
        <v>Learning Thermostat - electric furnace heating / central AC MF</v>
      </c>
      <c r="F1512" s="240">
        <v>1</v>
      </c>
      <c r="G1512" s="4198" t="s">
        <v>284</v>
      </c>
      <c r="H1512" s="4199"/>
      <c r="I1512" s="3218"/>
      <c r="J1512" s="199"/>
      <c r="K1512" s="132"/>
      <c r="L1512" s="132"/>
      <c r="M1512" s="132"/>
      <c r="N1512" s="205"/>
      <c r="O1512" s="199"/>
      <c r="P1512" s="199"/>
      <c r="Q1512" s="199"/>
      <c r="R1512" s="132"/>
      <c r="S1512" s="132"/>
      <c r="T1512" s="132"/>
      <c r="U1512" s="132"/>
      <c r="V1512" s="3778"/>
      <c r="W1512" s="238"/>
      <c r="X1512" s="238"/>
      <c r="Y1512" s="238"/>
      <c r="Z1512" s="379"/>
      <c r="AA1512" s="379"/>
      <c r="AB1512" s="379"/>
      <c r="AC1512" s="379"/>
      <c r="AD1512" s="240">
        <v>1</v>
      </c>
      <c r="AE1512" s="238"/>
      <c r="AF1512" s="238"/>
      <c r="AG1512" s="238"/>
      <c r="AH1512" s="150"/>
      <c r="AJ1512" s="252"/>
      <c r="AU1512" s="145"/>
      <c r="BB1512" s="134"/>
    </row>
    <row r="1513" spans="1:54" s="31" customFormat="1" hidden="1" outlineLevel="1" x14ac:dyDescent="0.35">
      <c r="A1513" s="132"/>
      <c r="B1513" s="1040"/>
      <c r="C1513" s="197"/>
      <c r="D1513" s="4193"/>
      <c r="E1513" s="2725" t="str">
        <f t="shared" si="216"/>
        <v>Learning Thermostat - electric furnace heating / central AC SF</v>
      </c>
      <c r="F1513" s="240">
        <v>1</v>
      </c>
      <c r="G1513" s="4198" t="s">
        <v>284</v>
      </c>
      <c r="H1513" s="4199"/>
      <c r="I1513" s="3218"/>
      <c r="J1513" s="199"/>
      <c r="K1513" s="132"/>
      <c r="L1513" s="132"/>
      <c r="M1513" s="132"/>
      <c r="N1513" s="205"/>
      <c r="O1513" s="199"/>
      <c r="P1513" s="199"/>
      <c r="Q1513" s="199"/>
      <c r="R1513" s="132"/>
      <c r="S1513" s="132"/>
      <c r="T1513" s="132"/>
      <c r="U1513" s="132"/>
      <c r="V1513" s="3778"/>
      <c r="W1513" s="238"/>
      <c r="X1513" s="238"/>
      <c r="Y1513" s="238"/>
      <c r="Z1513" s="379"/>
      <c r="AA1513" s="379"/>
      <c r="AB1513" s="379"/>
      <c r="AC1513" s="379"/>
      <c r="AD1513" s="240">
        <v>1</v>
      </c>
      <c r="AE1513" s="238"/>
      <c r="AF1513" s="238"/>
      <c r="AG1513" s="238"/>
      <c r="AH1513" s="150"/>
      <c r="AU1513" s="145"/>
      <c r="BB1513" s="134"/>
    </row>
    <row r="1514" spans="1:54" s="31" customFormat="1" hidden="1" outlineLevel="1" x14ac:dyDescent="0.35">
      <c r="A1514" s="132"/>
      <c r="B1514" s="1040"/>
      <c r="C1514" s="197"/>
      <c r="D1514" s="4193"/>
      <c r="E1514" s="2725" t="str">
        <f t="shared" si="216"/>
        <v>Learning Thermostat - Gas Heated / central AC SF**</v>
      </c>
      <c r="F1514" s="240">
        <v>1</v>
      </c>
      <c r="G1514" s="4198" t="s">
        <v>284</v>
      </c>
      <c r="H1514" s="4199"/>
      <c r="I1514" s="3218"/>
      <c r="J1514" s="199"/>
      <c r="K1514" s="132"/>
      <c r="L1514" s="132"/>
      <c r="M1514" s="132"/>
      <c r="N1514" s="205"/>
      <c r="O1514" s="199"/>
      <c r="P1514" s="199"/>
      <c r="Q1514" s="199"/>
      <c r="R1514" s="132"/>
      <c r="S1514" s="132"/>
      <c r="T1514" s="132"/>
      <c r="U1514" s="132"/>
      <c r="V1514" s="3778"/>
      <c r="W1514" s="238"/>
      <c r="X1514" s="238"/>
      <c r="Y1514" s="238"/>
      <c r="Z1514" s="379"/>
      <c r="AA1514" s="379"/>
      <c r="AB1514" s="379"/>
      <c r="AC1514" s="379"/>
      <c r="AD1514" s="240">
        <v>1</v>
      </c>
      <c r="AE1514" s="238"/>
      <c r="AF1514" s="238"/>
      <c r="AG1514" s="238"/>
      <c r="AH1514" s="150"/>
      <c r="AJ1514" s="252"/>
      <c r="AU1514" s="145"/>
      <c r="BB1514" s="134"/>
    </row>
    <row r="1515" spans="1:54" s="31" customFormat="1" hidden="1" outlineLevel="1" x14ac:dyDescent="0.35">
      <c r="A1515" s="132"/>
      <c r="B1515" s="1040"/>
      <c r="C1515" s="197"/>
      <c r="D1515" s="4193"/>
      <c r="E1515" s="2725" t="str">
        <f t="shared" si="216"/>
        <v>Learning Thermostat - Gas Heated / central AC MF**</v>
      </c>
      <c r="F1515" s="240">
        <v>1</v>
      </c>
      <c r="G1515" s="4198"/>
      <c r="H1515" s="4199"/>
      <c r="I1515" s="3218"/>
      <c r="J1515" s="199"/>
      <c r="K1515" s="132"/>
      <c r="L1515" s="132"/>
      <c r="M1515" s="132"/>
      <c r="N1515" s="205"/>
      <c r="O1515" s="199"/>
      <c r="P1515" s="199"/>
      <c r="Q1515" s="199"/>
      <c r="R1515" s="132"/>
      <c r="S1515" s="132"/>
      <c r="T1515" s="132"/>
      <c r="U1515" s="132"/>
      <c r="V1515" s="3778"/>
      <c r="W1515" s="238"/>
      <c r="X1515" s="238"/>
      <c r="Y1515" s="241"/>
      <c r="Z1515" s="379"/>
      <c r="AA1515" s="379"/>
      <c r="AB1515" s="379"/>
      <c r="AC1515" s="379"/>
      <c r="AD1515" s="240">
        <v>1</v>
      </c>
      <c r="AE1515" s="238"/>
      <c r="AF1515" s="238"/>
      <c r="AG1515" s="238"/>
      <c r="AH1515" s="150"/>
      <c r="AJ1515" s="252"/>
      <c r="AU1515" s="145"/>
      <c r="BB1515" s="134"/>
    </row>
    <row r="1516" spans="1:54" s="31" customFormat="1" hidden="1" outlineLevel="1" x14ac:dyDescent="0.35">
      <c r="A1516" s="132"/>
      <c r="B1516" s="1040"/>
      <c r="C1516" s="197"/>
      <c r="D1516" s="4193"/>
      <c r="E1516" s="2725" t="str">
        <f t="shared" si="216"/>
        <v>Learning Thermostat - Unknown SF**</v>
      </c>
      <c r="F1516" s="240">
        <v>1</v>
      </c>
      <c r="G1516" s="4198" t="s">
        <v>284</v>
      </c>
      <c r="H1516" s="4199"/>
      <c r="I1516" s="3218"/>
      <c r="J1516" s="199"/>
      <c r="K1516" s="132"/>
      <c r="L1516" s="132"/>
      <c r="M1516" s="132"/>
      <c r="N1516" s="205"/>
      <c r="O1516" s="199"/>
      <c r="P1516" s="199"/>
      <c r="Q1516" s="199"/>
      <c r="R1516" s="132"/>
      <c r="S1516" s="132"/>
      <c r="T1516" s="132"/>
      <c r="U1516" s="132"/>
      <c r="V1516" s="3778"/>
      <c r="W1516" s="238"/>
      <c r="X1516" s="238"/>
      <c r="Y1516" s="238"/>
      <c r="Z1516" s="379"/>
      <c r="AA1516" s="379"/>
      <c r="AB1516" s="379"/>
      <c r="AC1516" s="379"/>
      <c r="AD1516" s="240">
        <v>1</v>
      </c>
      <c r="AE1516" s="238"/>
      <c r="AF1516" s="238"/>
      <c r="AG1516" s="238"/>
      <c r="AH1516" s="150"/>
      <c r="AJ1516" s="252"/>
      <c r="AU1516" s="145"/>
      <c r="BB1516" s="134"/>
    </row>
    <row r="1517" spans="1:54" s="31" customFormat="1" ht="15" hidden="1" outlineLevel="1" thickBot="1" x14ac:dyDescent="0.4">
      <c r="A1517" s="132"/>
      <c r="B1517" s="1040"/>
      <c r="C1517" s="197"/>
      <c r="D1517" s="4194"/>
      <c r="E1517" s="3214" t="str">
        <f t="shared" si="216"/>
        <v>Learning Thermostat - Unknown MF**</v>
      </c>
      <c r="F1517" s="3229">
        <v>1</v>
      </c>
      <c r="G1517" s="4190"/>
      <c r="H1517" s="4191"/>
      <c r="I1517" s="3220"/>
      <c r="J1517" s="199"/>
      <c r="K1517" s="132"/>
      <c r="L1517" s="132"/>
      <c r="M1517" s="132"/>
      <c r="N1517" s="205"/>
      <c r="O1517" s="199"/>
      <c r="P1517" s="199"/>
      <c r="Q1517" s="199"/>
      <c r="R1517" s="132"/>
      <c r="S1517" s="132"/>
      <c r="T1517" s="132"/>
      <c r="U1517" s="132"/>
      <c r="V1517" s="3779"/>
      <c r="W1517" s="238"/>
      <c r="X1517" s="238"/>
      <c r="Y1517" s="241"/>
      <c r="Z1517" s="379"/>
      <c r="AA1517" s="379"/>
      <c r="AB1517" s="379"/>
      <c r="AC1517" s="379"/>
      <c r="AD1517" s="240">
        <v>1</v>
      </c>
      <c r="AE1517" s="238"/>
      <c r="AF1517" s="238"/>
      <c r="AG1517" s="238"/>
      <c r="AH1517" s="150"/>
      <c r="AJ1517" s="252"/>
      <c r="AU1517" s="145"/>
      <c r="BB1517" s="134"/>
    </row>
    <row r="1518" spans="1:54" s="31" customFormat="1" ht="17" hidden="1" outlineLevel="1" thickBot="1" x14ac:dyDescent="0.4">
      <c r="A1518" s="132"/>
      <c r="B1518" s="1040"/>
      <c r="C1518" s="197"/>
      <c r="D1518" s="3230" t="s">
        <v>4359</v>
      </c>
      <c r="E1518" s="3239" t="s">
        <v>313</v>
      </c>
      <c r="F1518" s="3242">
        <v>869</v>
      </c>
      <c r="G1518" s="4186" t="s">
        <v>284</v>
      </c>
      <c r="H1518" s="4187"/>
      <c r="I1518" s="3241" t="s">
        <v>314</v>
      </c>
      <c r="J1518" s="199"/>
      <c r="K1518" s="132"/>
      <c r="L1518" s="132"/>
      <c r="M1518" s="132"/>
      <c r="N1518" s="205"/>
      <c r="O1518" s="199"/>
      <c r="P1518" s="199"/>
      <c r="Q1518" s="199"/>
      <c r="R1518" s="132"/>
      <c r="S1518" s="132"/>
      <c r="T1518" s="132"/>
      <c r="U1518" s="132"/>
      <c r="V1518" s="2959" t="str">
        <f t="shared" ref="V1518:V1523" si="217">D1518</f>
        <v>EFLH cool</v>
      </c>
      <c r="W1518" s="264"/>
      <c r="X1518" s="264"/>
      <c r="Y1518" s="265"/>
      <c r="Z1518" s="1722"/>
      <c r="AA1518" s="1722"/>
      <c r="AB1518" s="1722"/>
      <c r="AC1518" s="1722"/>
      <c r="AD1518" s="3210">
        <v>869</v>
      </c>
      <c r="AE1518" s="264"/>
      <c r="AF1518" s="264"/>
      <c r="AG1518" s="264"/>
      <c r="AH1518" s="150"/>
      <c r="AJ1518" s="252"/>
      <c r="AU1518" s="145"/>
      <c r="BB1518" s="134"/>
    </row>
    <row r="1519" spans="1:54" s="31" customFormat="1" hidden="1" outlineLevel="1" x14ac:dyDescent="0.35">
      <c r="A1519" s="132"/>
      <c r="B1519" s="1040"/>
      <c r="C1519" s="197"/>
      <c r="D1519" s="4192" t="s">
        <v>317</v>
      </c>
      <c r="E1519" s="3281" t="s">
        <v>318</v>
      </c>
      <c r="F1519" s="3282">
        <v>36000</v>
      </c>
      <c r="G1519" s="4188" t="s">
        <v>284</v>
      </c>
      <c r="H1519" s="4189"/>
      <c r="I1519" s="3217" t="s">
        <v>319</v>
      </c>
      <c r="J1519" s="199"/>
      <c r="K1519" s="132"/>
      <c r="L1519" s="132"/>
      <c r="M1519" s="132"/>
      <c r="N1519" s="205"/>
      <c r="O1519" s="199"/>
      <c r="P1519" s="199"/>
      <c r="Q1519" s="199"/>
      <c r="R1519" s="132"/>
      <c r="S1519" s="132"/>
      <c r="T1519" s="132"/>
      <c r="U1519" s="132"/>
      <c r="V1519" s="266" t="str">
        <f t="shared" si="217"/>
        <v>CapacityCool</v>
      </c>
      <c r="W1519" s="264"/>
      <c r="X1519" s="265"/>
      <c r="Y1519" s="265"/>
      <c r="Z1519" s="1722"/>
      <c r="AA1519" s="1722"/>
      <c r="AB1519" s="1722"/>
      <c r="AC1519" s="2140"/>
      <c r="AD1519" s="3210">
        <v>36000</v>
      </c>
      <c r="AE1519" s="264"/>
      <c r="AF1519" s="264"/>
      <c r="AG1519" s="264"/>
      <c r="AH1519" s="150"/>
      <c r="AU1519" s="145"/>
      <c r="BB1519" s="134"/>
    </row>
    <row r="1520" spans="1:54" s="31" customFormat="1" ht="15" hidden="1" outlineLevel="1" thickBot="1" x14ac:dyDescent="0.4">
      <c r="A1520" s="132"/>
      <c r="B1520" s="1040"/>
      <c r="C1520" s="197"/>
      <c r="D1520" s="4195"/>
      <c r="E1520" s="3283" t="s">
        <v>320</v>
      </c>
      <c r="F1520" s="3284">
        <v>36000</v>
      </c>
      <c r="G1520" s="4190" t="s">
        <v>284</v>
      </c>
      <c r="H1520" s="4191"/>
      <c r="I1520" s="3220" t="s">
        <v>319</v>
      </c>
      <c r="J1520" s="199"/>
      <c r="K1520" s="132"/>
      <c r="L1520" s="132"/>
      <c r="M1520" s="132"/>
      <c r="N1520" s="205"/>
      <c r="O1520" s="199"/>
      <c r="P1520" s="199"/>
      <c r="Q1520" s="199"/>
      <c r="R1520" s="132"/>
      <c r="S1520" s="132"/>
      <c r="T1520" s="132"/>
      <c r="U1520" s="132"/>
      <c r="V1520" s="266">
        <f t="shared" si="217"/>
        <v>0</v>
      </c>
      <c r="W1520" s="264"/>
      <c r="X1520" s="265"/>
      <c r="Y1520" s="265"/>
      <c r="Z1520" s="1722"/>
      <c r="AA1520" s="1722"/>
      <c r="AB1520" s="1722"/>
      <c r="AC1520" s="2140"/>
      <c r="AD1520" s="3210">
        <v>36000</v>
      </c>
      <c r="AE1520" s="264"/>
      <c r="AF1520" s="264"/>
      <c r="AG1520" s="264"/>
      <c r="AH1520" s="150"/>
      <c r="AJ1520" s="252"/>
      <c r="AU1520" s="145"/>
      <c r="BB1520" s="134"/>
    </row>
    <row r="1521" spans="1:54" s="31" customFormat="1" ht="15" hidden="1" outlineLevel="1" thickBot="1" x14ac:dyDescent="0.4">
      <c r="A1521" s="132"/>
      <c r="B1521" s="1040"/>
      <c r="C1521" s="197"/>
      <c r="D1521" s="3243" t="s">
        <v>322</v>
      </c>
      <c r="E1521" s="3239" t="s">
        <v>134</v>
      </c>
      <c r="F1521" s="3242">
        <v>13</v>
      </c>
      <c r="G1521" s="4186" t="s">
        <v>323</v>
      </c>
      <c r="H1521" s="4187"/>
      <c r="I1521" s="3246" t="s">
        <v>288</v>
      </c>
      <c r="J1521" s="199"/>
      <c r="K1521" s="132"/>
      <c r="L1521" s="132"/>
      <c r="M1521" s="132"/>
      <c r="N1521" s="205"/>
      <c r="O1521" s="199"/>
      <c r="P1521" s="199"/>
      <c r="Q1521" s="199"/>
      <c r="R1521" s="132"/>
      <c r="S1521" s="132"/>
      <c r="T1521" s="132"/>
      <c r="U1521" s="132"/>
      <c r="V1521" s="266" t="str">
        <f t="shared" si="217"/>
        <v>SEER</v>
      </c>
      <c r="W1521" s="264"/>
      <c r="X1521" s="264"/>
      <c r="Y1521" s="268"/>
      <c r="Z1521" s="1723"/>
      <c r="AA1521" s="1723"/>
      <c r="AB1521" s="1724"/>
      <c r="AC1521" s="2139"/>
      <c r="AD1521" s="3210">
        <v>13</v>
      </c>
      <c r="AE1521" s="264"/>
      <c r="AF1521" s="264"/>
      <c r="AG1521" s="264"/>
      <c r="AH1521" s="150"/>
      <c r="AJ1521" s="252"/>
      <c r="AU1521" s="145"/>
      <c r="BB1521" s="134"/>
    </row>
    <row r="1522" spans="1:54" s="31" customFormat="1" ht="15" hidden="1" outlineLevel="1" thickBot="1" x14ac:dyDescent="0.4">
      <c r="A1522" s="132"/>
      <c r="B1522" s="1040"/>
      <c r="C1522" s="197"/>
      <c r="D1522" s="3230" t="s">
        <v>324</v>
      </c>
      <c r="E1522" s="3239" t="s">
        <v>134</v>
      </c>
      <c r="F1522" s="3232">
        <v>0.08</v>
      </c>
      <c r="G1522" s="4186" t="s">
        <v>284</v>
      </c>
      <c r="H1522" s="4187"/>
      <c r="I1522" s="3241" t="s">
        <v>310</v>
      </c>
      <c r="J1522" s="199"/>
      <c r="K1522" s="132"/>
      <c r="L1522" s="132"/>
      <c r="M1522" s="132"/>
      <c r="N1522" s="205"/>
      <c r="O1522" s="199"/>
      <c r="P1522" s="199"/>
      <c r="Q1522" s="199"/>
      <c r="R1522" s="132"/>
      <c r="S1522" s="132"/>
      <c r="T1522" s="132"/>
      <c r="U1522" s="132"/>
      <c r="V1522" s="1022" t="str">
        <f t="shared" si="217"/>
        <v>CoolingReduction</v>
      </c>
      <c r="W1522" s="253"/>
      <c r="X1522" s="253"/>
      <c r="Y1522" s="269"/>
      <c r="Z1522" s="1716"/>
      <c r="AA1522" s="1716"/>
      <c r="AB1522" s="1716"/>
      <c r="AC1522" s="1716"/>
      <c r="AD1522" s="250">
        <v>0.08</v>
      </c>
      <c r="AE1522" s="253"/>
      <c r="AF1522" s="253"/>
      <c r="AG1522" s="253"/>
      <c r="AH1522" s="150"/>
      <c r="AJ1522" s="252"/>
      <c r="AU1522" s="145"/>
      <c r="BB1522" s="134"/>
    </row>
    <row r="1523" spans="1:54" s="31" customFormat="1" hidden="1" outlineLevel="1" x14ac:dyDescent="0.35">
      <c r="A1523" s="132"/>
      <c r="B1523" s="1040"/>
      <c r="C1523" s="197"/>
      <c r="D1523" s="4192" t="s">
        <v>325</v>
      </c>
      <c r="E1523" s="3212" t="str">
        <f>E1472</f>
        <v>Learning Thermostat - ASHP heating/cooling SF</v>
      </c>
      <c r="F1523" s="3216">
        <v>0</v>
      </c>
      <c r="G1523" s="4188" t="s">
        <v>284</v>
      </c>
      <c r="H1523" s="4189"/>
      <c r="I1523" s="3217"/>
      <c r="J1523" s="199"/>
      <c r="K1523" s="132"/>
      <c r="L1523" s="132"/>
      <c r="M1523" s="132"/>
      <c r="N1523" s="205"/>
      <c r="O1523" s="199"/>
      <c r="P1523" s="199"/>
      <c r="Q1523" s="199"/>
      <c r="R1523" s="132"/>
      <c r="S1523" s="132"/>
      <c r="T1523" s="132"/>
      <c r="U1523" s="132"/>
      <c r="V1523" s="3777" t="str">
        <f t="shared" si="217"/>
        <v>%FossilHeat</v>
      </c>
      <c r="W1523" s="238"/>
      <c r="X1523" s="241"/>
      <c r="Y1523" s="256"/>
      <c r="Z1523" s="379"/>
      <c r="AA1523" s="379"/>
      <c r="AB1523" s="379"/>
      <c r="AC1523" s="379"/>
      <c r="AD1523" s="240">
        <v>0</v>
      </c>
      <c r="AE1523" s="238"/>
      <c r="AF1523" s="238"/>
      <c r="AG1523" s="238"/>
      <c r="AH1523" s="150"/>
      <c r="AU1523" s="145"/>
      <c r="BB1523" s="134"/>
    </row>
    <row r="1524" spans="1:54" s="31" customFormat="1" hidden="1" outlineLevel="1" x14ac:dyDescent="0.35">
      <c r="A1524" s="132"/>
      <c r="B1524" s="1040"/>
      <c r="C1524" s="197"/>
      <c r="D1524" s="4193"/>
      <c r="E1524" s="2725" t="str">
        <f t="shared" ref="E1524:E1530" si="218">E1473</f>
        <v>Learning Thermostat - ASHP heating/cooling MF</v>
      </c>
      <c r="F1524" s="240">
        <v>0</v>
      </c>
      <c r="G1524" s="4196"/>
      <c r="H1524" s="4197"/>
      <c r="I1524" s="3218"/>
      <c r="J1524" s="199"/>
      <c r="K1524" s="132"/>
      <c r="L1524" s="132"/>
      <c r="M1524" s="132"/>
      <c r="N1524" s="205"/>
      <c r="O1524" s="199"/>
      <c r="P1524" s="199"/>
      <c r="Q1524" s="199"/>
      <c r="R1524" s="132"/>
      <c r="S1524" s="132"/>
      <c r="T1524" s="132"/>
      <c r="U1524" s="132"/>
      <c r="V1524" s="3778"/>
      <c r="W1524" s="238"/>
      <c r="X1524" s="241"/>
      <c r="Y1524" s="241"/>
      <c r="Z1524" s="379"/>
      <c r="AA1524" s="379"/>
      <c r="AB1524" s="379"/>
      <c r="AC1524" s="379"/>
      <c r="AD1524" s="240">
        <v>0</v>
      </c>
      <c r="AE1524" s="238"/>
      <c r="AF1524" s="238"/>
      <c r="AG1524" s="238"/>
      <c r="AH1524" s="150"/>
      <c r="AU1524" s="145"/>
      <c r="BB1524" s="134"/>
    </row>
    <row r="1525" spans="1:54" s="31" customFormat="1" hidden="1" outlineLevel="1" x14ac:dyDescent="0.35">
      <c r="A1525" s="132"/>
      <c r="B1525" s="1040"/>
      <c r="C1525" s="197"/>
      <c r="D1525" s="4193"/>
      <c r="E1525" s="2725" t="str">
        <f t="shared" si="218"/>
        <v>Learning Thermostat - electric furnace heating / central AC MF</v>
      </c>
      <c r="F1525" s="240">
        <v>0</v>
      </c>
      <c r="G1525" s="4198" t="s">
        <v>284</v>
      </c>
      <c r="H1525" s="4199"/>
      <c r="I1525" s="3218"/>
      <c r="J1525" s="199"/>
      <c r="K1525" s="132"/>
      <c r="L1525" s="132"/>
      <c r="M1525" s="132"/>
      <c r="N1525" s="205"/>
      <c r="O1525" s="199"/>
      <c r="P1525" s="199"/>
      <c r="Q1525" s="199"/>
      <c r="R1525" s="132"/>
      <c r="S1525" s="132"/>
      <c r="T1525" s="132"/>
      <c r="U1525" s="132"/>
      <c r="V1525" s="3778"/>
      <c r="W1525" s="238"/>
      <c r="X1525" s="241"/>
      <c r="Y1525" s="256"/>
      <c r="Z1525" s="379"/>
      <c r="AA1525" s="379"/>
      <c r="AB1525" s="379"/>
      <c r="AC1525" s="379"/>
      <c r="AD1525" s="240">
        <v>0</v>
      </c>
      <c r="AE1525" s="238"/>
      <c r="AF1525" s="238"/>
      <c r="AG1525" s="238"/>
      <c r="AH1525" s="150"/>
      <c r="AU1525" s="145"/>
      <c r="BB1525" s="134"/>
    </row>
    <row r="1526" spans="1:54" s="31" customFormat="1" hidden="1" outlineLevel="1" x14ac:dyDescent="0.35">
      <c r="A1526" s="132"/>
      <c r="B1526" s="1040"/>
      <c r="C1526" s="197"/>
      <c r="D1526" s="4193"/>
      <c r="E1526" s="2725" t="str">
        <f t="shared" si="218"/>
        <v>Learning Thermostat - electric furnace heating / central AC SF</v>
      </c>
      <c r="F1526" s="240">
        <v>0</v>
      </c>
      <c r="G1526" s="4198" t="s">
        <v>284</v>
      </c>
      <c r="H1526" s="4199"/>
      <c r="I1526" s="3218"/>
      <c r="J1526" s="199"/>
      <c r="K1526" s="132"/>
      <c r="L1526" s="132"/>
      <c r="M1526" s="132"/>
      <c r="N1526" s="205"/>
      <c r="O1526" s="199"/>
      <c r="P1526" s="199"/>
      <c r="Q1526" s="199"/>
      <c r="R1526" s="132"/>
      <c r="S1526" s="132"/>
      <c r="T1526" s="132"/>
      <c r="U1526" s="132"/>
      <c r="V1526" s="3778"/>
      <c r="W1526" s="238"/>
      <c r="X1526" s="241"/>
      <c r="Y1526" s="256"/>
      <c r="Z1526" s="379"/>
      <c r="AA1526" s="379"/>
      <c r="AB1526" s="379"/>
      <c r="AC1526" s="379"/>
      <c r="AD1526" s="240">
        <v>0</v>
      </c>
      <c r="AE1526" s="238"/>
      <c r="AF1526" s="238"/>
      <c r="AG1526" s="238"/>
      <c r="AH1526" s="150"/>
      <c r="AU1526" s="145"/>
      <c r="BB1526" s="134"/>
    </row>
    <row r="1527" spans="1:54" s="31" customFormat="1" hidden="1" outlineLevel="1" x14ac:dyDescent="0.35">
      <c r="A1527" s="132"/>
      <c r="B1527" s="1040"/>
      <c r="C1527" s="197"/>
      <c r="D1527" s="4193"/>
      <c r="E1527" s="2725" t="str">
        <f t="shared" si="218"/>
        <v>Learning Thermostat - Gas Heated / central AC SF**</v>
      </c>
      <c r="F1527" s="240">
        <v>1</v>
      </c>
      <c r="G1527" s="4198" t="s">
        <v>284</v>
      </c>
      <c r="H1527" s="4199"/>
      <c r="I1527" s="3218"/>
      <c r="J1527" s="199"/>
      <c r="K1527" s="132"/>
      <c r="L1527" s="132"/>
      <c r="M1527" s="132"/>
      <c r="N1527" s="205"/>
      <c r="O1527" s="199"/>
      <c r="P1527" s="199"/>
      <c r="Q1527" s="199"/>
      <c r="R1527" s="132"/>
      <c r="S1527" s="132"/>
      <c r="T1527" s="132"/>
      <c r="U1527" s="132"/>
      <c r="V1527" s="3778"/>
      <c r="W1527" s="238"/>
      <c r="X1527" s="238"/>
      <c r="Y1527" s="256"/>
      <c r="Z1527" s="379"/>
      <c r="AA1527" s="379"/>
      <c r="AB1527" s="379"/>
      <c r="AC1527" s="379"/>
      <c r="AD1527" s="240">
        <v>1</v>
      </c>
      <c r="AE1527" s="238"/>
      <c r="AF1527" s="238"/>
      <c r="AG1527" s="238"/>
      <c r="AH1527" s="150"/>
      <c r="AU1527" s="145"/>
      <c r="BB1527" s="134"/>
    </row>
    <row r="1528" spans="1:54" s="31" customFormat="1" hidden="1" outlineLevel="1" x14ac:dyDescent="0.35">
      <c r="A1528" s="132"/>
      <c r="B1528" s="1040"/>
      <c r="C1528" s="197"/>
      <c r="D1528" s="4193"/>
      <c r="E1528" s="2725" t="str">
        <f t="shared" si="218"/>
        <v>Learning Thermostat - Gas Heated / central AC MF**</v>
      </c>
      <c r="F1528" s="240">
        <v>1</v>
      </c>
      <c r="G1528" s="4200" t="s">
        <v>326</v>
      </c>
      <c r="H1528" s="4200"/>
      <c r="I1528" s="3218"/>
      <c r="J1528" s="199"/>
      <c r="K1528" s="132"/>
      <c r="L1528" s="132"/>
      <c r="M1528" s="132"/>
      <c r="N1528" s="205"/>
      <c r="O1528" s="199"/>
      <c r="P1528" s="199"/>
      <c r="Q1528" s="199"/>
      <c r="R1528" s="132"/>
      <c r="S1528" s="132"/>
      <c r="T1528" s="132"/>
      <c r="U1528" s="132"/>
      <c r="V1528" s="3778"/>
      <c r="W1528" s="238"/>
      <c r="X1528" s="238"/>
      <c r="Y1528" s="241"/>
      <c r="Z1528" s="379"/>
      <c r="AA1528" s="379"/>
      <c r="AB1528" s="379"/>
      <c r="AC1528" s="379"/>
      <c r="AD1528" s="240">
        <v>1</v>
      </c>
      <c r="AE1528" s="238"/>
      <c r="AF1528" s="238"/>
      <c r="AG1528" s="238"/>
      <c r="AH1528" s="150"/>
      <c r="AU1528" s="145"/>
      <c r="BB1528" s="134"/>
    </row>
    <row r="1529" spans="1:54" s="31" customFormat="1" hidden="1" outlineLevel="1" x14ac:dyDescent="0.35">
      <c r="A1529" s="132"/>
      <c r="B1529" s="1040"/>
      <c r="C1529" s="197"/>
      <c r="D1529" s="4193"/>
      <c r="E1529" s="2725" t="str">
        <f t="shared" si="218"/>
        <v>Learning Thermostat - Unknown SF**</v>
      </c>
      <c r="F1529" s="240">
        <v>0.67</v>
      </c>
      <c r="G1529" s="4200" t="s">
        <v>285</v>
      </c>
      <c r="H1529" s="4200"/>
      <c r="I1529" s="3218"/>
      <c r="J1529" s="199"/>
      <c r="K1529" s="132"/>
      <c r="L1529" s="132"/>
      <c r="M1529" s="132"/>
      <c r="N1529" s="205"/>
      <c r="O1529" s="199"/>
      <c r="P1529" s="199"/>
      <c r="Q1529" s="199"/>
      <c r="R1529" s="132"/>
      <c r="S1529" s="132"/>
      <c r="T1529" s="132"/>
      <c r="U1529" s="132"/>
      <c r="V1529" s="3778"/>
      <c r="W1529" s="238"/>
      <c r="X1529" s="241"/>
      <c r="Y1529" s="241"/>
      <c r="Z1529" s="379"/>
      <c r="AA1529" s="379"/>
      <c r="AB1529" s="379"/>
      <c r="AC1529" s="1719"/>
      <c r="AD1529" s="240">
        <v>0.67</v>
      </c>
      <c r="AE1529" s="238"/>
      <c r="AF1529" s="238"/>
      <c r="AG1529" s="238"/>
      <c r="AH1529" s="150"/>
      <c r="AU1529" s="145"/>
      <c r="BB1529" s="134"/>
    </row>
    <row r="1530" spans="1:54" s="31" customFormat="1" ht="14.5" hidden="1" customHeight="1" outlineLevel="1" thickBot="1" x14ac:dyDescent="0.4">
      <c r="A1530" s="132"/>
      <c r="B1530" s="1040"/>
      <c r="C1530" s="197"/>
      <c r="D1530" s="4194"/>
      <c r="E1530" s="3214" t="str">
        <f t="shared" si="218"/>
        <v>Learning Thermostat - Unknown MF**</v>
      </c>
      <c r="F1530" s="3229">
        <v>0.67</v>
      </c>
      <c r="G1530" s="4201" t="s">
        <v>285</v>
      </c>
      <c r="H1530" s="4201"/>
      <c r="I1530" s="3220"/>
      <c r="J1530" s="199"/>
      <c r="K1530" s="132"/>
      <c r="L1530" s="132"/>
      <c r="M1530" s="132"/>
      <c r="N1530" s="205"/>
      <c r="O1530" s="199"/>
      <c r="P1530" s="199"/>
      <c r="Q1530" s="199"/>
      <c r="R1530" s="132"/>
      <c r="S1530" s="132"/>
      <c r="T1530" s="132"/>
      <c r="U1530" s="132"/>
      <c r="V1530" s="3779"/>
      <c r="W1530" s="238"/>
      <c r="X1530" s="241"/>
      <c r="Y1530" s="241"/>
      <c r="Z1530" s="379"/>
      <c r="AA1530" s="379"/>
      <c r="AB1530" s="379"/>
      <c r="AC1530" s="1719"/>
      <c r="AD1530" s="240">
        <v>0.67</v>
      </c>
      <c r="AE1530" s="238"/>
      <c r="AF1530" s="238"/>
      <c r="AG1530" s="238"/>
      <c r="AH1530" s="150"/>
      <c r="AU1530" s="145"/>
      <c r="BB1530" s="134"/>
    </row>
    <row r="1531" spans="1:54" s="31" customFormat="1" ht="15" hidden="1" outlineLevel="1" thickBot="1" x14ac:dyDescent="0.4">
      <c r="A1531" s="132"/>
      <c r="B1531" s="1040"/>
      <c r="C1531" s="197"/>
      <c r="D1531" s="3230" t="s">
        <v>327</v>
      </c>
      <c r="E1531" s="3231" t="s">
        <v>134</v>
      </c>
      <c r="F1531" s="3247">
        <v>682.14220183486236</v>
      </c>
      <c r="G1531" s="4186" t="s">
        <v>328</v>
      </c>
      <c r="H1531" s="4187"/>
      <c r="I1531" s="3241" t="s">
        <v>329</v>
      </c>
      <c r="J1531" s="199"/>
      <c r="K1531" s="132"/>
      <c r="L1531" s="132"/>
      <c r="M1531" s="132"/>
      <c r="N1531" s="205"/>
      <c r="O1531" s="199"/>
      <c r="P1531" s="199"/>
      <c r="Q1531" s="199"/>
      <c r="R1531" s="132"/>
      <c r="S1531" s="132"/>
      <c r="T1531" s="132"/>
      <c r="U1531" s="132"/>
      <c r="V1531" s="1022" t="str">
        <f>D1531</f>
        <v>HeatingConsumption_Gas</v>
      </c>
      <c r="W1531" s="244"/>
      <c r="X1531" s="270"/>
      <c r="Y1531" s="270"/>
      <c r="Z1531" s="383"/>
      <c r="AA1531" s="383"/>
      <c r="AB1531" s="383"/>
      <c r="AC1531" s="383"/>
      <c r="AD1531" s="245">
        <v>682.14220183486236</v>
      </c>
      <c r="AE1531" s="244"/>
      <c r="AF1531" s="244"/>
      <c r="AG1531" s="244"/>
      <c r="AH1531" s="150"/>
      <c r="AU1531" s="145"/>
      <c r="BB1531" s="134"/>
    </row>
    <row r="1532" spans="1:54" s="31" customFormat="1" ht="15" hidden="1" outlineLevel="1" thickBot="1" x14ac:dyDescent="0.4">
      <c r="A1532" s="132"/>
      <c r="B1532" s="1040"/>
      <c r="C1532" s="197"/>
      <c r="D1532" s="3244" t="s">
        <v>180</v>
      </c>
      <c r="E1532" s="3245" t="s">
        <v>166</v>
      </c>
      <c r="F1532" s="3247">
        <v>10</v>
      </c>
      <c r="G1532" s="4186"/>
      <c r="H1532" s="4187"/>
      <c r="I1532" s="3241"/>
      <c r="J1532" s="199"/>
      <c r="K1532" s="132"/>
      <c r="L1532" s="132"/>
      <c r="M1532" s="132"/>
      <c r="N1532" s="205"/>
      <c r="O1532" s="199"/>
      <c r="P1532" s="199"/>
      <c r="Q1532" s="199"/>
      <c r="R1532" s="132"/>
      <c r="S1532" s="132"/>
      <c r="T1532" s="132"/>
      <c r="U1532" s="132"/>
      <c r="V1532" s="271" t="str">
        <f>D1532</f>
        <v>EUL</v>
      </c>
      <c r="W1532" s="272"/>
      <c r="X1532" s="272"/>
      <c r="Y1532" s="272"/>
      <c r="Z1532" s="383"/>
      <c r="AA1532" s="383"/>
      <c r="AB1532" s="383"/>
      <c r="AC1532" s="383"/>
      <c r="AD1532" s="245">
        <v>10</v>
      </c>
      <c r="AE1532" s="272"/>
      <c r="AF1532" s="272"/>
      <c r="AG1532" s="272"/>
      <c r="AH1532" s="150"/>
      <c r="AU1532" s="145"/>
      <c r="BB1532" s="134"/>
    </row>
    <row r="1533" spans="1:54" s="31" customFormat="1" ht="145.5" hidden="1" outlineLevel="1" thickBot="1" x14ac:dyDescent="0.4">
      <c r="A1533" s="132"/>
      <c r="B1533" s="1040"/>
      <c r="C1533" s="197"/>
      <c r="D1533" s="3244" t="s">
        <v>169</v>
      </c>
      <c r="E1533" s="3245" t="s">
        <v>527</v>
      </c>
      <c r="F1533" s="3248">
        <v>125</v>
      </c>
      <c r="G1533" s="4186" t="s">
        <v>330</v>
      </c>
      <c r="H1533" s="4187"/>
      <c r="I1533" s="3233" t="s">
        <v>331</v>
      </c>
      <c r="J1533" s="199"/>
      <c r="K1533" s="132"/>
      <c r="L1533" s="132"/>
      <c r="M1533" s="132"/>
      <c r="N1533" s="205"/>
      <c r="O1533" s="199"/>
      <c r="P1533" s="199"/>
      <c r="Q1533" s="199"/>
      <c r="R1533" s="132"/>
      <c r="S1533" s="132"/>
      <c r="T1533" s="132"/>
      <c r="U1533" s="132"/>
      <c r="V1533" s="271" t="str">
        <f>D1533</f>
        <v>Inc. Cost</v>
      </c>
      <c r="W1533" s="273"/>
      <c r="X1533" s="273"/>
      <c r="Y1533" s="273"/>
      <c r="Z1533" s="273"/>
      <c r="AA1533" s="273"/>
      <c r="AB1533" s="1725"/>
      <c r="AC1533" s="273"/>
      <c r="AD1533" s="3206">
        <v>125</v>
      </c>
      <c r="AE1533" s="273"/>
      <c r="AF1533" s="273"/>
      <c r="AG1533" s="273"/>
      <c r="AH1533" s="150"/>
      <c r="AU1533" s="145"/>
      <c r="BB1533" s="134"/>
    </row>
    <row r="1534" spans="1:54" s="31" customFormat="1" collapsed="1" x14ac:dyDescent="0.35">
      <c r="A1534" s="132"/>
      <c r="B1534" s="1040"/>
      <c r="C1534" s="197"/>
      <c r="D1534" s="217"/>
      <c r="E1534" s="2370"/>
      <c r="F1534" s="199"/>
      <c r="G1534" s="199"/>
      <c r="H1534" s="199"/>
      <c r="I1534" s="199"/>
      <c r="J1534" s="199"/>
      <c r="K1534" s="199"/>
      <c r="L1534" s="199"/>
      <c r="M1534" s="199"/>
      <c r="N1534" s="199"/>
      <c r="O1534" s="199"/>
      <c r="P1534" s="199"/>
      <c r="Q1534" s="199"/>
      <c r="R1534" s="132"/>
      <c r="S1534" s="132"/>
      <c r="T1534" s="132"/>
      <c r="U1534" s="132"/>
      <c r="AH1534" s="150"/>
      <c r="AU1534" s="145"/>
      <c r="BB1534" s="134"/>
    </row>
    <row r="1535" spans="1:54" s="31" customFormat="1" x14ac:dyDescent="0.35">
      <c r="A1535" s="132"/>
      <c r="B1535" s="132"/>
      <c r="C1535" s="130"/>
      <c r="D1535" s="131"/>
      <c r="E1535" s="131"/>
      <c r="F1535" s="132"/>
      <c r="G1535" s="132"/>
      <c r="H1535" s="132"/>
      <c r="I1535" s="132"/>
      <c r="J1535" s="132"/>
      <c r="K1535" s="132"/>
      <c r="L1535" s="132"/>
      <c r="M1535" s="132"/>
      <c r="N1535" s="132"/>
      <c r="O1535" s="132"/>
      <c r="P1535" s="132"/>
      <c r="Q1535" s="132"/>
      <c r="R1535" s="132"/>
      <c r="S1535" s="132"/>
      <c r="T1535" s="132"/>
      <c r="U1535" s="132"/>
      <c r="AH1535" s="150"/>
      <c r="AU1535" s="145"/>
      <c r="BB1535" s="134"/>
    </row>
  </sheetData>
  <mergeCells count="967">
    <mergeCell ref="J1429:L1429"/>
    <mergeCell ref="H1420:I1420"/>
    <mergeCell ref="J1420:L1420"/>
    <mergeCell ref="H1415:I1415"/>
    <mergeCell ref="J1415:L1415"/>
    <mergeCell ref="H1416:I1416"/>
    <mergeCell ref="V1335:V1336"/>
    <mergeCell ref="D1376:D1381"/>
    <mergeCell ref="V1376:V1381"/>
    <mergeCell ref="V1417:V1420"/>
    <mergeCell ref="H1419:I1419"/>
    <mergeCell ref="J1419:L1419"/>
    <mergeCell ref="V1426:V1428"/>
    <mergeCell ref="D1422:D1425"/>
    <mergeCell ref="E1422:E1425"/>
    <mergeCell ref="H1422:I1422"/>
    <mergeCell ref="J1422:L1422"/>
    <mergeCell ref="V1422:V1425"/>
    <mergeCell ref="H1423:I1423"/>
    <mergeCell ref="J1423:L1423"/>
    <mergeCell ref="H1424:I1424"/>
    <mergeCell ref="J1424:L1424"/>
    <mergeCell ref="H1425:I1425"/>
    <mergeCell ref="J1416:L1416"/>
    <mergeCell ref="H1430:I1430"/>
    <mergeCell ref="J1430:L1430"/>
    <mergeCell ref="H1431:I1431"/>
    <mergeCell ref="J1431:L1431"/>
    <mergeCell ref="D1417:D1420"/>
    <mergeCell ref="E1417:E1420"/>
    <mergeCell ref="H1417:I1417"/>
    <mergeCell ref="J1417:L1417"/>
    <mergeCell ref="F1389:H1389"/>
    <mergeCell ref="F1390:H1390"/>
    <mergeCell ref="D1426:D1428"/>
    <mergeCell ref="E1426:E1428"/>
    <mergeCell ref="H1426:I1426"/>
    <mergeCell ref="J1426:L1426"/>
    <mergeCell ref="J1425:L1425"/>
    <mergeCell ref="H1418:I1418"/>
    <mergeCell ref="J1418:L1418"/>
    <mergeCell ref="H1429:I1429"/>
    <mergeCell ref="H1427:I1427"/>
    <mergeCell ref="J1427:L1427"/>
    <mergeCell ref="H1428:I1428"/>
    <mergeCell ref="J1428:L1428"/>
    <mergeCell ref="H1421:I1421"/>
    <mergeCell ref="J1421:L1421"/>
    <mergeCell ref="H1290:J1290"/>
    <mergeCell ref="H1291:J1291"/>
    <mergeCell ref="H1292:J1292"/>
    <mergeCell ref="H1295:J1295"/>
    <mergeCell ref="H1296:J1296"/>
    <mergeCell ref="H1297:J1297"/>
    <mergeCell ref="H1298:J1298"/>
    <mergeCell ref="D1319:D1320"/>
    <mergeCell ref="H1300:J1300"/>
    <mergeCell ref="H1301:J1301"/>
    <mergeCell ref="H1299:J1299"/>
    <mergeCell ref="I1319:R1320"/>
    <mergeCell ref="D1335:D1336"/>
    <mergeCell ref="V1319:V1320"/>
    <mergeCell ref="I1321:I1322"/>
    <mergeCell ref="K1321:M1321"/>
    <mergeCell ref="N1321:R1321"/>
    <mergeCell ref="D1285:D1286"/>
    <mergeCell ref="E1285:E1286"/>
    <mergeCell ref="D1287:D1290"/>
    <mergeCell ref="E1287:E1290"/>
    <mergeCell ref="D1291:D1294"/>
    <mergeCell ref="E1291:E1294"/>
    <mergeCell ref="V1285:V1286"/>
    <mergeCell ref="V1287:V1290"/>
    <mergeCell ref="V1291:V1294"/>
    <mergeCell ref="V1295:V1296"/>
    <mergeCell ref="V1298:V1301"/>
    <mergeCell ref="D1298:D1301"/>
    <mergeCell ref="E1298:E1301"/>
    <mergeCell ref="D1295:D1296"/>
    <mergeCell ref="E1295:E1296"/>
    <mergeCell ref="H1285:J1285"/>
    <mergeCell ref="H1293:J1293"/>
    <mergeCell ref="H1294:J1294"/>
    <mergeCell ref="H1286:J1286"/>
    <mergeCell ref="D1231:D1233"/>
    <mergeCell ref="H1231:I1231"/>
    <mergeCell ref="V1231:V1233"/>
    <mergeCell ref="H1233:I1233"/>
    <mergeCell ref="D1234:D1235"/>
    <mergeCell ref="E1234:E1235"/>
    <mergeCell ref="F1234:F1235"/>
    <mergeCell ref="G1234:G1235"/>
    <mergeCell ref="H1234:I1235"/>
    <mergeCell ref="H1232:I1232"/>
    <mergeCell ref="V835:V836"/>
    <mergeCell ref="H836:I836"/>
    <mergeCell ref="J836:L836"/>
    <mergeCell ref="H837:I837"/>
    <mergeCell ref="J837:L837"/>
    <mergeCell ref="D838:D839"/>
    <mergeCell ref="E838:E839"/>
    <mergeCell ref="H838:I838"/>
    <mergeCell ref="J838:L838"/>
    <mergeCell ref="V838:V839"/>
    <mergeCell ref="H839:I839"/>
    <mergeCell ref="J839:L839"/>
    <mergeCell ref="D835:D836"/>
    <mergeCell ref="E835:E836"/>
    <mergeCell ref="H1226:I1226"/>
    <mergeCell ref="H1227:I1227"/>
    <mergeCell ref="H1228:I1228"/>
    <mergeCell ref="H1229:I1229"/>
    <mergeCell ref="H1230:I1230"/>
    <mergeCell ref="H832:I832"/>
    <mergeCell ref="J832:L832"/>
    <mergeCell ref="H833:I833"/>
    <mergeCell ref="J833:L833"/>
    <mergeCell ref="H834:I834"/>
    <mergeCell ref="J834:L834"/>
    <mergeCell ref="H835:I835"/>
    <mergeCell ref="J835:L835"/>
    <mergeCell ref="H1213:I1213"/>
    <mergeCell ref="H1217:I1217"/>
    <mergeCell ref="H1219:I1219"/>
    <mergeCell ref="H1220:I1220"/>
    <mergeCell ref="H1222:I1222"/>
    <mergeCell ref="H1223:I1223"/>
    <mergeCell ref="H1225:I1225"/>
    <mergeCell ref="H1206:I1206"/>
    <mergeCell ref="H1207:I1207"/>
    <mergeCell ref="H1208:I1208"/>
    <mergeCell ref="H1209:I1209"/>
    <mergeCell ref="H827:I827"/>
    <mergeCell ref="J827:L827"/>
    <mergeCell ref="H828:I828"/>
    <mergeCell ref="J828:L828"/>
    <mergeCell ref="H829:I829"/>
    <mergeCell ref="J829:L829"/>
    <mergeCell ref="H830:I830"/>
    <mergeCell ref="J830:L830"/>
    <mergeCell ref="H831:I831"/>
    <mergeCell ref="J831:L831"/>
    <mergeCell ref="J822:L822"/>
    <mergeCell ref="H823:I823"/>
    <mergeCell ref="J823:L823"/>
    <mergeCell ref="H824:I824"/>
    <mergeCell ref="J824:L824"/>
    <mergeCell ref="H825:I825"/>
    <mergeCell ref="J825:L825"/>
    <mergeCell ref="H826:I826"/>
    <mergeCell ref="J826:L826"/>
    <mergeCell ref="H1249:I1249"/>
    <mergeCell ref="H1250:I1250"/>
    <mergeCell ref="H1236:I1236"/>
    <mergeCell ref="H1237:I1237"/>
    <mergeCell ref="H1238:I1238"/>
    <mergeCell ref="H1239:I1239"/>
    <mergeCell ref="H1240:I1240"/>
    <mergeCell ref="H1242:I1242"/>
    <mergeCell ref="H1243:I1243"/>
    <mergeCell ref="H1244:I1244"/>
    <mergeCell ref="H1247:I1247"/>
    <mergeCell ref="H1248:I1248"/>
    <mergeCell ref="H1245:I1245"/>
    <mergeCell ref="H1246:I1246"/>
    <mergeCell ref="H1251:I1251"/>
    <mergeCell ref="H1252:I1252"/>
    <mergeCell ref="H1253:I1253"/>
    <mergeCell ref="H1255:I1255"/>
    <mergeCell ref="H1256:I1256"/>
    <mergeCell ref="H1254:I1254"/>
    <mergeCell ref="H1288:J1288"/>
    <mergeCell ref="H1287:J1287"/>
    <mergeCell ref="H1289:J1289"/>
    <mergeCell ref="H1194:I1194"/>
    <mergeCell ref="H1195:I1195"/>
    <mergeCell ref="H1196:I1196"/>
    <mergeCell ref="H1198:I1198"/>
    <mergeCell ref="H1199:I1199"/>
    <mergeCell ref="H1183:I1183"/>
    <mergeCell ref="H1184:I1184"/>
    <mergeCell ref="H1186:I1186"/>
    <mergeCell ref="H1187:I1187"/>
    <mergeCell ref="H1188:I1188"/>
    <mergeCell ref="H1192:I1192"/>
    <mergeCell ref="H1185:I1185"/>
    <mergeCell ref="F1166:G1166"/>
    <mergeCell ref="H1166:I1166"/>
    <mergeCell ref="H1167:I1167"/>
    <mergeCell ref="H1168:I1168"/>
    <mergeCell ref="H1169:I1169"/>
    <mergeCell ref="K1129:K1130"/>
    <mergeCell ref="L1129:L1130"/>
    <mergeCell ref="M1129:M1130"/>
    <mergeCell ref="N1129:N1130"/>
    <mergeCell ref="B1127:R1127"/>
    <mergeCell ref="V1127:AI1127"/>
    <mergeCell ref="C1129:C1130"/>
    <mergeCell ref="D1129:D1130"/>
    <mergeCell ref="E1129:E1130"/>
    <mergeCell ref="F1129:F1130"/>
    <mergeCell ref="G1129:G1130"/>
    <mergeCell ref="H1129:H1130"/>
    <mergeCell ref="I1129:I1130"/>
    <mergeCell ref="J1129:J1130"/>
    <mergeCell ref="R1129:R1130"/>
    <mergeCell ref="O1129:O1130"/>
    <mergeCell ref="P1129:Q1129"/>
    <mergeCell ref="G1120:H1120"/>
    <mergeCell ref="G1121:H1121"/>
    <mergeCell ref="G1122:H1122"/>
    <mergeCell ref="D1123:D1124"/>
    <mergeCell ref="G1123:H1123"/>
    <mergeCell ref="V1123:V1124"/>
    <mergeCell ref="G1124:H1124"/>
    <mergeCell ref="G1114:H1114"/>
    <mergeCell ref="G1115:H1115"/>
    <mergeCell ref="G1116:H1116"/>
    <mergeCell ref="G1117:H1117"/>
    <mergeCell ref="G1118:H1118"/>
    <mergeCell ref="G1119:H1119"/>
    <mergeCell ref="G1108:H1108"/>
    <mergeCell ref="G1109:H1109"/>
    <mergeCell ref="G1110:H1110"/>
    <mergeCell ref="G1111:H1111"/>
    <mergeCell ref="G1112:H1112"/>
    <mergeCell ref="G1113:H1113"/>
    <mergeCell ref="V1090:V1091"/>
    <mergeCell ref="G1091:H1091"/>
    <mergeCell ref="B1094:R1094"/>
    <mergeCell ref="V1094:AI1094"/>
    <mergeCell ref="G1106:H1106"/>
    <mergeCell ref="G1107:H1107"/>
    <mergeCell ref="G1086:H1086"/>
    <mergeCell ref="G1087:H1087"/>
    <mergeCell ref="G1088:H1088"/>
    <mergeCell ref="G1089:H1089"/>
    <mergeCell ref="D1090:D1091"/>
    <mergeCell ref="G1090:H1090"/>
    <mergeCell ref="G1080:H1080"/>
    <mergeCell ref="G1081:H1081"/>
    <mergeCell ref="G1082:H1082"/>
    <mergeCell ref="G1083:H1083"/>
    <mergeCell ref="G1084:H1084"/>
    <mergeCell ref="G1085:H1085"/>
    <mergeCell ref="B1063:R1063"/>
    <mergeCell ref="V1063:AI1063"/>
    <mergeCell ref="G1076:H1076"/>
    <mergeCell ref="G1077:H1077"/>
    <mergeCell ref="G1078:H1078"/>
    <mergeCell ref="G1079:H1079"/>
    <mergeCell ref="G1056:H1056"/>
    <mergeCell ref="G1057:H1057"/>
    <mergeCell ref="G1058:H1058"/>
    <mergeCell ref="D1059:D1060"/>
    <mergeCell ref="G1059:H1059"/>
    <mergeCell ref="V1059:V1060"/>
    <mergeCell ref="G1060:H1060"/>
    <mergeCell ref="G1050:H1050"/>
    <mergeCell ref="G1051:H1051"/>
    <mergeCell ref="G1052:H1052"/>
    <mergeCell ref="G1053:H1053"/>
    <mergeCell ref="G1054:H1054"/>
    <mergeCell ref="G1055:H1055"/>
    <mergeCell ref="B1037:R1037"/>
    <mergeCell ref="V1037:AI1037"/>
    <mergeCell ref="G1046:H1046"/>
    <mergeCell ref="G1047:H1047"/>
    <mergeCell ref="G1048:H1048"/>
    <mergeCell ref="G1049:H1049"/>
    <mergeCell ref="D1033:D1034"/>
    <mergeCell ref="E1033:E1034"/>
    <mergeCell ref="H1033:I1033"/>
    <mergeCell ref="J1033:L1033"/>
    <mergeCell ref="V1033:V1034"/>
    <mergeCell ref="H1034:I1034"/>
    <mergeCell ref="J1034:L1034"/>
    <mergeCell ref="H1030:I1030"/>
    <mergeCell ref="J1030:L1030"/>
    <mergeCell ref="H1031:I1031"/>
    <mergeCell ref="J1031:L1031"/>
    <mergeCell ref="H1032:I1032"/>
    <mergeCell ref="J1032:L1032"/>
    <mergeCell ref="H1027:I1027"/>
    <mergeCell ref="J1027:L1027"/>
    <mergeCell ref="H1028:I1028"/>
    <mergeCell ref="J1028:L1028"/>
    <mergeCell ref="H1029:I1029"/>
    <mergeCell ref="J1029:L1029"/>
    <mergeCell ref="H1024:I1024"/>
    <mergeCell ref="J1024:L1024"/>
    <mergeCell ref="H1025:I1025"/>
    <mergeCell ref="J1025:L1025"/>
    <mergeCell ref="H1026:I1026"/>
    <mergeCell ref="J1026:L1026"/>
    <mergeCell ref="D1022:D1023"/>
    <mergeCell ref="E1022:E1023"/>
    <mergeCell ref="H1022:I1022"/>
    <mergeCell ref="J1022:L1022"/>
    <mergeCell ref="V1022:V1023"/>
    <mergeCell ref="H1023:I1023"/>
    <mergeCell ref="J1023:L1023"/>
    <mergeCell ref="V1018:V1019"/>
    <mergeCell ref="H1019:I1019"/>
    <mergeCell ref="J1019:L1019"/>
    <mergeCell ref="H1020:I1020"/>
    <mergeCell ref="J1020:L1020"/>
    <mergeCell ref="H1021:I1021"/>
    <mergeCell ref="J1021:L1021"/>
    <mergeCell ref="H1016:I1016"/>
    <mergeCell ref="J1016:L1016"/>
    <mergeCell ref="H1017:I1017"/>
    <mergeCell ref="J1017:L1017"/>
    <mergeCell ref="D1018:D1019"/>
    <mergeCell ref="E1018:E1019"/>
    <mergeCell ref="H1018:I1018"/>
    <mergeCell ref="J1018:L1018"/>
    <mergeCell ref="B1002:R1002"/>
    <mergeCell ref="V1002:AI1002"/>
    <mergeCell ref="H1014:I1014"/>
    <mergeCell ref="J1014:L1014"/>
    <mergeCell ref="H1015:I1015"/>
    <mergeCell ref="J1015:L1015"/>
    <mergeCell ref="D978:D985"/>
    <mergeCell ref="V978:V985"/>
    <mergeCell ref="D986:D993"/>
    <mergeCell ref="G986:G993"/>
    <mergeCell ref="V986:V993"/>
    <mergeCell ref="D998:D999"/>
    <mergeCell ref="V998:V999"/>
    <mergeCell ref="D956:D963"/>
    <mergeCell ref="V956:V963"/>
    <mergeCell ref="D968:D975"/>
    <mergeCell ref="V968:V975"/>
    <mergeCell ref="D976:D977"/>
    <mergeCell ref="V976:V977"/>
    <mergeCell ref="V913:V914"/>
    <mergeCell ref="G914:H914"/>
    <mergeCell ref="I914:K914"/>
    <mergeCell ref="B917:R917"/>
    <mergeCell ref="V917:AI917"/>
    <mergeCell ref="D954:D955"/>
    <mergeCell ref="V954:V955"/>
    <mergeCell ref="G911:H911"/>
    <mergeCell ref="I911:K911"/>
    <mergeCell ref="G912:H912"/>
    <mergeCell ref="I912:K912"/>
    <mergeCell ref="D913:D914"/>
    <mergeCell ref="G913:H913"/>
    <mergeCell ref="I913:K913"/>
    <mergeCell ref="G908:H908"/>
    <mergeCell ref="I908:K908"/>
    <mergeCell ref="G909:H909"/>
    <mergeCell ref="I909:K909"/>
    <mergeCell ref="G910:H910"/>
    <mergeCell ref="I910:K910"/>
    <mergeCell ref="G905:H905"/>
    <mergeCell ref="I905:K905"/>
    <mergeCell ref="G906:H906"/>
    <mergeCell ref="I906:K906"/>
    <mergeCell ref="G907:H907"/>
    <mergeCell ref="I907:K907"/>
    <mergeCell ref="G902:H902"/>
    <mergeCell ref="I902:K902"/>
    <mergeCell ref="G903:H903"/>
    <mergeCell ref="I903:K903"/>
    <mergeCell ref="G904:H904"/>
    <mergeCell ref="I904:K904"/>
    <mergeCell ref="G899:H899"/>
    <mergeCell ref="I899:K899"/>
    <mergeCell ref="G900:H900"/>
    <mergeCell ref="I900:K900"/>
    <mergeCell ref="G901:H901"/>
    <mergeCell ref="I901:K901"/>
    <mergeCell ref="B887:R887"/>
    <mergeCell ref="V887:AI887"/>
    <mergeCell ref="G897:H897"/>
    <mergeCell ref="I897:K897"/>
    <mergeCell ref="G898:H898"/>
    <mergeCell ref="I898:K898"/>
    <mergeCell ref="D881:D884"/>
    <mergeCell ref="E881:E884"/>
    <mergeCell ref="H881:I881"/>
    <mergeCell ref="J881:L881"/>
    <mergeCell ref="V881:V884"/>
    <mergeCell ref="H876:I876"/>
    <mergeCell ref="J876:L876"/>
    <mergeCell ref="H877:I877"/>
    <mergeCell ref="J877:L877"/>
    <mergeCell ref="H882:I882"/>
    <mergeCell ref="J882:L882"/>
    <mergeCell ref="H883:I883"/>
    <mergeCell ref="J883:L883"/>
    <mergeCell ref="H884:I884"/>
    <mergeCell ref="J884:L884"/>
    <mergeCell ref="V877:V878"/>
    <mergeCell ref="H878:I878"/>
    <mergeCell ref="J878:L878"/>
    <mergeCell ref="H880:I880"/>
    <mergeCell ref="J880:L880"/>
    <mergeCell ref="D877:D879"/>
    <mergeCell ref="E877:E879"/>
    <mergeCell ref="H879:I879"/>
    <mergeCell ref="J879:L879"/>
    <mergeCell ref="H873:I873"/>
    <mergeCell ref="J873:L873"/>
    <mergeCell ref="H874:I874"/>
    <mergeCell ref="J874:L874"/>
    <mergeCell ref="H875:I875"/>
    <mergeCell ref="J875:L875"/>
    <mergeCell ref="H870:I870"/>
    <mergeCell ref="J870:L870"/>
    <mergeCell ref="H871:I871"/>
    <mergeCell ref="J871:L871"/>
    <mergeCell ref="H872:I872"/>
    <mergeCell ref="J872:L872"/>
    <mergeCell ref="D868:D869"/>
    <mergeCell ref="E868:E869"/>
    <mergeCell ref="H868:I868"/>
    <mergeCell ref="J868:L868"/>
    <mergeCell ref="V868:V869"/>
    <mergeCell ref="H869:I869"/>
    <mergeCell ref="J869:L869"/>
    <mergeCell ref="V864:V865"/>
    <mergeCell ref="H865:I865"/>
    <mergeCell ref="J865:L865"/>
    <mergeCell ref="H866:I866"/>
    <mergeCell ref="J866:L866"/>
    <mergeCell ref="H867:I867"/>
    <mergeCell ref="J867:L867"/>
    <mergeCell ref="H862:I862"/>
    <mergeCell ref="J862:L862"/>
    <mergeCell ref="H863:I863"/>
    <mergeCell ref="J863:L863"/>
    <mergeCell ref="D864:D865"/>
    <mergeCell ref="E864:E865"/>
    <mergeCell ref="H864:I864"/>
    <mergeCell ref="J864:L864"/>
    <mergeCell ref="H859:I859"/>
    <mergeCell ref="J859:L859"/>
    <mergeCell ref="H860:I860"/>
    <mergeCell ref="J860:L860"/>
    <mergeCell ref="H861:I861"/>
    <mergeCell ref="J861:L861"/>
    <mergeCell ref="V799:V800"/>
    <mergeCell ref="H800:I800"/>
    <mergeCell ref="J800:L800"/>
    <mergeCell ref="B842:R842"/>
    <mergeCell ref="V842:AI842"/>
    <mergeCell ref="H858:I858"/>
    <mergeCell ref="J858:L858"/>
    <mergeCell ref="H798:I798"/>
    <mergeCell ref="J798:L798"/>
    <mergeCell ref="D799:D800"/>
    <mergeCell ref="E799:E800"/>
    <mergeCell ref="H799:I799"/>
    <mergeCell ref="J799:L799"/>
    <mergeCell ref="B803:R803"/>
    <mergeCell ref="V803:AI803"/>
    <mergeCell ref="H818:I818"/>
    <mergeCell ref="J818:L818"/>
    <mergeCell ref="H819:I819"/>
    <mergeCell ref="J819:L819"/>
    <mergeCell ref="H820:I820"/>
    <mergeCell ref="J820:L820"/>
    <mergeCell ref="H821:I821"/>
    <mergeCell ref="J821:L821"/>
    <mergeCell ref="H822:I822"/>
    <mergeCell ref="D796:D797"/>
    <mergeCell ref="E796:E797"/>
    <mergeCell ref="H796:I796"/>
    <mergeCell ref="J796:L796"/>
    <mergeCell ref="V796:V797"/>
    <mergeCell ref="H797:I797"/>
    <mergeCell ref="J797:L797"/>
    <mergeCell ref="H793:I793"/>
    <mergeCell ref="J793:L793"/>
    <mergeCell ref="H794:I794"/>
    <mergeCell ref="J794:L794"/>
    <mergeCell ref="H795:I795"/>
    <mergeCell ref="J795:L795"/>
    <mergeCell ref="H790:I790"/>
    <mergeCell ref="J790:L790"/>
    <mergeCell ref="H791:I791"/>
    <mergeCell ref="J791:L791"/>
    <mergeCell ref="H792:I792"/>
    <mergeCell ref="J792:L792"/>
    <mergeCell ref="H787:I787"/>
    <mergeCell ref="J787:L787"/>
    <mergeCell ref="H788:I788"/>
    <mergeCell ref="J788:L788"/>
    <mergeCell ref="H789:I789"/>
    <mergeCell ref="J789:L789"/>
    <mergeCell ref="H784:I784"/>
    <mergeCell ref="J784:L784"/>
    <mergeCell ref="H785:I785"/>
    <mergeCell ref="J785:L785"/>
    <mergeCell ref="H786:I786"/>
    <mergeCell ref="J786:L786"/>
    <mergeCell ref="H781:I781"/>
    <mergeCell ref="J781:L781"/>
    <mergeCell ref="H782:I782"/>
    <mergeCell ref="J782:L782"/>
    <mergeCell ref="H783:I783"/>
    <mergeCell ref="J783:L783"/>
    <mergeCell ref="B763:R763"/>
    <mergeCell ref="V763:AI763"/>
    <mergeCell ref="H779:I779"/>
    <mergeCell ref="J779:L779"/>
    <mergeCell ref="H780:I780"/>
    <mergeCell ref="J780:L780"/>
    <mergeCell ref="H757:I757"/>
    <mergeCell ref="J757:M757"/>
    <mergeCell ref="H758:I758"/>
    <mergeCell ref="J758:M758"/>
    <mergeCell ref="H759:I759"/>
    <mergeCell ref="J759:M759"/>
    <mergeCell ref="D756:D760"/>
    <mergeCell ref="E756:E760"/>
    <mergeCell ref="H760:I760"/>
    <mergeCell ref="J760:M760"/>
    <mergeCell ref="V756:V760"/>
    <mergeCell ref="H755:I755"/>
    <mergeCell ref="J755:M755"/>
    <mergeCell ref="H756:I756"/>
    <mergeCell ref="J756:M756"/>
    <mergeCell ref="J748:M748"/>
    <mergeCell ref="H750:I753"/>
    <mergeCell ref="J750:M753"/>
    <mergeCell ref="D745:D749"/>
    <mergeCell ref="E745:E749"/>
    <mergeCell ref="E750:E754"/>
    <mergeCell ref="D750:D754"/>
    <mergeCell ref="H749:I749"/>
    <mergeCell ref="H754:I754"/>
    <mergeCell ref="J754:M754"/>
    <mergeCell ref="J749:M749"/>
    <mergeCell ref="H745:I745"/>
    <mergeCell ref="J745:M745"/>
    <mergeCell ref="H746:I746"/>
    <mergeCell ref="J746:M746"/>
    <mergeCell ref="H747:I747"/>
    <mergeCell ref="J747:M747"/>
    <mergeCell ref="H748:I748"/>
    <mergeCell ref="V750:V754"/>
    <mergeCell ref="V745:V749"/>
    <mergeCell ref="V741:V742"/>
    <mergeCell ref="H742:I742"/>
    <mergeCell ref="D743:D744"/>
    <mergeCell ref="E743:E744"/>
    <mergeCell ref="H743:I743"/>
    <mergeCell ref="J743:M743"/>
    <mergeCell ref="V743:V744"/>
    <mergeCell ref="H744:I744"/>
    <mergeCell ref="J744:M744"/>
    <mergeCell ref="J742:M742"/>
    <mergeCell ref="H740:I740"/>
    <mergeCell ref="J740:M740"/>
    <mergeCell ref="D741:D742"/>
    <mergeCell ref="E741:E742"/>
    <mergeCell ref="H741:I741"/>
    <mergeCell ref="J741:M741"/>
    <mergeCell ref="J733:M733"/>
    <mergeCell ref="H735:I735"/>
    <mergeCell ref="J735:M735"/>
    <mergeCell ref="D730:D734"/>
    <mergeCell ref="E730:E734"/>
    <mergeCell ref="H734:I734"/>
    <mergeCell ref="J734:M734"/>
    <mergeCell ref="H739:I739"/>
    <mergeCell ref="J739:M739"/>
    <mergeCell ref="E735:E739"/>
    <mergeCell ref="D735:D739"/>
    <mergeCell ref="H736:I736"/>
    <mergeCell ref="J736:M736"/>
    <mergeCell ref="H737:I737"/>
    <mergeCell ref="J737:M737"/>
    <mergeCell ref="H730:I730"/>
    <mergeCell ref="J730:M730"/>
    <mergeCell ref="H731:I731"/>
    <mergeCell ref="J731:M731"/>
    <mergeCell ref="H732:I732"/>
    <mergeCell ref="J732:M732"/>
    <mergeCell ref="H733:I733"/>
    <mergeCell ref="H738:I738"/>
    <mergeCell ref="J738:M738"/>
    <mergeCell ref="V730:V734"/>
    <mergeCell ref="V735:V739"/>
    <mergeCell ref="V726:V727"/>
    <mergeCell ref="D728:D729"/>
    <mergeCell ref="E728:E729"/>
    <mergeCell ref="H728:I728"/>
    <mergeCell ref="J728:M728"/>
    <mergeCell ref="V728:V729"/>
    <mergeCell ref="H729:I729"/>
    <mergeCell ref="J729:M729"/>
    <mergeCell ref="H725:I725"/>
    <mergeCell ref="J725:K725"/>
    <mergeCell ref="L725:M725"/>
    <mergeCell ref="D726:D727"/>
    <mergeCell ref="E726:E727"/>
    <mergeCell ref="H726:I727"/>
    <mergeCell ref="J726:M727"/>
    <mergeCell ref="D671:D676"/>
    <mergeCell ref="E671:E676"/>
    <mergeCell ref="M671:N671"/>
    <mergeCell ref="V671:V676"/>
    <mergeCell ref="V679:AI679"/>
    <mergeCell ref="D665:D670"/>
    <mergeCell ref="E665:E670"/>
    <mergeCell ref="V665:V670"/>
    <mergeCell ref="M667:O667"/>
    <mergeCell ref="M668:N668"/>
    <mergeCell ref="M669:N669"/>
    <mergeCell ref="M670:N670"/>
    <mergeCell ref="B679:R679"/>
    <mergeCell ref="H657:I657"/>
    <mergeCell ref="D658:D663"/>
    <mergeCell ref="E658:E663"/>
    <mergeCell ref="V658:V663"/>
    <mergeCell ref="M662:N662"/>
    <mergeCell ref="D644:D649"/>
    <mergeCell ref="E644:E649"/>
    <mergeCell ref="V644:V649"/>
    <mergeCell ref="H650:I650"/>
    <mergeCell ref="D655:D656"/>
    <mergeCell ref="E655:E656"/>
    <mergeCell ref="V655:V656"/>
    <mergeCell ref="M660:P660"/>
    <mergeCell ref="B600:R600"/>
    <mergeCell ref="V600:AI600"/>
    <mergeCell ref="D635:D640"/>
    <mergeCell ref="E635:E640"/>
    <mergeCell ref="V635:V640"/>
    <mergeCell ref="H641:I641"/>
    <mergeCell ref="H595:I595"/>
    <mergeCell ref="J595:L595"/>
    <mergeCell ref="H596:I596"/>
    <mergeCell ref="J596:L596"/>
    <mergeCell ref="H597:I597"/>
    <mergeCell ref="J597:L597"/>
    <mergeCell ref="C615:L616"/>
    <mergeCell ref="J591:L591"/>
    <mergeCell ref="H592:I592"/>
    <mergeCell ref="J592:L592"/>
    <mergeCell ref="H593:I593"/>
    <mergeCell ref="J593:L593"/>
    <mergeCell ref="H594:I594"/>
    <mergeCell ref="J594:L594"/>
    <mergeCell ref="H586:I586"/>
    <mergeCell ref="H587:I587"/>
    <mergeCell ref="H588:I588"/>
    <mergeCell ref="H589:I589"/>
    <mergeCell ref="H590:I590"/>
    <mergeCell ref="H591:I591"/>
    <mergeCell ref="V581:V583"/>
    <mergeCell ref="V585:V590"/>
    <mergeCell ref="H580:I580"/>
    <mergeCell ref="J580:L580"/>
    <mergeCell ref="H581:I581"/>
    <mergeCell ref="J581:L583"/>
    <mergeCell ref="H557:I557"/>
    <mergeCell ref="J557:L557"/>
    <mergeCell ref="H558:I558"/>
    <mergeCell ref="J558:L558"/>
    <mergeCell ref="B561:R561"/>
    <mergeCell ref="V561:AI561"/>
    <mergeCell ref="H582:I582"/>
    <mergeCell ref="H583:I583"/>
    <mergeCell ref="H584:I584"/>
    <mergeCell ref="J584:L584"/>
    <mergeCell ref="D585:D590"/>
    <mergeCell ref="E585:E590"/>
    <mergeCell ref="H585:I585"/>
    <mergeCell ref="J585:L590"/>
    <mergeCell ref="E581:E583"/>
    <mergeCell ref="D581:D583"/>
    <mergeCell ref="H554:I554"/>
    <mergeCell ref="J554:L554"/>
    <mergeCell ref="H555:I555"/>
    <mergeCell ref="J555:L555"/>
    <mergeCell ref="H556:I556"/>
    <mergeCell ref="J556:L556"/>
    <mergeCell ref="H551:I551"/>
    <mergeCell ref="J551:L551"/>
    <mergeCell ref="H552:I552"/>
    <mergeCell ref="J552:L552"/>
    <mergeCell ref="H553:I553"/>
    <mergeCell ref="J553:L553"/>
    <mergeCell ref="H548:I548"/>
    <mergeCell ref="J548:L548"/>
    <mergeCell ref="H549:I549"/>
    <mergeCell ref="J549:L549"/>
    <mergeCell ref="H550:I550"/>
    <mergeCell ref="J550:L550"/>
    <mergeCell ref="H545:I545"/>
    <mergeCell ref="J545:L545"/>
    <mergeCell ref="H546:I546"/>
    <mergeCell ref="J546:L546"/>
    <mergeCell ref="H547:I547"/>
    <mergeCell ref="J547:L547"/>
    <mergeCell ref="H542:I542"/>
    <mergeCell ref="J542:L542"/>
    <mergeCell ref="H543:I543"/>
    <mergeCell ref="J543:L543"/>
    <mergeCell ref="H544:I544"/>
    <mergeCell ref="J544:L544"/>
    <mergeCell ref="H539:I539"/>
    <mergeCell ref="J539:L539"/>
    <mergeCell ref="D540:D541"/>
    <mergeCell ref="E540:E541"/>
    <mergeCell ref="H540:I540"/>
    <mergeCell ref="J540:L540"/>
    <mergeCell ref="H541:I541"/>
    <mergeCell ref="J541:L541"/>
    <mergeCell ref="B520:R520"/>
    <mergeCell ref="V520:AI520"/>
    <mergeCell ref="H537:I537"/>
    <mergeCell ref="J537:L537"/>
    <mergeCell ref="H538:I538"/>
    <mergeCell ref="J538:L538"/>
    <mergeCell ref="B490:R490"/>
    <mergeCell ref="V490:AI490"/>
    <mergeCell ref="D507:D508"/>
    <mergeCell ref="V507:V508"/>
    <mergeCell ref="D513:D514"/>
    <mergeCell ref="V513:V514"/>
    <mergeCell ref="D478:D480"/>
    <mergeCell ref="H478:H480"/>
    <mergeCell ref="V478:V480"/>
    <mergeCell ref="D481:D483"/>
    <mergeCell ref="G481:G483"/>
    <mergeCell ref="H481:H483"/>
    <mergeCell ref="V481:V483"/>
    <mergeCell ref="B449:R449"/>
    <mergeCell ref="V449:AI449"/>
    <mergeCell ref="D463:G466"/>
    <mergeCell ref="D474:D476"/>
    <mergeCell ref="G474:G475"/>
    <mergeCell ref="H474:H475"/>
    <mergeCell ref="V474:V476"/>
    <mergeCell ref="D469:D470"/>
    <mergeCell ref="V469:V470"/>
    <mergeCell ref="D356:D385"/>
    <mergeCell ref="V356:V385"/>
    <mergeCell ref="D386:D415"/>
    <mergeCell ref="V386:V415"/>
    <mergeCell ref="H387:H415"/>
    <mergeCell ref="D417:D446"/>
    <mergeCell ref="G417:G446"/>
    <mergeCell ref="V417:V446"/>
    <mergeCell ref="D260:D289"/>
    <mergeCell ref="V260:V289"/>
    <mergeCell ref="D293:D322"/>
    <mergeCell ref="H293:H322"/>
    <mergeCell ref="V293:V322"/>
    <mergeCell ref="D323:D352"/>
    <mergeCell ref="V323:V352"/>
    <mergeCell ref="D170:D199"/>
    <mergeCell ref="V170:V199"/>
    <mergeCell ref="D200:D229"/>
    <mergeCell ref="V200:V229"/>
    <mergeCell ref="D230:D259"/>
    <mergeCell ref="V230:V259"/>
    <mergeCell ref="D115:D123"/>
    <mergeCell ref="H115:H123"/>
    <mergeCell ref="V115:V123"/>
    <mergeCell ref="B126:R126"/>
    <mergeCell ref="V126:AI126"/>
    <mergeCell ref="D164:L167"/>
    <mergeCell ref="D85:D93"/>
    <mergeCell ref="V85:V93"/>
    <mergeCell ref="D94:D102"/>
    <mergeCell ref="V94:V102"/>
    <mergeCell ref="D103:D111"/>
    <mergeCell ref="V103:V111"/>
    <mergeCell ref="H51:J51"/>
    <mergeCell ref="K51:N51"/>
    <mergeCell ref="B56:R56"/>
    <mergeCell ref="V56:AI56"/>
    <mergeCell ref="E73:L73"/>
    <mergeCell ref="D76:D84"/>
    <mergeCell ref="V76:V84"/>
    <mergeCell ref="D44:D53"/>
    <mergeCell ref="E44:E53"/>
    <mergeCell ref="H52:J52"/>
    <mergeCell ref="K52:N52"/>
    <mergeCell ref="H53:J53"/>
    <mergeCell ref="K53:N53"/>
    <mergeCell ref="V44:V53"/>
    <mergeCell ref="K47:N47"/>
    <mergeCell ref="H48:J48"/>
    <mergeCell ref="K48:N48"/>
    <mergeCell ref="H49:J49"/>
    <mergeCell ref="K49:N49"/>
    <mergeCell ref="H50:J50"/>
    <mergeCell ref="K50:N50"/>
    <mergeCell ref="H44:J44"/>
    <mergeCell ref="K44:N44"/>
    <mergeCell ref="H45:J45"/>
    <mergeCell ref="K45:N45"/>
    <mergeCell ref="H46:J46"/>
    <mergeCell ref="K46:N46"/>
    <mergeCell ref="H47:J47"/>
    <mergeCell ref="H42:J42"/>
    <mergeCell ref="K42:N42"/>
    <mergeCell ref="H43:J43"/>
    <mergeCell ref="K43:N43"/>
    <mergeCell ref="H32:J32"/>
    <mergeCell ref="K32:N32"/>
    <mergeCell ref="H33:J33"/>
    <mergeCell ref="K33:N33"/>
    <mergeCell ref="H34:J34"/>
    <mergeCell ref="K34:N34"/>
    <mergeCell ref="H35:J35"/>
    <mergeCell ref="D32:D36"/>
    <mergeCell ref="E32:E36"/>
    <mergeCell ref="H36:J36"/>
    <mergeCell ref="K36:N36"/>
    <mergeCell ref="V37:V41"/>
    <mergeCell ref="V32:V36"/>
    <mergeCell ref="H37:J37"/>
    <mergeCell ref="K37:N37"/>
    <mergeCell ref="H38:J38"/>
    <mergeCell ref="K38:N38"/>
    <mergeCell ref="H39:J39"/>
    <mergeCell ref="K39:N39"/>
    <mergeCell ref="H40:J40"/>
    <mergeCell ref="K40:N40"/>
    <mergeCell ref="D37:D41"/>
    <mergeCell ref="E37:E41"/>
    <mergeCell ref="H41:J41"/>
    <mergeCell ref="K41:N41"/>
    <mergeCell ref="H1170:I1170"/>
    <mergeCell ref="H1171:I1171"/>
    <mergeCell ref="H1173:I1173"/>
    <mergeCell ref="A1:O1"/>
    <mergeCell ref="P1:R1"/>
    <mergeCell ref="D2:J2"/>
    <mergeCell ref="B4:R4"/>
    <mergeCell ref="V4:AI4"/>
    <mergeCell ref="H27:J27"/>
    <mergeCell ref="K27:N27"/>
    <mergeCell ref="D30:D31"/>
    <mergeCell ref="E30:E31"/>
    <mergeCell ref="H30:J30"/>
    <mergeCell ref="K30:N30"/>
    <mergeCell ref="V30:V31"/>
    <mergeCell ref="H31:J31"/>
    <mergeCell ref="K31:N31"/>
    <mergeCell ref="D28:D29"/>
    <mergeCell ref="E28:E29"/>
    <mergeCell ref="H28:J29"/>
    <mergeCell ref="K28:N28"/>
    <mergeCell ref="V28:V29"/>
    <mergeCell ref="K29:N29"/>
    <mergeCell ref="K35:N35"/>
    <mergeCell ref="H1172:I1172"/>
    <mergeCell ref="H1190:I1190"/>
    <mergeCell ref="H1197:I1197"/>
    <mergeCell ref="H1210:I1210"/>
    <mergeCell ref="H1215:I1215"/>
    <mergeCell ref="H1241:I1241"/>
    <mergeCell ref="H1177:I1177"/>
    <mergeCell ref="H1178:I1178"/>
    <mergeCell ref="H1179:I1179"/>
    <mergeCell ref="H1180:I1180"/>
    <mergeCell ref="H1181:I1181"/>
    <mergeCell ref="H1182:I1182"/>
    <mergeCell ref="H1211:I1211"/>
    <mergeCell ref="H1212:I1212"/>
    <mergeCell ref="H1200:I1200"/>
    <mergeCell ref="H1201:I1201"/>
    <mergeCell ref="H1202:I1202"/>
    <mergeCell ref="H1203:I1203"/>
    <mergeCell ref="H1204:I1204"/>
    <mergeCell ref="H1205:I1205"/>
    <mergeCell ref="H1174:I1174"/>
    <mergeCell ref="H1175:I1175"/>
    <mergeCell ref="H1176:I1176"/>
    <mergeCell ref="H1193:I1193"/>
    <mergeCell ref="D1223:D1224"/>
    <mergeCell ref="H1224:I1224"/>
    <mergeCell ref="D1236:D1261"/>
    <mergeCell ref="H1259:I1259"/>
    <mergeCell ref="H1261:I1261"/>
    <mergeCell ref="V1236:V1261"/>
    <mergeCell ref="V1167:V1191"/>
    <mergeCell ref="V1192:V1216"/>
    <mergeCell ref="V1217:V1218"/>
    <mergeCell ref="V1220:V1221"/>
    <mergeCell ref="V1223:V1224"/>
    <mergeCell ref="D1167:D1191"/>
    <mergeCell ref="H1189:I1189"/>
    <mergeCell ref="H1191:I1191"/>
    <mergeCell ref="D1192:D1216"/>
    <mergeCell ref="H1214:I1214"/>
    <mergeCell ref="H1216:I1216"/>
    <mergeCell ref="D1220:D1221"/>
    <mergeCell ref="H1221:I1221"/>
    <mergeCell ref="H1257:I1257"/>
    <mergeCell ref="H1258:I1258"/>
    <mergeCell ref="H1260:I1260"/>
    <mergeCell ref="D1217:D1218"/>
    <mergeCell ref="H1218:I1218"/>
    <mergeCell ref="B1435:O1435"/>
    <mergeCell ref="V1435:AI1435"/>
    <mergeCell ref="D1472:D1479"/>
    <mergeCell ref="G1472:H1472"/>
    <mergeCell ref="V1472:V1479"/>
    <mergeCell ref="G1473:H1473"/>
    <mergeCell ref="G1474:H1474"/>
    <mergeCell ref="G1475:H1475"/>
    <mergeCell ref="G1476:H1476"/>
    <mergeCell ref="G1477:H1477"/>
    <mergeCell ref="G1478:H1479"/>
    <mergeCell ref="D1496:D1499"/>
    <mergeCell ref="G1496:H1499"/>
    <mergeCell ref="V1496:V1499"/>
    <mergeCell ref="G1500:H1500"/>
    <mergeCell ref="D1501:D1508"/>
    <mergeCell ref="G1501:H1508"/>
    <mergeCell ref="V1501:V1508"/>
    <mergeCell ref="D1480:D1487"/>
    <mergeCell ref="G1480:H1487"/>
    <mergeCell ref="I1480:I1487"/>
    <mergeCell ref="V1480:V1487"/>
    <mergeCell ref="D1488:D1495"/>
    <mergeCell ref="G1488:H1488"/>
    <mergeCell ref="V1488:V1495"/>
    <mergeCell ref="G1489:H1489"/>
    <mergeCell ref="G1490:H1490"/>
    <mergeCell ref="G1491:H1491"/>
    <mergeCell ref="G1492:H1492"/>
    <mergeCell ref="G1493:H1493"/>
    <mergeCell ref="G1494:H1494"/>
    <mergeCell ref="G1495:H1495"/>
    <mergeCell ref="D1510:D1517"/>
    <mergeCell ref="G1510:H1510"/>
    <mergeCell ref="V1510:V1517"/>
    <mergeCell ref="G1511:H1511"/>
    <mergeCell ref="G1512:H1512"/>
    <mergeCell ref="G1513:H1513"/>
    <mergeCell ref="G1514:H1514"/>
    <mergeCell ref="G1515:H1515"/>
    <mergeCell ref="G1516:H1516"/>
    <mergeCell ref="G1517:H1517"/>
    <mergeCell ref="V1523:V1530"/>
    <mergeCell ref="G1524:H1524"/>
    <mergeCell ref="G1525:H1525"/>
    <mergeCell ref="G1526:H1526"/>
    <mergeCell ref="G1527:H1527"/>
    <mergeCell ref="G1528:H1528"/>
    <mergeCell ref="G1529:H1529"/>
    <mergeCell ref="G1530:H1530"/>
    <mergeCell ref="G1509:H1509"/>
    <mergeCell ref="G1531:H1531"/>
    <mergeCell ref="G1532:H1532"/>
    <mergeCell ref="G1533:H1533"/>
    <mergeCell ref="G1518:H1518"/>
    <mergeCell ref="G1519:H1519"/>
    <mergeCell ref="G1520:H1520"/>
    <mergeCell ref="G1521:H1521"/>
    <mergeCell ref="G1522:H1522"/>
    <mergeCell ref="D1523:D1530"/>
    <mergeCell ref="G1523:H1523"/>
    <mergeCell ref="D1519:D1520"/>
  </mergeCells>
  <conditionalFormatting sqref="AH493 AH1438:AH1453">
    <cfRule type="cellIs" dxfId="239" priority="122" operator="lessThan">
      <formula>-0.1</formula>
    </cfRule>
    <cfRule type="cellIs" dxfId="238" priority="123" operator="greaterThan">
      <formula>0.1</formula>
    </cfRule>
  </conditionalFormatting>
  <conditionalFormatting sqref="AH682:AH701">
    <cfRule type="cellIs" dxfId="237" priority="120" operator="lessThan">
      <formula>-0.1</formula>
    </cfRule>
    <cfRule type="cellIs" dxfId="236" priority="121" operator="greaterThan">
      <formula>0.1</formula>
    </cfRule>
  </conditionalFormatting>
  <conditionalFormatting sqref="AH766:AH768">
    <cfRule type="cellIs" dxfId="235" priority="118" operator="lessThan">
      <formula>-0.1</formula>
    </cfRule>
    <cfRule type="cellIs" dxfId="234" priority="119" operator="greaterThan">
      <formula>0.1</formula>
    </cfRule>
  </conditionalFormatting>
  <conditionalFormatting sqref="AH769:AH770">
    <cfRule type="cellIs" dxfId="233" priority="116" operator="lessThan">
      <formula>-0.1</formula>
    </cfRule>
    <cfRule type="cellIs" dxfId="232" priority="117" operator="greaterThan">
      <formula>0.1</formula>
    </cfRule>
  </conditionalFormatting>
  <conditionalFormatting sqref="AH845:AH847">
    <cfRule type="cellIs" dxfId="231" priority="114" operator="lessThan">
      <formula>-0.1</formula>
    </cfRule>
    <cfRule type="cellIs" dxfId="230" priority="115" operator="greaterThan">
      <formula>0.1</formula>
    </cfRule>
  </conditionalFormatting>
  <conditionalFormatting sqref="AH848">
    <cfRule type="cellIs" dxfId="229" priority="112" operator="lessThan">
      <formula>-0.1</formula>
    </cfRule>
    <cfRule type="cellIs" dxfId="228" priority="113" operator="greaterThan">
      <formula>0.1</formula>
    </cfRule>
  </conditionalFormatting>
  <conditionalFormatting sqref="AH920:AH943">
    <cfRule type="cellIs" dxfId="227" priority="110" operator="lessThan">
      <formula>-0.1</formula>
    </cfRule>
    <cfRule type="cellIs" dxfId="226" priority="111" operator="greaterThan">
      <formula>0.1</formula>
    </cfRule>
  </conditionalFormatting>
  <conditionalFormatting sqref="AH1131:AH1155">
    <cfRule type="cellIs" dxfId="225" priority="108" operator="lessThan">
      <formula>-0.1</formula>
    </cfRule>
    <cfRule type="cellIs" dxfId="224" priority="109" operator="greaterThan">
      <formula>0.1</formula>
    </cfRule>
  </conditionalFormatting>
  <conditionalFormatting sqref="B458:B493 B850:B1309 B842:B848 B1312:B1339 B1:B17 B19:B452 B495:B678 B704:B802 B1341:B1393 B680:B701 AC1449:AC1451 I1480:I1487 V1472:V1496 A1481:F1487 J1471:P1533 I1501:I1532 A1519:G1519 V1500:V1533 AB1472:AC1519 AC1438:AC1447 A1438:P1453 AD1438:AD1453">
    <cfRule type="cellIs" dxfId="223" priority="107" operator="equal">
      <formula>"x"</formula>
    </cfRule>
  </conditionalFormatting>
  <conditionalFormatting sqref="B18:B21">
    <cfRule type="cellIs" dxfId="222" priority="106" operator="equal">
      <formula>"x"</formula>
    </cfRule>
  </conditionalFormatting>
  <conditionalFormatting sqref="E9">
    <cfRule type="cellIs" dxfId="221" priority="105" operator="equal">
      <formula>"x"</formula>
    </cfRule>
  </conditionalFormatting>
  <conditionalFormatting sqref="E12">
    <cfRule type="cellIs" dxfId="220" priority="104" operator="equal">
      <formula>"x"</formula>
    </cfRule>
  </conditionalFormatting>
  <conditionalFormatting sqref="E15">
    <cfRule type="cellIs" dxfId="219" priority="103" operator="equal">
      <formula>"x"</formula>
    </cfRule>
  </conditionalFormatting>
  <conditionalFormatting sqref="E18:E21">
    <cfRule type="cellIs" dxfId="218" priority="102" operator="equal">
      <formula>"x"</formula>
    </cfRule>
  </conditionalFormatting>
  <conditionalFormatting sqref="E702:E711">
    <cfRule type="cellIs" dxfId="217" priority="92" operator="equal">
      <formula>"x"</formula>
    </cfRule>
  </conditionalFormatting>
  <conditionalFormatting sqref="AH494">
    <cfRule type="cellIs" dxfId="216" priority="100" operator="lessThan">
      <formula>-0.1</formula>
    </cfRule>
    <cfRule type="cellIs" dxfId="215" priority="101" operator="greaterThan">
      <formula>0.1</formula>
    </cfRule>
  </conditionalFormatting>
  <conditionalFormatting sqref="B494">
    <cfRule type="cellIs" dxfId="214" priority="99" operator="equal">
      <formula>"x"</formula>
    </cfRule>
  </conditionalFormatting>
  <conditionalFormatting sqref="E494">
    <cfRule type="cellIs" dxfId="213" priority="98" operator="equal">
      <formula>"x"</formula>
    </cfRule>
  </conditionalFormatting>
  <conditionalFormatting sqref="AH702:AH711">
    <cfRule type="cellIs" dxfId="212" priority="96" operator="lessThan">
      <formula>-0.1</formula>
    </cfRule>
    <cfRule type="cellIs" dxfId="211" priority="97" operator="greaterThan">
      <formula>0.1</formula>
    </cfRule>
  </conditionalFormatting>
  <conditionalFormatting sqref="B702:B711">
    <cfRule type="cellIs" dxfId="210" priority="95" operator="equal">
      <formula>"x"</formula>
    </cfRule>
  </conditionalFormatting>
  <conditionalFormatting sqref="E690:E691">
    <cfRule type="cellIs" dxfId="209" priority="94" operator="equal">
      <formula>"x"</formula>
    </cfRule>
  </conditionalFormatting>
  <conditionalFormatting sqref="E696:E697">
    <cfRule type="cellIs" dxfId="208" priority="93" operator="equal">
      <formula>"x"</formula>
    </cfRule>
  </conditionalFormatting>
  <conditionalFormatting sqref="E922:E923">
    <cfRule type="cellIs" dxfId="207" priority="91" operator="equal">
      <formula>"x"</formula>
    </cfRule>
  </conditionalFormatting>
  <conditionalFormatting sqref="E928:E929">
    <cfRule type="cellIs" dxfId="206" priority="90" operator="equal">
      <formula>"x"</formula>
    </cfRule>
  </conditionalFormatting>
  <conditionalFormatting sqref="E934:E935">
    <cfRule type="cellIs" dxfId="205" priority="89" operator="equal">
      <formula>"x"</formula>
    </cfRule>
  </conditionalFormatting>
  <conditionalFormatting sqref="E940:E941">
    <cfRule type="cellIs" dxfId="204" priority="88" operator="equal">
      <formula>"x"</formula>
    </cfRule>
  </conditionalFormatting>
  <conditionalFormatting sqref="B453:B454">
    <cfRule type="cellIs" dxfId="203" priority="87" operator="equal">
      <formula>"x"</formula>
    </cfRule>
  </conditionalFormatting>
  <conditionalFormatting sqref="B1310:B1311">
    <cfRule type="cellIs" dxfId="202" priority="86" operator="equal">
      <formula>"x"</formula>
    </cfRule>
  </conditionalFormatting>
  <conditionalFormatting sqref="AH849">
    <cfRule type="cellIs" dxfId="201" priority="84" operator="lessThan">
      <formula>-0.1</formula>
    </cfRule>
    <cfRule type="cellIs" dxfId="200" priority="85" operator="greaterThan">
      <formula>0.1</formula>
    </cfRule>
  </conditionalFormatting>
  <conditionalFormatting sqref="B849">
    <cfRule type="cellIs" dxfId="199" priority="83" operator="equal">
      <formula>"x"</formula>
    </cfRule>
  </conditionalFormatting>
  <conditionalFormatting sqref="B455">
    <cfRule type="cellIs" dxfId="198" priority="82" operator="equal">
      <formula>"x"</formula>
    </cfRule>
  </conditionalFormatting>
  <conditionalFormatting sqref="B456:B457">
    <cfRule type="cellIs" dxfId="197" priority="81" operator="equal">
      <formula>"x"</formula>
    </cfRule>
  </conditionalFormatting>
  <conditionalFormatting sqref="AH806:AH808">
    <cfRule type="cellIs" dxfId="196" priority="79" operator="lessThan">
      <formula>-0.1</formula>
    </cfRule>
    <cfRule type="cellIs" dxfId="195" priority="80" operator="greaterThan">
      <formula>0.1</formula>
    </cfRule>
  </conditionalFormatting>
  <conditionalFormatting sqref="AH809:AH810">
    <cfRule type="cellIs" dxfId="194" priority="77" operator="lessThan">
      <formula>-0.1</formula>
    </cfRule>
    <cfRule type="cellIs" dxfId="193" priority="78" operator="greaterThan">
      <formula>0.1</formula>
    </cfRule>
  </conditionalFormatting>
  <conditionalFormatting sqref="B803:B841">
    <cfRule type="cellIs" dxfId="192" priority="76" operator="equal">
      <formula>"x"</formula>
    </cfRule>
  </conditionalFormatting>
  <conditionalFormatting sqref="B1409:B1417 B1421:B1422 B1432">
    <cfRule type="cellIs" dxfId="191" priority="75" operator="equal">
      <formula>"x"</formula>
    </cfRule>
  </conditionalFormatting>
  <conditionalFormatting sqref="A1394:B1397 A1400:B1400 A1403:B1403 A1406:B1406">
    <cfRule type="cellIs" dxfId="190" priority="74" operator="equal">
      <formula>"x"</formula>
    </cfRule>
  </conditionalFormatting>
  <conditionalFormatting sqref="B1426 B1429">
    <cfRule type="cellIs" dxfId="189" priority="73" operator="equal">
      <formula>"x"</formula>
    </cfRule>
  </conditionalFormatting>
  <conditionalFormatting sqref="B1418:B1420">
    <cfRule type="cellIs" dxfId="188" priority="72" operator="equal">
      <formula>"x"</formula>
    </cfRule>
  </conditionalFormatting>
  <conditionalFormatting sqref="B1423:B1425">
    <cfRule type="cellIs" dxfId="187" priority="71" operator="equal">
      <formula>"x"</formula>
    </cfRule>
  </conditionalFormatting>
  <conditionalFormatting sqref="B1427:B1428">
    <cfRule type="cellIs" dxfId="186" priority="70" operator="equal">
      <formula>"x"</formula>
    </cfRule>
  </conditionalFormatting>
  <conditionalFormatting sqref="A1398:B1399">
    <cfRule type="cellIs" dxfId="185" priority="69" operator="equal">
      <formula>"x"</formula>
    </cfRule>
  </conditionalFormatting>
  <conditionalFormatting sqref="A1401:B1402">
    <cfRule type="cellIs" dxfId="184" priority="68" operator="equal">
      <formula>"x"</formula>
    </cfRule>
  </conditionalFormatting>
  <conditionalFormatting sqref="A1404:B1405">
    <cfRule type="cellIs" dxfId="183" priority="67" operator="equal">
      <formula>"x"</formula>
    </cfRule>
  </conditionalFormatting>
  <conditionalFormatting sqref="A1407:B1408">
    <cfRule type="cellIs" dxfId="182" priority="66" operator="equal">
      <formula>"x"</formula>
    </cfRule>
  </conditionalFormatting>
  <conditionalFormatting sqref="B1430:B1431">
    <cfRule type="cellIs" dxfId="181" priority="65" operator="equal">
      <formula>"x"</formula>
    </cfRule>
  </conditionalFormatting>
  <conditionalFormatting sqref="AA1397:AA1408">
    <cfRule type="cellIs" dxfId="180" priority="64" operator="notEqual">
      <formula>Z1397</formula>
    </cfRule>
  </conditionalFormatting>
  <conditionalFormatting sqref="F52:F53">
    <cfRule type="cellIs" dxfId="179" priority="63" operator="equal">
      <formula>"x"</formula>
    </cfRule>
  </conditionalFormatting>
  <conditionalFormatting sqref="AC7:AC21">
    <cfRule type="cellIs" dxfId="178" priority="62" operator="notEqual">
      <formula>AB7</formula>
    </cfRule>
  </conditionalFormatting>
  <conditionalFormatting sqref="AC28:AC30 AC32:AC33">
    <cfRule type="cellIs" dxfId="177" priority="61" operator="notEqual">
      <formula>AB28</formula>
    </cfRule>
  </conditionalFormatting>
  <conditionalFormatting sqref="AC682:AC709">
    <cfRule type="cellIs" dxfId="176" priority="60" operator="notEqual">
      <formula>AB682</formula>
    </cfRule>
  </conditionalFormatting>
  <conditionalFormatting sqref="AC726:AC755">
    <cfRule type="cellIs" dxfId="175" priority="58" operator="notEqual">
      <formula>AB726</formula>
    </cfRule>
  </conditionalFormatting>
  <conditionalFormatting sqref="B1340">
    <cfRule type="cellIs" dxfId="174" priority="57" operator="equal">
      <formula>"x"</formula>
    </cfRule>
  </conditionalFormatting>
  <conditionalFormatting sqref="B679">
    <cfRule type="cellIs" dxfId="173" priority="55" operator="equal">
      <formula>"x"</formula>
    </cfRule>
  </conditionalFormatting>
  <conditionalFormatting sqref="A1480:G1480 A1479:F1479 A1437:P1437 A1436:C1436 F1436:P1436 A1434:P1435 A1500:D1500 A1497:C1499 A1501:G1501 A1520:C1520 A1533:E1533 G1496 D1471:H1471 I1488:I1499 I1471:I1479 G1520 A1521:G1523 A1518:F1518 D1472:G1478 A1488:G1488 A1454:C1478 D1454:P1470 A1531:G1532 A1534:P1535 A1489:D1496 F1512:F1514 F1515:G1515 F1516 F1517:G1517 F1511:G1511 A1511:E1517 F1530 F1528:G1529 F1525:F1527 F1524:G1524 A1524:E1530 A1502:F1510 E1489:G1495 E1520">
    <cfRule type="cellIs" dxfId="172" priority="52" operator="equal">
      <formula>"x"</formula>
    </cfRule>
  </conditionalFormatting>
  <conditionalFormatting sqref="F1520">
    <cfRule type="cellIs" dxfId="171" priority="42" operator="equal">
      <formula>"x"</formula>
    </cfRule>
  </conditionalFormatting>
  <conditionalFormatting sqref="E1500:G1500 I1500">
    <cfRule type="cellIs" dxfId="170" priority="43" operator="equal">
      <formula>"x"</formula>
    </cfRule>
  </conditionalFormatting>
  <conditionalFormatting sqref="E1496:F1499">
    <cfRule type="cellIs" dxfId="169" priority="44" operator="equal">
      <formula>"x"</formula>
    </cfRule>
  </conditionalFormatting>
  <conditionalFormatting sqref="F1533:G1533 I1533">
    <cfRule type="cellIs" dxfId="168" priority="41" operator="equal">
      <formula>"x"</formula>
    </cfRule>
  </conditionalFormatting>
  <conditionalFormatting sqref="AB1521:AB1532">
    <cfRule type="cellIs" dxfId="167" priority="39" operator="equal">
      <formula>"x"</formula>
    </cfRule>
  </conditionalFormatting>
  <conditionalFormatting sqref="AB1520">
    <cfRule type="cellIs" dxfId="166" priority="36" operator="equal">
      <formula>"x"</formula>
    </cfRule>
  </conditionalFormatting>
  <conditionalFormatting sqref="AB1533">
    <cfRule type="cellIs" dxfId="165" priority="35" operator="equal">
      <formula>"x"</formula>
    </cfRule>
  </conditionalFormatting>
  <conditionalFormatting sqref="G1525">
    <cfRule type="cellIs" dxfId="164" priority="34" operator="equal">
      <formula>"x"</formula>
    </cfRule>
  </conditionalFormatting>
  <conditionalFormatting sqref="G1526">
    <cfRule type="cellIs" dxfId="163" priority="33" operator="equal">
      <formula>"x"</formula>
    </cfRule>
  </conditionalFormatting>
  <conditionalFormatting sqref="G1527">
    <cfRule type="cellIs" dxfId="162" priority="32" operator="equal">
      <formula>"x"</formula>
    </cfRule>
  </conditionalFormatting>
  <conditionalFormatting sqref="G1518">
    <cfRule type="cellIs" dxfId="161" priority="31" operator="equal">
      <formula>"x"</formula>
    </cfRule>
  </conditionalFormatting>
  <conditionalFormatting sqref="G1516">
    <cfRule type="cellIs" dxfId="160" priority="30" operator="equal">
      <formula>"x"</formula>
    </cfRule>
  </conditionalFormatting>
  <conditionalFormatting sqref="G1514">
    <cfRule type="cellIs" dxfId="159" priority="29" operator="equal">
      <formula>"x"</formula>
    </cfRule>
  </conditionalFormatting>
  <conditionalFormatting sqref="G1512">
    <cfRule type="cellIs" dxfId="158" priority="28" operator="equal">
      <formula>"x"</formula>
    </cfRule>
  </conditionalFormatting>
  <conditionalFormatting sqref="G1513">
    <cfRule type="cellIs" dxfId="157" priority="27" operator="equal">
      <formula>"x"</formula>
    </cfRule>
  </conditionalFormatting>
  <conditionalFormatting sqref="G1509">
    <cfRule type="cellIs" dxfId="156" priority="26" operator="equal">
      <formula>"x"</formula>
    </cfRule>
  </conditionalFormatting>
  <conditionalFormatting sqref="G1510">
    <cfRule type="cellIs" dxfId="155" priority="25" operator="equal">
      <formula>"x"</formula>
    </cfRule>
  </conditionalFormatting>
  <conditionalFormatting sqref="G1530">
    <cfRule type="cellIs" dxfId="154" priority="24" operator="equal">
      <formula>"x"</formula>
    </cfRule>
  </conditionalFormatting>
  <conditionalFormatting sqref="AC1521:AC1532">
    <cfRule type="cellIs" dxfId="153" priority="23" operator="equal">
      <formula>"x"</formula>
    </cfRule>
  </conditionalFormatting>
  <conditionalFormatting sqref="AC1520">
    <cfRule type="cellIs" dxfId="152" priority="20" operator="equal">
      <formula>"x"</formula>
    </cfRule>
  </conditionalFormatting>
  <conditionalFormatting sqref="AC1533">
    <cfRule type="cellIs" dxfId="151" priority="19" operator="equal">
      <formula>"x"</formula>
    </cfRule>
  </conditionalFormatting>
  <conditionalFormatting sqref="AC1453">
    <cfRule type="cellIs" dxfId="150" priority="17" operator="equal">
      <formula>"x"</formula>
    </cfRule>
  </conditionalFormatting>
  <conditionalFormatting sqref="AC1448">
    <cfRule type="cellIs" dxfId="149" priority="15" operator="equal">
      <formula>"x"</formula>
    </cfRule>
  </conditionalFormatting>
  <conditionalFormatting sqref="AC1452">
    <cfRule type="cellIs" dxfId="148" priority="16" operator="equal">
      <formula>"x"</formula>
    </cfRule>
  </conditionalFormatting>
  <conditionalFormatting sqref="AD682:AD709">
    <cfRule type="cellIs" dxfId="147" priority="10" operator="notEqual">
      <formula>AC682</formula>
    </cfRule>
  </conditionalFormatting>
  <conditionalFormatting sqref="AD28:AD33">
    <cfRule type="cellIs" dxfId="146" priority="9" operator="notEqual">
      <formula>AC28</formula>
    </cfRule>
  </conditionalFormatting>
  <conditionalFormatting sqref="G30">
    <cfRule type="cellIs" dxfId="145" priority="8" operator="notEqual">
      <formula>F30</formula>
    </cfRule>
  </conditionalFormatting>
  <conditionalFormatting sqref="AC31">
    <cfRule type="cellIs" dxfId="144" priority="7" operator="notEqual">
      <formula>AB31</formula>
    </cfRule>
  </conditionalFormatting>
  <conditionalFormatting sqref="AD1481:AD1487 AD1519">
    <cfRule type="cellIs" dxfId="143" priority="6" operator="equal">
      <formula>"x"</formula>
    </cfRule>
  </conditionalFormatting>
  <conditionalFormatting sqref="AD1472:AD1480 AD1521:AD1532 AD1501:AD1518 AD1488:AD1495">
    <cfRule type="cellIs" dxfId="142" priority="5" operator="equal">
      <formula>"x"</formula>
    </cfRule>
  </conditionalFormatting>
  <conditionalFormatting sqref="AD1520">
    <cfRule type="cellIs" dxfId="141" priority="2" operator="equal">
      <formula>"x"</formula>
    </cfRule>
  </conditionalFormatting>
  <conditionalFormatting sqref="AD1500">
    <cfRule type="cellIs" dxfId="140" priority="3" operator="equal">
      <formula>"x"</formula>
    </cfRule>
  </conditionalFormatting>
  <conditionalFormatting sqref="AD1496:AD1499">
    <cfRule type="cellIs" dxfId="139" priority="4" operator="equal">
      <formula>"x"</formula>
    </cfRule>
  </conditionalFormatting>
  <conditionalFormatting sqref="AD1533">
    <cfRule type="cellIs" dxfId="138" priority="1" operator="equal">
      <formula>"x"</formula>
    </cfRule>
  </conditionalFormatting>
  <hyperlinks>
    <hyperlink ref="J1084" r:id="rId1" display="https://www.efis.psc.mo.gov/mpsc/commoncomponents/viewdocument.asp?DocId=935658483" xr:uid="{00000000-0004-0000-0600-000000000000}"/>
    <hyperlink ref="H1027" r:id="rId2" display="https://www.efis.psc.mo.gov/mpsc/commoncomponents/viewdocument.asp?DocId=935658483" xr:uid="{00000000-0004-0000-0600-000001000000}"/>
    <hyperlink ref="G1084" r:id="rId3" display="https://www.efis.psc.mo.gov/mpsc/commoncomponents/viewdocument.asp?DocId=935658483" xr:uid="{00000000-0004-0000-0600-000002000000}"/>
    <hyperlink ref="G1117" r:id="rId4" display="https://www.efis.psc.mo.gov/mpsc/commoncomponents/viewdocument.asp?DocId=935658483" xr:uid="{00000000-0004-0000-0600-000003000000}"/>
    <hyperlink ref="H792" r:id="rId5" display="https://www.efis.psc.mo.gov/mpsc/commoncomponents/viewdocument.asp?DocId=935658483" xr:uid="{00000000-0004-0000-0600-000004000000}"/>
    <hyperlink ref="H873" r:id="rId6" display="https://www.efis.psc.mo.gov/mpsc/commoncomponents/viewdocument.asp?DocId=935658483" xr:uid="{00000000-0004-0000-0600-000005000000}"/>
    <hyperlink ref="H831" r:id="rId7" display="https://www.efis.psc.mo.gov/mpsc/commoncomponents/viewdocument.asp?DocId=935658483" xr:uid="{00000000-0004-0000-0600-000006000000}"/>
    <hyperlink ref="O739" location="_ftn1" display="_ftn1" xr:uid="{00000000-0004-0000-0600-000007000000}"/>
    <hyperlink ref="O754" location="_ftn1" display="_ftn1" xr:uid="{00000000-0004-0000-0600-000008000000}"/>
  </hyperlinks>
  <pageMargins left="0.7" right="0.7" top="0.75" bottom="0.75" header="0.3" footer="0.3"/>
  <pageSetup scale="10" fitToHeight="0" orientation="landscape" r:id="rId8"/>
  <rowBreaks count="4" manualBreakCount="4">
    <brk id="560" max="68" man="1"/>
    <brk id="915" max="68" man="1"/>
    <brk id="1178" max="68" man="1"/>
    <brk id="1261" max="68" man="1"/>
  </rowBreaks>
  <drawing r:id="rId9"/>
  <legacyDrawing r:id="rId1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A1:BE26"/>
  <sheetViews>
    <sheetView zoomScale="70" zoomScaleNormal="70" workbookViewId="0">
      <selection activeCell="J35" sqref="J35"/>
    </sheetView>
  </sheetViews>
  <sheetFormatPr defaultRowHeight="14.5" outlineLevelRow="1" x14ac:dyDescent="0.35"/>
  <cols>
    <col min="3" max="3" width="19.26953125" style="87" customWidth="1"/>
    <col min="4" max="4" width="18.81640625" style="104" bestFit="1" customWidth="1"/>
    <col min="5" max="5" width="37" style="104" customWidth="1"/>
    <col min="6" max="6" width="19.81640625" customWidth="1"/>
    <col min="7" max="7" width="18.7265625" bestFit="1" customWidth="1"/>
    <col min="8" max="8" width="16.81640625" customWidth="1"/>
    <col min="9" max="11" width="12.54296875" customWidth="1"/>
    <col min="12" max="12" width="16.81640625" customWidth="1"/>
    <col min="15" max="15" width="24.1796875" customWidth="1"/>
    <col min="16" max="16" width="18.81640625" bestFit="1" customWidth="1"/>
    <col min="17" max="17" width="37" customWidth="1"/>
    <col min="18" max="18" width="2.453125" customWidth="1"/>
    <col min="22" max="22" width="22" customWidth="1"/>
    <col min="23" max="23" width="14.54296875" customWidth="1"/>
    <col min="24" max="25" width="17.1796875" bestFit="1" customWidth="1"/>
    <col min="26" max="26" width="15.81640625" bestFit="1" customWidth="1"/>
    <col min="27" max="27" width="14.54296875" customWidth="1"/>
    <col min="28" max="28" width="17.453125" bestFit="1" customWidth="1"/>
    <col min="29" max="29" width="17.1796875" bestFit="1" customWidth="1"/>
    <col min="30" max="35" width="14.54296875" customWidth="1"/>
    <col min="54" max="54" width="12" bestFit="1" customWidth="1"/>
    <col min="55" max="55" width="29.54296875" bestFit="1" customWidth="1"/>
    <col min="56" max="56" width="9.54296875" bestFit="1" customWidth="1"/>
    <col min="57" max="57" width="18.7265625" customWidth="1"/>
  </cols>
  <sheetData>
    <row r="1" spans="1:57" s="21" customFormat="1" ht="18.5" x14ac:dyDescent="0.45">
      <c r="A1" s="3657" t="s">
        <v>2242</v>
      </c>
      <c r="B1" s="4463"/>
      <c r="C1" s="4463"/>
      <c r="D1" s="4463"/>
      <c r="E1" s="4463"/>
      <c r="F1" s="4463"/>
      <c r="G1" s="4463"/>
      <c r="H1" s="4463"/>
      <c r="I1" s="4463"/>
      <c r="J1" s="4463"/>
      <c r="K1" s="4463"/>
      <c r="L1" s="4463"/>
      <c r="M1" s="4463"/>
      <c r="N1" s="4463"/>
      <c r="O1" s="4463"/>
      <c r="P1" s="3657"/>
      <c r="Q1" s="4463"/>
      <c r="R1" s="4463"/>
      <c r="V1" s="26"/>
      <c r="W1" s="27"/>
      <c r="X1" s="27"/>
      <c r="Y1" s="28"/>
      <c r="Z1" s="28"/>
      <c r="AA1" s="28"/>
      <c r="AB1" s="28"/>
      <c r="AC1" s="28"/>
      <c r="AD1" s="28"/>
      <c r="AE1" s="28"/>
      <c r="AF1" s="28"/>
      <c r="AG1" s="28"/>
      <c r="AH1" s="28"/>
    </row>
    <row r="2" spans="1:57" s="21" customFormat="1" ht="27.75" hidden="1" customHeight="1" outlineLevel="1" x14ac:dyDescent="0.5">
      <c r="B2" s="24"/>
      <c r="C2" s="29"/>
      <c r="D2" s="3661" t="s">
        <v>2243</v>
      </c>
      <c r="E2" s="3662"/>
      <c r="F2" s="3663"/>
      <c r="G2" s="3663"/>
      <c r="H2" s="3663"/>
      <c r="I2" s="3663"/>
      <c r="J2" s="3663"/>
      <c r="K2" s="25"/>
      <c r="L2" s="25"/>
    </row>
    <row r="3" spans="1:57" s="21" customFormat="1" ht="24" customHeight="1" collapsed="1" x14ac:dyDescent="0.5">
      <c r="B3" s="24"/>
      <c r="C3" s="29"/>
      <c r="D3" s="1005"/>
      <c r="E3" s="1006"/>
      <c r="F3" s="1007"/>
      <c r="G3" s="1007"/>
      <c r="H3" s="1007"/>
      <c r="I3" s="1007"/>
      <c r="J3" s="1007"/>
      <c r="K3" s="25"/>
      <c r="L3" s="25"/>
    </row>
    <row r="4" spans="1:57" x14ac:dyDescent="0.35">
      <c r="B4" s="3664" t="s">
        <v>2244</v>
      </c>
      <c r="C4" s="3665"/>
      <c r="D4" s="3665"/>
      <c r="E4" s="3665"/>
      <c r="F4" s="3665"/>
      <c r="G4" s="3665"/>
      <c r="H4" s="3665"/>
      <c r="I4" s="3665"/>
      <c r="J4" s="3665"/>
      <c r="K4" s="3665"/>
      <c r="L4" s="3665"/>
      <c r="M4" s="3680"/>
      <c r="N4" s="3680"/>
      <c r="O4" s="3681"/>
      <c r="V4" s="3664" t="str">
        <f>B4</f>
        <v>Home Energy Report</v>
      </c>
      <c r="W4" s="3665"/>
      <c r="X4" s="3665"/>
      <c r="Y4" s="3665"/>
      <c r="Z4" s="3665"/>
      <c r="AA4" s="3665"/>
      <c r="AB4" s="3665"/>
      <c r="AC4" s="3680"/>
      <c r="AD4" s="3680"/>
      <c r="AE4" s="3680"/>
      <c r="AF4" s="3680"/>
      <c r="AG4" s="3680"/>
      <c r="AH4" s="3680"/>
      <c r="AI4" s="3681"/>
    </row>
    <row r="5" spans="1:57" x14ac:dyDescent="0.35">
      <c r="V5" s="196"/>
      <c r="W5" s="196"/>
      <c r="X5" s="196"/>
      <c r="Y5" s="196"/>
      <c r="Z5" s="196"/>
      <c r="AA5" s="196"/>
      <c r="AB5" s="196"/>
      <c r="AC5" s="196"/>
      <c r="AD5" s="196"/>
      <c r="AE5" s="196"/>
      <c r="AF5" s="196"/>
      <c r="AG5" s="196"/>
      <c r="AH5" s="196"/>
      <c r="AI5" s="196"/>
    </row>
    <row r="6" spans="1:57" ht="45" customHeight="1" x14ac:dyDescent="0.35">
      <c r="C6" s="2331" t="s">
        <v>27</v>
      </c>
      <c r="D6" s="2331" t="s">
        <v>174</v>
      </c>
      <c r="E6" s="2331" t="s">
        <v>29</v>
      </c>
      <c r="F6" s="2331" t="s">
        <v>4342</v>
      </c>
      <c r="G6" s="2331" t="s">
        <v>175</v>
      </c>
      <c r="H6" s="2331" t="s">
        <v>176</v>
      </c>
      <c r="I6" s="2331" t="s">
        <v>31</v>
      </c>
      <c r="J6" s="2331" t="s">
        <v>4343</v>
      </c>
      <c r="K6" s="2331" t="s">
        <v>169</v>
      </c>
      <c r="L6" s="2331" t="s">
        <v>43</v>
      </c>
      <c r="V6" s="1572" t="s">
        <v>44</v>
      </c>
      <c r="W6" s="1573">
        <v>43252</v>
      </c>
      <c r="X6" s="1573">
        <v>43465</v>
      </c>
      <c r="Y6" s="1573">
        <v>43800</v>
      </c>
      <c r="Z6" s="1573">
        <v>43862</v>
      </c>
      <c r="AA6" s="1573">
        <v>44013</v>
      </c>
      <c r="AB6" s="1573">
        <v>44166</v>
      </c>
      <c r="AC6" s="1573">
        <v>44531</v>
      </c>
      <c r="AD6" s="1573">
        <v>44774</v>
      </c>
      <c r="AE6" s="1573" t="s">
        <v>45</v>
      </c>
      <c r="AF6" s="1573" t="s">
        <v>45</v>
      </c>
      <c r="AG6" s="1573" t="s">
        <v>45</v>
      </c>
      <c r="AH6" s="196"/>
      <c r="AI6" s="196"/>
      <c r="BB6" s="1574" t="s">
        <v>46</v>
      </c>
      <c r="BC6" s="38" t="s">
        <v>47</v>
      </c>
      <c r="BD6" s="500" t="s">
        <v>48</v>
      </c>
      <c r="BE6" s="39" t="s">
        <v>49</v>
      </c>
    </row>
    <row r="7" spans="1:57" x14ac:dyDescent="0.35">
      <c r="C7" s="50" t="s">
        <v>2245</v>
      </c>
      <c r="D7" s="301" t="s">
        <v>318</v>
      </c>
      <c r="E7" s="2333" t="s">
        <v>2246</v>
      </c>
      <c r="F7" s="459">
        <f>G11</f>
        <v>140.36560205281413</v>
      </c>
      <c r="G7" s="294" t="s">
        <v>1558</v>
      </c>
      <c r="H7" s="136">
        <f>VLOOKUP(G7,'CP FACTORS'!$A$3:$B$38, 2, FALSE)</f>
        <v>4.6608050000000002E-4</v>
      </c>
      <c r="I7" s="3277">
        <f>ROUND(F7*H7,6)</f>
        <v>6.5421999999999994E-2</v>
      </c>
      <c r="J7" s="92">
        <v>5</v>
      </c>
      <c r="K7" s="420">
        <v>0</v>
      </c>
      <c r="L7" s="50" t="s">
        <v>2247</v>
      </c>
      <c r="V7" s="141" t="str">
        <f>$F$6</f>
        <v>kWh Annual Savings [1]</v>
      </c>
      <c r="W7" s="142">
        <v>150</v>
      </c>
      <c r="X7" s="730">
        <v>39.1</v>
      </c>
      <c r="Y7" s="99">
        <v>82.4</v>
      </c>
      <c r="Z7" s="141">
        <v>82.4</v>
      </c>
      <c r="AA7" s="141">
        <v>82.4</v>
      </c>
      <c r="AB7" s="1575">
        <v>50.83</v>
      </c>
      <c r="AC7" s="1575">
        <v>120.13962118077339</v>
      </c>
      <c r="AD7" s="1575">
        <v>140.36560205281413</v>
      </c>
      <c r="AE7" s="141"/>
      <c r="AF7" s="141"/>
      <c r="AG7" s="141"/>
      <c r="BB7" s="1953" t="str">
        <f>IFERROR((BD7)/(BE7),"")</f>
        <v/>
      </c>
      <c r="BC7" s="2381" t="str">
        <f>CONCATENATE(G7," ",J7," Year EUL")</f>
        <v>Building Shell RES 5 Year EUL</v>
      </c>
      <c r="BD7" s="1928">
        <f>SUM(BD21:BD25)</f>
        <v>27.906851468381948</v>
      </c>
      <c r="BE7" s="1954">
        <f>K7/(1.0595^(2020-2019))</f>
        <v>0</v>
      </c>
    </row>
    <row r="8" spans="1:57" x14ac:dyDescent="0.35">
      <c r="C8" s="103"/>
      <c r="D8" s="292"/>
      <c r="E8" s="292"/>
      <c r="F8" s="3260" t="s">
        <v>4447</v>
      </c>
      <c r="G8" s="3260"/>
      <c r="H8" s="3260"/>
      <c r="I8" s="3260"/>
      <c r="J8" s="3260"/>
      <c r="K8" s="3260"/>
      <c r="L8" s="3260"/>
    </row>
    <row r="9" spans="1:57" x14ac:dyDescent="0.35">
      <c r="C9" s="103"/>
      <c r="D9" s="292"/>
      <c r="E9" s="292"/>
      <c r="F9" s="3260"/>
      <c r="G9" s="3275">
        <v>37963</v>
      </c>
      <c r="H9" s="3260" t="s">
        <v>4448</v>
      </c>
      <c r="I9" s="3260"/>
      <c r="J9" s="3260"/>
      <c r="K9" s="3260"/>
      <c r="L9" s="3260"/>
    </row>
    <row r="10" spans="1:57" x14ac:dyDescent="0.35">
      <c r="C10" s="103"/>
      <c r="D10" s="292"/>
      <c r="E10" s="292"/>
      <c r="F10" s="3260"/>
      <c r="G10" s="3275">
        <v>270458</v>
      </c>
      <c r="H10" s="3260" t="s">
        <v>4449</v>
      </c>
      <c r="I10" s="3260"/>
      <c r="J10" s="3260"/>
      <c r="K10" s="3260"/>
      <c r="L10" s="3260"/>
    </row>
    <row r="11" spans="1:57" x14ac:dyDescent="0.35">
      <c r="C11" s="103"/>
      <c r="D11" s="292"/>
      <c r="E11" s="292"/>
      <c r="F11" s="3260"/>
      <c r="G11" s="2610">
        <f>(G9*1000)/G10</f>
        <v>140.36560205281413</v>
      </c>
      <c r="H11" s="3260" t="s">
        <v>4110</v>
      </c>
      <c r="I11" s="3260"/>
      <c r="J11" s="3260"/>
      <c r="K11" s="3260"/>
      <c r="L11" s="3260"/>
    </row>
    <row r="12" spans="1:57" x14ac:dyDescent="0.35">
      <c r="C12" s="103"/>
      <c r="D12" s="292"/>
      <c r="E12" s="292"/>
      <c r="F12" s="3260"/>
      <c r="G12" s="3260"/>
      <c r="H12" s="3260"/>
      <c r="I12" s="3260"/>
      <c r="J12" s="3260"/>
      <c r="K12" s="3260"/>
      <c r="L12" s="3260"/>
    </row>
    <row r="13" spans="1:57" ht="14.5" customHeight="1" x14ac:dyDescent="0.35">
      <c r="C13" s="103"/>
      <c r="D13" s="292"/>
      <c r="E13" s="292"/>
      <c r="F13" s="4462" t="s">
        <v>4111</v>
      </c>
      <c r="G13" s="4462"/>
      <c r="H13" s="4462"/>
      <c r="I13" s="4462"/>
      <c r="J13" s="4462"/>
      <c r="K13" s="4462"/>
      <c r="L13" s="4462"/>
    </row>
    <row r="14" spans="1:57" x14ac:dyDescent="0.35">
      <c r="C14" s="103"/>
      <c r="D14" s="292"/>
      <c r="E14" s="292"/>
      <c r="F14" s="4462"/>
      <c r="G14" s="4462"/>
      <c r="H14" s="4462"/>
      <c r="I14" s="4462"/>
      <c r="J14" s="4462"/>
      <c r="K14" s="4462"/>
      <c r="L14" s="4462"/>
    </row>
    <row r="15" spans="1:57" x14ac:dyDescent="0.35">
      <c r="C15" s="103"/>
      <c r="D15" s="292"/>
      <c r="E15" s="292"/>
      <c r="F15" s="3260"/>
      <c r="G15" s="3260"/>
      <c r="H15" s="3260"/>
      <c r="I15" s="3260"/>
      <c r="J15" s="3260"/>
      <c r="K15" s="3260"/>
      <c r="L15" s="3260"/>
    </row>
    <row r="16" spans="1:57" x14ac:dyDescent="0.35">
      <c r="C16" s="103"/>
      <c r="D16" s="292"/>
      <c r="E16" s="292"/>
      <c r="F16" s="3260"/>
      <c r="G16" s="3276">
        <f>G11</f>
        <v>140.36560205281413</v>
      </c>
      <c r="H16" s="292" t="s">
        <v>2248</v>
      </c>
      <c r="I16" s="3260"/>
      <c r="J16" s="3260"/>
      <c r="K16" s="3260"/>
      <c r="L16" s="3260"/>
    </row>
    <row r="17" spans="3:57" x14ac:dyDescent="0.35">
      <c r="C17" s="103"/>
      <c r="D17" s="292"/>
      <c r="E17" s="292"/>
      <c r="F17" s="3260"/>
      <c r="G17" s="2695">
        <v>0.2</v>
      </c>
      <c r="H17" s="292" t="s">
        <v>2249</v>
      </c>
      <c r="I17" s="3260"/>
      <c r="J17" s="3260"/>
      <c r="K17" s="3260"/>
      <c r="L17" s="3260"/>
    </row>
    <row r="18" spans="3:57" x14ac:dyDescent="0.35">
      <c r="C18" s="103"/>
      <c r="D18" s="292"/>
      <c r="E18" s="292"/>
      <c r="F18" s="3260"/>
      <c r="G18" s="3260"/>
      <c r="H18" s="3260"/>
      <c r="I18" s="3260"/>
      <c r="J18" s="3260"/>
      <c r="K18" s="3260"/>
      <c r="L18" s="3260"/>
      <c r="BA18" s="2696"/>
      <c r="BB18" s="2696"/>
      <c r="BC18" s="2696"/>
      <c r="BD18" s="2696"/>
      <c r="BE18" s="2696"/>
    </row>
    <row r="19" spans="3:57" x14ac:dyDescent="0.35">
      <c r="C19" s="103"/>
      <c r="D19" s="292"/>
      <c r="E19" s="292"/>
      <c r="F19" s="3260"/>
      <c r="G19" s="128" t="s">
        <v>4530</v>
      </c>
      <c r="H19" s="292"/>
      <c r="I19" s="3260"/>
      <c r="J19" s="3260"/>
      <c r="K19" s="3260"/>
      <c r="L19" s="3260"/>
      <c r="BA19" s="2696"/>
      <c r="BB19" s="2696"/>
      <c r="BC19" s="2696"/>
      <c r="BD19" s="2696"/>
      <c r="BE19" s="2696"/>
    </row>
    <row r="20" spans="3:57" ht="43.5" x14ac:dyDescent="0.35">
      <c r="C20" s="103"/>
      <c r="D20" s="292"/>
      <c r="E20" s="292"/>
      <c r="F20" s="3260"/>
      <c r="G20" s="3639" t="s">
        <v>2250</v>
      </c>
      <c r="H20" s="3639" t="str">
        <f>F6</f>
        <v>kWh Annual Savings [1]</v>
      </c>
      <c r="I20" s="3638" t="s">
        <v>4529</v>
      </c>
      <c r="J20" s="3260"/>
      <c r="K20" s="3260"/>
      <c r="L20" s="3260"/>
      <c r="BA20" s="2697" t="str">
        <f>G20</f>
        <v>Year</v>
      </c>
      <c r="BB20" s="2696"/>
      <c r="BC20" s="2696"/>
      <c r="BD20" s="2696"/>
      <c r="BE20" s="2696"/>
    </row>
    <row r="21" spans="3:57" x14ac:dyDescent="0.35">
      <c r="C21" s="103"/>
      <c r="D21" s="292"/>
      <c r="E21" s="292"/>
      <c r="F21" s="3260"/>
      <c r="G21" s="2726">
        <v>1</v>
      </c>
      <c r="H21" s="3636">
        <f>G16</f>
        <v>140.36560205281413</v>
      </c>
      <c r="I21" s="3637">
        <f>H21*$H$7</f>
        <v>6.5421669987576633E-2</v>
      </c>
      <c r="J21" s="3260"/>
      <c r="K21" s="3593"/>
      <c r="L21" s="3260"/>
      <c r="BA21" s="2696">
        <f>G21</f>
        <v>1</v>
      </c>
      <c r="BB21" s="2698" t="str">
        <f>IFERROR((BD21)/(BE21),"")</f>
        <v/>
      </c>
      <c r="BC21" s="2699" t="str">
        <f>CONCATENATE($G$7," ",G21," Year EUL")</f>
        <v>Building Shell RES 1 Year EUL</v>
      </c>
      <c r="BD21" s="2700">
        <f>(INDEX('Avoided Cost Benefits'!$C$4:$C$859,MATCH(BC21,'Avoided Cost Benefits'!$A$4:$A$859,0)))*H21</f>
        <v>7.8119730165918133</v>
      </c>
      <c r="BE21" s="2701">
        <f>$K$7/(1.0595^(2020-2019))</f>
        <v>0</v>
      </c>
    </row>
    <row r="22" spans="3:57" x14ac:dyDescent="0.35">
      <c r="C22" s="103"/>
      <c r="D22" s="292"/>
      <c r="E22" s="292"/>
      <c r="F22" s="3260"/>
      <c r="G22" s="2726">
        <v>2</v>
      </c>
      <c r="H22" s="3636">
        <f>H21*(1-$G$17)</f>
        <v>112.2924816422513</v>
      </c>
      <c r="I22" s="3637">
        <f t="shared" ref="I22:I25" si="0">H22*$H$7</f>
        <v>5.2337335990061309E-2</v>
      </c>
      <c r="J22" s="3260"/>
      <c r="K22" s="3593"/>
      <c r="L22" s="3260"/>
      <c r="BA22" s="2696">
        <f t="shared" ref="BA22:BA25" si="1">G22</f>
        <v>2</v>
      </c>
      <c r="BB22" s="2698" t="str">
        <f t="shared" ref="BB22:BB25" si="2">IFERROR((BD22)/(BE22),"")</f>
        <v/>
      </c>
      <c r="BC22" s="2699" t="str">
        <f>BC21</f>
        <v>Building Shell RES 1 Year EUL</v>
      </c>
      <c r="BD22" s="2700">
        <f>(INDEX('Avoided Cost Benefits'!$D$4:$D$859,MATCH(BC22,'Avoided Cost Benefits'!$A$4:$A$859,0)))*H22</f>
        <v>6.3757426976207636</v>
      </c>
      <c r="BE22" s="2701">
        <f t="shared" ref="BE22:BE25" si="3">$K$7/(1.0595^(2020-2019))</f>
        <v>0</v>
      </c>
    </row>
    <row r="23" spans="3:57" x14ac:dyDescent="0.35">
      <c r="C23" s="103"/>
      <c r="D23" s="292"/>
      <c r="E23" s="292"/>
      <c r="F23" s="3260"/>
      <c r="G23" s="2726">
        <v>3</v>
      </c>
      <c r="H23" s="3636">
        <f>H22*(1-$G$17)</f>
        <v>89.833985313801051</v>
      </c>
      <c r="I23" s="3637">
        <f t="shared" si="0"/>
        <v>4.1869868792049056E-2</v>
      </c>
      <c r="J23" s="3593"/>
      <c r="K23" s="3593"/>
      <c r="L23" s="3260"/>
      <c r="BA23" s="2696">
        <f t="shared" si="1"/>
        <v>3</v>
      </c>
      <c r="BB23" s="2698" t="str">
        <f t="shared" si="2"/>
        <v/>
      </c>
      <c r="BC23" s="2699" t="str">
        <f t="shared" ref="BC23:BC25" si="4">BC22</f>
        <v>Building Shell RES 1 Year EUL</v>
      </c>
      <c r="BD23" s="2700">
        <f>(INDEX('Avoided Cost Benefits'!$E$4:$E$859,MATCH(BC23,'Avoided Cost Benefits'!$A$4:$A$859,0)))*H23</f>
        <v>5.4006846618729734</v>
      </c>
      <c r="BE23" s="2701">
        <f t="shared" si="3"/>
        <v>0</v>
      </c>
    </row>
    <row r="24" spans="3:57" x14ac:dyDescent="0.35">
      <c r="C24" s="103"/>
      <c r="D24" s="292"/>
      <c r="E24" s="292"/>
      <c r="F24" s="3260"/>
      <c r="G24" s="2726">
        <v>4</v>
      </c>
      <c r="H24" s="3636">
        <f>H23*(1-$G$17)</f>
        <v>71.867188251040844</v>
      </c>
      <c r="I24" s="3637">
        <f t="shared" si="0"/>
        <v>3.3495895033639242E-2</v>
      </c>
      <c r="J24" s="3260"/>
      <c r="K24" s="3593"/>
      <c r="L24" s="3260"/>
      <c r="BA24" s="2696">
        <f t="shared" si="1"/>
        <v>4</v>
      </c>
      <c r="BB24" s="2698" t="str">
        <f t="shared" si="2"/>
        <v/>
      </c>
      <c r="BC24" s="2699" t="str">
        <f t="shared" si="4"/>
        <v>Building Shell RES 1 Year EUL</v>
      </c>
      <c r="BD24" s="2700">
        <f>(INDEX('Avoided Cost Benefits'!$F$4:$F$859,MATCH(BC24,'Avoided Cost Benefits'!$A$4:$A$859,0)))*H24</f>
        <v>4.5636110523650704</v>
      </c>
      <c r="BE24" s="2701">
        <f t="shared" si="3"/>
        <v>0</v>
      </c>
    </row>
    <row r="25" spans="3:57" x14ac:dyDescent="0.35">
      <c r="C25" s="103"/>
      <c r="D25" s="292"/>
      <c r="E25" s="292"/>
      <c r="F25" s="3260"/>
      <c r="G25" s="2726">
        <v>5</v>
      </c>
      <c r="H25" s="3636">
        <f>H24*(1-$G$17)</f>
        <v>57.493750600832676</v>
      </c>
      <c r="I25" s="3637">
        <f t="shared" si="0"/>
        <v>2.6796716026911395E-2</v>
      </c>
      <c r="J25" s="3260"/>
      <c r="K25" s="3593"/>
      <c r="L25" s="3260"/>
      <c r="BA25" s="2696">
        <f t="shared" si="1"/>
        <v>5</v>
      </c>
      <c r="BB25" s="2698" t="str">
        <f t="shared" si="2"/>
        <v/>
      </c>
      <c r="BC25" s="2699" t="str">
        <f t="shared" si="4"/>
        <v>Building Shell RES 1 Year EUL</v>
      </c>
      <c r="BD25" s="2700">
        <f>(INDEX('Avoided Cost Benefits'!$G$4:$G$859,MATCH(BC25,'Avoided Cost Benefits'!$A$4:$A$859,0)))*H25</f>
        <v>3.7548400399313278</v>
      </c>
      <c r="BE25" s="2701">
        <f t="shared" si="3"/>
        <v>0</v>
      </c>
    </row>
    <row r="26" spans="3:57" x14ac:dyDescent="0.35">
      <c r="G26" s="2301"/>
      <c r="H26" s="1818"/>
    </row>
  </sheetData>
  <mergeCells count="6">
    <mergeCell ref="V4:AI4"/>
    <mergeCell ref="F13:L14"/>
    <mergeCell ref="A1:O1"/>
    <mergeCell ref="P1:R1"/>
    <mergeCell ref="D2:J2"/>
    <mergeCell ref="B4:O4"/>
  </mergeCells>
  <pageMargins left="0.7" right="0.7" top="0.75" bottom="0.75" header="0.3" footer="0.3"/>
  <pageSetup scale="15"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A1:BE618"/>
  <sheetViews>
    <sheetView zoomScale="70" zoomScaleNormal="70" workbookViewId="0">
      <selection sqref="A1:O1"/>
    </sheetView>
  </sheetViews>
  <sheetFormatPr defaultRowHeight="14.5" outlineLevelRow="1" x14ac:dyDescent="0.35"/>
  <cols>
    <col min="1" max="1" width="3" style="106" customWidth="1"/>
    <col min="2" max="2" width="9.1796875" style="106"/>
    <col min="3" max="3" width="20.1796875" style="103" bestFit="1" customWidth="1"/>
    <col min="4" max="4" width="19.1796875" style="292" customWidth="1"/>
    <col min="5" max="5" width="64" style="292" customWidth="1"/>
    <col min="6" max="6" width="16.1796875" style="106" customWidth="1"/>
    <col min="7" max="7" width="19" style="106" customWidth="1"/>
    <col min="8" max="8" width="17.26953125" style="106" customWidth="1"/>
    <col min="9" max="9" width="14.7265625" style="106" customWidth="1"/>
    <col min="10" max="10" width="16.1796875" style="106" customWidth="1"/>
    <col min="11" max="11" width="16.7265625" style="106" customWidth="1"/>
    <col min="12" max="12" width="13.453125" style="106" customWidth="1"/>
    <col min="13" max="13" width="12.54296875" style="106" customWidth="1"/>
    <col min="14" max="14" width="14.453125" style="106" customWidth="1"/>
    <col min="15" max="15" width="13" style="106" customWidth="1"/>
    <col min="16" max="16" width="13.1796875" style="106" customWidth="1"/>
    <col min="17" max="17" width="12.81640625" style="106" customWidth="1"/>
    <col min="18" max="18" width="16.453125" style="106" customWidth="1"/>
    <col min="19" max="21" width="9.1796875" style="106" customWidth="1"/>
    <col min="22" max="22" width="31.81640625" customWidth="1"/>
    <col min="23" max="23" width="14.54296875" customWidth="1"/>
    <col min="24" max="24" width="18.7265625" customWidth="1"/>
    <col min="25" max="26" width="16.81640625" customWidth="1"/>
    <col min="27" max="27" width="14.54296875" customWidth="1"/>
    <col min="28" max="28" width="18.81640625" customWidth="1"/>
    <col min="29" max="29" width="17.26953125" customWidth="1"/>
    <col min="30" max="35" width="14.54296875" customWidth="1"/>
    <col min="36" max="36" width="20" customWidth="1"/>
    <col min="37" max="37" width="17" customWidth="1"/>
    <col min="38" max="53" width="14.7265625" customWidth="1"/>
    <col min="54" max="54" width="14.7265625" style="740" customWidth="1"/>
    <col min="55" max="55" width="36.81640625" customWidth="1"/>
    <col min="56" max="57" width="14.7265625" customWidth="1"/>
    <col min="58" max="58" width="3.1796875" customWidth="1"/>
    <col min="59" max="69" width="14.7265625" customWidth="1"/>
  </cols>
  <sheetData>
    <row r="1" spans="1:57" s="21" customFormat="1" ht="18.5" x14ac:dyDescent="0.45">
      <c r="A1" s="3657" t="s">
        <v>4225</v>
      </c>
      <c r="B1" s="3853"/>
      <c r="C1" s="3853"/>
      <c r="D1" s="3853"/>
      <c r="E1" s="3853" t="s">
        <v>2251</v>
      </c>
      <c r="F1" s="3853"/>
      <c r="G1" s="3853"/>
      <c r="H1" s="3853"/>
      <c r="I1" s="3853"/>
      <c r="J1" s="3853"/>
      <c r="K1" s="3853"/>
      <c r="L1" s="3853"/>
      <c r="M1" s="3853"/>
      <c r="N1" s="3853"/>
      <c r="O1" s="3853"/>
      <c r="P1" s="3659"/>
      <c r="Q1" s="4025"/>
      <c r="R1" s="4025"/>
      <c r="S1" s="725"/>
      <c r="T1" s="725"/>
      <c r="U1" s="725"/>
      <c r="V1" s="26"/>
      <c r="W1" s="27"/>
      <c r="X1" s="27"/>
      <c r="Y1" s="28"/>
      <c r="Z1" s="28"/>
      <c r="AA1" s="28"/>
      <c r="AB1" s="28"/>
      <c r="AC1" s="28"/>
      <c r="AD1" s="28"/>
      <c r="AE1" s="28"/>
      <c r="AF1" s="28"/>
      <c r="AG1" s="28"/>
      <c r="AH1" s="28"/>
      <c r="BB1" s="22"/>
    </row>
    <row r="2" spans="1:57" s="21" customFormat="1" ht="30" hidden="1" customHeight="1" outlineLevel="1" x14ac:dyDescent="0.5">
      <c r="A2" s="725"/>
      <c r="B2" s="1081"/>
      <c r="C2" s="126"/>
      <c r="D2" s="3661" t="s">
        <v>2243</v>
      </c>
      <c r="E2" s="3662"/>
      <c r="F2" s="3663"/>
      <c r="G2" s="3663"/>
      <c r="H2" s="3663"/>
      <c r="I2" s="3663"/>
      <c r="J2" s="3663"/>
      <c r="K2" s="724"/>
      <c r="L2" s="724"/>
      <c r="M2" s="725"/>
      <c r="N2" s="725"/>
      <c r="O2" s="725"/>
      <c r="P2" s="725"/>
      <c r="Q2" s="725"/>
      <c r="R2" s="725"/>
      <c r="S2" s="725"/>
      <c r="T2" s="725"/>
      <c r="U2" s="725"/>
      <c r="BB2" s="22"/>
    </row>
    <row r="3" spans="1:57" s="21" customFormat="1" ht="25.5" customHeight="1" collapsed="1" x14ac:dyDescent="0.3">
      <c r="A3" s="725"/>
      <c r="B3" s="725"/>
      <c r="C3" s="725"/>
      <c r="D3" s="1009"/>
      <c r="E3" s="1447"/>
      <c r="F3" s="1448"/>
      <c r="G3" s="1448"/>
      <c r="H3" s="1448"/>
      <c r="I3" s="1448"/>
      <c r="J3" s="1448"/>
      <c r="K3" s="724"/>
      <c r="L3" s="724"/>
      <c r="M3" s="725"/>
      <c r="N3" s="725"/>
      <c r="O3" s="725"/>
      <c r="P3" s="725"/>
      <c r="Q3" s="725"/>
      <c r="R3" s="725"/>
      <c r="S3" s="725"/>
      <c r="T3" s="725"/>
      <c r="U3" s="725"/>
      <c r="BB3" s="22"/>
    </row>
    <row r="4" spans="1:57" s="106" customFormat="1" x14ac:dyDescent="0.35">
      <c r="B4" s="3664" t="s">
        <v>1516</v>
      </c>
      <c r="C4" s="3665"/>
      <c r="D4" s="3665"/>
      <c r="E4" s="3665"/>
      <c r="F4" s="3665"/>
      <c r="G4" s="3665"/>
      <c r="H4" s="3665"/>
      <c r="I4" s="3665"/>
      <c r="J4" s="3665"/>
      <c r="K4" s="3665"/>
      <c r="L4" s="3665"/>
      <c r="M4" s="3665"/>
      <c r="N4" s="3665"/>
      <c r="O4" s="3665"/>
      <c r="P4" s="3665"/>
      <c r="Q4" s="4026"/>
      <c r="V4" s="3664" t="str">
        <f>B4</f>
        <v>AC Tune-up</v>
      </c>
      <c r="W4" s="3665"/>
      <c r="X4" s="3665"/>
      <c r="Y4" s="3665"/>
      <c r="Z4" s="3665"/>
      <c r="AA4" s="3665"/>
      <c r="AB4" s="3665"/>
      <c r="AC4" s="3680"/>
      <c r="AD4" s="3680"/>
      <c r="AE4" s="3680"/>
      <c r="AF4" s="3680"/>
      <c r="AG4" s="3680"/>
      <c r="AH4" s="3680"/>
      <c r="AI4" s="3681"/>
      <c r="AJ4"/>
      <c r="BB4" s="702"/>
      <c r="BD4" s="21"/>
    </row>
    <row r="5" spans="1:57" ht="18" customHeight="1" x14ac:dyDescent="0.35">
      <c r="B5" s="132"/>
      <c r="C5" s="130"/>
      <c r="D5" s="292" t="s">
        <v>2252</v>
      </c>
      <c r="E5" s="131"/>
      <c r="F5" s="132"/>
      <c r="G5" s="132"/>
      <c r="H5" s="132"/>
      <c r="I5" s="132"/>
      <c r="J5" s="132"/>
      <c r="K5" s="132"/>
      <c r="L5" s="132"/>
      <c r="M5" s="132"/>
      <c r="N5" s="132"/>
      <c r="O5" s="132"/>
      <c r="P5" s="132"/>
      <c r="Q5" s="132"/>
      <c r="V5" s="196"/>
      <c r="W5" s="196"/>
      <c r="X5" s="196"/>
      <c r="Y5" s="196"/>
      <c r="Z5" s="196"/>
      <c r="AA5" s="196"/>
      <c r="AB5" s="196"/>
      <c r="AC5" s="196"/>
      <c r="AD5" s="196"/>
      <c r="AE5" s="196"/>
      <c r="AF5" s="196"/>
      <c r="AG5" s="196"/>
      <c r="AH5" s="196"/>
      <c r="AI5" s="196"/>
      <c r="BD5" s="21"/>
    </row>
    <row r="6" spans="1:57" ht="29" x14ac:dyDescent="0.35">
      <c r="B6" s="350"/>
      <c r="C6" s="2331" t="s">
        <v>27</v>
      </c>
      <c r="D6" s="2331" t="s">
        <v>174</v>
      </c>
      <c r="E6" s="2331" t="s">
        <v>29</v>
      </c>
      <c r="F6" s="2331" t="s">
        <v>30</v>
      </c>
      <c r="G6" s="2331" t="s">
        <v>175</v>
      </c>
      <c r="H6" s="2331" t="s">
        <v>176</v>
      </c>
      <c r="I6" s="2331" t="s">
        <v>31</v>
      </c>
      <c r="J6" s="2363" t="s">
        <v>180</v>
      </c>
      <c r="K6" s="2331" t="s">
        <v>169</v>
      </c>
      <c r="L6" s="2331" t="s">
        <v>43</v>
      </c>
      <c r="M6" s="350"/>
      <c r="N6" s="350"/>
      <c r="O6" s="350"/>
      <c r="P6" s="350"/>
      <c r="Q6" s="350"/>
      <c r="V6" s="1572" t="s">
        <v>44</v>
      </c>
      <c r="W6" s="1573">
        <v>43252</v>
      </c>
      <c r="X6" s="1573">
        <v>43465</v>
      </c>
      <c r="Y6" s="1573">
        <v>43800</v>
      </c>
      <c r="Z6" s="1573">
        <v>43862</v>
      </c>
      <c r="AA6" s="1573">
        <v>44013</v>
      </c>
      <c r="AB6" s="1573">
        <v>44166</v>
      </c>
      <c r="AC6" s="1573">
        <v>44531</v>
      </c>
      <c r="AD6" s="1573">
        <v>44774</v>
      </c>
      <c r="AE6" s="1573" t="s">
        <v>45</v>
      </c>
      <c r="AF6" s="1573" t="s">
        <v>45</v>
      </c>
      <c r="AG6" s="1573" t="s">
        <v>45</v>
      </c>
      <c r="AH6" s="196"/>
      <c r="AI6" s="196"/>
      <c r="BB6" s="1574" t="s">
        <v>4472</v>
      </c>
      <c r="BC6" s="38" t="s">
        <v>47</v>
      </c>
      <c r="BD6" s="500" t="s">
        <v>48</v>
      </c>
      <c r="BE6" s="39" t="s">
        <v>49</v>
      </c>
    </row>
    <row r="7" spans="1:57" x14ac:dyDescent="0.35">
      <c r="B7" s="350"/>
      <c r="C7" s="2129" t="s">
        <v>2253</v>
      </c>
      <c r="D7" s="2972" t="s">
        <v>2254</v>
      </c>
      <c r="E7" s="178" t="s">
        <v>2255</v>
      </c>
      <c r="F7" s="185">
        <f>ROUND((G24*G26*(1/G27-1/G28)/G33),2)</f>
        <v>91.43</v>
      </c>
      <c r="G7" s="1311" t="s">
        <v>257</v>
      </c>
      <c r="H7" s="136">
        <f>VLOOKUP(G7,'CP FACTORS'!$A$3:$B$38, 2, FALSE)</f>
        <v>9.4741810000000004E-4</v>
      </c>
      <c r="I7" s="3101">
        <f t="shared" ref="I7:I14" si="0">ROUND(F7*H7,6)</f>
        <v>8.6622000000000005E-2</v>
      </c>
      <c r="J7" s="728">
        <f t="shared" ref="J7:J14" si="1">$G$34</f>
        <v>2</v>
      </c>
      <c r="K7" s="729">
        <f>G35</f>
        <v>70</v>
      </c>
      <c r="L7" s="2129" t="s">
        <v>184</v>
      </c>
      <c r="M7" s="350"/>
      <c r="N7" s="350"/>
      <c r="O7" s="350"/>
      <c r="P7" s="350"/>
      <c r="Q7" s="350"/>
      <c r="V7" s="141" t="str">
        <f>F6</f>
        <v>kWh Annual Savings</v>
      </c>
      <c r="W7" s="142">
        <v>80.326093903186262</v>
      </c>
      <c r="X7" s="835">
        <v>80.326093903186262</v>
      </c>
      <c r="Y7" s="834">
        <v>80.33</v>
      </c>
      <c r="Z7" s="1324">
        <v>80.33</v>
      </c>
      <c r="AA7" s="1324">
        <v>80.33</v>
      </c>
      <c r="AB7" s="48">
        <v>80.33</v>
      </c>
      <c r="AC7" s="1324">
        <f>F7</f>
        <v>91.43</v>
      </c>
      <c r="AD7" s="1324">
        <v>91.43</v>
      </c>
      <c r="AE7" s="141"/>
      <c r="AF7" s="141"/>
      <c r="AG7" s="141"/>
      <c r="AH7" s="196"/>
      <c r="AI7" s="196"/>
      <c r="BB7" s="1578">
        <f t="shared" ref="BB7:BB13" si="2">(BD7)/(BE7)</f>
        <v>0.27043485354127816</v>
      </c>
      <c r="BC7" s="2381" t="str">
        <f t="shared" ref="BC7:BC13" si="3">CONCATENATE(G7," ",J7," Year EUL")</f>
        <v>Cooling RES 2 Year EUL</v>
      </c>
      <c r="BD7" s="95">
        <f>(INDEX('Avoided Cost Benefits'!$E$4:$E$859,MATCH(BC7,'Avoided Cost Benefits'!$A$4:$A$859,0)))*F7</f>
        <v>17.867333409994782</v>
      </c>
      <c r="BE7" s="1579">
        <f t="shared" ref="BE7:BE13" si="4">K7/(1.0595^(2020-2019))</f>
        <v>66.068900424728639</v>
      </c>
    </row>
    <row r="8" spans="1:57" x14ac:dyDescent="0.35">
      <c r="B8" s="350"/>
      <c r="C8" s="2129" t="s">
        <v>2256</v>
      </c>
      <c r="D8" s="2972" t="s">
        <v>2257</v>
      </c>
      <c r="E8" s="2967" t="str">
        <f>CONCATENATE(E7,"_CompE")</f>
        <v>General Tune-Up (no charge or coil clean) / MFMR_CompE</v>
      </c>
      <c r="F8" s="185">
        <f>ROUND(($G$25*$G$26*(1/$G$27-1/$G$28)/$G$33),2)</f>
        <v>66.5</v>
      </c>
      <c r="G8" s="1311" t="s">
        <v>257</v>
      </c>
      <c r="H8" s="136">
        <f>VLOOKUP(G8,'CP FACTORS'!$A$3:$B$38, 2, FALSE)</f>
        <v>9.4741810000000004E-4</v>
      </c>
      <c r="I8" s="3101">
        <f t="shared" si="0"/>
        <v>6.3003000000000003E-2</v>
      </c>
      <c r="J8" s="728">
        <f t="shared" si="1"/>
        <v>2</v>
      </c>
      <c r="K8" s="729">
        <f>K7</f>
        <v>70</v>
      </c>
      <c r="L8" s="2129" t="s">
        <v>184</v>
      </c>
      <c r="M8" s="350"/>
      <c r="N8" s="350"/>
      <c r="O8" s="350"/>
      <c r="P8" s="350"/>
      <c r="Q8" s="350"/>
      <c r="V8" s="141" t="str">
        <f>V7</f>
        <v>kWh Annual Savings</v>
      </c>
      <c r="W8" s="142"/>
      <c r="X8" s="835"/>
      <c r="Y8" s="733">
        <v>58.42</v>
      </c>
      <c r="Z8" s="1324">
        <v>58.42</v>
      </c>
      <c r="AA8" s="1324">
        <v>58.42</v>
      </c>
      <c r="AB8" s="48">
        <v>58.42</v>
      </c>
      <c r="AC8" s="1324">
        <f t="shared" ref="AC8:AC16" si="5">F8</f>
        <v>66.5</v>
      </c>
      <c r="AD8" s="1324">
        <v>66.5</v>
      </c>
      <c r="AE8" s="141"/>
      <c r="AF8" s="141"/>
      <c r="AG8" s="141"/>
      <c r="AH8" s="196"/>
      <c r="AI8" s="196"/>
      <c r="BB8" s="40">
        <f t="shared" si="2"/>
        <v>0.19669602712999013</v>
      </c>
      <c r="BC8" s="1580" t="str">
        <f t="shared" si="3"/>
        <v>Cooling RES 2 Year EUL</v>
      </c>
      <c r="BD8" s="98">
        <f>(INDEX('Avoided Cost Benefits'!$E$4:$E$859,MATCH(BC8,'Avoided Cost Benefits'!$A$4:$A$859,0)))*F8</f>
        <v>12.99549023039104</v>
      </c>
      <c r="BE8" s="1581">
        <f t="shared" si="4"/>
        <v>66.068900424728639</v>
      </c>
    </row>
    <row r="9" spans="1:57" x14ac:dyDescent="0.35">
      <c r="B9" s="132"/>
      <c r="C9" s="2129" t="s">
        <v>2258</v>
      </c>
      <c r="D9" s="2972" t="s">
        <v>2254</v>
      </c>
      <c r="E9" s="178" t="s">
        <v>2259</v>
      </c>
      <c r="F9" s="185">
        <f>ROUND(($G$24*$G$26*(1/$G$27-1/$G$29)/$G$33),2)</f>
        <v>381.36</v>
      </c>
      <c r="G9" s="1311" t="s">
        <v>257</v>
      </c>
      <c r="H9" s="136">
        <f>VLOOKUP(G9,'CP FACTORS'!$A$3:$B$38, 2, FALSE)</f>
        <v>9.4741810000000004E-4</v>
      </c>
      <c r="I9" s="3101">
        <f t="shared" si="0"/>
        <v>0.36130699999999999</v>
      </c>
      <c r="J9" s="728">
        <f t="shared" si="1"/>
        <v>2</v>
      </c>
      <c r="K9" s="729">
        <f>G36</f>
        <v>81</v>
      </c>
      <c r="L9" s="2129" t="s">
        <v>184</v>
      </c>
      <c r="M9" s="132"/>
      <c r="N9" s="132"/>
      <c r="O9" s="132"/>
      <c r="P9" s="132"/>
      <c r="Q9" s="132"/>
      <c r="T9" s="1247"/>
      <c r="V9" s="141" t="str">
        <f t="shared" ref="V9:V16" si="6">V8</f>
        <v>kWh Annual Savings</v>
      </c>
      <c r="W9" s="142">
        <v>335.03166535854984</v>
      </c>
      <c r="X9" s="835">
        <v>335.03166535854984</v>
      </c>
      <c r="Y9" s="834">
        <v>335.03</v>
      </c>
      <c r="Z9" s="1324">
        <v>335.03</v>
      </c>
      <c r="AA9" s="1324">
        <v>335.03</v>
      </c>
      <c r="AB9" s="48">
        <v>335.03</v>
      </c>
      <c r="AC9" s="1324">
        <f t="shared" si="5"/>
        <v>381.36</v>
      </c>
      <c r="AD9" s="1324">
        <v>381.36</v>
      </c>
      <c r="AE9" s="141"/>
      <c r="AF9" s="141"/>
      <c r="AG9" s="141"/>
      <c r="BB9" s="40">
        <f t="shared" si="2"/>
        <v>0.97481477461069566</v>
      </c>
      <c r="BC9" s="1580" t="str">
        <f t="shared" si="3"/>
        <v>Cooling RES 2 Year EUL</v>
      </c>
      <c r="BD9" s="98">
        <f>(INDEX('Avoided Cost Benefits'!$E$4:$E$859,MATCH(BC9,'Avoided Cost Benefits'!$A$4:$A$859,0)))*F9</f>
        <v>74.525716605442511</v>
      </c>
      <c r="BE9" s="1581">
        <f t="shared" si="4"/>
        <v>76.451156205757428</v>
      </c>
    </row>
    <row r="10" spans="1:57" x14ac:dyDescent="0.35">
      <c r="B10" s="132"/>
      <c r="C10" s="2129" t="s">
        <v>2260</v>
      </c>
      <c r="D10" s="2972" t="s">
        <v>2257</v>
      </c>
      <c r="E10" s="2967" t="str">
        <f>CONCATENATE(E9,"_CompE")</f>
        <v>AC Tune-up / refrigerant charge / MFMR_CompE</v>
      </c>
      <c r="F10" s="185">
        <f>ROUND(($G$25*$G$26*(1/$G$27-1/$G$29)/$G$33),2)</f>
        <v>277.35000000000002</v>
      </c>
      <c r="G10" s="1311" t="s">
        <v>257</v>
      </c>
      <c r="H10" s="136">
        <f>VLOOKUP(G10,'CP FACTORS'!$A$3:$B$38, 2, FALSE)</f>
        <v>9.4741810000000004E-4</v>
      </c>
      <c r="I10" s="3101">
        <f t="shared" si="0"/>
        <v>0.262766</v>
      </c>
      <c r="J10" s="728">
        <f t="shared" si="1"/>
        <v>2</v>
      </c>
      <c r="K10" s="729">
        <f>K9</f>
        <v>81</v>
      </c>
      <c r="L10" s="2129" t="s">
        <v>184</v>
      </c>
      <c r="M10" s="132"/>
      <c r="N10" s="132"/>
      <c r="O10" s="132"/>
      <c r="P10" s="132"/>
      <c r="Q10" s="132"/>
      <c r="T10" s="1247"/>
      <c r="V10" s="141" t="str">
        <f t="shared" si="6"/>
        <v>kWh Annual Savings</v>
      </c>
      <c r="W10" s="142"/>
      <c r="X10" s="835"/>
      <c r="Y10" s="733">
        <v>243.66</v>
      </c>
      <c r="Z10" s="1324">
        <v>243.66</v>
      </c>
      <c r="AA10" s="1324">
        <v>243.66</v>
      </c>
      <c r="AB10" s="48">
        <v>243.66</v>
      </c>
      <c r="AC10" s="1324">
        <f t="shared" si="5"/>
        <v>277.35000000000002</v>
      </c>
      <c r="AD10" s="1324">
        <v>277.35000000000002</v>
      </c>
      <c r="AE10" s="141"/>
      <c r="AF10" s="141"/>
      <c r="AG10" s="141"/>
      <c r="BB10" s="40">
        <f t="shared" si="2"/>
        <v>0.70894922838859986</v>
      </c>
      <c r="BC10" s="1580" t="str">
        <f t="shared" si="3"/>
        <v>Cooling RES 2 Year EUL</v>
      </c>
      <c r="BD10" s="98">
        <f>(INDEX('Avoided Cost Benefits'!$E$4:$E$859,MATCH(BC10,'Avoided Cost Benefits'!$A$4:$A$859,0)))*F10</f>
        <v>54.199988201488047</v>
      </c>
      <c r="BE10" s="1581">
        <f t="shared" si="4"/>
        <v>76.451156205757428</v>
      </c>
    </row>
    <row r="11" spans="1:57" s="31" customFormat="1" x14ac:dyDescent="0.35">
      <c r="A11" s="132"/>
      <c r="B11" s="132"/>
      <c r="C11" s="2129" t="s">
        <v>2261</v>
      </c>
      <c r="D11" s="2972" t="s">
        <v>2254</v>
      </c>
      <c r="E11" s="178" t="s">
        <v>2262</v>
      </c>
      <c r="F11" s="185">
        <f>ROUND(($G$24*$G$26*(1/$G$27-1/$G$30)/$G$33),2)</f>
        <v>63.12</v>
      </c>
      <c r="G11" s="1311" t="s">
        <v>257</v>
      </c>
      <c r="H11" s="136">
        <f>VLOOKUP(G11,'CP FACTORS'!$A$3:$B$38, 2, FALSE)</f>
        <v>9.4741810000000004E-4</v>
      </c>
      <c r="I11" s="3101">
        <f t="shared" si="0"/>
        <v>5.9801E-2</v>
      </c>
      <c r="J11" s="728">
        <f t="shared" si="1"/>
        <v>2</v>
      </c>
      <c r="K11" s="729">
        <f>G37</f>
        <v>63</v>
      </c>
      <c r="L11" s="2129" t="s">
        <v>184</v>
      </c>
      <c r="M11" s="132"/>
      <c r="N11" s="132"/>
      <c r="O11" s="132"/>
      <c r="P11" s="132"/>
      <c r="Q11" s="132"/>
      <c r="R11" s="131"/>
      <c r="S11" s="132"/>
      <c r="T11" s="132"/>
      <c r="U11" s="132"/>
      <c r="V11" s="141" t="str">
        <f t="shared" si="6"/>
        <v>kWh Annual Savings</v>
      </c>
      <c r="W11" s="142">
        <v>55.452200250259111</v>
      </c>
      <c r="X11" s="835">
        <v>55.452200250259111</v>
      </c>
      <c r="Y11" s="834">
        <v>55.45</v>
      </c>
      <c r="Z11" s="1324">
        <v>55.45</v>
      </c>
      <c r="AA11" s="1324">
        <v>55.45</v>
      </c>
      <c r="AB11" s="48">
        <v>55.45</v>
      </c>
      <c r="AC11" s="1324">
        <f t="shared" si="5"/>
        <v>63.12</v>
      </c>
      <c r="AD11" s="1324">
        <v>63.12</v>
      </c>
      <c r="AE11" s="141"/>
      <c r="AF11" s="141"/>
      <c r="AG11" s="141"/>
      <c r="AH11"/>
      <c r="AI11"/>
      <c r="AJ11"/>
      <c r="BB11" s="40">
        <f t="shared" si="2"/>
        <v>0.20744282760977403</v>
      </c>
      <c r="BC11" s="1580" t="str">
        <f t="shared" si="3"/>
        <v>Cooling RES 2 Year EUL</v>
      </c>
      <c r="BD11" s="98">
        <f>(INDEX('Avoided Cost Benefits'!$E$4:$E$859,MATCH(BC11,'Avoided Cost Benefits'!$A$4:$A$859,0)))*F11</f>
        <v>12.334967569056879</v>
      </c>
      <c r="BE11" s="1581">
        <f t="shared" si="4"/>
        <v>59.462010382255777</v>
      </c>
    </row>
    <row r="12" spans="1:57" s="31" customFormat="1" x14ac:dyDescent="0.35">
      <c r="A12" s="132"/>
      <c r="B12" s="132"/>
      <c r="C12" s="2129" t="s">
        <v>2263</v>
      </c>
      <c r="D12" s="2972" t="s">
        <v>2257</v>
      </c>
      <c r="E12" s="2967" t="str">
        <f>CONCATENATE(E11,"_CompE")</f>
        <v>Indoor Coil (Evaporator) Cleaning / MFMR_CompE</v>
      </c>
      <c r="F12" s="185">
        <f>ROUND(($G$25*$G$26*(1/$G$27-1/$G$30)/$G$33),2)</f>
        <v>45.91</v>
      </c>
      <c r="G12" s="1311" t="s">
        <v>257</v>
      </c>
      <c r="H12" s="136">
        <f>VLOOKUP(G12,'CP FACTORS'!$A$3:$B$38, 2, FALSE)</f>
        <v>9.4741810000000004E-4</v>
      </c>
      <c r="I12" s="3101">
        <f t="shared" si="0"/>
        <v>4.3496E-2</v>
      </c>
      <c r="J12" s="728">
        <f t="shared" si="1"/>
        <v>2</v>
      </c>
      <c r="K12" s="729">
        <f>K11</f>
        <v>63</v>
      </c>
      <c r="L12" s="2129" t="s">
        <v>184</v>
      </c>
      <c r="M12" s="132"/>
      <c r="N12" s="132"/>
      <c r="O12" s="132"/>
      <c r="P12" s="132"/>
      <c r="Q12" s="132"/>
      <c r="R12" s="131"/>
      <c r="S12" s="132"/>
      <c r="T12" s="132"/>
      <c r="U12" s="132"/>
      <c r="V12" s="141" t="str">
        <f t="shared" si="6"/>
        <v>kWh Annual Savings</v>
      </c>
      <c r="W12" s="142"/>
      <c r="X12" s="835"/>
      <c r="Y12" s="733">
        <v>40.33</v>
      </c>
      <c r="Z12" s="1324">
        <v>40.33</v>
      </c>
      <c r="AA12" s="1324">
        <v>40.33</v>
      </c>
      <c r="AB12" s="48">
        <v>40.33</v>
      </c>
      <c r="AC12" s="1324">
        <f t="shared" si="5"/>
        <v>45.91</v>
      </c>
      <c r="AD12" s="1324">
        <v>45.91</v>
      </c>
      <c r="AE12" s="141"/>
      <c r="AF12" s="141"/>
      <c r="AG12" s="141"/>
      <c r="AH12"/>
      <c r="AI12"/>
      <c r="AJ12"/>
      <c r="BB12" s="40">
        <f t="shared" si="2"/>
        <v>0.15088244954950453</v>
      </c>
      <c r="BC12" s="1580" t="str">
        <f t="shared" si="3"/>
        <v>Cooling RES 2 Year EUL</v>
      </c>
      <c r="BD12" s="98">
        <f>(INDEX('Avoided Cost Benefits'!$E$4:$E$859,MATCH(BC12,'Avoided Cost Benefits'!$A$4:$A$859,0)))*F12</f>
        <v>8.9717737816128214</v>
      </c>
      <c r="BE12" s="1581">
        <f t="shared" si="4"/>
        <v>59.462010382255777</v>
      </c>
    </row>
    <row r="13" spans="1:57" s="31" customFormat="1" x14ac:dyDescent="0.35">
      <c r="A13" s="132"/>
      <c r="B13" s="132"/>
      <c r="C13" s="2129" t="s">
        <v>2264</v>
      </c>
      <c r="D13" s="2972" t="s">
        <v>2254</v>
      </c>
      <c r="E13" s="178" t="s">
        <v>2265</v>
      </c>
      <c r="F13" s="185">
        <f>ROUND(($G$24*$G$26*(1/$G$27-1/$G$31)/$G$33),2)</f>
        <v>126.24</v>
      </c>
      <c r="G13" s="1311" t="s">
        <v>257</v>
      </c>
      <c r="H13" s="136">
        <f>VLOOKUP(G13,'CP FACTORS'!$A$3:$B$38, 2, FALSE)</f>
        <v>9.4741810000000004E-4</v>
      </c>
      <c r="I13" s="3101">
        <f t="shared" si="0"/>
        <v>0.119602</v>
      </c>
      <c r="J13" s="728">
        <f t="shared" si="1"/>
        <v>2</v>
      </c>
      <c r="K13" s="729">
        <f>G38</f>
        <v>31</v>
      </c>
      <c r="L13" s="2129" t="s">
        <v>184</v>
      </c>
      <c r="M13" s="132"/>
      <c r="N13" s="132"/>
      <c r="O13" s="132"/>
      <c r="P13" s="132"/>
      <c r="Q13" s="132"/>
      <c r="R13" s="131"/>
      <c r="S13" s="132"/>
      <c r="T13" s="132"/>
      <c r="U13" s="132"/>
      <c r="V13" s="141" t="str">
        <f t="shared" si="6"/>
        <v>kWh Annual Savings</v>
      </c>
      <c r="W13" s="142">
        <v>110.90169564708388</v>
      </c>
      <c r="X13" s="835">
        <v>110.90169564708388</v>
      </c>
      <c r="Y13" s="834">
        <v>110.9</v>
      </c>
      <c r="Z13" s="1324">
        <v>110.9</v>
      </c>
      <c r="AA13" s="1324">
        <v>110.9</v>
      </c>
      <c r="AB13" s="48">
        <v>110.9</v>
      </c>
      <c r="AC13" s="1324">
        <f t="shared" si="5"/>
        <v>126.24</v>
      </c>
      <c r="AD13" s="1324">
        <v>126.24</v>
      </c>
      <c r="AE13" s="141"/>
      <c r="AF13" s="141"/>
      <c r="AG13" s="141"/>
      <c r="AH13"/>
      <c r="AI13"/>
      <c r="AJ13"/>
      <c r="BB13" s="40">
        <f t="shared" si="2"/>
        <v>0.84315471867198477</v>
      </c>
      <c r="BC13" s="1580" t="str">
        <f t="shared" si="3"/>
        <v>Cooling RES 2 Year EUL</v>
      </c>
      <c r="BD13" s="98">
        <f>(INDEX('Avoided Cost Benefits'!$E$4:$E$859,MATCH(BC13,'Avoided Cost Benefits'!$A$4:$A$859,0)))*F13</f>
        <v>24.669935138113757</v>
      </c>
      <c r="BE13" s="1581">
        <f t="shared" si="4"/>
        <v>29.259084473808397</v>
      </c>
    </row>
    <row r="14" spans="1:57" s="31" customFormat="1" x14ac:dyDescent="0.35">
      <c r="A14" s="132"/>
      <c r="B14" s="132"/>
      <c r="C14" s="2129" t="s">
        <v>2266</v>
      </c>
      <c r="D14" s="2972" t="s">
        <v>2257</v>
      </c>
      <c r="E14" s="2967" t="str">
        <f>CONCATENATE(E13,"_CompE")</f>
        <v>Outdoor Coil (Condenser) Cleaning / MFMR_CompE</v>
      </c>
      <c r="F14" s="185">
        <f>ROUND(($G$25*$G$26*(1/$G$27-1/$G$31)/$G$33),2)</f>
        <v>91.81</v>
      </c>
      <c r="G14" s="1311" t="s">
        <v>257</v>
      </c>
      <c r="H14" s="136">
        <f>VLOOKUP(G14,'CP FACTORS'!$A$3:$B$38, 2, FALSE)</f>
        <v>9.4741810000000004E-4</v>
      </c>
      <c r="I14" s="3101">
        <f t="shared" si="0"/>
        <v>8.6982000000000004E-2</v>
      </c>
      <c r="J14" s="728">
        <f t="shared" si="1"/>
        <v>2</v>
      </c>
      <c r="K14" s="729">
        <f>K13</f>
        <v>31</v>
      </c>
      <c r="L14" s="2129" t="s">
        <v>184</v>
      </c>
      <c r="M14" s="132"/>
      <c r="N14" s="132"/>
      <c r="O14" s="132"/>
      <c r="P14" s="132"/>
      <c r="Q14" s="132"/>
      <c r="R14" s="131"/>
      <c r="S14" s="132"/>
      <c r="T14" s="132"/>
      <c r="U14" s="132"/>
      <c r="V14" s="141" t="str">
        <f t="shared" si="6"/>
        <v>kWh Annual Savings</v>
      </c>
      <c r="W14" s="142"/>
      <c r="X14" s="835"/>
      <c r="Y14" s="733">
        <v>80.66</v>
      </c>
      <c r="Z14" s="1324">
        <v>80.66</v>
      </c>
      <c r="AA14" s="1324">
        <v>80.66</v>
      </c>
      <c r="AB14" s="48">
        <v>80.66</v>
      </c>
      <c r="AC14" s="1324">
        <f t="shared" si="5"/>
        <v>91.81</v>
      </c>
      <c r="AD14" s="1324">
        <v>91.81</v>
      </c>
      <c r="AE14" s="141"/>
      <c r="AF14" s="141"/>
      <c r="AG14" s="141"/>
      <c r="AH14"/>
      <c r="AI14"/>
      <c r="AJ14"/>
      <c r="BB14" s="40">
        <f t="shared" ref="BB14:BB16" si="7">(BD14)/(BE14)</f>
        <v>0.61319735995940217</v>
      </c>
      <c r="BC14" s="1580" t="str">
        <f t="shared" ref="BC14:BC16" si="8">CONCATENATE(G14," ",J14," Year EUL")</f>
        <v>Cooling RES 2 Year EUL</v>
      </c>
      <c r="BD14" s="98">
        <f>(INDEX('Avoided Cost Benefits'!$E$4:$E$859,MATCH(BC14,'Avoided Cost Benefits'!$A$4:$A$859,0)))*F14</f>
        <v>17.941593354168443</v>
      </c>
      <c r="BE14" s="1581">
        <f t="shared" ref="BE14:BE16" si="9">K14/(1.0595^(2020-2019))</f>
        <v>29.259084473808397</v>
      </c>
    </row>
    <row r="15" spans="1:57" x14ac:dyDescent="0.35">
      <c r="B15" s="350"/>
      <c r="C15" s="2129" t="s">
        <v>4202</v>
      </c>
      <c r="D15" s="2972" t="s">
        <v>2254</v>
      </c>
      <c r="E15" s="178" t="s">
        <v>4212</v>
      </c>
      <c r="F15" s="185">
        <f>G$26*G24*(1/G$27-1/G$32)/G$33</f>
        <v>237.38559042747517</v>
      </c>
      <c r="G15" s="1311" t="s">
        <v>257</v>
      </c>
      <c r="H15" s="136">
        <v>9.4741810000000004E-4</v>
      </c>
      <c r="I15" s="3101">
        <v>0.105069</v>
      </c>
      <c r="J15" s="728">
        <v>2</v>
      </c>
      <c r="K15" s="729">
        <f>G39</f>
        <v>185</v>
      </c>
      <c r="L15" s="2129" t="s">
        <v>184</v>
      </c>
      <c r="M15" s="350"/>
      <c r="N15" s="350"/>
      <c r="O15" s="350"/>
      <c r="P15" s="350"/>
      <c r="Q15" s="350"/>
      <c r="V15" s="141" t="str">
        <f t="shared" si="6"/>
        <v>kWh Annual Savings</v>
      </c>
      <c r="W15" s="2469"/>
      <c r="X15" s="2472"/>
      <c r="Y15" s="2518"/>
      <c r="Z15" s="2519"/>
      <c r="AA15" s="2519"/>
      <c r="AB15" s="2520"/>
      <c r="AC15" s="1324">
        <f t="shared" si="5"/>
        <v>237.38559042747517</v>
      </c>
      <c r="AD15" s="1324">
        <v>237.38559042747517</v>
      </c>
      <c r="AE15" s="141"/>
      <c r="AF15" s="141"/>
      <c r="AG15" s="141"/>
      <c r="AH15" s="196"/>
      <c r="AI15" s="196"/>
      <c r="BB15" s="2504">
        <f t="shared" si="7"/>
        <v>0.26567739706965227</v>
      </c>
      <c r="BC15" s="2505" t="str">
        <f t="shared" si="8"/>
        <v>Cooling RES 2 Year EUL</v>
      </c>
      <c r="BD15" s="2506">
        <f>(INDEX('Avoided Cost Benefits'!$E$4:$E$859,MATCH(BC15,'Avoided Cost Benefits'!$A$4:$A$859,0)))*F15</f>
        <v>46.390107086253572</v>
      </c>
      <c r="BE15" s="2507">
        <f t="shared" si="9"/>
        <v>174.61066540821139</v>
      </c>
    </row>
    <row r="16" spans="1:57" x14ac:dyDescent="0.35">
      <c r="B16" s="350"/>
      <c r="C16" s="2129" t="s">
        <v>4203</v>
      </c>
      <c r="D16" s="2972" t="s">
        <v>2257</v>
      </c>
      <c r="E16" s="178" t="s">
        <v>4213</v>
      </c>
      <c r="F16" s="185">
        <f>G$26*G25*(1/G$27-1/G$32)/G$33</f>
        <v>172.64406576543647</v>
      </c>
      <c r="G16" s="1311" t="s">
        <v>257</v>
      </c>
      <c r="H16" s="136">
        <v>9.4741810000000004E-4</v>
      </c>
      <c r="I16" s="3101">
        <v>7.6419000000000001E-2</v>
      </c>
      <c r="J16" s="728">
        <v>2</v>
      </c>
      <c r="K16" s="729">
        <f>G39</f>
        <v>185</v>
      </c>
      <c r="L16" s="2129" t="s">
        <v>184</v>
      </c>
      <c r="M16" s="350"/>
      <c r="N16" s="350"/>
      <c r="O16" s="350"/>
      <c r="P16" s="350"/>
      <c r="Q16" s="350"/>
      <c r="V16" s="141" t="str">
        <f t="shared" si="6"/>
        <v>kWh Annual Savings</v>
      </c>
      <c r="W16" s="2469"/>
      <c r="X16" s="2472"/>
      <c r="Y16" s="2518"/>
      <c r="Z16" s="2519"/>
      <c r="AA16" s="2519"/>
      <c r="AB16" s="2520"/>
      <c r="AC16" s="1324">
        <f t="shared" si="5"/>
        <v>172.64406576543647</v>
      </c>
      <c r="AD16" s="1324">
        <v>172.64406576543647</v>
      </c>
      <c r="AE16" s="141"/>
      <c r="AF16" s="141"/>
      <c r="AG16" s="141"/>
      <c r="AH16" s="196"/>
      <c r="AI16" s="196"/>
      <c r="BB16" s="2538">
        <f t="shared" si="7"/>
        <v>0.19321992514156527</v>
      </c>
      <c r="BC16" s="2505" t="str">
        <f t="shared" si="8"/>
        <v>Cooling RES 2 Year EUL</v>
      </c>
      <c r="BD16" s="2508">
        <f>(INDEX('Avoided Cost Benefits'!$E$4:$E$859,MATCH(BC16,'Avoided Cost Benefits'!$A$4:$A$859,0)))*F16</f>
        <v>33.738259699093504</v>
      </c>
      <c r="BE16" s="2509">
        <f t="shared" si="9"/>
        <v>174.61066540821139</v>
      </c>
    </row>
    <row r="17" spans="1:54" s="31" customFormat="1" x14ac:dyDescent="0.35">
      <c r="A17" s="132"/>
      <c r="B17" s="132"/>
      <c r="C17" s="151"/>
      <c r="D17" s="3092"/>
      <c r="E17" s="3092"/>
      <c r="F17" s="3092"/>
      <c r="G17" s="3093"/>
      <c r="H17" s="3093"/>
      <c r="I17" s="3093"/>
      <c r="J17" s="3093"/>
      <c r="K17" s="3093"/>
      <c r="L17" s="3093"/>
      <c r="M17" s="2499"/>
      <c r="N17" s="132"/>
      <c r="O17" s="132"/>
      <c r="P17" s="132"/>
      <c r="Q17" s="132"/>
      <c r="R17" s="131"/>
      <c r="S17" s="132"/>
      <c r="T17" s="132"/>
      <c r="U17" s="132"/>
      <c r="V17" s="132"/>
      <c r="W17" s="132"/>
      <c r="X17" s="132"/>
      <c r="Y17" s="132"/>
      <c r="Z17" s="132"/>
      <c r="AA17" s="132"/>
      <c r="AB17" s="132"/>
      <c r="AC17" s="132"/>
      <c r="AD17" s="132"/>
      <c r="AE17" s="132"/>
      <c r="AF17"/>
      <c r="AG17"/>
      <c r="AH17"/>
      <c r="AI17"/>
      <c r="AJ17"/>
    </row>
    <row r="18" spans="1:54" hidden="1" outlineLevel="1" x14ac:dyDescent="0.35">
      <c r="B18" s="132"/>
      <c r="C18" s="130"/>
      <c r="D18" s="3066" t="s">
        <v>107</v>
      </c>
      <c r="E18" s="3094"/>
      <c r="F18" s="3095"/>
      <c r="G18" s="3096"/>
      <c r="H18" s="3096"/>
      <c r="I18" s="3096"/>
      <c r="J18" s="3096"/>
      <c r="K18" s="3096"/>
      <c r="L18" s="3096"/>
      <c r="M18" s="132"/>
      <c r="Q18" s="132"/>
      <c r="V18" s="106"/>
      <c r="W18" s="106"/>
      <c r="X18" s="106"/>
      <c r="Y18" s="106"/>
      <c r="Z18" s="106"/>
      <c r="AA18" s="106"/>
      <c r="AB18" s="106"/>
      <c r="AC18" s="106"/>
      <c r="AD18" s="106"/>
      <c r="AE18" s="106"/>
      <c r="BB18"/>
    </row>
    <row r="19" spans="1:54" hidden="1" outlineLevel="1" x14ac:dyDescent="0.35">
      <c r="B19" s="132"/>
      <c r="C19" s="130"/>
      <c r="E19" s="280"/>
      <c r="F19" s="1325"/>
      <c r="G19" s="3096"/>
      <c r="H19" s="3096"/>
      <c r="I19" s="3096"/>
      <c r="J19" s="3096"/>
      <c r="K19" s="3096"/>
      <c r="L19" s="3096"/>
      <c r="M19" s="132"/>
      <c r="Q19" s="132"/>
      <c r="BB19"/>
    </row>
    <row r="20" spans="1:54" hidden="1" outlineLevel="1" x14ac:dyDescent="0.35">
      <c r="B20" s="132"/>
      <c r="C20" s="130"/>
      <c r="D20" s="3097"/>
      <c r="E20" s="3098"/>
      <c r="F20" s="1325"/>
      <c r="G20" s="3096"/>
      <c r="H20" s="3096"/>
      <c r="I20" s="3096"/>
      <c r="J20" s="3096"/>
      <c r="K20" s="3096"/>
      <c r="L20" s="3096"/>
      <c r="M20" s="132"/>
      <c r="Q20" s="132"/>
    </row>
    <row r="21" spans="1:54" hidden="1" outlineLevel="1" x14ac:dyDescent="0.35">
      <c r="B21" s="132"/>
      <c r="C21" s="130"/>
      <c r="D21" s="3097"/>
      <c r="E21" s="280"/>
      <c r="F21" s="1325"/>
      <c r="G21" s="3096"/>
      <c r="H21" s="3096"/>
      <c r="I21" s="3096"/>
      <c r="J21" s="3096"/>
      <c r="K21" s="3096"/>
      <c r="L21" s="3096"/>
      <c r="M21" s="132"/>
      <c r="N21" s="132"/>
      <c r="O21" s="132"/>
      <c r="P21" s="132"/>
      <c r="Q21" s="132"/>
    </row>
    <row r="22" spans="1:54" hidden="1" outlineLevel="1" x14ac:dyDescent="0.35">
      <c r="B22" s="132"/>
      <c r="C22" s="130"/>
      <c r="D22" s="131"/>
      <c r="E22" s="131"/>
      <c r="F22" s="132"/>
      <c r="G22" s="132"/>
      <c r="H22" s="132"/>
      <c r="I22" s="132"/>
      <c r="J22" s="132"/>
      <c r="K22" s="132"/>
      <c r="L22" s="132"/>
      <c r="M22" s="132"/>
      <c r="N22" s="132"/>
      <c r="O22" s="132"/>
      <c r="P22" s="132"/>
      <c r="Q22" s="132"/>
    </row>
    <row r="23" spans="1:54" ht="15" hidden="1" customHeight="1" outlineLevel="1" x14ac:dyDescent="0.35">
      <c r="B23" s="350"/>
      <c r="C23" s="130"/>
      <c r="D23" s="2423" t="s">
        <v>108</v>
      </c>
      <c r="E23" s="2423" t="s">
        <v>109</v>
      </c>
      <c r="F23" s="2423" t="s">
        <v>185</v>
      </c>
      <c r="G23" s="2331" t="s">
        <v>111</v>
      </c>
      <c r="H23" s="2331" t="s">
        <v>186</v>
      </c>
      <c r="I23" s="3741" t="s">
        <v>112</v>
      </c>
      <c r="J23" s="3741"/>
      <c r="K23" s="3741"/>
      <c r="L23" s="3741"/>
      <c r="M23" s="350"/>
      <c r="N23" s="132"/>
      <c r="O23" s="132"/>
      <c r="P23" s="132"/>
      <c r="Q23" s="350"/>
      <c r="V23" s="1572" t="s">
        <v>44</v>
      </c>
      <c r="W23" s="1573">
        <f>W$6</f>
        <v>43252</v>
      </c>
      <c r="X23" s="1573">
        <f t="shared" ref="X23:AG23" si="10">X$6</f>
        <v>43465</v>
      </c>
      <c r="Y23" s="1573">
        <f t="shared" si="10"/>
        <v>43800</v>
      </c>
      <c r="Z23" s="1573">
        <f t="shared" si="10"/>
        <v>43862</v>
      </c>
      <c r="AA23" s="1573">
        <f t="shared" si="10"/>
        <v>44013</v>
      </c>
      <c r="AB23" s="1573">
        <f t="shared" si="10"/>
        <v>44166</v>
      </c>
      <c r="AC23" s="1573">
        <f t="shared" si="10"/>
        <v>44531</v>
      </c>
      <c r="AD23" s="1573">
        <f t="shared" si="10"/>
        <v>44774</v>
      </c>
      <c r="AE23" s="1573" t="str">
        <f t="shared" si="10"/>
        <v>-</v>
      </c>
      <c r="AF23" s="1573" t="str">
        <f t="shared" si="10"/>
        <v>-</v>
      </c>
      <c r="AG23" s="1573" t="str">
        <f t="shared" si="10"/>
        <v>-</v>
      </c>
    </row>
    <row r="24" spans="1:54" ht="30" hidden="1" customHeight="1" outlineLevel="1" x14ac:dyDescent="0.35">
      <c r="B24" s="132"/>
      <c r="C24" s="130"/>
      <c r="D24" s="4239" t="s">
        <v>1541</v>
      </c>
      <c r="E24" s="4239" t="s">
        <v>1119</v>
      </c>
      <c r="F24" s="840" t="s">
        <v>313</v>
      </c>
      <c r="G24" s="1368">
        <v>869</v>
      </c>
      <c r="H24" s="2340" t="s">
        <v>513</v>
      </c>
      <c r="I24" s="3763"/>
      <c r="J24" s="3763"/>
      <c r="K24" s="3763"/>
      <c r="L24" s="3763"/>
      <c r="M24" s="132"/>
      <c r="N24" s="132"/>
      <c r="O24" s="132"/>
      <c r="P24" s="132"/>
      <c r="Q24" s="132"/>
      <c r="V24" s="4239" t="s">
        <v>1541</v>
      </c>
      <c r="W24" s="1011">
        <v>869</v>
      </c>
      <c r="X24" s="1011">
        <v>869</v>
      </c>
      <c r="Y24" s="1011">
        <v>869</v>
      </c>
      <c r="Z24" s="1368">
        <v>869</v>
      </c>
      <c r="AA24" s="1368">
        <v>869</v>
      </c>
      <c r="AB24" s="1011">
        <v>869</v>
      </c>
      <c r="AC24" s="1011">
        <v>869</v>
      </c>
      <c r="AD24" s="1368">
        <v>869</v>
      </c>
      <c r="AE24" s="1011"/>
      <c r="AF24" s="1011"/>
      <c r="AG24" s="1011"/>
    </row>
    <row r="25" spans="1:54" ht="30" hidden="1" customHeight="1" outlineLevel="1" x14ac:dyDescent="0.35">
      <c r="B25" s="132"/>
      <c r="C25" s="130"/>
      <c r="D25" s="3817"/>
      <c r="E25" s="3817"/>
      <c r="F25" s="840" t="s">
        <v>512</v>
      </c>
      <c r="G25" s="1368">
        <v>632</v>
      </c>
      <c r="H25" s="2340" t="s">
        <v>513</v>
      </c>
      <c r="I25" s="3763"/>
      <c r="J25" s="3763"/>
      <c r="K25" s="3763"/>
      <c r="L25" s="3763"/>
      <c r="M25" s="132"/>
      <c r="N25" s="132"/>
      <c r="O25" s="132"/>
      <c r="P25" s="132"/>
      <c r="Q25" s="132"/>
      <c r="V25" s="4261"/>
      <c r="W25" s="1011"/>
      <c r="X25" s="1011"/>
      <c r="Y25" s="804">
        <v>632</v>
      </c>
      <c r="Z25" s="1368">
        <v>632</v>
      </c>
      <c r="AA25" s="1368">
        <v>632</v>
      </c>
      <c r="AB25" s="1368">
        <v>632</v>
      </c>
      <c r="AC25" s="1368">
        <v>632</v>
      </c>
      <c r="AD25" s="1368">
        <v>632</v>
      </c>
      <c r="AE25" s="1368"/>
      <c r="AF25" s="1368"/>
      <c r="AG25" s="1368"/>
    </row>
    <row r="26" spans="1:54" ht="29" hidden="1" outlineLevel="1" x14ac:dyDescent="0.35">
      <c r="B26" s="132"/>
      <c r="C26" s="130"/>
      <c r="D26" s="2340" t="s">
        <v>1542</v>
      </c>
      <c r="E26" s="2340" t="s">
        <v>1512</v>
      </c>
      <c r="F26" s="840" t="s">
        <v>134</v>
      </c>
      <c r="G26" s="1368">
        <v>23610.600000000002</v>
      </c>
      <c r="H26" s="2340" t="s">
        <v>4187</v>
      </c>
      <c r="I26" s="3763"/>
      <c r="J26" s="3763"/>
      <c r="K26" s="3763"/>
      <c r="L26" s="3763"/>
      <c r="M26" s="132"/>
      <c r="N26" s="132"/>
      <c r="O26" s="132"/>
      <c r="P26" s="132"/>
      <c r="Q26" s="132"/>
      <c r="V26" s="2414" t="str">
        <f t="shared" ref="V26:V35" si="11">D26</f>
        <v>Capacitycool</v>
      </c>
      <c r="W26" s="1011">
        <v>20742.434375000001</v>
      </c>
      <c r="X26" s="1011">
        <v>20742.434375000001</v>
      </c>
      <c r="Y26" s="1011">
        <v>20742.434375000001</v>
      </c>
      <c r="Z26" s="1368">
        <v>20742.434375000001</v>
      </c>
      <c r="AA26" s="1368">
        <v>20742.434375000001</v>
      </c>
      <c r="AB26" s="1011">
        <v>20742.434375000001</v>
      </c>
      <c r="AC26" s="804">
        <f>G26</f>
        <v>23610.600000000002</v>
      </c>
      <c r="AD26" s="1368">
        <v>23610.600000000002</v>
      </c>
      <c r="AE26" s="804"/>
      <c r="AF26" s="804"/>
      <c r="AG26" s="804"/>
    </row>
    <row r="27" spans="1:54" ht="105" hidden="1" customHeight="1" outlineLevel="1" x14ac:dyDescent="0.35">
      <c r="B27" s="132"/>
      <c r="C27" s="130"/>
      <c r="D27" s="2340" t="s">
        <v>2267</v>
      </c>
      <c r="E27" s="2340" t="s">
        <v>1545</v>
      </c>
      <c r="F27" s="840" t="s">
        <v>134</v>
      </c>
      <c r="G27" s="2413">
        <v>11.9</v>
      </c>
      <c r="H27" s="2340" t="s">
        <v>2268</v>
      </c>
      <c r="I27" s="3763" t="s">
        <v>2269</v>
      </c>
      <c r="J27" s="3763"/>
      <c r="K27" s="3763"/>
      <c r="L27" s="3763"/>
      <c r="M27" s="132"/>
      <c r="N27" s="132"/>
      <c r="O27" s="132"/>
      <c r="P27" s="132"/>
      <c r="Q27" s="132"/>
      <c r="V27" s="2414" t="str">
        <f t="shared" si="11"/>
        <v>SEERtest-in</v>
      </c>
      <c r="W27" s="1012">
        <v>11.9</v>
      </c>
      <c r="X27" s="1012">
        <v>11.9</v>
      </c>
      <c r="Y27" s="1012">
        <v>11.9</v>
      </c>
      <c r="Z27" s="2413">
        <v>11.9</v>
      </c>
      <c r="AA27" s="2413">
        <v>11.9</v>
      </c>
      <c r="AB27" s="1012">
        <v>11.9</v>
      </c>
      <c r="AC27" s="1012">
        <v>11.9</v>
      </c>
      <c r="AD27" s="2805">
        <v>11.9</v>
      </c>
      <c r="AE27" s="1012"/>
      <c r="AF27" s="1012"/>
      <c r="AG27" s="1012"/>
    </row>
    <row r="28" spans="1:54" ht="15" hidden="1" customHeight="1" outlineLevel="1" x14ac:dyDescent="0.35">
      <c r="B28" s="132"/>
      <c r="C28" s="130"/>
      <c r="D28" s="4239" t="s">
        <v>1551</v>
      </c>
      <c r="E28" s="4239" t="s">
        <v>1552</v>
      </c>
      <c r="F28" s="840" t="s">
        <v>1546</v>
      </c>
      <c r="G28" s="2413">
        <f>G27*(1+0.056)</f>
        <v>12.566400000000002</v>
      </c>
      <c r="H28" s="2340" t="s">
        <v>977</v>
      </c>
      <c r="I28" s="3763" t="s">
        <v>1549</v>
      </c>
      <c r="J28" s="3763"/>
      <c r="K28" s="3763"/>
      <c r="L28" s="3763"/>
      <c r="M28" s="132"/>
      <c r="N28" s="132"/>
      <c r="O28" s="132"/>
      <c r="P28" s="132"/>
      <c r="Q28" s="132"/>
      <c r="V28" s="4246" t="str">
        <f t="shared" si="11"/>
        <v>SEERtest-out</v>
      </c>
      <c r="W28" s="1012">
        <f>W27*(1+0.056)</f>
        <v>12.566400000000002</v>
      </c>
      <c r="X28" s="1012">
        <f>X27*(1+0.056)</f>
        <v>12.566400000000002</v>
      </c>
      <c r="Y28" s="1012">
        <f>Y27*(1+0.056)</f>
        <v>12.566400000000002</v>
      </c>
      <c r="Z28" s="2413">
        <f t="shared" ref="Z28:AA28" si="12">Z27*(1+0.056)</f>
        <v>12.566400000000002</v>
      </c>
      <c r="AA28" s="2413">
        <f t="shared" si="12"/>
        <v>12.566400000000002</v>
      </c>
      <c r="AB28" s="1012">
        <v>12.566400000000002</v>
      </c>
      <c r="AC28" s="1012">
        <v>12.566400000000002</v>
      </c>
      <c r="AD28" s="2805">
        <v>12.566400000000002</v>
      </c>
      <c r="AE28" s="1012"/>
      <c r="AF28" s="1012"/>
      <c r="AG28" s="1012"/>
    </row>
    <row r="29" spans="1:54" ht="43.5" hidden="1" outlineLevel="1" x14ac:dyDescent="0.35">
      <c r="B29" s="132"/>
      <c r="C29" s="130"/>
      <c r="D29" s="4264"/>
      <c r="E29" s="4264"/>
      <c r="F29" s="840" t="s">
        <v>1547</v>
      </c>
      <c r="G29" s="2413">
        <f>G27*(1+0.284)</f>
        <v>15.2796</v>
      </c>
      <c r="H29" s="2340" t="s">
        <v>977</v>
      </c>
      <c r="I29" s="3763" t="s">
        <v>1549</v>
      </c>
      <c r="J29" s="3763"/>
      <c r="K29" s="3763"/>
      <c r="L29" s="3763"/>
      <c r="M29" s="132"/>
      <c r="N29" s="132"/>
      <c r="O29" s="132"/>
      <c r="P29" s="132"/>
      <c r="Q29" s="132"/>
      <c r="V29" s="4267"/>
      <c r="W29" s="1012">
        <f>W27*(1+0.284)</f>
        <v>15.2796</v>
      </c>
      <c r="X29" s="1012">
        <f>X27*(1+0.284)</f>
        <v>15.2796</v>
      </c>
      <c r="Y29" s="1012">
        <f>Y27*(1+0.284)</f>
        <v>15.2796</v>
      </c>
      <c r="Z29" s="2413">
        <f t="shared" ref="Z29:AA29" si="13">Z27*(1+0.284)</f>
        <v>15.2796</v>
      </c>
      <c r="AA29" s="2413">
        <f t="shared" si="13"/>
        <v>15.2796</v>
      </c>
      <c r="AB29" s="1012">
        <v>15.2796</v>
      </c>
      <c r="AC29" s="1012">
        <v>15.2796</v>
      </c>
      <c r="AD29" s="2805">
        <v>15.2796</v>
      </c>
      <c r="AE29" s="1012"/>
      <c r="AF29" s="1012"/>
      <c r="AG29" s="1012"/>
    </row>
    <row r="30" spans="1:54" ht="27" hidden="1" customHeight="1" outlineLevel="1" x14ac:dyDescent="0.35">
      <c r="B30" s="132"/>
      <c r="C30" s="130"/>
      <c r="D30" s="4264"/>
      <c r="E30" s="4264"/>
      <c r="F30" s="1449" t="s">
        <v>2270</v>
      </c>
      <c r="G30" s="2413">
        <f>G27*(1+0.038)</f>
        <v>12.352200000000002</v>
      </c>
      <c r="H30" s="2340" t="s">
        <v>977</v>
      </c>
      <c r="I30" s="3763" t="s">
        <v>1549</v>
      </c>
      <c r="J30" s="3763"/>
      <c r="K30" s="3763"/>
      <c r="L30" s="3763"/>
      <c r="M30" s="132"/>
      <c r="N30" s="132"/>
      <c r="O30" s="132"/>
      <c r="P30" s="132"/>
      <c r="Q30" s="132"/>
      <c r="V30" s="4267"/>
      <c r="W30" s="1012">
        <f>W27*(1+0.038)</f>
        <v>12.352200000000002</v>
      </c>
      <c r="X30" s="1012">
        <f>X27*(1+0.038)</f>
        <v>12.352200000000002</v>
      </c>
      <c r="Y30" s="1012">
        <f>Y27*(1+0.038)</f>
        <v>12.352200000000002</v>
      </c>
      <c r="Z30" s="2413">
        <f t="shared" ref="Z30:AA30" si="14">Z27*(1+0.038)</f>
        <v>12.352200000000002</v>
      </c>
      <c r="AA30" s="2413">
        <f t="shared" si="14"/>
        <v>12.352200000000002</v>
      </c>
      <c r="AB30" s="1012">
        <v>12.352200000000002</v>
      </c>
      <c r="AC30" s="1012">
        <v>12.352200000000002</v>
      </c>
      <c r="AD30" s="2805">
        <v>12.352200000000002</v>
      </c>
      <c r="AE30" s="1012"/>
      <c r="AF30" s="1012"/>
      <c r="AG30" s="1012"/>
    </row>
    <row r="31" spans="1:54" hidden="1" outlineLevel="1" x14ac:dyDescent="0.35">
      <c r="B31" s="132"/>
      <c r="C31" s="130"/>
      <c r="D31" s="4264"/>
      <c r="E31" s="4264"/>
      <c r="F31" s="1449" t="s">
        <v>2271</v>
      </c>
      <c r="G31" s="2413">
        <f>G27*(1+0.079)</f>
        <v>12.8401</v>
      </c>
      <c r="H31" s="2340" t="s">
        <v>977</v>
      </c>
      <c r="I31" s="3763" t="s">
        <v>1549</v>
      </c>
      <c r="J31" s="3763"/>
      <c r="K31" s="3763"/>
      <c r="L31" s="3763"/>
      <c r="M31" s="132"/>
      <c r="N31" s="132"/>
      <c r="O31" s="132"/>
      <c r="P31" s="132"/>
      <c r="Q31" s="132"/>
      <c r="V31" s="4267"/>
      <c r="W31" s="1012">
        <f>W27*(1+0.079)</f>
        <v>12.8401</v>
      </c>
      <c r="X31" s="1012">
        <f>X27*(1+0.079)</f>
        <v>12.8401</v>
      </c>
      <c r="Y31" s="1012">
        <f>Y27*(1+0.079)</f>
        <v>12.8401</v>
      </c>
      <c r="Z31" s="2413">
        <f t="shared" ref="Z31:AA31" si="15">Z27*(1+0.079)</f>
        <v>12.8401</v>
      </c>
      <c r="AA31" s="2413">
        <f t="shared" si="15"/>
        <v>12.8401</v>
      </c>
      <c r="AB31" s="1012">
        <v>12.8401</v>
      </c>
      <c r="AC31" s="1012">
        <v>12.8401</v>
      </c>
      <c r="AD31" s="2805">
        <v>12.8401</v>
      </c>
      <c r="AE31" s="1012"/>
      <c r="AF31" s="1012"/>
      <c r="AG31" s="1012"/>
    </row>
    <row r="32" spans="1:54" ht="87" hidden="1" outlineLevel="1" x14ac:dyDescent="0.35">
      <c r="B32" s="132"/>
      <c r="C32" s="130"/>
      <c r="D32" s="3780"/>
      <c r="E32" s="3780"/>
      <c r="F32" s="1449" t="s">
        <v>4186</v>
      </c>
      <c r="G32" s="2413">
        <v>13.8</v>
      </c>
      <c r="H32" s="2340" t="s">
        <v>4185</v>
      </c>
      <c r="I32" s="3763"/>
      <c r="J32" s="3763"/>
      <c r="K32" s="3763"/>
      <c r="L32" s="3763"/>
      <c r="M32" s="132"/>
      <c r="N32" s="132"/>
      <c r="O32" s="132"/>
      <c r="P32" s="132"/>
      <c r="Q32" s="132"/>
      <c r="V32" s="4247"/>
      <c r="W32" s="2516"/>
      <c r="X32" s="2516"/>
      <c r="Y32" s="2516"/>
      <c r="Z32" s="2517"/>
      <c r="AA32" s="2517"/>
      <c r="AB32" s="2516"/>
      <c r="AC32" s="174">
        <f>G32</f>
        <v>13.8</v>
      </c>
      <c r="AD32" s="2805">
        <v>13.8</v>
      </c>
      <c r="AE32" s="174"/>
      <c r="AF32" s="174"/>
      <c r="AG32" s="174"/>
    </row>
    <row r="33" spans="1:57" ht="29" hidden="1" outlineLevel="1" x14ac:dyDescent="0.35">
      <c r="B33" s="1450"/>
      <c r="C33" s="1451"/>
      <c r="D33" s="843">
        <v>1000</v>
      </c>
      <c r="E33" s="844" t="s">
        <v>1553</v>
      </c>
      <c r="F33" s="840" t="s">
        <v>4175</v>
      </c>
      <c r="G33" s="1368">
        <v>1000</v>
      </c>
      <c r="H33" s="2333" t="s">
        <v>1554</v>
      </c>
      <c r="I33" s="4320"/>
      <c r="J33" s="4320"/>
      <c r="K33" s="4320"/>
      <c r="L33" s="4320"/>
      <c r="V33" s="2414">
        <f t="shared" si="11"/>
        <v>1000</v>
      </c>
      <c r="W33" s="1011">
        <v>1000</v>
      </c>
      <c r="X33" s="1011">
        <v>1000</v>
      </c>
      <c r="Y33" s="1011">
        <v>1000</v>
      </c>
      <c r="Z33" s="1368">
        <v>1000</v>
      </c>
      <c r="AA33" s="1368">
        <v>1000</v>
      </c>
      <c r="AB33" s="1011">
        <v>1000</v>
      </c>
      <c r="AC33" s="1011">
        <v>1000</v>
      </c>
      <c r="AD33" s="1368">
        <v>1000</v>
      </c>
      <c r="AE33" s="1011"/>
      <c r="AF33" s="1011"/>
      <c r="AG33" s="1011"/>
    </row>
    <row r="34" spans="1:57" s="31" customFormat="1" hidden="1" outlineLevel="1" x14ac:dyDescent="0.35">
      <c r="A34" s="132"/>
      <c r="B34" s="132"/>
      <c r="C34" s="130"/>
      <c r="D34" s="2476" t="str">
        <f>$J$6</f>
        <v>EUL</v>
      </c>
      <c r="E34" s="844" t="str">
        <f>'HVAC Deemed Table'!E89</f>
        <v>End of Useful Life</v>
      </c>
      <c r="F34" s="840" t="s">
        <v>134</v>
      </c>
      <c r="G34" s="830">
        <v>2</v>
      </c>
      <c r="H34" s="2333"/>
      <c r="I34" s="4320"/>
      <c r="J34" s="4320"/>
      <c r="K34" s="4320"/>
      <c r="L34" s="4320"/>
      <c r="M34" s="132"/>
      <c r="N34" s="132"/>
      <c r="O34" s="132"/>
      <c r="P34" s="132"/>
      <c r="Q34" s="132"/>
      <c r="R34" s="132"/>
      <c r="S34" s="132"/>
      <c r="T34" s="132"/>
      <c r="U34" s="132"/>
      <c r="V34" s="2335" t="str">
        <f t="shared" si="11"/>
        <v>EUL</v>
      </c>
      <c r="W34" s="317">
        <v>2</v>
      </c>
      <c r="X34" s="317">
        <v>2</v>
      </c>
      <c r="Y34" s="830">
        <v>2</v>
      </c>
      <c r="Z34" s="830">
        <v>2</v>
      </c>
      <c r="AA34" s="830">
        <v>2</v>
      </c>
      <c r="AB34" s="830">
        <v>2</v>
      </c>
      <c r="AC34" s="830">
        <v>2</v>
      </c>
      <c r="AD34" s="830">
        <v>2</v>
      </c>
      <c r="AE34" s="830"/>
      <c r="AF34" s="830"/>
      <c r="AG34" s="830"/>
      <c r="AU34" s="145"/>
      <c r="BB34" s="32"/>
    </row>
    <row r="35" spans="1:57" s="31" customFormat="1" ht="43.5" hidden="1" outlineLevel="1" x14ac:dyDescent="0.35">
      <c r="A35" s="132"/>
      <c r="B35" s="132"/>
      <c r="C35" s="130"/>
      <c r="D35" s="4343" t="str">
        <f>$K$6</f>
        <v>Inc. Cost</v>
      </c>
      <c r="E35" s="4447" t="str">
        <f>'HVAC Deemed Table'!E101</f>
        <v>Incremental Cost ($)</v>
      </c>
      <c r="F35" s="840" t="s">
        <v>4194</v>
      </c>
      <c r="G35" s="305">
        <v>70</v>
      </c>
      <c r="H35" s="2333"/>
      <c r="I35" s="4320"/>
      <c r="J35" s="4320"/>
      <c r="K35" s="4320"/>
      <c r="L35" s="4320"/>
      <c r="M35" s="132"/>
      <c r="N35" s="132"/>
      <c r="O35" s="132"/>
      <c r="P35" s="132"/>
      <c r="Q35" s="132"/>
      <c r="R35" s="132"/>
      <c r="S35" s="132"/>
      <c r="T35" s="132"/>
      <c r="U35" s="132"/>
      <c r="V35" s="4458" t="str">
        <f t="shared" si="11"/>
        <v>Inc. Cost</v>
      </c>
      <c r="W35" s="317">
        <v>70</v>
      </c>
      <c r="X35" s="317">
        <v>70</v>
      </c>
      <c r="Y35" s="305">
        <v>70</v>
      </c>
      <c r="Z35" s="305">
        <v>70</v>
      </c>
      <c r="AA35" s="305">
        <v>70</v>
      </c>
      <c r="AB35" s="305">
        <v>70</v>
      </c>
      <c r="AC35" s="305">
        <v>70</v>
      </c>
      <c r="AD35" s="305">
        <v>70</v>
      </c>
      <c r="AE35" s="305"/>
      <c r="AF35" s="305"/>
      <c r="AG35" s="305"/>
      <c r="AU35" s="145"/>
      <c r="BB35" s="32"/>
    </row>
    <row r="36" spans="1:57" s="31" customFormat="1" ht="29" hidden="1" outlineLevel="1" x14ac:dyDescent="0.35">
      <c r="A36" s="132"/>
      <c r="B36" s="132"/>
      <c r="C36" s="130"/>
      <c r="D36" s="4343"/>
      <c r="E36" s="4447"/>
      <c r="F36" s="840" t="s">
        <v>4195</v>
      </c>
      <c r="G36" s="305">
        <v>81</v>
      </c>
      <c r="H36" s="2333"/>
      <c r="I36" s="4320"/>
      <c r="J36" s="4320"/>
      <c r="K36" s="4320"/>
      <c r="L36" s="4320"/>
      <c r="M36" s="132"/>
      <c r="N36" s="132"/>
      <c r="O36" s="132"/>
      <c r="P36" s="132"/>
      <c r="Q36" s="132"/>
      <c r="R36" s="132"/>
      <c r="S36" s="132"/>
      <c r="T36" s="132"/>
      <c r="U36" s="132"/>
      <c r="V36" s="4532"/>
      <c r="W36" s="325">
        <v>81</v>
      </c>
      <c r="X36" s="325">
        <v>81</v>
      </c>
      <c r="Y36" s="305">
        <v>81</v>
      </c>
      <c r="Z36" s="305">
        <v>81</v>
      </c>
      <c r="AA36" s="305">
        <v>81</v>
      </c>
      <c r="AB36" s="305">
        <v>81</v>
      </c>
      <c r="AC36" s="305">
        <v>81</v>
      </c>
      <c r="AD36" s="305">
        <v>81</v>
      </c>
      <c r="AE36" s="305"/>
      <c r="AF36" s="305"/>
      <c r="AG36" s="305"/>
      <c r="AU36" s="145"/>
      <c r="BB36" s="32"/>
    </row>
    <row r="37" spans="1:57" s="31" customFormat="1" ht="43.5" hidden="1" outlineLevel="1" x14ac:dyDescent="0.35">
      <c r="A37" s="132"/>
      <c r="B37" s="132"/>
      <c r="C37" s="130"/>
      <c r="D37" s="4343"/>
      <c r="E37" s="4447"/>
      <c r="F37" s="840" t="s">
        <v>4196</v>
      </c>
      <c r="G37" s="305">
        <v>63</v>
      </c>
      <c r="H37" s="2333"/>
      <c r="I37" s="4320"/>
      <c r="J37" s="4320"/>
      <c r="K37" s="4320"/>
      <c r="L37" s="4320"/>
      <c r="M37" s="132"/>
      <c r="N37" s="132"/>
      <c r="O37" s="132"/>
      <c r="P37" s="132"/>
      <c r="Q37" s="132"/>
      <c r="R37" s="132"/>
      <c r="S37" s="132"/>
      <c r="T37" s="132"/>
      <c r="U37" s="132"/>
      <c r="V37" s="4532"/>
      <c r="W37" s="317">
        <v>63</v>
      </c>
      <c r="X37" s="317">
        <v>63</v>
      </c>
      <c r="Y37" s="305">
        <v>63</v>
      </c>
      <c r="Z37" s="305">
        <v>63</v>
      </c>
      <c r="AA37" s="305">
        <v>63</v>
      </c>
      <c r="AB37" s="305">
        <v>63</v>
      </c>
      <c r="AC37" s="305">
        <v>63</v>
      </c>
      <c r="AD37" s="305">
        <v>63</v>
      </c>
      <c r="AE37" s="305"/>
      <c r="AF37" s="305"/>
      <c r="AG37" s="305"/>
      <c r="AU37" s="145"/>
      <c r="BB37" s="32"/>
    </row>
    <row r="38" spans="1:57" s="31" customFormat="1" ht="43.5" hidden="1" outlineLevel="1" x14ac:dyDescent="0.35">
      <c r="A38" s="132"/>
      <c r="B38" s="132"/>
      <c r="C38" s="130"/>
      <c r="D38" s="4343"/>
      <c r="E38" s="4447"/>
      <c r="F38" s="840" t="s">
        <v>4197</v>
      </c>
      <c r="G38" s="305">
        <v>31</v>
      </c>
      <c r="H38" s="2333"/>
      <c r="I38" s="4320"/>
      <c r="J38" s="4320"/>
      <c r="K38" s="4320"/>
      <c r="L38" s="4320"/>
      <c r="M38" s="132"/>
      <c r="N38" s="132"/>
      <c r="O38" s="132"/>
      <c r="P38" s="132"/>
      <c r="Q38" s="132"/>
      <c r="R38" s="132"/>
      <c r="S38" s="132"/>
      <c r="T38" s="132"/>
      <c r="U38" s="132"/>
      <c r="V38" s="4532"/>
      <c r="W38" s="325">
        <v>31</v>
      </c>
      <c r="X38" s="325">
        <v>31</v>
      </c>
      <c r="Y38" s="305">
        <v>31</v>
      </c>
      <c r="Z38" s="305">
        <v>31</v>
      </c>
      <c r="AA38" s="305">
        <v>31</v>
      </c>
      <c r="AB38" s="305">
        <v>31</v>
      </c>
      <c r="AC38" s="305">
        <v>31</v>
      </c>
      <c r="AD38" s="305">
        <v>31</v>
      </c>
      <c r="AE38" s="305"/>
      <c r="AF38" s="305"/>
      <c r="AG38" s="305"/>
      <c r="AU38" s="145"/>
      <c r="BB38" s="32"/>
    </row>
    <row r="39" spans="1:57" s="31" customFormat="1" ht="101.5" hidden="1" outlineLevel="1" x14ac:dyDescent="0.35">
      <c r="A39" s="132"/>
      <c r="B39" s="132"/>
      <c r="C39" s="130"/>
      <c r="D39" s="4343"/>
      <c r="E39" s="4447"/>
      <c r="F39" s="1449" t="s">
        <v>4186</v>
      </c>
      <c r="G39" s="305">
        <v>185</v>
      </c>
      <c r="H39" s="2333" t="s">
        <v>4201</v>
      </c>
      <c r="I39" s="4320"/>
      <c r="J39" s="4320"/>
      <c r="K39" s="4320"/>
      <c r="L39" s="4320"/>
      <c r="M39" s="132"/>
      <c r="N39" s="132"/>
      <c r="O39" s="132"/>
      <c r="P39" s="132"/>
      <c r="Q39" s="132"/>
      <c r="R39" s="132"/>
      <c r="S39" s="132"/>
      <c r="T39" s="132"/>
      <c r="U39" s="132"/>
      <c r="V39" s="4533"/>
      <c r="W39" s="2516"/>
      <c r="X39" s="2516"/>
      <c r="Y39" s="2516"/>
      <c r="Z39" s="2517"/>
      <c r="AA39" s="2517"/>
      <c r="AB39" s="2516"/>
      <c r="AC39" s="2468">
        <f>G39</f>
        <v>185</v>
      </c>
      <c r="AD39" s="305">
        <v>185</v>
      </c>
      <c r="AE39" s="2468"/>
      <c r="AF39" s="2468"/>
      <c r="AG39" s="2468"/>
      <c r="AU39" s="145"/>
      <c r="BB39" s="32"/>
    </row>
    <row r="40" spans="1:57" hidden="1" outlineLevel="1" x14ac:dyDescent="0.35">
      <c r="B40" s="1450"/>
      <c r="C40" s="1451"/>
      <c r="D40" s="1013"/>
      <c r="E40" s="1013"/>
      <c r="F40" s="1450"/>
      <c r="G40" s="1450"/>
      <c r="H40" s="1450"/>
      <c r="I40" s="1450"/>
      <c r="J40" s="1450"/>
      <c r="K40" s="1450"/>
      <c r="L40" s="1450"/>
    </row>
    <row r="41" spans="1:57" collapsed="1" x14ac:dyDescent="0.35">
      <c r="B41" s="1450"/>
      <c r="C41" s="1451"/>
      <c r="D41" s="1013"/>
      <c r="E41" s="1013"/>
      <c r="F41" s="1450"/>
      <c r="G41" s="1450"/>
      <c r="H41" s="1450"/>
      <c r="I41" s="1450"/>
      <c r="J41" s="1450"/>
      <c r="K41" s="1450"/>
      <c r="L41" s="1450"/>
    </row>
    <row r="42" spans="1:57" s="84" customFormat="1" x14ac:dyDescent="0.35">
      <c r="B42" s="3664" t="s">
        <v>4188</v>
      </c>
      <c r="C42" s="3665"/>
      <c r="D42" s="3665"/>
      <c r="E42" s="3665"/>
      <c r="F42" s="3665"/>
      <c r="G42" s="3665"/>
      <c r="H42" s="3665"/>
      <c r="I42" s="3665"/>
      <c r="J42" s="3665"/>
      <c r="K42" s="3665"/>
      <c r="L42" s="3665"/>
      <c r="M42" s="3665"/>
      <c r="N42" s="3665"/>
      <c r="O42" s="3665"/>
      <c r="P42" s="3665"/>
      <c r="Q42" s="4026"/>
      <c r="V42" s="3664" t="str">
        <f>B42</f>
        <v>HP Tune-up</v>
      </c>
      <c r="W42" s="3665"/>
      <c r="X42" s="3665"/>
      <c r="Y42" s="3665"/>
      <c r="Z42" s="3665"/>
      <c r="AA42" s="3665"/>
      <c r="AB42" s="3665"/>
      <c r="AC42" s="3666"/>
      <c r="AD42" s="3666"/>
      <c r="AE42" s="3666"/>
      <c r="AF42" s="3666"/>
      <c r="AG42" s="3666"/>
      <c r="AH42" s="3666"/>
      <c r="AI42" s="3667"/>
      <c r="BB42" s="1819"/>
    </row>
    <row r="43" spans="1:57" s="84" customFormat="1" ht="18" customHeight="1" x14ac:dyDescent="0.35">
      <c r="B43" s="132"/>
      <c r="C43" s="130"/>
      <c r="D43" s="292" t="s">
        <v>2252</v>
      </c>
      <c r="E43" s="131"/>
      <c r="F43" s="132"/>
      <c r="G43" s="132"/>
      <c r="H43" s="132"/>
      <c r="I43" s="132"/>
      <c r="J43" s="132"/>
      <c r="K43" s="132"/>
      <c r="L43" s="132"/>
      <c r="M43" s="132"/>
      <c r="N43" s="132"/>
      <c r="O43" s="132"/>
      <c r="P43" s="132"/>
      <c r="Q43" s="132"/>
      <c r="V43" s="199"/>
      <c r="W43" s="199"/>
      <c r="X43" s="199"/>
      <c r="Y43" s="199"/>
      <c r="Z43" s="199"/>
      <c r="AA43" s="199"/>
      <c r="AB43" s="199"/>
      <c r="AC43" s="199"/>
      <c r="AD43" s="199"/>
      <c r="AE43" s="199"/>
      <c r="AF43" s="199"/>
      <c r="AG43" s="199"/>
      <c r="AH43" s="199"/>
      <c r="AI43" s="199"/>
      <c r="BB43" s="1819"/>
    </row>
    <row r="44" spans="1:57" s="84" customFormat="1" ht="29" x14ac:dyDescent="0.35">
      <c r="B44" s="350"/>
      <c r="C44" s="2331" t="s">
        <v>27</v>
      </c>
      <c r="D44" s="2331" t="s">
        <v>174</v>
      </c>
      <c r="E44" s="2331" t="s">
        <v>29</v>
      </c>
      <c r="F44" s="2331" t="s">
        <v>30</v>
      </c>
      <c r="G44" s="2331" t="s">
        <v>175</v>
      </c>
      <c r="H44" s="2331" t="s">
        <v>176</v>
      </c>
      <c r="I44" s="2331" t="s">
        <v>31</v>
      </c>
      <c r="J44" s="2363" t="s">
        <v>180</v>
      </c>
      <c r="K44" s="2331" t="s">
        <v>169</v>
      </c>
      <c r="L44" s="2331" t="s">
        <v>43</v>
      </c>
      <c r="M44" s="350"/>
      <c r="N44" s="350"/>
      <c r="O44" s="350"/>
      <c r="P44" s="350"/>
      <c r="Q44" s="350"/>
      <c r="V44" s="480" t="s">
        <v>44</v>
      </c>
      <c r="W44" s="481">
        <v>43252</v>
      </c>
      <c r="X44" s="481">
        <v>43465</v>
      </c>
      <c r="Y44" s="481">
        <v>43800</v>
      </c>
      <c r="Z44" s="481">
        <v>43862</v>
      </c>
      <c r="AA44" s="481">
        <v>44013</v>
      </c>
      <c r="AB44" s="481">
        <v>44166</v>
      </c>
      <c r="AC44" s="481">
        <v>44531</v>
      </c>
      <c r="AD44" s="1573">
        <f t="shared" ref="AD44" si="16">AD$6</f>
        <v>44774</v>
      </c>
      <c r="AE44" s="481" t="s">
        <v>45</v>
      </c>
      <c r="AF44" s="481" t="s">
        <v>45</v>
      </c>
      <c r="AG44" s="481" t="s">
        <v>45</v>
      </c>
      <c r="AH44" s="199"/>
      <c r="AI44" s="199"/>
      <c r="BB44" s="2501" t="s">
        <v>46</v>
      </c>
      <c r="BC44" s="2521" t="s">
        <v>47</v>
      </c>
      <c r="BD44" s="2502" t="s">
        <v>48</v>
      </c>
      <c r="BE44" s="2503" t="s">
        <v>49</v>
      </c>
    </row>
    <row r="45" spans="1:57" s="84" customFormat="1" x14ac:dyDescent="0.35">
      <c r="B45" s="350"/>
      <c r="C45" s="831" t="s">
        <v>4210</v>
      </c>
      <c r="D45" s="395" t="s">
        <v>2254</v>
      </c>
      <c r="E45" s="3099" t="s">
        <v>4214</v>
      </c>
      <c r="F45" s="1324">
        <f>G$58*G56*(1/G$59-1/G$60)/G$61</f>
        <v>237.38559042747517</v>
      </c>
      <c r="G45" s="1279" t="s">
        <v>257</v>
      </c>
      <c r="H45" s="393">
        <f>VLOOKUP(G45,'CP FACTORS'!$A$3:$B$38, 2, FALSE)</f>
        <v>9.4741810000000004E-4</v>
      </c>
      <c r="I45" s="1278">
        <f>F45*H45</f>
        <v>0.22490340505017672</v>
      </c>
      <c r="J45" s="830">
        <v>2</v>
      </c>
      <c r="K45" s="305">
        <f>G68</f>
        <v>185</v>
      </c>
      <c r="L45" s="831" t="s">
        <v>184</v>
      </c>
      <c r="M45" s="350"/>
      <c r="N45" s="350"/>
      <c r="O45" s="350"/>
      <c r="P45" s="350"/>
      <c r="Q45" s="350"/>
      <c r="V45" s="1592" t="str">
        <f>F44</f>
        <v>kWh Annual Savings</v>
      </c>
      <c r="W45" s="2517"/>
      <c r="X45" s="2517"/>
      <c r="Y45" s="2517"/>
      <c r="Z45" s="2517"/>
      <c r="AA45" s="2517"/>
      <c r="AB45" s="2517"/>
      <c r="AC45" s="733">
        <v>80.33</v>
      </c>
      <c r="AD45" s="733">
        <v>237.38559042747517</v>
      </c>
      <c r="AE45" s="1592"/>
      <c r="AF45" s="1592"/>
      <c r="AG45" s="1592"/>
      <c r="AH45" s="199"/>
      <c r="AI45" s="199"/>
      <c r="BB45" s="2504">
        <f>(BD45+BD46)/(BE45+BE46)</f>
        <v>0.50646228148446937</v>
      </c>
      <c r="BC45" s="2522" t="str">
        <f t="shared" ref="BC45:BC48" si="17">CONCATENATE(G45," ",J45," Year EUL")</f>
        <v>Cooling RES 2 Year EUL</v>
      </c>
      <c r="BD45" s="2506">
        <f>(INDEX('Avoided Cost Benefits'!$E$4:$E$859,MATCH(BC45,'Avoided Cost Benefits'!$A$4:$A$859,0)))*F45</f>
        <v>46.390107086253572</v>
      </c>
      <c r="BE45" s="2507">
        <f t="shared" ref="BE45" si="18">K45/(1.0595^(2020-2019))</f>
        <v>174.61066540821139</v>
      </c>
    </row>
    <row r="46" spans="1:57" s="84" customFormat="1" x14ac:dyDescent="0.35">
      <c r="B46" s="350"/>
      <c r="C46" s="831" t="s">
        <v>4210</v>
      </c>
      <c r="D46" s="395" t="s">
        <v>2254</v>
      </c>
      <c r="E46" s="3100" t="s">
        <v>4214</v>
      </c>
      <c r="F46" s="1324">
        <f>G$64*G62*(1/G$65-1/G$66)/G$61</f>
        <v>761.38748500881786</v>
      </c>
      <c r="G46" s="1279" t="s">
        <v>258</v>
      </c>
      <c r="H46" s="393">
        <f>VLOOKUP(G46,'CP FACTORS'!$A$3:$B$38, 2, FALSE)</f>
        <v>0</v>
      </c>
      <c r="I46" s="1278">
        <f t="shared" ref="I46:I48" si="19">F46*H46</f>
        <v>0</v>
      </c>
      <c r="J46" s="830">
        <v>2</v>
      </c>
      <c r="K46" s="305">
        <f>G69</f>
        <v>0</v>
      </c>
      <c r="L46" s="831" t="s">
        <v>184</v>
      </c>
      <c r="M46" s="350"/>
      <c r="N46" s="350"/>
      <c r="O46" s="350"/>
      <c r="P46" s="350"/>
      <c r="Q46" s="350"/>
      <c r="V46" s="1592" t="str">
        <f>V45</f>
        <v>kWh Annual Savings</v>
      </c>
      <c r="W46" s="2517"/>
      <c r="X46" s="2517"/>
      <c r="Y46" s="2517"/>
      <c r="Z46" s="2517"/>
      <c r="AA46" s="2517"/>
      <c r="AB46" s="2517"/>
      <c r="AC46" s="733">
        <v>80.33</v>
      </c>
      <c r="AD46" s="733">
        <v>761.38748500881786</v>
      </c>
      <c r="AE46" s="1592"/>
      <c r="AF46" s="1592"/>
      <c r="AG46" s="1592"/>
      <c r="AH46" s="199"/>
      <c r="AI46" s="199"/>
      <c r="BB46" s="819"/>
      <c r="BC46" s="2505" t="str">
        <f t="shared" si="17"/>
        <v>Heating RES 2 Year EUL</v>
      </c>
      <c r="BD46" s="2506">
        <f>(INDEX('Avoided Cost Benefits'!$E$4:$E$859,MATCH(BC46,'Avoided Cost Benefits'!$A$4:$A$859,0)))*F46</f>
        <v>42.043608887910487</v>
      </c>
      <c r="BE46" s="2507">
        <f t="shared" ref="BE46:BE48" si="20">K46/(1.0595^(2020-2019))</f>
        <v>0</v>
      </c>
    </row>
    <row r="47" spans="1:57" s="84" customFormat="1" x14ac:dyDescent="0.35">
      <c r="B47" s="350"/>
      <c r="C47" s="831" t="s">
        <v>4211</v>
      </c>
      <c r="D47" s="395" t="s">
        <v>2257</v>
      </c>
      <c r="E47" s="3099" t="s">
        <v>4215</v>
      </c>
      <c r="F47" s="1324">
        <f>G$58*G57*(1/G$59-1/G$60)/G$61</f>
        <v>172.64406576543647</v>
      </c>
      <c r="G47" s="1279" t="s">
        <v>257</v>
      </c>
      <c r="H47" s="393">
        <f>VLOOKUP(G47,'CP FACTORS'!$A$3:$B$38, 2, FALSE)</f>
        <v>9.4741810000000004E-4</v>
      </c>
      <c r="I47" s="1278">
        <f t="shared" si="19"/>
        <v>0.16356611276376487</v>
      </c>
      <c r="J47" s="830">
        <v>2</v>
      </c>
      <c r="K47" s="305">
        <f>G68</f>
        <v>185</v>
      </c>
      <c r="L47" s="831" t="s">
        <v>184</v>
      </c>
      <c r="M47" s="350"/>
      <c r="N47" s="350"/>
      <c r="O47" s="350"/>
      <c r="P47" s="350"/>
      <c r="Q47" s="350"/>
      <c r="V47" s="1592" t="str">
        <f>V45</f>
        <v>kWh Annual Savings</v>
      </c>
      <c r="W47" s="2517"/>
      <c r="X47" s="2517"/>
      <c r="Y47" s="2517"/>
      <c r="Z47" s="2517"/>
      <c r="AA47" s="2517"/>
      <c r="AB47" s="2517"/>
      <c r="AC47" s="733">
        <v>80.33</v>
      </c>
      <c r="AD47" s="733">
        <v>172.64406576543647</v>
      </c>
      <c r="AE47" s="1592"/>
      <c r="AF47" s="1592"/>
      <c r="AG47" s="1592"/>
      <c r="AH47" s="199"/>
      <c r="AI47" s="199"/>
      <c r="BB47" s="2504">
        <f>(BD47+BD48)/(BE47+BE48)</f>
        <v>0.27530568119207111</v>
      </c>
      <c r="BC47" s="2522" t="str">
        <f t="shared" si="17"/>
        <v>Cooling RES 2 Year EUL</v>
      </c>
      <c r="BD47" s="2506">
        <f>(INDEX('Avoided Cost Benefits'!$E$4:$E$859,MATCH(BC47,'Avoided Cost Benefits'!$A$4:$A$859,0)))*F47</f>
        <v>33.738259699093504</v>
      </c>
      <c r="BE47" s="2507">
        <f t="shared" si="20"/>
        <v>174.61066540821139</v>
      </c>
    </row>
    <row r="48" spans="1:57" s="84" customFormat="1" x14ac:dyDescent="0.35">
      <c r="B48" s="350"/>
      <c r="C48" s="831" t="s">
        <v>4211</v>
      </c>
      <c r="D48" s="395" t="s">
        <v>2257</v>
      </c>
      <c r="E48" s="3100" t="s">
        <v>4216</v>
      </c>
      <c r="F48" s="1324">
        <f>G$64*G63*(1/G$65-1/G$66)/G$61</f>
        <v>259.56391534391526</v>
      </c>
      <c r="G48" s="1279" t="s">
        <v>258</v>
      </c>
      <c r="H48" s="393">
        <f>VLOOKUP(G48,'CP FACTORS'!$A$3:$B$38, 2, FALSE)</f>
        <v>0</v>
      </c>
      <c r="I48" s="1278">
        <f t="shared" si="19"/>
        <v>0</v>
      </c>
      <c r="J48" s="830">
        <v>2</v>
      </c>
      <c r="K48" s="305">
        <f>G69</f>
        <v>0</v>
      </c>
      <c r="L48" s="831" t="s">
        <v>184</v>
      </c>
      <c r="M48" s="350"/>
      <c r="N48" s="350"/>
      <c r="O48" s="350"/>
      <c r="P48" s="350"/>
      <c r="Q48" s="350"/>
      <c r="V48" s="1592" t="str">
        <f>V47</f>
        <v>kWh Annual Savings</v>
      </c>
      <c r="W48" s="2517"/>
      <c r="X48" s="2517"/>
      <c r="Y48" s="2517"/>
      <c r="Z48" s="2517"/>
      <c r="AA48" s="2517"/>
      <c r="AB48" s="2517"/>
      <c r="AC48" s="733">
        <v>80.33</v>
      </c>
      <c r="AD48" s="733">
        <v>259.56391534391526</v>
      </c>
      <c r="AE48" s="1592"/>
      <c r="AF48" s="1592"/>
      <c r="AG48" s="1592"/>
      <c r="AH48" s="199"/>
      <c r="AI48" s="199"/>
      <c r="BB48" s="821"/>
      <c r="BC48" s="2505" t="str">
        <f t="shared" si="17"/>
        <v>Heating RES 2 Year EUL</v>
      </c>
      <c r="BD48" s="2508">
        <f>(INDEX('Avoided Cost Benefits'!$E$4:$E$859,MATCH(BC48,'Avoided Cost Benefits'!$A$4:$A$859,0)))*F48</f>
        <v>14.333048484514942</v>
      </c>
      <c r="BE48" s="2509">
        <f t="shared" si="20"/>
        <v>0</v>
      </c>
    </row>
    <row r="49" spans="2:57" s="133" customFormat="1" x14ac:dyDescent="0.35">
      <c r="C49" s="2490"/>
      <c r="D49" s="2510"/>
      <c r="E49" s="2510"/>
      <c r="F49" s="2510"/>
      <c r="G49" s="2491"/>
      <c r="H49" s="2491"/>
      <c r="I49" s="2491"/>
      <c r="J49" s="2491"/>
      <c r="K49" s="2491"/>
      <c r="L49" s="2491"/>
      <c r="M49" s="2491"/>
      <c r="R49" s="2500"/>
      <c r="Z49" s="2493"/>
      <c r="AA49" s="2493"/>
      <c r="AB49" s="1819"/>
      <c r="AC49" s="2493"/>
      <c r="AD49" s="84"/>
      <c r="AE49" s="84"/>
      <c r="AF49" s="84"/>
      <c r="AG49" s="84"/>
      <c r="AH49" s="84"/>
      <c r="AI49" s="84"/>
      <c r="AJ49" s="84"/>
      <c r="BB49" s="2511"/>
      <c r="BC49" s="2511"/>
      <c r="BD49" s="2511"/>
      <c r="BE49" s="2511"/>
    </row>
    <row r="50" spans="2:57" s="84" customFormat="1" hidden="1" outlineLevel="1" x14ac:dyDescent="0.35">
      <c r="B50" s="133"/>
      <c r="C50" s="836"/>
      <c r="D50" s="2500"/>
      <c r="E50" s="2500"/>
      <c r="F50" s="2512"/>
      <c r="G50" s="133"/>
      <c r="H50" s="133"/>
      <c r="I50" s="133"/>
      <c r="J50" s="133"/>
      <c r="K50" s="133"/>
      <c r="L50" s="133"/>
      <c r="M50" s="133"/>
      <c r="Q50" s="133"/>
      <c r="BB50" s="1819"/>
      <c r="BC50" s="1819"/>
      <c r="BD50" s="1819"/>
      <c r="BE50" s="1819"/>
    </row>
    <row r="51" spans="2:57" s="84" customFormat="1" hidden="1" outlineLevel="1" x14ac:dyDescent="0.35">
      <c r="B51" s="133"/>
      <c r="C51" s="836"/>
      <c r="D51" s="3066" t="s">
        <v>107</v>
      </c>
      <c r="E51" s="280"/>
      <c r="F51" s="1325"/>
      <c r="G51" s="132"/>
      <c r="H51" s="132"/>
      <c r="I51" s="132"/>
      <c r="J51" s="132"/>
      <c r="K51" s="132"/>
      <c r="L51" s="132"/>
      <c r="M51" s="133"/>
      <c r="Q51" s="133"/>
      <c r="BB51" s="1819"/>
      <c r="BC51" s="1819"/>
      <c r="BD51" s="1819"/>
      <c r="BE51" s="1819"/>
    </row>
    <row r="52" spans="2:57" s="84" customFormat="1" hidden="1" outlineLevel="1" x14ac:dyDescent="0.35">
      <c r="B52" s="133"/>
      <c r="C52" s="836"/>
      <c r="D52" s="1010"/>
      <c r="E52" s="1326"/>
      <c r="F52" s="1325"/>
      <c r="G52" s="132"/>
      <c r="H52" s="132"/>
      <c r="I52" s="132"/>
      <c r="J52" s="132"/>
      <c r="K52" s="132"/>
      <c r="L52" s="132"/>
      <c r="M52" s="133"/>
      <c r="Q52" s="133"/>
      <c r="BB52" s="1819"/>
      <c r="BC52" s="1819"/>
      <c r="BD52" s="1819"/>
      <c r="BE52" s="1819"/>
    </row>
    <row r="53" spans="2:57" s="84" customFormat="1" hidden="1" outlineLevel="1" x14ac:dyDescent="0.35">
      <c r="B53" s="133"/>
      <c r="C53" s="836"/>
      <c r="D53" s="1010"/>
      <c r="E53" s="280"/>
      <c r="F53" s="1325"/>
      <c r="G53" s="132"/>
      <c r="H53" s="132"/>
      <c r="I53" s="132"/>
      <c r="J53" s="132"/>
      <c r="K53" s="132"/>
      <c r="L53" s="132"/>
      <c r="M53" s="133"/>
      <c r="N53" s="133"/>
      <c r="O53" s="133"/>
      <c r="P53" s="133"/>
      <c r="Q53" s="133"/>
      <c r="BB53" s="1819"/>
      <c r="BC53" s="1819"/>
      <c r="BD53" s="1819"/>
      <c r="BE53" s="1819"/>
    </row>
    <row r="54" spans="2:57" s="84" customFormat="1" hidden="1" outlineLevel="1" x14ac:dyDescent="0.35">
      <c r="B54" s="133"/>
      <c r="C54" s="836"/>
      <c r="D54" s="131"/>
      <c r="E54" s="131"/>
      <c r="F54" s="132"/>
      <c r="G54" s="132"/>
      <c r="H54" s="132"/>
      <c r="I54" s="132"/>
      <c r="J54" s="132"/>
      <c r="K54" s="132"/>
      <c r="L54" s="132"/>
      <c r="M54" s="133"/>
      <c r="N54" s="133"/>
      <c r="O54" s="133"/>
      <c r="P54" s="133"/>
      <c r="Q54" s="133"/>
      <c r="BB54" s="1819"/>
      <c r="BC54" s="1819"/>
      <c r="BD54" s="1819"/>
      <c r="BE54" s="1819"/>
    </row>
    <row r="55" spans="2:57" s="84" customFormat="1" ht="15" hidden="1" customHeight="1" outlineLevel="1" x14ac:dyDescent="0.35">
      <c r="B55" s="2513"/>
      <c r="C55" s="836"/>
      <c r="D55" s="2423" t="s">
        <v>108</v>
      </c>
      <c r="E55" s="2423" t="s">
        <v>109</v>
      </c>
      <c r="F55" s="2423" t="s">
        <v>185</v>
      </c>
      <c r="G55" s="2331" t="s">
        <v>111</v>
      </c>
      <c r="H55" s="3825" t="s">
        <v>4192</v>
      </c>
      <c r="I55" s="4088"/>
      <c r="J55" s="4088"/>
      <c r="K55" s="4088"/>
      <c r="L55" s="3826"/>
      <c r="M55" s="2513"/>
      <c r="N55" s="133"/>
      <c r="O55" s="133"/>
      <c r="P55" s="133"/>
      <c r="Q55" s="2513"/>
      <c r="V55" s="480" t="s">
        <v>44</v>
      </c>
      <c r="W55" s="481">
        <f>W$6</f>
        <v>43252</v>
      </c>
      <c r="X55" s="481">
        <f t="shared" ref="X55:AG55" si="21">X$6</f>
        <v>43465</v>
      </c>
      <c r="Y55" s="481">
        <f t="shared" si="21"/>
        <v>43800</v>
      </c>
      <c r="Z55" s="481">
        <f t="shared" si="21"/>
        <v>43862</v>
      </c>
      <c r="AA55" s="481">
        <f t="shared" si="21"/>
        <v>44013</v>
      </c>
      <c r="AB55" s="481">
        <f t="shared" si="21"/>
        <v>44166</v>
      </c>
      <c r="AC55" s="481">
        <f t="shared" si="21"/>
        <v>44531</v>
      </c>
      <c r="AD55" s="481">
        <f t="shared" si="21"/>
        <v>44774</v>
      </c>
      <c r="AE55" s="481" t="str">
        <f t="shared" si="21"/>
        <v>-</v>
      </c>
      <c r="AF55" s="481" t="str">
        <f t="shared" si="21"/>
        <v>-</v>
      </c>
      <c r="AG55" s="481" t="str">
        <f t="shared" si="21"/>
        <v>-</v>
      </c>
      <c r="BB55" s="1819"/>
      <c r="BC55" s="1819"/>
      <c r="BD55" s="1819"/>
      <c r="BE55" s="1819"/>
    </row>
    <row r="56" spans="2:57" s="84" customFormat="1" ht="30" hidden="1" customHeight="1" outlineLevel="1" x14ac:dyDescent="0.35">
      <c r="B56" s="133"/>
      <c r="C56" s="836"/>
      <c r="D56" s="4239" t="s">
        <v>1541</v>
      </c>
      <c r="E56" s="4239" t="s">
        <v>1119</v>
      </c>
      <c r="F56" s="840" t="s">
        <v>313</v>
      </c>
      <c r="G56" s="1368">
        <v>869</v>
      </c>
      <c r="H56" s="3866" t="s">
        <v>513</v>
      </c>
      <c r="I56" s="4355"/>
      <c r="J56" s="4355"/>
      <c r="K56" s="4355"/>
      <c r="L56" s="3867"/>
      <c r="M56" s="133"/>
      <c r="N56" s="133"/>
      <c r="O56" s="133"/>
      <c r="P56" s="133"/>
      <c r="Q56" s="133"/>
      <c r="V56" s="4239" t="s">
        <v>1541</v>
      </c>
      <c r="W56" s="2517"/>
      <c r="X56" s="2517"/>
      <c r="Y56" s="2517"/>
      <c r="Z56" s="2517"/>
      <c r="AA56" s="2517"/>
      <c r="AB56" s="2517"/>
      <c r="AC56" s="804">
        <f>G56</f>
        <v>869</v>
      </c>
      <c r="AD56" s="1368">
        <v>869</v>
      </c>
      <c r="AE56" s="1368"/>
      <c r="AF56" s="1368"/>
      <c r="AG56" s="1368"/>
      <c r="BB56" s="1819"/>
      <c r="BC56" s="1819"/>
      <c r="BD56" s="1819"/>
      <c r="BE56" s="1819"/>
    </row>
    <row r="57" spans="2:57" s="84" customFormat="1" ht="30" hidden="1" customHeight="1" outlineLevel="1" x14ac:dyDescent="0.35">
      <c r="B57" s="133"/>
      <c r="C57" s="836"/>
      <c r="D57" s="3817"/>
      <c r="E57" s="3817"/>
      <c r="F57" s="840" t="s">
        <v>512</v>
      </c>
      <c r="G57" s="1368">
        <v>632</v>
      </c>
      <c r="H57" s="3866" t="s">
        <v>513</v>
      </c>
      <c r="I57" s="4355"/>
      <c r="J57" s="4355"/>
      <c r="K57" s="4355"/>
      <c r="L57" s="3867"/>
      <c r="M57" s="133"/>
      <c r="N57" s="133"/>
      <c r="O57" s="133"/>
      <c r="P57" s="133"/>
      <c r="Q57" s="133"/>
      <c r="V57" s="3817"/>
      <c r="W57" s="2517"/>
      <c r="X57" s="2517"/>
      <c r="Y57" s="2517"/>
      <c r="Z57" s="2517"/>
      <c r="AA57" s="2517"/>
      <c r="AB57" s="2517"/>
      <c r="AC57" s="804">
        <f t="shared" ref="AC57:AC68" si="22">G57</f>
        <v>632</v>
      </c>
      <c r="AD57" s="1368">
        <v>632</v>
      </c>
      <c r="AE57" s="1368"/>
      <c r="AF57" s="1368"/>
      <c r="AG57" s="1368"/>
      <c r="BB57" s="1819"/>
      <c r="BC57" s="1819"/>
      <c r="BD57" s="1819"/>
      <c r="BE57" s="1819"/>
    </row>
    <row r="58" spans="2:57" s="84" customFormat="1" ht="16.5" hidden="1" outlineLevel="1" x14ac:dyDescent="0.35">
      <c r="B58" s="133"/>
      <c r="C58" s="836"/>
      <c r="D58" s="2340" t="s">
        <v>1542</v>
      </c>
      <c r="E58" s="2340" t="s">
        <v>1512</v>
      </c>
      <c r="F58" s="840" t="s">
        <v>134</v>
      </c>
      <c r="G58" s="1368">
        <v>23610.600000000002</v>
      </c>
      <c r="H58" s="3866" t="s">
        <v>4187</v>
      </c>
      <c r="I58" s="4355"/>
      <c r="J58" s="4355"/>
      <c r="K58" s="4355"/>
      <c r="L58" s="3867"/>
      <c r="M58" s="133"/>
      <c r="N58" s="133"/>
      <c r="O58" s="133"/>
      <c r="P58" s="133"/>
      <c r="Q58" s="133"/>
      <c r="V58" s="2340" t="str">
        <f t="shared" ref="V58:V59" si="23">D58</f>
        <v>Capacitycool</v>
      </c>
      <c r="W58" s="2517"/>
      <c r="X58" s="2517"/>
      <c r="Y58" s="2517"/>
      <c r="Z58" s="2517"/>
      <c r="AA58" s="2517"/>
      <c r="AB58" s="2517"/>
      <c r="AC58" s="804">
        <f t="shared" si="22"/>
        <v>23610.600000000002</v>
      </c>
      <c r="AD58" s="1368">
        <v>23610.600000000002</v>
      </c>
      <c r="AE58" s="1368"/>
      <c r="AF58" s="1368"/>
      <c r="AG58" s="1368"/>
      <c r="BB58" s="1819"/>
      <c r="BC58" s="1819"/>
      <c r="BD58" s="1819"/>
      <c r="BE58" s="1819"/>
    </row>
    <row r="59" spans="2:57" s="84" customFormat="1" ht="105" hidden="1" customHeight="1" outlineLevel="1" x14ac:dyDescent="0.35">
      <c r="B59" s="133"/>
      <c r="C59" s="836"/>
      <c r="D59" s="2340" t="s">
        <v>2267</v>
      </c>
      <c r="E59" s="2340" t="s">
        <v>1545</v>
      </c>
      <c r="F59" s="840" t="s">
        <v>134</v>
      </c>
      <c r="G59" s="2413">
        <v>11.9</v>
      </c>
      <c r="H59" s="3866" t="s">
        <v>4191</v>
      </c>
      <c r="I59" s="4355"/>
      <c r="J59" s="4355"/>
      <c r="K59" s="4355"/>
      <c r="L59" s="3867"/>
      <c r="M59" s="133"/>
      <c r="N59" s="133"/>
      <c r="O59" s="133"/>
      <c r="P59" s="133"/>
      <c r="Q59" s="133"/>
      <c r="V59" s="2340" t="str">
        <f t="shared" si="23"/>
        <v>SEERtest-in</v>
      </c>
      <c r="W59" s="2517"/>
      <c r="X59" s="2517"/>
      <c r="Y59" s="2517"/>
      <c r="Z59" s="2517"/>
      <c r="AA59" s="2517"/>
      <c r="AB59" s="2517"/>
      <c r="AC59" s="174">
        <f t="shared" si="22"/>
        <v>11.9</v>
      </c>
      <c r="AD59" s="2975">
        <v>11.9</v>
      </c>
      <c r="AE59" s="2975"/>
      <c r="AF59" s="2975"/>
      <c r="AG59" s="2975"/>
      <c r="BB59" s="1819"/>
      <c r="BC59" s="1819"/>
      <c r="BD59" s="1819"/>
      <c r="BE59" s="1819"/>
    </row>
    <row r="60" spans="2:57" s="84" customFormat="1" ht="45" hidden="1" customHeight="1" outlineLevel="1" x14ac:dyDescent="0.35">
      <c r="B60" s="133"/>
      <c r="C60" s="836"/>
      <c r="D60" s="2340" t="s">
        <v>1551</v>
      </c>
      <c r="E60" s="2412" t="s">
        <v>1552</v>
      </c>
      <c r="F60" s="1449" t="s">
        <v>4186</v>
      </c>
      <c r="G60" s="2413">
        <v>13.8</v>
      </c>
      <c r="H60" s="3866" t="s">
        <v>4185</v>
      </c>
      <c r="I60" s="4355"/>
      <c r="J60" s="4355"/>
      <c r="K60" s="4355"/>
      <c r="L60" s="3867"/>
      <c r="M60" s="133"/>
      <c r="N60" s="133"/>
      <c r="O60" s="133"/>
      <c r="P60" s="133"/>
      <c r="Q60" s="133"/>
      <c r="V60" s="2340" t="str">
        <f>D60</f>
        <v>SEERtest-out</v>
      </c>
      <c r="W60" s="2517"/>
      <c r="X60" s="2517"/>
      <c r="Y60" s="2517"/>
      <c r="Z60" s="2517"/>
      <c r="AA60" s="2517"/>
      <c r="AB60" s="2517"/>
      <c r="AC60" s="174">
        <f t="shared" si="22"/>
        <v>13.8</v>
      </c>
      <c r="AD60" s="2975">
        <v>13.8</v>
      </c>
      <c r="AE60" s="2975"/>
      <c r="AF60" s="2975"/>
      <c r="AG60" s="2975"/>
      <c r="BB60" s="1819"/>
      <c r="BC60" s="1819"/>
      <c r="BD60" s="1819"/>
      <c r="BE60" s="1819"/>
    </row>
    <row r="61" spans="2:57" s="84" customFormat="1" hidden="1" outlineLevel="1" x14ac:dyDescent="0.35">
      <c r="B61" s="1660"/>
      <c r="C61" s="2514"/>
      <c r="D61" s="843">
        <v>1000</v>
      </c>
      <c r="E61" s="1367" t="s">
        <v>1553</v>
      </c>
      <c r="F61" s="840" t="s">
        <v>4175</v>
      </c>
      <c r="G61" s="1368">
        <v>1000</v>
      </c>
      <c r="H61" s="3820" t="s">
        <v>1554</v>
      </c>
      <c r="I61" s="3821"/>
      <c r="J61" s="3821"/>
      <c r="K61" s="3821"/>
      <c r="L61" s="3790"/>
      <c r="V61" s="2340">
        <f t="shared" ref="V61:V68" si="24">D61</f>
        <v>1000</v>
      </c>
      <c r="W61" s="2517"/>
      <c r="X61" s="2517"/>
      <c r="Y61" s="2517"/>
      <c r="Z61" s="2517"/>
      <c r="AA61" s="2517"/>
      <c r="AB61" s="2517"/>
      <c r="AC61" s="804">
        <f t="shared" si="22"/>
        <v>1000</v>
      </c>
      <c r="AD61" s="1368">
        <v>1000</v>
      </c>
      <c r="AE61" s="1368"/>
      <c r="AF61" s="1368"/>
      <c r="AG61" s="1368"/>
      <c r="BB61" s="1819"/>
      <c r="BC61" s="1819"/>
      <c r="BD61" s="1819"/>
      <c r="BE61" s="1819"/>
    </row>
    <row r="62" spans="2:57" s="84" customFormat="1" ht="15" hidden="1" customHeight="1" outlineLevel="1" x14ac:dyDescent="0.35">
      <c r="B62" s="1660"/>
      <c r="C62" s="2514"/>
      <c r="D62" s="4534" t="s">
        <v>1064</v>
      </c>
      <c r="E62" s="4321" t="s">
        <v>1108</v>
      </c>
      <c r="F62" s="840" t="s">
        <v>313</v>
      </c>
      <c r="G62" s="837">
        <v>1496</v>
      </c>
      <c r="H62" s="3820" t="s">
        <v>1508</v>
      </c>
      <c r="I62" s="3821"/>
      <c r="J62" s="3821"/>
      <c r="K62" s="3821"/>
      <c r="L62" s="3790"/>
      <c r="V62" s="4239" t="str">
        <f>D62</f>
        <v>EFLHheat</v>
      </c>
      <c r="W62" s="2517"/>
      <c r="X62" s="2517"/>
      <c r="Y62" s="2517"/>
      <c r="Z62" s="2517"/>
      <c r="AA62" s="2517"/>
      <c r="AB62" s="2517"/>
      <c r="AC62" s="804">
        <f t="shared" si="22"/>
        <v>1496</v>
      </c>
      <c r="AD62" s="1368">
        <v>1496</v>
      </c>
      <c r="AE62" s="1368"/>
      <c r="AF62" s="1368"/>
      <c r="AG62" s="1368"/>
      <c r="BB62" s="1819"/>
      <c r="BC62" s="1819"/>
      <c r="BD62" s="1819"/>
      <c r="BE62" s="1819"/>
    </row>
    <row r="63" spans="2:57" s="84" customFormat="1" ht="15" hidden="1" customHeight="1" outlineLevel="1" x14ac:dyDescent="0.35">
      <c r="B63" s="1660"/>
      <c r="C63" s="2514"/>
      <c r="D63" s="4535"/>
      <c r="E63" s="4322"/>
      <c r="F63" s="840" t="s">
        <v>315</v>
      </c>
      <c r="G63" s="837">
        <v>510</v>
      </c>
      <c r="H63" s="3820" t="s">
        <v>1508</v>
      </c>
      <c r="I63" s="3821"/>
      <c r="J63" s="3821"/>
      <c r="K63" s="3821"/>
      <c r="L63" s="3790"/>
      <c r="V63" s="3780"/>
      <c r="W63" s="2517"/>
      <c r="X63" s="2517"/>
      <c r="Y63" s="2517"/>
      <c r="Z63" s="2517"/>
      <c r="AA63" s="2517"/>
      <c r="AB63" s="2517"/>
      <c r="AC63" s="804">
        <f t="shared" si="22"/>
        <v>510</v>
      </c>
      <c r="AD63" s="1368">
        <v>510</v>
      </c>
      <c r="AE63" s="1368"/>
      <c r="AF63" s="1368"/>
      <c r="AG63" s="1368"/>
      <c r="BB63" s="1819"/>
      <c r="BC63" s="1819"/>
      <c r="BD63" s="1819"/>
      <c r="BE63" s="1819"/>
    </row>
    <row r="64" spans="2:57" s="84" customFormat="1" hidden="1" outlineLevel="1" x14ac:dyDescent="0.35">
      <c r="B64" s="1660"/>
      <c r="C64" s="2514"/>
      <c r="D64" s="2340" t="s">
        <v>1040</v>
      </c>
      <c r="E64" s="1367" t="s">
        <v>1105</v>
      </c>
      <c r="F64" s="840" t="s">
        <v>320</v>
      </c>
      <c r="G64" s="1368">
        <f>G58</f>
        <v>23610.600000000002</v>
      </c>
      <c r="H64" s="3820" t="s">
        <v>4190</v>
      </c>
      <c r="I64" s="3821"/>
      <c r="J64" s="3821"/>
      <c r="K64" s="3821"/>
      <c r="L64" s="3790"/>
      <c r="V64" s="2340" t="str">
        <f>D64</f>
        <v>Capacityheat</v>
      </c>
      <c r="W64" s="2517"/>
      <c r="X64" s="2517"/>
      <c r="Y64" s="2517"/>
      <c r="Z64" s="2517"/>
      <c r="AA64" s="2517"/>
      <c r="AB64" s="2517"/>
      <c r="AC64" s="804">
        <f t="shared" si="22"/>
        <v>23610.600000000002</v>
      </c>
      <c r="AD64" s="1368">
        <v>23610.600000000002</v>
      </c>
      <c r="AE64" s="1368"/>
      <c r="AF64" s="1368"/>
      <c r="AG64" s="1368"/>
      <c r="BB64" s="1819"/>
      <c r="BC64" s="1819"/>
      <c r="BD64" s="1819"/>
      <c r="BE64" s="1819"/>
    </row>
    <row r="65" spans="2:57" s="84" customFormat="1" ht="31.5" hidden="1" customHeight="1" outlineLevel="1" x14ac:dyDescent="0.35">
      <c r="B65" s="1660"/>
      <c r="C65" s="2514"/>
      <c r="D65" s="2340" t="s">
        <v>1820</v>
      </c>
      <c r="E65" s="1367" t="s">
        <v>1821</v>
      </c>
      <c r="F65" s="840" t="s">
        <v>4186</v>
      </c>
      <c r="G65" s="168">
        <v>6.3</v>
      </c>
      <c r="H65" s="3820" t="s">
        <v>1822</v>
      </c>
      <c r="I65" s="3821"/>
      <c r="J65" s="3821"/>
      <c r="K65" s="3821"/>
      <c r="L65" s="3790"/>
      <c r="V65" s="2340" t="str">
        <f>D65</f>
        <v>HSPFtest-in</v>
      </c>
      <c r="W65" s="2517"/>
      <c r="X65" s="2517"/>
      <c r="Y65" s="2517"/>
      <c r="Z65" s="2517"/>
      <c r="AA65" s="2517"/>
      <c r="AB65" s="2517"/>
      <c r="AC65" s="165">
        <f t="shared" si="22"/>
        <v>6.3</v>
      </c>
      <c r="AD65" s="168">
        <v>6.3</v>
      </c>
      <c r="AE65" s="168"/>
      <c r="AF65" s="168"/>
      <c r="AG65" s="168"/>
      <c r="BB65" s="1819"/>
      <c r="BC65" s="1819"/>
      <c r="BD65" s="1819"/>
      <c r="BE65" s="1819"/>
    </row>
    <row r="66" spans="2:57" s="84" customFormat="1" ht="31.5" hidden="1" customHeight="1" outlineLevel="1" x14ac:dyDescent="0.35">
      <c r="B66" s="1660"/>
      <c r="C66" s="2514"/>
      <c r="D66" s="2340" t="s">
        <v>1824</v>
      </c>
      <c r="E66" s="1367" t="s">
        <v>4189</v>
      </c>
      <c r="F66" s="840" t="s">
        <v>4186</v>
      </c>
      <c r="G66" s="168">
        <v>7.29</v>
      </c>
      <c r="H66" s="3820" t="s">
        <v>4185</v>
      </c>
      <c r="I66" s="3821"/>
      <c r="J66" s="3821"/>
      <c r="K66" s="3821"/>
      <c r="L66" s="3790"/>
      <c r="V66" s="2340" t="str">
        <f>D66</f>
        <v>HSPFtest-out</v>
      </c>
      <c r="W66" s="2517"/>
      <c r="X66" s="2517"/>
      <c r="Y66" s="2517"/>
      <c r="Z66" s="2517"/>
      <c r="AA66" s="2517"/>
      <c r="AB66" s="2517"/>
      <c r="AC66" s="165">
        <f t="shared" si="22"/>
        <v>7.29</v>
      </c>
      <c r="AD66" s="168">
        <v>7.29</v>
      </c>
      <c r="AE66" s="168"/>
      <c r="AF66" s="168"/>
      <c r="AG66" s="168"/>
      <c r="BB66" s="1819"/>
      <c r="BC66" s="1819"/>
      <c r="BD66" s="1819"/>
      <c r="BE66" s="1819"/>
    </row>
    <row r="67" spans="2:57" s="133" customFormat="1" ht="31.5" hidden="1" customHeight="1" outlineLevel="1" x14ac:dyDescent="0.35">
      <c r="C67" s="836"/>
      <c r="D67" s="2476" t="str">
        <f>$J$6</f>
        <v>EUL</v>
      </c>
      <c r="E67" s="1367" t="s">
        <v>166</v>
      </c>
      <c r="F67" s="840" t="s">
        <v>134</v>
      </c>
      <c r="G67" s="830">
        <v>2</v>
      </c>
      <c r="H67" s="3820" t="s">
        <v>1811</v>
      </c>
      <c r="I67" s="3821"/>
      <c r="J67" s="3821"/>
      <c r="K67" s="3821"/>
      <c r="L67" s="3790"/>
      <c r="V67" s="2335" t="str">
        <f t="shared" si="24"/>
        <v>EUL</v>
      </c>
      <c r="W67" s="2517"/>
      <c r="X67" s="2517"/>
      <c r="Y67" s="2517"/>
      <c r="Z67" s="2517"/>
      <c r="AA67" s="2517"/>
      <c r="AB67" s="2517"/>
      <c r="AC67" s="165">
        <f t="shared" si="22"/>
        <v>2</v>
      </c>
      <c r="AD67" s="168">
        <v>2</v>
      </c>
      <c r="AE67" s="168"/>
      <c r="AF67" s="168"/>
      <c r="AG67" s="168"/>
      <c r="AU67" s="1897"/>
      <c r="BB67" s="1898"/>
      <c r="BC67" s="1898"/>
      <c r="BD67" s="1898"/>
      <c r="BE67" s="1898"/>
    </row>
    <row r="68" spans="2:57" s="133" customFormat="1" ht="31.5" hidden="1" customHeight="1" outlineLevel="1" x14ac:dyDescent="0.35">
      <c r="C68" s="836"/>
      <c r="D68" s="2396" t="s">
        <v>169</v>
      </c>
      <c r="E68" s="1367" t="s">
        <v>527</v>
      </c>
      <c r="F68" s="1449" t="s">
        <v>4186</v>
      </c>
      <c r="G68" s="305">
        <f>G39</f>
        <v>185</v>
      </c>
      <c r="H68" s="3820" t="s">
        <v>4201</v>
      </c>
      <c r="I68" s="3821"/>
      <c r="J68" s="3821"/>
      <c r="K68" s="3821"/>
      <c r="L68" s="3790"/>
      <c r="V68" s="2335" t="str">
        <f t="shared" si="24"/>
        <v>Inc. Cost</v>
      </c>
      <c r="W68" s="2517"/>
      <c r="X68" s="2517"/>
      <c r="Y68" s="2517"/>
      <c r="Z68" s="2517"/>
      <c r="AA68" s="2517"/>
      <c r="AB68" s="2517"/>
      <c r="AC68" s="804">
        <f t="shared" si="22"/>
        <v>185</v>
      </c>
      <c r="AD68" s="1368">
        <v>185</v>
      </c>
      <c r="AE68" s="1368"/>
      <c r="AF68" s="1368"/>
      <c r="AG68" s="1368"/>
      <c r="AU68" s="1897"/>
      <c r="BB68" s="1898"/>
      <c r="BC68" s="1898"/>
      <c r="BD68" s="1898"/>
      <c r="BE68" s="1898"/>
    </row>
    <row r="69" spans="2:57" s="84" customFormat="1" hidden="1" outlineLevel="1" x14ac:dyDescent="0.35">
      <c r="B69" s="1660"/>
      <c r="C69" s="2514"/>
      <c r="D69" s="2515"/>
      <c r="E69" s="2515"/>
      <c r="F69" s="1660"/>
      <c r="G69" s="1660"/>
      <c r="H69" s="1660"/>
      <c r="I69" s="1660"/>
      <c r="J69" s="1660"/>
      <c r="K69" s="1660"/>
      <c r="L69" s="1660"/>
      <c r="BB69" s="1819"/>
      <c r="BC69" s="1819"/>
      <c r="BD69" s="1819"/>
      <c r="BE69" s="1819"/>
    </row>
    <row r="70" spans="2:57" s="84" customFormat="1" collapsed="1" x14ac:dyDescent="0.35">
      <c r="B70" s="1660"/>
      <c r="C70" s="2514"/>
      <c r="D70" s="2515"/>
      <c r="E70" s="2515"/>
      <c r="F70" s="1660"/>
      <c r="G70" s="1660"/>
      <c r="H70" s="1660"/>
      <c r="I70" s="1660"/>
      <c r="J70" s="1660"/>
      <c r="K70" s="1660"/>
      <c r="L70" s="1660"/>
      <c r="BB70" s="1819"/>
    </row>
    <row r="71" spans="2:57" x14ac:dyDescent="0.35">
      <c r="B71" s="3664" t="s">
        <v>1579</v>
      </c>
      <c r="C71" s="3665"/>
      <c r="D71" s="3665"/>
      <c r="E71" s="3665"/>
      <c r="F71" s="3665"/>
      <c r="G71" s="3665"/>
      <c r="H71" s="3665"/>
      <c r="I71" s="3666"/>
      <c r="J71" s="3666"/>
      <c r="K71" s="3666"/>
      <c r="L71" s="3666"/>
      <c r="M71" s="3666"/>
      <c r="N71" s="3666"/>
      <c r="O71" s="3666"/>
      <c r="P71" s="3666"/>
      <c r="Q71" s="3667"/>
      <c r="V71" s="3664" t="str">
        <f>B71</f>
        <v>Ceiling Insulation</v>
      </c>
      <c r="W71" s="3665"/>
      <c r="X71" s="3665"/>
      <c r="Y71" s="3665"/>
      <c r="Z71" s="3665"/>
      <c r="AA71" s="3665"/>
      <c r="AB71" s="3665"/>
      <c r="AC71" s="3680"/>
      <c r="AD71" s="3680"/>
      <c r="AE71" s="3680"/>
      <c r="AF71" s="3680"/>
      <c r="AG71" s="3680"/>
      <c r="AH71" s="3680"/>
      <c r="AI71" s="3681"/>
    </row>
    <row r="72" spans="2:57" x14ac:dyDescent="0.35">
      <c r="B72" s="1230"/>
      <c r="C72" s="197"/>
      <c r="D72" s="367"/>
      <c r="E72" s="367"/>
      <c r="F72" s="198"/>
      <c r="G72" s="198"/>
      <c r="H72" s="198"/>
      <c r="I72" s="198"/>
      <c r="J72" s="198"/>
      <c r="K72" s="198"/>
      <c r="L72" s="1219"/>
      <c r="M72" s="199"/>
      <c r="N72" s="199"/>
      <c r="O72" s="199"/>
      <c r="P72" s="199"/>
      <c r="Q72" s="199"/>
    </row>
    <row r="73" spans="2:57" ht="29" x14ac:dyDescent="0.35">
      <c r="B73" s="1040"/>
      <c r="C73" s="2331" t="s">
        <v>27</v>
      </c>
      <c r="D73" s="2331" t="s">
        <v>174</v>
      </c>
      <c r="E73" s="2331" t="s">
        <v>29</v>
      </c>
      <c r="F73" s="2331" t="s">
        <v>30</v>
      </c>
      <c r="G73" s="2331" t="s">
        <v>175</v>
      </c>
      <c r="H73" s="2331" t="s">
        <v>176</v>
      </c>
      <c r="I73" s="2331" t="s">
        <v>493</v>
      </c>
      <c r="J73" s="2331" t="s">
        <v>494</v>
      </c>
      <c r="K73" s="2331" t="s">
        <v>31</v>
      </c>
      <c r="L73" s="2363" t="s">
        <v>180</v>
      </c>
      <c r="M73" s="2331" t="s">
        <v>169</v>
      </c>
      <c r="N73" s="2331" t="s">
        <v>1580</v>
      </c>
      <c r="V73" s="1572" t="s">
        <v>44</v>
      </c>
      <c r="W73" s="1573">
        <f>W$6</f>
        <v>43252</v>
      </c>
      <c r="X73" s="1573">
        <f t="shared" ref="X73:AG73" si="25">X$6</f>
        <v>43465</v>
      </c>
      <c r="Y73" s="1573">
        <f t="shared" si="25"/>
        <v>43800</v>
      </c>
      <c r="Z73" s="1573">
        <f t="shared" si="25"/>
        <v>43862</v>
      </c>
      <c r="AA73" s="1573">
        <f t="shared" si="25"/>
        <v>44013</v>
      </c>
      <c r="AB73" s="1573">
        <f t="shared" si="25"/>
        <v>44166</v>
      </c>
      <c r="AC73" s="1573">
        <f t="shared" si="25"/>
        <v>44531</v>
      </c>
      <c r="AD73" s="1573">
        <f t="shared" si="25"/>
        <v>44774</v>
      </c>
      <c r="AE73" s="1573" t="str">
        <f t="shared" si="25"/>
        <v>-</v>
      </c>
      <c r="AF73" s="1573" t="str">
        <f t="shared" si="25"/>
        <v>-</v>
      </c>
      <c r="AG73" s="1573" t="str">
        <f t="shared" si="25"/>
        <v>-</v>
      </c>
      <c r="BB73" s="1574" t="str">
        <f>$BB$6</f>
        <v>TRC (2022)</v>
      </c>
      <c r="BC73" s="1584" t="str">
        <f>$BC$6</f>
        <v>Benefit Lookup</v>
      </c>
      <c r="BD73" s="556" t="str">
        <f>$BD$6</f>
        <v>Benefits (2019 $)</v>
      </c>
      <c r="BE73" s="200" t="str">
        <f>$BE$6</f>
        <v>Incremental Cost (2019 $)</v>
      </c>
    </row>
    <row r="74" spans="2:57" x14ac:dyDescent="0.35">
      <c r="B74" s="1040"/>
      <c r="C74" s="2388" t="s">
        <v>2272</v>
      </c>
      <c r="D74" s="395" t="s">
        <v>2254</v>
      </c>
      <c r="E74" s="2381" t="s">
        <v>2273</v>
      </c>
      <c r="F74" s="501">
        <f>ROUND(I74+J74,2)</f>
        <v>1.06</v>
      </c>
      <c r="G74" s="395" t="s">
        <v>1558</v>
      </c>
      <c r="H74" s="136">
        <f>VLOOKUP(G74,'CP FACTORS'!$A$3:$B$38, 2, FALSE)</f>
        <v>4.6608050000000002E-4</v>
      </c>
      <c r="I74" s="820">
        <f t="shared" ref="I74:I83" si="26">F94*(1/(F104+5)-1/(F114+5))*F124*(1-F$134)*F$135*24*F$136/(F137*3412)+(F147*F$157*29.3)</f>
        <v>0.95509376709652194</v>
      </c>
      <c r="J74" s="1231">
        <f t="shared" ref="J74:J83" si="27">F160*(1/(F104+5)-1/(F114+5))*F124*(1-F$134)*F$158*24*F$159/(F170*1000)</f>
        <v>0.10025449318181817</v>
      </c>
      <c r="K74" s="742">
        <f>ROUND(H74*F74,6)</f>
        <v>4.9399999999999997E-4</v>
      </c>
      <c r="L74" s="820">
        <f t="shared" ref="L74:L83" si="28">$F$180</f>
        <v>25</v>
      </c>
      <c r="M74" s="1014">
        <f t="shared" ref="M74:M83" si="29">F181</f>
        <v>2.1249043458397581</v>
      </c>
      <c r="N74" s="820">
        <f t="shared" ref="N74:N83" si="30">F124</f>
        <v>1</v>
      </c>
      <c r="V74" s="141" t="str">
        <f>F73</f>
        <v>kWh Annual Savings</v>
      </c>
      <c r="W74" s="546">
        <v>924.01016928670083</v>
      </c>
      <c r="X74" s="938">
        <v>924.01016928670083</v>
      </c>
      <c r="Y74" s="1493">
        <v>1.06</v>
      </c>
      <c r="Z74" s="1015">
        <v>1.06</v>
      </c>
      <c r="AA74" s="1015">
        <v>1.06</v>
      </c>
      <c r="AB74" s="1798">
        <v>1.06</v>
      </c>
      <c r="AC74" s="501">
        <v>1.06</v>
      </c>
      <c r="AD74" s="479">
        <v>1.06</v>
      </c>
      <c r="AE74" s="141"/>
      <c r="AF74" s="141"/>
      <c r="AG74" s="141"/>
      <c r="BB74" s="1578">
        <f t="shared" ref="BB74:BB83" si="31">(BD74)/(BE74)</f>
        <v>0.71174377987678994</v>
      </c>
      <c r="BC74" s="2381" t="str">
        <f>CONCATENATE(G74," ",L74," Year EUL")</f>
        <v>Building Shell RES 25 Year EUL</v>
      </c>
      <c r="BD74" s="95">
        <f>(INDEX('Avoided Cost Benefits'!$E$4:$E$859,MATCH(BC74,'Avoided Cost Benefits'!$A$4:$A$859,0)))*F74</f>
        <v>1.4274539414673024</v>
      </c>
      <c r="BE74" s="1579">
        <f>M74/(1.0595^(2020-2019))</f>
        <v>2.0055727662480018</v>
      </c>
    </row>
    <row r="75" spans="2:57" x14ac:dyDescent="0.35">
      <c r="B75" s="1040"/>
      <c r="C75" s="2388" t="s">
        <v>2274</v>
      </c>
      <c r="D75" s="395" t="s">
        <v>2254</v>
      </c>
      <c r="E75" s="2381" t="s">
        <v>2275</v>
      </c>
      <c r="F75" s="501">
        <f t="shared" ref="F75:F83" si="32">ROUND(I75+J75,2)</f>
        <v>0.53</v>
      </c>
      <c r="G75" s="395" t="s">
        <v>1558</v>
      </c>
      <c r="H75" s="136">
        <f>VLOOKUP(G75,'CP FACTORS'!$A$3:$B$38, 2, FALSE)</f>
        <v>4.6608050000000002E-4</v>
      </c>
      <c r="I75" s="820">
        <f t="shared" si="26"/>
        <v>0.42227362172751165</v>
      </c>
      <c r="J75" s="1231">
        <f t="shared" si="27"/>
        <v>0.11016977272727271</v>
      </c>
      <c r="K75" s="742">
        <f t="shared" ref="K75:K83" si="33">ROUND(H75*F75,6)</f>
        <v>2.4699999999999999E-4</v>
      </c>
      <c r="L75" s="820">
        <f t="shared" si="28"/>
        <v>25</v>
      </c>
      <c r="M75" s="1014">
        <f t="shared" si="29"/>
        <v>2.1249043458397581</v>
      </c>
      <c r="N75" s="820">
        <f t="shared" si="30"/>
        <v>1</v>
      </c>
      <c r="V75" s="141" t="str">
        <f>V74</f>
        <v>kWh Annual Savings</v>
      </c>
      <c r="W75" s="546">
        <v>466.18081401488644</v>
      </c>
      <c r="X75" s="938">
        <v>466.18081401488644</v>
      </c>
      <c r="Y75" s="1493">
        <v>0.53</v>
      </c>
      <c r="Z75" s="1015">
        <v>0.53</v>
      </c>
      <c r="AA75" s="1015">
        <v>0.53</v>
      </c>
      <c r="AB75" s="1798">
        <v>0.53</v>
      </c>
      <c r="AC75" s="501">
        <v>0.53</v>
      </c>
      <c r="AD75" s="479">
        <v>0.53</v>
      </c>
      <c r="AE75" s="141"/>
      <c r="AF75" s="141"/>
      <c r="AG75" s="141"/>
      <c r="BB75" s="40">
        <f t="shared" si="31"/>
        <v>0.35587188993839497</v>
      </c>
      <c r="BC75" s="1580" t="str">
        <f t="shared" ref="BC75:BC83" si="34">CONCATENATE(G75," ",L75," Year EUL")</f>
        <v>Building Shell RES 25 Year EUL</v>
      </c>
      <c r="BD75" s="98">
        <f>(INDEX('Avoided Cost Benefits'!$E$4:$E$859,MATCH(BC75,'Avoided Cost Benefits'!$A$4:$A$859,0)))*F75</f>
        <v>0.71372697073365121</v>
      </c>
      <c r="BE75" s="1581">
        <f t="shared" ref="BE75:BE83" si="35">M75/(1.0595^(2020-2019))</f>
        <v>2.0055727662480018</v>
      </c>
    </row>
    <row r="76" spans="2:57" x14ac:dyDescent="0.35">
      <c r="B76" s="1040"/>
      <c r="C76" s="2388" t="s">
        <v>2276</v>
      </c>
      <c r="D76" s="395" t="s">
        <v>2254</v>
      </c>
      <c r="E76" s="2381" t="s">
        <v>2277</v>
      </c>
      <c r="F76" s="501">
        <f t="shared" si="32"/>
        <v>1.71</v>
      </c>
      <c r="G76" s="395" t="s">
        <v>1558</v>
      </c>
      <c r="H76" s="136">
        <f>VLOOKUP(G76,'CP FACTORS'!$A$3:$B$38, 2, FALSE)</f>
        <v>4.6608050000000002E-4</v>
      </c>
      <c r="I76" s="820">
        <f t="shared" si="26"/>
        <v>1.5511297270139006</v>
      </c>
      <c r="J76" s="1231">
        <f t="shared" si="27"/>
        <v>0.1628193272727273</v>
      </c>
      <c r="K76" s="742">
        <f t="shared" si="33"/>
        <v>7.9699999999999997E-4</v>
      </c>
      <c r="L76" s="820">
        <f t="shared" si="28"/>
        <v>25</v>
      </c>
      <c r="M76" s="1014">
        <f t="shared" si="29"/>
        <v>1.1631103074141049</v>
      </c>
      <c r="N76" s="820">
        <f t="shared" si="30"/>
        <v>1</v>
      </c>
      <c r="V76" s="141" t="str">
        <f t="shared" ref="V76:V83" si="36">V75</f>
        <v>kWh Annual Savings</v>
      </c>
      <c r="W76" s="546">
        <v>1232.157975126657</v>
      </c>
      <c r="X76" s="938">
        <v>1232.157975126657</v>
      </c>
      <c r="Y76" s="1493">
        <v>1.71</v>
      </c>
      <c r="Z76" s="1015">
        <v>1.71</v>
      </c>
      <c r="AA76" s="1015">
        <v>1.71</v>
      </c>
      <c r="AB76" s="1798">
        <v>1.71</v>
      </c>
      <c r="AC76" s="501">
        <v>1.71</v>
      </c>
      <c r="AD76" s="479">
        <v>1.71</v>
      </c>
      <c r="AE76" s="141"/>
      <c r="AF76" s="141"/>
      <c r="AG76" s="141"/>
      <c r="BB76" s="40">
        <f t="shared" si="31"/>
        <v>2.0976470027142793</v>
      </c>
      <c r="BC76" s="1580" t="str">
        <f t="shared" si="34"/>
        <v>Building Shell RES 25 Year EUL</v>
      </c>
      <c r="BD76" s="98">
        <f>(INDEX('Avoided Cost Benefits'!$E$4:$E$859,MATCH(BC76,'Avoided Cost Benefits'!$A$4:$A$859,0)))*F76</f>
        <v>2.3027794716123462</v>
      </c>
      <c r="BE76" s="1581">
        <f t="shared" si="35"/>
        <v>1.0977917011931144</v>
      </c>
    </row>
    <row r="77" spans="2:57" x14ac:dyDescent="0.35">
      <c r="B77" s="1040"/>
      <c r="C77" s="2388" t="s">
        <v>2278</v>
      </c>
      <c r="D77" s="395" t="s">
        <v>2254</v>
      </c>
      <c r="E77" s="2381" t="s">
        <v>2279</v>
      </c>
      <c r="F77" s="501">
        <f t="shared" si="32"/>
        <v>0.86</v>
      </c>
      <c r="G77" s="395" t="s">
        <v>1558</v>
      </c>
      <c r="H77" s="136">
        <f>VLOOKUP(G77,'CP FACTORS'!$A$3:$B$38, 2, FALSE)</f>
        <v>4.6608050000000002E-4</v>
      </c>
      <c r="I77" s="820">
        <f t="shared" si="26"/>
        <v>0.68579776160257533</v>
      </c>
      <c r="J77" s="1231">
        <f t="shared" si="27"/>
        <v>0.17892233766233767</v>
      </c>
      <c r="K77" s="742">
        <f t="shared" si="33"/>
        <v>4.0099999999999999E-4</v>
      </c>
      <c r="L77" s="820">
        <f t="shared" si="28"/>
        <v>25</v>
      </c>
      <c r="M77" s="1014">
        <f t="shared" si="29"/>
        <v>1.1631103074141049</v>
      </c>
      <c r="N77" s="820">
        <f t="shared" si="30"/>
        <v>1</v>
      </c>
      <c r="V77" s="141" t="str">
        <f t="shared" si="36"/>
        <v>kWh Annual Savings</v>
      </c>
      <c r="W77" s="546">
        <v>621.647279361546</v>
      </c>
      <c r="X77" s="938">
        <v>621.647279361546</v>
      </c>
      <c r="Y77" s="1493">
        <v>0.86</v>
      </c>
      <c r="Z77" s="1015">
        <v>0.86</v>
      </c>
      <c r="AA77" s="1015">
        <v>0.86</v>
      </c>
      <c r="AB77" s="1798">
        <v>0.86</v>
      </c>
      <c r="AC77" s="501">
        <v>0.86</v>
      </c>
      <c r="AD77" s="479">
        <v>0.86</v>
      </c>
      <c r="AE77" s="141"/>
      <c r="AF77" s="141"/>
      <c r="AG77" s="141"/>
      <c r="BB77" s="40">
        <f t="shared" si="31"/>
        <v>1.0549569721253103</v>
      </c>
      <c r="BC77" s="1580" t="str">
        <f t="shared" si="34"/>
        <v>Building Shell RES 25 Year EUL</v>
      </c>
      <c r="BD77" s="98">
        <f>(INDEX('Avoided Cost Benefits'!$E$4:$E$859,MATCH(BC77,'Avoided Cost Benefits'!$A$4:$A$859,0)))*F77</f>
        <v>1.1581230091149812</v>
      </c>
      <c r="BE77" s="1581">
        <f t="shared" si="35"/>
        <v>1.0977917011931144</v>
      </c>
    </row>
    <row r="78" spans="2:57" x14ac:dyDescent="0.35">
      <c r="B78" s="1040"/>
      <c r="C78" s="2388" t="s">
        <v>2280</v>
      </c>
      <c r="D78" s="395" t="s">
        <v>2254</v>
      </c>
      <c r="E78" s="2381" t="s">
        <v>2281</v>
      </c>
      <c r="F78" s="501">
        <f t="shared" si="32"/>
        <v>1.84</v>
      </c>
      <c r="G78" s="395" t="s">
        <v>1558</v>
      </c>
      <c r="H78" s="136">
        <f>VLOOKUP(G78,'CP FACTORS'!$A$3:$B$38, 2, FALSE)</f>
        <v>4.6608050000000002E-4</v>
      </c>
      <c r="I78" s="820">
        <f t="shared" si="26"/>
        <v>1.6665626369312141</v>
      </c>
      <c r="J78" s="1231">
        <f t="shared" si="27"/>
        <v>0.17493611441860468</v>
      </c>
      <c r="K78" s="742">
        <f t="shared" si="33"/>
        <v>8.5800000000000004E-4</v>
      </c>
      <c r="L78" s="820">
        <f t="shared" si="28"/>
        <v>25</v>
      </c>
      <c r="M78" s="1014">
        <f t="shared" si="29"/>
        <v>1.6810404785088331</v>
      </c>
      <c r="N78" s="820">
        <f t="shared" si="30"/>
        <v>1</v>
      </c>
      <c r="V78" s="141" t="str">
        <f t="shared" si="36"/>
        <v>kWh Annual Savings</v>
      </c>
      <c r="W78" s="546">
        <v>1323.8534523453845</v>
      </c>
      <c r="X78" s="938">
        <v>1323.8534523453845</v>
      </c>
      <c r="Y78" s="1493">
        <v>1.84</v>
      </c>
      <c r="Z78" s="1015">
        <v>1.84</v>
      </c>
      <c r="AA78" s="1015">
        <v>1.84</v>
      </c>
      <c r="AB78" s="1798">
        <v>1.84</v>
      </c>
      <c r="AC78" s="501">
        <v>1.84</v>
      </c>
      <c r="AD78" s="479">
        <v>1.84</v>
      </c>
      <c r="AE78" s="141"/>
      <c r="AF78" s="141"/>
      <c r="AG78" s="141"/>
      <c r="BB78" s="40">
        <f t="shared" si="31"/>
        <v>1.5616972723582285</v>
      </c>
      <c r="BC78" s="1580" t="str">
        <f t="shared" si="34"/>
        <v>Building Shell RES 25 Year EUL</v>
      </c>
      <c r="BD78" s="98">
        <f>(INDEX('Avoided Cost Benefits'!$E$4:$E$859,MATCH(BC78,'Avoided Cost Benefits'!$A$4:$A$859,0)))*F78</f>
        <v>2.4778445776413549</v>
      </c>
      <c r="BE78" s="1581">
        <f t="shared" si="35"/>
        <v>1.5866356569219753</v>
      </c>
    </row>
    <row r="79" spans="2:57" x14ac:dyDescent="0.35">
      <c r="B79" s="1040"/>
      <c r="C79" s="2388" t="s">
        <v>2282</v>
      </c>
      <c r="D79" s="395" t="s">
        <v>2254</v>
      </c>
      <c r="E79" s="2381" t="s">
        <v>2283</v>
      </c>
      <c r="F79" s="501">
        <f>ROUND(I79+J79,2)</f>
        <v>0.93</v>
      </c>
      <c r="G79" s="395" t="s">
        <v>1558</v>
      </c>
      <c r="H79" s="136">
        <f>VLOOKUP(G79,'CP FACTORS'!$A$3:$B$38, 2, FALSE)</f>
        <v>4.6608050000000002E-4</v>
      </c>
      <c r="I79" s="820">
        <f t="shared" si="26"/>
        <v>0.73683387409392986</v>
      </c>
      <c r="J79" s="1231">
        <f t="shared" si="27"/>
        <v>0.19223748837209306</v>
      </c>
      <c r="K79" s="742">
        <f t="shared" si="33"/>
        <v>4.3300000000000001E-4</v>
      </c>
      <c r="L79" s="820">
        <f t="shared" si="28"/>
        <v>25</v>
      </c>
      <c r="M79" s="1014">
        <f t="shared" si="29"/>
        <v>1.6810404785088331</v>
      </c>
      <c r="N79" s="820">
        <f t="shared" si="30"/>
        <v>1</v>
      </c>
      <c r="V79" s="141" t="str">
        <f t="shared" si="36"/>
        <v>kWh Annual Savings</v>
      </c>
      <c r="W79" s="546">
        <v>667.90940247682386</v>
      </c>
      <c r="X79" s="938">
        <v>667.90940247682386</v>
      </c>
      <c r="Y79" s="1493">
        <v>0.93</v>
      </c>
      <c r="Z79" s="1015">
        <v>0.93</v>
      </c>
      <c r="AA79" s="1015">
        <v>0.93</v>
      </c>
      <c r="AB79" s="1798">
        <v>0.93</v>
      </c>
      <c r="AC79" s="501">
        <v>0.93</v>
      </c>
      <c r="AD79" s="479">
        <v>0.93</v>
      </c>
      <c r="AE79" s="141"/>
      <c r="AF79" s="141"/>
      <c r="AG79" s="141"/>
      <c r="BB79" s="40">
        <f t="shared" si="31"/>
        <v>0.78933612135497433</v>
      </c>
      <c r="BC79" s="1580" t="str">
        <f t="shared" si="34"/>
        <v>Building Shell RES 25 Year EUL</v>
      </c>
      <c r="BD79" s="98">
        <f>(INDEX('Avoided Cost Benefits'!$E$4:$E$859,MATCH(BC79,'Avoided Cost Benefits'!$A$4:$A$859,0)))*F79</f>
        <v>1.2523888354382937</v>
      </c>
      <c r="BE79" s="1581">
        <f t="shared" si="35"/>
        <v>1.5866356569219753</v>
      </c>
    </row>
    <row r="80" spans="2:57" x14ac:dyDescent="0.35">
      <c r="B80" s="1040"/>
      <c r="C80" s="2388" t="s">
        <v>2284</v>
      </c>
      <c r="D80" s="395" t="s">
        <v>2254</v>
      </c>
      <c r="E80" s="2381" t="s">
        <v>2285</v>
      </c>
      <c r="F80" s="501">
        <f t="shared" si="32"/>
        <v>1.96</v>
      </c>
      <c r="G80" s="395" t="s">
        <v>1558</v>
      </c>
      <c r="H80" s="136">
        <f>VLOOKUP(G80,'CP FACTORS'!$A$3:$B$38, 2, FALSE)</f>
        <v>4.6608050000000002E-4</v>
      </c>
      <c r="I80" s="820">
        <f t="shared" si="26"/>
        <v>1.76943687377882</v>
      </c>
      <c r="J80" s="1231">
        <f t="shared" si="27"/>
        <v>0.18573464000000001</v>
      </c>
      <c r="K80" s="742">
        <f t="shared" si="33"/>
        <v>9.1399999999999999E-4</v>
      </c>
      <c r="L80" s="820">
        <f t="shared" si="28"/>
        <v>25</v>
      </c>
      <c r="M80" s="1014">
        <f t="shared" si="29"/>
        <v>2.568757824454027</v>
      </c>
      <c r="N80" s="820">
        <f t="shared" si="30"/>
        <v>1</v>
      </c>
      <c r="V80" s="141" t="str">
        <f t="shared" si="36"/>
        <v>kWh Annual Savings</v>
      </c>
      <c r="W80" s="546">
        <v>1405.5728012555933</v>
      </c>
      <c r="X80" s="938">
        <v>1405.5728012555933</v>
      </c>
      <c r="Y80" s="1493">
        <v>1.96</v>
      </c>
      <c r="Z80" s="1015">
        <v>1.96</v>
      </c>
      <c r="AA80" s="1015">
        <v>1.96</v>
      </c>
      <c r="AB80" s="1798">
        <v>1.96</v>
      </c>
      <c r="AC80" s="501">
        <v>1.96</v>
      </c>
      <c r="AD80" s="479">
        <v>1.96</v>
      </c>
      <c r="AE80" s="141"/>
      <c r="AF80" s="141"/>
      <c r="AG80" s="141"/>
      <c r="BB80" s="40">
        <f t="shared" si="31"/>
        <v>1.0886545929263545</v>
      </c>
      <c r="BC80" s="1580" t="str">
        <f t="shared" si="34"/>
        <v>Building Shell RES 25 Year EUL</v>
      </c>
      <c r="BD80" s="98">
        <f>(INDEX('Avoided Cost Benefits'!$E$4:$E$859,MATCH(BC80,'Avoided Cost Benefits'!$A$4:$A$859,0)))*F80</f>
        <v>2.6394431370527478</v>
      </c>
      <c r="BE80" s="1581">
        <f t="shared" si="35"/>
        <v>2.4245000702727952</v>
      </c>
    </row>
    <row r="81" spans="2:57" x14ac:dyDescent="0.35">
      <c r="B81" s="1040"/>
      <c r="C81" s="2388" t="s">
        <v>2286</v>
      </c>
      <c r="D81" s="395" t="s">
        <v>2254</v>
      </c>
      <c r="E81" s="2381" t="s">
        <v>2287</v>
      </c>
      <c r="F81" s="501">
        <f t="shared" si="32"/>
        <v>0.99</v>
      </c>
      <c r="G81" s="395" t="s">
        <v>1558</v>
      </c>
      <c r="H81" s="136">
        <f>VLOOKUP(G81,'CP FACTORS'!$A$3:$B$38, 2, FALSE)</f>
        <v>4.6608050000000002E-4</v>
      </c>
      <c r="I81" s="820">
        <f t="shared" si="26"/>
        <v>0.78231744656886393</v>
      </c>
      <c r="J81" s="1231">
        <f t="shared" si="27"/>
        <v>0.20410400000000001</v>
      </c>
      <c r="K81" s="742">
        <f t="shared" si="33"/>
        <v>4.6099999999999998E-4</v>
      </c>
      <c r="L81" s="820">
        <f t="shared" si="28"/>
        <v>25</v>
      </c>
      <c r="M81" s="1014">
        <f t="shared" si="29"/>
        <v>2.568757824454027</v>
      </c>
      <c r="N81" s="820">
        <f t="shared" si="30"/>
        <v>1</v>
      </c>
      <c r="V81" s="141" t="str">
        <f t="shared" si="36"/>
        <v>kWh Annual Savings</v>
      </c>
      <c r="W81" s="546">
        <v>709.13837793835614</v>
      </c>
      <c r="X81" s="938">
        <v>709.13837793835614</v>
      </c>
      <c r="Y81" s="1493">
        <v>0.99</v>
      </c>
      <c r="Z81" s="1015">
        <v>0.99</v>
      </c>
      <c r="AA81" s="1015">
        <v>0.99</v>
      </c>
      <c r="AB81" s="1798">
        <v>0.99</v>
      </c>
      <c r="AC81" s="501">
        <v>0.99</v>
      </c>
      <c r="AD81" s="479">
        <v>0.99</v>
      </c>
      <c r="AE81" s="141"/>
      <c r="AF81" s="141"/>
      <c r="AG81" s="141"/>
      <c r="BB81" s="40">
        <f t="shared" si="31"/>
        <v>0.54988165663116884</v>
      </c>
      <c r="BC81" s="1580" t="str">
        <f t="shared" si="34"/>
        <v>Building Shell RES 25 Year EUL</v>
      </c>
      <c r="BD81" s="98">
        <f>(INDEX('Avoided Cost Benefits'!$E$4:$E$859,MATCH(BC81,'Avoided Cost Benefits'!$A$4:$A$859,0)))*F81</f>
        <v>1.3331881151439899</v>
      </c>
      <c r="BE81" s="1581">
        <f t="shared" si="35"/>
        <v>2.4245000702727952</v>
      </c>
    </row>
    <row r="82" spans="2:57" x14ac:dyDescent="0.35">
      <c r="B82" s="1040"/>
      <c r="C82" s="2388" t="s">
        <v>2288</v>
      </c>
      <c r="D82" s="395" t="s">
        <v>2254</v>
      </c>
      <c r="E82" s="2381" t="s">
        <v>2289</v>
      </c>
      <c r="F82" s="501">
        <f t="shared" si="32"/>
        <v>2.0299999999999998</v>
      </c>
      <c r="G82" s="395" t="s">
        <v>1558</v>
      </c>
      <c r="H82" s="136">
        <f>VLOOKUP(G82,'CP FACTORS'!$A$3:$B$38, 2, FALSE)</f>
        <v>4.6608050000000002E-4</v>
      </c>
      <c r="I82" s="820">
        <f t="shared" si="26"/>
        <v>1.8374921381549281</v>
      </c>
      <c r="J82" s="1231">
        <f t="shared" si="27"/>
        <v>0.19287827999999999</v>
      </c>
      <c r="K82" s="742">
        <f t="shared" si="33"/>
        <v>9.4600000000000001E-4</v>
      </c>
      <c r="L82" s="820">
        <f t="shared" si="28"/>
        <v>25</v>
      </c>
      <c r="M82" s="1014">
        <f t="shared" si="29"/>
        <v>3.424301015440256</v>
      </c>
      <c r="N82" s="820">
        <f t="shared" si="30"/>
        <v>1</v>
      </c>
      <c r="V82" s="141" t="str">
        <f t="shared" si="36"/>
        <v>kWh Annual Savings</v>
      </c>
      <c r="W82" s="546">
        <v>1459.6332936115778</v>
      </c>
      <c r="X82" s="938">
        <v>1459.6332936115778</v>
      </c>
      <c r="Y82" s="1493">
        <v>2.0299999999999998</v>
      </c>
      <c r="Z82" s="1015">
        <v>2.0299999999999998</v>
      </c>
      <c r="AA82" s="1015">
        <v>2.0299999999999998</v>
      </c>
      <c r="AB82" s="1798">
        <v>2.0299999999999998</v>
      </c>
      <c r="AC82" s="501">
        <v>2.0299999999999998</v>
      </c>
      <c r="AD82" s="479">
        <v>2.0299999999999998</v>
      </c>
      <c r="AE82" s="141"/>
      <c r="AF82" s="141"/>
      <c r="AG82" s="141"/>
      <c r="BB82" s="40">
        <f t="shared" si="31"/>
        <v>0.84582653033046962</v>
      </c>
      <c r="BC82" s="1580" t="str">
        <f t="shared" si="34"/>
        <v>Building Shell RES 25 Year EUL</v>
      </c>
      <c r="BD82" s="98">
        <f>(INDEX('Avoided Cost Benefits'!$E$4:$E$859,MATCH(BC82,'Avoided Cost Benefits'!$A$4:$A$859,0)))*F82</f>
        <v>2.7337089633760598</v>
      </c>
      <c r="BE82" s="1581">
        <f t="shared" si="35"/>
        <v>3.2319971830488492</v>
      </c>
    </row>
    <row r="83" spans="2:57" x14ac:dyDescent="0.35">
      <c r="B83" s="1040"/>
      <c r="C83" s="2388" t="s">
        <v>2290</v>
      </c>
      <c r="D83" s="395" t="s">
        <v>2254</v>
      </c>
      <c r="E83" s="2381" t="s">
        <v>2291</v>
      </c>
      <c r="F83" s="501">
        <f t="shared" si="32"/>
        <v>1.02</v>
      </c>
      <c r="G83" s="395" t="s">
        <v>1558</v>
      </c>
      <c r="H83" s="136">
        <f>VLOOKUP(G83,'CP FACTORS'!$A$3:$B$38, 2, FALSE)</f>
        <v>4.6608050000000002E-4</v>
      </c>
      <c r="I83" s="820">
        <f t="shared" si="26"/>
        <v>0.81240657912920466</v>
      </c>
      <c r="J83" s="1231">
        <f t="shared" si="27"/>
        <v>0.21195415384615382</v>
      </c>
      <c r="K83" s="742">
        <f t="shared" si="33"/>
        <v>4.75E-4</v>
      </c>
      <c r="L83" s="820">
        <f t="shared" si="28"/>
        <v>25</v>
      </c>
      <c r="M83" s="1014">
        <f t="shared" si="29"/>
        <v>3.424301015440256</v>
      </c>
      <c r="N83" s="820">
        <f t="shared" si="30"/>
        <v>1</v>
      </c>
      <c r="V83" s="141" t="str">
        <f t="shared" si="36"/>
        <v>kWh Annual Savings</v>
      </c>
      <c r="W83" s="546">
        <v>736.41293093598529</v>
      </c>
      <c r="X83" s="938">
        <v>736.41293093598529</v>
      </c>
      <c r="Y83" s="1493">
        <v>1.02</v>
      </c>
      <c r="Z83" s="1015">
        <v>1.02</v>
      </c>
      <c r="AA83" s="1015">
        <v>1.02</v>
      </c>
      <c r="AB83" s="1798">
        <v>1.02</v>
      </c>
      <c r="AC83" s="501">
        <v>1.02</v>
      </c>
      <c r="AD83" s="479">
        <v>1.02</v>
      </c>
      <c r="AE83" s="141"/>
      <c r="AF83" s="141"/>
      <c r="AG83" s="141"/>
      <c r="BB83" s="41">
        <f t="shared" si="31"/>
        <v>0.42499658174240351</v>
      </c>
      <c r="BC83" s="1580" t="str">
        <f t="shared" si="34"/>
        <v>Building Shell RES 25 Year EUL</v>
      </c>
      <c r="BD83" s="102">
        <f>(INDEX('Avoided Cost Benefits'!$E$4:$E$859,MATCH(BC83,'Avoided Cost Benefits'!$A$4:$A$859,0)))*F83</f>
        <v>1.3735877549968381</v>
      </c>
      <c r="BE83" s="1582">
        <f t="shared" si="35"/>
        <v>3.2319971830488492</v>
      </c>
    </row>
    <row r="84" spans="2:57" hidden="1" outlineLevel="1" x14ac:dyDescent="0.35">
      <c r="B84" s="1040"/>
      <c r="C84" s="753"/>
      <c r="D84" s="375"/>
      <c r="E84" s="375"/>
      <c r="F84" s="1241"/>
      <c r="G84" s="756"/>
      <c r="H84" s="756"/>
      <c r="I84" s="756"/>
      <c r="J84" s="756"/>
      <c r="K84" s="756"/>
      <c r="L84" s="756"/>
      <c r="M84" s="756"/>
      <c r="N84" s="756"/>
      <c r="O84" s="199"/>
      <c r="P84" s="199"/>
      <c r="Q84" s="199"/>
    </row>
    <row r="85" spans="2:57" hidden="1" outlineLevel="1" x14ac:dyDescent="0.35">
      <c r="B85" s="1040"/>
      <c r="C85" s="3092"/>
      <c r="D85" s="3102" t="s">
        <v>107</v>
      </c>
      <c r="E85" s="3102"/>
      <c r="F85" s="3103"/>
      <c r="G85" s="3104"/>
      <c r="H85" s="3104"/>
      <c r="I85" s="3104"/>
      <c r="J85" s="3104"/>
      <c r="K85" s="3104"/>
      <c r="L85" s="3104"/>
      <c r="M85" s="756"/>
      <c r="N85" s="756"/>
      <c r="O85" s="199"/>
      <c r="P85" s="199"/>
      <c r="Q85" s="199"/>
    </row>
    <row r="86" spans="2:57" hidden="1" outlineLevel="1" x14ac:dyDescent="0.35">
      <c r="B86" s="1040"/>
      <c r="C86" s="3092"/>
      <c r="D86" s="3102"/>
      <c r="E86" s="3102"/>
      <c r="F86" s="3103"/>
      <c r="G86" s="3104"/>
      <c r="H86" s="3104"/>
      <c r="I86" s="3104"/>
      <c r="J86" s="3104"/>
      <c r="K86" s="3104"/>
      <c r="L86" s="3104"/>
      <c r="M86" s="756"/>
      <c r="N86" s="756"/>
      <c r="O86" s="199"/>
      <c r="P86" s="199"/>
      <c r="Q86" s="199"/>
    </row>
    <row r="87" spans="2:57" hidden="1" outlineLevel="1" x14ac:dyDescent="0.35">
      <c r="B87" s="1040"/>
      <c r="C87" s="3092"/>
      <c r="D87" s="3102"/>
      <c r="E87" s="3102"/>
      <c r="F87" s="3103"/>
      <c r="G87" s="3104"/>
      <c r="H87" s="3104"/>
      <c r="I87" s="3104"/>
      <c r="J87" s="3104"/>
      <c r="K87" s="3104"/>
      <c r="L87" s="3104"/>
      <c r="M87" s="3104"/>
      <c r="N87" s="3104"/>
      <c r="O87" s="199"/>
      <c r="P87" s="199"/>
      <c r="Q87" s="199"/>
    </row>
    <row r="88" spans="2:57" hidden="1" outlineLevel="1" x14ac:dyDescent="0.35">
      <c r="B88" s="1040"/>
      <c r="C88" s="3105"/>
      <c r="D88" s="4477"/>
      <c r="E88" s="4477"/>
      <c r="F88" s="4477"/>
      <c r="G88" s="4477"/>
      <c r="H88" s="4477"/>
      <c r="I88" s="4477"/>
      <c r="J88" s="4477"/>
      <c r="K88" s="4477"/>
      <c r="L88" s="4477"/>
      <c r="M88" s="3104"/>
      <c r="N88" s="3104"/>
      <c r="O88" s="199"/>
      <c r="P88" s="199"/>
      <c r="Q88" s="199"/>
    </row>
    <row r="89" spans="2:57" hidden="1" outlineLevel="1" x14ac:dyDescent="0.35">
      <c r="B89" s="1040"/>
      <c r="C89" s="3106"/>
      <c r="D89" s="4477"/>
      <c r="E89" s="4477"/>
      <c r="F89" s="4477"/>
      <c r="G89" s="4477"/>
      <c r="H89" s="4477"/>
      <c r="I89" s="4477"/>
      <c r="J89" s="4477"/>
      <c r="K89" s="4477"/>
      <c r="L89" s="4477"/>
      <c r="M89" s="3104"/>
      <c r="N89" s="3104"/>
      <c r="O89" s="199"/>
      <c r="P89" s="199"/>
      <c r="Q89" s="199"/>
    </row>
    <row r="90" spans="2:57" hidden="1" outlineLevel="1" x14ac:dyDescent="0.35">
      <c r="B90" s="1040"/>
      <c r="C90" s="3106"/>
      <c r="D90" s="4477"/>
      <c r="E90" s="4477"/>
      <c r="F90" s="4477"/>
      <c r="G90" s="4477"/>
      <c r="H90" s="4477"/>
      <c r="I90" s="4477"/>
      <c r="J90" s="4477"/>
      <c r="K90" s="4477"/>
      <c r="L90" s="4477"/>
      <c r="M90" s="3104"/>
      <c r="N90" s="3104"/>
      <c r="O90" s="199"/>
      <c r="P90" s="199"/>
      <c r="Q90" s="199"/>
    </row>
    <row r="91" spans="2:57" hidden="1" outlineLevel="1" x14ac:dyDescent="0.35">
      <c r="B91" s="1040"/>
      <c r="C91" s="3107"/>
      <c r="D91" s="4477"/>
      <c r="E91" s="4477"/>
      <c r="F91" s="4477"/>
      <c r="G91" s="4477"/>
      <c r="H91" s="4477"/>
      <c r="I91" s="4477"/>
      <c r="J91" s="4477"/>
      <c r="K91" s="4477"/>
      <c r="L91" s="4477"/>
      <c r="M91" s="3104"/>
      <c r="N91" s="3104"/>
      <c r="O91" s="199"/>
      <c r="P91" s="199"/>
      <c r="Q91" s="199"/>
    </row>
    <row r="92" spans="2:57" hidden="1" outlineLevel="1" x14ac:dyDescent="0.35">
      <c r="B92" s="1040"/>
      <c r="C92" s="3092"/>
      <c r="D92" s="3102"/>
      <c r="E92" s="3102"/>
      <c r="F92" s="3104"/>
      <c r="G92" s="3104"/>
      <c r="H92" s="3104"/>
      <c r="I92" s="3104"/>
      <c r="J92" s="3104"/>
      <c r="K92" s="3104"/>
      <c r="L92" s="3104"/>
      <c r="M92" s="3104"/>
      <c r="N92" s="3104"/>
      <c r="O92" s="199"/>
      <c r="P92" s="199"/>
      <c r="Q92" s="199"/>
    </row>
    <row r="93" spans="2:57" hidden="1" outlineLevel="1" x14ac:dyDescent="0.35">
      <c r="B93" s="1040"/>
      <c r="C93" s="197"/>
      <c r="D93" s="2423" t="s">
        <v>108</v>
      </c>
      <c r="E93" s="2423" t="s">
        <v>109</v>
      </c>
      <c r="F93" s="2331" t="s">
        <v>111</v>
      </c>
      <c r="G93" s="2331" t="s">
        <v>186</v>
      </c>
      <c r="H93" s="2331" t="s">
        <v>282</v>
      </c>
      <c r="I93" s="756"/>
      <c r="J93" s="756"/>
      <c r="K93" s="199"/>
      <c r="L93" s="199"/>
      <c r="M93" s="199"/>
      <c r="N93" s="199"/>
      <c r="O93" s="199"/>
      <c r="P93" s="199"/>
      <c r="Q93" s="199"/>
      <c r="V93" s="1572" t="s">
        <v>44</v>
      </c>
      <c r="W93" s="1573">
        <f>W$6</f>
        <v>43252</v>
      </c>
      <c r="X93" s="1573">
        <f t="shared" ref="X93:AG93" si="37">X$6</f>
        <v>43465</v>
      </c>
      <c r="Y93" s="1573">
        <f t="shared" si="37"/>
        <v>43800</v>
      </c>
      <c r="Z93" s="1573">
        <f t="shared" si="37"/>
        <v>43862</v>
      </c>
      <c r="AA93" s="1573">
        <f t="shared" si="37"/>
        <v>44013</v>
      </c>
      <c r="AB93" s="1573">
        <f t="shared" si="37"/>
        <v>44166</v>
      </c>
      <c r="AC93" s="1573">
        <f t="shared" si="37"/>
        <v>44531</v>
      </c>
      <c r="AD93" s="1573">
        <f t="shared" si="37"/>
        <v>44774</v>
      </c>
      <c r="AE93" s="1573" t="str">
        <f t="shared" si="37"/>
        <v>-</v>
      </c>
      <c r="AF93" s="1573" t="str">
        <f t="shared" si="37"/>
        <v>-</v>
      </c>
      <c r="AG93" s="1573" t="str">
        <f t="shared" si="37"/>
        <v>-</v>
      </c>
    </row>
    <row r="94" spans="2:57" hidden="1" outlineLevel="1" x14ac:dyDescent="0.35">
      <c r="B94" s="1040"/>
      <c r="C94" s="197"/>
      <c r="D94" s="3843" t="s">
        <v>283</v>
      </c>
      <c r="E94" s="368" t="s">
        <v>2292</v>
      </c>
      <c r="F94" s="787">
        <v>1</v>
      </c>
      <c r="G94" s="2393"/>
      <c r="H94" s="822"/>
      <c r="I94" s="756"/>
      <c r="J94" s="756"/>
      <c r="K94" s="199"/>
      <c r="L94" s="199"/>
      <c r="M94" s="199"/>
      <c r="N94" s="199"/>
      <c r="O94" s="199"/>
      <c r="P94" s="199"/>
      <c r="Q94" s="199"/>
      <c r="V94" s="4278" t="str">
        <f>D94</f>
        <v>%ElectricHeat</v>
      </c>
      <c r="W94" s="414">
        <v>1</v>
      </c>
      <c r="X94" s="414">
        <v>1</v>
      </c>
      <c r="Y94" s="787">
        <v>1</v>
      </c>
      <c r="Z94" s="787">
        <v>1</v>
      </c>
      <c r="AA94" s="787">
        <v>1</v>
      </c>
      <c r="AB94" s="414">
        <v>1</v>
      </c>
      <c r="AC94" s="414">
        <v>1</v>
      </c>
      <c r="AD94" s="414">
        <v>1</v>
      </c>
      <c r="AE94" s="414"/>
      <c r="AF94" s="414"/>
      <c r="AG94" s="414"/>
    </row>
    <row r="95" spans="2:57" hidden="1" outlineLevel="1" x14ac:dyDescent="0.35">
      <c r="B95" s="1040"/>
      <c r="C95" s="197"/>
      <c r="D95" s="3844"/>
      <c r="E95" s="368" t="s">
        <v>2293</v>
      </c>
      <c r="F95" s="787">
        <v>0</v>
      </c>
      <c r="G95" s="2393"/>
      <c r="H95" s="822"/>
      <c r="I95" s="756"/>
      <c r="J95" s="756"/>
      <c r="K95" s="199"/>
      <c r="L95" s="199"/>
      <c r="M95" s="199"/>
      <c r="N95" s="199"/>
      <c r="O95" s="199"/>
      <c r="P95" s="199"/>
      <c r="Q95" s="199"/>
      <c r="V95" s="4279"/>
      <c r="W95" s="414">
        <v>0</v>
      </c>
      <c r="X95" s="414">
        <v>0</v>
      </c>
      <c r="Y95" s="787">
        <v>0</v>
      </c>
      <c r="Z95" s="787">
        <v>0</v>
      </c>
      <c r="AA95" s="787">
        <v>0</v>
      </c>
      <c r="AB95" s="414">
        <v>0</v>
      </c>
      <c r="AC95" s="414">
        <v>0</v>
      </c>
      <c r="AD95" s="414">
        <v>0</v>
      </c>
      <c r="AE95" s="414"/>
      <c r="AF95" s="414"/>
      <c r="AG95" s="414"/>
    </row>
    <row r="96" spans="2:57" hidden="1" outlineLevel="1" x14ac:dyDescent="0.35">
      <c r="B96" s="1040"/>
      <c r="C96" s="197"/>
      <c r="D96" s="3844"/>
      <c r="E96" s="368" t="s">
        <v>2294</v>
      </c>
      <c r="F96" s="787">
        <v>1</v>
      </c>
      <c r="G96" s="2393"/>
      <c r="H96" s="822"/>
      <c r="I96" s="756"/>
      <c r="J96" s="756"/>
      <c r="K96" s="199"/>
      <c r="L96" s="199"/>
      <c r="M96" s="199"/>
      <c r="N96" s="199"/>
      <c r="O96" s="199"/>
      <c r="P96" s="199"/>
      <c r="Q96" s="199"/>
      <c r="V96" s="4279"/>
      <c r="W96" s="414">
        <v>1</v>
      </c>
      <c r="X96" s="414">
        <v>1</v>
      </c>
      <c r="Y96" s="787">
        <v>1</v>
      </c>
      <c r="Z96" s="787">
        <v>1</v>
      </c>
      <c r="AA96" s="787">
        <v>1</v>
      </c>
      <c r="AB96" s="414">
        <v>1</v>
      </c>
      <c r="AC96" s="414">
        <v>1</v>
      </c>
      <c r="AD96" s="414">
        <v>1</v>
      </c>
      <c r="AE96" s="414"/>
      <c r="AF96" s="414"/>
      <c r="AG96" s="414"/>
    </row>
    <row r="97" spans="2:33" hidden="1" outlineLevel="1" x14ac:dyDescent="0.35">
      <c r="B97" s="1040"/>
      <c r="C97" s="197"/>
      <c r="D97" s="3844"/>
      <c r="E97" s="368" t="s">
        <v>2295</v>
      </c>
      <c r="F97" s="787">
        <v>0</v>
      </c>
      <c r="G97" s="2393"/>
      <c r="H97" s="822"/>
      <c r="I97" s="756"/>
      <c r="J97" s="756"/>
      <c r="K97" s="199"/>
      <c r="L97" s="199"/>
      <c r="M97" s="199"/>
      <c r="N97" s="199"/>
      <c r="O97" s="199"/>
      <c r="P97" s="199"/>
      <c r="Q97" s="199"/>
      <c r="V97" s="4279"/>
      <c r="W97" s="414">
        <v>0</v>
      </c>
      <c r="X97" s="414">
        <v>0</v>
      </c>
      <c r="Y97" s="787">
        <v>0</v>
      </c>
      <c r="Z97" s="787">
        <v>0</v>
      </c>
      <c r="AA97" s="787">
        <v>0</v>
      </c>
      <c r="AB97" s="414">
        <v>0</v>
      </c>
      <c r="AC97" s="414">
        <v>0</v>
      </c>
      <c r="AD97" s="414">
        <v>0</v>
      </c>
      <c r="AE97" s="414"/>
      <c r="AF97" s="414"/>
      <c r="AG97" s="414"/>
    </row>
    <row r="98" spans="2:33" hidden="1" outlineLevel="1" x14ac:dyDescent="0.35">
      <c r="B98" s="1040"/>
      <c r="C98" s="197"/>
      <c r="D98" s="3844"/>
      <c r="E98" s="368" t="s">
        <v>2296</v>
      </c>
      <c r="F98" s="787">
        <v>1</v>
      </c>
      <c r="G98" s="2393"/>
      <c r="H98" s="822"/>
      <c r="I98" s="756"/>
      <c r="J98" s="756"/>
      <c r="K98" s="199"/>
      <c r="L98" s="199"/>
      <c r="M98" s="199"/>
      <c r="N98" s="199"/>
      <c r="O98" s="199"/>
      <c r="P98" s="199"/>
      <c r="Q98" s="199"/>
      <c r="V98" s="4279"/>
      <c r="W98" s="414">
        <v>1</v>
      </c>
      <c r="X98" s="414">
        <v>1</v>
      </c>
      <c r="Y98" s="787">
        <v>1</v>
      </c>
      <c r="Z98" s="787">
        <v>1</v>
      </c>
      <c r="AA98" s="787">
        <v>1</v>
      </c>
      <c r="AB98" s="414">
        <v>1</v>
      </c>
      <c r="AC98" s="414">
        <v>1</v>
      </c>
      <c r="AD98" s="414">
        <v>1</v>
      </c>
      <c r="AE98" s="414"/>
      <c r="AF98" s="414"/>
      <c r="AG98" s="414"/>
    </row>
    <row r="99" spans="2:33" hidden="1" outlineLevel="1" x14ac:dyDescent="0.35">
      <c r="B99" s="1040"/>
      <c r="C99" s="197"/>
      <c r="D99" s="3844"/>
      <c r="E99" s="368" t="s">
        <v>2297</v>
      </c>
      <c r="F99" s="787">
        <v>0</v>
      </c>
      <c r="G99" s="2393"/>
      <c r="H99" s="822"/>
      <c r="I99" s="756"/>
      <c r="J99" s="756"/>
      <c r="K99" s="199"/>
      <c r="L99" s="199"/>
      <c r="M99" s="199"/>
      <c r="N99" s="199"/>
      <c r="O99" s="199"/>
      <c r="P99" s="199"/>
      <c r="Q99" s="199"/>
      <c r="V99" s="4279"/>
      <c r="W99" s="414">
        <v>0</v>
      </c>
      <c r="X99" s="414">
        <v>0</v>
      </c>
      <c r="Y99" s="787">
        <v>0</v>
      </c>
      <c r="Z99" s="787">
        <v>0</v>
      </c>
      <c r="AA99" s="787">
        <v>0</v>
      </c>
      <c r="AB99" s="414">
        <v>0</v>
      </c>
      <c r="AC99" s="414">
        <v>0</v>
      </c>
      <c r="AD99" s="414">
        <v>0</v>
      </c>
      <c r="AE99" s="414"/>
      <c r="AF99" s="414"/>
      <c r="AG99" s="414"/>
    </row>
    <row r="100" spans="2:33" hidden="1" outlineLevel="1" x14ac:dyDescent="0.35">
      <c r="B100" s="1040"/>
      <c r="C100" s="197"/>
      <c r="D100" s="3844"/>
      <c r="E100" s="368" t="s">
        <v>2298</v>
      </c>
      <c r="F100" s="787">
        <v>1</v>
      </c>
      <c r="G100" s="2393"/>
      <c r="H100" s="822"/>
      <c r="I100" s="756"/>
      <c r="J100" s="756"/>
      <c r="K100" s="199"/>
      <c r="L100" s="199"/>
      <c r="M100" s="199"/>
      <c r="N100" s="199"/>
      <c r="O100" s="199"/>
      <c r="P100" s="199"/>
      <c r="Q100" s="199"/>
      <c r="V100" s="4279"/>
      <c r="W100" s="414">
        <v>1</v>
      </c>
      <c r="X100" s="414">
        <v>1</v>
      </c>
      <c r="Y100" s="787">
        <v>1</v>
      </c>
      <c r="Z100" s="787">
        <v>1</v>
      </c>
      <c r="AA100" s="787">
        <v>1</v>
      </c>
      <c r="AB100" s="414">
        <v>1</v>
      </c>
      <c r="AC100" s="414">
        <v>1</v>
      </c>
      <c r="AD100" s="414">
        <v>1</v>
      </c>
      <c r="AE100" s="414"/>
      <c r="AF100" s="414"/>
      <c r="AG100" s="414"/>
    </row>
    <row r="101" spans="2:33" hidden="1" outlineLevel="1" x14ac:dyDescent="0.35">
      <c r="B101" s="1040"/>
      <c r="C101" s="197"/>
      <c r="D101" s="3844"/>
      <c r="E101" s="368" t="s">
        <v>2299</v>
      </c>
      <c r="F101" s="787">
        <v>0</v>
      </c>
      <c r="G101" s="2393"/>
      <c r="H101" s="822"/>
      <c r="I101" s="756"/>
      <c r="J101" s="756"/>
      <c r="K101" s="199"/>
      <c r="L101" s="199"/>
      <c r="M101" s="199"/>
      <c r="N101" s="199"/>
      <c r="O101" s="199"/>
      <c r="P101" s="199"/>
      <c r="Q101" s="199"/>
      <c r="V101" s="4279"/>
      <c r="W101" s="414">
        <v>0</v>
      </c>
      <c r="X101" s="414">
        <v>0</v>
      </c>
      <c r="Y101" s="787">
        <v>0</v>
      </c>
      <c r="Z101" s="787">
        <v>0</v>
      </c>
      <c r="AA101" s="787">
        <v>0</v>
      </c>
      <c r="AB101" s="414">
        <v>0</v>
      </c>
      <c r="AC101" s="414">
        <v>0</v>
      </c>
      <c r="AD101" s="414">
        <v>0</v>
      </c>
      <c r="AE101" s="414"/>
      <c r="AF101" s="414"/>
      <c r="AG101" s="414"/>
    </row>
    <row r="102" spans="2:33" hidden="1" outlineLevel="1" x14ac:dyDescent="0.35">
      <c r="B102" s="1040"/>
      <c r="C102" s="197"/>
      <c r="D102" s="3844"/>
      <c r="E102" s="368" t="s">
        <v>2300</v>
      </c>
      <c r="F102" s="787">
        <v>1</v>
      </c>
      <c r="G102" s="2393"/>
      <c r="H102" s="822"/>
      <c r="I102" s="756"/>
      <c r="J102" s="756"/>
      <c r="K102" s="199"/>
      <c r="L102" s="199"/>
      <c r="M102" s="199"/>
      <c r="N102" s="199"/>
      <c r="O102" s="199"/>
      <c r="P102" s="199"/>
      <c r="Q102" s="199"/>
      <c r="V102" s="4279"/>
      <c r="W102" s="414">
        <v>1</v>
      </c>
      <c r="X102" s="414">
        <v>1</v>
      </c>
      <c r="Y102" s="787">
        <v>1</v>
      </c>
      <c r="Z102" s="787">
        <v>1</v>
      </c>
      <c r="AA102" s="787">
        <v>1</v>
      </c>
      <c r="AB102" s="414">
        <v>1</v>
      </c>
      <c r="AC102" s="414">
        <v>1</v>
      </c>
      <c r="AD102" s="414">
        <v>1</v>
      </c>
      <c r="AE102" s="414"/>
      <c r="AF102" s="414"/>
      <c r="AG102" s="414"/>
    </row>
    <row r="103" spans="2:33" hidden="1" outlineLevel="1" x14ac:dyDescent="0.35">
      <c r="B103" s="1040"/>
      <c r="C103" s="197"/>
      <c r="D103" s="3844"/>
      <c r="E103" s="368" t="s">
        <v>2301</v>
      </c>
      <c r="F103" s="787">
        <v>0</v>
      </c>
      <c r="G103" s="2393"/>
      <c r="H103" s="822"/>
      <c r="I103" s="756"/>
      <c r="J103" s="756"/>
      <c r="K103" s="199"/>
      <c r="L103" s="199"/>
      <c r="M103" s="199"/>
      <c r="N103" s="199"/>
      <c r="O103" s="199"/>
      <c r="P103" s="199"/>
      <c r="Q103" s="199"/>
      <c r="V103" s="4279"/>
      <c r="W103" s="414">
        <v>0</v>
      </c>
      <c r="X103" s="414">
        <v>0</v>
      </c>
      <c r="Y103" s="787">
        <v>0</v>
      </c>
      <c r="Z103" s="787">
        <v>0</v>
      </c>
      <c r="AA103" s="787">
        <v>0</v>
      </c>
      <c r="AB103" s="414">
        <v>0</v>
      </c>
      <c r="AC103" s="414">
        <v>0</v>
      </c>
      <c r="AD103" s="414">
        <v>0</v>
      </c>
      <c r="AE103" s="414"/>
      <c r="AF103" s="414"/>
      <c r="AG103" s="414"/>
    </row>
    <row r="104" spans="2:33" ht="15" hidden="1" customHeight="1" outlineLevel="1" x14ac:dyDescent="0.35">
      <c r="B104" s="1040"/>
      <c r="C104" s="197"/>
      <c r="D104" s="3843" t="s">
        <v>1611</v>
      </c>
      <c r="E104" s="368" t="s">
        <v>2292</v>
      </c>
      <c r="F104" s="1018">
        <v>11</v>
      </c>
      <c r="G104" s="2393"/>
      <c r="H104" s="822" t="s">
        <v>1612</v>
      </c>
      <c r="I104" s="756"/>
      <c r="J104" s="756"/>
      <c r="K104" s="199"/>
      <c r="L104" s="199"/>
      <c r="M104" s="199"/>
      <c r="N104" s="199"/>
      <c r="O104" s="199"/>
      <c r="P104" s="199"/>
      <c r="Q104" s="199"/>
      <c r="V104" s="4278" t="str">
        <f>D104</f>
        <v>Rold</v>
      </c>
      <c r="W104" s="1016">
        <v>11</v>
      </c>
      <c r="X104" s="1016">
        <v>11</v>
      </c>
      <c r="Y104" s="1018">
        <v>11</v>
      </c>
      <c r="Z104" s="1018">
        <v>11</v>
      </c>
      <c r="AA104" s="1018">
        <v>11</v>
      </c>
      <c r="AB104" s="1016">
        <v>11</v>
      </c>
      <c r="AC104" s="1016">
        <v>11</v>
      </c>
      <c r="AD104" s="1016">
        <v>11</v>
      </c>
      <c r="AE104" s="1016"/>
      <c r="AF104" s="1016"/>
      <c r="AG104" s="1016"/>
    </row>
    <row r="105" spans="2:33" hidden="1" outlineLevel="1" x14ac:dyDescent="0.35">
      <c r="B105" s="1040"/>
      <c r="C105" s="197"/>
      <c r="D105" s="3844"/>
      <c r="E105" s="368" t="s">
        <v>2293</v>
      </c>
      <c r="F105" s="1018">
        <v>11</v>
      </c>
      <c r="G105" s="2393"/>
      <c r="H105" s="822" t="s">
        <v>1612</v>
      </c>
      <c r="I105" s="756"/>
      <c r="J105" s="756"/>
      <c r="K105" s="199"/>
      <c r="L105" s="199"/>
      <c r="M105" s="199"/>
      <c r="N105" s="199"/>
      <c r="O105" s="199"/>
      <c r="P105" s="199"/>
      <c r="Q105" s="199"/>
      <c r="V105" s="4279"/>
      <c r="W105" s="1016">
        <v>11</v>
      </c>
      <c r="X105" s="1016">
        <v>11</v>
      </c>
      <c r="Y105" s="1018">
        <v>11</v>
      </c>
      <c r="Z105" s="1018">
        <v>11</v>
      </c>
      <c r="AA105" s="1018">
        <v>11</v>
      </c>
      <c r="AB105" s="1016">
        <v>11</v>
      </c>
      <c r="AC105" s="1016">
        <v>11</v>
      </c>
      <c r="AD105" s="1016">
        <v>11</v>
      </c>
      <c r="AE105" s="1016"/>
      <c r="AF105" s="1016"/>
      <c r="AG105" s="1016"/>
    </row>
    <row r="106" spans="2:33" hidden="1" outlineLevel="1" x14ac:dyDescent="0.35">
      <c r="B106" s="1040"/>
      <c r="C106" s="197"/>
      <c r="D106" s="3844"/>
      <c r="E106" s="368" t="s">
        <v>2294</v>
      </c>
      <c r="F106" s="1018">
        <v>5</v>
      </c>
      <c r="G106" s="2393"/>
      <c r="H106" s="822" t="s">
        <v>1612</v>
      </c>
      <c r="I106" s="756"/>
      <c r="J106" s="756"/>
      <c r="K106" s="199"/>
      <c r="L106" s="199"/>
      <c r="M106" s="199"/>
      <c r="N106" s="199"/>
      <c r="O106" s="199"/>
      <c r="P106" s="199"/>
      <c r="Q106" s="199"/>
      <c r="V106" s="4279"/>
      <c r="W106" s="1016">
        <v>5</v>
      </c>
      <c r="X106" s="1016">
        <v>5</v>
      </c>
      <c r="Y106" s="1018">
        <v>5</v>
      </c>
      <c r="Z106" s="1018">
        <v>5</v>
      </c>
      <c r="AA106" s="1018">
        <v>5</v>
      </c>
      <c r="AB106" s="1016">
        <v>5</v>
      </c>
      <c r="AC106" s="1016">
        <v>5</v>
      </c>
      <c r="AD106" s="1016">
        <v>5</v>
      </c>
      <c r="AE106" s="1016"/>
      <c r="AF106" s="1016"/>
      <c r="AG106" s="1016"/>
    </row>
    <row r="107" spans="2:33" hidden="1" outlineLevel="1" x14ac:dyDescent="0.35">
      <c r="B107" s="1040"/>
      <c r="C107" s="197"/>
      <c r="D107" s="3844"/>
      <c r="E107" s="368" t="s">
        <v>2295</v>
      </c>
      <c r="F107" s="1018">
        <v>5</v>
      </c>
      <c r="G107" s="2393"/>
      <c r="H107" s="822" t="s">
        <v>1612</v>
      </c>
      <c r="I107" s="756"/>
      <c r="J107" s="756"/>
      <c r="K107" s="199"/>
      <c r="L107" s="199"/>
      <c r="M107" s="199"/>
      <c r="N107" s="199"/>
      <c r="O107" s="199"/>
      <c r="P107" s="199"/>
      <c r="Q107" s="199"/>
      <c r="V107" s="4279"/>
      <c r="W107" s="1016">
        <v>5</v>
      </c>
      <c r="X107" s="1016">
        <v>5</v>
      </c>
      <c r="Y107" s="1018">
        <v>5</v>
      </c>
      <c r="Z107" s="1018">
        <v>5</v>
      </c>
      <c r="AA107" s="1018">
        <v>5</v>
      </c>
      <c r="AB107" s="1016">
        <v>5</v>
      </c>
      <c r="AC107" s="1016">
        <v>5</v>
      </c>
      <c r="AD107" s="1016">
        <v>5</v>
      </c>
      <c r="AE107" s="1016"/>
      <c r="AF107" s="1016"/>
      <c r="AG107" s="1016"/>
    </row>
    <row r="108" spans="2:33" hidden="1" outlineLevel="1" x14ac:dyDescent="0.35">
      <c r="B108" s="1040"/>
      <c r="C108" s="197"/>
      <c r="D108" s="3844"/>
      <c r="E108" s="368" t="s">
        <v>2296</v>
      </c>
      <c r="F108" s="1018">
        <v>5</v>
      </c>
      <c r="G108" s="2393"/>
      <c r="H108" s="822" t="s">
        <v>1612</v>
      </c>
      <c r="I108" s="756"/>
      <c r="J108" s="756"/>
      <c r="K108" s="199"/>
      <c r="L108" s="199"/>
      <c r="M108" s="199"/>
      <c r="N108" s="199"/>
      <c r="O108" s="199"/>
      <c r="P108" s="199"/>
      <c r="Q108" s="199"/>
      <c r="V108" s="4279"/>
      <c r="W108" s="1016">
        <v>5</v>
      </c>
      <c r="X108" s="1016">
        <v>5</v>
      </c>
      <c r="Y108" s="1018">
        <v>5</v>
      </c>
      <c r="Z108" s="1018">
        <v>5</v>
      </c>
      <c r="AA108" s="1018">
        <v>5</v>
      </c>
      <c r="AB108" s="1016">
        <v>5</v>
      </c>
      <c r="AC108" s="1016">
        <v>5</v>
      </c>
      <c r="AD108" s="1016">
        <v>5</v>
      </c>
      <c r="AE108" s="1016"/>
      <c r="AF108" s="1016"/>
      <c r="AG108" s="1016"/>
    </row>
    <row r="109" spans="2:33" hidden="1" outlineLevel="1" x14ac:dyDescent="0.35">
      <c r="B109" s="1040"/>
      <c r="C109" s="197"/>
      <c r="D109" s="3844"/>
      <c r="E109" s="368" t="s">
        <v>2297</v>
      </c>
      <c r="F109" s="1018">
        <v>5</v>
      </c>
      <c r="G109" s="2393"/>
      <c r="H109" s="822" t="s">
        <v>1612</v>
      </c>
      <c r="I109" s="756"/>
      <c r="J109" s="756"/>
      <c r="K109" s="199"/>
      <c r="L109" s="199"/>
      <c r="M109" s="199"/>
      <c r="N109" s="199"/>
      <c r="O109" s="199"/>
      <c r="P109" s="199"/>
      <c r="Q109" s="199"/>
      <c r="V109" s="4279"/>
      <c r="W109" s="1016">
        <v>5</v>
      </c>
      <c r="X109" s="1016">
        <v>5</v>
      </c>
      <c r="Y109" s="1018">
        <v>5</v>
      </c>
      <c r="Z109" s="1018">
        <v>5</v>
      </c>
      <c r="AA109" s="1018">
        <v>5</v>
      </c>
      <c r="AB109" s="1016">
        <v>5</v>
      </c>
      <c r="AC109" s="1016">
        <v>5</v>
      </c>
      <c r="AD109" s="1016">
        <v>5</v>
      </c>
      <c r="AE109" s="1016"/>
      <c r="AF109" s="1016"/>
      <c r="AG109" s="1016"/>
    </row>
    <row r="110" spans="2:33" hidden="1" outlineLevel="1" x14ac:dyDescent="0.35">
      <c r="B110" s="1040"/>
      <c r="C110" s="197"/>
      <c r="D110" s="3844"/>
      <c r="E110" s="368" t="s">
        <v>2298</v>
      </c>
      <c r="F110" s="1018">
        <v>5</v>
      </c>
      <c r="G110" s="2393"/>
      <c r="H110" s="822" t="s">
        <v>1612</v>
      </c>
      <c r="I110" s="756"/>
      <c r="J110" s="756"/>
      <c r="K110" s="199"/>
      <c r="L110" s="199"/>
      <c r="M110" s="199"/>
      <c r="N110" s="199"/>
      <c r="O110" s="199"/>
      <c r="P110" s="199"/>
      <c r="Q110" s="199"/>
      <c r="V110" s="4279"/>
      <c r="W110" s="1016">
        <v>5</v>
      </c>
      <c r="X110" s="1016">
        <v>5</v>
      </c>
      <c r="Y110" s="1018">
        <v>5</v>
      </c>
      <c r="Z110" s="1018">
        <v>5</v>
      </c>
      <c r="AA110" s="1018">
        <v>5</v>
      </c>
      <c r="AB110" s="1016">
        <v>5</v>
      </c>
      <c r="AC110" s="1016">
        <v>5</v>
      </c>
      <c r="AD110" s="1016">
        <v>5</v>
      </c>
      <c r="AE110" s="1016"/>
      <c r="AF110" s="1016"/>
      <c r="AG110" s="1016"/>
    </row>
    <row r="111" spans="2:33" hidden="1" outlineLevel="1" x14ac:dyDescent="0.35">
      <c r="B111" s="1040"/>
      <c r="C111" s="197"/>
      <c r="D111" s="3844"/>
      <c r="E111" s="368" t="s">
        <v>2299</v>
      </c>
      <c r="F111" s="1018">
        <v>5</v>
      </c>
      <c r="G111" s="2393"/>
      <c r="H111" s="822" t="s">
        <v>1612</v>
      </c>
      <c r="I111" s="756"/>
      <c r="J111" s="756"/>
      <c r="K111" s="199"/>
      <c r="L111" s="199"/>
      <c r="M111" s="199"/>
      <c r="N111" s="199"/>
      <c r="O111" s="199"/>
      <c r="P111" s="199"/>
      <c r="Q111" s="199"/>
      <c r="V111" s="4279"/>
      <c r="W111" s="1016">
        <v>5</v>
      </c>
      <c r="X111" s="1016">
        <v>5</v>
      </c>
      <c r="Y111" s="1018">
        <v>5</v>
      </c>
      <c r="Z111" s="1018">
        <v>5</v>
      </c>
      <c r="AA111" s="1018">
        <v>5</v>
      </c>
      <c r="AB111" s="1016">
        <v>5</v>
      </c>
      <c r="AC111" s="1016">
        <v>5</v>
      </c>
      <c r="AD111" s="1016">
        <v>5</v>
      </c>
      <c r="AE111" s="1016"/>
      <c r="AF111" s="1016"/>
      <c r="AG111" s="1016"/>
    </row>
    <row r="112" spans="2:33" hidden="1" outlineLevel="1" x14ac:dyDescent="0.35">
      <c r="B112" s="1040"/>
      <c r="C112" s="197"/>
      <c r="D112" s="3844"/>
      <c r="E112" s="368" t="s">
        <v>2300</v>
      </c>
      <c r="F112" s="1018">
        <v>5</v>
      </c>
      <c r="G112" s="2393"/>
      <c r="H112" s="822" t="s">
        <v>1612</v>
      </c>
      <c r="I112" s="756"/>
      <c r="J112" s="756"/>
      <c r="K112" s="199"/>
      <c r="L112" s="199"/>
      <c r="M112" s="199"/>
      <c r="N112" s="199"/>
      <c r="O112" s="199"/>
      <c r="P112" s="199"/>
      <c r="Q112" s="199"/>
      <c r="V112" s="4279"/>
      <c r="W112" s="1016">
        <v>5</v>
      </c>
      <c r="X112" s="1016">
        <v>5</v>
      </c>
      <c r="Y112" s="1018">
        <v>5</v>
      </c>
      <c r="Z112" s="1018">
        <v>5</v>
      </c>
      <c r="AA112" s="1018">
        <v>5</v>
      </c>
      <c r="AB112" s="1016">
        <v>5</v>
      </c>
      <c r="AC112" s="1016">
        <v>5</v>
      </c>
      <c r="AD112" s="1016">
        <v>5</v>
      </c>
      <c r="AE112" s="1016"/>
      <c r="AF112" s="1016"/>
      <c r="AG112" s="1016"/>
    </row>
    <row r="113" spans="2:33" hidden="1" outlineLevel="1" x14ac:dyDescent="0.35">
      <c r="B113" s="1040"/>
      <c r="C113" s="197"/>
      <c r="D113" s="3844"/>
      <c r="E113" s="368" t="s">
        <v>2301</v>
      </c>
      <c r="F113" s="1018">
        <v>5</v>
      </c>
      <c r="G113" s="2393"/>
      <c r="H113" s="822" t="s">
        <v>1612</v>
      </c>
      <c r="I113" s="756"/>
      <c r="J113" s="756"/>
      <c r="K113" s="199"/>
      <c r="L113" s="199"/>
      <c r="M113" s="199"/>
      <c r="N113" s="199"/>
      <c r="O113" s="199"/>
      <c r="P113" s="199"/>
      <c r="Q113" s="199"/>
      <c r="V113" s="4279"/>
      <c r="W113" s="1016">
        <v>5</v>
      </c>
      <c r="X113" s="1016">
        <v>5</v>
      </c>
      <c r="Y113" s="1018">
        <v>5</v>
      </c>
      <c r="Z113" s="1018">
        <v>5</v>
      </c>
      <c r="AA113" s="1018">
        <v>5</v>
      </c>
      <c r="AB113" s="1016">
        <v>5</v>
      </c>
      <c r="AC113" s="1016">
        <v>5</v>
      </c>
      <c r="AD113" s="1016">
        <v>5</v>
      </c>
      <c r="AE113" s="1016"/>
      <c r="AF113" s="1016"/>
      <c r="AG113" s="1016"/>
    </row>
    <row r="114" spans="2:33" ht="15" hidden="1" customHeight="1" outlineLevel="1" x14ac:dyDescent="0.35">
      <c r="B114" s="1040"/>
      <c r="C114" s="197"/>
      <c r="D114" s="3843" t="s">
        <v>1613</v>
      </c>
      <c r="E114" s="368" t="s">
        <v>2292</v>
      </c>
      <c r="F114" s="1018">
        <v>49</v>
      </c>
      <c r="G114" s="2393"/>
      <c r="H114" s="822" t="s">
        <v>1612</v>
      </c>
      <c r="I114" s="756"/>
      <c r="J114" s="756"/>
      <c r="K114" s="199"/>
      <c r="L114" s="199"/>
      <c r="M114" s="199"/>
      <c r="N114" s="199"/>
      <c r="O114" s="199"/>
      <c r="P114" s="199"/>
      <c r="Q114" s="199"/>
      <c r="V114" s="4278" t="str">
        <f>D114</f>
        <v>RAttic</v>
      </c>
      <c r="W114" s="1016">
        <v>49</v>
      </c>
      <c r="X114" s="1016">
        <v>49</v>
      </c>
      <c r="Y114" s="1018">
        <v>49</v>
      </c>
      <c r="Z114" s="1018">
        <v>49</v>
      </c>
      <c r="AA114" s="1018">
        <v>49</v>
      </c>
      <c r="AB114" s="1016">
        <v>49</v>
      </c>
      <c r="AC114" s="1016">
        <v>49</v>
      </c>
      <c r="AD114" s="1016">
        <v>49</v>
      </c>
      <c r="AE114" s="1016"/>
      <c r="AF114" s="1016"/>
      <c r="AG114" s="1016"/>
    </row>
    <row r="115" spans="2:33" hidden="1" outlineLevel="1" x14ac:dyDescent="0.35">
      <c r="B115" s="1040"/>
      <c r="C115" s="197"/>
      <c r="D115" s="3844"/>
      <c r="E115" s="368" t="s">
        <v>2293</v>
      </c>
      <c r="F115" s="1018">
        <v>49</v>
      </c>
      <c r="G115" s="2393"/>
      <c r="H115" s="822" t="s">
        <v>1612</v>
      </c>
      <c r="I115" s="756"/>
      <c r="J115" s="756"/>
      <c r="K115" s="199"/>
      <c r="L115" s="199"/>
      <c r="M115" s="199"/>
      <c r="N115" s="199"/>
      <c r="O115" s="199"/>
      <c r="P115" s="199"/>
      <c r="Q115" s="199"/>
      <c r="V115" s="4279"/>
      <c r="W115" s="1016">
        <v>49</v>
      </c>
      <c r="X115" s="1016">
        <v>49</v>
      </c>
      <c r="Y115" s="1018">
        <v>49</v>
      </c>
      <c r="Z115" s="1018">
        <v>49</v>
      </c>
      <c r="AA115" s="1018">
        <v>49</v>
      </c>
      <c r="AB115" s="1016">
        <v>49</v>
      </c>
      <c r="AC115" s="1016">
        <v>49</v>
      </c>
      <c r="AD115" s="1016">
        <v>49</v>
      </c>
      <c r="AE115" s="1016"/>
      <c r="AF115" s="1016"/>
      <c r="AG115" s="1016"/>
    </row>
    <row r="116" spans="2:33" hidden="1" outlineLevel="1" x14ac:dyDescent="0.35">
      <c r="B116" s="1040"/>
      <c r="C116" s="197"/>
      <c r="D116" s="3844"/>
      <c r="E116" s="368" t="s">
        <v>2294</v>
      </c>
      <c r="F116" s="1018">
        <v>30</v>
      </c>
      <c r="G116" s="2393"/>
      <c r="H116" s="822" t="s">
        <v>1612</v>
      </c>
      <c r="I116" s="756"/>
      <c r="J116" s="756"/>
      <c r="K116" s="199"/>
      <c r="L116" s="199"/>
      <c r="M116" s="199"/>
      <c r="N116" s="199"/>
      <c r="O116" s="199"/>
      <c r="P116" s="199"/>
      <c r="Q116" s="199"/>
      <c r="V116" s="4279"/>
      <c r="W116" s="1016">
        <v>30</v>
      </c>
      <c r="X116" s="1016">
        <v>30</v>
      </c>
      <c r="Y116" s="1018">
        <v>30</v>
      </c>
      <c r="Z116" s="1018">
        <v>30</v>
      </c>
      <c r="AA116" s="1018">
        <v>30</v>
      </c>
      <c r="AB116" s="1016">
        <v>30</v>
      </c>
      <c r="AC116" s="1016">
        <v>30</v>
      </c>
      <c r="AD116" s="1016">
        <v>30</v>
      </c>
      <c r="AE116" s="1016"/>
      <c r="AF116" s="1016"/>
      <c r="AG116" s="1016"/>
    </row>
    <row r="117" spans="2:33" hidden="1" outlineLevel="1" x14ac:dyDescent="0.35">
      <c r="B117" s="1040"/>
      <c r="C117" s="197"/>
      <c r="D117" s="3844"/>
      <c r="E117" s="368" t="s">
        <v>2295</v>
      </c>
      <c r="F117" s="1018">
        <v>30</v>
      </c>
      <c r="G117" s="2393"/>
      <c r="H117" s="822" t="s">
        <v>1612</v>
      </c>
      <c r="I117" s="756"/>
      <c r="J117" s="756"/>
      <c r="K117" s="199"/>
      <c r="L117" s="199"/>
      <c r="M117" s="199"/>
      <c r="N117" s="199"/>
      <c r="O117" s="199"/>
      <c r="P117" s="199"/>
      <c r="Q117" s="199"/>
      <c r="V117" s="4279"/>
      <c r="W117" s="1016">
        <v>30</v>
      </c>
      <c r="X117" s="1016">
        <v>30</v>
      </c>
      <c r="Y117" s="1018">
        <v>30</v>
      </c>
      <c r="Z117" s="1018">
        <v>30</v>
      </c>
      <c r="AA117" s="1018">
        <v>30</v>
      </c>
      <c r="AB117" s="1016">
        <v>30</v>
      </c>
      <c r="AC117" s="1016">
        <v>30</v>
      </c>
      <c r="AD117" s="1016">
        <v>30</v>
      </c>
      <c r="AE117" s="1016"/>
      <c r="AF117" s="1016"/>
      <c r="AG117" s="1016"/>
    </row>
    <row r="118" spans="2:33" hidden="1" outlineLevel="1" x14ac:dyDescent="0.35">
      <c r="B118" s="1040"/>
      <c r="C118" s="197"/>
      <c r="D118" s="3844"/>
      <c r="E118" s="368" t="s">
        <v>2296</v>
      </c>
      <c r="F118" s="1018">
        <v>38</v>
      </c>
      <c r="G118" s="2393"/>
      <c r="H118" s="822" t="s">
        <v>1612</v>
      </c>
      <c r="I118" s="756"/>
      <c r="J118" s="756"/>
      <c r="K118" s="199"/>
      <c r="L118" s="199"/>
      <c r="M118" s="199"/>
      <c r="N118" s="199"/>
      <c r="O118" s="199"/>
      <c r="P118" s="199"/>
      <c r="Q118" s="199"/>
      <c r="V118" s="4279"/>
      <c r="W118" s="1016">
        <v>38</v>
      </c>
      <c r="X118" s="1016">
        <v>38</v>
      </c>
      <c r="Y118" s="1018">
        <v>38</v>
      </c>
      <c r="Z118" s="1018">
        <v>38</v>
      </c>
      <c r="AA118" s="1018">
        <v>38</v>
      </c>
      <c r="AB118" s="1016">
        <v>38</v>
      </c>
      <c r="AC118" s="1016">
        <v>38</v>
      </c>
      <c r="AD118" s="1016">
        <v>38</v>
      </c>
      <c r="AE118" s="1016"/>
      <c r="AF118" s="1016"/>
      <c r="AG118" s="1016"/>
    </row>
    <row r="119" spans="2:33" hidden="1" outlineLevel="1" x14ac:dyDescent="0.35">
      <c r="B119" s="1040"/>
      <c r="C119" s="197"/>
      <c r="D119" s="3844"/>
      <c r="E119" s="368" t="s">
        <v>2297</v>
      </c>
      <c r="F119" s="1018">
        <v>38</v>
      </c>
      <c r="G119" s="2393"/>
      <c r="H119" s="822" t="s">
        <v>1612</v>
      </c>
      <c r="I119" s="756"/>
      <c r="J119" s="756"/>
      <c r="K119" s="199"/>
      <c r="L119" s="199"/>
      <c r="M119" s="199"/>
      <c r="N119" s="199"/>
      <c r="O119" s="199"/>
      <c r="P119" s="199"/>
      <c r="Q119" s="199"/>
      <c r="V119" s="4279"/>
      <c r="W119" s="1016">
        <v>38</v>
      </c>
      <c r="X119" s="1016">
        <v>38</v>
      </c>
      <c r="Y119" s="1018">
        <v>38</v>
      </c>
      <c r="Z119" s="1018">
        <v>38</v>
      </c>
      <c r="AA119" s="1018">
        <v>38</v>
      </c>
      <c r="AB119" s="1016">
        <v>38</v>
      </c>
      <c r="AC119" s="1016">
        <v>38</v>
      </c>
      <c r="AD119" s="1016">
        <v>38</v>
      </c>
      <c r="AE119" s="1016"/>
      <c r="AF119" s="1016"/>
      <c r="AG119" s="1016"/>
    </row>
    <row r="120" spans="2:33" hidden="1" outlineLevel="1" x14ac:dyDescent="0.35">
      <c r="B120" s="1040"/>
      <c r="C120" s="197"/>
      <c r="D120" s="3844"/>
      <c r="E120" s="368" t="s">
        <v>2298</v>
      </c>
      <c r="F120" s="1018">
        <v>49</v>
      </c>
      <c r="G120" s="2393"/>
      <c r="H120" s="822" t="s">
        <v>1612</v>
      </c>
      <c r="I120" s="756"/>
      <c r="J120" s="756"/>
      <c r="K120" s="199"/>
      <c r="L120" s="199"/>
      <c r="M120" s="199"/>
      <c r="N120" s="199"/>
      <c r="O120" s="199"/>
      <c r="P120" s="199"/>
      <c r="Q120" s="199"/>
      <c r="V120" s="4279"/>
      <c r="W120" s="1016">
        <v>49</v>
      </c>
      <c r="X120" s="1016">
        <v>49</v>
      </c>
      <c r="Y120" s="1018">
        <v>49</v>
      </c>
      <c r="Z120" s="1018">
        <v>49</v>
      </c>
      <c r="AA120" s="1018">
        <v>49</v>
      </c>
      <c r="AB120" s="1016">
        <v>49</v>
      </c>
      <c r="AC120" s="1016">
        <v>49</v>
      </c>
      <c r="AD120" s="1016">
        <v>49</v>
      </c>
      <c r="AE120" s="1016"/>
      <c r="AF120" s="1016"/>
      <c r="AG120" s="1016"/>
    </row>
    <row r="121" spans="2:33" hidden="1" outlineLevel="1" x14ac:dyDescent="0.35">
      <c r="B121" s="1040"/>
      <c r="C121" s="197"/>
      <c r="D121" s="3844"/>
      <c r="E121" s="368" t="s">
        <v>2299</v>
      </c>
      <c r="F121" s="1018">
        <v>49</v>
      </c>
      <c r="G121" s="2393"/>
      <c r="H121" s="822" t="s">
        <v>1612</v>
      </c>
      <c r="I121" s="756"/>
      <c r="J121" s="756"/>
      <c r="K121" s="199"/>
      <c r="L121" s="199"/>
      <c r="M121" s="199"/>
      <c r="N121" s="199"/>
      <c r="O121" s="199"/>
      <c r="P121" s="199"/>
      <c r="Q121" s="199"/>
      <c r="V121" s="4279"/>
      <c r="W121" s="1016">
        <v>49</v>
      </c>
      <c r="X121" s="1016">
        <v>49</v>
      </c>
      <c r="Y121" s="1018">
        <v>49</v>
      </c>
      <c r="Z121" s="1018">
        <v>49</v>
      </c>
      <c r="AA121" s="1018">
        <v>49</v>
      </c>
      <c r="AB121" s="1016">
        <v>49</v>
      </c>
      <c r="AC121" s="1016">
        <v>49</v>
      </c>
      <c r="AD121" s="1016">
        <v>49</v>
      </c>
      <c r="AE121" s="1016"/>
      <c r="AF121" s="1016"/>
      <c r="AG121" s="1016"/>
    </row>
    <row r="122" spans="2:33" hidden="1" outlineLevel="1" x14ac:dyDescent="0.35">
      <c r="B122" s="1040"/>
      <c r="C122" s="197"/>
      <c r="D122" s="3844"/>
      <c r="E122" s="368" t="s">
        <v>2300</v>
      </c>
      <c r="F122" s="1018">
        <v>60</v>
      </c>
      <c r="G122" s="2393"/>
      <c r="H122" s="822" t="s">
        <v>1612</v>
      </c>
      <c r="I122" s="756"/>
      <c r="J122" s="756"/>
      <c r="K122" s="199"/>
      <c r="L122" s="199"/>
      <c r="M122" s="199"/>
      <c r="N122" s="199"/>
      <c r="O122" s="199"/>
      <c r="P122" s="199"/>
      <c r="Q122" s="199"/>
      <c r="V122" s="4279"/>
      <c r="W122" s="1016">
        <v>60</v>
      </c>
      <c r="X122" s="1016">
        <v>60</v>
      </c>
      <c r="Y122" s="1018">
        <v>60</v>
      </c>
      <c r="Z122" s="1018">
        <v>60</v>
      </c>
      <c r="AA122" s="1018">
        <v>60</v>
      </c>
      <c r="AB122" s="1016">
        <v>60</v>
      </c>
      <c r="AC122" s="1016">
        <v>60</v>
      </c>
      <c r="AD122" s="1016">
        <v>60</v>
      </c>
      <c r="AE122" s="1016"/>
      <c r="AF122" s="1016"/>
      <c r="AG122" s="1016"/>
    </row>
    <row r="123" spans="2:33" hidden="1" outlineLevel="1" x14ac:dyDescent="0.35">
      <c r="B123" s="1040"/>
      <c r="C123" s="197"/>
      <c r="D123" s="3844"/>
      <c r="E123" s="368" t="s">
        <v>2301</v>
      </c>
      <c r="F123" s="1018">
        <v>60</v>
      </c>
      <c r="G123" s="2393"/>
      <c r="H123" s="822" t="s">
        <v>1612</v>
      </c>
      <c r="I123" s="756"/>
      <c r="J123" s="756"/>
      <c r="K123" s="199"/>
      <c r="L123" s="199"/>
      <c r="M123" s="199"/>
      <c r="N123" s="199"/>
      <c r="O123" s="199"/>
      <c r="P123" s="199"/>
      <c r="Q123" s="199"/>
      <c r="V123" s="4279"/>
      <c r="W123" s="1016">
        <v>60</v>
      </c>
      <c r="X123" s="1016">
        <v>60</v>
      </c>
      <c r="Y123" s="1018">
        <v>60</v>
      </c>
      <c r="Z123" s="1018">
        <v>60</v>
      </c>
      <c r="AA123" s="1018">
        <v>60</v>
      </c>
      <c r="AB123" s="1016">
        <v>60</v>
      </c>
      <c r="AC123" s="1016">
        <v>60</v>
      </c>
      <c r="AD123" s="1016">
        <v>60</v>
      </c>
      <c r="AE123" s="1016"/>
      <c r="AF123" s="1016"/>
      <c r="AG123" s="1016"/>
    </row>
    <row r="124" spans="2:33" ht="15" hidden="1" customHeight="1" outlineLevel="1" x14ac:dyDescent="0.35">
      <c r="B124" s="199"/>
      <c r="C124" s="197"/>
      <c r="D124" s="3843" t="s">
        <v>1614</v>
      </c>
      <c r="E124" s="368" t="s">
        <v>2292</v>
      </c>
      <c r="F124" s="1018">
        <v>1</v>
      </c>
      <c r="G124" s="2393" t="s">
        <v>1615</v>
      </c>
      <c r="H124" s="822" t="s">
        <v>2302</v>
      </c>
      <c r="I124" s="756"/>
      <c r="J124" s="756"/>
      <c r="K124" s="199"/>
      <c r="L124" s="199"/>
      <c r="M124" s="199"/>
      <c r="N124" s="199"/>
      <c r="O124" s="199"/>
      <c r="P124" s="199"/>
      <c r="Q124" s="199"/>
      <c r="V124" s="4278" t="str">
        <f>D124</f>
        <v>AAttic</v>
      </c>
      <c r="W124" s="1016">
        <f>1347*0.65</f>
        <v>875.55000000000007</v>
      </c>
      <c r="X124" s="1016">
        <f>1347*0.65</f>
        <v>875.55000000000007</v>
      </c>
      <c r="Y124" s="774">
        <v>1</v>
      </c>
      <c r="Z124" s="1018">
        <v>1</v>
      </c>
      <c r="AA124" s="1018">
        <v>1</v>
      </c>
      <c r="AB124" s="1016">
        <v>1</v>
      </c>
      <c r="AC124" s="1016">
        <v>1</v>
      </c>
      <c r="AD124" s="1016">
        <v>1</v>
      </c>
      <c r="AE124" s="1016"/>
      <c r="AF124" s="1016"/>
      <c r="AG124" s="1016"/>
    </row>
    <row r="125" spans="2:33" hidden="1" outlineLevel="1" x14ac:dyDescent="0.35">
      <c r="B125" s="1040"/>
      <c r="C125" s="197"/>
      <c r="D125" s="3844"/>
      <c r="E125" s="368" t="s">
        <v>2293</v>
      </c>
      <c r="F125" s="1018">
        <v>1</v>
      </c>
      <c r="G125" s="2393" t="s">
        <v>1615</v>
      </c>
      <c r="H125" s="822" t="s">
        <v>2302</v>
      </c>
      <c r="I125" s="756"/>
      <c r="J125" s="756"/>
      <c r="K125" s="199"/>
      <c r="L125" s="199"/>
      <c r="M125" s="199"/>
      <c r="N125" s="199"/>
      <c r="O125" s="199"/>
      <c r="P125" s="199"/>
      <c r="Q125" s="199"/>
      <c r="V125" s="4279"/>
      <c r="W125" s="1016">
        <f>1347*0.65</f>
        <v>875.55000000000007</v>
      </c>
      <c r="X125" s="1016">
        <f>1347*0.65</f>
        <v>875.55000000000007</v>
      </c>
      <c r="Y125" s="774">
        <v>1</v>
      </c>
      <c r="Z125" s="1018">
        <v>1</v>
      </c>
      <c r="AA125" s="1018">
        <v>1</v>
      </c>
      <c r="AB125" s="1016">
        <v>1</v>
      </c>
      <c r="AC125" s="1016">
        <v>1</v>
      </c>
      <c r="AD125" s="1016">
        <v>1</v>
      </c>
      <c r="AE125" s="1016"/>
      <c r="AF125" s="1016"/>
      <c r="AG125" s="1016"/>
    </row>
    <row r="126" spans="2:33" ht="29" hidden="1" outlineLevel="1" x14ac:dyDescent="0.35">
      <c r="B126" s="1040"/>
      <c r="C126" s="197"/>
      <c r="D126" s="3844"/>
      <c r="E126" s="368" t="s">
        <v>2294</v>
      </c>
      <c r="F126" s="1018">
        <v>1</v>
      </c>
      <c r="G126" s="2393" t="s">
        <v>2303</v>
      </c>
      <c r="H126" s="822" t="s">
        <v>2304</v>
      </c>
      <c r="I126" s="756"/>
      <c r="J126" s="756"/>
      <c r="K126" s="199"/>
      <c r="L126" s="199"/>
      <c r="M126" s="199"/>
      <c r="N126" s="199"/>
      <c r="O126" s="199"/>
      <c r="P126" s="199"/>
      <c r="Q126" s="199"/>
      <c r="V126" s="4279"/>
      <c r="W126" s="1016">
        <f t="shared" ref="W126:X133" si="38">1106*0.65</f>
        <v>718.9</v>
      </c>
      <c r="X126" s="1016">
        <f t="shared" si="38"/>
        <v>718.9</v>
      </c>
      <c r="Y126" s="774">
        <v>1</v>
      </c>
      <c r="Z126" s="1018">
        <v>1</v>
      </c>
      <c r="AA126" s="1018">
        <v>1</v>
      </c>
      <c r="AB126" s="1016">
        <v>1</v>
      </c>
      <c r="AC126" s="1016">
        <v>1</v>
      </c>
      <c r="AD126" s="1016">
        <v>1</v>
      </c>
      <c r="AE126" s="1016"/>
      <c r="AF126" s="1016"/>
      <c r="AG126" s="1016"/>
    </row>
    <row r="127" spans="2:33" ht="29" hidden="1" outlineLevel="1" x14ac:dyDescent="0.35">
      <c r="B127" s="1040"/>
      <c r="C127" s="197"/>
      <c r="D127" s="3844"/>
      <c r="E127" s="368" t="s">
        <v>2295</v>
      </c>
      <c r="F127" s="1018">
        <v>1</v>
      </c>
      <c r="G127" s="2393" t="s">
        <v>2303</v>
      </c>
      <c r="H127" s="822" t="s">
        <v>2304</v>
      </c>
      <c r="I127" s="756"/>
      <c r="J127" s="756"/>
      <c r="K127" s="199"/>
      <c r="L127" s="199"/>
      <c r="M127" s="199"/>
      <c r="N127" s="199"/>
      <c r="O127" s="199"/>
      <c r="P127" s="199"/>
      <c r="Q127" s="199"/>
      <c r="V127" s="4279"/>
      <c r="W127" s="1016">
        <f t="shared" si="38"/>
        <v>718.9</v>
      </c>
      <c r="X127" s="1016">
        <f t="shared" si="38"/>
        <v>718.9</v>
      </c>
      <c r="Y127" s="774">
        <v>1</v>
      </c>
      <c r="Z127" s="1018">
        <v>1</v>
      </c>
      <c r="AA127" s="1018">
        <v>1</v>
      </c>
      <c r="AB127" s="1016">
        <v>1</v>
      </c>
      <c r="AC127" s="1016">
        <v>1</v>
      </c>
      <c r="AD127" s="1016">
        <v>1</v>
      </c>
      <c r="AE127" s="1016"/>
      <c r="AF127" s="1016"/>
      <c r="AG127" s="1016"/>
    </row>
    <row r="128" spans="2:33" ht="29" hidden="1" outlineLevel="1" x14ac:dyDescent="0.35">
      <c r="B128" s="1040"/>
      <c r="C128" s="197"/>
      <c r="D128" s="3844"/>
      <c r="E128" s="368" t="s">
        <v>2296</v>
      </c>
      <c r="F128" s="1018">
        <v>1</v>
      </c>
      <c r="G128" s="2393" t="s">
        <v>2303</v>
      </c>
      <c r="H128" s="822" t="s">
        <v>2304</v>
      </c>
      <c r="I128" s="756"/>
      <c r="J128" s="756"/>
      <c r="K128" s="199"/>
      <c r="L128" s="199"/>
      <c r="M128" s="199"/>
      <c r="N128" s="199"/>
      <c r="O128" s="199"/>
      <c r="P128" s="199"/>
      <c r="Q128" s="199"/>
      <c r="V128" s="4279"/>
      <c r="W128" s="1016">
        <f t="shared" si="38"/>
        <v>718.9</v>
      </c>
      <c r="X128" s="1016">
        <f t="shared" si="38"/>
        <v>718.9</v>
      </c>
      <c r="Y128" s="774">
        <v>1</v>
      </c>
      <c r="Z128" s="1018">
        <v>1</v>
      </c>
      <c r="AA128" s="1018">
        <v>1</v>
      </c>
      <c r="AB128" s="1016">
        <v>1</v>
      </c>
      <c r="AC128" s="1016">
        <v>1</v>
      </c>
      <c r="AD128" s="1016">
        <v>1</v>
      </c>
      <c r="AE128" s="1016"/>
      <c r="AF128" s="1016"/>
      <c r="AG128" s="1016"/>
    </row>
    <row r="129" spans="2:33" ht="29" hidden="1" outlineLevel="1" x14ac:dyDescent="0.35">
      <c r="B129" s="1040"/>
      <c r="C129" s="197"/>
      <c r="D129" s="3844"/>
      <c r="E129" s="368" t="s">
        <v>2297</v>
      </c>
      <c r="F129" s="1018">
        <v>1</v>
      </c>
      <c r="G129" s="2393" t="s">
        <v>2303</v>
      </c>
      <c r="H129" s="822" t="s">
        <v>2304</v>
      </c>
      <c r="I129" s="756"/>
      <c r="J129" s="756"/>
      <c r="K129" s="199"/>
      <c r="L129" s="199"/>
      <c r="M129" s="199"/>
      <c r="N129" s="199"/>
      <c r="O129" s="199"/>
      <c r="P129" s="199"/>
      <c r="Q129" s="199"/>
      <c r="V129" s="4279"/>
      <c r="W129" s="1016">
        <f t="shared" si="38"/>
        <v>718.9</v>
      </c>
      <c r="X129" s="1016">
        <f t="shared" si="38"/>
        <v>718.9</v>
      </c>
      <c r="Y129" s="774">
        <v>1</v>
      </c>
      <c r="Z129" s="1018">
        <v>1</v>
      </c>
      <c r="AA129" s="1018">
        <v>1</v>
      </c>
      <c r="AB129" s="1016">
        <v>1</v>
      </c>
      <c r="AC129" s="1016">
        <v>1</v>
      </c>
      <c r="AD129" s="1016">
        <v>1</v>
      </c>
      <c r="AE129" s="1016"/>
      <c r="AF129" s="1016"/>
      <c r="AG129" s="1016"/>
    </row>
    <row r="130" spans="2:33" hidden="1" outlineLevel="1" x14ac:dyDescent="0.35">
      <c r="B130" s="1040"/>
      <c r="C130" s="197"/>
      <c r="D130" s="3844"/>
      <c r="E130" s="368" t="s">
        <v>2298</v>
      </c>
      <c r="F130" s="1018">
        <v>1</v>
      </c>
      <c r="G130" s="2393" t="s">
        <v>1615</v>
      </c>
      <c r="H130" s="822" t="s">
        <v>2304</v>
      </c>
      <c r="I130" s="756"/>
      <c r="J130" s="756"/>
      <c r="K130" s="199"/>
      <c r="L130" s="199"/>
      <c r="M130" s="199"/>
      <c r="N130" s="199"/>
      <c r="O130" s="199"/>
      <c r="P130" s="199"/>
      <c r="Q130" s="199"/>
      <c r="V130" s="4279"/>
      <c r="W130" s="1016">
        <f t="shared" si="38"/>
        <v>718.9</v>
      </c>
      <c r="X130" s="1016">
        <f t="shared" si="38"/>
        <v>718.9</v>
      </c>
      <c r="Y130" s="774">
        <v>1</v>
      </c>
      <c r="Z130" s="1018">
        <v>1</v>
      </c>
      <c r="AA130" s="1018">
        <v>1</v>
      </c>
      <c r="AB130" s="1016">
        <v>1</v>
      </c>
      <c r="AC130" s="1016">
        <v>1</v>
      </c>
      <c r="AD130" s="1016">
        <v>1</v>
      </c>
      <c r="AE130" s="1016"/>
      <c r="AF130" s="1016"/>
      <c r="AG130" s="1016"/>
    </row>
    <row r="131" spans="2:33" hidden="1" outlineLevel="1" x14ac:dyDescent="0.35">
      <c r="B131" s="1040"/>
      <c r="C131" s="197"/>
      <c r="D131" s="3844"/>
      <c r="E131" s="368" t="s">
        <v>2299</v>
      </c>
      <c r="F131" s="1018">
        <v>1</v>
      </c>
      <c r="G131" s="2393" t="s">
        <v>1615</v>
      </c>
      <c r="H131" s="822" t="s">
        <v>2304</v>
      </c>
      <c r="I131" s="756"/>
      <c r="J131" s="756"/>
      <c r="K131" s="199"/>
      <c r="L131" s="199"/>
      <c r="M131" s="199"/>
      <c r="N131" s="199"/>
      <c r="O131" s="199"/>
      <c r="P131" s="199"/>
      <c r="Q131" s="199"/>
      <c r="V131" s="4279"/>
      <c r="W131" s="1016">
        <f t="shared" si="38"/>
        <v>718.9</v>
      </c>
      <c r="X131" s="1016">
        <f t="shared" si="38"/>
        <v>718.9</v>
      </c>
      <c r="Y131" s="774">
        <v>1</v>
      </c>
      <c r="Z131" s="1018">
        <v>1</v>
      </c>
      <c r="AA131" s="1018">
        <v>1</v>
      </c>
      <c r="AB131" s="1016">
        <v>1</v>
      </c>
      <c r="AC131" s="1016">
        <v>1</v>
      </c>
      <c r="AD131" s="1016">
        <v>1</v>
      </c>
      <c r="AE131" s="1016"/>
      <c r="AF131" s="1016"/>
      <c r="AG131" s="1016"/>
    </row>
    <row r="132" spans="2:33" ht="29" hidden="1" outlineLevel="1" x14ac:dyDescent="0.35">
      <c r="B132" s="1040"/>
      <c r="C132" s="197"/>
      <c r="D132" s="3844"/>
      <c r="E132" s="368" t="s">
        <v>2300</v>
      </c>
      <c r="F132" s="1018">
        <v>1</v>
      </c>
      <c r="G132" s="2393" t="s">
        <v>2303</v>
      </c>
      <c r="H132" s="822" t="s">
        <v>2304</v>
      </c>
      <c r="I132" s="756"/>
      <c r="J132" s="756"/>
      <c r="K132" s="199"/>
      <c r="L132" s="199"/>
      <c r="M132" s="199"/>
      <c r="N132" s="199"/>
      <c r="O132" s="199"/>
      <c r="P132" s="199"/>
      <c r="Q132" s="199"/>
      <c r="V132" s="4279"/>
      <c r="W132" s="1016">
        <f t="shared" si="38"/>
        <v>718.9</v>
      </c>
      <c r="X132" s="1016">
        <f t="shared" si="38"/>
        <v>718.9</v>
      </c>
      <c r="Y132" s="774">
        <v>1</v>
      </c>
      <c r="Z132" s="1018">
        <v>1</v>
      </c>
      <c r="AA132" s="1018">
        <v>1</v>
      </c>
      <c r="AB132" s="1016">
        <v>1</v>
      </c>
      <c r="AC132" s="1016">
        <v>1</v>
      </c>
      <c r="AD132" s="1016">
        <v>1</v>
      </c>
      <c r="AE132" s="1016"/>
      <c r="AF132" s="1016"/>
      <c r="AG132" s="1016"/>
    </row>
    <row r="133" spans="2:33" ht="29" hidden="1" outlineLevel="1" x14ac:dyDescent="0.35">
      <c r="B133" s="1040"/>
      <c r="C133" s="197"/>
      <c r="D133" s="3844"/>
      <c r="E133" s="368" t="s">
        <v>2301</v>
      </c>
      <c r="F133" s="1018">
        <v>1</v>
      </c>
      <c r="G133" s="2393" t="s">
        <v>2305</v>
      </c>
      <c r="H133" s="822" t="s">
        <v>2304</v>
      </c>
      <c r="I133" s="756"/>
      <c r="J133" s="756"/>
      <c r="K133" s="199"/>
      <c r="L133" s="199"/>
      <c r="M133" s="199"/>
      <c r="N133" s="199"/>
      <c r="O133" s="199"/>
      <c r="P133" s="199"/>
      <c r="Q133" s="199"/>
      <c r="V133" s="4279"/>
      <c r="W133" s="1016">
        <f t="shared" si="38"/>
        <v>718.9</v>
      </c>
      <c r="X133" s="1016">
        <f t="shared" si="38"/>
        <v>718.9</v>
      </c>
      <c r="Y133" s="774">
        <v>1</v>
      </c>
      <c r="Z133" s="1018">
        <v>1</v>
      </c>
      <c r="AA133" s="1018">
        <v>1</v>
      </c>
      <c r="AB133" s="1016">
        <v>1</v>
      </c>
      <c r="AC133" s="1016">
        <v>1</v>
      </c>
      <c r="AD133" s="1016">
        <v>1</v>
      </c>
      <c r="AE133" s="1016"/>
      <c r="AF133" s="1016"/>
      <c r="AG133" s="1016"/>
    </row>
    <row r="134" spans="2:33" ht="16.5" hidden="1" outlineLevel="1" x14ac:dyDescent="0.35">
      <c r="B134" s="199"/>
      <c r="C134" s="197"/>
      <c r="D134" s="2365" t="s">
        <v>1621</v>
      </c>
      <c r="E134" s="368" t="s">
        <v>134</v>
      </c>
      <c r="F134" s="787">
        <v>7.0000000000000007E-2</v>
      </c>
      <c r="G134" s="2393" t="s">
        <v>1622</v>
      </c>
      <c r="H134" s="822"/>
      <c r="I134" s="756"/>
      <c r="J134" s="756"/>
      <c r="K134" s="199"/>
      <c r="L134" s="199"/>
      <c r="M134" s="199"/>
      <c r="N134" s="199"/>
      <c r="O134" s="199"/>
      <c r="P134" s="199"/>
      <c r="Q134" s="199"/>
      <c r="V134" s="763" t="str">
        <f>D134</f>
        <v>Framing FactorAttic</v>
      </c>
      <c r="W134" s="414">
        <v>7.0000000000000007E-2</v>
      </c>
      <c r="X134" s="414">
        <v>7.0000000000000007E-2</v>
      </c>
      <c r="Y134" s="787">
        <v>7.0000000000000007E-2</v>
      </c>
      <c r="Z134" s="787">
        <v>7.0000000000000007E-2</v>
      </c>
      <c r="AA134" s="787">
        <v>7.0000000000000007E-2</v>
      </c>
      <c r="AB134" s="414">
        <v>7.0000000000000007E-2</v>
      </c>
      <c r="AC134" s="414">
        <v>7.0000000000000007E-2</v>
      </c>
      <c r="AD134" s="414">
        <v>7.0000000000000007E-2</v>
      </c>
      <c r="AE134" s="414"/>
      <c r="AF134" s="414"/>
      <c r="AG134" s="414"/>
    </row>
    <row r="135" spans="2:33" hidden="1" outlineLevel="1" x14ac:dyDescent="0.35">
      <c r="B135" s="199"/>
      <c r="C135" s="197"/>
      <c r="D135" s="2365" t="s">
        <v>1623</v>
      </c>
      <c r="E135" s="368" t="s">
        <v>134</v>
      </c>
      <c r="F135" s="1018">
        <v>4486</v>
      </c>
      <c r="G135" s="2393" t="s">
        <v>314</v>
      </c>
      <c r="H135" s="822" t="s">
        <v>1624</v>
      </c>
      <c r="I135" s="756"/>
      <c r="J135" s="756"/>
      <c r="K135" s="199"/>
      <c r="L135" s="199"/>
      <c r="M135" s="199"/>
      <c r="N135" s="199"/>
      <c r="O135" s="199"/>
      <c r="P135" s="199"/>
      <c r="Q135" s="199"/>
      <c r="V135" s="763" t="str">
        <f>D135</f>
        <v>HDD</v>
      </c>
      <c r="W135" s="1016">
        <v>4486</v>
      </c>
      <c r="X135" s="1016">
        <v>4486</v>
      </c>
      <c r="Y135" s="1018">
        <v>4486</v>
      </c>
      <c r="Z135" s="1018">
        <v>4486</v>
      </c>
      <c r="AA135" s="1018">
        <v>4486</v>
      </c>
      <c r="AB135" s="1016">
        <v>4486</v>
      </c>
      <c r="AC135" s="1016">
        <v>4486</v>
      </c>
      <c r="AD135" s="1016">
        <v>4486</v>
      </c>
      <c r="AE135" s="1016"/>
      <c r="AF135" s="1016"/>
      <c r="AG135" s="1016"/>
    </row>
    <row r="136" spans="2:33" ht="16.5" hidden="1" outlineLevel="1" x14ac:dyDescent="0.35">
      <c r="B136" s="199"/>
      <c r="C136" s="197"/>
      <c r="D136" s="2365" t="s">
        <v>1625</v>
      </c>
      <c r="E136" s="368" t="s">
        <v>134</v>
      </c>
      <c r="F136" s="787">
        <v>0.74</v>
      </c>
      <c r="G136" s="2393" t="s">
        <v>284</v>
      </c>
      <c r="H136" s="822"/>
      <c r="I136" s="756"/>
      <c r="J136" s="756"/>
      <c r="K136" s="199"/>
      <c r="L136" s="199"/>
      <c r="M136" s="199"/>
      <c r="N136" s="199"/>
      <c r="O136" s="199"/>
      <c r="P136" s="199"/>
      <c r="Q136" s="199"/>
      <c r="V136" s="763" t="str">
        <f>D136</f>
        <v>AdjAttic</v>
      </c>
      <c r="W136" s="414">
        <v>0.74</v>
      </c>
      <c r="X136" s="414">
        <v>0.74</v>
      </c>
      <c r="Y136" s="787">
        <v>0.74</v>
      </c>
      <c r="Z136" s="787">
        <v>0.74</v>
      </c>
      <c r="AA136" s="787">
        <v>0.74</v>
      </c>
      <c r="AB136" s="414">
        <v>0.74</v>
      </c>
      <c r="AC136" s="414">
        <v>0.74</v>
      </c>
      <c r="AD136" s="414">
        <v>0.74</v>
      </c>
      <c r="AE136" s="414"/>
      <c r="AF136" s="414"/>
      <c r="AG136" s="414"/>
    </row>
    <row r="137" spans="2:33" hidden="1" outlineLevel="1" x14ac:dyDescent="0.35">
      <c r="B137" s="199"/>
      <c r="C137" s="197"/>
      <c r="D137" s="3843" t="s">
        <v>1626</v>
      </c>
      <c r="E137" s="368" t="s">
        <v>2292</v>
      </c>
      <c r="F137" s="783">
        <v>1</v>
      </c>
      <c r="G137" s="822" t="s">
        <v>2306</v>
      </c>
      <c r="H137" s="4480" t="s">
        <v>288</v>
      </c>
      <c r="I137" s="756"/>
      <c r="J137" s="756"/>
      <c r="K137" s="199"/>
      <c r="L137" s="199"/>
      <c r="M137" s="199"/>
      <c r="N137" s="199"/>
      <c r="O137" s="199"/>
      <c r="P137" s="199"/>
      <c r="Q137" s="199"/>
      <c r="V137" s="4278" t="str">
        <f>D137</f>
        <v>ƞheat</v>
      </c>
      <c r="W137" s="1017">
        <v>1</v>
      </c>
      <c r="X137" s="1017">
        <v>1</v>
      </c>
      <c r="Y137" s="783">
        <v>1</v>
      </c>
      <c r="Z137" s="783">
        <v>1</v>
      </c>
      <c r="AA137" s="783">
        <v>1</v>
      </c>
      <c r="AB137" s="1017">
        <v>1</v>
      </c>
      <c r="AC137" s="1017">
        <v>1</v>
      </c>
      <c r="AD137" s="1017">
        <v>1</v>
      </c>
      <c r="AE137" s="1017"/>
      <c r="AF137" s="1017"/>
      <c r="AG137" s="1017"/>
    </row>
    <row r="138" spans="2:33" hidden="1" outlineLevel="1" x14ac:dyDescent="0.35">
      <c r="B138" s="199"/>
      <c r="C138" s="197"/>
      <c r="D138" s="3844"/>
      <c r="E138" s="368" t="s">
        <v>2293</v>
      </c>
      <c r="F138" s="787">
        <v>0.71</v>
      </c>
      <c r="G138" s="822" t="s">
        <v>1615</v>
      </c>
      <c r="H138" s="4481" t="s">
        <v>1615</v>
      </c>
      <c r="I138" s="756"/>
      <c r="J138" s="756"/>
      <c r="K138" s="199"/>
      <c r="L138" s="199"/>
      <c r="M138" s="199"/>
      <c r="N138" s="199"/>
      <c r="O138" s="199"/>
      <c r="P138" s="199"/>
      <c r="Q138" s="199"/>
      <c r="V138" s="4279"/>
      <c r="W138" s="414">
        <v>0.71</v>
      </c>
      <c r="X138" s="414">
        <v>0.71</v>
      </c>
      <c r="Y138" s="787">
        <v>0.71</v>
      </c>
      <c r="Z138" s="787">
        <v>0.71</v>
      </c>
      <c r="AA138" s="787">
        <v>0.71</v>
      </c>
      <c r="AB138" s="414">
        <v>0.71</v>
      </c>
      <c r="AC138" s="414">
        <v>0.71</v>
      </c>
      <c r="AD138" s="414">
        <v>0.71</v>
      </c>
      <c r="AE138" s="414"/>
      <c r="AF138" s="414"/>
      <c r="AG138" s="414"/>
    </row>
    <row r="139" spans="2:33" hidden="1" outlineLevel="1" x14ac:dyDescent="0.35">
      <c r="B139" s="199"/>
      <c r="C139" s="197"/>
      <c r="D139" s="3844"/>
      <c r="E139" s="368" t="s">
        <v>2294</v>
      </c>
      <c r="F139" s="783">
        <v>1</v>
      </c>
      <c r="G139" s="822"/>
      <c r="H139" s="4481"/>
      <c r="I139" s="756"/>
      <c r="J139" s="756"/>
      <c r="K139" s="199"/>
      <c r="L139" s="199"/>
      <c r="M139" s="199"/>
      <c r="N139" s="199"/>
      <c r="O139" s="199"/>
      <c r="P139" s="199"/>
      <c r="Q139" s="199"/>
      <c r="V139" s="4279"/>
      <c r="W139" s="1017">
        <v>1</v>
      </c>
      <c r="X139" s="1017">
        <v>1</v>
      </c>
      <c r="Y139" s="783">
        <v>1</v>
      </c>
      <c r="Z139" s="783">
        <v>1</v>
      </c>
      <c r="AA139" s="783">
        <v>1</v>
      </c>
      <c r="AB139" s="1017">
        <v>1</v>
      </c>
      <c r="AC139" s="1017">
        <v>1</v>
      </c>
      <c r="AD139" s="1017">
        <v>1</v>
      </c>
      <c r="AE139" s="1017"/>
      <c r="AF139" s="1017"/>
      <c r="AG139" s="1017"/>
    </row>
    <row r="140" spans="2:33" hidden="1" outlineLevel="1" x14ac:dyDescent="0.35">
      <c r="B140" s="199"/>
      <c r="C140" s="197"/>
      <c r="D140" s="3844"/>
      <c r="E140" s="368" t="s">
        <v>2295</v>
      </c>
      <c r="F140" s="787">
        <v>0.71</v>
      </c>
      <c r="G140" s="822" t="s">
        <v>1615</v>
      </c>
      <c r="H140" s="4481" t="s">
        <v>1615</v>
      </c>
      <c r="I140" s="756"/>
      <c r="J140" s="756"/>
      <c r="K140" s="199"/>
      <c r="L140" s="199"/>
      <c r="M140" s="199"/>
      <c r="N140" s="199"/>
      <c r="O140" s="199"/>
      <c r="P140" s="199"/>
      <c r="Q140" s="199"/>
      <c r="V140" s="4279"/>
      <c r="W140" s="414">
        <v>0.71</v>
      </c>
      <c r="X140" s="414">
        <v>0.71</v>
      </c>
      <c r="Y140" s="787">
        <v>0.71</v>
      </c>
      <c r="Z140" s="787">
        <v>0.71</v>
      </c>
      <c r="AA140" s="787">
        <v>0.71</v>
      </c>
      <c r="AB140" s="414">
        <v>0.71</v>
      </c>
      <c r="AC140" s="414">
        <v>0.71</v>
      </c>
      <c r="AD140" s="414">
        <v>0.71</v>
      </c>
      <c r="AE140" s="414"/>
      <c r="AF140" s="414"/>
      <c r="AG140" s="414"/>
    </row>
    <row r="141" spans="2:33" hidden="1" outlineLevel="1" x14ac:dyDescent="0.35">
      <c r="B141" s="199"/>
      <c r="C141" s="197"/>
      <c r="D141" s="3844"/>
      <c r="E141" s="368" t="s">
        <v>2296</v>
      </c>
      <c r="F141" s="783">
        <v>1</v>
      </c>
      <c r="G141" s="822"/>
      <c r="H141" s="4481"/>
      <c r="I141" s="756"/>
      <c r="J141" s="756"/>
      <c r="K141" s="199"/>
      <c r="L141" s="199"/>
      <c r="M141" s="199"/>
      <c r="N141" s="199"/>
      <c r="O141" s="199"/>
      <c r="P141" s="199"/>
      <c r="Q141" s="199"/>
      <c r="V141" s="4279"/>
      <c r="W141" s="1017">
        <v>1</v>
      </c>
      <c r="X141" s="1017">
        <v>1</v>
      </c>
      <c r="Y141" s="783">
        <v>1</v>
      </c>
      <c r="Z141" s="783">
        <v>1</v>
      </c>
      <c r="AA141" s="783">
        <v>1</v>
      </c>
      <c r="AB141" s="1017">
        <v>1</v>
      </c>
      <c r="AC141" s="1017">
        <v>1</v>
      </c>
      <c r="AD141" s="1017">
        <v>1</v>
      </c>
      <c r="AE141" s="1017"/>
      <c r="AF141" s="1017"/>
      <c r="AG141" s="1017"/>
    </row>
    <row r="142" spans="2:33" hidden="1" outlineLevel="1" x14ac:dyDescent="0.35">
      <c r="B142" s="199"/>
      <c r="C142" s="197"/>
      <c r="D142" s="3844"/>
      <c r="E142" s="368" t="s">
        <v>2297</v>
      </c>
      <c r="F142" s="787">
        <v>0.71</v>
      </c>
      <c r="G142" s="822" t="s">
        <v>1615</v>
      </c>
      <c r="H142" s="4481" t="s">
        <v>1615</v>
      </c>
      <c r="I142" s="756"/>
      <c r="J142" s="756"/>
      <c r="K142" s="199"/>
      <c r="L142" s="199"/>
      <c r="M142" s="199"/>
      <c r="N142" s="199"/>
      <c r="O142" s="199"/>
      <c r="P142" s="199"/>
      <c r="Q142" s="199"/>
      <c r="V142" s="4279"/>
      <c r="W142" s="414">
        <v>0.71</v>
      </c>
      <c r="X142" s="414">
        <v>0.71</v>
      </c>
      <c r="Y142" s="787">
        <v>0.71</v>
      </c>
      <c r="Z142" s="787">
        <v>0.71</v>
      </c>
      <c r="AA142" s="787">
        <v>0.71</v>
      </c>
      <c r="AB142" s="414">
        <v>0.71</v>
      </c>
      <c r="AC142" s="414">
        <v>0.71</v>
      </c>
      <c r="AD142" s="414">
        <v>0.71</v>
      </c>
      <c r="AE142" s="414"/>
      <c r="AF142" s="414"/>
      <c r="AG142" s="414"/>
    </row>
    <row r="143" spans="2:33" hidden="1" outlineLevel="1" x14ac:dyDescent="0.35">
      <c r="B143" s="199"/>
      <c r="C143" s="197"/>
      <c r="D143" s="3844"/>
      <c r="E143" s="368" t="s">
        <v>2298</v>
      </c>
      <c r="F143" s="783">
        <v>1</v>
      </c>
      <c r="G143" s="822"/>
      <c r="H143" s="4481"/>
      <c r="I143" s="756"/>
      <c r="J143" s="756"/>
      <c r="K143" s="199"/>
      <c r="L143" s="199"/>
      <c r="M143" s="199"/>
      <c r="N143" s="199"/>
      <c r="O143" s="199"/>
      <c r="P143" s="199"/>
      <c r="Q143" s="199"/>
      <c r="V143" s="4279"/>
      <c r="W143" s="1017">
        <v>1</v>
      </c>
      <c r="X143" s="1017">
        <v>1</v>
      </c>
      <c r="Y143" s="783">
        <v>1</v>
      </c>
      <c r="Z143" s="783">
        <v>1</v>
      </c>
      <c r="AA143" s="783">
        <v>1</v>
      </c>
      <c r="AB143" s="1017">
        <v>1</v>
      </c>
      <c r="AC143" s="1017">
        <v>1</v>
      </c>
      <c r="AD143" s="1017">
        <v>1</v>
      </c>
      <c r="AE143" s="1017"/>
      <c r="AF143" s="1017"/>
      <c r="AG143" s="1017"/>
    </row>
    <row r="144" spans="2:33" hidden="1" outlineLevel="1" x14ac:dyDescent="0.35">
      <c r="B144" s="199"/>
      <c r="C144" s="197"/>
      <c r="D144" s="3844"/>
      <c r="E144" s="368" t="s">
        <v>2299</v>
      </c>
      <c r="F144" s="787">
        <v>0.71</v>
      </c>
      <c r="G144" s="822" t="s">
        <v>1615</v>
      </c>
      <c r="H144" s="4481" t="s">
        <v>1615</v>
      </c>
      <c r="I144" s="756"/>
      <c r="J144" s="756"/>
      <c r="K144" s="199"/>
      <c r="L144" s="199"/>
      <c r="M144" s="199"/>
      <c r="N144" s="199"/>
      <c r="O144" s="199"/>
      <c r="P144" s="199"/>
      <c r="Q144" s="199"/>
      <c r="V144" s="4279"/>
      <c r="W144" s="414">
        <v>0.71</v>
      </c>
      <c r="X144" s="414">
        <v>0.71</v>
      </c>
      <c r="Y144" s="787">
        <v>0.71</v>
      </c>
      <c r="Z144" s="787">
        <v>0.71</v>
      </c>
      <c r="AA144" s="787">
        <v>0.71</v>
      </c>
      <c r="AB144" s="414">
        <v>0.71</v>
      </c>
      <c r="AC144" s="414">
        <v>0.71</v>
      </c>
      <c r="AD144" s="414">
        <v>0.71</v>
      </c>
      <c r="AE144" s="414"/>
      <c r="AF144" s="414"/>
      <c r="AG144" s="414"/>
    </row>
    <row r="145" spans="2:33" hidden="1" outlineLevel="1" x14ac:dyDescent="0.35">
      <c r="B145" s="199"/>
      <c r="C145" s="197"/>
      <c r="D145" s="3844"/>
      <c r="E145" s="368" t="s">
        <v>2300</v>
      </c>
      <c r="F145" s="783">
        <v>1</v>
      </c>
      <c r="G145" s="822"/>
      <c r="H145" s="4481"/>
      <c r="I145" s="756"/>
      <c r="J145" s="756"/>
      <c r="K145" s="199"/>
      <c r="L145" s="199"/>
      <c r="M145" s="199"/>
      <c r="N145" s="199"/>
      <c r="O145" s="199"/>
      <c r="P145" s="199"/>
      <c r="Q145" s="199"/>
      <c r="V145" s="4279"/>
      <c r="W145" s="1017">
        <v>1</v>
      </c>
      <c r="X145" s="1017">
        <v>1</v>
      </c>
      <c r="Y145" s="783">
        <v>1</v>
      </c>
      <c r="Z145" s="783">
        <v>1</v>
      </c>
      <c r="AA145" s="783">
        <v>1</v>
      </c>
      <c r="AB145" s="1017">
        <v>1</v>
      </c>
      <c r="AC145" s="1017">
        <v>1</v>
      </c>
      <c r="AD145" s="1017">
        <v>1</v>
      </c>
      <c r="AE145" s="1017"/>
      <c r="AF145" s="1017"/>
      <c r="AG145" s="1017"/>
    </row>
    <row r="146" spans="2:33" hidden="1" outlineLevel="1" x14ac:dyDescent="0.35">
      <c r="B146" s="199"/>
      <c r="C146" s="197"/>
      <c r="D146" s="3844"/>
      <c r="E146" s="368" t="s">
        <v>2301</v>
      </c>
      <c r="F146" s="787">
        <v>0.71</v>
      </c>
      <c r="G146" s="822" t="s">
        <v>1615</v>
      </c>
      <c r="H146" s="4482" t="s">
        <v>1615</v>
      </c>
      <c r="I146" s="756"/>
      <c r="J146" s="756"/>
      <c r="K146" s="199"/>
      <c r="L146" s="199"/>
      <c r="M146" s="199"/>
      <c r="N146" s="199"/>
      <c r="O146" s="199"/>
      <c r="P146" s="199"/>
      <c r="Q146" s="199"/>
      <c r="V146" s="4279"/>
      <c r="W146" s="414">
        <v>0.71</v>
      </c>
      <c r="X146" s="414">
        <v>0.71</v>
      </c>
      <c r="Y146" s="787">
        <v>0.71</v>
      </c>
      <c r="Z146" s="787">
        <v>0.71</v>
      </c>
      <c r="AA146" s="787">
        <v>0.71</v>
      </c>
      <c r="AB146" s="414">
        <v>0.71</v>
      </c>
      <c r="AC146" s="414">
        <v>0.71</v>
      </c>
      <c r="AD146" s="414">
        <v>0.71</v>
      </c>
      <c r="AE146" s="414"/>
      <c r="AF146" s="414"/>
      <c r="AG146" s="414"/>
    </row>
    <row r="147" spans="2:33" hidden="1" outlineLevel="1" x14ac:dyDescent="0.35">
      <c r="B147" s="199"/>
      <c r="C147" s="197"/>
      <c r="D147" s="4406" t="s">
        <v>307</v>
      </c>
      <c r="E147" s="368" t="s">
        <v>2292</v>
      </c>
      <c r="F147" s="783">
        <f t="shared" ref="F147:F156" si="39">(1-F94)*(1/(F104+5)-1/(F114+5))*F124*(1-F$134)*F$135*24*F$136/(F137*10000)</f>
        <v>0</v>
      </c>
      <c r="G147" s="2393" t="s">
        <v>308</v>
      </c>
      <c r="H147" s="822"/>
      <c r="I147" s="756"/>
      <c r="J147" s="756"/>
      <c r="K147" s="199"/>
      <c r="L147" s="199"/>
      <c r="M147" s="199"/>
      <c r="N147" s="199"/>
      <c r="O147" s="199"/>
      <c r="P147" s="199"/>
      <c r="Q147" s="199"/>
      <c r="V147" s="4478" t="str">
        <f>D147</f>
        <v>∆Therms</v>
      </c>
      <c r="W147" s="1017">
        <f t="shared" ref="W147:Y156" si="40">(1-W94)*(1/(W104+5)-1/(W114+5))*W124*(1-W$134)*W$135*24*W$136/(W137*10000)</f>
        <v>0</v>
      </c>
      <c r="X147" s="1017">
        <f t="shared" si="40"/>
        <v>0</v>
      </c>
      <c r="Y147" s="783">
        <f t="shared" si="40"/>
        <v>0</v>
      </c>
      <c r="Z147" s="783">
        <f t="shared" ref="Z147:AA147" si="41">(1-Z94)*(1/(Z104+5)-1/(Z114+5))*Z124*(1-Z$134)*Z$135*24*Z$136/(Z137*10000)</f>
        <v>0</v>
      </c>
      <c r="AA147" s="783">
        <f t="shared" si="41"/>
        <v>0</v>
      </c>
      <c r="AB147" s="1017">
        <v>0</v>
      </c>
      <c r="AC147" s="1017">
        <v>0</v>
      </c>
      <c r="AD147" s="1017">
        <v>0</v>
      </c>
      <c r="AE147" s="1017"/>
      <c r="AF147" s="1017"/>
      <c r="AG147" s="1017"/>
    </row>
    <row r="148" spans="2:33" hidden="1" outlineLevel="1" x14ac:dyDescent="0.35">
      <c r="B148" s="199"/>
      <c r="C148" s="197"/>
      <c r="D148" s="4341"/>
      <c r="E148" s="368" t="s">
        <v>2293</v>
      </c>
      <c r="F148" s="783">
        <f t="shared" si="39"/>
        <v>0.45898308920187786</v>
      </c>
      <c r="G148" s="2393" t="s">
        <v>308</v>
      </c>
      <c r="H148" s="822"/>
      <c r="I148" s="756"/>
      <c r="J148" s="756"/>
      <c r="K148" s="199"/>
      <c r="L148" s="199"/>
      <c r="M148" s="199"/>
      <c r="N148" s="199"/>
      <c r="O148" s="199"/>
      <c r="P148" s="199"/>
      <c r="Q148" s="199"/>
      <c r="V148" s="4479"/>
      <c r="W148" s="1017">
        <f t="shared" si="40"/>
        <v>401.86264375070419</v>
      </c>
      <c r="X148" s="1017">
        <f t="shared" si="40"/>
        <v>401.86264375070419</v>
      </c>
      <c r="Y148" s="762">
        <f t="shared" si="40"/>
        <v>0.45898308920187786</v>
      </c>
      <c r="Z148" s="783">
        <f t="shared" ref="Z148:AA148" si="42">(1-Z95)*(1/(Z105+5)-1/(Z115+5))*Z125*(1-Z$134)*Z$135*24*Z$136/(Z138*10000)</f>
        <v>0.45898308920187786</v>
      </c>
      <c r="AA148" s="783">
        <f t="shared" si="42"/>
        <v>0.45898308920187786</v>
      </c>
      <c r="AB148" s="1017">
        <v>0.45898308920187786</v>
      </c>
      <c r="AC148" s="1017">
        <v>0.45898308920187786</v>
      </c>
      <c r="AD148" s="1017">
        <v>0.45898308920187786</v>
      </c>
      <c r="AE148" s="1017"/>
      <c r="AF148" s="1017"/>
      <c r="AG148" s="1017"/>
    </row>
    <row r="149" spans="2:33" hidden="1" outlineLevel="1" x14ac:dyDescent="0.35">
      <c r="B149" s="199"/>
      <c r="C149" s="197"/>
      <c r="D149" s="4341"/>
      <c r="E149" s="368" t="s">
        <v>2294</v>
      </c>
      <c r="F149" s="783">
        <f t="shared" si="39"/>
        <v>0</v>
      </c>
      <c r="G149" s="2393" t="s">
        <v>308</v>
      </c>
      <c r="H149" s="822"/>
      <c r="I149" s="756"/>
      <c r="J149" s="756"/>
      <c r="K149" s="199"/>
      <c r="L149" s="199"/>
      <c r="M149" s="199"/>
      <c r="N149" s="199"/>
      <c r="O149" s="199"/>
      <c r="P149" s="199"/>
      <c r="Q149" s="199"/>
      <c r="V149" s="4479"/>
      <c r="W149" s="1017">
        <f t="shared" si="40"/>
        <v>0</v>
      </c>
      <c r="X149" s="1017">
        <f t="shared" si="40"/>
        <v>0</v>
      </c>
      <c r="Y149" s="762">
        <f t="shared" si="40"/>
        <v>0</v>
      </c>
      <c r="Z149" s="783">
        <f t="shared" ref="Z149:AA149" si="43">(1-Z96)*(1/(Z106+5)-1/(Z116+5))*Z126*(1-Z$134)*Z$135*24*Z$136/(Z139*10000)</f>
        <v>0</v>
      </c>
      <c r="AA149" s="783">
        <f t="shared" si="43"/>
        <v>0</v>
      </c>
      <c r="AB149" s="1017">
        <v>0</v>
      </c>
      <c r="AC149" s="1017">
        <v>0</v>
      </c>
      <c r="AD149" s="1017">
        <v>0</v>
      </c>
      <c r="AE149" s="1017"/>
      <c r="AF149" s="1017"/>
      <c r="AG149" s="1017"/>
    </row>
    <row r="150" spans="2:33" hidden="1" outlineLevel="1" x14ac:dyDescent="0.35">
      <c r="B150" s="199"/>
      <c r="C150" s="197"/>
      <c r="D150" s="4341"/>
      <c r="E150" s="368" t="s">
        <v>2295</v>
      </c>
      <c r="F150" s="783">
        <f t="shared" si="39"/>
        <v>0.74541614486921526</v>
      </c>
      <c r="G150" s="2393" t="s">
        <v>308</v>
      </c>
      <c r="H150" s="822"/>
      <c r="I150" s="756"/>
      <c r="J150" s="756"/>
      <c r="K150" s="199"/>
      <c r="L150" s="199"/>
      <c r="M150" s="199"/>
      <c r="N150" s="199"/>
      <c r="O150" s="199"/>
      <c r="P150" s="199"/>
      <c r="Q150" s="199"/>
      <c r="V150" s="4479"/>
      <c r="W150" s="1017">
        <f t="shared" si="40"/>
        <v>535.87966654647892</v>
      </c>
      <c r="X150" s="1017">
        <f t="shared" si="40"/>
        <v>535.87966654647892</v>
      </c>
      <c r="Y150" s="762">
        <f t="shared" si="40"/>
        <v>0.74541614486921526</v>
      </c>
      <c r="Z150" s="783">
        <f t="shared" ref="Z150:AA150" si="44">(1-Z97)*(1/(Z107+5)-1/(Z117+5))*Z127*(1-Z$134)*Z$135*24*Z$136/(Z140*10000)</f>
        <v>0.74541614486921526</v>
      </c>
      <c r="AA150" s="783">
        <f t="shared" si="44"/>
        <v>0.74541614486921526</v>
      </c>
      <c r="AB150" s="1017">
        <v>0.74541614486921526</v>
      </c>
      <c r="AC150" s="1017">
        <v>0.74541614486921526</v>
      </c>
      <c r="AD150" s="1017">
        <v>0.74541614486921526</v>
      </c>
      <c r="AE150" s="1017"/>
      <c r="AF150" s="1017"/>
      <c r="AG150" s="1017"/>
    </row>
    <row r="151" spans="2:33" hidden="1" outlineLevel="1" x14ac:dyDescent="0.35">
      <c r="B151" s="199"/>
      <c r="C151" s="197"/>
      <c r="D151" s="4341"/>
      <c r="E151" s="368" t="s">
        <v>2296</v>
      </c>
      <c r="F151" s="783">
        <f t="shared" si="39"/>
        <v>0</v>
      </c>
      <c r="G151" s="2393" t="s">
        <v>308</v>
      </c>
      <c r="H151" s="822"/>
      <c r="I151" s="756"/>
      <c r="J151" s="756"/>
      <c r="K151" s="199"/>
      <c r="L151" s="199"/>
      <c r="M151" s="199"/>
      <c r="N151" s="199"/>
      <c r="O151" s="199"/>
      <c r="P151" s="199"/>
      <c r="Q151" s="199"/>
      <c r="V151" s="4479"/>
      <c r="W151" s="1017">
        <f t="shared" si="40"/>
        <v>0</v>
      </c>
      <c r="X151" s="1017">
        <f t="shared" si="40"/>
        <v>0</v>
      </c>
      <c r="Y151" s="762">
        <f t="shared" si="40"/>
        <v>0</v>
      </c>
      <c r="Z151" s="783">
        <f t="shared" ref="Z151:AA151" si="45">(1-Z98)*(1/(Z108+5)-1/(Z118+5))*Z128*(1-Z$134)*Z$135*24*Z$136/(Z141*10000)</f>
        <v>0</v>
      </c>
      <c r="AA151" s="783">
        <f t="shared" si="45"/>
        <v>0</v>
      </c>
      <c r="AB151" s="1017">
        <v>0</v>
      </c>
      <c r="AC151" s="1017">
        <v>0</v>
      </c>
      <c r="AD151" s="1017">
        <v>0</v>
      </c>
      <c r="AE151" s="1017"/>
      <c r="AF151" s="1017"/>
      <c r="AG151" s="1017"/>
    </row>
    <row r="152" spans="2:33" hidden="1" outlineLevel="1" x14ac:dyDescent="0.35">
      <c r="B152" s="199"/>
      <c r="C152" s="197"/>
      <c r="D152" s="4341"/>
      <c r="E152" s="368" t="s">
        <v>2297</v>
      </c>
      <c r="F152" s="783">
        <f t="shared" si="39"/>
        <v>0.8008889742548313</v>
      </c>
      <c r="G152" s="2393" t="s">
        <v>308</v>
      </c>
      <c r="H152" s="822"/>
      <c r="I152" s="756"/>
      <c r="J152" s="756"/>
      <c r="K152" s="199"/>
      <c r="L152" s="199"/>
      <c r="M152" s="199"/>
      <c r="N152" s="199"/>
      <c r="O152" s="199"/>
      <c r="P152" s="199"/>
      <c r="Q152" s="199"/>
      <c r="V152" s="4479"/>
      <c r="W152" s="1017">
        <f t="shared" si="40"/>
        <v>575.75908359179823</v>
      </c>
      <c r="X152" s="1017">
        <f t="shared" si="40"/>
        <v>575.75908359179823</v>
      </c>
      <c r="Y152" s="762">
        <f t="shared" si="40"/>
        <v>0.8008889742548313</v>
      </c>
      <c r="Z152" s="783">
        <f t="shared" ref="Z152:AA152" si="46">(1-Z99)*(1/(Z109+5)-1/(Z119+5))*Z129*(1-Z$134)*Z$135*24*Z$136/(Z142*10000)</f>
        <v>0.8008889742548313</v>
      </c>
      <c r="AA152" s="783">
        <f t="shared" si="46"/>
        <v>0.8008889742548313</v>
      </c>
      <c r="AB152" s="1017">
        <v>0.8008889742548313</v>
      </c>
      <c r="AC152" s="1017">
        <v>0.8008889742548313</v>
      </c>
      <c r="AD152" s="1017">
        <v>0.8008889742548313</v>
      </c>
      <c r="AE152" s="1017"/>
      <c r="AF152" s="1017"/>
      <c r="AG152" s="1017"/>
    </row>
    <row r="153" spans="2:33" hidden="1" outlineLevel="1" x14ac:dyDescent="0.35">
      <c r="B153" s="199"/>
      <c r="C153" s="197"/>
      <c r="D153" s="4341"/>
      <c r="E153" s="368" t="s">
        <v>2298</v>
      </c>
      <c r="F153" s="783">
        <f t="shared" si="39"/>
        <v>0</v>
      </c>
      <c r="G153" s="2393" t="s">
        <v>308</v>
      </c>
      <c r="H153" s="822"/>
      <c r="I153" s="756"/>
      <c r="J153" s="756"/>
      <c r="K153" s="199"/>
      <c r="L153" s="199"/>
      <c r="M153" s="199"/>
      <c r="N153" s="199"/>
      <c r="O153" s="199"/>
      <c r="P153" s="199"/>
      <c r="Q153" s="199"/>
      <c r="V153" s="4479"/>
      <c r="W153" s="1017">
        <f t="shared" si="40"/>
        <v>0</v>
      </c>
      <c r="X153" s="1017">
        <f t="shared" si="40"/>
        <v>0</v>
      </c>
      <c r="Y153" s="762">
        <f t="shared" si="40"/>
        <v>0</v>
      </c>
      <c r="Z153" s="783">
        <f t="shared" ref="Z153:AA153" si="47">(1-Z100)*(1/(Z110+5)-1/(Z120+5))*Z130*(1-Z$134)*Z$135*24*Z$136/(Z143*10000)</f>
        <v>0</v>
      </c>
      <c r="AA153" s="783">
        <f t="shared" si="47"/>
        <v>0</v>
      </c>
      <c r="AB153" s="1017">
        <v>0</v>
      </c>
      <c r="AC153" s="1017">
        <v>0</v>
      </c>
      <c r="AD153" s="1017">
        <v>0</v>
      </c>
      <c r="AE153" s="1017"/>
      <c r="AF153" s="1017"/>
      <c r="AG153" s="1017"/>
    </row>
    <row r="154" spans="2:33" hidden="1" outlineLevel="1" x14ac:dyDescent="0.35">
      <c r="B154" s="199"/>
      <c r="C154" s="197"/>
      <c r="D154" s="4341"/>
      <c r="E154" s="368" t="s">
        <v>2299</v>
      </c>
      <c r="F154" s="783">
        <f t="shared" si="39"/>
        <v>0.85032656525821604</v>
      </c>
      <c r="G154" s="2393" t="s">
        <v>308</v>
      </c>
      <c r="H154" s="822"/>
      <c r="I154" s="756"/>
      <c r="J154" s="756"/>
      <c r="K154" s="199"/>
      <c r="L154" s="199"/>
      <c r="M154" s="199"/>
      <c r="N154" s="199"/>
      <c r="O154" s="199"/>
      <c r="P154" s="199"/>
      <c r="Q154" s="199"/>
      <c r="V154" s="4479"/>
      <c r="W154" s="1017">
        <f t="shared" si="40"/>
        <v>611.29976776413139</v>
      </c>
      <c r="X154" s="1017">
        <f t="shared" si="40"/>
        <v>611.29976776413139</v>
      </c>
      <c r="Y154" s="762">
        <f t="shared" si="40"/>
        <v>0.85032656525821604</v>
      </c>
      <c r="Z154" s="783">
        <f t="shared" ref="Z154:AA154" si="48">(1-Z101)*(1/(Z111+5)-1/(Z121+5))*Z131*(1-Z$134)*Z$135*24*Z$136/(Z144*10000)</f>
        <v>0.85032656525821604</v>
      </c>
      <c r="AA154" s="783">
        <f t="shared" si="48"/>
        <v>0.85032656525821604</v>
      </c>
      <c r="AB154" s="1017">
        <v>0.85032656525821604</v>
      </c>
      <c r="AC154" s="1017">
        <v>0.85032656525821604</v>
      </c>
      <c r="AD154" s="1017">
        <v>0.85032656525821604</v>
      </c>
      <c r="AE154" s="1017"/>
      <c r="AF154" s="1017"/>
      <c r="AG154" s="1017"/>
    </row>
    <row r="155" spans="2:33" hidden="1" outlineLevel="1" x14ac:dyDescent="0.35">
      <c r="B155" s="199"/>
      <c r="C155" s="197"/>
      <c r="D155" s="4341"/>
      <c r="E155" s="368" t="s">
        <v>2300</v>
      </c>
      <c r="F155" s="783">
        <f t="shared" si="39"/>
        <v>0</v>
      </c>
      <c r="G155" s="2393" t="s">
        <v>308</v>
      </c>
      <c r="H155" s="822"/>
      <c r="I155" s="756"/>
      <c r="J155" s="756"/>
      <c r="K155" s="199"/>
      <c r="L155" s="199"/>
      <c r="M155" s="199"/>
      <c r="N155" s="199"/>
      <c r="O155" s="199"/>
      <c r="P155" s="199"/>
      <c r="Q155" s="199"/>
      <c r="V155" s="4479"/>
      <c r="W155" s="1017">
        <f t="shared" si="40"/>
        <v>0</v>
      </c>
      <c r="X155" s="1017">
        <f t="shared" si="40"/>
        <v>0</v>
      </c>
      <c r="Y155" s="762">
        <f t="shared" si="40"/>
        <v>0</v>
      </c>
      <c r="Z155" s="783">
        <f t="shared" ref="Z155:AA155" si="49">(1-Z102)*(1/(Z112+5)-1/(Z122+5))*Z132*(1-Z$134)*Z$135*24*Z$136/(Z145*10000)</f>
        <v>0</v>
      </c>
      <c r="AA155" s="783">
        <f t="shared" si="49"/>
        <v>0</v>
      </c>
      <c r="AB155" s="1017">
        <v>0</v>
      </c>
      <c r="AC155" s="1017">
        <v>0</v>
      </c>
      <c r="AD155" s="1017">
        <v>0</v>
      </c>
      <c r="AE155" s="1017"/>
      <c r="AF155" s="1017"/>
      <c r="AG155" s="1017"/>
    </row>
    <row r="156" spans="2:33" hidden="1" outlineLevel="1" x14ac:dyDescent="0.35">
      <c r="B156" s="199"/>
      <c r="C156" s="197"/>
      <c r="D156" s="4341"/>
      <c r="E156" s="368" t="s">
        <v>2301</v>
      </c>
      <c r="F156" s="783">
        <f t="shared" si="39"/>
        <v>0.88303143315276267</v>
      </c>
      <c r="G156" s="2393" t="s">
        <v>308</v>
      </c>
      <c r="H156" s="822"/>
      <c r="I156" s="756"/>
      <c r="J156" s="756"/>
      <c r="K156" s="199"/>
      <c r="L156" s="199"/>
      <c r="M156" s="199"/>
      <c r="N156" s="199"/>
      <c r="O156" s="199"/>
      <c r="P156" s="199"/>
      <c r="Q156" s="199"/>
      <c r="V156" s="4479"/>
      <c r="W156" s="1017">
        <f t="shared" si="40"/>
        <v>634.81129729352108</v>
      </c>
      <c r="X156" s="1017">
        <f t="shared" si="40"/>
        <v>634.81129729352108</v>
      </c>
      <c r="Y156" s="762">
        <f t="shared" si="40"/>
        <v>0.88303143315276267</v>
      </c>
      <c r="Z156" s="783">
        <f t="shared" ref="Z156:AA156" si="50">(1-Z103)*(1/(Z113+5)-1/(Z123+5))*Z133*(1-Z$134)*Z$135*24*Z$136/(Z146*10000)</f>
        <v>0.88303143315276267</v>
      </c>
      <c r="AA156" s="783">
        <f t="shared" si="50"/>
        <v>0.88303143315276267</v>
      </c>
      <c r="AB156" s="1017">
        <v>0.88303143315276267</v>
      </c>
      <c r="AC156" s="1017">
        <v>0.88303143315276267</v>
      </c>
      <c r="AD156" s="1017">
        <v>0.88303143315276267</v>
      </c>
      <c r="AE156" s="1017"/>
      <c r="AF156" s="1017"/>
      <c r="AG156" s="1017"/>
    </row>
    <row r="157" spans="2:33" hidden="1" outlineLevel="1" x14ac:dyDescent="0.35">
      <c r="B157" s="199"/>
      <c r="C157" s="197"/>
      <c r="D157" s="2365" t="s">
        <v>309</v>
      </c>
      <c r="E157" s="368" t="s">
        <v>134</v>
      </c>
      <c r="F157" s="786">
        <v>3.1399999999999997E-2</v>
      </c>
      <c r="G157" s="2393" t="s">
        <v>284</v>
      </c>
      <c r="H157" s="822"/>
      <c r="I157" s="756"/>
      <c r="J157" s="756"/>
      <c r="K157" s="199"/>
      <c r="L157" s="199"/>
      <c r="M157" s="199"/>
      <c r="N157" s="199"/>
      <c r="O157" s="199"/>
      <c r="P157" s="199"/>
      <c r="Q157" s="199"/>
      <c r="V157" s="763" t="str">
        <f>D157</f>
        <v>Fe</v>
      </c>
      <c r="W157" s="494">
        <v>3.1399999999999997E-2</v>
      </c>
      <c r="X157" s="494">
        <v>3.1399999999999997E-2</v>
      </c>
      <c r="Y157" s="786">
        <v>3.1399999999999997E-2</v>
      </c>
      <c r="Z157" s="786">
        <v>3.1399999999999997E-2</v>
      </c>
      <c r="AA157" s="786">
        <v>3.1399999999999997E-2</v>
      </c>
      <c r="AB157" s="494">
        <v>3.1399999999999997E-2</v>
      </c>
      <c r="AC157" s="494">
        <v>3.1399999999999997E-2</v>
      </c>
      <c r="AD157" s="494">
        <v>3.1399999999999997E-2</v>
      </c>
      <c r="AE157" s="494"/>
      <c r="AF157" s="494"/>
      <c r="AG157" s="494"/>
    </row>
    <row r="158" spans="2:33" hidden="1" outlineLevel="1" x14ac:dyDescent="0.35">
      <c r="B158" s="199"/>
      <c r="C158" s="197"/>
      <c r="D158" s="2365" t="s">
        <v>1627</v>
      </c>
      <c r="E158" s="368" t="s">
        <v>134</v>
      </c>
      <c r="F158" s="1018">
        <v>1646</v>
      </c>
      <c r="G158" s="2393" t="s">
        <v>314</v>
      </c>
      <c r="H158" s="822" t="s">
        <v>1628</v>
      </c>
      <c r="I158" s="756"/>
      <c r="J158" s="756"/>
      <c r="K158" s="199"/>
      <c r="L158" s="199"/>
      <c r="M158" s="199"/>
      <c r="N158" s="199"/>
      <c r="O158" s="199"/>
      <c r="P158" s="199"/>
      <c r="Q158" s="199"/>
      <c r="V158" s="763" t="str">
        <f>D158</f>
        <v>CDD</v>
      </c>
      <c r="W158" s="1016">
        <v>1646</v>
      </c>
      <c r="X158" s="1016">
        <v>1646</v>
      </c>
      <c r="Y158" s="1018">
        <v>1646</v>
      </c>
      <c r="Z158" s="1018">
        <v>1646</v>
      </c>
      <c r="AA158" s="1018">
        <v>1646</v>
      </c>
      <c r="AB158" s="1016">
        <v>1646</v>
      </c>
      <c r="AC158" s="1016">
        <v>1646</v>
      </c>
      <c r="AD158" s="1016">
        <v>1646</v>
      </c>
      <c r="AE158" s="1016"/>
      <c r="AF158" s="1016"/>
      <c r="AG158" s="1016"/>
    </row>
    <row r="159" spans="2:33" hidden="1" outlineLevel="1" x14ac:dyDescent="0.35">
      <c r="B159" s="199"/>
      <c r="C159" s="197"/>
      <c r="D159" s="2365" t="s">
        <v>1629</v>
      </c>
      <c r="E159" s="368" t="s">
        <v>134</v>
      </c>
      <c r="F159" s="787">
        <v>0.75</v>
      </c>
      <c r="G159" s="2393" t="s">
        <v>284</v>
      </c>
      <c r="H159" s="822"/>
      <c r="I159" s="756"/>
      <c r="J159" s="756"/>
      <c r="K159" s="199"/>
      <c r="L159" s="199"/>
      <c r="M159" s="199"/>
      <c r="N159" s="199"/>
      <c r="O159" s="199"/>
      <c r="P159" s="199"/>
      <c r="Q159" s="199"/>
      <c r="V159" s="763" t="str">
        <f>D159</f>
        <v>DUA</v>
      </c>
      <c r="W159" s="414">
        <v>0.75</v>
      </c>
      <c r="X159" s="414">
        <v>0.75</v>
      </c>
      <c r="Y159" s="787">
        <v>0.75</v>
      </c>
      <c r="Z159" s="787">
        <v>0.75</v>
      </c>
      <c r="AA159" s="787">
        <v>0.75</v>
      </c>
      <c r="AB159" s="414">
        <v>0.75</v>
      </c>
      <c r="AC159" s="414">
        <v>0.75</v>
      </c>
      <c r="AD159" s="414">
        <v>0.75</v>
      </c>
      <c r="AE159" s="414"/>
      <c r="AF159" s="414"/>
      <c r="AG159" s="414"/>
    </row>
    <row r="160" spans="2:33" hidden="1" outlineLevel="1" x14ac:dyDescent="0.35">
      <c r="B160" s="199"/>
      <c r="C160" s="197"/>
      <c r="D160" s="3843" t="s">
        <v>1630</v>
      </c>
      <c r="E160" s="368" t="s">
        <v>2292</v>
      </c>
      <c r="F160" s="787">
        <v>0.91</v>
      </c>
      <c r="G160" s="2393" t="s">
        <v>284</v>
      </c>
      <c r="H160" s="822" t="s">
        <v>1632</v>
      </c>
      <c r="I160" s="756"/>
      <c r="J160" s="756"/>
      <c r="K160" s="199"/>
      <c r="L160" s="199"/>
      <c r="M160" s="199"/>
      <c r="N160" s="199"/>
      <c r="O160" s="199"/>
      <c r="P160" s="199"/>
      <c r="Q160" s="199"/>
      <c r="V160" s="4278" t="str">
        <f>D160</f>
        <v>%cool</v>
      </c>
      <c r="W160" s="414">
        <v>0.91</v>
      </c>
      <c r="X160" s="414">
        <v>0.91</v>
      </c>
      <c r="Y160" s="787">
        <v>0.91</v>
      </c>
      <c r="Z160" s="787">
        <v>0.91</v>
      </c>
      <c r="AA160" s="787">
        <v>0.91</v>
      </c>
      <c r="AB160" s="414">
        <v>0.91</v>
      </c>
      <c r="AC160" s="414">
        <v>0.91</v>
      </c>
      <c r="AD160" s="414">
        <v>0.91</v>
      </c>
      <c r="AE160" s="414"/>
      <c r="AF160" s="414"/>
      <c r="AG160" s="414"/>
    </row>
    <row r="161" spans="2:33" hidden="1" outlineLevel="1" x14ac:dyDescent="0.35">
      <c r="B161" s="199"/>
      <c r="C161" s="197"/>
      <c r="D161" s="3844"/>
      <c r="E161" s="368" t="s">
        <v>2293</v>
      </c>
      <c r="F161" s="787">
        <v>1</v>
      </c>
      <c r="G161" s="2393" t="s">
        <v>2307</v>
      </c>
      <c r="H161" s="822" t="s">
        <v>1632</v>
      </c>
      <c r="I161" s="756"/>
      <c r="J161" s="756"/>
      <c r="K161" s="199"/>
      <c r="L161" s="199"/>
      <c r="M161" s="199"/>
      <c r="N161" s="199"/>
      <c r="O161" s="199"/>
      <c r="P161" s="199"/>
      <c r="Q161" s="199"/>
      <c r="V161" s="4279"/>
      <c r="W161" s="414">
        <v>1</v>
      </c>
      <c r="X161" s="414">
        <v>1</v>
      </c>
      <c r="Y161" s="787">
        <v>1</v>
      </c>
      <c r="Z161" s="787">
        <v>1</v>
      </c>
      <c r="AA161" s="787">
        <v>1</v>
      </c>
      <c r="AB161" s="414">
        <v>1</v>
      </c>
      <c r="AC161" s="414">
        <v>1</v>
      </c>
      <c r="AD161" s="414">
        <v>1</v>
      </c>
      <c r="AE161" s="414"/>
      <c r="AF161" s="414"/>
      <c r="AG161" s="414"/>
    </row>
    <row r="162" spans="2:33" hidden="1" outlineLevel="1" x14ac:dyDescent="0.35">
      <c r="B162" s="199"/>
      <c r="C162" s="197"/>
      <c r="D162" s="3844"/>
      <c r="E162" s="368" t="s">
        <v>2294</v>
      </c>
      <c r="F162" s="787">
        <v>0.91</v>
      </c>
      <c r="G162" s="2393" t="s">
        <v>284</v>
      </c>
      <c r="H162" s="822" t="s">
        <v>1632</v>
      </c>
      <c r="I162" s="756"/>
      <c r="J162" s="756"/>
      <c r="K162" s="199"/>
      <c r="L162" s="199"/>
      <c r="M162" s="199"/>
      <c r="N162" s="199"/>
      <c r="O162" s="199"/>
      <c r="P162" s="199"/>
      <c r="Q162" s="199"/>
      <c r="V162" s="4279"/>
      <c r="W162" s="414">
        <v>0.91</v>
      </c>
      <c r="X162" s="414">
        <v>0.91</v>
      </c>
      <c r="Y162" s="787">
        <v>0.91</v>
      </c>
      <c r="Z162" s="787">
        <v>0.91</v>
      </c>
      <c r="AA162" s="787">
        <v>0.91</v>
      </c>
      <c r="AB162" s="414">
        <v>0.91</v>
      </c>
      <c r="AC162" s="414">
        <v>0.91</v>
      </c>
      <c r="AD162" s="414">
        <v>0.91</v>
      </c>
      <c r="AE162" s="414"/>
      <c r="AF162" s="414"/>
      <c r="AG162" s="414"/>
    </row>
    <row r="163" spans="2:33" hidden="1" outlineLevel="1" x14ac:dyDescent="0.35">
      <c r="B163" s="199"/>
      <c r="C163" s="197"/>
      <c r="D163" s="3844"/>
      <c r="E163" s="368" t="s">
        <v>2295</v>
      </c>
      <c r="F163" s="787">
        <v>1</v>
      </c>
      <c r="G163" s="2393" t="s">
        <v>284</v>
      </c>
      <c r="H163" s="822" t="s">
        <v>1632</v>
      </c>
      <c r="I163" s="756"/>
      <c r="J163" s="756"/>
      <c r="K163" s="199"/>
      <c r="L163" s="199"/>
      <c r="M163" s="199"/>
      <c r="N163" s="199"/>
      <c r="O163" s="199"/>
      <c r="P163" s="199"/>
      <c r="Q163" s="199"/>
      <c r="V163" s="4279"/>
      <c r="W163" s="414">
        <v>1</v>
      </c>
      <c r="X163" s="414">
        <v>1</v>
      </c>
      <c r="Y163" s="787">
        <v>1</v>
      </c>
      <c r="Z163" s="787">
        <v>1</v>
      </c>
      <c r="AA163" s="787">
        <v>1</v>
      </c>
      <c r="AB163" s="414">
        <v>1</v>
      </c>
      <c r="AC163" s="414">
        <v>1</v>
      </c>
      <c r="AD163" s="414">
        <v>1</v>
      </c>
      <c r="AE163" s="414"/>
      <c r="AF163" s="414"/>
      <c r="AG163" s="414"/>
    </row>
    <row r="164" spans="2:33" hidden="1" outlineLevel="1" x14ac:dyDescent="0.35">
      <c r="B164" s="199"/>
      <c r="C164" s="197"/>
      <c r="D164" s="3844"/>
      <c r="E164" s="368" t="s">
        <v>2296</v>
      </c>
      <c r="F164" s="787">
        <v>0.91</v>
      </c>
      <c r="G164" s="2393" t="s">
        <v>284</v>
      </c>
      <c r="H164" s="822" t="s">
        <v>1632</v>
      </c>
      <c r="I164" s="756"/>
      <c r="J164" s="756"/>
      <c r="K164" s="199"/>
      <c r="L164" s="199"/>
      <c r="M164" s="199"/>
      <c r="N164" s="199"/>
      <c r="O164" s="199"/>
      <c r="P164" s="199"/>
      <c r="Q164" s="199"/>
      <c r="V164" s="4279"/>
      <c r="W164" s="414">
        <v>0.91</v>
      </c>
      <c r="X164" s="414">
        <v>0.91</v>
      </c>
      <c r="Y164" s="787">
        <v>0.91</v>
      </c>
      <c r="Z164" s="787">
        <v>0.91</v>
      </c>
      <c r="AA164" s="787">
        <v>0.91</v>
      </c>
      <c r="AB164" s="414">
        <v>0.91</v>
      </c>
      <c r="AC164" s="414">
        <v>0.91</v>
      </c>
      <c r="AD164" s="414">
        <v>0.91</v>
      </c>
      <c r="AE164" s="414"/>
      <c r="AF164" s="414"/>
      <c r="AG164" s="414"/>
    </row>
    <row r="165" spans="2:33" hidden="1" outlineLevel="1" x14ac:dyDescent="0.35">
      <c r="B165" s="199"/>
      <c r="C165" s="197"/>
      <c r="D165" s="3844"/>
      <c r="E165" s="368" t="s">
        <v>2297</v>
      </c>
      <c r="F165" s="787">
        <v>1</v>
      </c>
      <c r="G165" s="2393" t="s">
        <v>284</v>
      </c>
      <c r="H165" s="822" t="s">
        <v>1632</v>
      </c>
      <c r="I165" s="756"/>
      <c r="J165" s="756"/>
      <c r="K165" s="199"/>
      <c r="L165" s="199"/>
      <c r="M165" s="199"/>
      <c r="N165" s="199"/>
      <c r="O165" s="199"/>
      <c r="P165" s="199"/>
      <c r="Q165" s="199"/>
      <c r="V165" s="4279"/>
      <c r="W165" s="414">
        <v>1</v>
      </c>
      <c r="X165" s="414">
        <v>1</v>
      </c>
      <c r="Y165" s="787">
        <v>1</v>
      </c>
      <c r="Z165" s="787">
        <v>1</v>
      </c>
      <c r="AA165" s="787">
        <v>1</v>
      </c>
      <c r="AB165" s="414">
        <v>1</v>
      </c>
      <c r="AC165" s="414">
        <v>1</v>
      </c>
      <c r="AD165" s="414">
        <v>1</v>
      </c>
      <c r="AE165" s="414"/>
      <c r="AF165" s="414"/>
      <c r="AG165" s="414"/>
    </row>
    <row r="166" spans="2:33" hidden="1" outlineLevel="1" x14ac:dyDescent="0.35">
      <c r="B166" s="199"/>
      <c r="C166" s="197"/>
      <c r="D166" s="3844"/>
      <c r="E166" s="368" t="s">
        <v>2298</v>
      </c>
      <c r="F166" s="787">
        <v>0.91</v>
      </c>
      <c r="G166" s="2393" t="s">
        <v>284</v>
      </c>
      <c r="H166" s="822" t="s">
        <v>1632</v>
      </c>
      <c r="I166" s="756"/>
      <c r="J166" s="756"/>
      <c r="K166" s="199"/>
      <c r="L166" s="199"/>
      <c r="M166" s="199"/>
      <c r="N166" s="199"/>
      <c r="O166" s="199"/>
      <c r="P166" s="199"/>
      <c r="Q166" s="199"/>
      <c r="V166" s="4279"/>
      <c r="W166" s="414">
        <v>0.91</v>
      </c>
      <c r="X166" s="414">
        <v>0.91</v>
      </c>
      <c r="Y166" s="787">
        <v>0.91</v>
      </c>
      <c r="Z166" s="787">
        <v>0.91</v>
      </c>
      <c r="AA166" s="787">
        <v>0.91</v>
      </c>
      <c r="AB166" s="414">
        <v>0.91</v>
      </c>
      <c r="AC166" s="414">
        <v>0.91</v>
      </c>
      <c r="AD166" s="414">
        <v>0.91</v>
      </c>
      <c r="AE166" s="414"/>
      <c r="AF166" s="414"/>
      <c r="AG166" s="414"/>
    </row>
    <row r="167" spans="2:33" hidden="1" outlineLevel="1" x14ac:dyDescent="0.35">
      <c r="B167" s="199"/>
      <c r="C167" s="197"/>
      <c r="D167" s="3844"/>
      <c r="E167" s="368" t="s">
        <v>2299</v>
      </c>
      <c r="F167" s="787">
        <v>1</v>
      </c>
      <c r="G167" s="2393" t="s">
        <v>284</v>
      </c>
      <c r="H167" s="822" t="s">
        <v>1632</v>
      </c>
      <c r="I167" s="756"/>
      <c r="J167" s="756"/>
      <c r="K167" s="199"/>
      <c r="L167" s="199"/>
      <c r="M167" s="199"/>
      <c r="N167" s="199"/>
      <c r="O167" s="199"/>
      <c r="P167" s="199"/>
      <c r="Q167" s="199"/>
      <c r="V167" s="4279"/>
      <c r="W167" s="414">
        <v>1</v>
      </c>
      <c r="X167" s="414">
        <v>1</v>
      </c>
      <c r="Y167" s="787">
        <v>1</v>
      </c>
      <c r="Z167" s="787">
        <v>1</v>
      </c>
      <c r="AA167" s="787">
        <v>1</v>
      </c>
      <c r="AB167" s="414">
        <v>1</v>
      </c>
      <c r="AC167" s="414">
        <v>1</v>
      </c>
      <c r="AD167" s="414">
        <v>1</v>
      </c>
      <c r="AE167" s="414"/>
      <c r="AF167" s="414"/>
      <c r="AG167" s="414"/>
    </row>
    <row r="168" spans="2:33" hidden="1" outlineLevel="1" x14ac:dyDescent="0.35">
      <c r="B168" s="199"/>
      <c r="C168" s="197"/>
      <c r="D168" s="3844"/>
      <c r="E168" s="368" t="s">
        <v>2300</v>
      </c>
      <c r="F168" s="787">
        <v>0.91</v>
      </c>
      <c r="G168" s="2393" t="s">
        <v>284</v>
      </c>
      <c r="H168" s="822" t="s">
        <v>1632</v>
      </c>
      <c r="I168" s="756"/>
      <c r="J168" s="756"/>
      <c r="K168" s="199"/>
      <c r="L168" s="199"/>
      <c r="M168" s="199"/>
      <c r="N168" s="199"/>
      <c r="O168" s="199"/>
      <c r="P168" s="199"/>
      <c r="Q168" s="199"/>
      <c r="V168" s="4279"/>
      <c r="W168" s="414">
        <v>0.91</v>
      </c>
      <c r="X168" s="414">
        <v>0.91</v>
      </c>
      <c r="Y168" s="787">
        <v>0.91</v>
      </c>
      <c r="Z168" s="787">
        <v>0.91</v>
      </c>
      <c r="AA168" s="787">
        <v>0.91</v>
      </c>
      <c r="AB168" s="414">
        <v>0.91</v>
      </c>
      <c r="AC168" s="414">
        <v>0.91</v>
      </c>
      <c r="AD168" s="414">
        <v>0.91</v>
      </c>
      <c r="AE168" s="414"/>
      <c r="AF168" s="414"/>
      <c r="AG168" s="414"/>
    </row>
    <row r="169" spans="2:33" hidden="1" outlineLevel="1" x14ac:dyDescent="0.35">
      <c r="B169" s="199"/>
      <c r="C169" s="197"/>
      <c r="D169" s="3844"/>
      <c r="E169" s="368" t="s">
        <v>2301</v>
      </c>
      <c r="F169" s="787">
        <v>1</v>
      </c>
      <c r="G169" s="2393" t="s">
        <v>284</v>
      </c>
      <c r="H169" s="822" t="s">
        <v>1632</v>
      </c>
      <c r="I169" s="756"/>
      <c r="J169" s="756"/>
      <c r="K169" s="199"/>
      <c r="L169" s="199"/>
      <c r="M169" s="199"/>
      <c r="N169" s="199"/>
      <c r="O169" s="199"/>
      <c r="P169" s="199"/>
      <c r="Q169" s="199"/>
      <c r="V169" s="4279"/>
      <c r="W169" s="414">
        <v>1</v>
      </c>
      <c r="X169" s="414">
        <v>1</v>
      </c>
      <c r="Y169" s="787">
        <v>1</v>
      </c>
      <c r="Z169" s="787">
        <v>1</v>
      </c>
      <c r="AA169" s="787">
        <v>1</v>
      </c>
      <c r="AB169" s="414">
        <v>1</v>
      </c>
      <c r="AC169" s="414">
        <v>1</v>
      </c>
      <c r="AD169" s="414">
        <v>1</v>
      </c>
      <c r="AE169" s="414"/>
      <c r="AF169" s="414"/>
      <c r="AG169" s="414"/>
    </row>
    <row r="170" spans="2:33" hidden="1" outlineLevel="1" x14ac:dyDescent="0.35">
      <c r="B170" s="199"/>
      <c r="C170" s="197"/>
      <c r="D170" s="3843" t="s">
        <v>1633</v>
      </c>
      <c r="E170" s="368" t="s">
        <v>2292</v>
      </c>
      <c r="F170" s="1018">
        <v>11</v>
      </c>
      <c r="G170" s="822" t="s">
        <v>1615</v>
      </c>
      <c r="H170" s="4480" t="s">
        <v>288</v>
      </c>
      <c r="I170" s="756"/>
      <c r="J170" s="756"/>
      <c r="K170" s="199"/>
      <c r="L170" s="199"/>
      <c r="M170" s="199"/>
      <c r="N170" s="199"/>
      <c r="O170" s="199"/>
      <c r="P170" s="199"/>
      <c r="Q170" s="199"/>
      <c r="V170" s="3843" t="str">
        <f>D170</f>
        <v>ƞcool</v>
      </c>
      <c r="W170" s="1016">
        <v>11</v>
      </c>
      <c r="X170" s="1016">
        <v>11</v>
      </c>
      <c r="Y170" s="1018">
        <v>11</v>
      </c>
      <c r="Z170" s="1018">
        <v>11</v>
      </c>
      <c r="AA170" s="1018">
        <v>11</v>
      </c>
      <c r="AB170" s="1016">
        <v>11</v>
      </c>
      <c r="AC170" s="1016">
        <v>11</v>
      </c>
      <c r="AD170" s="1016">
        <v>11</v>
      </c>
      <c r="AE170" s="1016"/>
      <c r="AF170" s="1016"/>
      <c r="AG170" s="1016"/>
    </row>
    <row r="171" spans="2:33" hidden="1" outlineLevel="1" x14ac:dyDescent="0.35">
      <c r="B171" s="199"/>
      <c r="C171" s="197"/>
      <c r="D171" s="3844"/>
      <c r="E171" s="368" t="s">
        <v>2293</v>
      </c>
      <c r="F171" s="1018">
        <v>11</v>
      </c>
      <c r="G171" s="822" t="s">
        <v>1615</v>
      </c>
      <c r="H171" s="4481" t="s">
        <v>1615</v>
      </c>
      <c r="I171" s="756"/>
      <c r="J171" s="756"/>
      <c r="K171" s="199"/>
      <c r="L171" s="199"/>
      <c r="M171" s="199"/>
      <c r="N171" s="199"/>
      <c r="O171" s="199"/>
      <c r="P171" s="199"/>
      <c r="Q171" s="199"/>
      <c r="V171" s="3844"/>
      <c r="W171" s="1016">
        <v>11</v>
      </c>
      <c r="X171" s="1016">
        <v>11</v>
      </c>
      <c r="Y171" s="1018">
        <v>11</v>
      </c>
      <c r="Z171" s="1018">
        <v>11</v>
      </c>
      <c r="AA171" s="1018">
        <v>11</v>
      </c>
      <c r="AB171" s="1016">
        <v>11</v>
      </c>
      <c r="AC171" s="1016">
        <v>11</v>
      </c>
      <c r="AD171" s="1016">
        <v>11</v>
      </c>
      <c r="AE171" s="1016"/>
      <c r="AF171" s="1016"/>
      <c r="AG171" s="1016"/>
    </row>
    <row r="172" spans="2:33" hidden="1" outlineLevel="1" x14ac:dyDescent="0.35">
      <c r="B172" s="199"/>
      <c r="C172" s="197"/>
      <c r="D172" s="3844"/>
      <c r="E172" s="368" t="s">
        <v>2294</v>
      </c>
      <c r="F172" s="1018">
        <v>11</v>
      </c>
      <c r="G172" s="822" t="s">
        <v>1615</v>
      </c>
      <c r="H172" s="4481"/>
      <c r="I172" s="756"/>
      <c r="J172" s="756"/>
      <c r="K172" s="199"/>
      <c r="L172" s="199"/>
      <c r="M172" s="199"/>
      <c r="N172" s="199"/>
      <c r="O172" s="199"/>
      <c r="P172" s="199"/>
      <c r="Q172" s="199"/>
      <c r="V172" s="3844"/>
      <c r="W172" s="1016">
        <v>11</v>
      </c>
      <c r="X172" s="1016">
        <v>11</v>
      </c>
      <c r="Y172" s="1018">
        <v>11</v>
      </c>
      <c r="Z172" s="1018">
        <v>11</v>
      </c>
      <c r="AA172" s="1018">
        <v>11</v>
      </c>
      <c r="AB172" s="1016">
        <v>11</v>
      </c>
      <c r="AC172" s="1016">
        <v>11</v>
      </c>
      <c r="AD172" s="1016">
        <v>11</v>
      </c>
      <c r="AE172" s="1016"/>
      <c r="AF172" s="1016"/>
      <c r="AG172" s="1016"/>
    </row>
    <row r="173" spans="2:33" hidden="1" outlineLevel="1" x14ac:dyDescent="0.35">
      <c r="B173" s="199"/>
      <c r="C173" s="197"/>
      <c r="D173" s="3844"/>
      <c r="E173" s="368" t="s">
        <v>2295</v>
      </c>
      <c r="F173" s="1018">
        <v>11</v>
      </c>
      <c r="G173" s="822" t="s">
        <v>1615</v>
      </c>
      <c r="H173" s="4481" t="s">
        <v>1615</v>
      </c>
      <c r="I173" s="756"/>
      <c r="J173" s="756"/>
      <c r="K173" s="199"/>
      <c r="L173" s="199"/>
      <c r="M173" s="199"/>
      <c r="N173" s="199"/>
      <c r="O173" s="199"/>
      <c r="P173" s="199"/>
      <c r="Q173" s="199"/>
      <c r="V173" s="3844"/>
      <c r="W173" s="1016">
        <v>11</v>
      </c>
      <c r="X173" s="1016">
        <v>11</v>
      </c>
      <c r="Y173" s="1018">
        <v>11</v>
      </c>
      <c r="Z173" s="1018">
        <v>11</v>
      </c>
      <c r="AA173" s="1018">
        <v>11</v>
      </c>
      <c r="AB173" s="1016">
        <v>11</v>
      </c>
      <c r="AC173" s="1016">
        <v>11</v>
      </c>
      <c r="AD173" s="1016">
        <v>11</v>
      </c>
      <c r="AE173" s="1016"/>
      <c r="AF173" s="1016"/>
      <c r="AG173" s="1016"/>
    </row>
    <row r="174" spans="2:33" hidden="1" outlineLevel="1" x14ac:dyDescent="0.35">
      <c r="B174" s="199"/>
      <c r="C174" s="197"/>
      <c r="D174" s="3844"/>
      <c r="E174" s="368" t="s">
        <v>2296</v>
      </c>
      <c r="F174" s="1018">
        <v>11</v>
      </c>
      <c r="G174" s="822" t="s">
        <v>1615</v>
      </c>
      <c r="H174" s="4481"/>
      <c r="I174" s="756"/>
      <c r="J174" s="756"/>
      <c r="K174" s="199"/>
      <c r="L174" s="199"/>
      <c r="M174" s="199"/>
      <c r="N174" s="199"/>
      <c r="O174" s="199"/>
      <c r="P174" s="199"/>
      <c r="Q174" s="199"/>
      <c r="V174" s="3844"/>
      <c r="W174" s="1016">
        <v>11</v>
      </c>
      <c r="X174" s="1016">
        <v>11</v>
      </c>
      <c r="Y174" s="1018">
        <v>11</v>
      </c>
      <c r="Z174" s="1018">
        <v>11</v>
      </c>
      <c r="AA174" s="1018">
        <v>11</v>
      </c>
      <c r="AB174" s="1016">
        <v>11</v>
      </c>
      <c r="AC174" s="1016">
        <v>11</v>
      </c>
      <c r="AD174" s="1016">
        <v>11</v>
      </c>
      <c r="AE174" s="1016"/>
      <c r="AF174" s="1016"/>
      <c r="AG174" s="1016"/>
    </row>
    <row r="175" spans="2:33" hidden="1" outlineLevel="1" x14ac:dyDescent="0.35">
      <c r="B175" s="199"/>
      <c r="C175" s="197"/>
      <c r="D175" s="3844"/>
      <c r="E175" s="368" t="s">
        <v>2297</v>
      </c>
      <c r="F175" s="1018">
        <v>11</v>
      </c>
      <c r="G175" s="822" t="s">
        <v>1615</v>
      </c>
      <c r="H175" s="4481" t="s">
        <v>1615</v>
      </c>
      <c r="I175" s="756"/>
      <c r="J175" s="756"/>
      <c r="K175" s="199"/>
      <c r="L175" s="199"/>
      <c r="M175" s="199"/>
      <c r="N175" s="199"/>
      <c r="O175" s="199"/>
      <c r="P175" s="199"/>
      <c r="Q175" s="199"/>
      <c r="V175" s="3844"/>
      <c r="W175" s="1016">
        <v>11</v>
      </c>
      <c r="X175" s="1016">
        <v>11</v>
      </c>
      <c r="Y175" s="1018">
        <v>11</v>
      </c>
      <c r="Z175" s="1018">
        <v>11</v>
      </c>
      <c r="AA175" s="1018">
        <v>11</v>
      </c>
      <c r="AB175" s="1016">
        <v>11</v>
      </c>
      <c r="AC175" s="1016">
        <v>11</v>
      </c>
      <c r="AD175" s="1016">
        <v>11</v>
      </c>
      <c r="AE175" s="1016"/>
      <c r="AF175" s="1016"/>
      <c r="AG175" s="1016"/>
    </row>
    <row r="176" spans="2:33" hidden="1" outlineLevel="1" x14ac:dyDescent="0.35">
      <c r="B176" s="199"/>
      <c r="C176" s="197"/>
      <c r="D176" s="3844"/>
      <c r="E176" s="368" t="s">
        <v>2298</v>
      </c>
      <c r="F176" s="1018">
        <v>11</v>
      </c>
      <c r="G176" s="822" t="s">
        <v>1615</v>
      </c>
      <c r="H176" s="4481"/>
      <c r="I176" s="756"/>
      <c r="J176" s="756"/>
      <c r="K176" s="199"/>
      <c r="L176" s="199"/>
      <c r="M176" s="199"/>
      <c r="N176" s="199"/>
      <c r="O176" s="199"/>
      <c r="P176" s="199"/>
      <c r="Q176" s="199"/>
      <c r="V176" s="3844"/>
      <c r="W176" s="1016">
        <v>11</v>
      </c>
      <c r="X176" s="1016">
        <v>11</v>
      </c>
      <c r="Y176" s="1018">
        <v>11</v>
      </c>
      <c r="Z176" s="1018">
        <v>11</v>
      </c>
      <c r="AA176" s="1018">
        <v>11</v>
      </c>
      <c r="AB176" s="1016">
        <v>11</v>
      </c>
      <c r="AC176" s="1016">
        <v>11</v>
      </c>
      <c r="AD176" s="1016">
        <v>11</v>
      </c>
      <c r="AE176" s="1016"/>
      <c r="AF176" s="1016"/>
      <c r="AG176" s="1016"/>
    </row>
    <row r="177" spans="2:33" hidden="1" outlineLevel="1" x14ac:dyDescent="0.35">
      <c r="B177" s="199"/>
      <c r="C177" s="197"/>
      <c r="D177" s="3844"/>
      <c r="E177" s="368" t="s">
        <v>2299</v>
      </c>
      <c r="F177" s="1018">
        <v>11</v>
      </c>
      <c r="G177" s="822" t="s">
        <v>1615</v>
      </c>
      <c r="H177" s="4481" t="s">
        <v>1615</v>
      </c>
      <c r="I177" s="756"/>
      <c r="J177" s="756"/>
      <c r="K177" s="199"/>
      <c r="L177" s="199"/>
      <c r="M177" s="199"/>
      <c r="N177" s="199"/>
      <c r="O177" s="199"/>
      <c r="P177" s="199"/>
      <c r="Q177" s="199"/>
      <c r="V177" s="3844"/>
      <c r="W177" s="1016">
        <v>11</v>
      </c>
      <c r="X177" s="1016">
        <v>11</v>
      </c>
      <c r="Y177" s="1018">
        <v>11</v>
      </c>
      <c r="Z177" s="1018">
        <v>11</v>
      </c>
      <c r="AA177" s="1018">
        <v>11</v>
      </c>
      <c r="AB177" s="1016">
        <v>11</v>
      </c>
      <c r="AC177" s="1016">
        <v>11</v>
      </c>
      <c r="AD177" s="1016">
        <v>11</v>
      </c>
      <c r="AE177" s="1016"/>
      <c r="AF177" s="1016"/>
      <c r="AG177" s="1016"/>
    </row>
    <row r="178" spans="2:33" hidden="1" outlineLevel="1" x14ac:dyDescent="0.35">
      <c r="B178" s="199"/>
      <c r="C178" s="197"/>
      <c r="D178" s="3844"/>
      <c r="E178" s="368" t="s">
        <v>2300</v>
      </c>
      <c r="F178" s="1018">
        <v>11</v>
      </c>
      <c r="G178" s="822" t="s">
        <v>1615</v>
      </c>
      <c r="H178" s="4481"/>
      <c r="I178" s="756"/>
      <c r="J178" s="756"/>
      <c r="K178" s="199"/>
      <c r="L178" s="199"/>
      <c r="M178" s="199"/>
      <c r="N178" s="199"/>
      <c r="O178" s="199"/>
      <c r="P178" s="199"/>
      <c r="Q178" s="199"/>
      <c r="V178" s="3844"/>
      <c r="W178" s="1016">
        <v>11</v>
      </c>
      <c r="X178" s="1016">
        <v>11</v>
      </c>
      <c r="Y178" s="1018">
        <v>11</v>
      </c>
      <c r="Z178" s="1018">
        <v>11</v>
      </c>
      <c r="AA178" s="1018">
        <v>11</v>
      </c>
      <c r="AB178" s="1016">
        <v>11</v>
      </c>
      <c r="AC178" s="1016">
        <v>11</v>
      </c>
      <c r="AD178" s="1016">
        <v>11</v>
      </c>
      <c r="AE178" s="1016"/>
      <c r="AF178" s="1016"/>
      <c r="AG178" s="1016"/>
    </row>
    <row r="179" spans="2:33" hidden="1" outlineLevel="1" x14ac:dyDescent="0.35">
      <c r="B179" s="199"/>
      <c r="C179" s="197"/>
      <c r="D179" s="4307"/>
      <c r="E179" s="368" t="s">
        <v>2301</v>
      </c>
      <c r="F179" s="1018">
        <v>11</v>
      </c>
      <c r="G179" s="822" t="s">
        <v>1615</v>
      </c>
      <c r="H179" s="4482" t="s">
        <v>1615</v>
      </c>
      <c r="I179" s="756"/>
      <c r="J179" s="756"/>
      <c r="K179" s="199"/>
      <c r="L179" s="199"/>
      <c r="M179" s="199"/>
      <c r="N179" s="199"/>
      <c r="O179" s="199"/>
      <c r="P179" s="199"/>
      <c r="Q179" s="199"/>
      <c r="V179" s="4307"/>
      <c r="W179" s="1016">
        <v>11</v>
      </c>
      <c r="X179" s="1016">
        <v>11</v>
      </c>
      <c r="Y179" s="1018">
        <v>11</v>
      </c>
      <c r="Z179" s="1018">
        <v>11</v>
      </c>
      <c r="AA179" s="1018">
        <v>11</v>
      </c>
      <c r="AB179" s="1016">
        <v>11</v>
      </c>
      <c r="AC179" s="1016">
        <v>11</v>
      </c>
      <c r="AD179" s="1016">
        <v>11</v>
      </c>
      <c r="AE179" s="1016"/>
      <c r="AF179" s="1016"/>
      <c r="AG179" s="1016"/>
    </row>
    <row r="180" spans="2:33" hidden="1" outlineLevel="1" x14ac:dyDescent="0.35">
      <c r="B180" s="199"/>
      <c r="C180" s="197"/>
      <c r="D180" s="1494" t="str">
        <f>$D$34</f>
        <v>EUL</v>
      </c>
      <c r="E180" s="368"/>
      <c r="F180" s="1018">
        <v>25</v>
      </c>
      <c r="G180" s="2393"/>
      <c r="H180" s="822"/>
      <c r="I180" s="756"/>
      <c r="J180" s="756"/>
      <c r="K180" s="199"/>
      <c r="L180" s="199"/>
      <c r="M180" s="199"/>
      <c r="N180" s="199"/>
      <c r="O180" s="199"/>
      <c r="P180" s="199"/>
      <c r="Q180" s="199"/>
      <c r="V180" s="2365" t="str">
        <f>D180</f>
        <v>EUL</v>
      </c>
      <c r="W180" s="1018">
        <v>25</v>
      </c>
      <c r="X180" s="1018">
        <v>25</v>
      </c>
      <c r="Y180" s="1018">
        <v>25</v>
      </c>
      <c r="Z180" s="1018">
        <v>25</v>
      </c>
      <c r="AA180" s="1018">
        <v>25</v>
      </c>
      <c r="AB180" s="1909">
        <v>25</v>
      </c>
      <c r="AC180" s="1909">
        <v>25</v>
      </c>
      <c r="AD180" s="1909">
        <v>25</v>
      </c>
      <c r="AE180" s="414"/>
      <c r="AF180" s="414"/>
      <c r="AG180" s="414"/>
    </row>
    <row r="181" spans="2:33" hidden="1" outlineLevel="1" x14ac:dyDescent="0.35">
      <c r="B181" s="199"/>
      <c r="C181" s="197"/>
      <c r="D181" s="4484" t="str">
        <f>$D$35</f>
        <v>Inc. Cost</v>
      </c>
      <c r="E181" s="368"/>
      <c r="F181" s="1014">
        <f>1860.46/875.55</f>
        <v>2.1249043458397581</v>
      </c>
      <c r="G181" s="4480" t="s">
        <v>1577</v>
      </c>
      <c r="H181" s="822" t="str">
        <f>CONCATENATE("Avg. size home ",I181," sq.ft.")</f>
        <v>Avg. size home 875.55 sq.ft.</v>
      </c>
      <c r="I181" s="375">
        <v>875.55000000000007</v>
      </c>
      <c r="J181" s="756"/>
      <c r="K181" s="199"/>
      <c r="L181" s="199"/>
      <c r="M181" s="199"/>
      <c r="N181" s="199"/>
      <c r="O181" s="199"/>
      <c r="P181" s="199"/>
      <c r="Q181" s="199"/>
      <c r="V181" s="3870" t="str">
        <f>D181</f>
        <v>Inc. Cost</v>
      </c>
      <c r="W181" s="1014">
        <v>1860.46</v>
      </c>
      <c r="X181" s="1014">
        <v>1860.46</v>
      </c>
      <c r="Y181" s="1492">
        <f>1860.46/875.55</f>
        <v>2.1249043458397581</v>
      </c>
      <c r="Z181" s="1014">
        <f t="shared" ref="Z181:AA182" si="51">1860.46/875.55</f>
        <v>2.1249043458397581</v>
      </c>
      <c r="AA181" s="1014">
        <f t="shared" si="51"/>
        <v>2.1249043458397581</v>
      </c>
      <c r="AB181" s="552">
        <v>2.1249043458397581</v>
      </c>
      <c r="AC181" s="552">
        <v>2.1249043458397581</v>
      </c>
      <c r="AD181" s="552">
        <v>2.1249043458397581</v>
      </c>
      <c r="AE181" s="414"/>
      <c r="AF181" s="414"/>
      <c r="AG181" s="414"/>
    </row>
    <row r="182" spans="2:33" hidden="1" outlineLevel="1" x14ac:dyDescent="0.35">
      <c r="B182" s="199"/>
      <c r="C182" s="197"/>
      <c r="D182" s="3870"/>
      <c r="E182" s="368"/>
      <c r="F182" s="1014">
        <f>1860.46/875.55</f>
        <v>2.1249043458397581</v>
      </c>
      <c r="G182" s="4481"/>
      <c r="H182" s="822" t="str">
        <f t="shared" ref="H182:H190" si="52">CONCATENATE("Avg. size home ",I182," sq.ft.")</f>
        <v>Avg. size home 875.55 sq.ft.</v>
      </c>
      <c r="I182" s="375">
        <v>875.55000000000007</v>
      </c>
      <c r="J182" s="756"/>
      <c r="K182" s="199"/>
      <c r="L182" s="199"/>
      <c r="M182" s="199"/>
      <c r="N182" s="199"/>
      <c r="O182" s="199"/>
      <c r="P182" s="199"/>
      <c r="Q182" s="199"/>
      <c r="V182" s="3870"/>
      <c r="W182" s="1014">
        <v>1860.46</v>
      </c>
      <c r="X182" s="1014">
        <v>1860.46</v>
      </c>
      <c r="Y182" s="1492">
        <f>1860.46/875.55</f>
        <v>2.1249043458397581</v>
      </c>
      <c r="Z182" s="1014">
        <f t="shared" si="51"/>
        <v>2.1249043458397581</v>
      </c>
      <c r="AA182" s="1014">
        <f t="shared" si="51"/>
        <v>2.1249043458397581</v>
      </c>
      <c r="AB182" s="552">
        <v>2.1249043458397581</v>
      </c>
      <c r="AC182" s="552">
        <v>2.1249043458397581</v>
      </c>
      <c r="AD182" s="552">
        <v>2.1249043458397581</v>
      </c>
      <c r="AE182" s="414"/>
      <c r="AF182" s="414"/>
      <c r="AG182" s="414"/>
    </row>
    <row r="183" spans="2:33" hidden="1" outlineLevel="1" x14ac:dyDescent="0.35">
      <c r="B183" s="199"/>
      <c r="C183" s="197"/>
      <c r="D183" s="3870"/>
      <c r="E183" s="368"/>
      <c r="F183" s="1014">
        <f>836.16/718.9</f>
        <v>1.1631103074141049</v>
      </c>
      <c r="G183" s="4481"/>
      <c r="H183" s="822" t="str">
        <f t="shared" si="52"/>
        <v>Avg. size home 718.9 sq.ft.</v>
      </c>
      <c r="I183" s="375">
        <v>718.9</v>
      </c>
      <c r="J183" s="756"/>
      <c r="K183" s="199"/>
      <c r="L183" s="199"/>
      <c r="M183" s="199"/>
      <c r="N183" s="199"/>
      <c r="O183" s="199"/>
      <c r="P183" s="199"/>
      <c r="Q183" s="199"/>
      <c r="V183" s="3870"/>
      <c r="W183" s="1014">
        <v>836.16</v>
      </c>
      <c r="X183" s="1014">
        <v>836.16</v>
      </c>
      <c r="Y183" s="1492">
        <f>836.16/718.9</f>
        <v>1.1631103074141049</v>
      </c>
      <c r="Z183" s="1014">
        <f t="shared" ref="Z183:AA184" si="53">836.16/718.9</f>
        <v>1.1631103074141049</v>
      </c>
      <c r="AA183" s="1014">
        <f t="shared" si="53"/>
        <v>1.1631103074141049</v>
      </c>
      <c r="AB183" s="552">
        <v>1.1631103074141049</v>
      </c>
      <c r="AC183" s="552">
        <v>1.1631103074141049</v>
      </c>
      <c r="AD183" s="552">
        <v>1.1631103074141049</v>
      </c>
      <c r="AE183" s="414"/>
      <c r="AF183" s="414"/>
      <c r="AG183" s="414"/>
    </row>
    <row r="184" spans="2:33" hidden="1" outlineLevel="1" x14ac:dyDescent="0.35">
      <c r="B184" s="199"/>
      <c r="C184" s="197"/>
      <c r="D184" s="3870"/>
      <c r="E184" s="368"/>
      <c r="F184" s="1014">
        <f>836.16/718.9</f>
        <v>1.1631103074141049</v>
      </c>
      <c r="G184" s="4481"/>
      <c r="H184" s="822" t="str">
        <f t="shared" si="52"/>
        <v>Avg. size home 718.9 sq.ft.</v>
      </c>
      <c r="I184" s="375">
        <v>718.9</v>
      </c>
      <c r="J184" s="756"/>
      <c r="K184" s="199"/>
      <c r="L184" s="199"/>
      <c r="M184" s="199"/>
      <c r="N184" s="199"/>
      <c r="O184" s="199"/>
      <c r="P184" s="199"/>
      <c r="Q184" s="199"/>
      <c r="V184" s="3870"/>
      <c r="W184" s="1014">
        <v>836.16</v>
      </c>
      <c r="X184" s="1014">
        <v>836.16</v>
      </c>
      <c r="Y184" s="1492">
        <f>836.16/718.9</f>
        <v>1.1631103074141049</v>
      </c>
      <c r="Z184" s="1014">
        <f t="shared" si="53"/>
        <v>1.1631103074141049</v>
      </c>
      <c r="AA184" s="1014">
        <f t="shared" si="53"/>
        <v>1.1631103074141049</v>
      </c>
      <c r="AB184" s="552">
        <v>1.1631103074141049</v>
      </c>
      <c r="AC184" s="552">
        <v>1.1631103074141049</v>
      </c>
      <c r="AD184" s="552">
        <v>1.1631103074141049</v>
      </c>
      <c r="AE184" s="414"/>
      <c r="AF184" s="414"/>
      <c r="AG184" s="414"/>
    </row>
    <row r="185" spans="2:33" hidden="1" outlineLevel="1" x14ac:dyDescent="0.35">
      <c r="B185" s="199"/>
      <c r="C185" s="197"/>
      <c r="D185" s="3870"/>
      <c r="E185" s="368"/>
      <c r="F185" s="1014">
        <f>1208.5/718.9</f>
        <v>1.6810404785088331</v>
      </c>
      <c r="G185" s="4481"/>
      <c r="H185" s="822" t="str">
        <f t="shared" si="52"/>
        <v>Avg. size home 718.9 sq.ft.</v>
      </c>
      <c r="I185" s="375">
        <v>718.9</v>
      </c>
      <c r="J185" s="756"/>
      <c r="K185" s="199"/>
      <c r="L185" s="199"/>
      <c r="M185" s="199"/>
      <c r="N185" s="199"/>
      <c r="O185" s="199"/>
      <c r="P185" s="199"/>
      <c r="Q185" s="199"/>
      <c r="V185" s="3870"/>
      <c r="W185" s="1014">
        <v>1208.5</v>
      </c>
      <c r="X185" s="1014">
        <v>1208.5</v>
      </c>
      <c r="Y185" s="1492">
        <f>1208.5/718.9</f>
        <v>1.6810404785088331</v>
      </c>
      <c r="Z185" s="1014">
        <f t="shared" ref="Z185:AA186" si="54">1208.5/718.9</f>
        <v>1.6810404785088331</v>
      </c>
      <c r="AA185" s="1014">
        <f t="shared" si="54"/>
        <v>1.6810404785088331</v>
      </c>
      <c r="AB185" s="552">
        <v>1.6810404785088331</v>
      </c>
      <c r="AC185" s="552">
        <v>1.6810404785088331</v>
      </c>
      <c r="AD185" s="552">
        <v>1.6810404785088331</v>
      </c>
      <c r="AE185" s="414"/>
      <c r="AF185" s="414"/>
      <c r="AG185" s="414"/>
    </row>
    <row r="186" spans="2:33" hidden="1" outlineLevel="1" x14ac:dyDescent="0.35">
      <c r="B186" s="199"/>
      <c r="C186" s="197"/>
      <c r="D186" s="3870"/>
      <c r="E186" s="368"/>
      <c r="F186" s="1014">
        <f>1208.5/718.9</f>
        <v>1.6810404785088331</v>
      </c>
      <c r="G186" s="4481"/>
      <c r="H186" s="822" t="str">
        <f t="shared" si="52"/>
        <v>Avg. size home 718.9 sq.ft.</v>
      </c>
      <c r="I186" s="375">
        <v>718.9</v>
      </c>
      <c r="J186" s="756"/>
      <c r="K186" s="199"/>
      <c r="L186" s="199"/>
      <c r="M186" s="199"/>
      <c r="N186" s="199"/>
      <c r="O186" s="199"/>
      <c r="P186" s="199"/>
      <c r="Q186" s="199"/>
      <c r="V186" s="3870"/>
      <c r="W186" s="1014">
        <v>1208.5</v>
      </c>
      <c r="X186" s="1014">
        <v>1208.5</v>
      </c>
      <c r="Y186" s="1492">
        <f>1208.5/718.9</f>
        <v>1.6810404785088331</v>
      </c>
      <c r="Z186" s="1014">
        <f t="shared" si="54"/>
        <v>1.6810404785088331</v>
      </c>
      <c r="AA186" s="1014">
        <f t="shared" si="54"/>
        <v>1.6810404785088331</v>
      </c>
      <c r="AB186" s="552">
        <v>1.6810404785088331</v>
      </c>
      <c r="AC186" s="552">
        <v>1.6810404785088331</v>
      </c>
      <c r="AD186" s="552">
        <v>1.6810404785088331</v>
      </c>
      <c r="AE186" s="414"/>
      <c r="AF186" s="414"/>
      <c r="AG186" s="414"/>
    </row>
    <row r="187" spans="2:33" hidden="1" outlineLevel="1" x14ac:dyDescent="0.35">
      <c r="B187" s="199"/>
      <c r="C187" s="197"/>
      <c r="D187" s="3870"/>
      <c r="E187" s="368"/>
      <c r="F187" s="1014">
        <f>1846.68/718.9</f>
        <v>2.568757824454027</v>
      </c>
      <c r="G187" s="4481"/>
      <c r="H187" s="822" t="str">
        <f t="shared" si="52"/>
        <v>Avg. size home 718.9 sq.ft.</v>
      </c>
      <c r="I187" s="375">
        <v>718.9</v>
      </c>
      <c r="J187" s="756"/>
      <c r="K187" s="199"/>
      <c r="L187" s="199"/>
      <c r="M187" s="199"/>
      <c r="N187" s="199"/>
      <c r="O187" s="199"/>
      <c r="P187" s="199"/>
      <c r="Q187" s="199"/>
      <c r="V187" s="3870"/>
      <c r="W187" s="1014">
        <v>1846.68</v>
      </c>
      <c r="X187" s="1014">
        <v>1846.68</v>
      </c>
      <c r="Y187" s="1492">
        <f>1846.68/718.9</f>
        <v>2.568757824454027</v>
      </c>
      <c r="Z187" s="1014">
        <f t="shared" ref="Z187:AA188" si="55">1846.68/718.9</f>
        <v>2.568757824454027</v>
      </c>
      <c r="AA187" s="1014">
        <f t="shared" si="55"/>
        <v>2.568757824454027</v>
      </c>
      <c r="AB187" s="552">
        <v>2.568757824454027</v>
      </c>
      <c r="AC187" s="552">
        <v>2.568757824454027</v>
      </c>
      <c r="AD187" s="552">
        <v>2.568757824454027</v>
      </c>
      <c r="AE187" s="414"/>
      <c r="AF187" s="414"/>
      <c r="AG187" s="414"/>
    </row>
    <row r="188" spans="2:33" hidden="1" outlineLevel="1" x14ac:dyDescent="0.35">
      <c r="B188" s="199"/>
      <c r="C188" s="197"/>
      <c r="D188" s="3870"/>
      <c r="E188" s="368"/>
      <c r="F188" s="1014">
        <f>1846.68/718.9</f>
        <v>2.568757824454027</v>
      </c>
      <c r="G188" s="4481"/>
      <c r="H188" s="822" t="str">
        <f t="shared" si="52"/>
        <v>Avg. size home 718.9 sq.ft.</v>
      </c>
      <c r="I188" s="375">
        <v>718.9</v>
      </c>
      <c r="J188" s="756"/>
      <c r="K188" s="199"/>
      <c r="L188" s="199"/>
      <c r="M188" s="199"/>
      <c r="N188" s="199"/>
      <c r="O188" s="199"/>
      <c r="P188" s="199"/>
      <c r="Q188" s="199"/>
      <c r="V188" s="3870"/>
      <c r="W188" s="1014">
        <v>1846.68</v>
      </c>
      <c r="X188" s="1014">
        <v>1846.68</v>
      </c>
      <c r="Y188" s="1492">
        <f>1846.68/718.9</f>
        <v>2.568757824454027</v>
      </c>
      <c r="Z188" s="1014">
        <f t="shared" si="55"/>
        <v>2.568757824454027</v>
      </c>
      <c r="AA188" s="1014">
        <f t="shared" si="55"/>
        <v>2.568757824454027</v>
      </c>
      <c r="AB188" s="552">
        <v>2.568757824454027</v>
      </c>
      <c r="AC188" s="552">
        <v>2.568757824454027</v>
      </c>
      <c r="AD188" s="552">
        <v>2.568757824454027</v>
      </c>
      <c r="AE188" s="414"/>
      <c r="AF188" s="414"/>
      <c r="AG188" s="414"/>
    </row>
    <row r="189" spans="2:33" hidden="1" outlineLevel="1" x14ac:dyDescent="0.35">
      <c r="B189" s="199"/>
      <c r="C189" s="197"/>
      <c r="D189" s="3870"/>
      <c r="E189" s="368"/>
      <c r="F189" s="1014">
        <f>2461.73/718.9</f>
        <v>3.424301015440256</v>
      </c>
      <c r="G189" s="4481"/>
      <c r="H189" s="822" t="str">
        <f t="shared" si="52"/>
        <v>Avg. size home 718.9 sq.ft.</v>
      </c>
      <c r="I189" s="375">
        <v>718.9</v>
      </c>
      <c r="J189" s="756"/>
      <c r="K189" s="199"/>
      <c r="L189" s="199"/>
      <c r="M189" s="199"/>
      <c r="N189" s="199"/>
      <c r="O189" s="199"/>
      <c r="P189" s="199"/>
      <c r="Q189" s="199"/>
      <c r="V189" s="3870"/>
      <c r="W189" s="1014">
        <v>2461.73</v>
      </c>
      <c r="X189" s="1014">
        <v>2461.73</v>
      </c>
      <c r="Y189" s="1492">
        <f>2461.73/718.9</f>
        <v>3.424301015440256</v>
      </c>
      <c r="Z189" s="1014">
        <f t="shared" ref="Z189:AA190" si="56">2461.73/718.9</f>
        <v>3.424301015440256</v>
      </c>
      <c r="AA189" s="1014">
        <f t="shared" si="56"/>
        <v>3.424301015440256</v>
      </c>
      <c r="AB189" s="552">
        <v>3.424301015440256</v>
      </c>
      <c r="AC189" s="552">
        <v>3.424301015440256</v>
      </c>
      <c r="AD189" s="552">
        <v>3.424301015440256</v>
      </c>
      <c r="AE189" s="414"/>
      <c r="AF189" s="414"/>
      <c r="AG189" s="414"/>
    </row>
    <row r="190" spans="2:33" hidden="1" outlineLevel="1" x14ac:dyDescent="0.35">
      <c r="B190" s="199"/>
      <c r="C190" s="197"/>
      <c r="D190" s="3870"/>
      <c r="E190" s="368"/>
      <c r="F190" s="1014">
        <f>2461.73/718.9</f>
        <v>3.424301015440256</v>
      </c>
      <c r="G190" s="4482"/>
      <c r="H190" s="822" t="str">
        <f t="shared" si="52"/>
        <v>Avg. size home 718.9 sq.ft.</v>
      </c>
      <c r="I190" s="375">
        <v>718.9</v>
      </c>
      <c r="J190" s="756"/>
      <c r="K190" s="199"/>
      <c r="L190" s="199"/>
      <c r="M190" s="199"/>
      <c r="N190" s="199"/>
      <c r="O190" s="199"/>
      <c r="P190" s="199"/>
      <c r="Q190" s="199"/>
      <c r="V190" s="3870"/>
      <c r="W190" s="1014">
        <v>2461.73</v>
      </c>
      <c r="X190" s="1014">
        <v>2461.73</v>
      </c>
      <c r="Y190" s="1492">
        <f>2461.73/718.9</f>
        <v>3.424301015440256</v>
      </c>
      <c r="Z190" s="1014">
        <f t="shared" si="56"/>
        <v>3.424301015440256</v>
      </c>
      <c r="AA190" s="1014">
        <f t="shared" si="56"/>
        <v>3.424301015440256</v>
      </c>
      <c r="AB190" s="552">
        <v>3.424301015440256</v>
      </c>
      <c r="AC190" s="552">
        <v>3.424301015440256</v>
      </c>
      <c r="AD190" s="552">
        <v>3.424301015440256</v>
      </c>
      <c r="AE190" s="414"/>
      <c r="AF190" s="414"/>
      <c r="AG190" s="414"/>
    </row>
    <row r="191" spans="2:33" collapsed="1" x14ac:dyDescent="0.35">
      <c r="B191" s="1040"/>
      <c r="C191" s="197"/>
      <c r="D191" s="217"/>
      <c r="E191" s="217"/>
      <c r="F191" s="199"/>
      <c r="G191" s="199"/>
      <c r="H191" s="199"/>
      <c r="I191" s="199"/>
      <c r="J191" s="199"/>
      <c r="K191" s="199"/>
      <c r="L191" s="199"/>
      <c r="M191" s="199"/>
      <c r="N191" s="199"/>
      <c r="O191" s="199"/>
      <c r="P191" s="199"/>
      <c r="Q191" s="199"/>
    </row>
    <row r="193" spans="2:57" x14ac:dyDescent="0.35">
      <c r="B193" s="3664" t="s">
        <v>492</v>
      </c>
      <c r="C193" s="3665"/>
      <c r="D193" s="3665"/>
      <c r="E193" s="3665"/>
      <c r="F193" s="3665"/>
      <c r="G193" s="3665"/>
      <c r="H193" s="3665"/>
      <c r="I193" s="3666"/>
      <c r="J193" s="3666"/>
      <c r="K193" s="3666"/>
      <c r="L193" s="3666"/>
      <c r="M193" s="3666"/>
      <c r="N193" s="3666"/>
      <c r="O193" s="3666"/>
      <c r="P193" s="3666"/>
      <c r="Q193" s="3667"/>
      <c r="V193" s="3664" t="str">
        <f>B193</f>
        <v>Dirty Filter Alarm</v>
      </c>
      <c r="W193" s="3665"/>
      <c r="X193" s="3665"/>
      <c r="Y193" s="3665"/>
      <c r="Z193" s="3665"/>
      <c r="AA193" s="3665"/>
      <c r="AB193" s="3665"/>
      <c r="AC193" s="3680"/>
      <c r="AD193" s="3680"/>
      <c r="AE193" s="3680"/>
      <c r="AF193" s="3680"/>
      <c r="AG193" s="3680"/>
      <c r="AH193" s="3680"/>
      <c r="AI193" s="3681"/>
    </row>
    <row r="194" spans="2:57" x14ac:dyDescent="0.35">
      <c r="B194" s="1040"/>
      <c r="C194" s="197"/>
      <c r="D194" s="292" t="s">
        <v>2252</v>
      </c>
      <c r="E194" s="367"/>
      <c r="F194" s="198"/>
      <c r="G194" s="198"/>
      <c r="H194" s="198"/>
      <c r="I194" s="198"/>
      <c r="J194" s="198"/>
      <c r="K194" s="198"/>
      <c r="L194" s="1219"/>
      <c r="M194" s="199"/>
      <c r="N194" s="199"/>
      <c r="O194" s="199"/>
      <c r="P194" s="199"/>
      <c r="Q194" s="199"/>
    </row>
    <row r="195" spans="2:57" ht="29" x14ac:dyDescent="0.35">
      <c r="B195" s="1040"/>
      <c r="C195" s="2331" t="s">
        <v>27</v>
      </c>
      <c r="D195" s="2331" t="s">
        <v>174</v>
      </c>
      <c r="E195" s="2331" t="s">
        <v>29</v>
      </c>
      <c r="F195" s="2331" t="s">
        <v>30</v>
      </c>
      <c r="G195" s="2331" t="s">
        <v>175</v>
      </c>
      <c r="H195" s="2331" t="s">
        <v>176</v>
      </c>
      <c r="I195" s="2331" t="s">
        <v>493</v>
      </c>
      <c r="J195" s="2331" t="s">
        <v>494</v>
      </c>
      <c r="K195" s="2331" t="s">
        <v>31</v>
      </c>
      <c r="L195" s="2363" t="s">
        <v>180</v>
      </c>
      <c r="M195" s="2331" t="s">
        <v>169</v>
      </c>
      <c r="N195" s="2331" t="s">
        <v>43</v>
      </c>
      <c r="V195" s="1572" t="s">
        <v>44</v>
      </c>
      <c r="W195" s="1573">
        <f>W$6</f>
        <v>43252</v>
      </c>
      <c r="X195" s="1573">
        <f t="shared" ref="X195:AG195" si="57">X$6</f>
        <v>43465</v>
      </c>
      <c r="Y195" s="1573">
        <f t="shared" si="57"/>
        <v>43800</v>
      </c>
      <c r="Z195" s="1573">
        <f t="shared" si="57"/>
        <v>43862</v>
      </c>
      <c r="AA195" s="1573">
        <f t="shared" si="57"/>
        <v>44013</v>
      </c>
      <c r="AB195" s="1573">
        <f t="shared" si="57"/>
        <v>44166</v>
      </c>
      <c r="AC195" s="1573">
        <f t="shared" si="57"/>
        <v>44531</v>
      </c>
      <c r="AD195" s="1573">
        <f t="shared" si="57"/>
        <v>44774</v>
      </c>
      <c r="AE195" s="1573" t="str">
        <f t="shared" si="57"/>
        <v>-</v>
      </c>
      <c r="AF195" s="1573" t="str">
        <f t="shared" si="57"/>
        <v>-</v>
      </c>
      <c r="AG195" s="1573" t="str">
        <f t="shared" si="57"/>
        <v>-</v>
      </c>
      <c r="BB195" s="1574" t="str">
        <f>$BB$6</f>
        <v>TRC (2022)</v>
      </c>
      <c r="BC195" s="1584" t="str">
        <f>$BC$6</f>
        <v>Benefit Lookup</v>
      </c>
      <c r="BD195" s="556" t="str">
        <f>$BD$6</f>
        <v>Benefits (2019 $)</v>
      </c>
      <c r="BE195" s="200" t="str">
        <f>$BE$6</f>
        <v>Incremental Cost (2019 $)</v>
      </c>
    </row>
    <row r="196" spans="2:57" x14ac:dyDescent="0.35">
      <c r="B196" s="1040"/>
      <c r="C196" s="2129" t="s">
        <v>2308</v>
      </c>
      <c r="D196" s="395" t="s">
        <v>2254</v>
      </c>
      <c r="E196" s="2426" t="s">
        <v>2309</v>
      </c>
      <c r="F196" s="1223">
        <f>ROUND(I196+J196,2)</f>
        <v>79.2</v>
      </c>
      <c r="G196" s="2388" t="s">
        <v>425</v>
      </c>
      <c r="H196" s="136">
        <f>VLOOKUP(G196,'CP FACTORS'!$A$3:$B$38, 2, FALSE)</f>
        <v>4.6608050000000002E-4</v>
      </c>
      <c r="I196" s="1020">
        <f>F$209*F$210*F$211*F$213*F214*F215</f>
        <v>50.097299999999997</v>
      </c>
      <c r="J196" s="1020">
        <f>F$216*F$210*F$217*F$213*F214*F215</f>
        <v>29.100637499999994</v>
      </c>
      <c r="K196" s="742">
        <f>ROUND(H196*F196,6)</f>
        <v>3.6914000000000002E-2</v>
      </c>
      <c r="L196" s="1020">
        <f>F219</f>
        <v>14</v>
      </c>
      <c r="M196" s="1014">
        <f>F220</f>
        <v>5</v>
      </c>
      <c r="N196" s="2129" t="s">
        <v>184</v>
      </c>
      <c r="V196" s="141" t="str">
        <f>F195</f>
        <v>kWh Annual Savings</v>
      </c>
      <c r="W196" s="369">
        <v>79.197937499999995</v>
      </c>
      <c r="X196" s="1015">
        <v>79.197937499999995</v>
      </c>
      <c r="Y196" s="260">
        <v>79.2</v>
      </c>
      <c r="Z196" s="1223">
        <v>79.2</v>
      </c>
      <c r="AA196" s="1223">
        <v>79.2</v>
      </c>
      <c r="AB196" s="1223">
        <v>79.2</v>
      </c>
      <c r="AC196" s="1223">
        <v>79.2</v>
      </c>
      <c r="AD196" s="1223">
        <v>79.2</v>
      </c>
      <c r="AE196" s="141"/>
      <c r="AF196" s="141"/>
      <c r="AG196" s="141"/>
      <c r="BB196" s="1578">
        <f>(BD196)/(BE196)</f>
        <v>14.848765557674476</v>
      </c>
      <c r="BC196" s="2381" t="str">
        <f>CONCATENATE(G196," ",L196," Year EUL")</f>
        <v>HVAC RES 14 Year EUL</v>
      </c>
      <c r="BD196" s="95">
        <f>(INDEX('Avoided Cost Benefits'!$E$4:$E$859,MATCH(BC196,'Avoided Cost Benefits'!$A$4:$A$859,0)))*F196</f>
        <v>70.074400932866794</v>
      </c>
      <c r="BE196" s="1579">
        <f>M196/(1.0595^(2020-2019))</f>
        <v>4.7192071731949028</v>
      </c>
    </row>
    <row r="197" spans="2:57" x14ac:dyDescent="0.35">
      <c r="B197" s="1040"/>
      <c r="C197" s="2129" t="s">
        <v>2310</v>
      </c>
      <c r="D197" s="395" t="s">
        <v>2257</v>
      </c>
      <c r="E197" s="2352" t="str">
        <f>CONCATENATE(E196,"_CompE")</f>
        <v>Dirty Filter Alarm_MFMR_CompE</v>
      </c>
      <c r="F197" s="1223">
        <f>ROUND(I197+J197,2)</f>
        <v>38.24</v>
      </c>
      <c r="G197" s="2388" t="s">
        <v>425</v>
      </c>
      <c r="H197" s="136">
        <f>VLOOKUP(G197,'CP FACTORS'!$A$3:$B$38, 2, FALSE)</f>
        <v>4.6608050000000002E-4</v>
      </c>
      <c r="I197" s="1020">
        <f>F$209*F$210*F$212*F$213*F214*F215</f>
        <v>17.078624999999999</v>
      </c>
      <c r="J197" s="1020">
        <f>F$216*F$210*F$218*F$213*F214*F215</f>
        <v>21.164099999999998</v>
      </c>
      <c r="K197" s="742">
        <f>ROUND(H197*F197,6)</f>
        <v>1.7822999999999999E-2</v>
      </c>
      <c r="L197" s="1020">
        <f>L196</f>
        <v>14</v>
      </c>
      <c r="M197" s="1014">
        <f>M196</f>
        <v>5</v>
      </c>
      <c r="N197" s="2129" t="s">
        <v>184</v>
      </c>
      <c r="V197" s="141" t="str">
        <f>V196</f>
        <v>kWh Annual Savings</v>
      </c>
      <c r="W197" s="369"/>
      <c r="X197" s="1015"/>
      <c r="Y197" s="257">
        <v>38.24</v>
      </c>
      <c r="Z197" s="1223">
        <v>38.24</v>
      </c>
      <c r="AA197" s="1223">
        <v>38.24</v>
      </c>
      <c r="AB197" s="1223">
        <v>38.24</v>
      </c>
      <c r="AC197" s="1223">
        <v>38.24</v>
      </c>
      <c r="AD197" s="1223">
        <v>38.24</v>
      </c>
      <c r="AE197" s="141"/>
      <c r="AF197" s="141"/>
      <c r="AG197" s="141"/>
      <c r="BB197" s="41">
        <f>(BD197)/(BE197)</f>
        <v>7.1694039763317168</v>
      </c>
      <c r="BC197" s="1580" t="str">
        <f>CONCATENATE(G197," ",L197," Year EUL")</f>
        <v>HVAC RES 14 Year EUL</v>
      </c>
      <c r="BD197" s="102">
        <f>(INDEX('Avoided Cost Benefits'!$E$4:$E$859,MATCH(BC197,'Avoided Cost Benefits'!$A$4:$A$859,0)))*F197</f>
        <v>33.833902672636697</v>
      </c>
      <c r="BE197" s="1582">
        <f>M197/(1.0595^(2020-2019))</f>
        <v>4.7192071731949028</v>
      </c>
    </row>
    <row r="198" spans="2:57" hidden="1" outlineLevel="1" x14ac:dyDescent="0.35">
      <c r="B198" s="1040"/>
      <c r="C198" s="197"/>
      <c r="D198" s="1021"/>
      <c r="E198" s="1021"/>
      <c r="F198" s="1452"/>
      <c r="G198" s="1234"/>
      <c r="H198" s="1235"/>
      <c r="I198" s="1453"/>
      <c r="J198" s="1454"/>
      <c r="K198" s="861"/>
      <c r="L198" s="861"/>
      <c r="M198" s="1455"/>
      <c r="N198" s="1456"/>
      <c r="O198" s="1455"/>
      <c r="P198" s="1426"/>
      <c r="Q198" s="199"/>
    </row>
    <row r="199" spans="2:57" hidden="1" outlineLevel="1" x14ac:dyDescent="0.35">
      <c r="B199" s="1040"/>
      <c r="C199" s="197"/>
      <c r="D199" s="3066" t="s">
        <v>107</v>
      </c>
      <c r="E199" s="3102"/>
      <c r="F199" s="3103"/>
      <c r="G199" s="3104"/>
      <c r="H199" s="3104"/>
      <c r="I199" s="3104"/>
      <c r="J199" s="3104"/>
      <c r="K199" s="3104"/>
      <c r="L199" s="3104"/>
      <c r="M199" s="756"/>
      <c r="N199" s="756"/>
      <c r="O199" s="199"/>
      <c r="P199" s="199"/>
      <c r="Q199" s="199"/>
    </row>
    <row r="200" spans="2:57" hidden="1" outlineLevel="1" x14ac:dyDescent="0.35">
      <c r="B200" s="1040"/>
      <c r="C200" s="197"/>
      <c r="D200" s="3066"/>
      <c r="E200" s="3102"/>
      <c r="F200" s="3103"/>
      <c r="G200" s="3104"/>
      <c r="H200" s="3104"/>
      <c r="I200" s="3104"/>
      <c r="J200" s="3104"/>
      <c r="K200" s="3104"/>
      <c r="L200" s="3104"/>
      <c r="M200" s="756"/>
      <c r="N200" s="756"/>
      <c r="O200" s="199"/>
      <c r="P200" s="199"/>
      <c r="Q200" s="199"/>
    </row>
    <row r="201" spans="2:57" hidden="1" outlineLevel="1" x14ac:dyDescent="0.35">
      <c r="B201" s="1040"/>
      <c r="C201" s="197"/>
      <c r="D201" s="3066"/>
      <c r="E201" s="3102"/>
      <c r="F201" s="3103"/>
      <c r="G201" s="3104"/>
      <c r="H201" s="3104"/>
      <c r="I201" s="3104"/>
      <c r="J201" s="3104"/>
      <c r="K201" s="3104"/>
      <c r="L201" s="3104"/>
      <c r="M201" s="756"/>
      <c r="N201" s="756"/>
      <c r="O201" s="199"/>
      <c r="P201" s="199"/>
      <c r="Q201" s="199"/>
    </row>
    <row r="202" spans="2:57" hidden="1" outlineLevel="1" x14ac:dyDescent="0.35">
      <c r="B202" s="1040"/>
      <c r="C202" s="197"/>
      <c r="D202" s="3066"/>
      <c r="E202" s="3102"/>
      <c r="F202" s="3103"/>
      <c r="G202" s="3104"/>
      <c r="H202" s="3104"/>
      <c r="I202" s="3104"/>
      <c r="J202" s="3104"/>
      <c r="K202" s="3104"/>
      <c r="L202" s="3104"/>
      <c r="M202" s="756"/>
      <c r="N202" s="756"/>
      <c r="O202" s="199"/>
      <c r="P202" s="199"/>
      <c r="Q202" s="199"/>
    </row>
    <row r="203" spans="2:57" hidden="1" outlineLevel="1" x14ac:dyDescent="0.35">
      <c r="B203" s="1040"/>
      <c r="C203" s="197"/>
      <c r="D203" s="3108"/>
      <c r="E203" s="3108"/>
      <c r="F203" s="3108"/>
      <c r="G203" s="3108"/>
      <c r="H203" s="3108"/>
      <c r="I203" s="3108"/>
      <c r="J203" s="3108"/>
      <c r="K203" s="3108"/>
      <c r="L203" s="3108"/>
      <c r="M203" s="756"/>
      <c r="N203" s="756"/>
      <c r="O203" s="199"/>
      <c r="P203" s="199"/>
      <c r="Q203" s="199"/>
    </row>
    <row r="204" spans="2:57" hidden="1" outlineLevel="1" x14ac:dyDescent="0.35">
      <c r="B204" s="1040"/>
      <c r="C204" s="197"/>
      <c r="D204" s="3108"/>
      <c r="E204" s="3108"/>
      <c r="F204" s="3108"/>
      <c r="G204" s="3108"/>
      <c r="H204" s="3108"/>
      <c r="I204" s="3108"/>
      <c r="J204" s="3108"/>
      <c r="K204" s="3108"/>
      <c r="L204" s="3108"/>
      <c r="M204" s="756"/>
      <c r="N204" s="756"/>
      <c r="O204" s="199"/>
      <c r="P204" s="199"/>
      <c r="Q204" s="199"/>
    </row>
    <row r="205" spans="2:57" hidden="1" outlineLevel="1" x14ac:dyDescent="0.35">
      <c r="B205" s="1040"/>
      <c r="C205" s="197"/>
      <c r="D205" s="3108"/>
      <c r="E205" s="3108"/>
      <c r="F205" s="3108"/>
      <c r="G205" s="3108"/>
      <c r="H205" s="3108"/>
      <c r="I205" s="3108"/>
      <c r="J205" s="3108"/>
      <c r="K205" s="3108"/>
      <c r="L205" s="3108"/>
      <c r="M205" s="756"/>
      <c r="N205" s="756"/>
      <c r="O205" s="199"/>
      <c r="P205" s="199"/>
      <c r="Q205" s="199"/>
    </row>
    <row r="206" spans="2:57" hidden="1" outlineLevel="1" x14ac:dyDescent="0.35">
      <c r="B206" s="1040"/>
      <c r="C206" s="197"/>
      <c r="D206" s="3108"/>
      <c r="E206" s="3108"/>
      <c r="F206" s="3108"/>
      <c r="G206" s="3108"/>
      <c r="H206" s="3108"/>
      <c r="I206" s="3108"/>
      <c r="J206" s="3108"/>
      <c r="K206" s="3108"/>
      <c r="L206" s="3108"/>
      <c r="M206" s="756"/>
      <c r="N206" s="756"/>
      <c r="O206" s="199"/>
      <c r="P206" s="199"/>
      <c r="Q206" s="199"/>
    </row>
    <row r="207" spans="2:57" hidden="1" outlineLevel="1" x14ac:dyDescent="0.35">
      <c r="B207" s="1040"/>
      <c r="C207" s="197"/>
      <c r="D207" s="217"/>
      <c r="E207" s="217"/>
      <c r="F207" s="199"/>
      <c r="G207" s="199"/>
      <c r="H207" s="199"/>
      <c r="I207" s="199"/>
      <c r="J207" s="199"/>
      <c r="K207" s="199"/>
      <c r="L207" s="199"/>
      <c r="M207" s="199"/>
      <c r="N207" s="199"/>
      <c r="O207" s="199"/>
      <c r="P207" s="199"/>
      <c r="Q207" s="199"/>
    </row>
    <row r="208" spans="2:57" hidden="1" outlineLevel="1" x14ac:dyDescent="0.35">
      <c r="B208" s="1040"/>
      <c r="C208" s="197"/>
      <c r="D208" s="2423" t="s">
        <v>108</v>
      </c>
      <c r="E208" s="2423" t="s">
        <v>109</v>
      </c>
      <c r="F208" s="2331" t="s">
        <v>111</v>
      </c>
      <c r="G208" s="2331" t="s">
        <v>186</v>
      </c>
      <c r="H208" s="2331" t="s">
        <v>282</v>
      </c>
      <c r="I208" s="199"/>
      <c r="J208" s="199"/>
      <c r="K208" s="199"/>
      <c r="L208" s="199"/>
      <c r="M208" s="199"/>
      <c r="N208" s="199"/>
      <c r="O208" s="199"/>
      <c r="P208" s="199"/>
      <c r="Q208" s="199"/>
      <c r="V208" s="1572" t="s">
        <v>44</v>
      </c>
      <c r="W208" s="1573">
        <f>W$6</f>
        <v>43252</v>
      </c>
      <c r="X208" s="1573">
        <f t="shared" ref="X208:AG208" si="58">X$6</f>
        <v>43465</v>
      </c>
      <c r="Y208" s="1573">
        <f t="shared" si="58"/>
        <v>43800</v>
      </c>
      <c r="Z208" s="1573">
        <f t="shared" si="58"/>
        <v>43862</v>
      </c>
      <c r="AA208" s="1573">
        <f t="shared" si="58"/>
        <v>44013</v>
      </c>
      <c r="AB208" s="1573">
        <f t="shared" si="58"/>
        <v>44166</v>
      </c>
      <c r="AC208" s="1573">
        <f t="shared" si="58"/>
        <v>44531</v>
      </c>
      <c r="AD208" s="1573">
        <f t="shared" si="58"/>
        <v>44774</v>
      </c>
      <c r="AE208" s="1573" t="str">
        <f t="shared" si="58"/>
        <v>-</v>
      </c>
      <c r="AF208" s="1573" t="str">
        <f t="shared" si="58"/>
        <v>-</v>
      </c>
      <c r="AG208" s="1573" t="str">
        <f t="shared" si="58"/>
        <v>-</v>
      </c>
    </row>
    <row r="209" spans="2:35" hidden="1" outlineLevel="1" x14ac:dyDescent="0.35">
      <c r="B209" s="1040"/>
      <c r="C209" s="197"/>
      <c r="D209" s="1022" t="s">
        <v>505</v>
      </c>
      <c r="E209" s="277" t="s">
        <v>134</v>
      </c>
      <c r="F209" s="256">
        <v>0.95</v>
      </c>
      <c r="G209" s="3109" t="s">
        <v>509</v>
      </c>
      <c r="H209" s="3109"/>
      <c r="I209" s="199"/>
      <c r="J209" s="199"/>
      <c r="K209" s="199"/>
      <c r="L209" s="199"/>
      <c r="M209" s="199"/>
      <c r="N209" s="199"/>
      <c r="O209" s="199"/>
      <c r="P209" s="199"/>
      <c r="Q209" s="199"/>
      <c r="V209" s="2414" t="str">
        <f>D209</f>
        <v>%Heating</v>
      </c>
      <c r="W209" s="238">
        <v>0.95</v>
      </c>
      <c r="X209" s="238">
        <v>0.95</v>
      </c>
      <c r="Y209" s="238">
        <v>0.95</v>
      </c>
      <c r="Z209" s="256">
        <v>0.95</v>
      </c>
      <c r="AA209" s="256">
        <v>0.95</v>
      </c>
      <c r="AB209" s="256">
        <v>0.95</v>
      </c>
      <c r="AC209" s="256">
        <v>0.95</v>
      </c>
      <c r="AD209" s="256">
        <v>0.95</v>
      </c>
      <c r="AE209" s="238"/>
      <c r="AF209" s="238"/>
      <c r="AG209" s="238"/>
    </row>
    <row r="210" spans="2:35" hidden="1" outlineLevel="1" x14ac:dyDescent="0.35">
      <c r="B210" s="1040"/>
      <c r="C210" s="197"/>
      <c r="D210" s="1022" t="s">
        <v>31</v>
      </c>
      <c r="E210" s="277" t="s">
        <v>134</v>
      </c>
      <c r="F210" s="382">
        <v>0.5</v>
      </c>
      <c r="G210" s="3109" t="s">
        <v>284</v>
      </c>
      <c r="H210" s="3109"/>
      <c r="I210" s="199"/>
      <c r="J210" s="199"/>
      <c r="K210" s="199"/>
      <c r="L210" s="199"/>
      <c r="M210" s="199"/>
      <c r="N210" s="199"/>
      <c r="O210" s="199"/>
      <c r="P210" s="199"/>
      <c r="Q210" s="199"/>
      <c r="V210" s="2414" t="str">
        <f t="shared" ref="V210:V217" si="59">D210</f>
        <v>kW</v>
      </c>
      <c r="W210" s="1023">
        <v>0.5</v>
      </c>
      <c r="X210" s="1023">
        <v>0.5</v>
      </c>
      <c r="Y210" s="1023">
        <v>0.5</v>
      </c>
      <c r="Z210" s="382">
        <v>0.5</v>
      </c>
      <c r="AA210" s="382">
        <v>0.5</v>
      </c>
      <c r="AB210" s="382">
        <v>0.5</v>
      </c>
      <c r="AC210" s="382">
        <v>0.5</v>
      </c>
      <c r="AD210" s="382">
        <v>0.5</v>
      </c>
      <c r="AE210" s="1023"/>
      <c r="AF210" s="1023"/>
      <c r="AG210" s="1023"/>
    </row>
    <row r="211" spans="2:35" hidden="1" outlineLevel="1" x14ac:dyDescent="0.35">
      <c r="B211" s="1040"/>
      <c r="C211" s="197"/>
      <c r="D211" s="3777" t="s">
        <v>2311</v>
      </c>
      <c r="E211" s="277" t="s">
        <v>313</v>
      </c>
      <c r="F211" s="383">
        <v>1496</v>
      </c>
      <c r="G211" s="3109" t="s">
        <v>284</v>
      </c>
      <c r="H211" s="3109"/>
      <c r="I211" s="199"/>
      <c r="J211" s="199"/>
      <c r="K211" s="199"/>
      <c r="L211" s="199"/>
      <c r="M211" s="199"/>
      <c r="N211" s="199"/>
      <c r="O211" s="199"/>
      <c r="P211" s="199"/>
      <c r="Q211" s="199"/>
      <c r="V211" s="4246" t="str">
        <f t="shared" si="59"/>
        <v>EFLHheat</v>
      </c>
      <c r="W211" s="244">
        <v>1496</v>
      </c>
      <c r="X211" s="244">
        <v>1496</v>
      </c>
      <c r="Y211" s="244">
        <v>1496</v>
      </c>
      <c r="Z211" s="272">
        <v>1496</v>
      </c>
      <c r="AA211" s="272">
        <v>1496</v>
      </c>
      <c r="AB211" s="272">
        <v>1496</v>
      </c>
      <c r="AC211" s="272">
        <v>1496</v>
      </c>
      <c r="AD211" s="272">
        <v>1496</v>
      </c>
      <c r="AE211" s="244"/>
      <c r="AF211" s="244"/>
      <c r="AG211" s="244"/>
    </row>
    <row r="212" spans="2:35" hidden="1" outlineLevel="1" x14ac:dyDescent="0.35">
      <c r="B212" s="1040"/>
      <c r="C212" s="197"/>
      <c r="D212" s="3776"/>
      <c r="E212" s="277" t="s">
        <v>512</v>
      </c>
      <c r="F212" s="383">
        <v>510</v>
      </c>
      <c r="G212" s="3109" t="s">
        <v>513</v>
      </c>
      <c r="H212" s="3109"/>
      <c r="I212" s="199"/>
      <c r="J212" s="199"/>
      <c r="K212" s="199"/>
      <c r="L212" s="199"/>
      <c r="M212" s="199"/>
      <c r="N212" s="199"/>
      <c r="O212" s="199"/>
      <c r="P212" s="199"/>
      <c r="Q212" s="199"/>
      <c r="V212" s="4261"/>
      <c r="W212" s="244"/>
      <c r="X212" s="244"/>
      <c r="Y212" s="270">
        <v>510</v>
      </c>
      <c r="Z212" s="272">
        <v>510</v>
      </c>
      <c r="AA212" s="272">
        <v>510</v>
      </c>
      <c r="AB212" s="272">
        <v>510</v>
      </c>
      <c r="AC212" s="272">
        <v>510</v>
      </c>
      <c r="AD212" s="272">
        <v>510</v>
      </c>
      <c r="AE212" s="244"/>
      <c r="AF212" s="244"/>
      <c r="AG212" s="244"/>
    </row>
    <row r="213" spans="2:35" hidden="1" outlineLevel="1" x14ac:dyDescent="0.35">
      <c r="B213" s="1040"/>
      <c r="C213" s="197"/>
      <c r="D213" s="277" t="s">
        <v>514</v>
      </c>
      <c r="E213" s="277" t="s">
        <v>134</v>
      </c>
      <c r="F213" s="256">
        <v>0.15</v>
      </c>
      <c r="G213" s="3109" t="s">
        <v>284</v>
      </c>
      <c r="H213" s="3109"/>
      <c r="I213" s="199"/>
      <c r="J213" s="199"/>
      <c r="K213" s="199"/>
      <c r="L213" s="199"/>
      <c r="M213" s="199"/>
      <c r="N213" s="199"/>
      <c r="O213" s="199"/>
      <c r="P213" s="199"/>
      <c r="Q213" s="199"/>
      <c r="V213" s="2414" t="str">
        <f t="shared" si="59"/>
        <v>EI</v>
      </c>
      <c r="W213" s="238">
        <v>0.15</v>
      </c>
      <c r="X213" s="238">
        <v>0.15</v>
      </c>
      <c r="Y213" s="238">
        <v>0.15</v>
      </c>
      <c r="Z213" s="256">
        <v>0.15</v>
      </c>
      <c r="AA213" s="256">
        <v>0.15</v>
      </c>
      <c r="AB213" s="256">
        <v>0.15</v>
      </c>
      <c r="AC213" s="256">
        <v>0.15</v>
      </c>
      <c r="AD213" s="256">
        <v>0.15</v>
      </c>
      <c r="AE213" s="238"/>
      <c r="AF213" s="238"/>
      <c r="AG213" s="238"/>
    </row>
    <row r="214" spans="2:35" ht="15" hidden="1" customHeight="1" outlineLevel="1" x14ac:dyDescent="0.35">
      <c r="B214" s="1040"/>
      <c r="C214" s="197"/>
      <c r="D214" s="1022" t="s">
        <v>516</v>
      </c>
      <c r="E214" s="277" t="s">
        <v>2312</v>
      </c>
      <c r="F214" s="256">
        <v>1</v>
      </c>
      <c r="G214" s="3109" t="s">
        <v>284</v>
      </c>
      <c r="H214" s="3109" t="s">
        <v>2313</v>
      </c>
      <c r="I214" s="199"/>
      <c r="J214" s="199"/>
      <c r="K214" s="199"/>
      <c r="L214" s="199"/>
      <c r="M214" s="199"/>
      <c r="N214" s="199"/>
      <c r="O214" s="199"/>
      <c r="P214" s="199"/>
      <c r="Q214" s="199"/>
      <c r="V214" s="2414" t="str">
        <f t="shared" si="59"/>
        <v>Utility Adjustment</v>
      </c>
      <c r="W214" s="238">
        <v>1</v>
      </c>
      <c r="X214" s="238">
        <v>1</v>
      </c>
      <c r="Y214" s="238">
        <v>1</v>
      </c>
      <c r="Z214" s="256">
        <v>1</v>
      </c>
      <c r="AA214" s="256">
        <v>1</v>
      </c>
      <c r="AB214" s="256">
        <v>1</v>
      </c>
      <c r="AC214" s="256">
        <v>1</v>
      </c>
      <c r="AD214" s="256">
        <v>1</v>
      </c>
      <c r="AE214" s="238"/>
      <c r="AF214" s="238"/>
      <c r="AG214" s="238"/>
    </row>
    <row r="215" spans="2:35" hidden="1" outlineLevel="1" x14ac:dyDescent="0.35">
      <c r="B215" s="1040"/>
      <c r="C215" s="197"/>
      <c r="D215" s="1022" t="s">
        <v>132</v>
      </c>
      <c r="E215" s="277" t="s">
        <v>2312</v>
      </c>
      <c r="F215" s="236">
        <v>0.47</v>
      </c>
      <c r="G215" s="3109" t="s">
        <v>284</v>
      </c>
      <c r="H215" s="3109" t="s">
        <v>2314</v>
      </c>
      <c r="I215" s="199"/>
      <c r="J215" s="199"/>
      <c r="K215" s="199"/>
      <c r="L215" s="199"/>
      <c r="M215" s="199"/>
      <c r="N215" s="199"/>
      <c r="O215" s="199"/>
      <c r="P215" s="199"/>
      <c r="Q215" s="199"/>
      <c r="V215" s="2414" t="str">
        <f t="shared" si="59"/>
        <v>ISR</v>
      </c>
      <c r="W215" s="239">
        <v>0.47</v>
      </c>
      <c r="X215" s="239">
        <v>0.47</v>
      </c>
      <c r="Y215" s="239">
        <v>0.47</v>
      </c>
      <c r="Z215" s="236">
        <v>0.47</v>
      </c>
      <c r="AA215" s="236">
        <v>0.47</v>
      </c>
      <c r="AB215" s="236">
        <v>0.47</v>
      </c>
      <c r="AC215" s="236">
        <v>0.47</v>
      </c>
      <c r="AD215" s="236">
        <v>0.47</v>
      </c>
      <c r="AE215" s="239"/>
      <c r="AF215" s="239"/>
      <c r="AG215" s="239"/>
    </row>
    <row r="216" spans="2:35" hidden="1" outlineLevel="1" x14ac:dyDescent="0.35">
      <c r="B216" s="1040"/>
      <c r="C216" s="197"/>
      <c r="D216" s="1022" t="s">
        <v>311</v>
      </c>
      <c r="E216" s="277" t="s">
        <v>134</v>
      </c>
      <c r="F216" s="256">
        <v>0.95</v>
      </c>
      <c r="G216" s="3109" t="s">
        <v>2315</v>
      </c>
      <c r="H216" s="3109"/>
      <c r="I216" s="199"/>
      <c r="J216" s="199"/>
      <c r="K216" s="199"/>
      <c r="L216" s="199"/>
      <c r="M216" s="199"/>
      <c r="N216" s="199"/>
      <c r="O216" s="199"/>
      <c r="P216" s="199"/>
      <c r="Q216" s="199"/>
      <c r="V216" s="2414" t="str">
        <f t="shared" si="59"/>
        <v>%AC</v>
      </c>
      <c r="W216" s="238">
        <v>0.95</v>
      </c>
      <c r="X216" s="238">
        <v>0.95</v>
      </c>
      <c r="Y216" s="238">
        <v>0.95</v>
      </c>
      <c r="Z216" s="256">
        <v>0.95</v>
      </c>
      <c r="AA216" s="256">
        <v>0.95</v>
      </c>
      <c r="AB216" s="256">
        <v>0.95</v>
      </c>
      <c r="AC216" s="256">
        <v>0.95</v>
      </c>
      <c r="AD216" s="256">
        <v>0.95</v>
      </c>
      <c r="AE216" s="238"/>
      <c r="AF216" s="238"/>
      <c r="AG216" s="238"/>
    </row>
    <row r="217" spans="2:35" hidden="1" outlineLevel="1" x14ac:dyDescent="0.35">
      <c r="B217" s="1040"/>
      <c r="C217" s="197"/>
      <c r="D217" s="3777" t="s">
        <v>2316</v>
      </c>
      <c r="E217" s="277" t="s">
        <v>313</v>
      </c>
      <c r="F217" s="383">
        <v>869</v>
      </c>
      <c r="G217" s="3109" t="s">
        <v>284</v>
      </c>
      <c r="H217" s="3109"/>
      <c r="I217" s="199"/>
      <c r="J217" s="199"/>
      <c r="K217" s="199"/>
      <c r="L217" s="199"/>
      <c r="M217" s="199"/>
      <c r="N217" s="199"/>
      <c r="O217" s="199"/>
      <c r="P217" s="199"/>
      <c r="Q217" s="199"/>
      <c r="V217" s="4239" t="str">
        <f t="shared" si="59"/>
        <v>EFLHcool</v>
      </c>
      <c r="W217" s="244">
        <v>869</v>
      </c>
      <c r="X217" s="244">
        <v>869</v>
      </c>
      <c r="Y217" s="244">
        <v>869</v>
      </c>
      <c r="Z217" s="272">
        <v>869</v>
      </c>
      <c r="AA217" s="272">
        <v>869</v>
      </c>
      <c r="AB217" s="272">
        <v>869</v>
      </c>
      <c r="AC217" s="272">
        <v>869</v>
      </c>
      <c r="AD217" s="272">
        <v>869</v>
      </c>
      <c r="AE217" s="244"/>
      <c r="AF217" s="244"/>
      <c r="AG217" s="244"/>
    </row>
    <row r="218" spans="2:35" hidden="1" outlineLevel="1" x14ac:dyDescent="0.35">
      <c r="B218" s="1040"/>
      <c r="C218" s="197"/>
      <c r="D218" s="3776"/>
      <c r="E218" s="277" t="s">
        <v>512</v>
      </c>
      <c r="F218" s="383">
        <v>632</v>
      </c>
      <c r="G218" s="3109" t="s">
        <v>513</v>
      </c>
      <c r="H218" s="3109"/>
      <c r="I218" s="199"/>
      <c r="J218" s="199"/>
      <c r="K218" s="199"/>
      <c r="L218" s="199"/>
      <c r="M218" s="199"/>
      <c r="N218" s="199"/>
      <c r="O218" s="199"/>
      <c r="P218" s="199"/>
      <c r="Q218" s="199"/>
      <c r="V218" s="4261"/>
      <c r="W218" s="244"/>
      <c r="X218" s="244"/>
      <c r="Y218" s="270">
        <v>632</v>
      </c>
      <c r="Z218" s="272">
        <v>632</v>
      </c>
      <c r="AA218" s="272">
        <v>632</v>
      </c>
      <c r="AB218" s="272">
        <v>632</v>
      </c>
      <c r="AC218" s="272">
        <v>632</v>
      </c>
      <c r="AD218" s="272">
        <v>632</v>
      </c>
      <c r="AE218" s="244"/>
      <c r="AF218" s="244"/>
      <c r="AG218" s="244"/>
    </row>
    <row r="219" spans="2:35" hidden="1" outlineLevel="1" x14ac:dyDescent="0.35">
      <c r="B219" s="1040"/>
      <c r="C219" s="197"/>
      <c r="D219" s="277" t="s">
        <v>526</v>
      </c>
      <c r="E219" s="277" t="s">
        <v>166</v>
      </c>
      <c r="F219" s="820">
        <v>14</v>
      </c>
      <c r="G219" s="3109"/>
      <c r="H219" s="3109"/>
      <c r="I219" s="199"/>
      <c r="J219" s="199"/>
      <c r="K219" s="199"/>
      <c r="L219" s="199"/>
      <c r="M219" s="226"/>
      <c r="N219" s="199"/>
      <c r="O219" s="199"/>
      <c r="P219" s="199"/>
      <c r="Q219" s="199"/>
      <c r="V219" s="1022" t="str">
        <f>D219</f>
        <v xml:space="preserve">EUL </v>
      </c>
      <c r="W219" s="386">
        <f>F219</f>
        <v>14</v>
      </c>
      <c r="X219" s="386">
        <f>W219</f>
        <v>14</v>
      </c>
      <c r="Y219" s="386">
        <f>X219</f>
        <v>14</v>
      </c>
      <c r="Z219" s="386">
        <f t="shared" ref="Z219:AA219" si="60">Y219</f>
        <v>14</v>
      </c>
      <c r="AA219" s="386">
        <f t="shared" si="60"/>
        <v>14</v>
      </c>
      <c r="AB219" s="386">
        <v>14</v>
      </c>
      <c r="AC219" s="386">
        <v>14</v>
      </c>
      <c r="AD219" s="386">
        <v>14</v>
      </c>
      <c r="AE219" s="386"/>
      <c r="AF219" s="386"/>
      <c r="AG219" s="386"/>
    </row>
    <row r="220" spans="2:35" hidden="1" outlineLevel="1" x14ac:dyDescent="0.35">
      <c r="B220" s="1040"/>
      <c r="C220" s="197"/>
      <c r="D220" s="1022" t="s">
        <v>169</v>
      </c>
      <c r="E220" s="277" t="s">
        <v>527</v>
      </c>
      <c r="F220" s="1845">
        <v>5</v>
      </c>
      <c r="G220" s="3109"/>
      <c r="H220" s="3109"/>
      <c r="I220" s="199"/>
      <c r="J220" s="199"/>
      <c r="K220" s="199"/>
      <c r="L220" s="199"/>
      <c r="M220" s="226"/>
      <c r="N220" s="199"/>
      <c r="O220" s="199"/>
      <c r="P220" s="199"/>
      <c r="Q220" s="199"/>
      <c r="V220" s="2428" t="str">
        <f>D220</f>
        <v>Inc. Cost</v>
      </c>
      <c r="W220" s="387">
        <f>F220</f>
        <v>5</v>
      </c>
      <c r="X220" s="387">
        <f>W220</f>
        <v>5</v>
      </c>
      <c r="Y220" s="387">
        <f>X220</f>
        <v>5</v>
      </c>
      <c r="Z220" s="387">
        <f t="shared" ref="Z220:AA220" si="61">Y220</f>
        <v>5</v>
      </c>
      <c r="AA220" s="387">
        <f t="shared" si="61"/>
        <v>5</v>
      </c>
      <c r="AB220" s="387">
        <v>5</v>
      </c>
      <c r="AC220" s="387">
        <v>5</v>
      </c>
      <c r="AD220" s="387">
        <v>5</v>
      </c>
      <c r="AE220" s="388"/>
      <c r="AF220" s="388"/>
      <c r="AG220" s="388"/>
    </row>
    <row r="221" spans="2:35" hidden="1" outlineLevel="1" x14ac:dyDescent="0.35">
      <c r="B221" s="1040"/>
      <c r="C221" s="197"/>
      <c r="D221" s="1022" t="s">
        <v>528</v>
      </c>
      <c r="E221" s="277" t="s">
        <v>529</v>
      </c>
      <c r="F221" s="389" t="s">
        <v>530</v>
      </c>
      <c r="G221" s="3109"/>
      <c r="H221" s="3109"/>
      <c r="I221" s="199"/>
      <c r="J221" s="199"/>
      <c r="K221" s="199"/>
      <c r="L221" s="199"/>
      <c r="M221" s="226"/>
      <c r="N221" s="199"/>
      <c r="O221" s="199"/>
      <c r="P221" s="199"/>
      <c r="Q221" s="199"/>
      <c r="V221" s="1022" t="str">
        <f>D221</f>
        <v>P</v>
      </c>
      <c r="W221" s="386" t="s">
        <v>530</v>
      </c>
      <c r="X221" s="386" t="s">
        <v>530</v>
      </c>
      <c r="Y221" s="386" t="s">
        <v>530</v>
      </c>
      <c r="Z221" s="386" t="s">
        <v>530</v>
      </c>
      <c r="AA221" s="386" t="s">
        <v>530</v>
      </c>
      <c r="AB221" s="386" t="s">
        <v>530</v>
      </c>
      <c r="AC221" s="386" t="s">
        <v>530</v>
      </c>
      <c r="AD221" s="386" t="s">
        <v>530</v>
      </c>
      <c r="AE221" s="386"/>
      <c r="AF221" s="386"/>
      <c r="AG221" s="386"/>
    </row>
    <row r="222" spans="2:35" collapsed="1" x14ac:dyDescent="0.35">
      <c r="B222" s="1040"/>
      <c r="C222" s="197"/>
      <c r="D222" s="217"/>
      <c r="E222" s="2370"/>
      <c r="F222" s="199"/>
      <c r="G222" s="199"/>
      <c r="H222" s="199"/>
      <c r="I222" s="199"/>
      <c r="J222" s="199"/>
      <c r="K222" s="199"/>
      <c r="L222" s="199"/>
      <c r="M222" s="199"/>
      <c r="N222" s="199"/>
      <c r="O222" s="199"/>
      <c r="P222" s="199"/>
      <c r="Q222" s="199"/>
    </row>
    <row r="223" spans="2:35" x14ac:dyDescent="0.35">
      <c r="B223" s="1040"/>
      <c r="C223" s="197"/>
      <c r="D223" s="217"/>
      <c r="E223" s="217"/>
      <c r="F223" s="199"/>
      <c r="G223" s="199"/>
      <c r="H223" s="199"/>
      <c r="I223" s="199"/>
      <c r="J223" s="199"/>
      <c r="K223" s="199"/>
      <c r="L223" s="199"/>
      <c r="M223" s="199"/>
      <c r="N223" s="199"/>
      <c r="O223" s="199"/>
      <c r="P223" s="199"/>
      <c r="Q223" s="199"/>
    </row>
    <row r="224" spans="2:35" x14ac:dyDescent="0.35">
      <c r="B224" s="3664" t="str">
        <f>'Income Eligible Deemed Table'!B600:L600</f>
        <v>ECM/ Blower Motor</v>
      </c>
      <c r="C224" s="3665"/>
      <c r="D224" s="3665"/>
      <c r="E224" s="3665"/>
      <c r="F224" s="3665"/>
      <c r="G224" s="3665"/>
      <c r="H224" s="3665"/>
      <c r="I224" s="3666"/>
      <c r="J224" s="3666"/>
      <c r="K224" s="3666"/>
      <c r="L224" s="3666"/>
      <c r="M224" s="3666"/>
      <c r="N224" s="3666"/>
      <c r="O224" s="3666"/>
      <c r="P224" s="3666"/>
      <c r="Q224" s="3667"/>
      <c r="V224" s="3664" t="str">
        <f>B224</f>
        <v>ECM/ Blower Motor</v>
      </c>
      <c r="W224" s="3665"/>
      <c r="X224" s="3665"/>
      <c r="Y224" s="3665"/>
      <c r="Z224" s="3665"/>
      <c r="AA224" s="3665"/>
      <c r="AB224" s="3665"/>
      <c r="AC224" s="3680"/>
      <c r="AD224" s="3680"/>
      <c r="AE224" s="3680"/>
      <c r="AF224" s="3680"/>
      <c r="AG224" s="3680"/>
      <c r="AH224" s="3680"/>
      <c r="AI224" s="3681"/>
    </row>
    <row r="225" spans="2:57" x14ac:dyDescent="0.35">
      <c r="B225" s="1040"/>
      <c r="C225" s="197"/>
      <c r="D225" s="367"/>
      <c r="E225" s="367"/>
      <c r="F225" s="198"/>
      <c r="G225" s="198"/>
      <c r="H225" s="198"/>
      <c r="I225" s="198"/>
      <c r="J225" s="198"/>
      <c r="K225" s="198"/>
      <c r="L225" s="1219"/>
      <c r="M225" s="199"/>
      <c r="N225" s="199"/>
      <c r="O225" s="199"/>
      <c r="P225" s="199"/>
      <c r="Q225" s="199"/>
    </row>
    <row r="226" spans="2:57" ht="29" x14ac:dyDescent="0.35">
      <c r="B226" s="1040"/>
      <c r="C226" s="2331" t="s">
        <v>27</v>
      </c>
      <c r="D226" s="2331" t="s">
        <v>174</v>
      </c>
      <c r="E226" s="2331" t="s">
        <v>29</v>
      </c>
      <c r="F226" s="2331" t="s">
        <v>30</v>
      </c>
      <c r="G226" s="2331" t="s">
        <v>175</v>
      </c>
      <c r="H226" s="2331" t="s">
        <v>176</v>
      </c>
      <c r="I226" s="2331" t="s">
        <v>493</v>
      </c>
      <c r="J226" s="2331" t="s">
        <v>494</v>
      </c>
      <c r="K226" s="2331" t="s">
        <v>778</v>
      </c>
      <c r="L226" s="2331" t="s">
        <v>779</v>
      </c>
      <c r="M226" s="2331" t="s">
        <v>31</v>
      </c>
      <c r="N226" s="2363" t="s">
        <v>2317</v>
      </c>
      <c r="O226" s="2331" t="s">
        <v>169</v>
      </c>
      <c r="P226" s="2331" t="s">
        <v>43</v>
      </c>
      <c r="V226" s="1572" t="s">
        <v>44</v>
      </c>
      <c r="W226" s="1573">
        <f>W$6</f>
        <v>43252</v>
      </c>
      <c r="X226" s="1573">
        <f t="shared" ref="X226:AG226" si="62">X$6</f>
        <v>43465</v>
      </c>
      <c r="Y226" s="1573">
        <f t="shared" si="62"/>
        <v>43800</v>
      </c>
      <c r="Z226" s="1573">
        <f t="shared" si="62"/>
        <v>43862</v>
      </c>
      <c r="AA226" s="1573">
        <f t="shared" si="62"/>
        <v>44013</v>
      </c>
      <c r="AB226" s="1573">
        <f t="shared" si="62"/>
        <v>44166</v>
      </c>
      <c r="AC226" s="1573">
        <f t="shared" si="62"/>
        <v>44531</v>
      </c>
      <c r="AD226" s="1573">
        <f>AD$6</f>
        <v>44774</v>
      </c>
      <c r="AE226" s="1573" t="str">
        <f t="shared" si="62"/>
        <v>-</v>
      </c>
      <c r="AF226" s="1573" t="str">
        <f t="shared" si="62"/>
        <v>-</v>
      </c>
      <c r="AG226" s="1573" t="str">
        <f t="shared" si="62"/>
        <v>-</v>
      </c>
      <c r="BB226" s="1574" t="str">
        <f>$BB$6</f>
        <v>TRC (2022)</v>
      </c>
      <c r="BC226" s="1584" t="str">
        <f>$BC$6</f>
        <v>Benefit Lookup</v>
      </c>
      <c r="BD226" s="556" t="str">
        <f>$BD$6</f>
        <v>Benefits (2019 $)</v>
      </c>
      <c r="BE226" s="200" t="str">
        <f>$BE$6</f>
        <v>Incremental Cost (2019 $)</v>
      </c>
    </row>
    <row r="227" spans="2:57" x14ac:dyDescent="0.35">
      <c r="B227" s="1040"/>
      <c r="C227" s="395" t="s">
        <v>2318</v>
      </c>
      <c r="D227" s="395" t="s">
        <v>2254</v>
      </c>
      <c r="E227" s="503" t="s">
        <v>2319</v>
      </c>
      <c r="F227" s="561">
        <f>ROUND(I227+J227+K227+L227,2)</f>
        <v>582</v>
      </c>
      <c r="G227" s="2388" t="s">
        <v>425</v>
      </c>
      <c r="H227" s="136">
        <f>VLOOKUP(G227,'CP FACTORS'!$A$3:$B$38, 2, FALSE)</f>
        <v>4.6608050000000002E-4</v>
      </c>
      <c r="I227" s="386">
        <f>(1-I248)*400*I$251/I$252*I263*$I$265</f>
        <v>264.14545423487061</v>
      </c>
      <c r="J227" s="386">
        <f>(1-I253)*70*I$256/I$257*I263*$I$265</f>
        <v>31.133309957924254</v>
      </c>
      <c r="K227" s="386">
        <f>(25*I$256/I$257+2960*0.0880846122963064-30)*I263*$I$265</f>
        <v>286.72123580720518</v>
      </c>
      <c r="L227" s="386">
        <v>0</v>
      </c>
      <c r="M227" s="1024">
        <f>ROUND(H227*F227,6)</f>
        <v>0.27125899999999997</v>
      </c>
      <c r="N227" s="386">
        <f>I266</f>
        <v>6</v>
      </c>
      <c r="O227" s="1014">
        <f>I268</f>
        <v>74.327224020150311</v>
      </c>
      <c r="P227" s="2129" t="s">
        <v>184</v>
      </c>
      <c r="V227" s="141" t="str">
        <f>F226</f>
        <v>kWh Annual Savings</v>
      </c>
      <c r="W227" s="369">
        <v>513.93550400425124</v>
      </c>
      <c r="X227" s="369">
        <v>513.93550400425124</v>
      </c>
      <c r="Y227" s="563">
        <v>582</v>
      </c>
      <c r="Z227" s="501">
        <v>582</v>
      </c>
      <c r="AA227" s="501">
        <v>582</v>
      </c>
      <c r="AB227" s="501">
        <v>582</v>
      </c>
      <c r="AC227" s="561">
        <v>582</v>
      </c>
      <c r="AD227" s="561">
        <v>582</v>
      </c>
      <c r="AE227" s="369"/>
      <c r="AF227" s="369"/>
      <c r="AG227" s="369"/>
      <c r="BB227" s="1578">
        <f>IFERROR((BD227+BD228)/(BE227+BE228),"")</f>
        <v>3.2587072352080275</v>
      </c>
      <c r="BC227" s="2381" t="str">
        <f>CONCATENATE(G227," ",N227," Year EUL")</f>
        <v>HVAC RES 6 Year EUL</v>
      </c>
      <c r="BD227" s="95">
        <f>(INDEX('Avoided Cost Benefits'!$E$4:$E$859,MATCH(BC227,'Avoided Cost Benefits'!$A$4:$A$859,0)))*F227</f>
        <v>228.60845935572598</v>
      </c>
      <c r="BE227" s="1579">
        <f>O227/(1.0595^(2020-2019))</f>
        <v>70.153113751911562</v>
      </c>
    </row>
    <row r="228" spans="2:57" x14ac:dyDescent="0.35">
      <c r="B228" s="1040"/>
      <c r="C228" s="395" t="s">
        <v>2318</v>
      </c>
      <c r="D228" s="395" t="s">
        <v>2254</v>
      </c>
      <c r="E228" s="1580" t="s">
        <v>2320</v>
      </c>
      <c r="F228" s="561">
        <f>ROUND(I228+J228+K228+L228,2)</f>
        <v>0</v>
      </c>
      <c r="G228" s="2388" t="s">
        <v>2321</v>
      </c>
      <c r="H228" s="136">
        <f>VLOOKUP(G228,'CP FACTORS'!$A$3:$B$38, 2, FALSE)</f>
        <v>4.6608050000000002E-4</v>
      </c>
      <c r="I228" s="386">
        <f>0</f>
        <v>0</v>
      </c>
      <c r="J228" s="386">
        <f>0</f>
        <v>0</v>
      </c>
      <c r="K228" s="386">
        <f>0</f>
        <v>0</v>
      </c>
      <c r="L228" s="386">
        <v>0</v>
      </c>
      <c r="M228" s="1024">
        <f>ROUND(H228*F228,6)</f>
        <v>0</v>
      </c>
      <c r="N228" s="386">
        <f>I267</f>
        <v>0</v>
      </c>
      <c r="O228" s="1014"/>
      <c r="P228" s="2129" t="s">
        <v>184</v>
      </c>
      <c r="V228" s="141" t="str">
        <f>V227</f>
        <v>kWh Annual Savings</v>
      </c>
      <c r="W228" s="369">
        <v>513.93550400425124</v>
      </c>
      <c r="X228" s="369">
        <v>513.93550400425124</v>
      </c>
      <c r="Y228" s="563">
        <v>582</v>
      </c>
      <c r="Z228" s="501">
        <v>582</v>
      </c>
      <c r="AA228" s="501">
        <v>582</v>
      </c>
      <c r="AB228" s="501">
        <v>582</v>
      </c>
      <c r="AC228" s="208">
        <v>0</v>
      </c>
      <c r="AD228" s="561">
        <v>0</v>
      </c>
      <c r="AE228" s="369"/>
      <c r="AF228" s="369"/>
      <c r="AG228" s="369"/>
      <c r="BB228" s="821"/>
      <c r="BC228" s="2381" t="str">
        <f>CONCATENATE(G228," ",N228," Year EUL")</f>
        <v>HVAC RES ER2 0 Year EUL</v>
      </c>
      <c r="BD228" s="2509">
        <v>0</v>
      </c>
      <c r="BE228" s="1582">
        <f>O228/(1.0595^(2020-2019))</f>
        <v>0</v>
      </c>
    </row>
    <row r="229" spans="2:57" x14ac:dyDescent="0.35">
      <c r="B229" s="1040"/>
      <c r="C229" s="4485" t="s">
        <v>4245</v>
      </c>
      <c r="D229" s="4485"/>
      <c r="E229" s="4485"/>
      <c r="F229" s="4485"/>
      <c r="G229" s="4485"/>
      <c r="H229" s="4485"/>
      <c r="I229" s="4485"/>
      <c r="J229" s="4485"/>
      <c r="K229" s="4485"/>
      <c r="L229" s="4485"/>
      <c r="M229" s="3111"/>
      <c r="N229" s="3112"/>
      <c r="O229" s="3112"/>
      <c r="P229" s="3112"/>
      <c r="Q229" s="199"/>
    </row>
    <row r="230" spans="2:57" x14ac:dyDescent="0.35">
      <c r="B230" s="1040"/>
      <c r="C230" s="4486"/>
      <c r="D230" s="4486"/>
      <c r="E230" s="4486"/>
      <c r="F230" s="4486"/>
      <c r="G230" s="4486"/>
      <c r="H230" s="4486"/>
      <c r="I230" s="4486"/>
      <c r="J230" s="4486"/>
      <c r="K230" s="4486"/>
      <c r="L230" s="4486"/>
      <c r="M230" s="3111"/>
      <c r="N230" s="3112"/>
      <c r="O230" s="3112"/>
      <c r="P230" s="3112"/>
      <c r="Q230" s="199"/>
    </row>
    <row r="231" spans="2:57" x14ac:dyDescent="0.35">
      <c r="B231" s="1040"/>
      <c r="C231" s="3110"/>
      <c r="D231" s="3110"/>
      <c r="E231" s="3110"/>
      <c r="F231" s="3110"/>
      <c r="G231" s="3110"/>
      <c r="H231" s="3110"/>
      <c r="I231" s="3110"/>
      <c r="J231" s="3110"/>
      <c r="K231" s="3110"/>
      <c r="L231" s="3110"/>
      <c r="M231" s="3111"/>
      <c r="N231" s="3112"/>
      <c r="O231" s="3112"/>
      <c r="P231" s="3112"/>
      <c r="Q231" s="199"/>
    </row>
    <row r="232" spans="2:57" hidden="1" outlineLevel="1" x14ac:dyDescent="0.35">
      <c r="B232" s="1040"/>
      <c r="C232" s="3113"/>
      <c r="D232" s="3066" t="s">
        <v>107</v>
      </c>
      <c r="E232" s="3102"/>
      <c r="F232" s="3103"/>
      <c r="G232" s="3104"/>
      <c r="H232" s="3104"/>
      <c r="I232" s="3104"/>
      <c r="J232" s="3104"/>
      <c r="K232" s="3104"/>
      <c r="L232" s="3104"/>
      <c r="M232" s="3111"/>
      <c r="N232" s="3112"/>
      <c r="O232" s="3112"/>
      <c r="P232" s="3112"/>
      <c r="Q232" s="199"/>
    </row>
    <row r="233" spans="2:57" hidden="1" outlineLevel="1" x14ac:dyDescent="0.35">
      <c r="B233" s="1040"/>
      <c r="C233" s="3113"/>
      <c r="D233" s="3066"/>
      <c r="E233" s="3102"/>
      <c r="F233" s="3103"/>
      <c r="G233" s="3104"/>
      <c r="H233" s="3104"/>
      <c r="I233" s="3104"/>
      <c r="J233" s="3104"/>
      <c r="K233" s="3104"/>
      <c r="L233" s="3104"/>
      <c r="M233" s="3111"/>
      <c r="N233" s="3112"/>
      <c r="O233" s="3112"/>
      <c r="P233" s="3112"/>
      <c r="Q233" s="199"/>
    </row>
    <row r="234" spans="2:57" hidden="1" outlineLevel="1" x14ac:dyDescent="0.35">
      <c r="B234" s="1040"/>
      <c r="C234" s="3113"/>
      <c r="D234" s="3066"/>
      <c r="E234" s="3102"/>
      <c r="F234" s="3103"/>
      <c r="G234" s="3104"/>
      <c r="H234" s="3104"/>
      <c r="I234" s="3104"/>
      <c r="J234" s="3104"/>
      <c r="K234" s="3104"/>
      <c r="L234" s="3104"/>
      <c r="M234" s="3111"/>
      <c r="N234" s="3112"/>
      <c r="O234" s="3112"/>
      <c r="P234" s="3112"/>
      <c r="Q234" s="199"/>
    </row>
    <row r="235" spans="2:57" hidden="1" outlineLevel="1" x14ac:dyDescent="0.35">
      <c r="B235" s="1040"/>
      <c r="C235" s="3113"/>
      <c r="D235" s="3066"/>
      <c r="E235" s="3102"/>
      <c r="F235" s="3103"/>
      <c r="G235" s="3104"/>
      <c r="H235" s="3104"/>
      <c r="I235" s="3104"/>
      <c r="J235" s="3104"/>
      <c r="K235" s="3104"/>
      <c r="L235" s="3104"/>
      <c r="M235" s="3111"/>
      <c r="N235" s="3112"/>
      <c r="O235" s="3112"/>
      <c r="P235" s="3112"/>
      <c r="Q235" s="199"/>
    </row>
    <row r="236" spans="2:57" ht="18" hidden="1" customHeight="1" outlineLevel="1" x14ac:dyDescent="0.35">
      <c r="B236" s="1040"/>
      <c r="C236" s="3113"/>
      <c r="D236" s="3108"/>
      <c r="E236" s="3108"/>
      <c r="F236" s="3108"/>
      <c r="G236" s="3108"/>
      <c r="H236" s="3108"/>
      <c r="I236" s="3108"/>
      <c r="J236" s="3108"/>
      <c r="K236" s="3108"/>
      <c r="L236" s="3108"/>
      <c r="M236" s="3111"/>
      <c r="N236" s="3112"/>
      <c r="O236" s="3112"/>
      <c r="P236" s="3112"/>
      <c r="Q236" s="199"/>
    </row>
    <row r="237" spans="2:57" ht="18" hidden="1" customHeight="1" outlineLevel="1" x14ac:dyDescent="0.35">
      <c r="B237" s="1040"/>
      <c r="C237" s="3113"/>
      <c r="D237" s="3108"/>
      <c r="E237" s="3108"/>
      <c r="F237" s="3108"/>
      <c r="G237" s="3108"/>
      <c r="H237" s="3108"/>
      <c r="I237" s="3108"/>
      <c r="J237" s="3108"/>
      <c r="K237" s="3108"/>
      <c r="L237" s="3108"/>
      <c r="M237" s="3111"/>
      <c r="N237" s="3112"/>
      <c r="O237" s="3112"/>
      <c r="P237" s="3112"/>
      <c r="Q237" s="199"/>
    </row>
    <row r="238" spans="2:57" ht="18" hidden="1" customHeight="1" outlineLevel="1" x14ac:dyDescent="0.35">
      <c r="B238" s="1040"/>
      <c r="C238" s="3113"/>
      <c r="D238" s="3108"/>
      <c r="E238" s="3108"/>
      <c r="F238" s="3108"/>
      <c r="G238" s="3108"/>
      <c r="H238" s="3108"/>
      <c r="I238" s="3108"/>
      <c r="J238" s="3108"/>
      <c r="K238" s="3108"/>
      <c r="L238" s="3108"/>
      <c r="M238" s="3111"/>
      <c r="N238" s="3112"/>
      <c r="O238" s="3112"/>
      <c r="P238" s="3112"/>
      <c r="Q238" s="199"/>
    </row>
    <row r="239" spans="2:57" ht="18" hidden="1" customHeight="1" outlineLevel="1" x14ac:dyDescent="0.35">
      <c r="B239" s="1040"/>
      <c r="C239" s="3113"/>
      <c r="D239" s="3108"/>
      <c r="E239" s="3108"/>
      <c r="F239" s="3108"/>
      <c r="G239" s="3108"/>
      <c r="H239" s="3108"/>
      <c r="I239" s="3108"/>
      <c r="J239" s="3108"/>
      <c r="K239" s="3108"/>
      <c r="L239" s="3108"/>
      <c r="M239" s="3111"/>
      <c r="N239" s="3112"/>
      <c r="O239" s="3112"/>
      <c r="P239" s="3112"/>
      <c r="Q239" s="199"/>
    </row>
    <row r="240" spans="2:57" ht="18" hidden="1" customHeight="1" outlineLevel="1" x14ac:dyDescent="0.35">
      <c r="B240" s="1040"/>
      <c r="C240" s="3113"/>
      <c r="D240" s="3108"/>
      <c r="E240" s="3108"/>
      <c r="F240" s="3108"/>
      <c r="G240" s="3108"/>
      <c r="H240" s="3108"/>
      <c r="I240" s="3108"/>
      <c r="J240" s="3108"/>
      <c r="K240" s="3108"/>
      <c r="L240" s="3108"/>
      <c r="M240" s="3111"/>
      <c r="N240" s="3112"/>
      <c r="O240" s="3112"/>
      <c r="P240" s="3112"/>
      <c r="Q240" s="199"/>
    </row>
    <row r="241" spans="2:33" ht="18" hidden="1" customHeight="1" outlineLevel="1" x14ac:dyDescent="0.35">
      <c r="B241" s="1040"/>
      <c r="C241" s="3113"/>
      <c r="D241" s="3108"/>
      <c r="E241" s="3108"/>
      <c r="F241" s="3108"/>
      <c r="G241" s="3108"/>
      <c r="H241" s="3108"/>
      <c r="I241" s="3108"/>
      <c r="J241" s="3108"/>
      <c r="K241" s="3108"/>
      <c r="L241" s="3108"/>
      <c r="M241" s="3111"/>
      <c r="N241" s="3112"/>
      <c r="O241" s="3112"/>
      <c r="P241" s="3112"/>
      <c r="Q241" s="199"/>
    </row>
    <row r="242" spans="2:33" ht="18" hidden="1" customHeight="1" outlineLevel="1" x14ac:dyDescent="0.35">
      <c r="B242" s="1040"/>
      <c r="C242" s="3113"/>
      <c r="D242" s="3108"/>
      <c r="E242" s="3108"/>
      <c r="F242" s="3108"/>
      <c r="G242" s="3108"/>
      <c r="H242" s="3108"/>
      <c r="I242" s="3108"/>
      <c r="J242" s="3108"/>
      <c r="K242" s="3108"/>
      <c r="L242" s="3108"/>
      <c r="M242" s="3111"/>
      <c r="N242" s="3112"/>
      <c r="O242" s="3112"/>
      <c r="P242" s="3112"/>
      <c r="Q242" s="199"/>
    </row>
    <row r="243" spans="2:33" ht="18" hidden="1" customHeight="1" outlineLevel="1" x14ac:dyDescent="0.35">
      <c r="B243" s="1040"/>
      <c r="C243" s="3113"/>
      <c r="D243" s="3108"/>
      <c r="E243" s="3108"/>
      <c r="F243" s="3108"/>
      <c r="G243" s="3108"/>
      <c r="H243" s="3108"/>
      <c r="I243" s="3108"/>
      <c r="J243" s="3108"/>
      <c r="K243" s="3108"/>
      <c r="L243" s="3108"/>
      <c r="M243" s="3111"/>
      <c r="N243" s="3112"/>
      <c r="O243" s="3112"/>
      <c r="P243" s="3112"/>
      <c r="Q243" s="199"/>
    </row>
    <row r="244" spans="2:33" hidden="1" outlineLevel="1" x14ac:dyDescent="0.35">
      <c r="B244" s="1040"/>
      <c r="C244" s="3113"/>
      <c r="D244" s="3108"/>
      <c r="E244" s="3108"/>
      <c r="F244" s="3108"/>
      <c r="G244" s="3108"/>
      <c r="H244" s="3108"/>
      <c r="I244" s="3108"/>
      <c r="J244" s="3108"/>
      <c r="K244" s="3108"/>
      <c r="L244" s="3108"/>
      <c r="M244" s="3111"/>
      <c r="N244" s="3112"/>
      <c r="O244" s="3112"/>
      <c r="P244" s="3112"/>
      <c r="Q244" s="199"/>
    </row>
    <row r="245" spans="2:33" hidden="1" outlineLevel="1" x14ac:dyDescent="0.35">
      <c r="B245" s="1040"/>
      <c r="C245" s="3113"/>
      <c r="D245" s="3108"/>
      <c r="E245" s="3108"/>
      <c r="F245" s="3108"/>
      <c r="G245" s="3108"/>
      <c r="H245" s="3108"/>
      <c r="I245" s="3108"/>
      <c r="J245" s="3108"/>
      <c r="K245" s="3108"/>
      <c r="L245" s="3108"/>
      <c r="M245" s="3111"/>
      <c r="N245" s="3112"/>
      <c r="O245" s="3112"/>
      <c r="P245" s="3112"/>
      <c r="Q245" s="199"/>
    </row>
    <row r="246" spans="2:33" hidden="1" outlineLevel="1" x14ac:dyDescent="0.35">
      <c r="B246" s="1040"/>
      <c r="C246" s="3113"/>
      <c r="D246" s="3114"/>
      <c r="E246" s="3114"/>
      <c r="F246" s="3112"/>
      <c r="G246" s="3112"/>
      <c r="H246" s="3112"/>
      <c r="I246" s="3112"/>
      <c r="J246" s="3112"/>
      <c r="K246" s="3112"/>
      <c r="L246" s="3112"/>
      <c r="M246" s="3111"/>
      <c r="N246" s="3112"/>
      <c r="O246" s="3112"/>
      <c r="P246" s="3112"/>
      <c r="Q246" s="199"/>
    </row>
    <row r="247" spans="2:33" hidden="1" outlineLevel="1" x14ac:dyDescent="0.35">
      <c r="B247" s="1040"/>
      <c r="C247" s="197"/>
      <c r="D247" s="2395" t="s">
        <v>108</v>
      </c>
      <c r="E247" s="2395"/>
      <c r="F247" s="4423" t="s">
        <v>109</v>
      </c>
      <c r="G247" s="4483"/>
      <c r="H247" s="4483"/>
      <c r="I247" s="2395" t="s">
        <v>111</v>
      </c>
      <c r="J247" s="2395" t="s">
        <v>186</v>
      </c>
      <c r="K247" s="2395" t="s">
        <v>282</v>
      </c>
      <c r="L247" s="3112"/>
      <c r="M247" s="3111"/>
      <c r="N247" s="3112"/>
      <c r="O247" s="3112"/>
      <c r="P247" s="3112"/>
      <c r="Q247" s="199"/>
      <c r="V247" s="1572" t="s">
        <v>44</v>
      </c>
      <c r="W247" s="1573">
        <f t="shared" ref="W247:AG247" si="63">W$6</f>
        <v>43252</v>
      </c>
      <c r="X247" s="1573">
        <f t="shared" si="63"/>
        <v>43465</v>
      </c>
      <c r="Y247" s="1573">
        <f t="shared" si="63"/>
        <v>43800</v>
      </c>
      <c r="Z247" s="1573">
        <f t="shared" si="63"/>
        <v>43862</v>
      </c>
      <c r="AA247" s="1573">
        <f t="shared" si="63"/>
        <v>44013</v>
      </c>
      <c r="AB247" s="1573">
        <f t="shared" si="63"/>
        <v>44166</v>
      </c>
      <c r="AC247" s="1573">
        <f t="shared" si="63"/>
        <v>44531</v>
      </c>
      <c r="AD247" s="1573">
        <f t="shared" si="63"/>
        <v>44774</v>
      </c>
      <c r="AE247" s="1573" t="str">
        <f t="shared" si="63"/>
        <v>-</v>
      </c>
      <c r="AF247" s="1573" t="str">
        <f t="shared" si="63"/>
        <v>-</v>
      </c>
      <c r="AG247" s="1573" t="str">
        <f t="shared" si="63"/>
        <v>-</v>
      </c>
    </row>
    <row r="248" spans="2:33" hidden="1" outlineLevel="1" x14ac:dyDescent="0.35">
      <c r="B248" s="1040"/>
      <c r="C248" s="197"/>
      <c r="D248" s="4490" t="s">
        <v>800</v>
      </c>
      <c r="E248" s="4491" t="s">
        <v>801</v>
      </c>
      <c r="F248" s="4488" t="s">
        <v>1769</v>
      </c>
      <c r="G248" s="4489"/>
      <c r="H248" s="4489"/>
      <c r="I248" s="1458">
        <v>0.16336956521739129</v>
      </c>
      <c r="J248" s="1855" t="s">
        <v>284</v>
      </c>
      <c r="K248" s="791"/>
      <c r="L248" s="3112"/>
      <c r="M248" s="3111"/>
      <c r="N248" s="3112"/>
      <c r="O248" s="3112"/>
      <c r="P248" s="3112"/>
      <c r="Q248" s="199"/>
      <c r="V248" s="4492" t="s">
        <v>800</v>
      </c>
      <c r="W248" s="255">
        <v>0</v>
      </c>
      <c r="X248" s="255">
        <v>0</v>
      </c>
      <c r="Y248" s="515">
        <v>0.16336956521739129</v>
      </c>
      <c r="Z248" s="512">
        <v>0.16336956521739129</v>
      </c>
      <c r="AA248" s="512">
        <v>0.16336956521739129</v>
      </c>
      <c r="AB248" s="512">
        <v>0.16336956521739129</v>
      </c>
      <c r="AC248" s="512">
        <v>0.16336956521739129</v>
      </c>
      <c r="AD248" s="512">
        <v>0.16336956521739129</v>
      </c>
      <c r="AE248" s="255"/>
      <c r="AF248" s="255"/>
      <c r="AG248" s="255"/>
    </row>
    <row r="249" spans="2:33" hidden="1" outlineLevel="1" x14ac:dyDescent="0.35">
      <c r="B249" s="1040"/>
      <c r="C249" s="197"/>
      <c r="D249" s="4490"/>
      <c r="E249" s="4491"/>
      <c r="F249" s="4488" t="s">
        <v>1770</v>
      </c>
      <c r="G249" s="4489"/>
      <c r="H249" s="4489"/>
      <c r="I249" s="512">
        <v>0.16336956521739129</v>
      </c>
      <c r="J249" s="1855" t="s">
        <v>284</v>
      </c>
      <c r="K249" s="791"/>
      <c r="L249" s="3112"/>
      <c r="M249" s="3111"/>
      <c r="N249" s="3112"/>
      <c r="O249" s="2812"/>
      <c r="P249" s="2812"/>
      <c r="V249" s="4492"/>
      <c r="W249" s="255">
        <v>0</v>
      </c>
      <c r="X249" s="255">
        <v>0</v>
      </c>
      <c r="Y249" s="515">
        <v>0.16336956521739129</v>
      </c>
      <c r="Z249" s="512">
        <v>0.16336956521739129</v>
      </c>
      <c r="AA249" s="512">
        <v>0.16336956521739129</v>
      </c>
      <c r="AB249" s="512">
        <v>0.16336956521739129</v>
      </c>
      <c r="AC249" s="512">
        <v>0.16336956521739129</v>
      </c>
      <c r="AD249" s="512">
        <v>0.16336956521739129</v>
      </c>
      <c r="AE249" s="255"/>
      <c r="AF249" s="255"/>
      <c r="AG249" s="255"/>
    </row>
    <row r="250" spans="2:33" hidden="1" outlineLevel="1" x14ac:dyDescent="0.35">
      <c r="B250" s="1040"/>
      <c r="C250" s="197"/>
      <c r="D250" s="2984" t="s">
        <v>803</v>
      </c>
      <c r="E250" s="2967" t="s">
        <v>804</v>
      </c>
      <c r="F250" s="4493" t="s">
        <v>134</v>
      </c>
      <c r="G250" s="4494"/>
      <c r="H250" s="4495"/>
      <c r="I250" s="1459">
        <v>400</v>
      </c>
      <c r="J250" s="4496" t="s">
        <v>805</v>
      </c>
      <c r="K250" s="4400"/>
      <c r="L250" s="3112"/>
      <c r="M250" s="3111"/>
      <c r="N250" s="3112"/>
      <c r="O250" s="2812"/>
      <c r="P250" s="2812"/>
      <c r="V250" s="2427" t="s">
        <v>803</v>
      </c>
      <c r="W250" s="255"/>
      <c r="X250" s="255"/>
      <c r="Y250" s="785">
        <v>400</v>
      </c>
      <c r="Z250" s="789">
        <v>400</v>
      </c>
      <c r="AA250" s="789">
        <v>400</v>
      </c>
      <c r="AB250" s="789">
        <v>400</v>
      </c>
      <c r="AC250" s="789">
        <v>400</v>
      </c>
      <c r="AD250" s="789">
        <v>400</v>
      </c>
      <c r="AE250" s="255"/>
      <c r="AF250" s="255"/>
      <c r="AG250" s="255"/>
    </row>
    <row r="251" spans="2:33" ht="16.5" hidden="1" outlineLevel="1" x14ac:dyDescent="0.35">
      <c r="B251" s="1040"/>
      <c r="C251" s="197"/>
      <c r="D251" s="2984" t="s">
        <v>2322</v>
      </c>
      <c r="E251" s="1329" t="str">
        <f>'HVAC Deemed Table'!E54</f>
        <v>Effective full load heating hours (in St. Louis)</v>
      </c>
      <c r="F251" s="4488" t="s">
        <v>134</v>
      </c>
      <c r="G251" s="4489"/>
      <c r="H251" s="4489"/>
      <c r="I251" s="243">
        <v>2009</v>
      </c>
      <c r="J251" s="1855" t="s">
        <v>284</v>
      </c>
      <c r="K251" s="791"/>
      <c r="L251" s="3112"/>
      <c r="M251" s="3111"/>
      <c r="N251" s="3112"/>
      <c r="O251" s="2812"/>
      <c r="P251" s="2812"/>
      <c r="V251" s="2427" t="s">
        <v>2323</v>
      </c>
      <c r="W251" s="246">
        <v>2009</v>
      </c>
      <c r="X251" s="246">
        <v>2009</v>
      </c>
      <c r="Y251" s="243">
        <v>2009</v>
      </c>
      <c r="Z251" s="243">
        <v>2009</v>
      </c>
      <c r="AA251" s="243">
        <v>2009</v>
      </c>
      <c r="AB251" s="243">
        <v>2009</v>
      </c>
      <c r="AC251" s="243">
        <v>2009</v>
      </c>
      <c r="AD251" s="243">
        <v>2009</v>
      </c>
      <c r="AE251" s="246"/>
      <c r="AF251" s="246"/>
      <c r="AG251" s="246"/>
    </row>
    <row r="252" spans="2:33" ht="16.5" hidden="1" outlineLevel="1" x14ac:dyDescent="0.35">
      <c r="B252" s="1040"/>
      <c r="C252" s="197"/>
      <c r="D252" s="2984" t="s">
        <v>2324</v>
      </c>
      <c r="E252" s="1329" t="str">
        <f>'HVAC Deemed Table'!E55</f>
        <v>Wisconsin effective full load heating hours</v>
      </c>
      <c r="F252" s="4488" t="s">
        <v>134</v>
      </c>
      <c r="G252" s="4489"/>
      <c r="H252" s="4489"/>
      <c r="I252" s="1026">
        <v>2545.25</v>
      </c>
      <c r="J252" s="1855" t="s">
        <v>284</v>
      </c>
      <c r="K252" s="791"/>
      <c r="L252" s="3112"/>
      <c r="M252" s="3111"/>
      <c r="N252" s="3112"/>
      <c r="O252" s="3112"/>
      <c r="P252" s="3112"/>
      <c r="Q252" s="199"/>
      <c r="R252" s="199"/>
      <c r="V252" s="2427" t="s">
        <v>2325</v>
      </c>
      <c r="W252" s="1027">
        <v>2545.25</v>
      </c>
      <c r="X252" s="1027">
        <v>2545.25</v>
      </c>
      <c r="Y252" s="1026">
        <v>2545.25</v>
      </c>
      <c r="Z252" s="1026">
        <v>2545.25</v>
      </c>
      <c r="AA252" s="1026">
        <v>2545.25</v>
      </c>
      <c r="AB252" s="1026">
        <v>2545.25</v>
      </c>
      <c r="AC252" s="1026">
        <v>2545.25</v>
      </c>
      <c r="AD252" s="1026">
        <v>2545.25</v>
      </c>
      <c r="AE252" s="1027"/>
      <c r="AF252" s="1027"/>
      <c r="AG252" s="1027"/>
    </row>
    <row r="253" spans="2:33" ht="15" hidden="1" customHeight="1" outlineLevel="1" x14ac:dyDescent="0.35">
      <c r="B253" s="1040"/>
      <c r="C253" s="197"/>
      <c r="D253" s="4500" t="s">
        <v>811</v>
      </c>
      <c r="E253" s="4491" t="str">
        <f>'HVAC Deemed Table'!E56</f>
        <v>% of furnaces with new central cooling</v>
      </c>
      <c r="F253" s="4488" t="s">
        <v>1769</v>
      </c>
      <c r="G253" s="4489"/>
      <c r="H253" s="4489"/>
      <c r="I253" s="512">
        <v>0.80141304347826092</v>
      </c>
      <c r="J253" s="1855" t="s">
        <v>284</v>
      </c>
      <c r="K253" s="791"/>
      <c r="L253" s="3112"/>
      <c r="M253" s="3111"/>
      <c r="N253" s="3112"/>
      <c r="O253" s="3112"/>
      <c r="P253" s="3113"/>
      <c r="Q253" s="199"/>
      <c r="R253" s="197"/>
      <c r="S253" s="199"/>
      <c r="V253" s="4487" t="s">
        <v>811</v>
      </c>
      <c r="W253" s="239">
        <v>0.97</v>
      </c>
      <c r="X253" s="239">
        <v>0.97</v>
      </c>
      <c r="Y253" s="515">
        <v>0.80141304347826092</v>
      </c>
      <c r="Z253" s="512">
        <v>0.80141304347826092</v>
      </c>
      <c r="AA253" s="512">
        <v>0.80141304347826092</v>
      </c>
      <c r="AB253" s="512">
        <v>0.80141304347826092</v>
      </c>
      <c r="AC253" s="512">
        <v>0.80141304347826092</v>
      </c>
      <c r="AD253" s="512">
        <v>0.80141304347826092</v>
      </c>
      <c r="AE253" s="239"/>
      <c r="AF253" s="239"/>
      <c r="AG253" s="239"/>
    </row>
    <row r="254" spans="2:33" ht="24.75" hidden="1" customHeight="1" outlineLevel="1" x14ac:dyDescent="0.35">
      <c r="B254" s="1040"/>
      <c r="C254" s="197"/>
      <c r="D254" s="4500"/>
      <c r="E254" s="4491"/>
      <c r="F254" s="4488" t="s">
        <v>1770</v>
      </c>
      <c r="G254" s="4489"/>
      <c r="H254" s="4489"/>
      <c r="I254" s="236">
        <v>0.80141304347826092</v>
      </c>
      <c r="J254" s="1855" t="s">
        <v>284</v>
      </c>
      <c r="K254" s="791"/>
      <c r="L254" s="3112"/>
      <c r="M254" s="3111"/>
      <c r="N254" s="3112"/>
      <c r="O254" s="3112"/>
      <c r="P254" s="3112"/>
      <c r="Q254" s="199"/>
      <c r="R254" s="199"/>
      <c r="S254" s="199"/>
      <c r="V254" s="4487"/>
      <c r="W254" s="239">
        <v>0.97</v>
      </c>
      <c r="X254" s="239">
        <v>0.97</v>
      </c>
      <c r="Y254" s="240">
        <v>0.80141304347826092</v>
      </c>
      <c r="Z254" s="236">
        <v>0.80141304347826092</v>
      </c>
      <c r="AA254" s="236">
        <v>0.80141304347826092</v>
      </c>
      <c r="AB254" s="236">
        <v>0.80141304347826092</v>
      </c>
      <c r="AC254" s="236">
        <v>0.80141304347826092</v>
      </c>
      <c r="AD254" s="236">
        <v>0.80141304347826092</v>
      </c>
      <c r="AE254" s="239"/>
      <c r="AF254" s="239"/>
      <c r="AG254" s="239"/>
    </row>
    <row r="255" spans="2:33" ht="29" hidden="1" outlineLevel="1" x14ac:dyDescent="0.35">
      <c r="B255" s="1040"/>
      <c r="C255" s="197"/>
      <c r="D255" s="2984" t="s">
        <v>813</v>
      </c>
      <c r="E255" s="2967" t="s">
        <v>814</v>
      </c>
      <c r="F255" s="4493" t="s">
        <v>134</v>
      </c>
      <c r="G255" s="4494"/>
      <c r="H255" s="4495"/>
      <c r="I255" s="1459">
        <v>70</v>
      </c>
      <c r="J255" s="4496" t="s">
        <v>805</v>
      </c>
      <c r="K255" s="4400"/>
      <c r="L255" s="199"/>
      <c r="M255" s="3111"/>
      <c r="N255" s="199"/>
      <c r="O255" s="3825" t="s">
        <v>2326</v>
      </c>
      <c r="P255" s="3823"/>
      <c r="Q255" s="2363"/>
      <c r="R255" s="2379" t="s">
        <v>2327</v>
      </c>
      <c r="S255" s="199"/>
      <c r="V255" s="2427" t="s">
        <v>813</v>
      </c>
      <c r="W255" s="239"/>
      <c r="X255" s="239"/>
      <c r="Y255" s="785">
        <v>70</v>
      </c>
      <c r="Z255" s="789">
        <v>70</v>
      </c>
      <c r="AA255" s="789">
        <v>70</v>
      </c>
      <c r="AB255" s="789">
        <v>70</v>
      </c>
      <c r="AC255" s="789">
        <v>70</v>
      </c>
      <c r="AD255" s="789">
        <v>70</v>
      </c>
      <c r="AE255" s="239"/>
      <c r="AF255" s="239"/>
      <c r="AG255" s="239"/>
    </row>
    <row r="256" spans="2:33" ht="16.5" hidden="1" outlineLevel="1" x14ac:dyDescent="0.35">
      <c r="B256" s="1040"/>
      <c r="C256" s="197"/>
      <c r="D256" s="2984" t="s">
        <v>2328</v>
      </c>
      <c r="E256" s="1329" t="str">
        <f>'HVAC Deemed Table'!E69</f>
        <v>Effective full load cooling hours (in St. Louis)</v>
      </c>
      <c r="F256" s="4497" t="s">
        <v>134</v>
      </c>
      <c r="G256" s="4498"/>
      <c r="H256" s="4499"/>
      <c r="I256" s="1026">
        <v>1215</v>
      </c>
      <c r="J256" s="1855" t="s">
        <v>284</v>
      </c>
      <c r="K256" s="791"/>
      <c r="L256" s="199"/>
      <c r="M256" s="3111"/>
      <c r="N256" s="199"/>
      <c r="O256" s="2362"/>
      <c r="P256" s="2372"/>
      <c r="Q256" s="2363"/>
      <c r="R256" s="2379"/>
      <c r="S256" s="199"/>
      <c r="T256" s="657"/>
      <c r="V256" s="2427" t="s">
        <v>2329</v>
      </c>
      <c r="W256" s="1027">
        <v>1215</v>
      </c>
      <c r="X256" s="1027">
        <v>1215</v>
      </c>
      <c r="Y256" s="1026">
        <v>1215</v>
      </c>
      <c r="Z256" s="1026">
        <v>1215</v>
      </c>
      <c r="AA256" s="1026">
        <v>1215</v>
      </c>
      <c r="AB256" s="1026">
        <v>1215</v>
      </c>
      <c r="AC256" s="1026">
        <v>1215</v>
      </c>
      <c r="AD256" s="1026">
        <v>1215</v>
      </c>
      <c r="AE256" s="1027"/>
      <c r="AF256" s="1027"/>
      <c r="AG256" s="1027"/>
    </row>
    <row r="257" spans="1:35" ht="16.5" hidden="1" outlineLevel="1" x14ac:dyDescent="0.35">
      <c r="B257" s="1040"/>
      <c r="C257" s="197"/>
      <c r="D257" s="2984" t="s">
        <v>2330</v>
      </c>
      <c r="E257" s="1329" t="str">
        <f>'HVAC Deemed Table'!E70</f>
        <v>Wisconsin effective full load cooling hours</v>
      </c>
      <c r="F257" s="4497" t="s">
        <v>134</v>
      </c>
      <c r="G257" s="4498"/>
      <c r="H257" s="4499"/>
      <c r="I257" s="1028">
        <v>542.5</v>
      </c>
      <c r="J257" s="1855" t="s">
        <v>284</v>
      </c>
      <c r="K257" s="791"/>
      <c r="L257" s="199"/>
      <c r="M257" s="3111"/>
      <c r="N257" s="199"/>
      <c r="O257" s="4047" t="s">
        <v>2331</v>
      </c>
      <c r="P257" s="4048"/>
      <c r="Q257" s="548">
        <v>0</v>
      </c>
      <c r="R257" s="1029">
        <f>($Q$263/1+Q257)-$Q$262/((1+$Q$265)^($Q$266-1))</f>
        <v>74.327224020150311</v>
      </c>
      <c r="V257" s="2427" t="s">
        <v>2332</v>
      </c>
      <c r="W257" s="1030">
        <v>542.5</v>
      </c>
      <c r="X257" s="1030">
        <v>542.5</v>
      </c>
      <c r="Y257" s="1028">
        <v>542.5</v>
      </c>
      <c r="Z257" s="1028">
        <v>542.5</v>
      </c>
      <c r="AA257" s="1028">
        <v>542.5</v>
      </c>
      <c r="AB257" s="1028">
        <v>542.5</v>
      </c>
      <c r="AC257" s="1028">
        <v>542.5</v>
      </c>
      <c r="AD257" s="1028">
        <v>542.5</v>
      </c>
      <c r="AE257" s="1030"/>
      <c r="AF257" s="1030"/>
      <c r="AG257" s="1030"/>
    </row>
    <row r="258" spans="1:35" hidden="1" outlineLevel="1" x14ac:dyDescent="0.35">
      <c r="B258" s="1040"/>
      <c r="C258" s="197"/>
      <c r="D258" s="2971" t="s">
        <v>820</v>
      </c>
      <c r="E258" s="1329" t="s">
        <v>821</v>
      </c>
      <c r="F258" s="4497" t="s">
        <v>134</v>
      </c>
      <c r="G258" s="4498"/>
      <c r="H258" s="4499"/>
      <c r="I258" s="794">
        <v>25</v>
      </c>
      <c r="J258" s="4501" t="s">
        <v>805</v>
      </c>
      <c r="K258" s="4502"/>
      <c r="L258" s="199"/>
      <c r="M258" s="3111"/>
      <c r="N258" s="199"/>
      <c r="R258" s="199"/>
      <c r="V258" s="2387" t="s">
        <v>820</v>
      </c>
      <c r="W258" s="239"/>
      <c r="X258" s="239"/>
      <c r="Y258" s="534">
        <v>25</v>
      </c>
      <c r="Z258" s="794">
        <v>25</v>
      </c>
      <c r="AA258" s="794">
        <v>25</v>
      </c>
      <c r="AB258" s="794">
        <v>25</v>
      </c>
      <c r="AC258" s="794">
        <v>25</v>
      </c>
      <c r="AD258" s="794">
        <v>25</v>
      </c>
      <c r="AE258" s="239"/>
      <c r="AF258" s="239"/>
      <c r="AG258" s="239"/>
    </row>
    <row r="259" spans="1:35" hidden="1" outlineLevel="1" x14ac:dyDescent="0.35">
      <c r="B259" s="1040"/>
      <c r="C259" s="197"/>
      <c r="D259" s="2971" t="s">
        <v>822</v>
      </c>
      <c r="E259" s="1329" t="s">
        <v>823</v>
      </c>
      <c r="F259" s="4497" t="s">
        <v>134</v>
      </c>
      <c r="G259" s="4498"/>
      <c r="H259" s="4499"/>
      <c r="I259" s="794">
        <v>2960</v>
      </c>
      <c r="J259" s="4503"/>
      <c r="K259" s="4504"/>
      <c r="L259" s="199"/>
      <c r="M259" s="3111"/>
      <c r="N259" s="199"/>
      <c r="R259" s="199"/>
      <c r="V259" s="2387" t="s">
        <v>822</v>
      </c>
      <c r="W259" s="239"/>
      <c r="X259" s="239"/>
      <c r="Y259" s="534">
        <v>2960</v>
      </c>
      <c r="Z259" s="794">
        <v>2960</v>
      </c>
      <c r="AA259" s="794">
        <v>2960</v>
      </c>
      <c r="AB259" s="794">
        <v>2960</v>
      </c>
      <c r="AC259" s="794">
        <v>2960</v>
      </c>
      <c r="AD259" s="794">
        <v>2960</v>
      </c>
      <c r="AE259" s="239"/>
      <c r="AF259" s="239"/>
      <c r="AG259" s="239"/>
    </row>
    <row r="260" spans="1:35" ht="15" hidden="1" customHeight="1" outlineLevel="1" x14ac:dyDescent="0.35">
      <c r="B260" s="1040"/>
      <c r="C260" s="197"/>
      <c r="D260" s="3814" t="s">
        <v>2333</v>
      </c>
      <c r="E260" s="4505" t="s">
        <v>825</v>
      </c>
      <c r="F260" s="4497" t="s">
        <v>826</v>
      </c>
      <c r="G260" s="4498"/>
      <c r="H260" s="4499"/>
      <c r="I260" s="537">
        <v>8.8084612296306403E-2</v>
      </c>
      <c r="J260" s="4496" t="s">
        <v>827</v>
      </c>
      <c r="K260" s="4400"/>
      <c r="L260" s="199"/>
      <c r="M260" s="3111"/>
      <c r="N260" s="199"/>
      <c r="R260" s="199"/>
      <c r="V260" s="3814" t="s">
        <v>2333</v>
      </c>
      <c r="W260" s="239"/>
      <c r="X260" s="239"/>
      <c r="Y260" s="536">
        <v>8.8084612296306403E-2</v>
      </c>
      <c r="Z260" s="537">
        <v>8.8084612296306403E-2</v>
      </c>
      <c r="AA260" s="537">
        <v>8.8084612296306403E-2</v>
      </c>
      <c r="AB260" s="537">
        <v>8.8084612296306403E-2</v>
      </c>
      <c r="AC260" s="537">
        <v>8.8084612296306403E-2</v>
      </c>
      <c r="AD260" s="537">
        <v>8.8084612296306403E-2</v>
      </c>
      <c r="AE260" s="239"/>
      <c r="AF260" s="239"/>
      <c r="AG260" s="239"/>
    </row>
    <row r="261" spans="1:35" hidden="1" outlineLevel="1" x14ac:dyDescent="0.35">
      <c r="B261" s="1040"/>
      <c r="C261" s="197"/>
      <c r="D261" s="3814"/>
      <c r="E261" s="4506"/>
      <c r="F261" s="4497" t="s">
        <v>828</v>
      </c>
      <c r="G261" s="4498"/>
      <c r="H261" s="4499"/>
      <c r="I261" s="537">
        <v>8.8084612296306403E-2</v>
      </c>
      <c r="J261" s="4496" t="s">
        <v>827</v>
      </c>
      <c r="K261" s="4400"/>
      <c r="L261" s="199"/>
      <c r="M261" s="3111"/>
      <c r="N261" s="199"/>
      <c r="O261" s="3825" t="s">
        <v>835</v>
      </c>
      <c r="P261" s="3823"/>
      <c r="Q261" s="3824"/>
      <c r="R261" s="199"/>
      <c r="V261" s="3814"/>
      <c r="W261" s="239"/>
      <c r="X261" s="239"/>
      <c r="Y261" s="536">
        <v>8.8084612296306403E-2</v>
      </c>
      <c r="Z261" s="537">
        <v>8.8084612296306403E-2</v>
      </c>
      <c r="AA261" s="537">
        <v>8.8084612296306403E-2</v>
      </c>
      <c r="AB261" s="537">
        <v>8.8084612296306403E-2</v>
      </c>
      <c r="AC261" s="537">
        <v>8.8084612296306403E-2</v>
      </c>
      <c r="AD261" s="537">
        <v>8.8084612296306403E-2</v>
      </c>
      <c r="AE261" s="239"/>
      <c r="AF261" s="239"/>
      <c r="AG261" s="239"/>
    </row>
    <row r="262" spans="1:35" hidden="1" outlineLevel="1" x14ac:dyDescent="0.35">
      <c r="B262" s="1040"/>
      <c r="C262" s="197"/>
      <c r="D262" s="2971" t="s">
        <v>829</v>
      </c>
      <c r="E262" s="1329" t="s">
        <v>830</v>
      </c>
      <c r="F262" s="4497" t="s">
        <v>134</v>
      </c>
      <c r="G262" s="4498"/>
      <c r="H262" s="4499"/>
      <c r="I262" s="794">
        <v>30</v>
      </c>
      <c r="J262" s="4501" t="s">
        <v>805</v>
      </c>
      <c r="K262" s="4502"/>
      <c r="L262" s="199"/>
      <c r="M262" s="3111"/>
      <c r="N262" s="199"/>
      <c r="O262" s="4059" t="s">
        <v>836</v>
      </c>
      <c r="P262" s="4060"/>
      <c r="Q262" s="551">
        <f>Q263*(1+Q264)^Q266</f>
        <v>534.92714915040006</v>
      </c>
      <c r="R262" s="199"/>
      <c r="V262" s="2387" t="s">
        <v>829</v>
      </c>
      <c r="W262" s="239"/>
      <c r="X262" s="239"/>
      <c r="Y262" s="785">
        <v>30</v>
      </c>
      <c r="Z262" s="789">
        <v>30</v>
      </c>
      <c r="AA262" s="789">
        <v>30</v>
      </c>
      <c r="AB262" s="789">
        <v>30</v>
      </c>
      <c r="AC262" s="789">
        <v>30</v>
      </c>
      <c r="AD262" s="789">
        <v>30</v>
      </c>
      <c r="AE262" s="239"/>
      <c r="AF262" s="239"/>
      <c r="AG262" s="239"/>
    </row>
    <row r="263" spans="1:35" hidden="1" outlineLevel="1" x14ac:dyDescent="0.35">
      <c r="B263" s="1040"/>
      <c r="C263" s="197"/>
      <c r="D263" s="4507" t="s">
        <v>293</v>
      </c>
      <c r="E263" s="4491" t="str">
        <f>'HVAC Deemed Table'!E76</f>
        <v>65% MF value is not applicable in this case, because it should be based upon pressure drop in the system and many of the components will have the same pressure drop, filters, coils, grills, duct length, etc.</v>
      </c>
      <c r="F263" s="4488" t="s">
        <v>1769</v>
      </c>
      <c r="G263" s="4489"/>
      <c r="H263" s="4489"/>
      <c r="I263" s="1031">
        <v>1</v>
      </c>
      <c r="J263" s="4503"/>
      <c r="K263" s="4504"/>
      <c r="L263" s="199"/>
      <c r="M263" s="3111"/>
      <c r="N263" s="199"/>
      <c r="O263" s="4059" t="s">
        <v>837</v>
      </c>
      <c r="P263" s="4060"/>
      <c r="Q263" s="1592">
        <v>475</v>
      </c>
      <c r="R263" s="1032" t="s">
        <v>838</v>
      </c>
      <c r="V263" s="4508" t="s">
        <v>293</v>
      </c>
      <c r="W263" s="239">
        <v>0.8</v>
      </c>
      <c r="X263" s="239">
        <v>0.8</v>
      </c>
      <c r="Y263" s="236">
        <v>1</v>
      </c>
      <c r="Z263" s="236">
        <v>1</v>
      </c>
      <c r="AA263" s="236">
        <v>1</v>
      </c>
      <c r="AB263" s="236">
        <v>1</v>
      </c>
      <c r="AC263" s="236">
        <v>1</v>
      </c>
      <c r="AD263" s="236">
        <v>1</v>
      </c>
      <c r="AE263" s="239"/>
      <c r="AF263" s="239"/>
      <c r="AG263" s="239"/>
    </row>
    <row r="264" spans="1:35" hidden="1" outlineLevel="1" x14ac:dyDescent="0.35">
      <c r="B264" s="1040"/>
      <c r="C264" s="197"/>
      <c r="D264" s="4508"/>
      <c r="E264" s="4491"/>
      <c r="F264" s="4488" t="s">
        <v>1770</v>
      </c>
      <c r="G264" s="4489"/>
      <c r="H264" s="4489"/>
      <c r="I264" s="236">
        <v>1</v>
      </c>
      <c r="J264" s="791"/>
      <c r="K264" s="791"/>
      <c r="L264" s="199"/>
      <c r="M264" s="3111"/>
      <c r="N264" s="199"/>
      <c r="O264" s="4059" t="s">
        <v>839</v>
      </c>
      <c r="P264" s="4060"/>
      <c r="Q264" s="553">
        <v>0.02</v>
      </c>
      <c r="R264" s="199"/>
      <c r="V264" s="4508"/>
      <c r="W264" s="239">
        <v>0.8</v>
      </c>
      <c r="X264" s="239">
        <v>0.8</v>
      </c>
      <c r="Y264" s="236">
        <v>1</v>
      </c>
      <c r="Z264" s="236">
        <v>1</v>
      </c>
      <c r="AA264" s="236">
        <v>1</v>
      </c>
      <c r="AB264" s="236">
        <v>1</v>
      </c>
      <c r="AC264" s="236">
        <v>1</v>
      </c>
      <c r="AD264" s="236">
        <v>1</v>
      </c>
      <c r="AE264" s="239"/>
      <c r="AF264" s="239"/>
      <c r="AG264" s="239"/>
    </row>
    <row r="265" spans="1:35" ht="58" hidden="1" outlineLevel="1" x14ac:dyDescent="0.35">
      <c r="B265" s="1040"/>
      <c r="C265" s="197"/>
      <c r="D265" s="2985" t="s">
        <v>132</v>
      </c>
      <c r="E265" s="3115" t="s">
        <v>832</v>
      </c>
      <c r="F265" s="4497" t="s">
        <v>134</v>
      </c>
      <c r="G265" s="4498"/>
      <c r="H265" s="4499"/>
      <c r="I265" s="236">
        <v>1</v>
      </c>
      <c r="J265" s="1855" t="s">
        <v>4248</v>
      </c>
      <c r="K265" s="791"/>
      <c r="L265" s="199"/>
      <c r="M265" s="3111"/>
      <c r="N265" s="199"/>
      <c r="O265" s="573" t="s">
        <v>840</v>
      </c>
      <c r="P265" s="2385"/>
      <c r="Q265" s="553">
        <v>5.9499999999999997E-2</v>
      </c>
      <c r="R265" s="199"/>
      <c r="V265" s="2425" t="s">
        <v>132</v>
      </c>
      <c r="W265" s="239"/>
      <c r="X265" s="239"/>
      <c r="Y265" s="236"/>
      <c r="Z265" s="236"/>
      <c r="AA265" s="236"/>
      <c r="AB265" s="240">
        <v>1</v>
      </c>
      <c r="AC265" s="236">
        <v>1</v>
      </c>
      <c r="AD265" s="236">
        <v>1</v>
      </c>
      <c r="AE265" s="239"/>
      <c r="AF265" s="239"/>
      <c r="AG265" s="239"/>
    </row>
    <row r="266" spans="1:35" hidden="1" outlineLevel="1" x14ac:dyDescent="0.35">
      <c r="A266" s="452"/>
      <c r="B266" s="1040"/>
      <c r="C266" s="234"/>
      <c r="D266" s="4509" t="str">
        <f>D34</f>
        <v>EUL</v>
      </c>
      <c r="E266" s="4509" t="str">
        <f>E34</f>
        <v>End of Useful Life</v>
      </c>
      <c r="F266" s="4039" t="str">
        <f>E227</f>
        <v>ECM Auto Fan Early Replacement ER1 (Full Cost) - MFMR</v>
      </c>
      <c r="G266" s="4039"/>
      <c r="H266" s="4039"/>
      <c r="I266" s="206">
        <v>6</v>
      </c>
      <c r="J266" s="513"/>
      <c r="K266" s="513" t="s">
        <v>184</v>
      </c>
      <c r="L266" s="199"/>
      <c r="M266" s="3111"/>
      <c r="N266" s="197"/>
      <c r="O266" s="554" t="s">
        <v>841</v>
      </c>
      <c r="P266" s="555"/>
      <c r="Q266" s="1592">
        <v>6</v>
      </c>
      <c r="R266" s="199"/>
      <c r="V266" s="4509" t="str">
        <f>V34</f>
        <v>EUL</v>
      </c>
      <c r="W266" s="546">
        <v>6</v>
      </c>
      <c r="X266" s="546">
        <v>6</v>
      </c>
      <c r="Y266" s="1033">
        <v>6</v>
      </c>
      <c r="Z266" s="1033">
        <v>6</v>
      </c>
      <c r="AA266" s="1033">
        <v>6</v>
      </c>
      <c r="AB266" s="1033">
        <v>6</v>
      </c>
      <c r="AC266" s="1033">
        <v>6</v>
      </c>
      <c r="AD266" s="1033">
        <v>6</v>
      </c>
      <c r="AE266" s="546"/>
      <c r="AF266" s="546"/>
      <c r="AG266" s="546"/>
    </row>
    <row r="267" spans="1:35" hidden="1" outlineLevel="1" x14ac:dyDescent="0.35">
      <c r="A267" s="452"/>
      <c r="B267" s="1040"/>
      <c r="C267" s="235"/>
      <c r="D267" s="3814"/>
      <c r="E267" s="3814"/>
      <c r="F267" s="4039" t="str">
        <f>E228</f>
        <v>ECM Auto Fan Early Replacement ER2 (Remaining Life) - MFMR</v>
      </c>
      <c r="G267" s="4039"/>
      <c r="H267" s="4039"/>
      <c r="I267" s="206">
        <v>0</v>
      </c>
      <c r="J267" s="513"/>
      <c r="K267" s="513" t="s">
        <v>184</v>
      </c>
      <c r="L267" s="199"/>
      <c r="M267" s="3111"/>
      <c r="N267" s="197"/>
      <c r="R267" s="199"/>
      <c r="V267" s="3814"/>
      <c r="W267" s="546">
        <v>12</v>
      </c>
      <c r="X267" s="546">
        <v>12</v>
      </c>
      <c r="Y267" s="1033">
        <v>12</v>
      </c>
      <c r="Z267" s="1033">
        <v>12</v>
      </c>
      <c r="AA267" s="1033">
        <v>12</v>
      </c>
      <c r="AB267" s="1033">
        <v>12</v>
      </c>
      <c r="AC267" s="2270">
        <v>0</v>
      </c>
      <c r="AD267" s="1033">
        <v>0</v>
      </c>
      <c r="AE267" s="546"/>
      <c r="AF267" s="546"/>
      <c r="AG267" s="546"/>
    </row>
    <row r="268" spans="1:35" ht="18" hidden="1" customHeight="1" outlineLevel="1" x14ac:dyDescent="0.35">
      <c r="A268" s="452"/>
      <c r="B268" s="1040"/>
      <c r="C268" s="221"/>
      <c r="D268" s="4510" t="str">
        <f>D35</f>
        <v>Inc. Cost</v>
      </c>
      <c r="E268" s="4510" t="str">
        <f>E35</f>
        <v>Incremental Cost ($)</v>
      </c>
      <c r="F268" s="4039" t="str">
        <f>E227</f>
        <v>ECM Auto Fan Early Replacement ER1 (Full Cost) - MFMR</v>
      </c>
      <c r="G268" s="4039"/>
      <c r="H268" s="4039"/>
      <c r="I268" s="3116">
        <f>R257</f>
        <v>74.327224020150311</v>
      </c>
      <c r="J268" s="513"/>
      <c r="K268" s="513" t="s">
        <v>184</v>
      </c>
      <c r="L268" s="199"/>
      <c r="M268" s="3111"/>
      <c r="N268" s="197"/>
      <c r="V268" s="4509" t="str">
        <f>V35</f>
        <v>Inc. Cost</v>
      </c>
      <c r="W268" s="552">
        <v>96.828432298395683</v>
      </c>
      <c r="X268" s="552">
        <v>96.828432298395683</v>
      </c>
      <c r="Y268" s="1035">
        <v>74.327224020150311</v>
      </c>
      <c r="Z268" s="1034">
        <v>74.327224020150311</v>
      </c>
      <c r="AA268" s="1034">
        <v>74.327224020150311</v>
      </c>
      <c r="AB268" s="1034">
        <v>74.327224020150311</v>
      </c>
      <c r="AC268" s="1034">
        <v>74.327224020150311</v>
      </c>
      <c r="AD268" s="1034">
        <v>74.327224020150311</v>
      </c>
      <c r="AE268" s="552"/>
      <c r="AF268" s="552"/>
      <c r="AG268" s="552"/>
    </row>
    <row r="269" spans="1:35" hidden="1" outlineLevel="1" x14ac:dyDescent="0.35">
      <c r="A269" s="452"/>
      <c r="B269" s="199"/>
      <c r="C269" s="197"/>
      <c r="D269" s="3736"/>
      <c r="E269" s="3736"/>
      <c r="F269" s="4039" t="str">
        <f>E228</f>
        <v>ECM Auto Fan Early Replacement ER2 (Remaining Life) - MFMR</v>
      </c>
      <c r="G269" s="4039"/>
      <c r="H269" s="4039"/>
      <c r="I269" s="3116"/>
      <c r="J269" s="513"/>
      <c r="K269" s="513"/>
      <c r="L269" s="199"/>
      <c r="M269" s="3111"/>
      <c r="N269" s="197"/>
      <c r="O269" s="3112"/>
      <c r="P269" s="3112"/>
      <c r="Q269" s="3112"/>
      <c r="R269" s="199"/>
      <c r="V269" s="3804"/>
      <c r="W269" s="552"/>
      <c r="X269" s="552"/>
      <c r="Y269" s="1034"/>
      <c r="Z269" s="1034"/>
      <c r="AA269" s="1034"/>
      <c r="AB269" s="1034"/>
      <c r="AC269" s="1034"/>
      <c r="AD269" s="552"/>
      <c r="AE269" s="552"/>
      <c r="AF269" s="552"/>
      <c r="AG269" s="552"/>
    </row>
    <row r="270" spans="1:35" hidden="1" outlineLevel="1" x14ac:dyDescent="0.35">
      <c r="D270" s="3076"/>
      <c r="E270" s="3076"/>
      <c r="F270" s="2812"/>
      <c r="G270" s="2812"/>
      <c r="H270" s="2812"/>
      <c r="I270" s="2812"/>
      <c r="J270" s="2812"/>
      <c r="K270" s="2812"/>
      <c r="L270" s="2812"/>
      <c r="M270" s="3111"/>
      <c r="O270" s="2812"/>
      <c r="P270" s="2812"/>
      <c r="Q270" s="2812"/>
    </row>
    <row r="271" spans="1:35" collapsed="1" x14ac:dyDescent="0.35">
      <c r="D271" s="3076"/>
      <c r="E271" s="3076"/>
      <c r="F271" s="2812"/>
      <c r="G271" s="2812"/>
      <c r="H271" s="2812"/>
      <c r="I271" s="2812"/>
      <c r="J271" s="2812"/>
      <c r="K271" s="2812"/>
      <c r="L271" s="2812"/>
      <c r="O271" s="2812"/>
      <c r="P271" s="2812"/>
      <c r="Q271" s="2812"/>
    </row>
    <row r="272" spans="1:35" x14ac:dyDescent="0.35">
      <c r="B272" s="3664" t="s">
        <v>51</v>
      </c>
      <c r="C272" s="3665"/>
      <c r="D272" s="3665"/>
      <c r="E272" s="3665"/>
      <c r="F272" s="3665"/>
      <c r="G272" s="3665"/>
      <c r="H272" s="3665"/>
      <c r="I272" s="3666"/>
      <c r="J272" s="3666"/>
      <c r="K272" s="3666"/>
      <c r="L272" s="3666"/>
      <c r="M272" s="3666"/>
      <c r="N272" s="3666"/>
      <c r="O272" s="3666"/>
      <c r="P272" s="3666"/>
      <c r="Q272" s="3667"/>
      <c r="V272" s="3664" t="str">
        <f>B272</f>
        <v>Lighting</v>
      </c>
      <c r="W272" s="3665"/>
      <c r="X272" s="3665"/>
      <c r="Y272" s="3665"/>
      <c r="Z272" s="3665"/>
      <c r="AA272" s="3665"/>
      <c r="AB272" s="3665"/>
      <c r="AC272" s="3680"/>
      <c r="AD272" s="3680"/>
      <c r="AE272" s="3680"/>
      <c r="AF272" s="3680"/>
      <c r="AG272" s="3680"/>
      <c r="AH272" s="3680"/>
      <c r="AI272" s="3681"/>
    </row>
    <row r="274" spans="3:57" ht="29" x14ac:dyDescent="0.35">
      <c r="C274" s="2331" t="s">
        <v>27</v>
      </c>
      <c r="D274" s="2331" t="s">
        <v>174</v>
      </c>
      <c r="E274" s="2331" t="s">
        <v>29</v>
      </c>
      <c r="F274" s="2331" t="s">
        <v>30</v>
      </c>
      <c r="G274" s="2331" t="s">
        <v>32</v>
      </c>
      <c r="H274" s="2331" t="s">
        <v>33</v>
      </c>
      <c r="I274" s="2331" t="s">
        <v>34</v>
      </c>
      <c r="J274" s="2331" t="s">
        <v>35</v>
      </c>
      <c r="K274" s="2331" t="s">
        <v>36</v>
      </c>
      <c r="L274" s="2331" t="s">
        <v>37</v>
      </c>
      <c r="M274" s="2331" t="s">
        <v>31</v>
      </c>
      <c r="N274" s="2331" t="s">
        <v>40</v>
      </c>
      <c r="O274" s="2331" t="s">
        <v>41</v>
      </c>
      <c r="P274" s="2331" t="s">
        <v>42</v>
      </c>
      <c r="Q274" s="2331" t="s">
        <v>43</v>
      </c>
      <c r="R274" s="452"/>
      <c r="S274" s="452"/>
      <c r="T274" s="452"/>
      <c r="U274" s="452"/>
      <c r="V274" s="1572" t="s">
        <v>44</v>
      </c>
      <c r="W274" s="1573">
        <f>W$6</f>
        <v>43252</v>
      </c>
      <c r="X274" s="1573">
        <f t="shared" ref="X274:AG274" si="64">X$6</f>
        <v>43465</v>
      </c>
      <c r="Y274" s="1573">
        <f t="shared" si="64"/>
        <v>43800</v>
      </c>
      <c r="Z274" s="1573">
        <f t="shared" si="64"/>
        <v>43862</v>
      </c>
      <c r="AA274" s="1573">
        <f t="shared" si="64"/>
        <v>44013</v>
      </c>
      <c r="AB274" s="1573">
        <f t="shared" si="64"/>
        <v>44166</v>
      </c>
      <c r="AC274" s="1573">
        <f t="shared" si="64"/>
        <v>44531</v>
      </c>
      <c r="AD274" s="1573">
        <f t="shared" si="64"/>
        <v>44774</v>
      </c>
      <c r="AE274" s="1573" t="str">
        <f t="shared" si="64"/>
        <v>-</v>
      </c>
      <c r="AF274" s="1573" t="str">
        <f t="shared" si="64"/>
        <v>-</v>
      </c>
      <c r="AG274" s="1573" t="str">
        <f t="shared" si="64"/>
        <v>-</v>
      </c>
      <c r="BB274" s="1574" t="str">
        <f>$BB$6</f>
        <v>TRC (2022)</v>
      </c>
      <c r="BC274" s="1584" t="str">
        <f>$BC$6</f>
        <v>Benefit Lookup</v>
      </c>
      <c r="BD274" s="556" t="str">
        <f>$BD$6</f>
        <v>Benefits (2019 $)</v>
      </c>
      <c r="BE274" s="200" t="str">
        <f>$BE$6</f>
        <v>Incremental Cost (2019 $)</v>
      </c>
    </row>
    <row r="275" spans="3:57" x14ac:dyDescent="0.35">
      <c r="C275" s="50" t="s">
        <v>2334</v>
      </c>
      <c r="D275" s="395" t="s">
        <v>2254</v>
      </c>
      <c r="E275" s="2333" t="s">
        <v>59</v>
      </c>
      <c r="F275" s="373">
        <f>ROUND(K275+L275,2)</f>
        <v>4.18</v>
      </c>
      <c r="G275" s="294" t="s">
        <v>53</v>
      </c>
      <c r="H275" s="136">
        <f>VLOOKUP(G275,'CP FACTORS'!$A$3:$B$38, 2, FALSE)</f>
        <v>1.4925290000000001E-4</v>
      </c>
      <c r="I275" s="294" t="s">
        <v>54</v>
      </c>
      <c r="J275" s="136">
        <f>VLOOKUP(I275,'CP FACTORS'!$A$3:$B$38, 2, FALSE)</f>
        <v>1.899635E-4</v>
      </c>
      <c r="K275" s="100">
        <f t="shared" ref="K275:K289" si="65">(((F304-F321)*$F$338*(1-$F$339)*$F$340*$F$342/1000)*$F$346)</f>
        <v>4.1795400825827063</v>
      </c>
      <c r="L275" s="2270">
        <f t="shared" ref="L275:L289" si="66">(((F304-F321)*$F$338*(1-$F$339)*$F$343*$F$345/1000)*(1-$F$346))</f>
        <v>0</v>
      </c>
      <c r="M275" s="2732">
        <f>ROUND(((K275/F275)*H275+(L275/F275)*J275)*F275,6)</f>
        <v>6.2399999999999999E-4</v>
      </c>
      <c r="N275" s="92">
        <v>19</v>
      </c>
      <c r="O275" s="92">
        <f t="shared" ref="O275:O291" si="67">20000/3351</f>
        <v>5.9683676514473287</v>
      </c>
      <c r="P275" s="1014">
        <v>2.0299999999999998</v>
      </c>
      <c r="Q275" s="2129" t="s">
        <v>184</v>
      </c>
      <c r="V275" s="141" t="s">
        <v>30</v>
      </c>
      <c r="W275" s="1518">
        <v>4.1104694483127764</v>
      </c>
      <c r="X275" s="1518">
        <v>4.1104694483127764</v>
      </c>
      <c r="Y275" s="48">
        <v>4.1100000000000003</v>
      </c>
      <c r="Z275" s="48">
        <v>4.1100000000000003</v>
      </c>
      <c r="AA275" s="48">
        <v>4.1100000000000003</v>
      </c>
      <c r="AB275" s="1798">
        <v>4.1100000000000003</v>
      </c>
      <c r="AC275" s="1741">
        <v>4.1100000000000003</v>
      </c>
      <c r="AD275" s="373">
        <v>4.18</v>
      </c>
      <c r="AE275" s="1518"/>
      <c r="AF275" s="1518"/>
      <c r="AG275" s="1518"/>
      <c r="BB275" s="1578">
        <f t="shared" ref="BB275:BB291" si="68">(BD275)/(BE275)</f>
        <v>1.2385090096276725</v>
      </c>
      <c r="BC275" s="2381" t="str">
        <f>CONCATENATE(G275," ",N275," Year EUL")</f>
        <v>Lighting RES 19 Year EUL</v>
      </c>
      <c r="BD275" s="95">
        <f>(INDEX('Avoided Cost Benefits'!$E$4:$E$859,MATCH(BC275,'Avoided Cost Benefits'!$A$4:$A$859,0)))*F275</f>
        <v>2.3729809245343794</v>
      </c>
      <c r="BE275" s="1579">
        <f>P275/(1.0595^(2020-2019))</f>
        <v>1.9159981123171304</v>
      </c>
    </row>
    <row r="276" spans="3:57" x14ac:dyDescent="0.35">
      <c r="C276" s="50" t="s">
        <v>2335</v>
      </c>
      <c r="D276" s="395" t="s">
        <v>2254</v>
      </c>
      <c r="E276" s="2333" t="s">
        <v>61</v>
      </c>
      <c r="F276" s="373">
        <f t="shared" ref="F276:F289" si="69">ROUND(K276+L276,2)</f>
        <v>23.51</v>
      </c>
      <c r="G276" s="294" t="s">
        <v>53</v>
      </c>
      <c r="H276" s="136">
        <f>VLOOKUP(G276,'CP FACTORS'!$A$3:$B$38, 2, FALSE)</f>
        <v>1.4925290000000001E-4</v>
      </c>
      <c r="I276" s="294" t="s">
        <v>54</v>
      </c>
      <c r="J276" s="136">
        <f>VLOOKUP(I276,'CP FACTORS'!$A$3:$B$38, 2, FALSE)</f>
        <v>1.899635E-4</v>
      </c>
      <c r="K276" s="100">
        <f t="shared" si="65"/>
        <v>23.509912964527725</v>
      </c>
      <c r="L276" s="2270">
        <f t="shared" si="66"/>
        <v>0</v>
      </c>
      <c r="M276" s="2732">
        <f t="shared" ref="M276:M289" si="70">ROUND(((K276/F276)*H276+(L276/F276)*J276)*F276,6)</f>
        <v>3.509E-3</v>
      </c>
      <c r="N276" s="92">
        <v>19</v>
      </c>
      <c r="O276" s="92">
        <f t="shared" si="67"/>
        <v>5.9683676514473287</v>
      </c>
      <c r="P276" s="1014">
        <v>2.0299999999999998</v>
      </c>
      <c r="Q276" s="2129" t="s">
        <v>184</v>
      </c>
      <c r="V276" s="1592" t="s">
        <v>30</v>
      </c>
      <c r="W276" s="1518">
        <v>22.042392416577254</v>
      </c>
      <c r="X276" s="1518">
        <v>22.042392416577254</v>
      </c>
      <c r="Y276" s="48">
        <v>22.04</v>
      </c>
      <c r="Z276" s="48">
        <v>22.04</v>
      </c>
      <c r="AA276" s="48">
        <v>22.04</v>
      </c>
      <c r="AB276" s="373">
        <v>23.12</v>
      </c>
      <c r="AC276" s="1741">
        <v>23.12</v>
      </c>
      <c r="AD276" s="373">
        <v>23.51</v>
      </c>
      <c r="AE276" s="1518"/>
      <c r="AF276" s="1518"/>
      <c r="AG276" s="1518"/>
      <c r="BB276" s="40">
        <f t="shared" si="68"/>
        <v>6.9658724441020539</v>
      </c>
      <c r="BC276" s="1580" t="str">
        <f t="shared" ref="BC276:BC291" si="71">CONCATENATE(G276," ",N276," Year EUL")</f>
        <v>Lighting RES 19 Year EUL</v>
      </c>
      <c r="BD276" s="98">
        <f>(INDEX('Avoided Cost Benefits'!$E$4:$E$859,MATCH(BC276,'Avoided Cost Benefits'!$A$4:$A$859,0)))*F276</f>
        <v>13.34659845354145</v>
      </c>
      <c r="BE276" s="1581">
        <f t="shared" ref="BE276:BE291" si="72">P276/(1.0595^(2020-2019))</f>
        <v>1.9159981123171304</v>
      </c>
    </row>
    <row r="277" spans="3:57" x14ac:dyDescent="0.35">
      <c r="C277" s="50" t="s">
        <v>2336</v>
      </c>
      <c r="D277" s="395" t="s">
        <v>2254</v>
      </c>
      <c r="E277" s="2333" t="s">
        <v>63</v>
      </c>
      <c r="F277" s="373">
        <f t="shared" si="69"/>
        <v>5.55</v>
      </c>
      <c r="G277" s="294" t="s">
        <v>53</v>
      </c>
      <c r="H277" s="136">
        <f>VLOOKUP(G277,'CP FACTORS'!$A$3:$B$38, 2, FALSE)</f>
        <v>1.4925290000000001E-4</v>
      </c>
      <c r="I277" s="294" t="s">
        <v>54</v>
      </c>
      <c r="J277" s="136">
        <f>VLOOKUP(I277,'CP FACTORS'!$A$3:$B$38, 2, FALSE)</f>
        <v>1.899635E-4</v>
      </c>
      <c r="K277" s="100">
        <f t="shared" si="65"/>
        <v>5.5509516721801564</v>
      </c>
      <c r="L277" s="2270">
        <f t="shared" si="66"/>
        <v>0</v>
      </c>
      <c r="M277" s="2732">
        <f t="shared" si="70"/>
        <v>8.2799999999999996E-4</v>
      </c>
      <c r="N277" s="92">
        <v>19</v>
      </c>
      <c r="O277" s="92">
        <f t="shared" si="67"/>
        <v>5.9683676514473287</v>
      </c>
      <c r="P277" s="1014">
        <v>4.1399999999999997</v>
      </c>
      <c r="Q277" s="2129" t="s">
        <v>184</v>
      </c>
      <c r="V277" s="1592" t="s">
        <v>30</v>
      </c>
      <c r="W277" s="1518">
        <v>5.4592172360404048</v>
      </c>
      <c r="X277" s="1518">
        <v>5.4592172360404048</v>
      </c>
      <c r="Y277" s="48">
        <v>5.46</v>
      </c>
      <c r="Z277" s="48">
        <v>5.46</v>
      </c>
      <c r="AA277" s="48">
        <v>5.46</v>
      </c>
      <c r="AB277" s="1798">
        <v>5.46</v>
      </c>
      <c r="AC277" s="1741">
        <v>5.46</v>
      </c>
      <c r="AD277" s="373">
        <v>5.55</v>
      </c>
      <c r="AE277" s="1518"/>
      <c r="AF277" s="1518"/>
      <c r="AG277" s="1518"/>
      <c r="BB277" s="40">
        <f t="shared" si="68"/>
        <v>0.80632767936632765</v>
      </c>
      <c r="BC277" s="1580" t="str">
        <f t="shared" si="71"/>
        <v>Lighting RES 19 Year EUL</v>
      </c>
      <c r="BD277" s="98">
        <f>(INDEX('Avoided Cost Benefits'!$E$4:$E$859,MATCH(BC277,'Avoided Cost Benefits'!$A$4:$A$859,0)))*F277</f>
        <v>3.1507282610444509</v>
      </c>
      <c r="BE277" s="1581">
        <f t="shared" si="72"/>
        <v>3.9075035394053792</v>
      </c>
    </row>
    <row r="278" spans="3:57" x14ac:dyDescent="0.35">
      <c r="C278" s="50" t="s">
        <v>2337</v>
      </c>
      <c r="D278" s="395" t="s">
        <v>2254</v>
      </c>
      <c r="E278" s="2333" t="s">
        <v>65</v>
      </c>
      <c r="F278" s="373">
        <f t="shared" si="69"/>
        <v>43.59</v>
      </c>
      <c r="G278" s="294" t="s">
        <v>53</v>
      </c>
      <c r="H278" s="136">
        <f>VLOOKUP(G278,'CP FACTORS'!$A$3:$B$38, 2, FALSE)</f>
        <v>1.4925290000000001E-4</v>
      </c>
      <c r="I278" s="294" t="s">
        <v>54</v>
      </c>
      <c r="J278" s="136">
        <f>VLOOKUP(I278,'CP FACTORS'!$A$3:$B$38, 2, FALSE)</f>
        <v>1.899635E-4</v>
      </c>
      <c r="K278" s="100">
        <f t="shared" si="65"/>
        <v>43.591296955061814</v>
      </c>
      <c r="L278" s="2270">
        <f t="shared" si="66"/>
        <v>0</v>
      </c>
      <c r="M278" s="2732">
        <f>ROUND(((K278/F278)*H278+(L278/F278)*J278)*F278,6)</f>
        <v>6.5059999999999996E-3</v>
      </c>
      <c r="N278" s="92">
        <v>19</v>
      </c>
      <c r="O278" s="92">
        <f t="shared" si="67"/>
        <v>5.9683676514473287</v>
      </c>
      <c r="P278" s="1014">
        <v>4.1399999999999997</v>
      </c>
      <c r="Q278" s="2129" t="s">
        <v>184</v>
      </c>
      <c r="V278" s="1592" t="s">
        <v>30</v>
      </c>
      <c r="W278" s="1518">
        <v>42.870911824199645</v>
      </c>
      <c r="X278" s="1518">
        <v>42.870911824199645</v>
      </c>
      <c r="Y278" s="48">
        <v>42.87</v>
      </c>
      <c r="Z278" s="48">
        <v>42.87</v>
      </c>
      <c r="AA278" s="48">
        <v>42.87</v>
      </c>
      <c r="AB278" s="1798">
        <v>42.87</v>
      </c>
      <c r="AC278" s="1741">
        <v>42.87</v>
      </c>
      <c r="AD278" s="373">
        <v>43.59</v>
      </c>
      <c r="AE278" s="1518"/>
      <c r="AF278" s="1518"/>
      <c r="AG278" s="1518"/>
      <c r="BB278" s="40">
        <f t="shared" si="68"/>
        <v>6.3329411790231038</v>
      </c>
      <c r="BC278" s="1580" t="str">
        <f t="shared" si="71"/>
        <v>Lighting RES 19 Year EUL</v>
      </c>
      <c r="BD278" s="98">
        <f>(INDEX('Avoided Cost Benefits'!$E$4:$E$859,MATCH(BC278,'Avoided Cost Benefits'!$A$4:$A$859,0)))*F278</f>
        <v>24.745990071878854</v>
      </c>
      <c r="BE278" s="1581">
        <f t="shared" si="72"/>
        <v>3.9075035394053792</v>
      </c>
    </row>
    <row r="279" spans="3:57" x14ac:dyDescent="0.35">
      <c r="C279" s="50" t="s">
        <v>2338</v>
      </c>
      <c r="D279" s="395" t="s">
        <v>2254</v>
      </c>
      <c r="E279" s="2333" t="s">
        <v>2339</v>
      </c>
      <c r="F279" s="373">
        <f t="shared" si="69"/>
        <v>22.87</v>
      </c>
      <c r="G279" s="294" t="s">
        <v>53</v>
      </c>
      <c r="H279" s="136">
        <f>VLOOKUP(G279,'CP FACTORS'!$A$3:$B$38, 2, FALSE)</f>
        <v>1.4925290000000001E-4</v>
      </c>
      <c r="I279" s="294" t="s">
        <v>54</v>
      </c>
      <c r="J279" s="136">
        <f>VLOOKUP(I279,'CP FACTORS'!$A$3:$B$38, 2, FALSE)</f>
        <v>1.899635E-4</v>
      </c>
      <c r="K279" s="100">
        <f t="shared" si="65"/>
        <v>22.869920889382243</v>
      </c>
      <c r="L279" s="2270">
        <f t="shared" si="66"/>
        <v>0</v>
      </c>
      <c r="M279" s="2732">
        <f t="shared" si="70"/>
        <v>3.4129999999999998E-3</v>
      </c>
      <c r="N279" s="92">
        <v>19</v>
      </c>
      <c r="O279" s="92">
        <f t="shared" si="67"/>
        <v>5.9683676514473287</v>
      </c>
      <c r="P279" s="1014">
        <v>4.72</v>
      </c>
      <c r="Q279" s="2129" t="s">
        <v>184</v>
      </c>
      <c r="V279" s="1592" t="s">
        <v>30</v>
      </c>
      <c r="W279" s="1518">
        <v>27.938347031500896</v>
      </c>
      <c r="X279" s="1518">
        <v>22.491975012486467</v>
      </c>
      <c r="Y279" s="48">
        <v>22.49</v>
      </c>
      <c r="Z279" s="48">
        <v>22.49</v>
      </c>
      <c r="AA279" s="48">
        <v>22.49</v>
      </c>
      <c r="AB279" s="1798">
        <v>22.49</v>
      </c>
      <c r="AC279" s="1741">
        <v>22.49</v>
      </c>
      <c r="AD279" s="373">
        <v>22.87</v>
      </c>
      <c r="AE279" s="1518"/>
      <c r="AF279" s="1518"/>
      <c r="AG279" s="1518"/>
      <c r="BB279" s="40">
        <f t="shared" si="68"/>
        <v>2.9143592942520526</v>
      </c>
      <c r="BC279" s="1580" t="str">
        <f t="shared" si="71"/>
        <v>Lighting RES 19 Year EUL</v>
      </c>
      <c r="BD279" s="98">
        <f>(INDEX('Avoided Cost Benefits'!$E$4:$E$859,MATCH(BC279,'Avoided Cost Benefits'!$A$4:$A$859,0)))*F279</f>
        <v>12.983271230646235</v>
      </c>
      <c r="BE279" s="1581">
        <f t="shared" si="72"/>
        <v>4.4549315714959876</v>
      </c>
    </row>
    <row r="280" spans="3:57" x14ac:dyDescent="0.35">
      <c r="C280" s="50" t="s">
        <v>2340</v>
      </c>
      <c r="D280" s="395" t="s">
        <v>2254</v>
      </c>
      <c r="E280" s="2333" t="s">
        <v>2341</v>
      </c>
      <c r="F280" s="373">
        <f t="shared" si="69"/>
        <v>5.55</v>
      </c>
      <c r="G280" s="294" t="s">
        <v>53</v>
      </c>
      <c r="H280" s="136">
        <f>VLOOKUP(G280,'CP FACTORS'!$A$3:$B$38, 2, FALSE)</f>
        <v>1.4925290000000001E-4</v>
      </c>
      <c r="I280" s="294" t="s">
        <v>54</v>
      </c>
      <c r="J280" s="136">
        <f>VLOOKUP(I280,'CP FACTORS'!$A$3:$B$38, 2, FALSE)</f>
        <v>1.899635E-4</v>
      </c>
      <c r="K280" s="100">
        <f t="shared" si="65"/>
        <v>5.5509516721801564</v>
      </c>
      <c r="L280" s="2270">
        <f t="shared" si="66"/>
        <v>0</v>
      </c>
      <c r="M280" s="2732">
        <f t="shared" si="70"/>
        <v>8.2799999999999996E-4</v>
      </c>
      <c r="N280" s="92">
        <v>19</v>
      </c>
      <c r="O280" s="92">
        <f t="shared" si="67"/>
        <v>5.9683676514473287</v>
      </c>
      <c r="P280" s="1014">
        <v>4.72</v>
      </c>
      <c r="Q280" s="2129" t="s">
        <v>184</v>
      </c>
      <c r="V280" s="1592" t="s">
        <v>30</v>
      </c>
      <c r="W280" s="1518">
        <v>5.4592172360404048</v>
      </c>
      <c r="X280" s="1518">
        <v>5.4592172360404048</v>
      </c>
      <c r="Y280" s="48">
        <v>5.46</v>
      </c>
      <c r="Z280" s="48">
        <v>5.46</v>
      </c>
      <c r="AA280" s="48">
        <v>5.46</v>
      </c>
      <c r="AB280" s="1798">
        <v>5.46</v>
      </c>
      <c r="AC280" s="1741">
        <v>5.46</v>
      </c>
      <c r="AD280" s="373">
        <v>5.55</v>
      </c>
      <c r="AE280" s="1518"/>
      <c r="AF280" s="1518"/>
      <c r="AG280" s="1518"/>
      <c r="BB280" s="40">
        <f t="shared" si="68"/>
        <v>0.7072450408001264</v>
      </c>
      <c r="BC280" s="1580" t="str">
        <f t="shared" si="71"/>
        <v>Lighting RES 19 Year EUL</v>
      </c>
      <c r="BD280" s="98">
        <f>(INDEX('Avoided Cost Benefits'!$E$4:$E$859,MATCH(BC280,'Avoided Cost Benefits'!$A$4:$A$859,0)))*F280</f>
        <v>3.1507282610444509</v>
      </c>
      <c r="BE280" s="1581">
        <f t="shared" si="72"/>
        <v>4.4549315714959876</v>
      </c>
    </row>
    <row r="281" spans="3:57" x14ac:dyDescent="0.35">
      <c r="C281" s="50" t="s">
        <v>2342</v>
      </c>
      <c r="D281" s="395" t="s">
        <v>2254</v>
      </c>
      <c r="E281" s="2333" t="s">
        <v>67</v>
      </c>
      <c r="F281" s="373">
        <f t="shared" si="69"/>
        <v>27.69</v>
      </c>
      <c r="G281" s="294" t="s">
        <v>53</v>
      </c>
      <c r="H281" s="136">
        <f>VLOOKUP(G281,'CP FACTORS'!$A$3:$B$38, 2, FALSE)</f>
        <v>1.4925290000000001E-4</v>
      </c>
      <c r="I281" s="294" t="s">
        <v>54</v>
      </c>
      <c r="J281" s="136">
        <f>VLOOKUP(I281,'CP FACTORS'!$A$3:$B$38, 2, FALSE)</f>
        <v>1.899635E-4</v>
      </c>
      <c r="K281" s="100">
        <f t="shared" si="65"/>
        <v>27.689453047110426</v>
      </c>
      <c r="L281" s="2270">
        <f t="shared" si="66"/>
        <v>0</v>
      </c>
      <c r="M281" s="2732">
        <f>ROUND(((K281/F281)*H281+(L281/F281)*J281)*F281,6)</f>
        <v>4.1330000000000004E-3</v>
      </c>
      <c r="N281" s="92">
        <v>19</v>
      </c>
      <c r="O281" s="92">
        <f t="shared" si="67"/>
        <v>5.9683676514473287</v>
      </c>
      <c r="P281" s="1014">
        <v>6.27</v>
      </c>
      <c r="Q281" s="2129" t="s">
        <v>184</v>
      </c>
      <c r="V281" s="1592" t="s">
        <v>30</v>
      </c>
      <c r="W281" s="1518">
        <v>27.231860095072133</v>
      </c>
      <c r="X281" s="1518">
        <v>27.231860095072133</v>
      </c>
      <c r="Y281" s="48">
        <v>27.23</v>
      </c>
      <c r="Z281" s="48">
        <v>27.23</v>
      </c>
      <c r="AA281" s="48">
        <v>27.23</v>
      </c>
      <c r="AB281" s="1798">
        <v>27.23</v>
      </c>
      <c r="AC281" s="1741">
        <v>27.23</v>
      </c>
      <c r="AD281" s="373">
        <v>27.69</v>
      </c>
      <c r="AE281" s="1518"/>
      <c r="AF281" s="1518"/>
      <c r="AG281" s="1518"/>
      <c r="BB281" s="40">
        <f t="shared" si="68"/>
        <v>2.6562829906014906</v>
      </c>
      <c r="BC281" s="1580" t="str">
        <f t="shared" si="71"/>
        <v>Lighting RES 19 Year EUL</v>
      </c>
      <c r="BD281" s="98">
        <f>(INDEX('Avoided Cost Benefits'!$E$4:$E$859,MATCH(BC281,'Avoided Cost Benefits'!$A$4:$A$859,0)))*F281</f>
        <v>15.71957937807583</v>
      </c>
      <c r="BE281" s="1581">
        <f t="shared" si="72"/>
        <v>5.9178857951864074</v>
      </c>
    </row>
    <row r="282" spans="3:57" x14ac:dyDescent="0.35">
      <c r="C282" s="50" t="s">
        <v>2343</v>
      </c>
      <c r="D282" s="395" t="s">
        <v>2254</v>
      </c>
      <c r="E282" s="2333" t="s">
        <v>69</v>
      </c>
      <c r="F282" s="373">
        <f t="shared" si="69"/>
        <v>5.42</v>
      </c>
      <c r="G282" s="294" t="s">
        <v>53</v>
      </c>
      <c r="H282" s="136">
        <f>VLOOKUP(G282,'CP FACTORS'!$A$3:$B$38, 2, FALSE)</f>
        <v>1.4925290000000001E-4</v>
      </c>
      <c r="I282" s="294" t="s">
        <v>54</v>
      </c>
      <c r="J282" s="136">
        <f>VLOOKUP(I282,'CP FACTORS'!$A$3:$B$38, 2, FALSE)</f>
        <v>1.899635E-4</v>
      </c>
      <c r="K282" s="100">
        <f t="shared" si="65"/>
        <v>5.4203410445994455</v>
      </c>
      <c r="L282" s="2270">
        <f t="shared" si="66"/>
        <v>0</v>
      </c>
      <c r="M282" s="2732">
        <f t="shared" si="70"/>
        <v>8.0900000000000004E-4</v>
      </c>
      <c r="N282" s="92">
        <v>19</v>
      </c>
      <c r="O282" s="92">
        <f t="shared" si="67"/>
        <v>5.9683676514473287</v>
      </c>
      <c r="P282" s="1014">
        <v>6.27</v>
      </c>
      <c r="Q282" s="2129" t="s">
        <v>184</v>
      </c>
      <c r="V282" s="1592" t="s">
        <v>30</v>
      </c>
      <c r="W282" s="1518">
        <v>5.3307650657806303</v>
      </c>
      <c r="X282" s="1518">
        <v>5.3307650657806303</v>
      </c>
      <c r="Y282" s="48">
        <v>5.33</v>
      </c>
      <c r="Z282" s="48">
        <v>5.33</v>
      </c>
      <c r="AA282" s="48">
        <v>5.33</v>
      </c>
      <c r="AB282" s="1798">
        <v>5.33</v>
      </c>
      <c r="AC282" s="1741">
        <v>5.33</v>
      </c>
      <c r="AD282" s="373">
        <v>5.42</v>
      </c>
      <c r="AE282" s="1518"/>
      <c r="AF282" s="1518"/>
      <c r="AG282" s="1518"/>
      <c r="BB282" s="40">
        <f t="shared" si="68"/>
        <v>0.51993693784976802</v>
      </c>
      <c r="BC282" s="1580" t="str">
        <f t="shared" si="71"/>
        <v>Lighting RES 19 Year EUL</v>
      </c>
      <c r="BD282" s="98">
        <f>(INDEX('Avoided Cost Benefits'!$E$4:$E$859,MATCH(BC282,'Avoided Cost Benefits'!$A$4:$A$859,0)))*F282</f>
        <v>3.0769274188938605</v>
      </c>
      <c r="BE282" s="1581">
        <f t="shared" si="72"/>
        <v>5.9178857951864074</v>
      </c>
    </row>
    <row r="283" spans="3:57" x14ac:dyDescent="0.35">
      <c r="C283" s="50" t="s">
        <v>2344</v>
      </c>
      <c r="D283" s="395" t="s">
        <v>2254</v>
      </c>
      <c r="E283" s="2333" t="s">
        <v>85</v>
      </c>
      <c r="F283" s="373">
        <f t="shared" si="69"/>
        <v>37.22</v>
      </c>
      <c r="G283" s="294" t="s">
        <v>53</v>
      </c>
      <c r="H283" s="136">
        <f>VLOOKUP(G283,'CP FACTORS'!$A$3:$B$38, 2, FALSE)</f>
        <v>1.4925290000000001E-4</v>
      </c>
      <c r="I283" s="294" t="s">
        <v>54</v>
      </c>
      <c r="J283" s="136">
        <f>VLOOKUP(I283,'CP FACTORS'!$A$3:$B$38, 2, FALSE)</f>
        <v>1.899635E-4</v>
      </c>
      <c r="K283" s="100">
        <f t="shared" si="65"/>
        <v>37.224028860502223</v>
      </c>
      <c r="L283" s="2270">
        <f t="shared" si="66"/>
        <v>0</v>
      </c>
      <c r="M283" s="2732">
        <f t="shared" si="70"/>
        <v>5.5560000000000002E-3</v>
      </c>
      <c r="N283" s="92">
        <v>19</v>
      </c>
      <c r="O283" s="92">
        <f t="shared" si="67"/>
        <v>5.9683676514473287</v>
      </c>
      <c r="P283" s="1014">
        <v>7.83</v>
      </c>
      <c r="Q283" s="2129" t="s">
        <v>184</v>
      </c>
      <c r="V283" s="1592" t="s">
        <v>30</v>
      </c>
      <c r="W283" s="1518">
        <v>36.60886852403565</v>
      </c>
      <c r="X283" s="1518">
        <v>36.60886852403565</v>
      </c>
      <c r="Y283" s="48">
        <v>36.61</v>
      </c>
      <c r="Z283" s="48">
        <v>36.61</v>
      </c>
      <c r="AA283" s="48">
        <v>36.61</v>
      </c>
      <c r="AB283" s="1798">
        <v>36.61</v>
      </c>
      <c r="AC283" s="1741">
        <v>36.61</v>
      </c>
      <c r="AD283" s="373">
        <v>37.22</v>
      </c>
      <c r="AE283" s="1518"/>
      <c r="AF283" s="1518"/>
      <c r="AG283" s="1518"/>
      <c r="BB283" s="40">
        <f t="shared" si="68"/>
        <v>2.8591275683890998</v>
      </c>
      <c r="BC283" s="1580" t="str">
        <f t="shared" si="71"/>
        <v>Lighting RES 19 Year EUL</v>
      </c>
      <c r="BD283" s="98">
        <f>(INDEX('Avoided Cost Benefits'!$E$4:$E$859,MATCH(BC283,'Avoided Cost Benefits'!$A$4:$A$859,0)))*F283</f>
        <v>21.129748806499904</v>
      </c>
      <c r="BE283" s="1581">
        <f t="shared" si="72"/>
        <v>7.3902784332232176</v>
      </c>
    </row>
    <row r="284" spans="3:57" x14ac:dyDescent="0.35">
      <c r="C284" s="50" t="s">
        <v>2345</v>
      </c>
      <c r="D284" s="395" t="s">
        <v>2254</v>
      </c>
      <c r="E284" s="2333" t="s">
        <v>83</v>
      </c>
      <c r="F284" s="373">
        <f t="shared" si="69"/>
        <v>6.4</v>
      </c>
      <c r="G284" s="294" t="s">
        <v>53</v>
      </c>
      <c r="H284" s="136">
        <f>VLOOKUP(G284,'CP FACTORS'!$A$3:$B$38, 2, FALSE)</f>
        <v>1.4925290000000001E-4</v>
      </c>
      <c r="I284" s="294" t="s">
        <v>54</v>
      </c>
      <c r="J284" s="136">
        <f>VLOOKUP(I284,'CP FACTORS'!$A$3:$B$38, 2, FALSE)</f>
        <v>1.899635E-4</v>
      </c>
      <c r="K284" s="100">
        <f t="shared" si="65"/>
        <v>6.3999207514547676</v>
      </c>
      <c r="L284" s="2270">
        <f t="shared" si="66"/>
        <v>0</v>
      </c>
      <c r="M284" s="2732">
        <f>ROUND(((K284/F284)*H284+(L284/F284)*J284)*F284,6)</f>
        <v>9.5500000000000001E-4</v>
      </c>
      <c r="N284" s="92">
        <v>19</v>
      </c>
      <c r="O284" s="92">
        <f t="shared" si="67"/>
        <v>5.9683676514473287</v>
      </c>
      <c r="P284" s="1014">
        <v>7.83</v>
      </c>
      <c r="Q284" s="2129" t="s">
        <v>184</v>
      </c>
      <c r="V284" s="1592" t="s">
        <v>30</v>
      </c>
      <c r="W284" s="1518">
        <v>6.2941563427289378</v>
      </c>
      <c r="X284" s="1518">
        <v>6.2941563427289378</v>
      </c>
      <c r="Y284" s="48">
        <v>6.29</v>
      </c>
      <c r="Z284" s="48">
        <v>6.29</v>
      </c>
      <c r="AA284" s="48">
        <v>6.29</v>
      </c>
      <c r="AB284" s="1798">
        <v>6.29</v>
      </c>
      <c r="AC284" s="1741">
        <v>6.29</v>
      </c>
      <c r="AD284" s="373">
        <v>6.4</v>
      </c>
      <c r="AE284" s="1518"/>
      <c r="AF284" s="1518"/>
      <c r="AG284" s="1518"/>
      <c r="BB284" s="40">
        <f t="shared" si="68"/>
        <v>0.49162859854084473</v>
      </c>
      <c r="BC284" s="1580" t="str">
        <f t="shared" si="71"/>
        <v>Lighting RES 19 Year EUL</v>
      </c>
      <c r="BD284" s="98">
        <f>(INDEX('Avoided Cost Benefits'!$E$4:$E$859,MATCH(BC284,'Avoided Cost Benefits'!$A$4:$A$859,0)))*F284</f>
        <v>3.6332722289521602</v>
      </c>
      <c r="BE284" s="1581">
        <f t="shared" si="72"/>
        <v>7.3902784332232176</v>
      </c>
    </row>
    <row r="285" spans="3:57" x14ac:dyDescent="0.35">
      <c r="C285" s="50" t="s">
        <v>2346</v>
      </c>
      <c r="D285" s="395" t="s">
        <v>2254</v>
      </c>
      <c r="E285" s="2333" t="s">
        <v>2347</v>
      </c>
      <c r="F285" s="373">
        <f t="shared" si="69"/>
        <v>35.26</v>
      </c>
      <c r="G285" s="294" t="s">
        <v>53</v>
      </c>
      <c r="H285" s="136">
        <f>VLOOKUP(G285,'CP FACTORS'!$A$3:$B$38, 2, FALSE)</f>
        <v>1.4925290000000001E-4</v>
      </c>
      <c r="I285" s="294" t="s">
        <v>54</v>
      </c>
      <c r="J285" s="136">
        <f>VLOOKUP(I285,'CP FACTORS'!$A$3:$B$38, 2, FALSE)</f>
        <v>1.899635E-4</v>
      </c>
      <c r="K285" s="100">
        <f t="shared" si="65"/>
        <v>35.264869446791579</v>
      </c>
      <c r="L285" s="2270">
        <f t="shared" si="66"/>
        <v>0</v>
      </c>
      <c r="M285" s="2732">
        <f>ROUND(((K285/F285)*H285+(L285/F285)*J285)*F285,6)</f>
        <v>5.2630000000000003E-3</v>
      </c>
      <c r="N285" s="92">
        <v>19</v>
      </c>
      <c r="O285" s="92">
        <f t="shared" si="67"/>
        <v>5.9683676514473287</v>
      </c>
      <c r="P285" s="1014">
        <v>1.66</v>
      </c>
      <c r="Q285" s="2129" t="s">
        <v>184</v>
      </c>
      <c r="V285" s="1592" t="s">
        <v>30</v>
      </c>
      <c r="W285" s="1518"/>
      <c r="X285" s="1518"/>
      <c r="Y285" s="48"/>
      <c r="Z285" s="48"/>
      <c r="AA285" s="48"/>
      <c r="AB285" s="373">
        <v>34.68</v>
      </c>
      <c r="AC285" s="1741">
        <v>34.68</v>
      </c>
      <c r="AD285" s="373">
        <v>35.26</v>
      </c>
      <c r="AE285" s="1518"/>
      <c r="AF285" s="1518"/>
      <c r="AG285" s="1518"/>
      <c r="BB285" s="40">
        <f t="shared" ref="BB285:BB290" si="73">(BD285)/(BE285)</f>
        <v>12.775948318056091</v>
      </c>
      <c r="BC285" s="1580" t="str">
        <f t="shared" ref="BC285:BC290" si="74">CONCATENATE(G285," ",N285," Year EUL")</f>
        <v>Lighting RES 19 Year EUL</v>
      </c>
      <c r="BD285" s="98">
        <f>(INDEX('Avoided Cost Benefits'!$E$4:$E$859,MATCH(BC285,'Avoided Cost Benefits'!$A$4:$A$859,0)))*F285</f>
        <v>20.017059186383303</v>
      </c>
      <c r="BE285" s="1581">
        <f t="shared" ref="BE285:BE289" si="75">P285/(1.0595^(2020-2019))</f>
        <v>1.5667767815007076</v>
      </c>
    </row>
    <row r="286" spans="3:57" x14ac:dyDescent="0.35">
      <c r="C286" s="50" t="s">
        <v>2348</v>
      </c>
      <c r="D286" s="395" t="s">
        <v>2254</v>
      </c>
      <c r="E286" s="2333" t="s">
        <v>71</v>
      </c>
      <c r="F286" s="373">
        <f t="shared" si="69"/>
        <v>5.15</v>
      </c>
      <c r="G286" s="294" t="s">
        <v>53</v>
      </c>
      <c r="H286" s="136">
        <f>VLOOKUP(G286,'CP FACTORS'!$A$3:$B$38, 2, FALSE)</f>
        <v>1.4925290000000001E-4</v>
      </c>
      <c r="I286" s="294" t="s">
        <v>54</v>
      </c>
      <c r="J286" s="136">
        <f>VLOOKUP(I286,'CP FACTORS'!$A$3:$B$38, 2, FALSE)</f>
        <v>1.899635E-4</v>
      </c>
      <c r="K286" s="100">
        <f t="shared" si="65"/>
        <v>5.151863643461323</v>
      </c>
      <c r="L286" s="2270">
        <f t="shared" si="66"/>
        <v>0</v>
      </c>
      <c r="M286" s="2732">
        <f>ROUND(((K286/F286)*H286+(L286/F286)*J286)*F286,6)</f>
        <v>7.6900000000000004E-4</v>
      </c>
      <c r="N286" s="92">
        <v>19</v>
      </c>
      <c r="O286" s="92">
        <f t="shared" si="67"/>
        <v>5.9683676514473287</v>
      </c>
      <c r="P286" s="1014">
        <v>1.66</v>
      </c>
      <c r="Q286" s="2129" t="s">
        <v>184</v>
      </c>
      <c r="V286" s="1592" t="s">
        <v>30</v>
      </c>
      <c r="W286" s="1518"/>
      <c r="X286" s="1518"/>
      <c r="Y286" s="48"/>
      <c r="Z286" s="48"/>
      <c r="AA286" s="48"/>
      <c r="AB286" s="373">
        <v>5.07</v>
      </c>
      <c r="AC286" s="1741">
        <v>5.07</v>
      </c>
      <c r="AD286" s="373">
        <v>5.15</v>
      </c>
      <c r="AE286" s="1518"/>
      <c r="AF286" s="1518"/>
      <c r="AG286" s="1518"/>
      <c r="BB286" s="40">
        <f t="shared" si="73"/>
        <v>1.8660276187745006</v>
      </c>
      <c r="BC286" s="1580" t="str">
        <f t="shared" si="74"/>
        <v>Lighting RES 19 Year EUL</v>
      </c>
      <c r="BD286" s="98">
        <f>(INDEX('Avoided Cost Benefits'!$E$4:$E$859,MATCH(BC286,'Avoided Cost Benefits'!$A$4:$A$859,0)))*F286</f>
        <v>2.9236487467349415</v>
      </c>
      <c r="BE286" s="1581">
        <f t="shared" si="75"/>
        <v>1.5667767815007076</v>
      </c>
    </row>
    <row r="287" spans="3:57" x14ac:dyDescent="0.35">
      <c r="C287" s="50" t="s">
        <v>2349</v>
      </c>
      <c r="D287" s="395" t="s">
        <v>2254</v>
      </c>
      <c r="E287" s="2333" t="s">
        <v>77</v>
      </c>
      <c r="F287" s="373">
        <f t="shared" si="69"/>
        <v>32.85</v>
      </c>
      <c r="G287" s="294" t="s">
        <v>53</v>
      </c>
      <c r="H287" s="136">
        <f>VLOOKUP(G287,'CP FACTORS'!$A$3:$B$38, 2, FALSE)</f>
        <v>1.4925290000000001E-4</v>
      </c>
      <c r="I287" s="294" t="s">
        <v>54</v>
      </c>
      <c r="J287" s="136">
        <f>VLOOKUP(I287,'CP FACTORS'!$A$3:$B$38, 2, FALSE)</f>
        <v>1.899635E-4</v>
      </c>
      <c r="K287" s="100">
        <f t="shared" si="65"/>
        <v>32.848572836548456</v>
      </c>
      <c r="L287" s="2270">
        <f t="shared" si="66"/>
        <v>0</v>
      </c>
      <c r="M287" s="2732">
        <f t="shared" si="70"/>
        <v>4.9030000000000002E-3</v>
      </c>
      <c r="N287" s="92">
        <v>19</v>
      </c>
      <c r="O287" s="92">
        <f t="shared" si="67"/>
        <v>5.9683676514473287</v>
      </c>
      <c r="P287" s="1014">
        <v>3.05</v>
      </c>
      <c r="Q287" s="2129" t="s">
        <v>184</v>
      </c>
      <c r="V287" s="1592" t="s">
        <v>30</v>
      </c>
      <c r="W287" s="1518">
        <v>32.691077331112538</v>
      </c>
      <c r="X287" s="1518">
        <v>32.305720820333214</v>
      </c>
      <c r="Y287" s="48">
        <v>32.31</v>
      </c>
      <c r="Z287" s="48">
        <v>32.31</v>
      </c>
      <c r="AA287" s="48">
        <v>32.31</v>
      </c>
      <c r="AB287" s="1798">
        <v>32.31</v>
      </c>
      <c r="AC287" s="1741">
        <v>32.31</v>
      </c>
      <c r="AD287" s="373">
        <v>32.85</v>
      </c>
      <c r="AE287" s="1518"/>
      <c r="AF287" s="1518"/>
      <c r="AG287" s="1518"/>
      <c r="BB287" s="40">
        <f t="shared" si="73"/>
        <v>6.4782016284827177</v>
      </c>
      <c r="BC287" s="1580" t="str">
        <f t="shared" si="74"/>
        <v>Lighting RES 19 Year EUL</v>
      </c>
      <c r="BD287" s="98">
        <f>(INDEX('Avoided Cost Benefits'!$E$4:$E$859,MATCH(BC287,'Avoided Cost Benefits'!$A$4:$A$859,0)))*F287</f>
        <v>18.648905112668508</v>
      </c>
      <c r="BE287" s="1581">
        <f t="shared" si="75"/>
        <v>2.8787163756488905</v>
      </c>
    </row>
    <row r="288" spans="3:57" x14ac:dyDescent="0.35">
      <c r="C288" s="50" t="s">
        <v>2350</v>
      </c>
      <c r="D288" s="395" t="s">
        <v>2254</v>
      </c>
      <c r="E288" s="2333" t="s">
        <v>75</v>
      </c>
      <c r="F288" s="373">
        <f t="shared" si="69"/>
        <v>3.13</v>
      </c>
      <c r="G288" s="294" t="s">
        <v>53</v>
      </c>
      <c r="H288" s="136">
        <f>VLOOKUP(G288,'CP FACTORS'!$A$3:$B$38, 2, FALSE)</f>
        <v>1.4925290000000001E-4</v>
      </c>
      <c r="I288" s="294" t="s">
        <v>54</v>
      </c>
      <c r="J288" s="136">
        <f>VLOOKUP(I288,'CP FACTORS'!$A$3:$B$38, 2, FALSE)</f>
        <v>1.899635E-4</v>
      </c>
      <c r="K288" s="100">
        <f t="shared" si="65"/>
        <v>3.1346550619370301</v>
      </c>
      <c r="L288" s="2270">
        <f t="shared" si="66"/>
        <v>0</v>
      </c>
      <c r="M288" s="2732">
        <f t="shared" si="70"/>
        <v>4.6799999999999999E-4</v>
      </c>
      <c r="N288" s="92">
        <v>19</v>
      </c>
      <c r="O288" s="92">
        <f t="shared" si="67"/>
        <v>5.9683676514473287</v>
      </c>
      <c r="P288" s="1014">
        <v>3.05</v>
      </c>
      <c r="Q288" s="2129" t="s">
        <v>184</v>
      </c>
      <c r="V288" s="1592" t="s">
        <v>30</v>
      </c>
      <c r="W288" s="1518">
        <v>3.0828520862345816</v>
      </c>
      <c r="X288" s="1518">
        <v>3.0828520862345816</v>
      </c>
      <c r="Y288" s="48">
        <v>3.08</v>
      </c>
      <c r="Z288" s="48">
        <v>3.08</v>
      </c>
      <c r="AA288" s="48">
        <v>3.08</v>
      </c>
      <c r="AB288" s="1798">
        <v>3.08</v>
      </c>
      <c r="AC288" s="1741">
        <v>3.08</v>
      </c>
      <c r="AD288" s="373">
        <v>3.13</v>
      </c>
      <c r="AE288" s="1518"/>
      <c r="AF288" s="1518"/>
      <c r="AG288" s="1518"/>
      <c r="BB288" s="40">
        <f t="shared" si="73"/>
        <v>0.61725330584934257</v>
      </c>
      <c r="BC288" s="1580" t="str">
        <f t="shared" si="74"/>
        <v>Lighting RES 19 Year EUL</v>
      </c>
      <c r="BD288" s="98">
        <f>(INDEX('Avoided Cost Benefits'!$E$4:$E$859,MATCH(BC288,'Avoided Cost Benefits'!$A$4:$A$859,0)))*F288</f>
        <v>1.7768971994719156</v>
      </c>
      <c r="BE288" s="1581">
        <f t="shared" si="75"/>
        <v>2.8787163756488905</v>
      </c>
    </row>
    <row r="289" spans="3:57" x14ac:dyDescent="0.35">
      <c r="C289" s="50" t="s">
        <v>2351</v>
      </c>
      <c r="D289" s="395" t="s">
        <v>2254</v>
      </c>
      <c r="E289" s="2333" t="s">
        <v>2352</v>
      </c>
      <c r="F289" s="373">
        <f t="shared" si="69"/>
        <v>15.02</v>
      </c>
      <c r="G289" s="294" t="s">
        <v>53</v>
      </c>
      <c r="H289" s="136">
        <f>VLOOKUP(G289,'CP FACTORS'!$A$3:$B$38, 2, FALSE)</f>
        <v>1.4925290000000001E-4</v>
      </c>
      <c r="I289" s="294" t="s">
        <v>54</v>
      </c>
      <c r="J289" s="136">
        <f>VLOOKUP(I289,'CP FACTORS'!$A$3:$B$38, 2, FALSE)</f>
        <v>1.899635E-4</v>
      </c>
      <c r="K289" s="100">
        <f t="shared" si="65"/>
        <v>15.020222171781599</v>
      </c>
      <c r="L289" s="2270">
        <f t="shared" si="66"/>
        <v>0</v>
      </c>
      <c r="M289" s="2732">
        <f t="shared" si="70"/>
        <v>2.2420000000000001E-3</v>
      </c>
      <c r="N289" s="92">
        <v>19</v>
      </c>
      <c r="O289" s="92">
        <f t="shared" si="67"/>
        <v>5.9683676514473287</v>
      </c>
      <c r="P289" s="1014">
        <v>2.0299999999999998</v>
      </c>
      <c r="Q289" s="2129" t="s">
        <v>184</v>
      </c>
      <c r="V289" s="1592" t="s">
        <v>30</v>
      </c>
      <c r="W289" s="1518"/>
      <c r="X289" s="1518"/>
      <c r="Y289" s="48"/>
      <c r="Z289" s="48"/>
      <c r="AA289" s="48"/>
      <c r="AB289" s="373">
        <v>14.77</v>
      </c>
      <c r="AC289" s="1741">
        <v>14.77</v>
      </c>
      <c r="AD289" s="373">
        <v>15.02</v>
      </c>
      <c r="AE289" s="1518"/>
      <c r="AF289" s="1518"/>
      <c r="AG289" s="1518"/>
      <c r="BB289" s="40">
        <f t="shared" si="73"/>
        <v>4.450336202059245</v>
      </c>
      <c r="BC289" s="1580" t="str">
        <f t="shared" si="74"/>
        <v>Lighting RES 19 Year EUL</v>
      </c>
      <c r="BD289" s="98">
        <f>(INDEX('Avoided Cost Benefits'!$E$4:$E$859,MATCH(BC289,'Avoided Cost Benefits'!$A$4:$A$859,0)))*F289</f>
        <v>8.5268357623221007</v>
      </c>
      <c r="BE289" s="1581">
        <f t="shared" si="75"/>
        <v>1.9159981123171304</v>
      </c>
    </row>
    <row r="290" spans="3:57" x14ac:dyDescent="0.35">
      <c r="C290" s="50" t="s">
        <v>2353</v>
      </c>
      <c r="D290" s="395" t="s">
        <v>2254</v>
      </c>
      <c r="E290" s="2333" t="s">
        <v>2354</v>
      </c>
      <c r="F290" s="373">
        <f t="shared" ref="F290:F291" si="76">ROUND(K290+L290,2)</f>
        <v>3.77</v>
      </c>
      <c r="G290" s="294" t="s">
        <v>53</v>
      </c>
      <c r="H290" s="136">
        <f>VLOOKUP(G290,'CP FACTORS'!$A$3:$B$38, 2, FALSE)</f>
        <v>1.4925290000000001E-4</v>
      </c>
      <c r="I290" s="294" t="s">
        <v>54</v>
      </c>
      <c r="J290" s="136">
        <f>VLOOKUP(I290,'CP FACTORS'!$A$3:$B$38, 2, FALSE)</f>
        <v>1.899635E-4</v>
      </c>
      <c r="K290" s="100">
        <f t="shared" ref="K290" si="77">(((F319-F336)*$F$338*(1-$F$339)*$F$340*$F$342/1000)*$F$346)</f>
        <v>3.7659397619104591</v>
      </c>
      <c r="L290" s="2270">
        <f t="shared" ref="L290" si="78">(((F319-F336)*$F$338*(1-$F$339)*$F$343*$F$345/1000)*(1-$F$346))</f>
        <v>0</v>
      </c>
      <c r="M290" s="2732">
        <f t="shared" ref="M290:M291" si="79">ROUND(((K290/F290)*H290+(L290/F290)*J290)*F290,6)</f>
        <v>5.62E-4</v>
      </c>
      <c r="N290" s="92">
        <v>19</v>
      </c>
      <c r="O290" s="92">
        <f t="shared" si="67"/>
        <v>5.9683676514473287</v>
      </c>
      <c r="P290" s="1014">
        <v>2.0299999999999998</v>
      </c>
      <c r="Q290" s="2129" t="s">
        <v>184</v>
      </c>
      <c r="V290" s="1592" t="s">
        <v>30</v>
      </c>
      <c r="W290" s="1518"/>
      <c r="X290" s="1518"/>
      <c r="Y290" s="48"/>
      <c r="Z290" s="48"/>
      <c r="AA290" s="48"/>
      <c r="AB290" s="373"/>
      <c r="AC290" s="373">
        <v>3.7</v>
      </c>
      <c r="AD290" s="373">
        <v>3.77</v>
      </c>
      <c r="AE290" s="1518"/>
      <c r="AF290" s="1518"/>
      <c r="AG290" s="1518"/>
      <c r="BB290" s="40">
        <f t="shared" si="73"/>
        <v>1.1170284608364416</v>
      </c>
      <c r="BC290" s="1580" t="str">
        <f t="shared" si="74"/>
        <v>Lighting RES 19 Year EUL</v>
      </c>
      <c r="BD290" s="98">
        <f>(INDEX('Avoided Cost Benefits'!$E$4:$E$859,MATCH(BC290,'Avoided Cost Benefits'!$A$4:$A$859,0)))*F290</f>
        <v>2.1402244223671318</v>
      </c>
      <c r="BE290" s="1581">
        <f t="shared" ref="BE290" si="80">P290/(1.0595^(2020-2019))</f>
        <v>1.9159981123171304</v>
      </c>
    </row>
    <row r="291" spans="3:57" x14ac:dyDescent="0.35">
      <c r="C291" s="50" t="s">
        <v>2005</v>
      </c>
      <c r="D291" s="395" t="s">
        <v>2254</v>
      </c>
      <c r="E291" s="2398" t="s">
        <v>104</v>
      </c>
      <c r="F291" s="373">
        <f t="shared" si="76"/>
        <v>27.63</v>
      </c>
      <c r="G291" s="294" t="s">
        <v>53</v>
      </c>
      <c r="H291" s="136">
        <f>VLOOKUP(G291,'CP FACTORS'!$A$3:$B$38, 2, FALSE)</f>
        <v>1.4925290000000001E-4</v>
      </c>
      <c r="I291" s="294" t="s">
        <v>54</v>
      </c>
      <c r="J291" s="136">
        <f>VLOOKUP(I291,'CP FACTORS'!$A$3:$B$38, 2, FALSE)</f>
        <v>1.899635E-4</v>
      </c>
      <c r="K291" s="100">
        <f>(((F320-F337)*$F$338*(1-$F$339)*$F$341*$F$342/1000)*$F$346)</f>
        <v>27.634459098655388</v>
      </c>
      <c r="L291" s="2270">
        <f>(((F320-F337)*$F$338*(1-$F$339)*$F$344*$F$345/1000)*(1-$F$346))</f>
        <v>0</v>
      </c>
      <c r="M291" s="2732">
        <f t="shared" si="79"/>
        <v>4.1250000000000002E-3</v>
      </c>
      <c r="N291" s="92">
        <v>19</v>
      </c>
      <c r="O291" s="92">
        <f t="shared" si="67"/>
        <v>5.9683676514473287</v>
      </c>
      <c r="P291" s="1014">
        <v>3.35</v>
      </c>
      <c r="Q291" s="2129" t="s">
        <v>184</v>
      </c>
      <c r="V291" s="1592" t="s">
        <v>30</v>
      </c>
      <c r="W291" s="1518">
        <v>22</v>
      </c>
      <c r="X291" s="1518">
        <v>22</v>
      </c>
      <c r="Y291" s="48">
        <v>22</v>
      </c>
      <c r="Z291" s="48">
        <v>22</v>
      </c>
      <c r="AA291" s="48">
        <v>22</v>
      </c>
      <c r="AB291" s="1798">
        <v>22</v>
      </c>
      <c r="AC291" s="373">
        <v>27.18</v>
      </c>
      <c r="AD291" s="373">
        <v>27.63</v>
      </c>
      <c r="AE291" s="1518"/>
      <c r="AF291" s="1518"/>
      <c r="AG291" s="1518"/>
      <c r="BB291" s="41">
        <f t="shared" si="68"/>
        <v>4.9608375341073732</v>
      </c>
      <c r="BC291" s="1580" t="str">
        <f t="shared" si="71"/>
        <v>Lighting RES 19 Year EUL</v>
      </c>
      <c r="BD291" s="102">
        <f>(INDEX('Avoided Cost Benefits'!$E$4:$E$859,MATCH(BC291,'Avoided Cost Benefits'!$A$4:$A$859,0)))*F291</f>
        <v>15.685517450929401</v>
      </c>
      <c r="BE291" s="1582">
        <f t="shared" si="72"/>
        <v>3.1618688060405851</v>
      </c>
    </row>
    <row r="292" spans="3:57" hidden="1" outlineLevel="1" x14ac:dyDescent="0.35">
      <c r="E292" s="942"/>
      <c r="G292" s="944"/>
      <c r="H292" s="1036"/>
      <c r="I292" s="1460"/>
      <c r="J292" s="106" t="s">
        <v>106</v>
      </c>
      <c r="L292" s="1426"/>
    </row>
    <row r="293" spans="3:57" hidden="1" outlineLevel="1" x14ac:dyDescent="0.35">
      <c r="E293" s="415" t="s">
        <v>2355</v>
      </c>
      <c r="L293" s="1426"/>
    </row>
    <row r="294" spans="3:57" hidden="1" outlineLevel="1" x14ac:dyDescent="0.35">
      <c r="L294" s="1426"/>
    </row>
    <row r="295" spans="3:57" hidden="1" outlineLevel="1" x14ac:dyDescent="0.35">
      <c r="L295" s="1426"/>
    </row>
    <row r="296" spans="3:57" hidden="1" outlineLevel="1" x14ac:dyDescent="0.35">
      <c r="L296" s="1426"/>
    </row>
    <row r="297" spans="3:57" hidden="1" outlineLevel="1" x14ac:dyDescent="0.35">
      <c r="L297" s="1426"/>
    </row>
    <row r="298" spans="3:57" hidden="1" outlineLevel="1" x14ac:dyDescent="0.35">
      <c r="L298" s="1426"/>
    </row>
    <row r="299" spans="3:57" hidden="1" outlineLevel="1" x14ac:dyDescent="0.35">
      <c r="L299" s="1426"/>
    </row>
    <row r="300" spans="3:57" hidden="1" outlineLevel="1" x14ac:dyDescent="0.35"/>
    <row r="301" spans="3:57" hidden="1" outlineLevel="1" x14ac:dyDescent="0.35"/>
    <row r="302" spans="3:57" hidden="1" outlineLevel="1" x14ac:dyDescent="0.35"/>
    <row r="303" spans="3:57" hidden="1" outlineLevel="1" x14ac:dyDescent="0.35">
      <c r="D303" s="949" t="s">
        <v>109</v>
      </c>
      <c r="E303" s="949" t="s">
        <v>110</v>
      </c>
      <c r="F303" s="2399" t="s">
        <v>111</v>
      </c>
      <c r="G303" s="4414" t="s">
        <v>112</v>
      </c>
      <c r="H303" s="4414"/>
      <c r="V303" s="1572" t="s">
        <v>44</v>
      </c>
      <c r="W303" s="1573">
        <f>W$6</f>
        <v>43252</v>
      </c>
      <c r="X303" s="1573">
        <f t="shared" ref="X303:AG303" si="81">X$6</f>
        <v>43465</v>
      </c>
      <c r="Y303" s="1573">
        <f t="shared" si="81"/>
        <v>43800</v>
      </c>
      <c r="Z303" s="1573">
        <f t="shared" si="81"/>
        <v>43862</v>
      </c>
      <c r="AA303" s="316">
        <f t="shared" si="81"/>
        <v>44013</v>
      </c>
      <c r="AB303" s="316">
        <f t="shared" si="81"/>
        <v>44166</v>
      </c>
      <c r="AC303" s="1573">
        <f t="shared" si="81"/>
        <v>44531</v>
      </c>
      <c r="AD303" s="1573">
        <f t="shared" si="81"/>
        <v>44774</v>
      </c>
      <c r="AE303" s="1573" t="str">
        <f t="shared" si="81"/>
        <v>-</v>
      </c>
      <c r="AF303" s="1573" t="str">
        <f t="shared" si="81"/>
        <v>-</v>
      </c>
      <c r="AG303" s="1573" t="str">
        <f t="shared" si="81"/>
        <v>-</v>
      </c>
    </row>
    <row r="304" spans="3:57" ht="15" hidden="1" customHeight="1" outlineLevel="1" x14ac:dyDescent="0.35">
      <c r="D304" s="4230" t="s">
        <v>2006</v>
      </c>
      <c r="E304" s="2398" t="str">
        <f t="shared" ref="E304:E313" si="82">E275</f>
        <v>LED - 10W (CFL baseline) (750-1049 lumens)</v>
      </c>
      <c r="F304" s="49">
        <v>13.4</v>
      </c>
      <c r="G304" s="4476"/>
      <c r="H304" s="4476"/>
      <c r="V304" s="4246" t="str">
        <f>D304</f>
        <v>Watt Base</v>
      </c>
      <c r="W304" s="48">
        <v>13.4</v>
      </c>
      <c r="X304" s="48">
        <v>13.4</v>
      </c>
      <c r="Y304" s="49">
        <v>13.4</v>
      </c>
      <c r="Z304" s="49">
        <v>13.4</v>
      </c>
      <c r="AA304" s="49">
        <v>13.4</v>
      </c>
      <c r="AB304" s="49">
        <v>13.4</v>
      </c>
      <c r="AC304" s="49">
        <v>13.4</v>
      </c>
      <c r="AD304" s="49">
        <v>13.4</v>
      </c>
      <c r="AE304" s="48"/>
      <c r="AF304" s="48"/>
      <c r="AG304" s="48"/>
    </row>
    <row r="305" spans="4:33" ht="15" hidden="1" customHeight="1" outlineLevel="1" x14ac:dyDescent="0.35">
      <c r="D305" s="4231"/>
      <c r="E305" s="2398" t="str">
        <f t="shared" si="82"/>
        <v>LED - 10W (Halogen baseline) (750-1049 lumens)</v>
      </c>
      <c r="F305" s="49">
        <v>43</v>
      </c>
      <c r="G305" s="4474" t="s">
        <v>122</v>
      </c>
      <c r="H305" s="4474"/>
      <c r="V305" s="4267"/>
      <c r="W305" s="48">
        <v>41.32</v>
      </c>
      <c r="X305" s="48">
        <v>41.32</v>
      </c>
      <c r="Y305" s="49">
        <v>41.32</v>
      </c>
      <c r="Z305" s="49">
        <v>41.32</v>
      </c>
      <c r="AA305" s="49">
        <v>41.32</v>
      </c>
      <c r="AB305" s="322">
        <v>43</v>
      </c>
      <c r="AC305" s="49">
        <v>43</v>
      </c>
      <c r="AD305" s="49">
        <v>43</v>
      </c>
      <c r="AE305" s="48"/>
      <c r="AF305" s="48"/>
      <c r="AG305" s="48"/>
    </row>
    <row r="306" spans="4:33" ht="15" hidden="1" customHeight="1" outlineLevel="1" x14ac:dyDescent="0.35">
      <c r="D306" s="4231"/>
      <c r="E306" s="2398" t="str">
        <f t="shared" si="82"/>
        <v>LED - 12W Dimmable Light Bulb (Replacing CFL)</v>
      </c>
      <c r="F306" s="49">
        <v>18</v>
      </c>
      <c r="G306" s="4476"/>
      <c r="H306" s="4476"/>
      <c r="V306" s="4267"/>
      <c r="W306" s="484">
        <f>'Lighting Deemed Table'!W48</f>
        <v>18</v>
      </c>
      <c r="X306" s="484">
        <f>'Lighting Deemed Table'!X48</f>
        <v>18</v>
      </c>
      <c r="Y306" s="52">
        <v>18</v>
      </c>
      <c r="Z306" s="52">
        <v>18</v>
      </c>
      <c r="AA306" s="52">
        <v>18</v>
      </c>
      <c r="AB306" s="49">
        <v>18</v>
      </c>
      <c r="AC306" s="49">
        <v>18</v>
      </c>
      <c r="AD306" s="49">
        <v>18</v>
      </c>
      <c r="AE306" s="484"/>
      <c r="AF306" s="484"/>
      <c r="AG306" s="484"/>
    </row>
    <row r="307" spans="4:33" ht="15" hidden="1" customHeight="1" outlineLevel="1" x14ac:dyDescent="0.35">
      <c r="D307" s="4231"/>
      <c r="E307" s="2398" t="str">
        <f t="shared" si="82"/>
        <v>LED - 12W Dimmable Light Bulb (Replacing Specialty Incandescent)</v>
      </c>
      <c r="F307" s="49">
        <v>76.25</v>
      </c>
      <c r="G307" s="4474" t="s">
        <v>122</v>
      </c>
      <c r="H307" s="4474"/>
      <c r="V307" s="4267"/>
      <c r="W307" s="484">
        <v>76.25</v>
      </c>
      <c r="X307" s="484">
        <v>76.25</v>
      </c>
      <c r="Y307" s="52">
        <v>76.25</v>
      </c>
      <c r="Z307" s="52">
        <v>76.25</v>
      </c>
      <c r="AA307" s="52">
        <v>76.25</v>
      </c>
      <c r="AB307" s="49">
        <v>76.25</v>
      </c>
      <c r="AC307" s="49">
        <v>76.25</v>
      </c>
      <c r="AD307" s="49">
        <v>76.25</v>
      </c>
      <c r="AE307" s="484"/>
      <c r="AF307" s="484"/>
      <c r="AG307" s="484"/>
    </row>
    <row r="308" spans="4:33" ht="15" hidden="1" customHeight="1" outlineLevel="1" x14ac:dyDescent="0.35">
      <c r="D308" s="4231"/>
      <c r="E308" s="2398" t="str">
        <f t="shared" si="82"/>
        <v>LED - 12W (Halogen baseline)</v>
      </c>
      <c r="F308" s="49">
        <v>44.25</v>
      </c>
      <c r="G308" s="93" t="str">
        <f>'Income Eligible Deemed Table'!H1169</f>
        <v>Ameren Missouri Community Savers Evaluation PY2018</v>
      </c>
      <c r="H308" s="2424"/>
      <c r="V308" s="4267"/>
      <c r="W308" s="484">
        <f>'Income Eligible Deemed Table'!W1169</f>
        <v>53</v>
      </c>
      <c r="X308" s="478">
        <f>'Income Eligible Deemed Table'!X1169</f>
        <v>44.25</v>
      </c>
      <c r="Y308" s="52">
        <v>44.25</v>
      </c>
      <c r="Z308" s="52">
        <v>44.25</v>
      </c>
      <c r="AA308" s="52">
        <v>44.25</v>
      </c>
      <c r="AB308" s="49">
        <v>44.25</v>
      </c>
      <c r="AC308" s="49">
        <v>44.25</v>
      </c>
      <c r="AD308" s="49">
        <v>44.25</v>
      </c>
      <c r="AE308" s="484"/>
      <c r="AF308" s="484"/>
      <c r="AG308" s="484"/>
    </row>
    <row r="309" spans="4:33" ht="15" hidden="1" customHeight="1" outlineLevel="1" x14ac:dyDescent="0.35">
      <c r="D309" s="4231"/>
      <c r="E309" s="2398" t="str">
        <f t="shared" si="82"/>
        <v>LED - 12W (Replacing CFL)</v>
      </c>
      <c r="F309" s="49">
        <v>18</v>
      </c>
      <c r="G309" s="4464"/>
      <c r="H309" s="4465"/>
      <c r="V309" s="4267"/>
      <c r="W309" s="484">
        <f>'Income Eligible Deemed Table'!W1183</f>
        <v>18</v>
      </c>
      <c r="X309" s="484">
        <f>'Income Eligible Deemed Table'!X1183</f>
        <v>18</v>
      </c>
      <c r="Y309" s="52">
        <v>18</v>
      </c>
      <c r="Z309" s="52">
        <v>18</v>
      </c>
      <c r="AA309" s="52">
        <v>18</v>
      </c>
      <c r="AB309" s="49">
        <v>18</v>
      </c>
      <c r="AC309" s="49">
        <v>18</v>
      </c>
      <c r="AD309" s="49">
        <v>18</v>
      </c>
      <c r="AE309" s="484"/>
      <c r="AF309" s="484"/>
      <c r="AG309" s="484"/>
    </row>
    <row r="310" spans="4:33" ht="15" hidden="1" customHeight="1" outlineLevel="1" x14ac:dyDescent="0.35">
      <c r="D310" s="4231"/>
      <c r="E310" s="2398" t="str">
        <f t="shared" si="82"/>
        <v>LED - 15W (Halogen baseline) (1050-1489 lumens)</v>
      </c>
      <c r="F310" s="49">
        <v>53</v>
      </c>
      <c r="G310" s="93" t="str">
        <f>'Income Eligible Deemed Table'!H1171</f>
        <v>Average lumen-equivalent halogen wattage for program bulbs</v>
      </c>
      <c r="H310" s="2424"/>
      <c r="V310" s="4267"/>
      <c r="W310" s="484">
        <f>'Income Eligible Deemed Table'!W1171</f>
        <v>53</v>
      </c>
      <c r="X310" s="484">
        <f>'Income Eligible Deemed Table'!X1171</f>
        <v>53</v>
      </c>
      <c r="Y310" s="52">
        <v>53</v>
      </c>
      <c r="Z310" s="52">
        <v>53</v>
      </c>
      <c r="AA310" s="52">
        <v>53</v>
      </c>
      <c r="AB310" s="49">
        <v>53</v>
      </c>
      <c r="AC310" s="49">
        <v>53</v>
      </c>
      <c r="AD310" s="49">
        <v>53</v>
      </c>
      <c r="AE310" s="484"/>
      <c r="AF310" s="484"/>
      <c r="AG310" s="484"/>
    </row>
    <row r="311" spans="4:33" ht="15" hidden="1" customHeight="1" outlineLevel="1" x14ac:dyDescent="0.35">
      <c r="D311" s="4231"/>
      <c r="E311" s="2398" t="str">
        <f t="shared" si="82"/>
        <v>LED - 15W (CFL baseline) (1050-1489 lumens)</v>
      </c>
      <c r="F311" s="49">
        <v>18.899999999999999</v>
      </c>
      <c r="G311" s="4464"/>
      <c r="H311" s="4465"/>
      <c r="V311" s="4267"/>
      <c r="W311" s="484">
        <f>'Income Eligible Deemed Table'!W1184</f>
        <v>18.899999999999999</v>
      </c>
      <c r="X311" s="484">
        <f>'Income Eligible Deemed Table'!X1184</f>
        <v>18.899999999999999</v>
      </c>
      <c r="Y311" s="52">
        <v>18.899999999999999</v>
      </c>
      <c r="Z311" s="52">
        <v>18.899999999999999</v>
      </c>
      <c r="AA311" s="52">
        <v>18.899999999999999</v>
      </c>
      <c r="AB311" s="49">
        <v>18.899999999999999</v>
      </c>
      <c r="AC311" s="49">
        <v>18.899999999999999</v>
      </c>
      <c r="AD311" s="49">
        <v>18.899999999999999</v>
      </c>
      <c r="AE311" s="484"/>
      <c r="AF311" s="484"/>
      <c r="AG311" s="484"/>
    </row>
    <row r="312" spans="4:33" ht="15" hidden="1" customHeight="1" outlineLevel="1" x14ac:dyDescent="0.35">
      <c r="D312" s="4231"/>
      <c r="E312" s="2398" t="str">
        <f t="shared" si="82"/>
        <v>LED - 20W (Halogen baseline) (1490-2600 lumens)</v>
      </c>
      <c r="F312" s="49">
        <v>72</v>
      </c>
      <c r="G312" s="93" t="str">
        <f>'Income Eligible Deemed Table'!H1175</f>
        <v>Average lumen-equivalent halogen wattage for program bulbs</v>
      </c>
      <c r="H312" s="2424"/>
      <c r="V312" s="4267"/>
      <c r="W312" s="484">
        <f>'Income Eligible Deemed Table'!W1175</f>
        <v>72</v>
      </c>
      <c r="X312" s="484">
        <f>'Income Eligible Deemed Table'!X1175</f>
        <v>72</v>
      </c>
      <c r="Y312" s="52">
        <v>72</v>
      </c>
      <c r="Z312" s="52">
        <v>72</v>
      </c>
      <c r="AA312" s="52">
        <v>72</v>
      </c>
      <c r="AB312" s="49">
        <v>72</v>
      </c>
      <c r="AC312" s="49">
        <v>72</v>
      </c>
      <c r="AD312" s="49">
        <v>72</v>
      </c>
      <c r="AE312" s="484"/>
      <c r="AF312" s="484"/>
      <c r="AG312" s="484"/>
    </row>
    <row r="313" spans="4:33" ht="15" hidden="1" customHeight="1" outlineLevel="1" x14ac:dyDescent="0.35">
      <c r="D313" s="4231"/>
      <c r="E313" s="2398" t="str">
        <f t="shared" si="82"/>
        <v>LED - 20W (CFL baseline) (1490-2600 lumens)</v>
      </c>
      <c r="F313" s="49">
        <v>24.8</v>
      </c>
      <c r="G313" s="4464"/>
      <c r="H313" s="4465"/>
      <c r="V313" s="4267"/>
      <c r="W313" s="484">
        <f>'Income Eligible Deemed Table'!W1188</f>
        <v>24.8</v>
      </c>
      <c r="X313" s="484">
        <f>'Income Eligible Deemed Table'!X1188</f>
        <v>24.8</v>
      </c>
      <c r="Y313" s="52">
        <v>24.8</v>
      </c>
      <c r="Z313" s="52">
        <v>24.8</v>
      </c>
      <c r="AA313" s="52">
        <v>24.8</v>
      </c>
      <c r="AB313" s="49">
        <v>24.8</v>
      </c>
      <c r="AC313" s="49">
        <v>24.8</v>
      </c>
      <c r="AD313" s="49">
        <v>24.8</v>
      </c>
      <c r="AE313" s="484"/>
      <c r="AF313" s="484"/>
      <c r="AG313" s="484"/>
    </row>
    <row r="314" spans="4:33" ht="15" hidden="1" customHeight="1" outlineLevel="1" x14ac:dyDescent="0.35">
      <c r="D314" s="4231"/>
      <c r="E314" s="2398" t="s">
        <v>2347</v>
      </c>
      <c r="F314" s="49">
        <v>65</v>
      </c>
      <c r="G314" s="4464" t="s">
        <v>120</v>
      </c>
      <c r="H314" s="4465"/>
      <c r="V314" s="4267"/>
      <c r="W314" s="484"/>
      <c r="X314" s="484"/>
      <c r="Y314" s="52"/>
      <c r="Z314" s="52"/>
      <c r="AA314" s="52"/>
      <c r="AB314" s="322">
        <v>65</v>
      </c>
      <c r="AC314" s="49">
        <v>65</v>
      </c>
      <c r="AD314" s="49">
        <v>65</v>
      </c>
      <c r="AE314" s="484"/>
      <c r="AF314" s="484"/>
      <c r="AG314" s="484"/>
    </row>
    <row r="315" spans="4:33" ht="15" hidden="1" customHeight="1" outlineLevel="1" x14ac:dyDescent="0.35">
      <c r="D315" s="4231"/>
      <c r="E315" s="2398" t="s">
        <v>71</v>
      </c>
      <c r="F315" s="49">
        <v>18.888888888888889</v>
      </c>
      <c r="G315" s="4464" t="s">
        <v>119</v>
      </c>
      <c r="H315" s="4465"/>
      <c r="V315" s="4267"/>
      <c r="W315" s="484"/>
      <c r="X315" s="484"/>
      <c r="Y315" s="52"/>
      <c r="Z315" s="52"/>
      <c r="AA315" s="52"/>
      <c r="AB315" s="322">
        <v>18.888888888888889</v>
      </c>
      <c r="AC315" s="49">
        <v>18.888888888888889</v>
      </c>
      <c r="AD315" s="49">
        <v>18.888888888888889</v>
      </c>
      <c r="AE315" s="484"/>
      <c r="AF315" s="484"/>
      <c r="AG315" s="484"/>
    </row>
    <row r="316" spans="4:33" ht="15" hidden="1" customHeight="1" outlineLevel="1" x14ac:dyDescent="0.35">
      <c r="D316" s="4231"/>
      <c r="E316" s="2398" t="str">
        <f>E287</f>
        <v>LED - 15W Flood Light PAR30 Bulb (Halogen baseline)</v>
      </c>
      <c r="F316" s="49">
        <v>60.9</v>
      </c>
      <c r="G316" s="4464"/>
      <c r="H316" s="4465"/>
      <c r="V316" s="4267"/>
      <c r="W316" s="484">
        <f>'Lighting Deemed Table'!W55</f>
        <v>62.1</v>
      </c>
      <c r="X316" s="478">
        <f>'Lighting Deemed Table'!X55</f>
        <v>60.9</v>
      </c>
      <c r="Y316" s="52">
        <v>60.9</v>
      </c>
      <c r="Z316" s="52">
        <v>60.9</v>
      </c>
      <c r="AA316" s="52">
        <v>60.9</v>
      </c>
      <c r="AB316" s="49">
        <v>60.9</v>
      </c>
      <c r="AC316" s="49">
        <v>60.9</v>
      </c>
      <c r="AD316" s="49">
        <v>60.9</v>
      </c>
      <c r="AE316" s="484"/>
      <c r="AF316" s="484"/>
      <c r="AG316" s="484"/>
    </row>
    <row r="317" spans="4:33" ht="15" hidden="1" customHeight="1" outlineLevel="1" x14ac:dyDescent="0.35">
      <c r="D317" s="4231"/>
      <c r="E317" s="2398" t="str">
        <f>E288</f>
        <v>LED - 15W Flood Light PAR30 Bulb (CFL baseline)</v>
      </c>
      <c r="F317" s="49">
        <v>16</v>
      </c>
      <c r="G317" s="4464"/>
      <c r="H317" s="4465"/>
      <c r="V317" s="4267"/>
      <c r="W317" s="962">
        <f>'Lighting Deemed Table'!W54</f>
        <v>16</v>
      </c>
      <c r="X317" s="962">
        <f>'Lighting Deemed Table'!X54</f>
        <v>16</v>
      </c>
      <c r="Y317" s="962">
        <v>16</v>
      </c>
      <c r="Z317" s="962">
        <v>16</v>
      </c>
      <c r="AA317" s="962">
        <v>16</v>
      </c>
      <c r="AB317" s="49">
        <v>16</v>
      </c>
      <c r="AC317" s="49">
        <v>16</v>
      </c>
      <c r="AD317" s="49">
        <v>16</v>
      </c>
      <c r="AE317" s="962"/>
      <c r="AF317" s="962"/>
      <c r="AG317" s="962"/>
    </row>
    <row r="318" spans="4:33" ht="15" hidden="1" customHeight="1" outlineLevel="1" x14ac:dyDescent="0.35">
      <c r="D318" s="4231"/>
      <c r="E318" s="2398" t="s">
        <v>2352</v>
      </c>
      <c r="F318" s="49">
        <v>29</v>
      </c>
      <c r="G318" s="4464" t="s">
        <v>126</v>
      </c>
      <c r="H318" s="4465"/>
      <c r="V318" s="4267"/>
      <c r="W318" s="962"/>
      <c r="X318" s="962"/>
      <c r="Y318" s="962"/>
      <c r="Z318" s="962"/>
      <c r="AA318" s="962"/>
      <c r="AB318" s="322">
        <v>29</v>
      </c>
      <c r="AC318" s="49">
        <v>29</v>
      </c>
      <c r="AD318" s="49">
        <v>29</v>
      </c>
      <c r="AE318" s="962"/>
      <c r="AF318" s="962"/>
      <c r="AG318" s="962"/>
    </row>
    <row r="319" spans="4:33" ht="15" hidden="1" customHeight="1" outlineLevel="1" x14ac:dyDescent="0.35">
      <c r="D319" s="4231"/>
      <c r="E319" s="2551" t="s">
        <v>2354</v>
      </c>
      <c r="F319" s="2686">
        <f>AVERAGE(310,749)/45</f>
        <v>11.766666666666667</v>
      </c>
      <c r="G319" s="2702" t="s">
        <v>126</v>
      </c>
      <c r="H319" s="2703"/>
      <c r="V319" s="4267"/>
      <c r="W319" s="2271"/>
      <c r="X319" s="2271"/>
      <c r="Y319" s="2271"/>
      <c r="Z319" s="2271"/>
      <c r="AA319" s="2271"/>
      <c r="AB319" s="2272"/>
      <c r="AC319" s="2272">
        <v>11.766666666666667</v>
      </c>
      <c r="AD319" s="2686">
        <v>11.766666666666667</v>
      </c>
      <c r="AE319" s="2271"/>
      <c r="AF319" s="2271"/>
      <c r="AG319" s="2271"/>
    </row>
    <row r="320" spans="4:33" ht="15" hidden="1" customHeight="1" outlineLevel="1" thickBot="1" x14ac:dyDescent="0.4">
      <c r="D320" s="4226"/>
      <c r="E320" s="1674" t="str">
        <f t="shared" ref="E320" si="83">E291</f>
        <v>LED Nightlights</v>
      </c>
      <c r="F320" s="1675">
        <v>7</v>
      </c>
      <c r="G320" s="4466" t="s">
        <v>127</v>
      </c>
      <c r="H320" s="4466"/>
      <c r="V320" s="4467"/>
      <c r="W320" s="1911" t="s">
        <v>480</v>
      </c>
      <c r="X320" s="1911" t="s">
        <v>480</v>
      </c>
      <c r="Y320" s="958" t="s">
        <v>480</v>
      </c>
      <c r="Z320" s="958" t="s">
        <v>480</v>
      </c>
      <c r="AA320" s="958" t="s">
        <v>480</v>
      </c>
      <c r="AB320" s="1675" t="s">
        <v>480</v>
      </c>
      <c r="AC320" s="2274">
        <v>7</v>
      </c>
      <c r="AD320" s="1675">
        <v>7</v>
      </c>
      <c r="AE320" s="1911"/>
      <c r="AF320" s="1911"/>
      <c r="AG320" s="1911"/>
    </row>
    <row r="321" spans="4:33" hidden="1" outlineLevel="1" x14ac:dyDescent="0.35">
      <c r="D321" s="4225" t="s">
        <v>2012</v>
      </c>
      <c r="E321" s="1677" t="str">
        <f t="shared" ref="E321:E330" si="84">E275</f>
        <v>LED - 10W (CFL baseline) (750-1049 lumens)</v>
      </c>
      <c r="F321" s="1678">
        <v>7</v>
      </c>
      <c r="G321" s="4475" t="s">
        <v>130</v>
      </c>
      <c r="H321" s="4475"/>
      <c r="V321" s="4536" t="str">
        <f t="shared" ref="V321:V346" si="85">D321</f>
        <v>Watt EE</v>
      </c>
      <c r="W321" s="1910">
        <v>7</v>
      </c>
      <c r="X321" s="1910">
        <v>7</v>
      </c>
      <c r="Y321" s="1869">
        <v>7</v>
      </c>
      <c r="Z321" s="1869">
        <v>7</v>
      </c>
      <c r="AA321" s="1869">
        <v>7</v>
      </c>
      <c r="AB321" s="1678">
        <v>7</v>
      </c>
      <c r="AC321" s="1678">
        <v>7</v>
      </c>
      <c r="AD321" s="1678">
        <v>7</v>
      </c>
      <c r="AE321" s="1910"/>
      <c r="AF321" s="1910"/>
      <c r="AG321" s="1910"/>
    </row>
    <row r="322" spans="4:33" hidden="1" outlineLevel="1" x14ac:dyDescent="0.35">
      <c r="D322" s="4231"/>
      <c r="E322" s="2398" t="str">
        <f t="shared" si="84"/>
        <v>LED - 10W (Halogen baseline) (750-1049 lumens)</v>
      </c>
      <c r="F322" s="49">
        <v>7</v>
      </c>
      <c r="G322" s="4476" t="s">
        <v>130</v>
      </c>
      <c r="H322" s="4476"/>
      <c r="V322" s="4267"/>
      <c r="W322" s="484">
        <v>7</v>
      </c>
      <c r="X322" s="484">
        <v>7</v>
      </c>
      <c r="Y322" s="52">
        <v>7</v>
      </c>
      <c r="Z322" s="52">
        <v>7</v>
      </c>
      <c r="AA322" s="52">
        <v>7</v>
      </c>
      <c r="AB322" s="49">
        <v>7</v>
      </c>
      <c r="AC322" s="49">
        <v>7</v>
      </c>
      <c r="AD322" s="49">
        <v>7</v>
      </c>
      <c r="AE322" s="484"/>
      <c r="AF322" s="484"/>
      <c r="AG322" s="484"/>
    </row>
    <row r="323" spans="4:33" hidden="1" outlineLevel="1" x14ac:dyDescent="0.35">
      <c r="D323" s="4231"/>
      <c r="E323" s="2398" t="str">
        <f t="shared" si="84"/>
        <v>LED - 12W Dimmable Light Bulb (Replacing CFL)</v>
      </c>
      <c r="F323" s="49">
        <v>9.5</v>
      </c>
      <c r="G323" s="4476" t="s">
        <v>130</v>
      </c>
      <c r="H323" s="4476"/>
      <c r="V323" s="4267"/>
      <c r="W323" s="484">
        <f>'Lighting Deemed Table'!W74</f>
        <v>9.5</v>
      </c>
      <c r="X323" s="484">
        <f>'Lighting Deemed Table'!X74</f>
        <v>9.5</v>
      </c>
      <c r="Y323" s="52">
        <v>9.5</v>
      </c>
      <c r="Z323" s="52">
        <v>9.5</v>
      </c>
      <c r="AA323" s="52">
        <v>9.5</v>
      </c>
      <c r="AB323" s="49">
        <v>9.5</v>
      </c>
      <c r="AC323" s="49">
        <v>9.5</v>
      </c>
      <c r="AD323" s="49">
        <v>9.5</v>
      </c>
      <c r="AE323" s="52"/>
      <c r="AF323" s="52"/>
      <c r="AG323" s="52"/>
    </row>
    <row r="324" spans="4:33" hidden="1" outlineLevel="1" x14ac:dyDescent="0.35">
      <c r="D324" s="4231"/>
      <c r="E324" s="2398" t="str">
        <f t="shared" si="84"/>
        <v>LED - 12W Dimmable Light Bulb (Replacing Specialty Incandescent)</v>
      </c>
      <c r="F324" s="49">
        <v>9.5</v>
      </c>
      <c r="G324" s="4476" t="s">
        <v>130</v>
      </c>
      <c r="H324" s="4476"/>
      <c r="V324" s="4267"/>
      <c r="W324" s="52">
        <v>9.5</v>
      </c>
      <c r="X324" s="52">
        <v>9.5</v>
      </c>
      <c r="Y324" s="52">
        <v>9.5</v>
      </c>
      <c r="Z324" s="52">
        <v>9.5</v>
      </c>
      <c r="AA324" s="52">
        <v>9.5</v>
      </c>
      <c r="AB324" s="49">
        <v>9.5</v>
      </c>
      <c r="AC324" s="49">
        <v>9.5</v>
      </c>
      <c r="AD324" s="49">
        <v>9.5</v>
      </c>
      <c r="AE324" s="52"/>
      <c r="AF324" s="52"/>
      <c r="AG324" s="52"/>
    </row>
    <row r="325" spans="4:33" ht="15" hidden="1" customHeight="1" outlineLevel="1" x14ac:dyDescent="0.35">
      <c r="D325" s="4231"/>
      <c r="E325" s="2398" t="str">
        <f t="shared" si="84"/>
        <v>LED - 12W (Halogen baseline)</v>
      </c>
      <c r="F325" s="49">
        <v>9.23</v>
      </c>
      <c r="G325" s="93" t="str">
        <f>'Income Eligible Deemed Table'!H1194</f>
        <v>Program Wattage - Ameren Missouri Community Savers Evaluation PY2017 workpapers</v>
      </c>
      <c r="H325" s="2424"/>
      <c r="V325" s="4267"/>
      <c r="W325" s="484">
        <f>'Income Eligible Deemed Table'!W1194</f>
        <v>9.5</v>
      </c>
      <c r="X325" s="478">
        <f>'Income Eligible Deemed Table'!X1194</f>
        <v>9.23</v>
      </c>
      <c r="Y325" s="52">
        <v>9.23</v>
      </c>
      <c r="Z325" s="52">
        <v>9.23</v>
      </c>
      <c r="AA325" s="52">
        <v>9.23</v>
      </c>
      <c r="AB325" s="49">
        <v>9.23</v>
      </c>
      <c r="AC325" s="49">
        <v>9.23</v>
      </c>
      <c r="AD325" s="49">
        <v>9.23</v>
      </c>
      <c r="AE325" s="484"/>
      <c r="AF325" s="484"/>
      <c r="AG325" s="484"/>
    </row>
    <row r="326" spans="4:33" ht="15" hidden="1" customHeight="1" outlineLevel="1" x14ac:dyDescent="0.35">
      <c r="D326" s="4231"/>
      <c r="E326" s="2398" t="str">
        <f t="shared" si="84"/>
        <v>LED - 12W (Replacing CFL)</v>
      </c>
      <c r="F326" s="49">
        <v>9.5</v>
      </c>
      <c r="G326" s="4464"/>
      <c r="H326" s="4465"/>
      <c r="V326" s="4267"/>
      <c r="W326" s="484">
        <f>'Income Eligible Deemed Table'!W1208</f>
        <v>9.5</v>
      </c>
      <c r="X326" s="484">
        <f>'Income Eligible Deemed Table'!X1208</f>
        <v>9.5</v>
      </c>
      <c r="Y326" s="52">
        <v>9.5</v>
      </c>
      <c r="Z326" s="52">
        <v>9.5</v>
      </c>
      <c r="AA326" s="52">
        <v>9.5</v>
      </c>
      <c r="AB326" s="49">
        <v>9.5</v>
      </c>
      <c r="AC326" s="49">
        <v>9.5</v>
      </c>
      <c r="AD326" s="49">
        <v>9.5</v>
      </c>
      <c r="AE326" s="484"/>
      <c r="AF326" s="484"/>
      <c r="AG326" s="484"/>
    </row>
    <row r="327" spans="4:33" ht="15" hidden="1" customHeight="1" outlineLevel="1" x14ac:dyDescent="0.35">
      <c r="D327" s="4231"/>
      <c r="E327" s="2398" t="str">
        <f t="shared" si="84"/>
        <v>LED - 15W (Halogen baseline) (1050-1489 lumens)</v>
      </c>
      <c r="F327" s="49">
        <v>10.6</v>
      </c>
      <c r="G327" s="4464" t="str">
        <f>'Income Eligible Deemed Table'!H1196</f>
        <v>Program Wattage</v>
      </c>
      <c r="H327" s="4465"/>
      <c r="V327" s="4267"/>
      <c r="W327" s="484">
        <f>'Income Eligible Deemed Table'!W1196</f>
        <v>10.6</v>
      </c>
      <c r="X327" s="484">
        <f>'Income Eligible Deemed Table'!X1196</f>
        <v>10.6</v>
      </c>
      <c r="Y327" s="52">
        <v>10.6</v>
      </c>
      <c r="Z327" s="52">
        <v>10.6</v>
      </c>
      <c r="AA327" s="52">
        <v>10.6</v>
      </c>
      <c r="AB327" s="49">
        <v>10.6</v>
      </c>
      <c r="AC327" s="49">
        <v>10.6</v>
      </c>
      <c r="AD327" s="49">
        <v>10.6</v>
      </c>
      <c r="AE327" s="484"/>
      <c r="AF327" s="484"/>
      <c r="AG327" s="484"/>
    </row>
    <row r="328" spans="4:33" ht="15" hidden="1" customHeight="1" outlineLevel="1" x14ac:dyDescent="0.35">
      <c r="D328" s="4231"/>
      <c r="E328" s="2398" t="str">
        <f t="shared" si="84"/>
        <v>LED - 15W (CFL baseline) (1050-1489 lumens)</v>
      </c>
      <c r="F328" s="49">
        <v>10.6</v>
      </c>
      <c r="G328" s="4464"/>
      <c r="H328" s="4465"/>
      <c r="V328" s="4267"/>
      <c r="W328" s="484">
        <f>'Income Eligible Deemed Table'!W1209</f>
        <v>10.6</v>
      </c>
      <c r="X328" s="484">
        <f>'Income Eligible Deemed Table'!X1209</f>
        <v>10.6</v>
      </c>
      <c r="Y328" s="52">
        <v>10.6</v>
      </c>
      <c r="Z328" s="52">
        <v>10.6</v>
      </c>
      <c r="AA328" s="52">
        <v>10.6</v>
      </c>
      <c r="AB328" s="49">
        <v>10.6</v>
      </c>
      <c r="AC328" s="49">
        <v>10.6</v>
      </c>
      <c r="AD328" s="49">
        <v>10.6</v>
      </c>
      <c r="AE328" s="484"/>
      <c r="AF328" s="484"/>
      <c r="AG328" s="484"/>
    </row>
    <row r="329" spans="4:33" ht="15" hidden="1" customHeight="1" outlineLevel="1" x14ac:dyDescent="0.35">
      <c r="D329" s="4231"/>
      <c r="E329" s="2398" t="str">
        <f t="shared" si="84"/>
        <v>LED - 20W (Halogen baseline) (1490-2600 lumens)</v>
      </c>
      <c r="F329" s="49">
        <v>15</v>
      </c>
      <c r="G329" s="4464" t="str">
        <f>'Income Eligible Deemed Table'!H1200</f>
        <v>Program Wattage</v>
      </c>
      <c r="H329" s="4465"/>
      <c r="V329" s="4267"/>
      <c r="W329" s="484">
        <f>'Income Eligible Deemed Table'!W1200</f>
        <v>15</v>
      </c>
      <c r="X329" s="484">
        <f>'Income Eligible Deemed Table'!X1200</f>
        <v>15</v>
      </c>
      <c r="Y329" s="52">
        <v>15</v>
      </c>
      <c r="Z329" s="52">
        <v>15</v>
      </c>
      <c r="AA329" s="52">
        <v>15</v>
      </c>
      <c r="AB329" s="49">
        <v>15</v>
      </c>
      <c r="AC329" s="49">
        <v>15</v>
      </c>
      <c r="AD329" s="49">
        <v>15</v>
      </c>
      <c r="AE329" s="484"/>
      <c r="AF329" s="484"/>
      <c r="AG329" s="484"/>
    </row>
    <row r="330" spans="4:33" ht="15" hidden="1" customHeight="1" outlineLevel="1" x14ac:dyDescent="0.35">
      <c r="D330" s="4231"/>
      <c r="E330" s="2398" t="str">
        <f t="shared" si="84"/>
        <v>LED - 20W (CFL baseline) (1490-2600 lumens)</v>
      </c>
      <c r="F330" s="49">
        <v>15</v>
      </c>
      <c r="G330" s="4464"/>
      <c r="H330" s="4465"/>
      <c r="V330" s="4267"/>
      <c r="W330" s="484">
        <f>'Income Eligible Deemed Table'!W1213</f>
        <v>15</v>
      </c>
      <c r="X330" s="484">
        <f>'Income Eligible Deemed Table'!X1213</f>
        <v>15</v>
      </c>
      <c r="Y330" s="52">
        <v>15</v>
      </c>
      <c r="Z330" s="52">
        <v>15</v>
      </c>
      <c r="AA330" s="52">
        <v>15</v>
      </c>
      <c r="AB330" s="49">
        <v>15</v>
      </c>
      <c r="AC330" s="49">
        <v>15</v>
      </c>
      <c r="AD330" s="49">
        <v>15</v>
      </c>
      <c r="AE330" s="484"/>
      <c r="AF330" s="484"/>
      <c r="AG330" s="484"/>
    </row>
    <row r="331" spans="4:33" ht="15" hidden="1" customHeight="1" outlineLevel="1" x14ac:dyDescent="0.35">
      <c r="D331" s="4231"/>
      <c r="E331" s="2398" t="s">
        <v>2347</v>
      </c>
      <c r="F331" s="49">
        <v>11</v>
      </c>
      <c r="G331" s="4464" t="s">
        <v>130</v>
      </c>
      <c r="H331" s="4465"/>
      <c r="V331" s="4267"/>
      <c r="W331" s="484"/>
      <c r="X331" s="484"/>
      <c r="Y331" s="52"/>
      <c r="Z331" s="52"/>
      <c r="AA331" s="52"/>
      <c r="AB331" s="322">
        <v>11</v>
      </c>
      <c r="AC331" s="49">
        <v>11</v>
      </c>
      <c r="AD331" s="49">
        <v>11</v>
      </c>
      <c r="AE331" s="484"/>
      <c r="AF331" s="484"/>
      <c r="AG331" s="484"/>
    </row>
    <row r="332" spans="4:33" ht="15" hidden="1" customHeight="1" outlineLevel="1" x14ac:dyDescent="0.35">
      <c r="D332" s="4231"/>
      <c r="E332" s="2398" t="s">
        <v>71</v>
      </c>
      <c r="F332" s="49">
        <v>11</v>
      </c>
      <c r="G332" s="4464" t="s">
        <v>130</v>
      </c>
      <c r="H332" s="4465"/>
      <c r="V332" s="4267"/>
      <c r="W332" s="484"/>
      <c r="X332" s="484"/>
      <c r="Y332" s="52"/>
      <c r="Z332" s="52"/>
      <c r="AA332" s="52"/>
      <c r="AB332" s="322">
        <v>11</v>
      </c>
      <c r="AC332" s="49">
        <v>11</v>
      </c>
      <c r="AD332" s="49">
        <v>11</v>
      </c>
      <c r="AE332" s="484"/>
      <c r="AF332" s="484"/>
      <c r="AG332" s="484"/>
    </row>
    <row r="333" spans="4:33" ht="15" hidden="1" customHeight="1" outlineLevel="1" x14ac:dyDescent="0.35">
      <c r="D333" s="4231"/>
      <c r="E333" s="2398" t="str">
        <f>E287</f>
        <v>LED - 15W Flood Light PAR30 Bulb (Halogen baseline)</v>
      </c>
      <c r="F333" s="49">
        <v>10.6</v>
      </c>
      <c r="G333" s="4464"/>
      <c r="H333" s="4465"/>
      <c r="V333" s="4267"/>
      <c r="W333" s="484">
        <f>'Lighting Deemed Table'!W81</f>
        <v>11.2</v>
      </c>
      <c r="X333" s="478">
        <f>'Lighting Deemed Table'!X81</f>
        <v>10.6</v>
      </c>
      <c r="Y333" s="52">
        <v>10.6</v>
      </c>
      <c r="Z333" s="52">
        <v>10.6</v>
      </c>
      <c r="AA333" s="52">
        <v>10.6</v>
      </c>
      <c r="AB333" s="49">
        <v>10.6</v>
      </c>
      <c r="AC333" s="49">
        <v>10.6</v>
      </c>
      <c r="AD333" s="49">
        <v>10.6</v>
      </c>
      <c r="AE333" s="484"/>
      <c r="AF333" s="484"/>
      <c r="AG333" s="484"/>
    </row>
    <row r="334" spans="4:33" hidden="1" outlineLevel="1" x14ac:dyDescent="0.35">
      <c r="D334" s="4231"/>
      <c r="E334" s="2398" t="str">
        <f>E288</f>
        <v>LED - 15W Flood Light PAR30 Bulb (CFL baseline)</v>
      </c>
      <c r="F334" s="49">
        <v>11.2</v>
      </c>
      <c r="G334" s="4476" t="s">
        <v>130</v>
      </c>
      <c r="H334" s="4476"/>
      <c r="V334" s="4267"/>
      <c r="W334" s="484">
        <f>'Lighting Deemed Table'!W80</f>
        <v>11.2</v>
      </c>
      <c r="X334" s="484">
        <f>'Lighting Deemed Table'!X80</f>
        <v>11.2</v>
      </c>
      <c r="Y334" s="52">
        <v>11.2</v>
      </c>
      <c r="Z334" s="52">
        <v>11.2</v>
      </c>
      <c r="AA334" s="52">
        <v>11.2</v>
      </c>
      <c r="AB334" s="49">
        <v>11.2</v>
      </c>
      <c r="AC334" s="49">
        <v>11.2</v>
      </c>
      <c r="AD334" s="49">
        <v>11.2</v>
      </c>
      <c r="AE334" s="484"/>
      <c r="AF334" s="484"/>
      <c r="AG334" s="484"/>
    </row>
    <row r="335" spans="4:33" hidden="1" outlineLevel="1" x14ac:dyDescent="0.35">
      <c r="D335" s="4231"/>
      <c r="E335" s="2398" t="s">
        <v>2352</v>
      </c>
      <c r="F335" s="49">
        <v>6</v>
      </c>
      <c r="G335" s="4464" t="s">
        <v>130</v>
      </c>
      <c r="H335" s="4465"/>
      <c r="V335" s="4267"/>
      <c r="W335" s="484"/>
      <c r="X335" s="484"/>
      <c r="Y335" s="52"/>
      <c r="Z335" s="52"/>
      <c r="AA335" s="52"/>
      <c r="AB335" s="322">
        <v>6</v>
      </c>
      <c r="AC335" s="49">
        <v>6</v>
      </c>
      <c r="AD335" s="49">
        <v>6</v>
      </c>
      <c r="AE335" s="484"/>
      <c r="AF335" s="484"/>
      <c r="AG335" s="484"/>
    </row>
    <row r="336" spans="4:33" hidden="1" outlineLevel="1" x14ac:dyDescent="0.35">
      <c r="D336" s="4231"/>
      <c r="E336" s="2551" t="s">
        <v>2354</v>
      </c>
      <c r="F336" s="2686">
        <v>6</v>
      </c>
      <c r="G336" s="4464" t="s">
        <v>130</v>
      </c>
      <c r="H336" s="4465"/>
      <c r="V336" s="4267"/>
      <c r="W336" s="2273"/>
      <c r="X336" s="2273"/>
      <c r="Y336" s="2232"/>
      <c r="Z336" s="2232"/>
      <c r="AA336" s="2232"/>
      <c r="AB336" s="2272"/>
      <c r="AC336" s="2272">
        <v>6</v>
      </c>
      <c r="AD336" s="2686">
        <v>6</v>
      </c>
      <c r="AE336" s="2273"/>
      <c r="AF336" s="2273"/>
      <c r="AG336" s="2273"/>
    </row>
    <row r="337" spans="2:33" ht="15" hidden="1" outlineLevel="1" thickBot="1" x14ac:dyDescent="0.4">
      <c r="D337" s="4226"/>
      <c r="E337" s="1674" t="s">
        <v>104</v>
      </c>
      <c r="F337" s="958">
        <v>0.3</v>
      </c>
      <c r="G337" s="4466" t="s">
        <v>130</v>
      </c>
      <c r="H337" s="4466"/>
      <c r="V337" s="4467"/>
      <c r="W337" s="1911" t="s">
        <v>480</v>
      </c>
      <c r="X337" s="1911" t="s">
        <v>480</v>
      </c>
      <c r="Y337" s="958" t="s">
        <v>480</v>
      </c>
      <c r="Z337" s="958" t="s">
        <v>480</v>
      </c>
      <c r="AA337" s="958" t="s">
        <v>480</v>
      </c>
      <c r="AB337" s="958" t="s">
        <v>480</v>
      </c>
      <c r="AC337" s="1670">
        <v>0.3</v>
      </c>
      <c r="AD337" s="958">
        <v>0.3</v>
      </c>
      <c r="AE337" s="1911"/>
      <c r="AF337" s="1911"/>
      <c r="AG337" s="1911"/>
    </row>
    <row r="338" spans="2:33" ht="15" hidden="1" customHeight="1" outlineLevel="1" x14ac:dyDescent="0.35">
      <c r="D338" s="1673" t="s">
        <v>132</v>
      </c>
      <c r="E338" s="1673" t="s">
        <v>134</v>
      </c>
      <c r="F338" s="1676">
        <v>0.95118909047730049</v>
      </c>
      <c r="G338" s="4470" t="s">
        <v>2356</v>
      </c>
      <c r="H338" s="4470"/>
      <c r="V338" s="2411" t="str">
        <f t="shared" si="85"/>
        <v>ISR</v>
      </c>
      <c r="W338" s="1912">
        <v>0.95118909047730049</v>
      </c>
      <c r="X338" s="1912">
        <v>0.95118909047730049</v>
      </c>
      <c r="Y338" s="1676">
        <v>0.95118909047730049</v>
      </c>
      <c r="Z338" s="1676">
        <v>0.95118909047730049</v>
      </c>
      <c r="AA338" s="1676">
        <v>0.95118909047730049</v>
      </c>
      <c r="AB338" s="1676">
        <v>0.95118909047730049</v>
      </c>
      <c r="AC338" s="1676">
        <v>0.95118909047730049</v>
      </c>
      <c r="AD338" s="1676">
        <v>0.95118909047730049</v>
      </c>
      <c r="AE338" s="1912"/>
      <c r="AF338" s="1912"/>
      <c r="AG338" s="1912"/>
    </row>
    <row r="339" spans="2:33" ht="15" hidden="1" customHeight="1" outlineLevel="1" thickBot="1" x14ac:dyDescent="0.4">
      <c r="D339" s="2261" t="s">
        <v>143</v>
      </c>
      <c r="E339" s="2261" t="s">
        <v>134</v>
      </c>
      <c r="F339" s="3091">
        <v>0</v>
      </c>
      <c r="G339" s="4471" t="s">
        <v>4417</v>
      </c>
      <c r="H339" s="4471"/>
      <c r="V339" s="2281" t="str">
        <f t="shared" si="85"/>
        <v>Leakage</v>
      </c>
      <c r="W339" s="2282">
        <v>1.6525893496695268E-2</v>
      </c>
      <c r="X339" s="2282">
        <v>1.6525893496695268E-2</v>
      </c>
      <c r="Y339" s="2276">
        <v>1.6525893496695268E-2</v>
      </c>
      <c r="Z339" s="2276">
        <v>1.6525893496695268E-2</v>
      </c>
      <c r="AA339" s="2276">
        <v>1.6525893496695268E-2</v>
      </c>
      <c r="AB339" s="2276">
        <v>1.6525893496695268E-2</v>
      </c>
      <c r="AC339" s="2276">
        <v>1.6525893496695268E-2</v>
      </c>
      <c r="AD339" s="3091">
        <v>0</v>
      </c>
      <c r="AE339" s="2282"/>
      <c r="AF339" s="2282"/>
      <c r="AG339" s="2282"/>
    </row>
    <row r="340" spans="2:33" ht="15" hidden="1" customHeight="1" outlineLevel="1" x14ac:dyDescent="0.35">
      <c r="D340" s="4230" t="s">
        <v>147</v>
      </c>
      <c r="E340" s="950" t="s">
        <v>149</v>
      </c>
      <c r="F340" s="121">
        <v>693.5</v>
      </c>
      <c r="G340" s="4472" t="s">
        <v>2357</v>
      </c>
      <c r="H340" s="4473"/>
      <c r="V340" s="4267" t="str">
        <f t="shared" si="85"/>
        <v>HOU_Res</v>
      </c>
      <c r="W340" s="2279">
        <f>1.9*365</f>
        <v>693.5</v>
      </c>
      <c r="X340" s="2279">
        <f>1.9*365</f>
        <v>693.5</v>
      </c>
      <c r="Y340" s="2275">
        <f>1.9*365</f>
        <v>693.5</v>
      </c>
      <c r="Z340" s="2275">
        <f t="shared" ref="Z340:AA340" si="86">1.9*365</f>
        <v>693.5</v>
      </c>
      <c r="AA340" s="2275">
        <f t="shared" si="86"/>
        <v>693.5</v>
      </c>
      <c r="AB340" s="2275">
        <v>693.5</v>
      </c>
      <c r="AC340" s="2275">
        <v>693.5</v>
      </c>
      <c r="AD340" s="121">
        <v>693.5</v>
      </c>
      <c r="AE340" s="2279"/>
      <c r="AF340" s="2279"/>
      <c r="AG340" s="2279"/>
    </row>
    <row r="341" spans="2:33" ht="15" hidden="1" customHeight="1" outlineLevel="1" thickBot="1" x14ac:dyDescent="0.4">
      <c r="D341" s="4226"/>
      <c r="E341" s="2261" t="s">
        <v>151</v>
      </c>
      <c r="F341" s="2278">
        <v>4380</v>
      </c>
      <c r="G341" s="4466" t="s">
        <v>127</v>
      </c>
      <c r="H341" s="4466"/>
      <c r="V341" s="4467"/>
      <c r="W341" s="2283"/>
      <c r="X341" s="2283"/>
      <c r="Y341" s="2278"/>
      <c r="Z341" s="2278"/>
      <c r="AA341" s="2278"/>
      <c r="AB341" s="2278"/>
      <c r="AC341" s="2277">
        <v>4380</v>
      </c>
      <c r="AD341" s="2278">
        <v>4380</v>
      </c>
      <c r="AE341" s="2283"/>
      <c r="AF341" s="2283"/>
      <c r="AG341" s="2283"/>
    </row>
    <row r="342" spans="2:33" ht="15" hidden="1" outlineLevel="1" thickBot="1" x14ac:dyDescent="0.4">
      <c r="D342" s="2261" t="s">
        <v>152</v>
      </c>
      <c r="E342" s="2261" t="s">
        <v>154</v>
      </c>
      <c r="F342" s="2278">
        <v>0.99</v>
      </c>
      <c r="G342" s="4469" t="s">
        <v>155</v>
      </c>
      <c r="H342" s="4469"/>
      <c r="V342" s="2421" t="str">
        <f t="shared" si="85"/>
        <v>WHF_Res</v>
      </c>
      <c r="W342" s="2284">
        <v>0.99</v>
      </c>
      <c r="X342" s="2284">
        <v>0.99</v>
      </c>
      <c r="Y342" s="2280">
        <v>0.99</v>
      </c>
      <c r="Z342" s="2280">
        <v>0.99</v>
      </c>
      <c r="AA342" s="2280">
        <v>0.99</v>
      </c>
      <c r="AB342" s="2280">
        <v>0.99</v>
      </c>
      <c r="AC342" s="2280">
        <v>0.99</v>
      </c>
      <c r="AD342" s="2278">
        <v>0.99</v>
      </c>
      <c r="AE342" s="2284"/>
      <c r="AF342" s="2284"/>
      <c r="AG342" s="2284"/>
    </row>
    <row r="343" spans="2:33" ht="15" hidden="1" customHeight="1" outlineLevel="1" x14ac:dyDescent="0.35">
      <c r="D343" s="4230" t="s">
        <v>156</v>
      </c>
      <c r="E343" s="950" t="s">
        <v>149</v>
      </c>
      <c r="F343" s="121">
        <v>3611.9999999999986</v>
      </c>
      <c r="G343" s="4474" t="s">
        <v>158</v>
      </c>
      <c r="H343" s="4474"/>
      <c r="V343" s="4267" t="str">
        <f t="shared" si="85"/>
        <v>HOU_NRES</v>
      </c>
      <c r="W343" s="2279">
        <f>9.8958904109589*365</f>
        <v>3611.9999999999986</v>
      </c>
      <c r="X343" s="2279">
        <f>9.8958904109589*365</f>
        <v>3611.9999999999986</v>
      </c>
      <c r="Y343" s="2275">
        <f>9.8958904109589*365</f>
        <v>3611.9999999999986</v>
      </c>
      <c r="Z343" s="2275">
        <f t="shared" ref="Z343:AA343" si="87">9.8958904109589*365</f>
        <v>3611.9999999999986</v>
      </c>
      <c r="AA343" s="2275">
        <f t="shared" si="87"/>
        <v>3611.9999999999986</v>
      </c>
      <c r="AB343" s="2275">
        <v>3611.9999999999986</v>
      </c>
      <c r="AC343" s="2275">
        <v>3611.9999999999986</v>
      </c>
      <c r="AD343" s="121">
        <v>3611.9999999999986</v>
      </c>
      <c r="AE343" s="2279"/>
      <c r="AF343" s="2279"/>
      <c r="AG343" s="2279"/>
    </row>
    <row r="344" spans="2:33" ht="15" hidden="1" customHeight="1" outlineLevel="1" thickBot="1" x14ac:dyDescent="0.4">
      <c r="D344" s="4226"/>
      <c r="E344" s="2261" t="s">
        <v>151</v>
      </c>
      <c r="F344" s="2278">
        <v>4380</v>
      </c>
      <c r="G344" s="4466" t="s">
        <v>127</v>
      </c>
      <c r="H344" s="4466"/>
      <c r="V344" s="4467"/>
      <c r="W344" s="2283"/>
      <c r="X344" s="2283"/>
      <c r="Y344" s="2278"/>
      <c r="Z344" s="2278"/>
      <c r="AA344" s="2278"/>
      <c r="AB344" s="2278"/>
      <c r="AC344" s="2277">
        <v>4380</v>
      </c>
      <c r="AD344" s="2278">
        <v>4380</v>
      </c>
      <c r="AE344" s="2283"/>
      <c r="AF344" s="2283"/>
      <c r="AG344" s="2283"/>
    </row>
    <row r="345" spans="2:33" hidden="1" outlineLevel="1" x14ac:dyDescent="0.35">
      <c r="D345" s="1673" t="s">
        <v>159</v>
      </c>
      <c r="E345" s="1673" t="s">
        <v>2019</v>
      </c>
      <c r="F345" s="2275">
        <v>1.1000000000000001</v>
      </c>
      <c r="G345" s="4470" t="s">
        <v>161</v>
      </c>
      <c r="H345" s="4470"/>
      <c r="V345" s="2339" t="str">
        <f t="shared" si="85"/>
        <v>WHF_Nres</v>
      </c>
      <c r="W345" s="2279">
        <v>1.1000000000000001</v>
      </c>
      <c r="X345" s="2279">
        <v>1.1000000000000001</v>
      </c>
      <c r="Y345" s="2275">
        <v>1.1000000000000001</v>
      </c>
      <c r="Z345" s="2275">
        <v>1.1000000000000001</v>
      </c>
      <c r="AA345" s="2275">
        <v>1.1000000000000001</v>
      </c>
      <c r="AB345" s="2275">
        <v>1.1000000000000001</v>
      </c>
      <c r="AC345" s="2275">
        <v>1.1000000000000001</v>
      </c>
      <c r="AD345" s="2275">
        <v>1.1000000000000001</v>
      </c>
      <c r="AE345" s="2279"/>
      <c r="AF345" s="2279"/>
      <c r="AG345" s="2279"/>
    </row>
    <row r="346" spans="2:33" ht="15" hidden="1" outlineLevel="1" thickBot="1" x14ac:dyDescent="0.4">
      <c r="D346" s="2261" t="s">
        <v>162</v>
      </c>
      <c r="E346" s="2261" t="s">
        <v>134</v>
      </c>
      <c r="F346" s="2288">
        <v>1</v>
      </c>
      <c r="G346" s="4469" t="s">
        <v>2021</v>
      </c>
      <c r="H346" s="4469"/>
      <c r="V346" s="2341" t="str">
        <f t="shared" si="85"/>
        <v>%Res</v>
      </c>
      <c r="W346" s="2288">
        <v>1</v>
      </c>
      <c r="X346" s="2288">
        <v>1</v>
      </c>
      <c r="Y346" s="2288">
        <v>1</v>
      </c>
      <c r="Z346" s="2288">
        <v>1</v>
      </c>
      <c r="AA346" s="2288">
        <v>1</v>
      </c>
      <c r="AB346" s="2288">
        <v>1</v>
      </c>
      <c r="AC346" s="2288">
        <v>1</v>
      </c>
      <c r="AD346" s="2288">
        <v>1</v>
      </c>
      <c r="AE346" s="2288"/>
      <c r="AF346" s="2288"/>
      <c r="AG346" s="2288"/>
    </row>
    <row r="347" spans="2:33" hidden="1" outlineLevel="1" x14ac:dyDescent="0.35">
      <c r="B347" s="1040"/>
      <c r="C347" s="197"/>
      <c r="D347" s="4468" t="s">
        <v>526</v>
      </c>
      <c r="E347" s="2704" t="s">
        <v>149</v>
      </c>
      <c r="F347" s="2290">
        <v>19</v>
      </c>
      <c r="G347" s="4475"/>
      <c r="H347" s="4475"/>
      <c r="K347" s="199"/>
      <c r="L347" s="199"/>
      <c r="M347" s="226"/>
      <c r="N347" s="199"/>
      <c r="O347" s="199"/>
      <c r="P347" s="199"/>
      <c r="Q347" s="199"/>
      <c r="V347" s="4468" t="str">
        <f>D347</f>
        <v xml:space="preserve">EUL </v>
      </c>
      <c r="W347" s="2286">
        <v>19</v>
      </c>
      <c r="X347" s="2286">
        <v>19</v>
      </c>
      <c r="Y347" s="2286">
        <v>19</v>
      </c>
      <c r="Z347" s="2286">
        <v>19</v>
      </c>
      <c r="AA347" s="2286">
        <v>19</v>
      </c>
      <c r="AB347" s="2286">
        <v>19</v>
      </c>
      <c r="AC347" s="2286">
        <v>19</v>
      </c>
      <c r="AD347" s="2290">
        <v>19</v>
      </c>
      <c r="AE347" s="2287"/>
      <c r="AF347" s="2287"/>
      <c r="AG347" s="2287"/>
    </row>
    <row r="348" spans="2:33" ht="103.5" hidden="1" customHeight="1" outlineLevel="1" thickBot="1" x14ac:dyDescent="0.4">
      <c r="B348" s="1040"/>
      <c r="C348" s="197"/>
      <c r="D348" s="3914"/>
      <c r="E348" s="2540" t="s">
        <v>151</v>
      </c>
      <c r="F348" s="2343">
        <f>MIN(19, ROUND(100000/F337,0))</f>
        <v>19</v>
      </c>
      <c r="G348" s="4469" t="s">
        <v>167</v>
      </c>
      <c r="H348" s="4469"/>
      <c r="K348" s="199"/>
      <c r="L348" s="199"/>
      <c r="M348" s="226"/>
      <c r="N348" s="199"/>
      <c r="O348" s="199"/>
      <c r="P348" s="199"/>
      <c r="Q348" s="199"/>
      <c r="V348" s="3914"/>
      <c r="W348" s="2343"/>
      <c r="X348" s="2343"/>
      <c r="Y348" s="2343"/>
      <c r="Z348" s="2343"/>
      <c r="AA348" s="2343"/>
      <c r="AB348" s="2343"/>
      <c r="AC348" s="2289">
        <v>19</v>
      </c>
      <c r="AD348" s="2956">
        <v>19</v>
      </c>
      <c r="AE348" s="2285"/>
      <c r="AF348" s="2285"/>
      <c r="AG348" s="2285"/>
    </row>
    <row r="349" spans="2:33" ht="15" hidden="1" customHeight="1" outlineLevel="1" x14ac:dyDescent="0.35">
      <c r="B349" s="1040"/>
      <c r="C349" s="197"/>
      <c r="D349" s="4511" t="s">
        <v>169</v>
      </c>
      <c r="E349" s="1913" t="str">
        <f t="shared" ref="E349:E361" si="88">E321</f>
        <v>LED - 10W (CFL baseline) (750-1049 lumens)</v>
      </c>
      <c r="F349" s="1914">
        <v>2.0299999999999998</v>
      </c>
      <c r="G349" s="3698"/>
      <c r="H349" s="3698"/>
      <c r="K349" s="199"/>
      <c r="L349" s="199"/>
      <c r="M349" s="226"/>
      <c r="N349" s="199"/>
      <c r="O349" s="199"/>
      <c r="P349" s="199"/>
      <c r="Q349" s="199"/>
      <c r="V349" s="4512" t="str">
        <f>D349</f>
        <v>Inc. Cost</v>
      </c>
      <c r="W349" s="1914">
        <v>2.0299999999999998</v>
      </c>
      <c r="X349" s="1914">
        <v>2.0299999999999998</v>
      </c>
      <c r="Y349" s="1914">
        <v>2.0299999999999998</v>
      </c>
      <c r="Z349" s="1914">
        <v>2.0299999999999998</v>
      </c>
      <c r="AA349" s="1914">
        <v>2.0299999999999998</v>
      </c>
      <c r="AB349" s="1914">
        <v>2.0299999999999998</v>
      </c>
      <c r="AC349" s="1914">
        <v>2.0299999999999998</v>
      </c>
      <c r="AD349" s="1914">
        <v>2.0299999999999998</v>
      </c>
      <c r="AE349" s="1915"/>
      <c r="AF349" s="1915"/>
      <c r="AG349" s="1915"/>
    </row>
    <row r="350" spans="2:33" ht="15" hidden="1" customHeight="1" outlineLevel="1" x14ac:dyDescent="0.35">
      <c r="D350" s="3804"/>
      <c r="E350" s="2353" t="str">
        <f t="shared" si="88"/>
        <v>LED - 10W (Halogen baseline) (750-1049 lumens)</v>
      </c>
      <c r="F350" s="1014">
        <v>2.0299999999999998</v>
      </c>
      <c r="G350" s="3679"/>
      <c r="H350" s="3679"/>
      <c r="V350" s="3839"/>
      <c r="W350" s="1014">
        <v>2.0299999999999998</v>
      </c>
      <c r="X350" s="1014">
        <v>2.0299999999999998</v>
      </c>
      <c r="Y350" s="1014">
        <v>2.0299999999999998</v>
      </c>
      <c r="Z350" s="1014">
        <v>2.0299999999999998</v>
      </c>
      <c r="AA350" s="1014">
        <v>2.0299999999999998</v>
      </c>
      <c r="AB350" s="1014">
        <v>2.0299999999999998</v>
      </c>
      <c r="AC350" s="1014">
        <v>2.0299999999999998</v>
      </c>
      <c r="AD350" s="1014">
        <v>2.0299999999999998</v>
      </c>
      <c r="AE350" s="1038"/>
      <c r="AF350" s="1038"/>
      <c r="AG350" s="1038"/>
    </row>
    <row r="351" spans="2:33" ht="15" hidden="1" customHeight="1" outlineLevel="1" x14ac:dyDescent="0.35">
      <c r="D351" s="3804"/>
      <c r="E351" s="2353" t="str">
        <f t="shared" si="88"/>
        <v>LED - 12W Dimmable Light Bulb (Replacing CFL)</v>
      </c>
      <c r="F351" s="1014">
        <v>4.1399999999999997</v>
      </c>
      <c r="G351" s="3679"/>
      <c r="H351" s="3679"/>
      <c r="V351" s="3839"/>
      <c r="W351" s="1014">
        <v>4.1399999999999997</v>
      </c>
      <c r="X351" s="1014">
        <v>4.1399999999999997</v>
      </c>
      <c r="Y351" s="1014">
        <v>4.1399999999999997</v>
      </c>
      <c r="Z351" s="1014">
        <v>4.1399999999999997</v>
      </c>
      <c r="AA351" s="1014">
        <v>4.1399999999999997</v>
      </c>
      <c r="AB351" s="1014">
        <v>4.1399999999999997</v>
      </c>
      <c r="AC351" s="1014">
        <v>4.1399999999999997</v>
      </c>
      <c r="AD351" s="1014">
        <v>4.1399999999999997</v>
      </c>
      <c r="AE351" s="1038"/>
      <c r="AF351" s="1038"/>
      <c r="AG351" s="1038"/>
    </row>
    <row r="352" spans="2:33" ht="15" hidden="1" customHeight="1" outlineLevel="1" x14ac:dyDescent="0.35">
      <c r="D352" s="3804"/>
      <c r="E352" s="2353" t="str">
        <f t="shared" si="88"/>
        <v>LED - 12W Dimmable Light Bulb (Replacing Specialty Incandescent)</v>
      </c>
      <c r="F352" s="1014">
        <v>4.1399999999999997</v>
      </c>
      <c r="G352" s="3679"/>
      <c r="H352" s="3679"/>
      <c r="V352" s="3839"/>
      <c r="W352" s="1014">
        <v>4.1399999999999997</v>
      </c>
      <c r="X352" s="1014">
        <v>4.1399999999999997</v>
      </c>
      <c r="Y352" s="1014">
        <v>4.1399999999999997</v>
      </c>
      <c r="Z352" s="1014">
        <v>4.1399999999999997</v>
      </c>
      <c r="AA352" s="1014">
        <v>4.1399999999999997</v>
      </c>
      <c r="AB352" s="1014">
        <v>4.1399999999999997</v>
      </c>
      <c r="AC352" s="1014">
        <v>4.1399999999999997</v>
      </c>
      <c r="AD352" s="1014">
        <v>4.1399999999999997</v>
      </c>
      <c r="AE352" s="1038"/>
      <c r="AF352" s="1038"/>
      <c r="AG352" s="1038"/>
    </row>
    <row r="353" spans="2:54" ht="15" hidden="1" customHeight="1" outlineLevel="1" x14ac:dyDescent="0.35">
      <c r="D353" s="3804"/>
      <c r="E353" s="2353" t="str">
        <f t="shared" si="88"/>
        <v>LED - 12W (Halogen baseline)</v>
      </c>
      <c r="F353" s="1014">
        <f>'Income Eligible Deemed Table'!$Q$1133</f>
        <v>4.72</v>
      </c>
      <c r="G353" s="3679"/>
      <c r="H353" s="3679"/>
      <c r="V353" s="3839"/>
      <c r="W353" s="1014">
        <f>'Income Eligible Deemed Table'!$Q$1133</f>
        <v>4.72</v>
      </c>
      <c r="X353" s="1014">
        <v>4.72</v>
      </c>
      <c r="Y353" s="1014">
        <v>4.72</v>
      </c>
      <c r="Z353" s="1014">
        <v>4.72</v>
      </c>
      <c r="AA353" s="1014">
        <v>4.72</v>
      </c>
      <c r="AB353" s="1014">
        <v>4.72</v>
      </c>
      <c r="AC353" s="1014">
        <v>4.72</v>
      </c>
      <c r="AD353" s="1014">
        <v>4.72</v>
      </c>
      <c r="AE353" s="1038"/>
      <c r="AF353" s="1038"/>
      <c r="AG353" s="1038"/>
    </row>
    <row r="354" spans="2:54" ht="15" hidden="1" customHeight="1" outlineLevel="1" x14ac:dyDescent="0.35">
      <c r="D354" s="3804"/>
      <c r="E354" s="2353" t="str">
        <f t="shared" si="88"/>
        <v>LED - 12W (Replacing CFL)</v>
      </c>
      <c r="F354" s="1014">
        <f>$P$279</f>
        <v>4.72</v>
      </c>
      <c r="G354" s="3679"/>
      <c r="H354" s="3679"/>
      <c r="V354" s="3839"/>
      <c r="W354" s="1014">
        <f>$P$279</f>
        <v>4.72</v>
      </c>
      <c r="X354" s="1014">
        <v>4.72</v>
      </c>
      <c r="Y354" s="1014">
        <v>4.72</v>
      </c>
      <c r="Z354" s="1014">
        <v>4.72</v>
      </c>
      <c r="AA354" s="1014">
        <v>4.72</v>
      </c>
      <c r="AB354" s="1014">
        <v>4.72</v>
      </c>
      <c r="AC354" s="1014">
        <v>4.72</v>
      </c>
      <c r="AD354" s="1014">
        <v>4.72</v>
      </c>
      <c r="AE354" s="1038"/>
      <c r="AF354" s="1038"/>
      <c r="AG354" s="1038"/>
    </row>
    <row r="355" spans="2:54" ht="15" hidden="1" customHeight="1" outlineLevel="1" x14ac:dyDescent="0.35">
      <c r="D355" s="3804"/>
      <c r="E355" s="2353" t="str">
        <f t="shared" si="88"/>
        <v>LED - 15W (Halogen baseline) (1050-1489 lumens)</v>
      </c>
      <c r="F355" s="1014">
        <f>'Income Eligible Deemed Table'!$Q$1135</f>
        <v>6.27</v>
      </c>
      <c r="G355" s="3679"/>
      <c r="H355" s="3679"/>
      <c r="V355" s="3839"/>
      <c r="W355" s="1014">
        <f>'Income Eligible Deemed Table'!$Q$1135</f>
        <v>6.27</v>
      </c>
      <c r="X355" s="1014">
        <v>6.27</v>
      </c>
      <c r="Y355" s="1014">
        <v>6.27</v>
      </c>
      <c r="Z355" s="1014">
        <v>6.27</v>
      </c>
      <c r="AA355" s="1014">
        <v>6.27</v>
      </c>
      <c r="AB355" s="1014">
        <v>6.27</v>
      </c>
      <c r="AC355" s="1014">
        <v>6.27</v>
      </c>
      <c r="AD355" s="1014">
        <v>6.27</v>
      </c>
      <c r="AE355" s="1038"/>
      <c r="AF355" s="1038"/>
      <c r="AG355" s="1038"/>
    </row>
    <row r="356" spans="2:54" ht="15" hidden="1" customHeight="1" outlineLevel="1" x14ac:dyDescent="0.35">
      <c r="D356" s="3804"/>
      <c r="E356" s="2353" t="str">
        <f t="shared" si="88"/>
        <v>LED - 15W (CFL baseline) (1050-1489 lumens)</v>
      </c>
      <c r="F356" s="1014">
        <f>$P$281</f>
        <v>6.27</v>
      </c>
      <c r="G356" s="3679"/>
      <c r="H356" s="3679"/>
      <c r="V356" s="3839"/>
      <c r="W356" s="1014">
        <f>$P$281</f>
        <v>6.27</v>
      </c>
      <c r="X356" s="1014">
        <v>6.27</v>
      </c>
      <c r="Y356" s="1014">
        <v>6.27</v>
      </c>
      <c r="Z356" s="1014">
        <v>6.27</v>
      </c>
      <c r="AA356" s="1014">
        <v>6.27</v>
      </c>
      <c r="AB356" s="1014">
        <v>6.27</v>
      </c>
      <c r="AC356" s="1014">
        <v>6.27</v>
      </c>
      <c r="AD356" s="1014">
        <v>6.27</v>
      </c>
      <c r="AE356" s="1038"/>
      <c r="AF356" s="1038"/>
      <c r="AG356" s="1038"/>
    </row>
    <row r="357" spans="2:54" ht="15" hidden="1" customHeight="1" outlineLevel="1" x14ac:dyDescent="0.35">
      <c r="D357" s="3804"/>
      <c r="E357" s="2353" t="str">
        <f t="shared" si="88"/>
        <v>LED - 20W (Halogen baseline) (1490-2600 lumens)</v>
      </c>
      <c r="F357" s="1014">
        <f>'Income Eligible Deemed Table'!$Q$1139</f>
        <v>7.83</v>
      </c>
      <c r="G357" s="3679"/>
      <c r="H357" s="3679"/>
      <c r="V357" s="3839"/>
      <c r="W357" s="1014">
        <f>'Income Eligible Deemed Table'!$Q$1139</f>
        <v>7.83</v>
      </c>
      <c r="X357" s="1014">
        <v>7.83</v>
      </c>
      <c r="Y357" s="1014">
        <v>7.83</v>
      </c>
      <c r="Z357" s="1014">
        <v>7.83</v>
      </c>
      <c r="AA357" s="1014">
        <v>7.83</v>
      </c>
      <c r="AB357" s="1014">
        <v>7.83</v>
      </c>
      <c r="AC357" s="1014">
        <v>7.83</v>
      </c>
      <c r="AD357" s="1014">
        <v>7.83</v>
      </c>
      <c r="AE357" s="1038"/>
      <c r="AF357" s="1038"/>
      <c r="AG357" s="1038"/>
    </row>
    <row r="358" spans="2:54" ht="15" hidden="1" customHeight="1" outlineLevel="1" x14ac:dyDescent="0.35">
      <c r="D358" s="3804"/>
      <c r="E358" s="2353" t="str">
        <f t="shared" si="88"/>
        <v>LED - 20W (CFL baseline) (1490-2600 lumens)</v>
      </c>
      <c r="F358" s="1014">
        <f>$P$283</f>
        <v>7.83</v>
      </c>
      <c r="G358" s="3679"/>
      <c r="H358" s="3679"/>
      <c r="V358" s="3839"/>
      <c r="W358" s="1014">
        <f>$P$283</f>
        <v>7.83</v>
      </c>
      <c r="X358" s="1014">
        <v>7.83</v>
      </c>
      <c r="Y358" s="1014">
        <v>7.83</v>
      </c>
      <c r="Z358" s="1014">
        <v>7.83</v>
      </c>
      <c r="AA358" s="1014">
        <v>7.83</v>
      </c>
      <c r="AB358" s="1014">
        <v>7.83</v>
      </c>
      <c r="AC358" s="1014">
        <v>7.83</v>
      </c>
      <c r="AD358" s="1014">
        <v>7.83</v>
      </c>
      <c r="AE358" s="1038"/>
      <c r="AF358" s="1038"/>
      <c r="AG358" s="1038"/>
    </row>
    <row r="359" spans="2:54" ht="15" hidden="1" customHeight="1" outlineLevel="1" x14ac:dyDescent="0.35">
      <c r="D359" s="3804"/>
      <c r="E359" s="2353" t="str">
        <f t="shared" si="88"/>
        <v>LED - 11W Flood Light BR30 Bulb (Halogen baseline)</v>
      </c>
      <c r="F359" s="1014">
        <v>1.66</v>
      </c>
      <c r="G359" s="3679" t="s">
        <v>120</v>
      </c>
      <c r="H359" s="3679"/>
      <c r="V359" s="3839"/>
      <c r="W359" s="1014"/>
      <c r="X359" s="1014"/>
      <c r="Y359" s="1014"/>
      <c r="Z359" s="1014"/>
      <c r="AA359" s="1014"/>
      <c r="AB359" s="1492">
        <v>1.66</v>
      </c>
      <c r="AC359" s="1014">
        <v>1.66</v>
      </c>
      <c r="AD359" s="1014">
        <v>1.66</v>
      </c>
      <c r="AE359" s="1038"/>
      <c r="AF359" s="1038"/>
      <c r="AG359" s="1038"/>
    </row>
    <row r="360" spans="2:54" ht="15" hidden="1" customHeight="1" outlineLevel="1" x14ac:dyDescent="0.35">
      <c r="D360" s="3804"/>
      <c r="E360" s="2353" t="str">
        <f t="shared" si="88"/>
        <v>LED - 11W Flood Light BR30 Bulb (CFL baseline)</v>
      </c>
      <c r="F360" s="1014">
        <v>1.66</v>
      </c>
      <c r="G360" s="3679" t="s">
        <v>120</v>
      </c>
      <c r="H360" s="3679"/>
      <c r="V360" s="3839"/>
      <c r="W360" s="1014"/>
      <c r="X360" s="1014"/>
      <c r="Y360" s="1014"/>
      <c r="Z360" s="1014"/>
      <c r="AA360" s="1014"/>
      <c r="AB360" s="1492">
        <v>1.66</v>
      </c>
      <c r="AC360" s="1014">
        <v>1.66</v>
      </c>
      <c r="AD360" s="1014">
        <v>1.66</v>
      </c>
      <c r="AE360" s="1038"/>
      <c r="AF360" s="1038"/>
      <c r="AG360" s="1038"/>
    </row>
    <row r="361" spans="2:54" ht="15" hidden="1" customHeight="1" outlineLevel="1" x14ac:dyDescent="0.35">
      <c r="D361" s="3804"/>
      <c r="E361" s="2353" t="str">
        <f t="shared" si="88"/>
        <v>LED - 15W Flood Light PAR30 Bulb (Halogen baseline)</v>
      </c>
      <c r="F361" s="1014">
        <f>$P$288</f>
        <v>3.05</v>
      </c>
      <c r="G361" s="3679"/>
      <c r="H361" s="3679"/>
      <c r="V361" s="3839"/>
      <c r="W361" s="1014">
        <f>$P$288</f>
        <v>3.05</v>
      </c>
      <c r="X361" s="1014">
        <v>3.05</v>
      </c>
      <c r="Y361" s="1014">
        <v>3.05</v>
      </c>
      <c r="Z361" s="1014">
        <v>3.05</v>
      </c>
      <c r="AA361" s="1014">
        <v>3.05</v>
      </c>
      <c r="AB361" s="1014">
        <v>3.05</v>
      </c>
      <c r="AC361" s="1014">
        <v>3.05</v>
      </c>
      <c r="AD361" s="1014">
        <v>3.05</v>
      </c>
      <c r="AE361" s="1038"/>
      <c r="AF361" s="1038"/>
      <c r="AG361" s="1038"/>
    </row>
    <row r="362" spans="2:54" ht="15" hidden="1" customHeight="1" outlineLevel="1" x14ac:dyDescent="0.35">
      <c r="D362" s="3804"/>
      <c r="E362" s="2353" t="str">
        <f t="shared" ref="E362:E364" si="89">E334</f>
        <v>LED - 15W Flood Light PAR30 Bulb (CFL baseline)</v>
      </c>
      <c r="F362" s="1014">
        <v>3.05</v>
      </c>
      <c r="G362" s="3679"/>
      <c r="H362" s="3679"/>
      <c r="V362" s="3839"/>
      <c r="W362" s="1014">
        <v>3.05</v>
      </c>
      <c r="X362" s="1014">
        <v>3.05</v>
      </c>
      <c r="Y362" s="1014">
        <v>3.05</v>
      </c>
      <c r="Z362" s="1014">
        <v>3.05</v>
      </c>
      <c r="AA362" s="1014">
        <v>3.05</v>
      </c>
      <c r="AB362" s="1014">
        <v>3.05</v>
      </c>
      <c r="AC362" s="1014">
        <v>3.05</v>
      </c>
      <c r="AD362" s="1014">
        <v>3.05</v>
      </c>
      <c r="AE362" s="1038"/>
      <c r="AF362" s="1038"/>
      <c r="AG362" s="1038"/>
    </row>
    <row r="363" spans="2:54" ht="15" hidden="1" customHeight="1" outlineLevel="1" x14ac:dyDescent="0.35">
      <c r="D363" s="3804"/>
      <c r="E363" s="2353" t="str">
        <f t="shared" si="89"/>
        <v xml:space="preserve">LED - 6W (Halogen baseline) (310-749 lumens) </v>
      </c>
      <c r="F363" s="1014">
        <f>F350</f>
        <v>2.0299999999999998</v>
      </c>
      <c r="G363" s="3679" t="s">
        <v>2358</v>
      </c>
      <c r="H363" s="3679"/>
      <c r="V363" s="3839"/>
      <c r="W363" s="1014"/>
      <c r="X363" s="1014"/>
      <c r="Y363" s="1014"/>
      <c r="Z363" s="1014"/>
      <c r="AA363" s="1014"/>
      <c r="AB363" s="1492">
        <v>2.0299999999999998</v>
      </c>
      <c r="AC363" s="1014">
        <v>2.0299999999999998</v>
      </c>
      <c r="AD363" s="1014">
        <v>2.0299999999999998</v>
      </c>
      <c r="AE363" s="1038"/>
      <c r="AF363" s="1038"/>
      <c r="AG363" s="1038"/>
    </row>
    <row r="364" spans="2:54" ht="15" hidden="1" customHeight="1" outlineLevel="1" x14ac:dyDescent="0.35">
      <c r="D364" s="3816"/>
      <c r="E364" s="2353" t="str">
        <f t="shared" si="89"/>
        <v xml:space="preserve">LED - 6W (CFL baseline) (310-749 lumens) </v>
      </c>
      <c r="F364" s="1014">
        <f>F349</f>
        <v>2.0299999999999998</v>
      </c>
      <c r="G364" s="3679" t="s">
        <v>2359</v>
      </c>
      <c r="H364" s="3679"/>
      <c r="V364" s="3839"/>
      <c r="W364" s="1014"/>
      <c r="X364" s="1014"/>
      <c r="Y364" s="1014"/>
      <c r="Z364" s="1014"/>
      <c r="AA364" s="1014"/>
      <c r="AB364" s="2291"/>
      <c r="AC364" s="1492">
        <v>2.0299999999999998</v>
      </c>
      <c r="AD364" s="1014">
        <v>2.0299999999999998</v>
      </c>
      <c r="AE364" s="1038"/>
      <c r="AF364" s="1038"/>
      <c r="AG364" s="1038"/>
    </row>
    <row r="365" spans="2:54" ht="15" hidden="1" customHeight="1" outlineLevel="1" thickBot="1" x14ac:dyDescent="0.4">
      <c r="D365" s="3805"/>
      <c r="E365" s="1679" t="str">
        <f t="shared" ref="E365" si="90">E337</f>
        <v>LED Nightlights</v>
      </c>
      <c r="F365" s="2705">
        <v>3.35</v>
      </c>
      <c r="G365" s="4466" t="s">
        <v>127</v>
      </c>
      <c r="H365" s="4466"/>
      <c r="V365" s="3817"/>
      <c r="W365" s="1014">
        <v>0.35</v>
      </c>
      <c r="X365" s="1014">
        <v>0.35</v>
      </c>
      <c r="Y365" s="1014">
        <v>0.35</v>
      </c>
      <c r="Z365" s="1014">
        <v>0.35</v>
      </c>
      <c r="AA365" s="1014">
        <v>0.35</v>
      </c>
      <c r="AB365" s="1014">
        <v>0.35</v>
      </c>
      <c r="AC365" s="1492">
        <v>3.35</v>
      </c>
      <c r="AD365" s="2705">
        <v>3.35</v>
      </c>
      <c r="AE365" s="1038"/>
      <c r="AF365" s="1038"/>
      <c r="AG365" s="1038"/>
    </row>
    <row r="366" spans="2:54" collapsed="1" x14ac:dyDescent="0.35"/>
    <row r="368" spans="2:54" s="106" customFormat="1" x14ac:dyDescent="0.35">
      <c r="B368" s="3664" t="s">
        <v>2360</v>
      </c>
      <c r="C368" s="3665"/>
      <c r="D368" s="3665"/>
      <c r="E368" s="3665"/>
      <c r="F368" s="3665"/>
      <c r="G368" s="3665"/>
      <c r="H368" s="3665"/>
      <c r="I368" s="3666"/>
      <c r="J368" s="3666"/>
      <c r="K368" s="3666"/>
      <c r="L368" s="3666"/>
      <c r="M368" s="3666"/>
      <c r="N368" s="3666"/>
      <c r="O368" s="3666"/>
      <c r="P368" s="3666"/>
      <c r="Q368" s="3667"/>
      <c r="V368" s="3664" t="str">
        <f>B368</f>
        <v>Faucet Aerators (Kitchen)</v>
      </c>
      <c r="W368" s="3665"/>
      <c r="X368" s="3665"/>
      <c r="Y368" s="3665"/>
      <c r="Z368" s="3665"/>
      <c r="AA368" s="3665"/>
      <c r="AB368" s="3665"/>
      <c r="AC368" s="3680"/>
      <c r="AD368" s="3680"/>
      <c r="AE368" s="3680"/>
      <c r="AF368" s="3680"/>
      <c r="AG368" s="3680"/>
      <c r="AH368" s="3680"/>
      <c r="AI368" s="3681"/>
      <c r="AJ368"/>
      <c r="BB368" s="702"/>
    </row>
    <row r="369" spans="3:57" ht="18" customHeight="1" x14ac:dyDescent="0.35"/>
    <row r="370" spans="3:57" ht="29" x14ac:dyDescent="0.35">
      <c r="C370" s="2331" t="s">
        <v>27</v>
      </c>
      <c r="D370" s="2331" t="s">
        <v>174</v>
      </c>
      <c r="E370" s="2331" t="s">
        <v>29</v>
      </c>
      <c r="F370" s="2331" t="s">
        <v>30</v>
      </c>
      <c r="G370" s="2331" t="s">
        <v>175</v>
      </c>
      <c r="H370" s="2331" t="s">
        <v>176</v>
      </c>
      <c r="I370" s="2331" t="s">
        <v>588</v>
      </c>
      <c r="J370" s="2331" t="s">
        <v>31</v>
      </c>
      <c r="K370" s="2331" t="s">
        <v>180</v>
      </c>
      <c r="L370" s="2331" t="s">
        <v>169</v>
      </c>
      <c r="M370" s="2331" t="s">
        <v>43</v>
      </c>
      <c r="V370" s="1572" t="s">
        <v>44</v>
      </c>
      <c r="W370" s="1573">
        <f>W$6</f>
        <v>43252</v>
      </c>
      <c r="X370" s="1573">
        <f t="shared" ref="X370:AG370" si="91">X$6</f>
        <v>43465</v>
      </c>
      <c r="Y370" s="1573">
        <f t="shared" si="91"/>
        <v>43800</v>
      </c>
      <c r="Z370" s="1573">
        <f t="shared" si="91"/>
        <v>43862</v>
      </c>
      <c r="AA370" s="1573">
        <f t="shared" si="91"/>
        <v>44013</v>
      </c>
      <c r="AB370" s="1573">
        <f t="shared" si="91"/>
        <v>44166</v>
      </c>
      <c r="AC370" s="1573">
        <f t="shared" si="91"/>
        <v>44531</v>
      </c>
      <c r="AD370" s="1573">
        <f t="shared" si="91"/>
        <v>44774</v>
      </c>
      <c r="AE370" s="1573" t="str">
        <f t="shared" si="91"/>
        <v>-</v>
      </c>
      <c r="AF370" s="1573" t="str">
        <f t="shared" si="91"/>
        <v>-</v>
      </c>
      <c r="AG370" s="1573" t="str">
        <f t="shared" si="91"/>
        <v>-</v>
      </c>
      <c r="BB370" s="1574" t="str">
        <f>$BB$6</f>
        <v>TRC (2022)</v>
      </c>
      <c r="BC370" s="1584" t="str">
        <f>$BC$6</f>
        <v>Benefit Lookup</v>
      </c>
      <c r="BD370" s="556" t="str">
        <f>$BD$6</f>
        <v>Benefits (2019 $)</v>
      </c>
      <c r="BE370" s="200" t="str">
        <f>$BE$6</f>
        <v>Incremental Cost (2019 $)</v>
      </c>
    </row>
    <row r="371" spans="3:57" x14ac:dyDescent="0.35">
      <c r="C371" s="50" t="s">
        <v>2361</v>
      </c>
      <c r="D371" s="395" t="s">
        <v>2254</v>
      </c>
      <c r="E371" s="1461" t="s">
        <v>2362</v>
      </c>
      <c r="F371" s="459">
        <f>ROUND(F382*(F383*F384-F385*F386)*F387*F388*F389/F390*I371*F398*F397,2)</f>
        <v>110.18</v>
      </c>
      <c r="G371" s="88" t="s">
        <v>183</v>
      </c>
      <c r="H371" s="136">
        <f>VLOOKUP(G371,'CP FACTORS'!$A$3:$B$38, 2, FALSE)</f>
        <v>8.8731800000000003E-5</v>
      </c>
      <c r="I371" s="458">
        <f>F391*F392*(F393-F394)/(F395*F396)</f>
        <v>7.8971277842907403E-2</v>
      </c>
      <c r="J371" s="2732">
        <f>ROUND(F371*H371,6)</f>
        <v>9.776E-3</v>
      </c>
      <c r="K371" s="92">
        <f>F399</f>
        <v>10</v>
      </c>
      <c r="L371" s="1014">
        <f>F400</f>
        <v>8</v>
      </c>
      <c r="M371" s="2129" t="s">
        <v>184</v>
      </c>
      <c r="V371" s="141" t="str">
        <f>F370</f>
        <v>kWh Annual Savings</v>
      </c>
      <c r="W371" s="369">
        <v>115.90265988240036</v>
      </c>
      <c r="X371" s="1015">
        <v>115.90265988240036</v>
      </c>
      <c r="Y371" s="1015">
        <v>115.9</v>
      </c>
      <c r="Z371" s="1015">
        <v>115.9</v>
      </c>
      <c r="AA371" s="1015">
        <v>115.9</v>
      </c>
      <c r="AB371" s="1015">
        <v>115.9</v>
      </c>
      <c r="AC371" s="459">
        <v>115.98</v>
      </c>
      <c r="AD371" s="459">
        <v>110.18</v>
      </c>
      <c r="AE371" s="141"/>
      <c r="AF371" s="141"/>
      <c r="AG371" s="141"/>
      <c r="BB371" s="1585">
        <f>(BD371)/(BE371)</f>
        <v>4.9227061126063987</v>
      </c>
      <c r="BC371" s="2381" t="str">
        <f>CONCATENATE(G371," ",K371," Year EUL")</f>
        <v>Water Heating RES 10 Year EUL</v>
      </c>
      <c r="BD371" s="147">
        <f>(INDEX('Avoided Cost Benefits'!$E$4:$E$859,MATCH(BC371,'Avoided Cost Benefits'!$A$4:$A$859,0)))*F371</f>
        <v>37.170031997028019</v>
      </c>
      <c r="BE371" s="1587">
        <f>L371/(1.0595^(2020-2019))</f>
        <v>7.5507314771118441</v>
      </c>
    </row>
    <row r="372" spans="3:57" hidden="1" outlineLevel="1" x14ac:dyDescent="0.35">
      <c r="C372" s="3077"/>
      <c r="D372" s="3076"/>
      <c r="E372" s="3076"/>
      <c r="F372" s="2812"/>
      <c r="G372" s="3117"/>
      <c r="H372" s="2812"/>
      <c r="I372" s="2812"/>
      <c r="J372" s="2812"/>
      <c r="K372" s="2812"/>
      <c r="L372" s="2812"/>
      <c r="M372" s="2812"/>
    </row>
    <row r="373" spans="3:57" hidden="1" outlineLevel="1" x14ac:dyDescent="0.35">
      <c r="C373" s="3077"/>
      <c r="D373" s="3066" t="s">
        <v>107</v>
      </c>
      <c r="E373" s="3076"/>
      <c r="F373" s="2812"/>
      <c r="G373" s="2812"/>
      <c r="H373" s="2812"/>
      <c r="I373" s="2812"/>
      <c r="J373" s="2812"/>
      <c r="K373" s="2812"/>
      <c r="L373" s="2812"/>
      <c r="M373" s="2812"/>
    </row>
    <row r="374" spans="3:57" hidden="1" outlineLevel="1" x14ac:dyDescent="0.35">
      <c r="C374" s="3077"/>
      <c r="D374" s="3076"/>
      <c r="E374" s="3076"/>
      <c r="F374" s="2812"/>
      <c r="G374" s="2812"/>
      <c r="H374" s="2812"/>
      <c r="I374" s="2812"/>
      <c r="J374" s="2812"/>
      <c r="K374" s="2812"/>
      <c r="L374" s="2812"/>
      <c r="M374" s="2812"/>
    </row>
    <row r="375" spans="3:57" hidden="1" outlineLevel="1" x14ac:dyDescent="0.35">
      <c r="C375" s="3077"/>
      <c r="D375" s="3076"/>
      <c r="E375" s="3076"/>
      <c r="F375" s="2812"/>
      <c r="G375" s="2812"/>
      <c r="H375" s="2812"/>
      <c r="I375" s="2812"/>
      <c r="J375" s="2812"/>
      <c r="K375" s="2812"/>
      <c r="L375" s="2812"/>
      <c r="M375" s="2812"/>
    </row>
    <row r="376" spans="3:57" hidden="1" outlineLevel="1" x14ac:dyDescent="0.35">
      <c r="C376" s="3077"/>
      <c r="D376" s="3076"/>
      <c r="E376" s="3076"/>
      <c r="F376" s="2812"/>
      <c r="G376" s="2812"/>
      <c r="H376" s="2812"/>
      <c r="I376" s="2812"/>
      <c r="J376" s="2812"/>
      <c r="K376" s="2812"/>
      <c r="L376" s="2812"/>
      <c r="M376" s="2812"/>
    </row>
    <row r="377" spans="3:57" hidden="1" outlineLevel="1" x14ac:dyDescent="0.35">
      <c r="C377" s="3077"/>
      <c r="D377" s="3076"/>
      <c r="E377" s="3076"/>
      <c r="F377" s="2812"/>
      <c r="G377" s="2812"/>
      <c r="H377" s="2812"/>
      <c r="I377" s="2812"/>
      <c r="J377" s="2812"/>
      <c r="K377" s="2812"/>
      <c r="L377" s="2812"/>
      <c r="M377" s="2812"/>
    </row>
    <row r="378" spans="3:57" hidden="1" outlineLevel="1" x14ac:dyDescent="0.35">
      <c r="C378" s="3077"/>
      <c r="D378" s="3076"/>
      <c r="E378" s="3076"/>
      <c r="F378" s="2812"/>
      <c r="G378" s="2812"/>
      <c r="H378" s="2812"/>
      <c r="I378" s="2812"/>
      <c r="J378" s="2812"/>
      <c r="K378" s="2812"/>
      <c r="L378" s="2812"/>
      <c r="M378" s="2812"/>
    </row>
    <row r="379" spans="3:57" hidden="1" outlineLevel="1" x14ac:dyDescent="0.35">
      <c r="C379" s="3077"/>
      <c r="D379" s="3118"/>
      <c r="E379" s="3118"/>
      <c r="F379" s="3119"/>
      <c r="G379" s="3119"/>
      <c r="H379" s="3119"/>
      <c r="I379" s="3119"/>
      <c r="J379" s="3119"/>
      <c r="K379" s="3119"/>
      <c r="L379" s="3119"/>
      <c r="M379" s="3119"/>
    </row>
    <row r="380" spans="3:57" hidden="1" outlineLevel="1" x14ac:dyDescent="0.35">
      <c r="C380" s="3077"/>
      <c r="D380" s="3118"/>
      <c r="E380" s="3118"/>
      <c r="F380" s="3119"/>
      <c r="G380" s="3119"/>
      <c r="H380" s="3119"/>
      <c r="I380" s="3119"/>
      <c r="J380" s="3119"/>
      <c r="K380" s="3119"/>
      <c r="L380" s="3119"/>
      <c r="M380" s="3119"/>
    </row>
    <row r="381" spans="3:57" hidden="1" outlineLevel="1" x14ac:dyDescent="0.35">
      <c r="D381" s="2423" t="s">
        <v>108</v>
      </c>
      <c r="E381" s="2423" t="s">
        <v>109</v>
      </c>
      <c r="F381" s="2331" t="s">
        <v>111</v>
      </c>
      <c r="G381" s="3741" t="s">
        <v>186</v>
      </c>
      <c r="H381" s="3741"/>
      <c r="I381" s="3825" t="s">
        <v>112</v>
      </c>
      <c r="J381" s="4088"/>
      <c r="K381" s="3826"/>
      <c r="V381" s="1572" t="s">
        <v>44</v>
      </c>
      <c r="W381" s="1573">
        <f>W$6</f>
        <v>43252</v>
      </c>
      <c r="X381" s="1573">
        <f t="shared" ref="X381:AG381" si="92">X$6</f>
        <v>43465</v>
      </c>
      <c r="Y381" s="1573">
        <f t="shared" si="92"/>
        <v>43800</v>
      </c>
      <c r="Z381" s="1573">
        <f t="shared" si="92"/>
        <v>43862</v>
      </c>
      <c r="AA381" s="1573">
        <f t="shared" si="92"/>
        <v>44013</v>
      </c>
      <c r="AB381" s="1573">
        <f t="shared" si="92"/>
        <v>44166</v>
      </c>
      <c r="AC381" s="1573">
        <f t="shared" si="92"/>
        <v>44531</v>
      </c>
      <c r="AD381" s="1573">
        <f t="shared" si="92"/>
        <v>44774</v>
      </c>
      <c r="AE381" s="1573" t="str">
        <f t="shared" si="92"/>
        <v>-</v>
      </c>
      <c r="AF381" s="1573" t="str">
        <f t="shared" si="92"/>
        <v>-</v>
      </c>
      <c r="AG381" s="1573" t="str">
        <f t="shared" si="92"/>
        <v>-</v>
      </c>
    </row>
    <row r="382" spans="3:57" hidden="1" outlineLevel="1" x14ac:dyDescent="0.35">
      <c r="D382" s="2333" t="s">
        <v>596</v>
      </c>
      <c r="E382" s="2333" t="s">
        <v>597</v>
      </c>
      <c r="F382" s="874">
        <v>1</v>
      </c>
      <c r="G382" s="3834" t="s">
        <v>583</v>
      </c>
      <c r="H382" s="3834"/>
      <c r="I382" s="3786" t="s">
        <v>2363</v>
      </c>
      <c r="J382" s="3786"/>
      <c r="K382" s="3786"/>
      <c r="L382" s="486"/>
      <c r="V382" s="2414" t="str">
        <f>D382</f>
        <v>%Electric DHW</v>
      </c>
      <c r="W382" s="427">
        <v>1</v>
      </c>
      <c r="X382" s="427">
        <v>1</v>
      </c>
      <c r="Y382" s="427">
        <v>1</v>
      </c>
      <c r="Z382" s="427">
        <v>1</v>
      </c>
      <c r="AA382" s="427">
        <v>1</v>
      </c>
      <c r="AB382" s="427">
        <v>1</v>
      </c>
      <c r="AC382" s="874">
        <v>1</v>
      </c>
      <c r="AD382" s="874">
        <v>1</v>
      </c>
      <c r="AE382" s="427"/>
      <c r="AF382" s="427"/>
      <c r="AG382" s="427"/>
    </row>
    <row r="383" spans="3:57" ht="31.5" hidden="1" customHeight="1" outlineLevel="1" x14ac:dyDescent="0.35">
      <c r="D383" s="2333" t="s">
        <v>601</v>
      </c>
      <c r="E383" s="2333" t="s">
        <v>602</v>
      </c>
      <c r="F383" s="88">
        <v>2.2000000000000002</v>
      </c>
      <c r="G383" s="3804" t="s">
        <v>603</v>
      </c>
      <c r="H383" s="3804"/>
      <c r="I383" s="4513" t="s">
        <v>4416</v>
      </c>
      <c r="J383" s="4513"/>
      <c r="K383" s="4513"/>
      <c r="L383" s="486"/>
      <c r="V383" s="2414" t="str">
        <f t="shared" ref="V383:V398" si="93">D383</f>
        <v>GPM_base</v>
      </c>
      <c r="W383" s="419">
        <v>2.2000000000000002</v>
      </c>
      <c r="X383" s="419">
        <v>2.2000000000000002</v>
      </c>
      <c r="Y383" s="419">
        <v>2.2000000000000002</v>
      </c>
      <c r="Z383" s="419">
        <v>2.2000000000000002</v>
      </c>
      <c r="AA383" s="419">
        <v>2.2000000000000002</v>
      </c>
      <c r="AB383" s="419">
        <v>2.2000000000000002</v>
      </c>
      <c r="AC383" s="88">
        <v>2.2000000000000002</v>
      </c>
      <c r="AD383" s="2808">
        <v>2.2000000000000002</v>
      </c>
      <c r="AE383" s="419"/>
      <c r="AF383" s="419"/>
      <c r="AG383" s="419"/>
    </row>
    <row r="384" spans="3:57" ht="14.5" hidden="1" customHeight="1" outlineLevel="1" x14ac:dyDescent="0.35">
      <c r="D384" s="2333" t="s">
        <v>604</v>
      </c>
      <c r="E384" s="2333" t="s">
        <v>605</v>
      </c>
      <c r="F384" s="88">
        <v>3.7</v>
      </c>
      <c r="G384" s="3804" t="s">
        <v>607</v>
      </c>
      <c r="H384" s="3804"/>
      <c r="I384" s="3786" t="s">
        <v>2364</v>
      </c>
      <c r="J384" s="3786"/>
      <c r="K384" s="3786"/>
      <c r="L384" s="486"/>
      <c r="V384" s="2414" t="str">
        <f t="shared" si="93"/>
        <v>L_base</v>
      </c>
      <c r="W384" s="419">
        <v>3.7</v>
      </c>
      <c r="X384" s="419">
        <v>3.7</v>
      </c>
      <c r="Y384" s="419">
        <v>3.7</v>
      </c>
      <c r="Z384" s="419">
        <v>3.7</v>
      </c>
      <c r="AA384" s="419">
        <v>3.7</v>
      </c>
      <c r="AB384" s="419">
        <v>3.7</v>
      </c>
      <c r="AC384" s="88">
        <v>3.7</v>
      </c>
      <c r="AD384" s="2808">
        <v>3.7</v>
      </c>
      <c r="AE384" s="419"/>
      <c r="AF384" s="419"/>
      <c r="AG384" s="419"/>
    </row>
    <row r="385" spans="1:54" ht="14.5" hidden="1" customHeight="1" outlineLevel="1" x14ac:dyDescent="0.35">
      <c r="D385" s="2333" t="s">
        <v>609</v>
      </c>
      <c r="E385" s="2333" t="s">
        <v>610</v>
      </c>
      <c r="F385" s="330">
        <v>1.5</v>
      </c>
      <c r="G385" s="3804" t="s">
        <v>611</v>
      </c>
      <c r="H385" s="3804"/>
      <c r="I385" s="4513" t="s">
        <v>4416</v>
      </c>
      <c r="J385" s="4513"/>
      <c r="K385" s="4513"/>
      <c r="L385" s="486"/>
      <c r="V385" s="2414" t="str">
        <f t="shared" si="93"/>
        <v>GPM_low</v>
      </c>
      <c r="W385" s="404">
        <v>1.5</v>
      </c>
      <c r="X385" s="404">
        <v>1.5</v>
      </c>
      <c r="Y385" s="404">
        <v>1.5</v>
      </c>
      <c r="Z385" s="404">
        <v>1.5</v>
      </c>
      <c r="AA385" s="404">
        <v>1.5</v>
      </c>
      <c r="AB385" s="404">
        <v>1.5</v>
      </c>
      <c r="AC385" s="330">
        <v>1.5</v>
      </c>
      <c r="AD385" s="330">
        <v>1.5</v>
      </c>
      <c r="AE385" s="404"/>
      <c r="AF385" s="404"/>
      <c r="AG385" s="404"/>
    </row>
    <row r="386" spans="1:54" hidden="1" outlineLevel="1" x14ac:dyDescent="0.35">
      <c r="D386" s="2333" t="s">
        <v>612</v>
      </c>
      <c r="E386" s="2333" t="s">
        <v>613</v>
      </c>
      <c r="F386" s="88">
        <v>3.7</v>
      </c>
      <c r="G386" s="3804" t="s">
        <v>607</v>
      </c>
      <c r="H386" s="3804"/>
      <c r="I386" s="3786" t="s">
        <v>2364</v>
      </c>
      <c r="J386" s="3786"/>
      <c r="K386" s="3786"/>
      <c r="L386" s="486"/>
      <c r="V386" s="2414" t="str">
        <f t="shared" si="93"/>
        <v>L_low</v>
      </c>
      <c r="W386" s="419">
        <v>3.7</v>
      </c>
      <c r="X386" s="419">
        <v>3.7</v>
      </c>
      <c r="Y386" s="419">
        <v>3.7</v>
      </c>
      <c r="Z386" s="419">
        <v>3.7</v>
      </c>
      <c r="AA386" s="419">
        <v>3.7</v>
      </c>
      <c r="AB386" s="419">
        <v>3.7</v>
      </c>
      <c r="AC386" s="88">
        <v>3.7</v>
      </c>
      <c r="AD386" s="2808">
        <v>3.7</v>
      </c>
      <c r="AE386" s="419"/>
      <c r="AF386" s="419"/>
      <c r="AG386" s="419"/>
    </row>
    <row r="387" spans="1:54" hidden="1" outlineLevel="1" x14ac:dyDescent="0.35">
      <c r="D387" s="2333" t="s">
        <v>199</v>
      </c>
      <c r="E387" s="2333" t="s">
        <v>614</v>
      </c>
      <c r="F387" s="88">
        <v>2.0699999999999998</v>
      </c>
      <c r="G387" s="3804" t="s">
        <v>2365</v>
      </c>
      <c r="H387" s="3804"/>
      <c r="I387" s="3786" t="s">
        <v>2364</v>
      </c>
      <c r="J387" s="3786"/>
      <c r="K387" s="3786"/>
      <c r="L387" s="486"/>
      <c r="V387" s="2414" t="str">
        <f t="shared" si="93"/>
        <v>Household</v>
      </c>
      <c r="W387" s="419">
        <v>2.0699999999999998</v>
      </c>
      <c r="X387" s="419">
        <v>2.0699999999999998</v>
      </c>
      <c r="Y387" s="419">
        <v>2.0699999999999998</v>
      </c>
      <c r="Z387" s="419">
        <v>2.0699999999999998</v>
      </c>
      <c r="AA387" s="419">
        <v>2.0699999999999998</v>
      </c>
      <c r="AB387" s="419">
        <v>2.0699999999999998</v>
      </c>
      <c r="AC387" s="88">
        <v>2.0699999999999998</v>
      </c>
      <c r="AD387" s="2808">
        <v>2.0699999999999998</v>
      </c>
      <c r="AE387" s="419"/>
      <c r="AF387" s="419"/>
      <c r="AG387" s="419"/>
    </row>
    <row r="388" spans="1:54" ht="103.5" hidden="1" customHeight="1" outlineLevel="1" x14ac:dyDescent="0.35">
      <c r="D388" s="391" t="s">
        <v>618</v>
      </c>
      <c r="E388" s="2333" t="s">
        <v>619</v>
      </c>
      <c r="F388" s="88">
        <v>0.75</v>
      </c>
      <c r="G388" s="3804" t="s">
        <v>620</v>
      </c>
      <c r="H388" s="3804"/>
      <c r="I388" s="3786" t="s">
        <v>2364</v>
      </c>
      <c r="J388" s="3786"/>
      <c r="K388" s="3786"/>
      <c r="L388" s="486"/>
      <c r="V388" s="2414" t="str">
        <f t="shared" si="93"/>
        <v>DF</v>
      </c>
      <c r="W388" s="419">
        <v>0.75</v>
      </c>
      <c r="X388" s="419">
        <v>0.75</v>
      </c>
      <c r="Y388" s="419">
        <v>0.75</v>
      </c>
      <c r="Z388" s="419">
        <v>0.75</v>
      </c>
      <c r="AA388" s="419">
        <v>0.75</v>
      </c>
      <c r="AB388" s="419">
        <v>0.75</v>
      </c>
      <c r="AC388" s="88">
        <v>0.75</v>
      </c>
      <c r="AD388" s="2808">
        <v>0.75</v>
      </c>
      <c r="AE388" s="419"/>
      <c r="AF388" s="419"/>
      <c r="AG388" s="419"/>
    </row>
    <row r="389" spans="1:54" hidden="1" outlineLevel="1" x14ac:dyDescent="0.35">
      <c r="D389" s="391">
        <v>365.25</v>
      </c>
      <c r="E389" s="2333" t="s">
        <v>569</v>
      </c>
      <c r="F389" s="88">
        <v>365.25</v>
      </c>
      <c r="G389" s="3804" t="s">
        <v>570</v>
      </c>
      <c r="H389" s="3804"/>
      <c r="I389" s="3786" t="s">
        <v>2364</v>
      </c>
      <c r="J389" s="3786"/>
      <c r="K389" s="3786"/>
      <c r="L389" s="486"/>
      <c r="V389" s="2414">
        <f t="shared" si="93"/>
        <v>365.25</v>
      </c>
      <c r="W389" s="419">
        <v>365</v>
      </c>
      <c r="X389" s="419">
        <v>365</v>
      </c>
      <c r="Y389" s="419">
        <v>365</v>
      </c>
      <c r="Z389" s="419">
        <v>365</v>
      </c>
      <c r="AA389" s="419">
        <v>365</v>
      </c>
      <c r="AB389" s="419">
        <v>365</v>
      </c>
      <c r="AC389" s="293">
        <v>365.25</v>
      </c>
      <c r="AD389" s="2808">
        <v>365.25</v>
      </c>
      <c r="AE389" s="419"/>
      <c r="AF389" s="419"/>
      <c r="AG389" s="419"/>
    </row>
    <row r="390" spans="1:54" hidden="1" outlineLevel="1" x14ac:dyDescent="0.35">
      <c r="D390" s="391" t="s">
        <v>621</v>
      </c>
      <c r="E390" s="2333" t="s">
        <v>622</v>
      </c>
      <c r="F390" s="1462">
        <v>1</v>
      </c>
      <c r="G390" s="3834" t="s">
        <v>624</v>
      </c>
      <c r="H390" s="3834"/>
      <c r="I390" s="3786" t="s">
        <v>2364</v>
      </c>
      <c r="J390" s="3786"/>
      <c r="K390" s="3786"/>
      <c r="L390" s="486"/>
      <c r="V390" s="2414" t="str">
        <f t="shared" si="93"/>
        <v>FPH</v>
      </c>
      <c r="W390" s="442">
        <v>1</v>
      </c>
      <c r="X390" s="442">
        <v>1</v>
      </c>
      <c r="Y390" s="442">
        <v>1</v>
      </c>
      <c r="Z390" s="442">
        <v>1</v>
      </c>
      <c r="AA390" s="442">
        <v>1</v>
      </c>
      <c r="AB390" s="442">
        <v>1</v>
      </c>
      <c r="AC390" s="1462">
        <v>1</v>
      </c>
      <c r="AD390" s="1462">
        <v>1</v>
      </c>
      <c r="AE390" s="442"/>
      <c r="AF390" s="442"/>
      <c r="AG390" s="442"/>
    </row>
    <row r="391" spans="1:54" hidden="1" outlineLevel="1" x14ac:dyDescent="0.35">
      <c r="D391" s="391">
        <v>8.33</v>
      </c>
      <c r="E391" s="2344" t="s">
        <v>626</v>
      </c>
      <c r="F391" s="88">
        <v>8.33</v>
      </c>
      <c r="G391" s="3834" t="s">
        <v>627</v>
      </c>
      <c r="H391" s="3834"/>
      <c r="I391" s="3786" t="s">
        <v>2364</v>
      </c>
      <c r="J391" s="3786"/>
      <c r="K391" s="3786"/>
      <c r="L391" s="486"/>
      <c r="V391" s="2414">
        <f t="shared" si="93"/>
        <v>8.33</v>
      </c>
      <c r="W391" s="419">
        <v>8.33</v>
      </c>
      <c r="X391" s="419">
        <v>8.33</v>
      </c>
      <c r="Y391" s="419">
        <v>8.33</v>
      </c>
      <c r="Z391" s="419">
        <v>8.33</v>
      </c>
      <c r="AA391" s="419">
        <v>8.33</v>
      </c>
      <c r="AB391" s="419">
        <v>8.33</v>
      </c>
      <c r="AC391" s="88">
        <v>8.33</v>
      </c>
      <c r="AD391" s="2808">
        <v>8.33</v>
      </c>
      <c r="AE391" s="419"/>
      <c r="AF391" s="419"/>
      <c r="AG391" s="419"/>
    </row>
    <row r="392" spans="1:54" hidden="1" outlineLevel="1" x14ac:dyDescent="0.35">
      <c r="D392" s="391">
        <v>1</v>
      </c>
      <c r="E392" s="2333" t="s">
        <v>628</v>
      </c>
      <c r="F392" s="92">
        <v>1</v>
      </c>
      <c r="G392" s="3804" t="s">
        <v>629</v>
      </c>
      <c r="H392" s="3804"/>
      <c r="I392" s="3786" t="s">
        <v>2364</v>
      </c>
      <c r="J392" s="3786"/>
      <c r="K392" s="3786"/>
      <c r="L392" s="486"/>
      <c r="V392" s="2414">
        <f t="shared" si="93"/>
        <v>1</v>
      </c>
      <c r="W392" s="295">
        <v>1</v>
      </c>
      <c r="X392" s="295">
        <v>1</v>
      </c>
      <c r="Y392" s="295">
        <v>1</v>
      </c>
      <c r="Z392" s="295">
        <v>1</v>
      </c>
      <c r="AA392" s="295">
        <v>1</v>
      </c>
      <c r="AB392" s="295">
        <v>1</v>
      </c>
      <c r="AC392" s="92">
        <v>1</v>
      </c>
      <c r="AD392" s="92">
        <v>1</v>
      </c>
      <c r="AE392" s="295"/>
      <c r="AF392" s="295"/>
      <c r="AG392" s="295"/>
    </row>
    <row r="393" spans="1:54" ht="151.5" hidden="1" customHeight="1" outlineLevel="1" x14ac:dyDescent="0.35">
      <c r="D393" s="2333" t="s">
        <v>630</v>
      </c>
      <c r="E393" s="2333" t="s">
        <v>631</v>
      </c>
      <c r="F393" s="88">
        <v>93</v>
      </c>
      <c r="G393" s="3804" t="s">
        <v>632</v>
      </c>
      <c r="H393" s="3804"/>
      <c r="I393" s="3786" t="s">
        <v>2364</v>
      </c>
      <c r="J393" s="3786"/>
      <c r="K393" s="3786"/>
      <c r="L393" s="486"/>
      <c r="V393" s="2414" t="str">
        <f t="shared" si="93"/>
        <v>WaterTemp</v>
      </c>
      <c r="W393" s="419">
        <v>93</v>
      </c>
      <c r="X393" s="419">
        <v>93</v>
      </c>
      <c r="Y393" s="419">
        <v>93</v>
      </c>
      <c r="Z393" s="419">
        <v>93</v>
      </c>
      <c r="AA393" s="419">
        <v>93</v>
      </c>
      <c r="AB393" s="419">
        <v>93</v>
      </c>
      <c r="AC393" s="88">
        <v>93</v>
      </c>
      <c r="AD393" s="2808">
        <v>93</v>
      </c>
      <c r="AE393" s="419"/>
      <c r="AF393" s="419"/>
      <c r="AG393" s="419"/>
    </row>
    <row r="394" spans="1:54" s="398" customFormat="1" ht="96" hidden="1" customHeight="1" outlineLevel="1" x14ac:dyDescent="0.35">
      <c r="A394" s="486"/>
      <c r="B394" s="486"/>
      <c r="C394" s="416"/>
      <c r="D394" s="2333" t="s">
        <v>633</v>
      </c>
      <c r="E394" s="2333" t="s">
        <v>634</v>
      </c>
      <c r="F394" s="88">
        <v>61.3</v>
      </c>
      <c r="G394" s="3804" t="s">
        <v>635</v>
      </c>
      <c r="H394" s="3804"/>
      <c r="I394" s="3786" t="s">
        <v>2364</v>
      </c>
      <c r="J394" s="3786"/>
      <c r="K394" s="3786"/>
      <c r="L394" s="486"/>
      <c r="M394" s="486"/>
      <c r="N394" s="486"/>
      <c r="O394" s="486"/>
      <c r="P394" s="486"/>
      <c r="Q394" s="486"/>
      <c r="R394" s="486"/>
      <c r="S394" s="486"/>
      <c r="T394" s="486"/>
      <c r="U394" s="486"/>
      <c r="V394" s="2414" t="str">
        <f t="shared" si="93"/>
        <v>SupplyTemp</v>
      </c>
      <c r="W394" s="419">
        <v>61.3</v>
      </c>
      <c r="X394" s="419">
        <v>61.3</v>
      </c>
      <c r="Y394" s="419">
        <v>61.3</v>
      </c>
      <c r="Z394" s="419">
        <v>61.3</v>
      </c>
      <c r="AA394" s="419">
        <v>61.3</v>
      </c>
      <c r="AB394" s="419">
        <v>61.3</v>
      </c>
      <c r="AC394" s="88">
        <v>61.3</v>
      </c>
      <c r="AD394" s="2808">
        <v>61.3</v>
      </c>
      <c r="AE394" s="419"/>
      <c r="AF394" s="419"/>
      <c r="AG394" s="419"/>
      <c r="AH394"/>
      <c r="AI394"/>
      <c r="AJ394"/>
      <c r="BB394" s="1039"/>
    </row>
    <row r="395" spans="1:54" s="398" customFormat="1" ht="59.25" hidden="1" customHeight="1" outlineLevel="1" x14ac:dyDescent="0.35">
      <c r="A395" s="486"/>
      <c r="B395" s="486"/>
      <c r="C395" s="416"/>
      <c r="D395" s="2333" t="s">
        <v>636</v>
      </c>
      <c r="E395" s="2333" t="s">
        <v>637</v>
      </c>
      <c r="F395" s="88">
        <v>0.98</v>
      </c>
      <c r="G395" s="3834" t="s">
        <v>638</v>
      </c>
      <c r="H395" s="3834"/>
      <c r="I395" s="3786" t="s">
        <v>2364</v>
      </c>
      <c r="J395" s="3786"/>
      <c r="K395" s="3786"/>
      <c r="L395" s="486"/>
      <c r="M395" s="486"/>
      <c r="N395" s="486"/>
      <c r="O395" s="486"/>
      <c r="P395" s="486"/>
      <c r="Q395" s="486"/>
      <c r="R395" s="486"/>
      <c r="S395" s="486"/>
      <c r="T395" s="486"/>
      <c r="U395" s="486"/>
      <c r="V395" s="2414" t="str">
        <f t="shared" si="93"/>
        <v>RE_electric</v>
      </c>
      <c r="W395" s="419">
        <v>0.98</v>
      </c>
      <c r="X395" s="419">
        <v>0.98</v>
      </c>
      <c r="Y395" s="419">
        <v>0.98</v>
      </c>
      <c r="Z395" s="419">
        <v>0.98</v>
      </c>
      <c r="AA395" s="419">
        <v>0.98</v>
      </c>
      <c r="AB395" s="419">
        <v>0.98</v>
      </c>
      <c r="AC395" s="88">
        <v>0.98</v>
      </c>
      <c r="AD395" s="2808">
        <v>0.98</v>
      </c>
      <c r="AE395" s="419"/>
      <c r="AF395" s="419"/>
      <c r="AG395" s="419"/>
      <c r="AH395"/>
      <c r="AI395"/>
      <c r="AJ395"/>
      <c r="BB395" s="1039"/>
    </row>
    <row r="396" spans="1:54" s="398" customFormat="1" hidden="1" outlineLevel="1" x14ac:dyDescent="0.35">
      <c r="A396" s="486"/>
      <c r="B396" s="486"/>
      <c r="C396" s="416"/>
      <c r="D396" s="2333">
        <v>3412</v>
      </c>
      <c r="E396" s="2344" t="s">
        <v>639</v>
      </c>
      <c r="F396" s="337">
        <v>3412</v>
      </c>
      <c r="G396" s="3834" t="s">
        <v>217</v>
      </c>
      <c r="H396" s="3834"/>
      <c r="I396" s="3786" t="s">
        <v>2364</v>
      </c>
      <c r="J396" s="3786"/>
      <c r="K396" s="3786"/>
      <c r="L396" s="486"/>
      <c r="M396" s="486"/>
      <c r="N396" s="486"/>
      <c r="O396" s="486"/>
      <c r="P396" s="486"/>
      <c r="Q396" s="486"/>
      <c r="R396" s="486"/>
      <c r="S396" s="486"/>
      <c r="T396" s="486"/>
      <c r="U396" s="486"/>
      <c r="V396" s="2414">
        <f t="shared" si="93"/>
        <v>3412</v>
      </c>
      <c r="W396" s="444">
        <v>3412</v>
      </c>
      <c r="X396" s="444">
        <v>3412</v>
      </c>
      <c r="Y396" s="444">
        <v>3412</v>
      </c>
      <c r="Z396" s="444">
        <v>3412</v>
      </c>
      <c r="AA396" s="444">
        <v>3412</v>
      </c>
      <c r="AB396" s="444">
        <v>3412</v>
      </c>
      <c r="AC396" s="337">
        <v>3412</v>
      </c>
      <c r="AD396" s="337">
        <v>3412</v>
      </c>
      <c r="AE396" s="444"/>
      <c r="AF396" s="444"/>
      <c r="AG396" s="444"/>
      <c r="AH396"/>
      <c r="AI396"/>
      <c r="AJ396"/>
      <c r="BB396" s="1039"/>
    </row>
    <row r="397" spans="1:54" s="398" customFormat="1" ht="15" hidden="1" customHeight="1" outlineLevel="1" x14ac:dyDescent="0.35">
      <c r="A397" s="486"/>
      <c r="B397" s="486"/>
      <c r="C397" s="416"/>
      <c r="D397" s="2333" t="s">
        <v>516</v>
      </c>
      <c r="E397" s="2333" t="s">
        <v>578</v>
      </c>
      <c r="F397" s="874">
        <v>1</v>
      </c>
      <c r="G397" s="3834" t="s">
        <v>583</v>
      </c>
      <c r="H397" s="3834"/>
      <c r="I397" s="3786" t="s">
        <v>2363</v>
      </c>
      <c r="J397" s="3786"/>
      <c r="K397" s="3786"/>
      <c r="L397" s="486"/>
      <c r="M397" s="486"/>
      <c r="N397" s="486"/>
      <c r="O397" s="486"/>
      <c r="P397" s="486"/>
      <c r="Q397" s="486"/>
      <c r="R397" s="486"/>
      <c r="S397" s="486"/>
      <c r="T397" s="486"/>
      <c r="U397" s="486"/>
      <c r="V397" s="2414" t="str">
        <f t="shared" si="93"/>
        <v>Utility Adjustment</v>
      </c>
      <c r="W397" s="427">
        <v>1</v>
      </c>
      <c r="X397" s="427">
        <v>1</v>
      </c>
      <c r="Y397" s="427">
        <v>1</v>
      </c>
      <c r="Z397" s="427">
        <v>1</v>
      </c>
      <c r="AA397" s="427">
        <v>1</v>
      </c>
      <c r="AB397" s="427">
        <v>1</v>
      </c>
      <c r="AC397" s="874">
        <v>1</v>
      </c>
      <c r="AD397" s="874">
        <v>1</v>
      </c>
      <c r="AE397" s="427"/>
      <c r="AF397" s="427"/>
      <c r="AG397" s="427"/>
      <c r="AH397"/>
      <c r="AI397"/>
      <c r="AJ397"/>
      <c r="BB397" s="1039"/>
    </row>
    <row r="398" spans="1:54" s="398" customFormat="1" hidden="1" outlineLevel="1" x14ac:dyDescent="0.35">
      <c r="A398" s="486"/>
      <c r="B398" s="486"/>
      <c r="C398" s="416"/>
      <c r="D398" s="2333" t="s">
        <v>132</v>
      </c>
      <c r="E398" s="2333" t="s">
        <v>251</v>
      </c>
      <c r="F398" s="455">
        <v>0.95</v>
      </c>
      <c r="G398" s="4514" t="s">
        <v>520</v>
      </c>
      <c r="H398" s="4514" t="s">
        <v>520</v>
      </c>
      <c r="I398" s="4513" t="s">
        <v>4418</v>
      </c>
      <c r="J398" s="4513"/>
      <c r="K398" s="4513"/>
      <c r="L398" s="486"/>
      <c r="M398" s="486"/>
      <c r="N398" s="486"/>
      <c r="O398" s="486"/>
      <c r="P398" s="486"/>
      <c r="Q398" s="486"/>
      <c r="R398" s="486"/>
      <c r="S398" s="486"/>
      <c r="T398" s="486"/>
      <c r="U398" s="486"/>
      <c r="V398" s="2414" t="str">
        <f t="shared" si="93"/>
        <v>ISR</v>
      </c>
      <c r="W398" s="427">
        <v>1</v>
      </c>
      <c r="X398" s="427">
        <v>1</v>
      </c>
      <c r="Y398" s="427">
        <v>1</v>
      </c>
      <c r="Z398" s="427">
        <v>1</v>
      </c>
      <c r="AA398" s="427">
        <v>1</v>
      </c>
      <c r="AB398" s="427">
        <v>1</v>
      </c>
      <c r="AC398" s="874">
        <v>1</v>
      </c>
      <c r="AD398" s="455">
        <v>0.95</v>
      </c>
      <c r="AE398" s="427"/>
      <c r="AF398" s="427"/>
      <c r="AG398" s="427"/>
      <c r="AH398"/>
      <c r="AI398"/>
      <c r="AJ398"/>
      <c r="BB398" s="1039"/>
    </row>
    <row r="399" spans="1:54" s="199" customFormat="1" ht="15" hidden="1" customHeight="1" outlineLevel="1" x14ac:dyDescent="0.35">
      <c r="B399" s="1040"/>
      <c r="C399" s="197"/>
      <c r="D399" s="1494" t="str">
        <f>$D$34</f>
        <v>EUL</v>
      </c>
      <c r="E399" s="2333" t="s">
        <v>134</v>
      </c>
      <c r="F399" s="867">
        <v>10</v>
      </c>
      <c r="G399" s="3834"/>
      <c r="H399" s="3834"/>
      <c r="I399" s="3786"/>
      <c r="J399" s="3786"/>
      <c r="K399" s="3786"/>
      <c r="V399" s="2094" t="str">
        <f>D399</f>
        <v>EUL</v>
      </c>
      <c r="W399" s="867">
        <v>10</v>
      </c>
      <c r="X399" s="867">
        <v>10</v>
      </c>
      <c r="Y399" s="867">
        <v>10</v>
      </c>
      <c r="Z399" s="867">
        <v>10</v>
      </c>
      <c r="AA399" s="867">
        <v>10</v>
      </c>
      <c r="AB399" s="867">
        <v>10</v>
      </c>
      <c r="AC399" s="867">
        <v>10</v>
      </c>
      <c r="AD399" s="867">
        <v>10</v>
      </c>
      <c r="AE399" s="237"/>
      <c r="AF399" s="237"/>
      <c r="AG399" s="237"/>
      <c r="AK399" s="1041"/>
      <c r="BB399" s="1042"/>
    </row>
    <row r="400" spans="1:54" s="199" customFormat="1" ht="15" hidden="1" customHeight="1" outlineLevel="1" x14ac:dyDescent="0.35">
      <c r="B400" s="1040"/>
      <c r="C400" s="197"/>
      <c r="D400" s="1494" t="str">
        <f>$D$35</f>
        <v>Inc. Cost</v>
      </c>
      <c r="E400" s="2333" t="s">
        <v>417</v>
      </c>
      <c r="F400" s="888">
        <v>8</v>
      </c>
      <c r="G400" s="3834"/>
      <c r="H400" s="3834"/>
      <c r="I400" s="3786"/>
      <c r="J400" s="3786"/>
      <c r="K400" s="3786"/>
      <c r="V400" s="2094" t="str">
        <f>D400</f>
        <v>Inc. Cost</v>
      </c>
      <c r="W400" s="888">
        <v>8</v>
      </c>
      <c r="X400" s="888">
        <v>8</v>
      </c>
      <c r="Y400" s="888">
        <v>8</v>
      </c>
      <c r="Z400" s="888">
        <v>8</v>
      </c>
      <c r="AA400" s="888">
        <v>8</v>
      </c>
      <c r="AB400" s="888">
        <v>8</v>
      </c>
      <c r="AC400" s="888">
        <v>8</v>
      </c>
      <c r="AD400" s="888">
        <v>8</v>
      </c>
      <c r="AE400" s="237"/>
      <c r="AF400" s="237"/>
      <c r="AG400" s="237"/>
      <c r="AK400" s="1041"/>
      <c r="BB400" s="1042"/>
    </row>
    <row r="401" spans="1:57" collapsed="1" x14ac:dyDescent="0.35">
      <c r="B401" s="1450"/>
      <c r="C401" s="1451"/>
      <c r="D401" s="1013"/>
      <c r="E401" s="1013"/>
      <c r="F401" s="1450"/>
      <c r="G401" s="1450"/>
      <c r="H401" s="1450"/>
      <c r="I401" s="1450"/>
      <c r="J401" s="1450"/>
      <c r="K401" s="1450"/>
      <c r="L401" s="1450"/>
    </row>
    <row r="402" spans="1:57" x14ac:dyDescent="0.35">
      <c r="B402" s="1450"/>
      <c r="C402" s="1451"/>
      <c r="D402" s="1013"/>
      <c r="E402" s="1013"/>
      <c r="F402" s="1450"/>
      <c r="G402" s="1450"/>
      <c r="H402" s="1450"/>
      <c r="I402" s="1450"/>
      <c r="J402" s="1450"/>
      <c r="K402" s="1450"/>
      <c r="L402" s="1450"/>
    </row>
    <row r="403" spans="1:57" s="106" customFormat="1" x14ac:dyDescent="0.35">
      <c r="B403" s="3664" t="s">
        <v>2366</v>
      </c>
      <c r="C403" s="3665"/>
      <c r="D403" s="3665"/>
      <c r="E403" s="3665"/>
      <c r="F403" s="3665"/>
      <c r="G403" s="3665"/>
      <c r="H403" s="3665"/>
      <c r="I403" s="3666"/>
      <c r="J403" s="3666"/>
      <c r="K403" s="3666"/>
      <c r="L403" s="3666"/>
      <c r="M403" s="3666"/>
      <c r="N403" s="3666"/>
      <c r="O403" s="3666"/>
      <c r="P403" s="3666"/>
      <c r="Q403" s="3667"/>
      <c r="V403" s="3664" t="str">
        <f>B403</f>
        <v>Faucet Aerators (Bathroom)</v>
      </c>
      <c r="W403" s="3665"/>
      <c r="X403" s="3665"/>
      <c r="Y403" s="3665"/>
      <c r="Z403" s="3665"/>
      <c r="AA403" s="3665"/>
      <c r="AB403" s="3665"/>
      <c r="AC403" s="3680"/>
      <c r="AD403" s="3680"/>
      <c r="AE403" s="3680"/>
      <c r="AF403" s="3680"/>
      <c r="AG403" s="3680"/>
      <c r="AH403" s="3680"/>
      <c r="AI403" s="3681"/>
      <c r="AJ403"/>
      <c r="BB403" s="702"/>
    </row>
    <row r="404" spans="1:57" ht="18" customHeight="1" x14ac:dyDescent="0.35">
      <c r="B404" s="1450"/>
      <c r="C404" s="1451"/>
      <c r="D404" s="1013"/>
      <c r="E404" s="1013"/>
      <c r="F404" s="1450"/>
      <c r="G404" s="1450"/>
      <c r="H404" s="1450"/>
      <c r="I404" s="1450"/>
      <c r="J404" s="1450"/>
      <c r="K404" s="1450"/>
      <c r="L404" s="1450"/>
    </row>
    <row r="405" spans="1:57" ht="29" x14ac:dyDescent="0.35">
      <c r="B405" s="1450"/>
      <c r="C405" s="2331" t="s">
        <v>27</v>
      </c>
      <c r="D405" s="2331" t="s">
        <v>174</v>
      </c>
      <c r="E405" s="2331" t="s">
        <v>29</v>
      </c>
      <c r="F405" s="2331" t="s">
        <v>30</v>
      </c>
      <c r="G405" s="2331" t="s">
        <v>175</v>
      </c>
      <c r="H405" s="2331" t="s">
        <v>176</v>
      </c>
      <c r="I405" s="2331" t="s">
        <v>588</v>
      </c>
      <c r="J405" s="2331" t="s">
        <v>31</v>
      </c>
      <c r="K405" s="2331" t="s">
        <v>180</v>
      </c>
      <c r="L405" s="2331" t="s">
        <v>169</v>
      </c>
      <c r="M405" s="2331" t="s">
        <v>43</v>
      </c>
      <c r="V405" s="1572" t="s">
        <v>44</v>
      </c>
      <c r="W405" s="1573">
        <f>W$6</f>
        <v>43252</v>
      </c>
      <c r="X405" s="1573">
        <f t="shared" ref="X405:AG405" si="94">X$6</f>
        <v>43465</v>
      </c>
      <c r="Y405" s="1573">
        <f t="shared" si="94"/>
        <v>43800</v>
      </c>
      <c r="Z405" s="1573">
        <f t="shared" si="94"/>
        <v>43862</v>
      </c>
      <c r="AA405" s="1573">
        <f t="shared" si="94"/>
        <v>44013</v>
      </c>
      <c r="AB405" s="1573">
        <f t="shared" si="94"/>
        <v>44166</v>
      </c>
      <c r="AC405" s="1573">
        <f t="shared" si="94"/>
        <v>44531</v>
      </c>
      <c r="AD405" s="1573">
        <f t="shared" si="94"/>
        <v>44774</v>
      </c>
      <c r="AE405" s="1573" t="str">
        <f t="shared" si="94"/>
        <v>-</v>
      </c>
      <c r="AF405" s="1573" t="str">
        <f t="shared" si="94"/>
        <v>-</v>
      </c>
      <c r="AG405" s="1573" t="str">
        <f t="shared" si="94"/>
        <v>-</v>
      </c>
      <c r="BB405" s="1574" t="str">
        <f>$BB$6</f>
        <v>TRC (2022)</v>
      </c>
      <c r="BC405" s="1584" t="str">
        <f>$BC$6</f>
        <v>Benefit Lookup</v>
      </c>
      <c r="BD405" s="556" t="str">
        <f>$BD$6</f>
        <v>Benefits (2019 $)</v>
      </c>
      <c r="BE405" s="200" t="str">
        <f>$BE$6</f>
        <v>Incremental Cost (2019 $)</v>
      </c>
    </row>
    <row r="406" spans="1:57" x14ac:dyDescent="0.35">
      <c r="B406" s="1450"/>
      <c r="C406" s="50" t="s">
        <v>2367</v>
      </c>
      <c r="D406" s="395" t="s">
        <v>2254</v>
      </c>
      <c r="E406" s="1461" t="s">
        <v>2368</v>
      </c>
      <c r="F406" s="459">
        <f>ROUND(F417*(F418*F419-F420*F421)*F422*F423*F424/F425*I406*F433*F432,2)</f>
        <v>71.37</v>
      </c>
      <c r="G406" s="88" t="s">
        <v>183</v>
      </c>
      <c r="H406" s="136">
        <f>VLOOKUP(G406,'CP FACTORS'!$A$3:$B$38, 2, FALSE)</f>
        <v>8.8731800000000003E-5</v>
      </c>
      <c r="I406" s="458">
        <f>F426*F427*(F428-F429)/(F430*F431)</f>
        <v>6.1532825322391571E-2</v>
      </c>
      <c r="J406" s="2732">
        <f>ROUND(F406*H406,6)</f>
        <v>6.3330000000000001E-3</v>
      </c>
      <c r="K406" s="92">
        <f>F434</f>
        <v>10</v>
      </c>
      <c r="L406" s="1014">
        <f>F435</f>
        <v>8</v>
      </c>
      <c r="M406" s="2129" t="s">
        <v>184</v>
      </c>
      <c r="V406" s="141" t="str">
        <f>F405</f>
        <v>kWh Annual Savings</v>
      </c>
      <c r="W406" s="369">
        <v>33.473610844079722</v>
      </c>
      <c r="X406" s="1015">
        <v>33.473610844079722</v>
      </c>
      <c r="Y406" s="1015">
        <v>33.47</v>
      </c>
      <c r="Z406" s="1015">
        <v>33.47</v>
      </c>
      <c r="AA406" s="1015">
        <v>33.47</v>
      </c>
      <c r="AB406" s="1015">
        <v>33.47</v>
      </c>
      <c r="AC406" s="459">
        <v>33.5</v>
      </c>
      <c r="AD406" s="459">
        <v>71.37</v>
      </c>
      <c r="AE406" s="141"/>
      <c r="AF406" s="141"/>
      <c r="AG406" s="141"/>
      <c r="BB406" s="1585">
        <f>(BD406)/(BE406)</f>
        <v>3.1887233187213533</v>
      </c>
      <c r="BC406" s="2381" t="str">
        <f>CONCATENATE(G406," ",K406," Year EUL")</f>
        <v>Water Heating RES 10 Year EUL</v>
      </c>
      <c r="BD406" s="147">
        <f>(INDEX('Avoided Cost Benefits'!$E$4:$E$859,MATCH(BC406,'Avoided Cost Benefits'!$A$4:$A$859,0)))*F406</f>
        <v>24.077193534469867</v>
      </c>
      <c r="BE406" s="1587">
        <f>L406/(1.0595^(2020-2019))</f>
        <v>7.5507314771118441</v>
      </c>
    </row>
    <row r="407" spans="1:57" hidden="1" outlineLevel="1" x14ac:dyDescent="0.35">
      <c r="B407" s="1450"/>
      <c r="C407" s="1451"/>
      <c r="D407" s="1013"/>
      <c r="E407" s="1013"/>
      <c r="F407" s="1450"/>
      <c r="G407" s="1463"/>
      <c r="H407" s="1450"/>
      <c r="I407" s="1450"/>
      <c r="J407" s="1450"/>
      <c r="K407" s="1450"/>
      <c r="L407" s="1450"/>
    </row>
    <row r="408" spans="1:57" hidden="1" outlineLevel="1" x14ac:dyDescent="0.35">
      <c r="B408" s="1450"/>
      <c r="C408" s="1451"/>
      <c r="D408" s="152" t="s">
        <v>107</v>
      </c>
      <c r="E408" s="1013"/>
      <c r="F408" s="1450"/>
      <c r="G408" s="1450"/>
      <c r="H408" s="1450"/>
      <c r="I408" s="1450"/>
      <c r="J408" s="1450"/>
      <c r="K408" s="1450"/>
      <c r="L408" s="1450"/>
    </row>
    <row r="409" spans="1:57" hidden="1" outlineLevel="1" x14ac:dyDescent="0.35">
      <c r="B409" s="1450"/>
      <c r="C409" s="1451"/>
      <c r="D409" s="1013"/>
      <c r="E409" s="1013"/>
      <c r="F409" s="1450"/>
      <c r="G409" s="1450"/>
      <c r="H409" s="1450"/>
      <c r="I409" s="1450"/>
      <c r="J409" s="1450"/>
      <c r="K409" s="1450"/>
      <c r="L409" s="1450"/>
    </row>
    <row r="410" spans="1:57" hidden="1" outlineLevel="1" x14ac:dyDescent="0.35">
      <c r="B410" s="1450"/>
      <c r="C410" s="1451"/>
      <c r="D410" s="1013"/>
      <c r="E410" s="1013"/>
      <c r="F410" s="1450"/>
      <c r="G410" s="1450"/>
      <c r="H410" s="1450"/>
      <c r="I410" s="1450"/>
      <c r="J410" s="1450"/>
      <c r="K410" s="1450"/>
      <c r="L410" s="1450"/>
    </row>
    <row r="411" spans="1:57" hidden="1" outlineLevel="1" x14ac:dyDescent="0.35">
      <c r="A411" s="2973"/>
      <c r="B411" s="1450"/>
      <c r="C411" s="1451"/>
      <c r="D411" s="1013"/>
      <c r="E411" s="1013"/>
      <c r="F411" s="1450"/>
      <c r="G411" s="1450"/>
      <c r="H411" s="1450"/>
      <c r="I411" s="1450"/>
      <c r="J411" s="1450"/>
      <c r="K411" s="1450"/>
      <c r="L411" s="1450"/>
      <c r="M411" s="2973"/>
      <c r="N411" s="2973"/>
      <c r="O411" s="2973"/>
      <c r="P411" s="2973"/>
      <c r="Q411" s="2973"/>
      <c r="R411" s="2973"/>
      <c r="S411" s="2973"/>
      <c r="T411" s="2973"/>
      <c r="U411" s="2973"/>
    </row>
    <row r="412" spans="1:57" hidden="1" outlineLevel="1" x14ac:dyDescent="0.35">
      <c r="B412" s="1450"/>
      <c r="C412" s="1451"/>
      <c r="D412" s="1013"/>
      <c r="E412" s="1013"/>
      <c r="F412" s="1450"/>
      <c r="G412" s="1450"/>
      <c r="H412" s="1450"/>
      <c r="I412" s="1450"/>
      <c r="J412" s="1450"/>
      <c r="K412" s="1450"/>
      <c r="L412" s="1450"/>
    </row>
    <row r="413" spans="1:57" hidden="1" outlineLevel="1" x14ac:dyDescent="0.35">
      <c r="B413" s="1450"/>
      <c r="C413" s="1451"/>
      <c r="D413" s="1013"/>
      <c r="E413" s="1013"/>
      <c r="F413" s="1450"/>
      <c r="G413" s="1450"/>
      <c r="H413" s="1450"/>
      <c r="I413" s="1450"/>
      <c r="J413" s="1450"/>
      <c r="K413" s="1450"/>
      <c r="L413" s="1450"/>
    </row>
    <row r="414" spans="1:57" hidden="1" outlineLevel="1" x14ac:dyDescent="0.35">
      <c r="B414" s="1450"/>
      <c r="C414" s="1451"/>
      <c r="D414" s="3118"/>
      <c r="E414" s="1013"/>
      <c r="F414" s="1450"/>
      <c r="G414" s="1450"/>
      <c r="H414" s="1450"/>
      <c r="I414" s="1450"/>
      <c r="J414" s="1450"/>
      <c r="K414" s="1450"/>
      <c r="L414" s="1450"/>
    </row>
    <row r="415" spans="1:57" hidden="1" outlineLevel="1" x14ac:dyDescent="0.35">
      <c r="B415" s="1450"/>
      <c r="C415" s="1451"/>
      <c r="D415" s="1013"/>
      <c r="E415" s="1013"/>
      <c r="F415" s="1450"/>
      <c r="G415" s="1450"/>
      <c r="H415" s="1450"/>
      <c r="I415" s="1450"/>
      <c r="J415" s="1450"/>
      <c r="K415" s="1450"/>
      <c r="L415" s="1450"/>
    </row>
    <row r="416" spans="1:57" ht="15" hidden="1" customHeight="1" outlineLevel="1" x14ac:dyDescent="0.35">
      <c r="B416" s="1450"/>
      <c r="C416" s="1451"/>
      <c r="D416" s="2423" t="s">
        <v>108</v>
      </c>
      <c r="E416" s="2423" t="s">
        <v>109</v>
      </c>
      <c r="F416" s="2331" t="s">
        <v>2369</v>
      </c>
      <c r="G416" s="3741" t="s">
        <v>2370</v>
      </c>
      <c r="H416" s="3741"/>
      <c r="I416" s="3825" t="s">
        <v>112</v>
      </c>
      <c r="J416" s="4088"/>
      <c r="K416" s="3826"/>
      <c r="L416" s="1450"/>
      <c r="V416" s="1572" t="s">
        <v>44</v>
      </c>
      <c r="W416" s="1573">
        <f>W$6</f>
        <v>43252</v>
      </c>
      <c r="X416" s="1573">
        <f t="shared" ref="X416:AG416" si="95">X$6</f>
        <v>43465</v>
      </c>
      <c r="Y416" s="1573">
        <f t="shared" si="95"/>
        <v>43800</v>
      </c>
      <c r="Z416" s="1573">
        <f t="shared" si="95"/>
        <v>43862</v>
      </c>
      <c r="AA416" s="1573">
        <f t="shared" si="95"/>
        <v>44013</v>
      </c>
      <c r="AB416" s="1573">
        <f t="shared" si="95"/>
        <v>44166</v>
      </c>
      <c r="AC416" s="1573">
        <f t="shared" si="95"/>
        <v>44531</v>
      </c>
      <c r="AD416" s="1573">
        <f t="shared" si="95"/>
        <v>44774</v>
      </c>
      <c r="AE416" s="1573" t="str">
        <f t="shared" si="95"/>
        <v>-</v>
      </c>
      <c r="AF416" s="1573" t="str">
        <f t="shared" si="95"/>
        <v>-</v>
      </c>
      <c r="AG416" s="1573" t="str">
        <f t="shared" si="95"/>
        <v>-</v>
      </c>
    </row>
    <row r="417" spans="1:54" hidden="1" outlineLevel="1" x14ac:dyDescent="0.35">
      <c r="B417" s="1450"/>
      <c r="C417" s="1451"/>
      <c r="D417" s="2333" t="s">
        <v>596</v>
      </c>
      <c r="E417" s="2333" t="s">
        <v>597</v>
      </c>
      <c r="F417" s="874">
        <v>1</v>
      </c>
      <c r="G417" s="3834" t="s">
        <v>583</v>
      </c>
      <c r="H417" s="3834"/>
      <c r="I417" s="3786" t="s">
        <v>2363</v>
      </c>
      <c r="J417" s="3786"/>
      <c r="K417" s="3786"/>
      <c r="L417" s="1450"/>
      <c r="V417" s="2409" t="str">
        <f>D417</f>
        <v>%Electric DHW</v>
      </c>
      <c r="W417" s="427">
        <v>1</v>
      </c>
      <c r="X417" s="427">
        <v>1</v>
      </c>
      <c r="Y417" s="427">
        <v>1</v>
      </c>
      <c r="Z417" s="427">
        <v>1</v>
      </c>
      <c r="AA417" s="427">
        <v>1</v>
      </c>
      <c r="AB417" s="427">
        <v>1</v>
      </c>
      <c r="AC417" s="874">
        <v>1</v>
      </c>
      <c r="AD417" s="874">
        <v>1</v>
      </c>
      <c r="AE417" s="427"/>
      <c r="AF417" s="427"/>
      <c r="AG417" s="427"/>
    </row>
    <row r="418" spans="1:54" ht="27.75" hidden="1" customHeight="1" outlineLevel="1" x14ac:dyDescent="0.35">
      <c r="B418" s="1450"/>
      <c r="C418" s="1451"/>
      <c r="D418" s="2333" t="s">
        <v>601</v>
      </c>
      <c r="E418" s="2333" t="s">
        <v>602</v>
      </c>
      <c r="F418" s="88">
        <v>2.2000000000000002</v>
      </c>
      <c r="G418" s="3804" t="s">
        <v>603</v>
      </c>
      <c r="H418" s="3804"/>
      <c r="I418" s="4513" t="s">
        <v>4416</v>
      </c>
      <c r="J418" s="4513"/>
      <c r="K418" s="4513"/>
      <c r="L418" s="1450"/>
      <c r="V418" s="2409" t="str">
        <f t="shared" ref="V418:V433" si="96">D418</f>
        <v>GPM_base</v>
      </c>
      <c r="W418" s="419">
        <v>2.2000000000000002</v>
      </c>
      <c r="X418" s="419">
        <v>2.2000000000000002</v>
      </c>
      <c r="Y418" s="419">
        <v>2.2000000000000002</v>
      </c>
      <c r="Z418" s="419">
        <v>2.2000000000000002</v>
      </c>
      <c r="AA418" s="419">
        <v>2.2000000000000002</v>
      </c>
      <c r="AB418" s="419">
        <v>2.2000000000000002</v>
      </c>
      <c r="AC418" s="88">
        <v>2.2000000000000002</v>
      </c>
      <c r="AD418" s="2808">
        <v>2.2000000000000002</v>
      </c>
      <c r="AE418" s="419"/>
      <c r="AF418" s="419"/>
      <c r="AG418" s="419"/>
    </row>
    <row r="419" spans="1:54" ht="69.75" hidden="1" customHeight="1" outlineLevel="1" x14ac:dyDescent="0.35">
      <c r="B419" s="1450"/>
      <c r="C419" s="1451"/>
      <c r="D419" s="2333" t="s">
        <v>604</v>
      </c>
      <c r="E419" s="2333" t="s">
        <v>605</v>
      </c>
      <c r="F419" s="88">
        <v>1.6</v>
      </c>
      <c r="G419" s="3804" t="s">
        <v>651</v>
      </c>
      <c r="H419" s="3804"/>
      <c r="I419" s="3786" t="s">
        <v>2364</v>
      </c>
      <c r="J419" s="3786"/>
      <c r="K419" s="3786"/>
      <c r="L419" s="1450"/>
      <c r="V419" s="2409" t="str">
        <f t="shared" si="96"/>
        <v>L_base</v>
      </c>
      <c r="W419" s="419">
        <v>1.6</v>
      </c>
      <c r="X419" s="419">
        <v>1.6</v>
      </c>
      <c r="Y419" s="419">
        <v>1.6</v>
      </c>
      <c r="Z419" s="419">
        <v>1.6</v>
      </c>
      <c r="AA419" s="419">
        <v>1.6</v>
      </c>
      <c r="AB419" s="419">
        <v>1.6</v>
      </c>
      <c r="AC419" s="88">
        <v>1.6</v>
      </c>
      <c r="AD419" s="2808">
        <v>1.6</v>
      </c>
      <c r="AE419" s="419"/>
      <c r="AF419" s="419"/>
      <c r="AG419" s="419"/>
    </row>
    <row r="420" spans="1:54" ht="14.5" hidden="1" customHeight="1" outlineLevel="1" x14ac:dyDescent="0.35">
      <c r="B420" s="1450"/>
      <c r="C420" s="1451"/>
      <c r="D420" s="2333" t="s">
        <v>609</v>
      </c>
      <c r="E420" s="2333" t="s">
        <v>610</v>
      </c>
      <c r="F420" s="293">
        <v>0.63</v>
      </c>
      <c r="G420" s="3804" t="s">
        <v>611</v>
      </c>
      <c r="H420" s="3804"/>
      <c r="I420" s="4513" t="s">
        <v>4416</v>
      </c>
      <c r="J420" s="4513"/>
      <c r="K420" s="4513"/>
      <c r="L420" s="1450"/>
      <c r="V420" s="2409" t="str">
        <f t="shared" si="96"/>
        <v>GPM_low</v>
      </c>
      <c r="W420" s="404">
        <v>1.5</v>
      </c>
      <c r="X420" s="404">
        <v>1.5</v>
      </c>
      <c r="Y420" s="404">
        <v>1.5</v>
      </c>
      <c r="Z420" s="404">
        <v>1.5</v>
      </c>
      <c r="AA420" s="404">
        <v>1.5</v>
      </c>
      <c r="AB420" s="404">
        <v>1.5</v>
      </c>
      <c r="AC420" s="330">
        <v>1.5</v>
      </c>
      <c r="AD420" s="293">
        <v>0.63</v>
      </c>
      <c r="AE420" s="404"/>
      <c r="AF420" s="404"/>
      <c r="AG420" s="404"/>
    </row>
    <row r="421" spans="1:54" ht="72.75" hidden="1" customHeight="1" outlineLevel="1" x14ac:dyDescent="0.35">
      <c r="B421" s="1450"/>
      <c r="C421" s="1451"/>
      <c r="D421" s="2333" t="s">
        <v>612</v>
      </c>
      <c r="E421" s="2333" t="s">
        <v>613</v>
      </c>
      <c r="F421" s="88">
        <v>1.6</v>
      </c>
      <c r="G421" s="3804" t="s">
        <v>651</v>
      </c>
      <c r="H421" s="3804"/>
      <c r="I421" s="3786" t="s">
        <v>2364</v>
      </c>
      <c r="J421" s="3786"/>
      <c r="K421" s="3786"/>
      <c r="L421" s="1450"/>
      <c r="V421" s="2409" t="str">
        <f t="shared" si="96"/>
        <v>L_low</v>
      </c>
      <c r="W421" s="419">
        <v>1.6</v>
      </c>
      <c r="X421" s="419">
        <v>1.6</v>
      </c>
      <c r="Y421" s="419">
        <v>1.6</v>
      </c>
      <c r="Z421" s="419">
        <v>1.6</v>
      </c>
      <c r="AA421" s="419">
        <v>1.6</v>
      </c>
      <c r="AB421" s="419">
        <v>1.6</v>
      </c>
      <c r="AC421" s="88">
        <v>1.6</v>
      </c>
      <c r="AD421" s="2808">
        <v>1.6</v>
      </c>
      <c r="AE421" s="419"/>
      <c r="AF421" s="419"/>
      <c r="AG421" s="419"/>
    </row>
    <row r="422" spans="1:54" ht="45" hidden="1" customHeight="1" outlineLevel="1" x14ac:dyDescent="0.35">
      <c r="B422" s="1450"/>
      <c r="C422" s="1451"/>
      <c r="D422" s="2333" t="s">
        <v>199</v>
      </c>
      <c r="E422" s="2352" t="s">
        <v>614</v>
      </c>
      <c r="F422" s="88">
        <v>2.0699999999999998</v>
      </c>
      <c r="G422" s="3804" t="s">
        <v>2365</v>
      </c>
      <c r="H422" s="3804"/>
      <c r="I422" s="3786" t="s">
        <v>2364</v>
      </c>
      <c r="J422" s="3786"/>
      <c r="K422" s="3786"/>
      <c r="L422" s="1450"/>
      <c r="V422" s="2409" t="str">
        <f t="shared" si="96"/>
        <v>Household</v>
      </c>
      <c r="W422" s="419">
        <v>2.0699999999999998</v>
      </c>
      <c r="X422" s="419">
        <v>2.0699999999999998</v>
      </c>
      <c r="Y422" s="419">
        <v>2.0699999999999998</v>
      </c>
      <c r="Z422" s="419">
        <v>2.0699999999999998</v>
      </c>
      <c r="AA422" s="419">
        <v>2.0699999999999998</v>
      </c>
      <c r="AB422" s="419">
        <v>2.0699999999999998</v>
      </c>
      <c r="AC422" s="88">
        <v>2.0699999999999998</v>
      </c>
      <c r="AD422" s="2808">
        <v>2.0699999999999998</v>
      </c>
      <c r="AE422" s="419"/>
      <c r="AF422" s="419"/>
      <c r="AG422" s="419"/>
    </row>
    <row r="423" spans="1:54" ht="82.5" hidden="1" customHeight="1" outlineLevel="1" x14ac:dyDescent="0.35">
      <c r="B423" s="1450"/>
      <c r="C423" s="1451"/>
      <c r="D423" s="391" t="s">
        <v>618</v>
      </c>
      <c r="E423" s="2344" t="s">
        <v>619</v>
      </c>
      <c r="F423" s="88">
        <v>0.9</v>
      </c>
      <c r="G423" s="3804" t="s">
        <v>620</v>
      </c>
      <c r="H423" s="3804"/>
      <c r="I423" s="3786" t="s">
        <v>2364</v>
      </c>
      <c r="J423" s="3786"/>
      <c r="K423" s="3786"/>
      <c r="L423" s="1450"/>
      <c r="V423" s="2409" t="str">
        <f t="shared" si="96"/>
        <v>DF</v>
      </c>
      <c r="W423" s="419">
        <v>0.9</v>
      </c>
      <c r="X423" s="419">
        <v>0.9</v>
      </c>
      <c r="Y423" s="419">
        <v>0.9</v>
      </c>
      <c r="Z423" s="419">
        <v>0.9</v>
      </c>
      <c r="AA423" s="419">
        <v>0.9</v>
      </c>
      <c r="AB423" s="419">
        <v>0.9</v>
      </c>
      <c r="AC423" s="88">
        <v>0.9</v>
      </c>
      <c r="AD423" s="2808">
        <v>0.9</v>
      </c>
      <c r="AE423" s="419"/>
      <c r="AF423" s="419"/>
      <c r="AG423" s="419"/>
    </row>
    <row r="424" spans="1:54" s="398" customFormat="1" hidden="1" outlineLevel="1" x14ac:dyDescent="0.35">
      <c r="A424" s="486"/>
      <c r="B424" s="1464"/>
      <c r="C424" s="1465"/>
      <c r="D424" s="391">
        <v>365.25</v>
      </c>
      <c r="E424" s="2352" t="s">
        <v>569</v>
      </c>
      <c r="F424" s="2419">
        <v>365.25</v>
      </c>
      <c r="G424" s="3734"/>
      <c r="H424" s="3734"/>
      <c r="I424" s="3786" t="s">
        <v>2364</v>
      </c>
      <c r="J424" s="3786"/>
      <c r="K424" s="3786"/>
      <c r="L424" s="1464"/>
      <c r="M424" s="486"/>
      <c r="N424" s="486"/>
      <c r="O424" s="486"/>
      <c r="P424" s="486"/>
      <c r="Q424" s="486"/>
      <c r="R424" s="486"/>
      <c r="S424" s="486"/>
      <c r="T424" s="486"/>
      <c r="U424" s="486"/>
      <c r="V424" s="2409">
        <f t="shared" si="96"/>
        <v>365.25</v>
      </c>
      <c r="W424" s="429">
        <v>365</v>
      </c>
      <c r="X424" s="429">
        <v>365</v>
      </c>
      <c r="Y424" s="429">
        <v>365</v>
      </c>
      <c r="Z424" s="429">
        <v>365</v>
      </c>
      <c r="AA424" s="429">
        <v>365</v>
      </c>
      <c r="AB424" s="429">
        <v>365</v>
      </c>
      <c r="AC424" s="83">
        <v>365.25</v>
      </c>
      <c r="AD424" s="2807">
        <v>365.25</v>
      </c>
      <c r="AE424" s="429"/>
      <c r="AF424" s="429"/>
      <c r="AG424" s="429"/>
      <c r="AH424"/>
      <c r="AI424"/>
      <c r="AJ424"/>
      <c r="BB424" s="1039"/>
    </row>
    <row r="425" spans="1:54" s="398" customFormat="1" ht="30" hidden="1" customHeight="1" outlineLevel="1" x14ac:dyDescent="0.35">
      <c r="A425" s="486"/>
      <c r="B425" s="1464"/>
      <c r="C425" s="1465"/>
      <c r="D425" s="391" t="s">
        <v>621</v>
      </c>
      <c r="E425" s="2333" t="s">
        <v>622</v>
      </c>
      <c r="F425" s="1462">
        <v>1.4</v>
      </c>
      <c r="G425" s="3834" t="s">
        <v>624</v>
      </c>
      <c r="H425" s="3834"/>
      <c r="I425" s="3786" t="s">
        <v>2364</v>
      </c>
      <c r="J425" s="3786"/>
      <c r="K425" s="3786"/>
      <c r="L425" s="1464"/>
      <c r="M425" s="486"/>
      <c r="N425" s="486"/>
      <c r="O425" s="486"/>
      <c r="P425" s="486"/>
      <c r="Q425" s="486"/>
      <c r="R425" s="486"/>
      <c r="S425" s="486"/>
      <c r="T425" s="486"/>
      <c r="U425" s="486"/>
      <c r="V425" s="2409" t="str">
        <f t="shared" si="96"/>
        <v>FPH</v>
      </c>
      <c r="W425" s="442">
        <v>1.4</v>
      </c>
      <c r="X425" s="442">
        <v>1.4</v>
      </c>
      <c r="Y425" s="442">
        <v>1.4</v>
      </c>
      <c r="Z425" s="442">
        <v>1.4</v>
      </c>
      <c r="AA425" s="442">
        <v>1.4</v>
      </c>
      <c r="AB425" s="442">
        <v>1.4</v>
      </c>
      <c r="AC425" s="1462">
        <v>1.4</v>
      </c>
      <c r="AD425" s="1462">
        <v>1.4</v>
      </c>
      <c r="AE425" s="442"/>
      <c r="AF425" s="442"/>
      <c r="AG425" s="442"/>
      <c r="AH425"/>
      <c r="AI425"/>
      <c r="AJ425"/>
      <c r="BB425" s="1039"/>
    </row>
    <row r="426" spans="1:54" s="398" customFormat="1" hidden="1" outlineLevel="1" x14ac:dyDescent="0.35">
      <c r="A426" s="486"/>
      <c r="B426" s="1464"/>
      <c r="C426" s="1465"/>
      <c r="D426" s="391">
        <v>8.33</v>
      </c>
      <c r="E426" s="2344" t="s">
        <v>626</v>
      </c>
      <c r="F426" s="88">
        <v>8.33</v>
      </c>
      <c r="G426" s="3834" t="s">
        <v>627</v>
      </c>
      <c r="H426" s="3834"/>
      <c r="I426" s="3786" t="s">
        <v>2364</v>
      </c>
      <c r="J426" s="3786"/>
      <c r="K426" s="3786"/>
      <c r="L426" s="1464"/>
      <c r="M426" s="486"/>
      <c r="N426" s="486"/>
      <c r="O426" s="486"/>
      <c r="P426" s="486"/>
      <c r="Q426" s="486"/>
      <c r="R426" s="486"/>
      <c r="S426" s="486"/>
      <c r="T426" s="486"/>
      <c r="U426" s="486"/>
      <c r="V426" s="2409">
        <f t="shared" si="96"/>
        <v>8.33</v>
      </c>
      <c r="W426" s="419">
        <v>8.33</v>
      </c>
      <c r="X426" s="419">
        <v>8.33</v>
      </c>
      <c r="Y426" s="419">
        <v>8.33</v>
      </c>
      <c r="Z426" s="419">
        <v>8.33</v>
      </c>
      <c r="AA426" s="419">
        <v>8.33</v>
      </c>
      <c r="AB426" s="419">
        <v>8.33</v>
      </c>
      <c r="AC426" s="88">
        <v>8.33</v>
      </c>
      <c r="AD426" s="2808">
        <v>8.33</v>
      </c>
      <c r="AE426" s="419"/>
      <c r="AF426" s="419"/>
      <c r="AG426" s="419"/>
      <c r="AH426"/>
      <c r="AI426"/>
      <c r="AJ426"/>
      <c r="BB426" s="1039"/>
    </row>
    <row r="427" spans="1:54" s="398" customFormat="1" ht="30" hidden="1" customHeight="1" outlineLevel="1" x14ac:dyDescent="0.35">
      <c r="A427" s="486"/>
      <c r="B427" s="1464"/>
      <c r="C427" s="1465"/>
      <c r="D427" s="391">
        <v>1</v>
      </c>
      <c r="E427" s="2333" t="s">
        <v>628</v>
      </c>
      <c r="F427" s="88">
        <v>1</v>
      </c>
      <c r="G427" s="3804" t="s">
        <v>629</v>
      </c>
      <c r="H427" s="3804"/>
      <c r="I427" s="3786" t="s">
        <v>2364</v>
      </c>
      <c r="J427" s="3786"/>
      <c r="K427" s="3786"/>
      <c r="L427" s="1464"/>
      <c r="M427" s="486"/>
      <c r="N427" s="486"/>
      <c r="O427" s="486"/>
      <c r="P427" s="486"/>
      <c r="Q427" s="486"/>
      <c r="R427" s="486"/>
      <c r="S427" s="486"/>
      <c r="T427" s="486"/>
      <c r="U427" s="486"/>
      <c r="V427" s="2409">
        <f t="shared" si="96"/>
        <v>1</v>
      </c>
      <c r="W427" s="419">
        <v>1</v>
      </c>
      <c r="X427" s="419">
        <v>1</v>
      </c>
      <c r="Y427" s="419">
        <v>1</v>
      </c>
      <c r="Z427" s="419">
        <v>1</v>
      </c>
      <c r="AA427" s="419">
        <v>1</v>
      </c>
      <c r="AB427" s="419">
        <v>1</v>
      </c>
      <c r="AC427" s="88">
        <v>1</v>
      </c>
      <c r="AD427" s="2808">
        <v>1</v>
      </c>
      <c r="AE427" s="419"/>
      <c r="AF427" s="419"/>
      <c r="AG427" s="419"/>
      <c r="AH427"/>
      <c r="AI427"/>
      <c r="AJ427"/>
      <c r="BB427" s="1039"/>
    </row>
    <row r="428" spans="1:54" s="398" customFormat="1" ht="75.75" hidden="1" customHeight="1" outlineLevel="1" x14ac:dyDescent="0.35">
      <c r="A428" s="486"/>
      <c r="B428" s="1464"/>
      <c r="C428" s="1465"/>
      <c r="D428" s="2333" t="s">
        <v>630</v>
      </c>
      <c r="E428" s="2352" t="s">
        <v>631</v>
      </c>
      <c r="F428" s="124">
        <v>86</v>
      </c>
      <c r="G428" s="3734" t="s">
        <v>632</v>
      </c>
      <c r="H428" s="3734"/>
      <c r="I428" s="3786" t="s">
        <v>2364</v>
      </c>
      <c r="J428" s="3786"/>
      <c r="K428" s="3786"/>
      <c r="L428" s="1464"/>
      <c r="M428" s="486"/>
      <c r="N428" s="486"/>
      <c r="O428" s="486"/>
      <c r="P428" s="486"/>
      <c r="Q428" s="486"/>
      <c r="R428" s="486"/>
      <c r="S428" s="486"/>
      <c r="T428" s="486"/>
      <c r="U428" s="486"/>
      <c r="V428" s="2409" t="str">
        <f t="shared" si="96"/>
        <v>WaterTemp</v>
      </c>
      <c r="W428" s="670">
        <v>86</v>
      </c>
      <c r="X428" s="670">
        <v>86</v>
      </c>
      <c r="Y428" s="670">
        <v>86</v>
      </c>
      <c r="Z428" s="670">
        <v>86</v>
      </c>
      <c r="AA428" s="670">
        <v>86</v>
      </c>
      <c r="AB428" s="670">
        <v>86</v>
      </c>
      <c r="AC428" s="124">
        <v>86</v>
      </c>
      <c r="AD428" s="124">
        <v>86</v>
      </c>
      <c r="AE428" s="670"/>
      <c r="AF428" s="670"/>
      <c r="AG428" s="670"/>
      <c r="AH428"/>
      <c r="AI428"/>
      <c r="AJ428"/>
      <c r="BB428" s="1039"/>
    </row>
    <row r="429" spans="1:54" s="398" customFormat="1" ht="66.75" hidden="1" customHeight="1" outlineLevel="1" x14ac:dyDescent="0.35">
      <c r="A429" s="486"/>
      <c r="B429" s="1464"/>
      <c r="C429" s="1465"/>
      <c r="D429" s="2333" t="s">
        <v>633</v>
      </c>
      <c r="E429" s="2352" t="s">
        <v>634</v>
      </c>
      <c r="F429" s="485">
        <v>61.3</v>
      </c>
      <c r="G429" s="3727" t="s">
        <v>635</v>
      </c>
      <c r="H429" s="3727"/>
      <c r="I429" s="3786" t="s">
        <v>2364</v>
      </c>
      <c r="J429" s="3786"/>
      <c r="K429" s="3786"/>
      <c r="L429" s="1464"/>
      <c r="M429" s="486"/>
      <c r="N429" s="486"/>
      <c r="O429" s="486"/>
      <c r="P429" s="486"/>
      <c r="Q429" s="486"/>
      <c r="R429" s="486"/>
      <c r="S429" s="486"/>
      <c r="T429" s="486"/>
      <c r="U429" s="486"/>
      <c r="V429" s="2409" t="str">
        <f t="shared" si="96"/>
        <v>SupplyTemp</v>
      </c>
      <c r="W429" s="1043">
        <v>61.3</v>
      </c>
      <c r="X429" s="1043">
        <v>61.3</v>
      </c>
      <c r="Y429" s="1043">
        <v>61.3</v>
      </c>
      <c r="Z429" s="1043">
        <v>61.3</v>
      </c>
      <c r="AA429" s="1043">
        <v>61.3</v>
      </c>
      <c r="AB429" s="1043">
        <v>61.3</v>
      </c>
      <c r="AC429" s="485">
        <v>61.3</v>
      </c>
      <c r="AD429" s="485">
        <v>61.3</v>
      </c>
      <c r="AE429" s="1043"/>
      <c r="AF429" s="1043"/>
      <c r="AG429" s="1043"/>
      <c r="AH429"/>
      <c r="AI429"/>
      <c r="AJ429"/>
      <c r="BB429" s="1039"/>
    </row>
    <row r="430" spans="1:54" s="398" customFormat="1" ht="66.75" hidden="1" customHeight="1" outlineLevel="1" x14ac:dyDescent="0.35">
      <c r="A430" s="486"/>
      <c r="B430" s="1464"/>
      <c r="C430" s="1465"/>
      <c r="D430" s="2333" t="s">
        <v>636</v>
      </c>
      <c r="E430" s="2333" t="s">
        <v>637</v>
      </c>
      <c r="F430" s="88">
        <v>0.98</v>
      </c>
      <c r="G430" s="3834" t="s">
        <v>638</v>
      </c>
      <c r="H430" s="3834"/>
      <c r="I430" s="3786" t="s">
        <v>2364</v>
      </c>
      <c r="J430" s="3786"/>
      <c r="K430" s="3786"/>
      <c r="L430" s="1464"/>
      <c r="M430" s="486"/>
      <c r="N430" s="486"/>
      <c r="O430" s="486"/>
      <c r="P430" s="486"/>
      <c r="Q430" s="486"/>
      <c r="R430" s="486"/>
      <c r="S430" s="486"/>
      <c r="T430" s="486"/>
      <c r="U430" s="486"/>
      <c r="V430" s="2409" t="str">
        <f t="shared" si="96"/>
        <v>RE_electric</v>
      </c>
      <c r="W430" s="419">
        <v>0.98</v>
      </c>
      <c r="X430" s="419">
        <v>0.98</v>
      </c>
      <c r="Y430" s="419">
        <v>0.98</v>
      </c>
      <c r="Z430" s="419">
        <v>0.98</v>
      </c>
      <c r="AA430" s="419">
        <v>0.98</v>
      </c>
      <c r="AB430" s="419">
        <v>0.98</v>
      </c>
      <c r="AC430" s="88">
        <v>0.98</v>
      </c>
      <c r="AD430" s="2808">
        <v>0.98</v>
      </c>
      <c r="AE430" s="419"/>
      <c r="AF430" s="419"/>
      <c r="AG430" s="419"/>
      <c r="AH430"/>
      <c r="AI430"/>
      <c r="AJ430"/>
      <c r="BB430" s="1039"/>
    </row>
    <row r="431" spans="1:54" s="398" customFormat="1" ht="30" hidden="1" customHeight="1" outlineLevel="1" x14ac:dyDescent="0.35">
      <c r="A431" s="486"/>
      <c r="B431" s="1464"/>
      <c r="C431" s="1465"/>
      <c r="D431" s="2333">
        <v>3412</v>
      </c>
      <c r="E431" s="2344" t="s">
        <v>639</v>
      </c>
      <c r="F431" s="337">
        <v>3412</v>
      </c>
      <c r="G431" s="3834" t="s">
        <v>217</v>
      </c>
      <c r="H431" s="3834"/>
      <c r="I431" s="3786" t="s">
        <v>2364</v>
      </c>
      <c r="J431" s="3786"/>
      <c r="K431" s="3786"/>
      <c r="L431" s="1464"/>
      <c r="M431" s="486"/>
      <c r="N431" s="486"/>
      <c r="O431" s="486"/>
      <c r="P431" s="486"/>
      <c r="Q431" s="486"/>
      <c r="R431" s="486"/>
      <c r="S431" s="486"/>
      <c r="T431" s="486"/>
      <c r="U431" s="486"/>
      <c r="V431" s="2409">
        <f t="shared" si="96"/>
        <v>3412</v>
      </c>
      <c r="W431" s="444">
        <v>3412</v>
      </c>
      <c r="X431" s="444">
        <v>3412</v>
      </c>
      <c r="Y431" s="444">
        <v>3412</v>
      </c>
      <c r="Z431" s="444">
        <v>3412</v>
      </c>
      <c r="AA431" s="444">
        <v>3412</v>
      </c>
      <c r="AB431" s="444">
        <v>3412</v>
      </c>
      <c r="AC431" s="337">
        <v>3412</v>
      </c>
      <c r="AD431" s="337">
        <v>3412</v>
      </c>
      <c r="AE431" s="444"/>
      <c r="AF431" s="444"/>
      <c r="AG431" s="444"/>
      <c r="AH431"/>
      <c r="AI431"/>
      <c r="AJ431"/>
      <c r="BB431" s="1039"/>
    </row>
    <row r="432" spans="1:54" s="398" customFormat="1" hidden="1" outlineLevel="1" x14ac:dyDescent="0.35">
      <c r="A432" s="486"/>
      <c r="B432" s="1464"/>
      <c r="C432" s="1465"/>
      <c r="D432" s="2333" t="s">
        <v>516</v>
      </c>
      <c r="E432" s="2333" t="s">
        <v>578</v>
      </c>
      <c r="F432" s="874">
        <v>1</v>
      </c>
      <c r="G432" s="3834" t="s">
        <v>583</v>
      </c>
      <c r="H432" s="3834"/>
      <c r="I432" s="3786" t="s">
        <v>2363</v>
      </c>
      <c r="J432" s="3786"/>
      <c r="K432" s="3786"/>
      <c r="L432" s="1464"/>
      <c r="M432" s="486"/>
      <c r="N432" s="486"/>
      <c r="O432" s="486"/>
      <c r="P432" s="486"/>
      <c r="Q432" s="486"/>
      <c r="R432" s="486"/>
      <c r="S432" s="486"/>
      <c r="T432" s="486"/>
      <c r="U432" s="486"/>
      <c r="V432" s="2409" t="str">
        <f t="shared" si="96"/>
        <v>Utility Adjustment</v>
      </c>
      <c r="W432" s="427">
        <v>1</v>
      </c>
      <c r="X432" s="427">
        <v>1</v>
      </c>
      <c r="Y432" s="427">
        <v>1</v>
      </c>
      <c r="Z432" s="427">
        <v>1</v>
      </c>
      <c r="AA432" s="427">
        <v>1</v>
      </c>
      <c r="AB432" s="427">
        <v>1</v>
      </c>
      <c r="AC432" s="874">
        <v>1</v>
      </c>
      <c r="AD432" s="874">
        <v>1</v>
      </c>
      <c r="AE432" s="427"/>
      <c r="AF432" s="427"/>
      <c r="AG432" s="427"/>
      <c r="AH432"/>
      <c r="AI432"/>
      <c r="AJ432"/>
      <c r="BB432" s="1039"/>
    </row>
    <row r="433" spans="1:57" s="398" customFormat="1" hidden="1" outlineLevel="1" x14ac:dyDescent="0.35">
      <c r="A433" s="486"/>
      <c r="B433" s="1464"/>
      <c r="C433" s="1465"/>
      <c r="D433" s="2333" t="s">
        <v>132</v>
      </c>
      <c r="E433" s="2333" t="s">
        <v>251</v>
      </c>
      <c r="F433" s="455">
        <v>0.95</v>
      </c>
      <c r="G433" s="4514" t="s">
        <v>520</v>
      </c>
      <c r="H433" s="4514" t="s">
        <v>520</v>
      </c>
      <c r="I433" s="4513" t="s">
        <v>4418</v>
      </c>
      <c r="J433" s="4513"/>
      <c r="K433" s="4513"/>
      <c r="L433" s="1464"/>
      <c r="M433" s="486"/>
      <c r="N433" s="486"/>
      <c r="O433" s="486"/>
      <c r="P433" s="486"/>
      <c r="Q433" s="486"/>
      <c r="R433" s="486"/>
      <c r="S433" s="486"/>
      <c r="T433" s="486"/>
      <c r="U433" s="486"/>
      <c r="V433" s="2409" t="str">
        <f t="shared" si="96"/>
        <v>ISR</v>
      </c>
      <c r="W433" s="427">
        <v>1</v>
      </c>
      <c r="X433" s="427">
        <v>1</v>
      </c>
      <c r="Y433" s="427">
        <v>1</v>
      </c>
      <c r="Z433" s="427">
        <v>1</v>
      </c>
      <c r="AA433" s="427">
        <v>1</v>
      </c>
      <c r="AB433" s="427">
        <v>1</v>
      </c>
      <c r="AC433" s="874">
        <v>1</v>
      </c>
      <c r="AD433" s="455">
        <v>0.95</v>
      </c>
      <c r="AE433" s="427"/>
      <c r="AF433" s="427"/>
      <c r="AG433" s="427"/>
      <c r="AH433"/>
      <c r="AI433"/>
      <c r="AJ433"/>
      <c r="BB433" s="1039"/>
    </row>
    <row r="434" spans="1:57" s="199" customFormat="1" ht="15" hidden="1" customHeight="1" outlineLevel="1" x14ac:dyDescent="0.35">
      <c r="B434" s="1040"/>
      <c r="C434" s="197"/>
      <c r="D434" s="1494" t="str">
        <f>$D$34</f>
        <v>EUL</v>
      </c>
      <c r="E434" s="2333" t="s">
        <v>134</v>
      </c>
      <c r="F434" s="867">
        <v>10</v>
      </c>
      <c r="G434" s="3834"/>
      <c r="H434" s="3834"/>
      <c r="I434" s="3786"/>
      <c r="J434" s="3786"/>
      <c r="K434" s="3786"/>
      <c r="V434" s="2094" t="str">
        <f>D434</f>
        <v>EUL</v>
      </c>
      <c r="W434" s="867">
        <v>10</v>
      </c>
      <c r="X434" s="867">
        <v>10</v>
      </c>
      <c r="Y434" s="867">
        <v>10</v>
      </c>
      <c r="Z434" s="867">
        <v>10</v>
      </c>
      <c r="AA434" s="867">
        <v>10</v>
      </c>
      <c r="AB434" s="867">
        <v>10</v>
      </c>
      <c r="AC434" s="867">
        <v>10</v>
      </c>
      <c r="AD434" s="867">
        <v>10</v>
      </c>
      <c r="AE434" s="237"/>
      <c r="AF434" s="237"/>
      <c r="AG434" s="237"/>
      <c r="AK434" s="1041"/>
      <c r="BB434" s="1042"/>
    </row>
    <row r="435" spans="1:57" s="199" customFormat="1" ht="15" hidden="1" customHeight="1" outlineLevel="1" x14ac:dyDescent="0.35">
      <c r="B435" s="1040"/>
      <c r="C435" s="197"/>
      <c r="D435" s="1494" t="str">
        <f>$D$35</f>
        <v>Inc. Cost</v>
      </c>
      <c r="E435" s="2333" t="s">
        <v>417</v>
      </c>
      <c r="F435" s="888">
        <v>8</v>
      </c>
      <c r="G435" s="3834"/>
      <c r="H435" s="3834"/>
      <c r="I435" s="3786"/>
      <c r="J435" s="3786"/>
      <c r="K435" s="3786"/>
      <c r="V435" s="2094" t="str">
        <f>D435</f>
        <v>Inc. Cost</v>
      </c>
      <c r="W435" s="888">
        <v>8</v>
      </c>
      <c r="X435" s="888">
        <v>8</v>
      </c>
      <c r="Y435" s="888">
        <v>8</v>
      </c>
      <c r="Z435" s="888">
        <v>8</v>
      </c>
      <c r="AA435" s="888">
        <v>8</v>
      </c>
      <c r="AB435" s="888">
        <v>8</v>
      </c>
      <c r="AC435" s="888">
        <v>8</v>
      </c>
      <c r="AD435" s="888">
        <v>8</v>
      </c>
      <c r="AE435" s="237"/>
      <c r="AF435" s="237"/>
      <c r="AG435" s="237"/>
      <c r="AK435" s="1041"/>
      <c r="BB435" s="1042"/>
    </row>
    <row r="436" spans="1:57" s="398" customFormat="1" collapsed="1" x14ac:dyDescent="0.35">
      <c r="A436" s="486"/>
      <c r="B436" s="1464"/>
      <c r="C436" s="1465"/>
      <c r="D436" s="942"/>
      <c r="E436" s="942"/>
      <c r="F436" s="873"/>
      <c r="G436" s="1466"/>
      <c r="H436" s="1450"/>
      <c r="I436" s="1450"/>
      <c r="J436" s="1467"/>
      <c r="K436" s="1467"/>
      <c r="L436" s="1464"/>
      <c r="M436" s="486"/>
      <c r="N436" s="486"/>
      <c r="O436" s="486"/>
      <c r="P436" s="486"/>
      <c r="Q436" s="486"/>
      <c r="R436" s="486"/>
      <c r="S436" s="486"/>
      <c r="T436" s="486"/>
      <c r="U436" s="486"/>
      <c r="V436"/>
      <c r="W436"/>
      <c r="X436"/>
      <c r="Y436"/>
      <c r="Z436"/>
      <c r="AA436"/>
      <c r="AB436"/>
      <c r="AC436"/>
      <c r="AD436"/>
      <c r="AE436"/>
      <c r="AF436"/>
      <c r="AG436"/>
      <c r="AH436"/>
      <c r="AI436"/>
      <c r="AJ436"/>
      <c r="BB436" s="1039"/>
    </row>
    <row r="437" spans="1:57" x14ac:dyDescent="0.35">
      <c r="B437" s="1450"/>
      <c r="C437" s="1451"/>
      <c r="D437" s="1013"/>
      <c r="E437" s="1013"/>
      <c r="F437" s="1450"/>
      <c r="G437" s="1450"/>
      <c r="H437" s="1450"/>
      <c r="I437" s="1450"/>
      <c r="J437" s="1450"/>
      <c r="K437" s="1450"/>
      <c r="L437" s="1450"/>
    </row>
    <row r="438" spans="1:57" s="106" customFormat="1" x14ac:dyDescent="0.35">
      <c r="B438" s="3664" t="s">
        <v>2371</v>
      </c>
      <c r="C438" s="3665"/>
      <c r="D438" s="3665"/>
      <c r="E438" s="3665"/>
      <c r="F438" s="3665"/>
      <c r="G438" s="3665"/>
      <c r="H438" s="3665"/>
      <c r="I438" s="3666"/>
      <c r="J438" s="3666"/>
      <c r="K438" s="3666"/>
      <c r="L438" s="3666"/>
      <c r="M438" s="3666"/>
      <c r="N438" s="3666"/>
      <c r="O438" s="3666"/>
      <c r="P438" s="3666"/>
      <c r="Q438" s="3667"/>
      <c r="V438" s="3664" t="str">
        <f>B438</f>
        <v>Low Flow Showerhead</v>
      </c>
      <c r="W438" s="3665"/>
      <c r="X438" s="3665"/>
      <c r="Y438" s="3665"/>
      <c r="Z438" s="3665"/>
      <c r="AA438" s="3665"/>
      <c r="AB438" s="3665"/>
      <c r="AC438" s="3680"/>
      <c r="AD438" s="3680"/>
      <c r="AE438" s="3680"/>
      <c r="AF438" s="3680"/>
      <c r="AG438" s="3680"/>
      <c r="AH438" s="3680"/>
      <c r="AI438" s="3681"/>
      <c r="AJ438"/>
      <c r="BB438" s="702"/>
    </row>
    <row r="440" spans="1:57" ht="29" x14ac:dyDescent="0.35">
      <c r="C440" s="2331" t="s">
        <v>27</v>
      </c>
      <c r="D440" s="2331" t="s">
        <v>174</v>
      </c>
      <c r="E440" s="2331" t="s">
        <v>29</v>
      </c>
      <c r="F440" s="2331" t="s">
        <v>30</v>
      </c>
      <c r="G440" s="2331" t="s">
        <v>175</v>
      </c>
      <c r="H440" s="2331" t="s">
        <v>176</v>
      </c>
      <c r="I440" s="2331" t="s">
        <v>588</v>
      </c>
      <c r="J440" s="2331" t="s">
        <v>31</v>
      </c>
      <c r="K440" s="2331" t="s">
        <v>180</v>
      </c>
      <c r="L440" s="2331" t="s">
        <v>169</v>
      </c>
      <c r="M440" s="2331" t="s">
        <v>43</v>
      </c>
      <c r="V440" s="1572" t="s">
        <v>44</v>
      </c>
      <c r="W440" s="1573">
        <f>W$6</f>
        <v>43252</v>
      </c>
      <c r="X440" s="1573">
        <f t="shared" ref="X440:AG440" si="97">X$6</f>
        <v>43465</v>
      </c>
      <c r="Y440" s="1573">
        <f t="shared" si="97"/>
        <v>43800</v>
      </c>
      <c r="Z440" s="1573">
        <f t="shared" si="97"/>
        <v>43862</v>
      </c>
      <c r="AA440" s="1573">
        <f t="shared" si="97"/>
        <v>44013</v>
      </c>
      <c r="AB440" s="1573">
        <f t="shared" si="97"/>
        <v>44166</v>
      </c>
      <c r="AC440" s="1573">
        <f t="shared" si="97"/>
        <v>44531</v>
      </c>
      <c r="AD440" s="1573">
        <f t="shared" si="97"/>
        <v>44774</v>
      </c>
      <c r="AE440" s="1573" t="str">
        <f t="shared" si="97"/>
        <v>-</v>
      </c>
      <c r="AF440" s="1573" t="str">
        <f t="shared" si="97"/>
        <v>-</v>
      </c>
      <c r="AG440" s="1573" t="str">
        <f t="shared" si="97"/>
        <v>-</v>
      </c>
      <c r="BB440" s="1574" t="str">
        <f>$BB$6</f>
        <v>TRC (2022)</v>
      </c>
      <c r="BC440" s="1584" t="str">
        <f>$BC$6</f>
        <v>Benefit Lookup</v>
      </c>
      <c r="BD440" s="556" t="str">
        <f>$BD$6</f>
        <v>Benefits (2019 $)</v>
      </c>
      <c r="BE440" s="200" t="str">
        <f>$BE$6</f>
        <v>Incremental Cost (2019 $)</v>
      </c>
    </row>
    <row r="441" spans="1:57" x14ac:dyDescent="0.35">
      <c r="C441" s="50" t="s">
        <v>2372</v>
      </c>
      <c r="D441" s="395" t="s">
        <v>2254</v>
      </c>
      <c r="E441" s="2352" t="s">
        <v>2373</v>
      </c>
      <c r="F441" s="99">
        <f>ROUND(F452*(F453*F454-F455*F456)*F457*F458*F459/F460*I441*F468*F467,2)</f>
        <v>404.92</v>
      </c>
      <c r="G441" s="88" t="s">
        <v>183</v>
      </c>
      <c r="H441" s="136">
        <f>VLOOKUP(G441,'CP FACTORS'!$A$3:$B$38, 2, FALSE)</f>
        <v>8.8731800000000003E-5</v>
      </c>
      <c r="I441" s="458">
        <f>F461*F462*(F463-F464)/(F465*F466)</f>
        <v>0.10886576787807739</v>
      </c>
      <c r="J441" s="2732">
        <f>ROUND(F441*H441,6)</f>
        <v>3.5929000000000003E-2</v>
      </c>
      <c r="K441" s="92">
        <f>F469</f>
        <v>10</v>
      </c>
      <c r="L441" s="1014">
        <f>F471</f>
        <v>7</v>
      </c>
      <c r="M441" s="2129" t="s">
        <v>184</v>
      </c>
      <c r="V441" s="141" t="str">
        <f>F440</f>
        <v>kWh Annual Savings</v>
      </c>
      <c r="W441" s="369">
        <v>204.74086651832664</v>
      </c>
      <c r="X441" s="1015">
        <v>204.74086651832664</v>
      </c>
      <c r="Y441" s="479">
        <v>204.74</v>
      </c>
      <c r="Z441" s="479">
        <v>204.74</v>
      </c>
      <c r="AA441" s="479">
        <v>204.74</v>
      </c>
      <c r="AB441" s="1599">
        <v>381.98</v>
      </c>
      <c r="AC441" s="99">
        <v>382.24</v>
      </c>
      <c r="AD441" s="99">
        <v>404.92</v>
      </c>
      <c r="AE441" s="141"/>
      <c r="AF441" s="141"/>
      <c r="AG441" s="141"/>
      <c r="BB441" s="1585">
        <f>(BD441)/(BE441)</f>
        <v>20.67579969521648</v>
      </c>
      <c r="BC441" s="2381" t="str">
        <f>CONCATENATE(G441," ",K441," Year EUL")</f>
        <v>Water Heating RES 10 Year EUL</v>
      </c>
      <c r="BD441" s="147">
        <f>(INDEX('Avoided Cost Benefits'!$E$4:$E$859,MATCH(BC441,'Avoided Cost Benefits'!$A$4:$A$859,0)))*F441</f>
        <v>136.60273512648925</v>
      </c>
      <c r="BE441" s="1587">
        <f>L441/(1.0595^(2020-2019))</f>
        <v>6.6068900424728643</v>
      </c>
    </row>
    <row r="442" spans="1:57" hidden="1" outlineLevel="1" x14ac:dyDescent="0.35">
      <c r="B442" s="1450"/>
      <c r="C442" s="1451"/>
      <c r="D442" s="1044"/>
      <c r="E442" s="1044"/>
      <c r="F442" s="1468"/>
      <c r="G442" s="1469"/>
      <c r="H442" s="1468"/>
      <c r="I442" s="1470"/>
      <c r="J442" s="1470"/>
      <c r="K442" s="1470"/>
      <c r="L442" s="1471"/>
    </row>
    <row r="443" spans="1:57" hidden="1" outlineLevel="1" x14ac:dyDescent="0.35">
      <c r="B443" s="1450"/>
      <c r="C443" s="1451"/>
      <c r="D443" s="152" t="s">
        <v>107</v>
      </c>
      <c r="E443" s="1013"/>
      <c r="F443" s="1450"/>
      <c r="G443" s="1450"/>
      <c r="H443" s="1450"/>
      <c r="I443" s="1450"/>
      <c r="J443" s="1450"/>
      <c r="K443" s="1450"/>
      <c r="L443" s="1450"/>
    </row>
    <row r="444" spans="1:57" hidden="1" outlineLevel="1" x14ac:dyDescent="0.35">
      <c r="B444" s="1450"/>
      <c r="C444" s="1451"/>
      <c r="D444" s="1013"/>
      <c r="E444" s="1013"/>
      <c r="F444" s="1450"/>
      <c r="G444" s="1450"/>
      <c r="H444" s="1450"/>
      <c r="I444" s="1450"/>
      <c r="J444" s="1450"/>
      <c r="K444" s="1450"/>
      <c r="L444" s="1450"/>
    </row>
    <row r="445" spans="1:57" hidden="1" outlineLevel="1" x14ac:dyDescent="0.35">
      <c r="B445" s="1450"/>
      <c r="C445" s="1451"/>
      <c r="D445" s="1013"/>
      <c r="E445" s="1013"/>
      <c r="F445" s="1450"/>
      <c r="G445" s="1450"/>
      <c r="H445" s="1450"/>
      <c r="I445" s="1450"/>
      <c r="J445" s="1450"/>
      <c r="K445" s="1450"/>
      <c r="L445" s="1450"/>
    </row>
    <row r="446" spans="1:57" hidden="1" outlineLevel="1" x14ac:dyDescent="0.35">
      <c r="A446" s="2973"/>
      <c r="B446" s="1450"/>
      <c r="C446" s="1451"/>
      <c r="D446" s="1013"/>
      <c r="E446" s="1013"/>
      <c r="F446" s="1450"/>
      <c r="G446" s="1450"/>
      <c r="H446" s="1450"/>
      <c r="I446" s="1450"/>
      <c r="J446" s="1450"/>
      <c r="K446" s="1450"/>
      <c r="L446" s="1450"/>
      <c r="M446" s="2973"/>
      <c r="N446" s="2973"/>
      <c r="O446" s="2973"/>
      <c r="P446" s="2973"/>
      <c r="Q446" s="2973"/>
      <c r="R446" s="2973"/>
      <c r="S446" s="2973"/>
      <c r="T446" s="2973"/>
      <c r="U446" s="2973"/>
    </row>
    <row r="447" spans="1:57" hidden="1" outlineLevel="1" x14ac:dyDescent="0.35">
      <c r="B447" s="1450"/>
      <c r="C447" s="1451"/>
      <c r="D447" s="1013"/>
      <c r="E447" s="1013"/>
      <c r="F447" s="1450"/>
      <c r="G447" s="1450"/>
      <c r="H447" s="1450"/>
      <c r="I447" s="1450"/>
      <c r="J447" s="1450"/>
      <c r="K447" s="1450"/>
      <c r="L447" s="1450"/>
    </row>
    <row r="448" spans="1:57" hidden="1" outlineLevel="1" x14ac:dyDescent="0.35">
      <c r="B448" s="1450"/>
      <c r="C448" s="1451"/>
      <c r="D448" s="1013"/>
      <c r="E448" s="1013"/>
      <c r="F448" s="1450"/>
      <c r="G448" s="1450"/>
      <c r="H448" s="1450"/>
      <c r="I448" s="1450"/>
      <c r="J448" s="1450"/>
      <c r="K448" s="1450"/>
      <c r="L448" s="1450"/>
    </row>
    <row r="449" spans="1:54" hidden="1" outlineLevel="1" x14ac:dyDescent="0.35">
      <c r="B449" s="1450"/>
      <c r="C449" s="1451"/>
      <c r="D449" s="3118"/>
      <c r="E449" s="1013"/>
      <c r="F449" s="1450"/>
      <c r="G449" s="1450"/>
      <c r="H449" s="1450"/>
      <c r="I449" s="1450"/>
      <c r="J449" s="1450"/>
      <c r="K449" s="1450"/>
      <c r="L449" s="1450"/>
    </row>
    <row r="450" spans="1:54" hidden="1" outlineLevel="1" x14ac:dyDescent="0.35">
      <c r="B450" s="1450"/>
      <c r="C450" s="1451"/>
      <c r="D450" s="1013"/>
      <c r="E450" s="1013"/>
      <c r="F450" s="1450"/>
      <c r="G450" s="1450"/>
      <c r="H450" s="1450"/>
      <c r="I450" s="1450"/>
      <c r="J450" s="1450"/>
      <c r="K450" s="1450"/>
      <c r="L450" s="1450"/>
    </row>
    <row r="451" spans="1:54" ht="15" hidden="1" customHeight="1" outlineLevel="1" x14ac:dyDescent="0.35">
      <c r="B451" s="1450"/>
      <c r="C451" s="1451"/>
      <c r="D451" s="2423" t="s">
        <v>108</v>
      </c>
      <c r="E451" s="2423" t="s">
        <v>109</v>
      </c>
      <c r="F451" s="2331" t="s">
        <v>111</v>
      </c>
      <c r="G451" s="3741" t="s">
        <v>186</v>
      </c>
      <c r="H451" s="3741"/>
      <c r="I451" s="3825" t="s">
        <v>112</v>
      </c>
      <c r="J451" s="4088"/>
      <c r="K451" s="3826"/>
      <c r="L451" s="1450"/>
      <c r="V451" s="1572" t="s">
        <v>44</v>
      </c>
      <c r="W451" s="1573">
        <f>W$6</f>
        <v>43252</v>
      </c>
      <c r="X451" s="1573">
        <f t="shared" ref="X451:AG451" si="98">X$6</f>
        <v>43465</v>
      </c>
      <c r="Y451" s="1573">
        <f t="shared" si="98"/>
        <v>43800</v>
      </c>
      <c r="Z451" s="1573">
        <f t="shared" si="98"/>
        <v>43862</v>
      </c>
      <c r="AA451" s="1573">
        <f t="shared" si="98"/>
        <v>44013</v>
      </c>
      <c r="AB451" s="1573">
        <f t="shared" si="98"/>
        <v>44166</v>
      </c>
      <c r="AC451" s="1573">
        <f t="shared" si="98"/>
        <v>44531</v>
      </c>
      <c r="AD451" s="1573">
        <f t="shared" si="98"/>
        <v>44774</v>
      </c>
      <c r="AE451" s="1573" t="str">
        <f t="shared" si="98"/>
        <v>-</v>
      </c>
      <c r="AF451" s="1573" t="str">
        <f t="shared" si="98"/>
        <v>-</v>
      </c>
      <c r="AG451" s="1573" t="str">
        <f t="shared" si="98"/>
        <v>-</v>
      </c>
    </row>
    <row r="452" spans="1:54" hidden="1" outlineLevel="1" x14ac:dyDescent="0.35">
      <c r="B452" s="1450"/>
      <c r="C452" s="1451"/>
      <c r="D452" s="2333" t="s">
        <v>596</v>
      </c>
      <c r="E452" s="2333" t="s">
        <v>597</v>
      </c>
      <c r="F452" s="425">
        <v>1</v>
      </c>
      <c r="G452" s="3834" t="s">
        <v>583</v>
      </c>
      <c r="H452" s="3834"/>
      <c r="I452" s="4515" t="s">
        <v>2363</v>
      </c>
      <c r="J452" s="4515"/>
      <c r="K452" s="4515"/>
      <c r="L452" s="1450"/>
      <c r="M452" s="873"/>
      <c r="N452" s="873"/>
      <c r="U452" s="873"/>
      <c r="V452" s="2414" t="str">
        <f>D452</f>
        <v>%Electric DHW</v>
      </c>
      <c r="W452" s="426">
        <v>1</v>
      </c>
      <c r="X452" s="426">
        <v>1</v>
      </c>
      <c r="Y452" s="426">
        <v>1</v>
      </c>
      <c r="Z452" s="426">
        <v>1</v>
      </c>
      <c r="AA452" s="426">
        <v>1</v>
      </c>
      <c r="AB452" s="425">
        <v>1</v>
      </c>
      <c r="AC452" s="425">
        <v>1</v>
      </c>
      <c r="AD452" s="425">
        <v>1</v>
      </c>
      <c r="AE452" s="426"/>
      <c r="AF452" s="426"/>
      <c r="AG452" s="426"/>
    </row>
    <row r="453" spans="1:54" ht="14.5" hidden="1" customHeight="1" outlineLevel="1" x14ac:dyDescent="0.35">
      <c r="B453" s="1450"/>
      <c r="C453" s="1451"/>
      <c r="D453" s="2333" t="s">
        <v>601</v>
      </c>
      <c r="E453" s="2333" t="s">
        <v>669</v>
      </c>
      <c r="F453" s="88">
        <v>2.5</v>
      </c>
      <c r="G453" s="3820" t="s">
        <v>2374</v>
      </c>
      <c r="H453" s="3790"/>
      <c r="I453" s="4516" t="s">
        <v>4416</v>
      </c>
      <c r="J453" s="4517"/>
      <c r="K453" s="4518"/>
      <c r="L453" s="1450"/>
      <c r="M453" s="2378"/>
      <c r="N453" s="2378"/>
      <c r="U453" s="2378"/>
      <c r="V453" s="2414" t="str">
        <f t="shared" ref="V453:V468" si="99">D453</f>
        <v>GPM_base</v>
      </c>
      <c r="W453" s="429">
        <v>2.67</v>
      </c>
      <c r="X453" s="429">
        <v>2.67</v>
      </c>
      <c r="Y453" s="429">
        <v>2.67</v>
      </c>
      <c r="Z453" s="429">
        <v>2.67</v>
      </c>
      <c r="AA453" s="429">
        <v>2.67</v>
      </c>
      <c r="AB453" s="293">
        <v>2.5</v>
      </c>
      <c r="AC453" s="88">
        <v>2.5</v>
      </c>
      <c r="AD453" s="2977">
        <v>2.5</v>
      </c>
      <c r="AE453" s="429"/>
      <c r="AF453" s="429"/>
      <c r="AG453" s="429"/>
    </row>
    <row r="454" spans="1:54" hidden="1" outlineLevel="1" x14ac:dyDescent="0.35">
      <c r="B454" s="1450"/>
      <c r="C454" s="1451"/>
      <c r="D454" s="2333" t="s">
        <v>604</v>
      </c>
      <c r="E454" s="2333" t="s">
        <v>673</v>
      </c>
      <c r="F454" s="2419">
        <v>8.66</v>
      </c>
      <c r="G454" s="3820" t="s">
        <v>2375</v>
      </c>
      <c r="H454" s="3790"/>
      <c r="I454" s="4384" t="s">
        <v>2376</v>
      </c>
      <c r="J454" s="4385"/>
      <c r="K454" s="4386"/>
      <c r="L454" s="1450"/>
      <c r="M454" s="2378"/>
      <c r="N454" s="2378"/>
      <c r="U454" s="2378"/>
      <c r="V454" s="2414" t="str">
        <f t="shared" si="99"/>
        <v>L_base</v>
      </c>
      <c r="W454" s="429">
        <v>8.66</v>
      </c>
      <c r="X454" s="429">
        <v>8.66</v>
      </c>
      <c r="Y454" s="429">
        <v>8.66</v>
      </c>
      <c r="Z454" s="429">
        <v>8.66</v>
      </c>
      <c r="AA454" s="429">
        <v>8.66</v>
      </c>
      <c r="AB454" s="2419">
        <v>8.66</v>
      </c>
      <c r="AC454" s="2419">
        <v>8.66</v>
      </c>
      <c r="AD454" s="2978">
        <v>8.66</v>
      </c>
      <c r="AE454" s="429"/>
      <c r="AF454" s="429"/>
      <c r="AG454" s="429"/>
    </row>
    <row r="455" spans="1:54" s="398" customFormat="1" ht="14.5" hidden="1" customHeight="1" outlineLevel="1" x14ac:dyDescent="0.35">
      <c r="A455" s="486"/>
      <c r="B455" s="1464"/>
      <c r="C455" s="1465"/>
      <c r="D455" s="2333" t="s">
        <v>609</v>
      </c>
      <c r="E455" s="2333" t="s">
        <v>676</v>
      </c>
      <c r="F455" s="461">
        <v>1.25</v>
      </c>
      <c r="G455" s="4514" t="s">
        <v>611</v>
      </c>
      <c r="H455" s="4514"/>
      <c r="I455" s="4516" t="s">
        <v>4416</v>
      </c>
      <c r="J455" s="4517"/>
      <c r="K455" s="4518"/>
      <c r="L455" s="1450"/>
      <c r="M455" s="944"/>
      <c r="N455" s="944"/>
      <c r="O455" s="486"/>
      <c r="P455" s="486"/>
      <c r="Q455" s="486"/>
      <c r="R455" s="486"/>
      <c r="S455" s="486"/>
      <c r="T455" s="486"/>
      <c r="U455" s="944"/>
      <c r="V455" s="2414" t="str">
        <f t="shared" si="99"/>
        <v>GPM_low</v>
      </c>
      <c r="W455" s="670">
        <v>2</v>
      </c>
      <c r="X455" s="670">
        <v>2</v>
      </c>
      <c r="Y455" s="670">
        <v>2</v>
      </c>
      <c r="Z455" s="670">
        <v>2</v>
      </c>
      <c r="AA455" s="670">
        <v>2</v>
      </c>
      <c r="AB455" s="459">
        <v>1.25</v>
      </c>
      <c r="AC455" s="461">
        <v>1.25</v>
      </c>
      <c r="AD455" s="461">
        <v>1.25</v>
      </c>
      <c r="AE455" s="670"/>
      <c r="AF455" s="670"/>
      <c r="AG455" s="670"/>
      <c r="AH455"/>
      <c r="AI455"/>
      <c r="AJ455"/>
      <c r="BB455" s="1039"/>
    </row>
    <row r="456" spans="1:54" ht="60.65" hidden="1" customHeight="1" outlineLevel="1" x14ac:dyDescent="0.35">
      <c r="B456" s="1450"/>
      <c r="C456" s="1451"/>
      <c r="D456" s="2333" t="s">
        <v>612</v>
      </c>
      <c r="E456" s="2333" t="s">
        <v>677</v>
      </c>
      <c r="F456" s="2419">
        <v>8.66</v>
      </c>
      <c r="G456" s="3820" t="s">
        <v>2375</v>
      </c>
      <c r="H456" s="3790"/>
      <c r="I456" s="4384" t="s">
        <v>2376</v>
      </c>
      <c r="J456" s="4385"/>
      <c r="K456" s="4386"/>
      <c r="L456" s="1450"/>
      <c r="M456" s="2378"/>
      <c r="N456" s="2378"/>
      <c r="U456" s="2378"/>
      <c r="V456" s="2414" t="str">
        <f t="shared" si="99"/>
        <v>L_low</v>
      </c>
      <c r="W456" s="429">
        <v>8.66</v>
      </c>
      <c r="X456" s="429">
        <v>8.66</v>
      </c>
      <c r="Y456" s="429">
        <v>8.66</v>
      </c>
      <c r="Z456" s="429">
        <v>8.66</v>
      </c>
      <c r="AA456" s="429">
        <v>8.66</v>
      </c>
      <c r="AB456" s="2419">
        <v>8.66</v>
      </c>
      <c r="AC456" s="2419">
        <v>8.66</v>
      </c>
      <c r="AD456" s="2978">
        <v>8.66</v>
      </c>
      <c r="AE456" s="429"/>
      <c r="AF456" s="429"/>
      <c r="AG456" s="429"/>
    </row>
    <row r="457" spans="1:54" ht="27" hidden="1" customHeight="1" outlineLevel="1" x14ac:dyDescent="0.35">
      <c r="B457" s="1450"/>
      <c r="C457" s="1451"/>
      <c r="D457" s="2333" t="s">
        <v>199</v>
      </c>
      <c r="E457" s="2333" t="s">
        <v>678</v>
      </c>
      <c r="F457" s="2419">
        <v>2.0699999999999998</v>
      </c>
      <c r="G457" s="3820" t="s">
        <v>977</v>
      </c>
      <c r="H457" s="3790"/>
      <c r="I457" s="4384" t="s">
        <v>2376</v>
      </c>
      <c r="J457" s="4385"/>
      <c r="K457" s="4386"/>
      <c r="L457" s="1450"/>
      <c r="M457" s="2378"/>
      <c r="N457" s="2378"/>
      <c r="U457" s="2378"/>
      <c r="V457" s="2414" t="str">
        <f t="shared" si="99"/>
        <v>Household</v>
      </c>
      <c r="W457" s="429">
        <v>2.0699999999999998</v>
      </c>
      <c r="X457" s="429">
        <v>2.0699999999999998</v>
      </c>
      <c r="Y457" s="429">
        <v>2.0699999999999998</v>
      </c>
      <c r="Z457" s="429">
        <v>2.0699999999999998</v>
      </c>
      <c r="AA457" s="429">
        <v>2.0699999999999998</v>
      </c>
      <c r="AB457" s="2419">
        <v>2.0699999999999998</v>
      </c>
      <c r="AC457" s="2419">
        <v>2.0699999999999998</v>
      </c>
      <c r="AD457" s="2978">
        <v>2.0699999999999998</v>
      </c>
      <c r="AE457" s="429"/>
      <c r="AF457" s="429"/>
      <c r="AG457" s="429"/>
    </row>
    <row r="458" spans="1:54" ht="58.9" hidden="1" customHeight="1" outlineLevel="1" x14ac:dyDescent="0.35">
      <c r="B458" s="1450"/>
      <c r="C458" s="1451"/>
      <c r="D458" s="2333" t="s">
        <v>682</v>
      </c>
      <c r="E458" s="2333" t="s">
        <v>683</v>
      </c>
      <c r="F458" s="2419">
        <v>0.66</v>
      </c>
      <c r="G458" s="3820" t="s">
        <v>2375</v>
      </c>
      <c r="H458" s="3790"/>
      <c r="I458" s="4384" t="s">
        <v>2376</v>
      </c>
      <c r="J458" s="4385"/>
      <c r="K458" s="4386"/>
      <c r="L458" s="1450"/>
      <c r="M458" s="2378"/>
      <c r="N458" s="2378"/>
      <c r="U458" s="2378"/>
      <c r="V458" s="2414" t="str">
        <f t="shared" si="99"/>
        <v>SPDC</v>
      </c>
      <c r="W458" s="429">
        <v>0.66</v>
      </c>
      <c r="X458" s="429">
        <v>0.66</v>
      </c>
      <c r="Y458" s="429">
        <v>0.66</v>
      </c>
      <c r="Z458" s="429">
        <v>0.66</v>
      </c>
      <c r="AA458" s="429">
        <v>0.66</v>
      </c>
      <c r="AB458" s="2419">
        <v>0.66</v>
      </c>
      <c r="AC458" s="2419">
        <v>0.66</v>
      </c>
      <c r="AD458" s="2978">
        <v>0.66</v>
      </c>
      <c r="AE458" s="429"/>
      <c r="AF458" s="429"/>
      <c r="AG458" s="429"/>
    </row>
    <row r="459" spans="1:54" ht="30" hidden="1" customHeight="1" outlineLevel="1" x14ac:dyDescent="0.35">
      <c r="B459" s="1450"/>
      <c r="C459" s="1451"/>
      <c r="D459" s="2333">
        <v>365.25</v>
      </c>
      <c r="E459" s="2333" t="s">
        <v>684</v>
      </c>
      <c r="F459" s="2419">
        <v>365.25</v>
      </c>
      <c r="G459" s="3820" t="s">
        <v>570</v>
      </c>
      <c r="H459" s="3790"/>
      <c r="I459" s="4384" t="s">
        <v>2376</v>
      </c>
      <c r="J459" s="4385"/>
      <c r="K459" s="4386"/>
      <c r="L459" s="1450"/>
      <c r="M459" s="2378"/>
      <c r="N459" s="2378"/>
      <c r="U459" s="2378"/>
      <c r="V459" s="2414">
        <f t="shared" si="99"/>
        <v>365.25</v>
      </c>
      <c r="W459" s="429">
        <v>365</v>
      </c>
      <c r="X459" s="429">
        <v>365</v>
      </c>
      <c r="Y459" s="429">
        <v>365</v>
      </c>
      <c r="Z459" s="429">
        <v>365</v>
      </c>
      <c r="AA459" s="429">
        <v>365</v>
      </c>
      <c r="AB459" s="2419">
        <v>365</v>
      </c>
      <c r="AC459" s="83">
        <v>365.25</v>
      </c>
      <c r="AD459" s="2978">
        <v>365.25</v>
      </c>
      <c r="AE459" s="429"/>
      <c r="AF459" s="429"/>
      <c r="AG459" s="429"/>
    </row>
    <row r="460" spans="1:54" ht="33.75" hidden="1" customHeight="1" outlineLevel="1" x14ac:dyDescent="0.35">
      <c r="B460" s="1450"/>
      <c r="C460" s="1451"/>
      <c r="D460" s="2333" t="s">
        <v>685</v>
      </c>
      <c r="E460" s="2333" t="s">
        <v>686</v>
      </c>
      <c r="F460" s="124">
        <v>1.4</v>
      </c>
      <c r="G460" s="3820" t="s">
        <v>977</v>
      </c>
      <c r="H460" s="3790"/>
      <c r="I460" s="4384" t="s">
        <v>2376</v>
      </c>
      <c r="J460" s="4385"/>
      <c r="K460" s="4386"/>
      <c r="L460" s="1450"/>
      <c r="M460" s="944"/>
      <c r="N460" s="944"/>
      <c r="U460" s="944"/>
      <c r="V460" s="2414" t="str">
        <f t="shared" si="99"/>
        <v>SPH</v>
      </c>
      <c r="W460" s="670">
        <v>1.4</v>
      </c>
      <c r="X460" s="670">
        <v>1.4</v>
      </c>
      <c r="Y460" s="670">
        <v>1.4</v>
      </c>
      <c r="Z460" s="670">
        <v>1.4</v>
      </c>
      <c r="AA460" s="670">
        <v>1.4</v>
      </c>
      <c r="AB460" s="124">
        <v>1.4</v>
      </c>
      <c r="AC460" s="124">
        <v>1.4</v>
      </c>
      <c r="AD460" s="124">
        <v>1.4</v>
      </c>
      <c r="AE460" s="670"/>
      <c r="AF460" s="670"/>
      <c r="AG460" s="670"/>
    </row>
    <row r="461" spans="1:54" ht="15" hidden="1" customHeight="1" outlineLevel="1" x14ac:dyDescent="0.35">
      <c r="B461" s="1450"/>
      <c r="C461" s="1451"/>
      <c r="D461" s="2333">
        <v>8.33</v>
      </c>
      <c r="E461" s="2344" t="s">
        <v>626</v>
      </c>
      <c r="F461" s="2419">
        <v>8.33</v>
      </c>
      <c r="G461" s="3847" t="s">
        <v>627</v>
      </c>
      <c r="H461" s="3848"/>
      <c r="I461" s="4384" t="s">
        <v>2376</v>
      </c>
      <c r="J461" s="4385"/>
      <c r="K461" s="4386"/>
      <c r="L461" s="1450"/>
      <c r="M461" s="2378"/>
      <c r="N461" s="2378"/>
      <c r="U461" s="2378"/>
      <c r="V461" s="2414">
        <f t="shared" si="99"/>
        <v>8.33</v>
      </c>
      <c r="W461" s="429">
        <v>8.33</v>
      </c>
      <c r="X461" s="429">
        <v>8.33</v>
      </c>
      <c r="Y461" s="429">
        <v>8.33</v>
      </c>
      <c r="Z461" s="429">
        <v>8.33</v>
      </c>
      <c r="AA461" s="429">
        <v>8.33</v>
      </c>
      <c r="AB461" s="2419">
        <v>8.33</v>
      </c>
      <c r="AC461" s="2419">
        <v>8.33</v>
      </c>
      <c r="AD461" s="2978">
        <v>8.33</v>
      </c>
      <c r="AE461" s="429"/>
      <c r="AF461" s="429"/>
      <c r="AG461" s="429"/>
    </row>
    <row r="462" spans="1:54" ht="30" hidden="1" customHeight="1" outlineLevel="1" x14ac:dyDescent="0.35">
      <c r="B462" s="1450"/>
      <c r="C462" s="1451"/>
      <c r="D462" s="2333">
        <v>1</v>
      </c>
      <c r="E462" s="2333" t="s">
        <v>628</v>
      </c>
      <c r="F462" s="2419">
        <v>1</v>
      </c>
      <c r="G462" s="3820" t="s">
        <v>629</v>
      </c>
      <c r="H462" s="3790"/>
      <c r="I462" s="4384" t="s">
        <v>2376</v>
      </c>
      <c r="J462" s="4385"/>
      <c r="K462" s="4386"/>
      <c r="L462" s="1450"/>
      <c r="M462" s="2378"/>
      <c r="N462" s="2378"/>
      <c r="U462" s="2378"/>
      <c r="V462" s="2414">
        <f t="shared" si="99"/>
        <v>1</v>
      </c>
      <c r="W462" s="429">
        <v>1</v>
      </c>
      <c r="X462" s="429">
        <v>1</v>
      </c>
      <c r="Y462" s="429">
        <v>1</v>
      </c>
      <c r="Z462" s="429">
        <v>1</v>
      </c>
      <c r="AA462" s="429">
        <v>1</v>
      </c>
      <c r="AB462" s="2419">
        <v>1</v>
      </c>
      <c r="AC462" s="2419">
        <v>1</v>
      </c>
      <c r="AD462" s="2978">
        <v>1</v>
      </c>
      <c r="AE462" s="429"/>
      <c r="AF462" s="429"/>
      <c r="AG462" s="429"/>
    </row>
    <row r="463" spans="1:54" ht="90.75" hidden="1" customHeight="1" outlineLevel="1" x14ac:dyDescent="0.35">
      <c r="B463" s="1450"/>
      <c r="C463" s="1451"/>
      <c r="D463" s="2333" t="s">
        <v>687</v>
      </c>
      <c r="E463" s="2333" t="s">
        <v>688</v>
      </c>
      <c r="F463" s="2419">
        <v>105</v>
      </c>
      <c r="G463" s="3820" t="s">
        <v>689</v>
      </c>
      <c r="H463" s="3790"/>
      <c r="I463" s="4384" t="s">
        <v>2376</v>
      </c>
      <c r="J463" s="4385"/>
      <c r="K463" s="4386"/>
      <c r="L463" s="1450"/>
      <c r="M463" s="2378"/>
      <c r="N463" s="2378"/>
      <c r="U463" s="2378"/>
      <c r="V463" s="2414" t="str">
        <f t="shared" si="99"/>
        <v>ShowerTemp</v>
      </c>
      <c r="W463" s="429">
        <v>105</v>
      </c>
      <c r="X463" s="429">
        <v>105</v>
      </c>
      <c r="Y463" s="429">
        <v>105</v>
      </c>
      <c r="Z463" s="429">
        <v>105</v>
      </c>
      <c r="AA463" s="429">
        <v>105</v>
      </c>
      <c r="AB463" s="2419">
        <v>105</v>
      </c>
      <c r="AC463" s="2419">
        <v>105</v>
      </c>
      <c r="AD463" s="2978">
        <v>105</v>
      </c>
      <c r="AE463" s="429"/>
      <c r="AF463" s="429"/>
      <c r="AG463" s="429"/>
    </row>
    <row r="464" spans="1:54" s="398" customFormat="1" ht="67.5" hidden="1" customHeight="1" outlineLevel="1" x14ac:dyDescent="0.35">
      <c r="A464" s="486"/>
      <c r="B464" s="1464"/>
      <c r="C464" s="1465"/>
      <c r="D464" s="2333" t="s">
        <v>633</v>
      </c>
      <c r="E464" s="2333" t="s">
        <v>634</v>
      </c>
      <c r="F464" s="2419">
        <v>61.3</v>
      </c>
      <c r="G464" s="3820" t="s">
        <v>635</v>
      </c>
      <c r="H464" s="3790"/>
      <c r="I464" s="4384" t="s">
        <v>2376</v>
      </c>
      <c r="J464" s="4385"/>
      <c r="K464" s="4386"/>
      <c r="L464" s="1450"/>
      <c r="M464" s="2378"/>
      <c r="N464" s="2378"/>
      <c r="O464" s="486"/>
      <c r="P464" s="486"/>
      <c r="Q464" s="486"/>
      <c r="R464" s="486"/>
      <c r="S464" s="486"/>
      <c r="T464" s="486"/>
      <c r="U464" s="2378"/>
      <c r="V464" s="2414" t="str">
        <f t="shared" si="99"/>
        <v>SupplyTemp</v>
      </c>
      <c r="W464" s="429">
        <v>61.3</v>
      </c>
      <c r="X464" s="429">
        <v>61.3</v>
      </c>
      <c r="Y464" s="429">
        <v>61.3</v>
      </c>
      <c r="Z464" s="429">
        <v>61.3</v>
      </c>
      <c r="AA464" s="429">
        <v>61.3</v>
      </c>
      <c r="AB464" s="2419">
        <v>61.3</v>
      </c>
      <c r="AC464" s="2419">
        <v>61.3</v>
      </c>
      <c r="AD464" s="2978">
        <v>61.3</v>
      </c>
      <c r="AE464" s="429"/>
      <c r="AF464" s="429"/>
      <c r="AG464" s="429"/>
      <c r="AH464"/>
      <c r="AI464"/>
      <c r="AJ464"/>
      <c r="BB464" s="1039"/>
    </row>
    <row r="465" spans="1:57" s="398" customFormat="1" ht="62.25" hidden="1" customHeight="1" outlineLevel="1" x14ac:dyDescent="0.35">
      <c r="A465" s="486"/>
      <c r="B465" s="1464"/>
      <c r="C465" s="1465"/>
      <c r="D465" s="2333" t="s">
        <v>636</v>
      </c>
      <c r="E465" s="2333" t="s">
        <v>637</v>
      </c>
      <c r="F465" s="2419">
        <v>0.98</v>
      </c>
      <c r="G465" s="3847" t="s">
        <v>638</v>
      </c>
      <c r="H465" s="3848"/>
      <c r="I465" s="4384" t="s">
        <v>2376</v>
      </c>
      <c r="J465" s="4385"/>
      <c r="K465" s="4386"/>
      <c r="L465" s="1450"/>
      <c r="M465" s="2378"/>
      <c r="N465" s="2378"/>
      <c r="O465" s="486"/>
      <c r="P465" s="486"/>
      <c r="Q465" s="486"/>
      <c r="R465" s="486"/>
      <c r="S465" s="486"/>
      <c r="T465" s="486"/>
      <c r="U465" s="2378"/>
      <c r="V465" s="2414" t="str">
        <f t="shared" si="99"/>
        <v>RE_electric</v>
      </c>
      <c r="W465" s="429">
        <v>0.98</v>
      </c>
      <c r="X465" s="429">
        <v>0.98</v>
      </c>
      <c r="Y465" s="429">
        <v>0.98</v>
      </c>
      <c r="Z465" s="429">
        <v>0.98</v>
      </c>
      <c r="AA465" s="429">
        <v>0.98</v>
      </c>
      <c r="AB465" s="2419">
        <v>0.98</v>
      </c>
      <c r="AC465" s="2419">
        <v>0.98</v>
      </c>
      <c r="AD465" s="2978">
        <v>0.98</v>
      </c>
      <c r="AE465" s="429"/>
      <c r="AF465" s="429"/>
      <c r="AG465" s="429"/>
      <c r="AH465"/>
      <c r="AI465"/>
      <c r="AJ465"/>
      <c r="BB465" s="1039"/>
    </row>
    <row r="466" spans="1:57" s="398" customFormat="1" ht="30" hidden="1" customHeight="1" outlineLevel="1" x14ac:dyDescent="0.35">
      <c r="A466" s="486"/>
      <c r="B466" s="1464"/>
      <c r="C466" s="1465"/>
      <c r="D466" s="2333">
        <v>3412</v>
      </c>
      <c r="E466" s="2344" t="s">
        <v>639</v>
      </c>
      <c r="F466" s="443">
        <v>3412</v>
      </c>
      <c r="G466" s="3847" t="s">
        <v>217</v>
      </c>
      <c r="H466" s="3848"/>
      <c r="I466" s="4384" t="s">
        <v>2376</v>
      </c>
      <c r="J466" s="4385"/>
      <c r="K466" s="4386"/>
      <c r="L466" s="1450"/>
      <c r="M466" s="1472"/>
      <c r="N466" s="1472"/>
      <c r="O466" s="486"/>
      <c r="P466" s="486"/>
      <c r="Q466" s="486"/>
      <c r="R466" s="486"/>
      <c r="S466" s="486"/>
      <c r="T466" s="486"/>
      <c r="U466" s="1472"/>
      <c r="V466" s="2414">
        <f t="shared" si="99"/>
        <v>3412</v>
      </c>
      <c r="W466" s="445">
        <v>3412</v>
      </c>
      <c r="X466" s="445">
        <v>3412</v>
      </c>
      <c r="Y466" s="445">
        <v>3412</v>
      </c>
      <c r="Z466" s="445">
        <v>3412</v>
      </c>
      <c r="AA466" s="445">
        <v>3412</v>
      </c>
      <c r="AB466" s="443">
        <v>3412</v>
      </c>
      <c r="AC466" s="443">
        <v>3412</v>
      </c>
      <c r="AD466" s="443">
        <v>3412</v>
      </c>
      <c r="AE466" s="445"/>
      <c r="AF466" s="445"/>
      <c r="AG466" s="445"/>
      <c r="AH466"/>
      <c r="AI466"/>
      <c r="AJ466"/>
      <c r="BB466" s="1039"/>
    </row>
    <row r="467" spans="1:57" ht="15" hidden="1" customHeight="1" outlineLevel="1" x14ac:dyDescent="0.35">
      <c r="B467" s="1464"/>
      <c r="C467" s="1451"/>
      <c r="D467" s="2333" t="s">
        <v>516</v>
      </c>
      <c r="E467" s="2333" t="s">
        <v>578</v>
      </c>
      <c r="F467" s="425">
        <v>1</v>
      </c>
      <c r="G467" s="3820" t="s">
        <v>583</v>
      </c>
      <c r="H467" s="3790"/>
      <c r="I467" s="4384" t="s">
        <v>2363</v>
      </c>
      <c r="J467" s="4385"/>
      <c r="K467" s="4386"/>
      <c r="L467" s="1450"/>
      <c r="M467" s="873"/>
      <c r="N467" s="873"/>
      <c r="U467" s="873"/>
      <c r="V467" s="2414" t="str">
        <f t="shared" si="99"/>
        <v>Utility Adjustment</v>
      </c>
      <c r="W467" s="426">
        <v>1</v>
      </c>
      <c r="X467" s="426">
        <v>1</v>
      </c>
      <c r="Y467" s="426">
        <v>1</v>
      </c>
      <c r="Z467" s="426">
        <v>1</v>
      </c>
      <c r="AA467" s="426">
        <v>1</v>
      </c>
      <c r="AB467" s="425">
        <v>1</v>
      </c>
      <c r="AC467" s="425">
        <v>1</v>
      </c>
      <c r="AD467" s="425">
        <v>1</v>
      </c>
      <c r="AE467" s="426"/>
      <c r="AF467" s="426"/>
      <c r="AG467" s="426"/>
    </row>
    <row r="468" spans="1:57" ht="33.75" hidden="1" customHeight="1" outlineLevel="1" x14ac:dyDescent="0.35">
      <c r="B468" s="1464"/>
      <c r="C468" s="1451"/>
      <c r="D468" s="2333" t="s">
        <v>132</v>
      </c>
      <c r="E468" s="2333" t="s">
        <v>251</v>
      </c>
      <c r="F468" s="2731">
        <v>0.96399999999999997</v>
      </c>
      <c r="G468" s="4528" t="s">
        <v>1872</v>
      </c>
      <c r="H468" s="4529"/>
      <c r="I468" s="4516" t="s">
        <v>4418</v>
      </c>
      <c r="J468" s="4517"/>
      <c r="K468" s="4518"/>
      <c r="L468" s="1450"/>
      <c r="M468" s="873"/>
      <c r="N468" s="873"/>
      <c r="U468" s="873"/>
      <c r="V468" s="2340" t="str">
        <f t="shared" si="99"/>
        <v>ISR</v>
      </c>
      <c r="W468" s="426">
        <v>0.91</v>
      </c>
      <c r="X468" s="426">
        <v>0.91</v>
      </c>
      <c r="Y468" s="426">
        <v>0.91</v>
      </c>
      <c r="Z468" s="426">
        <v>0.91</v>
      </c>
      <c r="AA468" s="426">
        <v>0.91</v>
      </c>
      <c r="AB468" s="425">
        <v>0.91</v>
      </c>
      <c r="AC468" s="425">
        <v>0.91</v>
      </c>
      <c r="AD468" s="2731">
        <v>0.96399999999999997</v>
      </c>
      <c r="AE468" s="426"/>
      <c r="AF468" s="426"/>
      <c r="AG468" s="426"/>
    </row>
    <row r="469" spans="1:57" s="199" customFormat="1" ht="15" hidden="1" customHeight="1" outlineLevel="1" x14ac:dyDescent="0.35">
      <c r="B469" s="1464"/>
      <c r="C469" s="197"/>
      <c r="D469" s="1494" t="str">
        <f>$D$34</f>
        <v>EUL</v>
      </c>
      <c r="E469" s="2333" t="s">
        <v>134</v>
      </c>
      <c r="F469" s="867">
        <v>10</v>
      </c>
      <c r="G469" s="3834"/>
      <c r="H469" s="3834"/>
      <c r="I469" s="4515"/>
      <c r="J469" s="4515"/>
      <c r="K469" s="4515"/>
      <c r="V469" s="2094" t="str">
        <f>D469</f>
        <v>EUL</v>
      </c>
      <c r="W469" s="867">
        <v>10</v>
      </c>
      <c r="X469" s="867">
        <v>10</v>
      </c>
      <c r="Y469" s="867">
        <v>10</v>
      </c>
      <c r="Z469" s="867">
        <v>10</v>
      </c>
      <c r="AA469" s="867">
        <v>10</v>
      </c>
      <c r="AB469" s="867">
        <v>10</v>
      </c>
      <c r="AC469" s="867">
        <v>10</v>
      </c>
      <c r="AD469" s="867">
        <v>10</v>
      </c>
      <c r="AE469" s="867"/>
      <c r="AF469" s="867"/>
      <c r="AG469" s="867"/>
      <c r="AK469" s="1041"/>
      <c r="BB469" s="1042"/>
    </row>
    <row r="470" spans="1:57" s="199" customFormat="1" ht="15" hidden="1" customHeight="1" outlineLevel="1" x14ac:dyDescent="0.35">
      <c r="B470" s="1464"/>
      <c r="C470" s="197"/>
      <c r="D470" s="4530" t="str">
        <f>$D$35</f>
        <v>Inc. Cost</v>
      </c>
      <c r="E470" s="2333" t="s">
        <v>2377</v>
      </c>
      <c r="F470" s="888">
        <v>15.33</v>
      </c>
      <c r="G470" s="3834"/>
      <c r="H470" s="3834"/>
      <c r="I470" s="4515"/>
      <c r="J470" s="4515"/>
      <c r="K470" s="4515"/>
      <c r="V470" s="2094" t="str">
        <f>CONCATENATE(D470,"_",E470)</f>
        <v>Inc. Cost_Direct Install</v>
      </c>
      <c r="W470" s="888">
        <v>15.33</v>
      </c>
      <c r="X470" s="888">
        <v>15.33</v>
      </c>
      <c r="Y470" s="888">
        <v>15.33</v>
      </c>
      <c r="Z470" s="888">
        <v>15.33</v>
      </c>
      <c r="AA470" s="888">
        <v>15.33</v>
      </c>
      <c r="AB470" s="888">
        <v>15.33</v>
      </c>
      <c r="AC470" s="888">
        <v>15.33</v>
      </c>
      <c r="AD470" s="888">
        <v>15.33</v>
      </c>
      <c r="AE470" s="888"/>
      <c r="AF470" s="888"/>
      <c r="AG470" s="888"/>
      <c r="AK470" s="1041"/>
      <c r="BB470" s="1042"/>
    </row>
    <row r="471" spans="1:57" s="199" customFormat="1" ht="15" hidden="1" customHeight="1" outlineLevel="1" x14ac:dyDescent="0.35">
      <c r="B471" s="1464"/>
      <c r="C471" s="197"/>
      <c r="D471" s="4531"/>
      <c r="E471" s="2333" t="s">
        <v>2378</v>
      </c>
      <c r="F471" s="888">
        <v>7</v>
      </c>
      <c r="G471" s="3834"/>
      <c r="H471" s="3834"/>
      <c r="I471" s="3786"/>
      <c r="J471" s="3786"/>
      <c r="K471" s="3786"/>
      <c r="V471" s="2094" t="str">
        <f>CONCATENATE(D471,"_",E471)</f>
        <v>_Time of Sale</v>
      </c>
      <c r="W471" s="888">
        <v>7</v>
      </c>
      <c r="X471" s="888">
        <v>7</v>
      </c>
      <c r="Y471" s="888">
        <v>7</v>
      </c>
      <c r="Z471" s="888">
        <v>7</v>
      </c>
      <c r="AA471" s="888">
        <v>7</v>
      </c>
      <c r="AB471" s="888">
        <v>7</v>
      </c>
      <c r="AC471" s="888">
        <v>7</v>
      </c>
      <c r="AD471" s="888">
        <v>7</v>
      </c>
      <c r="AE471" s="888"/>
      <c r="AF471" s="888"/>
      <c r="AG471" s="888"/>
      <c r="AK471" s="1041"/>
      <c r="BB471" s="1042"/>
    </row>
    <row r="472" spans="1:57" collapsed="1" x14ac:dyDescent="0.35">
      <c r="B472" s="1464"/>
      <c r="C472" s="1451"/>
      <c r="D472" s="1013"/>
      <c r="E472" s="1013"/>
      <c r="F472" s="1450"/>
      <c r="G472" s="1450"/>
      <c r="H472" s="1450"/>
      <c r="I472" s="1450"/>
      <c r="J472" s="1450"/>
      <c r="K472" s="1450"/>
      <c r="L472" s="1450"/>
    </row>
    <row r="473" spans="1:57" x14ac:dyDescent="0.35">
      <c r="B473" s="1450"/>
      <c r="C473" s="1451"/>
      <c r="D473" s="1013"/>
      <c r="E473" s="1013"/>
      <c r="F473" s="1450"/>
      <c r="G473" s="1450"/>
      <c r="H473" s="1450"/>
      <c r="I473" s="1450"/>
      <c r="J473" s="1450"/>
      <c r="K473" s="1450"/>
      <c r="L473" s="1450"/>
    </row>
    <row r="474" spans="1:57" x14ac:dyDescent="0.35">
      <c r="B474" s="3664" t="s">
        <v>737</v>
      </c>
      <c r="C474" s="3665"/>
      <c r="D474" s="3665"/>
      <c r="E474" s="3665"/>
      <c r="F474" s="3665"/>
      <c r="G474" s="3665"/>
      <c r="H474" s="3665"/>
      <c r="I474" s="3666"/>
      <c r="J474" s="3666"/>
      <c r="K474" s="3666"/>
      <c r="L474" s="3666"/>
      <c r="M474" s="3666"/>
      <c r="N474" s="3666"/>
      <c r="O474" s="3666"/>
      <c r="P474" s="3666"/>
      <c r="Q474" s="3667"/>
      <c r="V474" s="3664" t="str">
        <f>B474</f>
        <v>Advanced Power Strips Tier 1  / Load Sensing</v>
      </c>
      <c r="W474" s="3665"/>
      <c r="X474" s="3665"/>
      <c r="Y474" s="3665"/>
      <c r="Z474" s="3665"/>
      <c r="AA474" s="3665"/>
      <c r="AB474" s="3665"/>
      <c r="AC474" s="3680"/>
      <c r="AD474" s="3680"/>
      <c r="AE474" s="3680"/>
      <c r="AF474" s="3680"/>
      <c r="AG474" s="3680"/>
      <c r="AH474" s="3680"/>
      <c r="AI474" s="3681"/>
    </row>
    <row r="476" spans="1:57" ht="29" x14ac:dyDescent="0.35">
      <c r="C476" s="2331" t="s">
        <v>27</v>
      </c>
      <c r="D476" s="2331" t="s">
        <v>174</v>
      </c>
      <c r="E476" s="2331" t="s">
        <v>29</v>
      </c>
      <c r="F476" s="2331" t="s">
        <v>30</v>
      </c>
      <c r="G476" s="2331" t="s">
        <v>175</v>
      </c>
      <c r="H476" s="2331" t="s">
        <v>176</v>
      </c>
      <c r="I476" s="2331" t="s">
        <v>31</v>
      </c>
      <c r="J476" s="2331" t="s">
        <v>180</v>
      </c>
      <c r="K476" s="2331" t="s">
        <v>169</v>
      </c>
      <c r="L476" s="2331" t="s">
        <v>43</v>
      </c>
      <c r="V476" s="1572" t="s">
        <v>44</v>
      </c>
      <c r="W476" s="1573">
        <f>W$6</f>
        <v>43252</v>
      </c>
      <c r="X476" s="1573">
        <f t="shared" ref="X476:AG476" si="100">X$6</f>
        <v>43465</v>
      </c>
      <c r="Y476" s="1573">
        <f t="shared" si="100"/>
        <v>43800</v>
      </c>
      <c r="Z476" s="1573">
        <f t="shared" si="100"/>
        <v>43862</v>
      </c>
      <c r="AA476" s="1573">
        <f t="shared" si="100"/>
        <v>44013</v>
      </c>
      <c r="AB476" s="1573">
        <f t="shared" si="100"/>
        <v>44166</v>
      </c>
      <c r="AC476" s="1573">
        <f t="shared" si="100"/>
        <v>44531</v>
      </c>
      <c r="AD476" s="1573">
        <f t="shared" si="100"/>
        <v>44774</v>
      </c>
      <c r="AE476" s="1573" t="str">
        <f t="shared" si="100"/>
        <v>-</v>
      </c>
      <c r="AF476" s="1573" t="str">
        <f t="shared" si="100"/>
        <v>-</v>
      </c>
      <c r="AG476" s="1573" t="str">
        <f t="shared" si="100"/>
        <v>-</v>
      </c>
      <c r="BB476" s="1574" t="str">
        <f>$BB$6</f>
        <v>TRC (2022)</v>
      </c>
      <c r="BC476" s="1584" t="str">
        <f>$BC$6</f>
        <v>Benefit Lookup</v>
      </c>
      <c r="BD476" s="556" t="str">
        <f>$BD$6</f>
        <v>Benefits (2019 $)</v>
      </c>
      <c r="BE476" s="200" t="str">
        <f>$BE$6</f>
        <v>Incremental Cost (2019 $)</v>
      </c>
    </row>
    <row r="477" spans="1:57" x14ac:dyDescent="0.35">
      <c r="C477" s="50" t="s">
        <v>2379</v>
      </c>
      <c r="D477" s="395" t="s">
        <v>2254</v>
      </c>
      <c r="E477" s="2352" t="s">
        <v>2380</v>
      </c>
      <c r="F477" s="461">
        <f>ROUND((G490*G496+G491*G497)*G500,2)</f>
        <v>29.45</v>
      </c>
      <c r="G477" s="294" t="s">
        <v>375</v>
      </c>
      <c r="H477" s="136">
        <f>VLOOKUP(G477,'CP FACTORS'!$A$3:$B$38, 2, FALSE)</f>
        <v>1.148238E-4</v>
      </c>
      <c r="I477" s="1278">
        <f t="shared" ref="I477:I482" si="101">ROUND(F477*H477,6)</f>
        <v>3.382E-3</v>
      </c>
      <c r="J477" s="92">
        <f t="shared" ref="J477:J482" si="102">$G$502</f>
        <v>10</v>
      </c>
      <c r="K477" s="1014">
        <f t="shared" ref="K477:K482" si="103">$G$503</f>
        <v>20</v>
      </c>
      <c r="L477" s="2129" t="s">
        <v>184</v>
      </c>
      <c r="V477" s="141" t="str">
        <f>F476</f>
        <v>kWh Annual Savings</v>
      </c>
      <c r="W477" s="295">
        <v>31</v>
      </c>
      <c r="X477" s="295">
        <v>31</v>
      </c>
      <c r="Y477" s="418">
        <v>31</v>
      </c>
      <c r="Z477" s="418">
        <v>31</v>
      </c>
      <c r="AA477" s="418">
        <v>31</v>
      </c>
      <c r="AB477" s="459">
        <v>29.45</v>
      </c>
      <c r="AC477" s="461">
        <v>29.45</v>
      </c>
      <c r="AD477" s="295">
        <v>29.45</v>
      </c>
      <c r="AE477" s="295"/>
      <c r="AF477" s="295"/>
      <c r="AG477" s="295"/>
      <c r="BB477" s="1578">
        <f t="shared" ref="BB477:BB482" si="104">(BD477)/(BE477)</f>
        <v>0.5393865650555788</v>
      </c>
      <c r="BC477" s="2381" t="str">
        <f t="shared" ref="BC477:BC482" si="105">CONCATENATE(G477," ",J477," Year EUL")</f>
        <v>Miscellaneous RES 10 Year EUL</v>
      </c>
      <c r="BD477" s="95">
        <f>(INDEX('Avoided Cost Benefits'!$E$4:$E$859,MATCH(BC477,'Avoided Cost Benefits'!$A$4:$A$859,0)))*F477</f>
        <v>10.181907787740986</v>
      </c>
      <c r="BE477" s="1579">
        <f t="shared" ref="BE477:BE482" si="106">K477/(1.0595^(2020-2019))</f>
        <v>18.876828692779611</v>
      </c>
    </row>
    <row r="478" spans="1:57" x14ac:dyDescent="0.35">
      <c r="C478" s="50" t="s">
        <v>2381</v>
      </c>
      <c r="D478" s="395" t="s">
        <v>2254</v>
      </c>
      <c r="E478" s="2352" t="s">
        <v>2040</v>
      </c>
      <c r="F478" s="461">
        <f>ROUND((G490*G496+G491*G497)*G501,2)</f>
        <v>29.08</v>
      </c>
      <c r="G478" s="294" t="s">
        <v>375</v>
      </c>
      <c r="H478" s="136">
        <f>VLOOKUP(G478,'CP FACTORS'!$A$3:$B$38, 2, FALSE)</f>
        <v>1.148238E-4</v>
      </c>
      <c r="I478" s="1278">
        <f t="shared" si="101"/>
        <v>3.339E-3</v>
      </c>
      <c r="J478" s="92">
        <f t="shared" si="102"/>
        <v>10</v>
      </c>
      <c r="K478" s="1014">
        <f t="shared" si="103"/>
        <v>20</v>
      </c>
      <c r="L478" s="2129" t="s">
        <v>184</v>
      </c>
      <c r="V478" s="141" t="str">
        <f>V477</f>
        <v>kWh Annual Savings</v>
      </c>
      <c r="W478" s="295">
        <v>24.18</v>
      </c>
      <c r="X478" s="295">
        <v>24.18</v>
      </c>
      <c r="Y478" s="418">
        <v>24.18</v>
      </c>
      <c r="Z478" s="418">
        <v>24.18</v>
      </c>
      <c r="AA478" s="418">
        <v>24.18</v>
      </c>
      <c r="AB478" s="459">
        <v>29.08</v>
      </c>
      <c r="AC478" s="461">
        <v>29.08</v>
      </c>
      <c r="AD478" s="295">
        <v>29.08</v>
      </c>
      <c r="AE478" s="295"/>
      <c r="AF478" s="295"/>
      <c r="AG478" s="295"/>
      <c r="BB478" s="40">
        <f t="shared" si="104"/>
        <v>0.53260989174248663</v>
      </c>
      <c r="BC478" s="1580" t="str">
        <f t="shared" si="105"/>
        <v>Miscellaneous RES 10 Year EUL</v>
      </c>
      <c r="BD478" s="98">
        <f>(INDEX('Avoided Cost Benefits'!$E$4:$E$859,MATCH(BC478,'Avoided Cost Benefits'!$A$4:$A$859,0)))*F478</f>
        <v>10.053985686502815</v>
      </c>
      <c r="BE478" s="1581">
        <f t="shared" si="106"/>
        <v>18.876828692779611</v>
      </c>
    </row>
    <row r="479" spans="1:57" x14ac:dyDescent="0.35">
      <c r="C479" s="50" t="s">
        <v>2382</v>
      </c>
      <c r="D479" s="395" t="s">
        <v>2254</v>
      </c>
      <c r="E479" s="2352" t="s">
        <v>2383</v>
      </c>
      <c r="F479" s="461">
        <f>ROUND((G490*G492+G491*G493)*G500,2)</f>
        <v>71.349999999999994</v>
      </c>
      <c r="G479" s="294" t="s">
        <v>375</v>
      </c>
      <c r="H479" s="136">
        <f>VLOOKUP(G479,'CP FACTORS'!$A$3:$B$38, 2, FALSE)</f>
        <v>1.148238E-4</v>
      </c>
      <c r="I479" s="1278">
        <f t="shared" si="101"/>
        <v>8.1930000000000006E-3</v>
      </c>
      <c r="J479" s="92">
        <f t="shared" si="102"/>
        <v>10</v>
      </c>
      <c r="K479" s="1014">
        <f t="shared" si="103"/>
        <v>20</v>
      </c>
      <c r="L479" s="2129" t="s">
        <v>184</v>
      </c>
      <c r="V479" s="141" t="str">
        <f>V478</f>
        <v>kWh Annual Savings</v>
      </c>
      <c r="W479" s="295">
        <v>75.099999999999994</v>
      </c>
      <c r="X479" s="295">
        <v>75.099999999999994</v>
      </c>
      <c r="Y479" s="418">
        <v>75.099999999999994</v>
      </c>
      <c r="Z479" s="418">
        <v>75.099999999999994</v>
      </c>
      <c r="AA479" s="418">
        <v>75.099999999999994</v>
      </c>
      <c r="AB479" s="459">
        <v>71.349999999999994</v>
      </c>
      <c r="AC479" s="461">
        <v>71.349999999999994</v>
      </c>
      <c r="AD479" s="295">
        <v>71.349999999999994</v>
      </c>
      <c r="AE479" s="295"/>
      <c r="AF479" s="295"/>
      <c r="AG479" s="295"/>
      <c r="BB479" s="40">
        <f t="shared" si="104"/>
        <v>1.3067990294300695</v>
      </c>
      <c r="BC479" s="1580" t="str">
        <f t="shared" si="105"/>
        <v>Miscellaneous RES 10 Year EUL</v>
      </c>
      <c r="BD479" s="98">
        <f>(INDEX('Avoided Cost Benefits'!$E$4:$E$859,MATCH(BC479,'Avoided Cost Benefits'!$A$4:$A$859,0)))*F479</f>
        <v>24.668221414442083</v>
      </c>
      <c r="BE479" s="1581">
        <f t="shared" si="106"/>
        <v>18.876828692779611</v>
      </c>
    </row>
    <row r="480" spans="1:57" x14ac:dyDescent="0.35">
      <c r="C480" s="50" t="s">
        <v>2384</v>
      </c>
      <c r="D480" s="395" t="s">
        <v>2254</v>
      </c>
      <c r="E480" s="2352" t="s">
        <v>2046</v>
      </c>
      <c r="F480" s="461">
        <f>ROUND((G490*G492+G491*G493)*G501,2)</f>
        <v>70.44</v>
      </c>
      <c r="G480" s="294" t="s">
        <v>375</v>
      </c>
      <c r="H480" s="136">
        <f>VLOOKUP(G480,'CP FACTORS'!$A$3:$B$38, 2, FALSE)</f>
        <v>1.148238E-4</v>
      </c>
      <c r="I480" s="1278">
        <f t="shared" si="101"/>
        <v>8.0879999999999997E-3</v>
      </c>
      <c r="J480" s="92">
        <f t="shared" si="102"/>
        <v>10</v>
      </c>
      <c r="K480" s="1014">
        <f t="shared" si="103"/>
        <v>20</v>
      </c>
      <c r="L480" s="2129" t="s">
        <v>184</v>
      </c>
      <c r="V480" s="141" t="str">
        <f>V479</f>
        <v>kWh Annual Savings</v>
      </c>
      <c r="W480" s="295">
        <v>58.577999999999996</v>
      </c>
      <c r="X480" s="295">
        <v>58.577999999999996</v>
      </c>
      <c r="Y480" s="418">
        <v>58.58</v>
      </c>
      <c r="Z480" s="418">
        <v>58.58</v>
      </c>
      <c r="AA480" s="418">
        <v>58.58</v>
      </c>
      <c r="AB480" s="459">
        <v>70.44</v>
      </c>
      <c r="AC480" s="461">
        <v>70.44</v>
      </c>
      <c r="AD480" s="295">
        <v>70.44</v>
      </c>
      <c r="AE480" s="295"/>
      <c r="AF480" s="295"/>
      <c r="AG480" s="295"/>
      <c r="BB480" s="40">
        <f t="shared" si="104"/>
        <v>1.2901320761465187</v>
      </c>
      <c r="BC480" s="1580" t="str">
        <f t="shared" si="105"/>
        <v>Miscellaneous RES 10 Year EUL</v>
      </c>
      <c r="BD480" s="98">
        <f>(INDEX('Avoided Cost Benefits'!$E$4:$E$859,MATCH(BC480,'Avoided Cost Benefits'!$A$4:$A$859,0)))*F480</f>
        <v>24.353602192477933</v>
      </c>
      <c r="BE480" s="1581">
        <f t="shared" si="106"/>
        <v>18.876828692779611</v>
      </c>
    </row>
    <row r="481" spans="3:57" x14ac:dyDescent="0.35">
      <c r="C481" s="50" t="s">
        <v>2385</v>
      </c>
      <c r="D481" s="395" t="s">
        <v>2254</v>
      </c>
      <c r="E481" s="2352" t="s">
        <v>2386</v>
      </c>
      <c r="F481" s="461">
        <f>ROUND((G490*G498+G491*G494)*G500,2)</f>
        <v>56.26</v>
      </c>
      <c r="G481" s="294" t="s">
        <v>375</v>
      </c>
      <c r="H481" s="136">
        <f>VLOOKUP(G481,'CP FACTORS'!$A$3:$B$38, 2, FALSE)</f>
        <v>1.148238E-4</v>
      </c>
      <c r="I481" s="1278">
        <f t="shared" si="101"/>
        <v>6.4599999999999996E-3</v>
      </c>
      <c r="J481" s="92">
        <f t="shared" si="102"/>
        <v>10</v>
      </c>
      <c r="K481" s="1014">
        <f t="shared" si="103"/>
        <v>20</v>
      </c>
      <c r="L481" s="2129" t="s">
        <v>184</v>
      </c>
      <c r="V481" s="141" t="str">
        <f>V480</f>
        <v>kWh Annual Savings</v>
      </c>
      <c r="W481" s="295">
        <v>59.224000000000004</v>
      </c>
      <c r="X481" s="295">
        <v>59.224000000000004</v>
      </c>
      <c r="Y481" s="418">
        <v>59.22</v>
      </c>
      <c r="Z481" s="418">
        <v>59.22</v>
      </c>
      <c r="AA481" s="418">
        <v>59.22</v>
      </c>
      <c r="AB481" s="459">
        <v>56.26</v>
      </c>
      <c r="AC481" s="461">
        <v>56.26</v>
      </c>
      <c r="AD481" s="295">
        <v>56.26</v>
      </c>
      <c r="AE481" s="295"/>
      <c r="AF481" s="295"/>
      <c r="AG481" s="295"/>
      <c r="BB481" s="40">
        <f t="shared" si="104"/>
        <v>1.030420650255581</v>
      </c>
      <c r="BC481" s="1580" t="str">
        <f t="shared" si="105"/>
        <v>Miscellaneous RES 10 Year EUL</v>
      </c>
      <c r="BD481" s="98">
        <f>(INDEX('Avoided Cost Benefits'!$E$4:$E$859,MATCH(BC481,'Avoided Cost Benefits'!$A$4:$A$859,0)))*F481</f>
        <v>19.451074096377177</v>
      </c>
      <c r="BE481" s="1581">
        <f t="shared" si="106"/>
        <v>18.876828692779611</v>
      </c>
    </row>
    <row r="482" spans="3:57" x14ac:dyDescent="0.35">
      <c r="C482" s="50" t="s">
        <v>2387</v>
      </c>
      <c r="D482" s="395" t="s">
        <v>2254</v>
      </c>
      <c r="E482" s="2352" t="s">
        <v>2052</v>
      </c>
      <c r="F482" s="461">
        <f>ROUND((G490*G499+G491*G495)*G501,2)</f>
        <v>50.59</v>
      </c>
      <c r="G482" s="294" t="s">
        <v>375</v>
      </c>
      <c r="H482" s="136">
        <f>VLOOKUP(G482,'CP FACTORS'!$A$3:$B$38, 2, FALSE)</f>
        <v>1.148238E-4</v>
      </c>
      <c r="I482" s="1278">
        <f t="shared" si="101"/>
        <v>5.8089999999999999E-3</v>
      </c>
      <c r="J482" s="92">
        <f t="shared" si="102"/>
        <v>10</v>
      </c>
      <c r="K482" s="1014">
        <f t="shared" si="103"/>
        <v>20</v>
      </c>
      <c r="L482" s="2129" t="s">
        <v>184</v>
      </c>
      <c r="V482" s="141" t="str">
        <f>V481</f>
        <v>kWh Annual Savings</v>
      </c>
      <c r="W482" s="295">
        <v>42.066960000000002</v>
      </c>
      <c r="X482" s="295">
        <v>42.066960000000002</v>
      </c>
      <c r="Y482" s="418">
        <v>42.07</v>
      </c>
      <c r="Z482" s="418">
        <v>42.07</v>
      </c>
      <c r="AA482" s="418">
        <v>42.07</v>
      </c>
      <c r="AB482" s="459">
        <v>50.59</v>
      </c>
      <c r="AC482" s="461">
        <v>50.59</v>
      </c>
      <c r="AD482" s="295">
        <v>50.59</v>
      </c>
      <c r="AE482" s="295"/>
      <c r="AF482" s="295"/>
      <c r="AG482" s="295"/>
      <c r="BB482" s="41">
        <f t="shared" si="104"/>
        <v>0.9265727105657634</v>
      </c>
      <c r="BC482" s="1580" t="str">
        <f t="shared" si="105"/>
        <v>Miscellaneous RES 10 Year EUL</v>
      </c>
      <c r="BD482" s="102">
        <f>(INDEX('Avoided Cost Benefits'!$E$4:$E$859,MATCH(BC482,'Avoided Cost Benefits'!$A$4:$A$859,0)))*F482</f>
        <v>17.490754328754381</v>
      </c>
      <c r="BE482" s="1582">
        <f t="shared" si="106"/>
        <v>18.876828692779611</v>
      </c>
    </row>
    <row r="483" spans="3:57" hidden="1" outlineLevel="1" x14ac:dyDescent="0.35">
      <c r="D483" s="3076"/>
      <c r="E483" s="3076"/>
      <c r="F483" s="2812"/>
      <c r="G483" s="2812"/>
      <c r="H483" s="2812"/>
      <c r="I483" s="2812"/>
      <c r="J483" s="2812"/>
      <c r="K483" s="2812"/>
      <c r="L483" s="2812"/>
    </row>
    <row r="484" spans="3:57" hidden="1" outlineLevel="1" x14ac:dyDescent="0.35">
      <c r="D484" s="3066" t="s">
        <v>107</v>
      </c>
      <c r="E484" s="3076"/>
      <c r="F484" s="2812"/>
      <c r="G484" s="2812"/>
      <c r="H484" s="2812"/>
      <c r="I484" s="2812"/>
      <c r="J484" s="2812"/>
      <c r="K484" s="2812"/>
      <c r="L484" s="2812"/>
    </row>
    <row r="485" spans="3:57" hidden="1" outlineLevel="1" x14ac:dyDescent="0.35">
      <c r="D485" s="3076"/>
      <c r="E485" s="3076"/>
      <c r="F485" s="2812"/>
      <c r="G485" s="2812"/>
      <c r="H485" s="2812"/>
      <c r="I485" s="2812"/>
      <c r="J485" s="2812"/>
      <c r="K485" s="2812"/>
      <c r="L485" s="2812"/>
    </row>
    <row r="486" spans="3:57" hidden="1" outlineLevel="1" x14ac:dyDescent="0.35">
      <c r="D486" s="3076"/>
      <c r="E486" s="3076"/>
      <c r="F486" s="2812"/>
      <c r="G486" s="2812"/>
      <c r="H486" s="2812"/>
      <c r="I486" s="2812"/>
      <c r="J486" s="2812"/>
      <c r="K486" s="2812"/>
      <c r="L486" s="2812"/>
    </row>
    <row r="487" spans="3:57" hidden="1" outlineLevel="1" x14ac:dyDescent="0.35">
      <c r="D487" s="3076"/>
      <c r="E487" s="3076"/>
      <c r="F487" s="2812"/>
      <c r="G487" s="2812"/>
      <c r="H487" s="2812"/>
      <c r="I487" s="2812"/>
      <c r="J487" s="2812"/>
      <c r="K487" s="2812"/>
      <c r="L487" s="2812"/>
    </row>
    <row r="488" spans="3:57" hidden="1" outlineLevel="1" x14ac:dyDescent="0.35">
      <c r="D488" s="3076"/>
      <c r="E488" s="3076"/>
      <c r="F488" s="2812"/>
      <c r="G488" s="2812"/>
      <c r="H488" s="2812"/>
      <c r="I488" s="2812"/>
      <c r="J488" s="2812"/>
      <c r="K488" s="2812"/>
      <c r="L488" s="2812"/>
    </row>
    <row r="489" spans="3:57" hidden="1" outlineLevel="1" x14ac:dyDescent="0.35">
      <c r="D489" s="333" t="s">
        <v>108</v>
      </c>
      <c r="E489" s="333" t="s">
        <v>109</v>
      </c>
      <c r="F489" s="333" t="s">
        <v>2388</v>
      </c>
      <c r="G489" s="333" t="s">
        <v>111</v>
      </c>
      <c r="H489" s="3825" t="s">
        <v>397</v>
      </c>
      <c r="I489" s="3824"/>
      <c r="V489" s="1572" t="s">
        <v>44</v>
      </c>
      <c r="W489" s="1573">
        <f>$W$6</f>
        <v>43252</v>
      </c>
      <c r="X489" s="1573">
        <f>$X$6</f>
        <v>43465</v>
      </c>
      <c r="Y489" s="1573">
        <f>$Y$6</f>
        <v>43800</v>
      </c>
      <c r="Z489" s="1573">
        <f>$Z$6</f>
        <v>43862</v>
      </c>
      <c r="AA489" s="1573">
        <f>$AA$6</f>
        <v>44013</v>
      </c>
      <c r="AB489" s="1573">
        <f>$AB$6</f>
        <v>44166</v>
      </c>
      <c r="AC489" s="1573">
        <f>$AC$6</f>
        <v>44531</v>
      </c>
      <c r="AD489" s="1573">
        <f>$AD$6</f>
        <v>44774</v>
      </c>
      <c r="AE489" s="1573" t="str">
        <f>$AE$6</f>
        <v>-</v>
      </c>
      <c r="AF489" s="1573" t="str">
        <f>$AF$6</f>
        <v>-</v>
      </c>
      <c r="AG489" s="1573" t="str">
        <f>$AG$6</f>
        <v>-</v>
      </c>
      <c r="AH489" s="423"/>
      <c r="BB489" s="1917"/>
    </row>
    <row r="490" spans="3:57" hidden="1" outlineLevel="1" x14ac:dyDescent="0.35">
      <c r="D490" s="3735" t="s">
        <v>757</v>
      </c>
      <c r="E490" s="3735" t="s">
        <v>758</v>
      </c>
      <c r="F490" s="2333" t="s">
        <v>759</v>
      </c>
      <c r="G490" s="2419">
        <v>31</v>
      </c>
      <c r="H490" s="1291"/>
      <c r="I490" s="2131"/>
      <c r="V490" s="3735" t="s">
        <v>758</v>
      </c>
      <c r="W490" s="493">
        <v>31</v>
      </c>
      <c r="X490" s="493">
        <v>31</v>
      </c>
      <c r="Y490" s="493">
        <v>31</v>
      </c>
      <c r="Z490" s="493">
        <v>31</v>
      </c>
      <c r="AA490" s="493">
        <v>31</v>
      </c>
      <c r="AB490" s="2419">
        <v>31</v>
      </c>
      <c r="AC490" s="2419">
        <v>31</v>
      </c>
      <c r="AD490" s="493">
        <v>31</v>
      </c>
      <c r="AE490" s="493"/>
      <c r="AF490" s="493"/>
      <c r="AG490" s="493"/>
      <c r="BB490" s="1917"/>
    </row>
    <row r="491" spans="3:57" ht="29" hidden="1" outlineLevel="1" x14ac:dyDescent="0.35">
      <c r="D491" s="3736"/>
      <c r="E491" s="3736"/>
      <c r="F491" s="2333" t="s">
        <v>760</v>
      </c>
      <c r="G491" s="2419">
        <v>75.099999999999994</v>
      </c>
      <c r="H491" s="1291"/>
      <c r="I491" s="2131"/>
      <c r="V491" s="3736"/>
      <c r="W491" s="493"/>
      <c r="X491" s="493"/>
      <c r="Y491" s="493"/>
      <c r="Z491" s="493"/>
      <c r="AA491" s="493"/>
      <c r="AB491" s="2419">
        <v>75.099999999999994</v>
      </c>
      <c r="AC491" s="2419">
        <v>75.099999999999994</v>
      </c>
      <c r="AD491" s="493">
        <v>75.099999999999994</v>
      </c>
      <c r="AE491" s="493"/>
      <c r="AF491" s="493"/>
      <c r="AG491" s="493"/>
      <c r="BB491" s="1917"/>
    </row>
    <row r="492" spans="3:57" hidden="1" outlineLevel="1" x14ac:dyDescent="0.35">
      <c r="D492" s="3735" t="s">
        <v>761</v>
      </c>
      <c r="E492" s="3735" t="s">
        <v>762</v>
      </c>
      <c r="F492" s="2333" t="s">
        <v>759</v>
      </c>
      <c r="G492" s="1473">
        <v>0</v>
      </c>
      <c r="H492" s="1291"/>
      <c r="I492" s="2131"/>
      <c r="V492" s="3816" t="s">
        <v>762</v>
      </c>
      <c r="W492" s="494">
        <v>0</v>
      </c>
      <c r="X492" s="494">
        <v>0</v>
      </c>
      <c r="Y492" s="494">
        <v>0</v>
      </c>
      <c r="Z492" s="494">
        <v>0</v>
      </c>
      <c r="AA492" s="494">
        <v>0</v>
      </c>
      <c r="AB492" s="1473">
        <v>0</v>
      </c>
      <c r="AC492" s="1473">
        <v>0</v>
      </c>
      <c r="AD492" s="494">
        <v>0</v>
      </c>
      <c r="AE492" s="494"/>
      <c r="AF492" s="494"/>
      <c r="AG492" s="494"/>
      <c r="BB492" s="1917"/>
    </row>
    <row r="493" spans="3:57" ht="29" hidden="1" outlineLevel="1" x14ac:dyDescent="0.35">
      <c r="D493" s="3883"/>
      <c r="E493" s="3883"/>
      <c r="F493" s="2333" t="s">
        <v>760</v>
      </c>
      <c r="G493" s="188">
        <v>1</v>
      </c>
      <c r="H493" s="1291"/>
      <c r="I493" s="2131"/>
      <c r="V493" s="3839"/>
      <c r="W493" s="494"/>
      <c r="X493" s="494"/>
      <c r="Y493" s="494"/>
      <c r="Z493" s="494"/>
      <c r="AA493" s="494"/>
      <c r="AB493" s="188">
        <v>1</v>
      </c>
      <c r="AC493" s="188">
        <v>1</v>
      </c>
      <c r="AD493" s="494">
        <v>1</v>
      </c>
      <c r="AE493" s="494"/>
      <c r="AF493" s="494"/>
      <c r="AG493" s="494"/>
      <c r="BB493" s="1917"/>
    </row>
    <row r="494" spans="3:57" ht="43.5" hidden="1" outlineLevel="1" x14ac:dyDescent="0.35">
      <c r="D494" s="3883"/>
      <c r="E494" s="3883"/>
      <c r="F494" s="2333" t="s">
        <v>763</v>
      </c>
      <c r="G494" s="188">
        <f>1-G498</f>
        <v>0.64</v>
      </c>
      <c r="H494" s="1291"/>
      <c r="I494" s="2131"/>
      <c r="V494" s="3839"/>
      <c r="W494" s="494"/>
      <c r="X494" s="494"/>
      <c r="Y494" s="494"/>
      <c r="Z494" s="494"/>
      <c r="AA494" s="494"/>
      <c r="AB494" s="188">
        <v>0.64</v>
      </c>
      <c r="AC494" s="188">
        <f>1-AC498</f>
        <v>0.64</v>
      </c>
      <c r="AD494" s="494">
        <v>0.64</v>
      </c>
      <c r="AE494" s="494"/>
      <c r="AF494" s="494"/>
      <c r="AG494" s="494"/>
      <c r="BB494" s="1917"/>
    </row>
    <row r="495" spans="3:57" ht="29" hidden="1" outlineLevel="1" x14ac:dyDescent="0.35">
      <c r="D495" s="3736"/>
      <c r="E495" s="3736"/>
      <c r="F495" s="2333" t="s">
        <v>764</v>
      </c>
      <c r="G495" s="188">
        <f>1-G499</f>
        <v>0.52</v>
      </c>
      <c r="H495" s="1291"/>
      <c r="I495" s="2131"/>
      <c r="V495" s="3817"/>
      <c r="W495" s="494"/>
      <c r="X495" s="494"/>
      <c r="Y495" s="494"/>
      <c r="Z495" s="494"/>
      <c r="AA495" s="494"/>
      <c r="AB495" s="188">
        <v>0.52</v>
      </c>
      <c r="AC495" s="188">
        <f>1-AC499</f>
        <v>0.52</v>
      </c>
      <c r="AD495" s="494">
        <v>0.52</v>
      </c>
      <c r="AE495" s="494"/>
      <c r="AF495" s="494"/>
      <c r="AG495" s="494"/>
      <c r="BB495" s="1917"/>
    </row>
    <row r="496" spans="3:57" hidden="1" outlineLevel="1" x14ac:dyDescent="0.35">
      <c r="D496" s="3735" t="s">
        <v>765</v>
      </c>
      <c r="E496" s="3735" t="s">
        <v>766</v>
      </c>
      <c r="F496" s="2333" t="s">
        <v>759</v>
      </c>
      <c r="G496" s="188">
        <v>1</v>
      </c>
      <c r="H496" s="1291"/>
      <c r="I496" s="2131"/>
      <c r="V496" s="3816" t="s">
        <v>766</v>
      </c>
      <c r="W496" s="495">
        <v>1</v>
      </c>
      <c r="X496" s="495">
        <v>1</v>
      </c>
      <c r="Y496" s="495">
        <v>1</v>
      </c>
      <c r="Z496" s="495">
        <v>1</v>
      </c>
      <c r="AA496" s="495">
        <v>1</v>
      </c>
      <c r="AB496" s="188">
        <v>1</v>
      </c>
      <c r="AC496" s="188">
        <v>1</v>
      </c>
      <c r="AD496" s="495">
        <v>1</v>
      </c>
      <c r="AE496" s="495"/>
      <c r="AF496" s="495"/>
      <c r="AG496" s="495"/>
      <c r="BB496" s="1917"/>
    </row>
    <row r="497" spans="2:57" ht="29" hidden="1" outlineLevel="1" x14ac:dyDescent="0.35">
      <c r="D497" s="3883"/>
      <c r="E497" s="3883"/>
      <c r="F497" s="2333" t="s">
        <v>760</v>
      </c>
      <c r="G497" s="188">
        <v>0</v>
      </c>
      <c r="H497" s="1291"/>
      <c r="I497" s="2131"/>
      <c r="V497" s="3839"/>
      <c r="W497" s="495"/>
      <c r="X497" s="495"/>
      <c r="Y497" s="495"/>
      <c r="Z497" s="495"/>
      <c r="AA497" s="495"/>
      <c r="AB497" s="188">
        <v>0</v>
      </c>
      <c r="AC497" s="188">
        <v>0</v>
      </c>
      <c r="AD497" s="495">
        <v>0</v>
      </c>
      <c r="AE497" s="495"/>
      <c r="AF497" s="495"/>
      <c r="AG497" s="495"/>
      <c r="BB497" s="1917"/>
    </row>
    <row r="498" spans="2:57" ht="43.5" hidden="1" outlineLevel="1" x14ac:dyDescent="0.35">
      <c r="D498" s="3883"/>
      <c r="E498" s="3883"/>
      <c r="F498" s="2333" t="s">
        <v>763</v>
      </c>
      <c r="G498" s="188">
        <v>0.36</v>
      </c>
      <c r="H498" s="1291"/>
      <c r="I498" s="2131"/>
      <c r="V498" s="3839"/>
      <c r="W498" s="495"/>
      <c r="X498" s="495"/>
      <c r="Y498" s="495"/>
      <c r="Z498" s="495"/>
      <c r="AA498" s="495"/>
      <c r="AB498" s="188">
        <v>0.36</v>
      </c>
      <c r="AC498" s="188">
        <v>0.36</v>
      </c>
      <c r="AD498" s="495">
        <v>0.36</v>
      </c>
      <c r="AE498" s="495"/>
      <c r="AF498" s="495"/>
      <c r="AG498" s="495"/>
      <c r="BB498" s="1917"/>
    </row>
    <row r="499" spans="2:57" ht="29" hidden="1" outlineLevel="1" x14ac:dyDescent="0.35">
      <c r="D499" s="3736"/>
      <c r="E499" s="3736"/>
      <c r="F499" s="2353" t="s">
        <v>764</v>
      </c>
      <c r="G499" s="188">
        <v>0.48</v>
      </c>
      <c r="H499" s="1291"/>
      <c r="I499" s="2131"/>
      <c r="V499" s="3817"/>
      <c r="W499" s="495"/>
      <c r="X499" s="495"/>
      <c r="Y499" s="495"/>
      <c r="Z499" s="495"/>
      <c r="AA499" s="495"/>
      <c r="AB499" s="188">
        <v>0.48</v>
      </c>
      <c r="AC499" s="188">
        <v>0.48</v>
      </c>
      <c r="AD499" s="495">
        <v>0.48</v>
      </c>
      <c r="AE499" s="495"/>
      <c r="AF499" s="495"/>
      <c r="AG499" s="495"/>
      <c r="BB499" s="1917"/>
    </row>
    <row r="500" spans="2:57" hidden="1" outlineLevel="1" x14ac:dyDescent="0.35">
      <c r="D500" s="3735" t="s">
        <v>132</v>
      </c>
      <c r="E500" s="3735" t="s">
        <v>832</v>
      </c>
      <c r="F500" s="2353" t="s">
        <v>767</v>
      </c>
      <c r="G500" s="874">
        <v>0.95</v>
      </c>
      <c r="H500" s="1291" t="s">
        <v>768</v>
      </c>
      <c r="I500" s="2131"/>
      <c r="V500" s="2333" t="s">
        <v>132</v>
      </c>
      <c r="W500" s="496"/>
      <c r="X500" s="496"/>
      <c r="Y500" s="496"/>
      <c r="Z500" s="496"/>
      <c r="AA500" s="496"/>
      <c r="AB500" s="467">
        <v>0.95</v>
      </c>
      <c r="AC500" s="874">
        <v>0.95</v>
      </c>
      <c r="AD500" s="496">
        <v>0.95</v>
      </c>
      <c r="AE500" s="496"/>
      <c r="AF500" s="496"/>
      <c r="AG500" s="496"/>
      <c r="BB500" s="1917"/>
    </row>
    <row r="501" spans="2:57" hidden="1" outlineLevel="1" x14ac:dyDescent="0.35">
      <c r="D501" s="3736"/>
      <c r="E501" s="3736"/>
      <c r="F501" s="2353" t="s">
        <v>769</v>
      </c>
      <c r="G501" s="874">
        <v>0.93799999999999994</v>
      </c>
      <c r="H501" s="4527" t="s">
        <v>770</v>
      </c>
      <c r="I501" s="3667"/>
      <c r="V501" s="2333" t="s">
        <v>251</v>
      </c>
      <c r="W501" s="427">
        <v>0.47315310825962376</v>
      </c>
      <c r="X501" s="427">
        <v>0.47315310825962376</v>
      </c>
      <c r="Y501" s="427">
        <v>0.47315310825962376</v>
      </c>
      <c r="Z501" s="427">
        <v>0.47315310825962376</v>
      </c>
      <c r="AA501" s="427">
        <v>0.47315310825962376</v>
      </c>
      <c r="AB501" s="467">
        <v>0.93799999999999994</v>
      </c>
      <c r="AC501" s="874">
        <v>0.93799999999999994</v>
      </c>
      <c r="AD501" s="448">
        <v>0.93799999999999994</v>
      </c>
      <c r="AE501" s="448"/>
      <c r="AF501" s="448"/>
      <c r="AG501" s="448"/>
      <c r="BB501" s="1917"/>
    </row>
    <row r="502" spans="2:57" hidden="1" outlineLevel="1" x14ac:dyDescent="0.35">
      <c r="D502" s="277" t="s">
        <v>526</v>
      </c>
      <c r="E502" s="277" t="s">
        <v>166</v>
      </c>
      <c r="F502" s="2106" t="s">
        <v>134</v>
      </c>
      <c r="G502" s="820">
        <v>10</v>
      </c>
      <c r="H502" s="1291"/>
      <c r="I502" s="2131"/>
      <c r="V502" s="2426" t="s">
        <v>526</v>
      </c>
      <c r="W502" s="386">
        <v>10</v>
      </c>
      <c r="X502" s="386">
        <v>10</v>
      </c>
      <c r="Y502" s="386">
        <v>10</v>
      </c>
      <c r="Z502" s="386">
        <v>10</v>
      </c>
      <c r="AA502" s="386">
        <v>10</v>
      </c>
      <c r="AB502" s="820">
        <v>10</v>
      </c>
      <c r="AC502" s="820">
        <v>10</v>
      </c>
      <c r="AD502" s="386">
        <v>10</v>
      </c>
      <c r="AE502" s="386"/>
      <c r="AF502" s="386"/>
      <c r="AG502" s="386"/>
    </row>
    <row r="503" spans="2:57" hidden="1" outlineLevel="1" x14ac:dyDescent="0.35">
      <c r="D503" s="3774" t="s">
        <v>169</v>
      </c>
      <c r="E503" s="4523" t="s">
        <v>170</v>
      </c>
      <c r="F503" s="2107" t="s">
        <v>416</v>
      </c>
      <c r="G503" s="1845">
        <v>20</v>
      </c>
      <c r="H503" s="1291"/>
      <c r="I503" s="2131"/>
      <c r="V503" s="4525" t="s">
        <v>169</v>
      </c>
      <c r="W503" s="387">
        <v>20</v>
      </c>
      <c r="X503" s="387">
        <v>20</v>
      </c>
      <c r="Y503" s="387">
        <v>20</v>
      </c>
      <c r="Z503" s="387">
        <v>20</v>
      </c>
      <c r="AA503" s="387">
        <v>20</v>
      </c>
      <c r="AB503" s="1845">
        <v>20</v>
      </c>
      <c r="AC503" s="1845">
        <v>20</v>
      </c>
      <c r="AD503" s="387">
        <v>20</v>
      </c>
      <c r="AE503" s="387"/>
      <c r="AF503" s="387"/>
      <c r="AG503" s="387"/>
    </row>
    <row r="504" spans="2:57" hidden="1" outlineLevel="1" x14ac:dyDescent="0.35">
      <c r="D504" s="3782"/>
      <c r="E504" s="4524"/>
      <c r="F504" s="2107" t="s">
        <v>771</v>
      </c>
      <c r="G504" s="2108">
        <v>30</v>
      </c>
      <c r="H504" s="1291"/>
      <c r="I504" s="2131"/>
      <c r="V504" s="4526"/>
      <c r="W504" s="387"/>
      <c r="X504" s="387"/>
      <c r="Y504" s="387"/>
      <c r="Z504" s="387"/>
      <c r="AA504" s="387"/>
      <c r="AB504" s="1916">
        <v>30</v>
      </c>
      <c r="AC504" s="2108">
        <v>30</v>
      </c>
      <c r="AD504" s="387">
        <v>30</v>
      </c>
      <c r="AE504" s="387"/>
      <c r="AF504" s="387"/>
      <c r="AG504" s="387"/>
    </row>
    <row r="505" spans="2:57" collapsed="1" x14ac:dyDescent="0.35"/>
    <row r="507" spans="2:57" ht="13.5" customHeight="1" x14ac:dyDescent="0.35">
      <c r="B507" s="3664" t="s">
        <v>372</v>
      </c>
      <c r="C507" s="3665"/>
      <c r="D507" s="3665"/>
      <c r="E507" s="3665"/>
      <c r="F507" s="3665"/>
      <c r="G507" s="3665"/>
      <c r="H507" s="3665"/>
      <c r="I507" s="3666"/>
      <c r="J507" s="3666"/>
      <c r="K507" s="3666"/>
      <c r="L507" s="3666"/>
      <c r="M507" s="3666"/>
      <c r="N507" s="3666"/>
      <c r="O507" s="3666"/>
      <c r="P507" s="3666"/>
      <c r="Q507" s="3667"/>
      <c r="V507" s="3664" t="str">
        <f>B507</f>
        <v>Advanced Power Strips Tier 2  /  Advanced Control Stategies</v>
      </c>
      <c r="W507" s="3665"/>
      <c r="X507" s="3665"/>
      <c r="Y507" s="3665"/>
      <c r="Z507" s="3665"/>
      <c r="AA507" s="3665"/>
      <c r="AB507" s="3665"/>
      <c r="AC507" s="3680"/>
      <c r="AD507" s="3680"/>
      <c r="AE507" s="3680"/>
      <c r="AF507" s="3680"/>
      <c r="AG507" s="3680"/>
      <c r="AH507" s="3680"/>
      <c r="AI507" s="3681"/>
    </row>
    <row r="509" spans="2:57" ht="29" x14ac:dyDescent="0.35">
      <c r="C509" s="2331" t="s">
        <v>27</v>
      </c>
      <c r="D509" s="2331" t="s">
        <v>174</v>
      </c>
      <c r="E509" s="2331" t="s">
        <v>29</v>
      </c>
      <c r="F509" s="2331" t="s">
        <v>30</v>
      </c>
      <c r="G509" s="2331" t="s">
        <v>175</v>
      </c>
      <c r="H509" s="2331" t="s">
        <v>176</v>
      </c>
      <c r="I509" s="2331" t="s">
        <v>31</v>
      </c>
      <c r="J509" s="2331" t="s">
        <v>180</v>
      </c>
      <c r="K509" s="2331" t="s">
        <v>169</v>
      </c>
      <c r="L509" s="2331" t="s">
        <v>43</v>
      </c>
      <c r="V509" s="1572" t="s">
        <v>44</v>
      </c>
      <c r="W509" s="1573">
        <f>W$6</f>
        <v>43252</v>
      </c>
      <c r="X509" s="1573">
        <f t="shared" ref="X509:AG509" si="107">X$6</f>
        <v>43465</v>
      </c>
      <c r="Y509" s="1573">
        <f t="shared" si="107"/>
        <v>43800</v>
      </c>
      <c r="Z509" s="1573">
        <f t="shared" si="107"/>
        <v>43862</v>
      </c>
      <c r="AA509" s="1573">
        <f t="shared" si="107"/>
        <v>44013</v>
      </c>
      <c r="AB509" s="1573">
        <f t="shared" si="107"/>
        <v>44166</v>
      </c>
      <c r="AC509" s="1573">
        <f t="shared" si="107"/>
        <v>44531</v>
      </c>
      <c r="AD509" s="1573">
        <f t="shared" si="107"/>
        <v>44774</v>
      </c>
      <c r="AE509" s="1573" t="str">
        <f t="shared" si="107"/>
        <v>-</v>
      </c>
      <c r="AF509" s="1573" t="str">
        <f t="shared" si="107"/>
        <v>-</v>
      </c>
      <c r="AG509" s="1573" t="str">
        <f t="shared" si="107"/>
        <v>-</v>
      </c>
      <c r="BB509" s="1574" t="str">
        <f>$BB$6</f>
        <v>TRC (2022)</v>
      </c>
      <c r="BC509" s="1584" t="str">
        <f>$BC$6</f>
        <v>Benefit Lookup</v>
      </c>
      <c r="BD509" s="556" t="str">
        <f>$BD$6</f>
        <v>Benefits (2019 $)</v>
      </c>
      <c r="BE509" s="200" t="str">
        <f>$BE$6</f>
        <v>Incremental Cost (2019 $)</v>
      </c>
    </row>
    <row r="510" spans="2:57" x14ac:dyDescent="0.35">
      <c r="C510" s="88" t="s">
        <v>2389</v>
      </c>
      <c r="D510" s="395" t="s">
        <v>2254</v>
      </c>
      <c r="E510" s="2352" t="str">
        <f>'Efficient Products Deemed Table'!E220</f>
        <v>Advanced Tier 2 Power Strips  -  A</v>
      </c>
      <c r="F510" s="89">
        <f>ROUND(G526*$G$525,2)</f>
        <v>237.6</v>
      </c>
      <c r="G510" s="971" t="str">
        <f>'Efficient Products Deemed Table'!G220</f>
        <v>Miscellaneous RES</v>
      </c>
      <c r="H510" s="136">
        <f>'Efficient Products Deemed Table'!H220</f>
        <v>1.148238E-4</v>
      </c>
      <c r="I510" s="1278">
        <f t="shared" ref="I510:I518" si="108">ROUND(F510*H510,6)</f>
        <v>2.7282000000000001E-2</v>
      </c>
      <c r="J510" s="124">
        <f>$G$536</f>
        <v>10</v>
      </c>
      <c r="K510" s="1014">
        <f>$G$537</f>
        <v>30</v>
      </c>
      <c r="L510" s="2129" t="s">
        <v>184</v>
      </c>
      <c r="V510" s="141" t="str">
        <f>F509</f>
        <v>kWh Annual Savings</v>
      </c>
      <c r="W510" s="670">
        <f>'Efficient Products Deemed Table'!W220</f>
        <v>237.60000000000002</v>
      </c>
      <c r="X510" s="670">
        <f>'Efficient Products Deemed Table'!X220</f>
        <v>237.60000000000002</v>
      </c>
      <c r="Y510" s="493">
        <v>237.6</v>
      </c>
      <c r="Z510" s="493">
        <v>237.6</v>
      </c>
      <c r="AA510" s="493">
        <v>237.6</v>
      </c>
      <c r="AB510" s="1798">
        <v>237.6</v>
      </c>
      <c r="AC510" s="1798">
        <v>237.6</v>
      </c>
      <c r="AD510" s="670">
        <v>237.6</v>
      </c>
      <c r="AE510" s="670"/>
      <c r="AF510" s="670"/>
      <c r="AG510" s="670"/>
      <c r="BB510" s="1578">
        <f t="shared" ref="BB510:BB518" si="109">(BD510)/(BE510)</f>
        <v>2.9011487913345904</v>
      </c>
      <c r="BC510" s="2381" t="str">
        <f>CONCATENATE(G510," ",J510," Year EUL")</f>
        <v>Miscellaneous RES 10 Year EUL</v>
      </c>
      <c r="BD510" s="95">
        <f>(INDEX('Avoided Cost Benefits'!$E$4:$E$859,MATCH(BC510,'Avoided Cost Benefits'!$A$4:$A$859,0)))*F510</f>
        <v>82.146733119431531</v>
      </c>
      <c r="BE510" s="1579">
        <f>K510/(1.0595^(2020-2019))</f>
        <v>28.315243039169417</v>
      </c>
    </row>
    <row r="511" spans="2:57" x14ac:dyDescent="0.35">
      <c r="C511" s="88" t="s">
        <v>2390</v>
      </c>
      <c r="D511" s="395" t="s">
        <v>2254</v>
      </c>
      <c r="E511" s="2352" t="str">
        <f>'Efficient Products Deemed Table'!E221</f>
        <v>Advanced Tier 2 Power Strips -  B</v>
      </c>
      <c r="F511" s="89">
        <f t="shared" ref="F511:F517" si="110">ROUND(G527*$G$525,2)</f>
        <v>216</v>
      </c>
      <c r="G511" s="971" t="str">
        <f>'Efficient Products Deemed Table'!G221</f>
        <v>Miscellaneous RES</v>
      </c>
      <c r="H511" s="136">
        <f>'Efficient Products Deemed Table'!H221</f>
        <v>1.148238E-4</v>
      </c>
      <c r="I511" s="1278">
        <f t="shared" si="108"/>
        <v>2.4802000000000001E-2</v>
      </c>
      <c r="J511" s="124">
        <f t="shared" ref="J511:J518" si="111">$G$536</f>
        <v>10</v>
      </c>
      <c r="K511" s="1014">
        <f t="shared" ref="K511:K518" si="112">$G$537</f>
        <v>30</v>
      </c>
      <c r="L511" s="1037" t="str">
        <f>'Efficient Products Deemed Table'!L221</f>
        <v>per measure</v>
      </c>
      <c r="V511" s="141" t="str">
        <f>V510</f>
        <v>kWh Annual Savings</v>
      </c>
      <c r="W511" s="670">
        <f>'Efficient Products Deemed Table'!W221</f>
        <v>216</v>
      </c>
      <c r="X511" s="670">
        <f>'Efficient Products Deemed Table'!X221</f>
        <v>216</v>
      </c>
      <c r="Y511" s="493">
        <v>216</v>
      </c>
      <c r="Z511" s="493">
        <v>216</v>
      </c>
      <c r="AA511" s="493">
        <v>216</v>
      </c>
      <c r="AB511" s="1798">
        <v>216</v>
      </c>
      <c r="AC511" s="1798">
        <v>216</v>
      </c>
      <c r="AD511" s="670">
        <v>216</v>
      </c>
      <c r="AE511" s="670"/>
      <c r="AF511" s="670"/>
      <c r="AG511" s="670"/>
      <c r="BB511" s="40">
        <f t="shared" si="109"/>
        <v>2.637407992122355</v>
      </c>
      <c r="BC511" s="1580" t="str">
        <f t="shared" ref="BC511:BC518" si="113">CONCATENATE(G511," ",J511," Year EUL")</f>
        <v>Miscellaneous RES 10 Year EUL</v>
      </c>
      <c r="BD511" s="98">
        <f>(INDEX('Avoided Cost Benefits'!$E$4:$E$859,MATCH(BC511,'Avoided Cost Benefits'!$A$4:$A$859,0)))*F511</f>
        <v>74.678848290392295</v>
      </c>
      <c r="BE511" s="1581">
        <f t="shared" ref="BE511:BE518" si="114">K511/(1.0595^(2020-2019))</f>
        <v>28.315243039169417</v>
      </c>
    </row>
    <row r="512" spans="2:57" x14ac:dyDescent="0.35">
      <c r="C512" s="88" t="s">
        <v>2391</v>
      </c>
      <c r="D512" s="395" t="s">
        <v>2254</v>
      </c>
      <c r="E512" s="2352" t="str">
        <f>'Efficient Products Deemed Table'!E222</f>
        <v>Advanced Tier 2 Power Strips -  C</v>
      </c>
      <c r="F512" s="89">
        <f t="shared" si="110"/>
        <v>194.4</v>
      </c>
      <c r="G512" s="971" t="str">
        <f>'Efficient Products Deemed Table'!G222</f>
        <v>Miscellaneous RES</v>
      </c>
      <c r="H512" s="136">
        <f>'Efficient Products Deemed Table'!H222</f>
        <v>1.148238E-4</v>
      </c>
      <c r="I512" s="1278">
        <f t="shared" si="108"/>
        <v>2.2322000000000002E-2</v>
      </c>
      <c r="J512" s="124">
        <f t="shared" si="111"/>
        <v>10</v>
      </c>
      <c r="K512" s="1014">
        <f t="shared" si="112"/>
        <v>30</v>
      </c>
      <c r="L512" s="1037" t="str">
        <f>'Efficient Products Deemed Table'!L222</f>
        <v>per measure</v>
      </c>
      <c r="V512" s="141" t="str">
        <f t="shared" ref="V512:V518" si="115">V511</f>
        <v>kWh Annual Savings</v>
      </c>
      <c r="W512" s="670">
        <f>'Efficient Products Deemed Table'!W222</f>
        <v>194.4</v>
      </c>
      <c r="X512" s="670">
        <f>'Efficient Products Deemed Table'!X222</f>
        <v>194.4</v>
      </c>
      <c r="Y512" s="493">
        <v>194.4</v>
      </c>
      <c r="Z512" s="493">
        <v>194.4</v>
      </c>
      <c r="AA512" s="493">
        <v>194.4</v>
      </c>
      <c r="AB512" s="1798">
        <v>194.4</v>
      </c>
      <c r="AC512" s="1798">
        <v>194.4</v>
      </c>
      <c r="AD512" s="670">
        <v>194.4</v>
      </c>
      <c r="AE512" s="670"/>
      <c r="AF512" s="670"/>
      <c r="AG512" s="670"/>
      <c r="BB512" s="40">
        <f t="shared" si="109"/>
        <v>2.3736671929101196</v>
      </c>
      <c r="BC512" s="1580" t="str">
        <f t="shared" si="113"/>
        <v>Miscellaneous RES 10 Year EUL</v>
      </c>
      <c r="BD512" s="98">
        <f>(INDEX('Avoided Cost Benefits'!$E$4:$E$859,MATCH(BC512,'Avoided Cost Benefits'!$A$4:$A$859,0)))*F512</f>
        <v>67.210963461353074</v>
      </c>
      <c r="BE512" s="1581">
        <f t="shared" si="114"/>
        <v>28.315243039169417</v>
      </c>
    </row>
    <row r="513" spans="1:57" x14ac:dyDescent="0.35">
      <c r="C513" s="88" t="s">
        <v>2392</v>
      </c>
      <c r="D513" s="395" t="s">
        <v>2254</v>
      </c>
      <c r="E513" s="2352" t="str">
        <f>'Efficient Products Deemed Table'!E223</f>
        <v>Advanced Tier 2 Power Strips -  D</v>
      </c>
      <c r="F513" s="89">
        <f t="shared" si="110"/>
        <v>172.8</v>
      </c>
      <c r="G513" s="971" t="str">
        <f>'Efficient Products Deemed Table'!G223</f>
        <v>Miscellaneous RES</v>
      </c>
      <c r="H513" s="136">
        <f>'Efficient Products Deemed Table'!H223</f>
        <v>1.148238E-4</v>
      </c>
      <c r="I513" s="1278">
        <f t="shared" si="108"/>
        <v>1.9841999999999999E-2</v>
      </c>
      <c r="J513" s="124">
        <f t="shared" si="111"/>
        <v>10</v>
      </c>
      <c r="K513" s="1014">
        <f t="shared" si="112"/>
        <v>30</v>
      </c>
      <c r="L513" s="1037" t="str">
        <f>'Efficient Products Deemed Table'!L223</f>
        <v>per measure</v>
      </c>
      <c r="V513" s="141" t="str">
        <f t="shared" si="115"/>
        <v>kWh Annual Savings</v>
      </c>
      <c r="W513" s="670">
        <f>'Efficient Products Deemed Table'!W223</f>
        <v>172.8</v>
      </c>
      <c r="X513" s="670">
        <f>'Efficient Products Deemed Table'!X223</f>
        <v>172.8</v>
      </c>
      <c r="Y513" s="493">
        <v>172.8</v>
      </c>
      <c r="Z513" s="493">
        <v>172.8</v>
      </c>
      <c r="AA513" s="493">
        <v>172.8</v>
      </c>
      <c r="AB513" s="1798">
        <v>172.8</v>
      </c>
      <c r="AC513" s="1798">
        <v>172.8</v>
      </c>
      <c r="AD513" s="670">
        <v>172.8</v>
      </c>
      <c r="AE513" s="670"/>
      <c r="AF513" s="670"/>
      <c r="AG513" s="670"/>
      <c r="BB513" s="40">
        <f t="shared" si="109"/>
        <v>2.1099263936978838</v>
      </c>
      <c r="BC513" s="1580" t="str">
        <f t="shared" si="113"/>
        <v>Miscellaneous RES 10 Year EUL</v>
      </c>
      <c r="BD513" s="98">
        <f>(INDEX('Avoided Cost Benefits'!$E$4:$E$859,MATCH(BC513,'Avoided Cost Benefits'!$A$4:$A$859,0)))*F513</f>
        <v>59.743078632313839</v>
      </c>
      <c r="BE513" s="1581">
        <f t="shared" si="114"/>
        <v>28.315243039169417</v>
      </c>
    </row>
    <row r="514" spans="1:57" x14ac:dyDescent="0.35">
      <c r="C514" s="88" t="s">
        <v>2393</v>
      </c>
      <c r="D514" s="395" t="s">
        <v>2254</v>
      </c>
      <c r="E514" s="2352" t="str">
        <f>'Efficient Products Deemed Table'!E224</f>
        <v>Advanced Tier 2 Power Strips -  E</v>
      </c>
      <c r="F514" s="89">
        <f t="shared" si="110"/>
        <v>151.19999999999999</v>
      </c>
      <c r="G514" s="971" t="str">
        <f>'Efficient Products Deemed Table'!G224</f>
        <v>Miscellaneous RES</v>
      </c>
      <c r="H514" s="136">
        <f>'Efficient Products Deemed Table'!H224</f>
        <v>1.148238E-4</v>
      </c>
      <c r="I514" s="1278">
        <f t="shared" si="108"/>
        <v>1.7361000000000001E-2</v>
      </c>
      <c r="J514" s="124">
        <f t="shared" si="111"/>
        <v>10</v>
      </c>
      <c r="K514" s="1014">
        <f t="shared" si="112"/>
        <v>30</v>
      </c>
      <c r="L514" s="1037" t="str">
        <f>'Efficient Products Deemed Table'!L224</f>
        <v>per measure</v>
      </c>
      <c r="V514" s="141" t="str">
        <f t="shared" si="115"/>
        <v>kWh Annual Savings</v>
      </c>
      <c r="W514" s="670">
        <f>'Efficient Products Deemed Table'!W224</f>
        <v>151.19999999999999</v>
      </c>
      <c r="X514" s="670">
        <f>'Efficient Products Deemed Table'!X224</f>
        <v>151.19999999999999</v>
      </c>
      <c r="Y514" s="493">
        <v>151.19999999999999</v>
      </c>
      <c r="Z514" s="493">
        <v>151.19999999999999</v>
      </c>
      <c r="AA514" s="493">
        <v>151.19999999999999</v>
      </c>
      <c r="AB514" s="1798">
        <v>151.19999999999999</v>
      </c>
      <c r="AC514" s="1798">
        <v>151.19999999999999</v>
      </c>
      <c r="AD514" s="670">
        <v>151.19999999999999</v>
      </c>
      <c r="AE514" s="670"/>
      <c r="AF514" s="670"/>
      <c r="AG514" s="670"/>
      <c r="BB514" s="40">
        <f t="shared" si="109"/>
        <v>1.8461855944856482</v>
      </c>
      <c r="BC514" s="1580" t="str">
        <f t="shared" si="113"/>
        <v>Miscellaneous RES 10 Year EUL</v>
      </c>
      <c r="BD514" s="98">
        <f>(INDEX('Avoided Cost Benefits'!$E$4:$E$859,MATCH(BC514,'Avoided Cost Benefits'!$A$4:$A$859,0)))*F514</f>
        <v>52.275193803274604</v>
      </c>
      <c r="BE514" s="1581">
        <f t="shared" si="114"/>
        <v>28.315243039169417</v>
      </c>
    </row>
    <row r="515" spans="1:57" x14ac:dyDescent="0.35">
      <c r="C515" s="88" t="s">
        <v>2394</v>
      </c>
      <c r="D515" s="395" t="s">
        <v>2254</v>
      </c>
      <c r="E515" s="2352" t="str">
        <f>'Efficient Products Deemed Table'!E225</f>
        <v>Advanced Tier 2 Power Strips -  F</v>
      </c>
      <c r="F515" s="89">
        <f t="shared" si="110"/>
        <v>129.6</v>
      </c>
      <c r="G515" s="971" t="str">
        <f>'Efficient Products Deemed Table'!G225</f>
        <v>Miscellaneous RES</v>
      </c>
      <c r="H515" s="136">
        <f>'Efficient Products Deemed Table'!H225</f>
        <v>1.148238E-4</v>
      </c>
      <c r="I515" s="1278">
        <f t="shared" si="108"/>
        <v>1.4881E-2</v>
      </c>
      <c r="J515" s="124">
        <f t="shared" si="111"/>
        <v>10</v>
      </c>
      <c r="K515" s="1014">
        <f t="shared" si="112"/>
        <v>30</v>
      </c>
      <c r="L515" s="1037" t="str">
        <f>'Efficient Products Deemed Table'!L225</f>
        <v>per measure</v>
      </c>
      <c r="V515" s="141" t="str">
        <f t="shared" si="115"/>
        <v>kWh Annual Savings</v>
      </c>
      <c r="W515" s="670">
        <f>'Efficient Products Deemed Table'!W225</f>
        <v>129.6</v>
      </c>
      <c r="X515" s="670">
        <f>'Efficient Products Deemed Table'!X225</f>
        <v>129.6</v>
      </c>
      <c r="Y515" s="493">
        <v>129.6</v>
      </c>
      <c r="Z515" s="493">
        <v>129.6</v>
      </c>
      <c r="AA515" s="493">
        <v>129.6</v>
      </c>
      <c r="AB515" s="1798">
        <v>129.6</v>
      </c>
      <c r="AC515" s="1798">
        <v>129.6</v>
      </c>
      <c r="AD515" s="670">
        <v>129.6</v>
      </c>
      <c r="AE515" s="670"/>
      <c r="AF515" s="670"/>
      <c r="AG515" s="670"/>
      <c r="BB515" s="40">
        <f t="shared" si="109"/>
        <v>1.5824447952734129</v>
      </c>
      <c r="BC515" s="1580" t="str">
        <f t="shared" si="113"/>
        <v>Miscellaneous RES 10 Year EUL</v>
      </c>
      <c r="BD515" s="98">
        <f>(INDEX('Avoided Cost Benefits'!$E$4:$E$859,MATCH(BC515,'Avoided Cost Benefits'!$A$4:$A$859,0)))*F515</f>
        <v>44.807308974235376</v>
      </c>
      <c r="BE515" s="1581">
        <f t="shared" si="114"/>
        <v>28.315243039169417</v>
      </c>
    </row>
    <row r="516" spans="1:57" x14ac:dyDescent="0.35">
      <c r="C516" s="88" t="s">
        <v>2395</v>
      </c>
      <c r="D516" s="395" t="s">
        <v>2254</v>
      </c>
      <c r="E516" s="2352" t="str">
        <f>'Efficient Products Deemed Table'!E226</f>
        <v>Advanced Tier 2 Power Strips -  G</v>
      </c>
      <c r="F516" s="89">
        <f t="shared" si="110"/>
        <v>108</v>
      </c>
      <c r="G516" s="971" t="str">
        <f>'Efficient Products Deemed Table'!G226</f>
        <v>Miscellaneous RES</v>
      </c>
      <c r="H516" s="136">
        <f>'Efficient Products Deemed Table'!H226</f>
        <v>1.148238E-4</v>
      </c>
      <c r="I516" s="1278">
        <f t="shared" si="108"/>
        <v>1.2401000000000001E-2</v>
      </c>
      <c r="J516" s="124">
        <f t="shared" si="111"/>
        <v>10</v>
      </c>
      <c r="K516" s="1014">
        <f t="shared" si="112"/>
        <v>30</v>
      </c>
      <c r="L516" s="1037" t="str">
        <f>'Efficient Products Deemed Table'!L226</f>
        <v>per measure</v>
      </c>
      <c r="V516" s="141" t="str">
        <f t="shared" si="115"/>
        <v>kWh Annual Savings</v>
      </c>
      <c r="W516" s="670">
        <f>'Efficient Products Deemed Table'!W226</f>
        <v>108</v>
      </c>
      <c r="X516" s="670">
        <f>'Efficient Products Deemed Table'!X226</f>
        <v>108</v>
      </c>
      <c r="Y516" s="493">
        <v>108</v>
      </c>
      <c r="Z516" s="493">
        <v>108</v>
      </c>
      <c r="AA516" s="493">
        <v>108</v>
      </c>
      <c r="AB516" s="1798">
        <v>108</v>
      </c>
      <c r="AC516" s="1798">
        <v>108</v>
      </c>
      <c r="AD516" s="670">
        <v>108</v>
      </c>
      <c r="AE516" s="670"/>
      <c r="AF516" s="670"/>
      <c r="AG516" s="670"/>
      <c r="BB516" s="40">
        <f t="shared" si="109"/>
        <v>1.3187039960611775</v>
      </c>
      <c r="BC516" s="1580" t="str">
        <f t="shared" si="113"/>
        <v>Miscellaneous RES 10 Year EUL</v>
      </c>
      <c r="BD516" s="98">
        <f>(INDEX('Avoided Cost Benefits'!$E$4:$E$859,MATCH(BC516,'Avoided Cost Benefits'!$A$4:$A$859,0)))*F516</f>
        <v>37.339424145196148</v>
      </c>
      <c r="BE516" s="1581">
        <f t="shared" si="114"/>
        <v>28.315243039169417</v>
      </c>
    </row>
    <row r="517" spans="1:57" x14ac:dyDescent="0.35">
      <c r="C517" s="88" t="s">
        <v>2396</v>
      </c>
      <c r="D517" s="395" t="s">
        <v>2254</v>
      </c>
      <c r="E517" s="2352" t="str">
        <f>'Efficient Products Deemed Table'!E227</f>
        <v>Advanced Tier 2 Power Strips -  H</v>
      </c>
      <c r="F517" s="89">
        <f t="shared" si="110"/>
        <v>86.4</v>
      </c>
      <c r="G517" s="971" t="str">
        <f>'Efficient Products Deemed Table'!G227</f>
        <v>Miscellaneous RES</v>
      </c>
      <c r="H517" s="136">
        <f>'Efficient Products Deemed Table'!H227</f>
        <v>1.148238E-4</v>
      </c>
      <c r="I517" s="1278">
        <f t="shared" si="108"/>
        <v>9.9209999999999993E-3</v>
      </c>
      <c r="J517" s="124">
        <f t="shared" si="111"/>
        <v>10</v>
      </c>
      <c r="K517" s="1014">
        <f t="shared" si="112"/>
        <v>30</v>
      </c>
      <c r="L517" s="1037" t="str">
        <f>'Efficient Products Deemed Table'!L227</f>
        <v>per measure</v>
      </c>
      <c r="V517" s="141" t="str">
        <f t="shared" si="115"/>
        <v>kWh Annual Savings</v>
      </c>
      <c r="W517" s="670">
        <f>'Efficient Products Deemed Table'!W227</f>
        <v>86.4</v>
      </c>
      <c r="X517" s="670">
        <f>'Efficient Products Deemed Table'!X227</f>
        <v>86.4</v>
      </c>
      <c r="Y517" s="493">
        <v>86.4</v>
      </c>
      <c r="Z517" s="493">
        <v>86.4</v>
      </c>
      <c r="AA517" s="493">
        <v>86.4</v>
      </c>
      <c r="AB517" s="1798">
        <v>86.4</v>
      </c>
      <c r="AC517" s="1798">
        <v>86.4</v>
      </c>
      <c r="AD517" s="670">
        <v>86.4</v>
      </c>
      <c r="AE517" s="670"/>
      <c r="AF517" s="670"/>
      <c r="AG517" s="670"/>
      <c r="BB517" s="40">
        <f t="shared" si="109"/>
        <v>1.0549631968489419</v>
      </c>
      <c r="BC517" s="1580" t="str">
        <f t="shared" si="113"/>
        <v>Miscellaneous RES 10 Year EUL</v>
      </c>
      <c r="BD517" s="98">
        <f>(INDEX('Avoided Cost Benefits'!$E$4:$E$859,MATCH(BC517,'Avoided Cost Benefits'!$A$4:$A$859,0)))*F517</f>
        <v>29.87153931615692</v>
      </c>
      <c r="BE517" s="1581">
        <f t="shared" si="114"/>
        <v>28.315243039169417</v>
      </c>
    </row>
    <row r="518" spans="1:57" x14ac:dyDescent="0.35">
      <c r="C518" s="88" t="s">
        <v>2397</v>
      </c>
      <c r="D518" s="395" t="s">
        <v>2254</v>
      </c>
      <c r="E518" s="2352" t="str">
        <f>'Efficient Products Deemed Table'!E228</f>
        <v>Advanced Tier 2 Power Strips / TOS/NC / Average</v>
      </c>
      <c r="F518" s="89">
        <f>ROUND(G534*$G$525*G535,2)</f>
        <v>162</v>
      </c>
      <c r="G518" s="971" t="str">
        <f>'Efficient Products Deemed Table'!G228</f>
        <v>Miscellaneous RES</v>
      </c>
      <c r="H518" s="136">
        <f>'Efficient Products Deemed Table'!H228</f>
        <v>1.148238E-4</v>
      </c>
      <c r="I518" s="1278">
        <f t="shared" si="108"/>
        <v>1.8600999999999999E-2</v>
      </c>
      <c r="J518" s="124">
        <f t="shared" si="111"/>
        <v>10</v>
      </c>
      <c r="K518" s="1014">
        <f t="shared" si="112"/>
        <v>30</v>
      </c>
      <c r="L518" s="1037" t="str">
        <f>'Efficient Products Deemed Table'!L228</f>
        <v>per measure</v>
      </c>
      <c r="V518" s="141" t="str">
        <f t="shared" si="115"/>
        <v>kWh Annual Savings</v>
      </c>
      <c r="W518" s="670">
        <f>'Efficient Products Deemed Table'!W228</f>
        <v>162</v>
      </c>
      <c r="X518" s="670">
        <f>'Efficient Products Deemed Table'!X228</f>
        <v>162</v>
      </c>
      <c r="Y518" s="493">
        <v>162</v>
      </c>
      <c r="Z518" s="493">
        <v>162</v>
      </c>
      <c r="AA518" s="493">
        <v>162</v>
      </c>
      <c r="AB518" s="1798">
        <v>162</v>
      </c>
      <c r="AC518" s="1798">
        <v>162</v>
      </c>
      <c r="AD518" s="670">
        <v>162</v>
      </c>
      <c r="AE518" s="670"/>
      <c r="AF518" s="670"/>
      <c r="AG518" s="670"/>
      <c r="BB518" s="41">
        <f t="shared" si="109"/>
        <v>1.9780559940917661</v>
      </c>
      <c r="BC518" s="1580" t="str">
        <f t="shared" si="113"/>
        <v>Miscellaneous RES 10 Year EUL</v>
      </c>
      <c r="BD518" s="102">
        <f>(INDEX('Avoided Cost Benefits'!$E$4:$E$859,MATCH(BC518,'Avoided Cost Benefits'!$A$4:$A$859,0)))*F518</f>
        <v>56.009136217794222</v>
      </c>
      <c r="BE518" s="1582">
        <f t="shared" si="114"/>
        <v>28.315243039169417</v>
      </c>
    </row>
    <row r="519" spans="1:57" hidden="1" outlineLevel="1" x14ac:dyDescent="0.35">
      <c r="H519" s="106" t="s">
        <v>2398</v>
      </c>
      <c r="I519" s="132"/>
    </row>
    <row r="520" spans="1:57" hidden="1" outlineLevel="1" x14ac:dyDescent="0.35">
      <c r="D520" s="152" t="s">
        <v>107</v>
      </c>
    </row>
    <row r="521" spans="1:57" hidden="1" outlineLevel="1" x14ac:dyDescent="0.35"/>
    <row r="522" spans="1:57" hidden="1" outlineLevel="1" x14ac:dyDescent="0.35"/>
    <row r="523" spans="1:57" hidden="1" outlineLevel="1" x14ac:dyDescent="0.35"/>
    <row r="524" spans="1:57" hidden="1" outlineLevel="1" x14ac:dyDescent="0.35">
      <c r="D524" s="2423" t="s">
        <v>108</v>
      </c>
      <c r="E524" s="2423" t="s">
        <v>109</v>
      </c>
      <c r="F524" s="2423" t="s">
        <v>185</v>
      </c>
      <c r="G524" s="2331" t="s">
        <v>111</v>
      </c>
      <c r="H524" s="2331" t="s">
        <v>186</v>
      </c>
      <c r="V524" s="1572" t="s">
        <v>44</v>
      </c>
      <c r="W524" s="1573">
        <v>43252</v>
      </c>
      <c r="X524" s="1573">
        <f>$X$6</f>
        <v>43465</v>
      </c>
      <c r="Y524" s="1573">
        <f>$Y$6</f>
        <v>43800</v>
      </c>
      <c r="Z524" s="1573">
        <f>$Z$6</f>
        <v>43862</v>
      </c>
      <c r="AA524" s="1573">
        <f>$AA$6</f>
        <v>44013</v>
      </c>
      <c r="AB524" s="1573">
        <f>$AB$6</f>
        <v>44166</v>
      </c>
      <c r="AC524" s="1573">
        <f>$AC$6</f>
        <v>44531</v>
      </c>
      <c r="AD524" s="1573">
        <f>$AD$6</f>
        <v>44774</v>
      </c>
      <c r="AE524" s="1573" t="str">
        <f>$AE$6</f>
        <v>-</v>
      </c>
      <c r="AF524" s="1573" t="str">
        <f>$AF$6</f>
        <v>-</v>
      </c>
      <c r="AG524" s="1573" t="str">
        <f>$AG$6</f>
        <v>-</v>
      </c>
      <c r="AH524" s="31"/>
    </row>
    <row r="525" spans="1:57" hidden="1" outlineLevel="1" x14ac:dyDescent="0.35">
      <c r="D525" s="2353" t="s">
        <v>398</v>
      </c>
      <c r="E525" s="2347" t="s">
        <v>399</v>
      </c>
      <c r="F525" s="2333" t="s">
        <v>134</v>
      </c>
      <c r="G525" s="301">
        <v>432</v>
      </c>
      <c r="H525" s="88"/>
      <c r="V525" s="2353" t="s">
        <v>398</v>
      </c>
      <c r="W525" s="301">
        <v>432</v>
      </c>
      <c r="X525" s="301">
        <v>432</v>
      </c>
      <c r="Y525" s="301">
        <v>432</v>
      </c>
      <c r="Z525" s="301">
        <v>432</v>
      </c>
      <c r="AA525" s="301">
        <v>432</v>
      </c>
      <c r="AB525" s="301">
        <v>432</v>
      </c>
      <c r="AC525" s="301">
        <v>432</v>
      </c>
      <c r="AD525" s="301">
        <v>432</v>
      </c>
      <c r="AE525" s="1922"/>
      <c r="AF525" s="1922"/>
      <c r="AG525" s="1922"/>
      <c r="AH525" s="31"/>
    </row>
    <row r="526" spans="1:57" hidden="1" outlineLevel="1" x14ac:dyDescent="0.35">
      <c r="A526" s="132"/>
      <c r="B526" s="132"/>
      <c r="C526" s="130"/>
      <c r="D526" s="4537" t="s">
        <v>401</v>
      </c>
      <c r="E526" s="4537" t="s">
        <v>402</v>
      </c>
      <c r="F526" s="303" t="s">
        <v>403</v>
      </c>
      <c r="G526" s="1918">
        <v>0.55000000000000004</v>
      </c>
      <c r="H526" s="303" t="s">
        <v>404</v>
      </c>
      <c r="I526" s="132"/>
      <c r="J526" s="132"/>
      <c r="K526" s="132"/>
      <c r="L526" s="132"/>
      <c r="V526" s="4537" t="s">
        <v>401</v>
      </c>
      <c r="W526" s="1918">
        <v>0.55000000000000004</v>
      </c>
      <c r="X526" s="1918">
        <v>0.55000000000000004</v>
      </c>
      <c r="Y526" s="1918">
        <v>0.55000000000000004</v>
      </c>
      <c r="Z526" s="1918">
        <v>0.55000000000000004</v>
      </c>
      <c r="AA526" s="1918">
        <v>0.55000000000000004</v>
      </c>
      <c r="AB526" s="1918">
        <v>0.55000000000000004</v>
      </c>
      <c r="AC526" s="1918">
        <v>0.55000000000000004</v>
      </c>
      <c r="AD526" s="1918">
        <v>0.55000000000000004</v>
      </c>
      <c r="AE526" s="302"/>
      <c r="AF526" s="302"/>
      <c r="AG526" s="302"/>
      <c r="AH526" s="31"/>
    </row>
    <row r="527" spans="1:57" hidden="1" outlineLevel="1" x14ac:dyDescent="0.35">
      <c r="A527" s="132"/>
      <c r="B527" s="132"/>
      <c r="C527" s="130"/>
      <c r="D527" s="4537"/>
      <c r="E527" s="4537"/>
      <c r="F527" s="303" t="s">
        <v>405</v>
      </c>
      <c r="G527" s="1918">
        <v>0.5</v>
      </c>
      <c r="H527" s="303" t="s">
        <v>404</v>
      </c>
      <c r="I527" s="132"/>
      <c r="J527" s="132"/>
      <c r="K527" s="132"/>
      <c r="L527" s="132"/>
      <c r="V527" s="4537"/>
      <c r="W527" s="1918">
        <v>0.5</v>
      </c>
      <c r="X527" s="1918">
        <v>0.5</v>
      </c>
      <c r="Y527" s="1918">
        <v>0.5</v>
      </c>
      <c r="Z527" s="1918">
        <v>0.5</v>
      </c>
      <c r="AA527" s="1918">
        <v>0.5</v>
      </c>
      <c r="AB527" s="1918">
        <v>0.5</v>
      </c>
      <c r="AC527" s="1918">
        <v>0.5</v>
      </c>
      <c r="AD527" s="1918">
        <v>0.5</v>
      </c>
      <c r="AE527" s="302"/>
      <c r="AF527" s="302"/>
      <c r="AG527" s="302"/>
      <c r="AH527" s="31"/>
    </row>
    <row r="528" spans="1:57" hidden="1" outlineLevel="1" x14ac:dyDescent="0.35">
      <c r="A528" s="132"/>
      <c r="B528" s="132"/>
      <c r="C528" s="130"/>
      <c r="D528" s="4537"/>
      <c r="E528" s="4537"/>
      <c r="F528" s="303" t="s">
        <v>407</v>
      </c>
      <c r="G528" s="1918">
        <v>0.45</v>
      </c>
      <c r="H528" s="303" t="s">
        <v>404</v>
      </c>
      <c r="I528" s="132"/>
      <c r="J528" s="132"/>
      <c r="K528" s="132"/>
      <c r="L528" s="132"/>
      <c r="V528" s="4537"/>
      <c r="W528" s="1918">
        <v>0.45</v>
      </c>
      <c r="X528" s="1918">
        <v>0.45</v>
      </c>
      <c r="Y528" s="1918">
        <v>0.45</v>
      </c>
      <c r="Z528" s="1918">
        <v>0.45</v>
      </c>
      <c r="AA528" s="1918">
        <v>0.45</v>
      </c>
      <c r="AB528" s="1918">
        <v>0.45</v>
      </c>
      <c r="AC528" s="1918">
        <v>0.45</v>
      </c>
      <c r="AD528" s="1918">
        <v>0.45</v>
      </c>
      <c r="AE528" s="302"/>
      <c r="AF528" s="302"/>
      <c r="AG528" s="302"/>
      <c r="AH528" s="31"/>
    </row>
    <row r="529" spans="1:57" hidden="1" outlineLevel="1" x14ac:dyDescent="0.35">
      <c r="A529" s="132"/>
      <c r="B529" s="132"/>
      <c r="C529" s="130"/>
      <c r="D529" s="4537"/>
      <c r="E529" s="4537"/>
      <c r="F529" s="303" t="s">
        <v>408</v>
      </c>
      <c r="G529" s="1918">
        <v>0.4</v>
      </c>
      <c r="H529" s="303" t="s">
        <v>404</v>
      </c>
      <c r="I529" s="132"/>
      <c r="J529" s="132"/>
      <c r="K529" s="132"/>
      <c r="L529" s="132"/>
      <c r="V529" s="4537"/>
      <c r="W529" s="1918">
        <v>0.4</v>
      </c>
      <c r="X529" s="1918">
        <v>0.4</v>
      </c>
      <c r="Y529" s="1918">
        <v>0.4</v>
      </c>
      <c r="Z529" s="1918">
        <v>0.4</v>
      </c>
      <c r="AA529" s="1918">
        <v>0.4</v>
      </c>
      <c r="AB529" s="1918">
        <v>0.4</v>
      </c>
      <c r="AC529" s="1918">
        <v>0.4</v>
      </c>
      <c r="AD529" s="1918">
        <v>0.4</v>
      </c>
      <c r="AE529" s="302"/>
      <c r="AF529" s="302"/>
      <c r="AG529" s="302"/>
      <c r="AH529" s="31"/>
    </row>
    <row r="530" spans="1:57" hidden="1" outlineLevel="1" x14ac:dyDescent="0.35">
      <c r="A530" s="132"/>
      <c r="B530" s="132"/>
      <c r="C530" s="130"/>
      <c r="D530" s="4537"/>
      <c r="E530" s="4537"/>
      <c r="F530" s="303" t="s">
        <v>409</v>
      </c>
      <c r="G530" s="1918">
        <v>0.35</v>
      </c>
      <c r="H530" s="303" t="s">
        <v>404</v>
      </c>
      <c r="I530" s="132"/>
      <c r="J530" s="132"/>
      <c r="K530" s="132"/>
      <c r="L530" s="132"/>
      <c r="V530" s="4537"/>
      <c r="W530" s="1918">
        <v>0.35</v>
      </c>
      <c r="X530" s="1918">
        <v>0.35</v>
      </c>
      <c r="Y530" s="1918">
        <v>0.35</v>
      </c>
      <c r="Z530" s="1918">
        <v>0.35</v>
      </c>
      <c r="AA530" s="1918">
        <v>0.35</v>
      </c>
      <c r="AB530" s="1918">
        <v>0.35</v>
      </c>
      <c r="AC530" s="1918">
        <v>0.35</v>
      </c>
      <c r="AD530" s="1918">
        <v>0.35</v>
      </c>
      <c r="AE530" s="302"/>
      <c r="AF530" s="302"/>
      <c r="AG530" s="302"/>
      <c r="AH530" s="31"/>
    </row>
    <row r="531" spans="1:57" hidden="1" outlineLevel="1" x14ac:dyDescent="0.35">
      <c r="A531" s="132"/>
      <c r="B531" s="132"/>
      <c r="C531" s="130"/>
      <c r="D531" s="4537"/>
      <c r="E531" s="4537"/>
      <c r="F531" s="303" t="s">
        <v>410</v>
      </c>
      <c r="G531" s="1918">
        <v>0.3</v>
      </c>
      <c r="H531" s="303" t="s">
        <v>404</v>
      </c>
      <c r="I531" s="132"/>
      <c r="J531" s="132"/>
      <c r="K531" s="132"/>
      <c r="L531" s="132"/>
      <c r="V531" s="4537"/>
      <c r="W531" s="1918">
        <v>0.3</v>
      </c>
      <c r="X531" s="1918">
        <v>0.3</v>
      </c>
      <c r="Y531" s="1918">
        <v>0.3</v>
      </c>
      <c r="Z531" s="1918">
        <v>0.3</v>
      </c>
      <c r="AA531" s="1918">
        <v>0.3</v>
      </c>
      <c r="AB531" s="1918">
        <v>0.3</v>
      </c>
      <c r="AC531" s="1918">
        <v>0.3</v>
      </c>
      <c r="AD531" s="1918">
        <v>0.3</v>
      </c>
      <c r="AE531" s="302"/>
      <c r="AF531" s="302"/>
      <c r="AG531" s="302"/>
      <c r="AH531" s="31"/>
    </row>
    <row r="532" spans="1:57" hidden="1" outlineLevel="1" x14ac:dyDescent="0.35">
      <c r="A532" s="132"/>
      <c r="B532" s="132"/>
      <c r="C532" s="130"/>
      <c r="D532" s="4537"/>
      <c r="E532" s="4537"/>
      <c r="F532" s="303" t="s">
        <v>411</v>
      </c>
      <c r="G532" s="1918">
        <v>0.25</v>
      </c>
      <c r="H532" s="303" t="s">
        <v>404</v>
      </c>
      <c r="I532" s="132"/>
      <c r="J532" s="132"/>
      <c r="K532" s="132"/>
      <c r="L532" s="132"/>
      <c r="V532" s="4537"/>
      <c r="W532" s="1918">
        <v>0.25</v>
      </c>
      <c r="X532" s="1918">
        <v>0.25</v>
      </c>
      <c r="Y532" s="1918">
        <v>0.25</v>
      </c>
      <c r="Z532" s="1918">
        <v>0.25</v>
      </c>
      <c r="AA532" s="1918">
        <v>0.25</v>
      </c>
      <c r="AB532" s="1918">
        <v>0.25</v>
      </c>
      <c r="AC532" s="1918">
        <v>0.25</v>
      </c>
      <c r="AD532" s="1918">
        <v>0.25</v>
      </c>
      <c r="AE532" s="302"/>
      <c r="AF532" s="302"/>
      <c r="AG532" s="302"/>
      <c r="AH532" s="31"/>
    </row>
    <row r="533" spans="1:57" hidden="1" outlineLevel="1" x14ac:dyDescent="0.35">
      <c r="A533" s="132"/>
      <c r="B533" s="132"/>
      <c r="C533" s="130"/>
      <c r="D533" s="4537"/>
      <c r="E533" s="4537"/>
      <c r="F533" s="303" t="s">
        <v>412</v>
      </c>
      <c r="G533" s="1918">
        <v>0.2</v>
      </c>
      <c r="H533" s="303" t="s">
        <v>404</v>
      </c>
      <c r="I533" s="132"/>
      <c r="J533" s="132"/>
      <c r="K533" s="132"/>
      <c r="L533" s="132"/>
      <c r="V533" s="4537"/>
      <c r="W533" s="1918">
        <v>0.2</v>
      </c>
      <c r="X533" s="1918">
        <v>0.2</v>
      </c>
      <c r="Y533" s="1918">
        <v>0.2</v>
      </c>
      <c r="Z533" s="1918">
        <v>0.2</v>
      </c>
      <c r="AA533" s="1918">
        <v>0.2</v>
      </c>
      <c r="AB533" s="1918">
        <v>0.2</v>
      </c>
      <c r="AC533" s="1918">
        <v>0.2</v>
      </c>
      <c r="AD533" s="1918">
        <v>0.2</v>
      </c>
      <c r="AE533" s="302"/>
      <c r="AF533" s="302"/>
      <c r="AG533" s="302"/>
      <c r="AH533" s="31"/>
    </row>
    <row r="534" spans="1:57" hidden="1" outlineLevel="1" x14ac:dyDescent="0.35">
      <c r="A534" s="132"/>
      <c r="B534" s="132"/>
      <c r="C534" s="130"/>
      <c r="D534" s="4537"/>
      <c r="E534" s="4537"/>
      <c r="F534" s="303" t="s">
        <v>413</v>
      </c>
      <c r="G534" s="1919">
        <f>AVERAGE(G527,G532)</f>
        <v>0.375</v>
      </c>
      <c r="H534" s="1920" t="s">
        <v>414</v>
      </c>
      <c r="I534" s="132"/>
      <c r="J534" s="132"/>
      <c r="K534" s="132"/>
      <c r="L534" s="132"/>
      <c r="V534" s="4537"/>
      <c r="W534" s="1919">
        <f t="shared" ref="W534:AA534" si="116">AVERAGE(W527,W532)</f>
        <v>0.375</v>
      </c>
      <c r="X534" s="1919">
        <f t="shared" si="116"/>
        <v>0.375</v>
      </c>
      <c r="Y534" s="1919">
        <f t="shared" si="116"/>
        <v>0.375</v>
      </c>
      <c r="Z534" s="1919">
        <f t="shared" si="116"/>
        <v>0.375</v>
      </c>
      <c r="AA534" s="1919">
        <f t="shared" si="116"/>
        <v>0.375</v>
      </c>
      <c r="AB534" s="1919">
        <v>0.375</v>
      </c>
      <c r="AC534" s="1919">
        <v>0.375</v>
      </c>
      <c r="AD534" s="1919">
        <v>0.375</v>
      </c>
      <c r="AE534" s="302"/>
      <c r="AF534" s="302"/>
      <c r="AG534" s="302"/>
      <c r="AH534" s="31"/>
    </row>
    <row r="535" spans="1:57" hidden="1" outlineLevel="1" x14ac:dyDescent="0.35">
      <c r="A535" s="132"/>
      <c r="B535" s="132"/>
      <c r="C535" s="130"/>
      <c r="D535" s="2109" t="s">
        <v>132</v>
      </c>
      <c r="E535" s="2109" t="s">
        <v>415</v>
      </c>
      <c r="F535" s="303" t="s">
        <v>134</v>
      </c>
      <c r="G535" s="287">
        <v>1</v>
      </c>
      <c r="H535" s="1920"/>
      <c r="I535" s="132"/>
      <c r="J535" s="132"/>
      <c r="K535" s="132"/>
      <c r="L535" s="132"/>
      <c r="V535" s="2109" t="s">
        <v>132</v>
      </c>
      <c r="W535" s="287">
        <v>1</v>
      </c>
      <c r="X535" s="287">
        <v>1</v>
      </c>
      <c r="Y535" s="287">
        <v>1</v>
      </c>
      <c r="Z535" s="287">
        <v>1</v>
      </c>
      <c r="AA535" s="287">
        <v>1</v>
      </c>
      <c r="AB535" s="287">
        <v>1</v>
      </c>
      <c r="AC535" s="287">
        <v>1</v>
      </c>
      <c r="AD535" s="287">
        <v>1</v>
      </c>
      <c r="AE535" s="302"/>
      <c r="AF535" s="302"/>
      <c r="AG535" s="302"/>
      <c r="AH535" s="31"/>
    </row>
    <row r="536" spans="1:57" hidden="1" outlineLevel="1" x14ac:dyDescent="0.35">
      <c r="A536" s="132"/>
      <c r="B536" s="132"/>
      <c r="C536" s="130"/>
      <c r="D536" s="2110" t="s">
        <v>180</v>
      </c>
      <c r="E536" s="2110" t="s">
        <v>166</v>
      </c>
      <c r="F536" s="303" t="s">
        <v>134</v>
      </c>
      <c r="G536" s="1187">
        <v>10</v>
      </c>
      <c r="H536" s="1920"/>
      <c r="I536" s="132"/>
      <c r="J536" s="132"/>
      <c r="K536" s="132"/>
      <c r="L536" s="132"/>
      <c r="V536" s="2110" t="s">
        <v>180</v>
      </c>
      <c r="W536" s="1187">
        <v>10</v>
      </c>
      <c r="X536" s="1187">
        <v>10</v>
      </c>
      <c r="Y536" s="1187">
        <v>10</v>
      </c>
      <c r="Z536" s="1187">
        <v>10</v>
      </c>
      <c r="AA536" s="1187">
        <v>10</v>
      </c>
      <c r="AB536" s="1187">
        <v>10</v>
      </c>
      <c r="AC536" s="1187">
        <v>10</v>
      </c>
      <c r="AD536" s="1187">
        <v>10</v>
      </c>
      <c r="AE536" s="302"/>
      <c r="AF536" s="302"/>
      <c r="AG536" s="302"/>
      <c r="AH536" s="31"/>
      <c r="AI536" s="173"/>
      <c r="AJ536" s="173"/>
      <c r="AK536" s="31"/>
      <c r="AL536" s="31"/>
      <c r="AM536" s="31"/>
      <c r="AN536" s="31"/>
      <c r="AO536" s="31"/>
      <c r="AP536" s="31"/>
      <c r="AQ536" s="31"/>
      <c r="AR536" s="31"/>
      <c r="AS536" s="31"/>
    </row>
    <row r="537" spans="1:57" hidden="1" outlineLevel="1" x14ac:dyDescent="0.35">
      <c r="A537" s="132"/>
      <c r="B537" s="132"/>
      <c r="C537" s="130"/>
      <c r="D537" s="2111" t="s">
        <v>169</v>
      </c>
      <c r="E537" s="2112" t="s">
        <v>170</v>
      </c>
      <c r="F537" s="303" t="s">
        <v>134</v>
      </c>
      <c r="G537" s="1888">
        <v>30</v>
      </c>
      <c r="H537" s="1921" t="s">
        <v>2399</v>
      </c>
      <c r="I537" s="132"/>
      <c r="J537" s="132"/>
      <c r="K537" s="132"/>
      <c r="L537" s="132"/>
      <c r="V537" s="2111" t="s">
        <v>169</v>
      </c>
      <c r="W537" s="1888">
        <v>30</v>
      </c>
      <c r="X537" s="1888">
        <v>30</v>
      </c>
      <c r="Y537" s="1888">
        <v>30</v>
      </c>
      <c r="Z537" s="1888">
        <v>30</v>
      </c>
      <c r="AA537" s="1888">
        <v>30</v>
      </c>
      <c r="AB537" s="1888">
        <v>30</v>
      </c>
      <c r="AC537" s="1888">
        <v>30</v>
      </c>
      <c r="AD537" s="1888">
        <v>30</v>
      </c>
      <c r="AE537" s="304"/>
      <c r="AF537" s="304"/>
      <c r="AG537" s="304"/>
      <c r="AH537" s="31"/>
      <c r="AI537" s="173"/>
      <c r="AJ537" s="173"/>
      <c r="AK537" s="31"/>
      <c r="AL537" s="31"/>
      <c r="AM537" s="31"/>
      <c r="AN537" s="31"/>
      <c r="AO537" s="31"/>
      <c r="AP537" s="31"/>
      <c r="AQ537" s="31"/>
      <c r="AR537" s="31"/>
      <c r="AS537" s="31"/>
    </row>
    <row r="538" spans="1:57" collapsed="1" x14ac:dyDescent="0.35">
      <c r="A538" s="132"/>
      <c r="B538" s="132"/>
      <c r="C538" s="130"/>
      <c r="D538" s="131"/>
      <c r="E538" s="131"/>
      <c r="F538" s="132"/>
      <c r="G538" s="132"/>
      <c r="H538" s="132"/>
      <c r="I538" s="132"/>
      <c r="J538" s="132"/>
      <c r="K538" s="132"/>
      <c r="L538" s="132"/>
    </row>
    <row r="539" spans="1:57" x14ac:dyDescent="0.35">
      <c r="A539" s="132"/>
      <c r="B539" s="132"/>
      <c r="C539" s="130"/>
      <c r="D539" s="131"/>
      <c r="E539" s="131"/>
      <c r="F539" s="132"/>
      <c r="G539" s="132"/>
      <c r="H539" s="132"/>
      <c r="I539" s="132"/>
      <c r="J539" s="132"/>
      <c r="K539" s="132"/>
      <c r="L539" s="132"/>
    </row>
    <row r="540" spans="1:57" s="106" customFormat="1" x14ac:dyDescent="0.35">
      <c r="B540" s="3664" t="s">
        <v>2400</v>
      </c>
      <c r="C540" s="3665"/>
      <c r="D540" s="3665"/>
      <c r="E540" s="3665"/>
      <c r="F540" s="3665"/>
      <c r="G540" s="3665"/>
      <c r="H540" s="3665"/>
      <c r="I540" s="3666"/>
      <c r="J540" s="3666"/>
      <c r="K540" s="3666"/>
      <c r="L540" s="3666"/>
      <c r="M540" s="3666"/>
      <c r="N540" s="3666"/>
      <c r="O540" s="3666"/>
      <c r="P540" s="3666"/>
      <c r="Q540" s="3667"/>
      <c r="V540" s="3664" t="str">
        <f>B540</f>
        <v>High Efficienty Pool Pump</v>
      </c>
      <c r="W540" s="3665"/>
      <c r="X540" s="3665"/>
      <c r="Y540" s="3665"/>
      <c r="Z540" s="3665"/>
      <c r="AA540" s="3665"/>
      <c r="AB540" s="3665"/>
      <c r="AC540" s="3665"/>
      <c r="AD540" s="3665"/>
      <c r="AE540" s="3665"/>
      <c r="AF540" s="3665"/>
      <c r="AG540" s="3665"/>
      <c r="AH540" s="3665"/>
      <c r="AI540" s="4026"/>
      <c r="AJ540"/>
      <c r="BB540" s="702"/>
    </row>
    <row r="541" spans="1:57" ht="15" customHeight="1" x14ac:dyDescent="0.35">
      <c r="B541" s="1450"/>
      <c r="C541" s="1451"/>
      <c r="D541" s="1013"/>
      <c r="E541" s="1013"/>
      <c r="F541" s="1450"/>
      <c r="G541" s="1450"/>
      <c r="H541" s="1450"/>
      <c r="I541" s="1450"/>
      <c r="J541" s="1450"/>
      <c r="K541" s="1450"/>
      <c r="L541" s="1450"/>
    </row>
    <row r="542" spans="1:57" ht="29" x14ac:dyDescent="0.35">
      <c r="B542" s="1450"/>
      <c r="C542" s="2331" t="s">
        <v>27</v>
      </c>
      <c r="D542" s="2331" t="s">
        <v>174</v>
      </c>
      <c r="E542" s="2331" t="s">
        <v>29</v>
      </c>
      <c r="F542" s="2331" t="s">
        <v>30</v>
      </c>
      <c r="G542" s="2331" t="s">
        <v>175</v>
      </c>
      <c r="H542" s="2331" t="s">
        <v>176</v>
      </c>
      <c r="I542" s="2331" t="s">
        <v>2401</v>
      </c>
      <c r="J542" s="2331" t="s">
        <v>2402</v>
      </c>
      <c r="K542" s="2331" t="s">
        <v>2403</v>
      </c>
      <c r="L542" s="2331" t="s">
        <v>31</v>
      </c>
      <c r="M542" s="2331" t="s">
        <v>180</v>
      </c>
      <c r="N542" s="2331" t="s">
        <v>169</v>
      </c>
      <c r="O542" s="2331" t="s">
        <v>43</v>
      </c>
      <c r="V542" s="1572" t="s">
        <v>44</v>
      </c>
      <c r="W542" s="1573">
        <f>W$6</f>
        <v>43252</v>
      </c>
      <c r="X542" s="1573">
        <f t="shared" ref="X542:AG542" si="117">X$6</f>
        <v>43465</v>
      </c>
      <c r="Y542" s="1573">
        <f t="shared" si="117"/>
        <v>43800</v>
      </c>
      <c r="Z542" s="1573">
        <f t="shared" si="117"/>
        <v>43862</v>
      </c>
      <c r="AA542" s="1573">
        <f t="shared" si="117"/>
        <v>44013</v>
      </c>
      <c r="AB542" s="1573">
        <f t="shared" si="117"/>
        <v>44166</v>
      </c>
      <c r="AC542" s="1573">
        <f t="shared" si="117"/>
        <v>44531</v>
      </c>
      <c r="AD542" s="1573">
        <f t="shared" si="117"/>
        <v>44774</v>
      </c>
      <c r="AE542" s="1573" t="str">
        <f t="shared" si="117"/>
        <v>-</v>
      </c>
      <c r="AF542" s="1573" t="str">
        <f t="shared" si="117"/>
        <v>-</v>
      </c>
      <c r="AG542" s="1573" t="str">
        <f t="shared" si="117"/>
        <v>-</v>
      </c>
      <c r="BB542" s="1574" t="str">
        <f>$BB$6</f>
        <v>TRC (2022)</v>
      </c>
      <c r="BC542" s="1584" t="str">
        <f>$BC$6</f>
        <v>Benefit Lookup</v>
      </c>
      <c r="BD542" s="556" t="str">
        <f>$BD$6</f>
        <v>Benefits (2019 $)</v>
      </c>
      <c r="BE542" s="200" t="str">
        <f>$BE$6</f>
        <v>Incremental Cost (2019 $)</v>
      </c>
    </row>
    <row r="543" spans="1:57" x14ac:dyDescent="0.35">
      <c r="B543" s="1450"/>
      <c r="C543" s="50" t="s">
        <v>4113</v>
      </c>
      <c r="D543" s="395" t="s">
        <v>2254</v>
      </c>
      <c r="E543" s="2333" t="s">
        <v>4344</v>
      </c>
      <c r="F543" s="461">
        <f>ROUND(($F$567*$F$568*(1/$F$569-1/$F$570)*$F$572)/$F$583,2)</f>
        <v>315.20999999999998</v>
      </c>
      <c r="G543" s="88" t="s">
        <v>335</v>
      </c>
      <c r="H543" s="136">
        <f>VLOOKUP(G543,'CP FACTORS'!$A$3:$B$38, 2, FALSE)</f>
        <v>2.3544589999999999E-4</v>
      </c>
      <c r="I543" s="1474">
        <f>(F573*F574*F579)/(F580*F583)</f>
        <v>20.976000000000003</v>
      </c>
      <c r="J543" s="49">
        <f>(F575*F576*F579)/(F581*F583)</f>
        <v>1.5789473684210527</v>
      </c>
      <c r="K543" s="49">
        <f>(F577*F578*F579)/(F582*F583)</f>
        <v>2.515068493150685</v>
      </c>
      <c r="L543" s="90">
        <f>ROUND(F543*H543,6)</f>
        <v>7.4215000000000003E-2</v>
      </c>
      <c r="M543" s="92">
        <f>F584</f>
        <v>10</v>
      </c>
      <c r="N543" s="1014">
        <f>F585</f>
        <v>314</v>
      </c>
      <c r="O543" s="2129" t="s">
        <v>184</v>
      </c>
      <c r="V543" s="141" t="str">
        <f>F542</f>
        <v>kWh Annual Savings</v>
      </c>
      <c r="W543" s="546">
        <v>2052.8492712328771</v>
      </c>
      <c r="X543" s="1045">
        <v>2052.8492712328771</v>
      </c>
      <c r="Y543" s="1015">
        <v>2052.85</v>
      </c>
      <c r="Z543" s="1015">
        <v>2052.85</v>
      </c>
      <c r="AA543" s="1015">
        <v>2052.85</v>
      </c>
      <c r="AB543" s="1015">
        <v>2052.85</v>
      </c>
      <c r="AC543" s="459">
        <v>315.20999999999998</v>
      </c>
      <c r="AD543" s="461">
        <v>315.20999999999998</v>
      </c>
      <c r="AE543" s="141"/>
      <c r="AF543" s="141"/>
      <c r="AG543" s="141"/>
      <c r="BB543" s="1585">
        <f>(BD543)/(BE543)</f>
        <v>0.44818179646507411</v>
      </c>
      <c r="BC543" s="2381" t="str">
        <f>CONCATENATE(G543," ",M543," Year EUL")</f>
        <v>Pool Spa RES 10 Year EUL</v>
      </c>
      <c r="BD543" s="147">
        <f>(INDEX('Avoided Cost Benefits'!$E$4:$E$859,MATCH(BC543,'Avoided Cost Benefits'!$A$4:$A$859,0)))*F543</f>
        <v>132.82594062296673</v>
      </c>
      <c r="BE543" s="1587">
        <f>N543/(1.0595^(2020-2019))</f>
        <v>296.36621047663988</v>
      </c>
    </row>
    <row r="544" spans="1:57" x14ac:dyDescent="0.35">
      <c r="B544" s="1450"/>
      <c r="C544" s="50" t="s">
        <v>4114</v>
      </c>
      <c r="D544" s="395" t="s">
        <v>2254</v>
      </c>
      <c r="E544" s="2333" t="s">
        <v>4112</v>
      </c>
      <c r="F544" s="461">
        <f>ROUND(($F$567*$F$568*(1/$F$571-1/$F$570)*$F$572)/$F$583,2)</f>
        <v>1478.34</v>
      </c>
      <c r="G544" s="88" t="s">
        <v>335</v>
      </c>
      <c r="H544" s="136">
        <f>VLOOKUP(G544,'CP FACTORS'!$A$3:$B$38, 2, FALSE)</f>
        <v>2.3544589999999999E-4</v>
      </c>
      <c r="I544" s="1474">
        <f>(F574*F575*F580)/(F581*F584)</f>
        <v>7.1178947368421062</v>
      </c>
      <c r="J544" s="49">
        <f>(F576*F577*F580)/(F582*F584)</f>
        <v>14.383561643835616</v>
      </c>
      <c r="K544" s="49">
        <f>(F578*F579*F580)/(F583*F584)</f>
        <v>0.38556000000000001</v>
      </c>
      <c r="L544" s="90">
        <f>ROUND(F544*H544,6)</f>
        <v>0.34806900000000002</v>
      </c>
      <c r="M544" s="92">
        <f>F584</f>
        <v>10</v>
      </c>
      <c r="N544" s="1014">
        <f>F586</f>
        <v>549</v>
      </c>
      <c r="O544" s="2129" t="s">
        <v>184</v>
      </c>
      <c r="V544" s="1592" t="s">
        <v>30</v>
      </c>
      <c r="W544" s="2525"/>
      <c r="X544" s="2526"/>
      <c r="Y544" s="2471"/>
      <c r="Z544" s="2471"/>
      <c r="AA544" s="2471"/>
      <c r="AB544" s="2471"/>
      <c r="AC544" s="459">
        <v>1478.34</v>
      </c>
      <c r="AD544" s="461">
        <v>1478.34</v>
      </c>
      <c r="AE544" s="141"/>
      <c r="AF544" s="141"/>
      <c r="AG544" s="141"/>
      <c r="BB544" s="2527">
        <f>(BD544)/(BE544)</f>
        <v>1.2022252847635204</v>
      </c>
      <c r="BC544" s="2528" t="str">
        <f>CONCATENATE(G544," ",M544," Year EUL")</f>
        <v>Pool Spa RES 10 Year EUL</v>
      </c>
      <c r="BD544" s="2529">
        <f>(INDEX('Avoided Cost Benefits'!$E$4:$E$859,MATCH(BC544,'Avoided Cost Benefits'!$A$4:$A$859,0)))*F544</f>
        <v>622.95581060422148</v>
      </c>
      <c r="BE544" s="2530">
        <f>N544/(1.0595^(2020-2019))</f>
        <v>518.16894761680032</v>
      </c>
    </row>
    <row r="545" spans="2:12" hidden="1" outlineLevel="1" x14ac:dyDescent="0.35">
      <c r="B545" s="1450"/>
      <c r="C545" s="1451"/>
      <c r="D545" s="1013"/>
      <c r="E545" s="1013"/>
      <c r="F545" s="1450"/>
      <c r="G545" s="1450"/>
      <c r="H545" s="1450"/>
      <c r="I545" s="1450"/>
      <c r="J545" s="1450"/>
      <c r="K545" s="1450"/>
      <c r="L545" s="1450"/>
    </row>
    <row r="546" spans="2:12" hidden="1" outlineLevel="1" x14ac:dyDescent="0.35">
      <c r="B546" s="1450"/>
      <c r="C546" s="1451"/>
      <c r="D546" s="152" t="s">
        <v>107</v>
      </c>
      <c r="E546" s="1013"/>
      <c r="F546" s="1450"/>
      <c r="G546" s="1450"/>
      <c r="H546" s="1450"/>
      <c r="I546" s="1450"/>
      <c r="J546" s="1450"/>
      <c r="K546" s="1450"/>
      <c r="L546" s="1450"/>
    </row>
    <row r="547" spans="2:12" hidden="1" outlineLevel="1" x14ac:dyDescent="0.35">
      <c r="B547" s="1450"/>
      <c r="C547" s="1451"/>
      <c r="D547" s="1013"/>
      <c r="E547" s="1013"/>
      <c r="F547" s="1450"/>
      <c r="G547" s="1450"/>
      <c r="H547" s="1450"/>
      <c r="I547" s="1450"/>
      <c r="J547" s="1450"/>
      <c r="K547" s="1450"/>
      <c r="L547" s="1450"/>
    </row>
    <row r="548" spans="2:12" hidden="1" outlineLevel="1" x14ac:dyDescent="0.35">
      <c r="B548" s="1450"/>
      <c r="C548" s="1451"/>
      <c r="D548" s="1013"/>
      <c r="E548" s="1013"/>
      <c r="F548" s="1450"/>
      <c r="G548" s="1450"/>
      <c r="H548" s="1450"/>
      <c r="I548" s="1450"/>
      <c r="J548" s="1450"/>
      <c r="K548" s="1450"/>
      <c r="L548" s="1450"/>
    </row>
    <row r="549" spans="2:12" hidden="1" outlineLevel="1" x14ac:dyDescent="0.35">
      <c r="B549" s="1450"/>
      <c r="C549" s="1451"/>
      <c r="D549" s="1013"/>
      <c r="E549" s="1013"/>
      <c r="F549" s="1450"/>
      <c r="G549" s="1450"/>
      <c r="H549" s="1450"/>
      <c r="I549" s="1450"/>
      <c r="J549" s="1450"/>
      <c r="K549" s="1450"/>
      <c r="L549" s="1450"/>
    </row>
    <row r="550" spans="2:12" hidden="1" outlineLevel="1" x14ac:dyDescent="0.35">
      <c r="B550" s="1450"/>
      <c r="C550" s="1451"/>
      <c r="D550" s="1013"/>
      <c r="E550" s="1013"/>
      <c r="F550" s="1450"/>
      <c r="G550" s="1450"/>
      <c r="H550" s="1450"/>
      <c r="I550" s="1450"/>
      <c r="J550" s="1450"/>
      <c r="K550" s="1450"/>
      <c r="L550" s="1450"/>
    </row>
    <row r="551" spans="2:12" hidden="1" outlineLevel="1" x14ac:dyDescent="0.35">
      <c r="B551" s="1450"/>
      <c r="C551" s="1451"/>
      <c r="D551" s="1013"/>
      <c r="E551" s="1013"/>
      <c r="F551" s="1450"/>
      <c r="G551" s="1450"/>
      <c r="H551" s="1450"/>
      <c r="I551" s="1450"/>
      <c r="J551" s="1450"/>
      <c r="K551" s="1450"/>
      <c r="L551" s="1450"/>
    </row>
    <row r="552" spans="2:12" hidden="1" outlineLevel="1" x14ac:dyDescent="0.35">
      <c r="B552" s="1450"/>
      <c r="C552" s="1451"/>
      <c r="D552" s="1013"/>
      <c r="E552" s="1013"/>
      <c r="F552" s="1450"/>
      <c r="G552" s="1450"/>
      <c r="H552" s="1450"/>
      <c r="I552" s="1450"/>
      <c r="J552" s="1450"/>
      <c r="K552" s="1450"/>
      <c r="L552" s="1450"/>
    </row>
    <row r="553" spans="2:12" hidden="1" outlineLevel="1" x14ac:dyDescent="0.35">
      <c r="B553" s="1450"/>
      <c r="C553" s="1451"/>
      <c r="D553" s="1013"/>
      <c r="E553" s="1013"/>
      <c r="F553" s="1450"/>
      <c r="G553" s="1450"/>
      <c r="H553" s="1450"/>
      <c r="I553" s="1450"/>
      <c r="J553" s="1450"/>
      <c r="K553" s="1450"/>
      <c r="L553" s="1450"/>
    </row>
    <row r="554" spans="2:12" hidden="1" outlineLevel="1" x14ac:dyDescent="0.35">
      <c r="B554" s="1450"/>
      <c r="C554" s="1451"/>
      <c r="D554" s="1013"/>
      <c r="E554" s="1013"/>
      <c r="F554" s="1450"/>
      <c r="G554" s="1450"/>
      <c r="H554" s="1450"/>
      <c r="I554" s="1450"/>
      <c r="J554" s="1450"/>
      <c r="K554" s="1450"/>
      <c r="L554" s="1450"/>
    </row>
    <row r="555" spans="2:12" hidden="1" outlineLevel="1" x14ac:dyDescent="0.35">
      <c r="B555" s="1450"/>
      <c r="C555" s="1451"/>
      <c r="D555" s="1013"/>
      <c r="E555" s="1013"/>
      <c r="F555" s="1450"/>
      <c r="G555" s="1450"/>
      <c r="H555" s="1450"/>
      <c r="I555" s="1450"/>
      <c r="J555" s="1450"/>
      <c r="K555" s="1450"/>
      <c r="L555" s="1450"/>
    </row>
    <row r="556" spans="2:12" hidden="1" outlineLevel="1" x14ac:dyDescent="0.35">
      <c r="B556" s="1450"/>
      <c r="C556" s="1451"/>
      <c r="D556" s="1013"/>
      <c r="E556" s="1013"/>
      <c r="F556" s="1450"/>
      <c r="G556" s="1450"/>
      <c r="H556" s="1450"/>
      <c r="I556" s="1450"/>
      <c r="J556" s="1450"/>
      <c r="K556" s="1450"/>
      <c r="L556" s="1450"/>
    </row>
    <row r="557" spans="2:12" hidden="1" outlineLevel="1" x14ac:dyDescent="0.35">
      <c r="B557" s="1450"/>
      <c r="C557" s="1451"/>
      <c r="D557" s="157" t="s">
        <v>339</v>
      </c>
      <c r="E557" s="157"/>
      <c r="G557" s="282" t="s">
        <v>340</v>
      </c>
      <c r="H557" s="1450"/>
      <c r="I557" s="1450"/>
      <c r="J557" s="1450"/>
      <c r="K557" s="1450"/>
      <c r="L557" s="1450"/>
    </row>
    <row r="558" spans="2:12" hidden="1" outlineLevel="1" x14ac:dyDescent="0.35">
      <c r="B558" s="1450"/>
      <c r="C558" s="1451"/>
      <c r="D558" s="1013"/>
      <c r="E558" s="1013"/>
      <c r="F558" s="1450"/>
      <c r="G558" s="1450"/>
      <c r="H558" s="1450"/>
      <c r="I558" s="1450"/>
      <c r="J558" s="1450"/>
      <c r="K558" s="1450"/>
      <c r="L558" s="1450"/>
    </row>
    <row r="559" spans="2:12" hidden="1" outlineLevel="1" x14ac:dyDescent="0.35">
      <c r="B559" s="1450"/>
      <c r="C559" s="1451"/>
      <c r="D559" s="1013"/>
      <c r="E559" s="1013"/>
      <c r="F559" s="1450"/>
      <c r="G559" s="1450"/>
      <c r="H559" s="1450"/>
      <c r="I559" s="1450"/>
      <c r="J559" s="1450"/>
      <c r="K559" s="1450"/>
      <c r="L559" s="1450"/>
    </row>
    <row r="560" spans="2:12" hidden="1" outlineLevel="1" x14ac:dyDescent="0.35">
      <c r="B560" s="1450"/>
      <c r="C560" s="1451"/>
      <c r="D560" s="1013"/>
      <c r="E560" s="1013"/>
      <c r="F560" s="1450"/>
      <c r="G560" s="1450"/>
      <c r="H560" s="1450"/>
      <c r="I560" s="1450"/>
      <c r="J560" s="1450"/>
      <c r="K560" s="1450"/>
      <c r="L560" s="1450"/>
    </row>
    <row r="561" spans="1:54" hidden="1" outlineLevel="1" x14ac:dyDescent="0.35">
      <c r="B561" s="1450"/>
      <c r="C561" s="1451"/>
      <c r="D561" s="1013"/>
      <c r="E561" s="1013"/>
      <c r="F561" s="1450"/>
      <c r="G561" s="1450"/>
      <c r="H561" s="1450"/>
      <c r="I561" s="1450"/>
      <c r="J561" s="1450"/>
      <c r="K561" s="1450"/>
      <c r="L561" s="1450"/>
    </row>
    <row r="562" spans="1:54" hidden="1" outlineLevel="1" x14ac:dyDescent="0.35">
      <c r="B562" s="1450"/>
      <c r="C562" s="1451"/>
      <c r="D562" s="1013"/>
      <c r="E562" s="1013"/>
      <c r="F562" s="1450"/>
      <c r="G562" s="1450"/>
      <c r="H562" s="1450"/>
      <c r="I562" s="1450"/>
      <c r="J562" s="1450"/>
      <c r="K562" s="1450"/>
      <c r="L562" s="1450"/>
    </row>
    <row r="563" spans="1:54" hidden="1" outlineLevel="1" x14ac:dyDescent="0.35">
      <c r="B563" s="1450"/>
      <c r="C563" s="1451"/>
      <c r="D563" s="1013"/>
      <c r="E563" s="1013"/>
      <c r="F563" s="1450"/>
      <c r="G563" s="1450"/>
      <c r="H563" s="1450"/>
      <c r="I563" s="1450"/>
      <c r="J563" s="1450"/>
      <c r="K563" s="1450"/>
      <c r="L563" s="1450"/>
    </row>
    <row r="564" spans="1:54" hidden="1" outlineLevel="1" x14ac:dyDescent="0.35">
      <c r="B564" s="1450"/>
      <c r="C564" s="1451"/>
      <c r="D564" s="1013"/>
      <c r="E564" s="1013"/>
      <c r="F564" s="1450"/>
      <c r="G564" s="1450"/>
      <c r="H564" s="1450"/>
      <c r="I564" s="1450"/>
      <c r="J564" s="1450"/>
      <c r="K564" s="1450"/>
      <c r="L564" s="1450"/>
    </row>
    <row r="565" spans="1:54" ht="10.5" hidden="1" customHeight="1" outlineLevel="1" x14ac:dyDescent="0.35">
      <c r="B565" s="1450"/>
      <c r="C565" s="1451"/>
      <c r="D565" s="1013"/>
      <c r="E565" s="1013"/>
      <c r="F565" s="1450"/>
      <c r="G565" s="1450"/>
      <c r="H565" s="1450"/>
      <c r="I565" s="1450"/>
      <c r="J565" s="1450"/>
      <c r="K565" s="1450"/>
      <c r="L565" s="1450"/>
    </row>
    <row r="566" spans="1:54" ht="15" hidden="1" customHeight="1" outlineLevel="1" x14ac:dyDescent="0.35">
      <c r="B566" s="1450"/>
      <c r="C566" s="1451"/>
      <c r="D566" s="2423" t="s">
        <v>108</v>
      </c>
      <c r="E566" s="2423" t="s">
        <v>109</v>
      </c>
      <c r="F566" s="2331" t="s">
        <v>111</v>
      </c>
      <c r="G566" s="4538" t="s">
        <v>186</v>
      </c>
      <c r="H566" s="4539"/>
      <c r="I566" s="1450"/>
      <c r="J566" s="1450"/>
      <c r="K566" s="1450"/>
      <c r="L566" s="1450"/>
      <c r="V566" s="1572" t="s">
        <v>44</v>
      </c>
      <c r="W566" s="1573">
        <f>W$6</f>
        <v>43252</v>
      </c>
      <c r="X566" s="1573">
        <f t="shared" ref="X566:AG566" si="118">X$6</f>
        <v>43465</v>
      </c>
      <c r="Y566" s="1573">
        <f t="shared" si="118"/>
        <v>43800</v>
      </c>
      <c r="Z566" s="1573">
        <f t="shared" si="118"/>
        <v>43862</v>
      </c>
      <c r="AA566" s="1573">
        <f t="shared" si="118"/>
        <v>44013</v>
      </c>
      <c r="AB566" s="1573">
        <f t="shared" si="118"/>
        <v>44166</v>
      </c>
      <c r="AC566" s="1573">
        <f t="shared" si="118"/>
        <v>44531</v>
      </c>
      <c r="AD566" s="1573">
        <f t="shared" si="118"/>
        <v>44774</v>
      </c>
      <c r="AE566" s="1573" t="str">
        <f t="shared" si="118"/>
        <v>-</v>
      </c>
      <c r="AF566" s="1573" t="str">
        <f t="shared" si="118"/>
        <v>-</v>
      </c>
      <c r="AG566" s="1573" t="str">
        <f t="shared" si="118"/>
        <v>-</v>
      </c>
    </row>
    <row r="567" spans="1:54" ht="15" hidden="1" customHeight="1" outlineLevel="1" x14ac:dyDescent="0.35">
      <c r="B567" s="1450"/>
      <c r="C567" s="1451"/>
      <c r="D567" s="2335" t="s">
        <v>343</v>
      </c>
      <c r="E567" s="2335" t="s">
        <v>344</v>
      </c>
      <c r="F567" s="2632">
        <v>22000</v>
      </c>
      <c r="G567" s="3786" t="s">
        <v>345</v>
      </c>
      <c r="H567" s="3786"/>
      <c r="I567" s="1450"/>
      <c r="J567" s="1450"/>
      <c r="K567" s="1450"/>
      <c r="L567" s="1450"/>
      <c r="V567" s="2335" t="s">
        <v>343</v>
      </c>
      <c r="W567" s="2525"/>
      <c r="X567" s="2526"/>
      <c r="Y567" s="2471"/>
      <c r="Z567" s="2471"/>
      <c r="AA567" s="2471"/>
      <c r="AB567" s="2471"/>
      <c r="AC567" s="2302">
        <v>22000</v>
      </c>
      <c r="AD567" s="2632">
        <v>22000</v>
      </c>
      <c r="AE567" s="419"/>
      <c r="AF567" s="419"/>
      <c r="AG567" s="419"/>
    </row>
    <row r="568" spans="1:54" ht="15" hidden="1" customHeight="1" outlineLevel="1" x14ac:dyDescent="0.35">
      <c r="B568" s="1450"/>
      <c r="C568" s="1451"/>
      <c r="D568" s="2335" t="s">
        <v>346</v>
      </c>
      <c r="E568" s="2335" t="s">
        <v>347</v>
      </c>
      <c r="F568" s="2632">
        <v>2</v>
      </c>
      <c r="G568" s="3786" t="s">
        <v>345</v>
      </c>
      <c r="H568" s="3786"/>
      <c r="I568" s="1450"/>
      <c r="J568" s="1450"/>
      <c r="K568" s="1450"/>
      <c r="L568" s="1450"/>
      <c r="V568" s="2335" t="s">
        <v>346</v>
      </c>
      <c r="W568" s="2525"/>
      <c r="X568" s="2526"/>
      <c r="Y568" s="2471"/>
      <c r="Z568" s="2471"/>
      <c r="AA568" s="2471"/>
      <c r="AB568" s="2471"/>
      <c r="AC568" s="2302">
        <v>2</v>
      </c>
      <c r="AD568" s="2632">
        <v>2</v>
      </c>
      <c r="AE568" s="419"/>
      <c r="AF568" s="419"/>
      <c r="AG568" s="419"/>
    </row>
    <row r="569" spans="1:54" ht="15" hidden="1" customHeight="1" outlineLevel="1" x14ac:dyDescent="0.35">
      <c r="B569" s="1450"/>
      <c r="C569" s="1451"/>
      <c r="D569" s="2335" t="s">
        <v>348</v>
      </c>
      <c r="E569" s="2335" t="s">
        <v>349</v>
      </c>
      <c r="F569" s="2633">
        <v>4.5999999999999996</v>
      </c>
      <c r="G569" s="3786" t="s">
        <v>350</v>
      </c>
      <c r="H569" s="3786"/>
      <c r="I569" s="1450"/>
      <c r="J569" s="1450"/>
      <c r="K569" s="1450"/>
      <c r="L569" s="1450"/>
      <c r="V569" s="2335" t="s">
        <v>348</v>
      </c>
      <c r="W569" s="2525"/>
      <c r="X569" s="2526"/>
      <c r="Y569" s="2471"/>
      <c r="Z569" s="2471"/>
      <c r="AA569" s="2471"/>
      <c r="AB569" s="2471"/>
      <c r="AC569" s="2303">
        <v>4.5999999999999996</v>
      </c>
      <c r="AD569" s="2633">
        <v>4.5999999999999996</v>
      </c>
      <c r="AE569" s="419"/>
      <c r="AF569" s="419"/>
      <c r="AG569" s="419"/>
    </row>
    <row r="570" spans="1:54" ht="15" hidden="1" customHeight="1" outlineLevel="1" x14ac:dyDescent="0.35">
      <c r="B570" s="1450"/>
      <c r="C570" s="1451"/>
      <c r="D570" s="2335" t="s">
        <v>351</v>
      </c>
      <c r="E570" s="2335" t="s">
        <v>352</v>
      </c>
      <c r="F570" s="2633">
        <v>6.31</v>
      </c>
      <c r="G570" s="3786" t="s">
        <v>353</v>
      </c>
      <c r="H570" s="3786"/>
      <c r="I570" s="1450"/>
      <c r="J570" s="1450"/>
      <c r="K570" s="1450"/>
      <c r="L570" s="1450"/>
      <c r="V570" s="2335" t="s">
        <v>351</v>
      </c>
      <c r="W570" s="2525"/>
      <c r="X570" s="2526"/>
      <c r="Y570" s="2471"/>
      <c r="Z570" s="2471"/>
      <c r="AA570" s="2471"/>
      <c r="AB570" s="2471"/>
      <c r="AC570" s="2303">
        <v>6.31</v>
      </c>
      <c r="AD570" s="2633">
        <v>6.31</v>
      </c>
      <c r="AE570" s="419"/>
      <c r="AF570" s="419"/>
      <c r="AG570" s="419"/>
    </row>
    <row r="571" spans="1:54" ht="15" hidden="1" customHeight="1" outlineLevel="1" x14ac:dyDescent="0.35">
      <c r="B571" s="1450"/>
      <c r="C571" s="1451"/>
      <c r="D571" s="2335" t="s">
        <v>354</v>
      </c>
      <c r="E571" s="2335" t="s">
        <v>355</v>
      </c>
      <c r="F571" s="2633">
        <v>2.2999999999999998</v>
      </c>
      <c r="G571" s="3786" t="s">
        <v>356</v>
      </c>
      <c r="H571" s="3786"/>
      <c r="I571" s="1450"/>
      <c r="J571" s="1450"/>
      <c r="K571" s="1450"/>
      <c r="L571" s="1450"/>
      <c r="V571" s="2335" t="s">
        <v>354</v>
      </c>
      <c r="W571" s="2525"/>
      <c r="X571" s="2526"/>
      <c r="Y571" s="2471"/>
      <c r="Z571" s="2471"/>
      <c r="AA571" s="2471"/>
      <c r="AB571" s="2471"/>
      <c r="AC571" s="2303">
        <v>2.2999999999999998</v>
      </c>
      <c r="AD571" s="2633">
        <v>2.2999999999999998</v>
      </c>
      <c r="AE571" s="419"/>
      <c r="AF571" s="419"/>
      <c r="AG571" s="419"/>
    </row>
    <row r="572" spans="1:54" s="398" customFormat="1" ht="16.5" hidden="1" outlineLevel="1" x14ac:dyDescent="0.35">
      <c r="A572" s="486"/>
      <c r="B572" s="1464"/>
      <c r="C572" s="1465"/>
      <c r="D572" s="2352" t="s">
        <v>4354</v>
      </c>
      <c r="E572" s="2352" t="s">
        <v>2405</v>
      </c>
      <c r="F572" s="2419">
        <v>121.6</v>
      </c>
      <c r="G572" s="3804" t="s">
        <v>2406</v>
      </c>
      <c r="H572" s="3804"/>
      <c r="I572" s="1464"/>
      <c r="J572" s="1464"/>
      <c r="K572" s="1464"/>
      <c r="L572" s="1464"/>
      <c r="M572" s="486"/>
      <c r="N572" s="486"/>
      <c r="O572" s="486"/>
      <c r="P572" s="486"/>
      <c r="Q572" s="486"/>
      <c r="R572" s="486"/>
      <c r="S572" s="486"/>
      <c r="T572" s="486"/>
      <c r="U572" s="486"/>
      <c r="V572" s="2414" t="str">
        <f>D572</f>
        <v>Daysoper</v>
      </c>
      <c r="W572" s="429">
        <v>121.6</v>
      </c>
      <c r="X572" s="429">
        <v>121.6</v>
      </c>
      <c r="Y572" s="429">
        <v>121.6</v>
      </c>
      <c r="Z572" s="429">
        <v>121.6</v>
      </c>
      <c r="AA572" s="429">
        <v>121.6</v>
      </c>
      <c r="AB572" s="429">
        <v>121.6</v>
      </c>
      <c r="AC572" s="2419">
        <v>121.6</v>
      </c>
      <c r="AD572" s="3261">
        <v>121.6</v>
      </c>
      <c r="AE572" s="429"/>
      <c r="AF572" s="429"/>
      <c r="AG572" s="429"/>
      <c r="AH572"/>
      <c r="AI572"/>
      <c r="AJ572"/>
      <c r="BB572" s="1039"/>
    </row>
    <row r="573" spans="1:54" s="398" customFormat="1" ht="31.5" hidden="1" customHeight="1" outlineLevel="1" x14ac:dyDescent="0.35">
      <c r="A573" s="486"/>
      <c r="B573" s="1464"/>
      <c r="C573" s="1465"/>
      <c r="D573" s="2706" t="s">
        <v>4345</v>
      </c>
      <c r="E573" s="2707" t="s">
        <v>358</v>
      </c>
      <c r="F573" s="2708">
        <v>11.4</v>
      </c>
      <c r="G573" s="4521" t="s">
        <v>2406</v>
      </c>
      <c r="H573" s="4521"/>
      <c r="I573" s="1464"/>
      <c r="J573" s="1464"/>
      <c r="K573" s="1464"/>
      <c r="L573" s="1464"/>
      <c r="M573" s="486"/>
      <c r="N573" s="486"/>
      <c r="O573" s="486"/>
      <c r="P573" s="486"/>
      <c r="Q573" s="486"/>
      <c r="R573" s="486"/>
      <c r="S573" s="486"/>
      <c r="T573" s="486"/>
      <c r="U573" s="486"/>
      <c r="V573" s="2414" t="str">
        <f t="shared" ref="V573:V585" si="119">D573</f>
        <v>RTss</v>
      </c>
      <c r="W573" s="419">
        <v>11.4</v>
      </c>
      <c r="X573" s="419">
        <v>11.4</v>
      </c>
      <c r="Y573" s="419">
        <v>11.4</v>
      </c>
      <c r="Z573" s="419">
        <v>11.4</v>
      </c>
      <c r="AA573" s="419">
        <v>11.4</v>
      </c>
      <c r="AB573" s="419">
        <v>11.4</v>
      </c>
      <c r="AC573" s="2433"/>
      <c r="AD573" s="3272"/>
      <c r="AE573" s="419"/>
      <c r="AF573" s="419"/>
      <c r="AG573" s="419"/>
      <c r="AH573"/>
      <c r="AI573"/>
      <c r="AJ573"/>
      <c r="BB573" s="1039"/>
    </row>
    <row r="574" spans="1:54" s="398" customFormat="1" ht="31.5" hidden="1" customHeight="1" outlineLevel="1" x14ac:dyDescent="0.35">
      <c r="A574" s="486"/>
      <c r="B574" s="1464"/>
      <c r="C574" s="1465"/>
      <c r="D574" s="2706" t="s">
        <v>4346</v>
      </c>
      <c r="E574" s="2709" t="s">
        <v>362</v>
      </c>
      <c r="F574" s="2708">
        <v>64.400000000000006</v>
      </c>
      <c r="G574" s="4521" t="s">
        <v>2406</v>
      </c>
      <c r="H574" s="4521"/>
      <c r="I574" s="1464"/>
      <c r="J574" s="1464"/>
      <c r="K574" s="1464"/>
      <c r="L574" s="1464"/>
      <c r="M574" s="486"/>
      <c r="N574" s="486"/>
      <c r="O574" s="486"/>
      <c r="P574" s="486"/>
      <c r="Q574" s="486"/>
      <c r="R574" s="486"/>
      <c r="S574" s="486"/>
      <c r="T574" s="486"/>
      <c r="U574" s="486"/>
      <c r="V574" s="2414" t="str">
        <f t="shared" si="119"/>
        <v>GPMss</v>
      </c>
      <c r="W574" s="419">
        <v>64.400000000000006</v>
      </c>
      <c r="X574" s="419">
        <v>64.400000000000006</v>
      </c>
      <c r="Y574" s="419">
        <v>64.400000000000006</v>
      </c>
      <c r="Z574" s="419">
        <v>64.400000000000006</v>
      </c>
      <c r="AA574" s="419">
        <v>64.400000000000006</v>
      </c>
      <c r="AB574" s="419">
        <v>64.400000000000006</v>
      </c>
      <c r="AC574" s="2433"/>
      <c r="AD574" s="3272"/>
      <c r="AE574" s="419"/>
      <c r="AF574" s="419"/>
      <c r="AG574" s="419"/>
      <c r="AH574"/>
      <c r="AI574"/>
      <c r="AJ574"/>
      <c r="BB574" s="1039"/>
    </row>
    <row r="575" spans="1:54" s="398" customFormat="1" ht="36" hidden="1" customHeight="1" outlineLevel="1" x14ac:dyDescent="0.35">
      <c r="A575" s="486"/>
      <c r="B575" s="1464"/>
      <c r="C575" s="1465"/>
      <c r="D575" s="2706" t="s">
        <v>4347</v>
      </c>
      <c r="E575" s="2707" t="s">
        <v>2407</v>
      </c>
      <c r="F575" s="2710">
        <v>2</v>
      </c>
      <c r="G575" s="4521" t="s">
        <v>2406</v>
      </c>
      <c r="H575" s="4521"/>
      <c r="I575" s="1464"/>
      <c r="J575" s="1464"/>
      <c r="K575" s="1464"/>
      <c r="L575" s="1464"/>
      <c r="M575" s="486"/>
      <c r="N575" s="486"/>
      <c r="O575" s="486"/>
      <c r="P575" s="486"/>
      <c r="Q575" s="486"/>
      <c r="R575" s="486"/>
      <c r="S575" s="486"/>
      <c r="T575" s="486"/>
      <c r="U575" s="486"/>
      <c r="V575" s="2414" t="str">
        <f t="shared" si="119"/>
        <v>RThs</v>
      </c>
      <c r="W575" s="295">
        <v>2</v>
      </c>
      <c r="X575" s="295">
        <v>2</v>
      </c>
      <c r="Y575" s="295">
        <v>2</v>
      </c>
      <c r="Z575" s="295">
        <v>2</v>
      </c>
      <c r="AA575" s="295">
        <v>2</v>
      </c>
      <c r="AB575" s="295">
        <v>2</v>
      </c>
      <c r="AC575" s="2434"/>
      <c r="AD575" s="3273"/>
      <c r="AE575" s="295"/>
      <c r="AF575" s="295"/>
      <c r="AG575" s="295"/>
      <c r="AH575"/>
      <c r="AI575"/>
      <c r="AJ575"/>
      <c r="BB575" s="1039"/>
    </row>
    <row r="576" spans="1:54" s="398" customFormat="1" ht="16.5" hidden="1" outlineLevel="1" x14ac:dyDescent="0.35">
      <c r="A576" s="486"/>
      <c r="B576" s="1464"/>
      <c r="C576" s="1465"/>
      <c r="D576" s="2706" t="s">
        <v>4348</v>
      </c>
      <c r="E576" s="2707" t="s">
        <v>2408</v>
      </c>
      <c r="F576" s="2710">
        <v>50</v>
      </c>
      <c r="G576" s="4521" t="s">
        <v>2406</v>
      </c>
      <c r="H576" s="4521"/>
      <c r="I576" s="1464"/>
      <c r="J576" s="1464"/>
      <c r="K576" s="1464"/>
      <c r="L576" s="1464"/>
      <c r="M576" s="486"/>
      <c r="N576" s="486"/>
      <c r="O576" s="486"/>
      <c r="P576" s="486"/>
      <c r="Q576" s="486"/>
      <c r="R576" s="486"/>
      <c r="S576" s="486"/>
      <c r="T576" s="486"/>
      <c r="U576" s="486"/>
      <c r="V576" s="2414" t="str">
        <f t="shared" si="119"/>
        <v>GPMhs</v>
      </c>
      <c r="W576" s="295">
        <v>50</v>
      </c>
      <c r="X576" s="295">
        <v>50</v>
      </c>
      <c r="Y576" s="295">
        <v>50</v>
      </c>
      <c r="Z576" s="295">
        <v>50</v>
      </c>
      <c r="AA576" s="295">
        <v>50</v>
      </c>
      <c r="AB576" s="295">
        <v>50</v>
      </c>
      <c r="AC576" s="2434"/>
      <c r="AD576" s="3273"/>
      <c r="AE576" s="295"/>
      <c r="AF576" s="295"/>
      <c r="AG576" s="295"/>
      <c r="AH576"/>
      <c r="AI576"/>
      <c r="AJ576"/>
      <c r="BB576" s="1039"/>
    </row>
    <row r="577" spans="1:57" s="398" customFormat="1" ht="16.5" hidden="1" outlineLevel="1" x14ac:dyDescent="0.35">
      <c r="A577" s="486"/>
      <c r="B577" s="1464"/>
      <c r="C577" s="1465"/>
      <c r="D577" s="2706" t="s">
        <v>4349</v>
      </c>
      <c r="E577" s="2707" t="s">
        <v>2409</v>
      </c>
      <c r="F577" s="2710">
        <v>10</v>
      </c>
      <c r="G577" s="4521" t="s">
        <v>2406</v>
      </c>
      <c r="H577" s="4521"/>
      <c r="I577" s="1464"/>
      <c r="J577" s="1464"/>
      <c r="K577" s="1464"/>
      <c r="L577" s="1464"/>
      <c r="M577" s="486"/>
      <c r="N577" s="486"/>
      <c r="O577" s="486"/>
      <c r="P577" s="486"/>
      <c r="Q577" s="486"/>
      <c r="R577" s="486"/>
      <c r="S577" s="486"/>
      <c r="T577" s="486"/>
      <c r="U577" s="486"/>
      <c r="V577" s="2414" t="str">
        <f t="shared" si="119"/>
        <v>RTls</v>
      </c>
      <c r="W577" s="295">
        <v>10</v>
      </c>
      <c r="X577" s="295">
        <v>10</v>
      </c>
      <c r="Y577" s="295">
        <v>10</v>
      </c>
      <c r="Z577" s="295">
        <v>10</v>
      </c>
      <c r="AA577" s="295">
        <v>10</v>
      </c>
      <c r="AB577" s="295">
        <v>10</v>
      </c>
      <c r="AC577" s="2434"/>
      <c r="AD577" s="3273"/>
      <c r="AE577" s="295"/>
      <c r="AF577" s="295"/>
      <c r="AG577" s="295"/>
      <c r="AH577"/>
      <c r="AI577"/>
      <c r="AJ577"/>
      <c r="BB577" s="1039"/>
    </row>
    <row r="578" spans="1:57" s="398" customFormat="1" ht="16.5" hidden="1" outlineLevel="1" x14ac:dyDescent="0.35">
      <c r="A578" s="486"/>
      <c r="B578" s="1464"/>
      <c r="C578" s="1465"/>
      <c r="D578" s="2706" t="s">
        <v>4350</v>
      </c>
      <c r="E578" s="2707" t="s">
        <v>2410</v>
      </c>
      <c r="F578" s="2710">
        <v>30.6</v>
      </c>
      <c r="G578" s="4521" t="s">
        <v>2406</v>
      </c>
      <c r="H578" s="4521"/>
      <c r="I578" s="1464"/>
      <c r="J578" s="1464"/>
      <c r="K578" s="1464"/>
      <c r="L578" s="1464"/>
      <c r="M578" s="486"/>
      <c r="N578" s="486"/>
      <c r="O578" s="486"/>
      <c r="P578" s="486"/>
      <c r="Q578" s="486"/>
      <c r="R578" s="486"/>
      <c r="S578" s="486"/>
      <c r="T578" s="486"/>
      <c r="U578" s="486"/>
      <c r="V578" s="2414" t="str">
        <f t="shared" si="119"/>
        <v>GPMls</v>
      </c>
      <c r="W578" s="295">
        <v>30.6</v>
      </c>
      <c r="X578" s="295">
        <v>30.6</v>
      </c>
      <c r="Y578" s="295">
        <v>30.6</v>
      </c>
      <c r="Z578" s="295">
        <v>30.6</v>
      </c>
      <c r="AA578" s="295">
        <v>30.6</v>
      </c>
      <c r="AB578" s="295">
        <v>30.6</v>
      </c>
      <c r="AC578" s="2434"/>
      <c r="AD578" s="3273"/>
      <c r="AE578" s="295"/>
      <c r="AF578" s="295"/>
      <c r="AG578" s="295"/>
      <c r="AH578"/>
      <c r="AI578"/>
      <c r="AJ578"/>
      <c r="BB578" s="1039"/>
    </row>
    <row r="579" spans="1:57" s="398" customFormat="1" hidden="1" outlineLevel="1" x14ac:dyDescent="0.35">
      <c r="A579" s="486"/>
      <c r="B579" s="1464"/>
      <c r="C579" s="1465"/>
      <c r="D579" s="2706">
        <v>60</v>
      </c>
      <c r="E579" s="2709" t="s">
        <v>2411</v>
      </c>
      <c r="F579" s="2711">
        <v>60</v>
      </c>
      <c r="G579" s="4521" t="s">
        <v>2406</v>
      </c>
      <c r="H579" s="4521"/>
      <c r="I579" s="1464"/>
      <c r="J579" s="1464"/>
      <c r="K579" s="1464"/>
      <c r="L579" s="1464"/>
      <c r="M579" s="486"/>
      <c r="N579" s="486"/>
      <c r="O579" s="486"/>
      <c r="P579" s="486"/>
      <c r="Q579" s="486"/>
      <c r="R579" s="486"/>
      <c r="S579" s="486"/>
      <c r="T579" s="486"/>
      <c r="U579" s="486"/>
      <c r="V579" s="2414">
        <f t="shared" si="119"/>
        <v>60</v>
      </c>
      <c r="W579" s="444">
        <v>60</v>
      </c>
      <c r="X579" s="444">
        <v>60</v>
      </c>
      <c r="Y579" s="444">
        <v>60</v>
      </c>
      <c r="Z579" s="444">
        <v>60</v>
      </c>
      <c r="AA579" s="444">
        <v>60</v>
      </c>
      <c r="AB579" s="444">
        <v>60</v>
      </c>
      <c r="AC579" s="2435"/>
      <c r="AD579" s="3274"/>
      <c r="AE579" s="444"/>
      <c r="AF579" s="444"/>
      <c r="AG579" s="444"/>
      <c r="AH579"/>
      <c r="AI579"/>
      <c r="AJ579"/>
      <c r="BB579" s="1039"/>
    </row>
    <row r="580" spans="1:57" s="398" customFormat="1" ht="16.5" hidden="1" outlineLevel="1" x14ac:dyDescent="0.35">
      <c r="A580" s="486"/>
      <c r="B580" s="1464"/>
      <c r="C580" s="1465"/>
      <c r="D580" s="2706" t="s">
        <v>4351</v>
      </c>
      <c r="E580" s="2712" t="s">
        <v>366</v>
      </c>
      <c r="F580" s="2710">
        <v>2.1</v>
      </c>
      <c r="G580" s="4521" t="s">
        <v>2406</v>
      </c>
      <c r="H580" s="4521"/>
      <c r="I580" s="1464"/>
      <c r="J580" s="1464"/>
      <c r="K580" s="1464"/>
      <c r="L580" s="1464"/>
      <c r="M580" s="486"/>
      <c r="N580" s="486"/>
      <c r="O580" s="486"/>
      <c r="P580" s="486"/>
      <c r="Q580" s="486"/>
      <c r="R580" s="486"/>
      <c r="S580" s="486"/>
      <c r="T580" s="486"/>
      <c r="U580" s="486"/>
      <c r="V580" s="2414" t="str">
        <f t="shared" si="119"/>
        <v>EFss</v>
      </c>
      <c r="W580" s="295">
        <v>2.1</v>
      </c>
      <c r="X580" s="295">
        <v>2.1</v>
      </c>
      <c r="Y580" s="295">
        <v>2.1</v>
      </c>
      <c r="Z580" s="295">
        <v>2.1</v>
      </c>
      <c r="AA580" s="295">
        <v>2.1</v>
      </c>
      <c r="AB580" s="295">
        <v>2.1</v>
      </c>
      <c r="AC580" s="2434"/>
      <c r="AD580" s="3273"/>
      <c r="AE580" s="295"/>
      <c r="AF580" s="295"/>
      <c r="AG580" s="295"/>
      <c r="AH580"/>
      <c r="AI580"/>
      <c r="AJ580"/>
      <c r="BB580" s="1039"/>
    </row>
    <row r="581" spans="1:57" s="398" customFormat="1" ht="16.5" hidden="1" outlineLevel="1" x14ac:dyDescent="0.35">
      <c r="A581" s="486"/>
      <c r="B581" s="1464"/>
      <c r="C581" s="1465"/>
      <c r="D581" s="2706" t="s">
        <v>4352</v>
      </c>
      <c r="E581" s="2707" t="s">
        <v>2412</v>
      </c>
      <c r="F581" s="2710">
        <v>3.8</v>
      </c>
      <c r="G581" s="4521" t="s">
        <v>2406</v>
      </c>
      <c r="H581" s="4521"/>
      <c r="I581" s="1464"/>
      <c r="J581" s="1464"/>
      <c r="K581" s="1464"/>
      <c r="L581" s="1464"/>
      <c r="M581" s="486"/>
      <c r="N581" s="486"/>
      <c r="O581" s="486"/>
      <c r="P581" s="486"/>
      <c r="Q581" s="486"/>
      <c r="R581" s="486"/>
      <c r="S581" s="486"/>
      <c r="T581" s="486"/>
      <c r="U581" s="486"/>
      <c r="V581" s="2414" t="str">
        <f t="shared" si="119"/>
        <v>EFhs</v>
      </c>
      <c r="W581" s="295">
        <v>3.8</v>
      </c>
      <c r="X581" s="295">
        <v>3.8</v>
      </c>
      <c r="Y581" s="295">
        <v>3.8</v>
      </c>
      <c r="Z581" s="295">
        <v>3.8</v>
      </c>
      <c r="AA581" s="295">
        <v>3.8</v>
      </c>
      <c r="AB581" s="295">
        <v>3.8</v>
      </c>
      <c r="AC581" s="2434"/>
      <c r="AD581" s="3273"/>
      <c r="AE581" s="295"/>
      <c r="AF581" s="295"/>
      <c r="AG581" s="295"/>
      <c r="AH581"/>
      <c r="AI581"/>
      <c r="AJ581"/>
      <c r="BB581" s="1039"/>
    </row>
    <row r="582" spans="1:57" s="398" customFormat="1" ht="16.5" hidden="1" outlineLevel="1" x14ac:dyDescent="0.35">
      <c r="A582" s="486"/>
      <c r="B582" s="1464"/>
      <c r="C582" s="1465"/>
      <c r="D582" s="2706" t="s">
        <v>4353</v>
      </c>
      <c r="E582" s="2707" t="s">
        <v>2413</v>
      </c>
      <c r="F582" s="2710">
        <v>7.3</v>
      </c>
      <c r="G582" s="4521" t="s">
        <v>2406</v>
      </c>
      <c r="H582" s="4521"/>
      <c r="I582" s="1464"/>
      <c r="J582" s="1464"/>
      <c r="K582" s="1464"/>
      <c r="L582" s="1464"/>
      <c r="M582" s="486"/>
      <c r="N582" s="486"/>
      <c r="O582" s="486"/>
      <c r="P582" s="486"/>
      <c r="Q582" s="486"/>
      <c r="R582" s="486"/>
      <c r="S582" s="486"/>
      <c r="T582" s="486"/>
      <c r="U582" s="486"/>
      <c r="V582" s="2414" t="str">
        <f t="shared" si="119"/>
        <v>EFls</v>
      </c>
      <c r="W582" s="295">
        <v>7.3</v>
      </c>
      <c r="X582" s="295">
        <v>7.3</v>
      </c>
      <c r="Y582" s="295">
        <v>7.3</v>
      </c>
      <c r="Z582" s="295">
        <v>7.3</v>
      </c>
      <c r="AA582" s="295">
        <v>7.3</v>
      </c>
      <c r="AB582" s="295">
        <v>7.3</v>
      </c>
      <c r="AC582" s="2434"/>
      <c r="AD582" s="3273"/>
      <c r="AE582" s="295"/>
      <c r="AF582" s="295"/>
      <c r="AG582" s="295"/>
      <c r="AH582"/>
      <c r="AI582"/>
      <c r="AJ582"/>
      <c r="BB582" s="1039"/>
    </row>
    <row r="583" spans="1:57" s="398" customFormat="1" ht="28.9" hidden="1" customHeight="1" outlineLevel="1" x14ac:dyDescent="0.35">
      <c r="A583" s="486"/>
      <c r="B583" s="1464"/>
      <c r="C583" s="1465"/>
      <c r="D583" s="2352">
        <v>1000</v>
      </c>
      <c r="E583" s="2333" t="s">
        <v>1553</v>
      </c>
      <c r="F583" s="92">
        <v>1000</v>
      </c>
      <c r="G583" s="3804" t="s">
        <v>1554</v>
      </c>
      <c r="H583" s="3804"/>
      <c r="I583" s="1464"/>
      <c r="J583" s="1464"/>
      <c r="K583" s="1464"/>
      <c r="L583" s="1464"/>
      <c r="M583" s="486"/>
      <c r="N583" s="486"/>
      <c r="O583" s="486"/>
      <c r="P583" s="486"/>
      <c r="Q583" s="486"/>
      <c r="R583" s="486"/>
      <c r="S583" s="486"/>
      <c r="T583" s="486"/>
      <c r="U583" s="486"/>
      <c r="V583" s="2414">
        <f t="shared" si="119"/>
        <v>1000</v>
      </c>
      <c r="W583" s="295">
        <v>1000</v>
      </c>
      <c r="X583" s="295">
        <v>1000</v>
      </c>
      <c r="Y583" s="295">
        <v>1000</v>
      </c>
      <c r="Z583" s="295">
        <v>1000</v>
      </c>
      <c r="AA583" s="295">
        <v>1000</v>
      </c>
      <c r="AB583" s="295">
        <v>1000</v>
      </c>
      <c r="AC583" s="92">
        <v>1000</v>
      </c>
      <c r="AD583" s="92">
        <v>1000</v>
      </c>
      <c r="AE583" s="295"/>
      <c r="AF583" s="295"/>
      <c r="AG583" s="295"/>
      <c r="AH583"/>
      <c r="AI583"/>
      <c r="AJ583"/>
      <c r="BB583" s="1039"/>
    </row>
    <row r="584" spans="1:57" s="31" customFormat="1" ht="15" hidden="1" customHeight="1" outlineLevel="1" x14ac:dyDescent="0.35">
      <c r="A584" s="132"/>
      <c r="B584" s="132"/>
      <c r="C584" s="130"/>
      <c r="D584" s="271" t="str">
        <f>$D$34</f>
        <v>EUL</v>
      </c>
      <c r="E584" s="271" t="str">
        <f>$E$34</f>
        <v>End of Useful Life</v>
      </c>
      <c r="F584" s="317">
        <v>10</v>
      </c>
      <c r="G584" s="4522"/>
      <c r="H584" s="4522"/>
      <c r="I584" s="132"/>
      <c r="J584" s="132"/>
      <c r="K584" s="132"/>
      <c r="L584" s="132"/>
      <c r="M584" s="132"/>
      <c r="N584" s="132"/>
      <c r="O584" s="132"/>
      <c r="P584" s="132"/>
      <c r="Q584" s="132"/>
      <c r="R584" s="132"/>
      <c r="S584" s="132"/>
      <c r="T584" s="132"/>
      <c r="U584" s="132"/>
      <c r="V584" s="2335" t="str">
        <f t="shared" si="119"/>
        <v>EUL</v>
      </c>
      <c r="W584" s="317">
        <v>10</v>
      </c>
      <c r="X584" s="317">
        <v>10</v>
      </c>
      <c r="Y584" s="317">
        <v>10</v>
      </c>
      <c r="Z584" s="317">
        <v>10</v>
      </c>
      <c r="AA584" s="317">
        <v>10</v>
      </c>
      <c r="AB584" s="317">
        <v>10</v>
      </c>
      <c r="AC584" s="317">
        <v>10</v>
      </c>
      <c r="AD584" s="317">
        <v>10</v>
      </c>
      <c r="AE584" s="319"/>
      <c r="AF584" s="319"/>
      <c r="AG584" s="319"/>
      <c r="AU584" s="145"/>
      <c r="BB584" s="32"/>
    </row>
    <row r="585" spans="1:57" s="31" customFormat="1" ht="15" hidden="1" customHeight="1" outlineLevel="1" x14ac:dyDescent="0.35">
      <c r="A585" s="132"/>
      <c r="B585" s="132"/>
      <c r="C585" s="130"/>
      <c r="D585" s="3799" t="str">
        <f>$D$35</f>
        <v>Inc. Cost</v>
      </c>
      <c r="E585" s="3799" t="str">
        <f>$E$35</f>
        <v>Incremental Cost ($)</v>
      </c>
      <c r="F585" s="273">
        <v>314</v>
      </c>
      <c r="G585" s="3786" t="s">
        <v>371</v>
      </c>
      <c r="H585" s="3786"/>
      <c r="I585" s="132"/>
      <c r="J585" s="132"/>
      <c r="K585" s="132"/>
      <c r="L585" s="132"/>
      <c r="M585" s="132"/>
      <c r="N585" s="132"/>
      <c r="O585" s="132"/>
      <c r="P585" s="132"/>
      <c r="Q585" s="132"/>
      <c r="R585" s="132"/>
      <c r="S585" s="132"/>
      <c r="T585" s="132"/>
      <c r="U585" s="132"/>
      <c r="V585" s="2335" t="str">
        <f t="shared" si="119"/>
        <v>Inc. Cost</v>
      </c>
      <c r="W585" s="325">
        <v>549</v>
      </c>
      <c r="X585" s="989">
        <v>549</v>
      </c>
      <c r="Y585" s="989">
        <v>549</v>
      </c>
      <c r="Z585" s="989">
        <v>549</v>
      </c>
      <c r="AA585" s="989">
        <v>549</v>
      </c>
      <c r="AB585" s="989">
        <v>549</v>
      </c>
      <c r="AC585" s="1725">
        <v>314</v>
      </c>
      <c r="AD585" s="273">
        <v>314</v>
      </c>
      <c r="AE585" s="308"/>
      <c r="AF585" s="308"/>
      <c r="AG585" s="308"/>
      <c r="AU585" s="145"/>
      <c r="BB585" s="32"/>
    </row>
    <row r="586" spans="1:57" s="398" customFormat="1" hidden="1" outlineLevel="1" x14ac:dyDescent="0.35">
      <c r="A586" s="486"/>
      <c r="B586" s="1464"/>
      <c r="C586" s="1465"/>
      <c r="D586" s="3800"/>
      <c r="E586" s="3800"/>
      <c r="F586" s="273">
        <v>549</v>
      </c>
      <c r="G586" s="3786" t="s">
        <v>4198</v>
      </c>
      <c r="H586" s="3786"/>
      <c r="I586" s="1464"/>
      <c r="J586" s="1464"/>
      <c r="K586" s="1464"/>
      <c r="L586" s="1464"/>
      <c r="M586" s="486"/>
      <c r="N586" s="486"/>
      <c r="O586" s="486"/>
      <c r="P586" s="486"/>
      <c r="Q586" s="486"/>
      <c r="R586" s="486"/>
      <c r="S586" s="486"/>
      <c r="T586" s="486"/>
      <c r="U586" s="486"/>
      <c r="V586"/>
      <c r="W586"/>
      <c r="X586"/>
      <c r="Y586"/>
      <c r="Z586"/>
      <c r="AA586"/>
      <c r="AB586"/>
      <c r="AC586"/>
      <c r="AD586"/>
      <c r="AE586"/>
      <c r="AF586"/>
      <c r="AG586"/>
      <c r="AH586"/>
      <c r="AI586"/>
      <c r="AJ586"/>
      <c r="BB586" s="1039"/>
    </row>
    <row r="587" spans="1:57" s="398" customFormat="1" hidden="1" outlineLevel="1" x14ac:dyDescent="0.35">
      <c r="A587" s="486"/>
      <c r="B587" s="1464"/>
      <c r="C587" s="1465"/>
      <c r="D587" s="2613"/>
      <c r="E587" s="2613"/>
      <c r="F587" s="2614"/>
      <c r="G587" s="2615"/>
      <c r="H587" s="2615"/>
      <c r="I587" s="1464"/>
      <c r="J587" s="1464"/>
      <c r="K587" s="1464"/>
      <c r="L587" s="1464"/>
      <c r="M587" s="486"/>
      <c r="N587" s="486"/>
      <c r="O587" s="486"/>
      <c r="P587" s="486"/>
      <c r="Q587" s="486"/>
      <c r="R587" s="486"/>
      <c r="S587" s="486"/>
      <c r="T587" s="486"/>
      <c r="U587" s="486"/>
      <c r="V587"/>
      <c r="W587"/>
      <c r="X587"/>
      <c r="Y587"/>
      <c r="Z587"/>
      <c r="AA587"/>
      <c r="AB587"/>
      <c r="AC587"/>
      <c r="AD587"/>
      <c r="AE587"/>
      <c r="AF587"/>
      <c r="AG587"/>
      <c r="AH587"/>
      <c r="AI587"/>
      <c r="AJ587"/>
      <c r="BB587" s="1039"/>
    </row>
    <row r="588" spans="1:57" s="398" customFormat="1" collapsed="1" x14ac:dyDescent="0.35">
      <c r="A588" s="486"/>
      <c r="B588" s="1464"/>
      <c r="C588" s="1465"/>
      <c r="D588" s="945"/>
      <c r="E588" s="1475"/>
      <c r="F588" s="1476"/>
      <c r="G588" s="1475"/>
      <c r="H588" s="1464"/>
      <c r="I588" s="1464"/>
      <c r="J588" s="1464"/>
      <c r="K588" s="1464"/>
      <c r="L588" s="1464"/>
      <c r="M588" s="486"/>
      <c r="N588" s="486"/>
      <c r="O588" s="486"/>
      <c r="P588" s="486"/>
      <c r="Q588" s="486"/>
      <c r="R588" s="486"/>
      <c r="S588" s="486"/>
      <c r="T588" s="486"/>
      <c r="U588" s="486"/>
      <c r="V588"/>
      <c r="W588"/>
      <c r="X588"/>
      <c r="Y588"/>
      <c r="Z588"/>
      <c r="AA588"/>
      <c r="AB588"/>
      <c r="AC588"/>
      <c r="AD588"/>
      <c r="AE588"/>
      <c r="AF588"/>
      <c r="AG588"/>
      <c r="AH588"/>
      <c r="AI588"/>
      <c r="AJ588"/>
      <c r="BB588" s="1039"/>
    </row>
    <row r="589" spans="1:57" x14ac:dyDescent="0.35">
      <c r="B589" s="3664" t="s">
        <v>2067</v>
      </c>
      <c r="C589" s="3665"/>
      <c r="D589" s="3665"/>
      <c r="E589" s="3665"/>
      <c r="F589" s="3665"/>
      <c r="G589" s="3665"/>
      <c r="H589" s="3665"/>
      <c r="I589" s="3666"/>
      <c r="J589" s="3666"/>
      <c r="K589" s="3666"/>
      <c r="L589" s="3666"/>
      <c r="M589" s="3666"/>
      <c r="N589" s="3666"/>
      <c r="O589" s="3666"/>
      <c r="P589" s="3666"/>
      <c r="Q589" s="3667"/>
      <c r="R589" s="199"/>
      <c r="V589" s="3664" t="str">
        <f>B589</f>
        <v>Refrigerator</v>
      </c>
      <c r="W589" s="3665"/>
      <c r="X589" s="3665"/>
      <c r="Y589" s="3665"/>
      <c r="Z589" s="3665"/>
      <c r="AA589" s="3665"/>
      <c r="AB589" s="3665"/>
      <c r="AC589" s="3680"/>
      <c r="AD589" s="3680"/>
      <c r="AE589" s="3680"/>
      <c r="AF589" s="3680"/>
      <c r="AG589" s="3680"/>
      <c r="AH589" s="3680"/>
      <c r="AI589" s="3681"/>
    </row>
    <row r="590" spans="1:57" x14ac:dyDescent="0.35">
      <c r="O590" s="199"/>
      <c r="P590" s="199"/>
      <c r="Q590" s="199"/>
      <c r="R590" s="199"/>
    </row>
    <row r="591" spans="1:57" ht="29" x14ac:dyDescent="0.35">
      <c r="A591" s="199"/>
      <c r="B591" s="199"/>
      <c r="C591" s="2331" t="s">
        <v>27</v>
      </c>
      <c r="D591" s="2331" t="s">
        <v>174</v>
      </c>
      <c r="E591" s="2331" t="s">
        <v>29</v>
      </c>
      <c r="F591" s="2331" t="s">
        <v>30</v>
      </c>
      <c r="G591" s="2331" t="s">
        <v>175</v>
      </c>
      <c r="H591" s="2331" t="s">
        <v>176</v>
      </c>
      <c r="I591" s="2331" t="s">
        <v>31</v>
      </c>
      <c r="J591" s="2331" t="s">
        <v>180</v>
      </c>
      <c r="K591" s="2331" t="s">
        <v>169</v>
      </c>
      <c r="L591" s="2331" t="s">
        <v>43</v>
      </c>
      <c r="O591" s="199"/>
      <c r="P591" s="199"/>
      <c r="Q591" s="199"/>
      <c r="R591" s="199"/>
      <c r="V591" s="1572" t="s">
        <v>44</v>
      </c>
      <c r="W591" s="1573">
        <f>W$6</f>
        <v>43252</v>
      </c>
      <c r="X591" s="1573">
        <f t="shared" ref="X591:AG591" si="120">X$6</f>
        <v>43465</v>
      </c>
      <c r="Y591" s="1573">
        <f t="shared" si="120"/>
        <v>43800</v>
      </c>
      <c r="Z591" s="1573">
        <f t="shared" si="120"/>
        <v>43862</v>
      </c>
      <c r="AA591" s="1573">
        <f t="shared" si="120"/>
        <v>44013</v>
      </c>
      <c r="AB591" s="1573">
        <f t="shared" si="120"/>
        <v>44166</v>
      </c>
      <c r="AC591" s="1573">
        <f t="shared" si="120"/>
        <v>44531</v>
      </c>
      <c r="AD591" s="1573">
        <f t="shared" si="120"/>
        <v>44774</v>
      </c>
      <c r="AE591" s="1573" t="str">
        <f t="shared" si="120"/>
        <v>-</v>
      </c>
      <c r="AF591" s="1573" t="str">
        <f t="shared" si="120"/>
        <v>-</v>
      </c>
      <c r="AG591" s="1573" t="str">
        <f t="shared" si="120"/>
        <v>-</v>
      </c>
      <c r="BB591" s="1574" t="str">
        <f>$BB$6</f>
        <v>TRC (2022)</v>
      </c>
      <c r="BC591" s="1584" t="str">
        <f>$BC$6</f>
        <v>Benefit Lookup</v>
      </c>
      <c r="BD591" s="556" t="str">
        <f>$BD$6</f>
        <v>Benefits (2019 $)</v>
      </c>
      <c r="BE591" s="200" t="str">
        <f>$BE$6</f>
        <v>Incremental Cost (2019 $)</v>
      </c>
    </row>
    <row r="592" spans="1:57" x14ac:dyDescent="0.35">
      <c r="A592" s="199"/>
      <c r="B592" s="199"/>
      <c r="C592" s="50" t="s">
        <v>2414</v>
      </c>
      <c r="D592" s="395" t="s">
        <v>2254</v>
      </c>
      <c r="E592" s="2348" t="s">
        <v>2415</v>
      </c>
      <c r="F592" s="1432">
        <f>ROUND(F599-(F600*(1-F601)),2)</f>
        <v>564.66</v>
      </c>
      <c r="G592" s="124" t="s">
        <v>2070</v>
      </c>
      <c r="H592" s="136">
        <f>VLOOKUP(G592,'CP FACTORS'!$A$3:$B$38, 2, FALSE)</f>
        <v>1.286107E-4</v>
      </c>
      <c r="I592" s="1278">
        <f>ROUND(F592*H592,6)</f>
        <v>7.2621000000000005E-2</v>
      </c>
      <c r="J592" s="124">
        <f>F614</f>
        <v>6</v>
      </c>
      <c r="K592" s="1014">
        <f>F616</f>
        <v>753</v>
      </c>
      <c r="L592" s="1025" t="s">
        <v>184</v>
      </c>
      <c r="O592" s="486"/>
      <c r="P592" s="486"/>
      <c r="Q592" s="486"/>
      <c r="R592" s="486"/>
      <c r="V592" s="141" t="str">
        <f>F591</f>
        <v>kWh Annual Savings</v>
      </c>
      <c r="W592" s="1019">
        <v>564.66038920276219</v>
      </c>
      <c r="X592" s="1019">
        <v>564.66038920276219</v>
      </c>
      <c r="Y592" s="980">
        <v>564.66</v>
      </c>
      <c r="Z592" s="980">
        <v>564.66</v>
      </c>
      <c r="AA592" s="980">
        <v>564.66</v>
      </c>
      <c r="AB592" s="980">
        <v>564.66</v>
      </c>
      <c r="AC592" s="980">
        <v>564.66</v>
      </c>
      <c r="AD592" s="980">
        <v>564.66</v>
      </c>
      <c r="AE592" s="1019"/>
      <c r="AF592" s="1019"/>
      <c r="AG592" s="1019"/>
      <c r="BB592" s="1578">
        <f>(BD592+BD593)/(BE592+BE593)</f>
        <v>0.19025139719991366</v>
      </c>
      <c r="BC592" s="2381" t="str">
        <f>CONCATENATE(G592," ",J592," Year EUL")</f>
        <v>Refrigeration RES 6 Year EUL</v>
      </c>
      <c r="BD592" s="95">
        <f>(INDEX('Avoided Cost Benefits'!$E$4:$E$859,MATCH(BC592,'Avoided Cost Benefits'!$A$4:$A$859,0)))*F592</f>
        <v>119.22703187525887</v>
      </c>
      <c r="BE592" s="1579">
        <f>K592/(1.0595^(2020-2019))</f>
        <v>710.71260028315237</v>
      </c>
    </row>
    <row r="593" spans="1:57" ht="15" customHeight="1" x14ac:dyDescent="0.35">
      <c r="A593" s="199"/>
      <c r="B593" s="199"/>
      <c r="C593" s="50" t="s">
        <v>2414</v>
      </c>
      <c r="D593" s="395" t="s">
        <v>2254</v>
      </c>
      <c r="E593" s="2349" t="s">
        <v>2416</v>
      </c>
      <c r="F593" s="1477">
        <f>ROUND(F602-(F600*(1-F601)),2)</f>
        <v>46.72</v>
      </c>
      <c r="G593" s="124" t="s">
        <v>2072</v>
      </c>
      <c r="H593" s="136">
        <f>VLOOKUP(G593,'CP FACTORS'!$A$3:$B$38, 2, FALSE)</f>
        <v>1.286107E-4</v>
      </c>
      <c r="I593" s="1278">
        <f>ROUND(F593*H593,6)</f>
        <v>6.0089999999999996E-3</v>
      </c>
      <c r="J593" s="124">
        <f>F615</f>
        <v>11</v>
      </c>
      <c r="K593" s="1014">
        <v>0</v>
      </c>
      <c r="L593" s="1025" t="s">
        <v>184</v>
      </c>
      <c r="O593" s="199"/>
      <c r="P593" s="199"/>
      <c r="Q593" s="199"/>
      <c r="R593" s="199"/>
      <c r="V593" s="141" t="str">
        <f>V592</f>
        <v>kWh Annual Savings</v>
      </c>
      <c r="W593" s="371">
        <v>46.722222222222229</v>
      </c>
      <c r="X593" s="371">
        <v>46.722222222222229</v>
      </c>
      <c r="Y593" s="1046">
        <v>46.72</v>
      </c>
      <c r="Z593" s="1046">
        <v>46.72</v>
      </c>
      <c r="AA593" s="1046">
        <v>46.72</v>
      </c>
      <c r="AB593" s="1046">
        <v>46.72</v>
      </c>
      <c r="AC593" s="1046">
        <v>46.72</v>
      </c>
      <c r="AD593" s="1046">
        <v>46.72</v>
      </c>
      <c r="AE593" s="371"/>
      <c r="AF593" s="371"/>
      <c r="AG593" s="371"/>
      <c r="BB593" s="821"/>
      <c r="BC593" s="1580" t="str">
        <f>CONCATENATE(G593," ",J593," Year EUL")</f>
        <v>Refrigeration RES ER2 11 Year EUL</v>
      </c>
      <c r="BD593" s="102">
        <f>(INDEX('Avoided Cost Benefits'!$E$4:$E$859,MATCH(BC593,'Avoided Cost Benefits'!$A$4:$A$859,0)))*F593</f>
        <v>15.987033336194612</v>
      </c>
      <c r="BE593" s="1582">
        <f>K593/(1.0595^(2020-2019))</f>
        <v>0</v>
      </c>
    </row>
    <row r="594" spans="1:57" hidden="1" outlineLevel="1" x14ac:dyDescent="0.35">
      <c r="A594" s="199"/>
      <c r="B594" s="199"/>
      <c r="D594" s="942"/>
      <c r="E594" s="942"/>
      <c r="F594" s="756"/>
      <c r="G594" s="944"/>
      <c r="H594" s="756"/>
      <c r="I594" s="947"/>
      <c r="J594" s="1425"/>
      <c r="M594" s="756"/>
      <c r="N594" s="199"/>
      <c r="O594" s="199"/>
      <c r="P594" s="199"/>
      <c r="Q594" s="199"/>
      <c r="R594" s="199"/>
    </row>
    <row r="595" spans="1:57" hidden="1" outlineLevel="1" x14ac:dyDescent="0.35">
      <c r="A595" s="199"/>
      <c r="B595" s="199"/>
      <c r="D595" s="152" t="s">
        <v>107</v>
      </c>
      <c r="E595" s="942"/>
      <c r="F595" s="756"/>
      <c r="G595" s="944"/>
      <c r="H595" s="756"/>
      <c r="I595" s="947"/>
      <c r="J595" s="1425"/>
      <c r="K595" s="947"/>
      <c r="M595" s="756"/>
      <c r="N595" s="199"/>
      <c r="O595" s="199"/>
      <c r="P595" s="199"/>
      <c r="Q595" s="199"/>
      <c r="R595" s="199"/>
    </row>
    <row r="596" spans="1:57" hidden="1" outlineLevel="1" x14ac:dyDescent="0.35">
      <c r="A596" s="199"/>
      <c r="B596" s="199"/>
      <c r="D596" s="942"/>
      <c r="E596" s="942"/>
      <c r="F596" s="756"/>
      <c r="G596" s="944"/>
      <c r="H596" s="756"/>
      <c r="I596" s="947"/>
      <c r="J596" s="1425"/>
      <c r="K596" s="947"/>
      <c r="M596" s="756"/>
      <c r="N596" s="199"/>
      <c r="O596" s="199"/>
      <c r="P596" s="199"/>
      <c r="Q596" s="199"/>
      <c r="R596" s="199"/>
    </row>
    <row r="597" spans="1:57" hidden="1" outlineLevel="1" x14ac:dyDescent="0.35">
      <c r="A597" s="199"/>
      <c r="B597" s="199"/>
      <c r="D597" s="942"/>
      <c r="E597" s="942"/>
      <c r="F597" s="199"/>
      <c r="G597" s="944"/>
      <c r="H597" s="199"/>
      <c r="I597" s="947"/>
      <c r="J597" s="1425"/>
      <c r="K597" s="947"/>
      <c r="M597" s="199"/>
      <c r="N597" s="199"/>
      <c r="O597" s="199"/>
      <c r="P597" s="199"/>
      <c r="Q597" s="199"/>
      <c r="R597" s="199"/>
    </row>
    <row r="598" spans="1:57" hidden="1" outlineLevel="1" x14ac:dyDescent="0.35">
      <c r="A598" s="199"/>
      <c r="B598" s="199"/>
      <c r="C598" s="197"/>
      <c r="D598" s="2423" t="s">
        <v>108</v>
      </c>
      <c r="E598" s="2423" t="s">
        <v>109</v>
      </c>
      <c r="F598" s="2331" t="s">
        <v>111</v>
      </c>
      <c r="G598" s="3741" t="s">
        <v>186</v>
      </c>
      <c r="H598" s="3741"/>
      <c r="I598" s="1047"/>
      <c r="L598" s="1376"/>
      <c r="M598" s="1376"/>
      <c r="N598" s="1376"/>
      <c r="O598" s="1376"/>
      <c r="P598" s="1376"/>
      <c r="Q598" s="1376"/>
      <c r="R598" s="1376"/>
      <c r="S598" s="1376"/>
      <c r="V598" s="1572" t="s">
        <v>44</v>
      </c>
      <c r="W598" s="1573">
        <f>W$6</f>
        <v>43252</v>
      </c>
      <c r="X598" s="1573">
        <f t="shared" ref="X598:AG598" si="121">X$6</f>
        <v>43465</v>
      </c>
      <c r="Y598" s="1573">
        <f t="shared" si="121"/>
        <v>43800</v>
      </c>
      <c r="Z598" s="1573">
        <f t="shared" si="121"/>
        <v>43862</v>
      </c>
      <c r="AA598" s="1573">
        <f t="shared" si="121"/>
        <v>44013</v>
      </c>
      <c r="AB598" s="1573">
        <f t="shared" si="121"/>
        <v>44166</v>
      </c>
      <c r="AC598" s="1573">
        <f t="shared" si="121"/>
        <v>44531</v>
      </c>
      <c r="AD598" s="1573">
        <f t="shared" si="121"/>
        <v>44774</v>
      </c>
      <c r="AE598" s="1573" t="str">
        <f t="shared" si="121"/>
        <v>-</v>
      </c>
      <c r="AF598" s="1573" t="str">
        <f t="shared" si="121"/>
        <v>-</v>
      </c>
      <c r="AG598" s="1573" t="str">
        <f t="shared" si="121"/>
        <v>-</v>
      </c>
    </row>
    <row r="599" spans="1:57" ht="16.5" hidden="1" outlineLevel="1" x14ac:dyDescent="0.45">
      <c r="A599" s="199"/>
      <c r="B599" s="199"/>
      <c r="C599" s="197"/>
      <c r="D599" s="844" t="s">
        <v>2076</v>
      </c>
      <c r="E599" s="368" t="s">
        <v>2077</v>
      </c>
      <c r="F599" s="488">
        <f>SUMPRODUCT(F602:F607, F608:F613)/SUM(F608:F613)</f>
        <v>985.16038920276219</v>
      </c>
      <c r="G599" s="4313"/>
      <c r="H599" s="4313"/>
      <c r="I599" s="1047"/>
      <c r="L599" s="1376"/>
      <c r="M599" s="1376"/>
      <c r="N599" s="1376"/>
      <c r="O599" s="1376"/>
      <c r="P599" s="1376"/>
      <c r="Q599" s="1376"/>
      <c r="R599" s="1376"/>
      <c r="S599" s="1376"/>
      <c r="V599" s="844" t="str">
        <f>D599</f>
        <v>kWhBase</v>
      </c>
      <c r="W599" s="488">
        <v>985.16038920276219</v>
      </c>
      <c r="X599" s="488">
        <v>985.16038920276219</v>
      </c>
      <c r="Y599" s="488">
        <v>985.16038920276219</v>
      </c>
      <c r="Z599" s="488">
        <v>985.16038920276219</v>
      </c>
      <c r="AA599" s="488">
        <v>985.16038920276219</v>
      </c>
      <c r="AB599" s="488">
        <v>985.16038920276219</v>
      </c>
      <c r="AC599" s="488">
        <v>985.16038920276219</v>
      </c>
      <c r="AD599" s="488">
        <v>985.16038920276219</v>
      </c>
      <c r="AE599" s="1048"/>
      <c r="AF599" s="1048"/>
      <c r="AG599" s="1048"/>
    </row>
    <row r="600" spans="1:57" ht="16.5" hidden="1" outlineLevel="1" x14ac:dyDescent="0.45">
      <c r="A600" s="199"/>
      <c r="B600" s="199"/>
      <c r="C600" s="197"/>
      <c r="D600" s="844" t="s">
        <v>2080</v>
      </c>
      <c r="E600" s="368" t="s">
        <v>2081</v>
      </c>
      <c r="F600" s="488">
        <f>F602</f>
        <v>467.22222222222223</v>
      </c>
      <c r="G600" s="4313"/>
      <c r="H600" s="4313"/>
      <c r="I600" s="1047"/>
      <c r="L600" s="1376"/>
      <c r="M600" s="1376"/>
      <c r="N600" s="1376"/>
      <c r="O600" s="1376"/>
      <c r="P600" s="1376"/>
      <c r="Q600" s="1376"/>
      <c r="R600" s="1376"/>
      <c r="S600" s="1376"/>
      <c r="V600" s="844" t="str">
        <f t="shared" ref="V600:V613" si="122">D600</f>
        <v>kWhnew</v>
      </c>
      <c r="W600" s="488">
        <v>467.22222222222223</v>
      </c>
      <c r="X600" s="488">
        <v>467.22222222222223</v>
      </c>
      <c r="Y600" s="488">
        <v>467.22222222222223</v>
      </c>
      <c r="Z600" s="488">
        <v>467.22222222222223</v>
      </c>
      <c r="AA600" s="488">
        <v>467.22222222222223</v>
      </c>
      <c r="AB600" s="488">
        <v>467.22222222222223</v>
      </c>
      <c r="AC600" s="488">
        <v>467.22222222222223</v>
      </c>
      <c r="AD600" s="488">
        <v>467.22222222222223</v>
      </c>
      <c r="AE600" s="1048"/>
      <c r="AF600" s="1048"/>
      <c r="AG600" s="1048"/>
    </row>
    <row r="601" spans="1:57" ht="15" hidden="1" customHeight="1" outlineLevel="1" x14ac:dyDescent="0.35">
      <c r="A601" s="199"/>
      <c r="B601" s="199"/>
      <c r="C601" s="197"/>
      <c r="D601" s="844" t="s">
        <v>2086</v>
      </c>
      <c r="E601" s="368" t="s">
        <v>2087</v>
      </c>
      <c r="F601" s="287">
        <v>0.1</v>
      </c>
      <c r="G601" s="4313" t="s">
        <v>977</v>
      </c>
      <c r="H601" s="4313"/>
      <c r="I601" s="1478"/>
      <c r="J601" s="4519" t="s">
        <v>2417</v>
      </c>
      <c r="K601" s="4520"/>
      <c r="L601" s="4520"/>
      <c r="M601" s="4520"/>
      <c r="N601" s="4520"/>
      <c r="O601" s="4520"/>
      <c r="P601" s="4520"/>
      <c r="Q601" s="4520"/>
      <c r="R601" s="4520"/>
      <c r="S601" s="4520"/>
      <c r="V601" s="844" t="str">
        <f t="shared" si="122"/>
        <v>% Savings</v>
      </c>
      <c r="W601" s="611">
        <v>0.1</v>
      </c>
      <c r="X601" s="611">
        <v>0.1</v>
      </c>
      <c r="Y601" s="611">
        <v>0.1</v>
      </c>
      <c r="Z601" s="611">
        <v>0.1</v>
      </c>
      <c r="AA601" s="611">
        <v>0.1</v>
      </c>
      <c r="AB601" s="611">
        <v>0.1</v>
      </c>
      <c r="AC601" s="287">
        <v>0.1</v>
      </c>
      <c r="AD601" s="287">
        <v>0.1</v>
      </c>
      <c r="AE601" s="611"/>
      <c r="AF601" s="611"/>
      <c r="AG601" s="611"/>
    </row>
    <row r="602" spans="1:57" ht="18" hidden="1" customHeight="1" outlineLevel="1" x14ac:dyDescent="0.45">
      <c r="A602" s="199"/>
      <c r="B602" s="199"/>
      <c r="C602" s="197"/>
      <c r="D602" s="844" t="s">
        <v>2093</v>
      </c>
      <c r="E602" s="844" t="s">
        <v>2094</v>
      </c>
      <c r="F602" s="981">
        <f t="shared" ref="F602:F607" si="123">AVERAGE(K602:S602)</f>
        <v>467.22222222222223</v>
      </c>
      <c r="G602" s="4313" t="s">
        <v>2418</v>
      </c>
      <c r="H602" s="4313"/>
      <c r="I602" s="1478"/>
      <c r="J602" s="1050" t="s">
        <v>2095</v>
      </c>
      <c r="K602" s="2393">
        <v>483</v>
      </c>
      <c r="L602" s="2393">
        <v>592</v>
      </c>
      <c r="M602" s="2393">
        <v>592</v>
      </c>
      <c r="N602" s="2393">
        <v>592</v>
      </c>
      <c r="O602" s="2393">
        <v>374</v>
      </c>
      <c r="P602" s="2393">
        <v>374</v>
      </c>
      <c r="Q602" s="2393">
        <v>374</v>
      </c>
      <c r="R602" s="2393">
        <v>412</v>
      </c>
      <c r="S602" s="2393">
        <v>412</v>
      </c>
      <c r="V602" s="844" t="str">
        <f t="shared" si="122"/>
        <v>kWh2011-2015</v>
      </c>
      <c r="W602" s="1049">
        <v>467.22222222222223</v>
      </c>
      <c r="X602" s="1049">
        <v>467.22222222222223</v>
      </c>
      <c r="Y602" s="1049">
        <v>467.22222222222223</v>
      </c>
      <c r="Z602" s="1049">
        <v>467.22222222222223</v>
      </c>
      <c r="AA602" s="1049">
        <v>467.22222222222223</v>
      </c>
      <c r="AB602" s="1049">
        <v>467.22222222222223</v>
      </c>
      <c r="AC602" s="981">
        <v>467.22222222222223</v>
      </c>
      <c r="AD602" s="981">
        <v>467.22222222222223</v>
      </c>
      <c r="AE602" s="1049"/>
      <c r="AF602" s="1049"/>
      <c r="AG602" s="1049"/>
    </row>
    <row r="603" spans="1:57" ht="31.5" hidden="1" customHeight="1" outlineLevel="1" x14ac:dyDescent="0.45">
      <c r="A603" s="199"/>
      <c r="B603" s="199"/>
      <c r="C603" s="197"/>
      <c r="D603" s="844" t="s">
        <v>2096</v>
      </c>
      <c r="E603" s="844" t="s">
        <v>2097</v>
      </c>
      <c r="F603" s="981">
        <f t="shared" si="123"/>
        <v>651</v>
      </c>
      <c r="G603" s="4313" t="s">
        <v>2418</v>
      </c>
      <c r="H603" s="4313"/>
      <c r="I603" s="1478"/>
      <c r="J603" s="1050" t="s">
        <v>2098</v>
      </c>
      <c r="K603" s="2393">
        <v>724</v>
      </c>
      <c r="L603" s="2393">
        <v>747</v>
      </c>
      <c r="M603" s="2393">
        <v>747</v>
      </c>
      <c r="N603" s="2393">
        <v>747</v>
      </c>
      <c r="O603" s="2393">
        <v>556</v>
      </c>
      <c r="P603" s="2393">
        <v>556</v>
      </c>
      <c r="Q603" s="2393">
        <v>556</v>
      </c>
      <c r="R603" s="2393">
        <v>613</v>
      </c>
      <c r="S603" s="2393">
        <v>613</v>
      </c>
      <c r="V603" s="844" t="str">
        <f t="shared" si="122"/>
        <v>kWh2001(after July)-2010</v>
      </c>
      <c r="W603" s="1049">
        <v>651</v>
      </c>
      <c r="X603" s="1049">
        <v>651</v>
      </c>
      <c r="Y603" s="1049">
        <v>651</v>
      </c>
      <c r="Z603" s="1049">
        <v>651</v>
      </c>
      <c r="AA603" s="1049">
        <v>651</v>
      </c>
      <c r="AB603" s="1049">
        <v>651</v>
      </c>
      <c r="AC603" s="981">
        <v>651</v>
      </c>
      <c r="AD603" s="981">
        <v>651</v>
      </c>
      <c r="AE603" s="1049"/>
      <c r="AF603" s="1049"/>
      <c r="AG603" s="1049"/>
    </row>
    <row r="604" spans="1:57" ht="31.5" hidden="1" customHeight="1" outlineLevel="1" x14ac:dyDescent="0.45">
      <c r="A604" s="199"/>
      <c r="B604" s="199"/>
      <c r="C604" s="197"/>
      <c r="D604" s="844" t="s">
        <v>2099</v>
      </c>
      <c r="E604" s="844" t="s">
        <v>2100</v>
      </c>
      <c r="F604" s="981">
        <f t="shared" si="123"/>
        <v>987.33333333333337</v>
      </c>
      <c r="G604" s="4313" t="s">
        <v>2418</v>
      </c>
      <c r="H604" s="4313"/>
      <c r="I604" s="1478"/>
      <c r="J604" s="1050" t="s">
        <v>2101</v>
      </c>
      <c r="K604" s="2393">
        <v>962</v>
      </c>
      <c r="L604" s="2393">
        <v>1139</v>
      </c>
      <c r="M604" s="2393">
        <v>1139</v>
      </c>
      <c r="N604" s="2393">
        <v>1139</v>
      </c>
      <c r="O604" s="2393">
        <v>861</v>
      </c>
      <c r="P604" s="2393">
        <v>861</v>
      </c>
      <c r="Q604" s="2393">
        <v>861</v>
      </c>
      <c r="R604" s="2393">
        <v>962</v>
      </c>
      <c r="S604" s="2393">
        <v>962</v>
      </c>
      <c r="V604" s="844" t="str">
        <f t="shared" si="122"/>
        <v>kWh1993-2001(before June)</v>
      </c>
      <c r="W604" s="1049">
        <v>987.33333333333337</v>
      </c>
      <c r="X604" s="1049">
        <v>987.33333333333337</v>
      </c>
      <c r="Y604" s="1049">
        <v>987.33333333333337</v>
      </c>
      <c r="Z604" s="1049">
        <v>987.33333333333337</v>
      </c>
      <c r="AA604" s="1049">
        <v>987.33333333333337</v>
      </c>
      <c r="AB604" s="1049">
        <v>987.33333333333337</v>
      </c>
      <c r="AC604" s="981">
        <v>987.33333333333337</v>
      </c>
      <c r="AD604" s="981">
        <v>987.33333333333337</v>
      </c>
      <c r="AE604" s="1049"/>
      <c r="AF604" s="1049"/>
      <c r="AG604" s="1049"/>
    </row>
    <row r="605" spans="1:57" ht="18" hidden="1" customHeight="1" outlineLevel="1" x14ac:dyDescent="0.45">
      <c r="A605" s="199"/>
      <c r="B605" s="199"/>
      <c r="C605" s="197"/>
      <c r="D605" s="844" t="s">
        <v>2102</v>
      </c>
      <c r="E605" s="844" t="s">
        <v>2103</v>
      </c>
      <c r="F605" s="981">
        <f t="shared" si="123"/>
        <v>1450</v>
      </c>
      <c r="G605" s="4313" t="s">
        <v>2418</v>
      </c>
      <c r="H605" s="4313"/>
      <c r="I605" s="1478"/>
      <c r="J605" s="1050" t="s">
        <v>2104</v>
      </c>
      <c r="K605" s="822">
        <v>1519</v>
      </c>
      <c r="L605" s="822">
        <v>1617</v>
      </c>
      <c r="M605" s="822">
        <v>1617</v>
      </c>
      <c r="N605" s="822">
        <v>1617</v>
      </c>
      <c r="O605" s="822">
        <v>1272</v>
      </c>
      <c r="P605" s="822">
        <v>1272</v>
      </c>
      <c r="Q605" s="822">
        <v>1272</v>
      </c>
      <c r="R605" s="822">
        <v>1432</v>
      </c>
      <c r="S605" s="822">
        <v>1432</v>
      </c>
      <c r="V605" s="844" t="str">
        <f t="shared" si="122"/>
        <v>kWh1990-1992</v>
      </c>
      <c r="W605" s="1049">
        <v>1450</v>
      </c>
      <c r="X605" s="1049">
        <v>1450</v>
      </c>
      <c r="Y605" s="1049">
        <v>1450</v>
      </c>
      <c r="Z605" s="1049">
        <v>1450</v>
      </c>
      <c r="AA605" s="1049">
        <v>1450</v>
      </c>
      <c r="AB605" s="1049">
        <v>1450</v>
      </c>
      <c r="AC605" s="981">
        <v>1450</v>
      </c>
      <c r="AD605" s="981">
        <v>1450</v>
      </c>
      <c r="AE605" s="1049"/>
      <c r="AF605" s="1049"/>
      <c r="AG605" s="1049"/>
    </row>
    <row r="606" spans="1:57" ht="18" hidden="1" customHeight="1" outlineLevel="1" x14ac:dyDescent="0.45">
      <c r="A606" s="199"/>
      <c r="B606" s="199"/>
      <c r="C606" s="197"/>
      <c r="D606" s="844" t="s">
        <v>2105</v>
      </c>
      <c r="E606" s="844" t="s">
        <v>2106</v>
      </c>
      <c r="F606" s="981">
        <f t="shared" si="123"/>
        <v>1900.7777777777778</v>
      </c>
      <c r="G606" s="4313" t="s">
        <v>2418</v>
      </c>
      <c r="H606" s="4313"/>
      <c r="I606" s="1478"/>
      <c r="J606" s="1050" t="s">
        <v>2107</v>
      </c>
      <c r="K606" s="2393">
        <v>1992</v>
      </c>
      <c r="L606" s="2393">
        <v>2119</v>
      </c>
      <c r="M606" s="2393">
        <v>2119</v>
      </c>
      <c r="N606" s="2393">
        <v>2119</v>
      </c>
      <c r="O606" s="2393">
        <v>1668</v>
      </c>
      <c r="P606" s="2393">
        <v>1668</v>
      </c>
      <c r="Q606" s="2393">
        <v>1668</v>
      </c>
      <c r="R606" s="2393">
        <v>1877</v>
      </c>
      <c r="S606" s="2393">
        <v>1877</v>
      </c>
      <c r="V606" s="844" t="str">
        <f t="shared" si="122"/>
        <v>kWh1980-1989</v>
      </c>
      <c r="W606" s="1049">
        <v>1900.7777777777778</v>
      </c>
      <c r="X606" s="1049">
        <v>1900.7777777777778</v>
      </c>
      <c r="Y606" s="1049">
        <v>1900.7777777777778</v>
      </c>
      <c r="Z606" s="1049">
        <v>1900.7777777777778</v>
      </c>
      <c r="AA606" s="1049">
        <v>1900.7777777777778</v>
      </c>
      <c r="AB606" s="1049">
        <v>1900.7777777777778</v>
      </c>
      <c r="AC606" s="981">
        <v>1900.7777777777778</v>
      </c>
      <c r="AD606" s="981">
        <v>1900.7777777777778</v>
      </c>
      <c r="AE606" s="1049"/>
      <c r="AF606" s="1049"/>
      <c r="AG606" s="1049"/>
    </row>
    <row r="607" spans="1:57" ht="18" hidden="1" customHeight="1" outlineLevel="1" x14ac:dyDescent="0.45">
      <c r="A607" s="199"/>
      <c r="B607" s="199"/>
      <c r="C607" s="197"/>
      <c r="D607" s="844" t="s">
        <v>2108</v>
      </c>
      <c r="E607" s="844" t="s">
        <v>2109</v>
      </c>
      <c r="F607" s="981">
        <f t="shared" si="123"/>
        <v>2444.125</v>
      </c>
      <c r="G607" s="4313" t="s">
        <v>2418</v>
      </c>
      <c r="H607" s="4313"/>
      <c r="I607" s="1478"/>
      <c r="J607" s="1050" t="s">
        <v>2110</v>
      </c>
      <c r="K607" s="822">
        <v>2523</v>
      </c>
      <c r="L607" s="822">
        <v>2684</v>
      </c>
      <c r="M607" s="822">
        <v>2684</v>
      </c>
      <c r="N607" s="822">
        <v>2684</v>
      </c>
      <c r="O607" s="822"/>
      <c r="P607" s="822">
        <v>2112</v>
      </c>
      <c r="Q607" s="822">
        <v>2112</v>
      </c>
      <c r="R607" s="822">
        <v>2377</v>
      </c>
      <c r="S607" s="822">
        <v>2377</v>
      </c>
      <c r="V607" s="844" t="str">
        <f t="shared" si="122"/>
        <v>kWhbefore 1980</v>
      </c>
      <c r="W607" s="1049">
        <v>2444.125</v>
      </c>
      <c r="X607" s="1049">
        <v>2444.125</v>
      </c>
      <c r="Y607" s="1049">
        <v>2444.125</v>
      </c>
      <c r="Z607" s="1049">
        <v>2444.125</v>
      </c>
      <c r="AA607" s="1049">
        <v>2444.125</v>
      </c>
      <c r="AB607" s="1049">
        <v>2444.125</v>
      </c>
      <c r="AC607" s="981">
        <v>2444.125</v>
      </c>
      <c r="AD607" s="981">
        <v>2444.125</v>
      </c>
      <c r="AE607" s="1049"/>
      <c r="AF607" s="1049"/>
      <c r="AG607" s="1049"/>
    </row>
    <row r="608" spans="1:57" ht="18" hidden="1" customHeight="1" outlineLevel="1" x14ac:dyDescent="0.45">
      <c r="A608" s="199"/>
      <c r="B608" s="199"/>
      <c r="C608" s="197"/>
      <c r="D608" s="844" t="s">
        <v>2111</v>
      </c>
      <c r="E608" s="844" t="s">
        <v>2112</v>
      </c>
      <c r="F608" s="985">
        <v>0</v>
      </c>
      <c r="G608" s="4313" t="s">
        <v>2418</v>
      </c>
      <c r="H608" s="4313"/>
      <c r="I608" s="1376"/>
      <c r="J608" s="1376"/>
      <c r="K608" s="1376"/>
      <c r="L608" s="1376"/>
      <c r="M608" s="1376"/>
      <c r="N608" s="1376"/>
      <c r="O608" s="1376"/>
      <c r="P608" s="1376"/>
      <c r="Q608" s="1376"/>
      <c r="R608" s="1376"/>
      <c r="S608" s="1376"/>
      <c r="T608" s="1376"/>
      <c r="U608" s="1376"/>
      <c r="V608" s="844" t="str">
        <f t="shared" si="122"/>
        <v>Number of Units2011-2015</v>
      </c>
      <c r="W608" s="1051">
        <v>0</v>
      </c>
      <c r="X608" s="1051">
        <v>0</v>
      </c>
      <c r="Y608" s="1051">
        <v>0</v>
      </c>
      <c r="Z608" s="1051">
        <v>0</v>
      </c>
      <c r="AA608" s="1051">
        <v>0</v>
      </c>
      <c r="AB608" s="1051">
        <v>0</v>
      </c>
      <c r="AC608" s="985">
        <v>0</v>
      </c>
      <c r="AD608" s="985">
        <v>0</v>
      </c>
      <c r="AE608" s="1051"/>
      <c r="AF608" s="1051"/>
      <c r="AG608" s="1051"/>
    </row>
    <row r="609" spans="1:54" ht="31" hidden="1" outlineLevel="1" x14ac:dyDescent="0.45">
      <c r="A609" s="199"/>
      <c r="B609" s="199"/>
      <c r="C609" s="197"/>
      <c r="D609" s="844" t="s">
        <v>2113</v>
      </c>
      <c r="E609" s="844" t="s">
        <v>2114</v>
      </c>
      <c r="F609" s="985">
        <v>65</v>
      </c>
      <c r="G609" s="4313" t="s">
        <v>2418</v>
      </c>
      <c r="H609" s="4313"/>
      <c r="I609" s="1376"/>
      <c r="J609" s="1376"/>
      <c r="K609" s="1376"/>
      <c r="L609" s="1376"/>
      <c r="M609" s="1376"/>
      <c r="N609" s="1376"/>
      <c r="O609" s="1376"/>
      <c r="P609" s="1376"/>
      <c r="Q609" s="1376"/>
      <c r="R609" s="1376"/>
      <c r="V609" s="844" t="str">
        <f t="shared" si="122"/>
        <v>Number of Units2001(after July)-2010</v>
      </c>
      <c r="W609" s="1051">
        <v>65</v>
      </c>
      <c r="X609" s="1051">
        <v>65</v>
      </c>
      <c r="Y609" s="1051">
        <v>65</v>
      </c>
      <c r="Z609" s="1051">
        <v>65</v>
      </c>
      <c r="AA609" s="1051">
        <v>65</v>
      </c>
      <c r="AB609" s="1051">
        <v>65</v>
      </c>
      <c r="AC609" s="985">
        <v>65</v>
      </c>
      <c r="AD609" s="985">
        <v>65</v>
      </c>
      <c r="AE609" s="1051"/>
      <c r="AF609" s="1051"/>
      <c r="AG609" s="1051"/>
    </row>
    <row r="610" spans="1:54" ht="33" hidden="1" outlineLevel="1" x14ac:dyDescent="0.45">
      <c r="A610" s="199"/>
      <c r="B610" s="199"/>
      <c r="C610" s="197"/>
      <c r="D610" s="844" t="s">
        <v>2115</v>
      </c>
      <c r="E610" s="844" t="s">
        <v>2116</v>
      </c>
      <c r="F610" s="985">
        <v>259</v>
      </c>
      <c r="G610" s="4313" t="s">
        <v>2418</v>
      </c>
      <c r="H610" s="4313"/>
      <c r="I610" s="1376"/>
      <c r="J610" s="1376"/>
      <c r="K610" s="1376"/>
      <c r="L610" s="1376"/>
      <c r="M610" s="1376"/>
      <c r="N610" s="1376"/>
      <c r="O610" s="1376"/>
      <c r="P610" s="1376"/>
      <c r="Q610" s="1376"/>
      <c r="R610" s="1376"/>
      <c r="V610" s="844" t="str">
        <f t="shared" si="122"/>
        <v>Number of Units1993-2001(before June)</v>
      </c>
      <c r="W610" s="1051">
        <v>259</v>
      </c>
      <c r="X610" s="1051">
        <v>259</v>
      </c>
      <c r="Y610" s="1051">
        <v>259</v>
      </c>
      <c r="Z610" s="1051">
        <v>259</v>
      </c>
      <c r="AA610" s="1051">
        <v>259</v>
      </c>
      <c r="AB610" s="1051">
        <v>259</v>
      </c>
      <c r="AC610" s="985">
        <v>259</v>
      </c>
      <c r="AD610" s="985">
        <v>259</v>
      </c>
      <c r="AE610" s="1051"/>
      <c r="AF610" s="1051"/>
      <c r="AG610" s="1051"/>
    </row>
    <row r="611" spans="1:54" ht="18" hidden="1" customHeight="1" outlineLevel="1" x14ac:dyDescent="0.45">
      <c r="A611" s="199"/>
      <c r="B611" s="199"/>
      <c r="C611" s="197"/>
      <c r="D611" s="844" t="s">
        <v>2117</v>
      </c>
      <c r="E611" s="844" t="s">
        <v>2118</v>
      </c>
      <c r="F611" s="985">
        <v>14</v>
      </c>
      <c r="G611" s="4313" t="s">
        <v>2418</v>
      </c>
      <c r="H611" s="4313"/>
      <c r="I611" s="1376"/>
      <c r="J611" s="1376"/>
      <c r="K611" s="1376"/>
      <c r="L611" s="1376"/>
      <c r="M611" s="1376"/>
      <c r="N611" s="1376"/>
      <c r="O611" s="1376"/>
      <c r="P611" s="1376"/>
      <c r="Q611" s="1376"/>
      <c r="R611" s="1376"/>
      <c r="V611" s="844" t="str">
        <f t="shared" si="122"/>
        <v>Number of Units1990-1992</v>
      </c>
      <c r="W611" s="1051">
        <v>14</v>
      </c>
      <c r="X611" s="1051">
        <v>14</v>
      </c>
      <c r="Y611" s="1051">
        <v>14</v>
      </c>
      <c r="Z611" s="1051">
        <v>14</v>
      </c>
      <c r="AA611" s="1051">
        <v>14</v>
      </c>
      <c r="AB611" s="1051">
        <v>14</v>
      </c>
      <c r="AC611" s="985">
        <v>14</v>
      </c>
      <c r="AD611" s="985">
        <v>14</v>
      </c>
      <c r="AE611" s="1051"/>
      <c r="AF611" s="1051"/>
      <c r="AG611" s="1051"/>
    </row>
    <row r="612" spans="1:54" ht="18" hidden="1" customHeight="1" outlineLevel="1" x14ac:dyDescent="0.45">
      <c r="A612" s="199"/>
      <c r="B612" s="199"/>
      <c r="C612" s="197"/>
      <c r="D612" s="844" t="s">
        <v>2119</v>
      </c>
      <c r="E612" s="844" t="s">
        <v>2120</v>
      </c>
      <c r="F612" s="985">
        <v>16</v>
      </c>
      <c r="G612" s="4313" t="s">
        <v>2418</v>
      </c>
      <c r="H612" s="4313"/>
      <c r="I612" s="1376"/>
      <c r="J612" s="1376"/>
      <c r="K612" s="1376"/>
      <c r="L612" s="1376"/>
      <c r="M612" s="1376"/>
      <c r="N612" s="1376"/>
      <c r="O612" s="1376"/>
      <c r="P612" s="1376"/>
      <c r="Q612" s="1376"/>
      <c r="R612" s="1376"/>
      <c r="V612" s="844" t="str">
        <f t="shared" si="122"/>
        <v>Number of Units1980-1989</v>
      </c>
      <c r="W612" s="1051">
        <v>16</v>
      </c>
      <c r="X612" s="1051">
        <v>16</v>
      </c>
      <c r="Y612" s="1051">
        <v>16</v>
      </c>
      <c r="Z612" s="1051">
        <v>16</v>
      </c>
      <c r="AA612" s="1051">
        <v>16</v>
      </c>
      <c r="AB612" s="1051">
        <v>16</v>
      </c>
      <c r="AC612" s="985">
        <v>16</v>
      </c>
      <c r="AD612" s="985">
        <v>16</v>
      </c>
      <c r="AE612" s="1051"/>
      <c r="AF612" s="1051"/>
      <c r="AG612" s="1051"/>
    </row>
    <row r="613" spans="1:54" ht="18" hidden="1" customHeight="1" outlineLevel="1" x14ac:dyDescent="0.45">
      <c r="A613" s="199"/>
      <c r="B613" s="199"/>
      <c r="C613" s="197"/>
      <c r="D613" s="844" t="s">
        <v>2121</v>
      </c>
      <c r="E613" s="844" t="s">
        <v>2122</v>
      </c>
      <c r="F613" s="985">
        <v>0</v>
      </c>
      <c r="G613" s="4313" t="s">
        <v>2418</v>
      </c>
      <c r="H613" s="4313"/>
      <c r="I613" s="1376"/>
      <c r="J613" s="1376"/>
      <c r="K613" s="1376"/>
      <c r="L613" s="1376"/>
      <c r="M613" s="1376"/>
      <c r="N613" s="1376"/>
      <c r="O613" s="1376"/>
      <c r="P613" s="1376"/>
      <c r="Q613" s="1376"/>
      <c r="R613" s="1376"/>
      <c r="V613" s="844" t="str">
        <f t="shared" si="122"/>
        <v>Number of Unitsbefore 1980</v>
      </c>
      <c r="W613" s="1051">
        <v>0</v>
      </c>
      <c r="X613" s="1051">
        <v>0</v>
      </c>
      <c r="Y613" s="1051">
        <v>0</v>
      </c>
      <c r="Z613" s="1051">
        <v>0</v>
      </c>
      <c r="AA613" s="1051">
        <v>0</v>
      </c>
      <c r="AB613" s="1051">
        <v>0</v>
      </c>
      <c r="AC613" s="985">
        <v>0</v>
      </c>
      <c r="AD613" s="985">
        <v>0</v>
      </c>
      <c r="AE613" s="1051"/>
      <c r="AF613" s="1051"/>
      <c r="AG613" s="1051"/>
    </row>
    <row r="614" spans="1:54" s="196" customFormat="1" hidden="1" outlineLevel="1" x14ac:dyDescent="0.35">
      <c r="A614" s="199"/>
      <c r="B614" s="199"/>
      <c r="C614" s="2378"/>
      <c r="D614" s="4412" t="str">
        <f>D34</f>
        <v>EUL</v>
      </c>
      <c r="E614" s="4412" t="str">
        <f>E34</f>
        <v>End of Useful Life</v>
      </c>
      <c r="F614" s="985">
        <v>6</v>
      </c>
      <c r="G614" s="4313"/>
      <c r="H614" s="4313"/>
      <c r="I614" s="226"/>
      <c r="J614" s="199"/>
      <c r="K614" s="199"/>
      <c r="L614" s="199"/>
      <c r="M614" s="199"/>
      <c r="N614" s="199"/>
      <c r="O614" s="199"/>
      <c r="P614" s="199"/>
      <c r="Q614" s="199"/>
      <c r="R614" s="199"/>
      <c r="S614" s="199"/>
      <c r="T614" s="199"/>
      <c r="U614" s="199"/>
      <c r="V614" s="4412" t="str">
        <f>V34</f>
        <v>EUL</v>
      </c>
      <c r="W614" s="985">
        <v>6</v>
      </c>
      <c r="X614" s="985">
        <v>6</v>
      </c>
      <c r="Y614" s="985">
        <v>6</v>
      </c>
      <c r="Z614" s="985">
        <v>6</v>
      </c>
      <c r="AA614" s="985">
        <v>6</v>
      </c>
      <c r="AB614" s="985">
        <v>6</v>
      </c>
      <c r="AC614" s="985">
        <v>6</v>
      </c>
      <c r="AD614" s="985">
        <v>6</v>
      </c>
      <c r="AE614" s="986"/>
      <c r="AF614" s="986"/>
      <c r="AG614" s="986"/>
      <c r="AK614" s="732"/>
      <c r="BB614" s="726"/>
    </row>
    <row r="615" spans="1:54" s="196" customFormat="1" hidden="1" outlineLevel="1" x14ac:dyDescent="0.35">
      <c r="A615" s="199"/>
      <c r="B615" s="199"/>
      <c r="C615" s="2378"/>
      <c r="D615" s="4413"/>
      <c r="E615" s="4413"/>
      <c r="F615" s="985">
        <v>11</v>
      </c>
      <c r="G615" s="4313"/>
      <c r="H615" s="4313"/>
      <c r="I615" s="226"/>
      <c r="J615" s="199"/>
      <c r="K615" s="199"/>
      <c r="L615" s="199"/>
      <c r="M615" s="199"/>
      <c r="N615" s="199"/>
      <c r="O615" s="199"/>
      <c r="P615" s="199"/>
      <c r="Q615" s="199"/>
      <c r="R615" s="199"/>
      <c r="S615" s="199"/>
      <c r="T615" s="199"/>
      <c r="U615" s="199"/>
      <c r="V615" s="4413"/>
      <c r="W615" s="985">
        <v>11</v>
      </c>
      <c r="X615" s="985">
        <v>11</v>
      </c>
      <c r="Y615" s="985">
        <v>11</v>
      </c>
      <c r="Z615" s="985">
        <v>11</v>
      </c>
      <c r="AA615" s="985">
        <v>11</v>
      </c>
      <c r="AB615" s="985">
        <v>11</v>
      </c>
      <c r="AC615" s="985">
        <v>11</v>
      </c>
      <c r="AD615" s="985">
        <v>11</v>
      </c>
      <c r="AE615" s="986"/>
      <c r="AF615" s="986"/>
      <c r="AG615" s="986"/>
      <c r="AK615" s="732"/>
      <c r="BB615" s="726"/>
    </row>
    <row r="616" spans="1:54" s="196" customFormat="1" hidden="1" outlineLevel="1" x14ac:dyDescent="0.35">
      <c r="A616" s="199"/>
      <c r="B616" s="199"/>
      <c r="C616" s="2378"/>
      <c r="D616" s="2094" t="str">
        <f>D35</f>
        <v>Inc. Cost</v>
      </c>
      <c r="E616" s="2094" t="str">
        <f>E35</f>
        <v>Incremental Cost ($)</v>
      </c>
      <c r="F616" s="420">
        <v>753</v>
      </c>
      <c r="G616" s="4313"/>
      <c r="H616" s="4313"/>
      <c r="I616" s="226"/>
      <c r="J616" s="199"/>
      <c r="K616" s="199"/>
      <c r="L616" s="199"/>
      <c r="M616" s="199"/>
      <c r="N616" s="199"/>
      <c r="O616" s="199"/>
      <c r="P616" s="199"/>
      <c r="Q616" s="199"/>
      <c r="R616" s="199"/>
      <c r="S616" s="199"/>
      <c r="T616" s="199"/>
      <c r="U616" s="199"/>
      <c r="V616" s="2094" t="str">
        <f>V35</f>
        <v>Inc. Cost</v>
      </c>
      <c r="W616" s="420">
        <v>753</v>
      </c>
      <c r="X616" s="420">
        <v>753</v>
      </c>
      <c r="Y616" s="420">
        <v>753</v>
      </c>
      <c r="Z616" s="420">
        <v>753</v>
      </c>
      <c r="AA616" s="420">
        <v>753</v>
      </c>
      <c r="AB616" s="420">
        <v>753</v>
      </c>
      <c r="AC616" s="420">
        <v>753</v>
      </c>
      <c r="AD616" s="420">
        <v>753</v>
      </c>
      <c r="AE616" s="987"/>
      <c r="AF616" s="987"/>
      <c r="AG616" s="987"/>
      <c r="AK616" s="732"/>
      <c r="BB616" s="726"/>
    </row>
    <row r="617" spans="1:54" collapsed="1" x14ac:dyDescent="0.35">
      <c r="A617" s="199"/>
      <c r="B617" s="199"/>
      <c r="C617" s="197"/>
    </row>
    <row r="618" spans="1:54" x14ac:dyDescent="0.35">
      <c r="A618" s="199"/>
      <c r="B618" s="199"/>
      <c r="C618" s="197"/>
    </row>
  </sheetData>
  <mergeCells count="413">
    <mergeCell ref="H68:L68"/>
    <mergeCell ref="G576:H576"/>
    <mergeCell ref="F265:H265"/>
    <mergeCell ref="V304:V320"/>
    <mergeCell ref="V321:V337"/>
    <mergeCell ref="E490:E491"/>
    <mergeCell ref="D490:D491"/>
    <mergeCell ref="E492:E495"/>
    <mergeCell ref="D492:D495"/>
    <mergeCell ref="E496:E499"/>
    <mergeCell ref="D496:D499"/>
    <mergeCell ref="V490:V491"/>
    <mergeCell ref="D526:D534"/>
    <mergeCell ref="E526:E534"/>
    <mergeCell ref="V526:V534"/>
    <mergeCell ref="G567:H567"/>
    <mergeCell ref="G568:H568"/>
    <mergeCell ref="G569:H569"/>
    <mergeCell ref="V492:V495"/>
    <mergeCell ref="V496:V499"/>
    <mergeCell ref="G471:H471"/>
    <mergeCell ref="I471:K471"/>
    <mergeCell ref="B474:Q474"/>
    <mergeCell ref="G566:H566"/>
    <mergeCell ref="V62:V63"/>
    <mergeCell ref="D62:D63"/>
    <mergeCell ref="E62:E63"/>
    <mergeCell ref="H65:L65"/>
    <mergeCell ref="H67:L67"/>
    <mergeCell ref="H66:L66"/>
    <mergeCell ref="H64:L64"/>
    <mergeCell ref="H62:L62"/>
    <mergeCell ref="H63:L63"/>
    <mergeCell ref="H61:L61"/>
    <mergeCell ref="H60:L60"/>
    <mergeCell ref="H58:L58"/>
    <mergeCell ref="H59:L59"/>
    <mergeCell ref="I39:L39"/>
    <mergeCell ref="E35:E39"/>
    <mergeCell ref="D35:D39"/>
    <mergeCell ref="B42:Q42"/>
    <mergeCell ref="V42:AI42"/>
    <mergeCell ref="D56:D57"/>
    <mergeCell ref="E56:E57"/>
    <mergeCell ref="V56:V57"/>
    <mergeCell ref="V35:V39"/>
    <mergeCell ref="H56:L56"/>
    <mergeCell ref="H57:L57"/>
    <mergeCell ref="H55:L55"/>
    <mergeCell ref="E500:E501"/>
    <mergeCell ref="D500:D501"/>
    <mergeCell ref="H501:I501"/>
    <mergeCell ref="V474:AI474"/>
    <mergeCell ref="H489:I489"/>
    <mergeCell ref="G468:H468"/>
    <mergeCell ref="I468:K468"/>
    <mergeCell ref="G469:H469"/>
    <mergeCell ref="I469:K469"/>
    <mergeCell ref="G470:H470"/>
    <mergeCell ref="I470:K470"/>
    <mergeCell ref="D470:D471"/>
    <mergeCell ref="B507:Q507"/>
    <mergeCell ref="V507:AI507"/>
    <mergeCell ref="E503:E504"/>
    <mergeCell ref="D503:D504"/>
    <mergeCell ref="V503:V504"/>
    <mergeCell ref="B540:Q540"/>
    <mergeCell ref="V540:AI540"/>
    <mergeCell ref="B589:Q589"/>
    <mergeCell ref="V589:AI589"/>
    <mergeCell ref="G570:H570"/>
    <mergeCell ref="G571:H571"/>
    <mergeCell ref="G572:H572"/>
    <mergeCell ref="G573:H573"/>
    <mergeCell ref="G574:H574"/>
    <mergeCell ref="G575:H575"/>
    <mergeCell ref="D585:D586"/>
    <mergeCell ref="E585:E586"/>
    <mergeCell ref="G598:H598"/>
    <mergeCell ref="G599:H599"/>
    <mergeCell ref="G581:H581"/>
    <mergeCell ref="G582:H582"/>
    <mergeCell ref="G584:H584"/>
    <mergeCell ref="G585:H585"/>
    <mergeCell ref="G583:H583"/>
    <mergeCell ref="G577:H577"/>
    <mergeCell ref="G578:H578"/>
    <mergeCell ref="G579:H579"/>
    <mergeCell ref="G580:H580"/>
    <mergeCell ref="G586:H586"/>
    <mergeCell ref="V614:V615"/>
    <mergeCell ref="G615:H615"/>
    <mergeCell ref="G616:H616"/>
    <mergeCell ref="G611:H611"/>
    <mergeCell ref="G612:H612"/>
    <mergeCell ref="G613:H613"/>
    <mergeCell ref="G600:H600"/>
    <mergeCell ref="G601:H601"/>
    <mergeCell ref="J601:S601"/>
    <mergeCell ref="G602:H602"/>
    <mergeCell ref="G603:H603"/>
    <mergeCell ref="G604:H604"/>
    <mergeCell ref="D614:D615"/>
    <mergeCell ref="E614:E615"/>
    <mergeCell ref="G614:H614"/>
    <mergeCell ref="G605:H605"/>
    <mergeCell ref="G606:H606"/>
    <mergeCell ref="G607:H607"/>
    <mergeCell ref="G608:H608"/>
    <mergeCell ref="G609:H609"/>
    <mergeCell ref="G610:H610"/>
    <mergeCell ref="G465:H465"/>
    <mergeCell ref="I465:K465"/>
    <mergeCell ref="G466:H466"/>
    <mergeCell ref="I466:K466"/>
    <mergeCell ref="G467:H467"/>
    <mergeCell ref="I467:K467"/>
    <mergeCell ref="G459:H459"/>
    <mergeCell ref="I459:K459"/>
    <mergeCell ref="G460:H460"/>
    <mergeCell ref="I460:K460"/>
    <mergeCell ref="G461:H461"/>
    <mergeCell ref="I461:K461"/>
    <mergeCell ref="G462:H462"/>
    <mergeCell ref="I462:K462"/>
    <mergeCell ref="G463:H463"/>
    <mergeCell ref="I463:K463"/>
    <mergeCell ref="G464:H464"/>
    <mergeCell ref="I464:K464"/>
    <mergeCell ref="G456:H456"/>
    <mergeCell ref="I456:K456"/>
    <mergeCell ref="G457:H457"/>
    <mergeCell ref="I457:K457"/>
    <mergeCell ref="G458:H458"/>
    <mergeCell ref="I458:K458"/>
    <mergeCell ref="G453:H453"/>
    <mergeCell ref="I453:K453"/>
    <mergeCell ref="G454:H454"/>
    <mergeCell ref="I454:K454"/>
    <mergeCell ref="G455:H455"/>
    <mergeCell ref="I455:K455"/>
    <mergeCell ref="B438:Q438"/>
    <mergeCell ref="V438:AI438"/>
    <mergeCell ref="G451:H451"/>
    <mergeCell ref="I451:K451"/>
    <mergeCell ref="G452:H452"/>
    <mergeCell ref="I452:K452"/>
    <mergeCell ref="G433:H433"/>
    <mergeCell ref="I433:K433"/>
    <mergeCell ref="G434:H434"/>
    <mergeCell ref="I434:K434"/>
    <mergeCell ref="G435:H435"/>
    <mergeCell ref="I435:K435"/>
    <mergeCell ref="G430:H430"/>
    <mergeCell ref="I430:K430"/>
    <mergeCell ref="G431:H431"/>
    <mergeCell ref="I431:K431"/>
    <mergeCell ref="G432:H432"/>
    <mergeCell ref="I432:K432"/>
    <mergeCell ref="G427:H427"/>
    <mergeCell ref="I427:K427"/>
    <mergeCell ref="G428:H428"/>
    <mergeCell ref="I428:K428"/>
    <mergeCell ref="G429:H429"/>
    <mergeCell ref="I429:K429"/>
    <mergeCell ref="G424:H424"/>
    <mergeCell ref="I424:K424"/>
    <mergeCell ref="G425:H425"/>
    <mergeCell ref="I425:K425"/>
    <mergeCell ref="G426:H426"/>
    <mergeCell ref="I426:K426"/>
    <mergeCell ref="G421:H421"/>
    <mergeCell ref="I421:K421"/>
    <mergeCell ref="G422:H422"/>
    <mergeCell ref="I422:K422"/>
    <mergeCell ref="G423:H423"/>
    <mergeCell ref="I423:K423"/>
    <mergeCell ref="G418:H418"/>
    <mergeCell ref="I418:K418"/>
    <mergeCell ref="G419:H419"/>
    <mergeCell ref="I419:K419"/>
    <mergeCell ref="G420:H420"/>
    <mergeCell ref="I420:K420"/>
    <mergeCell ref="B403:Q403"/>
    <mergeCell ref="V403:AI403"/>
    <mergeCell ref="G416:H416"/>
    <mergeCell ref="G417:H417"/>
    <mergeCell ref="I417:K417"/>
    <mergeCell ref="I416:K416"/>
    <mergeCell ref="G398:H398"/>
    <mergeCell ref="I398:K398"/>
    <mergeCell ref="G399:H399"/>
    <mergeCell ref="I399:K399"/>
    <mergeCell ref="G400:H400"/>
    <mergeCell ref="I400:K400"/>
    <mergeCell ref="G395:H395"/>
    <mergeCell ref="I395:K395"/>
    <mergeCell ref="G396:H396"/>
    <mergeCell ref="I396:K396"/>
    <mergeCell ref="G397:H397"/>
    <mergeCell ref="I397:K397"/>
    <mergeCell ref="G392:H392"/>
    <mergeCell ref="I392:K392"/>
    <mergeCell ref="G393:H393"/>
    <mergeCell ref="I393:K393"/>
    <mergeCell ref="G394:H394"/>
    <mergeCell ref="I394:K394"/>
    <mergeCell ref="G389:H389"/>
    <mergeCell ref="I389:K389"/>
    <mergeCell ref="G390:H390"/>
    <mergeCell ref="I390:K390"/>
    <mergeCell ref="G391:H391"/>
    <mergeCell ref="I391:K391"/>
    <mergeCell ref="G386:H386"/>
    <mergeCell ref="I386:K386"/>
    <mergeCell ref="G387:H387"/>
    <mergeCell ref="I387:K387"/>
    <mergeCell ref="G388:H388"/>
    <mergeCell ref="I388:K388"/>
    <mergeCell ref="G383:H383"/>
    <mergeCell ref="I383:K383"/>
    <mergeCell ref="G384:H384"/>
    <mergeCell ref="I384:K384"/>
    <mergeCell ref="G385:H385"/>
    <mergeCell ref="I385:K385"/>
    <mergeCell ref="B368:Q368"/>
    <mergeCell ref="V368:AI368"/>
    <mergeCell ref="G381:H381"/>
    <mergeCell ref="I381:K381"/>
    <mergeCell ref="G382:H382"/>
    <mergeCell ref="I382:K382"/>
    <mergeCell ref="V349:V365"/>
    <mergeCell ref="G350:H350"/>
    <mergeCell ref="G351:H351"/>
    <mergeCell ref="G352:H352"/>
    <mergeCell ref="G353:H353"/>
    <mergeCell ref="G354:H354"/>
    <mergeCell ref="G355:H355"/>
    <mergeCell ref="G356:H356"/>
    <mergeCell ref="G357:H357"/>
    <mergeCell ref="G358:H358"/>
    <mergeCell ref="G364:H364"/>
    <mergeCell ref="G324:H324"/>
    <mergeCell ref="G334:H334"/>
    <mergeCell ref="G331:H331"/>
    <mergeCell ref="G332:H332"/>
    <mergeCell ref="G345:H345"/>
    <mergeCell ref="G346:H346"/>
    <mergeCell ref="G347:H347"/>
    <mergeCell ref="D349:D365"/>
    <mergeCell ref="G349:H349"/>
    <mergeCell ref="G361:H361"/>
    <mergeCell ref="G362:H362"/>
    <mergeCell ref="G365:H365"/>
    <mergeCell ref="D321:D337"/>
    <mergeCell ref="G359:H359"/>
    <mergeCell ref="G360:H360"/>
    <mergeCell ref="G363:H363"/>
    <mergeCell ref="G326:H326"/>
    <mergeCell ref="G328:H328"/>
    <mergeCell ref="G330:H330"/>
    <mergeCell ref="G333:H333"/>
    <mergeCell ref="G335:H335"/>
    <mergeCell ref="G329:H329"/>
    <mergeCell ref="G327:H327"/>
    <mergeCell ref="G337:H337"/>
    <mergeCell ref="G303:H303"/>
    <mergeCell ref="G304:H304"/>
    <mergeCell ref="G305:H305"/>
    <mergeCell ref="G306:H306"/>
    <mergeCell ref="G307:H307"/>
    <mergeCell ref="G317:H317"/>
    <mergeCell ref="D268:D269"/>
    <mergeCell ref="E268:E269"/>
    <mergeCell ref="F268:H268"/>
    <mergeCell ref="G314:H314"/>
    <mergeCell ref="G315:H315"/>
    <mergeCell ref="G316:H316"/>
    <mergeCell ref="D304:D320"/>
    <mergeCell ref="G320:H320"/>
    <mergeCell ref="G318:H318"/>
    <mergeCell ref="G313:H313"/>
    <mergeCell ref="G311:H311"/>
    <mergeCell ref="G309:H309"/>
    <mergeCell ref="V268:V269"/>
    <mergeCell ref="F269:H269"/>
    <mergeCell ref="B272:Q272"/>
    <mergeCell ref="V272:AI272"/>
    <mergeCell ref="D266:D267"/>
    <mergeCell ref="E266:E267"/>
    <mergeCell ref="F266:H266"/>
    <mergeCell ref="V266:V267"/>
    <mergeCell ref="F267:H267"/>
    <mergeCell ref="D263:D264"/>
    <mergeCell ref="E263:E264"/>
    <mergeCell ref="F263:H263"/>
    <mergeCell ref="O263:P263"/>
    <mergeCell ref="V263:V264"/>
    <mergeCell ref="F264:H264"/>
    <mergeCell ref="O264:P264"/>
    <mergeCell ref="V260:V261"/>
    <mergeCell ref="F261:H261"/>
    <mergeCell ref="J261:K261"/>
    <mergeCell ref="O261:Q261"/>
    <mergeCell ref="F262:H262"/>
    <mergeCell ref="J262:K263"/>
    <mergeCell ref="O262:P262"/>
    <mergeCell ref="F258:H258"/>
    <mergeCell ref="J258:K259"/>
    <mergeCell ref="F259:H259"/>
    <mergeCell ref="D260:D261"/>
    <mergeCell ref="E260:E261"/>
    <mergeCell ref="F260:H260"/>
    <mergeCell ref="J260:K260"/>
    <mergeCell ref="F255:H255"/>
    <mergeCell ref="J255:K255"/>
    <mergeCell ref="O255:P255"/>
    <mergeCell ref="F256:H256"/>
    <mergeCell ref="F257:H257"/>
    <mergeCell ref="O257:P257"/>
    <mergeCell ref="F251:H251"/>
    <mergeCell ref="F252:H252"/>
    <mergeCell ref="D253:D254"/>
    <mergeCell ref="E253:E254"/>
    <mergeCell ref="F253:H253"/>
    <mergeCell ref="V253:V254"/>
    <mergeCell ref="F254:H254"/>
    <mergeCell ref="D248:D249"/>
    <mergeCell ref="E248:E249"/>
    <mergeCell ref="F248:H248"/>
    <mergeCell ref="V248:V249"/>
    <mergeCell ref="F249:H249"/>
    <mergeCell ref="F250:H250"/>
    <mergeCell ref="J250:K250"/>
    <mergeCell ref="D217:D218"/>
    <mergeCell ref="V217:V218"/>
    <mergeCell ref="B224:Q224"/>
    <mergeCell ref="V224:AI224"/>
    <mergeCell ref="F247:H247"/>
    <mergeCell ref="D181:D190"/>
    <mergeCell ref="V181:V190"/>
    <mergeCell ref="B193:Q193"/>
    <mergeCell ref="V193:AI193"/>
    <mergeCell ref="D211:D212"/>
    <mergeCell ref="V211:V212"/>
    <mergeCell ref="G181:G190"/>
    <mergeCell ref="C229:L230"/>
    <mergeCell ref="D160:D169"/>
    <mergeCell ref="V160:V169"/>
    <mergeCell ref="D170:D179"/>
    <mergeCell ref="V170:V179"/>
    <mergeCell ref="D114:D123"/>
    <mergeCell ref="V114:V123"/>
    <mergeCell ref="D124:D133"/>
    <mergeCell ref="V124:V133"/>
    <mergeCell ref="D137:D146"/>
    <mergeCell ref="V137:V146"/>
    <mergeCell ref="H137:H146"/>
    <mergeCell ref="H170:H179"/>
    <mergeCell ref="E24:E25"/>
    <mergeCell ref="I24:L24"/>
    <mergeCell ref="D28:D32"/>
    <mergeCell ref="E28:E32"/>
    <mergeCell ref="I32:L32"/>
    <mergeCell ref="V28:V32"/>
    <mergeCell ref="A1:O1"/>
    <mergeCell ref="P1:R1"/>
    <mergeCell ref="D2:J2"/>
    <mergeCell ref="B4:Q4"/>
    <mergeCell ref="V4:AI4"/>
    <mergeCell ref="I23:L23"/>
    <mergeCell ref="I27:L27"/>
    <mergeCell ref="I28:L28"/>
    <mergeCell ref="I29:L29"/>
    <mergeCell ref="G321:H321"/>
    <mergeCell ref="G322:H322"/>
    <mergeCell ref="G323:H323"/>
    <mergeCell ref="V24:V25"/>
    <mergeCell ref="I25:L25"/>
    <mergeCell ref="I26:L26"/>
    <mergeCell ref="B71:Q71"/>
    <mergeCell ref="V71:AI71"/>
    <mergeCell ref="D88:L91"/>
    <mergeCell ref="D94:D103"/>
    <mergeCell ref="V94:V103"/>
    <mergeCell ref="D104:D113"/>
    <mergeCell ref="V104:V113"/>
    <mergeCell ref="I33:L33"/>
    <mergeCell ref="I34:L34"/>
    <mergeCell ref="I35:L35"/>
    <mergeCell ref="I36:L36"/>
    <mergeCell ref="I37:L37"/>
    <mergeCell ref="I38:L38"/>
    <mergeCell ref="D147:D156"/>
    <mergeCell ref="V147:V156"/>
    <mergeCell ref="I30:L30"/>
    <mergeCell ref="I31:L31"/>
    <mergeCell ref="D24:D25"/>
    <mergeCell ref="G336:H336"/>
    <mergeCell ref="D343:D344"/>
    <mergeCell ref="D340:D341"/>
    <mergeCell ref="G341:H341"/>
    <mergeCell ref="G344:H344"/>
    <mergeCell ref="V343:V344"/>
    <mergeCell ref="V340:V341"/>
    <mergeCell ref="V347:V348"/>
    <mergeCell ref="D347:D348"/>
    <mergeCell ref="G348:H348"/>
    <mergeCell ref="G338:H338"/>
    <mergeCell ref="G339:H339"/>
    <mergeCell ref="G340:H340"/>
    <mergeCell ref="G342:H342"/>
    <mergeCell ref="G343:H343"/>
  </mergeCells>
  <conditionalFormatting sqref="E94:E103">
    <cfRule type="duplicateValues" dxfId="137" priority="31"/>
  </conditionalFormatting>
  <conditionalFormatting sqref="E104:E113">
    <cfRule type="duplicateValues" dxfId="136" priority="32"/>
  </conditionalFormatting>
  <conditionalFormatting sqref="E114:E123">
    <cfRule type="duplicateValues" dxfId="135" priority="33"/>
  </conditionalFormatting>
  <conditionalFormatting sqref="E125:E133">
    <cfRule type="duplicateValues" dxfId="134" priority="34"/>
  </conditionalFormatting>
  <conditionalFormatting sqref="E137:E146">
    <cfRule type="duplicateValues" dxfId="133" priority="35"/>
  </conditionalFormatting>
  <conditionalFormatting sqref="E147:E156">
    <cfRule type="duplicateValues" dxfId="132" priority="36"/>
  </conditionalFormatting>
  <conditionalFormatting sqref="E160:E169">
    <cfRule type="duplicateValues" dxfId="131" priority="37"/>
  </conditionalFormatting>
  <conditionalFormatting sqref="E170:E179">
    <cfRule type="duplicateValues" dxfId="130" priority="38"/>
  </conditionalFormatting>
  <conditionalFormatting sqref="E74:E83">
    <cfRule type="duplicateValues" dxfId="129" priority="30"/>
  </conditionalFormatting>
  <conditionalFormatting sqref="F292">
    <cfRule type="duplicateValues" dxfId="128" priority="29"/>
  </conditionalFormatting>
  <conditionalFormatting sqref="E337">
    <cfRule type="duplicateValues" dxfId="127" priority="28"/>
  </conditionalFormatting>
  <conditionalFormatting sqref="C274:C290 E291">
    <cfRule type="duplicateValues" dxfId="126" priority="27"/>
  </conditionalFormatting>
  <conditionalFormatting sqref="E181:E190">
    <cfRule type="duplicateValues" dxfId="125" priority="26"/>
  </conditionalFormatting>
  <conditionalFormatting sqref="E8 D557:E557 G557 E45:E48">
    <cfRule type="cellIs" dxfId="124" priority="25" operator="equal">
      <formula>"x"</formula>
    </cfRule>
  </conditionalFormatting>
  <conditionalFormatting sqref="E14:E16 E12 E10">
    <cfRule type="cellIs" dxfId="123" priority="24" operator="equal">
      <formula>"x"</formula>
    </cfRule>
  </conditionalFormatting>
  <conditionalFormatting sqref="E197">
    <cfRule type="cellIs" dxfId="122" priority="23" operator="equal">
      <formula>"x"</formula>
    </cfRule>
  </conditionalFormatting>
  <conditionalFormatting sqref="B1:B2 B4:B1048576">
    <cfRule type="cellIs" dxfId="121" priority="22" operator="equal">
      <formula>"x"</formula>
    </cfRule>
  </conditionalFormatting>
  <conditionalFormatting sqref="D524:E525 D526 G524:H525 F525 D535 H526:H533 D536:E536 G526:G534 H535 H537 G536:H536">
    <cfRule type="cellIs" dxfId="120" priority="21" operator="equal">
      <formula>"x"</formula>
    </cfRule>
  </conditionalFormatting>
  <conditionalFormatting sqref="F524">
    <cfRule type="cellIs" dxfId="119" priority="20" operator="equal">
      <formula>"x"</formula>
    </cfRule>
  </conditionalFormatting>
  <conditionalFormatting sqref="F526:F534">
    <cfRule type="cellIs" dxfId="118" priority="19" operator="equal">
      <formula>"x"</formula>
    </cfRule>
  </conditionalFormatting>
  <conditionalFormatting sqref="H534">
    <cfRule type="cellIs" dxfId="117" priority="18" operator="equal">
      <formula>"x"</formula>
    </cfRule>
  </conditionalFormatting>
  <conditionalFormatting sqref="V525:V526 V535:V536">
    <cfRule type="cellIs" dxfId="116" priority="17" operator="equal">
      <formula>"x"</formula>
    </cfRule>
  </conditionalFormatting>
  <conditionalFormatting sqref="W525:AB534 W536:AB536">
    <cfRule type="cellIs" dxfId="115" priority="16" operator="equal">
      <formula>"x"</formula>
    </cfRule>
  </conditionalFormatting>
  <conditionalFormatting sqref="F535:F537">
    <cfRule type="cellIs" dxfId="114" priority="15" operator="equal">
      <formula>"x"</formula>
    </cfRule>
  </conditionalFormatting>
  <conditionalFormatting sqref="AC525:AD534 AC536:AD536">
    <cfRule type="cellIs" dxfId="113" priority="14" operator="equal">
      <formula>"x"</formula>
    </cfRule>
  </conditionalFormatting>
  <conditionalFormatting sqref="D567:E571">
    <cfRule type="cellIs" dxfId="112" priority="12" operator="equal">
      <formula>"x"</formula>
    </cfRule>
  </conditionalFormatting>
  <conditionalFormatting sqref="F567:H571">
    <cfRule type="cellIs" dxfId="111" priority="11" operator="equal">
      <formula>"x"</formula>
    </cfRule>
  </conditionalFormatting>
  <conditionalFormatting sqref="F585:H587">
    <cfRule type="cellIs" dxfId="110" priority="10" operator="equal">
      <formula>"x"</formula>
    </cfRule>
  </conditionalFormatting>
  <conditionalFormatting sqref="V567:V571">
    <cfRule type="cellIs" dxfId="109" priority="9" operator="equal">
      <formula>"x"</formula>
    </cfRule>
  </conditionalFormatting>
  <conditionalFormatting sqref="AC567:AC571">
    <cfRule type="cellIs" dxfId="108" priority="8" operator="equal">
      <formula>"x"</formula>
    </cfRule>
  </conditionalFormatting>
  <conditionalFormatting sqref="AC585:AD585">
    <cfRule type="cellIs" dxfId="107" priority="7" operator="equal">
      <formula>"x"</formula>
    </cfRule>
  </conditionalFormatting>
  <conditionalFormatting sqref="AC7:AC16">
    <cfRule type="cellIs" dxfId="106" priority="2" operator="notEqual">
      <formula>AB7</formula>
    </cfRule>
  </conditionalFormatting>
  <conditionalFormatting sqref="AD567:AD571">
    <cfRule type="cellIs" dxfId="105" priority="1" operator="equal">
      <formula>"x"</formula>
    </cfRule>
  </conditionalFormatting>
  <hyperlinks>
    <hyperlink ref="G388" r:id="rId1" display="http://ilsagfiles.org/SAG_files/Technical_Reference_Manual/Version_5/Final/IL-TRM_Version_5.0_dated_February-11-2016_Final_Compiled_Volumes_1-4.pdf" xr:uid="{00000000-0004-0000-0800-000000000000}"/>
    <hyperlink ref="G429" r:id="rId2" display="https://www.efis.psc.mo.gov/mpsc/commoncomponents/viewdocument.asp?DocId=935658483" xr:uid="{00000000-0004-0000-0800-000001000000}"/>
    <hyperlink ref="G423" r:id="rId3" display="http://ilsagfiles.org/SAG_files/Technical_Reference_Manual/Version_5/Final/IL-TRM_Version_5.0_dated_February-11-2016_Final_Compiled_Volumes_1-4.pdf" xr:uid="{00000000-0004-0000-0800-000002000000}"/>
    <hyperlink ref="G464" r:id="rId4" display="https://www.efis.psc.mo.gov/mpsc/commoncomponents/viewdocument.asp?DocId=935658483" xr:uid="{00000000-0004-0000-0800-000003000000}"/>
    <hyperlink ref="G465" r:id="rId5" display="http://www.nrel.gov/docs/fy10osti/47246.pdf" xr:uid="{00000000-0004-0000-0800-000004000000}"/>
  </hyperlinks>
  <pageMargins left="0.7" right="0.7" top="0.75" bottom="0.75" header="0.3" footer="0.3"/>
  <pageSetup scale="12" fitToHeight="0" orientation="landscape" r:id="rId6"/>
  <rowBreaks count="2" manualBreakCount="2">
    <brk id="402" max="57" man="1"/>
    <brk id="587" max="57" man="1"/>
  </rowBreaks>
  <drawing r:id="rId7"/>
  <legacy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CFF5E259E1FEC4E8F4FEBC71574AA28" ma:contentTypeVersion="" ma:contentTypeDescription="Create a new document." ma:contentTypeScope="" ma:versionID="1bfb817a03a4311ca75f8bcc8ba77ad0">
  <xsd:schema xmlns:xsd="http://www.w3.org/2001/XMLSchema" xmlns:xs="http://www.w3.org/2001/XMLSchema" xmlns:p="http://schemas.microsoft.com/office/2006/metadata/properties" xmlns:ns2="$ListId:Library;" xmlns:ns3="54a73875-1022-43df-9ba7-c54dc9c5cabe" targetNamespace="http://schemas.microsoft.com/office/2006/metadata/properties" ma:root="true" ma:fieldsID="28548d211a4ea3ffcd11464a26f3eddd" ns2:_="" ns3:_="">
    <xsd:import namespace="$ListId:Library;"/>
    <xsd:import namespace="54a73875-1022-43df-9ba7-c54dc9c5cabe"/>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4a73875-1022-43df-9ba7-c54dc9c5cabe"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2B4489-62BB-4C7F-B530-FA740EB47952}">
  <ds:schemaRefs>
    <ds:schemaRef ds:uri="http://purl.org/dc/dcmitype/"/>
    <ds:schemaRef ds:uri="http://purl.org/dc/terms/"/>
    <ds:schemaRef ds:uri="http://schemas.microsoft.com/office/2006/metadata/properties"/>
    <ds:schemaRef ds:uri="http://schemas.microsoft.com/office/2006/documentManagement/types"/>
    <ds:schemaRef ds:uri="http://purl.org/dc/elements/1.1/"/>
    <ds:schemaRef ds:uri="54a73875-1022-43df-9ba7-c54dc9c5cabe"/>
    <ds:schemaRef ds:uri="http://www.w3.org/XML/1998/namespace"/>
    <ds:schemaRef ds:uri="http://schemas.microsoft.com/office/infopath/2007/PartnerControls"/>
    <ds:schemaRef ds:uri="http://schemas.openxmlformats.org/package/2006/metadata/core-properties"/>
    <ds:schemaRef ds:uri="$ListId:Library;"/>
  </ds:schemaRefs>
</ds:datastoreItem>
</file>

<file path=customXml/itemProps2.xml><?xml version="1.0" encoding="utf-8"?>
<ds:datastoreItem xmlns:ds="http://schemas.openxmlformats.org/officeDocument/2006/customXml" ds:itemID="{EC490279-EFBA-4C6E-95F4-9BF9EDFE58B1}">
  <ds:schemaRefs>
    <ds:schemaRef ds:uri="http://schemas.microsoft.com/sharepoint/v3/contenttype/forms"/>
  </ds:schemaRefs>
</ds:datastoreItem>
</file>

<file path=customXml/itemProps3.xml><?xml version="1.0" encoding="utf-8"?>
<ds:datastoreItem xmlns:ds="http://schemas.openxmlformats.org/officeDocument/2006/customXml" ds:itemID="{6567EA5A-6DB8-4B13-8622-03624AA9CE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54a73875-1022-43df-9ba7-c54dc9c5ca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47</vt:i4>
      </vt:variant>
    </vt:vector>
  </HeadingPairs>
  <TitlesOfParts>
    <vt:vector size="64" baseType="lpstr">
      <vt:lpstr>ReadME</vt:lpstr>
      <vt:lpstr>Deemed Savings Tbl Revision Log</vt:lpstr>
      <vt:lpstr>Lighting Deemed Table</vt:lpstr>
      <vt:lpstr>Efficient Products Deemed Table</vt:lpstr>
      <vt:lpstr>Energy Effic. Kits Deemed Table</vt:lpstr>
      <vt:lpstr>HVAC Deemed Table</vt:lpstr>
      <vt:lpstr>Income Eligible Deemed Table</vt:lpstr>
      <vt:lpstr>Home Energy Report Deemed Table</vt:lpstr>
      <vt:lpstr>MFMR Deemed Table </vt:lpstr>
      <vt:lpstr>Appliance Recycle Deemed Table</vt:lpstr>
      <vt:lpstr>Demand Response Deemed Table</vt:lpstr>
      <vt:lpstr>BUS Deemed Savings Table</vt:lpstr>
      <vt:lpstr> Measure INDEX</vt:lpstr>
      <vt:lpstr>Avoided Cost Benefits</vt:lpstr>
      <vt:lpstr>CP FACTORS</vt:lpstr>
      <vt:lpstr>index check</vt:lpstr>
      <vt:lpstr>2020_02_Updates_CleanUp_Items</vt:lpstr>
      <vt:lpstr>'BUS Deemed Savings Table'!_ftn1</vt:lpstr>
      <vt:lpstr>'Efficient Products Deemed Table'!_ftn1</vt:lpstr>
      <vt:lpstr>'BUS Deemed Savings Table'!_ftn10</vt:lpstr>
      <vt:lpstr>'BUS Deemed Savings Table'!_ftn11</vt:lpstr>
      <vt:lpstr>'BUS Deemed Savings Table'!_ftn12</vt:lpstr>
      <vt:lpstr>'BUS Deemed Savings Table'!_ftn2</vt:lpstr>
      <vt:lpstr>'Efficient Products Deemed Table'!_ftn2</vt:lpstr>
      <vt:lpstr>'BUS Deemed Savings Table'!_ftn3</vt:lpstr>
      <vt:lpstr>'BUS Deemed Savings Table'!_ftn4</vt:lpstr>
      <vt:lpstr>'BUS Deemed Savings Table'!_ftn5</vt:lpstr>
      <vt:lpstr>'BUS Deemed Savings Table'!_ftn6</vt:lpstr>
      <vt:lpstr>'BUS Deemed Savings Table'!_ftn7</vt:lpstr>
      <vt:lpstr>'BUS Deemed Savings Table'!_ftn8</vt:lpstr>
      <vt:lpstr>'BUS Deemed Savings Table'!_ftn9</vt:lpstr>
      <vt:lpstr>'BUS Deemed Savings Table'!_ftnref1</vt:lpstr>
      <vt:lpstr>'Efficient Products Deemed Table'!_ftnref1</vt:lpstr>
      <vt:lpstr>'BUS Deemed Savings Table'!_ftnref10</vt:lpstr>
      <vt:lpstr>'BUS Deemed Savings Table'!_ftnref11</vt:lpstr>
      <vt:lpstr>'Efficient Products Deemed Table'!_ftnref2</vt:lpstr>
      <vt:lpstr>'BUS Deemed Savings Table'!_ftnref3</vt:lpstr>
      <vt:lpstr>'BUS Deemed Savings Table'!_ftnref4</vt:lpstr>
      <vt:lpstr>'BUS Deemed Savings Table'!_ftnref5</vt:lpstr>
      <vt:lpstr>'BUS Deemed Savings Table'!_ftnref6</vt:lpstr>
      <vt:lpstr>'BUS Deemed Savings Table'!_ftnref7</vt:lpstr>
      <vt:lpstr>'BUS Deemed Savings Table'!_ftnref9</vt:lpstr>
      <vt:lpstr>'BUS Deemed Savings Table'!_Toc477945843</vt:lpstr>
      <vt:lpstr>'Appliance Recycle Deemed Table'!Print_Area</vt:lpstr>
      <vt:lpstr>'BUS Deemed Savings Table'!Print_Area</vt:lpstr>
      <vt:lpstr>'Deemed Savings Tbl Revision Log'!Print_Area</vt:lpstr>
      <vt:lpstr>'Demand Response Deemed Table'!Print_Area</vt:lpstr>
      <vt:lpstr>'Efficient Products Deemed Table'!Print_Area</vt:lpstr>
      <vt:lpstr>'Energy Effic. Kits Deemed Table'!Print_Area</vt:lpstr>
      <vt:lpstr>'Home Energy Report Deemed Table'!Print_Area</vt:lpstr>
      <vt:lpstr>'HVAC Deemed Table'!Print_Area</vt:lpstr>
      <vt:lpstr>'Income Eligible Deemed Table'!Print_Area</vt:lpstr>
      <vt:lpstr>'Lighting Deemed Table'!Print_Area</vt:lpstr>
      <vt:lpstr>'MFMR Deemed Table '!Print_Area</vt:lpstr>
      <vt:lpstr>'Appliance Recycle Deemed Table'!Print_Titles</vt:lpstr>
      <vt:lpstr>'BUS Deemed Savings Table'!Print_Titles</vt:lpstr>
      <vt:lpstr>'Demand Response Deemed Table'!Print_Titles</vt:lpstr>
      <vt:lpstr>'Efficient Products Deemed Table'!Print_Titles</vt:lpstr>
      <vt:lpstr>'Energy Effic. Kits Deemed Table'!Print_Titles</vt:lpstr>
      <vt:lpstr>'Home Energy Report Deemed Table'!Print_Titles</vt:lpstr>
      <vt:lpstr>'HVAC Deemed Table'!Print_Titles</vt:lpstr>
      <vt:lpstr>'Income Eligible Deemed Table'!Print_Titles</vt:lpstr>
      <vt:lpstr>'Lighting Deemed Table'!Print_Titles</vt:lpstr>
      <vt:lpstr>'MFMR Deemed Table '!Print_Titles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2021-09-02T13:47:08Z</dcterms:created>
  <dcterms:modified xsi:type="dcterms:W3CDTF">2022-09-27T20:19:43Z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0x0101000CFF5E259E1FEC4E8F4FEBC71574AA28</vt:lpwstr>
  </property>
</Properties>
</file>